
<file path=[Content_Types].xml><?xml version="1.0" encoding="utf-8"?>
<ns0:Types xmlns:ns0="http://schemas.openxmlformats.org/package/2006/content-types">
  <ns0:Default Extension="xml" ContentType="application/vnd.openxmlformats-officedocument.spreadsheetml.sheet.main+xml"/>
  <ns0:Default Extension="rels" ContentType="application/vnd.openxmlformats-package.relationships+xml"/>
  <ns0:Override PartName="/xl/styles.xml" ContentType="application/vnd.openxmlformats-officedocument.spreadsheetml.styles+xml"/>
  <ns0:Override PartName="/xl/theme/theme1.xml" ContentType="application/vnd.openxmlformats-officedocument.theme+xml"/>
  <ns0:Override PartName="/xl/featurePropertyBag/featurePropertyBag.xml" ContentType="application/vnd.ms-excel.featurepropertybag+xml"/>
  <ns0:Override PartName="/xl/sharedStrings.xml" ContentType="application/vnd.openxmlformats-officedocument.spreadsheetml.sharedStrings+xml"/>
  <ns0:Override PartName="/xl/worksheets/sheet1.xml" ContentType="application/vnd.openxmlformats-officedocument.spreadsheetml.worksheet+xml"/>
  <ns0:Override PartName="/xl/worksheets/sheet2.xml" ContentType="application/vnd.openxmlformats-officedocument.spreadsheetml.worksheet+xml"/>
  <ns0:Override PartName="/xl/tables/table1.xml" ContentType="application/vnd.openxmlformats-officedocument.spreadsheetml.table+xml"/>
  <ns0:Override PartName="/xl/worksheets/sheet3.xml" ContentType="application/vnd.openxmlformats-officedocument.spreadsheetml.worksheet+xml"/>
  <ns0:Override PartName="/xl/tables/table2.xml" ContentType="application/vnd.openxmlformats-officedocument.spreadsheetml.table+xml"/>
  <ns0:Override PartName="/xl/worksheets/sheet4.xml" ContentType="application/vnd.openxmlformats-officedocument.spreadsheetml.worksheet+xml"/>
  <ns0:Override PartName="/xl/tables/table3.xml" ContentType="application/vnd.openxmlformats-officedocument.spreadsheetml.table+xml"/>
  <ns0:Override PartName="/xl/worksheets/sheet5.xml" ContentType="application/vnd.openxmlformats-officedocument.spreadsheetml.worksheet+xml"/>
  <ns0:Override PartName="/xl/worksheets/sheet6.xml" ContentType="application/vnd.openxmlformats-officedocument.spreadsheetml.worksheet+xml"/>
  <ns0:Override PartName="/xl/worksheets/sheet7.xml" ContentType="application/vnd.openxmlformats-officedocument.spreadsheetml.worksheet+xml"/>
  <ns0:Override PartName="/xl/worksheets/sheet8.xml" ContentType="application/vnd.openxmlformats-officedocument.spreadsheetml.worksheet+xml"/>
  <ns0:Override PartName="/xl/worksheets/sheet9.xml" ContentType="application/vnd.openxmlformats-officedocument.spreadsheetml.worksheet+xml"/>
</ns0:Types>
</file>

<file path=_rels/.rels>&#65279;<?xml version="1.0" encoding="utf-8"?><Relationships xmlns="http://schemas.openxmlformats.org/package/2006/relationships"><Relationship Type="http://schemas.openxmlformats.org/officeDocument/2006/relationships/officeDocument" Target="/xl/workbook.xml" Id="R6910f5a0c6c64d5e" /></Relationships>
</file>

<file path=xl/workbook.xml><?xml version="1.0" encoding="utf-8"?>
<ns0:workbook xmlns:ns0="http://schemas.openxmlformats.org/spreadsheetml/2006/main" xmlns:ns1="http://schemas.openxmlformats.org/officeDocument/2006/relationships">
  <ns0:sheets>
    <ns0:sheet name="Calendar" sheetId="1" ns1:id="R6ee7a8ff960e4ae1" state="visible"/>
    <ns0:sheet name="Bookings" sheetId="2" ns1:id="Rda60b1a39adc4844" state="visible"/>
    <ns0:sheet name="Balances" sheetId="3" ns1:id="Rf9ada0b992b649d7" state="visible"/>
    <ns0:sheet name="Team" sheetId="4" ns1:id="R4cd22844b5154122" state="visible"/>
    <ns0:sheet name="Settings" sheetId="5" ns1:id="R9d58ec7c3af3416a" state="visible"/>
    <ns0:sheet name="Start here" sheetId="6" ns1:id="R9abfa72595cf46b2" state="visible"/>
    <ns0:sheet name="_Engine" sheetId="7" ns1:id="R86c74b5801694d21" state="hidden"/>
    <ns0:sheet name="_Closures" sheetId="8" ns1:id="R64f2d3856b6c4307" state="hidden"/>
    <ns0:sheet name="_Dates" sheetId="9" state="hidden" ns1:id="rId3609474468"/>
  </ns0:sheets>
  <ns0:definedNames>
    <ns0:definedName name="EmployeeChoices">'_Engine'!$Y$11:$Y$60</ns0:definedName>
    <ns0:definedName name="LeaveTypeChoices">'_Engine'!$AQ$7:$AQ$11</ns0:definedName>
    <ns0:definedName name="MonthChoices">'_Engine'!$AS$11:$AS$22</ns0:definedName>
    <ns0:definedName name="TeamChoices">'_Engine'!$AF$10:$AF$60</ns0:definedName>
    <ns0:definedName name="AllClosureRows">'_Closures'!$B$11:$AY$60</ns0:definedName>
    <ns0:definedName name="rngBookings_B">'_Dates'!$J$11:$J$1010</ns0:definedName>
    <ns0:definedName name="rngBookings_C">'_Dates'!$T$11:$T$1010</ns0:definedName>
    <ns0:definedName name="rngBookings_F">'Bookings'!$G$11:$G$1010</ns0:definedName>
    <ns0:definedName name="rngBookings_D">'Bookings'!$C$11:$C$1010</ns0:definedName>
    <ns0:definedName name="rngEngine_B">'_Engine'!$B$11:$B$1010</ns0:definedName>
    <ns0:definedName name="rngEngine_F">'_Engine'!$F$11:$F$1010</ns0:definedName>
    <ns0:definedName name="rngEngine_L">'_Engine'!$L$11:$L$1010</ns0:definedName>
    <ns0:definedName name="rngEngine_P">'_Engine'!$P$11:$P$1010</ns0:definedName>
    <ns0:definedName name="rngEngine_Q">'_Engine'!$Q$11:$Q$1010</ns0:definedName>
    <ns0:definedName name="rngEngine_R">'_Engine'!$R$11:$R$1010</ns0:definedName>
    <ns0:definedName name="rngEngine_S">'_Engine'!$S$11:$S$1010</ns0:definedName>
    <ns0:definedName name="rngEngine_M">'_Engine'!$M$11:$M$1010</ns0:definedName>
    <ns0:definedName name="rngEngine_U">'_Engine'!$U$11:$U$1010</ns0:definedName>
    <ns0:definedName name="rngEngine_V">'_Engine'!$V$11:$V$1010</ns0:definedName>
    <ns0:definedName name="rngAMStart">'_Dates'!$W$11:$W$1010</ns0:definedName>
    <ns0:definedName name="rngAMEnd">'_Dates'!$X$11:$X$1010</ns0:definedName>
    <ns0:definedName name="rngPMStart">'_Dates'!$Y$11:$Y$1010</ns0:definedName>
    <ns0:definedName name="rngPMEnd">'_Dates'!$Z$11:$Z$1010</ns0:definedName>
    <ns0:definedName name="rngAMActive">'_Dates'!$AC$11:$AC$1010</ns0:definedName>
    <ns0:definedName name="rngPMActive">'_Dates'!$AD$11:$AD$1010</ns0:definedName>
  </ns0:definedNames>
  <ns0:calcPr calcMode="auto" fullCalcOnLoad="1" forceFullCalc="1" calcOnSave="1"/>
</ns0:workbook>
</file>

<file path=xl/sharedStrings.xml><?xml version="1.0" encoding="utf-8"?>
<x:sst xmlns:x="http://schemas.openxmlformats.org/spreadsheetml/2006/main"/>
</file>

<file path=xl/styles.xml><?xml version="1.0" encoding="utf-8"?>
<ns0:styleSheet xmlns:ns0="http://schemas.openxmlformats.org/spreadsheetml/2006/main" xmlns:ns1="http://schemas.microsoft.com/office/spreadsheetml/2022/featurepropertybag">
  <ns0:numFmts count="4">
    <ns0:numFmt numFmtId="200" formatCode="dd mmm yyyy"/>
    <ns0:numFmt numFmtId="201" formatCode="0.0;[Red]-0.0;0"/>
    <ns0:numFmt numFmtId="202" formatCode="d&quot;\n&quot;ddd"/>
    <ns0:numFmt numFmtId="203" formatCode="d&quot;&#10;&quot;ddd"/>
  </ns0:numFmts>
  <ns0:fonts count="29">
    <ns0:font>
      <ns0:sz val="11"/>
      <ns0:name val="Calibri"/>
    </ns0:font>
    <ns0:font>
      <ns0:sz val="11"/>
      <ns0:color rgb="FF334155"/>
      <ns0:name val="Aptos"/>
    </ns0:font>
    <ns0:font>
      <ns0:b/>
      <ns0:sz val="22"/>
      <ns0:color rgb="FFFFFFFF"/>
      <ns0:name val="Aptos Display"/>
    </ns0:font>
    <ns0:font>
      <ns0:b/>
      <ns0:sz val="11"/>
      <ns0:color rgb="FF2563EB"/>
      <ns0:name val="Aptos"/>
    </ns0:font>
    <ns0:font>
      <ns0:b/>
      <ns0:sz val="10"/>
      <ns0:color rgb="FFFFFFFF"/>
      <ns0:name val="Aptos"/>
    </ns0:font>
    <ns0:font>
      <ns0:sz val="11"/>
      <ns0:color rgb="FF1D4ED8"/>
      <ns0:name val="Aptos"/>
    </ns0:font>
    <ns0:font>
      <ns0:b/>
      <ns0:sz val="11"/>
      <ns0:color rgb="FF334155"/>
      <ns0:name val="Aptos"/>
    </ns0:font>
    <ns0:font>
      <ns0:sz val="11"/>
      <ns0:color rgb="FF92400E"/>
      <ns0:name val="Aptos"/>
    </ns0:font>
    <ns0:font>
      <ns0:sz val="11"/>
      <ns0:color rgb="FF334155"/>
      <ns0:name val="Calibri"/>
    </ns0:font>
    <ns0:font>
      <ns0:sz val="10"/>
      <ns0:color rgb="FF334155"/>
      <ns0:name val="Aptos"/>
    </ns0:font>
    <ns0:font>
      <ns0:sz val="10"/>
      <ns0:color rgb="FF334155"/>
      <ns0:name val="Calibri"/>
    </ns0:font>
    <ns0:font>
      <ns0:b/>
      <ns0:sz val="10"/>
      <ns0:color rgb="FFFFFFFF"/>
      <ns0:name val="Calibri"/>
    </ns0:font>
    <ns0:font>
      <ns0:sz val="11"/>
      <ns0:color rgb="FF1D4ED8"/>
      <ns0:name val="Calibri"/>
    </ns0:font>
    <ns0:font>
      <ns0:sz val="10"/>
      <ns0:color rgb="FF2563EB"/>
      <ns0:name val="Aptos"/>
    </ns0:font>
    <ns0:font>
      <ns0:b/>
      <ns0:sz val="14"/>
      <ns0:color rgb="FF2563EB"/>
      <ns0:name val="Aptos"/>
    </ns0:font>
    <ns0:font>
      <ns0:b/>
      <ns0:sz val="14"/>
      <ns0:color rgb="FF047857"/>
      <ns0:name val="Aptos"/>
    </ns0:font>
    <ns0:font>
      <ns0:b/>
      <ns0:sz val="12"/>
      <ns0:color rgb="FF047857"/>
      <ns0:name val="Aptos"/>
    </ns0:font>
    <ns0:font>
      <ns0:b/>
      <ns0:sz val="11"/>
      <ns0:color rgb="FF2563EB"/>
      <ns0:name val="Calibri"/>
    </ns0:font>
    <ns0:font>
      <ns0:b/>
      <ns0:sz val="10"/>
      <ns0:color rgb="FF64748B"/>
      <ns0:name val="Aptos"/>
    </ns0:font>
    <ns0:font>
      <ns0:b/>
      <ns0:sz val="24"/>
      <ns0:color rgb="FFFFFFFF"/>
      <ns0:name val="Aptos Display"/>
    </ns0:font>
    <ns0:font>
      <ns0:b/>
      <ns0:sz val="24"/>
      <ns0:color rgb="FFFFFFFF"/>
      <ns0:name val="Calibri"/>
    </ns0:font>
    <ns0:font>
      <ns0:sz val="11"/>
      <ns0:color rgb="FF92400E"/>
      <ns0:name val="Calibri"/>
    </ns0:font>
    <ns0:font>
      <ns0:sz val="10"/>
      <ns0:color rgb="FF64748B"/>
      <ns0:name val="Aptos"/>
    </ns0:font>
    <ns0:font>
      <ns0:sz val="10"/>
      <ns0:color rgb="FF64748B"/>
      <ns0:name val="Calibri"/>
    </ns0:font>
    <ns0:font>
      <ns0:sz val="9"/>
      <ns0:color rgb="FF334155"/>
      <ns0:name val="Aptos"/>
    </ns0:font>
    <ns0:font>
      <ns0:sz val="9"/>
      <ns0:color rgb="FF334155"/>
      <ns0:name val="Calibri"/>
    </ns0:font>
    <ns0:font>
      <ns0:sz val="13"/>
      <ns0:color rgb="FFFFFFFF"/>
      <ns0:name val="Aptos"/>
    </ns0:font>
    <ns0:font>
      <ns0:b/>
      <ns0:sz val="12"/>
      <ns0:color rgb="FF2563EB"/>
      <ns0:name val="Aptos"/>
    </ns0:font>
    <ns0:font>
      <ns0:sz val="9"/>
      <ns0:color rgb="FF64748B"/>
      <ns0:name val="Aptos"/>
    </ns0:font>
  </ns0:fonts>
  <ns0:fills count="7">
    <ns0:fill>
      <ns0:patternFill patternType="none"/>
    </ns0:fill>
    <ns0:fill>
      <ns0:patternFill patternType="gray125"/>
    </ns0:fill>
    <ns0:fill>
      <ns0:patternFill patternType="solid">
        <ns0:fgColor rgb="FF0F172A"/>
      </ns0:patternFill>
    </ns0:fill>
    <ns0:fill>
      <ns0:patternFill patternType="solid">
        <ns0:fgColor rgb="FFEFF6FF"/>
      </ns0:patternFill>
    </ns0:fill>
    <ns0:fill>
      <ns0:patternFill patternType="solid">
        <ns0:fgColor rgb="FFF8FAFC"/>
      </ns0:patternFill>
    </ns0:fill>
    <ns0:fill>
      <ns0:patternFill patternType="solid">
        <ns0:fgColor rgb="FFFFF7DB"/>
      </ns0:patternFill>
    </ns0:fill>
    <ns0:fill>
      <ns0:patternFill patternType="solid">
        <ns0:fgColor rgb="FFECFDF5"/>
      </ns0:patternFill>
    </ns0:fill>
  </ns0:fills>
  <ns0:borders count="2">
    <ns0:border/>
    <ns0:border/>
  </ns0:borders>
  <ns0:cellStyleXfs count="1">
    <ns0:xf numFmtId="0" fontId="0" fillId="0" borderId="0"/>
  </ns0:cellStyleXfs>
  <ns0:cellXfs count="211">
    <ns0:xf numFmtId="0" fontId="0" fillId="0" borderId="0" xfId="0" applyProtection="1">
      <ns0:protection locked="1" hidden="0"/>
    </ns0:xf>
    <ns0:xf numFmtId="0" fontId="0" fillId="0" borderId="1" xfId="0" applyNumberFormat="1" applyFont="1" applyFill="1" applyBorder="1" applyProtection="1">
      <ns0:protection locked="1" hidden="0"/>
    </ns0:xf>
    <ns0:xf numFmtId="0" fontId="1" fillId="0" borderId="0" xfId="0" applyNumberFormat="1" applyFont="1" applyFill="1" applyBorder="1" applyProtection="1">
      <ns0:protection locked="1" hidden="0"/>
    </ns0:xf>
    <ns0:xf numFmtId="0" fontId="1" fillId="0" borderId="1" xfId="0" applyNumberFormat="1" applyFont="1" applyFill="1" applyBorder="1" applyProtection="1">
      <ns0:protection locked="1" hidden="0"/>
    </ns0:xf>
    <ns0:xf numFmtId="0" fontId="1" fillId="0" borderId="0" xfId="0" applyNumberFormat="1" applyFont="1" applyFill="1" applyBorder="1" applyAlignment="1" applyProtection="1">
      <ns0:alignment vertical="center"/>
      <ns0:protection locked="1" hidden="0"/>
    </ns0:xf>
    <ns0:xf numFmtId="0" fontId="1" fillId="0" borderId="1" xfId="0" applyNumberFormat="1" applyFont="1" applyFill="1" applyBorder="1" applyAlignment="1" applyProtection="1">
      <ns0:alignment vertical="center"/>
      <ns0:protection locked="1" hidden="0"/>
    </ns0:xf>
    <ns0:xf numFmtId="0" fontId="1" fillId="2" borderId="0" xfId="0" applyNumberFormat="1" applyFont="1" applyFill="1" applyBorder="1" applyAlignment="1" applyProtection="1">
      <ns0:alignment vertical="center"/>
      <ns0:protection locked="1" hidden="0"/>
    </ns0:xf>
    <ns0:xf numFmtId="0" fontId="2" fillId="2" borderId="0" xfId="0" applyNumberFormat="1" applyFont="1" applyFill="1" applyBorder="1" applyAlignment="1" applyProtection="1">
      <ns0:alignment vertical="center"/>
      <ns0:protection locked="1" hidden="0"/>
    </ns0:xf>
    <ns0:xf numFmtId="0" fontId="1" fillId="2" borderId="1" xfId="0" applyNumberFormat="1" applyFont="1" applyFill="1" applyBorder="1" applyAlignment="1" applyProtection="1">
      <ns0:alignment vertical="center"/>
      <ns0:protection locked="1" hidden="0"/>
    </ns0:xf>
    <ns0:xf numFmtId="0" fontId="2" fillId="2" borderId="1" xfId="0" applyNumberFormat="1" applyFont="1" applyFill="1" applyBorder="1" applyAlignment="1" applyProtection="1">
      <ns0:alignment vertical="center"/>
      <ns0:protection locked="1" hidden="0"/>
    </ns0:xf>
    <ns0:xf numFmtId="0" fontId="1" fillId="3" borderId="0" xfId="0" applyNumberFormat="1" applyFont="1" applyFill="1" applyBorder="1" applyAlignment="1" applyProtection="1">
      <ns0:alignment vertical="center"/>
      <ns0:protection locked="1" hidden="0"/>
    </ns0:xf>
    <ns0:xf numFmtId="0" fontId="3" fillId="3" borderId="0" xfId="0" applyNumberFormat="1" applyFont="1" applyFill="1" applyBorder="1" applyAlignment="1" applyProtection="1">
      <ns0:alignment vertical="center"/>
      <ns0:protection locked="1" hidden="0"/>
    </ns0:xf>
    <ns0:xf numFmtId="0" fontId="3" fillId="3" borderId="0" xfId="0" applyNumberFormat="1" applyFont="1" applyFill="1" applyBorder="1" applyAlignment="1" applyProtection="1">
      <ns0:alignment horizontal="center" vertical="center"/>
      <ns0:protection locked="1" hidden="0"/>
    </ns0:xf>
    <ns0:xf numFmtId="0" fontId="1" fillId="3" borderId="1" xfId="0" applyNumberFormat="1" applyFont="1" applyFill="1" applyBorder="1" applyAlignment="1" applyProtection="1">
      <ns0:alignment vertical="center"/>
      <ns0:protection locked="1" hidden="0"/>
    </ns0:xf>
    <ns0:xf numFmtId="0" fontId="3" fillId="3" borderId="1" xfId="0" applyNumberFormat="1" applyFont="1" applyFill="1" applyBorder="1" applyAlignment="1" applyProtection="1">
      <ns0:alignment vertical="center"/>
      <ns0:protection locked="1" hidden="0"/>
    </ns0:xf>
    <ns0:xf numFmtId="0" fontId="3" fillId="3" borderId="1" xfId="0" applyNumberFormat="1" applyFont="1" applyFill="1" applyBorder="1" applyAlignment="1" applyProtection="1">
      <ns0:alignment horizontal="center" vertical="center"/>
      <ns0:protection locked="1" hidden="0"/>
    </ns0:xf>
    <ns0:xf numFmtId="0" fontId="4" fillId="2" borderId="0" xfId="0" applyNumberFormat="1" applyFont="1" applyFill="1" applyBorder="1" applyAlignment="1" applyProtection="1">
      <ns0:alignment vertical="center"/>
      <ns0:protection locked="1" hidden="0"/>
    </ns0:xf>
    <ns0:xf numFmtId="0" fontId="4" fillId="2" borderId="0" xfId="0" applyNumberFormat="1" applyFont="1" applyFill="1" applyBorder="1" applyAlignment="1" applyProtection="1">
      <ns0:alignment vertical="center" wrapText="1"/>
      <ns0:protection locked="1" hidden="0"/>
    </ns0:xf>
    <ns0:xf numFmtId="0" fontId="4" fillId="2" borderId="1" xfId="0" applyNumberFormat="1" applyFont="1" applyFill="1" applyBorder="1" applyAlignment="1" applyProtection="1">
      <ns0:alignment vertical="center"/>
      <ns0:protection locked="1" hidden="0"/>
    </ns0:xf>
    <ns0:xf numFmtId="0" fontId="4" fillId="2" borderId="1" xfId="0" applyNumberFormat="1" applyFont="1" applyFill="1" applyBorder="1" applyAlignment="1" applyProtection="1">
      <ns0:alignment vertical="center" wrapText="1"/>
      <ns0:protection locked="1" hidden="0"/>
    </ns0:xf>
    <ns0:xf numFmtId="200" fontId="1" fillId="0" borderId="0" xfId="0" applyNumberFormat="1" applyFont="1" applyFill="1" applyBorder="1" applyAlignment="1" applyProtection="1">
      <ns0:alignment vertical="center"/>
      <ns0:protection locked="1" hidden="0"/>
    </ns0:xf>
    <ns0:xf numFmtId="200" fontId="1" fillId="0" borderId="1" xfId="0" applyNumberFormat="1" applyFont="1" applyFill="1" applyBorder="1" applyAlignment="1" applyProtection="1">
      <ns0:alignment vertical="center"/>
      <ns0:protection locked="1" hidden="0"/>
    </ns0:xf>
    <ns0:xf numFmtId="200" fontId="1" fillId="3" borderId="0" xfId="0" applyNumberFormat="1" applyFont="1" applyFill="1" applyBorder="1" applyAlignment="1" applyProtection="1">
      <ns0:alignment vertical="center"/>
      <ns0:protection locked="1" hidden="0"/>
    </ns0:xf>
    <ns0:xf numFmtId="200" fontId="1" fillId="3" borderId="1" xfId="0" applyNumberFormat="1" applyFont="1" applyFill="1" applyBorder="1" applyAlignment="1" applyProtection="1">
      <ns0:alignment vertical="center"/>
      <ns0:protection locked="1" hidden="0"/>
    </ns0:xf>
    <ns0:xf numFmtId="200" fontId="5" fillId="3" borderId="0" xfId="0" applyNumberFormat="1" applyFont="1" applyFill="1" applyBorder="1" applyAlignment="1" applyProtection="1">
      <ns0:alignment vertical="center"/>
      <ns0:protection locked="1" hidden="0"/>
    </ns0:xf>
    <ns0:xf numFmtId="200" fontId="5" fillId="3" borderId="1" xfId="0" applyNumberFormat="1" applyFont="1" applyFill="1" applyBorder="1" applyAlignment="1" applyProtection="1">
      <ns0:alignment vertical="center"/>
      <ns0:protection locked="1" hidden="0"/>
    </ns0:xf>
    <ns0:xf numFmtId="0" fontId="5" fillId="3" borderId="0" xfId="0" applyNumberFormat="1" applyFont="1" applyFill="1" applyBorder="1" applyAlignment="1" applyProtection="1">
      <ns0:alignment vertical="center"/>
      <ns0:protection locked="1" hidden="0"/>
    </ns0:xf>
    <ns0:xf numFmtId="0" fontId="5" fillId="3" borderId="1" xfId="0" applyNumberFormat="1" applyFont="1" applyFill="1" applyBorder="1" applyAlignment="1" applyProtection="1">
      <ns0:alignment vertical="center"/>
      <ns0:protection locked="1" hidden="0"/>
    </ns0:xf>
    <ns0:xf numFmtId="0" fontId="6" fillId="0" borderId="0" xfId="0" applyNumberFormat="1" applyFont="1" applyFill="1" applyBorder="1" applyAlignment="1" applyProtection="1">
      <ns0:alignment vertical="center"/>
      <ns0:protection locked="1" hidden="0"/>
    </ns0:xf>
    <ns0:xf numFmtId="0" fontId="6" fillId="0" borderId="1" xfId="0" applyNumberFormat="1" applyFont="1" applyFill="1" applyBorder="1" applyAlignment="1" applyProtection="1">
      <ns0:alignment vertical="center"/>
      <ns0:protection locked="1" hidden="0"/>
    </ns0:xf>
    <ns0:xf numFmtId="0" fontId="1" fillId="4" borderId="0" xfId="0" applyNumberFormat="1" applyFont="1" applyFill="1" applyBorder="1" applyAlignment="1" applyProtection="1">
      <ns0:alignment vertical="center"/>
      <ns0:protection locked="1" hidden="0"/>
    </ns0:xf>
    <ns0:xf numFmtId="0" fontId="1" fillId="4" borderId="0" xfId="0" applyNumberFormat="1" applyFont="1" applyFill="1" applyBorder="1" applyAlignment="1" applyProtection="1">
      <ns0:alignment vertical="center" wrapText="1"/>
      <ns0:protection locked="1" hidden="0"/>
    </ns0:xf>
    <ns0:xf numFmtId="0" fontId="1" fillId="4" borderId="1" xfId="0" applyNumberFormat="1" applyFont="1" applyFill="1" applyBorder="1" applyAlignment="1" applyProtection="1">
      <ns0:alignment vertical="center"/>
      <ns0:protection locked="1" hidden="0"/>
    </ns0:xf>
    <ns0:xf numFmtId="0" fontId="1" fillId="4" borderId="1" xfId="0" applyNumberFormat="1" applyFont="1" applyFill="1" applyBorder="1" applyAlignment="1" applyProtection="1">
      <ns0:alignment vertical="center" wrapText="1"/>
      <ns0:protection locked="1" hidden="0"/>
    </ns0:xf>
    <ns0:xf numFmtId="0" fontId="1" fillId="5" borderId="0" xfId="0" applyNumberFormat="1" applyFont="1" applyFill="1" applyBorder="1" applyAlignment="1" applyProtection="1">
      <ns0:alignment vertical="center"/>
      <ns0:protection locked="1" hidden="0"/>
    </ns0:xf>
    <ns0:xf numFmtId="0" fontId="7" fillId="5" borderId="0" xfId="0" applyNumberFormat="1" applyFont="1" applyFill="1" applyBorder="1" applyAlignment="1" applyProtection="1">
      <ns0:alignment vertical="center"/>
      <ns0:protection locked="1" hidden="0"/>
    </ns0:xf>
    <ns0:xf numFmtId="0" fontId="7" fillId="5" borderId="0" xfId="0" applyNumberFormat="1" applyFont="1" applyFill="1" applyBorder="1" applyAlignment="1" applyProtection="1">
      <ns0:alignment vertical="center" wrapText="1"/>
      <ns0:protection locked="1" hidden="0"/>
    </ns0:xf>
    <ns0:xf numFmtId="0" fontId="1" fillId="5" borderId="1" xfId="0" applyNumberFormat="1" applyFont="1" applyFill="1" applyBorder="1" applyAlignment="1" applyProtection="1">
      <ns0:alignment vertical="center"/>
      <ns0:protection locked="1" hidden="0"/>
    </ns0:xf>
    <ns0:xf numFmtId="0" fontId="7" fillId="5" borderId="1" xfId="0" applyNumberFormat="1" applyFont="1" applyFill="1" applyBorder="1" applyAlignment="1" applyProtection="1">
      <ns0:alignment vertical="center"/>
      <ns0:protection locked="1" hidden="0"/>
    </ns0:xf>
    <ns0:xf numFmtId="0" fontId="7" fillId="5" borderId="1" xfId="0" applyNumberFormat="1" applyFont="1" applyFill="1" applyBorder="1" applyAlignment="1" applyProtection="1">
      <ns0:alignment vertical="center" wrapText="1"/>
      <ns0:protection locked="1" hidden="0"/>
    </ns0:xf>
    <ns0:xf numFmtId="0" fontId="1" fillId="3" borderId="0" xfId="0" applyNumberFormat="1" applyFont="1" applyFill="1" applyBorder="1" applyAlignment="1" applyProtection="1">
      <ns0:alignment vertical="center" wrapText="1"/>
      <ns0:protection locked="1" hidden="0"/>
    </ns0:xf>
    <ns0:xf numFmtId="0" fontId="1" fillId="3" borderId="1" xfId="0" applyNumberFormat="1" applyFont="1" applyFill="1" applyBorder="1" applyAlignment="1" applyProtection="1">
      <ns0:alignment vertical="center" wrapText="1"/>
      <ns0:protection locked="1" hidden="0"/>
    </ns0:xf>
    <ns0:xf numFmtId="0" fontId="0" fillId="4" borderId="0" xfId="0" applyNumberFormat="1" applyFont="1" applyFill="1" applyBorder="1" applyProtection="1">
      <ns0:protection locked="1" hidden="0"/>
    </ns0:xf>
    <ns0:xf numFmtId="0" fontId="8" fillId="4" borderId="0" xfId="0" applyNumberFormat="1" applyFont="1" applyFill="1" applyBorder="1" applyProtection="1">
      <ns0:protection locked="1" hidden="0"/>
    </ns0:xf>
    <ns0:xf numFmtId="0" fontId="8" fillId="4" borderId="0" xfId="0" applyNumberFormat="1" applyFont="1" applyFill="1" applyBorder="1" applyAlignment="1" applyProtection="1">
      <ns0:alignment wrapText="1"/>
      <ns0:protection locked="1" hidden="0"/>
    </ns0:xf>
    <ns0:xf numFmtId="0" fontId="8" fillId="4" borderId="0" xfId="0" applyNumberFormat="1" applyFont="1" applyFill="1" applyBorder="1" applyAlignment="1" applyProtection="1">
      <ns0:alignment vertical="center" wrapText="1"/>
      <ns0:protection locked="1" hidden="0"/>
    </ns0:xf>
    <ns0:xf numFmtId="0" fontId="0" fillId="4" borderId="1" xfId="0" applyNumberFormat="1" applyFont="1" applyFill="1" applyBorder="1" applyProtection="1">
      <ns0:protection locked="1" hidden="0"/>
    </ns0:xf>
    <ns0:xf numFmtId="0" fontId="8" fillId="4" borderId="1" xfId="0" applyNumberFormat="1" applyFont="1" applyFill="1" applyBorder="1" applyProtection="1">
      <ns0:protection locked="1" hidden="0"/>
    </ns0:xf>
    <ns0:xf numFmtId="0" fontId="8" fillId="4" borderId="1" xfId="0" applyNumberFormat="1" applyFont="1" applyFill="1" applyBorder="1" applyAlignment="1" applyProtection="1">
      <ns0:alignment wrapText="1"/>
      <ns0:protection locked="1" hidden="0"/>
    </ns0:xf>
    <ns0:xf numFmtId="0" fontId="8" fillId="4" borderId="1" xfId="0" applyNumberFormat="1" applyFont="1" applyFill="1" applyBorder="1" applyAlignment="1" applyProtection="1">
      <ns0:alignment vertical="center" wrapText="1"/>
      <ns0:protection locked="1" hidden="0"/>
    </ns0:xf>
    <ns0:xf numFmtId="0" fontId="9" fillId="4" borderId="0" xfId="0" applyNumberFormat="1" applyFont="1" applyFill="1" applyBorder="1" applyAlignment="1" applyProtection="1">
      <ns0:alignment vertical="center"/>
      <ns0:protection locked="1" hidden="0"/>
    </ns0:xf>
    <ns0:xf numFmtId="0" fontId="10" fillId="4" borderId="0" xfId="0" applyNumberFormat="1" applyFont="1" applyFill="1" applyBorder="1" applyProtection="1">
      <ns0:protection locked="1" hidden="0"/>
    </ns0:xf>
    <ns0:xf numFmtId="0" fontId="9" fillId="4" borderId="0" xfId="0" applyNumberFormat="1" applyFont="1" applyFill="1" applyBorder="1" applyAlignment="1" applyProtection="1">
      <ns0:alignment vertical="center" wrapText="1"/>
      <ns0:protection locked="1" hidden="0"/>
    </ns0:xf>
    <ns0:xf numFmtId="0" fontId="10" fillId="4" borderId="0" xfId="0" applyNumberFormat="1" applyFont="1" applyFill="1" applyBorder="1" applyAlignment="1" applyProtection="1">
      <ns0:alignment wrapText="1"/>
      <ns0:protection locked="1" hidden="0"/>
    </ns0:xf>
    <ns0:xf numFmtId="0" fontId="10" fillId="4" borderId="0" xfId="0" applyNumberFormat="1" applyFont="1" applyFill="1" applyBorder="1" applyAlignment="1" applyProtection="1">
      <ns0:alignment vertical="center" wrapText="1"/>
      <ns0:protection locked="1" hidden="0"/>
    </ns0:xf>
    <ns0:xf numFmtId="0" fontId="9" fillId="4" borderId="1" xfId="0" applyNumberFormat="1" applyFont="1" applyFill="1" applyBorder="1" applyAlignment="1" applyProtection="1">
      <ns0:alignment vertical="center"/>
      <ns0:protection locked="1" hidden="0"/>
    </ns0:xf>
    <ns0:xf numFmtId="0" fontId="10" fillId="4" borderId="1" xfId="0" applyNumberFormat="1" applyFont="1" applyFill="1" applyBorder="1" applyProtection="1">
      <ns0:protection locked="1" hidden="0"/>
    </ns0:xf>
    <ns0:xf numFmtId="0" fontId="9" fillId="4" borderId="1" xfId="0" applyNumberFormat="1" applyFont="1" applyFill="1" applyBorder="1" applyAlignment="1" applyProtection="1">
      <ns0:alignment vertical="center" wrapText="1"/>
      <ns0:protection locked="1" hidden="0"/>
    </ns0:xf>
    <ns0:xf numFmtId="0" fontId="10" fillId="4" borderId="1" xfId="0" applyNumberFormat="1" applyFont="1" applyFill="1" applyBorder="1" applyAlignment="1" applyProtection="1">
      <ns0:alignment wrapText="1"/>
      <ns0:protection locked="1" hidden="0"/>
    </ns0:xf>
    <ns0:xf numFmtId="0" fontId="10" fillId="4" borderId="1" xfId="0" applyNumberFormat="1" applyFont="1" applyFill="1" applyBorder="1" applyAlignment="1" applyProtection="1">
      <ns0:alignment vertical="center" wrapText="1"/>
      <ns0:protection locked="1" hidden="0"/>
    </ns0:xf>
    <ns0:xf numFmtId="0" fontId="0" fillId="2" borderId="0" xfId="0" applyNumberFormat="1" applyFont="1" applyFill="1" applyBorder="1" applyProtection="1">
      <ns0:protection locked="1" hidden="0"/>
    </ns0:xf>
    <ns0:xf numFmtId="0" fontId="11" fillId="2" borderId="0" xfId="0" applyNumberFormat="1" applyFont="1" applyFill="1" applyBorder="1" applyProtection="1">
      <ns0:protection locked="1" hidden="0"/>
    </ns0:xf>
    <ns0:xf numFmtId="0" fontId="11" fillId="2" borderId="0" xfId="0" applyNumberFormat="1" applyFont="1" applyFill="1" applyBorder="1" applyAlignment="1" applyProtection="1">
      <ns0:alignment wrapText="1"/>
      <ns0:protection locked="1" hidden="0"/>
    </ns0:xf>
    <ns0:xf numFmtId="0" fontId="11" fillId="2" borderId="0" xfId="0" applyNumberFormat="1" applyFont="1" applyFill="1" applyBorder="1" applyAlignment="1" applyProtection="1">
      <ns0:alignment vertical="center" wrapText="1"/>
      <ns0:protection locked="1" hidden="0"/>
    </ns0:xf>
    <ns0:xf numFmtId="0" fontId="0" fillId="2" borderId="1" xfId="0" applyNumberFormat="1" applyFont="1" applyFill="1" applyBorder="1" applyProtection="1">
      <ns0:protection locked="1" hidden="0"/>
    </ns0:xf>
    <ns0:xf numFmtId="0" fontId="11" fillId="2" borderId="1" xfId="0" applyNumberFormat="1" applyFont="1" applyFill="1" applyBorder="1" applyProtection="1">
      <ns0:protection locked="1" hidden="0"/>
    </ns0:xf>
    <ns0:xf numFmtId="0" fontId="11" fillId="2" borderId="1" xfId="0" applyNumberFormat="1" applyFont="1" applyFill="1" applyBorder="1" applyAlignment="1" applyProtection="1">
      <ns0:alignment wrapText="1"/>
      <ns0:protection locked="1" hidden="0"/>
    </ns0:xf>
    <ns0:xf numFmtId="0" fontId="11" fillId="2" borderId="1" xfId="0" applyNumberFormat="1" applyFont="1" applyFill="1" applyBorder="1" applyAlignment="1" applyProtection="1">
      <ns0:alignment vertical="center" wrapText="1"/>
      <ns0:protection locked="1" hidden="0"/>
    </ns0:xf>
    <ns0:xf numFmtId="0" fontId="0" fillId="3" borderId="0" xfId="0" applyNumberFormat="1" applyFont="1" applyFill="1" applyBorder="1" applyProtection="1">
      <ns0:protection locked="1" hidden="0"/>
    </ns0:xf>
    <ns0:xf numFmtId="0" fontId="0" fillId="3" borderId="1" xfId="0" applyNumberFormat="1" applyFont="1" applyFill="1" applyBorder="1" applyProtection="1">
      <ns0:protection locked="1" hidden="0"/>
    </ns0:xf>
    <ns0:xf numFmtId="0" fontId="12" fillId="3" borderId="0" xfId="0" applyNumberFormat="1" applyFont="1" applyFill="1" applyBorder="1" applyProtection="1">
      <ns0:protection locked="1" hidden="0"/>
    </ns0:xf>
    <ns0:xf numFmtId="0" fontId="12" fillId="3" borderId="1" xfId="0" applyNumberFormat="1" applyFont="1" applyFill="1" applyBorder="1" applyProtection="1">
      <ns0:protection locked="1" hidden="0"/>
    </ns0:xf>
    <ns0:xf numFmtId="0" fontId="1" fillId="6" borderId="0" xfId="0" applyNumberFormat="1" applyFont="1" applyFill="1" applyBorder="1" applyAlignment="1" applyProtection="1">
      <ns0:alignment vertical="center"/>
      <ns0:protection locked="1" hidden="0"/>
    </ns0:xf>
    <ns0:xf numFmtId="0" fontId="1" fillId="6" borderId="1" xfId="0" applyNumberFormat="1" applyFont="1" applyFill="1" applyBorder="1" applyAlignment="1" applyProtection="1">
      <ns0:alignment vertical="center"/>
      <ns0:protection locked="1" hidden="0"/>
    </ns0:xf>
    <ns0:xf numFmtId="201" fontId="5" fillId="3" borderId="0" xfId="0" applyNumberFormat="1" applyFont="1" applyFill="1" applyBorder="1" applyAlignment="1" applyProtection="1">
      <ns0:alignment vertical="center"/>
      <ns0:protection locked="1" hidden="0"/>
    </ns0:xf>
    <ns0:xf numFmtId="201" fontId="1" fillId="6" borderId="0" xfId="0" applyNumberFormat="1" applyFont="1" applyFill="1" applyBorder="1" applyAlignment="1" applyProtection="1">
      <ns0:alignment vertical="center"/>
      <ns0:protection locked="1" hidden="0"/>
    </ns0:xf>
    <ns0:xf numFmtId="201" fontId="5" fillId="3" borderId="1" xfId="0" applyNumberFormat="1" applyFont="1" applyFill="1" applyBorder="1" applyAlignment="1" applyProtection="1">
      <ns0:alignment vertical="center"/>
      <ns0:protection locked="1" hidden="0"/>
    </ns0:xf>
    <ns0:xf numFmtId="201" fontId="1" fillId="6" borderId="1" xfId="0" applyNumberFormat="1" applyFont="1" applyFill="1" applyBorder="1" applyAlignment="1" applyProtection="1">
      <ns0:alignment vertical="center"/>
      <ns0:protection locked="1" hidden="0"/>
    </ns0:xf>
    <ns0:xf numFmtId="0" fontId="5" fillId="3" borderId="0" xfId="0" applyNumberFormat="1" applyFont="1" applyFill="1" applyBorder="1" applyAlignment="1" applyProtection="1">
      <ns0:alignment horizontal="center" vertical="center"/>
      <ns0:protection locked="1" hidden="0"/>
    </ns0:xf>
    <ns0:xf numFmtId="0" fontId="12" fillId="3" borderId="0" xfId="0" applyNumberFormat="1" applyFont="1" applyFill="1" applyBorder="1" applyAlignment="1" applyProtection="1">
      <ns0:alignment horizontal="center"/>
      <ns0:protection locked="1" hidden="0"/>
    </ns0:xf>
    <ns0:xf numFmtId="0" fontId="5" fillId="3" borderId="1" xfId="0" applyNumberFormat="1" applyFont="1" applyFill="1" applyBorder="1" applyAlignment="1" applyProtection="1">
      <ns0:alignment horizontal="center" vertical="center"/>
      <ns0:protection locked="1" hidden="0"/>
    </ns0:xf>
    <ns0:xf numFmtId="0" fontId="12" fillId="3" borderId="1" xfId="0" applyNumberFormat="1" applyFont="1" applyFill="1" applyBorder="1" applyAlignment="1" applyProtection="1">
      <ns0:alignment horizontal="center"/>
      <ns0:protection locked="1" hidden="0"/>
    </ns0:xf>
    <ns0:xf numFmtId="200" fontId="12" fillId="3" borderId="0" xfId="0" applyNumberFormat="1" applyFont="1" applyFill="1" applyBorder="1" applyProtection="1">
      <ns0:protection locked="1" hidden="0"/>
    </ns0:xf>
    <ns0:xf numFmtId="200" fontId="12" fillId="3" borderId="1" xfId="0" applyNumberFormat="1" applyFont="1" applyFill="1" applyBorder="1" applyProtection="1">
      <ns0:protection locked="1" hidden="0"/>
    </ns0:xf>
    <ns0:xf numFmtId="201" fontId="1" fillId="4" borderId="0" xfId="0" applyNumberFormat="1" applyFont="1" applyFill="1" applyBorder="1" applyAlignment="1" applyProtection="1">
      <ns0:alignment vertical="center"/>
      <ns0:protection locked="1" hidden="0"/>
    </ns0:xf>
    <ns0:xf numFmtId="201" fontId="0" fillId="4" borderId="0" xfId="0" applyNumberFormat="1" applyFont="1" applyFill="1" applyBorder="1" applyProtection="1">
      <ns0:protection locked="1" hidden="0"/>
    </ns0:xf>
    <ns0:xf numFmtId="0" fontId="0" fillId="0" borderId="0" xfId="0" applyProtection="1">
      <ns0:protection locked="1" hidden="0"/>
      <ns0:extLst>
        <ns0:ext uri="{C7286773-470A-42A8-94C5-96B5CB345126}">
          <ns1:xfComplement i="0"/>
        </ns0:ext>
      </ns0:extLst>
    </ns0:xf>
    <ns0:xf numFmtId="201" fontId="1" fillId="4" borderId="1" xfId="0" applyNumberFormat="1" applyFont="1" applyFill="1" applyBorder="1" applyAlignment="1" applyProtection="1">
      <ns0:alignment vertical="center"/>
      <ns0:protection locked="1" hidden="0"/>
    </ns0:xf>
    <ns0:xf numFmtId="201" fontId="0" fillId="4" borderId="1" xfId="0" applyNumberFormat="1" applyFont="1" applyFill="1" applyBorder="1" applyProtection="1">
      <ns0:protection locked="1" hidden="0"/>
    </ns0:xf>
    <ns0:xf numFmtId="0" fontId="0" fillId="0" borderId="1" xfId="0" applyNumberFormat="1" applyFont="1" applyFill="1" applyBorder="1" applyProtection="1">
      <ns0:protection locked="1" hidden="0"/>
      <ns0:extLst>
        <ns0:ext uri="{C7286773-470A-42A8-94C5-96B5CB345126}">
          <ns1:xfComplement i="0"/>
        </ns0:ext>
      </ns0:extLst>
    </ns0:xf>
    <ns0:xf numFmtId="0" fontId="13" fillId="0" borderId="0" xfId="0" applyNumberFormat="1" applyFont="1" applyFill="1" applyBorder="1" applyAlignment="1" applyProtection="1">
      <ns0:alignment vertical="center"/>
      <ns0:protection locked="1" hidden="0"/>
    </ns0:xf>
    <ns0:xf numFmtId="0" fontId="13" fillId="0" borderId="1" xfId="0" applyNumberFormat="1" applyFont="1" applyFill="1" applyBorder="1" applyAlignment="1" applyProtection="1">
      <ns0:alignment vertical="center"/>
      <ns0:protection locked="1" hidden="0"/>
    </ns0:xf>
    <ns0:xf numFmtId="0" fontId="14" fillId="3" borderId="0" xfId="0" applyNumberFormat="1" applyFont="1" applyFill="1" applyBorder="1" applyAlignment="1" applyProtection="1">
      <ns0:alignment vertical="center"/>
      <ns0:protection locked="1" hidden="0"/>
    </ns0:xf>
    <ns0:xf numFmtId="0" fontId="14" fillId="3" borderId="0" xfId="0" applyNumberFormat="1" applyFont="1" applyFill="1" applyBorder="1" applyAlignment="1" applyProtection="1">
      <ns0:alignment vertical="center" wrapText="1"/>
      <ns0:protection locked="1" hidden="0"/>
    </ns0:xf>
    <ns0:xf numFmtId="0" fontId="14" fillId="3" borderId="1" xfId="0" applyNumberFormat="1" applyFont="1" applyFill="1" applyBorder="1" applyAlignment="1" applyProtection="1">
      <ns0:alignment vertical="center"/>
      <ns0:protection locked="1" hidden="0"/>
    </ns0:xf>
    <ns0:xf numFmtId="0" fontId="14" fillId="3" borderId="1" xfId="0" applyNumberFormat="1" applyFont="1" applyFill="1" applyBorder="1" applyAlignment="1" applyProtection="1">
      <ns0:alignment vertical="center" wrapText="1"/>
      <ns0:protection locked="1" hidden="0"/>
    </ns0:xf>
    <ns0:xf numFmtId="0" fontId="15" fillId="6" borderId="0" xfId="0" applyNumberFormat="1" applyFont="1" applyFill="1" applyBorder="1" applyAlignment="1" applyProtection="1">
      <ns0:alignment vertical="center"/>
      <ns0:protection locked="1" hidden="0"/>
    </ns0:xf>
    <ns0:xf numFmtId="0" fontId="15" fillId="6" borderId="0" xfId="0" applyNumberFormat="1" applyFont="1" applyFill="1" applyBorder="1" applyAlignment="1" applyProtection="1">
      <ns0:alignment vertical="center" wrapText="1"/>
      <ns0:protection locked="1" hidden="0"/>
    </ns0:xf>
    <ns0:xf numFmtId="0" fontId="15" fillId="6" borderId="1" xfId="0" applyNumberFormat="1" applyFont="1" applyFill="1" applyBorder="1" applyAlignment="1" applyProtection="1">
      <ns0:alignment vertical="center"/>
      <ns0:protection locked="1" hidden="0"/>
    </ns0:xf>
    <ns0:xf numFmtId="0" fontId="15" fillId="6" borderId="1" xfId="0" applyNumberFormat="1" applyFont="1" applyFill="1" applyBorder="1" applyAlignment="1" applyProtection="1">
      <ns0:alignment vertical="center" wrapText="1"/>
      <ns0:protection locked="1" hidden="0"/>
    </ns0:xf>
    <ns0:xf numFmtId="201" fontId="1" fillId="0" borderId="0" xfId="0" applyNumberFormat="1" applyFont="1" applyFill="1" applyBorder="1" applyAlignment="1" applyProtection="1">
      <ns0:alignment vertical="center"/>
      <ns0:protection locked="1" hidden="0"/>
    </ns0:xf>
    <ns0:xf numFmtId="201" fontId="1" fillId="0" borderId="1" xfId="0" applyNumberFormat="1" applyFont="1" applyFill="1" applyBorder="1" applyAlignment="1" applyProtection="1">
      <ns0:alignment vertical="center"/>
      <ns0:protection locked="1" hidden="0"/>
    </ns0:xf>
    <ns0:xf numFmtId="201" fontId="16" fillId="6" borderId="0" xfId="0" applyNumberFormat="1" applyFont="1" applyFill="1" applyBorder="1" applyAlignment="1" applyProtection="1">
      <ns0:alignment vertical="center"/>
      <ns0:protection locked="1" hidden="0"/>
    </ns0:xf>
    <ns0:xf numFmtId="201" fontId="16" fillId="6" borderId="1" xfId="0" applyNumberFormat="1" applyFont="1" applyFill="1" applyBorder="1" applyAlignment="1" applyProtection="1">
      <ns0:alignment vertical="center"/>
      <ns0:protection locked="1" hidden="0"/>
    </ns0:xf>
    <ns0:xf numFmtId="0" fontId="17" fillId="3" borderId="0" xfId="0" applyNumberFormat="1" applyFont="1" applyFill="1" applyBorder="1" applyProtection="1">
      <ns0:protection locked="1" hidden="0"/>
    </ns0:xf>
    <ns0:xf numFmtId="0" fontId="17" fillId="3" borderId="0" xfId="0" applyNumberFormat="1" applyFont="1" applyFill="1" applyBorder="1" applyAlignment="1" applyProtection="1">
      <ns0:alignment horizontal="center"/>
      <ns0:protection locked="1" hidden="0"/>
    </ns0:xf>
    <ns0:xf numFmtId="0" fontId="17" fillId="3" borderId="1" xfId="0" applyNumberFormat="1" applyFont="1" applyFill="1" applyBorder="1" applyProtection="1">
      <ns0:protection locked="1" hidden="0"/>
    </ns0:xf>
    <ns0:xf numFmtId="0" fontId="17" fillId="3" borderId="1" xfId="0" applyNumberFormat="1" applyFont="1" applyFill="1" applyBorder="1" applyAlignment="1" applyProtection="1">
      <ns0:alignment horizontal="center"/>
      <ns0:protection locked="1" hidden="0"/>
    </ns0:xf>
    <ns0:xf numFmtId="0" fontId="18" fillId="0" borderId="0" xfId="0" applyNumberFormat="1" applyFont="1" applyFill="1" applyBorder="1" applyAlignment="1" applyProtection="1">
      <ns0:alignment vertical="center"/>
      <ns0:protection locked="1" hidden="0"/>
    </ns0:xf>
    <ns0:xf numFmtId="0" fontId="18" fillId="0" borderId="1" xfId="0" applyNumberFormat="1" applyFont="1" applyFill="1" applyBorder="1" applyAlignment="1" applyProtection="1">
      <ns0:alignment vertical="center"/>
      <ns0:protection locked="1" hidden="0"/>
    </ns0:xf>
    <ns0:xf numFmtId="0" fontId="8" fillId="3" borderId="0" xfId="0" applyNumberFormat="1" applyFont="1" applyFill="1" applyBorder="1" applyProtection="1">
      <ns0:protection locked="1" hidden="0"/>
    </ns0:xf>
    <ns0:xf numFmtId="0" fontId="8" fillId="3" borderId="0" xfId="0" applyNumberFormat="1" applyFont="1" applyFill="1" applyBorder="1" applyAlignment="1" applyProtection="1">
      <ns0:alignment wrapText="1"/>
      <ns0:protection locked="1" hidden="0"/>
    </ns0:xf>
    <ns0:xf numFmtId="0" fontId="8" fillId="3" borderId="0" xfId="0" applyNumberFormat="1" applyFont="1" applyFill="1" applyBorder="1" applyAlignment="1" applyProtection="1">
      <ns0:alignment vertical="center" wrapText="1"/>
      <ns0:protection locked="1" hidden="0"/>
    </ns0:xf>
    <ns0:xf numFmtId="0" fontId="8" fillId="3" borderId="1" xfId="0" applyNumberFormat="1" applyFont="1" applyFill="1" applyBorder="1" applyProtection="1">
      <ns0:protection locked="1" hidden="0"/>
    </ns0:xf>
    <ns0:xf numFmtId="0" fontId="8" fillId="3" borderId="1" xfId="0" applyNumberFormat="1" applyFont="1" applyFill="1" applyBorder="1" applyAlignment="1" applyProtection="1">
      <ns0:alignment wrapText="1"/>
      <ns0:protection locked="1" hidden="0"/>
    </ns0:xf>
    <ns0:xf numFmtId="0" fontId="8" fillId="3" borderId="1" xfId="0" applyNumberFormat="1" applyFont="1" applyFill="1" applyBorder="1" applyAlignment="1" applyProtection="1">
      <ns0:alignment vertical="center" wrapText="1"/>
      <ns0:protection locked="1" hidden="0"/>
    </ns0:xf>
    <ns0:xf numFmtId="0" fontId="19" fillId="2" borderId="0" xfId="0" applyNumberFormat="1" applyFont="1" applyFill="1" applyBorder="1" applyAlignment="1" applyProtection="1">
      <ns0:alignment vertical="center"/>
      <ns0:protection locked="1" hidden="0"/>
    </ns0:xf>
    <ns0:xf numFmtId="0" fontId="20" fillId="2" borderId="0" xfId="0" applyNumberFormat="1" applyFont="1" applyFill="1" applyBorder="1" applyProtection="1">
      <ns0:protection locked="1" hidden="0"/>
    </ns0:xf>
    <ns0:xf numFmtId="0" fontId="20" fillId="2" borderId="0" xfId="0" applyNumberFormat="1" applyFont="1" applyFill="1" applyBorder="1" applyAlignment="1" applyProtection="1">
      <ns0:alignment vertical="center"/>
      <ns0:protection locked="1" hidden="0"/>
    </ns0:xf>
    <ns0:xf numFmtId="0" fontId="19" fillId="2" borderId="1" xfId="0" applyNumberFormat="1" applyFont="1" applyFill="1" applyBorder="1" applyAlignment="1" applyProtection="1">
      <ns0:alignment vertical="center"/>
      <ns0:protection locked="1" hidden="0"/>
    </ns0:xf>
    <ns0:xf numFmtId="0" fontId="20" fillId="2" borderId="1" xfId="0" applyNumberFormat="1" applyFont="1" applyFill="1" applyBorder="1" applyProtection="1">
      <ns0:protection locked="1" hidden="0"/>
    </ns0:xf>
    <ns0:xf numFmtId="0" fontId="20" fillId="2" borderId="1" xfId="0" applyNumberFormat="1" applyFont="1" applyFill="1" applyBorder="1" applyAlignment="1" applyProtection="1">
      <ns0:alignment vertical="center"/>
      <ns0:protection locked="1" hidden="0"/>
    </ns0:xf>
    <ns0:xf numFmtId="0" fontId="0" fillId="5" borderId="0" xfId="0" applyNumberFormat="1" applyFont="1" applyFill="1" applyBorder="1" applyProtection="1">
      <ns0:protection locked="1" hidden="0"/>
    </ns0:xf>
    <ns0:xf numFmtId="0" fontId="21" fillId="5" borderId="0" xfId="0" applyNumberFormat="1" applyFont="1" applyFill="1" applyBorder="1" applyProtection="1">
      <ns0:protection locked="1" hidden="0"/>
    </ns0:xf>
    <ns0:xf numFmtId="0" fontId="0" fillId="5" borderId="1" xfId="0" applyNumberFormat="1" applyFont="1" applyFill="1" applyBorder="1" applyProtection="1">
      <ns0:protection locked="1" hidden="0"/>
    </ns0:xf>
    <ns0:xf numFmtId="0" fontId="21" fillId="5" borderId="1" xfId="0" applyNumberFormat="1" applyFont="1" applyFill="1" applyBorder="1" applyProtection="1">
      <ns0:protection locked="1" hidden="0"/>
    </ns0:xf>
    <ns0:xf numFmtId="0" fontId="22" fillId="0" borderId="0" xfId="0" applyNumberFormat="1" applyFont="1" applyFill="1" applyBorder="1" applyAlignment="1" applyProtection="1">
      <ns0:alignment vertical="center"/>
      <ns0:protection locked="1" hidden="0"/>
    </ns0:xf>
    <ns0:xf numFmtId="0" fontId="23" fillId="0" borderId="0" xfId="0" applyNumberFormat="1" applyFont="1" applyFill="1" applyBorder="1" applyProtection="1">
      <ns0:protection locked="1" hidden="0"/>
    </ns0:xf>
    <ns0:xf numFmtId="0" fontId="22" fillId="0" borderId="1" xfId="0" applyNumberFormat="1" applyFont="1" applyFill="1" applyBorder="1" applyAlignment="1" applyProtection="1">
      <ns0:alignment vertical="center"/>
      <ns0:protection locked="1" hidden="0"/>
    </ns0:xf>
    <ns0:xf numFmtId="0" fontId="23" fillId="0" borderId="1" xfId="0" applyNumberFormat="1" applyFont="1" applyFill="1" applyBorder="1" applyProtection="1">
      <ns0:protection locked="1" hidden="0"/>
    </ns0:xf>
    <ns0:xf numFmtId="202" fontId="1" fillId="0" borderId="0" xfId="0" applyNumberFormat="1" applyFont="1" applyFill="1" applyBorder="1" applyAlignment="1" applyProtection="1">
      <ns0:alignment vertical="center"/>
      <ns0:protection locked="1" hidden="0"/>
    </ns0:xf>
    <ns0:xf numFmtId="202" fontId="0" fillId="0" borderId="0" xfId="0" applyNumberFormat="1" applyFont="1" applyFill="1" applyBorder="1" applyProtection="1">
      <ns0:protection locked="1" hidden="0"/>
    </ns0:xf>
    <ns0:xf numFmtId="202" fontId="1" fillId="0" borderId="1" xfId="0" applyNumberFormat="1" applyFont="1" applyFill="1" applyBorder="1" applyAlignment="1" applyProtection="1">
      <ns0:alignment vertical="center"/>
      <ns0:protection locked="1" hidden="0"/>
    </ns0:xf>
    <ns0:xf numFmtId="202" fontId="0" fillId="0" borderId="1" xfId="0" applyNumberFormat="1" applyFont="1" applyFill="1" applyBorder="1" applyProtection="1">
      <ns0:protection locked="1" hidden="0"/>
    </ns0:xf>
    <ns0:xf numFmtId="202" fontId="1" fillId="2" borderId="0" xfId="0" applyNumberFormat="1" applyFont="1" applyFill="1" applyBorder="1" applyAlignment="1" applyProtection="1">
      <ns0:alignment vertical="center"/>
      <ns0:protection locked="1" hidden="0"/>
    </ns0:xf>
    <ns0:xf numFmtId="202" fontId="0" fillId="2" borderId="0" xfId="0" applyNumberFormat="1" applyFont="1" applyFill="1" applyBorder="1" applyProtection="1">
      <ns0:protection locked="1" hidden="0"/>
    </ns0:xf>
    <ns0:xf numFmtId="202" fontId="4" fillId="2" borderId="0" xfId="0" applyNumberFormat="1" applyFont="1" applyFill="1" applyBorder="1" applyAlignment="1" applyProtection="1">
      <ns0:alignment vertical="center"/>
      <ns0:protection locked="1" hidden="0"/>
    </ns0:xf>
    <ns0:xf numFmtId="202" fontId="11" fillId="2" borderId="0" xfId="0" applyNumberFormat="1" applyFont="1" applyFill="1" applyBorder="1" applyProtection="1">
      <ns0:protection locked="1" hidden="0"/>
    </ns0:xf>
    <ns0:xf numFmtId="202" fontId="4" fillId="2" borderId="0" xfId="0" applyNumberFormat="1" applyFont="1" applyFill="1" applyBorder="1" applyAlignment="1" applyProtection="1">
      <ns0:alignment vertical="center" wrapText="1"/>
      <ns0:protection locked="1" hidden="0"/>
    </ns0:xf>
    <ns0:xf numFmtId="202" fontId="11" fillId="2" borderId="0" xfId="0" applyNumberFormat="1" applyFont="1" applyFill="1" applyBorder="1" applyAlignment="1" applyProtection="1">
      <ns0:alignment wrapText="1"/>
      <ns0:protection locked="1" hidden="0"/>
    </ns0:xf>
    <ns0:xf numFmtId="202" fontId="11" fillId="2" borderId="0" xfId="0" applyNumberFormat="1" applyFont="1" applyFill="1" applyBorder="1" applyAlignment="1" applyProtection="1">
      <ns0:alignment vertical="center" wrapText="1"/>
      <ns0:protection locked="1" hidden="0"/>
    </ns0:xf>
    <ns0:xf numFmtId="202" fontId="1" fillId="2" borderId="1" xfId="0" applyNumberFormat="1" applyFont="1" applyFill="1" applyBorder="1" applyAlignment="1" applyProtection="1">
      <ns0:alignment vertical="center"/>
      <ns0:protection locked="1" hidden="0"/>
    </ns0:xf>
    <ns0:xf numFmtId="202" fontId="0" fillId="2" borderId="1" xfId="0" applyNumberFormat="1" applyFont="1" applyFill="1" applyBorder="1" applyProtection="1">
      <ns0:protection locked="1" hidden="0"/>
    </ns0:xf>
    <ns0:xf numFmtId="202" fontId="4" fillId="2" borderId="1" xfId="0" applyNumberFormat="1" applyFont="1" applyFill="1" applyBorder="1" applyAlignment="1" applyProtection="1">
      <ns0:alignment vertical="center"/>
      <ns0:protection locked="1" hidden="0"/>
    </ns0:xf>
    <ns0:xf numFmtId="202" fontId="11" fillId="2" borderId="1" xfId="0" applyNumberFormat="1" applyFont="1" applyFill="1" applyBorder="1" applyProtection="1">
      <ns0:protection locked="1" hidden="0"/>
    </ns0:xf>
    <ns0:xf numFmtId="202" fontId="4" fillId="2" borderId="1" xfId="0" applyNumberFormat="1" applyFont="1" applyFill="1" applyBorder="1" applyAlignment="1" applyProtection="1">
      <ns0:alignment vertical="center" wrapText="1"/>
      <ns0:protection locked="1" hidden="0"/>
    </ns0:xf>
    <ns0:xf numFmtId="202" fontId="11" fillId="2" borderId="1" xfId="0" applyNumberFormat="1" applyFont="1" applyFill="1" applyBorder="1" applyAlignment="1" applyProtection="1">
      <ns0:alignment wrapText="1"/>
      <ns0:protection locked="1" hidden="0"/>
    </ns0:xf>
    <ns0:xf numFmtId="202" fontId="11" fillId="2" borderId="1" xfId="0" applyNumberFormat="1" applyFont="1" applyFill="1" applyBorder="1" applyAlignment="1" applyProtection="1">
      <ns0:alignment vertical="center" wrapText="1"/>
      <ns0:protection locked="1" hidden="0"/>
    </ns0:xf>
    <ns0:xf numFmtId="202" fontId="4" fillId="2" borderId="0" xfId="0" applyNumberFormat="1" applyFont="1" applyFill="1" applyBorder="1" applyAlignment="1" applyProtection="1">
      <ns0:alignment horizontal="center" vertical="center" wrapText="1"/>
      <ns0:protection locked="1" hidden="0"/>
    </ns0:xf>
    <ns0:xf numFmtId="202" fontId="11" fillId="2" borderId="0" xfId="0" applyNumberFormat="1" applyFont="1" applyFill="1" applyBorder="1" applyAlignment="1" applyProtection="1">
      <ns0:alignment horizontal="center" vertical="center" wrapText="1"/>
      <ns0:protection locked="1" hidden="0"/>
    </ns0:xf>
    <ns0:xf numFmtId="202" fontId="4" fillId="2" borderId="1" xfId="0" applyNumberFormat="1" applyFont="1" applyFill="1" applyBorder="1" applyAlignment="1" applyProtection="1">
      <ns0:alignment horizontal="center" vertical="center" wrapText="1"/>
      <ns0:protection locked="1" hidden="0"/>
    </ns0:xf>
    <ns0:xf numFmtId="202" fontId="11" fillId="2" borderId="1" xfId="0" applyNumberFormat="1" applyFont="1" applyFill="1" applyBorder="1" applyAlignment="1" applyProtection="1">
      <ns0:alignment horizontal="center" vertical="center" wrapText="1"/>
      <ns0:protection locked="1" hidden="0"/>
    </ns0:xf>
    <ns0:xf numFmtId="0" fontId="16" fillId="6" borderId="0" xfId="0" applyNumberFormat="1" applyFont="1" applyFill="1" applyBorder="1" applyAlignment="1" applyProtection="1">
      <ns0:alignment vertical="center"/>
      <ns0:protection locked="1" hidden="0"/>
    </ns0:xf>
    <ns0:xf numFmtId="0" fontId="16" fillId="6" borderId="0" xfId="0" applyNumberFormat="1" applyFont="1" applyFill="1" applyBorder="1" applyAlignment="1" applyProtection="1">
      <ns0:alignment horizontal="center" vertical="center"/>
      <ns0:protection locked="1" hidden="0"/>
    </ns0:xf>
    <ns0:xf numFmtId="0" fontId="16" fillId="6" borderId="1" xfId="0" applyNumberFormat="1" applyFont="1" applyFill="1" applyBorder="1" applyAlignment="1" applyProtection="1">
      <ns0:alignment vertical="center"/>
      <ns0:protection locked="1" hidden="0"/>
    </ns0:xf>
    <ns0:xf numFmtId="0" fontId="16" fillId="6" borderId="1" xfId="0" applyNumberFormat="1" applyFont="1" applyFill="1" applyBorder="1" applyAlignment="1" applyProtection="1">
      <ns0:alignment horizontal="center" vertical="center"/>
      <ns0:protection locked="1" hidden="0"/>
    </ns0:xf>
    <ns0:xf numFmtId="201" fontId="16" fillId="6" borderId="0" xfId="0" applyNumberFormat="1" applyFont="1" applyFill="1" applyBorder="1" applyAlignment="1" applyProtection="1">
      <ns0:alignment horizontal="center" vertical="center"/>
      <ns0:protection locked="1" hidden="0"/>
    </ns0:xf>
    <ns0:xf numFmtId="201" fontId="16" fillId="6" borderId="1" xfId="0" applyNumberFormat="1" applyFont="1" applyFill="1" applyBorder="1" applyAlignment="1" applyProtection="1">
      <ns0:alignment horizontal="center" vertical="center"/>
      <ns0:protection locked="1" hidden="0"/>
    </ns0:xf>
    <ns0:xf numFmtId="0" fontId="24" fillId="0" borderId="0" xfId="0" applyNumberFormat="1" applyFont="1" applyFill="1" applyBorder="1" applyAlignment="1" applyProtection="1">
      <ns0:alignment vertical="center"/>
      <ns0:protection locked="1" hidden="0"/>
    </ns0:xf>
    <ns0:xf numFmtId="0" fontId="25" fillId="0" borderId="0" xfId="0" applyNumberFormat="1" applyFont="1" applyFill="1" applyBorder="1" applyProtection="1">
      <ns0:protection locked="1" hidden="0"/>
    </ns0:xf>
    <ns0:xf numFmtId="0" fontId="24" fillId="0" borderId="0" xfId="0" applyNumberFormat="1" applyFont="1" applyFill="1" applyBorder="1" applyAlignment="1" applyProtection="1">
      <ns0:alignment vertical="center" wrapText="1"/>
      <ns0:protection locked="1" hidden="0"/>
    </ns0:xf>
    <ns0:xf numFmtId="0" fontId="25" fillId="0" borderId="0" xfId="0" applyNumberFormat="1" applyFont="1" applyFill="1" applyBorder="1" applyAlignment="1" applyProtection="1">
      <ns0:alignment wrapText="1"/>
      <ns0:protection locked="1" hidden="0"/>
    </ns0:xf>
    <ns0:xf numFmtId="0" fontId="24" fillId="0" borderId="0" xfId="0" applyNumberFormat="1" applyFont="1" applyFill="1" applyBorder="1" applyAlignment="1" applyProtection="1">
      <ns0:alignment horizontal="center" vertical="center" wrapText="1"/>
      <ns0:protection locked="1" hidden="0"/>
    </ns0:xf>
    <ns0:xf numFmtId="0" fontId="25" fillId="0" borderId="0" xfId="0" applyNumberFormat="1" applyFont="1" applyFill="1" applyBorder="1" applyAlignment="1" applyProtection="1">
      <ns0:alignment horizontal="center" wrapText="1"/>
      <ns0:protection locked="1" hidden="0"/>
    </ns0:xf>
    <ns0:xf numFmtId="0" fontId="25" fillId="0" borderId="0" xfId="0" applyNumberFormat="1" applyFont="1" applyFill="1" applyBorder="1" applyAlignment="1" applyProtection="1">
      <ns0:alignment horizontal="center" vertical="center" wrapText="1"/>
      <ns0:protection locked="1" hidden="0"/>
    </ns0:xf>
    <ns0:xf numFmtId="0" fontId="24" fillId="0" borderId="1" xfId="0" applyNumberFormat="1" applyFont="1" applyFill="1" applyBorder="1" applyAlignment="1" applyProtection="1">
      <ns0:alignment vertical="center"/>
      <ns0:protection locked="1" hidden="0"/>
    </ns0:xf>
    <ns0:xf numFmtId="0" fontId="25" fillId="0" borderId="1" xfId="0" applyNumberFormat="1" applyFont="1" applyFill="1" applyBorder="1" applyProtection="1">
      <ns0:protection locked="1" hidden="0"/>
    </ns0:xf>
    <ns0:xf numFmtId="0" fontId="24" fillId="0" borderId="1" xfId="0" applyNumberFormat="1" applyFont="1" applyFill="1" applyBorder="1" applyAlignment="1" applyProtection="1">
      <ns0:alignment vertical="center" wrapText="1"/>
      <ns0:protection locked="1" hidden="0"/>
    </ns0:xf>
    <ns0:xf numFmtId="0" fontId="25" fillId="0" borderId="1" xfId="0" applyNumberFormat="1" applyFont="1" applyFill="1" applyBorder="1" applyAlignment="1" applyProtection="1">
      <ns0:alignment wrapText="1"/>
      <ns0:protection locked="1" hidden="0"/>
    </ns0:xf>
    <ns0:xf numFmtId="0" fontId="24" fillId="0" borderId="1" xfId="0" applyNumberFormat="1" applyFont="1" applyFill="1" applyBorder="1" applyAlignment="1" applyProtection="1">
      <ns0:alignment horizontal="center" vertical="center" wrapText="1"/>
      <ns0:protection locked="1" hidden="0"/>
    </ns0:xf>
    <ns0:xf numFmtId="0" fontId="25" fillId="0" borderId="1" xfId="0" applyNumberFormat="1" applyFont="1" applyFill="1" applyBorder="1" applyAlignment="1" applyProtection="1">
      <ns0:alignment horizontal="center" wrapText="1"/>
      <ns0:protection locked="1" hidden="0"/>
    </ns0:xf>
    <ns0:xf numFmtId="0" fontId="25" fillId="0" borderId="1" xfId="0" applyNumberFormat="1" applyFont="1" applyFill="1" applyBorder="1" applyAlignment="1" applyProtection="1">
      <ns0:alignment horizontal="center" vertical="center" wrapText="1"/>
      <ns0:protection locked="1" hidden="0"/>
    </ns0:xf>
    <ns0:xf numFmtId="203" fontId="4" fillId="2" borderId="0" xfId="0" applyNumberFormat="1" applyFont="1" applyFill="1" applyBorder="1" applyAlignment="1" applyProtection="1">
      <ns0:alignment horizontal="center" vertical="center" wrapText="1"/>
      <ns0:protection locked="1" hidden="0"/>
    </ns0:xf>
    <ns0:xf numFmtId="203" fontId="11" fillId="2" borderId="0" xfId="0" applyNumberFormat="1" applyFont="1" applyFill="1" applyBorder="1" applyAlignment="1" applyProtection="1">
      <ns0:alignment horizontal="center" vertical="center" wrapText="1"/>
      <ns0:protection locked="1" hidden="0"/>
    </ns0:xf>
    <ns0:xf numFmtId="203" fontId="4" fillId="2" borderId="1" xfId="0" applyNumberFormat="1" applyFont="1" applyFill="1" applyBorder="1" applyAlignment="1" applyProtection="1">
      <ns0:alignment horizontal="center" vertical="center" wrapText="1"/>
      <ns0:protection locked="1" hidden="0"/>
    </ns0:xf>
    <ns0:xf numFmtId="203" fontId="11" fillId="2" borderId="1" xfId="0" applyNumberFormat="1" applyFont="1" applyFill="1" applyBorder="1" applyAlignment="1" applyProtection="1">
      <ns0:alignment horizontal="center" vertical="center" wrapText="1"/>
      <ns0:protection locked="1" hidden="0"/>
    </ns0:xf>
    <ns0:xf numFmtId="0" fontId="21" fillId="5" borderId="0" xfId="0" applyNumberFormat="1" applyFont="1" applyFill="1" applyBorder="1" applyAlignment="1" applyProtection="1">
      <ns0:alignment wrapText="1"/>
      <ns0:protection locked="1" hidden="0"/>
    </ns0:xf>
    <ns0:xf numFmtId="0" fontId="21" fillId="5" borderId="0" xfId="0" applyNumberFormat="1" applyFont="1" applyFill="1" applyBorder="1" applyAlignment="1" applyProtection="1">
      <ns0:alignment vertical="center" wrapText="1"/>
      <ns0:protection locked="1" hidden="0"/>
    </ns0:xf>
    <ns0:xf numFmtId="0" fontId="21" fillId="5" borderId="1" xfId="0" applyNumberFormat="1" applyFont="1" applyFill="1" applyBorder="1" applyAlignment="1" applyProtection="1">
      <ns0:alignment wrapText="1"/>
      <ns0:protection locked="1" hidden="0"/>
    </ns0:xf>
    <ns0:xf numFmtId="0" fontId="21" fillId="5" borderId="1" xfId="0" applyNumberFormat="1" applyFont="1" applyFill="1" applyBorder="1" applyAlignment="1" applyProtection="1">
      <ns0:alignment vertical="center" wrapText="1"/>
      <ns0:protection locked="1" hidden="0"/>
    </ns0:xf>
    <ns0:xf numFmtId="0" fontId="16" fillId="6" borderId="0" xfId="0" applyNumberFormat="1" applyFont="1" applyFill="1" applyBorder="1" applyAlignment="1" applyProtection="1">
      <ns0:alignment vertical="center" wrapText="1"/>
      <ns0:protection locked="1" hidden="0"/>
    </ns0:xf>
    <ns0:xf numFmtId="0" fontId="16" fillId="6" borderId="0" xfId="0" applyNumberFormat="1" applyFont="1" applyFill="1" applyBorder="1" applyAlignment="1" applyProtection="1">
      <ns0:alignment horizontal="center" vertical="center" wrapText="1"/>
      <ns0:protection locked="1" hidden="0"/>
    </ns0:xf>
    <ns0:xf numFmtId="0" fontId="16" fillId="6" borderId="1" xfId="0" applyNumberFormat="1" applyFont="1" applyFill="1" applyBorder="1" applyAlignment="1" applyProtection="1">
      <ns0:alignment vertical="center" wrapText="1"/>
      <ns0:protection locked="1" hidden="0"/>
    </ns0:xf>
    <ns0:xf numFmtId="0" fontId="16" fillId="6" borderId="1" xfId="0" applyNumberFormat="1" applyFont="1" applyFill="1" applyBorder="1" applyAlignment="1" applyProtection="1">
      <ns0:alignment horizontal="center" vertical="center" wrapText="1"/>
      <ns0:protection locked="1" hidden="0"/>
    </ns0:xf>
    <ns0:xf numFmtId="0" fontId="26" fillId="2" borderId="0" xfId="0" applyNumberFormat="1" applyFont="1" applyFill="1" applyBorder="1" applyAlignment="1" applyProtection="1">
      <ns0:alignment vertical="center"/>
      <ns0:protection locked="1" hidden="0"/>
    </ns0:xf>
    <ns0:xf numFmtId="0" fontId="26" fillId="2" borderId="0" xfId="0" applyNumberFormat="1" applyFont="1" applyFill="1" applyBorder="1" applyAlignment="1" applyProtection="1">
      <ns0:alignment vertical="center" wrapText="1"/>
      <ns0:protection locked="1" hidden="0"/>
    </ns0:xf>
    <ns0:xf numFmtId="0" fontId="26" fillId="2" borderId="1" xfId="0" applyNumberFormat="1" applyFont="1" applyFill="1" applyBorder="1" applyAlignment="1" applyProtection="1">
      <ns0:alignment vertical="center"/>
      <ns0:protection locked="1" hidden="0"/>
    </ns0:xf>
    <ns0:xf numFmtId="0" fontId="26" fillId="2" borderId="1" xfId="0" applyNumberFormat="1" applyFont="1" applyFill="1" applyBorder="1" applyAlignment="1" applyProtection="1">
      <ns0:alignment vertical="center" wrapText="1"/>
      <ns0:protection locked="1" hidden="0"/>
    </ns0:xf>
    <ns0:xf numFmtId="0" fontId="27" fillId="3" borderId="0" xfId="0" applyNumberFormat="1" applyFont="1" applyFill="1" applyBorder="1" applyAlignment="1" applyProtection="1">
      <ns0:alignment vertical="center"/>
      <ns0:protection locked="1" hidden="0"/>
    </ns0:xf>
    <ns0:xf numFmtId="0" fontId="27" fillId="3" borderId="1" xfId="0" applyNumberFormat="1" applyFont="1" applyFill="1" applyBorder="1" applyAlignment="1" applyProtection="1">
      <ns0:alignment vertical="center"/>
      <ns0:protection locked="1" hidden="0"/>
    </ns0:xf>
    <ns0:xf numFmtId="0" fontId="28" fillId="4" borderId="0" xfId="0" applyNumberFormat="1" applyFont="1" applyFill="1" applyBorder="1" applyAlignment="1" applyProtection="1">
      <ns0:alignment vertical="center"/>
      <ns0:protection locked="1" hidden="0"/>
    </ns0:xf>
    <ns0:xf numFmtId="0" fontId="28" fillId="4" borderId="0" xfId="0" applyNumberFormat="1" applyFont="1" applyFill="1" applyBorder="1" applyAlignment="1" applyProtection="1">
      <ns0:alignment vertical="center" wrapText="1"/>
      <ns0:protection locked="1" hidden="0"/>
    </ns0:xf>
    <ns0:xf numFmtId="0" fontId="28" fillId="4" borderId="1" xfId="0" applyNumberFormat="1" applyFont="1" applyFill="1" applyBorder="1" applyAlignment="1" applyProtection="1">
      <ns0:alignment vertical="center"/>
      <ns0:protection locked="1" hidden="0"/>
    </ns0:xf>
    <ns0:xf numFmtId="0" fontId="28" fillId="4" borderId="1" xfId="0" applyNumberFormat="1" applyFont="1" applyFill="1" applyBorder="1" applyAlignment="1" applyProtection="1">
      <ns0:alignment vertical="center" wrapText="1"/>
      <ns0:protection locked="1" hidden="0"/>
    </ns0:xf>
    <ns0:xf numFmtId="0" fontId="23" fillId="4" borderId="0" xfId="0" applyNumberFormat="1" applyFont="1" applyFill="1" applyBorder="1" applyProtection="1">
      <ns0:protection locked="1" hidden="0"/>
    </ns0:xf>
    <ns0:xf numFmtId="0" fontId="23" fillId="4" borderId="0" xfId="0" applyNumberFormat="1" applyFont="1" applyFill="1" applyBorder="1" applyAlignment="1" applyProtection="1">
      <ns0:alignment wrapText="1"/>
      <ns0:protection locked="1" hidden="0"/>
    </ns0:xf>
    <ns0:xf numFmtId="0" fontId="23" fillId="4" borderId="0" xfId="0" applyNumberFormat="1" applyFont="1" applyFill="1" applyBorder="1" applyAlignment="1" applyProtection="1">
      <ns0:alignment vertical="center" wrapText="1"/>
      <ns0:protection locked="1" hidden="0"/>
    </ns0:xf>
    <ns0:xf numFmtId="0" fontId="23" fillId="4" borderId="1" xfId="0" applyNumberFormat="1" applyFont="1" applyFill="1" applyBorder="1" applyProtection="1">
      <ns0:protection locked="1" hidden="0"/>
    </ns0:xf>
    <ns0:xf numFmtId="0" fontId="23" fillId="4" borderId="1" xfId="0" applyNumberFormat="1" applyFont="1" applyFill="1" applyBorder="1" applyAlignment="1" applyProtection="1">
      <ns0:alignment wrapText="1"/>
      <ns0:protection locked="1" hidden="0"/>
    </ns0:xf>
    <ns0:xf numFmtId="0" fontId="23" fillId="4" borderId="1" xfId="0" applyNumberFormat="1" applyFont="1" applyFill="1" applyBorder="1" applyAlignment="1" applyProtection="1">
      <ns0:alignment vertical="center" wrapText="1"/>
      <ns0:protection locked="1" hidden="0"/>
    </ns0:xf>
    <ns0:xf numFmtId="0" fontId="5" fillId="3" borderId="0" xfId="0" applyNumberFormat="1" applyFont="1" applyFill="1" applyBorder="1" applyAlignment="1" applyProtection="1">
      <ns0:alignment vertical="center"/>
      <ns0:protection locked="0" hidden="0"/>
    </ns0:xf>
    <ns0:xf numFmtId="200" fontId="5" fillId="3" borderId="0" xfId="0" applyNumberFormat="1" applyFont="1" applyFill="1" applyBorder="1" applyAlignment="1" applyProtection="1">
      <ns0:alignment vertical="center"/>
      <ns0:protection locked="0" hidden="0"/>
    </ns0:xf>
    <ns0:xf numFmtId="0" fontId="12" fillId="3" borderId="0" xfId="0" applyNumberFormat="1" applyFont="1" applyFill="1" applyBorder="1" applyProtection="1">
      <ns0:protection locked="0" hidden="0"/>
    </ns0:xf>
    <ns0:xf numFmtId="200" fontId="12" fillId="3" borderId="0" xfId="0" applyNumberFormat="1" applyFont="1" applyFill="1" applyBorder="1" applyProtection="1">
      <ns0:protection locked="0" hidden="0"/>
    </ns0:xf>
    <ns0:xf numFmtId="201" fontId="5" fillId="3" borderId="0" xfId="0" applyNumberFormat="1" applyFont="1" applyFill="1" applyBorder="1" applyAlignment="1" applyProtection="1">
      <ns0:alignment vertical="center"/>
      <ns0:protection locked="0" hidden="0"/>
    </ns0:xf>
    <ns0:xf numFmtId="0" fontId="5" fillId="3" borderId="0" xfId="0" applyNumberFormat="1" applyFont="1" applyFill="1" applyBorder="1" applyAlignment="1" applyProtection="1">
      <ns0:alignment horizontal="center" vertical="center"/>
      <ns0:protection locked="0" hidden="0"/>
    </ns0:xf>
    <ns0:xf numFmtId="0" fontId="12" fillId="3" borderId="0" xfId="0" applyNumberFormat="1" applyFont="1" applyFill="1" applyBorder="1" applyAlignment="1" applyProtection="1">
      <ns0:alignment horizontal="center"/>
      <ns0:protection locked="0" hidden="0"/>
    </ns0:xf>
    <ns0:xf numFmtId="0" fontId="5" fillId="3" borderId="0" xfId="0" applyNumberFormat="1" applyFont="1" applyFill="1" applyBorder="1" applyAlignment="1" applyProtection="1">
      <ns0:alignment vertical="center" wrapText="1"/>
      <ns0:protection locked="0" hidden="0"/>
    </ns0:xf>
    <ns0:xf numFmtId="0" fontId="1" fillId="4" borderId="0" xfId="0" applyNumberFormat="1" applyFont="1" applyFill="1" applyBorder="1" applyAlignment="1" applyProtection="1">
      <ns0:alignment vertical="center" wrapText="1"/>
      <ns0:protection locked="1" hidden="0"/>
    </ns0:xf>
    <ns0:xf numFmtId="0" fontId="5" fillId="3" borderId="0" xfId="0" applyNumberFormat="1" applyFont="1" applyFill="1" applyBorder="1" applyAlignment="1" applyProtection="1">
      <ns0:alignment vertical="center" horizontal="center"/>
      <ns0:protection locked="0" hidden="0"/>
    </ns0:xf>
    <ns0:xf numFmtId="201" fontId="1" fillId="4" borderId="0" xfId="0" applyNumberFormat="1" applyFont="1" applyFill="1" applyBorder="1" applyAlignment="1" applyProtection="1">
      <ns0:alignment vertical="center" horizontal="center"/>
      <ns0:protection locked="1" hidden="0"/>
    </ns0:xf>
  </ns0:cellXfs>
  <ns0:cellStyles count="1">
    <ns0:cellStyle name="Normal" xfId="0"/>
  </ns0:cellStyles>
  <ns0:dxfs count="16">
    <ns0:dxf>
      <ns0:font>
        <ns0:color rgb="FF94A3B8"/>
      </ns0:font>
      <ns0:fill>
        <ns0:patternFill patternType="solid">
          <ns0:bgColor rgb="FFEDF1F6"/>
        </ns0:patternFill>
      </ns0:fill>
    </ns0:dxf>
    <ns0:dxf>
      <ns0:font>
        <ns0:color rgb="FF166534"/>
      </ns0:font>
      <ns0:fill>
        <ns0:patternFill patternType="solid">
          <ns0:bgColor rgb="FFDCFCE7"/>
        </ns0:patternFill>
      </ns0:fill>
    </ns0:dxf>
    <ns0:dxf>
      <ns0:font>
        <ns0:b/>
        <ns0:color rgb="FFBE123C"/>
      </ns0:font>
      <ns0:fill>
        <ns0:patternFill patternType="solid">
          <ns0:bgColor rgb="FFFFF1F2"/>
        </ns0:patternFill>
      </ns0:fill>
    </ns0:dxf>
    <ns0:dxf>
      <ns0:font>
        <ns0:color rgb="FF1D4ED8"/>
      </ns0:font>
      <ns0:fill>
        <ns0:patternFill patternType="solid">
          <ns0:bgColor rgb="FFDBEAFE"/>
        </ns0:patternFill>
      </ns0:fill>
    </ns0:dxf>
    <ns0:dxf>
      <ns0:font>
        <ns0:color rgb="FFBE123C"/>
      </ns0:font>
      <ns0:fill>
        <ns0:patternFill patternType="solid">
          <ns0:bgColor rgb="FFFFE4E6"/>
        </ns0:patternFill>
      </ns0:fill>
    </ns0:dxf>
    <ns0:dxf>
      <ns0:font>
        <ns0:color rgb="FF92400E"/>
      </ns0:font>
      <ns0:fill>
        <ns0:patternFill patternType="solid">
          <ns0:bgColor rgb="FFFEF3C7"/>
        </ns0:patternFill>
      </ns0:fill>
    </ns0:dxf>
    <ns0:dxf>
      <ns0:font>
        <ns0:color rgb="FF6D28D9"/>
      </ns0:font>
      <ns0:fill>
        <ns0:patternFill patternType="solid">
          <ns0:bgColor rgb="FFEDE9FE"/>
        </ns0:patternFill>
      </ns0:fill>
    </ns0:dxf>
    <ns0:dxf>
      <ns0:font>
        <ns0:color rgb="FF0E7490"/>
      </ns0:font>
      <ns0:fill>
        <ns0:patternFill patternType="solid">
          <ns0:bgColor rgb="FFCFFAFE"/>
        </ns0:patternFill>
      </ns0:fill>
    </ns0:dxf>
    <ns0:dxf>
      <ns0:font>
        <ns0:color rgb="FF92400E"/>
      </ns0:font>
      <ns0:fill>
        <ns0:patternFill patternType="solid">
          <ns0:bgColor rgb="FFFFF7DB"/>
        </ns0:patternFill>
      </ns0:fill>
    </ns0:dxf>
    <ns0:dxf>
      <ns0:font>
        <ns0:b/>
        <ns0:color rgb="FFBE123C"/>
      </ns0:font>
      <ns0:fill>
        <ns0:patternFill patternType="solid">
          <ns0:bgColor rgb="FFFFF1F2"/>
        </ns0:patternFill>
      </ns0:fill>
    </ns0:dxf>
    <ns0:dxf>
      <ns0:font>
        <ns0:b/>
        <ns0:color rgb="FFBE123C"/>
      </ns0:font>
      <ns0:fill>
        <ns0:patternFill patternType="solid">
          <ns0:bgColor rgb="FFFFF1F2"/>
        </ns0:patternFill>
      </ns0:fill>
    </ns0:dxf>
    <ns0:dxf>
      <ns0:font>
        <ns0:b/>
        <ns0:color rgb="FFBE123C"/>
      </ns0:font>
      <ns0:fill>
        <ns0:patternFill patternType="solid">
          <ns0:bgColor rgb="FFFFF1F2"/>
        </ns0:patternFill>
      </ns0:fill>
    </ns0:dxf>
    <ns0:dxf>
      <ns0:font>
        <ns0:b/>
        <ns0:color rgb="FFBE123C"/>
      </ns0:font>
      <ns0:fill>
        <ns0:patternFill patternType="solid">
          <ns0:bgColor rgb="FFFFF1F2"/>
        </ns0:patternFill>
      </ns0:fill>
    </ns0:dxf>
    <ns0:dxf>
      <ns0:font>
        <ns0:b/>
        <ns0:color rgb="FF92400E"/>
      </ns0:font>
      <ns0:fill>
        <ns0:patternFill patternType="solid">
          <ns0:bgColor rgb="FFFFF7DB"/>
        </ns0:patternFill>
      </ns0:fill>
    </ns0:dxf>
    <ns0:dxf>
      <ns0:font>
        <ns0:b/>
        <ns0:color rgb="FFBE123C"/>
      </ns0:font>
      <ns0:fill>
        <ns0:patternFill patternType="solid">
          <ns0:bgColor rgb="FFFFF1F2"/>
        </ns0:patternFill>
      </ns0:fill>
    </ns0:dxf>
    <ns0:dxf>
      <ns0:font>
        <ns0:b/>
        <ns0:color rgb="FF92400E"/>
      </ns0:font>
      <ns0:fill>
        <ns0:patternFill patternType="solid">
          <ns0:bgColor rgb="FFFFF7DB"/>
        </ns0:patternFill>
      </ns0:fill>
    </ns0:dxf>
  </ns0:dxfs>
</ns0:styleSheet>
</file>

<file path=xl/_rels/workbook.xml.rels><?xml version='1.0' encoding='utf-8'?>
<ns0:Relationships xmlns:ns0="http://schemas.openxmlformats.org/package/2006/relationships"><ns0:Relationship Type="http://schemas.openxmlformats.org/officeDocument/2006/relationships/styles" Target="/xl/styles.xml" Id="R564aff3609474467" /><ns0:Relationship Type="http://schemas.openxmlformats.org/officeDocument/2006/relationships/theme" Target="/xl/theme/theme1.xml" Id="R835badaba1604bf3" /><ns0:Relationship Type="http://schemas.microsoft.com/office/2022/11/relationships/FeaturePropertyBag" Target="/xl/featurePropertyBag/featurePropertyBag.xml" Id="Rb63ab126a74848ad" /><ns0:Relationship Type="http://schemas.openxmlformats.org/officeDocument/2006/relationships/sharedStrings" Target="/xl/sharedStrings.xml" Id="R722e5c212ba34eee" /><ns0:Relationship Type="http://schemas.openxmlformats.org/officeDocument/2006/relationships/worksheet" Target="/xl/worksheets/sheet1.xml" Id="R6ee7a8ff960e4ae1" /><ns0:Relationship Type="http://schemas.openxmlformats.org/officeDocument/2006/relationships/worksheet" Target="/xl/worksheets/sheet2.xml" Id="Rda60b1a39adc4844" /><ns0:Relationship Type="http://schemas.openxmlformats.org/officeDocument/2006/relationships/worksheet" Target="/xl/worksheets/sheet3.xml" Id="Rf9ada0b992b649d7" /><ns0:Relationship Type="http://schemas.openxmlformats.org/officeDocument/2006/relationships/worksheet" Target="/xl/worksheets/sheet4.xml" Id="R4cd22844b5154122" /><ns0:Relationship Type="http://schemas.openxmlformats.org/officeDocument/2006/relationships/worksheet" Target="/xl/worksheets/sheet5.xml" Id="R9d58ec7c3af3416a" /><ns0:Relationship Type="http://schemas.openxmlformats.org/officeDocument/2006/relationships/worksheet" Target="/xl/worksheets/sheet6.xml" Id="R9abfa72595cf46b2" /><ns0:Relationship Type="http://schemas.openxmlformats.org/officeDocument/2006/relationships/worksheet" Target="/xl/worksheets/sheet7.xml" Id="R86c74b5801694d21" /><ns0:Relationship Type="http://schemas.openxmlformats.org/officeDocument/2006/relationships/worksheet" Target="/xl/worksheets/sheet8.xml" Id="R64f2d3856b6c4307" /><ns0:Relationship Id="rId3609474468" Type="http://schemas.openxmlformats.org/officeDocument/2006/relationships/worksheet" Target="worksheets/sheet9.xml" /></ns0: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ns0:table xmlns:ns0="http://schemas.openxmlformats.org/spreadsheetml/2006/main" id="2" name="BookingLog" displayName="BookingLog" ref="A10:J1010" headerRowCount="1" totalsRowCount="0" totalsRowShown="0">
  <ns0:autoFilter ref="A10:J1010"/>
  <ns0:tableColumns count="10">
    <ns0:tableColumn id="1" name="Employee · ID"/>
    <ns0:tableColumn id="2" name="Start date&#10;DD.MM.YYYY"/>
    <ns0:tableColumn id="3" name="First day"/>
    <ns0:tableColumn id="4" name="End date&#10;DD.MM.YYYY"/>
    <ns0:tableColumn id="5" name="Last day"/>
    <ns0:tableColumn id="6" name="Leave type · code"/>
    <ns0:tableColumn id="7" name="Status"/>
    <ns0:tableColumn id="8" name="Days"/>
    <ns0:tableColumn id="9" name="Note (optional)"/>
    <ns0:tableColumn id="10" name="Review / dates read as"/>
  </ns0:tableColumns>
  <ns0:tableStyleInfo name="TableStyleMedium2" showFirstColumn="0" showLastColumn="0" showRowStripes="0" showColumnStripes="0"/>
</ns0:table>
</file>

<file path=xl/tables/table2.xml><?xml version="1.0" encoding="utf-8"?>
<x:table xmlns:x="http://schemas.openxmlformats.org/spreadsheetml/2006/main" id="3" name="LeaveBalances" displayName="LeaveBalances" ref="A11:J61" headerRowCount="1" totalsRowCount="0" totalsRowShown="0">
  <x:autoFilter ref="A11:J61"/>
  <x:tableColumns count="10">
    <x:tableColumn id="1" name="Employee"/>
    <x:tableColumn id="2" name="Team"/>
    <x:tableColumn id="3" name="Bookable&#10;allowance"/>
    <x:tableColumn id="4" name="Adjustment"/>
    <x:tableColumn id="5" name="Taken"/>
    <x:tableColumn id="6" name="Booked&#10;ahead"/>
    <x:tableColumn id="7" name="Pending"/>
    <x:tableColumn id="8" name="Remaining&#10;to book"/>
    <x:tableColumn id="9" name="Other approved&#10;(non-deducting)"/>
    <x:tableColumn id="10" name="Review"/>
  </x:tableColumns>
  <x:tableStyleInfo name="TableStyleMedium2" showFirstColumn="0" showLastColumn="0" showRowStripes="0" showColumnStripes="0"/>
</x:table>
</file>

<file path=xl/tables/table3.xml><?xml version="1.0" encoding="utf-8"?>
<x:table xmlns:x="http://schemas.openxmlformats.org/spreadsheetml/2006/main" id="1" name="TeamRoster" displayName="TeamRoster" ref="A10:O60" headerRowCount="1" totalsRowCount="0" totalsRowShown="0">
  <x:autoFilter ref="A10:O60"/>
  <x:tableColumns count="15">
    <x:tableColumn id="1" name="Employee ID"/>
    <x:tableColumn id="2" name="Employee name"/>
    <x:tableColumn id="3" name="Team"/>
    <x:tableColumn id="4" name="Agreed&#10;allowance"/>
    <x:tableColumn id="5" name="Fixed days&#10;reserved"/>
    <x:tableColumn id="6" name="Bookable&#10;allowance"/>
    <x:tableColumn id="7" name="Adjustment"/>
    <x:tableColumn id="8" name="Mon"/>
    <x:tableColumn id="9" name="Tue"/>
    <x:tableColumn id="10" name="Wed"/>
    <x:tableColumn id="11" name="Thu"/>
    <x:tableColumn id="12" name="Fri"/>
    <x:tableColumn id="13" name="Sat"/>
    <x:tableColumn id="14" name="Sun"/>
    <x:tableColumn id="15" name="Review"/>
  </x:tableColumns>
  <x:tableStyleInfo name="TableStyleMedium2" showFirstColumn="0" showLastColumn="0" showRowStripes="0" showColumnStripes="0"/>
</x:table>
</file>

<file path=xl/theme/theme1.xml><?xml version="1.0" encoding="utf-8"?>
<a:theme xmlns:a="http://schemas.openxmlformats.org/drawingml/2006/main" name="TimeOff.Management">
  <a:themeElements>
    <a:clrScheme name="TimeOff.Managemen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TimeOff.Managemen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a75433026b140c7" /></Relationships>
</file>

<file path=xl/worksheets/_rels/sheet3.xml.rels>&#65279;<?xml version="1.0" encoding="utf-8"?><Relationships xmlns="http://schemas.openxmlformats.org/package/2006/relationships"><Relationship Type="http://schemas.openxmlformats.org/officeDocument/2006/relationships/table" Target="/xl/tables/table2.xml" Id="R71a6ba85fe4446f5" /></Relationships>
</file>

<file path=xl/worksheets/_rels/sheet4.xml.rels>&#65279;<?xml version="1.0" encoding="utf-8"?><Relationships xmlns="http://schemas.openxmlformats.org/package/2006/relationships"><Relationship Type="http://schemas.openxmlformats.org/officeDocument/2006/relationships/table" Target="/xl/tables/table3.xml" Id="R189803e9d7ca446a" /></Relationships>
</file>

<file path=xl/worksheets/sheet1.xml><?xml version="1.0" encoding="utf-8"?>
<ns0:worksheet xmlns:ns0="http://schemas.openxmlformats.org/spreadsheetml/2006/main">
  <ns0:sheetViews>
    <ns0:sheetView workbookViewId="0" showGridLines="0" zoomScale="85">
      <ns0:pane ySplit="11" topLeftCell="D12" activePane="bottomRight" state="frozen" xSplit="3"/>
      <ns0:selection pane="bottomRight" activeCell="D12" sqref="D12"/>
    </ns0:sheetView>
  </ns0:sheetViews>
  <ns0:sheetFormatPr defaultRowHeight="15"/>
  <ns0:cols>
    <ns0:col min="1" max="1" width="25" hidden="0" customWidth="1"/>
    <ns0:col min="2" max="2" width="15" hidden="0" customWidth="1"/>
    <ns0:col min="3" max="3" width="18" hidden="0" customWidth="1"/>
    <ns0:col min="4" max="4" width="6.5" hidden="0" customWidth="1"/>
    <ns0:col min="5" max="5" width="6.5" hidden="0" customWidth="1"/>
    <ns0:col min="6" max="6" width="6.5" hidden="0" customWidth="1"/>
    <ns0:col min="7" max="7" width="6.5" hidden="0" customWidth="1"/>
    <ns0:col min="8" max="8" width="6.5" hidden="0" customWidth="1"/>
    <ns0:col min="9" max="9" width="6.5" hidden="0" customWidth="1"/>
    <ns0:col min="10" max="10" width="6.5" hidden="0" customWidth="1"/>
    <ns0:col min="11" max="11" width="6.5" hidden="0" customWidth="1"/>
    <ns0:col min="12" max="12" width="6.5" hidden="0" customWidth="1"/>
    <ns0:col min="13" max="13" width="6.5" hidden="0" customWidth="1"/>
    <ns0:col min="14" max="14" width="6.5" hidden="0" customWidth="1"/>
    <ns0:col min="15" max="15" width="6.5" hidden="0" customWidth="1"/>
    <ns0:col min="16" max="16" width="6.5" hidden="0" customWidth="1"/>
    <ns0:col min="17" max="17" width="6.5" hidden="0" customWidth="1"/>
    <ns0:col min="18" max="18" width="6.5" hidden="0" customWidth="1"/>
    <ns0:col min="19" max="19" width="6.5" hidden="0" customWidth="1"/>
    <ns0:col min="20" max="20" width="6.5" hidden="0" customWidth="1"/>
    <ns0:col min="21" max="21" width="6.5" hidden="0" customWidth="1"/>
    <ns0:col min="22" max="22" width="6.5" hidden="0" customWidth="1"/>
    <ns0:col min="23" max="23" width="6.5" hidden="0" customWidth="1"/>
    <ns0:col min="24" max="24" width="6.5" hidden="0" customWidth="1"/>
    <ns0:col min="25" max="25" width="6.5" hidden="0" customWidth="1"/>
    <ns0:col min="26" max="26" width="6.5" hidden="0" customWidth="1"/>
    <ns0:col min="27" max="27" width="6.5" hidden="0" customWidth="1"/>
    <ns0:col min="28" max="28" width="6.5" hidden="0" customWidth="1"/>
    <ns0:col min="29" max="29" width="6.5" hidden="0" customWidth="1"/>
    <ns0:col min="30" max="30" width="6.5" hidden="0" customWidth="1"/>
    <ns0:col min="31" max="31" width="6.5" hidden="0" customWidth="1"/>
    <ns0:col min="32" max="32" width="6.5" hidden="0" customWidth="1"/>
    <ns0:col min="33" max="33" width="6.5" hidden="0" customWidth="1"/>
    <ns0:col min="34" max="34" width="6.5" hidden="0" customWidth="1"/>
  </ns0:cols>
  <ns0:sheetData>
    <ns0:row r="1" ht="25" customHeight="1">
      <ns0:c r="A1" s="116" t="str">
        <ns0:f>IF('_Engine'!B5="OK","TimeOff.Management  /  "&amp;TEXT('_Engine'!B4,"mmmm yyyy")&amp;" leave calendar","TimeOff.Management  /  Leave calendar")</ns0:f>
        <ns0:v>TimeOff.Management  /  July 2027 leave calendar</ns0:v>
      </ns0:c>
      <ns0:c r="B1" s="116"/>
      <ns0:c r="C1" s="116"/>
      <ns0:c r="D1" s="116"/>
      <ns0:c r="E1" s="116"/>
      <ns0:c r="F1" s="116"/>
      <ns0:c r="G1" s="116"/>
      <ns0:c r="H1" s="116"/>
      <ns0:c r="I1" s="116"/>
      <ns0:c r="J1" s="116"/>
      <ns0:c r="K1" s="118"/>
      <ns0:c r="L1" s="118"/>
      <ns0:c r="M1" s="118"/>
      <ns0:c r="N1" s="118"/>
      <ns0:c r="O1" s="118"/>
      <ns0:c r="P1" s="118"/>
      <ns0:c r="Q1" s="118"/>
      <ns0:c r="R1" s="118"/>
      <ns0:c r="S1" s="118"/>
      <ns0:c r="T1" s="118"/>
      <ns0:c r="U1" s="118"/>
      <ns0:c r="V1" s="118"/>
      <ns0:c r="W1" s="118"/>
      <ns0:c r="X1" s="118"/>
      <ns0:c r="Y1" s="118"/>
      <ns0:c r="Z1" s="118"/>
      <ns0:c r="AA1" s="118"/>
      <ns0:c r="AB1" s="118"/>
      <ns0:c r="AC1" s="118"/>
      <ns0:c r="AD1" s="118"/>
      <ns0:c r="AE1" s="118"/>
      <ns0:c r="AF1" s="118"/>
      <ns0:c r="AG1" s="118"/>
      <ns0:c r="AH1" s="118"/>
    </ns0:row>
    <ns0:row r="2" ht="25" customHeight="1">
      <ns0:c r="A2" s="116"/>
      <ns0:c r="B2" s="116"/>
      <ns0:c r="C2" s="116"/>
      <ns0:c r="D2" s="116"/>
      <ns0:c r="E2" s="116"/>
      <ns0:c r="F2" s="116"/>
      <ns0:c r="G2" s="116"/>
      <ns0:c r="H2" s="116"/>
      <ns0:c r="I2" s="116"/>
      <ns0:c r="J2" s="116"/>
      <ns0:c r="K2" s="118"/>
      <ns0:c r="L2" s="118"/>
      <ns0:c r="M2" s="118"/>
      <ns0:c r="N2" s="118"/>
      <ns0:c r="O2" s="118"/>
      <ns0:c r="P2" s="118"/>
      <ns0:c r="Q2" s="118"/>
      <ns0:c r="R2" s="118"/>
      <ns0:c r="S2" s="118"/>
      <ns0:c r="T2" s="118"/>
      <ns0:c r="U2" s="118"/>
      <ns0:c r="V2" s="118"/>
      <ns0:c r="W2" s="118"/>
      <ns0:c r="X2" s="118"/>
      <ns0:c r="Y2" s="118"/>
      <ns0:c r="Z2" s="118"/>
      <ns0:c r="AA2" s="118"/>
      <ns0:c r="AB2" s="118"/>
      <ns0:c r="AC2" s="118"/>
      <ns0:c r="AD2" s="118"/>
      <ns0:c r="AE2" s="118"/>
      <ns0:c r="AF2" s="118"/>
      <ns0:c r="AG2" s="118"/>
      <ns0:c r="AH2" s="118"/>
    </ns0:row>
    <ns0:row r="3" ht="22" customHeight="1">
      <ns0:c r="A3" s="4"/>
      <ns0:c r="B3" s="4"/>
      <ns0:c r="C3" s="4"/>
      <ns0:c r="D3" s="4"/>
      <ns0:c r="E3" s="4"/>
      <ns0:c r="F3" s="4"/>
      <ns0:c r="G3" s="4"/>
      <ns0:c r="H3" s="4"/>
      <ns0:c r="I3" s="4"/>
      <ns0:c r="J3" s="4"/>
    </ns0:row>
    <ns0:row r="4" ht="29" customHeight="1">
      <ns0:c r="A4" s="12" t="str">
        <ns0:f>HYPERLINK("#'Calendar'!A1","Calendar")</ns0:f>
        <ns0:v>Calendar</ns0:v>
      </ns0:c>
      <ns0:c r="B4" s="12" t="str">
        <ns0:f>HYPERLINK("#'Bookings'!A1","Add booking")</ns0:f>
        <ns0:v>Add booking</ns0:v>
      </ns0:c>
      <ns0:c r="C4" s="12" t="str">
        <ns0:f>HYPERLINK("#'Balances'!A1","Balances")</ns0:f>
        <ns0:v>Balances</ns0:v>
      </ns0:c>
      <ns0:c r="D4" s="12" t="str">
        <ns0:f>HYPERLINK("#'Team'!A1","Team")</ns0:f>
        <ns0:v>Team</ns0:v>
      </ns0:c>
      <ns0:c r="E4" s="12"/>
      <ns0:c r="F4" s="12"/>
      <ns0:c r="G4" s="12"/>
      <ns0:c r="H4" s="12" t="str">
        <ns0:f>HYPERLINK("#'Settings'!A1","Settings")</ns0:f>
        <ns0:v>Settings</ns0:v>
      </ns0:c>
      <ns0:c r="I4" s="12"/>
      <ns0:c r="J4" s="12"/>
      <ns0:c r="K4" s="105"/>
      <ns0:c r="L4" s="105" t="str">
        <ns0:f>HYPERLINK("#'Start here'!A1","Start here")</ns0:f>
        <ns0:v>Start here</ns0:v>
      </ns0:c>
      <ns0:c r="M4" s="105"/>
      <ns0:c r="N4" s="105"/>
      <ns0:c r="O4" s="105"/>
    </ns0:row>
    <ns0:row r="5" ht="22" customHeight="1">
      <ns0:c r="A5" s="4"/>
      <ns0:c r="B5" s="4"/>
      <ns0:c r="C5" s="4"/>
      <ns0:c r="D5" s="4"/>
      <ns0:c r="E5" s="4"/>
      <ns0:c r="F5" s="4"/>
      <ns0:c r="G5" s="4"/>
      <ns0:c r="H5" s="4"/>
      <ns0:c r="I5" s="4"/>
      <ns0:c r="J5" s="4"/>
    </ns0:row>
    <ns0:row r="6" ht="22" customHeight="1">
      <ns0:c r="A6" s="108" t="str">
        <ns0:v>MONTH</ns0:v>
      </ns0:c>
      <ns0:c r="B6" s="108" t="str">
        <ns0:v>YEAR</ns0:v>
      </ns0:c>
      <ns0:c r="C6" s="108" t="str">
        <ns0:v>TEAM</ns0:v>
      </ns0:c>
      <ns0:c r="D6" s="31" t="str">
        <ns0:v>Change the month or team here. All 50 employee rows are available by scrolling; names and balances stay fixed on the left.</ns0:v>
      </ns0:c>
      <ns0:c r="E6" s="31"/>
      <ns0:c r="F6" s="31"/>
      <ns0:c r="G6" s="31"/>
      <ns0:c r="H6" s="31"/>
      <ns0:c r="I6" s="31"/>
      <ns0:c r="J6" s="31"/>
      <ns0:c r="K6" s="45"/>
      <ns0:c r="L6" s="45"/>
      <ns0:c r="M6" s="45"/>
      <ns0:c r="N6" s="45"/>
      <ns0:c r="O6" s="45"/>
      <ns0:c r="P6" s="45"/>
      <ns0:c r="Q6" s="45"/>
      <ns0:c r="R6" s="45"/>
      <ns0:c r="S6" s="112" t="str">
        <ns0:v>Bookable allowance is after fixed days have been reserved. Pending leave does not reduce the balance.</ns0:v>
      </ns0:c>
      <ns0:c r="T6" s="112"/>
      <ns0:c r="U6" s="112"/>
      <ns0:c r="V6" s="112"/>
      <ns0:c r="W6" s="112"/>
      <ns0:c r="X6" s="112"/>
      <ns0:c r="Y6" s="112"/>
      <ns0:c r="Z6" s="112"/>
      <ns0:c r="AA6" s="112"/>
      <ns0:c r="AB6" s="112"/>
      <ns0:c r="AC6" s="112"/>
      <ns0:c r="AD6" s="112"/>
      <ns0:c r="AE6" s="112"/>
      <ns0:c r="AF6" s="112"/>
      <ns0:c r="AG6" s="112"/>
      <ns0:c r="AH6" s="112"/>
    </ns0:row>
    <ns0:row r="7" ht="32" customHeight="1">
      <ns0:c r="A7" s="200" t="str">
        <ns0:v>July</ns0:v>
      </ns0:c>
      <ns0:c r="B7" s="200" t="n">
        <ns0:v>2027</ns0:v>
      </ns0:c>
      <ns0:c r="C7" s="200" t="str">
        <ns0:v>All teams</ns0:v>
      </ns0:c>
      <ns0:c r="D7" s="31"/>
      <ns0:c r="E7" s="31"/>
      <ns0:c r="F7" s="31"/>
      <ns0:c r="G7" s="31"/>
      <ns0:c r="H7" s="31"/>
      <ns0:c r="I7" s="31"/>
      <ns0:c r="J7" s="31"/>
      <ns0:c r="K7" s="45"/>
      <ns0:c r="L7" s="45"/>
      <ns0:c r="M7" s="45"/>
      <ns0:c r="N7" s="45"/>
      <ns0:c r="O7" s="45"/>
      <ns0:c r="P7" s="45"/>
      <ns0:c r="Q7" s="45"/>
      <ns0:c r="R7" s="45"/>
      <ns0:c r="S7" s="112"/>
      <ns0:c r="T7" s="112"/>
      <ns0:c r="U7" s="112"/>
      <ns0:c r="V7" s="112"/>
      <ns0:c r="W7" s="112"/>
      <ns0:c r="X7" s="112"/>
      <ns0:c r="Y7" s="112"/>
      <ns0:c r="Z7" s="112"/>
      <ns0:c r="AA7" s="112"/>
      <ns0:c r="AB7" s="112"/>
      <ns0:c r="AC7" s="112"/>
      <ns0:c r="AD7" s="112"/>
      <ns0:c r="AE7" s="112"/>
      <ns0:c r="AF7" s="112"/>
      <ns0:c r="AG7" s="112"/>
      <ns0:c r="AH7" s="112"/>
    </ns0:row>
    <ns0:row r="8" ht="25" customHeight="1">
      <ns0:c r="A8" s="4" t="str">
        <ns0:f>IFERROR("Reporting through "&amp;TEXT(Settings!B9,"dd mmm yyyy"),"Check reporting date")</ns0:f>
        <ns0:v>Reporting through 14 Jul 2027</ns0:v>
      </ns0:c>
      <ns0:c r="B8" s="4"/>
      <ns0:c r="C8" s="4"/>
      <ns0:c r="D8" s="35" t="str">
        <ns0:f>IF('_Engine'!$B$5&lt;&gt;"OK",'_Engine'!$B$5,IF('_Engine'!$B$6&gt;0,"CHECK SHARED SETTINGS — calendar and balances paused.",IF('_Engine'!$B$9&gt;0,"UNASSIGNED BOOKINGS — company totals are incomplete. Individual figures use identified records only.",IF('_Engine'!$B$8&gt;0,"REVIEW REQUIRED — "&amp;'_Engine'!$B$8&amp;" row(s). Affected people are marked REVIEW; company totals are incomplete.","Ready · "&amp;SUM('_Engine'!$X$11:$X$60)&amp;" employees · "&amp;COUNTIF('_Engine'!$A$11:$A$1010,1)&amp;" / 1,000 booking rows used."))))</ns0:f>
        <ns0:v>Ready · 6 employees · 20 / 1,000 booking rows used.</ns0:v>
      </ns0:c>
      <ns0:c r="E8" s="35"/>
      <ns0:c r="F8" s="35"/>
      <ns0:c r="G8" s="35"/>
      <ns0:c r="H8" s="35"/>
      <ns0:c r="I8" s="35"/>
      <ns0:c r="J8" s="35"/>
      <ns0:c r="K8" s="123"/>
      <ns0:c r="L8" s="123"/>
      <ns0:c r="M8" s="123"/>
      <ns0:c r="N8" s="123"/>
      <ns0:c r="O8" s="123"/>
      <ns0:c r="P8" s="123"/>
      <ns0:c r="Q8" s="123"/>
      <ns0:c r="R8" s="123"/>
      <ns0:c r="S8" s="123"/>
      <ns0:c r="T8" s="123"/>
      <ns0:c r="U8" s="123"/>
      <ns0:c r="V8" s="123"/>
      <ns0:c r="W8" s="123"/>
      <ns0:c r="X8" s="123"/>
      <ns0:c r="Y8" s="123"/>
      <ns0:c r="Z8" s="123"/>
      <ns0:c r="AA8" s="123"/>
      <ns0:c r="AB8" s="123"/>
      <ns0:c r="AC8" s="123"/>
      <ns0:c r="AD8" s="123"/>
      <ns0:c r="AE8" s="123"/>
      <ns0:c r="AF8" s="123"/>
      <ns0:c r="AG8" s="123"/>
      <ns0:c r="AH8" s="123"/>
    </ns0:row>
    <ns0:row r="9" ht="22" customHeight="1">
      <ns0:c r="A9" s="4"/>
      <ns0:c r="B9" s="4"/>
      <ns0:c r="C9" s="4"/>
      <ns0:c r="D9" s="4"/>
      <ns0:c r="E9" s="4"/>
      <ns0:c r="F9" s="4"/>
      <ns0:c r="G9" s="4"/>
      <ns0:c r="H9" s="4"/>
      <ns0:c r="I9" s="4"/>
      <ns0:c r="J9" s="4"/>
    </ns0:row>
    <ns0:row r="10" ht="27" customHeight="1">
      <ns0:c r="A10" s="126" t="str">
        <ns0:f>Settings!G7&amp;" = "&amp;Settings!F7&amp;"   ·   "&amp;Settings!G8&amp;" = "&amp;Settings!F8&amp;"   ·   "&amp;Settings!G9&amp;" = "&amp;Settings!F9&amp;"   ·   "&amp;Settings!G10&amp;" = "&amp;Settings!F10&amp;"   ·   "&amp;Settings!G11&amp;" = "&amp;Settings!F11&amp;"   |   ? = pending   ·   AM / PM = half-day   ·   BH = fixed day off   ·   — = not a working day"</ns0:f>
        <ns0:v>H = Holiday   ·   S = Sick leave   ·   U = Unpaid leave   ·   T = Training   ·   O = Other leave   |   ? = pending   ·   AM / PM = half-day   ·   BH = fixed day off   ·   — = not a working day</ns0:v>
      </ns0:c>
      <ns0:c r="B10" s="126"/>
      <ns0:c r="C10" s="126"/>
      <ns0:c r="D10" s="126"/>
      <ns0:c r="E10" s="126"/>
      <ns0:c r="F10" s="126"/>
      <ns0:c r="G10" s="126"/>
      <ns0:c r="H10" s="126"/>
      <ns0:c r="I10" s="126"/>
      <ns0:c r="J10" s="126"/>
      <ns0:c r="K10" s="127"/>
      <ns0:c r="L10" s="127"/>
      <ns0:c r="M10" s="127"/>
      <ns0:c r="N10" s="127"/>
      <ns0:c r="O10" s="127"/>
      <ns0:c r="P10" s="127"/>
      <ns0:c r="Q10" s="127"/>
      <ns0:c r="R10" s="127"/>
      <ns0:c r="S10" s="127"/>
      <ns0:c r="T10" s="127"/>
      <ns0:c r="U10" s="127"/>
      <ns0:c r="V10" s="127"/>
      <ns0:c r="W10" s="127"/>
      <ns0:c r="X10" s="127"/>
      <ns0:c r="Y10" s="127"/>
      <ns0:c r="Z10" s="127"/>
      <ns0:c r="AA10" s="127"/>
      <ns0:c r="AB10" s="127"/>
      <ns0:c r="AC10" s="127"/>
      <ns0:c r="AD10" s="127"/>
      <ns0:c r="AE10" s="127"/>
      <ns0:c r="AF10" s="127"/>
      <ns0:c r="AG10" s="127"/>
      <ns0:c r="AH10" s="127"/>
    </ns0:row>
    <ns0:row r="11" ht="44" customHeight="1">
      <ns0:c r="A11" s="17" t="str">
        <ns0:v>Employee</ns0:v>
      </ns0:c>
      <ns0:c r="B11" s="17" t="str">
        <ns0:v>Remaining
to book</ns0:v>
      </ns0:c>
      <ns0:c r="C11" s="17" t="str">
        <ns0:v>Team</ns0:v>
      </ns0:c>
      <ns0:c r="D11" s="172">
        <ns0:f>IF(OR('_Engine'!$B$5&lt;&gt;"OK",'_Engine'!$B$4=0),"",IF(MONTH('_Engine'!$B$4+0)=MONTH('_Engine'!$B$4),'_Engine'!$B$4+0,""))</ns0:f>
        <ns0:v>46569</ns0:v>
      </ns0:c>
      <ns0:c r="E11" s="172">
        <ns0:f>IF(OR('_Engine'!$B$5&lt;&gt;"OK",'_Engine'!$B$4=0),"",IF(MONTH('_Engine'!$B$4+1)=MONTH('_Engine'!$B$4),'_Engine'!$B$4+1,""))</ns0:f>
        <ns0:v>46570</ns0:v>
      </ns0:c>
      <ns0:c r="F11" s="172">
        <ns0:f>IF(OR('_Engine'!$B$5&lt;&gt;"OK",'_Engine'!$B$4=0),"",IF(MONTH('_Engine'!$B$4+2)=MONTH('_Engine'!$B$4),'_Engine'!$B$4+2,""))</ns0:f>
        <ns0:v>46571</ns0:v>
      </ns0:c>
      <ns0:c r="G11" s="172">
        <ns0:f>IF(OR('_Engine'!$B$5&lt;&gt;"OK",'_Engine'!$B$4=0),"",IF(MONTH('_Engine'!$B$4+3)=MONTH('_Engine'!$B$4),'_Engine'!$B$4+3,""))</ns0:f>
        <ns0:v>46572</ns0:v>
      </ns0:c>
      <ns0:c r="H11" s="172">
        <ns0:f>IF(OR('_Engine'!$B$5&lt;&gt;"OK",'_Engine'!$B$4=0),"",IF(MONTH('_Engine'!$B$4+4)=MONTH('_Engine'!$B$4),'_Engine'!$B$4+4,""))</ns0:f>
        <ns0:v>46573</ns0:v>
      </ns0:c>
      <ns0:c r="I11" s="172">
        <ns0:f>IF(OR('_Engine'!$B$5&lt;&gt;"OK",'_Engine'!$B$4=0),"",IF(MONTH('_Engine'!$B$4+5)=MONTH('_Engine'!$B$4),'_Engine'!$B$4+5,""))</ns0:f>
        <ns0:v>46574</ns0:v>
      </ns0:c>
      <ns0:c r="J11" s="172">
        <ns0:f>IF(OR('_Engine'!$B$5&lt;&gt;"OK",'_Engine'!$B$4=0),"",IF(MONTH('_Engine'!$B$4+6)=MONTH('_Engine'!$B$4),'_Engine'!$B$4+6,""))</ns0:f>
        <ns0:v>46575</ns0:v>
      </ns0:c>
      <ns0:c r="K11" s="173">
        <ns0:f>IF(OR('_Engine'!$B$5&lt;&gt;"OK",'_Engine'!$B$4=0),"",IF(MONTH('_Engine'!$B$4+7)=MONTH('_Engine'!$B$4),'_Engine'!$B$4+7,""))</ns0:f>
        <ns0:v>46576</ns0:v>
      </ns0:c>
      <ns0:c r="L11" s="173">
        <ns0:f>IF(OR('_Engine'!$B$5&lt;&gt;"OK",'_Engine'!$B$4=0),"",IF(MONTH('_Engine'!$B$4+8)=MONTH('_Engine'!$B$4),'_Engine'!$B$4+8,""))</ns0:f>
        <ns0:v>46577</ns0:v>
      </ns0:c>
      <ns0:c r="M11" s="173">
        <ns0:f>IF(OR('_Engine'!$B$5&lt;&gt;"OK",'_Engine'!$B$4=0),"",IF(MONTH('_Engine'!$B$4+9)=MONTH('_Engine'!$B$4),'_Engine'!$B$4+9,""))</ns0:f>
        <ns0:v>46578</ns0:v>
      </ns0:c>
      <ns0:c r="N11" s="173">
        <ns0:f>IF(OR('_Engine'!$B$5&lt;&gt;"OK",'_Engine'!$B$4=0),"",IF(MONTH('_Engine'!$B$4+10)=MONTH('_Engine'!$B$4),'_Engine'!$B$4+10,""))</ns0:f>
        <ns0:v>46579</ns0:v>
      </ns0:c>
      <ns0:c r="O11" s="173">
        <ns0:f>IF(OR('_Engine'!$B$5&lt;&gt;"OK",'_Engine'!$B$4=0),"",IF(MONTH('_Engine'!$B$4+11)=MONTH('_Engine'!$B$4),'_Engine'!$B$4+11,""))</ns0:f>
        <ns0:v>46580</ns0:v>
      </ns0:c>
      <ns0:c r="P11" s="173">
        <ns0:f>IF(OR('_Engine'!$B$5&lt;&gt;"OK",'_Engine'!$B$4=0),"",IF(MONTH('_Engine'!$B$4+12)=MONTH('_Engine'!$B$4),'_Engine'!$B$4+12,""))</ns0:f>
        <ns0:v>46581</ns0:v>
      </ns0:c>
      <ns0:c r="Q11" s="173">
        <ns0:f>IF(OR('_Engine'!$B$5&lt;&gt;"OK",'_Engine'!$B$4=0),"",IF(MONTH('_Engine'!$B$4+13)=MONTH('_Engine'!$B$4),'_Engine'!$B$4+13,""))</ns0:f>
        <ns0:v>46582</ns0:v>
      </ns0:c>
      <ns0:c r="R11" s="173">
        <ns0:f>IF(OR('_Engine'!$B$5&lt;&gt;"OK",'_Engine'!$B$4=0),"",IF(MONTH('_Engine'!$B$4+14)=MONTH('_Engine'!$B$4),'_Engine'!$B$4+14,""))</ns0:f>
        <ns0:v>46583</ns0:v>
      </ns0:c>
      <ns0:c r="S11" s="173">
        <ns0:f>IF(OR('_Engine'!$B$5&lt;&gt;"OK",'_Engine'!$B$4=0),"",IF(MONTH('_Engine'!$B$4+15)=MONTH('_Engine'!$B$4),'_Engine'!$B$4+15,""))</ns0:f>
        <ns0:v>46584</ns0:v>
      </ns0:c>
      <ns0:c r="T11" s="173">
        <ns0:f>IF(OR('_Engine'!$B$5&lt;&gt;"OK",'_Engine'!$B$4=0),"",IF(MONTH('_Engine'!$B$4+16)=MONTH('_Engine'!$B$4),'_Engine'!$B$4+16,""))</ns0:f>
        <ns0:v>46585</ns0:v>
      </ns0:c>
      <ns0:c r="U11" s="173">
        <ns0:f>IF(OR('_Engine'!$B$5&lt;&gt;"OK",'_Engine'!$B$4=0),"",IF(MONTH('_Engine'!$B$4+17)=MONTH('_Engine'!$B$4),'_Engine'!$B$4+17,""))</ns0:f>
        <ns0:v>46586</ns0:v>
      </ns0:c>
      <ns0:c r="V11" s="173">
        <ns0:f>IF(OR('_Engine'!$B$5&lt;&gt;"OK",'_Engine'!$B$4=0),"",IF(MONTH('_Engine'!$B$4+18)=MONTH('_Engine'!$B$4),'_Engine'!$B$4+18,""))</ns0:f>
        <ns0:v>46587</ns0:v>
      </ns0:c>
      <ns0:c r="W11" s="173">
        <ns0:f>IF(OR('_Engine'!$B$5&lt;&gt;"OK",'_Engine'!$B$4=0),"",IF(MONTH('_Engine'!$B$4+19)=MONTH('_Engine'!$B$4),'_Engine'!$B$4+19,""))</ns0:f>
        <ns0:v>46588</ns0:v>
      </ns0:c>
      <ns0:c r="X11" s="173">
        <ns0:f>IF(OR('_Engine'!$B$5&lt;&gt;"OK",'_Engine'!$B$4=0),"",IF(MONTH('_Engine'!$B$4+20)=MONTH('_Engine'!$B$4),'_Engine'!$B$4+20,""))</ns0:f>
        <ns0:v>46589</ns0:v>
      </ns0:c>
      <ns0:c r="Y11" s="173">
        <ns0:f>IF(OR('_Engine'!$B$5&lt;&gt;"OK",'_Engine'!$B$4=0),"",IF(MONTH('_Engine'!$B$4+21)=MONTH('_Engine'!$B$4),'_Engine'!$B$4+21,""))</ns0:f>
        <ns0:v>46590</ns0:v>
      </ns0:c>
      <ns0:c r="Z11" s="173">
        <ns0:f>IF(OR('_Engine'!$B$5&lt;&gt;"OK",'_Engine'!$B$4=0),"",IF(MONTH('_Engine'!$B$4+22)=MONTH('_Engine'!$B$4),'_Engine'!$B$4+22,""))</ns0:f>
        <ns0:v>46591</ns0:v>
      </ns0:c>
      <ns0:c r="AA11" s="173">
        <ns0:f>IF(OR('_Engine'!$B$5&lt;&gt;"OK",'_Engine'!$B$4=0),"",IF(MONTH('_Engine'!$B$4+23)=MONTH('_Engine'!$B$4),'_Engine'!$B$4+23,""))</ns0:f>
        <ns0:v>46592</ns0:v>
      </ns0:c>
      <ns0:c r="AB11" s="173">
        <ns0:f>IF(OR('_Engine'!$B$5&lt;&gt;"OK",'_Engine'!$B$4=0),"",IF(MONTH('_Engine'!$B$4+24)=MONTH('_Engine'!$B$4),'_Engine'!$B$4+24,""))</ns0:f>
        <ns0:v>46593</ns0:v>
      </ns0:c>
      <ns0:c r="AC11" s="173">
        <ns0:f>IF(OR('_Engine'!$B$5&lt;&gt;"OK",'_Engine'!$B$4=0),"",IF(MONTH('_Engine'!$B$4+25)=MONTH('_Engine'!$B$4),'_Engine'!$B$4+25,""))</ns0:f>
        <ns0:v>46594</ns0:v>
      </ns0:c>
      <ns0:c r="AD11" s="173">
        <ns0:f>IF(OR('_Engine'!$B$5&lt;&gt;"OK",'_Engine'!$B$4=0),"",IF(MONTH('_Engine'!$B$4+26)=MONTH('_Engine'!$B$4),'_Engine'!$B$4+26,""))</ns0:f>
        <ns0:v>46595</ns0:v>
      </ns0:c>
      <ns0:c r="AE11" s="173">
        <ns0:f>IF(OR('_Engine'!$B$5&lt;&gt;"OK",'_Engine'!$B$4=0),"",IF(MONTH('_Engine'!$B$4+27)=MONTH('_Engine'!$B$4),'_Engine'!$B$4+27,""))</ns0:f>
        <ns0:v>46596</ns0:v>
      </ns0:c>
      <ns0:c r="AF11" s="173">
        <ns0:f>IF(OR('_Engine'!$B$5&lt;&gt;"OK",'_Engine'!$B$4=0),"",IF(MONTH('_Engine'!$B$4+28)=MONTH('_Engine'!$B$4),'_Engine'!$B$4+28,""))</ns0:f>
        <ns0:v>46597</ns0:v>
      </ns0:c>
      <ns0:c r="AG11" s="173">
        <ns0:f>IF(OR('_Engine'!$B$5&lt;&gt;"OK",'_Engine'!$B$4=0),"",IF(MONTH('_Engine'!$B$4+29)=MONTH('_Engine'!$B$4),'_Engine'!$B$4+29,""))</ns0:f>
        <ns0:v>46598</ns0:v>
      </ns0:c>
      <ns0:c r="AH11" s="173">
        <ns0:f>IF(OR('_Engine'!$B$5&lt;&gt;"OK",'_Engine'!$B$4=0),"",IF(MONTH('_Engine'!$B$4+30)=MONTH('_Engine'!$B$4),'_Engine'!$B$4+30,""))</ns0:f>
        <ns0:v>46599</ns0:v>
      </ns0:c>
    </ns0:row>
    <ns0:row r="12" ht="38" customHeight="1">
      <ns0:c r="A12" s="4" t="str">
        <ns0:f>IF('_Engine'!AO12=0,"",IF(INDEX(Team!$B$11:$B$60,'_Engine'!AO12)="","[Unnamed]",INDEX(Team!$B$11:$B$60,'_Engine'!AO12)))</ns0:f>
        <ns0:v>Alex Morgan</ns0:v>
      </ns0:c>
      <ns0:c r="B12" s="156">
        <ns0:f>IF('_Engine'!AO12=0,"",INDEX('_Engine'!$AN$11:$AN$60,'_Engine'!AO12))</ns0:f>
        <ns0:v>15</ns0:v>
      </ns0:c>
      <ns0:c r="C12" s="4" t="str">
        <ns0:f>IF('_Engine'!AO12=0,"",INDEX(Team!$C$11:$C$60,'_Engine'!AO12))</ns0:f>
        <ns0:v>Product</ns0:v>
      </ns0:c>
      <ns0:c r="D12" s="162" t="str">
        <ns0:f>IF(OR($A12="",D$11=""),"",IF(OR('_Engine'!$B$6&gt;0,INDEX('_Engine'!$AM$11:$AM$60,'_Engine'!$AO12)&lt;&gt;"OK"),"!",IF(INDEX(Team!$H$11:$N$60,'_Engine'!$AO12,WEEKDAY(D$11,2))&lt;&gt;"Work","—",IF(COUNTIF(Settings!$F$18:$F$67,D$11)&gt;0,"BH",IF('_Engine'!BC12+'_Engine'!BD12=0,"·",IF('_Engine'!BC12='_Engine'!BD12,INDEX(Settings!$G$7:$G$11,MOD('_Engine'!BC12,10))&amp;IF('_Engine'!BC12&gt;10,"?",""),IF('_Engine'!BC12=0,INDEX(Settings!$G$7:$G$11,MOD('_Engine'!BD12,10))&amp;IF('_Engine'!BD12&gt;10,"?","")&amp;" PM",IF('_Engine'!BD12=0,INDEX(Settings!$G$7:$G$11,MOD('_Engine'!BC12,10))&amp;IF('_Engine'!BC12&gt;10,"?","")&amp;" AM",INDEX(Settings!$G$7:$G$11,MOD('_Engine'!BC12,10))&amp;IF('_Engine'!BC12&gt;10,"?","")&amp;" AM"&amp;CHAR(10)&amp;INDEX(Settings!$G$7:$G$11,MOD('_Engine'!BD12,10))&amp;IF('_Engine'!BD12&gt;10,"?","")&amp;" PM"))))))))</ns0:f>
        <ns0:v>·</ns0:v>
      </ns0:c>
      <ns0:c r="E12" s="162" t="str">
        <ns0:f>IF(OR($A12="",E$11=""),"",IF(OR('_Engine'!$B$6&gt;0,INDEX('_Engine'!$AM$11:$AM$60,'_Engine'!$AO12)&lt;&gt;"OK"),"!",IF(INDEX(Team!$H$11:$N$60,'_Engine'!$AO12,WEEKDAY(E$11,2))&lt;&gt;"Work","—",IF(COUNTIF(Settings!$F$18:$F$67,E$11)&gt;0,"BH",IF('_Engine'!BE12+'_Engine'!BF12=0,"·",IF('_Engine'!BE12='_Engine'!BF12,INDEX(Settings!$G$7:$G$11,MOD('_Engine'!BE12,10))&amp;IF('_Engine'!BE12&gt;10,"?",""),IF('_Engine'!BE12=0,INDEX(Settings!$G$7:$G$11,MOD('_Engine'!BF12,10))&amp;IF('_Engine'!BF12&gt;10,"?","")&amp;" PM",IF('_Engine'!BF12=0,INDEX(Settings!$G$7:$G$11,MOD('_Engine'!BE12,10))&amp;IF('_Engine'!BE12&gt;10,"?","")&amp;" AM",INDEX(Settings!$G$7:$G$11,MOD('_Engine'!BE12,10))&amp;IF('_Engine'!BE12&gt;10,"?","")&amp;" AM"&amp;CHAR(10)&amp;INDEX(Settings!$G$7:$G$11,MOD('_Engine'!BF12,10))&amp;IF('_Engine'!BF12&gt;10,"?","")&amp;" PM"))))))))</ns0:f>
        <ns0:v>·</ns0:v>
      </ns0:c>
      <ns0:c r="F12" s="162" t="str">
        <ns0:f>IF(OR($A12="",F$11=""),"",IF(OR('_Engine'!$B$6&gt;0,INDEX('_Engine'!$AM$11:$AM$60,'_Engine'!$AO12)&lt;&gt;"OK"),"!",IF(INDEX(Team!$H$11:$N$60,'_Engine'!$AO12,WEEKDAY(F$11,2))&lt;&gt;"Work","—",IF(COUNTIF(Settings!$F$18:$F$67,F$11)&gt;0,"BH",IF('_Engine'!BG12+'_Engine'!BH12=0,"·",IF('_Engine'!BG12='_Engine'!BH12,INDEX(Settings!$G$7:$G$11,MOD('_Engine'!BG12,10))&amp;IF('_Engine'!BG12&gt;10,"?",""),IF('_Engine'!BG12=0,INDEX(Settings!$G$7:$G$11,MOD('_Engine'!BH12,10))&amp;IF('_Engine'!BH12&gt;10,"?","")&amp;" PM",IF('_Engine'!BH12=0,INDEX(Settings!$G$7:$G$11,MOD('_Engine'!BG12,10))&amp;IF('_Engine'!BG12&gt;10,"?","")&amp;" AM",INDEX(Settings!$G$7:$G$11,MOD('_Engine'!BG12,10))&amp;IF('_Engine'!BG12&gt;10,"?","")&amp;" AM"&amp;CHAR(10)&amp;INDEX(Settings!$G$7:$G$11,MOD('_Engine'!BH12,10))&amp;IF('_Engine'!BH12&gt;10,"?","")&amp;" PM"))))))))</ns0:f>
        <ns0:v>—</ns0:v>
      </ns0:c>
      <ns0:c r="G12" s="162" t="str">
        <ns0:f>IF(OR($A12="",G$11=""),"",IF(OR('_Engine'!$B$6&gt;0,INDEX('_Engine'!$AM$11:$AM$60,'_Engine'!$AO12)&lt;&gt;"OK"),"!",IF(INDEX(Team!$H$11:$N$60,'_Engine'!$AO12,WEEKDAY(G$11,2))&lt;&gt;"Work","—",IF(COUNTIF(Settings!$F$18:$F$67,G$11)&gt;0,"BH",IF('_Engine'!BI12+'_Engine'!BJ12=0,"·",IF('_Engine'!BI12='_Engine'!BJ12,INDEX(Settings!$G$7:$G$11,MOD('_Engine'!BI12,10))&amp;IF('_Engine'!BI12&gt;10,"?",""),IF('_Engine'!BI12=0,INDEX(Settings!$G$7:$G$11,MOD('_Engine'!BJ12,10))&amp;IF('_Engine'!BJ12&gt;10,"?","")&amp;" PM",IF('_Engine'!BJ12=0,INDEX(Settings!$G$7:$G$11,MOD('_Engine'!BI12,10))&amp;IF('_Engine'!BI12&gt;10,"?","")&amp;" AM",INDEX(Settings!$G$7:$G$11,MOD('_Engine'!BI12,10))&amp;IF('_Engine'!BI12&gt;10,"?","")&amp;" AM"&amp;CHAR(10)&amp;INDEX(Settings!$G$7:$G$11,MOD('_Engine'!BJ12,10))&amp;IF('_Engine'!BJ12&gt;10,"?","")&amp;" PM"))))))))</ns0:f>
        <ns0:v>—</ns0:v>
      </ns0:c>
      <ns0:c r="H12" s="162" t="str">
        <ns0:f>IF(OR($A12="",H$11=""),"",IF(OR('_Engine'!$B$6&gt;0,INDEX('_Engine'!$AM$11:$AM$60,'_Engine'!$AO12)&lt;&gt;"OK"),"!",IF(INDEX(Team!$H$11:$N$60,'_Engine'!$AO12,WEEKDAY(H$11,2))&lt;&gt;"Work","—",IF(COUNTIF(Settings!$F$18:$F$67,H$11)&gt;0,"BH",IF('_Engine'!BK12+'_Engine'!BL12=0,"·",IF('_Engine'!BK12='_Engine'!BL12,INDEX(Settings!$G$7:$G$11,MOD('_Engine'!BK12,10))&amp;IF('_Engine'!BK12&gt;10,"?",""),IF('_Engine'!BK12=0,INDEX(Settings!$G$7:$G$11,MOD('_Engine'!BL12,10))&amp;IF('_Engine'!BL12&gt;10,"?","")&amp;" PM",IF('_Engine'!BL12=0,INDEX(Settings!$G$7:$G$11,MOD('_Engine'!BK12,10))&amp;IF('_Engine'!BK12&gt;10,"?","")&amp;" AM",INDEX(Settings!$G$7:$G$11,MOD('_Engine'!BK12,10))&amp;IF('_Engine'!BK12&gt;10,"?","")&amp;" AM"&amp;CHAR(10)&amp;INDEX(Settings!$G$7:$G$11,MOD('_Engine'!BL12,10))&amp;IF('_Engine'!BL12&gt;10,"?","")&amp;" PM"))))))))</ns0:f>
        <ns0:v>·</ns0:v>
      </ns0:c>
      <ns0:c r="I12" s="162" t="str">
        <ns0:f>IF(OR($A12="",I$11=""),"",IF(OR('_Engine'!$B$6&gt;0,INDEX('_Engine'!$AM$11:$AM$60,'_Engine'!$AO12)&lt;&gt;"OK"),"!",IF(INDEX(Team!$H$11:$N$60,'_Engine'!$AO12,WEEKDAY(I$11,2))&lt;&gt;"Work","—",IF(COUNTIF(Settings!$F$18:$F$67,I$11)&gt;0,"BH",IF('_Engine'!BM12+'_Engine'!BN12=0,"·",IF('_Engine'!BM12='_Engine'!BN12,INDEX(Settings!$G$7:$G$11,MOD('_Engine'!BM12,10))&amp;IF('_Engine'!BM12&gt;10,"?",""),IF('_Engine'!BM12=0,INDEX(Settings!$G$7:$G$11,MOD('_Engine'!BN12,10))&amp;IF('_Engine'!BN12&gt;10,"?","")&amp;" PM",IF('_Engine'!BN12=0,INDEX(Settings!$G$7:$G$11,MOD('_Engine'!BM12,10))&amp;IF('_Engine'!BM12&gt;10,"?","")&amp;" AM",INDEX(Settings!$G$7:$G$11,MOD('_Engine'!BM12,10))&amp;IF('_Engine'!BM12&gt;10,"?","")&amp;" AM"&amp;CHAR(10)&amp;INDEX(Settings!$G$7:$G$11,MOD('_Engine'!BN12,10))&amp;IF('_Engine'!BN12&gt;10,"?","")&amp;" PM"))))))))</ns0:f>
        <ns0:v>·</ns0:v>
      </ns0:c>
      <ns0:c r="J12" s="162" t="str">
        <ns0:f>IF(OR($A12="",J$11=""),"",IF(OR('_Engine'!$B$6&gt;0,INDEX('_Engine'!$AM$11:$AM$60,'_Engine'!$AO12)&lt;&gt;"OK"),"!",IF(INDEX(Team!$H$11:$N$60,'_Engine'!$AO12,WEEKDAY(J$11,2))&lt;&gt;"Work","—",IF(COUNTIF(Settings!$F$18:$F$67,J$11)&gt;0,"BH",IF('_Engine'!BO12+'_Engine'!BP12=0,"·",IF('_Engine'!BO12='_Engine'!BP12,INDEX(Settings!$G$7:$G$11,MOD('_Engine'!BO12,10))&amp;IF('_Engine'!BO12&gt;10,"?",""),IF('_Engine'!BO12=0,INDEX(Settings!$G$7:$G$11,MOD('_Engine'!BP12,10))&amp;IF('_Engine'!BP12&gt;10,"?","")&amp;" PM",IF('_Engine'!BP12=0,INDEX(Settings!$G$7:$G$11,MOD('_Engine'!BO12,10))&amp;IF('_Engine'!BO12&gt;10,"?","")&amp;" AM",INDEX(Settings!$G$7:$G$11,MOD('_Engine'!BO12,10))&amp;IF('_Engine'!BO12&gt;10,"?","")&amp;" AM"&amp;CHAR(10)&amp;INDEX(Settings!$G$7:$G$11,MOD('_Engine'!BP12,10))&amp;IF('_Engine'!BP12&gt;10,"?","")&amp;" PM"))))))))</ns0:f>
        <ns0:v>·</ns0:v>
      </ns0:c>
      <ns0:c r="K12" s="164" t="str">
        <ns0:f>IF(OR($A12="",K$11=""),"",IF(OR('_Engine'!$B$6&gt;0,INDEX('_Engine'!$AM$11:$AM$60,'_Engine'!$AO12)&lt;&gt;"OK"),"!",IF(INDEX(Team!$H$11:$N$60,'_Engine'!$AO12,WEEKDAY(K$11,2))&lt;&gt;"Work","—",IF(COUNTIF(Settings!$F$18:$F$67,K$11)&gt;0,"BH",IF('_Engine'!BQ12+'_Engine'!BR12=0,"·",IF('_Engine'!BQ12='_Engine'!BR12,INDEX(Settings!$G$7:$G$11,MOD('_Engine'!BQ12,10))&amp;IF('_Engine'!BQ12&gt;10,"?",""),IF('_Engine'!BQ12=0,INDEX(Settings!$G$7:$G$11,MOD('_Engine'!BR12,10))&amp;IF('_Engine'!BR12&gt;10,"?","")&amp;" PM",IF('_Engine'!BR12=0,INDEX(Settings!$G$7:$G$11,MOD('_Engine'!BQ12,10))&amp;IF('_Engine'!BQ12&gt;10,"?","")&amp;" AM",INDEX(Settings!$G$7:$G$11,MOD('_Engine'!BQ12,10))&amp;IF('_Engine'!BQ12&gt;10,"?","")&amp;" AM"&amp;CHAR(10)&amp;INDEX(Settings!$G$7:$G$11,MOD('_Engine'!BR12,10))&amp;IF('_Engine'!BR12&gt;10,"?","")&amp;" PM"))))))))</ns0:f>
        <ns0:v>·</ns0:v>
      </ns0:c>
      <ns0:c r="L12" s="164" t="str">
        <ns0:f>IF(OR($A12="",L$11=""),"",IF(OR('_Engine'!$B$6&gt;0,INDEX('_Engine'!$AM$11:$AM$60,'_Engine'!$AO12)&lt;&gt;"OK"),"!",IF(INDEX(Team!$H$11:$N$60,'_Engine'!$AO12,WEEKDAY(L$11,2))&lt;&gt;"Work","—",IF(COUNTIF(Settings!$F$18:$F$67,L$11)&gt;0,"BH",IF('_Engine'!BS12+'_Engine'!BT12=0,"·",IF('_Engine'!BS12='_Engine'!BT12,INDEX(Settings!$G$7:$G$11,MOD('_Engine'!BS12,10))&amp;IF('_Engine'!BS12&gt;10,"?",""),IF('_Engine'!BS12=0,INDEX(Settings!$G$7:$G$11,MOD('_Engine'!BT12,10))&amp;IF('_Engine'!BT12&gt;10,"?","")&amp;" PM",IF('_Engine'!BT12=0,INDEX(Settings!$G$7:$G$11,MOD('_Engine'!BS12,10))&amp;IF('_Engine'!BS12&gt;10,"?","")&amp;" AM",INDEX(Settings!$G$7:$G$11,MOD('_Engine'!BS12,10))&amp;IF('_Engine'!BS12&gt;10,"?","")&amp;" AM"&amp;CHAR(10)&amp;INDEX(Settings!$G$7:$G$11,MOD('_Engine'!BT12,10))&amp;IF('_Engine'!BT12&gt;10,"?","")&amp;" PM"))))))))</ns0:f>
        <ns0:v>·</ns0:v>
      </ns0:c>
      <ns0:c r="M12" s="164" t="str">
        <ns0:f>IF(OR($A12="",M$11=""),"",IF(OR('_Engine'!$B$6&gt;0,INDEX('_Engine'!$AM$11:$AM$60,'_Engine'!$AO12)&lt;&gt;"OK"),"!",IF(INDEX(Team!$H$11:$N$60,'_Engine'!$AO12,WEEKDAY(M$11,2))&lt;&gt;"Work","—",IF(COUNTIF(Settings!$F$18:$F$67,M$11)&gt;0,"BH",IF('_Engine'!BU12+'_Engine'!BV12=0,"·",IF('_Engine'!BU12='_Engine'!BV12,INDEX(Settings!$G$7:$G$11,MOD('_Engine'!BU12,10))&amp;IF('_Engine'!BU12&gt;10,"?",""),IF('_Engine'!BU12=0,INDEX(Settings!$G$7:$G$11,MOD('_Engine'!BV12,10))&amp;IF('_Engine'!BV12&gt;10,"?","")&amp;" PM",IF('_Engine'!BV12=0,INDEX(Settings!$G$7:$G$11,MOD('_Engine'!BU12,10))&amp;IF('_Engine'!BU12&gt;10,"?","")&amp;" AM",INDEX(Settings!$G$7:$G$11,MOD('_Engine'!BU12,10))&amp;IF('_Engine'!BU12&gt;10,"?","")&amp;" AM"&amp;CHAR(10)&amp;INDEX(Settings!$G$7:$G$11,MOD('_Engine'!BV12,10))&amp;IF('_Engine'!BV12&gt;10,"?","")&amp;" PM"))))))))</ns0:f>
        <ns0:v>—</ns0:v>
      </ns0:c>
      <ns0:c r="N12" s="164" t="str">
        <ns0:f>IF(OR($A12="",N$11=""),"",IF(OR('_Engine'!$B$6&gt;0,INDEX('_Engine'!$AM$11:$AM$60,'_Engine'!$AO12)&lt;&gt;"OK"),"!",IF(INDEX(Team!$H$11:$N$60,'_Engine'!$AO12,WEEKDAY(N$11,2))&lt;&gt;"Work","—",IF(COUNTIF(Settings!$F$18:$F$67,N$11)&gt;0,"BH",IF('_Engine'!BW12+'_Engine'!BX12=0,"·",IF('_Engine'!BW12='_Engine'!BX12,INDEX(Settings!$G$7:$G$11,MOD('_Engine'!BW12,10))&amp;IF('_Engine'!BW12&gt;10,"?",""),IF('_Engine'!BW12=0,INDEX(Settings!$G$7:$G$11,MOD('_Engine'!BX12,10))&amp;IF('_Engine'!BX12&gt;10,"?","")&amp;" PM",IF('_Engine'!BX12=0,INDEX(Settings!$G$7:$G$11,MOD('_Engine'!BW12,10))&amp;IF('_Engine'!BW12&gt;10,"?","")&amp;" AM",INDEX(Settings!$G$7:$G$11,MOD('_Engine'!BW12,10))&amp;IF('_Engine'!BW12&gt;10,"?","")&amp;" AM"&amp;CHAR(10)&amp;INDEX(Settings!$G$7:$G$11,MOD('_Engine'!BX12,10))&amp;IF('_Engine'!BX12&gt;10,"?","")&amp;" PM"))))))))</ns0:f>
        <ns0:v>—</ns0:v>
      </ns0:c>
      <ns0:c r="O12" s="164" t="str">
        <ns0:f>IF(OR($A12="",O$11=""),"",IF(OR('_Engine'!$B$6&gt;0,INDEX('_Engine'!$AM$11:$AM$60,'_Engine'!$AO12)&lt;&gt;"OK"),"!",IF(INDEX(Team!$H$11:$N$60,'_Engine'!$AO12,WEEKDAY(O$11,2))&lt;&gt;"Work","—",IF(COUNTIF(Settings!$F$18:$F$67,O$11)&gt;0,"BH",IF('_Engine'!BY12+'_Engine'!BZ12=0,"·",IF('_Engine'!BY12='_Engine'!BZ12,INDEX(Settings!$G$7:$G$11,MOD('_Engine'!BY12,10))&amp;IF('_Engine'!BY12&gt;10,"?",""),IF('_Engine'!BY12=0,INDEX(Settings!$G$7:$G$11,MOD('_Engine'!BZ12,10))&amp;IF('_Engine'!BZ12&gt;10,"?","")&amp;" PM",IF('_Engine'!BZ12=0,INDEX(Settings!$G$7:$G$11,MOD('_Engine'!BY12,10))&amp;IF('_Engine'!BY12&gt;10,"?","")&amp;" AM",INDEX(Settings!$G$7:$G$11,MOD('_Engine'!BY12,10))&amp;IF('_Engine'!BY12&gt;10,"?","")&amp;" AM"&amp;CHAR(10)&amp;INDEX(Settings!$G$7:$G$11,MOD('_Engine'!BZ12,10))&amp;IF('_Engine'!BZ12&gt;10,"?","")&amp;" PM"))))))))</ns0:f>
        <ns0:v>H</ns0:v>
      </ns0:c>
      <ns0:c r="P12" s="164" t="str">
        <ns0:f>IF(OR($A12="",P$11=""),"",IF(OR('_Engine'!$B$6&gt;0,INDEX('_Engine'!$AM$11:$AM$60,'_Engine'!$AO12)&lt;&gt;"OK"),"!",IF(INDEX(Team!$H$11:$N$60,'_Engine'!$AO12,WEEKDAY(P$11,2))&lt;&gt;"Work","—",IF(COUNTIF(Settings!$F$18:$F$67,P$11)&gt;0,"BH",IF('_Engine'!CA12+'_Engine'!CB12=0,"·",IF('_Engine'!CA12='_Engine'!CB12,INDEX(Settings!$G$7:$G$11,MOD('_Engine'!CA12,10))&amp;IF('_Engine'!CA12&gt;10,"?",""),IF('_Engine'!CA12=0,INDEX(Settings!$G$7:$G$11,MOD('_Engine'!CB12,10))&amp;IF('_Engine'!CB12&gt;10,"?","")&amp;" PM",IF('_Engine'!CB12=0,INDEX(Settings!$G$7:$G$11,MOD('_Engine'!CA12,10))&amp;IF('_Engine'!CA12&gt;10,"?","")&amp;" AM",INDEX(Settings!$G$7:$G$11,MOD('_Engine'!CA12,10))&amp;IF('_Engine'!CA12&gt;10,"?","")&amp;" AM"&amp;CHAR(10)&amp;INDEX(Settings!$G$7:$G$11,MOD('_Engine'!CB12,10))&amp;IF('_Engine'!CB12&gt;10,"?","")&amp;" PM"))))))))</ns0:f>
        <ns0:v>H</ns0:v>
      </ns0:c>
      <ns0:c r="Q12" s="164" t="str">
        <ns0:f>IF(OR($A12="",Q$11=""),"",IF(OR('_Engine'!$B$6&gt;0,INDEX('_Engine'!$AM$11:$AM$60,'_Engine'!$AO12)&lt;&gt;"OK"),"!",IF(INDEX(Team!$H$11:$N$60,'_Engine'!$AO12,WEEKDAY(Q$11,2))&lt;&gt;"Work","—",IF(COUNTIF(Settings!$F$18:$F$67,Q$11)&gt;0,"BH",IF('_Engine'!CC12+'_Engine'!CD12=0,"·",IF('_Engine'!CC12='_Engine'!CD12,INDEX(Settings!$G$7:$G$11,MOD('_Engine'!CC12,10))&amp;IF('_Engine'!CC12&gt;10,"?",""),IF('_Engine'!CC12=0,INDEX(Settings!$G$7:$G$11,MOD('_Engine'!CD12,10))&amp;IF('_Engine'!CD12&gt;10,"?","")&amp;" PM",IF('_Engine'!CD12=0,INDEX(Settings!$G$7:$G$11,MOD('_Engine'!CC12,10))&amp;IF('_Engine'!CC12&gt;10,"?","")&amp;" AM",INDEX(Settings!$G$7:$G$11,MOD('_Engine'!CC12,10))&amp;IF('_Engine'!CC12&gt;10,"?","")&amp;" AM"&amp;CHAR(10)&amp;INDEX(Settings!$G$7:$G$11,MOD('_Engine'!CD12,10))&amp;IF('_Engine'!CD12&gt;10,"?","")&amp;" PM"))))))))</ns0:f>
        <ns0:v>H</ns0:v>
      </ns0:c>
      <ns0:c r="R12" s="164" t="str">
        <ns0:f>IF(OR($A12="",R$11=""),"",IF(OR('_Engine'!$B$6&gt;0,INDEX('_Engine'!$AM$11:$AM$60,'_Engine'!$AO12)&lt;&gt;"OK"),"!",IF(INDEX(Team!$H$11:$N$60,'_Engine'!$AO12,WEEKDAY(R$11,2))&lt;&gt;"Work","—",IF(COUNTIF(Settings!$F$18:$F$67,R$11)&gt;0,"BH",IF('_Engine'!CE12+'_Engine'!CF12=0,"·",IF('_Engine'!CE12='_Engine'!CF12,INDEX(Settings!$G$7:$G$11,MOD('_Engine'!CE12,10))&amp;IF('_Engine'!CE12&gt;10,"?",""),IF('_Engine'!CE12=0,INDEX(Settings!$G$7:$G$11,MOD('_Engine'!CF12,10))&amp;IF('_Engine'!CF12&gt;10,"?","")&amp;" PM",IF('_Engine'!CF12=0,INDEX(Settings!$G$7:$G$11,MOD('_Engine'!CE12,10))&amp;IF('_Engine'!CE12&gt;10,"?","")&amp;" AM",INDEX(Settings!$G$7:$G$11,MOD('_Engine'!CE12,10))&amp;IF('_Engine'!CE12&gt;10,"?","")&amp;" AM"&amp;CHAR(10)&amp;INDEX(Settings!$G$7:$G$11,MOD('_Engine'!CF12,10))&amp;IF('_Engine'!CF12&gt;10,"?","")&amp;" PM"))))))))</ns0:f>
        <ns0:v>H</ns0:v>
      </ns0:c>
      <ns0:c r="S12" s="164" t="str">
        <ns0:f>IF(OR($A12="",S$11=""),"",IF(OR('_Engine'!$B$6&gt;0,INDEX('_Engine'!$AM$11:$AM$60,'_Engine'!$AO12)&lt;&gt;"OK"),"!",IF(INDEX(Team!$H$11:$N$60,'_Engine'!$AO12,WEEKDAY(S$11,2))&lt;&gt;"Work","—",IF(COUNTIF(Settings!$F$18:$F$67,S$11)&gt;0,"BH",IF('_Engine'!CG12+'_Engine'!CH12=0,"·",IF('_Engine'!CG12='_Engine'!CH12,INDEX(Settings!$G$7:$G$11,MOD('_Engine'!CG12,10))&amp;IF('_Engine'!CG12&gt;10,"?",""),IF('_Engine'!CG12=0,INDEX(Settings!$G$7:$G$11,MOD('_Engine'!CH12,10))&amp;IF('_Engine'!CH12&gt;10,"?","")&amp;" PM",IF('_Engine'!CH12=0,INDEX(Settings!$G$7:$G$11,MOD('_Engine'!CG12,10))&amp;IF('_Engine'!CG12&gt;10,"?","")&amp;" AM",INDEX(Settings!$G$7:$G$11,MOD('_Engine'!CG12,10))&amp;IF('_Engine'!CG12&gt;10,"?","")&amp;" AM"&amp;CHAR(10)&amp;INDEX(Settings!$G$7:$G$11,MOD('_Engine'!CH12,10))&amp;IF('_Engine'!CH12&gt;10,"?","")&amp;" PM"))))))))</ns0:f>
        <ns0:v>H</ns0:v>
      </ns0:c>
      <ns0:c r="T12" s="164" t="str">
        <ns0:f>IF(OR($A12="",T$11=""),"",IF(OR('_Engine'!$B$6&gt;0,INDEX('_Engine'!$AM$11:$AM$60,'_Engine'!$AO12)&lt;&gt;"OK"),"!",IF(INDEX(Team!$H$11:$N$60,'_Engine'!$AO12,WEEKDAY(T$11,2))&lt;&gt;"Work","—",IF(COUNTIF(Settings!$F$18:$F$67,T$11)&gt;0,"BH",IF('_Engine'!CI12+'_Engine'!CJ12=0,"·",IF('_Engine'!CI12='_Engine'!CJ12,INDEX(Settings!$G$7:$G$11,MOD('_Engine'!CI12,10))&amp;IF('_Engine'!CI12&gt;10,"?",""),IF('_Engine'!CI12=0,INDEX(Settings!$G$7:$G$11,MOD('_Engine'!CJ12,10))&amp;IF('_Engine'!CJ12&gt;10,"?","")&amp;" PM",IF('_Engine'!CJ12=0,INDEX(Settings!$G$7:$G$11,MOD('_Engine'!CI12,10))&amp;IF('_Engine'!CI12&gt;10,"?","")&amp;" AM",INDEX(Settings!$G$7:$G$11,MOD('_Engine'!CI12,10))&amp;IF('_Engine'!CI12&gt;10,"?","")&amp;" AM"&amp;CHAR(10)&amp;INDEX(Settings!$G$7:$G$11,MOD('_Engine'!CJ12,10))&amp;IF('_Engine'!CJ12&gt;10,"?","")&amp;" PM"))))))))</ns0:f>
        <ns0:v>—</ns0:v>
      </ns0:c>
      <ns0:c r="U12" s="164" t="str">
        <ns0:f>IF(OR($A12="",U$11=""),"",IF(OR('_Engine'!$B$6&gt;0,INDEX('_Engine'!$AM$11:$AM$60,'_Engine'!$AO12)&lt;&gt;"OK"),"!",IF(INDEX(Team!$H$11:$N$60,'_Engine'!$AO12,WEEKDAY(U$11,2))&lt;&gt;"Work","—",IF(COUNTIF(Settings!$F$18:$F$67,U$11)&gt;0,"BH",IF('_Engine'!CK12+'_Engine'!CL12=0,"·",IF('_Engine'!CK12='_Engine'!CL12,INDEX(Settings!$G$7:$G$11,MOD('_Engine'!CK12,10))&amp;IF('_Engine'!CK12&gt;10,"?",""),IF('_Engine'!CK12=0,INDEX(Settings!$G$7:$G$11,MOD('_Engine'!CL12,10))&amp;IF('_Engine'!CL12&gt;10,"?","")&amp;" PM",IF('_Engine'!CL12=0,INDEX(Settings!$G$7:$G$11,MOD('_Engine'!CK12,10))&amp;IF('_Engine'!CK12&gt;10,"?","")&amp;" AM",INDEX(Settings!$G$7:$G$11,MOD('_Engine'!CK12,10))&amp;IF('_Engine'!CK12&gt;10,"?","")&amp;" AM"&amp;CHAR(10)&amp;INDEX(Settings!$G$7:$G$11,MOD('_Engine'!CL12,10))&amp;IF('_Engine'!CL12&gt;10,"?","")&amp;" PM"))))))))</ns0:f>
        <ns0:v>—</ns0:v>
      </ns0:c>
      <ns0:c r="V12" s="164" t="str">
        <ns0:f>IF(OR($A12="",V$11=""),"",IF(OR('_Engine'!$B$6&gt;0,INDEX('_Engine'!$AM$11:$AM$60,'_Engine'!$AO12)&lt;&gt;"OK"),"!",IF(INDEX(Team!$H$11:$N$60,'_Engine'!$AO12,WEEKDAY(V$11,2))&lt;&gt;"Work","—",IF(COUNTIF(Settings!$F$18:$F$67,V$11)&gt;0,"BH",IF('_Engine'!CM12+'_Engine'!CN12=0,"·",IF('_Engine'!CM12='_Engine'!CN12,INDEX(Settings!$G$7:$G$11,MOD('_Engine'!CM12,10))&amp;IF('_Engine'!CM12&gt;10,"?",""),IF('_Engine'!CM12=0,INDEX(Settings!$G$7:$G$11,MOD('_Engine'!CN12,10))&amp;IF('_Engine'!CN12&gt;10,"?","")&amp;" PM",IF('_Engine'!CN12=0,INDEX(Settings!$G$7:$G$11,MOD('_Engine'!CM12,10))&amp;IF('_Engine'!CM12&gt;10,"?","")&amp;" AM",INDEX(Settings!$G$7:$G$11,MOD('_Engine'!CM12,10))&amp;IF('_Engine'!CM12&gt;10,"?","")&amp;" AM"&amp;CHAR(10)&amp;INDEX(Settings!$G$7:$G$11,MOD('_Engine'!CN12,10))&amp;IF('_Engine'!CN12&gt;10,"?","")&amp;" PM"))))))))</ns0:f>
        <ns0:v>·</ns0:v>
      </ns0:c>
      <ns0:c r="W12" s="164" t="str">
        <ns0:f>IF(OR($A12="",W$11=""),"",IF(OR('_Engine'!$B$6&gt;0,INDEX('_Engine'!$AM$11:$AM$60,'_Engine'!$AO12)&lt;&gt;"OK"),"!",IF(INDEX(Team!$H$11:$N$60,'_Engine'!$AO12,WEEKDAY(W$11,2))&lt;&gt;"Work","—",IF(COUNTIF(Settings!$F$18:$F$67,W$11)&gt;0,"BH",IF('_Engine'!CO12+'_Engine'!CP12=0,"·",IF('_Engine'!CO12='_Engine'!CP12,INDEX(Settings!$G$7:$G$11,MOD('_Engine'!CO12,10))&amp;IF('_Engine'!CO12&gt;10,"?",""),IF('_Engine'!CO12=0,INDEX(Settings!$G$7:$G$11,MOD('_Engine'!CP12,10))&amp;IF('_Engine'!CP12&gt;10,"?","")&amp;" PM",IF('_Engine'!CP12=0,INDEX(Settings!$G$7:$G$11,MOD('_Engine'!CO12,10))&amp;IF('_Engine'!CO12&gt;10,"?","")&amp;" AM",INDEX(Settings!$G$7:$G$11,MOD('_Engine'!CO12,10))&amp;IF('_Engine'!CO12&gt;10,"?","")&amp;" AM"&amp;CHAR(10)&amp;INDEX(Settings!$G$7:$G$11,MOD('_Engine'!CP12,10))&amp;IF('_Engine'!CP12&gt;10,"?","")&amp;" PM"))))))))</ns0:f>
        <ns0:v>·</ns0:v>
      </ns0:c>
      <ns0:c r="X12" s="164" t="str">
        <ns0:f>IF(OR($A12="",X$11=""),"",IF(OR('_Engine'!$B$6&gt;0,INDEX('_Engine'!$AM$11:$AM$60,'_Engine'!$AO12)&lt;&gt;"OK"),"!",IF(INDEX(Team!$H$11:$N$60,'_Engine'!$AO12,WEEKDAY(X$11,2))&lt;&gt;"Work","—",IF(COUNTIF(Settings!$F$18:$F$67,X$11)&gt;0,"BH",IF('_Engine'!CQ12+'_Engine'!CR12=0,"·",IF('_Engine'!CQ12='_Engine'!CR12,INDEX(Settings!$G$7:$G$11,MOD('_Engine'!CQ12,10))&amp;IF('_Engine'!CQ12&gt;10,"?",""),IF('_Engine'!CQ12=0,INDEX(Settings!$G$7:$G$11,MOD('_Engine'!CR12,10))&amp;IF('_Engine'!CR12&gt;10,"?","")&amp;" PM",IF('_Engine'!CR12=0,INDEX(Settings!$G$7:$G$11,MOD('_Engine'!CQ12,10))&amp;IF('_Engine'!CQ12&gt;10,"?","")&amp;" AM",INDEX(Settings!$G$7:$G$11,MOD('_Engine'!CQ12,10))&amp;IF('_Engine'!CQ12&gt;10,"?","")&amp;" AM"&amp;CHAR(10)&amp;INDEX(Settings!$G$7:$G$11,MOD('_Engine'!CR12,10))&amp;IF('_Engine'!CR12&gt;10,"?","")&amp;" PM"))))))))</ns0:f>
        <ns0:v>·</ns0:v>
      </ns0:c>
      <ns0:c r="Y12" s="164" t="str">
        <ns0:f>IF(OR($A12="",Y$11=""),"",IF(OR('_Engine'!$B$6&gt;0,INDEX('_Engine'!$AM$11:$AM$60,'_Engine'!$AO12)&lt;&gt;"OK"),"!",IF(INDEX(Team!$H$11:$N$60,'_Engine'!$AO12,WEEKDAY(Y$11,2))&lt;&gt;"Work","—",IF(COUNTIF(Settings!$F$18:$F$67,Y$11)&gt;0,"BH",IF('_Engine'!CS12+'_Engine'!CT12=0,"·",IF('_Engine'!CS12='_Engine'!CT12,INDEX(Settings!$G$7:$G$11,MOD('_Engine'!CS12,10))&amp;IF('_Engine'!CS12&gt;10,"?",""),IF('_Engine'!CS12=0,INDEX(Settings!$G$7:$G$11,MOD('_Engine'!CT12,10))&amp;IF('_Engine'!CT12&gt;10,"?","")&amp;" PM",IF('_Engine'!CT12=0,INDEX(Settings!$G$7:$G$11,MOD('_Engine'!CS12,10))&amp;IF('_Engine'!CS12&gt;10,"?","")&amp;" AM",INDEX(Settings!$G$7:$G$11,MOD('_Engine'!CS12,10))&amp;IF('_Engine'!CS12&gt;10,"?","")&amp;" AM"&amp;CHAR(10)&amp;INDEX(Settings!$G$7:$G$11,MOD('_Engine'!CT12,10))&amp;IF('_Engine'!CT12&gt;10,"?","")&amp;" PM"))))))))</ns0:f>
        <ns0:v>·</ns0:v>
      </ns0:c>
      <ns0:c r="Z12" s="164" t="str">
        <ns0:f>IF(OR($A12="",Z$11=""),"",IF(OR('_Engine'!$B$6&gt;0,INDEX('_Engine'!$AM$11:$AM$60,'_Engine'!$AO12)&lt;&gt;"OK"),"!",IF(INDEX(Team!$H$11:$N$60,'_Engine'!$AO12,WEEKDAY(Z$11,2))&lt;&gt;"Work","—",IF(COUNTIF(Settings!$F$18:$F$67,Z$11)&gt;0,"BH",IF('_Engine'!CU12+'_Engine'!CV12=0,"·",IF('_Engine'!CU12='_Engine'!CV12,INDEX(Settings!$G$7:$G$11,MOD('_Engine'!CU12,10))&amp;IF('_Engine'!CU12&gt;10,"?",""),IF('_Engine'!CU12=0,INDEX(Settings!$G$7:$G$11,MOD('_Engine'!CV12,10))&amp;IF('_Engine'!CV12&gt;10,"?","")&amp;" PM",IF('_Engine'!CV12=0,INDEX(Settings!$G$7:$G$11,MOD('_Engine'!CU12,10))&amp;IF('_Engine'!CU12&gt;10,"?","")&amp;" AM",INDEX(Settings!$G$7:$G$11,MOD('_Engine'!CU12,10))&amp;IF('_Engine'!CU12&gt;10,"?","")&amp;" AM"&amp;CHAR(10)&amp;INDEX(Settings!$G$7:$G$11,MOD('_Engine'!CV12,10))&amp;IF('_Engine'!CV12&gt;10,"?","")&amp;" PM"))))))))</ns0:f>
        <ns0:v>BH</ns0:v>
      </ns0:c>
      <ns0:c r="AA12" s="164" t="str">
        <ns0:f>IF(OR($A12="",AA$11=""),"",IF(OR('_Engine'!$B$6&gt;0,INDEX('_Engine'!$AM$11:$AM$60,'_Engine'!$AO12)&lt;&gt;"OK"),"!",IF(INDEX(Team!$H$11:$N$60,'_Engine'!$AO12,WEEKDAY(AA$11,2))&lt;&gt;"Work","—",IF(COUNTIF(Settings!$F$18:$F$67,AA$11)&gt;0,"BH",IF('_Engine'!CW12+'_Engine'!CX12=0,"·",IF('_Engine'!CW12='_Engine'!CX12,INDEX(Settings!$G$7:$G$11,MOD('_Engine'!CW12,10))&amp;IF('_Engine'!CW12&gt;10,"?",""),IF('_Engine'!CW12=0,INDEX(Settings!$G$7:$G$11,MOD('_Engine'!CX12,10))&amp;IF('_Engine'!CX12&gt;10,"?","")&amp;" PM",IF('_Engine'!CX12=0,INDEX(Settings!$G$7:$G$11,MOD('_Engine'!CW12,10))&amp;IF('_Engine'!CW12&gt;10,"?","")&amp;" AM",INDEX(Settings!$G$7:$G$11,MOD('_Engine'!CW12,10))&amp;IF('_Engine'!CW12&gt;10,"?","")&amp;" AM"&amp;CHAR(10)&amp;INDEX(Settings!$G$7:$G$11,MOD('_Engine'!CX12,10))&amp;IF('_Engine'!CX12&gt;10,"?","")&amp;" PM"))))))))</ns0:f>
        <ns0:v>—</ns0:v>
      </ns0:c>
      <ns0:c r="AB12" s="164" t="str">
        <ns0:f>IF(OR($A12="",AB$11=""),"",IF(OR('_Engine'!$B$6&gt;0,INDEX('_Engine'!$AM$11:$AM$60,'_Engine'!$AO12)&lt;&gt;"OK"),"!",IF(INDEX(Team!$H$11:$N$60,'_Engine'!$AO12,WEEKDAY(AB$11,2))&lt;&gt;"Work","—",IF(COUNTIF(Settings!$F$18:$F$67,AB$11)&gt;0,"BH",IF('_Engine'!CY12+'_Engine'!CZ12=0,"·",IF('_Engine'!CY12='_Engine'!CZ12,INDEX(Settings!$G$7:$G$11,MOD('_Engine'!CY12,10))&amp;IF('_Engine'!CY12&gt;10,"?",""),IF('_Engine'!CY12=0,INDEX(Settings!$G$7:$G$11,MOD('_Engine'!CZ12,10))&amp;IF('_Engine'!CZ12&gt;10,"?","")&amp;" PM",IF('_Engine'!CZ12=0,INDEX(Settings!$G$7:$G$11,MOD('_Engine'!CY12,10))&amp;IF('_Engine'!CY12&gt;10,"?","")&amp;" AM",INDEX(Settings!$G$7:$G$11,MOD('_Engine'!CY12,10))&amp;IF('_Engine'!CY12&gt;10,"?","")&amp;" AM"&amp;CHAR(10)&amp;INDEX(Settings!$G$7:$G$11,MOD('_Engine'!CZ12,10))&amp;IF('_Engine'!CZ12&gt;10,"?","")&amp;" PM"))))))))</ns0:f>
        <ns0:v>—</ns0:v>
      </ns0:c>
      <ns0:c r="AC12" s="164" t="str">
        <ns0:f>IF(OR($A12="",AC$11=""),"",IF(OR('_Engine'!$B$6&gt;0,INDEX('_Engine'!$AM$11:$AM$60,'_Engine'!$AO12)&lt;&gt;"OK"),"!",IF(INDEX(Team!$H$11:$N$60,'_Engine'!$AO12,WEEKDAY(AC$11,2))&lt;&gt;"Work","—",IF(COUNTIF(Settings!$F$18:$F$67,AC$11)&gt;0,"BH",IF('_Engine'!DA12+'_Engine'!DB12=0,"·",IF('_Engine'!DA12='_Engine'!DB12,INDEX(Settings!$G$7:$G$11,MOD('_Engine'!DA12,10))&amp;IF('_Engine'!DA12&gt;10,"?",""),IF('_Engine'!DA12=0,INDEX(Settings!$G$7:$G$11,MOD('_Engine'!DB12,10))&amp;IF('_Engine'!DB12&gt;10,"?","")&amp;" PM",IF('_Engine'!DB12=0,INDEX(Settings!$G$7:$G$11,MOD('_Engine'!DA12,10))&amp;IF('_Engine'!DA12&gt;10,"?","")&amp;" AM",INDEX(Settings!$G$7:$G$11,MOD('_Engine'!DA12,10))&amp;IF('_Engine'!DA12&gt;10,"?","")&amp;" AM"&amp;CHAR(10)&amp;INDEX(Settings!$G$7:$G$11,MOD('_Engine'!DB12,10))&amp;IF('_Engine'!DB12&gt;10,"?","")&amp;" PM"))))))))</ns0:f>
        <ns0:v>·</ns0:v>
      </ns0:c>
      <ns0:c r="AD12" s="164" t="str">
        <ns0:f>IF(OR($A12="",AD$11=""),"",IF(OR('_Engine'!$B$6&gt;0,INDEX('_Engine'!$AM$11:$AM$60,'_Engine'!$AO12)&lt;&gt;"OK"),"!",IF(INDEX(Team!$H$11:$N$60,'_Engine'!$AO12,WEEKDAY(AD$11,2))&lt;&gt;"Work","—",IF(COUNTIF(Settings!$F$18:$F$67,AD$11)&gt;0,"BH",IF('_Engine'!DC12+'_Engine'!DD12=0,"·",IF('_Engine'!DC12='_Engine'!DD12,INDEX(Settings!$G$7:$G$11,MOD('_Engine'!DC12,10))&amp;IF('_Engine'!DC12&gt;10,"?",""),IF('_Engine'!DC12=0,INDEX(Settings!$G$7:$G$11,MOD('_Engine'!DD12,10))&amp;IF('_Engine'!DD12&gt;10,"?","")&amp;" PM",IF('_Engine'!DD12=0,INDEX(Settings!$G$7:$G$11,MOD('_Engine'!DC12,10))&amp;IF('_Engine'!DC12&gt;10,"?","")&amp;" AM",INDEX(Settings!$G$7:$G$11,MOD('_Engine'!DC12,10))&amp;IF('_Engine'!DC12&gt;10,"?","")&amp;" AM"&amp;CHAR(10)&amp;INDEX(Settings!$G$7:$G$11,MOD('_Engine'!DD12,10))&amp;IF('_Engine'!DD12&gt;10,"?","")&amp;" PM"))))))))</ns0:f>
        <ns0:v>·</ns0:v>
      </ns0:c>
      <ns0:c r="AE12" s="164" t="str">
        <ns0:f>IF(OR($A12="",AE$11=""),"",IF(OR('_Engine'!$B$6&gt;0,INDEX('_Engine'!$AM$11:$AM$60,'_Engine'!$AO12)&lt;&gt;"OK"),"!",IF(INDEX(Team!$H$11:$N$60,'_Engine'!$AO12,WEEKDAY(AE$11,2))&lt;&gt;"Work","—",IF(COUNTIF(Settings!$F$18:$F$67,AE$11)&gt;0,"BH",IF('_Engine'!DE12+'_Engine'!DF12=0,"·",IF('_Engine'!DE12='_Engine'!DF12,INDEX(Settings!$G$7:$G$11,MOD('_Engine'!DE12,10))&amp;IF('_Engine'!DE12&gt;10,"?",""),IF('_Engine'!DE12=0,INDEX(Settings!$G$7:$G$11,MOD('_Engine'!DF12,10))&amp;IF('_Engine'!DF12&gt;10,"?","")&amp;" PM",IF('_Engine'!DF12=0,INDEX(Settings!$G$7:$G$11,MOD('_Engine'!DE12,10))&amp;IF('_Engine'!DE12&gt;10,"?","")&amp;" AM",INDEX(Settings!$G$7:$G$11,MOD('_Engine'!DE12,10))&amp;IF('_Engine'!DE12&gt;10,"?","")&amp;" AM"&amp;CHAR(10)&amp;INDEX(Settings!$G$7:$G$11,MOD('_Engine'!DF12,10))&amp;IF('_Engine'!DF12&gt;10,"?","")&amp;" PM"))))))))</ns0:f>
        <ns0:v>·</ns0:v>
      </ns0:c>
      <ns0:c r="AF12" s="164" t="str">
        <ns0:f>IF(OR($A12="",AF$11=""),"",IF(OR('_Engine'!$B$6&gt;0,INDEX('_Engine'!$AM$11:$AM$60,'_Engine'!$AO12)&lt;&gt;"OK"),"!",IF(INDEX(Team!$H$11:$N$60,'_Engine'!$AO12,WEEKDAY(AF$11,2))&lt;&gt;"Work","—",IF(COUNTIF(Settings!$F$18:$F$67,AF$11)&gt;0,"BH",IF('_Engine'!DG12+'_Engine'!DH12=0,"·",IF('_Engine'!DG12='_Engine'!DH12,INDEX(Settings!$G$7:$G$11,MOD('_Engine'!DG12,10))&amp;IF('_Engine'!DG12&gt;10,"?",""),IF('_Engine'!DG12=0,INDEX(Settings!$G$7:$G$11,MOD('_Engine'!DH12,10))&amp;IF('_Engine'!DH12&gt;10,"?","")&amp;" PM",IF('_Engine'!DH12=0,INDEX(Settings!$G$7:$G$11,MOD('_Engine'!DG12,10))&amp;IF('_Engine'!DG12&gt;10,"?","")&amp;" AM",INDEX(Settings!$G$7:$G$11,MOD('_Engine'!DG12,10))&amp;IF('_Engine'!DG12&gt;10,"?","")&amp;" AM"&amp;CHAR(10)&amp;INDEX(Settings!$G$7:$G$11,MOD('_Engine'!DH12,10))&amp;IF('_Engine'!DH12&gt;10,"?","")&amp;" PM"))))))))</ns0:f>
        <ns0:v>·</ns0:v>
      </ns0:c>
      <ns0:c r="AG12" s="164" t="str">
        <ns0:f>IF(OR($A12="",AG$11=""),"",IF(OR('_Engine'!$B$6&gt;0,INDEX('_Engine'!$AM$11:$AM$60,'_Engine'!$AO12)&lt;&gt;"OK"),"!",IF(INDEX(Team!$H$11:$N$60,'_Engine'!$AO12,WEEKDAY(AG$11,2))&lt;&gt;"Work","—",IF(COUNTIF(Settings!$F$18:$F$67,AG$11)&gt;0,"BH",IF('_Engine'!DI12+'_Engine'!DJ12=0,"·",IF('_Engine'!DI12='_Engine'!DJ12,INDEX(Settings!$G$7:$G$11,MOD('_Engine'!DI12,10))&amp;IF('_Engine'!DI12&gt;10,"?",""),IF('_Engine'!DI12=0,INDEX(Settings!$G$7:$G$11,MOD('_Engine'!DJ12,10))&amp;IF('_Engine'!DJ12&gt;10,"?","")&amp;" PM",IF('_Engine'!DJ12=0,INDEX(Settings!$G$7:$G$11,MOD('_Engine'!DI12,10))&amp;IF('_Engine'!DI12&gt;10,"?","")&amp;" AM",INDEX(Settings!$G$7:$G$11,MOD('_Engine'!DI12,10))&amp;IF('_Engine'!DI12&gt;10,"?","")&amp;" AM"&amp;CHAR(10)&amp;INDEX(Settings!$G$7:$G$11,MOD('_Engine'!DJ12,10))&amp;IF('_Engine'!DJ12&gt;10,"?","")&amp;" PM"))))))))</ns0:f>
        <ns0:v>·</ns0:v>
      </ns0:c>
      <ns0:c r="AH12" s="164" t="str">
        <ns0:f>IF(OR($A12="",AH$11=""),"",IF(OR('_Engine'!$B$6&gt;0,INDEX('_Engine'!$AM$11:$AM$60,'_Engine'!$AO12)&lt;&gt;"OK"),"!",IF(INDEX(Team!$H$11:$N$60,'_Engine'!$AO12,WEEKDAY(AH$11,2))&lt;&gt;"Work","—",IF(COUNTIF(Settings!$F$18:$F$67,AH$11)&gt;0,"BH",IF('_Engine'!DK12+'_Engine'!DL12=0,"·",IF('_Engine'!DK12='_Engine'!DL12,INDEX(Settings!$G$7:$G$11,MOD('_Engine'!DK12,10))&amp;IF('_Engine'!DK12&gt;10,"?",""),IF('_Engine'!DK12=0,INDEX(Settings!$G$7:$G$11,MOD('_Engine'!DL12,10))&amp;IF('_Engine'!DL12&gt;10,"?","")&amp;" PM",IF('_Engine'!DL12=0,INDEX(Settings!$G$7:$G$11,MOD('_Engine'!DK12,10))&amp;IF('_Engine'!DK12&gt;10,"?","")&amp;" AM",INDEX(Settings!$G$7:$G$11,MOD('_Engine'!DK12,10))&amp;IF('_Engine'!DK12&gt;10,"?","")&amp;" AM"&amp;CHAR(10)&amp;INDEX(Settings!$G$7:$G$11,MOD('_Engine'!DL12,10))&amp;IF('_Engine'!DL12&gt;10,"?","")&amp;" PM"))))))))</ns0:f>
        <ns0:v>—</ns0:v>
      </ns0:c>
    </ns0:row>
    <ns0:row r="13" ht="38" customHeight="1">
      <ns0:c r="A13" s="4" t="str">
        <ns0:f>IF('_Engine'!AO13=0,"",IF(INDEX(Team!$B$11:$B$60,'_Engine'!AO13)="","[Unnamed]",INDEX(Team!$B$11:$B$60,'_Engine'!AO13)))</ns0:f>
        <ns0:v>Helen Stone</ns0:v>
      </ns0:c>
      <ns0:c r="B13" s="156">
        <ns0:f>IF('_Engine'!AO13=0,"",INDEX('_Engine'!$AN$11:$AN$60,'_Engine'!AO13))</ns0:f>
        <ns0:v>24.5</ns0:v>
      </ns0:c>
      <ns0:c r="C13" s="4" t="str">
        <ns0:f>IF('_Engine'!AO13=0,"",INDEX(Team!$C$11:$C$60,'_Engine'!AO13))</ns0:f>
        <ns0:v>Operations</ns0:v>
      </ns0:c>
      <ns0:c r="D13" s="162" t="str">
        <ns0:f>IF(OR($A13="",D$11=""),"",IF(OR('_Engine'!$B$6&gt;0,INDEX('_Engine'!$AM$11:$AM$60,'_Engine'!$AO13)&lt;&gt;"OK"),"!",IF(INDEX(Team!$H$11:$N$60,'_Engine'!$AO13,WEEKDAY(D$11,2))&lt;&gt;"Work","—",IF(COUNTIF(Settings!$F$18:$F$67,D$11)&gt;0,"BH",IF('_Engine'!BC13+'_Engine'!BD13=0,"·",IF('_Engine'!BC13='_Engine'!BD13,INDEX(Settings!$G$7:$G$11,MOD('_Engine'!BC13,10))&amp;IF('_Engine'!BC13&gt;10,"?",""),IF('_Engine'!BC13=0,INDEX(Settings!$G$7:$G$11,MOD('_Engine'!BD13,10))&amp;IF('_Engine'!BD13&gt;10,"?","")&amp;" PM",IF('_Engine'!BD13=0,INDEX(Settings!$G$7:$G$11,MOD('_Engine'!BC13,10))&amp;IF('_Engine'!BC13&gt;10,"?","")&amp;" AM",INDEX(Settings!$G$7:$G$11,MOD('_Engine'!BC13,10))&amp;IF('_Engine'!BC13&gt;10,"?","")&amp;" AM"&amp;CHAR(10)&amp;INDEX(Settings!$G$7:$G$11,MOD('_Engine'!BD13,10))&amp;IF('_Engine'!BD13&gt;10,"?","")&amp;" PM"))))))))</ns0:f>
        <ns0:v>·</ns0:v>
      </ns0:c>
      <ns0:c r="E13" s="162" t="str">
        <ns0:f>IF(OR($A13="",E$11=""),"",IF(OR('_Engine'!$B$6&gt;0,INDEX('_Engine'!$AM$11:$AM$60,'_Engine'!$AO13)&lt;&gt;"OK"),"!",IF(INDEX(Team!$H$11:$N$60,'_Engine'!$AO13,WEEKDAY(E$11,2))&lt;&gt;"Work","—",IF(COUNTIF(Settings!$F$18:$F$67,E$11)&gt;0,"BH",IF('_Engine'!BE13+'_Engine'!BF13=0,"·",IF('_Engine'!BE13='_Engine'!BF13,INDEX(Settings!$G$7:$G$11,MOD('_Engine'!BE13,10))&amp;IF('_Engine'!BE13&gt;10,"?",""),IF('_Engine'!BE13=0,INDEX(Settings!$G$7:$G$11,MOD('_Engine'!BF13,10))&amp;IF('_Engine'!BF13&gt;10,"?","")&amp;" PM",IF('_Engine'!BF13=0,INDEX(Settings!$G$7:$G$11,MOD('_Engine'!BE13,10))&amp;IF('_Engine'!BE13&gt;10,"?","")&amp;" AM",INDEX(Settings!$G$7:$G$11,MOD('_Engine'!BE13,10))&amp;IF('_Engine'!BE13&gt;10,"?","")&amp;" AM"&amp;CHAR(10)&amp;INDEX(Settings!$G$7:$G$11,MOD('_Engine'!BF13,10))&amp;IF('_Engine'!BF13&gt;10,"?","")&amp;" PM"))))))))</ns0:f>
        <ns0:v>·</ns0:v>
      </ns0:c>
      <ns0:c r="F13" s="162" t="str">
        <ns0:f>IF(OR($A13="",F$11=""),"",IF(OR('_Engine'!$B$6&gt;0,INDEX('_Engine'!$AM$11:$AM$60,'_Engine'!$AO13)&lt;&gt;"OK"),"!",IF(INDEX(Team!$H$11:$N$60,'_Engine'!$AO13,WEEKDAY(F$11,2))&lt;&gt;"Work","—",IF(COUNTIF(Settings!$F$18:$F$67,F$11)&gt;0,"BH",IF('_Engine'!BG13+'_Engine'!BH13=0,"·",IF('_Engine'!BG13='_Engine'!BH13,INDEX(Settings!$G$7:$G$11,MOD('_Engine'!BG13,10))&amp;IF('_Engine'!BG13&gt;10,"?",""),IF('_Engine'!BG13=0,INDEX(Settings!$G$7:$G$11,MOD('_Engine'!BH13,10))&amp;IF('_Engine'!BH13&gt;10,"?","")&amp;" PM",IF('_Engine'!BH13=0,INDEX(Settings!$G$7:$G$11,MOD('_Engine'!BG13,10))&amp;IF('_Engine'!BG13&gt;10,"?","")&amp;" AM",INDEX(Settings!$G$7:$G$11,MOD('_Engine'!BG13,10))&amp;IF('_Engine'!BG13&gt;10,"?","")&amp;" AM"&amp;CHAR(10)&amp;INDEX(Settings!$G$7:$G$11,MOD('_Engine'!BH13,10))&amp;IF('_Engine'!BH13&gt;10,"?","")&amp;" PM"))))))))</ns0:f>
        <ns0:v>—</ns0:v>
      </ns0:c>
      <ns0:c r="G13" s="162" t="str">
        <ns0:f>IF(OR($A13="",G$11=""),"",IF(OR('_Engine'!$B$6&gt;0,INDEX('_Engine'!$AM$11:$AM$60,'_Engine'!$AO13)&lt;&gt;"OK"),"!",IF(INDEX(Team!$H$11:$N$60,'_Engine'!$AO13,WEEKDAY(G$11,2))&lt;&gt;"Work","—",IF(COUNTIF(Settings!$F$18:$F$67,G$11)&gt;0,"BH",IF('_Engine'!BI13+'_Engine'!BJ13=0,"·",IF('_Engine'!BI13='_Engine'!BJ13,INDEX(Settings!$G$7:$G$11,MOD('_Engine'!BI13,10))&amp;IF('_Engine'!BI13&gt;10,"?",""),IF('_Engine'!BI13=0,INDEX(Settings!$G$7:$G$11,MOD('_Engine'!BJ13,10))&amp;IF('_Engine'!BJ13&gt;10,"?","")&amp;" PM",IF('_Engine'!BJ13=0,INDEX(Settings!$G$7:$G$11,MOD('_Engine'!BI13,10))&amp;IF('_Engine'!BI13&gt;10,"?","")&amp;" AM",INDEX(Settings!$G$7:$G$11,MOD('_Engine'!BI13,10))&amp;IF('_Engine'!BI13&gt;10,"?","")&amp;" AM"&amp;CHAR(10)&amp;INDEX(Settings!$G$7:$G$11,MOD('_Engine'!BJ13,10))&amp;IF('_Engine'!BJ13&gt;10,"?","")&amp;" PM"))))))))</ns0:f>
        <ns0:v>—</ns0:v>
      </ns0:c>
      <ns0:c r="H13" s="162" t="str">
        <ns0:f>IF(OR($A13="",H$11=""),"",IF(OR('_Engine'!$B$6&gt;0,INDEX('_Engine'!$AM$11:$AM$60,'_Engine'!$AO13)&lt;&gt;"OK"),"!",IF(INDEX(Team!$H$11:$N$60,'_Engine'!$AO13,WEEKDAY(H$11,2))&lt;&gt;"Work","—",IF(COUNTIF(Settings!$F$18:$F$67,H$11)&gt;0,"BH",IF('_Engine'!BK13+'_Engine'!BL13=0,"·",IF('_Engine'!BK13='_Engine'!BL13,INDEX(Settings!$G$7:$G$11,MOD('_Engine'!BK13,10))&amp;IF('_Engine'!BK13&gt;10,"?",""),IF('_Engine'!BK13=0,INDEX(Settings!$G$7:$G$11,MOD('_Engine'!BL13,10))&amp;IF('_Engine'!BL13&gt;10,"?","")&amp;" PM",IF('_Engine'!BL13=0,INDEX(Settings!$G$7:$G$11,MOD('_Engine'!BK13,10))&amp;IF('_Engine'!BK13&gt;10,"?","")&amp;" AM",INDEX(Settings!$G$7:$G$11,MOD('_Engine'!BK13,10))&amp;IF('_Engine'!BK13&gt;10,"?","")&amp;" AM"&amp;CHAR(10)&amp;INDEX(Settings!$G$7:$G$11,MOD('_Engine'!BL13,10))&amp;IF('_Engine'!BL13&gt;10,"?","")&amp;" PM"))))))))</ns0:f>
        <ns0:v>·</ns0:v>
      </ns0:c>
      <ns0:c r="I13" s="162" t="str">
        <ns0:f>IF(OR($A13="",I$11=""),"",IF(OR('_Engine'!$B$6&gt;0,INDEX('_Engine'!$AM$11:$AM$60,'_Engine'!$AO13)&lt;&gt;"OK"),"!",IF(INDEX(Team!$H$11:$N$60,'_Engine'!$AO13,WEEKDAY(I$11,2))&lt;&gt;"Work","—",IF(COUNTIF(Settings!$F$18:$F$67,I$11)&gt;0,"BH",IF('_Engine'!BM13+'_Engine'!BN13=0,"·",IF('_Engine'!BM13='_Engine'!BN13,INDEX(Settings!$G$7:$G$11,MOD('_Engine'!BM13,10))&amp;IF('_Engine'!BM13&gt;10,"?",""),IF('_Engine'!BM13=0,INDEX(Settings!$G$7:$G$11,MOD('_Engine'!BN13,10))&amp;IF('_Engine'!BN13&gt;10,"?","")&amp;" PM",IF('_Engine'!BN13=0,INDEX(Settings!$G$7:$G$11,MOD('_Engine'!BM13,10))&amp;IF('_Engine'!BM13&gt;10,"?","")&amp;" AM",INDEX(Settings!$G$7:$G$11,MOD('_Engine'!BM13,10))&amp;IF('_Engine'!BM13&gt;10,"?","")&amp;" AM"&amp;CHAR(10)&amp;INDEX(Settings!$G$7:$G$11,MOD('_Engine'!BN13,10))&amp;IF('_Engine'!BN13&gt;10,"?","")&amp;" PM"))))))))</ns0:f>
        <ns0:v>·</ns0:v>
      </ns0:c>
      <ns0:c r="J13" s="162" t="str">
        <ns0:f>IF(OR($A13="",J$11=""),"",IF(OR('_Engine'!$B$6&gt;0,INDEX('_Engine'!$AM$11:$AM$60,'_Engine'!$AO13)&lt;&gt;"OK"),"!",IF(INDEX(Team!$H$11:$N$60,'_Engine'!$AO13,WEEKDAY(J$11,2))&lt;&gt;"Work","—",IF(COUNTIF(Settings!$F$18:$F$67,J$11)&gt;0,"BH",IF('_Engine'!BO13+'_Engine'!BP13=0,"·",IF('_Engine'!BO13='_Engine'!BP13,INDEX(Settings!$G$7:$G$11,MOD('_Engine'!BO13,10))&amp;IF('_Engine'!BO13&gt;10,"?",""),IF('_Engine'!BO13=0,INDEX(Settings!$G$7:$G$11,MOD('_Engine'!BP13,10))&amp;IF('_Engine'!BP13&gt;10,"?","")&amp;" PM",IF('_Engine'!BP13=0,INDEX(Settings!$G$7:$G$11,MOD('_Engine'!BO13,10))&amp;IF('_Engine'!BO13&gt;10,"?","")&amp;" AM",INDEX(Settings!$G$7:$G$11,MOD('_Engine'!BO13,10))&amp;IF('_Engine'!BO13&gt;10,"?","")&amp;" AM"&amp;CHAR(10)&amp;INDEX(Settings!$G$7:$G$11,MOD('_Engine'!BP13,10))&amp;IF('_Engine'!BP13&gt;10,"?","")&amp;" PM"))))))))</ns0:f>
        <ns0:v>·</ns0:v>
      </ns0:c>
      <ns0:c r="K13" s="164" t="str">
        <ns0:f>IF(OR($A13="",K$11=""),"",IF(OR('_Engine'!$B$6&gt;0,INDEX('_Engine'!$AM$11:$AM$60,'_Engine'!$AO13)&lt;&gt;"OK"),"!",IF(INDEX(Team!$H$11:$N$60,'_Engine'!$AO13,WEEKDAY(K$11,2))&lt;&gt;"Work","—",IF(COUNTIF(Settings!$F$18:$F$67,K$11)&gt;0,"BH",IF('_Engine'!BQ13+'_Engine'!BR13=0,"·",IF('_Engine'!BQ13='_Engine'!BR13,INDEX(Settings!$G$7:$G$11,MOD('_Engine'!BQ13,10))&amp;IF('_Engine'!BQ13&gt;10,"?",""),IF('_Engine'!BQ13=0,INDEX(Settings!$G$7:$G$11,MOD('_Engine'!BR13,10))&amp;IF('_Engine'!BR13&gt;10,"?","")&amp;" PM",IF('_Engine'!BR13=0,INDEX(Settings!$G$7:$G$11,MOD('_Engine'!BQ13,10))&amp;IF('_Engine'!BQ13&gt;10,"?","")&amp;" AM",INDEX(Settings!$G$7:$G$11,MOD('_Engine'!BQ13,10))&amp;IF('_Engine'!BQ13&gt;10,"?","")&amp;" AM"&amp;CHAR(10)&amp;INDEX(Settings!$G$7:$G$11,MOD('_Engine'!BR13,10))&amp;IF('_Engine'!BR13&gt;10,"?","")&amp;" PM"))))))))</ns0:f>
        <ns0:v>·</ns0:v>
      </ns0:c>
      <ns0:c r="L13" s="164" t="str">
        <ns0:f>IF(OR($A13="",L$11=""),"",IF(OR('_Engine'!$B$6&gt;0,INDEX('_Engine'!$AM$11:$AM$60,'_Engine'!$AO13)&lt;&gt;"OK"),"!",IF(INDEX(Team!$H$11:$N$60,'_Engine'!$AO13,WEEKDAY(L$11,2))&lt;&gt;"Work","—",IF(COUNTIF(Settings!$F$18:$F$67,L$11)&gt;0,"BH",IF('_Engine'!BS13+'_Engine'!BT13=0,"·",IF('_Engine'!BS13='_Engine'!BT13,INDEX(Settings!$G$7:$G$11,MOD('_Engine'!BS13,10))&amp;IF('_Engine'!BS13&gt;10,"?",""),IF('_Engine'!BS13=0,INDEX(Settings!$G$7:$G$11,MOD('_Engine'!BT13,10))&amp;IF('_Engine'!BT13&gt;10,"?","")&amp;" PM",IF('_Engine'!BT13=0,INDEX(Settings!$G$7:$G$11,MOD('_Engine'!BS13,10))&amp;IF('_Engine'!BS13&gt;10,"?","")&amp;" AM",INDEX(Settings!$G$7:$G$11,MOD('_Engine'!BS13,10))&amp;IF('_Engine'!BS13&gt;10,"?","")&amp;" AM"&amp;CHAR(10)&amp;INDEX(Settings!$G$7:$G$11,MOD('_Engine'!BT13,10))&amp;IF('_Engine'!BT13&gt;10,"?","")&amp;" PM"))))))))</ns0:f>
        <ns0:v>·</ns0:v>
      </ns0:c>
      <ns0:c r="M13" s="164" t="str">
        <ns0:f>IF(OR($A13="",M$11=""),"",IF(OR('_Engine'!$B$6&gt;0,INDEX('_Engine'!$AM$11:$AM$60,'_Engine'!$AO13)&lt;&gt;"OK"),"!",IF(INDEX(Team!$H$11:$N$60,'_Engine'!$AO13,WEEKDAY(M$11,2))&lt;&gt;"Work","—",IF(COUNTIF(Settings!$F$18:$F$67,M$11)&gt;0,"BH",IF('_Engine'!BU13+'_Engine'!BV13=0,"·",IF('_Engine'!BU13='_Engine'!BV13,INDEX(Settings!$G$7:$G$11,MOD('_Engine'!BU13,10))&amp;IF('_Engine'!BU13&gt;10,"?",""),IF('_Engine'!BU13=0,INDEX(Settings!$G$7:$G$11,MOD('_Engine'!BV13,10))&amp;IF('_Engine'!BV13&gt;10,"?","")&amp;" PM",IF('_Engine'!BV13=0,INDEX(Settings!$G$7:$G$11,MOD('_Engine'!BU13,10))&amp;IF('_Engine'!BU13&gt;10,"?","")&amp;" AM",INDEX(Settings!$G$7:$G$11,MOD('_Engine'!BU13,10))&amp;IF('_Engine'!BU13&gt;10,"?","")&amp;" AM"&amp;CHAR(10)&amp;INDEX(Settings!$G$7:$G$11,MOD('_Engine'!BV13,10))&amp;IF('_Engine'!BV13&gt;10,"?","")&amp;" PM"))))))))</ns0:f>
        <ns0:v>—</ns0:v>
      </ns0:c>
      <ns0:c r="N13" s="164" t="str">
        <ns0:f>IF(OR($A13="",N$11=""),"",IF(OR('_Engine'!$B$6&gt;0,INDEX('_Engine'!$AM$11:$AM$60,'_Engine'!$AO13)&lt;&gt;"OK"),"!",IF(INDEX(Team!$H$11:$N$60,'_Engine'!$AO13,WEEKDAY(N$11,2))&lt;&gt;"Work","—",IF(COUNTIF(Settings!$F$18:$F$67,N$11)&gt;0,"BH",IF('_Engine'!BW13+'_Engine'!BX13=0,"·",IF('_Engine'!BW13='_Engine'!BX13,INDEX(Settings!$G$7:$G$11,MOD('_Engine'!BW13,10))&amp;IF('_Engine'!BW13&gt;10,"?",""),IF('_Engine'!BW13=0,INDEX(Settings!$G$7:$G$11,MOD('_Engine'!BX13,10))&amp;IF('_Engine'!BX13&gt;10,"?","")&amp;" PM",IF('_Engine'!BX13=0,INDEX(Settings!$G$7:$G$11,MOD('_Engine'!BW13,10))&amp;IF('_Engine'!BW13&gt;10,"?","")&amp;" AM",INDEX(Settings!$G$7:$G$11,MOD('_Engine'!BW13,10))&amp;IF('_Engine'!BW13&gt;10,"?","")&amp;" AM"&amp;CHAR(10)&amp;INDEX(Settings!$G$7:$G$11,MOD('_Engine'!BX13,10))&amp;IF('_Engine'!BX13&gt;10,"?","")&amp;" PM"))))))))</ns0:f>
        <ns0:v>—</ns0:v>
      </ns0:c>
      <ns0:c r="O13" s="164" t="str">
        <ns0:f>IF(OR($A13="",O$11=""),"",IF(OR('_Engine'!$B$6&gt;0,INDEX('_Engine'!$AM$11:$AM$60,'_Engine'!$AO13)&lt;&gt;"OK"),"!",IF(INDEX(Team!$H$11:$N$60,'_Engine'!$AO13,WEEKDAY(O$11,2))&lt;&gt;"Work","—",IF(COUNTIF(Settings!$F$18:$F$67,O$11)&gt;0,"BH",IF('_Engine'!BY13+'_Engine'!BZ13=0,"·",IF('_Engine'!BY13='_Engine'!BZ13,INDEX(Settings!$G$7:$G$11,MOD('_Engine'!BY13,10))&amp;IF('_Engine'!BY13&gt;10,"?",""),IF('_Engine'!BY13=0,INDEX(Settings!$G$7:$G$11,MOD('_Engine'!BZ13,10))&amp;IF('_Engine'!BZ13&gt;10,"?","")&amp;" PM",IF('_Engine'!BZ13=0,INDEX(Settings!$G$7:$G$11,MOD('_Engine'!BY13,10))&amp;IF('_Engine'!BY13&gt;10,"?","")&amp;" AM",INDEX(Settings!$G$7:$G$11,MOD('_Engine'!BY13,10))&amp;IF('_Engine'!BY13&gt;10,"?","")&amp;" AM"&amp;CHAR(10)&amp;INDEX(Settings!$G$7:$G$11,MOD('_Engine'!BZ13,10))&amp;IF('_Engine'!BZ13&gt;10,"?","")&amp;" PM"))))))))</ns0:f>
        <ns0:v>T</ns0:v>
      </ns0:c>
      <ns0:c r="P13" s="164" t="str">
        <ns0:f>IF(OR($A13="",P$11=""),"",IF(OR('_Engine'!$B$6&gt;0,INDEX('_Engine'!$AM$11:$AM$60,'_Engine'!$AO13)&lt;&gt;"OK"),"!",IF(INDEX(Team!$H$11:$N$60,'_Engine'!$AO13,WEEKDAY(P$11,2))&lt;&gt;"Work","—",IF(COUNTIF(Settings!$F$18:$F$67,P$11)&gt;0,"BH",IF('_Engine'!CA13+'_Engine'!CB13=0,"·",IF('_Engine'!CA13='_Engine'!CB13,INDEX(Settings!$G$7:$G$11,MOD('_Engine'!CA13,10))&amp;IF('_Engine'!CA13&gt;10,"?",""),IF('_Engine'!CA13=0,INDEX(Settings!$G$7:$G$11,MOD('_Engine'!CB13,10))&amp;IF('_Engine'!CB13&gt;10,"?","")&amp;" PM",IF('_Engine'!CB13=0,INDEX(Settings!$G$7:$G$11,MOD('_Engine'!CA13,10))&amp;IF('_Engine'!CA13&gt;10,"?","")&amp;" AM",INDEX(Settings!$G$7:$G$11,MOD('_Engine'!CA13,10))&amp;IF('_Engine'!CA13&gt;10,"?","")&amp;" AM"&amp;CHAR(10)&amp;INDEX(Settings!$G$7:$G$11,MOD('_Engine'!CB13,10))&amp;IF('_Engine'!CB13&gt;10,"?","")&amp;" PM"))))))))</ns0:f>
        <ns0:v>·</ns0:v>
      </ns0:c>
      <ns0:c r="Q13" s="164" t="str">
        <ns0:f>IF(OR($A13="",Q$11=""),"",IF(OR('_Engine'!$B$6&gt;0,INDEX('_Engine'!$AM$11:$AM$60,'_Engine'!$AO13)&lt;&gt;"OK"),"!",IF(INDEX(Team!$H$11:$N$60,'_Engine'!$AO13,WEEKDAY(Q$11,2))&lt;&gt;"Work","—",IF(COUNTIF(Settings!$F$18:$F$67,Q$11)&gt;0,"BH",IF('_Engine'!CC13+'_Engine'!CD13=0,"·",IF('_Engine'!CC13='_Engine'!CD13,INDEX(Settings!$G$7:$G$11,MOD('_Engine'!CC13,10))&amp;IF('_Engine'!CC13&gt;10,"?",""),IF('_Engine'!CC13=0,INDEX(Settings!$G$7:$G$11,MOD('_Engine'!CD13,10))&amp;IF('_Engine'!CD13&gt;10,"?","")&amp;" PM",IF('_Engine'!CD13=0,INDEX(Settings!$G$7:$G$11,MOD('_Engine'!CC13,10))&amp;IF('_Engine'!CC13&gt;10,"?","")&amp;" AM",INDEX(Settings!$G$7:$G$11,MOD('_Engine'!CC13,10))&amp;IF('_Engine'!CC13&gt;10,"?","")&amp;" AM"&amp;CHAR(10)&amp;INDEX(Settings!$G$7:$G$11,MOD('_Engine'!CD13,10))&amp;IF('_Engine'!CD13&gt;10,"?","")&amp;" PM"))))))))</ns0:f>
        <ns0:v>H PM</ns0:v>
      </ns0:c>
      <ns0:c r="R13" s="164" t="str">
        <ns0:f>IF(OR($A13="",R$11=""),"",IF(OR('_Engine'!$B$6&gt;0,INDEX('_Engine'!$AM$11:$AM$60,'_Engine'!$AO13)&lt;&gt;"OK"),"!",IF(INDEX(Team!$H$11:$N$60,'_Engine'!$AO13,WEEKDAY(R$11,2))&lt;&gt;"Work","—",IF(COUNTIF(Settings!$F$18:$F$67,R$11)&gt;0,"BH",IF('_Engine'!CE13+'_Engine'!CF13=0,"·",IF('_Engine'!CE13='_Engine'!CF13,INDEX(Settings!$G$7:$G$11,MOD('_Engine'!CE13,10))&amp;IF('_Engine'!CE13&gt;10,"?",""),IF('_Engine'!CE13=0,INDEX(Settings!$G$7:$G$11,MOD('_Engine'!CF13,10))&amp;IF('_Engine'!CF13&gt;10,"?","")&amp;" PM",IF('_Engine'!CF13=0,INDEX(Settings!$G$7:$G$11,MOD('_Engine'!CE13,10))&amp;IF('_Engine'!CE13&gt;10,"?","")&amp;" AM",INDEX(Settings!$G$7:$G$11,MOD('_Engine'!CE13,10))&amp;IF('_Engine'!CE13&gt;10,"?","")&amp;" AM"&amp;CHAR(10)&amp;INDEX(Settings!$G$7:$G$11,MOD('_Engine'!CF13,10))&amp;IF('_Engine'!CF13&gt;10,"?","")&amp;" PM"))))))))</ns0:f>
        <ns0:v>H</ns0:v>
      </ns0:c>
      <ns0:c r="S13" s="164" t="str">
        <ns0:f>IF(OR($A13="",S$11=""),"",IF(OR('_Engine'!$B$6&gt;0,INDEX('_Engine'!$AM$11:$AM$60,'_Engine'!$AO13)&lt;&gt;"OK"),"!",IF(INDEX(Team!$H$11:$N$60,'_Engine'!$AO13,WEEKDAY(S$11,2))&lt;&gt;"Work","—",IF(COUNTIF(Settings!$F$18:$F$67,S$11)&gt;0,"BH",IF('_Engine'!CG13+'_Engine'!CH13=0,"·",IF('_Engine'!CG13='_Engine'!CH13,INDEX(Settings!$G$7:$G$11,MOD('_Engine'!CG13,10))&amp;IF('_Engine'!CG13&gt;10,"?",""),IF('_Engine'!CG13=0,INDEX(Settings!$G$7:$G$11,MOD('_Engine'!CH13,10))&amp;IF('_Engine'!CH13&gt;10,"?","")&amp;" PM",IF('_Engine'!CH13=0,INDEX(Settings!$G$7:$G$11,MOD('_Engine'!CG13,10))&amp;IF('_Engine'!CG13&gt;10,"?","")&amp;" AM",INDEX(Settings!$G$7:$G$11,MOD('_Engine'!CG13,10))&amp;IF('_Engine'!CG13&gt;10,"?","")&amp;" AM"&amp;CHAR(10)&amp;INDEX(Settings!$G$7:$G$11,MOD('_Engine'!CH13,10))&amp;IF('_Engine'!CH13&gt;10,"?","")&amp;" PM"))))))))</ns0:f>
        <ns0:v>·</ns0:v>
      </ns0:c>
      <ns0:c r="T13" s="164" t="str">
        <ns0:f>IF(OR($A13="",T$11=""),"",IF(OR('_Engine'!$B$6&gt;0,INDEX('_Engine'!$AM$11:$AM$60,'_Engine'!$AO13)&lt;&gt;"OK"),"!",IF(INDEX(Team!$H$11:$N$60,'_Engine'!$AO13,WEEKDAY(T$11,2))&lt;&gt;"Work","—",IF(COUNTIF(Settings!$F$18:$F$67,T$11)&gt;0,"BH",IF('_Engine'!CI13+'_Engine'!CJ13=0,"·",IF('_Engine'!CI13='_Engine'!CJ13,INDEX(Settings!$G$7:$G$11,MOD('_Engine'!CI13,10))&amp;IF('_Engine'!CI13&gt;10,"?",""),IF('_Engine'!CI13=0,INDEX(Settings!$G$7:$G$11,MOD('_Engine'!CJ13,10))&amp;IF('_Engine'!CJ13&gt;10,"?","")&amp;" PM",IF('_Engine'!CJ13=0,INDEX(Settings!$G$7:$G$11,MOD('_Engine'!CI13,10))&amp;IF('_Engine'!CI13&gt;10,"?","")&amp;" AM",INDEX(Settings!$G$7:$G$11,MOD('_Engine'!CI13,10))&amp;IF('_Engine'!CI13&gt;10,"?","")&amp;" AM"&amp;CHAR(10)&amp;INDEX(Settings!$G$7:$G$11,MOD('_Engine'!CJ13,10))&amp;IF('_Engine'!CJ13&gt;10,"?","")&amp;" PM"))))))))</ns0:f>
        <ns0:v>—</ns0:v>
      </ns0:c>
      <ns0:c r="U13" s="164" t="str">
        <ns0:f>IF(OR($A13="",U$11=""),"",IF(OR('_Engine'!$B$6&gt;0,INDEX('_Engine'!$AM$11:$AM$60,'_Engine'!$AO13)&lt;&gt;"OK"),"!",IF(INDEX(Team!$H$11:$N$60,'_Engine'!$AO13,WEEKDAY(U$11,2))&lt;&gt;"Work","—",IF(COUNTIF(Settings!$F$18:$F$67,U$11)&gt;0,"BH",IF('_Engine'!CK13+'_Engine'!CL13=0,"·",IF('_Engine'!CK13='_Engine'!CL13,INDEX(Settings!$G$7:$G$11,MOD('_Engine'!CK13,10))&amp;IF('_Engine'!CK13&gt;10,"?",""),IF('_Engine'!CK13=0,INDEX(Settings!$G$7:$G$11,MOD('_Engine'!CL13,10))&amp;IF('_Engine'!CL13&gt;10,"?","")&amp;" PM",IF('_Engine'!CL13=0,INDEX(Settings!$G$7:$G$11,MOD('_Engine'!CK13,10))&amp;IF('_Engine'!CK13&gt;10,"?","")&amp;" AM",INDEX(Settings!$G$7:$G$11,MOD('_Engine'!CK13,10))&amp;IF('_Engine'!CK13&gt;10,"?","")&amp;" AM"&amp;CHAR(10)&amp;INDEX(Settings!$G$7:$G$11,MOD('_Engine'!CL13,10))&amp;IF('_Engine'!CL13&gt;10,"?","")&amp;" PM"))))))))</ns0:f>
        <ns0:v>—</ns0:v>
      </ns0:c>
      <ns0:c r="V13" s="164" t="str">
        <ns0:f>IF(OR($A13="",V$11=""),"",IF(OR('_Engine'!$B$6&gt;0,INDEX('_Engine'!$AM$11:$AM$60,'_Engine'!$AO13)&lt;&gt;"OK"),"!",IF(INDEX(Team!$H$11:$N$60,'_Engine'!$AO13,WEEKDAY(V$11,2))&lt;&gt;"Work","—",IF(COUNTIF(Settings!$F$18:$F$67,V$11)&gt;0,"BH",IF('_Engine'!CM13+'_Engine'!CN13=0,"·",IF('_Engine'!CM13='_Engine'!CN13,INDEX(Settings!$G$7:$G$11,MOD('_Engine'!CM13,10))&amp;IF('_Engine'!CM13&gt;10,"?",""),IF('_Engine'!CM13=0,INDEX(Settings!$G$7:$G$11,MOD('_Engine'!CN13,10))&amp;IF('_Engine'!CN13&gt;10,"?","")&amp;" PM",IF('_Engine'!CN13=0,INDEX(Settings!$G$7:$G$11,MOD('_Engine'!CM13,10))&amp;IF('_Engine'!CM13&gt;10,"?","")&amp;" AM",INDEX(Settings!$G$7:$G$11,MOD('_Engine'!CM13,10))&amp;IF('_Engine'!CM13&gt;10,"?","")&amp;" AM"&amp;CHAR(10)&amp;INDEX(Settings!$G$7:$G$11,MOD('_Engine'!CN13,10))&amp;IF('_Engine'!CN13&gt;10,"?","")&amp;" PM"))))))))</ns0:f>
        <ns0:v>·</ns0:v>
      </ns0:c>
      <ns0:c r="W13" s="164" t="str">
        <ns0:f>IF(OR($A13="",W$11=""),"",IF(OR('_Engine'!$B$6&gt;0,INDEX('_Engine'!$AM$11:$AM$60,'_Engine'!$AO13)&lt;&gt;"OK"),"!",IF(INDEX(Team!$H$11:$N$60,'_Engine'!$AO13,WEEKDAY(W$11,2))&lt;&gt;"Work","—",IF(COUNTIF(Settings!$F$18:$F$67,W$11)&gt;0,"BH",IF('_Engine'!CO13+'_Engine'!CP13=0,"·",IF('_Engine'!CO13='_Engine'!CP13,INDEX(Settings!$G$7:$G$11,MOD('_Engine'!CO13,10))&amp;IF('_Engine'!CO13&gt;10,"?",""),IF('_Engine'!CO13=0,INDEX(Settings!$G$7:$G$11,MOD('_Engine'!CP13,10))&amp;IF('_Engine'!CP13&gt;10,"?","")&amp;" PM",IF('_Engine'!CP13=0,INDEX(Settings!$G$7:$G$11,MOD('_Engine'!CO13,10))&amp;IF('_Engine'!CO13&gt;10,"?","")&amp;" AM",INDEX(Settings!$G$7:$G$11,MOD('_Engine'!CO13,10))&amp;IF('_Engine'!CO13&gt;10,"?","")&amp;" AM"&amp;CHAR(10)&amp;INDEX(Settings!$G$7:$G$11,MOD('_Engine'!CP13,10))&amp;IF('_Engine'!CP13&gt;10,"?","")&amp;" PM"))))))))</ns0:f>
        <ns0:v>·</ns0:v>
      </ns0:c>
      <ns0:c r="X13" s="164" t="str">
        <ns0:f>IF(OR($A13="",X$11=""),"",IF(OR('_Engine'!$B$6&gt;0,INDEX('_Engine'!$AM$11:$AM$60,'_Engine'!$AO13)&lt;&gt;"OK"),"!",IF(INDEX(Team!$H$11:$N$60,'_Engine'!$AO13,WEEKDAY(X$11,2))&lt;&gt;"Work","—",IF(COUNTIF(Settings!$F$18:$F$67,X$11)&gt;0,"BH",IF('_Engine'!CQ13+'_Engine'!CR13=0,"·",IF('_Engine'!CQ13='_Engine'!CR13,INDEX(Settings!$G$7:$G$11,MOD('_Engine'!CQ13,10))&amp;IF('_Engine'!CQ13&gt;10,"?",""),IF('_Engine'!CQ13=0,INDEX(Settings!$G$7:$G$11,MOD('_Engine'!CR13,10))&amp;IF('_Engine'!CR13&gt;10,"?","")&amp;" PM",IF('_Engine'!CR13=0,INDEX(Settings!$G$7:$G$11,MOD('_Engine'!CQ13,10))&amp;IF('_Engine'!CQ13&gt;10,"?","")&amp;" AM",INDEX(Settings!$G$7:$G$11,MOD('_Engine'!CQ13,10))&amp;IF('_Engine'!CQ13&gt;10,"?","")&amp;" AM"&amp;CHAR(10)&amp;INDEX(Settings!$G$7:$G$11,MOD('_Engine'!CR13,10))&amp;IF('_Engine'!CR13&gt;10,"?","")&amp;" PM"))))))))</ns0:f>
        <ns0:v>·</ns0:v>
      </ns0:c>
      <ns0:c r="Y13" s="164" t="str">
        <ns0:f>IF(OR($A13="",Y$11=""),"",IF(OR('_Engine'!$B$6&gt;0,INDEX('_Engine'!$AM$11:$AM$60,'_Engine'!$AO13)&lt;&gt;"OK"),"!",IF(INDEX(Team!$H$11:$N$60,'_Engine'!$AO13,WEEKDAY(Y$11,2))&lt;&gt;"Work","—",IF(COUNTIF(Settings!$F$18:$F$67,Y$11)&gt;0,"BH",IF('_Engine'!CS13+'_Engine'!CT13=0,"·",IF('_Engine'!CS13='_Engine'!CT13,INDEX(Settings!$G$7:$G$11,MOD('_Engine'!CS13,10))&amp;IF('_Engine'!CS13&gt;10,"?",""),IF('_Engine'!CS13=0,INDEX(Settings!$G$7:$G$11,MOD('_Engine'!CT13,10))&amp;IF('_Engine'!CT13&gt;10,"?","")&amp;" PM",IF('_Engine'!CT13=0,INDEX(Settings!$G$7:$G$11,MOD('_Engine'!CS13,10))&amp;IF('_Engine'!CS13&gt;10,"?","")&amp;" AM",INDEX(Settings!$G$7:$G$11,MOD('_Engine'!CS13,10))&amp;IF('_Engine'!CS13&gt;10,"?","")&amp;" AM"&amp;CHAR(10)&amp;INDEX(Settings!$G$7:$G$11,MOD('_Engine'!CT13,10))&amp;IF('_Engine'!CT13&gt;10,"?","")&amp;" PM"))))))))</ns0:f>
        <ns0:v>H</ns0:v>
      </ns0:c>
      <ns0:c r="Z13" s="164" t="str">
        <ns0:f>IF(OR($A13="",Z$11=""),"",IF(OR('_Engine'!$B$6&gt;0,INDEX('_Engine'!$AM$11:$AM$60,'_Engine'!$AO13)&lt;&gt;"OK"),"!",IF(INDEX(Team!$H$11:$N$60,'_Engine'!$AO13,WEEKDAY(Z$11,2))&lt;&gt;"Work","—",IF(COUNTIF(Settings!$F$18:$F$67,Z$11)&gt;0,"BH",IF('_Engine'!CU13+'_Engine'!CV13=0,"·",IF('_Engine'!CU13='_Engine'!CV13,INDEX(Settings!$G$7:$G$11,MOD('_Engine'!CU13,10))&amp;IF('_Engine'!CU13&gt;10,"?",""),IF('_Engine'!CU13=0,INDEX(Settings!$G$7:$G$11,MOD('_Engine'!CV13,10))&amp;IF('_Engine'!CV13&gt;10,"?","")&amp;" PM",IF('_Engine'!CV13=0,INDEX(Settings!$G$7:$G$11,MOD('_Engine'!CU13,10))&amp;IF('_Engine'!CU13&gt;10,"?","")&amp;" AM",INDEX(Settings!$G$7:$G$11,MOD('_Engine'!CU13,10))&amp;IF('_Engine'!CU13&gt;10,"?","")&amp;" AM"&amp;CHAR(10)&amp;INDEX(Settings!$G$7:$G$11,MOD('_Engine'!CV13,10))&amp;IF('_Engine'!CV13&gt;10,"?","")&amp;" PM"))))))))</ns0:f>
        <ns0:v>BH</ns0:v>
      </ns0:c>
      <ns0:c r="AA13" s="164" t="str">
        <ns0:f>IF(OR($A13="",AA$11=""),"",IF(OR('_Engine'!$B$6&gt;0,INDEX('_Engine'!$AM$11:$AM$60,'_Engine'!$AO13)&lt;&gt;"OK"),"!",IF(INDEX(Team!$H$11:$N$60,'_Engine'!$AO13,WEEKDAY(AA$11,2))&lt;&gt;"Work","—",IF(COUNTIF(Settings!$F$18:$F$67,AA$11)&gt;0,"BH",IF('_Engine'!CW13+'_Engine'!CX13=0,"·",IF('_Engine'!CW13='_Engine'!CX13,INDEX(Settings!$G$7:$G$11,MOD('_Engine'!CW13,10))&amp;IF('_Engine'!CW13&gt;10,"?",""),IF('_Engine'!CW13=0,INDEX(Settings!$G$7:$G$11,MOD('_Engine'!CX13,10))&amp;IF('_Engine'!CX13&gt;10,"?","")&amp;" PM",IF('_Engine'!CX13=0,INDEX(Settings!$G$7:$G$11,MOD('_Engine'!CW13,10))&amp;IF('_Engine'!CW13&gt;10,"?","")&amp;" AM",INDEX(Settings!$G$7:$G$11,MOD('_Engine'!CW13,10))&amp;IF('_Engine'!CW13&gt;10,"?","")&amp;" AM"&amp;CHAR(10)&amp;INDEX(Settings!$G$7:$G$11,MOD('_Engine'!CX13,10))&amp;IF('_Engine'!CX13&gt;10,"?","")&amp;" PM"))))))))</ns0:f>
        <ns0:v>—</ns0:v>
      </ns0:c>
      <ns0:c r="AB13" s="164" t="str">
        <ns0:f>IF(OR($A13="",AB$11=""),"",IF(OR('_Engine'!$B$6&gt;0,INDEX('_Engine'!$AM$11:$AM$60,'_Engine'!$AO13)&lt;&gt;"OK"),"!",IF(INDEX(Team!$H$11:$N$60,'_Engine'!$AO13,WEEKDAY(AB$11,2))&lt;&gt;"Work","—",IF(COUNTIF(Settings!$F$18:$F$67,AB$11)&gt;0,"BH",IF('_Engine'!CY13+'_Engine'!CZ13=0,"·",IF('_Engine'!CY13='_Engine'!CZ13,INDEX(Settings!$G$7:$G$11,MOD('_Engine'!CY13,10))&amp;IF('_Engine'!CY13&gt;10,"?",""),IF('_Engine'!CY13=0,INDEX(Settings!$G$7:$G$11,MOD('_Engine'!CZ13,10))&amp;IF('_Engine'!CZ13&gt;10,"?","")&amp;" PM",IF('_Engine'!CZ13=0,INDEX(Settings!$G$7:$G$11,MOD('_Engine'!CY13,10))&amp;IF('_Engine'!CY13&gt;10,"?","")&amp;" AM",INDEX(Settings!$G$7:$G$11,MOD('_Engine'!CY13,10))&amp;IF('_Engine'!CY13&gt;10,"?","")&amp;" AM"&amp;CHAR(10)&amp;INDEX(Settings!$G$7:$G$11,MOD('_Engine'!CZ13,10))&amp;IF('_Engine'!CZ13&gt;10,"?","")&amp;" PM"))))))))</ns0:f>
        <ns0:v>—</ns0:v>
      </ns0:c>
      <ns0:c r="AC13" s="164" t="str">
        <ns0:f>IF(OR($A13="",AC$11=""),"",IF(OR('_Engine'!$B$6&gt;0,INDEX('_Engine'!$AM$11:$AM$60,'_Engine'!$AO13)&lt;&gt;"OK"),"!",IF(INDEX(Team!$H$11:$N$60,'_Engine'!$AO13,WEEKDAY(AC$11,2))&lt;&gt;"Work","—",IF(COUNTIF(Settings!$F$18:$F$67,AC$11)&gt;0,"BH",IF('_Engine'!DA13+'_Engine'!DB13=0,"·",IF('_Engine'!DA13='_Engine'!DB13,INDEX(Settings!$G$7:$G$11,MOD('_Engine'!DA13,10))&amp;IF('_Engine'!DA13&gt;10,"?",""),IF('_Engine'!DA13=0,INDEX(Settings!$G$7:$G$11,MOD('_Engine'!DB13,10))&amp;IF('_Engine'!DB13&gt;10,"?","")&amp;" PM",IF('_Engine'!DB13=0,INDEX(Settings!$G$7:$G$11,MOD('_Engine'!DA13,10))&amp;IF('_Engine'!DA13&gt;10,"?","")&amp;" AM",INDEX(Settings!$G$7:$G$11,MOD('_Engine'!DA13,10))&amp;IF('_Engine'!DA13&gt;10,"?","")&amp;" AM"&amp;CHAR(10)&amp;INDEX(Settings!$G$7:$G$11,MOD('_Engine'!DB13,10))&amp;IF('_Engine'!DB13&gt;10,"?","")&amp;" PM"))))))))</ns0:f>
        <ns0:v>·</ns0:v>
      </ns0:c>
      <ns0:c r="AD13" s="164" t="str">
        <ns0:f>IF(OR($A13="",AD$11=""),"",IF(OR('_Engine'!$B$6&gt;0,INDEX('_Engine'!$AM$11:$AM$60,'_Engine'!$AO13)&lt;&gt;"OK"),"!",IF(INDEX(Team!$H$11:$N$60,'_Engine'!$AO13,WEEKDAY(AD$11,2))&lt;&gt;"Work","—",IF(COUNTIF(Settings!$F$18:$F$67,AD$11)&gt;0,"BH",IF('_Engine'!DC13+'_Engine'!DD13=0,"·",IF('_Engine'!DC13='_Engine'!DD13,INDEX(Settings!$G$7:$G$11,MOD('_Engine'!DC13,10))&amp;IF('_Engine'!DC13&gt;10,"?",""),IF('_Engine'!DC13=0,INDEX(Settings!$G$7:$G$11,MOD('_Engine'!DD13,10))&amp;IF('_Engine'!DD13&gt;10,"?","")&amp;" PM",IF('_Engine'!DD13=0,INDEX(Settings!$G$7:$G$11,MOD('_Engine'!DC13,10))&amp;IF('_Engine'!DC13&gt;10,"?","")&amp;" AM",INDEX(Settings!$G$7:$G$11,MOD('_Engine'!DC13,10))&amp;IF('_Engine'!DC13&gt;10,"?","")&amp;" AM"&amp;CHAR(10)&amp;INDEX(Settings!$G$7:$G$11,MOD('_Engine'!DD13,10))&amp;IF('_Engine'!DD13&gt;10,"?","")&amp;" PM"))))))))</ns0:f>
        <ns0:v>·</ns0:v>
      </ns0:c>
      <ns0:c r="AE13" s="164" t="str">
        <ns0:f>IF(OR($A13="",AE$11=""),"",IF(OR('_Engine'!$B$6&gt;0,INDEX('_Engine'!$AM$11:$AM$60,'_Engine'!$AO13)&lt;&gt;"OK"),"!",IF(INDEX(Team!$H$11:$N$60,'_Engine'!$AO13,WEEKDAY(AE$11,2))&lt;&gt;"Work","—",IF(COUNTIF(Settings!$F$18:$F$67,AE$11)&gt;0,"BH",IF('_Engine'!DE13+'_Engine'!DF13=0,"·",IF('_Engine'!DE13='_Engine'!DF13,INDEX(Settings!$G$7:$G$11,MOD('_Engine'!DE13,10))&amp;IF('_Engine'!DE13&gt;10,"?",""),IF('_Engine'!DE13=0,INDEX(Settings!$G$7:$G$11,MOD('_Engine'!DF13,10))&amp;IF('_Engine'!DF13&gt;10,"?","")&amp;" PM",IF('_Engine'!DF13=0,INDEX(Settings!$G$7:$G$11,MOD('_Engine'!DE13,10))&amp;IF('_Engine'!DE13&gt;10,"?","")&amp;" AM",INDEX(Settings!$G$7:$G$11,MOD('_Engine'!DE13,10))&amp;IF('_Engine'!DE13&gt;10,"?","")&amp;" AM"&amp;CHAR(10)&amp;INDEX(Settings!$G$7:$G$11,MOD('_Engine'!DF13,10))&amp;IF('_Engine'!DF13&gt;10,"?","")&amp;" PM"))))))))</ns0:f>
        <ns0:v>·</ns0:v>
      </ns0:c>
      <ns0:c r="AF13" s="164" t="str">
        <ns0:f>IF(OR($A13="",AF$11=""),"",IF(OR('_Engine'!$B$6&gt;0,INDEX('_Engine'!$AM$11:$AM$60,'_Engine'!$AO13)&lt;&gt;"OK"),"!",IF(INDEX(Team!$H$11:$N$60,'_Engine'!$AO13,WEEKDAY(AF$11,2))&lt;&gt;"Work","—",IF(COUNTIF(Settings!$F$18:$F$67,AF$11)&gt;0,"BH",IF('_Engine'!DG13+'_Engine'!DH13=0,"·",IF('_Engine'!DG13='_Engine'!DH13,INDEX(Settings!$G$7:$G$11,MOD('_Engine'!DG13,10))&amp;IF('_Engine'!DG13&gt;10,"?",""),IF('_Engine'!DG13=0,INDEX(Settings!$G$7:$G$11,MOD('_Engine'!DH13,10))&amp;IF('_Engine'!DH13&gt;10,"?","")&amp;" PM",IF('_Engine'!DH13=0,INDEX(Settings!$G$7:$G$11,MOD('_Engine'!DG13,10))&amp;IF('_Engine'!DG13&gt;10,"?","")&amp;" AM",INDEX(Settings!$G$7:$G$11,MOD('_Engine'!DG13,10))&amp;IF('_Engine'!DG13&gt;10,"?","")&amp;" AM"&amp;CHAR(10)&amp;INDEX(Settings!$G$7:$G$11,MOD('_Engine'!DH13,10))&amp;IF('_Engine'!DH13&gt;10,"?","")&amp;" PM"))))))))</ns0:f>
        <ns0:v>·</ns0:v>
      </ns0:c>
      <ns0:c r="AG13" s="164" t="str">
        <ns0:f>IF(OR($A13="",AG$11=""),"",IF(OR('_Engine'!$B$6&gt;0,INDEX('_Engine'!$AM$11:$AM$60,'_Engine'!$AO13)&lt;&gt;"OK"),"!",IF(INDEX(Team!$H$11:$N$60,'_Engine'!$AO13,WEEKDAY(AG$11,2))&lt;&gt;"Work","—",IF(COUNTIF(Settings!$F$18:$F$67,AG$11)&gt;0,"BH",IF('_Engine'!DI13+'_Engine'!DJ13=0,"·",IF('_Engine'!DI13='_Engine'!DJ13,INDEX(Settings!$G$7:$G$11,MOD('_Engine'!DI13,10))&amp;IF('_Engine'!DI13&gt;10,"?",""),IF('_Engine'!DI13=0,INDEX(Settings!$G$7:$G$11,MOD('_Engine'!DJ13,10))&amp;IF('_Engine'!DJ13&gt;10,"?","")&amp;" PM",IF('_Engine'!DJ13=0,INDEX(Settings!$G$7:$G$11,MOD('_Engine'!DI13,10))&amp;IF('_Engine'!DI13&gt;10,"?","")&amp;" AM",INDEX(Settings!$G$7:$G$11,MOD('_Engine'!DI13,10))&amp;IF('_Engine'!DI13&gt;10,"?","")&amp;" AM"&amp;CHAR(10)&amp;INDEX(Settings!$G$7:$G$11,MOD('_Engine'!DJ13,10))&amp;IF('_Engine'!DJ13&gt;10,"?","")&amp;" PM"))))))))</ns0:f>
        <ns0:v>·</ns0:v>
      </ns0:c>
      <ns0:c r="AH13" s="164" t="str">
        <ns0:f>IF(OR($A13="",AH$11=""),"",IF(OR('_Engine'!$B$6&gt;0,INDEX('_Engine'!$AM$11:$AM$60,'_Engine'!$AO13)&lt;&gt;"OK"),"!",IF(INDEX(Team!$H$11:$N$60,'_Engine'!$AO13,WEEKDAY(AH$11,2))&lt;&gt;"Work","—",IF(COUNTIF(Settings!$F$18:$F$67,AH$11)&gt;0,"BH",IF('_Engine'!DK13+'_Engine'!DL13=0,"·",IF('_Engine'!DK13='_Engine'!DL13,INDEX(Settings!$G$7:$G$11,MOD('_Engine'!DK13,10))&amp;IF('_Engine'!DK13&gt;10,"?",""),IF('_Engine'!DK13=0,INDEX(Settings!$G$7:$G$11,MOD('_Engine'!DL13,10))&amp;IF('_Engine'!DL13&gt;10,"?","")&amp;" PM",IF('_Engine'!DL13=0,INDEX(Settings!$G$7:$G$11,MOD('_Engine'!DK13,10))&amp;IF('_Engine'!DK13&gt;10,"?","")&amp;" AM",INDEX(Settings!$G$7:$G$11,MOD('_Engine'!DK13,10))&amp;IF('_Engine'!DK13&gt;10,"?","")&amp;" AM"&amp;CHAR(10)&amp;INDEX(Settings!$G$7:$G$11,MOD('_Engine'!DL13,10))&amp;IF('_Engine'!DL13&gt;10,"?","")&amp;" PM"))))))))</ns0:f>
        <ns0:v>—</ns0:v>
      </ns0:c>
    </ns0:row>
    <ns0:row r="14" ht="38" customHeight="1">
      <ns0:c r="A14" s="4" t="str">
        <ns0:f>IF('_Engine'!AO14=0,"",IF(INDEX(Team!$B$11:$B$60,'_Engine'!AO14)="","[Unnamed]",INDEX(Team!$B$11:$B$60,'_Engine'!AO14)))</ns0:f>
        <ns0:v>Sam Patel</ns0:v>
      </ns0:c>
      <ns0:c r="B14" s="156">
        <ns0:f>IF('_Engine'!AO14=0,"",INDEX('_Engine'!$AN$11:$AN$60,'_Engine'!AO14))</ns0:f>
        <ns0:v>12</ns0:v>
      </ns0:c>
      <ns0:c r="C14" s="4" t="str">
        <ns0:f>IF('_Engine'!AO14=0,"",INDEX(Team!$C$11:$C$60,'_Engine'!AO14))</ns0:f>
        <ns0:v>Product</ns0:v>
      </ns0:c>
      <ns0:c r="D14" s="162" t="str">
        <ns0:f>IF(OR($A14="",D$11=""),"",IF(OR('_Engine'!$B$6&gt;0,INDEX('_Engine'!$AM$11:$AM$60,'_Engine'!$AO14)&lt;&gt;"OK"),"!",IF(INDEX(Team!$H$11:$N$60,'_Engine'!$AO14,WEEKDAY(D$11,2))&lt;&gt;"Work","—",IF(COUNTIF(Settings!$F$18:$F$67,D$11)&gt;0,"BH",IF('_Engine'!BC14+'_Engine'!BD14=0,"·",IF('_Engine'!BC14='_Engine'!BD14,INDEX(Settings!$G$7:$G$11,MOD('_Engine'!BC14,10))&amp;IF('_Engine'!BC14&gt;10,"?",""),IF('_Engine'!BC14=0,INDEX(Settings!$G$7:$G$11,MOD('_Engine'!BD14,10))&amp;IF('_Engine'!BD14&gt;10,"?","")&amp;" PM",IF('_Engine'!BD14=0,INDEX(Settings!$G$7:$G$11,MOD('_Engine'!BC14,10))&amp;IF('_Engine'!BC14&gt;10,"?","")&amp;" AM",INDEX(Settings!$G$7:$G$11,MOD('_Engine'!BC14,10))&amp;IF('_Engine'!BC14&gt;10,"?","")&amp;" AM"&amp;CHAR(10)&amp;INDEX(Settings!$G$7:$G$11,MOD('_Engine'!BD14,10))&amp;IF('_Engine'!BD14&gt;10,"?","")&amp;" PM"))))))))</ns0:f>
        <ns0:v>—</ns0:v>
      </ns0:c>
      <ns0:c r="E14" s="162" t="str">
        <ns0:f>IF(OR($A14="",E$11=""),"",IF(OR('_Engine'!$B$6&gt;0,INDEX('_Engine'!$AM$11:$AM$60,'_Engine'!$AO14)&lt;&gt;"OK"),"!",IF(INDEX(Team!$H$11:$N$60,'_Engine'!$AO14,WEEKDAY(E$11,2))&lt;&gt;"Work","—",IF(COUNTIF(Settings!$F$18:$F$67,E$11)&gt;0,"BH",IF('_Engine'!BE14+'_Engine'!BF14=0,"·",IF('_Engine'!BE14='_Engine'!BF14,INDEX(Settings!$G$7:$G$11,MOD('_Engine'!BE14,10))&amp;IF('_Engine'!BE14&gt;10,"?",""),IF('_Engine'!BE14=0,INDEX(Settings!$G$7:$G$11,MOD('_Engine'!BF14,10))&amp;IF('_Engine'!BF14&gt;10,"?","")&amp;" PM",IF('_Engine'!BF14=0,INDEX(Settings!$G$7:$G$11,MOD('_Engine'!BE14,10))&amp;IF('_Engine'!BE14&gt;10,"?","")&amp;" AM",INDEX(Settings!$G$7:$G$11,MOD('_Engine'!BE14,10))&amp;IF('_Engine'!BE14&gt;10,"?","")&amp;" AM"&amp;CHAR(10)&amp;INDEX(Settings!$G$7:$G$11,MOD('_Engine'!BF14,10))&amp;IF('_Engine'!BF14&gt;10,"?","")&amp;" PM"))))))))</ns0:f>
        <ns0:v>—</ns0:v>
      </ns0:c>
      <ns0:c r="F14" s="162" t="str">
        <ns0:f>IF(OR($A14="",F$11=""),"",IF(OR('_Engine'!$B$6&gt;0,INDEX('_Engine'!$AM$11:$AM$60,'_Engine'!$AO14)&lt;&gt;"OK"),"!",IF(INDEX(Team!$H$11:$N$60,'_Engine'!$AO14,WEEKDAY(F$11,2))&lt;&gt;"Work","—",IF(COUNTIF(Settings!$F$18:$F$67,F$11)&gt;0,"BH",IF('_Engine'!BG14+'_Engine'!BH14=0,"·",IF('_Engine'!BG14='_Engine'!BH14,INDEX(Settings!$G$7:$G$11,MOD('_Engine'!BG14,10))&amp;IF('_Engine'!BG14&gt;10,"?",""),IF('_Engine'!BG14=0,INDEX(Settings!$G$7:$G$11,MOD('_Engine'!BH14,10))&amp;IF('_Engine'!BH14&gt;10,"?","")&amp;" PM",IF('_Engine'!BH14=0,INDEX(Settings!$G$7:$G$11,MOD('_Engine'!BG14,10))&amp;IF('_Engine'!BG14&gt;10,"?","")&amp;" AM",INDEX(Settings!$G$7:$G$11,MOD('_Engine'!BG14,10))&amp;IF('_Engine'!BG14&gt;10,"?","")&amp;" AM"&amp;CHAR(10)&amp;INDEX(Settings!$G$7:$G$11,MOD('_Engine'!BH14,10))&amp;IF('_Engine'!BH14&gt;10,"?","")&amp;" PM"))))))))</ns0:f>
        <ns0:v>—</ns0:v>
      </ns0:c>
      <ns0:c r="G14" s="162" t="str">
        <ns0:f>IF(OR($A14="",G$11=""),"",IF(OR('_Engine'!$B$6&gt;0,INDEX('_Engine'!$AM$11:$AM$60,'_Engine'!$AO14)&lt;&gt;"OK"),"!",IF(INDEX(Team!$H$11:$N$60,'_Engine'!$AO14,WEEKDAY(G$11,2))&lt;&gt;"Work","—",IF(COUNTIF(Settings!$F$18:$F$67,G$11)&gt;0,"BH",IF('_Engine'!BI14+'_Engine'!BJ14=0,"·",IF('_Engine'!BI14='_Engine'!BJ14,INDEX(Settings!$G$7:$G$11,MOD('_Engine'!BI14,10))&amp;IF('_Engine'!BI14&gt;10,"?",""),IF('_Engine'!BI14=0,INDEX(Settings!$G$7:$G$11,MOD('_Engine'!BJ14,10))&amp;IF('_Engine'!BJ14&gt;10,"?","")&amp;" PM",IF('_Engine'!BJ14=0,INDEX(Settings!$G$7:$G$11,MOD('_Engine'!BI14,10))&amp;IF('_Engine'!BI14&gt;10,"?","")&amp;" AM",INDEX(Settings!$G$7:$G$11,MOD('_Engine'!BI14,10))&amp;IF('_Engine'!BI14&gt;10,"?","")&amp;" AM"&amp;CHAR(10)&amp;INDEX(Settings!$G$7:$G$11,MOD('_Engine'!BJ14,10))&amp;IF('_Engine'!BJ14&gt;10,"?","")&amp;" PM"))))))))</ns0:f>
        <ns0:v>—</ns0:v>
      </ns0:c>
      <ns0:c r="H14" s="162" t="str">
        <ns0:f>IF(OR($A14="",H$11=""),"",IF(OR('_Engine'!$B$6&gt;0,INDEX('_Engine'!$AM$11:$AM$60,'_Engine'!$AO14)&lt;&gt;"OK"),"!",IF(INDEX(Team!$H$11:$N$60,'_Engine'!$AO14,WEEKDAY(H$11,2))&lt;&gt;"Work","—",IF(COUNTIF(Settings!$F$18:$F$67,H$11)&gt;0,"BH",IF('_Engine'!BK14+'_Engine'!BL14=0,"·",IF('_Engine'!BK14='_Engine'!BL14,INDEX(Settings!$G$7:$G$11,MOD('_Engine'!BK14,10))&amp;IF('_Engine'!BK14&gt;10,"?",""),IF('_Engine'!BK14=0,INDEX(Settings!$G$7:$G$11,MOD('_Engine'!BL14,10))&amp;IF('_Engine'!BL14&gt;10,"?","")&amp;" PM",IF('_Engine'!BL14=0,INDEX(Settings!$G$7:$G$11,MOD('_Engine'!BK14,10))&amp;IF('_Engine'!BK14&gt;10,"?","")&amp;" AM",INDEX(Settings!$G$7:$G$11,MOD('_Engine'!BK14,10))&amp;IF('_Engine'!BK14&gt;10,"?","")&amp;" AM"&amp;CHAR(10)&amp;INDEX(Settings!$G$7:$G$11,MOD('_Engine'!BL14,10))&amp;IF('_Engine'!BL14&gt;10,"?","")&amp;" PM"))))))))</ns0:f>
        <ns0:v>·</ns0:v>
      </ns0:c>
      <ns0:c r="I14" s="162" t="str">
        <ns0:f>IF(OR($A14="",I$11=""),"",IF(OR('_Engine'!$B$6&gt;0,INDEX('_Engine'!$AM$11:$AM$60,'_Engine'!$AO14)&lt;&gt;"OK"),"!",IF(INDEX(Team!$H$11:$N$60,'_Engine'!$AO14,WEEKDAY(I$11,2))&lt;&gt;"Work","—",IF(COUNTIF(Settings!$F$18:$F$67,I$11)&gt;0,"BH",IF('_Engine'!BM14+'_Engine'!BN14=0,"·",IF('_Engine'!BM14='_Engine'!BN14,INDEX(Settings!$G$7:$G$11,MOD('_Engine'!BM14,10))&amp;IF('_Engine'!BM14&gt;10,"?",""),IF('_Engine'!BM14=0,INDEX(Settings!$G$7:$G$11,MOD('_Engine'!BN14,10))&amp;IF('_Engine'!BN14&gt;10,"?","")&amp;" PM",IF('_Engine'!BN14=0,INDEX(Settings!$G$7:$G$11,MOD('_Engine'!BM14,10))&amp;IF('_Engine'!BM14&gt;10,"?","")&amp;" AM",INDEX(Settings!$G$7:$G$11,MOD('_Engine'!BM14,10))&amp;IF('_Engine'!BM14&gt;10,"?","")&amp;" AM"&amp;CHAR(10)&amp;INDEX(Settings!$G$7:$G$11,MOD('_Engine'!BN14,10))&amp;IF('_Engine'!BN14&gt;10,"?","")&amp;" PM"))))))))</ns0:f>
        <ns0:v>·</ns0:v>
      </ns0:c>
      <ns0:c r="J14" s="162" t="str">
        <ns0:f>IF(OR($A14="",J$11=""),"",IF(OR('_Engine'!$B$6&gt;0,INDEX('_Engine'!$AM$11:$AM$60,'_Engine'!$AO14)&lt;&gt;"OK"),"!",IF(INDEX(Team!$H$11:$N$60,'_Engine'!$AO14,WEEKDAY(J$11,2))&lt;&gt;"Work","—",IF(COUNTIF(Settings!$F$18:$F$67,J$11)&gt;0,"BH",IF('_Engine'!BO14+'_Engine'!BP14=0,"·",IF('_Engine'!BO14='_Engine'!BP14,INDEX(Settings!$G$7:$G$11,MOD('_Engine'!BO14,10))&amp;IF('_Engine'!BO14&gt;10,"?",""),IF('_Engine'!BO14=0,INDEX(Settings!$G$7:$G$11,MOD('_Engine'!BP14,10))&amp;IF('_Engine'!BP14&gt;10,"?","")&amp;" PM",IF('_Engine'!BP14=0,INDEX(Settings!$G$7:$G$11,MOD('_Engine'!BO14,10))&amp;IF('_Engine'!BO14&gt;10,"?","")&amp;" AM",INDEX(Settings!$G$7:$G$11,MOD('_Engine'!BO14,10))&amp;IF('_Engine'!BO14&gt;10,"?","")&amp;" AM"&amp;CHAR(10)&amp;INDEX(Settings!$G$7:$G$11,MOD('_Engine'!BP14,10))&amp;IF('_Engine'!BP14&gt;10,"?","")&amp;" PM"))))))))</ns0:f>
        <ns0:v>·</ns0:v>
      </ns0:c>
      <ns0:c r="K14" s="164" t="str">
        <ns0:f>IF(OR($A14="",K$11=""),"",IF(OR('_Engine'!$B$6&gt;0,INDEX('_Engine'!$AM$11:$AM$60,'_Engine'!$AO14)&lt;&gt;"OK"),"!",IF(INDEX(Team!$H$11:$N$60,'_Engine'!$AO14,WEEKDAY(K$11,2))&lt;&gt;"Work","—",IF(COUNTIF(Settings!$F$18:$F$67,K$11)&gt;0,"BH",IF('_Engine'!BQ14+'_Engine'!BR14=0,"·",IF('_Engine'!BQ14='_Engine'!BR14,INDEX(Settings!$G$7:$G$11,MOD('_Engine'!BQ14,10))&amp;IF('_Engine'!BQ14&gt;10,"?",""),IF('_Engine'!BQ14=0,INDEX(Settings!$G$7:$G$11,MOD('_Engine'!BR14,10))&amp;IF('_Engine'!BR14&gt;10,"?","")&amp;" PM",IF('_Engine'!BR14=0,INDEX(Settings!$G$7:$G$11,MOD('_Engine'!BQ14,10))&amp;IF('_Engine'!BQ14&gt;10,"?","")&amp;" AM",INDEX(Settings!$G$7:$G$11,MOD('_Engine'!BQ14,10))&amp;IF('_Engine'!BQ14&gt;10,"?","")&amp;" AM"&amp;CHAR(10)&amp;INDEX(Settings!$G$7:$G$11,MOD('_Engine'!BR14,10))&amp;IF('_Engine'!BR14&gt;10,"?","")&amp;" PM"))))))))</ns0:f>
        <ns0:v>—</ns0:v>
      </ns0:c>
      <ns0:c r="L14" s="164" t="str">
        <ns0:f>IF(OR($A14="",L$11=""),"",IF(OR('_Engine'!$B$6&gt;0,INDEX('_Engine'!$AM$11:$AM$60,'_Engine'!$AO14)&lt;&gt;"OK"),"!",IF(INDEX(Team!$H$11:$N$60,'_Engine'!$AO14,WEEKDAY(L$11,2))&lt;&gt;"Work","—",IF(COUNTIF(Settings!$F$18:$F$67,L$11)&gt;0,"BH",IF('_Engine'!BS14+'_Engine'!BT14=0,"·",IF('_Engine'!BS14='_Engine'!BT14,INDEX(Settings!$G$7:$G$11,MOD('_Engine'!BS14,10))&amp;IF('_Engine'!BS14&gt;10,"?",""),IF('_Engine'!BS14=0,INDEX(Settings!$G$7:$G$11,MOD('_Engine'!BT14,10))&amp;IF('_Engine'!BT14&gt;10,"?","")&amp;" PM",IF('_Engine'!BT14=0,INDEX(Settings!$G$7:$G$11,MOD('_Engine'!BS14,10))&amp;IF('_Engine'!BS14&gt;10,"?","")&amp;" AM",INDEX(Settings!$G$7:$G$11,MOD('_Engine'!BS14,10))&amp;IF('_Engine'!BS14&gt;10,"?","")&amp;" AM"&amp;CHAR(10)&amp;INDEX(Settings!$G$7:$G$11,MOD('_Engine'!BT14,10))&amp;IF('_Engine'!BT14&gt;10,"?","")&amp;" PM"))))))))</ns0:f>
        <ns0:v>—</ns0:v>
      </ns0:c>
      <ns0:c r="M14" s="164" t="str">
        <ns0:f>IF(OR($A14="",M$11=""),"",IF(OR('_Engine'!$B$6&gt;0,INDEX('_Engine'!$AM$11:$AM$60,'_Engine'!$AO14)&lt;&gt;"OK"),"!",IF(INDEX(Team!$H$11:$N$60,'_Engine'!$AO14,WEEKDAY(M$11,2))&lt;&gt;"Work","—",IF(COUNTIF(Settings!$F$18:$F$67,M$11)&gt;0,"BH",IF('_Engine'!BU14+'_Engine'!BV14=0,"·",IF('_Engine'!BU14='_Engine'!BV14,INDEX(Settings!$G$7:$G$11,MOD('_Engine'!BU14,10))&amp;IF('_Engine'!BU14&gt;10,"?",""),IF('_Engine'!BU14=0,INDEX(Settings!$G$7:$G$11,MOD('_Engine'!BV14,10))&amp;IF('_Engine'!BV14&gt;10,"?","")&amp;" PM",IF('_Engine'!BV14=0,INDEX(Settings!$G$7:$G$11,MOD('_Engine'!BU14,10))&amp;IF('_Engine'!BU14&gt;10,"?","")&amp;" AM",INDEX(Settings!$G$7:$G$11,MOD('_Engine'!BU14,10))&amp;IF('_Engine'!BU14&gt;10,"?","")&amp;" AM"&amp;CHAR(10)&amp;INDEX(Settings!$G$7:$G$11,MOD('_Engine'!BV14,10))&amp;IF('_Engine'!BV14&gt;10,"?","")&amp;" PM"))))))))</ns0:f>
        <ns0:v>—</ns0:v>
      </ns0:c>
      <ns0:c r="N14" s="164" t="str">
        <ns0:f>IF(OR($A14="",N$11=""),"",IF(OR('_Engine'!$B$6&gt;0,INDEX('_Engine'!$AM$11:$AM$60,'_Engine'!$AO14)&lt;&gt;"OK"),"!",IF(INDEX(Team!$H$11:$N$60,'_Engine'!$AO14,WEEKDAY(N$11,2))&lt;&gt;"Work","—",IF(COUNTIF(Settings!$F$18:$F$67,N$11)&gt;0,"BH",IF('_Engine'!BW14+'_Engine'!BX14=0,"·",IF('_Engine'!BW14='_Engine'!BX14,INDEX(Settings!$G$7:$G$11,MOD('_Engine'!BW14,10))&amp;IF('_Engine'!BW14&gt;10,"?",""),IF('_Engine'!BW14=0,INDEX(Settings!$G$7:$G$11,MOD('_Engine'!BX14,10))&amp;IF('_Engine'!BX14&gt;10,"?","")&amp;" PM",IF('_Engine'!BX14=0,INDEX(Settings!$G$7:$G$11,MOD('_Engine'!BW14,10))&amp;IF('_Engine'!BW14&gt;10,"?","")&amp;" AM",INDEX(Settings!$G$7:$G$11,MOD('_Engine'!BW14,10))&amp;IF('_Engine'!BW14&gt;10,"?","")&amp;" AM"&amp;CHAR(10)&amp;INDEX(Settings!$G$7:$G$11,MOD('_Engine'!BX14,10))&amp;IF('_Engine'!BX14&gt;10,"?","")&amp;" PM"))))))))</ns0:f>
        <ns0:v>—</ns0:v>
      </ns0:c>
      <ns0:c r="O14" s="164" t="str">
        <ns0:f>IF(OR($A14="",O$11=""),"",IF(OR('_Engine'!$B$6&gt;0,INDEX('_Engine'!$AM$11:$AM$60,'_Engine'!$AO14)&lt;&gt;"OK"),"!",IF(INDEX(Team!$H$11:$N$60,'_Engine'!$AO14,WEEKDAY(O$11,2))&lt;&gt;"Work","—",IF(COUNTIF(Settings!$F$18:$F$67,O$11)&gt;0,"BH",IF('_Engine'!BY14+'_Engine'!BZ14=0,"·",IF('_Engine'!BY14='_Engine'!BZ14,INDEX(Settings!$G$7:$G$11,MOD('_Engine'!BY14,10))&amp;IF('_Engine'!BY14&gt;10,"?",""),IF('_Engine'!BY14=0,INDEX(Settings!$G$7:$G$11,MOD('_Engine'!BZ14,10))&amp;IF('_Engine'!BZ14&gt;10,"?","")&amp;" PM",IF('_Engine'!BZ14=0,INDEX(Settings!$G$7:$G$11,MOD('_Engine'!BY14,10))&amp;IF('_Engine'!BY14&gt;10,"?","")&amp;" AM",INDEX(Settings!$G$7:$G$11,MOD('_Engine'!BY14,10))&amp;IF('_Engine'!BY14&gt;10,"?","")&amp;" AM"&amp;CHAR(10)&amp;INDEX(Settings!$G$7:$G$11,MOD('_Engine'!BZ14,10))&amp;IF('_Engine'!BZ14&gt;10,"?","")&amp;" PM"))))))))</ns0:f>
        <ns0:v>·</ns0:v>
      </ns0:c>
      <ns0:c r="P14" s="164" t="str">
        <ns0:f>IF(OR($A14="",P$11=""),"",IF(OR('_Engine'!$B$6&gt;0,INDEX('_Engine'!$AM$11:$AM$60,'_Engine'!$AO14)&lt;&gt;"OK"),"!",IF(INDEX(Team!$H$11:$N$60,'_Engine'!$AO14,WEEKDAY(P$11,2))&lt;&gt;"Work","—",IF(COUNTIF(Settings!$F$18:$F$67,P$11)&gt;0,"BH",IF('_Engine'!CA14+'_Engine'!CB14=0,"·",IF('_Engine'!CA14='_Engine'!CB14,INDEX(Settings!$G$7:$G$11,MOD('_Engine'!CA14,10))&amp;IF('_Engine'!CA14&gt;10,"?",""),IF('_Engine'!CA14=0,INDEX(Settings!$G$7:$G$11,MOD('_Engine'!CB14,10))&amp;IF('_Engine'!CB14&gt;10,"?","")&amp;" PM",IF('_Engine'!CB14=0,INDEX(Settings!$G$7:$G$11,MOD('_Engine'!CA14,10))&amp;IF('_Engine'!CA14&gt;10,"?","")&amp;" AM",INDEX(Settings!$G$7:$G$11,MOD('_Engine'!CA14,10))&amp;IF('_Engine'!CA14&gt;10,"?","")&amp;" AM"&amp;CHAR(10)&amp;INDEX(Settings!$G$7:$G$11,MOD('_Engine'!CB14,10))&amp;IF('_Engine'!CB14&gt;10,"?","")&amp;" PM"))))))))</ns0:f>
        <ns0:v>·</ns0:v>
      </ns0:c>
      <ns0:c r="Q14" s="164" t="str">
        <ns0:f>IF(OR($A14="",Q$11=""),"",IF(OR('_Engine'!$B$6&gt;0,INDEX('_Engine'!$AM$11:$AM$60,'_Engine'!$AO14)&lt;&gt;"OK"),"!",IF(INDEX(Team!$H$11:$N$60,'_Engine'!$AO14,WEEKDAY(Q$11,2))&lt;&gt;"Work","—",IF(COUNTIF(Settings!$F$18:$F$67,Q$11)&gt;0,"BH",IF('_Engine'!CC14+'_Engine'!CD14=0,"·",IF('_Engine'!CC14='_Engine'!CD14,INDEX(Settings!$G$7:$G$11,MOD('_Engine'!CC14,10))&amp;IF('_Engine'!CC14&gt;10,"?",""),IF('_Engine'!CC14=0,INDEX(Settings!$G$7:$G$11,MOD('_Engine'!CD14,10))&amp;IF('_Engine'!CD14&gt;10,"?","")&amp;" PM",IF('_Engine'!CD14=0,INDEX(Settings!$G$7:$G$11,MOD('_Engine'!CC14,10))&amp;IF('_Engine'!CC14&gt;10,"?","")&amp;" AM",INDEX(Settings!$G$7:$G$11,MOD('_Engine'!CC14,10))&amp;IF('_Engine'!CC14&gt;10,"?","")&amp;" AM"&amp;CHAR(10)&amp;INDEX(Settings!$G$7:$G$11,MOD('_Engine'!CD14,10))&amp;IF('_Engine'!CD14&gt;10,"?","")&amp;" PM"))))))))</ns0:f>
        <ns0:v>·</ns0:v>
      </ns0:c>
      <ns0:c r="R14" s="164" t="str">
        <ns0:f>IF(OR($A14="",R$11=""),"",IF(OR('_Engine'!$B$6&gt;0,INDEX('_Engine'!$AM$11:$AM$60,'_Engine'!$AO14)&lt;&gt;"OK"),"!",IF(INDEX(Team!$H$11:$N$60,'_Engine'!$AO14,WEEKDAY(R$11,2))&lt;&gt;"Work","—",IF(COUNTIF(Settings!$F$18:$F$67,R$11)&gt;0,"BH",IF('_Engine'!CE14+'_Engine'!CF14=0,"·",IF('_Engine'!CE14='_Engine'!CF14,INDEX(Settings!$G$7:$G$11,MOD('_Engine'!CE14,10))&amp;IF('_Engine'!CE14&gt;10,"?",""),IF('_Engine'!CE14=0,INDEX(Settings!$G$7:$G$11,MOD('_Engine'!CF14,10))&amp;IF('_Engine'!CF14&gt;10,"?","")&amp;" PM",IF('_Engine'!CF14=0,INDEX(Settings!$G$7:$G$11,MOD('_Engine'!CE14,10))&amp;IF('_Engine'!CE14&gt;10,"?","")&amp;" AM",INDEX(Settings!$G$7:$G$11,MOD('_Engine'!CE14,10))&amp;IF('_Engine'!CE14&gt;10,"?","")&amp;" AM"&amp;CHAR(10)&amp;INDEX(Settings!$G$7:$G$11,MOD('_Engine'!CF14,10))&amp;IF('_Engine'!CF14&gt;10,"?","")&amp;" PM"))))))))</ns0:f>
        <ns0:v>—</ns0:v>
      </ns0:c>
      <ns0:c r="S14" s="164" t="str">
        <ns0:f>IF(OR($A14="",S$11=""),"",IF(OR('_Engine'!$B$6&gt;0,INDEX('_Engine'!$AM$11:$AM$60,'_Engine'!$AO14)&lt;&gt;"OK"),"!",IF(INDEX(Team!$H$11:$N$60,'_Engine'!$AO14,WEEKDAY(S$11,2))&lt;&gt;"Work","—",IF(COUNTIF(Settings!$F$18:$F$67,S$11)&gt;0,"BH",IF('_Engine'!CG14+'_Engine'!CH14=0,"·",IF('_Engine'!CG14='_Engine'!CH14,INDEX(Settings!$G$7:$G$11,MOD('_Engine'!CG14,10))&amp;IF('_Engine'!CG14&gt;10,"?",""),IF('_Engine'!CG14=0,INDEX(Settings!$G$7:$G$11,MOD('_Engine'!CH14,10))&amp;IF('_Engine'!CH14&gt;10,"?","")&amp;" PM",IF('_Engine'!CH14=0,INDEX(Settings!$G$7:$G$11,MOD('_Engine'!CG14,10))&amp;IF('_Engine'!CG14&gt;10,"?","")&amp;" AM",INDEX(Settings!$G$7:$G$11,MOD('_Engine'!CG14,10))&amp;IF('_Engine'!CG14&gt;10,"?","")&amp;" AM"&amp;CHAR(10)&amp;INDEX(Settings!$G$7:$G$11,MOD('_Engine'!CH14,10))&amp;IF('_Engine'!CH14&gt;10,"?","")&amp;" PM"))))))))</ns0:f>
        <ns0:v>—</ns0:v>
      </ns0:c>
      <ns0:c r="T14" s="164" t="str">
        <ns0:f>IF(OR($A14="",T$11=""),"",IF(OR('_Engine'!$B$6&gt;0,INDEX('_Engine'!$AM$11:$AM$60,'_Engine'!$AO14)&lt;&gt;"OK"),"!",IF(INDEX(Team!$H$11:$N$60,'_Engine'!$AO14,WEEKDAY(T$11,2))&lt;&gt;"Work","—",IF(COUNTIF(Settings!$F$18:$F$67,T$11)&gt;0,"BH",IF('_Engine'!CI14+'_Engine'!CJ14=0,"·",IF('_Engine'!CI14='_Engine'!CJ14,INDEX(Settings!$G$7:$G$11,MOD('_Engine'!CI14,10))&amp;IF('_Engine'!CI14&gt;10,"?",""),IF('_Engine'!CI14=0,INDEX(Settings!$G$7:$G$11,MOD('_Engine'!CJ14,10))&amp;IF('_Engine'!CJ14&gt;10,"?","")&amp;" PM",IF('_Engine'!CJ14=0,INDEX(Settings!$G$7:$G$11,MOD('_Engine'!CI14,10))&amp;IF('_Engine'!CI14&gt;10,"?","")&amp;" AM",INDEX(Settings!$G$7:$G$11,MOD('_Engine'!CI14,10))&amp;IF('_Engine'!CI14&gt;10,"?","")&amp;" AM"&amp;CHAR(10)&amp;INDEX(Settings!$G$7:$G$11,MOD('_Engine'!CJ14,10))&amp;IF('_Engine'!CJ14&gt;10,"?","")&amp;" PM"))))))))</ns0:f>
        <ns0:v>—</ns0:v>
      </ns0:c>
      <ns0:c r="U14" s="164" t="str">
        <ns0:f>IF(OR($A14="",U$11=""),"",IF(OR('_Engine'!$B$6&gt;0,INDEX('_Engine'!$AM$11:$AM$60,'_Engine'!$AO14)&lt;&gt;"OK"),"!",IF(INDEX(Team!$H$11:$N$60,'_Engine'!$AO14,WEEKDAY(U$11,2))&lt;&gt;"Work","—",IF(COUNTIF(Settings!$F$18:$F$67,U$11)&gt;0,"BH",IF('_Engine'!CK14+'_Engine'!CL14=0,"·",IF('_Engine'!CK14='_Engine'!CL14,INDEX(Settings!$G$7:$G$11,MOD('_Engine'!CK14,10))&amp;IF('_Engine'!CK14&gt;10,"?",""),IF('_Engine'!CK14=0,INDEX(Settings!$G$7:$G$11,MOD('_Engine'!CL14,10))&amp;IF('_Engine'!CL14&gt;10,"?","")&amp;" PM",IF('_Engine'!CL14=0,INDEX(Settings!$G$7:$G$11,MOD('_Engine'!CK14,10))&amp;IF('_Engine'!CK14&gt;10,"?","")&amp;" AM",INDEX(Settings!$G$7:$G$11,MOD('_Engine'!CK14,10))&amp;IF('_Engine'!CK14&gt;10,"?","")&amp;" AM"&amp;CHAR(10)&amp;INDEX(Settings!$G$7:$G$11,MOD('_Engine'!CL14,10))&amp;IF('_Engine'!CL14&gt;10,"?","")&amp;" PM"))))))))</ns0:f>
        <ns0:v>—</ns0:v>
      </ns0:c>
      <ns0:c r="V14" s="164" t="str">
        <ns0:f>IF(OR($A14="",V$11=""),"",IF(OR('_Engine'!$B$6&gt;0,INDEX('_Engine'!$AM$11:$AM$60,'_Engine'!$AO14)&lt;&gt;"OK"),"!",IF(INDEX(Team!$H$11:$N$60,'_Engine'!$AO14,WEEKDAY(V$11,2))&lt;&gt;"Work","—",IF(COUNTIF(Settings!$F$18:$F$67,V$11)&gt;0,"BH",IF('_Engine'!CM14+'_Engine'!CN14=0,"·",IF('_Engine'!CM14='_Engine'!CN14,INDEX(Settings!$G$7:$G$11,MOD('_Engine'!CM14,10))&amp;IF('_Engine'!CM14&gt;10,"?",""),IF('_Engine'!CM14=0,INDEX(Settings!$G$7:$G$11,MOD('_Engine'!CN14,10))&amp;IF('_Engine'!CN14&gt;10,"?","")&amp;" PM",IF('_Engine'!CN14=0,INDEX(Settings!$G$7:$G$11,MOD('_Engine'!CM14,10))&amp;IF('_Engine'!CM14&gt;10,"?","")&amp;" AM",INDEX(Settings!$G$7:$G$11,MOD('_Engine'!CM14,10))&amp;IF('_Engine'!CM14&gt;10,"?","")&amp;" AM"&amp;CHAR(10)&amp;INDEX(Settings!$G$7:$G$11,MOD('_Engine'!CN14,10))&amp;IF('_Engine'!CN14&gt;10,"?","")&amp;" PM"))))))))</ns0:f>
        <ns0:v>H</ns0:v>
      </ns0:c>
      <ns0:c r="W14" s="164" t="str">
        <ns0:f>IF(OR($A14="",W$11=""),"",IF(OR('_Engine'!$B$6&gt;0,INDEX('_Engine'!$AM$11:$AM$60,'_Engine'!$AO14)&lt;&gt;"OK"),"!",IF(INDEX(Team!$H$11:$N$60,'_Engine'!$AO14,WEEKDAY(W$11,2))&lt;&gt;"Work","—",IF(COUNTIF(Settings!$F$18:$F$67,W$11)&gt;0,"BH",IF('_Engine'!CO14+'_Engine'!CP14=0,"·",IF('_Engine'!CO14='_Engine'!CP14,INDEX(Settings!$G$7:$G$11,MOD('_Engine'!CO14,10))&amp;IF('_Engine'!CO14&gt;10,"?",""),IF('_Engine'!CO14=0,INDEX(Settings!$G$7:$G$11,MOD('_Engine'!CP14,10))&amp;IF('_Engine'!CP14&gt;10,"?","")&amp;" PM",IF('_Engine'!CP14=0,INDEX(Settings!$G$7:$G$11,MOD('_Engine'!CO14,10))&amp;IF('_Engine'!CO14&gt;10,"?","")&amp;" AM",INDEX(Settings!$G$7:$G$11,MOD('_Engine'!CO14,10))&amp;IF('_Engine'!CO14&gt;10,"?","")&amp;" AM"&amp;CHAR(10)&amp;INDEX(Settings!$G$7:$G$11,MOD('_Engine'!CP14,10))&amp;IF('_Engine'!CP14&gt;10,"?","")&amp;" PM"))))))))</ns0:f>
        <ns0:v>H</ns0:v>
      </ns0:c>
      <ns0:c r="X14" s="164" t="str">
        <ns0:f>IF(OR($A14="",X$11=""),"",IF(OR('_Engine'!$B$6&gt;0,INDEX('_Engine'!$AM$11:$AM$60,'_Engine'!$AO14)&lt;&gt;"OK"),"!",IF(INDEX(Team!$H$11:$N$60,'_Engine'!$AO14,WEEKDAY(X$11,2))&lt;&gt;"Work","—",IF(COUNTIF(Settings!$F$18:$F$67,X$11)&gt;0,"BH",IF('_Engine'!CQ14+'_Engine'!CR14=0,"·",IF('_Engine'!CQ14='_Engine'!CR14,INDEX(Settings!$G$7:$G$11,MOD('_Engine'!CQ14,10))&amp;IF('_Engine'!CQ14&gt;10,"?",""),IF('_Engine'!CQ14=0,INDEX(Settings!$G$7:$G$11,MOD('_Engine'!CR14,10))&amp;IF('_Engine'!CR14&gt;10,"?","")&amp;" PM",IF('_Engine'!CR14=0,INDEX(Settings!$G$7:$G$11,MOD('_Engine'!CQ14,10))&amp;IF('_Engine'!CQ14&gt;10,"?","")&amp;" AM",INDEX(Settings!$G$7:$G$11,MOD('_Engine'!CQ14,10))&amp;IF('_Engine'!CQ14&gt;10,"?","")&amp;" AM"&amp;CHAR(10)&amp;INDEX(Settings!$G$7:$G$11,MOD('_Engine'!CR14,10))&amp;IF('_Engine'!CR14&gt;10,"?","")&amp;" PM"))))))))</ns0:f>
        <ns0:v>H</ns0:v>
      </ns0:c>
      <ns0:c r="Y14" s="164" t="str">
        <ns0:f>IF(OR($A14="",Y$11=""),"",IF(OR('_Engine'!$B$6&gt;0,INDEX('_Engine'!$AM$11:$AM$60,'_Engine'!$AO14)&lt;&gt;"OK"),"!",IF(INDEX(Team!$H$11:$N$60,'_Engine'!$AO14,WEEKDAY(Y$11,2))&lt;&gt;"Work","—",IF(COUNTIF(Settings!$F$18:$F$67,Y$11)&gt;0,"BH",IF('_Engine'!CS14+'_Engine'!CT14=0,"·",IF('_Engine'!CS14='_Engine'!CT14,INDEX(Settings!$G$7:$G$11,MOD('_Engine'!CS14,10))&amp;IF('_Engine'!CS14&gt;10,"?",""),IF('_Engine'!CS14=0,INDEX(Settings!$G$7:$G$11,MOD('_Engine'!CT14,10))&amp;IF('_Engine'!CT14&gt;10,"?","")&amp;" PM",IF('_Engine'!CT14=0,INDEX(Settings!$G$7:$G$11,MOD('_Engine'!CS14,10))&amp;IF('_Engine'!CS14&gt;10,"?","")&amp;" AM",INDEX(Settings!$G$7:$G$11,MOD('_Engine'!CS14,10))&amp;IF('_Engine'!CS14&gt;10,"?","")&amp;" AM"&amp;CHAR(10)&amp;INDEX(Settings!$G$7:$G$11,MOD('_Engine'!CT14,10))&amp;IF('_Engine'!CT14&gt;10,"?","")&amp;" PM"))))))))</ns0:f>
        <ns0:v>—</ns0:v>
      </ns0:c>
      <ns0:c r="Z14" s="164" t="str">
        <ns0:f>IF(OR($A14="",Z$11=""),"",IF(OR('_Engine'!$B$6&gt;0,INDEX('_Engine'!$AM$11:$AM$60,'_Engine'!$AO14)&lt;&gt;"OK"),"!",IF(INDEX(Team!$H$11:$N$60,'_Engine'!$AO14,WEEKDAY(Z$11,2))&lt;&gt;"Work","—",IF(COUNTIF(Settings!$F$18:$F$67,Z$11)&gt;0,"BH",IF('_Engine'!CU14+'_Engine'!CV14=0,"·",IF('_Engine'!CU14='_Engine'!CV14,INDEX(Settings!$G$7:$G$11,MOD('_Engine'!CU14,10))&amp;IF('_Engine'!CU14&gt;10,"?",""),IF('_Engine'!CU14=0,INDEX(Settings!$G$7:$G$11,MOD('_Engine'!CV14,10))&amp;IF('_Engine'!CV14&gt;10,"?","")&amp;" PM",IF('_Engine'!CV14=0,INDEX(Settings!$G$7:$G$11,MOD('_Engine'!CU14,10))&amp;IF('_Engine'!CU14&gt;10,"?","")&amp;" AM",INDEX(Settings!$G$7:$G$11,MOD('_Engine'!CU14,10))&amp;IF('_Engine'!CU14&gt;10,"?","")&amp;" AM"&amp;CHAR(10)&amp;INDEX(Settings!$G$7:$G$11,MOD('_Engine'!CV14,10))&amp;IF('_Engine'!CV14&gt;10,"?","")&amp;" PM"))))))))</ns0:f>
        <ns0:v>—</ns0:v>
      </ns0:c>
      <ns0:c r="AA14" s="164" t="str">
        <ns0:f>IF(OR($A14="",AA$11=""),"",IF(OR('_Engine'!$B$6&gt;0,INDEX('_Engine'!$AM$11:$AM$60,'_Engine'!$AO14)&lt;&gt;"OK"),"!",IF(INDEX(Team!$H$11:$N$60,'_Engine'!$AO14,WEEKDAY(AA$11,2))&lt;&gt;"Work","—",IF(COUNTIF(Settings!$F$18:$F$67,AA$11)&gt;0,"BH",IF('_Engine'!CW14+'_Engine'!CX14=0,"·",IF('_Engine'!CW14='_Engine'!CX14,INDEX(Settings!$G$7:$G$11,MOD('_Engine'!CW14,10))&amp;IF('_Engine'!CW14&gt;10,"?",""),IF('_Engine'!CW14=0,INDEX(Settings!$G$7:$G$11,MOD('_Engine'!CX14,10))&amp;IF('_Engine'!CX14&gt;10,"?","")&amp;" PM",IF('_Engine'!CX14=0,INDEX(Settings!$G$7:$G$11,MOD('_Engine'!CW14,10))&amp;IF('_Engine'!CW14&gt;10,"?","")&amp;" AM",INDEX(Settings!$G$7:$G$11,MOD('_Engine'!CW14,10))&amp;IF('_Engine'!CW14&gt;10,"?","")&amp;" AM"&amp;CHAR(10)&amp;INDEX(Settings!$G$7:$G$11,MOD('_Engine'!CX14,10))&amp;IF('_Engine'!CX14&gt;10,"?","")&amp;" PM"))))))))</ns0:f>
        <ns0:v>—</ns0:v>
      </ns0:c>
      <ns0:c r="AB14" s="164" t="str">
        <ns0:f>IF(OR($A14="",AB$11=""),"",IF(OR('_Engine'!$B$6&gt;0,INDEX('_Engine'!$AM$11:$AM$60,'_Engine'!$AO14)&lt;&gt;"OK"),"!",IF(INDEX(Team!$H$11:$N$60,'_Engine'!$AO14,WEEKDAY(AB$11,2))&lt;&gt;"Work","—",IF(COUNTIF(Settings!$F$18:$F$67,AB$11)&gt;0,"BH",IF('_Engine'!CY14+'_Engine'!CZ14=0,"·",IF('_Engine'!CY14='_Engine'!CZ14,INDEX(Settings!$G$7:$G$11,MOD('_Engine'!CY14,10))&amp;IF('_Engine'!CY14&gt;10,"?",""),IF('_Engine'!CY14=0,INDEX(Settings!$G$7:$G$11,MOD('_Engine'!CZ14,10))&amp;IF('_Engine'!CZ14&gt;10,"?","")&amp;" PM",IF('_Engine'!CZ14=0,INDEX(Settings!$G$7:$G$11,MOD('_Engine'!CY14,10))&amp;IF('_Engine'!CY14&gt;10,"?","")&amp;" AM",INDEX(Settings!$G$7:$G$11,MOD('_Engine'!CY14,10))&amp;IF('_Engine'!CY14&gt;10,"?","")&amp;" AM"&amp;CHAR(10)&amp;INDEX(Settings!$G$7:$G$11,MOD('_Engine'!CZ14,10))&amp;IF('_Engine'!CZ14&gt;10,"?","")&amp;" PM"))))))))</ns0:f>
        <ns0:v>—</ns0:v>
      </ns0:c>
      <ns0:c r="AC14" s="164" t="str">
        <ns0:f>IF(OR($A14="",AC$11=""),"",IF(OR('_Engine'!$B$6&gt;0,INDEX('_Engine'!$AM$11:$AM$60,'_Engine'!$AO14)&lt;&gt;"OK"),"!",IF(INDEX(Team!$H$11:$N$60,'_Engine'!$AO14,WEEKDAY(AC$11,2))&lt;&gt;"Work","—",IF(COUNTIF(Settings!$F$18:$F$67,AC$11)&gt;0,"BH",IF('_Engine'!DA14+'_Engine'!DB14=0,"·",IF('_Engine'!DA14='_Engine'!DB14,INDEX(Settings!$G$7:$G$11,MOD('_Engine'!DA14,10))&amp;IF('_Engine'!DA14&gt;10,"?",""),IF('_Engine'!DA14=0,INDEX(Settings!$G$7:$G$11,MOD('_Engine'!DB14,10))&amp;IF('_Engine'!DB14&gt;10,"?","")&amp;" PM",IF('_Engine'!DB14=0,INDEX(Settings!$G$7:$G$11,MOD('_Engine'!DA14,10))&amp;IF('_Engine'!DA14&gt;10,"?","")&amp;" AM",INDEX(Settings!$G$7:$G$11,MOD('_Engine'!DA14,10))&amp;IF('_Engine'!DA14&gt;10,"?","")&amp;" AM"&amp;CHAR(10)&amp;INDEX(Settings!$G$7:$G$11,MOD('_Engine'!DB14,10))&amp;IF('_Engine'!DB14&gt;10,"?","")&amp;" PM"))))))))</ns0:f>
        <ns0:v>H?</ns0:v>
      </ns0:c>
      <ns0:c r="AD14" s="164" t="str">
        <ns0:f>IF(OR($A14="",AD$11=""),"",IF(OR('_Engine'!$B$6&gt;0,INDEX('_Engine'!$AM$11:$AM$60,'_Engine'!$AO14)&lt;&gt;"OK"),"!",IF(INDEX(Team!$H$11:$N$60,'_Engine'!$AO14,WEEKDAY(AD$11,2))&lt;&gt;"Work","—",IF(COUNTIF(Settings!$F$18:$F$67,AD$11)&gt;0,"BH",IF('_Engine'!DC14+'_Engine'!DD14=0,"·",IF('_Engine'!DC14='_Engine'!DD14,INDEX(Settings!$G$7:$G$11,MOD('_Engine'!DC14,10))&amp;IF('_Engine'!DC14&gt;10,"?",""),IF('_Engine'!DC14=0,INDEX(Settings!$G$7:$G$11,MOD('_Engine'!DD14,10))&amp;IF('_Engine'!DD14&gt;10,"?","")&amp;" PM",IF('_Engine'!DD14=0,INDEX(Settings!$G$7:$G$11,MOD('_Engine'!DC14,10))&amp;IF('_Engine'!DC14&gt;10,"?","")&amp;" AM",INDEX(Settings!$G$7:$G$11,MOD('_Engine'!DC14,10))&amp;IF('_Engine'!DC14&gt;10,"?","")&amp;" AM"&amp;CHAR(10)&amp;INDEX(Settings!$G$7:$G$11,MOD('_Engine'!DD14,10))&amp;IF('_Engine'!DD14&gt;10,"?","")&amp;" PM"))))))))</ns0:f>
        <ns0:v>H?</ns0:v>
      </ns0:c>
      <ns0:c r="AE14" s="164" t="str">
        <ns0:f>IF(OR($A14="",AE$11=""),"",IF(OR('_Engine'!$B$6&gt;0,INDEX('_Engine'!$AM$11:$AM$60,'_Engine'!$AO14)&lt;&gt;"OK"),"!",IF(INDEX(Team!$H$11:$N$60,'_Engine'!$AO14,WEEKDAY(AE$11,2))&lt;&gt;"Work","—",IF(COUNTIF(Settings!$F$18:$F$67,AE$11)&gt;0,"BH",IF('_Engine'!DE14+'_Engine'!DF14=0,"·",IF('_Engine'!DE14='_Engine'!DF14,INDEX(Settings!$G$7:$G$11,MOD('_Engine'!DE14,10))&amp;IF('_Engine'!DE14&gt;10,"?",""),IF('_Engine'!DE14=0,INDEX(Settings!$G$7:$G$11,MOD('_Engine'!DF14,10))&amp;IF('_Engine'!DF14&gt;10,"?","")&amp;" PM",IF('_Engine'!DF14=0,INDEX(Settings!$G$7:$G$11,MOD('_Engine'!DE14,10))&amp;IF('_Engine'!DE14&gt;10,"?","")&amp;" AM",INDEX(Settings!$G$7:$G$11,MOD('_Engine'!DE14,10))&amp;IF('_Engine'!DE14&gt;10,"?","")&amp;" AM"&amp;CHAR(10)&amp;INDEX(Settings!$G$7:$G$11,MOD('_Engine'!DF14,10))&amp;IF('_Engine'!DF14&gt;10,"?","")&amp;" PM"))))))))</ns0:f>
        <ns0:v>H?</ns0:v>
      </ns0:c>
      <ns0:c r="AF14" s="164" t="str">
        <ns0:f>IF(OR($A14="",AF$11=""),"",IF(OR('_Engine'!$B$6&gt;0,INDEX('_Engine'!$AM$11:$AM$60,'_Engine'!$AO14)&lt;&gt;"OK"),"!",IF(INDEX(Team!$H$11:$N$60,'_Engine'!$AO14,WEEKDAY(AF$11,2))&lt;&gt;"Work","—",IF(COUNTIF(Settings!$F$18:$F$67,AF$11)&gt;0,"BH",IF('_Engine'!DG14+'_Engine'!DH14=0,"·",IF('_Engine'!DG14='_Engine'!DH14,INDEX(Settings!$G$7:$G$11,MOD('_Engine'!DG14,10))&amp;IF('_Engine'!DG14&gt;10,"?",""),IF('_Engine'!DG14=0,INDEX(Settings!$G$7:$G$11,MOD('_Engine'!DH14,10))&amp;IF('_Engine'!DH14&gt;10,"?","")&amp;" PM",IF('_Engine'!DH14=0,INDEX(Settings!$G$7:$G$11,MOD('_Engine'!DG14,10))&amp;IF('_Engine'!DG14&gt;10,"?","")&amp;" AM",INDEX(Settings!$G$7:$G$11,MOD('_Engine'!DG14,10))&amp;IF('_Engine'!DG14&gt;10,"?","")&amp;" AM"&amp;CHAR(10)&amp;INDEX(Settings!$G$7:$G$11,MOD('_Engine'!DH14,10))&amp;IF('_Engine'!DH14&gt;10,"?","")&amp;" PM"))))))))</ns0:f>
        <ns0:v>—</ns0:v>
      </ns0:c>
      <ns0:c r="AG14" s="164" t="str">
        <ns0:f>IF(OR($A14="",AG$11=""),"",IF(OR('_Engine'!$B$6&gt;0,INDEX('_Engine'!$AM$11:$AM$60,'_Engine'!$AO14)&lt;&gt;"OK"),"!",IF(INDEX(Team!$H$11:$N$60,'_Engine'!$AO14,WEEKDAY(AG$11,2))&lt;&gt;"Work","—",IF(COUNTIF(Settings!$F$18:$F$67,AG$11)&gt;0,"BH",IF('_Engine'!DI14+'_Engine'!DJ14=0,"·",IF('_Engine'!DI14='_Engine'!DJ14,INDEX(Settings!$G$7:$G$11,MOD('_Engine'!DI14,10))&amp;IF('_Engine'!DI14&gt;10,"?",""),IF('_Engine'!DI14=0,INDEX(Settings!$G$7:$G$11,MOD('_Engine'!DJ14,10))&amp;IF('_Engine'!DJ14&gt;10,"?","")&amp;" PM",IF('_Engine'!DJ14=0,INDEX(Settings!$G$7:$G$11,MOD('_Engine'!DI14,10))&amp;IF('_Engine'!DI14&gt;10,"?","")&amp;" AM",INDEX(Settings!$G$7:$G$11,MOD('_Engine'!DI14,10))&amp;IF('_Engine'!DI14&gt;10,"?","")&amp;" AM"&amp;CHAR(10)&amp;INDEX(Settings!$G$7:$G$11,MOD('_Engine'!DJ14,10))&amp;IF('_Engine'!DJ14&gt;10,"?","")&amp;" PM"))))))))</ns0:f>
        <ns0:v>—</ns0:v>
      </ns0:c>
      <ns0:c r="AH14" s="164" t="str">
        <ns0:f>IF(OR($A14="",AH$11=""),"",IF(OR('_Engine'!$B$6&gt;0,INDEX('_Engine'!$AM$11:$AM$60,'_Engine'!$AO14)&lt;&gt;"OK"),"!",IF(INDEX(Team!$H$11:$N$60,'_Engine'!$AO14,WEEKDAY(AH$11,2))&lt;&gt;"Work","—",IF(COUNTIF(Settings!$F$18:$F$67,AH$11)&gt;0,"BH",IF('_Engine'!DK14+'_Engine'!DL14=0,"·",IF('_Engine'!DK14='_Engine'!DL14,INDEX(Settings!$G$7:$G$11,MOD('_Engine'!DK14,10))&amp;IF('_Engine'!DK14&gt;10,"?",""),IF('_Engine'!DK14=0,INDEX(Settings!$G$7:$G$11,MOD('_Engine'!DL14,10))&amp;IF('_Engine'!DL14&gt;10,"?","")&amp;" PM",IF('_Engine'!DL14=0,INDEX(Settings!$G$7:$G$11,MOD('_Engine'!DK14,10))&amp;IF('_Engine'!DK14&gt;10,"?","")&amp;" AM",INDEX(Settings!$G$7:$G$11,MOD('_Engine'!DK14,10))&amp;IF('_Engine'!DK14&gt;10,"?","")&amp;" AM"&amp;CHAR(10)&amp;INDEX(Settings!$G$7:$G$11,MOD('_Engine'!DL14,10))&amp;IF('_Engine'!DL14&gt;10,"?","")&amp;" PM"))))))))</ns0:f>
        <ns0:v>—</ns0:v>
      </ns0:c>
    </ns0:row>
    <ns0:row r="15" ht="38" customHeight="1">
      <ns0:c r="A15" s="4" t="str">
        <ns0:f>IF('_Engine'!AO15=0,"",IF(INDEX(Team!$B$11:$B$60,'_Engine'!AO15)="","[Unnamed]",INDEX(Team!$B$11:$B$60,'_Engine'!AO15)))</ns0:f>
        <ns0:v>Jordan Lee</ns0:v>
      </ns0:c>
      <ns0:c r="B15" s="156">
        <ns0:f>IF('_Engine'!AO15=0,"",INDEX('_Engine'!$AN$11:$AN$60,'_Engine'!AO15))</ns0:f>
        <ns0:v>21.5</ns0:v>
      </ns0:c>
      <ns0:c r="C15" s="4" t="str">
        <ns0:f>IF('_Engine'!AO15=0,"",INDEX(Team!$C$11:$C$60,'_Engine'!AO15))</ns0:f>
        <ns0:v>Operations</ns0:v>
      </ns0:c>
      <ns0:c r="D15" s="162" t="str">
        <ns0:f>IF(OR($A15="",D$11=""),"",IF(OR('_Engine'!$B$6&gt;0,INDEX('_Engine'!$AM$11:$AM$60,'_Engine'!$AO15)&lt;&gt;"OK"),"!",IF(INDEX(Team!$H$11:$N$60,'_Engine'!$AO15,WEEKDAY(D$11,2))&lt;&gt;"Work","—",IF(COUNTIF(Settings!$F$18:$F$67,D$11)&gt;0,"BH",IF('_Engine'!BC15+'_Engine'!BD15=0,"·",IF('_Engine'!BC15='_Engine'!BD15,INDEX(Settings!$G$7:$G$11,MOD('_Engine'!BC15,10))&amp;IF('_Engine'!BC15&gt;10,"?",""),IF('_Engine'!BC15=0,INDEX(Settings!$G$7:$G$11,MOD('_Engine'!BD15,10))&amp;IF('_Engine'!BD15&gt;10,"?","")&amp;" PM",IF('_Engine'!BD15=0,INDEX(Settings!$G$7:$G$11,MOD('_Engine'!BC15,10))&amp;IF('_Engine'!BC15&gt;10,"?","")&amp;" AM",INDEX(Settings!$G$7:$G$11,MOD('_Engine'!BC15,10))&amp;IF('_Engine'!BC15&gt;10,"?","")&amp;" AM"&amp;CHAR(10)&amp;INDEX(Settings!$G$7:$G$11,MOD('_Engine'!BD15,10))&amp;IF('_Engine'!BD15&gt;10,"?","")&amp;" PM"))))))))</ns0:f>
        <ns0:v>·</ns0:v>
      </ns0:c>
      <ns0:c r="E15" s="162" t="str">
        <ns0:f>IF(OR($A15="",E$11=""),"",IF(OR('_Engine'!$B$6&gt;0,INDEX('_Engine'!$AM$11:$AM$60,'_Engine'!$AO15)&lt;&gt;"OK"),"!",IF(INDEX(Team!$H$11:$N$60,'_Engine'!$AO15,WEEKDAY(E$11,2))&lt;&gt;"Work","—",IF(COUNTIF(Settings!$F$18:$F$67,E$11)&gt;0,"BH",IF('_Engine'!BE15+'_Engine'!BF15=0,"·",IF('_Engine'!BE15='_Engine'!BF15,INDEX(Settings!$G$7:$G$11,MOD('_Engine'!BE15,10))&amp;IF('_Engine'!BE15&gt;10,"?",""),IF('_Engine'!BE15=0,INDEX(Settings!$G$7:$G$11,MOD('_Engine'!BF15,10))&amp;IF('_Engine'!BF15&gt;10,"?","")&amp;" PM",IF('_Engine'!BF15=0,INDEX(Settings!$G$7:$G$11,MOD('_Engine'!BE15,10))&amp;IF('_Engine'!BE15&gt;10,"?","")&amp;" AM",INDEX(Settings!$G$7:$G$11,MOD('_Engine'!BE15,10))&amp;IF('_Engine'!BE15&gt;10,"?","")&amp;" AM"&amp;CHAR(10)&amp;INDEX(Settings!$G$7:$G$11,MOD('_Engine'!BF15,10))&amp;IF('_Engine'!BF15&gt;10,"?","")&amp;" PM"))))))))</ns0:f>
        <ns0:v>·</ns0:v>
      </ns0:c>
      <ns0:c r="F15" s="162" t="str">
        <ns0:f>IF(OR($A15="",F$11=""),"",IF(OR('_Engine'!$B$6&gt;0,INDEX('_Engine'!$AM$11:$AM$60,'_Engine'!$AO15)&lt;&gt;"OK"),"!",IF(INDEX(Team!$H$11:$N$60,'_Engine'!$AO15,WEEKDAY(F$11,2))&lt;&gt;"Work","—",IF(COUNTIF(Settings!$F$18:$F$67,F$11)&gt;0,"BH",IF('_Engine'!BG15+'_Engine'!BH15=0,"·",IF('_Engine'!BG15='_Engine'!BH15,INDEX(Settings!$G$7:$G$11,MOD('_Engine'!BG15,10))&amp;IF('_Engine'!BG15&gt;10,"?",""),IF('_Engine'!BG15=0,INDEX(Settings!$G$7:$G$11,MOD('_Engine'!BH15,10))&amp;IF('_Engine'!BH15&gt;10,"?","")&amp;" PM",IF('_Engine'!BH15=0,INDEX(Settings!$G$7:$G$11,MOD('_Engine'!BG15,10))&amp;IF('_Engine'!BG15&gt;10,"?","")&amp;" AM",INDEX(Settings!$G$7:$G$11,MOD('_Engine'!BG15,10))&amp;IF('_Engine'!BG15&gt;10,"?","")&amp;" AM"&amp;CHAR(10)&amp;INDEX(Settings!$G$7:$G$11,MOD('_Engine'!BH15,10))&amp;IF('_Engine'!BH15&gt;10,"?","")&amp;" PM"))))))))</ns0:f>
        <ns0:v>—</ns0:v>
      </ns0:c>
      <ns0:c r="G15" s="162" t="str">
        <ns0:f>IF(OR($A15="",G$11=""),"",IF(OR('_Engine'!$B$6&gt;0,INDEX('_Engine'!$AM$11:$AM$60,'_Engine'!$AO15)&lt;&gt;"OK"),"!",IF(INDEX(Team!$H$11:$N$60,'_Engine'!$AO15,WEEKDAY(G$11,2))&lt;&gt;"Work","—",IF(COUNTIF(Settings!$F$18:$F$67,G$11)&gt;0,"BH",IF('_Engine'!BI15+'_Engine'!BJ15=0,"·",IF('_Engine'!BI15='_Engine'!BJ15,INDEX(Settings!$G$7:$G$11,MOD('_Engine'!BI15,10))&amp;IF('_Engine'!BI15&gt;10,"?",""),IF('_Engine'!BI15=0,INDEX(Settings!$G$7:$G$11,MOD('_Engine'!BJ15,10))&amp;IF('_Engine'!BJ15&gt;10,"?","")&amp;" PM",IF('_Engine'!BJ15=0,INDEX(Settings!$G$7:$G$11,MOD('_Engine'!BI15,10))&amp;IF('_Engine'!BI15&gt;10,"?","")&amp;" AM",INDEX(Settings!$G$7:$G$11,MOD('_Engine'!BI15,10))&amp;IF('_Engine'!BI15&gt;10,"?","")&amp;" AM"&amp;CHAR(10)&amp;INDEX(Settings!$G$7:$G$11,MOD('_Engine'!BJ15,10))&amp;IF('_Engine'!BJ15&gt;10,"?","")&amp;" PM"))))))))</ns0:f>
        <ns0:v>—</ns0:v>
      </ns0:c>
      <ns0:c r="H15" s="162" t="str">
        <ns0:f>IF(OR($A15="",H$11=""),"",IF(OR('_Engine'!$B$6&gt;0,INDEX('_Engine'!$AM$11:$AM$60,'_Engine'!$AO15)&lt;&gt;"OK"),"!",IF(INDEX(Team!$H$11:$N$60,'_Engine'!$AO15,WEEKDAY(H$11,2))&lt;&gt;"Work","—",IF(COUNTIF(Settings!$F$18:$F$67,H$11)&gt;0,"BH",IF('_Engine'!BK15+'_Engine'!BL15=0,"·",IF('_Engine'!BK15='_Engine'!BL15,INDEX(Settings!$G$7:$G$11,MOD('_Engine'!BK15,10))&amp;IF('_Engine'!BK15&gt;10,"?",""),IF('_Engine'!BK15=0,INDEX(Settings!$G$7:$G$11,MOD('_Engine'!BL15,10))&amp;IF('_Engine'!BL15&gt;10,"?","")&amp;" PM",IF('_Engine'!BL15=0,INDEX(Settings!$G$7:$G$11,MOD('_Engine'!BK15,10))&amp;IF('_Engine'!BK15&gt;10,"?","")&amp;" AM",INDEX(Settings!$G$7:$G$11,MOD('_Engine'!BK15,10))&amp;IF('_Engine'!BK15&gt;10,"?","")&amp;" AM"&amp;CHAR(10)&amp;INDEX(Settings!$G$7:$G$11,MOD('_Engine'!BL15,10))&amp;IF('_Engine'!BL15&gt;10,"?","")&amp;" PM"))))))))</ns0:f>
        <ns0:v>·</ns0:v>
      </ns0:c>
      <ns0:c r="I15" s="162" t="str">
        <ns0:f>IF(OR($A15="",I$11=""),"",IF(OR('_Engine'!$B$6&gt;0,INDEX('_Engine'!$AM$11:$AM$60,'_Engine'!$AO15)&lt;&gt;"OK"),"!",IF(INDEX(Team!$H$11:$N$60,'_Engine'!$AO15,WEEKDAY(I$11,2))&lt;&gt;"Work","—",IF(COUNTIF(Settings!$F$18:$F$67,I$11)&gt;0,"BH",IF('_Engine'!BM15+'_Engine'!BN15=0,"·",IF('_Engine'!BM15='_Engine'!BN15,INDEX(Settings!$G$7:$G$11,MOD('_Engine'!BM15,10))&amp;IF('_Engine'!BM15&gt;10,"?",""),IF('_Engine'!BM15=0,INDEX(Settings!$G$7:$G$11,MOD('_Engine'!BN15,10))&amp;IF('_Engine'!BN15&gt;10,"?","")&amp;" PM",IF('_Engine'!BN15=0,INDEX(Settings!$G$7:$G$11,MOD('_Engine'!BM15,10))&amp;IF('_Engine'!BM15&gt;10,"?","")&amp;" AM",INDEX(Settings!$G$7:$G$11,MOD('_Engine'!BM15,10))&amp;IF('_Engine'!BM15&gt;10,"?","")&amp;" AM"&amp;CHAR(10)&amp;INDEX(Settings!$G$7:$G$11,MOD('_Engine'!BN15,10))&amp;IF('_Engine'!BN15&gt;10,"?","")&amp;" PM"))))))))</ns0:f>
        <ns0:v>·</ns0:v>
      </ns0:c>
      <ns0:c r="J15" s="162" t="str">
        <ns0:f>IF(OR($A15="",J$11=""),"",IF(OR('_Engine'!$B$6&gt;0,INDEX('_Engine'!$AM$11:$AM$60,'_Engine'!$AO15)&lt;&gt;"OK"),"!",IF(INDEX(Team!$H$11:$N$60,'_Engine'!$AO15,WEEKDAY(J$11,2))&lt;&gt;"Work","—",IF(COUNTIF(Settings!$F$18:$F$67,J$11)&gt;0,"BH",IF('_Engine'!BO15+'_Engine'!BP15=0,"·",IF('_Engine'!BO15='_Engine'!BP15,INDEX(Settings!$G$7:$G$11,MOD('_Engine'!BO15,10))&amp;IF('_Engine'!BO15&gt;10,"?",""),IF('_Engine'!BO15=0,INDEX(Settings!$G$7:$G$11,MOD('_Engine'!BP15,10))&amp;IF('_Engine'!BP15&gt;10,"?","")&amp;" PM",IF('_Engine'!BP15=0,INDEX(Settings!$G$7:$G$11,MOD('_Engine'!BO15,10))&amp;IF('_Engine'!BO15&gt;10,"?","")&amp;" AM",INDEX(Settings!$G$7:$G$11,MOD('_Engine'!BO15,10))&amp;IF('_Engine'!BO15&gt;10,"?","")&amp;" AM"&amp;CHAR(10)&amp;INDEX(Settings!$G$7:$G$11,MOD('_Engine'!BP15,10))&amp;IF('_Engine'!BP15&gt;10,"?","")&amp;" PM"))))))))</ns0:f>
        <ns0:v>·</ns0:v>
      </ns0:c>
      <ns0:c r="K15" s="164" t="str">
        <ns0:f>IF(OR($A15="",K$11=""),"",IF(OR('_Engine'!$B$6&gt;0,INDEX('_Engine'!$AM$11:$AM$60,'_Engine'!$AO15)&lt;&gt;"OK"),"!",IF(INDEX(Team!$H$11:$N$60,'_Engine'!$AO15,WEEKDAY(K$11,2))&lt;&gt;"Work","—",IF(COUNTIF(Settings!$F$18:$F$67,K$11)&gt;0,"BH",IF('_Engine'!BQ15+'_Engine'!BR15=0,"·",IF('_Engine'!BQ15='_Engine'!BR15,INDEX(Settings!$G$7:$G$11,MOD('_Engine'!BQ15,10))&amp;IF('_Engine'!BQ15&gt;10,"?",""),IF('_Engine'!BQ15=0,INDEX(Settings!$G$7:$G$11,MOD('_Engine'!BR15,10))&amp;IF('_Engine'!BR15&gt;10,"?","")&amp;" PM",IF('_Engine'!BR15=0,INDEX(Settings!$G$7:$G$11,MOD('_Engine'!BQ15,10))&amp;IF('_Engine'!BQ15&gt;10,"?","")&amp;" AM",INDEX(Settings!$G$7:$G$11,MOD('_Engine'!BQ15,10))&amp;IF('_Engine'!BQ15&gt;10,"?","")&amp;" AM"&amp;CHAR(10)&amp;INDEX(Settings!$G$7:$G$11,MOD('_Engine'!BR15,10))&amp;IF('_Engine'!BR15&gt;10,"?","")&amp;" PM"))))))))</ns0:f>
        <ns0:v>·</ns0:v>
      </ns0:c>
      <ns0:c r="L15" s="164" t="str">
        <ns0:f>IF(OR($A15="",L$11=""),"",IF(OR('_Engine'!$B$6&gt;0,INDEX('_Engine'!$AM$11:$AM$60,'_Engine'!$AO15)&lt;&gt;"OK"),"!",IF(INDEX(Team!$H$11:$N$60,'_Engine'!$AO15,WEEKDAY(L$11,2))&lt;&gt;"Work","—",IF(COUNTIF(Settings!$F$18:$F$67,L$11)&gt;0,"BH",IF('_Engine'!BS15+'_Engine'!BT15=0,"·",IF('_Engine'!BS15='_Engine'!BT15,INDEX(Settings!$G$7:$G$11,MOD('_Engine'!BS15,10))&amp;IF('_Engine'!BS15&gt;10,"?",""),IF('_Engine'!BS15=0,INDEX(Settings!$G$7:$G$11,MOD('_Engine'!BT15,10))&amp;IF('_Engine'!BT15&gt;10,"?","")&amp;" PM",IF('_Engine'!BT15=0,INDEX(Settings!$G$7:$G$11,MOD('_Engine'!BS15,10))&amp;IF('_Engine'!BS15&gt;10,"?","")&amp;" AM",INDEX(Settings!$G$7:$G$11,MOD('_Engine'!BS15,10))&amp;IF('_Engine'!BS15&gt;10,"?","")&amp;" AM"&amp;CHAR(10)&amp;INDEX(Settings!$G$7:$G$11,MOD('_Engine'!BT15,10))&amp;IF('_Engine'!BT15&gt;10,"?","")&amp;" PM"))))))))</ns0:f>
        <ns0:v>·</ns0:v>
      </ns0:c>
      <ns0:c r="M15" s="164" t="str">
        <ns0:f>IF(OR($A15="",M$11=""),"",IF(OR('_Engine'!$B$6&gt;0,INDEX('_Engine'!$AM$11:$AM$60,'_Engine'!$AO15)&lt;&gt;"OK"),"!",IF(INDEX(Team!$H$11:$N$60,'_Engine'!$AO15,WEEKDAY(M$11,2))&lt;&gt;"Work","—",IF(COUNTIF(Settings!$F$18:$F$67,M$11)&gt;0,"BH",IF('_Engine'!BU15+'_Engine'!BV15=0,"·",IF('_Engine'!BU15='_Engine'!BV15,INDEX(Settings!$G$7:$G$11,MOD('_Engine'!BU15,10))&amp;IF('_Engine'!BU15&gt;10,"?",""),IF('_Engine'!BU15=0,INDEX(Settings!$G$7:$G$11,MOD('_Engine'!BV15,10))&amp;IF('_Engine'!BV15&gt;10,"?","")&amp;" PM",IF('_Engine'!BV15=0,INDEX(Settings!$G$7:$G$11,MOD('_Engine'!BU15,10))&amp;IF('_Engine'!BU15&gt;10,"?","")&amp;" AM",INDEX(Settings!$G$7:$G$11,MOD('_Engine'!BU15,10))&amp;IF('_Engine'!BU15&gt;10,"?","")&amp;" AM"&amp;CHAR(10)&amp;INDEX(Settings!$G$7:$G$11,MOD('_Engine'!BV15,10))&amp;IF('_Engine'!BV15&gt;10,"?","")&amp;" PM"))))))))</ns0:f>
        <ns0:v>—</ns0:v>
      </ns0:c>
      <ns0:c r="N15" s="164" t="str">
        <ns0:f>IF(OR($A15="",N$11=""),"",IF(OR('_Engine'!$B$6&gt;0,INDEX('_Engine'!$AM$11:$AM$60,'_Engine'!$AO15)&lt;&gt;"OK"),"!",IF(INDEX(Team!$H$11:$N$60,'_Engine'!$AO15,WEEKDAY(N$11,2))&lt;&gt;"Work","—",IF(COUNTIF(Settings!$F$18:$F$67,N$11)&gt;0,"BH",IF('_Engine'!BW15+'_Engine'!BX15=0,"·",IF('_Engine'!BW15='_Engine'!BX15,INDEX(Settings!$G$7:$G$11,MOD('_Engine'!BW15,10))&amp;IF('_Engine'!BW15&gt;10,"?",""),IF('_Engine'!BW15=0,INDEX(Settings!$G$7:$G$11,MOD('_Engine'!BX15,10))&amp;IF('_Engine'!BX15&gt;10,"?","")&amp;" PM",IF('_Engine'!BX15=0,INDEX(Settings!$G$7:$G$11,MOD('_Engine'!BW15,10))&amp;IF('_Engine'!BW15&gt;10,"?","")&amp;" AM",INDEX(Settings!$G$7:$G$11,MOD('_Engine'!BW15,10))&amp;IF('_Engine'!BW15&gt;10,"?","")&amp;" AM"&amp;CHAR(10)&amp;INDEX(Settings!$G$7:$G$11,MOD('_Engine'!BX15,10))&amp;IF('_Engine'!BX15&gt;10,"?","")&amp;" PM"))))))))</ns0:f>
        <ns0:v>—</ns0:v>
      </ns0:c>
      <ns0:c r="O15" s="164" t="str">
        <ns0:f>IF(OR($A15="",O$11=""),"",IF(OR('_Engine'!$B$6&gt;0,INDEX('_Engine'!$AM$11:$AM$60,'_Engine'!$AO15)&lt;&gt;"OK"),"!",IF(INDEX(Team!$H$11:$N$60,'_Engine'!$AO15,WEEKDAY(O$11,2))&lt;&gt;"Work","—",IF(COUNTIF(Settings!$F$18:$F$67,O$11)&gt;0,"BH",IF('_Engine'!BY15+'_Engine'!BZ15=0,"·",IF('_Engine'!BY15='_Engine'!BZ15,INDEX(Settings!$G$7:$G$11,MOD('_Engine'!BY15,10))&amp;IF('_Engine'!BY15&gt;10,"?",""),IF('_Engine'!BY15=0,INDEX(Settings!$G$7:$G$11,MOD('_Engine'!BZ15,10))&amp;IF('_Engine'!BZ15&gt;10,"?","")&amp;" PM",IF('_Engine'!BZ15=0,INDEX(Settings!$G$7:$G$11,MOD('_Engine'!BY15,10))&amp;IF('_Engine'!BY15&gt;10,"?","")&amp;" AM",INDEX(Settings!$G$7:$G$11,MOD('_Engine'!BY15,10))&amp;IF('_Engine'!BY15&gt;10,"?","")&amp;" AM"&amp;CHAR(10)&amp;INDEX(Settings!$G$7:$G$11,MOD('_Engine'!BZ15,10))&amp;IF('_Engine'!BZ15&gt;10,"?","")&amp;" PM"))))))))</ns0:f>
        <ns0:v>·</ns0:v>
      </ns0:c>
      <ns0:c r="P15" s="164" t="str">
        <ns0:f>IF(OR($A15="",P$11=""),"",IF(OR('_Engine'!$B$6&gt;0,INDEX('_Engine'!$AM$11:$AM$60,'_Engine'!$AO15)&lt;&gt;"OK"),"!",IF(INDEX(Team!$H$11:$N$60,'_Engine'!$AO15,WEEKDAY(P$11,2))&lt;&gt;"Work","—",IF(COUNTIF(Settings!$F$18:$F$67,P$11)&gt;0,"BH",IF('_Engine'!CA15+'_Engine'!CB15=0,"·",IF('_Engine'!CA15='_Engine'!CB15,INDEX(Settings!$G$7:$G$11,MOD('_Engine'!CA15,10))&amp;IF('_Engine'!CA15&gt;10,"?",""),IF('_Engine'!CA15=0,INDEX(Settings!$G$7:$G$11,MOD('_Engine'!CB15,10))&amp;IF('_Engine'!CB15&gt;10,"?","")&amp;" PM",IF('_Engine'!CB15=0,INDEX(Settings!$G$7:$G$11,MOD('_Engine'!CA15,10))&amp;IF('_Engine'!CA15&gt;10,"?","")&amp;" AM",INDEX(Settings!$G$7:$G$11,MOD('_Engine'!CA15,10))&amp;IF('_Engine'!CA15&gt;10,"?","")&amp;" AM"&amp;CHAR(10)&amp;INDEX(Settings!$G$7:$G$11,MOD('_Engine'!CB15,10))&amp;IF('_Engine'!CB15&gt;10,"?","")&amp;" PM"))))))))</ns0:f>
        <ns0:v>·</ns0:v>
      </ns0:c>
      <ns0:c r="Q15" s="164" t="str">
        <ns0:f>IF(OR($A15="",Q$11=""),"",IF(OR('_Engine'!$B$6&gt;0,INDEX('_Engine'!$AM$11:$AM$60,'_Engine'!$AO15)&lt;&gt;"OK"),"!",IF(INDEX(Team!$H$11:$N$60,'_Engine'!$AO15,WEEKDAY(Q$11,2))&lt;&gt;"Work","—",IF(COUNTIF(Settings!$F$18:$F$67,Q$11)&gt;0,"BH",IF('_Engine'!CC15+'_Engine'!CD15=0,"·",IF('_Engine'!CC15='_Engine'!CD15,INDEX(Settings!$G$7:$G$11,MOD('_Engine'!CC15,10))&amp;IF('_Engine'!CC15&gt;10,"?",""),IF('_Engine'!CC15=0,INDEX(Settings!$G$7:$G$11,MOD('_Engine'!CD15,10))&amp;IF('_Engine'!CD15&gt;10,"?","")&amp;" PM",IF('_Engine'!CD15=0,INDEX(Settings!$G$7:$G$11,MOD('_Engine'!CC15,10))&amp;IF('_Engine'!CC15&gt;10,"?","")&amp;" AM",INDEX(Settings!$G$7:$G$11,MOD('_Engine'!CC15,10))&amp;IF('_Engine'!CC15&gt;10,"?","")&amp;" AM"&amp;CHAR(10)&amp;INDEX(Settings!$G$7:$G$11,MOD('_Engine'!CD15,10))&amp;IF('_Engine'!CD15&gt;10,"?","")&amp;" PM"))))))))</ns0:f>
        <ns0:v>H AM
S PM</ns0:v>
      </ns0:c>
      <ns0:c r="R15" s="164" t="str">
        <ns0:f>IF(OR($A15="",R$11=""),"",IF(OR('_Engine'!$B$6&gt;0,INDEX('_Engine'!$AM$11:$AM$60,'_Engine'!$AO15)&lt;&gt;"OK"),"!",IF(INDEX(Team!$H$11:$N$60,'_Engine'!$AO15,WEEKDAY(R$11,2))&lt;&gt;"Work","—",IF(COUNTIF(Settings!$F$18:$F$67,R$11)&gt;0,"BH",IF('_Engine'!CE15+'_Engine'!CF15=0,"·",IF('_Engine'!CE15='_Engine'!CF15,INDEX(Settings!$G$7:$G$11,MOD('_Engine'!CE15,10))&amp;IF('_Engine'!CE15&gt;10,"?",""),IF('_Engine'!CE15=0,INDEX(Settings!$G$7:$G$11,MOD('_Engine'!CF15,10))&amp;IF('_Engine'!CF15&gt;10,"?","")&amp;" PM",IF('_Engine'!CF15=0,INDEX(Settings!$G$7:$G$11,MOD('_Engine'!CE15,10))&amp;IF('_Engine'!CE15&gt;10,"?","")&amp;" AM",INDEX(Settings!$G$7:$G$11,MOD('_Engine'!CE15,10))&amp;IF('_Engine'!CE15&gt;10,"?","")&amp;" AM"&amp;CHAR(10)&amp;INDEX(Settings!$G$7:$G$11,MOD('_Engine'!CF15,10))&amp;IF('_Engine'!CF15&gt;10,"?","")&amp;" PM"))))))))</ns0:f>
        <ns0:v>·</ns0:v>
      </ns0:c>
      <ns0:c r="S15" s="164" t="str">
        <ns0:f>IF(OR($A15="",S$11=""),"",IF(OR('_Engine'!$B$6&gt;0,INDEX('_Engine'!$AM$11:$AM$60,'_Engine'!$AO15)&lt;&gt;"OK"),"!",IF(INDEX(Team!$H$11:$N$60,'_Engine'!$AO15,WEEKDAY(S$11,2))&lt;&gt;"Work","—",IF(COUNTIF(Settings!$F$18:$F$67,S$11)&gt;0,"BH",IF('_Engine'!CG15+'_Engine'!CH15=0,"·",IF('_Engine'!CG15='_Engine'!CH15,INDEX(Settings!$G$7:$G$11,MOD('_Engine'!CG15,10))&amp;IF('_Engine'!CG15&gt;10,"?",""),IF('_Engine'!CG15=0,INDEX(Settings!$G$7:$G$11,MOD('_Engine'!CH15,10))&amp;IF('_Engine'!CH15&gt;10,"?","")&amp;" PM",IF('_Engine'!CH15=0,INDEX(Settings!$G$7:$G$11,MOD('_Engine'!CG15,10))&amp;IF('_Engine'!CG15&gt;10,"?","")&amp;" AM",INDEX(Settings!$G$7:$G$11,MOD('_Engine'!CG15,10))&amp;IF('_Engine'!CG15&gt;10,"?","")&amp;" AM"&amp;CHAR(10)&amp;INDEX(Settings!$G$7:$G$11,MOD('_Engine'!CH15,10))&amp;IF('_Engine'!CH15&gt;10,"?","")&amp;" PM"))))))))</ns0:f>
        <ns0:v>·</ns0:v>
      </ns0:c>
      <ns0:c r="T15" s="164" t="str">
        <ns0:f>IF(OR($A15="",T$11=""),"",IF(OR('_Engine'!$B$6&gt;0,INDEX('_Engine'!$AM$11:$AM$60,'_Engine'!$AO15)&lt;&gt;"OK"),"!",IF(INDEX(Team!$H$11:$N$60,'_Engine'!$AO15,WEEKDAY(T$11,2))&lt;&gt;"Work","—",IF(COUNTIF(Settings!$F$18:$F$67,T$11)&gt;0,"BH",IF('_Engine'!CI15+'_Engine'!CJ15=0,"·",IF('_Engine'!CI15='_Engine'!CJ15,INDEX(Settings!$G$7:$G$11,MOD('_Engine'!CI15,10))&amp;IF('_Engine'!CI15&gt;10,"?",""),IF('_Engine'!CI15=0,INDEX(Settings!$G$7:$G$11,MOD('_Engine'!CJ15,10))&amp;IF('_Engine'!CJ15&gt;10,"?","")&amp;" PM",IF('_Engine'!CJ15=0,INDEX(Settings!$G$7:$G$11,MOD('_Engine'!CI15,10))&amp;IF('_Engine'!CI15&gt;10,"?","")&amp;" AM",INDEX(Settings!$G$7:$G$11,MOD('_Engine'!CI15,10))&amp;IF('_Engine'!CI15&gt;10,"?","")&amp;" AM"&amp;CHAR(10)&amp;INDEX(Settings!$G$7:$G$11,MOD('_Engine'!CJ15,10))&amp;IF('_Engine'!CJ15&gt;10,"?","")&amp;" PM"))))))))</ns0:f>
        <ns0:v>—</ns0:v>
      </ns0:c>
      <ns0:c r="U15" s="164" t="str">
        <ns0:f>IF(OR($A15="",U$11=""),"",IF(OR('_Engine'!$B$6&gt;0,INDEX('_Engine'!$AM$11:$AM$60,'_Engine'!$AO15)&lt;&gt;"OK"),"!",IF(INDEX(Team!$H$11:$N$60,'_Engine'!$AO15,WEEKDAY(U$11,2))&lt;&gt;"Work","—",IF(COUNTIF(Settings!$F$18:$F$67,U$11)&gt;0,"BH",IF('_Engine'!CK15+'_Engine'!CL15=0,"·",IF('_Engine'!CK15='_Engine'!CL15,INDEX(Settings!$G$7:$G$11,MOD('_Engine'!CK15,10))&amp;IF('_Engine'!CK15&gt;10,"?",""),IF('_Engine'!CK15=0,INDEX(Settings!$G$7:$G$11,MOD('_Engine'!CL15,10))&amp;IF('_Engine'!CL15&gt;10,"?","")&amp;" PM",IF('_Engine'!CL15=0,INDEX(Settings!$G$7:$G$11,MOD('_Engine'!CK15,10))&amp;IF('_Engine'!CK15&gt;10,"?","")&amp;" AM",INDEX(Settings!$G$7:$G$11,MOD('_Engine'!CK15,10))&amp;IF('_Engine'!CK15&gt;10,"?","")&amp;" AM"&amp;CHAR(10)&amp;INDEX(Settings!$G$7:$G$11,MOD('_Engine'!CL15,10))&amp;IF('_Engine'!CL15&gt;10,"?","")&amp;" PM"))))))))</ns0:f>
        <ns0:v>—</ns0:v>
      </ns0:c>
      <ns0:c r="V15" s="164" t="str">
        <ns0:f>IF(OR($A15="",V$11=""),"",IF(OR('_Engine'!$B$6&gt;0,INDEX('_Engine'!$AM$11:$AM$60,'_Engine'!$AO15)&lt;&gt;"OK"),"!",IF(INDEX(Team!$H$11:$N$60,'_Engine'!$AO15,WEEKDAY(V$11,2))&lt;&gt;"Work","—",IF(COUNTIF(Settings!$F$18:$F$67,V$11)&gt;0,"BH",IF('_Engine'!CM15+'_Engine'!CN15=0,"·",IF('_Engine'!CM15='_Engine'!CN15,INDEX(Settings!$G$7:$G$11,MOD('_Engine'!CM15,10))&amp;IF('_Engine'!CM15&gt;10,"?",""),IF('_Engine'!CM15=0,INDEX(Settings!$G$7:$G$11,MOD('_Engine'!CN15,10))&amp;IF('_Engine'!CN15&gt;10,"?","")&amp;" PM",IF('_Engine'!CN15=0,INDEX(Settings!$G$7:$G$11,MOD('_Engine'!CM15,10))&amp;IF('_Engine'!CM15&gt;10,"?","")&amp;" AM",INDEX(Settings!$G$7:$G$11,MOD('_Engine'!CM15,10))&amp;IF('_Engine'!CM15&gt;10,"?","")&amp;" AM"&amp;CHAR(10)&amp;INDEX(Settings!$G$7:$G$11,MOD('_Engine'!CN15,10))&amp;IF('_Engine'!CN15&gt;10,"?","")&amp;" PM"))))))))</ns0:f>
        <ns0:v>H</ns0:v>
      </ns0:c>
      <ns0:c r="W15" s="164" t="str">
        <ns0:f>IF(OR($A15="",W$11=""),"",IF(OR('_Engine'!$B$6&gt;0,INDEX('_Engine'!$AM$11:$AM$60,'_Engine'!$AO15)&lt;&gt;"OK"),"!",IF(INDEX(Team!$H$11:$N$60,'_Engine'!$AO15,WEEKDAY(W$11,2))&lt;&gt;"Work","—",IF(COUNTIF(Settings!$F$18:$F$67,W$11)&gt;0,"BH",IF('_Engine'!CO15+'_Engine'!CP15=0,"·",IF('_Engine'!CO15='_Engine'!CP15,INDEX(Settings!$G$7:$G$11,MOD('_Engine'!CO15,10))&amp;IF('_Engine'!CO15&gt;10,"?",""),IF('_Engine'!CO15=0,INDEX(Settings!$G$7:$G$11,MOD('_Engine'!CP15,10))&amp;IF('_Engine'!CP15&gt;10,"?","")&amp;" PM",IF('_Engine'!CP15=0,INDEX(Settings!$G$7:$G$11,MOD('_Engine'!CO15,10))&amp;IF('_Engine'!CO15&gt;10,"?","")&amp;" AM",INDEX(Settings!$G$7:$G$11,MOD('_Engine'!CO15,10))&amp;IF('_Engine'!CO15&gt;10,"?","")&amp;" AM"&amp;CHAR(10)&amp;INDEX(Settings!$G$7:$G$11,MOD('_Engine'!CP15,10))&amp;IF('_Engine'!CP15&gt;10,"?","")&amp;" PM"))))))))</ns0:f>
        <ns0:v>H</ns0:v>
      </ns0:c>
      <ns0:c r="X15" s="164" t="str">
        <ns0:f>IF(OR($A15="",X$11=""),"",IF(OR('_Engine'!$B$6&gt;0,INDEX('_Engine'!$AM$11:$AM$60,'_Engine'!$AO15)&lt;&gt;"OK"),"!",IF(INDEX(Team!$H$11:$N$60,'_Engine'!$AO15,WEEKDAY(X$11,2))&lt;&gt;"Work","—",IF(COUNTIF(Settings!$F$18:$F$67,X$11)&gt;0,"BH",IF('_Engine'!CQ15+'_Engine'!CR15=0,"·",IF('_Engine'!CQ15='_Engine'!CR15,INDEX(Settings!$G$7:$G$11,MOD('_Engine'!CQ15,10))&amp;IF('_Engine'!CQ15&gt;10,"?",""),IF('_Engine'!CQ15=0,INDEX(Settings!$G$7:$G$11,MOD('_Engine'!CR15,10))&amp;IF('_Engine'!CR15&gt;10,"?","")&amp;" PM",IF('_Engine'!CR15=0,INDEX(Settings!$G$7:$G$11,MOD('_Engine'!CQ15,10))&amp;IF('_Engine'!CQ15&gt;10,"?","")&amp;" AM",INDEX(Settings!$G$7:$G$11,MOD('_Engine'!CQ15,10))&amp;IF('_Engine'!CQ15&gt;10,"?","")&amp;" AM"&amp;CHAR(10)&amp;INDEX(Settings!$G$7:$G$11,MOD('_Engine'!CR15,10))&amp;IF('_Engine'!CR15&gt;10,"?","")&amp;" PM"))))))))</ns0:f>
        <ns0:v>H</ns0:v>
      </ns0:c>
      <ns0:c r="Y15" s="164" t="str">
        <ns0:f>IF(OR($A15="",Y$11=""),"",IF(OR('_Engine'!$B$6&gt;0,INDEX('_Engine'!$AM$11:$AM$60,'_Engine'!$AO15)&lt;&gt;"OK"),"!",IF(INDEX(Team!$H$11:$N$60,'_Engine'!$AO15,WEEKDAY(Y$11,2))&lt;&gt;"Work","—",IF(COUNTIF(Settings!$F$18:$F$67,Y$11)&gt;0,"BH",IF('_Engine'!CS15+'_Engine'!CT15=0,"·",IF('_Engine'!CS15='_Engine'!CT15,INDEX(Settings!$G$7:$G$11,MOD('_Engine'!CS15,10))&amp;IF('_Engine'!CS15&gt;10,"?",""),IF('_Engine'!CS15=0,INDEX(Settings!$G$7:$G$11,MOD('_Engine'!CT15,10))&amp;IF('_Engine'!CT15&gt;10,"?","")&amp;" PM",IF('_Engine'!CT15=0,INDEX(Settings!$G$7:$G$11,MOD('_Engine'!CS15,10))&amp;IF('_Engine'!CS15&gt;10,"?","")&amp;" AM",INDEX(Settings!$G$7:$G$11,MOD('_Engine'!CS15,10))&amp;IF('_Engine'!CS15&gt;10,"?","")&amp;" AM"&amp;CHAR(10)&amp;INDEX(Settings!$G$7:$G$11,MOD('_Engine'!CT15,10))&amp;IF('_Engine'!CT15&gt;10,"?","")&amp;" PM"))))))))</ns0:f>
        <ns0:v>·</ns0:v>
      </ns0:c>
      <ns0:c r="Z15" s="164" t="str">
        <ns0:f>IF(OR($A15="",Z$11=""),"",IF(OR('_Engine'!$B$6&gt;0,INDEX('_Engine'!$AM$11:$AM$60,'_Engine'!$AO15)&lt;&gt;"OK"),"!",IF(INDEX(Team!$H$11:$N$60,'_Engine'!$AO15,WEEKDAY(Z$11,2))&lt;&gt;"Work","—",IF(COUNTIF(Settings!$F$18:$F$67,Z$11)&gt;0,"BH",IF('_Engine'!CU15+'_Engine'!CV15=0,"·",IF('_Engine'!CU15='_Engine'!CV15,INDEX(Settings!$G$7:$G$11,MOD('_Engine'!CU15,10))&amp;IF('_Engine'!CU15&gt;10,"?",""),IF('_Engine'!CU15=0,INDEX(Settings!$G$7:$G$11,MOD('_Engine'!CV15,10))&amp;IF('_Engine'!CV15&gt;10,"?","")&amp;" PM",IF('_Engine'!CV15=0,INDEX(Settings!$G$7:$G$11,MOD('_Engine'!CU15,10))&amp;IF('_Engine'!CU15&gt;10,"?","")&amp;" AM",INDEX(Settings!$G$7:$G$11,MOD('_Engine'!CU15,10))&amp;IF('_Engine'!CU15&gt;10,"?","")&amp;" AM"&amp;CHAR(10)&amp;INDEX(Settings!$G$7:$G$11,MOD('_Engine'!CV15,10))&amp;IF('_Engine'!CV15&gt;10,"?","")&amp;" PM"))))))))</ns0:f>
        <ns0:v>BH</ns0:v>
      </ns0:c>
      <ns0:c r="AA15" s="164" t="str">
        <ns0:f>IF(OR($A15="",AA$11=""),"",IF(OR('_Engine'!$B$6&gt;0,INDEX('_Engine'!$AM$11:$AM$60,'_Engine'!$AO15)&lt;&gt;"OK"),"!",IF(INDEX(Team!$H$11:$N$60,'_Engine'!$AO15,WEEKDAY(AA$11,2))&lt;&gt;"Work","—",IF(COUNTIF(Settings!$F$18:$F$67,AA$11)&gt;0,"BH",IF('_Engine'!CW15+'_Engine'!CX15=0,"·",IF('_Engine'!CW15='_Engine'!CX15,INDEX(Settings!$G$7:$G$11,MOD('_Engine'!CW15,10))&amp;IF('_Engine'!CW15&gt;10,"?",""),IF('_Engine'!CW15=0,INDEX(Settings!$G$7:$G$11,MOD('_Engine'!CX15,10))&amp;IF('_Engine'!CX15&gt;10,"?","")&amp;" PM",IF('_Engine'!CX15=0,INDEX(Settings!$G$7:$G$11,MOD('_Engine'!CW15,10))&amp;IF('_Engine'!CW15&gt;10,"?","")&amp;" AM",INDEX(Settings!$G$7:$G$11,MOD('_Engine'!CW15,10))&amp;IF('_Engine'!CW15&gt;10,"?","")&amp;" AM"&amp;CHAR(10)&amp;INDEX(Settings!$G$7:$G$11,MOD('_Engine'!CX15,10))&amp;IF('_Engine'!CX15&gt;10,"?","")&amp;" PM"))))))))</ns0:f>
        <ns0:v>—</ns0:v>
      </ns0:c>
      <ns0:c r="AB15" s="164" t="str">
        <ns0:f>IF(OR($A15="",AB$11=""),"",IF(OR('_Engine'!$B$6&gt;0,INDEX('_Engine'!$AM$11:$AM$60,'_Engine'!$AO15)&lt;&gt;"OK"),"!",IF(INDEX(Team!$H$11:$N$60,'_Engine'!$AO15,WEEKDAY(AB$11,2))&lt;&gt;"Work","—",IF(COUNTIF(Settings!$F$18:$F$67,AB$11)&gt;0,"BH",IF('_Engine'!CY15+'_Engine'!CZ15=0,"·",IF('_Engine'!CY15='_Engine'!CZ15,INDEX(Settings!$G$7:$G$11,MOD('_Engine'!CY15,10))&amp;IF('_Engine'!CY15&gt;10,"?",""),IF('_Engine'!CY15=0,INDEX(Settings!$G$7:$G$11,MOD('_Engine'!CZ15,10))&amp;IF('_Engine'!CZ15&gt;10,"?","")&amp;" PM",IF('_Engine'!CZ15=0,INDEX(Settings!$G$7:$G$11,MOD('_Engine'!CY15,10))&amp;IF('_Engine'!CY15&gt;10,"?","")&amp;" AM",INDEX(Settings!$G$7:$G$11,MOD('_Engine'!CY15,10))&amp;IF('_Engine'!CY15&gt;10,"?","")&amp;" AM"&amp;CHAR(10)&amp;INDEX(Settings!$G$7:$G$11,MOD('_Engine'!CZ15,10))&amp;IF('_Engine'!CZ15&gt;10,"?","")&amp;" PM"))))))))</ns0:f>
        <ns0:v>—</ns0:v>
      </ns0:c>
      <ns0:c r="AC15" s="164" t="str">
        <ns0:f>IF(OR($A15="",AC$11=""),"",IF(OR('_Engine'!$B$6&gt;0,INDEX('_Engine'!$AM$11:$AM$60,'_Engine'!$AO15)&lt;&gt;"OK"),"!",IF(INDEX(Team!$H$11:$N$60,'_Engine'!$AO15,WEEKDAY(AC$11,2))&lt;&gt;"Work","—",IF(COUNTIF(Settings!$F$18:$F$67,AC$11)&gt;0,"BH",IF('_Engine'!DA15+'_Engine'!DB15=0,"·",IF('_Engine'!DA15='_Engine'!DB15,INDEX(Settings!$G$7:$G$11,MOD('_Engine'!DA15,10))&amp;IF('_Engine'!DA15&gt;10,"?",""),IF('_Engine'!DA15=0,INDEX(Settings!$G$7:$G$11,MOD('_Engine'!DB15,10))&amp;IF('_Engine'!DB15&gt;10,"?","")&amp;" PM",IF('_Engine'!DB15=0,INDEX(Settings!$G$7:$G$11,MOD('_Engine'!DA15,10))&amp;IF('_Engine'!DA15&gt;10,"?","")&amp;" AM",INDEX(Settings!$G$7:$G$11,MOD('_Engine'!DA15,10))&amp;IF('_Engine'!DA15&gt;10,"?","")&amp;" AM"&amp;CHAR(10)&amp;INDEX(Settings!$G$7:$G$11,MOD('_Engine'!DB15,10))&amp;IF('_Engine'!DB15&gt;10,"?","")&amp;" PM"))))))))</ns0:f>
        <ns0:v>·</ns0:v>
      </ns0:c>
      <ns0:c r="AD15" s="164" t="str">
        <ns0:f>IF(OR($A15="",AD$11=""),"",IF(OR('_Engine'!$B$6&gt;0,INDEX('_Engine'!$AM$11:$AM$60,'_Engine'!$AO15)&lt;&gt;"OK"),"!",IF(INDEX(Team!$H$11:$N$60,'_Engine'!$AO15,WEEKDAY(AD$11,2))&lt;&gt;"Work","—",IF(COUNTIF(Settings!$F$18:$F$67,AD$11)&gt;0,"BH",IF('_Engine'!DC15+'_Engine'!DD15=0,"·",IF('_Engine'!DC15='_Engine'!DD15,INDEX(Settings!$G$7:$G$11,MOD('_Engine'!DC15,10))&amp;IF('_Engine'!DC15&gt;10,"?",""),IF('_Engine'!DC15=0,INDEX(Settings!$G$7:$G$11,MOD('_Engine'!DD15,10))&amp;IF('_Engine'!DD15&gt;10,"?","")&amp;" PM",IF('_Engine'!DD15=0,INDEX(Settings!$G$7:$G$11,MOD('_Engine'!DC15,10))&amp;IF('_Engine'!DC15&gt;10,"?","")&amp;" AM",INDEX(Settings!$G$7:$G$11,MOD('_Engine'!DC15,10))&amp;IF('_Engine'!DC15&gt;10,"?","")&amp;" AM"&amp;CHAR(10)&amp;INDEX(Settings!$G$7:$G$11,MOD('_Engine'!DD15,10))&amp;IF('_Engine'!DD15&gt;10,"?","")&amp;" PM"))))))))</ns0:f>
        <ns0:v>·</ns0:v>
      </ns0:c>
      <ns0:c r="AE15" s="164" t="str">
        <ns0:f>IF(OR($A15="",AE$11=""),"",IF(OR('_Engine'!$B$6&gt;0,INDEX('_Engine'!$AM$11:$AM$60,'_Engine'!$AO15)&lt;&gt;"OK"),"!",IF(INDEX(Team!$H$11:$N$60,'_Engine'!$AO15,WEEKDAY(AE$11,2))&lt;&gt;"Work","—",IF(COUNTIF(Settings!$F$18:$F$67,AE$11)&gt;0,"BH",IF('_Engine'!DE15+'_Engine'!DF15=0,"·",IF('_Engine'!DE15='_Engine'!DF15,INDEX(Settings!$G$7:$G$11,MOD('_Engine'!DE15,10))&amp;IF('_Engine'!DE15&gt;10,"?",""),IF('_Engine'!DE15=0,INDEX(Settings!$G$7:$G$11,MOD('_Engine'!DF15,10))&amp;IF('_Engine'!DF15&gt;10,"?","")&amp;" PM",IF('_Engine'!DF15=0,INDEX(Settings!$G$7:$G$11,MOD('_Engine'!DE15,10))&amp;IF('_Engine'!DE15&gt;10,"?","")&amp;" AM",INDEX(Settings!$G$7:$G$11,MOD('_Engine'!DE15,10))&amp;IF('_Engine'!DE15&gt;10,"?","")&amp;" AM"&amp;CHAR(10)&amp;INDEX(Settings!$G$7:$G$11,MOD('_Engine'!DF15,10))&amp;IF('_Engine'!DF15&gt;10,"?","")&amp;" PM"))))))))</ns0:f>
        <ns0:v>·</ns0:v>
      </ns0:c>
      <ns0:c r="AF15" s="164" t="str">
        <ns0:f>IF(OR($A15="",AF$11=""),"",IF(OR('_Engine'!$B$6&gt;0,INDEX('_Engine'!$AM$11:$AM$60,'_Engine'!$AO15)&lt;&gt;"OK"),"!",IF(INDEX(Team!$H$11:$N$60,'_Engine'!$AO15,WEEKDAY(AF$11,2))&lt;&gt;"Work","—",IF(COUNTIF(Settings!$F$18:$F$67,AF$11)&gt;0,"BH",IF('_Engine'!DG15+'_Engine'!DH15=0,"·",IF('_Engine'!DG15='_Engine'!DH15,INDEX(Settings!$G$7:$G$11,MOD('_Engine'!DG15,10))&amp;IF('_Engine'!DG15&gt;10,"?",""),IF('_Engine'!DG15=0,INDEX(Settings!$G$7:$G$11,MOD('_Engine'!DH15,10))&amp;IF('_Engine'!DH15&gt;10,"?","")&amp;" PM",IF('_Engine'!DH15=0,INDEX(Settings!$G$7:$G$11,MOD('_Engine'!DG15,10))&amp;IF('_Engine'!DG15&gt;10,"?","")&amp;" AM",INDEX(Settings!$G$7:$G$11,MOD('_Engine'!DG15,10))&amp;IF('_Engine'!DG15&gt;10,"?","")&amp;" AM"&amp;CHAR(10)&amp;INDEX(Settings!$G$7:$G$11,MOD('_Engine'!DH15,10))&amp;IF('_Engine'!DH15&gt;10,"?","")&amp;" PM"))))))))</ns0:f>
        <ns0:v>·</ns0:v>
      </ns0:c>
      <ns0:c r="AG15" s="164" t="str">
        <ns0:f>IF(OR($A15="",AG$11=""),"",IF(OR('_Engine'!$B$6&gt;0,INDEX('_Engine'!$AM$11:$AM$60,'_Engine'!$AO15)&lt;&gt;"OK"),"!",IF(INDEX(Team!$H$11:$N$60,'_Engine'!$AO15,WEEKDAY(AG$11,2))&lt;&gt;"Work","—",IF(COUNTIF(Settings!$F$18:$F$67,AG$11)&gt;0,"BH",IF('_Engine'!DI15+'_Engine'!DJ15=0,"·",IF('_Engine'!DI15='_Engine'!DJ15,INDEX(Settings!$G$7:$G$11,MOD('_Engine'!DI15,10))&amp;IF('_Engine'!DI15&gt;10,"?",""),IF('_Engine'!DI15=0,INDEX(Settings!$G$7:$G$11,MOD('_Engine'!DJ15,10))&amp;IF('_Engine'!DJ15&gt;10,"?","")&amp;" PM",IF('_Engine'!DJ15=0,INDEX(Settings!$G$7:$G$11,MOD('_Engine'!DI15,10))&amp;IF('_Engine'!DI15&gt;10,"?","")&amp;" AM",INDEX(Settings!$G$7:$G$11,MOD('_Engine'!DI15,10))&amp;IF('_Engine'!DI15&gt;10,"?","")&amp;" AM"&amp;CHAR(10)&amp;INDEX(Settings!$G$7:$G$11,MOD('_Engine'!DJ15,10))&amp;IF('_Engine'!DJ15&gt;10,"?","")&amp;" PM"))))))))</ns0:f>
        <ns0:v>·</ns0:v>
      </ns0:c>
      <ns0:c r="AH15" s="164" t="str">
        <ns0:f>IF(OR($A15="",AH$11=""),"",IF(OR('_Engine'!$B$6&gt;0,INDEX('_Engine'!$AM$11:$AM$60,'_Engine'!$AO15)&lt;&gt;"OK"),"!",IF(INDEX(Team!$H$11:$N$60,'_Engine'!$AO15,WEEKDAY(AH$11,2))&lt;&gt;"Work","—",IF(COUNTIF(Settings!$F$18:$F$67,AH$11)&gt;0,"BH",IF('_Engine'!DK15+'_Engine'!DL15=0,"·",IF('_Engine'!DK15='_Engine'!DL15,INDEX(Settings!$G$7:$G$11,MOD('_Engine'!DK15,10))&amp;IF('_Engine'!DK15&gt;10,"?",""),IF('_Engine'!DK15=0,INDEX(Settings!$G$7:$G$11,MOD('_Engine'!DL15,10))&amp;IF('_Engine'!DL15&gt;10,"?","")&amp;" PM",IF('_Engine'!DL15=0,INDEX(Settings!$G$7:$G$11,MOD('_Engine'!DK15,10))&amp;IF('_Engine'!DK15&gt;10,"?","")&amp;" AM",INDEX(Settings!$G$7:$G$11,MOD('_Engine'!DK15,10))&amp;IF('_Engine'!DK15&gt;10,"?","")&amp;" AM"&amp;CHAR(10)&amp;INDEX(Settings!$G$7:$G$11,MOD('_Engine'!DL15,10))&amp;IF('_Engine'!DL15&gt;10,"?","")&amp;" PM"))))))))</ns0:f>
        <ns0:v>—</ns0:v>
      </ns0:c>
    </ns0:row>
    <ns0:row r="16" ht="38" customHeight="1">
      <ns0:c r="A16" s="4" t="str">
        <ns0:f>IF('_Engine'!AO16=0,"",IF(INDEX(Team!$B$11:$B$60,'_Engine'!AO16)="","[Unnamed]",INDEX(Team!$B$11:$B$60,'_Engine'!AO16)))</ns0:f>
        <ns0:v>Casey Taylor</ns0:v>
      </ns0:c>
      <ns0:c r="B16" s="156">
        <ns0:f>IF('_Engine'!AO16=0,"",INDEX('_Engine'!$AN$11:$AN$60,'_Engine'!AO16))</ns0:f>
        <ns0:v>25</ns0:v>
      </ns0:c>
      <ns0:c r="C16" s="4" t="str">
        <ns0:f>IF('_Engine'!AO16=0,"",INDEX(Team!$C$11:$C$60,'_Engine'!AO16))</ns0:f>
        <ns0:v>Product</ns0:v>
      </ns0:c>
      <ns0:c r="D16" s="162" t="str">
        <ns0:f>IF(OR($A16="",D$11=""),"",IF(OR('_Engine'!$B$6&gt;0,INDEX('_Engine'!$AM$11:$AM$60,'_Engine'!$AO16)&lt;&gt;"OK"),"!",IF(INDEX(Team!$H$11:$N$60,'_Engine'!$AO16,WEEKDAY(D$11,2))&lt;&gt;"Work","—",IF(COUNTIF(Settings!$F$18:$F$67,D$11)&gt;0,"BH",IF('_Engine'!BC16+'_Engine'!BD16=0,"·",IF('_Engine'!BC16='_Engine'!BD16,INDEX(Settings!$G$7:$G$11,MOD('_Engine'!BC16,10))&amp;IF('_Engine'!BC16&gt;10,"?",""),IF('_Engine'!BC16=0,INDEX(Settings!$G$7:$G$11,MOD('_Engine'!BD16,10))&amp;IF('_Engine'!BD16&gt;10,"?","")&amp;" PM",IF('_Engine'!BD16=0,INDEX(Settings!$G$7:$G$11,MOD('_Engine'!BC16,10))&amp;IF('_Engine'!BC16&gt;10,"?","")&amp;" AM",INDEX(Settings!$G$7:$G$11,MOD('_Engine'!BC16,10))&amp;IF('_Engine'!BC16&gt;10,"?","")&amp;" AM"&amp;CHAR(10)&amp;INDEX(Settings!$G$7:$G$11,MOD('_Engine'!BD16,10))&amp;IF('_Engine'!BD16&gt;10,"?","")&amp;" PM"))))))))</ns0:f>
        <ns0:v>·</ns0:v>
      </ns0:c>
      <ns0:c r="E16" s="162" t="str">
        <ns0:f>IF(OR($A16="",E$11=""),"",IF(OR('_Engine'!$B$6&gt;0,INDEX('_Engine'!$AM$11:$AM$60,'_Engine'!$AO16)&lt;&gt;"OK"),"!",IF(INDEX(Team!$H$11:$N$60,'_Engine'!$AO16,WEEKDAY(E$11,2))&lt;&gt;"Work","—",IF(COUNTIF(Settings!$F$18:$F$67,E$11)&gt;0,"BH",IF('_Engine'!BE16+'_Engine'!BF16=0,"·",IF('_Engine'!BE16='_Engine'!BF16,INDEX(Settings!$G$7:$G$11,MOD('_Engine'!BE16,10))&amp;IF('_Engine'!BE16&gt;10,"?",""),IF('_Engine'!BE16=0,INDEX(Settings!$G$7:$G$11,MOD('_Engine'!BF16,10))&amp;IF('_Engine'!BF16&gt;10,"?","")&amp;" PM",IF('_Engine'!BF16=0,INDEX(Settings!$G$7:$G$11,MOD('_Engine'!BE16,10))&amp;IF('_Engine'!BE16&gt;10,"?","")&amp;" AM",INDEX(Settings!$G$7:$G$11,MOD('_Engine'!BE16,10))&amp;IF('_Engine'!BE16&gt;10,"?","")&amp;" AM"&amp;CHAR(10)&amp;INDEX(Settings!$G$7:$G$11,MOD('_Engine'!BF16,10))&amp;IF('_Engine'!BF16&gt;10,"?","")&amp;" PM"))))))))</ns0:f>
        <ns0:v>·</ns0:v>
      </ns0:c>
      <ns0:c r="F16" s="162" t="str">
        <ns0:f>IF(OR($A16="",F$11=""),"",IF(OR('_Engine'!$B$6&gt;0,INDEX('_Engine'!$AM$11:$AM$60,'_Engine'!$AO16)&lt;&gt;"OK"),"!",IF(INDEX(Team!$H$11:$N$60,'_Engine'!$AO16,WEEKDAY(F$11,2))&lt;&gt;"Work","—",IF(COUNTIF(Settings!$F$18:$F$67,F$11)&gt;0,"BH",IF('_Engine'!BG16+'_Engine'!BH16=0,"·",IF('_Engine'!BG16='_Engine'!BH16,INDEX(Settings!$G$7:$G$11,MOD('_Engine'!BG16,10))&amp;IF('_Engine'!BG16&gt;10,"?",""),IF('_Engine'!BG16=0,INDEX(Settings!$G$7:$G$11,MOD('_Engine'!BH16,10))&amp;IF('_Engine'!BH16&gt;10,"?","")&amp;" PM",IF('_Engine'!BH16=0,INDEX(Settings!$G$7:$G$11,MOD('_Engine'!BG16,10))&amp;IF('_Engine'!BG16&gt;10,"?","")&amp;" AM",INDEX(Settings!$G$7:$G$11,MOD('_Engine'!BG16,10))&amp;IF('_Engine'!BG16&gt;10,"?","")&amp;" AM"&amp;CHAR(10)&amp;INDEX(Settings!$G$7:$G$11,MOD('_Engine'!BH16,10))&amp;IF('_Engine'!BH16&gt;10,"?","")&amp;" PM"))))))))</ns0:f>
        <ns0:v>—</ns0:v>
      </ns0:c>
      <ns0:c r="G16" s="162" t="str">
        <ns0:f>IF(OR($A16="",G$11=""),"",IF(OR('_Engine'!$B$6&gt;0,INDEX('_Engine'!$AM$11:$AM$60,'_Engine'!$AO16)&lt;&gt;"OK"),"!",IF(INDEX(Team!$H$11:$N$60,'_Engine'!$AO16,WEEKDAY(G$11,2))&lt;&gt;"Work","—",IF(COUNTIF(Settings!$F$18:$F$67,G$11)&gt;0,"BH",IF('_Engine'!BI16+'_Engine'!BJ16=0,"·",IF('_Engine'!BI16='_Engine'!BJ16,INDEX(Settings!$G$7:$G$11,MOD('_Engine'!BI16,10))&amp;IF('_Engine'!BI16&gt;10,"?",""),IF('_Engine'!BI16=0,INDEX(Settings!$G$7:$G$11,MOD('_Engine'!BJ16,10))&amp;IF('_Engine'!BJ16&gt;10,"?","")&amp;" PM",IF('_Engine'!BJ16=0,INDEX(Settings!$G$7:$G$11,MOD('_Engine'!BI16,10))&amp;IF('_Engine'!BI16&gt;10,"?","")&amp;" AM",INDEX(Settings!$G$7:$G$11,MOD('_Engine'!BI16,10))&amp;IF('_Engine'!BI16&gt;10,"?","")&amp;" AM"&amp;CHAR(10)&amp;INDEX(Settings!$G$7:$G$11,MOD('_Engine'!BJ16,10))&amp;IF('_Engine'!BJ16&gt;10,"?","")&amp;" PM"))))))))</ns0:f>
        <ns0:v>—</ns0:v>
      </ns0:c>
      <ns0:c r="H16" s="162" t="str">
        <ns0:f>IF(OR($A16="",H$11=""),"",IF(OR('_Engine'!$B$6&gt;0,INDEX('_Engine'!$AM$11:$AM$60,'_Engine'!$AO16)&lt;&gt;"OK"),"!",IF(INDEX(Team!$H$11:$N$60,'_Engine'!$AO16,WEEKDAY(H$11,2))&lt;&gt;"Work","—",IF(COUNTIF(Settings!$F$18:$F$67,H$11)&gt;0,"BH",IF('_Engine'!BK16+'_Engine'!BL16=0,"·",IF('_Engine'!BK16='_Engine'!BL16,INDEX(Settings!$G$7:$G$11,MOD('_Engine'!BK16,10))&amp;IF('_Engine'!BK16&gt;10,"?",""),IF('_Engine'!BK16=0,INDEX(Settings!$G$7:$G$11,MOD('_Engine'!BL16,10))&amp;IF('_Engine'!BL16&gt;10,"?","")&amp;" PM",IF('_Engine'!BL16=0,INDEX(Settings!$G$7:$G$11,MOD('_Engine'!BK16,10))&amp;IF('_Engine'!BK16&gt;10,"?","")&amp;" AM",INDEX(Settings!$G$7:$G$11,MOD('_Engine'!BK16,10))&amp;IF('_Engine'!BK16&gt;10,"?","")&amp;" AM"&amp;CHAR(10)&amp;INDEX(Settings!$G$7:$G$11,MOD('_Engine'!BL16,10))&amp;IF('_Engine'!BL16&gt;10,"?","")&amp;" PM"))))))))</ns0:f>
        <ns0:v>·</ns0:v>
      </ns0:c>
      <ns0:c r="I16" s="162" t="str">
        <ns0:f>IF(OR($A16="",I$11=""),"",IF(OR('_Engine'!$B$6&gt;0,INDEX('_Engine'!$AM$11:$AM$60,'_Engine'!$AO16)&lt;&gt;"OK"),"!",IF(INDEX(Team!$H$11:$N$60,'_Engine'!$AO16,WEEKDAY(I$11,2))&lt;&gt;"Work","—",IF(COUNTIF(Settings!$F$18:$F$67,I$11)&gt;0,"BH",IF('_Engine'!BM16+'_Engine'!BN16=0,"·",IF('_Engine'!BM16='_Engine'!BN16,INDEX(Settings!$G$7:$G$11,MOD('_Engine'!BM16,10))&amp;IF('_Engine'!BM16&gt;10,"?",""),IF('_Engine'!BM16=0,INDEX(Settings!$G$7:$G$11,MOD('_Engine'!BN16,10))&amp;IF('_Engine'!BN16&gt;10,"?","")&amp;" PM",IF('_Engine'!BN16=0,INDEX(Settings!$G$7:$G$11,MOD('_Engine'!BM16,10))&amp;IF('_Engine'!BM16&gt;10,"?","")&amp;" AM",INDEX(Settings!$G$7:$G$11,MOD('_Engine'!BM16,10))&amp;IF('_Engine'!BM16&gt;10,"?","")&amp;" AM"&amp;CHAR(10)&amp;INDEX(Settings!$G$7:$G$11,MOD('_Engine'!BN16,10))&amp;IF('_Engine'!BN16&gt;10,"?","")&amp;" PM"))))))))</ns0:f>
        <ns0:v>·</ns0:v>
      </ns0:c>
      <ns0:c r="J16" s="162" t="str">
        <ns0:f>IF(OR($A16="",J$11=""),"",IF(OR('_Engine'!$B$6&gt;0,INDEX('_Engine'!$AM$11:$AM$60,'_Engine'!$AO16)&lt;&gt;"OK"),"!",IF(INDEX(Team!$H$11:$N$60,'_Engine'!$AO16,WEEKDAY(J$11,2))&lt;&gt;"Work","—",IF(COUNTIF(Settings!$F$18:$F$67,J$11)&gt;0,"BH",IF('_Engine'!BO16+'_Engine'!BP16=0,"·",IF('_Engine'!BO16='_Engine'!BP16,INDEX(Settings!$G$7:$G$11,MOD('_Engine'!BO16,10))&amp;IF('_Engine'!BO16&gt;10,"?",""),IF('_Engine'!BO16=0,INDEX(Settings!$G$7:$G$11,MOD('_Engine'!BP16,10))&amp;IF('_Engine'!BP16&gt;10,"?","")&amp;" PM",IF('_Engine'!BP16=0,INDEX(Settings!$G$7:$G$11,MOD('_Engine'!BO16,10))&amp;IF('_Engine'!BO16&gt;10,"?","")&amp;" AM",INDEX(Settings!$G$7:$G$11,MOD('_Engine'!BO16,10))&amp;IF('_Engine'!BO16&gt;10,"?","")&amp;" AM"&amp;CHAR(10)&amp;INDEX(Settings!$G$7:$G$11,MOD('_Engine'!BP16,10))&amp;IF('_Engine'!BP16&gt;10,"?","")&amp;" PM"))))))))</ns0:f>
        <ns0:v>S</ns0:v>
      </ns0:c>
      <ns0:c r="K16" s="164" t="str">
        <ns0:f>IF(OR($A16="",K$11=""),"",IF(OR('_Engine'!$B$6&gt;0,INDEX('_Engine'!$AM$11:$AM$60,'_Engine'!$AO16)&lt;&gt;"OK"),"!",IF(INDEX(Team!$H$11:$N$60,'_Engine'!$AO16,WEEKDAY(K$11,2))&lt;&gt;"Work","—",IF(COUNTIF(Settings!$F$18:$F$67,K$11)&gt;0,"BH",IF('_Engine'!BQ16+'_Engine'!BR16=0,"·",IF('_Engine'!BQ16='_Engine'!BR16,INDEX(Settings!$G$7:$G$11,MOD('_Engine'!BQ16,10))&amp;IF('_Engine'!BQ16&gt;10,"?",""),IF('_Engine'!BQ16=0,INDEX(Settings!$G$7:$G$11,MOD('_Engine'!BR16,10))&amp;IF('_Engine'!BR16&gt;10,"?","")&amp;" PM",IF('_Engine'!BR16=0,INDEX(Settings!$G$7:$G$11,MOD('_Engine'!BQ16,10))&amp;IF('_Engine'!BQ16&gt;10,"?","")&amp;" AM",INDEX(Settings!$G$7:$G$11,MOD('_Engine'!BQ16,10))&amp;IF('_Engine'!BQ16&gt;10,"?","")&amp;" AM"&amp;CHAR(10)&amp;INDEX(Settings!$G$7:$G$11,MOD('_Engine'!BR16,10))&amp;IF('_Engine'!BR16&gt;10,"?","")&amp;" PM"))))))))</ns0:f>
        <ns0:v>·</ns0:v>
      </ns0:c>
      <ns0:c r="L16" s="164" t="str">
        <ns0:f>IF(OR($A16="",L$11=""),"",IF(OR('_Engine'!$B$6&gt;0,INDEX('_Engine'!$AM$11:$AM$60,'_Engine'!$AO16)&lt;&gt;"OK"),"!",IF(INDEX(Team!$H$11:$N$60,'_Engine'!$AO16,WEEKDAY(L$11,2))&lt;&gt;"Work","—",IF(COUNTIF(Settings!$F$18:$F$67,L$11)&gt;0,"BH",IF('_Engine'!BS16+'_Engine'!BT16=0,"·",IF('_Engine'!BS16='_Engine'!BT16,INDEX(Settings!$G$7:$G$11,MOD('_Engine'!BS16,10))&amp;IF('_Engine'!BS16&gt;10,"?",""),IF('_Engine'!BS16=0,INDEX(Settings!$G$7:$G$11,MOD('_Engine'!BT16,10))&amp;IF('_Engine'!BT16&gt;10,"?","")&amp;" PM",IF('_Engine'!BT16=0,INDEX(Settings!$G$7:$G$11,MOD('_Engine'!BS16,10))&amp;IF('_Engine'!BS16&gt;10,"?","")&amp;" AM",INDEX(Settings!$G$7:$G$11,MOD('_Engine'!BS16,10))&amp;IF('_Engine'!BS16&gt;10,"?","")&amp;" AM"&amp;CHAR(10)&amp;INDEX(Settings!$G$7:$G$11,MOD('_Engine'!BT16,10))&amp;IF('_Engine'!BT16&gt;10,"?","")&amp;" PM"))))))))</ns0:f>
        <ns0:v>·</ns0:v>
      </ns0:c>
      <ns0:c r="M16" s="164" t="str">
        <ns0:f>IF(OR($A16="",M$11=""),"",IF(OR('_Engine'!$B$6&gt;0,INDEX('_Engine'!$AM$11:$AM$60,'_Engine'!$AO16)&lt;&gt;"OK"),"!",IF(INDEX(Team!$H$11:$N$60,'_Engine'!$AO16,WEEKDAY(M$11,2))&lt;&gt;"Work","—",IF(COUNTIF(Settings!$F$18:$F$67,M$11)&gt;0,"BH",IF('_Engine'!BU16+'_Engine'!BV16=0,"·",IF('_Engine'!BU16='_Engine'!BV16,INDEX(Settings!$G$7:$G$11,MOD('_Engine'!BU16,10))&amp;IF('_Engine'!BU16&gt;10,"?",""),IF('_Engine'!BU16=0,INDEX(Settings!$G$7:$G$11,MOD('_Engine'!BV16,10))&amp;IF('_Engine'!BV16&gt;10,"?","")&amp;" PM",IF('_Engine'!BV16=0,INDEX(Settings!$G$7:$G$11,MOD('_Engine'!BU16,10))&amp;IF('_Engine'!BU16&gt;10,"?","")&amp;" AM",INDEX(Settings!$G$7:$G$11,MOD('_Engine'!BU16,10))&amp;IF('_Engine'!BU16&gt;10,"?","")&amp;" AM"&amp;CHAR(10)&amp;INDEX(Settings!$G$7:$G$11,MOD('_Engine'!BV16,10))&amp;IF('_Engine'!BV16&gt;10,"?","")&amp;" PM"))))))))</ns0:f>
        <ns0:v>—</ns0:v>
      </ns0:c>
      <ns0:c r="N16" s="164" t="str">
        <ns0:f>IF(OR($A16="",N$11=""),"",IF(OR('_Engine'!$B$6&gt;0,INDEX('_Engine'!$AM$11:$AM$60,'_Engine'!$AO16)&lt;&gt;"OK"),"!",IF(INDEX(Team!$H$11:$N$60,'_Engine'!$AO16,WEEKDAY(N$11,2))&lt;&gt;"Work","—",IF(COUNTIF(Settings!$F$18:$F$67,N$11)&gt;0,"BH",IF('_Engine'!BW16+'_Engine'!BX16=0,"·",IF('_Engine'!BW16='_Engine'!BX16,INDEX(Settings!$G$7:$G$11,MOD('_Engine'!BW16,10))&amp;IF('_Engine'!BW16&gt;10,"?",""),IF('_Engine'!BW16=0,INDEX(Settings!$G$7:$G$11,MOD('_Engine'!BX16,10))&amp;IF('_Engine'!BX16&gt;10,"?","")&amp;" PM",IF('_Engine'!BX16=0,INDEX(Settings!$G$7:$G$11,MOD('_Engine'!BW16,10))&amp;IF('_Engine'!BW16&gt;10,"?","")&amp;" AM",INDEX(Settings!$G$7:$G$11,MOD('_Engine'!BW16,10))&amp;IF('_Engine'!BW16&gt;10,"?","")&amp;" AM"&amp;CHAR(10)&amp;INDEX(Settings!$G$7:$G$11,MOD('_Engine'!BX16,10))&amp;IF('_Engine'!BX16&gt;10,"?","")&amp;" PM"))))))))</ns0:f>
        <ns0:v>—</ns0:v>
      </ns0:c>
      <ns0:c r="O16" s="164" t="str">
        <ns0:f>IF(OR($A16="",O$11=""),"",IF(OR('_Engine'!$B$6&gt;0,INDEX('_Engine'!$AM$11:$AM$60,'_Engine'!$AO16)&lt;&gt;"OK"),"!",IF(INDEX(Team!$H$11:$N$60,'_Engine'!$AO16,WEEKDAY(O$11,2))&lt;&gt;"Work","—",IF(COUNTIF(Settings!$F$18:$F$67,O$11)&gt;0,"BH",IF('_Engine'!BY16+'_Engine'!BZ16=0,"·",IF('_Engine'!BY16='_Engine'!BZ16,INDEX(Settings!$G$7:$G$11,MOD('_Engine'!BY16,10))&amp;IF('_Engine'!BY16&gt;10,"?",""),IF('_Engine'!BY16=0,INDEX(Settings!$G$7:$G$11,MOD('_Engine'!BZ16,10))&amp;IF('_Engine'!BZ16&gt;10,"?","")&amp;" PM",IF('_Engine'!BZ16=0,INDEX(Settings!$G$7:$G$11,MOD('_Engine'!BY16,10))&amp;IF('_Engine'!BY16&gt;10,"?","")&amp;" AM",INDEX(Settings!$G$7:$G$11,MOD('_Engine'!BY16,10))&amp;IF('_Engine'!BY16&gt;10,"?","")&amp;" AM"&amp;CHAR(10)&amp;INDEX(Settings!$G$7:$G$11,MOD('_Engine'!BZ16,10))&amp;IF('_Engine'!BZ16&gt;10,"?","")&amp;" PM"))))))))</ns0:f>
        <ns0:v>·</ns0:v>
      </ns0:c>
      <ns0:c r="P16" s="164" t="str">
        <ns0:f>IF(OR($A16="",P$11=""),"",IF(OR('_Engine'!$B$6&gt;0,INDEX('_Engine'!$AM$11:$AM$60,'_Engine'!$AO16)&lt;&gt;"OK"),"!",IF(INDEX(Team!$H$11:$N$60,'_Engine'!$AO16,WEEKDAY(P$11,2))&lt;&gt;"Work","—",IF(COUNTIF(Settings!$F$18:$F$67,P$11)&gt;0,"BH",IF('_Engine'!CA16+'_Engine'!CB16=0,"·",IF('_Engine'!CA16='_Engine'!CB16,INDEX(Settings!$G$7:$G$11,MOD('_Engine'!CA16,10))&amp;IF('_Engine'!CA16&gt;10,"?",""),IF('_Engine'!CA16=0,INDEX(Settings!$G$7:$G$11,MOD('_Engine'!CB16,10))&amp;IF('_Engine'!CB16&gt;10,"?","")&amp;" PM",IF('_Engine'!CB16=0,INDEX(Settings!$G$7:$G$11,MOD('_Engine'!CA16,10))&amp;IF('_Engine'!CA16&gt;10,"?","")&amp;" AM",INDEX(Settings!$G$7:$G$11,MOD('_Engine'!CA16,10))&amp;IF('_Engine'!CA16&gt;10,"?","")&amp;" AM"&amp;CHAR(10)&amp;INDEX(Settings!$G$7:$G$11,MOD('_Engine'!CB16,10))&amp;IF('_Engine'!CB16&gt;10,"?","")&amp;" PM"))))))))</ns0:f>
        <ns0:v>·</ns0:v>
      </ns0:c>
      <ns0:c r="Q16" s="164" t="str">
        <ns0:f>IF(OR($A16="",Q$11=""),"",IF(OR('_Engine'!$B$6&gt;0,INDEX('_Engine'!$AM$11:$AM$60,'_Engine'!$AO16)&lt;&gt;"OK"),"!",IF(INDEX(Team!$H$11:$N$60,'_Engine'!$AO16,WEEKDAY(Q$11,2))&lt;&gt;"Work","—",IF(COUNTIF(Settings!$F$18:$F$67,Q$11)&gt;0,"BH",IF('_Engine'!CC16+'_Engine'!CD16=0,"·",IF('_Engine'!CC16='_Engine'!CD16,INDEX(Settings!$G$7:$G$11,MOD('_Engine'!CC16,10))&amp;IF('_Engine'!CC16&gt;10,"?",""),IF('_Engine'!CC16=0,INDEX(Settings!$G$7:$G$11,MOD('_Engine'!CD16,10))&amp;IF('_Engine'!CD16&gt;10,"?","")&amp;" PM",IF('_Engine'!CD16=0,INDEX(Settings!$G$7:$G$11,MOD('_Engine'!CC16,10))&amp;IF('_Engine'!CC16&gt;10,"?","")&amp;" AM",INDEX(Settings!$G$7:$G$11,MOD('_Engine'!CC16,10))&amp;IF('_Engine'!CC16&gt;10,"?","")&amp;" AM"&amp;CHAR(10)&amp;INDEX(Settings!$G$7:$G$11,MOD('_Engine'!CD16,10))&amp;IF('_Engine'!CD16&gt;10,"?","")&amp;" PM"))))))))</ns0:f>
        <ns0:v>·</ns0:v>
      </ns0:c>
      <ns0:c r="R16" s="164" t="str">
        <ns0:f>IF(OR($A16="",R$11=""),"",IF(OR('_Engine'!$B$6&gt;0,INDEX('_Engine'!$AM$11:$AM$60,'_Engine'!$AO16)&lt;&gt;"OK"),"!",IF(INDEX(Team!$H$11:$N$60,'_Engine'!$AO16,WEEKDAY(R$11,2))&lt;&gt;"Work","—",IF(COUNTIF(Settings!$F$18:$F$67,R$11)&gt;0,"BH",IF('_Engine'!CE16+'_Engine'!CF16=0,"·",IF('_Engine'!CE16='_Engine'!CF16,INDEX(Settings!$G$7:$G$11,MOD('_Engine'!CE16,10))&amp;IF('_Engine'!CE16&gt;10,"?",""),IF('_Engine'!CE16=0,INDEX(Settings!$G$7:$G$11,MOD('_Engine'!CF16,10))&amp;IF('_Engine'!CF16&gt;10,"?","")&amp;" PM",IF('_Engine'!CF16=0,INDEX(Settings!$G$7:$G$11,MOD('_Engine'!CE16,10))&amp;IF('_Engine'!CE16&gt;10,"?","")&amp;" AM",INDEX(Settings!$G$7:$G$11,MOD('_Engine'!CE16,10))&amp;IF('_Engine'!CE16&gt;10,"?","")&amp;" AM"&amp;CHAR(10)&amp;INDEX(Settings!$G$7:$G$11,MOD('_Engine'!CF16,10))&amp;IF('_Engine'!CF16&gt;10,"?","")&amp;" PM"))))))))</ns0:f>
        <ns0:v>·</ns0:v>
      </ns0:c>
      <ns0:c r="S16" s="164" t="str">
        <ns0:f>IF(OR($A16="",S$11=""),"",IF(OR('_Engine'!$B$6&gt;0,INDEX('_Engine'!$AM$11:$AM$60,'_Engine'!$AO16)&lt;&gt;"OK"),"!",IF(INDEX(Team!$H$11:$N$60,'_Engine'!$AO16,WEEKDAY(S$11,2))&lt;&gt;"Work","—",IF(COUNTIF(Settings!$F$18:$F$67,S$11)&gt;0,"BH",IF('_Engine'!CG16+'_Engine'!CH16=0,"·",IF('_Engine'!CG16='_Engine'!CH16,INDEX(Settings!$G$7:$G$11,MOD('_Engine'!CG16,10))&amp;IF('_Engine'!CG16&gt;10,"?",""),IF('_Engine'!CG16=0,INDEX(Settings!$G$7:$G$11,MOD('_Engine'!CH16,10))&amp;IF('_Engine'!CH16&gt;10,"?","")&amp;" PM",IF('_Engine'!CH16=0,INDEX(Settings!$G$7:$G$11,MOD('_Engine'!CG16,10))&amp;IF('_Engine'!CG16&gt;10,"?","")&amp;" AM",INDEX(Settings!$G$7:$G$11,MOD('_Engine'!CG16,10))&amp;IF('_Engine'!CG16&gt;10,"?","")&amp;" AM"&amp;CHAR(10)&amp;INDEX(Settings!$G$7:$G$11,MOD('_Engine'!CH16,10))&amp;IF('_Engine'!CH16&gt;10,"?","")&amp;" PM"))))))))</ns0:f>
        <ns0:v>·</ns0:v>
      </ns0:c>
      <ns0:c r="T16" s="164" t="str">
        <ns0:f>IF(OR($A16="",T$11=""),"",IF(OR('_Engine'!$B$6&gt;0,INDEX('_Engine'!$AM$11:$AM$60,'_Engine'!$AO16)&lt;&gt;"OK"),"!",IF(INDEX(Team!$H$11:$N$60,'_Engine'!$AO16,WEEKDAY(T$11,2))&lt;&gt;"Work","—",IF(COUNTIF(Settings!$F$18:$F$67,T$11)&gt;0,"BH",IF('_Engine'!CI16+'_Engine'!CJ16=0,"·",IF('_Engine'!CI16='_Engine'!CJ16,INDEX(Settings!$G$7:$G$11,MOD('_Engine'!CI16,10))&amp;IF('_Engine'!CI16&gt;10,"?",""),IF('_Engine'!CI16=0,INDEX(Settings!$G$7:$G$11,MOD('_Engine'!CJ16,10))&amp;IF('_Engine'!CJ16&gt;10,"?","")&amp;" PM",IF('_Engine'!CJ16=0,INDEX(Settings!$G$7:$G$11,MOD('_Engine'!CI16,10))&amp;IF('_Engine'!CI16&gt;10,"?","")&amp;" AM",INDEX(Settings!$G$7:$G$11,MOD('_Engine'!CI16,10))&amp;IF('_Engine'!CI16&gt;10,"?","")&amp;" AM"&amp;CHAR(10)&amp;INDEX(Settings!$G$7:$G$11,MOD('_Engine'!CJ16,10))&amp;IF('_Engine'!CJ16&gt;10,"?","")&amp;" PM"))))))))</ns0:f>
        <ns0:v>—</ns0:v>
      </ns0:c>
      <ns0:c r="U16" s="164" t="str">
        <ns0:f>IF(OR($A16="",U$11=""),"",IF(OR('_Engine'!$B$6&gt;0,INDEX('_Engine'!$AM$11:$AM$60,'_Engine'!$AO16)&lt;&gt;"OK"),"!",IF(INDEX(Team!$H$11:$N$60,'_Engine'!$AO16,WEEKDAY(U$11,2))&lt;&gt;"Work","—",IF(COUNTIF(Settings!$F$18:$F$67,U$11)&gt;0,"BH",IF('_Engine'!CK16+'_Engine'!CL16=0,"·",IF('_Engine'!CK16='_Engine'!CL16,INDEX(Settings!$G$7:$G$11,MOD('_Engine'!CK16,10))&amp;IF('_Engine'!CK16&gt;10,"?",""),IF('_Engine'!CK16=0,INDEX(Settings!$G$7:$G$11,MOD('_Engine'!CL16,10))&amp;IF('_Engine'!CL16&gt;10,"?","")&amp;" PM",IF('_Engine'!CL16=0,INDEX(Settings!$G$7:$G$11,MOD('_Engine'!CK16,10))&amp;IF('_Engine'!CK16&gt;10,"?","")&amp;" AM",INDEX(Settings!$G$7:$G$11,MOD('_Engine'!CK16,10))&amp;IF('_Engine'!CK16&gt;10,"?","")&amp;" AM"&amp;CHAR(10)&amp;INDEX(Settings!$G$7:$G$11,MOD('_Engine'!CL16,10))&amp;IF('_Engine'!CL16&gt;10,"?","")&amp;" PM"))))))))</ns0:f>
        <ns0:v>—</ns0:v>
      </ns0:c>
      <ns0:c r="V16" s="164" t="str">
        <ns0:f>IF(OR($A16="",V$11=""),"",IF(OR('_Engine'!$B$6&gt;0,INDEX('_Engine'!$AM$11:$AM$60,'_Engine'!$AO16)&lt;&gt;"OK"),"!",IF(INDEX(Team!$H$11:$N$60,'_Engine'!$AO16,WEEKDAY(V$11,2))&lt;&gt;"Work","—",IF(COUNTIF(Settings!$F$18:$F$67,V$11)&gt;0,"BH",IF('_Engine'!CM16+'_Engine'!CN16=0,"·",IF('_Engine'!CM16='_Engine'!CN16,INDEX(Settings!$G$7:$G$11,MOD('_Engine'!CM16,10))&amp;IF('_Engine'!CM16&gt;10,"?",""),IF('_Engine'!CM16=0,INDEX(Settings!$G$7:$G$11,MOD('_Engine'!CN16,10))&amp;IF('_Engine'!CN16&gt;10,"?","")&amp;" PM",IF('_Engine'!CN16=0,INDEX(Settings!$G$7:$G$11,MOD('_Engine'!CM16,10))&amp;IF('_Engine'!CM16&gt;10,"?","")&amp;" AM",INDEX(Settings!$G$7:$G$11,MOD('_Engine'!CM16,10))&amp;IF('_Engine'!CM16&gt;10,"?","")&amp;" AM"&amp;CHAR(10)&amp;INDEX(Settings!$G$7:$G$11,MOD('_Engine'!CN16,10))&amp;IF('_Engine'!CN16&gt;10,"?","")&amp;" PM"))))))))</ns0:f>
        <ns0:v>·</ns0:v>
      </ns0:c>
      <ns0:c r="W16" s="164" t="str">
        <ns0:f>IF(OR($A16="",W$11=""),"",IF(OR('_Engine'!$B$6&gt;0,INDEX('_Engine'!$AM$11:$AM$60,'_Engine'!$AO16)&lt;&gt;"OK"),"!",IF(INDEX(Team!$H$11:$N$60,'_Engine'!$AO16,WEEKDAY(W$11,2))&lt;&gt;"Work","—",IF(COUNTIF(Settings!$F$18:$F$67,W$11)&gt;0,"BH",IF('_Engine'!CO16+'_Engine'!CP16=0,"·",IF('_Engine'!CO16='_Engine'!CP16,INDEX(Settings!$G$7:$G$11,MOD('_Engine'!CO16,10))&amp;IF('_Engine'!CO16&gt;10,"?",""),IF('_Engine'!CO16=0,INDEX(Settings!$G$7:$G$11,MOD('_Engine'!CP16,10))&amp;IF('_Engine'!CP16&gt;10,"?","")&amp;" PM",IF('_Engine'!CP16=0,INDEX(Settings!$G$7:$G$11,MOD('_Engine'!CO16,10))&amp;IF('_Engine'!CO16&gt;10,"?","")&amp;" AM",INDEX(Settings!$G$7:$G$11,MOD('_Engine'!CO16,10))&amp;IF('_Engine'!CO16&gt;10,"?","")&amp;" AM"&amp;CHAR(10)&amp;INDEX(Settings!$G$7:$G$11,MOD('_Engine'!CP16,10))&amp;IF('_Engine'!CP16&gt;10,"?","")&amp;" PM"))))))))</ns0:f>
        <ns0:v>·</ns0:v>
      </ns0:c>
      <ns0:c r="X16" s="164" t="str">
        <ns0:f>IF(OR($A16="",X$11=""),"",IF(OR('_Engine'!$B$6&gt;0,INDEX('_Engine'!$AM$11:$AM$60,'_Engine'!$AO16)&lt;&gt;"OK"),"!",IF(INDEX(Team!$H$11:$N$60,'_Engine'!$AO16,WEEKDAY(X$11,2))&lt;&gt;"Work","—",IF(COUNTIF(Settings!$F$18:$F$67,X$11)&gt;0,"BH",IF('_Engine'!CQ16+'_Engine'!CR16=0,"·",IF('_Engine'!CQ16='_Engine'!CR16,INDEX(Settings!$G$7:$G$11,MOD('_Engine'!CQ16,10))&amp;IF('_Engine'!CQ16&gt;10,"?",""),IF('_Engine'!CQ16=0,INDEX(Settings!$G$7:$G$11,MOD('_Engine'!CR16,10))&amp;IF('_Engine'!CR16&gt;10,"?","")&amp;" PM",IF('_Engine'!CR16=0,INDEX(Settings!$G$7:$G$11,MOD('_Engine'!CQ16,10))&amp;IF('_Engine'!CQ16&gt;10,"?","")&amp;" AM",INDEX(Settings!$G$7:$G$11,MOD('_Engine'!CQ16,10))&amp;IF('_Engine'!CQ16&gt;10,"?","")&amp;" AM"&amp;CHAR(10)&amp;INDEX(Settings!$G$7:$G$11,MOD('_Engine'!CR16,10))&amp;IF('_Engine'!CR16&gt;10,"?","")&amp;" PM"))))))))</ns0:f>
        <ns0:v>·</ns0:v>
      </ns0:c>
      <ns0:c r="Y16" s="164" t="str">
        <ns0:f>IF(OR($A16="",Y$11=""),"",IF(OR('_Engine'!$B$6&gt;0,INDEX('_Engine'!$AM$11:$AM$60,'_Engine'!$AO16)&lt;&gt;"OK"),"!",IF(INDEX(Team!$H$11:$N$60,'_Engine'!$AO16,WEEKDAY(Y$11,2))&lt;&gt;"Work","—",IF(COUNTIF(Settings!$F$18:$F$67,Y$11)&gt;0,"BH",IF('_Engine'!CS16+'_Engine'!CT16=0,"·",IF('_Engine'!CS16='_Engine'!CT16,INDEX(Settings!$G$7:$G$11,MOD('_Engine'!CS16,10))&amp;IF('_Engine'!CS16&gt;10,"?",""),IF('_Engine'!CS16=0,INDEX(Settings!$G$7:$G$11,MOD('_Engine'!CT16,10))&amp;IF('_Engine'!CT16&gt;10,"?","")&amp;" PM",IF('_Engine'!CT16=0,INDEX(Settings!$G$7:$G$11,MOD('_Engine'!CS16,10))&amp;IF('_Engine'!CS16&gt;10,"?","")&amp;" AM",INDEX(Settings!$G$7:$G$11,MOD('_Engine'!CS16,10))&amp;IF('_Engine'!CS16&gt;10,"?","")&amp;" AM"&amp;CHAR(10)&amp;INDEX(Settings!$G$7:$G$11,MOD('_Engine'!CT16,10))&amp;IF('_Engine'!CT16&gt;10,"?","")&amp;" PM"))))))))</ns0:f>
        <ns0:v>·</ns0:v>
      </ns0:c>
      <ns0:c r="Z16" s="164" t="str">
        <ns0:f>IF(OR($A16="",Z$11=""),"",IF(OR('_Engine'!$B$6&gt;0,INDEX('_Engine'!$AM$11:$AM$60,'_Engine'!$AO16)&lt;&gt;"OK"),"!",IF(INDEX(Team!$H$11:$N$60,'_Engine'!$AO16,WEEKDAY(Z$11,2))&lt;&gt;"Work","—",IF(COUNTIF(Settings!$F$18:$F$67,Z$11)&gt;0,"BH",IF('_Engine'!CU16+'_Engine'!CV16=0,"·",IF('_Engine'!CU16='_Engine'!CV16,INDEX(Settings!$G$7:$G$11,MOD('_Engine'!CU16,10))&amp;IF('_Engine'!CU16&gt;10,"?",""),IF('_Engine'!CU16=0,INDEX(Settings!$G$7:$G$11,MOD('_Engine'!CV16,10))&amp;IF('_Engine'!CV16&gt;10,"?","")&amp;" PM",IF('_Engine'!CV16=0,INDEX(Settings!$G$7:$G$11,MOD('_Engine'!CU16,10))&amp;IF('_Engine'!CU16&gt;10,"?","")&amp;" AM",INDEX(Settings!$G$7:$G$11,MOD('_Engine'!CU16,10))&amp;IF('_Engine'!CU16&gt;10,"?","")&amp;" AM"&amp;CHAR(10)&amp;INDEX(Settings!$G$7:$G$11,MOD('_Engine'!CV16,10))&amp;IF('_Engine'!CV16&gt;10,"?","")&amp;" PM"))))))))</ns0:f>
        <ns0:v>BH</ns0:v>
      </ns0:c>
      <ns0:c r="AA16" s="164" t="str">
        <ns0:f>IF(OR($A16="",AA$11=""),"",IF(OR('_Engine'!$B$6&gt;0,INDEX('_Engine'!$AM$11:$AM$60,'_Engine'!$AO16)&lt;&gt;"OK"),"!",IF(INDEX(Team!$H$11:$N$60,'_Engine'!$AO16,WEEKDAY(AA$11,2))&lt;&gt;"Work","—",IF(COUNTIF(Settings!$F$18:$F$67,AA$11)&gt;0,"BH",IF('_Engine'!CW16+'_Engine'!CX16=0,"·",IF('_Engine'!CW16='_Engine'!CX16,INDEX(Settings!$G$7:$G$11,MOD('_Engine'!CW16,10))&amp;IF('_Engine'!CW16&gt;10,"?",""),IF('_Engine'!CW16=0,INDEX(Settings!$G$7:$G$11,MOD('_Engine'!CX16,10))&amp;IF('_Engine'!CX16&gt;10,"?","")&amp;" PM",IF('_Engine'!CX16=0,INDEX(Settings!$G$7:$G$11,MOD('_Engine'!CW16,10))&amp;IF('_Engine'!CW16&gt;10,"?","")&amp;" AM",INDEX(Settings!$G$7:$G$11,MOD('_Engine'!CW16,10))&amp;IF('_Engine'!CW16&gt;10,"?","")&amp;" AM"&amp;CHAR(10)&amp;INDEX(Settings!$G$7:$G$11,MOD('_Engine'!CX16,10))&amp;IF('_Engine'!CX16&gt;10,"?","")&amp;" PM"))))))))</ns0:f>
        <ns0:v>—</ns0:v>
      </ns0:c>
      <ns0:c r="AB16" s="164" t="str">
        <ns0:f>IF(OR($A16="",AB$11=""),"",IF(OR('_Engine'!$B$6&gt;0,INDEX('_Engine'!$AM$11:$AM$60,'_Engine'!$AO16)&lt;&gt;"OK"),"!",IF(INDEX(Team!$H$11:$N$60,'_Engine'!$AO16,WEEKDAY(AB$11,2))&lt;&gt;"Work","—",IF(COUNTIF(Settings!$F$18:$F$67,AB$11)&gt;0,"BH",IF('_Engine'!CY16+'_Engine'!CZ16=0,"·",IF('_Engine'!CY16='_Engine'!CZ16,INDEX(Settings!$G$7:$G$11,MOD('_Engine'!CY16,10))&amp;IF('_Engine'!CY16&gt;10,"?",""),IF('_Engine'!CY16=0,INDEX(Settings!$G$7:$G$11,MOD('_Engine'!CZ16,10))&amp;IF('_Engine'!CZ16&gt;10,"?","")&amp;" PM",IF('_Engine'!CZ16=0,INDEX(Settings!$G$7:$G$11,MOD('_Engine'!CY16,10))&amp;IF('_Engine'!CY16&gt;10,"?","")&amp;" AM",INDEX(Settings!$G$7:$G$11,MOD('_Engine'!CY16,10))&amp;IF('_Engine'!CY16&gt;10,"?","")&amp;" AM"&amp;CHAR(10)&amp;INDEX(Settings!$G$7:$G$11,MOD('_Engine'!CZ16,10))&amp;IF('_Engine'!CZ16&gt;10,"?","")&amp;" PM"))))))))</ns0:f>
        <ns0:v>—</ns0:v>
      </ns0:c>
      <ns0:c r="AC16" s="164" t="str">
        <ns0:f>IF(OR($A16="",AC$11=""),"",IF(OR('_Engine'!$B$6&gt;0,INDEX('_Engine'!$AM$11:$AM$60,'_Engine'!$AO16)&lt;&gt;"OK"),"!",IF(INDEX(Team!$H$11:$N$60,'_Engine'!$AO16,WEEKDAY(AC$11,2))&lt;&gt;"Work","—",IF(COUNTIF(Settings!$F$18:$F$67,AC$11)&gt;0,"BH",IF('_Engine'!DA16+'_Engine'!DB16=0,"·",IF('_Engine'!DA16='_Engine'!DB16,INDEX(Settings!$G$7:$G$11,MOD('_Engine'!DA16,10))&amp;IF('_Engine'!DA16&gt;10,"?",""),IF('_Engine'!DA16=0,INDEX(Settings!$G$7:$G$11,MOD('_Engine'!DB16,10))&amp;IF('_Engine'!DB16&gt;10,"?","")&amp;" PM",IF('_Engine'!DB16=0,INDEX(Settings!$G$7:$G$11,MOD('_Engine'!DA16,10))&amp;IF('_Engine'!DA16&gt;10,"?","")&amp;" AM",INDEX(Settings!$G$7:$G$11,MOD('_Engine'!DA16,10))&amp;IF('_Engine'!DA16&gt;10,"?","")&amp;" AM"&amp;CHAR(10)&amp;INDEX(Settings!$G$7:$G$11,MOD('_Engine'!DB16,10))&amp;IF('_Engine'!DB16&gt;10,"?","")&amp;" PM"))))))))</ns0:f>
        <ns0:v>H?</ns0:v>
      </ns0:c>
      <ns0:c r="AD16" s="164" t="str">
        <ns0:f>IF(OR($A16="",AD$11=""),"",IF(OR('_Engine'!$B$6&gt;0,INDEX('_Engine'!$AM$11:$AM$60,'_Engine'!$AO16)&lt;&gt;"OK"),"!",IF(INDEX(Team!$H$11:$N$60,'_Engine'!$AO16,WEEKDAY(AD$11,2))&lt;&gt;"Work","—",IF(COUNTIF(Settings!$F$18:$F$67,AD$11)&gt;0,"BH",IF('_Engine'!DC16+'_Engine'!DD16=0,"·",IF('_Engine'!DC16='_Engine'!DD16,INDEX(Settings!$G$7:$G$11,MOD('_Engine'!DC16,10))&amp;IF('_Engine'!DC16&gt;10,"?",""),IF('_Engine'!DC16=0,INDEX(Settings!$G$7:$G$11,MOD('_Engine'!DD16,10))&amp;IF('_Engine'!DD16&gt;10,"?","")&amp;" PM",IF('_Engine'!DD16=0,INDEX(Settings!$G$7:$G$11,MOD('_Engine'!DC16,10))&amp;IF('_Engine'!DC16&gt;10,"?","")&amp;" AM",INDEX(Settings!$G$7:$G$11,MOD('_Engine'!DC16,10))&amp;IF('_Engine'!DC16&gt;10,"?","")&amp;" AM"&amp;CHAR(10)&amp;INDEX(Settings!$G$7:$G$11,MOD('_Engine'!DD16,10))&amp;IF('_Engine'!DD16&gt;10,"?","")&amp;" PM"))))))))</ns0:f>
        <ns0:v>H?</ns0:v>
      </ns0:c>
      <ns0:c r="AE16" s="164" t="str">
        <ns0:f>IF(OR($A16="",AE$11=""),"",IF(OR('_Engine'!$B$6&gt;0,INDEX('_Engine'!$AM$11:$AM$60,'_Engine'!$AO16)&lt;&gt;"OK"),"!",IF(INDEX(Team!$H$11:$N$60,'_Engine'!$AO16,WEEKDAY(AE$11,2))&lt;&gt;"Work","—",IF(COUNTIF(Settings!$F$18:$F$67,AE$11)&gt;0,"BH",IF('_Engine'!DE16+'_Engine'!DF16=0,"·",IF('_Engine'!DE16='_Engine'!DF16,INDEX(Settings!$G$7:$G$11,MOD('_Engine'!DE16,10))&amp;IF('_Engine'!DE16&gt;10,"?",""),IF('_Engine'!DE16=0,INDEX(Settings!$G$7:$G$11,MOD('_Engine'!DF16,10))&amp;IF('_Engine'!DF16&gt;10,"?","")&amp;" PM",IF('_Engine'!DF16=0,INDEX(Settings!$G$7:$G$11,MOD('_Engine'!DE16,10))&amp;IF('_Engine'!DE16&gt;10,"?","")&amp;" AM",INDEX(Settings!$G$7:$G$11,MOD('_Engine'!DE16,10))&amp;IF('_Engine'!DE16&gt;10,"?","")&amp;" AM"&amp;CHAR(10)&amp;INDEX(Settings!$G$7:$G$11,MOD('_Engine'!DF16,10))&amp;IF('_Engine'!DF16&gt;10,"?","")&amp;" PM"))))))))</ns0:f>
        <ns0:v>H?</ns0:v>
      </ns0:c>
      <ns0:c r="AF16" s="164" t="str">
        <ns0:f>IF(OR($A16="",AF$11=""),"",IF(OR('_Engine'!$B$6&gt;0,INDEX('_Engine'!$AM$11:$AM$60,'_Engine'!$AO16)&lt;&gt;"OK"),"!",IF(INDEX(Team!$H$11:$N$60,'_Engine'!$AO16,WEEKDAY(AF$11,2))&lt;&gt;"Work","—",IF(COUNTIF(Settings!$F$18:$F$67,AF$11)&gt;0,"BH",IF('_Engine'!DG16+'_Engine'!DH16=0,"·",IF('_Engine'!DG16='_Engine'!DH16,INDEX(Settings!$G$7:$G$11,MOD('_Engine'!DG16,10))&amp;IF('_Engine'!DG16&gt;10,"?",""),IF('_Engine'!DG16=0,INDEX(Settings!$G$7:$G$11,MOD('_Engine'!DH16,10))&amp;IF('_Engine'!DH16&gt;10,"?","")&amp;" PM",IF('_Engine'!DH16=0,INDEX(Settings!$G$7:$G$11,MOD('_Engine'!DG16,10))&amp;IF('_Engine'!DG16&gt;10,"?","")&amp;" AM",INDEX(Settings!$G$7:$G$11,MOD('_Engine'!DG16,10))&amp;IF('_Engine'!DG16&gt;10,"?","")&amp;" AM"&amp;CHAR(10)&amp;INDEX(Settings!$G$7:$G$11,MOD('_Engine'!DH16,10))&amp;IF('_Engine'!DH16&gt;10,"?","")&amp;" PM"))))))))</ns0:f>
        <ns0:v>H?</ns0:v>
      </ns0:c>
      <ns0:c r="AG16" s="164" t="str">
        <ns0:f>IF(OR($A16="",AG$11=""),"",IF(OR('_Engine'!$B$6&gt;0,INDEX('_Engine'!$AM$11:$AM$60,'_Engine'!$AO16)&lt;&gt;"OK"),"!",IF(INDEX(Team!$H$11:$N$60,'_Engine'!$AO16,WEEKDAY(AG$11,2))&lt;&gt;"Work","—",IF(COUNTIF(Settings!$F$18:$F$67,AG$11)&gt;0,"BH",IF('_Engine'!DI16+'_Engine'!DJ16=0,"·",IF('_Engine'!DI16='_Engine'!DJ16,INDEX(Settings!$G$7:$G$11,MOD('_Engine'!DI16,10))&amp;IF('_Engine'!DI16&gt;10,"?",""),IF('_Engine'!DI16=0,INDEX(Settings!$G$7:$G$11,MOD('_Engine'!DJ16,10))&amp;IF('_Engine'!DJ16&gt;10,"?","")&amp;" PM",IF('_Engine'!DJ16=0,INDEX(Settings!$G$7:$G$11,MOD('_Engine'!DI16,10))&amp;IF('_Engine'!DI16&gt;10,"?","")&amp;" AM",INDEX(Settings!$G$7:$G$11,MOD('_Engine'!DI16,10))&amp;IF('_Engine'!DI16&gt;10,"?","")&amp;" AM"&amp;CHAR(10)&amp;INDEX(Settings!$G$7:$G$11,MOD('_Engine'!DJ16,10))&amp;IF('_Engine'!DJ16&gt;10,"?","")&amp;" PM"))))))))</ns0:f>
        <ns0:v>H?</ns0:v>
      </ns0:c>
      <ns0:c r="AH16" s="164" t="str">
        <ns0:f>IF(OR($A16="",AH$11=""),"",IF(OR('_Engine'!$B$6&gt;0,INDEX('_Engine'!$AM$11:$AM$60,'_Engine'!$AO16)&lt;&gt;"OK"),"!",IF(INDEX(Team!$H$11:$N$60,'_Engine'!$AO16,WEEKDAY(AH$11,2))&lt;&gt;"Work","—",IF(COUNTIF(Settings!$F$18:$F$67,AH$11)&gt;0,"BH",IF('_Engine'!DK16+'_Engine'!DL16=0,"·",IF('_Engine'!DK16='_Engine'!DL16,INDEX(Settings!$G$7:$G$11,MOD('_Engine'!DK16,10))&amp;IF('_Engine'!DK16&gt;10,"?",""),IF('_Engine'!DK16=0,INDEX(Settings!$G$7:$G$11,MOD('_Engine'!DL16,10))&amp;IF('_Engine'!DL16&gt;10,"?","")&amp;" PM",IF('_Engine'!DL16=0,INDEX(Settings!$G$7:$G$11,MOD('_Engine'!DK16,10))&amp;IF('_Engine'!DK16&gt;10,"?","")&amp;" AM",INDEX(Settings!$G$7:$G$11,MOD('_Engine'!DK16,10))&amp;IF('_Engine'!DK16&gt;10,"?","")&amp;" AM"&amp;CHAR(10)&amp;INDEX(Settings!$G$7:$G$11,MOD('_Engine'!DL16,10))&amp;IF('_Engine'!DL16&gt;10,"?","")&amp;" PM"))))))))</ns0:f>
        <ns0:v>—</ns0:v>
      </ns0:c>
    </ns0:row>
    <ns0:row r="17" ht="38" customHeight="1">
      <ns0:c r="A17" s="4" t="str">
        <ns0:f>IF('_Engine'!AO17=0,"",IF(INDEX(Team!$B$11:$B$60,'_Engine'!AO17)="","[Unnamed]",INDEX(Team!$B$11:$B$60,'_Engine'!AO17)))</ns0:f>
        <ns0:v>Riley Chen</ns0:v>
      </ns0:c>
      <ns0:c r="B17" s="156">
        <ns0:f>IF('_Engine'!AO17=0,"",INDEX('_Engine'!$AN$11:$AN$60,'_Engine'!AO17))</ns0:f>
        <ns0:v>19.5</ns0:v>
      </ns0:c>
      <ns0:c r="C17" s="4" t="str">
        <ns0:f>IF('_Engine'!AO17=0,"",INDEX(Team!$C$11:$C$60,'_Engine'!AO17))</ns0:f>
        <ns0:v>Operations</ns0:v>
      </ns0:c>
      <ns0:c r="D17" s="162" t="str">
        <ns0:f>IF(OR($A17="",D$11=""),"",IF(OR('_Engine'!$B$6&gt;0,INDEX('_Engine'!$AM$11:$AM$60,'_Engine'!$AO17)&lt;&gt;"OK"),"!",IF(INDEX(Team!$H$11:$N$60,'_Engine'!$AO17,WEEKDAY(D$11,2))&lt;&gt;"Work","—",IF(COUNTIF(Settings!$F$18:$F$67,D$11)&gt;0,"BH",IF('_Engine'!BC17+'_Engine'!BD17=0,"·",IF('_Engine'!BC17='_Engine'!BD17,INDEX(Settings!$G$7:$G$11,MOD('_Engine'!BC17,10))&amp;IF('_Engine'!BC17&gt;10,"?",""),IF('_Engine'!BC17=0,INDEX(Settings!$G$7:$G$11,MOD('_Engine'!BD17,10))&amp;IF('_Engine'!BD17&gt;10,"?","")&amp;" PM",IF('_Engine'!BD17=0,INDEX(Settings!$G$7:$G$11,MOD('_Engine'!BC17,10))&amp;IF('_Engine'!BC17&gt;10,"?","")&amp;" AM",INDEX(Settings!$G$7:$G$11,MOD('_Engine'!BC17,10))&amp;IF('_Engine'!BC17&gt;10,"?","")&amp;" AM"&amp;CHAR(10)&amp;INDEX(Settings!$G$7:$G$11,MOD('_Engine'!BD17,10))&amp;IF('_Engine'!BD17&gt;10,"?","")&amp;" PM"))))))))</ns0:f>
        <ns0:v>·</ns0:v>
      </ns0:c>
      <ns0:c r="E17" s="162" t="str">
        <ns0:f>IF(OR($A17="",E$11=""),"",IF(OR('_Engine'!$B$6&gt;0,INDEX('_Engine'!$AM$11:$AM$60,'_Engine'!$AO17)&lt;&gt;"OK"),"!",IF(INDEX(Team!$H$11:$N$60,'_Engine'!$AO17,WEEKDAY(E$11,2))&lt;&gt;"Work","—",IF(COUNTIF(Settings!$F$18:$F$67,E$11)&gt;0,"BH",IF('_Engine'!BE17+'_Engine'!BF17=0,"·",IF('_Engine'!BE17='_Engine'!BF17,INDEX(Settings!$G$7:$G$11,MOD('_Engine'!BE17,10))&amp;IF('_Engine'!BE17&gt;10,"?",""),IF('_Engine'!BE17=0,INDEX(Settings!$G$7:$G$11,MOD('_Engine'!BF17,10))&amp;IF('_Engine'!BF17&gt;10,"?","")&amp;" PM",IF('_Engine'!BF17=0,INDEX(Settings!$G$7:$G$11,MOD('_Engine'!BE17,10))&amp;IF('_Engine'!BE17&gt;10,"?","")&amp;" AM",INDEX(Settings!$G$7:$G$11,MOD('_Engine'!BE17,10))&amp;IF('_Engine'!BE17&gt;10,"?","")&amp;" AM"&amp;CHAR(10)&amp;INDEX(Settings!$G$7:$G$11,MOD('_Engine'!BF17,10))&amp;IF('_Engine'!BF17&gt;10,"?","")&amp;" PM"))))))))</ns0:f>
        <ns0:v>—</ns0:v>
      </ns0:c>
      <ns0:c r="F17" s="162" t="str">
        <ns0:f>IF(OR($A17="",F$11=""),"",IF(OR('_Engine'!$B$6&gt;0,INDEX('_Engine'!$AM$11:$AM$60,'_Engine'!$AO17)&lt;&gt;"OK"),"!",IF(INDEX(Team!$H$11:$N$60,'_Engine'!$AO17,WEEKDAY(F$11,2))&lt;&gt;"Work","—",IF(COUNTIF(Settings!$F$18:$F$67,F$11)&gt;0,"BH",IF('_Engine'!BG17+'_Engine'!BH17=0,"·",IF('_Engine'!BG17='_Engine'!BH17,INDEX(Settings!$G$7:$G$11,MOD('_Engine'!BG17,10))&amp;IF('_Engine'!BG17&gt;10,"?",""),IF('_Engine'!BG17=0,INDEX(Settings!$G$7:$G$11,MOD('_Engine'!BH17,10))&amp;IF('_Engine'!BH17&gt;10,"?","")&amp;" PM",IF('_Engine'!BH17=0,INDEX(Settings!$G$7:$G$11,MOD('_Engine'!BG17,10))&amp;IF('_Engine'!BG17&gt;10,"?","")&amp;" AM",INDEX(Settings!$G$7:$G$11,MOD('_Engine'!BG17,10))&amp;IF('_Engine'!BG17&gt;10,"?","")&amp;" AM"&amp;CHAR(10)&amp;INDEX(Settings!$G$7:$G$11,MOD('_Engine'!BH17,10))&amp;IF('_Engine'!BH17&gt;10,"?","")&amp;" PM"))))))))</ns0:f>
        <ns0:v>—</ns0:v>
      </ns0:c>
      <ns0:c r="G17" s="162" t="str">
        <ns0:f>IF(OR($A17="",G$11=""),"",IF(OR('_Engine'!$B$6&gt;0,INDEX('_Engine'!$AM$11:$AM$60,'_Engine'!$AO17)&lt;&gt;"OK"),"!",IF(INDEX(Team!$H$11:$N$60,'_Engine'!$AO17,WEEKDAY(G$11,2))&lt;&gt;"Work","—",IF(COUNTIF(Settings!$F$18:$F$67,G$11)&gt;0,"BH",IF('_Engine'!BI17+'_Engine'!BJ17=0,"·",IF('_Engine'!BI17='_Engine'!BJ17,INDEX(Settings!$G$7:$G$11,MOD('_Engine'!BI17,10))&amp;IF('_Engine'!BI17&gt;10,"?",""),IF('_Engine'!BI17=0,INDEX(Settings!$G$7:$G$11,MOD('_Engine'!BJ17,10))&amp;IF('_Engine'!BJ17&gt;10,"?","")&amp;" PM",IF('_Engine'!BJ17=0,INDEX(Settings!$G$7:$G$11,MOD('_Engine'!BI17,10))&amp;IF('_Engine'!BI17&gt;10,"?","")&amp;" AM",INDEX(Settings!$G$7:$G$11,MOD('_Engine'!BI17,10))&amp;IF('_Engine'!BI17&gt;10,"?","")&amp;" AM"&amp;CHAR(10)&amp;INDEX(Settings!$G$7:$G$11,MOD('_Engine'!BJ17,10))&amp;IF('_Engine'!BJ17&gt;10,"?","")&amp;" PM"))))))))</ns0:f>
        <ns0:v>—</ns0:v>
      </ns0:c>
      <ns0:c r="H17" s="162" t="str">
        <ns0:f>IF(OR($A17="",H$11=""),"",IF(OR('_Engine'!$B$6&gt;0,INDEX('_Engine'!$AM$11:$AM$60,'_Engine'!$AO17)&lt;&gt;"OK"),"!",IF(INDEX(Team!$H$11:$N$60,'_Engine'!$AO17,WEEKDAY(H$11,2))&lt;&gt;"Work","—",IF(COUNTIF(Settings!$F$18:$F$67,H$11)&gt;0,"BH",IF('_Engine'!BK17+'_Engine'!BL17=0,"·",IF('_Engine'!BK17='_Engine'!BL17,INDEX(Settings!$G$7:$G$11,MOD('_Engine'!BK17,10))&amp;IF('_Engine'!BK17&gt;10,"?",""),IF('_Engine'!BK17=0,INDEX(Settings!$G$7:$G$11,MOD('_Engine'!BL17,10))&amp;IF('_Engine'!BL17&gt;10,"?","")&amp;" PM",IF('_Engine'!BL17=0,INDEX(Settings!$G$7:$G$11,MOD('_Engine'!BK17,10))&amp;IF('_Engine'!BK17&gt;10,"?","")&amp;" AM",INDEX(Settings!$G$7:$G$11,MOD('_Engine'!BK17,10))&amp;IF('_Engine'!BK17&gt;10,"?","")&amp;" AM"&amp;CHAR(10)&amp;INDEX(Settings!$G$7:$G$11,MOD('_Engine'!BL17,10))&amp;IF('_Engine'!BL17&gt;10,"?","")&amp;" PM"))))))))</ns0:f>
        <ns0:v>·</ns0:v>
      </ns0:c>
      <ns0:c r="I17" s="162" t="str">
        <ns0:f>IF(OR($A17="",I$11=""),"",IF(OR('_Engine'!$B$6&gt;0,INDEX('_Engine'!$AM$11:$AM$60,'_Engine'!$AO17)&lt;&gt;"OK"),"!",IF(INDEX(Team!$H$11:$N$60,'_Engine'!$AO17,WEEKDAY(I$11,2))&lt;&gt;"Work","—",IF(COUNTIF(Settings!$F$18:$F$67,I$11)&gt;0,"BH",IF('_Engine'!BM17+'_Engine'!BN17=0,"·",IF('_Engine'!BM17='_Engine'!BN17,INDEX(Settings!$G$7:$G$11,MOD('_Engine'!BM17,10))&amp;IF('_Engine'!BM17&gt;10,"?",""),IF('_Engine'!BM17=0,INDEX(Settings!$G$7:$G$11,MOD('_Engine'!BN17,10))&amp;IF('_Engine'!BN17&gt;10,"?","")&amp;" PM",IF('_Engine'!BN17=0,INDEX(Settings!$G$7:$G$11,MOD('_Engine'!BM17,10))&amp;IF('_Engine'!BM17&gt;10,"?","")&amp;" AM",INDEX(Settings!$G$7:$G$11,MOD('_Engine'!BM17,10))&amp;IF('_Engine'!BM17&gt;10,"?","")&amp;" AM"&amp;CHAR(10)&amp;INDEX(Settings!$G$7:$G$11,MOD('_Engine'!BN17,10))&amp;IF('_Engine'!BN17&gt;10,"?","")&amp;" PM"))))))))</ns0:f>
        <ns0:v>·</ns0:v>
      </ns0:c>
      <ns0:c r="J17" s="162" t="str">
        <ns0:f>IF(OR($A17="",J$11=""),"",IF(OR('_Engine'!$B$6&gt;0,INDEX('_Engine'!$AM$11:$AM$60,'_Engine'!$AO17)&lt;&gt;"OK"),"!",IF(INDEX(Team!$H$11:$N$60,'_Engine'!$AO17,WEEKDAY(J$11,2))&lt;&gt;"Work","—",IF(COUNTIF(Settings!$F$18:$F$67,J$11)&gt;0,"BH",IF('_Engine'!BO17+'_Engine'!BP17=0,"·",IF('_Engine'!BO17='_Engine'!BP17,INDEX(Settings!$G$7:$G$11,MOD('_Engine'!BO17,10))&amp;IF('_Engine'!BO17&gt;10,"?",""),IF('_Engine'!BO17=0,INDEX(Settings!$G$7:$G$11,MOD('_Engine'!BP17,10))&amp;IF('_Engine'!BP17&gt;10,"?","")&amp;" PM",IF('_Engine'!BP17=0,INDEX(Settings!$G$7:$G$11,MOD('_Engine'!BO17,10))&amp;IF('_Engine'!BO17&gt;10,"?","")&amp;" AM",INDEX(Settings!$G$7:$G$11,MOD('_Engine'!BO17,10))&amp;IF('_Engine'!BO17&gt;10,"?","")&amp;" AM"&amp;CHAR(10)&amp;INDEX(Settings!$G$7:$G$11,MOD('_Engine'!BP17,10))&amp;IF('_Engine'!BP17&gt;10,"?","")&amp;" PM"))))))))</ns0:f>
        <ns0:v>·</ns0:v>
      </ns0:c>
      <ns0:c r="K17" s="164" t="str">
        <ns0:f>IF(OR($A17="",K$11=""),"",IF(OR('_Engine'!$B$6&gt;0,INDEX('_Engine'!$AM$11:$AM$60,'_Engine'!$AO17)&lt;&gt;"OK"),"!",IF(INDEX(Team!$H$11:$N$60,'_Engine'!$AO17,WEEKDAY(K$11,2))&lt;&gt;"Work","—",IF(COUNTIF(Settings!$F$18:$F$67,K$11)&gt;0,"BH",IF('_Engine'!BQ17+'_Engine'!BR17=0,"·",IF('_Engine'!BQ17='_Engine'!BR17,INDEX(Settings!$G$7:$G$11,MOD('_Engine'!BQ17,10))&amp;IF('_Engine'!BQ17&gt;10,"?",""),IF('_Engine'!BQ17=0,INDEX(Settings!$G$7:$G$11,MOD('_Engine'!BR17,10))&amp;IF('_Engine'!BR17&gt;10,"?","")&amp;" PM",IF('_Engine'!BR17=0,INDEX(Settings!$G$7:$G$11,MOD('_Engine'!BQ17,10))&amp;IF('_Engine'!BQ17&gt;10,"?","")&amp;" AM",INDEX(Settings!$G$7:$G$11,MOD('_Engine'!BQ17,10))&amp;IF('_Engine'!BQ17&gt;10,"?","")&amp;" AM"&amp;CHAR(10)&amp;INDEX(Settings!$G$7:$G$11,MOD('_Engine'!BR17,10))&amp;IF('_Engine'!BR17&gt;10,"?","")&amp;" PM"))))))))</ns0:f>
        <ns0:v>U</ns0:v>
      </ns0:c>
      <ns0:c r="L17" s="164" t="str">
        <ns0:f>IF(OR($A17="",L$11=""),"",IF(OR('_Engine'!$B$6&gt;0,INDEX('_Engine'!$AM$11:$AM$60,'_Engine'!$AO17)&lt;&gt;"OK"),"!",IF(INDEX(Team!$H$11:$N$60,'_Engine'!$AO17,WEEKDAY(L$11,2))&lt;&gt;"Work","—",IF(COUNTIF(Settings!$F$18:$F$67,L$11)&gt;0,"BH",IF('_Engine'!BS17+'_Engine'!BT17=0,"·",IF('_Engine'!BS17='_Engine'!BT17,INDEX(Settings!$G$7:$G$11,MOD('_Engine'!BS17,10))&amp;IF('_Engine'!BS17&gt;10,"?",""),IF('_Engine'!BS17=0,INDEX(Settings!$G$7:$G$11,MOD('_Engine'!BT17,10))&amp;IF('_Engine'!BT17&gt;10,"?","")&amp;" PM",IF('_Engine'!BT17=0,INDEX(Settings!$G$7:$G$11,MOD('_Engine'!BS17,10))&amp;IF('_Engine'!BS17&gt;10,"?","")&amp;" AM",INDEX(Settings!$G$7:$G$11,MOD('_Engine'!BS17,10))&amp;IF('_Engine'!BS17&gt;10,"?","")&amp;" AM"&amp;CHAR(10)&amp;INDEX(Settings!$G$7:$G$11,MOD('_Engine'!BT17,10))&amp;IF('_Engine'!BT17&gt;10,"?","")&amp;" PM"))))))))</ns0:f>
        <ns0:v>—</ns0:v>
      </ns0:c>
      <ns0:c r="M17" s="164" t="str">
        <ns0:f>IF(OR($A17="",M$11=""),"",IF(OR('_Engine'!$B$6&gt;0,INDEX('_Engine'!$AM$11:$AM$60,'_Engine'!$AO17)&lt;&gt;"OK"),"!",IF(INDEX(Team!$H$11:$N$60,'_Engine'!$AO17,WEEKDAY(M$11,2))&lt;&gt;"Work","—",IF(COUNTIF(Settings!$F$18:$F$67,M$11)&gt;0,"BH",IF('_Engine'!BU17+'_Engine'!BV17=0,"·",IF('_Engine'!BU17='_Engine'!BV17,INDEX(Settings!$G$7:$G$11,MOD('_Engine'!BU17,10))&amp;IF('_Engine'!BU17&gt;10,"?",""),IF('_Engine'!BU17=0,INDEX(Settings!$G$7:$G$11,MOD('_Engine'!BV17,10))&amp;IF('_Engine'!BV17&gt;10,"?","")&amp;" PM",IF('_Engine'!BV17=0,INDEX(Settings!$G$7:$G$11,MOD('_Engine'!BU17,10))&amp;IF('_Engine'!BU17&gt;10,"?","")&amp;" AM",INDEX(Settings!$G$7:$G$11,MOD('_Engine'!BU17,10))&amp;IF('_Engine'!BU17&gt;10,"?","")&amp;" AM"&amp;CHAR(10)&amp;INDEX(Settings!$G$7:$G$11,MOD('_Engine'!BV17,10))&amp;IF('_Engine'!BV17&gt;10,"?","")&amp;" PM"))))))))</ns0:f>
        <ns0:v>—</ns0:v>
      </ns0:c>
      <ns0:c r="N17" s="164" t="str">
        <ns0:f>IF(OR($A17="",N$11=""),"",IF(OR('_Engine'!$B$6&gt;0,INDEX('_Engine'!$AM$11:$AM$60,'_Engine'!$AO17)&lt;&gt;"OK"),"!",IF(INDEX(Team!$H$11:$N$60,'_Engine'!$AO17,WEEKDAY(N$11,2))&lt;&gt;"Work","—",IF(COUNTIF(Settings!$F$18:$F$67,N$11)&gt;0,"BH",IF('_Engine'!BW17+'_Engine'!BX17=0,"·",IF('_Engine'!BW17='_Engine'!BX17,INDEX(Settings!$G$7:$G$11,MOD('_Engine'!BW17,10))&amp;IF('_Engine'!BW17&gt;10,"?",""),IF('_Engine'!BW17=0,INDEX(Settings!$G$7:$G$11,MOD('_Engine'!BX17,10))&amp;IF('_Engine'!BX17&gt;10,"?","")&amp;" PM",IF('_Engine'!BX17=0,INDEX(Settings!$G$7:$G$11,MOD('_Engine'!BW17,10))&amp;IF('_Engine'!BW17&gt;10,"?","")&amp;" AM",INDEX(Settings!$G$7:$G$11,MOD('_Engine'!BW17,10))&amp;IF('_Engine'!BW17&gt;10,"?","")&amp;" AM"&amp;CHAR(10)&amp;INDEX(Settings!$G$7:$G$11,MOD('_Engine'!BX17,10))&amp;IF('_Engine'!BX17&gt;10,"?","")&amp;" PM"))))))))</ns0:f>
        <ns0:v>—</ns0:v>
      </ns0:c>
      <ns0:c r="O17" s="164" t="str">
        <ns0:f>IF(OR($A17="",O$11=""),"",IF(OR('_Engine'!$B$6&gt;0,INDEX('_Engine'!$AM$11:$AM$60,'_Engine'!$AO17)&lt;&gt;"OK"),"!",IF(INDEX(Team!$H$11:$N$60,'_Engine'!$AO17,WEEKDAY(O$11,2))&lt;&gt;"Work","—",IF(COUNTIF(Settings!$F$18:$F$67,O$11)&gt;0,"BH",IF('_Engine'!BY17+'_Engine'!BZ17=0,"·",IF('_Engine'!BY17='_Engine'!BZ17,INDEX(Settings!$G$7:$G$11,MOD('_Engine'!BY17,10))&amp;IF('_Engine'!BY17&gt;10,"?",""),IF('_Engine'!BY17=0,INDEX(Settings!$G$7:$G$11,MOD('_Engine'!BZ17,10))&amp;IF('_Engine'!BZ17&gt;10,"?","")&amp;" PM",IF('_Engine'!BZ17=0,INDEX(Settings!$G$7:$G$11,MOD('_Engine'!BY17,10))&amp;IF('_Engine'!BY17&gt;10,"?","")&amp;" AM",INDEX(Settings!$G$7:$G$11,MOD('_Engine'!BY17,10))&amp;IF('_Engine'!BY17&gt;10,"?","")&amp;" AM"&amp;CHAR(10)&amp;INDEX(Settings!$G$7:$G$11,MOD('_Engine'!BZ17,10))&amp;IF('_Engine'!BZ17&gt;10,"?","")&amp;" PM"))))))))</ns0:f>
        <ns0:v>·</ns0:v>
      </ns0:c>
      <ns0:c r="P17" s="164" t="str">
        <ns0:f>IF(OR($A17="",P$11=""),"",IF(OR('_Engine'!$B$6&gt;0,INDEX('_Engine'!$AM$11:$AM$60,'_Engine'!$AO17)&lt;&gt;"OK"),"!",IF(INDEX(Team!$H$11:$N$60,'_Engine'!$AO17,WEEKDAY(P$11,2))&lt;&gt;"Work","—",IF(COUNTIF(Settings!$F$18:$F$67,P$11)&gt;0,"BH",IF('_Engine'!CA17+'_Engine'!CB17=0,"·",IF('_Engine'!CA17='_Engine'!CB17,INDEX(Settings!$G$7:$G$11,MOD('_Engine'!CA17,10))&amp;IF('_Engine'!CA17&gt;10,"?",""),IF('_Engine'!CA17=0,INDEX(Settings!$G$7:$G$11,MOD('_Engine'!CB17,10))&amp;IF('_Engine'!CB17&gt;10,"?","")&amp;" PM",IF('_Engine'!CB17=0,INDEX(Settings!$G$7:$G$11,MOD('_Engine'!CA17,10))&amp;IF('_Engine'!CA17&gt;10,"?","")&amp;" AM",INDEX(Settings!$G$7:$G$11,MOD('_Engine'!CA17,10))&amp;IF('_Engine'!CA17&gt;10,"?","")&amp;" AM"&amp;CHAR(10)&amp;INDEX(Settings!$G$7:$G$11,MOD('_Engine'!CB17,10))&amp;IF('_Engine'!CB17&gt;10,"?","")&amp;" PM"))))))))</ns0:f>
        <ns0:v>·</ns0:v>
      </ns0:c>
      <ns0:c r="Q17" s="164" t="str">
        <ns0:f>IF(OR($A17="",Q$11=""),"",IF(OR('_Engine'!$B$6&gt;0,INDEX('_Engine'!$AM$11:$AM$60,'_Engine'!$AO17)&lt;&gt;"OK"),"!",IF(INDEX(Team!$H$11:$N$60,'_Engine'!$AO17,WEEKDAY(Q$11,2))&lt;&gt;"Work","—",IF(COUNTIF(Settings!$F$18:$F$67,Q$11)&gt;0,"BH",IF('_Engine'!CC17+'_Engine'!CD17=0,"·",IF('_Engine'!CC17='_Engine'!CD17,INDEX(Settings!$G$7:$G$11,MOD('_Engine'!CC17,10))&amp;IF('_Engine'!CC17&gt;10,"?",""),IF('_Engine'!CC17=0,INDEX(Settings!$G$7:$G$11,MOD('_Engine'!CD17,10))&amp;IF('_Engine'!CD17&gt;10,"?","")&amp;" PM",IF('_Engine'!CD17=0,INDEX(Settings!$G$7:$G$11,MOD('_Engine'!CC17,10))&amp;IF('_Engine'!CC17&gt;10,"?","")&amp;" AM",INDEX(Settings!$G$7:$G$11,MOD('_Engine'!CC17,10))&amp;IF('_Engine'!CC17&gt;10,"?","")&amp;" AM"&amp;CHAR(10)&amp;INDEX(Settings!$G$7:$G$11,MOD('_Engine'!CD17,10))&amp;IF('_Engine'!CD17&gt;10,"?","")&amp;" PM"))))))))</ns0:f>
        <ns0:v>T</ns0:v>
      </ns0:c>
      <ns0:c r="R17" s="164" t="str">
        <ns0:f>IF(OR($A17="",R$11=""),"",IF(OR('_Engine'!$B$6&gt;0,INDEX('_Engine'!$AM$11:$AM$60,'_Engine'!$AO17)&lt;&gt;"OK"),"!",IF(INDEX(Team!$H$11:$N$60,'_Engine'!$AO17,WEEKDAY(R$11,2))&lt;&gt;"Work","—",IF(COUNTIF(Settings!$F$18:$F$67,R$11)&gt;0,"BH",IF('_Engine'!CE17+'_Engine'!CF17=0,"·",IF('_Engine'!CE17='_Engine'!CF17,INDEX(Settings!$G$7:$G$11,MOD('_Engine'!CE17,10))&amp;IF('_Engine'!CE17&gt;10,"?",""),IF('_Engine'!CE17=0,INDEX(Settings!$G$7:$G$11,MOD('_Engine'!CF17,10))&amp;IF('_Engine'!CF17&gt;10,"?","")&amp;" PM",IF('_Engine'!CF17=0,INDEX(Settings!$G$7:$G$11,MOD('_Engine'!CE17,10))&amp;IF('_Engine'!CE17&gt;10,"?","")&amp;" AM",INDEX(Settings!$G$7:$G$11,MOD('_Engine'!CE17,10))&amp;IF('_Engine'!CE17&gt;10,"?","")&amp;" AM"&amp;CHAR(10)&amp;INDEX(Settings!$G$7:$G$11,MOD('_Engine'!CF17,10))&amp;IF('_Engine'!CF17&gt;10,"?","")&amp;" PM"))))))))</ns0:f>
        <ns0:v>·</ns0:v>
      </ns0:c>
      <ns0:c r="S17" s="164" t="str">
        <ns0:f>IF(OR($A17="",S$11=""),"",IF(OR('_Engine'!$B$6&gt;0,INDEX('_Engine'!$AM$11:$AM$60,'_Engine'!$AO17)&lt;&gt;"OK"),"!",IF(INDEX(Team!$H$11:$N$60,'_Engine'!$AO17,WEEKDAY(S$11,2))&lt;&gt;"Work","—",IF(COUNTIF(Settings!$F$18:$F$67,S$11)&gt;0,"BH",IF('_Engine'!CG17+'_Engine'!CH17=0,"·",IF('_Engine'!CG17='_Engine'!CH17,INDEX(Settings!$G$7:$G$11,MOD('_Engine'!CG17,10))&amp;IF('_Engine'!CG17&gt;10,"?",""),IF('_Engine'!CG17=0,INDEX(Settings!$G$7:$G$11,MOD('_Engine'!CH17,10))&amp;IF('_Engine'!CH17&gt;10,"?","")&amp;" PM",IF('_Engine'!CH17=0,INDEX(Settings!$G$7:$G$11,MOD('_Engine'!CG17,10))&amp;IF('_Engine'!CG17&gt;10,"?","")&amp;" AM",INDEX(Settings!$G$7:$G$11,MOD('_Engine'!CG17,10))&amp;IF('_Engine'!CG17&gt;10,"?","")&amp;" AM"&amp;CHAR(10)&amp;INDEX(Settings!$G$7:$G$11,MOD('_Engine'!CH17,10))&amp;IF('_Engine'!CH17&gt;10,"?","")&amp;" PM"))))))))</ns0:f>
        <ns0:v>—</ns0:v>
      </ns0:c>
      <ns0:c r="T17" s="164" t="str">
        <ns0:f>IF(OR($A17="",T$11=""),"",IF(OR('_Engine'!$B$6&gt;0,INDEX('_Engine'!$AM$11:$AM$60,'_Engine'!$AO17)&lt;&gt;"OK"),"!",IF(INDEX(Team!$H$11:$N$60,'_Engine'!$AO17,WEEKDAY(T$11,2))&lt;&gt;"Work","—",IF(COUNTIF(Settings!$F$18:$F$67,T$11)&gt;0,"BH",IF('_Engine'!CI17+'_Engine'!CJ17=0,"·",IF('_Engine'!CI17='_Engine'!CJ17,INDEX(Settings!$G$7:$G$11,MOD('_Engine'!CI17,10))&amp;IF('_Engine'!CI17&gt;10,"?",""),IF('_Engine'!CI17=0,INDEX(Settings!$G$7:$G$11,MOD('_Engine'!CJ17,10))&amp;IF('_Engine'!CJ17&gt;10,"?","")&amp;" PM",IF('_Engine'!CJ17=0,INDEX(Settings!$G$7:$G$11,MOD('_Engine'!CI17,10))&amp;IF('_Engine'!CI17&gt;10,"?","")&amp;" AM",INDEX(Settings!$G$7:$G$11,MOD('_Engine'!CI17,10))&amp;IF('_Engine'!CI17&gt;10,"?","")&amp;" AM"&amp;CHAR(10)&amp;INDEX(Settings!$G$7:$G$11,MOD('_Engine'!CJ17,10))&amp;IF('_Engine'!CJ17&gt;10,"?","")&amp;" PM"))))))))</ns0:f>
        <ns0:v>—</ns0:v>
      </ns0:c>
      <ns0:c r="U17" s="164" t="str">
        <ns0:f>IF(OR($A17="",U$11=""),"",IF(OR('_Engine'!$B$6&gt;0,INDEX('_Engine'!$AM$11:$AM$60,'_Engine'!$AO17)&lt;&gt;"OK"),"!",IF(INDEX(Team!$H$11:$N$60,'_Engine'!$AO17,WEEKDAY(U$11,2))&lt;&gt;"Work","—",IF(COUNTIF(Settings!$F$18:$F$67,U$11)&gt;0,"BH",IF('_Engine'!CK17+'_Engine'!CL17=0,"·",IF('_Engine'!CK17='_Engine'!CL17,INDEX(Settings!$G$7:$G$11,MOD('_Engine'!CK17,10))&amp;IF('_Engine'!CK17&gt;10,"?",""),IF('_Engine'!CK17=0,INDEX(Settings!$G$7:$G$11,MOD('_Engine'!CL17,10))&amp;IF('_Engine'!CL17&gt;10,"?","")&amp;" PM",IF('_Engine'!CL17=0,INDEX(Settings!$G$7:$G$11,MOD('_Engine'!CK17,10))&amp;IF('_Engine'!CK17&gt;10,"?","")&amp;" AM",INDEX(Settings!$G$7:$G$11,MOD('_Engine'!CK17,10))&amp;IF('_Engine'!CK17&gt;10,"?","")&amp;" AM"&amp;CHAR(10)&amp;INDEX(Settings!$G$7:$G$11,MOD('_Engine'!CL17,10))&amp;IF('_Engine'!CL17&gt;10,"?","")&amp;" PM"))))))))</ns0:f>
        <ns0:v>—</ns0:v>
      </ns0:c>
      <ns0:c r="V17" s="164" t="str">
        <ns0:f>IF(OR($A17="",V$11=""),"",IF(OR('_Engine'!$B$6&gt;0,INDEX('_Engine'!$AM$11:$AM$60,'_Engine'!$AO17)&lt;&gt;"OK"),"!",IF(INDEX(Team!$H$11:$N$60,'_Engine'!$AO17,WEEKDAY(V$11,2))&lt;&gt;"Work","—",IF(COUNTIF(Settings!$F$18:$F$67,V$11)&gt;0,"BH",IF('_Engine'!CM17+'_Engine'!CN17=0,"·",IF('_Engine'!CM17='_Engine'!CN17,INDEX(Settings!$G$7:$G$11,MOD('_Engine'!CM17,10))&amp;IF('_Engine'!CM17&gt;10,"?",""),IF('_Engine'!CM17=0,INDEX(Settings!$G$7:$G$11,MOD('_Engine'!CN17,10))&amp;IF('_Engine'!CN17&gt;10,"?","")&amp;" PM",IF('_Engine'!CN17=0,INDEX(Settings!$G$7:$G$11,MOD('_Engine'!CM17,10))&amp;IF('_Engine'!CM17&gt;10,"?","")&amp;" AM",INDEX(Settings!$G$7:$G$11,MOD('_Engine'!CM17,10))&amp;IF('_Engine'!CM17&gt;10,"?","")&amp;" AM"&amp;CHAR(10)&amp;INDEX(Settings!$G$7:$G$11,MOD('_Engine'!CN17,10))&amp;IF('_Engine'!CN17&gt;10,"?","")&amp;" PM"))))))))</ns0:f>
        <ns0:v>·</ns0:v>
      </ns0:c>
      <ns0:c r="W17" s="164" t="str">
        <ns0:f>IF(OR($A17="",W$11=""),"",IF(OR('_Engine'!$B$6&gt;0,INDEX('_Engine'!$AM$11:$AM$60,'_Engine'!$AO17)&lt;&gt;"OK"),"!",IF(INDEX(Team!$H$11:$N$60,'_Engine'!$AO17,WEEKDAY(W$11,2))&lt;&gt;"Work","—",IF(COUNTIF(Settings!$F$18:$F$67,W$11)&gt;0,"BH",IF('_Engine'!CO17+'_Engine'!CP17=0,"·",IF('_Engine'!CO17='_Engine'!CP17,INDEX(Settings!$G$7:$G$11,MOD('_Engine'!CO17,10))&amp;IF('_Engine'!CO17&gt;10,"?",""),IF('_Engine'!CO17=0,INDEX(Settings!$G$7:$G$11,MOD('_Engine'!CP17,10))&amp;IF('_Engine'!CP17&gt;10,"?","")&amp;" PM",IF('_Engine'!CP17=0,INDEX(Settings!$G$7:$G$11,MOD('_Engine'!CO17,10))&amp;IF('_Engine'!CO17&gt;10,"?","")&amp;" AM",INDEX(Settings!$G$7:$G$11,MOD('_Engine'!CO17,10))&amp;IF('_Engine'!CO17&gt;10,"?","")&amp;" AM"&amp;CHAR(10)&amp;INDEX(Settings!$G$7:$G$11,MOD('_Engine'!CP17,10))&amp;IF('_Engine'!CP17&gt;10,"?","")&amp;" PM"))))))))</ns0:f>
        <ns0:v>O</ns0:v>
      </ns0:c>
      <ns0:c r="X17" s="164" t="str">
        <ns0:f>IF(OR($A17="",X$11=""),"",IF(OR('_Engine'!$B$6&gt;0,INDEX('_Engine'!$AM$11:$AM$60,'_Engine'!$AO17)&lt;&gt;"OK"),"!",IF(INDEX(Team!$H$11:$N$60,'_Engine'!$AO17,WEEKDAY(X$11,2))&lt;&gt;"Work","—",IF(COUNTIF(Settings!$F$18:$F$67,X$11)&gt;0,"BH",IF('_Engine'!CQ17+'_Engine'!CR17=0,"·",IF('_Engine'!CQ17='_Engine'!CR17,INDEX(Settings!$G$7:$G$11,MOD('_Engine'!CQ17,10))&amp;IF('_Engine'!CQ17&gt;10,"?",""),IF('_Engine'!CQ17=0,INDEX(Settings!$G$7:$G$11,MOD('_Engine'!CR17,10))&amp;IF('_Engine'!CR17&gt;10,"?","")&amp;" PM",IF('_Engine'!CR17=0,INDEX(Settings!$G$7:$G$11,MOD('_Engine'!CQ17,10))&amp;IF('_Engine'!CQ17&gt;10,"?","")&amp;" AM",INDEX(Settings!$G$7:$G$11,MOD('_Engine'!CQ17,10))&amp;IF('_Engine'!CQ17&gt;10,"?","")&amp;" AM"&amp;CHAR(10)&amp;INDEX(Settings!$G$7:$G$11,MOD('_Engine'!CR17,10))&amp;IF('_Engine'!CR17&gt;10,"?","")&amp;" PM"))))))))</ns0:f>
        <ns0:v>·</ns0:v>
      </ns0:c>
      <ns0:c r="Y17" s="164" t="str">
        <ns0:f>IF(OR($A17="",Y$11=""),"",IF(OR('_Engine'!$B$6&gt;0,INDEX('_Engine'!$AM$11:$AM$60,'_Engine'!$AO17)&lt;&gt;"OK"),"!",IF(INDEX(Team!$H$11:$N$60,'_Engine'!$AO17,WEEKDAY(Y$11,2))&lt;&gt;"Work","—",IF(COUNTIF(Settings!$F$18:$F$67,Y$11)&gt;0,"BH",IF('_Engine'!CS17+'_Engine'!CT17=0,"·",IF('_Engine'!CS17='_Engine'!CT17,INDEX(Settings!$G$7:$G$11,MOD('_Engine'!CS17,10))&amp;IF('_Engine'!CS17&gt;10,"?",""),IF('_Engine'!CS17=0,INDEX(Settings!$G$7:$G$11,MOD('_Engine'!CT17,10))&amp;IF('_Engine'!CT17&gt;10,"?","")&amp;" PM",IF('_Engine'!CT17=0,INDEX(Settings!$G$7:$G$11,MOD('_Engine'!CS17,10))&amp;IF('_Engine'!CS17&gt;10,"?","")&amp;" AM",INDEX(Settings!$G$7:$G$11,MOD('_Engine'!CS17,10))&amp;IF('_Engine'!CS17&gt;10,"?","")&amp;" AM"&amp;CHAR(10)&amp;INDEX(Settings!$G$7:$G$11,MOD('_Engine'!CT17,10))&amp;IF('_Engine'!CT17&gt;10,"?","")&amp;" PM"))))))))</ns0:f>
        <ns0:v>·</ns0:v>
      </ns0:c>
      <ns0:c r="Z17" s="164" t="str">
        <ns0:f>IF(OR($A17="",Z$11=""),"",IF(OR('_Engine'!$B$6&gt;0,INDEX('_Engine'!$AM$11:$AM$60,'_Engine'!$AO17)&lt;&gt;"OK"),"!",IF(INDEX(Team!$H$11:$N$60,'_Engine'!$AO17,WEEKDAY(Z$11,2))&lt;&gt;"Work","—",IF(COUNTIF(Settings!$F$18:$F$67,Z$11)&gt;0,"BH",IF('_Engine'!CU17+'_Engine'!CV17=0,"·",IF('_Engine'!CU17='_Engine'!CV17,INDEX(Settings!$G$7:$G$11,MOD('_Engine'!CU17,10))&amp;IF('_Engine'!CU17&gt;10,"?",""),IF('_Engine'!CU17=0,INDEX(Settings!$G$7:$G$11,MOD('_Engine'!CV17,10))&amp;IF('_Engine'!CV17&gt;10,"?","")&amp;" PM",IF('_Engine'!CV17=0,INDEX(Settings!$G$7:$G$11,MOD('_Engine'!CU17,10))&amp;IF('_Engine'!CU17&gt;10,"?","")&amp;" AM",INDEX(Settings!$G$7:$G$11,MOD('_Engine'!CU17,10))&amp;IF('_Engine'!CU17&gt;10,"?","")&amp;" AM"&amp;CHAR(10)&amp;INDEX(Settings!$G$7:$G$11,MOD('_Engine'!CV17,10))&amp;IF('_Engine'!CV17&gt;10,"?","")&amp;" PM"))))))))</ns0:f>
        <ns0:v>—</ns0:v>
      </ns0:c>
      <ns0:c r="AA17" s="164" t="str">
        <ns0:f>IF(OR($A17="",AA$11=""),"",IF(OR('_Engine'!$B$6&gt;0,INDEX('_Engine'!$AM$11:$AM$60,'_Engine'!$AO17)&lt;&gt;"OK"),"!",IF(INDEX(Team!$H$11:$N$60,'_Engine'!$AO17,WEEKDAY(AA$11,2))&lt;&gt;"Work","—",IF(COUNTIF(Settings!$F$18:$F$67,AA$11)&gt;0,"BH",IF('_Engine'!CW17+'_Engine'!CX17=0,"·",IF('_Engine'!CW17='_Engine'!CX17,INDEX(Settings!$G$7:$G$11,MOD('_Engine'!CW17,10))&amp;IF('_Engine'!CW17&gt;10,"?",""),IF('_Engine'!CW17=0,INDEX(Settings!$G$7:$G$11,MOD('_Engine'!CX17,10))&amp;IF('_Engine'!CX17&gt;10,"?","")&amp;" PM",IF('_Engine'!CX17=0,INDEX(Settings!$G$7:$G$11,MOD('_Engine'!CW17,10))&amp;IF('_Engine'!CW17&gt;10,"?","")&amp;" AM",INDEX(Settings!$G$7:$G$11,MOD('_Engine'!CW17,10))&amp;IF('_Engine'!CW17&gt;10,"?","")&amp;" AM"&amp;CHAR(10)&amp;INDEX(Settings!$G$7:$G$11,MOD('_Engine'!CX17,10))&amp;IF('_Engine'!CX17&gt;10,"?","")&amp;" PM"))))))))</ns0:f>
        <ns0:v>—</ns0:v>
      </ns0:c>
      <ns0:c r="AB17" s="164" t="str">
        <ns0:f>IF(OR($A17="",AB$11=""),"",IF(OR('_Engine'!$B$6&gt;0,INDEX('_Engine'!$AM$11:$AM$60,'_Engine'!$AO17)&lt;&gt;"OK"),"!",IF(INDEX(Team!$H$11:$N$60,'_Engine'!$AO17,WEEKDAY(AB$11,2))&lt;&gt;"Work","—",IF(COUNTIF(Settings!$F$18:$F$67,AB$11)&gt;0,"BH",IF('_Engine'!CY17+'_Engine'!CZ17=0,"·",IF('_Engine'!CY17='_Engine'!CZ17,INDEX(Settings!$G$7:$G$11,MOD('_Engine'!CY17,10))&amp;IF('_Engine'!CY17&gt;10,"?",""),IF('_Engine'!CY17=0,INDEX(Settings!$G$7:$G$11,MOD('_Engine'!CZ17,10))&amp;IF('_Engine'!CZ17&gt;10,"?","")&amp;" PM",IF('_Engine'!CZ17=0,INDEX(Settings!$G$7:$G$11,MOD('_Engine'!CY17,10))&amp;IF('_Engine'!CY17&gt;10,"?","")&amp;" AM",INDEX(Settings!$G$7:$G$11,MOD('_Engine'!CY17,10))&amp;IF('_Engine'!CY17&gt;10,"?","")&amp;" AM"&amp;CHAR(10)&amp;INDEX(Settings!$G$7:$G$11,MOD('_Engine'!CZ17,10))&amp;IF('_Engine'!CZ17&gt;10,"?","")&amp;" PM"))))))))</ns0:f>
        <ns0:v>—</ns0:v>
      </ns0:c>
      <ns0:c r="AC17" s="164" t="str">
        <ns0:f>IF(OR($A17="",AC$11=""),"",IF(OR('_Engine'!$B$6&gt;0,INDEX('_Engine'!$AM$11:$AM$60,'_Engine'!$AO17)&lt;&gt;"OK"),"!",IF(INDEX(Team!$H$11:$N$60,'_Engine'!$AO17,WEEKDAY(AC$11,2))&lt;&gt;"Work","—",IF(COUNTIF(Settings!$F$18:$F$67,AC$11)&gt;0,"BH",IF('_Engine'!DA17+'_Engine'!DB17=0,"·",IF('_Engine'!DA17='_Engine'!DB17,INDEX(Settings!$G$7:$G$11,MOD('_Engine'!DA17,10))&amp;IF('_Engine'!DA17&gt;10,"?",""),IF('_Engine'!DA17=0,INDEX(Settings!$G$7:$G$11,MOD('_Engine'!DB17,10))&amp;IF('_Engine'!DB17&gt;10,"?","")&amp;" PM",IF('_Engine'!DB17=0,INDEX(Settings!$G$7:$G$11,MOD('_Engine'!DA17,10))&amp;IF('_Engine'!DA17&gt;10,"?","")&amp;" AM",INDEX(Settings!$G$7:$G$11,MOD('_Engine'!DA17,10))&amp;IF('_Engine'!DA17&gt;10,"?","")&amp;" AM"&amp;CHAR(10)&amp;INDEX(Settings!$G$7:$G$11,MOD('_Engine'!DB17,10))&amp;IF('_Engine'!DB17&gt;10,"?","")&amp;" PM"))))))))</ns0:f>
        <ns0:v>·</ns0:v>
      </ns0:c>
      <ns0:c r="AD17" s="164" t="str">
        <ns0:f>IF(OR($A17="",AD$11=""),"",IF(OR('_Engine'!$B$6&gt;0,INDEX('_Engine'!$AM$11:$AM$60,'_Engine'!$AO17)&lt;&gt;"OK"),"!",IF(INDEX(Team!$H$11:$N$60,'_Engine'!$AO17,WEEKDAY(AD$11,2))&lt;&gt;"Work","—",IF(COUNTIF(Settings!$F$18:$F$67,AD$11)&gt;0,"BH",IF('_Engine'!DC17+'_Engine'!DD17=0,"·",IF('_Engine'!DC17='_Engine'!DD17,INDEX(Settings!$G$7:$G$11,MOD('_Engine'!DC17,10))&amp;IF('_Engine'!DC17&gt;10,"?",""),IF('_Engine'!DC17=0,INDEX(Settings!$G$7:$G$11,MOD('_Engine'!DD17,10))&amp;IF('_Engine'!DD17&gt;10,"?","")&amp;" PM",IF('_Engine'!DD17=0,INDEX(Settings!$G$7:$G$11,MOD('_Engine'!DC17,10))&amp;IF('_Engine'!DC17&gt;10,"?","")&amp;" AM",INDEX(Settings!$G$7:$G$11,MOD('_Engine'!DC17,10))&amp;IF('_Engine'!DC17&gt;10,"?","")&amp;" AM"&amp;CHAR(10)&amp;INDEX(Settings!$G$7:$G$11,MOD('_Engine'!DD17,10))&amp;IF('_Engine'!DD17&gt;10,"?","")&amp;" PM"))))))))</ns0:f>
        <ns0:v>·</ns0:v>
      </ns0:c>
      <ns0:c r="AE17" s="164" t="str">
        <ns0:f>IF(OR($A17="",AE$11=""),"",IF(OR('_Engine'!$B$6&gt;0,INDEX('_Engine'!$AM$11:$AM$60,'_Engine'!$AO17)&lt;&gt;"OK"),"!",IF(INDEX(Team!$H$11:$N$60,'_Engine'!$AO17,WEEKDAY(AE$11,2))&lt;&gt;"Work","—",IF(COUNTIF(Settings!$F$18:$F$67,AE$11)&gt;0,"BH",IF('_Engine'!DE17+'_Engine'!DF17=0,"·",IF('_Engine'!DE17='_Engine'!DF17,INDEX(Settings!$G$7:$G$11,MOD('_Engine'!DE17,10))&amp;IF('_Engine'!DE17&gt;10,"?",""),IF('_Engine'!DE17=0,INDEX(Settings!$G$7:$G$11,MOD('_Engine'!DF17,10))&amp;IF('_Engine'!DF17&gt;10,"?","")&amp;" PM",IF('_Engine'!DF17=0,INDEX(Settings!$G$7:$G$11,MOD('_Engine'!DE17,10))&amp;IF('_Engine'!DE17&gt;10,"?","")&amp;" AM",INDEX(Settings!$G$7:$G$11,MOD('_Engine'!DE17,10))&amp;IF('_Engine'!DE17&gt;10,"?","")&amp;" AM"&amp;CHAR(10)&amp;INDEX(Settings!$G$7:$G$11,MOD('_Engine'!DF17,10))&amp;IF('_Engine'!DF17&gt;10,"?","")&amp;" PM"))))))))</ns0:f>
        <ns0:v>·</ns0:v>
      </ns0:c>
      <ns0:c r="AF17" s="164" t="str">
        <ns0:f>IF(OR($A17="",AF$11=""),"",IF(OR('_Engine'!$B$6&gt;0,INDEX('_Engine'!$AM$11:$AM$60,'_Engine'!$AO17)&lt;&gt;"OK"),"!",IF(INDEX(Team!$H$11:$N$60,'_Engine'!$AO17,WEEKDAY(AF$11,2))&lt;&gt;"Work","—",IF(COUNTIF(Settings!$F$18:$F$67,AF$11)&gt;0,"BH",IF('_Engine'!DG17+'_Engine'!DH17=0,"·",IF('_Engine'!DG17='_Engine'!DH17,INDEX(Settings!$G$7:$G$11,MOD('_Engine'!DG17,10))&amp;IF('_Engine'!DG17&gt;10,"?",""),IF('_Engine'!DG17=0,INDEX(Settings!$G$7:$G$11,MOD('_Engine'!DH17,10))&amp;IF('_Engine'!DH17&gt;10,"?","")&amp;" PM",IF('_Engine'!DH17=0,INDEX(Settings!$G$7:$G$11,MOD('_Engine'!DG17,10))&amp;IF('_Engine'!DG17&gt;10,"?","")&amp;" AM",INDEX(Settings!$G$7:$G$11,MOD('_Engine'!DG17,10))&amp;IF('_Engine'!DG17&gt;10,"?","")&amp;" AM"&amp;CHAR(10)&amp;INDEX(Settings!$G$7:$G$11,MOD('_Engine'!DH17,10))&amp;IF('_Engine'!DH17&gt;10,"?","")&amp;" PM"))))))))</ns0:f>
        <ns0:v>H AM
H? PM</ns0:v>
      </ns0:c>
      <ns0:c r="AG17" s="164" t="str">
        <ns0:f>IF(OR($A17="",AG$11=""),"",IF(OR('_Engine'!$B$6&gt;0,INDEX('_Engine'!$AM$11:$AM$60,'_Engine'!$AO17)&lt;&gt;"OK"),"!",IF(INDEX(Team!$H$11:$N$60,'_Engine'!$AO17,WEEKDAY(AG$11,2))&lt;&gt;"Work","—",IF(COUNTIF(Settings!$F$18:$F$67,AG$11)&gt;0,"BH",IF('_Engine'!DI17+'_Engine'!DJ17=0,"·",IF('_Engine'!DI17='_Engine'!DJ17,INDEX(Settings!$G$7:$G$11,MOD('_Engine'!DI17,10))&amp;IF('_Engine'!DI17&gt;10,"?",""),IF('_Engine'!DI17=0,INDEX(Settings!$G$7:$G$11,MOD('_Engine'!DJ17,10))&amp;IF('_Engine'!DJ17&gt;10,"?","")&amp;" PM",IF('_Engine'!DJ17=0,INDEX(Settings!$G$7:$G$11,MOD('_Engine'!DI17,10))&amp;IF('_Engine'!DI17&gt;10,"?","")&amp;" AM",INDEX(Settings!$G$7:$G$11,MOD('_Engine'!DI17,10))&amp;IF('_Engine'!DI17&gt;10,"?","")&amp;" AM"&amp;CHAR(10)&amp;INDEX(Settings!$G$7:$G$11,MOD('_Engine'!DJ17,10))&amp;IF('_Engine'!DJ17&gt;10,"?","")&amp;" PM"))))))))</ns0:f>
        <ns0:v>—</ns0:v>
      </ns0:c>
      <ns0:c r="AH17" s="164" t="str">
        <ns0:f>IF(OR($A17="",AH$11=""),"",IF(OR('_Engine'!$B$6&gt;0,INDEX('_Engine'!$AM$11:$AM$60,'_Engine'!$AO17)&lt;&gt;"OK"),"!",IF(INDEX(Team!$H$11:$N$60,'_Engine'!$AO17,WEEKDAY(AH$11,2))&lt;&gt;"Work","—",IF(COUNTIF(Settings!$F$18:$F$67,AH$11)&gt;0,"BH",IF('_Engine'!DK17+'_Engine'!DL17=0,"·",IF('_Engine'!DK17='_Engine'!DL17,INDEX(Settings!$G$7:$G$11,MOD('_Engine'!DK17,10))&amp;IF('_Engine'!DK17&gt;10,"?",""),IF('_Engine'!DK17=0,INDEX(Settings!$G$7:$G$11,MOD('_Engine'!DL17,10))&amp;IF('_Engine'!DL17&gt;10,"?","")&amp;" PM",IF('_Engine'!DL17=0,INDEX(Settings!$G$7:$G$11,MOD('_Engine'!DK17,10))&amp;IF('_Engine'!DK17&gt;10,"?","")&amp;" AM",INDEX(Settings!$G$7:$G$11,MOD('_Engine'!DK17,10))&amp;IF('_Engine'!DK17&gt;10,"?","")&amp;" AM"&amp;CHAR(10)&amp;INDEX(Settings!$G$7:$G$11,MOD('_Engine'!DL17,10))&amp;IF('_Engine'!DL17&gt;10,"?","")&amp;" PM"))))))))</ns0:f>
        <ns0:v>—</ns0:v>
      </ns0:c>
    </ns0:row>
    <ns0:row r="18" ht="38" customHeight="1">
      <ns0:c r="A18" s="4" t="str">
        <ns0:f>IF('_Engine'!AO18=0,"",IF(INDEX(Team!$B$11:$B$60,'_Engine'!AO18)="","[Unnamed]",INDEX(Team!$B$11:$B$60,'_Engine'!AO18)))</ns0:f>
        <ns0:v/>
      </ns0:c>
      <ns0:c r="B18" s="156" t="str">
        <ns0:f>IF('_Engine'!AO18=0,"",INDEX('_Engine'!$AN$11:$AN$60,'_Engine'!AO18))</ns0:f>
        <ns0:v/>
      </ns0:c>
      <ns0:c r="C18" s="4" t="str">
        <ns0:f>IF('_Engine'!AO18=0,"",INDEX(Team!$C$11:$C$60,'_Engine'!AO18))</ns0:f>
        <ns0:v/>
      </ns0:c>
      <ns0:c r="D18" s="162" t="str">
        <ns0:f>IF(OR($A18="",D$11=""),"",IF(OR('_Engine'!$B$6&gt;0,INDEX('_Engine'!$AM$11:$AM$60,'_Engine'!$AO18)&lt;&gt;"OK"),"!",IF(INDEX(Team!$H$11:$N$60,'_Engine'!$AO18,WEEKDAY(D$11,2))&lt;&gt;"Work","—",IF(COUNTIF(Settings!$F$18:$F$67,D$11)&gt;0,"BH",IF('_Engine'!BC18+'_Engine'!BD18=0,"·",IF('_Engine'!BC18='_Engine'!BD18,INDEX(Settings!$G$7:$G$11,MOD('_Engine'!BC18,10))&amp;IF('_Engine'!BC18&gt;10,"?",""),IF('_Engine'!BC18=0,INDEX(Settings!$G$7:$G$11,MOD('_Engine'!BD18,10))&amp;IF('_Engine'!BD18&gt;10,"?","")&amp;" PM",IF('_Engine'!BD18=0,INDEX(Settings!$G$7:$G$11,MOD('_Engine'!BC18,10))&amp;IF('_Engine'!BC18&gt;10,"?","")&amp;" AM",INDEX(Settings!$G$7:$G$11,MOD('_Engine'!BC18,10))&amp;IF('_Engine'!BC18&gt;10,"?","")&amp;" AM"&amp;CHAR(10)&amp;INDEX(Settings!$G$7:$G$11,MOD('_Engine'!BD18,10))&amp;IF('_Engine'!BD18&gt;10,"?","")&amp;" PM"))))))))</ns0:f>
        <ns0:v/>
      </ns0:c>
      <ns0:c r="E18" s="162" t="str">
        <ns0:f>IF(OR($A18="",E$11=""),"",IF(OR('_Engine'!$B$6&gt;0,INDEX('_Engine'!$AM$11:$AM$60,'_Engine'!$AO18)&lt;&gt;"OK"),"!",IF(INDEX(Team!$H$11:$N$60,'_Engine'!$AO18,WEEKDAY(E$11,2))&lt;&gt;"Work","—",IF(COUNTIF(Settings!$F$18:$F$67,E$11)&gt;0,"BH",IF('_Engine'!BE18+'_Engine'!BF18=0,"·",IF('_Engine'!BE18='_Engine'!BF18,INDEX(Settings!$G$7:$G$11,MOD('_Engine'!BE18,10))&amp;IF('_Engine'!BE18&gt;10,"?",""),IF('_Engine'!BE18=0,INDEX(Settings!$G$7:$G$11,MOD('_Engine'!BF18,10))&amp;IF('_Engine'!BF18&gt;10,"?","")&amp;" PM",IF('_Engine'!BF18=0,INDEX(Settings!$G$7:$G$11,MOD('_Engine'!BE18,10))&amp;IF('_Engine'!BE18&gt;10,"?","")&amp;" AM",INDEX(Settings!$G$7:$G$11,MOD('_Engine'!BE18,10))&amp;IF('_Engine'!BE18&gt;10,"?","")&amp;" AM"&amp;CHAR(10)&amp;INDEX(Settings!$G$7:$G$11,MOD('_Engine'!BF18,10))&amp;IF('_Engine'!BF18&gt;10,"?","")&amp;" PM"))))))))</ns0:f>
        <ns0:v/>
      </ns0:c>
      <ns0:c r="F18" s="162" t="str">
        <ns0:f>IF(OR($A18="",F$11=""),"",IF(OR('_Engine'!$B$6&gt;0,INDEX('_Engine'!$AM$11:$AM$60,'_Engine'!$AO18)&lt;&gt;"OK"),"!",IF(INDEX(Team!$H$11:$N$60,'_Engine'!$AO18,WEEKDAY(F$11,2))&lt;&gt;"Work","—",IF(COUNTIF(Settings!$F$18:$F$67,F$11)&gt;0,"BH",IF('_Engine'!BG18+'_Engine'!BH18=0,"·",IF('_Engine'!BG18='_Engine'!BH18,INDEX(Settings!$G$7:$G$11,MOD('_Engine'!BG18,10))&amp;IF('_Engine'!BG18&gt;10,"?",""),IF('_Engine'!BG18=0,INDEX(Settings!$G$7:$G$11,MOD('_Engine'!BH18,10))&amp;IF('_Engine'!BH18&gt;10,"?","")&amp;" PM",IF('_Engine'!BH18=0,INDEX(Settings!$G$7:$G$11,MOD('_Engine'!BG18,10))&amp;IF('_Engine'!BG18&gt;10,"?","")&amp;" AM",INDEX(Settings!$G$7:$G$11,MOD('_Engine'!BG18,10))&amp;IF('_Engine'!BG18&gt;10,"?","")&amp;" AM"&amp;CHAR(10)&amp;INDEX(Settings!$G$7:$G$11,MOD('_Engine'!BH18,10))&amp;IF('_Engine'!BH18&gt;10,"?","")&amp;" PM"))))))))</ns0:f>
        <ns0:v/>
      </ns0:c>
      <ns0:c r="G18" s="162" t="str">
        <ns0:f>IF(OR($A18="",G$11=""),"",IF(OR('_Engine'!$B$6&gt;0,INDEX('_Engine'!$AM$11:$AM$60,'_Engine'!$AO18)&lt;&gt;"OK"),"!",IF(INDEX(Team!$H$11:$N$60,'_Engine'!$AO18,WEEKDAY(G$11,2))&lt;&gt;"Work","—",IF(COUNTIF(Settings!$F$18:$F$67,G$11)&gt;0,"BH",IF('_Engine'!BI18+'_Engine'!BJ18=0,"·",IF('_Engine'!BI18='_Engine'!BJ18,INDEX(Settings!$G$7:$G$11,MOD('_Engine'!BI18,10))&amp;IF('_Engine'!BI18&gt;10,"?",""),IF('_Engine'!BI18=0,INDEX(Settings!$G$7:$G$11,MOD('_Engine'!BJ18,10))&amp;IF('_Engine'!BJ18&gt;10,"?","")&amp;" PM",IF('_Engine'!BJ18=0,INDEX(Settings!$G$7:$G$11,MOD('_Engine'!BI18,10))&amp;IF('_Engine'!BI18&gt;10,"?","")&amp;" AM",INDEX(Settings!$G$7:$G$11,MOD('_Engine'!BI18,10))&amp;IF('_Engine'!BI18&gt;10,"?","")&amp;" AM"&amp;CHAR(10)&amp;INDEX(Settings!$G$7:$G$11,MOD('_Engine'!BJ18,10))&amp;IF('_Engine'!BJ18&gt;10,"?","")&amp;" PM"))))))))</ns0:f>
        <ns0:v/>
      </ns0:c>
      <ns0:c r="H18" s="162" t="str">
        <ns0:f>IF(OR($A18="",H$11=""),"",IF(OR('_Engine'!$B$6&gt;0,INDEX('_Engine'!$AM$11:$AM$60,'_Engine'!$AO18)&lt;&gt;"OK"),"!",IF(INDEX(Team!$H$11:$N$60,'_Engine'!$AO18,WEEKDAY(H$11,2))&lt;&gt;"Work","—",IF(COUNTIF(Settings!$F$18:$F$67,H$11)&gt;0,"BH",IF('_Engine'!BK18+'_Engine'!BL18=0,"·",IF('_Engine'!BK18='_Engine'!BL18,INDEX(Settings!$G$7:$G$11,MOD('_Engine'!BK18,10))&amp;IF('_Engine'!BK18&gt;10,"?",""),IF('_Engine'!BK18=0,INDEX(Settings!$G$7:$G$11,MOD('_Engine'!BL18,10))&amp;IF('_Engine'!BL18&gt;10,"?","")&amp;" PM",IF('_Engine'!BL18=0,INDEX(Settings!$G$7:$G$11,MOD('_Engine'!BK18,10))&amp;IF('_Engine'!BK18&gt;10,"?","")&amp;" AM",INDEX(Settings!$G$7:$G$11,MOD('_Engine'!BK18,10))&amp;IF('_Engine'!BK18&gt;10,"?","")&amp;" AM"&amp;CHAR(10)&amp;INDEX(Settings!$G$7:$G$11,MOD('_Engine'!BL18,10))&amp;IF('_Engine'!BL18&gt;10,"?","")&amp;" PM"))))))))</ns0:f>
        <ns0:v/>
      </ns0:c>
      <ns0:c r="I18" s="162" t="str">
        <ns0:f>IF(OR($A18="",I$11=""),"",IF(OR('_Engine'!$B$6&gt;0,INDEX('_Engine'!$AM$11:$AM$60,'_Engine'!$AO18)&lt;&gt;"OK"),"!",IF(INDEX(Team!$H$11:$N$60,'_Engine'!$AO18,WEEKDAY(I$11,2))&lt;&gt;"Work","—",IF(COUNTIF(Settings!$F$18:$F$67,I$11)&gt;0,"BH",IF('_Engine'!BM18+'_Engine'!BN18=0,"·",IF('_Engine'!BM18='_Engine'!BN18,INDEX(Settings!$G$7:$G$11,MOD('_Engine'!BM18,10))&amp;IF('_Engine'!BM18&gt;10,"?",""),IF('_Engine'!BM18=0,INDEX(Settings!$G$7:$G$11,MOD('_Engine'!BN18,10))&amp;IF('_Engine'!BN18&gt;10,"?","")&amp;" PM",IF('_Engine'!BN18=0,INDEX(Settings!$G$7:$G$11,MOD('_Engine'!BM18,10))&amp;IF('_Engine'!BM18&gt;10,"?","")&amp;" AM",INDEX(Settings!$G$7:$G$11,MOD('_Engine'!BM18,10))&amp;IF('_Engine'!BM18&gt;10,"?","")&amp;" AM"&amp;CHAR(10)&amp;INDEX(Settings!$G$7:$G$11,MOD('_Engine'!BN18,10))&amp;IF('_Engine'!BN18&gt;10,"?","")&amp;" PM"))))))))</ns0:f>
        <ns0:v/>
      </ns0:c>
      <ns0:c r="J18" s="162" t="str">
        <ns0:f>IF(OR($A18="",J$11=""),"",IF(OR('_Engine'!$B$6&gt;0,INDEX('_Engine'!$AM$11:$AM$60,'_Engine'!$AO18)&lt;&gt;"OK"),"!",IF(INDEX(Team!$H$11:$N$60,'_Engine'!$AO18,WEEKDAY(J$11,2))&lt;&gt;"Work","—",IF(COUNTIF(Settings!$F$18:$F$67,J$11)&gt;0,"BH",IF('_Engine'!BO18+'_Engine'!BP18=0,"·",IF('_Engine'!BO18='_Engine'!BP18,INDEX(Settings!$G$7:$G$11,MOD('_Engine'!BO18,10))&amp;IF('_Engine'!BO18&gt;10,"?",""),IF('_Engine'!BO18=0,INDEX(Settings!$G$7:$G$11,MOD('_Engine'!BP18,10))&amp;IF('_Engine'!BP18&gt;10,"?","")&amp;" PM",IF('_Engine'!BP18=0,INDEX(Settings!$G$7:$G$11,MOD('_Engine'!BO18,10))&amp;IF('_Engine'!BO18&gt;10,"?","")&amp;" AM",INDEX(Settings!$G$7:$G$11,MOD('_Engine'!BO18,10))&amp;IF('_Engine'!BO18&gt;10,"?","")&amp;" AM"&amp;CHAR(10)&amp;INDEX(Settings!$G$7:$G$11,MOD('_Engine'!BP18,10))&amp;IF('_Engine'!BP18&gt;10,"?","")&amp;" PM"))))))))</ns0:f>
        <ns0:v/>
      </ns0:c>
      <ns0:c r="K18" s="164" t="str">
        <ns0:f>IF(OR($A18="",K$11=""),"",IF(OR('_Engine'!$B$6&gt;0,INDEX('_Engine'!$AM$11:$AM$60,'_Engine'!$AO18)&lt;&gt;"OK"),"!",IF(INDEX(Team!$H$11:$N$60,'_Engine'!$AO18,WEEKDAY(K$11,2))&lt;&gt;"Work","—",IF(COUNTIF(Settings!$F$18:$F$67,K$11)&gt;0,"BH",IF('_Engine'!BQ18+'_Engine'!BR18=0,"·",IF('_Engine'!BQ18='_Engine'!BR18,INDEX(Settings!$G$7:$G$11,MOD('_Engine'!BQ18,10))&amp;IF('_Engine'!BQ18&gt;10,"?",""),IF('_Engine'!BQ18=0,INDEX(Settings!$G$7:$G$11,MOD('_Engine'!BR18,10))&amp;IF('_Engine'!BR18&gt;10,"?","")&amp;" PM",IF('_Engine'!BR18=0,INDEX(Settings!$G$7:$G$11,MOD('_Engine'!BQ18,10))&amp;IF('_Engine'!BQ18&gt;10,"?","")&amp;" AM",INDEX(Settings!$G$7:$G$11,MOD('_Engine'!BQ18,10))&amp;IF('_Engine'!BQ18&gt;10,"?","")&amp;" AM"&amp;CHAR(10)&amp;INDEX(Settings!$G$7:$G$11,MOD('_Engine'!BR18,10))&amp;IF('_Engine'!BR18&gt;10,"?","")&amp;" PM"))))))))</ns0:f>
        <ns0:v/>
      </ns0:c>
      <ns0:c r="L18" s="164" t="str">
        <ns0:f>IF(OR($A18="",L$11=""),"",IF(OR('_Engine'!$B$6&gt;0,INDEX('_Engine'!$AM$11:$AM$60,'_Engine'!$AO18)&lt;&gt;"OK"),"!",IF(INDEX(Team!$H$11:$N$60,'_Engine'!$AO18,WEEKDAY(L$11,2))&lt;&gt;"Work","—",IF(COUNTIF(Settings!$F$18:$F$67,L$11)&gt;0,"BH",IF('_Engine'!BS18+'_Engine'!BT18=0,"·",IF('_Engine'!BS18='_Engine'!BT18,INDEX(Settings!$G$7:$G$11,MOD('_Engine'!BS18,10))&amp;IF('_Engine'!BS18&gt;10,"?",""),IF('_Engine'!BS18=0,INDEX(Settings!$G$7:$G$11,MOD('_Engine'!BT18,10))&amp;IF('_Engine'!BT18&gt;10,"?","")&amp;" PM",IF('_Engine'!BT18=0,INDEX(Settings!$G$7:$G$11,MOD('_Engine'!BS18,10))&amp;IF('_Engine'!BS18&gt;10,"?","")&amp;" AM",INDEX(Settings!$G$7:$G$11,MOD('_Engine'!BS18,10))&amp;IF('_Engine'!BS18&gt;10,"?","")&amp;" AM"&amp;CHAR(10)&amp;INDEX(Settings!$G$7:$G$11,MOD('_Engine'!BT18,10))&amp;IF('_Engine'!BT18&gt;10,"?","")&amp;" PM"))))))))</ns0:f>
        <ns0:v/>
      </ns0:c>
      <ns0:c r="M18" s="164" t="str">
        <ns0:f>IF(OR($A18="",M$11=""),"",IF(OR('_Engine'!$B$6&gt;0,INDEX('_Engine'!$AM$11:$AM$60,'_Engine'!$AO18)&lt;&gt;"OK"),"!",IF(INDEX(Team!$H$11:$N$60,'_Engine'!$AO18,WEEKDAY(M$11,2))&lt;&gt;"Work","—",IF(COUNTIF(Settings!$F$18:$F$67,M$11)&gt;0,"BH",IF('_Engine'!BU18+'_Engine'!BV18=0,"·",IF('_Engine'!BU18='_Engine'!BV18,INDEX(Settings!$G$7:$G$11,MOD('_Engine'!BU18,10))&amp;IF('_Engine'!BU18&gt;10,"?",""),IF('_Engine'!BU18=0,INDEX(Settings!$G$7:$G$11,MOD('_Engine'!BV18,10))&amp;IF('_Engine'!BV18&gt;10,"?","")&amp;" PM",IF('_Engine'!BV18=0,INDEX(Settings!$G$7:$G$11,MOD('_Engine'!BU18,10))&amp;IF('_Engine'!BU18&gt;10,"?","")&amp;" AM",INDEX(Settings!$G$7:$G$11,MOD('_Engine'!BU18,10))&amp;IF('_Engine'!BU18&gt;10,"?","")&amp;" AM"&amp;CHAR(10)&amp;INDEX(Settings!$G$7:$G$11,MOD('_Engine'!BV18,10))&amp;IF('_Engine'!BV18&gt;10,"?","")&amp;" PM"))))))))</ns0:f>
        <ns0:v/>
      </ns0:c>
      <ns0:c r="N18" s="164" t="str">
        <ns0:f>IF(OR($A18="",N$11=""),"",IF(OR('_Engine'!$B$6&gt;0,INDEX('_Engine'!$AM$11:$AM$60,'_Engine'!$AO18)&lt;&gt;"OK"),"!",IF(INDEX(Team!$H$11:$N$60,'_Engine'!$AO18,WEEKDAY(N$11,2))&lt;&gt;"Work","—",IF(COUNTIF(Settings!$F$18:$F$67,N$11)&gt;0,"BH",IF('_Engine'!BW18+'_Engine'!BX18=0,"·",IF('_Engine'!BW18='_Engine'!BX18,INDEX(Settings!$G$7:$G$11,MOD('_Engine'!BW18,10))&amp;IF('_Engine'!BW18&gt;10,"?",""),IF('_Engine'!BW18=0,INDEX(Settings!$G$7:$G$11,MOD('_Engine'!BX18,10))&amp;IF('_Engine'!BX18&gt;10,"?","")&amp;" PM",IF('_Engine'!BX18=0,INDEX(Settings!$G$7:$G$11,MOD('_Engine'!BW18,10))&amp;IF('_Engine'!BW18&gt;10,"?","")&amp;" AM",INDEX(Settings!$G$7:$G$11,MOD('_Engine'!BW18,10))&amp;IF('_Engine'!BW18&gt;10,"?","")&amp;" AM"&amp;CHAR(10)&amp;INDEX(Settings!$G$7:$G$11,MOD('_Engine'!BX18,10))&amp;IF('_Engine'!BX18&gt;10,"?","")&amp;" PM"))))))))</ns0:f>
        <ns0:v/>
      </ns0:c>
      <ns0:c r="O18" s="164" t="str">
        <ns0:f>IF(OR($A18="",O$11=""),"",IF(OR('_Engine'!$B$6&gt;0,INDEX('_Engine'!$AM$11:$AM$60,'_Engine'!$AO18)&lt;&gt;"OK"),"!",IF(INDEX(Team!$H$11:$N$60,'_Engine'!$AO18,WEEKDAY(O$11,2))&lt;&gt;"Work","—",IF(COUNTIF(Settings!$F$18:$F$67,O$11)&gt;0,"BH",IF('_Engine'!BY18+'_Engine'!BZ18=0,"·",IF('_Engine'!BY18='_Engine'!BZ18,INDEX(Settings!$G$7:$G$11,MOD('_Engine'!BY18,10))&amp;IF('_Engine'!BY18&gt;10,"?",""),IF('_Engine'!BY18=0,INDEX(Settings!$G$7:$G$11,MOD('_Engine'!BZ18,10))&amp;IF('_Engine'!BZ18&gt;10,"?","")&amp;" PM",IF('_Engine'!BZ18=0,INDEX(Settings!$G$7:$G$11,MOD('_Engine'!BY18,10))&amp;IF('_Engine'!BY18&gt;10,"?","")&amp;" AM",INDEX(Settings!$G$7:$G$11,MOD('_Engine'!BY18,10))&amp;IF('_Engine'!BY18&gt;10,"?","")&amp;" AM"&amp;CHAR(10)&amp;INDEX(Settings!$G$7:$G$11,MOD('_Engine'!BZ18,10))&amp;IF('_Engine'!BZ18&gt;10,"?","")&amp;" PM"))))))))</ns0:f>
        <ns0:v/>
      </ns0:c>
      <ns0:c r="P18" s="164" t="str">
        <ns0:f>IF(OR($A18="",P$11=""),"",IF(OR('_Engine'!$B$6&gt;0,INDEX('_Engine'!$AM$11:$AM$60,'_Engine'!$AO18)&lt;&gt;"OK"),"!",IF(INDEX(Team!$H$11:$N$60,'_Engine'!$AO18,WEEKDAY(P$11,2))&lt;&gt;"Work","—",IF(COUNTIF(Settings!$F$18:$F$67,P$11)&gt;0,"BH",IF('_Engine'!CA18+'_Engine'!CB18=0,"·",IF('_Engine'!CA18='_Engine'!CB18,INDEX(Settings!$G$7:$G$11,MOD('_Engine'!CA18,10))&amp;IF('_Engine'!CA18&gt;10,"?",""),IF('_Engine'!CA18=0,INDEX(Settings!$G$7:$G$11,MOD('_Engine'!CB18,10))&amp;IF('_Engine'!CB18&gt;10,"?","")&amp;" PM",IF('_Engine'!CB18=0,INDEX(Settings!$G$7:$G$11,MOD('_Engine'!CA18,10))&amp;IF('_Engine'!CA18&gt;10,"?","")&amp;" AM",INDEX(Settings!$G$7:$G$11,MOD('_Engine'!CA18,10))&amp;IF('_Engine'!CA18&gt;10,"?","")&amp;" AM"&amp;CHAR(10)&amp;INDEX(Settings!$G$7:$G$11,MOD('_Engine'!CB18,10))&amp;IF('_Engine'!CB18&gt;10,"?","")&amp;" PM"))))))))</ns0:f>
        <ns0:v/>
      </ns0:c>
      <ns0:c r="Q18" s="164" t="str">
        <ns0:f>IF(OR($A18="",Q$11=""),"",IF(OR('_Engine'!$B$6&gt;0,INDEX('_Engine'!$AM$11:$AM$60,'_Engine'!$AO18)&lt;&gt;"OK"),"!",IF(INDEX(Team!$H$11:$N$60,'_Engine'!$AO18,WEEKDAY(Q$11,2))&lt;&gt;"Work","—",IF(COUNTIF(Settings!$F$18:$F$67,Q$11)&gt;0,"BH",IF('_Engine'!CC18+'_Engine'!CD18=0,"·",IF('_Engine'!CC18='_Engine'!CD18,INDEX(Settings!$G$7:$G$11,MOD('_Engine'!CC18,10))&amp;IF('_Engine'!CC18&gt;10,"?",""),IF('_Engine'!CC18=0,INDEX(Settings!$G$7:$G$11,MOD('_Engine'!CD18,10))&amp;IF('_Engine'!CD18&gt;10,"?","")&amp;" PM",IF('_Engine'!CD18=0,INDEX(Settings!$G$7:$G$11,MOD('_Engine'!CC18,10))&amp;IF('_Engine'!CC18&gt;10,"?","")&amp;" AM",INDEX(Settings!$G$7:$G$11,MOD('_Engine'!CC18,10))&amp;IF('_Engine'!CC18&gt;10,"?","")&amp;" AM"&amp;CHAR(10)&amp;INDEX(Settings!$G$7:$G$11,MOD('_Engine'!CD18,10))&amp;IF('_Engine'!CD18&gt;10,"?","")&amp;" PM"))))))))</ns0:f>
        <ns0:v/>
      </ns0:c>
      <ns0:c r="R18" s="164" t="str">
        <ns0:f>IF(OR($A18="",R$11=""),"",IF(OR('_Engine'!$B$6&gt;0,INDEX('_Engine'!$AM$11:$AM$60,'_Engine'!$AO18)&lt;&gt;"OK"),"!",IF(INDEX(Team!$H$11:$N$60,'_Engine'!$AO18,WEEKDAY(R$11,2))&lt;&gt;"Work","—",IF(COUNTIF(Settings!$F$18:$F$67,R$11)&gt;0,"BH",IF('_Engine'!CE18+'_Engine'!CF18=0,"·",IF('_Engine'!CE18='_Engine'!CF18,INDEX(Settings!$G$7:$G$11,MOD('_Engine'!CE18,10))&amp;IF('_Engine'!CE18&gt;10,"?",""),IF('_Engine'!CE18=0,INDEX(Settings!$G$7:$G$11,MOD('_Engine'!CF18,10))&amp;IF('_Engine'!CF18&gt;10,"?","")&amp;" PM",IF('_Engine'!CF18=0,INDEX(Settings!$G$7:$G$11,MOD('_Engine'!CE18,10))&amp;IF('_Engine'!CE18&gt;10,"?","")&amp;" AM",INDEX(Settings!$G$7:$G$11,MOD('_Engine'!CE18,10))&amp;IF('_Engine'!CE18&gt;10,"?","")&amp;" AM"&amp;CHAR(10)&amp;INDEX(Settings!$G$7:$G$11,MOD('_Engine'!CF18,10))&amp;IF('_Engine'!CF18&gt;10,"?","")&amp;" PM"))))))))</ns0:f>
        <ns0:v/>
      </ns0:c>
      <ns0:c r="S18" s="164" t="str">
        <ns0:f>IF(OR($A18="",S$11=""),"",IF(OR('_Engine'!$B$6&gt;0,INDEX('_Engine'!$AM$11:$AM$60,'_Engine'!$AO18)&lt;&gt;"OK"),"!",IF(INDEX(Team!$H$11:$N$60,'_Engine'!$AO18,WEEKDAY(S$11,2))&lt;&gt;"Work","—",IF(COUNTIF(Settings!$F$18:$F$67,S$11)&gt;0,"BH",IF('_Engine'!CG18+'_Engine'!CH18=0,"·",IF('_Engine'!CG18='_Engine'!CH18,INDEX(Settings!$G$7:$G$11,MOD('_Engine'!CG18,10))&amp;IF('_Engine'!CG18&gt;10,"?",""),IF('_Engine'!CG18=0,INDEX(Settings!$G$7:$G$11,MOD('_Engine'!CH18,10))&amp;IF('_Engine'!CH18&gt;10,"?","")&amp;" PM",IF('_Engine'!CH18=0,INDEX(Settings!$G$7:$G$11,MOD('_Engine'!CG18,10))&amp;IF('_Engine'!CG18&gt;10,"?","")&amp;" AM",INDEX(Settings!$G$7:$G$11,MOD('_Engine'!CG18,10))&amp;IF('_Engine'!CG18&gt;10,"?","")&amp;" AM"&amp;CHAR(10)&amp;INDEX(Settings!$G$7:$G$11,MOD('_Engine'!CH18,10))&amp;IF('_Engine'!CH18&gt;10,"?","")&amp;" PM"))))))))</ns0:f>
        <ns0:v/>
      </ns0:c>
      <ns0:c r="T18" s="164" t="str">
        <ns0:f>IF(OR($A18="",T$11=""),"",IF(OR('_Engine'!$B$6&gt;0,INDEX('_Engine'!$AM$11:$AM$60,'_Engine'!$AO18)&lt;&gt;"OK"),"!",IF(INDEX(Team!$H$11:$N$60,'_Engine'!$AO18,WEEKDAY(T$11,2))&lt;&gt;"Work","—",IF(COUNTIF(Settings!$F$18:$F$67,T$11)&gt;0,"BH",IF('_Engine'!CI18+'_Engine'!CJ18=0,"·",IF('_Engine'!CI18='_Engine'!CJ18,INDEX(Settings!$G$7:$G$11,MOD('_Engine'!CI18,10))&amp;IF('_Engine'!CI18&gt;10,"?",""),IF('_Engine'!CI18=0,INDEX(Settings!$G$7:$G$11,MOD('_Engine'!CJ18,10))&amp;IF('_Engine'!CJ18&gt;10,"?","")&amp;" PM",IF('_Engine'!CJ18=0,INDEX(Settings!$G$7:$G$11,MOD('_Engine'!CI18,10))&amp;IF('_Engine'!CI18&gt;10,"?","")&amp;" AM",INDEX(Settings!$G$7:$G$11,MOD('_Engine'!CI18,10))&amp;IF('_Engine'!CI18&gt;10,"?","")&amp;" AM"&amp;CHAR(10)&amp;INDEX(Settings!$G$7:$G$11,MOD('_Engine'!CJ18,10))&amp;IF('_Engine'!CJ18&gt;10,"?","")&amp;" PM"))))))))</ns0:f>
        <ns0:v/>
      </ns0:c>
      <ns0:c r="U18" s="164" t="str">
        <ns0:f>IF(OR($A18="",U$11=""),"",IF(OR('_Engine'!$B$6&gt;0,INDEX('_Engine'!$AM$11:$AM$60,'_Engine'!$AO18)&lt;&gt;"OK"),"!",IF(INDEX(Team!$H$11:$N$60,'_Engine'!$AO18,WEEKDAY(U$11,2))&lt;&gt;"Work","—",IF(COUNTIF(Settings!$F$18:$F$67,U$11)&gt;0,"BH",IF('_Engine'!CK18+'_Engine'!CL18=0,"·",IF('_Engine'!CK18='_Engine'!CL18,INDEX(Settings!$G$7:$G$11,MOD('_Engine'!CK18,10))&amp;IF('_Engine'!CK18&gt;10,"?",""),IF('_Engine'!CK18=0,INDEX(Settings!$G$7:$G$11,MOD('_Engine'!CL18,10))&amp;IF('_Engine'!CL18&gt;10,"?","")&amp;" PM",IF('_Engine'!CL18=0,INDEX(Settings!$G$7:$G$11,MOD('_Engine'!CK18,10))&amp;IF('_Engine'!CK18&gt;10,"?","")&amp;" AM",INDEX(Settings!$G$7:$G$11,MOD('_Engine'!CK18,10))&amp;IF('_Engine'!CK18&gt;10,"?","")&amp;" AM"&amp;CHAR(10)&amp;INDEX(Settings!$G$7:$G$11,MOD('_Engine'!CL18,10))&amp;IF('_Engine'!CL18&gt;10,"?","")&amp;" PM"))))))))</ns0:f>
        <ns0:v/>
      </ns0:c>
      <ns0:c r="V18" s="164" t="str">
        <ns0:f>IF(OR($A18="",V$11=""),"",IF(OR('_Engine'!$B$6&gt;0,INDEX('_Engine'!$AM$11:$AM$60,'_Engine'!$AO18)&lt;&gt;"OK"),"!",IF(INDEX(Team!$H$11:$N$60,'_Engine'!$AO18,WEEKDAY(V$11,2))&lt;&gt;"Work","—",IF(COUNTIF(Settings!$F$18:$F$67,V$11)&gt;0,"BH",IF('_Engine'!CM18+'_Engine'!CN18=0,"·",IF('_Engine'!CM18='_Engine'!CN18,INDEX(Settings!$G$7:$G$11,MOD('_Engine'!CM18,10))&amp;IF('_Engine'!CM18&gt;10,"?",""),IF('_Engine'!CM18=0,INDEX(Settings!$G$7:$G$11,MOD('_Engine'!CN18,10))&amp;IF('_Engine'!CN18&gt;10,"?","")&amp;" PM",IF('_Engine'!CN18=0,INDEX(Settings!$G$7:$G$11,MOD('_Engine'!CM18,10))&amp;IF('_Engine'!CM18&gt;10,"?","")&amp;" AM",INDEX(Settings!$G$7:$G$11,MOD('_Engine'!CM18,10))&amp;IF('_Engine'!CM18&gt;10,"?","")&amp;" AM"&amp;CHAR(10)&amp;INDEX(Settings!$G$7:$G$11,MOD('_Engine'!CN18,10))&amp;IF('_Engine'!CN18&gt;10,"?","")&amp;" PM"))))))))</ns0:f>
        <ns0:v/>
      </ns0:c>
      <ns0:c r="W18" s="164" t="str">
        <ns0:f>IF(OR($A18="",W$11=""),"",IF(OR('_Engine'!$B$6&gt;0,INDEX('_Engine'!$AM$11:$AM$60,'_Engine'!$AO18)&lt;&gt;"OK"),"!",IF(INDEX(Team!$H$11:$N$60,'_Engine'!$AO18,WEEKDAY(W$11,2))&lt;&gt;"Work","—",IF(COUNTIF(Settings!$F$18:$F$67,W$11)&gt;0,"BH",IF('_Engine'!CO18+'_Engine'!CP18=0,"·",IF('_Engine'!CO18='_Engine'!CP18,INDEX(Settings!$G$7:$G$11,MOD('_Engine'!CO18,10))&amp;IF('_Engine'!CO18&gt;10,"?",""),IF('_Engine'!CO18=0,INDEX(Settings!$G$7:$G$11,MOD('_Engine'!CP18,10))&amp;IF('_Engine'!CP18&gt;10,"?","")&amp;" PM",IF('_Engine'!CP18=0,INDEX(Settings!$G$7:$G$11,MOD('_Engine'!CO18,10))&amp;IF('_Engine'!CO18&gt;10,"?","")&amp;" AM",INDEX(Settings!$G$7:$G$11,MOD('_Engine'!CO18,10))&amp;IF('_Engine'!CO18&gt;10,"?","")&amp;" AM"&amp;CHAR(10)&amp;INDEX(Settings!$G$7:$G$11,MOD('_Engine'!CP18,10))&amp;IF('_Engine'!CP18&gt;10,"?","")&amp;" PM"))))))))</ns0:f>
        <ns0:v/>
      </ns0:c>
      <ns0:c r="X18" s="164" t="str">
        <ns0:f>IF(OR($A18="",X$11=""),"",IF(OR('_Engine'!$B$6&gt;0,INDEX('_Engine'!$AM$11:$AM$60,'_Engine'!$AO18)&lt;&gt;"OK"),"!",IF(INDEX(Team!$H$11:$N$60,'_Engine'!$AO18,WEEKDAY(X$11,2))&lt;&gt;"Work","—",IF(COUNTIF(Settings!$F$18:$F$67,X$11)&gt;0,"BH",IF('_Engine'!CQ18+'_Engine'!CR18=0,"·",IF('_Engine'!CQ18='_Engine'!CR18,INDEX(Settings!$G$7:$G$11,MOD('_Engine'!CQ18,10))&amp;IF('_Engine'!CQ18&gt;10,"?",""),IF('_Engine'!CQ18=0,INDEX(Settings!$G$7:$G$11,MOD('_Engine'!CR18,10))&amp;IF('_Engine'!CR18&gt;10,"?","")&amp;" PM",IF('_Engine'!CR18=0,INDEX(Settings!$G$7:$G$11,MOD('_Engine'!CQ18,10))&amp;IF('_Engine'!CQ18&gt;10,"?","")&amp;" AM",INDEX(Settings!$G$7:$G$11,MOD('_Engine'!CQ18,10))&amp;IF('_Engine'!CQ18&gt;10,"?","")&amp;" AM"&amp;CHAR(10)&amp;INDEX(Settings!$G$7:$G$11,MOD('_Engine'!CR18,10))&amp;IF('_Engine'!CR18&gt;10,"?","")&amp;" PM"))))))))</ns0:f>
        <ns0:v/>
      </ns0:c>
      <ns0:c r="Y18" s="164" t="str">
        <ns0:f>IF(OR($A18="",Y$11=""),"",IF(OR('_Engine'!$B$6&gt;0,INDEX('_Engine'!$AM$11:$AM$60,'_Engine'!$AO18)&lt;&gt;"OK"),"!",IF(INDEX(Team!$H$11:$N$60,'_Engine'!$AO18,WEEKDAY(Y$11,2))&lt;&gt;"Work","—",IF(COUNTIF(Settings!$F$18:$F$67,Y$11)&gt;0,"BH",IF('_Engine'!CS18+'_Engine'!CT18=0,"·",IF('_Engine'!CS18='_Engine'!CT18,INDEX(Settings!$G$7:$G$11,MOD('_Engine'!CS18,10))&amp;IF('_Engine'!CS18&gt;10,"?",""),IF('_Engine'!CS18=0,INDEX(Settings!$G$7:$G$11,MOD('_Engine'!CT18,10))&amp;IF('_Engine'!CT18&gt;10,"?","")&amp;" PM",IF('_Engine'!CT18=0,INDEX(Settings!$G$7:$G$11,MOD('_Engine'!CS18,10))&amp;IF('_Engine'!CS18&gt;10,"?","")&amp;" AM",INDEX(Settings!$G$7:$G$11,MOD('_Engine'!CS18,10))&amp;IF('_Engine'!CS18&gt;10,"?","")&amp;" AM"&amp;CHAR(10)&amp;INDEX(Settings!$G$7:$G$11,MOD('_Engine'!CT18,10))&amp;IF('_Engine'!CT18&gt;10,"?","")&amp;" PM"))))))))</ns0:f>
        <ns0:v/>
      </ns0:c>
      <ns0:c r="Z18" s="164" t="str">
        <ns0:f>IF(OR($A18="",Z$11=""),"",IF(OR('_Engine'!$B$6&gt;0,INDEX('_Engine'!$AM$11:$AM$60,'_Engine'!$AO18)&lt;&gt;"OK"),"!",IF(INDEX(Team!$H$11:$N$60,'_Engine'!$AO18,WEEKDAY(Z$11,2))&lt;&gt;"Work","—",IF(COUNTIF(Settings!$F$18:$F$67,Z$11)&gt;0,"BH",IF('_Engine'!CU18+'_Engine'!CV18=0,"·",IF('_Engine'!CU18='_Engine'!CV18,INDEX(Settings!$G$7:$G$11,MOD('_Engine'!CU18,10))&amp;IF('_Engine'!CU18&gt;10,"?",""),IF('_Engine'!CU18=0,INDEX(Settings!$G$7:$G$11,MOD('_Engine'!CV18,10))&amp;IF('_Engine'!CV18&gt;10,"?","")&amp;" PM",IF('_Engine'!CV18=0,INDEX(Settings!$G$7:$G$11,MOD('_Engine'!CU18,10))&amp;IF('_Engine'!CU18&gt;10,"?","")&amp;" AM",INDEX(Settings!$G$7:$G$11,MOD('_Engine'!CU18,10))&amp;IF('_Engine'!CU18&gt;10,"?","")&amp;" AM"&amp;CHAR(10)&amp;INDEX(Settings!$G$7:$G$11,MOD('_Engine'!CV18,10))&amp;IF('_Engine'!CV18&gt;10,"?","")&amp;" PM"))))))))</ns0:f>
        <ns0:v/>
      </ns0:c>
      <ns0:c r="AA18" s="164" t="str">
        <ns0:f>IF(OR($A18="",AA$11=""),"",IF(OR('_Engine'!$B$6&gt;0,INDEX('_Engine'!$AM$11:$AM$60,'_Engine'!$AO18)&lt;&gt;"OK"),"!",IF(INDEX(Team!$H$11:$N$60,'_Engine'!$AO18,WEEKDAY(AA$11,2))&lt;&gt;"Work","—",IF(COUNTIF(Settings!$F$18:$F$67,AA$11)&gt;0,"BH",IF('_Engine'!CW18+'_Engine'!CX18=0,"·",IF('_Engine'!CW18='_Engine'!CX18,INDEX(Settings!$G$7:$G$11,MOD('_Engine'!CW18,10))&amp;IF('_Engine'!CW18&gt;10,"?",""),IF('_Engine'!CW18=0,INDEX(Settings!$G$7:$G$11,MOD('_Engine'!CX18,10))&amp;IF('_Engine'!CX18&gt;10,"?","")&amp;" PM",IF('_Engine'!CX18=0,INDEX(Settings!$G$7:$G$11,MOD('_Engine'!CW18,10))&amp;IF('_Engine'!CW18&gt;10,"?","")&amp;" AM",INDEX(Settings!$G$7:$G$11,MOD('_Engine'!CW18,10))&amp;IF('_Engine'!CW18&gt;10,"?","")&amp;" AM"&amp;CHAR(10)&amp;INDEX(Settings!$G$7:$G$11,MOD('_Engine'!CX18,10))&amp;IF('_Engine'!CX18&gt;10,"?","")&amp;" PM"))))))))</ns0:f>
        <ns0:v/>
      </ns0:c>
      <ns0:c r="AB18" s="164" t="str">
        <ns0:f>IF(OR($A18="",AB$11=""),"",IF(OR('_Engine'!$B$6&gt;0,INDEX('_Engine'!$AM$11:$AM$60,'_Engine'!$AO18)&lt;&gt;"OK"),"!",IF(INDEX(Team!$H$11:$N$60,'_Engine'!$AO18,WEEKDAY(AB$11,2))&lt;&gt;"Work","—",IF(COUNTIF(Settings!$F$18:$F$67,AB$11)&gt;0,"BH",IF('_Engine'!CY18+'_Engine'!CZ18=0,"·",IF('_Engine'!CY18='_Engine'!CZ18,INDEX(Settings!$G$7:$G$11,MOD('_Engine'!CY18,10))&amp;IF('_Engine'!CY18&gt;10,"?",""),IF('_Engine'!CY18=0,INDEX(Settings!$G$7:$G$11,MOD('_Engine'!CZ18,10))&amp;IF('_Engine'!CZ18&gt;10,"?","")&amp;" PM",IF('_Engine'!CZ18=0,INDEX(Settings!$G$7:$G$11,MOD('_Engine'!CY18,10))&amp;IF('_Engine'!CY18&gt;10,"?","")&amp;" AM",INDEX(Settings!$G$7:$G$11,MOD('_Engine'!CY18,10))&amp;IF('_Engine'!CY18&gt;10,"?","")&amp;" AM"&amp;CHAR(10)&amp;INDEX(Settings!$G$7:$G$11,MOD('_Engine'!CZ18,10))&amp;IF('_Engine'!CZ18&gt;10,"?","")&amp;" PM"))))))))</ns0:f>
        <ns0:v/>
      </ns0:c>
      <ns0:c r="AC18" s="164" t="str">
        <ns0:f>IF(OR($A18="",AC$11=""),"",IF(OR('_Engine'!$B$6&gt;0,INDEX('_Engine'!$AM$11:$AM$60,'_Engine'!$AO18)&lt;&gt;"OK"),"!",IF(INDEX(Team!$H$11:$N$60,'_Engine'!$AO18,WEEKDAY(AC$11,2))&lt;&gt;"Work","—",IF(COUNTIF(Settings!$F$18:$F$67,AC$11)&gt;0,"BH",IF('_Engine'!DA18+'_Engine'!DB18=0,"·",IF('_Engine'!DA18='_Engine'!DB18,INDEX(Settings!$G$7:$G$11,MOD('_Engine'!DA18,10))&amp;IF('_Engine'!DA18&gt;10,"?",""),IF('_Engine'!DA18=0,INDEX(Settings!$G$7:$G$11,MOD('_Engine'!DB18,10))&amp;IF('_Engine'!DB18&gt;10,"?","")&amp;" PM",IF('_Engine'!DB18=0,INDEX(Settings!$G$7:$G$11,MOD('_Engine'!DA18,10))&amp;IF('_Engine'!DA18&gt;10,"?","")&amp;" AM",INDEX(Settings!$G$7:$G$11,MOD('_Engine'!DA18,10))&amp;IF('_Engine'!DA18&gt;10,"?","")&amp;" AM"&amp;CHAR(10)&amp;INDEX(Settings!$G$7:$G$11,MOD('_Engine'!DB18,10))&amp;IF('_Engine'!DB18&gt;10,"?","")&amp;" PM"))))))))</ns0:f>
        <ns0:v/>
      </ns0:c>
      <ns0:c r="AD18" s="164" t="str">
        <ns0:f>IF(OR($A18="",AD$11=""),"",IF(OR('_Engine'!$B$6&gt;0,INDEX('_Engine'!$AM$11:$AM$60,'_Engine'!$AO18)&lt;&gt;"OK"),"!",IF(INDEX(Team!$H$11:$N$60,'_Engine'!$AO18,WEEKDAY(AD$11,2))&lt;&gt;"Work","—",IF(COUNTIF(Settings!$F$18:$F$67,AD$11)&gt;0,"BH",IF('_Engine'!DC18+'_Engine'!DD18=0,"·",IF('_Engine'!DC18='_Engine'!DD18,INDEX(Settings!$G$7:$G$11,MOD('_Engine'!DC18,10))&amp;IF('_Engine'!DC18&gt;10,"?",""),IF('_Engine'!DC18=0,INDEX(Settings!$G$7:$G$11,MOD('_Engine'!DD18,10))&amp;IF('_Engine'!DD18&gt;10,"?","")&amp;" PM",IF('_Engine'!DD18=0,INDEX(Settings!$G$7:$G$11,MOD('_Engine'!DC18,10))&amp;IF('_Engine'!DC18&gt;10,"?","")&amp;" AM",INDEX(Settings!$G$7:$G$11,MOD('_Engine'!DC18,10))&amp;IF('_Engine'!DC18&gt;10,"?","")&amp;" AM"&amp;CHAR(10)&amp;INDEX(Settings!$G$7:$G$11,MOD('_Engine'!DD18,10))&amp;IF('_Engine'!DD18&gt;10,"?","")&amp;" PM"))))))))</ns0:f>
        <ns0:v/>
      </ns0:c>
      <ns0:c r="AE18" s="164" t="str">
        <ns0:f>IF(OR($A18="",AE$11=""),"",IF(OR('_Engine'!$B$6&gt;0,INDEX('_Engine'!$AM$11:$AM$60,'_Engine'!$AO18)&lt;&gt;"OK"),"!",IF(INDEX(Team!$H$11:$N$60,'_Engine'!$AO18,WEEKDAY(AE$11,2))&lt;&gt;"Work","—",IF(COUNTIF(Settings!$F$18:$F$67,AE$11)&gt;0,"BH",IF('_Engine'!DE18+'_Engine'!DF18=0,"·",IF('_Engine'!DE18='_Engine'!DF18,INDEX(Settings!$G$7:$G$11,MOD('_Engine'!DE18,10))&amp;IF('_Engine'!DE18&gt;10,"?",""),IF('_Engine'!DE18=0,INDEX(Settings!$G$7:$G$11,MOD('_Engine'!DF18,10))&amp;IF('_Engine'!DF18&gt;10,"?","")&amp;" PM",IF('_Engine'!DF18=0,INDEX(Settings!$G$7:$G$11,MOD('_Engine'!DE18,10))&amp;IF('_Engine'!DE18&gt;10,"?","")&amp;" AM",INDEX(Settings!$G$7:$G$11,MOD('_Engine'!DE18,10))&amp;IF('_Engine'!DE18&gt;10,"?","")&amp;" AM"&amp;CHAR(10)&amp;INDEX(Settings!$G$7:$G$11,MOD('_Engine'!DF18,10))&amp;IF('_Engine'!DF18&gt;10,"?","")&amp;" PM"))))))))</ns0:f>
        <ns0:v/>
      </ns0:c>
      <ns0:c r="AF18" s="164" t="str">
        <ns0:f>IF(OR($A18="",AF$11=""),"",IF(OR('_Engine'!$B$6&gt;0,INDEX('_Engine'!$AM$11:$AM$60,'_Engine'!$AO18)&lt;&gt;"OK"),"!",IF(INDEX(Team!$H$11:$N$60,'_Engine'!$AO18,WEEKDAY(AF$11,2))&lt;&gt;"Work","—",IF(COUNTIF(Settings!$F$18:$F$67,AF$11)&gt;0,"BH",IF('_Engine'!DG18+'_Engine'!DH18=0,"·",IF('_Engine'!DG18='_Engine'!DH18,INDEX(Settings!$G$7:$G$11,MOD('_Engine'!DG18,10))&amp;IF('_Engine'!DG18&gt;10,"?",""),IF('_Engine'!DG18=0,INDEX(Settings!$G$7:$G$11,MOD('_Engine'!DH18,10))&amp;IF('_Engine'!DH18&gt;10,"?","")&amp;" PM",IF('_Engine'!DH18=0,INDEX(Settings!$G$7:$G$11,MOD('_Engine'!DG18,10))&amp;IF('_Engine'!DG18&gt;10,"?","")&amp;" AM",INDEX(Settings!$G$7:$G$11,MOD('_Engine'!DG18,10))&amp;IF('_Engine'!DG18&gt;10,"?","")&amp;" AM"&amp;CHAR(10)&amp;INDEX(Settings!$G$7:$G$11,MOD('_Engine'!DH18,10))&amp;IF('_Engine'!DH18&gt;10,"?","")&amp;" PM"))))))))</ns0:f>
        <ns0:v/>
      </ns0:c>
      <ns0:c r="AG18" s="164" t="str">
        <ns0:f>IF(OR($A18="",AG$11=""),"",IF(OR('_Engine'!$B$6&gt;0,INDEX('_Engine'!$AM$11:$AM$60,'_Engine'!$AO18)&lt;&gt;"OK"),"!",IF(INDEX(Team!$H$11:$N$60,'_Engine'!$AO18,WEEKDAY(AG$11,2))&lt;&gt;"Work","—",IF(COUNTIF(Settings!$F$18:$F$67,AG$11)&gt;0,"BH",IF('_Engine'!DI18+'_Engine'!DJ18=0,"·",IF('_Engine'!DI18='_Engine'!DJ18,INDEX(Settings!$G$7:$G$11,MOD('_Engine'!DI18,10))&amp;IF('_Engine'!DI18&gt;10,"?",""),IF('_Engine'!DI18=0,INDEX(Settings!$G$7:$G$11,MOD('_Engine'!DJ18,10))&amp;IF('_Engine'!DJ18&gt;10,"?","")&amp;" PM",IF('_Engine'!DJ18=0,INDEX(Settings!$G$7:$G$11,MOD('_Engine'!DI18,10))&amp;IF('_Engine'!DI18&gt;10,"?","")&amp;" AM",INDEX(Settings!$G$7:$G$11,MOD('_Engine'!DI18,10))&amp;IF('_Engine'!DI18&gt;10,"?","")&amp;" AM"&amp;CHAR(10)&amp;INDEX(Settings!$G$7:$G$11,MOD('_Engine'!DJ18,10))&amp;IF('_Engine'!DJ18&gt;10,"?","")&amp;" PM"))))))))</ns0:f>
        <ns0:v/>
      </ns0:c>
      <ns0:c r="AH18" s="164" t="str">
        <ns0:f>IF(OR($A18="",AH$11=""),"",IF(OR('_Engine'!$B$6&gt;0,INDEX('_Engine'!$AM$11:$AM$60,'_Engine'!$AO18)&lt;&gt;"OK"),"!",IF(INDEX(Team!$H$11:$N$60,'_Engine'!$AO18,WEEKDAY(AH$11,2))&lt;&gt;"Work","—",IF(COUNTIF(Settings!$F$18:$F$67,AH$11)&gt;0,"BH",IF('_Engine'!DK18+'_Engine'!DL18=0,"·",IF('_Engine'!DK18='_Engine'!DL18,INDEX(Settings!$G$7:$G$11,MOD('_Engine'!DK18,10))&amp;IF('_Engine'!DK18&gt;10,"?",""),IF('_Engine'!DK18=0,INDEX(Settings!$G$7:$G$11,MOD('_Engine'!DL18,10))&amp;IF('_Engine'!DL18&gt;10,"?","")&amp;" PM",IF('_Engine'!DL18=0,INDEX(Settings!$G$7:$G$11,MOD('_Engine'!DK18,10))&amp;IF('_Engine'!DK18&gt;10,"?","")&amp;" AM",INDEX(Settings!$G$7:$G$11,MOD('_Engine'!DK18,10))&amp;IF('_Engine'!DK18&gt;10,"?","")&amp;" AM"&amp;CHAR(10)&amp;INDEX(Settings!$G$7:$G$11,MOD('_Engine'!DL18,10))&amp;IF('_Engine'!DL18&gt;10,"?","")&amp;" PM"))))))))</ns0:f>
        <ns0:v/>
      </ns0:c>
    </ns0:row>
    <ns0:row r="19" ht="38" customHeight="1">
      <ns0:c r="A19" s="4" t="str">
        <ns0:f>IF('_Engine'!AO19=0,"",IF(INDEX(Team!$B$11:$B$60,'_Engine'!AO19)="","[Unnamed]",INDEX(Team!$B$11:$B$60,'_Engine'!AO19)))</ns0:f>
        <ns0:v/>
      </ns0:c>
      <ns0:c r="B19" s="156" t="str">
        <ns0:f>IF('_Engine'!AO19=0,"",INDEX('_Engine'!$AN$11:$AN$60,'_Engine'!AO19))</ns0:f>
        <ns0:v/>
      </ns0:c>
      <ns0:c r="C19" s="4" t="str">
        <ns0:f>IF('_Engine'!AO19=0,"",INDEX(Team!$C$11:$C$60,'_Engine'!AO19))</ns0:f>
        <ns0:v/>
      </ns0:c>
      <ns0:c r="D19" s="162" t="str">
        <ns0:f>IF(OR($A19="",D$11=""),"",IF(OR('_Engine'!$B$6&gt;0,INDEX('_Engine'!$AM$11:$AM$60,'_Engine'!$AO19)&lt;&gt;"OK"),"!",IF(INDEX(Team!$H$11:$N$60,'_Engine'!$AO19,WEEKDAY(D$11,2))&lt;&gt;"Work","—",IF(COUNTIF(Settings!$F$18:$F$67,D$11)&gt;0,"BH",IF('_Engine'!BC19+'_Engine'!BD19=0,"·",IF('_Engine'!BC19='_Engine'!BD19,INDEX(Settings!$G$7:$G$11,MOD('_Engine'!BC19,10))&amp;IF('_Engine'!BC19&gt;10,"?",""),IF('_Engine'!BC19=0,INDEX(Settings!$G$7:$G$11,MOD('_Engine'!BD19,10))&amp;IF('_Engine'!BD19&gt;10,"?","")&amp;" PM",IF('_Engine'!BD19=0,INDEX(Settings!$G$7:$G$11,MOD('_Engine'!BC19,10))&amp;IF('_Engine'!BC19&gt;10,"?","")&amp;" AM",INDEX(Settings!$G$7:$G$11,MOD('_Engine'!BC19,10))&amp;IF('_Engine'!BC19&gt;10,"?","")&amp;" AM"&amp;CHAR(10)&amp;INDEX(Settings!$G$7:$G$11,MOD('_Engine'!BD19,10))&amp;IF('_Engine'!BD19&gt;10,"?","")&amp;" PM"))))))))</ns0:f>
        <ns0:v/>
      </ns0:c>
      <ns0:c r="E19" s="162" t="str">
        <ns0:f>IF(OR($A19="",E$11=""),"",IF(OR('_Engine'!$B$6&gt;0,INDEX('_Engine'!$AM$11:$AM$60,'_Engine'!$AO19)&lt;&gt;"OK"),"!",IF(INDEX(Team!$H$11:$N$60,'_Engine'!$AO19,WEEKDAY(E$11,2))&lt;&gt;"Work","—",IF(COUNTIF(Settings!$F$18:$F$67,E$11)&gt;0,"BH",IF('_Engine'!BE19+'_Engine'!BF19=0,"·",IF('_Engine'!BE19='_Engine'!BF19,INDEX(Settings!$G$7:$G$11,MOD('_Engine'!BE19,10))&amp;IF('_Engine'!BE19&gt;10,"?",""),IF('_Engine'!BE19=0,INDEX(Settings!$G$7:$G$11,MOD('_Engine'!BF19,10))&amp;IF('_Engine'!BF19&gt;10,"?","")&amp;" PM",IF('_Engine'!BF19=0,INDEX(Settings!$G$7:$G$11,MOD('_Engine'!BE19,10))&amp;IF('_Engine'!BE19&gt;10,"?","")&amp;" AM",INDEX(Settings!$G$7:$G$11,MOD('_Engine'!BE19,10))&amp;IF('_Engine'!BE19&gt;10,"?","")&amp;" AM"&amp;CHAR(10)&amp;INDEX(Settings!$G$7:$G$11,MOD('_Engine'!BF19,10))&amp;IF('_Engine'!BF19&gt;10,"?","")&amp;" PM"))))))))</ns0:f>
        <ns0:v/>
      </ns0:c>
      <ns0:c r="F19" s="162" t="str">
        <ns0:f>IF(OR($A19="",F$11=""),"",IF(OR('_Engine'!$B$6&gt;0,INDEX('_Engine'!$AM$11:$AM$60,'_Engine'!$AO19)&lt;&gt;"OK"),"!",IF(INDEX(Team!$H$11:$N$60,'_Engine'!$AO19,WEEKDAY(F$11,2))&lt;&gt;"Work","—",IF(COUNTIF(Settings!$F$18:$F$67,F$11)&gt;0,"BH",IF('_Engine'!BG19+'_Engine'!BH19=0,"·",IF('_Engine'!BG19='_Engine'!BH19,INDEX(Settings!$G$7:$G$11,MOD('_Engine'!BG19,10))&amp;IF('_Engine'!BG19&gt;10,"?",""),IF('_Engine'!BG19=0,INDEX(Settings!$G$7:$G$11,MOD('_Engine'!BH19,10))&amp;IF('_Engine'!BH19&gt;10,"?","")&amp;" PM",IF('_Engine'!BH19=0,INDEX(Settings!$G$7:$G$11,MOD('_Engine'!BG19,10))&amp;IF('_Engine'!BG19&gt;10,"?","")&amp;" AM",INDEX(Settings!$G$7:$G$11,MOD('_Engine'!BG19,10))&amp;IF('_Engine'!BG19&gt;10,"?","")&amp;" AM"&amp;CHAR(10)&amp;INDEX(Settings!$G$7:$G$11,MOD('_Engine'!BH19,10))&amp;IF('_Engine'!BH19&gt;10,"?","")&amp;" PM"))))))))</ns0:f>
        <ns0:v/>
      </ns0:c>
      <ns0:c r="G19" s="162" t="str">
        <ns0:f>IF(OR($A19="",G$11=""),"",IF(OR('_Engine'!$B$6&gt;0,INDEX('_Engine'!$AM$11:$AM$60,'_Engine'!$AO19)&lt;&gt;"OK"),"!",IF(INDEX(Team!$H$11:$N$60,'_Engine'!$AO19,WEEKDAY(G$11,2))&lt;&gt;"Work","—",IF(COUNTIF(Settings!$F$18:$F$67,G$11)&gt;0,"BH",IF('_Engine'!BI19+'_Engine'!BJ19=0,"·",IF('_Engine'!BI19='_Engine'!BJ19,INDEX(Settings!$G$7:$G$11,MOD('_Engine'!BI19,10))&amp;IF('_Engine'!BI19&gt;10,"?",""),IF('_Engine'!BI19=0,INDEX(Settings!$G$7:$G$11,MOD('_Engine'!BJ19,10))&amp;IF('_Engine'!BJ19&gt;10,"?","")&amp;" PM",IF('_Engine'!BJ19=0,INDEX(Settings!$G$7:$G$11,MOD('_Engine'!BI19,10))&amp;IF('_Engine'!BI19&gt;10,"?","")&amp;" AM",INDEX(Settings!$G$7:$G$11,MOD('_Engine'!BI19,10))&amp;IF('_Engine'!BI19&gt;10,"?","")&amp;" AM"&amp;CHAR(10)&amp;INDEX(Settings!$G$7:$G$11,MOD('_Engine'!BJ19,10))&amp;IF('_Engine'!BJ19&gt;10,"?","")&amp;" PM"))))))))</ns0:f>
        <ns0:v/>
      </ns0:c>
      <ns0:c r="H19" s="162" t="str">
        <ns0:f>IF(OR($A19="",H$11=""),"",IF(OR('_Engine'!$B$6&gt;0,INDEX('_Engine'!$AM$11:$AM$60,'_Engine'!$AO19)&lt;&gt;"OK"),"!",IF(INDEX(Team!$H$11:$N$60,'_Engine'!$AO19,WEEKDAY(H$11,2))&lt;&gt;"Work","—",IF(COUNTIF(Settings!$F$18:$F$67,H$11)&gt;0,"BH",IF('_Engine'!BK19+'_Engine'!BL19=0,"·",IF('_Engine'!BK19='_Engine'!BL19,INDEX(Settings!$G$7:$G$11,MOD('_Engine'!BK19,10))&amp;IF('_Engine'!BK19&gt;10,"?",""),IF('_Engine'!BK19=0,INDEX(Settings!$G$7:$G$11,MOD('_Engine'!BL19,10))&amp;IF('_Engine'!BL19&gt;10,"?","")&amp;" PM",IF('_Engine'!BL19=0,INDEX(Settings!$G$7:$G$11,MOD('_Engine'!BK19,10))&amp;IF('_Engine'!BK19&gt;10,"?","")&amp;" AM",INDEX(Settings!$G$7:$G$11,MOD('_Engine'!BK19,10))&amp;IF('_Engine'!BK19&gt;10,"?","")&amp;" AM"&amp;CHAR(10)&amp;INDEX(Settings!$G$7:$G$11,MOD('_Engine'!BL19,10))&amp;IF('_Engine'!BL19&gt;10,"?","")&amp;" PM"))))))))</ns0:f>
        <ns0:v/>
      </ns0:c>
      <ns0:c r="I19" s="162" t="str">
        <ns0:f>IF(OR($A19="",I$11=""),"",IF(OR('_Engine'!$B$6&gt;0,INDEX('_Engine'!$AM$11:$AM$60,'_Engine'!$AO19)&lt;&gt;"OK"),"!",IF(INDEX(Team!$H$11:$N$60,'_Engine'!$AO19,WEEKDAY(I$11,2))&lt;&gt;"Work","—",IF(COUNTIF(Settings!$F$18:$F$67,I$11)&gt;0,"BH",IF('_Engine'!BM19+'_Engine'!BN19=0,"·",IF('_Engine'!BM19='_Engine'!BN19,INDEX(Settings!$G$7:$G$11,MOD('_Engine'!BM19,10))&amp;IF('_Engine'!BM19&gt;10,"?",""),IF('_Engine'!BM19=0,INDEX(Settings!$G$7:$G$11,MOD('_Engine'!BN19,10))&amp;IF('_Engine'!BN19&gt;10,"?","")&amp;" PM",IF('_Engine'!BN19=0,INDEX(Settings!$G$7:$G$11,MOD('_Engine'!BM19,10))&amp;IF('_Engine'!BM19&gt;10,"?","")&amp;" AM",INDEX(Settings!$G$7:$G$11,MOD('_Engine'!BM19,10))&amp;IF('_Engine'!BM19&gt;10,"?","")&amp;" AM"&amp;CHAR(10)&amp;INDEX(Settings!$G$7:$G$11,MOD('_Engine'!BN19,10))&amp;IF('_Engine'!BN19&gt;10,"?","")&amp;" PM"))))))))</ns0:f>
        <ns0:v/>
      </ns0:c>
      <ns0:c r="J19" s="162" t="str">
        <ns0:f>IF(OR($A19="",J$11=""),"",IF(OR('_Engine'!$B$6&gt;0,INDEX('_Engine'!$AM$11:$AM$60,'_Engine'!$AO19)&lt;&gt;"OK"),"!",IF(INDEX(Team!$H$11:$N$60,'_Engine'!$AO19,WEEKDAY(J$11,2))&lt;&gt;"Work","—",IF(COUNTIF(Settings!$F$18:$F$67,J$11)&gt;0,"BH",IF('_Engine'!BO19+'_Engine'!BP19=0,"·",IF('_Engine'!BO19='_Engine'!BP19,INDEX(Settings!$G$7:$G$11,MOD('_Engine'!BO19,10))&amp;IF('_Engine'!BO19&gt;10,"?",""),IF('_Engine'!BO19=0,INDEX(Settings!$G$7:$G$11,MOD('_Engine'!BP19,10))&amp;IF('_Engine'!BP19&gt;10,"?","")&amp;" PM",IF('_Engine'!BP19=0,INDEX(Settings!$G$7:$G$11,MOD('_Engine'!BO19,10))&amp;IF('_Engine'!BO19&gt;10,"?","")&amp;" AM",INDEX(Settings!$G$7:$G$11,MOD('_Engine'!BO19,10))&amp;IF('_Engine'!BO19&gt;10,"?","")&amp;" AM"&amp;CHAR(10)&amp;INDEX(Settings!$G$7:$G$11,MOD('_Engine'!BP19,10))&amp;IF('_Engine'!BP19&gt;10,"?","")&amp;" PM"))))))))</ns0:f>
        <ns0:v/>
      </ns0:c>
      <ns0:c r="K19" s="164" t="str">
        <ns0:f>IF(OR($A19="",K$11=""),"",IF(OR('_Engine'!$B$6&gt;0,INDEX('_Engine'!$AM$11:$AM$60,'_Engine'!$AO19)&lt;&gt;"OK"),"!",IF(INDEX(Team!$H$11:$N$60,'_Engine'!$AO19,WEEKDAY(K$11,2))&lt;&gt;"Work","—",IF(COUNTIF(Settings!$F$18:$F$67,K$11)&gt;0,"BH",IF('_Engine'!BQ19+'_Engine'!BR19=0,"·",IF('_Engine'!BQ19='_Engine'!BR19,INDEX(Settings!$G$7:$G$11,MOD('_Engine'!BQ19,10))&amp;IF('_Engine'!BQ19&gt;10,"?",""),IF('_Engine'!BQ19=0,INDEX(Settings!$G$7:$G$11,MOD('_Engine'!BR19,10))&amp;IF('_Engine'!BR19&gt;10,"?","")&amp;" PM",IF('_Engine'!BR19=0,INDEX(Settings!$G$7:$G$11,MOD('_Engine'!BQ19,10))&amp;IF('_Engine'!BQ19&gt;10,"?","")&amp;" AM",INDEX(Settings!$G$7:$G$11,MOD('_Engine'!BQ19,10))&amp;IF('_Engine'!BQ19&gt;10,"?","")&amp;" AM"&amp;CHAR(10)&amp;INDEX(Settings!$G$7:$G$11,MOD('_Engine'!BR19,10))&amp;IF('_Engine'!BR19&gt;10,"?","")&amp;" PM"))))))))</ns0:f>
        <ns0:v/>
      </ns0:c>
      <ns0:c r="L19" s="164" t="str">
        <ns0:f>IF(OR($A19="",L$11=""),"",IF(OR('_Engine'!$B$6&gt;0,INDEX('_Engine'!$AM$11:$AM$60,'_Engine'!$AO19)&lt;&gt;"OK"),"!",IF(INDEX(Team!$H$11:$N$60,'_Engine'!$AO19,WEEKDAY(L$11,2))&lt;&gt;"Work","—",IF(COUNTIF(Settings!$F$18:$F$67,L$11)&gt;0,"BH",IF('_Engine'!BS19+'_Engine'!BT19=0,"·",IF('_Engine'!BS19='_Engine'!BT19,INDEX(Settings!$G$7:$G$11,MOD('_Engine'!BS19,10))&amp;IF('_Engine'!BS19&gt;10,"?",""),IF('_Engine'!BS19=0,INDEX(Settings!$G$7:$G$11,MOD('_Engine'!BT19,10))&amp;IF('_Engine'!BT19&gt;10,"?","")&amp;" PM",IF('_Engine'!BT19=0,INDEX(Settings!$G$7:$G$11,MOD('_Engine'!BS19,10))&amp;IF('_Engine'!BS19&gt;10,"?","")&amp;" AM",INDEX(Settings!$G$7:$G$11,MOD('_Engine'!BS19,10))&amp;IF('_Engine'!BS19&gt;10,"?","")&amp;" AM"&amp;CHAR(10)&amp;INDEX(Settings!$G$7:$G$11,MOD('_Engine'!BT19,10))&amp;IF('_Engine'!BT19&gt;10,"?","")&amp;" PM"))))))))</ns0:f>
        <ns0:v/>
      </ns0:c>
      <ns0:c r="M19" s="164" t="str">
        <ns0:f>IF(OR($A19="",M$11=""),"",IF(OR('_Engine'!$B$6&gt;0,INDEX('_Engine'!$AM$11:$AM$60,'_Engine'!$AO19)&lt;&gt;"OK"),"!",IF(INDEX(Team!$H$11:$N$60,'_Engine'!$AO19,WEEKDAY(M$11,2))&lt;&gt;"Work","—",IF(COUNTIF(Settings!$F$18:$F$67,M$11)&gt;0,"BH",IF('_Engine'!BU19+'_Engine'!BV19=0,"·",IF('_Engine'!BU19='_Engine'!BV19,INDEX(Settings!$G$7:$G$11,MOD('_Engine'!BU19,10))&amp;IF('_Engine'!BU19&gt;10,"?",""),IF('_Engine'!BU19=0,INDEX(Settings!$G$7:$G$11,MOD('_Engine'!BV19,10))&amp;IF('_Engine'!BV19&gt;10,"?","")&amp;" PM",IF('_Engine'!BV19=0,INDEX(Settings!$G$7:$G$11,MOD('_Engine'!BU19,10))&amp;IF('_Engine'!BU19&gt;10,"?","")&amp;" AM",INDEX(Settings!$G$7:$G$11,MOD('_Engine'!BU19,10))&amp;IF('_Engine'!BU19&gt;10,"?","")&amp;" AM"&amp;CHAR(10)&amp;INDEX(Settings!$G$7:$G$11,MOD('_Engine'!BV19,10))&amp;IF('_Engine'!BV19&gt;10,"?","")&amp;" PM"))))))))</ns0:f>
        <ns0:v/>
      </ns0:c>
      <ns0:c r="N19" s="164" t="str">
        <ns0:f>IF(OR($A19="",N$11=""),"",IF(OR('_Engine'!$B$6&gt;0,INDEX('_Engine'!$AM$11:$AM$60,'_Engine'!$AO19)&lt;&gt;"OK"),"!",IF(INDEX(Team!$H$11:$N$60,'_Engine'!$AO19,WEEKDAY(N$11,2))&lt;&gt;"Work","—",IF(COUNTIF(Settings!$F$18:$F$67,N$11)&gt;0,"BH",IF('_Engine'!BW19+'_Engine'!BX19=0,"·",IF('_Engine'!BW19='_Engine'!BX19,INDEX(Settings!$G$7:$G$11,MOD('_Engine'!BW19,10))&amp;IF('_Engine'!BW19&gt;10,"?",""),IF('_Engine'!BW19=0,INDEX(Settings!$G$7:$G$11,MOD('_Engine'!BX19,10))&amp;IF('_Engine'!BX19&gt;10,"?","")&amp;" PM",IF('_Engine'!BX19=0,INDEX(Settings!$G$7:$G$11,MOD('_Engine'!BW19,10))&amp;IF('_Engine'!BW19&gt;10,"?","")&amp;" AM",INDEX(Settings!$G$7:$G$11,MOD('_Engine'!BW19,10))&amp;IF('_Engine'!BW19&gt;10,"?","")&amp;" AM"&amp;CHAR(10)&amp;INDEX(Settings!$G$7:$G$11,MOD('_Engine'!BX19,10))&amp;IF('_Engine'!BX19&gt;10,"?","")&amp;" PM"))))))))</ns0:f>
        <ns0:v/>
      </ns0:c>
      <ns0:c r="O19" s="164" t="str">
        <ns0:f>IF(OR($A19="",O$11=""),"",IF(OR('_Engine'!$B$6&gt;0,INDEX('_Engine'!$AM$11:$AM$60,'_Engine'!$AO19)&lt;&gt;"OK"),"!",IF(INDEX(Team!$H$11:$N$60,'_Engine'!$AO19,WEEKDAY(O$11,2))&lt;&gt;"Work","—",IF(COUNTIF(Settings!$F$18:$F$67,O$11)&gt;0,"BH",IF('_Engine'!BY19+'_Engine'!BZ19=0,"·",IF('_Engine'!BY19='_Engine'!BZ19,INDEX(Settings!$G$7:$G$11,MOD('_Engine'!BY19,10))&amp;IF('_Engine'!BY19&gt;10,"?",""),IF('_Engine'!BY19=0,INDEX(Settings!$G$7:$G$11,MOD('_Engine'!BZ19,10))&amp;IF('_Engine'!BZ19&gt;10,"?","")&amp;" PM",IF('_Engine'!BZ19=0,INDEX(Settings!$G$7:$G$11,MOD('_Engine'!BY19,10))&amp;IF('_Engine'!BY19&gt;10,"?","")&amp;" AM",INDEX(Settings!$G$7:$G$11,MOD('_Engine'!BY19,10))&amp;IF('_Engine'!BY19&gt;10,"?","")&amp;" AM"&amp;CHAR(10)&amp;INDEX(Settings!$G$7:$G$11,MOD('_Engine'!BZ19,10))&amp;IF('_Engine'!BZ19&gt;10,"?","")&amp;" PM"))))))))</ns0:f>
        <ns0:v/>
      </ns0:c>
      <ns0:c r="P19" s="164" t="str">
        <ns0:f>IF(OR($A19="",P$11=""),"",IF(OR('_Engine'!$B$6&gt;0,INDEX('_Engine'!$AM$11:$AM$60,'_Engine'!$AO19)&lt;&gt;"OK"),"!",IF(INDEX(Team!$H$11:$N$60,'_Engine'!$AO19,WEEKDAY(P$11,2))&lt;&gt;"Work","—",IF(COUNTIF(Settings!$F$18:$F$67,P$11)&gt;0,"BH",IF('_Engine'!CA19+'_Engine'!CB19=0,"·",IF('_Engine'!CA19='_Engine'!CB19,INDEX(Settings!$G$7:$G$11,MOD('_Engine'!CA19,10))&amp;IF('_Engine'!CA19&gt;10,"?",""),IF('_Engine'!CA19=0,INDEX(Settings!$G$7:$G$11,MOD('_Engine'!CB19,10))&amp;IF('_Engine'!CB19&gt;10,"?","")&amp;" PM",IF('_Engine'!CB19=0,INDEX(Settings!$G$7:$G$11,MOD('_Engine'!CA19,10))&amp;IF('_Engine'!CA19&gt;10,"?","")&amp;" AM",INDEX(Settings!$G$7:$G$11,MOD('_Engine'!CA19,10))&amp;IF('_Engine'!CA19&gt;10,"?","")&amp;" AM"&amp;CHAR(10)&amp;INDEX(Settings!$G$7:$G$11,MOD('_Engine'!CB19,10))&amp;IF('_Engine'!CB19&gt;10,"?","")&amp;" PM"))))))))</ns0:f>
        <ns0:v/>
      </ns0:c>
      <ns0:c r="Q19" s="164" t="str">
        <ns0:f>IF(OR($A19="",Q$11=""),"",IF(OR('_Engine'!$B$6&gt;0,INDEX('_Engine'!$AM$11:$AM$60,'_Engine'!$AO19)&lt;&gt;"OK"),"!",IF(INDEX(Team!$H$11:$N$60,'_Engine'!$AO19,WEEKDAY(Q$11,2))&lt;&gt;"Work","—",IF(COUNTIF(Settings!$F$18:$F$67,Q$11)&gt;0,"BH",IF('_Engine'!CC19+'_Engine'!CD19=0,"·",IF('_Engine'!CC19='_Engine'!CD19,INDEX(Settings!$G$7:$G$11,MOD('_Engine'!CC19,10))&amp;IF('_Engine'!CC19&gt;10,"?",""),IF('_Engine'!CC19=0,INDEX(Settings!$G$7:$G$11,MOD('_Engine'!CD19,10))&amp;IF('_Engine'!CD19&gt;10,"?","")&amp;" PM",IF('_Engine'!CD19=0,INDEX(Settings!$G$7:$G$11,MOD('_Engine'!CC19,10))&amp;IF('_Engine'!CC19&gt;10,"?","")&amp;" AM",INDEX(Settings!$G$7:$G$11,MOD('_Engine'!CC19,10))&amp;IF('_Engine'!CC19&gt;10,"?","")&amp;" AM"&amp;CHAR(10)&amp;INDEX(Settings!$G$7:$G$11,MOD('_Engine'!CD19,10))&amp;IF('_Engine'!CD19&gt;10,"?","")&amp;" PM"))))))))</ns0:f>
        <ns0:v/>
      </ns0:c>
      <ns0:c r="R19" s="164" t="str">
        <ns0:f>IF(OR($A19="",R$11=""),"",IF(OR('_Engine'!$B$6&gt;0,INDEX('_Engine'!$AM$11:$AM$60,'_Engine'!$AO19)&lt;&gt;"OK"),"!",IF(INDEX(Team!$H$11:$N$60,'_Engine'!$AO19,WEEKDAY(R$11,2))&lt;&gt;"Work","—",IF(COUNTIF(Settings!$F$18:$F$67,R$11)&gt;0,"BH",IF('_Engine'!CE19+'_Engine'!CF19=0,"·",IF('_Engine'!CE19='_Engine'!CF19,INDEX(Settings!$G$7:$G$11,MOD('_Engine'!CE19,10))&amp;IF('_Engine'!CE19&gt;10,"?",""),IF('_Engine'!CE19=0,INDEX(Settings!$G$7:$G$11,MOD('_Engine'!CF19,10))&amp;IF('_Engine'!CF19&gt;10,"?","")&amp;" PM",IF('_Engine'!CF19=0,INDEX(Settings!$G$7:$G$11,MOD('_Engine'!CE19,10))&amp;IF('_Engine'!CE19&gt;10,"?","")&amp;" AM",INDEX(Settings!$G$7:$G$11,MOD('_Engine'!CE19,10))&amp;IF('_Engine'!CE19&gt;10,"?","")&amp;" AM"&amp;CHAR(10)&amp;INDEX(Settings!$G$7:$G$11,MOD('_Engine'!CF19,10))&amp;IF('_Engine'!CF19&gt;10,"?","")&amp;" PM"))))))))</ns0:f>
        <ns0:v/>
      </ns0:c>
      <ns0:c r="S19" s="164" t="str">
        <ns0:f>IF(OR($A19="",S$11=""),"",IF(OR('_Engine'!$B$6&gt;0,INDEX('_Engine'!$AM$11:$AM$60,'_Engine'!$AO19)&lt;&gt;"OK"),"!",IF(INDEX(Team!$H$11:$N$60,'_Engine'!$AO19,WEEKDAY(S$11,2))&lt;&gt;"Work","—",IF(COUNTIF(Settings!$F$18:$F$67,S$11)&gt;0,"BH",IF('_Engine'!CG19+'_Engine'!CH19=0,"·",IF('_Engine'!CG19='_Engine'!CH19,INDEX(Settings!$G$7:$G$11,MOD('_Engine'!CG19,10))&amp;IF('_Engine'!CG19&gt;10,"?",""),IF('_Engine'!CG19=0,INDEX(Settings!$G$7:$G$11,MOD('_Engine'!CH19,10))&amp;IF('_Engine'!CH19&gt;10,"?","")&amp;" PM",IF('_Engine'!CH19=0,INDEX(Settings!$G$7:$G$11,MOD('_Engine'!CG19,10))&amp;IF('_Engine'!CG19&gt;10,"?","")&amp;" AM",INDEX(Settings!$G$7:$G$11,MOD('_Engine'!CG19,10))&amp;IF('_Engine'!CG19&gt;10,"?","")&amp;" AM"&amp;CHAR(10)&amp;INDEX(Settings!$G$7:$G$11,MOD('_Engine'!CH19,10))&amp;IF('_Engine'!CH19&gt;10,"?","")&amp;" PM"))))))))</ns0:f>
        <ns0:v/>
      </ns0:c>
      <ns0:c r="T19" s="164" t="str">
        <ns0:f>IF(OR($A19="",T$11=""),"",IF(OR('_Engine'!$B$6&gt;0,INDEX('_Engine'!$AM$11:$AM$60,'_Engine'!$AO19)&lt;&gt;"OK"),"!",IF(INDEX(Team!$H$11:$N$60,'_Engine'!$AO19,WEEKDAY(T$11,2))&lt;&gt;"Work","—",IF(COUNTIF(Settings!$F$18:$F$67,T$11)&gt;0,"BH",IF('_Engine'!CI19+'_Engine'!CJ19=0,"·",IF('_Engine'!CI19='_Engine'!CJ19,INDEX(Settings!$G$7:$G$11,MOD('_Engine'!CI19,10))&amp;IF('_Engine'!CI19&gt;10,"?",""),IF('_Engine'!CI19=0,INDEX(Settings!$G$7:$G$11,MOD('_Engine'!CJ19,10))&amp;IF('_Engine'!CJ19&gt;10,"?","")&amp;" PM",IF('_Engine'!CJ19=0,INDEX(Settings!$G$7:$G$11,MOD('_Engine'!CI19,10))&amp;IF('_Engine'!CI19&gt;10,"?","")&amp;" AM",INDEX(Settings!$G$7:$G$11,MOD('_Engine'!CI19,10))&amp;IF('_Engine'!CI19&gt;10,"?","")&amp;" AM"&amp;CHAR(10)&amp;INDEX(Settings!$G$7:$G$11,MOD('_Engine'!CJ19,10))&amp;IF('_Engine'!CJ19&gt;10,"?","")&amp;" PM"))))))))</ns0:f>
        <ns0:v/>
      </ns0:c>
      <ns0:c r="U19" s="164" t="str">
        <ns0:f>IF(OR($A19="",U$11=""),"",IF(OR('_Engine'!$B$6&gt;0,INDEX('_Engine'!$AM$11:$AM$60,'_Engine'!$AO19)&lt;&gt;"OK"),"!",IF(INDEX(Team!$H$11:$N$60,'_Engine'!$AO19,WEEKDAY(U$11,2))&lt;&gt;"Work","—",IF(COUNTIF(Settings!$F$18:$F$67,U$11)&gt;0,"BH",IF('_Engine'!CK19+'_Engine'!CL19=0,"·",IF('_Engine'!CK19='_Engine'!CL19,INDEX(Settings!$G$7:$G$11,MOD('_Engine'!CK19,10))&amp;IF('_Engine'!CK19&gt;10,"?",""),IF('_Engine'!CK19=0,INDEX(Settings!$G$7:$G$11,MOD('_Engine'!CL19,10))&amp;IF('_Engine'!CL19&gt;10,"?","")&amp;" PM",IF('_Engine'!CL19=0,INDEX(Settings!$G$7:$G$11,MOD('_Engine'!CK19,10))&amp;IF('_Engine'!CK19&gt;10,"?","")&amp;" AM",INDEX(Settings!$G$7:$G$11,MOD('_Engine'!CK19,10))&amp;IF('_Engine'!CK19&gt;10,"?","")&amp;" AM"&amp;CHAR(10)&amp;INDEX(Settings!$G$7:$G$11,MOD('_Engine'!CL19,10))&amp;IF('_Engine'!CL19&gt;10,"?","")&amp;" PM"))))))))</ns0:f>
        <ns0:v/>
      </ns0:c>
      <ns0:c r="V19" s="164" t="str">
        <ns0:f>IF(OR($A19="",V$11=""),"",IF(OR('_Engine'!$B$6&gt;0,INDEX('_Engine'!$AM$11:$AM$60,'_Engine'!$AO19)&lt;&gt;"OK"),"!",IF(INDEX(Team!$H$11:$N$60,'_Engine'!$AO19,WEEKDAY(V$11,2))&lt;&gt;"Work","—",IF(COUNTIF(Settings!$F$18:$F$67,V$11)&gt;0,"BH",IF('_Engine'!CM19+'_Engine'!CN19=0,"·",IF('_Engine'!CM19='_Engine'!CN19,INDEX(Settings!$G$7:$G$11,MOD('_Engine'!CM19,10))&amp;IF('_Engine'!CM19&gt;10,"?",""),IF('_Engine'!CM19=0,INDEX(Settings!$G$7:$G$11,MOD('_Engine'!CN19,10))&amp;IF('_Engine'!CN19&gt;10,"?","")&amp;" PM",IF('_Engine'!CN19=0,INDEX(Settings!$G$7:$G$11,MOD('_Engine'!CM19,10))&amp;IF('_Engine'!CM19&gt;10,"?","")&amp;" AM",INDEX(Settings!$G$7:$G$11,MOD('_Engine'!CM19,10))&amp;IF('_Engine'!CM19&gt;10,"?","")&amp;" AM"&amp;CHAR(10)&amp;INDEX(Settings!$G$7:$G$11,MOD('_Engine'!CN19,10))&amp;IF('_Engine'!CN19&gt;10,"?","")&amp;" PM"))))))))</ns0:f>
        <ns0:v/>
      </ns0:c>
      <ns0:c r="W19" s="164" t="str">
        <ns0:f>IF(OR($A19="",W$11=""),"",IF(OR('_Engine'!$B$6&gt;0,INDEX('_Engine'!$AM$11:$AM$60,'_Engine'!$AO19)&lt;&gt;"OK"),"!",IF(INDEX(Team!$H$11:$N$60,'_Engine'!$AO19,WEEKDAY(W$11,2))&lt;&gt;"Work","—",IF(COUNTIF(Settings!$F$18:$F$67,W$11)&gt;0,"BH",IF('_Engine'!CO19+'_Engine'!CP19=0,"·",IF('_Engine'!CO19='_Engine'!CP19,INDEX(Settings!$G$7:$G$11,MOD('_Engine'!CO19,10))&amp;IF('_Engine'!CO19&gt;10,"?",""),IF('_Engine'!CO19=0,INDEX(Settings!$G$7:$G$11,MOD('_Engine'!CP19,10))&amp;IF('_Engine'!CP19&gt;10,"?","")&amp;" PM",IF('_Engine'!CP19=0,INDEX(Settings!$G$7:$G$11,MOD('_Engine'!CO19,10))&amp;IF('_Engine'!CO19&gt;10,"?","")&amp;" AM",INDEX(Settings!$G$7:$G$11,MOD('_Engine'!CO19,10))&amp;IF('_Engine'!CO19&gt;10,"?","")&amp;" AM"&amp;CHAR(10)&amp;INDEX(Settings!$G$7:$G$11,MOD('_Engine'!CP19,10))&amp;IF('_Engine'!CP19&gt;10,"?","")&amp;" PM"))))))))</ns0:f>
        <ns0:v/>
      </ns0:c>
      <ns0:c r="X19" s="164" t="str">
        <ns0:f>IF(OR($A19="",X$11=""),"",IF(OR('_Engine'!$B$6&gt;0,INDEX('_Engine'!$AM$11:$AM$60,'_Engine'!$AO19)&lt;&gt;"OK"),"!",IF(INDEX(Team!$H$11:$N$60,'_Engine'!$AO19,WEEKDAY(X$11,2))&lt;&gt;"Work","—",IF(COUNTIF(Settings!$F$18:$F$67,X$11)&gt;0,"BH",IF('_Engine'!CQ19+'_Engine'!CR19=0,"·",IF('_Engine'!CQ19='_Engine'!CR19,INDEX(Settings!$G$7:$G$11,MOD('_Engine'!CQ19,10))&amp;IF('_Engine'!CQ19&gt;10,"?",""),IF('_Engine'!CQ19=0,INDEX(Settings!$G$7:$G$11,MOD('_Engine'!CR19,10))&amp;IF('_Engine'!CR19&gt;10,"?","")&amp;" PM",IF('_Engine'!CR19=0,INDEX(Settings!$G$7:$G$11,MOD('_Engine'!CQ19,10))&amp;IF('_Engine'!CQ19&gt;10,"?","")&amp;" AM",INDEX(Settings!$G$7:$G$11,MOD('_Engine'!CQ19,10))&amp;IF('_Engine'!CQ19&gt;10,"?","")&amp;" AM"&amp;CHAR(10)&amp;INDEX(Settings!$G$7:$G$11,MOD('_Engine'!CR19,10))&amp;IF('_Engine'!CR19&gt;10,"?","")&amp;" PM"))))))))</ns0:f>
        <ns0:v/>
      </ns0:c>
      <ns0:c r="Y19" s="164" t="str">
        <ns0:f>IF(OR($A19="",Y$11=""),"",IF(OR('_Engine'!$B$6&gt;0,INDEX('_Engine'!$AM$11:$AM$60,'_Engine'!$AO19)&lt;&gt;"OK"),"!",IF(INDEX(Team!$H$11:$N$60,'_Engine'!$AO19,WEEKDAY(Y$11,2))&lt;&gt;"Work","—",IF(COUNTIF(Settings!$F$18:$F$67,Y$11)&gt;0,"BH",IF('_Engine'!CS19+'_Engine'!CT19=0,"·",IF('_Engine'!CS19='_Engine'!CT19,INDEX(Settings!$G$7:$G$11,MOD('_Engine'!CS19,10))&amp;IF('_Engine'!CS19&gt;10,"?",""),IF('_Engine'!CS19=0,INDEX(Settings!$G$7:$G$11,MOD('_Engine'!CT19,10))&amp;IF('_Engine'!CT19&gt;10,"?","")&amp;" PM",IF('_Engine'!CT19=0,INDEX(Settings!$G$7:$G$11,MOD('_Engine'!CS19,10))&amp;IF('_Engine'!CS19&gt;10,"?","")&amp;" AM",INDEX(Settings!$G$7:$G$11,MOD('_Engine'!CS19,10))&amp;IF('_Engine'!CS19&gt;10,"?","")&amp;" AM"&amp;CHAR(10)&amp;INDEX(Settings!$G$7:$G$11,MOD('_Engine'!CT19,10))&amp;IF('_Engine'!CT19&gt;10,"?","")&amp;" PM"))))))))</ns0:f>
        <ns0:v/>
      </ns0:c>
      <ns0:c r="Z19" s="164" t="str">
        <ns0:f>IF(OR($A19="",Z$11=""),"",IF(OR('_Engine'!$B$6&gt;0,INDEX('_Engine'!$AM$11:$AM$60,'_Engine'!$AO19)&lt;&gt;"OK"),"!",IF(INDEX(Team!$H$11:$N$60,'_Engine'!$AO19,WEEKDAY(Z$11,2))&lt;&gt;"Work","—",IF(COUNTIF(Settings!$F$18:$F$67,Z$11)&gt;0,"BH",IF('_Engine'!CU19+'_Engine'!CV19=0,"·",IF('_Engine'!CU19='_Engine'!CV19,INDEX(Settings!$G$7:$G$11,MOD('_Engine'!CU19,10))&amp;IF('_Engine'!CU19&gt;10,"?",""),IF('_Engine'!CU19=0,INDEX(Settings!$G$7:$G$11,MOD('_Engine'!CV19,10))&amp;IF('_Engine'!CV19&gt;10,"?","")&amp;" PM",IF('_Engine'!CV19=0,INDEX(Settings!$G$7:$G$11,MOD('_Engine'!CU19,10))&amp;IF('_Engine'!CU19&gt;10,"?","")&amp;" AM",INDEX(Settings!$G$7:$G$11,MOD('_Engine'!CU19,10))&amp;IF('_Engine'!CU19&gt;10,"?","")&amp;" AM"&amp;CHAR(10)&amp;INDEX(Settings!$G$7:$G$11,MOD('_Engine'!CV19,10))&amp;IF('_Engine'!CV19&gt;10,"?","")&amp;" PM"))))))))</ns0:f>
        <ns0:v/>
      </ns0:c>
      <ns0:c r="AA19" s="164" t="str">
        <ns0:f>IF(OR($A19="",AA$11=""),"",IF(OR('_Engine'!$B$6&gt;0,INDEX('_Engine'!$AM$11:$AM$60,'_Engine'!$AO19)&lt;&gt;"OK"),"!",IF(INDEX(Team!$H$11:$N$60,'_Engine'!$AO19,WEEKDAY(AA$11,2))&lt;&gt;"Work","—",IF(COUNTIF(Settings!$F$18:$F$67,AA$11)&gt;0,"BH",IF('_Engine'!CW19+'_Engine'!CX19=0,"·",IF('_Engine'!CW19='_Engine'!CX19,INDEX(Settings!$G$7:$G$11,MOD('_Engine'!CW19,10))&amp;IF('_Engine'!CW19&gt;10,"?",""),IF('_Engine'!CW19=0,INDEX(Settings!$G$7:$G$11,MOD('_Engine'!CX19,10))&amp;IF('_Engine'!CX19&gt;10,"?","")&amp;" PM",IF('_Engine'!CX19=0,INDEX(Settings!$G$7:$G$11,MOD('_Engine'!CW19,10))&amp;IF('_Engine'!CW19&gt;10,"?","")&amp;" AM",INDEX(Settings!$G$7:$G$11,MOD('_Engine'!CW19,10))&amp;IF('_Engine'!CW19&gt;10,"?","")&amp;" AM"&amp;CHAR(10)&amp;INDEX(Settings!$G$7:$G$11,MOD('_Engine'!CX19,10))&amp;IF('_Engine'!CX19&gt;10,"?","")&amp;" PM"))))))))</ns0:f>
        <ns0:v/>
      </ns0:c>
      <ns0:c r="AB19" s="164" t="str">
        <ns0:f>IF(OR($A19="",AB$11=""),"",IF(OR('_Engine'!$B$6&gt;0,INDEX('_Engine'!$AM$11:$AM$60,'_Engine'!$AO19)&lt;&gt;"OK"),"!",IF(INDEX(Team!$H$11:$N$60,'_Engine'!$AO19,WEEKDAY(AB$11,2))&lt;&gt;"Work","—",IF(COUNTIF(Settings!$F$18:$F$67,AB$11)&gt;0,"BH",IF('_Engine'!CY19+'_Engine'!CZ19=0,"·",IF('_Engine'!CY19='_Engine'!CZ19,INDEX(Settings!$G$7:$G$11,MOD('_Engine'!CY19,10))&amp;IF('_Engine'!CY19&gt;10,"?",""),IF('_Engine'!CY19=0,INDEX(Settings!$G$7:$G$11,MOD('_Engine'!CZ19,10))&amp;IF('_Engine'!CZ19&gt;10,"?","")&amp;" PM",IF('_Engine'!CZ19=0,INDEX(Settings!$G$7:$G$11,MOD('_Engine'!CY19,10))&amp;IF('_Engine'!CY19&gt;10,"?","")&amp;" AM",INDEX(Settings!$G$7:$G$11,MOD('_Engine'!CY19,10))&amp;IF('_Engine'!CY19&gt;10,"?","")&amp;" AM"&amp;CHAR(10)&amp;INDEX(Settings!$G$7:$G$11,MOD('_Engine'!CZ19,10))&amp;IF('_Engine'!CZ19&gt;10,"?","")&amp;" PM"))))))))</ns0:f>
        <ns0:v/>
      </ns0:c>
      <ns0:c r="AC19" s="164" t="str">
        <ns0:f>IF(OR($A19="",AC$11=""),"",IF(OR('_Engine'!$B$6&gt;0,INDEX('_Engine'!$AM$11:$AM$60,'_Engine'!$AO19)&lt;&gt;"OK"),"!",IF(INDEX(Team!$H$11:$N$60,'_Engine'!$AO19,WEEKDAY(AC$11,2))&lt;&gt;"Work","—",IF(COUNTIF(Settings!$F$18:$F$67,AC$11)&gt;0,"BH",IF('_Engine'!DA19+'_Engine'!DB19=0,"·",IF('_Engine'!DA19='_Engine'!DB19,INDEX(Settings!$G$7:$G$11,MOD('_Engine'!DA19,10))&amp;IF('_Engine'!DA19&gt;10,"?",""),IF('_Engine'!DA19=0,INDEX(Settings!$G$7:$G$11,MOD('_Engine'!DB19,10))&amp;IF('_Engine'!DB19&gt;10,"?","")&amp;" PM",IF('_Engine'!DB19=0,INDEX(Settings!$G$7:$G$11,MOD('_Engine'!DA19,10))&amp;IF('_Engine'!DA19&gt;10,"?","")&amp;" AM",INDEX(Settings!$G$7:$G$11,MOD('_Engine'!DA19,10))&amp;IF('_Engine'!DA19&gt;10,"?","")&amp;" AM"&amp;CHAR(10)&amp;INDEX(Settings!$G$7:$G$11,MOD('_Engine'!DB19,10))&amp;IF('_Engine'!DB19&gt;10,"?","")&amp;" PM"))))))))</ns0:f>
        <ns0:v/>
      </ns0:c>
      <ns0:c r="AD19" s="164" t="str">
        <ns0:f>IF(OR($A19="",AD$11=""),"",IF(OR('_Engine'!$B$6&gt;0,INDEX('_Engine'!$AM$11:$AM$60,'_Engine'!$AO19)&lt;&gt;"OK"),"!",IF(INDEX(Team!$H$11:$N$60,'_Engine'!$AO19,WEEKDAY(AD$11,2))&lt;&gt;"Work","—",IF(COUNTIF(Settings!$F$18:$F$67,AD$11)&gt;0,"BH",IF('_Engine'!DC19+'_Engine'!DD19=0,"·",IF('_Engine'!DC19='_Engine'!DD19,INDEX(Settings!$G$7:$G$11,MOD('_Engine'!DC19,10))&amp;IF('_Engine'!DC19&gt;10,"?",""),IF('_Engine'!DC19=0,INDEX(Settings!$G$7:$G$11,MOD('_Engine'!DD19,10))&amp;IF('_Engine'!DD19&gt;10,"?","")&amp;" PM",IF('_Engine'!DD19=0,INDEX(Settings!$G$7:$G$11,MOD('_Engine'!DC19,10))&amp;IF('_Engine'!DC19&gt;10,"?","")&amp;" AM",INDEX(Settings!$G$7:$G$11,MOD('_Engine'!DC19,10))&amp;IF('_Engine'!DC19&gt;10,"?","")&amp;" AM"&amp;CHAR(10)&amp;INDEX(Settings!$G$7:$G$11,MOD('_Engine'!DD19,10))&amp;IF('_Engine'!DD19&gt;10,"?","")&amp;" PM"))))))))</ns0:f>
        <ns0:v/>
      </ns0:c>
      <ns0:c r="AE19" s="164" t="str">
        <ns0:f>IF(OR($A19="",AE$11=""),"",IF(OR('_Engine'!$B$6&gt;0,INDEX('_Engine'!$AM$11:$AM$60,'_Engine'!$AO19)&lt;&gt;"OK"),"!",IF(INDEX(Team!$H$11:$N$60,'_Engine'!$AO19,WEEKDAY(AE$11,2))&lt;&gt;"Work","—",IF(COUNTIF(Settings!$F$18:$F$67,AE$11)&gt;0,"BH",IF('_Engine'!DE19+'_Engine'!DF19=0,"·",IF('_Engine'!DE19='_Engine'!DF19,INDEX(Settings!$G$7:$G$11,MOD('_Engine'!DE19,10))&amp;IF('_Engine'!DE19&gt;10,"?",""),IF('_Engine'!DE19=0,INDEX(Settings!$G$7:$G$11,MOD('_Engine'!DF19,10))&amp;IF('_Engine'!DF19&gt;10,"?","")&amp;" PM",IF('_Engine'!DF19=0,INDEX(Settings!$G$7:$G$11,MOD('_Engine'!DE19,10))&amp;IF('_Engine'!DE19&gt;10,"?","")&amp;" AM",INDEX(Settings!$G$7:$G$11,MOD('_Engine'!DE19,10))&amp;IF('_Engine'!DE19&gt;10,"?","")&amp;" AM"&amp;CHAR(10)&amp;INDEX(Settings!$G$7:$G$11,MOD('_Engine'!DF19,10))&amp;IF('_Engine'!DF19&gt;10,"?","")&amp;" PM"))))))))</ns0:f>
        <ns0:v/>
      </ns0:c>
      <ns0:c r="AF19" s="164" t="str">
        <ns0:f>IF(OR($A19="",AF$11=""),"",IF(OR('_Engine'!$B$6&gt;0,INDEX('_Engine'!$AM$11:$AM$60,'_Engine'!$AO19)&lt;&gt;"OK"),"!",IF(INDEX(Team!$H$11:$N$60,'_Engine'!$AO19,WEEKDAY(AF$11,2))&lt;&gt;"Work","—",IF(COUNTIF(Settings!$F$18:$F$67,AF$11)&gt;0,"BH",IF('_Engine'!DG19+'_Engine'!DH19=0,"·",IF('_Engine'!DG19='_Engine'!DH19,INDEX(Settings!$G$7:$G$11,MOD('_Engine'!DG19,10))&amp;IF('_Engine'!DG19&gt;10,"?",""),IF('_Engine'!DG19=0,INDEX(Settings!$G$7:$G$11,MOD('_Engine'!DH19,10))&amp;IF('_Engine'!DH19&gt;10,"?","")&amp;" PM",IF('_Engine'!DH19=0,INDEX(Settings!$G$7:$G$11,MOD('_Engine'!DG19,10))&amp;IF('_Engine'!DG19&gt;10,"?","")&amp;" AM",INDEX(Settings!$G$7:$G$11,MOD('_Engine'!DG19,10))&amp;IF('_Engine'!DG19&gt;10,"?","")&amp;" AM"&amp;CHAR(10)&amp;INDEX(Settings!$G$7:$G$11,MOD('_Engine'!DH19,10))&amp;IF('_Engine'!DH19&gt;10,"?","")&amp;" PM"))))))))</ns0:f>
        <ns0:v/>
      </ns0:c>
      <ns0:c r="AG19" s="164" t="str">
        <ns0:f>IF(OR($A19="",AG$11=""),"",IF(OR('_Engine'!$B$6&gt;0,INDEX('_Engine'!$AM$11:$AM$60,'_Engine'!$AO19)&lt;&gt;"OK"),"!",IF(INDEX(Team!$H$11:$N$60,'_Engine'!$AO19,WEEKDAY(AG$11,2))&lt;&gt;"Work","—",IF(COUNTIF(Settings!$F$18:$F$67,AG$11)&gt;0,"BH",IF('_Engine'!DI19+'_Engine'!DJ19=0,"·",IF('_Engine'!DI19='_Engine'!DJ19,INDEX(Settings!$G$7:$G$11,MOD('_Engine'!DI19,10))&amp;IF('_Engine'!DI19&gt;10,"?",""),IF('_Engine'!DI19=0,INDEX(Settings!$G$7:$G$11,MOD('_Engine'!DJ19,10))&amp;IF('_Engine'!DJ19&gt;10,"?","")&amp;" PM",IF('_Engine'!DJ19=0,INDEX(Settings!$G$7:$G$11,MOD('_Engine'!DI19,10))&amp;IF('_Engine'!DI19&gt;10,"?","")&amp;" AM",INDEX(Settings!$G$7:$G$11,MOD('_Engine'!DI19,10))&amp;IF('_Engine'!DI19&gt;10,"?","")&amp;" AM"&amp;CHAR(10)&amp;INDEX(Settings!$G$7:$G$11,MOD('_Engine'!DJ19,10))&amp;IF('_Engine'!DJ19&gt;10,"?","")&amp;" PM"))))))))</ns0:f>
        <ns0:v/>
      </ns0:c>
      <ns0:c r="AH19" s="164" t="str">
        <ns0:f>IF(OR($A19="",AH$11=""),"",IF(OR('_Engine'!$B$6&gt;0,INDEX('_Engine'!$AM$11:$AM$60,'_Engine'!$AO19)&lt;&gt;"OK"),"!",IF(INDEX(Team!$H$11:$N$60,'_Engine'!$AO19,WEEKDAY(AH$11,2))&lt;&gt;"Work","—",IF(COUNTIF(Settings!$F$18:$F$67,AH$11)&gt;0,"BH",IF('_Engine'!DK19+'_Engine'!DL19=0,"·",IF('_Engine'!DK19='_Engine'!DL19,INDEX(Settings!$G$7:$G$11,MOD('_Engine'!DK19,10))&amp;IF('_Engine'!DK19&gt;10,"?",""),IF('_Engine'!DK19=0,INDEX(Settings!$G$7:$G$11,MOD('_Engine'!DL19,10))&amp;IF('_Engine'!DL19&gt;10,"?","")&amp;" PM",IF('_Engine'!DL19=0,INDEX(Settings!$G$7:$G$11,MOD('_Engine'!DK19,10))&amp;IF('_Engine'!DK19&gt;10,"?","")&amp;" AM",INDEX(Settings!$G$7:$G$11,MOD('_Engine'!DK19,10))&amp;IF('_Engine'!DK19&gt;10,"?","")&amp;" AM"&amp;CHAR(10)&amp;INDEX(Settings!$G$7:$G$11,MOD('_Engine'!DL19,10))&amp;IF('_Engine'!DL19&gt;10,"?","")&amp;" PM"))))))))</ns0:f>
        <ns0:v/>
      </ns0:c>
    </ns0:row>
    <ns0:row r="20" ht="38" customHeight="1">
      <ns0:c r="A20" s="4" t="str">
        <ns0:f>IF('_Engine'!AO20=0,"",IF(INDEX(Team!$B$11:$B$60,'_Engine'!AO20)="","[Unnamed]",INDEX(Team!$B$11:$B$60,'_Engine'!AO20)))</ns0:f>
        <ns0:v/>
      </ns0:c>
      <ns0:c r="B20" s="156" t="str">
        <ns0:f>IF('_Engine'!AO20=0,"",INDEX('_Engine'!$AN$11:$AN$60,'_Engine'!AO20))</ns0:f>
        <ns0:v/>
      </ns0:c>
      <ns0:c r="C20" s="4" t="str">
        <ns0:f>IF('_Engine'!AO20=0,"",INDEX(Team!$C$11:$C$60,'_Engine'!AO20))</ns0:f>
        <ns0:v/>
      </ns0:c>
      <ns0:c r="D20" s="162" t="str">
        <ns0:f>IF(OR($A20="",D$11=""),"",IF(OR('_Engine'!$B$6&gt;0,INDEX('_Engine'!$AM$11:$AM$60,'_Engine'!$AO20)&lt;&gt;"OK"),"!",IF(INDEX(Team!$H$11:$N$60,'_Engine'!$AO20,WEEKDAY(D$11,2))&lt;&gt;"Work","—",IF(COUNTIF(Settings!$F$18:$F$67,D$11)&gt;0,"BH",IF('_Engine'!BC20+'_Engine'!BD20=0,"·",IF('_Engine'!BC20='_Engine'!BD20,INDEX(Settings!$G$7:$G$11,MOD('_Engine'!BC20,10))&amp;IF('_Engine'!BC20&gt;10,"?",""),IF('_Engine'!BC20=0,INDEX(Settings!$G$7:$G$11,MOD('_Engine'!BD20,10))&amp;IF('_Engine'!BD20&gt;10,"?","")&amp;" PM",IF('_Engine'!BD20=0,INDEX(Settings!$G$7:$G$11,MOD('_Engine'!BC20,10))&amp;IF('_Engine'!BC20&gt;10,"?","")&amp;" AM",INDEX(Settings!$G$7:$G$11,MOD('_Engine'!BC20,10))&amp;IF('_Engine'!BC20&gt;10,"?","")&amp;" AM"&amp;CHAR(10)&amp;INDEX(Settings!$G$7:$G$11,MOD('_Engine'!BD20,10))&amp;IF('_Engine'!BD20&gt;10,"?","")&amp;" PM"))))))))</ns0:f>
        <ns0:v/>
      </ns0:c>
      <ns0:c r="E20" s="162" t="str">
        <ns0:f>IF(OR($A20="",E$11=""),"",IF(OR('_Engine'!$B$6&gt;0,INDEX('_Engine'!$AM$11:$AM$60,'_Engine'!$AO20)&lt;&gt;"OK"),"!",IF(INDEX(Team!$H$11:$N$60,'_Engine'!$AO20,WEEKDAY(E$11,2))&lt;&gt;"Work","—",IF(COUNTIF(Settings!$F$18:$F$67,E$11)&gt;0,"BH",IF('_Engine'!BE20+'_Engine'!BF20=0,"·",IF('_Engine'!BE20='_Engine'!BF20,INDEX(Settings!$G$7:$G$11,MOD('_Engine'!BE20,10))&amp;IF('_Engine'!BE20&gt;10,"?",""),IF('_Engine'!BE20=0,INDEX(Settings!$G$7:$G$11,MOD('_Engine'!BF20,10))&amp;IF('_Engine'!BF20&gt;10,"?","")&amp;" PM",IF('_Engine'!BF20=0,INDEX(Settings!$G$7:$G$11,MOD('_Engine'!BE20,10))&amp;IF('_Engine'!BE20&gt;10,"?","")&amp;" AM",INDEX(Settings!$G$7:$G$11,MOD('_Engine'!BE20,10))&amp;IF('_Engine'!BE20&gt;10,"?","")&amp;" AM"&amp;CHAR(10)&amp;INDEX(Settings!$G$7:$G$11,MOD('_Engine'!BF20,10))&amp;IF('_Engine'!BF20&gt;10,"?","")&amp;" PM"))))))))</ns0:f>
        <ns0:v/>
      </ns0:c>
      <ns0:c r="F20" s="162" t="str">
        <ns0:f>IF(OR($A20="",F$11=""),"",IF(OR('_Engine'!$B$6&gt;0,INDEX('_Engine'!$AM$11:$AM$60,'_Engine'!$AO20)&lt;&gt;"OK"),"!",IF(INDEX(Team!$H$11:$N$60,'_Engine'!$AO20,WEEKDAY(F$11,2))&lt;&gt;"Work","—",IF(COUNTIF(Settings!$F$18:$F$67,F$11)&gt;0,"BH",IF('_Engine'!BG20+'_Engine'!BH20=0,"·",IF('_Engine'!BG20='_Engine'!BH20,INDEX(Settings!$G$7:$G$11,MOD('_Engine'!BG20,10))&amp;IF('_Engine'!BG20&gt;10,"?",""),IF('_Engine'!BG20=0,INDEX(Settings!$G$7:$G$11,MOD('_Engine'!BH20,10))&amp;IF('_Engine'!BH20&gt;10,"?","")&amp;" PM",IF('_Engine'!BH20=0,INDEX(Settings!$G$7:$G$11,MOD('_Engine'!BG20,10))&amp;IF('_Engine'!BG20&gt;10,"?","")&amp;" AM",INDEX(Settings!$G$7:$G$11,MOD('_Engine'!BG20,10))&amp;IF('_Engine'!BG20&gt;10,"?","")&amp;" AM"&amp;CHAR(10)&amp;INDEX(Settings!$G$7:$G$11,MOD('_Engine'!BH20,10))&amp;IF('_Engine'!BH20&gt;10,"?","")&amp;" PM"))))))))</ns0:f>
        <ns0:v/>
      </ns0:c>
      <ns0:c r="G20" s="162" t="str">
        <ns0:f>IF(OR($A20="",G$11=""),"",IF(OR('_Engine'!$B$6&gt;0,INDEX('_Engine'!$AM$11:$AM$60,'_Engine'!$AO20)&lt;&gt;"OK"),"!",IF(INDEX(Team!$H$11:$N$60,'_Engine'!$AO20,WEEKDAY(G$11,2))&lt;&gt;"Work","—",IF(COUNTIF(Settings!$F$18:$F$67,G$11)&gt;0,"BH",IF('_Engine'!BI20+'_Engine'!BJ20=0,"·",IF('_Engine'!BI20='_Engine'!BJ20,INDEX(Settings!$G$7:$G$11,MOD('_Engine'!BI20,10))&amp;IF('_Engine'!BI20&gt;10,"?",""),IF('_Engine'!BI20=0,INDEX(Settings!$G$7:$G$11,MOD('_Engine'!BJ20,10))&amp;IF('_Engine'!BJ20&gt;10,"?","")&amp;" PM",IF('_Engine'!BJ20=0,INDEX(Settings!$G$7:$G$11,MOD('_Engine'!BI20,10))&amp;IF('_Engine'!BI20&gt;10,"?","")&amp;" AM",INDEX(Settings!$G$7:$G$11,MOD('_Engine'!BI20,10))&amp;IF('_Engine'!BI20&gt;10,"?","")&amp;" AM"&amp;CHAR(10)&amp;INDEX(Settings!$G$7:$G$11,MOD('_Engine'!BJ20,10))&amp;IF('_Engine'!BJ20&gt;10,"?","")&amp;" PM"))))))))</ns0:f>
        <ns0:v/>
      </ns0:c>
      <ns0:c r="H20" s="162" t="str">
        <ns0:f>IF(OR($A20="",H$11=""),"",IF(OR('_Engine'!$B$6&gt;0,INDEX('_Engine'!$AM$11:$AM$60,'_Engine'!$AO20)&lt;&gt;"OK"),"!",IF(INDEX(Team!$H$11:$N$60,'_Engine'!$AO20,WEEKDAY(H$11,2))&lt;&gt;"Work","—",IF(COUNTIF(Settings!$F$18:$F$67,H$11)&gt;0,"BH",IF('_Engine'!BK20+'_Engine'!BL20=0,"·",IF('_Engine'!BK20='_Engine'!BL20,INDEX(Settings!$G$7:$G$11,MOD('_Engine'!BK20,10))&amp;IF('_Engine'!BK20&gt;10,"?",""),IF('_Engine'!BK20=0,INDEX(Settings!$G$7:$G$11,MOD('_Engine'!BL20,10))&amp;IF('_Engine'!BL20&gt;10,"?","")&amp;" PM",IF('_Engine'!BL20=0,INDEX(Settings!$G$7:$G$11,MOD('_Engine'!BK20,10))&amp;IF('_Engine'!BK20&gt;10,"?","")&amp;" AM",INDEX(Settings!$G$7:$G$11,MOD('_Engine'!BK20,10))&amp;IF('_Engine'!BK20&gt;10,"?","")&amp;" AM"&amp;CHAR(10)&amp;INDEX(Settings!$G$7:$G$11,MOD('_Engine'!BL20,10))&amp;IF('_Engine'!BL20&gt;10,"?","")&amp;" PM"))))))))</ns0:f>
        <ns0:v/>
      </ns0:c>
      <ns0:c r="I20" s="162" t="str">
        <ns0:f>IF(OR($A20="",I$11=""),"",IF(OR('_Engine'!$B$6&gt;0,INDEX('_Engine'!$AM$11:$AM$60,'_Engine'!$AO20)&lt;&gt;"OK"),"!",IF(INDEX(Team!$H$11:$N$60,'_Engine'!$AO20,WEEKDAY(I$11,2))&lt;&gt;"Work","—",IF(COUNTIF(Settings!$F$18:$F$67,I$11)&gt;0,"BH",IF('_Engine'!BM20+'_Engine'!BN20=0,"·",IF('_Engine'!BM20='_Engine'!BN20,INDEX(Settings!$G$7:$G$11,MOD('_Engine'!BM20,10))&amp;IF('_Engine'!BM20&gt;10,"?",""),IF('_Engine'!BM20=0,INDEX(Settings!$G$7:$G$11,MOD('_Engine'!BN20,10))&amp;IF('_Engine'!BN20&gt;10,"?","")&amp;" PM",IF('_Engine'!BN20=0,INDEX(Settings!$G$7:$G$11,MOD('_Engine'!BM20,10))&amp;IF('_Engine'!BM20&gt;10,"?","")&amp;" AM",INDEX(Settings!$G$7:$G$11,MOD('_Engine'!BM20,10))&amp;IF('_Engine'!BM20&gt;10,"?","")&amp;" AM"&amp;CHAR(10)&amp;INDEX(Settings!$G$7:$G$11,MOD('_Engine'!BN20,10))&amp;IF('_Engine'!BN20&gt;10,"?","")&amp;" PM"))))))))</ns0:f>
        <ns0:v/>
      </ns0:c>
      <ns0:c r="J20" s="162" t="str">
        <ns0:f>IF(OR($A20="",J$11=""),"",IF(OR('_Engine'!$B$6&gt;0,INDEX('_Engine'!$AM$11:$AM$60,'_Engine'!$AO20)&lt;&gt;"OK"),"!",IF(INDEX(Team!$H$11:$N$60,'_Engine'!$AO20,WEEKDAY(J$11,2))&lt;&gt;"Work","—",IF(COUNTIF(Settings!$F$18:$F$67,J$11)&gt;0,"BH",IF('_Engine'!BO20+'_Engine'!BP20=0,"·",IF('_Engine'!BO20='_Engine'!BP20,INDEX(Settings!$G$7:$G$11,MOD('_Engine'!BO20,10))&amp;IF('_Engine'!BO20&gt;10,"?",""),IF('_Engine'!BO20=0,INDEX(Settings!$G$7:$G$11,MOD('_Engine'!BP20,10))&amp;IF('_Engine'!BP20&gt;10,"?","")&amp;" PM",IF('_Engine'!BP20=0,INDEX(Settings!$G$7:$G$11,MOD('_Engine'!BO20,10))&amp;IF('_Engine'!BO20&gt;10,"?","")&amp;" AM",INDEX(Settings!$G$7:$G$11,MOD('_Engine'!BO20,10))&amp;IF('_Engine'!BO20&gt;10,"?","")&amp;" AM"&amp;CHAR(10)&amp;INDEX(Settings!$G$7:$G$11,MOD('_Engine'!BP20,10))&amp;IF('_Engine'!BP20&gt;10,"?","")&amp;" PM"))))))))</ns0:f>
        <ns0:v/>
      </ns0:c>
      <ns0:c r="K20" s="164" t="str">
        <ns0:f>IF(OR($A20="",K$11=""),"",IF(OR('_Engine'!$B$6&gt;0,INDEX('_Engine'!$AM$11:$AM$60,'_Engine'!$AO20)&lt;&gt;"OK"),"!",IF(INDEX(Team!$H$11:$N$60,'_Engine'!$AO20,WEEKDAY(K$11,2))&lt;&gt;"Work","—",IF(COUNTIF(Settings!$F$18:$F$67,K$11)&gt;0,"BH",IF('_Engine'!BQ20+'_Engine'!BR20=0,"·",IF('_Engine'!BQ20='_Engine'!BR20,INDEX(Settings!$G$7:$G$11,MOD('_Engine'!BQ20,10))&amp;IF('_Engine'!BQ20&gt;10,"?",""),IF('_Engine'!BQ20=0,INDEX(Settings!$G$7:$G$11,MOD('_Engine'!BR20,10))&amp;IF('_Engine'!BR20&gt;10,"?","")&amp;" PM",IF('_Engine'!BR20=0,INDEX(Settings!$G$7:$G$11,MOD('_Engine'!BQ20,10))&amp;IF('_Engine'!BQ20&gt;10,"?","")&amp;" AM",INDEX(Settings!$G$7:$G$11,MOD('_Engine'!BQ20,10))&amp;IF('_Engine'!BQ20&gt;10,"?","")&amp;" AM"&amp;CHAR(10)&amp;INDEX(Settings!$G$7:$G$11,MOD('_Engine'!BR20,10))&amp;IF('_Engine'!BR20&gt;10,"?","")&amp;" PM"))))))))</ns0:f>
        <ns0:v/>
      </ns0:c>
      <ns0:c r="L20" s="164" t="str">
        <ns0:f>IF(OR($A20="",L$11=""),"",IF(OR('_Engine'!$B$6&gt;0,INDEX('_Engine'!$AM$11:$AM$60,'_Engine'!$AO20)&lt;&gt;"OK"),"!",IF(INDEX(Team!$H$11:$N$60,'_Engine'!$AO20,WEEKDAY(L$11,2))&lt;&gt;"Work","—",IF(COUNTIF(Settings!$F$18:$F$67,L$11)&gt;0,"BH",IF('_Engine'!BS20+'_Engine'!BT20=0,"·",IF('_Engine'!BS20='_Engine'!BT20,INDEX(Settings!$G$7:$G$11,MOD('_Engine'!BS20,10))&amp;IF('_Engine'!BS20&gt;10,"?",""),IF('_Engine'!BS20=0,INDEX(Settings!$G$7:$G$11,MOD('_Engine'!BT20,10))&amp;IF('_Engine'!BT20&gt;10,"?","")&amp;" PM",IF('_Engine'!BT20=0,INDEX(Settings!$G$7:$G$11,MOD('_Engine'!BS20,10))&amp;IF('_Engine'!BS20&gt;10,"?","")&amp;" AM",INDEX(Settings!$G$7:$G$11,MOD('_Engine'!BS20,10))&amp;IF('_Engine'!BS20&gt;10,"?","")&amp;" AM"&amp;CHAR(10)&amp;INDEX(Settings!$G$7:$G$11,MOD('_Engine'!BT20,10))&amp;IF('_Engine'!BT20&gt;10,"?","")&amp;" PM"))))))))</ns0:f>
        <ns0:v/>
      </ns0:c>
      <ns0:c r="M20" s="164" t="str">
        <ns0:f>IF(OR($A20="",M$11=""),"",IF(OR('_Engine'!$B$6&gt;0,INDEX('_Engine'!$AM$11:$AM$60,'_Engine'!$AO20)&lt;&gt;"OK"),"!",IF(INDEX(Team!$H$11:$N$60,'_Engine'!$AO20,WEEKDAY(M$11,2))&lt;&gt;"Work","—",IF(COUNTIF(Settings!$F$18:$F$67,M$11)&gt;0,"BH",IF('_Engine'!BU20+'_Engine'!BV20=0,"·",IF('_Engine'!BU20='_Engine'!BV20,INDEX(Settings!$G$7:$G$11,MOD('_Engine'!BU20,10))&amp;IF('_Engine'!BU20&gt;10,"?",""),IF('_Engine'!BU20=0,INDEX(Settings!$G$7:$G$11,MOD('_Engine'!BV20,10))&amp;IF('_Engine'!BV20&gt;10,"?","")&amp;" PM",IF('_Engine'!BV20=0,INDEX(Settings!$G$7:$G$11,MOD('_Engine'!BU20,10))&amp;IF('_Engine'!BU20&gt;10,"?","")&amp;" AM",INDEX(Settings!$G$7:$G$11,MOD('_Engine'!BU20,10))&amp;IF('_Engine'!BU20&gt;10,"?","")&amp;" AM"&amp;CHAR(10)&amp;INDEX(Settings!$G$7:$G$11,MOD('_Engine'!BV20,10))&amp;IF('_Engine'!BV20&gt;10,"?","")&amp;" PM"))))))))</ns0:f>
        <ns0:v/>
      </ns0:c>
      <ns0:c r="N20" s="164" t="str">
        <ns0:f>IF(OR($A20="",N$11=""),"",IF(OR('_Engine'!$B$6&gt;0,INDEX('_Engine'!$AM$11:$AM$60,'_Engine'!$AO20)&lt;&gt;"OK"),"!",IF(INDEX(Team!$H$11:$N$60,'_Engine'!$AO20,WEEKDAY(N$11,2))&lt;&gt;"Work","—",IF(COUNTIF(Settings!$F$18:$F$67,N$11)&gt;0,"BH",IF('_Engine'!BW20+'_Engine'!BX20=0,"·",IF('_Engine'!BW20='_Engine'!BX20,INDEX(Settings!$G$7:$G$11,MOD('_Engine'!BW20,10))&amp;IF('_Engine'!BW20&gt;10,"?",""),IF('_Engine'!BW20=0,INDEX(Settings!$G$7:$G$11,MOD('_Engine'!BX20,10))&amp;IF('_Engine'!BX20&gt;10,"?","")&amp;" PM",IF('_Engine'!BX20=0,INDEX(Settings!$G$7:$G$11,MOD('_Engine'!BW20,10))&amp;IF('_Engine'!BW20&gt;10,"?","")&amp;" AM",INDEX(Settings!$G$7:$G$11,MOD('_Engine'!BW20,10))&amp;IF('_Engine'!BW20&gt;10,"?","")&amp;" AM"&amp;CHAR(10)&amp;INDEX(Settings!$G$7:$G$11,MOD('_Engine'!BX20,10))&amp;IF('_Engine'!BX20&gt;10,"?","")&amp;" PM"))))))))</ns0:f>
        <ns0:v/>
      </ns0:c>
      <ns0:c r="O20" s="164" t="str">
        <ns0:f>IF(OR($A20="",O$11=""),"",IF(OR('_Engine'!$B$6&gt;0,INDEX('_Engine'!$AM$11:$AM$60,'_Engine'!$AO20)&lt;&gt;"OK"),"!",IF(INDEX(Team!$H$11:$N$60,'_Engine'!$AO20,WEEKDAY(O$11,2))&lt;&gt;"Work","—",IF(COUNTIF(Settings!$F$18:$F$67,O$11)&gt;0,"BH",IF('_Engine'!BY20+'_Engine'!BZ20=0,"·",IF('_Engine'!BY20='_Engine'!BZ20,INDEX(Settings!$G$7:$G$11,MOD('_Engine'!BY20,10))&amp;IF('_Engine'!BY20&gt;10,"?",""),IF('_Engine'!BY20=0,INDEX(Settings!$G$7:$G$11,MOD('_Engine'!BZ20,10))&amp;IF('_Engine'!BZ20&gt;10,"?","")&amp;" PM",IF('_Engine'!BZ20=0,INDEX(Settings!$G$7:$G$11,MOD('_Engine'!BY20,10))&amp;IF('_Engine'!BY20&gt;10,"?","")&amp;" AM",INDEX(Settings!$G$7:$G$11,MOD('_Engine'!BY20,10))&amp;IF('_Engine'!BY20&gt;10,"?","")&amp;" AM"&amp;CHAR(10)&amp;INDEX(Settings!$G$7:$G$11,MOD('_Engine'!BZ20,10))&amp;IF('_Engine'!BZ20&gt;10,"?","")&amp;" PM"))))))))</ns0:f>
        <ns0:v/>
      </ns0:c>
      <ns0:c r="P20" s="164" t="str">
        <ns0:f>IF(OR($A20="",P$11=""),"",IF(OR('_Engine'!$B$6&gt;0,INDEX('_Engine'!$AM$11:$AM$60,'_Engine'!$AO20)&lt;&gt;"OK"),"!",IF(INDEX(Team!$H$11:$N$60,'_Engine'!$AO20,WEEKDAY(P$11,2))&lt;&gt;"Work","—",IF(COUNTIF(Settings!$F$18:$F$67,P$11)&gt;0,"BH",IF('_Engine'!CA20+'_Engine'!CB20=0,"·",IF('_Engine'!CA20='_Engine'!CB20,INDEX(Settings!$G$7:$G$11,MOD('_Engine'!CA20,10))&amp;IF('_Engine'!CA20&gt;10,"?",""),IF('_Engine'!CA20=0,INDEX(Settings!$G$7:$G$11,MOD('_Engine'!CB20,10))&amp;IF('_Engine'!CB20&gt;10,"?","")&amp;" PM",IF('_Engine'!CB20=0,INDEX(Settings!$G$7:$G$11,MOD('_Engine'!CA20,10))&amp;IF('_Engine'!CA20&gt;10,"?","")&amp;" AM",INDEX(Settings!$G$7:$G$11,MOD('_Engine'!CA20,10))&amp;IF('_Engine'!CA20&gt;10,"?","")&amp;" AM"&amp;CHAR(10)&amp;INDEX(Settings!$G$7:$G$11,MOD('_Engine'!CB20,10))&amp;IF('_Engine'!CB20&gt;10,"?","")&amp;" PM"))))))))</ns0:f>
        <ns0:v/>
      </ns0:c>
      <ns0:c r="Q20" s="164" t="str">
        <ns0:f>IF(OR($A20="",Q$11=""),"",IF(OR('_Engine'!$B$6&gt;0,INDEX('_Engine'!$AM$11:$AM$60,'_Engine'!$AO20)&lt;&gt;"OK"),"!",IF(INDEX(Team!$H$11:$N$60,'_Engine'!$AO20,WEEKDAY(Q$11,2))&lt;&gt;"Work","—",IF(COUNTIF(Settings!$F$18:$F$67,Q$11)&gt;0,"BH",IF('_Engine'!CC20+'_Engine'!CD20=0,"·",IF('_Engine'!CC20='_Engine'!CD20,INDEX(Settings!$G$7:$G$11,MOD('_Engine'!CC20,10))&amp;IF('_Engine'!CC20&gt;10,"?",""),IF('_Engine'!CC20=0,INDEX(Settings!$G$7:$G$11,MOD('_Engine'!CD20,10))&amp;IF('_Engine'!CD20&gt;10,"?","")&amp;" PM",IF('_Engine'!CD20=0,INDEX(Settings!$G$7:$G$11,MOD('_Engine'!CC20,10))&amp;IF('_Engine'!CC20&gt;10,"?","")&amp;" AM",INDEX(Settings!$G$7:$G$11,MOD('_Engine'!CC20,10))&amp;IF('_Engine'!CC20&gt;10,"?","")&amp;" AM"&amp;CHAR(10)&amp;INDEX(Settings!$G$7:$G$11,MOD('_Engine'!CD20,10))&amp;IF('_Engine'!CD20&gt;10,"?","")&amp;" PM"))))))))</ns0:f>
        <ns0:v/>
      </ns0:c>
      <ns0:c r="R20" s="164" t="str">
        <ns0:f>IF(OR($A20="",R$11=""),"",IF(OR('_Engine'!$B$6&gt;0,INDEX('_Engine'!$AM$11:$AM$60,'_Engine'!$AO20)&lt;&gt;"OK"),"!",IF(INDEX(Team!$H$11:$N$60,'_Engine'!$AO20,WEEKDAY(R$11,2))&lt;&gt;"Work","—",IF(COUNTIF(Settings!$F$18:$F$67,R$11)&gt;0,"BH",IF('_Engine'!CE20+'_Engine'!CF20=0,"·",IF('_Engine'!CE20='_Engine'!CF20,INDEX(Settings!$G$7:$G$11,MOD('_Engine'!CE20,10))&amp;IF('_Engine'!CE20&gt;10,"?",""),IF('_Engine'!CE20=0,INDEX(Settings!$G$7:$G$11,MOD('_Engine'!CF20,10))&amp;IF('_Engine'!CF20&gt;10,"?","")&amp;" PM",IF('_Engine'!CF20=0,INDEX(Settings!$G$7:$G$11,MOD('_Engine'!CE20,10))&amp;IF('_Engine'!CE20&gt;10,"?","")&amp;" AM",INDEX(Settings!$G$7:$G$11,MOD('_Engine'!CE20,10))&amp;IF('_Engine'!CE20&gt;10,"?","")&amp;" AM"&amp;CHAR(10)&amp;INDEX(Settings!$G$7:$G$11,MOD('_Engine'!CF20,10))&amp;IF('_Engine'!CF20&gt;10,"?","")&amp;" PM"))))))))</ns0:f>
        <ns0:v/>
      </ns0:c>
      <ns0:c r="S20" s="164" t="str">
        <ns0:f>IF(OR($A20="",S$11=""),"",IF(OR('_Engine'!$B$6&gt;0,INDEX('_Engine'!$AM$11:$AM$60,'_Engine'!$AO20)&lt;&gt;"OK"),"!",IF(INDEX(Team!$H$11:$N$60,'_Engine'!$AO20,WEEKDAY(S$11,2))&lt;&gt;"Work","—",IF(COUNTIF(Settings!$F$18:$F$67,S$11)&gt;0,"BH",IF('_Engine'!CG20+'_Engine'!CH20=0,"·",IF('_Engine'!CG20='_Engine'!CH20,INDEX(Settings!$G$7:$G$11,MOD('_Engine'!CG20,10))&amp;IF('_Engine'!CG20&gt;10,"?",""),IF('_Engine'!CG20=0,INDEX(Settings!$G$7:$G$11,MOD('_Engine'!CH20,10))&amp;IF('_Engine'!CH20&gt;10,"?","")&amp;" PM",IF('_Engine'!CH20=0,INDEX(Settings!$G$7:$G$11,MOD('_Engine'!CG20,10))&amp;IF('_Engine'!CG20&gt;10,"?","")&amp;" AM",INDEX(Settings!$G$7:$G$11,MOD('_Engine'!CG20,10))&amp;IF('_Engine'!CG20&gt;10,"?","")&amp;" AM"&amp;CHAR(10)&amp;INDEX(Settings!$G$7:$G$11,MOD('_Engine'!CH20,10))&amp;IF('_Engine'!CH20&gt;10,"?","")&amp;" PM"))))))))</ns0:f>
        <ns0:v/>
      </ns0:c>
      <ns0:c r="T20" s="164" t="str">
        <ns0:f>IF(OR($A20="",T$11=""),"",IF(OR('_Engine'!$B$6&gt;0,INDEX('_Engine'!$AM$11:$AM$60,'_Engine'!$AO20)&lt;&gt;"OK"),"!",IF(INDEX(Team!$H$11:$N$60,'_Engine'!$AO20,WEEKDAY(T$11,2))&lt;&gt;"Work","—",IF(COUNTIF(Settings!$F$18:$F$67,T$11)&gt;0,"BH",IF('_Engine'!CI20+'_Engine'!CJ20=0,"·",IF('_Engine'!CI20='_Engine'!CJ20,INDEX(Settings!$G$7:$G$11,MOD('_Engine'!CI20,10))&amp;IF('_Engine'!CI20&gt;10,"?",""),IF('_Engine'!CI20=0,INDEX(Settings!$G$7:$G$11,MOD('_Engine'!CJ20,10))&amp;IF('_Engine'!CJ20&gt;10,"?","")&amp;" PM",IF('_Engine'!CJ20=0,INDEX(Settings!$G$7:$G$11,MOD('_Engine'!CI20,10))&amp;IF('_Engine'!CI20&gt;10,"?","")&amp;" AM",INDEX(Settings!$G$7:$G$11,MOD('_Engine'!CI20,10))&amp;IF('_Engine'!CI20&gt;10,"?","")&amp;" AM"&amp;CHAR(10)&amp;INDEX(Settings!$G$7:$G$11,MOD('_Engine'!CJ20,10))&amp;IF('_Engine'!CJ20&gt;10,"?","")&amp;" PM"))))))))</ns0:f>
        <ns0:v/>
      </ns0:c>
      <ns0:c r="U20" s="164" t="str">
        <ns0:f>IF(OR($A20="",U$11=""),"",IF(OR('_Engine'!$B$6&gt;0,INDEX('_Engine'!$AM$11:$AM$60,'_Engine'!$AO20)&lt;&gt;"OK"),"!",IF(INDEX(Team!$H$11:$N$60,'_Engine'!$AO20,WEEKDAY(U$11,2))&lt;&gt;"Work","—",IF(COUNTIF(Settings!$F$18:$F$67,U$11)&gt;0,"BH",IF('_Engine'!CK20+'_Engine'!CL20=0,"·",IF('_Engine'!CK20='_Engine'!CL20,INDEX(Settings!$G$7:$G$11,MOD('_Engine'!CK20,10))&amp;IF('_Engine'!CK20&gt;10,"?",""),IF('_Engine'!CK20=0,INDEX(Settings!$G$7:$G$11,MOD('_Engine'!CL20,10))&amp;IF('_Engine'!CL20&gt;10,"?","")&amp;" PM",IF('_Engine'!CL20=0,INDEX(Settings!$G$7:$G$11,MOD('_Engine'!CK20,10))&amp;IF('_Engine'!CK20&gt;10,"?","")&amp;" AM",INDEX(Settings!$G$7:$G$11,MOD('_Engine'!CK20,10))&amp;IF('_Engine'!CK20&gt;10,"?","")&amp;" AM"&amp;CHAR(10)&amp;INDEX(Settings!$G$7:$G$11,MOD('_Engine'!CL20,10))&amp;IF('_Engine'!CL20&gt;10,"?","")&amp;" PM"))))))))</ns0:f>
        <ns0:v/>
      </ns0:c>
      <ns0:c r="V20" s="164" t="str">
        <ns0:f>IF(OR($A20="",V$11=""),"",IF(OR('_Engine'!$B$6&gt;0,INDEX('_Engine'!$AM$11:$AM$60,'_Engine'!$AO20)&lt;&gt;"OK"),"!",IF(INDEX(Team!$H$11:$N$60,'_Engine'!$AO20,WEEKDAY(V$11,2))&lt;&gt;"Work","—",IF(COUNTIF(Settings!$F$18:$F$67,V$11)&gt;0,"BH",IF('_Engine'!CM20+'_Engine'!CN20=0,"·",IF('_Engine'!CM20='_Engine'!CN20,INDEX(Settings!$G$7:$G$11,MOD('_Engine'!CM20,10))&amp;IF('_Engine'!CM20&gt;10,"?",""),IF('_Engine'!CM20=0,INDEX(Settings!$G$7:$G$11,MOD('_Engine'!CN20,10))&amp;IF('_Engine'!CN20&gt;10,"?","")&amp;" PM",IF('_Engine'!CN20=0,INDEX(Settings!$G$7:$G$11,MOD('_Engine'!CM20,10))&amp;IF('_Engine'!CM20&gt;10,"?","")&amp;" AM",INDEX(Settings!$G$7:$G$11,MOD('_Engine'!CM20,10))&amp;IF('_Engine'!CM20&gt;10,"?","")&amp;" AM"&amp;CHAR(10)&amp;INDEX(Settings!$G$7:$G$11,MOD('_Engine'!CN20,10))&amp;IF('_Engine'!CN20&gt;10,"?","")&amp;" PM"))))))))</ns0:f>
        <ns0:v/>
      </ns0:c>
      <ns0:c r="W20" s="164" t="str">
        <ns0:f>IF(OR($A20="",W$11=""),"",IF(OR('_Engine'!$B$6&gt;0,INDEX('_Engine'!$AM$11:$AM$60,'_Engine'!$AO20)&lt;&gt;"OK"),"!",IF(INDEX(Team!$H$11:$N$60,'_Engine'!$AO20,WEEKDAY(W$11,2))&lt;&gt;"Work","—",IF(COUNTIF(Settings!$F$18:$F$67,W$11)&gt;0,"BH",IF('_Engine'!CO20+'_Engine'!CP20=0,"·",IF('_Engine'!CO20='_Engine'!CP20,INDEX(Settings!$G$7:$G$11,MOD('_Engine'!CO20,10))&amp;IF('_Engine'!CO20&gt;10,"?",""),IF('_Engine'!CO20=0,INDEX(Settings!$G$7:$G$11,MOD('_Engine'!CP20,10))&amp;IF('_Engine'!CP20&gt;10,"?","")&amp;" PM",IF('_Engine'!CP20=0,INDEX(Settings!$G$7:$G$11,MOD('_Engine'!CO20,10))&amp;IF('_Engine'!CO20&gt;10,"?","")&amp;" AM",INDEX(Settings!$G$7:$G$11,MOD('_Engine'!CO20,10))&amp;IF('_Engine'!CO20&gt;10,"?","")&amp;" AM"&amp;CHAR(10)&amp;INDEX(Settings!$G$7:$G$11,MOD('_Engine'!CP20,10))&amp;IF('_Engine'!CP20&gt;10,"?","")&amp;" PM"))))))))</ns0:f>
        <ns0:v/>
      </ns0:c>
      <ns0:c r="X20" s="164" t="str">
        <ns0:f>IF(OR($A20="",X$11=""),"",IF(OR('_Engine'!$B$6&gt;0,INDEX('_Engine'!$AM$11:$AM$60,'_Engine'!$AO20)&lt;&gt;"OK"),"!",IF(INDEX(Team!$H$11:$N$60,'_Engine'!$AO20,WEEKDAY(X$11,2))&lt;&gt;"Work","—",IF(COUNTIF(Settings!$F$18:$F$67,X$11)&gt;0,"BH",IF('_Engine'!CQ20+'_Engine'!CR20=0,"·",IF('_Engine'!CQ20='_Engine'!CR20,INDEX(Settings!$G$7:$G$11,MOD('_Engine'!CQ20,10))&amp;IF('_Engine'!CQ20&gt;10,"?",""),IF('_Engine'!CQ20=0,INDEX(Settings!$G$7:$G$11,MOD('_Engine'!CR20,10))&amp;IF('_Engine'!CR20&gt;10,"?","")&amp;" PM",IF('_Engine'!CR20=0,INDEX(Settings!$G$7:$G$11,MOD('_Engine'!CQ20,10))&amp;IF('_Engine'!CQ20&gt;10,"?","")&amp;" AM",INDEX(Settings!$G$7:$G$11,MOD('_Engine'!CQ20,10))&amp;IF('_Engine'!CQ20&gt;10,"?","")&amp;" AM"&amp;CHAR(10)&amp;INDEX(Settings!$G$7:$G$11,MOD('_Engine'!CR20,10))&amp;IF('_Engine'!CR20&gt;10,"?","")&amp;" PM"))))))))</ns0:f>
        <ns0:v/>
      </ns0:c>
      <ns0:c r="Y20" s="164" t="str">
        <ns0:f>IF(OR($A20="",Y$11=""),"",IF(OR('_Engine'!$B$6&gt;0,INDEX('_Engine'!$AM$11:$AM$60,'_Engine'!$AO20)&lt;&gt;"OK"),"!",IF(INDEX(Team!$H$11:$N$60,'_Engine'!$AO20,WEEKDAY(Y$11,2))&lt;&gt;"Work","—",IF(COUNTIF(Settings!$F$18:$F$67,Y$11)&gt;0,"BH",IF('_Engine'!CS20+'_Engine'!CT20=0,"·",IF('_Engine'!CS20='_Engine'!CT20,INDEX(Settings!$G$7:$G$11,MOD('_Engine'!CS20,10))&amp;IF('_Engine'!CS20&gt;10,"?",""),IF('_Engine'!CS20=0,INDEX(Settings!$G$7:$G$11,MOD('_Engine'!CT20,10))&amp;IF('_Engine'!CT20&gt;10,"?","")&amp;" PM",IF('_Engine'!CT20=0,INDEX(Settings!$G$7:$G$11,MOD('_Engine'!CS20,10))&amp;IF('_Engine'!CS20&gt;10,"?","")&amp;" AM",INDEX(Settings!$G$7:$G$11,MOD('_Engine'!CS20,10))&amp;IF('_Engine'!CS20&gt;10,"?","")&amp;" AM"&amp;CHAR(10)&amp;INDEX(Settings!$G$7:$G$11,MOD('_Engine'!CT20,10))&amp;IF('_Engine'!CT20&gt;10,"?","")&amp;" PM"))))))))</ns0:f>
        <ns0:v/>
      </ns0:c>
      <ns0:c r="Z20" s="164" t="str">
        <ns0:f>IF(OR($A20="",Z$11=""),"",IF(OR('_Engine'!$B$6&gt;0,INDEX('_Engine'!$AM$11:$AM$60,'_Engine'!$AO20)&lt;&gt;"OK"),"!",IF(INDEX(Team!$H$11:$N$60,'_Engine'!$AO20,WEEKDAY(Z$11,2))&lt;&gt;"Work","—",IF(COUNTIF(Settings!$F$18:$F$67,Z$11)&gt;0,"BH",IF('_Engine'!CU20+'_Engine'!CV20=0,"·",IF('_Engine'!CU20='_Engine'!CV20,INDEX(Settings!$G$7:$G$11,MOD('_Engine'!CU20,10))&amp;IF('_Engine'!CU20&gt;10,"?",""),IF('_Engine'!CU20=0,INDEX(Settings!$G$7:$G$11,MOD('_Engine'!CV20,10))&amp;IF('_Engine'!CV20&gt;10,"?","")&amp;" PM",IF('_Engine'!CV20=0,INDEX(Settings!$G$7:$G$11,MOD('_Engine'!CU20,10))&amp;IF('_Engine'!CU20&gt;10,"?","")&amp;" AM",INDEX(Settings!$G$7:$G$11,MOD('_Engine'!CU20,10))&amp;IF('_Engine'!CU20&gt;10,"?","")&amp;" AM"&amp;CHAR(10)&amp;INDEX(Settings!$G$7:$G$11,MOD('_Engine'!CV20,10))&amp;IF('_Engine'!CV20&gt;10,"?","")&amp;" PM"))))))))</ns0:f>
        <ns0:v/>
      </ns0:c>
      <ns0:c r="AA20" s="164" t="str">
        <ns0:f>IF(OR($A20="",AA$11=""),"",IF(OR('_Engine'!$B$6&gt;0,INDEX('_Engine'!$AM$11:$AM$60,'_Engine'!$AO20)&lt;&gt;"OK"),"!",IF(INDEX(Team!$H$11:$N$60,'_Engine'!$AO20,WEEKDAY(AA$11,2))&lt;&gt;"Work","—",IF(COUNTIF(Settings!$F$18:$F$67,AA$11)&gt;0,"BH",IF('_Engine'!CW20+'_Engine'!CX20=0,"·",IF('_Engine'!CW20='_Engine'!CX20,INDEX(Settings!$G$7:$G$11,MOD('_Engine'!CW20,10))&amp;IF('_Engine'!CW20&gt;10,"?",""),IF('_Engine'!CW20=0,INDEX(Settings!$G$7:$G$11,MOD('_Engine'!CX20,10))&amp;IF('_Engine'!CX20&gt;10,"?","")&amp;" PM",IF('_Engine'!CX20=0,INDEX(Settings!$G$7:$G$11,MOD('_Engine'!CW20,10))&amp;IF('_Engine'!CW20&gt;10,"?","")&amp;" AM",INDEX(Settings!$G$7:$G$11,MOD('_Engine'!CW20,10))&amp;IF('_Engine'!CW20&gt;10,"?","")&amp;" AM"&amp;CHAR(10)&amp;INDEX(Settings!$G$7:$G$11,MOD('_Engine'!CX20,10))&amp;IF('_Engine'!CX20&gt;10,"?","")&amp;" PM"))))))))</ns0:f>
        <ns0:v/>
      </ns0:c>
      <ns0:c r="AB20" s="164" t="str">
        <ns0:f>IF(OR($A20="",AB$11=""),"",IF(OR('_Engine'!$B$6&gt;0,INDEX('_Engine'!$AM$11:$AM$60,'_Engine'!$AO20)&lt;&gt;"OK"),"!",IF(INDEX(Team!$H$11:$N$60,'_Engine'!$AO20,WEEKDAY(AB$11,2))&lt;&gt;"Work","—",IF(COUNTIF(Settings!$F$18:$F$67,AB$11)&gt;0,"BH",IF('_Engine'!CY20+'_Engine'!CZ20=0,"·",IF('_Engine'!CY20='_Engine'!CZ20,INDEX(Settings!$G$7:$G$11,MOD('_Engine'!CY20,10))&amp;IF('_Engine'!CY20&gt;10,"?",""),IF('_Engine'!CY20=0,INDEX(Settings!$G$7:$G$11,MOD('_Engine'!CZ20,10))&amp;IF('_Engine'!CZ20&gt;10,"?","")&amp;" PM",IF('_Engine'!CZ20=0,INDEX(Settings!$G$7:$G$11,MOD('_Engine'!CY20,10))&amp;IF('_Engine'!CY20&gt;10,"?","")&amp;" AM",INDEX(Settings!$G$7:$G$11,MOD('_Engine'!CY20,10))&amp;IF('_Engine'!CY20&gt;10,"?","")&amp;" AM"&amp;CHAR(10)&amp;INDEX(Settings!$G$7:$G$11,MOD('_Engine'!CZ20,10))&amp;IF('_Engine'!CZ20&gt;10,"?","")&amp;" PM"))))))))</ns0:f>
        <ns0:v/>
      </ns0:c>
      <ns0:c r="AC20" s="164" t="str">
        <ns0:f>IF(OR($A20="",AC$11=""),"",IF(OR('_Engine'!$B$6&gt;0,INDEX('_Engine'!$AM$11:$AM$60,'_Engine'!$AO20)&lt;&gt;"OK"),"!",IF(INDEX(Team!$H$11:$N$60,'_Engine'!$AO20,WEEKDAY(AC$11,2))&lt;&gt;"Work","—",IF(COUNTIF(Settings!$F$18:$F$67,AC$11)&gt;0,"BH",IF('_Engine'!DA20+'_Engine'!DB20=0,"·",IF('_Engine'!DA20='_Engine'!DB20,INDEX(Settings!$G$7:$G$11,MOD('_Engine'!DA20,10))&amp;IF('_Engine'!DA20&gt;10,"?",""),IF('_Engine'!DA20=0,INDEX(Settings!$G$7:$G$11,MOD('_Engine'!DB20,10))&amp;IF('_Engine'!DB20&gt;10,"?","")&amp;" PM",IF('_Engine'!DB20=0,INDEX(Settings!$G$7:$G$11,MOD('_Engine'!DA20,10))&amp;IF('_Engine'!DA20&gt;10,"?","")&amp;" AM",INDEX(Settings!$G$7:$G$11,MOD('_Engine'!DA20,10))&amp;IF('_Engine'!DA20&gt;10,"?","")&amp;" AM"&amp;CHAR(10)&amp;INDEX(Settings!$G$7:$G$11,MOD('_Engine'!DB20,10))&amp;IF('_Engine'!DB20&gt;10,"?","")&amp;" PM"))))))))</ns0:f>
        <ns0:v/>
      </ns0:c>
      <ns0:c r="AD20" s="164" t="str">
        <ns0:f>IF(OR($A20="",AD$11=""),"",IF(OR('_Engine'!$B$6&gt;0,INDEX('_Engine'!$AM$11:$AM$60,'_Engine'!$AO20)&lt;&gt;"OK"),"!",IF(INDEX(Team!$H$11:$N$60,'_Engine'!$AO20,WEEKDAY(AD$11,2))&lt;&gt;"Work","—",IF(COUNTIF(Settings!$F$18:$F$67,AD$11)&gt;0,"BH",IF('_Engine'!DC20+'_Engine'!DD20=0,"·",IF('_Engine'!DC20='_Engine'!DD20,INDEX(Settings!$G$7:$G$11,MOD('_Engine'!DC20,10))&amp;IF('_Engine'!DC20&gt;10,"?",""),IF('_Engine'!DC20=0,INDEX(Settings!$G$7:$G$11,MOD('_Engine'!DD20,10))&amp;IF('_Engine'!DD20&gt;10,"?","")&amp;" PM",IF('_Engine'!DD20=0,INDEX(Settings!$G$7:$G$11,MOD('_Engine'!DC20,10))&amp;IF('_Engine'!DC20&gt;10,"?","")&amp;" AM",INDEX(Settings!$G$7:$G$11,MOD('_Engine'!DC20,10))&amp;IF('_Engine'!DC20&gt;10,"?","")&amp;" AM"&amp;CHAR(10)&amp;INDEX(Settings!$G$7:$G$11,MOD('_Engine'!DD20,10))&amp;IF('_Engine'!DD20&gt;10,"?","")&amp;" PM"))))))))</ns0:f>
        <ns0:v/>
      </ns0:c>
      <ns0:c r="AE20" s="164" t="str">
        <ns0:f>IF(OR($A20="",AE$11=""),"",IF(OR('_Engine'!$B$6&gt;0,INDEX('_Engine'!$AM$11:$AM$60,'_Engine'!$AO20)&lt;&gt;"OK"),"!",IF(INDEX(Team!$H$11:$N$60,'_Engine'!$AO20,WEEKDAY(AE$11,2))&lt;&gt;"Work","—",IF(COUNTIF(Settings!$F$18:$F$67,AE$11)&gt;0,"BH",IF('_Engine'!DE20+'_Engine'!DF20=0,"·",IF('_Engine'!DE20='_Engine'!DF20,INDEX(Settings!$G$7:$G$11,MOD('_Engine'!DE20,10))&amp;IF('_Engine'!DE20&gt;10,"?",""),IF('_Engine'!DE20=0,INDEX(Settings!$G$7:$G$11,MOD('_Engine'!DF20,10))&amp;IF('_Engine'!DF20&gt;10,"?","")&amp;" PM",IF('_Engine'!DF20=0,INDEX(Settings!$G$7:$G$11,MOD('_Engine'!DE20,10))&amp;IF('_Engine'!DE20&gt;10,"?","")&amp;" AM",INDEX(Settings!$G$7:$G$11,MOD('_Engine'!DE20,10))&amp;IF('_Engine'!DE20&gt;10,"?","")&amp;" AM"&amp;CHAR(10)&amp;INDEX(Settings!$G$7:$G$11,MOD('_Engine'!DF20,10))&amp;IF('_Engine'!DF20&gt;10,"?","")&amp;" PM"))))))))</ns0:f>
        <ns0:v/>
      </ns0:c>
      <ns0:c r="AF20" s="164" t="str">
        <ns0:f>IF(OR($A20="",AF$11=""),"",IF(OR('_Engine'!$B$6&gt;0,INDEX('_Engine'!$AM$11:$AM$60,'_Engine'!$AO20)&lt;&gt;"OK"),"!",IF(INDEX(Team!$H$11:$N$60,'_Engine'!$AO20,WEEKDAY(AF$11,2))&lt;&gt;"Work","—",IF(COUNTIF(Settings!$F$18:$F$67,AF$11)&gt;0,"BH",IF('_Engine'!DG20+'_Engine'!DH20=0,"·",IF('_Engine'!DG20='_Engine'!DH20,INDEX(Settings!$G$7:$G$11,MOD('_Engine'!DG20,10))&amp;IF('_Engine'!DG20&gt;10,"?",""),IF('_Engine'!DG20=0,INDEX(Settings!$G$7:$G$11,MOD('_Engine'!DH20,10))&amp;IF('_Engine'!DH20&gt;10,"?","")&amp;" PM",IF('_Engine'!DH20=0,INDEX(Settings!$G$7:$G$11,MOD('_Engine'!DG20,10))&amp;IF('_Engine'!DG20&gt;10,"?","")&amp;" AM",INDEX(Settings!$G$7:$G$11,MOD('_Engine'!DG20,10))&amp;IF('_Engine'!DG20&gt;10,"?","")&amp;" AM"&amp;CHAR(10)&amp;INDEX(Settings!$G$7:$G$11,MOD('_Engine'!DH20,10))&amp;IF('_Engine'!DH20&gt;10,"?","")&amp;" PM"))))))))</ns0:f>
        <ns0:v/>
      </ns0:c>
      <ns0:c r="AG20" s="164" t="str">
        <ns0:f>IF(OR($A20="",AG$11=""),"",IF(OR('_Engine'!$B$6&gt;0,INDEX('_Engine'!$AM$11:$AM$60,'_Engine'!$AO20)&lt;&gt;"OK"),"!",IF(INDEX(Team!$H$11:$N$60,'_Engine'!$AO20,WEEKDAY(AG$11,2))&lt;&gt;"Work","—",IF(COUNTIF(Settings!$F$18:$F$67,AG$11)&gt;0,"BH",IF('_Engine'!DI20+'_Engine'!DJ20=0,"·",IF('_Engine'!DI20='_Engine'!DJ20,INDEX(Settings!$G$7:$G$11,MOD('_Engine'!DI20,10))&amp;IF('_Engine'!DI20&gt;10,"?",""),IF('_Engine'!DI20=0,INDEX(Settings!$G$7:$G$11,MOD('_Engine'!DJ20,10))&amp;IF('_Engine'!DJ20&gt;10,"?","")&amp;" PM",IF('_Engine'!DJ20=0,INDEX(Settings!$G$7:$G$11,MOD('_Engine'!DI20,10))&amp;IF('_Engine'!DI20&gt;10,"?","")&amp;" AM",INDEX(Settings!$G$7:$G$11,MOD('_Engine'!DI20,10))&amp;IF('_Engine'!DI20&gt;10,"?","")&amp;" AM"&amp;CHAR(10)&amp;INDEX(Settings!$G$7:$G$11,MOD('_Engine'!DJ20,10))&amp;IF('_Engine'!DJ20&gt;10,"?","")&amp;" PM"))))))))</ns0:f>
        <ns0:v/>
      </ns0:c>
      <ns0:c r="AH20" s="164" t="str">
        <ns0:f>IF(OR($A20="",AH$11=""),"",IF(OR('_Engine'!$B$6&gt;0,INDEX('_Engine'!$AM$11:$AM$60,'_Engine'!$AO20)&lt;&gt;"OK"),"!",IF(INDEX(Team!$H$11:$N$60,'_Engine'!$AO20,WEEKDAY(AH$11,2))&lt;&gt;"Work","—",IF(COUNTIF(Settings!$F$18:$F$67,AH$11)&gt;0,"BH",IF('_Engine'!DK20+'_Engine'!DL20=0,"·",IF('_Engine'!DK20='_Engine'!DL20,INDEX(Settings!$G$7:$G$11,MOD('_Engine'!DK20,10))&amp;IF('_Engine'!DK20&gt;10,"?",""),IF('_Engine'!DK20=0,INDEX(Settings!$G$7:$G$11,MOD('_Engine'!DL20,10))&amp;IF('_Engine'!DL20&gt;10,"?","")&amp;" PM",IF('_Engine'!DL20=0,INDEX(Settings!$G$7:$G$11,MOD('_Engine'!DK20,10))&amp;IF('_Engine'!DK20&gt;10,"?","")&amp;" AM",INDEX(Settings!$G$7:$G$11,MOD('_Engine'!DK20,10))&amp;IF('_Engine'!DK20&gt;10,"?","")&amp;" AM"&amp;CHAR(10)&amp;INDEX(Settings!$G$7:$G$11,MOD('_Engine'!DL20,10))&amp;IF('_Engine'!DL20&gt;10,"?","")&amp;" PM"))))))))</ns0:f>
        <ns0:v/>
      </ns0:c>
    </ns0:row>
    <ns0:row r="21" ht="38" customHeight="1">
      <ns0:c r="A21" s="4" t="str">
        <ns0:f>IF('_Engine'!AO21=0,"",IF(INDEX(Team!$B$11:$B$60,'_Engine'!AO21)="","[Unnamed]",INDEX(Team!$B$11:$B$60,'_Engine'!AO21)))</ns0:f>
        <ns0:v/>
      </ns0:c>
      <ns0:c r="B21" s="156" t="str">
        <ns0:f>IF('_Engine'!AO21=0,"",INDEX('_Engine'!$AN$11:$AN$60,'_Engine'!AO21))</ns0:f>
        <ns0:v/>
      </ns0:c>
      <ns0:c r="C21" s="4" t="str">
        <ns0:f>IF('_Engine'!AO21=0,"",INDEX(Team!$C$11:$C$60,'_Engine'!AO21))</ns0:f>
        <ns0:v/>
      </ns0:c>
      <ns0:c r="D21" s="162" t="str">
        <ns0:f>IF(OR($A21="",D$11=""),"",IF(OR('_Engine'!$B$6&gt;0,INDEX('_Engine'!$AM$11:$AM$60,'_Engine'!$AO21)&lt;&gt;"OK"),"!",IF(INDEX(Team!$H$11:$N$60,'_Engine'!$AO21,WEEKDAY(D$11,2))&lt;&gt;"Work","—",IF(COUNTIF(Settings!$F$18:$F$67,D$11)&gt;0,"BH",IF('_Engine'!BC21+'_Engine'!BD21=0,"·",IF('_Engine'!BC21='_Engine'!BD21,INDEX(Settings!$G$7:$G$11,MOD('_Engine'!BC21,10))&amp;IF('_Engine'!BC21&gt;10,"?",""),IF('_Engine'!BC21=0,INDEX(Settings!$G$7:$G$11,MOD('_Engine'!BD21,10))&amp;IF('_Engine'!BD21&gt;10,"?","")&amp;" PM",IF('_Engine'!BD21=0,INDEX(Settings!$G$7:$G$11,MOD('_Engine'!BC21,10))&amp;IF('_Engine'!BC21&gt;10,"?","")&amp;" AM",INDEX(Settings!$G$7:$G$11,MOD('_Engine'!BC21,10))&amp;IF('_Engine'!BC21&gt;10,"?","")&amp;" AM"&amp;CHAR(10)&amp;INDEX(Settings!$G$7:$G$11,MOD('_Engine'!BD21,10))&amp;IF('_Engine'!BD21&gt;10,"?","")&amp;" PM"))))))))</ns0:f>
        <ns0:v/>
      </ns0:c>
      <ns0:c r="E21" s="162" t="str">
        <ns0:f>IF(OR($A21="",E$11=""),"",IF(OR('_Engine'!$B$6&gt;0,INDEX('_Engine'!$AM$11:$AM$60,'_Engine'!$AO21)&lt;&gt;"OK"),"!",IF(INDEX(Team!$H$11:$N$60,'_Engine'!$AO21,WEEKDAY(E$11,2))&lt;&gt;"Work","—",IF(COUNTIF(Settings!$F$18:$F$67,E$11)&gt;0,"BH",IF('_Engine'!BE21+'_Engine'!BF21=0,"·",IF('_Engine'!BE21='_Engine'!BF21,INDEX(Settings!$G$7:$G$11,MOD('_Engine'!BE21,10))&amp;IF('_Engine'!BE21&gt;10,"?",""),IF('_Engine'!BE21=0,INDEX(Settings!$G$7:$G$11,MOD('_Engine'!BF21,10))&amp;IF('_Engine'!BF21&gt;10,"?","")&amp;" PM",IF('_Engine'!BF21=0,INDEX(Settings!$G$7:$G$11,MOD('_Engine'!BE21,10))&amp;IF('_Engine'!BE21&gt;10,"?","")&amp;" AM",INDEX(Settings!$G$7:$G$11,MOD('_Engine'!BE21,10))&amp;IF('_Engine'!BE21&gt;10,"?","")&amp;" AM"&amp;CHAR(10)&amp;INDEX(Settings!$G$7:$G$11,MOD('_Engine'!BF21,10))&amp;IF('_Engine'!BF21&gt;10,"?","")&amp;" PM"))))))))</ns0:f>
        <ns0:v/>
      </ns0:c>
      <ns0:c r="F21" s="162" t="str">
        <ns0:f>IF(OR($A21="",F$11=""),"",IF(OR('_Engine'!$B$6&gt;0,INDEX('_Engine'!$AM$11:$AM$60,'_Engine'!$AO21)&lt;&gt;"OK"),"!",IF(INDEX(Team!$H$11:$N$60,'_Engine'!$AO21,WEEKDAY(F$11,2))&lt;&gt;"Work","—",IF(COUNTIF(Settings!$F$18:$F$67,F$11)&gt;0,"BH",IF('_Engine'!BG21+'_Engine'!BH21=0,"·",IF('_Engine'!BG21='_Engine'!BH21,INDEX(Settings!$G$7:$G$11,MOD('_Engine'!BG21,10))&amp;IF('_Engine'!BG21&gt;10,"?",""),IF('_Engine'!BG21=0,INDEX(Settings!$G$7:$G$11,MOD('_Engine'!BH21,10))&amp;IF('_Engine'!BH21&gt;10,"?","")&amp;" PM",IF('_Engine'!BH21=0,INDEX(Settings!$G$7:$G$11,MOD('_Engine'!BG21,10))&amp;IF('_Engine'!BG21&gt;10,"?","")&amp;" AM",INDEX(Settings!$G$7:$G$11,MOD('_Engine'!BG21,10))&amp;IF('_Engine'!BG21&gt;10,"?","")&amp;" AM"&amp;CHAR(10)&amp;INDEX(Settings!$G$7:$G$11,MOD('_Engine'!BH21,10))&amp;IF('_Engine'!BH21&gt;10,"?","")&amp;" PM"))))))))</ns0:f>
        <ns0:v/>
      </ns0:c>
      <ns0:c r="G21" s="162" t="str">
        <ns0:f>IF(OR($A21="",G$11=""),"",IF(OR('_Engine'!$B$6&gt;0,INDEX('_Engine'!$AM$11:$AM$60,'_Engine'!$AO21)&lt;&gt;"OK"),"!",IF(INDEX(Team!$H$11:$N$60,'_Engine'!$AO21,WEEKDAY(G$11,2))&lt;&gt;"Work","—",IF(COUNTIF(Settings!$F$18:$F$67,G$11)&gt;0,"BH",IF('_Engine'!BI21+'_Engine'!BJ21=0,"·",IF('_Engine'!BI21='_Engine'!BJ21,INDEX(Settings!$G$7:$G$11,MOD('_Engine'!BI21,10))&amp;IF('_Engine'!BI21&gt;10,"?",""),IF('_Engine'!BI21=0,INDEX(Settings!$G$7:$G$11,MOD('_Engine'!BJ21,10))&amp;IF('_Engine'!BJ21&gt;10,"?","")&amp;" PM",IF('_Engine'!BJ21=0,INDEX(Settings!$G$7:$G$11,MOD('_Engine'!BI21,10))&amp;IF('_Engine'!BI21&gt;10,"?","")&amp;" AM",INDEX(Settings!$G$7:$G$11,MOD('_Engine'!BI21,10))&amp;IF('_Engine'!BI21&gt;10,"?","")&amp;" AM"&amp;CHAR(10)&amp;INDEX(Settings!$G$7:$G$11,MOD('_Engine'!BJ21,10))&amp;IF('_Engine'!BJ21&gt;10,"?","")&amp;" PM"))))))))</ns0:f>
        <ns0:v/>
      </ns0:c>
      <ns0:c r="H21" s="162" t="str">
        <ns0:f>IF(OR($A21="",H$11=""),"",IF(OR('_Engine'!$B$6&gt;0,INDEX('_Engine'!$AM$11:$AM$60,'_Engine'!$AO21)&lt;&gt;"OK"),"!",IF(INDEX(Team!$H$11:$N$60,'_Engine'!$AO21,WEEKDAY(H$11,2))&lt;&gt;"Work","—",IF(COUNTIF(Settings!$F$18:$F$67,H$11)&gt;0,"BH",IF('_Engine'!BK21+'_Engine'!BL21=0,"·",IF('_Engine'!BK21='_Engine'!BL21,INDEX(Settings!$G$7:$G$11,MOD('_Engine'!BK21,10))&amp;IF('_Engine'!BK21&gt;10,"?",""),IF('_Engine'!BK21=0,INDEX(Settings!$G$7:$G$11,MOD('_Engine'!BL21,10))&amp;IF('_Engine'!BL21&gt;10,"?","")&amp;" PM",IF('_Engine'!BL21=0,INDEX(Settings!$G$7:$G$11,MOD('_Engine'!BK21,10))&amp;IF('_Engine'!BK21&gt;10,"?","")&amp;" AM",INDEX(Settings!$G$7:$G$11,MOD('_Engine'!BK21,10))&amp;IF('_Engine'!BK21&gt;10,"?","")&amp;" AM"&amp;CHAR(10)&amp;INDEX(Settings!$G$7:$G$11,MOD('_Engine'!BL21,10))&amp;IF('_Engine'!BL21&gt;10,"?","")&amp;" PM"))))))))</ns0:f>
        <ns0:v/>
      </ns0:c>
      <ns0:c r="I21" s="162" t="str">
        <ns0:f>IF(OR($A21="",I$11=""),"",IF(OR('_Engine'!$B$6&gt;0,INDEX('_Engine'!$AM$11:$AM$60,'_Engine'!$AO21)&lt;&gt;"OK"),"!",IF(INDEX(Team!$H$11:$N$60,'_Engine'!$AO21,WEEKDAY(I$11,2))&lt;&gt;"Work","—",IF(COUNTIF(Settings!$F$18:$F$67,I$11)&gt;0,"BH",IF('_Engine'!BM21+'_Engine'!BN21=0,"·",IF('_Engine'!BM21='_Engine'!BN21,INDEX(Settings!$G$7:$G$11,MOD('_Engine'!BM21,10))&amp;IF('_Engine'!BM21&gt;10,"?",""),IF('_Engine'!BM21=0,INDEX(Settings!$G$7:$G$11,MOD('_Engine'!BN21,10))&amp;IF('_Engine'!BN21&gt;10,"?","")&amp;" PM",IF('_Engine'!BN21=0,INDEX(Settings!$G$7:$G$11,MOD('_Engine'!BM21,10))&amp;IF('_Engine'!BM21&gt;10,"?","")&amp;" AM",INDEX(Settings!$G$7:$G$11,MOD('_Engine'!BM21,10))&amp;IF('_Engine'!BM21&gt;10,"?","")&amp;" AM"&amp;CHAR(10)&amp;INDEX(Settings!$G$7:$G$11,MOD('_Engine'!BN21,10))&amp;IF('_Engine'!BN21&gt;10,"?","")&amp;" PM"))))))))</ns0:f>
        <ns0:v/>
      </ns0:c>
      <ns0:c r="J21" s="162" t="str">
        <ns0:f>IF(OR($A21="",J$11=""),"",IF(OR('_Engine'!$B$6&gt;0,INDEX('_Engine'!$AM$11:$AM$60,'_Engine'!$AO21)&lt;&gt;"OK"),"!",IF(INDEX(Team!$H$11:$N$60,'_Engine'!$AO21,WEEKDAY(J$11,2))&lt;&gt;"Work","—",IF(COUNTIF(Settings!$F$18:$F$67,J$11)&gt;0,"BH",IF('_Engine'!BO21+'_Engine'!BP21=0,"·",IF('_Engine'!BO21='_Engine'!BP21,INDEX(Settings!$G$7:$G$11,MOD('_Engine'!BO21,10))&amp;IF('_Engine'!BO21&gt;10,"?",""),IF('_Engine'!BO21=0,INDEX(Settings!$G$7:$G$11,MOD('_Engine'!BP21,10))&amp;IF('_Engine'!BP21&gt;10,"?","")&amp;" PM",IF('_Engine'!BP21=0,INDEX(Settings!$G$7:$G$11,MOD('_Engine'!BO21,10))&amp;IF('_Engine'!BO21&gt;10,"?","")&amp;" AM",INDEX(Settings!$G$7:$G$11,MOD('_Engine'!BO21,10))&amp;IF('_Engine'!BO21&gt;10,"?","")&amp;" AM"&amp;CHAR(10)&amp;INDEX(Settings!$G$7:$G$11,MOD('_Engine'!BP21,10))&amp;IF('_Engine'!BP21&gt;10,"?","")&amp;" PM"))))))))</ns0:f>
        <ns0:v/>
      </ns0:c>
      <ns0:c r="K21" s="164" t="str">
        <ns0:f>IF(OR($A21="",K$11=""),"",IF(OR('_Engine'!$B$6&gt;0,INDEX('_Engine'!$AM$11:$AM$60,'_Engine'!$AO21)&lt;&gt;"OK"),"!",IF(INDEX(Team!$H$11:$N$60,'_Engine'!$AO21,WEEKDAY(K$11,2))&lt;&gt;"Work","—",IF(COUNTIF(Settings!$F$18:$F$67,K$11)&gt;0,"BH",IF('_Engine'!BQ21+'_Engine'!BR21=0,"·",IF('_Engine'!BQ21='_Engine'!BR21,INDEX(Settings!$G$7:$G$11,MOD('_Engine'!BQ21,10))&amp;IF('_Engine'!BQ21&gt;10,"?",""),IF('_Engine'!BQ21=0,INDEX(Settings!$G$7:$G$11,MOD('_Engine'!BR21,10))&amp;IF('_Engine'!BR21&gt;10,"?","")&amp;" PM",IF('_Engine'!BR21=0,INDEX(Settings!$G$7:$G$11,MOD('_Engine'!BQ21,10))&amp;IF('_Engine'!BQ21&gt;10,"?","")&amp;" AM",INDEX(Settings!$G$7:$G$11,MOD('_Engine'!BQ21,10))&amp;IF('_Engine'!BQ21&gt;10,"?","")&amp;" AM"&amp;CHAR(10)&amp;INDEX(Settings!$G$7:$G$11,MOD('_Engine'!BR21,10))&amp;IF('_Engine'!BR21&gt;10,"?","")&amp;" PM"))))))))</ns0:f>
        <ns0:v/>
      </ns0:c>
      <ns0:c r="L21" s="164" t="str">
        <ns0:f>IF(OR($A21="",L$11=""),"",IF(OR('_Engine'!$B$6&gt;0,INDEX('_Engine'!$AM$11:$AM$60,'_Engine'!$AO21)&lt;&gt;"OK"),"!",IF(INDEX(Team!$H$11:$N$60,'_Engine'!$AO21,WEEKDAY(L$11,2))&lt;&gt;"Work","—",IF(COUNTIF(Settings!$F$18:$F$67,L$11)&gt;0,"BH",IF('_Engine'!BS21+'_Engine'!BT21=0,"·",IF('_Engine'!BS21='_Engine'!BT21,INDEX(Settings!$G$7:$G$11,MOD('_Engine'!BS21,10))&amp;IF('_Engine'!BS21&gt;10,"?",""),IF('_Engine'!BS21=0,INDEX(Settings!$G$7:$G$11,MOD('_Engine'!BT21,10))&amp;IF('_Engine'!BT21&gt;10,"?","")&amp;" PM",IF('_Engine'!BT21=0,INDEX(Settings!$G$7:$G$11,MOD('_Engine'!BS21,10))&amp;IF('_Engine'!BS21&gt;10,"?","")&amp;" AM",INDEX(Settings!$G$7:$G$11,MOD('_Engine'!BS21,10))&amp;IF('_Engine'!BS21&gt;10,"?","")&amp;" AM"&amp;CHAR(10)&amp;INDEX(Settings!$G$7:$G$11,MOD('_Engine'!BT21,10))&amp;IF('_Engine'!BT21&gt;10,"?","")&amp;" PM"))))))))</ns0:f>
        <ns0:v/>
      </ns0:c>
      <ns0:c r="M21" s="164" t="str">
        <ns0:f>IF(OR($A21="",M$11=""),"",IF(OR('_Engine'!$B$6&gt;0,INDEX('_Engine'!$AM$11:$AM$60,'_Engine'!$AO21)&lt;&gt;"OK"),"!",IF(INDEX(Team!$H$11:$N$60,'_Engine'!$AO21,WEEKDAY(M$11,2))&lt;&gt;"Work","—",IF(COUNTIF(Settings!$F$18:$F$67,M$11)&gt;0,"BH",IF('_Engine'!BU21+'_Engine'!BV21=0,"·",IF('_Engine'!BU21='_Engine'!BV21,INDEX(Settings!$G$7:$G$11,MOD('_Engine'!BU21,10))&amp;IF('_Engine'!BU21&gt;10,"?",""),IF('_Engine'!BU21=0,INDEX(Settings!$G$7:$G$11,MOD('_Engine'!BV21,10))&amp;IF('_Engine'!BV21&gt;10,"?","")&amp;" PM",IF('_Engine'!BV21=0,INDEX(Settings!$G$7:$G$11,MOD('_Engine'!BU21,10))&amp;IF('_Engine'!BU21&gt;10,"?","")&amp;" AM",INDEX(Settings!$G$7:$G$11,MOD('_Engine'!BU21,10))&amp;IF('_Engine'!BU21&gt;10,"?","")&amp;" AM"&amp;CHAR(10)&amp;INDEX(Settings!$G$7:$G$11,MOD('_Engine'!BV21,10))&amp;IF('_Engine'!BV21&gt;10,"?","")&amp;" PM"))))))))</ns0:f>
        <ns0:v/>
      </ns0:c>
      <ns0:c r="N21" s="164" t="str">
        <ns0:f>IF(OR($A21="",N$11=""),"",IF(OR('_Engine'!$B$6&gt;0,INDEX('_Engine'!$AM$11:$AM$60,'_Engine'!$AO21)&lt;&gt;"OK"),"!",IF(INDEX(Team!$H$11:$N$60,'_Engine'!$AO21,WEEKDAY(N$11,2))&lt;&gt;"Work","—",IF(COUNTIF(Settings!$F$18:$F$67,N$11)&gt;0,"BH",IF('_Engine'!BW21+'_Engine'!BX21=0,"·",IF('_Engine'!BW21='_Engine'!BX21,INDEX(Settings!$G$7:$G$11,MOD('_Engine'!BW21,10))&amp;IF('_Engine'!BW21&gt;10,"?",""),IF('_Engine'!BW21=0,INDEX(Settings!$G$7:$G$11,MOD('_Engine'!BX21,10))&amp;IF('_Engine'!BX21&gt;10,"?","")&amp;" PM",IF('_Engine'!BX21=0,INDEX(Settings!$G$7:$G$11,MOD('_Engine'!BW21,10))&amp;IF('_Engine'!BW21&gt;10,"?","")&amp;" AM",INDEX(Settings!$G$7:$G$11,MOD('_Engine'!BW21,10))&amp;IF('_Engine'!BW21&gt;10,"?","")&amp;" AM"&amp;CHAR(10)&amp;INDEX(Settings!$G$7:$G$11,MOD('_Engine'!BX21,10))&amp;IF('_Engine'!BX21&gt;10,"?","")&amp;" PM"))))))))</ns0:f>
        <ns0:v/>
      </ns0:c>
      <ns0:c r="O21" s="164" t="str">
        <ns0:f>IF(OR($A21="",O$11=""),"",IF(OR('_Engine'!$B$6&gt;0,INDEX('_Engine'!$AM$11:$AM$60,'_Engine'!$AO21)&lt;&gt;"OK"),"!",IF(INDEX(Team!$H$11:$N$60,'_Engine'!$AO21,WEEKDAY(O$11,2))&lt;&gt;"Work","—",IF(COUNTIF(Settings!$F$18:$F$67,O$11)&gt;0,"BH",IF('_Engine'!BY21+'_Engine'!BZ21=0,"·",IF('_Engine'!BY21='_Engine'!BZ21,INDEX(Settings!$G$7:$G$11,MOD('_Engine'!BY21,10))&amp;IF('_Engine'!BY21&gt;10,"?",""),IF('_Engine'!BY21=0,INDEX(Settings!$G$7:$G$11,MOD('_Engine'!BZ21,10))&amp;IF('_Engine'!BZ21&gt;10,"?","")&amp;" PM",IF('_Engine'!BZ21=0,INDEX(Settings!$G$7:$G$11,MOD('_Engine'!BY21,10))&amp;IF('_Engine'!BY21&gt;10,"?","")&amp;" AM",INDEX(Settings!$G$7:$G$11,MOD('_Engine'!BY21,10))&amp;IF('_Engine'!BY21&gt;10,"?","")&amp;" AM"&amp;CHAR(10)&amp;INDEX(Settings!$G$7:$G$11,MOD('_Engine'!BZ21,10))&amp;IF('_Engine'!BZ21&gt;10,"?","")&amp;" PM"))))))))</ns0:f>
        <ns0:v/>
      </ns0:c>
      <ns0:c r="P21" s="164" t="str">
        <ns0:f>IF(OR($A21="",P$11=""),"",IF(OR('_Engine'!$B$6&gt;0,INDEX('_Engine'!$AM$11:$AM$60,'_Engine'!$AO21)&lt;&gt;"OK"),"!",IF(INDEX(Team!$H$11:$N$60,'_Engine'!$AO21,WEEKDAY(P$11,2))&lt;&gt;"Work","—",IF(COUNTIF(Settings!$F$18:$F$67,P$11)&gt;0,"BH",IF('_Engine'!CA21+'_Engine'!CB21=0,"·",IF('_Engine'!CA21='_Engine'!CB21,INDEX(Settings!$G$7:$G$11,MOD('_Engine'!CA21,10))&amp;IF('_Engine'!CA21&gt;10,"?",""),IF('_Engine'!CA21=0,INDEX(Settings!$G$7:$G$11,MOD('_Engine'!CB21,10))&amp;IF('_Engine'!CB21&gt;10,"?","")&amp;" PM",IF('_Engine'!CB21=0,INDEX(Settings!$G$7:$G$11,MOD('_Engine'!CA21,10))&amp;IF('_Engine'!CA21&gt;10,"?","")&amp;" AM",INDEX(Settings!$G$7:$G$11,MOD('_Engine'!CA21,10))&amp;IF('_Engine'!CA21&gt;10,"?","")&amp;" AM"&amp;CHAR(10)&amp;INDEX(Settings!$G$7:$G$11,MOD('_Engine'!CB21,10))&amp;IF('_Engine'!CB21&gt;10,"?","")&amp;" PM"))))))))</ns0:f>
        <ns0:v/>
      </ns0:c>
      <ns0:c r="Q21" s="164" t="str">
        <ns0:f>IF(OR($A21="",Q$11=""),"",IF(OR('_Engine'!$B$6&gt;0,INDEX('_Engine'!$AM$11:$AM$60,'_Engine'!$AO21)&lt;&gt;"OK"),"!",IF(INDEX(Team!$H$11:$N$60,'_Engine'!$AO21,WEEKDAY(Q$11,2))&lt;&gt;"Work","—",IF(COUNTIF(Settings!$F$18:$F$67,Q$11)&gt;0,"BH",IF('_Engine'!CC21+'_Engine'!CD21=0,"·",IF('_Engine'!CC21='_Engine'!CD21,INDEX(Settings!$G$7:$G$11,MOD('_Engine'!CC21,10))&amp;IF('_Engine'!CC21&gt;10,"?",""),IF('_Engine'!CC21=0,INDEX(Settings!$G$7:$G$11,MOD('_Engine'!CD21,10))&amp;IF('_Engine'!CD21&gt;10,"?","")&amp;" PM",IF('_Engine'!CD21=0,INDEX(Settings!$G$7:$G$11,MOD('_Engine'!CC21,10))&amp;IF('_Engine'!CC21&gt;10,"?","")&amp;" AM",INDEX(Settings!$G$7:$G$11,MOD('_Engine'!CC21,10))&amp;IF('_Engine'!CC21&gt;10,"?","")&amp;" AM"&amp;CHAR(10)&amp;INDEX(Settings!$G$7:$G$11,MOD('_Engine'!CD21,10))&amp;IF('_Engine'!CD21&gt;10,"?","")&amp;" PM"))))))))</ns0:f>
        <ns0:v/>
      </ns0:c>
      <ns0:c r="R21" s="164" t="str">
        <ns0:f>IF(OR($A21="",R$11=""),"",IF(OR('_Engine'!$B$6&gt;0,INDEX('_Engine'!$AM$11:$AM$60,'_Engine'!$AO21)&lt;&gt;"OK"),"!",IF(INDEX(Team!$H$11:$N$60,'_Engine'!$AO21,WEEKDAY(R$11,2))&lt;&gt;"Work","—",IF(COUNTIF(Settings!$F$18:$F$67,R$11)&gt;0,"BH",IF('_Engine'!CE21+'_Engine'!CF21=0,"·",IF('_Engine'!CE21='_Engine'!CF21,INDEX(Settings!$G$7:$G$11,MOD('_Engine'!CE21,10))&amp;IF('_Engine'!CE21&gt;10,"?",""),IF('_Engine'!CE21=0,INDEX(Settings!$G$7:$G$11,MOD('_Engine'!CF21,10))&amp;IF('_Engine'!CF21&gt;10,"?","")&amp;" PM",IF('_Engine'!CF21=0,INDEX(Settings!$G$7:$G$11,MOD('_Engine'!CE21,10))&amp;IF('_Engine'!CE21&gt;10,"?","")&amp;" AM",INDEX(Settings!$G$7:$G$11,MOD('_Engine'!CE21,10))&amp;IF('_Engine'!CE21&gt;10,"?","")&amp;" AM"&amp;CHAR(10)&amp;INDEX(Settings!$G$7:$G$11,MOD('_Engine'!CF21,10))&amp;IF('_Engine'!CF21&gt;10,"?","")&amp;" PM"))))))))</ns0:f>
        <ns0:v/>
      </ns0:c>
      <ns0:c r="S21" s="164" t="str">
        <ns0:f>IF(OR($A21="",S$11=""),"",IF(OR('_Engine'!$B$6&gt;0,INDEX('_Engine'!$AM$11:$AM$60,'_Engine'!$AO21)&lt;&gt;"OK"),"!",IF(INDEX(Team!$H$11:$N$60,'_Engine'!$AO21,WEEKDAY(S$11,2))&lt;&gt;"Work","—",IF(COUNTIF(Settings!$F$18:$F$67,S$11)&gt;0,"BH",IF('_Engine'!CG21+'_Engine'!CH21=0,"·",IF('_Engine'!CG21='_Engine'!CH21,INDEX(Settings!$G$7:$G$11,MOD('_Engine'!CG21,10))&amp;IF('_Engine'!CG21&gt;10,"?",""),IF('_Engine'!CG21=0,INDEX(Settings!$G$7:$G$11,MOD('_Engine'!CH21,10))&amp;IF('_Engine'!CH21&gt;10,"?","")&amp;" PM",IF('_Engine'!CH21=0,INDEX(Settings!$G$7:$G$11,MOD('_Engine'!CG21,10))&amp;IF('_Engine'!CG21&gt;10,"?","")&amp;" AM",INDEX(Settings!$G$7:$G$11,MOD('_Engine'!CG21,10))&amp;IF('_Engine'!CG21&gt;10,"?","")&amp;" AM"&amp;CHAR(10)&amp;INDEX(Settings!$G$7:$G$11,MOD('_Engine'!CH21,10))&amp;IF('_Engine'!CH21&gt;10,"?","")&amp;" PM"))))))))</ns0:f>
        <ns0:v/>
      </ns0:c>
      <ns0:c r="T21" s="164" t="str">
        <ns0:f>IF(OR($A21="",T$11=""),"",IF(OR('_Engine'!$B$6&gt;0,INDEX('_Engine'!$AM$11:$AM$60,'_Engine'!$AO21)&lt;&gt;"OK"),"!",IF(INDEX(Team!$H$11:$N$60,'_Engine'!$AO21,WEEKDAY(T$11,2))&lt;&gt;"Work","—",IF(COUNTIF(Settings!$F$18:$F$67,T$11)&gt;0,"BH",IF('_Engine'!CI21+'_Engine'!CJ21=0,"·",IF('_Engine'!CI21='_Engine'!CJ21,INDEX(Settings!$G$7:$G$11,MOD('_Engine'!CI21,10))&amp;IF('_Engine'!CI21&gt;10,"?",""),IF('_Engine'!CI21=0,INDEX(Settings!$G$7:$G$11,MOD('_Engine'!CJ21,10))&amp;IF('_Engine'!CJ21&gt;10,"?","")&amp;" PM",IF('_Engine'!CJ21=0,INDEX(Settings!$G$7:$G$11,MOD('_Engine'!CI21,10))&amp;IF('_Engine'!CI21&gt;10,"?","")&amp;" AM",INDEX(Settings!$G$7:$G$11,MOD('_Engine'!CI21,10))&amp;IF('_Engine'!CI21&gt;10,"?","")&amp;" AM"&amp;CHAR(10)&amp;INDEX(Settings!$G$7:$G$11,MOD('_Engine'!CJ21,10))&amp;IF('_Engine'!CJ21&gt;10,"?","")&amp;" PM"))))))))</ns0:f>
        <ns0:v/>
      </ns0:c>
      <ns0:c r="U21" s="164" t="str">
        <ns0:f>IF(OR($A21="",U$11=""),"",IF(OR('_Engine'!$B$6&gt;0,INDEX('_Engine'!$AM$11:$AM$60,'_Engine'!$AO21)&lt;&gt;"OK"),"!",IF(INDEX(Team!$H$11:$N$60,'_Engine'!$AO21,WEEKDAY(U$11,2))&lt;&gt;"Work","—",IF(COUNTIF(Settings!$F$18:$F$67,U$11)&gt;0,"BH",IF('_Engine'!CK21+'_Engine'!CL21=0,"·",IF('_Engine'!CK21='_Engine'!CL21,INDEX(Settings!$G$7:$G$11,MOD('_Engine'!CK21,10))&amp;IF('_Engine'!CK21&gt;10,"?",""),IF('_Engine'!CK21=0,INDEX(Settings!$G$7:$G$11,MOD('_Engine'!CL21,10))&amp;IF('_Engine'!CL21&gt;10,"?","")&amp;" PM",IF('_Engine'!CL21=0,INDEX(Settings!$G$7:$G$11,MOD('_Engine'!CK21,10))&amp;IF('_Engine'!CK21&gt;10,"?","")&amp;" AM",INDEX(Settings!$G$7:$G$11,MOD('_Engine'!CK21,10))&amp;IF('_Engine'!CK21&gt;10,"?","")&amp;" AM"&amp;CHAR(10)&amp;INDEX(Settings!$G$7:$G$11,MOD('_Engine'!CL21,10))&amp;IF('_Engine'!CL21&gt;10,"?","")&amp;" PM"))))))))</ns0:f>
        <ns0:v/>
      </ns0:c>
      <ns0:c r="V21" s="164" t="str">
        <ns0:f>IF(OR($A21="",V$11=""),"",IF(OR('_Engine'!$B$6&gt;0,INDEX('_Engine'!$AM$11:$AM$60,'_Engine'!$AO21)&lt;&gt;"OK"),"!",IF(INDEX(Team!$H$11:$N$60,'_Engine'!$AO21,WEEKDAY(V$11,2))&lt;&gt;"Work","—",IF(COUNTIF(Settings!$F$18:$F$67,V$11)&gt;0,"BH",IF('_Engine'!CM21+'_Engine'!CN21=0,"·",IF('_Engine'!CM21='_Engine'!CN21,INDEX(Settings!$G$7:$G$11,MOD('_Engine'!CM21,10))&amp;IF('_Engine'!CM21&gt;10,"?",""),IF('_Engine'!CM21=0,INDEX(Settings!$G$7:$G$11,MOD('_Engine'!CN21,10))&amp;IF('_Engine'!CN21&gt;10,"?","")&amp;" PM",IF('_Engine'!CN21=0,INDEX(Settings!$G$7:$G$11,MOD('_Engine'!CM21,10))&amp;IF('_Engine'!CM21&gt;10,"?","")&amp;" AM",INDEX(Settings!$G$7:$G$11,MOD('_Engine'!CM21,10))&amp;IF('_Engine'!CM21&gt;10,"?","")&amp;" AM"&amp;CHAR(10)&amp;INDEX(Settings!$G$7:$G$11,MOD('_Engine'!CN21,10))&amp;IF('_Engine'!CN21&gt;10,"?","")&amp;" PM"))))))))</ns0:f>
        <ns0:v/>
      </ns0:c>
      <ns0:c r="W21" s="164" t="str">
        <ns0:f>IF(OR($A21="",W$11=""),"",IF(OR('_Engine'!$B$6&gt;0,INDEX('_Engine'!$AM$11:$AM$60,'_Engine'!$AO21)&lt;&gt;"OK"),"!",IF(INDEX(Team!$H$11:$N$60,'_Engine'!$AO21,WEEKDAY(W$11,2))&lt;&gt;"Work","—",IF(COUNTIF(Settings!$F$18:$F$67,W$11)&gt;0,"BH",IF('_Engine'!CO21+'_Engine'!CP21=0,"·",IF('_Engine'!CO21='_Engine'!CP21,INDEX(Settings!$G$7:$G$11,MOD('_Engine'!CO21,10))&amp;IF('_Engine'!CO21&gt;10,"?",""),IF('_Engine'!CO21=0,INDEX(Settings!$G$7:$G$11,MOD('_Engine'!CP21,10))&amp;IF('_Engine'!CP21&gt;10,"?","")&amp;" PM",IF('_Engine'!CP21=0,INDEX(Settings!$G$7:$G$11,MOD('_Engine'!CO21,10))&amp;IF('_Engine'!CO21&gt;10,"?","")&amp;" AM",INDEX(Settings!$G$7:$G$11,MOD('_Engine'!CO21,10))&amp;IF('_Engine'!CO21&gt;10,"?","")&amp;" AM"&amp;CHAR(10)&amp;INDEX(Settings!$G$7:$G$11,MOD('_Engine'!CP21,10))&amp;IF('_Engine'!CP21&gt;10,"?","")&amp;" PM"))))))))</ns0:f>
        <ns0:v/>
      </ns0:c>
      <ns0:c r="X21" s="164" t="str">
        <ns0:f>IF(OR($A21="",X$11=""),"",IF(OR('_Engine'!$B$6&gt;0,INDEX('_Engine'!$AM$11:$AM$60,'_Engine'!$AO21)&lt;&gt;"OK"),"!",IF(INDEX(Team!$H$11:$N$60,'_Engine'!$AO21,WEEKDAY(X$11,2))&lt;&gt;"Work","—",IF(COUNTIF(Settings!$F$18:$F$67,X$11)&gt;0,"BH",IF('_Engine'!CQ21+'_Engine'!CR21=0,"·",IF('_Engine'!CQ21='_Engine'!CR21,INDEX(Settings!$G$7:$G$11,MOD('_Engine'!CQ21,10))&amp;IF('_Engine'!CQ21&gt;10,"?",""),IF('_Engine'!CQ21=0,INDEX(Settings!$G$7:$G$11,MOD('_Engine'!CR21,10))&amp;IF('_Engine'!CR21&gt;10,"?","")&amp;" PM",IF('_Engine'!CR21=0,INDEX(Settings!$G$7:$G$11,MOD('_Engine'!CQ21,10))&amp;IF('_Engine'!CQ21&gt;10,"?","")&amp;" AM",INDEX(Settings!$G$7:$G$11,MOD('_Engine'!CQ21,10))&amp;IF('_Engine'!CQ21&gt;10,"?","")&amp;" AM"&amp;CHAR(10)&amp;INDEX(Settings!$G$7:$G$11,MOD('_Engine'!CR21,10))&amp;IF('_Engine'!CR21&gt;10,"?","")&amp;" PM"))))))))</ns0:f>
        <ns0:v/>
      </ns0:c>
      <ns0:c r="Y21" s="164" t="str">
        <ns0:f>IF(OR($A21="",Y$11=""),"",IF(OR('_Engine'!$B$6&gt;0,INDEX('_Engine'!$AM$11:$AM$60,'_Engine'!$AO21)&lt;&gt;"OK"),"!",IF(INDEX(Team!$H$11:$N$60,'_Engine'!$AO21,WEEKDAY(Y$11,2))&lt;&gt;"Work","—",IF(COUNTIF(Settings!$F$18:$F$67,Y$11)&gt;0,"BH",IF('_Engine'!CS21+'_Engine'!CT21=0,"·",IF('_Engine'!CS21='_Engine'!CT21,INDEX(Settings!$G$7:$G$11,MOD('_Engine'!CS21,10))&amp;IF('_Engine'!CS21&gt;10,"?",""),IF('_Engine'!CS21=0,INDEX(Settings!$G$7:$G$11,MOD('_Engine'!CT21,10))&amp;IF('_Engine'!CT21&gt;10,"?","")&amp;" PM",IF('_Engine'!CT21=0,INDEX(Settings!$G$7:$G$11,MOD('_Engine'!CS21,10))&amp;IF('_Engine'!CS21&gt;10,"?","")&amp;" AM",INDEX(Settings!$G$7:$G$11,MOD('_Engine'!CS21,10))&amp;IF('_Engine'!CS21&gt;10,"?","")&amp;" AM"&amp;CHAR(10)&amp;INDEX(Settings!$G$7:$G$11,MOD('_Engine'!CT21,10))&amp;IF('_Engine'!CT21&gt;10,"?","")&amp;" PM"))))))))</ns0:f>
        <ns0:v/>
      </ns0:c>
      <ns0:c r="Z21" s="164" t="str">
        <ns0:f>IF(OR($A21="",Z$11=""),"",IF(OR('_Engine'!$B$6&gt;0,INDEX('_Engine'!$AM$11:$AM$60,'_Engine'!$AO21)&lt;&gt;"OK"),"!",IF(INDEX(Team!$H$11:$N$60,'_Engine'!$AO21,WEEKDAY(Z$11,2))&lt;&gt;"Work","—",IF(COUNTIF(Settings!$F$18:$F$67,Z$11)&gt;0,"BH",IF('_Engine'!CU21+'_Engine'!CV21=0,"·",IF('_Engine'!CU21='_Engine'!CV21,INDEX(Settings!$G$7:$G$11,MOD('_Engine'!CU21,10))&amp;IF('_Engine'!CU21&gt;10,"?",""),IF('_Engine'!CU21=0,INDEX(Settings!$G$7:$G$11,MOD('_Engine'!CV21,10))&amp;IF('_Engine'!CV21&gt;10,"?","")&amp;" PM",IF('_Engine'!CV21=0,INDEX(Settings!$G$7:$G$11,MOD('_Engine'!CU21,10))&amp;IF('_Engine'!CU21&gt;10,"?","")&amp;" AM",INDEX(Settings!$G$7:$G$11,MOD('_Engine'!CU21,10))&amp;IF('_Engine'!CU21&gt;10,"?","")&amp;" AM"&amp;CHAR(10)&amp;INDEX(Settings!$G$7:$G$11,MOD('_Engine'!CV21,10))&amp;IF('_Engine'!CV21&gt;10,"?","")&amp;" PM"))))))))</ns0:f>
        <ns0:v/>
      </ns0:c>
      <ns0:c r="AA21" s="164" t="str">
        <ns0:f>IF(OR($A21="",AA$11=""),"",IF(OR('_Engine'!$B$6&gt;0,INDEX('_Engine'!$AM$11:$AM$60,'_Engine'!$AO21)&lt;&gt;"OK"),"!",IF(INDEX(Team!$H$11:$N$60,'_Engine'!$AO21,WEEKDAY(AA$11,2))&lt;&gt;"Work","—",IF(COUNTIF(Settings!$F$18:$F$67,AA$11)&gt;0,"BH",IF('_Engine'!CW21+'_Engine'!CX21=0,"·",IF('_Engine'!CW21='_Engine'!CX21,INDEX(Settings!$G$7:$G$11,MOD('_Engine'!CW21,10))&amp;IF('_Engine'!CW21&gt;10,"?",""),IF('_Engine'!CW21=0,INDEX(Settings!$G$7:$G$11,MOD('_Engine'!CX21,10))&amp;IF('_Engine'!CX21&gt;10,"?","")&amp;" PM",IF('_Engine'!CX21=0,INDEX(Settings!$G$7:$G$11,MOD('_Engine'!CW21,10))&amp;IF('_Engine'!CW21&gt;10,"?","")&amp;" AM",INDEX(Settings!$G$7:$G$11,MOD('_Engine'!CW21,10))&amp;IF('_Engine'!CW21&gt;10,"?","")&amp;" AM"&amp;CHAR(10)&amp;INDEX(Settings!$G$7:$G$11,MOD('_Engine'!CX21,10))&amp;IF('_Engine'!CX21&gt;10,"?","")&amp;" PM"))))))))</ns0:f>
        <ns0:v/>
      </ns0:c>
      <ns0:c r="AB21" s="164" t="str">
        <ns0:f>IF(OR($A21="",AB$11=""),"",IF(OR('_Engine'!$B$6&gt;0,INDEX('_Engine'!$AM$11:$AM$60,'_Engine'!$AO21)&lt;&gt;"OK"),"!",IF(INDEX(Team!$H$11:$N$60,'_Engine'!$AO21,WEEKDAY(AB$11,2))&lt;&gt;"Work","—",IF(COUNTIF(Settings!$F$18:$F$67,AB$11)&gt;0,"BH",IF('_Engine'!CY21+'_Engine'!CZ21=0,"·",IF('_Engine'!CY21='_Engine'!CZ21,INDEX(Settings!$G$7:$G$11,MOD('_Engine'!CY21,10))&amp;IF('_Engine'!CY21&gt;10,"?",""),IF('_Engine'!CY21=0,INDEX(Settings!$G$7:$G$11,MOD('_Engine'!CZ21,10))&amp;IF('_Engine'!CZ21&gt;10,"?","")&amp;" PM",IF('_Engine'!CZ21=0,INDEX(Settings!$G$7:$G$11,MOD('_Engine'!CY21,10))&amp;IF('_Engine'!CY21&gt;10,"?","")&amp;" AM",INDEX(Settings!$G$7:$G$11,MOD('_Engine'!CY21,10))&amp;IF('_Engine'!CY21&gt;10,"?","")&amp;" AM"&amp;CHAR(10)&amp;INDEX(Settings!$G$7:$G$11,MOD('_Engine'!CZ21,10))&amp;IF('_Engine'!CZ21&gt;10,"?","")&amp;" PM"))))))))</ns0:f>
        <ns0:v/>
      </ns0:c>
      <ns0:c r="AC21" s="164" t="str">
        <ns0:f>IF(OR($A21="",AC$11=""),"",IF(OR('_Engine'!$B$6&gt;0,INDEX('_Engine'!$AM$11:$AM$60,'_Engine'!$AO21)&lt;&gt;"OK"),"!",IF(INDEX(Team!$H$11:$N$60,'_Engine'!$AO21,WEEKDAY(AC$11,2))&lt;&gt;"Work","—",IF(COUNTIF(Settings!$F$18:$F$67,AC$11)&gt;0,"BH",IF('_Engine'!DA21+'_Engine'!DB21=0,"·",IF('_Engine'!DA21='_Engine'!DB21,INDEX(Settings!$G$7:$G$11,MOD('_Engine'!DA21,10))&amp;IF('_Engine'!DA21&gt;10,"?",""),IF('_Engine'!DA21=0,INDEX(Settings!$G$7:$G$11,MOD('_Engine'!DB21,10))&amp;IF('_Engine'!DB21&gt;10,"?","")&amp;" PM",IF('_Engine'!DB21=0,INDEX(Settings!$G$7:$G$11,MOD('_Engine'!DA21,10))&amp;IF('_Engine'!DA21&gt;10,"?","")&amp;" AM",INDEX(Settings!$G$7:$G$11,MOD('_Engine'!DA21,10))&amp;IF('_Engine'!DA21&gt;10,"?","")&amp;" AM"&amp;CHAR(10)&amp;INDEX(Settings!$G$7:$G$11,MOD('_Engine'!DB21,10))&amp;IF('_Engine'!DB21&gt;10,"?","")&amp;" PM"))))))))</ns0:f>
        <ns0:v/>
      </ns0:c>
      <ns0:c r="AD21" s="164" t="str">
        <ns0:f>IF(OR($A21="",AD$11=""),"",IF(OR('_Engine'!$B$6&gt;0,INDEX('_Engine'!$AM$11:$AM$60,'_Engine'!$AO21)&lt;&gt;"OK"),"!",IF(INDEX(Team!$H$11:$N$60,'_Engine'!$AO21,WEEKDAY(AD$11,2))&lt;&gt;"Work","—",IF(COUNTIF(Settings!$F$18:$F$67,AD$11)&gt;0,"BH",IF('_Engine'!DC21+'_Engine'!DD21=0,"·",IF('_Engine'!DC21='_Engine'!DD21,INDEX(Settings!$G$7:$G$11,MOD('_Engine'!DC21,10))&amp;IF('_Engine'!DC21&gt;10,"?",""),IF('_Engine'!DC21=0,INDEX(Settings!$G$7:$G$11,MOD('_Engine'!DD21,10))&amp;IF('_Engine'!DD21&gt;10,"?","")&amp;" PM",IF('_Engine'!DD21=0,INDEX(Settings!$G$7:$G$11,MOD('_Engine'!DC21,10))&amp;IF('_Engine'!DC21&gt;10,"?","")&amp;" AM",INDEX(Settings!$G$7:$G$11,MOD('_Engine'!DC21,10))&amp;IF('_Engine'!DC21&gt;10,"?","")&amp;" AM"&amp;CHAR(10)&amp;INDEX(Settings!$G$7:$G$11,MOD('_Engine'!DD21,10))&amp;IF('_Engine'!DD21&gt;10,"?","")&amp;" PM"))))))))</ns0:f>
        <ns0:v/>
      </ns0:c>
      <ns0:c r="AE21" s="164" t="str">
        <ns0:f>IF(OR($A21="",AE$11=""),"",IF(OR('_Engine'!$B$6&gt;0,INDEX('_Engine'!$AM$11:$AM$60,'_Engine'!$AO21)&lt;&gt;"OK"),"!",IF(INDEX(Team!$H$11:$N$60,'_Engine'!$AO21,WEEKDAY(AE$11,2))&lt;&gt;"Work","—",IF(COUNTIF(Settings!$F$18:$F$67,AE$11)&gt;0,"BH",IF('_Engine'!DE21+'_Engine'!DF21=0,"·",IF('_Engine'!DE21='_Engine'!DF21,INDEX(Settings!$G$7:$G$11,MOD('_Engine'!DE21,10))&amp;IF('_Engine'!DE21&gt;10,"?",""),IF('_Engine'!DE21=0,INDEX(Settings!$G$7:$G$11,MOD('_Engine'!DF21,10))&amp;IF('_Engine'!DF21&gt;10,"?","")&amp;" PM",IF('_Engine'!DF21=0,INDEX(Settings!$G$7:$G$11,MOD('_Engine'!DE21,10))&amp;IF('_Engine'!DE21&gt;10,"?","")&amp;" AM",INDEX(Settings!$G$7:$G$11,MOD('_Engine'!DE21,10))&amp;IF('_Engine'!DE21&gt;10,"?","")&amp;" AM"&amp;CHAR(10)&amp;INDEX(Settings!$G$7:$G$11,MOD('_Engine'!DF21,10))&amp;IF('_Engine'!DF21&gt;10,"?","")&amp;" PM"))))))))</ns0:f>
        <ns0:v/>
      </ns0:c>
      <ns0:c r="AF21" s="164" t="str">
        <ns0:f>IF(OR($A21="",AF$11=""),"",IF(OR('_Engine'!$B$6&gt;0,INDEX('_Engine'!$AM$11:$AM$60,'_Engine'!$AO21)&lt;&gt;"OK"),"!",IF(INDEX(Team!$H$11:$N$60,'_Engine'!$AO21,WEEKDAY(AF$11,2))&lt;&gt;"Work","—",IF(COUNTIF(Settings!$F$18:$F$67,AF$11)&gt;0,"BH",IF('_Engine'!DG21+'_Engine'!DH21=0,"·",IF('_Engine'!DG21='_Engine'!DH21,INDEX(Settings!$G$7:$G$11,MOD('_Engine'!DG21,10))&amp;IF('_Engine'!DG21&gt;10,"?",""),IF('_Engine'!DG21=0,INDEX(Settings!$G$7:$G$11,MOD('_Engine'!DH21,10))&amp;IF('_Engine'!DH21&gt;10,"?","")&amp;" PM",IF('_Engine'!DH21=0,INDEX(Settings!$G$7:$G$11,MOD('_Engine'!DG21,10))&amp;IF('_Engine'!DG21&gt;10,"?","")&amp;" AM",INDEX(Settings!$G$7:$G$11,MOD('_Engine'!DG21,10))&amp;IF('_Engine'!DG21&gt;10,"?","")&amp;" AM"&amp;CHAR(10)&amp;INDEX(Settings!$G$7:$G$11,MOD('_Engine'!DH21,10))&amp;IF('_Engine'!DH21&gt;10,"?","")&amp;" PM"))))))))</ns0:f>
        <ns0:v/>
      </ns0:c>
      <ns0:c r="AG21" s="164" t="str">
        <ns0:f>IF(OR($A21="",AG$11=""),"",IF(OR('_Engine'!$B$6&gt;0,INDEX('_Engine'!$AM$11:$AM$60,'_Engine'!$AO21)&lt;&gt;"OK"),"!",IF(INDEX(Team!$H$11:$N$60,'_Engine'!$AO21,WEEKDAY(AG$11,2))&lt;&gt;"Work","—",IF(COUNTIF(Settings!$F$18:$F$67,AG$11)&gt;0,"BH",IF('_Engine'!DI21+'_Engine'!DJ21=0,"·",IF('_Engine'!DI21='_Engine'!DJ21,INDEX(Settings!$G$7:$G$11,MOD('_Engine'!DI21,10))&amp;IF('_Engine'!DI21&gt;10,"?",""),IF('_Engine'!DI21=0,INDEX(Settings!$G$7:$G$11,MOD('_Engine'!DJ21,10))&amp;IF('_Engine'!DJ21&gt;10,"?","")&amp;" PM",IF('_Engine'!DJ21=0,INDEX(Settings!$G$7:$G$11,MOD('_Engine'!DI21,10))&amp;IF('_Engine'!DI21&gt;10,"?","")&amp;" AM",INDEX(Settings!$G$7:$G$11,MOD('_Engine'!DI21,10))&amp;IF('_Engine'!DI21&gt;10,"?","")&amp;" AM"&amp;CHAR(10)&amp;INDEX(Settings!$G$7:$G$11,MOD('_Engine'!DJ21,10))&amp;IF('_Engine'!DJ21&gt;10,"?","")&amp;" PM"))))))))</ns0:f>
        <ns0:v/>
      </ns0:c>
      <ns0:c r="AH21" s="164" t="str">
        <ns0:f>IF(OR($A21="",AH$11=""),"",IF(OR('_Engine'!$B$6&gt;0,INDEX('_Engine'!$AM$11:$AM$60,'_Engine'!$AO21)&lt;&gt;"OK"),"!",IF(INDEX(Team!$H$11:$N$60,'_Engine'!$AO21,WEEKDAY(AH$11,2))&lt;&gt;"Work","—",IF(COUNTIF(Settings!$F$18:$F$67,AH$11)&gt;0,"BH",IF('_Engine'!DK21+'_Engine'!DL21=0,"·",IF('_Engine'!DK21='_Engine'!DL21,INDEX(Settings!$G$7:$G$11,MOD('_Engine'!DK21,10))&amp;IF('_Engine'!DK21&gt;10,"?",""),IF('_Engine'!DK21=0,INDEX(Settings!$G$7:$G$11,MOD('_Engine'!DL21,10))&amp;IF('_Engine'!DL21&gt;10,"?","")&amp;" PM",IF('_Engine'!DL21=0,INDEX(Settings!$G$7:$G$11,MOD('_Engine'!DK21,10))&amp;IF('_Engine'!DK21&gt;10,"?","")&amp;" AM",INDEX(Settings!$G$7:$G$11,MOD('_Engine'!DK21,10))&amp;IF('_Engine'!DK21&gt;10,"?","")&amp;" AM"&amp;CHAR(10)&amp;INDEX(Settings!$G$7:$G$11,MOD('_Engine'!DL21,10))&amp;IF('_Engine'!DL21&gt;10,"?","")&amp;" PM"))))))))</ns0:f>
        <ns0:v/>
      </ns0:c>
    </ns0:row>
    <ns0:row r="22" ht="38" customHeight="1">
      <ns0:c r="A22" s="4" t="str">
        <ns0:f>IF('_Engine'!AO22=0,"",IF(INDEX(Team!$B$11:$B$60,'_Engine'!AO22)="","[Unnamed]",INDEX(Team!$B$11:$B$60,'_Engine'!AO22)))</ns0:f>
        <ns0:v/>
      </ns0:c>
      <ns0:c r="B22" s="156" t="str">
        <ns0:f>IF('_Engine'!AO22=0,"",INDEX('_Engine'!$AN$11:$AN$60,'_Engine'!AO22))</ns0:f>
        <ns0:v/>
      </ns0:c>
      <ns0:c r="C22" s="4" t="str">
        <ns0:f>IF('_Engine'!AO22=0,"",INDEX(Team!$C$11:$C$60,'_Engine'!AO22))</ns0:f>
        <ns0:v/>
      </ns0:c>
      <ns0:c r="D22" s="162" t="str">
        <ns0:f>IF(OR($A22="",D$11=""),"",IF(OR('_Engine'!$B$6&gt;0,INDEX('_Engine'!$AM$11:$AM$60,'_Engine'!$AO22)&lt;&gt;"OK"),"!",IF(INDEX(Team!$H$11:$N$60,'_Engine'!$AO22,WEEKDAY(D$11,2))&lt;&gt;"Work","—",IF(COUNTIF(Settings!$F$18:$F$67,D$11)&gt;0,"BH",IF('_Engine'!BC22+'_Engine'!BD22=0,"·",IF('_Engine'!BC22='_Engine'!BD22,INDEX(Settings!$G$7:$G$11,MOD('_Engine'!BC22,10))&amp;IF('_Engine'!BC22&gt;10,"?",""),IF('_Engine'!BC22=0,INDEX(Settings!$G$7:$G$11,MOD('_Engine'!BD22,10))&amp;IF('_Engine'!BD22&gt;10,"?","")&amp;" PM",IF('_Engine'!BD22=0,INDEX(Settings!$G$7:$G$11,MOD('_Engine'!BC22,10))&amp;IF('_Engine'!BC22&gt;10,"?","")&amp;" AM",INDEX(Settings!$G$7:$G$11,MOD('_Engine'!BC22,10))&amp;IF('_Engine'!BC22&gt;10,"?","")&amp;" AM"&amp;CHAR(10)&amp;INDEX(Settings!$G$7:$G$11,MOD('_Engine'!BD22,10))&amp;IF('_Engine'!BD22&gt;10,"?","")&amp;" PM"))))))))</ns0:f>
        <ns0:v/>
      </ns0:c>
      <ns0:c r="E22" s="162" t="str">
        <ns0:f>IF(OR($A22="",E$11=""),"",IF(OR('_Engine'!$B$6&gt;0,INDEX('_Engine'!$AM$11:$AM$60,'_Engine'!$AO22)&lt;&gt;"OK"),"!",IF(INDEX(Team!$H$11:$N$60,'_Engine'!$AO22,WEEKDAY(E$11,2))&lt;&gt;"Work","—",IF(COUNTIF(Settings!$F$18:$F$67,E$11)&gt;0,"BH",IF('_Engine'!BE22+'_Engine'!BF22=0,"·",IF('_Engine'!BE22='_Engine'!BF22,INDEX(Settings!$G$7:$G$11,MOD('_Engine'!BE22,10))&amp;IF('_Engine'!BE22&gt;10,"?",""),IF('_Engine'!BE22=0,INDEX(Settings!$G$7:$G$11,MOD('_Engine'!BF22,10))&amp;IF('_Engine'!BF22&gt;10,"?","")&amp;" PM",IF('_Engine'!BF22=0,INDEX(Settings!$G$7:$G$11,MOD('_Engine'!BE22,10))&amp;IF('_Engine'!BE22&gt;10,"?","")&amp;" AM",INDEX(Settings!$G$7:$G$11,MOD('_Engine'!BE22,10))&amp;IF('_Engine'!BE22&gt;10,"?","")&amp;" AM"&amp;CHAR(10)&amp;INDEX(Settings!$G$7:$G$11,MOD('_Engine'!BF22,10))&amp;IF('_Engine'!BF22&gt;10,"?","")&amp;" PM"))))))))</ns0:f>
        <ns0:v/>
      </ns0:c>
      <ns0:c r="F22" s="162" t="str">
        <ns0:f>IF(OR($A22="",F$11=""),"",IF(OR('_Engine'!$B$6&gt;0,INDEX('_Engine'!$AM$11:$AM$60,'_Engine'!$AO22)&lt;&gt;"OK"),"!",IF(INDEX(Team!$H$11:$N$60,'_Engine'!$AO22,WEEKDAY(F$11,2))&lt;&gt;"Work","—",IF(COUNTIF(Settings!$F$18:$F$67,F$11)&gt;0,"BH",IF('_Engine'!BG22+'_Engine'!BH22=0,"·",IF('_Engine'!BG22='_Engine'!BH22,INDEX(Settings!$G$7:$G$11,MOD('_Engine'!BG22,10))&amp;IF('_Engine'!BG22&gt;10,"?",""),IF('_Engine'!BG22=0,INDEX(Settings!$G$7:$G$11,MOD('_Engine'!BH22,10))&amp;IF('_Engine'!BH22&gt;10,"?","")&amp;" PM",IF('_Engine'!BH22=0,INDEX(Settings!$G$7:$G$11,MOD('_Engine'!BG22,10))&amp;IF('_Engine'!BG22&gt;10,"?","")&amp;" AM",INDEX(Settings!$G$7:$G$11,MOD('_Engine'!BG22,10))&amp;IF('_Engine'!BG22&gt;10,"?","")&amp;" AM"&amp;CHAR(10)&amp;INDEX(Settings!$G$7:$G$11,MOD('_Engine'!BH22,10))&amp;IF('_Engine'!BH22&gt;10,"?","")&amp;" PM"))))))))</ns0:f>
        <ns0:v/>
      </ns0:c>
      <ns0:c r="G22" s="162" t="str">
        <ns0:f>IF(OR($A22="",G$11=""),"",IF(OR('_Engine'!$B$6&gt;0,INDEX('_Engine'!$AM$11:$AM$60,'_Engine'!$AO22)&lt;&gt;"OK"),"!",IF(INDEX(Team!$H$11:$N$60,'_Engine'!$AO22,WEEKDAY(G$11,2))&lt;&gt;"Work","—",IF(COUNTIF(Settings!$F$18:$F$67,G$11)&gt;0,"BH",IF('_Engine'!BI22+'_Engine'!BJ22=0,"·",IF('_Engine'!BI22='_Engine'!BJ22,INDEX(Settings!$G$7:$G$11,MOD('_Engine'!BI22,10))&amp;IF('_Engine'!BI22&gt;10,"?",""),IF('_Engine'!BI22=0,INDEX(Settings!$G$7:$G$11,MOD('_Engine'!BJ22,10))&amp;IF('_Engine'!BJ22&gt;10,"?","")&amp;" PM",IF('_Engine'!BJ22=0,INDEX(Settings!$G$7:$G$11,MOD('_Engine'!BI22,10))&amp;IF('_Engine'!BI22&gt;10,"?","")&amp;" AM",INDEX(Settings!$G$7:$G$11,MOD('_Engine'!BI22,10))&amp;IF('_Engine'!BI22&gt;10,"?","")&amp;" AM"&amp;CHAR(10)&amp;INDEX(Settings!$G$7:$G$11,MOD('_Engine'!BJ22,10))&amp;IF('_Engine'!BJ22&gt;10,"?","")&amp;" PM"))))))))</ns0:f>
        <ns0:v/>
      </ns0:c>
      <ns0:c r="H22" s="162" t="str">
        <ns0:f>IF(OR($A22="",H$11=""),"",IF(OR('_Engine'!$B$6&gt;0,INDEX('_Engine'!$AM$11:$AM$60,'_Engine'!$AO22)&lt;&gt;"OK"),"!",IF(INDEX(Team!$H$11:$N$60,'_Engine'!$AO22,WEEKDAY(H$11,2))&lt;&gt;"Work","—",IF(COUNTIF(Settings!$F$18:$F$67,H$11)&gt;0,"BH",IF('_Engine'!BK22+'_Engine'!BL22=0,"·",IF('_Engine'!BK22='_Engine'!BL22,INDEX(Settings!$G$7:$G$11,MOD('_Engine'!BK22,10))&amp;IF('_Engine'!BK22&gt;10,"?",""),IF('_Engine'!BK22=0,INDEX(Settings!$G$7:$G$11,MOD('_Engine'!BL22,10))&amp;IF('_Engine'!BL22&gt;10,"?","")&amp;" PM",IF('_Engine'!BL22=0,INDEX(Settings!$G$7:$G$11,MOD('_Engine'!BK22,10))&amp;IF('_Engine'!BK22&gt;10,"?","")&amp;" AM",INDEX(Settings!$G$7:$G$11,MOD('_Engine'!BK22,10))&amp;IF('_Engine'!BK22&gt;10,"?","")&amp;" AM"&amp;CHAR(10)&amp;INDEX(Settings!$G$7:$G$11,MOD('_Engine'!BL22,10))&amp;IF('_Engine'!BL22&gt;10,"?","")&amp;" PM"))))))))</ns0:f>
        <ns0:v/>
      </ns0:c>
      <ns0:c r="I22" s="162" t="str">
        <ns0:f>IF(OR($A22="",I$11=""),"",IF(OR('_Engine'!$B$6&gt;0,INDEX('_Engine'!$AM$11:$AM$60,'_Engine'!$AO22)&lt;&gt;"OK"),"!",IF(INDEX(Team!$H$11:$N$60,'_Engine'!$AO22,WEEKDAY(I$11,2))&lt;&gt;"Work","—",IF(COUNTIF(Settings!$F$18:$F$67,I$11)&gt;0,"BH",IF('_Engine'!BM22+'_Engine'!BN22=0,"·",IF('_Engine'!BM22='_Engine'!BN22,INDEX(Settings!$G$7:$G$11,MOD('_Engine'!BM22,10))&amp;IF('_Engine'!BM22&gt;10,"?",""),IF('_Engine'!BM22=0,INDEX(Settings!$G$7:$G$11,MOD('_Engine'!BN22,10))&amp;IF('_Engine'!BN22&gt;10,"?","")&amp;" PM",IF('_Engine'!BN22=0,INDEX(Settings!$G$7:$G$11,MOD('_Engine'!BM22,10))&amp;IF('_Engine'!BM22&gt;10,"?","")&amp;" AM",INDEX(Settings!$G$7:$G$11,MOD('_Engine'!BM22,10))&amp;IF('_Engine'!BM22&gt;10,"?","")&amp;" AM"&amp;CHAR(10)&amp;INDEX(Settings!$G$7:$G$11,MOD('_Engine'!BN22,10))&amp;IF('_Engine'!BN22&gt;10,"?","")&amp;" PM"))))))))</ns0:f>
        <ns0:v/>
      </ns0:c>
      <ns0:c r="J22" s="162" t="str">
        <ns0:f>IF(OR($A22="",J$11=""),"",IF(OR('_Engine'!$B$6&gt;0,INDEX('_Engine'!$AM$11:$AM$60,'_Engine'!$AO22)&lt;&gt;"OK"),"!",IF(INDEX(Team!$H$11:$N$60,'_Engine'!$AO22,WEEKDAY(J$11,2))&lt;&gt;"Work","—",IF(COUNTIF(Settings!$F$18:$F$67,J$11)&gt;0,"BH",IF('_Engine'!BO22+'_Engine'!BP22=0,"·",IF('_Engine'!BO22='_Engine'!BP22,INDEX(Settings!$G$7:$G$11,MOD('_Engine'!BO22,10))&amp;IF('_Engine'!BO22&gt;10,"?",""),IF('_Engine'!BO22=0,INDEX(Settings!$G$7:$G$11,MOD('_Engine'!BP22,10))&amp;IF('_Engine'!BP22&gt;10,"?","")&amp;" PM",IF('_Engine'!BP22=0,INDEX(Settings!$G$7:$G$11,MOD('_Engine'!BO22,10))&amp;IF('_Engine'!BO22&gt;10,"?","")&amp;" AM",INDEX(Settings!$G$7:$G$11,MOD('_Engine'!BO22,10))&amp;IF('_Engine'!BO22&gt;10,"?","")&amp;" AM"&amp;CHAR(10)&amp;INDEX(Settings!$G$7:$G$11,MOD('_Engine'!BP22,10))&amp;IF('_Engine'!BP22&gt;10,"?","")&amp;" PM"))))))))</ns0:f>
        <ns0:v/>
      </ns0:c>
      <ns0:c r="K22" s="164" t="str">
        <ns0:f>IF(OR($A22="",K$11=""),"",IF(OR('_Engine'!$B$6&gt;0,INDEX('_Engine'!$AM$11:$AM$60,'_Engine'!$AO22)&lt;&gt;"OK"),"!",IF(INDEX(Team!$H$11:$N$60,'_Engine'!$AO22,WEEKDAY(K$11,2))&lt;&gt;"Work","—",IF(COUNTIF(Settings!$F$18:$F$67,K$11)&gt;0,"BH",IF('_Engine'!BQ22+'_Engine'!BR22=0,"·",IF('_Engine'!BQ22='_Engine'!BR22,INDEX(Settings!$G$7:$G$11,MOD('_Engine'!BQ22,10))&amp;IF('_Engine'!BQ22&gt;10,"?",""),IF('_Engine'!BQ22=0,INDEX(Settings!$G$7:$G$11,MOD('_Engine'!BR22,10))&amp;IF('_Engine'!BR22&gt;10,"?","")&amp;" PM",IF('_Engine'!BR22=0,INDEX(Settings!$G$7:$G$11,MOD('_Engine'!BQ22,10))&amp;IF('_Engine'!BQ22&gt;10,"?","")&amp;" AM",INDEX(Settings!$G$7:$G$11,MOD('_Engine'!BQ22,10))&amp;IF('_Engine'!BQ22&gt;10,"?","")&amp;" AM"&amp;CHAR(10)&amp;INDEX(Settings!$G$7:$G$11,MOD('_Engine'!BR22,10))&amp;IF('_Engine'!BR22&gt;10,"?","")&amp;" PM"))))))))</ns0:f>
        <ns0:v/>
      </ns0:c>
      <ns0:c r="L22" s="164" t="str">
        <ns0:f>IF(OR($A22="",L$11=""),"",IF(OR('_Engine'!$B$6&gt;0,INDEX('_Engine'!$AM$11:$AM$60,'_Engine'!$AO22)&lt;&gt;"OK"),"!",IF(INDEX(Team!$H$11:$N$60,'_Engine'!$AO22,WEEKDAY(L$11,2))&lt;&gt;"Work","—",IF(COUNTIF(Settings!$F$18:$F$67,L$11)&gt;0,"BH",IF('_Engine'!BS22+'_Engine'!BT22=0,"·",IF('_Engine'!BS22='_Engine'!BT22,INDEX(Settings!$G$7:$G$11,MOD('_Engine'!BS22,10))&amp;IF('_Engine'!BS22&gt;10,"?",""),IF('_Engine'!BS22=0,INDEX(Settings!$G$7:$G$11,MOD('_Engine'!BT22,10))&amp;IF('_Engine'!BT22&gt;10,"?","")&amp;" PM",IF('_Engine'!BT22=0,INDEX(Settings!$G$7:$G$11,MOD('_Engine'!BS22,10))&amp;IF('_Engine'!BS22&gt;10,"?","")&amp;" AM",INDEX(Settings!$G$7:$G$11,MOD('_Engine'!BS22,10))&amp;IF('_Engine'!BS22&gt;10,"?","")&amp;" AM"&amp;CHAR(10)&amp;INDEX(Settings!$G$7:$G$11,MOD('_Engine'!BT22,10))&amp;IF('_Engine'!BT22&gt;10,"?","")&amp;" PM"))))))))</ns0:f>
        <ns0:v/>
      </ns0:c>
      <ns0:c r="M22" s="164" t="str">
        <ns0:f>IF(OR($A22="",M$11=""),"",IF(OR('_Engine'!$B$6&gt;0,INDEX('_Engine'!$AM$11:$AM$60,'_Engine'!$AO22)&lt;&gt;"OK"),"!",IF(INDEX(Team!$H$11:$N$60,'_Engine'!$AO22,WEEKDAY(M$11,2))&lt;&gt;"Work","—",IF(COUNTIF(Settings!$F$18:$F$67,M$11)&gt;0,"BH",IF('_Engine'!BU22+'_Engine'!BV22=0,"·",IF('_Engine'!BU22='_Engine'!BV22,INDEX(Settings!$G$7:$G$11,MOD('_Engine'!BU22,10))&amp;IF('_Engine'!BU22&gt;10,"?",""),IF('_Engine'!BU22=0,INDEX(Settings!$G$7:$G$11,MOD('_Engine'!BV22,10))&amp;IF('_Engine'!BV22&gt;10,"?","")&amp;" PM",IF('_Engine'!BV22=0,INDEX(Settings!$G$7:$G$11,MOD('_Engine'!BU22,10))&amp;IF('_Engine'!BU22&gt;10,"?","")&amp;" AM",INDEX(Settings!$G$7:$G$11,MOD('_Engine'!BU22,10))&amp;IF('_Engine'!BU22&gt;10,"?","")&amp;" AM"&amp;CHAR(10)&amp;INDEX(Settings!$G$7:$G$11,MOD('_Engine'!BV22,10))&amp;IF('_Engine'!BV22&gt;10,"?","")&amp;" PM"))))))))</ns0:f>
        <ns0:v/>
      </ns0:c>
      <ns0:c r="N22" s="164" t="str">
        <ns0:f>IF(OR($A22="",N$11=""),"",IF(OR('_Engine'!$B$6&gt;0,INDEX('_Engine'!$AM$11:$AM$60,'_Engine'!$AO22)&lt;&gt;"OK"),"!",IF(INDEX(Team!$H$11:$N$60,'_Engine'!$AO22,WEEKDAY(N$11,2))&lt;&gt;"Work","—",IF(COUNTIF(Settings!$F$18:$F$67,N$11)&gt;0,"BH",IF('_Engine'!BW22+'_Engine'!BX22=0,"·",IF('_Engine'!BW22='_Engine'!BX22,INDEX(Settings!$G$7:$G$11,MOD('_Engine'!BW22,10))&amp;IF('_Engine'!BW22&gt;10,"?",""),IF('_Engine'!BW22=0,INDEX(Settings!$G$7:$G$11,MOD('_Engine'!BX22,10))&amp;IF('_Engine'!BX22&gt;10,"?","")&amp;" PM",IF('_Engine'!BX22=0,INDEX(Settings!$G$7:$G$11,MOD('_Engine'!BW22,10))&amp;IF('_Engine'!BW22&gt;10,"?","")&amp;" AM",INDEX(Settings!$G$7:$G$11,MOD('_Engine'!BW22,10))&amp;IF('_Engine'!BW22&gt;10,"?","")&amp;" AM"&amp;CHAR(10)&amp;INDEX(Settings!$G$7:$G$11,MOD('_Engine'!BX22,10))&amp;IF('_Engine'!BX22&gt;10,"?","")&amp;" PM"))))))))</ns0:f>
        <ns0:v/>
      </ns0:c>
      <ns0:c r="O22" s="164" t="str">
        <ns0:f>IF(OR($A22="",O$11=""),"",IF(OR('_Engine'!$B$6&gt;0,INDEX('_Engine'!$AM$11:$AM$60,'_Engine'!$AO22)&lt;&gt;"OK"),"!",IF(INDEX(Team!$H$11:$N$60,'_Engine'!$AO22,WEEKDAY(O$11,2))&lt;&gt;"Work","—",IF(COUNTIF(Settings!$F$18:$F$67,O$11)&gt;0,"BH",IF('_Engine'!BY22+'_Engine'!BZ22=0,"·",IF('_Engine'!BY22='_Engine'!BZ22,INDEX(Settings!$G$7:$G$11,MOD('_Engine'!BY22,10))&amp;IF('_Engine'!BY22&gt;10,"?",""),IF('_Engine'!BY22=0,INDEX(Settings!$G$7:$G$11,MOD('_Engine'!BZ22,10))&amp;IF('_Engine'!BZ22&gt;10,"?","")&amp;" PM",IF('_Engine'!BZ22=0,INDEX(Settings!$G$7:$G$11,MOD('_Engine'!BY22,10))&amp;IF('_Engine'!BY22&gt;10,"?","")&amp;" AM",INDEX(Settings!$G$7:$G$11,MOD('_Engine'!BY22,10))&amp;IF('_Engine'!BY22&gt;10,"?","")&amp;" AM"&amp;CHAR(10)&amp;INDEX(Settings!$G$7:$G$11,MOD('_Engine'!BZ22,10))&amp;IF('_Engine'!BZ22&gt;10,"?","")&amp;" PM"))))))))</ns0:f>
        <ns0:v/>
      </ns0:c>
      <ns0:c r="P22" s="164" t="str">
        <ns0:f>IF(OR($A22="",P$11=""),"",IF(OR('_Engine'!$B$6&gt;0,INDEX('_Engine'!$AM$11:$AM$60,'_Engine'!$AO22)&lt;&gt;"OK"),"!",IF(INDEX(Team!$H$11:$N$60,'_Engine'!$AO22,WEEKDAY(P$11,2))&lt;&gt;"Work","—",IF(COUNTIF(Settings!$F$18:$F$67,P$11)&gt;0,"BH",IF('_Engine'!CA22+'_Engine'!CB22=0,"·",IF('_Engine'!CA22='_Engine'!CB22,INDEX(Settings!$G$7:$G$11,MOD('_Engine'!CA22,10))&amp;IF('_Engine'!CA22&gt;10,"?",""),IF('_Engine'!CA22=0,INDEX(Settings!$G$7:$G$11,MOD('_Engine'!CB22,10))&amp;IF('_Engine'!CB22&gt;10,"?","")&amp;" PM",IF('_Engine'!CB22=0,INDEX(Settings!$G$7:$G$11,MOD('_Engine'!CA22,10))&amp;IF('_Engine'!CA22&gt;10,"?","")&amp;" AM",INDEX(Settings!$G$7:$G$11,MOD('_Engine'!CA22,10))&amp;IF('_Engine'!CA22&gt;10,"?","")&amp;" AM"&amp;CHAR(10)&amp;INDEX(Settings!$G$7:$G$11,MOD('_Engine'!CB22,10))&amp;IF('_Engine'!CB22&gt;10,"?","")&amp;" PM"))))))))</ns0:f>
        <ns0:v/>
      </ns0:c>
      <ns0:c r="Q22" s="164" t="str">
        <ns0:f>IF(OR($A22="",Q$11=""),"",IF(OR('_Engine'!$B$6&gt;0,INDEX('_Engine'!$AM$11:$AM$60,'_Engine'!$AO22)&lt;&gt;"OK"),"!",IF(INDEX(Team!$H$11:$N$60,'_Engine'!$AO22,WEEKDAY(Q$11,2))&lt;&gt;"Work","—",IF(COUNTIF(Settings!$F$18:$F$67,Q$11)&gt;0,"BH",IF('_Engine'!CC22+'_Engine'!CD22=0,"·",IF('_Engine'!CC22='_Engine'!CD22,INDEX(Settings!$G$7:$G$11,MOD('_Engine'!CC22,10))&amp;IF('_Engine'!CC22&gt;10,"?",""),IF('_Engine'!CC22=0,INDEX(Settings!$G$7:$G$11,MOD('_Engine'!CD22,10))&amp;IF('_Engine'!CD22&gt;10,"?","")&amp;" PM",IF('_Engine'!CD22=0,INDEX(Settings!$G$7:$G$11,MOD('_Engine'!CC22,10))&amp;IF('_Engine'!CC22&gt;10,"?","")&amp;" AM",INDEX(Settings!$G$7:$G$11,MOD('_Engine'!CC22,10))&amp;IF('_Engine'!CC22&gt;10,"?","")&amp;" AM"&amp;CHAR(10)&amp;INDEX(Settings!$G$7:$G$11,MOD('_Engine'!CD22,10))&amp;IF('_Engine'!CD22&gt;10,"?","")&amp;" PM"))))))))</ns0:f>
        <ns0:v/>
      </ns0:c>
      <ns0:c r="R22" s="164" t="str">
        <ns0:f>IF(OR($A22="",R$11=""),"",IF(OR('_Engine'!$B$6&gt;0,INDEX('_Engine'!$AM$11:$AM$60,'_Engine'!$AO22)&lt;&gt;"OK"),"!",IF(INDEX(Team!$H$11:$N$60,'_Engine'!$AO22,WEEKDAY(R$11,2))&lt;&gt;"Work","—",IF(COUNTIF(Settings!$F$18:$F$67,R$11)&gt;0,"BH",IF('_Engine'!CE22+'_Engine'!CF22=0,"·",IF('_Engine'!CE22='_Engine'!CF22,INDEX(Settings!$G$7:$G$11,MOD('_Engine'!CE22,10))&amp;IF('_Engine'!CE22&gt;10,"?",""),IF('_Engine'!CE22=0,INDEX(Settings!$G$7:$G$11,MOD('_Engine'!CF22,10))&amp;IF('_Engine'!CF22&gt;10,"?","")&amp;" PM",IF('_Engine'!CF22=0,INDEX(Settings!$G$7:$G$11,MOD('_Engine'!CE22,10))&amp;IF('_Engine'!CE22&gt;10,"?","")&amp;" AM",INDEX(Settings!$G$7:$G$11,MOD('_Engine'!CE22,10))&amp;IF('_Engine'!CE22&gt;10,"?","")&amp;" AM"&amp;CHAR(10)&amp;INDEX(Settings!$G$7:$G$11,MOD('_Engine'!CF22,10))&amp;IF('_Engine'!CF22&gt;10,"?","")&amp;" PM"))))))))</ns0:f>
        <ns0:v/>
      </ns0:c>
      <ns0:c r="S22" s="164" t="str">
        <ns0:f>IF(OR($A22="",S$11=""),"",IF(OR('_Engine'!$B$6&gt;0,INDEX('_Engine'!$AM$11:$AM$60,'_Engine'!$AO22)&lt;&gt;"OK"),"!",IF(INDEX(Team!$H$11:$N$60,'_Engine'!$AO22,WEEKDAY(S$11,2))&lt;&gt;"Work","—",IF(COUNTIF(Settings!$F$18:$F$67,S$11)&gt;0,"BH",IF('_Engine'!CG22+'_Engine'!CH22=0,"·",IF('_Engine'!CG22='_Engine'!CH22,INDEX(Settings!$G$7:$G$11,MOD('_Engine'!CG22,10))&amp;IF('_Engine'!CG22&gt;10,"?",""),IF('_Engine'!CG22=0,INDEX(Settings!$G$7:$G$11,MOD('_Engine'!CH22,10))&amp;IF('_Engine'!CH22&gt;10,"?","")&amp;" PM",IF('_Engine'!CH22=0,INDEX(Settings!$G$7:$G$11,MOD('_Engine'!CG22,10))&amp;IF('_Engine'!CG22&gt;10,"?","")&amp;" AM",INDEX(Settings!$G$7:$G$11,MOD('_Engine'!CG22,10))&amp;IF('_Engine'!CG22&gt;10,"?","")&amp;" AM"&amp;CHAR(10)&amp;INDEX(Settings!$G$7:$G$11,MOD('_Engine'!CH22,10))&amp;IF('_Engine'!CH22&gt;10,"?","")&amp;" PM"))))))))</ns0:f>
        <ns0:v/>
      </ns0:c>
      <ns0:c r="T22" s="164" t="str">
        <ns0:f>IF(OR($A22="",T$11=""),"",IF(OR('_Engine'!$B$6&gt;0,INDEX('_Engine'!$AM$11:$AM$60,'_Engine'!$AO22)&lt;&gt;"OK"),"!",IF(INDEX(Team!$H$11:$N$60,'_Engine'!$AO22,WEEKDAY(T$11,2))&lt;&gt;"Work","—",IF(COUNTIF(Settings!$F$18:$F$67,T$11)&gt;0,"BH",IF('_Engine'!CI22+'_Engine'!CJ22=0,"·",IF('_Engine'!CI22='_Engine'!CJ22,INDEX(Settings!$G$7:$G$11,MOD('_Engine'!CI22,10))&amp;IF('_Engine'!CI22&gt;10,"?",""),IF('_Engine'!CI22=0,INDEX(Settings!$G$7:$G$11,MOD('_Engine'!CJ22,10))&amp;IF('_Engine'!CJ22&gt;10,"?","")&amp;" PM",IF('_Engine'!CJ22=0,INDEX(Settings!$G$7:$G$11,MOD('_Engine'!CI22,10))&amp;IF('_Engine'!CI22&gt;10,"?","")&amp;" AM",INDEX(Settings!$G$7:$G$11,MOD('_Engine'!CI22,10))&amp;IF('_Engine'!CI22&gt;10,"?","")&amp;" AM"&amp;CHAR(10)&amp;INDEX(Settings!$G$7:$G$11,MOD('_Engine'!CJ22,10))&amp;IF('_Engine'!CJ22&gt;10,"?","")&amp;" PM"))))))))</ns0:f>
        <ns0:v/>
      </ns0:c>
      <ns0:c r="U22" s="164" t="str">
        <ns0:f>IF(OR($A22="",U$11=""),"",IF(OR('_Engine'!$B$6&gt;0,INDEX('_Engine'!$AM$11:$AM$60,'_Engine'!$AO22)&lt;&gt;"OK"),"!",IF(INDEX(Team!$H$11:$N$60,'_Engine'!$AO22,WEEKDAY(U$11,2))&lt;&gt;"Work","—",IF(COUNTIF(Settings!$F$18:$F$67,U$11)&gt;0,"BH",IF('_Engine'!CK22+'_Engine'!CL22=0,"·",IF('_Engine'!CK22='_Engine'!CL22,INDEX(Settings!$G$7:$G$11,MOD('_Engine'!CK22,10))&amp;IF('_Engine'!CK22&gt;10,"?",""),IF('_Engine'!CK22=0,INDEX(Settings!$G$7:$G$11,MOD('_Engine'!CL22,10))&amp;IF('_Engine'!CL22&gt;10,"?","")&amp;" PM",IF('_Engine'!CL22=0,INDEX(Settings!$G$7:$G$11,MOD('_Engine'!CK22,10))&amp;IF('_Engine'!CK22&gt;10,"?","")&amp;" AM",INDEX(Settings!$G$7:$G$11,MOD('_Engine'!CK22,10))&amp;IF('_Engine'!CK22&gt;10,"?","")&amp;" AM"&amp;CHAR(10)&amp;INDEX(Settings!$G$7:$G$11,MOD('_Engine'!CL22,10))&amp;IF('_Engine'!CL22&gt;10,"?","")&amp;" PM"))))))))</ns0:f>
        <ns0:v/>
      </ns0:c>
      <ns0:c r="V22" s="164" t="str">
        <ns0:f>IF(OR($A22="",V$11=""),"",IF(OR('_Engine'!$B$6&gt;0,INDEX('_Engine'!$AM$11:$AM$60,'_Engine'!$AO22)&lt;&gt;"OK"),"!",IF(INDEX(Team!$H$11:$N$60,'_Engine'!$AO22,WEEKDAY(V$11,2))&lt;&gt;"Work","—",IF(COUNTIF(Settings!$F$18:$F$67,V$11)&gt;0,"BH",IF('_Engine'!CM22+'_Engine'!CN22=0,"·",IF('_Engine'!CM22='_Engine'!CN22,INDEX(Settings!$G$7:$G$11,MOD('_Engine'!CM22,10))&amp;IF('_Engine'!CM22&gt;10,"?",""),IF('_Engine'!CM22=0,INDEX(Settings!$G$7:$G$11,MOD('_Engine'!CN22,10))&amp;IF('_Engine'!CN22&gt;10,"?","")&amp;" PM",IF('_Engine'!CN22=0,INDEX(Settings!$G$7:$G$11,MOD('_Engine'!CM22,10))&amp;IF('_Engine'!CM22&gt;10,"?","")&amp;" AM",INDEX(Settings!$G$7:$G$11,MOD('_Engine'!CM22,10))&amp;IF('_Engine'!CM22&gt;10,"?","")&amp;" AM"&amp;CHAR(10)&amp;INDEX(Settings!$G$7:$G$11,MOD('_Engine'!CN22,10))&amp;IF('_Engine'!CN22&gt;10,"?","")&amp;" PM"))))))))</ns0:f>
        <ns0:v/>
      </ns0:c>
      <ns0:c r="W22" s="164" t="str">
        <ns0:f>IF(OR($A22="",W$11=""),"",IF(OR('_Engine'!$B$6&gt;0,INDEX('_Engine'!$AM$11:$AM$60,'_Engine'!$AO22)&lt;&gt;"OK"),"!",IF(INDEX(Team!$H$11:$N$60,'_Engine'!$AO22,WEEKDAY(W$11,2))&lt;&gt;"Work","—",IF(COUNTIF(Settings!$F$18:$F$67,W$11)&gt;0,"BH",IF('_Engine'!CO22+'_Engine'!CP22=0,"·",IF('_Engine'!CO22='_Engine'!CP22,INDEX(Settings!$G$7:$G$11,MOD('_Engine'!CO22,10))&amp;IF('_Engine'!CO22&gt;10,"?",""),IF('_Engine'!CO22=0,INDEX(Settings!$G$7:$G$11,MOD('_Engine'!CP22,10))&amp;IF('_Engine'!CP22&gt;10,"?","")&amp;" PM",IF('_Engine'!CP22=0,INDEX(Settings!$G$7:$G$11,MOD('_Engine'!CO22,10))&amp;IF('_Engine'!CO22&gt;10,"?","")&amp;" AM",INDEX(Settings!$G$7:$G$11,MOD('_Engine'!CO22,10))&amp;IF('_Engine'!CO22&gt;10,"?","")&amp;" AM"&amp;CHAR(10)&amp;INDEX(Settings!$G$7:$G$11,MOD('_Engine'!CP22,10))&amp;IF('_Engine'!CP22&gt;10,"?","")&amp;" PM"))))))))</ns0:f>
        <ns0:v/>
      </ns0:c>
      <ns0:c r="X22" s="164" t="str">
        <ns0:f>IF(OR($A22="",X$11=""),"",IF(OR('_Engine'!$B$6&gt;0,INDEX('_Engine'!$AM$11:$AM$60,'_Engine'!$AO22)&lt;&gt;"OK"),"!",IF(INDEX(Team!$H$11:$N$60,'_Engine'!$AO22,WEEKDAY(X$11,2))&lt;&gt;"Work","—",IF(COUNTIF(Settings!$F$18:$F$67,X$11)&gt;0,"BH",IF('_Engine'!CQ22+'_Engine'!CR22=0,"·",IF('_Engine'!CQ22='_Engine'!CR22,INDEX(Settings!$G$7:$G$11,MOD('_Engine'!CQ22,10))&amp;IF('_Engine'!CQ22&gt;10,"?",""),IF('_Engine'!CQ22=0,INDEX(Settings!$G$7:$G$11,MOD('_Engine'!CR22,10))&amp;IF('_Engine'!CR22&gt;10,"?","")&amp;" PM",IF('_Engine'!CR22=0,INDEX(Settings!$G$7:$G$11,MOD('_Engine'!CQ22,10))&amp;IF('_Engine'!CQ22&gt;10,"?","")&amp;" AM",INDEX(Settings!$G$7:$G$11,MOD('_Engine'!CQ22,10))&amp;IF('_Engine'!CQ22&gt;10,"?","")&amp;" AM"&amp;CHAR(10)&amp;INDEX(Settings!$G$7:$G$11,MOD('_Engine'!CR22,10))&amp;IF('_Engine'!CR22&gt;10,"?","")&amp;" PM"))))))))</ns0:f>
        <ns0:v/>
      </ns0:c>
      <ns0:c r="Y22" s="164" t="str">
        <ns0:f>IF(OR($A22="",Y$11=""),"",IF(OR('_Engine'!$B$6&gt;0,INDEX('_Engine'!$AM$11:$AM$60,'_Engine'!$AO22)&lt;&gt;"OK"),"!",IF(INDEX(Team!$H$11:$N$60,'_Engine'!$AO22,WEEKDAY(Y$11,2))&lt;&gt;"Work","—",IF(COUNTIF(Settings!$F$18:$F$67,Y$11)&gt;0,"BH",IF('_Engine'!CS22+'_Engine'!CT22=0,"·",IF('_Engine'!CS22='_Engine'!CT22,INDEX(Settings!$G$7:$G$11,MOD('_Engine'!CS22,10))&amp;IF('_Engine'!CS22&gt;10,"?",""),IF('_Engine'!CS22=0,INDEX(Settings!$G$7:$G$11,MOD('_Engine'!CT22,10))&amp;IF('_Engine'!CT22&gt;10,"?","")&amp;" PM",IF('_Engine'!CT22=0,INDEX(Settings!$G$7:$G$11,MOD('_Engine'!CS22,10))&amp;IF('_Engine'!CS22&gt;10,"?","")&amp;" AM",INDEX(Settings!$G$7:$G$11,MOD('_Engine'!CS22,10))&amp;IF('_Engine'!CS22&gt;10,"?","")&amp;" AM"&amp;CHAR(10)&amp;INDEX(Settings!$G$7:$G$11,MOD('_Engine'!CT22,10))&amp;IF('_Engine'!CT22&gt;10,"?","")&amp;" PM"))))))))</ns0:f>
        <ns0:v/>
      </ns0:c>
      <ns0:c r="Z22" s="164" t="str">
        <ns0:f>IF(OR($A22="",Z$11=""),"",IF(OR('_Engine'!$B$6&gt;0,INDEX('_Engine'!$AM$11:$AM$60,'_Engine'!$AO22)&lt;&gt;"OK"),"!",IF(INDEX(Team!$H$11:$N$60,'_Engine'!$AO22,WEEKDAY(Z$11,2))&lt;&gt;"Work","—",IF(COUNTIF(Settings!$F$18:$F$67,Z$11)&gt;0,"BH",IF('_Engine'!CU22+'_Engine'!CV22=0,"·",IF('_Engine'!CU22='_Engine'!CV22,INDEX(Settings!$G$7:$G$11,MOD('_Engine'!CU22,10))&amp;IF('_Engine'!CU22&gt;10,"?",""),IF('_Engine'!CU22=0,INDEX(Settings!$G$7:$G$11,MOD('_Engine'!CV22,10))&amp;IF('_Engine'!CV22&gt;10,"?","")&amp;" PM",IF('_Engine'!CV22=0,INDEX(Settings!$G$7:$G$11,MOD('_Engine'!CU22,10))&amp;IF('_Engine'!CU22&gt;10,"?","")&amp;" AM",INDEX(Settings!$G$7:$G$11,MOD('_Engine'!CU22,10))&amp;IF('_Engine'!CU22&gt;10,"?","")&amp;" AM"&amp;CHAR(10)&amp;INDEX(Settings!$G$7:$G$11,MOD('_Engine'!CV22,10))&amp;IF('_Engine'!CV22&gt;10,"?","")&amp;" PM"))))))))</ns0:f>
        <ns0:v/>
      </ns0:c>
      <ns0:c r="AA22" s="164" t="str">
        <ns0:f>IF(OR($A22="",AA$11=""),"",IF(OR('_Engine'!$B$6&gt;0,INDEX('_Engine'!$AM$11:$AM$60,'_Engine'!$AO22)&lt;&gt;"OK"),"!",IF(INDEX(Team!$H$11:$N$60,'_Engine'!$AO22,WEEKDAY(AA$11,2))&lt;&gt;"Work","—",IF(COUNTIF(Settings!$F$18:$F$67,AA$11)&gt;0,"BH",IF('_Engine'!CW22+'_Engine'!CX22=0,"·",IF('_Engine'!CW22='_Engine'!CX22,INDEX(Settings!$G$7:$G$11,MOD('_Engine'!CW22,10))&amp;IF('_Engine'!CW22&gt;10,"?",""),IF('_Engine'!CW22=0,INDEX(Settings!$G$7:$G$11,MOD('_Engine'!CX22,10))&amp;IF('_Engine'!CX22&gt;10,"?","")&amp;" PM",IF('_Engine'!CX22=0,INDEX(Settings!$G$7:$G$11,MOD('_Engine'!CW22,10))&amp;IF('_Engine'!CW22&gt;10,"?","")&amp;" AM",INDEX(Settings!$G$7:$G$11,MOD('_Engine'!CW22,10))&amp;IF('_Engine'!CW22&gt;10,"?","")&amp;" AM"&amp;CHAR(10)&amp;INDEX(Settings!$G$7:$G$11,MOD('_Engine'!CX22,10))&amp;IF('_Engine'!CX22&gt;10,"?","")&amp;" PM"))))))))</ns0:f>
        <ns0:v/>
      </ns0:c>
      <ns0:c r="AB22" s="164" t="str">
        <ns0:f>IF(OR($A22="",AB$11=""),"",IF(OR('_Engine'!$B$6&gt;0,INDEX('_Engine'!$AM$11:$AM$60,'_Engine'!$AO22)&lt;&gt;"OK"),"!",IF(INDEX(Team!$H$11:$N$60,'_Engine'!$AO22,WEEKDAY(AB$11,2))&lt;&gt;"Work","—",IF(COUNTIF(Settings!$F$18:$F$67,AB$11)&gt;0,"BH",IF('_Engine'!CY22+'_Engine'!CZ22=0,"·",IF('_Engine'!CY22='_Engine'!CZ22,INDEX(Settings!$G$7:$G$11,MOD('_Engine'!CY22,10))&amp;IF('_Engine'!CY22&gt;10,"?",""),IF('_Engine'!CY22=0,INDEX(Settings!$G$7:$G$11,MOD('_Engine'!CZ22,10))&amp;IF('_Engine'!CZ22&gt;10,"?","")&amp;" PM",IF('_Engine'!CZ22=0,INDEX(Settings!$G$7:$G$11,MOD('_Engine'!CY22,10))&amp;IF('_Engine'!CY22&gt;10,"?","")&amp;" AM",INDEX(Settings!$G$7:$G$11,MOD('_Engine'!CY22,10))&amp;IF('_Engine'!CY22&gt;10,"?","")&amp;" AM"&amp;CHAR(10)&amp;INDEX(Settings!$G$7:$G$11,MOD('_Engine'!CZ22,10))&amp;IF('_Engine'!CZ22&gt;10,"?","")&amp;" PM"))))))))</ns0:f>
        <ns0:v/>
      </ns0:c>
      <ns0:c r="AC22" s="164" t="str">
        <ns0:f>IF(OR($A22="",AC$11=""),"",IF(OR('_Engine'!$B$6&gt;0,INDEX('_Engine'!$AM$11:$AM$60,'_Engine'!$AO22)&lt;&gt;"OK"),"!",IF(INDEX(Team!$H$11:$N$60,'_Engine'!$AO22,WEEKDAY(AC$11,2))&lt;&gt;"Work","—",IF(COUNTIF(Settings!$F$18:$F$67,AC$11)&gt;0,"BH",IF('_Engine'!DA22+'_Engine'!DB22=0,"·",IF('_Engine'!DA22='_Engine'!DB22,INDEX(Settings!$G$7:$G$11,MOD('_Engine'!DA22,10))&amp;IF('_Engine'!DA22&gt;10,"?",""),IF('_Engine'!DA22=0,INDEX(Settings!$G$7:$G$11,MOD('_Engine'!DB22,10))&amp;IF('_Engine'!DB22&gt;10,"?","")&amp;" PM",IF('_Engine'!DB22=0,INDEX(Settings!$G$7:$G$11,MOD('_Engine'!DA22,10))&amp;IF('_Engine'!DA22&gt;10,"?","")&amp;" AM",INDEX(Settings!$G$7:$G$11,MOD('_Engine'!DA22,10))&amp;IF('_Engine'!DA22&gt;10,"?","")&amp;" AM"&amp;CHAR(10)&amp;INDEX(Settings!$G$7:$G$11,MOD('_Engine'!DB22,10))&amp;IF('_Engine'!DB22&gt;10,"?","")&amp;" PM"))))))))</ns0:f>
        <ns0:v/>
      </ns0:c>
      <ns0:c r="AD22" s="164" t="str">
        <ns0:f>IF(OR($A22="",AD$11=""),"",IF(OR('_Engine'!$B$6&gt;0,INDEX('_Engine'!$AM$11:$AM$60,'_Engine'!$AO22)&lt;&gt;"OK"),"!",IF(INDEX(Team!$H$11:$N$60,'_Engine'!$AO22,WEEKDAY(AD$11,2))&lt;&gt;"Work","—",IF(COUNTIF(Settings!$F$18:$F$67,AD$11)&gt;0,"BH",IF('_Engine'!DC22+'_Engine'!DD22=0,"·",IF('_Engine'!DC22='_Engine'!DD22,INDEX(Settings!$G$7:$G$11,MOD('_Engine'!DC22,10))&amp;IF('_Engine'!DC22&gt;10,"?",""),IF('_Engine'!DC22=0,INDEX(Settings!$G$7:$G$11,MOD('_Engine'!DD22,10))&amp;IF('_Engine'!DD22&gt;10,"?","")&amp;" PM",IF('_Engine'!DD22=0,INDEX(Settings!$G$7:$G$11,MOD('_Engine'!DC22,10))&amp;IF('_Engine'!DC22&gt;10,"?","")&amp;" AM",INDEX(Settings!$G$7:$G$11,MOD('_Engine'!DC22,10))&amp;IF('_Engine'!DC22&gt;10,"?","")&amp;" AM"&amp;CHAR(10)&amp;INDEX(Settings!$G$7:$G$11,MOD('_Engine'!DD22,10))&amp;IF('_Engine'!DD22&gt;10,"?","")&amp;" PM"))))))))</ns0:f>
        <ns0:v/>
      </ns0:c>
      <ns0:c r="AE22" s="164" t="str">
        <ns0:f>IF(OR($A22="",AE$11=""),"",IF(OR('_Engine'!$B$6&gt;0,INDEX('_Engine'!$AM$11:$AM$60,'_Engine'!$AO22)&lt;&gt;"OK"),"!",IF(INDEX(Team!$H$11:$N$60,'_Engine'!$AO22,WEEKDAY(AE$11,2))&lt;&gt;"Work","—",IF(COUNTIF(Settings!$F$18:$F$67,AE$11)&gt;0,"BH",IF('_Engine'!DE22+'_Engine'!DF22=0,"·",IF('_Engine'!DE22='_Engine'!DF22,INDEX(Settings!$G$7:$G$11,MOD('_Engine'!DE22,10))&amp;IF('_Engine'!DE22&gt;10,"?",""),IF('_Engine'!DE22=0,INDEX(Settings!$G$7:$G$11,MOD('_Engine'!DF22,10))&amp;IF('_Engine'!DF22&gt;10,"?","")&amp;" PM",IF('_Engine'!DF22=0,INDEX(Settings!$G$7:$G$11,MOD('_Engine'!DE22,10))&amp;IF('_Engine'!DE22&gt;10,"?","")&amp;" AM",INDEX(Settings!$G$7:$G$11,MOD('_Engine'!DE22,10))&amp;IF('_Engine'!DE22&gt;10,"?","")&amp;" AM"&amp;CHAR(10)&amp;INDEX(Settings!$G$7:$G$11,MOD('_Engine'!DF22,10))&amp;IF('_Engine'!DF22&gt;10,"?","")&amp;" PM"))))))))</ns0:f>
        <ns0:v/>
      </ns0:c>
      <ns0:c r="AF22" s="164" t="str">
        <ns0:f>IF(OR($A22="",AF$11=""),"",IF(OR('_Engine'!$B$6&gt;0,INDEX('_Engine'!$AM$11:$AM$60,'_Engine'!$AO22)&lt;&gt;"OK"),"!",IF(INDEX(Team!$H$11:$N$60,'_Engine'!$AO22,WEEKDAY(AF$11,2))&lt;&gt;"Work","—",IF(COUNTIF(Settings!$F$18:$F$67,AF$11)&gt;0,"BH",IF('_Engine'!DG22+'_Engine'!DH22=0,"·",IF('_Engine'!DG22='_Engine'!DH22,INDEX(Settings!$G$7:$G$11,MOD('_Engine'!DG22,10))&amp;IF('_Engine'!DG22&gt;10,"?",""),IF('_Engine'!DG22=0,INDEX(Settings!$G$7:$G$11,MOD('_Engine'!DH22,10))&amp;IF('_Engine'!DH22&gt;10,"?","")&amp;" PM",IF('_Engine'!DH22=0,INDEX(Settings!$G$7:$G$11,MOD('_Engine'!DG22,10))&amp;IF('_Engine'!DG22&gt;10,"?","")&amp;" AM",INDEX(Settings!$G$7:$G$11,MOD('_Engine'!DG22,10))&amp;IF('_Engine'!DG22&gt;10,"?","")&amp;" AM"&amp;CHAR(10)&amp;INDEX(Settings!$G$7:$G$11,MOD('_Engine'!DH22,10))&amp;IF('_Engine'!DH22&gt;10,"?","")&amp;" PM"))))))))</ns0:f>
        <ns0:v/>
      </ns0:c>
      <ns0:c r="AG22" s="164" t="str">
        <ns0:f>IF(OR($A22="",AG$11=""),"",IF(OR('_Engine'!$B$6&gt;0,INDEX('_Engine'!$AM$11:$AM$60,'_Engine'!$AO22)&lt;&gt;"OK"),"!",IF(INDEX(Team!$H$11:$N$60,'_Engine'!$AO22,WEEKDAY(AG$11,2))&lt;&gt;"Work","—",IF(COUNTIF(Settings!$F$18:$F$67,AG$11)&gt;0,"BH",IF('_Engine'!DI22+'_Engine'!DJ22=0,"·",IF('_Engine'!DI22='_Engine'!DJ22,INDEX(Settings!$G$7:$G$11,MOD('_Engine'!DI22,10))&amp;IF('_Engine'!DI22&gt;10,"?",""),IF('_Engine'!DI22=0,INDEX(Settings!$G$7:$G$11,MOD('_Engine'!DJ22,10))&amp;IF('_Engine'!DJ22&gt;10,"?","")&amp;" PM",IF('_Engine'!DJ22=0,INDEX(Settings!$G$7:$G$11,MOD('_Engine'!DI22,10))&amp;IF('_Engine'!DI22&gt;10,"?","")&amp;" AM",INDEX(Settings!$G$7:$G$11,MOD('_Engine'!DI22,10))&amp;IF('_Engine'!DI22&gt;10,"?","")&amp;" AM"&amp;CHAR(10)&amp;INDEX(Settings!$G$7:$G$11,MOD('_Engine'!DJ22,10))&amp;IF('_Engine'!DJ22&gt;10,"?","")&amp;" PM"))))))))</ns0:f>
        <ns0:v/>
      </ns0:c>
      <ns0:c r="AH22" s="164" t="str">
        <ns0:f>IF(OR($A22="",AH$11=""),"",IF(OR('_Engine'!$B$6&gt;0,INDEX('_Engine'!$AM$11:$AM$60,'_Engine'!$AO22)&lt;&gt;"OK"),"!",IF(INDEX(Team!$H$11:$N$60,'_Engine'!$AO22,WEEKDAY(AH$11,2))&lt;&gt;"Work","—",IF(COUNTIF(Settings!$F$18:$F$67,AH$11)&gt;0,"BH",IF('_Engine'!DK22+'_Engine'!DL22=0,"·",IF('_Engine'!DK22='_Engine'!DL22,INDEX(Settings!$G$7:$G$11,MOD('_Engine'!DK22,10))&amp;IF('_Engine'!DK22&gt;10,"?",""),IF('_Engine'!DK22=0,INDEX(Settings!$G$7:$G$11,MOD('_Engine'!DL22,10))&amp;IF('_Engine'!DL22&gt;10,"?","")&amp;" PM",IF('_Engine'!DL22=0,INDEX(Settings!$G$7:$G$11,MOD('_Engine'!DK22,10))&amp;IF('_Engine'!DK22&gt;10,"?","")&amp;" AM",INDEX(Settings!$G$7:$G$11,MOD('_Engine'!DK22,10))&amp;IF('_Engine'!DK22&gt;10,"?","")&amp;" AM"&amp;CHAR(10)&amp;INDEX(Settings!$G$7:$G$11,MOD('_Engine'!DL22,10))&amp;IF('_Engine'!DL22&gt;10,"?","")&amp;" PM"))))))))</ns0:f>
        <ns0:v/>
      </ns0:c>
    </ns0:row>
    <ns0:row r="23" ht="38" customHeight="1">
      <ns0:c r="A23" s="4" t="str">
        <ns0:f>IF('_Engine'!AO23=0,"",IF(INDEX(Team!$B$11:$B$60,'_Engine'!AO23)="","[Unnamed]",INDEX(Team!$B$11:$B$60,'_Engine'!AO23)))</ns0:f>
        <ns0:v/>
      </ns0:c>
      <ns0:c r="B23" s="156" t="str">
        <ns0:f>IF('_Engine'!AO23=0,"",INDEX('_Engine'!$AN$11:$AN$60,'_Engine'!AO23))</ns0:f>
        <ns0:v/>
      </ns0:c>
      <ns0:c r="C23" s="4" t="str">
        <ns0:f>IF('_Engine'!AO23=0,"",INDEX(Team!$C$11:$C$60,'_Engine'!AO23))</ns0:f>
        <ns0:v/>
      </ns0:c>
      <ns0:c r="D23" s="162" t="str">
        <ns0:f>IF(OR($A23="",D$11=""),"",IF(OR('_Engine'!$B$6&gt;0,INDEX('_Engine'!$AM$11:$AM$60,'_Engine'!$AO23)&lt;&gt;"OK"),"!",IF(INDEX(Team!$H$11:$N$60,'_Engine'!$AO23,WEEKDAY(D$11,2))&lt;&gt;"Work","—",IF(COUNTIF(Settings!$F$18:$F$67,D$11)&gt;0,"BH",IF('_Engine'!BC23+'_Engine'!BD23=0,"·",IF('_Engine'!BC23='_Engine'!BD23,INDEX(Settings!$G$7:$G$11,MOD('_Engine'!BC23,10))&amp;IF('_Engine'!BC23&gt;10,"?",""),IF('_Engine'!BC23=0,INDEX(Settings!$G$7:$G$11,MOD('_Engine'!BD23,10))&amp;IF('_Engine'!BD23&gt;10,"?","")&amp;" PM",IF('_Engine'!BD23=0,INDEX(Settings!$G$7:$G$11,MOD('_Engine'!BC23,10))&amp;IF('_Engine'!BC23&gt;10,"?","")&amp;" AM",INDEX(Settings!$G$7:$G$11,MOD('_Engine'!BC23,10))&amp;IF('_Engine'!BC23&gt;10,"?","")&amp;" AM"&amp;CHAR(10)&amp;INDEX(Settings!$G$7:$G$11,MOD('_Engine'!BD23,10))&amp;IF('_Engine'!BD23&gt;10,"?","")&amp;" PM"))))))))</ns0:f>
        <ns0:v/>
      </ns0:c>
      <ns0:c r="E23" s="162" t="str">
        <ns0:f>IF(OR($A23="",E$11=""),"",IF(OR('_Engine'!$B$6&gt;0,INDEX('_Engine'!$AM$11:$AM$60,'_Engine'!$AO23)&lt;&gt;"OK"),"!",IF(INDEX(Team!$H$11:$N$60,'_Engine'!$AO23,WEEKDAY(E$11,2))&lt;&gt;"Work","—",IF(COUNTIF(Settings!$F$18:$F$67,E$11)&gt;0,"BH",IF('_Engine'!BE23+'_Engine'!BF23=0,"·",IF('_Engine'!BE23='_Engine'!BF23,INDEX(Settings!$G$7:$G$11,MOD('_Engine'!BE23,10))&amp;IF('_Engine'!BE23&gt;10,"?",""),IF('_Engine'!BE23=0,INDEX(Settings!$G$7:$G$11,MOD('_Engine'!BF23,10))&amp;IF('_Engine'!BF23&gt;10,"?","")&amp;" PM",IF('_Engine'!BF23=0,INDEX(Settings!$G$7:$G$11,MOD('_Engine'!BE23,10))&amp;IF('_Engine'!BE23&gt;10,"?","")&amp;" AM",INDEX(Settings!$G$7:$G$11,MOD('_Engine'!BE23,10))&amp;IF('_Engine'!BE23&gt;10,"?","")&amp;" AM"&amp;CHAR(10)&amp;INDEX(Settings!$G$7:$G$11,MOD('_Engine'!BF23,10))&amp;IF('_Engine'!BF23&gt;10,"?","")&amp;" PM"))))))))</ns0:f>
        <ns0:v/>
      </ns0:c>
      <ns0:c r="F23" s="162" t="str">
        <ns0:f>IF(OR($A23="",F$11=""),"",IF(OR('_Engine'!$B$6&gt;0,INDEX('_Engine'!$AM$11:$AM$60,'_Engine'!$AO23)&lt;&gt;"OK"),"!",IF(INDEX(Team!$H$11:$N$60,'_Engine'!$AO23,WEEKDAY(F$11,2))&lt;&gt;"Work","—",IF(COUNTIF(Settings!$F$18:$F$67,F$11)&gt;0,"BH",IF('_Engine'!BG23+'_Engine'!BH23=0,"·",IF('_Engine'!BG23='_Engine'!BH23,INDEX(Settings!$G$7:$G$11,MOD('_Engine'!BG23,10))&amp;IF('_Engine'!BG23&gt;10,"?",""),IF('_Engine'!BG23=0,INDEX(Settings!$G$7:$G$11,MOD('_Engine'!BH23,10))&amp;IF('_Engine'!BH23&gt;10,"?","")&amp;" PM",IF('_Engine'!BH23=0,INDEX(Settings!$G$7:$G$11,MOD('_Engine'!BG23,10))&amp;IF('_Engine'!BG23&gt;10,"?","")&amp;" AM",INDEX(Settings!$G$7:$G$11,MOD('_Engine'!BG23,10))&amp;IF('_Engine'!BG23&gt;10,"?","")&amp;" AM"&amp;CHAR(10)&amp;INDEX(Settings!$G$7:$G$11,MOD('_Engine'!BH23,10))&amp;IF('_Engine'!BH23&gt;10,"?","")&amp;" PM"))))))))</ns0:f>
        <ns0:v/>
      </ns0:c>
      <ns0:c r="G23" s="162" t="str">
        <ns0:f>IF(OR($A23="",G$11=""),"",IF(OR('_Engine'!$B$6&gt;0,INDEX('_Engine'!$AM$11:$AM$60,'_Engine'!$AO23)&lt;&gt;"OK"),"!",IF(INDEX(Team!$H$11:$N$60,'_Engine'!$AO23,WEEKDAY(G$11,2))&lt;&gt;"Work","—",IF(COUNTIF(Settings!$F$18:$F$67,G$11)&gt;0,"BH",IF('_Engine'!BI23+'_Engine'!BJ23=0,"·",IF('_Engine'!BI23='_Engine'!BJ23,INDEX(Settings!$G$7:$G$11,MOD('_Engine'!BI23,10))&amp;IF('_Engine'!BI23&gt;10,"?",""),IF('_Engine'!BI23=0,INDEX(Settings!$G$7:$G$11,MOD('_Engine'!BJ23,10))&amp;IF('_Engine'!BJ23&gt;10,"?","")&amp;" PM",IF('_Engine'!BJ23=0,INDEX(Settings!$G$7:$G$11,MOD('_Engine'!BI23,10))&amp;IF('_Engine'!BI23&gt;10,"?","")&amp;" AM",INDEX(Settings!$G$7:$G$11,MOD('_Engine'!BI23,10))&amp;IF('_Engine'!BI23&gt;10,"?","")&amp;" AM"&amp;CHAR(10)&amp;INDEX(Settings!$G$7:$G$11,MOD('_Engine'!BJ23,10))&amp;IF('_Engine'!BJ23&gt;10,"?","")&amp;" PM"))))))))</ns0:f>
        <ns0:v/>
      </ns0:c>
      <ns0:c r="H23" s="162" t="str">
        <ns0:f>IF(OR($A23="",H$11=""),"",IF(OR('_Engine'!$B$6&gt;0,INDEX('_Engine'!$AM$11:$AM$60,'_Engine'!$AO23)&lt;&gt;"OK"),"!",IF(INDEX(Team!$H$11:$N$60,'_Engine'!$AO23,WEEKDAY(H$11,2))&lt;&gt;"Work","—",IF(COUNTIF(Settings!$F$18:$F$67,H$11)&gt;0,"BH",IF('_Engine'!BK23+'_Engine'!BL23=0,"·",IF('_Engine'!BK23='_Engine'!BL23,INDEX(Settings!$G$7:$G$11,MOD('_Engine'!BK23,10))&amp;IF('_Engine'!BK23&gt;10,"?",""),IF('_Engine'!BK23=0,INDEX(Settings!$G$7:$G$11,MOD('_Engine'!BL23,10))&amp;IF('_Engine'!BL23&gt;10,"?","")&amp;" PM",IF('_Engine'!BL23=0,INDEX(Settings!$G$7:$G$11,MOD('_Engine'!BK23,10))&amp;IF('_Engine'!BK23&gt;10,"?","")&amp;" AM",INDEX(Settings!$G$7:$G$11,MOD('_Engine'!BK23,10))&amp;IF('_Engine'!BK23&gt;10,"?","")&amp;" AM"&amp;CHAR(10)&amp;INDEX(Settings!$G$7:$G$11,MOD('_Engine'!BL23,10))&amp;IF('_Engine'!BL23&gt;10,"?","")&amp;" PM"))))))))</ns0:f>
        <ns0:v/>
      </ns0:c>
      <ns0:c r="I23" s="162" t="str">
        <ns0:f>IF(OR($A23="",I$11=""),"",IF(OR('_Engine'!$B$6&gt;0,INDEX('_Engine'!$AM$11:$AM$60,'_Engine'!$AO23)&lt;&gt;"OK"),"!",IF(INDEX(Team!$H$11:$N$60,'_Engine'!$AO23,WEEKDAY(I$11,2))&lt;&gt;"Work","—",IF(COUNTIF(Settings!$F$18:$F$67,I$11)&gt;0,"BH",IF('_Engine'!BM23+'_Engine'!BN23=0,"·",IF('_Engine'!BM23='_Engine'!BN23,INDEX(Settings!$G$7:$G$11,MOD('_Engine'!BM23,10))&amp;IF('_Engine'!BM23&gt;10,"?",""),IF('_Engine'!BM23=0,INDEX(Settings!$G$7:$G$11,MOD('_Engine'!BN23,10))&amp;IF('_Engine'!BN23&gt;10,"?","")&amp;" PM",IF('_Engine'!BN23=0,INDEX(Settings!$G$7:$G$11,MOD('_Engine'!BM23,10))&amp;IF('_Engine'!BM23&gt;10,"?","")&amp;" AM",INDEX(Settings!$G$7:$G$11,MOD('_Engine'!BM23,10))&amp;IF('_Engine'!BM23&gt;10,"?","")&amp;" AM"&amp;CHAR(10)&amp;INDEX(Settings!$G$7:$G$11,MOD('_Engine'!BN23,10))&amp;IF('_Engine'!BN23&gt;10,"?","")&amp;" PM"))))))))</ns0:f>
        <ns0:v/>
      </ns0:c>
      <ns0:c r="J23" s="162" t="str">
        <ns0:f>IF(OR($A23="",J$11=""),"",IF(OR('_Engine'!$B$6&gt;0,INDEX('_Engine'!$AM$11:$AM$60,'_Engine'!$AO23)&lt;&gt;"OK"),"!",IF(INDEX(Team!$H$11:$N$60,'_Engine'!$AO23,WEEKDAY(J$11,2))&lt;&gt;"Work","—",IF(COUNTIF(Settings!$F$18:$F$67,J$11)&gt;0,"BH",IF('_Engine'!BO23+'_Engine'!BP23=0,"·",IF('_Engine'!BO23='_Engine'!BP23,INDEX(Settings!$G$7:$G$11,MOD('_Engine'!BO23,10))&amp;IF('_Engine'!BO23&gt;10,"?",""),IF('_Engine'!BO23=0,INDEX(Settings!$G$7:$G$11,MOD('_Engine'!BP23,10))&amp;IF('_Engine'!BP23&gt;10,"?","")&amp;" PM",IF('_Engine'!BP23=0,INDEX(Settings!$G$7:$G$11,MOD('_Engine'!BO23,10))&amp;IF('_Engine'!BO23&gt;10,"?","")&amp;" AM",INDEX(Settings!$G$7:$G$11,MOD('_Engine'!BO23,10))&amp;IF('_Engine'!BO23&gt;10,"?","")&amp;" AM"&amp;CHAR(10)&amp;INDEX(Settings!$G$7:$G$11,MOD('_Engine'!BP23,10))&amp;IF('_Engine'!BP23&gt;10,"?","")&amp;" PM"))))))))</ns0:f>
        <ns0:v/>
      </ns0:c>
      <ns0:c r="K23" s="164" t="str">
        <ns0:f>IF(OR($A23="",K$11=""),"",IF(OR('_Engine'!$B$6&gt;0,INDEX('_Engine'!$AM$11:$AM$60,'_Engine'!$AO23)&lt;&gt;"OK"),"!",IF(INDEX(Team!$H$11:$N$60,'_Engine'!$AO23,WEEKDAY(K$11,2))&lt;&gt;"Work","—",IF(COUNTIF(Settings!$F$18:$F$67,K$11)&gt;0,"BH",IF('_Engine'!BQ23+'_Engine'!BR23=0,"·",IF('_Engine'!BQ23='_Engine'!BR23,INDEX(Settings!$G$7:$G$11,MOD('_Engine'!BQ23,10))&amp;IF('_Engine'!BQ23&gt;10,"?",""),IF('_Engine'!BQ23=0,INDEX(Settings!$G$7:$G$11,MOD('_Engine'!BR23,10))&amp;IF('_Engine'!BR23&gt;10,"?","")&amp;" PM",IF('_Engine'!BR23=0,INDEX(Settings!$G$7:$G$11,MOD('_Engine'!BQ23,10))&amp;IF('_Engine'!BQ23&gt;10,"?","")&amp;" AM",INDEX(Settings!$G$7:$G$11,MOD('_Engine'!BQ23,10))&amp;IF('_Engine'!BQ23&gt;10,"?","")&amp;" AM"&amp;CHAR(10)&amp;INDEX(Settings!$G$7:$G$11,MOD('_Engine'!BR23,10))&amp;IF('_Engine'!BR23&gt;10,"?","")&amp;" PM"))))))))</ns0:f>
        <ns0:v/>
      </ns0:c>
      <ns0:c r="L23" s="164" t="str">
        <ns0:f>IF(OR($A23="",L$11=""),"",IF(OR('_Engine'!$B$6&gt;0,INDEX('_Engine'!$AM$11:$AM$60,'_Engine'!$AO23)&lt;&gt;"OK"),"!",IF(INDEX(Team!$H$11:$N$60,'_Engine'!$AO23,WEEKDAY(L$11,2))&lt;&gt;"Work","—",IF(COUNTIF(Settings!$F$18:$F$67,L$11)&gt;0,"BH",IF('_Engine'!BS23+'_Engine'!BT23=0,"·",IF('_Engine'!BS23='_Engine'!BT23,INDEX(Settings!$G$7:$G$11,MOD('_Engine'!BS23,10))&amp;IF('_Engine'!BS23&gt;10,"?",""),IF('_Engine'!BS23=0,INDEX(Settings!$G$7:$G$11,MOD('_Engine'!BT23,10))&amp;IF('_Engine'!BT23&gt;10,"?","")&amp;" PM",IF('_Engine'!BT23=0,INDEX(Settings!$G$7:$G$11,MOD('_Engine'!BS23,10))&amp;IF('_Engine'!BS23&gt;10,"?","")&amp;" AM",INDEX(Settings!$G$7:$G$11,MOD('_Engine'!BS23,10))&amp;IF('_Engine'!BS23&gt;10,"?","")&amp;" AM"&amp;CHAR(10)&amp;INDEX(Settings!$G$7:$G$11,MOD('_Engine'!BT23,10))&amp;IF('_Engine'!BT23&gt;10,"?","")&amp;" PM"))))))))</ns0:f>
        <ns0:v/>
      </ns0:c>
      <ns0:c r="M23" s="164" t="str">
        <ns0:f>IF(OR($A23="",M$11=""),"",IF(OR('_Engine'!$B$6&gt;0,INDEX('_Engine'!$AM$11:$AM$60,'_Engine'!$AO23)&lt;&gt;"OK"),"!",IF(INDEX(Team!$H$11:$N$60,'_Engine'!$AO23,WEEKDAY(M$11,2))&lt;&gt;"Work","—",IF(COUNTIF(Settings!$F$18:$F$67,M$11)&gt;0,"BH",IF('_Engine'!BU23+'_Engine'!BV23=0,"·",IF('_Engine'!BU23='_Engine'!BV23,INDEX(Settings!$G$7:$G$11,MOD('_Engine'!BU23,10))&amp;IF('_Engine'!BU23&gt;10,"?",""),IF('_Engine'!BU23=0,INDEX(Settings!$G$7:$G$11,MOD('_Engine'!BV23,10))&amp;IF('_Engine'!BV23&gt;10,"?","")&amp;" PM",IF('_Engine'!BV23=0,INDEX(Settings!$G$7:$G$11,MOD('_Engine'!BU23,10))&amp;IF('_Engine'!BU23&gt;10,"?","")&amp;" AM",INDEX(Settings!$G$7:$G$11,MOD('_Engine'!BU23,10))&amp;IF('_Engine'!BU23&gt;10,"?","")&amp;" AM"&amp;CHAR(10)&amp;INDEX(Settings!$G$7:$G$11,MOD('_Engine'!BV23,10))&amp;IF('_Engine'!BV23&gt;10,"?","")&amp;" PM"))))))))</ns0:f>
        <ns0:v/>
      </ns0:c>
      <ns0:c r="N23" s="164" t="str">
        <ns0:f>IF(OR($A23="",N$11=""),"",IF(OR('_Engine'!$B$6&gt;0,INDEX('_Engine'!$AM$11:$AM$60,'_Engine'!$AO23)&lt;&gt;"OK"),"!",IF(INDEX(Team!$H$11:$N$60,'_Engine'!$AO23,WEEKDAY(N$11,2))&lt;&gt;"Work","—",IF(COUNTIF(Settings!$F$18:$F$67,N$11)&gt;0,"BH",IF('_Engine'!BW23+'_Engine'!BX23=0,"·",IF('_Engine'!BW23='_Engine'!BX23,INDEX(Settings!$G$7:$G$11,MOD('_Engine'!BW23,10))&amp;IF('_Engine'!BW23&gt;10,"?",""),IF('_Engine'!BW23=0,INDEX(Settings!$G$7:$G$11,MOD('_Engine'!BX23,10))&amp;IF('_Engine'!BX23&gt;10,"?","")&amp;" PM",IF('_Engine'!BX23=0,INDEX(Settings!$G$7:$G$11,MOD('_Engine'!BW23,10))&amp;IF('_Engine'!BW23&gt;10,"?","")&amp;" AM",INDEX(Settings!$G$7:$G$11,MOD('_Engine'!BW23,10))&amp;IF('_Engine'!BW23&gt;10,"?","")&amp;" AM"&amp;CHAR(10)&amp;INDEX(Settings!$G$7:$G$11,MOD('_Engine'!BX23,10))&amp;IF('_Engine'!BX23&gt;10,"?","")&amp;" PM"))))))))</ns0:f>
        <ns0:v/>
      </ns0:c>
      <ns0:c r="O23" s="164" t="str">
        <ns0:f>IF(OR($A23="",O$11=""),"",IF(OR('_Engine'!$B$6&gt;0,INDEX('_Engine'!$AM$11:$AM$60,'_Engine'!$AO23)&lt;&gt;"OK"),"!",IF(INDEX(Team!$H$11:$N$60,'_Engine'!$AO23,WEEKDAY(O$11,2))&lt;&gt;"Work","—",IF(COUNTIF(Settings!$F$18:$F$67,O$11)&gt;0,"BH",IF('_Engine'!BY23+'_Engine'!BZ23=0,"·",IF('_Engine'!BY23='_Engine'!BZ23,INDEX(Settings!$G$7:$G$11,MOD('_Engine'!BY23,10))&amp;IF('_Engine'!BY23&gt;10,"?",""),IF('_Engine'!BY23=0,INDEX(Settings!$G$7:$G$11,MOD('_Engine'!BZ23,10))&amp;IF('_Engine'!BZ23&gt;10,"?","")&amp;" PM",IF('_Engine'!BZ23=0,INDEX(Settings!$G$7:$G$11,MOD('_Engine'!BY23,10))&amp;IF('_Engine'!BY23&gt;10,"?","")&amp;" AM",INDEX(Settings!$G$7:$G$11,MOD('_Engine'!BY23,10))&amp;IF('_Engine'!BY23&gt;10,"?","")&amp;" AM"&amp;CHAR(10)&amp;INDEX(Settings!$G$7:$G$11,MOD('_Engine'!BZ23,10))&amp;IF('_Engine'!BZ23&gt;10,"?","")&amp;" PM"))))))))</ns0:f>
        <ns0:v/>
      </ns0:c>
      <ns0:c r="P23" s="164" t="str">
        <ns0:f>IF(OR($A23="",P$11=""),"",IF(OR('_Engine'!$B$6&gt;0,INDEX('_Engine'!$AM$11:$AM$60,'_Engine'!$AO23)&lt;&gt;"OK"),"!",IF(INDEX(Team!$H$11:$N$60,'_Engine'!$AO23,WEEKDAY(P$11,2))&lt;&gt;"Work","—",IF(COUNTIF(Settings!$F$18:$F$67,P$11)&gt;0,"BH",IF('_Engine'!CA23+'_Engine'!CB23=0,"·",IF('_Engine'!CA23='_Engine'!CB23,INDEX(Settings!$G$7:$G$11,MOD('_Engine'!CA23,10))&amp;IF('_Engine'!CA23&gt;10,"?",""),IF('_Engine'!CA23=0,INDEX(Settings!$G$7:$G$11,MOD('_Engine'!CB23,10))&amp;IF('_Engine'!CB23&gt;10,"?","")&amp;" PM",IF('_Engine'!CB23=0,INDEX(Settings!$G$7:$G$11,MOD('_Engine'!CA23,10))&amp;IF('_Engine'!CA23&gt;10,"?","")&amp;" AM",INDEX(Settings!$G$7:$G$11,MOD('_Engine'!CA23,10))&amp;IF('_Engine'!CA23&gt;10,"?","")&amp;" AM"&amp;CHAR(10)&amp;INDEX(Settings!$G$7:$G$11,MOD('_Engine'!CB23,10))&amp;IF('_Engine'!CB23&gt;10,"?","")&amp;" PM"))))))))</ns0:f>
        <ns0:v/>
      </ns0:c>
      <ns0:c r="Q23" s="164" t="str">
        <ns0:f>IF(OR($A23="",Q$11=""),"",IF(OR('_Engine'!$B$6&gt;0,INDEX('_Engine'!$AM$11:$AM$60,'_Engine'!$AO23)&lt;&gt;"OK"),"!",IF(INDEX(Team!$H$11:$N$60,'_Engine'!$AO23,WEEKDAY(Q$11,2))&lt;&gt;"Work","—",IF(COUNTIF(Settings!$F$18:$F$67,Q$11)&gt;0,"BH",IF('_Engine'!CC23+'_Engine'!CD23=0,"·",IF('_Engine'!CC23='_Engine'!CD23,INDEX(Settings!$G$7:$G$11,MOD('_Engine'!CC23,10))&amp;IF('_Engine'!CC23&gt;10,"?",""),IF('_Engine'!CC23=0,INDEX(Settings!$G$7:$G$11,MOD('_Engine'!CD23,10))&amp;IF('_Engine'!CD23&gt;10,"?","")&amp;" PM",IF('_Engine'!CD23=0,INDEX(Settings!$G$7:$G$11,MOD('_Engine'!CC23,10))&amp;IF('_Engine'!CC23&gt;10,"?","")&amp;" AM",INDEX(Settings!$G$7:$G$11,MOD('_Engine'!CC23,10))&amp;IF('_Engine'!CC23&gt;10,"?","")&amp;" AM"&amp;CHAR(10)&amp;INDEX(Settings!$G$7:$G$11,MOD('_Engine'!CD23,10))&amp;IF('_Engine'!CD23&gt;10,"?","")&amp;" PM"))))))))</ns0:f>
        <ns0:v/>
      </ns0:c>
      <ns0:c r="R23" s="164" t="str">
        <ns0:f>IF(OR($A23="",R$11=""),"",IF(OR('_Engine'!$B$6&gt;0,INDEX('_Engine'!$AM$11:$AM$60,'_Engine'!$AO23)&lt;&gt;"OK"),"!",IF(INDEX(Team!$H$11:$N$60,'_Engine'!$AO23,WEEKDAY(R$11,2))&lt;&gt;"Work","—",IF(COUNTIF(Settings!$F$18:$F$67,R$11)&gt;0,"BH",IF('_Engine'!CE23+'_Engine'!CF23=0,"·",IF('_Engine'!CE23='_Engine'!CF23,INDEX(Settings!$G$7:$G$11,MOD('_Engine'!CE23,10))&amp;IF('_Engine'!CE23&gt;10,"?",""),IF('_Engine'!CE23=0,INDEX(Settings!$G$7:$G$11,MOD('_Engine'!CF23,10))&amp;IF('_Engine'!CF23&gt;10,"?","")&amp;" PM",IF('_Engine'!CF23=0,INDEX(Settings!$G$7:$G$11,MOD('_Engine'!CE23,10))&amp;IF('_Engine'!CE23&gt;10,"?","")&amp;" AM",INDEX(Settings!$G$7:$G$11,MOD('_Engine'!CE23,10))&amp;IF('_Engine'!CE23&gt;10,"?","")&amp;" AM"&amp;CHAR(10)&amp;INDEX(Settings!$G$7:$G$11,MOD('_Engine'!CF23,10))&amp;IF('_Engine'!CF23&gt;10,"?","")&amp;" PM"))))))))</ns0:f>
        <ns0:v/>
      </ns0:c>
      <ns0:c r="S23" s="164" t="str">
        <ns0:f>IF(OR($A23="",S$11=""),"",IF(OR('_Engine'!$B$6&gt;0,INDEX('_Engine'!$AM$11:$AM$60,'_Engine'!$AO23)&lt;&gt;"OK"),"!",IF(INDEX(Team!$H$11:$N$60,'_Engine'!$AO23,WEEKDAY(S$11,2))&lt;&gt;"Work","—",IF(COUNTIF(Settings!$F$18:$F$67,S$11)&gt;0,"BH",IF('_Engine'!CG23+'_Engine'!CH23=0,"·",IF('_Engine'!CG23='_Engine'!CH23,INDEX(Settings!$G$7:$G$11,MOD('_Engine'!CG23,10))&amp;IF('_Engine'!CG23&gt;10,"?",""),IF('_Engine'!CG23=0,INDEX(Settings!$G$7:$G$11,MOD('_Engine'!CH23,10))&amp;IF('_Engine'!CH23&gt;10,"?","")&amp;" PM",IF('_Engine'!CH23=0,INDEX(Settings!$G$7:$G$11,MOD('_Engine'!CG23,10))&amp;IF('_Engine'!CG23&gt;10,"?","")&amp;" AM",INDEX(Settings!$G$7:$G$11,MOD('_Engine'!CG23,10))&amp;IF('_Engine'!CG23&gt;10,"?","")&amp;" AM"&amp;CHAR(10)&amp;INDEX(Settings!$G$7:$G$11,MOD('_Engine'!CH23,10))&amp;IF('_Engine'!CH23&gt;10,"?","")&amp;" PM"))))))))</ns0:f>
        <ns0:v/>
      </ns0:c>
      <ns0:c r="T23" s="164" t="str">
        <ns0:f>IF(OR($A23="",T$11=""),"",IF(OR('_Engine'!$B$6&gt;0,INDEX('_Engine'!$AM$11:$AM$60,'_Engine'!$AO23)&lt;&gt;"OK"),"!",IF(INDEX(Team!$H$11:$N$60,'_Engine'!$AO23,WEEKDAY(T$11,2))&lt;&gt;"Work","—",IF(COUNTIF(Settings!$F$18:$F$67,T$11)&gt;0,"BH",IF('_Engine'!CI23+'_Engine'!CJ23=0,"·",IF('_Engine'!CI23='_Engine'!CJ23,INDEX(Settings!$G$7:$G$11,MOD('_Engine'!CI23,10))&amp;IF('_Engine'!CI23&gt;10,"?",""),IF('_Engine'!CI23=0,INDEX(Settings!$G$7:$G$11,MOD('_Engine'!CJ23,10))&amp;IF('_Engine'!CJ23&gt;10,"?","")&amp;" PM",IF('_Engine'!CJ23=0,INDEX(Settings!$G$7:$G$11,MOD('_Engine'!CI23,10))&amp;IF('_Engine'!CI23&gt;10,"?","")&amp;" AM",INDEX(Settings!$G$7:$G$11,MOD('_Engine'!CI23,10))&amp;IF('_Engine'!CI23&gt;10,"?","")&amp;" AM"&amp;CHAR(10)&amp;INDEX(Settings!$G$7:$G$11,MOD('_Engine'!CJ23,10))&amp;IF('_Engine'!CJ23&gt;10,"?","")&amp;" PM"))))))))</ns0:f>
        <ns0:v/>
      </ns0:c>
      <ns0:c r="U23" s="164" t="str">
        <ns0:f>IF(OR($A23="",U$11=""),"",IF(OR('_Engine'!$B$6&gt;0,INDEX('_Engine'!$AM$11:$AM$60,'_Engine'!$AO23)&lt;&gt;"OK"),"!",IF(INDEX(Team!$H$11:$N$60,'_Engine'!$AO23,WEEKDAY(U$11,2))&lt;&gt;"Work","—",IF(COUNTIF(Settings!$F$18:$F$67,U$11)&gt;0,"BH",IF('_Engine'!CK23+'_Engine'!CL23=0,"·",IF('_Engine'!CK23='_Engine'!CL23,INDEX(Settings!$G$7:$G$11,MOD('_Engine'!CK23,10))&amp;IF('_Engine'!CK23&gt;10,"?",""),IF('_Engine'!CK23=0,INDEX(Settings!$G$7:$G$11,MOD('_Engine'!CL23,10))&amp;IF('_Engine'!CL23&gt;10,"?","")&amp;" PM",IF('_Engine'!CL23=0,INDEX(Settings!$G$7:$G$11,MOD('_Engine'!CK23,10))&amp;IF('_Engine'!CK23&gt;10,"?","")&amp;" AM",INDEX(Settings!$G$7:$G$11,MOD('_Engine'!CK23,10))&amp;IF('_Engine'!CK23&gt;10,"?","")&amp;" AM"&amp;CHAR(10)&amp;INDEX(Settings!$G$7:$G$11,MOD('_Engine'!CL23,10))&amp;IF('_Engine'!CL23&gt;10,"?","")&amp;" PM"))))))))</ns0:f>
        <ns0:v/>
      </ns0:c>
      <ns0:c r="V23" s="164" t="str">
        <ns0:f>IF(OR($A23="",V$11=""),"",IF(OR('_Engine'!$B$6&gt;0,INDEX('_Engine'!$AM$11:$AM$60,'_Engine'!$AO23)&lt;&gt;"OK"),"!",IF(INDEX(Team!$H$11:$N$60,'_Engine'!$AO23,WEEKDAY(V$11,2))&lt;&gt;"Work","—",IF(COUNTIF(Settings!$F$18:$F$67,V$11)&gt;0,"BH",IF('_Engine'!CM23+'_Engine'!CN23=0,"·",IF('_Engine'!CM23='_Engine'!CN23,INDEX(Settings!$G$7:$G$11,MOD('_Engine'!CM23,10))&amp;IF('_Engine'!CM23&gt;10,"?",""),IF('_Engine'!CM23=0,INDEX(Settings!$G$7:$G$11,MOD('_Engine'!CN23,10))&amp;IF('_Engine'!CN23&gt;10,"?","")&amp;" PM",IF('_Engine'!CN23=0,INDEX(Settings!$G$7:$G$11,MOD('_Engine'!CM23,10))&amp;IF('_Engine'!CM23&gt;10,"?","")&amp;" AM",INDEX(Settings!$G$7:$G$11,MOD('_Engine'!CM23,10))&amp;IF('_Engine'!CM23&gt;10,"?","")&amp;" AM"&amp;CHAR(10)&amp;INDEX(Settings!$G$7:$G$11,MOD('_Engine'!CN23,10))&amp;IF('_Engine'!CN23&gt;10,"?","")&amp;" PM"))))))))</ns0:f>
        <ns0:v/>
      </ns0:c>
      <ns0:c r="W23" s="164" t="str">
        <ns0:f>IF(OR($A23="",W$11=""),"",IF(OR('_Engine'!$B$6&gt;0,INDEX('_Engine'!$AM$11:$AM$60,'_Engine'!$AO23)&lt;&gt;"OK"),"!",IF(INDEX(Team!$H$11:$N$60,'_Engine'!$AO23,WEEKDAY(W$11,2))&lt;&gt;"Work","—",IF(COUNTIF(Settings!$F$18:$F$67,W$11)&gt;0,"BH",IF('_Engine'!CO23+'_Engine'!CP23=0,"·",IF('_Engine'!CO23='_Engine'!CP23,INDEX(Settings!$G$7:$G$11,MOD('_Engine'!CO23,10))&amp;IF('_Engine'!CO23&gt;10,"?",""),IF('_Engine'!CO23=0,INDEX(Settings!$G$7:$G$11,MOD('_Engine'!CP23,10))&amp;IF('_Engine'!CP23&gt;10,"?","")&amp;" PM",IF('_Engine'!CP23=0,INDEX(Settings!$G$7:$G$11,MOD('_Engine'!CO23,10))&amp;IF('_Engine'!CO23&gt;10,"?","")&amp;" AM",INDEX(Settings!$G$7:$G$11,MOD('_Engine'!CO23,10))&amp;IF('_Engine'!CO23&gt;10,"?","")&amp;" AM"&amp;CHAR(10)&amp;INDEX(Settings!$G$7:$G$11,MOD('_Engine'!CP23,10))&amp;IF('_Engine'!CP23&gt;10,"?","")&amp;" PM"))))))))</ns0:f>
        <ns0:v/>
      </ns0:c>
      <ns0:c r="X23" s="164" t="str">
        <ns0:f>IF(OR($A23="",X$11=""),"",IF(OR('_Engine'!$B$6&gt;0,INDEX('_Engine'!$AM$11:$AM$60,'_Engine'!$AO23)&lt;&gt;"OK"),"!",IF(INDEX(Team!$H$11:$N$60,'_Engine'!$AO23,WEEKDAY(X$11,2))&lt;&gt;"Work","—",IF(COUNTIF(Settings!$F$18:$F$67,X$11)&gt;0,"BH",IF('_Engine'!CQ23+'_Engine'!CR23=0,"·",IF('_Engine'!CQ23='_Engine'!CR23,INDEX(Settings!$G$7:$G$11,MOD('_Engine'!CQ23,10))&amp;IF('_Engine'!CQ23&gt;10,"?",""),IF('_Engine'!CQ23=0,INDEX(Settings!$G$7:$G$11,MOD('_Engine'!CR23,10))&amp;IF('_Engine'!CR23&gt;10,"?","")&amp;" PM",IF('_Engine'!CR23=0,INDEX(Settings!$G$7:$G$11,MOD('_Engine'!CQ23,10))&amp;IF('_Engine'!CQ23&gt;10,"?","")&amp;" AM",INDEX(Settings!$G$7:$G$11,MOD('_Engine'!CQ23,10))&amp;IF('_Engine'!CQ23&gt;10,"?","")&amp;" AM"&amp;CHAR(10)&amp;INDEX(Settings!$G$7:$G$11,MOD('_Engine'!CR23,10))&amp;IF('_Engine'!CR23&gt;10,"?","")&amp;" PM"))))))))</ns0:f>
        <ns0:v/>
      </ns0:c>
      <ns0:c r="Y23" s="164" t="str">
        <ns0:f>IF(OR($A23="",Y$11=""),"",IF(OR('_Engine'!$B$6&gt;0,INDEX('_Engine'!$AM$11:$AM$60,'_Engine'!$AO23)&lt;&gt;"OK"),"!",IF(INDEX(Team!$H$11:$N$60,'_Engine'!$AO23,WEEKDAY(Y$11,2))&lt;&gt;"Work","—",IF(COUNTIF(Settings!$F$18:$F$67,Y$11)&gt;0,"BH",IF('_Engine'!CS23+'_Engine'!CT23=0,"·",IF('_Engine'!CS23='_Engine'!CT23,INDEX(Settings!$G$7:$G$11,MOD('_Engine'!CS23,10))&amp;IF('_Engine'!CS23&gt;10,"?",""),IF('_Engine'!CS23=0,INDEX(Settings!$G$7:$G$11,MOD('_Engine'!CT23,10))&amp;IF('_Engine'!CT23&gt;10,"?","")&amp;" PM",IF('_Engine'!CT23=0,INDEX(Settings!$G$7:$G$11,MOD('_Engine'!CS23,10))&amp;IF('_Engine'!CS23&gt;10,"?","")&amp;" AM",INDEX(Settings!$G$7:$G$11,MOD('_Engine'!CS23,10))&amp;IF('_Engine'!CS23&gt;10,"?","")&amp;" AM"&amp;CHAR(10)&amp;INDEX(Settings!$G$7:$G$11,MOD('_Engine'!CT23,10))&amp;IF('_Engine'!CT23&gt;10,"?","")&amp;" PM"))))))))</ns0:f>
        <ns0:v/>
      </ns0:c>
      <ns0:c r="Z23" s="164" t="str">
        <ns0:f>IF(OR($A23="",Z$11=""),"",IF(OR('_Engine'!$B$6&gt;0,INDEX('_Engine'!$AM$11:$AM$60,'_Engine'!$AO23)&lt;&gt;"OK"),"!",IF(INDEX(Team!$H$11:$N$60,'_Engine'!$AO23,WEEKDAY(Z$11,2))&lt;&gt;"Work","—",IF(COUNTIF(Settings!$F$18:$F$67,Z$11)&gt;0,"BH",IF('_Engine'!CU23+'_Engine'!CV23=0,"·",IF('_Engine'!CU23='_Engine'!CV23,INDEX(Settings!$G$7:$G$11,MOD('_Engine'!CU23,10))&amp;IF('_Engine'!CU23&gt;10,"?",""),IF('_Engine'!CU23=0,INDEX(Settings!$G$7:$G$11,MOD('_Engine'!CV23,10))&amp;IF('_Engine'!CV23&gt;10,"?","")&amp;" PM",IF('_Engine'!CV23=0,INDEX(Settings!$G$7:$G$11,MOD('_Engine'!CU23,10))&amp;IF('_Engine'!CU23&gt;10,"?","")&amp;" AM",INDEX(Settings!$G$7:$G$11,MOD('_Engine'!CU23,10))&amp;IF('_Engine'!CU23&gt;10,"?","")&amp;" AM"&amp;CHAR(10)&amp;INDEX(Settings!$G$7:$G$11,MOD('_Engine'!CV23,10))&amp;IF('_Engine'!CV23&gt;10,"?","")&amp;" PM"))))))))</ns0:f>
        <ns0:v/>
      </ns0:c>
      <ns0:c r="AA23" s="164" t="str">
        <ns0:f>IF(OR($A23="",AA$11=""),"",IF(OR('_Engine'!$B$6&gt;0,INDEX('_Engine'!$AM$11:$AM$60,'_Engine'!$AO23)&lt;&gt;"OK"),"!",IF(INDEX(Team!$H$11:$N$60,'_Engine'!$AO23,WEEKDAY(AA$11,2))&lt;&gt;"Work","—",IF(COUNTIF(Settings!$F$18:$F$67,AA$11)&gt;0,"BH",IF('_Engine'!CW23+'_Engine'!CX23=0,"·",IF('_Engine'!CW23='_Engine'!CX23,INDEX(Settings!$G$7:$G$11,MOD('_Engine'!CW23,10))&amp;IF('_Engine'!CW23&gt;10,"?",""),IF('_Engine'!CW23=0,INDEX(Settings!$G$7:$G$11,MOD('_Engine'!CX23,10))&amp;IF('_Engine'!CX23&gt;10,"?","")&amp;" PM",IF('_Engine'!CX23=0,INDEX(Settings!$G$7:$G$11,MOD('_Engine'!CW23,10))&amp;IF('_Engine'!CW23&gt;10,"?","")&amp;" AM",INDEX(Settings!$G$7:$G$11,MOD('_Engine'!CW23,10))&amp;IF('_Engine'!CW23&gt;10,"?","")&amp;" AM"&amp;CHAR(10)&amp;INDEX(Settings!$G$7:$G$11,MOD('_Engine'!CX23,10))&amp;IF('_Engine'!CX23&gt;10,"?","")&amp;" PM"))))))))</ns0:f>
        <ns0:v/>
      </ns0:c>
      <ns0:c r="AB23" s="164" t="str">
        <ns0:f>IF(OR($A23="",AB$11=""),"",IF(OR('_Engine'!$B$6&gt;0,INDEX('_Engine'!$AM$11:$AM$60,'_Engine'!$AO23)&lt;&gt;"OK"),"!",IF(INDEX(Team!$H$11:$N$60,'_Engine'!$AO23,WEEKDAY(AB$11,2))&lt;&gt;"Work","—",IF(COUNTIF(Settings!$F$18:$F$67,AB$11)&gt;0,"BH",IF('_Engine'!CY23+'_Engine'!CZ23=0,"·",IF('_Engine'!CY23='_Engine'!CZ23,INDEX(Settings!$G$7:$G$11,MOD('_Engine'!CY23,10))&amp;IF('_Engine'!CY23&gt;10,"?",""),IF('_Engine'!CY23=0,INDEX(Settings!$G$7:$G$11,MOD('_Engine'!CZ23,10))&amp;IF('_Engine'!CZ23&gt;10,"?","")&amp;" PM",IF('_Engine'!CZ23=0,INDEX(Settings!$G$7:$G$11,MOD('_Engine'!CY23,10))&amp;IF('_Engine'!CY23&gt;10,"?","")&amp;" AM",INDEX(Settings!$G$7:$G$11,MOD('_Engine'!CY23,10))&amp;IF('_Engine'!CY23&gt;10,"?","")&amp;" AM"&amp;CHAR(10)&amp;INDEX(Settings!$G$7:$G$11,MOD('_Engine'!CZ23,10))&amp;IF('_Engine'!CZ23&gt;10,"?","")&amp;" PM"))))))))</ns0:f>
        <ns0:v/>
      </ns0:c>
      <ns0:c r="AC23" s="164" t="str">
        <ns0:f>IF(OR($A23="",AC$11=""),"",IF(OR('_Engine'!$B$6&gt;0,INDEX('_Engine'!$AM$11:$AM$60,'_Engine'!$AO23)&lt;&gt;"OK"),"!",IF(INDEX(Team!$H$11:$N$60,'_Engine'!$AO23,WEEKDAY(AC$11,2))&lt;&gt;"Work","—",IF(COUNTIF(Settings!$F$18:$F$67,AC$11)&gt;0,"BH",IF('_Engine'!DA23+'_Engine'!DB23=0,"·",IF('_Engine'!DA23='_Engine'!DB23,INDEX(Settings!$G$7:$G$11,MOD('_Engine'!DA23,10))&amp;IF('_Engine'!DA23&gt;10,"?",""),IF('_Engine'!DA23=0,INDEX(Settings!$G$7:$G$11,MOD('_Engine'!DB23,10))&amp;IF('_Engine'!DB23&gt;10,"?","")&amp;" PM",IF('_Engine'!DB23=0,INDEX(Settings!$G$7:$G$11,MOD('_Engine'!DA23,10))&amp;IF('_Engine'!DA23&gt;10,"?","")&amp;" AM",INDEX(Settings!$G$7:$G$11,MOD('_Engine'!DA23,10))&amp;IF('_Engine'!DA23&gt;10,"?","")&amp;" AM"&amp;CHAR(10)&amp;INDEX(Settings!$G$7:$G$11,MOD('_Engine'!DB23,10))&amp;IF('_Engine'!DB23&gt;10,"?","")&amp;" PM"))))))))</ns0:f>
        <ns0:v/>
      </ns0:c>
      <ns0:c r="AD23" s="164" t="str">
        <ns0:f>IF(OR($A23="",AD$11=""),"",IF(OR('_Engine'!$B$6&gt;0,INDEX('_Engine'!$AM$11:$AM$60,'_Engine'!$AO23)&lt;&gt;"OK"),"!",IF(INDEX(Team!$H$11:$N$60,'_Engine'!$AO23,WEEKDAY(AD$11,2))&lt;&gt;"Work","—",IF(COUNTIF(Settings!$F$18:$F$67,AD$11)&gt;0,"BH",IF('_Engine'!DC23+'_Engine'!DD23=0,"·",IF('_Engine'!DC23='_Engine'!DD23,INDEX(Settings!$G$7:$G$11,MOD('_Engine'!DC23,10))&amp;IF('_Engine'!DC23&gt;10,"?",""),IF('_Engine'!DC23=0,INDEX(Settings!$G$7:$G$11,MOD('_Engine'!DD23,10))&amp;IF('_Engine'!DD23&gt;10,"?","")&amp;" PM",IF('_Engine'!DD23=0,INDEX(Settings!$G$7:$G$11,MOD('_Engine'!DC23,10))&amp;IF('_Engine'!DC23&gt;10,"?","")&amp;" AM",INDEX(Settings!$G$7:$G$11,MOD('_Engine'!DC23,10))&amp;IF('_Engine'!DC23&gt;10,"?","")&amp;" AM"&amp;CHAR(10)&amp;INDEX(Settings!$G$7:$G$11,MOD('_Engine'!DD23,10))&amp;IF('_Engine'!DD23&gt;10,"?","")&amp;" PM"))))))))</ns0:f>
        <ns0:v/>
      </ns0:c>
      <ns0:c r="AE23" s="164" t="str">
        <ns0:f>IF(OR($A23="",AE$11=""),"",IF(OR('_Engine'!$B$6&gt;0,INDEX('_Engine'!$AM$11:$AM$60,'_Engine'!$AO23)&lt;&gt;"OK"),"!",IF(INDEX(Team!$H$11:$N$60,'_Engine'!$AO23,WEEKDAY(AE$11,2))&lt;&gt;"Work","—",IF(COUNTIF(Settings!$F$18:$F$67,AE$11)&gt;0,"BH",IF('_Engine'!DE23+'_Engine'!DF23=0,"·",IF('_Engine'!DE23='_Engine'!DF23,INDEX(Settings!$G$7:$G$11,MOD('_Engine'!DE23,10))&amp;IF('_Engine'!DE23&gt;10,"?",""),IF('_Engine'!DE23=0,INDEX(Settings!$G$7:$G$11,MOD('_Engine'!DF23,10))&amp;IF('_Engine'!DF23&gt;10,"?","")&amp;" PM",IF('_Engine'!DF23=0,INDEX(Settings!$G$7:$G$11,MOD('_Engine'!DE23,10))&amp;IF('_Engine'!DE23&gt;10,"?","")&amp;" AM",INDEX(Settings!$G$7:$G$11,MOD('_Engine'!DE23,10))&amp;IF('_Engine'!DE23&gt;10,"?","")&amp;" AM"&amp;CHAR(10)&amp;INDEX(Settings!$G$7:$G$11,MOD('_Engine'!DF23,10))&amp;IF('_Engine'!DF23&gt;10,"?","")&amp;" PM"))))))))</ns0:f>
        <ns0:v/>
      </ns0:c>
      <ns0:c r="AF23" s="164" t="str">
        <ns0:f>IF(OR($A23="",AF$11=""),"",IF(OR('_Engine'!$B$6&gt;0,INDEX('_Engine'!$AM$11:$AM$60,'_Engine'!$AO23)&lt;&gt;"OK"),"!",IF(INDEX(Team!$H$11:$N$60,'_Engine'!$AO23,WEEKDAY(AF$11,2))&lt;&gt;"Work","—",IF(COUNTIF(Settings!$F$18:$F$67,AF$11)&gt;0,"BH",IF('_Engine'!DG23+'_Engine'!DH23=0,"·",IF('_Engine'!DG23='_Engine'!DH23,INDEX(Settings!$G$7:$G$11,MOD('_Engine'!DG23,10))&amp;IF('_Engine'!DG23&gt;10,"?",""),IF('_Engine'!DG23=0,INDEX(Settings!$G$7:$G$11,MOD('_Engine'!DH23,10))&amp;IF('_Engine'!DH23&gt;10,"?","")&amp;" PM",IF('_Engine'!DH23=0,INDEX(Settings!$G$7:$G$11,MOD('_Engine'!DG23,10))&amp;IF('_Engine'!DG23&gt;10,"?","")&amp;" AM",INDEX(Settings!$G$7:$G$11,MOD('_Engine'!DG23,10))&amp;IF('_Engine'!DG23&gt;10,"?","")&amp;" AM"&amp;CHAR(10)&amp;INDEX(Settings!$G$7:$G$11,MOD('_Engine'!DH23,10))&amp;IF('_Engine'!DH23&gt;10,"?","")&amp;" PM"))))))))</ns0:f>
        <ns0:v/>
      </ns0:c>
      <ns0:c r="AG23" s="164" t="str">
        <ns0:f>IF(OR($A23="",AG$11=""),"",IF(OR('_Engine'!$B$6&gt;0,INDEX('_Engine'!$AM$11:$AM$60,'_Engine'!$AO23)&lt;&gt;"OK"),"!",IF(INDEX(Team!$H$11:$N$60,'_Engine'!$AO23,WEEKDAY(AG$11,2))&lt;&gt;"Work","—",IF(COUNTIF(Settings!$F$18:$F$67,AG$11)&gt;0,"BH",IF('_Engine'!DI23+'_Engine'!DJ23=0,"·",IF('_Engine'!DI23='_Engine'!DJ23,INDEX(Settings!$G$7:$G$11,MOD('_Engine'!DI23,10))&amp;IF('_Engine'!DI23&gt;10,"?",""),IF('_Engine'!DI23=0,INDEX(Settings!$G$7:$G$11,MOD('_Engine'!DJ23,10))&amp;IF('_Engine'!DJ23&gt;10,"?","")&amp;" PM",IF('_Engine'!DJ23=0,INDEX(Settings!$G$7:$G$11,MOD('_Engine'!DI23,10))&amp;IF('_Engine'!DI23&gt;10,"?","")&amp;" AM",INDEX(Settings!$G$7:$G$11,MOD('_Engine'!DI23,10))&amp;IF('_Engine'!DI23&gt;10,"?","")&amp;" AM"&amp;CHAR(10)&amp;INDEX(Settings!$G$7:$G$11,MOD('_Engine'!DJ23,10))&amp;IF('_Engine'!DJ23&gt;10,"?","")&amp;" PM"))))))))</ns0:f>
        <ns0:v/>
      </ns0:c>
      <ns0:c r="AH23" s="164" t="str">
        <ns0:f>IF(OR($A23="",AH$11=""),"",IF(OR('_Engine'!$B$6&gt;0,INDEX('_Engine'!$AM$11:$AM$60,'_Engine'!$AO23)&lt;&gt;"OK"),"!",IF(INDEX(Team!$H$11:$N$60,'_Engine'!$AO23,WEEKDAY(AH$11,2))&lt;&gt;"Work","—",IF(COUNTIF(Settings!$F$18:$F$67,AH$11)&gt;0,"BH",IF('_Engine'!DK23+'_Engine'!DL23=0,"·",IF('_Engine'!DK23='_Engine'!DL23,INDEX(Settings!$G$7:$G$11,MOD('_Engine'!DK23,10))&amp;IF('_Engine'!DK23&gt;10,"?",""),IF('_Engine'!DK23=0,INDEX(Settings!$G$7:$G$11,MOD('_Engine'!DL23,10))&amp;IF('_Engine'!DL23&gt;10,"?","")&amp;" PM",IF('_Engine'!DL23=0,INDEX(Settings!$G$7:$G$11,MOD('_Engine'!DK23,10))&amp;IF('_Engine'!DK23&gt;10,"?","")&amp;" AM",INDEX(Settings!$G$7:$G$11,MOD('_Engine'!DK23,10))&amp;IF('_Engine'!DK23&gt;10,"?","")&amp;" AM"&amp;CHAR(10)&amp;INDEX(Settings!$G$7:$G$11,MOD('_Engine'!DL23,10))&amp;IF('_Engine'!DL23&gt;10,"?","")&amp;" PM"))))))))</ns0:f>
        <ns0:v/>
      </ns0:c>
    </ns0:row>
    <ns0:row r="24" ht="38" customHeight="1">
      <ns0:c r="A24" s="4" t="str">
        <ns0:f>IF('_Engine'!AO24=0,"",IF(INDEX(Team!$B$11:$B$60,'_Engine'!AO24)="","[Unnamed]",INDEX(Team!$B$11:$B$60,'_Engine'!AO24)))</ns0:f>
        <ns0:v/>
      </ns0:c>
      <ns0:c r="B24" s="156" t="str">
        <ns0:f>IF('_Engine'!AO24=0,"",INDEX('_Engine'!$AN$11:$AN$60,'_Engine'!AO24))</ns0:f>
        <ns0:v/>
      </ns0:c>
      <ns0:c r="C24" s="4" t="str">
        <ns0:f>IF('_Engine'!AO24=0,"",INDEX(Team!$C$11:$C$60,'_Engine'!AO24))</ns0:f>
        <ns0:v/>
      </ns0:c>
      <ns0:c r="D24" s="162" t="str">
        <ns0:f>IF(OR($A24="",D$11=""),"",IF(OR('_Engine'!$B$6&gt;0,INDEX('_Engine'!$AM$11:$AM$60,'_Engine'!$AO24)&lt;&gt;"OK"),"!",IF(INDEX(Team!$H$11:$N$60,'_Engine'!$AO24,WEEKDAY(D$11,2))&lt;&gt;"Work","—",IF(COUNTIF(Settings!$F$18:$F$67,D$11)&gt;0,"BH",IF('_Engine'!BC24+'_Engine'!BD24=0,"·",IF('_Engine'!BC24='_Engine'!BD24,INDEX(Settings!$G$7:$G$11,MOD('_Engine'!BC24,10))&amp;IF('_Engine'!BC24&gt;10,"?",""),IF('_Engine'!BC24=0,INDEX(Settings!$G$7:$G$11,MOD('_Engine'!BD24,10))&amp;IF('_Engine'!BD24&gt;10,"?","")&amp;" PM",IF('_Engine'!BD24=0,INDEX(Settings!$G$7:$G$11,MOD('_Engine'!BC24,10))&amp;IF('_Engine'!BC24&gt;10,"?","")&amp;" AM",INDEX(Settings!$G$7:$G$11,MOD('_Engine'!BC24,10))&amp;IF('_Engine'!BC24&gt;10,"?","")&amp;" AM"&amp;CHAR(10)&amp;INDEX(Settings!$G$7:$G$11,MOD('_Engine'!BD24,10))&amp;IF('_Engine'!BD24&gt;10,"?","")&amp;" PM"))))))))</ns0:f>
        <ns0:v/>
      </ns0:c>
      <ns0:c r="E24" s="162" t="str">
        <ns0:f>IF(OR($A24="",E$11=""),"",IF(OR('_Engine'!$B$6&gt;0,INDEX('_Engine'!$AM$11:$AM$60,'_Engine'!$AO24)&lt;&gt;"OK"),"!",IF(INDEX(Team!$H$11:$N$60,'_Engine'!$AO24,WEEKDAY(E$11,2))&lt;&gt;"Work","—",IF(COUNTIF(Settings!$F$18:$F$67,E$11)&gt;0,"BH",IF('_Engine'!BE24+'_Engine'!BF24=0,"·",IF('_Engine'!BE24='_Engine'!BF24,INDEX(Settings!$G$7:$G$11,MOD('_Engine'!BE24,10))&amp;IF('_Engine'!BE24&gt;10,"?",""),IF('_Engine'!BE24=0,INDEX(Settings!$G$7:$G$11,MOD('_Engine'!BF24,10))&amp;IF('_Engine'!BF24&gt;10,"?","")&amp;" PM",IF('_Engine'!BF24=0,INDEX(Settings!$G$7:$G$11,MOD('_Engine'!BE24,10))&amp;IF('_Engine'!BE24&gt;10,"?","")&amp;" AM",INDEX(Settings!$G$7:$G$11,MOD('_Engine'!BE24,10))&amp;IF('_Engine'!BE24&gt;10,"?","")&amp;" AM"&amp;CHAR(10)&amp;INDEX(Settings!$G$7:$G$11,MOD('_Engine'!BF24,10))&amp;IF('_Engine'!BF24&gt;10,"?","")&amp;" PM"))))))))</ns0:f>
        <ns0:v/>
      </ns0:c>
      <ns0:c r="F24" s="162" t="str">
        <ns0:f>IF(OR($A24="",F$11=""),"",IF(OR('_Engine'!$B$6&gt;0,INDEX('_Engine'!$AM$11:$AM$60,'_Engine'!$AO24)&lt;&gt;"OK"),"!",IF(INDEX(Team!$H$11:$N$60,'_Engine'!$AO24,WEEKDAY(F$11,2))&lt;&gt;"Work","—",IF(COUNTIF(Settings!$F$18:$F$67,F$11)&gt;0,"BH",IF('_Engine'!BG24+'_Engine'!BH24=0,"·",IF('_Engine'!BG24='_Engine'!BH24,INDEX(Settings!$G$7:$G$11,MOD('_Engine'!BG24,10))&amp;IF('_Engine'!BG24&gt;10,"?",""),IF('_Engine'!BG24=0,INDEX(Settings!$G$7:$G$11,MOD('_Engine'!BH24,10))&amp;IF('_Engine'!BH24&gt;10,"?","")&amp;" PM",IF('_Engine'!BH24=0,INDEX(Settings!$G$7:$G$11,MOD('_Engine'!BG24,10))&amp;IF('_Engine'!BG24&gt;10,"?","")&amp;" AM",INDEX(Settings!$G$7:$G$11,MOD('_Engine'!BG24,10))&amp;IF('_Engine'!BG24&gt;10,"?","")&amp;" AM"&amp;CHAR(10)&amp;INDEX(Settings!$G$7:$G$11,MOD('_Engine'!BH24,10))&amp;IF('_Engine'!BH24&gt;10,"?","")&amp;" PM"))))))))</ns0:f>
        <ns0:v/>
      </ns0:c>
      <ns0:c r="G24" s="162" t="str">
        <ns0:f>IF(OR($A24="",G$11=""),"",IF(OR('_Engine'!$B$6&gt;0,INDEX('_Engine'!$AM$11:$AM$60,'_Engine'!$AO24)&lt;&gt;"OK"),"!",IF(INDEX(Team!$H$11:$N$60,'_Engine'!$AO24,WEEKDAY(G$11,2))&lt;&gt;"Work","—",IF(COUNTIF(Settings!$F$18:$F$67,G$11)&gt;0,"BH",IF('_Engine'!BI24+'_Engine'!BJ24=0,"·",IF('_Engine'!BI24='_Engine'!BJ24,INDEX(Settings!$G$7:$G$11,MOD('_Engine'!BI24,10))&amp;IF('_Engine'!BI24&gt;10,"?",""),IF('_Engine'!BI24=0,INDEX(Settings!$G$7:$G$11,MOD('_Engine'!BJ24,10))&amp;IF('_Engine'!BJ24&gt;10,"?","")&amp;" PM",IF('_Engine'!BJ24=0,INDEX(Settings!$G$7:$G$11,MOD('_Engine'!BI24,10))&amp;IF('_Engine'!BI24&gt;10,"?","")&amp;" AM",INDEX(Settings!$G$7:$G$11,MOD('_Engine'!BI24,10))&amp;IF('_Engine'!BI24&gt;10,"?","")&amp;" AM"&amp;CHAR(10)&amp;INDEX(Settings!$G$7:$G$11,MOD('_Engine'!BJ24,10))&amp;IF('_Engine'!BJ24&gt;10,"?","")&amp;" PM"))))))))</ns0:f>
        <ns0:v/>
      </ns0:c>
      <ns0:c r="H24" s="162" t="str">
        <ns0:f>IF(OR($A24="",H$11=""),"",IF(OR('_Engine'!$B$6&gt;0,INDEX('_Engine'!$AM$11:$AM$60,'_Engine'!$AO24)&lt;&gt;"OK"),"!",IF(INDEX(Team!$H$11:$N$60,'_Engine'!$AO24,WEEKDAY(H$11,2))&lt;&gt;"Work","—",IF(COUNTIF(Settings!$F$18:$F$67,H$11)&gt;0,"BH",IF('_Engine'!BK24+'_Engine'!BL24=0,"·",IF('_Engine'!BK24='_Engine'!BL24,INDEX(Settings!$G$7:$G$11,MOD('_Engine'!BK24,10))&amp;IF('_Engine'!BK24&gt;10,"?",""),IF('_Engine'!BK24=0,INDEX(Settings!$G$7:$G$11,MOD('_Engine'!BL24,10))&amp;IF('_Engine'!BL24&gt;10,"?","")&amp;" PM",IF('_Engine'!BL24=0,INDEX(Settings!$G$7:$G$11,MOD('_Engine'!BK24,10))&amp;IF('_Engine'!BK24&gt;10,"?","")&amp;" AM",INDEX(Settings!$G$7:$G$11,MOD('_Engine'!BK24,10))&amp;IF('_Engine'!BK24&gt;10,"?","")&amp;" AM"&amp;CHAR(10)&amp;INDEX(Settings!$G$7:$G$11,MOD('_Engine'!BL24,10))&amp;IF('_Engine'!BL24&gt;10,"?","")&amp;" PM"))))))))</ns0:f>
        <ns0:v/>
      </ns0:c>
      <ns0:c r="I24" s="162" t="str">
        <ns0:f>IF(OR($A24="",I$11=""),"",IF(OR('_Engine'!$B$6&gt;0,INDEX('_Engine'!$AM$11:$AM$60,'_Engine'!$AO24)&lt;&gt;"OK"),"!",IF(INDEX(Team!$H$11:$N$60,'_Engine'!$AO24,WEEKDAY(I$11,2))&lt;&gt;"Work","—",IF(COUNTIF(Settings!$F$18:$F$67,I$11)&gt;0,"BH",IF('_Engine'!BM24+'_Engine'!BN24=0,"·",IF('_Engine'!BM24='_Engine'!BN24,INDEX(Settings!$G$7:$G$11,MOD('_Engine'!BM24,10))&amp;IF('_Engine'!BM24&gt;10,"?",""),IF('_Engine'!BM24=0,INDEX(Settings!$G$7:$G$11,MOD('_Engine'!BN24,10))&amp;IF('_Engine'!BN24&gt;10,"?","")&amp;" PM",IF('_Engine'!BN24=0,INDEX(Settings!$G$7:$G$11,MOD('_Engine'!BM24,10))&amp;IF('_Engine'!BM24&gt;10,"?","")&amp;" AM",INDEX(Settings!$G$7:$G$11,MOD('_Engine'!BM24,10))&amp;IF('_Engine'!BM24&gt;10,"?","")&amp;" AM"&amp;CHAR(10)&amp;INDEX(Settings!$G$7:$G$11,MOD('_Engine'!BN24,10))&amp;IF('_Engine'!BN24&gt;10,"?","")&amp;" PM"))))))))</ns0:f>
        <ns0:v/>
      </ns0:c>
      <ns0:c r="J24" s="162" t="str">
        <ns0:f>IF(OR($A24="",J$11=""),"",IF(OR('_Engine'!$B$6&gt;0,INDEX('_Engine'!$AM$11:$AM$60,'_Engine'!$AO24)&lt;&gt;"OK"),"!",IF(INDEX(Team!$H$11:$N$60,'_Engine'!$AO24,WEEKDAY(J$11,2))&lt;&gt;"Work","—",IF(COUNTIF(Settings!$F$18:$F$67,J$11)&gt;0,"BH",IF('_Engine'!BO24+'_Engine'!BP24=0,"·",IF('_Engine'!BO24='_Engine'!BP24,INDEX(Settings!$G$7:$G$11,MOD('_Engine'!BO24,10))&amp;IF('_Engine'!BO24&gt;10,"?",""),IF('_Engine'!BO24=0,INDEX(Settings!$G$7:$G$11,MOD('_Engine'!BP24,10))&amp;IF('_Engine'!BP24&gt;10,"?","")&amp;" PM",IF('_Engine'!BP24=0,INDEX(Settings!$G$7:$G$11,MOD('_Engine'!BO24,10))&amp;IF('_Engine'!BO24&gt;10,"?","")&amp;" AM",INDEX(Settings!$G$7:$G$11,MOD('_Engine'!BO24,10))&amp;IF('_Engine'!BO24&gt;10,"?","")&amp;" AM"&amp;CHAR(10)&amp;INDEX(Settings!$G$7:$G$11,MOD('_Engine'!BP24,10))&amp;IF('_Engine'!BP24&gt;10,"?","")&amp;" PM"))))))))</ns0:f>
        <ns0:v/>
      </ns0:c>
      <ns0:c r="K24" s="164" t="str">
        <ns0:f>IF(OR($A24="",K$11=""),"",IF(OR('_Engine'!$B$6&gt;0,INDEX('_Engine'!$AM$11:$AM$60,'_Engine'!$AO24)&lt;&gt;"OK"),"!",IF(INDEX(Team!$H$11:$N$60,'_Engine'!$AO24,WEEKDAY(K$11,2))&lt;&gt;"Work","—",IF(COUNTIF(Settings!$F$18:$F$67,K$11)&gt;0,"BH",IF('_Engine'!BQ24+'_Engine'!BR24=0,"·",IF('_Engine'!BQ24='_Engine'!BR24,INDEX(Settings!$G$7:$G$11,MOD('_Engine'!BQ24,10))&amp;IF('_Engine'!BQ24&gt;10,"?",""),IF('_Engine'!BQ24=0,INDEX(Settings!$G$7:$G$11,MOD('_Engine'!BR24,10))&amp;IF('_Engine'!BR24&gt;10,"?","")&amp;" PM",IF('_Engine'!BR24=0,INDEX(Settings!$G$7:$G$11,MOD('_Engine'!BQ24,10))&amp;IF('_Engine'!BQ24&gt;10,"?","")&amp;" AM",INDEX(Settings!$G$7:$G$11,MOD('_Engine'!BQ24,10))&amp;IF('_Engine'!BQ24&gt;10,"?","")&amp;" AM"&amp;CHAR(10)&amp;INDEX(Settings!$G$7:$G$11,MOD('_Engine'!BR24,10))&amp;IF('_Engine'!BR24&gt;10,"?","")&amp;" PM"))))))))</ns0:f>
        <ns0:v/>
      </ns0:c>
      <ns0:c r="L24" s="164" t="str">
        <ns0:f>IF(OR($A24="",L$11=""),"",IF(OR('_Engine'!$B$6&gt;0,INDEX('_Engine'!$AM$11:$AM$60,'_Engine'!$AO24)&lt;&gt;"OK"),"!",IF(INDEX(Team!$H$11:$N$60,'_Engine'!$AO24,WEEKDAY(L$11,2))&lt;&gt;"Work","—",IF(COUNTIF(Settings!$F$18:$F$67,L$11)&gt;0,"BH",IF('_Engine'!BS24+'_Engine'!BT24=0,"·",IF('_Engine'!BS24='_Engine'!BT24,INDEX(Settings!$G$7:$G$11,MOD('_Engine'!BS24,10))&amp;IF('_Engine'!BS24&gt;10,"?",""),IF('_Engine'!BS24=0,INDEX(Settings!$G$7:$G$11,MOD('_Engine'!BT24,10))&amp;IF('_Engine'!BT24&gt;10,"?","")&amp;" PM",IF('_Engine'!BT24=0,INDEX(Settings!$G$7:$G$11,MOD('_Engine'!BS24,10))&amp;IF('_Engine'!BS24&gt;10,"?","")&amp;" AM",INDEX(Settings!$G$7:$G$11,MOD('_Engine'!BS24,10))&amp;IF('_Engine'!BS24&gt;10,"?","")&amp;" AM"&amp;CHAR(10)&amp;INDEX(Settings!$G$7:$G$11,MOD('_Engine'!BT24,10))&amp;IF('_Engine'!BT24&gt;10,"?","")&amp;" PM"))))))))</ns0:f>
        <ns0:v/>
      </ns0:c>
      <ns0:c r="M24" s="164" t="str">
        <ns0:f>IF(OR($A24="",M$11=""),"",IF(OR('_Engine'!$B$6&gt;0,INDEX('_Engine'!$AM$11:$AM$60,'_Engine'!$AO24)&lt;&gt;"OK"),"!",IF(INDEX(Team!$H$11:$N$60,'_Engine'!$AO24,WEEKDAY(M$11,2))&lt;&gt;"Work","—",IF(COUNTIF(Settings!$F$18:$F$67,M$11)&gt;0,"BH",IF('_Engine'!BU24+'_Engine'!BV24=0,"·",IF('_Engine'!BU24='_Engine'!BV24,INDEX(Settings!$G$7:$G$11,MOD('_Engine'!BU24,10))&amp;IF('_Engine'!BU24&gt;10,"?",""),IF('_Engine'!BU24=0,INDEX(Settings!$G$7:$G$11,MOD('_Engine'!BV24,10))&amp;IF('_Engine'!BV24&gt;10,"?","")&amp;" PM",IF('_Engine'!BV24=0,INDEX(Settings!$G$7:$G$11,MOD('_Engine'!BU24,10))&amp;IF('_Engine'!BU24&gt;10,"?","")&amp;" AM",INDEX(Settings!$G$7:$G$11,MOD('_Engine'!BU24,10))&amp;IF('_Engine'!BU24&gt;10,"?","")&amp;" AM"&amp;CHAR(10)&amp;INDEX(Settings!$G$7:$G$11,MOD('_Engine'!BV24,10))&amp;IF('_Engine'!BV24&gt;10,"?","")&amp;" PM"))))))))</ns0:f>
        <ns0:v/>
      </ns0:c>
      <ns0:c r="N24" s="164" t="str">
        <ns0:f>IF(OR($A24="",N$11=""),"",IF(OR('_Engine'!$B$6&gt;0,INDEX('_Engine'!$AM$11:$AM$60,'_Engine'!$AO24)&lt;&gt;"OK"),"!",IF(INDEX(Team!$H$11:$N$60,'_Engine'!$AO24,WEEKDAY(N$11,2))&lt;&gt;"Work","—",IF(COUNTIF(Settings!$F$18:$F$67,N$11)&gt;0,"BH",IF('_Engine'!BW24+'_Engine'!BX24=0,"·",IF('_Engine'!BW24='_Engine'!BX24,INDEX(Settings!$G$7:$G$11,MOD('_Engine'!BW24,10))&amp;IF('_Engine'!BW24&gt;10,"?",""),IF('_Engine'!BW24=0,INDEX(Settings!$G$7:$G$11,MOD('_Engine'!BX24,10))&amp;IF('_Engine'!BX24&gt;10,"?","")&amp;" PM",IF('_Engine'!BX24=0,INDEX(Settings!$G$7:$G$11,MOD('_Engine'!BW24,10))&amp;IF('_Engine'!BW24&gt;10,"?","")&amp;" AM",INDEX(Settings!$G$7:$G$11,MOD('_Engine'!BW24,10))&amp;IF('_Engine'!BW24&gt;10,"?","")&amp;" AM"&amp;CHAR(10)&amp;INDEX(Settings!$G$7:$G$11,MOD('_Engine'!BX24,10))&amp;IF('_Engine'!BX24&gt;10,"?","")&amp;" PM"))))))))</ns0:f>
        <ns0:v/>
      </ns0:c>
      <ns0:c r="O24" s="164" t="str">
        <ns0:f>IF(OR($A24="",O$11=""),"",IF(OR('_Engine'!$B$6&gt;0,INDEX('_Engine'!$AM$11:$AM$60,'_Engine'!$AO24)&lt;&gt;"OK"),"!",IF(INDEX(Team!$H$11:$N$60,'_Engine'!$AO24,WEEKDAY(O$11,2))&lt;&gt;"Work","—",IF(COUNTIF(Settings!$F$18:$F$67,O$11)&gt;0,"BH",IF('_Engine'!BY24+'_Engine'!BZ24=0,"·",IF('_Engine'!BY24='_Engine'!BZ24,INDEX(Settings!$G$7:$G$11,MOD('_Engine'!BY24,10))&amp;IF('_Engine'!BY24&gt;10,"?",""),IF('_Engine'!BY24=0,INDEX(Settings!$G$7:$G$11,MOD('_Engine'!BZ24,10))&amp;IF('_Engine'!BZ24&gt;10,"?","")&amp;" PM",IF('_Engine'!BZ24=0,INDEX(Settings!$G$7:$G$11,MOD('_Engine'!BY24,10))&amp;IF('_Engine'!BY24&gt;10,"?","")&amp;" AM",INDEX(Settings!$G$7:$G$11,MOD('_Engine'!BY24,10))&amp;IF('_Engine'!BY24&gt;10,"?","")&amp;" AM"&amp;CHAR(10)&amp;INDEX(Settings!$G$7:$G$11,MOD('_Engine'!BZ24,10))&amp;IF('_Engine'!BZ24&gt;10,"?","")&amp;" PM"))))))))</ns0:f>
        <ns0:v/>
      </ns0:c>
      <ns0:c r="P24" s="164" t="str">
        <ns0:f>IF(OR($A24="",P$11=""),"",IF(OR('_Engine'!$B$6&gt;0,INDEX('_Engine'!$AM$11:$AM$60,'_Engine'!$AO24)&lt;&gt;"OK"),"!",IF(INDEX(Team!$H$11:$N$60,'_Engine'!$AO24,WEEKDAY(P$11,2))&lt;&gt;"Work","—",IF(COUNTIF(Settings!$F$18:$F$67,P$11)&gt;0,"BH",IF('_Engine'!CA24+'_Engine'!CB24=0,"·",IF('_Engine'!CA24='_Engine'!CB24,INDEX(Settings!$G$7:$G$11,MOD('_Engine'!CA24,10))&amp;IF('_Engine'!CA24&gt;10,"?",""),IF('_Engine'!CA24=0,INDEX(Settings!$G$7:$G$11,MOD('_Engine'!CB24,10))&amp;IF('_Engine'!CB24&gt;10,"?","")&amp;" PM",IF('_Engine'!CB24=0,INDEX(Settings!$G$7:$G$11,MOD('_Engine'!CA24,10))&amp;IF('_Engine'!CA24&gt;10,"?","")&amp;" AM",INDEX(Settings!$G$7:$G$11,MOD('_Engine'!CA24,10))&amp;IF('_Engine'!CA24&gt;10,"?","")&amp;" AM"&amp;CHAR(10)&amp;INDEX(Settings!$G$7:$G$11,MOD('_Engine'!CB24,10))&amp;IF('_Engine'!CB24&gt;10,"?","")&amp;" PM"))))))))</ns0:f>
        <ns0:v/>
      </ns0:c>
      <ns0:c r="Q24" s="164" t="str">
        <ns0:f>IF(OR($A24="",Q$11=""),"",IF(OR('_Engine'!$B$6&gt;0,INDEX('_Engine'!$AM$11:$AM$60,'_Engine'!$AO24)&lt;&gt;"OK"),"!",IF(INDEX(Team!$H$11:$N$60,'_Engine'!$AO24,WEEKDAY(Q$11,2))&lt;&gt;"Work","—",IF(COUNTIF(Settings!$F$18:$F$67,Q$11)&gt;0,"BH",IF('_Engine'!CC24+'_Engine'!CD24=0,"·",IF('_Engine'!CC24='_Engine'!CD24,INDEX(Settings!$G$7:$G$11,MOD('_Engine'!CC24,10))&amp;IF('_Engine'!CC24&gt;10,"?",""),IF('_Engine'!CC24=0,INDEX(Settings!$G$7:$G$11,MOD('_Engine'!CD24,10))&amp;IF('_Engine'!CD24&gt;10,"?","")&amp;" PM",IF('_Engine'!CD24=0,INDEX(Settings!$G$7:$G$11,MOD('_Engine'!CC24,10))&amp;IF('_Engine'!CC24&gt;10,"?","")&amp;" AM",INDEX(Settings!$G$7:$G$11,MOD('_Engine'!CC24,10))&amp;IF('_Engine'!CC24&gt;10,"?","")&amp;" AM"&amp;CHAR(10)&amp;INDEX(Settings!$G$7:$G$11,MOD('_Engine'!CD24,10))&amp;IF('_Engine'!CD24&gt;10,"?","")&amp;" PM"))))))))</ns0:f>
        <ns0:v/>
      </ns0:c>
      <ns0:c r="R24" s="164" t="str">
        <ns0:f>IF(OR($A24="",R$11=""),"",IF(OR('_Engine'!$B$6&gt;0,INDEX('_Engine'!$AM$11:$AM$60,'_Engine'!$AO24)&lt;&gt;"OK"),"!",IF(INDEX(Team!$H$11:$N$60,'_Engine'!$AO24,WEEKDAY(R$11,2))&lt;&gt;"Work","—",IF(COUNTIF(Settings!$F$18:$F$67,R$11)&gt;0,"BH",IF('_Engine'!CE24+'_Engine'!CF24=0,"·",IF('_Engine'!CE24='_Engine'!CF24,INDEX(Settings!$G$7:$G$11,MOD('_Engine'!CE24,10))&amp;IF('_Engine'!CE24&gt;10,"?",""),IF('_Engine'!CE24=0,INDEX(Settings!$G$7:$G$11,MOD('_Engine'!CF24,10))&amp;IF('_Engine'!CF24&gt;10,"?","")&amp;" PM",IF('_Engine'!CF24=0,INDEX(Settings!$G$7:$G$11,MOD('_Engine'!CE24,10))&amp;IF('_Engine'!CE24&gt;10,"?","")&amp;" AM",INDEX(Settings!$G$7:$G$11,MOD('_Engine'!CE24,10))&amp;IF('_Engine'!CE24&gt;10,"?","")&amp;" AM"&amp;CHAR(10)&amp;INDEX(Settings!$G$7:$G$11,MOD('_Engine'!CF24,10))&amp;IF('_Engine'!CF24&gt;10,"?","")&amp;" PM"))))))))</ns0:f>
        <ns0:v/>
      </ns0:c>
      <ns0:c r="S24" s="164" t="str">
        <ns0:f>IF(OR($A24="",S$11=""),"",IF(OR('_Engine'!$B$6&gt;0,INDEX('_Engine'!$AM$11:$AM$60,'_Engine'!$AO24)&lt;&gt;"OK"),"!",IF(INDEX(Team!$H$11:$N$60,'_Engine'!$AO24,WEEKDAY(S$11,2))&lt;&gt;"Work","—",IF(COUNTIF(Settings!$F$18:$F$67,S$11)&gt;0,"BH",IF('_Engine'!CG24+'_Engine'!CH24=0,"·",IF('_Engine'!CG24='_Engine'!CH24,INDEX(Settings!$G$7:$G$11,MOD('_Engine'!CG24,10))&amp;IF('_Engine'!CG24&gt;10,"?",""),IF('_Engine'!CG24=0,INDEX(Settings!$G$7:$G$11,MOD('_Engine'!CH24,10))&amp;IF('_Engine'!CH24&gt;10,"?","")&amp;" PM",IF('_Engine'!CH24=0,INDEX(Settings!$G$7:$G$11,MOD('_Engine'!CG24,10))&amp;IF('_Engine'!CG24&gt;10,"?","")&amp;" AM",INDEX(Settings!$G$7:$G$11,MOD('_Engine'!CG24,10))&amp;IF('_Engine'!CG24&gt;10,"?","")&amp;" AM"&amp;CHAR(10)&amp;INDEX(Settings!$G$7:$G$11,MOD('_Engine'!CH24,10))&amp;IF('_Engine'!CH24&gt;10,"?","")&amp;" PM"))))))))</ns0:f>
        <ns0:v/>
      </ns0:c>
      <ns0:c r="T24" s="164" t="str">
        <ns0:f>IF(OR($A24="",T$11=""),"",IF(OR('_Engine'!$B$6&gt;0,INDEX('_Engine'!$AM$11:$AM$60,'_Engine'!$AO24)&lt;&gt;"OK"),"!",IF(INDEX(Team!$H$11:$N$60,'_Engine'!$AO24,WEEKDAY(T$11,2))&lt;&gt;"Work","—",IF(COUNTIF(Settings!$F$18:$F$67,T$11)&gt;0,"BH",IF('_Engine'!CI24+'_Engine'!CJ24=0,"·",IF('_Engine'!CI24='_Engine'!CJ24,INDEX(Settings!$G$7:$G$11,MOD('_Engine'!CI24,10))&amp;IF('_Engine'!CI24&gt;10,"?",""),IF('_Engine'!CI24=0,INDEX(Settings!$G$7:$G$11,MOD('_Engine'!CJ24,10))&amp;IF('_Engine'!CJ24&gt;10,"?","")&amp;" PM",IF('_Engine'!CJ24=0,INDEX(Settings!$G$7:$G$11,MOD('_Engine'!CI24,10))&amp;IF('_Engine'!CI24&gt;10,"?","")&amp;" AM",INDEX(Settings!$G$7:$G$11,MOD('_Engine'!CI24,10))&amp;IF('_Engine'!CI24&gt;10,"?","")&amp;" AM"&amp;CHAR(10)&amp;INDEX(Settings!$G$7:$G$11,MOD('_Engine'!CJ24,10))&amp;IF('_Engine'!CJ24&gt;10,"?","")&amp;" PM"))))))))</ns0:f>
        <ns0:v/>
      </ns0:c>
      <ns0:c r="U24" s="164" t="str">
        <ns0:f>IF(OR($A24="",U$11=""),"",IF(OR('_Engine'!$B$6&gt;0,INDEX('_Engine'!$AM$11:$AM$60,'_Engine'!$AO24)&lt;&gt;"OK"),"!",IF(INDEX(Team!$H$11:$N$60,'_Engine'!$AO24,WEEKDAY(U$11,2))&lt;&gt;"Work","—",IF(COUNTIF(Settings!$F$18:$F$67,U$11)&gt;0,"BH",IF('_Engine'!CK24+'_Engine'!CL24=0,"·",IF('_Engine'!CK24='_Engine'!CL24,INDEX(Settings!$G$7:$G$11,MOD('_Engine'!CK24,10))&amp;IF('_Engine'!CK24&gt;10,"?",""),IF('_Engine'!CK24=0,INDEX(Settings!$G$7:$G$11,MOD('_Engine'!CL24,10))&amp;IF('_Engine'!CL24&gt;10,"?","")&amp;" PM",IF('_Engine'!CL24=0,INDEX(Settings!$G$7:$G$11,MOD('_Engine'!CK24,10))&amp;IF('_Engine'!CK24&gt;10,"?","")&amp;" AM",INDEX(Settings!$G$7:$G$11,MOD('_Engine'!CK24,10))&amp;IF('_Engine'!CK24&gt;10,"?","")&amp;" AM"&amp;CHAR(10)&amp;INDEX(Settings!$G$7:$G$11,MOD('_Engine'!CL24,10))&amp;IF('_Engine'!CL24&gt;10,"?","")&amp;" PM"))))))))</ns0:f>
        <ns0:v/>
      </ns0:c>
      <ns0:c r="V24" s="164" t="str">
        <ns0:f>IF(OR($A24="",V$11=""),"",IF(OR('_Engine'!$B$6&gt;0,INDEX('_Engine'!$AM$11:$AM$60,'_Engine'!$AO24)&lt;&gt;"OK"),"!",IF(INDEX(Team!$H$11:$N$60,'_Engine'!$AO24,WEEKDAY(V$11,2))&lt;&gt;"Work","—",IF(COUNTIF(Settings!$F$18:$F$67,V$11)&gt;0,"BH",IF('_Engine'!CM24+'_Engine'!CN24=0,"·",IF('_Engine'!CM24='_Engine'!CN24,INDEX(Settings!$G$7:$G$11,MOD('_Engine'!CM24,10))&amp;IF('_Engine'!CM24&gt;10,"?",""),IF('_Engine'!CM24=0,INDEX(Settings!$G$7:$G$11,MOD('_Engine'!CN24,10))&amp;IF('_Engine'!CN24&gt;10,"?","")&amp;" PM",IF('_Engine'!CN24=0,INDEX(Settings!$G$7:$G$11,MOD('_Engine'!CM24,10))&amp;IF('_Engine'!CM24&gt;10,"?","")&amp;" AM",INDEX(Settings!$G$7:$G$11,MOD('_Engine'!CM24,10))&amp;IF('_Engine'!CM24&gt;10,"?","")&amp;" AM"&amp;CHAR(10)&amp;INDEX(Settings!$G$7:$G$11,MOD('_Engine'!CN24,10))&amp;IF('_Engine'!CN24&gt;10,"?","")&amp;" PM"))))))))</ns0:f>
        <ns0:v/>
      </ns0:c>
      <ns0:c r="W24" s="164" t="str">
        <ns0:f>IF(OR($A24="",W$11=""),"",IF(OR('_Engine'!$B$6&gt;0,INDEX('_Engine'!$AM$11:$AM$60,'_Engine'!$AO24)&lt;&gt;"OK"),"!",IF(INDEX(Team!$H$11:$N$60,'_Engine'!$AO24,WEEKDAY(W$11,2))&lt;&gt;"Work","—",IF(COUNTIF(Settings!$F$18:$F$67,W$11)&gt;0,"BH",IF('_Engine'!CO24+'_Engine'!CP24=0,"·",IF('_Engine'!CO24='_Engine'!CP24,INDEX(Settings!$G$7:$G$11,MOD('_Engine'!CO24,10))&amp;IF('_Engine'!CO24&gt;10,"?",""),IF('_Engine'!CO24=0,INDEX(Settings!$G$7:$G$11,MOD('_Engine'!CP24,10))&amp;IF('_Engine'!CP24&gt;10,"?","")&amp;" PM",IF('_Engine'!CP24=0,INDEX(Settings!$G$7:$G$11,MOD('_Engine'!CO24,10))&amp;IF('_Engine'!CO24&gt;10,"?","")&amp;" AM",INDEX(Settings!$G$7:$G$11,MOD('_Engine'!CO24,10))&amp;IF('_Engine'!CO24&gt;10,"?","")&amp;" AM"&amp;CHAR(10)&amp;INDEX(Settings!$G$7:$G$11,MOD('_Engine'!CP24,10))&amp;IF('_Engine'!CP24&gt;10,"?","")&amp;" PM"))))))))</ns0:f>
        <ns0:v/>
      </ns0:c>
      <ns0:c r="X24" s="164" t="str">
        <ns0:f>IF(OR($A24="",X$11=""),"",IF(OR('_Engine'!$B$6&gt;0,INDEX('_Engine'!$AM$11:$AM$60,'_Engine'!$AO24)&lt;&gt;"OK"),"!",IF(INDEX(Team!$H$11:$N$60,'_Engine'!$AO24,WEEKDAY(X$11,2))&lt;&gt;"Work","—",IF(COUNTIF(Settings!$F$18:$F$67,X$11)&gt;0,"BH",IF('_Engine'!CQ24+'_Engine'!CR24=0,"·",IF('_Engine'!CQ24='_Engine'!CR24,INDEX(Settings!$G$7:$G$11,MOD('_Engine'!CQ24,10))&amp;IF('_Engine'!CQ24&gt;10,"?",""),IF('_Engine'!CQ24=0,INDEX(Settings!$G$7:$G$11,MOD('_Engine'!CR24,10))&amp;IF('_Engine'!CR24&gt;10,"?","")&amp;" PM",IF('_Engine'!CR24=0,INDEX(Settings!$G$7:$G$11,MOD('_Engine'!CQ24,10))&amp;IF('_Engine'!CQ24&gt;10,"?","")&amp;" AM",INDEX(Settings!$G$7:$G$11,MOD('_Engine'!CQ24,10))&amp;IF('_Engine'!CQ24&gt;10,"?","")&amp;" AM"&amp;CHAR(10)&amp;INDEX(Settings!$G$7:$G$11,MOD('_Engine'!CR24,10))&amp;IF('_Engine'!CR24&gt;10,"?","")&amp;" PM"))))))))</ns0:f>
        <ns0:v/>
      </ns0:c>
      <ns0:c r="Y24" s="164" t="str">
        <ns0:f>IF(OR($A24="",Y$11=""),"",IF(OR('_Engine'!$B$6&gt;0,INDEX('_Engine'!$AM$11:$AM$60,'_Engine'!$AO24)&lt;&gt;"OK"),"!",IF(INDEX(Team!$H$11:$N$60,'_Engine'!$AO24,WEEKDAY(Y$11,2))&lt;&gt;"Work","—",IF(COUNTIF(Settings!$F$18:$F$67,Y$11)&gt;0,"BH",IF('_Engine'!CS24+'_Engine'!CT24=0,"·",IF('_Engine'!CS24='_Engine'!CT24,INDEX(Settings!$G$7:$G$11,MOD('_Engine'!CS24,10))&amp;IF('_Engine'!CS24&gt;10,"?",""),IF('_Engine'!CS24=0,INDEX(Settings!$G$7:$G$11,MOD('_Engine'!CT24,10))&amp;IF('_Engine'!CT24&gt;10,"?","")&amp;" PM",IF('_Engine'!CT24=0,INDEX(Settings!$G$7:$G$11,MOD('_Engine'!CS24,10))&amp;IF('_Engine'!CS24&gt;10,"?","")&amp;" AM",INDEX(Settings!$G$7:$G$11,MOD('_Engine'!CS24,10))&amp;IF('_Engine'!CS24&gt;10,"?","")&amp;" AM"&amp;CHAR(10)&amp;INDEX(Settings!$G$7:$G$11,MOD('_Engine'!CT24,10))&amp;IF('_Engine'!CT24&gt;10,"?","")&amp;" PM"))))))))</ns0:f>
        <ns0:v/>
      </ns0:c>
      <ns0:c r="Z24" s="164" t="str">
        <ns0:f>IF(OR($A24="",Z$11=""),"",IF(OR('_Engine'!$B$6&gt;0,INDEX('_Engine'!$AM$11:$AM$60,'_Engine'!$AO24)&lt;&gt;"OK"),"!",IF(INDEX(Team!$H$11:$N$60,'_Engine'!$AO24,WEEKDAY(Z$11,2))&lt;&gt;"Work","—",IF(COUNTIF(Settings!$F$18:$F$67,Z$11)&gt;0,"BH",IF('_Engine'!CU24+'_Engine'!CV24=0,"·",IF('_Engine'!CU24='_Engine'!CV24,INDEX(Settings!$G$7:$G$11,MOD('_Engine'!CU24,10))&amp;IF('_Engine'!CU24&gt;10,"?",""),IF('_Engine'!CU24=0,INDEX(Settings!$G$7:$G$11,MOD('_Engine'!CV24,10))&amp;IF('_Engine'!CV24&gt;10,"?","")&amp;" PM",IF('_Engine'!CV24=0,INDEX(Settings!$G$7:$G$11,MOD('_Engine'!CU24,10))&amp;IF('_Engine'!CU24&gt;10,"?","")&amp;" AM",INDEX(Settings!$G$7:$G$11,MOD('_Engine'!CU24,10))&amp;IF('_Engine'!CU24&gt;10,"?","")&amp;" AM"&amp;CHAR(10)&amp;INDEX(Settings!$G$7:$G$11,MOD('_Engine'!CV24,10))&amp;IF('_Engine'!CV24&gt;10,"?","")&amp;" PM"))))))))</ns0:f>
        <ns0:v/>
      </ns0:c>
      <ns0:c r="AA24" s="164" t="str">
        <ns0:f>IF(OR($A24="",AA$11=""),"",IF(OR('_Engine'!$B$6&gt;0,INDEX('_Engine'!$AM$11:$AM$60,'_Engine'!$AO24)&lt;&gt;"OK"),"!",IF(INDEX(Team!$H$11:$N$60,'_Engine'!$AO24,WEEKDAY(AA$11,2))&lt;&gt;"Work","—",IF(COUNTIF(Settings!$F$18:$F$67,AA$11)&gt;0,"BH",IF('_Engine'!CW24+'_Engine'!CX24=0,"·",IF('_Engine'!CW24='_Engine'!CX24,INDEX(Settings!$G$7:$G$11,MOD('_Engine'!CW24,10))&amp;IF('_Engine'!CW24&gt;10,"?",""),IF('_Engine'!CW24=0,INDEX(Settings!$G$7:$G$11,MOD('_Engine'!CX24,10))&amp;IF('_Engine'!CX24&gt;10,"?","")&amp;" PM",IF('_Engine'!CX24=0,INDEX(Settings!$G$7:$G$11,MOD('_Engine'!CW24,10))&amp;IF('_Engine'!CW24&gt;10,"?","")&amp;" AM",INDEX(Settings!$G$7:$G$11,MOD('_Engine'!CW24,10))&amp;IF('_Engine'!CW24&gt;10,"?","")&amp;" AM"&amp;CHAR(10)&amp;INDEX(Settings!$G$7:$G$11,MOD('_Engine'!CX24,10))&amp;IF('_Engine'!CX24&gt;10,"?","")&amp;" PM"))))))))</ns0:f>
        <ns0:v/>
      </ns0:c>
      <ns0:c r="AB24" s="164" t="str">
        <ns0:f>IF(OR($A24="",AB$11=""),"",IF(OR('_Engine'!$B$6&gt;0,INDEX('_Engine'!$AM$11:$AM$60,'_Engine'!$AO24)&lt;&gt;"OK"),"!",IF(INDEX(Team!$H$11:$N$60,'_Engine'!$AO24,WEEKDAY(AB$11,2))&lt;&gt;"Work","—",IF(COUNTIF(Settings!$F$18:$F$67,AB$11)&gt;0,"BH",IF('_Engine'!CY24+'_Engine'!CZ24=0,"·",IF('_Engine'!CY24='_Engine'!CZ24,INDEX(Settings!$G$7:$G$11,MOD('_Engine'!CY24,10))&amp;IF('_Engine'!CY24&gt;10,"?",""),IF('_Engine'!CY24=0,INDEX(Settings!$G$7:$G$11,MOD('_Engine'!CZ24,10))&amp;IF('_Engine'!CZ24&gt;10,"?","")&amp;" PM",IF('_Engine'!CZ24=0,INDEX(Settings!$G$7:$G$11,MOD('_Engine'!CY24,10))&amp;IF('_Engine'!CY24&gt;10,"?","")&amp;" AM",INDEX(Settings!$G$7:$G$11,MOD('_Engine'!CY24,10))&amp;IF('_Engine'!CY24&gt;10,"?","")&amp;" AM"&amp;CHAR(10)&amp;INDEX(Settings!$G$7:$G$11,MOD('_Engine'!CZ24,10))&amp;IF('_Engine'!CZ24&gt;10,"?","")&amp;" PM"))))))))</ns0:f>
        <ns0:v/>
      </ns0:c>
      <ns0:c r="AC24" s="164" t="str">
        <ns0:f>IF(OR($A24="",AC$11=""),"",IF(OR('_Engine'!$B$6&gt;0,INDEX('_Engine'!$AM$11:$AM$60,'_Engine'!$AO24)&lt;&gt;"OK"),"!",IF(INDEX(Team!$H$11:$N$60,'_Engine'!$AO24,WEEKDAY(AC$11,2))&lt;&gt;"Work","—",IF(COUNTIF(Settings!$F$18:$F$67,AC$11)&gt;0,"BH",IF('_Engine'!DA24+'_Engine'!DB24=0,"·",IF('_Engine'!DA24='_Engine'!DB24,INDEX(Settings!$G$7:$G$11,MOD('_Engine'!DA24,10))&amp;IF('_Engine'!DA24&gt;10,"?",""),IF('_Engine'!DA24=0,INDEX(Settings!$G$7:$G$11,MOD('_Engine'!DB24,10))&amp;IF('_Engine'!DB24&gt;10,"?","")&amp;" PM",IF('_Engine'!DB24=0,INDEX(Settings!$G$7:$G$11,MOD('_Engine'!DA24,10))&amp;IF('_Engine'!DA24&gt;10,"?","")&amp;" AM",INDEX(Settings!$G$7:$G$11,MOD('_Engine'!DA24,10))&amp;IF('_Engine'!DA24&gt;10,"?","")&amp;" AM"&amp;CHAR(10)&amp;INDEX(Settings!$G$7:$G$11,MOD('_Engine'!DB24,10))&amp;IF('_Engine'!DB24&gt;10,"?","")&amp;" PM"))))))))</ns0:f>
        <ns0:v/>
      </ns0:c>
      <ns0:c r="AD24" s="164" t="str">
        <ns0:f>IF(OR($A24="",AD$11=""),"",IF(OR('_Engine'!$B$6&gt;0,INDEX('_Engine'!$AM$11:$AM$60,'_Engine'!$AO24)&lt;&gt;"OK"),"!",IF(INDEX(Team!$H$11:$N$60,'_Engine'!$AO24,WEEKDAY(AD$11,2))&lt;&gt;"Work","—",IF(COUNTIF(Settings!$F$18:$F$67,AD$11)&gt;0,"BH",IF('_Engine'!DC24+'_Engine'!DD24=0,"·",IF('_Engine'!DC24='_Engine'!DD24,INDEX(Settings!$G$7:$G$11,MOD('_Engine'!DC24,10))&amp;IF('_Engine'!DC24&gt;10,"?",""),IF('_Engine'!DC24=0,INDEX(Settings!$G$7:$G$11,MOD('_Engine'!DD24,10))&amp;IF('_Engine'!DD24&gt;10,"?","")&amp;" PM",IF('_Engine'!DD24=0,INDEX(Settings!$G$7:$G$11,MOD('_Engine'!DC24,10))&amp;IF('_Engine'!DC24&gt;10,"?","")&amp;" AM",INDEX(Settings!$G$7:$G$11,MOD('_Engine'!DC24,10))&amp;IF('_Engine'!DC24&gt;10,"?","")&amp;" AM"&amp;CHAR(10)&amp;INDEX(Settings!$G$7:$G$11,MOD('_Engine'!DD24,10))&amp;IF('_Engine'!DD24&gt;10,"?","")&amp;" PM"))))))))</ns0:f>
        <ns0:v/>
      </ns0:c>
      <ns0:c r="AE24" s="164" t="str">
        <ns0:f>IF(OR($A24="",AE$11=""),"",IF(OR('_Engine'!$B$6&gt;0,INDEX('_Engine'!$AM$11:$AM$60,'_Engine'!$AO24)&lt;&gt;"OK"),"!",IF(INDEX(Team!$H$11:$N$60,'_Engine'!$AO24,WEEKDAY(AE$11,2))&lt;&gt;"Work","—",IF(COUNTIF(Settings!$F$18:$F$67,AE$11)&gt;0,"BH",IF('_Engine'!DE24+'_Engine'!DF24=0,"·",IF('_Engine'!DE24='_Engine'!DF24,INDEX(Settings!$G$7:$G$11,MOD('_Engine'!DE24,10))&amp;IF('_Engine'!DE24&gt;10,"?",""),IF('_Engine'!DE24=0,INDEX(Settings!$G$7:$G$11,MOD('_Engine'!DF24,10))&amp;IF('_Engine'!DF24&gt;10,"?","")&amp;" PM",IF('_Engine'!DF24=0,INDEX(Settings!$G$7:$G$11,MOD('_Engine'!DE24,10))&amp;IF('_Engine'!DE24&gt;10,"?","")&amp;" AM",INDEX(Settings!$G$7:$G$11,MOD('_Engine'!DE24,10))&amp;IF('_Engine'!DE24&gt;10,"?","")&amp;" AM"&amp;CHAR(10)&amp;INDEX(Settings!$G$7:$G$11,MOD('_Engine'!DF24,10))&amp;IF('_Engine'!DF24&gt;10,"?","")&amp;" PM"))))))))</ns0:f>
        <ns0:v/>
      </ns0:c>
      <ns0:c r="AF24" s="164" t="str">
        <ns0:f>IF(OR($A24="",AF$11=""),"",IF(OR('_Engine'!$B$6&gt;0,INDEX('_Engine'!$AM$11:$AM$60,'_Engine'!$AO24)&lt;&gt;"OK"),"!",IF(INDEX(Team!$H$11:$N$60,'_Engine'!$AO24,WEEKDAY(AF$11,2))&lt;&gt;"Work","—",IF(COUNTIF(Settings!$F$18:$F$67,AF$11)&gt;0,"BH",IF('_Engine'!DG24+'_Engine'!DH24=0,"·",IF('_Engine'!DG24='_Engine'!DH24,INDEX(Settings!$G$7:$G$11,MOD('_Engine'!DG24,10))&amp;IF('_Engine'!DG24&gt;10,"?",""),IF('_Engine'!DG24=0,INDEX(Settings!$G$7:$G$11,MOD('_Engine'!DH24,10))&amp;IF('_Engine'!DH24&gt;10,"?","")&amp;" PM",IF('_Engine'!DH24=0,INDEX(Settings!$G$7:$G$11,MOD('_Engine'!DG24,10))&amp;IF('_Engine'!DG24&gt;10,"?","")&amp;" AM",INDEX(Settings!$G$7:$G$11,MOD('_Engine'!DG24,10))&amp;IF('_Engine'!DG24&gt;10,"?","")&amp;" AM"&amp;CHAR(10)&amp;INDEX(Settings!$G$7:$G$11,MOD('_Engine'!DH24,10))&amp;IF('_Engine'!DH24&gt;10,"?","")&amp;" PM"))))))))</ns0:f>
        <ns0:v/>
      </ns0:c>
      <ns0:c r="AG24" s="164" t="str">
        <ns0:f>IF(OR($A24="",AG$11=""),"",IF(OR('_Engine'!$B$6&gt;0,INDEX('_Engine'!$AM$11:$AM$60,'_Engine'!$AO24)&lt;&gt;"OK"),"!",IF(INDEX(Team!$H$11:$N$60,'_Engine'!$AO24,WEEKDAY(AG$11,2))&lt;&gt;"Work","—",IF(COUNTIF(Settings!$F$18:$F$67,AG$11)&gt;0,"BH",IF('_Engine'!DI24+'_Engine'!DJ24=0,"·",IF('_Engine'!DI24='_Engine'!DJ24,INDEX(Settings!$G$7:$G$11,MOD('_Engine'!DI24,10))&amp;IF('_Engine'!DI24&gt;10,"?",""),IF('_Engine'!DI24=0,INDEX(Settings!$G$7:$G$11,MOD('_Engine'!DJ24,10))&amp;IF('_Engine'!DJ24&gt;10,"?","")&amp;" PM",IF('_Engine'!DJ24=0,INDEX(Settings!$G$7:$G$11,MOD('_Engine'!DI24,10))&amp;IF('_Engine'!DI24&gt;10,"?","")&amp;" AM",INDEX(Settings!$G$7:$G$11,MOD('_Engine'!DI24,10))&amp;IF('_Engine'!DI24&gt;10,"?","")&amp;" AM"&amp;CHAR(10)&amp;INDEX(Settings!$G$7:$G$11,MOD('_Engine'!DJ24,10))&amp;IF('_Engine'!DJ24&gt;10,"?","")&amp;" PM"))))))))</ns0:f>
        <ns0:v/>
      </ns0:c>
      <ns0:c r="AH24" s="164" t="str">
        <ns0:f>IF(OR($A24="",AH$11=""),"",IF(OR('_Engine'!$B$6&gt;0,INDEX('_Engine'!$AM$11:$AM$60,'_Engine'!$AO24)&lt;&gt;"OK"),"!",IF(INDEX(Team!$H$11:$N$60,'_Engine'!$AO24,WEEKDAY(AH$11,2))&lt;&gt;"Work","—",IF(COUNTIF(Settings!$F$18:$F$67,AH$11)&gt;0,"BH",IF('_Engine'!DK24+'_Engine'!DL24=0,"·",IF('_Engine'!DK24='_Engine'!DL24,INDEX(Settings!$G$7:$G$11,MOD('_Engine'!DK24,10))&amp;IF('_Engine'!DK24&gt;10,"?",""),IF('_Engine'!DK24=0,INDEX(Settings!$G$7:$G$11,MOD('_Engine'!DL24,10))&amp;IF('_Engine'!DL24&gt;10,"?","")&amp;" PM",IF('_Engine'!DL24=0,INDEX(Settings!$G$7:$G$11,MOD('_Engine'!DK24,10))&amp;IF('_Engine'!DK24&gt;10,"?","")&amp;" AM",INDEX(Settings!$G$7:$G$11,MOD('_Engine'!DK24,10))&amp;IF('_Engine'!DK24&gt;10,"?","")&amp;" AM"&amp;CHAR(10)&amp;INDEX(Settings!$G$7:$G$11,MOD('_Engine'!DL24,10))&amp;IF('_Engine'!DL24&gt;10,"?","")&amp;" PM"))))))))</ns0:f>
        <ns0:v/>
      </ns0:c>
    </ns0:row>
    <ns0:row r="25" ht="38" customHeight="1">
      <ns0:c r="A25" s="4" t="str">
        <ns0:f>IF('_Engine'!AO25=0,"",IF(INDEX(Team!$B$11:$B$60,'_Engine'!AO25)="","[Unnamed]",INDEX(Team!$B$11:$B$60,'_Engine'!AO25)))</ns0:f>
        <ns0:v/>
      </ns0:c>
      <ns0:c r="B25" s="156" t="str">
        <ns0:f>IF('_Engine'!AO25=0,"",INDEX('_Engine'!$AN$11:$AN$60,'_Engine'!AO25))</ns0:f>
        <ns0:v/>
      </ns0:c>
      <ns0:c r="C25" s="4" t="str">
        <ns0:f>IF('_Engine'!AO25=0,"",INDEX(Team!$C$11:$C$60,'_Engine'!AO25))</ns0:f>
        <ns0:v/>
      </ns0:c>
      <ns0:c r="D25" s="162" t="str">
        <ns0:f>IF(OR($A25="",D$11=""),"",IF(OR('_Engine'!$B$6&gt;0,INDEX('_Engine'!$AM$11:$AM$60,'_Engine'!$AO25)&lt;&gt;"OK"),"!",IF(INDEX(Team!$H$11:$N$60,'_Engine'!$AO25,WEEKDAY(D$11,2))&lt;&gt;"Work","—",IF(COUNTIF(Settings!$F$18:$F$67,D$11)&gt;0,"BH",IF('_Engine'!BC25+'_Engine'!BD25=0,"·",IF('_Engine'!BC25='_Engine'!BD25,INDEX(Settings!$G$7:$G$11,MOD('_Engine'!BC25,10))&amp;IF('_Engine'!BC25&gt;10,"?",""),IF('_Engine'!BC25=0,INDEX(Settings!$G$7:$G$11,MOD('_Engine'!BD25,10))&amp;IF('_Engine'!BD25&gt;10,"?","")&amp;" PM",IF('_Engine'!BD25=0,INDEX(Settings!$G$7:$G$11,MOD('_Engine'!BC25,10))&amp;IF('_Engine'!BC25&gt;10,"?","")&amp;" AM",INDEX(Settings!$G$7:$G$11,MOD('_Engine'!BC25,10))&amp;IF('_Engine'!BC25&gt;10,"?","")&amp;" AM"&amp;CHAR(10)&amp;INDEX(Settings!$G$7:$G$11,MOD('_Engine'!BD25,10))&amp;IF('_Engine'!BD25&gt;10,"?","")&amp;" PM"))))))))</ns0:f>
        <ns0:v/>
      </ns0:c>
      <ns0:c r="E25" s="162" t="str">
        <ns0:f>IF(OR($A25="",E$11=""),"",IF(OR('_Engine'!$B$6&gt;0,INDEX('_Engine'!$AM$11:$AM$60,'_Engine'!$AO25)&lt;&gt;"OK"),"!",IF(INDEX(Team!$H$11:$N$60,'_Engine'!$AO25,WEEKDAY(E$11,2))&lt;&gt;"Work","—",IF(COUNTIF(Settings!$F$18:$F$67,E$11)&gt;0,"BH",IF('_Engine'!BE25+'_Engine'!BF25=0,"·",IF('_Engine'!BE25='_Engine'!BF25,INDEX(Settings!$G$7:$G$11,MOD('_Engine'!BE25,10))&amp;IF('_Engine'!BE25&gt;10,"?",""),IF('_Engine'!BE25=0,INDEX(Settings!$G$7:$G$11,MOD('_Engine'!BF25,10))&amp;IF('_Engine'!BF25&gt;10,"?","")&amp;" PM",IF('_Engine'!BF25=0,INDEX(Settings!$G$7:$G$11,MOD('_Engine'!BE25,10))&amp;IF('_Engine'!BE25&gt;10,"?","")&amp;" AM",INDEX(Settings!$G$7:$G$11,MOD('_Engine'!BE25,10))&amp;IF('_Engine'!BE25&gt;10,"?","")&amp;" AM"&amp;CHAR(10)&amp;INDEX(Settings!$G$7:$G$11,MOD('_Engine'!BF25,10))&amp;IF('_Engine'!BF25&gt;10,"?","")&amp;" PM"))))))))</ns0:f>
        <ns0:v/>
      </ns0:c>
      <ns0:c r="F25" s="162" t="str">
        <ns0:f>IF(OR($A25="",F$11=""),"",IF(OR('_Engine'!$B$6&gt;0,INDEX('_Engine'!$AM$11:$AM$60,'_Engine'!$AO25)&lt;&gt;"OK"),"!",IF(INDEX(Team!$H$11:$N$60,'_Engine'!$AO25,WEEKDAY(F$11,2))&lt;&gt;"Work","—",IF(COUNTIF(Settings!$F$18:$F$67,F$11)&gt;0,"BH",IF('_Engine'!BG25+'_Engine'!BH25=0,"·",IF('_Engine'!BG25='_Engine'!BH25,INDEX(Settings!$G$7:$G$11,MOD('_Engine'!BG25,10))&amp;IF('_Engine'!BG25&gt;10,"?",""),IF('_Engine'!BG25=0,INDEX(Settings!$G$7:$G$11,MOD('_Engine'!BH25,10))&amp;IF('_Engine'!BH25&gt;10,"?","")&amp;" PM",IF('_Engine'!BH25=0,INDEX(Settings!$G$7:$G$11,MOD('_Engine'!BG25,10))&amp;IF('_Engine'!BG25&gt;10,"?","")&amp;" AM",INDEX(Settings!$G$7:$G$11,MOD('_Engine'!BG25,10))&amp;IF('_Engine'!BG25&gt;10,"?","")&amp;" AM"&amp;CHAR(10)&amp;INDEX(Settings!$G$7:$G$11,MOD('_Engine'!BH25,10))&amp;IF('_Engine'!BH25&gt;10,"?","")&amp;" PM"))))))))</ns0:f>
        <ns0:v/>
      </ns0:c>
      <ns0:c r="G25" s="162" t="str">
        <ns0:f>IF(OR($A25="",G$11=""),"",IF(OR('_Engine'!$B$6&gt;0,INDEX('_Engine'!$AM$11:$AM$60,'_Engine'!$AO25)&lt;&gt;"OK"),"!",IF(INDEX(Team!$H$11:$N$60,'_Engine'!$AO25,WEEKDAY(G$11,2))&lt;&gt;"Work","—",IF(COUNTIF(Settings!$F$18:$F$67,G$11)&gt;0,"BH",IF('_Engine'!BI25+'_Engine'!BJ25=0,"·",IF('_Engine'!BI25='_Engine'!BJ25,INDEX(Settings!$G$7:$G$11,MOD('_Engine'!BI25,10))&amp;IF('_Engine'!BI25&gt;10,"?",""),IF('_Engine'!BI25=0,INDEX(Settings!$G$7:$G$11,MOD('_Engine'!BJ25,10))&amp;IF('_Engine'!BJ25&gt;10,"?","")&amp;" PM",IF('_Engine'!BJ25=0,INDEX(Settings!$G$7:$G$11,MOD('_Engine'!BI25,10))&amp;IF('_Engine'!BI25&gt;10,"?","")&amp;" AM",INDEX(Settings!$G$7:$G$11,MOD('_Engine'!BI25,10))&amp;IF('_Engine'!BI25&gt;10,"?","")&amp;" AM"&amp;CHAR(10)&amp;INDEX(Settings!$G$7:$G$11,MOD('_Engine'!BJ25,10))&amp;IF('_Engine'!BJ25&gt;10,"?","")&amp;" PM"))))))))</ns0:f>
        <ns0:v/>
      </ns0:c>
      <ns0:c r="H25" s="162" t="str">
        <ns0:f>IF(OR($A25="",H$11=""),"",IF(OR('_Engine'!$B$6&gt;0,INDEX('_Engine'!$AM$11:$AM$60,'_Engine'!$AO25)&lt;&gt;"OK"),"!",IF(INDEX(Team!$H$11:$N$60,'_Engine'!$AO25,WEEKDAY(H$11,2))&lt;&gt;"Work","—",IF(COUNTIF(Settings!$F$18:$F$67,H$11)&gt;0,"BH",IF('_Engine'!BK25+'_Engine'!BL25=0,"·",IF('_Engine'!BK25='_Engine'!BL25,INDEX(Settings!$G$7:$G$11,MOD('_Engine'!BK25,10))&amp;IF('_Engine'!BK25&gt;10,"?",""),IF('_Engine'!BK25=0,INDEX(Settings!$G$7:$G$11,MOD('_Engine'!BL25,10))&amp;IF('_Engine'!BL25&gt;10,"?","")&amp;" PM",IF('_Engine'!BL25=0,INDEX(Settings!$G$7:$G$11,MOD('_Engine'!BK25,10))&amp;IF('_Engine'!BK25&gt;10,"?","")&amp;" AM",INDEX(Settings!$G$7:$G$11,MOD('_Engine'!BK25,10))&amp;IF('_Engine'!BK25&gt;10,"?","")&amp;" AM"&amp;CHAR(10)&amp;INDEX(Settings!$G$7:$G$11,MOD('_Engine'!BL25,10))&amp;IF('_Engine'!BL25&gt;10,"?","")&amp;" PM"))))))))</ns0:f>
        <ns0:v/>
      </ns0:c>
      <ns0:c r="I25" s="162" t="str">
        <ns0:f>IF(OR($A25="",I$11=""),"",IF(OR('_Engine'!$B$6&gt;0,INDEX('_Engine'!$AM$11:$AM$60,'_Engine'!$AO25)&lt;&gt;"OK"),"!",IF(INDEX(Team!$H$11:$N$60,'_Engine'!$AO25,WEEKDAY(I$11,2))&lt;&gt;"Work","—",IF(COUNTIF(Settings!$F$18:$F$67,I$11)&gt;0,"BH",IF('_Engine'!BM25+'_Engine'!BN25=0,"·",IF('_Engine'!BM25='_Engine'!BN25,INDEX(Settings!$G$7:$G$11,MOD('_Engine'!BM25,10))&amp;IF('_Engine'!BM25&gt;10,"?",""),IF('_Engine'!BM25=0,INDEX(Settings!$G$7:$G$11,MOD('_Engine'!BN25,10))&amp;IF('_Engine'!BN25&gt;10,"?","")&amp;" PM",IF('_Engine'!BN25=0,INDEX(Settings!$G$7:$G$11,MOD('_Engine'!BM25,10))&amp;IF('_Engine'!BM25&gt;10,"?","")&amp;" AM",INDEX(Settings!$G$7:$G$11,MOD('_Engine'!BM25,10))&amp;IF('_Engine'!BM25&gt;10,"?","")&amp;" AM"&amp;CHAR(10)&amp;INDEX(Settings!$G$7:$G$11,MOD('_Engine'!BN25,10))&amp;IF('_Engine'!BN25&gt;10,"?","")&amp;" PM"))))))))</ns0:f>
        <ns0:v/>
      </ns0:c>
      <ns0:c r="J25" s="162" t="str">
        <ns0:f>IF(OR($A25="",J$11=""),"",IF(OR('_Engine'!$B$6&gt;0,INDEX('_Engine'!$AM$11:$AM$60,'_Engine'!$AO25)&lt;&gt;"OK"),"!",IF(INDEX(Team!$H$11:$N$60,'_Engine'!$AO25,WEEKDAY(J$11,2))&lt;&gt;"Work","—",IF(COUNTIF(Settings!$F$18:$F$67,J$11)&gt;0,"BH",IF('_Engine'!BO25+'_Engine'!BP25=0,"·",IF('_Engine'!BO25='_Engine'!BP25,INDEX(Settings!$G$7:$G$11,MOD('_Engine'!BO25,10))&amp;IF('_Engine'!BO25&gt;10,"?",""),IF('_Engine'!BO25=0,INDEX(Settings!$G$7:$G$11,MOD('_Engine'!BP25,10))&amp;IF('_Engine'!BP25&gt;10,"?","")&amp;" PM",IF('_Engine'!BP25=0,INDEX(Settings!$G$7:$G$11,MOD('_Engine'!BO25,10))&amp;IF('_Engine'!BO25&gt;10,"?","")&amp;" AM",INDEX(Settings!$G$7:$G$11,MOD('_Engine'!BO25,10))&amp;IF('_Engine'!BO25&gt;10,"?","")&amp;" AM"&amp;CHAR(10)&amp;INDEX(Settings!$G$7:$G$11,MOD('_Engine'!BP25,10))&amp;IF('_Engine'!BP25&gt;10,"?","")&amp;" PM"))))))))</ns0:f>
        <ns0:v/>
      </ns0:c>
      <ns0:c r="K25" s="164" t="str">
        <ns0:f>IF(OR($A25="",K$11=""),"",IF(OR('_Engine'!$B$6&gt;0,INDEX('_Engine'!$AM$11:$AM$60,'_Engine'!$AO25)&lt;&gt;"OK"),"!",IF(INDEX(Team!$H$11:$N$60,'_Engine'!$AO25,WEEKDAY(K$11,2))&lt;&gt;"Work","—",IF(COUNTIF(Settings!$F$18:$F$67,K$11)&gt;0,"BH",IF('_Engine'!BQ25+'_Engine'!BR25=0,"·",IF('_Engine'!BQ25='_Engine'!BR25,INDEX(Settings!$G$7:$G$11,MOD('_Engine'!BQ25,10))&amp;IF('_Engine'!BQ25&gt;10,"?",""),IF('_Engine'!BQ25=0,INDEX(Settings!$G$7:$G$11,MOD('_Engine'!BR25,10))&amp;IF('_Engine'!BR25&gt;10,"?","")&amp;" PM",IF('_Engine'!BR25=0,INDEX(Settings!$G$7:$G$11,MOD('_Engine'!BQ25,10))&amp;IF('_Engine'!BQ25&gt;10,"?","")&amp;" AM",INDEX(Settings!$G$7:$G$11,MOD('_Engine'!BQ25,10))&amp;IF('_Engine'!BQ25&gt;10,"?","")&amp;" AM"&amp;CHAR(10)&amp;INDEX(Settings!$G$7:$G$11,MOD('_Engine'!BR25,10))&amp;IF('_Engine'!BR25&gt;10,"?","")&amp;" PM"))))))))</ns0:f>
        <ns0:v/>
      </ns0:c>
      <ns0:c r="L25" s="164" t="str">
        <ns0:f>IF(OR($A25="",L$11=""),"",IF(OR('_Engine'!$B$6&gt;0,INDEX('_Engine'!$AM$11:$AM$60,'_Engine'!$AO25)&lt;&gt;"OK"),"!",IF(INDEX(Team!$H$11:$N$60,'_Engine'!$AO25,WEEKDAY(L$11,2))&lt;&gt;"Work","—",IF(COUNTIF(Settings!$F$18:$F$67,L$11)&gt;0,"BH",IF('_Engine'!BS25+'_Engine'!BT25=0,"·",IF('_Engine'!BS25='_Engine'!BT25,INDEX(Settings!$G$7:$G$11,MOD('_Engine'!BS25,10))&amp;IF('_Engine'!BS25&gt;10,"?",""),IF('_Engine'!BS25=0,INDEX(Settings!$G$7:$G$11,MOD('_Engine'!BT25,10))&amp;IF('_Engine'!BT25&gt;10,"?","")&amp;" PM",IF('_Engine'!BT25=0,INDEX(Settings!$G$7:$G$11,MOD('_Engine'!BS25,10))&amp;IF('_Engine'!BS25&gt;10,"?","")&amp;" AM",INDEX(Settings!$G$7:$G$11,MOD('_Engine'!BS25,10))&amp;IF('_Engine'!BS25&gt;10,"?","")&amp;" AM"&amp;CHAR(10)&amp;INDEX(Settings!$G$7:$G$11,MOD('_Engine'!BT25,10))&amp;IF('_Engine'!BT25&gt;10,"?","")&amp;" PM"))))))))</ns0:f>
        <ns0:v/>
      </ns0:c>
      <ns0:c r="M25" s="164" t="str">
        <ns0:f>IF(OR($A25="",M$11=""),"",IF(OR('_Engine'!$B$6&gt;0,INDEX('_Engine'!$AM$11:$AM$60,'_Engine'!$AO25)&lt;&gt;"OK"),"!",IF(INDEX(Team!$H$11:$N$60,'_Engine'!$AO25,WEEKDAY(M$11,2))&lt;&gt;"Work","—",IF(COUNTIF(Settings!$F$18:$F$67,M$11)&gt;0,"BH",IF('_Engine'!BU25+'_Engine'!BV25=0,"·",IF('_Engine'!BU25='_Engine'!BV25,INDEX(Settings!$G$7:$G$11,MOD('_Engine'!BU25,10))&amp;IF('_Engine'!BU25&gt;10,"?",""),IF('_Engine'!BU25=0,INDEX(Settings!$G$7:$G$11,MOD('_Engine'!BV25,10))&amp;IF('_Engine'!BV25&gt;10,"?","")&amp;" PM",IF('_Engine'!BV25=0,INDEX(Settings!$G$7:$G$11,MOD('_Engine'!BU25,10))&amp;IF('_Engine'!BU25&gt;10,"?","")&amp;" AM",INDEX(Settings!$G$7:$G$11,MOD('_Engine'!BU25,10))&amp;IF('_Engine'!BU25&gt;10,"?","")&amp;" AM"&amp;CHAR(10)&amp;INDEX(Settings!$G$7:$G$11,MOD('_Engine'!BV25,10))&amp;IF('_Engine'!BV25&gt;10,"?","")&amp;" PM"))))))))</ns0:f>
        <ns0:v/>
      </ns0:c>
      <ns0:c r="N25" s="164" t="str">
        <ns0:f>IF(OR($A25="",N$11=""),"",IF(OR('_Engine'!$B$6&gt;0,INDEX('_Engine'!$AM$11:$AM$60,'_Engine'!$AO25)&lt;&gt;"OK"),"!",IF(INDEX(Team!$H$11:$N$60,'_Engine'!$AO25,WEEKDAY(N$11,2))&lt;&gt;"Work","—",IF(COUNTIF(Settings!$F$18:$F$67,N$11)&gt;0,"BH",IF('_Engine'!BW25+'_Engine'!BX25=0,"·",IF('_Engine'!BW25='_Engine'!BX25,INDEX(Settings!$G$7:$G$11,MOD('_Engine'!BW25,10))&amp;IF('_Engine'!BW25&gt;10,"?",""),IF('_Engine'!BW25=0,INDEX(Settings!$G$7:$G$11,MOD('_Engine'!BX25,10))&amp;IF('_Engine'!BX25&gt;10,"?","")&amp;" PM",IF('_Engine'!BX25=0,INDEX(Settings!$G$7:$G$11,MOD('_Engine'!BW25,10))&amp;IF('_Engine'!BW25&gt;10,"?","")&amp;" AM",INDEX(Settings!$G$7:$G$11,MOD('_Engine'!BW25,10))&amp;IF('_Engine'!BW25&gt;10,"?","")&amp;" AM"&amp;CHAR(10)&amp;INDEX(Settings!$G$7:$G$11,MOD('_Engine'!BX25,10))&amp;IF('_Engine'!BX25&gt;10,"?","")&amp;" PM"))))))))</ns0:f>
        <ns0:v/>
      </ns0:c>
      <ns0:c r="O25" s="164" t="str">
        <ns0:f>IF(OR($A25="",O$11=""),"",IF(OR('_Engine'!$B$6&gt;0,INDEX('_Engine'!$AM$11:$AM$60,'_Engine'!$AO25)&lt;&gt;"OK"),"!",IF(INDEX(Team!$H$11:$N$60,'_Engine'!$AO25,WEEKDAY(O$11,2))&lt;&gt;"Work","—",IF(COUNTIF(Settings!$F$18:$F$67,O$11)&gt;0,"BH",IF('_Engine'!BY25+'_Engine'!BZ25=0,"·",IF('_Engine'!BY25='_Engine'!BZ25,INDEX(Settings!$G$7:$G$11,MOD('_Engine'!BY25,10))&amp;IF('_Engine'!BY25&gt;10,"?",""),IF('_Engine'!BY25=0,INDEX(Settings!$G$7:$G$11,MOD('_Engine'!BZ25,10))&amp;IF('_Engine'!BZ25&gt;10,"?","")&amp;" PM",IF('_Engine'!BZ25=0,INDEX(Settings!$G$7:$G$11,MOD('_Engine'!BY25,10))&amp;IF('_Engine'!BY25&gt;10,"?","")&amp;" AM",INDEX(Settings!$G$7:$G$11,MOD('_Engine'!BY25,10))&amp;IF('_Engine'!BY25&gt;10,"?","")&amp;" AM"&amp;CHAR(10)&amp;INDEX(Settings!$G$7:$G$11,MOD('_Engine'!BZ25,10))&amp;IF('_Engine'!BZ25&gt;10,"?","")&amp;" PM"))))))))</ns0:f>
        <ns0:v/>
      </ns0:c>
      <ns0:c r="P25" s="164" t="str">
        <ns0:f>IF(OR($A25="",P$11=""),"",IF(OR('_Engine'!$B$6&gt;0,INDEX('_Engine'!$AM$11:$AM$60,'_Engine'!$AO25)&lt;&gt;"OK"),"!",IF(INDEX(Team!$H$11:$N$60,'_Engine'!$AO25,WEEKDAY(P$11,2))&lt;&gt;"Work","—",IF(COUNTIF(Settings!$F$18:$F$67,P$11)&gt;0,"BH",IF('_Engine'!CA25+'_Engine'!CB25=0,"·",IF('_Engine'!CA25='_Engine'!CB25,INDEX(Settings!$G$7:$G$11,MOD('_Engine'!CA25,10))&amp;IF('_Engine'!CA25&gt;10,"?",""),IF('_Engine'!CA25=0,INDEX(Settings!$G$7:$G$11,MOD('_Engine'!CB25,10))&amp;IF('_Engine'!CB25&gt;10,"?","")&amp;" PM",IF('_Engine'!CB25=0,INDEX(Settings!$G$7:$G$11,MOD('_Engine'!CA25,10))&amp;IF('_Engine'!CA25&gt;10,"?","")&amp;" AM",INDEX(Settings!$G$7:$G$11,MOD('_Engine'!CA25,10))&amp;IF('_Engine'!CA25&gt;10,"?","")&amp;" AM"&amp;CHAR(10)&amp;INDEX(Settings!$G$7:$G$11,MOD('_Engine'!CB25,10))&amp;IF('_Engine'!CB25&gt;10,"?","")&amp;" PM"))))))))</ns0:f>
        <ns0:v/>
      </ns0:c>
      <ns0:c r="Q25" s="164" t="str">
        <ns0:f>IF(OR($A25="",Q$11=""),"",IF(OR('_Engine'!$B$6&gt;0,INDEX('_Engine'!$AM$11:$AM$60,'_Engine'!$AO25)&lt;&gt;"OK"),"!",IF(INDEX(Team!$H$11:$N$60,'_Engine'!$AO25,WEEKDAY(Q$11,2))&lt;&gt;"Work","—",IF(COUNTIF(Settings!$F$18:$F$67,Q$11)&gt;0,"BH",IF('_Engine'!CC25+'_Engine'!CD25=0,"·",IF('_Engine'!CC25='_Engine'!CD25,INDEX(Settings!$G$7:$G$11,MOD('_Engine'!CC25,10))&amp;IF('_Engine'!CC25&gt;10,"?",""),IF('_Engine'!CC25=0,INDEX(Settings!$G$7:$G$11,MOD('_Engine'!CD25,10))&amp;IF('_Engine'!CD25&gt;10,"?","")&amp;" PM",IF('_Engine'!CD25=0,INDEX(Settings!$G$7:$G$11,MOD('_Engine'!CC25,10))&amp;IF('_Engine'!CC25&gt;10,"?","")&amp;" AM",INDEX(Settings!$G$7:$G$11,MOD('_Engine'!CC25,10))&amp;IF('_Engine'!CC25&gt;10,"?","")&amp;" AM"&amp;CHAR(10)&amp;INDEX(Settings!$G$7:$G$11,MOD('_Engine'!CD25,10))&amp;IF('_Engine'!CD25&gt;10,"?","")&amp;" PM"))))))))</ns0:f>
        <ns0:v/>
      </ns0:c>
      <ns0:c r="R25" s="164" t="str">
        <ns0:f>IF(OR($A25="",R$11=""),"",IF(OR('_Engine'!$B$6&gt;0,INDEX('_Engine'!$AM$11:$AM$60,'_Engine'!$AO25)&lt;&gt;"OK"),"!",IF(INDEX(Team!$H$11:$N$60,'_Engine'!$AO25,WEEKDAY(R$11,2))&lt;&gt;"Work","—",IF(COUNTIF(Settings!$F$18:$F$67,R$11)&gt;0,"BH",IF('_Engine'!CE25+'_Engine'!CF25=0,"·",IF('_Engine'!CE25='_Engine'!CF25,INDEX(Settings!$G$7:$G$11,MOD('_Engine'!CE25,10))&amp;IF('_Engine'!CE25&gt;10,"?",""),IF('_Engine'!CE25=0,INDEX(Settings!$G$7:$G$11,MOD('_Engine'!CF25,10))&amp;IF('_Engine'!CF25&gt;10,"?","")&amp;" PM",IF('_Engine'!CF25=0,INDEX(Settings!$G$7:$G$11,MOD('_Engine'!CE25,10))&amp;IF('_Engine'!CE25&gt;10,"?","")&amp;" AM",INDEX(Settings!$G$7:$G$11,MOD('_Engine'!CE25,10))&amp;IF('_Engine'!CE25&gt;10,"?","")&amp;" AM"&amp;CHAR(10)&amp;INDEX(Settings!$G$7:$G$11,MOD('_Engine'!CF25,10))&amp;IF('_Engine'!CF25&gt;10,"?","")&amp;" PM"))))))))</ns0:f>
        <ns0:v/>
      </ns0:c>
      <ns0:c r="S25" s="164" t="str">
        <ns0:f>IF(OR($A25="",S$11=""),"",IF(OR('_Engine'!$B$6&gt;0,INDEX('_Engine'!$AM$11:$AM$60,'_Engine'!$AO25)&lt;&gt;"OK"),"!",IF(INDEX(Team!$H$11:$N$60,'_Engine'!$AO25,WEEKDAY(S$11,2))&lt;&gt;"Work","—",IF(COUNTIF(Settings!$F$18:$F$67,S$11)&gt;0,"BH",IF('_Engine'!CG25+'_Engine'!CH25=0,"·",IF('_Engine'!CG25='_Engine'!CH25,INDEX(Settings!$G$7:$G$11,MOD('_Engine'!CG25,10))&amp;IF('_Engine'!CG25&gt;10,"?",""),IF('_Engine'!CG25=0,INDEX(Settings!$G$7:$G$11,MOD('_Engine'!CH25,10))&amp;IF('_Engine'!CH25&gt;10,"?","")&amp;" PM",IF('_Engine'!CH25=0,INDEX(Settings!$G$7:$G$11,MOD('_Engine'!CG25,10))&amp;IF('_Engine'!CG25&gt;10,"?","")&amp;" AM",INDEX(Settings!$G$7:$G$11,MOD('_Engine'!CG25,10))&amp;IF('_Engine'!CG25&gt;10,"?","")&amp;" AM"&amp;CHAR(10)&amp;INDEX(Settings!$G$7:$G$11,MOD('_Engine'!CH25,10))&amp;IF('_Engine'!CH25&gt;10,"?","")&amp;" PM"))))))))</ns0:f>
        <ns0:v/>
      </ns0:c>
      <ns0:c r="T25" s="164" t="str">
        <ns0:f>IF(OR($A25="",T$11=""),"",IF(OR('_Engine'!$B$6&gt;0,INDEX('_Engine'!$AM$11:$AM$60,'_Engine'!$AO25)&lt;&gt;"OK"),"!",IF(INDEX(Team!$H$11:$N$60,'_Engine'!$AO25,WEEKDAY(T$11,2))&lt;&gt;"Work","—",IF(COUNTIF(Settings!$F$18:$F$67,T$11)&gt;0,"BH",IF('_Engine'!CI25+'_Engine'!CJ25=0,"·",IF('_Engine'!CI25='_Engine'!CJ25,INDEX(Settings!$G$7:$G$11,MOD('_Engine'!CI25,10))&amp;IF('_Engine'!CI25&gt;10,"?",""),IF('_Engine'!CI25=0,INDEX(Settings!$G$7:$G$11,MOD('_Engine'!CJ25,10))&amp;IF('_Engine'!CJ25&gt;10,"?","")&amp;" PM",IF('_Engine'!CJ25=0,INDEX(Settings!$G$7:$G$11,MOD('_Engine'!CI25,10))&amp;IF('_Engine'!CI25&gt;10,"?","")&amp;" AM",INDEX(Settings!$G$7:$G$11,MOD('_Engine'!CI25,10))&amp;IF('_Engine'!CI25&gt;10,"?","")&amp;" AM"&amp;CHAR(10)&amp;INDEX(Settings!$G$7:$G$11,MOD('_Engine'!CJ25,10))&amp;IF('_Engine'!CJ25&gt;10,"?","")&amp;" PM"))))))))</ns0:f>
        <ns0:v/>
      </ns0:c>
      <ns0:c r="U25" s="164" t="str">
        <ns0:f>IF(OR($A25="",U$11=""),"",IF(OR('_Engine'!$B$6&gt;0,INDEX('_Engine'!$AM$11:$AM$60,'_Engine'!$AO25)&lt;&gt;"OK"),"!",IF(INDEX(Team!$H$11:$N$60,'_Engine'!$AO25,WEEKDAY(U$11,2))&lt;&gt;"Work","—",IF(COUNTIF(Settings!$F$18:$F$67,U$11)&gt;0,"BH",IF('_Engine'!CK25+'_Engine'!CL25=0,"·",IF('_Engine'!CK25='_Engine'!CL25,INDEX(Settings!$G$7:$G$11,MOD('_Engine'!CK25,10))&amp;IF('_Engine'!CK25&gt;10,"?",""),IF('_Engine'!CK25=0,INDEX(Settings!$G$7:$G$11,MOD('_Engine'!CL25,10))&amp;IF('_Engine'!CL25&gt;10,"?","")&amp;" PM",IF('_Engine'!CL25=0,INDEX(Settings!$G$7:$G$11,MOD('_Engine'!CK25,10))&amp;IF('_Engine'!CK25&gt;10,"?","")&amp;" AM",INDEX(Settings!$G$7:$G$11,MOD('_Engine'!CK25,10))&amp;IF('_Engine'!CK25&gt;10,"?","")&amp;" AM"&amp;CHAR(10)&amp;INDEX(Settings!$G$7:$G$11,MOD('_Engine'!CL25,10))&amp;IF('_Engine'!CL25&gt;10,"?","")&amp;" PM"))))))))</ns0:f>
        <ns0:v/>
      </ns0:c>
      <ns0:c r="V25" s="164" t="str">
        <ns0:f>IF(OR($A25="",V$11=""),"",IF(OR('_Engine'!$B$6&gt;0,INDEX('_Engine'!$AM$11:$AM$60,'_Engine'!$AO25)&lt;&gt;"OK"),"!",IF(INDEX(Team!$H$11:$N$60,'_Engine'!$AO25,WEEKDAY(V$11,2))&lt;&gt;"Work","—",IF(COUNTIF(Settings!$F$18:$F$67,V$11)&gt;0,"BH",IF('_Engine'!CM25+'_Engine'!CN25=0,"·",IF('_Engine'!CM25='_Engine'!CN25,INDEX(Settings!$G$7:$G$11,MOD('_Engine'!CM25,10))&amp;IF('_Engine'!CM25&gt;10,"?",""),IF('_Engine'!CM25=0,INDEX(Settings!$G$7:$G$11,MOD('_Engine'!CN25,10))&amp;IF('_Engine'!CN25&gt;10,"?","")&amp;" PM",IF('_Engine'!CN25=0,INDEX(Settings!$G$7:$G$11,MOD('_Engine'!CM25,10))&amp;IF('_Engine'!CM25&gt;10,"?","")&amp;" AM",INDEX(Settings!$G$7:$G$11,MOD('_Engine'!CM25,10))&amp;IF('_Engine'!CM25&gt;10,"?","")&amp;" AM"&amp;CHAR(10)&amp;INDEX(Settings!$G$7:$G$11,MOD('_Engine'!CN25,10))&amp;IF('_Engine'!CN25&gt;10,"?","")&amp;" PM"))))))))</ns0:f>
        <ns0:v/>
      </ns0:c>
      <ns0:c r="W25" s="164" t="str">
        <ns0:f>IF(OR($A25="",W$11=""),"",IF(OR('_Engine'!$B$6&gt;0,INDEX('_Engine'!$AM$11:$AM$60,'_Engine'!$AO25)&lt;&gt;"OK"),"!",IF(INDEX(Team!$H$11:$N$60,'_Engine'!$AO25,WEEKDAY(W$11,2))&lt;&gt;"Work","—",IF(COUNTIF(Settings!$F$18:$F$67,W$11)&gt;0,"BH",IF('_Engine'!CO25+'_Engine'!CP25=0,"·",IF('_Engine'!CO25='_Engine'!CP25,INDEX(Settings!$G$7:$G$11,MOD('_Engine'!CO25,10))&amp;IF('_Engine'!CO25&gt;10,"?",""),IF('_Engine'!CO25=0,INDEX(Settings!$G$7:$G$11,MOD('_Engine'!CP25,10))&amp;IF('_Engine'!CP25&gt;10,"?","")&amp;" PM",IF('_Engine'!CP25=0,INDEX(Settings!$G$7:$G$11,MOD('_Engine'!CO25,10))&amp;IF('_Engine'!CO25&gt;10,"?","")&amp;" AM",INDEX(Settings!$G$7:$G$11,MOD('_Engine'!CO25,10))&amp;IF('_Engine'!CO25&gt;10,"?","")&amp;" AM"&amp;CHAR(10)&amp;INDEX(Settings!$G$7:$G$11,MOD('_Engine'!CP25,10))&amp;IF('_Engine'!CP25&gt;10,"?","")&amp;" PM"))))))))</ns0:f>
        <ns0:v/>
      </ns0:c>
      <ns0:c r="X25" s="164" t="str">
        <ns0:f>IF(OR($A25="",X$11=""),"",IF(OR('_Engine'!$B$6&gt;0,INDEX('_Engine'!$AM$11:$AM$60,'_Engine'!$AO25)&lt;&gt;"OK"),"!",IF(INDEX(Team!$H$11:$N$60,'_Engine'!$AO25,WEEKDAY(X$11,2))&lt;&gt;"Work","—",IF(COUNTIF(Settings!$F$18:$F$67,X$11)&gt;0,"BH",IF('_Engine'!CQ25+'_Engine'!CR25=0,"·",IF('_Engine'!CQ25='_Engine'!CR25,INDEX(Settings!$G$7:$G$11,MOD('_Engine'!CQ25,10))&amp;IF('_Engine'!CQ25&gt;10,"?",""),IF('_Engine'!CQ25=0,INDEX(Settings!$G$7:$G$11,MOD('_Engine'!CR25,10))&amp;IF('_Engine'!CR25&gt;10,"?","")&amp;" PM",IF('_Engine'!CR25=0,INDEX(Settings!$G$7:$G$11,MOD('_Engine'!CQ25,10))&amp;IF('_Engine'!CQ25&gt;10,"?","")&amp;" AM",INDEX(Settings!$G$7:$G$11,MOD('_Engine'!CQ25,10))&amp;IF('_Engine'!CQ25&gt;10,"?","")&amp;" AM"&amp;CHAR(10)&amp;INDEX(Settings!$G$7:$G$11,MOD('_Engine'!CR25,10))&amp;IF('_Engine'!CR25&gt;10,"?","")&amp;" PM"))))))))</ns0:f>
        <ns0:v/>
      </ns0:c>
      <ns0:c r="Y25" s="164" t="str">
        <ns0:f>IF(OR($A25="",Y$11=""),"",IF(OR('_Engine'!$B$6&gt;0,INDEX('_Engine'!$AM$11:$AM$60,'_Engine'!$AO25)&lt;&gt;"OK"),"!",IF(INDEX(Team!$H$11:$N$60,'_Engine'!$AO25,WEEKDAY(Y$11,2))&lt;&gt;"Work","—",IF(COUNTIF(Settings!$F$18:$F$67,Y$11)&gt;0,"BH",IF('_Engine'!CS25+'_Engine'!CT25=0,"·",IF('_Engine'!CS25='_Engine'!CT25,INDEX(Settings!$G$7:$G$11,MOD('_Engine'!CS25,10))&amp;IF('_Engine'!CS25&gt;10,"?",""),IF('_Engine'!CS25=0,INDEX(Settings!$G$7:$G$11,MOD('_Engine'!CT25,10))&amp;IF('_Engine'!CT25&gt;10,"?","")&amp;" PM",IF('_Engine'!CT25=0,INDEX(Settings!$G$7:$G$11,MOD('_Engine'!CS25,10))&amp;IF('_Engine'!CS25&gt;10,"?","")&amp;" AM",INDEX(Settings!$G$7:$G$11,MOD('_Engine'!CS25,10))&amp;IF('_Engine'!CS25&gt;10,"?","")&amp;" AM"&amp;CHAR(10)&amp;INDEX(Settings!$G$7:$G$11,MOD('_Engine'!CT25,10))&amp;IF('_Engine'!CT25&gt;10,"?","")&amp;" PM"))))))))</ns0:f>
        <ns0:v/>
      </ns0:c>
      <ns0:c r="Z25" s="164" t="str">
        <ns0:f>IF(OR($A25="",Z$11=""),"",IF(OR('_Engine'!$B$6&gt;0,INDEX('_Engine'!$AM$11:$AM$60,'_Engine'!$AO25)&lt;&gt;"OK"),"!",IF(INDEX(Team!$H$11:$N$60,'_Engine'!$AO25,WEEKDAY(Z$11,2))&lt;&gt;"Work","—",IF(COUNTIF(Settings!$F$18:$F$67,Z$11)&gt;0,"BH",IF('_Engine'!CU25+'_Engine'!CV25=0,"·",IF('_Engine'!CU25='_Engine'!CV25,INDEX(Settings!$G$7:$G$11,MOD('_Engine'!CU25,10))&amp;IF('_Engine'!CU25&gt;10,"?",""),IF('_Engine'!CU25=0,INDEX(Settings!$G$7:$G$11,MOD('_Engine'!CV25,10))&amp;IF('_Engine'!CV25&gt;10,"?","")&amp;" PM",IF('_Engine'!CV25=0,INDEX(Settings!$G$7:$G$11,MOD('_Engine'!CU25,10))&amp;IF('_Engine'!CU25&gt;10,"?","")&amp;" AM",INDEX(Settings!$G$7:$G$11,MOD('_Engine'!CU25,10))&amp;IF('_Engine'!CU25&gt;10,"?","")&amp;" AM"&amp;CHAR(10)&amp;INDEX(Settings!$G$7:$G$11,MOD('_Engine'!CV25,10))&amp;IF('_Engine'!CV25&gt;10,"?","")&amp;" PM"))))))))</ns0:f>
        <ns0:v/>
      </ns0:c>
      <ns0:c r="AA25" s="164" t="str">
        <ns0:f>IF(OR($A25="",AA$11=""),"",IF(OR('_Engine'!$B$6&gt;0,INDEX('_Engine'!$AM$11:$AM$60,'_Engine'!$AO25)&lt;&gt;"OK"),"!",IF(INDEX(Team!$H$11:$N$60,'_Engine'!$AO25,WEEKDAY(AA$11,2))&lt;&gt;"Work","—",IF(COUNTIF(Settings!$F$18:$F$67,AA$11)&gt;0,"BH",IF('_Engine'!CW25+'_Engine'!CX25=0,"·",IF('_Engine'!CW25='_Engine'!CX25,INDEX(Settings!$G$7:$G$11,MOD('_Engine'!CW25,10))&amp;IF('_Engine'!CW25&gt;10,"?",""),IF('_Engine'!CW25=0,INDEX(Settings!$G$7:$G$11,MOD('_Engine'!CX25,10))&amp;IF('_Engine'!CX25&gt;10,"?","")&amp;" PM",IF('_Engine'!CX25=0,INDEX(Settings!$G$7:$G$11,MOD('_Engine'!CW25,10))&amp;IF('_Engine'!CW25&gt;10,"?","")&amp;" AM",INDEX(Settings!$G$7:$G$11,MOD('_Engine'!CW25,10))&amp;IF('_Engine'!CW25&gt;10,"?","")&amp;" AM"&amp;CHAR(10)&amp;INDEX(Settings!$G$7:$G$11,MOD('_Engine'!CX25,10))&amp;IF('_Engine'!CX25&gt;10,"?","")&amp;" PM"))))))))</ns0:f>
        <ns0:v/>
      </ns0:c>
      <ns0:c r="AB25" s="164" t="str">
        <ns0:f>IF(OR($A25="",AB$11=""),"",IF(OR('_Engine'!$B$6&gt;0,INDEX('_Engine'!$AM$11:$AM$60,'_Engine'!$AO25)&lt;&gt;"OK"),"!",IF(INDEX(Team!$H$11:$N$60,'_Engine'!$AO25,WEEKDAY(AB$11,2))&lt;&gt;"Work","—",IF(COUNTIF(Settings!$F$18:$F$67,AB$11)&gt;0,"BH",IF('_Engine'!CY25+'_Engine'!CZ25=0,"·",IF('_Engine'!CY25='_Engine'!CZ25,INDEX(Settings!$G$7:$G$11,MOD('_Engine'!CY25,10))&amp;IF('_Engine'!CY25&gt;10,"?",""),IF('_Engine'!CY25=0,INDEX(Settings!$G$7:$G$11,MOD('_Engine'!CZ25,10))&amp;IF('_Engine'!CZ25&gt;10,"?","")&amp;" PM",IF('_Engine'!CZ25=0,INDEX(Settings!$G$7:$G$11,MOD('_Engine'!CY25,10))&amp;IF('_Engine'!CY25&gt;10,"?","")&amp;" AM",INDEX(Settings!$G$7:$G$11,MOD('_Engine'!CY25,10))&amp;IF('_Engine'!CY25&gt;10,"?","")&amp;" AM"&amp;CHAR(10)&amp;INDEX(Settings!$G$7:$G$11,MOD('_Engine'!CZ25,10))&amp;IF('_Engine'!CZ25&gt;10,"?","")&amp;" PM"))))))))</ns0:f>
        <ns0:v/>
      </ns0:c>
      <ns0:c r="AC25" s="164" t="str">
        <ns0:f>IF(OR($A25="",AC$11=""),"",IF(OR('_Engine'!$B$6&gt;0,INDEX('_Engine'!$AM$11:$AM$60,'_Engine'!$AO25)&lt;&gt;"OK"),"!",IF(INDEX(Team!$H$11:$N$60,'_Engine'!$AO25,WEEKDAY(AC$11,2))&lt;&gt;"Work","—",IF(COUNTIF(Settings!$F$18:$F$67,AC$11)&gt;0,"BH",IF('_Engine'!DA25+'_Engine'!DB25=0,"·",IF('_Engine'!DA25='_Engine'!DB25,INDEX(Settings!$G$7:$G$11,MOD('_Engine'!DA25,10))&amp;IF('_Engine'!DA25&gt;10,"?",""),IF('_Engine'!DA25=0,INDEX(Settings!$G$7:$G$11,MOD('_Engine'!DB25,10))&amp;IF('_Engine'!DB25&gt;10,"?","")&amp;" PM",IF('_Engine'!DB25=0,INDEX(Settings!$G$7:$G$11,MOD('_Engine'!DA25,10))&amp;IF('_Engine'!DA25&gt;10,"?","")&amp;" AM",INDEX(Settings!$G$7:$G$11,MOD('_Engine'!DA25,10))&amp;IF('_Engine'!DA25&gt;10,"?","")&amp;" AM"&amp;CHAR(10)&amp;INDEX(Settings!$G$7:$G$11,MOD('_Engine'!DB25,10))&amp;IF('_Engine'!DB25&gt;10,"?","")&amp;" PM"))))))))</ns0:f>
        <ns0:v/>
      </ns0:c>
      <ns0:c r="AD25" s="164" t="str">
        <ns0:f>IF(OR($A25="",AD$11=""),"",IF(OR('_Engine'!$B$6&gt;0,INDEX('_Engine'!$AM$11:$AM$60,'_Engine'!$AO25)&lt;&gt;"OK"),"!",IF(INDEX(Team!$H$11:$N$60,'_Engine'!$AO25,WEEKDAY(AD$11,2))&lt;&gt;"Work","—",IF(COUNTIF(Settings!$F$18:$F$67,AD$11)&gt;0,"BH",IF('_Engine'!DC25+'_Engine'!DD25=0,"·",IF('_Engine'!DC25='_Engine'!DD25,INDEX(Settings!$G$7:$G$11,MOD('_Engine'!DC25,10))&amp;IF('_Engine'!DC25&gt;10,"?",""),IF('_Engine'!DC25=0,INDEX(Settings!$G$7:$G$11,MOD('_Engine'!DD25,10))&amp;IF('_Engine'!DD25&gt;10,"?","")&amp;" PM",IF('_Engine'!DD25=0,INDEX(Settings!$G$7:$G$11,MOD('_Engine'!DC25,10))&amp;IF('_Engine'!DC25&gt;10,"?","")&amp;" AM",INDEX(Settings!$G$7:$G$11,MOD('_Engine'!DC25,10))&amp;IF('_Engine'!DC25&gt;10,"?","")&amp;" AM"&amp;CHAR(10)&amp;INDEX(Settings!$G$7:$G$11,MOD('_Engine'!DD25,10))&amp;IF('_Engine'!DD25&gt;10,"?","")&amp;" PM"))))))))</ns0:f>
        <ns0:v/>
      </ns0:c>
      <ns0:c r="AE25" s="164" t="str">
        <ns0:f>IF(OR($A25="",AE$11=""),"",IF(OR('_Engine'!$B$6&gt;0,INDEX('_Engine'!$AM$11:$AM$60,'_Engine'!$AO25)&lt;&gt;"OK"),"!",IF(INDEX(Team!$H$11:$N$60,'_Engine'!$AO25,WEEKDAY(AE$11,2))&lt;&gt;"Work","—",IF(COUNTIF(Settings!$F$18:$F$67,AE$11)&gt;0,"BH",IF('_Engine'!DE25+'_Engine'!DF25=0,"·",IF('_Engine'!DE25='_Engine'!DF25,INDEX(Settings!$G$7:$G$11,MOD('_Engine'!DE25,10))&amp;IF('_Engine'!DE25&gt;10,"?",""),IF('_Engine'!DE25=0,INDEX(Settings!$G$7:$G$11,MOD('_Engine'!DF25,10))&amp;IF('_Engine'!DF25&gt;10,"?","")&amp;" PM",IF('_Engine'!DF25=0,INDEX(Settings!$G$7:$G$11,MOD('_Engine'!DE25,10))&amp;IF('_Engine'!DE25&gt;10,"?","")&amp;" AM",INDEX(Settings!$G$7:$G$11,MOD('_Engine'!DE25,10))&amp;IF('_Engine'!DE25&gt;10,"?","")&amp;" AM"&amp;CHAR(10)&amp;INDEX(Settings!$G$7:$G$11,MOD('_Engine'!DF25,10))&amp;IF('_Engine'!DF25&gt;10,"?","")&amp;" PM"))))))))</ns0:f>
        <ns0:v/>
      </ns0:c>
      <ns0:c r="AF25" s="164" t="str">
        <ns0:f>IF(OR($A25="",AF$11=""),"",IF(OR('_Engine'!$B$6&gt;0,INDEX('_Engine'!$AM$11:$AM$60,'_Engine'!$AO25)&lt;&gt;"OK"),"!",IF(INDEX(Team!$H$11:$N$60,'_Engine'!$AO25,WEEKDAY(AF$11,2))&lt;&gt;"Work","—",IF(COUNTIF(Settings!$F$18:$F$67,AF$11)&gt;0,"BH",IF('_Engine'!DG25+'_Engine'!DH25=0,"·",IF('_Engine'!DG25='_Engine'!DH25,INDEX(Settings!$G$7:$G$11,MOD('_Engine'!DG25,10))&amp;IF('_Engine'!DG25&gt;10,"?",""),IF('_Engine'!DG25=0,INDEX(Settings!$G$7:$G$11,MOD('_Engine'!DH25,10))&amp;IF('_Engine'!DH25&gt;10,"?","")&amp;" PM",IF('_Engine'!DH25=0,INDEX(Settings!$G$7:$G$11,MOD('_Engine'!DG25,10))&amp;IF('_Engine'!DG25&gt;10,"?","")&amp;" AM",INDEX(Settings!$G$7:$G$11,MOD('_Engine'!DG25,10))&amp;IF('_Engine'!DG25&gt;10,"?","")&amp;" AM"&amp;CHAR(10)&amp;INDEX(Settings!$G$7:$G$11,MOD('_Engine'!DH25,10))&amp;IF('_Engine'!DH25&gt;10,"?","")&amp;" PM"))))))))</ns0:f>
        <ns0:v/>
      </ns0:c>
      <ns0:c r="AG25" s="164" t="str">
        <ns0:f>IF(OR($A25="",AG$11=""),"",IF(OR('_Engine'!$B$6&gt;0,INDEX('_Engine'!$AM$11:$AM$60,'_Engine'!$AO25)&lt;&gt;"OK"),"!",IF(INDEX(Team!$H$11:$N$60,'_Engine'!$AO25,WEEKDAY(AG$11,2))&lt;&gt;"Work","—",IF(COUNTIF(Settings!$F$18:$F$67,AG$11)&gt;0,"BH",IF('_Engine'!DI25+'_Engine'!DJ25=0,"·",IF('_Engine'!DI25='_Engine'!DJ25,INDEX(Settings!$G$7:$G$11,MOD('_Engine'!DI25,10))&amp;IF('_Engine'!DI25&gt;10,"?",""),IF('_Engine'!DI25=0,INDEX(Settings!$G$7:$G$11,MOD('_Engine'!DJ25,10))&amp;IF('_Engine'!DJ25&gt;10,"?","")&amp;" PM",IF('_Engine'!DJ25=0,INDEX(Settings!$G$7:$G$11,MOD('_Engine'!DI25,10))&amp;IF('_Engine'!DI25&gt;10,"?","")&amp;" AM",INDEX(Settings!$G$7:$G$11,MOD('_Engine'!DI25,10))&amp;IF('_Engine'!DI25&gt;10,"?","")&amp;" AM"&amp;CHAR(10)&amp;INDEX(Settings!$G$7:$G$11,MOD('_Engine'!DJ25,10))&amp;IF('_Engine'!DJ25&gt;10,"?","")&amp;" PM"))))))))</ns0:f>
        <ns0:v/>
      </ns0:c>
      <ns0:c r="AH25" s="164" t="str">
        <ns0:f>IF(OR($A25="",AH$11=""),"",IF(OR('_Engine'!$B$6&gt;0,INDEX('_Engine'!$AM$11:$AM$60,'_Engine'!$AO25)&lt;&gt;"OK"),"!",IF(INDEX(Team!$H$11:$N$60,'_Engine'!$AO25,WEEKDAY(AH$11,2))&lt;&gt;"Work","—",IF(COUNTIF(Settings!$F$18:$F$67,AH$11)&gt;0,"BH",IF('_Engine'!DK25+'_Engine'!DL25=0,"·",IF('_Engine'!DK25='_Engine'!DL25,INDEX(Settings!$G$7:$G$11,MOD('_Engine'!DK25,10))&amp;IF('_Engine'!DK25&gt;10,"?",""),IF('_Engine'!DK25=0,INDEX(Settings!$G$7:$G$11,MOD('_Engine'!DL25,10))&amp;IF('_Engine'!DL25&gt;10,"?","")&amp;" PM",IF('_Engine'!DL25=0,INDEX(Settings!$G$7:$G$11,MOD('_Engine'!DK25,10))&amp;IF('_Engine'!DK25&gt;10,"?","")&amp;" AM",INDEX(Settings!$G$7:$G$11,MOD('_Engine'!DK25,10))&amp;IF('_Engine'!DK25&gt;10,"?","")&amp;" AM"&amp;CHAR(10)&amp;INDEX(Settings!$G$7:$G$11,MOD('_Engine'!DL25,10))&amp;IF('_Engine'!DL25&gt;10,"?","")&amp;" PM"))))))))</ns0:f>
        <ns0:v/>
      </ns0:c>
    </ns0:row>
    <ns0:row r="26" ht="38" customHeight="1">
      <ns0:c r="A26" s="4" t="str">
        <ns0:f>IF('_Engine'!AO26=0,"",IF(INDEX(Team!$B$11:$B$60,'_Engine'!AO26)="","[Unnamed]",INDEX(Team!$B$11:$B$60,'_Engine'!AO26)))</ns0:f>
        <ns0:v/>
      </ns0:c>
      <ns0:c r="B26" s="156" t="str">
        <ns0:f>IF('_Engine'!AO26=0,"",INDEX('_Engine'!$AN$11:$AN$60,'_Engine'!AO26))</ns0:f>
        <ns0:v/>
      </ns0:c>
      <ns0:c r="C26" s="4" t="str">
        <ns0:f>IF('_Engine'!AO26=0,"",INDEX(Team!$C$11:$C$60,'_Engine'!AO26))</ns0:f>
        <ns0:v/>
      </ns0:c>
      <ns0:c r="D26" s="162" t="str">
        <ns0:f>IF(OR($A26="",D$11=""),"",IF(OR('_Engine'!$B$6&gt;0,INDEX('_Engine'!$AM$11:$AM$60,'_Engine'!$AO26)&lt;&gt;"OK"),"!",IF(INDEX(Team!$H$11:$N$60,'_Engine'!$AO26,WEEKDAY(D$11,2))&lt;&gt;"Work","—",IF(COUNTIF(Settings!$F$18:$F$67,D$11)&gt;0,"BH",IF('_Engine'!BC26+'_Engine'!BD26=0,"·",IF('_Engine'!BC26='_Engine'!BD26,INDEX(Settings!$G$7:$G$11,MOD('_Engine'!BC26,10))&amp;IF('_Engine'!BC26&gt;10,"?",""),IF('_Engine'!BC26=0,INDEX(Settings!$G$7:$G$11,MOD('_Engine'!BD26,10))&amp;IF('_Engine'!BD26&gt;10,"?","")&amp;" PM",IF('_Engine'!BD26=0,INDEX(Settings!$G$7:$G$11,MOD('_Engine'!BC26,10))&amp;IF('_Engine'!BC26&gt;10,"?","")&amp;" AM",INDEX(Settings!$G$7:$G$11,MOD('_Engine'!BC26,10))&amp;IF('_Engine'!BC26&gt;10,"?","")&amp;" AM"&amp;CHAR(10)&amp;INDEX(Settings!$G$7:$G$11,MOD('_Engine'!BD26,10))&amp;IF('_Engine'!BD26&gt;10,"?","")&amp;" PM"))))))))</ns0:f>
        <ns0:v/>
      </ns0:c>
      <ns0:c r="E26" s="162" t="str">
        <ns0:f>IF(OR($A26="",E$11=""),"",IF(OR('_Engine'!$B$6&gt;0,INDEX('_Engine'!$AM$11:$AM$60,'_Engine'!$AO26)&lt;&gt;"OK"),"!",IF(INDEX(Team!$H$11:$N$60,'_Engine'!$AO26,WEEKDAY(E$11,2))&lt;&gt;"Work","—",IF(COUNTIF(Settings!$F$18:$F$67,E$11)&gt;0,"BH",IF('_Engine'!BE26+'_Engine'!BF26=0,"·",IF('_Engine'!BE26='_Engine'!BF26,INDEX(Settings!$G$7:$G$11,MOD('_Engine'!BE26,10))&amp;IF('_Engine'!BE26&gt;10,"?",""),IF('_Engine'!BE26=0,INDEX(Settings!$G$7:$G$11,MOD('_Engine'!BF26,10))&amp;IF('_Engine'!BF26&gt;10,"?","")&amp;" PM",IF('_Engine'!BF26=0,INDEX(Settings!$G$7:$G$11,MOD('_Engine'!BE26,10))&amp;IF('_Engine'!BE26&gt;10,"?","")&amp;" AM",INDEX(Settings!$G$7:$G$11,MOD('_Engine'!BE26,10))&amp;IF('_Engine'!BE26&gt;10,"?","")&amp;" AM"&amp;CHAR(10)&amp;INDEX(Settings!$G$7:$G$11,MOD('_Engine'!BF26,10))&amp;IF('_Engine'!BF26&gt;10,"?","")&amp;" PM"))))))))</ns0:f>
        <ns0:v/>
      </ns0:c>
      <ns0:c r="F26" s="162" t="str">
        <ns0:f>IF(OR($A26="",F$11=""),"",IF(OR('_Engine'!$B$6&gt;0,INDEX('_Engine'!$AM$11:$AM$60,'_Engine'!$AO26)&lt;&gt;"OK"),"!",IF(INDEX(Team!$H$11:$N$60,'_Engine'!$AO26,WEEKDAY(F$11,2))&lt;&gt;"Work","—",IF(COUNTIF(Settings!$F$18:$F$67,F$11)&gt;0,"BH",IF('_Engine'!BG26+'_Engine'!BH26=0,"·",IF('_Engine'!BG26='_Engine'!BH26,INDEX(Settings!$G$7:$G$11,MOD('_Engine'!BG26,10))&amp;IF('_Engine'!BG26&gt;10,"?",""),IF('_Engine'!BG26=0,INDEX(Settings!$G$7:$G$11,MOD('_Engine'!BH26,10))&amp;IF('_Engine'!BH26&gt;10,"?","")&amp;" PM",IF('_Engine'!BH26=0,INDEX(Settings!$G$7:$G$11,MOD('_Engine'!BG26,10))&amp;IF('_Engine'!BG26&gt;10,"?","")&amp;" AM",INDEX(Settings!$G$7:$G$11,MOD('_Engine'!BG26,10))&amp;IF('_Engine'!BG26&gt;10,"?","")&amp;" AM"&amp;CHAR(10)&amp;INDEX(Settings!$G$7:$G$11,MOD('_Engine'!BH26,10))&amp;IF('_Engine'!BH26&gt;10,"?","")&amp;" PM"))))))))</ns0:f>
        <ns0:v/>
      </ns0:c>
      <ns0:c r="G26" s="162" t="str">
        <ns0:f>IF(OR($A26="",G$11=""),"",IF(OR('_Engine'!$B$6&gt;0,INDEX('_Engine'!$AM$11:$AM$60,'_Engine'!$AO26)&lt;&gt;"OK"),"!",IF(INDEX(Team!$H$11:$N$60,'_Engine'!$AO26,WEEKDAY(G$11,2))&lt;&gt;"Work","—",IF(COUNTIF(Settings!$F$18:$F$67,G$11)&gt;0,"BH",IF('_Engine'!BI26+'_Engine'!BJ26=0,"·",IF('_Engine'!BI26='_Engine'!BJ26,INDEX(Settings!$G$7:$G$11,MOD('_Engine'!BI26,10))&amp;IF('_Engine'!BI26&gt;10,"?",""),IF('_Engine'!BI26=0,INDEX(Settings!$G$7:$G$11,MOD('_Engine'!BJ26,10))&amp;IF('_Engine'!BJ26&gt;10,"?","")&amp;" PM",IF('_Engine'!BJ26=0,INDEX(Settings!$G$7:$G$11,MOD('_Engine'!BI26,10))&amp;IF('_Engine'!BI26&gt;10,"?","")&amp;" AM",INDEX(Settings!$G$7:$G$11,MOD('_Engine'!BI26,10))&amp;IF('_Engine'!BI26&gt;10,"?","")&amp;" AM"&amp;CHAR(10)&amp;INDEX(Settings!$G$7:$G$11,MOD('_Engine'!BJ26,10))&amp;IF('_Engine'!BJ26&gt;10,"?","")&amp;" PM"))))))))</ns0:f>
        <ns0:v/>
      </ns0:c>
      <ns0:c r="H26" s="162" t="str">
        <ns0:f>IF(OR($A26="",H$11=""),"",IF(OR('_Engine'!$B$6&gt;0,INDEX('_Engine'!$AM$11:$AM$60,'_Engine'!$AO26)&lt;&gt;"OK"),"!",IF(INDEX(Team!$H$11:$N$60,'_Engine'!$AO26,WEEKDAY(H$11,2))&lt;&gt;"Work","—",IF(COUNTIF(Settings!$F$18:$F$67,H$11)&gt;0,"BH",IF('_Engine'!BK26+'_Engine'!BL26=0,"·",IF('_Engine'!BK26='_Engine'!BL26,INDEX(Settings!$G$7:$G$11,MOD('_Engine'!BK26,10))&amp;IF('_Engine'!BK26&gt;10,"?",""),IF('_Engine'!BK26=0,INDEX(Settings!$G$7:$G$11,MOD('_Engine'!BL26,10))&amp;IF('_Engine'!BL26&gt;10,"?","")&amp;" PM",IF('_Engine'!BL26=0,INDEX(Settings!$G$7:$G$11,MOD('_Engine'!BK26,10))&amp;IF('_Engine'!BK26&gt;10,"?","")&amp;" AM",INDEX(Settings!$G$7:$G$11,MOD('_Engine'!BK26,10))&amp;IF('_Engine'!BK26&gt;10,"?","")&amp;" AM"&amp;CHAR(10)&amp;INDEX(Settings!$G$7:$G$11,MOD('_Engine'!BL26,10))&amp;IF('_Engine'!BL26&gt;10,"?","")&amp;" PM"))))))))</ns0:f>
        <ns0:v/>
      </ns0:c>
      <ns0:c r="I26" s="162" t="str">
        <ns0:f>IF(OR($A26="",I$11=""),"",IF(OR('_Engine'!$B$6&gt;0,INDEX('_Engine'!$AM$11:$AM$60,'_Engine'!$AO26)&lt;&gt;"OK"),"!",IF(INDEX(Team!$H$11:$N$60,'_Engine'!$AO26,WEEKDAY(I$11,2))&lt;&gt;"Work","—",IF(COUNTIF(Settings!$F$18:$F$67,I$11)&gt;0,"BH",IF('_Engine'!BM26+'_Engine'!BN26=0,"·",IF('_Engine'!BM26='_Engine'!BN26,INDEX(Settings!$G$7:$G$11,MOD('_Engine'!BM26,10))&amp;IF('_Engine'!BM26&gt;10,"?",""),IF('_Engine'!BM26=0,INDEX(Settings!$G$7:$G$11,MOD('_Engine'!BN26,10))&amp;IF('_Engine'!BN26&gt;10,"?","")&amp;" PM",IF('_Engine'!BN26=0,INDEX(Settings!$G$7:$G$11,MOD('_Engine'!BM26,10))&amp;IF('_Engine'!BM26&gt;10,"?","")&amp;" AM",INDEX(Settings!$G$7:$G$11,MOD('_Engine'!BM26,10))&amp;IF('_Engine'!BM26&gt;10,"?","")&amp;" AM"&amp;CHAR(10)&amp;INDEX(Settings!$G$7:$G$11,MOD('_Engine'!BN26,10))&amp;IF('_Engine'!BN26&gt;10,"?","")&amp;" PM"))))))))</ns0:f>
        <ns0:v/>
      </ns0:c>
      <ns0:c r="J26" s="162" t="str">
        <ns0:f>IF(OR($A26="",J$11=""),"",IF(OR('_Engine'!$B$6&gt;0,INDEX('_Engine'!$AM$11:$AM$60,'_Engine'!$AO26)&lt;&gt;"OK"),"!",IF(INDEX(Team!$H$11:$N$60,'_Engine'!$AO26,WEEKDAY(J$11,2))&lt;&gt;"Work","—",IF(COUNTIF(Settings!$F$18:$F$67,J$11)&gt;0,"BH",IF('_Engine'!BO26+'_Engine'!BP26=0,"·",IF('_Engine'!BO26='_Engine'!BP26,INDEX(Settings!$G$7:$G$11,MOD('_Engine'!BO26,10))&amp;IF('_Engine'!BO26&gt;10,"?",""),IF('_Engine'!BO26=0,INDEX(Settings!$G$7:$G$11,MOD('_Engine'!BP26,10))&amp;IF('_Engine'!BP26&gt;10,"?","")&amp;" PM",IF('_Engine'!BP26=0,INDEX(Settings!$G$7:$G$11,MOD('_Engine'!BO26,10))&amp;IF('_Engine'!BO26&gt;10,"?","")&amp;" AM",INDEX(Settings!$G$7:$G$11,MOD('_Engine'!BO26,10))&amp;IF('_Engine'!BO26&gt;10,"?","")&amp;" AM"&amp;CHAR(10)&amp;INDEX(Settings!$G$7:$G$11,MOD('_Engine'!BP26,10))&amp;IF('_Engine'!BP26&gt;10,"?","")&amp;" PM"))))))))</ns0:f>
        <ns0:v/>
      </ns0:c>
      <ns0:c r="K26" s="164" t="str">
        <ns0:f>IF(OR($A26="",K$11=""),"",IF(OR('_Engine'!$B$6&gt;0,INDEX('_Engine'!$AM$11:$AM$60,'_Engine'!$AO26)&lt;&gt;"OK"),"!",IF(INDEX(Team!$H$11:$N$60,'_Engine'!$AO26,WEEKDAY(K$11,2))&lt;&gt;"Work","—",IF(COUNTIF(Settings!$F$18:$F$67,K$11)&gt;0,"BH",IF('_Engine'!BQ26+'_Engine'!BR26=0,"·",IF('_Engine'!BQ26='_Engine'!BR26,INDEX(Settings!$G$7:$G$11,MOD('_Engine'!BQ26,10))&amp;IF('_Engine'!BQ26&gt;10,"?",""),IF('_Engine'!BQ26=0,INDEX(Settings!$G$7:$G$11,MOD('_Engine'!BR26,10))&amp;IF('_Engine'!BR26&gt;10,"?","")&amp;" PM",IF('_Engine'!BR26=0,INDEX(Settings!$G$7:$G$11,MOD('_Engine'!BQ26,10))&amp;IF('_Engine'!BQ26&gt;10,"?","")&amp;" AM",INDEX(Settings!$G$7:$G$11,MOD('_Engine'!BQ26,10))&amp;IF('_Engine'!BQ26&gt;10,"?","")&amp;" AM"&amp;CHAR(10)&amp;INDEX(Settings!$G$7:$G$11,MOD('_Engine'!BR26,10))&amp;IF('_Engine'!BR26&gt;10,"?","")&amp;" PM"))))))))</ns0:f>
        <ns0:v/>
      </ns0:c>
      <ns0:c r="L26" s="164" t="str">
        <ns0:f>IF(OR($A26="",L$11=""),"",IF(OR('_Engine'!$B$6&gt;0,INDEX('_Engine'!$AM$11:$AM$60,'_Engine'!$AO26)&lt;&gt;"OK"),"!",IF(INDEX(Team!$H$11:$N$60,'_Engine'!$AO26,WEEKDAY(L$11,2))&lt;&gt;"Work","—",IF(COUNTIF(Settings!$F$18:$F$67,L$11)&gt;0,"BH",IF('_Engine'!BS26+'_Engine'!BT26=0,"·",IF('_Engine'!BS26='_Engine'!BT26,INDEX(Settings!$G$7:$G$11,MOD('_Engine'!BS26,10))&amp;IF('_Engine'!BS26&gt;10,"?",""),IF('_Engine'!BS26=0,INDEX(Settings!$G$7:$G$11,MOD('_Engine'!BT26,10))&amp;IF('_Engine'!BT26&gt;10,"?","")&amp;" PM",IF('_Engine'!BT26=0,INDEX(Settings!$G$7:$G$11,MOD('_Engine'!BS26,10))&amp;IF('_Engine'!BS26&gt;10,"?","")&amp;" AM",INDEX(Settings!$G$7:$G$11,MOD('_Engine'!BS26,10))&amp;IF('_Engine'!BS26&gt;10,"?","")&amp;" AM"&amp;CHAR(10)&amp;INDEX(Settings!$G$7:$G$11,MOD('_Engine'!BT26,10))&amp;IF('_Engine'!BT26&gt;10,"?","")&amp;" PM"))))))))</ns0:f>
        <ns0:v/>
      </ns0:c>
      <ns0:c r="M26" s="164" t="str">
        <ns0:f>IF(OR($A26="",M$11=""),"",IF(OR('_Engine'!$B$6&gt;0,INDEX('_Engine'!$AM$11:$AM$60,'_Engine'!$AO26)&lt;&gt;"OK"),"!",IF(INDEX(Team!$H$11:$N$60,'_Engine'!$AO26,WEEKDAY(M$11,2))&lt;&gt;"Work","—",IF(COUNTIF(Settings!$F$18:$F$67,M$11)&gt;0,"BH",IF('_Engine'!BU26+'_Engine'!BV26=0,"·",IF('_Engine'!BU26='_Engine'!BV26,INDEX(Settings!$G$7:$G$11,MOD('_Engine'!BU26,10))&amp;IF('_Engine'!BU26&gt;10,"?",""),IF('_Engine'!BU26=0,INDEX(Settings!$G$7:$G$11,MOD('_Engine'!BV26,10))&amp;IF('_Engine'!BV26&gt;10,"?","")&amp;" PM",IF('_Engine'!BV26=0,INDEX(Settings!$G$7:$G$11,MOD('_Engine'!BU26,10))&amp;IF('_Engine'!BU26&gt;10,"?","")&amp;" AM",INDEX(Settings!$G$7:$G$11,MOD('_Engine'!BU26,10))&amp;IF('_Engine'!BU26&gt;10,"?","")&amp;" AM"&amp;CHAR(10)&amp;INDEX(Settings!$G$7:$G$11,MOD('_Engine'!BV26,10))&amp;IF('_Engine'!BV26&gt;10,"?","")&amp;" PM"))))))))</ns0:f>
        <ns0:v/>
      </ns0:c>
      <ns0:c r="N26" s="164" t="str">
        <ns0:f>IF(OR($A26="",N$11=""),"",IF(OR('_Engine'!$B$6&gt;0,INDEX('_Engine'!$AM$11:$AM$60,'_Engine'!$AO26)&lt;&gt;"OK"),"!",IF(INDEX(Team!$H$11:$N$60,'_Engine'!$AO26,WEEKDAY(N$11,2))&lt;&gt;"Work","—",IF(COUNTIF(Settings!$F$18:$F$67,N$11)&gt;0,"BH",IF('_Engine'!BW26+'_Engine'!BX26=0,"·",IF('_Engine'!BW26='_Engine'!BX26,INDEX(Settings!$G$7:$G$11,MOD('_Engine'!BW26,10))&amp;IF('_Engine'!BW26&gt;10,"?",""),IF('_Engine'!BW26=0,INDEX(Settings!$G$7:$G$11,MOD('_Engine'!BX26,10))&amp;IF('_Engine'!BX26&gt;10,"?","")&amp;" PM",IF('_Engine'!BX26=0,INDEX(Settings!$G$7:$G$11,MOD('_Engine'!BW26,10))&amp;IF('_Engine'!BW26&gt;10,"?","")&amp;" AM",INDEX(Settings!$G$7:$G$11,MOD('_Engine'!BW26,10))&amp;IF('_Engine'!BW26&gt;10,"?","")&amp;" AM"&amp;CHAR(10)&amp;INDEX(Settings!$G$7:$G$11,MOD('_Engine'!BX26,10))&amp;IF('_Engine'!BX26&gt;10,"?","")&amp;" PM"))))))))</ns0:f>
        <ns0:v/>
      </ns0:c>
      <ns0:c r="O26" s="164" t="str">
        <ns0:f>IF(OR($A26="",O$11=""),"",IF(OR('_Engine'!$B$6&gt;0,INDEX('_Engine'!$AM$11:$AM$60,'_Engine'!$AO26)&lt;&gt;"OK"),"!",IF(INDEX(Team!$H$11:$N$60,'_Engine'!$AO26,WEEKDAY(O$11,2))&lt;&gt;"Work","—",IF(COUNTIF(Settings!$F$18:$F$67,O$11)&gt;0,"BH",IF('_Engine'!BY26+'_Engine'!BZ26=0,"·",IF('_Engine'!BY26='_Engine'!BZ26,INDEX(Settings!$G$7:$G$11,MOD('_Engine'!BY26,10))&amp;IF('_Engine'!BY26&gt;10,"?",""),IF('_Engine'!BY26=0,INDEX(Settings!$G$7:$G$11,MOD('_Engine'!BZ26,10))&amp;IF('_Engine'!BZ26&gt;10,"?","")&amp;" PM",IF('_Engine'!BZ26=0,INDEX(Settings!$G$7:$G$11,MOD('_Engine'!BY26,10))&amp;IF('_Engine'!BY26&gt;10,"?","")&amp;" AM",INDEX(Settings!$G$7:$G$11,MOD('_Engine'!BY26,10))&amp;IF('_Engine'!BY26&gt;10,"?","")&amp;" AM"&amp;CHAR(10)&amp;INDEX(Settings!$G$7:$G$11,MOD('_Engine'!BZ26,10))&amp;IF('_Engine'!BZ26&gt;10,"?","")&amp;" PM"))))))))</ns0:f>
        <ns0:v/>
      </ns0:c>
      <ns0:c r="P26" s="164" t="str">
        <ns0:f>IF(OR($A26="",P$11=""),"",IF(OR('_Engine'!$B$6&gt;0,INDEX('_Engine'!$AM$11:$AM$60,'_Engine'!$AO26)&lt;&gt;"OK"),"!",IF(INDEX(Team!$H$11:$N$60,'_Engine'!$AO26,WEEKDAY(P$11,2))&lt;&gt;"Work","—",IF(COUNTIF(Settings!$F$18:$F$67,P$11)&gt;0,"BH",IF('_Engine'!CA26+'_Engine'!CB26=0,"·",IF('_Engine'!CA26='_Engine'!CB26,INDEX(Settings!$G$7:$G$11,MOD('_Engine'!CA26,10))&amp;IF('_Engine'!CA26&gt;10,"?",""),IF('_Engine'!CA26=0,INDEX(Settings!$G$7:$G$11,MOD('_Engine'!CB26,10))&amp;IF('_Engine'!CB26&gt;10,"?","")&amp;" PM",IF('_Engine'!CB26=0,INDEX(Settings!$G$7:$G$11,MOD('_Engine'!CA26,10))&amp;IF('_Engine'!CA26&gt;10,"?","")&amp;" AM",INDEX(Settings!$G$7:$G$11,MOD('_Engine'!CA26,10))&amp;IF('_Engine'!CA26&gt;10,"?","")&amp;" AM"&amp;CHAR(10)&amp;INDEX(Settings!$G$7:$G$11,MOD('_Engine'!CB26,10))&amp;IF('_Engine'!CB26&gt;10,"?","")&amp;" PM"))))))))</ns0:f>
        <ns0:v/>
      </ns0:c>
      <ns0:c r="Q26" s="164" t="str">
        <ns0:f>IF(OR($A26="",Q$11=""),"",IF(OR('_Engine'!$B$6&gt;0,INDEX('_Engine'!$AM$11:$AM$60,'_Engine'!$AO26)&lt;&gt;"OK"),"!",IF(INDEX(Team!$H$11:$N$60,'_Engine'!$AO26,WEEKDAY(Q$11,2))&lt;&gt;"Work","—",IF(COUNTIF(Settings!$F$18:$F$67,Q$11)&gt;0,"BH",IF('_Engine'!CC26+'_Engine'!CD26=0,"·",IF('_Engine'!CC26='_Engine'!CD26,INDEX(Settings!$G$7:$G$11,MOD('_Engine'!CC26,10))&amp;IF('_Engine'!CC26&gt;10,"?",""),IF('_Engine'!CC26=0,INDEX(Settings!$G$7:$G$11,MOD('_Engine'!CD26,10))&amp;IF('_Engine'!CD26&gt;10,"?","")&amp;" PM",IF('_Engine'!CD26=0,INDEX(Settings!$G$7:$G$11,MOD('_Engine'!CC26,10))&amp;IF('_Engine'!CC26&gt;10,"?","")&amp;" AM",INDEX(Settings!$G$7:$G$11,MOD('_Engine'!CC26,10))&amp;IF('_Engine'!CC26&gt;10,"?","")&amp;" AM"&amp;CHAR(10)&amp;INDEX(Settings!$G$7:$G$11,MOD('_Engine'!CD26,10))&amp;IF('_Engine'!CD26&gt;10,"?","")&amp;" PM"))))))))</ns0:f>
        <ns0:v/>
      </ns0:c>
      <ns0:c r="R26" s="164" t="str">
        <ns0:f>IF(OR($A26="",R$11=""),"",IF(OR('_Engine'!$B$6&gt;0,INDEX('_Engine'!$AM$11:$AM$60,'_Engine'!$AO26)&lt;&gt;"OK"),"!",IF(INDEX(Team!$H$11:$N$60,'_Engine'!$AO26,WEEKDAY(R$11,2))&lt;&gt;"Work","—",IF(COUNTIF(Settings!$F$18:$F$67,R$11)&gt;0,"BH",IF('_Engine'!CE26+'_Engine'!CF26=0,"·",IF('_Engine'!CE26='_Engine'!CF26,INDEX(Settings!$G$7:$G$11,MOD('_Engine'!CE26,10))&amp;IF('_Engine'!CE26&gt;10,"?",""),IF('_Engine'!CE26=0,INDEX(Settings!$G$7:$G$11,MOD('_Engine'!CF26,10))&amp;IF('_Engine'!CF26&gt;10,"?","")&amp;" PM",IF('_Engine'!CF26=0,INDEX(Settings!$G$7:$G$11,MOD('_Engine'!CE26,10))&amp;IF('_Engine'!CE26&gt;10,"?","")&amp;" AM",INDEX(Settings!$G$7:$G$11,MOD('_Engine'!CE26,10))&amp;IF('_Engine'!CE26&gt;10,"?","")&amp;" AM"&amp;CHAR(10)&amp;INDEX(Settings!$G$7:$G$11,MOD('_Engine'!CF26,10))&amp;IF('_Engine'!CF26&gt;10,"?","")&amp;" PM"))))))))</ns0:f>
        <ns0:v/>
      </ns0:c>
      <ns0:c r="S26" s="164" t="str">
        <ns0:f>IF(OR($A26="",S$11=""),"",IF(OR('_Engine'!$B$6&gt;0,INDEX('_Engine'!$AM$11:$AM$60,'_Engine'!$AO26)&lt;&gt;"OK"),"!",IF(INDEX(Team!$H$11:$N$60,'_Engine'!$AO26,WEEKDAY(S$11,2))&lt;&gt;"Work","—",IF(COUNTIF(Settings!$F$18:$F$67,S$11)&gt;0,"BH",IF('_Engine'!CG26+'_Engine'!CH26=0,"·",IF('_Engine'!CG26='_Engine'!CH26,INDEX(Settings!$G$7:$G$11,MOD('_Engine'!CG26,10))&amp;IF('_Engine'!CG26&gt;10,"?",""),IF('_Engine'!CG26=0,INDEX(Settings!$G$7:$G$11,MOD('_Engine'!CH26,10))&amp;IF('_Engine'!CH26&gt;10,"?","")&amp;" PM",IF('_Engine'!CH26=0,INDEX(Settings!$G$7:$G$11,MOD('_Engine'!CG26,10))&amp;IF('_Engine'!CG26&gt;10,"?","")&amp;" AM",INDEX(Settings!$G$7:$G$11,MOD('_Engine'!CG26,10))&amp;IF('_Engine'!CG26&gt;10,"?","")&amp;" AM"&amp;CHAR(10)&amp;INDEX(Settings!$G$7:$G$11,MOD('_Engine'!CH26,10))&amp;IF('_Engine'!CH26&gt;10,"?","")&amp;" PM"))))))))</ns0:f>
        <ns0:v/>
      </ns0:c>
      <ns0:c r="T26" s="164" t="str">
        <ns0:f>IF(OR($A26="",T$11=""),"",IF(OR('_Engine'!$B$6&gt;0,INDEX('_Engine'!$AM$11:$AM$60,'_Engine'!$AO26)&lt;&gt;"OK"),"!",IF(INDEX(Team!$H$11:$N$60,'_Engine'!$AO26,WEEKDAY(T$11,2))&lt;&gt;"Work","—",IF(COUNTIF(Settings!$F$18:$F$67,T$11)&gt;0,"BH",IF('_Engine'!CI26+'_Engine'!CJ26=0,"·",IF('_Engine'!CI26='_Engine'!CJ26,INDEX(Settings!$G$7:$G$11,MOD('_Engine'!CI26,10))&amp;IF('_Engine'!CI26&gt;10,"?",""),IF('_Engine'!CI26=0,INDEX(Settings!$G$7:$G$11,MOD('_Engine'!CJ26,10))&amp;IF('_Engine'!CJ26&gt;10,"?","")&amp;" PM",IF('_Engine'!CJ26=0,INDEX(Settings!$G$7:$G$11,MOD('_Engine'!CI26,10))&amp;IF('_Engine'!CI26&gt;10,"?","")&amp;" AM",INDEX(Settings!$G$7:$G$11,MOD('_Engine'!CI26,10))&amp;IF('_Engine'!CI26&gt;10,"?","")&amp;" AM"&amp;CHAR(10)&amp;INDEX(Settings!$G$7:$G$11,MOD('_Engine'!CJ26,10))&amp;IF('_Engine'!CJ26&gt;10,"?","")&amp;" PM"))))))))</ns0:f>
        <ns0:v/>
      </ns0:c>
      <ns0:c r="U26" s="164" t="str">
        <ns0:f>IF(OR($A26="",U$11=""),"",IF(OR('_Engine'!$B$6&gt;0,INDEX('_Engine'!$AM$11:$AM$60,'_Engine'!$AO26)&lt;&gt;"OK"),"!",IF(INDEX(Team!$H$11:$N$60,'_Engine'!$AO26,WEEKDAY(U$11,2))&lt;&gt;"Work","—",IF(COUNTIF(Settings!$F$18:$F$67,U$11)&gt;0,"BH",IF('_Engine'!CK26+'_Engine'!CL26=0,"·",IF('_Engine'!CK26='_Engine'!CL26,INDEX(Settings!$G$7:$G$11,MOD('_Engine'!CK26,10))&amp;IF('_Engine'!CK26&gt;10,"?",""),IF('_Engine'!CK26=0,INDEX(Settings!$G$7:$G$11,MOD('_Engine'!CL26,10))&amp;IF('_Engine'!CL26&gt;10,"?","")&amp;" PM",IF('_Engine'!CL26=0,INDEX(Settings!$G$7:$G$11,MOD('_Engine'!CK26,10))&amp;IF('_Engine'!CK26&gt;10,"?","")&amp;" AM",INDEX(Settings!$G$7:$G$11,MOD('_Engine'!CK26,10))&amp;IF('_Engine'!CK26&gt;10,"?","")&amp;" AM"&amp;CHAR(10)&amp;INDEX(Settings!$G$7:$G$11,MOD('_Engine'!CL26,10))&amp;IF('_Engine'!CL26&gt;10,"?","")&amp;" PM"))))))))</ns0:f>
        <ns0:v/>
      </ns0:c>
      <ns0:c r="V26" s="164" t="str">
        <ns0:f>IF(OR($A26="",V$11=""),"",IF(OR('_Engine'!$B$6&gt;0,INDEX('_Engine'!$AM$11:$AM$60,'_Engine'!$AO26)&lt;&gt;"OK"),"!",IF(INDEX(Team!$H$11:$N$60,'_Engine'!$AO26,WEEKDAY(V$11,2))&lt;&gt;"Work","—",IF(COUNTIF(Settings!$F$18:$F$67,V$11)&gt;0,"BH",IF('_Engine'!CM26+'_Engine'!CN26=0,"·",IF('_Engine'!CM26='_Engine'!CN26,INDEX(Settings!$G$7:$G$11,MOD('_Engine'!CM26,10))&amp;IF('_Engine'!CM26&gt;10,"?",""),IF('_Engine'!CM26=0,INDEX(Settings!$G$7:$G$11,MOD('_Engine'!CN26,10))&amp;IF('_Engine'!CN26&gt;10,"?","")&amp;" PM",IF('_Engine'!CN26=0,INDEX(Settings!$G$7:$G$11,MOD('_Engine'!CM26,10))&amp;IF('_Engine'!CM26&gt;10,"?","")&amp;" AM",INDEX(Settings!$G$7:$G$11,MOD('_Engine'!CM26,10))&amp;IF('_Engine'!CM26&gt;10,"?","")&amp;" AM"&amp;CHAR(10)&amp;INDEX(Settings!$G$7:$G$11,MOD('_Engine'!CN26,10))&amp;IF('_Engine'!CN26&gt;10,"?","")&amp;" PM"))))))))</ns0:f>
        <ns0:v/>
      </ns0:c>
      <ns0:c r="W26" s="164" t="str">
        <ns0:f>IF(OR($A26="",W$11=""),"",IF(OR('_Engine'!$B$6&gt;0,INDEX('_Engine'!$AM$11:$AM$60,'_Engine'!$AO26)&lt;&gt;"OK"),"!",IF(INDEX(Team!$H$11:$N$60,'_Engine'!$AO26,WEEKDAY(W$11,2))&lt;&gt;"Work","—",IF(COUNTIF(Settings!$F$18:$F$67,W$11)&gt;0,"BH",IF('_Engine'!CO26+'_Engine'!CP26=0,"·",IF('_Engine'!CO26='_Engine'!CP26,INDEX(Settings!$G$7:$G$11,MOD('_Engine'!CO26,10))&amp;IF('_Engine'!CO26&gt;10,"?",""),IF('_Engine'!CO26=0,INDEX(Settings!$G$7:$G$11,MOD('_Engine'!CP26,10))&amp;IF('_Engine'!CP26&gt;10,"?","")&amp;" PM",IF('_Engine'!CP26=0,INDEX(Settings!$G$7:$G$11,MOD('_Engine'!CO26,10))&amp;IF('_Engine'!CO26&gt;10,"?","")&amp;" AM",INDEX(Settings!$G$7:$G$11,MOD('_Engine'!CO26,10))&amp;IF('_Engine'!CO26&gt;10,"?","")&amp;" AM"&amp;CHAR(10)&amp;INDEX(Settings!$G$7:$G$11,MOD('_Engine'!CP26,10))&amp;IF('_Engine'!CP26&gt;10,"?","")&amp;" PM"))))))))</ns0:f>
        <ns0:v/>
      </ns0:c>
      <ns0:c r="X26" s="164" t="str">
        <ns0:f>IF(OR($A26="",X$11=""),"",IF(OR('_Engine'!$B$6&gt;0,INDEX('_Engine'!$AM$11:$AM$60,'_Engine'!$AO26)&lt;&gt;"OK"),"!",IF(INDEX(Team!$H$11:$N$60,'_Engine'!$AO26,WEEKDAY(X$11,2))&lt;&gt;"Work","—",IF(COUNTIF(Settings!$F$18:$F$67,X$11)&gt;0,"BH",IF('_Engine'!CQ26+'_Engine'!CR26=0,"·",IF('_Engine'!CQ26='_Engine'!CR26,INDEX(Settings!$G$7:$G$11,MOD('_Engine'!CQ26,10))&amp;IF('_Engine'!CQ26&gt;10,"?",""),IF('_Engine'!CQ26=0,INDEX(Settings!$G$7:$G$11,MOD('_Engine'!CR26,10))&amp;IF('_Engine'!CR26&gt;10,"?","")&amp;" PM",IF('_Engine'!CR26=0,INDEX(Settings!$G$7:$G$11,MOD('_Engine'!CQ26,10))&amp;IF('_Engine'!CQ26&gt;10,"?","")&amp;" AM",INDEX(Settings!$G$7:$G$11,MOD('_Engine'!CQ26,10))&amp;IF('_Engine'!CQ26&gt;10,"?","")&amp;" AM"&amp;CHAR(10)&amp;INDEX(Settings!$G$7:$G$11,MOD('_Engine'!CR26,10))&amp;IF('_Engine'!CR26&gt;10,"?","")&amp;" PM"))))))))</ns0:f>
        <ns0:v/>
      </ns0:c>
      <ns0:c r="Y26" s="164" t="str">
        <ns0:f>IF(OR($A26="",Y$11=""),"",IF(OR('_Engine'!$B$6&gt;0,INDEX('_Engine'!$AM$11:$AM$60,'_Engine'!$AO26)&lt;&gt;"OK"),"!",IF(INDEX(Team!$H$11:$N$60,'_Engine'!$AO26,WEEKDAY(Y$11,2))&lt;&gt;"Work","—",IF(COUNTIF(Settings!$F$18:$F$67,Y$11)&gt;0,"BH",IF('_Engine'!CS26+'_Engine'!CT26=0,"·",IF('_Engine'!CS26='_Engine'!CT26,INDEX(Settings!$G$7:$G$11,MOD('_Engine'!CS26,10))&amp;IF('_Engine'!CS26&gt;10,"?",""),IF('_Engine'!CS26=0,INDEX(Settings!$G$7:$G$11,MOD('_Engine'!CT26,10))&amp;IF('_Engine'!CT26&gt;10,"?","")&amp;" PM",IF('_Engine'!CT26=0,INDEX(Settings!$G$7:$G$11,MOD('_Engine'!CS26,10))&amp;IF('_Engine'!CS26&gt;10,"?","")&amp;" AM",INDEX(Settings!$G$7:$G$11,MOD('_Engine'!CS26,10))&amp;IF('_Engine'!CS26&gt;10,"?","")&amp;" AM"&amp;CHAR(10)&amp;INDEX(Settings!$G$7:$G$11,MOD('_Engine'!CT26,10))&amp;IF('_Engine'!CT26&gt;10,"?","")&amp;" PM"))))))))</ns0:f>
        <ns0:v/>
      </ns0:c>
      <ns0:c r="Z26" s="164" t="str">
        <ns0:f>IF(OR($A26="",Z$11=""),"",IF(OR('_Engine'!$B$6&gt;0,INDEX('_Engine'!$AM$11:$AM$60,'_Engine'!$AO26)&lt;&gt;"OK"),"!",IF(INDEX(Team!$H$11:$N$60,'_Engine'!$AO26,WEEKDAY(Z$11,2))&lt;&gt;"Work","—",IF(COUNTIF(Settings!$F$18:$F$67,Z$11)&gt;0,"BH",IF('_Engine'!CU26+'_Engine'!CV26=0,"·",IF('_Engine'!CU26='_Engine'!CV26,INDEX(Settings!$G$7:$G$11,MOD('_Engine'!CU26,10))&amp;IF('_Engine'!CU26&gt;10,"?",""),IF('_Engine'!CU26=0,INDEX(Settings!$G$7:$G$11,MOD('_Engine'!CV26,10))&amp;IF('_Engine'!CV26&gt;10,"?","")&amp;" PM",IF('_Engine'!CV26=0,INDEX(Settings!$G$7:$G$11,MOD('_Engine'!CU26,10))&amp;IF('_Engine'!CU26&gt;10,"?","")&amp;" AM",INDEX(Settings!$G$7:$G$11,MOD('_Engine'!CU26,10))&amp;IF('_Engine'!CU26&gt;10,"?","")&amp;" AM"&amp;CHAR(10)&amp;INDEX(Settings!$G$7:$G$11,MOD('_Engine'!CV26,10))&amp;IF('_Engine'!CV26&gt;10,"?","")&amp;" PM"))))))))</ns0:f>
        <ns0:v/>
      </ns0:c>
      <ns0:c r="AA26" s="164" t="str">
        <ns0:f>IF(OR($A26="",AA$11=""),"",IF(OR('_Engine'!$B$6&gt;0,INDEX('_Engine'!$AM$11:$AM$60,'_Engine'!$AO26)&lt;&gt;"OK"),"!",IF(INDEX(Team!$H$11:$N$60,'_Engine'!$AO26,WEEKDAY(AA$11,2))&lt;&gt;"Work","—",IF(COUNTIF(Settings!$F$18:$F$67,AA$11)&gt;0,"BH",IF('_Engine'!CW26+'_Engine'!CX26=0,"·",IF('_Engine'!CW26='_Engine'!CX26,INDEX(Settings!$G$7:$G$11,MOD('_Engine'!CW26,10))&amp;IF('_Engine'!CW26&gt;10,"?",""),IF('_Engine'!CW26=0,INDEX(Settings!$G$7:$G$11,MOD('_Engine'!CX26,10))&amp;IF('_Engine'!CX26&gt;10,"?","")&amp;" PM",IF('_Engine'!CX26=0,INDEX(Settings!$G$7:$G$11,MOD('_Engine'!CW26,10))&amp;IF('_Engine'!CW26&gt;10,"?","")&amp;" AM",INDEX(Settings!$G$7:$G$11,MOD('_Engine'!CW26,10))&amp;IF('_Engine'!CW26&gt;10,"?","")&amp;" AM"&amp;CHAR(10)&amp;INDEX(Settings!$G$7:$G$11,MOD('_Engine'!CX26,10))&amp;IF('_Engine'!CX26&gt;10,"?","")&amp;" PM"))))))))</ns0:f>
        <ns0:v/>
      </ns0:c>
      <ns0:c r="AB26" s="164" t="str">
        <ns0:f>IF(OR($A26="",AB$11=""),"",IF(OR('_Engine'!$B$6&gt;0,INDEX('_Engine'!$AM$11:$AM$60,'_Engine'!$AO26)&lt;&gt;"OK"),"!",IF(INDEX(Team!$H$11:$N$60,'_Engine'!$AO26,WEEKDAY(AB$11,2))&lt;&gt;"Work","—",IF(COUNTIF(Settings!$F$18:$F$67,AB$11)&gt;0,"BH",IF('_Engine'!CY26+'_Engine'!CZ26=0,"·",IF('_Engine'!CY26='_Engine'!CZ26,INDEX(Settings!$G$7:$G$11,MOD('_Engine'!CY26,10))&amp;IF('_Engine'!CY26&gt;10,"?",""),IF('_Engine'!CY26=0,INDEX(Settings!$G$7:$G$11,MOD('_Engine'!CZ26,10))&amp;IF('_Engine'!CZ26&gt;10,"?","")&amp;" PM",IF('_Engine'!CZ26=0,INDEX(Settings!$G$7:$G$11,MOD('_Engine'!CY26,10))&amp;IF('_Engine'!CY26&gt;10,"?","")&amp;" AM",INDEX(Settings!$G$7:$G$11,MOD('_Engine'!CY26,10))&amp;IF('_Engine'!CY26&gt;10,"?","")&amp;" AM"&amp;CHAR(10)&amp;INDEX(Settings!$G$7:$G$11,MOD('_Engine'!CZ26,10))&amp;IF('_Engine'!CZ26&gt;10,"?","")&amp;" PM"))))))))</ns0:f>
        <ns0:v/>
      </ns0:c>
      <ns0:c r="AC26" s="164" t="str">
        <ns0:f>IF(OR($A26="",AC$11=""),"",IF(OR('_Engine'!$B$6&gt;0,INDEX('_Engine'!$AM$11:$AM$60,'_Engine'!$AO26)&lt;&gt;"OK"),"!",IF(INDEX(Team!$H$11:$N$60,'_Engine'!$AO26,WEEKDAY(AC$11,2))&lt;&gt;"Work","—",IF(COUNTIF(Settings!$F$18:$F$67,AC$11)&gt;0,"BH",IF('_Engine'!DA26+'_Engine'!DB26=0,"·",IF('_Engine'!DA26='_Engine'!DB26,INDEX(Settings!$G$7:$G$11,MOD('_Engine'!DA26,10))&amp;IF('_Engine'!DA26&gt;10,"?",""),IF('_Engine'!DA26=0,INDEX(Settings!$G$7:$G$11,MOD('_Engine'!DB26,10))&amp;IF('_Engine'!DB26&gt;10,"?","")&amp;" PM",IF('_Engine'!DB26=0,INDEX(Settings!$G$7:$G$11,MOD('_Engine'!DA26,10))&amp;IF('_Engine'!DA26&gt;10,"?","")&amp;" AM",INDEX(Settings!$G$7:$G$11,MOD('_Engine'!DA26,10))&amp;IF('_Engine'!DA26&gt;10,"?","")&amp;" AM"&amp;CHAR(10)&amp;INDEX(Settings!$G$7:$G$11,MOD('_Engine'!DB26,10))&amp;IF('_Engine'!DB26&gt;10,"?","")&amp;" PM"))))))))</ns0:f>
        <ns0:v/>
      </ns0:c>
      <ns0:c r="AD26" s="164" t="str">
        <ns0:f>IF(OR($A26="",AD$11=""),"",IF(OR('_Engine'!$B$6&gt;0,INDEX('_Engine'!$AM$11:$AM$60,'_Engine'!$AO26)&lt;&gt;"OK"),"!",IF(INDEX(Team!$H$11:$N$60,'_Engine'!$AO26,WEEKDAY(AD$11,2))&lt;&gt;"Work","—",IF(COUNTIF(Settings!$F$18:$F$67,AD$11)&gt;0,"BH",IF('_Engine'!DC26+'_Engine'!DD26=0,"·",IF('_Engine'!DC26='_Engine'!DD26,INDEX(Settings!$G$7:$G$11,MOD('_Engine'!DC26,10))&amp;IF('_Engine'!DC26&gt;10,"?",""),IF('_Engine'!DC26=0,INDEX(Settings!$G$7:$G$11,MOD('_Engine'!DD26,10))&amp;IF('_Engine'!DD26&gt;10,"?","")&amp;" PM",IF('_Engine'!DD26=0,INDEX(Settings!$G$7:$G$11,MOD('_Engine'!DC26,10))&amp;IF('_Engine'!DC26&gt;10,"?","")&amp;" AM",INDEX(Settings!$G$7:$G$11,MOD('_Engine'!DC26,10))&amp;IF('_Engine'!DC26&gt;10,"?","")&amp;" AM"&amp;CHAR(10)&amp;INDEX(Settings!$G$7:$G$11,MOD('_Engine'!DD26,10))&amp;IF('_Engine'!DD26&gt;10,"?","")&amp;" PM"))))))))</ns0:f>
        <ns0:v/>
      </ns0:c>
      <ns0:c r="AE26" s="164" t="str">
        <ns0:f>IF(OR($A26="",AE$11=""),"",IF(OR('_Engine'!$B$6&gt;0,INDEX('_Engine'!$AM$11:$AM$60,'_Engine'!$AO26)&lt;&gt;"OK"),"!",IF(INDEX(Team!$H$11:$N$60,'_Engine'!$AO26,WEEKDAY(AE$11,2))&lt;&gt;"Work","—",IF(COUNTIF(Settings!$F$18:$F$67,AE$11)&gt;0,"BH",IF('_Engine'!DE26+'_Engine'!DF26=0,"·",IF('_Engine'!DE26='_Engine'!DF26,INDEX(Settings!$G$7:$G$11,MOD('_Engine'!DE26,10))&amp;IF('_Engine'!DE26&gt;10,"?",""),IF('_Engine'!DE26=0,INDEX(Settings!$G$7:$G$11,MOD('_Engine'!DF26,10))&amp;IF('_Engine'!DF26&gt;10,"?","")&amp;" PM",IF('_Engine'!DF26=0,INDEX(Settings!$G$7:$G$11,MOD('_Engine'!DE26,10))&amp;IF('_Engine'!DE26&gt;10,"?","")&amp;" AM",INDEX(Settings!$G$7:$G$11,MOD('_Engine'!DE26,10))&amp;IF('_Engine'!DE26&gt;10,"?","")&amp;" AM"&amp;CHAR(10)&amp;INDEX(Settings!$G$7:$G$11,MOD('_Engine'!DF26,10))&amp;IF('_Engine'!DF26&gt;10,"?","")&amp;" PM"))))))))</ns0:f>
        <ns0:v/>
      </ns0:c>
      <ns0:c r="AF26" s="164" t="str">
        <ns0:f>IF(OR($A26="",AF$11=""),"",IF(OR('_Engine'!$B$6&gt;0,INDEX('_Engine'!$AM$11:$AM$60,'_Engine'!$AO26)&lt;&gt;"OK"),"!",IF(INDEX(Team!$H$11:$N$60,'_Engine'!$AO26,WEEKDAY(AF$11,2))&lt;&gt;"Work","—",IF(COUNTIF(Settings!$F$18:$F$67,AF$11)&gt;0,"BH",IF('_Engine'!DG26+'_Engine'!DH26=0,"·",IF('_Engine'!DG26='_Engine'!DH26,INDEX(Settings!$G$7:$G$11,MOD('_Engine'!DG26,10))&amp;IF('_Engine'!DG26&gt;10,"?",""),IF('_Engine'!DG26=0,INDEX(Settings!$G$7:$G$11,MOD('_Engine'!DH26,10))&amp;IF('_Engine'!DH26&gt;10,"?","")&amp;" PM",IF('_Engine'!DH26=0,INDEX(Settings!$G$7:$G$11,MOD('_Engine'!DG26,10))&amp;IF('_Engine'!DG26&gt;10,"?","")&amp;" AM",INDEX(Settings!$G$7:$G$11,MOD('_Engine'!DG26,10))&amp;IF('_Engine'!DG26&gt;10,"?","")&amp;" AM"&amp;CHAR(10)&amp;INDEX(Settings!$G$7:$G$11,MOD('_Engine'!DH26,10))&amp;IF('_Engine'!DH26&gt;10,"?","")&amp;" PM"))))))))</ns0:f>
        <ns0:v/>
      </ns0:c>
      <ns0:c r="AG26" s="164" t="str">
        <ns0:f>IF(OR($A26="",AG$11=""),"",IF(OR('_Engine'!$B$6&gt;0,INDEX('_Engine'!$AM$11:$AM$60,'_Engine'!$AO26)&lt;&gt;"OK"),"!",IF(INDEX(Team!$H$11:$N$60,'_Engine'!$AO26,WEEKDAY(AG$11,2))&lt;&gt;"Work","—",IF(COUNTIF(Settings!$F$18:$F$67,AG$11)&gt;0,"BH",IF('_Engine'!DI26+'_Engine'!DJ26=0,"·",IF('_Engine'!DI26='_Engine'!DJ26,INDEX(Settings!$G$7:$G$11,MOD('_Engine'!DI26,10))&amp;IF('_Engine'!DI26&gt;10,"?",""),IF('_Engine'!DI26=0,INDEX(Settings!$G$7:$G$11,MOD('_Engine'!DJ26,10))&amp;IF('_Engine'!DJ26&gt;10,"?","")&amp;" PM",IF('_Engine'!DJ26=0,INDEX(Settings!$G$7:$G$11,MOD('_Engine'!DI26,10))&amp;IF('_Engine'!DI26&gt;10,"?","")&amp;" AM",INDEX(Settings!$G$7:$G$11,MOD('_Engine'!DI26,10))&amp;IF('_Engine'!DI26&gt;10,"?","")&amp;" AM"&amp;CHAR(10)&amp;INDEX(Settings!$G$7:$G$11,MOD('_Engine'!DJ26,10))&amp;IF('_Engine'!DJ26&gt;10,"?","")&amp;" PM"))))))))</ns0:f>
        <ns0:v/>
      </ns0:c>
      <ns0:c r="AH26" s="164" t="str">
        <ns0:f>IF(OR($A26="",AH$11=""),"",IF(OR('_Engine'!$B$6&gt;0,INDEX('_Engine'!$AM$11:$AM$60,'_Engine'!$AO26)&lt;&gt;"OK"),"!",IF(INDEX(Team!$H$11:$N$60,'_Engine'!$AO26,WEEKDAY(AH$11,2))&lt;&gt;"Work","—",IF(COUNTIF(Settings!$F$18:$F$67,AH$11)&gt;0,"BH",IF('_Engine'!DK26+'_Engine'!DL26=0,"·",IF('_Engine'!DK26='_Engine'!DL26,INDEX(Settings!$G$7:$G$11,MOD('_Engine'!DK26,10))&amp;IF('_Engine'!DK26&gt;10,"?",""),IF('_Engine'!DK26=0,INDEX(Settings!$G$7:$G$11,MOD('_Engine'!DL26,10))&amp;IF('_Engine'!DL26&gt;10,"?","")&amp;" PM",IF('_Engine'!DL26=0,INDEX(Settings!$G$7:$G$11,MOD('_Engine'!DK26,10))&amp;IF('_Engine'!DK26&gt;10,"?","")&amp;" AM",INDEX(Settings!$G$7:$G$11,MOD('_Engine'!DK26,10))&amp;IF('_Engine'!DK26&gt;10,"?","")&amp;" AM"&amp;CHAR(10)&amp;INDEX(Settings!$G$7:$G$11,MOD('_Engine'!DL26,10))&amp;IF('_Engine'!DL26&gt;10,"?","")&amp;" PM"))))))))</ns0:f>
        <ns0:v/>
      </ns0:c>
    </ns0:row>
    <ns0:row r="27" ht="38" customHeight="1">
      <ns0:c r="A27" s="4" t="str">
        <ns0:f>IF('_Engine'!AO27=0,"",IF(INDEX(Team!$B$11:$B$60,'_Engine'!AO27)="","[Unnamed]",INDEX(Team!$B$11:$B$60,'_Engine'!AO27)))</ns0:f>
        <ns0:v/>
      </ns0:c>
      <ns0:c r="B27" s="156" t="str">
        <ns0:f>IF('_Engine'!AO27=0,"",INDEX('_Engine'!$AN$11:$AN$60,'_Engine'!AO27))</ns0:f>
        <ns0:v/>
      </ns0:c>
      <ns0:c r="C27" s="4" t="str">
        <ns0:f>IF('_Engine'!AO27=0,"",INDEX(Team!$C$11:$C$60,'_Engine'!AO27))</ns0:f>
        <ns0:v/>
      </ns0:c>
      <ns0:c r="D27" s="162" t="str">
        <ns0:f>IF(OR($A27="",D$11=""),"",IF(OR('_Engine'!$B$6&gt;0,INDEX('_Engine'!$AM$11:$AM$60,'_Engine'!$AO27)&lt;&gt;"OK"),"!",IF(INDEX(Team!$H$11:$N$60,'_Engine'!$AO27,WEEKDAY(D$11,2))&lt;&gt;"Work","—",IF(COUNTIF(Settings!$F$18:$F$67,D$11)&gt;0,"BH",IF('_Engine'!BC27+'_Engine'!BD27=0,"·",IF('_Engine'!BC27='_Engine'!BD27,INDEX(Settings!$G$7:$G$11,MOD('_Engine'!BC27,10))&amp;IF('_Engine'!BC27&gt;10,"?",""),IF('_Engine'!BC27=0,INDEX(Settings!$G$7:$G$11,MOD('_Engine'!BD27,10))&amp;IF('_Engine'!BD27&gt;10,"?","")&amp;" PM",IF('_Engine'!BD27=0,INDEX(Settings!$G$7:$G$11,MOD('_Engine'!BC27,10))&amp;IF('_Engine'!BC27&gt;10,"?","")&amp;" AM",INDEX(Settings!$G$7:$G$11,MOD('_Engine'!BC27,10))&amp;IF('_Engine'!BC27&gt;10,"?","")&amp;" AM"&amp;CHAR(10)&amp;INDEX(Settings!$G$7:$G$11,MOD('_Engine'!BD27,10))&amp;IF('_Engine'!BD27&gt;10,"?","")&amp;" PM"))))))))</ns0:f>
        <ns0:v/>
      </ns0:c>
      <ns0:c r="E27" s="162" t="str">
        <ns0:f>IF(OR($A27="",E$11=""),"",IF(OR('_Engine'!$B$6&gt;0,INDEX('_Engine'!$AM$11:$AM$60,'_Engine'!$AO27)&lt;&gt;"OK"),"!",IF(INDEX(Team!$H$11:$N$60,'_Engine'!$AO27,WEEKDAY(E$11,2))&lt;&gt;"Work","—",IF(COUNTIF(Settings!$F$18:$F$67,E$11)&gt;0,"BH",IF('_Engine'!BE27+'_Engine'!BF27=0,"·",IF('_Engine'!BE27='_Engine'!BF27,INDEX(Settings!$G$7:$G$11,MOD('_Engine'!BE27,10))&amp;IF('_Engine'!BE27&gt;10,"?",""),IF('_Engine'!BE27=0,INDEX(Settings!$G$7:$G$11,MOD('_Engine'!BF27,10))&amp;IF('_Engine'!BF27&gt;10,"?","")&amp;" PM",IF('_Engine'!BF27=0,INDEX(Settings!$G$7:$G$11,MOD('_Engine'!BE27,10))&amp;IF('_Engine'!BE27&gt;10,"?","")&amp;" AM",INDEX(Settings!$G$7:$G$11,MOD('_Engine'!BE27,10))&amp;IF('_Engine'!BE27&gt;10,"?","")&amp;" AM"&amp;CHAR(10)&amp;INDEX(Settings!$G$7:$G$11,MOD('_Engine'!BF27,10))&amp;IF('_Engine'!BF27&gt;10,"?","")&amp;" PM"))))))))</ns0:f>
        <ns0:v/>
      </ns0:c>
      <ns0:c r="F27" s="162" t="str">
        <ns0:f>IF(OR($A27="",F$11=""),"",IF(OR('_Engine'!$B$6&gt;0,INDEX('_Engine'!$AM$11:$AM$60,'_Engine'!$AO27)&lt;&gt;"OK"),"!",IF(INDEX(Team!$H$11:$N$60,'_Engine'!$AO27,WEEKDAY(F$11,2))&lt;&gt;"Work","—",IF(COUNTIF(Settings!$F$18:$F$67,F$11)&gt;0,"BH",IF('_Engine'!BG27+'_Engine'!BH27=0,"·",IF('_Engine'!BG27='_Engine'!BH27,INDEX(Settings!$G$7:$G$11,MOD('_Engine'!BG27,10))&amp;IF('_Engine'!BG27&gt;10,"?",""),IF('_Engine'!BG27=0,INDEX(Settings!$G$7:$G$11,MOD('_Engine'!BH27,10))&amp;IF('_Engine'!BH27&gt;10,"?","")&amp;" PM",IF('_Engine'!BH27=0,INDEX(Settings!$G$7:$G$11,MOD('_Engine'!BG27,10))&amp;IF('_Engine'!BG27&gt;10,"?","")&amp;" AM",INDEX(Settings!$G$7:$G$11,MOD('_Engine'!BG27,10))&amp;IF('_Engine'!BG27&gt;10,"?","")&amp;" AM"&amp;CHAR(10)&amp;INDEX(Settings!$G$7:$G$11,MOD('_Engine'!BH27,10))&amp;IF('_Engine'!BH27&gt;10,"?","")&amp;" PM"))))))))</ns0:f>
        <ns0:v/>
      </ns0:c>
      <ns0:c r="G27" s="162" t="str">
        <ns0:f>IF(OR($A27="",G$11=""),"",IF(OR('_Engine'!$B$6&gt;0,INDEX('_Engine'!$AM$11:$AM$60,'_Engine'!$AO27)&lt;&gt;"OK"),"!",IF(INDEX(Team!$H$11:$N$60,'_Engine'!$AO27,WEEKDAY(G$11,2))&lt;&gt;"Work","—",IF(COUNTIF(Settings!$F$18:$F$67,G$11)&gt;0,"BH",IF('_Engine'!BI27+'_Engine'!BJ27=0,"·",IF('_Engine'!BI27='_Engine'!BJ27,INDEX(Settings!$G$7:$G$11,MOD('_Engine'!BI27,10))&amp;IF('_Engine'!BI27&gt;10,"?",""),IF('_Engine'!BI27=0,INDEX(Settings!$G$7:$G$11,MOD('_Engine'!BJ27,10))&amp;IF('_Engine'!BJ27&gt;10,"?","")&amp;" PM",IF('_Engine'!BJ27=0,INDEX(Settings!$G$7:$G$11,MOD('_Engine'!BI27,10))&amp;IF('_Engine'!BI27&gt;10,"?","")&amp;" AM",INDEX(Settings!$G$7:$G$11,MOD('_Engine'!BI27,10))&amp;IF('_Engine'!BI27&gt;10,"?","")&amp;" AM"&amp;CHAR(10)&amp;INDEX(Settings!$G$7:$G$11,MOD('_Engine'!BJ27,10))&amp;IF('_Engine'!BJ27&gt;10,"?","")&amp;" PM"))))))))</ns0:f>
        <ns0:v/>
      </ns0:c>
      <ns0:c r="H27" s="162" t="str">
        <ns0:f>IF(OR($A27="",H$11=""),"",IF(OR('_Engine'!$B$6&gt;0,INDEX('_Engine'!$AM$11:$AM$60,'_Engine'!$AO27)&lt;&gt;"OK"),"!",IF(INDEX(Team!$H$11:$N$60,'_Engine'!$AO27,WEEKDAY(H$11,2))&lt;&gt;"Work","—",IF(COUNTIF(Settings!$F$18:$F$67,H$11)&gt;0,"BH",IF('_Engine'!BK27+'_Engine'!BL27=0,"·",IF('_Engine'!BK27='_Engine'!BL27,INDEX(Settings!$G$7:$G$11,MOD('_Engine'!BK27,10))&amp;IF('_Engine'!BK27&gt;10,"?",""),IF('_Engine'!BK27=0,INDEX(Settings!$G$7:$G$11,MOD('_Engine'!BL27,10))&amp;IF('_Engine'!BL27&gt;10,"?","")&amp;" PM",IF('_Engine'!BL27=0,INDEX(Settings!$G$7:$G$11,MOD('_Engine'!BK27,10))&amp;IF('_Engine'!BK27&gt;10,"?","")&amp;" AM",INDEX(Settings!$G$7:$G$11,MOD('_Engine'!BK27,10))&amp;IF('_Engine'!BK27&gt;10,"?","")&amp;" AM"&amp;CHAR(10)&amp;INDEX(Settings!$G$7:$G$11,MOD('_Engine'!BL27,10))&amp;IF('_Engine'!BL27&gt;10,"?","")&amp;" PM"))))))))</ns0:f>
        <ns0:v/>
      </ns0:c>
      <ns0:c r="I27" s="162" t="str">
        <ns0:f>IF(OR($A27="",I$11=""),"",IF(OR('_Engine'!$B$6&gt;0,INDEX('_Engine'!$AM$11:$AM$60,'_Engine'!$AO27)&lt;&gt;"OK"),"!",IF(INDEX(Team!$H$11:$N$60,'_Engine'!$AO27,WEEKDAY(I$11,2))&lt;&gt;"Work","—",IF(COUNTIF(Settings!$F$18:$F$67,I$11)&gt;0,"BH",IF('_Engine'!BM27+'_Engine'!BN27=0,"·",IF('_Engine'!BM27='_Engine'!BN27,INDEX(Settings!$G$7:$G$11,MOD('_Engine'!BM27,10))&amp;IF('_Engine'!BM27&gt;10,"?",""),IF('_Engine'!BM27=0,INDEX(Settings!$G$7:$G$11,MOD('_Engine'!BN27,10))&amp;IF('_Engine'!BN27&gt;10,"?","")&amp;" PM",IF('_Engine'!BN27=0,INDEX(Settings!$G$7:$G$11,MOD('_Engine'!BM27,10))&amp;IF('_Engine'!BM27&gt;10,"?","")&amp;" AM",INDEX(Settings!$G$7:$G$11,MOD('_Engine'!BM27,10))&amp;IF('_Engine'!BM27&gt;10,"?","")&amp;" AM"&amp;CHAR(10)&amp;INDEX(Settings!$G$7:$G$11,MOD('_Engine'!BN27,10))&amp;IF('_Engine'!BN27&gt;10,"?","")&amp;" PM"))))))))</ns0:f>
        <ns0:v/>
      </ns0:c>
      <ns0:c r="J27" s="162" t="str">
        <ns0:f>IF(OR($A27="",J$11=""),"",IF(OR('_Engine'!$B$6&gt;0,INDEX('_Engine'!$AM$11:$AM$60,'_Engine'!$AO27)&lt;&gt;"OK"),"!",IF(INDEX(Team!$H$11:$N$60,'_Engine'!$AO27,WEEKDAY(J$11,2))&lt;&gt;"Work","—",IF(COUNTIF(Settings!$F$18:$F$67,J$11)&gt;0,"BH",IF('_Engine'!BO27+'_Engine'!BP27=0,"·",IF('_Engine'!BO27='_Engine'!BP27,INDEX(Settings!$G$7:$G$11,MOD('_Engine'!BO27,10))&amp;IF('_Engine'!BO27&gt;10,"?",""),IF('_Engine'!BO27=0,INDEX(Settings!$G$7:$G$11,MOD('_Engine'!BP27,10))&amp;IF('_Engine'!BP27&gt;10,"?","")&amp;" PM",IF('_Engine'!BP27=0,INDEX(Settings!$G$7:$G$11,MOD('_Engine'!BO27,10))&amp;IF('_Engine'!BO27&gt;10,"?","")&amp;" AM",INDEX(Settings!$G$7:$G$11,MOD('_Engine'!BO27,10))&amp;IF('_Engine'!BO27&gt;10,"?","")&amp;" AM"&amp;CHAR(10)&amp;INDEX(Settings!$G$7:$G$11,MOD('_Engine'!BP27,10))&amp;IF('_Engine'!BP27&gt;10,"?","")&amp;" PM"))))))))</ns0:f>
        <ns0:v/>
      </ns0:c>
      <ns0:c r="K27" s="164" t="str">
        <ns0:f>IF(OR($A27="",K$11=""),"",IF(OR('_Engine'!$B$6&gt;0,INDEX('_Engine'!$AM$11:$AM$60,'_Engine'!$AO27)&lt;&gt;"OK"),"!",IF(INDEX(Team!$H$11:$N$60,'_Engine'!$AO27,WEEKDAY(K$11,2))&lt;&gt;"Work","—",IF(COUNTIF(Settings!$F$18:$F$67,K$11)&gt;0,"BH",IF('_Engine'!BQ27+'_Engine'!BR27=0,"·",IF('_Engine'!BQ27='_Engine'!BR27,INDEX(Settings!$G$7:$G$11,MOD('_Engine'!BQ27,10))&amp;IF('_Engine'!BQ27&gt;10,"?",""),IF('_Engine'!BQ27=0,INDEX(Settings!$G$7:$G$11,MOD('_Engine'!BR27,10))&amp;IF('_Engine'!BR27&gt;10,"?","")&amp;" PM",IF('_Engine'!BR27=0,INDEX(Settings!$G$7:$G$11,MOD('_Engine'!BQ27,10))&amp;IF('_Engine'!BQ27&gt;10,"?","")&amp;" AM",INDEX(Settings!$G$7:$G$11,MOD('_Engine'!BQ27,10))&amp;IF('_Engine'!BQ27&gt;10,"?","")&amp;" AM"&amp;CHAR(10)&amp;INDEX(Settings!$G$7:$G$11,MOD('_Engine'!BR27,10))&amp;IF('_Engine'!BR27&gt;10,"?","")&amp;" PM"))))))))</ns0:f>
        <ns0:v/>
      </ns0:c>
      <ns0:c r="L27" s="164" t="str">
        <ns0:f>IF(OR($A27="",L$11=""),"",IF(OR('_Engine'!$B$6&gt;0,INDEX('_Engine'!$AM$11:$AM$60,'_Engine'!$AO27)&lt;&gt;"OK"),"!",IF(INDEX(Team!$H$11:$N$60,'_Engine'!$AO27,WEEKDAY(L$11,2))&lt;&gt;"Work","—",IF(COUNTIF(Settings!$F$18:$F$67,L$11)&gt;0,"BH",IF('_Engine'!BS27+'_Engine'!BT27=0,"·",IF('_Engine'!BS27='_Engine'!BT27,INDEX(Settings!$G$7:$G$11,MOD('_Engine'!BS27,10))&amp;IF('_Engine'!BS27&gt;10,"?",""),IF('_Engine'!BS27=0,INDEX(Settings!$G$7:$G$11,MOD('_Engine'!BT27,10))&amp;IF('_Engine'!BT27&gt;10,"?","")&amp;" PM",IF('_Engine'!BT27=0,INDEX(Settings!$G$7:$G$11,MOD('_Engine'!BS27,10))&amp;IF('_Engine'!BS27&gt;10,"?","")&amp;" AM",INDEX(Settings!$G$7:$G$11,MOD('_Engine'!BS27,10))&amp;IF('_Engine'!BS27&gt;10,"?","")&amp;" AM"&amp;CHAR(10)&amp;INDEX(Settings!$G$7:$G$11,MOD('_Engine'!BT27,10))&amp;IF('_Engine'!BT27&gt;10,"?","")&amp;" PM"))))))))</ns0:f>
        <ns0:v/>
      </ns0:c>
      <ns0:c r="M27" s="164" t="str">
        <ns0:f>IF(OR($A27="",M$11=""),"",IF(OR('_Engine'!$B$6&gt;0,INDEX('_Engine'!$AM$11:$AM$60,'_Engine'!$AO27)&lt;&gt;"OK"),"!",IF(INDEX(Team!$H$11:$N$60,'_Engine'!$AO27,WEEKDAY(M$11,2))&lt;&gt;"Work","—",IF(COUNTIF(Settings!$F$18:$F$67,M$11)&gt;0,"BH",IF('_Engine'!BU27+'_Engine'!BV27=0,"·",IF('_Engine'!BU27='_Engine'!BV27,INDEX(Settings!$G$7:$G$11,MOD('_Engine'!BU27,10))&amp;IF('_Engine'!BU27&gt;10,"?",""),IF('_Engine'!BU27=0,INDEX(Settings!$G$7:$G$11,MOD('_Engine'!BV27,10))&amp;IF('_Engine'!BV27&gt;10,"?","")&amp;" PM",IF('_Engine'!BV27=0,INDEX(Settings!$G$7:$G$11,MOD('_Engine'!BU27,10))&amp;IF('_Engine'!BU27&gt;10,"?","")&amp;" AM",INDEX(Settings!$G$7:$G$11,MOD('_Engine'!BU27,10))&amp;IF('_Engine'!BU27&gt;10,"?","")&amp;" AM"&amp;CHAR(10)&amp;INDEX(Settings!$G$7:$G$11,MOD('_Engine'!BV27,10))&amp;IF('_Engine'!BV27&gt;10,"?","")&amp;" PM"))))))))</ns0:f>
        <ns0:v/>
      </ns0:c>
      <ns0:c r="N27" s="164" t="str">
        <ns0:f>IF(OR($A27="",N$11=""),"",IF(OR('_Engine'!$B$6&gt;0,INDEX('_Engine'!$AM$11:$AM$60,'_Engine'!$AO27)&lt;&gt;"OK"),"!",IF(INDEX(Team!$H$11:$N$60,'_Engine'!$AO27,WEEKDAY(N$11,2))&lt;&gt;"Work","—",IF(COUNTIF(Settings!$F$18:$F$67,N$11)&gt;0,"BH",IF('_Engine'!BW27+'_Engine'!BX27=0,"·",IF('_Engine'!BW27='_Engine'!BX27,INDEX(Settings!$G$7:$G$11,MOD('_Engine'!BW27,10))&amp;IF('_Engine'!BW27&gt;10,"?",""),IF('_Engine'!BW27=0,INDEX(Settings!$G$7:$G$11,MOD('_Engine'!BX27,10))&amp;IF('_Engine'!BX27&gt;10,"?","")&amp;" PM",IF('_Engine'!BX27=0,INDEX(Settings!$G$7:$G$11,MOD('_Engine'!BW27,10))&amp;IF('_Engine'!BW27&gt;10,"?","")&amp;" AM",INDEX(Settings!$G$7:$G$11,MOD('_Engine'!BW27,10))&amp;IF('_Engine'!BW27&gt;10,"?","")&amp;" AM"&amp;CHAR(10)&amp;INDEX(Settings!$G$7:$G$11,MOD('_Engine'!BX27,10))&amp;IF('_Engine'!BX27&gt;10,"?","")&amp;" PM"))))))))</ns0:f>
        <ns0:v/>
      </ns0:c>
      <ns0:c r="O27" s="164" t="str">
        <ns0:f>IF(OR($A27="",O$11=""),"",IF(OR('_Engine'!$B$6&gt;0,INDEX('_Engine'!$AM$11:$AM$60,'_Engine'!$AO27)&lt;&gt;"OK"),"!",IF(INDEX(Team!$H$11:$N$60,'_Engine'!$AO27,WEEKDAY(O$11,2))&lt;&gt;"Work","—",IF(COUNTIF(Settings!$F$18:$F$67,O$11)&gt;0,"BH",IF('_Engine'!BY27+'_Engine'!BZ27=0,"·",IF('_Engine'!BY27='_Engine'!BZ27,INDEX(Settings!$G$7:$G$11,MOD('_Engine'!BY27,10))&amp;IF('_Engine'!BY27&gt;10,"?",""),IF('_Engine'!BY27=0,INDEX(Settings!$G$7:$G$11,MOD('_Engine'!BZ27,10))&amp;IF('_Engine'!BZ27&gt;10,"?","")&amp;" PM",IF('_Engine'!BZ27=0,INDEX(Settings!$G$7:$G$11,MOD('_Engine'!BY27,10))&amp;IF('_Engine'!BY27&gt;10,"?","")&amp;" AM",INDEX(Settings!$G$7:$G$11,MOD('_Engine'!BY27,10))&amp;IF('_Engine'!BY27&gt;10,"?","")&amp;" AM"&amp;CHAR(10)&amp;INDEX(Settings!$G$7:$G$11,MOD('_Engine'!BZ27,10))&amp;IF('_Engine'!BZ27&gt;10,"?","")&amp;" PM"))))))))</ns0:f>
        <ns0:v/>
      </ns0:c>
      <ns0:c r="P27" s="164" t="str">
        <ns0:f>IF(OR($A27="",P$11=""),"",IF(OR('_Engine'!$B$6&gt;0,INDEX('_Engine'!$AM$11:$AM$60,'_Engine'!$AO27)&lt;&gt;"OK"),"!",IF(INDEX(Team!$H$11:$N$60,'_Engine'!$AO27,WEEKDAY(P$11,2))&lt;&gt;"Work","—",IF(COUNTIF(Settings!$F$18:$F$67,P$11)&gt;0,"BH",IF('_Engine'!CA27+'_Engine'!CB27=0,"·",IF('_Engine'!CA27='_Engine'!CB27,INDEX(Settings!$G$7:$G$11,MOD('_Engine'!CA27,10))&amp;IF('_Engine'!CA27&gt;10,"?",""),IF('_Engine'!CA27=0,INDEX(Settings!$G$7:$G$11,MOD('_Engine'!CB27,10))&amp;IF('_Engine'!CB27&gt;10,"?","")&amp;" PM",IF('_Engine'!CB27=0,INDEX(Settings!$G$7:$G$11,MOD('_Engine'!CA27,10))&amp;IF('_Engine'!CA27&gt;10,"?","")&amp;" AM",INDEX(Settings!$G$7:$G$11,MOD('_Engine'!CA27,10))&amp;IF('_Engine'!CA27&gt;10,"?","")&amp;" AM"&amp;CHAR(10)&amp;INDEX(Settings!$G$7:$G$11,MOD('_Engine'!CB27,10))&amp;IF('_Engine'!CB27&gt;10,"?","")&amp;" PM"))))))))</ns0:f>
        <ns0:v/>
      </ns0:c>
      <ns0:c r="Q27" s="164" t="str">
        <ns0:f>IF(OR($A27="",Q$11=""),"",IF(OR('_Engine'!$B$6&gt;0,INDEX('_Engine'!$AM$11:$AM$60,'_Engine'!$AO27)&lt;&gt;"OK"),"!",IF(INDEX(Team!$H$11:$N$60,'_Engine'!$AO27,WEEKDAY(Q$11,2))&lt;&gt;"Work","—",IF(COUNTIF(Settings!$F$18:$F$67,Q$11)&gt;0,"BH",IF('_Engine'!CC27+'_Engine'!CD27=0,"·",IF('_Engine'!CC27='_Engine'!CD27,INDEX(Settings!$G$7:$G$11,MOD('_Engine'!CC27,10))&amp;IF('_Engine'!CC27&gt;10,"?",""),IF('_Engine'!CC27=0,INDEX(Settings!$G$7:$G$11,MOD('_Engine'!CD27,10))&amp;IF('_Engine'!CD27&gt;10,"?","")&amp;" PM",IF('_Engine'!CD27=0,INDEX(Settings!$G$7:$G$11,MOD('_Engine'!CC27,10))&amp;IF('_Engine'!CC27&gt;10,"?","")&amp;" AM",INDEX(Settings!$G$7:$G$11,MOD('_Engine'!CC27,10))&amp;IF('_Engine'!CC27&gt;10,"?","")&amp;" AM"&amp;CHAR(10)&amp;INDEX(Settings!$G$7:$G$11,MOD('_Engine'!CD27,10))&amp;IF('_Engine'!CD27&gt;10,"?","")&amp;" PM"))))))))</ns0:f>
        <ns0:v/>
      </ns0:c>
      <ns0:c r="R27" s="164" t="str">
        <ns0:f>IF(OR($A27="",R$11=""),"",IF(OR('_Engine'!$B$6&gt;0,INDEX('_Engine'!$AM$11:$AM$60,'_Engine'!$AO27)&lt;&gt;"OK"),"!",IF(INDEX(Team!$H$11:$N$60,'_Engine'!$AO27,WEEKDAY(R$11,2))&lt;&gt;"Work","—",IF(COUNTIF(Settings!$F$18:$F$67,R$11)&gt;0,"BH",IF('_Engine'!CE27+'_Engine'!CF27=0,"·",IF('_Engine'!CE27='_Engine'!CF27,INDEX(Settings!$G$7:$G$11,MOD('_Engine'!CE27,10))&amp;IF('_Engine'!CE27&gt;10,"?",""),IF('_Engine'!CE27=0,INDEX(Settings!$G$7:$G$11,MOD('_Engine'!CF27,10))&amp;IF('_Engine'!CF27&gt;10,"?","")&amp;" PM",IF('_Engine'!CF27=0,INDEX(Settings!$G$7:$G$11,MOD('_Engine'!CE27,10))&amp;IF('_Engine'!CE27&gt;10,"?","")&amp;" AM",INDEX(Settings!$G$7:$G$11,MOD('_Engine'!CE27,10))&amp;IF('_Engine'!CE27&gt;10,"?","")&amp;" AM"&amp;CHAR(10)&amp;INDEX(Settings!$G$7:$G$11,MOD('_Engine'!CF27,10))&amp;IF('_Engine'!CF27&gt;10,"?","")&amp;" PM"))))))))</ns0:f>
        <ns0:v/>
      </ns0:c>
      <ns0:c r="S27" s="164" t="str">
        <ns0:f>IF(OR($A27="",S$11=""),"",IF(OR('_Engine'!$B$6&gt;0,INDEX('_Engine'!$AM$11:$AM$60,'_Engine'!$AO27)&lt;&gt;"OK"),"!",IF(INDEX(Team!$H$11:$N$60,'_Engine'!$AO27,WEEKDAY(S$11,2))&lt;&gt;"Work","—",IF(COUNTIF(Settings!$F$18:$F$67,S$11)&gt;0,"BH",IF('_Engine'!CG27+'_Engine'!CH27=0,"·",IF('_Engine'!CG27='_Engine'!CH27,INDEX(Settings!$G$7:$G$11,MOD('_Engine'!CG27,10))&amp;IF('_Engine'!CG27&gt;10,"?",""),IF('_Engine'!CG27=0,INDEX(Settings!$G$7:$G$11,MOD('_Engine'!CH27,10))&amp;IF('_Engine'!CH27&gt;10,"?","")&amp;" PM",IF('_Engine'!CH27=0,INDEX(Settings!$G$7:$G$11,MOD('_Engine'!CG27,10))&amp;IF('_Engine'!CG27&gt;10,"?","")&amp;" AM",INDEX(Settings!$G$7:$G$11,MOD('_Engine'!CG27,10))&amp;IF('_Engine'!CG27&gt;10,"?","")&amp;" AM"&amp;CHAR(10)&amp;INDEX(Settings!$G$7:$G$11,MOD('_Engine'!CH27,10))&amp;IF('_Engine'!CH27&gt;10,"?","")&amp;" PM"))))))))</ns0:f>
        <ns0:v/>
      </ns0:c>
      <ns0:c r="T27" s="164" t="str">
        <ns0:f>IF(OR($A27="",T$11=""),"",IF(OR('_Engine'!$B$6&gt;0,INDEX('_Engine'!$AM$11:$AM$60,'_Engine'!$AO27)&lt;&gt;"OK"),"!",IF(INDEX(Team!$H$11:$N$60,'_Engine'!$AO27,WEEKDAY(T$11,2))&lt;&gt;"Work","—",IF(COUNTIF(Settings!$F$18:$F$67,T$11)&gt;0,"BH",IF('_Engine'!CI27+'_Engine'!CJ27=0,"·",IF('_Engine'!CI27='_Engine'!CJ27,INDEX(Settings!$G$7:$G$11,MOD('_Engine'!CI27,10))&amp;IF('_Engine'!CI27&gt;10,"?",""),IF('_Engine'!CI27=0,INDEX(Settings!$G$7:$G$11,MOD('_Engine'!CJ27,10))&amp;IF('_Engine'!CJ27&gt;10,"?","")&amp;" PM",IF('_Engine'!CJ27=0,INDEX(Settings!$G$7:$G$11,MOD('_Engine'!CI27,10))&amp;IF('_Engine'!CI27&gt;10,"?","")&amp;" AM",INDEX(Settings!$G$7:$G$11,MOD('_Engine'!CI27,10))&amp;IF('_Engine'!CI27&gt;10,"?","")&amp;" AM"&amp;CHAR(10)&amp;INDEX(Settings!$G$7:$G$11,MOD('_Engine'!CJ27,10))&amp;IF('_Engine'!CJ27&gt;10,"?","")&amp;" PM"))))))))</ns0:f>
        <ns0:v/>
      </ns0:c>
      <ns0:c r="U27" s="164" t="str">
        <ns0:f>IF(OR($A27="",U$11=""),"",IF(OR('_Engine'!$B$6&gt;0,INDEX('_Engine'!$AM$11:$AM$60,'_Engine'!$AO27)&lt;&gt;"OK"),"!",IF(INDEX(Team!$H$11:$N$60,'_Engine'!$AO27,WEEKDAY(U$11,2))&lt;&gt;"Work","—",IF(COUNTIF(Settings!$F$18:$F$67,U$11)&gt;0,"BH",IF('_Engine'!CK27+'_Engine'!CL27=0,"·",IF('_Engine'!CK27='_Engine'!CL27,INDEX(Settings!$G$7:$G$11,MOD('_Engine'!CK27,10))&amp;IF('_Engine'!CK27&gt;10,"?",""),IF('_Engine'!CK27=0,INDEX(Settings!$G$7:$G$11,MOD('_Engine'!CL27,10))&amp;IF('_Engine'!CL27&gt;10,"?","")&amp;" PM",IF('_Engine'!CL27=0,INDEX(Settings!$G$7:$G$11,MOD('_Engine'!CK27,10))&amp;IF('_Engine'!CK27&gt;10,"?","")&amp;" AM",INDEX(Settings!$G$7:$G$11,MOD('_Engine'!CK27,10))&amp;IF('_Engine'!CK27&gt;10,"?","")&amp;" AM"&amp;CHAR(10)&amp;INDEX(Settings!$G$7:$G$11,MOD('_Engine'!CL27,10))&amp;IF('_Engine'!CL27&gt;10,"?","")&amp;" PM"))))))))</ns0:f>
        <ns0:v/>
      </ns0:c>
      <ns0:c r="V27" s="164" t="str">
        <ns0:f>IF(OR($A27="",V$11=""),"",IF(OR('_Engine'!$B$6&gt;0,INDEX('_Engine'!$AM$11:$AM$60,'_Engine'!$AO27)&lt;&gt;"OK"),"!",IF(INDEX(Team!$H$11:$N$60,'_Engine'!$AO27,WEEKDAY(V$11,2))&lt;&gt;"Work","—",IF(COUNTIF(Settings!$F$18:$F$67,V$11)&gt;0,"BH",IF('_Engine'!CM27+'_Engine'!CN27=0,"·",IF('_Engine'!CM27='_Engine'!CN27,INDEX(Settings!$G$7:$G$11,MOD('_Engine'!CM27,10))&amp;IF('_Engine'!CM27&gt;10,"?",""),IF('_Engine'!CM27=0,INDEX(Settings!$G$7:$G$11,MOD('_Engine'!CN27,10))&amp;IF('_Engine'!CN27&gt;10,"?","")&amp;" PM",IF('_Engine'!CN27=0,INDEX(Settings!$G$7:$G$11,MOD('_Engine'!CM27,10))&amp;IF('_Engine'!CM27&gt;10,"?","")&amp;" AM",INDEX(Settings!$G$7:$G$11,MOD('_Engine'!CM27,10))&amp;IF('_Engine'!CM27&gt;10,"?","")&amp;" AM"&amp;CHAR(10)&amp;INDEX(Settings!$G$7:$G$11,MOD('_Engine'!CN27,10))&amp;IF('_Engine'!CN27&gt;10,"?","")&amp;" PM"))))))))</ns0:f>
        <ns0:v/>
      </ns0:c>
      <ns0:c r="W27" s="164" t="str">
        <ns0:f>IF(OR($A27="",W$11=""),"",IF(OR('_Engine'!$B$6&gt;0,INDEX('_Engine'!$AM$11:$AM$60,'_Engine'!$AO27)&lt;&gt;"OK"),"!",IF(INDEX(Team!$H$11:$N$60,'_Engine'!$AO27,WEEKDAY(W$11,2))&lt;&gt;"Work","—",IF(COUNTIF(Settings!$F$18:$F$67,W$11)&gt;0,"BH",IF('_Engine'!CO27+'_Engine'!CP27=0,"·",IF('_Engine'!CO27='_Engine'!CP27,INDEX(Settings!$G$7:$G$11,MOD('_Engine'!CO27,10))&amp;IF('_Engine'!CO27&gt;10,"?",""),IF('_Engine'!CO27=0,INDEX(Settings!$G$7:$G$11,MOD('_Engine'!CP27,10))&amp;IF('_Engine'!CP27&gt;10,"?","")&amp;" PM",IF('_Engine'!CP27=0,INDEX(Settings!$G$7:$G$11,MOD('_Engine'!CO27,10))&amp;IF('_Engine'!CO27&gt;10,"?","")&amp;" AM",INDEX(Settings!$G$7:$G$11,MOD('_Engine'!CO27,10))&amp;IF('_Engine'!CO27&gt;10,"?","")&amp;" AM"&amp;CHAR(10)&amp;INDEX(Settings!$G$7:$G$11,MOD('_Engine'!CP27,10))&amp;IF('_Engine'!CP27&gt;10,"?","")&amp;" PM"))))))))</ns0:f>
        <ns0:v/>
      </ns0:c>
      <ns0:c r="X27" s="164" t="str">
        <ns0:f>IF(OR($A27="",X$11=""),"",IF(OR('_Engine'!$B$6&gt;0,INDEX('_Engine'!$AM$11:$AM$60,'_Engine'!$AO27)&lt;&gt;"OK"),"!",IF(INDEX(Team!$H$11:$N$60,'_Engine'!$AO27,WEEKDAY(X$11,2))&lt;&gt;"Work","—",IF(COUNTIF(Settings!$F$18:$F$67,X$11)&gt;0,"BH",IF('_Engine'!CQ27+'_Engine'!CR27=0,"·",IF('_Engine'!CQ27='_Engine'!CR27,INDEX(Settings!$G$7:$G$11,MOD('_Engine'!CQ27,10))&amp;IF('_Engine'!CQ27&gt;10,"?",""),IF('_Engine'!CQ27=0,INDEX(Settings!$G$7:$G$11,MOD('_Engine'!CR27,10))&amp;IF('_Engine'!CR27&gt;10,"?","")&amp;" PM",IF('_Engine'!CR27=0,INDEX(Settings!$G$7:$G$11,MOD('_Engine'!CQ27,10))&amp;IF('_Engine'!CQ27&gt;10,"?","")&amp;" AM",INDEX(Settings!$G$7:$G$11,MOD('_Engine'!CQ27,10))&amp;IF('_Engine'!CQ27&gt;10,"?","")&amp;" AM"&amp;CHAR(10)&amp;INDEX(Settings!$G$7:$G$11,MOD('_Engine'!CR27,10))&amp;IF('_Engine'!CR27&gt;10,"?","")&amp;" PM"))))))))</ns0:f>
        <ns0:v/>
      </ns0:c>
      <ns0:c r="Y27" s="164" t="str">
        <ns0:f>IF(OR($A27="",Y$11=""),"",IF(OR('_Engine'!$B$6&gt;0,INDEX('_Engine'!$AM$11:$AM$60,'_Engine'!$AO27)&lt;&gt;"OK"),"!",IF(INDEX(Team!$H$11:$N$60,'_Engine'!$AO27,WEEKDAY(Y$11,2))&lt;&gt;"Work","—",IF(COUNTIF(Settings!$F$18:$F$67,Y$11)&gt;0,"BH",IF('_Engine'!CS27+'_Engine'!CT27=0,"·",IF('_Engine'!CS27='_Engine'!CT27,INDEX(Settings!$G$7:$G$11,MOD('_Engine'!CS27,10))&amp;IF('_Engine'!CS27&gt;10,"?",""),IF('_Engine'!CS27=0,INDEX(Settings!$G$7:$G$11,MOD('_Engine'!CT27,10))&amp;IF('_Engine'!CT27&gt;10,"?","")&amp;" PM",IF('_Engine'!CT27=0,INDEX(Settings!$G$7:$G$11,MOD('_Engine'!CS27,10))&amp;IF('_Engine'!CS27&gt;10,"?","")&amp;" AM",INDEX(Settings!$G$7:$G$11,MOD('_Engine'!CS27,10))&amp;IF('_Engine'!CS27&gt;10,"?","")&amp;" AM"&amp;CHAR(10)&amp;INDEX(Settings!$G$7:$G$11,MOD('_Engine'!CT27,10))&amp;IF('_Engine'!CT27&gt;10,"?","")&amp;" PM"))))))))</ns0:f>
        <ns0:v/>
      </ns0:c>
      <ns0:c r="Z27" s="164" t="str">
        <ns0:f>IF(OR($A27="",Z$11=""),"",IF(OR('_Engine'!$B$6&gt;0,INDEX('_Engine'!$AM$11:$AM$60,'_Engine'!$AO27)&lt;&gt;"OK"),"!",IF(INDEX(Team!$H$11:$N$60,'_Engine'!$AO27,WEEKDAY(Z$11,2))&lt;&gt;"Work","—",IF(COUNTIF(Settings!$F$18:$F$67,Z$11)&gt;0,"BH",IF('_Engine'!CU27+'_Engine'!CV27=0,"·",IF('_Engine'!CU27='_Engine'!CV27,INDEX(Settings!$G$7:$G$11,MOD('_Engine'!CU27,10))&amp;IF('_Engine'!CU27&gt;10,"?",""),IF('_Engine'!CU27=0,INDEX(Settings!$G$7:$G$11,MOD('_Engine'!CV27,10))&amp;IF('_Engine'!CV27&gt;10,"?","")&amp;" PM",IF('_Engine'!CV27=0,INDEX(Settings!$G$7:$G$11,MOD('_Engine'!CU27,10))&amp;IF('_Engine'!CU27&gt;10,"?","")&amp;" AM",INDEX(Settings!$G$7:$G$11,MOD('_Engine'!CU27,10))&amp;IF('_Engine'!CU27&gt;10,"?","")&amp;" AM"&amp;CHAR(10)&amp;INDEX(Settings!$G$7:$G$11,MOD('_Engine'!CV27,10))&amp;IF('_Engine'!CV27&gt;10,"?","")&amp;" PM"))))))))</ns0:f>
        <ns0:v/>
      </ns0:c>
      <ns0:c r="AA27" s="164" t="str">
        <ns0:f>IF(OR($A27="",AA$11=""),"",IF(OR('_Engine'!$B$6&gt;0,INDEX('_Engine'!$AM$11:$AM$60,'_Engine'!$AO27)&lt;&gt;"OK"),"!",IF(INDEX(Team!$H$11:$N$60,'_Engine'!$AO27,WEEKDAY(AA$11,2))&lt;&gt;"Work","—",IF(COUNTIF(Settings!$F$18:$F$67,AA$11)&gt;0,"BH",IF('_Engine'!CW27+'_Engine'!CX27=0,"·",IF('_Engine'!CW27='_Engine'!CX27,INDEX(Settings!$G$7:$G$11,MOD('_Engine'!CW27,10))&amp;IF('_Engine'!CW27&gt;10,"?",""),IF('_Engine'!CW27=0,INDEX(Settings!$G$7:$G$11,MOD('_Engine'!CX27,10))&amp;IF('_Engine'!CX27&gt;10,"?","")&amp;" PM",IF('_Engine'!CX27=0,INDEX(Settings!$G$7:$G$11,MOD('_Engine'!CW27,10))&amp;IF('_Engine'!CW27&gt;10,"?","")&amp;" AM",INDEX(Settings!$G$7:$G$11,MOD('_Engine'!CW27,10))&amp;IF('_Engine'!CW27&gt;10,"?","")&amp;" AM"&amp;CHAR(10)&amp;INDEX(Settings!$G$7:$G$11,MOD('_Engine'!CX27,10))&amp;IF('_Engine'!CX27&gt;10,"?","")&amp;" PM"))))))))</ns0:f>
        <ns0:v/>
      </ns0:c>
      <ns0:c r="AB27" s="164" t="str">
        <ns0:f>IF(OR($A27="",AB$11=""),"",IF(OR('_Engine'!$B$6&gt;0,INDEX('_Engine'!$AM$11:$AM$60,'_Engine'!$AO27)&lt;&gt;"OK"),"!",IF(INDEX(Team!$H$11:$N$60,'_Engine'!$AO27,WEEKDAY(AB$11,2))&lt;&gt;"Work","—",IF(COUNTIF(Settings!$F$18:$F$67,AB$11)&gt;0,"BH",IF('_Engine'!CY27+'_Engine'!CZ27=0,"·",IF('_Engine'!CY27='_Engine'!CZ27,INDEX(Settings!$G$7:$G$11,MOD('_Engine'!CY27,10))&amp;IF('_Engine'!CY27&gt;10,"?",""),IF('_Engine'!CY27=0,INDEX(Settings!$G$7:$G$11,MOD('_Engine'!CZ27,10))&amp;IF('_Engine'!CZ27&gt;10,"?","")&amp;" PM",IF('_Engine'!CZ27=0,INDEX(Settings!$G$7:$G$11,MOD('_Engine'!CY27,10))&amp;IF('_Engine'!CY27&gt;10,"?","")&amp;" AM",INDEX(Settings!$G$7:$G$11,MOD('_Engine'!CY27,10))&amp;IF('_Engine'!CY27&gt;10,"?","")&amp;" AM"&amp;CHAR(10)&amp;INDEX(Settings!$G$7:$G$11,MOD('_Engine'!CZ27,10))&amp;IF('_Engine'!CZ27&gt;10,"?","")&amp;" PM"))))))))</ns0:f>
        <ns0:v/>
      </ns0:c>
      <ns0:c r="AC27" s="164" t="str">
        <ns0:f>IF(OR($A27="",AC$11=""),"",IF(OR('_Engine'!$B$6&gt;0,INDEX('_Engine'!$AM$11:$AM$60,'_Engine'!$AO27)&lt;&gt;"OK"),"!",IF(INDEX(Team!$H$11:$N$60,'_Engine'!$AO27,WEEKDAY(AC$11,2))&lt;&gt;"Work","—",IF(COUNTIF(Settings!$F$18:$F$67,AC$11)&gt;0,"BH",IF('_Engine'!DA27+'_Engine'!DB27=0,"·",IF('_Engine'!DA27='_Engine'!DB27,INDEX(Settings!$G$7:$G$11,MOD('_Engine'!DA27,10))&amp;IF('_Engine'!DA27&gt;10,"?",""),IF('_Engine'!DA27=0,INDEX(Settings!$G$7:$G$11,MOD('_Engine'!DB27,10))&amp;IF('_Engine'!DB27&gt;10,"?","")&amp;" PM",IF('_Engine'!DB27=0,INDEX(Settings!$G$7:$G$11,MOD('_Engine'!DA27,10))&amp;IF('_Engine'!DA27&gt;10,"?","")&amp;" AM",INDEX(Settings!$G$7:$G$11,MOD('_Engine'!DA27,10))&amp;IF('_Engine'!DA27&gt;10,"?","")&amp;" AM"&amp;CHAR(10)&amp;INDEX(Settings!$G$7:$G$11,MOD('_Engine'!DB27,10))&amp;IF('_Engine'!DB27&gt;10,"?","")&amp;" PM"))))))))</ns0:f>
        <ns0:v/>
      </ns0:c>
      <ns0:c r="AD27" s="164" t="str">
        <ns0:f>IF(OR($A27="",AD$11=""),"",IF(OR('_Engine'!$B$6&gt;0,INDEX('_Engine'!$AM$11:$AM$60,'_Engine'!$AO27)&lt;&gt;"OK"),"!",IF(INDEX(Team!$H$11:$N$60,'_Engine'!$AO27,WEEKDAY(AD$11,2))&lt;&gt;"Work","—",IF(COUNTIF(Settings!$F$18:$F$67,AD$11)&gt;0,"BH",IF('_Engine'!DC27+'_Engine'!DD27=0,"·",IF('_Engine'!DC27='_Engine'!DD27,INDEX(Settings!$G$7:$G$11,MOD('_Engine'!DC27,10))&amp;IF('_Engine'!DC27&gt;10,"?",""),IF('_Engine'!DC27=0,INDEX(Settings!$G$7:$G$11,MOD('_Engine'!DD27,10))&amp;IF('_Engine'!DD27&gt;10,"?","")&amp;" PM",IF('_Engine'!DD27=0,INDEX(Settings!$G$7:$G$11,MOD('_Engine'!DC27,10))&amp;IF('_Engine'!DC27&gt;10,"?","")&amp;" AM",INDEX(Settings!$G$7:$G$11,MOD('_Engine'!DC27,10))&amp;IF('_Engine'!DC27&gt;10,"?","")&amp;" AM"&amp;CHAR(10)&amp;INDEX(Settings!$G$7:$G$11,MOD('_Engine'!DD27,10))&amp;IF('_Engine'!DD27&gt;10,"?","")&amp;" PM"))))))))</ns0:f>
        <ns0:v/>
      </ns0:c>
      <ns0:c r="AE27" s="164" t="str">
        <ns0:f>IF(OR($A27="",AE$11=""),"",IF(OR('_Engine'!$B$6&gt;0,INDEX('_Engine'!$AM$11:$AM$60,'_Engine'!$AO27)&lt;&gt;"OK"),"!",IF(INDEX(Team!$H$11:$N$60,'_Engine'!$AO27,WEEKDAY(AE$11,2))&lt;&gt;"Work","—",IF(COUNTIF(Settings!$F$18:$F$67,AE$11)&gt;0,"BH",IF('_Engine'!DE27+'_Engine'!DF27=0,"·",IF('_Engine'!DE27='_Engine'!DF27,INDEX(Settings!$G$7:$G$11,MOD('_Engine'!DE27,10))&amp;IF('_Engine'!DE27&gt;10,"?",""),IF('_Engine'!DE27=0,INDEX(Settings!$G$7:$G$11,MOD('_Engine'!DF27,10))&amp;IF('_Engine'!DF27&gt;10,"?","")&amp;" PM",IF('_Engine'!DF27=0,INDEX(Settings!$G$7:$G$11,MOD('_Engine'!DE27,10))&amp;IF('_Engine'!DE27&gt;10,"?","")&amp;" AM",INDEX(Settings!$G$7:$G$11,MOD('_Engine'!DE27,10))&amp;IF('_Engine'!DE27&gt;10,"?","")&amp;" AM"&amp;CHAR(10)&amp;INDEX(Settings!$G$7:$G$11,MOD('_Engine'!DF27,10))&amp;IF('_Engine'!DF27&gt;10,"?","")&amp;" PM"))))))))</ns0:f>
        <ns0:v/>
      </ns0:c>
      <ns0:c r="AF27" s="164" t="str">
        <ns0:f>IF(OR($A27="",AF$11=""),"",IF(OR('_Engine'!$B$6&gt;0,INDEX('_Engine'!$AM$11:$AM$60,'_Engine'!$AO27)&lt;&gt;"OK"),"!",IF(INDEX(Team!$H$11:$N$60,'_Engine'!$AO27,WEEKDAY(AF$11,2))&lt;&gt;"Work","—",IF(COUNTIF(Settings!$F$18:$F$67,AF$11)&gt;0,"BH",IF('_Engine'!DG27+'_Engine'!DH27=0,"·",IF('_Engine'!DG27='_Engine'!DH27,INDEX(Settings!$G$7:$G$11,MOD('_Engine'!DG27,10))&amp;IF('_Engine'!DG27&gt;10,"?",""),IF('_Engine'!DG27=0,INDEX(Settings!$G$7:$G$11,MOD('_Engine'!DH27,10))&amp;IF('_Engine'!DH27&gt;10,"?","")&amp;" PM",IF('_Engine'!DH27=0,INDEX(Settings!$G$7:$G$11,MOD('_Engine'!DG27,10))&amp;IF('_Engine'!DG27&gt;10,"?","")&amp;" AM",INDEX(Settings!$G$7:$G$11,MOD('_Engine'!DG27,10))&amp;IF('_Engine'!DG27&gt;10,"?","")&amp;" AM"&amp;CHAR(10)&amp;INDEX(Settings!$G$7:$G$11,MOD('_Engine'!DH27,10))&amp;IF('_Engine'!DH27&gt;10,"?","")&amp;" PM"))))))))</ns0:f>
        <ns0:v/>
      </ns0:c>
      <ns0:c r="AG27" s="164" t="str">
        <ns0:f>IF(OR($A27="",AG$11=""),"",IF(OR('_Engine'!$B$6&gt;0,INDEX('_Engine'!$AM$11:$AM$60,'_Engine'!$AO27)&lt;&gt;"OK"),"!",IF(INDEX(Team!$H$11:$N$60,'_Engine'!$AO27,WEEKDAY(AG$11,2))&lt;&gt;"Work","—",IF(COUNTIF(Settings!$F$18:$F$67,AG$11)&gt;0,"BH",IF('_Engine'!DI27+'_Engine'!DJ27=0,"·",IF('_Engine'!DI27='_Engine'!DJ27,INDEX(Settings!$G$7:$G$11,MOD('_Engine'!DI27,10))&amp;IF('_Engine'!DI27&gt;10,"?",""),IF('_Engine'!DI27=0,INDEX(Settings!$G$7:$G$11,MOD('_Engine'!DJ27,10))&amp;IF('_Engine'!DJ27&gt;10,"?","")&amp;" PM",IF('_Engine'!DJ27=0,INDEX(Settings!$G$7:$G$11,MOD('_Engine'!DI27,10))&amp;IF('_Engine'!DI27&gt;10,"?","")&amp;" AM",INDEX(Settings!$G$7:$G$11,MOD('_Engine'!DI27,10))&amp;IF('_Engine'!DI27&gt;10,"?","")&amp;" AM"&amp;CHAR(10)&amp;INDEX(Settings!$G$7:$G$11,MOD('_Engine'!DJ27,10))&amp;IF('_Engine'!DJ27&gt;10,"?","")&amp;" PM"))))))))</ns0:f>
        <ns0:v/>
      </ns0:c>
      <ns0:c r="AH27" s="164" t="str">
        <ns0:f>IF(OR($A27="",AH$11=""),"",IF(OR('_Engine'!$B$6&gt;0,INDEX('_Engine'!$AM$11:$AM$60,'_Engine'!$AO27)&lt;&gt;"OK"),"!",IF(INDEX(Team!$H$11:$N$60,'_Engine'!$AO27,WEEKDAY(AH$11,2))&lt;&gt;"Work","—",IF(COUNTIF(Settings!$F$18:$F$67,AH$11)&gt;0,"BH",IF('_Engine'!DK27+'_Engine'!DL27=0,"·",IF('_Engine'!DK27='_Engine'!DL27,INDEX(Settings!$G$7:$G$11,MOD('_Engine'!DK27,10))&amp;IF('_Engine'!DK27&gt;10,"?",""),IF('_Engine'!DK27=0,INDEX(Settings!$G$7:$G$11,MOD('_Engine'!DL27,10))&amp;IF('_Engine'!DL27&gt;10,"?","")&amp;" PM",IF('_Engine'!DL27=0,INDEX(Settings!$G$7:$G$11,MOD('_Engine'!DK27,10))&amp;IF('_Engine'!DK27&gt;10,"?","")&amp;" AM",INDEX(Settings!$G$7:$G$11,MOD('_Engine'!DK27,10))&amp;IF('_Engine'!DK27&gt;10,"?","")&amp;" AM"&amp;CHAR(10)&amp;INDEX(Settings!$G$7:$G$11,MOD('_Engine'!DL27,10))&amp;IF('_Engine'!DL27&gt;10,"?","")&amp;" PM"))))))))</ns0:f>
        <ns0:v/>
      </ns0:c>
    </ns0:row>
    <ns0:row r="28" ht="38" customHeight="1">
      <ns0:c r="A28" s="4" t="str">
        <ns0:f>IF('_Engine'!AO28=0,"",IF(INDEX(Team!$B$11:$B$60,'_Engine'!AO28)="","[Unnamed]",INDEX(Team!$B$11:$B$60,'_Engine'!AO28)))</ns0:f>
        <ns0:v/>
      </ns0:c>
      <ns0:c r="B28" s="156" t="str">
        <ns0:f>IF('_Engine'!AO28=0,"",INDEX('_Engine'!$AN$11:$AN$60,'_Engine'!AO28))</ns0:f>
        <ns0:v/>
      </ns0:c>
      <ns0:c r="C28" s="4" t="str">
        <ns0:f>IF('_Engine'!AO28=0,"",INDEX(Team!$C$11:$C$60,'_Engine'!AO28))</ns0:f>
        <ns0:v/>
      </ns0:c>
      <ns0:c r="D28" s="162" t="str">
        <ns0:f>IF(OR($A28="",D$11=""),"",IF(OR('_Engine'!$B$6&gt;0,INDEX('_Engine'!$AM$11:$AM$60,'_Engine'!$AO28)&lt;&gt;"OK"),"!",IF(INDEX(Team!$H$11:$N$60,'_Engine'!$AO28,WEEKDAY(D$11,2))&lt;&gt;"Work","—",IF(COUNTIF(Settings!$F$18:$F$67,D$11)&gt;0,"BH",IF('_Engine'!BC28+'_Engine'!BD28=0,"·",IF('_Engine'!BC28='_Engine'!BD28,INDEX(Settings!$G$7:$G$11,MOD('_Engine'!BC28,10))&amp;IF('_Engine'!BC28&gt;10,"?",""),IF('_Engine'!BC28=0,INDEX(Settings!$G$7:$G$11,MOD('_Engine'!BD28,10))&amp;IF('_Engine'!BD28&gt;10,"?","")&amp;" PM",IF('_Engine'!BD28=0,INDEX(Settings!$G$7:$G$11,MOD('_Engine'!BC28,10))&amp;IF('_Engine'!BC28&gt;10,"?","")&amp;" AM",INDEX(Settings!$G$7:$G$11,MOD('_Engine'!BC28,10))&amp;IF('_Engine'!BC28&gt;10,"?","")&amp;" AM"&amp;CHAR(10)&amp;INDEX(Settings!$G$7:$G$11,MOD('_Engine'!BD28,10))&amp;IF('_Engine'!BD28&gt;10,"?","")&amp;" PM"))))))))</ns0:f>
        <ns0:v/>
      </ns0:c>
      <ns0:c r="E28" s="162" t="str">
        <ns0:f>IF(OR($A28="",E$11=""),"",IF(OR('_Engine'!$B$6&gt;0,INDEX('_Engine'!$AM$11:$AM$60,'_Engine'!$AO28)&lt;&gt;"OK"),"!",IF(INDEX(Team!$H$11:$N$60,'_Engine'!$AO28,WEEKDAY(E$11,2))&lt;&gt;"Work","—",IF(COUNTIF(Settings!$F$18:$F$67,E$11)&gt;0,"BH",IF('_Engine'!BE28+'_Engine'!BF28=0,"·",IF('_Engine'!BE28='_Engine'!BF28,INDEX(Settings!$G$7:$G$11,MOD('_Engine'!BE28,10))&amp;IF('_Engine'!BE28&gt;10,"?",""),IF('_Engine'!BE28=0,INDEX(Settings!$G$7:$G$11,MOD('_Engine'!BF28,10))&amp;IF('_Engine'!BF28&gt;10,"?","")&amp;" PM",IF('_Engine'!BF28=0,INDEX(Settings!$G$7:$G$11,MOD('_Engine'!BE28,10))&amp;IF('_Engine'!BE28&gt;10,"?","")&amp;" AM",INDEX(Settings!$G$7:$G$11,MOD('_Engine'!BE28,10))&amp;IF('_Engine'!BE28&gt;10,"?","")&amp;" AM"&amp;CHAR(10)&amp;INDEX(Settings!$G$7:$G$11,MOD('_Engine'!BF28,10))&amp;IF('_Engine'!BF28&gt;10,"?","")&amp;" PM"))))))))</ns0:f>
        <ns0:v/>
      </ns0:c>
      <ns0:c r="F28" s="162" t="str">
        <ns0:f>IF(OR($A28="",F$11=""),"",IF(OR('_Engine'!$B$6&gt;0,INDEX('_Engine'!$AM$11:$AM$60,'_Engine'!$AO28)&lt;&gt;"OK"),"!",IF(INDEX(Team!$H$11:$N$60,'_Engine'!$AO28,WEEKDAY(F$11,2))&lt;&gt;"Work","—",IF(COUNTIF(Settings!$F$18:$F$67,F$11)&gt;0,"BH",IF('_Engine'!BG28+'_Engine'!BH28=0,"·",IF('_Engine'!BG28='_Engine'!BH28,INDEX(Settings!$G$7:$G$11,MOD('_Engine'!BG28,10))&amp;IF('_Engine'!BG28&gt;10,"?",""),IF('_Engine'!BG28=0,INDEX(Settings!$G$7:$G$11,MOD('_Engine'!BH28,10))&amp;IF('_Engine'!BH28&gt;10,"?","")&amp;" PM",IF('_Engine'!BH28=0,INDEX(Settings!$G$7:$G$11,MOD('_Engine'!BG28,10))&amp;IF('_Engine'!BG28&gt;10,"?","")&amp;" AM",INDEX(Settings!$G$7:$G$11,MOD('_Engine'!BG28,10))&amp;IF('_Engine'!BG28&gt;10,"?","")&amp;" AM"&amp;CHAR(10)&amp;INDEX(Settings!$G$7:$G$11,MOD('_Engine'!BH28,10))&amp;IF('_Engine'!BH28&gt;10,"?","")&amp;" PM"))))))))</ns0:f>
        <ns0:v/>
      </ns0:c>
      <ns0:c r="G28" s="162" t="str">
        <ns0:f>IF(OR($A28="",G$11=""),"",IF(OR('_Engine'!$B$6&gt;0,INDEX('_Engine'!$AM$11:$AM$60,'_Engine'!$AO28)&lt;&gt;"OK"),"!",IF(INDEX(Team!$H$11:$N$60,'_Engine'!$AO28,WEEKDAY(G$11,2))&lt;&gt;"Work","—",IF(COUNTIF(Settings!$F$18:$F$67,G$11)&gt;0,"BH",IF('_Engine'!BI28+'_Engine'!BJ28=0,"·",IF('_Engine'!BI28='_Engine'!BJ28,INDEX(Settings!$G$7:$G$11,MOD('_Engine'!BI28,10))&amp;IF('_Engine'!BI28&gt;10,"?",""),IF('_Engine'!BI28=0,INDEX(Settings!$G$7:$G$11,MOD('_Engine'!BJ28,10))&amp;IF('_Engine'!BJ28&gt;10,"?","")&amp;" PM",IF('_Engine'!BJ28=0,INDEX(Settings!$G$7:$G$11,MOD('_Engine'!BI28,10))&amp;IF('_Engine'!BI28&gt;10,"?","")&amp;" AM",INDEX(Settings!$G$7:$G$11,MOD('_Engine'!BI28,10))&amp;IF('_Engine'!BI28&gt;10,"?","")&amp;" AM"&amp;CHAR(10)&amp;INDEX(Settings!$G$7:$G$11,MOD('_Engine'!BJ28,10))&amp;IF('_Engine'!BJ28&gt;10,"?","")&amp;" PM"))))))))</ns0:f>
        <ns0:v/>
      </ns0:c>
      <ns0:c r="H28" s="162" t="str">
        <ns0:f>IF(OR($A28="",H$11=""),"",IF(OR('_Engine'!$B$6&gt;0,INDEX('_Engine'!$AM$11:$AM$60,'_Engine'!$AO28)&lt;&gt;"OK"),"!",IF(INDEX(Team!$H$11:$N$60,'_Engine'!$AO28,WEEKDAY(H$11,2))&lt;&gt;"Work","—",IF(COUNTIF(Settings!$F$18:$F$67,H$11)&gt;0,"BH",IF('_Engine'!BK28+'_Engine'!BL28=0,"·",IF('_Engine'!BK28='_Engine'!BL28,INDEX(Settings!$G$7:$G$11,MOD('_Engine'!BK28,10))&amp;IF('_Engine'!BK28&gt;10,"?",""),IF('_Engine'!BK28=0,INDEX(Settings!$G$7:$G$11,MOD('_Engine'!BL28,10))&amp;IF('_Engine'!BL28&gt;10,"?","")&amp;" PM",IF('_Engine'!BL28=0,INDEX(Settings!$G$7:$G$11,MOD('_Engine'!BK28,10))&amp;IF('_Engine'!BK28&gt;10,"?","")&amp;" AM",INDEX(Settings!$G$7:$G$11,MOD('_Engine'!BK28,10))&amp;IF('_Engine'!BK28&gt;10,"?","")&amp;" AM"&amp;CHAR(10)&amp;INDEX(Settings!$G$7:$G$11,MOD('_Engine'!BL28,10))&amp;IF('_Engine'!BL28&gt;10,"?","")&amp;" PM"))))))))</ns0:f>
        <ns0:v/>
      </ns0:c>
      <ns0:c r="I28" s="162" t="str">
        <ns0:f>IF(OR($A28="",I$11=""),"",IF(OR('_Engine'!$B$6&gt;0,INDEX('_Engine'!$AM$11:$AM$60,'_Engine'!$AO28)&lt;&gt;"OK"),"!",IF(INDEX(Team!$H$11:$N$60,'_Engine'!$AO28,WEEKDAY(I$11,2))&lt;&gt;"Work","—",IF(COUNTIF(Settings!$F$18:$F$67,I$11)&gt;0,"BH",IF('_Engine'!BM28+'_Engine'!BN28=0,"·",IF('_Engine'!BM28='_Engine'!BN28,INDEX(Settings!$G$7:$G$11,MOD('_Engine'!BM28,10))&amp;IF('_Engine'!BM28&gt;10,"?",""),IF('_Engine'!BM28=0,INDEX(Settings!$G$7:$G$11,MOD('_Engine'!BN28,10))&amp;IF('_Engine'!BN28&gt;10,"?","")&amp;" PM",IF('_Engine'!BN28=0,INDEX(Settings!$G$7:$G$11,MOD('_Engine'!BM28,10))&amp;IF('_Engine'!BM28&gt;10,"?","")&amp;" AM",INDEX(Settings!$G$7:$G$11,MOD('_Engine'!BM28,10))&amp;IF('_Engine'!BM28&gt;10,"?","")&amp;" AM"&amp;CHAR(10)&amp;INDEX(Settings!$G$7:$G$11,MOD('_Engine'!BN28,10))&amp;IF('_Engine'!BN28&gt;10,"?","")&amp;" PM"))))))))</ns0:f>
        <ns0:v/>
      </ns0:c>
      <ns0:c r="J28" s="162" t="str">
        <ns0:f>IF(OR($A28="",J$11=""),"",IF(OR('_Engine'!$B$6&gt;0,INDEX('_Engine'!$AM$11:$AM$60,'_Engine'!$AO28)&lt;&gt;"OK"),"!",IF(INDEX(Team!$H$11:$N$60,'_Engine'!$AO28,WEEKDAY(J$11,2))&lt;&gt;"Work","—",IF(COUNTIF(Settings!$F$18:$F$67,J$11)&gt;0,"BH",IF('_Engine'!BO28+'_Engine'!BP28=0,"·",IF('_Engine'!BO28='_Engine'!BP28,INDEX(Settings!$G$7:$G$11,MOD('_Engine'!BO28,10))&amp;IF('_Engine'!BO28&gt;10,"?",""),IF('_Engine'!BO28=0,INDEX(Settings!$G$7:$G$11,MOD('_Engine'!BP28,10))&amp;IF('_Engine'!BP28&gt;10,"?","")&amp;" PM",IF('_Engine'!BP28=0,INDEX(Settings!$G$7:$G$11,MOD('_Engine'!BO28,10))&amp;IF('_Engine'!BO28&gt;10,"?","")&amp;" AM",INDEX(Settings!$G$7:$G$11,MOD('_Engine'!BO28,10))&amp;IF('_Engine'!BO28&gt;10,"?","")&amp;" AM"&amp;CHAR(10)&amp;INDEX(Settings!$G$7:$G$11,MOD('_Engine'!BP28,10))&amp;IF('_Engine'!BP28&gt;10,"?","")&amp;" PM"))))))))</ns0:f>
        <ns0:v/>
      </ns0:c>
      <ns0:c r="K28" s="164" t="str">
        <ns0:f>IF(OR($A28="",K$11=""),"",IF(OR('_Engine'!$B$6&gt;0,INDEX('_Engine'!$AM$11:$AM$60,'_Engine'!$AO28)&lt;&gt;"OK"),"!",IF(INDEX(Team!$H$11:$N$60,'_Engine'!$AO28,WEEKDAY(K$11,2))&lt;&gt;"Work","—",IF(COUNTIF(Settings!$F$18:$F$67,K$11)&gt;0,"BH",IF('_Engine'!BQ28+'_Engine'!BR28=0,"·",IF('_Engine'!BQ28='_Engine'!BR28,INDEX(Settings!$G$7:$G$11,MOD('_Engine'!BQ28,10))&amp;IF('_Engine'!BQ28&gt;10,"?",""),IF('_Engine'!BQ28=0,INDEX(Settings!$G$7:$G$11,MOD('_Engine'!BR28,10))&amp;IF('_Engine'!BR28&gt;10,"?","")&amp;" PM",IF('_Engine'!BR28=0,INDEX(Settings!$G$7:$G$11,MOD('_Engine'!BQ28,10))&amp;IF('_Engine'!BQ28&gt;10,"?","")&amp;" AM",INDEX(Settings!$G$7:$G$11,MOD('_Engine'!BQ28,10))&amp;IF('_Engine'!BQ28&gt;10,"?","")&amp;" AM"&amp;CHAR(10)&amp;INDEX(Settings!$G$7:$G$11,MOD('_Engine'!BR28,10))&amp;IF('_Engine'!BR28&gt;10,"?","")&amp;" PM"))))))))</ns0:f>
        <ns0:v/>
      </ns0:c>
      <ns0:c r="L28" s="164" t="str">
        <ns0:f>IF(OR($A28="",L$11=""),"",IF(OR('_Engine'!$B$6&gt;0,INDEX('_Engine'!$AM$11:$AM$60,'_Engine'!$AO28)&lt;&gt;"OK"),"!",IF(INDEX(Team!$H$11:$N$60,'_Engine'!$AO28,WEEKDAY(L$11,2))&lt;&gt;"Work","—",IF(COUNTIF(Settings!$F$18:$F$67,L$11)&gt;0,"BH",IF('_Engine'!BS28+'_Engine'!BT28=0,"·",IF('_Engine'!BS28='_Engine'!BT28,INDEX(Settings!$G$7:$G$11,MOD('_Engine'!BS28,10))&amp;IF('_Engine'!BS28&gt;10,"?",""),IF('_Engine'!BS28=0,INDEX(Settings!$G$7:$G$11,MOD('_Engine'!BT28,10))&amp;IF('_Engine'!BT28&gt;10,"?","")&amp;" PM",IF('_Engine'!BT28=0,INDEX(Settings!$G$7:$G$11,MOD('_Engine'!BS28,10))&amp;IF('_Engine'!BS28&gt;10,"?","")&amp;" AM",INDEX(Settings!$G$7:$G$11,MOD('_Engine'!BS28,10))&amp;IF('_Engine'!BS28&gt;10,"?","")&amp;" AM"&amp;CHAR(10)&amp;INDEX(Settings!$G$7:$G$11,MOD('_Engine'!BT28,10))&amp;IF('_Engine'!BT28&gt;10,"?","")&amp;" PM"))))))))</ns0:f>
        <ns0:v/>
      </ns0:c>
      <ns0:c r="M28" s="164" t="str">
        <ns0:f>IF(OR($A28="",M$11=""),"",IF(OR('_Engine'!$B$6&gt;0,INDEX('_Engine'!$AM$11:$AM$60,'_Engine'!$AO28)&lt;&gt;"OK"),"!",IF(INDEX(Team!$H$11:$N$60,'_Engine'!$AO28,WEEKDAY(M$11,2))&lt;&gt;"Work","—",IF(COUNTIF(Settings!$F$18:$F$67,M$11)&gt;0,"BH",IF('_Engine'!BU28+'_Engine'!BV28=0,"·",IF('_Engine'!BU28='_Engine'!BV28,INDEX(Settings!$G$7:$G$11,MOD('_Engine'!BU28,10))&amp;IF('_Engine'!BU28&gt;10,"?",""),IF('_Engine'!BU28=0,INDEX(Settings!$G$7:$G$11,MOD('_Engine'!BV28,10))&amp;IF('_Engine'!BV28&gt;10,"?","")&amp;" PM",IF('_Engine'!BV28=0,INDEX(Settings!$G$7:$G$11,MOD('_Engine'!BU28,10))&amp;IF('_Engine'!BU28&gt;10,"?","")&amp;" AM",INDEX(Settings!$G$7:$G$11,MOD('_Engine'!BU28,10))&amp;IF('_Engine'!BU28&gt;10,"?","")&amp;" AM"&amp;CHAR(10)&amp;INDEX(Settings!$G$7:$G$11,MOD('_Engine'!BV28,10))&amp;IF('_Engine'!BV28&gt;10,"?","")&amp;" PM"))))))))</ns0:f>
        <ns0:v/>
      </ns0:c>
      <ns0:c r="N28" s="164" t="str">
        <ns0:f>IF(OR($A28="",N$11=""),"",IF(OR('_Engine'!$B$6&gt;0,INDEX('_Engine'!$AM$11:$AM$60,'_Engine'!$AO28)&lt;&gt;"OK"),"!",IF(INDEX(Team!$H$11:$N$60,'_Engine'!$AO28,WEEKDAY(N$11,2))&lt;&gt;"Work","—",IF(COUNTIF(Settings!$F$18:$F$67,N$11)&gt;0,"BH",IF('_Engine'!BW28+'_Engine'!BX28=0,"·",IF('_Engine'!BW28='_Engine'!BX28,INDEX(Settings!$G$7:$G$11,MOD('_Engine'!BW28,10))&amp;IF('_Engine'!BW28&gt;10,"?",""),IF('_Engine'!BW28=0,INDEX(Settings!$G$7:$G$11,MOD('_Engine'!BX28,10))&amp;IF('_Engine'!BX28&gt;10,"?","")&amp;" PM",IF('_Engine'!BX28=0,INDEX(Settings!$G$7:$G$11,MOD('_Engine'!BW28,10))&amp;IF('_Engine'!BW28&gt;10,"?","")&amp;" AM",INDEX(Settings!$G$7:$G$11,MOD('_Engine'!BW28,10))&amp;IF('_Engine'!BW28&gt;10,"?","")&amp;" AM"&amp;CHAR(10)&amp;INDEX(Settings!$G$7:$G$11,MOD('_Engine'!BX28,10))&amp;IF('_Engine'!BX28&gt;10,"?","")&amp;" PM"))))))))</ns0:f>
        <ns0:v/>
      </ns0:c>
      <ns0:c r="O28" s="164" t="str">
        <ns0:f>IF(OR($A28="",O$11=""),"",IF(OR('_Engine'!$B$6&gt;0,INDEX('_Engine'!$AM$11:$AM$60,'_Engine'!$AO28)&lt;&gt;"OK"),"!",IF(INDEX(Team!$H$11:$N$60,'_Engine'!$AO28,WEEKDAY(O$11,2))&lt;&gt;"Work","—",IF(COUNTIF(Settings!$F$18:$F$67,O$11)&gt;0,"BH",IF('_Engine'!BY28+'_Engine'!BZ28=0,"·",IF('_Engine'!BY28='_Engine'!BZ28,INDEX(Settings!$G$7:$G$11,MOD('_Engine'!BY28,10))&amp;IF('_Engine'!BY28&gt;10,"?",""),IF('_Engine'!BY28=0,INDEX(Settings!$G$7:$G$11,MOD('_Engine'!BZ28,10))&amp;IF('_Engine'!BZ28&gt;10,"?","")&amp;" PM",IF('_Engine'!BZ28=0,INDEX(Settings!$G$7:$G$11,MOD('_Engine'!BY28,10))&amp;IF('_Engine'!BY28&gt;10,"?","")&amp;" AM",INDEX(Settings!$G$7:$G$11,MOD('_Engine'!BY28,10))&amp;IF('_Engine'!BY28&gt;10,"?","")&amp;" AM"&amp;CHAR(10)&amp;INDEX(Settings!$G$7:$G$11,MOD('_Engine'!BZ28,10))&amp;IF('_Engine'!BZ28&gt;10,"?","")&amp;" PM"))))))))</ns0:f>
        <ns0:v/>
      </ns0:c>
      <ns0:c r="P28" s="164" t="str">
        <ns0:f>IF(OR($A28="",P$11=""),"",IF(OR('_Engine'!$B$6&gt;0,INDEX('_Engine'!$AM$11:$AM$60,'_Engine'!$AO28)&lt;&gt;"OK"),"!",IF(INDEX(Team!$H$11:$N$60,'_Engine'!$AO28,WEEKDAY(P$11,2))&lt;&gt;"Work","—",IF(COUNTIF(Settings!$F$18:$F$67,P$11)&gt;0,"BH",IF('_Engine'!CA28+'_Engine'!CB28=0,"·",IF('_Engine'!CA28='_Engine'!CB28,INDEX(Settings!$G$7:$G$11,MOD('_Engine'!CA28,10))&amp;IF('_Engine'!CA28&gt;10,"?",""),IF('_Engine'!CA28=0,INDEX(Settings!$G$7:$G$11,MOD('_Engine'!CB28,10))&amp;IF('_Engine'!CB28&gt;10,"?","")&amp;" PM",IF('_Engine'!CB28=0,INDEX(Settings!$G$7:$G$11,MOD('_Engine'!CA28,10))&amp;IF('_Engine'!CA28&gt;10,"?","")&amp;" AM",INDEX(Settings!$G$7:$G$11,MOD('_Engine'!CA28,10))&amp;IF('_Engine'!CA28&gt;10,"?","")&amp;" AM"&amp;CHAR(10)&amp;INDEX(Settings!$G$7:$G$11,MOD('_Engine'!CB28,10))&amp;IF('_Engine'!CB28&gt;10,"?","")&amp;" PM"))))))))</ns0:f>
        <ns0:v/>
      </ns0:c>
      <ns0:c r="Q28" s="164" t="str">
        <ns0:f>IF(OR($A28="",Q$11=""),"",IF(OR('_Engine'!$B$6&gt;0,INDEX('_Engine'!$AM$11:$AM$60,'_Engine'!$AO28)&lt;&gt;"OK"),"!",IF(INDEX(Team!$H$11:$N$60,'_Engine'!$AO28,WEEKDAY(Q$11,2))&lt;&gt;"Work","—",IF(COUNTIF(Settings!$F$18:$F$67,Q$11)&gt;0,"BH",IF('_Engine'!CC28+'_Engine'!CD28=0,"·",IF('_Engine'!CC28='_Engine'!CD28,INDEX(Settings!$G$7:$G$11,MOD('_Engine'!CC28,10))&amp;IF('_Engine'!CC28&gt;10,"?",""),IF('_Engine'!CC28=0,INDEX(Settings!$G$7:$G$11,MOD('_Engine'!CD28,10))&amp;IF('_Engine'!CD28&gt;10,"?","")&amp;" PM",IF('_Engine'!CD28=0,INDEX(Settings!$G$7:$G$11,MOD('_Engine'!CC28,10))&amp;IF('_Engine'!CC28&gt;10,"?","")&amp;" AM",INDEX(Settings!$G$7:$G$11,MOD('_Engine'!CC28,10))&amp;IF('_Engine'!CC28&gt;10,"?","")&amp;" AM"&amp;CHAR(10)&amp;INDEX(Settings!$G$7:$G$11,MOD('_Engine'!CD28,10))&amp;IF('_Engine'!CD28&gt;10,"?","")&amp;" PM"))))))))</ns0:f>
        <ns0:v/>
      </ns0:c>
      <ns0:c r="R28" s="164" t="str">
        <ns0:f>IF(OR($A28="",R$11=""),"",IF(OR('_Engine'!$B$6&gt;0,INDEX('_Engine'!$AM$11:$AM$60,'_Engine'!$AO28)&lt;&gt;"OK"),"!",IF(INDEX(Team!$H$11:$N$60,'_Engine'!$AO28,WEEKDAY(R$11,2))&lt;&gt;"Work","—",IF(COUNTIF(Settings!$F$18:$F$67,R$11)&gt;0,"BH",IF('_Engine'!CE28+'_Engine'!CF28=0,"·",IF('_Engine'!CE28='_Engine'!CF28,INDEX(Settings!$G$7:$G$11,MOD('_Engine'!CE28,10))&amp;IF('_Engine'!CE28&gt;10,"?",""),IF('_Engine'!CE28=0,INDEX(Settings!$G$7:$G$11,MOD('_Engine'!CF28,10))&amp;IF('_Engine'!CF28&gt;10,"?","")&amp;" PM",IF('_Engine'!CF28=0,INDEX(Settings!$G$7:$G$11,MOD('_Engine'!CE28,10))&amp;IF('_Engine'!CE28&gt;10,"?","")&amp;" AM",INDEX(Settings!$G$7:$G$11,MOD('_Engine'!CE28,10))&amp;IF('_Engine'!CE28&gt;10,"?","")&amp;" AM"&amp;CHAR(10)&amp;INDEX(Settings!$G$7:$G$11,MOD('_Engine'!CF28,10))&amp;IF('_Engine'!CF28&gt;10,"?","")&amp;" PM"))))))))</ns0:f>
        <ns0:v/>
      </ns0:c>
      <ns0:c r="S28" s="164" t="str">
        <ns0:f>IF(OR($A28="",S$11=""),"",IF(OR('_Engine'!$B$6&gt;0,INDEX('_Engine'!$AM$11:$AM$60,'_Engine'!$AO28)&lt;&gt;"OK"),"!",IF(INDEX(Team!$H$11:$N$60,'_Engine'!$AO28,WEEKDAY(S$11,2))&lt;&gt;"Work","—",IF(COUNTIF(Settings!$F$18:$F$67,S$11)&gt;0,"BH",IF('_Engine'!CG28+'_Engine'!CH28=0,"·",IF('_Engine'!CG28='_Engine'!CH28,INDEX(Settings!$G$7:$G$11,MOD('_Engine'!CG28,10))&amp;IF('_Engine'!CG28&gt;10,"?",""),IF('_Engine'!CG28=0,INDEX(Settings!$G$7:$G$11,MOD('_Engine'!CH28,10))&amp;IF('_Engine'!CH28&gt;10,"?","")&amp;" PM",IF('_Engine'!CH28=0,INDEX(Settings!$G$7:$G$11,MOD('_Engine'!CG28,10))&amp;IF('_Engine'!CG28&gt;10,"?","")&amp;" AM",INDEX(Settings!$G$7:$G$11,MOD('_Engine'!CG28,10))&amp;IF('_Engine'!CG28&gt;10,"?","")&amp;" AM"&amp;CHAR(10)&amp;INDEX(Settings!$G$7:$G$11,MOD('_Engine'!CH28,10))&amp;IF('_Engine'!CH28&gt;10,"?","")&amp;" PM"))))))))</ns0:f>
        <ns0:v/>
      </ns0:c>
      <ns0:c r="T28" s="164" t="str">
        <ns0:f>IF(OR($A28="",T$11=""),"",IF(OR('_Engine'!$B$6&gt;0,INDEX('_Engine'!$AM$11:$AM$60,'_Engine'!$AO28)&lt;&gt;"OK"),"!",IF(INDEX(Team!$H$11:$N$60,'_Engine'!$AO28,WEEKDAY(T$11,2))&lt;&gt;"Work","—",IF(COUNTIF(Settings!$F$18:$F$67,T$11)&gt;0,"BH",IF('_Engine'!CI28+'_Engine'!CJ28=0,"·",IF('_Engine'!CI28='_Engine'!CJ28,INDEX(Settings!$G$7:$G$11,MOD('_Engine'!CI28,10))&amp;IF('_Engine'!CI28&gt;10,"?",""),IF('_Engine'!CI28=0,INDEX(Settings!$G$7:$G$11,MOD('_Engine'!CJ28,10))&amp;IF('_Engine'!CJ28&gt;10,"?","")&amp;" PM",IF('_Engine'!CJ28=0,INDEX(Settings!$G$7:$G$11,MOD('_Engine'!CI28,10))&amp;IF('_Engine'!CI28&gt;10,"?","")&amp;" AM",INDEX(Settings!$G$7:$G$11,MOD('_Engine'!CI28,10))&amp;IF('_Engine'!CI28&gt;10,"?","")&amp;" AM"&amp;CHAR(10)&amp;INDEX(Settings!$G$7:$G$11,MOD('_Engine'!CJ28,10))&amp;IF('_Engine'!CJ28&gt;10,"?","")&amp;" PM"))))))))</ns0:f>
        <ns0:v/>
      </ns0:c>
      <ns0:c r="U28" s="164" t="str">
        <ns0:f>IF(OR($A28="",U$11=""),"",IF(OR('_Engine'!$B$6&gt;0,INDEX('_Engine'!$AM$11:$AM$60,'_Engine'!$AO28)&lt;&gt;"OK"),"!",IF(INDEX(Team!$H$11:$N$60,'_Engine'!$AO28,WEEKDAY(U$11,2))&lt;&gt;"Work","—",IF(COUNTIF(Settings!$F$18:$F$67,U$11)&gt;0,"BH",IF('_Engine'!CK28+'_Engine'!CL28=0,"·",IF('_Engine'!CK28='_Engine'!CL28,INDEX(Settings!$G$7:$G$11,MOD('_Engine'!CK28,10))&amp;IF('_Engine'!CK28&gt;10,"?",""),IF('_Engine'!CK28=0,INDEX(Settings!$G$7:$G$11,MOD('_Engine'!CL28,10))&amp;IF('_Engine'!CL28&gt;10,"?","")&amp;" PM",IF('_Engine'!CL28=0,INDEX(Settings!$G$7:$G$11,MOD('_Engine'!CK28,10))&amp;IF('_Engine'!CK28&gt;10,"?","")&amp;" AM",INDEX(Settings!$G$7:$G$11,MOD('_Engine'!CK28,10))&amp;IF('_Engine'!CK28&gt;10,"?","")&amp;" AM"&amp;CHAR(10)&amp;INDEX(Settings!$G$7:$G$11,MOD('_Engine'!CL28,10))&amp;IF('_Engine'!CL28&gt;10,"?","")&amp;" PM"))))))))</ns0:f>
        <ns0:v/>
      </ns0:c>
      <ns0:c r="V28" s="164" t="str">
        <ns0:f>IF(OR($A28="",V$11=""),"",IF(OR('_Engine'!$B$6&gt;0,INDEX('_Engine'!$AM$11:$AM$60,'_Engine'!$AO28)&lt;&gt;"OK"),"!",IF(INDEX(Team!$H$11:$N$60,'_Engine'!$AO28,WEEKDAY(V$11,2))&lt;&gt;"Work","—",IF(COUNTIF(Settings!$F$18:$F$67,V$11)&gt;0,"BH",IF('_Engine'!CM28+'_Engine'!CN28=0,"·",IF('_Engine'!CM28='_Engine'!CN28,INDEX(Settings!$G$7:$G$11,MOD('_Engine'!CM28,10))&amp;IF('_Engine'!CM28&gt;10,"?",""),IF('_Engine'!CM28=0,INDEX(Settings!$G$7:$G$11,MOD('_Engine'!CN28,10))&amp;IF('_Engine'!CN28&gt;10,"?","")&amp;" PM",IF('_Engine'!CN28=0,INDEX(Settings!$G$7:$G$11,MOD('_Engine'!CM28,10))&amp;IF('_Engine'!CM28&gt;10,"?","")&amp;" AM",INDEX(Settings!$G$7:$G$11,MOD('_Engine'!CM28,10))&amp;IF('_Engine'!CM28&gt;10,"?","")&amp;" AM"&amp;CHAR(10)&amp;INDEX(Settings!$G$7:$G$11,MOD('_Engine'!CN28,10))&amp;IF('_Engine'!CN28&gt;10,"?","")&amp;" PM"))))))))</ns0:f>
        <ns0:v/>
      </ns0:c>
      <ns0:c r="W28" s="164" t="str">
        <ns0:f>IF(OR($A28="",W$11=""),"",IF(OR('_Engine'!$B$6&gt;0,INDEX('_Engine'!$AM$11:$AM$60,'_Engine'!$AO28)&lt;&gt;"OK"),"!",IF(INDEX(Team!$H$11:$N$60,'_Engine'!$AO28,WEEKDAY(W$11,2))&lt;&gt;"Work","—",IF(COUNTIF(Settings!$F$18:$F$67,W$11)&gt;0,"BH",IF('_Engine'!CO28+'_Engine'!CP28=0,"·",IF('_Engine'!CO28='_Engine'!CP28,INDEX(Settings!$G$7:$G$11,MOD('_Engine'!CO28,10))&amp;IF('_Engine'!CO28&gt;10,"?",""),IF('_Engine'!CO28=0,INDEX(Settings!$G$7:$G$11,MOD('_Engine'!CP28,10))&amp;IF('_Engine'!CP28&gt;10,"?","")&amp;" PM",IF('_Engine'!CP28=0,INDEX(Settings!$G$7:$G$11,MOD('_Engine'!CO28,10))&amp;IF('_Engine'!CO28&gt;10,"?","")&amp;" AM",INDEX(Settings!$G$7:$G$11,MOD('_Engine'!CO28,10))&amp;IF('_Engine'!CO28&gt;10,"?","")&amp;" AM"&amp;CHAR(10)&amp;INDEX(Settings!$G$7:$G$11,MOD('_Engine'!CP28,10))&amp;IF('_Engine'!CP28&gt;10,"?","")&amp;" PM"))))))))</ns0:f>
        <ns0:v/>
      </ns0:c>
      <ns0:c r="X28" s="164" t="str">
        <ns0:f>IF(OR($A28="",X$11=""),"",IF(OR('_Engine'!$B$6&gt;0,INDEX('_Engine'!$AM$11:$AM$60,'_Engine'!$AO28)&lt;&gt;"OK"),"!",IF(INDEX(Team!$H$11:$N$60,'_Engine'!$AO28,WEEKDAY(X$11,2))&lt;&gt;"Work","—",IF(COUNTIF(Settings!$F$18:$F$67,X$11)&gt;0,"BH",IF('_Engine'!CQ28+'_Engine'!CR28=0,"·",IF('_Engine'!CQ28='_Engine'!CR28,INDEX(Settings!$G$7:$G$11,MOD('_Engine'!CQ28,10))&amp;IF('_Engine'!CQ28&gt;10,"?",""),IF('_Engine'!CQ28=0,INDEX(Settings!$G$7:$G$11,MOD('_Engine'!CR28,10))&amp;IF('_Engine'!CR28&gt;10,"?","")&amp;" PM",IF('_Engine'!CR28=0,INDEX(Settings!$G$7:$G$11,MOD('_Engine'!CQ28,10))&amp;IF('_Engine'!CQ28&gt;10,"?","")&amp;" AM",INDEX(Settings!$G$7:$G$11,MOD('_Engine'!CQ28,10))&amp;IF('_Engine'!CQ28&gt;10,"?","")&amp;" AM"&amp;CHAR(10)&amp;INDEX(Settings!$G$7:$G$11,MOD('_Engine'!CR28,10))&amp;IF('_Engine'!CR28&gt;10,"?","")&amp;" PM"))))))))</ns0:f>
        <ns0:v/>
      </ns0:c>
      <ns0:c r="Y28" s="164" t="str">
        <ns0:f>IF(OR($A28="",Y$11=""),"",IF(OR('_Engine'!$B$6&gt;0,INDEX('_Engine'!$AM$11:$AM$60,'_Engine'!$AO28)&lt;&gt;"OK"),"!",IF(INDEX(Team!$H$11:$N$60,'_Engine'!$AO28,WEEKDAY(Y$11,2))&lt;&gt;"Work","—",IF(COUNTIF(Settings!$F$18:$F$67,Y$11)&gt;0,"BH",IF('_Engine'!CS28+'_Engine'!CT28=0,"·",IF('_Engine'!CS28='_Engine'!CT28,INDEX(Settings!$G$7:$G$11,MOD('_Engine'!CS28,10))&amp;IF('_Engine'!CS28&gt;10,"?",""),IF('_Engine'!CS28=0,INDEX(Settings!$G$7:$G$11,MOD('_Engine'!CT28,10))&amp;IF('_Engine'!CT28&gt;10,"?","")&amp;" PM",IF('_Engine'!CT28=0,INDEX(Settings!$G$7:$G$11,MOD('_Engine'!CS28,10))&amp;IF('_Engine'!CS28&gt;10,"?","")&amp;" AM",INDEX(Settings!$G$7:$G$11,MOD('_Engine'!CS28,10))&amp;IF('_Engine'!CS28&gt;10,"?","")&amp;" AM"&amp;CHAR(10)&amp;INDEX(Settings!$G$7:$G$11,MOD('_Engine'!CT28,10))&amp;IF('_Engine'!CT28&gt;10,"?","")&amp;" PM"))))))))</ns0:f>
        <ns0:v/>
      </ns0:c>
      <ns0:c r="Z28" s="164" t="str">
        <ns0:f>IF(OR($A28="",Z$11=""),"",IF(OR('_Engine'!$B$6&gt;0,INDEX('_Engine'!$AM$11:$AM$60,'_Engine'!$AO28)&lt;&gt;"OK"),"!",IF(INDEX(Team!$H$11:$N$60,'_Engine'!$AO28,WEEKDAY(Z$11,2))&lt;&gt;"Work","—",IF(COUNTIF(Settings!$F$18:$F$67,Z$11)&gt;0,"BH",IF('_Engine'!CU28+'_Engine'!CV28=0,"·",IF('_Engine'!CU28='_Engine'!CV28,INDEX(Settings!$G$7:$G$11,MOD('_Engine'!CU28,10))&amp;IF('_Engine'!CU28&gt;10,"?",""),IF('_Engine'!CU28=0,INDEX(Settings!$G$7:$G$11,MOD('_Engine'!CV28,10))&amp;IF('_Engine'!CV28&gt;10,"?","")&amp;" PM",IF('_Engine'!CV28=0,INDEX(Settings!$G$7:$G$11,MOD('_Engine'!CU28,10))&amp;IF('_Engine'!CU28&gt;10,"?","")&amp;" AM",INDEX(Settings!$G$7:$G$11,MOD('_Engine'!CU28,10))&amp;IF('_Engine'!CU28&gt;10,"?","")&amp;" AM"&amp;CHAR(10)&amp;INDEX(Settings!$G$7:$G$11,MOD('_Engine'!CV28,10))&amp;IF('_Engine'!CV28&gt;10,"?","")&amp;" PM"))))))))</ns0:f>
        <ns0:v/>
      </ns0:c>
      <ns0:c r="AA28" s="164" t="str">
        <ns0:f>IF(OR($A28="",AA$11=""),"",IF(OR('_Engine'!$B$6&gt;0,INDEX('_Engine'!$AM$11:$AM$60,'_Engine'!$AO28)&lt;&gt;"OK"),"!",IF(INDEX(Team!$H$11:$N$60,'_Engine'!$AO28,WEEKDAY(AA$11,2))&lt;&gt;"Work","—",IF(COUNTIF(Settings!$F$18:$F$67,AA$11)&gt;0,"BH",IF('_Engine'!CW28+'_Engine'!CX28=0,"·",IF('_Engine'!CW28='_Engine'!CX28,INDEX(Settings!$G$7:$G$11,MOD('_Engine'!CW28,10))&amp;IF('_Engine'!CW28&gt;10,"?",""),IF('_Engine'!CW28=0,INDEX(Settings!$G$7:$G$11,MOD('_Engine'!CX28,10))&amp;IF('_Engine'!CX28&gt;10,"?","")&amp;" PM",IF('_Engine'!CX28=0,INDEX(Settings!$G$7:$G$11,MOD('_Engine'!CW28,10))&amp;IF('_Engine'!CW28&gt;10,"?","")&amp;" AM",INDEX(Settings!$G$7:$G$11,MOD('_Engine'!CW28,10))&amp;IF('_Engine'!CW28&gt;10,"?","")&amp;" AM"&amp;CHAR(10)&amp;INDEX(Settings!$G$7:$G$11,MOD('_Engine'!CX28,10))&amp;IF('_Engine'!CX28&gt;10,"?","")&amp;" PM"))))))))</ns0:f>
        <ns0:v/>
      </ns0:c>
      <ns0:c r="AB28" s="164" t="str">
        <ns0:f>IF(OR($A28="",AB$11=""),"",IF(OR('_Engine'!$B$6&gt;0,INDEX('_Engine'!$AM$11:$AM$60,'_Engine'!$AO28)&lt;&gt;"OK"),"!",IF(INDEX(Team!$H$11:$N$60,'_Engine'!$AO28,WEEKDAY(AB$11,2))&lt;&gt;"Work","—",IF(COUNTIF(Settings!$F$18:$F$67,AB$11)&gt;0,"BH",IF('_Engine'!CY28+'_Engine'!CZ28=0,"·",IF('_Engine'!CY28='_Engine'!CZ28,INDEX(Settings!$G$7:$G$11,MOD('_Engine'!CY28,10))&amp;IF('_Engine'!CY28&gt;10,"?",""),IF('_Engine'!CY28=0,INDEX(Settings!$G$7:$G$11,MOD('_Engine'!CZ28,10))&amp;IF('_Engine'!CZ28&gt;10,"?","")&amp;" PM",IF('_Engine'!CZ28=0,INDEX(Settings!$G$7:$G$11,MOD('_Engine'!CY28,10))&amp;IF('_Engine'!CY28&gt;10,"?","")&amp;" AM",INDEX(Settings!$G$7:$G$11,MOD('_Engine'!CY28,10))&amp;IF('_Engine'!CY28&gt;10,"?","")&amp;" AM"&amp;CHAR(10)&amp;INDEX(Settings!$G$7:$G$11,MOD('_Engine'!CZ28,10))&amp;IF('_Engine'!CZ28&gt;10,"?","")&amp;" PM"))))))))</ns0:f>
        <ns0:v/>
      </ns0:c>
      <ns0:c r="AC28" s="164" t="str">
        <ns0:f>IF(OR($A28="",AC$11=""),"",IF(OR('_Engine'!$B$6&gt;0,INDEX('_Engine'!$AM$11:$AM$60,'_Engine'!$AO28)&lt;&gt;"OK"),"!",IF(INDEX(Team!$H$11:$N$60,'_Engine'!$AO28,WEEKDAY(AC$11,2))&lt;&gt;"Work","—",IF(COUNTIF(Settings!$F$18:$F$67,AC$11)&gt;0,"BH",IF('_Engine'!DA28+'_Engine'!DB28=0,"·",IF('_Engine'!DA28='_Engine'!DB28,INDEX(Settings!$G$7:$G$11,MOD('_Engine'!DA28,10))&amp;IF('_Engine'!DA28&gt;10,"?",""),IF('_Engine'!DA28=0,INDEX(Settings!$G$7:$G$11,MOD('_Engine'!DB28,10))&amp;IF('_Engine'!DB28&gt;10,"?","")&amp;" PM",IF('_Engine'!DB28=0,INDEX(Settings!$G$7:$G$11,MOD('_Engine'!DA28,10))&amp;IF('_Engine'!DA28&gt;10,"?","")&amp;" AM",INDEX(Settings!$G$7:$G$11,MOD('_Engine'!DA28,10))&amp;IF('_Engine'!DA28&gt;10,"?","")&amp;" AM"&amp;CHAR(10)&amp;INDEX(Settings!$G$7:$G$11,MOD('_Engine'!DB28,10))&amp;IF('_Engine'!DB28&gt;10,"?","")&amp;" PM"))))))))</ns0:f>
        <ns0:v/>
      </ns0:c>
      <ns0:c r="AD28" s="164" t="str">
        <ns0:f>IF(OR($A28="",AD$11=""),"",IF(OR('_Engine'!$B$6&gt;0,INDEX('_Engine'!$AM$11:$AM$60,'_Engine'!$AO28)&lt;&gt;"OK"),"!",IF(INDEX(Team!$H$11:$N$60,'_Engine'!$AO28,WEEKDAY(AD$11,2))&lt;&gt;"Work","—",IF(COUNTIF(Settings!$F$18:$F$67,AD$11)&gt;0,"BH",IF('_Engine'!DC28+'_Engine'!DD28=0,"·",IF('_Engine'!DC28='_Engine'!DD28,INDEX(Settings!$G$7:$G$11,MOD('_Engine'!DC28,10))&amp;IF('_Engine'!DC28&gt;10,"?",""),IF('_Engine'!DC28=0,INDEX(Settings!$G$7:$G$11,MOD('_Engine'!DD28,10))&amp;IF('_Engine'!DD28&gt;10,"?","")&amp;" PM",IF('_Engine'!DD28=0,INDEX(Settings!$G$7:$G$11,MOD('_Engine'!DC28,10))&amp;IF('_Engine'!DC28&gt;10,"?","")&amp;" AM",INDEX(Settings!$G$7:$G$11,MOD('_Engine'!DC28,10))&amp;IF('_Engine'!DC28&gt;10,"?","")&amp;" AM"&amp;CHAR(10)&amp;INDEX(Settings!$G$7:$G$11,MOD('_Engine'!DD28,10))&amp;IF('_Engine'!DD28&gt;10,"?","")&amp;" PM"))))))))</ns0:f>
        <ns0:v/>
      </ns0:c>
      <ns0:c r="AE28" s="164" t="str">
        <ns0:f>IF(OR($A28="",AE$11=""),"",IF(OR('_Engine'!$B$6&gt;0,INDEX('_Engine'!$AM$11:$AM$60,'_Engine'!$AO28)&lt;&gt;"OK"),"!",IF(INDEX(Team!$H$11:$N$60,'_Engine'!$AO28,WEEKDAY(AE$11,2))&lt;&gt;"Work","—",IF(COUNTIF(Settings!$F$18:$F$67,AE$11)&gt;0,"BH",IF('_Engine'!DE28+'_Engine'!DF28=0,"·",IF('_Engine'!DE28='_Engine'!DF28,INDEX(Settings!$G$7:$G$11,MOD('_Engine'!DE28,10))&amp;IF('_Engine'!DE28&gt;10,"?",""),IF('_Engine'!DE28=0,INDEX(Settings!$G$7:$G$11,MOD('_Engine'!DF28,10))&amp;IF('_Engine'!DF28&gt;10,"?","")&amp;" PM",IF('_Engine'!DF28=0,INDEX(Settings!$G$7:$G$11,MOD('_Engine'!DE28,10))&amp;IF('_Engine'!DE28&gt;10,"?","")&amp;" AM",INDEX(Settings!$G$7:$G$11,MOD('_Engine'!DE28,10))&amp;IF('_Engine'!DE28&gt;10,"?","")&amp;" AM"&amp;CHAR(10)&amp;INDEX(Settings!$G$7:$G$11,MOD('_Engine'!DF28,10))&amp;IF('_Engine'!DF28&gt;10,"?","")&amp;" PM"))))))))</ns0:f>
        <ns0:v/>
      </ns0:c>
      <ns0:c r="AF28" s="164" t="str">
        <ns0:f>IF(OR($A28="",AF$11=""),"",IF(OR('_Engine'!$B$6&gt;0,INDEX('_Engine'!$AM$11:$AM$60,'_Engine'!$AO28)&lt;&gt;"OK"),"!",IF(INDEX(Team!$H$11:$N$60,'_Engine'!$AO28,WEEKDAY(AF$11,2))&lt;&gt;"Work","—",IF(COUNTIF(Settings!$F$18:$F$67,AF$11)&gt;0,"BH",IF('_Engine'!DG28+'_Engine'!DH28=0,"·",IF('_Engine'!DG28='_Engine'!DH28,INDEX(Settings!$G$7:$G$11,MOD('_Engine'!DG28,10))&amp;IF('_Engine'!DG28&gt;10,"?",""),IF('_Engine'!DG28=0,INDEX(Settings!$G$7:$G$11,MOD('_Engine'!DH28,10))&amp;IF('_Engine'!DH28&gt;10,"?","")&amp;" PM",IF('_Engine'!DH28=0,INDEX(Settings!$G$7:$G$11,MOD('_Engine'!DG28,10))&amp;IF('_Engine'!DG28&gt;10,"?","")&amp;" AM",INDEX(Settings!$G$7:$G$11,MOD('_Engine'!DG28,10))&amp;IF('_Engine'!DG28&gt;10,"?","")&amp;" AM"&amp;CHAR(10)&amp;INDEX(Settings!$G$7:$G$11,MOD('_Engine'!DH28,10))&amp;IF('_Engine'!DH28&gt;10,"?","")&amp;" PM"))))))))</ns0:f>
        <ns0:v/>
      </ns0:c>
      <ns0:c r="AG28" s="164" t="str">
        <ns0:f>IF(OR($A28="",AG$11=""),"",IF(OR('_Engine'!$B$6&gt;0,INDEX('_Engine'!$AM$11:$AM$60,'_Engine'!$AO28)&lt;&gt;"OK"),"!",IF(INDEX(Team!$H$11:$N$60,'_Engine'!$AO28,WEEKDAY(AG$11,2))&lt;&gt;"Work","—",IF(COUNTIF(Settings!$F$18:$F$67,AG$11)&gt;0,"BH",IF('_Engine'!DI28+'_Engine'!DJ28=0,"·",IF('_Engine'!DI28='_Engine'!DJ28,INDEX(Settings!$G$7:$G$11,MOD('_Engine'!DI28,10))&amp;IF('_Engine'!DI28&gt;10,"?",""),IF('_Engine'!DI28=0,INDEX(Settings!$G$7:$G$11,MOD('_Engine'!DJ28,10))&amp;IF('_Engine'!DJ28&gt;10,"?","")&amp;" PM",IF('_Engine'!DJ28=0,INDEX(Settings!$G$7:$G$11,MOD('_Engine'!DI28,10))&amp;IF('_Engine'!DI28&gt;10,"?","")&amp;" AM",INDEX(Settings!$G$7:$G$11,MOD('_Engine'!DI28,10))&amp;IF('_Engine'!DI28&gt;10,"?","")&amp;" AM"&amp;CHAR(10)&amp;INDEX(Settings!$G$7:$G$11,MOD('_Engine'!DJ28,10))&amp;IF('_Engine'!DJ28&gt;10,"?","")&amp;" PM"))))))))</ns0:f>
        <ns0:v/>
      </ns0:c>
      <ns0:c r="AH28" s="164" t="str">
        <ns0:f>IF(OR($A28="",AH$11=""),"",IF(OR('_Engine'!$B$6&gt;0,INDEX('_Engine'!$AM$11:$AM$60,'_Engine'!$AO28)&lt;&gt;"OK"),"!",IF(INDEX(Team!$H$11:$N$60,'_Engine'!$AO28,WEEKDAY(AH$11,2))&lt;&gt;"Work","—",IF(COUNTIF(Settings!$F$18:$F$67,AH$11)&gt;0,"BH",IF('_Engine'!DK28+'_Engine'!DL28=0,"·",IF('_Engine'!DK28='_Engine'!DL28,INDEX(Settings!$G$7:$G$11,MOD('_Engine'!DK28,10))&amp;IF('_Engine'!DK28&gt;10,"?",""),IF('_Engine'!DK28=0,INDEX(Settings!$G$7:$G$11,MOD('_Engine'!DL28,10))&amp;IF('_Engine'!DL28&gt;10,"?","")&amp;" PM",IF('_Engine'!DL28=0,INDEX(Settings!$G$7:$G$11,MOD('_Engine'!DK28,10))&amp;IF('_Engine'!DK28&gt;10,"?","")&amp;" AM",INDEX(Settings!$G$7:$G$11,MOD('_Engine'!DK28,10))&amp;IF('_Engine'!DK28&gt;10,"?","")&amp;" AM"&amp;CHAR(10)&amp;INDEX(Settings!$G$7:$G$11,MOD('_Engine'!DL28,10))&amp;IF('_Engine'!DL28&gt;10,"?","")&amp;" PM"))))))))</ns0:f>
        <ns0:v/>
      </ns0:c>
    </ns0:row>
    <ns0:row r="29" ht="38" customHeight="1">
      <ns0:c r="A29" s="4" t="str">
        <ns0:f>IF('_Engine'!AO29=0,"",IF(INDEX(Team!$B$11:$B$60,'_Engine'!AO29)="","[Unnamed]",INDEX(Team!$B$11:$B$60,'_Engine'!AO29)))</ns0:f>
        <ns0:v/>
      </ns0:c>
      <ns0:c r="B29" s="156" t="str">
        <ns0:f>IF('_Engine'!AO29=0,"",INDEX('_Engine'!$AN$11:$AN$60,'_Engine'!AO29))</ns0:f>
        <ns0:v/>
      </ns0:c>
      <ns0:c r="C29" s="4" t="str">
        <ns0:f>IF('_Engine'!AO29=0,"",INDEX(Team!$C$11:$C$60,'_Engine'!AO29))</ns0:f>
        <ns0:v/>
      </ns0:c>
      <ns0:c r="D29" s="162" t="str">
        <ns0:f>IF(OR($A29="",D$11=""),"",IF(OR('_Engine'!$B$6&gt;0,INDEX('_Engine'!$AM$11:$AM$60,'_Engine'!$AO29)&lt;&gt;"OK"),"!",IF(INDEX(Team!$H$11:$N$60,'_Engine'!$AO29,WEEKDAY(D$11,2))&lt;&gt;"Work","—",IF(COUNTIF(Settings!$F$18:$F$67,D$11)&gt;0,"BH",IF('_Engine'!BC29+'_Engine'!BD29=0,"·",IF('_Engine'!BC29='_Engine'!BD29,INDEX(Settings!$G$7:$G$11,MOD('_Engine'!BC29,10))&amp;IF('_Engine'!BC29&gt;10,"?",""),IF('_Engine'!BC29=0,INDEX(Settings!$G$7:$G$11,MOD('_Engine'!BD29,10))&amp;IF('_Engine'!BD29&gt;10,"?","")&amp;" PM",IF('_Engine'!BD29=0,INDEX(Settings!$G$7:$G$11,MOD('_Engine'!BC29,10))&amp;IF('_Engine'!BC29&gt;10,"?","")&amp;" AM",INDEX(Settings!$G$7:$G$11,MOD('_Engine'!BC29,10))&amp;IF('_Engine'!BC29&gt;10,"?","")&amp;" AM"&amp;CHAR(10)&amp;INDEX(Settings!$G$7:$G$11,MOD('_Engine'!BD29,10))&amp;IF('_Engine'!BD29&gt;10,"?","")&amp;" PM"))))))))</ns0:f>
        <ns0:v/>
      </ns0:c>
      <ns0:c r="E29" s="162" t="str">
        <ns0:f>IF(OR($A29="",E$11=""),"",IF(OR('_Engine'!$B$6&gt;0,INDEX('_Engine'!$AM$11:$AM$60,'_Engine'!$AO29)&lt;&gt;"OK"),"!",IF(INDEX(Team!$H$11:$N$60,'_Engine'!$AO29,WEEKDAY(E$11,2))&lt;&gt;"Work","—",IF(COUNTIF(Settings!$F$18:$F$67,E$11)&gt;0,"BH",IF('_Engine'!BE29+'_Engine'!BF29=0,"·",IF('_Engine'!BE29='_Engine'!BF29,INDEX(Settings!$G$7:$G$11,MOD('_Engine'!BE29,10))&amp;IF('_Engine'!BE29&gt;10,"?",""),IF('_Engine'!BE29=0,INDEX(Settings!$G$7:$G$11,MOD('_Engine'!BF29,10))&amp;IF('_Engine'!BF29&gt;10,"?","")&amp;" PM",IF('_Engine'!BF29=0,INDEX(Settings!$G$7:$G$11,MOD('_Engine'!BE29,10))&amp;IF('_Engine'!BE29&gt;10,"?","")&amp;" AM",INDEX(Settings!$G$7:$G$11,MOD('_Engine'!BE29,10))&amp;IF('_Engine'!BE29&gt;10,"?","")&amp;" AM"&amp;CHAR(10)&amp;INDEX(Settings!$G$7:$G$11,MOD('_Engine'!BF29,10))&amp;IF('_Engine'!BF29&gt;10,"?","")&amp;" PM"))))))))</ns0:f>
        <ns0:v/>
      </ns0:c>
      <ns0:c r="F29" s="162" t="str">
        <ns0:f>IF(OR($A29="",F$11=""),"",IF(OR('_Engine'!$B$6&gt;0,INDEX('_Engine'!$AM$11:$AM$60,'_Engine'!$AO29)&lt;&gt;"OK"),"!",IF(INDEX(Team!$H$11:$N$60,'_Engine'!$AO29,WEEKDAY(F$11,2))&lt;&gt;"Work","—",IF(COUNTIF(Settings!$F$18:$F$67,F$11)&gt;0,"BH",IF('_Engine'!BG29+'_Engine'!BH29=0,"·",IF('_Engine'!BG29='_Engine'!BH29,INDEX(Settings!$G$7:$G$11,MOD('_Engine'!BG29,10))&amp;IF('_Engine'!BG29&gt;10,"?",""),IF('_Engine'!BG29=0,INDEX(Settings!$G$7:$G$11,MOD('_Engine'!BH29,10))&amp;IF('_Engine'!BH29&gt;10,"?","")&amp;" PM",IF('_Engine'!BH29=0,INDEX(Settings!$G$7:$G$11,MOD('_Engine'!BG29,10))&amp;IF('_Engine'!BG29&gt;10,"?","")&amp;" AM",INDEX(Settings!$G$7:$G$11,MOD('_Engine'!BG29,10))&amp;IF('_Engine'!BG29&gt;10,"?","")&amp;" AM"&amp;CHAR(10)&amp;INDEX(Settings!$G$7:$G$11,MOD('_Engine'!BH29,10))&amp;IF('_Engine'!BH29&gt;10,"?","")&amp;" PM"))))))))</ns0:f>
        <ns0:v/>
      </ns0:c>
      <ns0:c r="G29" s="162" t="str">
        <ns0:f>IF(OR($A29="",G$11=""),"",IF(OR('_Engine'!$B$6&gt;0,INDEX('_Engine'!$AM$11:$AM$60,'_Engine'!$AO29)&lt;&gt;"OK"),"!",IF(INDEX(Team!$H$11:$N$60,'_Engine'!$AO29,WEEKDAY(G$11,2))&lt;&gt;"Work","—",IF(COUNTIF(Settings!$F$18:$F$67,G$11)&gt;0,"BH",IF('_Engine'!BI29+'_Engine'!BJ29=0,"·",IF('_Engine'!BI29='_Engine'!BJ29,INDEX(Settings!$G$7:$G$11,MOD('_Engine'!BI29,10))&amp;IF('_Engine'!BI29&gt;10,"?",""),IF('_Engine'!BI29=0,INDEX(Settings!$G$7:$G$11,MOD('_Engine'!BJ29,10))&amp;IF('_Engine'!BJ29&gt;10,"?","")&amp;" PM",IF('_Engine'!BJ29=0,INDEX(Settings!$G$7:$G$11,MOD('_Engine'!BI29,10))&amp;IF('_Engine'!BI29&gt;10,"?","")&amp;" AM",INDEX(Settings!$G$7:$G$11,MOD('_Engine'!BI29,10))&amp;IF('_Engine'!BI29&gt;10,"?","")&amp;" AM"&amp;CHAR(10)&amp;INDEX(Settings!$G$7:$G$11,MOD('_Engine'!BJ29,10))&amp;IF('_Engine'!BJ29&gt;10,"?","")&amp;" PM"))))))))</ns0:f>
        <ns0:v/>
      </ns0:c>
      <ns0:c r="H29" s="162" t="str">
        <ns0:f>IF(OR($A29="",H$11=""),"",IF(OR('_Engine'!$B$6&gt;0,INDEX('_Engine'!$AM$11:$AM$60,'_Engine'!$AO29)&lt;&gt;"OK"),"!",IF(INDEX(Team!$H$11:$N$60,'_Engine'!$AO29,WEEKDAY(H$11,2))&lt;&gt;"Work","—",IF(COUNTIF(Settings!$F$18:$F$67,H$11)&gt;0,"BH",IF('_Engine'!BK29+'_Engine'!BL29=0,"·",IF('_Engine'!BK29='_Engine'!BL29,INDEX(Settings!$G$7:$G$11,MOD('_Engine'!BK29,10))&amp;IF('_Engine'!BK29&gt;10,"?",""),IF('_Engine'!BK29=0,INDEX(Settings!$G$7:$G$11,MOD('_Engine'!BL29,10))&amp;IF('_Engine'!BL29&gt;10,"?","")&amp;" PM",IF('_Engine'!BL29=0,INDEX(Settings!$G$7:$G$11,MOD('_Engine'!BK29,10))&amp;IF('_Engine'!BK29&gt;10,"?","")&amp;" AM",INDEX(Settings!$G$7:$G$11,MOD('_Engine'!BK29,10))&amp;IF('_Engine'!BK29&gt;10,"?","")&amp;" AM"&amp;CHAR(10)&amp;INDEX(Settings!$G$7:$G$11,MOD('_Engine'!BL29,10))&amp;IF('_Engine'!BL29&gt;10,"?","")&amp;" PM"))))))))</ns0:f>
        <ns0:v/>
      </ns0:c>
      <ns0:c r="I29" s="162" t="str">
        <ns0:f>IF(OR($A29="",I$11=""),"",IF(OR('_Engine'!$B$6&gt;0,INDEX('_Engine'!$AM$11:$AM$60,'_Engine'!$AO29)&lt;&gt;"OK"),"!",IF(INDEX(Team!$H$11:$N$60,'_Engine'!$AO29,WEEKDAY(I$11,2))&lt;&gt;"Work","—",IF(COUNTIF(Settings!$F$18:$F$67,I$11)&gt;0,"BH",IF('_Engine'!BM29+'_Engine'!BN29=0,"·",IF('_Engine'!BM29='_Engine'!BN29,INDEX(Settings!$G$7:$G$11,MOD('_Engine'!BM29,10))&amp;IF('_Engine'!BM29&gt;10,"?",""),IF('_Engine'!BM29=0,INDEX(Settings!$G$7:$G$11,MOD('_Engine'!BN29,10))&amp;IF('_Engine'!BN29&gt;10,"?","")&amp;" PM",IF('_Engine'!BN29=0,INDEX(Settings!$G$7:$G$11,MOD('_Engine'!BM29,10))&amp;IF('_Engine'!BM29&gt;10,"?","")&amp;" AM",INDEX(Settings!$G$7:$G$11,MOD('_Engine'!BM29,10))&amp;IF('_Engine'!BM29&gt;10,"?","")&amp;" AM"&amp;CHAR(10)&amp;INDEX(Settings!$G$7:$G$11,MOD('_Engine'!BN29,10))&amp;IF('_Engine'!BN29&gt;10,"?","")&amp;" PM"))))))))</ns0:f>
        <ns0:v/>
      </ns0:c>
      <ns0:c r="J29" s="162" t="str">
        <ns0:f>IF(OR($A29="",J$11=""),"",IF(OR('_Engine'!$B$6&gt;0,INDEX('_Engine'!$AM$11:$AM$60,'_Engine'!$AO29)&lt;&gt;"OK"),"!",IF(INDEX(Team!$H$11:$N$60,'_Engine'!$AO29,WEEKDAY(J$11,2))&lt;&gt;"Work","—",IF(COUNTIF(Settings!$F$18:$F$67,J$11)&gt;0,"BH",IF('_Engine'!BO29+'_Engine'!BP29=0,"·",IF('_Engine'!BO29='_Engine'!BP29,INDEX(Settings!$G$7:$G$11,MOD('_Engine'!BO29,10))&amp;IF('_Engine'!BO29&gt;10,"?",""),IF('_Engine'!BO29=0,INDEX(Settings!$G$7:$G$11,MOD('_Engine'!BP29,10))&amp;IF('_Engine'!BP29&gt;10,"?","")&amp;" PM",IF('_Engine'!BP29=0,INDEX(Settings!$G$7:$G$11,MOD('_Engine'!BO29,10))&amp;IF('_Engine'!BO29&gt;10,"?","")&amp;" AM",INDEX(Settings!$G$7:$G$11,MOD('_Engine'!BO29,10))&amp;IF('_Engine'!BO29&gt;10,"?","")&amp;" AM"&amp;CHAR(10)&amp;INDEX(Settings!$G$7:$G$11,MOD('_Engine'!BP29,10))&amp;IF('_Engine'!BP29&gt;10,"?","")&amp;" PM"))))))))</ns0:f>
        <ns0:v/>
      </ns0:c>
      <ns0:c r="K29" s="164" t="str">
        <ns0:f>IF(OR($A29="",K$11=""),"",IF(OR('_Engine'!$B$6&gt;0,INDEX('_Engine'!$AM$11:$AM$60,'_Engine'!$AO29)&lt;&gt;"OK"),"!",IF(INDEX(Team!$H$11:$N$60,'_Engine'!$AO29,WEEKDAY(K$11,2))&lt;&gt;"Work","—",IF(COUNTIF(Settings!$F$18:$F$67,K$11)&gt;0,"BH",IF('_Engine'!BQ29+'_Engine'!BR29=0,"·",IF('_Engine'!BQ29='_Engine'!BR29,INDEX(Settings!$G$7:$G$11,MOD('_Engine'!BQ29,10))&amp;IF('_Engine'!BQ29&gt;10,"?",""),IF('_Engine'!BQ29=0,INDEX(Settings!$G$7:$G$11,MOD('_Engine'!BR29,10))&amp;IF('_Engine'!BR29&gt;10,"?","")&amp;" PM",IF('_Engine'!BR29=0,INDEX(Settings!$G$7:$G$11,MOD('_Engine'!BQ29,10))&amp;IF('_Engine'!BQ29&gt;10,"?","")&amp;" AM",INDEX(Settings!$G$7:$G$11,MOD('_Engine'!BQ29,10))&amp;IF('_Engine'!BQ29&gt;10,"?","")&amp;" AM"&amp;CHAR(10)&amp;INDEX(Settings!$G$7:$G$11,MOD('_Engine'!BR29,10))&amp;IF('_Engine'!BR29&gt;10,"?","")&amp;" PM"))))))))</ns0:f>
        <ns0:v/>
      </ns0:c>
      <ns0:c r="L29" s="164" t="str">
        <ns0:f>IF(OR($A29="",L$11=""),"",IF(OR('_Engine'!$B$6&gt;0,INDEX('_Engine'!$AM$11:$AM$60,'_Engine'!$AO29)&lt;&gt;"OK"),"!",IF(INDEX(Team!$H$11:$N$60,'_Engine'!$AO29,WEEKDAY(L$11,2))&lt;&gt;"Work","—",IF(COUNTIF(Settings!$F$18:$F$67,L$11)&gt;0,"BH",IF('_Engine'!BS29+'_Engine'!BT29=0,"·",IF('_Engine'!BS29='_Engine'!BT29,INDEX(Settings!$G$7:$G$11,MOD('_Engine'!BS29,10))&amp;IF('_Engine'!BS29&gt;10,"?",""),IF('_Engine'!BS29=0,INDEX(Settings!$G$7:$G$11,MOD('_Engine'!BT29,10))&amp;IF('_Engine'!BT29&gt;10,"?","")&amp;" PM",IF('_Engine'!BT29=0,INDEX(Settings!$G$7:$G$11,MOD('_Engine'!BS29,10))&amp;IF('_Engine'!BS29&gt;10,"?","")&amp;" AM",INDEX(Settings!$G$7:$G$11,MOD('_Engine'!BS29,10))&amp;IF('_Engine'!BS29&gt;10,"?","")&amp;" AM"&amp;CHAR(10)&amp;INDEX(Settings!$G$7:$G$11,MOD('_Engine'!BT29,10))&amp;IF('_Engine'!BT29&gt;10,"?","")&amp;" PM"))))))))</ns0:f>
        <ns0:v/>
      </ns0:c>
      <ns0:c r="M29" s="164" t="str">
        <ns0:f>IF(OR($A29="",M$11=""),"",IF(OR('_Engine'!$B$6&gt;0,INDEX('_Engine'!$AM$11:$AM$60,'_Engine'!$AO29)&lt;&gt;"OK"),"!",IF(INDEX(Team!$H$11:$N$60,'_Engine'!$AO29,WEEKDAY(M$11,2))&lt;&gt;"Work","—",IF(COUNTIF(Settings!$F$18:$F$67,M$11)&gt;0,"BH",IF('_Engine'!BU29+'_Engine'!BV29=0,"·",IF('_Engine'!BU29='_Engine'!BV29,INDEX(Settings!$G$7:$G$11,MOD('_Engine'!BU29,10))&amp;IF('_Engine'!BU29&gt;10,"?",""),IF('_Engine'!BU29=0,INDEX(Settings!$G$7:$G$11,MOD('_Engine'!BV29,10))&amp;IF('_Engine'!BV29&gt;10,"?","")&amp;" PM",IF('_Engine'!BV29=0,INDEX(Settings!$G$7:$G$11,MOD('_Engine'!BU29,10))&amp;IF('_Engine'!BU29&gt;10,"?","")&amp;" AM",INDEX(Settings!$G$7:$G$11,MOD('_Engine'!BU29,10))&amp;IF('_Engine'!BU29&gt;10,"?","")&amp;" AM"&amp;CHAR(10)&amp;INDEX(Settings!$G$7:$G$11,MOD('_Engine'!BV29,10))&amp;IF('_Engine'!BV29&gt;10,"?","")&amp;" PM"))))))))</ns0:f>
        <ns0:v/>
      </ns0:c>
      <ns0:c r="N29" s="164" t="str">
        <ns0:f>IF(OR($A29="",N$11=""),"",IF(OR('_Engine'!$B$6&gt;0,INDEX('_Engine'!$AM$11:$AM$60,'_Engine'!$AO29)&lt;&gt;"OK"),"!",IF(INDEX(Team!$H$11:$N$60,'_Engine'!$AO29,WEEKDAY(N$11,2))&lt;&gt;"Work","—",IF(COUNTIF(Settings!$F$18:$F$67,N$11)&gt;0,"BH",IF('_Engine'!BW29+'_Engine'!BX29=0,"·",IF('_Engine'!BW29='_Engine'!BX29,INDEX(Settings!$G$7:$G$11,MOD('_Engine'!BW29,10))&amp;IF('_Engine'!BW29&gt;10,"?",""),IF('_Engine'!BW29=0,INDEX(Settings!$G$7:$G$11,MOD('_Engine'!BX29,10))&amp;IF('_Engine'!BX29&gt;10,"?","")&amp;" PM",IF('_Engine'!BX29=0,INDEX(Settings!$G$7:$G$11,MOD('_Engine'!BW29,10))&amp;IF('_Engine'!BW29&gt;10,"?","")&amp;" AM",INDEX(Settings!$G$7:$G$11,MOD('_Engine'!BW29,10))&amp;IF('_Engine'!BW29&gt;10,"?","")&amp;" AM"&amp;CHAR(10)&amp;INDEX(Settings!$G$7:$G$11,MOD('_Engine'!BX29,10))&amp;IF('_Engine'!BX29&gt;10,"?","")&amp;" PM"))))))))</ns0:f>
        <ns0:v/>
      </ns0:c>
      <ns0:c r="O29" s="164" t="str">
        <ns0:f>IF(OR($A29="",O$11=""),"",IF(OR('_Engine'!$B$6&gt;0,INDEX('_Engine'!$AM$11:$AM$60,'_Engine'!$AO29)&lt;&gt;"OK"),"!",IF(INDEX(Team!$H$11:$N$60,'_Engine'!$AO29,WEEKDAY(O$11,2))&lt;&gt;"Work","—",IF(COUNTIF(Settings!$F$18:$F$67,O$11)&gt;0,"BH",IF('_Engine'!BY29+'_Engine'!BZ29=0,"·",IF('_Engine'!BY29='_Engine'!BZ29,INDEX(Settings!$G$7:$G$11,MOD('_Engine'!BY29,10))&amp;IF('_Engine'!BY29&gt;10,"?",""),IF('_Engine'!BY29=0,INDEX(Settings!$G$7:$G$11,MOD('_Engine'!BZ29,10))&amp;IF('_Engine'!BZ29&gt;10,"?","")&amp;" PM",IF('_Engine'!BZ29=0,INDEX(Settings!$G$7:$G$11,MOD('_Engine'!BY29,10))&amp;IF('_Engine'!BY29&gt;10,"?","")&amp;" AM",INDEX(Settings!$G$7:$G$11,MOD('_Engine'!BY29,10))&amp;IF('_Engine'!BY29&gt;10,"?","")&amp;" AM"&amp;CHAR(10)&amp;INDEX(Settings!$G$7:$G$11,MOD('_Engine'!BZ29,10))&amp;IF('_Engine'!BZ29&gt;10,"?","")&amp;" PM"))))))))</ns0:f>
        <ns0:v/>
      </ns0:c>
      <ns0:c r="P29" s="164" t="str">
        <ns0:f>IF(OR($A29="",P$11=""),"",IF(OR('_Engine'!$B$6&gt;0,INDEX('_Engine'!$AM$11:$AM$60,'_Engine'!$AO29)&lt;&gt;"OK"),"!",IF(INDEX(Team!$H$11:$N$60,'_Engine'!$AO29,WEEKDAY(P$11,2))&lt;&gt;"Work","—",IF(COUNTIF(Settings!$F$18:$F$67,P$11)&gt;0,"BH",IF('_Engine'!CA29+'_Engine'!CB29=0,"·",IF('_Engine'!CA29='_Engine'!CB29,INDEX(Settings!$G$7:$G$11,MOD('_Engine'!CA29,10))&amp;IF('_Engine'!CA29&gt;10,"?",""),IF('_Engine'!CA29=0,INDEX(Settings!$G$7:$G$11,MOD('_Engine'!CB29,10))&amp;IF('_Engine'!CB29&gt;10,"?","")&amp;" PM",IF('_Engine'!CB29=0,INDEX(Settings!$G$7:$G$11,MOD('_Engine'!CA29,10))&amp;IF('_Engine'!CA29&gt;10,"?","")&amp;" AM",INDEX(Settings!$G$7:$G$11,MOD('_Engine'!CA29,10))&amp;IF('_Engine'!CA29&gt;10,"?","")&amp;" AM"&amp;CHAR(10)&amp;INDEX(Settings!$G$7:$G$11,MOD('_Engine'!CB29,10))&amp;IF('_Engine'!CB29&gt;10,"?","")&amp;" PM"))))))))</ns0:f>
        <ns0:v/>
      </ns0:c>
      <ns0:c r="Q29" s="164" t="str">
        <ns0:f>IF(OR($A29="",Q$11=""),"",IF(OR('_Engine'!$B$6&gt;0,INDEX('_Engine'!$AM$11:$AM$60,'_Engine'!$AO29)&lt;&gt;"OK"),"!",IF(INDEX(Team!$H$11:$N$60,'_Engine'!$AO29,WEEKDAY(Q$11,2))&lt;&gt;"Work","—",IF(COUNTIF(Settings!$F$18:$F$67,Q$11)&gt;0,"BH",IF('_Engine'!CC29+'_Engine'!CD29=0,"·",IF('_Engine'!CC29='_Engine'!CD29,INDEX(Settings!$G$7:$G$11,MOD('_Engine'!CC29,10))&amp;IF('_Engine'!CC29&gt;10,"?",""),IF('_Engine'!CC29=0,INDEX(Settings!$G$7:$G$11,MOD('_Engine'!CD29,10))&amp;IF('_Engine'!CD29&gt;10,"?","")&amp;" PM",IF('_Engine'!CD29=0,INDEX(Settings!$G$7:$G$11,MOD('_Engine'!CC29,10))&amp;IF('_Engine'!CC29&gt;10,"?","")&amp;" AM",INDEX(Settings!$G$7:$G$11,MOD('_Engine'!CC29,10))&amp;IF('_Engine'!CC29&gt;10,"?","")&amp;" AM"&amp;CHAR(10)&amp;INDEX(Settings!$G$7:$G$11,MOD('_Engine'!CD29,10))&amp;IF('_Engine'!CD29&gt;10,"?","")&amp;" PM"))))))))</ns0:f>
        <ns0:v/>
      </ns0:c>
      <ns0:c r="R29" s="164" t="str">
        <ns0:f>IF(OR($A29="",R$11=""),"",IF(OR('_Engine'!$B$6&gt;0,INDEX('_Engine'!$AM$11:$AM$60,'_Engine'!$AO29)&lt;&gt;"OK"),"!",IF(INDEX(Team!$H$11:$N$60,'_Engine'!$AO29,WEEKDAY(R$11,2))&lt;&gt;"Work","—",IF(COUNTIF(Settings!$F$18:$F$67,R$11)&gt;0,"BH",IF('_Engine'!CE29+'_Engine'!CF29=0,"·",IF('_Engine'!CE29='_Engine'!CF29,INDEX(Settings!$G$7:$G$11,MOD('_Engine'!CE29,10))&amp;IF('_Engine'!CE29&gt;10,"?",""),IF('_Engine'!CE29=0,INDEX(Settings!$G$7:$G$11,MOD('_Engine'!CF29,10))&amp;IF('_Engine'!CF29&gt;10,"?","")&amp;" PM",IF('_Engine'!CF29=0,INDEX(Settings!$G$7:$G$11,MOD('_Engine'!CE29,10))&amp;IF('_Engine'!CE29&gt;10,"?","")&amp;" AM",INDEX(Settings!$G$7:$G$11,MOD('_Engine'!CE29,10))&amp;IF('_Engine'!CE29&gt;10,"?","")&amp;" AM"&amp;CHAR(10)&amp;INDEX(Settings!$G$7:$G$11,MOD('_Engine'!CF29,10))&amp;IF('_Engine'!CF29&gt;10,"?","")&amp;" PM"))))))))</ns0:f>
        <ns0:v/>
      </ns0:c>
      <ns0:c r="S29" s="164" t="str">
        <ns0:f>IF(OR($A29="",S$11=""),"",IF(OR('_Engine'!$B$6&gt;0,INDEX('_Engine'!$AM$11:$AM$60,'_Engine'!$AO29)&lt;&gt;"OK"),"!",IF(INDEX(Team!$H$11:$N$60,'_Engine'!$AO29,WEEKDAY(S$11,2))&lt;&gt;"Work","—",IF(COUNTIF(Settings!$F$18:$F$67,S$11)&gt;0,"BH",IF('_Engine'!CG29+'_Engine'!CH29=0,"·",IF('_Engine'!CG29='_Engine'!CH29,INDEX(Settings!$G$7:$G$11,MOD('_Engine'!CG29,10))&amp;IF('_Engine'!CG29&gt;10,"?",""),IF('_Engine'!CG29=0,INDEX(Settings!$G$7:$G$11,MOD('_Engine'!CH29,10))&amp;IF('_Engine'!CH29&gt;10,"?","")&amp;" PM",IF('_Engine'!CH29=0,INDEX(Settings!$G$7:$G$11,MOD('_Engine'!CG29,10))&amp;IF('_Engine'!CG29&gt;10,"?","")&amp;" AM",INDEX(Settings!$G$7:$G$11,MOD('_Engine'!CG29,10))&amp;IF('_Engine'!CG29&gt;10,"?","")&amp;" AM"&amp;CHAR(10)&amp;INDEX(Settings!$G$7:$G$11,MOD('_Engine'!CH29,10))&amp;IF('_Engine'!CH29&gt;10,"?","")&amp;" PM"))))))))</ns0:f>
        <ns0:v/>
      </ns0:c>
      <ns0:c r="T29" s="164" t="str">
        <ns0:f>IF(OR($A29="",T$11=""),"",IF(OR('_Engine'!$B$6&gt;0,INDEX('_Engine'!$AM$11:$AM$60,'_Engine'!$AO29)&lt;&gt;"OK"),"!",IF(INDEX(Team!$H$11:$N$60,'_Engine'!$AO29,WEEKDAY(T$11,2))&lt;&gt;"Work","—",IF(COUNTIF(Settings!$F$18:$F$67,T$11)&gt;0,"BH",IF('_Engine'!CI29+'_Engine'!CJ29=0,"·",IF('_Engine'!CI29='_Engine'!CJ29,INDEX(Settings!$G$7:$G$11,MOD('_Engine'!CI29,10))&amp;IF('_Engine'!CI29&gt;10,"?",""),IF('_Engine'!CI29=0,INDEX(Settings!$G$7:$G$11,MOD('_Engine'!CJ29,10))&amp;IF('_Engine'!CJ29&gt;10,"?","")&amp;" PM",IF('_Engine'!CJ29=0,INDEX(Settings!$G$7:$G$11,MOD('_Engine'!CI29,10))&amp;IF('_Engine'!CI29&gt;10,"?","")&amp;" AM",INDEX(Settings!$G$7:$G$11,MOD('_Engine'!CI29,10))&amp;IF('_Engine'!CI29&gt;10,"?","")&amp;" AM"&amp;CHAR(10)&amp;INDEX(Settings!$G$7:$G$11,MOD('_Engine'!CJ29,10))&amp;IF('_Engine'!CJ29&gt;10,"?","")&amp;" PM"))))))))</ns0:f>
        <ns0:v/>
      </ns0:c>
      <ns0:c r="U29" s="164" t="str">
        <ns0:f>IF(OR($A29="",U$11=""),"",IF(OR('_Engine'!$B$6&gt;0,INDEX('_Engine'!$AM$11:$AM$60,'_Engine'!$AO29)&lt;&gt;"OK"),"!",IF(INDEX(Team!$H$11:$N$60,'_Engine'!$AO29,WEEKDAY(U$11,2))&lt;&gt;"Work","—",IF(COUNTIF(Settings!$F$18:$F$67,U$11)&gt;0,"BH",IF('_Engine'!CK29+'_Engine'!CL29=0,"·",IF('_Engine'!CK29='_Engine'!CL29,INDEX(Settings!$G$7:$G$11,MOD('_Engine'!CK29,10))&amp;IF('_Engine'!CK29&gt;10,"?",""),IF('_Engine'!CK29=0,INDEX(Settings!$G$7:$G$11,MOD('_Engine'!CL29,10))&amp;IF('_Engine'!CL29&gt;10,"?","")&amp;" PM",IF('_Engine'!CL29=0,INDEX(Settings!$G$7:$G$11,MOD('_Engine'!CK29,10))&amp;IF('_Engine'!CK29&gt;10,"?","")&amp;" AM",INDEX(Settings!$G$7:$G$11,MOD('_Engine'!CK29,10))&amp;IF('_Engine'!CK29&gt;10,"?","")&amp;" AM"&amp;CHAR(10)&amp;INDEX(Settings!$G$7:$G$11,MOD('_Engine'!CL29,10))&amp;IF('_Engine'!CL29&gt;10,"?","")&amp;" PM"))))))))</ns0:f>
        <ns0:v/>
      </ns0:c>
      <ns0:c r="V29" s="164" t="str">
        <ns0:f>IF(OR($A29="",V$11=""),"",IF(OR('_Engine'!$B$6&gt;0,INDEX('_Engine'!$AM$11:$AM$60,'_Engine'!$AO29)&lt;&gt;"OK"),"!",IF(INDEX(Team!$H$11:$N$60,'_Engine'!$AO29,WEEKDAY(V$11,2))&lt;&gt;"Work","—",IF(COUNTIF(Settings!$F$18:$F$67,V$11)&gt;0,"BH",IF('_Engine'!CM29+'_Engine'!CN29=0,"·",IF('_Engine'!CM29='_Engine'!CN29,INDEX(Settings!$G$7:$G$11,MOD('_Engine'!CM29,10))&amp;IF('_Engine'!CM29&gt;10,"?",""),IF('_Engine'!CM29=0,INDEX(Settings!$G$7:$G$11,MOD('_Engine'!CN29,10))&amp;IF('_Engine'!CN29&gt;10,"?","")&amp;" PM",IF('_Engine'!CN29=0,INDEX(Settings!$G$7:$G$11,MOD('_Engine'!CM29,10))&amp;IF('_Engine'!CM29&gt;10,"?","")&amp;" AM",INDEX(Settings!$G$7:$G$11,MOD('_Engine'!CM29,10))&amp;IF('_Engine'!CM29&gt;10,"?","")&amp;" AM"&amp;CHAR(10)&amp;INDEX(Settings!$G$7:$G$11,MOD('_Engine'!CN29,10))&amp;IF('_Engine'!CN29&gt;10,"?","")&amp;" PM"))))))))</ns0:f>
        <ns0:v/>
      </ns0:c>
      <ns0:c r="W29" s="164" t="str">
        <ns0:f>IF(OR($A29="",W$11=""),"",IF(OR('_Engine'!$B$6&gt;0,INDEX('_Engine'!$AM$11:$AM$60,'_Engine'!$AO29)&lt;&gt;"OK"),"!",IF(INDEX(Team!$H$11:$N$60,'_Engine'!$AO29,WEEKDAY(W$11,2))&lt;&gt;"Work","—",IF(COUNTIF(Settings!$F$18:$F$67,W$11)&gt;0,"BH",IF('_Engine'!CO29+'_Engine'!CP29=0,"·",IF('_Engine'!CO29='_Engine'!CP29,INDEX(Settings!$G$7:$G$11,MOD('_Engine'!CO29,10))&amp;IF('_Engine'!CO29&gt;10,"?",""),IF('_Engine'!CO29=0,INDEX(Settings!$G$7:$G$11,MOD('_Engine'!CP29,10))&amp;IF('_Engine'!CP29&gt;10,"?","")&amp;" PM",IF('_Engine'!CP29=0,INDEX(Settings!$G$7:$G$11,MOD('_Engine'!CO29,10))&amp;IF('_Engine'!CO29&gt;10,"?","")&amp;" AM",INDEX(Settings!$G$7:$G$11,MOD('_Engine'!CO29,10))&amp;IF('_Engine'!CO29&gt;10,"?","")&amp;" AM"&amp;CHAR(10)&amp;INDEX(Settings!$G$7:$G$11,MOD('_Engine'!CP29,10))&amp;IF('_Engine'!CP29&gt;10,"?","")&amp;" PM"))))))))</ns0:f>
        <ns0:v/>
      </ns0:c>
      <ns0:c r="X29" s="164" t="str">
        <ns0:f>IF(OR($A29="",X$11=""),"",IF(OR('_Engine'!$B$6&gt;0,INDEX('_Engine'!$AM$11:$AM$60,'_Engine'!$AO29)&lt;&gt;"OK"),"!",IF(INDEX(Team!$H$11:$N$60,'_Engine'!$AO29,WEEKDAY(X$11,2))&lt;&gt;"Work","—",IF(COUNTIF(Settings!$F$18:$F$67,X$11)&gt;0,"BH",IF('_Engine'!CQ29+'_Engine'!CR29=0,"·",IF('_Engine'!CQ29='_Engine'!CR29,INDEX(Settings!$G$7:$G$11,MOD('_Engine'!CQ29,10))&amp;IF('_Engine'!CQ29&gt;10,"?",""),IF('_Engine'!CQ29=0,INDEX(Settings!$G$7:$G$11,MOD('_Engine'!CR29,10))&amp;IF('_Engine'!CR29&gt;10,"?","")&amp;" PM",IF('_Engine'!CR29=0,INDEX(Settings!$G$7:$G$11,MOD('_Engine'!CQ29,10))&amp;IF('_Engine'!CQ29&gt;10,"?","")&amp;" AM",INDEX(Settings!$G$7:$G$11,MOD('_Engine'!CQ29,10))&amp;IF('_Engine'!CQ29&gt;10,"?","")&amp;" AM"&amp;CHAR(10)&amp;INDEX(Settings!$G$7:$G$11,MOD('_Engine'!CR29,10))&amp;IF('_Engine'!CR29&gt;10,"?","")&amp;" PM"))))))))</ns0:f>
        <ns0:v/>
      </ns0:c>
      <ns0:c r="Y29" s="164" t="str">
        <ns0:f>IF(OR($A29="",Y$11=""),"",IF(OR('_Engine'!$B$6&gt;0,INDEX('_Engine'!$AM$11:$AM$60,'_Engine'!$AO29)&lt;&gt;"OK"),"!",IF(INDEX(Team!$H$11:$N$60,'_Engine'!$AO29,WEEKDAY(Y$11,2))&lt;&gt;"Work","—",IF(COUNTIF(Settings!$F$18:$F$67,Y$11)&gt;0,"BH",IF('_Engine'!CS29+'_Engine'!CT29=0,"·",IF('_Engine'!CS29='_Engine'!CT29,INDEX(Settings!$G$7:$G$11,MOD('_Engine'!CS29,10))&amp;IF('_Engine'!CS29&gt;10,"?",""),IF('_Engine'!CS29=0,INDEX(Settings!$G$7:$G$11,MOD('_Engine'!CT29,10))&amp;IF('_Engine'!CT29&gt;10,"?","")&amp;" PM",IF('_Engine'!CT29=0,INDEX(Settings!$G$7:$G$11,MOD('_Engine'!CS29,10))&amp;IF('_Engine'!CS29&gt;10,"?","")&amp;" AM",INDEX(Settings!$G$7:$G$11,MOD('_Engine'!CS29,10))&amp;IF('_Engine'!CS29&gt;10,"?","")&amp;" AM"&amp;CHAR(10)&amp;INDEX(Settings!$G$7:$G$11,MOD('_Engine'!CT29,10))&amp;IF('_Engine'!CT29&gt;10,"?","")&amp;" PM"))))))))</ns0:f>
        <ns0:v/>
      </ns0:c>
      <ns0:c r="Z29" s="164" t="str">
        <ns0:f>IF(OR($A29="",Z$11=""),"",IF(OR('_Engine'!$B$6&gt;0,INDEX('_Engine'!$AM$11:$AM$60,'_Engine'!$AO29)&lt;&gt;"OK"),"!",IF(INDEX(Team!$H$11:$N$60,'_Engine'!$AO29,WEEKDAY(Z$11,2))&lt;&gt;"Work","—",IF(COUNTIF(Settings!$F$18:$F$67,Z$11)&gt;0,"BH",IF('_Engine'!CU29+'_Engine'!CV29=0,"·",IF('_Engine'!CU29='_Engine'!CV29,INDEX(Settings!$G$7:$G$11,MOD('_Engine'!CU29,10))&amp;IF('_Engine'!CU29&gt;10,"?",""),IF('_Engine'!CU29=0,INDEX(Settings!$G$7:$G$11,MOD('_Engine'!CV29,10))&amp;IF('_Engine'!CV29&gt;10,"?","")&amp;" PM",IF('_Engine'!CV29=0,INDEX(Settings!$G$7:$G$11,MOD('_Engine'!CU29,10))&amp;IF('_Engine'!CU29&gt;10,"?","")&amp;" AM",INDEX(Settings!$G$7:$G$11,MOD('_Engine'!CU29,10))&amp;IF('_Engine'!CU29&gt;10,"?","")&amp;" AM"&amp;CHAR(10)&amp;INDEX(Settings!$G$7:$G$11,MOD('_Engine'!CV29,10))&amp;IF('_Engine'!CV29&gt;10,"?","")&amp;" PM"))))))))</ns0:f>
        <ns0:v/>
      </ns0:c>
      <ns0:c r="AA29" s="164" t="str">
        <ns0:f>IF(OR($A29="",AA$11=""),"",IF(OR('_Engine'!$B$6&gt;0,INDEX('_Engine'!$AM$11:$AM$60,'_Engine'!$AO29)&lt;&gt;"OK"),"!",IF(INDEX(Team!$H$11:$N$60,'_Engine'!$AO29,WEEKDAY(AA$11,2))&lt;&gt;"Work","—",IF(COUNTIF(Settings!$F$18:$F$67,AA$11)&gt;0,"BH",IF('_Engine'!CW29+'_Engine'!CX29=0,"·",IF('_Engine'!CW29='_Engine'!CX29,INDEX(Settings!$G$7:$G$11,MOD('_Engine'!CW29,10))&amp;IF('_Engine'!CW29&gt;10,"?",""),IF('_Engine'!CW29=0,INDEX(Settings!$G$7:$G$11,MOD('_Engine'!CX29,10))&amp;IF('_Engine'!CX29&gt;10,"?","")&amp;" PM",IF('_Engine'!CX29=0,INDEX(Settings!$G$7:$G$11,MOD('_Engine'!CW29,10))&amp;IF('_Engine'!CW29&gt;10,"?","")&amp;" AM",INDEX(Settings!$G$7:$G$11,MOD('_Engine'!CW29,10))&amp;IF('_Engine'!CW29&gt;10,"?","")&amp;" AM"&amp;CHAR(10)&amp;INDEX(Settings!$G$7:$G$11,MOD('_Engine'!CX29,10))&amp;IF('_Engine'!CX29&gt;10,"?","")&amp;" PM"))))))))</ns0:f>
        <ns0:v/>
      </ns0:c>
      <ns0:c r="AB29" s="164" t="str">
        <ns0:f>IF(OR($A29="",AB$11=""),"",IF(OR('_Engine'!$B$6&gt;0,INDEX('_Engine'!$AM$11:$AM$60,'_Engine'!$AO29)&lt;&gt;"OK"),"!",IF(INDEX(Team!$H$11:$N$60,'_Engine'!$AO29,WEEKDAY(AB$11,2))&lt;&gt;"Work","—",IF(COUNTIF(Settings!$F$18:$F$67,AB$11)&gt;0,"BH",IF('_Engine'!CY29+'_Engine'!CZ29=0,"·",IF('_Engine'!CY29='_Engine'!CZ29,INDEX(Settings!$G$7:$G$11,MOD('_Engine'!CY29,10))&amp;IF('_Engine'!CY29&gt;10,"?",""),IF('_Engine'!CY29=0,INDEX(Settings!$G$7:$G$11,MOD('_Engine'!CZ29,10))&amp;IF('_Engine'!CZ29&gt;10,"?","")&amp;" PM",IF('_Engine'!CZ29=0,INDEX(Settings!$G$7:$G$11,MOD('_Engine'!CY29,10))&amp;IF('_Engine'!CY29&gt;10,"?","")&amp;" AM",INDEX(Settings!$G$7:$G$11,MOD('_Engine'!CY29,10))&amp;IF('_Engine'!CY29&gt;10,"?","")&amp;" AM"&amp;CHAR(10)&amp;INDEX(Settings!$G$7:$G$11,MOD('_Engine'!CZ29,10))&amp;IF('_Engine'!CZ29&gt;10,"?","")&amp;" PM"))))))))</ns0:f>
        <ns0:v/>
      </ns0:c>
      <ns0:c r="AC29" s="164" t="str">
        <ns0:f>IF(OR($A29="",AC$11=""),"",IF(OR('_Engine'!$B$6&gt;0,INDEX('_Engine'!$AM$11:$AM$60,'_Engine'!$AO29)&lt;&gt;"OK"),"!",IF(INDEX(Team!$H$11:$N$60,'_Engine'!$AO29,WEEKDAY(AC$11,2))&lt;&gt;"Work","—",IF(COUNTIF(Settings!$F$18:$F$67,AC$11)&gt;0,"BH",IF('_Engine'!DA29+'_Engine'!DB29=0,"·",IF('_Engine'!DA29='_Engine'!DB29,INDEX(Settings!$G$7:$G$11,MOD('_Engine'!DA29,10))&amp;IF('_Engine'!DA29&gt;10,"?",""),IF('_Engine'!DA29=0,INDEX(Settings!$G$7:$G$11,MOD('_Engine'!DB29,10))&amp;IF('_Engine'!DB29&gt;10,"?","")&amp;" PM",IF('_Engine'!DB29=0,INDEX(Settings!$G$7:$G$11,MOD('_Engine'!DA29,10))&amp;IF('_Engine'!DA29&gt;10,"?","")&amp;" AM",INDEX(Settings!$G$7:$G$11,MOD('_Engine'!DA29,10))&amp;IF('_Engine'!DA29&gt;10,"?","")&amp;" AM"&amp;CHAR(10)&amp;INDEX(Settings!$G$7:$G$11,MOD('_Engine'!DB29,10))&amp;IF('_Engine'!DB29&gt;10,"?","")&amp;" PM"))))))))</ns0:f>
        <ns0:v/>
      </ns0:c>
      <ns0:c r="AD29" s="164" t="str">
        <ns0:f>IF(OR($A29="",AD$11=""),"",IF(OR('_Engine'!$B$6&gt;0,INDEX('_Engine'!$AM$11:$AM$60,'_Engine'!$AO29)&lt;&gt;"OK"),"!",IF(INDEX(Team!$H$11:$N$60,'_Engine'!$AO29,WEEKDAY(AD$11,2))&lt;&gt;"Work","—",IF(COUNTIF(Settings!$F$18:$F$67,AD$11)&gt;0,"BH",IF('_Engine'!DC29+'_Engine'!DD29=0,"·",IF('_Engine'!DC29='_Engine'!DD29,INDEX(Settings!$G$7:$G$11,MOD('_Engine'!DC29,10))&amp;IF('_Engine'!DC29&gt;10,"?",""),IF('_Engine'!DC29=0,INDEX(Settings!$G$7:$G$11,MOD('_Engine'!DD29,10))&amp;IF('_Engine'!DD29&gt;10,"?","")&amp;" PM",IF('_Engine'!DD29=0,INDEX(Settings!$G$7:$G$11,MOD('_Engine'!DC29,10))&amp;IF('_Engine'!DC29&gt;10,"?","")&amp;" AM",INDEX(Settings!$G$7:$G$11,MOD('_Engine'!DC29,10))&amp;IF('_Engine'!DC29&gt;10,"?","")&amp;" AM"&amp;CHAR(10)&amp;INDEX(Settings!$G$7:$G$11,MOD('_Engine'!DD29,10))&amp;IF('_Engine'!DD29&gt;10,"?","")&amp;" PM"))))))))</ns0:f>
        <ns0:v/>
      </ns0:c>
      <ns0:c r="AE29" s="164" t="str">
        <ns0:f>IF(OR($A29="",AE$11=""),"",IF(OR('_Engine'!$B$6&gt;0,INDEX('_Engine'!$AM$11:$AM$60,'_Engine'!$AO29)&lt;&gt;"OK"),"!",IF(INDEX(Team!$H$11:$N$60,'_Engine'!$AO29,WEEKDAY(AE$11,2))&lt;&gt;"Work","—",IF(COUNTIF(Settings!$F$18:$F$67,AE$11)&gt;0,"BH",IF('_Engine'!DE29+'_Engine'!DF29=0,"·",IF('_Engine'!DE29='_Engine'!DF29,INDEX(Settings!$G$7:$G$11,MOD('_Engine'!DE29,10))&amp;IF('_Engine'!DE29&gt;10,"?",""),IF('_Engine'!DE29=0,INDEX(Settings!$G$7:$G$11,MOD('_Engine'!DF29,10))&amp;IF('_Engine'!DF29&gt;10,"?","")&amp;" PM",IF('_Engine'!DF29=0,INDEX(Settings!$G$7:$G$11,MOD('_Engine'!DE29,10))&amp;IF('_Engine'!DE29&gt;10,"?","")&amp;" AM",INDEX(Settings!$G$7:$G$11,MOD('_Engine'!DE29,10))&amp;IF('_Engine'!DE29&gt;10,"?","")&amp;" AM"&amp;CHAR(10)&amp;INDEX(Settings!$G$7:$G$11,MOD('_Engine'!DF29,10))&amp;IF('_Engine'!DF29&gt;10,"?","")&amp;" PM"))))))))</ns0:f>
        <ns0:v/>
      </ns0:c>
      <ns0:c r="AF29" s="164" t="str">
        <ns0:f>IF(OR($A29="",AF$11=""),"",IF(OR('_Engine'!$B$6&gt;0,INDEX('_Engine'!$AM$11:$AM$60,'_Engine'!$AO29)&lt;&gt;"OK"),"!",IF(INDEX(Team!$H$11:$N$60,'_Engine'!$AO29,WEEKDAY(AF$11,2))&lt;&gt;"Work","—",IF(COUNTIF(Settings!$F$18:$F$67,AF$11)&gt;0,"BH",IF('_Engine'!DG29+'_Engine'!DH29=0,"·",IF('_Engine'!DG29='_Engine'!DH29,INDEX(Settings!$G$7:$G$11,MOD('_Engine'!DG29,10))&amp;IF('_Engine'!DG29&gt;10,"?",""),IF('_Engine'!DG29=0,INDEX(Settings!$G$7:$G$11,MOD('_Engine'!DH29,10))&amp;IF('_Engine'!DH29&gt;10,"?","")&amp;" PM",IF('_Engine'!DH29=0,INDEX(Settings!$G$7:$G$11,MOD('_Engine'!DG29,10))&amp;IF('_Engine'!DG29&gt;10,"?","")&amp;" AM",INDEX(Settings!$G$7:$G$11,MOD('_Engine'!DG29,10))&amp;IF('_Engine'!DG29&gt;10,"?","")&amp;" AM"&amp;CHAR(10)&amp;INDEX(Settings!$G$7:$G$11,MOD('_Engine'!DH29,10))&amp;IF('_Engine'!DH29&gt;10,"?","")&amp;" PM"))))))))</ns0:f>
        <ns0:v/>
      </ns0:c>
      <ns0:c r="AG29" s="164" t="str">
        <ns0:f>IF(OR($A29="",AG$11=""),"",IF(OR('_Engine'!$B$6&gt;0,INDEX('_Engine'!$AM$11:$AM$60,'_Engine'!$AO29)&lt;&gt;"OK"),"!",IF(INDEX(Team!$H$11:$N$60,'_Engine'!$AO29,WEEKDAY(AG$11,2))&lt;&gt;"Work","—",IF(COUNTIF(Settings!$F$18:$F$67,AG$11)&gt;0,"BH",IF('_Engine'!DI29+'_Engine'!DJ29=0,"·",IF('_Engine'!DI29='_Engine'!DJ29,INDEX(Settings!$G$7:$G$11,MOD('_Engine'!DI29,10))&amp;IF('_Engine'!DI29&gt;10,"?",""),IF('_Engine'!DI29=0,INDEX(Settings!$G$7:$G$11,MOD('_Engine'!DJ29,10))&amp;IF('_Engine'!DJ29&gt;10,"?","")&amp;" PM",IF('_Engine'!DJ29=0,INDEX(Settings!$G$7:$G$11,MOD('_Engine'!DI29,10))&amp;IF('_Engine'!DI29&gt;10,"?","")&amp;" AM",INDEX(Settings!$G$7:$G$11,MOD('_Engine'!DI29,10))&amp;IF('_Engine'!DI29&gt;10,"?","")&amp;" AM"&amp;CHAR(10)&amp;INDEX(Settings!$G$7:$G$11,MOD('_Engine'!DJ29,10))&amp;IF('_Engine'!DJ29&gt;10,"?","")&amp;" PM"))))))))</ns0:f>
        <ns0:v/>
      </ns0:c>
      <ns0:c r="AH29" s="164" t="str">
        <ns0:f>IF(OR($A29="",AH$11=""),"",IF(OR('_Engine'!$B$6&gt;0,INDEX('_Engine'!$AM$11:$AM$60,'_Engine'!$AO29)&lt;&gt;"OK"),"!",IF(INDEX(Team!$H$11:$N$60,'_Engine'!$AO29,WEEKDAY(AH$11,2))&lt;&gt;"Work","—",IF(COUNTIF(Settings!$F$18:$F$67,AH$11)&gt;0,"BH",IF('_Engine'!DK29+'_Engine'!DL29=0,"·",IF('_Engine'!DK29='_Engine'!DL29,INDEX(Settings!$G$7:$G$11,MOD('_Engine'!DK29,10))&amp;IF('_Engine'!DK29&gt;10,"?",""),IF('_Engine'!DK29=0,INDEX(Settings!$G$7:$G$11,MOD('_Engine'!DL29,10))&amp;IF('_Engine'!DL29&gt;10,"?","")&amp;" PM",IF('_Engine'!DL29=0,INDEX(Settings!$G$7:$G$11,MOD('_Engine'!DK29,10))&amp;IF('_Engine'!DK29&gt;10,"?","")&amp;" AM",INDEX(Settings!$G$7:$G$11,MOD('_Engine'!DK29,10))&amp;IF('_Engine'!DK29&gt;10,"?","")&amp;" AM"&amp;CHAR(10)&amp;INDEX(Settings!$G$7:$G$11,MOD('_Engine'!DL29,10))&amp;IF('_Engine'!DL29&gt;10,"?","")&amp;" PM"))))))))</ns0:f>
        <ns0:v/>
      </ns0:c>
    </ns0:row>
    <ns0:row r="30" ht="38" customHeight="1">
      <ns0:c r="A30" s="4" t="str">
        <ns0:f>IF('_Engine'!AO30=0,"",IF(INDEX(Team!$B$11:$B$60,'_Engine'!AO30)="","[Unnamed]",INDEX(Team!$B$11:$B$60,'_Engine'!AO30)))</ns0:f>
        <ns0:v/>
      </ns0:c>
      <ns0:c r="B30" s="156" t="str">
        <ns0:f>IF('_Engine'!AO30=0,"",INDEX('_Engine'!$AN$11:$AN$60,'_Engine'!AO30))</ns0:f>
        <ns0:v/>
      </ns0:c>
      <ns0:c r="C30" s="4" t="str">
        <ns0:f>IF('_Engine'!AO30=0,"",INDEX(Team!$C$11:$C$60,'_Engine'!AO30))</ns0:f>
        <ns0:v/>
      </ns0:c>
      <ns0:c r="D30" s="162" t="str">
        <ns0:f>IF(OR($A30="",D$11=""),"",IF(OR('_Engine'!$B$6&gt;0,INDEX('_Engine'!$AM$11:$AM$60,'_Engine'!$AO30)&lt;&gt;"OK"),"!",IF(INDEX(Team!$H$11:$N$60,'_Engine'!$AO30,WEEKDAY(D$11,2))&lt;&gt;"Work","—",IF(COUNTIF(Settings!$F$18:$F$67,D$11)&gt;0,"BH",IF('_Engine'!BC30+'_Engine'!BD30=0,"·",IF('_Engine'!BC30='_Engine'!BD30,INDEX(Settings!$G$7:$G$11,MOD('_Engine'!BC30,10))&amp;IF('_Engine'!BC30&gt;10,"?",""),IF('_Engine'!BC30=0,INDEX(Settings!$G$7:$G$11,MOD('_Engine'!BD30,10))&amp;IF('_Engine'!BD30&gt;10,"?","")&amp;" PM",IF('_Engine'!BD30=0,INDEX(Settings!$G$7:$G$11,MOD('_Engine'!BC30,10))&amp;IF('_Engine'!BC30&gt;10,"?","")&amp;" AM",INDEX(Settings!$G$7:$G$11,MOD('_Engine'!BC30,10))&amp;IF('_Engine'!BC30&gt;10,"?","")&amp;" AM"&amp;CHAR(10)&amp;INDEX(Settings!$G$7:$G$11,MOD('_Engine'!BD30,10))&amp;IF('_Engine'!BD30&gt;10,"?","")&amp;" PM"))))))))</ns0:f>
        <ns0:v/>
      </ns0:c>
      <ns0:c r="E30" s="162" t="str">
        <ns0:f>IF(OR($A30="",E$11=""),"",IF(OR('_Engine'!$B$6&gt;0,INDEX('_Engine'!$AM$11:$AM$60,'_Engine'!$AO30)&lt;&gt;"OK"),"!",IF(INDEX(Team!$H$11:$N$60,'_Engine'!$AO30,WEEKDAY(E$11,2))&lt;&gt;"Work","—",IF(COUNTIF(Settings!$F$18:$F$67,E$11)&gt;0,"BH",IF('_Engine'!BE30+'_Engine'!BF30=0,"·",IF('_Engine'!BE30='_Engine'!BF30,INDEX(Settings!$G$7:$G$11,MOD('_Engine'!BE30,10))&amp;IF('_Engine'!BE30&gt;10,"?",""),IF('_Engine'!BE30=0,INDEX(Settings!$G$7:$G$11,MOD('_Engine'!BF30,10))&amp;IF('_Engine'!BF30&gt;10,"?","")&amp;" PM",IF('_Engine'!BF30=0,INDEX(Settings!$G$7:$G$11,MOD('_Engine'!BE30,10))&amp;IF('_Engine'!BE30&gt;10,"?","")&amp;" AM",INDEX(Settings!$G$7:$G$11,MOD('_Engine'!BE30,10))&amp;IF('_Engine'!BE30&gt;10,"?","")&amp;" AM"&amp;CHAR(10)&amp;INDEX(Settings!$G$7:$G$11,MOD('_Engine'!BF30,10))&amp;IF('_Engine'!BF30&gt;10,"?","")&amp;" PM"))))))))</ns0:f>
        <ns0:v/>
      </ns0:c>
      <ns0:c r="F30" s="162" t="str">
        <ns0:f>IF(OR($A30="",F$11=""),"",IF(OR('_Engine'!$B$6&gt;0,INDEX('_Engine'!$AM$11:$AM$60,'_Engine'!$AO30)&lt;&gt;"OK"),"!",IF(INDEX(Team!$H$11:$N$60,'_Engine'!$AO30,WEEKDAY(F$11,2))&lt;&gt;"Work","—",IF(COUNTIF(Settings!$F$18:$F$67,F$11)&gt;0,"BH",IF('_Engine'!BG30+'_Engine'!BH30=0,"·",IF('_Engine'!BG30='_Engine'!BH30,INDEX(Settings!$G$7:$G$11,MOD('_Engine'!BG30,10))&amp;IF('_Engine'!BG30&gt;10,"?",""),IF('_Engine'!BG30=0,INDEX(Settings!$G$7:$G$11,MOD('_Engine'!BH30,10))&amp;IF('_Engine'!BH30&gt;10,"?","")&amp;" PM",IF('_Engine'!BH30=0,INDEX(Settings!$G$7:$G$11,MOD('_Engine'!BG30,10))&amp;IF('_Engine'!BG30&gt;10,"?","")&amp;" AM",INDEX(Settings!$G$7:$G$11,MOD('_Engine'!BG30,10))&amp;IF('_Engine'!BG30&gt;10,"?","")&amp;" AM"&amp;CHAR(10)&amp;INDEX(Settings!$G$7:$G$11,MOD('_Engine'!BH30,10))&amp;IF('_Engine'!BH30&gt;10,"?","")&amp;" PM"))))))))</ns0:f>
        <ns0:v/>
      </ns0:c>
      <ns0:c r="G30" s="162" t="str">
        <ns0:f>IF(OR($A30="",G$11=""),"",IF(OR('_Engine'!$B$6&gt;0,INDEX('_Engine'!$AM$11:$AM$60,'_Engine'!$AO30)&lt;&gt;"OK"),"!",IF(INDEX(Team!$H$11:$N$60,'_Engine'!$AO30,WEEKDAY(G$11,2))&lt;&gt;"Work","—",IF(COUNTIF(Settings!$F$18:$F$67,G$11)&gt;0,"BH",IF('_Engine'!BI30+'_Engine'!BJ30=0,"·",IF('_Engine'!BI30='_Engine'!BJ30,INDEX(Settings!$G$7:$G$11,MOD('_Engine'!BI30,10))&amp;IF('_Engine'!BI30&gt;10,"?",""),IF('_Engine'!BI30=0,INDEX(Settings!$G$7:$G$11,MOD('_Engine'!BJ30,10))&amp;IF('_Engine'!BJ30&gt;10,"?","")&amp;" PM",IF('_Engine'!BJ30=0,INDEX(Settings!$G$7:$G$11,MOD('_Engine'!BI30,10))&amp;IF('_Engine'!BI30&gt;10,"?","")&amp;" AM",INDEX(Settings!$G$7:$G$11,MOD('_Engine'!BI30,10))&amp;IF('_Engine'!BI30&gt;10,"?","")&amp;" AM"&amp;CHAR(10)&amp;INDEX(Settings!$G$7:$G$11,MOD('_Engine'!BJ30,10))&amp;IF('_Engine'!BJ30&gt;10,"?","")&amp;" PM"))))))))</ns0:f>
        <ns0:v/>
      </ns0:c>
      <ns0:c r="H30" s="162" t="str">
        <ns0:f>IF(OR($A30="",H$11=""),"",IF(OR('_Engine'!$B$6&gt;0,INDEX('_Engine'!$AM$11:$AM$60,'_Engine'!$AO30)&lt;&gt;"OK"),"!",IF(INDEX(Team!$H$11:$N$60,'_Engine'!$AO30,WEEKDAY(H$11,2))&lt;&gt;"Work","—",IF(COUNTIF(Settings!$F$18:$F$67,H$11)&gt;0,"BH",IF('_Engine'!BK30+'_Engine'!BL30=0,"·",IF('_Engine'!BK30='_Engine'!BL30,INDEX(Settings!$G$7:$G$11,MOD('_Engine'!BK30,10))&amp;IF('_Engine'!BK30&gt;10,"?",""),IF('_Engine'!BK30=0,INDEX(Settings!$G$7:$G$11,MOD('_Engine'!BL30,10))&amp;IF('_Engine'!BL30&gt;10,"?","")&amp;" PM",IF('_Engine'!BL30=0,INDEX(Settings!$G$7:$G$11,MOD('_Engine'!BK30,10))&amp;IF('_Engine'!BK30&gt;10,"?","")&amp;" AM",INDEX(Settings!$G$7:$G$11,MOD('_Engine'!BK30,10))&amp;IF('_Engine'!BK30&gt;10,"?","")&amp;" AM"&amp;CHAR(10)&amp;INDEX(Settings!$G$7:$G$11,MOD('_Engine'!BL30,10))&amp;IF('_Engine'!BL30&gt;10,"?","")&amp;" PM"))))))))</ns0:f>
        <ns0:v/>
      </ns0:c>
      <ns0:c r="I30" s="162" t="str">
        <ns0:f>IF(OR($A30="",I$11=""),"",IF(OR('_Engine'!$B$6&gt;0,INDEX('_Engine'!$AM$11:$AM$60,'_Engine'!$AO30)&lt;&gt;"OK"),"!",IF(INDEX(Team!$H$11:$N$60,'_Engine'!$AO30,WEEKDAY(I$11,2))&lt;&gt;"Work","—",IF(COUNTIF(Settings!$F$18:$F$67,I$11)&gt;0,"BH",IF('_Engine'!BM30+'_Engine'!BN30=0,"·",IF('_Engine'!BM30='_Engine'!BN30,INDEX(Settings!$G$7:$G$11,MOD('_Engine'!BM30,10))&amp;IF('_Engine'!BM30&gt;10,"?",""),IF('_Engine'!BM30=0,INDEX(Settings!$G$7:$G$11,MOD('_Engine'!BN30,10))&amp;IF('_Engine'!BN30&gt;10,"?","")&amp;" PM",IF('_Engine'!BN30=0,INDEX(Settings!$G$7:$G$11,MOD('_Engine'!BM30,10))&amp;IF('_Engine'!BM30&gt;10,"?","")&amp;" AM",INDEX(Settings!$G$7:$G$11,MOD('_Engine'!BM30,10))&amp;IF('_Engine'!BM30&gt;10,"?","")&amp;" AM"&amp;CHAR(10)&amp;INDEX(Settings!$G$7:$G$11,MOD('_Engine'!BN30,10))&amp;IF('_Engine'!BN30&gt;10,"?","")&amp;" PM"))))))))</ns0:f>
        <ns0:v/>
      </ns0:c>
      <ns0:c r="J30" s="162" t="str">
        <ns0:f>IF(OR($A30="",J$11=""),"",IF(OR('_Engine'!$B$6&gt;0,INDEX('_Engine'!$AM$11:$AM$60,'_Engine'!$AO30)&lt;&gt;"OK"),"!",IF(INDEX(Team!$H$11:$N$60,'_Engine'!$AO30,WEEKDAY(J$11,2))&lt;&gt;"Work","—",IF(COUNTIF(Settings!$F$18:$F$67,J$11)&gt;0,"BH",IF('_Engine'!BO30+'_Engine'!BP30=0,"·",IF('_Engine'!BO30='_Engine'!BP30,INDEX(Settings!$G$7:$G$11,MOD('_Engine'!BO30,10))&amp;IF('_Engine'!BO30&gt;10,"?",""),IF('_Engine'!BO30=0,INDEX(Settings!$G$7:$G$11,MOD('_Engine'!BP30,10))&amp;IF('_Engine'!BP30&gt;10,"?","")&amp;" PM",IF('_Engine'!BP30=0,INDEX(Settings!$G$7:$G$11,MOD('_Engine'!BO30,10))&amp;IF('_Engine'!BO30&gt;10,"?","")&amp;" AM",INDEX(Settings!$G$7:$G$11,MOD('_Engine'!BO30,10))&amp;IF('_Engine'!BO30&gt;10,"?","")&amp;" AM"&amp;CHAR(10)&amp;INDEX(Settings!$G$7:$G$11,MOD('_Engine'!BP30,10))&amp;IF('_Engine'!BP30&gt;10,"?","")&amp;" PM"))))))))</ns0:f>
        <ns0:v/>
      </ns0:c>
      <ns0:c r="K30" s="164" t="str">
        <ns0:f>IF(OR($A30="",K$11=""),"",IF(OR('_Engine'!$B$6&gt;0,INDEX('_Engine'!$AM$11:$AM$60,'_Engine'!$AO30)&lt;&gt;"OK"),"!",IF(INDEX(Team!$H$11:$N$60,'_Engine'!$AO30,WEEKDAY(K$11,2))&lt;&gt;"Work","—",IF(COUNTIF(Settings!$F$18:$F$67,K$11)&gt;0,"BH",IF('_Engine'!BQ30+'_Engine'!BR30=0,"·",IF('_Engine'!BQ30='_Engine'!BR30,INDEX(Settings!$G$7:$G$11,MOD('_Engine'!BQ30,10))&amp;IF('_Engine'!BQ30&gt;10,"?",""),IF('_Engine'!BQ30=0,INDEX(Settings!$G$7:$G$11,MOD('_Engine'!BR30,10))&amp;IF('_Engine'!BR30&gt;10,"?","")&amp;" PM",IF('_Engine'!BR30=0,INDEX(Settings!$G$7:$G$11,MOD('_Engine'!BQ30,10))&amp;IF('_Engine'!BQ30&gt;10,"?","")&amp;" AM",INDEX(Settings!$G$7:$G$11,MOD('_Engine'!BQ30,10))&amp;IF('_Engine'!BQ30&gt;10,"?","")&amp;" AM"&amp;CHAR(10)&amp;INDEX(Settings!$G$7:$G$11,MOD('_Engine'!BR30,10))&amp;IF('_Engine'!BR30&gt;10,"?","")&amp;" PM"))))))))</ns0:f>
        <ns0:v/>
      </ns0:c>
      <ns0:c r="L30" s="164" t="str">
        <ns0:f>IF(OR($A30="",L$11=""),"",IF(OR('_Engine'!$B$6&gt;0,INDEX('_Engine'!$AM$11:$AM$60,'_Engine'!$AO30)&lt;&gt;"OK"),"!",IF(INDEX(Team!$H$11:$N$60,'_Engine'!$AO30,WEEKDAY(L$11,2))&lt;&gt;"Work","—",IF(COUNTIF(Settings!$F$18:$F$67,L$11)&gt;0,"BH",IF('_Engine'!BS30+'_Engine'!BT30=0,"·",IF('_Engine'!BS30='_Engine'!BT30,INDEX(Settings!$G$7:$G$11,MOD('_Engine'!BS30,10))&amp;IF('_Engine'!BS30&gt;10,"?",""),IF('_Engine'!BS30=0,INDEX(Settings!$G$7:$G$11,MOD('_Engine'!BT30,10))&amp;IF('_Engine'!BT30&gt;10,"?","")&amp;" PM",IF('_Engine'!BT30=0,INDEX(Settings!$G$7:$G$11,MOD('_Engine'!BS30,10))&amp;IF('_Engine'!BS30&gt;10,"?","")&amp;" AM",INDEX(Settings!$G$7:$G$11,MOD('_Engine'!BS30,10))&amp;IF('_Engine'!BS30&gt;10,"?","")&amp;" AM"&amp;CHAR(10)&amp;INDEX(Settings!$G$7:$G$11,MOD('_Engine'!BT30,10))&amp;IF('_Engine'!BT30&gt;10,"?","")&amp;" PM"))))))))</ns0:f>
        <ns0:v/>
      </ns0:c>
      <ns0:c r="M30" s="164" t="str">
        <ns0:f>IF(OR($A30="",M$11=""),"",IF(OR('_Engine'!$B$6&gt;0,INDEX('_Engine'!$AM$11:$AM$60,'_Engine'!$AO30)&lt;&gt;"OK"),"!",IF(INDEX(Team!$H$11:$N$60,'_Engine'!$AO30,WEEKDAY(M$11,2))&lt;&gt;"Work","—",IF(COUNTIF(Settings!$F$18:$F$67,M$11)&gt;0,"BH",IF('_Engine'!BU30+'_Engine'!BV30=0,"·",IF('_Engine'!BU30='_Engine'!BV30,INDEX(Settings!$G$7:$G$11,MOD('_Engine'!BU30,10))&amp;IF('_Engine'!BU30&gt;10,"?",""),IF('_Engine'!BU30=0,INDEX(Settings!$G$7:$G$11,MOD('_Engine'!BV30,10))&amp;IF('_Engine'!BV30&gt;10,"?","")&amp;" PM",IF('_Engine'!BV30=0,INDEX(Settings!$G$7:$G$11,MOD('_Engine'!BU30,10))&amp;IF('_Engine'!BU30&gt;10,"?","")&amp;" AM",INDEX(Settings!$G$7:$G$11,MOD('_Engine'!BU30,10))&amp;IF('_Engine'!BU30&gt;10,"?","")&amp;" AM"&amp;CHAR(10)&amp;INDEX(Settings!$G$7:$G$11,MOD('_Engine'!BV30,10))&amp;IF('_Engine'!BV30&gt;10,"?","")&amp;" PM"))))))))</ns0:f>
        <ns0:v/>
      </ns0:c>
      <ns0:c r="N30" s="164" t="str">
        <ns0:f>IF(OR($A30="",N$11=""),"",IF(OR('_Engine'!$B$6&gt;0,INDEX('_Engine'!$AM$11:$AM$60,'_Engine'!$AO30)&lt;&gt;"OK"),"!",IF(INDEX(Team!$H$11:$N$60,'_Engine'!$AO30,WEEKDAY(N$11,2))&lt;&gt;"Work","—",IF(COUNTIF(Settings!$F$18:$F$67,N$11)&gt;0,"BH",IF('_Engine'!BW30+'_Engine'!BX30=0,"·",IF('_Engine'!BW30='_Engine'!BX30,INDEX(Settings!$G$7:$G$11,MOD('_Engine'!BW30,10))&amp;IF('_Engine'!BW30&gt;10,"?",""),IF('_Engine'!BW30=0,INDEX(Settings!$G$7:$G$11,MOD('_Engine'!BX30,10))&amp;IF('_Engine'!BX30&gt;10,"?","")&amp;" PM",IF('_Engine'!BX30=0,INDEX(Settings!$G$7:$G$11,MOD('_Engine'!BW30,10))&amp;IF('_Engine'!BW30&gt;10,"?","")&amp;" AM",INDEX(Settings!$G$7:$G$11,MOD('_Engine'!BW30,10))&amp;IF('_Engine'!BW30&gt;10,"?","")&amp;" AM"&amp;CHAR(10)&amp;INDEX(Settings!$G$7:$G$11,MOD('_Engine'!BX30,10))&amp;IF('_Engine'!BX30&gt;10,"?","")&amp;" PM"))))))))</ns0:f>
        <ns0:v/>
      </ns0:c>
      <ns0:c r="O30" s="164" t="str">
        <ns0:f>IF(OR($A30="",O$11=""),"",IF(OR('_Engine'!$B$6&gt;0,INDEX('_Engine'!$AM$11:$AM$60,'_Engine'!$AO30)&lt;&gt;"OK"),"!",IF(INDEX(Team!$H$11:$N$60,'_Engine'!$AO30,WEEKDAY(O$11,2))&lt;&gt;"Work","—",IF(COUNTIF(Settings!$F$18:$F$67,O$11)&gt;0,"BH",IF('_Engine'!BY30+'_Engine'!BZ30=0,"·",IF('_Engine'!BY30='_Engine'!BZ30,INDEX(Settings!$G$7:$G$11,MOD('_Engine'!BY30,10))&amp;IF('_Engine'!BY30&gt;10,"?",""),IF('_Engine'!BY30=0,INDEX(Settings!$G$7:$G$11,MOD('_Engine'!BZ30,10))&amp;IF('_Engine'!BZ30&gt;10,"?","")&amp;" PM",IF('_Engine'!BZ30=0,INDEX(Settings!$G$7:$G$11,MOD('_Engine'!BY30,10))&amp;IF('_Engine'!BY30&gt;10,"?","")&amp;" AM",INDEX(Settings!$G$7:$G$11,MOD('_Engine'!BY30,10))&amp;IF('_Engine'!BY30&gt;10,"?","")&amp;" AM"&amp;CHAR(10)&amp;INDEX(Settings!$G$7:$G$11,MOD('_Engine'!BZ30,10))&amp;IF('_Engine'!BZ30&gt;10,"?","")&amp;" PM"))))))))</ns0:f>
        <ns0:v/>
      </ns0:c>
      <ns0:c r="P30" s="164" t="str">
        <ns0:f>IF(OR($A30="",P$11=""),"",IF(OR('_Engine'!$B$6&gt;0,INDEX('_Engine'!$AM$11:$AM$60,'_Engine'!$AO30)&lt;&gt;"OK"),"!",IF(INDEX(Team!$H$11:$N$60,'_Engine'!$AO30,WEEKDAY(P$11,2))&lt;&gt;"Work","—",IF(COUNTIF(Settings!$F$18:$F$67,P$11)&gt;0,"BH",IF('_Engine'!CA30+'_Engine'!CB30=0,"·",IF('_Engine'!CA30='_Engine'!CB30,INDEX(Settings!$G$7:$G$11,MOD('_Engine'!CA30,10))&amp;IF('_Engine'!CA30&gt;10,"?",""),IF('_Engine'!CA30=0,INDEX(Settings!$G$7:$G$11,MOD('_Engine'!CB30,10))&amp;IF('_Engine'!CB30&gt;10,"?","")&amp;" PM",IF('_Engine'!CB30=0,INDEX(Settings!$G$7:$G$11,MOD('_Engine'!CA30,10))&amp;IF('_Engine'!CA30&gt;10,"?","")&amp;" AM",INDEX(Settings!$G$7:$G$11,MOD('_Engine'!CA30,10))&amp;IF('_Engine'!CA30&gt;10,"?","")&amp;" AM"&amp;CHAR(10)&amp;INDEX(Settings!$G$7:$G$11,MOD('_Engine'!CB30,10))&amp;IF('_Engine'!CB30&gt;10,"?","")&amp;" PM"))))))))</ns0:f>
        <ns0:v/>
      </ns0:c>
      <ns0:c r="Q30" s="164" t="str">
        <ns0:f>IF(OR($A30="",Q$11=""),"",IF(OR('_Engine'!$B$6&gt;0,INDEX('_Engine'!$AM$11:$AM$60,'_Engine'!$AO30)&lt;&gt;"OK"),"!",IF(INDEX(Team!$H$11:$N$60,'_Engine'!$AO30,WEEKDAY(Q$11,2))&lt;&gt;"Work","—",IF(COUNTIF(Settings!$F$18:$F$67,Q$11)&gt;0,"BH",IF('_Engine'!CC30+'_Engine'!CD30=0,"·",IF('_Engine'!CC30='_Engine'!CD30,INDEX(Settings!$G$7:$G$11,MOD('_Engine'!CC30,10))&amp;IF('_Engine'!CC30&gt;10,"?",""),IF('_Engine'!CC30=0,INDEX(Settings!$G$7:$G$11,MOD('_Engine'!CD30,10))&amp;IF('_Engine'!CD30&gt;10,"?","")&amp;" PM",IF('_Engine'!CD30=0,INDEX(Settings!$G$7:$G$11,MOD('_Engine'!CC30,10))&amp;IF('_Engine'!CC30&gt;10,"?","")&amp;" AM",INDEX(Settings!$G$7:$G$11,MOD('_Engine'!CC30,10))&amp;IF('_Engine'!CC30&gt;10,"?","")&amp;" AM"&amp;CHAR(10)&amp;INDEX(Settings!$G$7:$G$11,MOD('_Engine'!CD30,10))&amp;IF('_Engine'!CD30&gt;10,"?","")&amp;" PM"))))))))</ns0:f>
        <ns0:v/>
      </ns0:c>
      <ns0:c r="R30" s="164" t="str">
        <ns0:f>IF(OR($A30="",R$11=""),"",IF(OR('_Engine'!$B$6&gt;0,INDEX('_Engine'!$AM$11:$AM$60,'_Engine'!$AO30)&lt;&gt;"OK"),"!",IF(INDEX(Team!$H$11:$N$60,'_Engine'!$AO30,WEEKDAY(R$11,2))&lt;&gt;"Work","—",IF(COUNTIF(Settings!$F$18:$F$67,R$11)&gt;0,"BH",IF('_Engine'!CE30+'_Engine'!CF30=0,"·",IF('_Engine'!CE30='_Engine'!CF30,INDEX(Settings!$G$7:$G$11,MOD('_Engine'!CE30,10))&amp;IF('_Engine'!CE30&gt;10,"?",""),IF('_Engine'!CE30=0,INDEX(Settings!$G$7:$G$11,MOD('_Engine'!CF30,10))&amp;IF('_Engine'!CF30&gt;10,"?","")&amp;" PM",IF('_Engine'!CF30=0,INDEX(Settings!$G$7:$G$11,MOD('_Engine'!CE30,10))&amp;IF('_Engine'!CE30&gt;10,"?","")&amp;" AM",INDEX(Settings!$G$7:$G$11,MOD('_Engine'!CE30,10))&amp;IF('_Engine'!CE30&gt;10,"?","")&amp;" AM"&amp;CHAR(10)&amp;INDEX(Settings!$G$7:$G$11,MOD('_Engine'!CF30,10))&amp;IF('_Engine'!CF30&gt;10,"?","")&amp;" PM"))))))))</ns0:f>
        <ns0:v/>
      </ns0:c>
      <ns0:c r="S30" s="164" t="str">
        <ns0:f>IF(OR($A30="",S$11=""),"",IF(OR('_Engine'!$B$6&gt;0,INDEX('_Engine'!$AM$11:$AM$60,'_Engine'!$AO30)&lt;&gt;"OK"),"!",IF(INDEX(Team!$H$11:$N$60,'_Engine'!$AO30,WEEKDAY(S$11,2))&lt;&gt;"Work","—",IF(COUNTIF(Settings!$F$18:$F$67,S$11)&gt;0,"BH",IF('_Engine'!CG30+'_Engine'!CH30=0,"·",IF('_Engine'!CG30='_Engine'!CH30,INDEX(Settings!$G$7:$G$11,MOD('_Engine'!CG30,10))&amp;IF('_Engine'!CG30&gt;10,"?",""),IF('_Engine'!CG30=0,INDEX(Settings!$G$7:$G$11,MOD('_Engine'!CH30,10))&amp;IF('_Engine'!CH30&gt;10,"?","")&amp;" PM",IF('_Engine'!CH30=0,INDEX(Settings!$G$7:$G$11,MOD('_Engine'!CG30,10))&amp;IF('_Engine'!CG30&gt;10,"?","")&amp;" AM",INDEX(Settings!$G$7:$G$11,MOD('_Engine'!CG30,10))&amp;IF('_Engine'!CG30&gt;10,"?","")&amp;" AM"&amp;CHAR(10)&amp;INDEX(Settings!$G$7:$G$11,MOD('_Engine'!CH30,10))&amp;IF('_Engine'!CH30&gt;10,"?","")&amp;" PM"))))))))</ns0:f>
        <ns0:v/>
      </ns0:c>
      <ns0:c r="T30" s="164" t="str">
        <ns0:f>IF(OR($A30="",T$11=""),"",IF(OR('_Engine'!$B$6&gt;0,INDEX('_Engine'!$AM$11:$AM$60,'_Engine'!$AO30)&lt;&gt;"OK"),"!",IF(INDEX(Team!$H$11:$N$60,'_Engine'!$AO30,WEEKDAY(T$11,2))&lt;&gt;"Work","—",IF(COUNTIF(Settings!$F$18:$F$67,T$11)&gt;0,"BH",IF('_Engine'!CI30+'_Engine'!CJ30=0,"·",IF('_Engine'!CI30='_Engine'!CJ30,INDEX(Settings!$G$7:$G$11,MOD('_Engine'!CI30,10))&amp;IF('_Engine'!CI30&gt;10,"?",""),IF('_Engine'!CI30=0,INDEX(Settings!$G$7:$G$11,MOD('_Engine'!CJ30,10))&amp;IF('_Engine'!CJ30&gt;10,"?","")&amp;" PM",IF('_Engine'!CJ30=0,INDEX(Settings!$G$7:$G$11,MOD('_Engine'!CI30,10))&amp;IF('_Engine'!CI30&gt;10,"?","")&amp;" AM",INDEX(Settings!$G$7:$G$11,MOD('_Engine'!CI30,10))&amp;IF('_Engine'!CI30&gt;10,"?","")&amp;" AM"&amp;CHAR(10)&amp;INDEX(Settings!$G$7:$G$11,MOD('_Engine'!CJ30,10))&amp;IF('_Engine'!CJ30&gt;10,"?","")&amp;" PM"))))))))</ns0:f>
        <ns0:v/>
      </ns0:c>
      <ns0:c r="U30" s="164" t="str">
        <ns0:f>IF(OR($A30="",U$11=""),"",IF(OR('_Engine'!$B$6&gt;0,INDEX('_Engine'!$AM$11:$AM$60,'_Engine'!$AO30)&lt;&gt;"OK"),"!",IF(INDEX(Team!$H$11:$N$60,'_Engine'!$AO30,WEEKDAY(U$11,2))&lt;&gt;"Work","—",IF(COUNTIF(Settings!$F$18:$F$67,U$11)&gt;0,"BH",IF('_Engine'!CK30+'_Engine'!CL30=0,"·",IF('_Engine'!CK30='_Engine'!CL30,INDEX(Settings!$G$7:$G$11,MOD('_Engine'!CK30,10))&amp;IF('_Engine'!CK30&gt;10,"?",""),IF('_Engine'!CK30=0,INDEX(Settings!$G$7:$G$11,MOD('_Engine'!CL30,10))&amp;IF('_Engine'!CL30&gt;10,"?","")&amp;" PM",IF('_Engine'!CL30=0,INDEX(Settings!$G$7:$G$11,MOD('_Engine'!CK30,10))&amp;IF('_Engine'!CK30&gt;10,"?","")&amp;" AM",INDEX(Settings!$G$7:$G$11,MOD('_Engine'!CK30,10))&amp;IF('_Engine'!CK30&gt;10,"?","")&amp;" AM"&amp;CHAR(10)&amp;INDEX(Settings!$G$7:$G$11,MOD('_Engine'!CL30,10))&amp;IF('_Engine'!CL30&gt;10,"?","")&amp;" PM"))))))))</ns0:f>
        <ns0:v/>
      </ns0:c>
      <ns0:c r="V30" s="164" t="str">
        <ns0:f>IF(OR($A30="",V$11=""),"",IF(OR('_Engine'!$B$6&gt;0,INDEX('_Engine'!$AM$11:$AM$60,'_Engine'!$AO30)&lt;&gt;"OK"),"!",IF(INDEX(Team!$H$11:$N$60,'_Engine'!$AO30,WEEKDAY(V$11,2))&lt;&gt;"Work","—",IF(COUNTIF(Settings!$F$18:$F$67,V$11)&gt;0,"BH",IF('_Engine'!CM30+'_Engine'!CN30=0,"·",IF('_Engine'!CM30='_Engine'!CN30,INDEX(Settings!$G$7:$G$11,MOD('_Engine'!CM30,10))&amp;IF('_Engine'!CM30&gt;10,"?",""),IF('_Engine'!CM30=0,INDEX(Settings!$G$7:$G$11,MOD('_Engine'!CN30,10))&amp;IF('_Engine'!CN30&gt;10,"?","")&amp;" PM",IF('_Engine'!CN30=0,INDEX(Settings!$G$7:$G$11,MOD('_Engine'!CM30,10))&amp;IF('_Engine'!CM30&gt;10,"?","")&amp;" AM",INDEX(Settings!$G$7:$G$11,MOD('_Engine'!CM30,10))&amp;IF('_Engine'!CM30&gt;10,"?","")&amp;" AM"&amp;CHAR(10)&amp;INDEX(Settings!$G$7:$G$11,MOD('_Engine'!CN30,10))&amp;IF('_Engine'!CN30&gt;10,"?","")&amp;" PM"))))))))</ns0:f>
        <ns0:v/>
      </ns0:c>
      <ns0:c r="W30" s="164" t="str">
        <ns0:f>IF(OR($A30="",W$11=""),"",IF(OR('_Engine'!$B$6&gt;0,INDEX('_Engine'!$AM$11:$AM$60,'_Engine'!$AO30)&lt;&gt;"OK"),"!",IF(INDEX(Team!$H$11:$N$60,'_Engine'!$AO30,WEEKDAY(W$11,2))&lt;&gt;"Work","—",IF(COUNTIF(Settings!$F$18:$F$67,W$11)&gt;0,"BH",IF('_Engine'!CO30+'_Engine'!CP30=0,"·",IF('_Engine'!CO30='_Engine'!CP30,INDEX(Settings!$G$7:$G$11,MOD('_Engine'!CO30,10))&amp;IF('_Engine'!CO30&gt;10,"?",""),IF('_Engine'!CO30=0,INDEX(Settings!$G$7:$G$11,MOD('_Engine'!CP30,10))&amp;IF('_Engine'!CP30&gt;10,"?","")&amp;" PM",IF('_Engine'!CP30=0,INDEX(Settings!$G$7:$G$11,MOD('_Engine'!CO30,10))&amp;IF('_Engine'!CO30&gt;10,"?","")&amp;" AM",INDEX(Settings!$G$7:$G$11,MOD('_Engine'!CO30,10))&amp;IF('_Engine'!CO30&gt;10,"?","")&amp;" AM"&amp;CHAR(10)&amp;INDEX(Settings!$G$7:$G$11,MOD('_Engine'!CP30,10))&amp;IF('_Engine'!CP30&gt;10,"?","")&amp;" PM"))))))))</ns0:f>
        <ns0:v/>
      </ns0:c>
      <ns0:c r="X30" s="164" t="str">
        <ns0:f>IF(OR($A30="",X$11=""),"",IF(OR('_Engine'!$B$6&gt;0,INDEX('_Engine'!$AM$11:$AM$60,'_Engine'!$AO30)&lt;&gt;"OK"),"!",IF(INDEX(Team!$H$11:$N$60,'_Engine'!$AO30,WEEKDAY(X$11,2))&lt;&gt;"Work","—",IF(COUNTIF(Settings!$F$18:$F$67,X$11)&gt;0,"BH",IF('_Engine'!CQ30+'_Engine'!CR30=0,"·",IF('_Engine'!CQ30='_Engine'!CR30,INDEX(Settings!$G$7:$G$11,MOD('_Engine'!CQ30,10))&amp;IF('_Engine'!CQ30&gt;10,"?",""),IF('_Engine'!CQ30=0,INDEX(Settings!$G$7:$G$11,MOD('_Engine'!CR30,10))&amp;IF('_Engine'!CR30&gt;10,"?","")&amp;" PM",IF('_Engine'!CR30=0,INDEX(Settings!$G$7:$G$11,MOD('_Engine'!CQ30,10))&amp;IF('_Engine'!CQ30&gt;10,"?","")&amp;" AM",INDEX(Settings!$G$7:$G$11,MOD('_Engine'!CQ30,10))&amp;IF('_Engine'!CQ30&gt;10,"?","")&amp;" AM"&amp;CHAR(10)&amp;INDEX(Settings!$G$7:$G$11,MOD('_Engine'!CR30,10))&amp;IF('_Engine'!CR30&gt;10,"?","")&amp;" PM"))))))))</ns0:f>
        <ns0:v/>
      </ns0:c>
      <ns0:c r="Y30" s="164" t="str">
        <ns0:f>IF(OR($A30="",Y$11=""),"",IF(OR('_Engine'!$B$6&gt;0,INDEX('_Engine'!$AM$11:$AM$60,'_Engine'!$AO30)&lt;&gt;"OK"),"!",IF(INDEX(Team!$H$11:$N$60,'_Engine'!$AO30,WEEKDAY(Y$11,2))&lt;&gt;"Work","—",IF(COUNTIF(Settings!$F$18:$F$67,Y$11)&gt;0,"BH",IF('_Engine'!CS30+'_Engine'!CT30=0,"·",IF('_Engine'!CS30='_Engine'!CT30,INDEX(Settings!$G$7:$G$11,MOD('_Engine'!CS30,10))&amp;IF('_Engine'!CS30&gt;10,"?",""),IF('_Engine'!CS30=0,INDEX(Settings!$G$7:$G$11,MOD('_Engine'!CT30,10))&amp;IF('_Engine'!CT30&gt;10,"?","")&amp;" PM",IF('_Engine'!CT30=0,INDEX(Settings!$G$7:$G$11,MOD('_Engine'!CS30,10))&amp;IF('_Engine'!CS30&gt;10,"?","")&amp;" AM",INDEX(Settings!$G$7:$G$11,MOD('_Engine'!CS30,10))&amp;IF('_Engine'!CS30&gt;10,"?","")&amp;" AM"&amp;CHAR(10)&amp;INDEX(Settings!$G$7:$G$11,MOD('_Engine'!CT30,10))&amp;IF('_Engine'!CT30&gt;10,"?","")&amp;" PM"))))))))</ns0:f>
        <ns0:v/>
      </ns0:c>
      <ns0:c r="Z30" s="164" t="str">
        <ns0:f>IF(OR($A30="",Z$11=""),"",IF(OR('_Engine'!$B$6&gt;0,INDEX('_Engine'!$AM$11:$AM$60,'_Engine'!$AO30)&lt;&gt;"OK"),"!",IF(INDEX(Team!$H$11:$N$60,'_Engine'!$AO30,WEEKDAY(Z$11,2))&lt;&gt;"Work","—",IF(COUNTIF(Settings!$F$18:$F$67,Z$11)&gt;0,"BH",IF('_Engine'!CU30+'_Engine'!CV30=0,"·",IF('_Engine'!CU30='_Engine'!CV30,INDEX(Settings!$G$7:$G$11,MOD('_Engine'!CU30,10))&amp;IF('_Engine'!CU30&gt;10,"?",""),IF('_Engine'!CU30=0,INDEX(Settings!$G$7:$G$11,MOD('_Engine'!CV30,10))&amp;IF('_Engine'!CV30&gt;10,"?","")&amp;" PM",IF('_Engine'!CV30=0,INDEX(Settings!$G$7:$G$11,MOD('_Engine'!CU30,10))&amp;IF('_Engine'!CU30&gt;10,"?","")&amp;" AM",INDEX(Settings!$G$7:$G$11,MOD('_Engine'!CU30,10))&amp;IF('_Engine'!CU30&gt;10,"?","")&amp;" AM"&amp;CHAR(10)&amp;INDEX(Settings!$G$7:$G$11,MOD('_Engine'!CV30,10))&amp;IF('_Engine'!CV30&gt;10,"?","")&amp;" PM"))))))))</ns0:f>
        <ns0:v/>
      </ns0:c>
      <ns0:c r="AA30" s="164" t="str">
        <ns0:f>IF(OR($A30="",AA$11=""),"",IF(OR('_Engine'!$B$6&gt;0,INDEX('_Engine'!$AM$11:$AM$60,'_Engine'!$AO30)&lt;&gt;"OK"),"!",IF(INDEX(Team!$H$11:$N$60,'_Engine'!$AO30,WEEKDAY(AA$11,2))&lt;&gt;"Work","—",IF(COUNTIF(Settings!$F$18:$F$67,AA$11)&gt;0,"BH",IF('_Engine'!CW30+'_Engine'!CX30=0,"·",IF('_Engine'!CW30='_Engine'!CX30,INDEX(Settings!$G$7:$G$11,MOD('_Engine'!CW30,10))&amp;IF('_Engine'!CW30&gt;10,"?",""),IF('_Engine'!CW30=0,INDEX(Settings!$G$7:$G$11,MOD('_Engine'!CX30,10))&amp;IF('_Engine'!CX30&gt;10,"?","")&amp;" PM",IF('_Engine'!CX30=0,INDEX(Settings!$G$7:$G$11,MOD('_Engine'!CW30,10))&amp;IF('_Engine'!CW30&gt;10,"?","")&amp;" AM",INDEX(Settings!$G$7:$G$11,MOD('_Engine'!CW30,10))&amp;IF('_Engine'!CW30&gt;10,"?","")&amp;" AM"&amp;CHAR(10)&amp;INDEX(Settings!$G$7:$G$11,MOD('_Engine'!CX30,10))&amp;IF('_Engine'!CX30&gt;10,"?","")&amp;" PM"))))))))</ns0:f>
        <ns0:v/>
      </ns0:c>
      <ns0:c r="AB30" s="164" t="str">
        <ns0:f>IF(OR($A30="",AB$11=""),"",IF(OR('_Engine'!$B$6&gt;0,INDEX('_Engine'!$AM$11:$AM$60,'_Engine'!$AO30)&lt;&gt;"OK"),"!",IF(INDEX(Team!$H$11:$N$60,'_Engine'!$AO30,WEEKDAY(AB$11,2))&lt;&gt;"Work","—",IF(COUNTIF(Settings!$F$18:$F$67,AB$11)&gt;0,"BH",IF('_Engine'!CY30+'_Engine'!CZ30=0,"·",IF('_Engine'!CY30='_Engine'!CZ30,INDEX(Settings!$G$7:$G$11,MOD('_Engine'!CY30,10))&amp;IF('_Engine'!CY30&gt;10,"?",""),IF('_Engine'!CY30=0,INDEX(Settings!$G$7:$G$11,MOD('_Engine'!CZ30,10))&amp;IF('_Engine'!CZ30&gt;10,"?","")&amp;" PM",IF('_Engine'!CZ30=0,INDEX(Settings!$G$7:$G$11,MOD('_Engine'!CY30,10))&amp;IF('_Engine'!CY30&gt;10,"?","")&amp;" AM",INDEX(Settings!$G$7:$G$11,MOD('_Engine'!CY30,10))&amp;IF('_Engine'!CY30&gt;10,"?","")&amp;" AM"&amp;CHAR(10)&amp;INDEX(Settings!$G$7:$G$11,MOD('_Engine'!CZ30,10))&amp;IF('_Engine'!CZ30&gt;10,"?","")&amp;" PM"))))))))</ns0:f>
        <ns0:v/>
      </ns0:c>
      <ns0:c r="AC30" s="164" t="str">
        <ns0:f>IF(OR($A30="",AC$11=""),"",IF(OR('_Engine'!$B$6&gt;0,INDEX('_Engine'!$AM$11:$AM$60,'_Engine'!$AO30)&lt;&gt;"OK"),"!",IF(INDEX(Team!$H$11:$N$60,'_Engine'!$AO30,WEEKDAY(AC$11,2))&lt;&gt;"Work","—",IF(COUNTIF(Settings!$F$18:$F$67,AC$11)&gt;0,"BH",IF('_Engine'!DA30+'_Engine'!DB30=0,"·",IF('_Engine'!DA30='_Engine'!DB30,INDEX(Settings!$G$7:$G$11,MOD('_Engine'!DA30,10))&amp;IF('_Engine'!DA30&gt;10,"?",""),IF('_Engine'!DA30=0,INDEX(Settings!$G$7:$G$11,MOD('_Engine'!DB30,10))&amp;IF('_Engine'!DB30&gt;10,"?","")&amp;" PM",IF('_Engine'!DB30=0,INDEX(Settings!$G$7:$G$11,MOD('_Engine'!DA30,10))&amp;IF('_Engine'!DA30&gt;10,"?","")&amp;" AM",INDEX(Settings!$G$7:$G$11,MOD('_Engine'!DA30,10))&amp;IF('_Engine'!DA30&gt;10,"?","")&amp;" AM"&amp;CHAR(10)&amp;INDEX(Settings!$G$7:$G$11,MOD('_Engine'!DB30,10))&amp;IF('_Engine'!DB30&gt;10,"?","")&amp;" PM"))))))))</ns0:f>
        <ns0:v/>
      </ns0:c>
      <ns0:c r="AD30" s="164" t="str">
        <ns0:f>IF(OR($A30="",AD$11=""),"",IF(OR('_Engine'!$B$6&gt;0,INDEX('_Engine'!$AM$11:$AM$60,'_Engine'!$AO30)&lt;&gt;"OK"),"!",IF(INDEX(Team!$H$11:$N$60,'_Engine'!$AO30,WEEKDAY(AD$11,2))&lt;&gt;"Work","—",IF(COUNTIF(Settings!$F$18:$F$67,AD$11)&gt;0,"BH",IF('_Engine'!DC30+'_Engine'!DD30=0,"·",IF('_Engine'!DC30='_Engine'!DD30,INDEX(Settings!$G$7:$G$11,MOD('_Engine'!DC30,10))&amp;IF('_Engine'!DC30&gt;10,"?",""),IF('_Engine'!DC30=0,INDEX(Settings!$G$7:$G$11,MOD('_Engine'!DD30,10))&amp;IF('_Engine'!DD30&gt;10,"?","")&amp;" PM",IF('_Engine'!DD30=0,INDEX(Settings!$G$7:$G$11,MOD('_Engine'!DC30,10))&amp;IF('_Engine'!DC30&gt;10,"?","")&amp;" AM",INDEX(Settings!$G$7:$G$11,MOD('_Engine'!DC30,10))&amp;IF('_Engine'!DC30&gt;10,"?","")&amp;" AM"&amp;CHAR(10)&amp;INDEX(Settings!$G$7:$G$11,MOD('_Engine'!DD30,10))&amp;IF('_Engine'!DD30&gt;10,"?","")&amp;" PM"))))))))</ns0:f>
        <ns0:v/>
      </ns0:c>
      <ns0:c r="AE30" s="164" t="str">
        <ns0:f>IF(OR($A30="",AE$11=""),"",IF(OR('_Engine'!$B$6&gt;0,INDEX('_Engine'!$AM$11:$AM$60,'_Engine'!$AO30)&lt;&gt;"OK"),"!",IF(INDEX(Team!$H$11:$N$60,'_Engine'!$AO30,WEEKDAY(AE$11,2))&lt;&gt;"Work","—",IF(COUNTIF(Settings!$F$18:$F$67,AE$11)&gt;0,"BH",IF('_Engine'!DE30+'_Engine'!DF30=0,"·",IF('_Engine'!DE30='_Engine'!DF30,INDEX(Settings!$G$7:$G$11,MOD('_Engine'!DE30,10))&amp;IF('_Engine'!DE30&gt;10,"?",""),IF('_Engine'!DE30=0,INDEX(Settings!$G$7:$G$11,MOD('_Engine'!DF30,10))&amp;IF('_Engine'!DF30&gt;10,"?","")&amp;" PM",IF('_Engine'!DF30=0,INDEX(Settings!$G$7:$G$11,MOD('_Engine'!DE30,10))&amp;IF('_Engine'!DE30&gt;10,"?","")&amp;" AM",INDEX(Settings!$G$7:$G$11,MOD('_Engine'!DE30,10))&amp;IF('_Engine'!DE30&gt;10,"?","")&amp;" AM"&amp;CHAR(10)&amp;INDEX(Settings!$G$7:$G$11,MOD('_Engine'!DF30,10))&amp;IF('_Engine'!DF30&gt;10,"?","")&amp;" PM"))))))))</ns0:f>
        <ns0:v/>
      </ns0:c>
      <ns0:c r="AF30" s="164" t="str">
        <ns0:f>IF(OR($A30="",AF$11=""),"",IF(OR('_Engine'!$B$6&gt;0,INDEX('_Engine'!$AM$11:$AM$60,'_Engine'!$AO30)&lt;&gt;"OK"),"!",IF(INDEX(Team!$H$11:$N$60,'_Engine'!$AO30,WEEKDAY(AF$11,2))&lt;&gt;"Work","—",IF(COUNTIF(Settings!$F$18:$F$67,AF$11)&gt;0,"BH",IF('_Engine'!DG30+'_Engine'!DH30=0,"·",IF('_Engine'!DG30='_Engine'!DH30,INDEX(Settings!$G$7:$G$11,MOD('_Engine'!DG30,10))&amp;IF('_Engine'!DG30&gt;10,"?",""),IF('_Engine'!DG30=0,INDEX(Settings!$G$7:$G$11,MOD('_Engine'!DH30,10))&amp;IF('_Engine'!DH30&gt;10,"?","")&amp;" PM",IF('_Engine'!DH30=0,INDEX(Settings!$G$7:$G$11,MOD('_Engine'!DG30,10))&amp;IF('_Engine'!DG30&gt;10,"?","")&amp;" AM",INDEX(Settings!$G$7:$G$11,MOD('_Engine'!DG30,10))&amp;IF('_Engine'!DG30&gt;10,"?","")&amp;" AM"&amp;CHAR(10)&amp;INDEX(Settings!$G$7:$G$11,MOD('_Engine'!DH30,10))&amp;IF('_Engine'!DH30&gt;10,"?","")&amp;" PM"))))))))</ns0:f>
        <ns0:v/>
      </ns0:c>
      <ns0:c r="AG30" s="164" t="str">
        <ns0:f>IF(OR($A30="",AG$11=""),"",IF(OR('_Engine'!$B$6&gt;0,INDEX('_Engine'!$AM$11:$AM$60,'_Engine'!$AO30)&lt;&gt;"OK"),"!",IF(INDEX(Team!$H$11:$N$60,'_Engine'!$AO30,WEEKDAY(AG$11,2))&lt;&gt;"Work","—",IF(COUNTIF(Settings!$F$18:$F$67,AG$11)&gt;0,"BH",IF('_Engine'!DI30+'_Engine'!DJ30=0,"·",IF('_Engine'!DI30='_Engine'!DJ30,INDEX(Settings!$G$7:$G$11,MOD('_Engine'!DI30,10))&amp;IF('_Engine'!DI30&gt;10,"?",""),IF('_Engine'!DI30=0,INDEX(Settings!$G$7:$G$11,MOD('_Engine'!DJ30,10))&amp;IF('_Engine'!DJ30&gt;10,"?","")&amp;" PM",IF('_Engine'!DJ30=0,INDEX(Settings!$G$7:$G$11,MOD('_Engine'!DI30,10))&amp;IF('_Engine'!DI30&gt;10,"?","")&amp;" AM",INDEX(Settings!$G$7:$G$11,MOD('_Engine'!DI30,10))&amp;IF('_Engine'!DI30&gt;10,"?","")&amp;" AM"&amp;CHAR(10)&amp;INDEX(Settings!$G$7:$G$11,MOD('_Engine'!DJ30,10))&amp;IF('_Engine'!DJ30&gt;10,"?","")&amp;" PM"))))))))</ns0:f>
        <ns0:v/>
      </ns0:c>
      <ns0:c r="AH30" s="164" t="str">
        <ns0:f>IF(OR($A30="",AH$11=""),"",IF(OR('_Engine'!$B$6&gt;0,INDEX('_Engine'!$AM$11:$AM$60,'_Engine'!$AO30)&lt;&gt;"OK"),"!",IF(INDEX(Team!$H$11:$N$60,'_Engine'!$AO30,WEEKDAY(AH$11,2))&lt;&gt;"Work","—",IF(COUNTIF(Settings!$F$18:$F$67,AH$11)&gt;0,"BH",IF('_Engine'!DK30+'_Engine'!DL30=0,"·",IF('_Engine'!DK30='_Engine'!DL30,INDEX(Settings!$G$7:$G$11,MOD('_Engine'!DK30,10))&amp;IF('_Engine'!DK30&gt;10,"?",""),IF('_Engine'!DK30=0,INDEX(Settings!$G$7:$G$11,MOD('_Engine'!DL30,10))&amp;IF('_Engine'!DL30&gt;10,"?","")&amp;" PM",IF('_Engine'!DL30=0,INDEX(Settings!$G$7:$G$11,MOD('_Engine'!DK30,10))&amp;IF('_Engine'!DK30&gt;10,"?","")&amp;" AM",INDEX(Settings!$G$7:$G$11,MOD('_Engine'!DK30,10))&amp;IF('_Engine'!DK30&gt;10,"?","")&amp;" AM"&amp;CHAR(10)&amp;INDEX(Settings!$G$7:$G$11,MOD('_Engine'!DL30,10))&amp;IF('_Engine'!DL30&gt;10,"?","")&amp;" PM"))))))))</ns0:f>
        <ns0:v/>
      </ns0:c>
    </ns0:row>
    <ns0:row r="31" ht="38" customHeight="1">
      <ns0:c r="A31" s="4" t="str">
        <ns0:f>IF('_Engine'!AO31=0,"",IF(INDEX(Team!$B$11:$B$60,'_Engine'!AO31)="","[Unnamed]",INDEX(Team!$B$11:$B$60,'_Engine'!AO31)))</ns0:f>
        <ns0:v/>
      </ns0:c>
      <ns0:c r="B31" s="156" t="str">
        <ns0:f>IF('_Engine'!AO31=0,"",INDEX('_Engine'!$AN$11:$AN$60,'_Engine'!AO31))</ns0:f>
        <ns0:v/>
      </ns0:c>
      <ns0:c r="C31" s="4" t="str">
        <ns0:f>IF('_Engine'!AO31=0,"",INDEX(Team!$C$11:$C$60,'_Engine'!AO31))</ns0:f>
        <ns0:v/>
      </ns0:c>
      <ns0:c r="D31" s="162" t="str">
        <ns0:f>IF(OR($A31="",D$11=""),"",IF(OR('_Engine'!$B$6&gt;0,INDEX('_Engine'!$AM$11:$AM$60,'_Engine'!$AO31)&lt;&gt;"OK"),"!",IF(INDEX(Team!$H$11:$N$60,'_Engine'!$AO31,WEEKDAY(D$11,2))&lt;&gt;"Work","—",IF(COUNTIF(Settings!$F$18:$F$67,D$11)&gt;0,"BH",IF('_Engine'!BC31+'_Engine'!BD31=0,"·",IF('_Engine'!BC31='_Engine'!BD31,INDEX(Settings!$G$7:$G$11,MOD('_Engine'!BC31,10))&amp;IF('_Engine'!BC31&gt;10,"?",""),IF('_Engine'!BC31=0,INDEX(Settings!$G$7:$G$11,MOD('_Engine'!BD31,10))&amp;IF('_Engine'!BD31&gt;10,"?","")&amp;" PM",IF('_Engine'!BD31=0,INDEX(Settings!$G$7:$G$11,MOD('_Engine'!BC31,10))&amp;IF('_Engine'!BC31&gt;10,"?","")&amp;" AM",INDEX(Settings!$G$7:$G$11,MOD('_Engine'!BC31,10))&amp;IF('_Engine'!BC31&gt;10,"?","")&amp;" AM"&amp;CHAR(10)&amp;INDEX(Settings!$G$7:$G$11,MOD('_Engine'!BD31,10))&amp;IF('_Engine'!BD31&gt;10,"?","")&amp;" PM"))))))))</ns0:f>
        <ns0:v/>
      </ns0:c>
      <ns0:c r="E31" s="162" t="str">
        <ns0:f>IF(OR($A31="",E$11=""),"",IF(OR('_Engine'!$B$6&gt;0,INDEX('_Engine'!$AM$11:$AM$60,'_Engine'!$AO31)&lt;&gt;"OK"),"!",IF(INDEX(Team!$H$11:$N$60,'_Engine'!$AO31,WEEKDAY(E$11,2))&lt;&gt;"Work","—",IF(COUNTIF(Settings!$F$18:$F$67,E$11)&gt;0,"BH",IF('_Engine'!BE31+'_Engine'!BF31=0,"·",IF('_Engine'!BE31='_Engine'!BF31,INDEX(Settings!$G$7:$G$11,MOD('_Engine'!BE31,10))&amp;IF('_Engine'!BE31&gt;10,"?",""),IF('_Engine'!BE31=0,INDEX(Settings!$G$7:$G$11,MOD('_Engine'!BF31,10))&amp;IF('_Engine'!BF31&gt;10,"?","")&amp;" PM",IF('_Engine'!BF31=0,INDEX(Settings!$G$7:$G$11,MOD('_Engine'!BE31,10))&amp;IF('_Engine'!BE31&gt;10,"?","")&amp;" AM",INDEX(Settings!$G$7:$G$11,MOD('_Engine'!BE31,10))&amp;IF('_Engine'!BE31&gt;10,"?","")&amp;" AM"&amp;CHAR(10)&amp;INDEX(Settings!$G$7:$G$11,MOD('_Engine'!BF31,10))&amp;IF('_Engine'!BF31&gt;10,"?","")&amp;" PM"))))))))</ns0:f>
        <ns0:v/>
      </ns0:c>
      <ns0:c r="F31" s="162" t="str">
        <ns0:f>IF(OR($A31="",F$11=""),"",IF(OR('_Engine'!$B$6&gt;0,INDEX('_Engine'!$AM$11:$AM$60,'_Engine'!$AO31)&lt;&gt;"OK"),"!",IF(INDEX(Team!$H$11:$N$60,'_Engine'!$AO31,WEEKDAY(F$11,2))&lt;&gt;"Work","—",IF(COUNTIF(Settings!$F$18:$F$67,F$11)&gt;0,"BH",IF('_Engine'!BG31+'_Engine'!BH31=0,"·",IF('_Engine'!BG31='_Engine'!BH31,INDEX(Settings!$G$7:$G$11,MOD('_Engine'!BG31,10))&amp;IF('_Engine'!BG31&gt;10,"?",""),IF('_Engine'!BG31=0,INDEX(Settings!$G$7:$G$11,MOD('_Engine'!BH31,10))&amp;IF('_Engine'!BH31&gt;10,"?","")&amp;" PM",IF('_Engine'!BH31=0,INDEX(Settings!$G$7:$G$11,MOD('_Engine'!BG31,10))&amp;IF('_Engine'!BG31&gt;10,"?","")&amp;" AM",INDEX(Settings!$G$7:$G$11,MOD('_Engine'!BG31,10))&amp;IF('_Engine'!BG31&gt;10,"?","")&amp;" AM"&amp;CHAR(10)&amp;INDEX(Settings!$G$7:$G$11,MOD('_Engine'!BH31,10))&amp;IF('_Engine'!BH31&gt;10,"?","")&amp;" PM"))))))))</ns0:f>
        <ns0:v/>
      </ns0:c>
      <ns0:c r="G31" s="162" t="str">
        <ns0:f>IF(OR($A31="",G$11=""),"",IF(OR('_Engine'!$B$6&gt;0,INDEX('_Engine'!$AM$11:$AM$60,'_Engine'!$AO31)&lt;&gt;"OK"),"!",IF(INDEX(Team!$H$11:$N$60,'_Engine'!$AO31,WEEKDAY(G$11,2))&lt;&gt;"Work","—",IF(COUNTIF(Settings!$F$18:$F$67,G$11)&gt;0,"BH",IF('_Engine'!BI31+'_Engine'!BJ31=0,"·",IF('_Engine'!BI31='_Engine'!BJ31,INDEX(Settings!$G$7:$G$11,MOD('_Engine'!BI31,10))&amp;IF('_Engine'!BI31&gt;10,"?",""),IF('_Engine'!BI31=0,INDEX(Settings!$G$7:$G$11,MOD('_Engine'!BJ31,10))&amp;IF('_Engine'!BJ31&gt;10,"?","")&amp;" PM",IF('_Engine'!BJ31=0,INDEX(Settings!$G$7:$G$11,MOD('_Engine'!BI31,10))&amp;IF('_Engine'!BI31&gt;10,"?","")&amp;" AM",INDEX(Settings!$G$7:$G$11,MOD('_Engine'!BI31,10))&amp;IF('_Engine'!BI31&gt;10,"?","")&amp;" AM"&amp;CHAR(10)&amp;INDEX(Settings!$G$7:$G$11,MOD('_Engine'!BJ31,10))&amp;IF('_Engine'!BJ31&gt;10,"?","")&amp;" PM"))))))))</ns0:f>
        <ns0:v/>
      </ns0:c>
      <ns0:c r="H31" s="162" t="str">
        <ns0:f>IF(OR($A31="",H$11=""),"",IF(OR('_Engine'!$B$6&gt;0,INDEX('_Engine'!$AM$11:$AM$60,'_Engine'!$AO31)&lt;&gt;"OK"),"!",IF(INDEX(Team!$H$11:$N$60,'_Engine'!$AO31,WEEKDAY(H$11,2))&lt;&gt;"Work","—",IF(COUNTIF(Settings!$F$18:$F$67,H$11)&gt;0,"BH",IF('_Engine'!BK31+'_Engine'!BL31=0,"·",IF('_Engine'!BK31='_Engine'!BL31,INDEX(Settings!$G$7:$G$11,MOD('_Engine'!BK31,10))&amp;IF('_Engine'!BK31&gt;10,"?",""),IF('_Engine'!BK31=0,INDEX(Settings!$G$7:$G$11,MOD('_Engine'!BL31,10))&amp;IF('_Engine'!BL31&gt;10,"?","")&amp;" PM",IF('_Engine'!BL31=0,INDEX(Settings!$G$7:$G$11,MOD('_Engine'!BK31,10))&amp;IF('_Engine'!BK31&gt;10,"?","")&amp;" AM",INDEX(Settings!$G$7:$G$11,MOD('_Engine'!BK31,10))&amp;IF('_Engine'!BK31&gt;10,"?","")&amp;" AM"&amp;CHAR(10)&amp;INDEX(Settings!$G$7:$G$11,MOD('_Engine'!BL31,10))&amp;IF('_Engine'!BL31&gt;10,"?","")&amp;" PM"))))))))</ns0:f>
        <ns0:v/>
      </ns0:c>
      <ns0:c r="I31" s="162" t="str">
        <ns0:f>IF(OR($A31="",I$11=""),"",IF(OR('_Engine'!$B$6&gt;0,INDEX('_Engine'!$AM$11:$AM$60,'_Engine'!$AO31)&lt;&gt;"OK"),"!",IF(INDEX(Team!$H$11:$N$60,'_Engine'!$AO31,WEEKDAY(I$11,2))&lt;&gt;"Work","—",IF(COUNTIF(Settings!$F$18:$F$67,I$11)&gt;0,"BH",IF('_Engine'!BM31+'_Engine'!BN31=0,"·",IF('_Engine'!BM31='_Engine'!BN31,INDEX(Settings!$G$7:$G$11,MOD('_Engine'!BM31,10))&amp;IF('_Engine'!BM31&gt;10,"?",""),IF('_Engine'!BM31=0,INDEX(Settings!$G$7:$G$11,MOD('_Engine'!BN31,10))&amp;IF('_Engine'!BN31&gt;10,"?","")&amp;" PM",IF('_Engine'!BN31=0,INDEX(Settings!$G$7:$G$11,MOD('_Engine'!BM31,10))&amp;IF('_Engine'!BM31&gt;10,"?","")&amp;" AM",INDEX(Settings!$G$7:$G$11,MOD('_Engine'!BM31,10))&amp;IF('_Engine'!BM31&gt;10,"?","")&amp;" AM"&amp;CHAR(10)&amp;INDEX(Settings!$G$7:$G$11,MOD('_Engine'!BN31,10))&amp;IF('_Engine'!BN31&gt;10,"?","")&amp;" PM"))))))))</ns0:f>
        <ns0:v/>
      </ns0:c>
      <ns0:c r="J31" s="162" t="str">
        <ns0:f>IF(OR($A31="",J$11=""),"",IF(OR('_Engine'!$B$6&gt;0,INDEX('_Engine'!$AM$11:$AM$60,'_Engine'!$AO31)&lt;&gt;"OK"),"!",IF(INDEX(Team!$H$11:$N$60,'_Engine'!$AO31,WEEKDAY(J$11,2))&lt;&gt;"Work","—",IF(COUNTIF(Settings!$F$18:$F$67,J$11)&gt;0,"BH",IF('_Engine'!BO31+'_Engine'!BP31=0,"·",IF('_Engine'!BO31='_Engine'!BP31,INDEX(Settings!$G$7:$G$11,MOD('_Engine'!BO31,10))&amp;IF('_Engine'!BO31&gt;10,"?",""),IF('_Engine'!BO31=0,INDEX(Settings!$G$7:$G$11,MOD('_Engine'!BP31,10))&amp;IF('_Engine'!BP31&gt;10,"?","")&amp;" PM",IF('_Engine'!BP31=0,INDEX(Settings!$G$7:$G$11,MOD('_Engine'!BO31,10))&amp;IF('_Engine'!BO31&gt;10,"?","")&amp;" AM",INDEX(Settings!$G$7:$G$11,MOD('_Engine'!BO31,10))&amp;IF('_Engine'!BO31&gt;10,"?","")&amp;" AM"&amp;CHAR(10)&amp;INDEX(Settings!$G$7:$G$11,MOD('_Engine'!BP31,10))&amp;IF('_Engine'!BP31&gt;10,"?","")&amp;" PM"))))))))</ns0:f>
        <ns0:v/>
      </ns0:c>
      <ns0:c r="K31" s="164" t="str">
        <ns0:f>IF(OR($A31="",K$11=""),"",IF(OR('_Engine'!$B$6&gt;0,INDEX('_Engine'!$AM$11:$AM$60,'_Engine'!$AO31)&lt;&gt;"OK"),"!",IF(INDEX(Team!$H$11:$N$60,'_Engine'!$AO31,WEEKDAY(K$11,2))&lt;&gt;"Work","—",IF(COUNTIF(Settings!$F$18:$F$67,K$11)&gt;0,"BH",IF('_Engine'!BQ31+'_Engine'!BR31=0,"·",IF('_Engine'!BQ31='_Engine'!BR31,INDEX(Settings!$G$7:$G$11,MOD('_Engine'!BQ31,10))&amp;IF('_Engine'!BQ31&gt;10,"?",""),IF('_Engine'!BQ31=0,INDEX(Settings!$G$7:$G$11,MOD('_Engine'!BR31,10))&amp;IF('_Engine'!BR31&gt;10,"?","")&amp;" PM",IF('_Engine'!BR31=0,INDEX(Settings!$G$7:$G$11,MOD('_Engine'!BQ31,10))&amp;IF('_Engine'!BQ31&gt;10,"?","")&amp;" AM",INDEX(Settings!$G$7:$G$11,MOD('_Engine'!BQ31,10))&amp;IF('_Engine'!BQ31&gt;10,"?","")&amp;" AM"&amp;CHAR(10)&amp;INDEX(Settings!$G$7:$G$11,MOD('_Engine'!BR31,10))&amp;IF('_Engine'!BR31&gt;10,"?","")&amp;" PM"))))))))</ns0:f>
        <ns0:v/>
      </ns0:c>
      <ns0:c r="L31" s="164" t="str">
        <ns0:f>IF(OR($A31="",L$11=""),"",IF(OR('_Engine'!$B$6&gt;0,INDEX('_Engine'!$AM$11:$AM$60,'_Engine'!$AO31)&lt;&gt;"OK"),"!",IF(INDEX(Team!$H$11:$N$60,'_Engine'!$AO31,WEEKDAY(L$11,2))&lt;&gt;"Work","—",IF(COUNTIF(Settings!$F$18:$F$67,L$11)&gt;0,"BH",IF('_Engine'!BS31+'_Engine'!BT31=0,"·",IF('_Engine'!BS31='_Engine'!BT31,INDEX(Settings!$G$7:$G$11,MOD('_Engine'!BS31,10))&amp;IF('_Engine'!BS31&gt;10,"?",""),IF('_Engine'!BS31=0,INDEX(Settings!$G$7:$G$11,MOD('_Engine'!BT31,10))&amp;IF('_Engine'!BT31&gt;10,"?","")&amp;" PM",IF('_Engine'!BT31=0,INDEX(Settings!$G$7:$G$11,MOD('_Engine'!BS31,10))&amp;IF('_Engine'!BS31&gt;10,"?","")&amp;" AM",INDEX(Settings!$G$7:$G$11,MOD('_Engine'!BS31,10))&amp;IF('_Engine'!BS31&gt;10,"?","")&amp;" AM"&amp;CHAR(10)&amp;INDEX(Settings!$G$7:$G$11,MOD('_Engine'!BT31,10))&amp;IF('_Engine'!BT31&gt;10,"?","")&amp;" PM"))))))))</ns0:f>
        <ns0:v/>
      </ns0:c>
      <ns0:c r="M31" s="164" t="str">
        <ns0:f>IF(OR($A31="",M$11=""),"",IF(OR('_Engine'!$B$6&gt;0,INDEX('_Engine'!$AM$11:$AM$60,'_Engine'!$AO31)&lt;&gt;"OK"),"!",IF(INDEX(Team!$H$11:$N$60,'_Engine'!$AO31,WEEKDAY(M$11,2))&lt;&gt;"Work","—",IF(COUNTIF(Settings!$F$18:$F$67,M$11)&gt;0,"BH",IF('_Engine'!BU31+'_Engine'!BV31=0,"·",IF('_Engine'!BU31='_Engine'!BV31,INDEX(Settings!$G$7:$G$11,MOD('_Engine'!BU31,10))&amp;IF('_Engine'!BU31&gt;10,"?",""),IF('_Engine'!BU31=0,INDEX(Settings!$G$7:$G$11,MOD('_Engine'!BV31,10))&amp;IF('_Engine'!BV31&gt;10,"?","")&amp;" PM",IF('_Engine'!BV31=0,INDEX(Settings!$G$7:$G$11,MOD('_Engine'!BU31,10))&amp;IF('_Engine'!BU31&gt;10,"?","")&amp;" AM",INDEX(Settings!$G$7:$G$11,MOD('_Engine'!BU31,10))&amp;IF('_Engine'!BU31&gt;10,"?","")&amp;" AM"&amp;CHAR(10)&amp;INDEX(Settings!$G$7:$G$11,MOD('_Engine'!BV31,10))&amp;IF('_Engine'!BV31&gt;10,"?","")&amp;" PM"))))))))</ns0:f>
        <ns0:v/>
      </ns0:c>
      <ns0:c r="N31" s="164" t="str">
        <ns0:f>IF(OR($A31="",N$11=""),"",IF(OR('_Engine'!$B$6&gt;0,INDEX('_Engine'!$AM$11:$AM$60,'_Engine'!$AO31)&lt;&gt;"OK"),"!",IF(INDEX(Team!$H$11:$N$60,'_Engine'!$AO31,WEEKDAY(N$11,2))&lt;&gt;"Work","—",IF(COUNTIF(Settings!$F$18:$F$67,N$11)&gt;0,"BH",IF('_Engine'!BW31+'_Engine'!BX31=0,"·",IF('_Engine'!BW31='_Engine'!BX31,INDEX(Settings!$G$7:$G$11,MOD('_Engine'!BW31,10))&amp;IF('_Engine'!BW31&gt;10,"?",""),IF('_Engine'!BW31=0,INDEX(Settings!$G$7:$G$11,MOD('_Engine'!BX31,10))&amp;IF('_Engine'!BX31&gt;10,"?","")&amp;" PM",IF('_Engine'!BX31=0,INDEX(Settings!$G$7:$G$11,MOD('_Engine'!BW31,10))&amp;IF('_Engine'!BW31&gt;10,"?","")&amp;" AM",INDEX(Settings!$G$7:$G$11,MOD('_Engine'!BW31,10))&amp;IF('_Engine'!BW31&gt;10,"?","")&amp;" AM"&amp;CHAR(10)&amp;INDEX(Settings!$G$7:$G$11,MOD('_Engine'!BX31,10))&amp;IF('_Engine'!BX31&gt;10,"?","")&amp;" PM"))))))))</ns0:f>
        <ns0:v/>
      </ns0:c>
      <ns0:c r="O31" s="164" t="str">
        <ns0:f>IF(OR($A31="",O$11=""),"",IF(OR('_Engine'!$B$6&gt;0,INDEX('_Engine'!$AM$11:$AM$60,'_Engine'!$AO31)&lt;&gt;"OK"),"!",IF(INDEX(Team!$H$11:$N$60,'_Engine'!$AO31,WEEKDAY(O$11,2))&lt;&gt;"Work","—",IF(COUNTIF(Settings!$F$18:$F$67,O$11)&gt;0,"BH",IF('_Engine'!BY31+'_Engine'!BZ31=0,"·",IF('_Engine'!BY31='_Engine'!BZ31,INDEX(Settings!$G$7:$G$11,MOD('_Engine'!BY31,10))&amp;IF('_Engine'!BY31&gt;10,"?",""),IF('_Engine'!BY31=0,INDEX(Settings!$G$7:$G$11,MOD('_Engine'!BZ31,10))&amp;IF('_Engine'!BZ31&gt;10,"?","")&amp;" PM",IF('_Engine'!BZ31=0,INDEX(Settings!$G$7:$G$11,MOD('_Engine'!BY31,10))&amp;IF('_Engine'!BY31&gt;10,"?","")&amp;" AM",INDEX(Settings!$G$7:$G$11,MOD('_Engine'!BY31,10))&amp;IF('_Engine'!BY31&gt;10,"?","")&amp;" AM"&amp;CHAR(10)&amp;INDEX(Settings!$G$7:$G$11,MOD('_Engine'!BZ31,10))&amp;IF('_Engine'!BZ31&gt;10,"?","")&amp;" PM"))))))))</ns0:f>
        <ns0:v/>
      </ns0:c>
      <ns0:c r="P31" s="164" t="str">
        <ns0:f>IF(OR($A31="",P$11=""),"",IF(OR('_Engine'!$B$6&gt;0,INDEX('_Engine'!$AM$11:$AM$60,'_Engine'!$AO31)&lt;&gt;"OK"),"!",IF(INDEX(Team!$H$11:$N$60,'_Engine'!$AO31,WEEKDAY(P$11,2))&lt;&gt;"Work","—",IF(COUNTIF(Settings!$F$18:$F$67,P$11)&gt;0,"BH",IF('_Engine'!CA31+'_Engine'!CB31=0,"·",IF('_Engine'!CA31='_Engine'!CB31,INDEX(Settings!$G$7:$G$11,MOD('_Engine'!CA31,10))&amp;IF('_Engine'!CA31&gt;10,"?",""),IF('_Engine'!CA31=0,INDEX(Settings!$G$7:$G$11,MOD('_Engine'!CB31,10))&amp;IF('_Engine'!CB31&gt;10,"?","")&amp;" PM",IF('_Engine'!CB31=0,INDEX(Settings!$G$7:$G$11,MOD('_Engine'!CA31,10))&amp;IF('_Engine'!CA31&gt;10,"?","")&amp;" AM",INDEX(Settings!$G$7:$G$11,MOD('_Engine'!CA31,10))&amp;IF('_Engine'!CA31&gt;10,"?","")&amp;" AM"&amp;CHAR(10)&amp;INDEX(Settings!$G$7:$G$11,MOD('_Engine'!CB31,10))&amp;IF('_Engine'!CB31&gt;10,"?","")&amp;" PM"))))))))</ns0:f>
        <ns0:v/>
      </ns0:c>
      <ns0:c r="Q31" s="164" t="str">
        <ns0:f>IF(OR($A31="",Q$11=""),"",IF(OR('_Engine'!$B$6&gt;0,INDEX('_Engine'!$AM$11:$AM$60,'_Engine'!$AO31)&lt;&gt;"OK"),"!",IF(INDEX(Team!$H$11:$N$60,'_Engine'!$AO31,WEEKDAY(Q$11,2))&lt;&gt;"Work","—",IF(COUNTIF(Settings!$F$18:$F$67,Q$11)&gt;0,"BH",IF('_Engine'!CC31+'_Engine'!CD31=0,"·",IF('_Engine'!CC31='_Engine'!CD31,INDEX(Settings!$G$7:$G$11,MOD('_Engine'!CC31,10))&amp;IF('_Engine'!CC31&gt;10,"?",""),IF('_Engine'!CC31=0,INDEX(Settings!$G$7:$G$11,MOD('_Engine'!CD31,10))&amp;IF('_Engine'!CD31&gt;10,"?","")&amp;" PM",IF('_Engine'!CD31=0,INDEX(Settings!$G$7:$G$11,MOD('_Engine'!CC31,10))&amp;IF('_Engine'!CC31&gt;10,"?","")&amp;" AM",INDEX(Settings!$G$7:$G$11,MOD('_Engine'!CC31,10))&amp;IF('_Engine'!CC31&gt;10,"?","")&amp;" AM"&amp;CHAR(10)&amp;INDEX(Settings!$G$7:$G$11,MOD('_Engine'!CD31,10))&amp;IF('_Engine'!CD31&gt;10,"?","")&amp;" PM"))))))))</ns0:f>
        <ns0:v/>
      </ns0:c>
      <ns0:c r="R31" s="164" t="str">
        <ns0:f>IF(OR($A31="",R$11=""),"",IF(OR('_Engine'!$B$6&gt;0,INDEX('_Engine'!$AM$11:$AM$60,'_Engine'!$AO31)&lt;&gt;"OK"),"!",IF(INDEX(Team!$H$11:$N$60,'_Engine'!$AO31,WEEKDAY(R$11,2))&lt;&gt;"Work","—",IF(COUNTIF(Settings!$F$18:$F$67,R$11)&gt;0,"BH",IF('_Engine'!CE31+'_Engine'!CF31=0,"·",IF('_Engine'!CE31='_Engine'!CF31,INDEX(Settings!$G$7:$G$11,MOD('_Engine'!CE31,10))&amp;IF('_Engine'!CE31&gt;10,"?",""),IF('_Engine'!CE31=0,INDEX(Settings!$G$7:$G$11,MOD('_Engine'!CF31,10))&amp;IF('_Engine'!CF31&gt;10,"?","")&amp;" PM",IF('_Engine'!CF31=0,INDEX(Settings!$G$7:$G$11,MOD('_Engine'!CE31,10))&amp;IF('_Engine'!CE31&gt;10,"?","")&amp;" AM",INDEX(Settings!$G$7:$G$11,MOD('_Engine'!CE31,10))&amp;IF('_Engine'!CE31&gt;10,"?","")&amp;" AM"&amp;CHAR(10)&amp;INDEX(Settings!$G$7:$G$11,MOD('_Engine'!CF31,10))&amp;IF('_Engine'!CF31&gt;10,"?","")&amp;" PM"))))))))</ns0:f>
        <ns0:v/>
      </ns0:c>
      <ns0:c r="S31" s="164" t="str">
        <ns0:f>IF(OR($A31="",S$11=""),"",IF(OR('_Engine'!$B$6&gt;0,INDEX('_Engine'!$AM$11:$AM$60,'_Engine'!$AO31)&lt;&gt;"OK"),"!",IF(INDEX(Team!$H$11:$N$60,'_Engine'!$AO31,WEEKDAY(S$11,2))&lt;&gt;"Work","—",IF(COUNTIF(Settings!$F$18:$F$67,S$11)&gt;0,"BH",IF('_Engine'!CG31+'_Engine'!CH31=0,"·",IF('_Engine'!CG31='_Engine'!CH31,INDEX(Settings!$G$7:$G$11,MOD('_Engine'!CG31,10))&amp;IF('_Engine'!CG31&gt;10,"?",""),IF('_Engine'!CG31=0,INDEX(Settings!$G$7:$G$11,MOD('_Engine'!CH31,10))&amp;IF('_Engine'!CH31&gt;10,"?","")&amp;" PM",IF('_Engine'!CH31=0,INDEX(Settings!$G$7:$G$11,MOD('_Engine'!CG31,10))&amp;IF('_Engine'!CG31&gt;10,"?","")&amp;" AM",INDEX(Settings!$G$7:$G$11,MOD('_Engine'!CG31,10))&amp;IF('_Engine'!CG31&gt;10,"?","")&amp;" AM"&amp;CHAR(10)&amp;INDEX(Settings!$G$7:$G$11,MOD('_Engine'!CH31,10))&amp;IF('_Engine'!CH31&gt;10,"?","")&amp;" PM"))))))))</ns0:f>
        <ns0:v/>
      </ns0:c>
      <ns0:c r="T31" s="164" t="str">
        <ns0:f>IF(OR($A31="",T$11=""),"",IF(OR('_Engine'!$B$6&gt;0,INDEX('_Engine'!$AM$11:$AM$60,'_Engine'!$AO31)&lt;&gt;"OK"),"!",IF(INDEX(Team!$H$11:$N$60,'_Engine'!$AO31,WEEKDAY(T$11,2))&lt;&gt;"Work","—",IF(COUNTIF(Settings!$F$18:$F$67,T$11)&gt;0,"BH",IF('_Engine'!CI31+'_Engine'!CJ31=0,"·",IF('_Engine'!CI31='_Engine'!CJ31,INDEX(Settings!$G$7:$G$11,MOD('_Engine'!CI31,10))&amp;IF('_Engine'!CI31&gt;10,"?",""),IF('_Engine'!CI31=0,INDEX(Settings!$G$7:$G$11,MOD('_Engine'!CJ31,10))&amp;IF('_Engine'!CJ31&gt;10,"?","")&amp;" PM",IF('_Engine'!CJ31=0,INDEX(Settings!$G$7:$G$11,MOD('_Engine'!CI31,10))&amp;IF('_Engine'!CI31&gt;10,"?","")&amp;" AM",INDEX(Settings!$G$7:$G$11,MOD('_Engine'!CI31,10))&amp;IF('_Engine'!CI31&gt;10,"?","")&amp;" AM"&amp;CHAR(10)&amp;INDEX(Settings!$G$7:$G$11,MOD('_Engine'!CJ31,10))&amp;IF('_Engine'!CJ31&gt;10,"?","")&amp;" PM"))))))))</ns0:f>
        <ns0:v/>
      </ns0:c>
      <ns0:c r="U31" s="164" t="str">
        <ns0:f>IF(OR($A31="",U$11=""),"",IF(OR('_Engine'!$B$6&gt;0,INDEX('_Engine'!$AM$11:$AM$60,'_Engine'!$AO31)&lt;&gt;"OK"),"!",IF(INDEX(Team!$H$11:$N$60,'_Engine'!$AO31,WEEKDAY(U$11,2))&lt;&gt;"Work","—",IF(COUNTIF(Settings!$F$18:$F$67,U$11)&gt;0,"BH",IF('_Engine'!CK31+'_Engine'!CL31=0,"·",IF('_Engine'!CK31='_Engine'!CL31,INDEX(Settings!$G$7:$G$11,MOD('_Engine'!CK31,10))&amp;IF('_Engine'!CK31&gt;10,"?",""),IF('_Engine'!CK31=0,INDEX(Settings!$G$7:$G$11,MOD('_Engine'!CL31,10))&amp;IF('_Engine'!CL31&gt;10,"?","")&amp;" PM",IF('_Engine'!CL31=0,INDEX(Settings!$G$7:$G$11,MOD('_Engine'!CK31,10))&amp;IF('_Engine'!CK31&gt;10,"?","")&amp;" AM",INDEX(Settings!$G$7:$G$11,MOD('_Engine'!CK31,10))&amp;IF('_Engine'!CK31&gt;10,"?","")&amp;" AM"&amp;CHAR(10)&amp;INDEX(Settings!$G$7:$G$11,MOD('_Engine'!CL31,10))&amp;IF('_Engine'!CL31&gt;10,"?","")&amp;" PM"))))))))</ns0:f>
        <ns0:v/>
      </ns0:c>
      <ns0:c r="V31" s="164" t="str">
        <ns0:f>IF(OR($A31="",V$11=""),"",IF(OR('_Engine'!$B$6&gt;0,INDEX('_Engine'!$AM$11:$AM$60,'_Engine'!$AO31)&lt;&gt;"OK"),"!",IF(INDEX(Team!$H$11:$N$60,'_Engine'!$AO31,WEEKDAY(V$11,2))&lt;&gt;"Work","—",IF(COUNTIF(Settings!$F$18:$F$67,V$11)&gt;0,"BH",IF('_Engine'!CM31+'_Engine'!CN31=0,"·",IF('_Engine'!CM31='_Engine'!CN31,INDEX(Settings!$G$7:$G$11,MOD('_Engine'!CM31,10))&amp;IF('_Engine'!CM31&gt;10,"?",""),IF('_Engine'!CM31=0,INDEX(Settings!$G$7:$G$11,MOD('_Engine'!CN31,10))&amp;IF('_Engine'!CN31&gt;10,"?","")&amp;" PM",IF('_Engine'!CN31=0,INDEX(Settings!$G$7:$G$11,MOD('_Engine'!CM31,10))&amp;IF('_Engine'!CM31&gt;10,"?","")&amp;" AM",INDEX(Settings!$G$7:$G$11,MOD('_Engine'!CM31,10))&amp;IF('_Engine'!CM31&gt;10,"?","")&amp;" AM"&amp;CHAR(10)&amp;INDEX(Settings!$G$7:$G$11,MOD('_Engine'!CN31,10))&amp;IF('_Engine'!CN31&gt;10,"?","")&amp;" PM"))))))))</ns0:f>
        <ns0:v/>
      </ns0:c>
      <ns0:c r="W31" s="164" t="str">
        <ns0:f>IF(OR($A31="",W$11=""),"",IF(OR('_Engine'!$B$6&gt;0,INDEX('_Engine'!$AM$11:$AM$60,'_Engine'!$AO31)&lt;&gt;"OK"),"!",IF(INDEX(Team!$H$11:$N$60,'_Engine'!$AO31,WEEKDAY(W$11,2))&lt;&gt;"Work","—",IF(COUNTIF(Settings!$F$18:$F$67,W$11)&gt;0,"BH",IF('_Engine'!CO31+'_Engine'!CP31=0,"·",IF('_Engine'!CO31='_Engine'!CP31,INDEX(Settings!$G$7:$G$11,MOD('_Engine'!CO31,10))&amp;IF('_Engine'!CO31&gt;10,"?",""),IF('_Engine'!CO31=0,INDEX(Settings!$G$7:$G$11,MOD('_Engine'!CP31,10))&amp;IF('_Engine'!CP31&gt;10,"?","")&amp;" PM",IF('_Engine'!CP31=0,INDEX(Settings!$G$7:$G$11,MOD('_Engine'!CO31,10))&amp;IF('_Engine'!CO31&gt;10,"?","")&amp;" AM",INDEX(Settings!$G$7:$G$11,MOD('_Engine'!CO31,10))&amp;IF('_Engine'!CO31&gt;10,"?","")&amp;" AM"&amp;CHAR(10)&amp;INDEX(Settings!$G$7:$G$11,MOD('_Engine'!CP31,10))&amp;IF('_Engine'!CP31&gt;10,"?","")&amp;" PM"))))))))</ns0:f>
        <ns0:v/>
      </ns0:c>
      <ns0:c r="X31" s="164" t="str">
        <ns0:f>IF(OR($A31="",X$11=""),"",IF(OR('_Engine'!$B$6&gt;0,INDEX('_Engine'!$AM$11:$AM$60,'_Engine'!$AO31)&lt;&gt;"OK"),"!",IF(INDEX(Team!$H$11:$N$60,'_Engine'!$AO31,WEEKDAY(X$11,2))&lt;&gt;"Work","—",IF(COUNTIF(Settings!$F$18:$F$67,X$11)&gt;0,"BH",IF('_Engine'!CQ31+'_Engine'!CR31=0,"·",IF('_Engine'!CQ31='_Engine'!CR31,INDEX(Settings!$G$7:$G$11,MOD('_Engine'!CQ31,10))&amp;IF('_Engine'!CQ31&gt;10,"?",""),IF('_Engine'!CQ31=0,INDEX(Settings!$G$7:$G$11,MOD('_Engine'!CR31,10))&amp;IF('_Engine'!CR31&gt;10,"?","")&amp;" PM",IF('_Engine'!CR31=0,INDEX(Settings!$G$7:$G$11,MOD('_Engine'!CQ31,10))&amp;IF('_Engine'!CQ31&gt;10,"?","")&amp;" AM",INDEX(Settings!$G$7:$G$11,MOD('_Engine'!CQ31,10))&amp;IF('_Engine'!CQ31&gt;10,"?","")&amp;" AM"&amp;CHAR(10)&amp;INDEX(Settings!$G$7:$G$11,MOD('_Engine'!CR31,10))&amp;IF('_Engine'!CR31&gt;10,"?","")&amp;" PM"))))))))</ns0:f>
        <ns0:v/>
      </ns0:c>
      <ns0:c r="Y31" s="164" t="str">
        <ns0:f>IF(OR($A31="",Y$11=""),"",IF(OR('_Engine'!$B$6&gt;0,INDEX('_Engine'!$AM$11:$AM$60,'_Engine'!$AO31)&lt;&gt;"OK"),"!",IF(INDEX(Team!$H$11:$N$60,'_Engine'!$AO31,WEEKDAY(Y$11,2))&lt;&gt;"Work","—",IF(COUNTIF(Settings!$F$18:$F$67,Y$11)&gt;0,"BH",IF('_Engine'!CS31+'_Engine'!CT31=0,"·",IF('_Engine'!CS31='_Engine'!CT31,INDEX(Settings!$G$7:$G$11,MOD('_Engine'!CS31,10))&amp;IF('_Engine'!CS31&gt;10,"?",""),IF('_Engine'!CS31=0,INDEX(Settings!$G$7:$G$11,MOD('_Engine'!CT31,10))&amp;IF('_Engine'!CT31&gt;10,"?","")&amp;" PM",IF('_Engine'!CT31=0,INDEX(Settings!$G$7:$G$11,MOD('_Engine'!CS31,10))&amp;IF('_Engine'!CS31&gt;10,"?","")&amp;" AM",INDEX(Settings!$G$7:$G$11,MOD('_Engine'!CS31,10))&amp;IF('_Engine'!CS31&gt;10,"?","")&amp;" AM"&amp;CHAR(10)&amp;INDEX(Settings!$G$7:$G$11,MOD('_Engine'!CT31,10))&amp;IF('_Engine'!CT31&gt;10,"?","")&amp;" PM"))))))))</ns0:f>
        <ns0:v/>
      </ns0:c>
      <ns0:c r="Z31" s="164" t="str">
        <ns0:f>IF(OR($A31="",Z$11=""),"",IF(OR('_Engine'!$B$6&gt;0,INDEX('_Engine'!$AM$11:$AM$60,'_Engine'!$AO31)&lt;&gt;"OK"),"!",IF(INDEX(Team!$H$11:$N$60,'_Engine'!$AO31,WEEKDAY(Z$11,2))&lt;&gt;"Work","—",IF(COUNTIF(Settings!$F$18:$F$67,Z$11)&gt;0,"BH",IF('_Engine'!CU31+'_Engine'!CV31=0,"·",IF('_Engine'!CU31='_Engine'!CV31,INDEX(Settings!$G$7:$G$11,MOD('_Engine'!CU31,10))&amp;IF('_Engine'!CU31&gt;10,"?",""),IF('_Engine'!CU31=0,INDEX(Settings!$G$7:$G$11,MOD('_Engine'!CV31,10))&amp;IF('_Engine'!CV31&gt;10,"?","")&amp;" PM",IF('_Engine'!CV31=0,INDEX(Settings!$G$7:$G$11,MOD('_Engine'!CU31,10))&amp;IF('_Engine'!CU31&gt;10,"?","")&amp;" AM",INDEX(Settings!$G$7:$G$11,MOD('_Engine'!CU31,10))&amp;IF('_Engine'!CU31&gt;10,"?","")&amp;" AM"&amp;CHAR(10)&amp;INDEX(Settings!$G$7:$G$11,MOD('_Engine'!CV31,10))&amp;IF('_Engine'!CV31&gt;10,"?","")&amp;" PM"))))))))</ns0:f>
        <ns0:v/>
      </ns0:c>
      <ns0:c r="AA31" s="164" t="str">
        <ns0:f>IF(OR($A31="",AA$11=""),"",IF(OR('_Engine'!$B$6&gt;0,INDEX('_Engine'!$AM$11:$AM$60,'_Engine'!$AO31)&lt;&gt;"OK"),"!",IF(INDEX(Team!$H$11:$N$60,'_Engine'!$AO31,WEEKDAY(AA$11,2))&lt;&gt;"Work","—",IF(COUNTIF(Settings!$F$18:$F$67,AA$11)&gt;0,"BH",IF('_Engine'!CW31+'_Engine'!CX31=0,"·",IF('_Engine'!CW31='_Engine'!CX31,INDEX(Settings!$G$7:$G$11,MOD('_Engine'!CW31,10))&amp;IF('_Engine'!CW31&gt;10,"?",""),IF('_Engine'!CW31=0,INDEX(Settings!$G$7:$G$11,MOD('_Engine'!CX31,10))&amp;IF('_Engine'!CX31&gt;10,"?","")&amp;" PM",IF('_Engine'!CX31=0,INDEX(Settings!$G$7:$G$11,MOD('_Engine'!CW31,10))&amp;IF('_Engine'!CW31&gt;10,"?","")&amp;" AM",INDEX(Settings!$G$7:$G$11,MOD('_Engine'!CW31,10))&amp;IF('_Engine'!CW31&gt;10,"?","")&amp;" AM"&amp;CHAR(10)&amp;INDEX(Settings!$G$7:$G$11,MOD('_Engine'!CX31,10))&amp;IF('_Engine'!CX31&gt;10,"?","")&amp;" PM"))))))))</ns0:f>
        <ns0:v/>
      </ns0:c>
      <ns0:c r="AB31" s="164" t="str">
        <ns0:f>IF(OR($A31="",AB$11=""),"",IF(OR('_Engine'!$B$6&gt;0,INDEX('_Engine'!$AM$11:$AM$60,'_Engine'!$AO31)&lt;&gt;"OK"),"!",IF(INDEX(Team!$H$11:$N$60,'_Engine'!$AO31,WEEKDAY(AB$11,2))&lt;&gt;"Work","—",IF(COUNTIF(Settings!$F$18:$F$67,AB$11)&gt;0,"BH",IF('_Engine'!CY31+'_Engine'!CZ31=0,"·",IF('_Engine'!CY31='_Engine'!CZ31,INDEX(Settings!$G$7:$G$11,MOD('_Engine'!CY31,10))&amp;IF('_Engine'!CY31&gt;10,"?",""),IF('_Engine'!CY31=0,INDEX(Settings!$G$7:$G$11,MOD('_Engine'!CZ31,10))&amp;IF('_Engine'!CZ31&gt;10,"?","")&amp;" PM",IF('_Engine'!CZ31=0,INDEX(Settings!$G$7:$G$11,MOD('_Engine'!CY31,10))&amp;IF('_Engine'!CY31&gt;10,"?","")&amp;" AM",INDEX(Settings!$G$7:$G$11,MOD('_Engine'!CY31,10))&amp;IF('_Engine'!CY31&gt;10,"?","")&amp;" AM"&amp;CHAR(10)&amp;INDEX(Settings!$G$7:$G$11,MOD('_Engine'!CZ31,10))&amp;IF('_Engine'!CZ31&gt;10,"?","")&amp;" PM"))))))))</ns0:f>
        <ns0:v/>
      </ns0:c>
      <ns0:c r="AC31" s="164" t="str">
        <ns0:f>IF(OR($A31="",AC$11=""),"",IF(OR('_Engine'!$B$6&gt;0,INDEX('_Engine'!$AM$11:$AM$60,'_Engine'!$AO31)&lt;&gt;"OK"),"!",IF(INDEX(Team!$H$11:$N$60,'_Engine'!$AO31,WEEKDAY(AC$11,2))&lt;&gt;"Work","—",IF(COUNTIF(Settings!$F$18:$F$67,AC$11)&gt;0,"BH",IF('_Engine'!DA31+'_Engine'!DB31=0,"·",IF('_Engine'!DA31='_Engine'!DB31,INDEX(Settings!$G$7:$G$11,MOD('_Engine'!DA31,10))&amp;IF('_Engine'!DA31&gt;10,"?",""),IF('_Engine'!DA31=0,INDEX(Settings!$G$7:$G$11,MOD('_Engine'!DB31,10))&amp;IF('_Engine'!DB31&gt;10,"?","")&amp;" PM",IF('_Engine'!DB31=0,INDEX(Settings!$G$7:$G$11,MOD('_Engine'!DA31,10))&amp;IF('_Engine'!DA31&gt;10,"?","")&amp;" AM",INDEX(Settings!$G$7:$G$11,MOD('_Engine'!DA31,10))&amp;IF('_Engine'!DA31&gt;10,"?","")&amp;" AM"&amp;CHAR(10)&amp;INDEX(Settings!$G$7:$G$11,MOD('_Engine'!DB31,10))&amp;IF('_Engine'!DB31&gt;10,"?","")&amp;" PM"))))))))</ns0:f>
        <ns0:v/>
      </ns0:c>
      <ns0:c r="AD31" s="164" t="str">
        <ns0:f>IF(OR($A31="",AD$11=""),"",IF(OR('_Engine'!$B$6&gt;0,INDEX('_Engine'!$AM$11:$AM$60,'_Engine'!$AO31)&lt;&gt;"OK"),"!",IF(INDEX(Team!$H$11:$N$60,'_Engine'!$AO31,WEEKDAY(AD$11,2))&lt;&gt;"Work","—",IF(COUNTIF(Settings!$F$18:$F$67,AD$11)&gt;0,"BH",IF('_Engine'!DC31+'_Engine'!DD31=0,"·",IF('_Engine'!DC31='_Engine'!DD31,INDEX(Settings!$G$7:$G$11,MOD('_Engine'!DC31,10))&amp;IF('_Engine'!DC31&gt;10,"?",""),IF('_Engine'!DC31=0,INDEX(Settings!$G$7:$G$11,MOD('_Engine'!DD31,10))&amp;IF('_Engine'!DD31&gt;10,"?","")&amp;" PM",IF('_Engine'!DD31=0,INDEX(Settings!$G$7:$G$11,MOD('_Engine'!DC31,10))&amp;IF('_Engine'!DC31&gt;10,"?","")&amp;" AM",INDEX(Settings!$G$7:$G$11,MOD('_Engine'!DC31,10))&amp;IF('_Engine'!DC31&gt;10,"?","")&amp;" AM"&amp;CHAR(10)&amp;INDEX(Settings!$G$7:$G$11,MOD('_Engine'!DD31,10))&amp;IF('_Engine'!DD31&gt;10,"?","")&amp;" PM"))))))))</ns0:f>
        <ns0:v/>
      </ns0:c>
      <ns0:c r="AE31" s="164" t="str">
        <ns0:f>IF(OR($A31="",AE$11=""),"",IF(OR('_Engine'!$B$6&gt;0,INDEX('_Engine'!$AM$11:$AM$60,'_Engine'!$AO31)&lt;&gt;"OK"),"!",IF(INDEX(Team!$H$11:$N$60,'_Engine'!$AO31,WEEKDAY(AE$11,2))&lt;&gt;"Work","—",IF(COUNTIF(Settings!$F$18:$F$67,AE$11)&gt;0,"BH",IF('_Engine'!DE31+'_Engine'!DF31=0,"·",IF('_Engine'!DE31='_Engine'!DF31,INDEX(Settings!$G$7:$G$11,MOD('_Engine'!DE31,10))&amp;IF('_Engine'!DE31&gt;10,"?",""),IF('_Engine'!DE31=0,INDEX(Settings!$G$7:$G$11,MOD('_Engine'!DF31,10))&amp;IF('_Engine'!DF31&gt;10,"?","")&amp;" PM",IF('_Engine'!DF31=0,INDEX(Settings!$G$7:$G$11,MOD('_Engine'!DE31,10))&amp;IF('_Engine'!DE31&gt;10,"?","")&amp;" AM",INDEX(Settings!$G$7:$G$11,MOD('_Engine'!DE31,10))&amp;IF('_Engine'!DE31&gt;10,"?","")&amp;" AM"&amp;CHAR(10)&amp;INDEX(Settings!$G$7:$G$11,MOD('_Engine'!DF31,10))&amp;IF('_Engine'!DF31&gt;10,"?","")&amp;" PM"))))))))</ns0:f>
        <ns0:v/>
      </ns0:c>
      <ns0:c r="AF31" s="164" t="str">
        <ns0:f>IF(OR($A31="",AF$11=""),"",IF(OR('_Engine'!$B$6&gt;0,INDEX('_Engine'!$AM$11:$AM$60,'_Engine'!$AO31)&lt;&gt;"OK"),"!",IF(INDEX(Team!$H$11:$N$60,'_Engine'!$AO31,WEEKDAY(AF$11,2))&lt;&gt;"Work","—",IF(COUNTIF(Settings!$F$18:$F$67,AF$11)&gt;0,"BH",IF('_Engine'!DG31+'_Engine'!DH31=0,"·",IF('_Engine'!DG31='_Engine'!DH31,INDEX(Settings!$G$7:$G$11,MOD('_Engine'!DG31,10))&amp;IF('_Engine'!DG31&gt;10,"?",""),IF('_Engine'!DG31=0,INDEX(Settings!$G$7:$G$11,MOD('_Engine'!DH31,10))&amp;IF('_Engine'!DH31&gt;10,"?","")&amp;" PM",IF('_Engine'!DH31=0,INDEX(Settings!$G$7:$G$11,MOD('_Engine'!DG31,10))&amp;IF('_Engine'!DG31&gt;10,"?","")&amp;" AM",INDEX(Settings!$G$7:$G$11,MOD('_Engine'!DG31,10))&amp;IF('_Engine'!DG31&gt;10,"?","")&amp;" AM"&amp;CHAR(10)&amp;INDEX(Settings!$G$7:$G$11,MOD('_Engine'!DH31,10))&amp;IF('_Engine'!DH31&gt;10,"?","")&amp;" PM"))))))))</ns0:f>
        <ns0:v/>
      </ns0:c>
      <ns0:c r="AG31" s="164" t="str">
        <ns0:f>IF(OR($A31="",AG$11=""),"",IF(OR('_Engine'!$B$6&gt;0,INDEX('_Engine'!$AM$11:$AM$60,'_Engine'!$AO31)&lt;&gt;"OK"),"!",IF(INDEX(Team!$H$11:$N$60,'_Engine'!$AO31,WEEKDAY(AG$11,2))&lt;&gt;"Work","—",IF(COUNTIF(Settings!$F$18:$F$67,AG$11)&gt;0,"BH",IF('_Engine'!DI31+'_Engine'!DJ31=0,"·",IF('_Engine'!DI31='_Engine'!DJ31,INDEX(Settings!$G$7:$G$11,MOD('_Engine'!DI31,10))&amp;IF('_Engine'!DI31&gt;10,"?",""),IF('_Engine'!DI31=0,INDEX(Settings!$G$7:$G$11,MOD('_Engine'!DJ31,10))&amp;IF('_Engine'!DJ31&gt;10,"?","")&amp;" PM",IF('_Engine'!DJ31=0,INDEX(Settings!$G$7:$G$11,MOD('_Engine'!DI31,10))&amp;IF('_Engine'!DI31&gt;10,"?","")&amp;" AM",INDEX(Settings!$G$7:$G$11,MOD('_Engine'!DI31,10))&amp;IF('_Engine'!DI31&gt;10,"?","")&amp;" AM"&amp;CHAR(10)&amp;INDEX(Settings!$G$7:$G$11,MOD('_Engine'!DJ31,10))&amp;IF('_Engine'!DJ31&gt;10,"?","")&amp;" PM"))))))))</ns0:f>
        <ns0:v/>
      </ns0:c>
      <ns0:c r="AH31" s="164" t="str">
        <ns0:f>IF(OR($A31="",AH$11=""),"",IF(OR('_Engine'!$B$6&gt;0,INDEX('_Engine'!$AM$11:$AM$60,'_Engine'!$AO31)&lt;&gt;"OK"),"!",IF(INDEX(Team!$H$11:$N$60,'_Engine'!$AO31,WEEKDAY(AH$11,2))&lt;&gt;"Work","—",IF(COUNTIF(Settings!$F$18:$F$67,AH$11)&gt;0,"BH",IF('_Engine'!DK31+'_Engine'!DL31=0,"·",IF('_Engine'!DK31='_Engine'!DL31,INDEX(Settings!$G$7:$G$11,MOD('_Engine'!DK31,10))&amp;IF('_Engine'!DK31&gt;10,"?",""),IF('_Engine'!DK31=0,INDEX(Settings!$G$7:$G$11,MOD('_Engine'!DL31,10))&amp;IF('_Engine'!DL31&gt;10,"?","")&amp;" PM",IF('_Engine'!DL31=0,INDEX(Settings!$G$7:$G$11,MOD('_Engine'!DK31,10))&amp;IF('_Engine'!DK31&gt;10,"?","")&amp;" AM",INDEX(Settings!$G$7:$G$11,MOD('_Engine'!DK31,10))&amp;IF('_Engine'!DK31&gt;10,"?","")&amp;" AM"&amp;CHAR(10)&amp;INDEX(Settings!$G$7:$G$11,MOD('_Engine'!DL31,10))&amp;IF('_Engine'!DL31&gt;10,"?","")&amp;" PM"))))))))</ns0:f>
        <ns0:v/>
      </ns0:c>
    </ns0:row>
    <ns0:row r="32" ht="38" customHeight="1">
      <ns0:c r="A32" s="4" t="str">
        <ns0:f>IF('_Engine'!AO32=0,"",IF(INDEX(Team!$B$11:$B$60,'_Engine'!AO32)="","[Unnamed]",INDEX(Team!$B$11:$B$60,'_Engine'!AO32)))</ns0:f>
        <ns0:v/>
      </ns0:c>
      <ns0:c r="B32" s="156" t="str">
        <ns0:f>IF('_Engine'!AO32=0,"",INDEX('_Engine'!$AN$11:$AN$60,'_Engine'!AO32))</ns0:f>
        <ns0:v/>
      </ns0:c>
      <ns0:c r="C32" s="4" t="str">
        <ns0:f>IF('_Engine'!AO32=0,"",INDEX(Team!$C$11:$C$60,'_Engine'!AO32))</ns0:f>
        <ns0:v/>
      </ns0:c>
      <ns0:c r="D32" s="162" t="str">
        <ns0:f>IF(OR($A32="",D$11=""),"",IF(OR('_Engine'!$B$6&gt;0,INDEX('_Engine'!$AM$11:$AM$60,'_Engine'!$AO32)&lt;&gt;"OK"),"!",IF(INDEX(Team!$H$11:$N$60,'_Engine'!$AO32,WEEKDAY(D$11,2))&lt;&gt;"Work","—",IF(COUNTIF(Settings!$F$18:$F$67,D$11)&gt;0,"BH",IF('_Engine'!BC32+'_Engine'!BD32=0,"·",IF('_Engine'!BC32='_Engine'!BD32,INDEX(Settings!$G$7:$G$11,MOD('_Engine'!BC32,10))&amp;IF('_Engine'!BC32&gt;10,"?",""),IF('_Engine'!BC32=0,INDEX(Settings!$G$7:$G$11,MOD('_Engine'!BD32,10))&amp;IF('_Engine'!BD32&gt;10,"?","")&amp;" PM",IF('_Engine'!BD32=0,INDEX(Settings!$G$7:$G$11,MOD('_Engine'!BC32,10))&amp;IF('_Engine'!BC32&gt;10,"?","")&amp;" AM",INDEX(Settings!$G$7:$G$11,MOD('_Engine'!BC32,10))&amp;IF('_Engine'!BC32&gt;10,"?","")&amp;" AM"&amp;CHAR(10)&amp;INDEX(Settings!$G$7:$G$11,MOD('_Engine'!BD32,10))&amp;IF('_Engine'!BD32&gt;10,"?","")&amp;" PM"))))))))</ns0:f>
        <ns0:v/>
      </ns0:c>
      <ns0:c r="E32" s="162" t="str">
        <ns0:f>IF(OR($A32="",E$11=""),"",IF(OR('_Engine'!$B$6&gt;0,INDEX('_Engine'!$AM$11:$AM$60,'_Engine'!$AO32)&lt;&gt;"OK"),"!",IF(INDEX(Team!$H$11:$N$60,'_Engine'!$AO32,WEEKDAY(E$11,2))&lt;&gt;"Work","—",IF(COUNTIF(Settings!$F$18:$F$67,E$11)&gt;0,"BH",IF('_Engine'!BE32+'_Engine'!BF32=0,"·",IF('_Engine'!BE32='_Engine'!BF32,INDEX(Settings!$G$7:$G$11,MOD('_Engine'!BE32,10))&amp;IF('_Engine'!BE32&gt;10,"?",""),IF('_Engine'!BE32=0,INDEX(Settings!$G$7:$G$11,MOD('_Engine'!BF32,10))&amp;IF('_Engine'!BF32&gt;10,"?","")&amp;" PM",IF('_Engine'!BF32=0,INDEX(Settings!$G$7:$G$11,MOD('_Engine'!BE32,10))&amp;IF('_Engine'!BE32&gt;10,"?","")&amp;" AM",INDEX(Settings!$G$7:$G$11,MOD('_Engine'!BE32,10))&amp;IF('_Engine'!BE32&gt;10,"?","")&amp;" AM"&amp;CHAR(10)&amp;INDEX(Settings!$G$7:$G$11,MOD('_Engine'!BF32,10))&amp;IF('_Engine'!BF32&gt;10,"?","")&amp;" PM"))))))))</ns0:f>
        <ns0:v/>
      </ns0:c>
      <ns0:c r="F32" s="162" t="str">
        <ns0:f>IF(OR($A32="",F$11=""),"",IF(OR('_Engine'!$B$6&gt;0,INDEX('_Engine'!$AM$11:$AM$60,'_Engine'!$AO32)&lt;&gt;"OK"),"!",IF(INDEX(Team!$H$11:$N$60,'_Engine'!$AO32,WEEKDAY(F$11,2))&lt;&gt;"Work","—",IF(COUNTIF(Settings!$F$18:$F$67,F$11)&gt;0,"BH",IF('_Engine'!BG32+'_Engine'!BH32=0,"·",IF('_Engine'!BG32='_Engine'!BH32,INDEX(Settings!$G$7:$G$11,MOD('_Engine'!BG32,10))&amp;IF('_Engine'!BG32&gt;10,"?",""),IF('_Engine'!BG32=0,INDEX(Settings!$G$7:$G$11,MOD('_Engine'!BH32,10))&amp;IF('_Engine'!BH32&gt;10,"?","")&amp;" PM",IF('_Engine'!BH32=0,INDEX(Settings!$G$7:$G$11,MOD('_Engine'!BG32,10))&amp;IF('_Engine'!BG32&gt;10,"?","")&amp;" AM",INDEX(Settings!$G$7:$G$11,MOD('_Engine'!BG32,10))&amp;IF('_Engine'!BG32&gt;10,"?","")&amp;" AM"&amp;CHAR(10)&amp;INDEX(Settings!$G$7:$G$11,MOD('_Engine'!BH32,10))&amp;IF('_Engine'!BH32&gt;10,"?","")&amp;" PM"))))))))</ns0:f>
        <ns0:v/>
      </ns0:c>
      <ns0:c r="G32" s="162" t="str">
        <ns0:f>IF(OR($A32="",G$11=""),"",IF(OR('_Engine'!$B$6&gt;0,INDEX('_Engine'!$AM$11:$AM$60,'_Engine'!$AO32)&lt;&gt;"OK"),"!",IF(INDEX(Team!$H$11:$N$60,'_Engine'!$AO32,WEEKDAY(G$11,2))&lt;&gt;"Work","—",IF(COUNTIF(Settings!$F$18:$F$67,G$11)&gt;0,"BH",IF('_Engine'!BI32+'_Engine'!BJ32=0,"·",IF('_Engine'!BI32='_Engine'!BJ32,INDEX(Settings!$G$7:$G$11,MOD('_Engine'!BI32,10))&amp;IF('_Engine'!BI32&gt;10,"?",""),IF('_Engine'!BI32=0,INDEX(Settings!$G$7:$G$11,MOD('_Engine'!BJ32,10))&amp;IF('_Engine'!BJ32&gt;10,"?","")&amp;" PM",IF('_Engine'!BJ32=0,INDEX(Settings!$G$7:$G$11,MOD('_Engine'!BI32,10))&amp;IF('_Engine'!BI32&gt;10,"?","")&amp;" AM",INDEX(Settings!$G$7:$G$11,MOD('_Engine'!BI32,10))&amp;IF('_Engine'!BI32&gt;10,"?","")&amp;" AM"&amp;CHAR(10)&amp;INDEX(Settings!$G$7:$G$11,MOD('_Engine'!BJ32,10))&amp;IF('_Engine'!BJ32&gt;10,"?","")&amp;" PM"))))))))</ns0:f>
        <ns0:v/>
      </ns0:c>
      <ns0:c r="H32" s="162" t="str">
        <ns0:f>IF(OR($A32="",H$11=""),"",IF(OR('_Engine'!$B$6&gt;0,INDEX('_Engine'!$AM$11:$AM$60,'_Engine'!$AO32)&lt;&gt;"OK"),"!",IF(INDEX(Team!$H$11:$N$60,'_Engine'!$AO32,WEEKDAY(H$11,2))&lt;&gt;"Work","—",IF(COUNTIF(Settings!$F$18:$F$67,H$11)&gt;0,"BH",IF('_Engine'!BK32+'_Engine'!BL32=0,"·",IF('_Engine'!BK32='_Engine'!BL32,INDEX(Settings!$G$7:$G$11,MOD('_Engine'!BK32,10))&amp;IF('_Engine'!BK32&gt;10,"?",""),IF('_Engine'!BK32=0,INDEX(Settings!$G$7:$G$11,MOD('_Engine'!BL32,10))&amp;IF('_Engine'!BL32&gt;10,"?","")&amp;" PM",IF('_Engine'!BL32=0,INDEX(Settings!$G$7:$G$11,MOD('_Engine'!BK32,10))&amp;IF('_Engine'!BK32&gt;10,"?","")&amp;" AM",INDEX(Settings!$G$7:$G$11,MOD('_Engine'!BK32,10))&amp;IF('_Engine'!BK32&gt;10,"?","")&amp;" AM"&amp;CHAR(10)&amp;INDEX(Settings!$G$7:$G$11,MOD('_Engine'!BL32,10))&amp;IF('_Engine'!BL32&gt;10,"?","")&amp;" PM"))))))))</ns0:f>
        <ns0:v/>
      </ns0:c>
      <ns0:c r="I32" s="162" t="str">
        <ns0:f>IF(OR($A32="",I$11=""),"",IF(OR('_Engine'!$B$6&gt;0,INDEX('_Engine'!$AM$11:$AM$60,'_Engine'!$AO32)&lt;&gt;"OK"),"!",IF(INDEX(Team!$H$11:$N$60,'_Engine'!$AO32,WEEKDAY(I$11,2))&lt;&gt;"Work","—",IF(COUNTIF(Settings!$F$18:$F$67,I$11)&gt;0,"BH",IF('_Engine'!BM32+'_Engine'!BN32=0,"·",IF('_Engine'!BM32='_Engine'!BN32,INDEX(Settings!$G$7:$G$11,MOD('_Engine'!BM32,10))&amp;IF('_Engine'!BM32&gt;10,"?",""),IF('_Engine'!BM32=0,INDEX(Settings!$G$7:$G$11,MOD('_Engine'!BN32,10))&amp;IF('_Engine'!BN32&gt;10,"?","")&amp;" PM",IF('_Engine'!BN32=0,INDEX(Settings!$G$7:$G$11,MOD('_Engine'!BM32,10))&amp;IF('_Engine'!BM32&gt;10,"?","")&amp;" AM",INDEX(Settings!$G$7:$G$11,MOD('_Engine'!BM32,10))&amp;IF('_Engine'!BM32&gt;10,"?","")&amp;" AM"&amp;CHAR(10)&amp;INDEX(Settings!$G$7:$G$11,MOD('_Engine'!BN32,10))&amp;IF('_Engine'!BN32&gt;10,"?","")&amp;" PM"))))))))</ns0:f>
        <ns0:v/>
      </ns0:c>
      <ns0:c r="J32" s="162" t="str">
        <ns0:f>IF(OR($A32="",J$11=""),"",IF(OR('_Engine'!$B$6&gt;0,INDEX('_Engine'!$AM$11:$AM$60,'_Engine'!$AO32)&lt;&gt;"OK"),"!",IF(INDEX(Team!$H$11:$N$60,'_Engine'!$AO32,WEEKDAY(J$11,2))&lt;&gt;"Work","—",IF(COUNTIF(Settings!$F$18:$F$67,J$11)&gt;0,"BH",IF('_Engine'!BO32+'_Engine'!BP32=0,"·",IF('_Engine'!BO32='_Engine'!BP32,INDEX(Settings!$G$7:$G$11,MOD('_Engine'!BO32,10))&amp;IF('_Engine'!BO32&gt;10,"?",""),IF('_Engine'!BO32=0,INDEX(Settings!$G$7:$G$11,MOD('_Engine'!BP32,10))&amp;IF('_Engine'!BP32&gt;10,"?","")&amp;" PM",IF('_Engine'!BP32=0,INDEX(Settings!$G$7:$G$11,MOD('_Engine'!BO32,10))&amp;IF('_Engine'!BO32&gt;10,"?","")&amp;" AM",INDEX(Settings!$G$7:$G$11,MOD('_Engine'!BO32,10))&amp;IF('_Engine'!BO32&gt;10,"?","")&amp;" AM"&amp;CHAR(10)&amp;INDEX(Settings!$G$7:$G$11,MOD('_Engine'!BP32,10))&amp;IF('_Engine'!BP32&gt;10,"?","")&amp;" PM"))))))))</ns0:f>
        <ns0:v/>
      </ns0:c>
      <ns0:c r="K32" s="164" t="str">
        <ns0:f>IF(OR($A32="",K$11=""),"",IF(OR('_Engine'!$B$6&gt;0,INDEX('_Engine'!$AM$11:$AM$60,'_Engine'!$AO32)&lt;&gt;"OK"),"!",IF(INDEX(Team!$H$11:$N$60,'_Engine'!$AO32,WEEKDAY(K$11,2))&lt;&gt;"Work","—",IF(COUNTIF(Settings!$F$18:$F$67,K$11)&gt;0,"BH",IF('_Engine'!BQ32+'_Engine'!BR32=0,"·",IF('_Engine'!BQ32='_Engine'!BR32,INDEX(Settings!$G$7:$G$11,MOD('_Engine'!BQ32,10))&amp;IF('_Engine'!BQ32&gt;10,"?",""),IF('_Engine'!BQ32=0,INDEX(Settings!$G$7:$G$11,MOD('_Engine'!BR32,10))&amp;IF('_Engine'!BR32&gt;10,"?","")&amp;" PM",IF('_Engine'!BR32=0,INDEX(Settings!$G$7:$G$11,MOD('_Engine'!BQ32,10))&amp;IF('_Engine'!BQ32&gt;10,"?","")&amp;" AM",INDEX(Settings!$G$7:$G$11,MOD('_Engine'!BQ32,10))&amp;IF('_Engine'!BQ32&gt;10,"?","")&amp;" AM"&amp;CHAR(10)&amp;INDEX(Settings!$G$7:$G$11,MOD('_Engine'!BR32,10))&amp;IF('_Engine'!BR32&gt;10,"?","")&amp;" PM"))))))))</ns0:f>
        <ns0:v/>
      </ns0:c>
      <ns0:c r="L32" s="164" t="str">
        <ns0:f>IF(OR($A32="",L$11=""),"",IF(OR('_Engine'!$B$6&gt;0,INDEX('_Engine'!$AM$11:$AM$60,'_Engine'!$AO32)&lt;&gt;"OK"),"!",IF(INDEX(Team!$H$11:$N$60,'_Engine'!$AO32,WEEKDAY(L$11,2))&lt;&gt;"Work","—",IF(COUNTIF(Settings!$F$18:$F$67,L$11)&gt;0,"BH",IF('_Engine'!BS32+'_Engine'!BT32=0,"·",IF('_Engine'!BS32='_Engine'!BT32,INDEX(Settings!$G$7:$G$11,MOD('_Engine'!BS32,10))&amp;IF('_Engine'!BS32&gt;10,"?",""),IF('_Engine'!BS32=0,INDEX(Settings!$G$7:$G$11,MOD('_Engine'!BT32,10))&amp;IF('_Engine'!BT32&gt;10,"?","")&amp;" PM",IF('_Engine'!BT32=0,INDEX(Settings!$G$7:$G$11,MOD('_Engine'!BS32,10))&amp;IF('_Engine'!BS32&gt;10,"?","")&amp;" AM",INDEX(Settings!$G$7:$G$11,MOD('_Engine'!BS32,10))&amp;IF('_Engine'!BS32&gt;10,"?","")&amp;" AM"&amp;CHAR(10)&amp;INDEX(Settings!$G$7:$G$11,MOD('_Engine'!BT32,10))&amp;IF('_Engine'!BT32&gt;10,"?","")&amp;" PM"))))))))</ns0:f>
        <ns0:v/>
      </ns0:c>
      <ns0:c r="M32" s="164" t="str">
        <ns0:f>IF(OR($A32="",M$11=""),"",IF(OR('_Engine'!$B$6&gt;0,INDEX('_Engine'!$AM$11:$AM$60,'_Engine'!$AO32)&lt;&gt;"OK"),"!",IF(INDEX(Team!$H$11:$N$60,'_Engine'!$AO32,WEEKDAY(M$11,2))&lt;&gt;"Work","—",IF(COUNTIF(Settings!$F$18:$F$67,M$11)&gt;0,"BH",IF('_Engine'!BU32+'_Engine'!BV32=0,"·",IF('_Engine'!BU32='_Engine'!BV32,INDEX(Settings!$G$7:$G$11,MOD('_Engine'!BU32,10))&amp;IF('_Engine'!BU32&gt;10,"?",""),IF('_Engine'!BU32=0,INDEX(Settings!$G$7:$G$11,MOD('_Engine'!BV32,10))&amp;IF('_Engine'!BV32&gt;10,"?","")&amp;" PM",IF('_Engine'!BV32=0,INDEX(Settings!$G$7:$G$11,MOD('_Engine'!BU32,10))&amp;IF('_Engine'!BU32&gt;10,"?","")&amp;" AM",INDEX(Settings!$G$7:$G$11,MOD('_Engine'!BU32,10))&amp;IF('_Engine'!BU32&gt;10,"?","")&amp;" AM"&amp;CHAR(10)&amp;INDEX(Settings!$G$7:$G$11,MOD('_Engine'!BV32,10))&amp;IF('_Engine'!BV32&gt;10,"?","")&amp;" PM"))))))))</ns0:f>
        <ns0:v/>
      </ns0:c>
      <ns0:c r="N32" s="164" t="str">
        <ns0:f>IF(OR($A32="",N$11=""),"",IF(OR('_Engine'!$B$6&gt;0,INDEX('_Engine'!$AM$11:$AM$60,'_Engine'!$AO32)&lt;&gt;"OK"),"!",IF(INDEX(Team!$H$11:$N$60,'_Engine'!$AO32,WEEKDAY(N$11,2))&lt;&gt;"Work","—",IF(COUNTIF(Settings!$F$18:$F$67,N$11)&gt;0,"BH",IF('_Engine'!BW32+'_Engine'!BX32=0,"·",IF('_Engine'!BW32='_Engine'!BX32,INDEX(Settings!$G$7:$G$11,MOD('_Engine'!BW32,10))&amp;IF('_Engine'!BW32&gt;10,"?",""),IF('_Engine'!BW32=0,INDEX(Settings!$G$7:$G$11,MOD('_Engine'!BX32,10))&amp;IF('_Engine'!BX32&gt;10,"?","")&amp;" PM",IF('_Engine'!BX32=0,INDEX(Settings!$G$7:$G$11,MOD('_Engine'!BW32,10))&amp;IF('_Engine'!BW32&gt;10,"?","")&amp;" AM",INDEX(Settings!$G$7:$G$11,MOD('_Engine'!BW32,10))&amp;IF('_Engine'!BW32&gt;10,"?","")&amp;" AM"&amp;CHAR(10)&amp;INDEX(Settings!$G$7:$G$11,MOD('_Engine'!BX32,10))&amp;IF('_Engine'!BX32&gt;10,"?","")&amp;" PM"))))))))</ns0:f>
        <ns0:v/>
      </ns0:c>
      <ns0:c r="O32" s="164" t="str">
        <ns0:f>IF(OR($A32="",O$11=""),"",IF(OR('_Engine'!$B$6&gt;0,INDEX('_Engine'!$AM$11:$AM$60,'_Engine'!$AO32)&lt;&gt;"OK"),"!",IF(INDEX(Team!$H$11:$N$60,'_Engine'!$AO32,WEEKDAY(O$11,2))&lt;&gt;"Work","—",IF(COUNTIF(Settings!$F$18:$F$67,O$11)&gt;0,"BH",IF('_Engine'!BY32+'_Engine'!BZ32=0,"·",IF('_Engine'!BY32='_Engine'!BZ32,INDEX(Settings!$G$7:$G$11,MOD('_Engine'!BY32,10))&amp;IF('_Engine'!BY32&gt;10,"?",""),IF('_Engine'!BY32=0,INDEX(Settings!$G$7:$G$11,MOD('_Engine'!BZ32,10))&amp;IF('_Engine'!BZ32&gt;10,"?","")&amp;" PM",IF('_Engine'!BZ32=0,INDEX(Settings!$G$7:$G$11,MOD('_Engine'!BY32,10))&amp;IF('_Engine'!BY32&gt;10,"?","")&amp;" AM",INDEX(Settings!$G$7:$G$11,MOD('_Engine'!BY32,10))&amp;IF('_Engine'!BY32&gt;10,"?","")&amp;" AM"&amp;CHAR(10)&amp;INDEX(Settings!$G$7:$G$11,MOD('_Engine'!BZ32,10))&amp;IF('_Engine'!BZ32&gt;10,"?","")&amp;" PM"))))))))</ns0:f>
        <ns0:v/>
      </ns0:c>
      <ns0:c r="P32" s="164" t="str">
        <ns0:f>IF(OR($A32="",P$11=""),"",IF(OR('_Engine'!$B$6&gt;0,INDEX('_Engine'!$AM$11:$AM$60,'_Engine'!$AO32)&lt;&gt;"OK"),"!",IF(INDEX(Team!$H$11:$N$60,'_Engine'!$AO32,WEEKDAY(P$11,2))&lt;&gt;"Work","—",IF(COUNTIF(Settings!$F$18:$F$67,P$11)&gt;0,"BH",IF('_Engine'!CA32+'_Engine'!CB32=0,"·",IF('_Engine'!CA32='_Engine'!CB32,INDEX(Settings!$G$7:$G$11,MOD('_Engine'!CA32,10))&amp;IF('_Engine'!CA32&gt;10,"?",""),IF('_Engine'!CA32=0,INDEX(Settings!$G$7:$G$11,MOD('_Engine'!CB32,10))&amp;IF('_Engine'!CB32&gt;10,"?","")&amp;" PM",IF('_Engine'!CB32=0,INDEX(Settings!$G$7:$G$11,MOD('_Engine'!CA32,10))&amp;IF('_Engine'!CA32&gt;10,"?","")&amp;" AM",INDEX(Settings!$G$7:$G$11,MOD('_Engine'!CA32,10))&amp;IF('_Engine'!CA32&gt;10,"?","")&amp;" AM"&amp;CHAR(10)&amp;INDEX(Settings!$G$7:$G$11,MOD('_Engine'!CB32,10))&amp;IF('_Engine'!CB32&gt;10,"?","")&amp;" PM"))))))))</ns0:f>
        <ns0:v/>
      </ns0:c>
      <ns0:c r="Q32" s="164" t="str">
        <ns0:f>IF(OR($A32="",Q$11=""),"",IF(OR('_Engine'!$B$6&gt;0,INDEX('_Engine'!$AM$11:$AM$60,'_Engine'!$AO32)&lt;&gt;"OK"),"!",IF(INDEX(Team!$H$11:$N$60,'_Engine'!$AO32,WEEKDAY(Q$11,2))&lt;&gt;"Work","—",IF(COUNTIF(Settings!$F$18:$F$67,Q$11)&gt;0,"BH",IF('_Engine'!CC32+'_Engine'!CD32=0,"·",IF('_Engine'!CC32='_Engine'!CD32,INDEX(Settings!$G$7:$G$11,MOD('_Engine'!CC32,10))&amp;IF('_Engine'!CC32&gt;10,"?",""),IF('_Engine'!CC32=0,INDEX(Settings!$G$7:$G$11,MOD('_Engine'!CD32,10))&amp;IF('_Engine'!CD32&gt;10,"?","")&amp;" PM",IF('_Engine'!CD32=0,INDEX(Settings!$G$7:$G$11,MOD('_Engine'!CC32,10))&amp;IF('_Engine'!CC32&gt;10,"?","")&amp;" AM",INDEX(Settings!$G$7:$G$11,MOD('_Engine'!CC32,10))&amp;IF('_Engine'!CC32&gt;10,"?","")&amp;" AM"&amp;CHAR(10)&amp;INDEX(Settings!$G$7:$G$11,MOD('_Engine'!CD32,10))&amp;IF('_Engine'!CD32&gt;10,"?","")&amp;" PM"))))))))</ns0:f>
        <ns0:v/>
      </ns0:c>
      <ns0:c r="R32" s="164" t="str">
        <ns0:f>IF(OR($A32="",R$11=""),"",IF(OR('_Engine'!$B$6&gt;0,INDEX('_Engine'!$AM$11:$AM$60,'_Engine'!$AO32)&lt;&gt;"OK"),"!",IF(INDEX(Team!$H$11:$N$60,'_Engine'!$AO32,WEEKDAY(R$11,2))&lt;&gt;"Work","—",IF(COUNTIF(Settings!$F$18:$F$67,R$11)&gt;0,"BH",IF('_Engine'!CE32+'_Engine'!CF32=0,"·",IF('_Engine'!CE32='_Engine'!CF32,INDEX(Settings!$G$7:$G$11,MOD('_Engine'!CE32,10))&amp;IF('_Engine'!CE32&gt;10,"?",""),IF('_Engine'!CE32=0,INDEX(Settings!$G$7:$G$11,MOD('_Engine'!CF32,10))&amp;IF('_Engine'!CF32&gt;10,"?","")&amp;" PM",IF('_Engine'!CF32=0,INDEX(Settings!$G$7:$G$11,MOD('_Engine'!CE32,10))&amp;IF('_Engine'!CE32&gt;10,"?","")&amp;" AM",INDEX(Settings!$G$7:$G$11,MOD('_Engine'!CE32,10))&amp;IF('_Engine'!CE32&gt;10,"?","")&amp;" AM"&amp;CHAR(10)&amp;INDEX(Settings!$G$7:$G$11,MOD('_Engine'!CF32,10))&amp;IF('_Engine'!CF32&gt;10,"?","")&amp;" PM"))))))))</ns0:f>
        <ns0:v/>
      </ns0:c>
      <ns0:c r="S32" s="164" t="str">
        <ns0:f>IF(OR($A32="",S$11=""),"",IF(OR('_Engine'!$B$6&gt;0,INDEX('_Engine'!$AM$11:$AM$60,'_Engine'!$AO32)&lt;&gt;"OK"),"!",IF(INDEX(Team!$H$11:$N$60,'_Engine'!$AO32,WEEKDAY(S$11,2))&lt;&gt;"Work","—",IF(COUNTIF(Settings!$F$18:$F$67,S$11)&gt;0,"BH",IF('_Engine'!CG32+'_Engine'!CH32=0,"·",IF('_Engine'!CG32='_Engine'!CH32,INDEX(Settings!$G$7:$G$11,MOD('_Engine'!CG32,10))&amp;IF('_Engine'!CG32&gt;10,"?",""),IF('_Engine'!CG32=0,INDEX(Settings!$G$7:$G$11,MOD('_Engine'!CH32,10))&amp;IF('_Engine'!CH32&gt;10,"?","")&amp;" PM",IF('_Engine'!CH32=0,INDEX(Settings!$G$7:$G$11,MOD('_Engine'!CG32,10))&amp;IF('_Engine'!CG32&gt;10,"?","")&amp;" AM",INDEX(Settings!$G$7:$G$11,MOD('_Engine'!CG32,10))&amp;IF('_Engine'!CG32&gt;10,"?","")&amp;" AM"&amp;CHAR(10)&amp;INDEX(Settings!$G$7:$G$11,MOD('_Engine'!CH32,10))&amp;IF('_Engine'!CH32&gt;10,"?","")&amp;" PM"))))))))</ns0:f>
        <ns0:v/>
      </ns0:c>
      <ns0:c r="T32" s="164" t="str">
        <ns0:f>IF(OR($A32="",T$11=""),"",IF(OR('_Engine'!$B$6&gt;0,INDEX('_Engine'!$AM$11:$AM$60,'_Engine'!$AO32)&lt;&gt;"OK"),"!",IF(INDEX(Team!$H$11:$N$60,'_Engine'!$AO32,WEEKDAY(T$11,2))&lt;&gt;"Work","—",IF(COUNTIF(Settings!$F$18:$F$67,T$11)&gt;0,"BH",IF('_Engine'!CI32+'_Engine'!CJ32=0,"·",IF('_Engine'!CI32='_Engine'!CJ32,INDEX(Settings!$G$7:$G$11,MOD('_Engine'!CI32,10))&amp;IF('_Engine'!CI32&gt;10,"?",""),IF('_Engine'!CI32=0,INDEX(Settings!$G$7:$G$11,MOD('_Engine'!CJ32,10))&amp;IF('_Engine'!CJ32&gt;10,"?","")&amp;" PM",IF('_Engine'!CJ32=0,INDEX(Settings!$G$7:$G$11,MOD('_Engine'!CI32,10))&amp;IF('_Engine'!CI32&gt;10,"?","")&amp;" AM",INDEX(Settings!$G$7:$G$11,MOD('_Engine'!CI32,10))&amp;IF('_Engine'!CI32&gt;10,"?","")&amp;" AM"&amp;CHAR(10)&amp;INDEX(Settings!$G$7:$G$11,MOD('_Engine'!CJ32,10))&amp;IF('_Engine'!CJ32&gt;10,"?","")&amp;" PM"))))))))</ns0:f>
        <ns0:v/>
      </ns0:c>
      <ns0:c r="U32" s="164" t="str">
        <ns0:f>IF(OR($A32="",U$11=""),"",IF(OR('_Engine'!$B$6&gt;0,INDEX('_Engine'!$AM$11:$AM$60,'_Engine'!$AO32)&lt;&gt;"OK"),"!",IF(INDEX(Team!$H$11:$N$60,'_Engine'!$AO32,WEEKDAY(U$11,2))&lt;&gt;"Work","—",IF(COUNTIF(Settings!$F$18:$F$67,U$11)&gt;0,"BH",IF('_Engine'!CK32+'_Engine'!CL32=0,"·",IF('_Engine'!CK32='_Engine'!CL32,INDEX(Settings!$G$7:$G$11,MOD('_Engine'!CK32,10))&amp;IF('_Engine'!CK32&gt;10,"?",""),IF('_Engine'!CK32=0,INDEX(Settings!$G$7:$G$11,MOD('_Engine'!CL32,10))&amp;IF('_Engine'!CL32&gt;10,"?","")&amp;" PM",IF('_Engine'!CL32=0,INDEX(Settings!$G$7:$G$11,MOD('_Engine'!CK32,10))&amp;IF('_Engine'!CK32&gt;10,"?","")&amp;" AM",INDEX(Settings!$G$7:$G$11,MOD('_Engine'!CK32,10))&amp;IF('_Engine'!CK32&gt;10,"?","")&amp;" AM"&amp;CHAR(10)&amp;INDEX(Settings!$G$7:$G$11,MOD('_Engine'!CL32,10))&amp;IF('_Engine'!CL32&gt;10,"?","")&amp;" PM"))))))))</ns0:f>
        <ns0:v/>
      </ns0:c>
      <ns0:c r="V32" s="164" t="str">
        <ns0:f>IF(OR($A32="",V$11=""),"",IF(OR('_Engine'!$B$6&gt;0,INDEX('_Engine'!$AM$11:$AM$60,'_Engine'!$AO32)&lt;&gt;"OK"),"!",IF(INDEX(Team!$H$11:$N$60,'_Engine'!$AO32,WEEKDAY(V$11,2))&lt;&gt;"Work","—",IF(COUNTIF(Settings!$F$18:$F$67,V$11)&gt;0,"BH",IF('_Engine'!CM32+'_Engine'!CN32=0,"·",IF('_Engine'!CM32='_Engine'!CN32,INDEX(Settings!$G$7:$G$11,MOD('_Engine'!CM32,10))&amp;IF('_Engine'!CM32&gt;10,"?",""),IF('_Engine'!CM32=0,INDEX(Settings!$G$7:$G$11,MOD('_Engine'!CN32,10))&amp;IF('_Engine'!CN32&gt;10,"?","")&amp;" PM",IF('_Engine'!CN32=0,INDEX(Settings!$G$7:$G$11,MOD('_Engine'!CM32,10))&amp;IF('_Engine'!CM32&gt;10,"?","")&amp;" AM",INDEX(Settings!$G$7:$G$11,MOD('_Engine'!CM32,10))&amp;IF('_Engine'!CM32&gt;10,"?","")&amp;" AM"&amp;CHAR(10)&amp;INDEX(Settings!$G$7:$G$11,MOD('_Engine'!CN32,10))&amp;IF('_Engine'!CN32&gt;10,"?","")&amp;" PM"))))))))</ns0:f>
        <ns0:v/>
      </ns0:c>
      <ns0:c r="W32" s="164" t="str">
        <ns0:f>IF(OR($A32="",W$11=""),"",IF(OR('_Engine'!$B$6&gt;0,INDEX('_Engine'!$AM$11:$AM$60,'_Engine'!$AO32)&lt;&gt;"OK"),"!",IF(INDEX(Team!$H$11:$N$60,'_Engine'!$AO32,WEEKDAY(W$11,2))&lt;&gt;"Work","—",IF(COUNTIF(Settings!$F$18:$F$67,W$11)&gt;0,"BH",IF('_Engine'!CO32+'_Engine'!CP32=0,"·",IF('_Engine'!CO32='_Engine'!CP32,INDEX(Settings!$G$7:$G$11,MOD('_Engine'!CO32,10))&amp;IF('_Engine'!CO32&gt;10,"?",""),IF('_Engine'!CO32=0,INDEX(Settings!$G$7:$G$11,MOD('_Engine'!CP32,10))&amp;IF('_Engine'!CP32&gt;10,"?","")&amp;" PM",IF('_Engine'!CP32=0,INDEX(Settings!$G$7:$G$11,MOD('_Engine'!CO32,10))&amp;IF('_Engine'!CO32&gt;10,"?","")&amp;" AM",INDEX(Settings!$G$7:$G$11,MOD('_Engine'!CO32,10))&amp;IF('_Engine'!CO32&gt;10,"?","")&amp;" AM"&amp;CHAR(10)&amp;INDEX(Settings!$G$7:$G$11,MOD('_Engine'!CP32,10))&amp;IF('_Engine'!CP32&gt;10,"?","")&amp;" PM"))))))))</ns0:f>
        <ns0:v/>
      </ns0:c>
      <ns0:c r="X32" s="164" t="str">
        <ns0:f>IF(OR($A32="",X$11=""),"",IF(OR('_Engine'!$B$6&gt;0,INDEX('_Engine'!$AM$11:$AM$60,'_Engine'!$AO32)&lt;&gt;"OK"),"!",IF(INDEX(Team!$H$11:$N$60,'_Engine'!$AO32,WEEKDAY(X$11,2))&lt;&gt;"Work","—",IF(COUNTIF(Settings!$F$18:$F$67,X$11)&gt;0,"BH",IF('_Engine'!CQ32+'_Engine'!CR32=0,"·",IF('_Engine'!CQ32='_Engine'!CR32,INDEX(Settings!$G$7:$G$11,MOD('_Engine'!CQ32,10))&amp;IF('_Engine'!CQ32&gt;10,"?",""),IF('_Engine'!CQ32=0,INDEX(Settings!$G$7:$G$11,MOD('_Engine'!CR32,10))&amp;IF('_Engine'!CR32&gt;10,"?","")&amp;" PM",IF('_Engine'!CR32=0,INDEX(Settings!$G$7:$G$11,MOD('_Engine'!CQ32,10))&amp;IF('_Engine'!CQ32&gt;10,"?","")&amp;" AM",INDEX(Settings!$G$7:$G$11,MOD('_Engine'!CQ32,10))&amp;IF('_Engine'!CQ32&gt;10,"?","")&amp;" AM"&amp;CHAR(10)&amp;INDEX(Settings!$G$7:$G$11,MOD('_Engine'!CR32,10))&amp;IF('_Engine'!CR32&gt;10,"?","")&amp;" PM"))))))))</ns0:f>
        <ns0:v/>
      </ns0:c>
      <ns0:c r="Y32" s="164" t="str">
        <ns0:f>IF(OR($A32="",Y$11=""),"",IF(OR('_Engine'!$B$6&gt;0,INDEX('_Engine'!$AM$11:$AM$60,'_Engine'!$AO32)&lt;&gt;"OK"),"!",IF(INDEX(Team!$H$11:$N$60,'_Engine'!$AO32,WEEKDAY(Y$11,2))&lt;&gt;"Work","—",IF(COUNTIF(Settings!$F$18:$F$67,Y$11)&gt;0,"BH",IF('_Engine'!CS32+'_Engine'!CT32=0,"·",IF('_Engine'!CS32='_Engine'!CT32,INDEX(Settings!$G$7:$G$11,MOD('_Engine'!CS32,10))&amp;IF('_Engine'!CS32&gt;10,"?",""),IF('_Engine'!CS32=0,INDEX(Settings!$G$7:$G$11,MOD('_Engine'!CT32,10))&amp;IF('_Engine'!CT32&gt;10,"?","")&amp;" PM",IF('_Engine'!CT32=0,INDEX(Settings!$G$7:$G$11,MOD('_Engine'!CS32,10))&amp;IF('_Engine'!CS32&gt;10,"?","")&amp;" AM",INDEX(Settings!$G$7:$G$11,MOD('_Engine'!CS32,10))&amp;IF('_Engine'!CS32&gt;10,"?","")&amp;" AM"&amp;CHAR(10)&amp;INDEX(Settings!$G$7:$G$11,MOD('_Engine'!CT32,10))&amp;IF('_Engine'!CT32&gt;10,"?","")&amp;" PM"))))))))</ns0:f>
        <ns0:v/>
      </ns0:c>
      <ns0:c r="Z32" s="164" t="str">
        <ns0:f>IF(OR($A32="",Z$11=""),"",IF(OR('_Engine'!$B$6&gt;0,INDEX('_Engine'!$AM$11:$AM$60,'_Engine'!$AO32)&lt;&gt;"OK"),"!",IF(INDEX(Team!$H$11:$N$60,'_Engine'!$AO32,WEEKDAY(Z$11,2))&lt;&gt;"Work","—",IF(COUNTIF(Settings!$F$18:$F$67,Z$11)&gt;0,"BH",IF('_Engine'!CU32+'_Engine'!CV32=0,"·",IF('_Engine'!CU32='_Engine'!CV32,INDEX(Settings!$G$7:$G$11,MOD('_Engine'!CU32,10))&amp;IF('_Engine'!CU32&gt;10,"?",""),IF('_Engine'!CU32=0,INDEX(Settings!$G$7:$G$11,MOD('_Engine'!CV32,10))&amp;IF('_Engine'!CV32&gt;10,"?","")&amp;" PM",IF('_Engine'!CV32=0,INDEX(Settings!$G$7:$G$11,MOD('_Engine'!CU32,10))&amp;IF('_Engine'!CU32&gt;10,"?","")&amp;" AM",INDEX(Settings!$G$7:$G$11,MOD('_Engine'!CU32,10))&amp;IF('_Engine'!CU32&gt;10,"?","")&amp;" AM"&amp;CHAR(10)&amp;INDEX(Settings!$G$7:$G$11,MOD('_Engine'!CV32,10))&amp;IF('_Engine'!CV32&gt;10,"?","")&amp;" PM"))))))))</ns0:f>
        <ns0:v/>
      </ns0:c>
      <ns0:c r="AA32" s="164" t="str">
        <ns0:f>IF(OR($A32="",AA$11=""),"",IF(OR('_Engine'!$B$6&gt;0,INDEX('_Engine'!$AM$11:$AM$60,'_Engine'!$AO32)&lt;&gt;"OK"),"!",IF(INDEX(Team!$H$11:$N$60,'_Engine'!$AO32,WEEKDAY(AA$11,2))&lt;&gt;"Work","—",IF(COUNTIF(Settings!$F$18:$F$67,AA$11)&gt;0,"BH",IF('_Engine'!CW32+'_Engine'!CX32=0,"·",IF('_Engine'!CW32='_Engine'!CX32,INDEX(Settings!$G$7:$G$11,MOD('_Engine'!CW32,10))&amp;IF('_Engine'!CW32&gt;10,"?",""),IF('_Engine'!CW32=0,INDEX(Settings!$G$7:$G$11,MOD('_Engine'!CX32,10))&amp;IF('_Engine'!CX32&gt;10,"?","")&amp;" PM",IF('_Engine'!CX32=0,INDEX(Settings!$G$7:$G$11,MOD('_Engine'!CW32,10))&amp;IF('_Engine'!CW32&gt;10,"?","")&amp;" AM",INDEX(Settings!$G$7:$G$11,MOD('_Engine'!CW32,10))&amp;IF('_Engine'!CW32&gt;10,"?","")&amp;" AM"&amp;CHAR(10)&amp;INDEX(Settings!$G$7:$G$11,MOD('_Engine'!CX32,10))&amp;IF('_Engine'!CX32&gt;10,"?","")&amp;" PM"))))))))</ns0:f>
        <ns0:v/>
      </ns0:c>
      <ns0:c r="AB32" s="164" t="str">
        <ns0:f>IF(OR($A32="",AB$11=""),"",IF(OR('_Engine'!$B$6&gt;0,INDEX('_Engine'!$AM$11:$AM$60,'_Engine'!$AO32)&lt;&gt;"OK"),"!",IF(INDEX(Team!$H$11:$N$60,'_Engine'!$AO32,WEEKDAY(AB$11,2))&lt;&gt;"Work","—",IF(COUNTIF(Settings!$F$18:$F$67,AB$11)&gt;0,"BH",IF('_Engine'!CY32+'_Engine'!CZ32=0,"·",IF('_Engine'!CY32='_Engine'!CZ32,INDEX(Settings!$G$7:$G$11,MOD('_Engine'!CY32,10))&amp;IF('_Engine'!CY32&gt;10,"?",""),IF('_Engine'!CY32=0,INDEX(Settings!$G$7:$G$11,MOD('_Engine'!CZ32,10))&amp;IF('_Engine'!CZ32&gt;10,"?","")&amp;" PM",IF('_Engine'!CZ32=0,INDEX(Settings!$G$7:$G$11,MOD('_Engine'!CY32,10))&amp;IF('_Engine'!CY32&gt;10,"?","")&amp;" AM",INDEX(Settings!$G$7:$G$11,MOD('_Engine'!CY32,10))&amp;IF('_Engine'!CY32&gt;10,"?","")&amp;" AM"&amp;CHAR(10)&amp;INDEX(Settings!$G$7:$G$11,MOD('_Engine'!CZ32,10))&amp;IF('_Engine'!CZ32&gt;10,"?","")&amp;" PM"))))))))</ns0:f>
        <ns0:v/>
      </ns0:c>
      <ns0:c r="AC32" s="164" t="str">
        <ns0:f>IF(OR($A32="",AC$11=""),"",IF(OR('_Engine'!$B$6&gt;0,INDEX('_Engine'!$AM$11:$AM$60,'_Engine'!$AO32)&lt;&gt;"OK"),"!",IF(INDEX(Team!$H$11:$N$60,'_Engine'!$AO32,WEEKDAY(AC$11,2))&lt;&gt;"Work","—",IF(COUNTIF(Settings!$F$18:$F$67,AC$11)&gt;0,"BH",IF('_Engine'!DA32+'_Engine'!DB32=0,"·",IF('_Engine'!DA32='_Engine'!DB32,INDEX(Settings!$G$7:$G$11,MOD('_Engine'!DA32,10))&amp;IF('_Engine'!DA32&gt;10,"?",""),IF('_Engine'!DA32=0,INDEX(Settings!$G$7:$G$11,MOD('_Engine'!DB32,10))&amp;IF('_Engine'!DB32&gt;10,"?","")&amp;" PM",IF('_Engine'!DB32=0,INDEX(Settings!$G$7:$G$11,MOD('_Engine'!DA32,10))&amp;IF('_Engine'!DA32&gt;10,"?","")&amp;" AM",INDEX(Settings!$G$7:$G$11,MOD('_Engine'!DA32,10))&amp;IF('_Engine'!DA32&gt;10,"?","")&amp;" AM"&amp;CHAR(10)&amp;INDEX(Settings!$G$7:$G$11,MOD('_Engine'!DB32,10))&amp;IF('_Engine'!DB32&gt;10,"?","")&amp;" PM"))))))))</ns0:f>
        <ns0:v/>
      </ns0:c>
      <ns0:c r="AD32" s="164" t="str">
        <ns0:f>IF(OR($A32="",AD$11=""),"",IF(OR('_Engine'!$B$6&gt;0,INDEX('_Engine'!$AM$11:$AM$60,'_Engine'!$AO32)&lt;&gt;"OK"),"!",IF(INDEX(Team!$H$11:$N$60,'_Engine'!$AO32,WEEKDAY(AD$11,2))&lt;&gt;"Work","—",IF(COUNTIF(Settings!$F$18:$F$67,AD$11)&gt;0,"BH",IF('_Engine'!DC32+'_Engine'!DD32=0,"·",IF('_Engine'!DC32='_Engine'!DD32,INDEX(Settings!$G$7:$G$11,MOD('_Engine'!DC32,10))&amp;IF('_Engine'!DC32&gt;10,"?",""),IF('_Engine'!DC32=0,INDEX(Settings!$G$7:$G$11,MOD('_Engine'!DD32,10))&amp;IF('_Engine'!DD32&gt;10,"?","")&amp;" PM",IF('_Engine'!DD32=0,INDEX(Settings!$G$7:$G$11,MOD('_Engine'!DC32,10))&amp;IF('_Engine'!DC32&gt;10,"?","")&amp;" AM",INDEX(Settings!$G$7:$G$11,MOD('_Engine'!DC32,10))&amp;IF('_Engine'!DC32&gt;10,"?","")&amp;" AM"&amp;CHAR(10)&amp;INDEX(Settings!$G$7:$G$11,MOD('_Engine'!DD32,10))&amp;IF('_Engine'!DD32&gt;10,"?","")&amp;" PM"))))))))</ns0:f>
        <ns0:v/>
      </ns0:c>
      <ns0:c r="AE32" s="164" t="str">
        <ns0:f>IF(OR($A32="",AE$11=""),"",IF(OR('_Engine'!$B$6&gt;0,INDEX('_Engine'!$AM$11:$AM$60,'_Engine'!$AO32)&lt;&gt;"OK"),"!",IF(INDEX(Team!$H$11:$N$60,'_Engine'!$AO32,WEEKDAY(AE$11,2))&lt;&gt;"Work","—",IF(COUNTIF(Settings!$F$18:$F$67,AE$11)&gt;0,"BH",IF('_Engine'!DE32+'_Engine'!DF32=0,"·",IF('_Engine'!DE32='_Engine'!DF32,INDEX(Settings!$G$7:$G$11,MOD('_Engine'!DE32,10))&amp;IF('_Engine'!DE32&gt;10,"?",""),IF('_Engine'!DE32=0,INDEX(Settings!$G$7:$G$11,MOD('_Engine'!DF32,10))&amp;IF('_Engine'!DF32&gt;10,"?","")&amp;" PM",IF('_Engine'!DF32=0,INDEX(Settings!$G$7:$G$11,MOD('_Engine'!DE32,10))&amp;IF('_Engine'!DE32&gt;10,"?","")&amp;" AM",INDEX(Settings!$G$7:$G$11,MOD('_Engine'!DE32,10))&amp;IF('_Engine'!DE32&gt;10,"?","")&amp;" AM"&amp;CHAR(10)&amp;INDEX(Settings!$G$7:$G$11,MOD('_Engine'!DF32,10))&amp;IF('_Engine'!DF32&gt;10,"?","")&amp;" PM"))))))))</ns0:f>
        <ns0:v/>
      </ns0:c>
      <ns0:c r="AF32" s="164" t="str">
        <ns0:f>IF(OR($A32="",AF$11=""),"",IF(OR('_Engine'!$B$6&gt;0,INDEX('_Engine'!$AM$11:$AM$60,'_Engine'!$AO32)&lt;&gt;"OK"),"!",IF(INDEX(Team!$H$11:$N$60,'_Engine'!$AO32,WEEKDAY(AF$11,2))&lt;&gt;"Work","—",IF(COUNTIF(Settings!$F$18:$F$67,AF$11)&gt;0,"BH",IF('_Engine'!DG32+'_Engine'!DH32=0,"·",IF('_Engine'!DG32='_Engine'!DH32,INDEX(Settings!$G$7:$G$11,MOD('_Engine'!DG32,10))&amp;IF('_Engine'!DG32&gt;10,"?",""),IF('_Engine'!DG32=0,INDEX(Settings!$G$7:$G$11,MOD('_Engine'!DH32,10))&amp;IF('_Engine'!DH32&gt;10,"?","")&amp;" PM",IF('_Engine'!DH32=0,INDEX(Settings!$G$7:$G$11,MOD('_Engine'!DG32,10))&amp;IF('_Engine'!DG32&gt;10,"?","")&amp;" AM",INDEX(Settings!$G$7:$G$11,MOD('_Engine'!DG32,10))&amp;IF('_Engine'!DG32&gt;10,"?","")&amp;" AM"&amp;CHAR(10)&amp;INDEX(Settings!$G$7:$G$11,MOD('_Engine'!DH32,10))&amp;IF('_Engine'!DH32&gt;10,"?","")&amp;" PM"))))))))</ns0:f>
        <ns0:v/>
      </ns0:c>
      <ns0:c r="AG32" s="164" t="str">
        <ns0:f>IF(OR($A32="",AG$11=""),"",IF(OR('_Engine'!$B$6&gt;0,INDEX('_Engine'!$AM$11:$AM$60,'_Engine'!$AO32)&lt;&gt;"OK"),"!",IF(INDEX(Team!$H$11:$N$60,'_Engine'!$AO32,WEEKDAY(AG$11,2))&lt;&gt;"Work","—",IF(COUNTIF(Settings!$F$18:$F$67,AG$11)&gt;0,"BH",IF('_Engine'!DI32+'_Engine'!DJ32=0,"·",IF('_Engine'!DI32='_Engine'!DJ32,INDEX(Settings!$G$7:$G$11,MOD('_Engine'!DI32,10))&amp;IF('_Engine'!DI32&gt;10,"?",""),IF('_Engine'!DI32=0,INDEX(Settings!$G$7:$G$11,MOD('_Engine'!DJ32,10))&amp;IF('_Engine'!DJ32&gt;10,"?","")&amp;" PM",IF('_Engine'!DJ32=0,INDEX(Settings!$G$7:$G$11,MOD('_Engine'!DI32,10))&amp;IF('_Engine'!DI32&gt;10,"?","")&amp;" AM",INDEX(Settings!$G$7:$G$11,MOD('_Engine'!DI32,10))&amp;IF('_Engine'!DI32&gt;10,"?","")&amp;" AM"&amp;CHAR(10)&amp;INDEX(Settings!$G$7:$G$11,MOD('_Engine'!DJ32,10))&amp;IF('_Engine'!DJ32&gt;10,"?","")&amp;" PM"))))))))</ns0:f>
        <ns0:v/>
      </ns0:c>
      <ns0:c r="AH32" s="164" t="str">
        <ns0:f>IF(OR($A32="",AH$11=""),"",IF(OR('_Engine'!$B$6&gt;0,INDEX('_Engine'!$AM$11:$AM$60,'_Engine'!$AO32)&lt;&gt;"OK"),"!",IF(INDEX(Team!$H$11:$N$60,'_Engine'!$AO32,WEEKDAY(AH$11,2))&lt;&gt;"Work","—",IF(COUNTIF(Settings!$F$18:$F$67,AH$11)&gt;0,"BH",IF('_Engine'!DK32+'_Engine'!DL32=0,"·",IF('_Engine'!DK32='_Engine'!DL32,INDEX(Settings!$G$7:$G$11,MOD('_Engine'!DK32,10))&amp;IF('_Engine'!DK32&gt;10,"?",""),IF('_Engine'!DK32=0,INDEX(Settings!$G$7:$G$11,MOD('_Engine'!DL32,10))&amp;IF('_Engine'!DL32&gt;10,"?","")&amp;" PM",IF('_Engine'!DL32=0,INDEX(Settings!$G$7:$G$11,MOD('_Engine'!DK32,10))&amp;IF('_Engine'!DK32&gt;10,"?","")&amp;" AM",INDEX(Settings!$G$7:$G$11,MOD('_Engine'!DK32,10))&amp;IF('_Engine'!DK32&gt;10,"?","")&amp;" AM"&amp;CHAR(10)&amp;INDEX(Settings!$G$7:$G$11,MOD('_Engine'!DL32,10))&amp;IF('_Engine'!DL32&gt;10,"?","")&amp;" PM"))))))))</ns0:f>
        <ns0:v/>
      </ns0:c>
    </ns0:row>
    <ns0:row r="33" ht="38" customHeight="1">
      <ns0:c r="A33" s="4" t="str">
        <ns0:f>IF('_Engine'!AO33=0,"",IF(INDEX(Team!$B$11:$B$60,'_Engine'!AO33)="","[Unnamed]",INDEX(Team!$B$11:$B$60,'_Engine'!AO33)))</ns0:f>
        <ns0:v/>
      </ns0:c>
      <ns0:c r="B33" s="156" t="str">
        <ns0:f>IF('_Engine'!AO33=0,"",INDEX('_Engine'!$AN$11:$AN$60,'_Engine'!AO33))</ns0:f>
        <ns0:v/>
      </ns0:c>
      <ns0:c r="C33" s="4" t="str">
        <ns0:f>IF('_Engine'!AO33=0,"",INDEX(Team!$C$11:$C$60,'_Engine'!AO33))</ns0:f>
        <ns0:v/>
      </ns0:c>
      <ns0:c r="D33" s="162" t="str">
        <ns0:f>IF(OR($A33="",D$11=""),"",IF(OR('_Engine'!$B$6&gt;0,INDEX('_Engine'!$AM$11:$AM$60,'_Engine'!$AO33)&lt;&gt;"OK"),"!",IF(INDEX(Team!$H$11:$N$60,'_Engine'!$AO33,WEEKDAY(D$11,2))&lt;&gt;"Work","—",IF(COUNTIF(Settings!$F$18:$F$67,D$11)&gt;0,"BH",IF('_Engine'!BC33+'_Engine'!BD33=0,"·",IF('_Engine'!BC33='_Engine'!BD33,INDEX(Settings!$G$7:$G$11,MOD('_Engine'!BC33,10))&amp;IF('_Engine'!BC33&gt;10,"?",""),IF('_Engine'!BC33=0,INDEX(Settings!$G$7:$G$11,MOD('_Engine'!BD33,10))&amp;IF('_Engine'!BD33&gt;10,"?","")&amp;" PM",IF('_Engine'!BD33=0,INDEX(Settings!$G$7:$G$11,MOD('_Engine'!BC33,10))&amp;IF('_Engine'!BC33&gt;10,"?","")&amp;" AM",INDEX(Settings!$G$7:$G$11,MOD('_Engine'!BC33,10))&amp;IF('_Engine'!BC33&gt;10,"?","")&amp;" AM"&amp;CHAR(10)&amp;INDEX(Settings!$G$7:$G$11,MOD('_Engine'!BD33,10))&amp;IF('_Engine'!BD33&gt;10,"?","")&amp;" PM"))))))))</ns0:f>
        <ns0:v/>
      </ns0:c>
      <ns0:c r="E33" s="162" t="str">
        <ns0:f>IF(OR($A33="",E$11=""),"",IF(OR('_Engine'!$B$6&gt;0,INDEX('_Engine'!$AM$11:$AM$60,'_Engine'!$AO33)&lt;&gt;"OK"),"!",IF(INDEX(Team!$H$11:$N$60,'_Engine'!$AO33,WEEKDAY(E$11,2))&lt;&gt;"Work","—",IF(COUNTIF(Settings!$F$18:$F$67,E$11)&gt;0,"BH",IF('_Engine'!BE33+'_Engine'!BF33=0,"·",IF('_Engine'!BE33='_Engine'!BF33,INDEX(Settings!$G$7:$G$11,MOD('_Engine'!BE33,10))&amp;IF('_Engine'!BE33&gt;10,"?",""),IF('_Engine'!BE33=0,INDEX(Settings!$G$7:$G$11,MOD('_Engine'!BF33,10))&amp;IF('_Engine'!BF33&gt;10,"?","")&amp;" PM",IF('_Engine'!BF33=0,INDEX(Settings!$G$7:$G$11,MOD('_Engine'!BE33,10))&amp;IF('_Engine'!BE33&gt;10,"?","")&amp;" AM",INDEX(Settings!$G$7:$G$11,MOD('_Engine'!BE33,10))&amp;IF('_Engine'!BE33&gt;10,"?","")&amp;" AM"&amp;CHAR(10)&amp;INDEX(Settings!$G$7:$G$11,MOD('_Engine'!BF33,10))&amp;IF('_Engine'!BF33&gt;10,"?","")&amp;" PM"))))))))</ns0:f>
        <ns0:v/>
      </ns0:c>
      <ns0:c r="F33" s="162" t="str">
        <ns0:f>IF(OR($A33="",F$11=""),"",IF(OR('_Engine'!$B$6&gt;0,INDEX('_Engine'!$AM$11:$AM$60,'_Engine'!$AO33)&lt;&gt;"OK"),"!",IF(INDEX(Team!$H$11:$N$60,'_Engine'!$AO33,WEEKDAY(F$11,2))&lt;&gt;"Work","—",IF(COUNTIF(Settings!$F$18:$F$67,F$11)&gt;0,"BH",IF('_Engine'!BG33+'_Engine'!BH33=0,"·",IF('_Engine'!BG33='_Engine'!BH33,INDEX(Settings!$G$7:$G$11,MOD('_Engine'!BG33,10))&amp;IF('_Engine'!BG33&gt;10,"?",""),IF('_Engine'!BG33=0,INDEX(Settings!$G$7:$G$11,MOD('_Engine'!BH33,10))&amp;IF('_Engine'!BH33&gt;10,"?","")&amp;" PM",IF('_Engine'!BH33=0,INDEX(Settings!$G$7:$G$11,MOD('_Engine'!BG33,10))&amp;IF('_Engine'!BG33&gt;10,"?","")&amp;" AM",INDEX(Settings!$G$7:$G$11,MOD('_Engine'!BG33,10))&amp;IF('_Engine'!BG33&gt;10,"?","")&amp;" AM"&amp;CHAR(10)&amp;INDEX(Settings!$G$7:$G$11,MOD('_Engine'!BH33,10))&amp;IF('_Engine'!BH33&gt;10,"?","")&amp;" PM"))))))))</ns0:f>
        <ns0:v/>
      </ns0:c>
      <ns0:c r="G33" s="162" t="str">
        <ns0:f>IF(OR($A33="",G$11=""),"",IF(OR('_Engine'!$B$6&gt;0,INDEX('_Engine'!$AM$11:$AM$60,'_Engine'!$AO33)&lt;&gt;"OK"),"!",IF(INDEX(Team!$H$11:$N$60,'_Engine'!$AO33,WEEKDAY(G$11,2))&lt;&gt;"Work","—",IF(COUNTIF(Settings!$F$18:$F$67,G$11)&gt;0,"BH",IF('_Engine'!BI33+'_Engine'!BJ33=0,"·",IF('_Engine'!BI33='_Engine'!BJ33,INDEX(Settings!$G$7:$G$11,MOD('_Engine'!BI33,10))&amp;IF('_Engine'!BI33&gt;10,"?",""),IF('_Engine'!BI33=0,INDEX(Settings!$G$7:$G$11,MOD('_Engine'!BJ33,10))&amp;IF('_Engine'!BJ33&gt;10,"?","")&amp;" PM",IF('_Engine'!BJ33=0,INDEX(Settings!$G$7:$G$11,MOD('_Engine'!BI33,10))&amp;IF('_Engine'!BI33&gt;10,"?","")&amp;" AM",INDEX(Settings!$G$7:$G$11,MOD('_Engine'!BI33,10))&amp;IF('_Engine'!BI33&gt;10,"?","")&amp;" AM"&amp;CHAR(10)&amp;INDEX(Settings!$G$7:$G$11,MOD('_Engine'!BJ33,10))&amp;IF('_Engine'!BJ33&gt;10,"?","")&amp;" PM"))))))))</ns0:f>
        <ns0:v/>
      </ns0:c>
      <ns0:c r="H33" s="162" t="str">
        <ns0:f>IF(OR($A33="",H$11=""),"",IF(OR('_Engine'!$B$6&gt;0,INDEX('_Engine'!$AM$11:$AM$60,'_Engine'!$AO33)&lt;&gt;"OK"),"!",IF(INDEX(Team!$H$11:$N$60,'_Engine'!$AO33,WEEKDAY(H$11,2))&lt;&gt;"Work","—",IF(COUNTIF(Settings!$F$18:$F$67,H$11)&gt;0,"BH",IF('_Engine'!BK33+'_Engine'!BL33=0,"·",IF('_Engine'!BK33='_Engine'!BL33,INDEX(Settings!$G$7:$G$11,MOD('_Engine'!BK33,10))&amp;IF('_Engine'!BK33&gt;10,"?",""),IF('_Engine'!BK33=0,INDEX(Settings!$G$7:$G$11,MOD('_Engine'!BL33,10))&amp;IF('_Engine'!BL33&gt;10,"?","")&amp;" PM",IF('_Engine'!BL33=0,INDEX(Settings!$G$7:$G$11,MOD('_Engine'!BK33,10))&amp;IF('_Engine'!BK33&gt;10,"?","")&amp;" AM",INDEX(Settings!$G$7:$G$11,MOD('_Engine'!BK33,10))&amp;IF('_Engine'!BK33&gt;10,"?","")&amp;" AM"&amp;CHAR(10)&amp;INDEX(Settings!$G$7:$G$11,MOD('_Engine'!BL33,10))&amp;IF('_Engine'!BL33&gt;10,"?","")&amp;" PM"))))))))</ns0:f>
        <ns0:v/>
      </ns0:c>
      <ns0:c r="I33" s="162" t="str">
        <ns0:f>IF(OR($A33="",I$11=""),"",IF(OR('_Engine'!$B$6&gt;0,INDEX('_Engine'!$AM$11:$AM$60,'_Engine'!$AO33)&lt;&gt;"OK"),"!",IF(INDEX(Team!$H$11:$N$60,'_Engine'!$AO33,WEEKDAY(I$11,2))&lt;&gt;"Work","—",IF(COUNTIF(Settings!$F$18:$F$67,I$11)&gt;0,"BH",IF('_Engine'!BM33+'_Engine'!BN33=0,"·",IF('_Engine'!BM33='_Engine'!BN33,INDEX(Settings!$G$7:$G$11,MOD('_Engine'!BM33,10))&amp;IF('_Engine'!BM33&gt;10,"?",""),IF('_Engine'!BM33=0,INDEX(Settings!$G$7:$G$11,MOD('_Engine'!BN33,10))&amp;IF('_Engine'!BN33&gt;10,"?","")&amp;" PM",IF('_Engine'!BN33=0,INDEX(Settings!$G$7:$G$11,MOD('_Engine'!BM33,10))&amp;IF('_Engine'!BM33&gt;10,"?","")&amp;" AM",INDEX(Settings!$G$7:$G$11,MOD('_Engine'!BM33,10))&amp;IF('_Engine'!BM33&gt;10,"?","")&amp;" AM"&amp;CHAR(10)&amp;INDEX(Settings!$G$7:$G$11,MOD('_Engine'!BN33,10))&amp;IF('_Engine'!BN33&gt;10,"?","")&amp;" PM"))))))))</ns0:f>
        <ns0:v/>
      </ns0:c>
      <ns0:c r="J33" s="162" t="str">
        <ns0:f>IF(OR($A33="",J$11=""),"",IF(OR('_Engine'!$B$6&gt;0,INDEX('_Engine'!$AM$11:$AM$60,'_Engine'!$AO33)&lt;&gt;"OK"),"!",IF(INDEX(Team!$H$11:$N$60,'_Engine'!$AO33,WEEKDAY(J$11,2))&lt;&gt;"Work","—",IF(COUNTIF(Settings!$F$18:$F$67,J$11)&gt;0,"BH",IF('_Engine'!BO33+'_Engine'!BP33=0,"·",IF('_Engine'!BO33='_Engine'!BP33,INDEX(Settings!$G$7:$G$11,MOD('_Engine'!BO33,10))&amp;IF('_Engine'!BO33&gt;10,"?",""),IF('_Engine'!BO33=0,INDEX(Settings!$G$7:$G$11,MOD('_Engine'!BP33,10))&amp;IF('_Engine'!BP33&gt;10,"?","")&amp;" PM",IF('_Engine'!BP33=0,INDEX(Settings!$G$7:$G$11,MOD('_Engine'!BO33,10))&amp;IF('_Engine'!BO33&gt;10,"?","")&amp;" AM",INDEX(Settings!$G$7:$G$11,MOD('_Engine'!BO33,10))&amp;IF('_Engine'!BO33&gt;10,"?","")&amp;" AM"&amp;CHAR(10)&amp;INDEX(Settings!$G$7:$G$11,MOD('_Engine'!BP33,10))&amp;IF('_Engine'!BP33&gt;10,"?","")&amp;" PM"))))))))</ns0:f>
        <ns0:v/>
      </ns0:c>
      <ns0:c r="K33" s="164" t="str">
        <ns0:f>IF(OR($A33="",K$11=""),"",IF(OR('_Engine'!$B$6&gt;0,INDEX('_Engine'!$AM$11:$AM$60,'_Engine'!$AO33)&lt;&gt;"OK"),"!",IF(INDEX(Team!$H$11:$N$60,'_Engine'!$AO33,WEEKDAY(K$11,2))&lt;&gt;"Work","—",IF(COUNTIF(Settings!$F$18:$F$67,K$11)&gt;0,"BH",IF('_Engine'!BQ33+'_Engine'!BR33=0,"·",IF('_Engine'!BQ33='_Engine'!BR33,INDEX(Settings!$G$7:$G$11,MOD('_Engine'!BQ33,10))&amp;IF('_Engine'!BQ33&gt;10,"?",""),IF('_Engine'!BQ33=0,INDEX(Settings!$G$7:$G$11,MOD('_Engine'!BR33,10))&amp;IF('_Engine'!BR33&gt;10,"?","")&amp;" PM",IF('_Engine'!BR33=0,INDEX(Settings!$G$7:$G$11,MOD('_Engine'!BQ33,10))&amp;IF('_Engine'!BQ33&gt;10,"?","")&amp;" AM",INDEX(Settings!$G$7:$G$11,MOD('_Engine'!BQ33,10))&amp;IF('_Engine'!BQ33&gt;10,"?","")&amp;" AM"&amp;CHAR(10)&amp;INDEX(Settings!$G$7:$G$11,MOD('_Engine'!BR33,10))&amp;IF('_Engine'!BR33&gt;10,"?","")&amp;" PM"))))))))</ns0:f>
        <ns0:v/>
      </ns0:c>
      <ns0:c r="L33" s="164" t="str">
        <ns0:f>IF(OR($A33="",L$11=""),"",IF(OR('_Engine'!$B$6&gt;0,INDEX('_Engine'!$AM$11:$AM$60,'_Engine'!$AO33)&lt;&gt;"OK"),"!",IF(INDEX(Team!$H$11:$N$60,'_Engine'!$AO33,WEEKDAY(L$11,2))&lt;&gt;"Work","—",IF(COUNTIF(Settings!$F$18:$F$67,L$11)&gt;0,"BH",IF('_Engine'!BS33+'_Engine'!BT33=0,"·",IF('_Engine'!BS33='_Engine'!BT33,INDEX(Settings!$G$7:$G$11,MOD('_Engine'!BS33,10))&amp;IF('_Engine'!BS33&gt;10,"?",""),IF('_Engine'!BS33=0,INDEX(Settings!$G$7:$G$11,MOD('_Engine'!BT33,10))&amp;IF('_Engine'!BT33&gt;10,"?","")&amp;" PM",IF('_Engine'!BT33=0,INDEX(Settings!$G$7:$G$11,MOD('_Engine'!BS33,10))&amp;IF('_Engine'!BS33&gt;10,"?","")&amp;" AM",INDEX(Settings!$G$7:$G$11,MOD('_Engine'!BS33,10))&amp;IF('_Engine'!BS33&gt;10,"?","")&amp;" AM"&amp;CHAR(10)&amp;INDEX(Settings!$G$7:$G$11,MOD('_Engine'!BT33,10))&amp;IF('_Engine'!BT33&gt;10,"?","")&amp;" PM"))))))))</ns0:f>
        <ns0:v/>
      </ns0:c>
      <ns0:c r="M33" s="164" t="str">
        <ns0:f>IF(OR($A33="",M$11=""),"",IF(OR('_Engine'!$B$6&gt;0,INDEX('_Engine'!$AM$11:$AM$60,'_Engine'!$AO33)&lt;&gt;"OK"),"!",IF(INDEX(Team!$H$11:$N$60,'_Engine'!$AO33,WEEKDAY(M$11,2))&lt;&gt;"Work","—",IF(COUNTIF(Settings!$F$18:$F$67,M$11)&gt;0,"BH",IF('_Engine'!BU33+'_Engine'!BV33=0,"·",IF('_Engine'!BU33='_Engine'!BV33,INDEX(Settings!$G$7:$G$11,MOD('_Engine'!BU33,10))&amp;IF('_Engine'!BU33&gt;10,"?",""),IF('_Engine'!BU33=0,INDEX(Settings!$G$7:$G$11,MOD('_Engine'!BV33,10))&amp;IF('_Engine'!BV33&gt;10,"?","")&amp;" PM",IF('_Engine'!BV33=0,INDEX(Settings!$G$7:$G$11,MOD('_Engine'!BU33,10))&amp;IF('_Engine'!BU33&gt;10,"?","")&amp;" AM",INDEX(Settings!$G$7:$G$11,MOD('_Engine'!BU33,10))&amp;IF('_Engine'!BU33&gt;10,"?","")&amp;" AM"&amp;CHAR(10)&amp;INDEX(Settings!$G$7:$G$11,MOD('_Engine'!BV33,10))&amp;IF('_Engine'!BV33&gt;10,"?","")&amp;" PM"))))))))</ns0:f>
        <ns0:v/>
      </ns0:c>
      <ns0:c r="N33" s="164" t="str">
        <ns0:f>IF(OR($A33="",N$11=""),"",IF(OR('_Engine'!$B$6&gt;0,INDEX('_Engine'!$AM$11:$AM$60,'_Engine'!$AO33)&lt;&gt;"OK"),"!",IF(INDEX(Team!$H$11:$N$60,'_Engine'!$AO33,WEEKDAY(N$11,2))&lt;&gt;"Work","—",IF(COUNTIF(Settings!$F$18:$F$67,N$11)&gt;0,"BH",IF('_Engine'!BW33+'_Engine'!BX33=0,"·",IF('_Engine'!BW33='_Engine'!BX33,INDEX(Settings!$G$7:$G$11,MOD('_Engine'!BW33,10))&amp;IF('_Engine'!BW33&gt;10,"?",""),IF('_Engine'!BW33=0,INDEX(Settings!$G$7:$G$11,MOD('_Engine'!BX33,10))&amp;IF('_Engine'!BX33&gt;10,"?","")&amp;" PM",IF('_Engine'!BX33=0,INDEX(Settings!$G$7:$G$11,MOD('_Engine'!BW33,10))&amp;IF('_Engine'!BW33&gt;10,"?","")&amp;" AM",INDEX(Settings!$G$7:$G$11,MOD('_Engine'!BW33,10))&amp;IF('_Engine'!BW33&gt;10,"?","")&amp;" AM"&amp;CHAR(10)&amp;INDEX(Settings!$G$7:$G$11,MOD('_Engine'!BX33,10))&amp;IF('_Engine'!BX33&gt;10,"?","")&amp;" PM"))))))))</ns0:f>
        <ns0:v/>
      </ns0:c>
      <ns0:c r="O33" s="164" t="str">
        <ns0:f>IF(OR($A33="",O$11=""),"",IF(OR('_Engine'!$B$6&gt;0,INDEX('_Engine'!$AM$11:$AM$60,'_Engine'!$AO33)&lt;&gt;"OK"),"!",IF(INDEX(Team!$H$11:$N$60,'_Engine'!$AO33,WEEKDAY(O$11,2))&lt;&gt;"Work","—",IF(COUNTIF(Settings!$F$18:$F$67,O$11)&gt;0,"BH",IF('_Engine'!BY33+'_Engine'!BZ33=0,"·",IF('_Engine'!BY33='_Engine'!BZ33,INDEX(Settings!$G$7:$G$11,MOD('_Engine'!BY33,10))&amp;IF('_Engine'!BY33&gt;10,"?",""),IF('_Engine'!BY33=0,INDEX(Settings!$G$7:$G$11,MOD('_Engine'!BZ33,10))&amp;IF('_Engine'!BZ33&gt;10,"?","")&amp;" PM",IF('_Engine'!BZ33=0,INDEX(Settings!$G$7:$G$11,MOD('_Engine'!BY33,10))&amp;IF('_Engine'!BY33&gt;10,"?","")&amp;" AM",INDEX(Settings!$G$7:$G$11,MOD('_Engine'!BY33,10))&amp;IF('_Engine'!BY33&gt;10,"?","")&amp;" AM"&amp;CHAR(10)&amp;INDEX(Settings!$G$7:$G$11,MOD('_Engine'!BZ33,10))&amp;IF('_Engine'!BZ33&gt;10,"?","")&amp;" PM"))))))))</ns0:f>
        <ns0:v/>
      </ns0:c>
      <ns0:c r="P33" s="164" t="str">
        <ns0:f>IF(OR($A33="",P$11=""),"",IF(OR('_Engine'!$B$6&gt;0,INDEX('_Engine'!$AM$11:$AM$60,'_Engine'!$AO33)&lt;&gt;"OK"),"!",IF(INDEX(Team!$H$11:$N$60,'_Engine'!$AO33,WEEKDAY(P$11,2))&lt;&gt;"Work","—",IF(COUNTIF(Settings!$F$18:$F$67,P$11)&gt;0,"BH",IF('_Engine'!CA33+'_Engine'!CB33=0,"·",IF('_Engine'!CA33='_Engine'!CB33,INDEX(Settings!$G$7:$G$11,MOD('_Engine'!CA33,10))&amp;IF('_Engine'!CA33&gt;10,"?",""),IF('_Engine'!CA33=0,INDEX(Settings!$G$7:$G$11,MOD('_Engine'!CB33,10))&amp;IF('_Engine'!CB33&gt;10,"?","")&amp;" PM",IF('_Engine'!CB33=0,INDEX(Settings!$G$7:$G$11,MOD('_Engine'!CA33,10))&amp;IF('_Engine'!CA33&gt;10,"?","")&amp;" AM",INDEX(Settings!$G$7:$G$11,MOD('_Engine'!CA33,10))&amp;IF('_Engine'!CA33&gt;10,"?","")&amp;" AM"&amp;CHAR(10)&amp;INDEX(Settings!$G$7:$G$11,MOD('_Engine'!CB33,10))&amp;IF('_Engine'!CB33&gt;10,"?","")&amp;" PM"))))))))</ns0:f>
        <ns0:v/>
      </ns0:c>
      <ns0:c r="Q33" s="164" t="str">
        <ns0:f>IF(OR($A33="",Q$11=""),"",IF(OR('_Engine'!$B$6&gt;0,INDEX('_Engine'!$AM$11:$AM$60,'_Engine'!$AO33)&lt;&gt;"OK"),"!",IF(INDEX(Team!$H$11:$N$60,'_Engine'!$AO33,WEEKDAY(Q$11,2))&lt;&gt;"Work","—",IF(COUNTIF(Settings!$F$18:$F$67,Q$11)&gt;0,"BH",IF('_Engine'!CC33+'_Engine'!CD33=0,"·",IF('_Engine'!CC33='_Engine'!CD33,INDEX(Settings!$G$7:$G$11,MOD('_Engine'!CC33,10))&amp;IF('_Engine'!CC33&gt;10,"?",""),IF('_Engine'!CC33=0,INDEX(Settings!$G$7:$G$11,MOD('_Engine'!CD33,10))&amp;IF('_Engine'!CD33&gt;10,"?","")&amp;" PM",IF('_Engine'!CD33=0,INDEX(Settings!$G$7:$G$11,MOD('_Engine'!CC33,10))&amp;IF('_Engine'!CC33&gt;10,"?","")&amp;" AM",INDEX(Settings!$G$7:$G$11,MOD('_Engine'!CC33,10))&amp;IF('_Engine'!CC33&gt;10,"?","")&amp;" AM"&amp;CHAR(10)&amp;INDEX(Settings!$G$7:$G$11,MOD('_Engine'!CD33,10))&amp;IF('_Engine'!CD33&gt;10,"?","")&amp;" PM"))))))))</ns0:f>
        <ns0:v/>
      </ns0:c>
      <ns0:c r="R33" s="164" t="str">
        <ns0:f>IF(OR($A33="",R$11=""),"",IF(OR('_Engine'!$B$6&gt;0,INDEX('_Engine'!$AM$11:$AM$60,'_Engine'!$AO33)&lt;&gt;"OK"),"!",IF(INDEX(Team!$H$11:$N$60,'_Engine'!$AO33,WEEKDAY(R$11,2))&lt;&gt;"Work","—",IF(COUNTIF(Settings!$F$18:$F$67,R$11)&gt;0,"BH",IF('_Engine'!CE33+'_Engine'!CF33=0,"·",IF('_Engine'!CE33='_Engine'!CF33,INDEX(Settings!$G$7:$G$11,MOD('_Engine'!CE33,10))&amp;IF('_Engine'!CE33&gt;10,"?",""),IF('_Engine'!CE33=0,INDEX(Settings!$G$7:$G$11,MOD('_Engine'!CF33,10))&amp;IF('_Engine'!CF33&gt;10,"?","")&amp;" PM",IF('_Engine'!CF33=0,INDEX(Settings!$G$7:$G$11,MOD('_Engine'!CE33,10))&amp;IF('_Engine'!CE33&gt;10,"?","")&amp;" AM",INDEX(Settings!$G$7:$G$11,MOD('_Engine'!CE33,10))&amp;IF('_Engine'!CE33&gt;10,"?","")&amp;" AM"&amp;CHAR(10)&amp;INDEX(Settings!$G$7:$G$11,MOD('_Engine'!CF33,10))&amp;IF('_Engine'!CF33&gt;10,"?","")&amp;" PM"))))))))</ns0:f>
        <ns0:v/>
      </ns0:c>
      <ns0:c r="S33" s="164" t="str">
        <ns0:f>IF(OR($A33="",S$11=""),"",IF(OR('_Engine'!$B$6&gt;0,INDEX('_Engine'!$AM$11:$AM$60,'_Engine'!$AO33)&lt;&gt;"OK"),"!",IF(INDEX(Team!$H$11:$N$60,'_Engine'!$AO33,WEEKDAY(S$11,2))&lt;&gt;"Work","—",IF(COUNTIF(Settings!$F$18:$F$67,S$11)&gt;0,"BH",IF('_Engine'!CG33+'_Engine'!CH33=0,"·",IF('_Engine'!CG33='_Engine'!CH33,INDEX(Settings!$G$7:$G$11,MOD('_Engine'!CG33,10))&amp;IF('_Engine'!CG33&gt;10,"?",""),IF('_Engine'!CG33=0,INDEX(Settings!$G$7:$G$11,MOD('_Engine'!CH33,10))&amp;IF('_Engine'!CH33&gt;10,"?","")&amp;" PM",IF('_Engine'!CH33=0,INDEX(Settings!$G$7:$G$11,MOD('_Engine'!CG33,10))&amp;IF('_Engine'!CG33&gt;10,"?","")&amp;" AM",INDEX(Settings!$G$7:$G$11,MOD('_Engine'!CG33,10))&amp;IF('_Engine'!CG33&gt;10,"?","")&amp;" AM"&amp;CHAR(10)&amp;INDEX(Settings!$G$7:$G$11,MOD('_Engine'!CH33,10))&amp;IF('_Engine'!CH33&gt;10,"?","")&amp;" PM"))))))))</ns0:f>
        <ns0:v/>
      </ns0:c>
      <ns0:c r="T33" s="164" t="str">
        <ns0:f>IF(OR($A33="",T$11=""),"",IF(OR('_Engine'!$B$6&gt;0,INDEX('_Engine'!$AM$11:$AM$60,'_Engine'!$AO33)&lt;&gt;"OK"),"!",IF(INDEX(Team!$H$11:$N$60,'_Engine'!$AO33,WEEKDAY(T$11,2))&lt;&gt;"Work","—",IF(COUNTIF(Settings!$F$18:$F$67,T$11)&gt;0,"BH",IF('_Engine'!CI33+'_Engine'!CJ33=0,"·",IF('_Engine'!CI33='_Engine'!CJ33,INDEX(Settings!$G$7:$G$11,MOD('_Engine'!CI33,10))&amp;IF('_Engine'!CI33&gt;10,"?",""),IF('_Engine'!CI33=0,INDEX(Settings!$G$7:$G$11,MOD('_Engine'!CJ33,10))&amp;IF('_Engine'!CJ33&gt;10,"?","")&amp;" PM",IF('_Engine'!CJ33=0,INDEX(Settings!$G$7:$G$11,MOD('_Engine'!CI33,10))&amp;IF('_Engine'!CI33&gt;10,"?","")&amp;" AM",INDEX(Settings!$G$7:$G$11,MOD('_Engine'!CI33,10))&amp;IF('_Engine'!CI33&gt;10,"?","")&amp;" AM"&amp;CHAR(10)&amp;INDEX(Settings!$G$7:$G$11,MOD('_Engine'!CJ33,10))&amp;IF('_Engine'!CJ33&gt;10,"?","")&amp;" PM"))))))))</ns0:f>
        <ns0:v/>
      </ns0:c>
      <ns0:c r="U33" s="164" t="str">
        <ns0:f>IF(OR($A33="",U$11=""),"",IF(OR('_Engine'!$B$6&gt;0,INDEX('_Engine'!$AM$11:$AM$60,'_Engine'!$AO33)&lt;&gt;"OK"),"!",IF(INDEX(Team!$H$11:$N$60,'_Engine'!$AO33,WEEKDAY(U$11,2))&lt;&gt;"Work","—",IF(COUNTIF(Settings!$F$18:$F$67,U$11)&gt;0,"BH",IF('_Engine'!CK33+'_Engine'!CL33=0,"·",IF('_Engine'!CK33='_Engine'!CL33,INDEX(Settings!$G$7:$G$11,MOD('_Engine'!CK33,10))&amp;IF('_Engine'!CK33&gt;10,"?",""),IF('_Engine'!CK33=0,INDEX(Settings!$G$7:$G$11,MOD('_Engine'!CL33,10))&amp;IF('_Engine'!CL33&gt;10,"?","")&amp;" PM",IF('_Engine'!CL33=0,INDEX(Settings!$G$7:$G$11,MOD('_Engine'!CK33,10))&amp;IF('_Engine'!CK33&gt;10,"?","")&amp;" AM",INDEX(Settings!$G$7:$G$11,MOD('_Engine'!CK33,10))&amp;IF('_Engine'!CK33&gt;10,"?","")&amp;" AM"&amp;CHAR(10)&amp;INDEX(Settings!$G$7:$G$11,MOD('_Engine'!CL33,10))&amp;IF('_Engine'!CL33&gt;10,"?","")&amp;" PM"))))))))</ns0:f>
        <ns0:v/>
      </ns0:c>
      <ns0:c r="V33" s="164" t="str">
        <ns0:f>IF(OR($A33="",V$11=""),"",IF(OR('_Engine'!$B$6&gt;0,INDEX('_Engine'!$AM$11:$AM$60,'_Engine'!$AO33)&lt;&gt;"OK"),"!",IF(INDEX(Team!$H$11:$N$60,'_Engine'!$AO33,WEEKDAY(V$11,2))&lt;&gt;"Work","—",IF(COUNTIF(Settings!$F$18:$F$67,V$11)&gt;0,"BH",IF('_Engine'!CM33+'_Engine'!CN33=0,"·",IF('_Engine'!CM33='_Engine'!CN33,INDEX(Settings!$G$7:$G$11,MOD('_Engine'!CM33,10))&amp;IF('_Engine'!CM33&gt;10,"?",""),IF('_Engine'!CM33=0,INDEX(Settings!$G$7:$G$11,MOD('_Engine'!CN33,10))&amp;IF('_Engine'!CN33&gt;10,"?","")&amp;" PM",IF('_Engine'!CN33=0,INDEX(Settings!$G$7:$G$11,MOD('_Engine'!CM33,10))&amp;IF('_Engine'!CM33&gt;10,"?","")&amp;" AM",INDEX(Settings!$G$7:$G$11,MOD('_Engine'!CM33,10))&amp;IF('_Engine'!CM33&gt;10,"?","")&amp;" AM"&amp;CHAR(10)&amp;INDEX(Settings!$G$7:$G$11,MOD('_Engine'!CN33,10))&amp;IF('_Engine'!CN33&gt;10,"?","")&amp;" PM"))))))))</ns0:f>
        <ns0:v/>
      </ns0:c>
      <ns0:c r="W33" s="164" t="str">
        <ns0:f>IF(OR($A33="",W$11=""),"",IF(OR('_Engine'!$B$6&gt;0,INDEX('_Engine'!$AM$11:$AM$60,'_Engine'!$AO33)&lt;&gt;"OK"),"!",IF(INDEX(Team!$H$11:$N$60,'_Engine'!$AO33,WEEKDAY(W$11,2))&lt;&gt;"Work","—",IF(COUNTIF(Settings!$F$18:$F$67,W$11)&gt;0,"BH",IF('_Engine'!CO33+'_Engine'!CP33=0,"·",IF('_Engine'!CO33='_Engine'!CP33,INDEX(Settings!$G$7:$G$11,MOD('_Engine'!CO33,10))&amp;IF('_Engine'!CO33&gt;10,"?",""),IF('_Engine'!CO33=0,INDEX(Settings!$G$7:$G$11,MOD('_Engine'!CP33,10))&amp;IF('_Engine'!CP33&gt;10,"?","")&amp;" PM",IF('_Engine'!CP33=0,INDEX(Settings!$G$7:$G$11,MOD('_Engine'!CO33,10))&amp;IF('_Engine'!CO33&gt;10,"?","")&amp;" AM",INDEX(Settings!$G$7:$G$11,MOD('_Engine'!CO33,10))&amp;IF('_Engine'!CO33&gt;10,"?","")&amp;" AM"&amp;CHAR(10)&amp;INDEX(Settings!$G$7:$G$11,MOD('_Engine'!CP33,10))&amp;IF('_Engine'!CP33&gt;10,"?","")&amp;" PM"))))))))</ns0:f>
        <ns0:v/>
      </ns0:c>
      <ns0:c r="X33" s="164" t="str">
        <ns0:f>IF(OR($A33="",X$11=""),"",IF(OR('_Engine'!$B$6&gt;0,INDEX('_Engine'!$AM$11:$AM$60,'_Engine'!$AO33)&lt;&gt;"OK"),"!",IF(INDEX(Team!$H$11:$N$60,'_Engine'!$AO33,WEEKDAY(X$11,2))&lt;&gt;"Work","—",IF(COUNTIF(Settings!$F$18:$F$67,X$11)&gt;0,"BH",IF('_Engine'!CQ33+'_Engine'!CR33=0,"·",IF('_Engine'!CQ33='_Engine'!CR33,INDEX(Settings!$G$7:$G$11,MOD('_Engine'!CQ33,10))&amp;IF('_Engine'!CQ33&gt;10,"?",""),IF('_Engine'!CQ33=0,INDEX(Settings!$G$7:$G$11,MOD('_Engine'!CR33,10))&amp;IF('_Engine'!CR33&gt;10,"?","")&amp;" PM",IF('_Engine'!CR33=0,INDEX(Settings!$G$7:$G$11,MOD('_Engine'!CQ33,10))&amp;IF('_Engine'!CQ33&gt;10,"?","")&amp;" AM",INDEX(Settings!$G$7:$G$11,MOD('_Engine'!CQ33,10))&amp;IF('_Engine'!CQ33&gt;10,"?","")&amp;" AM"&amp;CHAR(10)&amp;INDEX(Settings!$G$7:$G$11,MOD('_Engine'!CR33,10))&amp;IF('_Engine'!CR33&gt;10,"?","")&amp;" PM"))))))))</ns0:f>
        <ns0:v/>
      </ns0:c>
      <ns0:c r="Y33" s="164" t="str">
        <ns0:f>IF(OR($A33="",Y$11=""),"",IF(OR('_Engine'!$B$6&gt;0,INDEX('_Engine'!$AM$11:$AM$60,'_Engine'!$AO33)&lt;&gt;"OK"),"!",IF(INDEX(Team!$H$11:$N$60,'_Engine'!$AO33,WEEKDAY(Y$11,2))&lt;&gt;"Work","—",IF(COUNTIF(Settings!$F$18:$F$67,Y$11)&gt;0,"BH",IF('_Engine'!CS33+'_Engine'!CT33=0,"·",IF('_Engine'!CS33='_Engine'!CT33,INDEX(Settings!$G$7:$G$11,MOD('_Engine'!CS33,10))&amp;IF('_Engine'!CS33&gt;10,"?",""),IF('_Engine'!CS33=0,INDEX(Settings!$G$7:$G$11,MOD('_Engine'!CT33,10))&amp;IF('_Engine'!CT33&gt;10,"?","")&amp;" PM",IF('_Engine'!CT33=0,INDEX(Settings!$G$7:$G$11,MOD('_Engine'!CS33,10))&amp;IF('_Engine'!CS33&gt;10,"?","")&amp;" AM",INDEX(Settings!$G$7:$G$11,MOD('_Engine'!CS33,10))&amp;IF('_Engine'!CS33&gt;10,"?","")&amp;" AM"&amp;CHAR(10)&amp;INDEX(Settings!$G$7:$G$11,MOD('_Engine'!CT33,10))&amp;IF('_Engine'!CT33&gt;10,"?","")&amp;" PM"))))))))</ns0:f>
        <ns0:v/>
      </ns0:c>
      <ns0:c r="Z33" s="164" t="str">
        <ns0:f>IF(OR($A33="",Z$11=""),"",IF(OR('_Engine'!$B$6&gt;0,INDEX('_Engine'!$AM$11:$AM$60,'_Engine'!$AO33)&lt;&gt;"OK"),"!",IF(INDEX(Team!$H$11:$N$60,'_Engine'!$AO33,WEEKDAY(Z$11,2))&lt;&gt;"Work","—",IF(COUNTIF(Settings!$F$18:$F$67,Z$11)&gt;0,"BH",IF('_Engine'!CU33+'_Engine'!CV33=0,"·",IF('_Engine'!CU33='_Engine'!CV33,INDEX(Settings!$G$7:$G$11,MOD('_Engine'!CU33,10))&amp;IF('_Engine'!CU33&gt;10,"?",""),IF('_Engine'!CU33=0,INDEX(Settings!$G$7:$G$11,MOD('_Engine'!CV33,10))&amp;IF('_Engine'!CV33&gt;10,"?","")&amp;" PM",IF('_Engine'!CV33=0,INDEX(Settings!$G$7:$G$11,MOD('_Engine'!CU33,10))&amp;IF('_Engine'!CU33&gt;10,"?","")&amp;" AM",INDEX(Settings!$G$7:$G$11,MOD('_Engine'!CU33,10))&amp;IF('_Engine'!CU33&gt;10,"?","")&amp;" AM"&amp;CHAR(10)&amp;INDEX(Settings!$G$7:$G$11,MOD('_Engine'!CV33,10))&amp;IF('_Engine'!CV33&gt;10,"?","")&amp;" PM"))))))))</ns0:f>
        <ns0:v/>
      </ns0:c>
      <ns0:c r="AA33" s="164" t="str">
        <ns0:f>IF(OR($A33="",AA$11=""),"",IF(OR('_Engine'!$B$6&gt;0,INDEX('_Engine'!$AM$11:$AM$60,'_Engine'!$AO33)&lt;&gt;"OK"),"!",IF(INDEX(Team!$H$11:$N$60,'_Engine'!$AO33,WEEKDAY(AA$11,2))&lt;&gt;"Work","—",IF(COUNTIF(Settings!$F$18:$F$67,AA$11)&gt;0,"BH",IF('_Engine'!CW33+'_Engine'!CX33=0,"·",IF('_Engine'!CW33='_Engine'!CX33,INDEX(Settings!$G$7:$G$11,MOD('_Engine'!CW33,10))&amp;IF('_Engine'!CW33&gt;10,"?",""),IF('_Engine'!CW33=0,INDEX(Settings!$G$7:$G$11,MOD('_Engine'!CX33,10))&amp;IF('_Engine'!CX33&gt;10,"?","")&amp;" PM",IF('_Engine'!CX33=0,INDEX(Settings!$G$7:$G$11,MOD('_Engine'!CW33,10))&amp;IF('_Engine'!CW33&gt;10,"?","")&amp;" AM",INDEX(Settings!$G$7:$G$11,MOD('_Engine'!CW33,10))&amp;IF('_Engine'!CW33&gt;10,"?","")&amp;" AM"&amp;CHAR(10)&amp;INDEX(Settings!$G$7:$G$11,MOD('_Engine'!CX33,10))&amp;IF('_Engine'!CX33&gt;10,"?","")&amp;" PM"))))))))</ns0:f>
        <ns0:v/>
      </ns0:c>
      <ns0:c r="AB33" s="164" t="str">
        <ns0:f>IF(OR($A33="",AB$11=""),"",IF(OR('_Engine'!$B$6&gt;0,INDEX('_Engine'!$AM$11:$AM$60,'_Engine'!$AO33)&lt;&gt;"OK"),"!",IF(INDEX(Team!$H$11:$N$60,'_Engine'!$AO33,WEEKDAY(AB$11,2))&lt;&gt;"Work","—",IF(COUNTIF(Settings!$F$18:$F$67,AB$11)&gt;0,"BH",IF('_Engine'!CY33+'_Engine'!CZ33=0,"·",IF('_Engine'!CY33='_Engine'!CZ33,INDEX(Settings!$G$7:$G$11,MOD('_Engine'!CY33,10))&amp;IF('_Engine'!CY33&gt;10,"?",""),IF('_Engine'!CY33=0,INDEX(Settings!$G$7:$G$11,MOD('_Engine'!CZ33,10))&amp;IF('_Engine'!CZ33&gt;10,"?","")&amp;" PM",IF('_Engine'!CZ33=0,INDEX(Settings!$G$7:$G$11,MOD('_Engine'!CY33,10))&amp;IF('_Engine'!CY33&gt;10,"?","")&amp;" AM",INDEX(Settings!$G$7:$G$11,MOD('_Engine'!CY33,10))&amp;IF('_Engine'!CY33&gt;10,"?","")&amp;" AM"&amp;CHAR(10)&amp;INDEX(Settings!$G$7:$G$11,MOD('_Engine'!CZ33,10))&amp;IF('_Engine'!CZ33&gt;10,"?","")&amp;" PM"))))))))</ns0:f>
        <ns0:v/>
      </ns0:c>
      <ns0:c r="AC33" s="164" t="str">
        <ns0:f>IF(OR($A33="",AC$11=""),"",IF(OR('_Engine'!$B$6&gt;0,INDEX('_Engine'!$AM$11:$AM$60,'_Engine'!$AO33)&lt;&gt;"OK"),"!",IF(INDEX(Team!$H$11:$N$60,'_Engine'!$AO33,WEEKDAY(AC$11,2))&lt;&gt;"Work","—",IF(COUNTIF(Settings!$F$18:$F$67,AC$11)&gt;0,"BH",IF('_Engine'!DA33+'_Engine'!DB33=0,"·",IF('_Engine'!DA33='_Engine'!DB33,INDEX(Settings!$G$7:$G$11,MOD('_Engine'!DA33,10))&amp;IF('_Engine'!DA33&gt;10,"?",""),IF('_Engine'!DA33=0,INDEX(Settings!$G$7:$G$11,MOD('_Engine'!DB33,10))&amp;IF('_Engine'!DB33&gt;10,"?","")&amp;" PM",IF('_Engine'!DB33=0,INDEX(Settings!$G$7:$G$11,MOD('_Engine'!DA33,10))&amp;IF('_Engine'!DA33&gt;10,"?","")&amp;" AM",INDEX(Settings!$G$7:$G$11,MOD('_Engine'!DA33,10))&amp;IF('_Engine'!DA33&gt;10,"?","")&amp;" AM"&amp;CHAR(10)&amp;INDEX(Settings!$G$7:$G$11,MOD('_Engine'!DB33,10))&amp;IF('_Engine'!DB33&gt;10,"?","")&amp;" PM"))))))))</ns0:f>
        <ns0:v/>
      </ns0:c>
      <ns0:c r="AD33" s="164" t="str">
        <ns0:f>IF(OR($A33="",AD$11=""),"",IF(OR('_Engine'!$B$6&gt;0,INDEX('_Engine'!$AM$11:$AM$60,'_Engine'!$AO33)&lt;&gt;"OK"),"!",IF(INDEX(Team!$H$11:$N$60,'_Engine'!$AO33,WEEKDAY(AD$11,2))&lt;&gt;"Work","—",IF(COUNTIF(Settings!$F$18:$F$67,AD$11)&gt;0,"BH",IF('_Engine'!DC33+'_Engine'!DD33=0,"·",IF('_Engine'!DC33='_Engine'!DD33,INDEX(Settings!$G$7:$G$11,MOD('_Engine'!DC33,10))&amp;IF('_Engine'!DC33&gt;10,"?",""),IF('_Engine'!DC33=0,INDEX(Settings!$G$7:$G$11,MOD('_Engine'!DD33,10))&amp;IF('_Engine'!DD33&gt;10,"?","")&amp;" PM",IF('_Engine'!DD33=0,INDEX(Settings!$G$7:$G$11,MOD('_Engine'!DC33,10))&amp;IF('_Engine'!DC33&gt;10,"?","")&amp;" AM",INDEX(Settings!$G$7:$G$11,MOD('_Engine'!DC33,10))&amp;IF('_Engine'!DC33&gt;10,"?","")&amp;" AM"&amp;CHAR(10)&amp;INDEX(Settings!$G$7:$G$11,MOD('_Engine'!DD33,10))&amp;IF('_Engine'!DD33&gt;10,"?","")&amp;" PM"))))))))</ns0:f>
        <ns0:v/>
      </ns0:c>
      <ns0:c r="AE33" s="164" t="str">
        <ns0:f>IF(OR($A33="",AE$11=""),"",IF(OR('_Engine'!$B$6&gt;0,INDEX('_Engine'!$AM$11:$AM$60,'_Engine'!$AO33)&lt;&gt;"OK"),"!",IF(INDEX(Team!$H$11:$N$60,'_Engine'!$AO33,WEEKDAY(AE$11,2))&lt;&gt;"Work","—",IF(COUNTIF(Settings!$F$18:$F$67,AE$11)&gt;0,"BH",IF('_Engine'!DE33+'_Engine'!DF33=0,"·",IF('_Engine'!DE33='_Engine'!DF33,INDEX(Settings!$G$7:$G$11,MOD('_Engine'!DE33,10))&amp;IF('_Engine'!DE33&gt;10,"?",""),IF('_Engine'!DE33=0,INDEX(Settings!$G$7:$G$11,MOD('_Engine'!DF33,10))&amp;IF('_Engine'!DF33&gt;10,"?","")&amp;" PM",IF('_Engine'!DF33=0,INDEX(Settings!$G$7:$G$11,MOD('_Engine'!DE33,10))&amp;IF('_Engine'!DE33&gt;10,"?","")&amp;" AM",INDEX(Settings!$G$7:$G$11,MOD('_Engine'!DE33,10))&amp;IF('_Engine'!DE33&gt;10,"?","")&amp;" AM"&amp;CHAR(10)&amp;INDEX(Settings!$G$7:$G$11,MOD('_Engine'!DF33,10))&amp;IF('_Engine'!DF33&gt;10,"?","")&amp;" PM"))))))))</ns0:f>
        <ns0:v/>
      </ns0:c>
      <ns0:c r="AF33" s="164" t="str">
        <ns0:f>IF(OR($A33="",AF$11=""),"",IF(OR('_Engine'!$B$6&gt;0,INDEX('_Engine'!$AM$11:$AM$60,'_Engine'!$AO33)&lt;&gt;"OK"),"!",IF(INDEX(Team!$H$11:$N$60,'_Engine'!$AO33,WEEKDAY(AF$11,2))&lt;&gt;"Work","—",IF(COUNTIF(Settings!$F$18:$F$67,AF$11)&gt;0,"BH",IF('_Engine'!DG33+'_Engine'!DH33=0,"·",IF('_Engine'!DG33='_Engine'!DH33,INDEX(Settings!$G$7:$G$11,MOD('_Engine'!DG33,10))&amp;IF('_Engine'!DG33&gt;10,"?",""),IF('_Engine'!DG33=0,INDEX(Settings!$G$7:$G$11,MOD('_Engine'!DH33,10))&amp;IF('_Engine'!DH33&gt;10,"?","")&amp;" PM",IF('_Engine'!DH33=0,INDEX(Settings!$G$7:$G$11,MOD('_Engine'!DG33,10))&amp;IF('_Engine'!DG33&gt;10,"?","")&amp;" AM",INDEX(Settings!$G$7:$G$11,MOD('_Engine'!DG33,10))&amp;IF('_Engine'!DG33&gt;10,"?","")&amp;" AM"&amp;CHAR(10)&amp;INDEX(Settings!$G$7:$G$11,MOD('_Engine'!DH33,10))&amp;IF('_Engine'!DH33&gt;10,"?","")&amp;" PM"))))))))</ns0:f>
        <ns0:v/>
      </ns0:c>
      <ns0:c r="AG33" s="164" t="str">
        <ns0:f>IF(OR($A33="",AG$11=""),"",IF(OR('_Engine'!$B$6&gt;0,INDEX('_Engine'!$AM$11:$AM$60,'_Engine'!$AO33)&lt;&gt;"OK"),"!",IF(INDEX(Team!$H$11:$N$60,'_Engine'!$AO33,WEEKDAY(AG$11,2))&lt;&gt;"Work","—",IF(COUNTIF(Settings!$F$18:$F$67,AG$11)&gt;0,"BH",IF('_Engine'!DI33+'_Engine'!DJ33=0,"·",IF('_Engine'!DI33='_Engine'!DJ33,INDEX(Settings!$G$7:$G$11,MOD('_Engine'!DI33,10))&amp;IF('_Engine'!DI33&gt;10,"?",""),IF('_Engine'!DI33=0,INDEX(Settings!$G$7:$G$11,MOD('_Engine'!DJ33,10))&amp;IF('_Engine'!DJ33&gt;10,"?","")&amp;" PM",IF('_Engine'!DJ33=0,INDEX(Settings!$G$7:$G$11,MOD('_Engine'!DI33,10))&amp;IF('_Engine'!DI33&gt;10,"?","")&amp;" AM",INDEX(Settings!$G$7:$G$11,MOD('_Engine'!DI33,10))&amp;IF('_Engine'!DI33&gt;10,"?","")&amp;" AM"&amp;CHAR(10)&amp;INDEX(Settings!$G$7:$G$11,MOD('_Engine'!DJ33,10))&amp;IF('_Engine'!DJ33&gt;10,"?","")&amp;" PM"))))))))</ns0:f>
        <ns0:v/>
      </ns0:c>
      <ns0:c r="AH33" s="164" t="str">
        <ns0:f>IF(OR($A33="",AH$11=""),"",IF(OR('_Engine'!$B$6&gt;0,INDEX('_Engine'!$AM$11:$AM$60,'_Engine'!$AO33)&lt;&gt;"OK"),"!",IF(INDEX(Team!$H$11:$N$60,'_Engine'!$AO33,WEEKDAY(AH$11,2))&lt;&gt;"Work","—",IF(COUNTIF(Settings!$F$18:$F$67,AH$11)&gt;0,"BH",IF('_Engine'!DK33+'_Engine'!DL33=0,"·",IF('_Engine'!DK33='_Engine'!DL33,INDEX(Settings!$G$7:$G$11,MOD('_Engine'!DK33,10))&amp;IF('_Engine'!DK33&gt;10,"?",""),IF('_Engine'!DK33=0,INDEX(Settings!$G$7:$G$11,MOD('_Engine'!DL33,10))&amp;IF('_Engine'!DL33&gt;10,"?","")&amp;" PM",IF('_Engine'!DL33=0,INDEX(Settings!$G$7:$G$11,MOD('_Engine'!DK33,10))&amp;IF('_Engine'!DK33&gt;10,"?","")&amp;" AM",INDEX(Settings!$G$7:$G$11,MOD('_Engine'!DK33,10))&amp;IF('_Engine'!DK33&gt;10,"?","")&amp;" AM"&amp;CHAR(10)&amp;INDEX(Settings!$G$7:$G$11,MOD('_Engine'!DL33,10))&amp;IF('_Engine'!DL33&gt;10,"?","")&amp;" PM"))))))))</ns0:f>
        <ns0:v/>
      </ns0:c>
    </ns0:row>
    <ns0:row r="34" ht="38" customHeight="1">
      <ns0:c r="A34" s="4" t="str">
        <ns0:f>IF('_Engine'!AO34=0,"",IF(INDEX(Team!$B$11:$B$60,'_Engine'!AO34)="","[Unnamed]",INDEX(Team!$B$11:$B$60,'_Engine'!AO34)))</ns0:f>
        <ns0:v/>
      </ns0:c>
      <ns0:c r="B34" s="156" t="str">
        <ns0:f>IF('_Engine'!AO34=0,"",INDEX('_Engine'!$AN$11:$AN$60,'_Engine'!AO34))</ns0:f>
        <ns0:v/>
      </ns0:c>
      <ns0:c r="C34" s="4" t="str">
        <ns0:f>IF('_Engine'!AO34=0,"",INDEX(Team!$C$11:$C$60,'_Engine'!AO34))</ns0:f>
        <ns0:v/>
      </ns0:c>
      <ns0:c r="D34" s="162" t="str">
        <ns0:f>IF(OR($A34="",D$11=""),"",IF(OR('_Engine'!$B$6&gt;0,INDEX('_Engine'!$AM$11:$AM$60,'_Engine'!$AO34)&lt;&gt;"OK"),"!",IF(INDEX(Team!$H$11:$N$60,'_Engine'!$AO34,WEEKDAY(D$11,2))&lt;&gt;"Work","—",IF(COUNTIF(Settings!$F$18:$F$67,D$11)&gt;0,"BH",IF('_Engine'!BC34+'_Engine'!BD34=0,"·",IF('_Engine'!BC34='_Engine'!BD34,INDEX(Settings!$G$7:$G$11,MOD('_Engine'!BC34,10))&amp;IF('_Engine'!BC34&gt;10,"?",""),IF('_Engine'!BC34=0,INDEX(Settings!$G$7:$G$11,MOD('_Engine'!BD34,10))&amp;IF('_Engine'!BD34&gt;10,"?","")&amp;" PM",IF('_Engine'!BD34=0,INDEX(Settings!$G$7:$G$11,MOD('_Engine'!BC34,10))&amp;IF('_Engine'!BC34&gt;10,"?","")&amp;" AM",INDEX(Settings!$G$7:$G$11,MOD('_Engine'!BC34,10))&amp;IF('_Engine'!BC34&gt;10,"?","")&amp;" AM"&amp;CHAR(10)&amp;INDEX(Settings!$G$7:$G$11,MOD('_Engine'!BD34,10))&amp;IF('_Engine'!BD34&gt;10,"?","")&amp;" PM"))))))))</ns0:f>
        <ns0:v/>
      </ns0:c>
      <ns0:c r="E34" s="162" t="str">
        <ns0:f>IF(OR($A34="",E$11=""),"",IF(OR('_Engine'!$B$6&gt;0,INDEX('_Engine'!$AM$11:$AM$60,'_Engine'!$AO34)&lt;&gt;"OK"),"!",IF(INDEX(Team!$H$11:$N$60,'_Engine'!$AO34,WEEKDAY(E$11,2))&lt;&gt;"Work","—",IF(COUNTIF(Settings!$F$18:$F$67,E$11)&gt;0,"BH",IF('_Engine'!BE34+'_Engine'!BF34=0,"·",IF('_Engine'!BE34='_Engine'!BF34,INDEX(Settings!$G$7:$G$11,MOD('_Engine'!BE34,10))&amp;IF('_Engine'!BE34&gt;10,"?",""),IF('_Engine'!BE34=0,INDEX(Settings!$G$7:$G$11,MOD('_Engine'!BF34,10))&amp;IF('_Engine'!BF34&gt;10,"?","")&amp;" PM",IF('_Engine'!BF34=0,INDEX(Settings!$G$7:$G$11,MOD('_Engine'!BE34,10))&amp;IF('_Engine'!BE34&gt;10,"?","")&amp;" AM",INDEX(Settings!$G$7:$G$11,MOD('_Engine'!BE34,10))&amp;IF('_Engine'!BE34&gt;10,"?","")&amp;" AM"&amp;CHAR(10)&amp;INDEX(Settings!$G$7:$G$11,MOD('_Engine'!BF34,10))&amp;IF('_Engine'!BF34&gt;10,"?","")&amp;" PM"))))))))</ns0:f>
        <ns0:v/>
      </ns0:c>
      <ns0:c r="F34" s="162" t="str">
        <ns0:f>IF(OR($A34="",F$11=""),"",IF(OR('_Engine'!$B$6&gt;0,INDEX('_Engine'!$AM$11:$AM$60,'_Engine'!$AO34)&lt;&gt;"OK"),"!",IF(INDEX(Team!$H$11:$N$60,'_Engine'!$AO34,WEEKDAY(F$11,2))&lt;&gt;"Work","—",IF(COUNTIF(Settings!$F$18:$F$67,F$11)&gt;0,"BH",IF('_Engine'!BG34+'_Engine'!BH34=0,"·",IF('_Engine'!BG34='_Engine'!BH34,INDEX(Settings!$G$7:$G$11,MOD('_Engine'!BG34,10))&amp;IF('_Engine'!BG34&gt;10,"?",""),IF('_Engine'!BG34=0,INDEX(Settings!$G$7:$G$11,MOD('_Engine'!BH34,10))&amp;IF('_Engine'!BH34&gt;10,"?","")&amp;" PM",IF('_Engine'!BH34=0,INDEX(Settings!$G$7:$G$11,MOD('_Engine'!BG34,10))&amp;IF('_Engine'!BG34&gt;10,"?","")&amp;" AM",INDEX(Settings!$G$7:$G$11,MOD('_Engine'!BG34,10))&amp;IF('_Engine'!BG34&gt;10,"?","")&amp;" AM"&amp;CHAR(10)&amp;INDEX(Settings!$G$7:$G$11,MOD('_Engine'!BH34,10))&amp;IF('_Engine'!BH34&gt;10,"?","")&amp;" PM"))))))))</ns0:f>
        <ns0:v/>
      </ns0:c>
      <ns0:c r="G34" s="162" t="str">
        <ns0:f>IF(OR($A34="",G$11=""),"",IF(OR('_Engine'!$B$6&gt;0,INDEX('_Engine'!$AM$11:$AM$60,'_Engine'!$AO34)&lt;&gt;"OK"),"!",IF(INDEX(Team!$H$11:$N$60,'_Engine'!$AO34,WEEKDAY(G$11,2))&lt;&gt;"Work","—",IF(COUNTIF(Settings!$F$18:$F$67,G$11)&gt;0,"BH",IF('_Engine'!BI34+'_Engine'!BJ34=0,"·",IF('_Engine'!BI34='_Engine'!BJ34,INDEX(Settings!$G$7:$G$11,MOD('_Engine'!BI34,10))&amp;IF('_Engine'!BI34&gt;10,"?",""),IF('_Engine'!BI34=0,INDEX(Settings!$G$7:$G$11,MOD('_Engine'!BJ34,10))&amp;IF('_Engine'!BJ34&gt;10,"?","")&amp;" PM",IF('_Engine'!BJ34=0,INDEX(Settings!$G$7:$G$11,MOD('_Engine'!BI34,10))&amp;IF('_Engine'!BI34&gt;10,"?","")&amp;" AM",INDEX(Settings!$G$7:$G$11,MOD('_Engine'!BI34,10))&amp;IF('_Engine'!BI34&gt;10,"?","")&amp;" AM"&amp;CHAR(10)&amp;INDEX(Settings!$G$7:$G$11,MOD('_Engine'!BJ34,10))&amp;IF('_Engine'!BJ34&gt;10,"?","")&amp;" PM"))))))))</ns0:f>
        <ns0:v/>
      </ns0:c>
      <ns0:c r="H34" s="162" t="str">
        <ns0:f>IF(OR($A34="",H$11=""),"",IF(OR('_Engine'!$B$6&gt;0,INDEX('_Engine'!$AM$11:$AM$60,'_Engine'!$AO34)&lt;&gt;"OK"),"!",IF(INDEX(Team!$H$11:$N$60,'_Engine'!$AO34,WEEKDAY(H$11,2))&lt;&gt;"Work","—",IF(COUNTIF(Settings!$F$18:$F$67,H$11)&gt;0,"BH",IF('_Engine'!BK34+'_Engine'!BL34=0,"·",IF('_Engine'!BK34='_Engine'!BL34,INDEX(Settings!$G$7:$G$11,MOD('_Engine'!BK34,10))&amp;IF('_Engine'!BK34&gt;10,"?",""),IF('_Engine'!BK34=0,INDEX(Settings!$G$7:$G$11,MOD('_Engine'!BL34,10))&amp;IF('_Engine'!BL34&gt;10,"?","")&amp;" PM",IF('_Engine'!BL34=0,INDEX(Settings!$G$7:$G$11,MOD('_Engine'!BK34,10))&amp;IF('_Engine'!BK34&gt;10,"?","")&amp;" AM",INDEX(Settings!$G$7:$G$11,MOD('_Engine'!BK34,10))&amp;IF('_Engine'!BK34&gt;10,"?","")&amp;" AM"&amp;CHAR(10)&amp;INDEX(Settings!$G$7:$G$11,MOD('_Engine'!BL34,10))&amp;IF('_Engine'!BL34&gt;10,"?","")&amp;" PM"))))))))</ns0:f>
        <ns0:v/>
      </ns0:c>
      <ns0:c r="I34" s="162" t="str">
        <ns0:f>IF(OR($A34="",I$11=""),"",IF(OR('_Engine'!$B$6&gt;0,INDEX('_Engine'!$AM$11:$AM$60,'_Engine'!$AO34)&lt;&gt;"OK"),"!",IF(INDEX(Team!$H$11:$N$60,'_Engine'!$AO34,WEEKDAY(I$11,2))&lt;&gt;"Work","—",IF(COUNTIF(Settings!$F$18:$F$67,I$11)&gt;0,"BH",IF('_Engine'!BM34+'_Engine'!BN34=0,"·",IF('_Engine'!BM34='_Engine'!BN34,INDEX(Settings!$G$7:$G$11,MOD('_Engine'!BM34,10))&amp;IF('_Engine'!BM34&gt;10,"?",""),IF('_Engine'!BM34=0,INDEX(Settings!$G$7:$G$11,MOD('_Engine'!BN34,10))&amp;IF('_Engine'!BN34&gt;10,"?","")&amp;" PM",IF('_Engine'!BN34=0,INDEX(Settings!$G$7:$G$11,MOD('_Engine'!BM34,10))&amp;IF('_Engine'!BM34&gt;10,"?","")&amp;" AM",INDEX(Settings!$G$7:$G$11,MOD('_Engine'!BM34,10))&amp;IF('_Engine'!BM34&gt;10,"?","")&amp;" AM"&amp;CHAR(10)&amp;INDEX(Settings!$G$7:$G$11,MOD('_Engine'!BN34,10))&amp;IF('_Engine'!BN34&gt;10,"?","")&amp;" PM"))))))))</ns0:f>
        <ns0:v/>
      </ns0:c>
      <ns0:c r="J34" s="162" t="str">
        <ns0:f>IF(OR($A34="",J$11=""),"",IF(OR('_Engine'!$B$6&gt;0,INDEX('_Engine'!$AM$11:$AM$60,'_Engine'!$AO34)&lt;&gt;"OK"),"!",IF(INDEX(Team!$H$11:$N$60,'_Engine'!$AO34,WEEKDAY(J$11,2))&lt;&gt;"Work","—",IF(COUNTIF(Settings!$F$18:$F$67,J$11)&gt;0,"BH",IF('_Engine'!BO34+'_Engine'!BP34=0,"·",IF('_Engine'!BO34='_Engine'!BP34,INDEX(Settings!$G$7:$G$11,MOD('_Engine'!BO34,10))&amp;IF('_Engine'!BO34&gt;10,"?",""),IF('_Engine'!BO34=0,INDEX(Settings!$G$7:$G$11,MOD('_Engine'!BP34,10))&amp;IF('_Engine'!BP34&gt;10,"?","")&amp;" PM",IF('_Engine'!BP34=0,INDEX(Settings!$G$7:$G$11,MOD('_Engine'!BO34,10))&amp;IF('_Engine'!BO34&gt;10,"?","")&amp;" AM",INDEX(Settings!$G$7:$G$11,MOD('_Engine'!BO34,10))&amp;IF('_Engine'!BO34&gt;10,"?","")&amp;" AM"&amp;CHAR(10)&amp;INDEX(Settings!$G$7:$G$11,MOD('_Engine'!BP34,10))&amp;IF('_Engine'!BP34&gt;10,"?","")&amp;" PM"))))))))</ns0:f>
        <ns0:v/>
      </ns0:c>
      <ns0:c r="K34" s="164" t="str">
        <ns0:f>IF(OR($A34="",K$11=""),"",IF(OR('_Engine'!$B$6&gt;0,INDEX('_Engine'!$AM$11:$AM$60,'_Engine'!$AO34)&lt;&gt;"OK"),"!",IF(INDEX(Team!$H$11:$N$60,'_Engine'!$AO34,WEEKDAY(K$11,2))&lt;&gt;"Work","—",IF(COUNTIF(Settings!$F$18:$F$67,K$11)&gt;0,"BH",IF('_Engine'!BQ34+'_Engine'!BR34=0,"·",IF('_Engine'!BQ34='_Engine'!BR34,INDEX(Settings!$G$7:$G$11,MOD('_Engine'!BQ34,10))&amp;IF('_Engine'!BQ34&gt;10,"?",""),IF('_Engine'!BQ34=0,INDEX(Settings!$G$7:$G$11,MOD('_Engine'!BR34,10))&amp;IF('_Engine'!BR34&gt;10,"?","")&amp;" PM",IF('_Engine'!BR34=0,INDEX(Settings!$G$7:$G$11,MOD('_Engine'!BQ34,10))&amp;IF('_Engine'!BQ34&gt;10,"?","")&amp;" AM",INDEX(Settings!$G$7:$G$11,MOD('_Engine'!BQ34,10))&amp;IF('_Engine'!BQ34&gt;10,"?","")&amp;" AM"&amp;CHAR(10)&amp;INDEX(Settings!$G$7:$G$11,MOD('_Engine'!BR34,10))&amp;IF('_Engine'!BR34&gt;10,"?","")&amp;" PM"))))))))</ns0:f>
        <ns0:v/>
      </ns0:c>
      <ns0:c r="L34" s="164" t="str">
        <ns0:f>IF(OR($A34="",L$11=""),"",IF(OR('_Engine'!$B$6&gt;0,INDEX('_Engine'!$AM$11:$AM$60,'_Engine'!$AO34)&lt;&gt;"OK"),"!",IF(INDEX(Team!$H$11:$N$60,'_Engine'!$AO34,WEEKDAY(L$11,2))&lt;&gt;"Work","—",IF(COUNTIF(Settings!$F$18:$F$67,L$11)&gt;0,"BH",IF('_Engine'!BS34+'_Engine'!BT34=0,"·",IF('_Engine'!BS34='_Engine'!BT34,INDEX(Settings!$G$7:$G$11,MOD('_Engine'!BS34,10))&amp;IF('_Engine'!BS34&gt;10,"?",""),IF('_Engine'!BS34=0,INDEX(Settings!$G$7:$G$11,MOD('_Engine'!BT34,10))&amp;IF('_Engine'!BT34&gt;10,"?","")&amp;" PM",IF('_Engine'!BT34=0,INDEX(Settings!$G$7:$G$11,MOD('_Engine'!BS34,10))&amp;IF('_Engine'!BS34&gt;10,"?","")&amp;" AM",INDEX(Settings!$G$7:$G$11,MOD('_Engine'!BS34,10))&amp;IF('_Engine'!BS34&gt;10,"?","")&amp;" AM"&amp;CHAR(10)&amp;INDEX(Settings!$G$7:$G$11,MOD('_Engine'!BT34,10))&amp;IF('_Engine'!BT34&gt;10,"?","")&amp;" PM"))))))))</ns0:f>
        <ns0:v/>
      </ns0:c>
      <ns0:c r="M34" s="164" t="str">
        <ns0:f>IF(OR($A34="",M$11=""),"",IF(OR('_Engine'!$B$6&gt;0,INDEX('_Engine'!$AM$11:$AM$60,'_Engine'!$AO34)&lt;&gt;"OK"),"!",IF(INDEX(Team!$H$11:$N$60,'_Engine'!$AO34,WEEKDAY(M$11,2))&lt;&gt;"Work","—",IF(COUNTIF(Settings!$F$18:$F$67,M$11)&gt;0,"BH",IF('_Engine'!BU34+'_Engine'!BV34=0,"·",IF('_Engine'!BU34='_Engine'!BV34,INDEX(Settings!$G$7:$G$11,MOD('_Engine'!BU34,10))&amp;IF('_Engine'!BU34&gt;10,"?",""),IF('_Engine'!BU34=0,INDEX(Settings!$G$7:$G$11,MOD('_Engine'!BV34,10))&amp;IF('_Engine'!BV34&gt;10,"?","")&amp;" PM",IF('_Engine'!BV34=0,INDEX(Settings!$G$7:$G$11,MOD('_Engine'!BU34,10))&amp;IF('_Engine'!BU34&gt;10,"?","")&amp;" AM",INDEX(Settings!$G$7:$G$11,MOD('_Engine'!BU34,10))&amp;IF('_Engine'!BU34&gt;10,"?","")&amp;" AM"&amp;CHAR(10)&amp;INDEX(Settings!$G$7:$G$11,MOD('_Engine'!BV34,10))&amp;IF('_Engine'!BV34&gt;10,"?","")&amp;" PM"))))))))</ns0:f>
        <ns0:v/>
      </ns0:c>
      <ns0:c r="N34" s="164" t="str">
        <ns0:f>IF(OR($A34="",N$11=""),"",IF(OR('_Engine'!$B$6&gt;0,INDEX('_Engine'!$AM$11:$AM$60,'_Engine'!$AO34)&lt;&gt;"OK"),"!",IF(INDEX(Team!$H$11:$N$60,'_Engine'!$AO34,WEEKDAY(N$11,2))&lt;&gt;"Work","—",IF(COUNTIF(Settings!$F$18:$F$67,N$11)&gt;0,"BH",IF('_Engine'!BW34+'_Engine'!BX34=0,"·",IF('_Engine'!BW34='_Engine'!BX34,INDEX(Settings!$G$7:$G$11,MOD('_Engine'!BW34,10))&amp;IF('_Engine'!BW34&gt;10,"?",""),IF('_Engine'!BW34=0,INDEX(Settings!$G$7:$G$11,MOD('_Engine'!BX34,10))&amp;IF('_Engine'!BX34&gt;10,"?","")&amp;" PM",IF('_Engine'!BX34=0,INDEX(Settings!$G$7:$G$11,MOD('_Engine'!BW34,10))&amp;IF('_Engine'!BW34&gt;10,"?","")&amp;" AM",INDEX(Settings!$G$7:$G$11,MOD('_Engine'!BW34,10))&amp;IF('_Engine'!BW34&gt;10,"?","")&amp;" AM"&amp;CHAR(10)&amp;INDEX(Settings!$G$7:$G$11,MOD('_Engine'!BX34,10))&amp;IF('_Engine'!BX34&gt;10,"?","")&amp;" PM"))))))))</ns0:f>
        <ns0:v/>
      </ns0:c>
      <ns0:c r="O34" s="164" t="str">
        <ns0:f>IF(OR($A34="",O$11=""),"",IF(OR('_Engine'!$B$6&gt;0,INDEX('_Engine'!$AM$11:$AM$60,'_Engine'!$AO34)&lt;&gt;"OK"),"!",IF(INDEX(Team!$H$11:$N$60,'_Engine'!$AO34,WEEKDAY(O$11,2))&lt;&gt;"Work","—",IF(COUNTIF(Settings!$F$18:$F$67,O$11)&gt;0,"BH",IF('_Engine'!BY34+'_Engine'!BZ34=0,"·",IF('_Engine'!BY34='_Engine'!BZ34,INDEX(Settings!$G$7:$G$11,MOD('_Engine'!BY34,10))&amp;IF('_Engine'!BY34&gt;10,"?",""),IF('_Engine'!BY34=0,INDEX(Settings!$G$7:$G$11,MOD('_Engine'!BZ34,10))&amp;IF('_Engine'!BZ34&gt;10,"?","")&amp;" PM",IF('_Engine'!BZ34=0,INDEX(Settings!$G$7:$G$11,MOD('_Engine'!BY34,10))&amp;IF('_Engine'!BY34&gt;10,"?","")&amp;" AM",INDEX(Settings!$G$7:$G$11,MOD('_Engine'!BY34,10))&amp;IF('_Engine'!BY34&gt;10,"?","")&amp;" AM"&amp;CHAR(10)&amp;INDEX(Settings!$G$7:$G$11,MOD('_Engine'!BZ34,10))&amp;IF('_Engine'!BZ34&gt;10,"?","")&amp;" PM"))))))))</ns0:f>
        <ns0:v/>
      </ns0:c>
      <ns0:c r="P34" s="164" t="str">
        <ns0:f>IF(OR($A34="",P$11=""),"",IF(OR('_Engine'!$B$6&gt;0,INDEX('_Engine'!$AM$11:$AM$60,'_Engine'!$AO34)&lt;&gt;"OK"),"!",IF(INDEX(Team!$H$11:$N$60,'_Engine'!$AO34,WEEKDAY(P$11,2))&lt;&gt;"Work","—",IF(COUNTIF(Settings!$F$18:$F$67,P$11)&gt;0,"BH",IF('_Engine'!CA34+'_Engine'!CB34=0,"·",IF('_Engine'!CA34='_Engine'!CB34,INDEX(Settings!$G$7:$G$11,MOD('_Engine'!CA34,10))&amp;IF('_Engine'!CA34&gt;10,"?",""),IF('_Engine'!CA34=0,INDEX(Settings!$G$7:$G$11,MOD('_Engine'!CB34,10))&amp;IF('_Engine'!CB34&gt;10,"?","")&amp;" PM",IF('_Engine'!CB34=0,INDEX(Settings!$G$7:$G$11,MOD('_Engine'!CA34,10))&amp;IF('_Engine'!CA34&gt;10,"?","")&amp;" AM",INDEX(Settings!$G$7:$G$11,MOD('_Engine'!CA34,10))&amp;IF('_Engine'!CA34&gt;10,"?","")&amp;" AM"&amp;CHAR(10)&amp;INDEX(Settings!$G$7:$G$11,MOD('_Engine'!CB34,10))&amp;IF('_Engine'!CB34&gt;10,"?","")&amp;" PM"))))))))</ns0:f>
        <ns0:v/>
      </ns0:c>
      <ns0:c r="Q34" s="164" t="str">
        <ns0:f>IF(OR($A34="",Q$11=""),"",IF(OR('_Engine'!$B$6&gt;0,INDEX('_Engine'!$AM$11:$AM$60,'_Engine'!$AO34)&lt;&gt;"OK"),"!",IF(INDEX(Team!$H$11:$N$60,'_Engine'!$AO34,WEEKDAY(Q$11,2))&lt;&gt;"Work","—",IF(COUNTIF(Settings!$F$18:$F$67,Q$11)&gt;0,"BH",IF('_Engine'!CC34+'_Engine'!CD34=0,"·",IF('_Engine'!CC34='_Engine'!CD34,INDEX(Settings!$G$7:$G$11,MOD('_Engine'!CC34,10))&amp;IF('_Engine'!CC34&gt;10,"?",""),IF('_Engine'!CC34=0,INDEX(Settings!$G$7:$G$11,MOD('_Engine'!CD34,10))&amp;IF('_Engine'!CD34&gt;10,"?","")&amp;" PM",IF('_Engine'!CD34=0,INDEX(Settings!$G$7:$G$11,MOD('_Engine'!CC34,10))&amp;IF('_Engine'!CC34&gt;10,"?","")&amp;" AM",INDEX(Settings!$G$7:$G$11,MOD('_Engine'!CC34,10))&amp;IF('_Engine'!CC34&gt;10,"?","")&amp;" AM"&amp;CHAR(10)&amp;INDEX(Settings!$G$7:$G$11,MOD('_Engine'!CD34,10))&amp;IF('_Engine'!CD34&gt;10,"?","")&amp;" PM"))))))))</ns0:f>
        <ns0:v/>
      </ns0:c>
      <ns0:c r="R34" s="164" t="str">
        <ns0:f>IF(OR($A34="",R$11=""),"",IF(OR('_Engine'!$B$6&gt;0,INDEX('_Engine'!$AM$11:$AM$60,'_Engine'!$AO34)&lt;&gt;"OK"),"!",IF(INDEX(Team!$H$11:$N$60,'_Engine'!$AO34,WEEKDAY(R$11,2))&lt;&gt;"Work","—",IF(COUNTIF(Settings!$F$18:$F$67,R$11)&gt;0,"BH",IF('_Engine'!CE34+'_Engine'!CF34=0,"·",IF('_Engine'!CE34='_Engine'!CF34,INDEX(Settings!$G$7:$G$11,MOD('_Engine'!CE34,10))&amp;IF('_Engine'!CE34&gt;10,"?",""),IF('_Engine'!CE34=0,INDEX(Settings!$G$7:$G$11,MOD('_Engine'!CF34,10))&amp;IF('_Engine'!CF34&gt;10,"?","")&amp;" PM",IF('_Engine'!CF34=0,INDEX(Settings!$G$7:$G$11,MOD('_Engine'!CE34,10))&amp;IF('_Engine'!CE34&gt;10,"?","")&amp;" AM",INDEX(Settings!$G$7:$G$11,MOD('_Engine'!CE34,10))&amp;IF('_Engine'!CE34&gt;10,"?","")&amp;" AM"&amp;CHAR(10)&amp;INDEX(Settings!$G$7:$G$11,MOD('_Engine'!CF34,10))&amp;IF('_Engine'!CF34&gt;10,"?","")&amp;" PM"))))))))</ns0:f>
        <ns0:v/>
      </ns0:c>
      <ns0:c r="S34" s="164" t="str">
        <ns0:f>IF(OR($A34="",S$11=""),"",IF(OR('_Engine'!$B$6&gt;0,INDEX('_Engine'!$AM$11:$AM$60,'_Engine'!$AO34)&lt;&gt;"OK"),"!",IF(INDEX(Team!$H$11:$N$60,'_Engine'!$AO34,WEEKDAY(S$11,2))&lt;&gt;"Work","—",IF(COUNTIF(Settings!$F$18:$F$67,S$11)&gt;0,"BH",IF('_Engine'!CG34+'_Engine'!CH34=0,"·",IF('_Engine'!CG34='_Engine'!CH34,INDEX(Settings!$G$7:$G$11,MOD('_Engine'!CG34,10))&amp;IF('_Engine'!CG34&gt;10,"?",""),IF('_Engine'!CG34=0,INDEX(Settings!$G$7:$G$11,MOD('_Engine'!CH34,10))&amp;IF('_Engine'!CH34&gt;10,"?","")&amp;" PM",IF('_Engine'!CH34=0,INDEX(Settings!$G$7:$G$11,MOD('_Engine'!CG34,10))&amp;IF('_Engine'!CG34&gt;10,"?","")&amp;" AM",INDEX(Settings!$G$7:$G$11,MOD('_Engine'!CG34,10))&amp;IF('_Engine'!CG34&gt;10,"?","")&amp;" AM"&amp;CHAR(10)&amp;INDEX(Settings!$G$7:$G$11,MOD('_Engine'!CH34,10))&amp;IF('_Engine'!CH34&gt;10,"?","")&amp;" PM"))))))))</ns0:f>
        <ns0:v/>
      </ns0:c>
      <ns0:c r="T34" s="164" t="str">
        <ns0:f>IF(OR($A34="",T$11=""),"",IF(OR('_Engine'!$B$6&gt;0,INDEX('_Engine'!$AM$11:$AM$60,'_Engine'!$AO34)&lt;&gt;"OK"),"!",IF(INDEX(Team!$H$11:$N$60,'_Engine'!$AO34,WEEKDAY(T$11,2))&lt;&gt;"Work","—",IF(COUNTIF(Settings!$F$18:$F$67,T$11)&gt;0,"BH",IF('_Engine'!CI34+'_Engine'!CJ34=0,"·",IF('_Engine'!CI34='_Engine'!CJ34,INDEX(Settings!$G$7:$G$11,MOD('_Engine'!CI34,10))&amp;IF('_Engine'!CI34&gt;10,"?",""),IF('_Engine'!CI34=0,INDEX(Settings!$G$7:$G$11,MOD('_Engine'!CJ34,10))&amp;IF('_Engine'!CJ34&gt;10,"?","")&amp;" PM",IF('_Engine'!CJ34=0,INDEX(Settings!$G$7:$G$11,MOD('_Engine'!CI34,10))&amp;IF('_Engine'!CI34&gt;10,"?","")&amp;" AM",INDEX(Settings!$G$7:$G$11,MOD('_Engine'!CI34,10))&amp;IF('_Engine'!CI34&gt;10,"?","")&amp;" AM"&amp;CHAR(10)&amp;INDEX(Settings!$G$7:$G$11,MOD('_Engine'!CJ34,10))&amp;IF('_Engine'!CJ34&gt;10,"?","")&amp;" PM"))))))))</ns0:f>
        <ns0:v/>
      </ns0:c>
      <ns0:c r="U34" s="164" t="str">
        <ns0:f>IF(OR($A34="",U$11=""),"",IF(OR('_Engine'!$B$6&gt;0,INDEX('_Engine'!$AM$11:$AM$60,'_Engine'!$AO34)&lt;&gt;"OK"),"!",IF(INDEX(Team!$H$11:$N$60,'_Engine'!$AO34,WEEKDAY(U$11,2))&lt;&gt;"Work","—",IF(COUNTIF(Settings!$F$18:$F$67,U$11)&gt;0,"BH",IF('_Engine'!CK34+'_Engine'!CL34=0,"·",IF('_Engine'!CK34='_Engine'!CL34,INDEX(Settings!$G$7:$G$11,MOD('_Engine'!CK34,10))&amp;IF('_Engine'!CK34&gt;10,"?",""),IF('_Engine'!CK34=0,INDEX(Settings!$G$7:$G$11,MOD('_Engine'!CL34,10))&amp;IF('_Engine'!CL34&gt;10,"?","")&amp;" PM",IF('_Engine'!CL34=0,INDEX(Settings!$G$7:$G$11,MOD('_Engine'!CK34,10))&amp;IF('_Engine'!CK34&gt;10,"?","")&amp;" AM",INDEX(Settings!$G$7:$G$11,MOD('_Engine'!CK34,10))&amp;IF('_Engine'!CK34&gt;10,"?","")&amp;" AM"&amp;CHAR(10)&amp;INDEX(Settings!$G$7:$G$11,MOD('_Engine'!CL34,10))&amp;IF('_Engine'!CL34&gt;10,"?","")&amp;" PM"))))))))</ns0:f>
        <ns0:v/>
      </ns0:c>
      <ns0:c r="V34" s="164" t="str">
        <ns0:f>IF(OR($A34="",V$11=""),"",IF(OR('_Engine'!$B$6&gt;0,INDEX('_Engine'!$AM$11:$AM$60,'_Engine'!$AO34)&lt;&gt;"OK"),"!",IF(INDEX(Team!$H$11:$N$60,'_Engine'!$AO34,WEEKDAY(V$11,2))&lt;&gt;"Work","—",IF(COUNTIF(Settings!$F$18:$F$67,V$11)&gt;0,"BH",IF('_Engine'!CM34+'_Engine'!CN34=0,"·",IF('_Engine'!CM34='_Engine'!CN34,INDEX(Settings!$G$7:$G$11,MOD('_Engine'!CM34,10))&amp;IF('_Engine'!CM34&gt;10,"?",""),IF('_Engine'!CM34=0,INDEX(Settings!$G$7:$G$11,MOD('_Engine'!CN34,10))&amp;IF('_Engine'!CN34&gt;10,"?","")&amp;" PM",IF('_Engine'!CN34=0,INDEX(Settings!$G$7:$G$11,MOD('_Engine'!CM34,10))&amp;IF('_Engine'!CM34&gt;10,"?","")&amp;" AM",INDEX(Settings!$G$7:$G$11,MOD('_Engine'!CM34,10))&amp;IF('_Engine'!CM34&gt;10,"?","")&amp;" AM"&amp;CHAR(10)&amp;INDEX(Settings!$G$7:$G$11,MOD('_Engine'!CN34,10))&amp;IF('_Engine'!CN34&gt;10,"?","")&amp;" PM"))))))))</ns0:f>
        <ns0:v/>
      </ns0:c>
      <ns0:c r="W34" s="164" t="str">
        <ns0:f>IF(OR($A34="",W$11=""),"",IF(OR('_Engine'!$B$6&gt;0,INDEX('_Engine'!$AM$11:$AM$60,'_Engine'!$AO34)&lt;&gt;"OK"),"!",IF(INDEX(Team!$H$11:$N$60,'_Engine'!$AO34,WEEKDAY(W$11,2))&lt;&gt;"Work","—",IF(COUNTIF(Settings!$F$18:$F$67,W$11)&gt;0,"BH",IF('_Engine'!CO34+'_Engine'!CP34=0,"·",IF('_Engine'!CO34='_Engine'!CP34,INDEX(Settings!$G$7:$G$11,MOD('_Engine'!CO34,10))&amp;IF('_Engine'!CO34&gt;10,"?",""),IF('_Engine'!CO34=0,INDEX(Settings!$G$7:$G$11,MOD('_Engine'!CP34,10))&amp;IF('_Engine'!CP34&gt;10,"?","")&amp;" PM",IF('_Engine'!CP34=0,INDEX(Settings!$G$7:$G$11,MOD('_Engine'!CO34,10))&amp;IF('_Engine'!CO34&gt;10,"?","")&amp;" AM",INDEX(Settings!$G$7:$G$11,MOD('_Engine'!CO34,10))&amp;IF('_Engine'!CO34&gt;10,"?","")&amp;" AM"&amp;CHAR(10)&amp;INDEX(Settings!$G$7:$G$11,MOD('_Engine'!CP34,10))&amp;IF('_Engine'!CP34&gt;10,"?","")&amp;" PM"))))))))</ns0:f>
        <ns0:v/>
      </ns0:c>
      <ns0:c r="X34" s="164" t="str">
        <ns0:f>IF(OR($A34="",X$11=""),"",IF(OR('_Engine'!$B$6&gt;0,INDEX('_Engine'!$AM$11:$AM$60,'_Engine'!$AO34)&lt;&gt;"OK"),"!",IF(INDEX(Team!$H$11:$N$60,'_Engine'!$AO34,WEEKDAY(X$11,2))&lt;&gt;"Work","—",IF(COUNTIF(Settings!$F$18:$F$67,X$11)&gt;0,"BH",IF('_Engine'!CQ34+'_Engine'!CR34=0,"·",IF('_Engine'!CQ34='_Engine'!CR34,INDEX(Settings!$G$7:$G$11,MOD('_Engine'!CQ34,10))&amp;IF('_Engine'!CQ34&gt;10,"?",""),IF('_Engine'!CQ34=0,INDEX(Settings!$G$7:$G$11,MOD('_Engine'!CR34,10))&amp;IF('_Engine'!CR34&gt;10,"?","")&amp;" PM",IF('_Engine'!CR34=0,INDEX(Settings!$G$7:$G$11,MOD('_Engine'!CQ34,10))&amp;IF('_Engine'!CQ34&gt;10,"?","")&amp;" AM",INDEX(Settings!$G$7:$G$11,MOD('_Engine'!CQ34,10))&amp;IF('_Engine'!CQ34&gt;10,"?","")&amp;" AM"&amp;CHAR(10)&amp;INDEX(Settings!$G$7:$G$11,MOD('_Engine'!CR34,10))&amp;IF('_Engine'!CR34&gt;10,"?","")&amp;" PM"))))))))</ns0:f>
        <ns0:v/>
      </ns0:c>
      <ns0:c r="Y34" s="164" t="str">
        <ns0:f>IF(OR($A34="",Y$11=""),"",IF(OR('_Engine'!$B$6&gt;0,INDEX('_Engine'!$AM$11:$AM$60,'_Engine'!$AO34)&lt;&gt;"OK"),"!",IF(INDEX(Team!$H$11:$N$60,'_Engine'!$AO34,WEEKDAY(Y$11,2))&lt;&gt;"Work","—",IF(COUNTIF(Settings!$F$18:$F$67,Y$11)&gt;0,"BH",IF('_Engine'!CS34+'_Engine'!CT34=0,"·",IF('_Engine'!CS34='_Engine'!CT34,INDEX(Settings!$G$7:$G$11,MOD('_Engine'!CS34,10))&amp;IF('_Engine'!CS34&gt;10,"?",""),IF('_Engine'!CS34=0,INDEX(Settings!$G$7:$G$11,MOD('_Engine'!CT34,10))&amp;IF('_Engine'!CT34&gt;10,"?","")&amp;" PM",IF('_Engine'!CT34=0,INDEX(Settings!$G$7:$G$11,MOD('_Engine'!CS34,10))&amp;IF('_Engine'!CS34&gt;10,"?","")&amp;" AM",INDEX(Settings!$G$7:$G$11,MOD('_Engine'!CS34,10))&amp;IF('_Engine'!CS34&gt;10,"?","")&amp;" AM"&amp;CHAR(10)&amp;INDEX(Settings!$G$7:$G$11,MOD('_Engine'!CT34,10))&amp;IF('_Engine'!CT34&gt;10,"?","")&amp;" PM"))))))))</ns0:f>
        <ns0:v/>
      </ns0:c>
      <ns0:c r="Z34" s="164" t="str">
        <ns0:f>IF(OR($A34="",Z$11=""),"",IF(OR('_Engine'!$B$6&gt;0,INDEX('_Engine'!$AM$11:$AM$60,'_Engine'!$AO34)&lt;&gt;"OK"),"!",IF(INDEX(Team!$H$11:$N$60,'_Engine'!$AO34,WEEKDAY(Z$11,2))&lt;&gt;"Work","—",IF(COUNTIF(Settings!$F$18:$F$67,Z$11)&gt;0,"BH",IF('_Engine'!CU34+'_Engine'!CV34=0,"·",IF('_Engine'!CU34='_Engine'!CV34,INDEX(Settings!$G$7:$G$11,MOD('_Engine'!CU34,10))&amp;IF('_Engine'!CU34&gt;10,"?",""),IF('_Engine'!CU34=0,INDEX(Settings!$G$7:$G$11,MOD('_Engine'!CV34,10))&amp;IF('_Engine'!CV34&gt;10,"?","")&amp;" PM",IF('_Engine'!CV34=0,INDEX(Settings!$G$7:$G$11,MOD('_Engine'!CU34,10))&amp;IF('_Engine'!CU34&gt;10,"?","")&amp;" AM",INDEX(Settings!$G$7:$G$11,MOD('_Engine'!CU34,10))&amp;IF('_Engine'!CU34&gt;10,"?","")&amp;" AM"&amp;CHAR(10)&amp;INDEX(Settings!$G$7:$G$11,MOD('_Engine'!CV34,10))&amp;IF('_Engine'!CV34&gt;10,"?","")&amp;" PM"))))))))</ns0:f>
        <ns0:v/>
      </ns0:c>
      <ns0:c r="AA34" s="164" t="str">
        <ns0:f>IF(OR($A34="",AA$11=""),"",IF(OR('_Engine'!$B$6&gt;0,INDEX('_Engine'!$AM$11:$AM$60,'_Engine'!$AO34)&lt;&gt;"OK"),"!",IF(INDEX(Team!$H$11:$N$60,'_Engine'!$AO34,WEEKDAY(AA$11,2))&lt;&gt;"Work","—",IF(COUNTIF(Settings!$F$18:$F$67,AA$11)&gt;0,"BH",IF('_Engine'!CW34+'_Engine'!CX34=0,"·",IF('_Engine'!CW34='_Engine'!CX34,INDEX(Settings!$G$7:$G$11,MOD('_Engine'!CW34,10))&amp;IF('_Engine'!CW34&gt;10,"?",""),IF('_Engine'!CW34=0,INDEX(Settings!$G$7:$G$11,MOD('_Engine'!CX34,10))&amp;IF('_Engine'!CX34&gt;10,"?","")&amp;" PM",IF('_Engine'!CX34=0,INDEX(Settings!$G$7:$G$11,MOD('_Engine'!CW34,10))&amp;IF('_Engine'!CW34&gt;10,"?","")&amp;" AM",INDEX(Settings!$G$7:$G$11,MOD('_Engine'!CW34,10))&amp;IF('_Engine'!CW34&gt;10,"?","")&amp;" AM"&amp;CHAR(10)&amp;INDEX(Settings!$G$7:$G$11,MOD('_Engine'!CX34,10))&amp;IF('_Engine'!CX34&gt;10,"?","")&amp;" PM"))))))))</ns0:f>
        <ns0:v/>
      </ns0:c>
      <ns0:c r="AB34" s="164" t="str">
        <ns0:f>IF(OR($A34="",AB$11=""),"",IF(OR('_Engine'!$B$6&gt;0,INDEX('_Engine'!$AM$11:$AM$60,'_Engine'!$AO34)&lt;&gt;"OK"),"!",IF(INDEX(Team!$H$11:$N$60,'_Engine'!$AO34,WEEKDAY(AB$11,2))&lt;&gt;"Work","—",IF(COUNTIF(Settings!$F$18:$F$67,AB$11)&gt;0,"BH",IF('_Engine'!CY34+'_Engine'!CZ34=0,"·",IF('_Engine'!CY34='_Engine'!CZ34,INDEX(Settings!$G$7:$G$11,MOD('_Engine'!CY34,10))&amp;IF('_Engine'!CY34&gt;10,"?",""),IF('_Engine'!CY34=0,INDEX(Settings!$G$7:$G$11,MOD('_Engine'!CZ34,10))&amp;IF('_Engine'!CZ34&gt;10,"?","")&amp;" PM",IF('_Engine'!CZ34=0,INDEX(Settings!$G$7:$G$11,MOD('_Engine'!CY34,10))&amp;IF('_Engine'!CY34&gt;10,"?","")&amp;" AM",INDEX(Settings!$G$7:$G$11,MOD('_Engine'!CY34,10))&amp;IF('_Engine'!CY34&gt;10,"?","")&amp;" AM"&amp;CHAR(10)&amp;INDEX(Settings!$G$7:$G$11,MOD('_Engine'!CZ34,10))&amp;IF('_Engine'!CZ34&gt;10,"?","")&amp;" PM"))))))))</ns0:f>
        <ns0:v/>
      </ns0:c>
      <ns0:c r="AC34" s="164" t="str">
        <ns0:f>IF(OR($A34="",AC$11=""),"",IF(OR('_Engine'!$B$6&gt;0,INDEX('_Engine'!$AM$11:$AM$60,'_Engine'!$AO34)&lt;&gt;"OK"),"!",IF(INDEX(Team!$H$11:$N$60,'_Engine'!$AO34,WEEKDAY(AC$11,2))&lt;&gt;"Work","—",IF(COUNTIF(Settings!$F$18:$F$67,AC$11)&gt;0,"BH",IF('_Engine'!DA34+'_Engine'!DB34=0,"·",IF('_Engine'!DA34='_Engine'!DB34,INDEX(Settings!$G$7:$G$11,MOD('_Engine'!DA34,10))&amp;IF('_Engine'!DA34&gt;10,"?",""),IF('_Engine'!DA34=0,INDEX(Settings!$G$7:$G$11,MOD('_Engine'!DB34,10))&amp;IF('_Engine'!DB34&gt;10,"?","")&amp;" PM",IF('_Engine'!DB34=0,INDEX(Settings!$G$7:$G$11,MOD('_Engine'!DA34,10))&amp;IF('_Engine'!DA34&gt;10,"?","")&amp;" AM",INDEX(Settings!$G$7:$G$11,MOD('_Engine'!DA34,10))&amp;IF('_Engine'!DA34&gt;10,"?","")&amp;" AM"&amp;CHAR(10)&amp;INDEX(Settings!$G$7:$G$11,MOD('_Engine'!DB34,10))&amp;IF('_Engine'!DB34&gt;10,"?","")&amp;" PM"))))))))</ns0:f>
        <ns0:v/>
      </ns0:c>
      <ns0:c r="AD34" s="164" t="str">
        <ns0:f>IF(OR($A34="",AD$11=""),"",IF(OR('_Engine'!$B$6&gt;0,INDEX('_Engine'!$AM$11:$AM$60,'_Engine'!$AO34)&lt;&gt;"OK"),"!",IF(INDEX(Team!$H$11:$N$60,'_Engine'!$AO34,WEEKDAY(AD$11,2))&lt;&gt;"Work","—",IF(COUNTIF(Settings!$F$18:$F$67,AD$11)&gt;0,"BH",IF('_Engine'!DC34+'_Engine'!DD34=0,"·",IF('_Engine'!DC34='_Engine'!DD34,INDEX(Settings!$G$7:$G$11,MOD('_Engine'!DC34,10))&amp;IF('_Engine'!DC34&gt;10,"?",""),IF('_Engine'!DC34=0,INDEX(Settings!$G$7:$G$11,MOD('_Engine'!DD34,10))&amp;IF('_Engine'!DD34&gt;10,"?","")&amp;" PM",IF('_Engine'!DD34=0,INDEX(Settings!$G$7:$G$11,MOD('_Engine'!DC34,10))&amp;IF('_Engine'!DC34&gt;10,"?","")&amp;" AM",INDEX(Settings!$G$7:$G$11,MOD('_Engine'!DC34,10))&amp;IF('_Engine'!DC34&gt;10,"?","")&amp;" AM"&amp;CHAR(10)&amp;INDEX(Settings!$G$7:$G$11,MOD('_Engine'!DD34,10))&amp;IF('_Engine'!DD34&gt;10,"?","")&amp;" PM"))))))))</ns0:f>
        <ns0:v/>
      </ns0:c>
      <ns0:c r="AE34" s="164" t="str">
        <ns0:f>IF(OR($A34="",AE$11=""),"",IF(OR('_Engine'!$B$6&gt;0,INDEX('_Engine'!$AM$11:$AM$60,'_Engine'!$AO34)&lt;&gt;"OK"),"!",IF(INDEX(Team!$H$11:$N$60,'_Engine'!$AO34,WEEKDAY(AE$11,2))&lt;&gt;"Work","—",IF(COUNTIF(Settings!$F$18:$F$67,AE$11)&gt;0,"BH",IF('_Engine'!DE34+'_Engine'!DF34=0,"·",IF('_Engine'!DE34='_Engine'!DF34,INDEX(Settings!$G$7:$G$11,MOD('_Engine'!DE34,10))&amp;IF('_Engine'!DE34&gt;10,"?",""),IF('_Engine'!DE34=0,INDEX(Settings!$G$7:$G$11,MOD('_Engine'!DF34,10))&amp;IF('_Engine'!DF34&gt;10,"?","")&amp;" PM",IF('_Engine'!DF34=0,INDEX(Settings!$G$7:$G$11,MOD('_Engine'!DE34,10))&amp;IF('_Engine'!DE34&gt;10,"?","")&amp;" AM",INDEX(Settings!$G$7:$G$11,MOD('_Engine'!DE34,10))&amp;IF('_Engine'!DE34&gt;10,"?","")&amp;" AM"&amp;CHAR(10)&amp;INDEX(Settings!$G$7:$G$11,MOD('_Engine'!DF34,10))&amp;IF('_Engine'!DF34&gt;10,"?","")&amp;" PM"))))))))</ns0:f>
        <ns0:v/>
      </ns0:c>
      <ns0:c r="AF34" s="164" t="str">
        <ns0:f>IF(OR($A34="",AF$11=""),"",IF(OR('_Engine'!$B$6&gt;0,INDEX('_Engine'!$AM$11:$AM$60,'_Engine'!$AO34)&lt;&gt;"OK"),"!",IF(INDEX(Team!$H$11:$N$60,'_Engine'!$AO34,WEEKDAY(AF$11,2))&lt;&gt;"Work","—",IF(COUNTIF(Settings!$F$18:$F$67,AF$11)&gt;0,"BH",IF('_Engine'!DG34+'_Engine'!DH34=0,"·",IF('_Engine'!DG34='_Engine'!DH34,INDEX(Settings!$G$7:$G$11,MOD('_Engine'!DG34,10))&amp;IF('_Engine'!DG34&gt;10,"?",""),IF('_Engine'!DG34=0,INDEX(Settings!$G$7:$G$11,MOD('_Engine'!DH34,10))&amp;IF('_Engine'!DH34&gt;10,"?","")&amp;" PM",IF('_Engine'!DH34=0,INDEX(Settings!$G$7:$G$11,MOD('_Engine'!DG34,10))&amp;IF('_Engine'!DG34&gt;10,"?","")&amp;" AM",INDEX(Settings!$G$7:$G$11,MOD('_Engine'!DG34,10))&amp;IF('_Engine'!DG34&gt;10,"?","")&amp;" AM"&amp;CHAR(10)&amp;INDEX(Settings!$G$7:$G$11,MOD('_Engine'!DH34,10))&amp;IF('_Engine'!DH34&gt;10,"?","")&amp;" PM"))))))))</ns0:f>
        <ns0:v/>
      </ns0:c>
      <ns0:c r="AG34" s="164" t="str">
        <ns0:f>IF(OR($A34="",AG$11=""),"",IF(OR('_Engine'!$B$6&gt;0,INDEX('_Engine'!$AM$11:$AM$60,'_Engine'!$AO34)&lt;&gt;"OK"),"!",IF(INDEX(Team!$H$11:$N$60,'_Engine'!$AO34,WEEKDAY(AG$11,2))&lt;&gt;"Work","—",IF(COUNTIF(Settings!$F$18:$F$67,AG$11)&gt;0,"BH",IF('_Engine'!DI34+'_Engine'!DJ34=0,"·",IF('_Engine'!DI34='_Engine'!DJ34,INDEX(Settings!$G$7:$G$11,MOD('_Engine'!DI34,10))&amp;IF('_Engine'!DI34&gt;10,"?",""),IF('_Engine'!DI34=0,INDEX(Settings!$G$7:$G$11,MOD('_Engine'!DJ34,10))&amp;IF('_Engine'!DJ34&gt;10,"?","")&amp;" PM",IF('_Engine'!DJ34=0,INDEX(Settings!$G$7:$G$11,MOD('_Engine'!DI34,10))&amp;IF('_Engine'!DI34&gt;10,"?","")&amp;" AM",INDEX(Settings!$G$7:$G$11,MOD('_Engine'!DI34,10))&amp;IF('_Engine'!DI34&gt;10,"?","")&amp;" AM"&amp;CHAR(10)&amp;INDEX(Settings!$G$7:$G$11,MOD('_Engine'!DJ34,10))&amp;IF('_Engine'!DJ34&gt;10,"?","")&amp;" PM"))))))))</ns0:f>
        <ns0:v/>
      </ns0:c>
      <ns0:c r="AH34" s="164" t="str">
        <ns0:f>IF(OR($A34="",AH$11=""),"",IF(OR('_Engine'!$B$6&gt;0,INDEX('_Engine'!$AM$11:$AM$60,'_Engine'!$AO34)&lt;&gt;"OK"),"!",IF(INDEX(Team!$H$11:$N$60,'_Engine'!$AO34,WEEKDAY(AH$11,2))&lt;&gt;"Work","—",IF(COUNTIF(Settings!$F$18:$F$67,AH$11)&gt;0,"BH",IF('_Engine'!DK34+'_Engine'!DL34=0,"·",IF('_Engine'!DK34='_Engine'!DL34,INDEX(Settings!$G$7:$G$11,MOD('_Engine'!DK34,10))&amp;IF('_Engine'!DK34&gt;10,"?",""),IF('_Engine'!DK34=0,INDEX(Settings!$G$7:$G$11,MOD('_Engine'!DL34,10))&amp;IF('_Engine'!DL34&gt;10,"?","")&amp;" PM",IF('_Engine'!DL34=0,INDEX(Settings!$G$7:$G$11,MOD('_Engine'!DK34,10))&amp;IF('_Engine'!DK34&gt;10,"?","")&amp;" AM",INDEX(Settings!$G$7:$G$11,MOD('_Engine'!DK34,10))&amp;IF('_Engine'!DK34&gt;10,"?","")&amp;" AM"&amp;CHAR(10)&amp;INDEX(Settings!$G$7:$G$11,MOD('_Engine'!DL34,10))&amp;IF('_Engine'!DL34&gt;10,"?","")&amp;" PM"))))))))</ns0:f>
        <ns0:v/>
      </ns0:c>
    </ns0:row>
    <ns0:row r="35" ht="38" customHeight="1">
      <ns0:c r="A35" s="4" t="str">
        <ns0:f>IF('_Engine'!AO35=0,"",IF(INDEX(Team!$B$11:$B$60,'_Engine'!AO35)="","[Unnamed]",INDEX(Team!$B$11:$B$60,'_Engine'!AO35)))</ns0:f>
        <ns0:v/>
      </ns0:c>
      <ns0:c r="B35" s="156" t="str">
        <ns0:f>IF('_Engine'!AO35=0,"",INDEX('_Engine'!$AN$11:$AN$60,'_Engine'!AO35))</ns0:f>
        <ns0:v/>
      </ns0:c>
      <ns0:c r="C35" s="4" t="str">
        <ns0:f>IF('_Engine'!AO35=0,"",INDEX(Team!$C$11:$C$60,'_Engine'!AO35))</ns0:f>
        <ns0:v/>
      </ns0:c>
      <ns0:c r="D35" s="162" t="str">
        <ns0:f>IF(OR($A35="",D$11=""),"",IF(OR('_Engine'!$B$6&gt;0,INDEX('_Engine'!$AM$11:$AM$60,'_Engine'!$AO35)&lt;&gt;"OK"),"!",IF(INDEX(Team!$H$11:$N$60,'_Engine'!$AO35,WEEKDAY(D$11,2))&lt;&gt;"Work","—",IF(COUNTIF(Settings!$F$18:$F$67,D$11)&gt;0,"BH",IF('_Engine'!BC35+'_Engine'!BD35=0,"·",IF('_Engine'!BC35='_Engine'!BD35,INDEX(Settings!$G$7:$G$11,MOD('_Engine'!BC35,10))&amp;IF('_Engine'!BC35&gt;10,"?",""),IF('_Engine'!BC35=0,INDEX(Settings!$G$7:$G$11,MOD('_Engine'!BD35,10))&amp;IF('_Engine'!BD35&gt;10,"?","")&amp;" PM",IF('_Engine'!BD35=0,INDEX(Settings!$G$7:$G$11,MOD('_Engine'!BC35,10))&amp;IF('_Engine'!BC35&gt;10,"?","")&amp;" AM",INDEX(Settings!$G$7:$G$11,MOD('_Engine'!BC35,10))&amp;IF('_Engine'!BC35&gt;10,"?","")&amp;" AM"&amp;CHAR(10)&amp;INDEX(Settings!$G$7:$G$11,MOD('_Engine'!BD35,10))&amp;IF('_Engine'!BD35&gt;10,"?","")&amp;" PM"))))))))</ns0:f>
        <ns0:v/>
      </ns0:c>
      <ns0:c r="E35" s="162" t="str">
        <ns0:f>IF(OR($A35="",E$11=""),"",IF(OR('_Engine'!$B$6&gt;0,INDEX('_Engine'!$AM$11:$AM$60,'_Engine'!$AO35)&lt;&gt;"OK"),"!",IF(INDEX(Team!$H$11:$N$60,'_Engine'!$AO35,WEEKDAY(E$11,2))&lt;&gt;"Work","—",IF(COUNTIF(Settings!$F$18:$F$67,E$11)&gt;0,"BH",IF('_Engine'!BE35+'_Engine'!BF35=0,"·",IF('_Engine'!BE35='_Engine'!BF35,INDEX(Settings!$G$7:$G$11,MOD('_Engine'!BE35,10))&amp;IF('_Engine'!BE35&gt;10,"?",""),IF('_Engine'!BE35=0,INDEX(Settings!$G$7:$G$11,MOD('_Engine'!BF35,10))&amp;IF('_Engine'!BF35&gt;10,"?","")&amp;" PM",IF('_Engine'!BF35=0,INDEX(Settings!$G$7:$G$11,MOD('_Engine'!BE35,10))&amp;IF('_Engine'!BE35&gt;10,"?","")&amp;" AM",INDEX(Settings!$G$7:$G$11,MOD('_Engine'!BE35,10))&amp;IF('_Engine'!BE35&gt;10,"?","")&amp;" AM"&amp;CHAR(10)&amp;INDEX(Settings!$G$7:$G$11,MOD('_Engine'!BF35,10))&amp;IF('_Engine'!BF35&gt;10,"?","")&amp;" PM"))))))))</ns0:f>
        <ns0:v/>
      </ns0:c>
      <ns0:c r="F35" s="162" t="str">
        <ns0:f>IF(OR($A35="",F$11=""),"",IF(OR('_Engine'!$B$6&gt;0,INDEX('_Engine'!$AM$11:$AM$60,'_Engine'!$AO35)&lt;&gt;"OK"),"!",IF(INDEX(Team!$H$11:$N$60,'_Engine'!$AO35,WEEKDAY(F$11,2))&lt;&gt;"Work","—",IF(COUNTIF(Settings!$F$18:$F$67,F$11)&gt;0,"BH",IF('_Engine'!BG35+'_Engine'!BH35=0,"·",IF('_Engine'!BG35='_Engine'!BH35,INDEX(Settings!$G$7:$G$11,MOD('_Engine'!BG35,10))&amp;IF('_Engine'!BG35&gt;10,"?",""),IF('_Engine'!BG35=0,INDEX(Settings!$G$7:$G$11,MOD('_Engine'!BH35,10))&amp;IF('_Engine'!BH35&gt;10,"?","")&amp;" PM",IF('_Engine'!BH35=0,INDEX(Settings!$G$7:$G$11,MOD('_Engine'!BG35,10))&amp;IF('_Engine'!BG35&gt;10,"?","")&amp;" AM",INDEX(Settings!$G$7:$G$11,MOD('_Engine'!BG35,10))&amp;IF('_Engine'!BG35&gt;10,"?","")&amp;" AM"&amp;CHAR(10)&amp;INDEX(Settings!$G$7:$G$11,MOD('_Engine'!BH35,10))&amp;IF('_Engine'!BH35&gt;10,"?","")&amp;" PM"))))))))</ns0:f>
        <ns0:v/>
      </ns0:c>
      <ns0:c r="G35" s="162" t="str">
        <ns0:f>IF(OR($A35="",G$11=""),"",IF(OR('_Engine'!$B$6&gt;0,INDEX('_Engine'!$AM$11:$AM$60,'_Engine'!$AO35)&lt;&gt;"OK"),"!",IF(INDEX(Team!$H$11:$N$60,'_Engine'!$AO35,WEEKDAY(G$11,2))&lt;&gt;"Work","—",IF(COUNTIF(Settings!$F$18:$F$67,G$11)&gt;0,"BH",IF('_Engine'!BI35+'_Engine'!BJ35=0,"·",IF('_Engine'!BI35='_Engine'!BJ35,INDEX(Settings!$G$7:$G$11,MOD('_Engine'!BI35,10))&amp;IF('_Engine'!BI35&gt;10,"?",""),IF('_Engine'!BI35=0,INDEX(Settings!$G$7:$G$11,MOD('_Engine'!BJ35,10))&amp;IF('_Engine'!BJ35&gt;10,"?","")&amp;" PM",IF('_Engine'!BJ35=0,INDEX(Settings!$G$7:$G$11,MOD('_Engine'!BI35,10))&amp;IF('_Engine'!BI35&gt;10,"?","")&amp;" AM",INDEX(Settings!$G$7:$G$11,MOD('_Engine'!BI35,10))&amp;IF('_Engine'!BI35&gt;10,"?","")&amp;" AM"&amp;CHAR(10)&amp;INDEX(Settings!$G$7:$G$11,MOD('_Engine'!BJ35,10))&amp;IF('_Engine'!BJ35&gt;10,"?","")&amp;" PM"))))))))</ns0:f>
        <ns0:v/>
      </ns0:c>
      <ns0:c r="H35" s="162" t="str">
        <ns0:f>IF(OR($A35="",H$11=""),"",IF(OR('_Engine'!$B$6&gt;0,INDEX('_Engine'!$AM$11:$AM$60,'_Engine'!$AO35)&lt;&gt;"OK"),"!",IF(INDEX(Team!$H$11:$N$60,'_Engine'!$AO35,WEEKDAY(H$11,2))&lt;&gt;"Work","—",IF(COUNTIF(Settings!$F$18:$F$67,H$11)&gt;0,"BH",IF('_Engine'!BK35+'_Engine'!BL35=0,"·",IF('_Engine'!BK35='_Engine'!BL35,INDEX(Settings!$G$7:$G$11,MOD('_Engine'!BK35,10))&amp;IF('_Engine'!BK35&gt;10,"?",""),IF('_Engine'!BK35=0,INDEX(Settings!$G$7:$G$11,MOD('_Engine'!BL35,10))&amp;IF('_Engine'!BL35&gt;10,"?","")&amp;" PM",IF('_Engine'!BL35=0,INDEX(Settings!$G$7:$G$11,MOD('_Engine'!BK35,10))&amp;IF('_Engine'!BK35&gt;10,"?","")&amp;" AM",INDEX(Settings!$G$7:$G$11,MOD('_Engine'!BK35,10))&amp;IF('_Engine'!BK35&gt;10,"?","")&amp;" AM"&amp;CHAR(10)&amp;INDEX(Settings!$G$7:$G$11,MOD('_Engine'!BL35,10))&amp;IF('_Engine'!BL35&gt;10,"?","")&amp;" PM"))))))))</ns0:f>
        <ns0:v/>
      </ns0:c>
      <ns0:c r="I35" s="162" t="str">
        <ns0:f>IF(OR($A35="",I$11=""),"",IF(OR('_Engine'!$B$6&gt;0,INDEX('_Engine'!$AM$11:$AM$60,'_Engine'!$AO35)&lt;&gt;"OK"),"!",IF(INDEX(Team!$H$11:$N$60,'_Engine'!$AO35,WEEKDAY(I$11,2))&lt;&gt;"Work","—",IF(COUNTIF(Settings!$F$18:$F$67,I$11)&gt;0,"BH",IF('_Engine'!BM35+'_Engine'!BN35=0,"·",IF('_Engine'!BM35='_Engine'!BN35,INDEX(Settings!$G$7:$G$11,MOD('_Engine'!BM35,10))&amp;IF('_Engine'!BM35&gt;10,"?",""),IF('_Engine'!BM35=0,INDEX(Settings!$G$7:$G$11,MOD('_Engine'!BN35,10))&amp;IF('_Engine'!BN35&gt;10,"?","")&amp;" PM",IF('_Engine'!BN35=0,INDEX(Settings!$G$7:$G$11,MOD('_Engine'!BM35,10))&amp;IF('_Engine'!BM35&gt;10,"?","")&amp;" AM",INDEX(Settings!$G$7:$G$11,MOD('_Engine'!BM35,10))&amp;IF('_Engine'!BM35&gt;10,"?","")&amp;" AM"&amp;CHAR(10)&amp;INDEX(Settings!$G$7:$G$11,MOD('_Engine'!BN35,10))&amp;IF('_Engine'!BN35&gt;10,"?","")&amp;" PM"))))))))</ns0:f>
        <ns0:v/>
      </ns0:c>
      <ns0:c r="J35" s="162" t="str">
        <ns0:f>IF(OR($A35="",J$11=""),"",IF(OR('_Engine'!$B$6&gt;0,INDEX('_Engine'!$AM$11:$AM$60,'_Engine'!$AO35)&lt;&gt;"OK"),"!",IF(INDEX(Team!$H$11:$N$60,'_Engine'!$AO35,WEEKDAY(J$11,2))&lt;&gt;"Work","—",IF(COUNTIF(Settings!$F$18:$F$67,J$11)&gt;0,"BH",IF('_Engine'!BO35+'_Engine'!BP35=0,"·",IF('_Engine'!BO35='_Engine'!BP35,INDEX(Settings!$G$7:$G$11,MOD('_Engine'!BO35,10))&amp;IF('_Engine'!BO35&gt;10,"?",""),IF('_Engine'!BO35=0,INDEX(Settings!$G$7:$G$11,MOD('_Engine'!BP35,10))&amp;IF('_Engine'!BP35&gt;10,"?","")&amp;" PM",IF('_Engine'!BP35=0,INDEX(Settings!$G$7:$G$11,MOD('_Engine'!BO35,10))&amp;IF('_Engine'!BO35&gt;10,"?","")&amp;" AM",INDEX(Settings!$G$7:$G$11,MOD('_Engine'!BO35,10))&amp;IF('_Engine'!BO35&gt;10,"?","")&amp;" AM"&amp;CHAR(10)&amp;INDEX(Settings!$G$7:$G$11,MOD('_Engine'!BP35,10))&amp;IF('_Engine'!BP35&gt;10,"?","")&amp;" PM"))))))))</ns0:f>
        <ns0:v/>
      </ns0:c>
      <ns0:c r="K35" s="164" t="str">
        <ns0:f>IF(OR($A35="",K$11=""),"",IF(OR('_Engine'!$B$6&gt;0,INDEX('_Engine'!$AM$11:$AM$60,'_Engine'!$AO35)&lt;&gt;"OK"),"!",IF(INDEX(Team!$H$11:$N$60,'_Engine'!$AO35,WEEKDAY(K$11,2))&lt;&gt;"Work","—",IF(COUNTIF(Settings!$F$18:$F$67,K$11)&gt;0,"BH",IF('_Engine'!BQ35+'_Engine'!BR35=0,"·",IF('_Engine'!BQ35='_Engine'!BR35,INDEX(Settings!$G$7:$G$11,MOD('_Engine'!BQ35,10))&amp;IF('_Engine'!BQ35&gt;10,"?",""),IF('_Engine'!BQ35=0,INDEX(Settings!$G$7:$G$11,MOD('_Engine'!BR35,10))&amp;IF('_Engine'!BR35&gt;10,"?","")&amp;" PM",IF('_Engine'!BR35=0,INDEX(Settings!$G$7:$G$11,MOD('_Engine'!BQ35,10))&amp;IF('_Engine'!BQ35&gt;10,"?","")&amp;" AM",INDEX(Settings!$G$7:$G$11,MOD('_Engine'!BQ35,10))&amp;IF('_Engine'!BQ35&gt;10,"?","")&amp;" AM"&amp;CHAR(10)&amp;INDEX(Settings!$G$7:$G$11,MOD('_Engine'!BR35,10))&amp;IF('_Engine'!BR35&gt;10,"?","")&amp;" PM"))))))))</ns0:f>
        <ns0:v/>
      </ns0:c>
      <ns0:c r="L35" s="164" t="str">
        <ns0:f>IF(OR($A35="",L$11=""),"",IF(OR('_Engine'!$B$6&gt;0,INDEX('_Engine'!$AM$11:$AM$60,'_Engine'!$AO35)&lt;&gt;"OK"),"!",IF(INDEX(Team!$H$11:$N$60,'_Engine'!$AO35,WEEKDAY(L$11,2))&lt;&gt;"Work","—",IF(COUNTIF(Settings!$F$18:$F$67,L$11)&gt;0,"BH",IF('_Engine'!BS35+'_Engine'!BT35=0,"·",IF('_Engine'!BS35='_Engine'!BT35,INDEX(Settings!$G$7:$G$11,MOD('_Engine'!BS35,10))&amp;IF('_Engine'!BS35&gt;10,"?",""),IF('_Engine'!BS35=0,INDEX(Settings!$G$7:$G$11,MOD('_Engine'!BT35,10))&amp;IF('_Engine'!BT35&gt;10,"?","")&amp;" PM",IF('_Engine'!BT35=0,INDEX(Settings!$G$7:$G$11,MOD('_Engine'!BS35,10))&amp;IF('_Engine'!BS35&gt;10,"?","")&amp;" AM",INDEX(Settings!$G$7:$G$11,MOD('_Engine'!BS35,10))&amp;IF('_Engine'!BS35&gt;10,"?","")&amp;" AM"&amp;CHAR(10)&amp;INDEX(Settings!$G$7:$G$11,MOD('_Engine'!BT35,10))&amp;IF('_Engine'!BT35&gt;10,"?","")&amp;" PM"))))))))</ns0:f>
        <ns0:v/>
      </ns0:c>
      <ns0:c r="M35" s="164" t="str">
        <ns0:f>IF(OR($A35="",M$11=""),"",IF(OR('_Engine'!$B$6&gt;0,INDEX('_Engine'!$AM$11:$AM$60,'_Engine'!$AO35)&lt;&gt;"OK"),"!",IF(INDEX(Team!$H$11:$N$60,'_Engine'!$AO35,WEEKDAY(M$11,2))&lt;&gt;"Work","—",IF(COUNTIF(Settings!$F$18:$F$67,M$11)&gt;0,"BH",IF('_Engine'!BU35+'_Engine'!BV35=0,"·",IF('_Engine'!BU35='_Engine'!BV35,INDEX(Settings!$G$7:$G$11,MOD('_Engine'!BU35,10))&amp;IF('_Engine'!BU35&gt;10,"?",""),IF('_Engine'!BU35=0,INDEX(Settings!$G$7:$G$11,MOD('_Engine'!BV35,10))&amp;IF('_Engine'!BV35&gt;10,"?","")&amp;" PM",IF('_Engine'!BV35=0,INDEX(Settings!$G$7:$G$11,MOD('_Engine'!BU35,10))&amp;IF('_Engine'!BU35&gt;10,"?","")&amp;" AM",INDEX(Settings!$G$7:$G$11,MOD('_Engine'!BU35,10))&amp;IF('_Engine'!BU35&gt;10,"?","")&amp;" AM"&amp;CHAR(10)&amp;INDEX(Settings!$G$7:$G$11,MOD('_Engine'!BV35,10))&amp;IF('_Engine'!BV35&gt;10,"?","")&amp;" PM"))))))))</ns0:f>
        <ns0:v/>
      </ns0:c>
      <ns0:c r="N35" s="164" t="str">
        <ns0:f>IF(OR($A35="",N$11=""),"",IF(OR('_Engine'!$B$6&gt;0,INDEX('_Engine'!$AM$11:$AM$60,'_Engine'!$AO35)&lt;&gt;"OK"),"!",IF(INDEX(Team!$H$11:$N$60,'_Engine'!$AO35,WEEKDAY(N$11,2))&lt;&gt;"Work","—",IF(COUNTIF(Settings!$F$18:$F$67,N$11)&gt;0,"BH",IF('_Engine'!BW35+'_Engine'!BX35=0,"·",IF('_Engine'!BW35='_Engine'!BX35,INDEX(Settings!$G$7:$G$11,MOD('_Engine'!BW35,10))&amp;IF('_Engine'!BW35&gt;10,"?",""),IF('_Engine'!BW35=0,INDEX(Settings!$G$7:$G$11,MOD('_Engine'!BX35,10))&amp;IF('_Engine'!BX35&gt;10,"?","")&amp;" PM",IF('_Engine'!BX35=0,INDEX(Settings!$G$7:$G$11,MOD('_Engine'!BW35,10))&amp;IF('_Engine'!BW35&gt;10,"?","")&amp;" AM",INDEX(Settings!$G$7:$G$11,MOD('_Engine'!BW35,10))&amp;IF('_Engine'!BW35&gt;10,"?","")&amp;" AM"&amp;CHAR(10)&amp;INDEX(Settings!$G$7:$G$11,MOD('_Engine'!BX35,10))&amp;IF('_Engine'!BX35&gt;10,"?","")&amp;" PM"))))))))</ns0:f>
        <ns0:v/>
      </ns0:c>
      <ns0:c r="O35" s="164" t="str">
        <ns0:f>IF(OR($A35="",O$11=""),"",IF(OR('_Engine'!$B$6&gt;0,INDEX('_Engine'!$AM$11:$AM$60,'_Engine'!$AO35)&lt;&gt;"OK"),"!",IF(INDEX(Team!$H$11:$N$60,'_Engine'!$AO35,WEEKDAY(O$11,2))&lt;&gt;"Work","—",IF(COUNTIF(Settings!$F$18:$F$67,O$11)&gt;0,"BH",IF('_Engine'!BY35+'_Engine'!BZ35=0,"·",IF('_Engine'!BY35='_Engine'!BZ35,INDEX(Settings!$G$7:$G$11,MOD('_Engine'!BY35,10))&amp;IF('_Engine'!BY35&gt;10,"?",""),IF('_Engine'!BY35=0,INDEX(Settings!$G$7:$G$11,MOD('_Engine'!BZ35,10))&amp;IF('_Engine'!BZ35&gt;10,"?","")&amp;" PM",IF('_Engine'!BZ35=0,INDEX(Settings!$G$7:$G$11,MOD('_Engine'!BY35,10))&amp;IF('_Engine'!BY35&gt;10,"?","")&amp;" AM",INDEX(Settings!$G$7:$G$11,MOD('_Engine'!BY35,10))&amp;IF('_Engine'!BY35&gt;10,"?","")&amp;" AM"&amp;CHAR(10)&amp;INDEX(Settings!$G$7:$G$11,MOD('_Engine'!BZ35,10))&amp;IF('_Engine'!BZ35&gt;10,"?","")&amp;" PM"))))))))</ns0:f>
        <ns0:v/>
      </ns0:c>
      <ns0:c r="P35" s="164" t="str">
        <ns0:f>IF(OR($A35="",P$11=""),"",IF(OR('_Engine'!$B$6&gt;0,INDEX('_Engine'!$AM$11:$AM$60,'_Engine'!$AO35)&lt;&gt;"OK"),"!",IF(INDEX(Team!$H$11:$N$60,'_Engine'!$AO35,WEEKDAY(P$11,2))&lt;&gt;"Work","—",IF(COUNTIF(Settings!$F$18:$F$67,P$11)&gt;0,"BH",IF('_Engine'!CA35+'_Engine'!CB35=0,"·",IF('_Engine'!CA35='_Engine'!CB35,INDEX(Settings!$G$7:$G$11,MOD('_Engine'!CA35,10))&amp;IF('_Engine'!CA35&gt;10,"?",""),IF('_Engine'!CA35=0,INDEX(Settings!$G$7:$G$11,MOD('_Engine'!CB35,10))&amp;IF('_Engine'!CB35&gt;10,"?","")&amp;" PM",IF('_Engine'!CB35=0,INDEX(Settings!$G$7:$G$11,MOD('_Engine'!CA35,10))&amp;IF('_Engine'!CA35&gt;10,"?","")&amp;" AM",INDEX(Settings!$G$7:$G$11,MOD('_Engine'!CA35,10))&amp;IF('_Engine'!CA35&gt;10,"?","")&amp;" AM"&amp;CHAR(10)&amp;INDEX(Settings!$G$7:$G$11,MOD('_Engine'!CB35,10))&amp;IF('_Engine'!CB35&gt;10,"?","")&amp;" PM"))))))))</ns0:f>
        <ns0:v/>
      </ns0:c>
      <ns0:c r="Q35" s="164" t="str">
        <ns0:f>IF(OR($A35="",Q$11=""),"",IF(OR('_Engine'!$B$6&gt;0,INDEX('_Engine'!$AM$11:$AM$60,'_Engine'!$AO35)&lt;&gt;"OK"),"!",IF(INDEX(Team!$H$11:$N$60,'_Engine'!$AO35,WEEKDAY(Q$11,2))&lt;&gt;"Work","—",IF(COUNTIF(Settings!$F$18:$F$67,Q$11)&gt;0,"BH",IF('_Engine'!CC35+'_Engine'!CD35=0,"·",IF('_Engine'!CC35='_Engine'!CD35,INDEX(Settings!$G$7:$G$11,MOD('_Engine'!CC35,10))&amp;IF('_Engine'!CC35&gt;10,"?",""),IF('_Engine'!CC35=0,INDEX(Settings!$G$7:$G$11,MOD('_Engine'!CD35,10))&amp;IF('_Engine'!CD35&gt;10,"?","")&amp;" PM",IF('_Engine'!CD35=0,INDEX(Settings!$G$7:$G$11,MOD('_Engine'!CC35,10))&amp;IF('_Engine'!CC35&gt;10,"?","")&amp;" AM",INDEX(Settings!$G$7:$G$11,MOD('_Engine'!CC35,10))&amp;IF('_Engine'!CC35&gt;10,"?","")&amp;" AM"&amp;CHAR(10)&amp;INDEX(Settings!$G$7:$G$11,MOD('_Engine'!CD35,10))&amp;IF('_Engine'!CD35&gt;10,"?","")&amp;" PM"))))))))</ns0:f>
        <ns0:v/>
      </ns0:c>
      <ns0:c r="R35" s="164" t="str">
        <ns0:f>IF(OR($A35="",R$11=""),"",IF(OR('_Engine'!$B$6&gt;0,INDEX('_Engine'!$AM$11:$AM$60,'_Engine'!$AO35)&lt;&gt;"OK"),"!",IF(INDEX(Team!$H$11:$N$60,'_Engine'!$AO35,WEEKDAY(R$11,2))&lt;&gt;"Work","—",IF(COUNTIF(Settings!$F$18:$F$67,R$11)&gt;0,"BH",IF('_Engine'!CE35+'_Engine'!CF35=0,"·",IF('_Engine'!CE35='_Engine'!CF35,INDEX(Settings!$G$7:$G$11,MOD('_Engine'!CE35,10))&amp;IF('_Engine'!CE35&gt;10,"?",""),IF('_Engine'!CE35=0,INDEX(Settings!$G$7:$G$11,MOD('_Engine'!CF35,10))&amp;IF('_Engine'!CF35&gt;10,"?","")&amp;" PM",IF('_Engine'!CF35=0,INDEX(Settings!$G$7:$G$11,MOD('_Engine'!CE35,10))&amp;IF('_Engine'!CE35&gt;10,"?","")&amp;" AM",INDEX(Settings!$G$7:$G$11,MOD('_Engine'!CE35,10))&amp;IF('_Engine'!CE35&gt;10,"?","")&amp;" AM"&amp;CHAR(10)&amp;INDEX(Settings!$G$7:$G$11,MOD('_Engine'!CF35,10))&amp;IF('_Engine'!CF35&gt;10,"?","")&amp;" PM"))))))))</ns0:f>
        <ns0:v/>
      </ns0:c>
      <ns0:c r="S35" s="164" t="str">
        <ns0:f>IF(OR($A35="",S$11=""),"",IF(OR('_Engine'!$B$6&gt;0,INDEX('_Engine'!$AM$11:$AM$60,'_Engine'!$AO35)&lt;&gt;"OK"),"!",IF(INDEX(Team!$H$11:$N$60,'_Engine'!$AO35,WEEKDAY(S$11,2))&lt;&gt;"Work","—",IF(COUNTIF(Settings!$F$18:$F$67,S$11)&gt;0,"BH",IF('_Engine'!CG35+'_Engine'!CH35=0,"·",IF('_Engine'!CG35='_Engine'!CH35,INDEX(Settings!$G$7:$G$11,MOD('_Engine'!CG35,10))&amp;IF('_Engine'!CG35&gt;10,"?",""),IF('_Engine'!CG35=0,INDEX(Settings!$G$7:$G$11,MOD('_Engine'!CH35,10))&amp;IF('_Engine'!CH35&gt;10,"?","")&amp;" PM",IF('_Engine'!CH35=0,INDEX(Settings!$G$7:$G$11,MOD('_Engine'!CG35,10))&amp;IF('_Engine'!CG35&gt;10,"?","")&amp;" AM",INDEX(Settings!$G$7:$G$11,MOD('_Engine'!CG35,10))&amp;IF('_Engine'!CG35&gt;10,"?","")&amp;" AM"&amp;CHAR(10)&amp;INDEX(Settings!$G$7:$G$11,MOD('_Engine'!CH35,10))&amp;IF('_Engine'!CH35&gt;10,"?","")&amp;" PM"))))))))</ns0:f>
        <ns0:v/>
      </ns0:c>
      <ns0:c r="T35" s="164" t="str">
        <ns0:f>IF(OR($A35="",T$11=""),"",IF(OR('_Engine'!$B$6&gt;0,INDEX('_Engine'!$AM$11:$AM$60,'_Engine'!$AO35)&lt;&gt;"OK"),"!",IF(INDEX(Team!$H$11:$N$60,'_Engine'!$AO35,WEEKDAY(T$11,2))&lt;&gt;"Work","—",IF(COUNTIF(Settings!$F$18:$F$67,T$11)&gt;0,"BH",IF('_Engine'!CI35+'_Engine'!CJ35=0,"·",IF('_Engine'!CI35='_Engine'!CJ35,INDEX(Settings!$G$7:$G$11,MOD('_Engine'!CI35,10))&amp;IF('_Engine'!CI35&gt;10,"?",""),IF('_Engine'!CI35=0,INDEX(Settings!$G$7:$G$11,MOD('_Engine'!CJ35,10))&amp;IF('_Engine'!CJ35&gt;10,"?","")&amp;" PM",IF('_Engine'!CJ35=0,INDEX(Settings!$G$7:$G$11,MOD('_Engine'!CI35,10))&amp;IF('_Engine'!CI35&gt;10,"?","")&amp;" AM",INDEX(Settings!$G$7:$G$11,MOD('_Engine'!CI35,10))&amp;IF('_Engine'!CI35&gt;10,"?","")&amp;" AM"&amp;CHAR(10)&amp;INDEX(Settings!$G$7:$G$11,MOD('_Engine'!CJ35,10))&amp;IF('_Engine'!CJ35&gt;10,"?","")&amp;" PM"))))))))</ns0:f>
        <ns0:v/>
      </ns0:c>
      <ns0:c r="U35" s="164" t="str">
        <ns0:f>IF(OR($A35="",U$11=""),"",IF(OR('_Engine'!$B$6&gt;0,INDEX('_Engine'!$AM$11:$AM$60,'_Engine'!$AO35)&lt;&gt;"OK"),"!",IF(INDEX(Team!$H$11:$N$60,'_Engine'!$AO35,WEEKDAY(U$11,2))&lt;&gt;"Work","—",IF(COUNTIF(Settings!$F$18:$F$67,U$11)&gt;0,"BH",IF('_Engine'!CK35+'_Engine'!CL35=0,"·",IF('_Engine'!CK35='_Engine'!CL35,INDEX(Settings!$G$7:$G$11,MOD('_Engine'!CK35,10))&amp;IF('_Engine'!CK35&gt;10,"?",""),IF('_Engine'!CK35=0,INDEX(Settings!$G$7:$G$11,MOD('_Engine'!CL35,10))&amp;IF('_Engine'!CL35&gt;10,"?","")&amp;" PM",IF('_Engine'!CL35=0,INDEX(Settings!$G$7:$G$11,MOD('_Engine'!CK35,10))&amp;IF('_Engine'!CK35&gt;10,"?","")&amp;" AM",INDEX(Settings!$G$7:$G$11,MOD('_Engine'!CK35,10))&amp;IF('_Engine'!CK35&gt;10,"?","")&amp;" AM"&amp;CHAR(10)&amp;INDEX(Settings!$G$7:$G$11,MOD('_Engine'!CL35,10))&amp;IF('_Engine'!CL35&gt;10,"?","")&amp;" PM"))))))))</ns0:f>
        <ns0:v/>
      </ns0:c>
      <ns0:c r="V35" s="164" t="str">
        <ns0:f>IF(OR($A35="",V$11=""),"",IF(OR('_Engine'!$B$6&gt;0,INDEX('_Engine'!$AM$11:$AM$60,'_Engine'!$AO35)&lt;&gt;"OK"),"!",IF(INDEX(Team!$H$11:$N$60,'_Engine'!$AO35,WEEKDAY(V$11,2))&lt;&gt;"Work","—",IF(COUNTIF(Settings!$F$18:$F$67,V$11)&gt;0,"BH",IF('_Engine'!CM35+'_Engine'!CN35=0,"·",IF('_Engine'!CM35='_Engine'!CN35,INDEX(Settings!$G$7:$G$11,MOD('_Engine'!CM35,10))&amp;IF('_Engine'!CM35&gt;10,"?",""),IF('_Engine'!CM35=0,INDEX(Settings!$G$7:$G$11,MOD('_Engine'!CN35,10))&amp;IF('_Engine'!CN35&gt;10,"?","")&amp;" PM",IF('_Engine'!CN35=0,INDEX(Settings!$G$7:$G$11,MOD('_Engine'!CM35,10))&amp;IF('_Engine'!CM35&gt;10,"?","")&amp;" AM",INDEX(Settings!$G$7:$G$11,MOD('_Engine'!CM35,10))&amp;IF('_Engine'!CM35&gt;10,"?","")&amp;" AM"&amp;CHAR(10)&amp;INDEX(Settings!$G$7:$G$11,MOD('_Engine'!CN35,10))&amp;IF('_Engine'!CN35&gt;10,"?","")&amp;" PM"))))))))</ns0:f>
        <ns0:v/>
      </ns0:c>
      <ns0:c r="W35" s="164" t="str">
        <ns0:f>IF(OR($A35="",W$11=""),"",IF(OR('_Engine'!$B$6&gt;0,INDEX('_Engine'!$AM$11:$AM$60,'_Engine'!$AO35)&lt;&gt;"OK"),"!",IF(INDEX(Team!$H$11:$N$60,'_Engine'!$AO35,WEEKDAY(W$11,2))&lt;&gt;"Work","—",IF(COUNTIF(Settings!$F$18:$F$67,W$11)&gt;0,"BH",IF('_Engine'!CO35+'_Engine'!CP35=0,"·",IF('_Engine'!CO35='_Engine'!CP35,INDEX(Settings!$G$7:$G$11,MOD('_Engine'!CO35,10))&amp;IF('_Engine'!CO35&gt;10,"?",""),IF('_Engine'!CO35=0,INDEX(Settings!$G$7:$G$11,MOD('_Engine'!CP35,10))&amp;IF('_Engine'!CP35&gt;10,"?","")&amp;" PM",IF('_Engine'!CP35=0,INDEX(Settings!$G$7:$G$11,MOD('_Engine'!CO35,10))&amp;IF('_Engine'!CO35&gt;10,"?","")&amp;" AM",INDEX(Settings!$G$7:$G$11,MOD('_Engine'!CO35,10))&amp;IF('_Engine'!CO35&gt;10,"?","")&amp;" AM"&amp;CHAR(10)&amp;INDEX(Settings!$G$7:$G$11,MOD('_Engine'!CP35,10))&amp;IF('_Engine'!CP35&gt;10,"?","")&amp;" PM"))))))))</ns0:f>
        <ns0:v/>
      </ns0:c>
      <ns0:c r="X35" s="164" t="str">
        <ns0:f>IF(OR($A35="",X$11=""),"",IF(OR('_Engine'!$B$6&gt;0,INDEX('_Engine'!$AM$11:$AM$60,'_Engine'!$AO35)&lt;&gt;"OK"),"!",IF(INDEX(Team!$H$11:$N$60,'_Engine'!$AO35,WEEKDAY(X$11,2))&lt;&gt;"Work","—",IF(COUNTIF(Settings!$F$18:$F$67,X$11)&gt;0,"BH",IF('_Engine'!CQ35+'_Engine'!CR35=0,"·",IF('_Engine'!CQ35='_Engine'!CR35,INDEX(Settings!$G$7:$G$11,MOD('_Engine'!CQ35,10))&amp;IF('_Engine'!CQ35&gt;10,"?",""),IF('_Engine'!CQ35=0,INDEX(Settings!$G$7:$G$11,MOD('_Engine'!CR35,10))&amp;IF('_Engine'!CR35&gt;10,"?","")&amp;" PM",IF('_Engine'!CR35=0,INDEX(Settings!$G$7:$G$11,MOD('_Engine'!CQ35,10))&amp;IF('_Engine'!CQ35&gt;10,"?","")&amp;" AM",INDEX(Settings!$G$7:$G$11,MOD('_Engine'!CQ35,10))&amp;IF('_Engine'!CQ35&gt;10,"?","")&amp;" AM"&amp;CHAR(10)&amp;INDEX(Settings!$G$7:$G$11,MOD('_Engine'!CR35,10))&amp;IF('_Engine'!CR35&gt;10,"?","")&amp;" PM"))))))))</ns0:f>
        <ns0:v/>
      </ns0:c>
      <ns0:c r="Y35" s="164" t="str">
        <ns0:f>IF(OR($A35="",Y$11=""),"",IF(OR('_Engine'!$B$6&gt;0,INDEX('_Engine'!$AM$11:$AM$60,'_Engine'!$AO35)&lt;&gt;"OK"),"!",IF(INDEX(Team!$H$11:$N$60,'_Engine'!$AO35,WEEKDAY(Y$11,2))&lt;&gt;"Work","—",IF(COUNTIF(Settings!$F$18:$F$67,Y$11)&gt;0,"BH",IF('_Engine'!CS35+'_Engine'!CT35=0,"·",IF('_Engine'!CS35='_Engine'!CT35,INDEX(Settings!$G$7:$G$11,MOD('_Engine'!CS35,10))&amp;IF('_Engine'!CS35&gt;10,"?",""),IF('_Engine'!CS35=0,INDEX(Settings!$G$7:$G$11,MOD('_Engine'!CT35,10))&amp;IF('_Engine'!CT35&gt;10,"?","")&amp;" PM",IF('_Engine'!CT35=0,INDEX(Settings!$G$7:$G$11,MOD('_Engine'!CS35,10))&amp;IF('_Engine'!CS35&gt;10,"?","")&amp;" AM",INDEX(Settings!$G$7:$G$11,MOD('_Engine'!CS35,10))&amp;IF('_Engine'!CS35&gt;10,"?","")&amp;" AM"&amp;CHAR(10)&amp;INDEX(Settings!$G$7:$G$11,MOD('_Engine'!CT35,10))&amp;IF('_Engine'!CT35&gt;10,"?","")&amp;" PM"))))))))</ns0:f>
        <ns0:v/>
      </ns0:c>
      <ns0:c r="Z35" s="164" t="str">
        <ns0:f>IF(OR($A35="",Z$11=""),"",IF(OR('_Engine'!$B$6&gt;0,INDEX('_Engine'!$AM$11:$AM$60,'_Engine'!$AO35)&lt;&gt;"OK"),"!",IF(INDEX(Team!$H$11:$N$60,'_Engine'!$AO35,WEEKDAY(Z$11,2))&lt;&gt;"Work","—",IF(COUNTIF(Settings!$F$18:$F$67,Z$11)&gt;0,"BH",IF('_Engine'!CU35+'_Engine'!CV35=0,"·",IF('_Engine'!CU35='_Engine'!CV35,INDEX(Settings!$G$7:$G$11,MOD('_Engine'!CU35,10))&amp;IF('_Engine'!CU35&gt;10,"?",""),IF('_Engine'!CU35=0,INDEX(Settings!$G$7:$G$11,MOD('_Engine'!CV35,10))&amp;IF('_Engine'!CV35&gt;10,"?","")&amp;" PM",IF('_Engine'!CV35=0,INDEX(Settings!$G$7:$G$11,MOD('_Engine'!CU35,10))&amp;IF('_Engine'!CU35&gt;10,"?","")&amp;" AM",INDEX(Settings!$G$7:$G$11,MOD('_Engine'!CU35,10))&amp;IF('_Engine'!CU35&gt;10,"?","")&amp;" AM"&amp;CHAR(10)&amp;INDEX(Settings!$G$7:$G$11,MOD('_Engine'!CV35,10))&amp;IF('_Engine'!CV35&gt;10,"?","")&amp;" PM"))))))))</ns0:f>
        <ns0:v/>
      </ns0:c>
      <ns0:c r="AA35" s="164" t="str">
        <ns0:f>IF(OR($A35="",AA$11=""),"",IF(OR('_Engine'!$B$6&gt;0,INDEX('_Engine'!$AM$11:$AM$60,'_Engine'!$AO35)&lt;&gt;"OK"),"!",IF(INDEX(Team!$H$11:$N$60,'_Engine'!$AO35,WEEKDAY(AA$11,2))&lt;&gt;"Work","—",IF(COUNTIF(Settings!$F$18:$F$67,AA$11)&gt;0,"BH",IF('_Engine'!CW35+'_Engine'!CX35=0,"·",IF('_Engine'!CW35='_Engine'!CX35,INDEX(Settings!$G$7:$G$11,MOD('_Engine'!CW35,10))&amp;IF('_Engine'!CW35&gt;10,"?",""),IF('_Engine'!CW35=0,INDEX(Settings!$G$7:$G$11,MOD('_Engine'!CX35,10))&amp;IF('_Engine'!CX35&gt;10,"?","")&amp;" PM",IF('_Engine'!CX35=0,INDEX(Settings!$G$7:$G$11,MOD('_Engine'!CW35,10))&amp;IF('_Engine'!CW35&gt;10,"?","")&amp;" AM",INDEX(Settings!$G$7:$G$11,MOD('_Engine'!CW35,10))&amp;IF('_Engine'!CW35&gt;10,"?","")&amp;" AM"&amp;CHAR(10)&amp;INDEX(Settings!$G$7:$G$11,MOD('_Engine'!CX35,10))&amp;IF('_Engine'!CX35&gt;10,"?","")&amp;" PM"))))))))</ns0:f>
        <ns0:v/>
      </ns0:c>
      <ns0:c r="AB35" s="164" t="str">
        <ns0:f>IF(OR($A35="",AB$11=""),"",IF(OR('_Engine'!$B$6&gt;0,INDEX('_Engine'!$AM$11:$AM$60,'_Engine'!$AO35)&lt;&gt;"OK"),"!",IF(INDEX(Team!$H$11:$N$60,'_Engine'!$AO35,WEEKDAY(AB$11,2))&lt;&gt;"Work","—",IF(COUNTIF(Settings!$F$18:$F$67,AB$11)&gt;0,"BH",IF('_Engine'!CY35+'_Engine'!CZ35=0,"·",IF('_Engine'!CY35='_Engine'!CZ35,INDEX(Settings!$G$7:$G$11,MOD('_Engine'!CY35,10))&amp;IF('_Engine'!CY35&gt;10,"?",""),IF('_Engine'!CY35=0,INDEX(Settings!$G$7:$G$11,MOD('_Engine'!CZ35,10))&amp;IF('_Engine'!CZ35&gt;10,"?","")&amp;" PM",IF('_Engine'!CZ35=0,INDEX(Settings!$G$7:$G$11,MOD('_Engine'!CY35,10))&amp;IF('_Engine'!CY35&gt;10,"?","")&amp;" AM",INDEX(Settings!$G$7:$G$11,MOD('_Engine'!CY35,10))&amp;IF('_Engine'!CY35&gt;10,"?","")&amp;" AM"&amp;CHAR(10)&amp;INDEX(Settings!$G$7:$G$11,MOD('_Engine'!CZ35,10))&amp;IF('_Engine'!CZ35&gt;10,"?","")&amp;" PM"))))))))</ns0:f>
        <ns0:v/>
      </ns0:c>
      <ns0:c r="AC35" s="164" t="str">
        <ns0:f>IF(OR($A35="",AC$11=""),"",IF(OR('_Engine'!$B$6&gt;0,INDEX('_Engine'!$AM$11:$AM$60,'_Engine'!$AO35)&lt;&gt;"OK"),"!",IF(INDEX(Team!$H$11:$N$60,'_Engine'!$AO35,WEEKDAY(AC$11,2))&lt;&gt;"Work","—",IF(COUNTIF(Settings!$F$18:$F$67,AC$11)&gt;0,"BH",IF('_Engine'!DA35+'_Engine'!DB35=0,"·",IF('_Engine'!DA35='_Engine'!DB35,INDEX(Settings!$G$7:$G$11,MOD('_Engine'!DA35,10))&amp;IF('_Engine'!DA35&gt;10,"?",""),IF('_Engine'!DA35=0,INDEX(Settings!$G$7:$G$11,MOD('_Engine'!DB35,10))&amp;IF('_Engine'!DB35&gt;10,"?","")&amp;" PM",IF('_Engine'!DB35=0,INDEX(Settings!$G$7:$G$11,MOD('_Engine'!DA35,10))&amp;IF('_Engine'!DA35&gt;10,"?","")&amp;" AM",INDEX(Settings!$G$7:$G$11,MOD('_Engine'!DA35,10))&amp;IF('_Engine'!DA35&gt;10,"?","")&amp;" AM"&amp;CHAR(10)&amp;INDEX(Settings!$G$7:$G$11,MOD('_Engine'!DB35,10))&amp;IF('_Engine'!DB35&gt;10,"?","")&amp;" PM"))))))))</ns0:f>
        <ns0:v/>
      </ns0:c>
      <ns0:c r="AD35" s="164" t="str">
        <ns0:f>IF(OR($A35="",AD$11=""),"",IF(OR('_Engine'!$B$6&gt;0,INDEX('_Engine'!$AM$11:$AM$60,'_Engine'!$AO35)&lt;&gt;"OK"),"!",IF(INDEX(Team!$H$11:$N$60,'_Engine'!$AO35,WEEKDAY(AD$11,2))&lt;&gt;"Work","—",IF(COUNTIF(Settings!$F$18:$F$67,AD$11)&gt;0,"BH",IF('_Engine'!DC35+'_Engine'!DD35=0,"·",IF('_Engine'!DC35='_Engine'!DD35,INDEX(Settings!$G$7:$G$11,MOD('_Engine'!DC35,10))&amp;IF('_Engine'!DC35&gt;10,"?",""),IF('_Engine'!DC35=0,INDEX(Settings!$G$7:$G$11,MOD('_Engine'!DD35,10))&amp;IF('_Engine'!DD35&gt;10,"?","")&amp;" PM",IF('_Engine'!DD35=0,INDEX(Settings!$G$7:$G$11,MOD('_Engine'!DC35,10))&amp;IF('_Engine'!DC35&gt;10,"?","")&amp;" AM",INDEX(Settings!$G$7:$G$11,MOD('_Engine'!DC35,10))&amp;IF('_Engine'!DC35&gt;10,"?","")&amp;" AM"&amp;CHAR(10)&amp;INDEX(Settings!$G$7:$G$11,MOD('_Engine'!DD35,10))&amp;IF('_Engine'!DD35&gt;10,"?","")&amp;" PM"))))))))</ns0:f>
        <ns0:v/>
      </ns0:c>
      <ns0:c r="AE35" s="164" t="str">
        <ns0:f>IF(OR($A35="",AE$11=""),"",IF(OR('_Engine'!$B$6&gt;0,INDEX('_Engine'!$AM$11:$AM$60,'_Engine'!$AO35)&lt;&gt;"OK"),"!",IF(INDEX(Team!$H$11:$N$60,'_Engine'!$AO35,WEEKDAY(AE$11,2))&lt;&gt;"Work","—",IF(COUNTIF(Settings!$F$18:$F$67,AE$11)&gt;0,"BH",IF('_Engine'!DE35+'_Engine'!DF35=0,"·",IF('_Engine'!DE35='_Engine'!DF35,INDEX(Settings!$G$7:$G$11,MOD('_Engine'!DE35,10))&amp;IF('_Engine'!DE35&gt;10,"?",""),IF('_Engine'!DE35=0,INDEX(Settings!$G$7:$G$11,MOD('_Engine'!DF35,10))&amp;IF('_Engine'!DF35&gt;10,"?","")&amp;" PM",IF('_Engine'!DF35=0,INDEX(Settings!$G$7:$G$11,MOD('_Engine'!DE35,10))&amp;IF('_Engine'!DE35&gt;10,"?","")&amp;" AM",INDEX(Settings!$G$7:$G$11,MOD('_Engine'!DE35,10))&amp;IF('_Engine'!DE35&gt;10,"?","")&amp;" AM"&amp;CHAR(10)&amp;INDEX(Settings!$G$7:$G$11,MOD('_Engine'!DF35,10))&amp;IF('_Engine'!DF35&gt;10,"?","")&amp;" PM"))))))))</ns0:f>
        <ns0:v/>
      </ns0:c>
      <ns0:c r="AF35" s="164" t="str">
        <ns0:f>IF(OR($A35="",AF$11=""),"",IF(OR('_Engine'!$B$6&gt;0,INDEX('_Engine'!$AM$11:$AM$60,'_Engine'!$AO35)&lt;&gt;"OK"),"!",IF(INDEX(Team!$H$11:$N$60,'_Engine'!$AO35,WEEKDAY(AF$11,2))&lt;&gt;"Work","—",IF(COUNTIF(Settings!$F$18:$F$67,AF$11)&gt;0,"BH",IF('_Engine'!DG35+'_Engine'!DH35=0,"·",IF('_Engine'!DG35='_Engine'!DH35,INDEX(Settings!$G$7:$G$11,MOD('_Engine'!DG35,10))&amp;IF('_Engine'!DG35&gt;10,"?",""),IF('_Engine'!DG35=0,INDEX(Settings!$G$7:$G$11,MOD('_Engine'!DH35,10))&amp;IF('_Engine'!DH35&gt;10,"?","")&amp;" PM",IF('_Engine'!DH35=0,INDEX(Settings!$G$7:$G$11,MOD('_Engine'!DG35,10))&amp;IF('_Engine'!DG35&gt;10,"?","")&amp;" AM",INDEX(Settings!$G$7:$G$11,MOD('_Engine'!DG35,10))&amp;IF('_Engine'!DG35&gt;10,"?","")&amp;" AM"&amp;CHAR(10)&amp;INDEX(Settings!$G$7:$G$11,MOD('_Engine'!DH35,10))&amp;IF('_Engine'!DH35&gt;10,"?","")&amp;" PM"))))))))</ns0:f>
        <ns0:v/>
      </ns0:c>
      <ns0:c r="AG35" s="164" t="str">
        <ns0:f>IF(OR($A35="",AG$11=""),"",IF(OR('_Engine'!$B$6&gt;0,INDEX('_Engine'!$AM$11:$AM$60,'_Engine'!$AO35)&lt;&gt;"OK"),"!",IF(INDEX(Team!$H$11:$N$60,'_Engine'!$AO35,WEEKDAY(AG$11,2))&lt;&gt;"Work","—",IF(COUNTIF(Settings!$F$18:$F$67,AG$11)&gt;0,"BH",IF('_Engine'!DI35+'_Engine'!DJ35=0,"·",IF('_Engine'!DI35='_Engine'!DJ35,INDEX(Settings!$G$7:$G$11,MOD('_Engine'!DI35,10))&amp;IF('_Engine'!DI35&gt;10,"?",""),IF('_Engine'!DI35=0,INDEX(Settings!$G$7:$G$11,MOD('_Engine'!DJ35,10))&amp;IF('_Engine'!DJ35&gt;10,"?","")&amp;" PM",IF('_Engine'!DJ35=0,INDEX(Settings!$G$7:$G$11,MOD('_Engine'!DI35,10))&amp;IF('_Engine'!DI35&gt;10,"?","")&amp;" AM",INDEX(Settings!$G$7:$G$11,MOD('_Engine'!DI35,10))&amp;IF('_Engine'!DI35&gt;10,"?","")&amp;" AM"&amp;CHAR(10)&amp;INDEX(Settings!$G$7:$G$11,MOD('_Engine'!DJ35,10))&amp;IF('_Engine'!DJ35&gt;10,"?","")&amp;" PM"))))))))</ns0:f>
        <ns0:v/>
      </ns0:c>
      <ns0:c r="AH35" s="164" t="str">
        <ns0:f>IF(OR($A35="",AH$11=""),"",IF(OR('_Engine'!$B$6&gt;0,INDEX('_Engine'!$AM$11:$AM$60,'_Engine'!$AO35)&lt;&gt;"OK"),"!",IF(INDEX(Team!$H$11:$N$60,'_Engine'!$AO35,WEEKDAY(AH$11,2))&lt;&gt;"Work","—",IF(COUNTIF(Settings!$F$18:$F$67,AH$11)&gt;0,"BH",IF('_Engine'!DK35+'_Engine'!DL35=0,"·",IF('_Engine'!DK35='_Engine'!DL35,INDEX(Settings!$G$7:$G$11,MOD('_Engine'!DK35,10))&amp;IF('_Engine'!DK35&gt;10,"?",""),IF('_Engine'!DK35=0,INDEX(Settings!$G$7:$G$11,MOD('_Engine'!DL35,10))&amp;IF('_Engine'!DL35&gt;10,"?","")&amp;" PM",IF('_Engine'!DL35=0,INDEX(Settings!$G$7:$G$11,MOD('_Engine'!DK35,10))&amp;IF('_Engine'!DK35&gt;10,"?","")&amp;" AM",INDEX(Settings!$G$7:$G$11,MOD('_Engine'!DK35,10))&amp;IF('_Engine'!DK35&gt;10,"?","")&amp;" AM"&amp;CHAR(10)&amp;INDEX(Settings!$G$7:$G$11,MOD('_Engine'!DL35,10))&amp;IF('_Engine'!DL35&gt;10,"?","")&amp;" PM"))))))))</ns0:f>
        <ns0:v/>
      </ns0:c>
    </ns0:row>
    <ns0:row r="36" ht="38" customHeight="1">
      <ns0:c r="A36" s="4" t="str">
        <ns0:f>IF('_Engine'!AO36=0,"",IF(INDEX(Team!$B$11:$B$60,'_Engine'!AO36)="","[Unnamed]",INDEX(Team!$B$11:$B$60,'_Engine'!AO36)))</ns0:f>
        <ns0:v/>
      </ns0:c>
      <ns0:c r="B36" s="156" t="str">
        <ns0:f>IF('_Engine'!AO36=0,"",INDEX('_Engine'!$AN$11:$AN$60,'_Engine'!AO36))</ns0:f>
        <ns0:v/>
      </ns0:c>
      <ns0:c r="C36" s="4" t="str">
        <ns0:f>IF('_Engine'!AO36=0,"",INDEX(Team!$C$11:$C$60,'_Engine'!AO36))</ns0:f>
        <ns0:v/>
      </ns0:c>
      <ns0:c r="D36" s="162" t="str">
        <ns0:f>IF(OR($A36="",D$11=""),"",IF(OR('_Engine'!$B$6&gt;0,INDEX('_Engine'!$AM$11:$AM$60,'_Engine'!$AO36)&lt;&gt;"OK"),"!",IF(INDEX(Team!$H$11:$N$60,'_Engine'!$AO36,WEEKDAY(D$11,2))&lt;&gt;"Work","—",IF(COUNTIF(Settings!$F$18:$F$67,D$11)&gt;0,"BH",IF('_Engine'!BC36+'_Engine'!BD36=0,"·",IF('_Engine'!BC36='_Engine'!BD36,INDEX(Settings!$G$7:$G$11,MOD('_Engine'!BC36,10))&amp;IF('_Engine'!BC36&gt;10,"?",""),IF('_Engine'!BC36=0,INDEX(Settings!$G$7:$G$11,MOD('_Engine'!BD36,10))&amp;IF('_Engine'!BD36&gt;10,"?","")&amp;" PM",IF('_Engine'!BD36=0,INDEX(Settings!$G$7:$G$11,MOD('_Engine'!BC36,10))&amp;IF('_Engine'!BC36&gt;10,"?","")&amp;" AM",INDEX(Settings!$G$7:$G$11,MOD('_Engine'!BC36,10))&amp;IF('_Engine'!BC36&gt;10,"?","")&amp;" AM"&amp;CHAR(10)&amp;INDEX(Settings!$G$7:$G$11,MOD('_Engine'!BD36,10))&amp;IF('_Engine'!BD36&gt;10,"?","")&amp;" PM"))))))))</ns0:f>
        <ns0:v/>
      </ns0:c>
      <ns0:c r="E36" s="162" t="str">
        <ns0:f>IF(OR($A36="",E$11=""),"",IF(OR('_Engine'!$B$6&gt;0,INDEX('_Engine'!$AM$11:$AM$60,'_Engine'!$AO36)&lt;&gt;"OK"),"!",IF(INDEX(Team!$H$11:$N$60,'_Engine'!$AO36,WEEKDAY(E$11,2))&lt;&gt;"Work","—",IF(COUNTIF(Settings!$F$18:$F$67,E$11)&gt;0,"BH",IF('_Engine'!BE36+'_Engine'!BF36=0,"·",IF('_Engine'!BE36='_Engine'!BF36,INDEX(Settings!$G$7:$G$11,MOD('_Engine'!BE36,10))&amp;IF('_Engine'!BE36&gt;10,"?",""),IF('_Engine'!BE36=0,INDEX(Settings!$G$7:$G$11,MOD('_Engine'!BF36,10))&amp;IF('_Engine'!BF36&gt;10,"?","")&amp;" PM",IF('_Engine'!BF36=0,INDEX(Settings!$G$7:$G$11,MOD('_Engine'!BE36,10))&amp;IF('_Engine'!BE36&gt;10,"?","")&amp;" AM",INDEX(Settings!$G$7:$G$11,MOD('_Engine'!BE36,10))&amp;IF('_Engine'!BE36&gt;10,"?","")&amp;" AM"&amp;CHAR(10)&amp;INDEX(Settings!$G$7:$G$11,MOD('_Engine'!BF36,10))&amp;IF('_Engine'!BF36&gt;10,"?","")&amp;" PM"))))))))</ns0:f>
        <ns0:v/>
      </ns0:c>
      <ns0:c r="F36" s="162" t="str">
        <ns0:f>IF(OR($A36="",F$11=""),"",IF(OR('_Engine'!$B$6&gt;0,INDEX('_Engine'!$AM$11:$AM$60,'_Engine'!$AO36)&lt;&gt;"OK"),"!",IF(INDEX(Team!$H$11:$N$60,'_Engine'!$AO36,WEEKDAY(F$11,2))&lt;&gt;"Work","—",IF(COUNTIF(Settings!$F$18:$F$67,F$11)&gt;0,"BH",IF('_Engine'!BG36+'_Engine'!BH36=0,"·",IF('_Engine'!BG36='_Engine'!BH36,INDEX(Settings!$G$7:$G$11,MOD('_Engine'!BG36,10))&amp;IF('_Engine'!BG36&gt;10,"?",""),IF('_Engine'!BG36=0,INDEX(Settings!$G$7:$G$11,MOD('_Engine'!BH36,10))&amp;IF('_Engine'!BH36&gt;10,"?","")&amp;" PM",IF('_Engine'!BH36=0,INDEX(Settings!$G$7:$G$11,MOD('_Engine'!BG36,10))&amp;IF('_Engine'!BG36&gt;10,"?","")&amp;" AM",INDEX(Settings!$G$7:$G$11,MOD('_Engine'!BG36,10))&amp;IF('_Engine'!BG36&gt;10,"?","")&amp;" AM"&amp;CHAR(10)&amp;INDEX(Settings!$G$7:$G$11,MOD('_Engine'!BH36,10))&amp;IF('_Engine'!BH36&gt;10,"?","")&amp;" PM"))))))))</ns0:f>
        <ns0:v/>
      </ns0:c>
      <ns0:c r="G36" s="162" t="str">
        <ns0:f>IF(OR($A36="",G$11=""),"",IF(OR('_Engine'!$B$6&gt;0,INDEX('_Engine'!$AM$11:$AM$60,'_Engine'!$AO36)&lt;&gt;"OK"),"!",IF(INDEX(Team!$H$11:$N$60,'_Engine'!$AO36,WEEKDAY(G$11,2))&lt;&gt;"Work","—",IF(COUNTIF(Settings!$F$18:$F$67,G$11)&gt;0,"BH",IF('_Engine'!BI36+'_Engine'!BJ36=0,"·",IF('_Engine'!BI36='_Engine'!BJ36,INDEX(Settings!$G$7:$G$11,MOD('_Engine'!BI36,10))&amp;IF('_Engine'!BI36&gt;10,"?",""),IF('_Engine'!BI36=0,INDEX(Settings!$G$7:$G$11,MOD('_Engine'!BJ36,10))&amp;IF('_Engine'!BJ36&gt;10,"?","")&amp;" PM",IF('_Engine'!BJ36=0,INDEX(Settings!$G$7:$G$11,MOD('_Engine'!BI36,10))&amp;IF('_Engine'!BI36&gt;10,"?","")&amp;" AM",INDEX(Settings!$G$7:$G$11,MOD('_Engine'!BI36,10))&amp;IF('_Engine'!BI36&gt;10,"?","")&amp;" AM"&amp;CHAR(10)&amp;INDEX(Settings!$G$7:$G$11,MOD('_Engine'!BJ36,10))&amp;IF('_Engine'!BJ36&gt;10,"?","")&amp;" PM"))))))))</ns0:f>
        <ns0:v/>
      </ns0:c>
      <ns0:c r="H36" s="162" t="str">
        <ns0:f>IF(OR($A36="",H$11=""),"",IF(OR('_Engine'!$B$6&gt;0,INDEX('_Engine'!$AM$11:$AM$60,'_Engine'!$AO36)&lt;&gt;"OK"),"!",IF(INDEX(Team!$H$11:$N$60,'_Engine'!$AO36,WEEKDAY(H$11,2))&lt;&gt;"Work","—",IF(COUNTIF(Settings!$F$18:$F$67,H$11)&gt;0,"BH",IF('_Engine'!BK36+'_Engine'!BL36=0,"·",IF('_Engine'!BK36='_Engine'!BL36,INDEX(Settings!$G$7:$G$11,MOD('_Engine'!BK36,10))&amp;IF('_Engine'!BK36&gt;10,"?",""),IF('_Engine'!BK36=0,INDEX(Settings!$G$7:$G$11,MOD('_Engine'!BL36,10))&amp;IF('_Engine'!BL36&gt;10,"?","")&amp;" PM",IF('_Engine'!BL36=0,INDEX(Settings!$G$7:$G$11,MOD('_Engine'!BK36,10))&amp;IF('_Engine'!BK36&gt;10,"?","")&amp;" AM",INDEX(Settings!$G$7:$G$11,MOD('_Engine'!BK36,10))&amp;IF('_Engine'!BK36&gt;10,"?","")&amp;" AM"&amp;CHAR(10)&amp;INDEX(Settings!$G$7:$G$11,MOD('_Engine'!BL36,10))&amp;IF('_Engine'!BL36&gt;10,"?","")&amp;" PM"))))))))</ns0:f>
        <ns0:v/>
      </ns0:c>
      <ns0:c r="I36" s="162" t="str">
        <ns0:f>IF(OR($A36="",I$11=""),"",IF(OR('_Engine'!$B$6&gt;0,INDEX('_Engine'!$AM$11:$AM$60,'_Engine'!$AO36)&lt;&gt;"OK"),"!",IF(INDEX(Team!$H$11:$N$60,'_Engine'!$AO36,WEEKDAY(I$11,2))&lt;&gt;"Work","—",IF(COUNTIF(Settings!$F$18:$F$67,I$11)&gt;0,"BH",IF('_Engine'!BM36+'_Engine'!BN36=0,"·",IF('_Engine'!BM36='_Engine'!BN36,INDEX(Settings!$G$7:$G$11,MOD('_Engine'!BM36,10))&amp;IF('_Engine'!BM36&gt;10,"?",""),IF('_Engine'!BM36=0,INDEX(Settings!$G$7:$G$11,MOD('_Engine'!BN36,10))&amp;IF('_Engine'!BN36&gt;10,"?","")&amp;" PM",IF('_Engine'!BN36=0,INDEX(Settings!$G$7:$G$11,MOD('_Engine'!BM36,10))&amp;IF('_Engine'!BM36&gt;10,"?","")&amp;" AM",INDEX(Settings!$G$7:$G$11,MOD('_Engine'!BM36,10))&amp;IF('_Engine'!BM36&gt;10,"?","")&amp;" AM"&amp;CHAR(10)&amp;INDEX(Settings!$G$7:$G$11,MOD('_Engine'!BN36,10))&amp;IF('_Engine'!BN36&gt;10,"?","")&amp;" PM"))))))))</ns0:f>
        <ns0:v/>
      </ns0:c>
      <ns0:c r="J36" s="162" t="str">
        <ns0:f>IF(OR($A36="",J$11=""),"",IF(OR('_Engine'!$B$6&gt;0,INDEX('_Engine'!$AM$11:$AM$60,'_Engine'!$AO36)&lt;&gt;"OK"),"!",IF(INDEX(Team!$H$11:$N$60,'_Engine'!$AO36,WEEKDAY(J$11,2))&lt;&gt;"Work","—",IF(COUNTIF(Settings!$F$18:$F$67,J$11)&gt;0,"BH",IF('_Engine'!BO36+'_Engine'!BP36=0,"·",IF('_Engine'!BO36='_Engine'!BP36,INDEX(Settings!$G$7:$G$11,MOD('_Engine'!BO36,10))&amp;IF('_Engine'!BO36&gt;10,"?",""),IF('_Engine'!BO36=0,INDEX(Settings!$G$7:$G$11,MOD('_Engine'!BP36,10))&amp;IF('_Engine'!BP36&gt;10,"?","")&amp;" PM",IF('_Engine'!BP36=0,INDEX(Settings!$G$7:$G$11,MOD('_Engine'!BO36,10))&amp;IF('_Engine'!BO36&gt;10,"?","")&amp;" AM",INDEX(Settings!$G$7:$G$11,MOD('_Engine'!BO36,10))&amp;IF('_Engine'!BO36&gt;10,"?","")&amp;" AM"&amp;CHAR(10)&amp;INDEX(Settings!$G$7:$G$11,MOD('_Engine'!BP36,10))&amp;IF('_Engine'!BP36&gt;10,"?","")&amp;" PM"))))))))</ns0:f>
        <ns0:v/>
      </ns0:c>
      <ns0:c r="K36" s="164" t="str">
        <ns0:f>IF(OR($A36="",K$11=""),"",IF(OR('_Engine'!$B$6&gt;0,INDEX('_Engine'!$AM$11:$AM$60,'_Engine'!$AO36)&lt;&gt;"OK"),"!",IF(INDEX(Team!$H$11:$N$60,'_Engine'!$AO36,WEEKDAY(K$11,2))&lt;&gt;"Work","—",IF(COUNTIF(Settings!$F$18:$F$67,K$11)&gt;0,"BH",IF('_Engine'!BQ36+'_Engine'!BR36=0,"·",IF('_Engine'!BQ36='_Engine'!BR36,INDEX(Settings!$G$7:$G$11,MOD('_Engine'!BQ36,10))&amp;IF('_Engine'!BQ36&gt;10,"?",""),IF('_Engine'!BQ36=0,INDEX(Settings!$G$7:$G$11,MOD('_Engine'!BR36,10))&amp;IF('_Engine'!BR36&gt;10,"?","")&amp;" PM",IF('_Engine'!BR36=0,INDEX(Settings!$G$7:$G$11,MOD('_Engine'!BQ36,10))&amp;IF('_Engine'!BQ36&gt;10,"?","")&amp;" AM",INDEX(Settings!$G$7:$G$11,MOD('_Engine'!BQ36,10))&amp;IF('_Engine'!BQ36&gt;10,"?","")&amp;" AM"&amp;CHAR(10)&amp;INDEX(Settings!$G$7:$G$11,MOD('_Engine'!BR36,10))&amp;IF('_Engine'!BR36&gt;10,"?","")&amp;" PM"))))))))</ns0:f>
        <ns0:v/>
      </ns0:c>
      <ns0:c r="L36" s="164" t="str">
        <ns0:f>IF(OR($A36="",L$11=""),"",IF(OR('_Engine'!$B$6&gt;0,INDEX('_Engine'!$AM$11:$AM$60,'_Engine'!$AO36)&lt;&gt;"OK"),"!",IF(INDEX(Team!$H$11:$N$60,'_Engine'!$AO36,WEEKDAY(L$11,2))&lt;&gt;"Work","—",IF(COUNTIF(Settings!$F$18:$F$67,L$11)&gt;0,"BH",IF('_Engine'!BS36+'_Engine'!BT36=0,"·",IF('_Engine'!BS36='_Engine'!BT36,INDEX(Settings!$G$7:$G$11,MOD('_Engine'!BS36,10))&amp;IF('_Engine'!BS36&gt;10,"?",""),IF('_Engine'!BS36=0,INDEX(Settings!$G$7:$G$11,MOD('_Engine'!BT36,10))&amp;IF('_Engine'!BT36&gt;10,"?","")&amp;" PM",IF('_Engine'!BT36=0,INDEX(Settings!$G$7:$G$11,MOD('_Engine'!BS36,10))&amp;IF('_Engine'!BS36&gt;10,"?","")&amp;" AM",INDEX(Settings!$G$7:$G$11,MOD('_Engine'!BS36,10))&amp;IF('_Engine'!BS36&gt;10,"?","")&amp;" AM"&amp;CHAR(10)&amp;INDEX(Settings!$G$7:$G$11,MOD('_Engine'!BT36,10))&amp;IF('_Engine'!BT36&gt;10,"?","")&amp;" PM"))))))))</ns0:f>
        <ns0:v/>
      </ns0:c>
      <ns0:c r="M36" s="164" t="str">
        <ns0:f>IF(OR($A36="",M$11=""),"",IF(OR('_Engine'!$B$6&gt;0,INDEX('_Engine'!$AM$11:$AM$60,'_Engine'!$AO36)&lt;&gt;"OK"),"!",IF(INDEX(Team!$H$11:$N$60,'_Engine'!$AO36,WEEKDAY(M$11,2))&lt;&gt;"Work","—",IF(COUNTIF(Settings!$F$18:$F$67,M$11)&gt;0,"BH",IF('_Engine'!BU36+'_Engine'!BV36=0,"·",IF('_Engine'!BU36='_Engine'!BV36,INDEX(Settings!$G$7:$G$11,MOD('_Engine'!BU36,10))&amp;IF('_Engine'!BU36&gt;10,"?",""),IF('_Engine'!BU36=0,INDEX(Settings!$G$7:$G$11,MOD('_Engine'!BV36,10))&amp;IF('_Engine'!BV36&gt;10,"?","")&amp;" PM",IF('_Engine'!BV36=0,INDEX(Settings!$G$7:$G$11,MOD('_Engine'!BU36,10))&amp;IF('_Engine'!BU36&gt;10,"?","")&amp;" AM",INDEX(Settings!$G$7:$G$11,MOD('_Engine'!BU36,10))&amp;IF('_Engine'!BU36&gt;10,"?","")&amp;" AM"&amp;CHAR(10)&amp;INDEX(Settings!$G$7:$G$11,MOD('_Engine'!BV36,10))&amp;IF('_Engine'!BV36&gt;10,"?","")&amp;" PM"))))))))</ns0:f>
        <ns0:v/>
      </ns0:c>
      <ns0:c r="N36" s="164" t="str">
        <ns0:f>IF(OR($A36="",N$11=""),"",IF(OR('_Engine'!$B$6&gt;0,INDEX('_Engine'!$AM$11:$AM$60,'_Engine'!$AO36)&lt;&gt;"OK"),"!",IF(INDEX(Team!$H$11:$N$60,'_Engine'!$AO36,WEEKDAY(N$11,2))&lt;&gt;"Work","—",IF(COUNTIF(Settings!$F$18:$F$67,N$11)&gt;0,"BH",IF('_Engine'!BW36+'_Engine'!BX36=0,"·",IF('_Engine'!BW36='_Engine'!BX36,INDEX(Settings!$G$7:$G$11,MOD('_Engine'!BW36,10))&amp;IF('_Engine'!BW36&gt;10,"?",""),IF('_Engine'!BW36=0,INDEX(Settings!$G$7:$G$11,MOD('_Engine'!BX36,10))&amp;IF('_Engine'!BX36&gt;10,"?","")&amp;" PM",IF('_Engine'!BX36=0,INDEX(Settings!$G$7:$G$11,MOD('_Engine'!BW36,10))&amp;IF('_Engine'!BW36&gt;10,"?","")&amp;" AM",INDEX(Settings!$G$7:$G$11,MOD('_Engine'!BW36,10))&amp;IF('_Engine'!BW36&gt;10,"?","")&amp;" AM"&amp;CHAR(10)&amp;INDEX(Settings!$G$7:$G$11,MOD('_Engine'!BX36,10))&amp;IF('_Engine'!BX36&gt;10,"?","")&amp;" PM"))))))))</ns0:f>
        <ns0:v/>
      </ns0:c>
      <ns0:c r="O36" s="164" t="str">
        <ns0:f>IF(OR($A36="",O$11=""),"",IF(OR('_Engine'!$B$6&gt;0,INDEX('_Engine'!$AM$11:$AM$60,'_Engine'!$AO36)&lt;&gt;"OK"),"!",IF(INDEX(Team!$H$11:$N$60,'_Engine'!$AO36,WEEKDAY(O$11,2))&lt;&gt;"Work","—",IF(COUNTIF(Settings!$F$18:$F$67,O$11)&gt;0,"BH",IF('_Engine'!BY36+'_Engine'!BZ36=0,"·",IF('_Engine'!BY36='_Engine'!BZ36,INDEX(Settings!$G$7:$G$11,MOD('_Engine'!BY36,10))&amp;IF('_Engine'!BY36&gt;10,"?",""),IF('_Engine'!BY36=0,INDEX(Settings!$G$7:$G$11,MOD('_Engine'!BZ36,10))&amp;IF('_Engine'!BZ36&gt;10,"?","")&amp;" PM",IF('_Engine'!BZ36=0,INDEX(Settings!$G$7:$G$11,MOD('_Engine'!BY36,10))&amp;IF('_Engine'!BY36&gt;10,"?","")&amp;" AM",INDEX(Settings!$G$7:$G$11,MOD('_Engine'!BY36,10))&amp;IF('_Engine'!BY36&gt;10,"?","")&amp;" AM"&amp;CHAR(10)&amp;INDEX(Settings!$G$7:$G$11,MOD('_Engine'!BZ36,10))&amp;IF('_Engine'!BZ36&gt;10,"?","")&amp;" PM"))))))))</ns0:f>
        <ns0:v/>
      </ns0:c>
      <ns0:c r="P36" s="164" t="str">
        <ns0:f>IF(OR($A36="",P$11=""),"",IF(OR('_Engine'!$B$6&gt;0,INDEX('_Engine'!$AM$11:$AM$60,'_Engine'!$AO36)&lt;&gt;"OK"),"!",IF(INDEX(Team!$H$11:$N$60,'_Engine'!$AO36,WEEKDAY(P$11,2))&lt;&gt;"Work","—",IF(COUNTIF(Settings!$F$18:$F$67,P$11)&gt;0,"BH",IF('_Engine'!CA36+'_Engine'!CB36=0,"·",IF('_Engine'!CA36='_Engine'!CB36,INDEX(Settings!$G$7:$G$11,MOD('_Engine'!CA36,10))&amp;IF('_Engine'!CA36&gt;10,"?",""),IF('_Engine'!CA36=0,INDEX(Settings!$G$7:$G$11,MOD('_Engine'!CB36,10))&amp;IF('_Engine'!CB36&gt;10,"?","")&amp;" PM",IF('_Engine'!CB36=0,INDEX(Settings!$G$7:$G$11,MOD('_Engine'!CA36,10))&amp;IF('_Engine'!CA36&gt;10,"?","")&amp;" AM",INDEX(Settings!$G$7:$G$11,MOD('_Engine'!CA36,10))&amp;IF('_Engine'!CA36&gt;10,"?","")&amp;" AM"&amp;CHAR(10)&amp;INDEX(Settings!$G$7:$G$11,MOD('_Engine'!CB36,10))&amp;IF('_Engine'!CB36&gt;10,"?","")&amp;" PM"))))))))</ns0:f>
        <ns0:v/>
      </ns0:c>
      <ns0:c r="Q36" s="164" t="str">
        <ns0:f>IF(OR($A36="",Q$11=""),"",IF(OR('_Engine'!$B$6&gt;0,INDEX('_Engine'!$AM$11:$AM$60,'_Engine'!$AO36)&lt;&gt;"OK"),"!",IF(INDEX(Team!$H$11:$N$60,'_Engine'!$AO36,WEEKDAY(Q$11,2))&lt;&gt;"Work","—",IF(COUNTIF(Settings!$F$18:$F$67,Q$11)&gt;0,"BH",IF('_Engine'!CC36+'_Engine'!CD36=0,"·",IF('_Engine'!CC36='_Engine'!CD36,INDEX(Settings!$G$7:$G$11,MOD('_Engine'!CC36,10))&amp;IF('_Engine'!CC36&gt;10,"?",""),IF('_Engine'!CC36=0,INDEX(Settings!$G$7:$G$11,MOD('_Engine'!CD36,10))&amp;IF('_Engine'!CD36&gt;10,"?","")&amp;" PM",IF('_Engine'!CD36=0,INDEX(Settings!$G$7:$G$11,MOD('_Engine'!CC36,10))&amp;IF('_Engine'!CC36&gt;10,"?","")&amp;" AM",INDEX(Settings!$G$7:$G$11,MOD('_Engine'!CC36,10))&amp;IF('_Engine'!CC36&gt;10,"?","")&amp;" AM"&amp;CHAR(10)&amp;INDEX(Settings!$G$7:$G$11,MOD('_Engine'!CD36,10))&amp;IF('_Engine'!CD36&gt;10,"?","")&amp;" PM"))))))))</ns0:f>
        <ns0:v/>
      </ns0:c>
      <ns0:c r="R36" s="164" t="str">
        <ns0:f>IF(OR($A36="",R$11=""),"",IF(OR('_Engine'!$B$6&gt;0,INDEX('_Engine'!$AM$11:$AM$60,'_Engine'!$AO36)&lt;&gt;"OK"),"!",IF(INDEX(Team!$H$11:$N$60,'_Engine'!$AO36,WEEKDAY(R$11,2))&lt;&gt;"Work","—",IF(COUNTIF(Settings!$F$18:$F$67,R$11)&gt;0,"BH",IF('_Engine'!CE36+'_Engine'!CF36=0,"·",IF('_Engine'!CE36='_Engine'!CF36,INDEX(Settings!$G$7:$G$11,MOD('_Engine'!CE36,10))&amp;IF('_Engine'!CE36&gt;10,"?",""),IF('_Engine'!CE36=0,INDEX(Settings!$G$7:$G$11,MOD('_Engine'!CF36,10))&amp;IF('_Engine'!CF36&gt;10,"?","")&amp;" PM",IF('_Engine'!CF36=0,INDEX(Settings!$G$7:$G$11,MOD('_Engine'!CE36,10))&amp;IF('_Engine'!CE36&gt;10,"?","")&amp;" AM",INDEX(Settings!$G$7:$G$11,MOD('_Engine'!CE36,10))&amp;IF('_Engine'!CE36&gt;10,"?","")&amp;" AM"&amp;CHAR(10)&amp;INDEX(Settings!$G$7:$G$11,MOD('_Engine'!CF36,10))&amp;IF('_Engine'!CF36&gt;10,"?","")&amp;" PM"))))))))</ns0:f>
        <ns0:v/>
      </ns0:c>
      <ns0:c r="S36" s="164" t="str">
        <ns0:f>IF(OR($A36="",S$11=""),"",IF(OR('_Engine'!$B$6&gt;0,INDEX('_Engine'!$AM$11:$AM$60,'_Engine'!$AO36)&lt;&gt;"OK"),"!",IF(INDEX(Team!$H$11:$N$60,'_Engine'!$AO36,WEEKDAY(S$11,2))&lt;&gt;"Work","—",IF(COUNTIF(Settings!$F$18:$F$67,S$11)&gt;0,"BH",IF('_Engine'!CG36+'_Engine'!CH36=0,"·",IF('_Engine'!CG36='_Engine'!CH36,INDEX(Settings!$G$7:$G$11,MOD('_Engine'!CG36,10))&amp;IF('_Engine'!CG36&gt;10,"?",""),IF('_Engine'!CG36=0,INDEX(Settings!$G$7:$G$11,MOD('_Engine'!CH36,10))&amp;IF('_Engine'!CH36&gt;10,"?","")&amp;" PM",IF('_Engine'!CH36=0,INDEX(Settings!$G$7:$G$11,MOD('_Engine'!CG36,10))&amp;IF('_Engine'!CG36&gt;10,"?","")&amp;" AM",INDEX(Settings!$G$7:$G$11,MOD('_Engine'!CG36,10))&amp;IF('_Engine'!CG36&gt;10,"?","")&amp;" AM"&amp;CHAR(10)&amp;INDEX(Settings!$G$7:$G$11,MOD('_Engine'!CH36,10))&amp;IF('_Engine'!CH36&gt;10,"?","")&amp;" PM"))))))))</ns0:f>
        <ns0:v/>
      </ns0:c>
      <ns0:c r="T36" s="164" t="str">
        <ns0:f>IF(OR($A36="",T$11=""),"",IF(OR('_Engine'!$B$6&gt;0,INDEX('_Engine'!$AM$11:$AM$60,'_Engine'!$AO36)&lt;&gt;"OK"),"!",IF(INDEX(Team!$H$11:$N$60,'_Engine'!$AO36,WEEKDAY(T$11,2))&lt;&gt;"Work","—",IF(COUNTIF(Settings!$F$18:$F$67,T$11)&gt;0,"BH",IF('_Engine'!CI36+'_Engine'!CJ36=0,"·",IF('_Engine'!CI36='_Engine'!CJ36,INDEX(Settings!$G$7:$G$11,MOD('_Engine'!CI36,10))&amp;IF('_Engine'!CI36&gt;10,"?",""),IF('_Engine'!CI36=0,INDEX(Settings!$G$7:$G$11,MOD('_Engine'!CJ36,10))&amp;IF('_Engine'!CJ36&gt;10,"?","")&amp;" PM",IF('_Engine'!CJ36=0,INDEX(Settings!$G$7:$G$11,MOD('_Engine'!CI36,10))&amp;IF('_Engine'!CI36&gt;10,"?","")&amp;" AM",INDEX(Settings!$G$7:$G$11,MOD('_Engine'!CI36,10))&amp;IF('_Engine'!CI36&gt;10,"?","")&amp;" AM"&amp;CHAR(10)&amp;INDEX(Settings!$G$7:$G$11,MOD('_Engine'!CJ36,10))&amp;IF('_Engine'!CJ36&gt;10,"?","")&amp;" PM"))))))))</ns0:f>
        <ns0:v/>
      </ns0:c>
      <ns0:c r="U36" s="164" t="str">
        <ns0:f>IF(OR($A36="",U$11=""),"",IF(OR('_Engine'!$B$6&gt;0,INDEX('_Engine'!$AM$11:$AM$60,'_Engine'!$AO36)&lt;&gt;"OK"),"!",IF(INDEX(Team!$H$11:$N$60,'_Engine'!$AO36,WEEKDAY(U$11,2))&lt;&gt;"Work","—",IF(COUNTIF(Settings!$F$18:$F$67,U$11)&gt;0,"BH",IF('_Engine'!CK36+'_Engine'!CL36=0,"·",IF('_Engine'!CK36='_Engine'!CL36,INDEX(Settings!$G$7:$G$11,MOD('_Engine'!CK36,10))&amp;IF('_Engine'!CK36&gt;10,"?",""),IF('_Engine'!CK36=0,INDEX(Settings!$G$7:$G$11,MOD('_Engine'!CL36,10))&amp;IF('_Engine'!CL36&gt;10,"?","")&amp;" PM",IF('_Engine'!CL36=0,INDEX(Settings!$G$7:$G$11,MOD('_Engine'!CK36,10))&amp;IF('_Engine'!CK36&gt;10,"?","")&amp;" AM",INDEX(Settings!$G$7:$G$11,MOD('_Engine'!CK36,10))&amp;IF('_Engine'!CK36&gt;10,"?","")&amp;" AM"&amp;CHAR(10)&amp;INDEX(Settings!$G$7:$G$11,MOD('_Engine'!CL36,10))&amp;IF('_Engine'!CL36&gt;10,"?","")&amp;" PM"))))))))</ns0:f>
        <ns0:v/>
      </ns0:c>
      <ns0:c r="V36" s="164" t="str">
        <ns0:f>IF(OR($A36="",V$11=""),"",IF(OR('_Engine'!$B$6&gt;0,INDEX('_Engine'!$AM$11:$AM$60,'_Engine'!$AO36)&lt;&gt;"OK"),"!",IF(INDEX(Team!$H$11:$N$60,'_Engine'!$AO36,WEEKDAY(V$11,2))&lt;&gt;"Work","—",IF(COUNTIF(Settings!$F$18:$F$67,V$11)&gt;0,"BH",IF('_Engine'!CM36+'_Engine'!CN36=0,"·",IF('_Engine'!CM36='_Engine'!CN36,INDEX(Settings!$G$7:$G$11,MOD('_Engine'!CM36,10))&amp;IF('_Engine'!CM36&gt;10,"?",""),IF('_Engine'!CM36=0,INDEX(Settings!$G$7:$G$11,MOD('_Engine'!CN36,10))&amp;IF('_Engine'!CN36&gt;10,"?","")&amp;" PM",IF('_Engine'!CN36=0,INDEX(Settings!$G$7:$G$11,MOD('_Engine'!CM36,10))&amp;IF('_Engine'!CM36&gt;10,"?","")&amp;" AM",INDEX(Settings!$G$7:$G$11,MOD('_Engine'!CM36,10))&amp;IF('_Engine'!CM36&gt;10,"?","")&amp;" AM"&amp;CHAR(10)&amp;INDEX(Settings!$G$7:$G$11,MOD('_Engine'!CN36,10))&amp;IF('_Engine'!CN36&gt;10,"?","")&amp;" PM"))))))))</ns0:f>
        <ns0:v/>
      </ns0:c>
      <ns0:c r="W36" s="164" t="str">
        <ns0:f>IF(OR($A36="",W$11=""),"",IF(OR('_Engine'!$B$6&gt;0,INDEX('_Engine'!$AM$11:$AM$60,'_Engine'!$AO36)&lt;&gt;"OK"),"!",IF(INDEX(Team!$H$11:$N$60,'_Engine'!$AO36,WEEKDAY(W$11,2))&lt;&gt;"Work","—",IF(COUNTIF(Settings!$F$18:$F$67,W$11)&gt;0,"BH",IF('_Engine'!CO36+'_Engine'!CP36=0,"·",IF('_Engine'!CO36='_Engine'!CP36,INDEX(Settings!$G$7:$G$11,MOD('_Engine'!CO36,10))&amp;IF('_Engine'!CO36&gt;10,"?",""),IF('_Engine'!CO36=0,INDEX(Settings!$G$7:$G$11,MOD('_Engine'!CP36,10))&amp;IF('_Engine'!CP36&gt;10,"?","")&amp;" PM",IF('_Engine'!CP36=0,INDEX(Settings!$G$7:$G$11,MOD('_Engine'!CO36,10))&amp;IF('_Engine'!CO36&gt;10,"?","")&amp;" AM",INDEX(Settings!$G$7:$G$11,MOD('_Engine'!CO36,10))&amp;IF('_Engine'!CO36&gt;10,"?","")&amp;" AM"&amp;CHAR(10)&amp;INDEX(Settings!$G$7:$G$11,MOD('_Engine'!CP36,10))&amp;IF('_Engine'!CP36&gt;10,"?","")&amp;" PM"))))))))</ns0:f>
        <ns0:v/>
      </ns0:c>
      <ns0:c r="X36" s="164" t="str">
        <ns0:f>IF(OR($A36="",X$11=""),"",IF(OR('_Engine'!$B$6&gt;0,INDEX('_Engine'!$AM$11:$AM$60,'_Engine'!$AO36)&lt;&gt;"OK"),"!",IF(INDEX(Team!$H$11:$N$60,'_Engine'!$AO36,WEEKDAY(X$11,2))&lt;&gt;"Work","—",IF(COUNTIF(Settings!$F$18:$F$67,X$11)&gt;0,"BH",IF('_Engine'!CQ36+'_Engine'!CR36=0,"·",IF('_Engine'!CQ36='_Engine'!CR36,INDEX(Settings!$G$7:$G$11,MOD('_Engine'!CQ36,10))&amp;IF('_Engine'!CQ36&gt;10,"?",""),IF('_Engine'!CQ36=0,INDEX(Settings!$G$7:$G$11,MOD('_Engine'!CR36,10))&amp;IF('_Engine'!CR36&gt;10,"?","")&amp;" PM",IF('_Engine'!CR36=0,INDEX(Settings!$G$7:$G$11,MOD('_Engine'!CQ36,10))&amp;IF('_Engine'!CQ36&gt;10,"?","")&amp;" AM",INDEX(Settings!$G$7:$G$11,MOD('_Engine'!CQ36,10))&amp;IF('_Engine'!CQ36&gt;10,"?","")&amp;" AM"&amp;CHAR(10)&amp;INDEX(Settings!$G$7:$G$11,MOD('_Engine'!CR36,10))&amp;IF('_Engine'!CR36&gt;10,"?","")&amp;" PM"))))))))</ns0:f>
        <ns0:v/>
      </ns0:c>
      <ns0:c r="Y36" s="164" t="str">
        <ns0:f>IF(OR($A36="",Y$11=""),"",IF(OR('_Engine'!$B$6&gt;0,INDEX('_Engine'!$AM$11:$AM$60,'_Engine'!$AO36)&lt;&gt;"OK"),"!",IF(INDEX(Team!$H$11:$N$60,'_Engine'!$AO36,WEEKDAY(Y$11,2))&lt;&gt;"Work","—",IF(COUNTIF(Settings!$F$18:$F$67,Y$11)&gt;0,"BH",IF('_Engine'!CS36+'_Engine'!CT36=0,"·",IF('_Engine'!CS36='_Engine'!CT36,INDEX(Settings!$G$7:$G$11,MOD('_Engine'!CS36,10))&amp;IF('_Engine'!CS36&gt;10,"?",""),IF('_Engine'!CS36=0,INDEX(Settings!$G$7:$G$11,MOD('_Engine'!CT36,10))&amp;IF('_Engine'!CT36&gt;10,"?","")&amp;" PM",IF('_Engine'!CT36=0,INDEX(Settings!$G$7:$G$11,MOD('_Engine'!CS36,10))&amp;IF('_Engine'!CS36&gt;10,"?","")&amp;" AM",INDEX(Settings!$G$7:$G$11,MOD('_Engine'!CS36,10))&amp;IF('_Engine'!CS36&gt;10,"?","")&amp;" AM"&amp;CHAR(10)&amp;INDEX(Settings!$G$7:$G$11,MOD('_Engine'!CT36,10))&amp;IF('_Engine'!CT36&gt;10,"?","")&amp;" PM"))))))))</ns0:f>
        <ns0:v/>
      </ns0:c>
      <ns0:c r="Z36" s="164" t="str">
        <ns0:f>IF(OR($A36="",Z$11=""),"",IF(OR('_Engine'!$B$6&gt;0,INDEX('_Engine'!$AM$11:$AM$60,'_Engine'!$AO36)&lt;&gt;"OK"),"!",IF(INDEX(Team!$H$11:$N$60,'_Engine'!$AO36,WEEKDAY(Z$11,2))&lt;&gt;"Work","—",IF(COUNTIF(Settings!$F$18:$F$67,Z$11)&gt;0,"BH",IF('_Engine'!CU36+'_Engine'!CV36=0,"·",IF('_Engine'!CU36='_Engine'!CV36,INDEX(Settings!$G$7:$G$11,MOD('_Engine'!CU36,10))&amp;IF('_Engine'!CU36&gt;10,"?",""),IF('_Engine'!CU36=0,INDEX(Settings!$G$7:$G$11,MOD('_Engine'!CV36,10))&amp;IF('_Engine'!CV36&gt;10,"?","")&amp;" PM",IF('_Engine'!CV36=0,INDEX(Settings!$G$7:$G$11,MOD('_Engine'!CU36,10))&amp;IF('_Engine'!CU36&gt;10,"?","")&amp;" AM",INDEX(Settings!$G$7:$G$11,MOD('_Engine'!CU36,10))&amp;IF('_Engine'!CU36&gt;10,"?","")&amp;" AM"&amp;CHAR(10)&amp;INDEX(Settings!$G$7:$G$11,MOD('_Engine'!CV36,10))&amp;IF('_Engine'!CV36&gt;10,"?","")&amp;" PM"))))))))</ns0:f>
        <ns0:v/>
      </ns0:c>
      <ns0:c r="AA36" s="164" t="str">
        <ns0:f>IF(OR($A36="",AA$11=""),"",IF(OR('_Engine'!$B$6&gt;0,INDEX('_Engine'!$AM$11:$AM$60,'_Engine'!$AO36)&lt;&gt;"OK"),"!",IF(INDEX(Team!$H$11:$N$60,'_Engine'!$AO36,WEEKDAY(AA$11,2))&lt;&gt;"Work","—",IF(COUNTIF(Settings!$F$18:$F$67,AA$11)&gt;0,"BH",IF('_Engine'!CW36+'_Engine'!CX36=0,"·",IF('_Engine'!CW36='_Engine'!CX36,INDEX(Settings!$G$7:$G$11,MOD('_Engine'!CW36,10))&amp;IF('_Engine'!CW36&gt;10,"?",""),IF('_Engine'!CW36=0,INDEX(Settings!$G$7:$G$11,MOD('_Engine'!CX36,10))&amp;IF('_Engine'!CX36&gt;10,"?","")&amp;" PM",IF('_Engine'!CX36=0,INDEX(Settings!$G$7:$G$11,MOD('_Engine'!CW36,10))&amp;IF('_Engine'!CW36&gt;10,"?","")&amp;" AM",INDEX(Settings!$G$7:$G$11,MOD('_Engine'!CW36,10))&amp;IF('_Engine'!CW36&gt;10,"?","")&amp;" AM"&amp;CHAR(10)&amp;INDEX(Settings!$G$7:$G$11,MOD('_Engine'!CX36,10))&amp;IF('_Engine'!CX36&gt;10,"?","")&amp;" PM"))))))))</ns0:f>
        <ns0:v/>
      </ns0:c>
      <ns0:c r="AB36" s="164" t="str">
        <ns0:f>IF(OR($A36="",AB$11=""),"",IF(OR('_Engine'!$B$6&gt;0,INDEX('_Engine'!$AM$11:$AM$60,'_Engine'!$AO36)&lt;&gt;"OK"),"!",IF(INDEX(Team!$H$11:$N$60,'_Engine'!$AO36,WEEKDAY(AB$11,2))&lt;&gt;"Work","—",IF(COUNTIF(Settings!$F$18:$F$67,AB$11)&gt;0,"BH",IF('_Engine'!CY36+'_Engine'!CZ36=0,"·",IF('_Engine'!CY36='_Engine'!CZ36,INDEX(Settings!$G$7:$G$11,MOD('_Engine'!CY36,10))&amp;IF('_Engine'!CY36&gt;10,"?",""),IF('_Engine'!CY36=0,INDEX(Settings!$G$7:$G$11,MOD('_Engine'!CZ36,10))&amp;IF('_Engine'!CZ36&gt;10,"?","")&amp;" PM",IF('_Engine'!CZ36=0,INDEX(Settings!$G$7:$G$11,MOD('_Engine'!CY36,10))&amp;IF('_Engine'!CY36&gt;10,"?","")&amp;" AM",INDEX(Settings!$G$7:$G$11,MOD('_Engine'!CY36,10))&amp;IF('_Engine'!CY36&gt;10,"?","")&amp;" AM"&amp;CHAR(10)&amp;INDEX(Settings!$G$7:$G$11,MOD('_Engine'!CZ36,10))&amp;IF('_Engine'!CZ36&gt;10,"?","")&amp;" PM"))))))))</ns0:f>
        <ns0:v/>
      </ns0:c>
      <ns0:c r="AC36" s="164" t="str">
        <ns0:f>IF(OR($A36="",AC$11=""),"",IF(OR('_Engine'!$B$6&gt;0,INDEX('_Engine'!$AM$11:$AM$60,'_Engine'!$AO36)&lt;&gt;"OK"),"!",IF(INDEX(Team!$H$11:$N$60,'_Engine'!$AO36,WEEKDAY(AC$11,2))&lt;&gt;"Work","—",IF(COUNTIF(Settings!$F$18:$F$67,AC$11)&gt;0,"BH",IF('_Engine'!DA36+'_Engine'!DB36=0,"·",IF('_Engine'!DA36='_Engine'!DB36,INDEX(Settings!$G$7:$G$11,MOD('_Engine'!DA36,10))&amp;IF('_Engine'!DA36&gt;10,"?",""),IF('_Engine'!DA36=0,INDEX(Settings!$G$7:$G$11,MOD('_Engine'!DB36,10))&amp;IF('_Engine'!DB36&gt;10,"?","")&amp;" PM",IF('_Engine'!DB36=0,INDEX(Settings!$G$7:$G$11,MOD('_Engine'!DA36,10))&amp;IF('_Engine'!DA36&gt;10,"?","")&amp;" AM",INDEX(Settings!$G$7:$G$11,MOD('_Engine'!DA36,10))&amp;IF('_Engine'!DA36&gt;10,"?","")&amp;" AM"&amp;CHAR(10)&amp;INDEX(Settings!$G$7:$G$11,MOD('_Engine'!DB36,10))&amp;IF('_Engine'!DB36&gt;10,"?","")&amp;" PM"))))))))</ns0:f>
        <ns0:v/>
      </ns0:c>
      <ns0:c r="AD36" s="164" t="str">
        <ns0:f>IF(OR($A36="",AD$11=""),"",IF(OR('_Engine'!$B$6&gt;0,INDEX('_Engine'!$AM$11:$AM$60,'_Engine'!$AO36)&lt;&gt;"OK"),"!",IF(INDEX(Team!$H$11:$N$60,'_Engine'!$AO36,WEEKDAY(AD$11,2))&lt;&gt;"Work","—",IF(COUNTIF(Settings!$F$18:$F$67,AD$11)&gt;0,"BH",IF('_Engine'!DC36+'_Engine'!DD36=0,"·",IF('_Engine'!DC36='_Engine'!DD36,INDEX(Settings!$G$7:$G$11,MOD('_Engine'!DC36,10))&amp;IF('_Engine'!DC36&gt;10,"?",""),IF('_Engine'!DC36=0,INDEX(Settings!$G$7:$G$11,MOD('_Engine'!DD36,10))&amp;IF('_Engine'!DD36&gt;10,"?","")&amp;" PM",IF('_Engine'!DD36=0,INDEX(Settings!$G$7:$G$11,MOD('_Engine'!DC36,10))&amp;IF('_Engine'!DC36&gt;10,"?","")&amp;" AM",INDEX(Settings!$G$7:$G$11,MOD('_Engine'!DC36,10))&amp;IF('_Engine'!DC36&gt;10,"?","")&amp;" AM"&amp;CHAR(10)&amp;INDEX(Settings!$G$7:$G$11,MOD('_Engine'!DD36,10))&amp;IF('_Engine'!DD36&gt;10,"?","")&amp;" PM"))))))))</ns0:f>
        <ns0:v/>
      </ns0:c>
      <ns0:c r="AE36" s="164" t="str">
        <ns0:f>IF(OR($A36="",AE$11=""),"",IF(OR('_Engine'!$B$6&gt;0,INDEX('_Engine'!$AM$11:$AM$60,'_Engine'!$AO36)&lt;&gt;"OK"),"!",IF(INDEX(Team!$H$11:$N$60,'_Engine'!$AO36,WEEKDAY(AE$11,2))&lt;&gt;"Work","—",IF(COUNTIF(Settings!$F$18:$F$67,AE$11)&gt;0,"BH",IF('_Engine'!DE36+'_Engine'!DF36=0,"·",IF('_Engine'!DE36='_Engine'!DF36,INDEX(Settings!$G$7:$G$11,MOD('_Engine'!DE36,10))&amp;IF('_Engine'!DE36&gt;10,"?",""),IF('_Engine'!DE36=0,INDEX(Settings!$G$7:$G$11,MOD('_Engine'!DF36,10))&amp;IF('_Engine'!DF36&gt;10,"?","")&amp;" PM",IF('_Engine'!DF36=0,INDEX(Settings!$G$7:$G$11,MOD('_Engine'!DE36,10))&amp;IF('_Engine'!DE36&gt;10,"?","")&amp;" AM",INDEX(Settings!$G$7:$G$11,MOD('_Engine'!DE36,10))&amp;IF('_Engine'!DE36&gt;10,"?","")&amp;" AM"&amp;CHAR(10)&amp;INDEX(Settings!$G$7:$G$11,MOD('_Engine'!DF36,10))&amp;IF('_Engine'!DF36&gt;10,"?","")&amp;" PM"))))))))</ns0:f>
        <ns0:v/>
      </ns0:c>
      <ns0:c r="AF36" s="164" t="str">
        <ns0:f>IF(OR($A36="",AF$11=""),"",IF(OR('_Engine'!$B$6&gt;0,INDEX('_Engine'!$AM$11:$AM$60,'_Engine'!$AO36)&lt;&gt;"OK"),"!",IF(INDEX(Team!$H$11:$N$60,'_Engine'!$AO36,WEEKDAY(AF$11,2))&lt;&gt;"Work","—",IF(COUNTIF(Settings!$F$18:$F$67,AF$11)&gt;0,"BH",IF('_Engine'!DG36+'_Engine'!DH36=0,"·",IF('_Engine'!DG36='_Engine'!DH36,INDEX(Settings!$G$7:$G$11,MOD('_Engine'!DG36,10))&amp;IF('_Engine'!DG36&gt;10,"?",""),IF('_Engine'!DG36=0,INDEX(Settings!$G$7:$G$11,MOD('_Engine'!DH36,10))&amp;IF('_Engine'!DH36&gt;10,"?","")&amp;" PM",IF('_Engine'!DH36=0,INDEX(Settings!$G$7:$G$11,MOD('_Engine'!DG36,10))&amp;IF('_Engine'!DG36&gt;10,"?","")&amp;" AM",INDEX(Settings!$G$7:$G$11,MOD('_Engine'!DG36,10))&amp;IF('_Engine'!DG36&gt;10,"?","")&amp;" AM"&amp;CHAR(10)&amp;INDEX(Settings!$G$7:$G$11,MOD('_Engine'!DH36,10))&amp;IF('_Engine'!DH36&gt;10,"?","")&amp;" PM"))))))))</ns0:f>
        <ns0:v/>
      </ns0:c>
      <ns0:c r="AG36" s="164" t="str">
        <ns0:f>IF(OR($A36="",AG$11=""),"",IF(OR('_Engine'!$B$6&gt;0,INDEX('_Engine'!$AM$11:$AM$60,'_Engine'!$AO36)&lt;&gt;"OK"),"!",IF(INDEX(Team!$H$11:$N$60,'_Engine'!$AO36,WEEKDAY(AG$11,2))&lt;&gt;"Work","—",IF(COUNTIF(Settings!$F$18:$F$67,AG$11)&gt;0,"BH",IF('_Engine'!DI36+'_Engine'!DJ36=0,"·",IF('_Engine'!DI36='_Engine'!DJ36,INDEX(Settings!$G$7:$G$11,MOD('_Engine'!DI36,10))&amp;IF('_Engine'!DI36&gt;10,"?",""),IF('_Engine'!DI36=0,INDEX(Settings!$G$7:$G$11,MOD('_Engine'!DJ36,10))&amp;IF('_Engine'!DJ36&gt;10,"?","")&amp;" PM",IF('_Engine'!DJ36=0,INDEX(Settings!$G$7:$G$11,MOD('_Engine'!DI36,10))&amp;IF('_Engine'!DI36&gt;10,"?","")&amp;" AM",INDEX(Settings!$G$7:$G$11,MOD('_Engine'!DI36,10))&amp;IF('_Engine'!DI36&gt;10,"?","")&amp;" AM"&amp;CHAR(10)&amp;INDEX(Settings!$G$7:$G$11,MOD('_Engine'!DJ36,10))&amp;IF('_Engine'!DJ36&gt;10,"?","")&amp;" PM"))))))))</ns0:f>
        <ns0:v/>
      </ns0:c>
      <ns0:c r="AH36" s="164" t="str">
        <ns0:f>IF(OR($A36="",AH$11=""),"",IF(OR('_Engine'!$B$6&gt;0,INDEX('_Engine'!$AM$11:$AM$60,'_Engine'!$AO36)&lt;&gt;"OK"),"!",IF(INDEX(Team!$H$11:$N$60,'_Engine'!$AO36,WEEKDAY(AH$11,2))&lt;&gt;"Work","—",IF(COUNTIF(Settings!$F$18:$F$67,AH$11)&gt;0,"BH",IF('_Engine'!DK36+'_Engine'!DL36=0,"·",IF('_Engine'!DK36='_Engine'!DL36,INDEX(Settings!$G$7:$G$11,MOD('_Engine'!DK36,10))&amp;IF('_Engine'!DK36&gt;10,"?",""),IF('_Engine'!DK36=0,INDEX(Settings!$G$7:$G$11,MOD('_Engine'!DL36,10))&amp;IF('_Engine'!DL36&gt;10,"?","")&amp;" PM",IF('_Engine'!DL36=0,INDEX(Settings!$G$7:$G$11,MOD('_Engine'!DK36,10))&amp;IF('_Engine'!DK36&gt;10,"?","")&amp;" AM",INDEX(Settings!$G$7:$G$11,MOD('_Engine'!DK36,10))&amp;IF('_Engine'!DK36&gt;10,"?","")&amp;" AM"&amp;CHAR(10)&amp;INDEX(Settings!$G$7:$G$11,MOD('_Engine'!DL36,10))&amp;IF('_Engine'!DL36&gt;10,"?","")&amp;" PM"))))))))</ns0:f>
        <ns0:v/>
      </ns0:c>
    </ns0:row>
    <ns0:row r="37" ht="38" customHeight="1">
      <ns0:c r="A37" s="4" t="str">
        <ns0:f>IF('_Engine'!AO37=0,"",IF(INDEX(Team!$B$11:$B$60,'_Engine'!AO37)="","[Unnamed]",INDEX(Team!$B$11:$B$60,'_Engine'!AO37)))</ns0:f>
        <ns0:v/>
      </ns0:c>
      <ns0:c r="B37" s="156" t="str">
        <ns0:f>IF('_Engine'!AO37=0,"",INDEX('_Engine'!$AN$11:$AN$60,'_Engine'!AO37))</ns0:f>
        <ns0:v/>
      </ns0:c>
      <ns0:c r="C37" s="4" t="str">
        <ns0:f>IF('_Engine'!AO37=0,"",INDEX(Team!$C$11:$C$60,'_Engine'!AO37))</ns0:f>
        <ns0:v/>
      </ns0:c>
      <ns0:c r="D37" s="162" t="str">
        <ns0:f>IF(OR($A37="",D$11=""),"",IF(OR('_Engine'!$B$6&gt;0,INDEX('_Engine'!$AM$11:$AM$60,'_Engine'!$AO37)&lt;&gt;"OK"),"!",IF(INDEX(Team!$H$11:$N$60,'_Engine'!$AO37,WEEKDAY(D$11,2))&lt;&gt;"Work","—",IF(COUNTIF(Settings!$F$18:$F$67,D$11)&gt;0,"BH",IF('_Engine'!BC37+'_Engine'!BD37=0,"·",IF('_Engine'!BC37='_Engine'!BD37,INDEX(Settings!$G$7:$G$11,MOD('_Engine'!BC37,10))&amp;IF('_Engine'!BC37&gt;10,"?",""),IF('_Engine'!BC37=0,INDEX(Settings!$G$7:$G$11,MOD('_Engine'!BD37,10))&amp;IF('_Engine'!BD37&gt;10,"?","")&amp;" PM",IF('_Engine'!BD37=0,INDEX(Settings!$G$7:$G$11,MOD('_Engine'!BC37,10))&amp;IF('_Engine'!BC37&gt;10,"?","")&amp;" AM",INDEX(Settings!$G$7:$G$11,MOD('_Engine'!BC37,10))&amp;IF('_Engine'!BC37&gt;10,"?","")&amp;" AM"&amp;CHAR(10)&amp;INDEX(Settings!$G$7:$G$11,MOD('_Engine'!BD37,10))&amp;IF('_Engine'!BD37&gt;10,"?","")&amp;" PM"))))))))</ns0:f>
        <ns0:v/>
      </ns0:c>
      <ns0:c r="E37" s="162" t="str">
        <ns0:f>IF(OR($A37="",E$11=""),"",IF(OR('_Engine'!$B$6&gt;0,INDEX('_Engine'!$AM$11:$AM$60,'_Engine'!$AO37)&lt;&gt;"OK"),"!",IF(INDEX(Team!$H$11:$N$60,'_Engine'!$AO37,WEEKDAY(E$11,2))&lt;&gt;"Work","—",IF(COUNTIF(Settings!$F$18:$F$67,E$11)&gt;0,"BH",IF('_Engine'!BE37+'_Engine'!BF37=0,"·",IF('_Engine'!BE37='_Engine'!BF37,INDEX(Settings!$G$7:$G$11,MOD('_Engine'!BE37,10))&amp;IF('_Engine'!BE37&gt;10,"?",""),IF('_Engine'!BE37=0,INDEX(Settings!$G$7:$G$11,MOD('_Engine'!BF37,10))&amp;IF('_Engine'!BF37&gt;10,"?","")&amp;" PM",IF('_Engine'!BF37=0,INDEX(Settings!$G$7:$G$11,MOD('_Engine'!BE37,10))&amp;IF('_Engine'!BE37&gt;10,"?","")&amp;" AM",INDEX(Settings!$G$7:$G$11,MOD('_Engine'!BE37,10))&amp;IF('_Engine'!BE37&gt;10,"?","")&amp;" AM"&amp;CHAR(10)&amp;INDEX(Settings!$G$7:$G$11,MOD('_Engine'!BF37,10))&amp;IF('_Engine'!BF37&gt;10,"?","")&amp;" PM"))))))))</ns0:f>
        <ns0:v/>
      </ns0:c>
      <ns0:c r="F37" s="162" t="str">
        <ns0:f>IF(OR($A37="",F$11=""),"",IF(OR('_Engine'!$B$6&gt;0,INDEX('_Engine'!$AM$11:$AM$60,'_Engine'!$AO37)&lt;&gt;"OK"),"!",IF(INDEX(Team!$H$11:$N$60,'_Engine'!$AO37,WEEKDAY(F$11,2))&lt;&gt;"Work","—",IF(COUNTIF(Settings!$F$18:$F$67,F$11)&gt;0,"BH",IF('_Engine'!BG37+'_Engine'!BH37=0,"·",IF('_Engine'!BG37='_Engine'!BH37,INDEX(Settings!$G$7:$G$11,MOD('_Engine'!BG37,10))&amp;IF('_Engine'!BG37&gt;10,"?",""),IF('_Engine'!BG37=0,INDEX(Settings!$G$7:$G$11,MOD('_Engine'!BH37,10))&amp;IF('_Engine'!BH37&gt;10,"?","")&amp;" PM",IF('_Engine'!BH37=0,INDEX(Settings!$G$7:$G$11,MOD('_Engine'!BG37,10))&amp;IF('_Engine'!BG37&gt;10,"?","")&amp;" AM",INDEX(Settings!$G$7:$G$11,MOD('_Engine'!BG37,10))&amp;IF('_Engine'!BG37&gt;10,"?","")&amp;" AM"&amp;CHAR(10)&amp;INDEX(Settings!$G$7:$G$11,MOD('_Engine'!BH37,10))&amp;IF('_Engine'!BH37&gt;10,"?","")&amp;" PM"))))))))</ns0:f>
        <ns0:v/>
      </ns0:c>
      <ns0:c r="G37" s="162" t="str">
        <ns0:f>IF(OR($A37="",G$11=""),"",IF(OR('_Engine'!$B$6&gt;0,INDEX('_Engine'!$AM$11:$AM$60,'_Engine'!$AO37)&lt;&gt;"OK"),"!",IF(INDEX(Team!$H$11:$N$60,'_Engine'!$AO37,WEEKDAY(G$11,2))&lt;&gt;"Work","—",IF(COUNTIF(Settings!$F$18:$F$67,G$11)&gt;0,"BH",IF('_Engine'!BI37+'_Engine'!BJ37=0,"·",IF('_Engine'!BI37='_Engine'!BJ37,INDEX(Settings!$G$7:$G$11,MOD('_Engine'!BI37,10))&amp;IF('_Engine'!BI37&gt;10,"?",""),IF('_Engine'!BI37=0,INDEX(Settings!$G$7:$G$11,MOD('_Engine'!BJ37,10))&amp;IF('_Engine'!BJ37&gt;10,"?","")&amp;" PM",IF('_Engine'!BJ37=0,INDEX(Settings!$G$7:$G$11,MOD('_Engine'!BI37,10))&amp;IF('_Engine'!BI37&gt;10,"?","")&amp;" AM",INDEX(Settings!$G$7:$G$11,MOD('_Engine'!BI37,10))&amp;IF('_Engine'!BI37&gt;10,"?","")&amp;" AM"&amp;CHAR(10)&amp;INDEX(Settings!$G$7:$G$11,MOD('_Engine'!BJ37,10))&amp;IF('_Engine'!BJ37&gt;10,"?","")&amp;" PM"))))))))</ns0:f>
        <ns0:v/>
      </ns0:c>
      <ns0:c r="H37" s="162" t="str">
        <ns0:f>IF(OR($A37="",H$11=""),"",IF(OR('_Engine'!$B$6&gt;0,INDEX('_Engine'!$AM$11:$AM$60,'_Engine'!$AO37)&lt;&gt;"OK"),"!",IF(INDEX(Team!$H$11:$N$60,'_Engine'!$AO37,WEEKDAY(H$11,2))&lt;&gt;"Work","—",IF(COUNTIF(Settings!$F$18:$F$67,H$11)&gt;0,"BH",IF('_Engine'!BK37+'_Engine'!BL37=0,"·",IF('_Engine'!BK37='_Engine'!BL37,INDEX(Settings!$G$7:$G$11,MOD('_Engine'!BK37,10))&amp;IF('_Engine'!BK37&gt;10,"?",""),IF('_Engine'!BK37=0,INDEX(Settings!$G$7:$G$11,MOD('_Engine'!BL37,10))&amp;IF('_Engine'!BL37&gt;10,"?","")&amp;" PM",IF('_Engine'!BL37=0,INDEX(Settings!$G$7:$G$11,MOD('_Engine'!BK37,10))&amp;IF('_Engine'!BK37&gt;10,"?","")&amp;" AM",INDEX(Settings!$G$7:$G$11,MOD('_Engine'!BK37,10))&amp;IF('_Engine'!BK37&gt;10,"?","")&amp;" AM"&amp;CHAR(10)&amp;INDEX(Settings!$G$7:$G$11,MOD('_Engine'!BL37,10))&amp;IF('_Engine'!BL37&gt;10,"?","")&amp;" PM"))))))))</ns0:f>
        <ns0:v/>
      </ns0:c>
      <ns0:c r="I37" s="162" t="str">
        <ns0:f>IF(OR($A37="",I$11=""),"",IF(OR('_Engine'!$B$6&gt;0,INDEX('_Engine'!$AM$11:$AM$60,'_Engine'!$AO37)&lt;&gt;"OK"),"!",IF(INDEX(Team!$H$11:$N$60,'_Engine'!$AO37,WEEKDAY(I$11,2))&lt;&gt;"Work","—",IF(COUNTIF(Settings!$F$18:$F$67,I$11)&gt;0,"BH",IF('_Engine'!BM37+'_Engine'!BN37=0,"·",IF('_Engine'!BM37='_Engine'!BN37,INDEX(Settings!$G$7:$G$11,MOD('_Engine'!BM37,10))&amp;IF('_Engine'!BM37&gt;10,"?",""),IF('_Engine'!BM37=0,INDEX(Settings!$G$7:$G$11,MOD('_Engine'!BN37,10))&amp;IF('_Engine'!BN37&gt;10,"?","")&amp;" PM",IF('_Engine'!BN37=0,INDEX(Settings!$G$7:$G$11,MOD('_Engine'!BM37,10))&amp;IF('_Engine'!BM37&gt;10,"?","")&amp;" AM",INDEX(Settings!$G$7:$G$11,MOD('_Engine'!BM37,10))&amp;IF('_Engine'!BM37&gt;10,"?","")&amp;" AM"&amp;CHAR(10)&amp;INDEX(Settings!$G$7:$G$11,MOD('_Engine'!BN37,10))&amp;IF('_Engine'!BN37&gt;10,"?","")&amp;" PM"))))))))</ns0:f>
        <ns0:v/>
      </ns0:c>
      <ns0:c r="J37" s="162" t="str">
        <ns0:f>IF(OR($A37="",J$11=""),"",IF(OR('_Engine'!$B$6&gt;0,INDEX('_Engine'!$AM$11:$AM$60,'_Engine'!$AO37)&lt;&gt;"OK"),"!",IF(INDEX(Team!$H$11:$N$60,'_Engine'!$AO37,WEEKDAY(J$11,2))&lt;&gt;"Work","—",IF(COUNTIF(Settings!$F$18:$F$67,J$11)&gt;0,"BH",IF('_Engine'!BO37+'_Engine'!BP37=0,"·",IF('_Engine'!BO37='_Engine'!BP37,INDEX(Settings!$G$7:$G$11,MOD('_Engine'!BO37,10))&amp;IF('_Engine'!BO37&gt;10,"?",""),IF('_Engine'!BO37=0,INDEX(Settings!$G$7:$G$11,MOD('_Engine'!BP37,10))&amp;IF('_Engine'!BP37&gt;10,"?","")&amp;" PM",IF('_Engine'!BP37=0,INDEX(Settings!$G$7:$G$11,MOD('_Engine'!BO37,10))&amp;IF('_Engine'!BO37&gt;10,"?","")&amp;" AM",INDEX(Settings!$G$7:$G$11,MOD('_Engine'!BO37,10))&amp;IF('_Engine'!BO37&gt;10,"?","")&amp;" AM"&amp;CHAR(10)&amp;INDEX(Settings!$G$7:$G$11,MOD('_Engine'!BP37,10))&amp;IF('_Engine'!BP37&gt;10,"?","")&amp;" PM"))))))))</ns0:f>
        <ns0:v/>
      </ns0:c>
      <ns0:c r="K37" s="164" t="str">
        <ns0:f>IF(OR($A37="",K$11=""),"",IF(OR('_Engine'!$B$6&gt;0,INDEX('_Engine'!$AM$11:$AM$60,'_Engine'!$AO37)&lt;&gt;"OK"),"!",IF(INDEX(Team!$H$11:$N$60,'_Engine'!$AO37,WEEKDAY(K$11,2))&lt;&gt;"Work","—",IF(COUNTIF(Settings!$F$18:$F$67,K$11)&gt;0,"BH",IF('_Engine'!BQ37+'_Engine'!BR37=0,"·",IF('_Engine'!BQ37='_Engine'!BR37,INDEX(Settings!$G$7:$G$11,MOD('_Engine'!BQ37,10))&amp;IF('_Engine'!BQ37&gt;10,"?",""),IF('_Engine'!BQ37=0,INDEX(Settings!$G$7:$G$11,MOD('_Engine'!BR37,10))&amp;IF('_Engine'!BR37&gt;10,"?","")&amp;" PM",IF('_Engine'!BR37=0,INDEX(Settings!$G$7:$G$11,MOD('_Engine'!BQ37,10))&amp;IF('_Engine'!BQ37&gt;10,"?","")&amp;" AM",INDEX(Settings!$G$7:$G$11,MOD('_Engine'!BQ37,10))&amp;IF('_Engine'!BQ37&gt;10,"?","")&amp;" AM"&amp;CHAR(10)&amp;INDEX(Settings!$G$7:$G$11,MOD('_Engine'!BR37,10))&amp;IF('_Engine'!BR37&gt;10,"?","")&amp;" PM"))))))))</ns0:f>
        <ns0:v/>
      </ns0:c>
      <ns0:c r="L37" s="164" t="str">
        <ns0:f>IF(OR($A37="",L$11=""),"",IF(OR('_Engine'!$B$6&gt;0,INDEX('_Engine'!$AM$11:$AM$60,'_Engine'!$AO37)&lt;&gt;"OK"),"!",IF(INDEX(Team!$H$11:$N$60,'_Engine'!$AO37,WEEKDAY(L$11,2))&lt;&gt;"Work","—",IF(COUNTIF(Settings!$F$18:$F$67,L$11)&gt;0,"BH",IF('_Engine'!BS37+'_Engine'!BT37=0,"·",IF('_Engine'!BS37='_Engine'!BT37,INDEX(Settings!$G$7:$G$11,MOD('_Engine'!BS37,10))&amp;IF('_Engine'!BS37&gt;10,"?",""),IF('_Engine'!BS37=0,INDEX(Settings!$G$7:$G$11,MOD('_Engine'!BT37,10))&amp;IF('_Engine'!BT37&gt;10,"?","")&amp;" PM",IF('_Engine'!BT37=0,INDEX(Settings!$G$7:$G$11,MOD('_Engine'!BS37,10))&amp;IF('_Engine'!BS37&gt;10,"?","")&amp;" AM",INDEX(Settings!$G$7:$G$11,MOD('_Engine'!BS37,10))&amp;IF('_Engine'!BS37&gt;10,"?","")&amp;" AM"&amp;CHAR(10)&amp;INDEX(Settings!$G$7:$G$11,MOD('_Engine'!BT37,10))&amp;IF('_Engine'!BT37&gt;10,"?","")&amp;" PM"))))))))</ns0:f>
        <ns0:v/>
      </ns0:c>
      <ns0:c r="M37" s="164" t="str">
        <ns0:f>IF(OR($A37="",M$11=""),"",IF(OR('_Engine'!$B$6&gt;0,INDEX('_Engine'!$AM$11:$AM$60,'_Engine'!$AO37)&lt;&gt;"OK"),"!",IF(INDEX(Team!$H$11:$N$60,'_Engine'!$AO37,WEEKDAY(M$11,2))&lt;&gt;"Work","—",IF(COUNTIF(Settings!$F$18:$F$67,M$11)&gt;0,"BH",IF('_Engine'!BU37+'_Engine'!BV37=0,"·",IF('_Engine'!BU37='_Engine'!BV37,INDEX(Settings!$G$7:$G$11,MOD('_Engine'!BU37,10))&amp;IF('_Engine'!BU37&gt;10,"?",""),IF('_Engine'!BU37=0,INDEX(Settings!$G$7:$G$11,MOD('_Engine'!BV37,10))&amp;IF('_Engine'!BV37&gt;10,"?","")&amp;" PM",IF('_Engine'!BV37=0,INDEX(Settings!$G$7:$G$11,MOD('_Engine'!BU37,10))&amp;IF('_Engine'!BU37&gt;10,"?","")&amp;" AM",INDEX(Settings!$G$7:$G$11,MOD('_Engine'!BU37,10))&amp;IF('_Engine'!BU37&gt;10,"?","")&amp;" AM"&amp;CHAR(10)&amp;INDEX(Settings!$G$7:$G$11,MOD('_Engine'!BV37,10))&amp;IF('_Engine'!BV37&gt;10,"?","")&amp;" PM"))))))))</ns0:f>
        <ns0:v/>
      </ns0:c>
      <ns0:c r="N37" s="164" t="str">
        <ns0:f>IF(OR($A37="",N$11=""),"",IF(OR('_Engine'!$B$6&gt;0,INDEX('_Engine'!$AM$11:$AM$60,'_Engine'!$AO37)&lt;&gt;"OK"),"!",IF(INDEX(Team!$H$11:$N$60,'_Engine'!$AO37,WEEKDAY(N$11,2))&lt;&gt;"Work","—",IF(COUNTIF(Settings!$F$18:$F$67,N$11)&gt;0,"BH",IF('_Engine'!BW37+'_Engine'!BX37=0,"·",IF('_Engine'!BW37='_Engine'!BX37,INDEX(Settings!$G$7:$G$11,MOD('_Engine'!BW37,10))&amp;IF('_Engine'!BW37&gt;10,"?",""),IF('_Engine'!BW37=0,INDEX(Settings!$G$7:$G$11,MOD('_Engine'!BX37,10))&amp;IF('_Engine'!BX37&gt;10,"?","")&amp;" PM",IF('_Engine'!BX37=0,INDEX(Settings!$G$7:$G$11,MOD('_Engine'!BW37,10))&amp;IF('_Engine'!BW37&gt;10,"?","")&amp;" AM",INDEX(Settings!$G$7:$G$11,MOD('_Engine'!BW37,10))&amp;IF('_Engine'!BW37&gt;10,"?","")&amp;" AM"&amp;CHAR(10)&amp;INDEX(Settings!$G$7:$G$11,MOD('_Engine'!BX37,10))&amp;IF('_Engine'!BX37&gt;10,"?","")&amp;" PM"))))))))</ns0:f>
        <ns0:v/>
      </ns0:c>
      <ns0:c r="O37" s="164" t="str">
        <ns0:f>IF(OR($A37="",O$11=""),"",IF(OR('_Engine'!$B$6&gt;0,INDEX('_Engine'!$AM$11:$AM$60,'_Engine'!$AO37)&lt;&gt;"OK"),"!",IF(INDEX(Team!$H$11:$N$60,'_Engine'!$AO37,WEEKDAY(O$11,2))&lt;&gt;"Work","—",IF(COUNTIF(Settings!$F$18:$F$67,O$11)&gt;0,"BH",IF('_Engine'!BY37+'_Engine'!BZ37=0,"·",IF('_Engine'!BY37='_Engine'!BZ37,INDEX(Settings!$G$7:$G$11,MOD('_Engine'!BY37,10))&amp;IF('_Engine'!BY37&gt;10,"?",""),IF('_Engine'!BY37=0,INDEX(Settings!$G$7:$G$11,MOD('_Engine'!BZ37,10))&amp;IF('_Engine'!BZ37&gt;10,"?","")&amp;" PM",IF('_Engine'!BZ37=0,INDEX(Settings!$G$7:$G$11,MOD('_Engine'!BY37,10))&amp;IF('_Engine'!BY37&gt;10,"?","")&amp;" AM",INDEX(Settings!$G$7:$G$11,MOD('_Engine'!BY37,10))&amp;IF('_Engine'!BY37&gt;10,"?","")&amp;" AM"&amp;CHAR(10)&amp;INDEX(Settings!$G$7:$G$11,MOD('_Engine'!BZ37,10))&amp;IF('_Engine'!BZ37&gt;10,"?","")&amp;" PM"))))))))</ns0:f>
        <ns0:v/>
      </ns0:c>
      <ns0:c r="P37" s="164" t="str">
        <ns0:f>IF(OR($A37="",P$11=""),"",IF(OR('_Engine'!$B$6&gt;0,INDEX('_Engine'!$AM$11:$AM$60,'_Engine'!$AO37)&lt;&gt;"OK"),"!",IF(INDEX(Team!$H$11:$N$60,'_Engine'!$AO37,WEEKDAY(P$11,2))&lt;&gt;"Work","—",IF(COUNTIF(Settings!$F$18:$F$67,P$11)&gt;0,"BH",IF('_Engine'!CA37+'_Engine'!CB37=0,"·",IF('_Engine'!CA37='_Engine'!CB37,INDEX(Settings!$G$7:$G$11,MOD('_Engine'!CA37,10))&amp;IF('_Engine'!CA37&gt;10,"?",""),IF('_Engine'!CA37=0,INDEX(Settings!$G$7:$G$11,MOD('_Engine'!CB37,10))&amp;IF('_Engine'!CB37&gt;10,"?","")&amp;" PM",IF('_Engine'!CB37=0,INDEX(Settings!$G$7:$G$11,MOD('_Engine'!CA37,10))&amp;IF('_Engine'!CA37&gt;10,"?","")&amp;" AM",INDEX(Settings!$G$7:$G$11,MOD('_Engine'!CA37,10))&amp;IF('_Engine'!CA37&gt;10,"?","")&amp;" AM"&amp;CHAR(10)&amp;INDEX(Settings!$G$7:$G$11,MOD('_Engine'!CB37,10))&amp;IF('_Engine'!CB37&gt;10,"?","")&amp;" PM"))))))))</ns0:f>
        <ns0:v/>
      </ns0:c>
      <ns0:c r="Q37" s="164" t="str">
        <ns0:f>IF(OR($A37="",Q$11=""),"",IF(OR('_Engine'!$B$6&gt;0,INDEX('_Engine'!$AM$11:$AM$60,'_Engine'!$AO37)&lt;&gt;"OK"),"!",IF(INDEX(Team!$H$11:$N$60,'_Engine'!$AO37,WEEKDAY(Q$11,2))&lt;&gt;"Work","—",IF(COUNTIF(Settings!$F$18:$F$67,Q$11)&gt;0,"BH",IF('_Engine'!CC37+'_Engine'!CD37=0,"·",IF('_Engine'!CC37='_Engine'!CD37,INDEX(Settings!$G$7:$G$11,MOD('_Engine'!CC37,10))&amp;IF('_Engine'!CC37&gt;10,"?",""),IF('_Engine'!CC37=0,INDEX(Settings!$G$7:$G$11,MOD('_Engine'!CD37,10))&amp;IF('_Engine'!CD37&gt;10,"?","")&amp;" PM",IF('_Engine'!CD37=0,INDEX(Settings!$G$7:$G$11,MOD('_Engine'!CC37,10))&amp;IF('_Engine'!CC37&gt;10,"?","")&amp;" AM",INDEX(Settings!$G$7:$G$11,MOD('_Engine'!CC37,10))&amp;IF('_Engine'!CC37&gt;10,"?","")&amp;" AM"&amp;CHAR(10)&amp;INDEX(Settings!$G$7:$G$11,MOD('_Engine'!CD37,10))&amp;IF('_Engine'!CD37&gt;10,"?","")&amp;" PM"))))))))</ns0:f>
        <ns0:v/>
      </ns0:c>
      <ns0:c r="R37" s="164" t="str">
        <ns0:f>IF(OR($A37="",R$11=""),"",IF(OR('_Engine'!$B$6&gt;0,INDEX('_Engine'!$AM$11:$AM$60,'_Engine'!$AO37)&lt;&gt;"OK"),"!",IF(INDEX(Team!$H$11:$N$60,'_Engine'!$AO37,WEEKDAY(R$11,2))&lt;&gt;"Work","—",IF(COUNTIF(Settings!$F$18:$F$67,R$11)&gt;0,"BH",IF('_Engine'!CE37+'_Engine'!CF37=0,"·",IF('_Engine'!CE37='_Engine'!CF37,INDEX(Settings!$G$7:$G$11,MOD('_Engine'!CE37,10))&amp;IF('_Engine'!CE37&gt;10,"?",""),IF('_Engine'!CE37=0,INDEX(Settings!$G$7:$G$11,MOD('_Engine'!CF37,10))&amp;IF('_Engine'!CF37&gt;10,"?","")&amp;" PM",IF('_Engine'!CF37=0,INDEX(Settings!$G$7:$G$11,MOD('_Engine'!CE37,10))&amp;IF('_Engine'!CE37&gt;10,"?","")&amp;" AM",INDEX(Settings!$G$7:$G$11,MOD('_Engine'!CE37,10))&amp;IF('_Engine'!CE37&gt;10,"?","")&amp;" AM"&amp;CHAR(10)&amp;INDEX(Settings!$G$7:$G$11,MOD('_Engine'!CF37,10))&amp;IF('_Engine'!CF37&gt;10,"?","")&amp;" PM"))))))))</ns0:f>
        <ns0:v/>
      </ns0:c>
      <ns0:c r="S37" s="164" t="str">
        <ns0:f>IF(OR($A37="",S$11=""),"",IF(OR('_Engine'!$B$6&gt;0,INDEX('_Engine'!$AM$11:$AM$60,'_Engine'!$AO37)&lt;&gt;"OK"),"!",IF(INDEX(Team!$H$11:$N$60,'_Engine'!$AO37,WEEKDAY(S$11,2))&lt;&gt;"Work","—",IF(COUNTIF(Settings!$F$18:$F$67,S$11)&gt;0,"BH",IF('_Engine'!CG37+'_Engine'!CH37=0,"·",IF('_Engine'!CG37='_Engine'!CH37,INDEX(Settings!$G$7:$G$11,MOD('_Engine'!CG37,10))&amp;IF('_Engine'!CG37&gt;10,"?",""),IF('_Engine'!CG37=0,INDEX(Settings!$G$7:$G$11,MOD('_Engine'!CH37,10))&amp;IF('_Engine'!CH37&gt;10,"?","")&amp;" PM",IF('_Engine'!CH37=0,INDEX(Settings!$G$7:$G$11,MOD('_Engine'!CG37,10))&amp;IF('_Engine'!CG37&gt;10,"?","")&amp;" AM",INDEX(Settings!$G$7:$G$11,MOD('_Engine'!CG37,10))&amp;IF('_Engine'!CG37&gt;10,"?","")&amp;" AM"&amp;CHAR(10)&amp;INDEX(Settings!$G$7:$G$11,MOD('_Engine'!CH37,10))&amp;IF('_Engine'!CH37&gt;10,"?","")&amp;" PM"))))))))</ns0:f>
        <ns0:v/>
      </ns0:c>
      <ns0:c r="T37" s="164" t="str">
        <ns0:f>IF(OR($A37="",T$11=""),"",IF(OR('_Engine'!$B$6&gt;0,INDEX('_Engine'!$AM$11:$AM$60,'_Engine'!$AO37)&lt;&gt;"OK"),"!",IF(INDEX(Team!$H$11:$N$60,'_Engine'!$AO37,WEEKDAY(T$11,2))&lt;&gt;"Work","—",IF(COUNTIF(Settings!$F$18:$F$67,T$11)&gt;0,"BH",IF('_Engine'!CI37+'_Engine'!CJ37=0,"·",IF('_Engine'!CI37='_Engine'!CJ37,INDEX(Settings!$G$7:$G$11,MOD('_Engine'!CI37,10))&amp;IF('_Engine'!CI37&gt;10,"?",""),IF('_Engine'!CI37=0,INDEX(Settings!$G$7:$G$11,MOD('_Engine'!CJ37,10))&amp;IF('_Engine'!CJ37&gt;10,"?","")&amp;" PM",IF('_Engine'!CJ37=0,INDEX(Settings!$G$7:$G$11,MOD('_Engine'!CI37,10))&amp;IF('_Engine'!CI37&gt;10,"?","")&amp;" AM",INDEX(Settings!$G$7:$G$11,MOD('_Engine'!CI37,10))&amp;IF('_Engine'!CI37&gt;10,"?","")&amp;" AM"&amp;CHAR(10)&amp;INDEX(Settings!$G$7:$G$11,MOD('_Engine'!CJ37,10))&amp;IF('_Engine'!CJ37&gt;10,"?","")&amp;" PM"))))))))</ns0:f>
        <ns0:v/>
      </ns0:c>
      <ns0:c r="U37" s="164" t="str">
        <ns0:f>IF(OR($A37="",U$11=""),"",IF(OR('_Engine'!$B$6&gt;0,INDEX('_Engine'!$AM$11:$AM$60,'_Engine'!$AO37)&lt;&gt;"OK"),"!",IF(INDEX(Team!$H$11:$N$60,'_Engine'!$AO37,WEEKDAY(U$11,2))&lt;&gt;"Work","—",IF(COUNTIF(Settings!$F$18:$F$67,U$11)&gt;0,"BH",IF('_Engine'!CK37+'_Engine'!CL37=0,"·",IF('_Engine'!CK37='_Engine'!CL37,INDEX(Settings!$G$7:$G$11,MOD('_Engine'!CK37,10))&amp;IF('_Engine'!CK37&gt;10,"?",""),IF('_Engine'!CK37=0,INDEX(Settings!$G$7:$G$11,MOD('_Engine'!CL37,10))&amp;IF('_Engine'!CL37&gt;10,"?","")&amp;" PM",IF('_Engine'!CL37=0,INDEX(Settings!$G$7:$G$11,MOD('_Engine'!CK37,10))&amp;IF('_Engine'!CK37&gt;10,"?","")&amp;" AM",INDEX(Settings!$G$7:$G$11,MOD('_Engine'!CK37,10))&amp;IF('_Engine'!CK37&gt;10,"?","")&amp;" AM"&amp;CHAR(10)&amp;INDEX(Settings!$G$7:$G$11,MOD('_Engine'!CL37,10))&amp;IF('_Engine'!CL37&gt;10,"?","")&amp;" PM"))))))))</ns0:f>
        <ns0:v/>
      </ns0:c>
      <ns0:c r="V37" s="164" t="str">
        <ns0:f>IF(OR($A37="",V$11=""),"",IF(OR('_Engine'!$B$6&gt;0,INDEX('_Engine'!$AM$11:$AM$60,'_Engine'!$AO37)&lt;&gt;"OK"),"!",IF(INDEX(Team!$H$11:$N$60,'_Engine'!$AO37,WEEKDAY(V$11,2))&lt;&gt;"Work","—",IF(COUNTIF(Settings!$F$18:$F$67,V$11)&gt;0,"BH",IF('_Engine'!CM37+'_Engine'!CN37=0,"·",IF('_Engine'!CM37='_Engine'!CN37,INDEX(Settings!$G$7:$G$11,MOD('_Engine'!CM37,10))&amp;IF('_Engine'!CM37&gt;10,"?",""),IF('_Engine'!CM37=0,INDEX(Settings!$G$7:$G$11,MOD('_Engine'!CN37,10))&amp;IF('_Engine'!CN37&gt;10,"?","")&amp;" PM",IF('_Engine'!CN37=0,INDEX(Settings!$G$7:$G$11,MOD('_Engine'!CM37,10))&amp;IF('_Engine'!CM37&gt;10,"?","")&amp;" AM",INDEX(Settings!$G$7:$G$11,MOD('_Engine'!CM37,10))&amp;IF('_Engine'!CM37&gt;10,"?","")&amp;" AM"&amp;CHAR(10)&amp;INDEX(Settings!$G$7:$G$11,MOD('_Engine'!CN37,10))&amp;IF('_Engine'!CN37&gt;10,"?","")&amp;" PM"))))))))</ns0:f>
        <ns0:v/>
      </ns0:c>
      <ns0:c r="W37" s="164" t="str">
        <ns0:f>IF(OR($A37="",W$11=""),"",IF(OR('_Engine'!$B$6&gt;0,INDEX('_Engine'!$AM$11:$AM$60,'_Engine'!$AO37)&lt;&gt;"OK"),"!",IF(INDEX(Team!$H$11:$N$60,'_Engine'!$AO37,WEEKDAY(W$11,2))&lt;&gt;"Work","—",IF(COUNTIF(Settings!$F$18:$F$67,W$11)&gt;0,"BH",IF('_Engine'!CO37+'_Engine'!CP37=0,"·",IF('_Engine'!CO37='_Engine'!CP37,INDEX(Settings!$G$7:$G$11,MOD('_Engine'!CO37,10))&amp;IF('_Engine'!CO37&gt;10,"?",""),IF('_Engine'!CO37=0,INDEX(Settings!$G$7:$G$11,MOD('_Engine'!CP37,10))&amp;IF('_Engine'!CP37&gt;10,"?","")&amp;" PM",IF('_Engine'!CP37=0,INDEX(Settings!$G$7:$G$11,MOD('_Engine'!CO37,10))&amp;IF('_Engine'!CO37&gt;10,"?","")&amp;" AM",INDEX(Settings!$G$7:$G$11,MOD('_Engine'!CO37,10))&amp;IF('_Engine'!CO37&gt;10,"?","")&amp;" AM"&amp;CHAR(10)&amp;INDEX(Settings!$G$7:$G$11,MOD('_Engine'!CP37,10))&amp;IF('_Engine'!CP37&gt;10,"?","")&amp;" PM"))))))))</ns0:f>
        <ns0:v/>
      </ns0:c>
      <ns0:c r="X37" s="164" t="str">
        <ns0:f>IF(OR($A37="",X$11=""),"",IF(OR('_Engine'!$B$6&gt;0,INDEX('_Engine'!$AM$11:$AM$60,'_Engine'!$AO37)&lt;&gt;"OK"),"!",IF(INDEX(Team!$H$11:$N$60,'_Engine'!$AO37,WEEKDAY(X$11,2))&lt;&gt;"Work","—",IF(COUNTIF(Settings!$F$18:$F$67,X$11)&gt;0,"BH",IF('_Engine'!CQ37+'_Engine'!CR37=0,"·",IF('_Engine'!CQ37='_Engine'!CR37,INDEX(Settings!$G$7:$G$11,MOD('_Engine'!CQ37,10))&amp;IF('_Engine'!CQ37&gt;10,"?",""),IF('_Engine'!CQ37=0,INDEX(Settings!$G$7:$G$11,MOD('_Engine'!CR37,10))&amp;IF('_Engine'!CR37&gt;10,"?","")&amp;" PM",IF('_Engine'!CR37=0,INDEX(Settings!$G$7:$G$11,MOD('_Engine'!CQ37,10))&amp;IF('_Engine'!CQ37&gt;10,"?","")&amp;" AM",INDEX(Settings!$G$7:$G$11,MOD('_Engine'!CQ37,10))&amp;IF('_Engine'!CQ37&gt;10,"?","")&amp;" AM"&amp;CHAR(10)&amp;INDEX(Settings!$G$7:$G$11,MOD('_Engine'!CR37,10))&amp;IF('_Engine'!CR37&gt;10,"?","")&amp;" PM"))))))))</ns0:f>
        <ns0:v/>
      </ns0:c>
      <ns0:c r="Y37" s="164" t="str">
        <ns0:f>IF(OR($A37="",Y$11=""),"",IF(OR('_Engine'!$B$6&gt;0,INDEX('_Engine'!$AM$11:$AM$60,'_Engine'!$AO37)&lt;&gt;"OK"),"!",IF(INDEX(Team!$H$11:$N$60,'_Engine'!$AO37,WEEKDAY(Y$11,2))&lt;&gt;"Work","—",IF(COUNTIF(Settings!$F$18:$F$67,Y$11)&gt;0,"BH",IF('_Engine'!CS37+'_Engine'!CT37=0,"·",IF('_Engine'!CS37='_Engine'!CT37,INDEX(Settings!$G$7:$G$11,MOD('_Engine'!CS37,10))&amp;IF('_Engine'!CS37&gt;10,"?",""),IF('_Engine'!CS37=0,INDEX(Settings!$G$7:$G$11,MOD('_Engine'!CT37,10))&amp;IF('_Engine'!CT37&gt;10,"?","")&amp;" PM",IF('_Engine'!CT37=0,INDEX(Settings!$G$7:$G$11,MOD('_Engine'!CS37,10))&amp;IF('_Engine'!CS37&gt;10,"?","")&amp;" AM",INDEX(Settings!$G$7:$G$11,MOD('_Engine'!CS37,10))&amp;IF('_Engine'!CS37&gt;10,"?","")&amp;" AM"&amp;CHAR(10)&amp;INDEX(Settings!$G$7:$G$11,MOD('_Engine'!CT37,10))&amp;IF('_Engine'!CT37&gt;10,"?","")&amp;" PM"))))))))</ns0:f>
        <ns0:v/>
      </ns0:c>
      <ns0:c r="Z37" s="164" t="str">
        <ns0:f>IF(OR($A37="",Z$11=""),"",IF(OR('_Engine'!$B$6&gt;0,INDEX('_Engine'!$AM$11:$AM$60,'_Engine'!$AO37)&lt;&gt;"OK"),"!",IF(INDEX(Team!$H$11:$N$60,'_Engine'!$AO37,WEEKDAY(Z$11,2))&lt;&gt;"Work","—",IF(COUNTIF(Settings!$F$18:$F$67,Z$11)&gt;0,"BH",IF('_Engine'!CU37+'_Engine'!CV37=0,"·",IF('_Engine'!CU37='_Engine'!CV37,INDEX(Settings!$G$7:$G$11,MOD('_Engine'!CU37,10))&amp;IF('_Engine'!CU37&gt;10,"?",""),IF('_Engine'!CU37=0,INDEX(Settings!$G$7:$G$11,MOD('_Engine'!CV37,10))&amp;IF('_Engine'!CV37&gt;10,"?","")&amp;" PM",IF('_Engine'!CV37=0,INDEX(Settings!$G$7:$G$11,MOD('_Engine'!CU37,10))&amp;IF('_Engine'!CU37&gt;10,"?","")&amp;" AM",INDEX(Settings!$G$7:$G$11,MOD('_Engine'!CU37,10))&amp;IF('_Engine'!CU37&gt;10,"?","")&amp;" AM"&amp;CHAR(10)&amp;INDEX(Settings!$G$7:$G$11,MOD('_Engine'!CV37,10))&amp;IF('_Engine'!CV37&gt;10,"?","")&amp;" PM"))))))))</ns0:f>
        <ns0:v/>
      </ns0:c>
      <ns0:c r="AA37" s="164" t="str">
        <ns0:f>IF(OR($A37="",AA$11=""),"",IF(OR('_Engine'!$B$6&gt;0,INDEX('_Engine'!$AM$11:$AM$60,'_Engine'!$AO37)&lt;&gt;"OK"),"!",IF(INDEX(Team!$H$11:$N$60,'_Engine'!$AO37,WEEKDAY(AA$11,2))&lt;&gt;"Work","—",IF(COUNTIF(Settings!$F$18:$F$67,AA$11)&gt;0,"BH",IF('_Engine'!CW37+'_Engine'!CX37=0,"·",IF('_Engine'!CW37='_Engine'!CX37,INDEX(Settings!$G$7:$G$11,MOD('_Engine'!CW37,10))&amp;IF('_Engine'!CW37&gt;10,"?",""),IF('_Engine'!CW37=0,INDEX(Settings!$G$7:$G$11,MOD('_Engine'!CX37,10))&amp;IF('_Engine'!CX37&gt;10,"?","")&amp;" PM",IF('_Engine'!CX37=0,INDEX(Settings!$G$7:$G$11,MOD('_Engine'!CW37,10))&amp;IF('_Engine'!CW37&gt;10,"?","")&amp;" AM",INDEX(Settings!$G$7:$G$11,MOD('_Engine'!CW37,10))&amp;IF('_Engine'!CW37&gt;10,"?","")&amp;" AM"&amp;CHAR(10)&amp;INDEX(Settings!$G$7:$G$11,MOD('_Engine'!CX37,10))&amp;IF('_Engine'!CX37&gt;10,"?","")&amp;" PM"))))))))</ns0:f>
        <ns0:v/>
      </ns0:c>
      <ns0:c r="AB37" s="164" t="str">
        <ns0:f>IF(OR($A37="",AB$11=""),"",IF(OR('_Engine'!$B$6&gt;0,INDEX('_Engine'!$AM$11:$AM$60,'_Engine'!$AO37)&lt;&gt;"OK"),"!",IF(INDEX(Team!$H$11:$N$60,'_Engine'!$AO37,WEEKDAY(AB$11,2))&lt;&gt;"Work","—",IF(COUNTIF(Settings!$F$18:$F$67,AB$11)&gt;0,"BH",IF('_Engine'!CY37+'_Engine'!CZ37=0,"·",IF('_Engine'!CY37='_Engine'!CZ37,INDEX(Settings!$G$7:$G$11,MOD('_Engine'!CY37,10))&amp;IF('_Engine'!CY37&gt;10,"?",""),IF('_Engine'!CY37=0,INDEX(Settings!$G$7:$G$11,MOD('_Engine'!CZ37,10))&amp;IF('_Engine'!CZ37&gt;10,"?","")&amp;" PM",IF('_Engine'!CZ37=0,INDEX(Settings!$G$7:$G$11,MOD('_Engine'!CY37,10))&amp;IF('_Engine'!CY37&gt;10,"?","")&amp;" AM",INDEX(Settings!$G$7:$G$11,MOD('_Engine'!CY37,10))&amp;IF('_Engine'!CY37&gt;10,"?","")&amp;" AM"&amp;CHAR(10)&amp;INDEX(Settings!$G$7:$G$11,MOD('_Engine'!CZ37,10))&amp;IF('_Engine'!CZ37&gt;10,"?","")&amp;" PM"))))))))</ns0:f>
        <ns0:v/>
      </ns0:c>
      <ns0:c r="AC37" s="164" t="str">
        <ns0:f>IF(OR($A37="",AC$11=""),"",IF(OR('_Engine'!$B$6&gt;0,INDEX('_Engine'!$AM$11:$AM$60,'_Engine'!$AO37)&lt;&gt;"OK"),"!",IF(INDEX(Team!$H$11:$N$60,'_Engine'!$AO37,WEEKDAY(AC$11,2))&lt;&gt;"Work","—",IF(COUNTIF(Settings!$F$18:$F$67,AC$11)&gt;0,"BH",IF('_Engine'!DA37+'_Engine'!DB37=0,"·",IF('_Engine'!DA37='_Engine'!DB37,INDEX(Settings!$G$7:$G$11,MOD('_Engine'!DA37,10))&amp;IF('_Engine'!DA37&gt;10,"?",""),IF('_Engine'!DA37=0,INDEX(Settings!$G$7:$G$11,MOD('_Engine'!DB37,10))&amp;IF('_Engine'!DB37&gt;10,"?","")&amp;" PM",IF('_Engine'!DB37=0,INDEX(Settings!$G$7:$G$11,MOD('_Engine'!DA37,10))&amp;IF('_Engine'!DA37&gt;10,"?","")&amp;" AM",INDEX(Settings!$G$7:$G$11,MOD('_Engine'!DA37,10))&amp;IF('_Engine'!DA37&gt;10,"?","")&amp;" AM"&amp;CHAR(10)&amp;INDEX(Settings!$G$7:$G$11,MOD('_Engine'!DB37,10))&amp;IF('_Engine'!DB37&gt;10,"?","")&amp;" PM"))))))))</ns0:f>
        <ns0:v/>
      </ns0:c>
      <ns0:c r="AD37" s="164" t="str">
        <ns0:f>IF(OR($A37="",AD$11=""),"",IF(OR('_Engine'!$B$6&gt;0,INDEX('_Engine'!$AM$11:$AM$60,'_Engine'!$AO37)&lt;&gt;"OK"),"!",IF(INDEX(Team!$H$11:$N$60,'_Engine'!$AO37,WEEKDAY(AD$11,2))&lt;&gt;"Work","—",IF(COUNTIF(Settings!$F$18:$F$67,AD$11)&gt;0,"BH",IF('_Engine'!DC37+'_Engine'!DD37=0,"·",IF('_Engine'!DC37='_Engine'!DD37,INDEX(Settings!$G$7:$G$11,MOD('_Engine'!DC37,10))&amp;IF('_Engine'!DC37&gt;10,"?",""),IF('_Engine'!DC37=0,INDEX(Settings!$G$7:$G$11,MOD('_Engine'!DD37,10))&amp;IF('_Engine'!DD37&gt;10,"?","")&amp;" PM",IF('_Engine'!DD37=0,INDEX(Settings!$G$7:$G$11,MOD('_Engine'!DC37,10))&amp;IF('_Engine'!DC37&gt;10,"?","")&amp;" AM",INDEX(Settings!$G$7:$G$11,MOD('_Engine'!DC37,10))&amp;IF('_Engine'!DC37&gt;10,"?","")&amp;" AM"&amp;CHAR(10)&amp;INDEX(Settings!$G$7:$G$11,MOD('_Engine'!DD37,10))&amp;IF('_Engine'!DD37&gt;10,"?","")&amp;" PM"))))))))</ns0:f>
        <ns0:v/>
      </ns0:c>
      <ns0:c r="AE37" s="164" t="str">
        <ns0:f>IF(OR($A37="",AE$11=""),"",IF(OR('_Engine'!$B$6&gt;0,INDEX('_Engine'!$AM$11:$AM$60,'_Engine'!$AO37)&lt;&gt;"OK"),"!",IF(INDEX(Team!$H$11:$N$60,'_Engine'!$AO37,WEEKDAY(AE$11,2))&lt;&gt;"Work","—",IF(COUNTIF(Settings!$F$18:$F$67,AE$11)&gt;0,"BH",IF('_Engine'!DE37+'_Engine'!DF37=0,"·",IF('_Engine'!DE37='_Engine'!DF37,INDEX(Settings!$G$7:$G$11,MOD('_Engine'!DE37,10))&amp;IF('_Engine'!DE37&gt;10,"?",""),IF('_Engine'!DE37=0,INDEX(Settings!$G$7:$G$11,MOD('_Engine'!DF37,10))&amp;IF('_Engine'!DF37&gt;10,"?","")&amp;" PM",IF('_Engine'!DF37=0,INDEX(Settings!$G$7:$G$11,MOD('_Engine'!DE37,10))&amp;IF('_Engine'!DE37&gt;10,"?","")&amp;" AM",INDEX(Settings!$G$7:$G$11,MOD('_Engine'!DE37,10))&amp;IF('_Engine'!DE37&gt;10,"?","")&amp;" AM"&amp;CHAR(10)&amp;INDEX(Settings!$G$7:$G$11,MOD('_Engine'!DF37,10))&amp;IF('_Engine'!DF37&gt;10,"?","")&amp;" PM"))))))))</ns0:f>
        <ns0:v/>
      </ns0:c>
      <ns0:c r="AF37" s="164" t="str">
        <ns0:f>IF(OR($A37="",AF$11=""),"",IF(OR('_Engine'!$B$6&gt;0,INDEX('_Engine'!$AM$11:$AM$60,'_Engine'!$AO37)&lt;&gt;"OK"),"!",IF(INDEX(Team!$H$11:$N$60,'_Engine'!$AO37,WEEKDAY(AF$11,2))&lt;&gt;"Work","—",IF(COUNTIF(Settings!$F$18:$F$67,AF$11)&gt;0,"BH",IF('_Engine'!DG37+'_Engine'!DH37=0,"·",IF('_Engine'!DG37='_Engine'!DH37,INDEX(Settings!$G$7:$G$11,MOD('_Engine'!DG37,10))&amp;IF('_Engine'!DG37&gt;10,"?",""),IF('_Engine'!DG37=0,INDEX(Settings!$G$7:$G$11,MOD('_Engine'!DH37,10))&amp;IF('_Engine'!DH37&gt;10,"?","")&amp;" PM",IF('_Engine'!DH37=0,INDEX(Settings!$G$7:$G$11,MOD('_Engine'!DG37,10))&amp;IF('_Engine'!DG37&gt;10,"?","")&amp;" AM",INDEX(Settings!$G$7:$G$11,MOD('_Engine'!DG37,10))&amp;IF('_Engine'!DG37&gt;10,"?","")&amp;" AM"&amp;CHAR(10)&amp;INDEX(Settings!$G$7:$G$11,MOD('_Engine'!DH37,10))&amp;IF('_Engine'!DH37&gt;10,"?","")&amp;" PM"))))))))</ns0:f>
        <ns0:v/>
      </ns0:c>
      <ns0:c r="AG37" s="164" t="str">
        <ns0:f>IF(OR($A37="",AG$11=""),"",IF(OR('_Engine'!$B$6&gt;0,INDEX('_Engine'!$AM$11:$AM$60,'_Engine'!$AO37)&lt;&gt;"OK"),"!",IF(INDEX(Team!$H$11:$N$60,'_Engine'!$AO37,WEEKDAY(AG$11,2))&lt;&gt;"Work","—",IF(COUNTIF(Settings!$F$18:$F$67,AG$11)&gt;0,"BH",IF('_Engine'!DI37+'_Engine'!DJ37=0,"·",IF('_Engine'!DI37='_Engine'!DJ37,INDEX(Settings!$G$7:$G$11,MOD('_Engine'!DI37,10))&amp;IF('_Engine'!DI37&gt;10,"?",""),IF('_Engine'!DI37=0,INDEX(Settings!$G$7:$G$11,MOD('_Engine'!DJ37,10))&amp;IF('_Engine'!DJ37&gt;10,"?","")&amp;" PM",IF('_Engine'!DJ37=0,INDEX(Settings!$G$7:$G$11,MOD('_Engine'!DI37,10))&amp;IF('_Engine'!DI37&gt;10,"?","")&amp;" AM",INDEX(Settings!$G$7:$G$11,MOD('_Engine'!DI37,10))&amp;IF('_Engine'!DI37&gt;10,"?","")&amp;" AM"&amp;CHAR(10)&amp;INDEX(Settings!$G$7:$G$11,MOD('_Engine'!DJ37,10))&amp;IF('_Engine'!DJ37&gt;10,"?","")&amp;" PM"))))))))</ns0:f>
        <ns0:v/>
      </ns0:c>
      <ns0:c r="AH37" s="164" t="str">
        <ns0:f>IF(OR($A37="",AH$11=""),"",IF(OR('_Engine'!$B$6&gt;0,INDEX('_Engine'!$AM$11:$AM$60,'_Engine'!$AO37)&lt;&gt;"OK"),"!",IF(INDEX(Team!$H$11:$N$60,'_Engine'!$AO37,WEEKDAY(AH$11,2))&lt;&gt;"Work","—",IF(COUNTIF(Settings!$F$18:$F$67,AH$11)&gt;0,"BH",IF('_Engine'!DK37+'_Engine'!DL37=0,"·",IF('_Engine'!DK37='_Engine'!DL37,INDEX(Settings!$G$7:$G$11,MOD('_Engine'!DK37,10))&amp;IF('_Engine'!DK37&gt;10,"?",""),IF('_Engine'!DK37=0,INDEX(Settings!$G$7:$G$11,MOD('_Engine'!DL37,10))&amp;IF('_Engine'!DL37&gt;10,"?","")&amp;" PM",IF('_Engine'!DL37=0,INDEX(Settings!$G$7:$G$11,MOD('_Engine'!DK37,10))&amp;IF('_Engine'!DK37&gt;10,"?","")&amp;" AM",INDEX(Settings!$G$7:$G$11,MOD('_Engine'!DK37,10))&amp;IF('_Engine'!DK37&gt;10,"?","")&amp;" AM"&amp;CHAR(10)&amp;INDEX(Settings!$G$7:$G$11,MOD('_Engine'!DL37,10))&amp;IF('_Engine'!DL37&gt;10,"?","")&amp;" PM"))))))))</ns0:f>
        <ns0:v/>
      </ns0:c>
    </ns0:row>
    <ns0:row r="38" ht="38" customHeight="1">
      <ns0:c r="A38" s="4" t="str">
        <ns0:f>IF('_Engine'!AO38=0,"",IF(INDEX(Team!$B$11:$B$60,'_Engine'!AO38)="","[Unnamed]",INDEX(Team!$B$11:$B$60,'_Engine'!AO38)))</ns0:f>
        <ns0:v/>
      </ns0:c>
      <ns0:c r="B38" s="156" t="str">
        <ns0:f>IF('_Engine'!AO38=0,"",INDEX('_Engine'!$AN$11:$AN$60,'_Engine'!AO38))</ns0:f>
        <ns0:v/>
      </ns0:c>
      <ns0:c r="C38" s="4" t="str">
        <ns0:f>IF('_Engine'!AO38=0,"",INDEX(Team!$C$11:$C$60,'_Engine'!AO38))</ns0:f>
        <ns0:v/>
      </ns0:c>
      <ns0:c r="D38" s="162" t="str">
        <ns0:f>IF(OR($A38="",D$11=""),"",IF(OR('_Engine'!$B$6&gt;0,INDEX('_Engine'!$AM$11:$AM$60,'_Engine'!$AO38)&lt;&gt;"OK"),"!",IF(INDEX(Team!$H$11:$N$60,'_Engine'!$AO38,WEEKDAY(D$11,2))&lt;&gt;"Work","—",IF(COUNTIF(Settings!$F$18:$F$67,D$11)&gt;0,"BH",IF('_Engine'!BC38+'_Engine'!BD38=0,"·",IF('_Engine'!BC38='_Engine'!BD38,INDEX(Settings!$G$7:$G$11,MOD('_Engine'!BC38,10))&amp;IF('_Engine'!BC38&gt;10,"?",""),IF('_Engine'!BC38=0,INDEX(Settings!$G$7:$G$11,MOD('_Engine'!BD38,10))&amp;IF('_Engine'!BD38&gt;10,"?","")&amp;" PM",IF('_Engine'!BD38=0,INDEX(Settings!$G$7:$G$11,MOD('_Engine'!BC38,10))&amp;IF('_Engine'!BC38&gt;10,"?","")&amp;" AM",INDEX(Settings!$G$7:$G$11,MOD('_Engine'!BC38,10))&amp;IF('_Engine'!BC38&gt;10,"?","")&amp;" AM"&amp;CHAR(10)&amp;INDEX(Settings!$G$7:$G$11,MOD('_Engine'!BD38,10))&amp;IF('_Engine'!BD38&gt;10,"?","")&amp;" PM"))))))))</ns0:f>
        <ns0:v/>
      </ns0:c>
      <ns0:c r="E38" s="162" t="str">
        <ns0:f>IF(OR($A38="",E$11=""),"",IF(OR('_Engine'!$B$6&gt;0,INDEX('_Engine'!$AM$11:$AM$60,'_Engine'!$AO38)&lt;&gt;"OK"),"!",IF(INDEX(Team!$H$11:$N$60,'_Engine'!$AO38,WEEKDAY(E$11,2))&lt;&gt;"Work","—",IF(COUNTIF(Settings!$F$18:$F$67,E$11)&gt;0,"BH",IF('_Engine'!BE38+'_Engine'!BF38=0,"·",IF('_Engine'!BE38='_Engine'!BF38,INDEX(Settings!$G$7:$G$11,MOD('_Engine'!BE38,10))&amp;IF('_Engine'!BE38&gt;10,"?",""),IF('_Engine'!BE38=0,INDEX(Settings!$G$7:$G$11,MOD('_Engine'!BF38,10))&amp;IF('_Engine'!BF38&gt;10,"?","")&amp;" PM",IF('_Engine'!BF38=0,INDEX(Settings!$G$7:$G$11,MOD('_Engine'!BE38,10))&amp;IF('_Engine'!BE38&gt;10,"?","")&amp;" AM",INDEX(Settings!$G$7:$G$11,MOD('_Engine'!BE38,10))&amp;IF('_Engine'!BE38&gt;10,"?","")&amp;" AM"&amp;CHAR(10)&amp;INDEX(Settings!$G$7:$G$11,MOD('_Engine'!BF38,10))&amp;IF('_Engine'!BF38&gt;10,"?","")&amp;" PM"))))))))</ns0:f>
        <ns0:v/>
      </ns0:c>
      <ns0:c r="F38" s="162" t="str">
        <ns0:f>IF(OR($A38="",F$11=""),"",IF(OR('_Engine'!$B$6&gt;0,INDEX('_Engine'!$AM$11:$AM$60,'_Engine'!$AO38)&lt;&gt;"OK"),"!",IF(INDEX(Team!$H$11:$N$60,'_Engine'!$AO38,WEEKDAY(F$11,2))&lt;&gt;"Work","—",IF(COUNTIF(Settings!$F$18:$F$67,F$11)&gt;0,"BH",IF('_Engine'!BG38+'_Engine'!BH38=0,"·",IF('_Engine'!BG38='_Engine'!BH38,INDEX(Settings!$G$7:$G$11,MOD('_Engine'!BG38,10))&amp;IF('_Engine'!BG38&gt;10,"?",""),IF('_Engine'!BG38=0,INDEX(Settings!$G$7:$G$11,MOD('_Engine'!BH38,10))&amp;IF('_Engine'!BH38&gt;10,"?","")&amp;" PM",IF('_Engine'!BH38=0,INDEX(Settings!$G$7:$G$11,MOD('_Engine'!BG38,10))&amp;IF('_Engine'!BG38&gt;10,"?","")&amp;" AM",INDEX(Settings!$G$7:$G$11,MOD('_Engine'!BG38,10))&amp;IF('_Engine'!BG38&gt;10,"?","")&amp;" AM"&amp;CHAR(10)&amp;INDEX(Settings!$G$7:$G$11,MOD('_Engine'!BH38,10))&amp;IF('_Engine'!BH38&gt;10,"?","")&amp;" PM"))))))))</ns0:f>
        <ns0:v/>
      </ns0:c>
      <ns0:c r="G38" s="162" t="str">
        <ns0:f>IF(OR($A38="",G$11=""),"",IF(OR('_Engine'!$B$6&gt;0,INDEX('_Engine'!$AM$11:$AM$60,'_Engine'!$AO38)&lt;&gt;"OK"),"!",IF(INDEX(Team!$H$11:$N$60,'_Engine'!$AO38,WEEKDAY(G$11,2))&lt;&gt;"Work","—",IF(COUNTIF(Settings!$F$18:$F$67,G$11)&gt;0,"BH",IF('_Engine'!BI38+'_Engine'!BJ38=0,"·",IF('_Engine'!BI38='_Engine'!BJ38,INDEX(Settings!$G$7:$G$11,MOD('_Engine'!BI38,10))&amp;IF('_Engine'!BI38&gt;10,"?",""),IF('_Engine'!BI38=0,INDEX(Settings!$G$7:$G$11,MOD('_Engine'!BJ38,10))&amp;IF('_Engine'!BJ38&gt;10,"?","")&amp;" PM",IF('_Engine'!BJ38=0,INDEX(Settings!$G$7:$G$11,MOD('_Engine'!BI38,10))&amp;IF('_Engine'!BI38&gt;10,"?","")&amp;" AM",INDEX(Settings!$G$7:$G$11,MOD('_Engine'!BI38,10))&amp;IF('_Engine'!BI38&gt;10,"?","")&amp;" AM"&amp;CHAR(10)&amp;INDEX(Settings!$G$7:$G$11,MOD('_Engine'!BJ38,10))&amp;IF('_Engine'!BJ38&gt;10,"?","")&amp;" PM"))))))))</ns0:f>
        <ns0:v/>
      </ns0:c>
      <ns0:c r="H38" s="162" t="str">
        <ns0:f>IF(OR($A38="",H$11=""),"",IF(OR('_Engine'!$B$6&gt;0,INDEX('_Engine'!$AM$11:$AM$60,'_Engine'!$AO38)&lt;&gt;"OK"),"!",IF(INDEX(Team!$H$11:$N$60,'_Engine'!$AO38,WEEKDAY(H$11,2))&lt;&gt;"Work","—",IF(COUNTIF(Settings!$F$18:$F$67,H$11)&gt;0,"BH",IF('_Engine'!BK38+'_Engine'!BL38=0,"·",IF('_Engine'!BK38='_Engine'!BL38,INDEX(Settings!$G$7:$G$11,MOD('_Engine'!BK38,10))&amp;IF('_Engine'!BK38&gt;10,"?",""),IF('_Engine'!BK38=0,INDEX(Settings!$G$7:$G$11,MOD('_Engine'!BL38,10))&amp;IF('_Engine'!BL38&gt;10,"?","")&amp;" PM",IF('_Engine'!BL38=0,INDEX(Settings!$G$7:$G$11,MOD('_Engine'!BK38,10))&amp;IF('_Engine'!BK38&gt;10,"?","")&amp;" AM",INDEX(Settings!$G$7:$G$11,MOD('_Engine'!BK38,10))&amp;IF('_Engine'!BK38&gt;10,"?","")&amp;" AM"&amp;CHAR(10)&amp;INDEX(Settings!$G$7:$G$11,MOD('_Engine'!BL38,10))&amp;IF('_Engine'!BL38&gt;10,"?","")&amp;" PM"))))))))</ns0:f>
        <ns0:v/>
      </ns0:c>
      <ns0:c r="I38" s="162" t="str">
        <ns0:f>IF(OR($A38="",I$11=""),"",IF(OR('_Engine'!$B$6&gt;0,INDEX('_Engine'!$AM$11:$AM$60,'_Engine'!$AO38)&lt;&gt;"OK"),"!",IF(INDEX(Team!$H$11:$N$60,'_Engine'!$AO38,WEEKDAY(I$11,2))&lt;&gt;"Work","—",IF(COUNTIF(Settings!$F$18:$F$67,I$11)&gt;0,"BH",IF('_Engine'!BM38+'_Engine'!BN38=0,"·",IF('_Engine'!BM38='_Engine'!BN38,INDEX(Settings!$G$7:$G$11,MOD('_Engine'!BM38,10))&amp;IF('_Engine'!BM38&gt;10,"?",""),IF('_Engine'!BM38=0,INDEX(Settings!$G$7:$G$11,MOD('_Engine'!BN38,10))&amp;IF('_Engine'!BN38&gt;10,"?","")&amp;" PM",IF('_Engine'!BN38=0,INDEX(Settings!$G$7:$G$11,MOD('_Engine'!BM38,10))&amp;IF('_Engine'!BM38&gt;10,"?","")&amp;" AM",INDEX(Settings!$G$7:$G$11,MOD('_Engine'!BM38,10))&amp;IF('_Engine'!BM38&gt;10,"?","")&amp;" AM"&amp;CHAR(10)&amp;INDEX(Settings!$G$7:$G$11,MOD('_Engine'!BN38,10))&amp;IF('_Engine'!BN38&gt;10,"?","")&amp;" PM"))))))))</ns0:f>
        <ns0:v/>
      </ns0:c>
      <ns0:c r="J38" s="162" t="str">
        <ns0:f>IF(OR($A38="",J$11=""),"",IF(OR('_Engine'!$B$6&gt;0,INDEX('_Engine'!$AM$11:$AM$60,'_Engine'!$AO38)&lt;&gt;"OK"),"!",IF(INDEX(Team!$H$11:$N$60,'_Engine'!$AO38,WEEKDAY(J$11,2))&lt;&gt;"Work","—",IF(COUNTIF(Settings!$F$18:$F$67,J$11)&gt;0,"BH",IF('_Engine'!BO38+'_Engine'!BP38=0,"·",IF('_Engine'!BO38='_Engine'!BP38,INDEX(Settings!$G$7:$G$11,MOD('_Engine'!BO38,10))&amp;IF('_Engine'!BO38&gt;10,"?",""),IF('_Engine'!BO38=0,INDEX(Settings!$G$7:$G$11,MOD('_Engine'!BP38,10))&amp;IF('_Engine'!BP38&gt;10,"?","")&amp;" PM",IF('_Engine'!BP38=0,INDEX(Settings!$G$7:$G$11,MOD('_Engine'!BO38,10))&amp;IF('_Engine'!BO38&gt;10,"?","")&amp;" AM",INDEX(Settings!$G$7:$G$11,MOD('_Engine'!BO38,10))&amp;IF('_Engine'!BO38&gt;10,"?","")&amp;" AM"&amp;CHAR(10)&amp;INDEX(Settings!$G$7:$G$11,MOD('_Engine'!BP38,10))&amp;IF('_Engine'!BP38&gt;10,"?","")&amp;" PM"))))))))</ns0:f>
        <ns0:v/>
      </ns0:c>
      <ns0:c r="K38" s="164" t="str">
        <ns0:f>IF(OR($A38="",K$11=""),"",IF(OR('_Engine'!$B$6&gt;0,INDEX('_Engine'!$AM$11:$AM$60,'_Engine'!$AO38)&lt;&gt;"OK"),"!",IF(INDEX(Team!$H$11:$N$60,'_Engine'!$AO38,WEEKDAY(K$11,2))&lt;&gt;"Work","—",IF(COUNTIF(Settings!$F$18:$F$67,K$11)&gt;0,"BH",IF('_Engine'!BQ38+'_Engine'!BR38=0,"·",IF('_Engine'!BQ38='_Engine'!BR38,INDEX(Settings!$G$7:$G$11,MOD('_Engine'!BQ38,10))&amp;IF('_Engine'!BQ38&gt;10,"?",""),IF('_Engine'!BQ38=0,INDEX(Settings!$G$7:$G$11,MOD('_Engine'!BR38,10))&amp;IF('_Engine'!BR38&gt;10,"?","")&amp;" PM",IF('_Engine'!BR38=0,INDEX(Settings!$G$7:$G$11,MOD('_Engine'!BQ38,10))&amp;IF('_Engine'!BQ38&gt;10,"?","")&amp;" AM",INDEX(Settings!$G$7:$G$11,MOD('_Engine'!BQ38,10))&amp;IF('_Engine'!BQ38&gt;10,"?","")&amp;" AM"&amp;CHAR(10)&amp;INDEX(Settings!$G$7:$G$11,MOD('_Engine'!BR38,10))&amp;IF('_Engine'!BR38&gt;10,"?","")&amp;" PM"))))))))</ns0:f>
        <ns0:v/>
      </ns0:c>
      <ns0:c r="L38" s="164" t="str">
        <ns0:f>IF(OR($A38="",L$11=""),"",IF(OR('_Engine'!$B$6&gt;0,INDEX('_Engine'!$AM$11:$AM$60,'_Engine'!$AO38)&lt;&gt;"OK"),"!",IF(INDEX(Team!$H$11:$N$60,'_Engine'!$AO38,WEEKDAY(L$11,2))&lt;&gt;"Work","—",IF(COUNTIF(Settings!$F$18:$F$67,L$11)&gt;0,"BH",IF('_Engine'!BS38+'_Engine'!BT38=0,"·",IF('_Engine'!BS38='_Engine'!BT38,INDEX(Settings!$G$7:$G$11,MOD('_Engine'!BS38,10))&amp;IF('_Engine'!BS38&gt;10,"?",""),IF('_Engine'!BS38=0,INDEX(Settings!$G$7:$G$11,MOD('_Engine'!BT38,10))&amp;IF('_Engine'!BT38&gt;10,"?","")&amp;" PM",IF('_Engine'!BT38=0,INDEX(Settings!$G$7:$G$11,MOD('_Engine'!BS38,10))&amp;IF('_Engine'!BS38&gt;10,"?","")&amp;" AM",INDEX(Settings!$G$7:$G$11,MOD('_Engine'!BS38,10))&amp;IF('_Engine'!BS38&gt;10,"?","")&amp;" AM"&amp;CHAR(10)&amp;INDEX(Settings!$G$7:$G$11,MOD('_Engine'!BT38,10))&amp;IF('_Engine'!BT38&gt;10,"?","")&amp;" PM"))))))))</ns0:f>
        <ns0:v/>
      </ns0:c>
      <ns0:c r="M38" s="164" t="str">
        <ns0:f>IF(OR($A38="",M$11=""),"",IF(OR('_Engine'!$B$6&gt;0,INDEX('_Engine'!$AM$11:$AM$60,'_Engine'!$AO38)&lt;&gt;"OK"),"!",IF(INDEX(Team!$H$11:$N$60,'_Engine'!$AO38,WEEKDAY(M$11,2))&lt;&gt;"Work","—",IF(COUNTIF(Settings!$F$18:$F$67,M$11)&gt;0,"BH",IF('_Engine'!BU38+'_Engine'!BV38=0,"·",IF('_Engine'!BU38='_Engine'!BV38,INDEX(Settings!$G$7:$G$11,MOD('_Engine'!BU38,10))&amp;IF('_Engine'!BU38&gt;10,"?",""),IF('_Engine'!BU38=0,INDEX(Settings!$G$7:$G$11,MOD('_Engine'!BV38,10))&amp;IF('_Engine'!BV38&gt;10,"?","")&amp;" PM",IF('_Engine'!BV38=0,INDEX(Settings!$G$7:$G$11,MOD('_Engine'!BU38,10))&amp;IF('_Engine'!BU38&gt;10,"?","")&amp;" AM",INDEX(Settings!$G$7:$G$11,MOD('_Engine'!BU38,10))&amp;IF('_Engine'!BU38&gt;10,"?","")&amp;" AM"&amp;CHAR(10)&amp;INDEX(Settings!$G$7:$G$11,MOD('_Engine'!BV38,10))&amp;IF('_Engine'!BV38&gt;10,"?","")&amp;" PM"))))))))</ns0:f>
        <ns0:v/>
      </ns0:c>
      <ns0:c r="N38" s="164" t="str">
        <ns0:f>IF(OR($A38="",N$11=""),"",IF(OR('_Engine'!$B$6&gt;0,INDEX('_Engine'!$AM$11:$AM$60,'_Engine'!$AO38)&lt;&gt;"OK"),"!",IF(INDEX(Team!$H$11:$N$60,'_Engine'!$AO38,WEEKDAY(N$11,2))&lt;&gt;"Work","—",IF(COUNTIF(Settings!$F$18:$F$67,N$11)&gt;0,"BH",IF('_Engine'!BW38+'_Engine'!BX38=0,"·",IF('_Engine'!BW38='_Engine'!BX38,INDEX(Settings!$G$7:$G$11,MOD('_Engine'!BW38,10))&amp;IF('_Engine'!BW38&gt;10,"?",""),IF('_Engine'!BW38=0,INDEX(Settings!$G$7:$G$11,MOD('_Engine'!BX38,10))&amp;IF('_Engine'!BX38&gt;10,"?","")&amp;" PM",IF('_Engine'!BX38=0,INDEX(Settings!$G$7:$G$11,MOD('_Engine'!BW38,10))&amp;IF('_Engine'!BW38&gt;10,"?","")&amp;" AM",INDEX(Settings!$G$7:$G$11,MOD('_Engine'!BW38,10))&amp;IF('_Engine'!BW38&gt;10,"?","")&amp;" AM"&amp;CHAR(10)&amp;INDEX(Settings!$G$7:$G$11,MOD('_Engine'!BX38,10))&amp;IF('_Engine'!BX38&gt;10,"?","")&amp;" PM"))))))))</ns0:f>
        <ns0:v/>
      </ns0:c>
      <ns0:c r="O38" s="164" t="str">
        <ns0:f>IF(OR($A38="",O$11=""),"",IF(OR('_Engine'!$B$6&gt;0,INDEX('_Engine'!$AM$11:$AM$60,'_Engine'!$AO38)&lt;&gt;"OK"),"!",IF(INDEX(Team!$H$11:$N$60,'_Engine'!$AO38,WEEKDAY(O$11,2))&lt;&gt;"Work","—",IF(COUNTIF(Settings!$F$18:$F$67,O$11)&gt;0,"BH",IF('_Engine'!BY38+'_Engine'!BZ38=0,"·",IF('_Engine'!BY38='_Engine'!BZ38,INDEX(Settings!$G$7:$G$11,MOD('_Engine'!BY38,10))&amp;IF('_Engine'!BY38&gt;10,"?",""),IF('_Engine'!BY38=0,INDEX(Settings!$G$7:$G$11,MOD('_Engine'!BZ38,10))&amp;IF('_Engine'!BZ38&gt;10,"?","")&amp;" PM",IF('_Engine'!BZ38=0,INDEX(Settings!$G$7:$G$11,MOD('_Engine'!BY38,10))&amp;IF('_Engine'!BY38&gt;10,"?","")&amp;" AM",INDEX(Settings!$G$7:$G$11,MOD('_Engine'!BY38,10))&amp;IF('_Engine'!BY38&gt;10,"?","")&amp;" AM"&amp;CHAR(10)&amp;INDEX(Settings!$G$7:$G$11,MOD('_Engine'!BZ38,10))&amp;IF('_Engine'!BZ38&gt;10,"?","")&amp;" PM"))))))))</ns0:f>
        <ns0:v/>
      </ns0:c>
      <ns0:c r="P38" s="164" t="str">
        <ns0:f>IF(OR($A38="",P$11=""),"",IF(OR('_Engine'!$B$6&gt;0,INDEX('_Engine'!$AM$11:$AM$60,'_Engine'!$AO38)&lt;&gt;"OK"),"!",IF(INDEX(Team!$H$11:$N$60,'_Engine'!$AO38,WEEKDAY(P$11,2))&lt;&gt;"Work","—",IF(COUNTIF(Settings!$F$18:$F$67,P$11)&gt;0,"BH",IF('_Engine'!CA38+'_Engine'!CB38=0,"·",IF('_Engine'!CA38='_Engine'!CB38,INDEX(Settings!$G$7:$G$11,MOD('_Engine'!CA38,10))&amp;IF('_Engine'!CA38&gt;10,"?",""),IF('_Engine'!CA38=0,INDEX(Settings!$G$7:$G$11,MOD('_Engine'!CB38,10))&amp;IF('_Engine'!CB38&gt;10,"?","")&amp;" PM",IF('_Engine'!CB38=0,INDEX(Settings!$G$7:$G$11,MOD('_Engine'!CA38,10))&amp;IF('_Engine'!CA38&gt;10,"?","")&amp;" AM",INDEX(Settings!$G$7:$G$11,MOD('_Engine'!CA38,10))&amp;IF('_Engine'!CA38&gt;10,"?","")&amp;" AM"&amp;CHAR(10)&amp;INDEX(Settings!$G$7:$G$11,MOD('_Engine'!CB38,10))&amp;IF('_Engine'!CB38&gt;10,"?","")&amp;" PM"))))))))</ns0:f>
        <ns0:v/>
      </ns0:c>
      <ns0:c r="Q38" s="164" t="str">
        <ns0:f>IF(OR($A38="",Q$11=""),"",IF(OR('_Engine'!$B$6&gt;0,INDEX('_Engine'!$AM$11:$AM$60,'_Engine'!$AO38)&lt;&gt;"OK"),"!",IF(INDEX(Team!$H$11:$N$60,'_Engine'!$AO38,WEEKDAY(Q$11,2))&lt;&gt;"Work","—",IF(COUNTIF(Settings!$F$18:$F$67,Q$11)&gt;0,"BH",IF('_Engine'!CC38+'_Engine'!CD38=0,"·",IF('_Engine'!CC38='_Engine'!CD38,INDEX(Settings!$G$7:$G$11,MOD('_Engine'!CC38,10))&amp;IF('_Engine'!CC38&gt;10,"?",""),IF('_Engine'!CC38=0,INDEX(Settings!$G$7:$G$11,MOD('_Engine'!CD38,10))&amp;IF('_Engine'!CD38&gt;10,"?","")&amp;" PM",IF('_Engine'!CD38=0,INDEX(Settings!$G$7:$G$11,MOD('_Engine'!CC38,10))&amp;IF('_Engine'!CC38&gt;10,"?","")&amp;" AM",INDEX(Settings!$G$7:$G$11,MOD('_Engine'!CC38,10))&amp;IF('_Engine'!CC38&gt;10,"?","")&amp;" AM"&amp;CHAR(10)&amp;INDEX(Settings!$G$7:$G$11,MOD('_Engine'!CD38,10))&amp;IF('_Engine'!CD38&gt;10,"?","")&amp;" PM"))))))))</ns0:f>
        <ns0:v/>
      </ns0:c>
      <ns0:c r="R38" s="164" t="str">
        <ns0:f>IF(OR($A38="",R$11=""),"",IF(OR('_Engine'!$B$6&gt;0,INDEX('_Engine'!$AM$11:$AM$60,'_Engine'!$AO38)&lt;&gt;"OK"),"!",IF(INDEX(Team!$H$11:$N$60,'_Engine'!$AO38,WEEKDAY(R$11,2))&lt;&gt;"Work","—",IF(COUNTIF(Settings!$F$18:$F$67,R$11)&gt;0,"BH",IF('_Engine'!CE38+'_Engine'!CF38=0,"·",IF('_Engine'!CE38='_Engine'!CF38,INDEX(Settings!$G$7:$G$11,MOD('_Engine'!CE38,10))&amp;IF('_Engine'!CE38&gt;10,"?",""),IF('_Engine'!CE38=0,INDEX(Settings!$G$7:$G$11,MOD('_Engine'!CF38,10))&amp;IF('_Engine'!CF38&gt;10,"?","")&amp;" PM",IF('_Engine'!CF38=0,INDEX(Settings!$G$7:$G$11,MOD('_Engine'!CE38,10))&amp;IF('_Engine'!CE38&gt;10,"?","")&amp;" AM",INDEX(Settings!$G$7:$G$11,MOD('_Engine'!CE38,10))&amp;IF('_Engine'!CE38&gt;10,"?","")&amp;" AM"&amp;CHAR(10)&amp;INDEX(Settings!$G$7:$G$11,MOD('_Engine'!CF38,10))&amp;IF('_Engine'!CF38&gt;10,"?","")&amp;" PM"))))))))</ns0:f>
        <ns0:v/>
      </ns0:c>
      <ns0:c r="S38" s="164" t="str">
        <ns0:f>IF(OR($A38="",S$11=""),"",IF(OR('_Engine'!$B$6&gt;0,INDEX('_Engine'!$AM$11:$AM$60,'_Engine'!$AO38)&lt;&gt;"OK"),"!",IF(INDEX(Team!$H$11:$N$60,'_Engine'!$AO38,WEEKDAY(S$11,2))&lt;&gt;"Work","—",IF(COUNTIF(Settings!$F$18:$F$67,S$11)&gt;0,"BH",IF('_Engine'!CG38+'_Engine'!CH38=0,"·",IF('_Engine'!CG38='_Engine'!CH38,INDEX(Settings!$G$7:$G$11,MOD('_Engine'!CG38,10))&amp;IF('_Engine'!CG38&gt;10,"?",""),IF('_Engine'!CG38=0,INDEX(Settings!$G$7:$G$11,MOD('_Engine'!CH38,10))&amp;IF('_Engine'!CH38&gt;10,"?","")&amp;" PM",IF('_Engine'!CH38=0,INDEX(Settings!$G$7:$G$11,MOD('_Engine'!CG38,10))&amp;IF('_Engine'!CG38&gt;10,"?","")&amp;" AM",INDEX(Settings!$G$7:$G$11,MOD('_Engine'!CG38,10))&amp;IF('_Engine'!CG38&gt;10,"?","")&amp;" AM"&amp;CHAR(10)&amp;INDEX(Settings!$G$7:$G$11,MOD('_Engine'!CH38,10))&amp;IF('_Engine'!CH38&gt;10,"?","")&amp;" PM"))))))))</ns0:f>
        <ns0:v/>
      </ns0:c>
      <ns0:c r="T38" s="164" t="str">
        <ns0:f>IF(OR($A38="",T$11=""),"",IF(OR('_Engine'!$B$6&gt;0,INDEX('_Engine'!$AM$11:$AM$60,'_Engine'!$AO38)&lt;&gt;"OK"),"!",IF(INDEX(Team!$H$11:$N$60,'_Engine'!$AO38,WEEKDAY(T$11,2))&lt;&gt;"Work","—",IF(COUNTIF(Settings!$F$18:$F$67,T$11)&gt;0,"BH",IF('_Engine'!CI38+'_Engine'!CJ38=0,"·",IF('_Engine'!CI38='_Engine'!CJ38,INDEX(Settings!$G$7:$G$11,MOD('_Engine'!CI38,10))&amp;IF('_Engine'!CI38&gt;10,"?",""),IF('_Engine'!CI38=0,INDEX(Settings!$G$7:$G$11,MOD('_Engine'!CJ38,10))&amp;IF('_Engine'!CJ38&gt;10,"?","")&amp;" PM",IF('_Engine'!CJ38=0,INDEX(Settings!$G$7:$G$11,MOD('_Engine'!CI38,10))&amp;IF('_Engine'!CI38&gt;10,"?","")&amp;" AM",INDEX(Settings!$G$7:$G$11,MOD('_Engine'!CI38,10))&amp;IF('_Engine'!CI38&gt;10,"?","")&amp;" AM"&amp;CHAR(10)&amp;INDEX(Settings!$G$7:$G$11,MOD('_Engine'!CJ38,10))&amp;IF('_Engine'!CJ38&gt;10,"?","")&amp;" PM"))))))))</ns0:f>
        <ns0:v/>
      </ns0:c>
      <ns0:c r="U38" s="164" t="str">
        <ns0:f>IF(OR($A38="",U$11=""),"",IF(OR('_Engine'!$B$6&gt;0,INDEX('_Engine'!$AM$11:$AM$60,'_Engine'!$AO38)&lt;&gt;"OK"),"!",IF(INDEX(Team!$H$11:$N$60,'_Engine'!$AO38,WEEKDAY(U$11,2))&lt;&gt;"Work","—",IF(COUNTIF(Settings!$F$18:$F$67,U$11)&gt;0,"BH",IF('_Engine'!CK38+'_Engine'!CL38=0,"·",IF('_Engine'!CK38='_Engine'!CL38,INDEX(Settings!$G$7:$G$11,MOD('_Engine'!CK38,10))&amp;IF('_Engine'!CK38&gt;10,"?",""),IF('_Engine'!CK38=0,INDEX(Settings!$G$7:$G$11,MOD('_Engine'!CL38,10))&amp;IF('_Engine'!CL38&gt;10,"?","")&amp;" PM",IF('_Engine'!CL38=0,INDEX(Settings!$G$7:$G$11,MOD('_Engine'!CK38,10))&amp;IF('_Engine'!CK38&gt;10,"?","")&amp;" AM",INDEX(Settings!$G$7:$G$11,MOD('_Engine'!CK38,10))&amp;IF('_Engine'!CK38&gt;10,"?","")&amp;" AM"&amp;CHAR(10)&amp;INDEX(Settings!$G$7:$G$11,MOD('_Engine'!CL38,10))&amp;IF('_Engine'!CL38&gt;10,"?","")&amp;" PM"))))))))</ns0:f>
        <ns0:v/>
      </ns0:c>
      <ns0:c r="V38" s="164" t="str">
        <ns0:f>IF(OR($A38="",V$11=""),"",IF(OR('_Engine'!$B$6&gt;0,INDEX('_Engine'!$AM$11:$AM$60,'_Engine'!$AO38)&lt;&gt;"OK"),"!",IF(INDEX(Team!$H$11:$N$60,'_Engine'!$AO38,WEEKDAY(V$11,2))&lt;&gt;"Work","—",IF(COUNTIF(Settings!$F$18:$F$67,V$11)&gt;0,"BH",IF('_Engine'!CM38+'_Engine'!CN38=0,"·",IF('_Engine'!CM38='_Engine'!CN38,INDEX(Settings!$G$7:$G$11,MOD('_Engine'!CM38,10))&amp;IF('_Engine'!CM38&gt;10,"?",""),IF('_Engine'!CM38=0,INDEX(Settings!$G$7:$G$11,MOD('_Engine'!CN38,10))&amp;IF('_Engine'!CN38&gt;10,"?","")&amp;" PM",IF('_Engine'!CN38=0,INDEX(Settings!$G$7:$G$11,MOD('_Engine'!CM38,10))&amp;IF('_Engine'!CM38&gt;10,"?","")&amp;" AM",INDEX(Settings!$G$7:$G$11,MOD('_Engine'!CM38,10))&amp;IF('_Engine'!CM38&gt;10,"?","")&amp;" AM"&amp;CHAR(10)&amp;INDEX(Settings!$G$7:$G$11,MOD('_Engine'!CN38,10))&amp;IF('_Engine'!CN38&gt;10,"?","")&amp;" PM"))))))))</ns0:f>
        <ns0:v/>
      </ns0:c>
      <ns0:c r="W38" s="164" t="str">
        <ns0:f>IF(OR($A38="",W$11=""),"",IF(OR('_Engine'!$B$6&gt;0,INDEX('_Engine'!$AM$11:$AM$60,'_Engine'!$AO38)&lt;&gt;"OK"),"!",IF(INDEX(Team!$H$11:$N$60,'_Engine'!$AO38,WEEKDAY(W$11,2))&lt;&gt;"Work","—",IF(COUNTIF(Settings!$F$18:$F$67,W$11)&gt;0,"BH",IF('_Engine'!CO38+'_Engine'!CP38=0,"·",IF('_Engine'!CO38='_Engine'!CP38,INDEX(Settings!$G$7:$G$11,MOD('_Engine'!CO38,10))&amp;IF('_Engine'!CO38&gt;10,"?",""),IF('_Engine'!CO38=0,INDEX(Settings!$G$7:$G$11,MOD('_Engine'!CP38,10))&amp;IF('_Engine'!CP38&gt;10,"?","")&amp;" PM",IF('_Engine'!CP38=0,INDEX(Settings!$G$7:$G$11,MOD('_Engine'!CO38,10))&amp;IF('_Engine'!CO38&gt;10,"?","")&amp;" AM",INDEX(Settings!$G$7:$G$11,MOD('_Engine'!CO38,10))&amp;IF('_Engine'!CO38&gt;10,"?","")&amp;" AM"&amp;CHAR(10)&amp;INDEX(Settings!$G$7:$G$11,MOD('_Engine'!CP38,10))&amp;IF('_Engine'!CP38&gt;10,"?","")&amp;" PM"))))))))</ns0:f>
        <ns0:v/>
      </ns0:c>
      <ns0:c r="X38" s="164" t="str">
        <ns0:f>IF(OR($A38="",X$11=""),"",IF(OR('_Engine'!$B$6&gt;0,INDEX('_Engine'!$AM$11:$AM$60,'_Engine'!$AO38)&lt;&gt;"OK"),"!",IF(INDEX(Team!$H$11:$N$60,'_Engine'!$AO38,WEEKDAY(X$11,2))&lt;&gt;"Work","—",IF(COUNTIF(Settings!$F$18:$F$67,X$11)&gt;0,"BH",IF('_Engine'!CQ38+'_Engine'!CR38=0,"·",IF('_Engine'!CQ38='_Engine'!CR38,INDEX(Settings!$G$7:$G$11,MOD('_Engine'!CQ38,10))&amp;IF('_Engine'!CQ38&gt;10,"?",""),IF('_Engine'!CQ38=0,INDEX(Settings!$G$7:$G$11,MOD('_Engine'!CR38,10))&amp;IF('_Engine'!CR38&gt;10,"?","")&amp;" PM",IF('_Engine'!CR38=0,INDEX(Settings!$G$7:$G$11,MOD('_Engine'!CQ38,10))&amp;IF('_Engine'!CQ38&gt;10,"?","")&amp;" AM",INDEX(Settings!$G$7:$G$11,MOD('_Engine'!CQ38,10))&amp;IF('_Engine'!CQ38&gt;10,"?","")&amp;" AM"&amp;CHAR(10)&amp;INDEX(Settings!$G$7:$G$11,MOD('_Engine'!CR38,10))&amp;IF('_Engine'!CR38&gt;10,"?","")&amp;" PM"))))))))</ns0:f>
        <ns0:v/>
      </ns0:c>
      <ns0:c r="Y38" s="164" t="str">
        <ns0:f>IF(OR($A38="",Y$11=""),"",IF(OR('_Engine'!$B$6&gt;0,INDEX('_Engine'!$AM$11:$AM$60,'_Engine'!$AO38)&lt;&gt;"OK"),"!",IF(INDEX(Team!$H$11:$N$60,'_Engine'!$AO38,WEEKDAY(Y$11,2))&lt;&gt;"Work","—",IF(COUNTIF(Settings!$F$18:$F$67,Y$11)&gt;0,"BH",IF('_Engine'!CS38+'_Engine'!CT38=0,"·",IF('_Engine'!CS38='_Engine'!CT38,INDEX(Settings!$G$7:$G$11,MOD('_Engine'!CS38,10))&amp;IF('_Engine'!CS38&gt;10,"?",""),IF('_Engine'!CS38=0,INDEX(Settings!$G$7:$G$11,MOD('_Engine'!CT38,10))&amp;IF('_Engine'!CT38&gt;10,"?","")&amp;" PM",IF('_Engine'!CT38=0,INDEX(Settings!$G$7:$G$11,MOD('_Engine'!CS38,10))&amp;IF('_Engine'!CS38&gt;10,"?","")&amp;" AM",INDEX(Settings!$G$7:$G$11,MOD('_Engine'!CS38,10))&amp;IF('_Engine'!CS38&gt;10,"?","")&amp;" AM"&amp;CHAR(10)&amp;INDEX(Settings!$G$7:$G$11,MOD('_Engine'!CT38,10))&amp;IF('_Engine'!CT38&gt;10,"?","")&amp;" PM"))))))))</ns0:f>
        <ns0:v/>
      </ns0:c>
      <ns0:c r="Z38" s="164" t="str">
        <ns0:f>IF(OR($A38="",Z$11=""),"",IF(OR('_Engine'!$B$6&gt;0,INDEX('_Engine'!$AM$11:$AM$60,'_Engine'!$AO38)&lt;&gt;"OK"),"!",IF(INDEX(Team!$H$11:$N$60,'_Engine'!$AO38,WEEKDAY(Z$11,2))&lt;&gt;"Work","—",IF(COUNTIF(Settings!$F$18:$F$67,Z$11)&gt;0,"BH",IF('_Engine'!CU38+'_Engine'!CV38=0,"·",IF('_Engine'!CU38='_Engine'!CV38,INDEX(Settings!$G$7:$G$11,MOD('_Engine'!CU38,10))&amp;IF('_Engine'!CU38&gt;10,"?",""),IF('_Engine'!CU38=0,INDEX(Settings!$G$7:$G$11,MOD('_Engine'!CV38,10))&amp;IF('_Engine'!CV38&gt;10,"?","")&amp;" PM",IF('_Engine'!CV38=0,INDEX(Settings!$G$7:$G$11,MOD('_Engine'!CU38,10))&amp;IF('_Engine'!CU38&gt;10,"?","")&amp;" AM",INDEX(Settings!$G$7:$G$11,MOD('_Engine'!CU38,10))&amp;IF('_Engine'!CU38&gt;10,"?","")&amp;" AM"&amp;CHAR(10)&amp;INDEX(Settings!$G$7:$G$11,MOD('_Engine'!CV38,10))&amp;IF('_Engine'!CV38&gt;10,"?","")&amp;" PM"))))))))</ns0:f>
        <ns0:v/>
      </ns0:c>
      <ns0:c r="AA38" s="164" t="str">
        <ns0:f>IF(OR($A38="",AA$11=""),"",IF(OR('_Engine'!$B$6&gt;0,INDEX('_Engine'!$AM$11:$AM$60,'_Engine'!$AO38)&lt;&gt;"OK"),"!",IF(INDEX(Team!$H$11:$N$60,'_Engine'!$AO38,WEEKDAY(AA$11,2))&lt;&gt;"Work","—",IF(COUNTIF(Settings!$F$18:$F$67,AA$11)&gt;0,"BH",IF('_Engine'!CW38+'_Engine'!CX38=0,"·",IF('_Engine'!CW38='_Engine'!CX38,INDEX(Settings!$G$7:$G$11,MOD('_Engine'!CW38,10))&amp;IF('_Engine'!CW38&gt;10,"?",""),IF('_Engine'!CW38=0,INDEX(Settings!$G$7:$G$11,MOD('_Engine'!CX38,10))&amp;IF('_Engine'!CX38&gt;10,"?","")&amp;" PM",IF('_Engine'!CX38=0,INDEX(Settings!$G$7:$G$11,MOD('_Engine'!CW38,10))&amp;IF('_Engine'!CW38&gt;10,"?","")&amp;" AM",INDEX(Settings!$G$7:$G$11,MOD('_Engine'!CW38,10))&amp;IF('_Engine'!CW38&gt;10,"?","")&amp;" AM"&amp;CHAR(10)&amp;INDEX(Settings!$G$7:$G$11,MOD('_Engine'!CX38,10))&amp;IF('_Engine'!CX38&gt;10,"?","")&amp;" PM"))))))))</ns0:f>
        <ns0:v/>
      </ns0:c>
      <ns0:c r="AB38" s="164" t="str">
        <ns0:f>IF(OR($A38="",AB$11=""),"",IF(OR('_Engine'!$B$6&gt;0,INDEX('_Engine'!$AM$11:$AM$60,'_Engine'!$AO38)&lt;&gt;"OK"),"!",IF(INDEX(Team!$H$11:$N$60,'_Engine'!$AO38,WEEKDAY(AB$11,2))&lt;&gt;"Work","—",IF(COUNTIF(Settings!$F$18:$F$67,AB$11)&gt;0,"BH",IF('_Engine'!CY38+'_Engine'!CZ38=0,"·",IF('_Engine'!CY38='_Engine'!CZ38,INDEX(Settings!$G$7:$G$11,MOD('_Engine'!CY38,10))&amp;IF('_Engine'!CY38&gt;10,"?",""),IF('_Engine'!CY38=0,INDEX(Settings!$G$7:$G$11,MOD('_Engine'!CZ38,10))&amp;IF('_Engine'!CZ38&gt;10,"?","")&amp;" PM",IF('_Engine'!CZ38=0,INDEX(Settings!$G$7:$G$11,MOD('_Engine'!CY38,10))&amp;IF('_Engine'!CY38&gt;10,"?","")&amp;" AM",INDEX(Settings!$G$7:$G$11,MOD('_Engine'!CY38,10))&amp;IF('_Engine'!CY38&gt;10,"?","")&amp;" AM"&amp;CHAR(10)&amp;INDEX(Settings!$G$7:$G$11,MOD('_Engine'!CZ38,10))&amp;IF('_Engine'!CZ38&gt;10,"?","")&amp;" PM"))))))))</ns0:f>
        <ns0:v/>
      </ns0:c>
      <ns0:c r="AC38" s="164" t="str">
        <ns0:f>IF(OR($A38="",AC$11=""),"",IF(OR('_Engine'!$B$6&gt;0,INDEX('_Engine'!$AM$11:$AM$60,'_Engine'!$AO38)&lt;&gt;"OK"),"!",IF(INDEX(Team!$H$11:$N$60,'_Engine'!$AO38,WEEKDAY(AC$11,2))&lt;&gt;"Work","—",IF(COUNTIF(Settings!$F$18:$F$67,AC$11)&gt;0,"BH",IF('_Engine'!DA38+'_Engine'!DB38=0,"·",IF('_Engine'!DA38='_Engine'!DB38,INDEX(Settings!$G$7:$G$11,MOD('_Engine'!DA38,10))&amp;IF('_Engine'!DA38&gt;10,"?",""),IF('_Engine'!DA38=0,INDEX(Settings!$G$7:$G$11,MOD('_Engine'!DB38,10))&amp;IF('_Engine'!DB38&gt;10,"?","")&amp;" PM",IF('_Engine'!DB38=0,INDEX(Settings!$G$7:$G$11,MOD('_Engine'!DA38,10))&amp;IF('_Engine'!DA38&gt;10,"?","")&amp;" AM",INDEX(Settings!$G$7:$G$11,MOD('_Engine'!DA38,10))&amp;IF('_Engine'!DA38&gt;10,"?","")&amp;" AM"&amp;CHAR(10)&amp;INDEX(Settings!$G$7:$G$11,MOD('_Engine'!DB38,10))&amp;IF('_Engine'!DB38&gt;10,"?","")&amp;" PM"))))))))</ns0:f>
        <ns0:v/>
      </ns0:c>
      <ns0:c r="AD38" s="164" t="str">
        <ns0:f>IF(OR($A38="",AD$11=""),"",IF(OR('_Engine'!$B$6&gt;0,INDEX('_Engine'!$AM$11:$AM$60,'_Engine'!$AO38)&lt;&gt;"OK"),"!",IF(INDEX(Team!$H$11:$N$60,'_Engine'!$AO38,WEEKDAY(AD$11,2))&lt;&gt;"Work","—",IF(COUNTIF(Settings!$F$18:$F$67,AD$11)&gt;0,"BH",IF('_Engine'!DC38+'_Engine'!DD38=0,"·",IF('_Engine'!DC38='_Engine'!DD38,INDEX(Settings!$G$7:$G$11,MOD('_Engine'!DC38,10))&amp;IF('_Engine'!DC38&gt;10,"?",""),IF('_Engine'!DC38=0,INDEX(Settings!$G$7:$G$11,MOD('_Engine'!DD38,10))&amp;IF('_Engine'!DD38&gt;10,"?","")&amp;" PM",IF('_Engine'!DD38=0,INDEX(Settings!$G$7:$G$11,MOD('_Engine'!DC38,10))&amp;IF('_Engine'!DC38&gt;10,"?","")&amp;" AM",INDEX(Settings!$G$7:$G$11,MOD('_Engine'!DC38,10))&amp;IF('_Engine'!DC38&gt;10,"?","")&amp;" AM"&amp;CHAR(10)&amp;INDEX(Settings!$G$7:$G$11,MOD('_Engine'!DD38,10))&amp;IF('_Engine'!DD38&gt;10,"?","")&amp;" PM"))))))))</ns0:f>
        <ns0:v/>
      </ns0:c>
      <ns0:c r="AE38" s="164" t="str">
        <ns0:f>IF(OR($A38="",AE$11=""),"",IF(OR('_Engine'!$B$6&gt;0,INDEX('_Engine'!$AM$11:$AM$60,'_Engine'!$AO38)&lt;&gt;"OK"),"!",IF(INDEX(Team!$H$11:$N$60,'_Engine'!$AO38,WEEKDAY(AE$11,2))&lt;&gt;"Work","—",IF(COUNTIF(Settings!$F$18:$F$67,AE$11)&gt;0,"BH",IF('_Engine'!DE38+'_Engine'!DF38=0,"·",IF('_Engine'!DE38='_Engine'!DF38,INDEX(Settings!$G$7:$G$11,MOD('_Engine'!DE38,10))&amp;IF('_Engine'!DE38&gt;10,"?",""),IF('_Engine'!DE38=0,INDEX(Settings!$G$7:$G$11,MOD('_Engine'!DF38,10))&amp;IF('_Engine'!DF38&gt;10,"?","")&amp;" PM",IF('_Engine'!DF38=0,INDEX(Settings!$G$7:$G$11,MOD('_Engine'!DE38,10))&amp;IF('_Engine'!DE38&gt;10,"?","")&amp;" AM",INDEX(Settings!$G$7:$G$11,MOD('_Engine'!DE38,10))&amp;IF('_Engine'!DE38&gt;10,"?","")&amp;" AM"&amp;CHAR(10)&amp;INDEX(Settings!$G$7:$G$11,MOD('_Engine'!DF38,10))&amp;IF('_Engine'!DF38&gt;10,"?","")&amp;" PM"))))))))</ns0:f>
        <ns0:v/>
      </ns0:c>
      <ns0:c r="AF38" s="164" t="str">
        <ns0:f>IF(OR($A38="",AF$11=""),"",IF(OR('_Engine'!$B$6&gt;0,INDEX('_Engine'!$AM$11:$AM$60,'_Engine'!$AO38)&lt;&gt;"OK"),"!",IF(INDEX(Team!$H$11:$N$60,'_Engine'!$AO38,WEEKDAY(AF$11,2))&lt;&gt;"Work","—",IF(COUNTIF(Settings!$F$18:$F$67,AF$11)&gt;0,"BH",IF('_Engine'!DG38+'_Engine'!DH38=0,"·",IF('_Engine'!DG38='_Engine'!DH38,INDEX(Settings!$G$7:$G$11,MOD('_Engine'!DG38,10))&amp;IF('_Engine'!DG38&gt;10,"?",""),IF('_Engine'!DG38=0,INDEX(Settings!$G$7:$G$11,MOD('_Engine'!DH38,10))&amp;IF('_Engine'!DH38&gt;10,"?","")&amp;" PM",IF('_Engine'!DH38=0,INDEX(Settings!$G$7:$G$11,MOD('_Engine'!DG38,10))&amp;IF('_Engine'!DG38&gt;10,"?","")&amp;" AM",INDEX(Settings!$G$7:$G$11,MOD('_Engine'!DG38,10))&amp;IF('_Engine'!DG38&gt;10,"?","")&amp;" AM"&amp;CHAR(10)&amp;INDEX(Settings!$G$7:$G$11,MOD('_Engine'!DH38,10))&amp;IF('_Engine'!DH38&gt;10,"?","")&amp;" PM"))))))))</ns0:f>
        <ns0:v/>
      </ns0:c>
      <ns0:c r="AG38" s="164" t="str">
        <ns0:f>IF(OR($A38="",AG$11=""),"",IF(OR('_Engine'!$B$6&gt;0,INDEX('_Engine'!$AM$11:$AM$60,'_Engine'!$AO38)&lt;&gt;"OK"),"!",IF(INDEX(Team!$H$11:$N$60,'_Engine'!$AO38,WEEKDAY(AG$11,2))&lt;&gt;"Work","—",IF(COUNTIF(Settings!$F$18:$F$67,AG$11)&gt;0,"BH",IF('_Engine'!DI38+'_Engine'!DJ38=0,"·",IF('_Engine'!DI38='_Engine'!DJ38,INDEX(Settings!$G$7:$G$11,MOD('_Engine'!DI38,10))&amp;IF('_Engine'!DI38&gt;10,"?",""),IF('_Engine'!DI38=0,INDEX(Settings!$G$7:$G$11,MOD('_Engine'!DJ38,10))&amp;IF('_Engine'!DJ38&gt;10,"?","")&amp;" PM",IF('_Engine'!DJ38=0,INDEX(Settings!$G$7:$G$11,MOD('_Engine'!DI38,10))&amp;IF('_Engine'!DI38&gt;10,"?","")&amp;" AM",INDEX(Settings!$G$7:$G$11,MOD('_Engine'!DI38,10))&amp;IF('_Engine'!DI38&gt;10,"?","")&amp;" AM"&amp;CHAR(10)&amp;INDEX(Settings!$G$7:$G$11,MOD('_Engine'!DJ38,10))&amp;IF('_Engine'!DJ38&gt;10,"?","")&amp;" PM"))))))))</ns0:f>
        <ns0:v/>
      </ns0:c>
      <ns0:c r="AH38" s="164" t="str">
        <ns0:f>IF(OR($A38="",AH$11=""),"",IF(OR('_Engine'!$B$6&gt;0,INDEX('_Engine'!$AM$11:$AM$60,'_Engine'!$AO38)&lt;&gt;"OK"),"!",IF(INDEX(Team!$H$11:$N$60,'_Engine'!$AO38,WEEKDAY(AH$11,2))&lt;&gt;"Work","—",IF(COUNTIF(Settings!$F$18:$F$67,AH$11)&gt;0,"BH",IF('_Engine'!DK38+'_Engine'!DL38=0,"·",IF('_Engine'!DK38='_Engine'!DL38,INDEX(Settings!$G$7:$G$11,MOD('_Engine'!DK38,10))&amp;IF('_Engine'!DK38&gt;10,"?",""),IF('_Engine'!DK38=0,INDEX(Settings!$G$7:$G$11,MOD('_Engine'!DL38,10))&amp;IF('_Engine'!DL38&gt;10,"?","")&amp;" PM",IF('_Engine'!DL38=0,INDEX(Settings!$G$7:$G$11,MOD('_Engine'!DK38,10))&amp;IF('_Engine'!DK38&gt;10,"?","")&amp;" AM",INDEX(Settings!$G$7:$G$11,MOD('_Engine'!DK38,10))&amp;IF('_Engine'!DK38&gt;10,"?","")&amp;" AM"&amp;CHAR(10)&amp;INDEX(Settings!$G$7:$G$11,MOD('_Engine'!DL38,10))&amp;IF('_Engine'!DL38&gt;10,"?","")&amp;" PM"))))))))</ns0:f>
        <ns0:v/>
      </ns0:c>
    </ns0:row>
    <ns0:row r="39" ht="38" customHeight="1">
      <ns0:c r="A39" s="4" t="str">
        <ns0:f>IF('_Engine'!AO39=0,"",IF(INDEX(Team!$B$11:$B$60,'_Engine'!AO39)="","[Unnamed]",INDEX(Team!$B$11:$B$60,'_Engine'!AO39)))</ns0:f>
        <ns0:v/>
      </ns0:c>
      <ns0:c r="B39" s="156" t="str">
        <ns0:f>IF('_Engine'!AO39=0,"",INDEX('_Engine'!$AN$11:$AN$60,'_Engine'!AO39))</ns0:f>
        <ns0:v/>
      </ns0:c>
      <ns0:c r="C39" s="4" t="str">
        <ns0:f>IF('_Engine'!AO39=0,"",INDEX(Team!$C$11:$C$60,'_Engine'!AO39))</ns0:f>
        <ns0:v/>
      </ns0:c>
      <ns0:c r="D39" s="162" t="str">
        <ns0:f>IF(OR($A39="",D$11=""),"",IF(OR('_Engine'!$B$6&gt;0,INDEX('_Engine'!$AM$11:$AM$60,'_Engine'!$AO39)&lt;&gt;"OK"),"!",IF(INDEX(Team!$H$11:$N$60,'_Engine'!$AO39,WEEKDAY(D$11,2))&lt;&gt;"Work","—",IF(COUNTIF(Settings!$F$18:$F$67,D$11)&gt;0,"BH",IF('_Engine'!BC39+'_Engine'!BD39=0,"·",IF('_Engine'!BC39='_Engine'!BD39,INDEX(Settings!$G$7:$G$11,MOD('_Engine'!BC39,10))&amp;IF('_Engine'!BC39&gt;10,"?",""),IF('_Engine'!BC39=0,INDEX(Settings!$G$7:$G$11,MOD('_Engine'!BD39,10))&amp;IF('_Engine'!BD39&gt;10,"?","")&amp;" PM",IF('_Engine'!BD39=0,INDEX(Settings!$G$7:$G$11,MOD('_Engine'!BC39,10))&amp;IF('_Engine'!BC39&gt;10,"?","")&amp;" AM",INDEX(Settings!$G$7:$G$11,MOD('_Engine'!BC39,10))&amp;IF('_Engine'!BC39&gt;10,"?","")&amp;" AM"&amp;CHAR(10)&amp;INDEX(Settings!$G$7:$G$11,MOD('_Engine'!BD39,10))&amp;IF('_Engine'!BD39&gt;10,"?","")&amp;" PM"))))))))</ns0:f>
        <ns0:v/>
      </ns0:c>
      <ns0:c r="E39" s="162" t="str">
        <ns0:f>IF(OR($A39="",E$11=""),"",IF(OR('_Engine'!$B$6&gt;0,INDEX('_Engine'!$AM$11:$AM$60,'_Engine'!$AO39)&lt;&gt;"OK"),"!",IF(INDEX(Team!$H$11:$N$60,'_Engine'!$AO39,WEEKDAY(E$11,2))&lt;&gt;"Work","—",IF(COUNTIF(Settings!$F$18:$F$67,E$11)&gt;0,"BH",IF('_Engine'!BE39+'_Engine'!BF39=0,"·",IF('_Engine'!BE39='_Engine'!BF39,INDEX(Settings!$G$7:$G$11,MOD('_Engine'!BE39,10))&amp;IF('_Engine'!BE39&gt;10,"?",""),IF('_Engine'!BE39=0,INDEX(Settings!$G$7:$G$11,MOD('_Engine'!BF39,10))&amp;IF('_Engine'!BF39&gt;10,"?","")&amp;" PM",IF('_Engine'!BF39=0,INDEX(Settings!$G$7:$G$11,MOD('_Engine'!BE39,10))&amp;IF('_Engine'!BE39&gt;10,"?","")&amp;" AM",INDEX(Settings!$G$7:$G$11,MOD('_Engine'!BE39,10))&amp;IF('_Engine'!BE39&gt;10,"?","")&amp;" AM"&amp;CHAR(10)&amp;INDEX(Settings!$G$7:$G$11,MOD('_Engine'!BF39,10))&amp;IF('_Engine'!BF39&gt;10,"?","")&amp;" PM"))))))))</ns0:f>
        <ns0:v/>
      </ns0:c>
      <ns0:c r="F39" s="162" t="str">
        <ns0:f>IF(OR($A39="",F$11=""),"",IF(OR('_Engine'!$B$6&gt;0,INDEX('_Engine'!$AM$11:$AM$60,'_Engine'!$AO39)&lt;&gt;"OK"),"!",IF(INDEX(Team!$H$11:$N$60,'_Engine'!$AO39,WEEKDAY(F$11,2))&lt;&gt;"Work","—",IF(COUNTIF(Settings!$F$18:$F$67,F$11)&gt;0,"BH",IF('_Engine'!BG39+'_Engine'!BH39=0,"·",IF('_Engine'!BG39='_Engine'!BH39,INDEX(Settings!$G$7:$G$11,MOD('_Engine'!BG39,10))&amp;IF('_Engine'!BG39&gt;10,"?",""),IF('_Engine'!BG39=0,INDEX(Settings!$G$7:$G$11,MOD('_Engine'!BH39,10))&amp;IF('_Engine'!BH39&gt;10,"?","")&amp;" PM",IF('_Engine'!BH39=0,INDEX(Settings!$G$7:$G$11,MOD('_Engine'!BG39,10))&amp;IF('_Engine'!BG39&gt;10,"?","")&amp;" AM",INDEX(Settings!$G$7:$G$11,MOD('_Engine'!BG39,10))&amp;IF('_Engine'!BG39&gt;10,"?","")&amp;" AM"&amp;CHAR(10)&amp;INDEX(Settings!$G$7:$G$11,MOD('_Engine'!BH39,10))&amp;IF('_Engine'!BH39&gt;10,"?","")&amp;" PM"))))))))</ns0:f>
        <ns0:v/>
      </ns0:c>
      <ns0:c r="G39" s="162" t="str">
        <ns0:f>IF(OR($A39="",G$11=""),"",IF(OR('_Engine'!$B$6&gt;0,INDEX('_Engine'!$AM$11:$AM$60,'_Engine'!$AO39)&lt;&gt;"OK"),"!",IF(INDEX(Team!$H$11:$N$60,'_Engine'!$AO39,WEEKDAY(G$11,2))&lt;&gt;"Work","—",IF(COUNTIF(Settings!$F$18:$F$67,G$11)&gt;0,"BH",IF('_Engine'!BI39+'_Engine'!BJ39=0,"·",IF('_Engine'!BI39='_Engine'!BJ39,INDEX(Settings!$G$7:$G$11,MOD('_Engine'!BI39,10))&amp;IF('_Engine'!BI39&gt;10,"?",""),IF('_Engine'!BI39=0,INDEX(Settings!$G$7:$G$11,MOD('_Engine'!BJ39,10))&amp;IF('_Engine'!BJ39&gt;10,"?","")&amp;" PM",IF('_Engine'!BJ39=0,INDEX(Settings!$G$7:$G$11,MOD('_Engine'!BI39,10))&amp;IF('_Engine'!BI39&gt;10,"?","")&amp;" AM",INDEX(Settings!$G$7:$G$11,MOD('_Engine'!BI39,10))&amp;IF('_Engine'!BI39&gt;10,"?","")&amp;" AM"&amp;CHAR(10)&amp;INDEX(Settings!$G$7:$G$11,MOD('_Engine'!BJ39,10))&amp;IF('_Engine'!BJ39&gt;10,"?","")&amp;" PM"))))))))</ns0:f>
        <ns0:v/>
      </ns0:c>
      <ns0:c r="H39" s="162" t="str">
        <ns0:f>IF(OR($A39="",H$11=""),"",IF(OR('_Engine'!$B$6&gt;0,INDEX('_Engine'!$AM$11:$AM$60,'_Engine'!$AO39)&lt;&gt;"OK"),"!",IF(INDEX(Team!$H$11:$N$60,'_Engine'!$AO39,WEEKDAY(H$11,2))&lt;&gt;"Work","—",IF(COUNTIF(Settings!$F$18:$F$67,H$11)&gt;0,"BH",IF('_Engine'!BK39+'_Engine'!BL39=0,"·",IF('_Engine'!BK39='_Engine'!BL39,INDEX(Settings!$G$7:$G$11,MOD('_Engine'!BK39,10))&amp;IF('_Engine'!BK39&gt;10,"?",""),IF('_Engine'!BK39=0,INDEX(Settings!$G$7:$G$11,MOD('_Engine'!BL39,10))&amp;IF('_Engine'!BL39&gt;10,"?","")&amp;" PM",IF('_Engine'!BL39=0,INDEX(Settings!$G$7:$G$11,MOD('_Engine'!BK39,10))&amp;IF('_Engine'!BK39&gt;10,"?","")&amp;" AM",INDEX(Settings!$G$7:$G$11,MOD('_Engine'!BK39,10))&amp;IF('_Engine'!BK39&gt;10,"?","")&amp;" AM"&amp;CHAR(10)&amp;INDEX(Settings!$G$7:$G$11,MOD('_Engine'!BL39,10))&amp;IF('_Engine'!BL39&gt;10,"?","")&amp;" PM"))))))))</ns0:f>
        <ns0:v/>
      </ns0:c>
      <ns0:c r="I39" s="162" t="str">
        <ns0:f>IF(OR($A39="",I$11=""),"",IF(OR('_Engine'!$B$6&gt;0,INDEX('_Engine'!$AM$11:$AM$60,'_Engine'!$AO39)&lt;&gt;"OK"),"!",IF(INDEX(Team!$H$11:$N$60,'_Engine'!$AO39,WEEKDAY(I$11,2))&lt;&gt;"Work","—",IF(COUNTIF(Settings!$F$18:$F$67,I$11)&gt;0,"BH",IF('_Engine'!BM39+'_Engine'!BN39=0,"·",IF('_Engine'!BM39='_Engine'!BN39,INDEX(Settings!$G$7:$G$11,MOD('_Engine'!BM39,10))&amp;IF('_Engine'!BM39&gt;10,"?",""),IF('_Engine'!BM39=0,INDEX(Settings!$G$7:$G$11,MOD('_Engine'!BN39,10))&amp;IF('_Engine'!BN39&gt;10,"?","")&amp;" PM",IF('_Engine'!BN39=0,INDEX(Settings!$G$7:$G$11,MOD('_Engine'!BM39,10))&amp;IF('_Engine'!BM39&gt;10,"?","")&amp;" AM",INDEX(Settings!$G$7:$G$11,MOD('_Engine'!BM39,10))&amp;IF('_Engine'!BM39&gt;10,"?","")&amp;" AM"&amp;CHAR(10)&amp;INDEX(Settings!$G$7:$G$11,MOD('_Engine'!BN39,10))&amp;IF('_Engine'!BN39&gt;10,"?","")&amp;" PM"))))))))</ns0:f>
        <ns0:v/>
      </ns0:c>
      <ns0:c r="J39" s="162" t="str">
        <ns0:f>IF(OR($A39="",J$11=""),"",IF(OR('_Engine'!$B$6&gt;0,INDEX('_Engine'!$AM$11:$AM$60,'_Engine'!$AO39)&lt;&gt;"OK"),"!",IF(INDEX(Team!$H$11:$N$60,'_Engine'!$AO39,WEEKDAY(J$11,2))&lt;&gt;"Work","—",IF(COUNTIF(Settings!$F$18:$F$67,J$11)&gt;0,"BH",IF('_Engine'!BO39+'_Engine'!BP39=0,"·",IF('_Engine'!BO39='_Engine'!BP39,INDEX(Settings!$G$7:$G$11,MOD('_Engine'!BO39,10))&amp;IF('_Engine'!BO39&gt;10,"?",""),IF('_Engine'!BO39=0,INDEX(Settings!$G$7:$G$11,MOD('_Engine'!BP39,10))&amp;IF('_Engine'!BP39&gt;10,"?","")&amp;" PM",IF('_Engine'!BP39=0,INDEX(Settings!$G$7:$G$11,MOD('_Engine'!BO39,10))&amp;IF('_Engine'!BO39&gt;10,"?","")&amp;" AM",INDEX(Settings!$G$7:$G$11,MOD('_Engine'!BO39,10))&amp;IF('_Engine'!BO39&gt;10,"?","")&amp;" AM"&amp;CHAR(10)&amp;INDEX(Settings!$G$7:$G$11,MOD('_Engine'!BP39,10))&amp;IF('_Engine'!BP39&gt;10,"?","")&amp;" PM"))))))))</ns0:f>
        <ns0:v/>
      </ns0:c>
      <ns0:c r="K39" s="164" t="str">
        <ns0:f>IF(OR($A39="",K$11=""),"",IF(OR('_Engine'!$B$6&gt;0,INDEX('_Engine'!$AM$11:$AM$60,'_Engine'!$AO39)&lt;&gt;"OK"),"!",IF(INDEX(Team!$H$11:$N$60,'_Engine'!$AO39,WEEKDAY(K$11,2))&lt;&gt;"Work","—",IF(COUNTIF(Settings!$F$18:$F$67,K$11)&gt;0,"BH",IF('_Engine'!BQ39+'_Engine'!BR39=0,"·",IF('_Engine'!BQ39='_Engine'!BR39,INDEX(Settings!$G$7:$G$11,MOD('_Engine'!BQ39,10))&amp;IF('_Engine'!BQ39&gt;10,"?",""),IF('_Engine'!BQ39=0,INDEX(Settings!$G$7:$G$11,MOD('_Engine'!BR39,10))&amp;IF('_Engine'!BR39&gt;10,"?","")&amp;" PM",IF('_Engine'!BR39=0,INDEX(Settings!$G$7:$G$11,MOD('_Engine'!BQ39,10))&amp;IF('_Engine'!BQ39&gt;10,"?","")&amp;" AM",INDEX(Settings!$G$7:$G$11,MOD('_Engine'!BQ39,10))&amp;IF('_Engine'!BQ39&gt;10,"?","")&amp;" AM"&amp;CHAR(10)&amp;INDEX(Settings!$G$7:$G$11,MOD('_Engine'!BR39,10))&amp;IF('_Engine'!BR39&gt;10,"?","")&amp;" PM"))))))))</ns0:f>
        <ns0:v/>
      </ns0:c>
      <ns0:c r="L39" s="164" t="str">
        <ns0:f>IF(OR($A39="",L$11=""),"",IF(OR('_Engine'!$B$6&gt;0,INDEX('_Engine'!$AM$11:$AM$60,'_Engine'!$AO39)&lt;&gt;"OK"),"!",IF(INDEX(Team!$H$11:$N$60,'_Engine'!$AO39,WEEKDAY(L$11,2))&lt;&gt;"Work","—",IF(COUNTIF(Settings!$F$18:$F$67,L$11)&gt;0,"BH",IF('_Engine'!BS39+'_Engine'!BT39=0,"·",IF('_Engine'!BS39='_Engine'!BT39,INDEX(Settings!$G$7:$G$11,MOD('_Engine'!BS39,10))&amp;IF('_Engine'!BS39&gt;10,"?",""),IF('_Engine'!BS39=0,INDEX(Settings!$G$7:$G$11,MOD('_Engine'!BT39,10))&amp;IF('_Engine'!BT39&gt;10,"?","")&amp;" PM",IF('_Engine'!BT39=0,INDEX(Settings!$G$7:$G$11,MOD('_Engine'!BS39,10))&amp;IF('_Engine'!BS39&gt;10,"?","")&amp;" AM",INDEX(Settings!$G$7:$G$11,MOD('_Engine'!BS39,10))&amp;IF('_Engine'!BS39&gt;10,"?","")&amp;" AM"&amp;CHAR(10)&amp;INDEX(Settings!$G$7:$G$11,MOD('_Engine'!BT39,10))&amp;IF('_Engine'!BT39&gt;10,"?","")&amp;" PM"))))))))</ns0:f>
        <ns0:v/>
      </ns0:c>
      <ns0:c r="M39" s="164" t="str">
        <ns0:f>IF(OR($A39="",M$11=""),"",IF(OR('_Engine'!$B$6&gt;0,INDEX('_Engine'!$AM$11:$AM$60,'_Engine'!$AO39)&lt;&gt;"OK"),"!",IF(INDEX(Team!$H$11:$N$60,'_Engine'!$AO39,WEEKDAY(M$11,2))&lt;&gt;"Work","—",IF(COUNTIF(Settings!$F$18:$F$67,M$11)&gt;0,"BH",IF('_Engine'!BU39+'_Engine'!BV39=0,"·",IF('_Engine'!BU39='_Engine'!BV39,INDEX(Settings!$G$7:$G$11,MOD('_Engine'!BU39,10))&amp;IF('_Engine'!BU39&gt;10,"?",""),IF('_Engine'!BU39=0,INDEX(Settings!$G$7:$G$11,MOD('_Engine'!BV39,10))&amp;IF('_Engine'!BV39&gt;10,"?","")&amp;" PM",IF('_Engine'!BV39=0,INDEX(Settings!$G$7:$G$11,MOD('_Engine'!BU39,10))&amp;IF('_Engine'!BU39&gt;10,"?","")&amp;" AM",INDEX(Settings!$G$7:$G$11,MOD('_Engine'!BU39,10))&amp;IF('_Engine'!BU39&gt;10,"?","")&amp;" AM"&amp;CHAR(10)&amp;INDEX(Settings!$G$7:$G$11,MOD('_Engine'!BV39,10))&amp;IF('_Engine'!BV39&gt;10,"?","")&amp;" PM"))))))))</ns0:f>
        <ns0:v/>
      </ns0:c>
      <ns0:c r="N39" s="164" t="str">
        <ns0:f>IF(OR($A39="",N$11=""),"",IF(OR('_Engine'!$B$6&gt;0,INDEX('_Engine'!$AM$11:$AM$60,'_Engine'!$AO39)&lt;&gt;"OK"),"!",IF(INDEX(Team!$H$11:$N$60,'_Engine'!$AO39,WEEKDAY(N$11,2))&lt;&gt;"Work","—",IF(COUNTIF(Settings!$F$18:$F$67,N$11)&gt;0,"BH",IF('_Engine'!BW39+'_Engine'!BX39=0,"·",IF('_Engine'!BW39='_Engine'!BX39,INDEX(Settings!$G$7:$G$11,MOD('_Engine'!BW39,10))&amp;IF('_Engine'!BW39&gt;10,"?",""),IF('_Engine'!BW39=0,INDEX(Settings!$G$7:$G$11,MOD('_Engine'!BX39,10))&amp;IF('_Engine'!BX39&gt;10,"?","")&amp;" PM",IF('_Engine'!BX39=0,INDEX(Settings!$G$7:$G$11,MOD('_Engine'!BW39,10))&amp;IF('_Engine'!BW39&gt;10,"?","")&amp;" AM",INDEX(Settings!$G$7:$G$11,MOD('_Engine'!BW39,10))&amp;IF('_Engine'!BW39&gt;10,"?","")&amp;" AM"&amp;CHAR(10)&amp;INDEX(Settings!$G$7:$G$11,MOD('_Engine'!BX39,10))&amp;IF('_Engine'!BX39&gt;10,"?","")&amp;" PM"))))))))</ns0:f>
        <ns0:v/>
      </ns0:c>
      <ns0:c r="O39" s="164" t="str">
        <ns0:f>IF(OR($A39="",O$11=""),"",IF(OR('_Engine'!$B$6&gt;0,INDEX('_Engine'!$AM$11:$AM$60,'_Engine'!$AO39)&lt;&gt;"OK"),"!",IF(INDEX(Team!$H$11:$N$60,'_Engine'!$AO39,WEEKDAY(O$11,2))&lt;&gt;"Work","—",IF(COUNTIF(Settings!$F$18:$F$67,O$11)&gt;0,"BH",IF('_Engine'!BY39+'_Engine'!BZ39=0,"·",IF('_Engine'!BY39='_Engine'!BZ39,INDEX(Settings!$G$7:$G$11,MOD('_Engine'!BY39,10))&amp;IF('_Engine'!BY39&gt;10,"?",""),IF('_Engine'!BY39=0,INDEX(Settings!$G$7:$G$11,MOD('_Engine'!BZ39,10))&amp;IF('_Engine'!BZ39&gt;10,"?","")&amp;" PM",IF('_Engine'!BZ39=0,INDEX(Settings!$G$7:$G$11,MOD('_Engine'!BY39,10))&amp;IF('_Engine'!BY39&gt;10,"?","")&amp;" AM",INDEX(Settings!$G$7:$G$11,MOD('_Engine'!BY39,10))&amp;IF('_Engine'!BY39&gt;10,"?","")&amp;" AM"&amp;CHAR(10)&amp;INDEX(Settings!$G$7:$G$11,MOD('_Engine'!BZ39,10))&amp;IF('_Engine'!BZ39&gt;10,"?","")&amp;" PM"))))))))</ns0:f>
        <ns0:v/>
      </ns0:c>
      <ns0:c r="P39" s="164" t="str">
        <ns0:f>IF(OR($A39="",P$11=""),"",IF(OR('_Engine'!$B$6&gt;0,INDEX('_Engine'!$AM$11:$AM$60,'_Engine'!$AO39)&lt;&gt;"OK"),"!",IF(INDEX(Team!$H$11:$N$60,'_Engine'!$AO39,WEEKDAY(P$11,2))&lt;&gt;"Work","—",IF(COUNTIF(Settings!$F$18:$F$67,P$11)&gt;0,"BH",IF('_Engine'!CA39+'_Engine'!CB39=0,"·",IF('_Engine'!CA39='_Engine'!CB39,INDEX(Settings!$G$7:$G$11,MOD('_Engine'!CA39,10))&amp;IF('_Engine'!CA39&gt;10,"?",""),IF('_Engine'!CA39=0,INDEX(Settings!$G$7:$G$11,MOD('_Engine'!CB39,10))&amp;IF('_Engine'!CB39&gt;10,"?","")&amp;" PM",IF('_Engine'!CB39=0,INDEX(Settings!$G$7:$G$11,MOD('_Engine'!CA39,10))&amp;IF('_Engine'!CA39&gt;10,"?","")&amp;" AM",INDEX(Settings!$G$7:$G$11,MOD('_Engine'!CA39,10))&amp;IF('_Engine'!CA39&gt;10,"?","")&amp;" AM"&amp;CHAR(10)&amp;INDEX(Settings!$G$7:$G$11,MOD('_Engine'!CB39,10))&amp;IF('_Engine'!CB39&gt;10,"?","")&amp;" PM"))))))))</ns0:f>
        <ns0:v/>
      </ns0:c>
      <ns0:c r="Q39" s="164" t="str">
        <ns0:f>IF(OR($A39="",Q$11=""),"",IF(OR('_Engine'!$B$6&gt;0,INDEX('_Engine'!$AM$11:$AM$60,'_Engine'!$AO39)&lt;&gt;"OK"),"!",IF(INDEX(Team!$H$11:$N$60,'_Engine'!$AO39,WEEKDAY(Q$11,2))&lt;&gt;"Work","—",IF(COUNTIF(Settings!$F$18:$F$67,Q$11)&gt;0,"BH",IF('_Engine'!CC39+'_Engine'!CD39=0,"·",IF('_Engine'!CC39='_Engine'!CD39,INDEX(Settings!$G$7:$G$11,MOD('_Engine'!CC39,10))&amp;IF('_Engine'!CC39&gt;10,"?",""),IF('_Engine'!CC39=0,INDEX(Settings!$G$7:$G$11,MOD('_Engine'!CD39,10))&amp;IF('_Engine'!CD39&gt;10,"?","")&amp;" PM",IF('_Engine'!CD39=0,INDEX(Settings!$G$7:$G$11,MOD('_Engine'!CC39,10))&amp;IF('_Engine'!CC39&gt;10,"?","")&amp;" AM",INDEX(Settings!$G$7:$G$11,MOD('_Engine'!CC39,10))&amp;IF('_Engine'!CC39&gt;10,"?","")&amp;" AM"&amp;CHAR(10)&amp;INDEX(Settings!$G$7:$G$11,MOD('_Engine'!CD39,10))&amp;IF('_Engine'!CD39&gt;10,"?","")&amp;" PM"))))))))</ns0:f>
        <ns0:v/>
      </ns0:c>
      <ns0:c r="R39" s="164" t="str">
        <ns0:f>IF(OR($A39="",R$11=""),"",IF(OR('_Engine'!$B$6&gt;0,INDEX('_Engine'!$AM$11:$AM$60,'_Engine'!$AO39)&lt;&gt;"OK"),"!",IF(INDEX(Team!$H$11:$N$60,'_Engine'!$AO39,WEEKDAY(R$11,2))&lt;&gt;"Work","—",IF(COUNTIF(Settings!$F$18:$F$67,R$11)&gt;0,"BH",IF('_Engine'!CE39+'_Engine'!CF39=0,"·",IF('_Engine'!CE39='_Engine'!CF39,INDEX(Settings!$G$7:$G$11,MOD('_Engine'!CE39,10))&amp;IF('_Engine'!CE39&gt;10,"?",""),IF('_Engine'!CE39=0,INDEX(Settings!$G$7:$G$11,MOD('_Engine'!CF39,10))&amp;IF('_Engine'!CF39&gt;10,"?","")&amp;" PM",IF('_Engine'!CF39=0,INDEX(Settings!$G$7:$G$11,MOD('_Engine'!CE39,10))&amp;IF('_Engine'!CE39&gt;10,"?","")&amp;" AM",INDEX(Settings!$G$7:$G$11,MOD('_Engine'!CE39,10))&amp;IF('_Engine'!CE39&gt;10,"?","")&amp;" AM"&amp;CHAR(10)&amp;INDEX(Settings!$G$7:$G$11,MOD('_Engine'!CF39,10))&amp;IF('_Engine'!CF39&gt;10,"?","")&amp;" PM"))))))))</ns0:f>
        <ns0:v/>
      </ns0:c>
      <ns0:c r="S39" s="164" t="str">
        <ns0:f>IF(OR($A39="",S$11=""),"",IF(OR('_Engine'!$B$6&gt;0,INDEX('_Engine'!$AM$11:$AM$60,'_Engine'!$AO39)&lt;&gt;"OK"),"!",IF(INDEX(Team!$H$11:$N$60,'_Engine'!$AO39,WEEKDAY(S$11,2))&lt;&gt;"Work","—",IF(COUNTIF(Settings!$F$18:$F$67,S$11)&gt;0,"BH",IF('_Engine'!CG39+'_Engine'!CH39=0,"·",IF('_Engine'!CG39='_Engine'!CH39,INDEX(Settings!$G$7:$G$11,MOD('_Engine'!CG39,10))&amp;IF('_Engine'!CG39&gt;10,"?",""),IF('_Engine'!CG39=0,INDEX(Settings!$G$7:$G$11,MOD('_Engine'!CH39,10))&amp;IF('_Engine'!CH39&gt;10,"?","")&amp;" PM",IF('_Engine'!CH39=0,INDEX(Settings!$G$7:$G$11,MOD('_Engine'!CG39,10))&amp;IF('_Engine'!CG39&gt;10,"?","")&amp;" AM",INDEX(Settings!$G$7:$G$11,MOD('_Engine'!CG39,10))&amp;IF('_Engine'!CG39&gt;10,"?","")&amp;" AM"&amp;CHAR(10)&amp;INDEX(Settings!$G$7:$G$11,MOD('_Engine'!CH39,10))&amp;IF('_Engine'!CH39&gt;10,"?","")&amp;" PM"))))))))</ns0:f>
        <ns0:v/>
      </ns0:c>
      <ns0:c r="T39" s="164" t="str">
        <ns0:f>IF(OR($A39="",T$11=""),"",IF(OR('_Engine'!$B$6&gt;0,INDEX('_Engine'!$AM$11:$AM$60,'_Engine'!$AO39)&lt;&gt;"OK"),"!",IF(INDEX(Team!$H$11:$N$60,'_Engine'!$AO39,WEEKDAY(T$11,2))&lt;&gt;"Work","—",IF(COUNTIF(Settings!$F$18:$F$67,T$11)&gt;0,"BH",IF('_Engine'!CI39+'_Engine'!CJ39=0,"·",IF('_Engine'!CI39='_Engine'!CJ39,INDEX(Settings!$G$7:$G$11,MOD('_Engine'!CI39,10))&amp;IF('_Engine'!CI39&gt;10,"?",""),IF('_Engine'!CI39=0,INDEX(Settings!$G$7:$G$11,MOD('_Engine'!CJ39,10))&amp;IF('_Engine'!CJ39&gt;10,"?","")&amp;" PM",IF('_Engine'!CJ39=0,INDEX(Settings!$G$7:$G$11,MOD('_Engine'!CI39,10))&amp;IF('_Engine'!CI39&gt;10,"?","")&amp;" AM",INDEX(Settings!$G$7:$G$11,MOD('_Engine'!CI39,10))&amp;IF('_Engine'!CI39&gt;10,"?","")&amp;" AM"&amp;CHAR(10)&amp;INDEX(Settings!$G$7:$G$11,MOD('_Engine'!CJ39,10))&amp;IF('_Engine'!CJ39&gt;10,"?","")&amp;" PM"))))))))</ns0:f>
        <ns0:v/>
      </ns0:c>
      <ns0:c r="U39" s="164" t="str">
        <ns0:f>IF(OR($A39="",U$11=""),"",IF(OR('_Engine'!$B$6&gt;0,INDEX('_Engine'!$AM$11:$AM$60,'_Engine'!$AO39)&lt;&gt;"OK"),"!",IF(INDEX(Team!$H$11:$N$60,'_Engine'!$AO39,WEEKDAY(U$11,2))&lt;&gt;"Work","—",IF(COUNTIF(Settings!$F$18:$F$67,U$11)&gt;0,"BH",IF('_Engine'!CK39+'_Engine'!CL39=0,"·",IF('_Engine'!CK39='_Engine'!CL39,INDEX(Settings!$G$7:$G$11,MOD('_Engine'!CK39,10))&amp;IF('_Engine'!CK39&gt;10,"?",""),IF('_Engine'!CK39=0,INDEX(Settings!$G$7:$G$11,MOD('_Engine'!CL39,10))&amp;IF('_Engine'!CL39&gt;10,"?","")&amp;" PM",IF('_Engine'!CL39=0,INDEX(Settings!$G$7:$G$11,MOD('_Engine'!CK39,10))&amp;IF('_Engine'!CK39&gt;10,"?","")&amp;" AM",INDEX(Settings!$G$7:$G$11,MOD('_Engine'!CK39,10))&amp;IF('_Engine'!CK39&gt;10,"?","")&amp;" AM"&amp;CHAR(10)&amp;INDEX(Settings!$G$7:$G$11,MOD('_Engine'!CL39,10))&amp;IF('_Engine'!CL39&gt;10,"?","")&amp;" PM"))))))))</ns0:f>
        <ns0:v/>
      </ns0:c>
      <ns0:c r="V39" s="164" t="str">
        <ns0:f>IF(OR($A39="",V$11=""),"",IF(OR('_Engine'!$B$6&gt;0,INDEX('_Engine'!$AM$11:$AM$60,'_Engine'!$AO39)&lt;&gt;"OK"),"!",IF(INDEX(Team!$H$11:$N$60,'_Engine'!$AO39,WEEKDAY(V$11,2))&lt;&gt;"Work","—",IF(COUNTIF(Settings!$F$18:$F$67,V$11)&gt;0,"BH",IF('_Engine'!CM39+'_Engine'!CN39=0,"·",IF('_Engine'!CM39='_Engine'!CN39,INDEX(Settings!$G$7:$G$11,MOD('_Engine'!CM39,10))&amp;IF('_Engine'!CM39&gt;10,"?",""),IF('_Engine'!CM39=0,INDEX(Settings!$G$7:$G$11,MOD('_Engine'!CN39,10))&amp;IF('_Engine'!CN39&gt;10,"?","")&amp;" PM",IF('_Engine'!CN39=0,INDEX(Settings!$G$7:$G$11,MOD('_Engine'!CM39,10))&amp;IF('_Engine'!CM39&gt;10,"?","")&amp;" AM",INDEX(Settings!$G$7:$G$11,MOD('_Engine'!CM39,10))&amp;IF('_Engine'!CM39&gt;10,"?","")&amp;" AM"&amp;CHAR(10)&amp;INDEX(Settings!$G$7:$G$11,MOD('_Engine'!CN39,10))&amp;IF('_Engine'!CN39&gt;10,"?","")&amp;" PM"))))))))</ns0:f>
        <ns0:v/>
      </ns0:c>
      <ns0:c r="W39" s="164" t="str">
        <ns0:f>IF(OR($A39="",W$11=""),"",IF(OR('_Engine'!$B$6&gt;0,INDEX('_Engine'!$AM$11:$AM$60,'_Engine'!$AO39)&lt;&gt;"OK"),"!",IF(INDEX(Team!$H$11:$N$60,'_Engine'!$AO39,WEEKDAY(W$11,2))&lt;&gt;"Work","—",IF(COUNTIF(Settings!$F$18:$F$67,W$11)&gt;0,"BH",IF('_Engine'!CO39+'_Engine'!CP39=0,"·",IF('_Engine'!CO39='_Engine'!CP39,INDEX(Settings!$G$7:$G$11,MOD('_Engine'!CO39,10))&amp;IF('_Engine'!CO39&gt;10,"?",""),IF('_Engine'!CO39=0,INDEX(Settings!$G$7:$G$11,MOD('_Engine'!CP39,10))&amp;IF('_Engine'!CP39&gt;10,"?","")&amp;" PM",IF('_Engine'!CP39=0,INDEX(Settings!$G$7:$G$11,MOD('_Engine'!CO39,10))&amp;IF('_Engine'!CO39&gt;10,"?","")&amp;" AM",INDEX(Settings!$G$7:$G$11,MOD('_Engine'!CO39,10))&amp;IF('_Engine'!CO39&gt;10,"?","")&amp;" AM"&amp;CHAR(10)&amp;INDEX(Settings!$G$7:$G$11,MOD('_Engine'!CP39,10))&amp;IF('_Engine'!CP39&gt;10,"?","")&amp;" PM"))))))))</ns0:f>
        <ns0:v/>
      </ns0:c>
      <ns0:c r="X39" s="164" t="str">
        <ns0:f>IF(OR($A39="",X$11=""),"",IF(OR('_Engine'!$B$6&gt;0,INDEX('_Engine'!$AM$11:$AM$60,'_Engine'!$AO39)&lt;&gt;"OK"),"!",IF(INDEX(Team!$H$11:$N$60,'_Engine'!$AO39,WEEKDAY(X$11,2))&lt;&gt;"Work","—",IF(COUNTIF(Settings!$F$18:$F$67,X$11)&gt;0,"BH",IF('_Engine'!CQ39+'_Engine'!CR39=0,"·",IF('_Engine'!CQ39='_Engine'!CR39,INDEX(Settings!$G$7:$G$11,MOD('_Engine'!CQ39,10))&amp;IF('_Engine'!CQ39&gt;10,"?",""),IF('_Engine'!CQ39=0,INDEX(Settings!$G$7:$G$11,MOD('_Engine'!CR39,10))&amp;IF('_Engine'!CR39&gt;10,"?","")&amp;" PM",IF('_Engine'!CR39=0,INDEX(Settings!$G$7:$G$11,MOD('_Engine'!CQ39,10))&amp;IF('_Engine'!CQ39&gt;10,"?","")&amp;" AM",INDEX(Settings!$G$7:$G$11,MOD('_Engine'!CQ39,10))&amp;IF('_Engine'!CQ39&gt;10,"?","")&amp;" AM"&amp;CHAR(10)&amp;INDEX(Settings!$G$7:$G$11,MOD('_Engine'!CR39,10))&amp;IF('_Engine'!CR39&gt;10,"?","")&amp;" PM"))))))))</ns0:f>
        <ns0:v/>
      </ns0:c>
      <ns0:c r="Y39" s="164" t="str">
        <ns0:f>IF(OR($A39="",Y$11=""),"",IF(OR('_Engine'!$B$6&gt;0,INDEX('_Engine'!$AM$11:$AM$60,'_Engine'!$AO39)&lt;&gt;"OK"),"!",IF(INDEX(Team!$H$11:$N$60,'_Engine'!$AO39,WEEKDAY(Y$11,2))&lt;&gt;"Work","—",IF(COUNTIF(Settings!$F$18:$F$67,Y$11)&gt;0,"BH",IF('_Engine'!CS39+'_Engine'!CT39=0,"·",IF('_Engine'!CS39='_Engine'!CT39,INDEX(Settings!$G$7:$G$11,MOD('_Engine'!CS39,10))&amp;IF('_Engine'!CS39&gt;10,"?",""),IF('_Engine'!CS39=0,INDEX(Settings!$G$7:$G$11,MOD('_Engine'!CT39,10))&amp;IF('_Engine'!CT39&gt;10,"?","")&amp;" PM",IF('_Engine'!CT39=0,INDEX(Settings!$G$7:$G$11,MOD('_Engine'!CS39,10))&amp;IF('_Engine'!CS39&gt;10,"?","")&amp;" AM",INDEX(Settings!$G$7:$G$11,MOD('_Engine'!CS39,10))&amp;IF('_Engine'!CS39&gt;10,"?","")&amp;" AM"&amp;CHAR(10)&amp;INDEX(Settings!$G$7:$G$11,MOD('_Engine'!CT39,10))&amp;IF('_Engine'!CT39&gt;10,"?","")&amp;" PM"))))))))</ns0:f>
        <ns0:v/>
      </ns0:c>
      <ns0:c r="Z39" s="164" t="str">
        <ns0:f>IF(OR($A39="",Z$11=""),"",IF(OR('_Engine'!$B$6&gt;0,INDEX('_Engine'!$AM$11:$AM$60,'_Engine'!$AO39)&lt;&gt;"OK"),"!",IF(INDEX(Team!$H$11:$N$60,'_Engine'!$AO39,WEEKDAY(Z$11,2))&lt;&gt;"Work","—",IF(COUNTIF(Settings!$F$18:$F$67,Z$11)&gt;0,"BH",IF('_Engine'!CU39+'_Engine'!CV39=0,"·",IF('_Engine'!CU39='_Engine'!CV39,INDEX(Settings!$G$7:$G$11,MOD('_Engine'!CU39,10))&amp;IF('_Engine'!CU39&gt;10,"?",""),IF('_Engine'!CU39=0,INDEX(Settings!$G$7:$G$11,MOD('_Engine'!CV39,10))&amp;IF('_Engine'!CV39&gt;10,"?","")&amp;" PM",IF('_Engine'!CV39=0,INDEX(Settings!$G$7:$G$11,MOD('_Engine'!CU39,10))&amp;IF('_Engine'!CU39&gt;10,"?","")&amp;" AM",INDEX(Settings!$G$7:$G$11,MOD('_Engine'!CU39,10))&amp;IF('_Engine'!CU39&gt;10,"?","")&amp;" AM"&amp;CHAR(10)&amp;INDEX(Settings!$G$7:$G$11,MOD('_Engine'!CV39,10))&amp;IF('_Engine'!CV39&gt;10,"?","")&amp;" PM"))))))))</ns0:f>
        <ns0:v/>
      </ns0:c>
      <ns0:c r="AA39" s="164" t="str">
        <ns0:f>IF(OR($A39="",AA$11=""),"",IF(OR('_Engine'!$B$6&gt;0,INDEX('_Engine'!$AM$11:$AM$60,'_Engine'!$AO39)&lt;&gt;"OK"),"!",IF(INDEX(Team!$H$11:$N$60,'_Engine'!$AO39,WEEKDAY(AA$11,2))&lt;&gt;"Work","—",IF(COUNTIF(Settings!$F$18:$F$67,AA$11)&gt;0,"BH",IF('_Engine'!CW39+'_Engine'!CX39=0,"·",IF('_Engine'!CW39='_Engine'!CX39,INDEX(Settings!$G$7:$G$11,MOD('_Engine'!CW39,10))&amp;IF('_Engine'!CW39&gt;10,"?",""),IF('_Engine'!CW39=0,INDEX(Settings!$G$7:$G$11,MOD('_Engine'!CX39,10))&amp;IF('_Engine'!CX39&gt;10,"?","")&amp;" PM",IF('_Engine'!CX39=0,INDEX(Settings!$G$7:$G$11,MOD('_Engine'!CW39,10))&amp;IF('_Engine'!CW39&gt;10,"?","")&amp;" AM",INDEX(Settings!$G$7:$G$11,MOD('_Engine'!CW39,10))&amp;IF('_Engine'!CW39&gt;10,"?","")&amp;" AM"&amp;CHAR(10)&amp;INDEX(Settings!$G$7:$G$11,MOD('_Engine'!CX39,10))&amp;IF('_Engine'!CX39&gt;10,"?","")&amp;" PM"))))))))</ns0:f>
        <ns0:v/>
      </ns0:c>
      <ns0:c r="AB39" s="164" t="str">
        <ns0:f>IF(OR($A39="",AB$11=""),"",IF(OR('_Engine'!$B$6&gt;0,INDEX('_Engine'!$AM$11:$AM$60,'_Engine'!$AO39)&lt;&gt;"OK"),"!",IF(INDEX(Team!$H$11:$N$60,'_Engine'!$AO39,WEEKDAY(AB$11,2))&lt;&gt;"Work","—",IF(COUNTIF(Settings!$F$18:$F$67,AB$11)&gt;0,"BH",IF('_Engine'!CY39+'_Engine'!CZ39=0,"·",IF('_Engine'!CY39='_Engine'!CZ39,INDEX(Settings!$G$7:$G$11,MOD('_Engine'!CY39,10))&amp;IF('_Engine'!CY39&gt;10,"?",""),IF('_Engine'!CY39=0,INDEX(Settings!$G$7:$G$11,MOD('_Engine'!CZ39,10))&amp;IF('_Engine'!CZ39&gt;10,"?","")&amp;" PM",IF('_Engine'!CZ39=0,INDEX(Settings!$G$7:$G$11,MOD('_Engine'!CY39,10))&amp;IF('_Engine'!CY39&gt;10,"?","")&amp;" AM",INDEX(Settings!$G$7:$G$11,MOD('_Engine'!CY39,10))&amp;IF('_Engine'!CY39&gt;10,"?","")&amp;" AM"&amp;CHAR(10)&amp;INDEX(Settings!$G$7:$G$11,MOD('_Engine'!CZ39,10))&amp;IF('_Engine'!CZ39&gt;10,"?","")&amp;" PM"))))))))</ns0:f>
        <ns0:v/>
      </ns0:c>
      <ns0:c r="AC39" s="164" t="str">
        <ns0:f>IF(OR($A39="",AC$11=""),"",IF(OR('_Engine'!$B$6&gt;0,INDEX('_Engine'!$AM$11:$AM$60,'_Engine'!$AO39)&lt;&gt;"OK"),"!",IF(INDEX(Team!$H$11:$N$60,'_Engine'!$AO39,WEEKDAY(AC$11,2))&lt;&gt;"Work","—",IF(COUNTIF(Settings!$F$18:$F$67,AC$11)&gt;0,"BH",IF('_Engine'!DA39+'_Engine'!DB39=0,"·",IF('_Engine'!DA39='_Engine'!DB39,INDEX(Settings!$G$7:$G$11,MOD('_Engine'!DA39,10))&amp;IF('_Engine'!DA39&gt;10,"?",""),IF('_Engine'!DA39=0,INDEX(Settings!$G$7:$G$11,MOD('_Engine'!DB39,10))&amp;IF('_Engine'!DB39&gt;10,"?","")&amp;" PM",IF('_Engine'!DB39=0,INDEX(Settings!$G$7:$G$11,MOD('_Engine'!DA39,10))&amp;IF('_Engine'!DA39&gt;10,"?","")&amp;" AM",INDEX(Settings!$G$7:$G$11,MOD('_Engine'!DA39,10))&amp;IF('_Engine'!DA39&gt;10,"?","")&amp;" AM"&amp;CHAR(10)&amp;INDEX(Settings!$G$7:$G$11,MOD('_Engine'!DB39,10))&amp;IF('_Engine'!DB39&gt;10,"?","")&amp;" PM"))))))))</ns0:f>
        <ns0:v/>
      </ns0:c>
      <ns0:c r="AD39" s="164" t="str">
        <ns0:f>IF(OR($A39="",AD$11=""),"",IF(OR('_Engine'!$B$6&gt;0,INDEX('_Engine'!$AM$11:$AM$60,'_Engine'!$AO39)&lt;&gt;"OK"),"!",IF(INDEX(Team!$H$11:$N$60,'_Engine'!$AO39,WEEKDAY(AD$11,2))&lt;&gt;"Work","—",IF(COUNTIF(Settings!$F$18:$F$67,AD$11)&gt;0,"BH",IF('_Engine'!DC39+'_Engine'!DD39=0,"·",IF('_Engine'!DC39='_Engine'!DD39,INDEX(Settings!$G$7:$G$11,MOD('_Engine'!DC39,10))&amp;IF('_Engine'!DC39&gt;10,"?",""),IF('_Engine'!DC39=0,INDEX(Settings!$G$7:$G$11,MOD('_Engine'!DD39,10))&amp;IF('_Engine'!DD39&gt;10,"?","")&amp;" PM",IF('_Engine'!DD39=0,INDEX(Settings!$G$7:$G$11,MOD('_Engine'!DC39,10))&amp;IF('_Engine'!DC39&gt;10,"?","")&amp;" AM",INDEX(Settings!$G$7:$G$11,MOD('_Engine'!DC39,10))&amp;IF('_Engine'!DC39&gt;10,"?","")&amp;" AM"&amp;CHAR(10)&amp;INDEX(Settings!$G$7:$G$11,MOD('_Engine'!DD39,10))&amp;IF('_Engine'!DD39&gt;10,"?","")&amp;" PM"))))))))</ns0:f>
        <ns0:v/>
      </ns0:c>
      <ns0:c r="AE39" s="164" t="str">
        <ns0:f>IF(OR($A39="",AE$11=""),"",IF(OR('_Engine'!$B$6&gt;0,INDEX('_Engine'!$AM$11:$AM$60,'_Engine'!$AO39)&lt;&gt;"OK"),"!",IF(INDEX(Team!$H$11:$N$60,'_Engine'!$AO39,WEEKDAY(AE$11,2))&lt;&gt;"Work","—",IF(COUNTIF(Settings!$F$18:$F$67,AE$11)&gt;0,"BH",IF('_Engine'!DE39+'_Engine'!DF39=0,"·",IF('_Engine'!DE39='_Engine'!DF39,INDEX(Settings!$G$7:$G$11,MOD('_Engine'!DE39,10))&amp;IF('_Engine'!DE39&gt;10,"?",""),IF('_Engine'!DE39=0,INDEX(Settings!$G$7:$G$11,MOD('_Engine'!DF39,10))&amp;IF('_Engine'!DF39&gt;10,"?","")&amp;" PM",IF('_Engine'!DF39=0,INDEX(Settings!$G$7:$G$11,MOD('_Engine'!DE39,10))&amp;IF('_Engine'!DE39&gt;10,"?","")&amp;" AM",INDEX(Settings!$G$7:$G$11,MOD('_Engine'!DE39,10))&amp;IF('_Engine'!DE39&gt;10,"?","")&amp;" AM"&amp;CHAR(10)&amp;INDEX(Settings!$G$7:$G$11,MOD('_Engine'!DF39,10))&amp;IF('_Engine'!DF39&gt;10,"?","")&amp;" PM"))))))))</ns0:f>
        <ns0:v/>
      </ns0:c>
      <ns0:c r="AF39" s="164" t="str">
        <ns0:f>IF(OR($A39="",AF$11=""),"",IF(OR('_Engine'!$B$6&gt;0,INDEX('_Engine'!$AM$11:$AM$60,'_Engine'!$AO39)&lt;&gt;"OK"),"!",IF(INDEX(Team!$H$11:$N$60,'_Engine'!$AO39,WEEKDAY(AF$11,2))&lt;&gt;"Work","—",IF(COUNTIF(Settings!$F$18:$F$67,AF$11)&gt;0,"BH",IF('_Engine'!DG39+'_Engine'!DH39=0,"·",IF('_Engine'!DG39='_Engine'!DH39,INDEX(Settings!$G$7:$G$11,MOD('_Engine'!DG39,10))&amp;IF('_Engine'!DG39&gt;10,"?",""),IF('_Engine'!DG39=0,INDEX(Settings!$G$7:$G$11,MOD('_Engine'!DH39,10))&amp;IF('_Engine'!DH39&gt;10,"?","")&amp;" PM",IF('_Engine'!DH39=0,INDEX(Settings!$G$7:$G$11,MOD('_Engine'!DG39,10))&amp;IF('_Engine'!DG39&gt;10,"?","")&amp;" AM",INDEX(Settings!$G$7:$G$11,MOD('_Engine'!DG39,10))&amp;IF('_Engine'!DG39&gt;10,"?","")&amp;" AM"&amp;CHAR(10)&amp;INDEX(Settings!$G$7:$G$11,MOD('_Engine'!DH39,10))&amp;IF('_Engine'!DH39&gt;10,"?","")&amp;" PM"))))))))</ns0:f>
        <ns0:v/>
      </ns0:c>
      <ns0:c r="AG39" s="164" t="str">
        <ns0:f>IF(OR($A39="",AG$11=""),"",IF(OR('_Engine'!$B$6&gt;0,INDEX('_Engine'!$AM$11:$AM$60,'_Engine'!$AO39)&lt;&gt;"OK"),"!",IF(INDEX(Team!$H$11:$N$60,'_Engine'!$AO39,WEEKDAY(AG$11,2))&lt;&gt;"Work","—",IF(COUNTIF(Settings!$F$18:$F$67,AG$11)&gt;0,"BH",IF('_Engine'!DI39+'_Engine'!DJ39=0,"·",IF('_Engine'!DI39='_Engine'!DJ39,INDEX(Settings!$G$7:$G$11,MOD('_Engine'!DI39,10))&amp;IF('_Engine'!DI39&gt;10,"?",""),IF('_Engine'!DI39=0,INDEX(Settings!$G$7:$G$11,MOD('_Engine'!DJ39,10))&amp;IF('_Engine'!DJ39&gt;10,"?","")&amp;" PM",IF('_Engine'!DJ39=0,INDEX(Settings!$G$7:$G$11,MOD('_Engine'!DI39,10))&amp;IF('_Engine'!DI39&gt;10,"?","")&amp;" AM",INDEX(Settings!$G$7:$G$11,MOD('_Engine'!DI39,10))&amp;IF('_Engine'!DI39&gt;10,"?","")&amp;" AM"&amp;CHAR(10)&amp;INDEX(Settings!$G$7:$G$11,MOD('_Engine'!DJ39,10))&amp;IF('_Engine'!DJ39&gt;10,"?","")&amp;" PM"))))))))</ns0:f>
        <ns0:v/>
      </ns0:c>
      <ns0:c r="AH39" s="164" t="str">
        <ns0:f>IF(OR($A39="",AH$11=""),"",IF(OR('_Engine'!$B$6&gt;0,INDEX('_Engine'!$AM$11:$AM$60,'_Engine'!$AO39)&lt;&gt;"OK"),"!",IF(INDEX(Team!$H$11:$N$60,'_Engine'!$AO39,WEEKDAY(AH$11,2))&lt;&gt;"Work","—",IF(COUNTIF(Settings!$F$18:$F$67,AH$11)&gt;0,"BH",IF('_Engine'!DK39+'_Engine'!DL39=0,"·",IF('_Engine'!DK39='_Engine'!DL39,INDEX(Settings!$G$7:$G$11,MOD('_Engine'!DK39,10))&amp;IF('_Engine'!DK39&gt;10,"?",""),IF('_Engine'!DK39=0,INDEX(Settings!$G$7:$G$11,MOD('_Engine'!DL39,10))&amp;IF('_Engine'!DL39&gt;10,"?","")&amp;" PM",IF('_Engine'!DL39=0,INDEX(Settings!$G$7:$G$11,MOD('_Engine'!DK39,10))&amp;IF('_Engine'!DK39&gt;10,"?","")&amp;" AM",INDEX(Settings!$G$7:$G$11,MOD('_Engine'!DK39,10))&amp;IF('_Engine'!DK39&gt;10,"?","")&amp;" AM"&amp;CHAR(10)&amp;INDEX(Settings!$G$7:$G$11,MOD('_Engine'!DL39,10))&amp;IF('_Engine'!DL39&gt;10,"?","")&amp;" PM"))))))))</ns0:f>
        <ns0:v/>
      </ns0:c>
    </ns0:row>
    <ns0:row r="40" ht="38" customHeight="1">
      <ns0:c r="A40" s="4" t="str">
        <ns0:f>IF('_Engine'!AO40=0,"",IF(INDEX(Team!$B$11:$B$60,'_Engine'!AO40)="","[Unnamed]",INDEX(Team!$B$11:$B$60,'_Engine'!AO40)))</ns0:f>
        <ns0:v/>
      </ns0:c>
      <ns0:c r="B40" s="156" t="str">
        <ns0:f>IF('_Engine'!AO40=0,"",INDEX('_Engine'!$AN$11:$AN$60,'_Engine'!AO40))</ns0:f>
        <ns0:v/>
      </ns0:c>
      <ns0:c r="C40" s="4" t="str">
        <ns0:f>IF('_Engine'!AO40=0,"",INDEX(Team!$C$11:$C$60,'_Engine'!AO40))</ns0:f>
        <ns0:v/>
      </ns0:c>
      <ns0:c r="D40" s="162" t="str">
        <ns0:f>IF(OR($A40="",D$11=""),"",IF(OR('_Engine'!$B$6&gt;0,INDEX('_Engine'!$AM$11:$AM$60,'_Engine'!$AO40)&lt;&gt;"OK"),"!",IF(INDEX(Team!$H$11:$N$60,'_Engine'!$AO40,WEEKDAY(D$11,2))&lt;&gt;"Work","—",IF(COUNTIF(Settings!$F$18:$F$67,D$11)&gt;0,"BH",IF('_Engine'!BC40+'_Engine'!BD40=0,"·",IF('_Engine'!BC40='_Engine'!BD40,INDEX(Settings!$G$7:$G$11,MOD('_Engine'!BC40,10))&amp;IF('_Engine'!BC40&gt;10,"?",""),IF('_Engine'!BC40=0,INDEX(Settings!$G$7:$G$11,MOD('_Engine'!BD40,10))&amp;IF('_Engine'!BD40&gt;10,"?","")&amp;" PM",IF('_Engine'!BD40=0,INDEX(Settings!$G$7:$G$11,MOD('_Engine'!BC40,10))&amp;IF('_Engine'!BC40&gt;10,"?","")&amp;" AM",INDEX(Settings!$G$7:$G$11,MOD('_Engine'!BC40,10))&amp;IF('_Engine'!BC40&gt;10,"?","")&amp;" AM"&amp;CHAR(10)&amp;INDEX(Settings!$G$7:$G$11,MOD('_Engine'!BD40,10))&amp;IF('_Engine'!BD40&gt;10,"?","")&amp;" PM"))))))))</ns0:f>
        <ns0:v/>
      </ns0:c>
      <ns0:c r="E40" s="162" t="str">
        <ns0:f>IF(OR($A40="",E$11=""),"",IF(OR('_Engine'!$B$6&gt;0,INDEX('_Engine'!$AM$11:$AM$60,'_Engine'!$AO40)&lt;&gt;"OK"),"!",IF(INDEX(Team!$H$11:$N$60,'_Engine'!$AO40,WEEKDAY(E$11,2))&lt;&gt;"Work","—",IF(COUNTIF(Settings!$F$18:$F$67,E$11)&gt;0,"BH",IF('_Engine'!BE40+'_Engine'!BF40=0,"·",IF('_Engine'!BE40='_Engine'!BF40,INDEX(Settings!$G$7:$G$11,MOD('_Engine'!BE40,10))&amp;IF('_Engine'!BE40&gt;10,"?",""),IF('_Engine'!BE40=0,INDEX(Settings!$G$7:$G$11,MOD('_Engine'!BF40,10))&amp;IF('_Engine'!BF40&gt;10,"?","")&amp;" PM",IF('_Engine'!BF40=0,INDEX(Settings!$G$7:$G$11,MOD('_Engine'!BE40,10))&amp;IF('_Engine'!BE40&gt;10,"?","")&amp;" AM",INDEX(Settings!$G$7:$G$11,MOD('_Engine'!BE40,10))&amp;IF('_Engine'!BE40&gt;10,"?","")&amp;" AM"&amp;CHAR(10)&amp;INDEX(Settings!$G$7:$G$11,MOD('_Engine'!BF40,10))&amp;IF('_Engine'!BF40&gt;10,"?","")&amp;" PM"))))))))</ns0:f>
        <ns0:v/>
      </ns0:c>
      <ns0:c r="F40" s="162" t="str">
        <ns0:f>IF(OR($A40="",F$11=""),"",IF(OR('_Engine'!$B$6&gt;0,INDEX('_Engine'!$AM$11:$AM$60,'_Engine'!$AO40)&lt;&gt;"OK"),"!",IF(INDEX(Team!$H$11:$N$60,'_Engine'!$AO40,WEEKDAY(F$11,2))&lt;&gt;"Work","—",IF(COUNTIF(Settings!$F$18:$F$67,F$11)&gt;0,"BH",IF('_Engine'!BG40+'_Engine'!BH40=0,"·",IF('_Engine'!BG40='_Engine'!BH40,INDEX(Settings!$G$7:$G$11,MOD('_Engine'!BG40,10))&amp;IF('_Engine'!BG40&gt;10,"?",""),IF('_Engine'!BG40=0,INDEX(Settings!$G$7:$G$11,MOD('_Engine'!BH40,10))&amp;IF('_Engine'!BH40&gt;10,"?","")&amp;" PM",IF('_Engine'!BH40=0,INDEX(Settings!$G$7:$G$11,MOD('_Engine'!BG40,10))&amp;IF('_Engine'!BG40&gt;10,"?","")&amp;" AM",INDEX(Settings!$G$7:$G$11,MOD('_Engine'!BG40,10))&amp;IF('_Engine'!BG40&gt;10,"?","")&amp;" AM"&amp;CHAR(10)&amp;INDEX(Settings!$G$7:$G$11,MOD('_Engine'!BH40,10))&amp;IF('_Engine'!BH40&gt;10,"?","")&amp;" PM"))))))))</ns0:f>
        <ns0:v/>
      </ns0:c>
      <ns0:c r="G40" s="162" t="str">
        <ns0:f>IF(OR($A40="",G$11=""),"",IF(OR('_Engine'!$B$6&gt;0,INDEX('_Engine'!$AM$11:$AM$60,'_Engine'!$AO40)&lt;&gt;"OK"),"!",IF(INDEX(Team!$H$11:$N$60,'_Engine'!$AO40,WEEKDAY(G$11,2))&lt;&gt;"Work","—",IF(COUNTIF(Settings!$F$18:$F$67,G$11)&gt;0,"BH",IF('_Engine'!BI40+'_Engine'!BJ40=0,"·",IF('_Engine'!BI40='_Engine'!BJ40,INDEX(Settings!$G$7:$G$11,MOD('_Engine'!BI40,10))&amp;IF('_Engine'!BI40&gt;10,"?",""),IF('_Engine'!BI40=0,INDEX(Settings!$G$7:$G$11,MOD('_Engine'!BJ40,10))&amp;IF('_Engine'!BJ40&gt;10,"?","")&amp;" PM",IF('_Engine'!BJ40=0,INDEX(Settings!$G$7:$G$11,MOD('_Engine'!BI40,10))&amp;IF('_Engine'!BI40&gt;10,"?","")&amp;" AM",INDEX(Settings!$G$7:$G$11,MOD('_Engine'!BI40,10))&amp;IF('_Engine'!BI40&gt;10,"?","")&amp;" AM"&amp;CHAR(10)&amp;INDEX(Settings!$G$7:$G$11,MOD('_Engine'!BJ40,10))&amp;IF('_Engine'!BJ40&gt;10,"?","")&amp;" PM"))))))))</ns0:f>
        <ns0:v/>
      </ns0:c>
      <ns0:c r="H40" s="162" t="str">
        <ns0:f>IF(OR($A40="",H$11=""),"",IF(OR('_Engine'!$B$6&gt;0,INDEX('_Engine'!$AM$11:$AM$60,'_Engine'!$AO40)&lt;&gt;"OK"),"!",IF(INDEX(Team!$H$11:$N$60,'_Engine'!$AO40,WEEKDAY(H$11,2))&lt;&gt;"Work","—",IF(COUNTIF(Settings!$F$18:$F$67,H$11)&gt;0,"BH",IF('_Engine'!BK40+'_Engine'!BL40=0,"·",IF('_Engine'!BK40='_Engine'!BL40,INDEX(Settings!$G$7:$G$11,MOD('_Engine'!BK40,10))&amp;IF('_Engine'!BK40&gt;10,"?",""),IF('_Engine'!BK40=0,INDEX(Settings!$G$7:$G$11,MOD('_Engine'!BL40,10))&amp;IF('_Engine'!BL40&gt;10,"?","")&amp;" PM",IF('_Engine'!BL40=0,INDEX(Settings!$G$7:$G$11,MOD('_Engine'!BK40,10))&amp;IF('_Engine'!BK40&gt;10,"?","")&amp;" AM",INDEX(Settings!$G$7:$G$11,MOD('_Engine'!BK40,10))&amp;IF('_Engine'!BK40&gt;10,"?","")&amp;" AM"&amp;CHAR(10)&amp;INDEX(Settings!$G$7:$G$11,MOD('_Engine'!BL40,10))&amp;IF('_Engine'!BL40&gt;10,"?","")&amp;" PM"))))))))</ns0:f>
        <ns0:v/>
      </ns0:c>
      <ns0:c r="I40" s="162" t="str">
        <ns0:f>IF(OR($A40="",I$11=""),"",IF(OR('_Engine'!$B$6&gt;0,INDEX('_Engine'!$AM$11:$AM$60,'_Engine'!$AO40)&lt;&gt;"OK"),"!",IF(INDEX(Team!$H$11:$N$60,'_Engine'!$AO40,WEEKDAY(I$11,2))&lt;&gt;"Work","—",IF(COUNTIF(Settings!$F$18:$F$67,I$11)&gt;0,"BH",IF('_Engine'!BM40+'_Engine'!BN40=0,"·",IF('_Engine'!BM40='_Engine'!BN40,INDEX(Settings!$G$7:$G$11,MOD('_Engine'!BM40,10))&amp;IF('_Engine'!BM40&gt;10,"?",""),IF('_Engine'!BM40=0,INDEX(Settings!$G$7:$G$11,MOD('_Engine'!BN40,10))&amp;IF('_Engine'!BN40&gt;10,"?","")&amp;" PM",IF('_Engine'!BN40=0,INDEX(Settings!$G$7:$G$11,MOD('_Engine'!BM40,10))&amp;IF('_Engine'!BM40&gt;10,"?","")&amp;" AM",INDEX(Settings!$G$7:$G$11,MOD('_Engine'!BM40,10))&amp;IF('_Engine'!BM40&gt;10,"?","")&amp;" AM"&amp;CHAR(10)&amp;INDEX(Settings!$G$7:$G$11,MOD('_Engine'!BN40,10))&amp;IF('_Engine'!BN40&gt;10,"?","")&amp;" PM"))))))))</ns0:f>
        <ns0:v/>
      </ns0:c>
      <ns0:c r="J40" s="162" t="str">
        <ns0:f>IF(OR($A40="",J$11=""),"",IF(OR('_Engine'!$B$6&gt;0,INDEX('_Engine'!$AM$11:$AM$60,'_Engine'!$AO40)&lt;&gt;"OK"),"!",IF(INDEX(Team!$H$11:$N$60,'_Engine'!$AO40,WEEKDAY(J$11,2))&lt;&gt;"Work","—",IF(COUNTIF(Settings!$F$18:$F$67,J$11)&gt;0,"BH",IF('_Engine'!BO40+'_Engine'!BP40=0,"·",IF('_Engine'!BO40='_Engine'!BP40,INDEX(Settings!$G$7:$G$11,MOD('_Engine'!BO40,10))&amp;IF('_Engine'!BO40&gt;10,"?",""),IF('_Engine'!BO40=0,INDEX(Settings!$G$7:$G$11,MOD('_Engine'!BP40,10))&amp;IF('_Engine'!BP40&gt;10,"?","")&amp;" PM",IF('_Engine'!BP40=0,INDEX(Settings!$G$7:$G$11,MOD('_Engine'!BO40,10))&amp;IF('_Engine'!BO40&gt;10,"?","")&amp;" AM",INDEX(Settings!$G$7:$G$11,MOD('_Engine'!BO40,10))&amp;IF('_Engine'!BO40&gt;10,"?","")&amp;" AM"&amp;CHAR(10)&amp;INDEX(Settings!$G$7:$G$11,MOD('_Engine'!BP40,10))&amp;IF('_Engine'!BP40&gt;10,"?","")&amp;" PM"))))))))</ns0:f>
        <ns0:v/>
      </ns0:c>
      <ns0:c r="K40" s="164" t="str">
        <ns0:f>IF(OR($A40="",K$11=""),"",IF(OR('_Engine'!$B$6&gt;0,INDEX('_Engine'!$AM$11:$AM$60,'_Engine'!$AO40)&lt;&gt;"OK"),"!",IF(INDEX(Team!$H$11:$N$60,'_Engine'!$AO40,WEEKDAY(K$11,2))&lt;&gt;"Work","—",IF(COUNTIF(Settings!$F$18:$F$67,K$11)&gt;0,"BH",IF('_Engine'!BQ40+'_Engine'!BR40=0,"·",IF('_Engine'!BQ40='_Engine'!BR40,INDEX(Settings!$G$7:$G$11,MOD('_Engine'!BQ40,10))&amp;IF('_Engine'!BQ40&gt;10,"?",""),IF('_Engine'!BQ40=0,INDEX(Settings!$G$7:$G$11,MOD('_Engine'!BR40,10))&amp;IF('_Engine'!BR40&gt;10,"?","")&amp;" PM",IF('_Engine'!BR40=0,INDEX(Settings!$G$7:$G$11,MOD('_Engine'!BQ40,10))&amp;IF('_Engine'!BQ40&gt;10,"?","")&amp;" AM",INDEX(Settings!$G$7:$G$11,MOD('_Engine'!BQ40,10))&amp;IF('_Engine'!BQ40&gt;10,"?","")&amp;" AM"&amp;CHAR(10)&amp;INDEX(Settings!$G$7:$G$11,MOD('_Engine'!BR40,10))&amp;IF('_Engine'!BR40&gt;10,"?","")&amp;" PM"))))))))</ns0:f>
        <ns0:v/>
      </ns0:c>
      <ns0:c r="L40" s="164" t="str">
        <ns0:f>IF(OR($A40="",L$11=""),"",IF(OR('_Engine'!$B$6&gt;0,INDEX('_Engine'!$AM$11:$AM$60,'_Engine'!$AO40)&lt;&gt;"OK"),"!",IF(INDEX(Team!$H$11:$N$60,'_Engine'!$AO40,WEEKDAY(L$11,2))&lt;&gt;"Work","—",IF(COUNTIF(Settings!$F$18:$F$67,L$11)&gt;0,"BH",IF('_Engine'!BS40+'_Engine'!BT40=0,"·",IF('_Engine'!BS40='_Engine'!BT40,INDEX(Settings!$G$7:$G$11,MOD('_Engine'!BS40,10))&amp;IF('_Engine'!BS40&gt;10,"?",""),IF('_Engine'!BS40=0,INDEX(Settings!$G$7:$G$11,MOD('_Engine'!BT40,10))&amp;IF('_Engine'!BT40&gt;10,"?","")&amp;" PM",IF('_Engine'!BT40=0,INDEX(Settings!$G$7:$G$11,MOD('_Engine'!BS40,10))&amp;IF('_Engine'!BS40&gt;10,"?","")&amp;" AM",INDEX(Settings!$G$7:$G$11,MOD('_Engine'!BS40,10))&amp;IF('_Engine'!BS40&gt;10,"?","")&amp;" AM"&amp;CHAR(10)&amp;INDEX(Settings!$G$7:$G$11,MOD('_Engine'!BT40,10))&amp;IF('_Engine'!BT40&gt;10,"?","")&amp;" PM"))))))))</ns0:f>
        <ns0:v/>
      </ns0:c>
      <ns0:c r="M40" s="164" t="str">
        <ns0:f>IF(OR($A40="",M$11=""),"",IF(OR('_Engine'!$B$6&gt;0,INDEX('_Engine'!$AM$11:$AM$60,'_Engine'!$AO40)&lt;&gt;"OK"),"!",IF(INDEX(Team!$H$11:$N$60,'_Engine'!$AO40,WEEKDAY(M$11,2))&lt;&gt;"Work","—",IF(COUNTIF(Settings!$F$18:$F$67,M$11)&gt;0,"BH",IF('_Engine'!BU40+'_Engine'!BV40=0,"·",IF('_Engine'!BU40='_Engine'!BV40,INDEX(Settings!$G$7:$G$11,MOD('_Engine'!BU40,10))&amp;IF('_Engine'!BU40&gt;10,"?",""),IF('_Engine'!BU40=0,INDEX(Settings!$G$7:$G$11,MOD('_Engine'!BV40,10))&amp;IF('_Engine'!BV40&gt;10,"?","")&amp;" PM",IF('_Engine'!BV40=0,INDEX(Settings!$G$7:$G$11,MOD('_Engine'!BU40,10))&amp;IF('_Engine'!BU40&gt;10,"?","")&amp;" AM",INDEX(Settings!$G$7:$G$11,MOD('_Engine'!BU40,10))&amp;IF('_Engine'!BU40&gt;10,"?","")&amp;" AM"&amp;CHAR(10)&amp;INDEX(Settings!$G$7:$G$11,MOD('_Engine'!BV40,10))&amp;IF('_Engine'!BV40&gt;10,"?","")&amp;" PM"))))))))</ns0:f>
        <ns0:v/>
      </ns0:c>
      <ns0:c r="N40" s="164" t="str">
        <ns0:f>IF(OR($A40="",N$11=""),"",IF(OR('_Engine'!$B$6&gt;0,INDEX('_Engine'!$AM$11:$AM$60,'_Engine'!$AO40)&lt;&gt;"OK"),"!",IF(INDEX(Team!$H$11:$N$60,'_Engine'!$AO40,WEEKDAY(N$11,2))&lt;&gt;"Work","—",IF(COUNTIF(Settings!$F$18:$F$67,N$11)&gt;0,"BH",IF('_Engine'!BW40+'_Engine'!BX40=0,"·",IF('_Engine'!BW40='_Engine'!BX40,INDEX(Settings!$G$7:$G$11,MOD('_Engine'!BW40,10))&amp;IF('_Engine'!BW40&gt;10,"?",""),IF('_Engine'!BW40=0,INDEX(Settings!$G$7:$G$11,MOD('_Engine'!BX40,10))&amp;IF('_Engine'!BX40&gt;10,"?","")&amp;" PM",IF('_Engine'!BX40=0,INDEX(Settings!$G$7:$G$11,MOD('_Engine'!BW40,10))&amp;IF('_Engine'!BW40&gt;10,"?","")&amp;" AM",INDEX(Settings!$G$7:$G$11,MOD('_Engine'!BW40,10))&amp;IF('_Engine'!BW40&gt;10,"?","")&amp;" AM"&amp;CHAR(10)&amp;INDEX(Settings!$G$7:$G$11,MOD('_Engine'!BX40,10))&amp;IF('_Engine'!BX40&gt;10,"?","")&amp;" PM"))))))))</ns0:f>
        <ns0:v/>
      </ns0:c>
      <ns0:c r="O40" s="164" t="str">
        <ns0:f>IF(OR($A40="",O$11=""),"",IF(OR('_Engine'!$B$6&gt;0,INDEX('_Engine'!$AM$11:$AM$60,'_Engine'!$AO40)&lt;&gt;"OK"),"!",IF(INDEX(Team!$H$11:$N$60,'_Engine'!$AO40,WEEKDAY(O$11,2))&lt;&gt;"Work","—",IF(COUNTIF(Settings!$F$18:$F$67,O$11)&gt;0,"BH",IF('_Engine'!BY40+'_Engine'!BZ40=0,"·",IF('_Engine'!BY40='_Engine'!BZ40,INDEX(Settings!$G$7:$G$11,MOD('_Engine'!BY40,10))&amp;IF('_Engine'!BY40&gt;10,"?",""),IF('_Engine'!BY40=0,INDEX(Settings!$G$7:$G$11,MOD('_Engine'!BZ40,10))&amp;IF('_Engine'!BZ40&gt;10,"?","")&amp;" PM",IF('_Engine'!BZ40=0,INDEX(Settings!$G$7:$G$11,MOD('_Engine'!BY40,10))&amp;IF('_Engine'!BY40&gt;10,"?","")&amp;" AM",INDEX(Settings!$G$7:$G$11,MOD('_Engine'!BY40,10))&amp;IF('_Engine'!BY40&gt;10,"?","")&amp;" AM"&amp;CHAR(10)&amp;INDEX(Settings!$G$7:$G$11,MOD('_Engine'!BZ40,10))&amp;IF('_Engine'!BZ40&gt;10,"?","")&amp;" PM"))))))))</ns0:f>
        <ns0:v/>
      </ns0:c>
      <ns0:c r="P40" s="164" t="str">
        <ns0:f>IF(OR($A40="",P$11=""),"",IF(OR('_Engine'!$B$6&gt;0,INDEX('_Engine'!$AM$11:$AM$60,'_Engine'!$AO40)&lt;&gt;"OK"),"!",IF(INDEX(Team!$H$11:$N$60,'_Engine'!$AO40,WEEKDAY(P$11,2))&lt;&gt;"Work","—",IF(COUNTIF(Settings!$F$18:$F$67,P$11)&gt;0,"BH",IF('_Engine'!CA40+'_Engine'!CB40=0,"·",IF('_Engine'!CA40='_Engine'!CB40,INDEX(Settings!$G$7:$G$11,MOD('_Engine'!CA40,10))&amp;IF('_Engine'!CA40&gt;10,"?",""),IF('_Engine'!CA40=0,INDEX(Settings!$G$7:$G$11,MOD('_Engine'!CB40,10))&amp;IF('_Engine'!CB40&gt;10,"?","")&amp;" PM",IF('_Engine'!CB40=0,INDEX(Settings!$G$7:$G$11,MOD('_Engine'!CA40,10))&amp;IF('_Engine'!CA40&gt;10,"?","")&amp;" AM",INDEX(Settings!$G$7:$G$11,MOD('_Engine'!CA40,10))&amp;IF('_Engine'!CA40&gt;10,"?","")&amp;" AM"&amp;CHAR(10)&amp;INDEX(Settings!$G$7:$G$11,MOD('_Engine'!CB40,10))&amp;IF('_Engine'!CB40&gt;10,"?","")&amp;" PM"))))))))</ns0:f>
        <ns0:v/>
      </ns0:c>
      <ns0:c r="Q40" s="164" t="str">
        <ns0:f>IF(OR($A40="",Q$11=""),"",IF(OR('_Engine'!$B$6&gt;0,INDEX('_Engine'!$AM$11:$AM$60,'_Engine'!$AO40)&lt;&gt;"OK"),"!",IF(INDEX(Team!$H$11:$N$60,'_Engine'!$AO40,WEEKDAY(Q$11,2))&lt;&gt;"Work","—",IF(COUNTIF(Settings!$F$18:$F$67,Q$11)&gt;0,"BH",IF('_Engine'!CC40+'_Engine'!CD40=0,"·",IF('_Engine'!CC40='_Engine'!CD40,INDEX(Settings!$G$7:$G$11,MOD('_Engine'!CC40,10))&amp;IF('_Engine'!CC40&gt;10,"?",""),IF('_Engine'!CC40=0,INDEX(Settings!$G$7:$G$11,MOD('_Engine'!CD40,10))&amp;IF('_Engine'!CD40&gt;10,"?","")&amp;" PM",IF('_Engine'!CD40=0,INDEX(Settings!$G$7:$G$11,MOD('_Engine'!CC40,10))&amp;IF('_Engine'!CC40&gt;10,"?","")&amp;" AM",INDEX(Settings!$G$7:$G$11,MOD('_Engine'!CC40,10))&amp;IF('_Engine'!CC40&gt;10,"?","")&amp;" AM"&amp;CHAR(10)&amp;INDEX(Settings!$G$7:$G$11,MOD('_Engine'!CD40,10))&amp;IF('_Engine'!CD40&gt;10,"?","")&amp;" PM"))))))))</ns0:f>
        <ns0:v/>
      </ns0:c>
      <ns0:c r="R40" s="164" t="str">
        <ns0:f>IF(OR($A40="",R$11=""),"",IF(OR('_Engine'!$B$6&gt;0,INDEX('_Engine'!$AM$11:$AM$60,'_Engine'!$AO40)&lt;&gt;"OK"),"!",IF(INDEX(Team!$H$11:$N$60,'_Engine'!$AO40,WEEKDAY(R$11,2))&lt;&gt;"Work","—",IF(COUNTIF(Settings!$F$18:$F$67,R$11)&gt;0,"BH",IF('_Engine'!CE40+'_Engine'!CF40=0,"·",IF('_Engine'!CE40='_Engine'!CF40,INDEX(Settings!$G$7:$G$11,MOD('_Engine'!CE40,10))&amp;IF('_Engine'!CE40&gt;10,"?",""),IF('_Engine'!CE40=0,INDEX(Settings!$G$7:$G$11,MOD('_Engine'!CF40,10))&amp;IF('_Engine'!CF40&gt;10,"?","")&amp;" PM",IF('_Engine'!CF40=0,INDEX(Settings!$G$7:$G$11,MOD('_Engine'!CE40,10))&amp;IF('_Engine'!CE40&gt;10,"?","")&amp;" AM",INDEX(Settings!$G$7:$G$11,MOD('_Engine'!CE40,10))&amp;IF('_Engine'!CE40&gt;10,"?","")&amp;" AM"&amp;CHAR(10)&amp;INDEX(Settings!$G$7:$G$11,MOD('_Engine'!CF40,10))&amp;IF('_Engine'!CF40&gt;10,"?","")&amp;" PM"))))))))</ns0:f>
        <ns0:v/>
      </ns0:c>
      <ns0:c r="S40" s="164" t="str">
        <ns0:f>IF(OR($A40="",S$11=""),"",IF(OR('_Engine'!$B$6&gt;0,INDEX('_Engine'!$AM$11:$AM$60,'_Engine'!$AO40)&lt;&gt;"OK"),"!",IF(INDEX(Team!$H$11:$N$60,'_Engine'!$AO40,WEEKDAY(S$11,2))&lt;&gt;"Work","—",IF(COUNTIF(Settings!$F$18:$F$67,S$11)&gt;0,"BH",IF('_Engine'!CG40+'_Engine'!CH40=0,"·",IF('_Engine'!CG40='_Engine'!CH40,INDEX(Settings!$G$7:$G$11,MOD('_Engine'!CG40,10))&amp;IF('_Engine'!CG40&gt;10,"?",""),IF('_Engine'!CG40=0,INDEX(Settings!$G$7:$G$11,MOD('_Engine'!CH40,10))&amp;IF('_Engine'!CH40&gt;10,"?","")&amp;" PM",IF('_Engine'!CH40=0,INDEX(Settings!$G$7:$G$11,MOD('_Engine'!CG40,10))&amp;IF('_Engine'!CG40&gt;10,"?","")&amp;" AM",INDEX(Settings!$G$7:$G$11,MOD('_Engine'!CG40,10))&amp;IF('_Engine'!CG40&gt;10,"?","")&amp;" AM"&amp;CHAR(10)&amp;INDEX(Settings!$G$7:$G$11,MOD('_Engine'!CH40,10))&amp;IF('_Engine'!CH40&gt;10,"?","")&amp;" PM"))))))))</ns0:f>
        <ns0:v/>
      </ns0:c>
      <ns0:c r="T40" s="164" t="str">
        <ns0:f>IF(OR($A40="",T$11=""),"",IF(OR('_Engine'!$B$6&gt;0,INDEX('_Engine'!$AM$11:$AM$60,'_Engine'!$AO40)&lt;&gt;"OK"),"!",IF(INDEX(Team!$H$11:$N$60,'_Engine'!$AO40,WEEKDAY(T$11,2))&lt;&gt;"Work","—",IF(COUNTIF(Settings!$F$18:$F$67,T$11)&gt;0,"BH",IF('_Engine'!CI40+'_Engine'!CJ40=0,"·",IF('_Engine'!CI40='_Engine'!CJ40,INDEX(Settings!$G$7:$G$11,MOD('_Engine'!CI40,10))&amp;IF('_Engine'!CI40&gt;10,"?",""),IF('_Engine'!CI40=0,INDEX(Settings!$G$7:$G$11,MOD('_Engine'!CJ40,10))&amp;IF('_Engine'!CJ40&gt;10,"?","")&amp;" PM",IF('_Engine'!CJ40=0,INDEX(Settings!$G$7:$G$11,MOD('_Engine'!CI40,10))&amp;IF('_Engine'!CI40&gt;10,"?","")&amp;" AM",INDEX(Settings!$G$7:$G$11,MOD('_Engine'!CI40,10))&amp;IF('_Engine'!CI40&gt;10,"?","")&amp;" AM"&amp;CHAR(10)&amp;INDEX(Settings!$G$7:$G$11,MOD('_Engine'!CJ40,10))&amp;IF('_Engine'!CJ40&gt;10,"?","")&amp;" PM"))))))))</ns0:f>
        <ns0:v/>
      </ns0:c>
      <ns0:c r="U40" s="164" t="str">
        <ns0:f>IF(OR($A40="",U$11=""),"",IF(OR('_Engine'!$B$6&gt;0,INDEX('_Engine'!$AM$11:$AM$60,'_Engine'!$AO40)&lt;&gt;"OK"),"!",IF(INDEX(Team!$H$11:$N$60,'_Engine'!$AO40,WEEKDAY(U$11,2))&lt;&gt;"Work","—",IF(COUNTIF(Settings!$F$18:$F$67,U$11)&gt;0,"BH",IF('_Engine'!CK40+'_Engine'!CL40=0,"·",IF('_Engine'!CK40='_Engine'!CL40,INDEX(Settings!$G$7:$G$11,MOD('_Engine'!CK40,10))&amp;IF('_Engine'!CK40&gt;10,"?",""),IF('_Engine'!CK40=0,INDEX(Settings!$G$7:$G$11,MOD('_Engine'!CL40,10))&amp;IF('_Engine'!CL40&gt;10,"?","")&amp;" PM",IF('_Engine'!CL40=0,INDEX(Settings!$G$7:$G$11,MOD('_Engine'!CK40,10))&amp;IF('_Engine'!CK40&gt;10,"?","")&amp;" AM",INDEX(Settings!$G$7:$G$11,MOD('_Engine'!CK40,10))&amp;IF('_Engine'!CK40&gt;10,"?","")&amp;" AM"&amp;CHAR(10)&amp;INDEX(Settings!$G$7:$G$11,MOD('_Engine'!CL40,10))&amp;IF('_Engine'!CL40&gt;10,"?","")&amp;" PM"))))))))</ns0:f>
        <ns0:v/>
      </ns0:c>
      <ns0:c r="V40" s="164" t="str">
        <ns0:f>IF(OR($A40="",V$11=""),"",IF(OR('_Engine'!$B$6&gt;0,INDEX('_Engine'!$AM$11:$AM$60,'_Engine'!$AO40)&lt;&gt;"OK"),"!",IF(INDEX(Team!$H$11:$N$60,'_Engine'!$AO40,WEEKDAY(V$11,2))&lt;&gt;"Work","—",IF(COUNTIF(Settings!$F$18:$F$67,V$11)&gt;0,"BH",IF('_Engine'!CM40+'_Engine'!CN40=0,"·",IF('_Engine'!CM40='_Engine'!CN40,INDEX(Settings!$G$7:$G$11,MOD('_Engine'!CM40,10))&amp;IF('_Engine'!CM40&gt;10,"?",""),IF('_Engine'!CM40=0,INDEX(Settings!$G$7:$G$11,MOD('_Engine'!CN40,10))&amp;IF('_Engine'!CN40&gt;10,"?","")&amp;" PM",IF('_Engine'!CN40=0,INDEX(Settings!$G$7:$G$11,MOD('_Engine'!CM40,10))&amp;IF('_Engine'!CM40&gt;10,"?","")&amp;" AM",INDEX(Settings!$G$7:$G$11,MOD('_Engine'!CM40,10))&amp;IF('_Engine'!CM40&gt;10,"?","")&amp;" AM"&amp;CHAR(10)&amp;INDEX(Settings!$G$7:$G$11,MOD('_Engine'!CN40,10))&amp;IF('_Engine'!CN40&gt;10,"?","")&amp;" PM"))))))))</ns0:f>
        <ns0:v/>
      </ns0:c>
      <ns0:c r="W40" s="164" t="str">
        <ns0:f>IF(OR($A40="",W$11=""),"",IF(OR('_Engine'!$B$6&gt;0,INDEX('_Engine'!$AM$11:$AM$60,'_Engine'!$AO40)&lt;&gt;"OK"),"!",IF(INDEX(Team!$H$11:$N$60,'_Engine'!$AO40,WEEKDAY(W$11,2))&lt;&gt;"Work","—",IF(COUNTIF(Settings!$F$18:$F$67,W$11)&gt;0,"BH",IF('_Engine'!CO40+'_Engine'!CP40=0,"·",IF('_Engine'!CO40='_Engine'!CP40,INDEX(Settings!$G$7:$G$11,MOD('_Engine'!CO40,10))&amp;IF('_Engine'!CO40&gt;10,"?",""),IF('_Engine'!CO40=0,INDEX(Settings!$G$7:$G$11,MOD('_Engine'!CP40,10))&amp;IF('_Engine'!CP40&gt;10,"?","")&amp;" PM",IF('_Engine'!CP40=0,INDEX(Settings!$G$7:$G$11,MOD('_Engine'!CO40,10))&amp;IF('_Engine'!CO40&gt;10,"?","")&amp;" AM",INDEX(Settings!$G$7:$G$11,MOD('_Engine'!CO40,10))&amp;IF('_Engine'!CO40&gt;10,"?","")&amp;" AM"&amp;CHAR(10)&amp;INDEX(Settings!$G$7:$G$11,MOD('_Engine'!CP40,10))&amp;IF('_Engine'!CP40&gt;10,"?","")&amp;" PM"))))))))</ns0:f>
        <ns0:v/>
      </ns0:c>
      <ns0:c r="X40" s="164" t="str">
        <ns0:f>IF(OR($A40="",X$11=""),"",IF(OR('_Engine'!$B$6&gt;0,INDEX('_Engine'!$AM$11:$AM$60,'_Engine'!$AO40)&lt;&gt;"OK"),"!",IF(INDEX(Team!$H$11:$N$60,'_Engine'!$AO40,WEEKDAY(X$11,2))&lt;&gt;"Work","—",IF(COUNTIF(Settings!$F$18:$F$67,X$11)&gt;0,"BH",IF('_Engine'!CQ40+'_Engine'!CR40=0,"·",IF('_Engine'!CQ40='_Engine'!CR40,INDEX(Settings!$G$7:$G$11,MOD('_Engine'!CQ40,10))&amp;IF('_Engine'!CQ40&gt;10,"?",""),IF('_Engine'!CQ40=0,INDEX(Settings!$G$7:$G$11,MOD('_Engine'!CR40,10))&amp;IF('_Engine'!CR40&gt;10,"?","")&amp;" PM",IF('_Engine'!CR40=0,INDEX(Settings!$G$7:$G$11,MOD('_Engine'!CQ40,10))&amp;IF('_Engine'!CQ40&gt;10,"?","")&amp;" AM",INDEX(Settings!$G$7:$G$11,MOD('_Engine'!CQ40,10))&amp;IF('_Engine'!CQ40&gt;10,"?","")&amp;" AM"&amp;CHAR(10)&amp;INDEX(Settings!$G$7:$G$11,MOD('_Engine'!CR40,10))&amp;IF('_Engine'!CR40&gt;10,"?","")&amp;" PM"))))))))</ns0:f>
        <ns0:v/>
      </ns0:c>
      <ns0:c r="Y40" s="164" t="str">
        <ns0:f>IF(OR($A40="",Y$11=""),"",IF(OR('_Engine'!$B$6&gt;0,INDEX('_Engine'!$AM$11:$AM$60,'_Engine'!$AO40)&lt;&gt;"OK"),"!",IF(INDEX(Team!$H$11:$N$60,'_Engine'!$AO40,WEEKDAY(Y$11,2))&lt;&gt;"Work","—",IF(COUNTIF(Settings!$F$18:$F$67,Y$11)&gt;0,"BH",IF('_Engine'!CS40+'_Engine'!CT40=0,"·",IF('_Engine'!CS40='_Engine'!CT40,INDEX(Settings!$G$7:$G$11,MOD('_Engine'!CS40,10))&amp;IF('_Engine'!CS40&gt;10,"?",""),IF('_Engine'!CS40=0,INDEX(Settings!$G$7:$G$11,MOD('_Engine'!CT40,10))&amp;IF('_Engine'!CT40&gt;10,"?","")&amp;" PM",IF('_Engine'!CT40=0,INDEX(Settings!$G$7:$G$11,MOD('_Engine'!CS40,10))&amp;IF('_Engine'!CS40&gt;10,"?","")&amp;" AM",INDEX(Settings!$G$7:$G$11,MOD('_Engine'!CS40,10))&amp;IF('_Engine'!CS40&gt;10,"?","")&amp;" AM"&amp;CHAR(10)&amp;INDEX(Settings!$G$7:$G$11,MOD('_Engine'!CT40,10))&amp;IF('_Engine'!CT40&gt;10,"?","")&amp;" PM"))))))))</ns0:f>
        <ns0:v/>
      </ns0:c>
      <ns0:c r="Z40" s="164" t="str">
        <ns0:f>IF(OR($A40="",Z$11=""),"",IF(OR('_Engine'!$B$6&gt;0,INDEX('_Engine'!$AM$11:$AM$60,'_Engine'!$AO40)&lt;&gt;"OK"),"!",IF(INDEX(Team!$H$11:$N$60,'_Engine'!$AO40,WEEKDAY(Z$11,2))&lt;&gt;"Work","—",IF(COUNTIF(Settings!$F$18:$F$67,Z$11)&gt;0,"BH",IF('_Engine'!CU40+'_Engine'!CV40=0,"·",IF('_Engine'!CU40='_Engine'!CV40,INDEX(Settings!$G$7:$G$11,MOD('_Engine'!CU40,10))&amp;IF('_Engine'!CU40&gt;10,"?",""),IF('_Engine'!CU40=0,INDEX(Settings!$G$7:$G$11,MOD('_Engine'!CV40,10))&amp;IF('_Engine'!CV40&gt;10,"?","")&amp;" PM",IF('_Engine'!CV40=0,INDEX(Settings!$G$7:$G$11,MOD('_Engine'!CU40,10))&amp;IF('_Engine'!CU40&gt;10,"?","")&amp;" AM",INDEX(Settings!$G$7:$G$11,MOD('_Engine'!CU40,10))&amp;IF('_Engine'!CU40&gt;10,"?","")&amp;" AM"&amp;CHAR(10)&amp;INDEX(Settings!$G$7:$G$11,MOD('_Engine'!CV40,10))&amp;IF('_Engine'!CV40&gt;10,"?","")&amp;" PM"))))))))</ns0:f>
        <ns0:v/>
      </ns0:c>
      <ns0:c r="AA40" s="164" t="str">
        <ns0:f>IF(OR($A40="",AA$11=""),"",IF(OR('_Engine'!$B$6&gt;0,INDEX('_Engine'!$AM$11:$AM$60,'_Engine'!$AO40)&lt;&gt;"OK"),"!",IF(INDEX(Team!$H$11:$N$60,'_Engine'!$AO40,WEEKDAY(AA$11,2))&lt;&gt;"Work","—",IF(COUNTIF(Settings!$F$18:$F$67,AA$11)&gt;0,"BH",IF('_Engine'!CW40+'_Engine'!CX40=0,"·",IF('_Engine'!CW40='_Engine'!CX40,INDEX(Settings!$G$7:$G$11,MOD('_Engine'!CW40,10))&amp;IF('_Engine'!CW40&gt;10,"?",""),IF('_Engine'!CW40=0,INDEX(Settings!$G$7:$G$11,MOD('_Engine'!CX40,10))&amp;IF('_Engine'!CX40&gt;10,"?","")&amp;" PM",IF('_Engine'!CX40=0,INDEX(Settings!$G$7:$G$11,MOD('_Engine'!CW40,10))&amp;IF('_Engine'!CW40&gt;10,"?","")&amp;" AM",INDEX(Settings!$G$7:$G$11,MOD('_Engine'!CW40,10))&amp;IF('_Engine'!CW40&gt;10,"?","")&amp;" AM"&amp;CHAR(10)&amp;INDEX(Settings!$G$7:$G$11,MOD('_Engine'!CX40,10))&amp;IF('_Engine'!CX40&gt;10,"?","")&amp;" PM"))))))))</ns0:f>
        <ns0:v/>
      </ns0:c>
      <ns0:c r="AB40" s="164" t="str">
        <ns0:f>IF(OR($A40="",AB$11=""),"",IF(OR('_Engine'!$B$6&gt;0,INDEX('_Engine'!$AM$11:$AM$60,'_Engine'!$AO40)&lt;&gt;"OK"),"!",IF(INDEX(Team!$H$11:$N$60,'_Engine'!$AO40,WEEKDAY(AB$11,2))&lt;&gt;"Work","—",IF(COUNTIF(Settings!$F$18:$F$67,AB$11)&gt;0,"BH",IF('_Engine'!CY40+'_Engine'!CZ40=0,"·",IF('_Engine'!CY40='_Engine'!CZ40,INDEX(Settings!$G$7:$G$11,MOD('_Engine'!CY40,10))&amp;IF('_Engine'!CY40&gt;10,"?",""),IF('_Engine'!CY40=0,INDEX(Settings!$G$7:$G$11,MOD('_Engine'!CZ40,10))&amp;IF('_Engine'!CZ40&gt;10,"?","")&amp;" PM",IF('_Engine'!CZ40=0,INDEX(Settings!$G$7:$G$11,MOD('_Engine'!CY40,10))&amp;IF('_Engine'!CY40&gt;10,"?","")&amp;" AM",INDEX(Settings!$G$7:$G$11,MOD('_Engine'!CY40,10))&amp;IF('_Engine'!CY40&gt;10,"?","")&amp;" AM"&amp;CHAR(10)&amp;INDEX(Settings!$G$7:$G$11,MOD('_Engine'!CZ40,10))&amp;IF('_Engine'!CZ40&gt;10,"?","")&amp;" PM"))))))))</ns0:f>
        <ns0:v/>
      </ns0:c>
      <ns0:c r="AC40" s="164" t="str">
        <ns0:f>IF(OR($A40="",AC$11=""),"",IF(OR('_Engine'!$B$6&gt;0,INDEX('_Engine'!$AM$11:$AM$60,'_Engine'!$AO40)&lt;&gt;"OK"),"!",IF(INDEX(Team!$H$11:$N$60,'_Engine'!$AO40,WEEKDAY(AC$11,2))&lt;&gt;"Work","—",IF(COUNTIF(Settings!$F$18:$F$67,AC$11)&gt;0,"BH",IF('_Engine'!DA40+'_Engine'!DB40=0,"·",IF('_Engine'!DA40='_Engine'!DB40,INDEX(Settings!$G$7:$G$11,MOD('_Engine'!DA40,10))&amp;IF('_Engine'!DA40&gt;10,"?",""),IF('_Engine'!DA40=0,INDEX(Settings!$G$7:$G$11,MOD('_Engine'!DB40,10))&amp;IF('_Engine'!DB40&gt;10,"?","")&amp;" PM",IF('_Engine'!DB40=0,INDEX(Settings!$G$7:$G$11,MOD('_Engine'!DA40,10))&amp;IF('_Engine'!DA40&gt;10,"?","")&amp;" AM",INDEX(Settings!$G$7:$G$11,MOD('_Engine'!DA40,10))&amp;IF('_Engine'!DA40&gt;10,"?","")&amp;" AM"&amp;CHAR(10)&amp;INDEX(Settings!$G$7:$G$11,MOD('_Engine'!DB40,10))&amp;IF('_Engine'!DB40&gt;10,"?","")&amp;" PM"))))))))</ns0:f>
        <ns0:v/>
      </ns0:c>
      <ns0:c r="AD40" s="164" t="str">
        <ns0:f>IF(OR($A40="",AD$11=""),"",IF(OR('_Engine'!$B$6&gt;0,INDEX('_Engine'!$AM$11:$AM$60,'_Engine'!$AO40)&lt;&gt;"OK"),"!",IF(INDEX(Team!$H$11:$N$60,'_Engine'!$AO40,WEEKDAY(AD$11,2))&lt;&gt;"Work","—",IF(COUNTIF(Settings!$F$18:$F$67,AD$11)&gt;0,"BH",IF('_Engine'!DC40+'_Engine'!DD40=0,"·",IF('_Engine'!DC40='_Engine'!DD40,INDEX(Settings!$G$7:$G$11,MOD('_Engine'!DC40,10))&amp;IF('_Engine'!DC40&gt;10,"?",""),IF('_Engine'!DC40=0,INDEX(Settings!$G$7:$G$11,MOD('_Engine'!DD40,10))&amp;IF('_Engine'!DD40&gt;10,"?","")&amp;" PM",IF('_Engine'!DD40=0,INDEX(Settings!$G$7:$G$11,MOD('_Engine'!DC40,10))&amp;IF('_Engine'!DC40&gt;10,"?","")&amp;" AM",INDEX(Settings!$G$7:$G$11,MOD('_Engine'!DC40,10))&amp;IF('_Engine'!DC40&gt;10,"?","")&amp;" AM"&amp;CHAR(10)&amp;INDEX(Settings!$G$7:$G$11,MOD('_Engine'!DD40,10))&amp;IF('_Engine'!DD40&gt;10,"?","")&amp;" PM"))))))))</ns0:f>
        <ns0:v/>
      </ns0:c>
      <ns0:c r="AE40" s="164" t="str">
        <ns0:f>IF(OR($A40="",AE$11=""),"",IF(OR('_Engine'!$B$6&gt;0,INDEX('_Engine'!$AM$11:$AM$60,'_Engine'!$AO40)&lt;&gt;"OK"),"!",IF(INDEX(Team!$H$11:$N$60,'_Engine'!$AO40,WEEKDAY(AE$11,2))&lt;&gt;"Work","—",IF(COUNTIF(Settings!$F$18:$F$67,AE$11)&gt;0,"BH",IF('_Engine'!DE40+'_Engine'!DF40=0,"·",IF('_Engine'!DE40='_Engine'!DF40,INDEX(Settings!$G$7:$G$11,MOD('_Engine'!DE40,10))&amp;IF('_Engine'!DE40&gt;10,"?",""),IF('_Engine'!DE40=0,INDEX(Settings!$G$7:$G$11,MOD('_Engine'!DF40,10))&amp;IF('_Engine'!DF40&gt;10,"?","")&amp;" PM",IF('_Engine'!DF40=0,INDEX(Settings!$G$7:$G$11,MOD('_Engine'!DE40,10))&amp;IF('_Engine'!DE40&gt;10,"?","")&amp;" AM",INDEX(Settings!$G$7:$G$11,MOD('_Engine'!DE40,10))&amp;IF('_Engine'!DE40&gt;10,"?","")&amp;" AM"&amp;CHAR(10)&amp;INDEX(Settings!$G$7:$G$11,MOD('_Engine'!DF40,10))&amp;IF('_Engine'!DF40&gt;10,"?","")&amp;" PM"))))))))</ns0:f>
        <ns0:v/>
      </ns0:c>
      <ns0:c r="AF40" s="164" t="str">
        <ns0:f>IF(OR($A40="",AF$11=""),"",IF(OR('_Engine'!$B$6&gt;0,INDEX('_Engine'!$AM$11:$AM$60,'_Engine'!$AO40)&lt;&gt;"OK"),"!",IF(INDEX(Team!$H$11:$N$60,'_Engine'!$AO40,WEEKDAY(AF$11,2))&lt;&gt;"Work","—",IF(COUNTIF(Settings!$F$18:$F$67,AF$11)&gt;0,"BH",IF('_Engine'!DG40+'_Engine'!DH40=0,"·",IF('_Engine'!DG40='_Engine'!DH40,INDEX(Settings!$G$7:$G$11,MOD('_Engine'!DG40,10))&amp;IF('_Engine'!DG40&gt;10,"?",""),IF('_Engine'!DG40=0,INDEX(Settings!$G$7:$G$11,MOD('_Engine'!DH40,10))&amp;IF('_Engine'!DH40&gt;10,"?","")&amp;" PM",IF('_Engine'!DH40=0,INDEX(Settings!$G$7:$G$11,MOD('_Engine'!DG40,10))&amp;IF('_Engine'!DG40&gt;10,"?","")&amp;" AM",INDEX(Settings!$G$7:$G$11,MOD('_Engine'!DG40,10))&amp;IF('_Engine'!DG40&gt;10,"?","")&amp;" AM"&amp;CHAR(10)&amp;INDEX(Settings!$G$7:$G$11,MOD('_Engine'!DH40,10))&amp;IF('_Engine'!DH40&gt;10,"?","")&amp;" PM"))))))))</ns0:f>
        <ns0:v/>
      </ns0:c>
      <ns0:c r="AG40" s="164" t="str">
        <ns0:f>IF(OR($A40="",AG$11=""),"",IF(OR('_Engine'!$B$6&gt;0,INDEX('_Engine'!$AM$11:$AM$60,'_Engine'!$AO40)&lt;&gt;"OK"),"!",IF(INDEX(Team!$H$11:$N$60,'_Engine'!$AO40,WEEKDAY(AG$11,2))&lt;&gt;"Work","—",IF(COUNTIF(Settings!$F$18:$F$67,AG$11)&gt;0,"BH",IF('_Engine'!DI40+'_Engine'!DJ40=0,"·",IF('_Engine'!DI40='_Engine'!DJ40,INDEX(Settings!$G$7:$G$11,MOD('_Engine'!DI40,10))&amp;IF('_Engine'!DI40&gt;10,"?",""),IF('_Engine'!DI40=0,INDEX(Settings!$G$7:$G$11,MOD('_Engine'!DJ40,10))&amp;IF('_Engine'!DJ40&gt;10,"?","")&amp;" PM",IF('_Engine'!DJ40=0,INDEX(Settings!$G$7:$G$11,MOD('_Engine'!DI40,10))&amp;IF('_Engine'!DI40&gt;10,"?","")&amp;" AM",INDEX(Settings!$G$7:$G$11,MOD('_Engine'!DI40,10))&amp;IF('_Engine'!DI40&gt;10,"?","")&amp;" AM"&amp;CHAR(10)&amp;INDEX(Settings!$G$7:$G$11,MOD('_Engine'!DJ40,10))&amp;IF('_Engine'!DJ40&gt;10,"?","")&amp;" PM"))))))))</ns0:f>
        <ns0:v/>
      </ns0:c>
      <ns0:c r="AH40" s="164" t="str">
        <ns0:f>IF(OR($A40="",AH$11=""),"",IF(OR('_Engine'!$B$6&gt;0,INDEX('_Engine'!$AM$11:$AM$60,'_Engine'!$AO40)&lt;&gt;"OK"),"!",IF(INDEX(Team!$H$11:$N$60,'_Engine'!$AO40,WEEKDAY(AH$11,2))&lt;&gt;"Work","—",IF(COUNTIF(Settings!$F$18:$F$67,AH$11)&gt;0,"BH",IF('_Engine'!DK40+'_Engine'!DL40=0,"·",IF('_Engine'!DK40='_Engine'!DL40,INDEX(Settings!$G$7:$G$11,MOD('_Engine'!DK40,10))&amp;IF('_Engine'!DK40&gt;10,"?",""),IF('_Engine'!DK40=0,INDEX(Settings!$G$7:$G$11,MOD('_Engine'!DL40,10))&amp;IF('_Engine'!DL40&gt;10,"?","")&amp;" PM",IF('_Engine'!DL40=0,INDEX(Settings!$G$7:$G$11,MOD('_Engine'!DK40,10))&amp;IF('_Engine'!DK40&gt;10,"?","")&amp;" AM",INDEX(Settings!$G$7:$G$11,MOD('_Engine'!DK40,10))&amp;IF('_Engine'!DK40&gt;10,"?","")&amp;" AM"&amp;CHAR(10)&amp;INDEX(Settings!$G$7:$G$11,MOD('_Engine'!DL40,10))&amp;IF('_Engine'!DL40&gt;10,"?","")&amp;" PM"))))))))</ns0:f>
        <ns0:v/>
      </ns0:c>
    </ns0:row>
    <ns0:row r="41" ht="38" customHeight="1">
      <ns0:c r="A41" s="4" t="str">
        <ns0:f>IF('_Engine'!AO41=0,"",IF(INDEX(Team!$B$11:$B$60,'_Engine'!AO41)="","[Unnamed]",INDEX(Team!$B$11:$B$60,'_Engine'!AO41)))</ns0:f>
        <ns0:v/>
      </ns0:c>
      <ns0:c r="B41" s="156" t="str">
        <ns0:f>IF('_Engine'!AO41=0,"",INDEX('_Engine'!$AN$11:$AN$60,'_Engine'!AO41))</ns0:f>
        <ns0:v/>
      </ns0:c>
      <ns0:c r="C41" s="4" t="str">
        <ns0:f>IF('_Engine'!AO41=0,"",INDEX(Team!$C$11:$C$60,'_Engine'!AO41))</ns0:f>
        <ns0:v/>
      </ns0:c>
      <ns0:c r="D41" s="162" t="str">
        <ns0:f>IF(OR($A41="",D$11=""),"",IF(OR('_Engine'!$B$6&gt;0,INDEX('_Engine'!$AM$11:$AM$60,'_Engine'!$AO41)&lt;&gt;"OK"),"!",IF(INDEX(Team!$H$11:$N$60,'_Engine'!$AO41,WEEKDAY(D$11,2))&lt;&gt;"Work","—",IF(COUNTIF(Settings!$F$18:$F$67,D$11)&gt;0,"BH",IF('_Engine'!BC41+'_Engine'!BD41=0,"·",IF('_Engine'!BC41='_Engine'!BD41,INDEX(Settings!$G$7:$G$11,MOD('_Engine'!BC41,10))&amp;IF('_Engine'!BC41&gt;10,"?",""),IF('_Engine'!BC41=0,INDEX(Settings!$G$7:$G$11,MOD('_Engine'!BD41,10))&amp;IF('_Engine'!BD41&gt;10,"?","")&amp;" PM",IF('_Engine'!BD41=0,INDEX(Settings!$G$7:$G$11,MOD('_Engine'!BC41,10))&amp;IF('_Engine'!BC41&gt;10,"?","")&amp;" AM",INDEX(Settings!$G$7:$G$11,MOD('_Engine'!BC41,10))&amp;IF('_Engine'!BC41&gt;10,"?","")&amp;" AM"&amp;CHAR(10)&amp;INDEX(Settings!$G$7:$G$11,MOD('_Engine'!BD41,10))&amp;IF('_Engine'!BD41&gt;10,"?","")&amp;" PM"))))))))</ns0:f>
        <ns0:v/>
      </ns0:c>
      <ns0:c r="E41" s="162" t="str">
        <ns0:f>IF(OR($A41="",E$11=""),"",IF(OR('_Engine'!$B$6&gt;0,INDEX('_Engine'!$AM$11:$AM$60,'_Engine'!$AO41)&lt;&gt;"OK"),"!",IF(INDEX(Team!$H$11:$N$60,'_Engine'!$AO41,WEEKDAY(E$11,2))&lt;&gt;"Work","—",IF(COUNTIF(Settings!$F$18:$F$67,E$11)&gt;0,"BH",IF('_Engine'!BE41+'_Engine'!BF41=0,"·",IF('_Engine'!BE41='_Engine'!BF41,INDEX(Settings!$G$7:$G$11,MOD('_Engine'!BE41,10))&amp;IF('_Engine'!BE41&gt;10,"?",""),IF('_Engine'!BE41=0,INDEX(Settings!$G$7:$G$11,MOD('_Engine'!BF41,10))&amp;IF('_Engine'!BF41&gt;10,"?","")&amp;" PM",IF('_Engine'!BF41=0,INDEX(Settings!$G$7:$G$11,MOD('_Engine'!BE41,10))&amp;IF('_Engine'!BE41&gt;10,"?","")&amp;" AM",INDEX(Settings!$G$7:$G$11,MOD('_Engine'!BE41,10))&amp;IF('_Engine'!BE41&gt;10,"?","")&amp;" AM"&amp;CHAR(10)&amp;INDEX(Settings!$G$7:$G$11,MOD('_Engine'!BF41,10))&amp;IF('_Engine'!BF41&gt;10,"?","")&amp;" PM"))))))))</ns0:f>
        <ns0:v/>
      </ns0:c>
      <ns0:c r="F41" s="162" t="str">
        <ns0:f>IF(OR($A41="",F$11=""),"",IF(OR('_Engine'!$B$6&gt;0,INDEX('_Engine'!$AM$11:$AM$60,'_Engine'!$AO41)&lt;&gt;"OK"),"!",IF(INDEX(Team!$H$11:$N$60,'_Engine'!$AO41,WEEKDAY(F$11,2))&lt;&gt;"Work","—",IF(COUNTIF(Settings!$F$18:$F$67,F$11)&gt;0,"BH",IF('_Engine'!BG41+'_Engine'!BH41=0,"·",IF('_Engine'!BG41='_Engine'!BH41,INDEX(Settings!$G$7:$G$11,MOD('_Engine'!BG41,10))&amp;IF('_Engine'!BG41&gt;10,"?",""),IF('_Engine'!BG41=0,INDEX(Settings!$G$7:$G$11,MOD('_Engine'!BH41,10))&amp;IF('_Engine'!BH41&gt;10,"?","")&amp;" PM",IF('_Engine'!BH41=0,INDEX(Settings!$G$7:$G$11,MOD('_Engine'!BG41,10))&amp;IF('_Engine'!BG41&gt;10,"?","")&amp;" AM",INDEX(Settings!$G$7:$G$11,MOD('_Engine'!BG41,10))&amp;IF('_Engine'!BG41&gt;10,"?","")&amp;" AM"&amp;CHAR(10)&amp;INDEX(Settings!$G$7:$G$11,MOD('_Engine'!BH41,10))&amp;IF('_Engine'!BH41&gt;10,"?","")&amp;" PM"))))))))</ns0:f>
        <ns0:v/>
      </ns0:c>
      <ns0:c r="G41" s="162" t="str">
        <ns0:f>IF(OR($A41="",G$11=""),"",IF(OR('_Engine'!$B$6&gt;0,INDEX('_Engine'!$AM$11:$AM$60,'_Engine'!$AO41)&lt;&gt;"OK"),"!",IF(INDEX(Team!$H$11:$N$60,'_Engine'!$AO41,WEEKDAY(G$11,2))&lt;&gt;"Work","—",IF(COUNTIF(Settings!$F$18:$F$67,G$11)&gt;0,"BH",IF('_Engine'!BI41+'_Engine'!BJ41=0,"·",IF('_Engine'!BI41='_Engine'!BJ41,INDEX(Settings!$G$7:$G$11,MOD('_Engine'!BI41,10))&amp;IF('_Engine'!BI41&gt;10,"?",""),IF('_Engine'!BI41=0,INDEX(Settings!$G$7:$G$11,MOD('_Engine'!BJ41,10))&amp;IF('_Engine'!BJ41&gt;10,"?","")&amp;" PM",IF('_Engine'!BJ41=0,INDEX(Settings!$G$7:$G$11,MOD('_Engine'!BI41,10))&amp;IF('_Engine'!BI41&gt;10,"?","")&amp;" AM",INDEX(Settings!$G$7:$G$11,MOD('_Engine'!BI41,10))&amp;IF('_Engine'!BI41&gt;10,"?","")&amp;" AM"&amp;CHAR(10)&amp;INDEX(Settings!$G$7:$G$11,MOD('_Engine'!BJ41,10))&amp;IF('_Engine'!BJ41&gt;10,"?","")&amp;" PM"))))))))</ns0:f>
        <ns0:v/>
      </ns0:c>
      <ns0:c r="H41" s="162" t="str">
        <ns0:f>IF(OR($A41="",H$11=""),"",IF(OR('_Engine'!$B$6&gt;0,INDEX('_Engine'!$AM$11:$AM$60,'_Engine'!$AO41)&lt;&gt;"OK"),"!",IF(INDEX(Team!$H$11:$N$60,'_Engine'!$AO41,WEEKDAY(H$11,2))&lt;&gt;"Work","—",IF(COUNTIF(Settings!$F$18:$F$67,H$11)&gt;0,"BH",IF('_Engine'!BK41+'_Engine'!BL41=0,"·",IF('_Engine'!BK41='_Engine'!BL41,INDEX(Settings!$G$7:$G$11,MOD('_Engine'!BK41,10))&amp;IF('_Engine'!BK41&gt;10,"?",""),IF('_Engine'!BK41=0,INDEX(Settings!$G$7:$G$11,MOD('_Engine'!BL41,10))&amp;IF('_Engine'!BL41&gt;10,"?","")&amp;" PM",IF('_Engine'!BL41=0,INDEX(Settings!$G$7:$G$11,MOD('_Engine'!BK41,10))&amp;IF('_Engine'!BK41&gt;10,"?","")&amp;" AM",INDEX(Settings!$G$7:$G$11,MOD('_Engine'!BK41,10))&amp;IF('_Engine'!BK41&gt;10,"?","")&amp;" AM"&amp;CHAR(10)&amp;INDEX(Settings!$G$7:$G$11,MOD('_Engine'!BL41,10))&amp;IF('_Engine'!BL41&gt;10,"?","")&amp;" PM"))))))))</ns0:f>
        <ns0:v/>
      </ns0:c>
      <ns0:c r="I41" s="162" t="str">
        <ns0:f>IF(OR($A41="",I$11=""),"",IF(OR('_Engine'!$B$6&gt;0,INDEX('_Engine'!$AM$11:$AM$60,'_Engine'!$AO41)&lt;&gt;"OK"),"!",IF(INDEX(Team!$H$11:$N$60,'_Engine'!$AO41,WEEKDAY(I$11,2))&lt;&gt;"Work","—",IF(COUNTIF(Settings!$F$18:$F$67,I$11)&gt;0,"BH",IF('_Engine'!BM41+'_Engine'!BN41=0,"·",IF('_Engine'!BM41='_Engine'!BN41,INDEX(Settings!$G$7:$G$11,MOD('_Engine'!BM41,10))&amp;IF('_Engine'!BM41&gt;10,"?",""),IF('_Engine'!BM41=0,INDEX(Settings!$G$7:$G$11,MOD('_Engine'!BN41,10))&amp;IF('_Engine'!BN41&gt;10,"?","")&amp;" PM",IF('_Engine'!BN41=0,INDEX(Settings!$G$7:$G$11,MOD('_Engine'!BM41,10))&amp;IF('_Engine'!BM41&gt;10,"?","")&amp;" AM",INDEX(Settings!$G$7:$G$11,MOD('_Engine'!BM41,10))&amp;IF('_Engine'!BM41&gt;10,"?","")&amp;" AM"&amp;CHAR(10)&amp;INDEX(Settings!$G$7:$G$11,MOD('_Engine'!BN41,10))&amp;IF('_Engine'!BN41&gt;10,"?","")&amp;" PM"))))))))</ns0:f>
        <ns0:v/>
      </ns0:c>
      <ns0:c r="J41" s="162" t="str">
        <ns0:f>IF(OR($A41="",J$11=""),"",IF(OR('_Engine'!$B$6&gt;0,INDEX('_Engine'!$AM$11:$AM$60,'_Engine'!$AO41)&lt;&gt;"OK"),"!",IF(INDEX(Team!$H$11:$N$60,'_Engine'!$AO41,WEEKDAY(J$11,2))&lt;&gt;"Work","—",IF(COUNTIF(Settings!$F$18:$F$67,J$11)&gt;0,"BH",IF('_Engine'!BO41+'_Engine'!BP41=0,"·",IF('_Engine'!BO41='_Engine'!BP41,INDEX(Settings!$G$7:$G$11,MOD('_Engine'!BO41,10))&amp;IF('_Engine'!BO41&gt;10,"?",""),IF('_Engine'!BO41=0,INDEX(Settings!$G$7:$G$11,MOD('_Engine'!BP41,10))&amp;IF('_Engine'!BP41&gt;10,"?","")&amp;" PM",IF('_Engine'!BP41=0,INDEX(Settings!$G$7:$G$11,MOD('_Engine'!BO41,10))&amp;IF('_Engine'!BO41&gt;10,"?","")&amp;" AM",INDEX(Settings!$G$7:$G$11,MOD('_Engine'!BO41,10))&amp;IF('_Engine'!BO41&gt;10,"?","")&amp;" AM"&amp;CHAR(10)&amp;INDEX(Settings!$G$7:$G$11,MOD('_Engine'!BP41,10))&amp;IF('_Engine'!BP41&gt;10,"?","")&amp;" PM"))))))))</ns0:f>
        <ns0:v/>
      </ns0:c>
      <ns0:c r="K41" s="164" t="str">
        <ns0:f>IF(OR($A41="",K$11=""),"",IF(OR('_Engine'!$B$6&gt;0,INDEX('_Engine'!$AM$11:$AM$60,'_Engine'!$AO41)&lt;&gt;"OK"),"!",IF(INDEX(Team!$H$11:$N$60,'_Engine'!$AO41,WEEKDAY(K$11,2))&lt;&gt;"Work","—",IF(COUNTIF(Settings!$F$18:$F$67,K$11)&gt;0,"BH",IF('_Engine'!BQ41+'_Engine'!BR41=0,"·",IF('_Engine'!BQ41='_Engine'!BR41,INDEX(Settings!$G$7:$G$11,MOD('_Engine'!BQ41,10))&amp;IF('_Engine'!BQ41&gt;10,"?",""),IF('_Engine'!BQ41=0,INDEX(Settings!$G$7:$G$11,MOD('_Engine'!BR41,10))&amp;IF('_Engine'!BR41&gt;10,"?","")&amp;" PM",IF('_Engine'!BR41=0,INDEX(Settings!$G$7:$G$11,MOD('_Engine'!BQ41,10))&amp;IF('_Engine'!BQ41&gt;10,"?","")&amp;" AM",INDEX(Settings!$G$7:$G$11,MOD('_Engine'!BQ41,10))&amp;IF('_Engine'!BQ41&gt;10,"?","")&amp;" AM"&amp;CHAR(10)&amp;INDEX(Settings!$G$7:$G$11,MOD('_Engine'!BR41,10))&amp;IF('_Engine'!BR41&gt;10,"?","")&amp;" PM"))))))))</ns0:f>
        <ns0:v/>
      </ns0:c>
      <ns0:c r="L41" s="164" t="str">
        <ns0:f>IF(OR($A41="",L$11=""),"",IF(OR('_Engine'!$B$6&gt;0,INDEX('_Engine'!$AM$11:$AM$60,'_Engine'!$AO41)&lt;&gt;"OK"),"!",IF(INDEX(Team!$H$11:$N$60,'_Engine'!$AO41,WEEKDAY(L$11,2))&lt;&gt;"Work","—",IF(COUNTIF(Settings!$F$18:$F$67,L$11)&gt;0,"BH",IF('_Engine'!BS41+'_Engine'!BT41=0,"·",IF('_Engine'!BS41='_Engine'!BT41,INDEX(Settings!$G$7:$G$11,MOD('_Engine'!BS41,10))&amp;IF('_Engine'!BS41&gt;10,"?",""),IF('_Engine'!BS41=0,INDEX(Settings!$G$7:$G$11,MOD('_Engine'!BT41,10))&amp;IF('_Engine'!BT41&gt;10,"?","")&amp;" PM",IF('_Engine'!BT41=0,INDEX(Settings!$G$7:$G$11,MOD('_Engine'!BS41,10))&amp;IF('_Engine'!BS41&gt;10,"?","")&amp;" AM",INDEX(Settings!$G$7:$G$11,MOD('_Engine'!BS41,10))&amp;IF('_Engine'!BS41&gt;10,"?","")&amp;" AM"&amp;CHAR(10)&amp;INDEX(Settings!$G$7:$G$11,MOD('_Engine'!BT41,10))&amp;IF('_Engine'!BT41&gt;10,"?","")&amp;" PM"))))))))</ns0:f>
        <ns0:v/>
      </ns0:c>
      <ns0:c r="M41" s="164" t="str">
        <ns0:f>IF(OR($A41="",M$11=""),"",IF(OR('_Engine'!$B$6&gt;0,INDEX('_Engine'!$AM$11:$AM$60,'_Engine'!$AO41)&lt;&gt;"OK"),"!",IF(INDEX(Team!$H$11:$N$60,'_Engine'!$AO41,WEEKDAY(M$11,2))&lt;&gt;"Work","—",IF(COUNTIF(Settings!$F$18:$F$67,M$11)&gt;0,"BH",IF('_Engine'!BU41+'_Engine'!BV41=0,"·",IF('_Engine'!BU41='_Engine'!BV41,INDEX(Settings!$G$7:$G$11,MOD('_Engine'!BU41,10))&amp;IF('_Engine'!BU41&gt;10,"?",""),IF('_Engine'!BU41=0,INDEX(Settings!$G$7:$G$11,MOD('_Engine'!BV41,10))&amp;IF('_Engine'!BV41&gt;10,"?","")&amp;" PM",IF('_Engine'!BV41=0,INDEX(Settings!$G$7:$G$11,MOD('_Engine'!BU41,10))&amp;IF('_Engine'!BU41&gt;10,"?","")&amp;" AM",INDEX(Settings!$G$7:$G$11,MOD('_Engine'!BU41,10))&amp;IF('_Engine'!BU41&gt;10,"?","")&amp;" AM"&amp;CHAR(10)&amp;INDEX(Settings!$G$7:$G$11,MOD('_Engine'!BV41,10))&amp;IF('_Engine'!BV41&gt;10,"?","")&amp;" PM"))))))))</ns0:f>
        <ns0:v/>
      </ns0:c>
      <ns0:c r="N41" s="164" t="str">
        <ns0:f>IF(OR($A41="",N$11=""),"",IF(OR('_Engine'!$B$6&gt;0,INDEX('_Engine'!$AM$11:$AM$60,'_Engine'!$AO41)&lt;&gt;"OK"),"!",IF(INDEX(Team!$H$11:$N$60,'_Engine'!$AO41,WEEKDAY(N$11,2))&lt;&gt;"Work","—",IF(COUNTIF(Settings!$F$18:$F$67,N$11)&gt;0,"BH",IF('_Engine'!BW41+'_Engine'!BX41=0,"·",IF('_Engine'!BW41='_Engine'!BX41,INDEX(Settings!$G$7:$G$11,MOD('_Engine'!BW41,10))&amp;IF('_Engine'!BW41&gt;10,"?",""),IF('_Engine'!BW41=0,INDEX(Settings!$G$7:$G$11,MOD('_Engine'!BX41,10))&amp;IF('_Engine'!BX41&gt;10,"?","")&amp;" PM",IF('_Engine'!BX41=0,INDEX(Settings!$G$7:$G$11,MOD('_Engine'!BW41,10))&amp;IF('_Engine'!BW41&gt;10,"?","")&amp;" AM",INDEX(Settings!$G$7:$G$11,MOD('_Engine'!BW41,10))&amp;IF('_Engine'!BW41&gt;10,"?","")&amp;" AM"&amp;CHAR(10)&amp;INDEX(Settings!$G$7:$G$11,MOD('_Engine'!BX41,10))&amp;IF('_Engine'!BX41&gt;10,"?","")&amp;" PM"))))))))</ns0:f>
        <ns0:v/>
      </ns0:c>
      <ns0:c r="O41" s="164" t="str">
        <ns0:f>IF(OR($A41="",O$11=""),"",IF(OR('_Engine'!$B$6&gt;0,INDEX('_Engine'!$AM$11:$AM$60,'_Engine'!$AO41)&lt;&gt;"OK"),"!",IF(INDEX(Team!$H$11:$N$60,'_Engine'!$AO41,WEEKDAY(O$11,2))&lt;&gt;"Work","—",IF(COUNTIF(Settings!$F$18:$F$67,O$11)&gt;0,"BH",IF('_Engine'!BY41+'_Engine'!BZ41=0,"·",IF('_Engine'!BY41='_Engine'!BZ41,INDEX(Settings!$G$7:$G$11,MOD('_Engine'!BY41,10))&amp;IF('_Engine'!BY41&gt;10,"?",""),IF('_Engine'!BY41=0,INDEX(Settings!$G$7:$G$11,MOD('_Engine'!BZ41,10))&amp;IF('_Engine'!BZ41&gt;10,"?","")&amp;" PM",IF('_Engine'!BZ41=0,INDEX(Settings!$G$7:$G$11,MOD('_Engine'!BY41,10))&amp;IF('_Engine'!BY41&gt;10,"?","")&amp;" AM",INDEX(Settings!$G$7:$G$11,MOD('_Engine'!BY41,10))&amp;IF('_Engine'!BY41&gt;10,"?","")&amp;" AM"&amp;CHAR(10)&amp;INDEX(Settings!$G$7:$G$11,MOD('_Engine'!BZ41,10))&amp;IF('_Engine'!BZ41&gt;10,"?","")&amp;" PM"))))))))</ns0:f>
        <ns0:v/>
      </ns0:c>
      <ns0:c r="P41" s="164" t="str">
        <ns0:f>IF(OR($A41="",P$11=""),"",IF(OR('_Engine'!$B$6&gt;0,INDEX('_Engine'!$AM$11:$AM$60,'_Engine'!$AO41)&lt;&gt;"OK"),"!",IF(INDEX(Team!$H$11:$N$60,'_Engine'!$AO41,WEEKDAY(P$11,2))&lt;&gt;"Work","—",IF(COUNTIF(Settings!$F$18:$F$67,P$11)&gt;0,"BH",IF('_Engine'!CA41+'_Engine'!CB41=0,"·",IF('_Engine'!CA41='_Engine'!CB41,INDEX(Settings!$G$7:$G$11,MOD('_Engine'!CA41,10))&amp;IF('_Engine'!CA41&gt;10,"?",""),IF('_Engine'!CA41=0,INDEX(Settings!$G$7:$G$11,MOD('_Engine'!CB41,10))&amp;IF('_Engine'!CB41&gt;10,"?","")&amp;" PM",IF('_Engine'!CB41=0,INDEX(Settings!$G$7:$G$11,MOD('_Engine'!CA41,10))&amp;IF('_Engine'!CA41&gt;10,"?","")&amp;" AM",INDEX(Settings!$G$7:$G$11,MOD('_Engine'!CA41,10))&amp;IF('_Engine'!CA41&gt;10,"?","")&amp;" AM"&amp;CHAR(10)&amp;INDEX(Settings!$G$7:$G$11,MOD('_Engine'!CB41,10))&amp;IF('_Engine'!CB41&gt;10,"?","")&amp;" PM"))))))))</ns0:f>
        <ns0:v/>
      </ns0:c>
      <ns0:c r="Q41" s="164" t="str">
        <ns0:f>IF(OR($A41="",Q$11=""),"",IF(OR('_Engine'!$B$6&gt;0,INDEX('_Engine'!$AM$11:$AM$60,'_Engine'!$AO41)&lt;&gt;"OK"),"!",IF(INDEX(Team!$H$11:$N$60,'_Engine'!$AO41,WEEKDAY(Q$11,2))&lt;&gt;"Work","—",IF(COUNTIF(Settings!$F$18:$F$67,Q$11)&gt;0,"BH",IF('_Engine'!CC41+'_Engine'!CD41=0,"·",IF('_Engine'!CC41='_Engine'!CD41,INDEX(Settings!$G$7:$G$11,MOD('_Engine'!CC41,10))&amp;IF('_Engine'!CC41&gt;10,"?",""),IF('_Engine'!CC41=0,INDEX(Settings!$G$7:$G$11,MOD('_Engine'!CD41,10))&amp;IF('_Engine'!CD41&gt;10,"?","")&amp;" PM",IF('_Engine'!CD41=0,INDEX(Settings!$G$7:$G$11,MOD('_Engine'!CC41,10))&amp;IF('_Engine'!CC41&gt;10,"?","")&amp;" AM",INDEX(Settings!$G$7:$G$11,MOD('_Engine'!CC41,10))&amp;IF('_Engine'!CC41&gt;10,"?","")&amp;" AM"&amp;CHAR(10)&amp;INDEX(Settings!$G$7:$G$11,MOD('_Engine'!CD41,10))&amp;IF('_Engine'!CD41&gt;10,"?","")&amp;" PM"))))))))</ns0:f>
        <ns0:v/>
      </ns0:c>
      <ns0:c r="R41" s="164" t="str">
        <ns0:f>IF(OR($A41="",R$11=""),"",IF(OR('_Engine'!$B$6&gt;0,INDEX('_Engine'!$AM$11:$AM$60,'_Engine'!$AO41)&lt;&gt;"OK"),"!",IF(INDEX(Team!$H$11:$N$60,'_Engine'!$AO41,WEEKDAY(R$11,2))&lt;&gt;"Work","—",IF(COUNTIF(Settings!$F$18:$F$67,R$11)&gt;0,"BH",IF('_Engine'!CE41+'_Engine'!CF41=0,"·",IF('_Engine'!CE41='_Engine'!CF41,INDEX(Settings!$G$7:$G$11,MOD('_Engine'!CE41,10))&amp;IF('_Engine'!CE41&gt;10,"?",""),IF('_Engine'!CE41=0,INDEX(Settings!$G$7:$G$11,MOD('_Engine'!CF41,10))&amp;IF('_Engine'!CF41&gt;10,"?","")&amp;" PM",IF('_Engine'!CF41=0,INDEX(Settings!$G$7:$G$11,MOD('_Engine'!CE41,10))&amp;IF('_Engine'!CE41&gt;10,"?","")&amp;" AM",INDEX(Settings!$G$7:$G$11,MOD('_Engine'!CE41,10))&amp;IF('_Engine'!CE41&gt;10,"?","")&amp;" AM"&amp;CHAR(10)&amp;INDEX(Settings!$G$7:$G$11,MOD('_Engine'!CF41,10))&amp;IF('_Engine'!CF41&gt;10,"?","")&amp;" PM"))))))))</ns0:f>
        <ns0:v/>
      </ns0:c>
      <ns0:c r="S41" s="164" t="str">
        <ns0:f>IF(OR($A41="",S$11=""),"",IF(OR('_Engine'!$B$6&gt;0,INDEX('_Engine'!$AM$11:$AM$60,'_Engine'!$AO41)&lt;&gt;"OK"),"!",IF(INDEX(Team!$H$11:$N$60,'_Engine'!$AO41,WEEKDAY(S$11,2))&lt;&gt;"Work","—",IF(COUNTIF(Settings!$F$18:$F$67,S$11)&gt;0,"BH",IF('_Engine'!CG41+'_Engine'!CH41=0,"·",IF('_Engine'!CG41='_Engine'!CH41,INDEX(Settings!$G$7:$G$11,MOD('_Engine'!CG41,10))&amp;IF('_Engine'!CG41&gt;10,"?",""),IF('_Engine'!CG41=0,INDEX(Settings!$G$7:$G$11,MOD('_Engine'!CH41,10))&amp;IF('_Engine'!CH41&gt;10,"?","")&amp;" PM",IF('_Engine'!CH41=0,INDEX(Settings!$G$7:$G$11,MOD('_Engine'!CG41,10))&amp;IF('_Engine'!CG41&gt;10,"?","")&amp;" AM",INDEX(Settings!$G$7:$G$11,MOD('_Engine'!CG41,10))&amp;IF('_Engine'!CG41&gt;10,"?","")&amp;" AM"&amp;CHAR(10)&amp;INDEX(Settings!$G$7:$G$11,MOD('_Engine'!CH41,10))&amp;IF('_Engine'!CH41&gt;10,"?","")&amp;" PM"))))))))</ns0:f>
        <ns0:v/>
      </ns0:c>
      <ns0:c r="T41" s="164" t="str">
        <ns0:f>IF(OR($A41="",T$11=""),"",IF(OR('_Engine'!$B$6&gt;0,INDEX('_Engine'!$AM$11:$AM$60,'_Engine'!$AO41)&lt;&gt;"OK"),"!",IF(INDEX(Team!$H$11:$N$60,'_Engine'!$AO41,WEEKDAY(T$11,2))&lt;&gt;"Work","—",IF(COUNTIF(Settings!$F$18:$F$67,T$11)&gt;0,"BH",IF('_Engine'!CI41+'_Engine'!CJ41=0,"·",IF('_Engine'!CI41='_Engine'!CJ41,INDEX(Settings!$G$7:$G$11,MOD('_Engine'!CI41,10))&amp;IF('_Engine'!CI41&gt;10,"?",""),IF('_Engine'!CI41=0,INDEX(Settings!$G$7:$G$11,MOD('_Engine'!CJ41,10))&amp;IF('_Engine'!CJ41&gt;10,"?","")&amp;" PM",IF('_Engine'!CJ41=0,INDEX(Settings!$G$7:$G$11,MOD('_Engine'!CI41,10))&amp;IF('_Engine'!CI41&gt;10,"?","")&amp;" AM",INDEX(Settings!$G$7:$G$11,MOD('_Engine'!CI41,10))&amp;IF('_Engine'!CI41&gt;10,"?","")&amp;" AM"&amp;CHAR(10)&amp;INDEX(Settings!$G$7:$G$11,MOD('_Engine'!CJ41,10))&amp;IF('_Engine'!CJ41&gt;10,"?","")&amp;" PM"))))))))</ns0:f>
        <ns0:v/>
      </ns0:c>
      <ns0:c r="U41" s="164" t="str">
        <ns0:f>IF(OR($A41="",U$11=""),"",IF(OR('_Engine'!$B$6&gt;0,INDEX('_Engine'!$AM$11:$AM$60,'_Engine'!$AO41)&lt;&gt;"OK"),"!",IF(INDEX(Team!$H$11:$N$60,'_Engine'!$AO41,WEEKDAY(U$11,2))&lt;&gt;"Work","—",IF(COUNTIF(Settings!$F$18:$F$67,U$11)&gt;0,"BH",IF('_Engine'!CK41+'_Engine'!CL41=0,"·",IF('_Engine'!CK41='_Engine'!CL41,INDEX(Settings!$G$7:$G$11,MOD('_Engine'!CK41,10))&amp;IF('_Engine'!CK41&gt;10,"?",""),IF('_Engine'!CK41=0,INDEX(Settings!$G$7:$G$11,MOD('_Engine'!CL41,10))&amp;IF('_Engine'!CL41&gt;10,"?","")&amp;" PM",IF('_Engine'!CL41=0,INDEX(Settings!$G$7:$G$11,MOD('_Engine'!CK41,10))&amp;IF('_Engine'!CK41&gt;10,"?","")&amp;" AM",INDEX(Settings!$G$7:$G$11,MOD('_Engine'!CK41,10))&amp;IF('_Engine'!CK41&gt;10,"?","")&amp;" AM"&amp;CHAR(10)&amp;INDEX(Settings!$G$7:$G$11,MOD('_Engine'!CL41,10))&amp;IF('_Engine'!CL41&gt;10,"?","")&amp;" PM"))))))))</ns0:f>
        <ns0:v/>
      </ns0:c>
      <ns0:c r="V41" s="164" t="str">
        <ns0:f>IF(OR($A41="",V$11=""),"",IF(OR('_Engine'!$B$6&gt;0,INDEX('_Engine'!$AM$11:$AM$60,'_Engine'!$AO41)&lt;&gt;"OK"),"!",IF(INDEX(Team!$H$11:$N$60,'_Engine'!$AO41,WEEKDAY(V$11,2))&lt;&gt;"Work","—",IF(COUNTIF(Settings!$F$18:$F$67,V$11)&gt;0,"BH",IF('_Engine'!CM41+'_Engine'!CN41=0,"·",IF('_Engine'!CM41='_Engine'!CN41,INDEX(Settings!$G$7:$G$11,MOD('_Engine'!CM41,10))&amp;IF('_Engine'!CM41&gt;10,"?",""),IF('_Engine'!CM41=0,INDEX(Settings!$G$7:$G$11,MOD('_Engine'!CN41,10))&amp;IF('_Engine'!CN41&gt;10,"?","")&amp;" PM",IF('_Engine'!CN41=0,INDEX(Settings!$G$7:$G$11,MOD('_Engine'!CM41,10))&amp;IF('_Engine'!CM41&gt;10,"?","")&amp;" AM",INDEX(Settings!$G$7:$G$11,MOD('_Engine'!CM41,10))&amp;IF('_Engine'!CM41&gt;10,"?","")&amp;" AM"&amp;CHAR(10)&amp;INDEX(Settings!$G$7:$G$11,MOD('_Engine'!CN41,10))&amp;IF('_Engine'!CN41&gt;10,"?","")&amp;" PM"))))))))</ns0:f>
        <ns0:v/>
      </ns0:c>
      <ns0:c r="W41" s="164" t="str">
        <ns0:f>IF(OR($A41="",W$11=""),"",IF(OR('_Engine'!$B$6&gt;0,INDEX('_Engine'!$AM$11:$AM$60,'_Engine'!$AO41)&lt;&gt;"OK"),"!",IF(INDEX(Team!$H$11:$N$60,'_Engine'!$AO41,WEEKDAY(W$11,2))&lt;&gt;"Work","—",IF(COUNTIF(Settings!$F$18:$F$67,W$11)&gt;0,"BH",IF('_Engine'!CO41+'_Engine'!CP41=0,"·",IF('_Engine'!CO41='_Engine'!CP41,INDEX(Settings!$G$7:$G$11,MOD('_Engine'!CO41,10))&amp;IF('_Engine'!CO41&gt;10,"?",""),IF('_Engine'!CO41=0,INDEX(Settings!$G$7:$G$11,MOD('_Engine'!CP41,10))&amp;IF('_Engine'!CP41&gt;10,"?","")&amp;" PM",IF('_Engine'!CP41=0,INDEX(Settings!$G$7:$G$11,MOD('_Engine'!CO41,10))&amp;IF('_Engine'!CO41&gt;10,"?","")&amp;" AM",INDEX(Settings!$G$7:$G$11,MOD('_Engine'!CO41,10))&amp;IF('_Engine'!CO41&gt;10,"?","")&amp;" AM"&amp;CHAR(10)&amp;INDEX(Settings!$G$7:$G$11,MOD('_Engine'!CP41,10))&amp;IF('_Engine'!CP41&gt;10,"?","")&amp;" PM"))))))))</ns0:f>
        <ns0:v/>
      </ns0:c>
      <ns0:c r="X41" s="164" t="str">
        <ns0:f>IF(OR($A41="",X$11=""),"",IF(OR('_Engine'!$B$6&gt;0,INDEX('_Engine'!$AM$11:$AM$60,'_Engine'!$AO41)&lt;&gt;"OK"),"!",IF(INDEX(Team!$H$11:$N$60,'_Engine'!$AO41,WEEKDAY(X$11,2))&lt;&gt;"Work","—",IF(COUNTIF(Settings!$F$18:$F$67,X$11)&gt;0,"BH",IF('_Engine'!CQ41+'_Engine'!CR41=0,"·",IF('_Engine'!CQ41='_Engine'!CR41,INDEX(Settings!$G$7:$G$11,MOD('_Engine'!CQ41,10))&amp;IF('_Engine'!CQ41&gt;10,"?",""),IF('_Engine'!CQ41=0,INDEX(Settings!$G$7:$G$11,MOD('_Engine'!CR41,10))&amp;IF('_Engine'!CR41&gt;10,"?","")&amp;" PM",IF('_Engine'!CR41=0,INDEX(Settings!$G$7:$G$11,MOD('_Engine'!CQ41,10))&amp;IF('_Engine'!CQ41&gt;10,"?","")&amp;" AM",INDEX(Settings!$G$7:$G$11,MOD('_Engine'!CQ41,10))&amp;IF('_Engine'!CQ41&gt;10,"?","")&amp;" AM"&amp;CHAR(10)&amp;INDEX(Settings!$G$7:$G$11,MOD('_Engine'!CR41,10))&amp;IF('_Engine'!CR41&gt;10,"?","")&amp;" PM"))))))))</ns0:f>
        <ns0:v/>
      </ns0:c>
      <ns0:c r="Y41" s="164" t="str">
        <ns0:f>IF(OR($A41="",Y$11=""),"",IF(OR('_Engine'!$B$6&gt;0,INDEX('_Engine'!$AM$11:$AM$60,'_Engine'!$AO41)&lt;&gt;"OK"),"!",IF(INDEX(Team!$H$11:$N$60,'_Engine'!$AO41,WEEKDAY(Y$11,2))&lt;&gt;"Work","—",IF(COUNTIF(Settings!$F$18:$F$67,Y$11)&gt;0,"BH",IF('_Engine'!CS41+'_Engine'!CT41=0,"·",IF('_Engine'!CS41='_Engine'!CT41,INDEX(Settings!$G$7:$G$11,MOD('_Engine'!CS41,10))&amp;IF('_Engine'!CS41&gt;10,"?",""),IF('_Engine'!CS41=0,INDEX(Settings!$G$7:$G$11,MOD('_Engine'!CT41,10))&amp;IF('_Engine'!CT41&gt;10,"?","")&amp;" PM",IF('_Engine'!CT41=0,INDEX(Settings!$G$7:$G$11,MOD('_Engine'!CS41,10))&amp;IF('_Engine'!CS41&gt;10,"?","")&amp;" AM",INDEX(Settings!$G$7:$G$11,MOD('_Engine'!CS41,10))&amp;IF('_Engine'!CS41&gt;10,"?","")&amp;" AM"&amp;CHAR(10)&amp;INDEX(Settings!$G$7:$G$11,MOD('_Engine'!CT41,10))&amp;IF('_Engine'!CT41&gt;10,"?","")&amp;" PM"))))))))</ns0:f>
        <ns0:v/>
      </ns0:c>
      <ns0:c r="Z41" s="164" t="str">
        <ns0:f>IF(OR($A41="",Z$11=""),"",IF(OR('_Engine'!$B$6&gt;0,INDEX('_Engine'!$AM$11:$AM$60,'_Engine'!$AO41)&lt;&gt;"OK"),"!",IF(INDEX(Team!$H$11:$N$60,'_Engine'!$AO41,WEEKDAY(Z$11,2))&lt;&gt;"Work","—",IF(COUNTIF(Settings!$F$18:$F$67,Z$11)&gt;0,"BH",IF('_Engine'!CU41+'_Engine'!CV41=0,"·",IF('_Engine'!CU41='_Engine'!CV41,INDEX(Settings!$G$7:$G$11,MOD('_Engine'!CU41,10))&amp;IF('_Engine'!CU41&gt;10,"?",""),IF('_Engine'!CU41=0,INDEX(Settings!$G$7:$G$11,MOD('_Engine'!CV41,10))&amp;IF('_Engine'!CV41&gt;10,"?","")&amp;" PM",IF('_Engine'!CV41=0,INDEX(Settings!$G$7:$G$11,MOD('_Engine'!CU41,10))&amp;IF('_Engine'!CU41&gt;10,"?","")&amp;" AM",INDEX(Settings!$G$7:$G$11,MOD('_Engine'!CU41,10))&amp;IF('_Engine'!CU41&gt;10,"?","")&amp;" AM"&amp;CHAR(10)&amp;INDEX(Settings!$G$7:$G$11,MOD('_Engine'!CV41,10))&amp;IF('_Engine'!CV41&gt;10,"?","")&amp;" PM"))))))))</ns0:f>
        <ns0:v/>
      </ns0:c>
      <ns0:c r="AA41" s="164" t="str">
        <ns0:f>IF(OR($A41="",AA$11=""),"",IF(OR('_Engine'!$B$6&gt;0,INDEX('_Engine'!$AM$11:$AM$60,'_Engine'!$AO41)&lt;&gt;"OK"),"!",IF(INDEX(Team!$H$11:$N$60,'_Engine'!$AO41,WEEKDAY(AA$11,2))&lt;&gt;"Work","—",IF(COUNTIF(Settings!$F$18:$F$67,AA$11)&gt;0,"BH",IF('_Engine'!CW41+'_Engine'!CX41=0,"·",IF('_Engine'!CW41='_Engine'!CX41,INDEX(Settings!$G$7:$G$11,MOD('_Engine'!CW41,10))&amp;IF('_Engine'!CW41&gt;10,"?",""),IF('_Engine'!CW41=0,INDEX(Settings!$G$7:$G$11,MOD('_Engine'!CX41,10))&amp;IF('_Engine'!CX41&gt;10,"?","")&amp;" PM",IF('_Engine'!CX41=0,INDEX(Settings!$G$7:$G$11,MOD('_Engine'!CW41,10))&amp;IF('_Engine'!CW41&gt;10,"?","")&amp;" AM",INDEX(Settings!$G$7:$G$11,MOD('_Engine'!CW41,10))&amp;IF('_Engine'!CW41&gt;10,"?","")&amp;" AM"&amp;CHAR(10)&amp;INDEX(Settings!$G$7:$G$11,MOD('_Engine'!CX41,10))&amp;IF('_Engine'!CX41&gt;10,"?","")&amp;" PM"))))))))</ns0:f>
        <ns0:v/>
      </ns0:c>
      <ns0:c r="AB41" s="164" t="str">
        <ns0:f>IF(OR($A41="",AB$11=""),"",IF(OR('_Engine'!$B$6&gt;0,INDEX('_Engine'!$AM$11:$AM$60,'_Engine'!$AO41)&lt;&gt;"OK"),"!",IF(INDEX(Team!$H$11:$N$60,'_Engine'!$AO41,WEEKDAY(AB$11,2))&lt;&gt;"Work","—",IF(COUNTIF(Settings!$F$18:$F$67,AB$11)&gt;0,"BH",IF('_Engine'!CY41+'_Engine'!CZ41=0,"·",IF('_Engine'!CY41='_Engine'!CZ41,INDEX(Settings!$G$7:$G$11,MOD('_Engine'!CY41,10))&amp;IF('_Engine'!CY41&gt;10,"?",""),IF('_Engine'!CY41=0,INDEX(Settings!$G$7:$G$11,MOD('_Engine'!CZ41,10))&amp;IF('_Engine'!CZ41&gt;10,"?","")&amp;" PM",IF('_Engine'!CZ41=0,INDEX(Settings!$G$7:$G$11,MOD('_Engine'!CY41,10))&amp;IF('_Engine'!CY41&gt;10,"?","")&amp;" AM",INDEX(Settings!$G$7:$G$11,MOD('_Engine'!CY41,10))&amp;IF('_Engine'!CY41&gt;10,"?","")&amp;" AM"&amp;CHAR(10)&amp;INDEX(Settings!$G$7:$G$11,MOD('_Engine'!CZ41,10))&amp;IF('_Engine'!CZ41&gt;10,"?","")&amp;" PM"))))))))</ns0:f>
        <ns0:v/>
      </ns0:c>
      <ns0:c r="AC41" s="164" t="str">
        <ns0:f>IF(OR($A41="",AC$11=""),"",IF(OR('_Engine'!$B$6&gt;0,INDEX('_Engine'!$AM$11:$AM$60,'_Engine'!$AO41)&lt;&gt;"OK"),"!",IF(INDEX(Team!$H$11:$N$60,'_Engine'!$AO41,WEEKDAY(AC$11,2))&lt;&gt;"Work","—",IF(COUNTIF(Settings!$F$18:$F$67,AC$11)&gt;0,"BH",IF('_Engine'!DA41+'_Engine'!DB41=0,"·",IF('_Engine'!DA41='_Engine'!DB41,INDEX(Settings!$G$7:$G$11,MOD('_Engine'!DA41,10))&amp;IF('_Engine'!DA41&gt;10,"?",""),IF('_Engine'!DA41=0,INDEX(Settings!$G$7:$G$11,MOD('_Engine'!DB41,10))&amp;IF('_Engine'!DB41&gt;10,"?","")&amp;" PM",IF('_Engine'!DB41=0,INDEX(Settings!$G$7:$G$11,MOD('_Engine'!DA41,10))&amp;IF('_Engine'!DA41&gt;10,"?","")&amp;" AM",INDEX(Settings!$G$7:$G$11,MOD('_Engine'!DA41,10))&amp;IF('_Engine'!DA41&gt;10,"?","")&amp;" AM"&amp;CHAR(10)&amp;INDEX(Settings!$G$7:$G$11,MOD('_Engine'!DB41,10))&amp;IF('_Engine'!DB41&gt;10,"?","")&amp;" PM"))))))))</ns0:f>
        <ns0:v/>
      </ns0:c>
      <ns0:c r="AD41" s="164" t="str">
        <ns0:f>IF(OR($A41="",AD$11=""),"",IF(OR('_Engine'!$B$6&gt;0,INDEX('_Engine'!$AM$11:$AM$60,'_Engine'!$AO41)&lt;&gt;"OK"),"!",IF(INDEX(Team!$H$11:$N$60,'_Engine'!$AO41,WEEKDAY(AD$11,2))&lt;&gt;"Work","—",IF(COUNTIF(Settings!$F$18:$F$67,AD$11)&gt;0,"BH",IF('_Engine'!DC41+'_Engine'!DD41=0,"·",IF('_Engine'!DC41='_Engine'!DD41,INDEX(Settings!$G$7:$G$11,MOD('_Engine'!DC41,10))&amp;IF('_Engine'!DC41&gt;10,"?",""),IF('_Engine'!DC41=0,INDEX(Settings!$G$7:$G$11,MOD('_Engine'!DD41,10))&amp;IF('_Engine'!DD41&gt;10,"?","")&amp;" PM",IF('_Engine'!DD41=0,INDEX(Settings!$G$7:$G$11,MOD('_Engine'!DC41,10))&amp;IF('_Engine'!DC41&gt;10,"?","")&amp;" AM",INDEX(Settings!$G$7:$G$11,MOD('_Engine'!DC41,10))&amp;IF('_Engine'!DC41&gt;10,"?","")&amp;" AM"&amp;CHAR(10)&amp;INDEX(Settings!$G$7:$G$11,MOD('_Engine'!DD41,10))&amp;IF('_Engine'!DD41&gt;10,"?","")&amp;" PM"))))))))</ns0:f>
        <ns0:v/>
      </ns0:c>
      <ns0:c r="AE41" s="164" t="str">
        <ns0:f>IF(OR($A41="",AE$11=""),"",IF(OR('_Engine'!$B$6&gt;0,INDEX('_Engine'!$AM$11:$AM$60,'_Engine'!$AO41)&lt;&gt;"OK"),"!",IF(INDEX(Team!$H$11:$N$60,'_Engine'!$AO41,WEEKDAY(AE$11,2))&lt;&gt;"Work","—",IF(COUNTIF(Settings!$F$18:$F$67,AE$11)&gt;0,"BH",IF('_Engine'!DE41+'_Engine'!DF41=0,"·",IF('_Engine'!DE41='_Engine'!DF41,INDEX(Settings!$G$7:$G$11,MOD('_Engine'!DE41,10))&amp;IF('_Engine'!DE41&gt;10,"?",""),IF('_Engine'!DE41=0,INDEX(Settings!$G$7:$G$11,MOD('_Engine'!DF41,10))&amp;IF('_Engine'!DF41&gt;10,"?","")&amp;" PM",IF('_Engine'!DF41=0,INDEX(Settings!$G$7:$G$11,MOD('_Engine'!DE41,10))&amp;IF('_Engine'!DE41&gt;10,"?","")&amp;" AM",INDEX(Settings!$G$7:$G$11,MOD('_Engine'!DE41,10))&amp;IF('_Engine'!DE41&gt;10,"?","")&amp;" AM"&amp;CHAR(10)&amp;INDEX(Settings!$G$7:$G$11,MOD('_Engine'!DF41,10))&amp;IF('_Engine'!DF41&gt;10,"?","")&amp;" PM"))))))))</ns0:f>
        <ns0:v/>
      </ns0:c>
      <ns0:c r="AF41" s="164" t="str">
        <ns0:f>IF(OR($A41="",AF$11=""),"",IF(OR('_Engine'!$B$6&gt;0,INDEX('_Engine'!$AM$11:$AM$60,'_Engine'!$AO41)&lt;&gt;"OK"),"!",IF(INDEX(Team!$H$11:$N$60,'_Engine'!$AO41,WEEKDAY(AF$11,2))&lt;&gt;"Work","—",IF(COUNTIF(Settings!$F$18:$F$67,AF$11)&gt;0,"BH",IF('_Engine'!DG41+'_Engine'!DH41=0,"·",IF('_Engine'!DG41='_Engine'!DH41,INDEX(Settings!$G$7:$G$11,MOD('_Engine'!DG41,10))&amp;IF('_Engine'!DG41&gt;10,"?",""),IF('_Engine'!DG41=0,INDEX(Settings!$G$7:$G$11,MOD('_Engine'!DH41,10))&amp;IF('_Engine'!DH41&gt;10,"?","")&amp;" PM",IF('_Engine'!DH41=0,INDEX(Settings!$G$7:$G$11,MOD('_Engine'!DG41,10))&amp;IF('_Engine'!DG41&gt;10,"?","")&amp;" AM",INDEX(Settings!$G$7:$G$11,MOD('_Engine'!DG41,10))&amp;IF('_Engine'!DG41&gt;10,"?","")&amp;" AM"&amp;CHAR(10)&amp;INDEX(Settings!$G$7:$G$11,MOD('_Engine'!DH41,10))&amp;IF('_Engine'!DH41&gt;10,"?","")&amp;" PM"))))))))</ns0:f>
        <ns0:v/>
      </ns0:c>
      <ns0:c r="AG41" s="164" t="str">
        <ns0:f>IF(OR($A41="",AG$11=""),"",IF(OR('_Engine'!$B$6&gt;0,INDEX('_Engine'!$AM$11:$AM$60,'_Engine'!$AO41)&lt;&gt;"OK"),"!",IF(INDEX(Team!$H$11:$N$60,'_Engine'!$AO41,WEEKDAY(AG$11,2))&lt;&gt;"Work","—",IF(COUNTIF(Settings!$F$18:$F$67,AG$11)&gt;0,"BH",IF('_Engine'!DI41+'_Engine'!DJ41=0,"·",IF('_Engine'!DI41='_Engine'!DJ41,INDEX(Settings!$G$7:$G$11,MOD('_Engine'!DI41,10))&amp;IF('_Engine'!DI41&gt;10,"?",""),IF('_Engine'!DI41=0,INDEX(Settings!$G$7:$G$11,MOD('_Engine'!DJ41,10))&amp;IF('_Engine'!DJ41&gt;10,"?","")&amp;" PM",IF('_Engine'!DJ41=0,INDEX(Settings!$G$7:$G$11,MOD('_Engine'!DI41,10))&amp;IF('_Engine'!DI41&gt;10,"?","")&amp;" AM",INDEX(Settings!$G$7:$G$11,MOD('_Engine'!DI41,10))&amp;IF('_Engine'!DI41&gt;10,"?","")&amp;" AM"&amp;CHAR(10)&amp;INDEX(Settings!$G$7:$G$11,MOD('_Engine'!DJ41,10))&amp;IF('_Engine'!DJ41&gt;10,"?","")&amp;" PM"))))))))</ns0:f>
        <ns0:v/>
      </ns0:c>
      <ns0:c r="AH41" s="164" t="str">
        <ns0:f>IF(OR($A41="",AH$11=""),"",IF(OR('_Engine'!$B$6&gt;0,INDEX('_Engine'!$AM$11:$AM$60,'_Engine'!$AO41)&lt;&gt;"OK"),"!",IF(INDEX(Team!$H$11:$N$60,'_Engine'!$AO41,WEEKDAY(AH$11,2))&lt;&gt;"Work","—",IF(COUNTIF(Settings!$F$18:$F$67,AH$11)&gt;0,"BH",IF('_Engine'!DK41+'_Engine'!DL41=0,"·",IF('_Engine'!DK41='_Engine'!DL41,INDEX(Settings!$G$7:$G$11,MOD('_Engine'!DK41,10))&amp;IF('_Engine'!DK41&gt;10,"?",""),IF('_Engine'!DK41=0,INDEX(Settings!$G$7:$G$11,MOD('_Engine'!DL41,10))&amp;IF('_Engine'!DL41&gt;10,"?","")&amp;" PM",IF('_Engine'!DL41=0,INDEX(Settings!$G$7:$G$11,MOD('_Engine'!DK41,10))&amp;IF('_Engine'!DK41&gt;10,"?","")&amp;" AM",INDEX(Settings!$G$7:$G$11,MOD('_Engine'!DK41,10))&amp;IF('_Engine'!DK41&gt;10,"?","")&amp;" AM"&amp;CHAR(10)&amp;INDEX(Settings!$G$7:$G$11,MOD('_Engine'!DL41,10))&amp;IF('_Engine'!DL41&gt;10,"?","")&amp;" PM"))))))))</ns0:f>
        <ns0:v/>
      </ns0:c>
    </ns0:row>
    <ns0:row r="42" ht="38" customHeight="1">
      <ns0:c r="A42" s="4" t="str">
        <ns0:f>IF('_Engine'!AO42=0,"",IF(INDEX(Team!$B$11:$B$60,'_Engine'!AO42)="","[Unnamed]",INDEX(Team!$B$11:$B$60,'_Engine'!AO42)))</ns0:f>
        <ns0:v/>
      </ns0:c>
      <ns0:c r="B42" s="156" t="str">
        <ns0:f>IF('_Engine'!AO42=0,"",INDEX('_Engine'!$AN$11:$AN$60,'_Engine'!AO42))</ns0:f>
        <ns0:v/>
      </ns0:c>
      <ns0:c r="C42" s="4" t="str">
        <ns0:f>IF('_Engine'!AO42=0,"",INDEX(Team!$C$11:$C$60,'_Engine'!AO42))</ns0:f>
        <ns0:v/>
      </ns0:c>
      <ns0:c r="D42" s="162" t="str">
        <ns0:f>IF(OR($A42="",D$11=""),"",IF(OR('_Engine'!$B$6&gt;0,INDEX('_Engine'!$AM$11:$AM$60,'_Engine'!$AO42)&lt;&gt;"OK"),"!",IF(INDEX(Team!$H$11:$N$60,'_Engine'!$AO42,WEEKDAY(D$11,2))&lt;&gt;"Work","—",IF(COUNTIF(Settings!$F$18:$F$67,D$11)&gt;0,"BH",IF('_Engine'!BC42+'_Engine'!BD42=0,"·",IF('_Engine'!BC42='_Engine'!BD42,INDEX(Settings!$G$7:$G$11,MOD('_Engine'!BC42,10))&amp;IF('_Engine'!BC42&gt;10,"?",""),IF('_Engine'!BC42=0,INDEX(Settings!$G$7:$G$11,MOD('_Engine'!BD42,10))&amp;IF('_Engine'!BD42&gt;10,"?","")&amp;" PM",IF('_Engine'!BD42=0,INDEX(Settings!$G$7:$G$11,MOD('_Engine'!BC42,10))&amp;IF('_Engine'!BC42&gt;10,"?","")&amp;" AM",INDEX(Settings!$G$7:$G$11,MOD('_Engine'!BC42,10))&amp;IF('_Engine'!BC42&gt;10,"?","")&amp;" AM"&amp;CHAR(10)&amp;INDEX(Settings!$G$7:$G$11,MOD('_Engine'!BD42,10))&amp;IF('_Engine'!BD42&gt;10,"?","")&amp;" PM"))))))))</ns0:f>
        <ns0:v/>
      </ns0:c>
      <ns0:c r="E42" s="162" t="str">
        <ns0:f>IF(OR($A42="",E$11=""),"",IF(OR('_Engine'!$B$6&gt;0,INDEX('_Engine'!$AM$11:$AM$60,'_Engine'!$AO42)&lt;&gt;"OK"),"!",IF(INDEX(Team!$H$11:$N$60,'_Engine'!$AO42,WEEKDAY(E$11,2))&lt;&gt;"Work","—",IF(COUNTIF(Settings!$F$18:$F$67,E$11)&gt;0,"BH",IF('_Engine'!BE42+'_Engine'!BF42=0,"·",IF('_Engine'!BE42='_Engine'!BF42,INDEX(Settings!$G$7:$G$11,MOD('_Engine'!BE42,10))&amp;IF('_Engine'!BE42&gt;10,"?",""),IF('_Engine'!BE42=0,INDEX(Settings!$G$7:$G$11,MOD('_Engine'!BF42,10))&amp;IF('_Engine'!BF42&gt;10,"?","")&amp;" PM",IF('_Engine'!BF42=0,INDEX(Settings!$G$7:$G$11,MOD('_Engine'!BE42,10))&amp;IF('_Engine'!BE42&gt;10,"?","")&amp;" AM",INDEX(Settings!$G$7:$G$11,MOD('_Engine'!BE42,10))&amp;IF('_Engine'!BE42&gt;10,"?","")&amp;" AM"&amp;CHAR(10)&amp;INDEX(Settings!$G$7:$G$11,MOD('_Engine'!BF42,10))&amp;IF('_Engine'!BF42&gt;10,"?","")&amp;" PM"))))))))</ns0:f>
        <ns0:v/>
      </ns0:c>
      <ns0:c r="F42" s="162" t="str">
        <ns0:f>IF(OR($A42="",F$11=""),"",IF(OR('_Engine'!$B$6&gt;0,INDEX('_Engine'!$AM$11:$AM$60,'_Engine'!$AO42)&lt;&gt;"OK"),"!",IF(INDEX(Team!$H$11:$N$60,'_Engine'!$AO42,WEEKDAY(F$11,2))&lt;&gt;"Work","—",IF(COUNTIF(Settings!$F$18:$F$67,F$11)&gt;0,"BH",IF('_Engine'!BG42+'_Engine'!BH42=0,"·",IF('_Engine'!BG42='_Engine'!BH42,INDEX(Settings!$G$7:$G$11,MOD('_Engine'!BG42,10))&amp;IF('_Engine'!BG42&gt;10,"?",""),IF('_Engine'!BG42=0,INDEX(Settings!$G$7:$G$11,MOD('_Engine'!BH42,10))&amp;IF('_Engine'!BH42&gt;10,"?","")&amp;" PM",IF('_Engine'!BH42=0,INDEX(Settings!$G$7:$G$11,MOD('_Engine'!BG42,10))&amp;IF('_Engine'!BG42&gt;10,"?","")&amp;" AM",INDEX(Settings!$G$7:$G$11,MOD('_Engine'!BG42,10))&amp;IF('_Engine'!BG42&gt;10,"?","")&amp;" AM"&amp;CHAR(10)&amp;INDEX(Settings!$G$7:$G$11,MOD('_Engine'!BH42,10))&amp;IF('_Engine'!BH42&gt;10,"?","")&amp;" PM"))))))))</ns0:f>
        <ns0:v/>
      </ns0:c>
      <ns0:c r="G42" s="162" t="str">
        <ns0:f>IF(OR($A42="",G$11=""),"",IF(OR('_Engine'!$B$6&gt;0,INDEX('_Engine'!$AM$11:$AM$60,'_Engine'!$AO42)&lt;&gt;"OK"),"!",IF(INDEX(Team!$H$11:$N$60,'_Engine'!$AO42,WEEKDAY(G$11,2))&lt;&gt;"Work","—",IF(COUNTIF(Settings!$F$18:$F$67,G$11)&gt;0,"BH",IF('_Engine'!BI42+'_Engine'!BJ42=0,"·",IF('_Engine'!BI42='_Engine'!BJ42,INDEX(Settings!$G$7:$G$11,MOD('_Engine'!BI42,10))&amp;IF('_Engine'!BI42&gt;10,"?",""),IF('_Engine'!BI42=0,INDEX(Settings!$G$7:$G$11,MOD('_Engine'!BJ42,10))&amp;IF('_Engine'!BJ42&gt;10,"?","")&amp;" PM",IF('_Engine'!BJ42=0,INDEX(Settings!$G$7:$G$11,MOD('_Engine'!BI42,10))&amp;IF('_Engine'!BI42&gt;10,"?","")&amp;" AM",INDEX(Settings!$G$7:$G$11,MOD('_Engine'!BI42,10))&amp;IF('_Engine'!BI42&gt;10,"?","")&amp;" AM"&amp;CHAR(10)&amp;INDEX(Settings!$G$7:$G$11,MOD('_Engine'!BJ42,10))&amp;IF('_Engine'!BJ42&gt;10,"?","")&amp;" PM"))))))))</ns0:f>
        <ns0:v/>
      </ns0:c>
      <ns0:c r="H42" s="162" t="str">
        <ns0:f>IF(OR($A42="",H$11=""),"",IF(OR('_Engine'!$B$6&gt;0,INDEX('_Engine'!$AM$11:$AM$60,'_Engine'!$AO42)&lt;&gt;"OK"),"!",IF(INDEX(Team!$H$11:$N$60,'_Engine'!$AO42,WEEKDAY(H$11,2))&lt;&gt;"Work","—",IF(COUNTIF(Settings!$F$18:$F$67,H$11)&gt;0,"BH",IF('_Engine'!BK42+'_Engine'!BL42=0,"·",IF('_Engine'!BK42='_Engine'!BL42,INDEX(Settings!$G$7:$G$11,MOD('_Engine'!BK42,10))&amp;IF('_Engine'!BK42&gt;10,"?",""),IF('_Engine'!BK42=0,INDEX(Settings!$G$7:$G$11,MOD('_Engine'!BL42,10))&amp;IF('_Engine'!BL42&gt;10,"?","")&amp;" PM",IF('_Engine'!BL42=0,INDEX(Settings!$G$7:$G$11,MOD('_Engine'!BK42,10))&amp;IF('_Engine'!BK42&gt;10,"?","")&amp;" AM",INDEX(Settings!$G$7:$G$11,MOD('_Engine'!BK42,10))&amp;IF('_Engine'!BK42&gt;10,"?","")&amp;" AM"&amp;CHAR(10)&amp;INDEX(Settings!$G$7:$G$11,MOD('_Engine'!BL42,10))&amp;IF('_Engine'!BL42&gt;10,"?","")&amp;" PM"))))))))</ns0:f>
        <ns0:v/>
      </ns0:c>
      <ns0:c r="I42" s="162" t="str">
        <ns0:f>IF(OR($A42="",I$11=""),"",IF(OR('_Engine'!$B$6&gt;0,INDEX('_Engine'!$AM$11:$AM$60,'_Engine'!$AO42)&lt;&gt;"OK"),"!",IF(INDEX(Team!$H$11:$N$60,'_Engine'!$AO42,WEEKDAY(I$11,2))&lt;&gt;"Work","—",IF(COUNTIF(Settings!$F$18:$F$67,I$11)&gt;0,"BH",IF('_Engine'!BM42+'_Engine'!BN42=0,"·",IF('_Engine'!BM42='_Engine'!BN42,INDEX(Settings!$G$7:$G$11,MOD('_Engine'!BM42,10))&amp;IF('_Engine'!BM42&gt;10,"?",""),IF('_Engine'!BM42=0,INDEX(Settings!$G$7:$G$11,MOD('_Engine'!BN42,10))&amp;IF('_Engine'!BN42&gt;10,"?","")&amp;" PM",IF('_Engine'!BN42=0,INDEX(Settings!$G$7:$G$11,MOD('_Engine'!BM42,10))&amp;IF('_Engine'!BM42&gt;10,"?","")&amp;" AM",INDEX(Settings!$G$7:$G$11,MOD('_Engine'!BM42,10))&amp;IF('_Engine'!BM42&gt;10,"?","")&amp;" AM"&amp;CHAR(10)&amp;INDEX(Settings!$G$7:$G$11,MOD('_Engine'!BN42,10))&amp;IF('_Engine'!BN42&gt;10,"?","")&amp;" PM"))))))))</ns0:f>
        <ns0:v/>
      </ns0:c>
      <ns0:c r="J42" s="162" t="str">
        <ns0:f>IF(OR($A42="",J$11=""),"",IF(OR('_Engine'!$B$6&gt;0,INDEX('_Engine'!$AM$11:$AM$60,'_Engine'!$AO42)&lt;&gt;"OK"),"!",IF(INDEX(Team!$H$11:$N$60,'_Engine'!$AO42,WEEKDAY(J$11,2))&lt;&gt;"Work","—",IF(COUNTIF(Settings!$F$18:$F$67,J$11)&gt;0,"BH",IF('_Engine'!BO42+'_Engine'!BP42=0,"·",IF('_Engine'!BO42='_Engine'!BP42,INDEX(Settings!$G$7:$G$11,MOD('_Engine'!BO42,10))&amp;IF('_Engine'!BO42&gt;10,"?",""),IF('_Engine'!BO42=0,INDEX(Settings!$G$7:$G$11,MOD('_Engine'!BP42,10))&amp;IF('_Engine'!BP42&gt;10,"?","")&amp;" PM",IF('_Engine'!BP42=0,INDEX(Settings!$G$7:$G$11,MOD('_Engine'!BO42,10))&amp;IF('_Engine'!BO42&gt;10,"?","")&amp;" AM",INDEX(Settings!$G$7:$G$11,MOD('_Engine'!BO42,10))&amp;IF('_Engine'!BO42&gt;10,"?","")&amp;" AM"&amp;CHAR(10)&amp;INDEX(Settings!$G$7:$G$11,MOD('_Engine'!BP42,10))&amp;IF('_Engine'!BP42&gt;10,"?","")&amp;" PM"))))))))</ns0:f>
        <ns0:v/>
      </ns0:c>
      <ns0:c r="K42" s="164" t="str">
        <ns0:f>IF(OR($A42="",K$11=""),"",IF(OR('_Engine'!$B$6&gt;0,INDEX('_Engine'!$AM$11:$AM$60,'_Engine'!$AO42)&lt;&gt;"OK"),"!",IF(INDEX(Team!$H$11:$N$60,'_Engine'!$AO42,WEEKDAY(K$11,2))&lt;&gt;"Work","—",IF(COUNTIF(Settings!$F$18:$F$67,K$11)&gt;0,"BH",IF('_Engine'!BQ42+'_Engine'!BR42=0,"·",IF('_Engine'!BQ42='_Engine'!BR42,INDEX(Settings!$G$7:$G$11,MOD('_Engine'!BQ42,10))&amp;IF('_Engine'!BQ42&gt;10,"?",""),IF('_Engine'!BQ42=0,INDEX(Settings!$G$7:$G$11,MOD('_Engine'!BR42,10))&amp;IF('_Engine'!BR42&gt;10,"?","")&amp;" PM",IF('_Engine'!BR42=0,INDEX(Settings!$G$7:$G$11,MOD('_Engine'!BQ42,10))&amp;IF('_Engine'!BQ42&gt;10,"?","")&amp;" AM",INDEX(Settings!$G$7:$G$11,MOD('_Engine'!BQ42,10))&amp;IF('_Engine'!BQ42&gt;10,"?","")&amp;" AM"&amp;CHAR(10)&amp;INDEX(Settings!$G$7:$G$11,MOD('_Engine'!BR42,10))&amp;IF('_Engine'!BR42&gt;10,"?","")&amp;" PM"))))))))</ns0:f>
        <ns0:v/>
      </ns0:c>
      <ns0:c r="L42" s="164" t="str">
        <ns0:f>IF(OR($A42="",L$11=""),"",IF(OR('_Engine'!$B$6&gt;0,INDEX('_Engine'!$AM$11:$AM$60,'_Engine'!$AO42)&lt;&gt;"OK"),"!",IF(INDEX(Team!$H$11:$N$60,'_Engine'!$AO42,WEEKDAY(L$11,2))&lt;&gt;"Work","—",IF(COUNTIF(Settings!$F$18:$F$67,L$11)&gt;0,"BH",IF('_Engine'!BS42+'_Engine'!BT42=0,"·",IF('_Engine'!BS42='_Engine'!BT42,INDEX(Settings!$G$7:$G$11,MOD('_Engine'!BS42,10))&amp;IF('_Engine'!BS42&gt;10,"?",""),IF('_Engine'!BS42=0,INDEX(Settings!$G$7:$G$11,MOD('_Engine'!BT42,10))&amp;IF('_Engine'!BT42&gt;10,"?","")&amp;" PM",IF('_Engine'!BT42=0,INDEX(Settings!$G$7:$G$11,MOD('_Engine'!BS42,10))&amp;IF('_Engine'!BS42&gt;10,"?","")&amp;" AM",INDEX(Settings!$G$7:$G$11,MOD('_Engine'!BS42,10))&amp;IF('_Engine'!BS42&gt;10,"?","")&amp;" AM"&amp;CHAR(10)&amp;INDEX(Settings!$G$7:$G$11,MOD('_Engine'!BT42,10))&amp;IF('_Engine'!BT42&gt;10,"?","")&amp;" PM"))))))))</ns0:f>
        <ns0:v/>
      </ns0:c>
      <ns0:c r="M42" s="164" t="str">
        <ns0:f>IF(OR($A42="",M$11=""),"",IF(OR('_Engine'!$B$6&gt;0,INDEX('_Engine'!$AM$11:$AM$60,'_Engine'!$AO42)&lt;&gt;"OK"),"!",IF(INDEX(Team!$H$11:$N$60,'_Engine'!$AO42,WEEKDAY(M$11,2))&lt;&gt;"Work","—",IF(COUNTIF(Settings!$F$18:$F$67,M$11)&gt;0,"BH",IF('_Engine'!BU42+'_Engine'!BV42=0,"·",IF('_Engine'!BU42='_Engine'!BV42,INDEX(Settings!$G$7:$G$11,MOD('_Engine'!BU42,10))&amp;IF('_Engine'!BU42&gt;10,"?",""),IF('_Engine'!BU42=0,INDEX(Settings!$G$7:$G$11,MOD('_Engine'!BV42,10))&amp;IF('_Engine'!BV42&gt;10,"?","")&amp;" PM",IF('_Engine'!BV42=0,INDEX(Settings!$G$7:$G$11,MOD('_Engine'!BU42,10))&amp;IF('_Engine'!BU42&gt;10,"?","")&amp;" AM",INDEX(Settings!$G$7:$G$11,MOD('_Engine'!BU42,10))&amp;IF('_Engine'!BU42&gt;10,"?","")&amp;" AM"&amp;CHAR(10)&amp;INDEX(Settings!$G$7:$G$11,MOD('_Engine'!BV42,10))&amp;IF('_Engine'!BV42&gt;10,"?","")&amp;" PM"))))))))</ns0:f>
        <ns0:v/>
      </ns0:c>
      <ns0:c r="N42" s="164" t="str">
        <ns0:f>IF(OR($A42="",N$11=""),"",IF(OR('_Engine'!$B$6&gt;0,INDEX('_Engine'!$AM$11:$AM$60,'_Engine'!$AO42)&lt;&gt;"OK"),"!",IF(INDEX(Team!$H$11:$N$60,'_Engine'!$AO42,WEEKDAY(N$11,2))&lt;&gt;"Work","—",IF(COUNTIF(Settings!$F$18:$F$67,N$11)&gt;0,"BH",IF('_Engine'!BW42+'_Engine'!BX42=0,"·",IF('_Engine'!BW42='_Engine'!BX42,INDEX(Settings!$G$7:$G$11,MOD('_Engine'!BW42,10))&amp;IF('_Engine'!BW42&gt;10,"?",""),IF('_Engine'!BW42=0,INDEX(Settings!$G$7:$G$11,MOD('_Engine'!BX42,10))&amp;IF('_Engine'!BX42&gt;10,"?","")&amp;" PM",IF('_Engine'!BX42=0,INDEX(Settings!$G$7:$G$11,MOD('_Engine'!BW42,10))&amp;IF('_Engine'!BW42&gt;10,"?","")&amp;" AM",INDEX(Settings!$G$7:$G$11,MOD('_Engine'!BW42,10))&amp;IF('_Engine'!BW42&gt;10,"?","")&amp;" AM"&amp;CHAR(10)&amp;INDEX(Settings!$G$7:$G$11,MOD('_Engine'!BX42,10))&amp;IF('_Engine'!BX42&gt;10,"?","")&amp;" PM"))))))))</ns0:f>
        <ns0:v/>
      </ns0:c>
      <ns0:c r="O42" s="164" t="str">
        <ns0:f>IF(OR($A42="",O$11=""),"",IF(OR('_Engine'!$B$6&gt;0,INDEX('_Engine'!$AM$11:$AM$60,'_Engine'!$AO42)&lt;&gt;"OK"),"!",IF(INDEX(Team!$H$11:$N$60,'_Engine'!$AO42,WEEKDAY(O$11,2))&lt;&gt;"Work","—",IF(COUNTIF(Settings!$F$18:$F$67,O$11)&gt;0,"BH",IF('_Engine'!BY42+'_Engine'!BZ42=0,"·",IF('_Engine'!BY42='_Engine'!BZ42,INDEX(Settings!$G$7:$G$11,MOD('_Engine'!BY42,10))&amp;IF('_Engine'!BY42&gt;10,"?",""),IF('_Engine'!BY42=0,INDEX(Settings!$G$7:$G$11,MOD('_Engine'!BZ42,10))&amp;IF('_Engine'!BZ42&gt;10,"?","")&amp;" PM",IF('_Engine'!BZ42=0,INDEX(Settings!$G$7:$G$11,MOD('_Engine'!BY42,10))&amp;IF('_Engine'!BY42&gt;10,"?","")&amp;" AM",INDEX(Settings!$G$7:$G$11,MOD('_Engine'!BY42,10))&amp;IF('_Engine'!BY42&gt;10,"?","")&amp;" AM"&amp;CHAR(10)&amp;INDEX(Settings!$G$7:$G$11,MOD('_Engine'!BZ42,10))&amp;IF('_Engine'!BZ42&gt;10,"?","")&amp;" PM"))))))))</ns0:f>
        <ns0:v/>
      </ns0:c>
      <ns0:c r="P42" s="164" t="str">
        <ns0:f>IF(OR($A42="",P$11=""),"",IF(OR('_Engine'!$B$6&gt;0,INDEX('_Engine'!$AM$11:$AM$60,'_Engine'!$AO42)&lt;&gt;"OK"),"!",IF(INDEX(Team!$H$11:$N$60,'_Engine'!$AO42,WEEKDAY(P$11,2))&lt;&gt;"Work","—",IF(COUNTIF(Settings!$F$18:$F$67,P$11)&gt;0,"BH",IF('_Engine'!CA42+'_Engine'!CB42=0,"·",IF('_Engine'!CA42='_Engine'!CB42,INDEX(Settings!$G$7:$G$11,MOD('_Engine'!CA42,10))&amp;IF('_Engine'!CA42&gt;10,"?",""),IF('_Engine'!CA42=0,INDEX(Settings!$G$7:$G$11,MOD('_Engine'!CB42,10))&amp;IF('_Engine'!CB42&gt;10,"?","")&amp;" PM",IF('_Engine'!CB42=0,INDEX(Settings!$G$7:$G$11,MOD('_Engine'!CA42,10))&amp;IF('_Engine'!CA42&gt;10,"?","")&amp;" AM",INDEX(Settings!$G$7:$G$11,MOD('_Engine'!CA42,10))&amp;IF('_Engine'!CA42&gt;10,"?","")&amp;" AM"&amp;CHAR(10)&amp;INDEX(Settings!$G$7:$G$11,MOD('_Engine'!CB42,10))&amp;IF('_Engine'!CB42&gt;10,"?","")&amp;" PM"))))))))</ns0:f>
        <ns0:v/>
      </ns0:c>
      <ns0:c r="Q42" s="164" t="str">
        <ns0:f>IF(OR($A42="",Q$11=""),"",IF(OR('_Engine'!$B$6&gt;0,INDEX('_Engine'!$AM$11:$AM$60,'_Engine'!$AO42)&lt;&gt;"OK"),"!",IF(INDEX(Team!$H$11:$N$60,'_Engine'!$AO42,WEEKDAY(Q$11,2))&lt;&gt;"Work","—",IF(COUNTIF(Settings!$F$18:$F$67,Q$11)&gt;0,"BH",IF('_Engine'!CC42+'_Engine'!CD42=0,"·",IF('_Engine'!CC42='_Engine'!CD42,INDEX(Settings!$G$7:$G$11,MOD('_Engine'!CC42,10))&amp;IF('_Engine'!CC42&gt;10,"?",""),IF('_Engine'!CC42=0,INDEX(Settings!$G$7:$G$11,MOD('_Engine'!CD42,10))&amp;IF('_Engine'!CD42&gt;10,"?","")&amp;" PM",IF('_Engine'!CD42=0,INDEX(Settings!$G$7:$G$11,MOD('_Engine'!CC42,10))&amp;IF('_Engine'!CC42&gt;10,"?","")&amp;" AM",INDEX(Settings!$G$7:$G$11,MOD('_Engine'!CC42,10))&amp;IF('_Engine'!CC42&gt;10,"?","")&amp;" AM"&amp;CHAR(10)&amp;INDEX(Settings!$G$7:$G$11,MOD('_Engine'!CD42,10))&amp;IF('_Engine'!CD42&gt;10,"?","")&amp;" PM"))))))))</ns0:f>
        <ns0:v/>
      </ns0:c>
      <ns0:c r="R42" s="164" t="str">
        <ns0:f>IF(OR($A42="",R$11=""),"",IF(OR('_Engine'!$B$6&gt;0,INDEX('_Engine'!$AM$11:$AM$60,'_Engine'!$AO42)&lt;&gt;"OK"),"!",IF(INDEX(Team!$H$11:$N$60,'_Engine'!$AO42,WEEKDAY(R$11,2))&lt;&gt;"Work","—",IF(COUNTIF(Settings!$F$18:$F$67,R$11)&gt;0,"BH",IF('_Engine'!CE42+'_Engine'!CF42=0,"·",IF('_Engine'!CE42='_Engine'!CF42,INDEX(Settings!$G$7:$G$11,MOD('_Engine'!CE42,10))&amp;IF('_Engine'!CE42&gt;10,"?",""),IF('_Engine'!CE42=0,INDEX(Settings!$G$7:$G$11,MOD('_Engine'!CF42,10))&amp;IF('_Engine'!CF42&gt;10,"?","")&amp;" PM",IF('_Engine'!CF42=0,INDEX(Settings!$G$7:$G$11,MOD('_Engine'!CE42,10))&amp;IF('_Engine'!CE42&gt;10,"?","")&amp;" AM",INDEX(Settings!$G$7:$G$11,MOD('_Engine'!CE42,10))&amp;IF('_Engine'!CE42&gt;10,"?","")&amp;" AM"&amp;CHAR(10)&amp;INDEX(Settings!$G$7:$G$11,MOD('_Engine'!CF42,10))&amp;IF('_Engine'!CF42&gt;10,"?","")&amp;" PM"))))))))</ns0:f>
        <ns0:v/>
      </ns0:c>
      <ns0:c r="S42" s="164" t="str">
        <ns0:f>IF(OR($A42="",S$11=""),"",IF(OR('_Engine'!$B$6&gt;0,INDEX('_Engine'!$AM$11:$AM$60,'_Engine'!$AO42)&lt;&gt;"OK"),"!",IF(INDEX(Team!$H$11:$N$60,'_Engine'!$AO42,WEEKDAY(S$11,2))&lt;&gt;"Work","—",IF(COUNTIF(Settings!$F$18:$F$67,S$11)&gt;0,"BH",IF('_Engine'!CG42+'_Engine'!CH42=0,"·",IF('_Engine'!CG42='_Engine'!CH42,INDEX(Settings!$G$7:$G$11,MOD('_Engine'!CG42,10))&amp;IF('_Engine'!CG42&gt;10,"?",""),IF('_Engine'!CG42=0,INDEX(Settings!$G$7:$G$11,MOD('_Engine'!CH42,10))&amp;IF('_Engine'!CH42&gt;10,"?","")&amp;" PM",IF('_Engine'!CH42=0,INDEX(Settings!$G$7:$G$11,MOD('_Engine'!CG42,10))&amp;IF('_Engine'!CG42&gt;10,"?","")&amp;" AM",INDEX(Settings!$G$7:$G$11,MOD('_Engine'!CG42,10))&amp;IF('_Engine'!CG42&gt;10,"?","")&amp;" AM"&amp;CHAR(10)&amp;INDEX(Settings!$G$7:$G$11,MOD('_Engine'!CH42,10))&amp;IF('_Engine'!CH42&gt;10,"?","")&amp;" PM"))))))))</ns0:f>
        <ns0:v/>
      </ns0:c>
      <ns0:c r="T42" s="164" t="str">
        <ns0:f>IF(OR($A42="",T$11=""),"",IF(OR('_Engine'!$B$6&gt;0,INDEX('_Engine'!$AM$11:$AM$60,'_Engine'!$AO42)&lt;&gt;"OK"),"!",IF(INDEX(Team!$H$11:$N$60,'_Engine'!$AO42,WEEKDAY(T$11,2))&lt;&gt;"Work","—",IF(COUNTIF(Settings!$F$18:$F$67,T$11)&gt;0,"BH",IF('_Engine'!CI42+'_Engine'!CJ42=0,"·",IF('_Engine'!CI42='_Engine'!CJ42,INDEX(Settings!$G$7:$G$11,MOD('_Engine'!CI42,10))&amp;IF('_Engine'!CI42&gt;10,"?",""),IF('_Engine'!CI42=0,INDEX(Settings!$G$7:$G$11,MOD('_Engine'!CJ42,10))&amp;IF('_Engine'!CJ42&gt;10,"?","")&amp;" PM",IF('_Engine'!CJ42=0,INDEX(Settings!$G$7:$G$11,MOD('_Engine'!CI42,10))&amp;IF('_Engine'!CI42&gt;10,"?","")&amp;" AM",INDEX(Settings!$G$7:$G$11,MOD('_Engine'!CI42,10))&amp;IF('_Engine'!CI42&gt;10,"?","")&amp;" AM"&amp;CHAR(10)&amp;INDEX(Settings!$G$7:$G$11,MOD('_Engine'!CJ42,10))&amp;IF('_Engine'!CJ42&gt;10,"?","")&amp;" PM"))))))))</ns0:f>
        <ns0:v/>
      </ns0:c>
      <ns0:c r="U42" s="164" t="str">
        <ns0:f>IF(OR($A42="",U$11=""),"",IF(OR('_Engine'!$B$6&gt;0,INDEX('_Engine'!$AM$11:$AM$60,'_Engine'!$AO42)&lt;&gt;"OK"),"!",IF(INDEX(Team!$H$11:$N$60,'_Engine'!$AO42,WEEKDAY(U$11,2))&lt;&gt;"Work","—",IF(COUNTIF(Settings!$F$18:$F$67,U$11)&gt;0,"BH",IF('_Engine'!CK42+'_Engine'!CL42=0,"·",IF('_Engine'!CK42='_Engine'!CL42,INDEX(Settings!$G$7:$G$11,MOD('_Engine'!CK42,10))&amp;IF('_Engine'!CK42&gt;10,"?",""),IF('_Engine'!CK42=0,INDEX(Settings!$G$7:$G$11,MOD('_Engine'!CL42,10))&amp;IF('_Engine'!CL42&gt;10,"?","")&amp;" PM",IF('_Engine'!CL42=0,INDEX(Settings!$G$7:$G$11,MOD('_Engine'!CK42,10))&amp;IF('_Engine'!CK42&gt;10,"?","")&amp;" AM",INDEX(Settings!$G$7:$G$11,MOD('_Engine'!CK42,10))&amp;IF('_Engine'!CK42&gt;10,"?","")&amp;" AM"&amp;CHAR(10)&amp;INDEX(Settings!$G$7:$G$11,MOD('_Engine'!CL42,10))&amp;IF('_Engine'!CL42&gt;10,"?","")&amp;" PM"))))))))</ns0:f>
        <ns0:v/>
      </ns0:c>
      <ns0:c r="V42" s="164" t="str">
        <ns0:f>IF(OR($A42="",V$11=""),"",IF(OR('_Engine'!$B$6&gt;0,INDEX('_Engine'!$AM$11:$AM$60,'_Engine'!$AO42)&lt;&gt;"OK"),"!",IF(INDEX(Team!$H$11:$N$60,'_Engine'!$AO42,WEEKDAY(V$11,2))&lt;&gt;"Work","—",IF(COUNTIF(Settings!$F$18:$F$67,V$11)&gt;0,"BH",IF('_Engine'!CM42+'_Engine'!CN42=0,"·",IF('_Engine'!CM42='_Engine'!CN42,INDEX(Settings!$G$7:$G$11,MOD('_Engine'!CM42,10))&amp;IF('_Engine'!CM42&gt;10,"?",""),IF('_Engine'!CM42=0,INDEX(Settings!$G$7:$G$11,MOD('_Engine'!CN42,10))&amp;IF('_Engine'!CN42&gt;10,"?","")&amp;" PM",IF('_Engine'!CN42=0,INDEX(Settings!$G$7:$G$11,MOD('_Engine'!CM42,10))&amp;IF('_Engine'!CM42&gt;10,"?","")&amp;" AM",INDEX(Settings!$G$7:$G$11,MOD('_Engine'!CM42,10))&amp;IF('_Engine'!CM42&gt;10,"?","")&amp;" AM"&amp;CHAR(10)&amp;INDEX(Settings!$G$7:$G$11,MOD('_Engine'!CN42,10))&amp;IF('_Engine'!CN42&gt;10,"?","")&amp;" PM"))))))))</ns0:f>
        <ns0:v/>
      </ns0:c>
      <ns0:c r="W42" s="164" t="str">
        <ns0:f>IF(OR($A42="",W$11=""),"",IF(OR('_Engine'!$B$6&gt;0,INDEX('_Engine'!$AM$11:$AM$60,'_Engine'!$AO42)&lt;&gt;"OK"),"!",IF(INDEX(Team!$H$11:$N$60,'_Engine'!$AO42,WEEKDAY(W$11,2))&lt;&gt;"Work","—",IF(COUNTIF(Settings!$F$18:$F$67,W$11)&gt;0,"BH",IF('_Engine'!CO42+'_Engine'!CP42=0,"·",IF('_Engine'!CO42='_Engine'!CP42,INDEX(Settings!$G$7:$G$11,MOD('_Engine'!CO42,10))&amp;IF('_Engine'!CO42&gt;10,"?",""),IF('_Engine'!CO42=0,INDEX(Settings!$G$7:$G$11,MOD('_Engine'!CP42,10))&amp;IF('_Engine'!CP42&gt;10,"?","")&amp;" PM",IF('_Engine'!CP42=0,INDEX(Settings!$G$7:$G$11,MOD('_Engine'!CO42,10))&amp;IF('_Engine'!CO42&gt;10,"?","")&amp;" AM",INDEX(Settings!$G$7:$G$11,MOD('_Engine'!CO42,10))&amp;IF('_Engine'!CO42&gt;10,"?","")&amp;" AM"&amp;CHAR(10)&amp;INDEX(Settings!$G$7:$G$11,MOD('_Engine'!CP42,10))&amp;IF('_Engine'!CP42&gt;10,"?","")&amp;" PM"))))))))</ns0:f>
        <ns0:v/>
      </ns0:c>
      <ns0:c r="X42" s="164" t="str">
        <ns0:f>IF(OR($A42="",X$11=""),"",IF(OR('_Engine'!$B$6&gt;0,INDEX('_Engine'!$AM$11:$AM$60,'_Engine'!$AO42)&lt;&gt;"OK"),"!",IF(INDEX(Team!$H$11:$N$60,'_Engine'!$AO42,WEEKDAY(X$11,2))&lt;&gt;"Work","—",IF(COUNTIF(Settings!$F$18:$F$67,X$11)&gt;0,"BH",IF('_Engine'!CQ42+'_Engine'!CR42=0,"·",IF('_Engine'!CQ42='_Engine'!CR42,INDEX(Settings!$G$7:$G$11,MOD('_Engine'!CQ42,10))&amp;IF('_Engine'!CQ42&gt;10,"?",""),IF('_Engine'!CQ42=0,INDEX(Settings!$G$7:$G$11,MOD('_Engine'!CR42,10))&amp;IF('_Engine'!CR42&gt;10,"?","")&amp;" PM",IF('_Engine'!CR42=0,INDEX(Settings!$G$7:$G$11,MOD('_Engine'!CQ42,10))&amp;IF('_Engine'!CQ42&gt;10,"?","")&amp;" AM",INDEX(Settings!$G$7:$G$11,MOD('_Engine'!CQ42,10))&amp;IF('_Engine'!CQ42&gt;10,"?","")&amp;" AM"&amp;CHAR(10)&amp;INDEX(Settings!$G$7:$G$11,MOD('_Engine'!CR42,10))&amp;IF('_Engine'!CR42&gt;10,"?","")&amp;" PM"))))))))</ns0:f>
        <ns0:v/>
      </ns0:c>
      <ns0:c r="Y42" s="164" t="str">
        <ns0:f>IF(OR($A42="",Y$11=""),"",IF(OR('_Engine'!$B$6&gt;0,INDEX('_Engine'!$AM$11:$AM$60,'_Engine'!$AO42)&lt;&gt;"OK"),"!",IF(INDEX(Team!$H$11:$N$60,'_Engine'!$AO42,WEEKDAY(Y$11,2))&lt;&gt;"Work","—",IF(COUNTIF(Settings!$F$18:$F$67,Y$11)&gt;0,"BH",IF('_Engine'!CS42+'_Engine'!CT42=0,"·",IF('_Engine'!CS42='_Engine'!CT42,INDEX(Settings!$G$7:$G$11,MOD('_Engine'!CS42,10))&amp;IF('_Engine'!CS42&gt;10,"?",""),IF('_Engine'!CS42=0,INDEX(Settings!$G$7:$G$11,MOD('_Engine'!CT42,10))&amp;IF('_Engine'!CT42&gt;10,"?","")&amp;" PM",IF('_Engine'!CT42=0,INDEX(Settings!$G$7:$G$11,MOD('_Engine'!CS42,10))&amp;IF('_Engine'!CS42&gt;10,"?","")&amp;" AM",INDEX(Settings!$G$7:$G$11,MOD('_Engine'!CS42,10))&amp;IF('_Engine'!CS42&gt;10,"?","")&amp;" AM"&amp;CHAR(10)&amp;INDEX(Settings!$G$7:$G$11,MOD('_Engine'!CT42,10))&amp;IF('_Engine'!CT42&gt;10,"?","")&amp;" PM"))))))))</ns0:f>
        <ns0:v/>
      </ns0:c>
      <ns0:c r="Z42" s="164" t="str">
        <ns0:f>IF(OR($A42="",Z$11=""),"",IF(OR('_Engine'!$B$6&gt;0,INDEX('_Engine'!$AM$11:$AM$60,'_Engine'!$AO42)&lt;&gt;"OK"),"!",IF(INDEX(Team!$H$11:$N$60,'_Engine'!$AO42,WEEKDAY(Z$11,2))&lt;&gt;"Work","—",IF(COUNTIF(Settings!$F$18:$F$67,Z$11)&gt;0,"BH",IF('_Engine'!CU42+'_Engine'!CV42=0,"·",IF('_Engine'!CU42='_Engine'!CV42,INDEX(Settings!$G$7:$G$11,MOD('_Engine'!CU42,10))&amp;IF('_Engine'!CU42&gt;10,"?",""),IF('_Engine'!CU42=0,INDEX(Settings!$G$7:$G$11,MOD('_Engine'!CV42,10))&amp;IF('_Engine'!CV42&gt;10,"?","")&amp;" PM",IF('_Engine'!CV42=0,INDEX(Settings!$G$7:$G$11,MOD('_Engine'!CU42,10))&amp;IF('_Engine'!CU42&gt;10,"?","")&amp;" AM",INDEX(Settings!$G$7:$G$11,MOD('_Engine'!CU42,10))&amp;IF('_Engine'!CU42&gt;10,"?","")&amp;" AM"&amp;CHAR(10)&amp;INDEX(Settings!$G$7:$G$11,MOD('_Engine'!CV42,10))&amp;IF('_Engine'!CV42&gt;10,"?","")&amp;" PM"))))))))</ns0:f>
        <ns0:v/>
      </ns0:c>
      <ns0:c r="AA42" s="164" t="str">
        <ns0:f>IF(OR($A42="",AA$11=""),"",IF(OR('_Engine'!$B$6&gt;0,INDEX('_Engine'!$AM$11:$AM$60,'_Engine'!$AO42)&lt;&gt;"OK"),"!",IF(INDEX(Team!$H$11:$N$60,'_Engine'!$AO42,WEEKDAY(AA$11,2))&lt;&gt;"Work","—",IF(COUNTIF(Settings!$F$18:$F$67,AA$11)&gt;0,"BH",IF('_Engine'!CW42+'_Engine'!CX42=0,"·",IF('_Engine'!CW42='_Engine'!CX42,INDEX(Settings!$G$7:$G$11,MOD('_Engine'!CW42,10))&amp;IF('_Engine'!CW42&gt;10,"?",""),IF('_Engine'!CW42=0,INDEX(Settings!$G$7:$G$11,MOD('_Engine'!CX42,10))&amp;IF('_Engine'!CX42&gt;10,"?","")&amp;" PM",IF('_Engine'!CX42=0,INDEX(Settings!$G$7:$G$11,MOD('_Engine'!CW42,10))&amp;IF('_Engine'!CW42&gt;10,"?","")&amp;" AM",INDEX(Settings!$G$7:$G$11,MOD('_Engine'!CW42,10))&amp;IF('_Engine'!CW42&gt;10,"?","")&amp;" AM"&amp;CHAR(10)&amp;INDEX(Settings!$G$7:$G$11,MOD('_Engine'!CX42,10))&amp;IF('_Engine'!CX42&gt;10,"?","")&amp;" PM"))))))))</ns0:f>
        <ns0:v/>
      </ns0:c>
      <ns0:c r="AB42" s="164" t="str">
        <ns0:f>IF(OR($A42="",AB$11=""),"",IF(OR('_Engine'!$B$6&gt;0,INDEX('_Engine'!$AM$11:$AM$60,'_Engine'!$AO42)&lt;&gt;"OK"),"!",IF(INDEX(Team!$H$11:$N$60,'_Engine'!$AO42,WEEKDAY(AB$11,2))&lt;&gt;"Work","—",IF(COUNTIF(Settings!$F$18:$F$67,AB$11)&gt;0,"BH",IF('_Engine'!CY42+'_Engine'!CZ42=0,"·",IF('_Engine'!CY42='_Engine'!CZ42,INDEX(Settings!$G$7:$G$11,MOD('_Engine'!CY42,10))&amp;IF('_Engine'!CY42&gt;10,"?",""),IF('_Engine'!CY42=0,INDEX(Settings!$G$7:$G$11,MOD('_Engine'!CZ42,10))&amp;IF('_Engine'!CZ42&gt;10,"?","")&amp;" PM",IF('_Engine'!CZ42=0,INDEX(Settings!$G$7:$G$11,MOD('_Engine'!CY42,10))&amp;IF('_Engine'!CY42&gt;10,"?","")&amp;" AM",INDEX(Settings!$G$7:$G$11,MOD('_Engine'!CY42,10))&amp;IF('_Engine'!CY42&gt;10,"?","")&amp;" AM"&amp;CHAR(10)&amp;INDEX(Settings!$G$7:$G$11,MOD('_Engine'!CZ42,10))&amp;IF('_Engine'!CZ42&gt;10,"?","")&amp;" PM"))))))))</ns0:f>
        <ns0:v/>
      </ns0:c>
      <ns0:c r="AC42" s="164" t="str">
        <ns0:f>IF(OR($A42="",AC$11=""),"",IF(OR('_Engine'!$B$6&gt;0,INDEX('_Engine'!$AM$11:$AM$60,'_Engine'!$AO42)&lt;&gt;"OK"),"!",IF(INDEX(Team!$H$11:$N$60,'_Engine'!$AO42,WEEKDAY(AC$11,2))&lt;&gt;"Work","—",IF(COUNTIF(Settings!$F$18:$F$67,AC$11)&gt;0,"BH",IF('_Engine'!DA42+'_Engine'!DB42=0,"·",IF('_Engine'!DA42='_Engine'!DB42,INDEX(Settings!$G$7:$G$11,MOD('_Engine'!DA42,10))&amp;IF('_Engine'!DA42&gt;10,"?",""),IF('_Engine'!DA42=0,INDEX(Settings!$G$7:$G$11,MOD('_Engine'!DB42,10))&amp;IF('_Engine'!DB42&gt;10,"?","")&amp;" PM",IF('_Engine'!DB42=0,INDEX(Settings!$G$7:$G$11,MOD('_Engine'!DA42,10))&amp;IF('_Engine'!DA42&gt;10,"?","")&amp;" AM",INDEX(Settings!$G$7:$G$11,MOD('_Engine'!DA42,10))&amp;IF('_Engine'!DA42&gt;10,"?","")&amp;" AM"&amp;CHAR(10)&amp;INDEX(Settings!$G$7:$G$11,MOD('_Engine'!DB42,10))&amp;IF('_Engine'!DB42&gt;10,"?","")&amp;" PM"))))))))</ns0:f>
        <ns0:v/>
      </ns0:c>
      <ns0:c r="AD42" s="164" t="str">
        <ns0:f>IF(OR($A42="",AD$11=""),"",IF(OR('_Engine'!$B$6&gt;0,INDEX('_Engine'!$AM$11:$AM$60,'_Engine'!$AO42)&lt;&gt;"OK"),"!",IF(INDEX(Team!$H$11:$N$60,'_Engine'!$AO42,WEEKDAY(AD$11,2))&lt;&gt;"Work","—",IF(COUNTIF(Settings!$F$18:$F$67,AD$11)&gt;0,"BH",IF('_Engine'!DC42+'_Engine'!DD42=0,"·",IF('_Engine'!DC42='_Engine'!DD42,INDEX(Settings!$G$7:$G$11,MOD('_Engine'!DC42,10))&amp;IF('_Engine'!DC42&gt;10,"?",""),IF('_Engine'!DC42=0,INDEX(Settings!$G$7:$G$11,MOD('_Engine'!DD42,10))&amp;IF('_Engine'!DD42&gt;10,"?","")&amp;" PM",IF('_Engine'!DD42=0,INDEX(Settings!$G$7:$G$11,MOD('_Engine'!DC42,10))&amp;IF('_Engine'!DC42&gt;10,"?","")&amp;" AM",INDEX(Settings!$G$7:$G$11,MOD('_Engine'!DC42,10))&amp;IF('_Engine'!DC42&gt;10,"?","")&amp;" AM"&amp;CHAR(10)&amp;INDEX(Settings!$G$7:$G$11,MOD('_Engine'!DD42,10))&amp;IF('_Engine'!DD42&gt;10,"?","")&amp;" PM"))))))))</ns0:f>
        <ns0:v/>
      </ns0:c>
      <ns0:c r="AE42" s="164" t="str">
        <ns0:f>IF(OR($A42="",AE$11=""),"",IF(OR('_Engine'!$B$6&gt;0,INDEX('_Engine'!$AM$11:$AM$60,'_Engine'!$AO42)&lt;&gt;"OK"),"!",IF(INDEX(Team!$H$11:$N$60,'_Engine'!$AO42,WEEKDAY(AE$11,2))&lt;&gt;"Work","—",IF(COUNTIF(Settings!$F$18:$F$67,AE$11)&gt;0,"BH",IF('_Engine'!DE42+'_Engine'!DF42=0,"·",IF('_Engine'!DE42='_Engine'!DF42,INDEX(Settings!$G$7:$G$11,MOD('_Engine'!DE42,10))&amp;IF('_Engine'!DE42&gt;10,"?",""),IF('_Engine'!DE42=0,INDEX(Settings!$G$7:$G$11,MOD('_Engine'!DF42,10))&amp;IF('_Engine'!DF42&gt;10,"?","")&amp;" PM",IF('_Engine'!DF42=0,INDEX(Settings!$G$7:$G$11,MOD('_Engine'!DE42,10))&amp;IF('_Engine'!DE42&gt;10,"?","")&amp;" AM",INDEX(Settings!$G$7:$G$11,MOD('_Engine'!DE42,10))&amp;IF('_Engine'!DE42&gt;10,"?","")&amp;" AM"&amp;CHAR(10)&amp;INDEX(Settings!$G$7:$G$11,MOD('_Engine'!DF42,10))&amp;IF('_Engine'!DF42&gt;10,"?","")&amp;" PM"))))))))</ns0:f>
        <ns0:v/>
      </ns0:c>
      <ns0:c r="AF42" s="164" t="str">
        <ns0:f>IF(OR($A42="",AF$11=""),"",IF(OR('_Engine'!$B$6&gt;0,INDEX('_Engine'!$AM$11:$AM$60,'_Engine'!$AO42)&lt;&gt;"OK"),"!",IF(INDEX(Team!$H$11:$N$60,'_Engine'!$AO42,WEEKDAY(AF$11,2))&lt;&gt;"Work","—",IF(COUNTIF(Settings!$F$18:$F$67,AF$11)&gt;0,"BH",IF('_Engine'!DG42+'_Engine'!DH42=0,"·",IF('_Engine'!DG42='_Engine'!DH42,INDEX(Settings!$G$7:$G$11,MOD('_Engine'!DG42,10))&amp;IF('_Engine'!DG42&gt;10,"?",""),IF('_Engine'!DG42=0,INDEX(Settings!$G$7:$G$11,MOD('_Engine'!DH42,10))&amp;IF('_Engine'!DH42&gt;10,"?","")&amp;" PM",IF('_Engine'!DH42=0,INDEX(Settings!$G$7:$G$11,MOD('_Engine'!DG42,10))&amp;IF('_Engine'!DG42&gt;10,"?","")&amp;" AM",INDEX(Settings!$G$7:$G$11,MOD('_Engine'!DG42,10))&amp;IF('_Engine'!DG42&gt;10,"?","")&amp;" AM"&amp;CHAR(10)&amp;INDEX(Settings!$G$7:$G$11,MOD('_Engine'!DH42,10))&amp;IF('_Engine'!DH42&gt;10,"?","")&amp;" PM"))))))))</ns0:f>
        <ns0:v/>
      </ns0:c>
      <ns0:c r="AG42" s="164" t="str">
        <ns0:f>IF(OR($A42="",AG$11=""),"",IF(OR('_Engine'!$B$6&gt;0,INDEX('_Engine'!$AM$11:$AM$60,'_Engine'!$AO42)&lt;&gt;"OK"),"!",IF(INDEX(Team!$H$11:$N$60,'_Engine'!$AO42,WEEKDAY(AG$11,2))&lt;&gt;"Work","—",IF(COUNTIF(Settings!$F$18:$F$67,AG$11)&gt;0,"BH",IF('_Engine'!DI42+'_Engine'!DJ42=0,"·",IF('_Engine'!DI42='_Engine'!DJ42,INDEX(Settings!$G$7:$G$11,MOD('_Engine'!DI42,10))&amp;IF('_Engine'!DI42&gt;10,"?",""),IF('_Engine'!DI42=0,INDEX(Settings!$G$7:$G$11,MOD('_Engine'!DJ42,10))&amp;IF('_Engine'!DJ42&gt;10,"?","")&amp;" PM",IF('_Engine'!DJ42=0,INDEX(Settings!$G$7:$G$11,MOD('_Engine'!DI42,10))&amp;IF('_Engine'!DI42&gt;10,"?","")&amp;" AM",INDEX(Settings!$G$7:$G$11,MOD('_Engine'!DI42,10))&amp;IF('_Engine'!DI42&gt;10,"?","")&amp;" AM"&amp;CHAR(10)&amp;INDEX(Settings!$G$7:$G$11,MOD('_Engine'!DJ42,10))&amp;IF('_Engine'!DJ42&gt;10,"?","")&amp;" PM"))))))))</ns0:f>
        <ns0:v/>
      </ns0:c>
      <ns0:c r="AH42" s="164" t="str">
        <ns0:f>IF(OR($A42="",AH$11=""),"",IF(OR('_Engine'!$B$6&gt;0,INDEX('_Engine'!$AM$11:$AM$60,'_Engine'!$AO42)&lt;&gt;"OK"),"!",IF(INDEX(Team!$H$11:$N$60,'_Engine'!$AO42,WEEKDAY(AH$11,2))&lt;&gt;"Work","—",IF(COUNTIF(Settings!$F$18:$F$67,AH$11)&gt;0,"BH",IF('_Engine'!DK42+'_Engine'!DL42=0,"·",IF('_Engine'!DK42='_Engine'!DL42,INDEX(Settings!$G$7:$G$11,MOD('_Engine'!DK42,10))&amp;IF('_Engine'!DK42&gt;10,"?",""),IF('_Engine'!DK42=0,INDEX(Settings!$G$7:$G$11,MOD('_Engine'!DL42,10))&amp;IF('_Engine'!DL42&gt;10,"?","")&amp;" PM",IF('_Engine'!DL42=0,INDEX(Settings!$G$7:$G$11,MOD('_Engine'!DK42,10))&amp;IF('_Engine'!DK42&gt;10,"?","")&amp;" AM",INDEX(Settings!$G$7:$G$11,MOD('_Engine'!DK42,10))&amp;IF('_Engine'!DK42&gt;10,"?","")&amp;" AM"&amp;CHAR(10)&amp;INDEX(Settings!$G$7:$G$11,MOD('_Engine'!DL42,10))&amp;IF('_Engine'!DL42&gt;10,"?","")&amp;" PM"))))))))</ns0:f>
        <ns0:v/>
      </ns0:c>
    </ns0:row>
    <ns0:row r="43" ht="38" customHeight="1">
      <ns0:c r="A43" s="4" t="str">
        <ns0:f>IF('_Engine'!AO43=0,"",IF(INDEX(Team!$B$11:$B$60,'_Engine'!AO43)="","[Unnamed]",INDEX(Team!$B$11:$B$60,'_Engine'!AO43)))</ns0:f>
        <ns0:v/>
      </ns0:c>
      <ns0:c r="B43" s="156" t="str">
        <ns0:f>IF('_Engine'!AO43=0,"",INDEX('_Engine'!$AN$11:$AN$60,'_Engine'!AO43))</ns0:f>
        <ns0:v/>
      </ns0:c>
      <ns0:c r="C43" s="4" t="str">
        <ns0:f>IF('_Engine'!AO43=0,"",INDEX(Team!$C$11:$C$60,'_Engine'!AO43))</ns0:f>
        <ns0:v/>
      </ns0:c>
      <ns0:c r="D43" s="162" t="str">
        <ns0:f>IF(OR($A43="",D$11=""),"",IF(OR('_Engine'!$B$6&gt;0,INDEX('_Engine'!$AM$11:$AM$60,'_Engine'!$AO43)&lt;&gt;"OK"),"!",IF(INDEX(Team!$H$11:$N$60,'_Engine'!$AO43,WEEKDAY(D$11,2))&lt;&gt;"Work","—",IF(COUNTIF(Settings!$F$18:$F$67,D$11)&gt;0,"BH",IF('_Engine'!BC43+'_Engine'!BD43=0,"·",IF('_Engine'!BC43='_Engine'!BD43,INDEX(Settings!$G$7:$G$11,MOD('_Engine'!BC43,10))&amp;IF('_Engine'!BC43&gt;10,"?",""),IF('_Engine'!BC43=0,INDEX(Settings!$G$7:$G$11,MOD('_Engine'!BD43,10))&amp;IF('_Engine'!BD43&gt;10,"?","")&amp;" PM",IF('_Engine'!BD43=0,INDEX(Settings!$G$7:$G$11,MOD('_Engine'!BC43,10))&amp;IF('_Engine'!BC43&gt;10,"?","")&amp;" AM",INDEX(Settings!$G$7:$G$11,MOD('_Engine'!BC43,10))&amp;IF('_Engine'!BC43&gt;10,"?","")&amp;" AM"&amp;CHAR(10)&amp;INDEX(Settings!$G$7:$G$11,MOD('_Engine'!BD43,10))&amp;IF('_Engine'!BD43&gt;10,"?","")&amp;" PM"))))))))</ns0:f>
        <ns0:v/>
      </ns0:c>
      <ns0:c r="E43" s="162" t="str">
        <ns0:f>IF(OR($A43="",E$11=""),"",IF(OR('_Engine'!$B$6&gt;0,INDEX('_Engine'!$AM$11:$AM$60,'_Engine'!$AO43)&lt;&gt;"OK"),"!",IF(INDEX(Team!$H$11:$N$60,'_Engine'!$AO43,WEEKDAY(E$11,2))&lt;&gt;"Work","—",IF(COUNTIF(Settings!$F$18:$F$67,E$11)&gt;0,"BH",IF('_Engine'!BE43+'_Engine'!BF43=0,"·",IF('_Engine'!BE43='_Engine'!BF43,INDEX(Settings!$G$7:$G$11,MOD('_Engine'!BE43,10))&amp;IF('_Engine'!BE43&gt;10,"?",""),IF('_Engine'!BE43=0,INDEX(Settings!$G$7:$G$11,MOD('_Engine'!BF43,10))&amp;IF('_Engine'!BF43&gt;10,"?","")&amp;" PM",IF('_Engine'!BF43=0,INDEX(Settings!$G$7:$G$11,MOD('_Engine'!BE43,10))&amp;IF('_Engine'!BE43&gt;10,"?","")&amp;" AM",INDEX(Settings!$G$7:$G$11,MOD('_Engine'!BE43,10))&amp;IF('_Engine'!BE43&gt;10,"?","")&amp;" AM"&amp;CHAR(10)&amp;INDEX(Settings!$G$7:$G$11,MOD('_Engine'!BF43,10))&amp;IF('_Engine'!BF43&gt;10,"?","")&amp;" PM"))))))))</ns0:f>
        <ns0:v/>
      </ns0:c>
      <ns0:c r="F43" s="162" t="str">
        <ns0:f>IF(OR($A43="",F$11=""),"",IF(OR('_Engine'!$B$6&gt;0,INDEX('_Engine'!$AM$11:$AM$60,'_Engine'!$AO43)&lt;&gt;"OK"),"!",IF(INDEX(Team!$H$11:$N$60,'_Engine'!$AO43,WEEKDAY(F$11,2))&lt;&gt;"Work","—",IF(COUNTIF(Settings!$F$18:$F$67,F$11)&gt;0,"BH",IF('_Engine'!BG43+'_Engine'!BH43=0,"·",IF('_Engine'!BG43='_Engine'!BH43,INDEX(Settings!$G$7:$G$11,MOD('_Engine'!BG43,10))&amp;IF('_Engine'!BG43&gt;10,"?",""),IF('_Engine'!BG43=0,INDEX(Settings!$G$7:$G$11,MOD('_Engine'!BH43,10))&amp;IF('_Engine'!BH43&gt;10,"?","")&amp;" PM",IF('_Engine'!BH43=0,INDEX(Settings!$G$7:$G$11,MOD('_Engine'!BG43,10))&amp;IF('_Engine'!BG43&gt;10,"?","")&amp;" AM",INDEX(Settings!$G$7:$G$11,MOD('_Engine'!BG43,10))&amp;IF('_Engine'!BG43&gt;10,"?","")&amp;" AM"&amp;CHAR(10)&amp;INDEX(Settings!$G$7:$G$11,MOD('_Engine'!BH43,10))&amp;IF('_Engine'!BH43&gt;10,"?","")&amp;" PM"))))))))</ns0:f>
        <ns0:v/>
      </ns0:c>
      <ns0:c r="G43" s="162" t="str">
        <ns0:f>IF(OR($A43="",G$11=""),"",IF(OR('_Engine'!$B$6&gt;0,INDEX('_Engine'!$AM$11:$AM$60,'_Engine'!$AO43)&lt;&gt;"OK"),"!",IF(INDEX(Team!$H$11:$N$60,'_Engine'!$AO43,WEEKDAY(G$11,2))&lt;&gt;"Work","—",IF(COUNTIF(Settings!$F$18:$F$67,G$11)&gt;0,"BH",IF('_Engine'!BI43+'_Engine'!BJ43=0,"·",IF('_Engine'!BI43='_Engine'!BJ43,INDEX(Settings!$G$7:$G$11,MOD('_Engine'!BI43,10))&amp;IF('_Engine'!BI43&gt;10,"?",""),IF('_Engine'!BI43=0,INDEX(Settings!$G$7:$G$11,MOD('_Engine'!BJ43,10))&amp;IF('_Engine'!BJ43&gt;10,"?","")&amp;" PM",IF('_Engine'!BJ43=0,INDEX(Settings!$G$7:$G$11,MOD('_Engine'!BI43,10))&amp;IF('_Engine'!BI43&gt;10,"?","")&amp;" AM",INDEX(Settings!$G$7:$G$11,MOD('_Engine'!BI43,10))&amp;IF('_Engine'!BI43&gt;10,"?","")&amp;" AM"&amp;CHAR(10)&amp;INDEX(Settings!$G$7:$G$11,MOD('_Engine'!BJ43,10))&amp;IF('_Engine'!BJ43&gt;10,"?","")&amp;" PM"))))))))</ns0:f>
        <ns0:v/>
      </ns0:c>
      <ns0:c r="H43" s="162" t="str">
        <ns0:f>IF(OR($A43="",H$11=""),"",IF(OR('_Engine'!$B$6&gt;0,INDEX('_Engine'!$AM$11:$AM$60,'_Engine'!$AO43)&lt;&gt;"OK"),"!",IF(INDEX(Team!$H$11:$N$60,'_Engine'!$AO43,WEEKDAY(H$11,2))&lt;&gt;"Work","—",IF(COUNTIF(Settings!$F$18:$F$67,H$11)&gt;0,"BH",IF('_Engine'!BK43+'_Engine'!BL43=0,"·",IF('_Engine'!BK43='_Engine'!BL43,INDEX(Settings!$G$7:$G$11,MOD('_Engine'!BK43,10))&amp;IF('_Engine'!BK43&gt;10,"?",""),IF('_Engine'!BK43=0,INDEX(Settings!$G$7:$G$11,MOD('_Engine'!BL43,10))&amp;IF('_Engine'!BL43&gt;10,"?","")&amp;" PM",IF('_Engine'!BL43=0,INDEX(Settings!$G$7:$G$11,MOD('_Engine'!BK43,10))&amp;IF('_Engine'!BK43&gt;10,"?","")&amp;" AM",INDEX(Settings!$G$7:$G$11,MOD('_Engine'!BK43,10))&amp;IF('_Engine'!BK43&gt;10,"?","")&amp;" AM"&amp;CHAR(10)&amp;INDEX(Settings!$G$7:$G$11,MOD('_Engine'!BL43,10))&amp;IF('_Engine'!BL43&gt;10,"?","")&amp;" PM"))))))))</ns0:f>
        <ns0:v/>
      </ns0:c>
      <ns0:c r="I43" s="162" t="str">
        <ns0:f>IF(OR($A43="",I$11=""),"",IF(OR('_Engine'!$B$6&gt;0,INDEX('_Engine'!$AM$11:$AM$60,'_Engine'!$AO43)&lt;&gt;"OK"),"!",IF(INDEX(Team!$H$11:$N$60,'_Engine'!$AO43,WEEKDAY(I$11,2))&lt;&gt;"Work","—",IF(COUNTIF(Settings!$F$18:$F$67,I$11)&gt;0,"BH",IF('_Engine'!BM43+'_Engine'!BN43=0,"·",IF('_Engine'!BM43='_Engine'!BN43,INDEX(Settings!$G$7:$G$11,MOD('_Engine'!BM43,10))&amp;IF('_Engine'!BM43&gt;10,"?",""),IF('_Engine'!BM43=0,INDEX(Settings!$G$7:$G$11,MOD('_Engine'!BN43,10))&amp;IF('_Engine'!BN43&gt;10,"?","")&amp;" PM",IF('_Engine'!BN43=0,INDEX(Settings!$G$7:$G$11,MOD('_Engine'!BM43,10))&amp;IF('_Engine'!BM43&gt;10,"?","")&amp;" AM",INDEX(Settings!$G$7:$G$11,MOD('_Engine'!BM43,10))&amp;IF('_Engine'!BM43&gt;10,"?","")&amp;" AM"&amp;CHAR(10)&amp;INDEX(Settings!$G$7:$G$11,MOD('_Engine'!BN43,10))&amp;IF('_Engine'!BN43&gt;10,"?","")&amp;" PM"))))))))</ns0:f>
        <ns0:v/>
      </ns0:c>
      <ns0:c r="J43" s="162" t="str">
        <ns0:f>IF(OR($A43="",J$11=""),"",IF(OR('_Engine'!$B$6&gt;0,INDEX('_Engine'!$AM$11:$AM$60,'_Engine'!$AO43)&lt;&gt;"OK"),"!",IF(INDEX(Team!$H$11:$N$60,'_Engine'!$AO43,WEEKDAY(J$11,2))&lt;&gt;"Work","—",IF(COUNTIF(Settings!$F$18:$F$67,J$11)&gt;0,"BH",IF('_Engine'!BO43+'_Engine'!BP43=0,"·",IF('_Engine'!BO43='_Engine'!BP43,INDEX(Settings!$G$7:$G$11,MOD('_Engine'!BO43,10))&amp;IF('_Engine'!BO43&gt;10,"?",""),IF('_Engine'!BO43=0,INDEX(Settings!$G$7:$G$11,MOD('_Engine'!BP43,10))&amp;IF('_Engine'!BP43&gt;10,"?","")&amp;" PM",IF('_Engine'!BP43=0,INDEX(Settings!$G$7:$G$11,MOD('_Engine'!BO43,10))&amp;IF('_Engine'!BO43&gt;10,"?","")&amp;" AM",INDEX(Settings!$G$7:$G$11,MOD('_Engine'!BO43,10))&amp;IF('_Engine'!BO43&gt;10,"?","")&amp;" AM"&amp;CHAR(10)&amp;INDEX(Settings!$G$7:$G$11,MOD('_Engine'!BP43,10))&amp;IF('_Engine'!BP43&gt;10,"?","")&amp;" PM"))))))))</ns0:f>
        <ns0:v/>
      </ns0:c>
      <ns0:c r="K43" s="164" t="str">
        <ns0:f>IF(OR($A43="",K$11=""),"",IF(OR('_Engine'!$B$6&gt;0,INDEX('_Engine'!$AM$11:$AM$60,'_Engine'!$AO43)&lt;&gt;"OK"),"!",IF(INDEX(Team!$H$11:$N$60,'_Engine'!$AO43,WEEKDAY(K$11,2))&lt;&gt;"Work","—",IF(COUNTIF(Settings!$F$18:$F$67,K$11)&gt;0,"BH",IF('_Engine'!BQ43+'_Engine'!BR43=0,"·",IF('_Engine'!BQ43='_Engine'!BR43,INDEX(Settings!$G$7:$G$11,MOD('_Engine'!BQ43,10))&amp;IF('_Engine'!BQ43&gt;10,"?",""),IF('_Engine'!BQ43=0,INDEX(Settings!$G$7:$G$11,MOD('_Engine'!BR43,10))&amp;IF('_Engine'!BR43&gt;10,"?","")&amp;" PM",IF('_Engine'!BR43=0,INDEX(Settings!$G$7:$G$11,MOD('_Engine'!BQ43,10))&amp;IF('_Engine'!BQ43&gt;10,"?","")&amp;" AM",INDEX(Settings!$G$7:$G$11,MOD('_Engine'!BQ43,10))&amp;IF('_Engine'!BQ43&gt;10,"?","")&amp;" AM"&amp;CHAR(10)&amp;INDEX(Settings!$G$7:$G$11,MOD('_Engine'!BR43,10))&amp;IF('_Engine'!BR43&gt;10,"?","")&amp;" PM"))))))))</ns0:f>
        <ns0:v/>
      </ns0:c>
      <ns0:c r="L43" s="164" t="str">
        <ns0:f>IF(OR($A43="",L$11=""),"",IF(OR('_Engine'!$B$6&gt;0,INDEX('_Engine'!$AM$11:$AM$60,'_Engine'!$AO43)&lt;&gt;"OK"),"!",IF(INDEX(Team!$H$11:$N$60,'_Engine'!$AO43,WEEKDAY(L$11,2))&lt;&gt;"Work","—",IF(COUNTIF(Settings!$F$18:$F$67,L$11)&gt;0,"BH",IF('_Engine'!BS43+'_Engine'!BT43=0,"·",IF('_Engine'!BS43='_Engine'!BT43,INDEX(Settings!$G$7:$G$11,MOD('_Engine'!BS43,10))&amp;IF('_Engine'!BS43&gt;10,"?",""),IF('_Engine'!BS43=0,INDEX(Settings!$G$7:$G$11,MOD('_Engine'!BT43,10))&amp;IF('_Engine'!BT43&gt;10,"?","")&amp;" PM",IF('_Engine'!BT43=0,INDEX(Settings!$G$7:$G$11,MOD('_Engine'!BS43,10))&amp;IF('_Engine'!BS43&gt;10,"?","")&amp;" AM",INDEX(Settings!$G$7:$G$11,MOD('_Engine'!BS43,10))&amp;IF('_Engine'!BS43&gt;10,"?","")&amp;" AM"&amp;CHAR(10)&amp;INDEX(Settings!$G$7:$G$11,MOD('_Engine'!BT43,10))&amp;IF('_Engine'!BT43&gt;10,"?","")&amp;" PM"))))))))</ns0:f>
        <ns0:v/>
      </ns0:c>
      <ns0:c r="M43" s="164" t="str">
        <ns0:f>IF(OR($A43="",M$11=""),"",IF(OR('_Engine'!$B$6&gt;0,INDEX('_Engine'!$AM$11:$AM$60,'_Engine'!$AO43)&lt;&gt;"OK"),"!",IF(INDEX(Team!$H$11:$N$60,'_Engine'!$AO43,WEEKDAY(M$11,2))&lt;&gt;"Work","—",IF(COUNTIF(Settings!$F$18:$F$67,M$11)&gt;0,"BH",IF('_Engine'!BU43+'_Engine'!BV43=0,"·",IF('_Engine'!BU43='_Engine'!BV43,INDEX(Settings!$G$7:$G$11,MOD('_Engine'!BU43,10))&amp;IF('_Engine'!BU43&gt;10,"?",""),IF('_Engine'!BU43=0,INDEX(Settings!$G$7:$G$11,MOD('_Engine'!BV43,10))&amp;IF('_Engine'!BV43&gt;10,"?","")&amp;" PM",IF('_Engine'!BV43=0,INDEX(Settings!$G$7:$G$11,MOD('_Engine'!BU43,10))&amp;IF('_Engine'!BU43&gt;10,"?","")&amp;" AM",INDEX(Settings!$G$7:$G$11,MOD('_Engine'!BU43,10))&amp;IF('_Engine'!BU43&gt;10,"?","")&amp;" AM"&amp;CHAR(10)&amp;INDEX(Settings!$G$7:$G$11,MOD('_Engine'!BV43,10))&amp;IF('_Engine'!BV43&gt;10,"?","")&amp;" PM"))))))))</ns0:f>
        <ns0:v/>
      </ns0:c>
      <ns0:c r="N43" s="164" t="str">
        <ns0:f>IF(OR($A43="",N$11=""),"",IF(OR('_Engine'!$B$6&gt;0,INDEX('_Engine'!$AM$11:$AM$60,'_Engine'!$AO43)&lt;&gt;"OK"),"!",IF(INDEX(Team!$H$11:$N$60,'_Engine'!$AO43,WEEKDAY(N$11,2))&lt;&gt;"Work","—",IF(COUNTIF(Settings!$F$18:$F$67,N$11)&gt;0,"BH",IF('_Engine'!BW43+'_Engine'!BX43=0,"·",IF('_Engine'!BW43='_Engine'!BX43,INDEX(Settings!$G$7:$G$11,MOD('_Engine'!BW43,10))&amp;IF('_Engine'!BW43&gt;10,"?",""),IF('_Engine'!BW43=0,INDEX(Settings!$G$7:$G$11,MOD('_Engine'!BX43,10))&amp;IF('_Engine'!BX43&gt;10,"?","")&amp;" PM",IF('_Engine'!BX43=0,INDEX(Settings!$G$7:$G$11,MOD('_Engine'!BW43,10))&amp;IF('_Engine'!BW43&gt;10,"?","")&amp;" AM",INDEX(Settings!$G$7:$G$11,MOD('_Engine'!BW43,10))&amp;IF('_Engine'!BW43&gt;10,"?","")&amp;" AM"&amp;CHAR(10)&amp;INDEX(Settings!$G$7:$G$11,MOD('_Engine'!BX43,10))&amp;IF('_Engine'!BX43&gt;10,"?","")&amp;" PM"))))))))</ns0:f>
        <ns0:v/>
      </ns0:c>
      <ns0:c r="O43" s="164" t="str">
        <ns0:f>IF(OR($A43="",O$11=""),"",IF(OR('_Engine'!$B$6&gt;0,INDEX('_Engine'!$AM$11:$AM$60,'_Engine'!$AO43)&lt;&gt;"OK"),"!",IF(INDEX(Team!$H$11:$N$60,'_Engine'!$AO43,WEEKDAY(O$11,2))&lt;&gt;"Work","—",IF(COUNTIF(Settings!$F$18:$F$67,O$11)&gt;0,"BH",IF('_Engine'!BY43+'_Engine'!BZ43=0,"·",IF('_Engine'!BY43='_Engine'!BZ43,INDEX(Settings!$G$7:$G$11,MOD('_Engine'!BY43,10))&amp;IF('_Engine'!BY43&gt;10,"?",""),IF('_Engine'!BY43=0,INDEX(Settings!$G$7:$G$11,MOD('_Engine'!BZ43,10))&amp;IF('_Engine'!BZ43&gt;10,"?","")&amp;" PM",IF('_Engine'!BZ43=0,INDEX(Settings!$G$7:$G$11,MOD('_Engine'!BY43,10))&amp;IF('_Engine'!BY43&gt;10,"?","")&amp;" AM",INDEX(Settings!$G$7:$G$11,MOD('_Engine'!BY43,10))&amp;IF('_Engine'!BY43&gt;10,"?","")&amp;" AM"&amp;CHAR(10)&amp;INDEX(Settings!$G$7:$G$11,MOD('_Engine'!BZ43,10))&amp;IF('_Engine'!BZ43&gt;10,"?","")&amp;" PM"))))))))</ns0:f>
        <ns0:v/>
      </ns0:c>
      <ns0:c r="P43" s="164" t="str">
        <ns0:f>IF(OR($A43="",P$11=""),"",IF(OR('_Engine'!$B$6&gt;0,INDEX('_Engine'!$AM$11:$AM$60,'_Engine'!$AO43)&lt;&gt;"OK"),"!",IF(INDEX(Team!$H$11:$N$60,'_Engine'!$AO43,WEEKDAY(P$11,2))&lt;&gt;"Work","—",IF(COUNTIF(Settings!$F$18:$F$67,P$11)&gt;0,"BH",IF('_Engine'!CA43+'_Engine'!CB43=0,"·",IF('_Engine'!CA43='_Engine'!CB43,INDEX(Settings!$G$7:$G$11,MOD('_Engine'!CA43,10))&amp;IF('_Engine'!CA43&gt;10,"?",""),IF('_Engine'!CA43=0,INDEX(Settings!$G$7:$G$11,MOD('_Engine'!CB43,10))&amp;IF('_Engine'!CB43&gt;10,"?","")&amp;" PM",IF('_Engine'!CB43=0,INDEX(Settings!$G$7:$G$11,MOD('_Engine'!CA43,10))&amp;IF('_Engine'!CA43&gt;10,"?","")&amp;" AM",INDEX(Settings!$G$7:$G$11,MOD('_Engine'!CA43,10))&amp;IF('_Engine'!CA43&gt;10,"?","")&amp;" AM"&amp;CHAR(10)&amp;INDEX(Settings!$G$7:$G$11,MOD('_Engine'!CB43,10))&amp;IF('_Engine'!CB43&gt;10,"?","")&amp;" PM"))))))))</ns0:f>
        <ns0:v/>
      </ns0:c>
      <ns0:c r="Q43" s="164" t="str">
        <ns0:f>IF(OR($A43="",Q$11=""),"",IF(OR('_Engine'!$B$6&gt;0,INDEX('_Engine'!$AM$11:$AM$60,'_Engine'!$AO43)&lt;&gt;"OK"),"!",IF(INDEX(Team!$H$11:$N$60,'_Engine'!$AO43,WEEKDAY(Q$11,2))&lt;&gt;"Work","—",IF(COUNTIF(Settings!$F$18:$F$67,Q$11)&gt;0,"BH",IF('_Engine'!CC43+'_Engine'!CD43=0,"·",IF('_Engine'!CC43='_Engine'!CD43,INDEX(Settings!$G$7:$G$11,MOD('_Engine'!CC43,10))&amp;IF('_Engine'!CC43&gt;10,"?",""),IF('_Engine'!CC43=0,INDEX(Settings!$G$7:$G$11,MOD('_Engine'!CD43,10))&amp;IF('_Engine'!CD43&gt;10,"?","")&amp;" PM",IF('_Engine'!CD43=0,INDEX(Settings!$G$7:$G$11,MOD('_Engine'!CC43,10))&amp;IF('_Engine'!CC43&gt;10,"?","")&amp;" AM",INDEX(Settings!$G$7:$G$11,MOD('_Engine'!CC43,10))&amp;IF('_Engine'!CC43&gt;10,"?","")&amp;" AM"&amp;CHAR(10)&amp;INDEX(Settings!$G$7:$G$11,MOD('_Engine'!CD43,10))&amp;IF('_Engine'!CD43&gt;10,"?","")&amp;" PM"))))))))</ns0:f>
        <ns0:v/>
      </ns0:c>
      <ns0:c r="R43" s="164" t="str">
        <ns0:f>IF(OR($A43="",R$11=""),"",IF(OR('_Engine'!$B$6&gt;0,INDEX('_Engine'!$AM$11:$AM$60,'_Engine'!$AO43)&lt;&gt;"OK"),"!",IF(INDEX(Team!$H$11:$N$60,'_Engine'!$AO43,WEEKDAY(R$11,2))&lt;&gt;"Work","—",IF(COUNTIF(Settings!$F$18:$F$67,R$11)&gt;0,"BH",IF('_Engine'!CE43+'_Engine'!CF43=0,"·",IF('_Engine'!CE43='_Engine'!CF43,INDEX(Settings!$G$7:$G$11,MOD('_Engine'!CE43,10))&amp;IF('_Engine'!CE43&gt;10,"?",""),IF('_Engine'!CE43=0,INDEX(Settings!$G$7:$G$11,MOD('_Engine'!CF43,10))&amp;IF('_Engine'!CF43&gt;10,"?","")&amp;" PM",IF('_Engine'!CF43=0,INDEX(Settings!$G$7:$G$11,MOD('_Engine'!CE43,10))&amp;IF('_Engine'!CE43&gt;10,"?","")&amp;" AM",INDEX(Settings!$G$7:$G$11,MOD('_Engine'!CE43,10))&amp;IF('_Engine'!CE43&gt;10,"?","")&amp;" AM"&amp;CHAR(10)&amp;INDEX(Settings!$G$7:$G$11,MOD('_Engine'!CF43,10))&amp;IF('_Engine'!CF43&gt;10,"?","")&amp;" PM"))))))))</ns0:f>
        <ns0:v/>
      </ns0:c>
      <ns0:c r="S43" s="164" t="str">
        <ns0:f>IF(OR($A43="",S$11=""),"",IF(OR('_Engine'!$B$6&gt;0,INDEX('_Engine'!$AM$11:$AM$60,'_Engine'!$AO43)&lt;&gt;"OK"),"!",IF(INDEX(Team!$H$11:$N$60,'_Engine'!$AO43,WEEKDAY(S$11,2))&lt;&gt;"Work","—",IF(COUNTIF(Settings!$F$18:$F$67,S$11)&gt;0,"BH",IF('_Engine'!CG43+'_Engine'!CH43=0,"·",IF('_Engine'!CG43='_Engine'!CH43,INDEX(Settings!$G$7:$G$11,MOD('_Engine'!CG43,10))&amp;IF('_Engine'!CG43&gt;10,"?",""),IF('_Engine'!CG43=0,INDEX(Settings!$G$7:$G$11,MOD('_Engine'!CH43,10))&amp;IF('_Engine'!CH43&gt;10,"?","")&amp;" PM",IF('_Engine'!CH43=0,INDEX(Settings!$G$7:$G$11,MOD('_Engine'!CG43,10))&amp;IF('_Engine'!CG43&gt;10,"?","")&amp;" AM",INDEX(Settings!$G$7:$G$11,MOD('_Engine'!CG43,10))&amp;IF('_Engine'!CG43&gt;10,"?","")&amp;" AM"&amp;CHAR(10)&amp;INDEX(Settings!$G$7:$G$11,MOD('_Engine'!CH43,10))&amp;IF('_Engine'!CH43&gt;10,"?","")&amp;" PM"))))))))</ns0:f>
        <ns0:v/>
      </ns0:c>
      <ns0:c r="T43" s="164" t="str">
        <ns0:f>IF(OR($A43="",T$11=""),"",IF(OR('_Engine'!$B$6&gt;0,INDEX('_Engine'!$AM$11:$AM$60,'_Engine'!$AO43)&lt;&gt;"OK"),"!",IF(INDEX(Team!$H$11:$N$60,'_Engine'!$AO43,WEEKDAY(T$11,2))&lt;&gt;"Work","—",IF(COUNTIF(Settings!$F$18:$F$67,T$11)&gt;0,"BH",IF('_Engine'!CI43+'_Engine'!CJ43=0,"·",IF('_Engine'!CI43='_Engine'!CJ43,INDEX(Settings!$G$7:$G$11,MOD('_Engine'!CI43,10))&amp;IF('_Engine'!CI43&gt;10,"?",""),IF('_Engine'!CI43=0,INDEX(Settings!$G$7:$G$11,MOD('_Engine'!CJ43,10))&amp;IF('_Engine'!CJ43&gt;10,"?","")&amp;" PM",IF('_Engine'!CJ43=0,INDEX(Settings!$G$7:$G$11,MOD('_Engine'!CI43,10))&amp;IF('_Engine'!CI43&gt;10,"?","")&amp;" AM",INDEX(Settings!$G$7:$G$11,MOD('_Engine'!CI43,10))&amp;IF('_Engine'!CI43&gt;10,"?","")&amp;" AM"&amp;CHAR(10)&amp;INDEX(Settings!$G$7:$G$11,MOD('_Engine'!CJ43,10))&amp;IF('_Engine'!CJ43&gt;10,"?","")&amp;" PM"))))))))</ns0:f>
        <ns0:v/>
      </ns0:c>
      <ns0:c r="U43" s="164" t="str">
        <ns0:f>IF(OR($A43="",U$11=""),"",IF(OR('_Engine'!$B$6&gt;0,INDEX('_Engine'!$AM$11:$AM$60,'_Engine'!$AO43)&lt;&gt;"OK"),"!",IF(INDEX(Team!$H$11:$N$60,'_Engine'!$AO43,WEEKDAY(U$11,2))&lt;&gt;"Work","—",IF(COUNTIF(Settings!$F$18:$F$67,U$11)&gt;0,"BH",IF('_Engine'!CK43+'_Engine'!CL43=0,"·",IF('_Engine'!CK43='_Engine'!CL43,INDEX(Settings!$G$7:$G$11,MOD('_Engine'!CK43,10))&amp;IF('_Engine'!CK43&gt;10,"?",""),IF('_Engine'!CK43=0,INDEX(Settings!$G$7:$G$11,MOD('_Engine'!CL43,10))&amp;IF('_Engine'!CL43&gt;10,"?","")&amp;" PM",IF('_Engine'!CL43=0,INDEX(Settings!$G$7:$G$11,MOD('_Engine'!CK43,10))&amp;IF('_Engine'!CK43&gt;10,"?","")&amp;" AM",INDEX(Settings!$G$7:$G$11,MOD('_Engine'!CK43,10))&amp;IF('_Engine'!CK43&gt;10,"?","")&amp;" AM"&amp;CHAR(10)&amp;INDEX(Settings!$G$7:$G$11,MOD('_Engine'!CL43,10))&amp;IF('_Engine'!CL43&gt;10,"?","")&amp;" PM"))))))))</ns0:f>
        <ns0:v/>
      </ns0:c>
      <ns0:c r="V43" s="164" t="str">
        <ns0:f>IF(OR($A43="",V$11=""),"",IF(OR('_Engine'!$B$6&gt;0,INDEX('_Engine'!$AM$11:$AM$60,'_Engine'!$AO43)&lt;&gt;"OK"),"!",IF(INDEX(Team!$H$11:$N$60,'_Engine'!$AO43,WEEKDAY(V$11,2))&lt;&gt;"Work","—",IF(COUNTIF(Settings!$F$18:$F$67,V$11)&gt;0,"BH",IF('_Engine'!CM43+'_Engine'!CN43=0,"·",IF('_Engine'!CM43='_Engine'!CN43,INDEX(Settings!$G$7:$G$11,MOD('_Engine'!CM43,10))&amp;IF('_Engine'!CM43&gt;10,"?",""),IF('_Engine'!CM43=0,INDEX(Settings!$G$7:$G$11,MOD('_Engine'!CN43,10))&amp;IF('_Engine'!CN43&gt;10,"?","")&amp;" PM",IF('_Engine'!CN43=0,INDEX(Settings!$G$7:$G$11,MOD('_Engine'!CM43,10))&amp;IF('_Engine'!CM43&gt;10,"?","")&amp;" AM",INDEX(Settings!$G$7:$G$11,MOD('_Engine'!CM43,10))&amp;IF('_Engine'!CM43&gt;10,"?","")&amp;" AM"&amp;CHAR(10)&amp;INDEX(Settings!$G$7:$G$11,MOD('_Engine'!CN43,10))&amp;IF('_Engine'!CN43&gt;10,"?","")&amp;" PM"))))))))</ns0:f>
        <ns0:v/>
      </ns0:c>
      <ns0:c r="W43" s="164" t="str">
        <ns0:f>IF(OR($A43="",W$11=""),"",IF(OR('_Engine'!$B$6&gt;0,INDEX('_Engine'!$AM$11:$AM$60,'_Engine'!$AO43)&lt;&gt;"OK"),"!",IF(INDEX(Team!$H$11:$N$60,'_Engine'!$AO43,WEEKDAY(W$11,2))&lt;&gt;"Work","—",IF(COUNTIF(Settings!$F$18:$F$67,W$11)&gt;0,"BH",IF('_Engine'!CO43+'_Engine'!CP43=0,"·",IF('_Engine'!CO43='_Engine'!CP43,INDEX(Settings!$G$7:$G$11,MOD('_Engine'!CO43,10))&amp;IF('_Engine'!CO43&gt;10,"?",""),IF('_Engine'!CO43=0,INDEX(Settings!$G$7:$G$11,MOD('_Engine'!CP43,10))&amp;IF('_Engine'!CP43&gt;10,"?","")&amp;" PM",IF('_Engine'!CP43=0,INDEX(Settings!$G$7:$G$11,MOD('_Engine'!CO43,10))&amp;IF('_Engine'!CO43&gt;10,"?","")&amp;" AM",INDEX(Settings!$G$7:$G$11,MOD('_Engine'!CO43,10))&amp;IF('_Engine'!CO43&gt;10,"?","")&amp;" AM"&amp;CHAR(10)&amp;INDEX(Settings!$G$7:$G$11,MOD('_Engine'!CP43,10))&amp;IF('_Engine'!CP43&gt;10,"?","")&amp;" PM"))))))))</ns0:f>
        <ns0:v/>
      </ns0:c>
      <ns0:c r="X43" s="164" t="str">
        <ns0:f>IF(OR($A43="",X$11=""),"",IF(OR('_Engine'!$B$6&gt;0,INDEX('_Engine'!$AM$11:$AM$60,'_Engine'!$AO43)&lt;&gt;"OK"),"!",IF(INDEX(Team!$H$11:$N$60,'_Engine'!$AO43,WEEKDAY(X$11,2))&lt;&gt;"Work","—",IF(COUNTIF(Settings!$F$18:$F$67,X$11)&gt;0,"BH",IF('_Engine'!CQ43+'_Engine'!CR43=0,"·",IF('_Engine'!CQ43='_Engine'!CR43,INDEX(Settings!$G$7:$G$11,MOD('_Engine'!CQ43,10))&amp;IF('_Engine'!CQ43&gt;10,"?",""),IF('_Engine'!CQ43=0,INDEX(Settings!$G$7:$G$11,MOD('_Engine'!CR43,10))&amp;IF('_Engine'!CR43&gt;10,"?","")&amp;" PM",IF('_Engine'!CR43=0,INDEX(Settings!$G$7:$G$11,MOD('_Engine'!CQ43,10))&amp;IF('_Engine'!CQ43&gt;10,"?","")&amp;" AM",INDEX(Settings!$G$7:$G$11,MOD('_Engine'!CQ43,10))&amp;IF('_Engine'!CQ43&gt;10,"?","")&amp;" AM"&amp;CHAR(10)&amp;INDEX(Settings!$G$7:$G$11,MOD('_Engine'!CR43,10))&amp;IF('_Engine'!CR43&gt;10,"?","")&amp;" PM"))))))))</ns0:f>
        <ns0:v/>
      </ns0:c>
      <ns0:c r="Y43" s="164" t="str">
        <ns0:f>IF(OR($A43="",Y$11=""),"",IF(OR('_Engine'!$B$6&gt;0,INDEX('_Engine'!$AM$11:$AM$60,'_Engine'!$AO43)&lt;&gt;"OK"),"!",IF(INDEX(Team!$H$11:$N$60,'_Engine'!$AO43,WEEKDAY(Y$11,2))&lt;&gt;"Work","—",IF(COUNTIF(Settings!$F$18:$F$67,Y$11)&gt;0,"BH",IF('_Engine'!CS43+'_Engine'!CT43=0,"·",IF('_Engine'!CS43='_Engine'!CT43,INDEX(Settings!$G$7:$G$11,MOD('_Engine'!CS43,10))&amp;IF('_Engine'!CS43&gt;10,"?",""),IF('_Engine'!CS43=0,INDEX(Settings!$G$7:$G$11,MOD('_Engine'!CT43,10))&amp;IF('_Engine'!CT43&gt;10,"?","")&amp;" PM",IF('_Engine'!CT43=0,INDEX(Settings!$G$7:$G$11,MOD('_Engine'!CS43,10))&amp;IF('_Engine'!CS43&gt;10,"?","")&amp;" AM",INDEX(Settings!$G$7:$G$11,MOD('_Engine'!CS43,10))&amp;IF('_Engine'!CS43&gt;10,"?","")&amp;" AM"&amp;CHAR(10)&amp;INDEX(Settings!$G$7:$G$11,MOD('_Engine'!CT43,10))&amp;IF('_Engine'!CT43&gt;10,"?","")&amp;" PM"))))))))</ns0:f>
        <ns0:v/>
      </ns0:c>
      <ns0:c r="Z43" s="164" t="str">
        <ns0:f>IF(OR($A43="",Z$11=""),"",IF(OR('_Engine'!$B$6&gt;0,INDEX('_Engine'!$AM$11:$AM$60,'_Engine'!$AO43)&lt;&gt;"OK"),"!",IF(INDEX(Team!$H$11:$N$60,'_Engine'!$AO43,WEEKDAY(Z$11,2))&lt;&gt;"Work","—",IF(COUNTIF(Settings!$F$18:$F$67,Z$11)&gt;0,"BH",IF('_Engine'!CU43+'_Engine'!CV43=0,"·",IF('_Engine'!CU43='_Engine'!CV43,INDEX(Settings!$G$7:$G$11,MOD('_Engine'!CU43,10))&amp;IF('_Engine'!CU43&gt;10,"?",""),IF('_Engine'!CU43=0,INDEX(Settings!$G$7:$G$11,MOD('_Engine'!CV43,10))&amp;IF('_Engine'!CV43&gt;10,"?","")&amp;" PM",IF('_Engine'!CV43=0,INDEX(Settings!$G$7:$G$11,MOD('_Engine'!CU43,10))&amp;IF('_Engine'!CU43&gt;10,"?","")&amp;" AM",INDEX(Settings!$G$7:$G$11,MOD('_Engine'!CU43,10))&amp;IF('_Engine'!CU43&gt;10,"?","")&amp;" AM"&amp;CHAR(10)&amp;INDEX(Settings!$G$7:$G$11,MOD('_Engine'!CV43,10))&amp;IF('_Engine'!CV43&gt;10,"?","")&amp;" PM"))))))))</ns0:f>
        <ns0:v/>
      </ns0:c>
      <ns0:c r="AA43" s="164" t="str">
        <ns0:f>IF(OR($A43="",AA$11=""),"",IF(OR('_Engine'!$B$6&gt;0,INDEX('_Engine'!$AM$11:$AM$60,'_Engine'!$AO43)&lt;&gt;"OK"),"!",IF(INDEX(Team!$H$11:$N$60,'_Engine'!$AO43,WEEKDAY(AA$11,2))&lt;&gt;"Work","—",IF(COUNTIF(Settings!$F$18:$F$67,AA$11)&gt;0,"BH",IF('_Engine'!CW43+'_Engine'!CX43=0,"·",IF('_Engine'!CW43='_Engine'!CX43,INDEX(Settings!$G$7:$G$11,MOD('_Engine'!CW43,10))&amp;IF('_Engine'!CW43&gt;10,"?",""),IF('_Engine'!CW43=0,INDEX(Settings!$G$7:$G$11,MOD('_Engine'!CX43,10))&amp;IF('_Engine'!CX43&gt;10,"?","")&amp;" PM",IF('_Engine'!CX43=0,INDEX(Settings!$G$7:$G$11,MOD('_Engine'!CW43,10))&amp;IF('_Engine'!CW43&gt;10,"?","")&amp;" AM",INDEX(Settings!$G$7:$G$11,MOD('_Engine'!CW43,10))&amp;IF('_Engine'!CW43&gt;10,"?","")&amp;" AM"&amp;CHAR(10)&amp;INDEX(Settings!$G$7:$G$11,MOD('_Engine'!CX43,10))&amp;IF('_Engine'!CX43&gt;10,"?","")&amp;" PM"))))))))</ns0:f>
        <ns0:v/>
      </ns0:c>
      <ns0:c r="AB43" s="164" t="str">
        <ns0:f>IF(OR($A43="",AB$11=""),"",IF(OR('_Engine'!$B$6&gt;0,INDEX('_Engine'!$AM$11:$AM$60,'_Engine'!$AO43)&lt;&gt;"OK"),"!",IF(INDEX(Team!$H$11:$N$60,'_Engine'!$AO43,WEEKDAY(AB$11,2))&lt;&gt;"Work","—",IF(COUNTIF(Settings!$F$18:$F$67,AB$11)&gt;0,"BH",IF('_Engine'!CY43+'_Engine'!CZ43=0,"·",IF('_Engine'!CY43='_Engine'!CZ43,INDEX(Settings!$G$7:$G$11,MOD('_Engine'!CY43,10))&amp;IF('_Engine'!CY43&gt;10,"?",""),IF('_Engine'!CY43=0,INDEX(Settings!$G$7:$G$11,MOD('_Engine'!CZ43,10))&amp;IF('_Engine'!CZ43&gt;10,"?","")&amp;" PM",IF('_Engine'!CZ43=0,INDEX(Settings!$G$7:$G$11,MOD('_Engine'!CY43,10))&amp;IF('_Engine'!CY43&gt;10,"?","")&amp;" AM",INDEX(Settings!$G$7:$G$11,MOD('_Engine'!CY43,10))&amp;IF('_Engine'!CY43&gt;10,"?","")&amp;" AM"&amp;CHAR(10)&amp;INDEX(Settings!$G$7:$G$11,MOD('_Engine'!CZ43,10))&amp;IF('_Engine'!CZ43&gt;10,"?","")&amp;" PM"))))))))</ns0:f>
        <ns0:v/>
      </ns0:c>
      <ns0:c r="AC43" s="164" t="str">
        <ns0:f>IF(OR($A43="",AC$11=""),"",IF(OR('_Engine'!$B$6&gt;0,INDEX('_Engine'!$AM$11:$AM$60,'_Engine'!$AO43)&lt;&gt;"OK"),"!",IF(INDEX(Team!$H$11:$N$60,'_Engine'!$AO43,WEEKDAY(AC$11,2))&lt;&gt;"Work","—",IF(COUNTIF(Settings!$F$18:$F$67,AC$11)&gt;0,"BH",IF('_Engine'!DA43+'_Engine'!DB43=0,"·",IF('_Engine'!DA43='_Engine'!DB43,INDEX(Settings!$G$7:$G$11,MOD('_Engine'!DA43,10))&amp;IF('_Engine'!DA43&gt;10,"?",""),IF('_Engine'!DA43=0,INDEX(Settings!$G$7:$G$11,MOD('_Engine'!DB43,10))&amp;IF('_Engine'!DB43&gt;10,"?","")&amp;" PM",IF('_Engine'!DB43=0,INDEX(Settings!$G$7:$G$11,MOD('_Engine'!DA43,10))&amp;IF('_Engine'!DA43&gt;10,"?","")&amp;" AM",INDEX(Settings!$G$7:$G$11,MOD('_Engine'!DA43,10))&amp;IF('_Engine'!DA43&gt;10,"?","")&amp;" AM"&amp;CHAR(10)&amp;INDEX(Settings!$G$7:$G$11,MOD('_Engine'!DB43,10))&amp;IF('_Engine'!DB43&gt;10,"?","")&amp;" PM"))))))))</ns0:f>
        <ns0:v/>
      </ns0:c>
      <ns0:c r="AD43" s="164" t="str">
        <ns0:f>IF(OR($A43="",AD$11=""),"",IF(OR('_Engine'!$B$6&gt;0,INDEX('_Engine'!$AM$11:$AM$60,'_Engine'!$AO43)&lt;&gt;"OK"),"!",IF(INDEX(Team!$H$11:$N$60,'_Engine'!$AO43,WEEKDAY(AD$11,2))&lt;&gt;"Work","—",IF(COUNTIF(Settings!$F$18:$F$67,AD$11)&gt;0,"BH",IF('_Engine'!DC43+'_Engine'!DD43=0,"·",IF('_Engine'!DC43='_Engine'!DD43,INDEX(Settings!$G$7:$G$11,MOD('_Engine'!DC43,10))&amp;IF('_Engine'!DC43&gt;10,"?",""),IF('_Engine'!DC43=0,INDEX(Settings!$G$7:$G$11,MOD('_Engine'!DD43,10))&amp;IF('_Engine'!DD43&gt;10,"?","")&amp;" PM",IF('_Engine'!DD43=0,INDEX(Settings!$G$7:$G$11,MOD('_Engine'!DC43,10))&amp;IF('_Engine'!DC43&gt;10,"?","")&amp;" AM",INDEX(Settings!$G$7:$G$11,MOD('_Engine'!DC43,10))&amp;IF('_Engine'!DC43&gt;10,"?","")&amp;" AM"&amp;CHAR(10)&amp;INDEX(Settings!$G$7:$G$11,MOD('_Engine'!DD43,10))&amp;IF('_Engine'!DD43&gt;10,"?","")&amp;" PM"))))))))</ns0:f>
        <ns0:v/>
      </ns0:c>
      <ns0:c r="AE43" s="164" t="str">
        <ns0:f>IF(OR($A43="",AE$11=""),"",IF(OR('_Engine'!$B$6&gt;0,INDEX('_Engine'!$AM$11:$AM$60,'_Engine'!$AO43)&lt;&gt;"OK"),"!",IF(INDEX(Team!$H$11:$N$60,'_Engine'!$AO43,WEEKDAY(AE$11,2))&lt;&gt;"Work","—",IF(COUNTIF(Settings!$F$18:$F$67,AE$11)&gt;0,"BH",IF('_Engine'!DE43+'_Engine'!DF43=0,"·",IF('_Engine'!DE43='_Engine'!DF43,INDEX(Settings!$G$7:$G$11,MOD('_Engine'!DE43,10))&amp;IF('_Engine'!DE43&gt;10,"?",""),IF('_Engine'!DE43=0,INDEX(Settings!$G$7:$G$11,MOD('_Engine'!DF43,10))&amp;IF('_Engine'!DF43&gt;10,"?","")&amp;" PM",IF('_Engine'!DF43=0,INDEX(Settings!$G$7:$G$11,MOD('_Engine'!DE43,10))&amp;IF('_Engine'!DE43&gt;10,"?","")&amp;" AM",INDEX(Settings!$G$7:$G$11,MOD('_Engine'!DE43,10))&amp;IF('_Engine'!DE43&gt;10,"?","")&amp;" AM"&amp;CHAR(10)&amp;INDEX(Settings!$G$7:$G$11,MOD('_Engine'!DF43,10))&amp;IF('_Engine'!DF43&gt;10,"?","")&amp;" PM"))))))))</ns0:f>
        <ns0:v/>
      </ns0:c>
      <ns0:c r="AF43" s="164" t="str">
        <ns0:f>IF(OR($A43="",AF$11=""),"",IF(OR('_Engine'!$B$6&gt;0,INDEX('_Engine'!$AM$11:$AM$60,'_Engine'!$AO43)&lt;&gt;"OK"),"!",IF(INDEX(Team!$H$11:$N$60,'_Engine'!$AO43,WEEKDAY(AF$11,2))&lt;&gt;"Work","—",IF(COUNTIF(Settings!$F$18:$F$67,AF$11)&gt;0,"BH",IF('_Engine'!DG43+'_Engine'!DH43=0,"·",IF('_Engine'!DG43='_Engine'!DH43,INDEX(Settings!$G$7:$G$11,MOD('_Engine'!DG43,10))&amp;IF('_Engine'!DG43&gt;10,"?",""),IF('_Engine'!DG43=0,INDEX(Settings!$G$7:$G$11,MOD('_Engine'!DH43,10))&amp;IF('_Engine'!DH43&gt;10,"?","")&amp;" PM",IF('_Engine'!DH43=0,INDEX(Settings!$G$7:$G$11,MOD('_Engine'!DG43,10))&amp;IF('_Engine'!DG43&gt;10,"?","")&amp;" AM",INDEX(Settings!$G$7:$G$11,MOD('_Engine'!DG43,10))&amp;IF('_Engine'!DG43&gt;10,"?","")&amp;" AM"&amp;CHAR(10)&amp;INDEX(Settings!$G$7:$G$11,MOD('_Engine'!DH43,10))&amp;IF('_Engine'!DH43&gt;10,"?","")&amp;" PM"))))))))</ns0:f>
        <ns0:v/>
      </ns0:c>
      <ns0:c r="AG43" s="164" t="str">
        <ns0:f>IF(OR($A43="",AG$11=""),"",IF(OR('_Engine'!$B$6&gt;0,INDEX('_Engine'!$AM$11:$AM$60,'_Engine'!$AO43)&lt;&gt;"OK"),"!",IF(INDEX(Team!$H$11:$N$60,'_Engine'!$AO43,WEEKDAY(AG$11,2))&lt;&gt;"Work","—",IF(COUNTIF(Settings!$F$18:$F$67,AG$11)&gt;0,"BH",IF('_Engine'!DI43+'_Engine'!DJ43=0,"·",IF('_Engine'!DI43='_Engine'!DJ43,INDEX(Settings!$G$7:$G$11,MOD('_Engine'!DI43,10))&amp;IF('_Engine'!DI43&gt;10,"?",""),IF('_Engine'!DI43=0,INDEX(Settings!$G$7:$G$11,MOD('_Engine'!DJ43,10))&amp;IF('_Engine'!DJ43&gt;10,"?","")&amp;" PM",IF('_Engine'!DJ43=0,INDEX(Settings!$G$7:$G$11,MOD('_Engine'!DI43,10))&amp;IF('_Engine'!DI43&gt;10,"?","")&amp;" AM",INDEX(Settings!$G$7:$G$11,MOD('_Engine'!DI43,10))&amp;IF('_Engine'!DI43&gt;10,"?","")&amp;" AM"&amp;CHAR(10)&amp;INDEX(Settings!$G$7:$G$11,MOD('_Engine'!DJ43,10))&amp;IF('_Engine'!DJ43&gt;10,"?","")&amp;" PM"))))))))</ns0:f>
        <ns0:v/>
      </ns0:c>
      <ns0:c r="AH43" s="164" t="str">
        <ns0:f>IF(OR($A43="",AH$11=""),"",IF(OR('_Engine'!$B$6&gt;0,INDEX('_Engine'!$AM$11:$AM$60,'_Engine'!$AO43)&lt;&gt;"OK"),"!",IF(INDEX(Team!$H$11:$N$60,'_Engine'!$AO43,WEEKDAY(AH$11,2))&lt;&gt;"Work","—",IF(COUNTIF(Settings!$F$18:$F$67,AH$11)&gt;0,"BH",IF('_Engine'!DK43+'_Engine'!DL43=0,"·",IF('_Engine'!DK43='_Engine'!DL43,INDEX(Settings!$G$7:$G$11,MOD('_Engine'!DK43,10))&amp;IF('_Engine'!DK43&gt;10,"?",""),IF('_Engine'!DK43=0,INDEX(Settings!$G$7:$G$11,MOD('_Engine'!DL43,10))&amp;IF('_Engine'!DL43&gt;10,"?","")&amp;" PM",IF('_Engine'!DL43=0,INDEX(Settings!$G$7:$G$11,MOD('_Engine'!DK43,10))&amp;IF('_Engine'!DK43&gt;10,"?","")&amp;" AM",INDEX(Settings!$G$7:$G$11,MOD('_Engine'!DK43,10))&amp;IF('_Engine'!DK43&gt;10,"?","")&amp;" AM"&amp;CHAR(10)&amp;INDEX(Settings!$G$7:$G$11,MOD('_Engine'!DL43,10))&amp;IF('_Engine'!DL43&gt;10,"?","")&amp;" PM"))))))))</ns0:f>
        <ns0:v/>
      </ns0:c>
    </ns0:row>
    <ns0:row r="44" ht="38" customHeight="1">
      <ns0:c r="A44" s="4" t="str">
        <ns0:f>IF('_Engine'!AO44=0,"",IF(INDEX(Team!$B$11:$B$60,'_Engine'!AO44)="","[Unnamed]",INDEX(Team!$B$11:$B$60,'_Engine'!AO44)))</ns0:f>
        <ns0:v/>
      </ns0:c>
      <ns0:c r="B44" s="156" t="str">
        <ns0:f>IF('_Engine'!AO44=0,"",INDEX('_Engine'!$AN$11:$AN$60,'_Engine'!AO44))</ns0:f>
        <ns0:v/>
      </ns0:c>
      <ns0:c r="C44" s="4" t="str">
        <ns0:f>IF('_Engine'!AO44=0,"",INDEX(Team!$C$11:$C$60,'_Engine'!AO44))</ns0:f>
        <ns0:v/>
      </ns0:c>
      <ns0:c r="D44" s="162" t="str">
        <ns0:f>IF(OR($A44="",D$11=""),"",IF(OR('_Engine'!$B$6&gt;0,INDEX('_Engine'!$AM$11:$AM$60,'_Engine'!$AO44)&lt;&gt;"OK"),"!",IF(INDEX(Team!$H$11:$N$60,'_Engine'!$AO44,WEEKDAY(D$11,2))&lt;&gt;"Work","—",IF(COUNTIF(Settings!$F$18:$F$67,D$11)&gt;0,"BH",IF('_Engine'!BC44+'_Engine'!BD44=0,"·",IF('_Engine'!BC44='_Engine'!BD44,INDEX(Settings!$G$7:$G$11,MOD('_Engine'!BC44,10))&amp;IF('_Engine'!BC44&gt;10,"?",""),IF('_Engine'!BC44=0,INDEX(Settings!$G$7:$G$11,MOD('_Engine'!BD44,10))&amp;IF('_Engine'!BD44&gt;10,"?","")&amp;" PM",IF('_Engine'!BD44=0,INDEX(Settings!$G$7:$G$11,MOD('_Engine'!BC44,10))&amp;IF('_Engine'!BC44&gt;10,"?","")&amp;" AM",INDEX(Settings!$G$7:$G$11,MOD('_Engine'!BC44,10))&amp;IF('_Engine'!BC44&gt;10,"?","")&amp;" AM"&amp;CHAR(10)&amp;INDEX(Settings!$G$7:$G$11,MOD('_Engine'!BD44,10))&amp;IF('_Engine'!BD44&gt;10,"?","")&amp;" PM"))))))))</ns0:f>
        <ns0:v/>
      </ns0:c>
      <ns0:c r="E44" s="162" t="str">
        <ns0:f>IF(OR($A44="",E$11=""),"",IF(OR('_Engine'!$B$6&gt;0,INDEX('_Engine'!$AM$11:$AM$60,'_Engine'!$AO44)&lt;&gt;"OK"),"!",IF(INDEX(Team!$H$11:$N$60,'_Engine'!$AO44,WEEKDAY(E$11,2))&lt;&gt;"Work","—",IF(COUNTIF(Settings!$F$18:$F$67,E$11)&gt;0,"BH",IF('_Engine'!BE44+'_Engine'!BF44=0,"·",IF('_Engine'!BE44='_Engine'!BF44,INDEX(Settings!$G$7:$G$11,MOD('_Engine'!BE44,10))&amp;IF('_Engine'!BE44&gt;10,"?",""),IF('_Engine'!BE44=0,INDEX(Settings!$G$7:$G$11,MOD('_Engine'!BF44,10))&amp;IF('_Engine'!BF44&gt;10,"?","")&amp;" PM",IF('_Engine'!BF44=0,INDEX(Settings!$G$7:$G$11,MOD('_Engine'!BE44,10))&amp;IF('_Engine'!BE44&gt;10,"?","")&amp;" AM",INDEX(Settings!$G$7:$G$11,MOD('_Engine'!BE44,10))&amp;IF('_Engine'!BE44&gt;10,"?","")&amp;" AM"&amp;CHAR(10)&amp;INDEX(Settings!$G$7:$G$11,MOD('_Engine'!BF44,10))&amp;IF('_Engine'!BF44&gt;10,"?","")&amp;" PM"))))))))</ns0:f>
        <ns0:v/>
      </ns0:c>
      <ns0:c r="F44" s="162" t="str">
        <ns0:f>IF(OR($A44="",F$11=""),"",IF(OR('_Engine'!$B$6&gt;0,INDEX('_Engine'!$AM$11:$AM$60,'_Engine'!$AO44)&lt;&gt;"OK"),"!",IF(INDEX(Team!$H$11:$N$60,'_Engine'!$AO44,WEEKDAY(F$11,2))&lt;&gt;"Work","—",IF(COUNTIF(Settings!$F$18:$F$67,F$11)&gt;0,"BH",IF('_Engine'!BG44+'_Engine'!BH44=0,"·",IF('_Engine'!BG44='_Engine'!BH44,INDEX(Settings!$G$7:$G$11,MOD('_Engine'!BG44,10))&amp;IF('_Engine'!BG44&gt;10,"?",""),IF('_Engine'!BG44=0,INDEX(Settings!$G$7:$G$11,MOD('_Engine'!BH44,10))&amp;IF('_Engine'!BH44&gt;10,"?","")&amp;" PM",IF('_Engine'!BH44=0,INDEX(Settings!$G$7:$G$11,MOD('_Engine'!BG44,10))&amp;IF('_Engine'!BG44&gt;10,"?","")&amp;" AM",INDEX(Settings!$G$7:$G$11,MOD('_Engine'!BG44,10))&amp;IF('_Engine'!BG44&gt;10,"?","")&amp;" AM"&amp;CHAR(10)&amp;INDEX(Settings!$G$7:$G$11,MOD('_Engine'!BH44,10))&amp;IF('_Engine'!BH44&gt;10,"?","")&amp;" PM"))))))))</ns0:f>
        <ns0:v/>
      </ns0:c>
      <ns0:c r="G44" s="162" t="str">
        <ns0:f>IF(OR($A44="",G$11=""),"",IF(OR('_Engine'!$B$6&gt;0,INDEX('_Engine'!$AM$11:$AM$60,'_Engine'!$AO44)&lt;&gt;"OK"),"!",IF(INDEX(Team!$H$11:$N$60,'_Engine'!$AO44,WEEKDAY(G$11,2))&lt;&gt;"Work","—",IF(COUNTIF(Settings!$F$18:$F$67,G$11)&gt;0,"BH",IF('_Engine'!BI44+'_Engine'!BJ44=0,"·",IF('_Engine'!BI44='_Engine'!BJ44,INDEX(Settings!$G$7:$G$11,MOD('_Engine'!BI44,10))&amp;IF('_Engine'!BI44&gt;10,"?",""),IF('_Engine'!BI44=0,INDEX(Settings!$G$7:$G$11,MOD('_Engine'!BJ44,10))&amp;IF('_Engine'!BJ44&gt;10,"?","")&amp;" PM",IF('_Engine'!BJ44=0,INDEX(Settings!$G$7:$G$11,MOD('_Engine'!BI44,10))&amp;IF('_Engine'!BI44&gt;10,"?","")&amp;" AM",INDEX(Settings!$G$7:$G$11,MOD('_Engine'!BI44,10))&amp;IF('_Engine'!BI44&gt;10,"?","")&amp;" AM"&amp;CHAR(10)&amp;INDEX(Settings!$G$7:$G$11,MOD('_Engine'!BJ44,10))&amp;IF('_Engine'!BJ44&gt;10,"?","")&amp;" PM"))))))))</ns0:f>
        <ns0:v/>
      </ns0:c>
      <ns0:c r="H44" s="162" t="str">
        <ns0:f>IF(OR($A44="",H$11=""),"",IF(OR('_Engine'!$B$6&gt;0,INDEX('_Engine'!$AM$11:$AM$60,'_Engine'!$AO44)&lt;&gt;"OK"),"!",IF(INDEX(Team!$H$11:$N$60,'_Engine'!$AO44,WEEKDAY(H$11,2))&lt;&gt;"Work","—",IF(COUNTIF(Settings!$F$18:$F$67,H$11)&gt;0,"BH",IF('_Engine'!BK44+'_Engine'!BL44=0,"·",IF('_Engine'!BK44='_Engine'!BL44,INDEX(Settings!$G$7:$G$11,MOD('_Engine'!BK44,10))&amp;IF('_Engine'!BK44&gt;10,"?",""),IF('_Engine'!BK44=0,INDEX(Settings!$G$7:$G$11,MOD('_Engine'!BL44,10))&amp;IF('_Engine'!BL44&gt;10,"?","")&amp;" PM",IF('_Engine'!BL44=0,INDEX(Settings!$G$7:$G$11,MOD('_Engine'!BK44,10))&amp;IF('_Engine'!BK44&gt;10,"?","")&amp;" AM",INDEX(Settings!$G$7:$G$11,MOD('_Engine'!BK44,10))&amp;IF('_Engine'!BK44&gt;10,"?","")&amp;" AM"&amp;CHAR(10)&amp;INDEX(Settings!$G$7:$G$11,MOD('_Engine'!BL44,10))&amp;IF('_Engine'!BL44&gt;10,"?","")&amp;" PM"))))))))</ns0:f>
        <ns0:v/>
      </ns0:c>
      <ns0:c r="I44" s="162" t="str">
        <ns0:f>IF(OR($A44="",I$11=""),"",IF(OR('_Engine'!$B$6&gt;0,INDEX('_Engine'!$AM$11:$AM$60,'_Engine'!$AO44)&lt;&gt;"OK"),"!",IF(INDEX(Team!$H$11:$N$60,'_Engine'!$AO44,WEEKDAY(I$11,2))&lt;&gt;"Work","—",IF(COUNTIF(Settings!$F$18:$F$67,I$11)&gt;0,"BH",IF('_Engine'!BM44+'_Engine'!BN44=0,"·",IF('_Engine'!BM44='_Engine'!BN44,INDEX(Settings!$G$7:$G$11,MOD('_Engine'!BM44,10))&amp;IF('_Engine'!BM44&gt;10,"?",""),IF('_Engine'!BM44=0,INDEX(Settings!$G$7:$G$11,MOD('_Engine'!BN44,10))&amp;IF('_Engine'!BN44&gt;10,"?","")&amp;" PM",IF('_Engine'!BN44=0,INDEX(Settings!$G$7:$G$11,MOD('_Engine'!BM44,10))&amp;IF('_Engine'!BM44&gt;10,"?","")&amp;" AM",INDEX(Settings!$G$7:$G$11,MOD('_Engine'!BM44,10))&amp;IF('_Engine'!BM44&gt;10,"?","")&amp;" AM"&amp;CHAR(10)&amp;INDEX(Settings!$G$7:$G$11,MOD('_Engine'!BN44,10))&amp;IF('_Engine'!BN44&gt;10,"?","")&amp;" PM"))))))))</ns0:f>
        <ns0:v/>
      </ns0:c>
      <ns0:c r="J44" s="162" t="str">
        <ns0:f>IF(OR($A44="",J$11=""),"",IF(OR('_Engine'!$B$6&gt;0,INDEX('_Engine'!$AM$11:$AM$60,'_Engine'!$AO44)&lt;&gt;"OK"),"!",IF(INDEX(Team!$H$11:$N$60,'_Engine'!$AO44,WEEKDAY(J$11,2))&lt;&gt;"Work","—",IF(COUNTIF(Settings!$F$18:$F$67,J$11)&gt;0,"BH",IF('_Engine'!BO44+'_Engine'!BP44=0,"·",IF('_Engine'!BO44='_Engine'!BP44,INDEX(Settings!$G$7:$G$11,MOD('_Engine'!BO44,10))&amp;IF('_Engine'!BO44&gt;10,"?",""),IF('_Engine'!BO44=0,INDEX(Settings!$G$7:$G$11,MOD('_Engine'!BP44,10))&amp;IF('_Engine'!BP44&gt;10,"?","")&amp;" PM",IF('_Engine'!BP44=0,INDEX(Settings!$G$7:$G$11,MOD('_Engine'!BO44,10))&amp;IF('_Engine'!BO44&gt;10,"?","")&amp;" AM",INDEX(Settings!$G$7:$G$11,MOD('_Engine'!BO44,10))&amp;IF('_Engine'!BO44&gt;10,"?","")&amp;" AM"&amp;CHAR(10)&amp;INDEX(Settings!$G$7:$G$11,MOD('_Engine'!BP44,10))&amp;IF('_Engine'!BP44&gt;10,"?","")&amp;" PM"))))))))</ns0:f>
        <ns0:v/>
      </ns0:c>
      <ns0:c r="K44" s="164" t="str">
        <ns0:f>IF(OR($A44="",K$11=""),"",IF(OR('_Engine'!$B$6&gt;0,INDEX('_Engine'!$AM$11:$AM$60,'_Engine'!$AO44)&lt;&gt;"OK"),"!",IF(INDEX(Team!$H$11:$N$60,'_Engine'!$AO44,WEEKDAY(K$11,2))&lt;&gt;"Work","—",IF(COUNTIF(Settings!$F$18:$F$67,K$11)&gt;0,"BH",IF('_Engine'!BQ44+'_Engine'!BR44=0,"·",IF('_Engine'!BQ44='_Engine'!BR44,INDEX(Settings!$G$7:$G$11,MOD('_Engine'!BQ44,10))&amp;IF('_Engine'!BQ44&gt;10,"?",""),IF('_Engine'!BQ44=0,INDEX(Settings!$G$7:$G$11,MOD('_Engine'!BR44,10))&amp;IF('_Engine'!BR44&gt;10,"?","")&amp;" PM",IF('_Engine'!BR44=0,INDEX(Settings!$G$7:$G$11,MOD('_Engine'!BQ44,10))&amp;IF('_Engine'!BQ44&gt;10,"?","")&amp;" AM",INDEX(Settings!$G$7:$G$11,MOD('_Engine'!BQ44,10))&amp;IF('_Engine'!BQ44&gt;10,"?","")&amp;" AM"&amp;CHAR(10)&amp;INDEX(Settings!$G$7:$G$11,MOD('_Engine'!BR44,10))&amp;IF('_Engine'!BR44&gt;10,"?","")&amp;" PM"))))))))</ns0:f>
        <ns0:v/>
      </ns0:c>
      <ns0:c r="L44" s="164" t="str">
        <ns0:f>IF(OR($A44="",L$11=""),"",IF(OR('_Engine'!$B$6&gt;0,INDEX('_Engine'!$AM$11:$AM$60,'_Engine'!$AO44)&lt;&gt;"OK"),"!",IF(INDEX(Team!$H$11:$N$60,'_Engine'!$AO44,WEEKDAY(L$11,2))&lt;&gt;"Work","—",IF(COUNTIF(Settings!$F$18:$F$67,L$11)&gt;0,"BH",IF('_Engine'!BS44+'_Engine'!BT44=0,"·",IF('_Engine'!BS44='_Engine'!BT44,INDEX(Settings!$G$7:$G$11,MOD('_Engine'!BS44,10))&amp;IF('_Engine'!BS44&gt;10,"?",""),IF('_Engine'!BS44=0,INDEX(Settings!$G$7:$G$11,MOD('_Engine'!BT44,10))&amp;IF('_Engine'!BT44&gt;10,"?","")&amp;" PM",IF('_Engine'!BT44=0,INDEX(Settings!$G$7:$G$11,MOD('_Engine'!BS44,10))&amp;IF('_Engine'!BS44&gt;10,"?","")&amp;" AM",INDEX(Settings!$G$7:$G$11,MOD('_Engine'!BS44,10))&amp;IF('_Engine'!BS44&gt;10,"?","")&amp;" AM"&amp;CHAR(10)&amp;INDEX(Settings!$G$7:$G$11,MOD('_Engine'!BT44,10))&amp;IF('_Engine'!BT44&gt;10,"?","")&amp;" PM"))))))))</ns0:f>
        <ns0:v/>
      </ns0:c>
      <ns0:c r="M44" s="164" t="str">
        <ns0:f>IF(OR($A44="",M$11=""),"",IF(OR('_Engine'!$B$6&gt;0,INDEX('_Engine'!$AM$11:$AM$60,'_Engine'!$AO44)&lt;&gt;"OK"),"!",IF(INDEX(Team!$H$11:$N$60,'_Engine'!$AO44,WEEKDAY(M$11,2))&lt;&gt;"Work","—",IF(COUNTIF(Settings!$F$18:$F$67,M$11)&gt;0,"BH",IF('_Engine'!BU44+'_Engine'!BV44=0,"·",IF('_Engine'!BU44='_Engine'!BV44,INDEX(Settings!$G$7:$G$11,MOD('_Engine'!BU44,10))&amp;IF('_Engine'!BU44&gt;10,"?",""),IF('_Engine'!BU44=0,INDEX(Settings!$G$7:$G$11,MOD('_Engine'!BV44,10))&amp;IF('_Engine'!BV44&gt;10,"?","")&amp;" PM",IF('_Engine'!BV44=0,INDEX(Settings!$G$7:$G$11,MOD('_Engine'!BU44,10))&amp;IF('_Engine'!BU44&gt;10,"?","")&amp;" AM",INDEX(Settings!$G$7:$G$11,MOD('_Engine'!BU44,10))&amp;IF('_Engine'!BU44&gt;10,"?","")&amp;" AM"&amp;CHAR(10)&amp;INDEX(Settings!$G$7:$G$11,MOD('_Engine'!BV44,10))&amp;IF('_Engine'!BV44&gt;10,"?","")&amp;" PM"))))))))</ns0:f>
        <ns0:v/>
      </ns0:c>
      <ns0:c r="N44" s="164" t="str">
        <ns0:f>IF(OR($A44="",N$11=""),"",IF(OR('_Engine'!$B$6&gt;0,INDEX('_Engine'!$AM$11:$AM$60,'_Engine'!$AO44)&lt;&gt;"OK"),"!",IF(INDEX(Team!$H$11:$N$60,'_Engine'!$AO44,WEEKDAY(N$11,2))&lt;&gt;"Work","—",IF(COUNTIF(Settings!$F$18:$F$67,N$11)&gt;0,"BH",IF('_Engine'!BW44+'_Engine'!BX44=0,"·",IF('_Engine'!BW44='_Engine'!BX44,INDEX(Settings!$G$7:$G$11,MOD('_Engine'!BW44,10))&amp;IF('_Engine'!BW44&gt;10,"?",""),IF('_Engine'!BW44=0,INDEX(Settings!$G$7:$G$11,MOD('_Engine'!BX44,10))&amp;IF('_Engine'!BX44&gt;10,"?","")&amp;" PM",IF('_Engine'!BX44=0,INDEX(Settings!$G$7:$G$11,MOD('_Engine'!BW44,10))&amp;IF('_Engine'!BW44&gt;10,"?","")&amp;" AM",INDEX(Settings!$G$7:$G$11,MOD('_Engine'!BW44,10))&amp;IF('_Engine'!BW44&gt;10,"?","")&amp;" AM"&amp;CHAR(10)&amp;INDEX(Settings!$G$7:$G$11,MOD('_Engine'!BX44,10))&amp;IF('_Engine'!BX44&gt;10,"?","")&amp;" PM"))))))))</ns0:f>
        <ns0:v/>
      </ns0:c>
      <ns0:c r="O44" s="164" t="str">
        <ns0:f>IF(OR($A44="",O$11=""),"",IF(OR('_Engine'!$B$6&gt;0,INDEX('_Engine'!$AM$11:$AM$60,'_Engine'!$AO44)&lt;&gt;"OK"),"!",IF(INDEX(Team!$H$11:$N$60,'_Engine'!$AO44,WEEKDAY(O$11,2))&lt;&gt;"Work","—",IF(COUNTIF(Settings!$F$18:$F$67,O$11)&gt;0,"BH",IF('_Engine'!BY44+'_Engine'!BZ44=0,"·",IF('_Engine'!BY44='_Engine'!BZ44,INDEX(Settings!$G$7:$G$11,MOD('_Engine'!BY44,10))&amp;IF('_Engine'!BY44&gt;10,"?",""),IF('_Engine'!BY44=0,INDEX(Settings!$G$7:$G$11,MOD('_Engine'!BZ44,10))&amp;IF('_Engine'!BZ44&gt;10,"?","")&amp;" PM",IF('_Engine'!BZ44=0,INDEX(Settings!$G$7:$G$11,MOD('_Engine'!BY44,10))&amp;IF('_Engine'!BY44&gt;10,"?","")&amp;" AM",INDEX(Settings!$G$7:$G$11,MOD('_Engine'!BY44,10))&amp;IF('_Engine'!BY44&gt;10,"?","")&amp;" AM"&amp;CHAR(10)&amp;INDEX(Settings!$G$7:$G$11,MOD('_Engine'!BZ44,10))&amp;IF('_Engine'!BZ44&gt;10,"?","")&amp;" PM"))))))))</ns0:f>
        <ns0:v/>
      </ns0:c>
      <ns0:c r="P44" s="164" t="str">
        <ns0:f>IF(OR($A44="",P$11=""),"",IF(OR('_Engine'!$B$6&gt;0,INDEX('_Engine'!$AM$11:$AM$60,'_Engine'!$AO44)&lt;&gt;"OK"),"!",IF(INDEX(Team!$H$11:$N$60,'_Engine'!$AO44,WEEKDAY(P$11,2))&lt;&gt;"Work","—",IF(COUNTIF(Settings!$F$18:$F$67,P$11)&gt;0,"BH",IF('_Engine'!CA44+'_Engine'!CB44=0,"·",IF('_Engine'!CA44='_Engine'!CB44,INDEX(Settings!$G$7:$G$11,MOD('_Engine'!CA44,10))&amp;IF('_Engine'!CA44&gt;10,"?",""),IF('_Engine'!CA44=0,INDEX(Settings!$G$7:$G$11,MOD('_Engine'!CB44,10))&amp;IF('_Engine'!CB44&gt;10,"?","")&amp;" PM",IF('_Engine'!CB44=0,INDEX(Settings!$G$7:$G$11,MOD('_Engine'!CA44,10))&amp;IF('_Engine'!CA44&gt;10,"?","")&amp;" AM",INDEX(Settings!$G$7:$G$11,MOD('_Engine'!CA44,10))&amp;IF('_Engine'!CA44&gt;10,"?","")&amp;" AM"&amp;CHAR(10)&amp;INDEX(Settings!$G$7:$G$11,MOD('_Engine'!CB44,10))&amp;IF('_Engine'!CB44&gt;10,"?","")&amp;" PM"))))))))</ns0:f>
        <ns0:v/>
      </ns0:c>
      <ns0:c r="Q44" s="164" t="str">
        <ns0:f>IF(OR($A44="",Q$11=""),"",IF(OR('_Engine'!$B$6&gt;0,INDEX('_Engine'!$AM$11:$AM$60,'_Engine'!$AO44)&lt;&gt;"OK"),"!",IF(INDEX(Team!$H$11:$N$60,'_Engine'!$AO44,WEEKDAY(Q$11,2))&lt;&gt;"Work","—",IF(COUNTIF(Settings!$F$18:$F$67,Q$11)&gt;0,"BH",IF('_Engine'!CC44+'_Engine'!CD44=0,"·",IF('_Engine'!CC44='_Engine'!CD44,INDEX(Settings!$G$7:$G$11,MOD('_Engine'!CC44,10))&amp;IF('_Engine'!CC44&gt;10,"?",""),IF('_Engine'!CC44=0,INDEX(Settings!$G$7:$G$11,MOD('_Engine'!CD44,10))&amp;IF('_Engine'!CD44&gt;10,"?","")&amp;" PM",IF('_Engine'!CD44=0,INDEX(Settings!$G$7:$G$11,MOD('_Engine'!CC44,10))&amp;IF('_Engine'!CC44&gt;10,"?","")&amp;" AM",INDEX(Settings!$G$7:$G$11,MOD('_Engine'!CC44,10))&amp;IF('_Engine'!CC44&gt;10,"?","")&amp;" AM"&amp;CHAR(10)&amp;INDEX(Settings!$G$7:$G$11,MOD('_Engine'!CD44,10))&amp;IF('_Engine'!CD44&gt;10,"?","")&amp;" PM"))))))))</ns0:f>
        <ns0:v/>
      </ns0:c>
      <ns0:c r="R44" s="164" t="str">
        <ns0:f>IF(OR($A44="",R$11=""),"",IF(OR('_Engine'!$B$6&gt;0,INDEX('_Engine'!$AM$11:$AM$60,'_Engine'!$AO44)&lt;&gt;"OK"),"!",IF(INDEX(Team!$H$11:$N$60,'_Engine'!$AO44,WEEKDAY(R$11,2))&lt;&gt;"Work","—",IF(COUNTIF(Settings!$F$18:$F$67,R$11)&gt;0,"BH",IF('_Engine'!CE44+'_Engine'!CF44=0,"·",IF('_Engine'!CE44='_Engine'!CF44,INDEX(Settings!$G$7:$G$11,MOD('_Engine'!CE44,10))&amp;IF('_Engine'!CE44&gt;10,"?",""),IF('_Engine'!CE44=0,INDEX(Settings!$G$7:$G$11,MOD('_Engine'!CF44,10))&amp;IF('_Engine'!CF44&gt;10,"?","")&amp;" PM",IF('_Engine'!CF44=0,INDEX(Settings!$G$7:$G$11,MOD('_Engine'!CE44,10))&amp;IF('_Engine'!CE44&gt;10,"?","")&amp;" AM",INDEX(Settings!$G$7:$G$11,MOD('_Engine'!CE44,10))&amp;IF('_Engine'!CE44&gt;10,"?","")&amp;" AM"&amp;CHAR(10)&amp;INDEX(Settings!$G$7:$G$11,MOD('_Engine'!CF44,10))&amp;IF('_Engine'!CF44&gt;10,"?","")&amp;" PM"))))))))</ns0:f>
        <ns0:v/>
      </ns0:c>
      <ns0:c r="S44" s="164" t="str">
        <ns0:f>IF(OR($A44="",S$11=""),"",IF(OR('_Engine'!$B$6&gt;0,INDEX('_Engine'!$AM$11:$AM$60,'_Engine'!$AO44)&lt;&gt;"OK"),"!",IF(INDEX(Team!$H$11:$N$60,'_Engine'!$AO44,WEEKDAY(S$11,2))&lt;&gt;"Work","—",IF(COUNTIF(Settings!$F$18:$F$67,S$11)&gt;0,"BH",IF('_Engine'!CG44+'_Engine'!CH44=0,"·",IF('_Engine'!CG44='_Engine'!CH44,INDEX(Settings!$G$7:$G$11,MOD('_Engine'!CG44,10))&amp;IF('_Engine'!CG44&gt;10,"?",""),IF('_Engine'!CG44=0,INDEX(Settings!$G$7:$G$11,MOD('_Engine'!CH44,10))&amp;IF('_Engine'!CH44&gt;10,"?","")&amp;" PM",IF('_Engine'!CH44=0,INDEX(Settings!$G$7:$G$11,MOD('_Engine'!CG44,10))&amp;IF('_Engine'!CG44&gt;10,"?","")&amp;" AM",INDEX(Settings!$G$7:$G$11,MOD('_Engine'!CG44,10))&amp;IF('_Engine'!CG44&gt;10,"?","")&amp;" AM"&amp;CHAR(10)&amp;INDEX(Settings!$G$7:$G$11,MOD('_Engine'!CH44,10))&amp;IF('_Engine'!CH44&gt;10,"?","")&amp;" PM"))))))))</ns0:f>
        <ns0:v/>
      </ns0:c>
      <ns0:c r="T44" s="164" t="str">
        <ns0:f>IF(OR($A44="",T$11=""),"",IF(OR('_Engine'!$B$6&gt;0,INDEX('_Engine'!$AM$11:$AM$60,'_Engine'!$AO44)&lt;&gt;"OK"),"!",IF(INDEX(Team!$H$11:$N$60,'_Engine'!$AO44,WEEKDAY(T$11,2))&lt;&gt;"Work","—",IF(COUNTIF(Settings!$F$18:$F$67,T$11)&gt;0,"BH",IF('_Engine'!CI44+'_Engine'!CJ44=0,"·",IF('_Engine'!CI44='_Engine'!CJ44,INDEX(Settings!$G$7:$G$11,MOD('_Engine'!CI44,10))&amp;IF('_Engine'!CI44&gt;10,"?",""),IF('_Engine'!CI44=0,INDEX(Settings!$G$7:$G$11,MOD('_Engine'!CJ44,10))&amp;IF('_Engine'!CJ44&gt;10,"?","")&amp;" PM",IF('_Engine'!CJ44=0,INDEX(Settings!$G$7:$G$11,MOD('_Engine'!CI44,10))&amp;IF('_Engine'!CI44&gt;10,"?","")&amp;" AM",INDEX(Settings!$G$7:$G$11,MOD('_Engine'!CI44,10))&amp;IF('_Engine'!CI44&gt;10,"?","")&amp;" AM"&amp;CHAR(10)&amp;INDEX(Settings!$G$7:$G$11,MOD('_Engine'!CJ44,10))&amp;IF('_Engine'!CJ44&gt;10,"?","")&amp;" PM"))))))))</ns0:f>
        <ns0:v/>
      </ns0:c>
      <ns0:c r="U44" s="164" t="str">
        <ns0:f>IF(OR($A44="",U$11=""),"",IF(OR('_Engine'!$B$6&gt;0,INDEX('_Engine'!$AM$11:$AM$60,'_Engine'!$AO44)&lt;&gt;"OK"),"!",IF(INDEX(Team!$H$11:$N$60,'_Engine'!$AO44,WEEKDAY(U$11,2))&lt;&gt;"Work","—",IF(COUNTIF(Settings!$F$18:$F$67,U$11)&gt;0,"BH",IF('_Engine'!CK44+'_Engine'!CL44=0,"·",IF('_Engine'!CK44='_Engine'!CL44,INDEX(Settings!$G$7:$G$11,MOD('_Engine'!CK44,10))&amp;IF('_Engine'!CK44&gt;10,"?",""),IF('_Engine'!CK44=0,INDEX(Settings!$G$7:$G$11,MOD('_Engine'!CL44,10))&amp;IF('_Engine'!CL44&gt;10,"?","")&amp;" PM",IF('_Engine'!CL44=0,INDEX(Settings!$G$7:$G$11,MOD('_Engine'!CK44,10))&amp;IF('_Engine'!CK44&gt;10,"?","")&amp;" AM",INDEX(Settings!$G$7:$G$11,MOD('_Engine'!CK44,10))&amp;IF('_Engine'!CK44&gt;10,"?","")&amp;" AM"&amp;CHAR(10)&amp;INDEX(Settings!$G$7:$G$11,MOD('_Engine'!CL44,10))&amp;IF('_Engine'!CL44&gt;10,"?","")&amp;" PM"))))))))</ns0:f>
        <ns0:v/>
      </ns0:c>
      <ns0:c r="V44" s="164" t="str">
        <ns0:f>IF(OR($A44="",V$11=""),"",IF(OR('_Engine'!$B$6&gt;0,INDEX('_Engine'!$AM$11:$AM$60,'_Engine'!$AO44)&lt;&gt;"OK"),"!",IF(INDEX(Team!$H$11:$N$60,'_Engine'!$AO44,WEEKDAY(V$11,2))&lt;&gt;"Work","—",IF(COUNTIF(Settings!$F$18:$F$67,V$11)&gt;0,"BH",IF('_Engine'!CM44+'_Engine'!CN44=0,"·",IF('_Engine'!CM44='_Engine'!CN44,INDEX(Settings!$G$7:$G$11,MOD('_Engine'!CM44,10))&amp;IF('_Engine'!CM44&gt;10,"?",""),IF('_Engine'!CM44=0,INDEX(Settings!$G$7:$G$11,MOD('_Engine'!CN44,10))&amp;IF('_Engine'!CN44&gt;10,"?","")&amp;" PM",IF('_Engine'!CN44=0,INDEX(Settings!$G$7:$G$11,MOD('_Engine'!CM44,10))&amp;IF('_Engine'!CM44&gt;10,"?","")&amp;" AM",INDEX(Settings!$G$7:$G$11,MOD('_Engine'!CM44,10))&amp;IF('_Engine'!CM44&gt;10,"?","")&amp;" AM"&amp;CHAR(10)&amp;INDEX(Settings!$G$7:$G$11,MOD('_Engine'!CN44,10))&amp;IF('_Engine'!CN44&gt;10,"?","")&amp;" PM"))))))))</ns0:f>
        <ns0:v/>
      </ns0:c>
      <ns0:c r="W44" s="164" t="str">
        <ns0:f>IF(OR($A44="",W$11=""),"",IF(OR('_Engine'!$B$6&gt;0,INDEX('_Engine'!$AM$11:$AM$60,'_Engine'!$AO44)&lt;&gt;"OK"),"!",IF(INDEX(Team!$H$11:$N$60,'_Engine'!$AO44,WEEKDAY(W$11,2))&lt;&gt;"Work","—",IF(COUNTIF(Settings!$F$18:$F$67,W$11)&gt;0,"BH",IF('_Engine'!CO44+'_Engine'!CP44=0,"·",IF('_Engine'!CO44='_Engine'!CP44,INDEX(Settings!$G$7:$G$11,MOD('_Engine'!CO44,10))&amp;IF('_Engine'!CO44&gt;10,"?",""),IF('_Engine'!CO44=0,INDEX(Settings!$G$7:$G$11,MOD('_Engine'!CP44,10))&amp;IF('_Engine'!CP44&gt;10,"?","")&amp;" PM",IF('_Engine'!CP44=0,INDEX(Settings!$G$7:$G$11,MOD('_Engine'!CO44,10))&amp;IF('_Engine'!CO44&gt;10,"?","")&amp;" AM",INDEX(Settings!$G$7:$G$11,MOD('_Engine'!CO44,10))&amp;IF('_Engine'!CO44&gt;10,"?","")&amp;" AM"&amp;CHAR(10)&amp;INDEX(Settings!$G$7:$G$11,MOD('_Engine'!CP44,10))&amp;IF('_Engine'!CP44&gt;10,"?","")&amp;" PM"))))))))</ns0:f>
        <ns0:v/>
      </ns0:c>
      <ns0:c r="X44" s="164" t="str">
        <ns0:f>IF(OR($A44="",X$11=""),"",IF(OR('_Engine'!$B$6&gt;0,INDEX('_Engine'!$AM$11:$AM$60,'_Engine'!$AO44)&lt;&gt;"OK"),"!",IF(INDEX(Team!$H$11:$N$60,'_Engine'!$AO44,WEEKDAY(X$11,2))&lt;&gt;"Work","—",IF(COUNTIF(Settings!$F$18:$F$67,X$11)&gt;0,"BH",IF('_Engine'!CQ44+'_Engine'!CR44=0,"·",IF('_Engine'!CQ44='_Engine'!CR44,INDEX(Settings!$G$7:$G$11,MOD('_Engine'!CQ44,10))&amp;IF('_Engine'!CQ44&gt;10,"?",""),IF('_Engine'!CQ44=0,INDEX(Settings!$G$7:$G$11,MOD('_Engine'!CR44,10))&amp;IF('_Engine'!CR44&gt;10,"?","")&amp;" PM",IF('_Engine'!CR44=0,INDEX(Settings!$G$7:$G$11,MOD('_Engine'!CQ44,10))&amp;IF('_Engine'!CQ44&gt;10,"?","")&amp;" AM",INDEX(Settings!$G$7:$G$11,MOD('_Engine'!CQ44,10))&amp;IF('_Engine'!CQ44&gt;10,"?","")&amp;" AM"&amp;CHAR(10)&amp;INDEX(Settings!$G$7:$G$11,MOD('_Engine'!CR44,10))&amp;IF('_Engine'!CR44&gt;10,"?","")&amp;" PM"))))))))</ns0:f>
        <ns0:v/>
      </ns0:c>
      <ns0:c r="Y44" s="164" t="str">
        <ns0:f>IF(OR($A44="",Y$11=""),"",IF(OR('_Engine'!$B$6&gt;0,INDEX('_Engine'!$AM$11:$AM$60,'_Engine'!$AO44)&lt;&gt;"OK"),"!",IF(INDEX(Team!$H$11:$N$60,'_Engine'!$AO44,WEEKDAY(Y$11,2))&lt;&gt;"Work","—",IF(COUNTIF(Settings!$F$18:$F$67,Y$11)&gt;0,"BH",IF('_Engine'!CS44+'_Engine'!CT44=0,"·",IF('_Engine'!CS44='_Engine'!CT44,INDEX(Settings!$G$7:$G$11,MOD('_Engine'!CS44,10))&amp;IF('_Engine'!CS44&gt;10,"?",""),IF('_Engine'!CS44=0,INDEX(Settings!$G$7:$G$11,MOD('_Engine'!CT44,10))&amp;IF('_Engine'!CT44&gt;10,"?","")&amp;" PM",IF('_Engine'!CT44=0,INDEX(Settings!$G$7:$G$11,MOD('_Engine'!CS44,10))&amp;IF('_Engine'!CS44&gt;10,"?","")&amp;" AM",INDEX(Settings!$G$7:$G$11,MOD('_Engine'!CS44,10))&amp;IF('_Engine'!CS44&gt;10,"?","")&amp;" AM"&amp;CHAR(10)&amp;INDEX(Settings!$G$7:$G$11,MOD('_Engine'!CT44,10))&amp;IF('_Engine'!CT44&gt;10,"?","")&amp;" PM"))))))))</ns0:f>
        <ns0:v/>
      </ns0:c>
      <ns0:c r="Z44" s="164" t="str">
        <ns0:f>IF(OR($A44="",Z$11=""),"",IF(OR('_Engine'!$B$6&gt;0,INDEX('_Engine'!$AM$11:$AM$60,'_Engine'!$AO44)&lt;&gt;"OK"),"!",IF(INDEX(Team!$H$11:$N$60,'_Engine'!$AO44,WEEKDAY(Z$11,2))&lt;&gt;"Work","—",IF(COUNTIF(Settings!$F$18:$F$67,Z$11)&gt;0,"BH",IF('_Engine'!CU44+'_Engine'!CV44=0,"·",IF('_Engine'!CU44='_Engine'!CV44,INDEX(Settings!$G$7:$G$11,MOD('_Engine'!CU44,10))&amp;IF('_Engine'!CU44&gt;10,"?",""),IF('_Engine'!CU44=0,INDEX(Settings!$G$7:$G$11,MOD('_Engine'!CV44,10))&amp;IF('_Engine'!CV44&gt;10,"?","")&amp;" PM",IF('_Engine'!CV44=0,INDEX(Settings!$G$7:$G$11,MOD('_Engine'!CU44,10))&amp;IF('_Engine'!CU44&gt;10,"?","")&amp;" AM",INDEX(Settings!$G$7:$G$11,MOD('_Engine'!CU44,10))&amp;IF('_Engine'!CU44&gt;10,"?","")&amp;" AM"&amp;CHAR(10)&amp;INDEX(Settings!$G$7:$G$11,MOD('_Engine'!CV44,10))&amp;IF('_Engine'!CV44&gt;10,"?","")&amp;" PM"))))))))</ns0:f>
        <ns0:v/>
      </ns0:c>
      <ns0:c r="AA44" s="164" t="str">
        <ns0:f>IF(OR($A44="",AA$11=""),"",IF(OR('_Engine'!$B$6&gt;0,INDEX('_Engine'!$AM$11:$AM$60,'_Engine'!$AO44)&lt;&gt;"OK"),"!",IF(INDEX(Team!$H$11:$N$60,'_Engine'!$AO44,WEEKDAY(AA$11,2))&lt;&gt;"Work","—",IF(COUNTIF(Settings!$F$18:$F$67,AA$11)&gt;0,"BH",IF('_Engine'!CW44+'_Engine'!CX44=0,"·",IF('_Engine'!CW44='_Engine'!CX44,INDEX(Settings!$G$7:$G$11,MOD('_Engine'!CW44,10))&amp;IF('_Engine'!CW44&gt;10,"?",""),IF('_Engine'!CW44=0,INDEX(Settings!$G$7:$G$11,MOD('_Engine'!CX44,10))&amp;IF('_Engine'!CX44&gt;10,"?","")&amp;" PM",IF('_Engine'!CX44=0,INDEX(Settings!$G$7:$G$11,MOD('_Engine'!CW44,10))&amp;IF('_Engine'!CW44&gt;10,"?","")&amp;" AM",INDEX(Settings!$G$7:$G$11,MOD('_Engine'!CW44,10))&amp;IF('_Engine'!CW44&gt;10,"?","")&amp;" AM"&amp;CHAR(10)&amp;INDEX(Settings!$G$7:$G$11,MOD('_Engine'!CX44,10))&amp;IF('_Engine'!CX44&gt;10,"?","")&amp;" PM"))))))))</ns0:f>
        <ns0:v/>
      </ns0:c>
      <ns0:c r="AB44" s="164" t="str">
        <ns0:f>IF(OR($A44="",AB$11=""),"",IF(OR('_Engine'!$B$6&gt;0,INDEX('_Engine'!$AM$11:$AM$60,'_Engine'!$AO44)&lt;&gt;"OK"),"!",IF(INDEX(Team!$H$11:$N$60,'_Engine'!$AO44,WEEKDAY(AB$11,2))&lt;&gt;"Work","—",IF(COUNTIF(Settings!$F$18:$F$67,AB$11)&gt;0,"BH",IF('_Engine'!CY44+'_Engine'!CZ44=0,"·",IF('_Engine'!CY44='_Engine'!CZ44,INDEX(Settings!$G$7:$G$11,MOD('_Engine'!CY44,10))&amp;IF('_Engine'!CY44&gt;10,"?",""),IF('_Engine'!CY44=0,INDEX(Settings!$G$7:$G$11,MOD('_Engine'!CZ44,10))&amp;IF('_Engine'!CZ44&gt;10,"?","")&amp;" PM",IF('_Engine'!CZ44=0,INDEX(Settings!$G$7:$G$11,MOD('_Engine'!CY44,10))&amp;IF('_Engine'!CY44&gt;10,"?","")&amp;" AM",INDEX(Settings!$G$7:$G$11,MOD('_Engine'!CY44,10))&amp;IF('_Engine'!CY44&gt;10,"?","")&amp;" AM"&amp;CHAR(10)&amp;INDEX(Settings!$G$7:$G$11,MOD('_Engine'!CZ44,10))&amp;IF('_Engine'!CZ44&gt;10,"?","")&amp;" PM"))))))))</ns0:f>
        <ns0:v/>
      </ns0:c>
      <ns0:c r="AC44" s="164" t="str">
        <ns0:f>IF(OR($A44="",AC$11=""),"",IF(OR('_Engine'!$B$6&gt;0,INDEX('_Engine'!$AM$11:$AM$60,'_Engine'!$AO44)&lt;&gt;"OK"),"!",IF(INDEX(Team!$H$11:$N$60,'_Engine'!$AO44,WEEKDAY(AC$11,2))&lt;&gt;"Work","—",IF(COUNTIF(Settings!$F$18:$F$67,AC$11)&gt;0,"BH",IF('_Engine'!DA44+'_Engine'!DB44=0,"·",IF('_Engine'!DA44='_Engine'!DB44,INDEX(Settings!$G$7:$G$11,MOD('_Engine'!DA44,10))&amp;IF('_Engine'!DA44&gt;10,"?",""),IF('_Engine'!DA44=0,INDEX(Settings!$G$7:$G$11,MOD('_Engine'!DB44,10))&amp;IF('_Engine'!DB44&gt;10,"?","")&amp;" PM",IF('_Engine'!DB44=0,INDEX(Settings!$G$7:$G$11,MOD('_Engine'!DA44,10))&amp;IF('_Engine'!DA44&gt;10,"?","")&amp;" AM",INDEX(Settings!$G$7:$G$11,MOD('_Engine'!DA44,10))&amp;IF('_Engine'!DA44&gt;10,"?","")&amp;" AM"&amp;CHAR(10)&amp;INDEX(Settings!$G$7:$G$11,MOD('_Engine'!DB44,10))&amp;IF('_Engine'!DB44&gt;10,"?","")&amp;" PM"))))))))</ns0:f>
        <ns0:v/>
      </ns0:c>
      <ns0:c r="AD44" s="164" t="str">
        <ns0:f>IF(OR($A44="",AD$11=""),"",IF(OR('_Engine'!$B$6&gt;0,INDEX('_Engine'!$AM$11:$AM$60,'_Engine'!$AO44)&lt;&gt;"OK"),"!",IF(INDEX(Team!$H$11:$N$60,'_Engine'!$AO44,WEEKDAY(AD$11,2))&lt;&gt;"Work","—",IF(COUNTIF(Settings!$F$18:$F$67,AD$11)&gt;0,"BH",IF('_Engine'!DC44+'_Engine'!DD44=0,"·",IF('_Engine'!DC44='_Engine'!DD44,INDEX(Settings!$G$7:$G$11,MOD('_Engine'!DC44,10))&amp;IF('_Engine'!DC44&gt;10,"?",""),IF('_Engine'!DC44=0,INDEX(Settings!$G$7:$G$11,MOD('_Engine'!DD44,10))&amp;IF('_Engine'!DD44&gt;10,"?","")&amp;" PM",IF('_Engine'!DD44=0,INDEX(Settings!$G$7:$G$11,MOD('_Engine'!DC44,10))&amp;IF('_Engine'!DC44&gt;10,"?","")&amp;" AM",INDEX(Settings!$G$7:$G$11,MOD('_Engine'!DC44,10))&amp;IF('_Engine'!DC44&gt;10,"?","")&amp;" AM"&amp;CHAR(10)&amp;INDEX(Settings!$G$7:$G$11,MOD('_Engine'!DD44,10))&amp;IF('_Engine'!DD44&gt;10,"?","")&amp;" PM"))))))))</ns0:f>
        <ns0:v/>
      </ns0:c>
      <ns0:c r="AE44" s="164" t="str">
        <ns0:f>IF(OR($A44="",AE$11=""),"",IF(OR('_Engine'!$B$6&gt;0,INDEX('_Engine'!$AM$11:$AM$60,'_Engine'!$AO44)&lt;&gt;"OK"),"!",IF(INDEX(Team!$H$11:$N$60,'_Engine'!$AO44,WEEKDAY(AE$11,2))&lt;&gt;"Work","—",IF(COUNTIF(Settings!$F$18:$F$67,AE$11)&gt;0,"BH",IF('_Engine'!DE44+'_Engine'!DF44=0,"·",IF('_Engine'!DE44='_Engine'!DF44,INDEX(Settings!$G$7:$G$11,MOD('_Engine'!DE44,10))&amp;IF('_Engine'!DE44&gt;10,"?",""),IF('_Engine'!DE44=0,INDEX(Settings!$G$7:$G$11,MOD('_Engine'!DF44,10))&amp;IF('_Engine'!DF44&gt;10,"?","")&amp;" PM",IF('_Engine'!DF44=0,INDEX(Settings!$G$7:$G$11,MOD('_Engine'!DE44,10))&amp;IF('_Engine'!DE44&gt;10,"?","")&amp;" AM",INDEX(Settings!$G$7:$G$11,MOD('_Engine'!DE44,10))&amp;IF('_Engine'!DE44&gt;10,"?","")&amp;" AM"&amp;CHAR(10)&amp;INDEX(Settings!$G$7:$G$11,MOD('_Engine'!DF44,10))&amp;IF('_Engine'!DF44&gt;10,"?","")&amp;" PM"))))))))</ns0:f>
        <ns0:v/>
      </ns0:c>
      <ns0:c r="AF44" s="164" t="str">
        <ns0:f>IF(OR($A44="",AF$11=""),"",IF(OR('_Engine'!$B$6&gt;0,INDEX('_Engine'!$AM$11:$AM$60,'_Engine'!$AO44)&lt;&gt;"OK"),"!",IF(INDEX(Team!$H$11:$N$60,'_Engine'!$AO44,WEEKDAY(AF$11,2))&lt;&gt;"Work","—",IF(COUNTIF(Settings!$F$18:$F$67,AF$11)&gt;0,"BH",IF('_Engine'!DG44+'_Engine'!DH44=0,"·",IF('_Engine'!DG44='_Engine'!DH44,INDEX(Settings!$G$7:$G$11,MOD('_Engine'!DG44,10))&amp;IF('_Engine'!DG44&gt;10,"?",""),IF('_Engine'!DG44=0,INDEX(Settings!$G$7:$G$11,MOD('_Engine'!DH44,10))&amp;IF('_Engine'!DH44&gt;10,"?","")&amp;" PM",IF('_Engine'!DH44=0,INDEX(Settings!$G$7:$G$11,MOD('_Engine'!DG44,10))&amp;IF('_Engine'!DG44&gt;10,"?","")&amp;" AM",INDEX(Settings!$G$7:$G$11,MOD('_Engine'!DG44,10))&amp;IF('_Engine'!DG44&gt;10,"?","")&amp;" AM"&amp;CHAR(10)&amp;INDEX(Settings!$G$7:$G$11,MOD('_Engine'!DH44,10))&amp;IF('_Engine'!DH44&gt;10,"?","")&amp;" PM"))))))))</ns0:f>
        <ns0:v/>
      </ns0:c>
      <ns0:c r="AG44" s="164" t="str">
        <ns0:f>IF(OR($A44="",AG$11=""),"",IF(OR('_Engine'!$B$6&gt;0,INDEX('_Engine'!$AM$11:$AM$60,'_Engine'!$AO44)&lt;&gt;"OK"),"!",IF(INDEX(Team!$H$11:$N$60,'_Engine'!$AO44,WEEKDAY(AG$11,2))&lt;&gt;"Work","—",IF(COUNTIF(Settings!$F$18:$F$67,AG$11)&gt;0,"BH",IF('_Engine'!DI44+'_Engine'!DJ44=0,"·",IF('_Engine'!DI44='_Engine'!DJ44,INDEX(Settings!$G$7:$G$11,MOD('_Engine'!DI44,10))&amp;IF('_Engine'!DI44&gt;10,"?",""),IF('_Engine'!DI44=0,INDEX(Settings!$G$7:$G$11,MOD('_Engine'!DJ44,10))&amp;IF('_Engine'!DJ44&gt;10,"?","")&amp;" PM",IF('_Engine'!DJ44=0,INDEX(Settings!$G$7:$G$11,MOD('_Engine'!DI44,10))&amp;IF('_Engine'!DI44&gt;10,"?","")&amp;" AM",INDEX(Settings!$G$7:$G$11,MOD('_Engine'!DI44,10))&amp;IF('_Engine'!DI44&gt;10,"?","")&amp;" AM"&amp;CHAR(10)&amp;INDEX(Settings!$G$7:$G$11,MOD('_Engine'!DJ44,10))&amp;IF('_Engine'!DJ44&gt;10,"?","")&amp;" PM"))))))))</ns0:f>
        <ns0:v/>
      </ns0:c>
      <ns0:c r="AH44" s="164" t="str">
        <ns0:f>IF(OR($A44="",AH$11=""),"",IF(OR('_Engine'!$B$6&gt;0,INDEX('_Engine'!$AM$11:$AM$60,'_Engine'!$AO44)&lt;&gt;"OK"),"!",IF(INDEX(Team!$H$11:$N$60,'_Engine'!$AO44,WEEKDAY(AH$11,2))&lt;&gt;"Work","—",IF(COUNTIF(Settings!$F$18:$F$67,AH$11)&gt;0,"BH",IF('_Engine'!DK44+'_Engine'!DL44=0,"·",IF('_Engine'!DK44='_Engine'!DL44,INDEX(Settings!$G$7:$G$11,MOD('_Engine'!DK44,10))&amp;IF('_Engine'!DK44&gt;10,"?",""),IF('_Engine'!DK44=0,INDEX(Settings!$G$7:$G$11,MOD('_Engine'!DL44,10))&amp;IF('_Engine'!DL44&gt;10,"?","")&amp;" PM",IF('_Engine'!DL44=0,INDEX(Settings!$G$7:$G$11,MOD('_Engine'!DK44,10))&amp;IF('_Engine'!DK44&gt;10,"?","")&amp;" AM",INDEX(Settings!$G$7:$G$11,MOD('_Engine'!DK44,10))&amp;IF('_Engine'!DK44&gt;10,"?","")&amp;" AM"&amp;CHAR(10)&amp;INDEX(Settings!$G$7:$G$11,MOD('_Engine'!DL44,10))&amp;IF('_Engine'!DL44&gt;10,"?","")&amp;" PM"))))))))</ns0:f>
        <ns0:v/>
      </ns0:c>
    </ns0:row>
    <ns0:row r="45" ht="38" customHeight="1">
      <ns0:c r="A45" s="4" t="str">
        <ns0:f>IF('_Engine'!AO45=0,"",IF(INDEX(Team!$B$11:$B$60,'_Engine'!AO45)="","[Unnamed]",INDEX(Team!$B$11:$B$60,'_Engine'!AO45)))</ns0:f>
        <ns0:v/>
      </ns0:c>
      <ns0:c r="B45" s="156" t="str">
        <ns0:f>IF('_Engine'!AO45=0,"",INDEX('_Engine'!$AN$11:$AN$60,'_Engine'!AO45))</ns0:f>
        <ns0:v/>
      </ns0:c>
      <ns0:c r="C45" s="4" t="str">
        <ns0:f>IF('_Engine'!AO45=0,"",INDEX(Team!$C$11:$C$60,'_Engine'!AO45))</ns0:f>
        <ns0:v/>
      </ns0:c>
      <ns0:c r="D45" s="162" t="str">
        <ns0:f>IF(OR($A45="",D$11=""),"",IF(OR('_Engine'!$B$6&gt;0,INDEX('_Engine'!$AM$11:$AM$60,'_Engine'!$AO45)&lt;&gt;"OK"),"!",IF(INDEX(Team!$H$11:$N$60,'_Engine'!$AO45,WEEKDAY(D$11,2))&lt;&gt;"Work","—",IF(COUNTIF(Settings!$F$18:$F$67,D$11)&gt;0,"BH",IF('_Engine'!BC45+'_Engine'!BD45=0,"·",IF('_Engine'!BC45='_Engine'!BD45,INDEX(Settings!$G$7:$G$11,MOD('_Engine'!BC45,10))&amp;IF('_Engine'!BC45&gt;10,"?",""),IF('_Engine'!BC45=0,INDEX(Settings!$G$7:$G$11,MOD('_Engine'!BD45,10))&amp;IF('_Engine'!BD45&gt;10,"?","")&amp;" PM",IF('_Engine'!BD45=0,INDEX(Settings!$G$7:$G$11,MOD('_Engine'!BC45,10))&amp;IF('_Engine'!BC45&gt;10,"?","")&amp;" AM",INDEX(Settings!$G$7:$G$11,MOD('_Engine'!BC45,10))&amp;IF('_Engine'!BC45&gt;10,"?","")&amp;" AM"&amp;CHAR(10)&amp;INDEX(Settings!$G$7:$G$11,MOD('_Engine'!BD45,10))&amp;IF('_Engine'!BD45&gt;10,"?","")&amp;" PM"))))))))</ns0:f>
        <ns0:v/>
      </ns0:c>
      <ns0:c r="E45" s="162" t="str">
        <ns0:f>IF(OR($A45="",E$11=""),"",IF(OR('_Engine'!$B$6&gt;0,INDEX('_Engine'!$AM$11:$AM$60,'_Engine'!$AO45)&lt;&gt;"OK"),"!",IF(INDEX(Team!$H$11:$N$60,'_Engine'!$AO45,WEEKDAY(E$11,2))&lt;&gt;"Work","—",IF(COUNTIF(Settings!$F$18:$F$67,E$11)&gt;0,"BH",IF('_Engine'!BE45+'_Engine'!BF45=0,"·",IF('_Engine'!BE45='_Engine'!BF45,INDEX(Settings!$G$7:$G$11,MOD('_Engine'!BE45,10))&amp;IF('_Engine'!BE45&gt;10,"?",""),IF('_Engine'!BE45=0,INDEX(Settings!$G$7:$G$11,MOD('_Engine'!BF45,10))&amp;IF('_Engine'!BF45&gt;10,"?","")&amp;" PM",IF('_Engine'!BF45=0,INDEX(Settings!$G$7:$G$11,MOD('_Engine'!BE45,10))&amp;IF('_Engine'!BE45&gt;10,"?","")&amp;" AM",INDEX(Settings!$G$7:$G$11,MOD('_Engine'!BE45,10))&amp;IF('_Engine'!BE45&gt;10,"?","")&amp;" AM"&amp;CHAR(10)&amp;INDEX(Settings!$G$7:$G$11,MOD('_Engine'!BF45,10))&amp;IF('_Engine'!BF45&gt;10,"?","")&amp;" PM"))))))))</ns0:f>
        <ns0:v/>
      </ns0:c>
      <ns0:c r="F45" s="162" t="str">
        <ns0:f>IF(OR($A45="",F$11=""),"",IF(OR('_Engine'!$B$6&gt;0,INDEX('_Engine'!$AM$11:$AM$60,'_Engine'!$AO45)&lt;&gt;"OK"),"!",IF(INDEX(Team!$H$11:$N$60,'_Engine'!$AO45,WEEKDAY(F$11,2))&lt;&gt;"Work","—",IF(COUNTIF(Settings!$F$18:$F$67,F$11)&gt;0,"BH",IF('_Engine'!BG45+'_Engine'!BH45=0,"·",IF('_Engine'!BG45='_Engine'!BH45,INDEX(Settings!$G$7:$G$11,MOD('_Engine'!BG45,10))&amp;IF('_Engine'!BG45&gt;10,"?",""),IF('_Engine'!BG45=0,INDEX(Settings!$G$7:$G$11,MOD('_Engine'!BH45,10))&amp;IF('_Engine'!BH45&gt;10,"?","")&amp;" PM",IF('_Engine'!BH45=0,INDEX(Settings!$G$7:$G$11,MOD('_Engine'!BG45,10))&amp;IF('_Engine'!BG45&gt;10,"?","")&amp;" AM",INDEX(Settings!$G$7:$G$11,MOD('_Engine'!BG45,10))&amp;IF('_Engine'!BG45&gt;10,"?","")&amp;" AM"&amp;CHAR(10)&amp;INDEX(Settings!$G$7:$G$11,MOD('_Engine'!BH45,10))&amp;IF('_Engine'!BH45&gt;10,"?","")&amp;" PM"))))))))</ns0:f>
        <ns0:v/>
      </ns0:c>
      <ns0:c r="G45" s="162" t="str">
        <ns0:f>IF(OR($A45="",G$11=""),"",IF(OR('_Engine'!$B$6&gt;0,INDEX('_Engine'!$AM$11:$AM$60,'_Engine'!$AO45)&lt;&gt;"OK"),"!",IF(INDEX(Team!$H$11:$N$60,'_Engine'!$AO45,WEEKDAY(G$11,2))&lt;&gt;"Work","—",IF(COUNTIF(Settings!$F$18:$F$67,G$11)&gt;0,"BH",IF('_Engine'!BI45+'_Engine'!BJ45=0,"·",IF('_Engine'!BI45='_Engine'!BJ45,INDEX(Settings!$G$7:$G$11,MOD('_Engine'!BI45,10))&amp;IF('_Engine'!BI45&gt;10,"?",""),IF('_Engine'!BI45=0,INDEX(Settings!$G$7:$G$11,MOD('_Engine'!BJ45,10))&amp;IF('_Engine'!BJ45&gt;10,"?","")&amp;" PM",IF('_Engine'!BJ45=0,INDEX(Settings!$G$7:$G$11,MOD('_Engine'!BI45,10))&amp;IF('_Engine'!BI45&gt;10,"?","")&amp;" AM",INDEX(Settings!$G$7:$G$11,MOD('_Engine'!BI45,10))&amp;IF('_Engine'!BI45&gt;10,"?","")&amp;" AM"&amp;CHAR(10)&amp;INDEX(Settings!$G$7:$G$11,MOD('_Engine'!BJ45,10))&amp;IF('_Engine'!BJ45&gt;10,"?","")&amp;" PM"))))))))</ns0:f>
        <ns0:v/>
      </ns0:c>
      <ns0:c r="H45" s="162" t="str">
        <ns0:f>IF(OR($A45="",H$11=""),"",IF(OR('_Engine'!$B$6&gt;0,INDEX('_Engine'!$AM$11:$AM$60,'_Engine'!$AO45)&lt;&gt;"OK"),"!",IF(INDEX(Team!$H$11:$N$60,'_Engine'!$AO45,WEEKDAY(H$11,2))&lt;&gt;"Work","—",IF(COUNTIF(Settings!$F$18:$F$67,H$11)&gt;0,"BH",IF('_Engine'!BK45+'_Engine'!BL45=0,"·",IF('_Engine'!BK45='_Engine'!BL45,INDEX(Settings!$G$7:$G$11,MOD('_Engine'!BK45,10))&amp;IF('_Engine'!BK45&gt;10,"?",""),IF('_Engine'!BK45=0,INDEX(Settings!$G$7:$G$11,MOD('_Engine'!BL45,10))&amp;IF('_Engine'!BL45&gt;10,"?","")&amp;" PM",IF('_Engine'!BL45=0,INDEX(Settings!$G$7:$G$11,MOD('_Engine'!BK45,10))&amp;IF('_Engine'!BK45&gt;10,"?","")&amp;" AM",INDEX(Settings!$G$7:$G$11,MOD('_Engine'!BK45,10))&amp;IF('_Engine'!BK45&gt;10,"?","")&amp;" AM"&amp;CHAR(10)&amp;INDEX(Settings!$G$7:$G$11,MOD('_Engine'!BL45,10))&amp;IF('_Engine'!BL45&gt;10,"?","")&amp;" PM"))))))))</ns0:f>
        <ns0:v/>
      </ns0:c>
      <ns0:c r="I45" s="162" t="str">
        <ns0:f>IF(OR($A45="",I$11=""),"",IF(OR('_Engine'!$B$6&gt;0,INDEX('_Engine'!$AM$11:$AM$60,'_Engine'!$AO45)&lt;&gt;"OK"),"!",IF(INDEX(Team!$H$11:$N$60,'_Engine'!$AO45,WEEKDAY(I$11,2))&lt;&gt;"Work","—",IF(COUNTIF(Settings!$F$18:$F$67,I$11)&gt;0,"BH",IF('_Engine'!BM45+'_Engine'!BN45=0,"·",IF('_Engine'!BM45='_Engine'!BN45,INDEX(Settings!$G$7:$G$11,MOD('_Engine'!BM45,10))&amp;IF('_Engine'!BM45&gt;10,"?",""),IF('_Engine'!BM45=0,INDEX(Settings!$G$7:$G$11,MOD('_Engine'!BN45,10))&amp;IF('_Engine'!BN45&gt;10,"?","")&amp;" PM",IF('_Engine'!BN45=0,INDEX(Settings!$G$7:$G$11,MOD('_Engine'!BM45,10))&amp;IF('_Engine'!BM45&gt;10,"?","")&amp;" AM",INDEX(Settings!$G$7:$G$11,MOD('_Engine'!BM45,10))&amp;IF('_Engine'!BM45&gt;10,"?","")&amp;" AM"&amp;CHAR(10)&amp;INDEX(Settings!$G$7:$G$11,MOD('_Engine'!BN45,10))&amp;IF('_Engine'!BN45&gt;10,"?","")&amp;" PM"))))))))</ns0:f>
        <ns0:v/>
      </ns0:c>
      <ns0:c r="J45" s="162" t="str">
        <ns0:f>IF(OR($A45="",J$11=""),"",IF(OR('_Engine'!$B$6&gt;0,INDEX('_Engine'!$AM$11:$AM$60,'_Engine'!$AO45)&lt;&gt;"OK"),"!",IF(INDEX(Team!$H$11:$N$60,'_Engine'!$AO45,WEEKDAY(J$11,2))&lt;&gt;"Work","—",IF(COUNTIF(Settings!$F$18:$F$67,J$11)&gt;0,"BH",IF('_Engine'!BO45+'_Engine'!BP45=0,"·",IF('_Engine'!BO45='_Engine'!BP45,INDEX(Settings!$G$7:$G$11,MOD('_Engine'!BO45,10))&amp;IF('_Engine'!BO45&gt;10,"?",""),IF('_Engine'!BO45=0,INDEX(Settings!$G$7:$G$11,MOD('_Engine'!BP45,10))&amp;IF('_Engine'!BP45&gt;10,"?","")&amp;" PM",IF('_Engine'!BP45=0,INDEX(Settings!$G$7:$G$11,MOD('_Engine'!BO45,10))&amp;IF('_Engine'!BO45&gt;10,"?","")&amp;" AM",INDEX(Settings!$G$7:$G$11,MOD('_Engine'!BO45,10))&amp;IF('_Engine'!BO45&gt;10,"?","")&amp;" AM"&amp;CHAR(10)&amp;INDEX(Settings!$G$7:$G$11,MOD('_Engine'!BP45,10))&amp;IF('_Engine'!BP45&gt;10,"?","")&amp;" PM"))))))))</ns0:f>
        <ns0:v/>
      </ns0:c>
      <ns0:c r="K45" s="164" t="str">
        <ns0:f>IF(OR($A45="",K$11=""),"",IF(OR('_Engine'!$B$6&gt;0,INDEX('_Engine'!$AM$11:$AM$60,'_Engine'!$AO45)&lt;&gt;"OK"),"!",IF(INDEX(Team!$H$11:$N$60,'_Engine'!$AO45,WEEKDAY(K$11,2))&lt;&gt;"Work","—",IF(COUNTIF(Settings!$F$18:$F$67,K$11)&gt;0,"BH",IF('_Engine'!BQ45+'_Engine'!BR45=0,"·",IF('_Engine'!BQ45='_Engine'!BR45,INDEX(Settings!$G$7:$G$11,MOD('_Engine'!BQ45,10))&amp;IF('_Engine'!BQ45&gt;10,"?",""),IF('_Engine'!BQ45=0,INDEX(Settings!$G$7:$G$11,MOD('_Engine'!BR45,10))&amp;IF('_Engine'!BR45&gt;10,"?","")&amp;" PM",IF('_Engine'!BR45=0,INDEX(Settings!$G$7:$G$11,MOD('_Engine'!BQ45,10))&amp;IF('_Engine'!BQ45&gt;10,"?","")&amp;" AM",INDEX(Settings!$G$7:$G$11,MOD('_Engine'!BQ45,10))&amp;IF('_Engine'!BQ45&gt;10,"?","")&amp;" AM"&amp;CHAR(10)&amp;INDEX(Settings!$G$7:$G$11,MOD('_Engine'!BR45,10))&amp;IF('_Engine'!BR45&gt;10,"?","")&amp;" PM"))))))))</ns0:f>
        <ns0:v/>
      </ns0:c>
      <ns0:c r="L45" s="164" t="str">
        <ns0:f>IF(OR($A45="",L$11=""),"",IF(OR('_Engine'!$B$6&gt;0,INDEX('_Engine'!$AM$11:$AM$60,'_Engine'!$AO45)&lt;&gt;"OK"),"!",IF(INDEX(Team!$H$11:$N$60,'_Engine'!$AO45,WEEKDAY(L$11,2))&lt;&gt;"Work","—",IF(COUNTIF(Settings!$F$18:$F$67,L$11)&gt;0,"BH",IF('_Engine'!BS45+'_Engine'!BT45=0,"·",IF('_Engine'!BS45='_Engine'!BT45,INDEX(Settings!$G$7:$G$11,MOD('_Engine'!BS45,10))&amp;IF('_Engine'!BS45&gt;10,"?",""),IF('_Engine'!BS45=0,INDEX(Settings!$G$7:$G$11,MOD('_Engine'!BT45,10))&amp;IF('_Engine'!BT45&gt;10,"?","")&amp;" PM",IF('_Engine'!BT45=0,INDEX(Settings!$G$7:$G$11,MOD('_Engine'!BS45,10))&amp;IF('_Engine'!BS45&gt;10,"?","")&amp;" AM",INDEX(Settings!$G$7:$G$11,MOD('_Engine'!BS45,10))&amp;IF('_Engine'!BS45&gt;10,"?","")&amp;" AM"&amp;CHAR(10)&amp;INDEX(Settings!$G$7:$G$11,MOD('_Engine'!BT45,10))&amp;IF('_Engine'!BT45&gt;10,"?","")&amp;" PM"))))))))</ns0:f>
        <ns0:v/>
      </ns0:c>
      <ns0:c r="M45" s="164" t="str">
        <ns0:f>IF(OR($A45="",M$11=""),"",IF(OR('_Engine'!$B$6&gt;0,INDEX('_Engine'!$AM$11:$AM$60,'_Engine'!$AO45)&lt;&gt;"OK"),"!",IF(INDEX(Team!$H$11:$N$60,'_Engine'!$AO45,WEEKDAY(M$11,2))&lt;&gt;"Work","—",IF(COUNTIF(Settings!$F$18:$F$67,M$11)&gt;0,"BH",IF('_Engine'!BU45+'_Engine'!BV45=0,"·",IF('_Engine'!BU45='_Engine'!BV45,INDEX(Settings!$G$7:$G$11,MOD('_Engine'!BU45,10))&amp;IF('_Engine'!BU45&gt;10,"?",""),IF('_Engine'!BU45=0,INDEX(Settings!$G$7:$G$11,MOD('_Engine'!BV45,10))&amp;IF('_Engine'!BV45&gt;10,"?","")&amp;" PM",IF('_Engine'!BV45=0,INDEX(Settings!$G$7:$G$11,MOD('_Engine'!BU45,10))&amp;IF('_Engine'!BU45&gt;10,"?","")&amp;" AM",INDEX(Settings!$G$7:$G$11,MOD('_Engine'!BU45,10))&amp;IF('_Engine'!BU45&gt;10,"?","")&amp;" AM"&amp;CHAR(10)&amp;INDEX(Settings!$G$7:$G$11,MOD('_Engine'!BV45,10))&amp;IF('_Engine'!BV45&gt;10,"?","")&amp;" PM"))))))))</ns0:f>
        <ns0:v/>
      </ns0:c>
      <ns0:c r="N45" s="164" t="str">
        <ns0:f>IF(OR($A45="",N$11=""),"",IF(OR('_Engine'!$B$6&gt;0,INDEX('_Engine'!$AM$11:$AM$60,'_Engine'!$AO45)&lt;&gt;"OK"),"!",IF(INDEX(Team!$H$11:$N$60,'_Engine'!$AO45,WEEKDAY(N$11,2))&lt;&gt;"Work","—",IF(COUNTIF(Settings!$F$18:$F$67,N$11)&gt;0,"BH",IF('_Engine'!BW45+'_Engine'!BX45=0,"·",IF('_Engine'!BW45='_Engine'!BX45,INDEX(Settings!$G$7:$G$11,MOD('_Engine'!BW45,10))&amp;IF('_Engine'!BW45&gt;10,"?",""),IF('_Engine'!BW45=0,INDEX(Settings!$G$7:$G$11,MOD('_Engine'!BX45,10))&amp;IF('_Engine'!BX45&gt;10,"?","")&amp;" PM",IF('_Engine'!BX45=0,INDEX(Settings!$G$7:$G$11,MOD('_Engine'!BW45,10))&amp;IF('_Engine'!BW45&gt;10,"?","")&amp;" AM",INDEX(Settings!$G$7:$G$11,MOD('_Engine'!BW45,10))&amp;IF('_Engine'!BW45&gt;10,"?","")&amp;" AM"&amp;CHAR(10)&amp;INDEX(Settings!$G$7:$G$11,MOD('_Engine'!BX45,10))&amp;IF('_Engine'!BX45&gt;10,"?","")&amp;" PM"))))))))</ns0:f>
        <ns0:v/>
      </ns0:c>
      <ns0:c r="O45" s="164" t="str">
        <ns0:f>IF(OR($A45="",O$11=""),"",IF(OR('_Engine'!$B$6&gt;0,INDEX('_Engine'!$AM$11:$AM$60,'_Engine'!$AO45)&lt;&gt;"OK"),"!",IF(INDEX(Team!$H$11:$N$60,'_Engine'!$AO45,WEEKDAY(O$11,2))&lt;&gt;"Work","—",IF(COUNTIF(Settings!$F$18:$F$67,O$11)&gt;0,"BH",IF('_Engine'!BY45+'_Engine'!BZ45=0,"·",IF('_Engine'!BY45='_Engine'!BZ45,INDEX(Settings!$G$7:$G$11,MOD('_Engine'!BY45,10))&amp;IF('_Engine'!BY45&gt;10,"?",""),IF('_Engine'!BY45=0,INDEX(Settings!$G$7:$G$11,MOD('_Engine'!BZ45,10))&amp;IF('_Engine'!BZ45&gt;10,"?","")&amp;" PM",IF('_Engine'!BZ45=0,INDEX(Settings!$G$7:$G$11,MOD('_Engine'!BY45,10))&amp;IF('_Engine'!BY45&gt;10,"?","")&amp;" AM",INDEX(Settings!$G$7:$G$11,MOD('_Engine'!BY45,10))&amp;IF('_Engine'!BY45&gt;10,"?","")&amp;" AM"&amp;CHAR(10)&amp;INDEX(Settings!$G$7:$G$11,MOD('_Engine'!BZ45,10))&amp;IF('_Engine'!BZ45&gt;10,"?","")&amp;" PM"))))))))</ns0:f>
        <ns0:v/>
      </ns0:c>
      <ns0:c r="P45" s="164" t="str">
        <ns0:f>IF(OR($A45="",P$11=""),"",IF(OR('_Engine'!$B$6&gt;0,INDEX('_Engine'!$AM$11:$AM$60,'_Engine'!$AO45)&lt;&gt;"OK"),"!",IF(INDEX(Team!$H$11:$N$60,'_Engine'!$AO45,WEEKDAY(P$11,2))&lt;&gt;"Work","—",IF(COUNTIF(Settings!$F$18:$F$67,P$11)&gt;0,"BH",IF('_Engine'!CA45+'_Engine'!CB45=0,"·",IF('_Engine'!CA45='_Engine'!CB45,INDEX(Settings!$G$7:$G$11,MOD('_Engine'!CA45,10))&amp;IF('_Engine'!CA45&gt;10,"?",""),IF('_Engine'!CA45=0,INDEX(Settings!$G$7:$G$11,MOD('_Engine'!CB45,10))&amp;IF('_Engine'!CB45&gt;10,"?","")&amp;" PM",IF('_Engine'!CB45=0,INDEX(Settings!$G$7:$G$11,MOD('_Engine'!CA45,10))&amp;IF('_Engine'!CA45&gt;10,"?","")&amp;" AM",INDEX(Settings!$G$7:$G$11,MOD('_Engine'!CA45,10))&amp;IF('_Engine'!CA45&gt;10,"?","")&amp;" AM"&amp;CHAR(10)&amp;INDEX(Settings!$G$7:$G$11,MOD('_Engine'!CB45,10))&amp;IF('_Engine'!CB45&gt;10,"?","")&amp;" PM"))))))))</ns0:f>
        <ns0:v/>
      </ns0:c>
      <ns0:c r="Q45" s="164" t="str">
        <ns0:f>IF(OR($A45="",Q$11=""),"",IF(OR('_Engine'!$B$6&gt;0,INDEX('_Engine'!$AM$11:$AM$60,'_Engine'!$AO45)&lt;&gt;"OK"),"!",IF(INDEX(Team!$H$11:$N$60,'_Engine'!$AO45,WEEKDAY(Q$11,2))&lt;&gt;"Work","—",IF(COUNTIF(Settings!$F$18:$F$67,Q$11)&gt;0,"BH",IF('_Engine'!CC45+'_Engine'!CD45=0,"·",IF('_Engine'!CC45='_Engine'!CD45,INDEX(Settings!$G$7:$G$11,MOD('_Engine'!CC45,10))&amp;IF('_Engine'!CC45&gt;10,"?",""),IF('_Engine'!CC45=0,INDEX(Settings!$G$7:$G$11,MOD('_Engine'!CD45,10))&amp;IF('_Engine'!CD45&gt;10,"?","")&amp;" PM",IF('_Engine'!CD45=0,INDEX(Settings!$G$7:$G$11,MOD('_Engine'!CC45,10))&amp;IF('_Engine'!CC45&gt;10,"?","")&amp;" AM",INDEX(Settings!$G$7:$G$11,MOD('_Engine'!CC45,10))&amp;IF('_Engine'!CC45&gt;10,"?","")&amp;" AM"&amp;CHAR(10)&amp;INDEX(Settings!$G$7:$G$11,MOD('_Engine'!CD45,10))&amp;IF('_Engine'!CD45&gt;10,"?","")&amp;" PM"))))))))</ns0:f>
        <ns0:v/>
      </ns0:c>
      <ns0:c r="R45" s="164" t="str">
        <ns0:f>IF(OR($A45="",R$11=""),"",IF(OR('_Engine'!$B$6&gt;0,INDEX('_Engine'!$AM$11:$AM$60,'_Engine'!$AO45)&lt;&gt;"OK"),"!",IF(INDEX(Team!$H$11:$N$60,'_Engine'!$AO45,WEEKDAY(R$11,2))&lt;&gt;"Work","—",IF(COUNTIF(Settings!$F$18:$F$67,R$11)&gt;0,"BH",IF('_Engine'!CE45+'_Engine'!CF45=0,"·",IF('_Engine'!CE45='_Engine'!CF45,INDEX(Settings!$G$7:$G$11,MOD('_Engine'!CE45,10))&amp;IF('_Engine'!CE45&gt;10,"?",""),IF('_Engine'!CE45=0,INDEX(Settings!$G$7:$G$11,MOD('_Engine'!CF45,10))&amp;IF('_Engine'!CF45&gt;10,"?","")&amp;" PM",IF('_Engine'!CF45=0,INDEX(Settings!$G$7:$G$11,MOD('_Engine'!CE45,10))&amp;IF('_Engine'!CE45&gt;10,"?","")&amp;" AM",INDEX(Settings!$G$7:$G$11,MOD('_Engine'!CE45,10))&amp;IF('_Engine'!CE45&gt;10,"?","")&amp;" AM"&amp;CHAR(10)&amp;INDEX(Settings!$G$7:$G$11,MOD('_Engine'!CF45,10))&amp;IF('_Engine'!CF45&gt;10,"?","")&amp;" PM"))))))))</ns0:f>
        <ns0:v/>
      </ns0:c>
      <ns0:c r="S45" s="164" t="str">
        <ns0:f>IF(OR($A45="",S$11=""),"",IF(OR('_Engine'!$B$6&gt;0,INDEX('_Engine'!$AM$11:$AM$60,'_Engine'!$AO45)&lt;&gt;"OK"),"!",IF(INDEX(Team!$H$11:$N$60,'_Engine'!$AO45,WEEKDAY(S$11,2))&lt;&gt;"Work","—",IF(COUNTIF(Settings!$F$18:$F$67,S$11)&gt;0,"BH",IF('_Engine'!CG45+'_Engine'!CH45=0,"·",IF('_Engine'!CG45='_Engine'!CH45,INDEX(Settings!$G$7:$G$11,MOD('_Engine'!CG45,10))&amp;IF('_Engine'!CG45&gt;10,"?",""),IF('_Engine'!CG45=0,INDEX(Settings!$G$7:$G$11,MOD('_Engine'!CH45,10))&amp;IF('_Engine'!CH45&gt;10,"?","")&amp;" PM",IF('_Engine'!CH45=0,INDEX(Settings!$G$7:$G$11,MOD('_Engine'!CG45,10))&amp;IF('_Engine'!CG45&gt;10,"?","")&amp;" AM",INDEX(Settings!$G$7:$G$11,MOD('_Engine'!CG45,10))&amp;IF('_Engine'!CG45&gt;10,"?","")&amp;" AM"&amp;CHAR(10)&amp;INDEX(Settings!$G$7:$G$11,MOD('_Engine'!CH45,10))&amp;IF('_Engine'!CH45&gt;10,"?","")&amp;" PM"))))))))</ns0:f>
        <ns0:v/>
      </ns0:c>
      <ns0:c r="T45" s="164" t="str">
        <ns0:f>IF(OR($A45="",T$11=""),"",IF(OR('_Engine'!$B$6&gt;0,INDEX('_Engine'!$AM$11:$AM$60,'_Engine'!$AO45)&lt;&gt;"OK"),"!",IF(INDEX(Team!$H$11:$N$60,'_Engine'!$AO45,WEEKDAY(T$11,2))&lt;&gt;"Work","—",IF(COUNTIF(Settings!$F$18:$F$67,T$11)&gt;0,"BH",IF('_Engine'!CI45+'_Engine'!CJ45=0,"·",IF('_Engine'!CI45='_Engine'!CJ45,INDEX(Settings!$G$7:$G$11,MOD('_Engine'!CI45,10))&amp;IF('_Engine'!CI45&gt;10,"?",""),IF('_Engine'!CI45=0,INDEX(Settings!$G$7:$G$11,MOD('_Engine'!CJ45,10))&amp;IF('_Engine'!CJ45&gt;10,"?","")&amp;" PM",IF('_Engine'!CJ45=0,INDEX(Settings!$G$7:$G$11,MOD('_Engine'!CI45,10))&amp;IF('_Engine'!CI45&gt;10,"?","")&amp;" AM",INDEX(Settings!$G$7:$G$11,MOD('_Engine'!CI45,10))&amp;IF('_Engine'!CI45&gt;10,"?","")&amp;" AM"&amp;CHAR(10)&amp;INDEX(Settings!$G$7:$G$11,MOD('_Engine'!CJ45,10))&amp;IF('_Engine'!CJ45&gt;10,"?","")&amp;" PM"))))))))</ns0:f>
        <ns0:v/>
      </ns0:c>
      <ns0:c r="U45" s="164" t="str">
        <ns0:f>IF(OR($A45="",U$11=""),"",IF(OR('_Engine'!$B$6&gt;0,INDEX('_Engine'!$AM$11:$AM$60,'_Engine'!$AO45)&lt;&gt;"OK"),"!",IF(INDEX(Team!$H$11:$N$60,'_Engine'!$AO45,WEEKDAY(U$11,2))&lt;&gt;"Work","—",IF(COUNTIF(Settings!$F$18:$F$67,U$11)&gt;0,"BH",IF('_Engine'!CK45+'_Engine'!CL45=0,"·",IF('_Engine'!CK45='_Engine'!CL45,INDEX(Settings!$G$7:$G$11,MOD('_Engine'!CK45,10))&amp;IF('_Engine'!CK45&gt;10,"?",""),IF('_Engine'!CK45=0,INDEX(Settings!$G$7:$G$11,MOD('_Engine'!CL45,10))&amp;IF('_Engine'!CL45&gt;10,"?","")&amp;" PM",IF('_Engine'!CL45=0,INDEX(Settings!$G$7:$G$11,MOD('_Engine'!CK45,10))&amp;IF('_Engine'!CK45&gt;10,"?","")&amp;" AM",INDEX(Settings!$G$7:$G$11,MOD('_Engine'!CK45,10))&amp;IF('_Engine'!CK45&gt;10,"?","")&amp;" AM"&amp;CHAR(10)&amp;INDEX(Settings!$G$7:$G$11,MOD('_Engine'!CL45,10))&amp;IF('_Engine'!CL45&gt;10,"?","")&amp;" PM"))))))))</ns0:f>
        <ns0:v/>
      </ns0:c>
      <ns0:c r="V45" s="164" t="str">
        <ns0:f>IF(OR($A45="",V$11=""),"",IF(OR('_Engine'!$B$6&gt;0,INDEX('_Engine'!$AM$11:$AM$60,'_Engine'!$AO45)&lt;&gt;"OK"),"!",IF(INDEX(Team!$H$11:$N$60,'_Engine'!$AO45,WEEKDAY(V$11,2))&lt;&gt;"Work","—",IF(COUNTIF(Settings!$F$18:$F$67,V$11)&gt;0,"BH",IF('_Engine'!CM45+'_Engine'!CN45=0,"·",IF('_Engine'!CM45='_Engine'!CN45,INDEX(Settings!$G$7:$G$11,MOD('_Engine'!CM45,10))&amp;IF('_Engine'!CM45&gt;10,"?",""),IF('_Engine'!CM45=0,INDEX(Settings!$G$7:$G$11,MOD('_Engine'!CN45,10))&amp;IF('_Engine'!CN45&gt;10,"?","")&amp;" PM",IF('_Engine'!CN45=0,INDEX(Settings!$G$7:$G$11,MOD('_Engine'!CM45,10))&amp;IF('_Engine'!CM45&gt;10,"?","")&amp;" AM",INDEX(Settings!$G$7:$G$11,MOD('_Engine'!CM45,10))&amp;IF('_Engine'!CM45&gt;10,"?","")&amp;" AM"&amp;CHAR(10)&amp;INDEX(Settings!$G$7:$G$11,MOD('_Engine'!CN45,10))&amp;IF('_Engine'!CN45&gt;10,"?","")&amp;" PM"))))))))</ns0:f>
        <ns0:v/>
      </ns0:c>
      <ns0:c r="W45" s="164" t="str">
        <ns0:f>IF(OR($A45="",W$11=""),"",IF(OR('_Engine'!$B$6&gt;0,INDEX('_Engine'!$AM$11:$AM$60,'_Engine'!$AO45)&lt;&gt;"OK"),"!",IF(INDEX(Team!$H$11:$N$60,'_Engine'!$AO45,WEEKDAY(W$11,2))&lt;&gt;"Work","—",IF(COUNTIF(Settings!$F$18:$F$67,W$11)&gt;0,"BH",IF('_Engine'!CO45+'_Engine'!CP45=0,"·",IF('_Engine'!CO45='_Engine'!CP45,INDEX(Settings!$G$7:$G$11,MOD('_Engine'!CO45,10))&amp;IF('_Engine'!CO45&gt;10,"?",""),IF('_Engine'!CO45=0,INDEX(Settings!$G$7:$G$11,MOD('_Engine'!CP45,10))&amp;IF('_Engine'!CP45&gt;10,"?","")&amp;" PM",IF('_Engine'!CP45=0,INDEX(Settings!$G$7:$G$11,MOD('_Engine'!CO45,10))&amp;IF('_Engine'!CO45&gt;10,"?","")&amp;" AM",INDEX(Settings!$G$7:$G$11,MOD('_Engine'!CO45,10))&amp;IF('_Engine'!CO45&gt;10,"?","")&amp;" AM"&amp;CHAR(10)&amp;INDEX(Settings!$G$7:$G$11,MOD('_Engine'!CP45,10))&amp;IF('_Engine'!CP45&gt;10,"?","")&amp;" PM"))))))))</ns0:f>
        <ns0:v/>
      </ns0:c>
      <ns0:c r="X45" s="164" t="str">
        <ns0:f>IF(OR($A45="",X$11=""),"",IF(OR('_Engine'!$B$6&gt;0,INDEX('_Engine'!$AM$11:$AM$60,'_Engine'!$AO45)&lt;&gt;"OK"),"!",IF(INDEX(Team!$H$11:$N$60,'_Engine'!$AO45,WEEKDAY(X$11,2))&lt;&gt;"Work","—",IF(COUNTIF(Settings!$F$18:$F$67,X$11)&gt;0,"BH",IF('_Engine'!CQ45+'_Engine'!CR45=0,"·",IF('_Engine'!CQ45='_Engine'!CR45,INDEX(Settings!$G$7:$G$11,MOD('_Engine'!CQ45,10))&amp;IF('_Engine'!CQ45&gt;10,"?",""),IF('_Engine'!CQ45=0,INDEX(Settings!$G$7:$G$11,MOD('_Engine'!CR45,10))&amp;IF('_Engine'!CR45&gt;10,"?","")&amp;" PM",IF('_Engine'!CR45=0,INDEX(Settings!$G$7:$G$11,MOD('_Engine'!CQ45,10))&amp;IF('_Engine'!CQ45&gt;10,"?","")&amp;" AM",INDEX(Settings!$G$7:$G$11,MOD('_Engine'!CQ45,10))&amp;IF('_Engine'!CQ45&gt;10,"?","")&amp;" AM"&amp;CHAR(10)&amp;INDEX(Settings!$G$7:$G$11,MOD('_Engine'!CR45,10))&amp;IF('_Engine'!CR45&gt;10,"?","")&amp;" PM"))))))))</ns0:f>
        <ns0:v/>
      </ns0:c>
      <ns0:c r="Y45" s="164" t="str">
        <ns0:f>IF(OR($A45="",Y$11=""),"",IF(OR('_Engine'!$B$6&gt;0,INDEX('_Engine'!$AM$11:$AM$60,'_Engine'!$AO45)&lt;&gt;"OK"),"!",IF(INDEX(Team!$H$11:$N$60,'_Engine'!$AO45,WEEKDAY(Y$11,2))&lt;&gt;"Work","—",IF(COUNTIF(Settings!$F$18:$F$67,Y$11)&gt;0,"BH",IF('_Engine'!CS45+'_Engine'!CT45=0,"·",IF('_Engine'!CS45='_Engine'!CT45,INDEX(Settings!$G$7:$G$11,MOD('_Engine'!CS45,10))&amp;IF('_Engine'!CS45&gt;10,"?",""),IF('_Engine'!CS45=0,INDEX(Settings!$G$7:$G$11,MOD('_Engine'!CT45,10))&amp;IF('_Engine'!CT45&gt;10,"?","")&amp;" PM",IF('_Engine'!CT45=0,INDEX(Settings!$G$7:$G$11,MOD('_Engine'!CS45,10))&amp;IF('_Engine'!CS45&gt;10,"?","")&amp;" AM",INDEX(Settings!$G$7:$G$11,MOD('_Engine'!CS45,10))&amp;IF('_Engine'!CS45&gt;10,"?","")&amp;" AM"&amp;CHAR(10)&amp;INDEX(Settings!$G$7:$G$11,MOD('_Engine'!CT45,10))&amp;IF('_Engine'!CT45&gt;10,"?","")&amp;" PM"))))))))</ns0:f>
        <ns0:v/>
      </ns0:c>
      <ns0:c r="Z45" s="164" t="str">
        <ns0:f>IF(OR($A45="",Z$11=""),"",IF(OR('_Engine'!$B$6&gt;0,INDEX('_Engine'!$AM$11:$AM$60,'_Engine'!$AO45)&lt;&gt;"OK"),"!",IF(INDEX(Team!$H$11:$N$60,'_Engine'!$AO45,WEEKDAY(Z$11,2))&lt;&gt;"Work","—",IF(COUNTIF(Settings!$F$18:$F$67,Z$11)&gt;0,"BH",IF('_Engine'!CU45+'_Engine'!CV45=0,"·",IF('_Engine'!CU45='_Engine'!CV45,INDEX(Settings!$G$7:$G$11,MOD('_Engine'!CU45,10))&amp;IF('_Engine'!CU45&gt;10,"?",""),IF('_Engine'!CU45=0,INDEX(Settings!$G$7:$G$11,MOD('_Engine'!CV45,10))&amp;IF('_Engine'!CV45&gt;10,"?","")&amp;" PM",IF('_Engine'!CV45=0,INDEX(Settings!$G$7:$G$11,MOD('_Engine'!CU45,10))&amp;IF('_Engine'!CU45&gt;10,"?","")&amp;" AM",INDEX(Settings!$G$7:$G$11,MOD('_Engine'!CU45,10))&amp;IF('_Engine'!CU45&gt;10,"?","")&amp;" AM"&amp;CHAR(10)&amp;INDEX(Settings!$G$7:$G$11,MOD('_Engine'!CV45,10))&amp;IF('_Engine'!CV45&gt;10,"?","")&amp;" PM"))))))))</ns0:f>
        <ns0:v/>
      </ns0:c>
      <ns0:c r="AA45" s="164" t="str">
        <ns0:f>IF(OR($A45="",AA$11=""),"",IF(OR('_Engine'!$B$6&gt;0,INDEX('_Engine'!$AM$11:$AM$60,'_Engine'!$AO45)&lt;&gt;"OK"),"!",IF(INDEX(Team!$H$11:$N$60,'_Engine'!$AO45,WEEKDAY(AA$11,2))&lt;&gt;"Work","—",IF(COUNTIF(Settings!$F$18:$F$67,AA$11)&gt;0,"BH",IF('_Engine'!CW45+'_Engine'!CX45=0,"·",IF('_Engine'!CW45='_Engine'!CX45,INDEX(Settings!$G$7:$G$11,MOD('_Engine'!CW45,10))&amp;IF('_Engine'!CW45&gt;10,"?",""),IF('_Engine'!CW45=0,INDEX(Settings!$G$7:$G$11,MOD('_Engine'!CX45,10))&amp;IF('_Engine'!CX45&gt;10,"?","")&amp;" PM",IF('_Engine'!CX45=0,INDEX(Settings!$G$7:$G$11,MOD('_Engine'!CW45,10))&amp;IF('_Engine'!CW45&gt;10,"?","")&amp;" AM",INDEX(Settings!$G$7:$G$11,MOD('_Engine'!CW45,10))&amp;IF('_Engine'!CW45&gt;10,"?","")&amp;" AM"&amp;CHAR(10)&amp;INDEX(Settings!$G$7:$G$11,MOD('_Engine'!CX45,10))&amp;IF('_Engine'!CX45&gt;10,"?","")&amp;" PM"))))))))</ns0:f>
        <ns0:v/>
      </ns0:c>
      <ns0:c r="AB45" s="164" t="str">
        <ns0:f>IF(OR($A45="",AB$11=""),"",IF(OR('_Engine'!$B$6&gt;0,INDEX('_Engine'!$AM$11:$AM$60,'_Engine'!$AO45)&lt;&gt;"OK"),"!",IF(INDEX(Team!$H$11:$N$60,'_Engine'!$AO45,WEEKDAY(AB$11,2))&lt;&gt;"Work","—",IF(COUNTIF(Settings!$F$18:$F$67,AB$11)&gt;0,"BH",IF('_Engine'!CY45+'_Engine'!CZ45=0,"·",IF('_Engine'!CY45='_Engine'!CZ45,INDEX(Settings!$G$7:$G$11,MOD('_Engine'!CY45,10))&amp;IF('_Engine'!CY45&gt;10,"?",""),IF('_Engine'!CY45=0,INDEX(Settings!$G$7:$G$11,MOD('_Engine'!CZ45,10))&amp;IF('_Engine'!CZ45&gt;10,"?","")&amp;" PM",IF('_Engine'!CZ45=0,INDEX(Settings!$G$7:$G$11,MOD('_Engine'!CY45,10))&amp;IF('_Engine'!CY45&gt;10,"?","")&amp;" AM",INDEX(Settings!$G$7:$G$11,MOD('_Engine'!CY45,10))&amp;IF('_Engine'!CY45&gt;10,"?","")&amp;" AM"&amp;CHAR(10)&amp;INDEX(Settings!$G$7:$G$11,MOD('_Engine'!CZ45,10))&amp;IF('_Engine'!CZ45&gt;10,"?","")&amp;" PM"))))))))</ns0:f>
        <ns0:v/>
      </ns0:c>
      <ns0:c r="AC45" s="164" t="str">
        <ns0:f>IF(OR($A45="",AC$11=""),"",IF(OR('_Engine'!$B$6&gt;0,INDEX('_Engine'!$AM$11:$AM$60,'_Engine'!$AO45)&lt;&gt;"OK"),"!",IF(INDEX(Team!$H$11:$N$60,'_Engine'!$AO45,WEEKDAY(AC$11,2))&lt;&gt;"Work","—",IF(COUNTIF(Settings!$F$18:$F$67,AC$11)&gt;0,"BH",IF('_Engine'!DA45+'_Engine'!DB45=0,"·",IF('_Engine'!DA45='_Engine'!DB45,INDEX(Settings!$G$7:$G$11,MOD('_Engine'!DA45,10))&amp;IF('_Engine'!DA45&gt;10,"?",""),IF('_Engine'!DA45=0,INDEX(Settings!$G$7:$G$11,MOD('_Engine'!DB45,10))&amp;IF('_Engine'!DB45&gt;10,"?","")&amp;" PM",IF('_Engine'!DB45=0,INDEX(Settings!$G$7:$G$11,MOD('_Engine'!DA45,10))&amp;IF('_Engine'!DA45&gt;10,"?","")&amp;" AM",INDEX(Settings!$G$7:$G$11,MOD('_Engine'!DA45,10))&amp;IF('_Engine'!DA45&gt;10,"?","")&amp;" AM"&amp;CHAR(10)&amp;INDEX(Settings!$G$7:$G$11,MOD('_Engine'!DB45,10))&amp;IF('_Engine'!DB45&gt;10,"?","")&amp;" PM"))))))))</ns0:f>
        <ns0:v/>
      </ns0:c>
      <ns0:c r="AD45" s="164" t="str">
        <ns0:f>IF(OR($A45="",AD$11=""),"",IF(OR('_Engine'!$B$6&gt;0,INDEX('_Engine'!$AM$11:$AM$60,'_Engine'!$AO45)&lt;&gt;"OK"),"!",IF(INDEX(Team!$H$11:$N$60,'_Engine'!$AO45,WEEKDAY(AD$11,2))&lt;&gt;"Work","—",IF(COUNTIF(Settings!$F$18:$F$67,AD$11)&gt;0,"BH",IF('_Engine'!DC45+'_Engine'!DD45=0,"·",IF('_Engine'!DC45='_Engine'!DD45,INDEX(Settings!$G$7:$G$11,MOD('_Engine'!DC45,10))&amp;IF('_Engine'!DC45&gt;10,"?",""),IF('_Engine'!DC45=0,INDEX(Settings!$G$7:$G$11,MOD('_Engine'!DD45,10))&amp;IF('_Engine'!DD45&gt;10,"?","")&amp;" PM",IF('_Engine'!DD45=0,INDEX(Settings!$G$7:$G$11,MOD('_Engine'!DC45,10))&amp;IF('_Engine'!DC45&gt;10,"?","")&amp;" AM",INDEX(Settings!$G$7:$G$11,MOD('_Engine'!DC45,10))&amp;IF('_Engine'!DC45&gt;10,"?","")&amp;" AM"&amp;CHAR(10)&amp;INDEX(Settings!$G$7:$G$11,MOD('_Engine'!DD45,10))&amp;IF('_Engine'!DD45&gt;10,"?","")&amp;" PM"))))))))</ns0:f>
        <ns0:v/>
      </ns0:c>
      <ns0:c r="AE45" s="164" t="str">
        <ns0:f>IF(OR($A45="",AE$11=""),"",IF(OR('_Engine'!$B$6&gt;0,INDEX('_Engine'!$AM$11:$AM$60,'_Engine'!$AO45)&lt;&gt;"OK"),"!",IF(INDEX(Team!$H$11:$N$60,'_Engine'!$AO45,WEEKDAY(AE$11,2))&lt;&gt;"Work","—",IF(COUNTIF(Settings!$F$18:$F$67,AE$11)&gt;0,"BH",IF('_Engine'!DE45+'_Engine'!DF45=0,"·",IF('_Engine'!DE45='_Engine'!DF45,INDEX(Settings!$G$7:$G$11,MOD('_Engine'!DE45,10))&amp;IF('_Engine'!DE45&gt;10,"?",""),IF('_Engine'!DE45=0,INDEX(Settings!$G$7:$G$11,MOD('_Engine'!DF45,10))&amp;IF('_Engine'!DF45&gt;10,"?","")&amp;" PM",IF('_Engine'!DF45=0,INDEX(Settings!$G$7:$G$11,MOD('_Engine'!DE45,10))&amp;IF('_Engine'!DE45&gt;10,"?","")&amp;" AM",INDEX(Settings!$G$7:$G$11,MOD('_Engine'!DE45,10))&amp;IF('_Engine'!DE45&gt;10,"?","")&amp;" AM"&amp;CHAR(10)&amp;INDEX(Settings!$G$7:$G$11,MOD('_Engine'!DF45,10))&amp;IF('_Engine'!DF45&gt;10,"?","")&amp;" PM"))))))))</ns0:f>
        <ns0:v/>
      </ns0:c>
      <ns0:c r="AF45" s="164" t="str">
        <ns0:f>IF(OR($A45="",AF$11=""),"",IF(OR('_Engine'!$B$6&gt;0,INDEX('_Engine'!$AM$11:$AM$60,'_Engine'!$AO45)&lt;&gt;"OK"),"!",IF(INDEX(Team!$H$11:$N$60,'_Engine'!$AO45,WEEKDAY(AF$11,2))&lt;&gt;"Work","—",IF(COUNTIF(Settings!$F$18:$F$67,AF$11)&gt;0,"BH",IF('_Engine'!DG45+'_Engine'!DH45=0,"·",IF('_Engine'!DG45='_Engine'!DH45,INDEX(Settings!$G$7:$G$11,MOD('_Engine'!DG45,10))&amp;IF('_Engine'!DG45&gt;10,"?",""),IF('_Engine'!DG45=0,INDEX(Settings!$G$7:$G$11,MOD('_Engine'!DH45,10))&amp;IF('_Engine'!DH45&gt;10,"?","")&amp;" PM",IF('_Engine'!DH45=0,INDEX(Settings!$G$7:$G$11,MOD('_Engine'!DG45,10))&amp;IF('_Engine'!DG45&gt;10,"?","")&amp;" AM",INDEX(Settings!$G$7:$G$11,MOD('_Engine'!DG45,10))&amp;IF('_Engine'!DG45&gt;10,"?","")&amp;" AM"&amp;CHAR(10)&amp;INDEX(Settings!$G$7:$G$11,MOD('_Engine'!DH45,10))&amp;IF('_Engine'!DH45&gt;10,"?","")&amp;" PM"))))))))</ns0:f>
        <ns0:v/>
      </ns0:c>
      <ns0:c r="AG45" s="164" t="str">
        <ns0:f>IF(OR($A45="",AG$11=""),"",IF(OR('_Engine'!$B$6&gt;0,INDEX('_Engine'!$AM$11:$AM$60,'_Engine'!$AO45)&lt;&gt;"OK"),"!",IF(INDEX(Team!$H$11:$N$60,'_Engine'!$AO45,WEEKDAY(AG$11,2))&lt;&gt;"Work","—",IF(COUNTIF(Settings!$F$18:$F$67,AG$11)&gt;0,"BH",IF('_Engine'!DI45+'_Engine'!DJ45=0,"·",IF('_Engine'!DI45='_Engine'!DJ45,INDEX(Settings!$G$7:$G$11,MOD('_Engine'!DI45,10))&amp;IF('_Engine'!DI45&gt;10,"?",""),IF('_Engine'!DI45=0,INDEX(Settings!$G$7:$G$11,MOD('_Engine'!DJ45,10))&amp;IF('_Engine'!DJ45&gt;10,"?","")&amp;" PM",IF('_Engine'!DJ45=0,INDEX(Settings!$G$7:$G$11,MOD('_Engine'!DI45,10))&amp;IF('_Engine'!DI45&gt;10,"?","")&amp;" AM",INDEX(Settings!$G$7:$G$11,MOD('_Engine'!DI45,10))&amp;IF('_Engine'!DI45&gt;10,"?","")&amp;" AM"&amp;CHAR(10)&amp;INDEX(Settings!$G$7:$G$11,MOD('_Engine'!DJ45,10))&amp;IF('_Engine'!DJ45&gt;10,"?","")&amp;" PM"))))))))</ns0:f>
        <ns0:v/>
      </ns0:c>
      <ns0:c r="AH45" s="164" t="str">
        <ns0:f>IF(OR($A45="",AH$11=""),"",IF(OR('_Engine'!$B$6&gt;0,INDEX('_Engine'!$AM$11:$AM$60,'_Engine'!$AO45)&lt;&gt;"OK"),"!",IF(INDEX(Team!$H$11:$N$60,'_Engine'!$AO45,WEEKDAY(AH$11,2))&lt;&gt;"Work","—",IF(COUNTIF(Settings!$F$18:$F$67,AH$11)&gt;0,"BH",IF('_Engine'!DK45+'_Engine'!DL45=0,"·",IF('_Engine'!DK45='_Engine'!DL45,INDEX(Settings!$G$7:$G$11,MOD('_Engine'!DK45,10))&amp;IF('_Engine'!DK45&gt;10,"?",""),IF('_Engine'!DK45=0,INDEX(Settings!$G$7:$G$11,MOD('_Engine'!DL45,10))&amp;IF('_Engine'!DL45&gt;10,"?","")&amp;" PM",IF('_Engine'!DL45=0,INDEX(Settings!$G$7:$G$11,MOD('_Engine'!DK45,10))&amp;IF('_Engine'!DK45&gt;10,"?","")&amp;" AM",INDEX(Settings!$G$7:$G$11,MOD('_Engine'!DK45,10))&amp;IF('_Engine'!DK45&gt;10,"?","")&amp;" AM"&amp;CHAR(10)&amp;INDEX(Settings!$G$7:$G$11,MOD('_Engine'!DL45,10))&amp;IF('_Engine'!DL45&gt;10,"?","")&amp;" PM"))))))))</ns0:f>
        <ns0:v/>
      </ns0:c>
    </ns0:row>
    <ns0:row r="46" ht="38" customHeight="1">
      <ns0:c r="A46" s="4" t="str">
        <ns0:f>IF('_Engine'!AO46=0,"",IF(INDEX(Team!$B$11:$B$60,'_Engine'!AO46)="","[Unnamed]",INDEX(Team!$B$11:$B$60,'_Engine'!AO46)))</ns0:f>
        <ns0:v/>
      </ns0:c>
      <ns0:c r="B46" s="156" t="str">
        <ns0:f>IF('_Engine'!AO46=0,"",INDEX('_Engine'!$AN$11:$AN$60,'_Engine'!AO46))</ns0:f>
        <ns0:v/>
      </ns0:c>
      <ns0:c r="C46" s="4" t="str">
        <ns0:f>IF('_Engine'!AO46=0,"",INDEX(Team!$C$11:$C$60,'_Engine'!AO46))</ns0:f>
        <ns0:v/>
      </ns0:c>
      <ns0:c r="D46" s="162" t="str">
        <ns0:f>IF(OR($A46="",D$11=""),"",IF(OR('_Engine'!$B$6&gt;0,INDEX('_Engine'!$AM$11:$AM$60,'_Engine'!$AO46)&lt;&gt;"OK"),"!",IF(INDEX(Team!$H$11:$N$60,'_Engine'!$AO46,WEEKDAY(D$11,2))&lt;&gt;"Work","—",IF(COUNTIF(Settings!$F$18:$F$67,D$11)&gt;0,"BH",IF('_Engine'!BC46+'_Engine'!BD46=0,"·",IF('_Engine'!BC46='_Engine'!BD46,INDEX(Settings!$G$7:$G$11,MOD('_Engine'!BC46,10))&amp;IF('_Engine'!BC46&gt;10,"?",""),IF('_Engine'!BC46=0,INDEX(Settings!$G$7:$G$11,MOD('_Engine'!BD46,10))&amp;IF('_Engine'!BD46&gt;10,"?","")&amp;" PM",IF('_Engine'!BD46=0,INDEX(Settings!$G$7:$G$11,MOD('_Engine'!BC46,10))&amp;IF('_Engine'!BC46&gt;10,"?","")&amp;" AM",INDEX(Settings!$G$7:$G$11,MOD('_Engine'!BC46,10))&amp;IF('_Engine'!BC46&gt;10,"?","")&amp;" AM"&amp;CHAR(10)&amp;INDEX(Settings!$G$7:$G$11,MOD('_Engine'!BD46,10))&amp;IF('_Engine'!BD46&gt;10,"?","")&amp;" PM"))))))))</ns0:f>
        <ns0:v/>
      </ns0:c>
      <ns0:c r="E46" s="162" t="str">
        <ns0:f>IF(OR($A46="",E$11=""),"",IF(OR('_Engine'!$B$6&gt;0,INDEX('_Engine'!$AM$11:$AM$60,'_Engine'!$AO46)&lt;&gt;"OK"),"!",IF(INDEX(Team!$H$11:$N$60,'_Engine'!$AO46,WEEKDAY(E$11,2))&lt;&gt;"Work","—",IF(COUNTIF(Settings!$F$18:$F$67,E$11)&gt;0,"BH",IF('_Engine'!BE46+'_Engine'!BF46=0,"·",IF('_Engine'!BE46='_Engine'!BF46,INDEX(Settings!$G$7:$G$11,MOD('_Engine'!BE46,10))&amp;IF('_Engine'!BE46&gt;10,"?",""),IF('_Engine'!BE46=0,INDEX(Settings!$G$7:$G$11,MOD('_Engine'!BF46,10))&amp;IF('_Engine'!BF46&gt;10,"?","")&amp;" PM",IF('_Engine'!BF46=0,INDEX(Settings!$G$7:$G$11,MOD('_Engine'!BE46,10))&amp;IF('_Engine'!BE46&gt;10,"?","")&amp;" AM",INDEX(Settings!$G$7:$G$11,MOD('_Engine'!BE46,10))&amp;IF('_Engine'!BE46&gt;10,"?","")&amp;" AM"&amp;CHAR(10)&amp;INDEX(Settings!$G$7:$G$11,MOD('_Engine'!BF46,10))&amp;IF('_Engine'!BF46&gt;10,"?","")&amp;" PM"))))))))</ns0:f>
        <ns0:v/>
      </ns0:c>
      <ns0:c r="F46" s="162" t="str">
        <ns0:f>IF(OR($A46="",F$11=""),"",IF(OR('_Engine'!$B$6&gt;0,INDEX('_Engine'!$AM$11:$AM$60,'_Engine'!$AO46)&lt;&gt;"OK"),"!",IF(INDEX(Team!$H$11:$N$60,'_Engine'!$AO46,WEEKDAY(F$11,2))&lt;&gt;"Work","—",IF(COUNTIF(Settings!$F$18:$F$67,F$11)&gt;0,"BH",IF('_Engine'!BG46+'_Engine'!BH46=0,"·",IF('_Engine'!BG46='_Engine'!BH46,INDEX(Settings!$G$7:$G$11,MOD('_Engine'!BG46,10))&amp;IF('_Engine'!BG46&gt;10,"?",""),IF('_Engine'!BG46=0,INDEX(Settings!$G$7:$G$11,MOD('_Engine'!BH46,10))&amp;IF('_Engine'!BH46&gt;10,"?","")&amp;" PM",IF('_Engine'!BH46=0,INDEX(Settings!$G$7:$G$11,MOD('_Engine'!BG46,10))&amp;IF('_Engine'!BG46&gt;10,"?","")&amp;" AM",INDEX(Settings!$G$7:$G$11,MOD('_Engine'!BG46,10))&amp;IF('_Engine'!BG46&gt;10,"?","")&amp;" AM"&amp;CHAR(10)&amp;INDEX(Settings!$G$7:$G$11,MOD('_Engine'!BH46,10))&amp;IF('_Engine'!BH46&gt;10,"?","")&amp;" PM"))))))))</ns0:f>
        <ns0:v/>
      </ns0:c>
      <ns0:c r="G46" s="162" t="str">
        <ns0:f>IF(OR($A46="",G$11=""),"",IF(OR('_Engine'!$B$6&gt;0,INDEX('_Engine'!$AM$11:$AM$60,'_Engine'!$AO46)&lt;&gt;"OK"),"!",IF(INDEX(Team!$H$11:$N$60,'_Engine'!$AO46,WEEKDAY(G$11,2))&lt;&gt;"Work","—",IF(COUNTIF(Settings!$F$18:$F$67,G$11)&gt;0,"BH",IF('_Engine'!BI46+'_Engine'!BJ46=0,"·",IF('_Engine'!BI46='_Engine'!BJ46,INDEX(Settings!$G$7:$G$11,MOD('_Engine'!BI46,10))&amp;IF('_Engine'!BI46&gt;10,"?",""),IF('_Engine'!BI46=0,INDEX(Settings!$G$7:$G$11,MOD('_Engine'!BJ46,10))&amp;IF('_Engine'!BJ46&gt;10,"?","")&amp;" PM",IF('_Engine'!BJ46=0,INDEX(Settings!$G$7:$G$11,MOD('_Engine'!BI46,10))&amp;IF('_Engine'!BI46&gt;10,"?","")&amp;" AM",INDEX(Settings!$G$7:$G$11,MOD('_Engine'!BI46,10))&amp;IF('_Engine'!BI46&gt;10,"?","")&amp;" AM"&amp;CHAR(10)&amp;INDEX(Settings!$G$7:$G$11,MOD('_Engine'!BJ46,10))&amp;IF('_Engine'!BJ46&gt;10,"?","")&amp;" PM"))))))))</ns0:f>
        <ns0:v/>
      </ns0:c>
      <ns0:c r="H46" s="162" t="str">
        <ns0:f>IF(OR($A46="",H$11=""),"",IF(OR('_Engine'!$B$6&gt;0,INDEX('_Engine'!$AM$11:$AM$60,'_Engine'!$AO46)&lt;&gt;"OK"),"!",IF(INDEX(Team!$H$11:$N$60,'_Engine'!$AO46,WEEKDAY(H$11,2))&lt;&gt;"Work","—",IF(COUNTIF(Settings!$F$18:$F$67,H$11)&gt;0,"BH",IF('_Engine'!BK46+'_Engine'!BL46=0,"·",IF('_Engine'!BK46='_Engine'!BL46,INDEX(Settings!$G$7:$G$11,MOD('_Engine'!BK46,10))&amp;IF('_Engine'!BK46&gt;10,"?",""),IF('_Engine'!BK46=0,INDEX(Settings!$G$7:$G$11,MOD('_Engine'!BL46,10))&amp;IF('_Engine'!BL46&gt;10,"?","")&amp;" PM",IF('_Engine'!BL46=0,INDEX(Settings!$G$7:$G$11,MOD('_Engine'!BK46,10))&amp;IF('_Engine'!BK46&gt;10,"?","")&amp;" AM",INDEX(Settings!$G$7:$G$11,MOD('_Engine'!BK46,10))&amp;IF('_Engine'!BK46&gt;10,"?","")&amp;" AM"&amp;CHAR(10)&amp;INDEX(Settings!$G$7:$G$11,MOD('_Engine'!BL46,10))&amp;IF('_Engine'!BL46&gt;10,"?","")&amp;" PM"))))))))</ns0:f>
        <ns0:v/>
      </ns0:c>
      <ns0:c r="I46" s="162" t="str">
        <ns0:f>IF(OR($A46="",I$11=""),"",IF(OR('_Engine'!$B$6&gt;0,INDEX('_Engine'!$AM$11:$AM$60,'_Engine'!$AO46)&lt;&gt;"OK"),"!",IF(INDEX(Team!$H$11:$N$60,'_Engine'!$AO46,WEEKDAY(I$11,2))&lt;&gt;"Work","—",IF(COUNTIF(Settings!$F$18:$F$67,I$11)&gt;0,"BH",IF('_Engine'!BM46+'_Engine'!BN46=0,"·",IF('_Engine'!BM46='_Engine'!BN46,INDEX(Settings!$G$7:$G$11,MOD('_Engine'!BM46,10))&amp;IF('_Engine'!BM46&gt;10,"?",""),IF('_Engine'!BM46=0,INDEX(Settings!$G$7:$G$11,MOD('_Engine'!BN46,10))&amp;IF('_Engine'!BN46&gt;10,"?","")&amp;" PM",IF('_Engine'!BN46=0,INDEX(Settings!$G$7:$G$11,MOD('_Engine'!BM46,10))&amp;IF('_Engine'!BM46&gt;10,"?","")&amp;" AM",INDEX(Settings!$G$7:$G$11,MOD('_Engine'!BM46,10))&amp;IF('_Engine'!BM46&gt;10,"?","")&amp;" AM"&amp;CHAR(10)&amp;INDEX(Settings!$G$7:$G$11,MOD('_Engine'!BN46,10))&amp;IF('_Engine'!BN46&gt;10,"?","")&amp;" PM"))))))))</ns0:f>
        <ns0:v/>
      </ns0:c>
      <ns0:c r="J46" s="162" t="str">
        <ns0:f>IF(OR($A46="",J$11=""),"",IF(OR('_Engine'!$B$6&gt;0,INDEX('_Engine'!$AM$11:$AM$60,'_Engine'!$AO46)&lt;&gt;"OK"),"!",IF(INDEX(Team!$H$11:$N$60,'_Engine'!$AO46,WEEKDAY(J$11,2))&lt;&gt;"Work","—",IF(COUNTIF(Settings!$F$18:$F$67,J$11)&gt;0,"BH",IF('_Engine'!BO46+'_Engine'!BP46=0,"·",IF('_Engine'!BO46='_Engine'!BP46,INDEX(Settings!$G$7:$G$11,MOD('_Engine'!BO46,10))&amp;IF('_Engine'!BO46&gt;10,"?",""),IF('_Engine'!BO46=0,INDEX(Settings!$G$7:$G$11,MOD('_Engine'!BP46,10))&amp;IF('_Engine'!BP46&gt;10,"?","")&amp;" PM",IF('_Engine'!BP46=0,INDEX(Settings!$G$7:$G$11,MOD('_Engine'!BO46,10))&amp;IF('_Engine'!BO46&gt;10,"?","")&amp;" AM",INDEX(Settings!$G$7:$G$11,MOD('_Engine'!BO46,10))&amp;IF('_Engine'!BO46&gt;10,"?","")&amp;" AM"&amp;CHAR(10)&amp;INDEX(Settings!$G$7:$G$11,MOD('_Engine'!BP46,10))&amp;IF('_Engine'!BP46&gt;10,"?","")&amp;" PM"))))))))</ns0:f>
        <ns0:v/>
      </ns0:c>
      <ns0:c r="K46" s="164" t="str">
        <ns0:f>IF(OR($A46="",K$11=""),"",IF(OR('_Engine'!$B$6&gt;0,INDEX('_Engine'!$AM$11:$AM$60,'_Engine'!$AO46)&lt;&gt;"OK"),"!",IF(INDEX(Team!$H$11:$N$60,'_Engine'!$AO46,WEEKDAY(K$11,2))&lt;&gt;"Work","—",IF(COUNTIF(Settings!$F$18:$F$67,K$11)&gt;0,"BH",IF('_Engine'!BQ46+'_Engine'!BR46=0,"·",IF('_Engine'!BQ46='_Engine'!BR46,INDEX(Settings!$G$7:$G$11,MOD('_Engine'!BQ46,10))&amp;IF('_Engine'!BQ46&gt;10,"?",""),IF('_Engine'!BQ46=0,INDEX(Settings!$G$7:$G$11,MOD('_Engine'!BR46,10))&amp;IF('_Engine'!BR46&gt;10,"?","")&amp;" PM",IF('_Engine'!BR46=0,INDEX(Settings!$G$7:$G$11,MOD('_Engine'!BQ46,10))&amp;IF('_Engine'!BQ46&gt;10,"?","")&amp;" AM",INDEX(Settings!$G$7:$G$11,MOD('_Engine'!BQ46,10))&amp;IF('_Engine'!BQ46&gt;10,"?","")&amp;" AM"&amp;CHAR(10)&amp;INDEX(Settings!$G$7:$G$11,MOD('_Engine'!BR46,10))&amp;IF('_Engine'!BR46&gt;10,"?","")&amp;" PM"))))))))</ns0:f>
        <ns0:v/>
      </ns0:c>
      <ns0:c r="L46" s="164" t="str">
        <ns0:f>IF(OR($A46="",L$11=""),"",IF(OR('_Engine'!$B$6&gt;0,INDEX('_Engine'!$AM$11:$AM$60,'_Engine'!$AO46)&lt;&gt;"OK"),"!",IF(INDEX(Team!$H$11:$N$60,'_Engine'!$AO46,WEEKDAY(L$11,2))&lt;&gt;"Work","—",IF(COUNTIF(Settings!$F$18:$F$67,L$11)&gt;0,"BH",IF('_Engine'!BS46+'_Engine'!BT46=0,"·",IF('_Engine'!BS46='_Engine'!BT46,INDEX(Settings!$G$7:$G$11,MOD('_Engine'!BS46,10))&amp;IF('_Engine'!BS46&gt;10,"?",""),IF('_Engine'!BS46=0,INDEX(Settings!$G$7:$G$11,MOD('_Engine'!BT46,10))&amp;IF('_Engine'!BT46&gt;10,"?","")&amp;" PM",IF('_Engine'!BT46=0,INDEX(Settings!$G$7:$G$11,MOD('_Engine'!BS46,10))&amp;IF('_Engine'!BS46&gt;10,"?","")&amp;" AM",INDEX(Settings!$G$7:$G$11,MOD('_Engine'!BS46,10))&amp;IF('_Engine'!BS46&gt;10,"?","")&amp;" AM"&amp;CHAR(10)&amp;INDEX(Settings!$G$7:$G$11,MOD('_Engine'!BT46,10))&amp;IF('_Engine'!BT46&gt;10,"?","")&amp;" PM"))))))))</ns0:f>
        <ns0:v/>
      </ns0:c>
      <ns0:c r="M46" s="164" t="str">
        <ns0:f>IF(OR($A46="",M$11=""),"",IF(OR('_Engine'!$B$6&gt;0,INDEX('_Engine'!$AM$11:$AM$60,'_Engine'!$AO46)&lt;&gt;"OK"),"!",IF(INDEX(Team!$H$11:$N$60,'_Engine'!$AO46,WEEKDAY(M$11,2))&lt;&gt;"Work","—",IF(COUNTIF(Settings!$F$18:$F$67,M$11)&gt;0,"BH",IF('_Engine'!BU46+'_Engine'!BV46=0,"·",IF('_Engine'!BU46='_Engine'!BV46,INDEX(Settings!$G$7:$G$11,MOD('_Engine'!BU46,10))&amp;IF('_Engine'!BU46&gt;10,"?",""),IF('_Engine'!BU46=0,INDEX(Settings!$G$7:$G$11,MOD('_Engine'!BV46,10))&amp;IF('_Engine'!BV46&gt;10,"?","")&amp;" PM",IF('_Engine'!BV46=0,INDEX(Settings!$G$7:$G$11,MOD('_Engine'!BU46,10))&amp;IF('_Engine'!BU46&gt;10,"?","")&amp;" AM",INDEX(Settings!$G$7:$G$11,MOD('_Engine'!BU46,10))&amp;IF('_Engine'!BU46&gt;10,"?","")&amp;" AM"&amp;CHAR(10)&amp;INDEX(Settings!$G$7:$G$11,MOD('_Engine'!BV46,10))&amp;IF('_Engine'!BV46&gt;10,"?","")&amp;" PM"))))))))</ns0:f>
        <ns0:v/>
      </ns0:c>
      <ns0:c r="N46" s="164" t="str">
        <ns0:f>IF(OR($A46="",N$11=""),"",IF(OR('_Engine'!$B$6&gt;0,INDEX('_Engine'!$AM$11:$AM$60,'_Engine'!$AO46)&lt;&gt;"OK"),"!",IF(INDEX(Team!$H$11:$N$60,'_Engine'!$AO46,WEEKDAY(N$11,2))&lt;&gt;"Work","—",IF(COUNTIF(Settings!$F$18:$F$67,N$11)&gt;0,"BH",IF('_Engine'!BW46+'_Engine'!BX46=0,"·",IF('_Engine'!BW46='_Engine'!BX46,INDEX(Settings!$G$7:$G$11,MOD('_Engine'!BW46,10))&amp;IF('_Engine'!BW46&gt;10,"?",""),IF('_Engine'!BW46=0,INDEX(Settings!$G$7:$G$11,MOD('_Engine'!BX46,10))&amp;IF('_Engine'!BX46&gt;10,"?","")&amp;" PM",IF('_Engine'!BX46=0,INDEX(Settings!$G$7:$G$11,MOD('_Engine'!BW46,10))&amp;IF('_Engine'!BW46&gt;10,"?","")&amp;" AM",INDEX(Settings!$G$7:$G$11,MOD('_Engine'!BW46,10))&amp;IF('_Engine'!BW46&gt;10,"?","")&amp;" AM"&amp;CHAR(10)&amp;INDEX(Settings!$G$7:$G$11,MOD('_Engine'!BX46,10))&amp;IF('_Engine'!BX46&gt;10,"?","")&amp;" PM"))))))))</ns0:f>
        <ns0:v/>
      </ns0:c>
      <ns0:c r="O46" s="164" t="str">
        <ns0:f>IF(OR($A46="",O$11=""),"",IF(OR('_Engine'!$B$6&gt;0,INDEX('_Engine'!$AM$11:$AM$60,'_Engine'!$AO46)&lt;&gt;"OK"),"!",IF(INDEX(Team!$H$11:$N$60,'_Engine'!$AO46,WEEKDAY(O$11,2))&lt;&gt;"Work","—",IF(COUNTIF(Settings!$F$18:$F$67,O$11)&gt;0,"BH",IF('_Engine'!BY46+'_Engine'!BZ46=0,"·",IF('_Engine'!BY46='_Engine'!BZ46,INDEX(Settings!$G$7:$G$11,MOD('_Engine'!BY46,10))&amp;IF('_Engine'!BY46&gt;10,"?",""),IF('_Engine'!BY46=0,INDEX(Settings!$G$7:$G$11,MOD('_Engine'!BZ46,10))&amp;IF('_Engine'!BZ46&gt;10,"?","")&amp;" PM",IF('_Engine'!BZ46=0,INDEX(Settings!$G$7:$G$11,MOD('_Engine'!BY46,10))&amp;IF('_Engine'!BY46&gt;10,"?","")&amp;" AM",INDEX(Settings!$G$7:$G$11,MOD('_Engine'!BY46,10))&amp;IF('_Engine'!BY46&gt;10,"?","")&amp;" AM"&amp;CHAR(10)&amp;INDEX(Settings!$G$7:$G$11,MOD('_Engine'!BZ46,10))&amp;IF('_Engine'!BZ46&gt;10,"?","")&amp;" PM"))))))))</ns0:f>
        <ns0:v/>
      </ns0:c>
      <ns0:c r="P46" s="164" t="str">
        <ns0:f>IF(OR($A46="",P$11=""),"",IF(OR('_Engine'!$B$6&gt;0,INDEX('_Engine'!$AM$11:$AM$60,'_Engine'!$AO46)&lt;&gt;"OK"),"!",IF(INDEX(Team!$H$11:$N$60,'_Engine'!$AO46,WEEKDAY(P$11,2))&lt;&gt;"Work","—",IF(COUNTIF(Settings!$F$18:$F$67,P$11)&gt;0,"BH",IF('_Engine'!CA46+'_Engine'!CB46=0,"·",IF('_Engine'!CA46='_Engine'!CB46,INDEX(Settings!$G$7:$G$11,MOD('_Engine'!CA46,10))&amp;IF('_Engine'!CA46&gt;10,"?",""),IF('_Engine'!CA46=0,INDEX(Settings!$G$7:$G$11,MOD('_Engine'!CB46,10))&amp;IF('_Engine'!CB46&gt;10,"?","")&amp;" PM",IF('_Engine'!CB46=0,INDEX(Settings!$G$7:$G$11,MOD('_Engine'!CA46,10))&amp;IF('_Engine'!CA46&gt;10,"?","")&amp;" AM",INDEX(Settings!$G$7:$G$11,MOD('_Engine'!CA46,10))&amp;IF('_Engine'!CA46&gt;10,"?","")&amp;" AM"&amp;CHAR(10)&amp;INDEX(Settings!$G$7:$G$11,MOD('_Engine'!CB46,10))&amp;IF('_Engine'!CB46&gt;10,"?","")&amp;" PM"))))))))</ns0:f>
        <ns0:v/>
      </ns0:c>
      <ns0:c r="Q46" s="164" t="str">
        <ns0:f>IF(OR($A46="",Q$11=""),"",IF(OR('_Engine'!$B$6&gt;0,INDEX('_Engine'!$AM$11:$AM$60,'_Engine'!$AO46)&lt;&gt;"OK"),"!",IF(INDEX(Team!$H$11:$N$60,'_Engine'!$AO46,WEEKDAY(Q$11,2))&lt;&gt;"Work","—",IF(COUNTIF(Settings!$F$18:$F$67,Q$11)&gt;0,"BH",IF('_Engine'!CC46+'_Engine'!CD46=0,"·",IF('_Engine'!CC46='_Engine'!CD46,INDEX(Settings!$G$7:$G$11,MOD('_Engine'!CC46,10))&amp;IF('_Engine'!CC46&gt;10,"?",""),IF('_Engine'!CC46=0,INDEX(Settings!$G$7:$G$11,MOD('_Engine'!CD46,10))&amp;IF('_Engine'!CD46&gt;10,"?","")&amp;" PM",IF('_Engine'!CD46=0,INDEX(Settings!$G$7:$G$11,MOD('_Engine'!CC46,10))&amp;IF('_Engine'!CC46&gt;10,"?","")&amp;" AM",INDEX(Settings!$G$7:$G$11,MOD('_Engine'!CC46,10))&amp;IF('_Engine'!CC46&gt;10,"?","")&amp;" AM"&amp;CHAR(10)&amp;INDEX(Settings!$G$7:$G$11,MOD('_Engine'!CD46,10))&amp;IF('_Engine'!CD46&gt;10,"?","")&amp;" PM"))))))))</ns0:f>
        <ns0:v/>
      </ns0:c>
      <ns0:c r="R46" s="164" t="str">
        <ns0:f>IF(OR($A46="",R$11=""),"",IF(OR('_Engine'!$B$6&gt;0,INDEX('_Engine'!$AM$11:$AM$60,'_Engine'!$AO46)&lt;&gt;"OK"),"!",IF(INDEX(Team!$H$11:$N$60,'_Engine'!$AO46,WEEKDAY(R$11,2))&lt;&gt;"Work","—",IF(COUNTIF(Settings!$F$18:$F$67,R$11)&gt;0,"BH",IF('_Engine'!CE46+'_Engine'!CF46=0,"·",IF('_Engine'!CE46='_Engine'!CF46,INDEX(Settings!$G$7:$G$11,MOD('_Engine'!CE46,10))&amp;IF('_Engine'!CE46&gt;10,"?",""),IF('_Engine'!CE46=0,INDEX(Settings!$G$7:$G$11,MOD('_Engine'!CF46,10))&amp;IF('_Engine'!CF46&gt;10,"?","")&amp;" PM",IF('_Engine'!CF46=0,INDEX(Settings!$G$7:$G$11,MOD('_Engine'!CE46,10))&amp;IF('_Engine'!CE46&gt;10,"?","")&amp;" AM",INDEX(Settings!$G$7:$G$11,MOD('_Engine'!CE46,10))&amp;IF('_Engine'!CE46&gt;10,"?","")&amp;" AM"&amp;CHAR(10)&amp;INDEX(Settings!$G$7:$G$11,MOD('_Engine'!CF46,10))&amp;IF('_Engine'!CF46&gt;10,"?","")&amp;" PM"))))))))</ns0:f>
        <ns0:v/>
      </ns0:c>
      <ns0:c r="S46" s="164" t="str">
        <ns0:f>IF(OR($A46="",S$11=""),"",IF(OR('_Engine'!$B$6&gt;0,INDEX('_Engine'!$AM$11:$AM$60,'_Engine'!$AO46)&lt;&gt;"OK"),"!",IF(INDEX(Team!$H$11:$N$60,'_Engine'!$AO46,WEEKDAY(S$11,2))&lt;&gt;"Work","—",IF(COUNTIF(Settings!$F$18:$F$67,S$11)&gt;0,"BH",IF('_Engine'!CG46+'_Engine'!CH46=0,"·",IF('_Engine'!CG46='_Engine'!CH46,INDEX(Settings!$G$7:$G$11,MOD('_Engine'!CG46,10))&amp;IF('_Engine'!CG46&gt;10,"?",""),IF('_Engine'!CG46=0,INDEX(Settings!$G$7:$G$11,MOD('_Engine'!CH46,10))&amp;IF('_Engine'!CH46&gt;10,"?","")&amp;" PM",IF('_Engine'!CH46=0,INDEX(Settings!$G$7:$G$11,MOD('_Engine'!CG46,10))&amp;IF('_Engine'!CG46&gt;10,"?","")&amp;" AM",INDEX(Settings!$G$7:$G$11,MOD('_Engine'!CG46,10))&amp;IF('_Engine'!CG46&gt;10,"?","")&amp;" AM"&amp;CHAR(10)&amp;INDEX(Settings!$G$7:$G$11,MOD('_Engine'!CH46,10))&amp;IF('_Engine'!CH46&gt;10,"?","")&amp;" PM"))))))))</ns0:f>
        <ns0:v/>
      </ns0:c>
      <ns0:c r="T46" s="164" t="str">
        <ns0:f>IF(OR($A46="",T$11=""),"",IF(OR('_Engine'!$B$6&gt;0,INDEX('_Engine'!$AM$11:$AM$60,'_Engine'!$AO46)&lt;&gt;"OK"),"!",IF(INDEX(Team!$H$11:$N$60,'_Engine'!$AO46,WEEKDAY(T$11,2))&lt;&gt;"Work","—",IF(COUNTIF(Settings!$F$18:$F$67,T$11)&gt;0,"BH",IF('_Engine'!CI46+'_Engine'!CJ46=0,"·",IF('_Engine'!CI46='_Engine'!CJ46,INDEX(Settings!$G$7:$G$11,MOD('_Engine'!CI46,10))&amp;IF('_Engine'!CI46&gt;10,"?",""),IF('_Engine'!CI46=0,INDEX(Settings!$G$7:$G$11,MOD('_Engine'!CJ46,10))&amp;IF('_Engine'!CJ46&gt;10,"?","")&amp;" PM",IF('_Engine'!CJ46=0,INDEX(Settings!$G$7:$G$11,MOD('_Engine'!CI46,10))&amp;IF('_Engine'!CI46&gt;10,"?","")&amp;" AM",INDEX(Settings!$G$7:$G$11,MOD('_Engine'!CI46,10))&amp;IF('_Engine'!CI46&gt;10,"?","")&amp;" AM"&amp;CHAR(10)&amp;INDEX(Settings!$G$7:$G$11,MOD('_Engine'!CJ46,10))&amp;IF('_Engine'!CJ46&gt;10,"?","")&amp;" PM"))))))))</ns0:f>
        <ns0:v/>
      </ns0:c>
      <ns0:c r="U46" s="164" t="str">
        <ns0:f>IF(OR($A46="",U$11=""),"",IF(OR('_Engine'!$B$6&gt;0,INDEX('_Engine'!$AM$11:$AM$60,'_Engine'!$AO46)&lt;&gt;"OK"),"!",IF(INDEX(Team!$H$11:$N$60,'_Engine'!$AO46,WEEKDAY(U$11,2))&lt;&gt;"Work","—",IF(COUNTIF(Settings!$F$18:$F$67,U$11)&gt;0,"BH",IF('_Engine'!CK46+'_Engine'!CL46=0,"·",IF('_Engine'!CK46='_Engine'!CL46,INDEX(Settings!$G$7:$G$11,MOD('_Engine'!CK46,10))&amp;IF('_Engine'!CK46&gt;10,"?",""),IF('_Engine'!CK46=0,INDEX(Settings!$G$7:$G$11,MOD('_Engine'!CL46,10))&amp;IF('_Engine'!CL46&gt;10,"?","")&amp;" PM",IF('_Engine'!CL46=0,INDEX(Settings!$G$7:$G$11,MOD('_Engine'!CK46,10))&amp;IF('_Engine'!CK46&gt;10,"?","")&amp;" AM",INDEX(Settings!$G$7:$G$11,MOD('_Engine'!CK46,10))&amp;IF('_Engine'!CK46&gt;10,"?","")&amp;" AM"&amp;CHAR(10)&amp;INDEX(Settings!$G$7:$G$11,MOD('_Engine'!CL46,10))&amp;IF('_Engine'!CL46&gt;10,"?","")&amp;" PM"))))))))</ns0:f>
        <ns0:v/>
      </ns0:c>
      <ns0:c r="V46" s="164" t="str">
        <ns0:f>IF(OR($A46="",V$11=""),"",IF(OR('_Engine'!$B$6&gt;0,INDEX('_Engine'!$AM$11:$AM$60,'_Engine'!$AO46)&lt;&gt;"OK"),"!",IF(INDEX(Team!$H$11:$N$60,'_Engine'!$AO46,WEEKDAY(V$11,2))&lt;&gt;"Work","—",IF(COUNTIF(Settings!$F$18:$F$67,V$11)&gt;0,"BH",IF('_Engine'!CM46+'_Engine'!CN46=0,"·",IF('_Engine'!CM46='_Engine'!CN46,INDEX(Settings!$G$7:$G$11,MOD('_Engine'!CM46,10))&amp;IF('_Engine'!CM46&gt;10,"?",""),IF('_Engine'!CM46=0,INDEX(Settings!$G$7:$G$11,MOD('_Engine'!CN46,10))&amp;IF('_Engine'!CN46&gt;10,"?","")&amp;" PM",IF('_Engine'!CN46=0,INDEX(Settings!$G$7:$G$11,MOD('_Engine'!CM46,10))&amp;IF('_Engine'!CM46&gt;10,"?","")&amp;" AM",INDEX(Settings!$G$7:$G$11,MOD('_Engine'!CM46,10))&amp;IF('_Engine'!CM46&gt;10,"?","")&amp;" AM"&amp;CHAR(10)&amp;INDEX(Settings!$G$7:$G$11,MOD('_Engine'!CN46,10))&amp;IF('_Engine'!CN46&gt;10,"?","")&amp;" PM"))))))))</ns0:f>
        <ns0:v/>
      </ns0:c>
      <ns0:c r="W46" s="164" t="str">
        <ns0:f>IF(OR($A46="",W$11=""),"",IF(OR('_Engine'!$B$6&gt;0,INDEX('_Engine'!$AM$11:$AM$60,'_Engine'!$AO46)&lt;&gt;"OK"),"!",IF(INDEX(Team!$H$11:$N$60,'_Engine'!$AO46,WEEKDAY(W$11,2))&lt;&gt;"Work","—",IF(COUNTIF(Settings!$F$18:$F$67,W$11)&gt;0,"BH",IF('_Engine'!CO46+'_Engine'!CP46=0,"·",IF('_Engine'!CO46='_Engine'!CP46,INDEX(Settings!$G$7:$G$11,MOD('_Engine'!CO46,10))&amp;IF('_Engine'!CO46&gt;10,"?",""),IF('_Engine'!CO46=0,INDEX(Settings!$G$7:$G$11,MOD('_Engine'!CP46,10))&amp;IF('_Engine'!CP46&gt;10,"?","")&amp;" PM",IF('_Engine'!CP46=0,INDEX(Settings!$G$7:$G$11,MOD('_Engine'!CO46,10))&amp;IF('_Engine'!CO46&gt;10,"?","")&amp;" AM",INDEX(Settings!$G$7:$G$11,MOD('_Engine'!CO46,10))&amp;IF('_Engine'!CO46&gt;10,"?","")&amp;" AM"&amp;CHAR(10)&amp;INDEX(Settings!$G$7:$G$11,MOD('_Engine'!CP46,10))&amp;IF('_Engine'!CP46&gt;10,"?","")&amp;" PM"))))))))</ns0:f>
        <ns0:v/>
      </ns0:c>
      <ns0:c r="X46" s="164" t="str">
        <ns0:f>IF(OR($A46="",X$11=""),"",IF(OR('_Engine'!$B$6&gt;0,INDEX('_Engine'!$AM$11:$AM$60,'_Engine'!$AO46)&lt;&gt;"OK"),"!",IF(INDEX(Team!$H$11:$N$60,'_Engine'!$AO46,WEEKDAY(X$11,2))&lt;&gt;"Work","—",IF(COUNTIF(Settings!$F$18:$F$67,X$11)&gt;0,"BH",IF('_Engine'!CQ46+'_Engine'!CR46=0,"·",IF('_Engine'!CQ46='_Engine'!CR46,INDEX(Settings!$G$7:$G$11,MOD('_Engine'!CQ46,10))&amp;IF('_Engine'!CQ46&gt;10,"?",""),IF('_Engine'!CQ46=0,INDEX(Settings!$G$7:$G$11,MOD('_Engine'!CR46,10))&amp;IF('_Engine'!CR46&gt;10,"?","")&amp;" PM",IF('_Engine'!CR46=0,INDEX(Settings!$G$7:$G$11,MOD('_Engine'!CQ46,10))&amp;IF('_Engine'!CQ46&gt;10,"?","")&amp;" AM",INDEX(Settings!$G$7:$G$11,MOD('_Engine'!CQ46,10))&amp;IF('_Engine'!CQ46&gt;10,"?","")&amp;" AM"&amp;CHAR(10)&amp;INDEX(Settings!$G$7:$G$11,MOD('_Engine'!CR46,10))&amp;IF('_Engine'!CR46&gt;10,"?","")&amp;" PM"))))))))</ns0:f>
        <ns0:v/>
      </ns0:c>
      <ns0:c r="Y46" s="164" t="str">
        <ns0:f>IF(OR($A46="",Y$11=""),"",IF(OR('_Engine'!$B$6&gt;0,INDEX('_Engine'!$AM$11:$AM$60,'_Engine'!$AO46)&lt;&gt;"OK"),"!",IF(INDEX(Team!$H$11:$N$60,'_Engine'!$AO46,WEEKDAY(Y$11,2))&lt;&gt;"Work","—",IF(COUNTIF(Settings!$F$18:$F$67,Y$11)&gt;0,"BH",IF('_Engine'!CS46+'_Engine'!CT46=0,"·",IF('_Engine'!CS46='_Engine'!CT46,INDEX(Settings!$G$7:$G$11,MOD('_Engine'!CS46,10))&amp;IF('_Engine'!CS46&gt;10,"?",""),IF('_Engine'!CS46=0,INDEX(Settings!$G$7:$G$11,MOD('_Engine'!CT46,10))&amp;IF('_Engine'!CT46&gt;10,"?","")&amp;" PM",IF('_Engine'!CT46=0,INDEX(Settings!$G$7:$G$11,MOD('_Engine'!CS46,10))&amp;IF('_Engine'!CS46&gt;10,"?","")&amp;" AM",INDEX(Settings!$G$7:$G$11,MOD('_Engine'!CS46,10))&amp;IF('_Engine'!CS46&gt;10,"?","")&amp;" AM"&amp;CHAR(10)&amp;INDEX(Settings!$G$7:$G$11,MOD('_Engine'!CT46,10))&amp;IF('_Engine'!CT46&gt;10,"?","")&amp;" PM"))))))))</ns0:f>
        <ns0:v/>
      </ns0:c>
      <ns0:c r="Z46" s="164" t="str">
        <ns0:f>IF(OR($A46="",Z$11=""),"",IF(OR('_Engine'!$B$6&gt;0,INDEX('_Engine'!$AM$11:$AM$60,'_Engine'!$AO46)&lt;&gt;"OK"),"!",IF(INDEX(Team!$H$11:$N$60,'_Engine'!$AO46,WEEKDAY(Z$11,2))&lt;&gt;"Work","—",IF(COUNTIF(Settings!$F$18:$F$67,Z$11)&gt;0,"BH",IF('_Engine'!CU46+'_Engine'!CV46=0,"·",IF('_Engine'!CU46='_Engine'!CV46,INDEX(Settings!$G$7:$G$11,MOD('_Engine'!CU46,10))&amp;IF('_Engine'!CU46&gt;10,"?",""),IF('_Engine'!CU46=0,INDEX(Settings!$G$7:$G$11,MOD('_Engine'!CV46,10))&amp;IF('_Engine'!CV46&gt;10,"?","")&amp;" PM",IF('_Engine'!CV46=0,INDEX(Settings!$G$7:$G$11,MOD('_Engine'!CU46,10))&amp;IF('_Engine'!CU46&gt;10,"?","")&amp;" AM",INDEX(Settings!$G$7:$G$11,MOD('_Engine'!CU46,10))&amp;IF('_Engine'!CU46&gt;10,"?","")&amp;" AM"&amp;CHAR(10)&amp;INDEX(Settings!$G$7:$G$11,MOD('_Engine'!CV46,10))&amp;IF('_Engine'!CV46&gt;10,"?","")&amp;" PM"))))))))</ns0:f>
        <ns0:v/>
      </ns0:c>
      <ns0:c r="AA46" s="164" t="str">
        <ns0:f>IF(OR($A46="",AA$11=""),"",IF(OR('_Engine'!$B$6&gt;0,INDEX('_Engine'!$AM$11:$AM$60,'_Engine'!$AO46)&lt;&gt;"OK"),"!",IF(INDEX(Team!$H$11:$N$60,'_Engine'!$AO46,WEEKDAY(AA$11,2))&lt;&gt;"Work","—",IF(COUNTIF(Settings!$F$18:$F$67,AA$11)&gt;0,"BH",IF('_Engine'!CW46+'_Engine'!CX46=0,"·",IF('_Engine'!CW46='_Engine'!CX46,INDEX(Settings!$G$7:$G$11,MOD('_Engine'!CW46,10))&amp;IF('_Engine'!CW46&gt;10,"?",""),IF('_Engine'!CW46=0,INDEX(Settings!$G$7:$G$11,MOD('_Engine'!CX46,10))&amp;IF('_Engine'!CX46&gt;10,"?","")&amp;" PM",IF('_Engine'!CX46=0,INDEX(Settings!$G$7:$G$11,MOD('_Engine'!CW46,10))&amp;IF('_Engine'!CW46&gt;10,"?","")&amp;" AM",INDEX(Settings!$G$7:$G$11,MOD('_Engine'!CW46,10))&amp;IF('_Engine'!CW46&gt;10,"?","")&amp;" AM"&amp;CHAR(10)&amp;INDEX(Settings!$G$7:$G$11,MOD('_Engine'!CX46,10))&amp;IF('_Engine'!CX46&gt;10,"?","")&amp;" PM"))))))))</ns0:f>
        <ns0:v/>
      </ns0:c>
      <ns0:c r="AB46" s="164" t="str">
        <ns0:f>IF(OR($A46="",AB$11=""),"",IF(OR('_Engine'!$B$6&gt;0,INDEX('_Engine'!$AM$11:$AM$60,'_Engine'!$AO46)&lt;&gt;"OK"),"!",IF(INDEX(Team!$H$11:$N$60,'_Engine'!$AO46,WEEKDAY(AB$11,2))&lt;&gt;"Work","—",IF(COUNTIF(Settings!$F$18:$F$67,AB$11)&gt;0,"BH",IF('_Engine'!CY46+'_Engine'!CZ46=0,"·",IF('_Engine'!CY46='_Engine'!CZ46,INDEX(Settings!$G$7:$G$11,MOD('_Engine'!CY46,10))&amp;IF('_Engine'!CY46&gt;10,"?",""),IF('_Engine'!CY46=0,INDEX(Settings!$G$7:$G$11,MOD('_Engine'!CZ46,10))&amp;IF('_Engine'!CZ46&gt;10,"?","")&amp;" PM",IF('_Engine'!CZ46=0,INDEX(Settings!$G$7:$G$11,MOD('_Engine'!CY46,10))&amp;IF('_Engine'!CY46&gt;10,"?","")&amp;" AM",INDEX(Settings!$G$7:$G$11,MOD('_Engine'!CY46,10))&amp;IF('_Engine'!CY46&gt;10,"?","")&amp;" AM"&amp;CHAR(10)&amp;INDEX(Settings!$G$7:$G$11,MOD('_Engine'!CZ46,10))&amp;IF('_Engine'!CZ46&gt;10,"?","")&amp;" PM"))))))))</ns0:f>
        <ns0:v/>
      </ns0:c>
      <ns0:c r="AC46" s="164" t="str">
        <ns0:f>IF(OR($A46="",AC$11=""),"",IF(OR('_Engine'!$B$6&gt;0,INDEX('_Engine'!$AM$11:$AM$60,'_Engine'!$AO46)&lt;&gt;"OK"),"!",IF(INDEX(Team!$H$11:$N$60,'_Engine'!$AO46,WEEKDAY(AC$11,2))&lt;&gt;"Work","—",IF(COUNTIF(Settings!$F$18:$F$67,AC$11)&gt;0,"BH",IF('_Engine'!DA46+'_Engine'!DB46=0,"·",IF('_Engine'!DA46='_Engine'!DB46,INDEX(Settings!$G$7:$G$11,MOD('_Engine'!DA46,10))&amp;IF('_Engine'!DA46&gt;10,"?",""),IF('_Engine'!DA46=0,INDEX(Settings!$G$7:$G$11,MOD('_Engine'!DB46,10))&amp;IF('_Engine'!DB46&gt;10,"?","")&amp;" PM",IF('_Engine'!DB46=0,INDEX(Settings!$G$7:$G$11,MOD('_Engine'!DA46,10))&amp;IF('_Engine'!DA46&gt;10,"?","")&amp;" AM",INDEX(Settings!$G$7:$G$11,MOD('_Engine'!DA46,10))&amp;IF('_Engine'!DA46&gt;10,"?","")&amp;" AM"&amp;CHAR(10)&amp;INDEX(Settings!$G$7:$G$11,MOD('_Engine'!DB46,10))&amp;IF('_Engine'!DB46&gt;10,"?","")&amp;" PM"))))))))</ns0:f>
        <ns0:v/>
      </ns0:c>
      <ns0:c r="AD46" s="164" t="str">
        <ns0:f>IF(OR($A46="",AD$11=""),"",IF(OR('_Engine'!$B$6&gt;0,INDEX('_Engine'!$AM$11:$AM$60,'_Engine'!$AO46)&lt;&gt;"OK"),"!",IF(INDEX(Team!$H$11:$N$60,'_Engine'!$AO46,WEEKDAY(AD$11,2))&lt;&gt;"Work","—",IF(COUNTIF(Settings!$F$18:$F$67,AD$11)&gt;0,"BH",IF('_Engine'!DC46+'_Engine'!DD46=0,"·",IF('_Engine'!DC46='_Engine'!DD46,INDEX(Settings!$G$7:$G$11,MOD('_Engine'!DC46,10))&amp;IF('_Engine'!DC46&gt;10,"?",""),IF('_Engine'!DC46=0,INDEX(Settings!$G$7:$G$11,MOD('_Engine'!DD46,10))&amp;IF('_Engine'!DD46&gt;10,"?","")&amp;" PM",IF('_Engine'!DD46=0,INDEX(Settings!$G$7:$G$11,MOD('_Engine'!DC46,10))&amp;IF('_Engine'!DC46&gt;10,"?","")&amp;" AM",INDEX(Settings!$G$7:$G$11,MOD('_Engine'!DC46,10))&amp;IF('_Engine'!DC46&gt;10,"?","")&amp;" AM"&amp;CHAR(10)&amp;INDEX(Settings!$G$7:$G$11,MOD('_Engine'!DD46,10))&amp;IF('_Engine'!DD46&gt;10,"?","")&amp;" PM"))))))))</ns0:f>
        <ns0:v/>
      </ns0:c>
      <ns0:c r="AE46" s="164" t="str">
        <ns0:f>IF(OR($A46="",AE$11=""),"",IF(OR('_Engine'!$B$6&gt;0,INDEX('_Engine'!$AM$11:$AM$60,'_Engine'!$AO46)&lt;&gt;"OK"),"!",IF(INDEX(Team!$H$11:$N$60,'_Engine'!$AO46,WEEKDAY(AE$11,2))&lt;&gt;"Work","—",IF(COUNTIF(Settings!$F$18:$F$67,AE$11)&gt;0,"BH",IF('_Engine'!DE46+'_Engine'!DF46=0,"·",IF('_Engine'!DE46='_Engine'!DF46,INDEX(Settings!$G$7:$G$11,MOD('_Engine'!DE46,10))&amp;IF('_Engine'!DE46&gt;10,"?",""),IF('_Engine'!DE46=0,INDEX(Settings!$G$7:$G$11,MOD('_Engine'!DF46,10))&amp;IF('_Engine'!DF46&gt;10,"?","")&amp;" PM",IF('_Engine'!DF46=0,INDEX(Settings!$G$7:$G$11,MOD('_Engine'!DE46,10))&amp;IF('_Engine'!DE46&gt;10,"?","")&amp;" AM",INDEX(Settings!$G$7:$G$11,MOD('_Engine'!DE46,10))&amp;IF('_Engine'!DE46&gt;10,"?","")&amp;" AM"&amp;CHAR(10)&amp;INDEX(Settings!$G$7:$G$11,MOD('_Engine'!DF46,10))&amp;IF('_Engine'!DF46&gt;10,"?","")&amp;" PM"))))))))</ns0:f>
        <ns0:v/>
      </ns0:c>
      <ns0:c r="AF46" s="164" t="str">
        <ns0:f>IF(OR($A46="",AF$11=""),"",IF(OR('_Engine'!$B$6&gt;0,INDEX('_Engine'!$AM$11:$AM$60,'_Engine'!$AO46)&lt;&gt;"OK"),"!",IF(INDEX(Team!$H$11:$N$60,'_Engine'!$AO46,WEEKDAY(AF$11,2))&lt;&gt;"Work","—",IF(COUNTIF(Settings!$F$18:$F$67,AF$11)&gt;0,"BH",IF('_Engine'!DG46+'_Engine'!DH46=0,"·",IF('_Engine'!DG46='_Engine'!DH46,INDEX(Settings!$G$7:$G$11,MOD('_Engine'!DG46,10))&amp;IF('_Engine'!DG46&gt;10,"?",""),IF('_Engine'!DG46=0,INDEX(Settings!$G$7:$G$11,MOD('_Engine'!DH46,10))&amp;IF('_Engine'!DH46&gt;10,"?","")&amp;" PM",IF('_Engine'!DH46=0,INDEX(Settings!$G$7:$G$11,MOD('_Engine'!DG46,10))&amp;IF('_Engine'!DG46&gt;10,"?","")&amp;" AM",INDEX(Settings!$G$7:$G$11,MOD('_Engine'!DG46,10))&amp;IF('_Engine'!DG46&gt;10,"?","")&amp;" AM"&amp;CHAR(10)&amp;INDEX(Settings!$G$7:$G$11,MOD('_Engine'!DH46,10))&amp;IF('_Engine'!DH46&gt;10,"?","")&amp;" PM"))))))))</ns0:f>
        <ns0:v/>
      </ns0:c>
      <ns0:c r="AG46" s="164" t="str">
        <ns0:f>IF(OR($A46="",AG$11=""),"",IF(OR('_Engine'!$B$6&gt;0,INDEX('_Engine'!$AM$11:$AM$60,'_Engine'!$AO46)&lt;&gt;"OK"),"!",IF(INDEX(Team!$H$11:$N$60,'_Engine'!$AO46,WEEKDAY(AG$11,2))&lt;&gt;"Work","—",IF(COUNTIF(Settings!$F$18:$F$67,AG$11)&gt;0,"BH",IF('_Engine'!DI46+'_Engine'!DJ46=0,"·",IF('_Engine'!DI46='_Engine'!DJ46,INDEX(Settings!$G$7:$G$11,MOD('_Engine'!DI46,10))&amp;IF('_Engine'!DI46&gt;10,"?",""),IF('_Engine'!DI46=0,INDEX(Settings!$G$7:$G$11,MOD('_Engine'!DJ46,10))&amp;IF('_Engine'!DJ46&gt;10,"?","")&amp;" PM",IF('_Engine'!DJ46=0,INDEX(Settings!$G$7:$G$11,MOD('_Engine'!DI46,10))&amp;IF('_Engine'!DI46&gt;10,"?","")&amp;" AM",INDEX(Settings!$G$7:$G$11,MOD('_Engine'!DI46,10))&amp;IF('_Engine'!DI46&gt;10,"?","")&amp;" AM"&amp;CHAR(10)&amp;INDEX(Settings!$G$7:$G$11,MOD('_Engine'!DJ46,10))&amp;IF('_Engine'!DJ46&gt;10,"?","")&amp;" PM"))))))))</ns0:f>
        <ns0:v/>
      </ns0:c>
      <ns0:c r="AH46" s="164" t="str">
        <ns0:f>IF(OR($A46="",AH$11=""),"",IF(OR('_Engine'!$B$6&gt;0,INDEX('_Engine'!$AM$11:$AM$60,'_Engine'!$AO46)&lt;&gt;"OK"),"!",IF(INDEX(Team!$H$11:$N$60,'_Engine'!$AO46,WEEKDAY(AH$11,2))&lt;&gt;"Work","—",IF(COUNTIF(Settings!$F$18:$F$67,AH$11)&gt;0,"BH",IF('_Engine'!DK46+'_Engine'!DL46=0,"·",IF('_Engine'!DK46='_Engine'!DL46,INDEX(Settings!$G$7:$G$11,MOD('_Engine'!DK46,10))&amp;IF('_Engine'!DK46&gt;10,"?",""),IF('_Engine'!DK46=0,INDEX(Settings!$G$7:$G$11,MOD('_Engine'!DL46,10))&amp;IF('_Engine'!DL46&gt;10,"?","")&amp;" PM",IF('_Engine'!DL46=0,INDEX(Settings!$G$7:$G$11,MOD('_Engine'!DK46,10))&amp;IF('_Engine'!DK46&gt;10,"?","")&amp;" AM",INDEX(Settings!$G$7:$G$11,MOD('_Engine'!DK46,10))&amp;IF('_Engine'!DK46&gt;10,"?","")&amp;" AM"&amp;CHAR(10)&amp;INDEX(Settings!$G$7:$G$11,MOD('_Engine'!DL46,10))&amp;IF('_Engine'!DL46&gt;10,"?","")&amp;" PM"))))))))</ns0:f>
        <ns0:v/>
      </ns0:c>
    </ns0:row>
    <ns0:row r="47" ht="38" customHeight="1">
      <ns0:c r="A47" s="4" t="str">
        <ns0:f>IF('_Engine'!AO47=0,"",IF(INDEX(Team!$B$11:$B$60,'_Engine'!AO47)="","[Unnamed]",INDEX(Team!$B$11:$B$60,'_Engine'!AO47)))</ns0:f>
        <ns0:v/>
      </ns0:c>
      <ns0:c r="B47" s="156" t="str">
        <ns0:f>IF('_Engine'!AO47=0,"",INDEX('_Engine'!$AN$11:$AN$60,'_Engine'!AO47))</ns0:f>
        <ns0:v/>
      </ns0:c>
      <ns0:c r="C47" s="4" t="str">
        <ns0:f>IF('_Engine'!AO47=0,"",INDEX(Team!$C$11:$C$60,'_Engine'!AO47))</ns0:f>
        <ns0:v/>
      </ns0:c>
      <ns0:c r="D47" s="162" t="str">
        <ns0:f>IF(OR($A47="",D$11=""),"",IF(OR('_Engine'!$B$6&gt;0,INDEX('_Engine'!$AM$11:$AM$60,'_Engine'!$AO47)&lt;&gt;"OK"),"!",IF(INDEX(Team!$H$11:$N$60,'_Engine'!$AO47,WEEKDAY(D$11,2))&lt;&gt;"Work","—",IF(COUNTIF(Settings!$F$18:$F$67,D$11)&gt;0,"BH",IF('_Engine'!BC47+'_Engine'!BD47=0,"·",IF('_Engine'!BC47='_Engine'!BD47,INDEX(Settings!$G$7:$G$11,MOD('_Engine'!BC47,10))&amp;IF('_Engine'!BC47&gt;10,"?",""),IF('_Engine'!BC47=0,INDEX(Settings!$G$7:$G$11,MOD('_Engine'!BD47,10))&amp;IF('_Engine'!BD47&gt;10,"?","")&amp;" PM",IF('_Engine'!BD47=0,INDEX(Settings!$G$7:$G$11,MOD('_Engine'!BC47,10))&amp;IF('_Engine'!BC47&gt;10,"?","")&amp;" AM",INDEX(Settings!$G$7:$G$11,MOD('_Engine'!BC47,10))&amp;IF('_Engine'!BC47&gt;10,"?","")&amp;" AM"&amp;CHAR(10)&amp;INDEX(Settings!$G$7:$G$11,MOD('_Engine'!BD47,10))&amp;IF('_Engine'!BD47&gt;10,"?","")&amp;" PM"))))))))</ns0:f>
        <ns0:v/>
      </ns0:c>
      <ns0:c r="E47" s="162" t="str">
        <ns0:f>IF(OR($A47="",E$11=""),"",IF(OR('_Engine'!$B$6&gt;0,INDEX('_Engine'!$AM$11:$AM$60,'_Engine'!$AO47)&lt;&gt;"OK"),"!",IF(INDEX(Team!$H$11:$N$60,'_Engine'!$AO47,WEEKDAY(E$11,2))&lt;&gt;"Work","—",IF(COUNTIF(Settings!$F$18:$F$67,E$11)&gt;0,"BH",IF('_Engine'!BE47+'_Engine'!BF47=0,"·",IF('_Engine'!BE47='_Engine'!BF47,INDEX(Settings!$G$7:$G$11,MOD('_Engine'!BE47,10))&amp;IF('_Engine'!BE47&gt;10,"?",""),IF('_Engine'!BE47=0,INDEX(Settings!$G$7:$G$11,MOD('_Engine'!BF47,10))&amp;IF('_Engine'!BF47&gt;10,"?","")&amp;" PM",IF('_Engine'!BF47=0,INDEX(Settings!$G$7:$G$11,MOD('_Engine'!BE47,10))&amp;IF('_Engine'!BE47&gt;10,"?","")&amp;" AM",INDEX(Settings!$G$7:$G$11,MOD('_Engine'!BE47,10))&amp;IF('_Engine'!BE47&gt;10,"?","")&amp;" AM"&amp;CHAR(10)&amp;INDEX(Settings!$G$7:$G$11,MOD('_Engine'!BF47,10))&amp;IF('_Engine'!BF47&gt;10,"?","")&amp;" PM"))))))))</ns0:f>
        <ns0:v/>
      </ns0:c>
      <ns0:c r="F47" s="162" t="str">
        <ns0:f>IF(OR($A47="",F$11=""),"",IF(OR('_Engine'!$B$6&gt;0,INDEX('_Engine'!$AM$11:$AM$60,'_Engine'!$AO47)&lt;&gt;"OK"),"!",IF(INDEX(Team!$H$11:$N$60,'_Engine'!$AO47,WEEKDAY(F$11,2))&lt;&gt;"Work","—",IF(COUNTIF(Settings!$F$18:$F$67,F$11)&gt;0,"BH",IF('_Engine'!BG47+'_Engine'!BH47=0,"·",IF('_Engine'!BG47='_Engine'!BH47,INDEX(Settings!$G$7:$G$11,MOD('_Engine'!BG47,10))&amp;IF('_Engine'!BG47&gt;10,"?",""),IF('_Engine'!BG47=0,INDEX(Settings!$G$7:$G$11,MOD('_Engine'!BH47,10))&amp;IF('_Engine'!BH47&gt;10,"?","")&amp;" PM",IF('_Engine'!BH47=0,INDEX(Settings!$G$7:$G$11,MOD('_Engine'!BG47,10))&amp;IF('_Engine'!BG47&gt;10,"?","")&amp;" AM",INDEX(Settings!$G$7:$G$11,MOD('_Engine'!BG47,10))&amp;IF('_Engine'!BG47&gt;10,"?","")&amp;" AM"&amp;CHAR(10)&amp;INDEX(Settings!$G$7:$G$11,MOD('_Engine'!BH47,10))&amp;IF('_Engine'!BH47&gt;10,"?","")&amp;" PM"))))))))</ns0:f>
        <ns0:v/>
      </ns0:c>
      <ns0:c r="G47" s="162" t="str">
        <ns0:f>IF(OR($A47="",G$11=""),"",IF(OR('_Engine'!$B$6&gt;0,INDEX('_Engine'!$AM$11:$AM$60,'_Engine'!$AO47)&lt;&gt;"OK"),"!",IF(INDEX(Team!$H$11:$N$60,'_Engine'!$AO47,WEEKDAY(G$11,2))&lt;&gt;"Work","—",IF(COUNTIF(Settings!$F$18:$F$67,G$11)&gt;0,"BH",IF('_Engine'!BI47+'_Engine'!BJ47=0,"·",IF('_Engine'!BI47='_Engine'!BJ47,INDEX(Settings!$G$7:$G$11,MOD('_Engine'!BI47,10))&amp;IF('_Engine'!BI47&gt;10,"?",""),IF('_Engine'!BI47=0,INDEX(Settings!$G$7:$G$11,MOD('_Engine'!BJ47,10))&amp;IF('_Engine'!BJ47&gt;10,"?","")&amp;" PM",IF('_Engine'!BJ47=0,INDEX(Settings!$G$7:$G$11,MOD('_Engine'!BI47,10))&amp;IF('_Engine'!BI47&gt;10,"?","")&amp;" AM",INDEX(Settings!$G$7:$G$11,MOD('_Engine'!BI47,10))&amp;IF('_Engine'!BI47&gt;10,"?","")&amp;" AM"&amp;CHAR(10)&amp;INDEX(Settings!$G$7:$G$11,MOD('_Engine'!BJ47,10))&amp;IF('_Engine'!BJ47&gt;10,"?","")&amp;" PM"))))))))</ns0:f>
        <ns0:v/>
      </ns0:c>
      <ns0:c r="H47" s="162" t="str">
        <ns0:f>IF(OR($A47="",H$11=""),"",IF(OR('_Engine'!$B$6&gt;0,INDEX('_Engine'!$AM$11:$AM$60,'_Engine'!$AO47)&lt;&gt;"OK"),"!",IF(INDEX(Team!$H$11:$N$60,'_Engine'!$AO47,WEEKDAY(H$11,2))&lt;&gt;"Work","—",IF(COUNTIF(Settings!$F$18:$F$67,H$11)&gt;0,"BH",IF('_Engine'!BK47+'_Engine'!BL47=0,"·",IF('_Engine'!BK47='_Engine'!BL47,INDEX(Settings!$G$7:$G$11,MOD('_Engine'!BK47,10))&amp;IF('_Engine'!BK47&gt;10,"?",""),IF('_Engine'!BK47=0,INDEX(Settings!$G$7:$G$11,MOD('_Engine'!BL47,10))&amp;IF('_Engine'!BL47&gt;10,"?","")&amp;" PM",IF('_Engine'!BL47=0,INDEX(Settings!$G$7:$G$11,MOD('_Engine'!BK47,10))&amp;IF('_Engine'!BK47&gt;10,"?","")&amp;" AM",INDEX(Settings!$G$7:$G$11,MOD('_Engine'!BK47,10))&amp;IF('_Engine'!BK47&gt;10,"?","")&amp;" AM"&amp;CHAR(10)&amp;INDEX(Settings!$G$7:$G$11,MOD('_Engine'!BL47,10))&amp;IF('_Engine'!BL47&gt;10,"?","")&amp;" PM"))))))))</ns0:f>
        <ns0:v/>
      </ns0:c>
      <ns0:c r="I47" s="162" t="str">
        <ns0:f>IF(OR($A47="",I$11=""),"",IF(OR('_Engine'!$B$6&gt;0,INDEX('_Engine'!$AM$11:$AM$60,'_Engine'!$AO47)&lt;&gt;"OK"),"!",IF(INDEX(Team!$H$11:$N$60,'_Engine'!$AO47,WEEKDAY(I$11,2))&lt;&gt;"Work","—",IF(COUNTIF(Settings!$F$18:$F$67,I$11)&gt;0,"BH",IF('_Engine'!BM47+'_Engine'!BN47=0,"·",IF('_Engine'!BM47='_Engine'!BN47,INDEX(Settings!$G$7:$G$11,MOD('_Engine'!BM47,10))&amp;IF('_Engine'!BM47&gt;10,"?",""),IF('_Engine'!BM47=0,INDEX(Settings!$G$7:$G$11,MOD('_Engine'!BN47,10))&amp;IF('_Engine'!BN47&gt;10,"?","")&amp;" PM",IF('_Engine'!BN47=0,INDEX(Settings!$G$7:$G$11,MOD('_Engine'!BM47,10))&amp;IF('_Engine'!BM47&gt;10,"?","")&amp;" AM",INDEX(Settings!$G$7:$G$11,MOD('_Engine'!BM47,10))&amp;IF('_Engine'!BM47&gt;10,"?","")&amp;" AM"&amp;CHAR(10)&amp;INDEX(Settings!$G$7:$G$11,MOD('_Engine'!BN47,10))&amp;IF('_Engine'!BN47&gt;10,"?","")&amp;" PM"))))))))</ns0:f>
        <ns0:v/>
      </ns0:c>
      <ns0:c r="J47" s="162" t="str">
        <ns0:f>IF(OR($A47="",J$11=""),"",IF(OR('_Engine'!$B$6&gt;0,INDEX('_Engine'!$AM$11:$AM$60,'_Engine'!$AO47)&lt;&gt;"OK"),"!",IF(INDEX(Team!$H$11:$N$60,'_Engine'!$AO47,WEEKDAY(J$11,2))&lt;&gt;"Work","—",IF(COUNTIF(Settings!$F$18:$F$67,J$11)&gt;0,"BH",IF('_Engine'!BO47+'_Engine'!BP47=0,"·",IF('_Engine'!BO47='_Engine'!BP47,INDEX(Settings!$G$7:$G$11,MOD('_Engine'!BO47,10))&amp;IF('_Engine'!BO47&gt;10,"?",""),IF('_Engine'!BO47=0,INDEX(Settings!$G$7:$G$11,MOD('_Engine'!BP47,10))&amp;IF('_Engine'!BP47&gt;10,"?","")&amp;" PM",IF('_Engine'!BP47=0,INDEX(Settings!$G$7:$G$11,MOD('_Engine'!BO47,10))&amp;IF('_Engine'!BO47&gt;10,"?","")&amp;" AM",INDEX(Settings!$G$7:$G$11,MOD('_Engine'!BO47,10))&amp;IF('_Engine'!BO47&gt;10,"?","")&amp;" AM"&amp;CHAR(10)&amp;INDEX(Settings!$G$7:$G$11,MOD('_Engine'!BP47,10))&amp;IF('_Engine'!BP47&gt;10,"?","")&amp;" PM"))))))))</ns0:f>
        <ns0:v/>
      </ns0:c>
      <ns0:c r="K47" s="164" t="str">
        <ns0:f>IF(OR($A47="",K$11=""),"",IF(OR('_Engine'!$B$6&gt;0,INDEX('_Engine'!$AM$11:$AM$60,'_Engine'!$AO47)&lt;&gt;"OK"),"!",IF(INDEX(Team!$H$11:$N$60,'_Engine'!$AO47,WEEKDAY(K$11,2))&lt;&gt;"Work","—",IF(COUNTIF(Settings!$F$18:$F$67,K$11)&gt;0,"BH",IF('_Engine'!BQ47+'_Engine'!BR47=0,"·",IF('_Engine'!BQ47='_Engine'!BR47,INDEX(Settings!$G$7:$G$11,MOD('_Engine'!BQ47,10))&amp;IF('_Engine'!BQ47&gt;10,"?",""),IF('_Engine'!BQ47=0,INDEX(Settings!$G$7:$G$11,MOD('_Engine'!BR47,10))&amp;IF('_Engine'!BR47&gt;10,"?","")&amp;" PM",IF('_Engine'!BR47=0,INDEX(Settings!$G$7:$G$11,MOD('_Engine'!BQ47,10))&amp;IF('_Engine'!BQ47&gt;10,"?","")&amp;" AM",INDEX(Settings!$G$7:$G$11,MOD('_Engine'!BQ47,10))&amp;IF('_Engine'!BQ47&gt;10,"?","")&amp;" AM"&amp;CHAR(10)&amp;INDEX(Settings!$G$7:$G$11,MOD('_Engine'!BR47,10))&amp;IF('_Engine'!BR47&gt;10,"?","")&amp;" PM"))))))))</ns0:f>
        <ns0:v/>
      </ns0:c>
      <ns0:c r="L47" s="164" t="str">
        <ns0:f>IF(OR($A47="",L$11=""),"",IF(OR('_Engine'!$B$6&gt;0,INDEX('_Engine'!$AM$11:$AM$60,'_Engine'!$AO47)&lt;&gt;"OK"),"!",IF(INDEX(Team!$H$11:$N$60,'_Engine'!$AO47,WEEKDAY(L$11,2))&lt;&gt;"Work","—",IF(COUNTIF(Settings!$F$18:$F$67,L$11)&gt;0,"BH",IF('_Engine'!BS47+'_Engine'!BT47=0,"·",IF('_Engine'!BS47='_Engine'!BT47,INDEX(Settings!$G$7:$G$11,MOD('_Engine'!BS47,10))&amp;IF('_Engine'!BS47&gt;10,"?",""),IF('_Engine'!BS47=0,INDEX(Settings!$G$7:$G$11,MOD('_Engine'!BT47,10))&amp;IF('_Engine'!BT47&gt;10,"?","")&amp;" PM",IF('_Engine'!BT47=0,INDEX(Settings!$G$7:$G$11,MOD('_Engine'!BS47,10))&amp;IF('_Engine'!BS47&gt;10,"?","")&amp;" AM",INDEX(Settings!$G$7:$G$11,MOD('_Engine'!BS47,10))&amp;IF('_Engine'!BS47&gt;10,"?","")&amp;" AM"&amp;CHAR(10)&amp;INDEX(Settings!$G$7:$G$11,MOD('_Engine'!BT47,10))&amp;IF('_Engine'!BT47&gt;10,"?","")&amp;" PM"))))))))</ns0:f>
        <ns0:v/>
      </ns0:c>
      <ns0:c r="M47" s="164" t="str">
        <ns0:f>IF(OR($A47="",M$11=""),"",IF(OR('_Engine'!$B$6&gt;0,INDEX('_Engine'!$AM$11:$AM$60,'_Engine'!$AO47)&lt;&gt;"OK"),"!",IF(INDEX(Team!$H$11:$N$60,'_Engine'!$AO47,WEEKDAY(M$11,2))&lt;&gt;"Work","—",IF(COUNTIF(Settings!$F$18:$F$67,M$11)&gt;0,"BH",IF('_Engine'!BU47+'_Engine'!BV47=0,"·",IF('_Engine'!BU47='_Engine'!BV47,INDEX(Settings!$G$7:$G$11,MOD('_Engine'!BU47,10))&amp;IF('_Engine'!BU47&gt;10,"?",""),IF('_Engine'!BU47=0,INDEX(Settings!$G$7:$G$11,MOD('_Engine'!BV47,10))&amp;IF('_Engine'!BV47&gt;10,"?","")&amp;" PM",IF('_Engine'!BV47=0,INDEX(Settings!$G$7:$G$11,MOD('_Engine'!BU47,10))&amp;IF('_Engine'!BU47&gt;10,"?","")&amp;" AM",INDEX(Settings!$G$7:$G$11,MOD('_Engine'!BU47,10))&amp;IF('_Engine'!BU47&gt;10,"?","")&amp;" AM"&amp;CHAR(10)&amp;INDEX(Settings!$G$7:$G$11,MOD('_Engine'!BV47,10))&amp;IF('_Engine'!BV47&gt;10,"?","")&amp;" PM"))))))))</ns0:f>
        <ns0:v/>
      </ns0:c>
      <ns0:c r="N47" s="164" t="str">
        <ns0:f>IF(OR($A47="",N$11=""),"",IF(OR('_Engine'!$B$6&gt;0,INDEX('_Engine'!$AM$11:$AM$60,'_Engine'!$AO47)&lt;&gt;"OK"),"!",IF(INDEX(Team!$H$11:$N$60,'_Engine'!$AO47,WEEKDAY(N$11,2))&lt;&gt;"Work","—",IF(COUNTIF(Settings!$F$18:$F$67,N$11)&gt;0,"BH",IF('_Engine'!BW47+'_Engine'!BX47=0,"·",IF('_Engine'!BW47='_Engine'!BX47,INDEX(Settings!$G$7:$G$11,MOD('_Engine'!BW47,10))&amp;IF('_Engine'!BW47&gt;10,"?",""),IF('_Engine'!BW47=0,INDEX(Settings!$G$7:$G$11,MOD('_Engine'!BX47,10))&amp;IF('_Engine'!BX47&gt;10,"?","")&amp;" PM",IF('_Engine'!BX47=0,INDEX(Settings!$G$7:$G$11,MOD('_Engine'!BW47,10))&amp;IF('_Engine'!BW47&gt;10,"?","")&amp;" AM",INDEX(Settings!$G$7:$G$11,MOD('_Engine'!BW47,10))&amp;IF('_Engine'!BW47&gt;10,"?","")&amp;" AM"&amp;CHAR(10)&amp;INDEX(Settings!$G$7:$G$11,MOD('_Engine'!BX47,10))&amp;IF('_Engine'!BX47&gt;10,"?","")&amp;" PM"))))))))</ns0:f>
        <ns0:v/>
      </ns0:c>
      <ns0:c r="O47" s="164" t="str">
        <ns0:f>IF(OR($A47="",O$11=""),"",IF(OR('_Engine'!$B$6&gt;0,INDEX('_Engine'!$AM$11:$AM$60,'_Engine'!$AO47)&lt;&gt;"OK"),"!",IF(INDEX(Team!$H$11:$N$60,'_Engine'!$AO47,WEEKDAY(O$11,2))&lt;&gt;"Work","—",IF(COUNTIF(Settings!$F$18:$F$67,O$11)&gt;0,"BH",IF('_Engine'!BY47+'_Engine'!BZ47=0,"·",IF('_Engine'!BY47='_Engine'!BZ47,INDEX(Settings!$G$7:$G$11,MOD('_Engine'!BY47,10))&amp;IF('_Engine'!BY47&gt;10,"?",""),IF('_Engine'!BY47=0,INDEX(Settings!$G$7:$G$11,MOD('_Engine'!BZ47,10))&amp;IF('_Engine'!BZ47&gt;10,"?","")&amp;" PM",IF('_Engine'!BZ47=0,INDEX(Settings!$G$7:$G$11,MOD('_Engine'!BY47,10))&amp;IF('_Engine'!BY47&gt;10,"?","")&amp;" AM",INDEX(Settings!$G$7:$G$11,MOD('_Engine'!BY47,10))&amp;IF('_Engine'!BY47&gt;10,"?","")&amp;" AM"&amp;CHAR(10)&amp;INDEX(Settings!$G$7:$G$11,MOD('_Engine'!BZ47,10))&amp;IF('_Engine'!BZ47&gt;10,"?","")&amp;" PM"))))))))</ns0:f>
        <ns0:v/>
      </ns0:c>
      <ns0:c r="P47" s="164" t="str">
        <ns0:f>IF(OR($A47="",P$11=""),"",IF(OR('_Engine'!$B$6&gt;0,INDEX('_Engine'!$AM$11:$AM$60,'_Engine'!$AO47)&lt;&gt;"OK"),"!",IF(INDEX(Team!$H$11:$N$60,'_Engine'!$AO47,WEEKDAY(P$11,2))&lt;&gt;"Work","—",IF(COUNTIF(Settings!$F$18:$F$67,P$11)&gt;0,"BH",IF('_Engine'!CA47+'_Engine'!CB47=0,"·",IF('_Engine'!CA47='_Engine'!CB47,INDEX(Settings!$G$7:$G$11,MOD('_Engine'!CA47,10))&amp;IF('_Engine'!CA47&gt;10,"?",""),IF('_Engine'!CA47=0,INDEX(Settings!$G$7:$G$11,MOD('_Engine'!CB47,10))&amp;IF('_Engine'!CB47&gt;10,"?","")&amp;" PM",IF('_Engine'!CB47=0,INDEX(Settings!$G$7:$G$11,MOD('_Engine'!CA47,10))&amp;IF('_Engine'!CA47&gt;10,"?","")&amp;" AM",INDEX(Settings!$G$7:$G$11,MOD('_Engine'!CA47,10))&amp;IF('_Engine'!CA47&gt;10,"?","")&amp;" AM"&amp;CHAR(10)&amp;INDEX(Settings!$G$7:$G$11,MOD('_Engine'!CB47,10))&amp;IF('_Engine'!CB47&gt;10,"?","")&amp;" PM"))))))))</ns0:f>
        <ns0:v/>
      </ns0:c>
      <ns0:c r="Q47" s="164" t="str">
        <ns0:f>IF(OR($A47="",Q$11=""),"",IF(OR('_Engine'!$B$6&gt;0,INDEX('_Engine'!$AM$11:$AM$60,'_Engine'!$AO47)&lt;&gt;"OK"),"!",IF(INDEX(Team!$H$11:$N$60,'_Engine'!$AO47,WEEKDAY(Q$11,2))&lt;&gt;"Work","—",IF(COUNTIF(Settings!$F$18:$F$67,Q$11)&gt;0,"BH",IF('_Engine'!CC47+'_Engine'!CD47=0,"·",IF('_Engine'!CC47='_Engine'!CD47,INDEX(Settings!$G$7:$G$11,MOD('_Engine'!CC47,10))&amp;IF('_Engine'!CC47&gt;10,"?",""),IF('_Engine'!CC47=0,INDEX(Settings!$G$7:$G$11,MOD('_Engine'!CD47,10))&amp;IF('_Engine'!CD47&gt;10,"?","")&amp;" PM",IF('_Engine'!CD47=0,INDEX(Settings!$G$7:$G$11,MOD('_Engine'!CC47,10))&amp;IF('_Engine'!CC47&gt;10,"?","")&amp;" AM",INDEX(Settings!$G$7:$G$11,MOD('_Engine'!CC47,10))&amp;IF('_Engine'!CC47&gt;10,"?","")&amp;" AM"&amp;CHAR(10)&amp;INDEX(Settings!$G$7:$G$11,MOD('_Engine'!CD47,10))&amp;IF('_Engine'!CD47&gt;10,"?","")&amp;" PM"))))))))</ns0:f>
        <ns0:v/>
      </ns0:c>
      <ns0:c r="R47" s="164" t="str">
        <ns0:f>IF(OR($A47="",R$11=""),"",IF(OR('_Engine'!$B$6&gt;0,INDEX('_Engine'!$AM$11:$AM$60,'_Engine'!$AO47)&lt;&gt;"OK"),"!",IF(INDEX(Team!$H$11:$N$60,'_Engine'!$AO47,WEEKDAY(R$11,2))&lt;&gt;"Work","—",IF(COUNTIF(Settings!$F$18:$F$67,R$11)&gt;0,"BH",IF('_Engine'!CE47+'_Engine'!CF47=0,"·",IF('_Engine'!CE47='_Engine'!CF47,INDEX(Settings!$G$7:$G$11,MOD('_Engine'!CE47,10))&amp;IF('_Engine'!CE47&gt;10,"?",""),IF('_Engine'!CE47=0,INDEX(Settings!$G$7:$G$11,MOD('_Engine'!CF47,10))&amp;IF('_Engine'!CF47&gt;10,"?","")&amp;" PM",IF('_Engine'!CF47=0,INDEX(Settings!$G$7:$G$11,MOD('_Engine'!CE47,10))&amp;IF('_Engine'!CE47&gt;10,"?","")&amp;" AM",INDEX(Settings!$G$7:$G$11,MOD('_Engine'!CE47,10))&amp;IF('_Engine'!CE47&gt;10,"?","")&amp;" AM"&amp;CHAR(10)&amp;INDEX(Settings!$G$7:$G$11,MOD('_Engine'!CF47,10))&amp;IF('_Engine'!CF47&gt;10,"?","")&amp;" PM"))))))))</ns0:f>
        <ns0:v/>
      </ns0:c>
      <ns0:c r="S47" s="164" t="str">
        <ns0:f>IF(OR($A47="",S$11=""),"",IF(OR('_Engine'!$B$6&gt;0,INDEX('_Engine'!$AM$11:$AM$60,'_Engine'!$AO47)&lt;&gt;"OK"),"!",IF(INDEX(Team!$H$11:$N$60,'_Engine'!$AO47,WEEKDAY(S$11,2))&lt;&gt;"Work","—",IF(COUNTIF(Settings!$F$18:$F$67,S$11)&gt;0,"BH",IF('_Engine'!CG47+'_Engine'!CH47=0,"·",IF('_Engine'!CG47='_Engine'!CH47,INDEX(Settings!$G$7:$G$11,MOD('_Engine'!CG47,10))&amp;IF('_Engine'!CG47&gt;10,"?",""),IF('_Engine'!CG47=0,INDEX(Settings!$G$7:$G$11,MOD('_Engine'!CH47,10))&amp;IF('_Engine'!CH47&gt;10,"?","")&amp;" PM",IF('_Engine'!CH47=0,INDEX(Settings!$G$7:$G$11,MOD('_Engine'!CG47,10))&amp;IF('_Engine'!CG47&gt;10,"?","")&amp;" AM",INDEX(Settings!$G$7:$G$11,MOD('_Engine'!CG47,10))&amp;IF('_Engine'!CG47&gt;10,"?","")&amp;" AM"&amp;CHAR(10)&amp;INDEX(Settings!$G$7:$G$11,MOD('_Engine'!CH47,10))&amp;IF('_Engine'!CH47&gt;10,"?","")&amp;" PM"))))))))</ns0:f>
        <ns0:v/>
      </ns0:c>
      <ns0:c r="T47" s="164" t="str">
        <ns0:f>IF(OR($A47="",T$11=""),"",IF(OR('_Engine'!$B$6&gt;0,INDEX('_Engine'!$AM$11:$AM$60,'_Engine'!$AO47)&lt;&gt;"OK"),"!",IF(INDEX(Team!$H$11:$N$60,'_Engine'!$AO47,WEEKDAY(T$11,2))&lt;&gt;"Work","—",IF(COUNTIF(Settings!$F$18:$F$67,T$11)&gt;0,"BH",IF('_Engine'!CI47+'_Engine'!CJ47=0,"·",IF('_Engine'!CI47='_Engine'!CJ47,INDEX(Settings!$G$7:$G$11,MOD('_Engine'!CI47,10))&amp;IF('_Engine'!CI47&gt;10,"?",""),IF('_Engine'!CI47=0,INDEX(Settings!$G$7:$G$11,MOD('_Engine'!CJ47,10))&amp;IF('_Engine'!CJ47&gt;10,"?","")&amp;" PM",IF('_Engine'!CJ47=0,INDEX(Settings!$G$7:$G$11,MOD('_Engine'!CI47,10))&amp;IF('_Engine'!CI47&gt;10,"?","")&amp;" AM",INDEX(Settings!$G$7:$G$11,MOD('_Engine'!CI47,10))&amp;IF('_Engine'!CI47&gt;10,"?","")&amp;" AM"&amp;CHAR(10)&amp;INDEX(Settings!$G$7:$G$11,MOD('_Engine'!CJ47,10))&amp;IF('_Engine'!CJ47&gt;10,"?","")&amp;" PM"))))))))</ns0:f>
        <ns0:v/>
      </ns0:c>
      <ns0:c r="U47" s="164" t="str">
        <ns0:f>IF(OR($A47="",U$11=""),"",IF(OR('_Engine'!$B$6&gt;0,INDEX('_Engine'!$AM$11:$AM$60,'_Engine'!$AO47)&lt;&gt;"OK"),"!",IF(INDEX(Team!$H$11:$N$60,'_Engine'!$AO47,WEEKDAY(U$11,2))&lt;&gt;"Work","—",IF(COUNTIF(Settings!$F$18:$F$67,U$11)&gt;0,"BH",IF('_Engine'!CK47+'_Engine'!CL47=0,"·",IF('_Engine'!CK47='_Engine'!CL47,INDEX(Settings!$G$7:$G$11,MOD('_Engine'!CK47,10))&amp;IF('_Engine'!CK47&gt;10,"?",""),IF('_Engine'!CK47=0,INDEX(Settings!$G$7:$G$11,MOD('_Engine'!CL47,10))&amp;IF('_Engine'!CL47&gt;10,"?","")&amp;" PM",IF('_Engine'!CL47=0,INDEX(Settings!$G$7:$G$11,MOD('_Engine'!CK47,10))&amp;IF('_Engine'!CK47&gt;10,"?","")&amp;" AM",INDEX(Settings!$G$7:$G$11,MOD('_Engine'!CK47,10))&amp;IF('_Engine'!CK47&gt;10,"?","")&amp;" AM"&amp;CHAR(10)&amp;INDEX(Settings!$G$7:$G$11,MOD('_Engine'!CL47,10))&amp;IF('_Engine'!CL47&gt;10,"?","")&amp;" PM"))))))))</ns0:f>
        <ns0:v/>
      </ns0:c>
      <ns0:c r="V47" s="164" t="str">
        <ns0:f>IF(OR($A47="",V$11=""),"",IF(OR('_Engine'!$B$6&gt;0,INDEX('_Engine'!$AM$11:$AM$60,'_Engine'!$AO47)&lt;&gt;"OK"),"!",IF(INDEX(Team!$H$11:$N$60,'_Engine'!$AO47,WEEKDAY(V$11,2))&lt;&gt;"Work","—",IF(COUNTIF(Settings!$F$18:$F$67,V$11)&gt;0,"BH",IF('_Engine'!CM47+'_Engine'!CN47=0,"·",IF('_Engine'!CM47='_Engine'!CN47,INDEX(Settings!$G$7:$G$11,MOD('_Engine'!CM47,10))&amp;IF('_Engine'!CM47&gt;10,"?",""),IF('_Engine'!CM47=0,INDEX(Settings!$G$7:$G$11,MOD('_Engine'!CN47,10))&amp;IF('_Engine'!CN47&gt;10,"?","")&amp;" PM",IF('_Engine'!CN47=0,INDEX(Settings!$G$7:$G$11,MOD('_Engine'!CM47,10))&amp;IF('_Engine'!CM47&gt;10,"?","")&amp;" AM",INDEX(Settings!$G$7:$G$11,MOD('_Engine'!CM47,10))&amp;IF('_Engine'!CM47&gt;10,"?","")&amp;" AM"&amp;CHAR(10)&amp;INDEX(Settings!$G$7:$G$11,MOD('_Engine'!CN47,10))&amp;IF('_Engine'!CN47&gt;10,"?","")&amp;" PM"))))))))</ns0:f>
        <ns0:v/>
      </ns0:c>
      <ns0:c r="W47" s="164" t="str">
        <ns0:f>IF(OR($A47="",W$11=""),"",IF(OR('_Engine'!$B$6&gt;0,INDEX('_Engine'!$AM$11:$AM$60,'_Engine'!$AO47)&lt;&gt;"OK"),"!",IF(INDEX(Team!$H$11:$N$60,'_Engine'!$AO47,WEEKDAY(W$11,2))&lt;&gt;"Work","—",IF(COUNTIF(Settings!$F$18:$F$67,W$11)&gt;0,"BH",IF('_Engine'!CO47+'_Engine'!CP47=0,"·",IF('_Engine'!CO47='_Engine'!CP47,INDEX(Settings!$G$7:$G$11,MOD('_Engine'!CO47,10))&amp;IF('_Engine'!CO47&gt;10,"?",""),IF('_Engine'!CO47=0,INDEX(Settings!$G$7:$G$11,MOD('_Engine'!CP47,10))&amp;IF('_Engine'!CP47&gt;10,"?","")&amp;" PM",IF('_Engine'!CP47=0,INDEX(Settings!$G$7:$G$11,MOD('_Engine'!CO47,10))&amp;IF('_Engine'!CO47&gt;10,"?","")&amp;" AM",INDEX(Settings!$G$7:$G$11,MOD('_Engine'!CO47,10))&amp;IF('_Engine'!CO47&gt;10,"?","")&amp;" AM"&amp;CHAR(10)&amp;INDEX(Settings!$G$7:$G$11,MOD('_Engine'!CP47,10))&amp;IF('_Engine'!CP47&gt;10,"?","")&amp;" PM"))))))))</ns0:f>
        <ns0:v/>
      </ns0:c>
      <ns0:c r="X47" s="164" t="str">
        <ns0:f>IF(OR($A47="",X$11=""),"",IF(OR('_Engine'!$B$6&gt;0,INDEX('_Engine'!$AM$11:$AM$60,'_Engine'!$AO47)&lt;&gt;"OK"),"!",IF(INDEX(Team!$H$11:$N$60,'_Engine'!$AO47,WEEKDAY(X$11,2))&lt;&gt;"Work","—",IF(COUNTIF(Settings!$F$18:$F$67,X$11)&gt;0,"BH",IF('_Engine'!CQ47+'_Engine'!CR47=0,"·",IF('_Engine'!CQ47='_Engine'!CR47,INDEX(Settings!$G$7:$G$11,MOD('_Engine'!CQ47,10))&amp;IF('_Engine'!CQ47&gt;10,"?",""),IF('_Engine'!CQ47=0,INDEX(Settings!$G$7:$G$11,MOD('_Engine'!CR47,10))&amp;IF('_Engine'!CR47&gt;10,"?","")&amp;" PM",IF('_Engine'!CR47=0,INDEX(Settings!$G$7:$G$11,MOD('_Engine'!CQ47,10))&amp;IF('_Engine'!CQ47&gt;10,"?","")&amp;" AM",INDEX(Settings!$G$7:$G$11,MOD('_Engine'!CQ47,10))&amp;IF('_Engine'!CQ47&gt;10,"?","")&amp;" AM"&amp;CHAR(10)&amp;INDEX(Settings!$G$7:$G$11,MOD('_Engine'!CR47,10))&amp;IF('_Engine'!CR47&gt;10,"?","")&amp;" PM"))))))))</ns0:f>
        <ns0:v/>
      </ns0:c>
      <ns0:c r="Y47" s="164" t="str">
        <ns0:f>IF(OR($A47="",Y$11=""),"",IF(OR('_Engine'!$B$6&gt;0,INDEX('_Engine'!$AM$11:$AM$60,'_Engine'!$AO47)&lt;&gt;"OK"),"!",IF(INDEX(Team!$H$11:$N$60,'_Engine'!$AO47,WEEKDAY(Y$11,2))&lt;&gt;"Work","—",IF(COUNTIF(Settings!$F$18:$F$67,Y$11)&gt;0,"BH",IF('_Engine'!CS47+'_Engine'!CT47=0,"·",IF('_Engine'!CS47='_Engine'!CT47,INDEX(Settings!$G$7:$G$11,MOD('_Engine'!CS47,10))&amp;IF('_Engine'!CS47&gt;10,"?",""),IF('_Engine'!CS47=0,INDEX(Settings!$G$7:$G$11,MOD('_Engine'!CT47,10))&amp;IF('_Engine'!CT47&gt;10,"?","")&amp;" PM",IF('_Engine'!CT47=0,INDEX(Settings!$G$7:$G$11,MOD('_Engine'!CS47,10))&amp;IF('_Engine'!CS47&gt;10,"?","")&amp;" AM",INDEX(Settings!$G$7:$G$11,MOD('_Engine'!CS47,10))&amp;IF('_Engine'!CS47&gt;10,"?","")&amp;" AM"&amp;CHAR(10)&amp;INDEX(Settings!$G$7:$G$11,MOD('_Engine'!CT47,10))&amp;IF('_Engine'!CT47&gt;10,"?","")&amp;" PM"))))))))</ns0:f>
        <ns0:v/>
      </ns0:c>
      <ns0:c r="Z47" s="164" t="str">
        <ns0:f>IF(OR($A47="",Z$11=""),"",IF(OR('_Engine'!$B$6&gt;0,INDEX('_Engine'!$AM$11:$AM$60,'_Engine'!$AO47)&lt;&gt;"OK"),"!",IF(INDEX(Team!$H$11:$N$60,'_Engine'!$AO47,WEEKDAY(Z$11,2))&lt;&gt;"Work","—",IF(COUNTIF(Settings!$F$18:$F$67,Z$11)&gt;0,"BH",IF('_Engine'!CU47+'_Engine'!CV47=0,"·",IF('_Engine'!CU47='_Engine'!CV47,INDEX(Settings!$G$7:$G$11,MOD('_Engine'!CU47,10))&amp;IF('_Engine'!CU47&gt;10,"?",""),IF('_Engine'!CU47=0,INDEX(Settings!$G$7:$G$11,MOD('_Engine'!CV47,10))&amp;IF('_Engine'!CV47&gt;10,"?","")&amp;" PM",IF('_Engine'!CV47=0,INDEX(Settings!$G$7:$G$11,MOD('_Engine'!CU47,10))&amp;IF('_Engine'!CU47&gt;10,"?","")&amp;" AM",INDEX(Settings!$G$7:$G$11,MOD('_Engine'!CU47,10))&amp;IF('_Engine'!CU47&gt;10,"?","")&amp;" AM"&amp;CHAR(10)&amp;INDEX(Settings!$G$7:$G$11,MOD('_Engine'!CV47,10))&amp;IF('_Engine'!CV47&gt;10,"?","")&amp;" PM"))))))))</ns0:f>
        <ns0:v/>
      </ns0:c>
      <ns0:c r="AA47" s="164" t="str">
        <ns0:f>IF(OR($A47="",AA$11=""),"",IF(OR('_Engine'!$B$6&gt;0,INDEX('_Engine'!$AM$11:$AM$60,'_Engine'!$AO47)&lt;&gt;"OK"),"!",IF(INDEX(Team!$H$11:$N$60,'_Engine'!$AO47,WEEKDAY(AA$11,2))&lt;&gt;"Work","—",IF(COUNTIF(Settings!$F$18:$F$67,AA$11)&gt;0,"BH",IF('_Engine'!CW47+'_Engine'!CX47=0,"·",IF('_Engine'!CW47='_Engine'!CX47,INDEX(Settings!$G$7:$G$11,MOD('_Engine'!CW47,10))&amp;IF('_Engine'!CW47&gt;10,"?",""),IF('_Engine'!CW47=0,INDEX(Settings!$G$7:$G$11,MOD('_Engine'!CX47,10))&amp;IF('_Engine'!CX47&gt;10,"?","")&amp;" PM",IF('_Engine'!CX47=0,INDEX(Settings!$G$7:$G$11,MOD('_Engine'!CW47,10))&amp;IF('_Engine'!CW47&gt;10,"?","")&amp;" AM",INDEX(Settings!$G$7:$G$11,MOD('_Engine'!CW47,10))&amp;IF('_Engine'!CW47&gt;10,"?","")&amp;" AM"&amp;CHAR(10)&amp;INDEX(Settings!$G$7:$G$11,MOD('_Engine'!CX47,10))&amp;IF('_Engine'!CX47&gt;10,"?","")&amp;" PM"))))))))</ns0:f>
        <ns0:v/>
      </ns0:c>
      <ns0:c r="AB47" s="164" t="str">
        <ns0:f>IF(OR($A47="",AB$11=""),"",IF(OR('_Engine'!$B$6&gt;0,INDEX('_Engine'!$AM$11:$AM$60,'_Engine'!$AO47)&lt;&gt;"OK"),"!",IF(INDEX(Team!$H$11:$N$60,'_Engine'!$AO47,WEEKDAY(AB$11,2))&lt;&gt;"Work","—",IF(COUNTIF(Settings!$F$18:$F$67,AB$11)&gt;0,"BH",IF('_Engine'!CY47+'_Engine'!CZ47=0,"·",IF('_Engine'!CY47='_Engine'!CZ47,INDEX(Settings!$G$7:$G$11,MOD('_Engine'!CY47,10))&amp;IF('_Engine'!CY47&gt;10,"?",""),IF('_Engine'!CY47=0,INDEX(Settings!$G$7:$G$11,MOD('_Engine'!CZ47,10))&amp;IF('_Engine'!CZ47&gt;10,"?","")&amp;" PM",IF('_Engine'!CZ47=0,INDEX(Settings!$G$7:$G$11,MOD('_Engine'!CY47,10))&amp;IF('_Engine'!CY47&gt;10,"?","")&amp;" AM",INDEX(Settings!$G$7:$G$11,MOD('_Engine'!CY47,10))&amp;IF('_Engine'!CY47&gt;10,"?","")&amp;" AM"&amp;CHAR(10)&amp;INDEX(Settings!$G$7:$G$11,MOD('_Engine'!CZ47,10))&amp;IF('_Engine'!CZ47&gt;10,"?","")&amp;" PM"))))))))</ns0:f>
        <ns0:v/>
      </ns0:c>
      <ns0:c r="AC47" s="164" t="str">
        <ns0:f>IF(OR($A47="",AC$11=""),"",IF(OR('_Engine'!$B$6&gt;0,INDEX('_Engine'!$AM$11:$AM$60,'_Engine'!$AO47)&lt;&gt;"OK"),"!",IF(INDEX(Team!$H$11:$N$60,'_Engine'!$AO47,WEEKDAY(AC$11,2))&lt;&gt;"Work","—",IF(COUNTIF(Settings!$F$18:$F$67,AC$11)&gt;0,"BH",IF('_Engine'!DA47+'_Engine'!DB47=0,"·",IF('_Engine'!DA47='_Engine'!DB47,INDEX(Settings!$G$7:$G$11,MOD('_Engine'!DA47,10))&amp;IF('_Engine'!DA47&gt;10,"?",""),IF('_Engine'!DA47=0,INDEX(Settings!$G$7:$G$11,MOD('_Engine'!DB47,10))&amp;IF('_Engine'!DB47&gt;10,"?","")&amp;" PM",IF('_Engine'!DB47=0,INDEX(Settings!$G$7:$G$11,MOD('_Engine'!DA47,10))&amp;IF('_Engine'!DA47&gt;10,"?","")&amp;" AM",INDEX(Settings!$G$7:$G$11,MOD('_Engine'!DA47,10))&amp;IF('_Engine'!DA47&gt;10,"?","")&amp;" AM"&amp;CHAR(10)&amp;INDEX(Settings!$G$7:$G$11,MOD('_Engine'!DB47,10))&amp;IF('_Engine'!DB47&gt;10,"?","")&amp;" PM"))))))))</ns0:f>
        <ns0:v/>
      </ns0:c>
      <ns0:c r="AD47" s="164" t="str">
        <ns0:f>IF(OR($A47="",AD$11=""),"",IF(OR('_Engine'!$B$6&gt;0,INDEX('_Engine'!$AM$11:$AM$60,'_Engine'!$AO47)&lt;&gt;"OK"),"!",IF(INDEX(Team!$H$11:$N$60,'_Engine'!$AO47,WEEKDAY(AD$11,2))&lt;&gt;"Work","—",IF(COUNTIF(Settings!$F$18:$F$67,AD$11)&gt;0,"BH",IF('_Engine'!DC47+'_Engine'!DD47=0,"·",IF('_Engine'!DC47='_Engine'!DD47,INDEX(Settings!$G$7:$G$11,MOD('_Engine'!DC47,10))&amp;IF('_Engine'!DC47&gt;10,"?",""),IF('_Engine'!DC47=0,INDEX(Settings!$G$7:$G$11,MOD('_Engine'!DD47,10))&amp;IF('_Engine'!DD47&gt;10,"?","")&amp;" PM",IF('_Engine'!DD47=0,INDEX(Settings!$G$7:$G$11,MOD('_Engine'!DC47,10))&amp;IF('_Engine'!DC47&gt;10,"?","")&amp;" AM",INDEX(Settings!$G$7:$G$11,MOD('_Engine'!DC47,10))&amp;IF('_Engine'!DC47&gt;10,"?","")&amp;" AM"&amp;CHAR(10)&amp;INDEX(Settings!$G$7:$G$11,MOD('_Engine'!DD47,10))&amp;IF('_Engine'!DD47&gt;10,"?","")&amp;" PM"))))))))</ns0:f>
        <ns0:v/>
      </ns0:c>
      <ns0:c r="AE47" s="164" t="str">
        <ns0:f>IF(OR($A47="",AE$11=""),"",IF(OR('_Engine'!$B$6&gt;0,INDEX('_Engine'!$AM$11:$AM$60,'_Engine'!$AO47)&lt;&gt;"OK"),"!",IF(INDEX(Team!$H$11:$N$60,'_Engine'!$AO47,WEEKDAY(AE$11,2))&lt;&gt;"Work","—",IF(COUNTIF(Settings!$F$18:$F$67,AE$11)&gt;0,"BH",IF('_Engine'!DE47+'_Engine'!DF47=0,"·",IF('_Engine'!DE47='_Engine'!DF47,INDEX(Settings!$G$7:$G$11,MOD('_Engine'!DE47,10))&amp;IF('_Engine'!DE47&gt;10,"?",""),IF('_Engine'!DE47=0,INDEX(Settings!$G$7:$G$11,MOD('_Engine'!DF47,10))&amp;IF('_Engine'!DF47&gt;10,"?","")&amp;" PM",IF('_Engine'!DF47=0,INDEX(Settings!$G$7:$G$11,MOD('_Engine'!DE47,10))&amp;IF('_Engine'!DE47&gt;10,"?","")&amp;" AM",INDEX(Settings!$G$7:$G$11,MOD('_Engine'!DE47,10))&amp;IF('_Engine'!DE47&gt;10,"?","")&amp;" AM"&amp;CHAR(10)&amp;INDEX(Settings!$G$7:$G$11,MOD('_Engine'!DF47,10))&amp;IF('_Engine'!DF47&gt;10,"?","")&amp;" PM"))))))))</ns0:f>
        <ns0:v/>
      </ns0:c>
      <ns0:c r="AF47" s="164" t="str">
        <ns0:f>IF(OR($A47="",AF$11=""),"",IF(OR('_Engine'!$B$6&gt;0,INDEX('_Engine'!$AM$11:$AM$60,'_Engine'!$AO47)&lt;&gt;"OK"),"!",IF(INDEX(Team!$H$11:$N$60,'_Engine'!$AO47,WEEKDAY(AF$11,2))&lt;&gt;"Work","—",IF(COUNTIF(Settings!$F$18:$F$67,AF$11)&gt;0,"BH",IF('_Engine'!DG47+'_Engine'!DH47=0,"·",IF('_Engine'!DG47='_Engine'!DH47,INDEX(Settings!$G$7:$G$11,MOD('_Engine'!DG47,10))&amp;IF('_Engine'!DG47&gt;10,"?",""),IF('_Engine'!DG47=0,INDEX(Settings!$G$7:$G$11,MOD('_Engine'!DH47,10))&amp;IF('_Engine'!DH47&gt;10,"?","")&amp;" PM",IF('_Engine'!DH47=0,INDEX(Settings!$G$7:$G$11,MOD('_Engine'!DG47,10))&amp;IF('_Engine'!DG47&gt;10,"?","")&amp;" AM",INDEX(Settings!$G$7:$G$11,MOD('_Engine'!DG47,10))&amp;IF('_Engine'!DG47&gt;10,"?","")&amp;" AM"&amp;CHAR(10)&amp;INDEX(Settings!$G$7:$G$11,MOD('_Engine'!DH47,10))&amp;IF('_Engine'!DH47&gt;10,"?","")&amp;" PM"))))))))</ns0:f>
        <ns0:v/>
      </ns0:c>
      <ns0:c r="AG47" s="164" t="str">
        <ns0:f>IF(OR($A47="",AG$11=""),"",IF(OR('_Engine'!$B$6&gt;0,INDEX('_Engine'!$AM$11:$AM$60,'_Engine'!$AO47)&lt;&gt;"OK"),"!",IF(INDEX(Team!$H$11:$N$60,'_Engine'!$AO47,WEEKDAY(AG$11,2))&lt;&gt;"Work","—",IF(COUNTIF(Settings!$F$18:$F$67,AG$11)&gt;0,"BH",IF('_Engine'!DI47+'_Engine'!DJ47=0,"·",IF('_Engine'!DI47='_Engine'!DJ47,INDEX(Settings!$G$7:$G$11,MOD('_Engine'!DI47,10))&amp;IF('_Engine'!DI47&gt;10,"?",""),IF('_Engine'!DI47=0,INDEX(Settings!$G$7:$G$11,MOD('_Engine'!DJ47,10))&amp;IF('_Engine'!DJ47&gt;10,"?","")&amp;" PM",IF('_Engine'!DJ47=0,INDEX(Settings!$G$7:$G$11,MOD('_Engine'!DI47,10))&amp;IF('_Engine'!DI47&gt;10,"?","")&amp;" AM",INDEX(Settings!$G$7:$G$11,MOD('_Engine'!DI47,10))&amp;IF('_Engine'!DI47&gt;10,"?","")&amp;" AM"&amp;CHAR(10)&amp;INDEX(Settings!$G$7:$G$11,MOD('_Engine'!DJ47,10))&amp;IF('_Engine'!DJ47&gt;10,"?","")&amp;" PM"))))))))</ns0:f>
        <ns0:v/>
      </ns0:c>
      <ns0:c r="AH47" s="164" t="str">
        <ns0:f>IF(OR($A47="",AH$11=""),"",IF(OR('_Engine'!$B$6&gt;0,INDEX('_Engine'!$AM$11:$AM$60,'_Engine'!$AO47)&lt;&gt;"OK"),"!",IF(INDEX(Team!$H$11:$N$60,'_Engine'!$AO47,WEEKDAY(AH$11,2))&lt;&gt;"Work","—",IF(COUNTIF(Settings!$F$18:$F$67,AH$11)&gt;0,"BH",IF('_Engine'!DK47+'_Engine'!DL47=0,"·",IF('_Engine'!DK47='_Engine'!DL47,INDEX(Settings!$G$7:$G$11,MOD('_Engine'!DK47,10))&amp;IF('_Engine'!DK47&gt;10,"?",""),IF('_Engine'!DK47=0,INDEX(Settings!$G$7:$G$11,MOD('_Engine'!DL47,10))&amp;IF('_Engine'!DL47&gt;10,"?","")&amp;" PM",IF('_Engine'!DL47=0,INDEX(Settings!$G$7:$G$11,MOD('_Engine'!DK47,10))&amp;IF('_Engine'!DK47&gt;10,"?","")&amp;" AM",INDEX(Settings!$G$7:$G$11,MOD('_Engine'!DK47,10))&amp;IF('_Engine'!DK47&gt;10,"?","")&amp;" AM"&amp;CHAR(10)&amp;INDEX(Settings!$G$7:$G$11,MOD('_Engine'!DL47,10))&amp;IF('_Engine'!DL47&gt;10,"?","")&amp;" PM"))))))))</ns0:f>
        <ns0:v/>
      </ns0:c>
    </ns0:row>
    <ns0:row r="48" ht="38" customHeight="1">
      <ns0:c r="A48" s="4" t="str">
        <ns0:f>IF('_Engine'!AO48=0,"",IF(INDEX(Team!$B$11:$B$60,'_Engine'!AO48)="","[Unnamed]",INDEX(Team!$B$11:$B$60,'_Engine'!AO48)))</ns0:f>
        <ns0:v/>
      </ns0:c>
      <ns0:c r="B48" s="156" t="str">
        <ns0:f>IF('_Engine'!AO48=0,"",INDEX('_Engine'!$AN$11:$AN$60,'_Engine'!AO48))</ns0:f>
        <ns0:v/>
      </ns0:c>
      <ns0:c r="C48" s="4" t="str">
        <ns0:f>IF('_Engine'!AO48=0,"",INDEX(Team!$C$11:$C$60,'_Engine'!AO48))</ns0:f>
        <ns0:v/>
      </ns0:c>
      <ns0:c r="D48" s="162" t="str">
        <ns0:f>IF(OR($A48="",D$11=""),"",IF(OR('_Engine'!$B$6&gt;0,INDEX('_Engine'!$AM$11:$AM$60,'_Engine'!$AO48)&lt;&gt;"OK"),"!",IF(INDEX(Team!$H$11:$N$60,'_Engine'!$AO48,WEEKDAY(D$11,2))&lt;&gt;"Work","—",IF(COUNTIF(Settings!$F$18:$F$67,D$11)&gt;0,"BH",IF('_Engine'!BC48+'_Engine'!BD48=0,"·",IF('_Engine'!BC48='_Engine'!BD48,INDEX(Settings!$G$7:$G$11,MOD('_Engine'!BC48,10))&amp;IF('_Engine'!BC48&gt;10,"?",""),IF('_Engine'!BC48=0,INDEX(Settings!$G$7:$G$11,MOD('_Engine'!BD48,10))&amp;IF('_Engine'!BD48&gt;10,"?","")&amp;" PM",IF('_Engine'!BD48=0,INDEX(Settings!$G$7:$G$11,MOD('_Engine'!BC48,10))&amp;IF('_Engine'!BC48&gt;10,"?","")&amp;" AM",INDEX(Settings!$G$7:$G$11,MOD('_Engine'!BC48,10))&amp;IF('_Engine'!BC48&gt;10,"?","")&amp;" AM"&amp;CHAR(10)&amp;INDEX(Settings!$G$7:$G$11,MOD('_Engine'!BD48,10))&amp;IF('_Engine'!BD48&gt;10,"?","")&amp;" PM"))))))))</ns0:f>
        <ns0:v/>
      </ns0:c>
      <ns0:c r="E48" s="162" t="str">
        <ns0:f>IF(OR($A48="",E$11=""),"",IF(OR('_Engine'!$B$6&gt;0,INDEX('_Engine'!$AM$11:$AM$60,'_Engine'!$AO48)&lt;&gt;"OK"),"!",IF(INDEX(Team!$H$11:$N$60,'_Engine'!$AO48,WEEKDAY(E$11,2))&lt;&gt;"Work","—",IF(COUNTIF(Settings!$F$18:$F$67,E$11)&gt;0,"BH",IF('_Engine'!BE48+'_Engine'!BF48=0,"·",IF('_Engine'!BE48='_Engine'!BF48,INDEX(Settings!$G$7:$G$11,MOD('_Engine'!BE48,10))&amp;IF('_Engine'!BE48&gt;10,"?",""),IF('_Engine'!BE48=0,INDEX(Settings!$G$7:$G$11,MOD('_Engine'!BF48,10))&amp;IF('_Engine'!BF48&gt;10,"?","")&amp;" PM",IF('_Engine'!BF48=0,INDEX(Settings!$G$7:$G$11,MOD('_Engine'!BE48,10))&amp;IF('_Engine'!BE48&gt;10,"?","")&amp;" AM",INDEX(Settings!$G$7:$G$11,MOD('_Engine'!BE48,10))&amp;IF('_Engine'!BE48&gt;10,"?","")&amp;" AM"&amp;CHAR(10)&amp;INDEX(Settings!$G$7:$G$11,MOD('_Engine'!BF48,10))&amp;IF('_Engine'!BF48&gt;10,"?","")&amp;" PM"))))))))</ns0:f>
        <ns0:v/>
      </ns0:c>
      <ns0:c r="F48" s="162" t="str">
        <ns0:f>IF(OR($A48="",F$11=""),"",IF(OR('_Engine'!$B$6&gt;0,INDEX('_Engine'!$AM$11:$AM$60,'_Engine'!$AO48)&lt;&gt;"OK"),"!",IF(INDEX(Team!$H$11:$N$60,'_Engine'!$AO48,WEEKDAY(F$11,2))&lt;&gt;"Work","—",IF(COUNTIF(Settings!$F$18:$F$67,F$11)&gt;0,"BH",IF('_Engine'!BG48+'_Engine'!BH48=0,"·",IF('_Engine'!BG48='_Engine'!BH48,INDEX(Settings!$G$7:$G$11,MOD('_Engine'!BG48,10))&amp;IF('_Engine'!BG48&gt;10,"?",""),IF('_Engine'!BG48=0,INDEX(Settings!$G$7:$G$11,MOD('_Engine'!BH48,10))&amp;IF('_Engine'!BH48&gt;10,"?","")&amp;" PM",IF('_Engine'!BH48=0,INDEX(Settings!$G$7:$G$11,MOD('_Engine'!BG48,10))&amp;IF('_Engine'!BG48&gt;10,"?","")&amp;" AM",INDEX(Settings!$G$7:$G$11,MOD('_Engine'!BG48,10))&amp;IF('_Engine'!BG48&gt;10,"?","")&amp;" AM"&amp;CHAR(10)&amp;INDEX(Settings!$G$7:$G$11,MOD('_Engine'!BH48,10))&amp;IF('_Engine'!BH48&gt;10,"?","")&amp;" PM"))))))))</ns0:f>
        <ns0:v/>
      </ns0:c>
      <ns0:c r="G48" s="162" t="str">
        <ns0:f>IF(OR($A48="",G$11=""),"",IF(OR('_Engine'!$B$6&gt;0,INDEX('_Engine'!$AM$11:$AM$60,'_Engine'!$AO48)&lt;&gt;"OK"),"!",IF(INDEX(Team!$H$11:$N$60,'_Engine'!$AO48,WEEKDAY(G$11,2))&lt;&gt;"Work","—",IF(COUNTIF(Settings!$F$18:$F$67,G$11)&gt;0,"BH",IF('_Engine'!BI48+'_Engine'!BJ48=0,"·",IF('_Engine'!BI48='_Engine'!BJ48,INDEX(Settings!$G$7:$G$11,MOD('_Engine'!BI48,10))&amp;IF('_Engine'!BI48&gt;10,"?",""),IF('_Engine'!BI48=0,INDEX(Settings!$G$7:$G$11,MOD('_Engine'!BJ48,10))&amp;IF('_Engine'!BJ48&gt;10,"?","")&amp;" PM",IF('_Engine'!BJ48=0,INDEX(Settings!$G$7:$G$11,MOD('_Engine'!BI48,10))&amp;IF('_Engine'!BI48&gt;10,"?","")&amp;" AM",INDEX(Settings!$G$7:$G$11,MOD('_Engine'!BI48,10))&amp;IF('_Engine'!BI48&gt;10,"?","")&amp;" AM"&amp;CHAR(10)&amp;INDEX(Settings!$G$7:$G$11,MOD('_Engine'!BJ48,10))&amp;IF('_Engine'!BJ48&gt;10,"?","")&amp;" PM"))))))))</ns0:f>
        <ns0:v/>
      </ns0:c>
      <ns0:c r="H48" s="162" t="str">
        <ns0:f>IF(OR($A48="",H$11=""),"",IF(OR('_Engine'!$B$6&gt;0,INDEX('_Engine'!$AM$11:$AM$60,'_Engine'!$AO48)&lt;&gt;"OK"),"!",IF(INDEX(Team!$H$11:$N$60,'_Engine'!$AO48,WEEKDAY(H$11,2))&lt;&gt;"Work","—",IF(COUNTIF(Settings!$F$18:$F$67,H$11)&gt;0,"BH",IF('_Engine'!BK48+'_Engine'!BL48=0,"·",IF('_Engine'!BK48='_Engine'!BL48,INDEX(Settings!$G$7:$G$11,MOD('_Engine'!BK48,10))&amp;IF('_Engine'!BK48&gt;10,"?",""),IF('_Engine'!BK48=0,INDEX(Settings!$G$7:$G$11,MOD('_Engine'!BL48,10))&amp;IF('_Engine'!BL48&gt;10,"?","")&amp;" PM",IF('_Engine'!BL48=0,INDEX(Settings!$G$7:$G$11,MOD('_Engine'!BK48,10))&amp;IF('_Engine'!BK48&gt;10,"?","")&amp;" AM",INDEX(Settings!$G$7:$G$11,MOD('_Engine'!BK48,10))&amp;IF('_Engine'!BK48&gt;10,"?","")&amp;" AM"&amp;CHAR(10)&amp;INDEX(Settings!$G$7:$G$11,MOD('_Engine'!BL48,10))&amp;IF('_Engine'!BL48&gt;10,"?","")&amp;" PM"))))))))</ns0:f>
        <ns0:v/>
      </ns0:c>
      <ns0:c r="I48" s="162" t="str">
        <ns0:f>IF(OR($A48="",I$11=""),"",IF(OR('_Engine'!$B$6&gt;0,INDEX('_Engine'!$AM$11:$AM$60,'_Engine'!$AO48)&lt;&gt;"OK"),"!",IF(INDEX(Team!$H$11:$N$60,'_Engine'!$AO48,WEEKDAY(I$11,2))&lt;&gt;"Work","—",IF(COUNTIF(Settings!$F$18:$F$67,I$11)&gt;0,"BH",IF('_Engine'!BM48+'_Engine'!BN48=0,"·",IF('_Engine'!BM48='_Engine'!BN48,INDEX(Settings!$G$7:$G$11,MOD('_Engine'!BM48,10))&amp;IF('_Engine'!BM48&gt;10,"?",""),IF('_Engine'!BM48=0,INDEX(Settings!$G$7:$G$11,MOD('_Engine'!BN48,10))&amp;IF('_Engine'!BN48&gt;10,"?","")&amp;" PM",IF('_Engine'!BN48=0,INDEX(Settings!$G$7:$G$11,MOD('_Engine'!BM48,10))&amp;IF('_Engine'!BM48&gt;10,"?","")&amp;" AM",INDEX(Settings!$G$7:$G$11,MOD('_Engine'!BM48,10))&amp;IF('_Engine'!BM48&gt;10,"?","")&amp;" AM"&amp;CHAR(10)&amp;INDEX(Settings!$G$7:$G$11,MOD('_Engine'!BN48,10))&amp;IF('_Engine'!BN48&gt;10,"?","")&amp;" PM"))))))))</ns0:f>
        <ns0:v/>
      </ns0:c>
      <ns0:c r="J48" s="162" t="str">
        <ns0:f>IF(OR($A48="",J$11=""),"",IF(OR('_Engine'!$B$6&gt;0,INDEX('_Engine'!$AM$11:$AM$60,'_Engine'!$AO48)&lt;&gt;"OK"),"!",IF(INDEX(Team!$H$11:$N$60,'_Engine'!$AO48,WEEKDAY(J$11,2))&lt;&gt;"Work","—",IF(COUNTIF(Settings!$F$18:$F$67,J$11)&gt;0,"BH",IF('_Engine'!BO48+'_Engine'!BP48=0,"·",IF('_Engine'!BO48='_Engine'!BP48,INDEX(Settings!$G$7:$G$11,MOD('_Engine'!BO48,10))&amp;IF('_Engine'!BO48&gt;10,"?",""),IF('_Engine'!BO48=0,INDEX(Settings!$G$7:$G$11,MOD('_Engine'!BP48,10))&amp;IF('_Engine'!BP48&gt;10,"?","")&amp;" PM",IF('_Engine'!BP48=0,INDEX(Settings!$G$7:$G$11,MOD('_Engine'!BO48,10))&amp;IF('_Engine'!BO48&gt;10,"?","")&amp;" AM",INDEX(Settings!$G$7:$G$11,MOD('_Engine'!BO48,10))&amp;IF('_Engine'!BO48&gt;10,"?","")&amp;" AM"&amp;CHAR(10)&amp;INDEX(Settings!$G$7:$G$11,MOD('_Engine'!BP48,10))&amp;IF('_Engine'!BP48&gt;10,"?","")&amp;" PM"))))))))</ns0:f>
        <ns0:v/>
      </ns0:c>
      <ns0:c r="K48" s="164" t="str">
        <ns0:f>IF(OR($A48="",K$11=""),"",IF(OR('_Engine'!$B$6&gt;0,INDEX('_Engine'!$AM$11:$AM$60,'_Engine'!$AO48)&lt;&gt;"OK"),"!",IF(INDEX(Team!$H$11:$N$60,'_Engine'!$AO48,WEEKDAY(K$11,2))&lt;&gt;"Work","—",IF(COUNTIF(Settings!$F$18:$F$67,K$11)&gt;0,"BH",IF('_Engine'!BQ48+'_Engine'!BR48=0,"·",IF('_Engine'!BQ48='_Engine'!BR48,INDEX(Settings!$G$7:$G$11,MOD('_Engine'!BQ48,10))&amp;IF('_Engine'!BQ48&gt;10,"?",""),IF('_Engine'!BQ48=0,INDEX(Settings!$G$7:$G$11,MOD('_Engine'!BR48,10))&amp;IF('_Engine'!BR48&gt;10,"?","")&amp;" PM",IF('_Engine'!BR48=0,INDEX(Settings!$G$7:$G$11,MOD('_Engine'!BQ48,10))&amp;IF('_Engine'!BQ48&gt;10,"?","")&amp;" AM",INDEX(Settings!$G$7:$G$11,MOD('_Engine'!BQ48,10))&amp;IF('_Engine'!BQ48&gt;10,"?","")&amp;" AM"&amp;CHAR(10)&amp;INDEX(Settings!$G$7:$G$11,MOD('_Engine'!BR48,10))&amp;IF('_Engine'!BR48&gt;10,"?","")&amp;" PM"))))))))</ns0:f>
        <ns0:v/>
      </ns0:c>
      <ns0:c r="L48" s="164" t="str">
        <ns0:f>IF(OR($A48="",L$11=""),"",IF(OR('_Engine'!$B$6&gt;0,INDEX('_Engine'!$AM$11:$AM$60,'_Engine'!$AO48)&lt;&gt;"OK"),"!",IF(INDEX(Team!$H$11:$N$60,'_Engine'!$AO48,WEEKDAY(L$11,2))&lt;&gt;"Work","—",IF(COUNTIF(Settings!$F$18:$F$67,L$11)&gt;0,"BH",IF('_Engine'!BS48+'_Engine'!BT48=0,"·",IF('_Engine'!BS48='_Engine'!BT48,INDEX(Settings!$G$7:$G$11,MOD('_Engine'!BS48,10))&amp;IF('_Engine'!BS48&gt;10,"?",""),IF('_Engine'!BS48=0,INDEX(Settings!$G$7:$G$11,MOD('_Engine'!BT48,10))&amp;IF('_Engine'!BT48&gt;10,"?","")&amp;" PM",IF('_Engine'!BT48=0,INDEX(Settings!$G$7:$G$11,MOD('_Engine'!BS48,10))&amp;IF('_Engine'!BS48&gt;10,"?","")&amp;" AM",INDEX(Settings!$G$7:$G$11,MOD('_Engine'!BS48,10))&amp;IF('_Engine'!BS48&gt;10,"?","")&amp;" AM"&amp;CHAR(10)&amp;INDEX(Settings!$G$7:$G$11,MOD('_Engine'!BT48,10))&amp;IF('_Engine'!BT48&gt;10,"?","")&amp;" PM"))))))))</ns0:f>
        <ns0:v/>
      </ns0:c>
      <ns0:c r="M48" s="164" t="str">
        <ns0:f>IF(OR($A48="",M$11=""),"",IF(OR('_Engine'!$B$6&gt;0,INDEX('_Engine'!$AM$11:$AM$60,'_Engine'!$AO48)&lt;&gt;"OK"),"!",IF(INDEX(Team!$H$11:$N$60,'_Engine'!$AO48,WEEKDAY(M$11,2))&lt;&gt;"Work","—",IF(COUNTIF(Settings!$F$18:$F$67,M$11)&gt;0,"BH",IF('_Engine'!BU48+'_Engine'!BV48=0,"·",IF('_Engine'!BU48='_Engine'!BV48,INDEX(Settings!$G$7:$G$11,MOD('_Engine'!BU48,10))&amp;IF('_Engine'!BU48&gt;10,"?",""),IF('_Engine'!BU48=0,INDEX(Settings!$G$7:$G$11,MOD('_Engine'!BV48,10))&amp;IF('_Engine'!BV48&gt;10,"?","")&amp;" PM",IF('_Engine'!BV48=0,INDEX(Settings!$G$7:$G$11,MOD('_Engine'!BU48,10))&amp;IF('_Engine'!BU48&gt;10,"?","")&amp;" AM",INDEX(Settings!$G$7:$G$11,MOD('_Engine'!BU48,10))&amp;IF('_Engine'!BU48&gt;10,"?","")&amp;" AM"&amp;CHAR(10)&amp;INDEX(Settings!$G$7:$G$11,MOD('_Engine'!BV48,10))&amp;IF('_Engine'!BV48&gt;10,"?","")&amp;" PM"))))))))</ns0:f>
        <ns0:v/>
      </ns0:c>
      <ns0:c r="N48" s="164" t="str">
        <ns0:f>IF(OR($A48="",N$11=""),"",IF(OR('_Engine'!$B$6&gt;0,INDEX('_Engine'!$AM$11:$AM$60,'_Engine'!$AO48)&lt;&gt;"OK"),"!",IF(INDEX(Team!$H$11:$N$60,'_Engine'!$AO48,WEEKDAY(N$11,2))&lt;&gt;"Work","—",IF(COUNTIF(Settings!$F$18:$F$67,N$11)&gt;0,"BH",IF('_Engine'!BW48+'_Engine'!BX48=0,"·",IF('_Engine'!BW48='_Engine'!BX48,INDEX(Settings!$G$7:$G$11,MOD('_Engine'!BW48,10))&amp;IF('_Engine'!BW48&gt;10,"?",""),IF('_Engine'!BW48=0,INDEX(Settings!$G$7:$G$11,MOD('_Engine'!BX48,10))&amp;IF('_Engine'!BX48&gt;10,"?","")&amp;" PM",IF('_Engine'!BX48=0,INDEX(Settings!$G$7:$G$11,MOD('_Engine'!BW48,10))&amp;IF('_Engine'!BW48&gt;10,"?","")&amp;" AM",INDEX(Settings!$G$7:$G$11,MOD('_Engine'!BW48,10))&amp;IF('_Engine'!BW48&gt;10,"?","")&amp;" AM"&amp;CHAR(10)&amp;INDEX(Settings!$G$7:$G$11,MOD('_Engine'!BX48,10))&amp;IF('_Engine'!BX48&gt;10,"?","")&amp;" PM"))))))))</ns0:f>
        <ns0:v/>
      </ns0:c>
      <ns0:c r="O48" s="164" t="str">
        <ns0:f>IF(OR($A48="",O$11=""),"",IF(OR('_Engine'!$B$6&gt;0,INDEX('_Engine'!$AM$11:$AM$60,'_Engine'!$AO48)&lt;&gt;"OK"),"!",IF(INDEX(Team!$H$11:$N$60,'_Engine'!$AO48,WEEKDAY(O$11,2))&lt;&gt;"Work","—",IF(COUNTIF(Settings!$F$18:$F$67,O$11)&gt;0,"BH",IF('_Engine'!BY48+'_Engine'!BZ48=0,"·",IF('_Engine'!BY48='_Engine'!BZ48,INDEX(Settings!$G$7:$G$11,MOD('_Engine'!BY48,10))&amp;IF('_Engine'!BY48&gt;10,"?",""),IF('_Engine'!BY48=0,INDEX(Settings!$G$7:$G$11,MOD('_Engine'!BZ48,10))&amp;IF('_Engine'!BZ48&gt;10,"?","")&amp;" PM",IF('_Engine'!BZ48=0,INDEX(Settings!$G$7:$G$11,MOD('_Engine'!BY48,10))&amp;IF('_Engine'!BY48&gt;10,"?","")&amp;" AM",INDEX(Settings!$G$7:$G$11,MOD('_Engine'!BY48,10))&amp;IF('_Engine'!BY48&gt;10,"?","")&amp;" AM"&amp;CHAR(10)&amp;INDEX(Settings!$G$7:$G$11,MOD('_Engine'!BZ48,10))&amp;IF('_Engine'!BZ48&gt;10,"?","")&amp;" PM"))))))))</ns0:f>
        <ns0:v/>
      </ns0:c>
      <ns0:c r="P48" s="164" t="str">
        <ns0:f>IF(OR($A48="",P$11=""),"",IF(OR('_Engine'!$B$6&gt;0,INDEX('_Engine'!$AM$11:$AM$60,'_Engine'!$AO48)&lt;&gt;"OK"),"!",IF(INDEX(Team!$H$11:$N$60,'_Engine'!$AO48,WEEKDAY(P$11,2))&lt;&gt;"Work","—",IF(COUNTIF(Settings!$F$18:$F$67,P$11)&gt;0,"BH",IF('_Engine'!CA48+'_Engine'!CB48=0,"·",IF('_Engine'!CA48='_Engine'!CB48,INDEX(Settings!$G$7:$G$11,MOD('_Engine'!CA48,10))&amp;IF('_Engine'!CA48&gt;10,"?",""),IF('_Engine'!CA48=0,INDEX(Settings!$G$7:$G$11,MOD('_Engine'!CB48,10))&amp;IF('_Engine'!CB48&gt;10,"?","")&amp;" PM",IF('_Engine'!CB48=0,INDEX(Settings!$G$7:$G$11,MOD('_Engine'!CA48,10))&amp;IF('_Engine'!CA48&gt;10,"?","")&amp;" AM",INDEX(Settings!$G$7:$G$11,MOD('_Engine'!CA48,10))&amp;IF('_Engine'!CA48&gt;10,"?","")&amp;" AM"&amp;CHAR(10)&amp;INDEX(Settings!$G$7:$G$11,MOD('_Engine'!CB48,10))&amp;IF('_Engine'!CB48&gt;10,"?","")&amp;" PM"))))))))</ns0:f>
        <ns0:v/>
      </ns0:c>
      <ns0:c r="Q48" s="164" t="str">
        <ns0:f>IF(OR($A48="",Q$11=""),"",IF(OR('_Engine'!$B$6&gt;0,INDEX('_Engine'!$AM$11:$AM$60,'_Engine'!$AO48)&lt;&gt;"OK"),"!",IF(INDEX(Team!$H$11:$N$60,'_Engine'!$AO48,WEEKDAY(Q$11,2))&lt;&gt;"Work","—",IF(COUNTIF(Settings!$F$18:$F$67,Q$11)&gt;0,"BH",IF('_Engine'!CC48+'_Engine'!CD48=0,"·",IF('_Engine'!CC48='_Engine'!CD48,INDEX(Settings!$G$7:$G$11,MOD('_Engine'!CC48,10))&amp;IF('_Engine'!CC48&gt;10,"?",""),IF('_Engine'!CC48=0,INDEX(Settings!$G$7:$G$11,MOD('_Engine'!CD48,10))&amp;IF('_Engine'!CD48&gt;10,"?","")&amp;" PM",IF('_Engine'!CD48=0,INDEX(Settings!$G$7:$G$11,MOD('_Engine'!CC48,10))&amp;IF('_Engine'!CC48&gt;10,"?","")&amp;" AM",INDEX(Settings!$G$7:$G$11,MOD('_Engine'!CC48,10))&amp;IF('_Engine'!CC48&gt;10,"?","")&amp;" AM"&amp;CHAR(10)&amp;INDEX(Settings!$G$7:$G$11,MOD('_Engine'!CD48,10))&amp;IF('_Engine'!CD48&gt;10,"?","")&amp;" PM"))))))))</ns0:f>
        <ns0:v/>
      </ns0:c>
      <ns0:c r="R48" s="164" t="str">
        <ns0:f>IF(OR($A48="",R$11=""),"",IF(OR('_Engine'!$B$6&gt;0,INDEX('_Engine'!$AM$11:$AM$60,'_Engine'!$AO48)&lt;&gt;"OK"),"!",IF(INDEX(Team!$H$11:$N$60,'_Engine'!$AO48,WEEKDAY(R$11,2))&lt;&gt;"Work","—",IF(COUNTIF(Settings!$F$18:$F$67,R$11)&gt;0,"BH",IF('_Engine'!CE48+'_Engine'!CF48=0,"·",IF('_Engine'!CE48='_Engine'!CF48,INDEX(Settings!$G$7:$G$11,MOD('_Engine'!CE48,10))&amp;IF('_Engine'!CE48&gt;10,"?",""),IF('_Engine'!CE48=0,INDEX(Settings!$G$7:$G$11,MOD('_Engine'!CF48,10))&amp;IF('_Engine'!CF48&gt;10,"?","")&amp;" PM",IF('_Engine'!CF48=0,INDEX(Settings!$G$7:$G$11,MOD('_Engine'!CE48,10))&amp;IF('_Engine'!CE48&gt;10,"?","")&amp;" AM",INDEX(Settings!$G$7:$G$11,MOD('_Engine'!CE48,10))&amp;IF('_Engine'!CE48&gt;10,"?","")&amp;" AM"&amp;CHAR(10)&amp;INDEX(Settings!$G$7:$G$11,MOD('_Engine'!CF48,10))&amp;IF('_Engine'!CF48&gt;10,"?","")&amp;" PM"))))))))</ns0:f>
        <ns0:v/>
      </ns0:c>
      <ns0:c r="S48" s="164" t="str">
        <ns0:f>IF(OR($A48="",S$11=""),"",IF(OR('_Engine'!$B$6&gt;0,INDEX('_Engine'!$AM$11:$AM$60,'_Engine'!$AO48)&lt;&gt;"OK"),"!",IF(INDEX(Team!$H$11:$N$60,'_Engine'!$AO48,WEEKDAY(S$11,2))&lt;&gt;"Work","—",IF(COUNTIF(Settings!$F$18:$F$67,S$11)&gt;0,"BH",IF('_Engine'!CG48+'_Engine'!CH48=0,"·",IF('_Engine'!CG48='_Engine'!CH48,INDEX(Settings!$G$7:$G$11,MOD('_Engine'!CG48,10))&amp;IF('_Engine'!CG48&gt;10,"?",""),IF('_Engine'!CG48=0,INDEX(Settings!$G$7:$G$11,MOD('_Engine'!CH48,10))&amp;IF('_Engine'!CH48&gt;10,"?","")&amp;" PM",IF('_Engine'!CH48=0,INDEX(Settings!$G$7:$G$11,MOD('_Engine'!CG48,10))&amp;IF('_Engine'!CG48&gt;10,"?","")&amp;" AM",INDEX(Settings!$G$7:$G$11,MOD('_Engine'!CG48,10))&amp;IF('_Engine'!CG48&gt;10,"?","")&amp;" AM"&amp;CHAR(10)&amp;INDEX(Settings!$G$7:$G$11,MOD('_Engine'!CH48,10))&amp;IF('_Engine'!CH48&gt;10,"?","")&amp;" PM"))))))))</ns0:f>
        <ns0:v/>
      </ns0:c>
      <ns0:c r="T48" s="164" t="str">
        <ns0:f>IF(OR($A48="",T$11=""),"",IF(OR('_Engine'!$B$6&gt;0,INDEX('_Engine'!$AM$11:$AM$60,'_Engine'!$AO48)&lt;&gt;"OK"),"!",IF(INDEX(Team!$H$11:$N$60,'_Engine'!$AO48,WEEKDAY(T$11,2))&lt;&gt;"Work","—",IF(COUNTIF(Settings!$F$18:$F$67,T$11)&gt;0,"BH",IF('_Engine'!CI48+'_Engine'!CJ48=0,"·",IF('_Engine'!CI48='_Engine'!CJ48,INDEX(Settings!$G$7:$G$11,MOD('_Engine'!CI48,10))&amp;IF('_Engine'!CI48&gt;10,"?",""),IF('_Engine'!CI48=0,INDEX(Settings!$G$7:$G$11,MOD('_Engine'!CJ48,10))&amp;IF('_Engine'!CJ48&gt;10,"?","")&amp;" PM",IF('_Engine'!CJ48=0,INDEX(Settings!$G$7:$G$11,MOD('_Engine'!CI48,10))&amp;IF('_Engine'!CI48&gt;10,"?","")&amp;" AM",INDEX(Settings!$G$7:$G$11,MOD('_Engine'!CI48,10))&amp;IF('_Engine'!CI48&gt;10,"?","")&amp;" AM"&amp;CHAR(10)&amp;INDEX(Settings!$G$7:$G$11,MOD('_Engine'!CJ48,10))&amp;IF('_Engine'!CJ48&gt;10,"?","")&amp;" PM"))))))))</ns0:f>
        <ns0:v/>
      </ns0:c>
      <ns0:c r="U48" s="164" t="str">
        <ns0:f>IF(OR($A48="",U$11=""),"",IF(OR('_Engine'!$B$6&gt;0,INDEX('_Engine'!$AM$11:$AM$60,'_Engine'!$AO48)&lt;&gt;"OK"),"!",IF(INDEX(Team!$H$11:$N$60,'_Engine'!$AO48,WEEKDAY(U$11,2))&lt;&gt;"Work","—",IF(COUNTIF(Settings!$F$18:$F$67,U$11)&gt;0,"BH",IF('_Engine'!CK48+'_Engine'!CL48=0,"·",IF('_Engine'!CK48='_Engine'!CL48,INDEX(Settings!$G$7:$G$11,MOD('_Engine'!CK48,10))&amp;IF('_Engine'!CK48&gt;10,"?",""),IF('_Engine'!CK48=0,INDEX(Settings!$G$7:$G$11,MOD('_Engine'!CL48,10))&amp;IF('_Engine'!CL48&gt;10,"?","")&amp;" PM",IF('_Engine'!CL48=0,INDEX(Settings!$G$7:$G$11,MOD('_Engine'!CK48,10))&amp;IF('_Engine'!CK48&gt;10,"?","")&amp;" AM",INDEX(Settings!$G$7:$G$11,MOD('_Engine'!CK48,10))&amp;IF('_Engine'!CK48&gt;10,"?","")&amp;" AM"&amp;CHAR(10)&amp;INDEX(Settings!$G$7:$G$11,MOD('_Engine'!CL48,10))&amp;IF('_Engine'!CL48&gt;10,"?","")&amp;" PM"))))))))</ns0:f>
        <ns0:v/>
      </ns0:c>
      <ns0:c r="V48" s="164" t="str">
        <ns0:f>IF(OR($A48="",V$11=""),"",IF(OR('_Engine'!$B$6&gt;0,INDEX('_Engine'!$AM$11:$AM$60,'_Engine'!$AO48)&lt;&gt;"OK"),"!",IF(INDEX(Team!$H$11:$N$60,'_Engine'!$AO48,WEEKDAY(V$11,2))&lt;&gt;"Work","—",IF(COUNTIF(Settings!$F$18:$F$67,V$11)&gt;0,"BH",IF('_Engine'!CM48+'_Engine'!CN48=0,"·",IF('_Engine'!CM48='_Engine'!CN48,INDEX(Settings!$G$7:$G$11,MOD('_Engine'!CM48,10))&amp;IF('_Engine'!CM48&gt;10,"?",""),IF('_Engine'!CM48=0,INDEX(Settings!$G$7:$G$11,MOD('_Engine'!CN48,10))&amp;IF('_Engine'!CN48&gt;10,"?","")&amp;" PM",IF('_Engine'!CN48=0,INDEX(Settings!$G$7:$G$11,MOD('_Engine'!CM48,10))&amp;IF('_Engine'!CM48&gt;10,"?","")&amp;" AM",INDEX(Settings!$G$7:$G$11,MOD('_Engine'!CM48,10))&amp;IF('_Engine'!CM48&gt;10,"?","")&amp;" AM"&amp;CHAR(10)&amp;INDEX(Settings!$G$7:$G$11,MOD('_Engine'!CN48,10))&amp;IF('_Engine'!CN48&gt;10,"?","")&amp;" PM"))))))))</ns0:f>
        <ns0:v/>
      </ns0:c>
      <ns0:c r="W48" s="164" t="str">
        <ns0:f>IF(OR($A48="",W$11=""),"",IF(OR('_Engine'!$B$6&gt;0,INDEX('_Engine'!$AM$11:$AM$60,'_Engine'!$AO48)&lt;&gt;"OK"),"!",IF(INDEX(Team!$H$11:$N$60,'_Engine'!$AO48,WEEKDAY(W$11,2))&lt;&gt;"Work","—",IF(COUNTIF(Settings!$F$18:$F$67,W$11)&gt;0,"BH",IF('_Engine'!CO48+'_Engine'!CP48=0,"·",IF('_Engine'!CO48='_Engine'!CP48,INDEX(Settings!$G$7:$G$11,MOD('_Engine'!CO48,10))&amp;IF('_Engine'!CO48&gt;10,"?",""),IF('_Engine'!CO48=0,INDEX(Settings!$G$7:$G$11,MOD('_Engine'!CP48,10))&amp;IF('_Engine'!CP48&gt;10,"?","")&amp;" PM",IF('_Engine'!CP48=0,INDEX(Settings!$G$7:$G$11,MOD('_Engine'!CO48,10))&amp;IF('_Engine'!CO48&gt;10,"?","")&amp;" AM",INDEX(Settings!$G$7:$G$11,MOD('_Engine'!CO48,10))&amp;IF('_Engine'!CO48&gt;10,"?","")&amp;" AM"&amp;CHAR(10)&amp;INDEX(Settings!$G$7:$G$11,MOD('_Engine'!CP48,10))&amp;IF('_Engine'!CP48&gt;10,"?","")&amp;" PM"))))))))</ns0:f>
        <ns0:v/>
      </ns0:c>
      <ns0:c r="X48" s="164" t="str">
        <ns0:f>IF(OR($A48="",X$11=""),"",IF(OR('_Engine'!$B$6&gt;0,INDEX('_Engine'!$AM$11:$AM$60,'_Engine'!$AO48)&lt;&gt;"OK"),"!",IF(INDEX(Team!$H$11:$N$60,'_Engine'!$AO48,WEEKDAY(X$11,2))&lt;&gt;"Work","—",IF(COUNTIF(Settings!$F$18:$F$67,X$11)&gt;0,"BH",IF('_Engine'!CQ48+'_Engine'!CR48=0,"·",IF('_Engine'!CQ48='_Engine'!CR48,INDEX(Settings!$G$7:$G$11,MOD('_Engine'!CQ48,10))&amp;IF('_Engine'!CQ48&gt;10,"?",""),IF('_Engine'!CQ48=0,INDEX(Settings!$G$7:$G$11,MOD('_Engine'!CR48,10))&amp;IF('_Engine'!CR48&gt;10,"?","")&amp;" PM",IF('_Engine'!CR48=0,INDEX(Settings!$G$7:$G$11,MOD('_Engine'!CQ48,10))&amp;IF('_Engine'!CQ48&gt;10,"?","")&amp;" AM",INDEX(Settings!$G$7:$G$11,MOD('_Engine'!CQ48,10))&amp;IF('_Engine'!CQ48&gt;10,"?","")&amp;" AM"&amp;CHAR(10)&amp;INDEX(Settings!$G$7:$G$11,MOD('_Engine'!CR48,10))&amp;IF('_Engine'!CR48&gt;10,"?","")&amp;" PM"))))))))</ns0:f>
        <ns0:v/>
      </ns0:c>
      <ns0:c r="Y48" s="164" t="str">
        <ns0:f>IF(OR($A48="",Y$11=""),"",IF(OR('_Engine'!$B$6&gt;0,INDEX('_Engine'!$AM$11:$AM$60,'_Engine'!$AO48)&lt;&gt;"OK"),"!",IF(INDEX(Team!$H$11:$N$60,'_Engine'!$AO48,WEEKDAY(Y$11,2))&lt;&gt;"Work","—",IF(COUNTIF(Settings!$F$18:$F$67,Y$11)&gt;0,"BH",IF('_Engine'!CS48+'_Engine'!CT48=0,"·",IF('_Engine'!CS48='_Engine'!CT48,INDEX(Settings!$G$7:$G$11,MOD('_Engine'!CS48,10))&amp;IF('_Engine'!CS48&gt;10,"?",""),IF('_Engine'!CS48=0,INDEX(Settings!$G$7:$G$11,MOD('_Engine'!CT48,10))&amp;IF('_Engine'!CT48&gt;10,"?","")&amp;" PM",IF('_Engine'!CT48=0,INDEX(Settings!$G$7:$G$11,MOD('_Engine'!CS48,10))&amp;IF('_Engine'!CS48&gt;10,"?","")&amp;" AM",INDEX(Settings!$G$7:$G$11,MOD('_Engine'!CS48,10))&amp;IF('_Engine'!CS48&gt;10,"?","")&amp;" AM"&amp;CHAR(10)&amp;INDEX(Settings!$G$7:$G$11,MOD('_Engine'!CT48,10))&amp;IF('_Engine'!CT48&gt;10,"?","")&amp;" PM"))))))))</ns0:f>
        <ns0:v/>
      </ns0:c>
      <ns0:c r="Z48" s="164" t="str">
        <ns0:f>IF(OR($A48="",Z$11=""),"",IF(OR('_Engine'!$B$6&gt;0,INDEX('_Engine'!$AM$11:$AM$60,'_Engine'!$AO48)&lt;&gt;"OK"),"!",IF(INDEX(Team!$H$11:$N$60,'_Engine'!$AO48,WEEKDAY(Z$11,2))&lt;&gt;"Work","—",IF(COUNTIF(Settings!$F$18:$F$67,Z$11)&gt;0,"BH",IF('_Engine'!CU48+'_Engine'!CV48=0,"·",IF('_Engine'!CU48='_Engine'!CV48,INDEX(Settings!$G$7:$G$11,MOD('_Engine'!CU48,10))&amp;IF('_Engine'!CU48&gt;10,"?",""),IF('_Engine'!CU48=0,INDEX(Settings!$G$7:$G$11,MOD('_Engine'!CV48,10))&amp;IF('_Engine'!CV48&gt;10,"?","")&amp;" PM",IF('_Engine'!CV48=0,INDEX(Settings!$G$7:$G$11,MOD('_Engine'!CU48,10))&amp;IF('_Engine'!CU48&gt;10,"?","")&amp;" AM",INDEX(Settings!$G$7:$G$11,MOD('_Engine'!CU48,10))&amp;IF('_Engine'!CU48&gt;10,"?","")&amp;" AM"&amp;CHAR(10)&amp;INDEX(Settings!$G$7:$G$11,MOD('_Engine'!CV48,10))&amp;IF('_Engine'!CV48&gt;10,"?","")&amp;" PM"))))))))</ns0:f>
        <ns0:v/>
      </ns0:c>
      <ns0:c r="AA48" s="164" t="str">
        <ns0:f>IF(OR($A48="",AA$11=""),"",IF(OR('_Engine'!$B$6&gt;0,INDEX('_Engine'!$AM$11:$AM$60,'_Engine'!$AO48)&lt;&gt;"OK"),"!",IF(INDEX(Team!$H$11:$N$60,'_Engine'!$AO48,WEEKDAY(AA$11,2))&lt;&gt;"Work","—",IF(COUNTIF(Settings!$F$18:$F$67,AA$11)&gt;0,"BH",IF('_Engine'!CW48+'_Engine'!CX48=0,"·",IF('_Engine'!CW48='_Engine'!CX48,INDEX(Settings!$G$7:$G$11,MOD('_Engine'!CW48,10))&amp;IF('_Engine'!CW48&gt;10,"?",""),IF('_Engine'!CW48=0,INDEX(Settings!$G$7:$G$11,MOD('_Engine'!CX48,10))&amp;IF('_Engine'!CX48&gt;10,"?","")&amp;" PM",IF('_Engine'!CX48=0,INDEX(Settings!$G$7:$G$11,MOD('_Engine'!CW48,10))&amp;IF('_Engine'!CW48&gt;10,"?","")&amp;" AM",INDEX(Settings!$G$7:$G$11,MOD('_Engine'!CW48,10))&amp;IF('_Engine'!CW48&gt;10,"?","")&amp;" AM"&amp;CHAR(10)&amp;INDEX(Settings!$G$7:$G$11,MOD('_Engine'!CX48,10))&amp;IF('_Engine'!CX48&gt;10,"?","")&amp;" PM"))))))))</ns0:f>
        <ns0:v/>
      </ns0:c>
      <ns0:c r="AB48" s="164" t="str">
        <ns0:f>IF(OR($A48="",AB$11=""),"",IF(OR('_Engine'!$B$6&gt;0,INDEX('_Engine'!$AM$11:$AM$60,'_Engine'!$AO48)&lt;&gt;"OK"),"!",IF(INDEX(Team!$H$11:$N$60,'_Engine'!$AO48,WEEKDAY(AB$11,2))&lt;&gt;"Work","—",IF(COUNTIF(Settings!$F$18:$F$67,AB$11)&gt;0,"BH",IF('_Engine'!CY48+'_Engine'!CZ48=0,"·",IF('_Engine'!CY48='_Engine'!CZ48,INDEX(Settings!$G$7:$G$11,MOD('_Engine'!CY48,10))&amp;IF('_Engine'!CY48&gt;10,"?",""),IF('_Engine'!CY48=0,INDEX(Settings!$G$7:$G$11,MOD('_Engine'!CZ48,10))&amp;IF('_Engine'!CZ48&gt;10,"?","")&amp;" PM",IF('_Engine'!CZ48=0,INDEX(Settings!$G$7:$G$11,MOD('_Engine'!CY48,10))&amp;IF('_Engine'!CY48&gt;10,"?","")&amp;" AM",INDEX(Settings!$G$7:$G$11,MOD('_Engine'!CY48,10))&amp;IF('_Engine'!CY48&gt;10,"?","")&amp;" AM"&amp;CHAR(10)&amp;INDEX(Settings!$G$7:$G$11,MOD('_Engine'!CZ48,10))&amp;IF('_Engine'!CZ48&gt;10,"?","")&amp;" PM"))))))))</ns0:f>
        <ns0:v/>
      </ns0:c>
      <ns0:c r="AC48" s="164" t="str">
        <ns0:f>IF(OR($A48="",AC$11=""),"",IF(OR('_Engine'!$B$6&gt;0,INDEX('_Engine'!$AM$11:$AM$60,'_Engine'!$AO48)&lt;&gt;"OK"),"!",IF(INDEX(Team!$H$11:$N$60,'_Engine'!$AO48,WEEKDAY(AC$11,2))&lt;&gt;"Work","—",IF(COUNTIF(Settings!$F$18:$F$67,AC$11)&gt;0,"BH",IF('_Engine'!DA48+'_Engine'!DB48=0,"·",IF('_Engine'!DA48='_Engine'!DB48,INDEX(Settings!$G$7:$G$11,MOD('_Engine'!DA48,10))&amp;IF('_Engine'!DA48&gt;10,"?",""),IF('_Engine'!DA48=0,INDEX(Settings!$G$7:$G$11,MOD('_Engine'!DB48,10))&amp;IF('_Engine'!DB48&gt;10,"?","")&amp;" PM",IF('_Engine'!DB48=0,INDEX(Settings!$G$7:$G$11,MOD('_Engine'!DA48,10))&amp;IF('_Engine'!DA48&gt;10,"?","")&amp;" AM",INDEX(Settings!$G$7:$G$11,MOD('_Engine'!DA48,10))&amp;IF('_Engine'!DA48&gt;10,"?","")&amp;" AM"&amp;CHAR(10)&amp;INDEX(Settings!$G$7:$G$11,MOD('_Engine'!DB48,10))&amp;IF('_Engine'!DB48&gt;10,"?","")&amp;" PM"))))))))</ns0:f>
        <ns0:v/>
      </ns0:c>
      <ns0:c r="AD48" s="164" t="str">
        <ns0:f>IF(OR($A48="",AD$11=""),"",IF(OR('_Engine'!$B$6&gt;0,INDEX('_Engine'!$AM$11:$AM$60,'_Engine'!$AO48)&lt;&gt;"OK"),"!",IF(INDEX(Team!$H$11:$N$60,'_Engine'!$AO48,WEEKDAY(AD$11,2))&lt;&gt;"Work","—",IF(COUNTIF(Settings!$F$18:$F$67,AD$11)&gt;0,"BH",IF('_Engine'!DC48+'_Engine'!DD48=0,"·",IF('_Engine'!DC48='_Engine'!DD48,INDEX(Settings!$G$7:$G$11,MOD('_Engine'!DC48,10))&amp;IF('_Engine'!DC48&gt;10,"?",""),IF('_Engine'!DC48=0,INDEX(Settings!$G$7:$G$11,MOD('_Engine'!DD48,10))&amp;IF('_Engine'!DD48&gt;10,"?","")&amp;" PM",IF('_Engine'!DD48=0,INDEX(Settings!$G$7:$G$11,MOD('_Engine'!DC48,10))&amp;IF('_Engine'!DC48&gt;10,"?","")&amp;" AM",INDEX(Settings!$G$7:$G$11,MOD('_Engine'!DC48,10))&amp;IF('_Engine'!DC48&gt;10,"?","")&amp;" AM"&amp;CHAR(10)&amp;INDEX(Settings!$G$7:$G$11,MOD('_Engine'!DD48,10))&amp;IF('_Engine'!DD48&gt;10,"?","")&amp;" PM"))))))))</ns0:f>
        <ns0:v/>
      </ns0:c>
      <ns0:c r="AE48" s="164" t="str">
        <ns0:f>IF(OR($A48="",AE$11=""),"",IF(OR('_Engine'!$B$6&gt;0,INDEX('_Engine'!$AM$11:$AM$60,'_Engine'!$AO48)&lt;&gt;"OK"),"!",IF(INDEX(Team!$H$11:$N$60,'_Engine'!$AO48,WEEKDAY(AE$11,2))&lt;&gt;"Work","—",IF(COUNTIF(Settings!$F$18:$F$67,AE$11)&gt;0,"BH",IF('_Engine'!DE48+'_Engine'!DF48=0,"·",IF('_Engine'!DE48='_Engine'!DF48,INDEX(Settings!$G$7:$G$11,MOD('_Engine'!DE48,10))&amp;IF('_Engine'!DE48&gt;10,"?",""),IF('_Engine'!DE48=0,INDEX(Settings!$G$7:$G$11,MOD('_Engine'!DF48,10))&amp;IF('_Engine'!DF48&gt;10,"?","")&amp;" PM",IF('_Engine'!DF48=0,INDEX(Settings!$G$7:$G$11,MOD('_Engine'!DE48,10))&amp;IF('_Engine'!DE48&gt;10,"?","")&amp;" AM",INDEX(Settings!$G$7:$G$11,MOD('_Engine'!DE48,10))&amp;IF('_Engine'!DE48&gt;10,"?","")&amp;" AM"&amp;CHAR(10)&amp;INDEX(Settings!$G$7:$G$11,MOD('_Engine'!DF48,10))&amp;IF('_Engine'!DF48&gt;10,"?","")&amp;" PM"))))))))</ns0:f>
        <ns0:v/>
      </ns0:c>
      <ns0:c r="AF48" s="164" t="str">
        <ns0:f>IF(OR($A48="",AF$11=""),"",IF(OR('_Engine'!$B$6&gt;0,INDEX('_Engine'!$AM$11:$AM$60,'_Engine'!$AO48)&lt;&gt;"OK"),"!",IF(INDEX(Team!$H$11:$N$60,'_Engine'!$AO48,WEEKDAY(AF$11,2))&lt;&gt;"Work","—",IF(COUNTIF(Settings!$F$18:$F$67,AF$11)&gt;0,"BH",IF('_Engine'!DG48+'_Engine'!DH48=0,"·",IF('_Engine'!DG48='_Engine'!DH48,INDEX(Settings!$G$7:$G$11,MOD('_Engine'!DG48,10))&amp;IF('_Engine'!DG48&gt;10,"?",""),IF('_Engine'!DG48=0,INDEX(Settings!$G$7:$G$11,MOD('_Engine'!DH48,10))&amp;IF('_Engine'!DH48&gt;10,"?","")&amp;" PM",IF('_Engine'!DH48=0,INDEX(Settings!$G$7:$G$11,MOD('_Engine'!DG48,10))&amp;IF('_Engine'!DG48&gt;10,"?","")&amp;" AM",INDEX(Settings!$G$7:$G$11,MOD('_Engine'!DG48,10))&amp;IF('_Engine'!DG48&gt;10,"?","")&amp;" AM"&amp;CHAR(10)&amp;INDEX(Settings!$G$7:$G$11,MOD('_Engine'!DH48,10))&amp;IF('_Engine'!DH48&gt;10,"?","")&amp;" PM"))))))))</ns0:f>
        <ns0:v/>
      </ns0:c>
      <ns0:c r="AG48" s="164" t="str">
        <ns0:f>IF(OR($A48="",AG$11=""),"",IF(OR('_Engine'!$B$6&gt;0,INDEX('_Engine'!$AM$11:$AM$60,'_Engine'!$AO48)&lt;&gt;"OK"),"!",IF(INDEX(Team!$H$11:$N$60,'_Engine'!$AO48,WEEKDAY(AG$11,2))&lt;&gt;"Work","—",IF(COUNTIF(Settings!$F$18:$F$67,AG$11)&gt;0,"BH",IF('_Engine'!DI48+'_Engine'!DJ48=0,"·",IF('_Engine'!DI48='_Engine'!DJ48,INDEX(Settings!$G$7:$G$11,MOD('_Engine'!DI48,10))&amp;IF('_Engine'!DI48&gt;10,"?",""),IF('_Engine'!DI48=0,INDEX(Settings!$G$7:$G$11,MOD('_Engine'!DJ48,10))&amp;IF('_Engine'!DJ48&gt;10,"?","")&amp;" PM",IF('_Engine'!DJ48=0,INDEX(Settings!$G$7:$G$11,MOD('_Engine'!DI48,10))&amp;IF('_Engine'!DI48&gt;10,"?","")&amp;" AM",INDEX(Settings!$G$7:$G$11,MOD('_Engine'!DI48,10))&amp;IF('_Engine'!DI48&gt;10,"?","")&amp;" AM"&amp;CHAR(10)&amp;INDEX(Settings!$G$7:$G$11,MOD('_Engine'!DJ48,10))&amp;IF('_Engine'!DJ48&gt;10,"?","")&amp;" PM"))))))))</ns0:f>
        <ns0:v/>
      </ns0:c>
      <ns0:c r="AH48" s="164" t="str">
        <ns0:f>IF(OR($A48="",AH$11=""),"",IF(OR('_Engine'!$B$6&gt;0,INDEX('_Engine'!$AM$11:$AM$60,'_Engine'!$AO48)&lt;&gt;"OK"),"!",IF(INDEX(Team!$H$11:$N$60,'_Engine'!$AO48,WEEKDAY(AH$11,2))&lt;&gt;"Work","—",IF(COUNTIF(Settings!$F$18:$F$67,AH$11)&gt;0,"BH",IF('_Engine'!DK48+'_Engine'!DL48=0,"·",IF('_Engine'!DK48='_Engine'!DL48,INDEX(Settings!$G$7:$G$11,MOD('_Engine'!DK48,10))&amp;IF('_Engine'!DK48&gt;10,"?",""),IF('_Engine'!DK48=0,INDEX(Settings!$G$7:$G$11,MOD('_Engine'!DL48,10))&amp;IF('_Engine'!DL48&gt;10,"?","")&amp;" PM",IF('_Engine'!DL48=0,INDEX(Settings!$G$7:$G$11,MOD('_Engine'!DK48,10))&amp;IF('_Engine'!DK48&gt;10,"?","")&amp;" AM",INDEX(Settings!$G$7:$G$11,MOD('_Engine'!DK48,10))&amp;IF('_Engine'!DK48&gt;10,"?","")&amp;" AM"&amp;CHAR(10)&amp;INDEX(Settings!$G$7:$G$11,MOD('_Engine'!DL48,10))&amp;IF('_Engine'!DL48&gt;10,"?","")&amp;" PM"))))))))</ns0:f>
        <ns0:v/>
      </ns0:c>
    </ns0:row>
    <ns0:row r="49" ht="38" customHeight="1">
      <ns0:c r="A49" s="4" t="str">
        <ns0:f>IF('_Engine'!AO49=0,"",IF(INDEX(Team!$B$11:$B$60,'_Engine'!AO49)="","[Unnamed]",INDEX(Team!$B$11:$B$60,'_Engine'!AO49)))</ns0:f>
        <ns0:v/>
      </ns0:c>
      <ns0:c r="B49" s="156" t="str">
        <ns0:f>IF('_Engine'!AO49=0,"",INDEX('_Engine'!$AN$11:$AN$60,'_Engine'!AO49))</ns0:f>
        <ns0:v/>
      </ns0:c>
      <ns0:c r="C49" s="4" t="str">
        <ns0:f>IF('_Engine'!AO49=0,"",INDEX(Team!$C$11:$C$60,'_Engine'!AO49))</ns0:f>
        <ns0:v/>
      </ns0:c>
      <ns0:c r="D49" s="162" t="str">
        <ns0:f>IF(OR($A49="",D$11=""),"",IF(OR('_Engine'!$B$6&gt;0,INDEX('_Engine'!$AM$11:$AM$60,'_Engine'!$AO49)&lt;&gt;"OK"),"!",IF(INDEX(Team!$H$11:$N$60,'_Engine'!$AO49,WEEKDAY(D$11,2))&lt;&gt;"Work","—",IF(COUNTIF(Settings!$F$18:$F$67,D$11)&gt;0,"BH",IF('_Engine'!BC49+'_Engine'!BD49=0,"·",IF('_Engine'!BC49='_Engine'!BD49,INDEX(Settings!$G$7:$G$11,MOD('_Engine'!BC49,10))&amp;IF('_Engine'!BC49&gt;10,"?",""),IF('_Engine'!BC49=0,INDEX(Settings!$G$7:$G$11,MOD('_Engine'!BD49,10))&amp;IF('_Engine'!BD49&gt;10,"?","")&amp;" PM",IF('_Engine'!BD49=0,INDEX(Settings!$G$7:$G$11,MOD('_Engine'!BC49,10))&amp;IF('_Engine'!BC49&gt;10,"?","")&amp;" AM",INDEX(Settings!$G$7:$G$11,MOD('_Engine'!BC49,10))&amp;IF('_Engine'!BC49&gt;10,"?","")&amp;" AM"&amp;CHAR(10)&amp;INDEX(Settings!$G$7:$G$11,MOD('_Engine'!BD49,10))&amp;IF('_Engine'!BD49&gt;10,"?","")&amp;" PM"))))))))</ns0:f>
        <ns0:v/>
      </ns0:c>
      <ns0:c r="E49" s="162" t="str">
        <ns0:f>IF(OR($A49="",E$11=""),"",IF(OR('_Engine'!$B$6&gt;0,INDEX('_Engine'!$AM$11:$AM$60,'_Engine'!$AO49)&lt;&gt;"OK"),"!",IF(INDEX(Team!$H$11:$N$60,'_Engine'!$AO49,WEEKDAY(E$11,2))&lt;&gt;"Work","—",IF(COUNTIF(Settings!$F$18:$F$67,E$11)&gt;0,"BH",IF('_Engine'!BE49+'_Engine'!BF49=0,"·",IF('_Engine'!BE49='_Engine'!BF49,INDEX(Settings!$G$7:$G$11,MOD('_Engine'!BE49,10))&amp;IF('_Engine'!BE49&gt;10,"?",""),IF('_Engine'!BE49=0,INDEX(Settings!$G$7:$G$11,MOD('_Engine'!BF49,10))&amp;IF('_Engine'!BF49&gt;10,"?","")&amp;" PM",IF('_Engine'!BF49=0,INDEX(Settings!$G$7:$G$11,MOD('_Engine'!BE49,10))&amp;IF('_Engine'!BE49&gt;10,"?","")&amp;" AM",INDEX(Settings!$G$7:$G$11,MOD('_Engine'!BE49,10))&amp;IF('_Engine'!BE49&gt;10,"?","")&amp;" AM"&amp;CHAR(10)&amp;INDEX(Settings!$G$7:$G$11,MOD('_Engine'!BF49,10))&amp;IF('_Engine'!BF49&gt;10,"?","")&amp;" PM"))))))))</ns0:f>
        <ns0:v/>
      </ns0:c>
      <ns0:c r="F49" s="162" t="str">
        <ns0:f>IF(OR($A49="",F$11=""),"",IF(OR('_Engine'!$B$6&gt;0,INDEX('_Engine'!$AM$11:$AM$60,'_Engine'!$AO49)&lt;&gt;"OK"),"!",IF(INDEX(Team!$H$11:$N$60,'_Engine'!$AO49,WEEKDAY(F$11,2))&lt;&gt;"Work","—",IF(COUNTIF(Settings!$F$18:$F$67,F$11)&gt;0,"BH",IF('_Engine'!BG49+'_Engine'!BH49=0,"·",IF('_Engine'!BG49='_Engine'!BH49,INDEX(Settings!$G$7:$G$11,MOD('_Engine'!BG49,10))&amp;IF('_Engine'!BG49&gt;10,"?",""),IF('_Engine'!BG49=0,INDEX(Settings!$G$7:$G$11,MOD('_Engine'!BH49,10))&amp;IF('_Engine'!BH49&gt;10,"?","")&amp;" PM",IF('_Engine'!BH49=0,INDEX(Settings!$G$7:$G$11,MOD('_Engine'!BG49,10))&amp;IF('_Engine'!BG49&gt;10,"?","")&amp;" AM",INDEX(Settings!$G$7:$G$11,MOD('_Engine'!BG49,10))&amp;IF('_Engine'!BG49&gt;10,"?","")&amp;" AM"&amp;CHAR(10)&amp;INDEX(Settings!$G$7:$G$11,MOD('_Engine'!BH49,10))&amp;IF('_Engine'!BH49&gt;10,"?","")&amp;" PM"))))))))</ns0:f>
        <ns0:v/>
      </ns0:c>
      <ns0:c r="G49" s="162" t="str">
        <ns0:f>IF(OR($A49="",G$11=""),"",IF(OR('_Engine'!$B$6&gt;0,INDEX('_Engine'!$AM$11:$AM$60,'_Engine'!$AO49)&lt;&gt;"OK"),"!",IF(INDEX(Team!$H$11:$N$60,'_Engine'!$AO49,WEEKDAY(G$11,2))&lt;&gt;"Work","—",IF(COUNTIF(Settings!$F$18:$F$67,G$11)&gt;0,"BH",IF('_Engine'!BI49+'_Engine'!BJ49=0,"·",IF('_Engine'!BI49='_Engine'!BJ49,INDEX(Settings!$G$7:$G$11,MOD('_Engine'!BI49,10))&amp;IF('_Engine'!BI49&gt;10,"?",""),IF('_Engine'!BI49=0,INDEX(Settings!$G$7:$G$11,MOD('_Engine'!BJ49,10))&amp;IF('_Engine'!BJ49&gt;10,"?","")&amp;" PM",IF('_Engine'!BJ49=0,INDEX(Settings!$G$7:$G$11,MOD('_Engine'!BI49,10))&amp;IF('_Engine'!BI49&gt;10,"?","")&amp;" AM",INDEX(Settings!$G$7:$G$11,MOD('_Engine'!BI49,10))&amp;IF('_Engine'!BI49&gt;10,"?","")&amp;" AM"&amp;CHAR(10)&amp;INDEX(Settings!$G$7:$G$11,MOD('_Engine'!BJ49,10))&amp;IF('_Engine'!BJ49&gt;10,"?","")&amp;" PM"))))))))</ns0:f>
        <ns0:v/>
      </ns0:c>
      <ns0:c r="H49" s="162" t="str">
        <ns0:f>IF(OR($A49="",H$11=""),"",IF(OR('_Engine'!$B$6&gt;0,INDEX('_Engine'!$AM$11:$AM$60,'_Engine'!$AO49)&lt;&gt;"OK"),"!",IF(INDEX(Team!$H$11:$N$60,'_Engine'!$AO49,WEEKDAY(H$11,2))&lt;&gt;"Work","—",IF(COUNTIF(Settings!$F$18:$F$67,H$11)&gt;0,"BH",IF('_Engine'!BK49+'_Engine'!BL49=0,"·",IF('_Engine'!BK49='_Engine'!BL49,INDEX(Settings!$G$7:$G$11,MOD('_Engine'!BK49,10))&amp;IF('_Engine'!BK49&gt;10,"?",""),IF('_Engine'!BK49=0,INDEX(Settings!$G$7:$G$11,MOD('_Engine'!BL49,10))&amp;IF('_Engine'!BL49&gt;10,"?","")&amp;" PM",IF('_Engine'!BL49=0,INDEX(Settings!$G$7:$G$11,MOD('_Engine'!BK49,10))&amp;IF('_Engine'!BK49&gt;10,"?","")&amp;" AM",INDEX(Settings!$G$7:$G$11,MOD('_Engine'!BK49,10))&amp;IF('_Engine'!BK49&gt;10,"?","")&amp;" AM"&amp;CHAR(10)&amp;INDEX(Settings!$G$7:$G$11,MOD('_Engine'!BL49,10))&amp;IF('_Engine'!BL49&gt;10,"?","")&amp;" PM"))))))))</ns0:f>
        <ns0:v/>
      </ns0:c>
      <ns0:c r="I49" s="162" t="str">
        <ns0:f>IF(OR($A49="",I$11=""),"",IF(OR('_Engine'!$B$6&gt;0,INDEX('_Engine'!$AM$11:$AM$60,'_Engine'!$AO49)&lt;&gt;"OK"),"!",IF(INDEX(Team!$H$11:$N$60,'_Engine'!$AO49,WEEKDAY(I$11,2))&lt;&gt;"Work","—",IF(COUNTIF(Settings!$F$18:$F$67,I$11)&gt;0,"BH",IF('_Engine'!BM49+'_Engine'!BN49=0,"·",IF('_Engine'!BM49='_Engine'!BN49,INDEX(Settings!$G$7:$G$11,MOD('_Engine'!BM49,10))&amp;IF('_Engine'!BM49&gt;10,"?",""),IF('_Engine'!BM49=0,INDEX(Settings!$G$7:$G$11,MOD('_Engine'!BN49,10))&amp;IF('_Engine'!BN49&gt;10,"?","")&amp;" PM",IF('_Engine'!BN49=0,INDEX(Settings!$G$7:$G$11,MOD('_Engine'!BM49,10))&amp;IF('_Engine'!BM49&gt;10,"?","")&amp;" AM",INDEX(Settings!$G$7:$G$11,MOD('_Engine'!BM49,10))&amp;IF('_Engine'!BM49&gt;10,"?","")&amp;" AM"&amp;CHAR(10)&amp;INDEX(Settings!$G$7:$G$11,MOD('_Engine'!BN49,10))&amp;IF('_Engine'!BN49&gt;10,"?","")&amp;" PM"))))))))</ns0:f>
        <ns0:v/>
      </ns0:c>
      <ns0:c r="J49" s="162" t="str">
        <ns0:f>IF(OR($A49="",J$11=""),"",IF(OR('_Engine'!$B$6&gt;0,INDEX('_Engine'!$AM$11:$AM$60,'_Engine'!$AO49)&lt;&gt;"OK"),"!",IF(INDEX(Team!$H$11:$N$60,'_Engine'!$AO49,WEEKDAY(J$11,2))&lt;&gt;"Work","—",IF(COUNTIF(Settings!$F$18:$F$67,J$11)&gt;0,"BH",IF('_Engine'!BO49+'_Engine'!BP49=0,"·",IF('_Engine'!BO49='_Engine'!BP49,INDEX(Settings!$G$7:$G$11,MOD('_Engine'!BO49,10))&amp;IF('_Engine'!BO49&gt;10,"?",""),IF('_Engine'!BO49=0,INDEX(Settings!$G$7:$G$11,MOD('_Engine'!BP49,10))&amp;IF('_Engine'!BP49&gt;10,"?","")&amp;" PM",IF('_Engine'!BP49=0,INDEX(Settings!$G$7:$G$11,MOD('_Engine'!BO49,10))&amp;IF('_Engine'!BO49&gt;10,"?","")&amp;" AM",INDEX(Settings!$G$7:$G$11,MOD('_Engine'!BO49,10))&amp;IF('_Engine'!BO49&gt;10,"?","")&amp;" AM"&amp;CHAR(10)&amp;INDEX(Settings!$G$7:$G$11,MOD('_Engine'!BP49,10))&amp;IF('_Engine'!BP49&gt;10,"?","")&amp;" PM"))))))))</ns0:f>
        <ns0:v/>
      </ns0:c>
      <ns0:c r="K49" s="164" t="str">
        <ns0:f>IF(OR($A49="",K$11=""),"",IF(OR('_Engine'!$B$6&gt;0,INDEX('_Engine'!$AM$11:$AM$60,'_Engine'!$AO49)&lt;&gt;"OK"),"!",IF(INDEX(Team!$H$11:$N$60,'_Engine'!$AO49,WEEKDAY(K$11,2))&lt;&gt;"Work","—",IF(COUNTIF(Settings!$F$18:$F$67,K$11)&gt;0,"BH",IF('_Engine'!BQ49+'_Engine'!BR49=0,"·",IF('_Engine'!BQ49='_Engine'!BR49,INDEX(Settings!$G$7:$G$11,MOD('_Engine'!BQ49,10))&amp;IF('_Engine'!BQ49&gt;10,"?",""),IF('_Engine'!BQ49=0,INDEX(Settings!$G$7:$G$11,MOD('_Engine'!BR49,10))&amp;IF('_Engine'!BR49&gt;10,"?","")&amp;" PM",IF('_Engine'!BR49=0,INDEX(Settings!$G$7:$G$11,MOD('_Engine'!BQ49,10))&amp;IF('_Engine'!BQ49&gt;10,"?","")&amp;" AM",INDEX(Settings!$G$7:$G$11,MOD('_Engine'!BQ49,10))&amp;IF('_Engine'!BQ49&gt;10,"?","")&amp;" AM"&amp;CHAR(10)&amp;INDEX(Settings!$G$7:$G$11,MOD('_Engine'!BR49,10))&amp;IF('_Engine'!BR49&gt;10,"?","")&amp;" PM"))))))))</ns0:f>
        <ns0:v/>
      </ns0:c>
      <ns0:c r="L49" s="164" t="str">
        <ns0:f>IF(OR($A49="",L$11=""),"",IF(OR('_Engine'!$B$6&gt;0,INDEX('_Engine'!$AM$11:$AM$60,'_Engine'!$AO49)&lt;&gt;"OK"),"!",IF(INDEX(Team!$H$11:$N$60,'_Engine'!$AO49,WEEKDAY(L$11,2))&lt;&gt;"Work","—",IF(COUNTIF(Settings!$F$18:$F$67,L$11)&gt;0,"BH",IF('_Engine'!BS49+'_Engine'!BT49=0,"·",IF('_Engine'!BS49='_Engine'!BT49,INDEX(Settings!$G$7:$G$11,MOD('_Engine'!BS49,10))&amp;IF('_Engine'!BS49&gt;10,"?",""),IF('_Engine'!BS49=0,INDEX(Settings!$G$7:$G$11,MOD('_Engine'!BT49,10))&amp;IF('_Engine'!BT49&gt;10,"?","")&amp;" PM",IF('_Engine'!BT49=0,INDEX(Settings!$G$7:$G$11,MOD('_Engine'!BS49,10))&amp;IF('_Engine'!BS49&gt;10,"?","")&amp;" AM",INDEX(Settings!$G$7:$G$11,MOD('_Engine'!BS49,10))&amp;IF('_Engine'!BS49&gt;10,"?","")&amp;" AM"&amp;CHAR(10)&amp;INDEX(Settings!$G$7:$G$11,MOD('_Engine'!BT49,10))&amp;IF('_Engine'!BT49&gt;10,"?","")&amp;" PM"))))))))</ns0:f>
        <ns0:v/>
      </ns0:c>
      <ns0:c r="M49" s="164" t="str">
        <ns0:f>IF(OR($A49="",M$11=""),"",IF(OR('_Engine'!$B$6&gt;0,INDEX('_Engine'!$AM$11:$AM$60,'_Engine'!$AO49)&lt;&gt;"OK"),"!",IF(INDEX(Team!$H$11:$N$60,'_Engine'!$AO49,WEEKDAY(M$11,2))&lt;&gt;"Work","—",IF(COUNTIF(Settings!$F$18:$F$67,M$11)&gt;0,"BH",IF('_Engine'!BU49+'_Engine'!BV49=0,"·",IF('_Engine'!BU49='_Engine'!BV49,INDEX(Settings!$G$7:$G$11,MOD('_Engine'!BU49,10))&amp;IF('_Engine'!BU49&gt;10,"?",""),IF('_Engine'!BU49=0,INDEX(Settings!$G$7:$G$11,MOD('_Engine'!BV49,10))&amp;IF('_Engine'!BV49&gt;10,"?","")&amp;" PM",IF('_Engine'!BV49=0,INDEX(Settings!$G$7:$G$11,MOD('_Engine'!BU49,10))&amp;IF('_Engine'!BU49&gt;10,"?","")&amp;" AM",INDEX(Settings!$G$7:$G$11,MOD('_Engine'!BU49,10))&amp;IF('_Engine'!BU49&gt;10,"?","")&amp;" AM"&amp;CHAR(10)&amp;INDEX(Settings!$G$7:$G$11,MOD('_Engine'!BV49,10))&amp;IF('_Engine'!BV49&gt;10,"?","")&amp;" PM"))))))))</ns0:f>
        <ns0:v/>
      </ns0:c>
      <ns0:c r="N49" s="164" t="str">
        <ns0:f>IF(OR($A49="",N$11=""),"",IF(OR('_Engine'!$B$6&gt;0,INDEX('_Engine'!$AM$11:$AM$60,'_Engine'!$AO49)&lt;&gt;"OK"),"!",IF(INDEX(Team!$H$11:$N$60,'_Engine'!$AO49,WEEKDAY(N$11,2))&lt;&gt;"Work","—",IF(COUNTIF(Settings!$F$18:$F$67,N$11)&gt;0,"BH",IF('_Engine'!BW49+'_Engine'!BX49=0,"·",IF('_Engine'!BW49='_Engine'!BX49,INDEX(Settings!$G$7:$G$11,MOD('_Engine'!BW49,10))&amp;IF('_Engine'!BW49&gt;10,"?",""),IF('_Engine'!BW49=0,INDEX(Settings!$G$7:$G$11,MOD('_Engine'!BX49,10))&amp;IF('_Engine'!BX49&gt;10,"?","")&amp;" PM",IF('_Engine'!BX49=0,INDEX(Settings!$G$7:$G$11,MOD('_Engine'!BW49,10))&amp;IF('_Engine'!BW49&gt;10,"?","")&amp;" AM",INDEX(Settings!$G$7:$G$11,MOD('_Engine'!BW49,10))&amp;IF('_Engine'!BW49&gt;10,"?","")&amp;" AM"&amp;CHAR(10)&amp;INDEX(Settings!$G$7:$G$11,MOD('_Engine'!BX49,10))&amp;IF('_Engine'!BX49&gt;10,"?","")&amp;" PM"))))))))</ns0:f>
        <ns0:v/>
      </ns0:c>
      <ns0:c r="O49" s="164" t="str">
        <ns0:f>IF(OR($A49="",O$11=""),"",IF(OR('_Engine'!$B$6&gt;0,INDEX('_Engine'!$AM$11:$AM$60,'_Engine'!$AO49)&lt;&gt;"OK"),"!",IF(INDEX(Team!$H$11:$N$60,'_Engine'!$AO49,WEEKDAY(O$11,2))&lt;&gt;"Work","—",IF(COUNTIF(Settings!$F$18:$F$67,O$11)&gt;0,"BH",IF('_Engine'!BY49+'_Engine'!BZ49=0,"·",IF('_Engine'!BY49='_Engine'!BZ49,INDEX(Settings!$G$7:$G$11,MOD('_Engine'!BY49,10))&amp;IF('_Engine'!BY49&gt;10,"?",""),IF('_Engine'!BY49=0,INDEX(Settings!$G$7:$G$11,MOD('_Engine'!BZ49,10))&amp;IF('_Engine'!BZ49&gt;10,"?","")&amp;" PM",IF('_Engine'!BZ49=0,INDEX(Settings!$G$7:$G$11,MOD('_Engine'!BY49,10))&amp;IF('_Engine'!BY49&gt;10,"?","")&amp;" AM",INDEX(Settings!$G$7:$G$11,MOD('_Engine'!BY49,10))&amp;IF('_Engine'!BY49&gt;10,"?","")&amp;" AM"&amp;CHAR(10)&amp;INDEX(Settings!$G$7:$G$11,MOD('_Engine'!BZ49,10))&amp;IF('_Engine'!BZ49&gt;10,"?","")&amp;" PM"))))))))</ns0:f>
        <ns0:v/>
      </ns0:c>
      <ns0:c r="P49" s="164" t="str">
        <ns0:f>IF(OR($A49="",P$11=""),"",IF(OR('_Engine'!$B$6&gt;0,INDEX('_Engine'!$AM$11:$AM$60,'_Engine'!$AO49)&lt;&gt;"OK"),"!",IF(INDEX(Team!$H$11:$N$60,'_Engine'!$AO49,WEEKDAY(P$11,2))&lt;&gt;"Work","—",IF(COUNTIF(Settings!$F$18:$F$67,P$11)&gt;0,"BH",IF('_Engine'!CA49+'_Engine'!CB49=0,"·",IF('_Engine'!CA49='_Engine'!CB49,INDEX(Settings!$G$7:$G$11,MOD('_Engine'!CA49,10))&amp;IF('_Engine'!CA49&gt;10,"?",""),IF('_Engine'!CA49=0,INDEX(Settings!$G$7:$G$11,MOD('_Engine'!CB49,10))&amp;IF('_Engine'!CB49&gt;10,"?","")&amp;" PM",IF('_Engine'!CB49=0,INDEX(Settings!$G$7:$G$11,MOD('_Engine'!CA49,10))&amp;IF('_Engine'!CA49&gt;10,"?","")&amp;" AM",INDEX(Settings!$G$7:$G$11,MOD('_Engine'!CA49,10))&amp;IF('_Engine'!CA49&gt;10,"?","")&amp;" AM"&amp;CHAR(10)&amp;INDEX(Settings!$G$7:$G$11,MOD('_Engine'!CB49,10))&amp;IF('_Engine'!CB49&gt;10,"?","")&amp;" PM"))))))))</ns0:f>
        <ns0:v/>
      </ns0:c>
      <ns0:c r="Q49" s="164" t="str">
        <ns0:f>IF(OR($A49="",Q$11=""),"",IF(OR('_Engine'!$B$6&gt;0,INDEX('_Engine'!$AM$11:$AM$60,'_Engine'!$AO49)&lt;&gt;"OK"),"!",IF(INDEX(Team!$H$11:$N$60,'_Engine'!$AO49,WEEKDAY(Q$11,2))&lt;&gt;"Work","—",IF(COUNTIF(Settings!$F$18:$F$67,Q$11)&gt;0,"BH",IF('_Engine'!CC49+'_Engine'!CD49=0,"·",IF('_Engine'!CC49='_Engine'!CD49,INDEX(Settings!$G$7:$G$11,MOD('_Engine'!CC49,10))&amp;IF('_Engine'!CC49&gt;10,"?",""),IF('_Engine'!CC49=0,INDEX(Settings!$G$7:$G$11,MOD('_Engine'!CD49,10))&amp;IF('_Engine'!CD49&gt;10,"?","")&amp;" PM",IF('_Engine'!CD49=0,INDEX(Settings!$G$7:$G$11,MOD('_Engine'!CC49,10))&amp;IF('_Engine'!CC49&gt;10,"?","")&amp;" AM",INDEX(Settings!$G$7:$G$11,MOD('_Engine'!CC49,10))&amp;IF('_Engine'!CC49&gt;10,"?","")&amp;" AM"&amp;CHAR(10)&amp;INDEX(Settings!$G$7:$G$11,MOD('_Engine'!CD49,10))&amp;IF('_Engine'!CD49&gt;10,"?","")&amp;" PM"))))))))</ns0:f>
        <ns0:v/>
      </ns0:c>
      <ns0:c r="R49" s="164" t="str">
        <ns0:f>IF(OR($A49="",R$11=""),"",IF(OR('_Engine'!$B$6&gt;0,INDEX('_Engine'!$AM$11:$AM$60,'_Engine'!$AO49)&lt;&gt;"OK"),"!",IF(INDEX(Team!$H$11:$N$60,'_Engine'!$AO49,WEEKDAY(R$11,2))&lt;&gt;"Work","—",IF(COUNTIF(Settings!$F$18:$F$67,R$11)&gt;0,"BH",IF('_Engine'!CE49+'_Engine'!CF49=0,"·",IF('_Engine'!CE49='_Engine'!CF49,INDEX(Settings!$G$7:$G$11,MOD('_Engine'!CE49,10))&amp;IF('_Engine'!CE49&gt;10,"?",""),IF('_Engine'!CE49=0,INDEX(Settings!$G$7:$G$11,MOD('_Engine'!CF49,10))&amp;IF('_Engine'!CF49&gt;10,"?","")&amp;" PM",IF('_Engine'!CF49=0,INDEX(Settings!$G$7:$G$11,MOD('_Engine'!CE49,10))&amp;IF('_Engine'!CE49&gt;10,"?","")&amp;" AM",INDEX(Settings!$G$7:$G$11,MOD('_Engine'!CE49,10))&amp;IF('_Engine'!CE49&gt;10,"?","")&amp;" AM"&amp;CHAR(10)&amp;INDEX(Settings!$G$7:$G$11,MOD('_Engine'!CF49,10))&amp;IF('_Engine'!CF49&gt;10,"?","")&amp;" PM"))))))))</ns0:f>
        <ns0:v/>
      </ns0:c>
      <ns0:c r="S49" s="164" t="str">
        <ns0:f>IF(OR($A49="",S$11=""),"",IF(OR('_Engine'!$B$6&gt;0,INDEX('_Engine'!$AM$11:$AM$60,'_Engine'!$AO49)&lt;&gt;"OK"),"!",IF(INDEX(Team!$H$11:$N$60,'_Engine'!$AO49,WEEKDAY(S$11,2))&lt;&gt;"Work","—",IF(COUNTIF(Settings!$F$18:$F$67,S$11)&gt;0,"BH",IF('_Engine'!CG49+'_Engine'!CH49=0,"·",IF('_Engine'!CG49='_Engine'!CH49,INDEX(Settings!$G$7:$G$11,MOD('_Engine'!CG49,10))&amp;IF('_Engine'!CG49&gt;10,"?",""),IF('_Engine'!CG49=0,INDEX(Settings!$G$7:$G$11,MOD('_Engine'!CH49,10))&amp;IF('_Engine'!CH49&gt;10,"?","")&amp;" PM",IF('_Engine'!CH49=0,INDEX(Settings!$G$7:$G$11,MOD('_Engine'!CG49,10))&amp;IF('_Engine'!CG49&gt;10,"?","")&amp;" AM",INDEX(Settings!$G$7:$G$11,MOD('_Engine'!CG49,10))&amp;IF('_Engine'!CG49&gt;10,"?","")&amp;" AM"&amp;CHAR(10)&amp;INDEX(Settings!$G$7:$G$11,MOD('_Engine'!CH49,10))&amp;IF('_Engine'!CH49&gt;10,"?","")&amp;" PM"))))))))</ns0:f>
        <ns0:v/>
      </ns0:c>
      <ns0:c r="T49" s="164" t="str">
        <ns0:f>IF(OR($A49="",T$11=""),"",IF(OR('_Engine'!$B$6&gt;0,INDEX('_Engine'!$AM$11:$AM$60,'_Engine'!$AO49)&lt;&gt;"OK"),"!",IF(INDEX(Team!$H$11:$N$60,'_Engine'!$AO49,WEEKDAY(T$11,2))&lt;&gt;"Work","—",IF(COUNTIF(Settings!$F$18:$F$67,T$11)&gt;0,"BH",IF('_Engine'!CI49+'_Engine'!CJ49=0,"·",IF('_Engine'!CI49='_Engine'!CJ49,INDEX(Settings!$G$7:$G$11,MOD('_Engine'!CI49,10))&amp;IF('_Engine'!CI49&gt;10,"?",""),IF('_Engine'!CI49=0,INDEX(Settings!$G$7:$G$11,MOD('_Engine'!CJ49,10))&amp;IF('_Engine'!CJ49&gt;10,"?","")&amp;" PM",IF('_Engine'!CJ49=0,INDEX(Settings!$G$7:$G$11,MOD('_Engine'!CI49,10))&amp;IF('_Engine'!CI49&gt;10,"?","")&amp;" AM",INDEX(Settings!$G$7:$G$11,MOD('_Engine'!CI49,10))&amp;IF('_Engine'!CI49&gt;10,"?","")&amp;" AM"&amp;CHAR(10)&amp;INDEX(Settings!$G$7:$G$11,MOD('_Engine'!CJ49,10))&amp;IF('_Engine'!CJ49&gt;10,"?","")&amp;" PM"))))))))</ns0:f>
        <ns0:v/>
      </ns0:c>
      <ns0:c r="U49" s="164" t="str">
        <ns0:f>IF(OR($A49="",U$11=""),"",IF(OR('_Engine'!$B$6&gt;0,INDEX('_Engine'!$AM$11:$AM$60,'_Engine'!$AO49)&lt;&gt;"OK"),"!",IF(INDEX(Team!$H$11:$N$60,'_Engine'!$AO49,WEEKDAY(U$11,2))&lt;&gt;"Work","—",IF(COUNTIF(Settings!$F$18:$F$67,U$11)&gt;0,"BH",IF('_Engine'!CK49+'_Engine'!CL49=0,"·",IF('_Engine'!CK49='_Engine'!CL49,INDEX(Settings!$G$7:$G$11,MOD('_Engine'!CK49,10))&amp;IF('_Engine'!CK49&gt;10,"?",""),IF('_Engine'!CK49=0,INDEX(Settings!$G$7:$G$11,MOD('_Engine'!CL49,10))&amp;IF('_Engine'!CL49&gt;10,"?","")&amp;" PM",IF('_Engine'!CL49=0,INDEX(Settings!$G$7:$G$11,MOD('_Engine'!CK49,10))&amp;IF('_Engine'!CK49&gt;10,"?","")&amp;" AM",INDEX(Settings!$G$7:$G$11,MOD('_Engine'!CK49,10))&amp;IF('_Engine'!CK49&gt;10,"?","")&amp;" AM"&amp;CHAR(10)&amp;INDEX(Settings!$G$7:$G$11,MOD('_Engine'!CL49,10))&amp;IF('_Engine'!CL49&gt;10,"?","")&amp;" PM"))))))))</ns0:f>
        <ns0:v/>
      </ns0:c>
      <ns0:c r="V49" s="164" t="str">
        <ns0:f>IF(OR($A49="",V$11=""),"",IF(OR('_Engine'!$B$6&gt;0,INDEX('_Engine'!$AM$11:$AM$60,'_Engine'!$AO49)&lt;&gt;"OK"),"!",IF(INDEX(Team!$H$11:$N$60,'_Engine'!$AO49,WEEKDAY(V$11,2))&lt;&gt;"Work","—",IF(COUNTIF(Settings!$F$18:$F$67,V$11)&gt;0,"BH",IF('_Engine'!CM49+'_Engine'!CN49=0,"·",IF('_Engine'!CM49='_Engine'!CN49,INDEX(Settings!$G$7:$G$11,MOD('_Engine'!CM49,10))&amp;IF('_Engine'!CM49&gt;10,"?",""),IF('_Engine'!CM49=0,INDEX(Settings!$G$7:$G$11,MOD('_Engine'!CN49,10))&amp;IF('_Engine'!CN49&gt;10,"?","")&amp;" PM",IF('_Engine'!CN49=0,INDEX(Settings!$G$7:$G$11,MOD('_Engine'!CM49,10))&amp;IF('_Engine'!CM49&gt;10,"?","")&amp;" AM",INDEX(Settings!$G$7:$G$11,MOD('_Engine'!CM49,10))&amp;IF('_Engine'!CM49&gt;10,"?","")&amp;" AM"&amp;CHAR(10)&amp;INDEX(Settings!$G$7:$G$11,MOD('_Engine'!CN49,10))&amp;IF('_Engine'!CN49&gt;10,"?","")&amp;" PM"))))))))</ns0:f>
        <ns0:v/>
      </ns0:c>
      <ns0:c r="W49" s="164" t="str">
        <ns0:f>IF(OR($A49="",W$11=""),"",IF(OR('_Engine'!$B$6&gt;0,INDEX('_Engine'!$AM$11:$AM$60,'_Engine'!$AO49)&lt;&gt;"OK"),"!",IF(INDEX(Team!$H$11:$N$60,'_Engine'!$AO49,WEEKDAY(W$11,2))&lt;&gt;"Work","—",IF(COUNTIF(Settings!$F$18:$F$67,W$11)&gt;0,"BH",IF('_Engine'!CO49+'_Engine'!CP49=0,"·",IF('_Engine'!CO49='_Engine'!CP49,INDEX(Settings!$G$7:$G$11,MOD('_Engine'!CO49,10))&amp;IF('_Engine'!CO49&gt;10,"?",""),IF('_Engine'!CO49=0,INDEX(Settings!$G$7:$G$11,MOD('_Engine'!CP49,10))&amp;IF('_Engine'!CP49&gt;10,"?","")&amp;" PM",IF('_Engine'!CP49=0,INDEX(Settings!$G$7:$G$11,MOD('_Engine'!CO49,10))&amp;IF('_Engine'!CO49&gt;10,"?","")&amp;" AM",INDEX(Settings!$G$7:$G$11,MOD('_Engine'!CO49,10))&amp;IF('_Engine'!CO49&gt;10,"?","")&amp;" AM"&amp;CHAR(10)&amp;INDEX(Settings!$G$7:$G$11,MOD('_Engine'!CP49,10))&amp;IF('_Engine'!CP49&gt;10,"?","")&amp;" PM"))))))))</ns0:f>
        <ns0:v/>
      </ns0:c>
      <ns0:c r="X49" s="164" t="str">
        <ns0:f>IF(OR($A49="",X$11=""),"",IF(OR('_Engine'!$B$6&gt;0,INDEX('_Engine'!$AM$11:$AM$60,'_Engine'!$AO49)&lt;&gt;"OK"),"!",IF(INDEX(Team!$H$11:$N$60,'_Engine'!$AO49,WEEKDAY(X$11,2))&lt;&gt;"Work","—",IF(COUNTIF(Settings!$F$18:$F$67,X$11)&gt;0,"BH",IF('_Engine'!CQ49+'_Engine'!CR49=0,"·",IF('_Engine'!CQ49='_Engine'!CR49,INDEX(Settings!$G$7:$G$11,MOD('_Engine'!CQ49,10))&amp;IF('_Engine'!CQ49&gt;10,"?",""),IF('_Engine'!CQ49=0,INDEX(Settings!$G$7:$G$11,MOD('_Engine'!CR49,10))&amp;IF('_Engine'!CR49&gt;10,"?","")&amp;" PM",IF('_Engine'!CR49=0,INDEX(Settings!$G$7:$G$11,MOD('_Engine'!CQ49,10))&amp;IF('_Engine'!CQ49&gt;10,"?","")&amp;" AM",INDEX(Settings!$G$7:$G$11,MOD('_Engine'!CQ49,10))&amp;IF('_Engine'!CQ49&gt;10,"?","")&amp;" AM"&amp;CHAR(10)&amp;INDEX(Settings!$G$7:$G$11,MOD('_Engine'!CR49,10))&amp;IF('_Engine'!CR49&gt;10,"?","")&amp;" PM"))))))))</ns0:f>
        <ns0:v/>
      </ns0:c>
      <ns0:c r="Y49" s="164" t="str">
        <ns0:f>IF(OR($A49="",Y$11=""),"",IF(OR('_Engine'!$B$6&gt;0,INDEX('_Engine'!$AM$11:$AM$60,'_Engine'!$AO49)&lt;&gt;"OK"),"!",IF(INDEX(Team!$H$11:$N$60,'_Engine'!$AO49,WEEKDAY(Y$11,2))&lt;&gt;"Work","—",IF(COUNTIF(Settings!$F$18:$F$67,Y$11)&gt;0,"BH",IF('_Engine'!CS49+'_Engine'!CT49=0,"·",IF('_Engine'!CS49='_Engine'!CT49,INDEX(Settings!$G$7:$G$11,MOD('_Engine'!CS49,10))&amp;IF('_Engine'!CS49&gt;10,"?",""),IF('_Engine'!CS49=0,INDEX(Settings!$G$7:$G$11,MOD('_Engine'!CT49,10))&amp;IF('_Engine'!CT49&gt;10,"?","")&amp;" PM",IF('_Engine'!CT49=0,INDEX(Settings!$G$7:$G$11,MOD('_Engine'!CS49,10))&amp;IF('_Engine'!CS49&gt;10,"?","")&amp;" AM",INDEX(Settings!$G$7:$G$11,MOD('_Engine'!CS49,10))&amp;IF('_Engine'!CS49&gt;10,"?","")&amp;" AM"&amp;CHAR(10)&amp;INDEX(Settings!$G$7:$G$11,MOD('_Engine'!CT49,10))&amp;IF('_Engine'!CT49&gt;10,"?","")&amp;" PM"))))))))</ns0:f>
        <ns0:v/>
      </ns0:c>
      <ns0:c r="Z49" s="164" t="str">
        <ns0:f>IF(OR($A49="",Z$11=""),"",IF(OR('_Engine'!$B$6&gt;0,INDEX('_Engine'!$AM$11:$AM$60,'_Engine'!$AO49)&lt;&gt;"OK"),"!",IF(INDEX(Team!$H$11:$N$60,'_Engine'!$AO49,WEEKDAY(Z$11,2))&lt;&gt;"Work","—",IF(COUNTIF(Settings!$F$18:$F$67,Z$11)&gt;0,"BH",IF('_Engine'!CU49+'_Engine'!CV49=0,"·",IF('_Engine'!CU49='_Engine'!CV49,INDEX(Settings!$G$7:$G$11,MOD('_Engine'!CU49,10))&amp;IF('_Engine'!CU49&gt;10,"?",""),IF('_Engine'!CU49=0,INDEX(Settings!$G$7:$G$11,MOD('_Engine'!CV49,10))&amp;IF('_Engine'!CV49&gt;10,"?","")&amp;" PM",IF('_Engine'!CV49=0,INDEX(Settings!$G$7:$G$11,MOD('_Engine'!CU49,10))&amp;IF('_Engine'!CU49&gt;10,"?","")&amp;" AM",INDEX(Settings!$G$7:$G$11,MOD('_Engine'!CU49,10))&amp;IF('_Engine'!CU49&gt;10,"?","")&amp;" AM"&amp;CHAR(10)&amp;INDEX(Settings!$G$7:$G$11,MOD('_Engine'!CV49,10))&amp;IF('_Engine'!CV49&gt;10,"?","")&amp;" PM"))))))))</ns0:f>
        <ns0:v/>
      </ns0:c>
      <ns0:c r="AA49" s="164" t="str">
        <ns0:f>IF(OR($A49="",AA$11=""),"",IF(OR('_Engine'!$B$6&gt;0,INDEX('_Engine'!$AM$11:$AM$60,'_Engine'!$AO49)&lt;&gt;"OK"),"!",IF(INDEX(Team!$H$11:$N$60,'_Engine'!$AO49,WEEKDAY(AA$11,2))&lt;&gt;"Work","—",IF(COUNTIF(Settings!$F$18:$F$67,AA$11)&gt;0,"BH",IF('_Engine'!CW49+'_Engine'!CX49=0,"·",IF('_Engine'!CW49='_Engine'!CX49,INDEX(Settings!$G$7:$G$11,MOD('_Engine'!CW49,10))&amp;IF('_Engine'!CW49&gt;10,"?",""),IF('_Engine'!CW49=0,INDEX(Settings!$G$7:$G$11,MOD('_Engine'!CX49,10))&amp;IF('_Engine'!CX49&gt;10,"?","")&amp;" PM",IF('_Engine'!CX49=0,INDEX(Settings!$G$7:$G$11,MOD('_Engine'!CW49,10))&amp;IF('_Engine'!CW49&gt;10,"?","")&amp;" AM",INDEX(Settings!$G$7:$G$11,MOD('_Engine'!CW49,10))&amp;IF('_Engine'!CW49&gt;10,"?","")&amp;" AM"&amp;CHAR(10)&amp;INDEX(Settings!$G$7:$G$11,MOD('_Engine'!CX49,10))&amp;IF('_Engine'!CX49&gt;10,"?","")&amp;" PM"))))))))</ns0:f>
        <ns0:v/>
      </ns0:c>
      <ns0:c r="AB49" s="164" t="str">
        <ns0:f>IF(OR($A49="",AB$11=""),"",IF(OR('_Engine'!$B$6&gt;0,INDEX('_Engine'!$AM$11:$AM$60,'_Engine'!$AO49)&lt;&gt;"OK"),"!",IF(INDEX(Team!$H$11:$N$60,'_Engine'!$AO49,WEEKDAY(AB$11,2))&lt;&gt;"Work","—",IF(COUNTIF(Settings!$F$18:$F$67,AB$11)&gt;0,"BH",IF('_Engine'!CY49+'_Engine'!CZ49=0,"·",IF('_Engine'!CY49='_Engine'!CZ49,INDEX(Settings!$G$7:$G$11,MOD('_Engine'!CY49,10))&amp;IF('_Engine'!CY49&gt;10,"?",""),IF('_Engine'!CY49=0,INDEX(Settings!$G$7:$G$11,MOD('_Engine'!CZ49,10))&amp;IF('_Engine'!CZ49&gt;10,"?","")&amp;" PM",IF('_Engine'!CZ49=0,INDEX(Settings!$G$7:$G$11,MOD('_Engine'!CY49,10))&amp;IF('_Engine'!CY49&gt;10,"?","")&amp;" AM",INDEX(Settings!$G$7:$G$11,MOD('_Engine'!CY49,10))&amp;IF('_Engine'!CY49&gt;10,"?","")&amp;" AM"&amp;CHAR(10)&amp;INDEX(Settings!$G$7:$G$11,MOD('_Engine'!CZ49,10))&amp;IF('_Engine'!CZ49&gt;10,"?","")&amp;" PM"))))))))</ns0:f>
        <ns0:v/>
      </ns0:c>
      <ns0:c r="AC49" s="164" t="str">
        <ns0:f>IF(OR($A49="",AC$11=""),"",IF(OR('_Engine'!$B$6&gt;0,INDEX('_Engine'!$AM$11:$AM$60,'_Engine'!$AO49)&lt;&gt;"OK"),"!",IF(INDEX(Team!$H$11:$N$60,'_Engine'!$AO49,WEEKDAY(AC$11,2))&lt;&gt;"Work","—",IF(COUNTIF(Settings!$F$18:$F$67,AC$11)&gt;0,"BH",IF('_Engine'!DA49+'_Engine'!DB49=0,"·",IF('_Engine'!DA49='_Engine'!DB49,INDEX(Settings!$G$7:$G$11,MOD('_Engine'!DA49,10))&amp;IF('_Engine'!DA49&gt;10,"?",""),IF('_Engine'!DA49=0,INDEX(Settings!$G$7:$G$11,MOD('_Engine'!DB49,10))&amp;IF('_Engine'!DB49&gt;10,"?","")&amp;" PM",IF('_Engine'!DB49=0,INDEX(Settings!$G$7:$G$11,MOD('_Engine'!DA49,10))&amp;IF('_Engine'!DA49&gt;10,"?","")&amp;" AM",INDEX(Settings!$G$7:$G$11,MOD('_Engine'!DA49,10))&amp;IF('_Engine'!DA49&gt;10,"?","")&amp;" AM"&amp;CHAR(10)&amp;INDEX(Settings!$G$7:$G$11,MOD('_Engine'!DB49,10))&amp;IF('_Engine'!DB49&gt;10,"?","")&amp;" PM"))))))))</ns0:f>
        <ns0:v/>
      </ns0:c>
      <ns0:c r="AD49" s="164" t="str">
        <ns0:f>IF(OR($A49="",AD$11=""),"",IF(OR('_Engine'!$B$6&gt;0,INDEX('_Engine'!$AM$11:$AM$60,'_Engine'!$AO49)&lt;&gt;"OK"),"!",IF(INDEX(Team!$H$11:$N$60,'_Engine'!$AO49,WEEKDAY(AD$11,2))&lt;&gt;"Work","—",IF(COUNTIF(Settings!$F$18:$F$67,AD$11)&gt;0,"BH",IF('_Engine'!DC49+'_Engine'!DD49=0,"·",IF('_Engine'!DC49='_Engine'!DD49,INDEX(Settings!$G$7:$G$11,MOD('_Engine'!DC49,10))&amp;IF('_Engine'!DC49&gt;10,"?",""),IF('_Engine'!DC49=0,INDEX(Settings!$G$7:$G$11,MOD('_Engine'!DD49,10))&amp;IF('_Engine'!DD49&gt;10,"?","")&amp;" PM",IF('_Engine'!DD49=0,INDEX(Settings!$G$7:$G$11,MOD('_Engine'!DC49,10))&amp;IF('_Engine'!DC49&gt;10,"?","")&amp;" AM",INDEX(Settings!$G$7:$G$11,MOD('_Engine'!DC49,10))&amp;IF('_Engine'!DC49&gt;10,"?","")&amp;" AM"&amp;CHAR(10)&amp;INDEX(Settings!$G$7:$G$11,MOD('_Engine'!DD49,10))&amp;IF('_Engine'!DD49&gt;10,"?","")&amp;" PM"))))))))</ns0:f>
        <ns0:v/>
      </ns0:c>
      <ns0:c r="AE49" s="164" t="str">
        <ns0:f>IF(OR($A49="",AE$11=""),"",IF(OR('_Engine'!$B$6&gt;0,INDEX('_Engine'!$AM$11:$AM$60,'_Engine'!$AO49)&lt;&gt;"OK"),"!",IF(INDEX(Team!$H$11:$N$60,'_Engine'!$AO49,WEEKDAY(AE$11,2))&lt;&gt;"Work","—",IF(COUNTIF(Settings!$F$18:$F$67,AE$11)&gt;0,"BH",IF('_Engine'!DE49+'_Engine'!DF49=0,"·",IF('_Engine'!DE49='_Engine'!DF49,INDEX(Settings!$G$7:$G$11,MOD('_Engine'!DE49,10))&amp;IF('_Engine'!DE49&gt;10,"?",""),IF('_Engine'!DE49=0,INDEX(Settings!$G$7:$G$11,MOD('_Engine'!DF49,10))&amp;IF('_Engine'!DF49&gt;10,"?","")&amp;" PM",IF('_Engine'!DF49=0,INDEX(Settings!$G$7:$G$11,MOD('_Engine'!DE49,10))&amp;IF('_Engine'!DE49&gt;10,"?","")&amp;" AM",INDEX(Settings!$G$7:$G$11,MOD('_Engine'!DE49,10))&amp;IF('_Engine'!DE49&gt;10,"?","")&amp;" AM"&amp;CHAR(10)&amp;INDEX(Settings!$G$7:$G$11,MOD('_Engine'!DF49,10))&amp;IF('_Engine'!DF49&gt;10,"?","")&amp;" PM"))))))))</ns0:f>
        <ns0:v/>
      </ns0:c>
      <ns0:c r="AF49" s="164" t="str">
        <ns0:f>IF(OR($A49="",AF$11=""),"",IF(OR('_Engine'!$B$6&gt;0,INDEX('_Engine'!$AM$11:$AM$60,'_Engine'!$AO49)&lt;&gt;"OK"),"!",IF(INDEX(Team!$H$11:$N$60,'_Engine'!$AO49,WEEKDAY(AF$11,2))&lt;&gt;"Work","—",IF(COUNTIF(Settings!$F$18:$F$67,AF$11)&gt;0,"BH",IF('_Engine'!DG49+'_Engine'!DH49=0,"·",IF('_Engine'!DG49='_Engine'!DH49,INDEX(Settings!$G$7:$G$11,MOD('_Engine'!DG49,10))&amp;IF('_Engine'!DG49&gt;10,"?",""),IF('_Engine'!DG49=0,INDEX(Settings!$G$7:$G$11,MOD('_Engine'!DH49,10))&amp;IF('_Engine'!DH49&gt;10,"?","")&amp;" PM",IF('_Engine'!DH49=0,INDEX(Settings!$G$7:$G$11,MOD('_Engine'!DG49,10))&amp;IF('_Engine'!DG49&gt;10,"?","")&amp;" AM",INDEX(Settings!$G$7:$G$11,MOD('_Engine'!DG49,10))&amp;IF('_Engine'!DG49&gt;10,"?","")&amp;" AM"&amp;CHAR(10)&amp;INDEX(Settings!$G$7:$G$11,MOD('_Engine'!DH49,10))&amp;IF('_Engine'!DH49&gt;10,"?","")&amp;" PM"))))))))</ns0:f>
        <ns0:v/>
      </ns0:c>
      <ns0:c r="AG49" s="164" t="str">
        <ns0:f>IF(OR($A49="",AG$11=""),"",IF(OR('_Engine'!$B$6&gt;0,INDEX('_Engine'!$AM$11:$AM$60,'_Engine'!$AO49)&lt;&gt;"OK"),"!",IF(INDEX(Team!$H$11:$N$60,'_Engine'!$AO49,WEEKDAY(AG$11,2))&lt;&gt;"Work","—",IF(COUNTIF(Settings!$F$18:$F$67,AG$11)&gt;0,"BH",IF('_Engine'!DI49+'_Engine'!DJ49=0,"·",IF('_Engine'!DI49='_Engine'!DJ49,INDEX(Settings!$G$7:$G$11,MOD('_Engine'!DI49,10))&amp;IF('_Engine'!DI49&gt;10,"?",""),IF('_Engine'!DI49=0,INDEX(Settings!$G$7:$G$11,MOD('_Engine'!DJ49,10))&amp;IF('_Engine'!DJ49&gt;10,"?","")&amp;" PM",IF('_Engine'!DJ49=0,INDEX(Settings!$G$7:$G$11,MOD('_Engine'!DI49,10))&amp;IF('_Engine'!DI49&gt;10,"?","")&amp;" AM",INDEX(Settings!$G$7:$G$11,MOD('_Engine'!DI49,10))&amp;IF('_Engine'!DI49&gt;10,"?","")&amp;" AM"&amp;CHAR(10)&amp;INDEX(Settings!$G$7:$G$11,MOD('_Engine'!DJ49,10))&amp;IF('_Engine'!DJ49&gt;10,"?","")&amp;" PM"))))))))</ns0:f>
        <ns0:v/>
      </ns0:c>
      <ns0:c r="AH49" s="164" t="str">
        <ns0:f>IF(OR($A49="",AH$11=""),"",IF(OR('_Engine'!$B$6&gt;0,INDEX('_Engine'!$AM$11:$AM$60,'_Engine'!$AO49)&lt;&gt;"OK"),"!",IF(INDEX(Team!$H$11:$N$60,'_Engine'!$AO49,WEEKDAY(AH$11,2))&lt;&gt;"Work","—",IF(COUNTIF(Settings!$F$18:$F$67,AH$11)&gt;0,"BH",IF('_Engine'!DK49+'_Engine'!DL49=0,"·",IF('_Engine'!DK49='_Engine'!DL49,INDEX(Settings!$G$7:$G$11,MOD('_Engine'!DK49,10))&amp;IF('_Engine'!DK49&gt;10,"?",""),IF('_Engine'!DK49=0,INDEX(Settings!$G$7:$G$11,MOD('_Engine'!DL49,10))&amp;IF('_Engine'!DL49&gt;10,"?","")&amp;" PM",IF('_Engine'!DL49=0,INDEX(Settings!$G$7:$G$11,MOD('_Engine'!DK49,10))&amp;IF('_Engine'!DK49&gt;10,"?","")&amp;" AM",INDEX(Settings!$G$7:$G$11,MOD('_Engine'!DK49,10))&amp;IF('_Engine'!DK49&gt;10,"?","")&amp;" AM"&amp;CHAR(10)&amp;INDEX(Settings!$G$7:$G$11,MOD('_Engine'!DL49,10))&amp;IF('_Engine'!DL49&gt;10,"?","")&amp;" PM"))))))))</ns0:f>
        <ns0:v/>
      </ns0:c>
    </ns0:row>
    <ns0:row r="50" ht="38" customHeight="1">
      <ns0:c r="A50" s="4" t="str">
        <ns0:f>IF('_Engine'!AO50=0,"",IF(INDEX(Team!$B$11:$B$60,'_Engine'!AO50)="","[Unnamed]",INDEX(Team!$B$11:$B$60,'_Engine'!AO50)))</ns0:f>
        <ns0:v/>
      </ns0:c>
      <ns0:c r="B50" s="156" t="str">
        <ns0:f>IF('_Engine'!AO50=0,"",INDEX('_Engine'!$AN$11:$AN$60,'_Engine'!AO50))</ns0:f>
        <ns0:v/>
      </ns0:c>
      <ns0:c r="C50" s="4" t="str">
        <ns0:f>IF('_Engine'!AO50=0,"",INDEX(Team!$C$11:$C$60,'_Engine'!AO50))</ns0:f>
        <ns0:v/>
      </ns0:c>
      <ns0:c r="D50" s="162" t="str">
        <ns0:f>IF(OR($A50="",D$11=""),"",IF(OR('_Engine'!$B$6&gt;0,INDEX('_Engine'!$AM$11:$AM$60,'_Engine'!$AO50)&lt;&gt;"OK"),"!",IF(INDEX(Team!$H$11:$N$60,'_Engine'!$AO50,WEEKDAY(D$11,2))&lt;&gt;"Work","—",IF(COUNTIF(Settings!$F$18:$F$67,D$11)&gt;0,"BH",IF('_Engine'!BC50+'_Engine'!BD50=0,"·",IF('_Engine'!BC50='_Engine'!BD50,INDEX(Settings!$G$7:$G$11,MOD('_Engine'!BC50,10))&amp;IF('_Engine'!BC50&gt;10,"?",""),IF('_Engine'!BC50=0,INDEX(Settings!$G$7:$G$11,MOD('_Engine'!BD50,10))&amp;IF('_Engine'!BD50&gt;10,"?","")&amp;" PM",IF('_Engine'!BD50=0,INDEX(Settings!$G$7:$G$11,MOD('_Engine'!BC50,10))&amp;IF('_Engine'!BC50&gt;10,"?","")&amp;" AM",INDEX(Settings!$G$7:$G$11,MOD('_Engine'!BC50,10))&amp;IF('_Engine'!BC50&gt;10,"?","")&amp;" AM"&amp;CHAR(10)&amp;INDEX(Settings!$G$7:$G$11,MOD('_Engine'!BD50,10))&amp;IF('_Engine'!BD50&gt;10,"?","")&amp;" PM"))))))))</ns0:f>
        <ns0:v/>
      </ns0:c>
      <ns0:c r="E50" s="162" t="str">
        <ns0:f>IF(OR($A50="",E$11=""),"",IF(OR('_Engine'!$B$6&gt;0,INDEX('_Engine'!$AM$11:$AM$60,'_Engine'!$AO50)&lt;&gt;"OK"),"!",IF(INDEX(Team!$H$11:$N$60,'_Engine'!$AO50,WEEKDAY(E$11,2))&lt;&gt;"Work","—",IF(COUNTIF(Settings!$F$18:$F$67,E$11)&gt;0,"BH",IF('_Engine'!BE50+'_Engine'!BF50=0,"·",IF('_Engine'!BE50='_Engine'!BF50,INDEX(Settings!$G$7:$G$11,MOD('_Engine'!BE50,10))&amp;IF('_Engine'!BE50&gt;10,"?",""),IF('_Engine'!BE50=0,INDEX(Settings!$G$7:$G$11,MOD('_Engine'!BF50,10))&amp;IF('_Engine'!BF50&gt;10,"?","")&amp;" PM",IF('_Engine'!BF50=0,INDEX(Settings!$G$7:$G$11,MOD('_Engine'!BE50,10))&amp;IF('_Engine'!BE50&gt;10,"?","")&amp;" AM",INDEX(Settings!$G$7:$G$11,MOD('_Engine'!BE50,10))&amp;IF('_Engine'!BE50&gt;10,"?","")&amp;" AM"&amp;CHAR(10)&amp;INDEX(Settings!$G$7:$G$11,MOD('_Engine'!BF50,10))&amp;IF('_Engine'!BF50&gt;10,"?","")&amp;" PM"))))))))</ns0:f>
        <ns0:v/>
      </ns0:c>
      <ns0:c r="F50" s="162" t="str">
        <ns0:f>IF(OR($A50="",F$11=""),"",IF(OR('_Engine'!$B$6&gt;0,INDEX('_Engine'!$AM$11:$AM$60,'_Engine'!$AO50)&lt;&gt;"OK"),"!",IF(INDEX(Team!$H$11:$N$60,'_Engine'!$AO50,WEEKDAY(F$11,2))&lt;&gt;"Work","—",IF(COUNTIF(Settings!$F$18:$F$67,F$11)&gt;0,"BH",IF('_Engine'!BG50+'_Engine'!BH50=0,"·",IF('_Engine'!BG50='_Engine'!BH50,INDEX(Settings!$G$7:$G$11,MOD('_Engine'!BG50,10))&amp;IF('_Engine'!BG50&gt;10,"?",""),IF('_Engine'!BG50=0,INDEX(Settings!$G$7:$G$11,MOD('_Engine'!BH50,10))&amp;IF('_Engine'!BH50&gt;10,"?","")&amp;" PM",IF('_Engine'!BH50=0,INDEX(Settings!$G$7:$G$11,MOD('_Engine'!BG50,10))&amp;IF('_Engine'!BG50&gt;10,"?","")&amp;" AM",INDEX(Settings!$G$7:$G$11,MOD('_Engine'!BG50,10))&amp;IF('_Engine'!BG50&gt;10,"?","")&amp;" AM"&amp;CHAR(10)&amp;INDEX(Settings!$G$7:$G$11,MOD('_Engine'!BH50,10))&amp;IF('_Engine'!BH50&gt;10,"?","")&amp;" PM"))))))))</ns0:f>
        <ns0:v/>
      </ns0:c>
      <ns0:c r="G50" s="162" t="str">
        <ns0:f>IF(OR($A50="",G$11=""),"",IF(OR('_Engine'!$B$6&gt;0,INDEX('_Engine'!$AM$11:$AM$60,'_Engine'!$AO50)&lt;&gt;"OK"),"!",IF(INDEX(Team!$H$11:$N$60,'_Engine'!$AO50,WEEKDAY(G$11,2))&lt;&gt;"Work","—",IF(COUNTIF(Settings!$F$18:$F$67,G$11)&gt;0,"BH",IF('_Engine'!BI50+'_Engine'!BJ50=0,"·",IF('_Engine'!BI50='_Engine'!BJ50,INDEX(Settings!$G$7:$G$11,MOD('_Engine'!BI50,10))&amp;IF('_Engine'!BI50&gt;10,"?",""),IF('_Engine'!BI50=0,INDEX(Settings!$G$7:$G$11,MOD('_Engine'!BJ50,10))&amp;IF('_Engine'!BJ50&gt;10,"?","")&amp;" PM",IF('_Engine'!BJ50=0,INDEX(Settings!$G$7:$G$11,MOD('_Engine'!BI50,10))&amp;IF('_Engine'!BI50&gt;10,"?","")&amp;" AM",INDEX(Settings!$G$7:$G$11,MOD('_Engine'!BI50,10))&amp;IF('_Engine'!BI50&gt;10,"?","")&amp;" AM"&amp;CHAR(10)&amp;INDEX(Settings!$G$7:$G$11,MOD('_Engine'!BJ50,10))&amp;IF('_Engine'!BJ50&gt;10,"?","")&amp;" PM"))))))))</ns0:f>
        <ns0:v/>
      </ns0:c>
      <ns0:c r="H50" s="162" t="str">
        <ns0:f>IF(OR($A50="",H$11=""),"",IF(OR('_Engine'!$B$6&gt;0,INDEX('_Engine'!$AM$11:$AM$60,'_Engine'!$AO50)&lt;&gt;"OK"),"!",IF(INDEX(Team!$H$11:$N$60,'_Engine'!$AO50,WEEKDAY(H$11,2))&lt;&gt;"Work","—",IF(COUNTIF(Settings!$F$18:$F$67,H$11)&gt;0,"BH",IF('_Engine'!BK50+'_Engine'!BL50=0,"·",IF('_Engine'!BK50='_Engine'!BL50,INDEX(Settings!$G$7:$G$11,MOD('_Engine'!BK50,10))&amp;IF('_Engine'!BK50&gt;10,"?",""),IF('_Engine'!BK50=0,INDEX(Settings!$G$7:$G$11,MOD('_Engine'!BL50,10))&amp;IF('_Engine'!BL50&gt;10,"?","")&amp;" PM",IF('_Engine'!BL50=0,INDEX(Settings!$G$7:$G$11,MOD('_Engine'!BK50,10))&amp;IF('_Engine'!BK50&gt;10,"?","")&amp;" AM",INDEX(Settings!$G$7:$G$11,MOD('_Engine'!BK50,10))&amp;IF('_Engine'!BK50&gt;10,"?","")&amp;" AM"&amp;CHAR(10)&amp;INDEX(Settings!$G$7:$G$11,MOD('_Engine'!BL50,10))&amp;IF('_Engine'!BL50&gt;10,"?","")&amp;" PM"))))))))</ns0:f>
        <ns0:v/>
      </ns0:c>
      <ns0:c r="I50" s="162" t="str">
        <ns0:f>IF(OR($A50="",I$11=""),"",IF(OR('_Engine'!$B$6&gt;0,INDEX('_Engine'!$AM$11:$AM$60,'_Engine'!$AO50)&lt;&gt;"OK"),"!",IF(INDEX(Team!$H$11:$N$60,'_Engine'!$AO50,WEEKDAY(I$11,2))&lt;&gt;"Work","—",IF(COUNTIF(Settings!$F$18:$F$67,I$11)&gt;0,"BH",IF('_Engine'!BM50+'_Engine'!BN50=0,"·",IF('_Engine'!BM50='_Engine'!BN50,INDEX(Settings!$G$7:$G$11,MOD('_Engine'!BM50,10))&amp;IF('_Engine'!BM50&gt;10,"?",""),IF('_Engine'!BM50=0,INDEX(Settings!$G$7:$G$11,MOD('_Engine'!BN50,10))&amp;IF('_Engine'!BN50&gt;10,"?","")&amp;" PM",IF('_Engine'!BN50=0,INDEX(Settings!$G$7:$G$11,MOD('_Engine'!BM50,10))&amp;IF('_Engine'!BM50&gt;10,"?","")&amp;" AM",INDEX(Settings!$G$7:$G$11,MOD('_Engine'!BM50,10))&amp;IF('_Engine'!BM50&gt;10,"?","")&amp;" AM"&amp;CHAR(10)&amp;INDEX(Settings!$G$7:$G$11,MOD('_Engine'!BN50,10))&amp;IF('_Engine'!BN50&gt;10,"?","")&amp;" PM"))))))))</ns0:f>
        <ns0:v/>
      </ns0:c>
      <ns0:c r="J50" s="162" t="str">
        <ns0:f>IF(OR($A50="",J$11=""),"",IF(OR('_Engine'!$B$6&gt;0,INDEX('_Engine'!$AM$11:$AM$60,'_Engine'!$AO50)&lt;&gt;"OK"),"!",IF(INDEX(Team!$H$11:$N$60,'_Engine'!$AO50,WEEKDAY(J$11,2))&lt;&gt;"Work","—",IF(COUNTIF(Settings!$F$18:$F$67,J$11)&gt;0,"BH",IF('_Engine'!BO50+'_Engine'!BP50=0,"·",IF('_Engine'!BO50='_Engine'!BP50,INDEX(Settings!$G$7:$G$11,MOD('_Engine'!BO50,10))&amp;IF('_Engine'!BO50&gt;10,"?",""),IF('_Engine'!BO50=0,INDEX(Settings!$G$7:$G$11,MOD('_Engine'!BP50,10))&amp;IF('_Engine'!BP50&gt;10,"?","")&amp;" PM",IF('_Engine'!BP50=0,INDEX(Settings!$G$7:$G$11,MOD('_Engine'!BO50,10))&amp;IF('_Engine'!BO50&gt;10,"?","")&amp;" AM",INDEX(Settings!$G$7:$G$11,MOD('_Engine'!BO50,10))&amp;IF('_Engine'!BO50&gt;10,"?","")&amp;" AM"&amp;CHAR(10)&amp;INDEX(Settings!$G$7:$G$11,MOD('_Engine'!BP50,10))&amp;IF('_Engine'!BP50&gt;10,"?","")&amp;" PM"))))))))</ns0:f>
        <ns0:v/>
      </ns0:c>
      <ns0:c r="K50" s="164" t="str">
        <ns0:f>IF(OR($A50="",K$11=""),"",IF(OR('_Engine'!$B$6&gt;0,INDEX('_Engine'!$AM$11:$AM$60,'_Engine'!$AO50)&lt;&gt;"OK"),"!",IF(INDEX(Team!$H$11:$N$60,'_Engine'!$AO50,WEEKDAY(K$11,2))&lt;&gt;"Work","—",IF(COUNTIF(Settings!$F$18:$F$67,K$11)&gt;0,"BH",IF('_Engine'!BQ50+'_Engine'!BR50=0,"·",IF('_Engine'!BQ50='_Engine'!BR50,INDEX(Settings!$G$7:$G$11,MOD('_Engine'!BQ50,10))&amp;IF('_Engine'!BQ50&gt;10,"?",""),IF('_Engine'!BQ50=0,INDEX(Settings!$G$7:$G$11,MOD('_Engine'!BR50,10))&amp;IF('_Engine'!BR50&gt;10,"?","")&amp;" PM",IF('_Engine'!BR50=0,INDEX(Settings!$G$7:$G$11,MOD('_Engine'!BQ50,10))&amp;IF('_Engine'!BQ50&gt;10,"?","")&amp;" AM",INDEX(Settings!$G$7:$G$11,MOD('_Engine'!BQ50,10))&amp;IF('_Engine'!BQ50&gt;10,"?","")&amp;" AM"&amp;CHAR(10)&amp;INDEX(Settings!$G$7:$G$11,MOD('_Engine'!BR50,10))&amp;IF('_Engine'!BR50&gt;10,"?","")&amp;" PM"))))))))</ns0:f>
        <ns0:v/>
      </ns0:c>
      <ns0:c r="L50" s="164" t="str">
        <ns0:f>IF(OR($A50="",L$11=""),"",IF(OR('_Engine'!$B$6&gt;0,INDEX('_Engine'!$AM$11:$AM$60,'_Engine'!$AO50)&lt;&gt;"OK"),"!",IF(INDEX(Team!$H$11:$N$60,'_Engine'!$AO50,WEEKDAY(L$11,2))&lt;&gt;"Work","—",IF(COUNTIF(Settings!$F$18:$F$67,L$11)&gt;0,"BH",IF('_Engine'!BS50+'_Engine'!BT50=0,"·",IF('_Engine'!BS50='_Engine'!BT50,INDEX(Settings!$G$7:$G$11,MOD('_Engine'!BS50,10))&amp;IF('_Engine'!BS50&gt;10,"?",""),IF('_Engine'!BS50=0,INDEX(Settings!$G$7:$G$11,MOD('_Engine'!BT50,10))&amp;IF('_Engine'!BT50&gt;10,"?","")&amp;" PM",IF('_Engine'!BT50=0,INDEX(Settings!$G$7:$G$11,MOD('_Engine'!BS50,10))&amp;IF('_Engine'!BS50&gt;10,"?","")&amp;" AM",INDEX(Settings!$G$7:$G$11,MOD('_Engine'!BS50,10))&amp;IF('_Engine'!BS50&gt;10,"?","")&amp;" AM"&amp;CHAR(10)&amp;INDEX(Settings!$G$7:$G$11,MOD('_Engine'!BT50,10))&amp;IF('_Engine'!BT50&gt;10,"?","")&amp;" PM"))))))))</ns0:f>
        <ns0:v/>
      </ns0:c>
      <ns0:c r="M50" s="164" t="str">
        <ns0:f>IF(OR($A50="",M$11=""),"",IF(OR('_Engine'!$B$6&gt;0,INDEX('_Engine'!$AM$11:$AM$60,'_Engine'!$AO50)&lt;&gt;"OK"),"!",IF(INDEX(Team!$H$11:$N$60,'_Engine'!$AO50,WEEKDAY(M$11,2))&lt;&gt;"Work","—",IF(COUNTIF(Settings!$F$18:$F$67,M$11)&gt;0,"BH",IF('_Engine'!BU50+'_Engine'!BV50=0,"·",IF('_Engine'!BU50='_Engine'!BV50,INDEX(Settings!$G$7:$G$11,MOD('_Engine'!BU50,10))&amp;IF('_Engine'!BU50&gt;10,"?",""),IF('_Engine'!BU50=0,INDEX(Settings!$G$7:$G$11,MOD('_Engine'!BV50,10))&amp;IF('_Engine'!BV50&gt;10,"?","")&amp;" PM",IF('_Engine'!BV50=0,INDEX(Settings!$G$7:$G$11,MOD('_Engine'!BU50,10))&amp;IF('_Engine'!BU50&gt;10,"?","")&amp;" AM",INDEX(Settings!$G$7:$G$11,MOD('_Engine'!BU50,10))&amp;IF('_Engine'!BU50&gt;10,"?","")&amp;" AM"&amp;CHAR(10)&amp;INDEX(Settings!$G$7:$G$11,MOD('_Engine'!BV50,10))&amp;IF('_Engine'!BV50&gt;10,"?","")&amp;" PM"))))))))</ns0:f>
        <ns0:v/>
      </ns0:c>
      <ns0:c r="N50" s="164" t="str">
        <ns0:f>IF(OR($A50="",N$11=""),"",IF(OR('_Engine'!$B$6&gt;0,INDEX('_Engine'!$AM$11:$AM$60,'_Engine'!$AO50)&lt;&gt;"OK"),"!",IF(INDEX(Team!$H$11:$N$60,'_Engine'!$AO50,WEEKDAY(N$11,2))&lt;&gt;"Work","—",IF(COUNTIF(Settings!$F$18:$F$67,N$11)&gt;0,"BH",IF('_Engine'!BW50+'_Engine'!BX50=0,"·",IF('_Engine'!BW50='_Engine'!BX50,INDEX(Settings!$G$7:$G$11,MOD('_Engine'!BW50,10))&amp;IF('_Engine'!BW50&gt;10,"?",""),IF('_Engine'!BW50=0,INDEX(Settings!$G$7:$G$11,MOD('_Engine'!BX50,10))&amp;IF('_Engine'!BX50&gt;10,"?","")&amp;" PM",IF('_Engine'!BX50=0,INDEX(Settings!$G$7:$G$11,MOD('_Engine'!BW50,10))&amp;IF('_Engine'!BW50&gt;10,"?","")&amp;" AM",INDEX(Settings!$G$7:$G$11,MOD('_Engine'!BW50,10))&amp;IF('_Engine'!BW50&gt;10,"?","")&amp;" AM"&amp;CHAR(10)&amp;INDEX(Settings!$G$7:$G$11,MOD('_Engine'!BX50,10))&amp;IF('_Engine'!BX50&gt;10,"?","")&amp;" PM"))))))))</ns0:f>
        <ns0:v/>
      </ns0:c>
      <ns0:c r="O50" s="164" t="str">
        <ns0:f>IF(OR($A50="",O$11=""),"",IF(OR('_Engine'!$B$6&gt;0,INDEX('_Engine'!$AM$11:$AM$60,'_Engine'!$AO50)&lt;&gt;"OK"),"!",IF(INDEX(Team!$H$11:$N$60,'_Engine'!$AO50,WEEKDAY(O$11,2))&lt;&gt;"Work","—",IF(COUNTIF(Settings!$F$18:$F$67,O$11)&gt;0,"BH",IF('_Engine'!BY50+'_Engine'!BZ50=0,"·",IF('_Engine'!BY50='_Engine'!BZ50,INDEX(Settings!$G$7:$G$11,MOD('_Engine'!BY50,10))&amp;IF('_Engine'!BY50&gt;10,"?",""),IF('_Engine'!BY50=0,INDEX(Settings!$G$7:$G$11,MOD('_Engine'!BZ50,10))&amp;IF('_Engine'!BZ50&gt;10,"?","")&amp;" PM",IF('_Engine'!BZ50=0,INDEX(Settings!$G$7:$G$11,MOD('_Engine'!BY50,10))&amp;IF('_Engine'!BY50&gt;10,"?","")&amp;" AM",INDEX(Settings!$G$7:$G$11,MOD('_Engine'!BY50,10))&amp;IF('_Engine'!BY50&gt;10,"?","")&amp;" AM"&amp;CHAR(10)&amp;INDEX(Settings!$G$7:$G$11,MOD('_Engine'!BZ50,10))&amp;IF('_Engine'!BZ50&gt;10,"?","")&amp;" PM"))))))))</ns0:f>
        <ns0:v/>
      </ns0:c>
      <ns0:c r="P50" s="164" t="str">
        <ns0:f>IF(OR($A50="",P$11=""),"",IF(OR('_Engine'!$B$6&gt;0,INDEX('_Engine'!$AM$11:$AM$60,'_Engine'!$AO50)&lt;&gt;"OK"),"!",IF(INDEX(Team!$H$11:$N$60,'_Engine'!$AO50,WEEKDAY(P$11,2))&lt;&gt;"Work","—",IF(COUNTIF(Settings!$F$18:$F$67,P$11)&gt;0,"BH",IF('_Engine'!CA50+'_Engine'!CB50=0,"·",IF('_Engine'!CA50='_Engine'!CB50,INDEX(Settings!$G$7:$G$11,MOD('_Engine'!CA50,10))&amp;IF('_Engine'!CA50&gt;10,"?",""),IF('_Engine'!CA50=0,INDEX(Settings!$G$7:$G$11,MOD('_Engine'!CB50,10))&amp;IF('_Engine'!CB50&gt;10,"?","")&amp;" PM",IF('_Engine'!CB50=0,INDEX(Settings!$G$7:$G$11,MOD('_Engine'!CA50,10))&amp;IF('_Engine'!CA50&gt;10,"?","")&amp;" AM",INDEX(Settings!$G$7:$G$11,MOD('_Engine'!CA50,10))&amp;IF('_Engine'!CA50&gt;10,"?","")&amp;" AM"&amp;CHAR(10)&amp;INDEX(Settings!$G$7:$G$11,MOD('_Engine'!CB50,10))&amp;IF('_Engine'!CB50&gt;10,"?","")&amp;" PM"))))))))</ns0:f>
        <ns0:v/>
      </ns0:c>
      <ns0:c r="Q50" s="164" t="str">
        <ns0:f>IF(OR($A50="",Q$11=""),"",IF(OR('_Engine'!$B$6&gt;0,INDEX('_Engine'!$AM$11:$AM$60,'_Engine'!$AO50)&lt;&gt;"OK"),"!",IF(INDEX(Team!$H$11:$N$60,'_Engine'!$AO50,WEEKDAY(Q$11,2))&lt;&gt;"Work","—",IF(COUNTIF(Settings!$F$18:$F$67,Q$11)&gt;0,"BH",IF('_Engine'!CC50+'_Engine'!CD50=0,"·",IF('_Engine'!CC50='_Engine'!CD50,INDEX(Settings!$G$7:$G$11,MOD('_Engine'!CC50,10))&amp;IF('_Engine'!CC50&gt;10,"?",""),IF('_Engine'!CC50=0,INDEX(Settings!$G$7:$G$11,MOD('_Engine'!CD50,10))&amp;IF('_Engine'!CD50&gt;10,"?","")&amp;" PM",IF('_Engine'!CD50=0,INDEX(Settings!$G$7:$G$11,MOD('_Engine'!CC50,10))&amp;IF('_Engine'!CC50&gt;10,"?","")&amp;" AM",INDEX(Settings!$G$7:$G$11,MOD('_Engine'!CC50,10))&amp;IF('_Engine'!CC50&gt;10,"?","")&amp;" AM"&amp;CHAR(10)&amp;INDEX(Settings!$G$7:$G$11,MOD('_Engine'!CD50,10))&amp;IF('_Engine'!CD50&gt;10,"?","")&amp;" PM"))))))))</ns0:f>
        <ns0:v/>
      </ns0:c>
      <ns0:c r="R50" s="164" t="str">
        <ns0:f>IF(OR($A50="",R$11=""),"",IF(OR('_Engine'!$B$6&gt;0,INDEX('_Engine'!$AM$11:$AM$60,'_Engine'!$AO50)&lt;&gt;"OK"),"!",IF(INDEX(Team!$H$11:$N$60,'_Engine'!$AO50,WEEKDAY(R$11,2))&lt;&gt;"Work","—",IF(COUNTIF(Settings!$F$18:$F$67,R$11)&gt;0,"BH",IF('_Engine'!CE50+'_Engine'!CF50=0,"·",IF('_Engine'!CE50='_Engine'!CF50,INDEX(Settings!$G$7:$G$11,MOD('_Engine'!CE50,10))&amp;IF('_Engine'!CE50&gt;10,"?",""),IF('_Engine'!CE50=0,INDEX(Settings!$G$7:$G$11,MOD('_Engine'!CF50,10))&amp;IF('_Engine'!CF50&gt;10,"?","")&amp;" PM",IF('_Engine'!CF50=0,INDEX(Settings!$G$7:$G$11,MOD('_Engine'!CE50,10))&amp;IF('_Engine'!CE50&gt;10,"?","")&amp;" AM",INDEX(Settings!$G$7:$G$11,MOD('_Engine'!CE50,10))&amp;IF('_Engine'!CE50&gt;10,"?","")&amp;" AM"&amp;CHAR(10)&amp;INDEX(Settings!$G$7:$G$11,MOD('_Engine'!CF50,10))&amp;IF('_Engine'!CF50&gt;10,"?","")&amp;" PM"))))))))</ns0:f>
        <ns0:v/>
      </ns0:c>
      <ns0:c r="S50" s="164" t="str">
        <ns0:f>IF(OR($A50="",S$11=""),"",IF(OR('_Engine'!$B$6&gt;0,INDEX('_Engine'!$AM$11:$AM$60,'_Engine'!$AO50)&lt;&gt;"OK"),"!",IF(INDEX(Team!$H$11:$N$60,'_Engine'!$AO50,WEEKDAY(S$11,2))&lt;&gt;"Work","—",IF(COUNTIF(Settings!$F$18:$F$67,S$11)&gt;0,"BH",IF('_Engine'!CG50+'_Engine'!CH50=0,"·",IF('_Engine'!CG50='_Engine'!CH50,INDEX(Settings!$G$7:$G$11,MOD('_Engine'!CG50,10))&amp;IF('_Engine'!CG50&gt;10,"?",""),IF('_Engine'!CG50=0,INDEX(Settings!$G$7:$G$11,MOD('_Engine'!CH50,10))&amp;IF('_Engine'!CH50&gt;10,"?","")&amp;" PM",IF('_Engine'!CH50=0,INDEX(Settings!$G$7:$G$11,MOD('_Engine'!CG50,10))&amp;IF('_Engine'!CG50&gt;10,"?","")&amp;" AM",INDEX(Settings!$G$7:$G$11,MOD('_Engine'!CG50,10))&amp;IF('_Engine'!CG50&gt;10,"?","")&amp;" AM"&amp;CHAR(10)&amp;INDEX(Settings!$G$7:$G$11,MOD('_Engine'!CH50,10))&amp;IF('_Engine'!CH50&gt;10,"?","")&amp;" PM"))))))))</ns0:f>
        <ns0:v/>
      </ns0:c>
      <ns0:c r="T50" s="164" t="str">
        <ns0:f>IF(OR($A50="",T$11=""),"",IF(OR('_Engine'!$B$6&gt;0,INDEX('_Engine'!$AM$11:$AM$60,'_Engine'!$AO50)&lt;&gt;"OK"),"!",IF(INDEX(Team!$H$11:$N$60,'_Engine'!$AO50,WEEKDAY(T$11,2))&lt;&gt;"Work","—",IF(COUNTIF(Settings!$F$18:$F$67,T$11)&gt;0,"BH",IF('_Engine'!CI50+'_Engine'!CJ50=0,"·",IF('_Engine'!CI50='_Engine'!CJ50,INDEX(Settings!$G$7:$G$11,MOD('_Engine'!CI50,10))&amp;IF('_Engine'!CI50&gt;10,"?",""),IF('_Engine'!CI50=0,INDEX(Settings!$G$7:$G$11,MOD('_Engine'!CJ50,10))&amp;IF('_Engine'!CJ50&gt;10,"?","")&amp;" PM",IF('_Engine'!CJ50=0,INDEX(Settings!$G$7:$G$11,MOD('_Engine'!CI50,10))&amp;IF('_Engine'!CI50&gt;10,"?","")&amp;" AM",INDEX(Settings!$G$7:$G$11,MOD('_Engine'!CI50,10))&amp;IF('_Engine'!CI50&gt;10,"?","")&amp;" AM"&amp;CHAR(10)&amp;INDEX(Settings!$G$7:$G$11,MOD('_Engine'!CJ50,10))&amp;IF('_Engine'!CJ50&gt;10,"?","")&amp;" PM"))))))))</ns0:f>
        <ns0:v/>
      </ns0:c>
      <ns0:c r="U50" s="164" t="str">
        <ns0:f>IF(OR($A50="",U$11=""),"",IF(OR('_Engine'!$B$6&gt;0,INDEX('_Engine'!$AM$11:$AM$60,'_Engine'!$AO50)&lt;&gt;"OK"),"!",IF(INDEX(Team!$H$11:$N$60,'_Engine'!$AO50,WEEKDAY(U$11,2))&lt;&gt;"Work","—",IF(COUNTIF(Settings!$F$18:$F$67,U$11)&gt;0,"BH",IF('_Engine'!CK50+'_Engine'!CL50=0,"·",IF('_Engine'!CK50='_Engine'!CL50,INDEX(Settings!$G$7:$G$11,MOD('_Engine'!CK50,10))&amp;IF('_Engine'!CK50&gt;10,"?",""),IF('_Engine'!CK50=0,INDEX(Settings!$G$7:$G$11,MOD('_Engine'!CL50,10))&amp;IF('_Engine'!CL50&gt;10,"?","")&amp;" PM",IF('_Engine'!CL50=0,INDEX(Settings!$G$7:$G$11,MOD('_Engine'!CK50,10))&amp;IF('_Engine'!CK50&gt;10,"?","")&amp;" AM",INDEX(Settings!$G$7:$G$11,MOD('_Engine'!CK50,10))&amp;IF('_Engine'!CK50&gt;10,"?","")&amp;" AM"&amp;CHAR(10)&amp;INDEX(Settings!$G$7:$G$11,MOD('_Engine'!CL50,10))&amp;IF('_Engine'!CL50&gt;10,"?","")&amp;" PM"))))))))</ns0:f>
        <ns0:v/>
      </ns0:c>
      <ns0:c r="V50" s="164" t="str">
        <ns0:f>IF(OR($A50="",V$11=""),"",IF(OR('_Engine'!$B$6&gt;0,INDEX('_Engine'!$AM$11:$AM$60,'_Engine'!$AO50)&lt;&gt;"OK"),"!",IF(INDEX(Team!$H$11:$N$60,'_Engine'!$AO50,WEEKDAY(V$11,2))&lt;&gt;"Work","—",IF(COUNTIF(Settings!$F$18:$F$67,V$11)&gt;0,"BH",IF('_Engine'!CM50+'_Engine'!CN50=0,"·",IF('_Engine'!CM50='_Engine'!CN50,INDEX(Settings!$G$7:$G$11,MOD('_Engine'!CM50,10))&amp;IF('_Engine'!CM50&gt;10,"?",""),IF('_Engine'!CM50=0,INDEX(Settings!$G$7:$G$11,MOD('_Engine'!CN50,10))&amp;IF('_Engine'!CN50&gt;10,"?","")&amp;" PM",IF('_Engine'!CN50=0,INDEX(Settings!$G$7:$G$11,MOD('_Engine'!CM50,10))&amp;IF('_Engine'!CM50&gt;10,"?","")&amp;" AM",INDEX(Settings!$G$7:$G$11,MOD('_Engine'!CM50,10))&amp;IF('_Engine'!CM50&gt;10,"?","")&amp;" AM"&amp;CHAR(10)&amp;INDEX(Settings!$G$7:$G$11,MOD('_Engine'!CN50,10))&amp;IF('_Engine'!CN50&gt;10,"?","")&amp;" PM"))))))))</ns0:f>
        <ns0:v/>
      </ns0:c>
      <ns0:c r="W50" s="164" t="str">
        <ns0:f>IF(OR($A50="",W$11=""),"",IF(OR('_Engine'!$B$6&gt;0,INDEX('_Engine'!$AM$11:$AM$60,'_Engine'!$AO50)&lt;&gt;"OK"),"!",IF(INDEX(Team!$H$11:$N$60,'_Engine'!$AO50,WEEKDAY(W$11,2))&lt;&gt;"Work","—",IF(COUNTIF(Settings!$F$18:$F$67,W$11)&gt;0,"BH",IF('_Engine'!CO50+'_Engine'!CP50=0,"·",IF('_Engine'!CO50='_Engine'!CP50,INDEX(Settings!$G$7:$G$11,MOD('_Engine'!CO50,10))&amp;IF('_Engine'!CO50&gt;10,"?",""),IF('_Engine'!CO50=0,INDEX(Settings!$G$7:$G$11,MOD('_Engine'!CP50,10))&amp;IF('_Engine'!CP50&gt;10,"?","")&amp;" PM",IF('_Engine'!CP50=0,INDEX(Settings!$G$7:$G$11,MOD('_Engine'!CO50,10))&amp;IF('_Engine'!CO50&gt;10,"?","")&amp;" AM",INDEX(Settings!$G$7:$G$11,MOD('_Engine'!CO50,10))&amp;IF('_Engine'!CO50&gt;10,"?","")&amp;" AM"&amp;CHAR(10)&amp;INDEX(Settings!$G$7:$G$11,MOD('_Engine'!CP50,10))&amp;IF('_Engine'!CP50&gt;10,"?","")&amp;" PM"))))))))</ns0:f>
        <ns0:v/>
      </ns0:c>
      <ns0:c r="X50" s="164" t="str">
        <ns0:f>IF(OR($A50="",X$11=""),"",IF(OR('_Engine'!$B$6&gt;0,INDEX('_Engine'!$AM$11:$AM$60,'_Engine'!$AO50)&lt;&gt;"OK"),"!",IF(INDEX(Team!$H$11:$N$60,'_Engine'!$AO50,WEEKDAY(X$11,2))&lt;&gt;"Work","—",IF(COUNTIF(Settings!$F$18:$F$67,X$11)&gt;0,"BH",IF('_Engine'!CQ50+'_Engine'!CR50=0,"·",IF('_Engine'!CQ50='_Engine'!CR50,INDEX(Settings!$G$7:$G$11,MOD('_Engine'!CQ50,10))&amp;IF('_Engine'!CQ50&gt;10,"?",""),IF('_Engine'!CQ50=0,INDEX(Settings!$G$7:$G$11,MOD('_Engine'!CR50,10))&amp;IF('_Engine'!CR50&gt;10,"?","")&amp;" PM",IF('_Engine'!CR50=0,INDEX(Settings!$G$7:$G$11,MOD('_Engine'!CQ50,10))&amp;IF('_Engine'!CQ50&gt;10,"?","")&amp;" AM",INDEX(Settings!$G$7:$G$11,MOD('_Engine'!CQ50,10))&amp;IF('_Engine'!CQ50&gt;10,"?","")&amp;" AM"&amp;CHAR(10)&amp;INDEX(Settings!$G$7:$G$11,MOD('_Engine'!CR50,10))&amp;IF('_Engine'!CR50&gt;10,"?","")&amp;" PM"))))))))</ns0:f>
        <ns0:v/>
      </ns0:c>
      <ns0:c r="Y50" s="164" t="str">
        <ns0:f>IF(OR($A50="",Y$11=""),"",IF(OR('_Engine'!$B$6&gt;0,INDEX('_Engine'!$AM$11:$AM$60,'_Engine'!$AO50)&lt;&gt;"OK"),"!",IF(INDEX(Team!$H$11:$N$60,'_Engine'!$AO50,WEEKDAY(Y$11,2))&lt;&gt;"Work","—",IF(COUNTIF(Settings!$F$18:$F$67,Y$11)&gt;0,"BH",IF('_Engine'!CS50+'_Engine'!CT50=0,"·",IF('_Engine'!CS50='_Engine'!CT50,INDEX(Settings!$G$7:$G$11,MOD('_Engine'!CS50,10))&amp;IF('_Engine'!CS50&gt;10,"?",""),IF('_Engine'!CS50=0,INDEX(Settings!$G$7:$G$11,MOD('_Engine'!CT50,10))&amp;IF('_Engine'!CT50&gt;10,"?","")&amp;" PM",IF('_Engine'!CT50=0,INDEX(Settings!$G$7:$G$11,MOD('_Engine'!CS50,10))&amp;IF('_Engine'!CS50&gt;10,"?","")&amp;" AM",INDEX(Settings!$G$7:$G$11,MOD('_Engine'!CS50,10))&amp;IF('_Engine'!CS50&gt;10,"?","")&amp;" AM"&amp;CHAR(10)&amp;INDEX(Settings!$G$7:$G$11,MOD('_Engine'!CT50,10))&amp;IF('_Engine'!CT50&gt;10,"?","")&amp;" PM"))))))))</ns0:f>
        <ns0:v/>
      </ns0:c>
      <ns0:c r="Z50" s="164" t="str">
        <ns0:f>IF(OR($A50="",Z$11=""),"",IF(OR('_Engine'!$B$6&gt;0,INDEX('_Engine'!$AM$11:$AM$60,'_Engine'!$AO50)&lt;&gt;"OK"),"!",IF(INDEX(Team!$H$11:$N$60,'_Engine'!$AO50,WEEKDAY(Z$11,2))&lt;&gt;"Work","—",IF(COUNTIF(Settings!$F$18:$F$67,Z$11)&gt;0,"BH",IF('_Engine'!CU50+'_Engine'!CV50=0,"·",IF('_Engine'!CU50='_Engine'!CV50,INDEX(Settings!$G$7:$G$11,MOD('_Engine'!CU50,10))&amp;IF('_Engine'!CU50&gt;10,"?",""),IF('_Engine'!CU50=0,INDEX(Settings!$G$7:$G$11,MOD('_Engine'!CV50,10))&amp;IF('_Engine'!CV50&gt;10,"?","")&amp;" PM",IF('_Engine'!CV50=0,INDEX(Settings!$G$7:$G$11,MOD('_Engine'!CU50,10))&amp;IF('_Engine'!CU50&gt;10,"?","")&amp;" AM",INDEX(Settings!$G$7:$G$11,MOD('_Engine'!CU50,10))&amp;IF('_Engine'!CU50&gt;10,"?","")&amp;" AM"&amp;CHAR(10)&amp;INDEX(Settings!$G$7:$G$11,MOD('_Engine'!CV50,10))&amp;IF('_Engine'!CV50&gt;10,"?","")&amp;" PM"))))))))</ns0:f>
        <ns0:v/>
      </ns0:c>
      <ns0:c r="AA50" s="164" t="str">
        <ns0:f>IF(OR($A50="",AA$11=""),"",IF(OR('_Engine'!$B$6&gt;0,INDEX('_Engine'!$AM$11:$AM$60,'_Engine'!$AO50)&lt;&gt;"OK"),"!",IF(INDEX(Team!$H$11:$N$60,'_Engine'!$AO50,WEEKDAY(AA$11,2))&lt;&gt;"Work","—",IF(COUNTIF(Settings!$F$18:$F$67,AA$11)&gt;0,"BH",IF('_Engine'!CW50+'_Engine'!CX50=0,"·",IF('_Engine'!CW50='_Engine'!CX50,INDEX(Settings!$G$7:$G$11,MOD('_Engine'!CW50,10))&amp;IF('_Engine'!CW50&gt;10,"?",""),IF('_Engine'!CW50=0,INDEX(Settings!$G$7:$G$11,MOD('_Engine'!CX50,10))&amp;IF('_Engine'!CX50&gt;10,"?","")&amp;" PM",IF('_Engine'!CX50=0,INDEX(Settings!$G$7:$G$11,MOD('_Engine'!CW50,10))&amp;IF('_Engine'!CW50&gt;10,"?","")&amp;" AM",INDEX(Settings!$G$7:$G$11,MOD('_Engine'!CW50,10))&amp;IF('_Engine'!CW50&gt;10,"?","")&amp;" AM"&amp;CHAR(10)&amp;INDEX(Settings!$G$7:$G$11,MOD('_Engine'!CX50,10))&amp;IF('_Engine'!CX50&gt;10,"?","")&amp;" PM"))))))))</ns0:f>
        <ns0:v/>
      </ns0:c>
      <ns0:c r="AB50" s="164" t="str">
        <ns0:f>IF(OR($A50="",AB$11=""),"",IF(OR('_Engine'!$B$6&gt;0,INDEX('_Engine'!$AM$11:$AM$60,'_Engine'!$AO50)&lt;&gt;"OK"),"!",IF(INDEX(Team!$H$11:$N$60,'_Engine'!$AO50,WEEKDAY(AB$11,2))&lt;&gt;"Work","—",IF(COUNTIF(Settings!$F$18:$F$67,AB$11)&gt;0,"BH",IF('_Engine'!CY50+'_Engine'!CZ50=0,"·",IF('_Engine'!CY50='_Engine'!CZ50,INDEX(Settings!$G$7:$G$11,MOD('_Engine'!CY50,10))&amp;IF('_Engine'!CY50&gt;10,"?",""),IF('_Engine'!CY50=0,INDEX(Settings!$G$7:$G$11,MOD('_Engine'!CZ50,10))&amp;IF('_Engine'!CZ50&gt;10,"?","")&amp;" PM",IF('_Engine'!CZ50=0,INDEX(Settings!$G$7:$G$11,MOD('_Engine'!CY50,10))&amp;IF('_Engine'!CY50&gt;10,"?","")&amp;" AM",INDEX(Settings!$G$7:$G$11,MOD('_Engine'!CY50,10))&amp;IF('_Engine'!CY50&gt;10,"?","")&amp;" AM"&amp;CHAR(10)&amp;INDEX(Settings!$G$7:$G$11,MOD('_Engine'!CZ50,10))&amp;IF('_Engine'!CZ50&gt;10,"?","")&amp;" PM"))))))))</ns0:f>
        <ns0:v/>
      </ns0:c>
      <ns0:c r="AC50" s="164" t="str">
        <ns0:f>IF(OR($A50="",AC$11=""),"",IF(OR('_Engine'!$B$6&gt;0,INDEX('_Engine'!$AM$11:$AM$60,'_Engine'!$AO50)&lt;&gt;"OK"),"!",IF(INDEX(Team!$H$11:$N$60,'_Engine'!$AO50,WEEKDAY(AC$11,2))&lt;&gt;"Work","—",IF(COUNTIF(Settings!$F$18:$F$67,AC$11)&gt;0,"BH",IF('_Engine'!DA50+'_Engine'!DB50=0,"·",IF('_Engine'!DA50='_Engine'!DB50,INDEX(Settings!$G$7:$G$11,MOD('_Engine'!DA50,10))&amp;IF('_Engine'!DA50&gt;10,"?",""),IF('_Engine'!DA50=0,INDEX(Settings!$G$7:$G$11,MOD('_Engine'!DB50,10))&amp;IF('_Engine'!DB50&gt;10,"?","")&amp;" PM",IF('_Engine'!DB50=0,INDEX(Settings!$G$7:$G$11,MOD('_Engine'!DA50,10))&amp;IF('_Engine'!DA50&gt;10,"?","")&amp;" AM",INDEX(Settings!$G$7:$G$11,MOD('_Engine'!DA50,10))&amp;IF('_Engine'!DA50&gt;10,"?","")&amp;" AM"&amp;CHAR(10)&amp;INDEX(Settings!$G$7:$G$11,MOD('_Engine'!DB50,10))&amp;IF('_Engine'!DB50&gt;10,"?","")&amp;" PM"))))))))</ns0:f>
        <ns0:v/>
      </ns0:c>
      <ns0:c r="AD50" s="164" t="str">
        <ns0:f>IF(OR($A50="",AD$11=""),"",IF(OR('_Engine'!$B$6&gt;0,INDEX('_Engine'!$AM$11:$AM$60,'_Engine'!$AO50)&lt;&gt;"OK"),"!",IF(INDEX(Team!$H$11:$N$60,'_Engine'!$AO50,WEEKDAY(AD$11,2))&lt;&gt;"Work","—",IF(COUNTIF(Settings!$F$18:$F$67,AD$11)&gt;0,"BH",IF('_Engine'!DC50+'_Engine'!DD50=0,"·",IF('_Engine'!DC50='_Engine'!DD50,INDEX(Settings!$G$7:$G$11,MOD('_Engine'!DC50,10))&amp;IF('_Engine'!DC50&gt;10,"?",""),IF('_Engine'!DC50=0,INDEX(Settings!$G$7:$G$11,MOD('_Engine'!DD50,10))&amp;IF('_Engine'!DD50&gt;10,"?","")&amp;" PM",IF('_Engine'!DD50=0,INDEX(Settings!$G$7:$G$11,MOD('_Engine'!DC50,10))&amp;IF('_Engine'!DC50&gt;10,"?","")&amp;" AM",INDEX(Settings!$G$7:$G$11,MOD('_Engine'!DC50,10))&amp;IF('_Engine'!DC50&gt;10,"?","")&amp;" AM"&amp;CHAR(10)&amp;INDEX(Settings!$G$7:$G$11,MOD('_Engine'!DD50,10))&amp;IF('_Engine'!DD50&gt;10,"?","")&amp;" PM"))))))))</ns0:f>
        <ns0:v/>
      </ns0:c>
      <ns0:c r="AE50" s="164" t="str">
        <ns0:f>IF(OR($A50="",AE$11=""),"",IF(OR('_Engine'!$B$6&gt;0,INDEX('_Engine'!$AM$11:$AM$60,'_Engine'!$AO50)&lt;&gt;"OK"),"!",IF(INDEX(Team!$H$11:$N$60,'_Engine'!$AO50,WEEKDAY(AE$11,2))&lt;&gt;"Work","—",IF(COUNTIF(Settings!$F$18:$F$67,AE$11)&gt;0,"BH",IF('_Engine'!DE50+'_Engine'!DF50=0,"·",IF('_Engine'!DE50='_Engine'!DF50,INDEX(Settings!$G$7:$G$11,MOD('_Engine'!DE50,10))&amp;IF('_Engine'!DE50&gt;10,"?",""),IF('_Engine'!DE50=0,INDEX(Settings!$G$7:$G$11,MOD('_Engine'!DF50,10))&amp;IF('_Engine'!DF50&gt;10,"?","")&amp;" PM",IF('_Engine'!DF50=0,INDEX(Settings!$G$7:$G$11,MOD('_Engine'!DE50,10))&amp;IF('_Engine'!DE50&gt;10,"?","")&amp;" AM",INDEX(Settings!$G$7:$G$11,MOD('_Engine'!DE50,10))&amp;IF('_Engine'!DE50&gt;10,"?","")&amp;" AM"&amp;CHAR(10)&amp;INDEX(Settings!$G$7:$G$11,MOD('_Engine'!DF50,10))&amp;IF('_Engine'!DF50&gt;10,"?","")&amp;" PM"))))))))</ns0:f>
        <ns0:v/>
      </ns0:c>
      <ns0:c r="AF50" s="164" t="str">
        <ns0:f>IF(OR($A50="",AF$11=""),"",IF(OR('_Engine'!$B$6&gt;0,INDEX('_Engine'!$AM$11:$AM$60,'_Engine'!$AO50)&lt;&gt;"OK"),"!",IF(INDEX(Team!$H$11:$N$60,'_Engine'!$AO50,WEEKDAY(AF$11,2))&lt;&gt;"Work","—",IF(COUNTIF(Settings!$F$18:$F$67,AF$11)&gt;0,"BH",IF('_Engine'!DG50+'_Engine'!DH50=0,"·",IF('_Engine'!DG50='_Engine'!DH50,INDEX(Settings!$G$7:$G$11,MOD('_Engine'!DG50,10))&amp;IF('_Engine'!DG50&gt;10,"?",""),IF('_Engine'!DG50=0,INDEX(Settings!$G$7:$G$11,MOD('_Engine'!DH50,10))&amp;IF('_Engine'!DH50&gt;10,"?","")&amp;" PM",IF('_Engine'!DH50=0,INDEX(Settings!$G$7:$G$11,MOD('_Engine'!DG50,10))&amp;IF('_Engine'!DG50&gt;10,"?","")&amp;" AM",INDEX(Settings!$G$7:$G$11,MOD('_Engine'!DG50,10))&amp;IF('_Engine'!DG50&gt;10,"?","")&amp;" AM"&amp;CHAR(10)&amp;INDEX(Settings!$G$7:$G$11,MOD('_Engine'!DH50,10))&amp;IF('_Engine'!DH50&gt;10,"?","")&amp;" PM"))))))))</ns0:f>
        <ns0:v/>
      </ns0:c>
      <ns0:c r="AG50" s="164" t="str">
        <ns0:f>IF(OR($A50="",AG$11=""),"",IF(OR('_Engine'!$B$6&gt;0,INDEX('_Engine'!$AM$11:$AM$60,'_Engine'!$AO50)&lt;&gt;"OK"),"!",IF(INDEX(Team!$H$11:$N$60,'_Engine'!$AO50,WEEKDAY(AG$11,2))&lt;&gt;"Work","—",IF(COUNTIF(Settings!$F$18:$F$67,AG$11)&gt;0,"BH",IF('_Engine'!DI50+'_Engine'!DJ50=0,"·",IF('_Engine'!DI50='_Engine'!DJ50,INDEX(Settings!$G$7:$G$11,MOD('_Engine'!DI50,10))&amp;IF('_Engine'!DI50&gt;10,"?",""),IF('_Engine'!DI50=0,INDEX(Settings!$G$7:$G$11,MOD('_Engine'!DJ50,10))&amp;IF('_Engine'!DJ50&gt;10,"?","")&amp;" PM",IF('_Engine'!DJ50=0,INDEX(Settings!$G$7:$G$11,MOD('_Engine'!DI50,10))&amp;IF('_Engine'!DI50&gt;10,"?","")&amp;" AM",INDEX(Settings!$G$7:$G$11,MOD('_Engine'!DI50,10))&amp;IF('_Engine'!DI50&gt;10,"?","")&amp;" AM"&amp;CHAR(10)&amp;INDEX(Settings!$G$7:$G$11,MOD('_Engine'!DJ50,10))&amp;IF('_Engine'!DJ50&gt;10,"?","")&amp;" PM"))))))))</ns0:f>
        <ns0:v/>
      </ns0:c>
      <ns0:c r="AH50" s="164" t="str">
        <ns0:f>IF(OR($A50="",AH$11=""),"",IF(OR('_Engine'!$B$6&gt;0,INDEX('_Engine'!$AM$11:$AM$60,'_Engine'!$AO50)&lt;&gt;"OK"),"!",IF(INDEX(Team!$H$11:$N$60,'_Engine'!$AO50,WEEKDAY(AH$11,2))&lt;&gt;"Work","—",IF(COUNTIF(Settings!$F$18:$F$67,AH$11)&gt;0,"BH",IF('_Engine'!DK50+'_Engine'!DL50=0,"·",IF('_Engine'!DK50='_Engine'!DL50,INDEX(Settings!$G$7:$G$11,MOD('_Engine'!DK50,10))&amp;IF('_Engine'!DK50&gt;10,"?",""),IF('_Engine'!DK50=0,INDEX(Settings!$G$7:$G$11,MOD('_Engine'!DL50,10))&amp;IF('_Engine'!DL50&gt;10,"?","")&amp;" PM",IF('_Engine'!DL50=0,INDEX(Settings!$G$7:$G$11,MOD('_Engine'!DK50,10))&amp;IF('_Engine'!DK50&gt;10,"?","")&amp;" AM",INDEX(Settings!$G$7:$G$11,MOD('_Engine'!DK50,10))&amp;IF('_Engine'!DK50&gt;10,"?","")&amp;" AM"&amp;CHAR(10)&amp;INDEX(Settings!$G$7:$G$11,MOD('_Engine'!DL50,10))&amp;IF('_Engine'!DL50&gt;10,"?","")&amp;" PM"))))))))</ns0:f>
        <ns0:v/>
      </ns0:c>
    </ns0:row>
    <ns0:row r="51" ht="38" customHeight="1">
      <ns0:c r="A51" s="4" t="str">
        <ns0:f>IF('_Engine'!AO51=0,"",IF(INDEX(Team!$B$11:$B$60,'_Engine'!AO51)="","[Unnamed]",INDEX(Team!$B$11:$B$60,'_Engine'!AO51)))</ns0:f>
        <ns0:v/>
      </ns0:c>
      <ns0:c r="B51" s="156" t="str">
        <ns0:f>IF('_Engine'!AO51=0,"",INDEX('_Engine'!$AN$11:$AN$60,'_Engine'!AO51))</ns0:f>
        <ns0:v/>
      </ns0:c>
      <ns0:c r="C51" s="4" t="str">
        <ns0:f>IF('_Engine'!AO51=0,"",INDEX(Team!$C$11:$C$60,'_Engine'!AO51))</ns0:f>
        <ns0:v/>
      </ns0:c>
      <ns0:c r="D51" s="162" t="str">
        <ns0:f>IF(OR($A51="",D$11=""),"",IF(OR('_Engine'!$B$6&gt;0,INDEX('_Engine'!$AM$11:$AM$60,'_Engine'!$AO51)&lt;&gt;"OK"),"!",IF(INDEX(Team!$H$11:$N$60,'_Engine'!$AO51,WEEKDAY(D$11,2))&lt;&gt;"Work","—",IF(COUNTIF(Settings!$F$18:$F$67,D$11)&gt;0,"BH",IF('_Engine'!BC51+'_Engine'!BD51=0,"·",IF('_Engine'!BC51='_Engine'!BD51,INDEX(Settings!$G$7:$G$11,MOD('_Engine'!BC51,10))&amp;IF('_Engine'!BC51&gt;10,"?",""),IF('_Engine'!BC51=0,INDEX(Settings!$G$7:$G$11,MOD('_Engine'!BD51,10))&amp;IF('_Engine'!BD51&gt;10,"?","")&amp;" PM",IF('_Engine'!BD51=0,INDEX(Settings!$G$7:$G$11,MOD('_Engine'!BC51,10))&amp;IF('_Engine'!BC51&gt;10,"?","")&amp;" AM",INDEX(Settings!$G$7:$G$11,MOD('_Engine'!BC51,10))&amp;IF('_Engine'!BC51&gt;10,"?","")&amp;" AM"&amp;CHAR(10)&amp;INDEX(Settings!$G$7:$G$11,MOD('_Engine'!BD51,10))&amp;IF('_Engine'!BD51&gt;10,"?","")&amp;" PM"))))))))</ns0:f>
        <ns0:v/>
      </ns0:c>
      <ns0:c r="E51" s="162" t="str">
        <ns0:f>IF(OR($A51="",E$11=""),"",IF(OR('_Engine'!$B$6&gt;0,INDEX('_Engine'!$AM$11:$AM$60,'_Engine'!$AO51)&lt;&gt;"OK"),"!",IF(INDEX(Team!$H$11:$N$60,'_Engine'!$AO51,WEEKDAY(E$11,2))&lt;&gt;"Work","—",IF(COUNTIF(Settings!$F$18:$F$67,E$11)&gt;0,"BH",IF('_Engine'!BE51+'_Engine'!BF51=0,"·",IF('_Engine'!BE51='_Engine'!BF51,INDEX(Settings!$G$7:$G$11,MOD('_Engine'!BE51,10))&amp;IF('_Engine'!BE51&gt;10,"?",""),IF('_Engine'!BE51=0,INDEX(Settings!$G$7:$G$11,MOD('_Engine'!BF51,10))&amp;IF('_Engine'!BF51&gt;10,"?","")&amp;" PM",IF('_Engine'!BF51=0,INDEX(Settings!$G$7:$G$11,MOD('_Engine'!BE51,10))&amp;IF('_Engine'!BE51&gt;10,"?","")&amp;" AM",INDEX(Settings!$G$7:$G$11,MOD('_Engine'!BE51,10))&amp;IF('_Engine'!BE51&gt;10,"?","")&amp;" AM"&amp;CHAR(10)&amp;INDEX(Settings!$G$7:$G$11,MOD('_Engine'!BF51,10))&amp;IF('_Engine'!BF51&gt;10,"?","")&amp;" PM"))))))))</ns0:f>
        <ns0:v/>
      </ns0:c>
      <ns0:c r="F51" s="162" t="str">
        <ns0:f>IF(OR($A51="",F$11=""),"",IF(OR('_Engine'!$B$6&gt;0,INDEX('_Engine'!$AM$11:$AM$60,'_Engine'!$AO51)&lt;&gt;"OK"),"!",IF(INDEX(Team!$H$11:$N$60,'_Engine'!$AO51,WEEKDAY(F$11,2))&lt;&gt;"Work","—",IF(COUNTIF(Settings!$F$18:$F$67,F$11)&gt;0,"BH",IF('_Engine'!BG51+'_Engine'!BH51=0,"·",IF('_Engine'!BG51='_Engine'!BH51,INDEX(Settings!$G$7:$G$11,MOD('_Engine'!BG51,10))&amp;IF('_Engine'!BG51&gt;10,"?",""),IF('_Engine'!BG51=0,INDEX(Settings!$G$7:$G$11,MOD('_Engine'!BH51,10))&amp;IF('_Engine'!BH51&gt;10,"?","")&amp;" PM",IF('_Engine'!BH51=0,INDEX(Settings!$G$7:$G$11,MOD('_Engine'!BG51,10))&amp;IF('_Engine'!BG51&gt;10,"?","")&amp;" AM",INDEX(Settings!$G$7:$G$11,MOD('_Engine'!BG51,10))&amp;IF('_Engine'!BG51&gt;10,"?","")&amp;" AM"&amp;CHAR(10)&amp;INDEX(Settings!$G$7:$G$11,MOD('_Engine'!BH51,10))&amp;IF('_Engine'!BH51&gt;10,"?","")&amp;" PM"))))))))</ns0:f>
        <ns0:v/>
      </ns0:c>
      <ns0:c r="G51" s="162" t="str">
        <ns0:f>IF(OR($A51="",G$11=""),"",IF(OR('_Engine'!$B$6&gt;0,INDEX('_Engine'!$AM$11:$AM$60,'_Engine'!$AO51)&lt;&gt;"OK"),"!",IF(INDEX(Team!$H$11:$N$60,'_Engine'!$AO51,WEEKDAY(G$11,2))&lt;&gt;"Work","—",IF(COUNTIF(Settings!$F$18:$F$67,G$11)&gt;0,"BH",IF('_Engine'!BI51+'_Engine'!BJ51=0,"·",IF('_Engine'!BI51='_Engine'!BJ51,INDEX(Settings!$G$7:$G$11,MOD('_Engine'!BI51,10))&amp;IF('_Engine'!BI51&gt;10,"?",""),IF('_Engine'!BI51=0,INDEX(Settings!$G$7:$G$11,MOD('_Engine'!BJ51,10))&amp;IF('_Engine'!BJ51&gt;10,"?","")&amp;" PM",IF('_Engine'!BJ51=0,INDEX(Settings!$G$7:$G$11,MOD('_Engine'!BI51,10))&amp;IF('_Engine'!BI51&gt;10,"?","")&amp;" AM",INDEX(Settings!$G$7:$G$11,MOD('_Engine'!BI51,10))&amp;IF('_Engine'!BI51&gt;10,"?","")&amp;" AM"&amp;CHAR(10)&amp;INDEX(Settings!$G$7:$G$11,MOD('_Engine'!BJ51,10))&amp;IF('_Engine'!BJ51&gt;10,"?","")&amp;" PM"))))))))</ns0:f>
        <ns0:v/>
      </ns0:c>
      <ns0:c r="H51" s="162" t="str">
        <ns0:f>IF(OR($A51="",H$11=""),"",IF(OR('_Engine'!$B$6&gt;0,INDEX('_Engine'!$AM$11:$AM$60,'_Engine'!$AO51)&lt;&gt;"OK"),"!",IF(INDEX(Team!$H$11:$N$60,'_Engine'!$AO51,WEEKDAY(H$11,2))&lt;&gt;"Work","—",IF(COUNTIF(Settings!$F$18:$F$67,H$11)&gt;0,"BH",IF('_Engine'!BK51+'_Engine'!BL51=0,"·",IF('_Engine'!BK51='_Engine'!BL51,INDEX(Settings!$G$7:$G$11,MOD('_Engine'!BK51,10))&amp;IF('_Engine'!BK51&gt;10,"?",""),IF('_Engine'!BK51=0,INDEX(Settings!$G$7:$G$11,MOD('_Engine'!BL51,10))&amp;IF('_Engine'!BL51&gt;10,"?","")&amp;" PM",IF('_Engine'!BL51=0,INDEX(Settings!$G$7:$G$11,MOD('_Engine'!BK51,10))&amp;IF('_Engine'!BK51&gt;10,"?","")&amp;" AM",INDEX(Settings!$G$7:$G$11,MOD('_Engine'!BK51,10))&amp;IF('_Engine'!BK51&gt;10,"?","")&amp;" AM"&amp;CHAR(10)&amp;INDEX(Settings!$G$7:$G$11,MOD('_Engine'!BL51,10))&amp;IF('_Engine'!BL51&gt;10,"?","")&amp;" PM"))))))))</ns0:f>
        <ns0:v/>
      </ns0:c>
      <ns0:c r="I51" s="162" t="str">
        <ns0:f>IF(OR($A51="",I$11=""),"",IF(OR('_Engine'!$B$6&gt;0,INDEX('_Engine'!$AM$11:$AM$60,'_Engine'!$AO51)&lt;&gt;"OK"),"!",IF(INDEX(Team!$H$11:$N$60,'_Engine'!$AO51,WEEKDAY(I$11,2))&lt;&gt;"Work","—",IF(COUNTIF(Settings!$F$18:$F$67,I$11)&gt;0,"BH",IF('_Engine'!BM51+'_Engine'!BN51=0,"·",IF('_Engine'!BM51='_Engine'!BN51,INDEX(Settings!$G$7:$G$11,MOD('_Engine'!BM51,10))&amp;IF('_Engine'!BM51&gt;10,"?",""),IF('_Engine'!BM51=0,INDEX(Settings!$G$7:$G$11,MOD('_Engine'!BN51,10))&amp;IF('_Engine'!BN51&gt;10,"?","")&amp;" PM",IF('_Engine'!BN51=0,INDEX(Settings!$G$7:$G$11,MOD('_Engine'!BM51,10))&amp;IF('_Engine'!BM51&gt;10,"?","")&amp;" AM",INDEX(Settings!$G$7:$G$11,MOD('_Engine'!BM51,10))&amp;IF('_Engine'!BM51&gt;10,"?","")&amp;" AM"&amp;CHAR(10)&amp;INDEX(Settings!$G$7:$G$11,MOD('_Engine'!BN51,10))&amp;IF('_Engine'!BN51&gt;10,"?","")&amp;" PM"))))))))</ns0:f>
        <ns0:v/>
      </ns0:c>
      <ns0:c r="J51" s="162" t="str">
        <ns0:f>IF(OR($A51="",J$11=""),"",IF(OR('_Engine'!$B$6&gt;0,INDEX('_Engine'!$AM$11:$AM$60,'_Engine'!$AO51)&lt;&gt;"OK"),"!",IF(INDEX(Team!$H$11:$N$60,'_Engine'!$AO51,WEEKDAY(J$11,2))&lt;&gt;"Work","—",IF(COUNTIF(Settings!$F$18:$F$67,J$11)&gt;0,"BH",IF('_Engine'!BO51+'_Engine'!BP51=0,"·",IF('_Engine'!BO51='_Engine'!BP51,INDEX(Settings!$G$7:$G$11,MOD('_Engine'!BO51,10))&amp;IF('_Engine'!BO51&gt;10,"?",""),IF('_Engine'!BO51=0,INDEX(Settings!$G$7:$G$11,MOD('_Engine'!BP51,10))&amp;IF('_Engine'!BP51&gt;10,"?","")&amp;" PM",IF('_Engine'!BP51=0,INDEX(Settings!$G$7:$G$11,MOD('_Engine'!BO51,10))&amp;IF('_Engine'!BO51&gt;10,"?","")&amp;" AM",INDEX(Settings!$G$7:$G$11,MOD('_Engine'!BO51,10))&amp;IF('_Engine'!BO51&gt;10,"?","")&amp;" AM"&amp;CHAR(10)&amp;INDEX(Settings!$G$7:$G$11,MOD('_Engine'!BP51,10))&amp;IF('_Engine'!BP51&gt;10,"?","")&amp;" PM"))))))))</ns0:f>
        <ns0:v/>
      </ns0:c>
      <ns0:c r="K51" s="164" t="str">
        <ns0:f>IF(OR($A51="",K$11=""),"",IF(OR('_Engine'!$B$6&gt;0,INDEX('_Engine'!$AM$11:$AM$60,'_Engine'!$AO51)&lt;&gt;"OK"),"!",IF(INDEX(Team!$H$11:$N$60,'_Engine'!$AO51,WEEKDAY(K$11,2))&lt;&gt;"Work","—",IF(COUNTIF(Settings!$F$18:$F$67,K$11)&gt;0,"BH",IF('_Engine'!BQ51+'_Engine'!BR51=0,"·",IF('_Engine'!BQ51='_Engine'!BR51,INDEX(Settings!$G$7:$G$11,MOD('_Engine'!BQ51,10))&amp;IF('_Engine'!BQ51&gt;10,"?",""),IF('_Engine'!BQ51=0,INDEX(Settings!$G$7:$G$11,MOD('_Engine'!BR51,10))&amp;IF('_Engine'!BR51&gt;10,"?","")&amp;" PM",IF('_Engine'!BR51=0,INDEX(Settings!$G$7:$G$11,MOD('_Engine'!BQ51,10))&amp;IF('_Engine'!BQ51&gt;10,"?","")&amp;" AM",INDEX(Settings!$G$7:$G$11,MOD('_Engine'!BQ51,10))&amp;IF('_Engine'!BQ51&gt;10,"?","")&amp;" AM"&amp;CHAR(10)&amp;INDEX(Settings!$G$7:$G$11,MOD('_Engine'!BR51,10))&amp;IF('_Engine'!BR51&gt;10,"?","")&amp;" PM"))))))))</ns0:f>
        <ns0:v/>
      </ns0:c>
      <ns0:c r="L51" s="164" t="str">
        <ns0:f>IF(OR($A51="",L$11=""),"",IF(OR('_Engine'!$B$6&gt;0,INDEX('_Engine'!$AM$11:$AM$60,'_Engine'!$AO51)&lt;&gt;"OK"),"!",IF(INDEX(Team!$H$11:$N$60,'_Engine'!$AO51,WEEKDAY(L$11,2))&lt;&gt;"Work","—",IF(COUNTIF(Settings!$F$18:$F$67,L$11)&gt;0,"BH",IF('_Engine'!BS51+'_Engine'!BT51=0,"·",IF('_Engine'!BS51='_Engine'!BT51,INDEX(Settings!$G$7:$G$11,MOD('_Engine'!BS51,10))&amp;IF('_Engine'!BS51&gt;10,"?",""),IF('_Engine'!BS51=0,INDEX(Settings!$G$7:$G$11,MOD('_Engine'!BT51,10))&amp;IF('_Engine'!BT51&gt;10,"?","")&amp;" PM",IF('_Engine'!BT51=0,INDEX(Settings!$G$7:$G$11,MOD('_Engine'!BS51,10))&amp;IF('_Engine'!BS51&gt;10,"?","")&amp;" AM",INDEX(Settings!$G$7:$G$11,MOD('_Engine'!BS51,10))&amp;IF('_Engine'!BS51&gt;10,"?","")&amp;" AM"&amp;CHAR(10)&amp;INDEX(Settings!$G$7:$G$11,MOD('_Engine'!BT51,10))&amp;IF('_Engine'!BT51&gt;10,"?","")&amp;" PM"))))))))</ns0:f>
        <ns0:v/>
      </ns0:c>
      <ns0:c r="M51" s="164" t="str">
        <ns0:f>IF(OR($A51="",M$11=""),"",IF(OR('_Engine'!$B$6&gt;0,INDEX('_Engine'!$AM$11:$AM$60,'_Engine'!$AO51)&lt;&gt;"OK"),"!",IF(INDEX(Team!$H$11:$N$60,'_Engine'!$AO51,WEEKDAY(M$11,2))&lt;&gt;"Work","—",IF(COUNTIF(Settings!$F$18:$F$67,M$11)&gt;0,"BH",IF('_Engine'!BU51+'_Engine'!BV51=0,"·",IF('_Engine'!BU51='_Engine'!BV51,INDEX(Settings!$G$7:$G$11,MOD('_Engine'!BU51,10))&amp;IF('_Engine'!BU51&gt;10,"?",""),IF('_Engine'!BU51=0,INDEX(Settings!$G$7:$G$11,MOD('_Engine'!BV51,10))&amp;IF('_Engine'!BV51&gt;10,"?","")&amp;" PM",IF('_Engine'!BV51=0,INDEX(Settings!$G$7:$G$11,MOD('_Engine'!BU51,10))&amp;IF('_Engine'!BU51&gt;10,"?","")&amp;" AM",INDEX(Settings!$G$7:$G$11,MOD('_Engine'!BU51,10))&amp;IF('_Engine'!BU51&gt;10,"?","")&amp;" AM"&amp;CHAR(10)&amp;INDEX(Settings!$G$7:$G$11,MOD('_Engine'!BV51,10))&amp;IF('_Engine'!BV51&gt;10,"?","")&amp;" PM"))))))))</ns0:f>
        <ns0:v/>
      </ns0:c>
      <ns0:c r="N51" s="164" t="str">
        <ns0:f>IF(OR($A51="",N$11=""),"",IF(OR('_Engine'!$B$6&gt;0,INDEX('_Engine'!$AM$11:$AM$60,'_Engine'!$AO51)&lt;&gt;"OK"),"!",IF(INDEX(Team!$H$11:$N$60,'_Engine'!$AO51,WEEKDAY(N$11,2))&lt;&gt;"Work","—",IF(COUNTIF(Settings!$F$18:$F$67,N$11)&gt;0,"BH",IF('_Engine'!BW51+'_Engine'!BX51=0,"·",IF('_Engine'!BW51='_Engine'!BX51,INDEX(Settings!$G$7:$G$11,MOD('_Engine'!BW51,10))&amp;IF('_Engine'!BW51&gt;10,"?",""),IF('_Engine'!BW51=0,INDEX(Settings!$G$7:$G$11,MOD('_Engine'!BX51,10))&amp;IF('_Engine'!BX51&gt;10,"?","")&amp;" PM",IF('_Engine'!BX51=0,INDEX(Settings!$G$7:$G$11,MOD('_Engine'!BW51,10))&amp;IF('_Engine'!BW51&gt;10,"?","")&amp;" AM",INDEX(Settings!$G$7:$G$11,MOD('_Engine'!BW51,10))&amp;IF('_Engine'!BW51&gt;10,"?","")&amp;" AM"&amp;CHAR(10)&amp;INDEX(Settings!$G$7:$G$11,MOD('_Engine'!BX51,10))&amp;IF('_Engine'!BX51&gt;10,"?","")&amp;" PM"))))))))</ns0:f>
        <ns0:v/>
      </ns0:c>
      <ns0:c r="O51" s="164" t="str">
        <ns0:f>IF(OR($A51="",O$11=""),"",IF(OR('_Engine'!$B$6&gt;0,INDEX('_Engine'!$AM$11:$AM$60,'_Engine'!$AO51)&lt;&gt;"OK"),"!",IF(INDEX(Team!$H$11:$N$60,'_Engine'!$AO51,WEEKDAY(O$11,2))&lt;&gt;"Work","—",IF(COUNTIF(Settings!$F$18:$F$67,O$11)&gt;0,"BH",IF('_Engine'!BY51+'_Engine'!BZ51=0,"·",IF('_Engine'!BY51='_Engine'!BZ51,INDEX(Settings!$G$7:$G$11,MOD('_Engine'!BY51,10))&amp;IF('_Engine'!BY51&gt;10,"?",""),IF('_Engine'!BY51=0,INDEX(Settings!$G$7:$G$11,MOD('_Engine'!BZ51,10))&amp;IF('_Engine'!BZ51&gt;10,"?","")&amp;" PM",IF('_Engine'!BZ51=0,INDEX(Settings!$G$7:$G$11,MOD('_Engine'!BY51,10))&amp;IF('_Engine'!BY51&gt;10,"?","")&amp;" AM",INDEX(Settings!$G$7:$G$11,MOD('_Engine'!BY51,10))&amp;IF('_Engine'!BY51&gt;10,"?","")&amp;" AM"&amp;CHAR(10)&amp;INDEX(Settings!$G$7:$G$11,MOD('_Engine'!BZ51,10))&amp;IF('_Engine'!BZ51&gt;10,"?","")&amp;" PM"))))))))</ns0:f>
        <ns0:v/>
      </ns0:c>
      <ns0:c r="P51" s="164" t="str">
        <ns0:f>IF(OR($A51="",P$11=""),"",IF(OR('_Engine'!$B$6&gt;0,INDEX('_Engine'!$AM$11:$AM$60,'_Engine'!$AO51)&lt;&gt;"OK"),"!",IF(INDEX(Team!$H$11:$N$60,'_Engine'!$AO51,WEEKDAY(P$11,2))&lt;&gt;"Work","—",IF(COUNTIF(Settings!$F$18:$F$67,P$11)&gt;0,"BH",IF('_Engine'!CA51+'_Engine'!CB51=0,"·",IF('_Engine'!CA51='_Engine'!CB51,INDEX(Settings!$G$7:$G$11,MOD('_Engine'!CA51,10))&amp;IF('_Engine'!CA51&gt;10,"?",""),IF('_Engine'!CA51=0,INDEX(Settings!$G$7:$G$11,MOD('_Engine'!CB51,10))&amp;IF('_Engine'!CB51&gt;10,"?","")&amp;" PM",IF('_Engine'!CB51=0,INDEX(Settings!$G$7:$G$11,MOD('_Engine'!CA51,10))&amp;IF('_Engine'!CA51&gt;10,"?","")&amp;" AM",INDEX(Settings!$G$7:$G$11,MOD('_Engine'!CA51,10))&amp;IF('_Engine'!CA51&gt;10,"?","")&amp;" AM"&amp;CHAR(10)&amp;INDEX(Settings!$G$7:$G$11,MOD('_Engine'!CB51,10))&amp;IF('_Engine'!CB51&gt;10,"?","")&amp;" PM"))))))))</ns0:f>
        <ns0:v/>
      </ns0:c>
      <ns0:c r="Q51" s="164" t="str">
        <ns0:f>IF(OR($A51="",Q$11=""),"",IF(OR('_Engine'!$B$6&gt;0,INDEX('_Engine'!$AM$11:$AM$60,'_Engine'!$AO51)&lt;&gt;"OK"),"!",IF(INDEX(Team!$H$11:$N$60,'_Engine'!$AO51,WEEKDAY(Q$11,2))&lt;&gt;"Work","—",IF(COUNTIF(Settings!$F$18:$F$67,Q$11)&gt;0,"BH",IF('_Engine'!CC51+'_Engine'!CD51=0,"·",IF('_Engine'!CC51='_Engine'!CD51,INDEX(Settings!$G$7:$G$11,MOD('_Engine'!CC51,10))&amp;IF('_Engine'!CC51&gt;10,"?",""),IF('_Engine'!CC51=0,INDEX(Settings!$G$7:$G$11,MOD('_Engine'!CD51,10))&amp;IF('_Engine'!CD51&gt;10,"?","")&amp;" PM",IF('_Engine'!CD51=0,INDEX(Settings!$G$7:$G$11,MOD('_Engine'!CC51,10))&amp;IF('_Engine'!CC51&gt;10,"?","")&amp;" AM",INDEX(Settings!$G$7:$G$11,MOD('_Engine'!CC51,10))&amp;IF('_Engine'!CC51&gt;10,"?","")&amp;" AM"&amp;CHAR(10)&amp;INDEX(Settings!$G$7:$G$11,MOD('_Engine'!CD51,10))&amp;IF('_Engine'!CD51&gt;10,"?","")&amp;" PM"))))))))</ns0:f>
        <ns0:v/>
      </ns0:c>
      <ns0:c r="R51" s="164" t="str">
        <ns0:f>IF(OR($A51="",R$11=""),"",IF(OR('_Engine'!$B$6&gt;0,INDEX('_Engine'!$AM$11:$AM$60,'_Engine'!$AO51)&lt;&gt;"OK"),"!",IF(INDEX(Team!$H$11:$N$60,'_Engine'!$AO51,WEEKDAY(R$11,2))&lt;&gt;"Work","—",IF(COUNTIF(Settings!$F$18:$F$67,R$11)&gt;0,"BH",IF('_Engine'!CE51+'_Engine'!CF51=0,"·",IF('_Engine'!CE51='_Engine'!CF51,INDEX(Settings!$G$7:$G$11,MOD('_Engine'!CE51,10))&amp;IF('_Engine'!CE51&gt;10,"?",""),IF('_Engine'!CE51=0,INDEX(Settings!$G$7:$G$11,MOD('_Engine'!CF51,10))&amp;IF('_Engine'!CF51&gt;10,"?","")&amp;" PM",IF('_Engine'!CF51=0,INDEX(Settings!$G$7:$G$11,MOD('_Engine'!CE51,10))&amp;IF('_Engine'!CE51&gt;10,"?","")&amp;" AM",INDEX(Settings!$G$7:$G$11,MOD('_Engine'!CE51,10))&amp;IF('_Engine'!CE51&gt;10,"?","")&amp;" AM"&amp;CHAR(10)&amp;INDEX(Settings!$G$7:$G$11,MOD('_Engine'!CF51,10))&amp;IF('_Engine'!CF51&gt;10,"?","")&amp;" PM"))))))))</ns0:f>
        <ns0:v/>
      </ns0:c>
      <ns0:c r="S51" s="164" t="str">
        <ns0:f>IF(OR($A51="",S$11=""),"",IF(OR('_Engine'!$B$6&gt;0,INDEX('_Engine'!$AM$11:$AM$60,'_Engine'!$AO51)&lt;&gt;"OK"),"!",IF(INDEX(Team!$H$11:$N$60,'_Engine'!$AO51,WEEKDAY(S$11,2))&lt;&gt;"Work","—",IF(COUNTIF(Settings!$F$18:$F$67,S$11)&gt;0,"BH",IF('_Engine'!CG51+'_Engine'!CH51=0,"·",IF('_Engine'!CG51='_Engine'!CH51,INDEX(Settings!$G$7:$G$11,MOD('_Engine'!CG51,10))&amp;IF('_Engine'!CG51&gt;10,"?",""),IF('_Engine'!CG51=0,INDEX(Settings!$G$7:$G$11,MOD('_Engine'!CH51,10))&amp;IF('_Engine'!CH51&gt;10,"?","")&amp;" PM",IF('_Engine'!CH51=0,INDEX(Settings!$G$7:$G$11,MOD('_Engine'!CG51,10))&amp;IF('_Engine'!CG51&gt;10,"?","")&amp;" AM",INDEX(Settings!$G$7:$G$11,MOD('_Engine'!CG51,10))&amp;IF('_Engine'!CG51&gt;10,"?","")&amp;" AM"&amp;CHAR(10)&amp;INDEX(Settings!$G$7:$G$11,MOD('_Engine'!CH51,10))&amp;IF('_Engine'!CH51&gt;10,"?","")&amp;" PM"))))))))</ns0:f>
        <ns0:v/>
      </ns0:c>
      <ns0:c r="T51" s="164" t="str">
        <ns0:f>IF(OR($A51="",T$11=""),"",IF(OR('_Engine'!$B$6&gt;0,INDEX('_Engine'!$AM$11:$AM$60,'_Engine'!$AO51)&lt;&gt;"OK"),"!",IF(INDEX(Team!$H$11:$N$60,'_Engine'!$AO51,WEEKDAY(T$11,2))&lt;&gt;"Work","—",IF(COUNTIF(Settings!$F$18:$F$67,T$11)&gt;0,"BH",IF('_Engine'!CI51+'_Engine'!CJ51=0,"·",IF('_Engine'!CI51='_Engine'!CJ51,INDEX(Settings!$G$7:$G$11,MOD('_Engine'!CI51,10))&amp;IF('_Engine'!CI51&gt;10,"?",""),IF('_Engine'!CI51=0,INDEX(Settings!$G$7:$G$11,MOD('_Engine'!CJ51,10))&amp;IF('_Engine'!CJ51&gt;10,"?","")&amp;" PM",IF('_Engine'!CJ51=0,INDEX(Settings!$G$7:$G$11,MOD('_Engine'!CI51,10))&amp;IF('_Engine'!CI51&gt;10,"?","")&amp;" AM",INDEX(Settings!$G$7:$G$11,MOD('_Engine'!CI51,10))&amp;IF('_Engine'!CI51&gt;10,"?","")&amp;" AM"&amp;CHAR(10)&amp;INDEX(Settings!$G$7:$G$11,MOD('_Engine'!CJ51,10))&amp;IF('_Engine'!CJ51&gt;10,"?","")&amp;" PM"))))))))</ns0:f>
        <ns0:v/>
      </ns0:c>
      <ns0:c r="U51" s="164" t="str">
        <ns0:f>IF(OR($A51="",U$11=""),"",IF(OR('_Engine'!$B$6&gt;0,INDEX('_Engine'!$AM$11:$AM$60,'_Engine'!$AO51)&lt;&gt;"OK"),"!",IF(INDEX(Team!$H$11:$N$60,'_Engine'!$AO51,WEEKDAY(U$11,2))&lt;&gt;"Work","—",IF(COUNTIF(Settings!$F$18:$F$67,U$11)&gt;0,"BH",IF('_Engine'!CK51+'_Engine'!CL51=0,"·",IF('_Engine'!CK51='_Engine'!CL51,INDEX(Settings!$G$7:$G$11,MOD('_Engine'!CK51,10))&amp;IF('_Engine'!CK51&gt;10,"?",""),IF('_Engine'!CK51=0,INDEX(Settings!$G$7:$G$11,MOD('_Engine'!CL51,10))&amp;IF('_Engine'!CL51&gt;10,"?","")&amp;" PM",IF('_Engine'!CL51=0,INDEX(Settings!$G$7:$G$11,MOD('_Engine'!CK51,10))&amp;IF('_Engine'!CK51&gt;10,"?","")&amp;" AM",INDEX(Settings!$G$7:$G$11,MOD('_Engine'!CK51,10))&amp;IF('_Engine'!CK51&gt;10,"?","")&amp;" AM"&amp;CHAR(10)&amp;INDEX(Settings!$G$7:$G$11,MOD('_Engine'!CL51,10))&amp;IF('_Engine'!CL51&gt;10,"?","")&amp;" PM"))))))))</ns0:f>
        <ns0:v/>
      </ns0:c>
      <ns0:c r="V51" s="164" t="str">
        <ns0:f>IF(OR($A51="",V$11=""),"",IF(OR('_Engine'!$B$6&gt;0,INDEX('_Engine'!$AM$11:$AM$60,'_Engine'!$AO51)&lt;&gt;"OK"),"!",IF(INDEX(Team!$H$11:$N$60,'_Engine'!$AO51,WEEKDAY(V$11,2))&lt;&gt;"Work","—",IF(COUNTIF(Settings!$F$18:$F$67,V$11)&gt;0,"BH",IF('_Engine'!CM51+'_Engine'!CN51=0,"·",IF('_Engine'!CM51='_Engine'!CN51,INDEX(Settings!$G$7:$G$11,MOD('_Engine'!CM51,10))&amp;IF('_Engine'!CM51&gt;10,"?",""),IF('_Engine'!CM51=0,INDEX(Settings!$G$7:$G$11,MOD('_Engine'!CN51,10))&amp;IF('_Engine'!CN51&gt;10,"?","")&amp;" PM",IF('_Engine'!CN51=0,INDEX(Settings!$G$7:$G$11,MOD('_Engine'!CM51,10))&amp;IF('_Engine'!CM51&gt;10,"?","")&amp;" AM",INDEX(Settings!$G$7:$G$11,MOD('_Engine'!CM51,10))&amp;IF('_Engine'!CM51&gt;10,"?","")&amp;" AM"&amp;CHAR(10)&amp;INDEX(Settings!$G$7:$G$11,MOD('_Engine'!CN51,10))&amp;IF('_Engine'!CN51&gt;10,"?","")&amp;" PM"))))))))</ns0:f>
        <ns0:v/>
      </ns0:c>
      <ns0:c r="W51" s="164" t="str">
        <ns0:f>IF(OR($A51="",W$11=""),"",IF(OR('_Engine'!$B$6&gt;0,INDEX('_Engine'!$AM$11:$AM$60,'_Engine'!$AO51)&lt;&gt;"OK"),"!",IF(INDEX(Team!$H$11:$N$60,'_Engine'!$AO51,WEEKDAY(W$11,2))&lt;&gt;"Work","—",IF(COUNTIF(Settings!$F$18:$F$67,W$11)&gt;0,"BH",IF('_Engine'!CO51+'_Engine'!CP51=0,"·",IF('_Engine'!CO51='_Engine'!CP51,INDEX(Settings!$G$7:$G$11,MOD('_Engine'!CO51,10))&amp;IF('_Engine'!CO51&gt;10,"?",""),IF('_Engine'!CO51=0,INDEX(Settings!$G$7:$G$11,MOD('_Engine'!CP51,10))&amp;IF('_Engine'!CP51&gt;10,"?","")&amp;" PM",IF('_Engine'!CP51=0,INDEX(Settings!$G$7:$G$11,MOD('_Engine'!CO51,10))&amp;IF('_Engine'!CO51&gt;10,"?","")&amp;" AM",INDEX(Settings!$G$7:$G$11,MOD('_Engine'!CO51,10))&amp;IF('_Engine'!CO51&gt;10,"?","")&amp;" AM"&amp;CHAR(10)&amp;INDEX(Settings!$G$7:$G$11,MOD('_Engine'!CP51,10))&amp;IF('_Engine'!CP51&gt;10,"?","")&amp;" PM"))))))))</ns0:f>
        <ns0:v/>
      </ns0:c>
      <ns0:c r="X51" s="164" t="str">
        <ns0:f>IF(OR($A51="",X$11=""),"",IF(OR('_Engine'!$B$6&gt;0,INDEX('_Engine'!$AM$11:$AM$60,'_Engine'!$AO51)&lt;&gt;"OK"),"!",IF(INDEX(Team!$H$11:$N$60,'_Engine'!$AO51,WEEKDAY(X$11,2))&lt;&gt;"Work","—",IF(COUNTIF(Settings!$F$18:$F$67,X$11)&gt;0,"BH",IF('_Engine'!CQ51+'_Engine'!CR51=0,"·",IF('_Engine'!CQ51='_Engine'!CR51,INDEX(Settings!$G$7:$G$11,MOD('_Engine'!CQ51,10))&amp;IF('_Engine'!CQ51&gt;10,"?",""),IF('_Engine'!CQ51=0,INDEX(Settings!$G$7:$G$11,MOD('_Engine'!CR51,10))&amp;IF('_Engine'!CR51&gt;10,"?","")&amp;" PM",IF('_Engine'!CR51=0,INDEX(Settings!$G$7:$G$11,MOD('_Engine'!CQ51,10))&amp;IF('_Engine'!CQ51&gt;10,"?","")&amp;" AM",INDEX(Settings!$G$7:$G$11,MOD('_Engine'!CQ51,10))&amp;IF('_Engine'!CQ51&gt;10,"?","")&amp;" AM"&amp;CHAR(10)&amp;INDEX(Settings!$G$7:$G$11,MOD('_Engine'!CR51,10))&amp;IF('_Engine'!CR51&gt;10,"?","")&amp;" PM"))))))))</ns0:f>
        <ns0:v/>
      </ns0:c>
      <ns0:c r="Y51" s="164" t="str">
        <ns0:f>IF(OR($A51="",Y$11=""),"",IF(OR('_Engine'!$B$6&gt;0,INDEX('_Engine'!$AM$11:$AM$60,'_Engine'!$AO51)&lt;&gt;"OK"),"!",IF(INDEX(Team!$H$11:$N$60,'_Engine'!$AO51,WEEKDAY(Y$11,2))&lt;&gt;"Work","—",IF(COUNTIF(Settings!$F$18:$F$67,Y$11)&gt;0,"BH",IF('_Engine'!CS51+'_Engine'!CT51=0,"·",IF('_Engine'!CS51='_Engine'!CT51,INDEX(Settings!$G$7:$G$11,MOD('_Engine'!CS51,10))&amp;IF('_Engine'!CS51&gt;10,"?",""),IF('_Engine'!CS51=0,INDEX(Settings!$G$7:$G$11,MOD('_Engine'!CT51,10))&amp;IF('_Engine'!CT51&gt;10,"?","")&amp;" PM",IF('_Engine'!CT51=0,INDEX(Settings!$G$7:$G$11,MOD('_Engine'!CS51,10))&amp;IF('_Engine'!CS51&gt;10,"?","")&amp;" AM",INDEX(Settings!$G$7:$G$11,MOD('_Engine'!CS51,10))&amp;IF('_Engine'!CS51&gt;10,"?","")&amp;" AM"&amp;CHAR(10)&amp;INDEX(Settings!$G$7:$G$11,MOD('_Engine'!CT51,10))&amp;IF('_Engine'!CT51&gt;10,"?","")&amp;" PM"))))))))</ns0:f>
        <ns0:v/>
      </ns0:c>
      <ns0:c r="Z51" s="164" t="str">
        <ns0:f>IF(OR($A51="",Z$11=""),"",IF(OR('_Engine'!$B$6&gt;0,INDEX('_Engine'!$AM$11:$AM$60,'_Engine'!$AO51)&lt;&gt;"OK"),"!",IF(INDEX(Team!$H$11:$N$60,'_Engine'!$AO51,WEEKDAY(Z$11,2))&lt;&gt;"Work","—",IF(COUNTIF(Settings!$F$18:$F$67,Z$11)&gt;0,"BH",IF('_Engine'!CU51+'_Engine'!CV51=0,"·",IF('_Engine'!CU51='_Engine'!CV51,INDEX(Settings!$G$7:$G$11,MOD('_Engine'!CU51,10))&amp;IF('_Engine'!CU51&gt;10,"?",""),IF('_Engine'!CU51=0,INDEX(Settings!$G$7:$G$11,MOD('_Engine'!CV51,10))&amp;IF('_Engine'!CV51&gt;10,"?","")&amp;" PM",IF('_Engine'!CV51=0,INDEX(Settings!$G$7:$G$11,MOD('_Engine'!CU51,10))&amp;IF('_Engine'!CU51&gt;10,"?","")&amp;" AM",INDEX(Settings!$G$7:$G$11,MOD('_Engine'!CU51,10))&amp;IF('_Engine'!CU51&gt;10,"?","")&amp;" AM"&amp;CHAR(10)&amp;INDEX(Settings!$G$7:$G$11,MOD('_Engine'!CV51,10))&amp;IF('_Engine'!CV51&gt;10,"?","")&amp;" PM"))))))))</ns0:f>
        <ns0:v/>
      </ns0:c>
      <ns0:c r="AA51" s="164" t="str">
        <ns0:f>IF(OR($A51="",AA$11=""),"",IF(OR('_Engine'!$B$6&gt;0,INDEX('_Engine'!$AM$11:$AM$60,'_Engine'!$AO51)&lt;&gt;"OK"),"!",IF(INDEX(Team!$H$11:$N$60,'_Engine'!$AO51,WEEKDAY(AA$11,2))&lt;&gt;"Work","—",IF(COUNTIF(Settings!$F$18:$F$67,AA$11)&gt;0,"BH",IF('_Engine'!CW51+'_Engine'!CX51=0,"·",IF('_Engine'!CW51='_Engine'!CX51,INDEX(Settings!$G$7:$G$11,MOD('_Engine'!CW51,10))&amp;IF('_Engine'!CW51&gt;10,"?",""),IF('_Engine'!CW51=0,INDEX(Settings!$G$7:$G$11,MOD('_Engine'!CX51,10))&amp;IF('_Engine'!CX51&gt;10,"?","")&amp;" PM",IF('_Engine'!CX51=0,INDEX(Settings!$G$7:$G$11,MOD('_Engine'!CW51,10))&amp;IF('_Engine'!CW51&gt;10,"?","")&amp;" AM",INDEX(Settings!$G$7:$G$11,MOD('_Engine'!CW51,10))&amp;IF('_Engine'!CW51&gt;10,"?","")&amp;" AM"&amp;CHAR(10)&amp;INDEX(Settings!$G$7:$G$11,MOD('_Engine'!CX51,10))&amp;IF('_Engine'!CX51&gt;10,"?","")&amp;" PM"))))))))</ns0:f>
        <ns0:v/>
      </ns0:c>
      <ns0:c r="AB51" s="164" t="str">
        <ns0:f>IF(OR($A51="",AB$11=""),"",IF(OR('_Engine'!$B$6&gt;0,INDEX('_Engine'!$AM$11:$AM$60,'_Engine'!$AO51)&lt;&gt;"OK"),"!",IF(INDEX(Team!$H$11:$N$60,'_Engine'!$AO51,WEEKDAY(AB$11,2))&lt;&gt;"Work","—",IF(COUNTIF(Settings!$F$18:$F$67,AB$11)&gt;0,"BH",IF('_Engine'!CY51+'_Engine'!CZ51=0,"·",IF('_Engine'!CY51='_Engine'!CZ51,INDEX(Settings!$G$7:$G$11,MOD('_Engine'!CY51,10))&amp;IF('_Engine'!CY51&gt;10,"?",""),IF('_Engine'!CY51=0,INDEX(Settings!$G$7:$G$11,MOD('_Engine'!CZ51,10))&amp;IF('_Engine'!CZ51&gt;10,"?","")&amp;" PM",IF('_Engine'!CZ51=0,INDEX(Settings!$G$7:$G$11,MOD('_Engine'!CY51,10))&amp;IF('_Engine'!CY51&gt;10,"?","")&amp;" AM",INDEX(Settings!$G$7:$G$11,MOD('_Engine'!CY51,10))&amp;IF('_Engine'!CY51&gt;10,"?","")&amp;" AM"&amp;CHAR(10)&amp;INDEX(Settings!$G$7:$G$11,MOD('_Engine'!CZ51,10))&amp;IF('_Engine'!CZ51&gt;10,"?","")&amp;" PM"))))))))</ns0:f>
        <ns0:v/>
      </ns0:c>
      <ns0:c r="AC51" s="164" t="str">
        <ns0:f>IF(OR($A51="",AC$11=""),"",IF(OR('_Engine'!$B$6&gt;0,INDEX('_Engine'!$AM$11:$AM$60,'_Engine'!$AO51)&lt;&gt;"OK"),"!",IF(INDEX(Team!$H$11:$N$60,'_Engine'!$AO51,WEEKDAY(AC$11,2))&lt;&gt;"Work","—",IF(COUNTIF(Settings!$F$18:$F$67,AC$11)&gt;0,"BH",IF('_Engine'!DA51+'_Engine'!DB51=0,"·",IF('_Engine'!DA51='_Engine'!DB51,INDEX(Settings!$G$7:$G$11,MOD('_Engine'!DA51,10))&amp;IF('_Engine'!DA51&gt;10,"?",""),IF('_Engine'!DA51=0,INDEX(Settings!$G$7:$G$11,MOD('_Engine'!DB51,10))&amp;IF('_Engine'!DB51&gt;10,"?","")&amp;" PM",IF('_Engine'!DB51=0,INDEX(Settings!$G$7:$G$11,MOD('_Engine'!DA51,10))&amp;IF('_Engine'!DA51&gt;10,"?","")&amp;" AM",INDEX(Settings!$G$7:$G$11,MOD('_Engine'!DA51,10))&amp;IF('_Engine'!DA51&gt;10,"?","")&amp;" AM"&amp;CHAR(10)&amp;INDEX(Settings!$G$7:$G$11,MOD('_Engine'!DB51,10))&amp;IF('_Engine'!DB51&gt;10,"?","")&amp;" PM"))))))))</ns0:f>
        <ns0:v/>
      </ns0:c>
      <ns0:c r="AD51" s="164" t="str">
        <ns0:f>IF(OR($A51="",AD$11=""),"",IF(OR('_Engine'!$B$6&gt;0,INDEX('_Engine'!$AM$11:$AM$60,'_Engine'!$AO51)&lt;&gt;"OK"),"!",IF(INDEX(Team!$H$11:$N$60,'_Engine'!$AO51,WEEKDAY(AD$11,2))&lt;&gt;"Work","—",IF(COUNTIF(Settings!$F$18:$F$67,AD$11)&gt;0,"BH",IF('_Engine'!DC51+'_Engine'!DD51=0,"·",IF('_Engine'!DC51='_Engine'!DD51,INDEX(Settings!$G$7:$G$11,MOD('_Engine'!DC51,10))&amp;IF('_Engine'!DC51&gt;10,"?",""),IF('_Engine'!DC51=0,INDEX(Settings!$G$7:$G$11,MOD('_Engine'!DD51,10))&amp;IF('_Engine'!DD51&gt;10,"?","")&amp;" PM",IF('_Engine'!DD51=0,INDEX(Settings!$G$7:$G$11,MOD('_Engine'!DC51,10))&amp;IF('_Engine'!DC51&gt;10,"?","")&amp;" AM",INDEX(Settings!$G$7:$G$11,MOD('_Engine'!DC51,10))&amp;IF('_Engine'!DC51&gt;10,"?","")&amp;" AM"&amp;CHAR(10)&amp;INDEX(Settings!$G$7:$G$11,MOD('_Engine'!DD51,10))&amp;IF('_Engine'!DD51&gt;10,"?","")&amp;" PM"))))))))</ns0:f>
        <ns0:v/>
      </ns0:c>
      <ns0:c r="AE51" s="164" t="str">
        <ns0:f>IF(OR($A51="",AE$11=""),"",IF(OR('_Engine'!$B$6&gt;0,INDEX('_Engine'!$AM$11:$AM$60,'_Engine'!$AO51)&lt;&gt;"OK"),"!",IF(INDEX(Team!$H$11:$N$60,'_Engine'!$AO51,WEEKDAY(AE$11,2))&lt;&gt;"Work","—",IF(COUNTIF(Settings!$F$18:$F$67,AE$11)&gt;0,"BH",IF('_Engine'!DE51+'_Engine'!DF51=0,"·",IF('_Engine'!DE51='_Engine'!DF51,INDEX(Settings!$G$7:$G$11,MOD('_Engine'!DE51,10))&amp;IF('_Engine'!DE51&gt;10,"?",""),IF('_Engine'!DE51=0,INDEX(Settings!$G$7:$G$11,MOD('_Engine'!DF51,10))&amp;IF('_Engine'!DF51&gt;10,"?","")&amp;" PM",IF('_Engine'!DF51=0,INDEX(Settings!$G$7:$G$11,MOD('_Engine'!DE51,10))&amp;IF('_Engine'!DE51&gt;10,"?","")&amp;" AM",INDEX(Settings!$G$7:$G$11,MOD('_Engine'!DE51,10))&amp;IF('_Engine'!DE51&gt;10,"?","")&amp;" AM"&amp;CHAR(10)&amp;INDEX(Settings!$G$7:$G$11,MOD('_Engine'!DF51,10))&amp;IF('_Engine'!DF51&gt;10,"?","")&amp;" PM"))))))))</ns0:f>
        <ns0:v/>
      </ns0:c>
      <ns0:c r="AF51" s="164" t="str">
        <ns0:f>IF(OR($A51="",AF$11=""),"",IF(OR('_Engine'!$B$6&gt;0,INDEX('_Engine'!$AM$11:$AM$60,'_Engine'!$AO51)&lt;&gt;"OK"),"!",IF(INDEX(Team!$H$11:$N$60,'_Engine'!$AO51,WEEKDAY(AF$11,2))&lt;&gt;"Work","—",IF(COUNTIF(Settings!$F$18:$F$67,AF$11)&gt;0,"BH",IF('_Engine'!DG51+'_Engine'!DH51=0,"·",IF('_Engine'!DG51='_Engine'!DH51,INDEX(Settings!$G$7:$G$11,MOD('_Engine'!DG51,10))&amp;IF('_Engine'!DG51&gt;10,"?",""),IF('_Engine'!DG51=0,INDEX(Settings!$G$7:$G$11,MOD('_Engine'!DH51,10))&amp;IF('_Engine'!DH51&gt;10,"?","")&amp;" PM",IF('_Engine'!DH51=0,INDEX(Settings!$G$7:$G$11,MOD('_Engine'!DG51,10))&amp;IF('_Engine'!DG51&gt;10,"?","")&amp;" AM",INDEX(Settings!$G$7:$G$11,MOD('_Engine'!DG51,10))&amp;IF('_Engine'!DG51&gt;10,"?","")&amp;" AM"&amp;CHAR(10)&amp;INDEX(Settings!$G$7:$G$11,MOD('_Engine'!DH51,10))&amp;IF('_Engine'!DH51&gt;10,"?","")&amp;" PM"))))))))</ns0:f>
        <ns0:v/>
      </ns0:c>
      <ns0:c r="AG51" s="164" t="str">
        <ns0:f>IF(OR($A51="",AG$11=""),"",IF(OR('_Engine'!$B$6&gt;0,INDEX('_Engine'!$AM$11:$AM$60,'_Engine'!$AO51)&lt;&gt;"OK"),"!",IF(INDEX(Team!$H$11:$N$60,'_Engine'!$AO51,WEEKDAY(AG$11,2))&lt;&gt;"Work","—",IF(COUNTIF(Settings!$F$18:$F$67,AG$11)&gt;0,"BH",IF('_Engine'!DI51+'_Engine'!DJ51=0,"·",IF('_Engine'!DI51='_Engine'!DJ51,INDEX(Settings!$G$7:$G$11,MOD('_Engine'!DI51,10))&amp;IF('_Engine'!DI51&gt;10,"?",""),IF('_Engine'!DI51=0,INDEX(Settings!$G$7:$G$11,MOD('_Engine'!DJ51,10))&amp;IF('_Engine'!DJ51&gt;10,"?","")&amp;" PM",IF('_Engine'!DJ51=0,INDEX(Settings!$G$7:$G$11,MOD('_Engine'!DI51,10))&amp;IF('_Engine'!DI51&gt;10,"?","")&amp;" AM",INDEX(Settings!$G$7:$G$11,MOD('_Engine'!DI51,10))&amp;IF('_Engine'!DI51&gt;10,"?","")&amp;" AM"&amp;CHAR(10)&amp;INDEX(Settings!$G$7:$G$11,MOD('_Engine'!DJ51,10))&amp;IF('_Engine'!DJ51&gt;10,"?","")&amp;" PM"))))))))</ns0:f>
        <ns0:v/>
      </ns0:c>
      <ns0:c r="AH51" s="164" t="str">
        <ns0:f>IF(OR($A51="",AH$11=""),"",IF(OR('_Engine'!$B$6&gt;0,INDEX('_Engine'!$AM$11:$AM$60,'_Engine'!$AO51)&lt;&gt;"OK"),"!",IF(INDEX(Team!$H$11:$N$60,'_Engine'!$AO51,WEEKDAY(AH$11,2))&lt;&gt;"Work","—",IF(COUNTIF(Settings!$F$18:$F$67,AH$11)&gt;0,"BH",IF('_Engine'!DK51+'_Engine'!DL51=0,"·",IF('_Engine'!DK51='_Engine'!DL51,INDEX(Settings!$G$7:$G$11,MOD('_Engine'!DK51,10))&amp;IF('_Engine'!DK51&gt;10,"?",""),IF('_Engine'!DK51=0,INDEX(Settings!$G$7:$G$11,MOD('_Engine'!DL51,10))&amp;IF('_Engine'!DL51&gt;10,"?","")&amp;" PM",IF('_Engine'!DL51=0,INDEX(Settings!$G$7:$G$11,MOD('_Engine'!DK51,10))&amp;IF('_Engine'!DK51&gt;10,"?","")&amp;" AM",INDEX(Settings!$G$7:$G$11,MOD('_Engine'!DK51,10))&amp;IF('_Engine'!DK51&gt;10,"?","")&amp;" AM"&amp;CHAR(10)&amp;INDEX(Settings!$G$7:$G$11,MOD('_Engine'!DL51,10))&amp;IF('_Engine'!DL51&gt;10,"?","")&amp;" PM"))))))))</ns0:f>
        <ns0:v/>
      </ns0:c>
    </ns0:row>
    <ns0:row r="52" ht="38" customHeight="1">
      <ns0:c r="A52" s="4" t="str">
        <ns0:f>IF('_Engine'!AO52=0,"",IF(INDEX(Team!$B$11:$B$60,'_Engine'!AO52)="","[Unnamed]",INDEX(Team!$B$11:$B$60,'_Engine'!AO52)))</ns0:f>
        <ns0:v/>
      </ns0:c>
      <ns0:c r="B52" s="156" t="str">
        <ns0:f>IF('_Engine'!AO52=0,"",INDEX('_Engine'!$AN$11:$AN$60,'_Engine'!AO52))</ns0:f>
        <ns0:v/>
      </ns0:c>
      <ns0:c r="C52" s="4" t="str">
        <ns0:f>IF('_Engine'!AO52=0,"",INDEX(Team!$C$11:$C$60,'_Engine'!AO52))</ns0:f>
        <ns0:v/>
      </ns0:c>
      <ns0:c r="D52" s="162" t="str">
        <ns0:f>IF(OR($A52="",D$11=""),"",IF(OR('_Engine'!$B$6&gt;0,INDEX('_Engine'!$AM$11:$AM$60,'_Engine'!$AO52)&lt;&gt;"OK"),"!",IF(INDEX(Team!$H$11:$N$60,'_Engine'!$AO52,WEEKDAY(D$11,2))&lt;&gt;"Work","—",IF(COUNTIF(Settings!$F$18:$F$67,D$11)&gt;0,"BH",IF('_Engine'!BC52+'_Engine'!BD52=0,"·",IF('_Engine'!BC52='_Engine'!BD52,INDEX(Settings!$G$7:$G$11,MOD('_Engine'!BC52,10))&amp;IF('_Engine'!BC52&gt;10,"?",""),IF('_Engine'!BC52=0,INDEX(Settings!$G$7:$G$11,MOD('_Engine'!BD52,10))&amp;IF('_Engine'!BD52&gt;10,"?","")&amp;" PM",IF('_Engine'!BD52=0,INDEX(Settings!$G$7:$G$11,MOD('_Engine'!BC52,10))&amp;IF('_Engine'!BC52&gt;10,"?","")&amp;" AM",INDEX(Settings!$G$7:$G$11,MOD('_Engine'!BC52,10))&amp;IF('_Engine'!BC52&gt;10,"?","")&amp;" AM"&amp;CHAR(10)&amp;INDEX(Settings!$G$7:$G$11,MOD('_Engine'!BD52,10))&amp;IF('_Engine'!BD52&gt;10,"?","")&amp;" PM"))))))))</ns0:f>
        <ns0:v/>
      </ns0:c>
      <ns0:c r="E52" s="162" t="str">
        <ns0:f>IF(OR($A52="",E$11=""),"",IF(OR('_Engine'!$B$6&gt;0,INDEX('_Engine'!$AM$11:$AM$60,'_Engine'!$AO52)&lt;&gt;"OK"),"!",IF(INDEX(Team!$H$11:$N$60,'_Engine'!$AO52,WEEKDAY(E$11,2))&lt;&gt;"Work","—",IF(COUNTIF(Settings!$F$18:$F$67,E$11)&gt;0,"BH",IF('_Engine'!BE52+'_Engine'!BF52=0,"·",IF('_Engine'!BE52='_Engine'!BF52,INDEX(Settings!$G$7:$G$11,MOD('_Engine'!BE52,10))&amp;IF('_Engine'!BE52&gt;10,"?",""),IF('_Engine'!BE52=0,INDEX(Settings!$G$7:$G$11,MOD('_Engine'!BF52,10))&amp;IF('_Engine'!BF52&gt;10,"?","")&amp;" PM",IF('_Engine'!BF52=0,INDEX(Settings!$G$7:$G$11,MOD('_Engine'!BE52,10))&amp;IF('_Engine'!BE52&gt;10,"?","")&amp;" AM",INDEX(Settings!$G$7:$G$11,MOD('_Engine'!BE52,10))&amp;IF('_Engine'!BE52&gt;10,"?","")&amp;" AM"&amp;CHAR(10)&amp;INDEX(Settings!$G$7:$G$11,MOD('_Engine'!BF52,10))&amp;IF('_Engine'!BF52&gt;10,"?","")&amp;" PM"))))))))</ns0:f>
        <ns0:v/>
      </ns0:c>
      <ns0:c r="F52" s="162" t="str">
        <ns0:f>IF(OR($A52="",F$11=""),"",IF(OR('_Engine'!$B$6&gt;0,INDEX('_Engine'!$AM$11:$AM$60,'_Engine'!$AO52)&lt;&gt;"OK"),"!",IF(INDEX(Team!$H$11:$N$60,'_Engine'!$AO52,WEEKDAY(F$11,2))&lt;&gt;"Work","—",IF(COUNTIF(Settings!$F$18:$F$67,F$11)&gt;0,"BH",IF('_Engine'!BG52+'_Engine'!BH52=0,"·",IF('_Engine'!BG52='_Engine'!BH52,INDEX(Settings!$G$7:$G$11,MOD('_Engine'!BG52,10))&amp;IF('_Engine'!BG52&gt;10,"?",""),IF('_Engine'!BG52=0,INDEX(Settings!$G$7:$G$11,MOD('_Engine'!BH52,10))&amp;IF('_Engine'!BH52&gt;10,"?","")&amp;" PM",IF('_Engine'!BH52=0,INDEX(Settings!$G$7:$G$11,MOD('_Engine'!BG52,10))&amp;IF('_Engine'!BG52&gt;10,"?","")&amp;" AM",INDEX(Settings!$G$7:$G$11,MOD('_Engine'!BG52,10))&amp;IF('_Engine'!BG52&gt;10,"?","")&amp;" AM"&amp;CHAR(10)&amp;INDEX(Settings!$G$7:$G$11,MOD('_Engine'!BH52,10))&amp;IF('_Engine'!BH52&gt;10,"?","")&amp;" PM"))))))))</ns0:f>
        <ns0:v/>
      </ns0:c>
      <ns0:c r="G52" s="162" t="str">
        <ns0:f>IF(OR($A52="",G$11=""),"",IF(OR('_Engine'!$B$6&gt;0,INDEX('_Engine'!$AM$11:$AM$60,'_Engine'!$AO52)&lt;&gt;"OK"),"!",IF(INDEX(Team!$H$11:$N$60,'_Engine'!$AO52,WEEKDAY(G$11,2))&lt;&gt;"Work","—",IF(COUNTIF(Settings!$F$18:$F$67,G$11)&gt;0,"BH",IF('_Engine'!BI52+'_Engine'!BJ52=0,"·",IF('_Engine'!BI52='_Engine'!BJ52,INDEX(Settings!$G$7:$G$11,MOD('_Engine'!BI52,10))&amp;IF('_Engine'!BI52&gt;10,"?",""),IF('_Engine'!BI52=0,INDEX(Settings!$G$7:$G$11,MOD('_Engine'!BJ52,10))&amp;IF('_Engine'!BJ52&gt;10,"?","")&amp;" PM",IF('_Engine'!BJ52=0,INDEX(Settings!$G$7:$G$11,MOD('_Engine'!BI52,10))&amp;IF('_Engine'!BI52&gt;10,"?","")&amp;" AM",INDEX(Settings!$G$7:$G$11,MOD('_Engine'!BI52,10))&amp;IF('_Engine'!BI52&gt;10,"?","")&amp;" AM"&amp;CHAR(10)&amp;INDEX(Settings!$G$7:$G$11,MOD('_Engine'!BJ52,10))&amp;IF('_Engine'!BJ52&gt;10,"?","")&amp;" PM"))))))))</ns0:f>
        <ns0:v/>
      </ns0:c>
      <ns0:c r="H52" s="162" t="str">
        <ns0:f>IF(OR($A52="",H$11=""),"",IF(OR('_Engine'!$B$6&gt;0,INDEX('_Engine'!$AM$11:$AM$60,'_Engine'!$AO52)&lt;&gt;"OK"),"!",IF(INDEX(Team!$H$11:$N$60,'_Engine'!$AO52,WEEKDAY(H$11,2))&lt;&gt;"Work","—",IF(COUNTIF(Settings!$F$18:$F$67,H$11)&gt;0,"BH",IF('_Engine'!BK52+'_Engine'!BL52=0,"·",IF('_Engine'!BK52='_Engine'!BL52,INDEX(Settings!$G$7:$G$11,MOD('_Engine'!BK52,10))&amp;IF('_Engine'!BK52&gt;10,"?",""),IF('_Engine'!BK52=0,INDEX(Settings!$G$7:$G$11,MOD('_Engine'!BL52,10))&amp;IF('_Engine'!BL52&gt;10,"?","")&amp;" PM",IF('_Engine'!BL52=0,INDEX(Settings!$G$7:$G$11,MOD('_Engine'!BK52,10))&amp;IF('_Engine'!BK52&gt;10,"?","")&amp;" AM",INDEX(Settings!$G$7:$G$11,MOD('_Engine'!BK52,10))&amp;IF('_Engine'!BK52&gt;10,"?","")&amp;" AM"&amp;CHAR(10)&amp;INDEX(Settings!$G$7:$G$11,MOD('_Engine'!BL52,10))&amp;IF('_Engine'!BL52&gt;10,"?","")&amp;" PM"))))))))</ns0:f>
        <ns0:v/>
      </ns0:c>
      <ns0:c r="I52" s="162" t="str">
        <ns0:f>IF(OR($A52="",I$11=""),"",IF(OR('_Engine'!$B$6&gt;0,INDEX('_Engine'!$AM$11:$AM$60,'_Engine'!$AO52)&lt;&gt;"OK"),"!",IF(INDEX(Team!$H$11:$N$60,'_Engine'!$AO52,WEEKDAY(I$11,2))&lt;&gt;"Work","—",IF(COUNTIF(Settings!$F$18:$F$67,I$11)&gt;0,"BH",IF('_Engine'!BM52+'_Engine'!BN52=0,"·",IF('_Engine'!BM52='_Engine'!BN52,INDEX(Settings!$G$7:$G$11,MOD('_Engine'!BM52,10))&amp;IF('_Engine'!BM52&gt;10,"?",""),IF('_Engine'!BM52=0,INDEX(Settings!$G$7:$G$11,MOD('_Engine'!BN52,10))&amp;IF('_Engine'!BN52&gt;10,"?","")&amp;" PM",IF('_Engine'!BN52=0,INDEX(Settings!$G$7:$G$11,MOD('_Engine'!BM52,10))&amp;IF('_Engine'!BM52&gt;10,"?","")&amp;" AM",INDEX(Settings!$G$7:$G$11,MOD('_Engine'!BM52,10))&amp;IF('_Engine'!BM52&gt;10,"?","")&amp;" AM"&amp;CHAR(10)&amp;INDEX(Settings!$G$7:$G$11,MOD('_Engine'!BN52,10))&amp;IF('_Engine'!BN52&gt;10,"?","")&amp;" PM"))))))))</ns0:f>
        <ns0:v/>
      </ns0:c>
      <ns0:c r="J52" s="162" t="str">
        <ns0:f>IF(OR($A52="",J$11=""),"",IF(OR('_Engine'!$B$6&gt;0,INDEX('_Engine'!$AM$11:$AM$60,'_Engine'!$AO52)&lt;&gt;"OK"),"!",IF(INDEX(Team!$H$11:$N$60,'_Engine'!$AO52,WEEKDAY(J$11,2))&lt;&gt;"Work","—",IF(COUNTIF(Settings!$F$18:$F$67,J$11)&gt;0,"BH",IF('_Engine'!BO52+'_Engine'!BP52=0,"·",IF('_Engine'!BO52='_Engine'!BP52,INDEX(Settings!$G$7:$G$11,MOD('_Engine'!BO52,10))&amp;IF('_Engine'!BO52&gt;10,"?",""),IF('_Engine'!BO52=0,INDEX(Settings!$G$7:$G$11,MOD('_Engine'!BP52,10))&amp;IF('_Engine'!BP52&gt;10,"?","")&amp;" PM",IF('_Engine'!BP52=0,INDEX(Settings!$G$7:$G$11,MOD('_Engine'!BO52,10))&amp;IF('_Engine'!BO52&gt;10,"?","")&amp;" AM",INDEX(Settings!$G$7:$G$11,MOD('_Engine'!BO52,10))&amp;IF('_Engine'!BO52&gt;10,"?","")&amp;" AM"&amp;CHAR(10)&amp;INDEX(Settings!$G$7:$G$11,MOD('_Engine'!BP52,10))&amp;IF('_Engine'!BP52&gt;10,"?","")&amp;" PM"))))))))</ns0:f>
        <ns0:v/>
      </ns0:c>
      <ns0:c r="K52" s="164" t="str">
        <ns0:f>IF(OR($A52="",K$11=""),"",IF(OR('_Engine'!$B$6&gt;0,INDEX('_Engine'!$AM$11:$AM$60,'_Engine'!$AO52)&lt;&gt;"OK"),"!",IF(INDEX(Team!$H$11:$N$60,'_Engine'!$AO52,WEEKDAY(K$11,2))&lt;&gt;"Work","—",IF(COUNTIF(Settings!$F$18:$F$67,K$11)&gt;0,"BH",IF('_Engine'!BQ52+'_Engine'!BR52=0,"·",IF('_Engine'!BQ52='_Engine'!BR52,INDEX(Settings!$G$7:$G$11,MOD('_Engine'!BQ52,10))&amp;IF('_Engine'!BQ52&gt;10,"?",""),IF('_Engine'!BQ52=0,INDEX(Settings!$G$7:$G$11,MOD('_Engine'!BR52,10))&amp;IF('_Engine'!BR52&gt;10,"?","")&amp;" PM",IF('_Engine'!BR52=0,INDEX(Settings!$G$7:$G$11,MOD('_Engine'!BQ52,10))&amp;IF('_Engine'!BQ52&gt;10,"?","")&amp;" AM",INDEX(Settings!$G$7:$G$11,MOD('_Engine'!BQ52,10))&amp;IF('_Engine'!BQ52&gt;10,"?","")&amp;" AM"&amp;CHAR(10)&amp;INDEX(Settings!$G$7:$G$11,MOD('_Engine'!BR52,10))&amp;IF('_Engine'!BR52&gt;10,"?","")&amp;" PM"))))))))</ns0:f>
        <ns0:v/>
      </ns0:c>
      <ns0:c r="L52" s="164" t="str">
        <ns0:f>IF(OR($A52="",L$11=""),"",IF(OR('_Engine'!$B$6&gt;0,INDEX('_Engine'!$AM$11:$AM$60,'_Engine'!$AO52)&lt;&gt;"OK"),"!",IF(INDEX(Team!$H$11:$N$60,'_Engine'!$AO52,WEEKDAY(L$11,2))&lt;&gt;"Work","—",IF(COUNTIF(Settings!$F$18:$F$67,L$11)&gt;0,"BH",IF('_Engine'!BS52+'_Engine'!BT52=0,"·",IF('_Engine'!BS52='_Engine'!BT52,INDEX(Settings!$G$7:$G$11,MOD('_Engine'!BS52,10))&amp;IF('_Engine'!BS52&gt;10,"?",""),IF('_Engine'!BS52=0,INDEX(Settings!$G$7:$G$11,MOD('_Engine'!BT52,10))&amp;IF('_Engine'!BT52&gt;10,"?","")&amp;" PM",IF('_Engine'!BT52=0,INDEX(Settings!$G$7:$G$11,MOD('_Engine'!BS52,10))&amp;IF('_Engine'!BS52&gt;10,"?","")&amp;" AM",INDEX(Settings!$G$7:$G$11,MOD('_Engine'!BS52,10))&amp;IF('_Engine'!BS52&gt;10,"?","")&amp;" AM"&amp;CHAR(10)&amp;INDEX(Settings!$G$7:$G$11,MOD('_Engine'!BT52,10))&amp;IF('_Engine'!BT52&gt;10,"?","")&amp;" PM"))))))))</ns0:f>
        <ns0:v/>
      </ns0:c>
      <ns0:c r="M52" s="164" t="str">
        <ns0:f>IF(OR($A52="",M$11=""),"",IF(OR('_Engine'!$B$6&gt;0,INDEX('_Engine'!$AM$11:$AM$60,'_Engine'!$AO52)&lt;&gt;"OK"),"!",IF(INDEX(Team!$H$11:$N$60,'_Engine'!$AO52,WEEKDAY(M$11,2))&lt;&gt;"Work","—",IF(COUNTIF(Settings!$F$18:$F$67,M$11)&gt;0,"BH",IF('_Engine'!BU52+'_Engine'!BV52=0,"·",IF('_Engine'!BU52='_Engine'!BV52,INDEX(Settings!$G$7:$G$11,MOD('_Engine'!BU52,10))&amp;IF('_Engine'!BU52&gt;10,"?",""),IF('_Engine'!BU52=0,INDEX(Settings!$G$7:$G$11,MOD('_Engine'!BV52,10))&amp;IF('_Engine'!BV52&gt;10,"?","")&amp;" PM",IF('_Engine'!BV52=0,INDEX(Settings!$G$7:$G$11,MOD('_Engine'!BU52,10))&amp;IF('_Engine'!BU52&gt;10,"?","")&amp;" AM",INDEX(Settings!$G$7:$G$11,MOD('_Engine'!BU52,10))&amp;IF('_Engine'!BU52&gt;10,"?","")&amp;" AM"&amp;CHAR(10)&amp;INDEX(Settings!$G$7:$G$11,MOD('_Engine'!BV52,10))&amp;IF('_Engine'!BV52&gt;10,"?","")&amp;" PM"))))))))</ns0:f>
        <ns0:v/>
      </ns0:c>
      <ns0:c r="N52" s="164" t="str">
        <ns0:f>IF(OR($A52="",N$11=""),"",IF(OR('_Engine'!$B$6&gt;0,INDEX('_Engine'!$AM$11:$AM$60,'_Engine'!$AO52)&lt;&gt;"OK"),"!",IF(INDEX(Team!$H$11:$N$60,'_Engine'!$AO52,WEEKDAY(N$11,2))&lt;&gt;"Work","—",IF(COUNTIF(Settings!$F$18:$F$67,N$11)&gt;0,"BH",IF('_Engine'!BW52+'_Engine'!BX52=0,"·",IF('_Engine'!BW52='_Engine'!BX52,INDEX(Settings!$G$7:$G$11,MOD('_Engine'!BW52,10))&amp;IF('_Engine'!BW52&gt;10,"?",""),IF('_Engine'!BW52=0,INDEX(Settings!$G$7:$G$11,MOD('_Engine'!BX52,10))&amp;IF('_Engine'!BX52&gt;10,"?","")&amp;" PM",IF('_Engine'!BX52=0,INDEX(Settings!$G$7:$G$11,MOD('_Engine'!BW52,10))&amp;IF('_Engine'!BW52&gt;10,"?","")&amp;" AM",INDEX(Settings!$G$7:$G$11,MOD('_Engine'!BW52,10))&amp;IF('_Engine'!BW52&gt;10,"?","")&amp;" AM"&amp;CHAR(10)&amp;INDEX(Settings!$G$7:$G$11,MOD('_Engine'!BX52,10))&amp;IF('_Engine'!BX52&gt;10,"?","")&amp;" PM"))))))))</ns0:f>
        <ns0:v/>
      </ns0:c>
      <ns0:c r="O52" s="164" t="str">
        <ns0:f>IF(OR($A52="",O$11=""),"",IF(OR('_Engine'!$B$6&gt;0,INDEX('_Engine'!$AM$11:$AM$60,'_Engine'!$AO52)&lt;&gt;"OK"),"!",IF(INDEX(Team!$H$11:$N$60,'_Engine'!$AO52,WEEKDAY(O$11,2))&lt;&gt;"Work","—",IF(COUNTIF(Settings!$F$18:$F$67,O$11)&gt;0,"BH",IF('_Engine'!BY52+'_Engine'!BZ52=0,"·",IF('_Engine'!BY52='_Engine'!BZ52,INDEX(Settings!$G$7:$G$11,MOD('_Engine'!BY52,10))&amp;IF('_Engine'!BY52&gt;10,"?",""),IF('_Engine'!BY52=0,INDEX(Settings!$G$7:$G$11,MOD('_Engine'!BZ52,10))&amp;IF('_Engine'!BZ52&gt;10,"?","")&amp;" PM",IF('_Engine'!BZ52=0,INDEX(Settings!$G$7:$G$11,MOD('_Engine'!BY52,10))&amp;IF('_Engine'!BY52&gt;10,"?","")&amp;" AM",INDEX(Settings!$G$7:$G$11,MOD('_Engine'!BY52,10))&amp;IF('_Engine'!BY52&gt;10,"?","")&amp;" AM"&amp;CHAR(10)&amp;INDEX(Settings!$G$7:$G$11,MOD('_Engine'!BZ52,10))&amp;IF('_Engine'!BZ52&gt;10,"?","")&amp;" PM"))))))))</ns0:f>
        <ns0:v/>
      </ns0:c>
      <ns0:c r="P52" s="164" t="str">
        <ns0:f>IF(OR($A52="",P$11=""),"",IF(OR('_Engine'!$B$6&gt;0,INDEX('_Engine'!$AM$11:$AM$60,'_Engine'!$AO52)&lt;&gt;"OK"),"!",IF(INDEX(Team!$H$11:$N$60,'_Engine'!$AO52,WEEKDAY(P$11,2))&lt;&gt;"Work","—",IF(COUNTIF(Settings!$F$18:$F$67,P$11)&gt;0,"BH",IF('_Engine'!CA52+'_Engine'!CB52=0,"·",IF('_Engine'!CA52='_Engine'!CB52,INDEX(Settings!$G$7:$G$11,MOD('_Engine'!CA52,10))&amp;IF('_Engine'!CA52&gt;10,"?",""),IF('_Engine'!CA52=0,INDEX(Settings!$G$7:$G$11,MOD('_Engine'!CB52,10))&amp;IF('_Engine'!CB52&gt;10,"?","")&amp;" PM",IF('_Engine'!CB52=0,INDEX(Settings!$G$7:$G$11,MOD('_Engine'!CA52,10))&amp;IF('_Engine'!CA52&gt;10,"?","")&amp;" AM",INDEX(Settings!$G$7:$G$11,MOD('_Engine'!CA52,10))&amp;IF('_Engine'!CA52&gt;10,"?","")&amp;" AM"&amp;CHAR(10)&amp;INDEX(Settings!$G$7:$G$11,MOD('_Engine'!CB52,10))&amp;IF('_Engine'!CB52&gt;10,"?","")&amp;" PM"))))))))</ns0:f>
        <ns0:v/>
      </ns0:c>
      <ns0:c r="Q52" s="164" t="str">
        <ns0:f>IF(OR($A52="",Q$11=""),"",IF(OR('_Engine'!$B$6&gt;0,INDEX('_Engine'!$AM$11:$AM$60,'_Engine'!$AO52)&lt;&gt;"OK"),"!",IF(INDEX(Team!$H$11:$N$60,'_Engine'!$AO52,WEEKDAY(Q$11,2))&lt;&gt;"Work","—",IF(COUNTIF(Settings!$F$18:$F$67,Q$11)&gt;0,"BH",IF('_Engine'!CC52+'_Engine'!CD52=0,"·",IF('_Engine'!CC52='_Engine'!CD52,INDEX(Settings!$G$7:$G$11,MOD('_Engine'!CC52,10))&amp;IF('_Engine'!CC52&gt;10,"?",""),IF('_Engine'!CC52=0,INDEX(Settings!$G$7:$G$11,MOD('_Engine'!CD52,10))&amp;IF('_Engine'!CD52&gt;10,"?","")&amp;" PM",IF('_Engine'!CD52=0,INDEX(Settings!$G$7:$G$11,MOD('_Engine'!CC52,10))&amp;IF('_Engine'!CC52&gt;10,"?","")&amp;" AM",INDEX(Settings!$G$7:$G$11,MOD('_Engine'!CC52,10))&amp;IF('_Engine'!CC52&gt;10,"?","")&amp;" AM"&amp;CHAR(10)&amp;INDEX(Settings!$G$7:$G$11,MOD('_Engine'!CD52,10))&amp;IF('_Engine'!CD52&gt;10,"?","")&amp;" PM"))))))))</ns0:f>
        <ns0:v/>
      </ns0:c>
      <ns0:c r="R52" s="164" t="str">
        <ns0:f>IF(OR($A52="",R$11=""),"",IF(OR('_Engine'!$B$6&gt;0,INDEX('_Engine'!$AM$11:$AM$60,'_Engine'!$AO52)&lt;&gt;"OK"),"!",IF(INDEX(Team!$H$11:$N$60,'_Engine'!$AO52,WEEKDAY(R$11,2))&lt;&gt;"Work","—",IF(COUNTIF(Settings!$F$18:$F$67,R$11)&gt;0,"BH",IF('_Engine'!CE52+'_Engine'!CF52=0,"·",IF('_Engine'!CE52='_Engine'!CF52,INDEX(Settings!$G$7:$G$11,MOD('_Engine'!CE52,10))&amp;IF('_Engine'!CE52&gt;10,"?",""),IF('_Engine'!CE52=0,INDEX(Settings!$G$7:$G$11,MOD('_Engine'!CF52,10))&amp;IF('_Engine'!CF52&gt;10,"?","")&amp;" PM",IF('_Engine'!CF52=0,INDEX(Settings!$G$7:$G$11,MOD('_Engine'!CE52,10))&amp;IF('_Engine'!CE52&gt;10,"?","")&amp;" AM",INDEX(Settings!$G$7:$G$11,MOD('_Engine'!CE52,10))&amp;IF('_Engine'!CE52&gt;10,"?","")&amp;" AM"&amp;CHAR(10)&amp;INDEX(Settings!$G$7:$G$11,MOD('_Engine'!CF52,10))&amp;IF('_Engine'!CF52&gt;10,"?","")&amp;" PM"))))))))</ns0:f>
        <ns0:v/>
      </ns0:c>
      <ns0:c r="S52" s="164" t="str">
        <ns0:f>IF(OR($A52="",S$11=""),"",IF(OR('_Engine'!$B$6&gt;0,INDEX('_Engine'!$AM$11:$AM$60,'_Engine'!$AO52)&lt;&gt;"OK"),"!",IF(INDEX(Team!$H$11:$N$60,'_Engine'!$AO52,WEEKDAY(S$11,2))&lt;&gt;"Work","—",IF(COUNTIF(Settings!$F$18:$F$67,S$11)&gt;0,"BH",IF('_Engine'!CG52+'_Engine'!CH52=0,"·",IF('_Engine'!CG52='_Engine'!CH52,INDEX(Settings!$G$7:$G$11,MOD('_Engine'!CG52,10))&amp;IF('_Engine'!CG52&gt;10,"?",""),IF('_Engine'!CG52=0,INDEX(Settings!$G$7:$G$11,MOD('_Engine'!CH52,10))&amp;IF('_Engine'!CH52&gt;10,"?","")&amp;" PM",IF('_Engine'!CH52=0,INDEX(Settings!$G$7:$G$11,MOD('_Engine'!CG52,10))&amp;IF('_Engine'!CG52&gt;10,"?","")&amp;" AM",INDEX(Settings!$G$7:$G$11,MOD('_Engine'!CG52,10))&amp;IF('_Engine'!CG52&gt;10,"?","")&amp;" AM"&amp;CHAR(10)&amp;INDEX(Settings!$G$7:$G$11,MOD('_Engine'!CH52,10))&amp;IF('_Engine'!CH52&gt;10,"?","")&amp;" PM"))))))))</ns0:f>
        <ns0:v/>
      </ns0:c>
      <ns0:c r="T52" s="164" t="str">
        <ns0:f>IF(OR($A52="",T$11=""),"",IF(OR('_Engine'!$B$6&gt;0,INDEX('_Engine'!$AM$11:$AM$60,'_Engine'!$AO52)&lt;&gt;"OK"),"!",IF(INDEX(Team!$H$11:$N$60,'_Engine'!$AO52,WEEKDAY(T$11,2))&lt;&gt;"Work","—",IF(COUNTIF(Settings!$F$18:$F$67,T$11)&gt;0,"BH",IF('_Engine'!CI52+'_Engine'!CJ52=0,"·",IF('_Engine'!CI52='_Engine'!CJ52,INDEX(Settings!$G$7:$G$11,MOD('_Engine'!CI52,10))&amp;IF('_Engine'!CI52&gt;10,"?",""),IF('_Engine'!CI52=0,INDEX(Settings!$G$7:$G$11,MOD('_Engine'!CJ52,10))&amp;IF('_Engine'!CJ52&gt;10,"?","")&amp;" PM",IF('_Engine'!CJ52=0,INDEX(Settings!$G$7:$G$11,MOD('_Engine'!CI52,10))&amp;IF('_Engine'!CI52&gt;10,"?","")&amp;" AM",INDEX(Settings!$G$7:$G$11,MOD('_Engine'!CI52,10))&amp;IF('_Engine'!CI52&gt;10,"?","")&amp;" AM"&amp;CHAR(10)&amp;INDEX(Settings!$G$7:$G$11,MOD('_Engine'!CJ52,10))&amp;IF('_Engine'!CJ52&gt;10,"?","")&amp;" PM"))))))))</ns0:f>
        <ns0:v/>
      </ns0:c>
      <ns0:c r="U52" s="164" t="str">
        <ns0:f>IF(OR($A52="",U$11=""),"",IF(OR('_Engine'!$B$6&gt;0,INDEX('_Engine'!$AM$11:$AM$60,'_Engine'!$AO52)&lt;&gt;"OK"),"!",IF(INDEX(Team!$H$11:$N$60,'_Engine'!$AO52,WEEKDAY(U$11,2))&lt;&gt;"Work","—",IF(COUNTIF(Settings!$F$18:$F$67,U$11)&gt;0,"BH",IF('_Engine'!CK52+'_Engine'!CL52=0,"·",IF('_Engine'!CK52='_Engine'!CL52,INDEX(Settings!$G$7:$G$11,MOD('_Engine'!CK52,10))&amp;IF('_Engine'!CK52&gt;10,"?",""),IF('_Engine'!CK52=0,INDEX(Settings!$G$7:$G$11,MOD('_Engine'!CL52,10))&amp;IF('_Engine'!CL52&gt;10,"?","")&amp;" PM",IF('_Engine'!CL52=0,INDEX(Settings!$G$7:$G$11,MOD('_Engine'!CK52,10))&amp;IF('_Engine'!CK52&gt;10,"?","")&amp;" AM",INDEX(Settings!$G$7:$G$11,MOD('_Engine'!CK52,10))&amp;IF('_Engine'!CK52&gt;10,"?","")&amp;" AM"&amp;CHAR(10)&amp;INDEX(Settings!$G$7:$G$11,MOD('_Engine'!CL52,10))&amp;IF('_Engine'!CL52&gt;10,"?","")&amp;" PM"))))))))</ns0:f>
        <ns0:v/>
      </ns0:c>
      <ns0:c r="V52" s="164" t="str">
        <ns0:f>IF(OR($A52="",V$11=""),"",IF(OR('_Engine'!$B$6&gt;0,INDEX('_Engine'!$AM$11:$AM$60,'_Engine'!$AO52)&lt;&gt;"OK"),"!",IF(INDEX(Team!$H$11:$N$60,'_Engine'!$AO52,WEEKDAY(V$11,2))&lt;&gt;"Work","—",IF(COUNTIF(Settings!$F$18:$F$67,V$11)&gt;0,"BH",IF('_Engine'!CM52+'_Engine'!CN52=0,"·",IF('_Engine'!CM52='_Engine'!CN52,INDEX(Settings!$G$7:$G$11,MOD('_Engine'!CM52,10))&amp;IF('_Engine'!CM52&gt;10,"?",""),IF('_Engine'!CM52=0,INDEX(Settings!$G$7:$G$11,MOD('_Engine'!CN52,10))&amp;IF('_Engine'!CN52&gt;10,"?","")&amp;" PM",IF('_Engine'!CN52=0,INDEX(Settings!$G$7:$G$11,MOD('_Engine'!CM52,10))&amp;IF('_Engine'!CM52&gt;10,"?","")&amp;" AM",INDEX(Settings!$G$7:$G$11,MOD('_Engine'!CM52,10))&amp;IF('_Engine'!CM52&gt;10,"?","")&amp;" AM"&amp;CHAR(10)&amp;INDEX(Settings!$G$7:$G$11,MOD('_Engine'!CN52,10))&amp;IF('_Engine'!CN52&gt;10,"?","")&amp;" PM"))))))))</ns0:f>
        <ns0:v/>
      </ns0:c>
      <ns0:c r="W52" s="164" t="str">
        <ns0:f>IF(OR($A52="",W$11=""),"",IF(OR('_Engine'!$B$6&gt;0,INDEX('_Engine'!$AM$11:$AM$60,'_Engine'!$AO52)&lt;&gt;"OK"),"!",IF(INDEX(Team!$H$11:$N$60,'_Engine'!$AO52,WEEKDAY(W$11,2))&lt;&gt;"Work","—",IF(COUNTIF(Settings!$F$18:$F$67,W$11)&gt;0,"BH",IF('_Engine'!CO52+'_Engine'!CP52=0,"·",IF('_Engine'!CO52='_Engine'!CP52,INDEX(Settings!$G$7:$G$11,MOD('_Engine'!CO52,10))&amp;IF('_Engine'!CO52&gt;10,"?",""),IF('_Engine'!CO52=0,INDEX(Settings!$G$7:$G$11,MOD('_Engine'!CP52,10))&amp;IF('_Engine'!CP52&gt;10,"?","")&amp;" PM",IF('_Engine'!CP52=0,INDEX(Settings!$G$7:$G$11,MOD('_Engine'!CO52,10))&amp;IF('_Engine'!CO52&gt;10,"?","")&amp;" AM",INDEX(Settings!$G$7:$G$11,MOD('_Engine'!CO52,10))&amp;IF('_Engine'!CO52&gt;10,"?","")&amp;" AM"&amp;CHAR(10)&amp;INDEX(Settings!$G$7:$G$11,MOD('_Engine'!CP52,10))&amp;IF('_Engine'!CP52&gt;10,"?","")&amp;" PM"))))))))</ns0:f>
        <ns0:v/>
      </ns0:c>
      <ns0:c r="X52" s="164" t="str">
        <ns0:f>IF(OR($A52="",X$11=""),"",IF(OR('_Engine'!$B$6&gt;0,INDEX('_Engine'!$AM$11:$AM$60,'_Engine'!$AO52)&lt;&gt;"OK"),"!",IF(INDEX(Team!$H$11:$N$60,'_Engine'!$AO52,WEEKDAY(X$11,2))&lt;&gt;"Work","—",IF(COUNTIF(Settings!$F$18:$F$67,X$11)&gt;0,"BH",IF('_Engine'!CQ52+'_Engine'!CR52=0,"·",IF('_Engine'!CQ52='_Engine'!CR52,INDEX(Settings!$G$7:$G$11,MOD('_Engine'!CQ52,10))&amp;IF('_Engine'!CQ52&gt;10,"?",""),IF('_Engine'!CQ52=0,INDEX(Settings!$G$7:$G$11,MOD('_Engine'!CR52,10))&amp;IF('_Engine'!CR52&gt;10,"?","")&amp;" PM",IF('_Engine'!CR52=0,INDEX(Settings!$G$7:$G$11,MOD('_Engine'!CQ52,10))&amp;IF('_Engine'!CQ52&gt;10,"?","")&amp;" AM",INDEX(Settings!$G$7:$G$11,MOD('_Engine'!CQ52,10))&amp;IF('_Engine'!CQ52&gt;10,"?","")&amp;" AM"&amp;CHAR(10)&amp;INDEX(Settings!$G$7:$G$11,MOD('_Engine'!CR52,10))&amp;IF('_Engine'!CR52&gt;10,"?","")&amp;" PM"))))))))</ns0:f>
        <ns0:v/>
      </ns0:c>
      <ns0:c r="Y52" s="164" t="str">
        <ns0:f>IF(OR($A52="",Y$11=""),"",IF(OR('_Engine'!$B$6&gt;0,INDEX('_Engine'!$AM$11:$AM$60,'_Engine'!$AO52)&lt;&gt;"OK"),"!",IF(INDEX(Team!$H$11:$N$60,'_Engine'!$AO52,WEEKDAY(Y$11,2))&lt;&gt;"Work","—",IF(COUNTIF(Settings!$F$18:$F$67,Y$11)&gt;0,"BH",IF('_Engine'!CS52+'_Engine'!CT52=0,"·",IF('_Engine'!CS52='_Engine'!CT52,INDEX(Settings!$G$7:$G$11,MOD('_Engine'!CS52,10))&amp;IF('_Engine'!CS52&gt;10,"?",""),IF('_Engine'!CS52=0,INDEX(Settings!$G$7:$G$11,MOD('_Engine'!CT52,10))&amp;IF('_Engine'!CT52&gt;10,"?","")&amp;" PM",IF('_Engine'!CT52=0,INDEX(Settings!$G$7:$G$11,MOD('_Engine'!CS52,10))&amp;IF('_Engine'!CS52&gt;10,"?","")&amp;" AM",INDEX(Settings!$G$7:$G$11,MOD('_Engine'!CS52,10))&amp;IF('_Engine'!CS52&gt;10,"?","")&amp;" AM"&amp;CHAR(10)&amp;INDEX(Settings!$G$7:$G$11,MOD('_Engine'!CT52,10))&amp;IF('_Engine'!CT52&gt;10,"?","")&amp;" PM"))))))))</ns0:f>
        <ns0:v/>
      </ns0:c>
      <ns0:c r="Z52" s="164" t="str">
        <ns0:f>IF(OR($A52="",Z$11=""),"",IF(OR('_Engine'!$B$6&gt;0,INDEX('_Engine'!$AM$11:$AM$60,'_Engine'!$AO52)&lt;&gt;"OK"),"!",IF(INDEX(Team!$H$11:$N$60,'_Engine'!$AO52,WEEKDAY(Z$11,2))&lt;&gt;"Work","—",IF(COUNTIF(Settings!$F$18:$F$67,Z$11)&gt;0,"BH",IF('_Engine'!CU52+'_Engine'!CV52=0,"·",IF('_Engine'!CU52='_Engine'!CV52,INDEX(Settings!$G$7:$G$11,MOD('_Engine'!CU52,10))&amp;IF('_Engine'!CU52&gt;10,"?",""),IF('_Engine'!CU52=0,INDEX(Settings!$G$7:$G$11,MOD('_Engine'!CV52,10))&amp;IF('_Engine'!CV52&gt;10,"?","")&amp;" PM",IF('_Engine'!CV52=0,INDEX(Settings!$G$7:$G$11,MOD('_Engine'!CU52,10))&amp;IF('_Engine'!CU52&gt;10,"?","")&amp;" AM",INDEX(Settings!$G$7:$G$11,MOD('_Engine'!CU52,10))&amp;IF('_Engine'!CU52&gt;10,"?","")&amp;" AM"&amp;CHAR(10)&amp;INDEX(Settings!$G$7:$G$11,MOD('_Engine'!CV52,10))&amp;IF('_Engine'!CV52&gt;10,"?","")&amp;" PM"))))))))</ns0:f>
        <ns0:v/>
      </ns0:c>
      <ns0:c r="AA52" s="164" t="str">
        <ns0:f>IF(OR($A52="",AA$11=""),"",IF(OR('_Engine'!$B$6&gt;0,INDEX('_Engine'!$AM$11:$AM$60,'_Engine'!$AO52)&lt;&gt;"OK"),"!",IF(INDEX(Team!$H$11:$N$60,'_Engine'!$AO52,WEEKDAY(AA$11,2))&lt;&gt;"Work","—",IF(COUNTIF(Settings!$F$18:$F$67,AA$11)&gt;0,"BH",IF('_Engine'!CW52+'_Engine'!CX52=0,"·",IF('_Engine'!CW52='_Engine'!CX52,INDEX(Settings!$G$7:$G$11,MOD('_Engine'!CW52,10))&amp;IF('_Engine'!CW52&gt;10,"?",""),IF('_Engine'!CW52=0,INDEX(Settings!$G$7:$G$11,MOD('_Engine'!CX52,10))&amp;IF('_Engine'!CX52&gt;10,"?","")&amp;" PM",IF('_Engine'!CX52=0,INDEX(Settings!$G$7:$G$11,MOD('_Engine'!CW52,10))&amp;IF('_Engine'!CW52&gt;10,"?","")&amp;" AM",INDEX(Settings!$G$7:$G$11,MOD('_Engine'!CW52,10))&amp;IF('_Engine'!CW52&gt;10,"?","")&amp;" AM"&amp;CHAR(10)&amp;INDEX(Settings!$G$7:$G$11,MOD('_Engine'!CX52,10))&amp;IF('_Engine'!CX52&gt;10,"?","")&amp;" PM"))))))))</ns0:f>
        <ns0:v/>
      </ns0:c>
      <ns0:c r="AB52" s="164" t="str">
        <ns0:f>IF(OR($A52="",AB$11=""),"",IF(OR('_Engine'!$B$6&gt;0,INDEX('_Engine'!$AM$11:$AM$60,'_Engine'!$AO52)&lt;&gt;"OK"),"!",IF(INDEX(Team!$H$11:$N$60,'_Engine'!$AO52,WEEKDAY(AB$11,2))&lt;&gt;"Work","—",IF(COUNTIF(Settings!$F$18:$F$67,AB$11)&gt;0,"BH",IF('_Engine'!CY52+'_Engine'!CZ52=0,"·",IF('_Engine'!CY52='_Engine'!CZ52,INDEX(Settings!$G$7:$G$11,MOD('_Engine'!CY52,10))&amp;IF('_Engine'!CY52&gt;10,"?",""),IF('_Engine'!CY52=0,INDEX(Settings!$G$7:$G$11,MOD('_Engine'!CZ52,10))&amp;IF('_Engine'!CZ52&gt;10,"?","")&amp;" PM",IF('_Engine'!CZ52=0,INDEX(Settings!$G$7:$G$11,MOD('_Engine'!CY52,10))&amp;IF('_Engine'!CY52&gt;10,"?","")&amp;" AM",INDEX(Settings!$G$7:$G$11,MOD('_Engine'!CY52,10))&amp;IF('_Engine'!CY52&gt;10,"?","")&amp;" AM"&amp;CHAR(10)&amp;INDEX(Settings!$G$7:$G$11,MOD('_Engine'!CZ52,10))&amp;IF('_Engine'!CZ52&gt;10,"?","")&amp;" PM"))))))))</ns0:f>
        <ns0:v/>
      </ns0:c>
      <ns0:c r="AC52" s="164" t="str">
        <ns0:f>IF(OR($A52="",AC$11=""),"",IF(OR('_Engine'!$B$6&gt;0,INDEX('_Engine'!$AM$11:$AM$60,'_Engine'!$AO52)&lt;&gt;"OK"),"!",IF(INDEX(Team!$H$11:$N$60,'_Engine'!$AO52,WEEKDAY(AC$11,2))&lt;&gt;"Work","—",IF(COUNTIF(Settings!$F$18:$F$67,AC$11)&gt;0,"BH",IF('_Engine'!DA52+'_Engine'!DB52=0,"·",IF('_Engine'!DA52='_Engine'!DB52,INDEX(Settings!$G$7:$G$11,MOD('_Engine'!DA52,10))&amp;IF('_Engine'!DA52&gt;10,"?",""),IF('_Engine'!DA52=0,INDEX(Settings!$G$7:$G$11,MOD('_Engine'!DB52,10))&amp;IF('_Engine'!DB52&gt;10,"?","")&amp;" PM",IF('_Engine'!DB52=0,INDEX(Settings!$G$7:$G$11,MOD('_Engine'!DA52,10))&amp;IF('_Engine'!DA52&gt;10,"?","")&amp;" AM",INDEX(Settings!$G$7:$G$11,MOD('_Engine'!DA52,10))&amp;IF('_Engine'!DA52&gt;10,"?","")&amp;" AM"&amp;CHAR(10)&amp;INDEX(Settings!$G$7:$G$11,MOD('_Engine'!DB52,10))&amp;IF('_Engine'!DB52&gt;10,"?","")&amp;" PM"))))))))</ns0:f>
        <ns0:v/>
      </ns0:c>
      <ns0:c r="AD52" s="164" t="str">
        <ns0:f>IF(OR($A52="",AD$11=""),"",IF(OR('_Engine'!$B$6&gt;0,INDEX('_Engine'!$AM$11:$AM$60,'_Engine'!$AO52)&lt;&gt;"OK"),"!",IF(INDEX(Team!$H$11:$N$60,'_Engine'!$AO52,WEEKDAY(AD$11,2))&lt;&gt;"Work","—",IF(COUNTIF(Settings!$F$18:$F$67,AD$11)&gt;0,"BH",IF('_Engine'!DC52+'_Engine'!DD52=0,"·",IF('_Engine'!DC52='_Engine'!DD52,INDEX(Settings!$G$7:$G$11,MOD('_Engine'!DC52,10))&amp;IF('_Engine'!DC52&gt;10,"?",""),IF('_Engine'!DC52=0,INDEX(Settings!$G$7:$G$11,MOD('_Engine'!DD52,10))&amp;IF('_Engine'!DD52&gt;10,"?","")&amp;" PM",IF('_Engine'!DD52=0,INDEX(Settings!$G$7:$G$11,MOD('_Engine'!DC52,10))&amp;IF('_Engine'!DC52&gt;10,"?","")&amp;" AM",INDEX(Settings!$G$7:$G$11,MOD('_Engine'!DC52,10))&amp;IF('_Engine'!DC52&gt;10,"?","")&amp;" AM"&amp;CHAR(10)&amp;INDEX(Settings!$G$7:$G$11,MOD('_Engine'!DD52,10))&amp;IF('_Engine'!DD52&gt;10,"?","")&amp;" PM"))))))))</ns0:f>
        <ns0:v/>
      </ns0:c>
      <ns0:c r="AE52" s="164" t="str">
        <ns0:f>IF(OR($A52="",AE$11=""),"",IF(OR('_Engine'!$B$6&gt;0,INDEX('_Engine'!$AM$11:$AM$60,'_Engine'!$AO52)&lt;&gt;"OK"),"!",IF(INDEX(Team!$H$11:$N$60,'_Engine'!$AO52,WEEKDAY(AE$11,2))&lt;&gt;"Work","—",IF(COUNTIF(Settings!$F$18:$F$67,AE$11)&gt;0,"BH",IF('_Engine'!DE52+'_Engine'!DF52=0,"·",IF('_Engine'!DE52='_Engine'!DF52,INDEX(Settings!$G$7:$G$11,MOD('_Engine'!DE52,10))&amp;IF('_Engine'!DE52&gt;10,"?",""),IF('_Engine'!DE52=0,INDEX(Settings!$G$7:$G$11,MOD('_Engine'!DF52,10))&amp;IF('_Engine'!DF52&gt;10,"?","")&amp;" PM",IF('_Engine'!DF52=0,INDEX(Settings!$G$7:$G$11,MOD('_Engine'!DE52,10))&amp;IF('_Engine'!DE52&gt;10,"?","")&amp;" AM",INDEX(Settings!$G$7:$G$11,MOD('_Engine'!DE52,10))&amp;IF('_Engine'!DE52&gt;10,"?","")&amp;" AM"&amp;CHAR(10)&amp;INDEX(Settings!$G$7:$G$11,MOD('_Engine'!DF52,10))&amp;IF('_Engine'!DF52&gt;10,"?","")&amp;" PM"))))))))</ns0:f>
        <ns0:v/>
      </ns0:c>
      <ns0:c r="AF52" s="164" t="str">
        <ns0:f>IF(OR($A52="",AF$11=""),"",IF(OR('_Engine'!$B$6&gt;0,INDEX('_Engine'!$AM$11:$AM$60,'_Engine'!$AO52)&lt;&gt;"OK"),"!",IF(INDEX(Team!$H$11:$N$60,'_Engine'!$AO52,WEEKDAY(AF$11,2))&lt;&gt;"Work","—",IF(COUNTIF(Settings!$F$18:$F$67,AF$11)&gt;0,"BH",IF('_Engine'!DG52+'_Engine'!DH52=0,"·",IF('_Engine'!DG52='_Engine'!DH52,INDEX(Settings!$G$7:$G$11,MOD('_Engine'!DG52,10))&amp;IF('_Engine'!DG52&gt;10,"?",""),IF('_Engine'!DG52=0,INDEX(Settings!$G$7:$G$11,MOD('_Engine'!DH52,10))&amp;IF('_Engine'!DH52&gt;10,"?","")&amp;" PM",IF('_Engine'!DH52=0,INDEX(Settings!$G$7:$G$11,MOD('_Engine'!DG52,10))&amp;IF('_Engine'!DG52&gt;10,"?","")&amp;" AM",INDEX(Settings!$G$7:$G$11,MOD('_Engine'!DG52,10))&amp;IF('_Engine'!DG52&gt;10,"?","")&amp;" AM"&amp;CHAR(10)&amp;INDEX(Settings!$G$7:$G$11,MOD('_Engine'!DH52,10))&amp;IF('_Engine'!DH52&gt;10,"?","")&amp;" PM"))))))))</ns0:f>
        <ns0:v/>
      </ns0:c>
      <ns0:c r="AG52" s="164" t="str">
        <ns0:f>IF(OR($A52="",AG$11=""),"",IF(OR('_Engine'!$B$6&gt;0,INDEX('_Engine'!$AM$11:$AM$60,'_Engine'!$AO52)&lt;&gt;"OK"),"!",IF(INDEX(Team!$H$11:$N$60,'_Engine'!$AO52,WEEKDAY(AG$11,2))&lt;&gt;"Work","—",IF(COUNTIF(Settings!$F$18:$F$67,AG$11)&gt;0,"BH",IF('_Engine'!DI52+'_Engine'!DJ52=0,"·",IF('_Engine'!DI52='_Engine'!DJ52,INDEX(Settings!$G$7:$G$11,MOD('_Engine'!DI52,10))&amp;IF('_Engine'!DI52&gt;10,"?",""),IF('_Engine'!DI52=0,INDEX(Settings!$G$7:$G$11,MOD('_Engine'!DJ52,10))&amp;IF('_Engine'!DJ52&gt;10,"?","")&amp;" PM",IF('_Engine'!DJ52=0,INDEX(Settings!$G$7:$G$11,MOD('_Engine'!DI52,10))&amp;IF('_Engine'!DI52&gt;10,"?","")&amp;" AM",INDEX(Settings!$G$7:$G$11,MOD('_Engine'!DI52,10))&amp;IF('_Engine'!DI52&gt;10,"?","")&amp;" AM"&amp;CHAR(10)&amp;INDEX(Settings!$G$7:$G$11,MOD('_Engine'!DJ52,10))&amp;IF('_Engine'!DJ52&gt;10,"?","")&amp;" PM"))))))))</ns0:f>
        <ns0:v/>
      </ns0:c>
      <ns0:c r="AH52" s="164" t="str">
        <ns0:f>IF(OR($A52="",AH$11=""),"",IF(OR('_Engine'!$B$6&gt;0,INDEX('_Engine'!$AM$11:$AM$60,'_Engine'!$AO52)&lt;&gt;"OK"),"!",IF(INDEX(Team!$H$11:$N$60,'_Engine'!$AO52,WEEKDAY(AH$11,2))&lt;&gt;"Work","—",IF(COUNTIF(Settings!$F$18:$F$67,AH$11)&gt;0,"BH",IF('_Engine'!DK52+'_Engine'!DL52=0,"·",IF('_Engine'!DK52='_Engine'!DL52,INDEX(Settings!$G$7:$G$11,MOD('_Engine'!DK52,10))&amp;IF('_Engine'!DK52&gt;10,"?",""),IF('_Engine'!DK52=0,INDEX(Settings!$G$7:$G$11,MOD('_Engine'!DL52,10))&amp;IF('_Engine'!DL52&gt;10,"?","")&amp;" PM",IF('_Engine'!DL52=0,INDEX(Settings!$G$7:$G$11,MOD('_Engine'!DK52,10))&amp;IF('_Engine'!DK52&gt;10,"?","")&amp;" AM",INDEX(Settings!$G$7:$G$11,MOD('_Engine'!DK52,10))&amp;IF('_Engine'!DK52&gt;10,"?","")&amp;" AM"&amp;CHAR(10)&amp;INDEX(Settings!$G$7:$G$11,MOD('_Engine'!DL52,10))&amp;IF('_Engine'!DL52&gt;10,"?","")&amp;" PM"))))))))</ns0:f>
        <ns0:v/>
      </ns0:c>
    </ns0:row>
    <ns0:row r="53" ht="38" customHeight="1">
      <ns0:c r="A53" s="4" t="str">
        <ns0:f>IF('_Engine'!AO53=0,"",IF(INDEX(Team!$B$11:$B$60,'_Engine'!AO53)="","[Unnamed]",INDEX(Team!$B$11:$B$60,'_Engine'!AO53)))</ns0:f>
        <ns0:v/>
      </ns0:c>
      <ns0:c r="B53" s="156" t="str">
        <ns0:f>IF('_Engine'!AO53=0,"",INDEX('_Engine'!$AN$11:$AN$60,'_Engine'!AO53))</ns0:f>
        <ns0:v/>
      </ns0:c>
      <ns0:c r="C53" s="4" t="str">
        <ns0:f>IF('_Engine'!AO53=0,"",INDEX(Team!$C$11:$C$60,'_Engine'!AO53))</ns0:f>
        <ns0:v/>
      </ns0:c>
      <ns0:c r="D53" s="162" t="str">
        <ns0:f>IF(OR($A53="",D$11=""),"",IF(OR('_Engine'!$B$6&gt;0,INDEX('_Engine'!$AM$11:$AM$60,'_Engine'!$AO53)&lt;&gt;"OK"),"!",IF(INDEX(Team!$H$11:$N$60,'_Engine'!$AO53,WEEKDAY(D$11,2))&lt;&gt;"Work","—",IF(COUNTIF(Settings!$F$18:$F$67,D$11)&gt;0,"BH",IF('_Engine'!BC53+'_Engine'!BD53=0,"·",IF('_Engine'!BC53='_Engine'!BD53,INDEX(Settings!$G$7:$G$11,MOD('_Engine'!BC53,10))&amp;IF('_Engine'!BC53&gt;10,"?",""),IF('_Engine'!BC53=0,INDEX(Settings!$G$7:$G$11,MOD('_Engine'!BD53,10))&amp;IF('_Engine'!BD53&gt;10,"?","")&amp;" PM",IF('_Engine'!BD53=0,INDEX(Settings!$G$7:$G$11,MOD('_Engine'!BC53,10))&amp;IF('_Engine'!BC53&gt;10,"?","")&amp;" AM",INDEX(Settings!$G$7:$G$11,MOD('_Engine'!BC53,10))&amp;IF('_Engine'!BC53&gt;10,"?","")&amp;" AM"&amp;CHAR(10)&amp;INDEX(Settings!$G$7:$G$11,MOD('_Engine'!BD53,10))&amp;IF('_Engine'!BD53&gt;10,"?","")&amp;" PM"))))))))</ns0:f>
        <ns0:v/>
      </ns0:c>
      <ns0:c r="E53" s="162" t="str">
        <ns0:f>IF(OR($A53="",E$11=""),"",IF(OR('_Engine'!$B$6&gt;0,INDEX('_Engine'!$AM$11:$AM$60,'_Engine'!$AO53)&lt;&gt;"OK"),"!",IF(INDEX(Team!$H$11:$N$60,'_Engine'!$AO53,WEEKDAY(E$11,2))&lt;&gt;"Work","—",IF(COUNTIF(Settings!$F$18:$F$67,E$11)&gt;0,"BH",IF('_Engine'!BE53+'_Engine'!BF53=0,"·",IF('_Engine'!BE53='_Engine'!BF53,INDEX(Settings!$G$7:$G$11,MOD('_Engine'!BE53,10))&amp;IF('_Engine'!BE53&gt;10,"?",""),IF('_Engine'!BE53=0,INDEX(Settings!$G$7:$G$11,MOD('_Engine'!BF53,10))&amp;IF('_Engine'!BF53&gt;10,"?","")&amp;" PM",IF('_Engine'!BF53=0,INDEX(Settings!$G$7:$G$11,MOD('_Engine'!BE53,10))&amp;IF('_Engine'!BE53&gt;10,"?","")&amp;" AM",INDEX(Settings!$G$7:$G$11,MOD('_Engine'!BE53,10))&amp;IF('_Engine'!BE53&gt;10,"?","")&amp;" AM"&amp;CHAR(10)&amp;INDEX(Settings!$G$7:$G$11,MOD('_Engine'!BF53,10))&amp;IF('_Engine'!BF53&gt;10,"?","")&amp;" PM"))))))))</ns0:f>
        <ns0:v/>
      </ns0:c>
      <ns0:c r="F53" s="162" t="str">
        <ns0:f>IF(OR($A53="",F$11=""),"",IF(OR('_Engine'!$B$6&gt;0,INDEX('_Engine'!$AM$11:$AM$60,'_Engine'!$AO53)&lt;&gt;"OK"),"!",IF(INDEX(Team!$H$11:$N$60,'_Engine'!$AO53,WEEKDAY(F$11,2))&lt;&gt;"Work","—",IF(COUNTIF(Settings!$F$18:$F$67,F$11)&gt;0,"BH",IF('_Engine'!BG53+'_Engine'!BH53=0,"·",IF('_Engine'!BG53='_Engine'!BH53,INDEX(Settings!$G$7:$G$11,MOD('_Engine'!BG53,10))&amp;IF('_Engine'!BG53&gt;10,"?",""),IF('_Engine'!BG53=0,INDEX(Settings!$G$7:$G$11,MOD('_Engine'!BH53,10))&amp;IF('_Engine'!BH53&gt;10,"?","")&amp;" PM",IF('_Engine'!BH53=0,INDEX(Settings!$G$7:$G$11,MOD('_Engine'!BG53,10))&amp;IF('_Engine'!BG53&gt;10,"?","")&amp;" AM",INDEX(Settings!$G$7:$G$11,MOD('_Engine'!BG53,10))&amp;IF('_Engine'!BG53&gt;10,"?","")&amp;" AM"&amp;CHAR(10)&amp;INDEX(Settings!$G$7:$G$11,MOD('_Engine'!BH53,10))&amp;IF('_Engine'!BH53&gt;10,"?","")&amp;" PM"))))))))</ns0:f>
        <ns0:v/>
      </ns0:c>
      <ns0:c r="G53" s="162" t="str">
        <ns0:f>IF(OR($A53="",G$11=""),"",IF(OR('_Engine'!$B$6&gt;0,INDEX('_Engine'!$AM$11:$AM$60,'_Engine'!$AO53)&lt;&gt;"OK"),"!",IF(INDEX(Team!$H$11:$N$60,'_Engine'!$AO53,WEEKDAY(G$11,2))&lt;&gt;"Work","—",IF(COUNTIF(Settings!$F$18:$F$67,G$11)&gt;0,"BH",IF('_Engine'!BI53+'_Engine'!BJ53=0,"·",IF('_Engine'!BI53='_Engine'!BJ53,INDEX(Settings!$G$7:$G$11,MOD('_Engine'!BI53,10))&amp;IF('_Engine'!BI53&gt;10,"?",""),IF('_Engine'!BI53=0,INDEX(Settings!$G$7:$G$11,MOD('_Engine'!BJ53,10))&amp;IF('_Engine'!BJ53&gt;10,"?","")&amp;" PM",IF('_Engine'!BJ53=0,INDEX(Settings!$G$7:$G$11,MOD('_Engine'!BI53,10))&amp;IF('_Engine'!BI53&gt;10,"?","")&amp;" AM",INDEX(Settings!$G$7:$G$11,MOD('_Engine'!BI53,10))&amp;IF('_Engine'!BI53&gt;10,"?","")&amp;" AM"&amp;CHAR(10)&amp;INDEX(Settings!$G$7:$G$11,MOD('_Engine'!BJ53,10))&amp;IF('_Engine'!BJ53&gt;10,"?","")&amp;" PM"))))))))</ns0:f>
        <ns0:v/>
      </ns0:c>
      <ns0:c r="H53" s="162" t="str">
        <ns0:f>IF(OR($A53="",H$11=""),"",IF(OR('_Engine'!$B$6&gt;0,INDEX('_Engine'!$AM$11:$AM$60,'_Engine'!$AO53)&lt;&gt;"OK"),"!",IF(INDEX(Team!$H$11:$N$60,'_Engine'!$AO53,WEEKDAY(H$11,2))&lt;&gt;"Work","—",IF(COUNTIF(Settings!$F$18:$F$67,H$11)&gt;0,"BH",IF('_Engine'!BK53+'_Engine'!BL53=0,"·",IF('_Engine'!BK53='_Engine'!BL53,INDEX(Settings!$G$7:$G$11,MOD('_Engine'!BK53,10))&amp;IF('_Engine'!BK53&gt;10,"?",""),IF('_Engine'!BK53=0,INDEX(Settings!$G$7:$G$11,MOD('_Engine'!BL53,10))&amp;IF('_Engine'!BL53&gt;10,"?","")&amp;" PM",IF('_Engine'!BL53=0,INDEX(Settings!$G$7:$G$11,MOD('_Engine'!BK53,10))&amp;IF('_Engine'!BK53&gt;10,"?","")&amp;" AM",INDEX(Settings!$G$7:$G$11,MOD('_Engine'!BK53,10))&amp;IF('_Engine'!BK53&gt;10,"?","")&amp;" AM"&amp;CHAR(10)&amp;INDEX(Settings!$G$7:$G$11,MOD('_Engine'!BL53,10))&amp;IF('_Engine'!BL53&gt;10,"?","")&amp;" PM"))))))))</ns0:f>
        <ns0:v/>
      </ns0:c>
      <ns0:c r="I53" s="162" t="str">
        <ns0:f>IF(OR($A53="",I$11=""),"",IF(OR('_Engine'!$B$6&gt;0,INDEX('_Engine'!$AM$11:$AM$60,'_Engine'!$AO53)&lt;&gt;"OK"),"!",IF(INDEX(Team!$H$11:$N$60,'_Engine'!$AO53,WEEKDAY(I$11,2))&lt;&gt;"Work","—",IF(COUNTIF(Settings!$F$18:$F$67,I$11)&gt;0,"BH",IF('_Engine'!BM53+'_Engine'!BN53=0,"·",IF('_Engine'!BM53='_Engine'!BN53,INDEX(Settings!$G$7:$G$11,MOD('_Engine'!BM53,10))&amp;IF('_Engine'!BM53&gt;10,"?",""),IF('_Engine'!BM53=0,INDEX(Settings!$G$7:$G$11,MOD('_Engine'!BN53,10))&amp;IF('_Engine'!BN53&gt;10,"?","")&amp;" PM",IF('_Engine'!BN53=0,INDEX(Settings!$G$7:$G$11,MOD('_Engine'!BM53,10))&amp;IF('_Engine'!BM53&gt;10,"?","")&amp;" AM",INDEX(Settings!$G$7:$G$11,MOD('_Engine'!BM53,10))&amp;IF('_Engine'!BM53&gt;10,"?","")&amp;" AM"&amp;CHAR(10)&amp;INDEX(Settings!$G$7:$G$11,MOD('_Engine'!BN53,10))&amp;IF('_Engine'!BN53&gt;10,"?","")&amp;" PM"))))))))</ns0:f>
        <ns0:v/>
      </ns0:c>
      <ns0:c r="J53" s="162" t="str">
        <ns0:f>IF(OR($A53="",J$11=""),"",IF(OR('_Engine'!$B$6&gt;0,INDEX('_Engine'!$AM$11:$AM$60,'_Engine'!$AO53)&lt;&gt;"OK"),"!",IF(INDEX(Team!$H$11:$N$60,'_Engine'!$AO53,WEEKDAY(J$11,2))&lt;&gt;"Work","—",IF(COUNTIF(Settings!$F$18:$F$67,J$11)&gt;0,"BH",IF('_Engine'!BO53+'_Engine'!BP53=0,"·",IF('_Engine'!BO53='_Engine'!BP53,INDEX(Settings!$G$7:$G$11,MOD('_Engine'!BO53,10))&amp;IF('_Engine'!BO53&gt;10,"?",""),IF('_Engine'!BO53=0,INDEX(Settings!$G$7:$G$11,MOD('_Engine'!BP53,10))&amp;IF('_Engine'!BP53&gt;10,"?","")&amp;" PM",IF('_Engine'!BP53=0,INDEX(Settings!$G$7:$G$11,MOD('_Engine'!BO53,10))&amp;IF('_Engine'!BO53&gt;10,"?","")&amp;" AM",INDEX(Settings!$G$7:$G$11,MOD('_Engine'!BO53,10))&amp;IF('_Engine'!BO53&gt;10,"?","")&amp;" AM"&amp;CHAR(10)&amp;INDEX(Settings!$G$7:$G$11,MOD('_Engine'!BP53,10))&amp;IF('_Engine'!BP53&gt;10,"?","")&amp;" PM"))))))))</ns0:f>
        <ns0:v/>
      </ns0:c>
      <ns0:c r="K53" s="164" t="str">
        <ns0:f>IF(OR($A53="",K$11=""),"",IF(OR('_Engine'!$B$6&gt;0,INDEX('_Engine'!$AM$11:$AM$60,'_Engine'!$AO53)&lt;&gt;"OK"),"!",IF(INDEX(Team!$H$11:$N$60,'_Engine'!$AO53,WEEKDAY(K$11,2))&lt;&gt;"Work","—",IF(COUNTIF(Settings!$F$18:$F$67,K$11)&gt;0,"BH",IF('_Engine'!BQ53+'_Engine'!BR53=0,"·",IF('_Engine'!BQ53='_Engine'!BR53,INDEX(Settings!$G$7:$G$11,MOD('_Engine'!BQ53,10))&amp;IF('_Engine'!BQ53&gt;10,"?",""),IF('_Engine'!BQ53=0,INDEX(Settings!$G$7:$G$11,MOD('_Engine'!BR53,10))&amp;IF('_Engine'!BR53&gt;10,"?","")&amp;" PM",IF('_Engine'!BR53=0,INDEX(Settings!$G$7:$G$11,MOD('_Engine'!BQ53,10))&amp;IF('_Engine'!BQ53&gt;10,"?","")&amp;" AM",INDEX(Settings!$G$7:$G$11,MOD('_Engine'!BQ53,10))&amp;IF('_Engine'!BQ53&gt;10,"?","")&amp;" AM"&amp;CHAR(10)&amp;INDEX(Settings!$G$7:$G$11,MOD('_Engine'!BR53,10))&amp;IF('_Engine'!BR53&gt;10,"?","")&amp;" PM"))))))))</ns0:f>
        <ns0:v/>
      </ns0:c>
      <ns0:c r="L53" s="164" t="str">
        <ns0:f>IF(OR($A53="",L$11=""),"",IF(OR('_Engine'!$B$6&gt;0,INDEX('_Engine'!$AM$11:$AM$60,'_Engine'!$AO53)&lt;&gt;"OK"),"!",IF(INDEX(Team!$H$11:$N$60,'_Engine'!$AO53,WEEKDAY(L$11,2))&lt;&gt;"Work","—",IF(COUNTIF(Settings!$F$18:$F$67,L$11)&gt;0,"BH",IF('_Engine'!BS53+'_Engine'!BT53=0,"·",IF('_Engine'!BS53='_Engine'!BT53,INDEX(Settings!$G$7:$G$11,MOD('_Engine'!BS53,10))&amp;IF('_Engine'!BS53&gt;10,"?",""),IF('_Engine'!BS53=0,INDEX(Settings!$G$7:$G$11,MOD('_Engine'!BT53,10))&amp;IF('_Engine'!BT53&gt;10,"?","")&amp;" PM",IF('_Engine'!BT53=0,INDEX(Settings!$G$7:$G$11,MOD('_Engine'!BS53,10))&amp;IF('_Engine'!BS53&gt;10,"?","")&amp;" AM",INDEX(Settings!$G$7:$G$11,MOD('_Engine'!BS53,10))&amp;IF('_Engine'!BS53&gt;10,"?","")&amp;" AM"&amp;CHAR(10)&amp;INDEX(Settings!$G$7:$G$11,MOD('_Engine'!BT53,10))&amp;IF('_Engine'!BT53&gt;10,"?","")&amp;" PM"))))))))</ns0:f>
        <ns0:v/>
      </ns0:c>
      <ns0:c r="M53" s="164" t="str">
        <ns0:f>IF(OR($A53="",M$11=""),"",IF(OR('_Engine'!$B$6&gt;0,INDEX('_Engine'!$AM$11:$AM$60,'_Engine'!$AO53)&lt;&gt;"OK"),"!",IF(INDEX(Team!$H$11:$N$60,'_Engine'!$AO53,WEEKDAY(M$11,2))&lt;&gt;"Work","—",IF(COUNTIF(Settings!$F$18:$F$67,M$11)&gt;0,"BH",IF('_Engine'!BU53+'_Engine'!BV53=0,"·",IF('_Engine'!BU53='_Engine'!BV53,INDEX(Settings!$G$7:$G$11,MOD('_Engine'!BU53,10))&amp;IF('_Engine'!BU53&gt;10,"?",""),IF('_Engine'!BU53=0,INDEX(Settings!$G$7:$G$11,MOD('_Engine'!BV53,10))&amp;IF('_Engine'!BV53&gt;10,"?","")&amp;" PM",IF('_Engine'!BV53=0,INDEX(Settings!$G$7:$G$11,MOD('_Engine'!BU53,10))&amp;IF('_Engine'!BU53&gt;10,"?","")&amp;" AM",INDEX(Settings!$G$7:$G$11,MOD('_Engine'!BU53,10))&amp;IF('_Engine'!BU53&gt;10,"?","")&amp;" AM"&amp;CHAR(10)&amp;INDEX(Settings!$G$7:$G$11,MOD('_Engine'!BV53,10))&amp;IF('_Engine'!BV53&gt;10,"?","")&amp;" PM"))))))))</ns0:f>
        <ns0:v/>
      </ns0:c>
      <ns0:c r="N53" s="164" t="str">
        <ns0:f>IF(OR($A53="",N$11=""),"",IF(OR('_Engine'!$B$6&gt;0,INDEX('_Engine'!$AM$11:$AM$60,'_Engine'!$AO53)&lt;&gt;"OK"),"!",IF(INDEX(Team!$H$11:$N$60,'_Engine'!$AO53,WEEKDAY(N$11,2))&lt;&gt;"Work","—",IF(COUNTIF(Settings!$F$18:$F$67,N$11)&gt;0,"BH",IF('_Engine'!BW53+'_Engine'!BX53=0,"·",IF('_Engine'!BW53='_Engine'!BX53,INDEX(Settings!$G$7:$G$11,MOD('_Engine'!BW53,10))&amp;IF('_Engine'!BW53&gt;10,"?",""),IF('_Engine'!BW53=0,INDEX(Settings!$G$7:$G$11,MOD('_Engine'!BX53,10))&amp;IF('_Engine'!BX53&gt;10,"?","")&amp;" PM",IF('_Engine'!BX53=0,INDEX(Settings!$G$7:$G$11,MOD('_Engine'!BW53,10))&amp;IF('_Engine'!BW53&gt;10,"?","")&amp;" AM",INDEX(Settings!$G$7:$G$11,MOD('_Engine'!BW53,10))&amp;IF('_Engine'!BW53&gt;10,"?","")&amp;" AM"&amp;CHAR(10)&amp;INDEX(Settings!$G$7:$G$11,MOD('_Engine'!BX53,10))&amp;IF('_Engine'!BX53&gt;10,"?","")&amp;" PM"))))))))</ns0:f>
        <ns0:v/>
      </ns0:c>
      <ns0:c r="O53" s="164" t="str">
        <ns0:f>IF(OR($A53="",O$11=""),"",IF(OR('_Engine'!$B$6&gt;0,INDEX('_Engine'!$AM$11:$AM$60,'_Engine'!$AO53)&lt;&gt;"OK"),"!",IF(INDEX(Team!$H$11:$N$60,'_Engine'!$AO53,WEEKDAY(O$11,2))&lt;&gt;"Work","—",IF(COUNTIF(Settings!$F$18:$F$67,O$11)&gt;0,"BH",IF('_Engine'!BY53+'_Engine'!BZ53=0,"·",IF('_Engine'!BY53='_Engine'!BZ53,INDEX(Settings!$G$7:$G$11,MOD('_Engine'!BY53,10))&amp;IF('_Engine'!BY53&gt;10,"?",""),IF('_Engine'!BY53=0,INDEX(Settings!$G$7:$G$11,MOD('_Engine'!BZ53,10))&amp;IF('_Engine'!BZ53&gt;10,"?","")&amp;" PM",IF('_Engine'!BZ53=0,INDEX(Settings!$G$7:$G$11,MOD('_Engine'!BY53,10))&amp;IF('_Engine'!BY53&gt;10,"?","")&amp;" AM",INDEX(Settings!$G$7:$G$11,MOD('_Engine'!BY53,10))&amp;IF('_Engine'!BY53&gt;10,"?","")&amp;" AM"&amp;CHAR(10)&amp;INDEX(Settings!$G$7:$G$11,MOD('_Engine'!BZ53,10))&amp;IF('_Engine'!BZ53&gt;10,"?","")&amp;" PM"))))))))</ns0:f>
        <ns0:v/>
      </ns0:c>
      <ns0:c r="P53" s="164" t="str">
        <ns0:f>IF(OR($A53="",P$11=""),"",IF(OR('_Engine'!$B$6&gt;0,INDEX('_Engine'!$AM$11:$AM$60,'_Engine'!$AO53)&lt;&gt;"OK"),"!",IF(INDEX(Team!$H$11:$N$60,'_Engine'!$AO53,WEEKDAY(P$11,2))&lt;&gt;"Work","—",IF(COUNTIF(Settings!$F$18:$F$67,P$11)&gt;0,"BH",IF('_Engine'!CA53+'_Engine'!CB53=0,"·",IF('_Engine'!CA53='_Engine'!CB53,INDEX(Settings!$G$7:$G$11,MOD('_Engine'!CA53,10))&amp;IF('_Engine'!CA53&gt;10,"?",""),IF('_Engine'!CA53=0,INDEX(Settings!$G$7:$G$11,MOD('_Engine'!CB53,10))&amp;IF('_Engine'!CB53&gt;10,"?","")&amp;" PM",IF('_Engine'!CB53=0,INDEX(Settings!$G$7:$G$11,MOD('_Engine'!CA53,10))&amp;IF('_Engine'!CA53&gt;10,"?","")&amp;" AM",INDEX(Settings!$G$7:$G$11,MOD('_Engine'!CA53,10))&amp;IF('_Engine'!CA53&gt;10,"?","")&amp;" AM"&amp;CHAR(10)&amp;INDEX(Settings!$G$7:$G$11,MOD('_Engine'!CB53,10))&amp;IF('_Engine'!CB53&gt;10,"?","")&amp;" PM"))))))))</ns0:f>
        <ns0:v/>
      </ns0:c>
      <ns0:c r="Q53" s="164" t="str">
        <ns0:f>IF(OR($A53="",Q$11=""),"",IF(OR('_Engine'!$B$6&gt;0,INDEX('_Engine'!$AM$11:$AM$60,'_Engine'!$AO53)&lt;&gt;"OK"),"!",IF(INDEX(Team!$H$11:$N$60,'_Engine'!$AO53,WEEKDAY(Q$11,2))&lt;&gt;"Work","—",IF(COUNTIF(Settings!$F$18:$F$67,Q$11)&gt;0,"BH",IF('_Engine'!CC53+'_Engine'!CD53=0,"·",IF('_Engine'!CC53='_Engine'!CD53,INDEX(Settings!$G$7:$G$11,MOD('_Engine'!CC53,10))&amp;IF('_Engine'!CC53&gt;10,"?",""),IF('_Engine'!CC53=0,INDEX(Settings!$G$7:$G$11,MOD('_Engine'!CD53,10))&amp;IF('_Engine'!CD53&gt;10,"?","")&amp;" PM",IF('_Engine'!CD53=0,INDEX(Settings!$G$7:$G$11,MOD('_Engine'!CC53,10))&amp;IF('_Engine'!CC53&gt;10,"?","")&amp;" AM",INDEX(Settings!$G$7:$G$11,MOD('_Engine'!CC53,10))&amp;IF('_Engine'!CC53&gt;10,"?","")&amp;" AM"&amp;CHAR(10)&amp;INDEX(Settings!$G$7:$G$11,MOD('_Engine'!CD53,10))&amp;IF('_Engine'!CD53&gt;10,"?","")&amp;" PM"))))))))</ns0:f>
        <ns0:v/>
      </ns0:c>
      <ns0:c r="R53" s="164" t="str">
        <ns0:f>IF(OR($A53="",R$11=""),"",IF(OR('_Engine'!$B$6&gt;0,INDEX('_Engine'!$AM$11:$AM$60,'_Engine'!$AO53)&lt;&gt;"OK"),"!",IF(INDEX(Team!$H$11:$N$60,'_Engine'!$AO53,WEEKDAY(R$11,2))&lt;&gt;"Work","—",IF(COUNTIF(Settings!$F$18:$F$67,R$11)&gt;0,"BH",IF('_Engine'!CE53+'_Engine'!CF53=0,"·",IF('_Engine'!CE53='_Engine'!CF53,INDEX(Settings!$G$7:$G$11,MOD('_Engine'!CE53,10))&amp;IF('_Engine'!CE53&gt;10,"?",""),IF('_Engine'!CE53=0,INDEX(Settings!$G$7:$G$11,MOD('_Engine'!CF53,10))&amp;IF('_Engine'!CF53&gt;10,"?","")&amp;" PM",IF('_Engine'!CF53=0,INDEX(Settings!$G$7:$G$11,MOD('_Engine'!CE53,10))&amp;IF('_Engine'!CE53&gt;10,"?","")&amp;" AM",INDEX(Settings!$G$7:$G$11,MOD('_Engine'!CE53,10))&amp;IF('_Engine'!CE53&gt;10,"?","")&amp;" AM"&amp;CHAR(10)&amp;INDEX(Settings!$G$7:$G$11,MOD('_Engine'!CF53,10))&amp;IF('_Engine'!CF53&gt;10,"?","")&amp;" PM"))))))))</ns0:f>
        <ns0:v/>
      </ns0:c>
      <ns0:c r="S53" s="164" t="str">
        <ns0:f>IF(OR($A53="",S$11=""),"",IF(OR('_Engine'!$B$6&gt;0,INDEX('_Engine'!$AM$11:$AM$60,'_Engine'!$AO53)&lt;&gt;"OK"),"!",IF(INDEX(Team!$H$11:$N$60,'_Engine'!$AO53,WEEKDAY(S$11,2))&lt;&gt;"Work","—",IF(COUNTIF(Settings!$F$18:$F$67,S$11)&gt;0,"BH",IF('_Engine'!CG53+'_Engine'!CH53=0,"·",IF('_Engine'!CG53='_Engine'!CH53,INDEX(Settings!$G$7:$G$11,MOD('_Engine'!CG53,10))&amp;IF('_Engine'!CG53&gt;10,"?",""),IF('_Engine'!CG53=0,INDEX(Settings!$G$7:$G$11,MOD('_Engine'!CH53,10))&amp;IF('_Engine'!CH53&gt;10,"?","")&amp;" PM",IF('_Engine'!CH53=0,INDEX(Settings!$G$7:$G$11,MOD('_Engine'!CG53,10))&amp;IF('_Engine'!CG53&gt;10,"?","")&amp;" AM",INDEX(Settings!$G$7:$G$11,MOD('_Engine'!CG53,10))&amp;IF('_Engine'!CG53&gt;10,"?","")&amp;" AM"&amp;CHAR(10)&amp;INDEX(Settings!$G$7:$G$11,MOD('_Engine'!CH53,10))&amp;IF('_Engine'!CH53&gt;10,"?","")&amp;" PM"))))))))</ns0:f>
        <ns0:v/>
      </ns0:c>
      <ns0:c r="T53" s="164" t="str">
        <ns0:f>IF(OR($A53="",T$11=""),"",IF(OR('_Engine'!$B$6&gt;0,INDEX('_Engine'!$AM$11:$AM$60,'_Engine'!$AO53)&lt;&gt;"OK"),"!",IF(INDEX(Team!$H$11:$N$60,'_Engine'!$AO53,WEEKDAY(T$11,2))&lt;&gt;"Work","—",IF(COUNTIF(Settings!$F$18:$F$67,T$11)&gt;0,"BH",IF('_Engine'!CI53+'_Engine'!CJ53=0,"·",IF('_Engine'!CI53='_Engine'!CJ53,INDEX(Settings!$G$7:$G$11,MOD('_Engine'!CI53,10))&amp;IF('_Engine'!CI53&gt;10,"?",""),IF('_Engine'!CI53=0,INDEX(Settings!$G$7:$G$11,MOD('_Engine'!CJ53,10))&amp;IF('_Engine'!CJ53&gt;10,"?","")&amp;" PM",IF('_Engine'!CJ53=0,INDEX(Settings!$G$7:$G$11,MOD('_Engine'!CI53,10))&amp;IF('_Engine'!CI53&gt;10,"?","")&amp;" AM",INDEX(Settings!$G$7:$G$11,MOD('_Engine'!CI53,10))&amp;IF('_Engine'!CI53&gt;10,"?","")&amp;" AM"&amp;CHAR(10)&amp;INDEX(Settings!$G$7:$G$11,MOD('_Engine'!CJ53,10))&amp;IF('_Engine'!CJ53&gt;10,"?","")&amp;" PM"))))))))</ns0:f>
        <ns0:v/>
      </ns0:c>
      <ns0:c r="U53" s="164" t="str">
        <ns0:f>IF(OR($A53="",U$11=""),"",IF(OR('_Engine'!$B$6&gt;0,INDEX('_Engine'!$AM$11:$AM$60,'_Engine'!$AO53)&lt;&gt;"OK"),"!",IF(INDEX(Team!$H$11:$N$60,'_Engine'!$AO53,WEEKDAY(U$11,2))&lt;&gt;"Work","—",IF(COUNTIF(Settings!$F$18:$F$67,U$11)&gt;0,"BH",IF('_Engine'!CK53+'_Engine'!CL53=0,"·",IF('_Engine'!CK53='_Engine'!CL53,INDEX(Settings!$G$7:$G$11,MOD('_Engine'!CK53,10))&amp;IF('_Engine'!CK53&gt;10,"?",""),IF('_Engine'!CK53=0,INDEX(Settings!$G$7:$G$11,MOD('_Engine'!CL53,10))&amp;IF('_Engine'!CL53&gt;10,"?","")&amp;" PM",IF('_Engine'!CL53=0,INDEX(Settings!$G$7:$G$11,MOD('_Engine'!CK53,10))&amp;IF('_Engine'!CK53&gt;10,"?","")&amp;" AM",INDEX(Settings!$G$7:$G$11,MOD('_Engine'!CK53,10))&amp;IF('_Engine'!CK53&gt;10,"?","")&amp;" AM"&amp;CHAR(10)&amp;INDEX(Settings!$G$7:$G$11,MOD('_Engine'!CL53,10))&amp;IF('_Engine'!CL53&gt;10,"?","")&amp;" PM"))))))))</ns0:f>
        <ns0:v/>
      </ns0:c>
      <ns0:c r="V53" s="164" t="str">
        <ns0:f>IF(OR($A53="",V$11=""),"",IF(OR('_Engine'!$B$6&gt;0,INDEX('_Engine'!$AM$11:$AM$60,'_Engine'!$AO53)&lt;&gt;"OK"),"!",IF(INDEX(Team!$H$11:$N$60,'_Engine'!$AO53,WEEKDAY(V$11,2))&lt;&gt;"Work","—",IF(COUNTIF(Settings!$F$18:$F$67,V$11)&gt;0,"BH",IF('_Engine'!CM53+'_Engine'!CN53=0,"·",IF('_Engine'!CM53='_Engine'!CN53,INDEX(Settings!$G$7:$G$11,MOD('_Engine'!CM53,10))&amp;IF('_Engine'!CM53&gt;10,"?",""),IF('_Engine'!CM53=0,INDEX(Settings!$G$7:$G$11,MOD('_Engine'!CN53,10))&amp;IF('_Engine'!CN53&gt;10,"?","")&amp;" PM",IF('_Engine'!CN53=0,INDEX(Settings!$G$7:$G$11,MOD('_Engine'!CM53,10))&amp;IF('_Engine'!CM53&gt;10,"?","")&amp;" AM",INDEX(Settings!$G$7:$G$11,MOD('_Engine'!CM53,10))&amp;IF('_Engine'!CM53&gt;10,"?","")&amp;" AM"&amp;CHAR(10)&amp;INDEX(Settings!$G$7:$G$11,MOD('_Engine'!CN53,10))&amp;IF('_Engine'!CN53&gt;10,"?","")&amp;" PM"))))))))</ns0:f>
        <ns0:v/>
      </ns0:c>
      <ns0:c r="W53" s="164" t="str">
        <ns0:f>IF(OR($A53="",W$11=""),"",IF(OR('_Engine'!$B$6&gt;0,INDEX('_Engine'!$AM$11:$AM$60,'_Engine'!$AO53)&lt;&gt;"OK"),"!",IF(INDEX(Team!$H$11:$N$60,'_Engine'!$AO53,WEEKDAY(W$11,2))&lt;&gt;"Work","—",IF(COUNTIF(Settings!$F$18:$F$67,W$11)&gt;0,"BH",IF('_Engine'!CO53+'_Engine'!CP53=0,"·",IF('_Engine'!CO53='_Engine'!CP53,INDEX(Settings!$G$7:$G$11,MOD('_Engine'!CO53,10))&amp;IF('_Engine'!CO53&gt;10,"?",""),IF('_Engine'!CO53=0,INDEX(Settings!$G$7:$G$11,MOD('_Engine'!CP53,10))&amp;IF('_Engine'!CP53&gt;10,"?","")&amp;" PM",IF('_Engine'!CP53=0,INDEX(Settings!$G$7:$G$11,MOD('_Engine'!CO53,10))&amp;IF('_Engine'!CO53&gt;10,"?","")&amp;" AM",INDEX(Settings!$G$7:$G$11,MOD('_Engine'!CO53,10))&amp;IF('_Engine'!CO53&gt;10,"?","")&amp;" AM"&amp;CHAR(10)&amp;INDEX(Settings!$G$7:$G$11,MOD('_Engine'!CP53,10))&amp;IF('_Engine'!CP53&gt;10,"?","")&amp;" PM"))))))))</ns0:f>
        <ns0:v/>
      </ns0:c>
      <ns0:c r="X53" s="164" t="str">
        <ns0:f>IF(OR($A53="",X$11=""),"",IF(OR('_Engine'!$B$6&gt;0,INDEX('_Engine'!$AM$11:$AM$60,'_Engine'!$AO53)&lt;&gt;"OK"),"!",IF(INDEX(Team!$H$11:$N$60,'_Engine'!$AO53,WEEKDAY(X$11,2))&lt;&gt;"Work","—",IF(COUNTIF(Settings!$F$18:$F$67,X$11)&gt;0,"BH",IF('_Engine'!CQ53+'_Engine'!CR53=0,"·",IF('_Engine'!CQ53='_Engine'!CR53,INDEX(Settings!$G$7:$G$11,MOD('_Engine'!CQ53,10))&amp;IF('_Engine'!CQ53&gt;10,"?",""),IF('_Engine'!CQ53=0,INDEX(Settings!$G$7:$G$11,MOD('_Engine'!CR53,10))&amp;IF('_Engine'!CR53&gt;10,"?","")&amp;" PM",IF('_Engine'!CR53=0,INDEX(Settings!$G$7:$G$11,MOD('_Engine'!CQ53,10))&amp;IF('_Engine'!CQ53&gt;10,"?","")&amp;" AM",INDEX(Settings!$G$7:$G$11,MOD('_Engine'!CQ53,10))&amp;IF('_Engine'!CQ53&gt;10,"?","")&amp;" AM"&amp;CHAR(10)&amp;INDEX(Settings!$G$7:$G$11,MOD('_Engine'!CR53,10))&amp;IF('_Engine'!CR53&gt;10,"?","")&amp;" PM"))))))))</ns0:f>
        <ns0:v/>
      </ns0:c>
      <ns0:c r="Y53" s="164" t="str">
        <ns0:f>IF(OR($A53="",Y$11=""),"",IF(OR('_Engine'!$B$6&gt;0,INDEX('_Engine'!$AM$11:$AM$60,'_Engine'!$AO53)&lt;&gt;"OK"),"!",IF(INDEX(Team!$H$11:$N$60,'_Engine'!$AO53,WEEKDAY(Y$11,2))&lt;&gt;"Work","—",IF(COUNTIF(Settings!$F$18:$F$67,Y$11)&gt;0,"BH",IF('_Engine'!CS53+'_Engine'!CT53=0,"·",IF('_Engine'!CS53='_Engine'!CT53,INDEX(Settings!$G$7:$G$11,MOD('_Engine'!CS53,10))&amp;IF('_Engine'!CS53&gt;10,"?",""),IF('_Engine'!CS53=0,INDEX(Settings!$G$7:$G$11,MOD('_Engine'!CT53,10))&amp;IF('_Engine'!CT53&gt;10,"?","")&amp;" PM",IF('_Engine'!CT53=0,INDEX(Settings!$G$7:$G$11,MOD('_Engine'!CS53,10))&amp;IF('_Engine'!CS53&gt;10,"?","")&amp;" AM",INDEX(Settings!$G$7:$G$11,MOD('_Engine'!CS53,10))&amp;IF('_Engine'!CS53&gt;10,"?","")&amp;" AM"&amp;CHAR(10)&amp;INDEX(Settings!$G$7:$G$11,MOD('_Engine'!CT53,10))&amp;IF('_Engine'!CT53&gt;10,"?","")&amp;" PM"))))))))</ns0:f>
        <ns0:v/>
      </ns0:c>
      <ns0:c r="Z53" s="164" t="str">
        <ns0:f>IF(OR($A53="",Z$11=""),"",IF(OR('_Engine'!$B$6&gt;0,INDEX('_Engine'!$AM$11:$AM$60,'_Engine'!$AO53)&lt;&gt;"OK"),"!",IF(INDEX(Team!$H$11:$N$60,'_Engine'!$AO53,WEEKDAY(Z$11,2))&lt;&gt;"Work","—",IF(COUNTIF(Settings!$F$18:$F$67,Z$11)&gt;0,"BH",IF('_Engine'!CU53+'_Engine'!CV53=0,"·",IF('_Engine'!CU53='_Engine'!CV53,INDEX(Settings!$G$7:$G$11,MOD('_Engine'!CU53,10))&amp;IF('_Engine'!CU53&gt;10,"?",""),IF('_Engine'!CU53=0,INDEX(Settings!$G$7:$G$11,MOD('_Engine'!CV53,10))&amp;IF('_Engine'!CV53&gt;10,"?","")&amp;" PM",IF('_Engine'!CV53=0,INDEX(Settings!$G$7:$G$11,MOD('_Engine'!CU53,10))&amp;IF('_Engine'!CU53&gt;10,"?","")&amp;" AM",INDEX(Settings!$G$7:$G$11,MOD('_Engine'!CU53,10))&amp;IF('_Engine'!CU53&gt;10,"?","")&amp;" AM"&amp;CHAR(10)&amp;INDEX(Settings!$G$7:$G$11,MOD('_Engine'!CV53,10))&amp;IF('_Engine'!CV53&gt;10,"?","")&amp;" PM"))))))))</ns0:f>
        <ns0:v/>
      </ns0:c>
      <ns0:c r="AA53" s="164" t="str">
        <ns0:f>IF(OR($A53="",AA$11=""),"",IF(OR('_Engine'!$B$6&gt;0,INDEX('_Engine'!$AM$11:$AM$60,'_Engine'!$AO53)&lt;&gt;"OK"),"!",IF(INDEX(Team!$H$11:$N$60,'_Engine'!$AO53,WEEKDAY(AA$11,2))&lt;&gt;"Work","—",IF(COUNTIF(Settings!$F$18:$F$67,AA$11)&gt;0,"BH",IF('_Engine'!CW53+'_Engine'!CX53=0,"·",IF('_Engine'!CW53='_Engine'!CX53,INDEX(Settings!$G$7:$G$11,MOD('_Engine'!CW53,10))&amp;IF('_Engine'!CW53&gt;10,"?",""),IF('_Engine'!CW53=0,INDEX(Settings!$G$7:$G$11,MOD('_Engine'!CX53,10))&amp;IF('_Engine'!CX53&gt;10,"?","")&amp;" PM",IF('_Engine'!CX53=0,INDEX(Settings!$G$7:$G$11,MOD('_Engine'!CW53,10))&amp;IF('_Engine'!CW53&gt;10,"?","")&amp;" AM",INDEX(Settings!$G$7:$G$11,MOD('_Engine'!CW53,10))&amp;IF('_Engine'!CW53&gt;10,"?","")&amp;" AM"&amp;CHAR(10)&amp;INDEX(Settings!$G$7:$G$11,MOD('_Engine'!CX53,10))&amp;IF('_Engine'!CX53&gt;10,"?","")&amp;" PM"))))))))</ns0:f>
        <ns0:v/>
      </ns0:c>
      <ns0:c r="AB53" s="164" t="str">
        <ns0:f>IF(OR($A53="",AB$11=""),"",IF(OR('_Engine'!$B$6&gt;0,INDEX('_Engine'!$AM$11:$AM$60,'_Engine'!$AO53)&lt;&gt;"OK"),"!",IF(INDEX(Team!$H$11:$N$60,'_Engine'!$AO53,WEEKDAY(AB$11,2))&lt;&gt;"Work","—",IF(COUNTIF(Settings!$F$18:$F$67,AB$11)&gt;0,"BH",IF('_Engine'!CY53+'_Engine'!CZ53=0,"·",IF('_Engine'!CY53='_Engine'!CZ53,INDEX(Settings!$G$7:$G$11,MOD('_Engine'!CY53,10))&amp;IF('_Engine'!CY53&gt;10,"?",""),IF('_Engine'!CY53=0,INDEX(Settings!$G$7:$G$11,MOD('_Engine'!CZ53,10))&amp;IF('_Engine'!CZ53&gt;10,"?","")&amp;" PM",IF('_Engine'!CZ53=0,INDEX(Settings!$G$7:$G$11,MOD('_Engine'!CY53,10))&amp;IF('_Engine'!CY53&gt;10,"?","")&amp;" AM",INDEX(Settings!$G$7:$G$11,MOD('_Engine'!CY53,10))&amp;IF('_Engine'!CY53&gt;10,"?","")&amp;" AM"&amp;CHAR(10)&amp;INDEX(Settings!$G$7:$G$11,MOD('_Engine'!CZ53,10))&amp;IF('_Engine'!CZ53&gt;10,"?","")&amp;" PM"))))))))</ns0:f>
        <ns0:v/>
      </ns0:c>
      <ns0:c r="AC53" s="164" t="str">
        <ns0:f>IF(OR($A53="",AC$11=""),"",IF(OR('_Engine'!$B$6&gt;0,INDEX('_Engine'!$AM$11:$AM$60,'_Engine'!$AO53)&lt;&gt;"OK"),"!",IF(INDEX(Team!$H$11:$N$60,'_Engine'!$AO53,WEEKDAY(AC$11,2))&lt;&gt;"Work","—",IF(COUNTIF(Settings!$F$18:$F$67,AC$11)&gt;0,"BH",IF('_Engine'!DA53+'_Engine'!DB53=0,"·",IF('_Engine'!DA53='_Engine'!DB53,INDEX(Settings!$G$7:$G$11,MOD('_Engine'!DA53,10))&amp;IF('_Engine'!DA53&gt;10,"?",""),IF('_Engine'!DA53=0,INDEX(Settings!$G$7:$G$11,MOD('_Engine'!DB53,10))&amp;IF('_Engine'!DB53&gt;10,"?","")&amp;" PM",IF('_Engine'!DB53=0,INDEX(Settings!$G$7:$G$11,MOD('_Engine'!DA53,10))&amp;IF('_Engine'!DA53&gt;10,"?","")&amp;" AM",INDEX(Settings!$G$7:$G$11,MOD('_Engine'!DA53,10))&amp;IF('_Engine'!DA53&gt;10,"?","")&amp;" AM"&amp;CHAR(10)&amp;INDEX(Settings!$G$7:$G$11,MOD('_Engine'!DB53,10))&amp;IF('_Engine'!DB53&gt;10,"?","")&amp;" PM"))))))))</ns0:f>
        <ns0:v/>
      </ns0:c>
      <ns0:c r="AD53" s="164" t="str">
        <ns0:f>IF(OR($A53="",AD$11=""),"",IF(OR('_Engine'!$B$6&gt;0,INDEX('_Engine'!$AM$11:$AM$60,'_Engine'!$AO53)&lt;&gt;"OK"),"!",IF(INDEX(Team!$H$11:$N$60,'_Engine'!$AO53,WEEKDAY(AD$11,2))&lt;&gt;"Work","—",IF(COUNTIF(Settings!$F$18:$F$67,AD$11)&gt;0,"BH",IF('_Engine'!DC53+'_Engine'!DD53=0,"·",IF('_Engine'!DC53='_Engine'!DD53,INDEX(Settings!$G$7:$G$11,MOD('_Engine'!DC53,10))&amp;IF('_Engine'!DC53&gt;10,"?",""),IF('_Engine'!DC53=0,INDEX(Settings!$G$7:$G$11,MOD('_Engine'!DD53,10))&amp;IF('_Engine'!DD53&gt;10,"?","")&amp;" PM",IF('_Engine'!DD53=0,INDEX(Settings!$G$7:$G$11,MOD('_Engine'!DC53,10))&amp;IF('_Engine'!DC53&gt;10,"?","")&amp;" AM",INDEX(Settings!$G$7:$G$11,MOD('_Engine'!DC53,10))&amp;IF('_Engine'!DC53&gt;10,"?","")&amp;" AM"&amp;CHAR(10)&amp;INDEX(Settings!$G$7:$G$11,MOD('_Engine'!DD53,10))&amp;IF('_Engine'!DD53&gt;10,"?","")&amp;" PM"))))))))</ns0:f>
        <ns0:v/>
      </ns0:c>
      <ns0:c r="AE53" s="164" t="str">
        <ns0:f>IF(OR($A53="",AE$11=""),"",IF(OR('_Engine'!$B$6&gt;0,INDEX('_Engine'!$AM$11:$AM$60,'_Engine'!$AO53)&lt;&gt;"OK"),"!",IF(INDEX(Team!$H$11:$N$60,'_Engine'!$AO53,WEEKDAY(AE$11,2))&lt;&gt;"Work","—",IF(COUNTIF(Settings!$F$18:$F$67,AE$11)&gt;0,"BH",IF('_Engine'!DE53+'_Engine'!DF53=0,"·",IF('_Engine'!DE53='_Engine'!DF53,INDEX(Settings!$G$7:$G$11,MOD('_Engine'!DE53,10))&amp;IF('_Engine'!DE53&gt;10,"?",""),IF('_Engine'!DE53=0,INDEX(Settings!$G$7:$G$11,MOD('_Engine'!DF53,10))&amp;IF('_Engine'!DF53&gt;10,"?","")&amp;" PM",IF('_Engine'!DF53=0,INDEX(Settings!$G$7:$G$11,MOD('_Engine'!DE53,10))&amp;IF('_Engine'!DE53&gt;10,"?","")&amp;" AM",INDEX(Settings!$G$7:$G$11,MOD('_Engine'!DE53,10))&amp;IF('_Engine'!DE53&gt;10,"?","")&amp;" AM"&amp;CHAR(10)&amp;INDEX(Settings!$G$7:$G$11,MOD('_Engine'!DF53,10))&amp;IF('_Engine'!DF53&gt;10,"?","")&amp;" PM"))))))))</ns0:f>
        <ns0:v/>
      </ns0:c>
      <ns0:c r="AF53" s="164" t="str">
        <ns0:f>IF(OR($A53="",AF$11=""),"",IF(OR('_Engine'!$B$6&gt;0,INDEX('_Engine'!$AM$11:$AM$60,'_Engine'!$AO53)&lt;&gt;"OK"),"!",IF(INDEX(Team!$H$11:$N$60,'_Engine'!$AO53,WEEKDAY(AF$11,2))&lt;&gt;"Work","—",IF(COUNTIF(Settings!$F$18:$F$67,AF$11)&gt;0,"BH",IF('_Engine'!DG53+'_Engine'!DH53=0,"·",IF('_Engine'!DG53='_Engine'!DH53,INDEX(Settings!$G$7:$G$11,MOD('_Engine'!DG53,10))&amp;IF('_Engine'!DG53&gt;10,"?",""),IF('_Engine'!DG53=0,INDEX(Settings!$G$7:$G$11,MOD('_Engine'!DH53,10))&amp;IF('_Engine'!DH53&gt;10,"?","")&amp;" PM",IF('_Engine'!DH53=0,INDEX(Settings!$G$7:$G$11,MOD('_Engine'!DG53,10))&amp;IF('_Engine'!DG53&gt;10,"?","")&amp;" AM",INDEX(Settings!$G$7:$G$11,MOD('_Engine'!DG53,10))&amp;IF('_Engine'!DG53&gt;10,"?","")&amp;" AM"&amp;CHAR(10)&amp;INDEX(Settings!$G$7:$G$11,MOD('_Engine'!DH53,10))&amp;IF('_Engine'!DH53&gt;10,"?","")&amp;" PM"))))))))</ns0:f>
        <ns0:v/>
      </ns0:c>
      <ns0:c r="AG53" s="164" t="str">
        <ns0:f>IF(OR($A53="",AG$11=""),"",IF(OR('_Engine'!$B$6&gt;0,INDEX('_Engine'!$AM$11:$AM$60,'_Engine'!$AO53)&lt;&gt;"OK"),"!",IF(INDEX(Team!$H$11:$N$60,'_Engine'!$AO53,WEEKDAY(AG$11,2))&lt;&gt;"Work","—",IF(COUNTIF(Settings!$F$18:$F$67,AG$11)&gt;0,"BH",IF('_Engine'!DI53+'_Engine'!DJ53=0,"·",IF('_Engine'!DI53='_Engine'!DJ53,INDEX(Settings!$G$7:$G$11,MOD('_Engine'!DI53,10))&amp;IF('_Engine'!DI53&gt;10,"?",""),IF('_Engine'!DI53=0,INDEX(Settings!$G$7:$G$11,MOD('_Engine'!DJ53,10))&amp;IF('_Engine'!DJ53&gt;10,"?","")&amp;" PM",IF('_Engine'!DJ53=0,INDEX(Settings!$G$7:$G$11,MOD('_Engine'!DI53,10))&amp;IF('_Engine'!DI53&gt;10,"?","")&amp;" AM",INDEX(Settings!$G$7:$G$11,MOD('_Engine'!DI53,10))&amp;IF('_Engine'!DI53&gt;10,"?","")&amp;" AM"&amp;CHAR(10)&amp;INDEX(Settings!$G$7:$G$11,MOD('_Engine'!DJ53,10))&amp;IF('_Engine'!DJ53&gt;10,"?","")&amp;" PM"))))))))</ns0:f>
        <ns0:v/>
      </ns0:c>
      <ns0:c r="AH53" s="164" t="str">
        <ns0:f>IF(OR($A53="",AH$11=""),"",IF(OR('_Engine'!$B$6&gt;0,INDEX('_Engine'!$AM$11:$AM$60,'_Engine'!$AO53)&lt;&gt;"OK"),"!",IF(INDEX(Team!$H$11:$N$60,'_Engine'!$AO53,WEEKDAY(AH$11,2))&lt;&gt;"Work","—",IF(COUNTIF(Settings!$F$18:$F$67,AH$11)&gt;0,"BH",IF('_Engine'!DK53+'_Engine'!DL53=0,"·",IF('_Engine'!DK53='_Engine'!DL53,INDEX(Settings!$G$7:$G$11,MOD('_Engine'!DK53,10))&amp;IF('_Engine'!DK53&gt;10,"?",""),IF('_Engine'!DK53=0,INDEX(Settings!$G$7:$G$11,MOD('_Engine'!DL53,10))&amp;IF('_Engine'!DL53&gt;10,"?","")&amp;" PM",IF('_Engine'!DL53=0,INDEX(Settings!$G$7:$G$11,MOD('_Engine'!DK53,10))&amp;IF('_Engine'!DK53&gt;10,"?","")&amp;" AM",INDEX(Settings!$G$7:$G$11,MOD('_Engine'!DK53,10))&amp;IF('_Engine'!DK53&gt;10,"?","")&amp;" AM"&amp;CHAR(10)&amp;INDEX(Settings!$G$7:$G$11,MOD('_Engine'!DL53,10))&amp;IF('_Engine'!DL53&gt;10,"?","")&amp;" PM"))))))))</ns0:f>
        <ns0:v/>
      </ns0:c>
    </ns0:row>
    <ns0:row r="54" ht="38" customHeight="1">
      <ns0:c r="A54" s="4" t="str">
        <ns0:f>IF('_Engine'!AO54=0,"",IF(INDEX(Team!$B$11:$B$60,'_Engine'!AO54)="","[Unnamed]",INDEX(Team!$B$11:$B$60,'_Engine'!AO54)))</ns0:f>
        <ns0:v/>
      </ns0:c>
      <ns0:c r="B54" s="156" t="str">
        <ns0:f>IF('_Engine'!AO54=0,"",INDEX('_Engine'!$AN$11:$AN$60,'_Engine'!AO54))</ns0:f>
        <ns0:v/>
      </ns0:c>
      <ns0:c r="C54" s="4" t="str">
        <ns0:f>IF('_Engine'!AO54=0,"",INDEX(Team!$C$11:$C$60,'_Engine'!AO54))</ns0:f>
        <ns0:v/>
      </ns0:c>
      <ns0:c r="D54" s="162" t="str">
        <ns0:f>IF(OR($A54="",D$11=""),"",IF(OR('_Engine'!$B$6&gt;0,INDEX('_Engine'!$AM$11:$AM$60,'_Engine'!$AO54)&lt;&gt;"OK"),"!",IF(INDEX(Team!$H$11:$N$60,'_Engine'!$AO54,WEEKDAY(D$11,2))&lt;&gt;"Work","—",IF(COUNTIF(Settings!$F$18:$F$67,D$11)&gt;0,"BH",IF('_Engine'!BC54+'_Engine'!BD54=0,"·",IF('_Engine'!BC54='_Engine'!BD54,INDEX(Settings!$G$7:$G$11,MOD('_Engine'!BC54,10))&amp;IF('_Engine'!BC54&gt;10,"?",""),IF('_Engine'!BC54=0,INDEX(Settings!$G$7:$G$11,MOD('_Engine'!BD54,10))&amp;IF('_Engine'!BD54&gt;10,"?","")&amp;" PM",IF('_Engine'!BD54=0,INDEX(Settings!$G$7:$G$11,MOD('_Engine'!BC54,10))&amp;IF('_Engine'!BC54&gt;10,"?","")&amp;" AM",INDEX(Settings!$G$7:$G$11,MOD('_Engine'!BC54,10))&amp;IF('_Engine'!BC54&gt;10,"?","")&amp;" AM"&amp;CHAR(10)&amp;INDEX(Settings!$G$7:$G$11,MOD('_Engine'!BD54,10))&amp;IF('_Engine'!BD54&gt;10,"?","")&amp;" PM"))))))))</ns0:f>
        <ns0:v/>
      </ns0:c>
      <ns0:c r="E54" s="162" t="str">
        <ns0:f>IF(OR($A54="",E$11=""),"",IF(OR('_Engine'!$B$6&gt;0,INDEX('_Engine'!$AM$11:$AM$60,'_Engine'!$AO54)&lt;&gt;"OK"),"!",IF(INDEX(Team!$H$11:$N$60,'_Engine'!$AO54,WEEKDAY(E$11,2))&lt;&gt;"Work","—",IF(COUNTIF(Settings!$F$18:$F$67,E$11)&gt;0,"BH",IF('_Engine'!BE54+'_Engine'!BF54=0,"·",IF('_Engine'!BE54='_Engine'!BF54,INDEX(Settings!$G$7:$G$11,MOD('_Engine'!BE54,10))&amp;IF('_Engine'!BE54&gt;10,"?",""),IF('_Engine'!BE54=0,INDEX(Settings!$G$7:$G$11,MOD('_Engine'!BF54,10))&amp;IF('_Engine'!BF54&gt;10,"?","")&amp;" PM",IF('_Engine'!BF54=0,INDEX(Settings!$G$7:$G$11,MOD('_Engine'!BE54,10))&amp;IF('_Engine'!BE54&gt;10,"?","")&amp;" AM",INDEX(Settings!$G$7:$G$11,MOD('_Engine'!BE54,10))&amp;IF('_Engine'!BE54&gt;10,"?","")&amp;" AM"&amp;CHAR(10)&amp;INDEX(Settings!$G$7:$G$11,MOD('_Engine'!BF54,10))&amp;IF('_Engine'!BF54&gt;10,"?","")&amp;" PM"))))))))</ns0:f>
        <ns0:v/>
      </ns0:c>
      <ns0:c r="F54" s="162" t="str">
        <ns0:f>IF(OR($A54="",F$11=""),"",IF(OR('_Engine'!$B$6&gt;0,INDEX('_Engine'!$AM$11:$AM$60,'_Engine'!$AO54)&lt;&gt;"OK"),"!",IF(INDEX(Team!$H$11:$N$60,'_Engine'!$AO54,WEEKDAY(F$11,2))&lt;&gt;"Work","—",IF(COUNTIF(Settings!$F$18:$F$67,F$11)&gt;0,"BH",IF('_Engine'!BG54+'_Engine'!BH54=0,"·",IF('_Engine'!BG54='_Engine'!BH54,INDEX(Settings!$G$7:$G$11,MOD('_Engine'!BG54,10))&amp;IF('_Engine'!BG54&gt;10,"?",""),IF('_Engine'!BG54=0,INDEX(Settings!$G$7:$G$11,MOD('_Engine'!BH54,10))&amp;IF('_Engine'!BH54&gt;10,"?","")&amp;" PM",IF('_Engine'!BH54=0,INDEX(Settings!$G$7:$G$11,MOD('_Engine'!BG54,10))&amp;IF('_Engine'!BG54&gt;10,"?","")&amp;" AM",INDEX(Settings!$G$7:$G$11,MOD('_Engine'!BG54,10))&amp;IF('_Engine'!BG54&gt;10,"?","")&amp;" AM"&amp;CHAR(10)&amp;INDEX(Settings!$G$7:$G$11,MOD('_Engine'!BH54,10))&amp;IF('_Engine'!BH54&gt;10,"?","")&amp;" PM"))))))))</ns0:f>
        <ns0:v/>
      </ns0:c>
      <ns0:c r="G54" s="162" t="str">
        <ns0:f>IF(OR($A54="",G$11=""),"",IF(OR('_Engine'!$B$6&gt;0,INDEX('_Engine'!$AM$11:$AM$60,'_Engine'!$AO54)&lt;&gt;"OK"),"!",IF(INDEX(Team!$H$11:$N$60,'_Engine'!$AO54,WEEKDAY(G$11,2))&lt;&gt;"Work","—",IF(COUNTIF(Settings!$F$18:$F$67,G$11)&gt;0,"BH",IF('_Engine'!BI54+'_Engine'!BJ54=0,"·",IF('_Engine'!BI54='_Engine'!BJ54,INDEX(Settings!$G$7:$G$11,MOD('_Engine'!BI54,10))&amp;IF('_Engine'!BI54&gt;10,"?",""),IF('_Engine'!BI54=0,INDEX(Settings!$G$7:$G$11,MOD('_Engine'!BJ54,10))&amp;IF('_Engine'!BJ54&gt;10,"?","")&amp;" PM",IF('_Engine'!BJ54=0,INDEX(Settings!$G$7:$G$11,MOD('_Engine'!BI54,10))&amp;IF('_Engine'!BI54&gt;10,"?","")&amp;" AM",INDEX(Settings!$G$7:$G$11,MOD('_Engine'!BI54,10))&amp;IF('_Engine'!BI54&gt;10,"?","")&amp;" AM"&amp;CHAR(10)&amp;INDEX(Settings!$G$7:$G$11,MOD('_Engine'!BJ54,10))&amp;IF('_Engine'!BJ54&gt;10,"?","")&amp;" PM"))))))))</ns0:f>
        <ns0:v/>
      </ns0:c>
      <ns0:c r="H54" s="162" t="str">
        <ns0:f>IF(OR($A54="",H$11=""),"",IF(OR('_Engine'!$B$6&gt;0,INDEX('_Engine'!$AM$11:$AM$60,'_Engine'!$AO54)&lt;&gt;"OK"),"!",IF(INDEX(Team!$H$11:$N$60,'_Engine'!$AO54,WEEKDAY(H$11,2))&lt;&gt;"Work","—",IF(COUNTIF(Settings!$F$18:$F$67,H$11)&gt;0,"BH",IF('_Engine'!BK54+'_Engine'!BL54=0,"·",IF('_Engine'!BK54='_Engine'!BL54,INDEX(Settings!$G$7:$G$11,MOD('_Engine'!BK54,10))&amp;IF('_Engine'!BK54&gt;10,"?",""),IF('_Engine'!BK54=0,INDEX(Settings!$G$7:$G$11,MOD('_Engine'!BL54,10))&amp;IF('_Engine'!BL54&gt;10,"?","")&amp;" PM",IF('_Engine'!BL54=0,INDEX(Settings!$G$7:$G$11,MOD('_Engine'!BK54,10))&amp;IF('_Engine'!BK54&gt;10,"?","")&amp;" AM",INDEX(Settings!$G$7:$G$11,MOD('_Engine'!BK54,10))&amp;IF('_Engine'!BK54&gt;10,"?","")&amp;" AM"&amp;CHAR(10)&amp;INDEX(Settings!$G$7:$G$11,MOD('_Engine'!BL54,10))&amp;IF('_Engine'!BL54&gt;10,"?","")&amp;" PM"))))))))</ns0:f>
        <ns0:v/>
      </ns0:c>
      <ns0:c r="I54" s="162" t="str">
        <ns0:f>IF(OR($A54="",I$11=""),"",IF(OR('_Engine'!$B$6&gt;0,INDEX('_Engine'!$AM$11:$AM$60,'_Engine'!$AO54)&lt;&gt;"OK"),"!",IF(INDEX(Team!$H$11:$N$60,'_Engine'!$AO54,WEEKDAY(I$11,2))&lt;&gt;"Work","—",IF(COUNTIF(Settings!$F$18:$F$67,I$11)&gt;0,"BH",IF('_Engine'!BM54+'_Engine'!BN54=0,"·",IF('_Engine'!BM54='_Engine'!BN54,INDEX(Settings!$G$7:$G$11,MOD('_Engine'!BM54,10))&amp;IF('_Engine'!BM54&gt;10,"?",""),IF('_Engine'!BM54=0,INDEX(Settings!$G$7:$G$11,MOD('_Engine'!BN54,10))&amp;IF('_Engine'!BN54&gt;10,"?","")&amp;" PM",IF('_Engine'!BN54=0,INDEX(Settings!$G$7:$G$11,MOD('_Engine'!BM54,10))&amp;IF('_Engine'!BM54&gt;10,"?","")&amp;" AM",INDEX(Settings!$G$7:$G$11,MOD('_Engine'!BM54,10))&amp;IF('_Engine'!BM54&gt;10,"?","")&amp;" AM"&amp;CHAR(10)&amp;INDEX(Settings!$G$7:$G$11,MOD('_Engine'!BN54,10))&amp;IF('_Engine'!BN54&gt;10,"?","")&amp;" PM"))))))))</ns0:f>
        <ns0:v/>
      </ns0:c>
      <ns0:c r="J54" s="162" t="str">
        <ns0:f>IF(OR($A54="",J$11=""),"",IF(OR('_Engine'!$B$6&gt;0,INDEX('_Engine'!$AM$11:$AM$60,'_Engine'!$AO54)&lt;&gt;"OK"),"!",IF(INDEX(Team!$H$11:$N$60,'_Engine'!$AO54,WEEKDAY(J$11,2))&lt;&gt;"Work","—",IF(COUNTIF(Settings!$F$18:$F$67,J$11)&gt;0,"BH",IF('_Engine'!BO54+'_Engine'!BP54=0,"·",IF('_Engine'!BO54='_Engine'!BP54,INDEX(Settings!$G$7:$G$11,MOD('_Engine'!BO54,10))&amp;IF('_Engine'!BO54&gt;10,"?",""),IF('_Engine'!BO54=0,INDEX(Settings!$G$7:$G$11,MOD('_Engine'!BP54,10))&amp;IF('_Engine'!BP54&gt;10,"?","")&amp;" PM",IF('_Engine'!BP54=0,INDEX(Settings!$G$7:$G$11,MOD('_Engine'!BO54,10))&amp;IF('_Engine'!BO54&gt;10,"?","")&amp;" AM",INDEX(Settings!$G$7:$G$11,MOD('_Engine'!BO54,10))&amp;IF('_Engine'!BO54&gt;10,"?","")&amp;" AM"&amp;CHAR(10)&amp;INDEX(Settings!$G$7:$G$11,MOD('_Engine'!BP54,10))&amp;IF('_Engine'!BP54&gt;10,"?","")&amp;" PM"))))))))</ns0:f>
        <ns0:v/>
      </ns0:c>
      <ns0:c r="K54" s="164" t="str">
        <ns0:f>IF(OR($A54="",K$11=""),"",IF(OR('_Engine'!$B$6&gt;0,INDEX('_Engine'!$AM$11:$AM$60,'_Engine'!$AO54)&lt;&gt;"OK"),"!",IF(INDEX(Team!$H$11:$N$60,'_Engine'!$AO54,WEEKDAY(K$11,2))&lt;&gt;"Work","—",IF(COUNTIF(Settings!$F$18:$F$67,K$11)&gt;0,"BH",IF('_Engine'!BQ54+'_Engine'!BR54=0,"·",IF('_Engine'!BQ54='_Engine'!BR54,INDEX(Settings!$G$7:$G$11,MOD('_Engine'!BQ54,10))&amp;IF('_Engine'!BQ54&gt;10,"?",""),IF('_Engine'!BQ54=0,INDEX(Settings!$G$7:$G$11,MOD('_Engine'!BR54,10))&amp;IF('_Engine'!BR54&gt;10,"?","")&amp;" PM",IF('_Engine'!BR54=0,INDEX(Settings!$G$7:$G$11,MOD('_Engine'!BQ54,10))&amp;IF('_Engine'!BQ54&gt;10,"?","")&amp;" AM",INDEX(Settings!$G$7:$G$11,MOD('_Engine'!BQ54,10))&amp;IF('_Engine'!BQ54&gt;10,"?","")&amp;" AM"&amp;CHAR(10)&amp;INDEX(Settings!$G$7:$G$11,MOD('_Engine'!BR54,10))&amp;IF('_Engine'!BR54&gt;10,"?","")&amp;" PM"))))))))</ns0:f>
        <ns0:v/>
      </ns0:c>
      <ns0:c r="L54" s="164" t="str">
        <ns0:f>IF(OR($A54="",L$11=""),"",IF(OR('_Engine'!$B$6&gt;0,INDEX('_Engine'!$AM$11:$AM$60,'_Engine'!$AO54)&lt;&gt;"OK"),"!",IF(INDEX(Team!$H$11:$N$60,'_Engine'!$AO54,WEEKDAY(L$11,2))&lt;&gt;"Work","—",IF(COUNTIF(Settings!$F$18:$F$67,L$11)&gt;0,"BH",IF('_Engine'!BS54+'_Engine'!BT54=0,"·",IF('_Engine'!BS54='_Engine'!BT54,INDEX(Settings!$G$7:$G$11,MOD('_Engine'!BS54,10))&amp;IF('_Engine'!BS54&gt;10,"?",""),IF('_Engine'!BS54=0,INDEX(Settings!$G$7:$G$11,MOD('_Engine'!BT54,10))&amp;IF('_Engine'!BT54&gt;10,"?","")&amp;" PM",IF('_Engine'!BT54=0,INDEX(Settings!$G$7:$G$11,MOD('_Engine'!BS54,10))&amp;IF('_Engine'!BS54&gt;10,"?","")&amp;" AM",INDEX(Settings!$G$7:$G$11,MOD('_Engine'!BS54,10))&amp;IF('_Engine'!BS54&gt;10,"?","")&amp;" AM"&amp;CHAR(10)&amp;INDEX(Settings!$G$7:$G$11,MOD('_Engine'!BT54,10))&amp;IF('_Engine'!BT54&gt;10,"?","")&amp;" PM"))))))))</ns0:f>
        <ns0:v/>
      </ns0:c>
      <ns0:c r="M54" s="164" t="str">
        <ns0:f>IF(OR($A54="",M$11=""),"",IF(OR('_Engine'!$B$6&gt;0,INDEX('_Engine'!$AM$11:$AM$60,'_Engine'!$AO54)&lt;&gt;"OK"),"!",IF(INDEX(Team!$H$11:$N$60,'_Engine'!$AO54,WEEKDAY(M$11,2))&lt;&gt;"Work","—",IF(COUNTIF(Settings!$F$18:$F$67,M$11)&gt;0,"BH",IF('_Engine'!BU54+'_Engine'!BV54=0,"·",IF('_Engine'!BU54='_Engine'!BV54,INDEX(Settings!$G$7:$G$11,MOD('_Engine'!BU54,10))&amp;IF('_Engine'!BU54&gt;10,"?",""),IF('_Engine'!BU54=0,INDEX(Settings!$G$7:$G$11,MOD('_Engine'!BV54,10))&amp;IF('_Engine'!BV54&gt;10,"?","")&amp;" PM",IF('_Engine'!BV54=0,INDEX(Settings!$G$7:$G$11,MOD('_Engine'!BU54,10))&amp;IF('_Engine'!BU54&gt;10,"?","")&amp;" AM",INDEX(Settings!$G$7:$G$11,MOD('_Engine'!BU54,10))&amp;IF('_Engine'!BU54&gt;10,"?","")&amp;" AM"&amp;CHAR(10)&amp;INDEX(Settings!$G$7:$G$11,MOD('_Engine'!BV54,10))&amp;IF('_Engine'!BV54&gt;10,"?","")&amp;" PM"))))))))</ns0:f>
        <ns0:v/>
      </ns0:c>
      <ns0:c r="N54" s="164" t="str">
        <ns0:f>IF(OR($A54="",N$11=""),"",IF(OR('_Engine'!$B$6&gt;0,INDEX('_Engine'!$AM$11:$AM$60,'_Engine'!$AO54)&lt;&gt;"OK"),"!",IF(INDEX(Team!$H$11:$N$60,'_Engine'!$AO54,WEEKDAY(N$11,2))&lt;&gt;"Work","—",IF(COUNTIF(Settings!$F$18:$F$67,N$11)&gt;0,"BH",IF('_Engine'!BW54+'_Engine'!BX54=0,"·",IF('_Engine'!BW54='_Engine'!BX54,INDEX(Settings!$G$7:$G$11,MOD('_Engine'!BW54,10))&amp;IF('_Engine'!BW54&gt;10,"?",""),IF('_Engine'!BW54=0,INDEX(Settings!$G$7:$G$11,MOD('_Engine'!BX54,10))&amp;IF('_Engine'!BX54&gt;10,"?","")&amp;" PM",IF('_Engine'!BX54=0,INDEX(Settings!$G$7:$G$11,MOD('_Engine'!BW54,10))&amp;IF('_Engine'!BW54&gt;10,"?","")&amp;" AM",INDEX(Settings!$G$7:$G$11,MOD('_Engine'!BW54,10))&amp;IF('_Engine'!BW54&gt;10,"?","")&amp;" AM"&amp;CHAR(10)&amp;INDEX(Settings!$G$7:$G$11,MOD('_Engine'!BX54,10))&amp;IF('_Engine'!BX54&gt;10,"?","")&amp;" PM"))))))))</ns0:f>
        <ns0:v/>
      </ns0:c>
      <ns0:c r="O54" s="164" t="str">
        <ns0:f>IF(OR($A54="",O$11=""),"",IF(OR('_Engine'!$B$6&gt;0,INDEX('_Engine'!$AM$11:$AM$60,'_Engine'!$AO54)&lt;&gt;"OK"),"!",IF(INDEX(Team!$H$11:$N$60,'_Engine'!$AO54,WEEKDAY(O$11,2))&lt;&gt;"Work","—",IF(COUNTIF(Settings!$F$18:$F$67,O$11)&gt;0,"BH",IF('_Engine'!BY54+'_Engine'!BZ54=0,"·",IF('_Engine'!BY54='_Engine'!BZ54,INDEX(Settings!$G$7:$G$11,MOD('_Engine'!BY54,10))&amp;IF('_Engine'!BY54&gt;10,"?",""),IF('_Engine'!BY54=0,INDEX(Settings!$G$7:$G$11,MOD('_Engine'!BZ54,10))&amp;IF('_Engine'!BZ54&gt;10,"?","")&amp;" PM",IF('_Engine'!BZ54=0,INDEX(Settings!$G$7:$G$11,MOD('_Engine'!BY54,10))&amp;IF('_Engine'!BY54&gt;10,"?","")&amp;" AM",INDEX(Settings!$G$7:$G$11,MOD('_Engine'!BY54,10))&amp;IF('_Engine'!BY54&gt;10,"?","")&amp;" AM"&amp;CHAR(10)&amp;INDEX(Settings!$G$7:$G$11,MOD('_Engine'!BZ54,10))&amp;IF('_Engine'!BZ54&gt;10,"?","")&amp;" PM"))))))))</ns0:f>
        <ns0:v/>
      </ns0:c>
      <ns0:c r="P54" s="164" t="str">
        <ns0:f>IF(OR($A54="",P$11=""),"",IF(OR('_Engine'!$B$6&gt;0,INDEX('_Engine'!$AM$11:$AM$60,'_Engine'!$AO54)&lt;&gt;"OK"),"!",IF(INDEX(Team!$H$11:$N$60,'_Engine'!$AO54,WEEKDAY(P$11,2))&lt;&gt;"Work","—",IF(COUNTIF(Settings!$F$18:$F$67,P$11)&gt;0,"BH",IF('_Engine'!CA54+'_Engine'!CB54=0,"·",IF('_Engine'!CA54='_Engine'!CB54,INDEX(Settings!$G$7:$G$11,MOD('_Engine'!CA54,10))&amp;IF('_Engine'!CA54&gt;10,"?",""),IF('_Engine'!CA54=0,INDEX(Settings!$G$7:$G$11,MOD('_Engine'!CB54,10))&amp;IF('_Engine'!CB54&gt;10,"?","")&amp;" PM",IF('_Engine'!CB54=0,INDEX(Settings!$G$7:$G$11,MOD('_Engine'!CA54,10))&amp;IF('_Engine'!CA54&gt;10,"?","")&amp;" AM",INDEX(Settings!$G$7:$G$11,MOD('_Engine'!CA54,10))&amp;IF('_Engine'!CA54&gt;10,"?","")&amp;" AM"&amp;CHAR(10)&amp;INDEX(Settings!$G$7:$G$11,MOD('_Engine'!CB54,10))&amp;IF('_Engine'!CB54&gt;10,"?","")&amp;" PM"))))))))</ns0:f>
        <ns0:v/>
      </ns0:c>
      <ns0:c r="Q54" s="164" t="str">
        <ns0:f>IF(OR($A54="",Q$11=""),"",IF(OR('_Engine'!$B$6&gt;0,INDEX('_Engine'!$AM$11:$AM$60,'_Engine'!$AO54)&lt;&gt;"OK"),"!",IF(INDEX(Team!$H$11:$N$60,'_Engine'!$AO54,WEEKDAY(Q$11,2))&lt;&gt;"Work","—",IF(COUNTIF(Settings!$F$18:$F$67,Q$11)&gt;0,"BH",IF('_Engine'!CC54+'_Engine'!CD54=0,"·",IF('_Engine'!CC54='_Engine'!CD54,INDEX(Settings!$G$7:$G$11,MOD('_Engine'!CC54,10))&amp;IF('_Engine'!CC54&gt;10,"?",""),IF('_Engine'!CC54=0,INDEX(Settings!$G$7:$G$11,MOD('_Engine'!CD54,10))&amp;IF('_Engine'!CD54&gt;10,"?","")&amp;" PM",IF('_Engine'!CD54=0,INDEX(Settings!$G$7:$G$11,MOD('_Engine'!CC54,10))&amp;IF('_Engine'!CC54&gt;10,"?","")&amp;" AM",INDEX(Settings!$G$7:$G$11,MOD('_Engine'!CC54,10))&amp;IF('_Engine'!CC54&gt;10,"?","")&amp;" AM"&amp;CHAR(10)&amp;INDEX(Settings!$G$7:$G$11,MOD('_Engine'!CD54,10))&amp;IF('_Engine'!CD54&gt;10,"?","")&amp;" PM"))))))))</ns0:f>
        <ns0:v/>
      </ns0:c>
      <ns0:c r="R54" s="164" t="str">
        <ns0:f>IF(OR($A54="",R$11=""),"",IF(OR('_Engine'!$B$6&gt;0,INDEX('_Engine'!$AM$11:$AM$60,'_Engine'!$AO54)&lt;&gt;"OK"),"!",IF(INDEX(Team!$H$11:$N$60,'_Engine'!$AO54,WEEKDAY(R$11,2))&lt;&gt;"Work","—",IF(COUNTIF(Settings!$F$18:$F$67,R$11)&gt;0,"BH",IF('_Engine'!CE54+'_Engine'!CF54=0,"·",IF('_Engine'!CE54='_Engine'!CF54,INDEX(Settings!$G$7:$G$11,MOD('_Engine'!CE54,10))&amp;IF('_Engine'!CE54&gt;10,"?",""),IF('_Engine'!CE54=0,INDEX(Settings!$G$7:$G$11,MOD('_Engine'!CF54,10))&amp;IF('_Engine'!CF54&gt;10,"?","")&amp;" PM",IF('_Engine'!CF54=0,INDEX(Settings!$G$7:$G$11,MOD('_Engine'!CE54,10))&amp;IF('_Engine'!CE54&gt;10,"?","")&amp;" AM",INDEX(Settings!$G$7:$G$11,MOD('_Engine'!CE54,10))&amp;IF('_Engine'!CE54&gt;10,"?","")&amp;" AM"&amp;CHAR(10)&amp;INDEX(Settings!$G$7:$G$11,MOD('_Engine'!CF54,10))&amp;IF('_Engine'!CF54&gt;10,"?","")&amp;" PM"))))))))</ns0:f>
        <ns0:v/>
      </ns0:c>
      <ns0:c r="S54" s="164" t="str">
        <ns0:f>IF(OR($A54="",S$11=""),"",IF(OR('_Engine'!$B$6&gt;0,INDEX('_Engine'!$AM$11:$AM$60,'_Engine'!$AO54)&lt;&gt;"OK"),"!",IF(INDEX(Team!$H$11:$N$60,'_Engine'!$AO54,WEEKDAY(S$11,2))&lt;&gt;"Work","—",IF(COUNTIF(Settings!$F$18:$F$67,S$11)&gt;0,"BH",IF('_Engine'!CG54+'_Engine'!CH54=0,"·",IF('_Engine'!CG54='_Engine'!CH54,INDEX(Settings!$G$7:$G$11,MOD('_Engine'!CG54,10))&amp;IF('_Engine'!CG54&gt;10,"?",""),IF('_Engine'!CG54=0,INDEX(Settings!$G$7:$G$11,MOD('_Engine'!CH54,10))&amp;IF('_Engine'!CH54&gt;10,"?","")&amp;" PM",IF('_Engine'!CH54=0,INDEX(Settings!$G$7:$G$11,MOD('_Engine'!CG54,10))&amp;IF('_Engine'!CG54&gt;10,"?","")&amp;" AM",INDEX(Settings!$G$7:$G$11,MOD('_Engine'!CG54,10))&amp;IF('_Engine'!CG54&gt;10,"?","")&amp;" AM"&amp;CHAR(10)&amp;INDEX(Settings!$G$7:$G$11,MOD('_Engine'!CH54,10))&amp;IF('_Engine'!CH54&gt;10,"?","")&amp;" PM"))))))))</ns0:f>
        <ns0:v/>
      </ns0:c>
      <ns0:c r="T54" s="164" t="str">
        <ns0:f>IF(OR($A54="",T$11=""),"",IF(OR('_Engine'!$B$6&gt;0,INDEX('_Engine'!$AM$11:$AM$60,'_Engine'!$AO54)&lt;&gt;"OK"),"!",IF(INDEX(Team!$H$11:$N$60,'_Engine'!$AO54,WEEKDAY(T$11,2))&lt;&gt;"Work","—",IF(COUNTIF(Settings!$F$18:$F$67,T$11)&gt;0,"BH",IF('_Engine'!CI54+'_Engine'!CJ54=0,"·",IF('_Engine'!CI54='_Engine'!CJ54,INDEX(Settings!$G$7:$G$11,MOD('_Engine'!CI54,10))&amp;IF('_Engine'!CI54&gt;10,"?",""),IF('_Engine'!CI54=0,INDEX(Settings!$G$7:$G$11,MOD('_Engine'!CJ54,10))&amp;IF('_Engine'!CJ54&gt;10,"?","")&amp;" PM",IF('_Engine'!CJ54=0,INDEX(Settings!$G$7:$G$11,MOD('_Engine'!CI54,10))&amp;IF('_Engine'!CI54&gt;10,"?","")&amp;" AM",INDEX(Settings!$G$7:$G$11,MOD('_Engine'!CI54,10))&amp;IF('_Engine'!CI54&gt;10,"?","")&amp;" AM"&amp;CHAR(10)&amp;INDEX(Settings!$G$7:$G$11,MOD('_Engine'!CJ54,10))&amp;IF('_Engine'!CJ54&gt;10,"?","")&amp;" PM"))))))))</ns0:f>
        <ns0:v/>
      </ns0:c>
      <ns0:c r="U54" s="164" t="str">
        <ns0:f>IF(OR($A54="",U$11=""),"",IF(OR('_Engine'!$B$6&gt;0,INDEX('_Engine'!$AM$11:$AM$60,'_Engine'!$AO54)&lt;&gt;"OK"),"!",IF(INDEX(Team!$H$11:$N$60,'_Engine'!$AO54,WEEKDAY(U$11,2))&lt;&gt;"Work","—",IF(COUNTIF(Settings!$F$18:$F$67,U$11)&gt;0,"BH",IF('_Engine'!CK54+'_Engine'!CL54=0,"·",IF('_Engine'!CK54='_Engine'!CL54,INDEX(Settings!$G$7:$G$11,MOD('_Engine'!CK54,10))&amp;IF('_Engine'!CK54&gt;10,"?",""),IF('_Engine'!CK54=0,INDEX(Settings!$G$7:$G$11,MOD('_Engine'!CL54,10))&amp;IF('_Engine'!CL54&gt;10,"?","")&amp;" PM",IF('_Engine'!CL54=0,INDEX(Settings!$G$7:$G$11,MOD('_Engine'!CK54,10))&amp;IF('_Engine'!CK54&gt;10,"?","")&amp;" AM",INDEX(Settings!$G$7:$G$11,MOD('_Engine'!CK54,10))&amp;IF('_Engine'!CK54&gt;10,"?","")&amp;" AM"&amp;CHAR(10)&amp;INDEX(Settings!$G$7:$G$11,MOD('_Engine'!CL54,10))&amp;IF('_Engine'!CL54&gt;10,"?","")&amp;" PM"))))))))</ns0:f>
        <ns0:v/>
      </ns0:c>
      <ns0:c r="V54" s="164" t="str">
        <ns0:f>IF(OR($A54="",V$11=""),"",IF(OR('_Engine'!$B$6&gt;0,INDEX('_Engine'!$AM$11:$AM$60,'_Engine'!$AO54)&lt;&gt;"OK"),"!",IF(INDEX(Team!$H$11:$N$60,'_Engine'!$AO54,WEEKDAY(V$11,2))&lt;&gt;"Work","—",IF(COUNTIF(Settings!$F$18:$F$67,V$11)&gt;0,"BH",IF('_Engine'!CM54+'_Engine'!CN54=0,"·",IF('_Engine'!CM54='_Engine'!CN54,INDEX(Settings!$G$7:$G$11,MOD('_Engine'!CM54,10))&amp;IF('_Engine'!CM54&gt;10,"?",""),IF('_Engine'!CM54=0,INDEX(Settings!$G$7:$G$11,MOD('_Engine'!CN54,10))&amp;IF('_Engine'!CN54&gt;10,"?","")&amp;" PM",IF('_Engine'!CN54=0,INDEX(Settings!$G$7:$G$11,MOD('_Engine'!CM54,10))&amp;IF('_Engine'!CM54&gt;10,"?","")&amp;" AM",INDEX(Settings!$G$7:$G$11,MOD('_Engine'!CM54,10))&amp;IF('_Engine'!CM54&gt;10,"?","")&amp;" AM"&amp;CHAR(10)&amp;INDEX(Settings!$G$7:$G$11,MOD('_Engine'!CN54,10))&amp;IF('_Engine'!CN54&gt;10,"?","")&amp;" PM"))))))))</ns0:f>
        <ns0:v/>
      </ns0:c>
      <ns0:c r="W54" s="164" t="str">
        <ns0:f>IF(OR($A54="",W$11=""),"",IF(OR('_Engine'!$B$6&gt;0,INDEX('_Engine'!$AM$11:$AM$60,'_Engine'!$AO54)&lt;&gt;"OK"),"!",IF(INDEX(Team!$H$11:$N$60,'_Engine'!$AO54,WEEKDAY(W$11,2))&lt;&gt;"Work","—",IF(COUNTIF(Settings!$F$18:$F$67,W$11)&gt;0,"BH",IF('_Engine'!CO54+'_Engine'!CP54=0,"·",IF('_Engine'!CO54='_Engine'!CP54,INDEX(Settings!$G$7:$G$11,MOD('_Engine'!CO54,10))&amp;IF('_Engine'!CO54&gt;10,"?",""),IF('_Engine'!CO54=0,INDEX(Settings!$G$7:$G$11,MOD('_Engine'!CP54,10))&amp;IF('_Engine'!CP54&gt;10,"?","")&amp;" PM",IF('_Engine'!CP54=0,INDEX(Settings!$G$7:$G$11,MOD('_Engine'!CO54,10))&amp;IF('_Engine'!CO54&gt;10,"?","")&amp;" AM",INDEX(Settings!$G$7:$G$11,MOD('_Engine'!CO54,10))&amp;IF('_Engine'!CO54&gt;10,"?","")&amp;" AM"&amp;CHAR(10)&amp;INDEX(Settings!$G$7:$G$11,MOD('_Engine'!CP54,10))&amp;IF('_Engine'!CP54&gt;10,"?","")&amp;" PM"))))))))</ns0:f>
        <ns0:v/>
      </ns0:c>
      <ns0:c r="X54" s="164" t="str">
        <ns0:f>IF(OR($A54="",X$11=""),"",IF(OR('_Engine'!$B$6&gt;0,INDEX('_Engine'!$AM$11:$AM$60,'_Engine'!$AO54)&lt;&gt;"OK"),"!",IF(INDEX(Team!$H$11:$N$60,'_Engine'!$AO54,WEEKDAY(X$11,2))&lt;&gt;"Work","—",IF(COUNTIF(Settings!$F$18:$F$67,X$11)&gt;0,"BH",IF('_Engine'!CQ54+'_Engine'!CR54=0,"·",IF('_Engine'!CQ54='_Engine'!CR54,INDEX(Settings!$G$7:$G$11,MOD('_Engine'!CQ54,10))&amp;IF('_Engine'!CQ54&gt;10,"?",""),IF('_Engine'!CQ54=0,INDEX(Settings!$G$7:$G$11,MOD('_Engine'!CR54,10))&amp;IF('_Engine'!CR54&gt;10,"?","")&amp;" PM",IF('_Engine'!CR54=0,INDEX(Settings!$G$7:$G$11,MOD('_Engine'!CQ54,10))&amp;IF('_Engine'!CQ54&gt;10,"?","")&amp;" AM",INDEX(Settings!$G$7:$G$11,MOD('_Engine'!CQ54,10))&amp;IF('_Engine'!CQ54&gt;10,"?","")&amp;" AM"&amp;CHAR(10)&amp;INDEX(Settings!$G$7:$G$11,MOD('_Engine'!CR54,10))&amp;IF('_Engine'!CR54&gt;10,"?","")&amp;" PM"))))))))</ns0:f>
        <ns0:v/>
      </ns0:c>
      <ns0:c r="Y54" s="164" t="str">
        <ns0:f>IF(OR($A54="",Y$11=""),"",IF(OR('_Engine'!$B$6&gt;0,INDEX('_Engine'!$AM$11:$AM$60,'_Engine'!$AO54)&lt;&gt;"OK"),"!",IF(INDEX(Team!$H$11:$N$60,'_Engine'!$AO54,WEEKDAY(Y$11,2))&lt;&gt;"Work","—",IF(COUNTIF(Settings!$F$18:$F$67,Y$11)&gt;0,"BH",IF('_Engine'!CS54+'_Engine'!CT54=0,"·",IF('_Engine'!CS54='_Engine'!CT54,INDEX(Settings!$G$7:$G$11,MOD('_Engine'!CS54,10))&amp;IF('_Engine'!CS54&gt;10,"?",""),IF('_Engine'!CS54=0,INDEX(Settings!$G$7:$G$11,MOD('_Engine'!CT54,10))&amp;IF('_Engine'!CT54&gt;10,"?","")&amp;" PM",IF('_Engine'!CT54=0,INDEX(Settings!$G$7:$G$11,MOD('_Engine'!CS54,10))&amp;IF('_Engine'!CS54&gt;10,"?","")&amp;" AM",INDEX(Settings!$G$7:$G$11,MOD('_Engine'!CS54,10))&amp;IF('_Engine'!CS54&gt;10,"?","")&amp;" AM"&amp;CHAR(10)&amp;INDEX(Settings!$G$7:$G$11,MOD('_Engine'!CT54,10))&amp;IF('_Engine'!CT54&gt;10,"?","")&amp;" PM"))))))))</ns0:f>
        <ns0:v/>
      </ns0:c>
      <ns0:c r="Z54" s="164" t="str">
        <ns0:f>IF(OR($A54="",Z$11=""),"",IF(OR('_Engine'!$B$6&gt;0,INDEX('_Engine'!$AM$11:$AM$60,'_Engine'!$AO54)&lt;&gt;"OK"),"!",IF(INDEX(Team!$H$11:$N$60,'_Engine'!$AO54,WEEKDAY(Z$11,2))&lt;&gt;"Work","—",IF(COUNTIF(Settings!$F$18:$F$67,Z$11)&gt;0,"BH",IF('_Engine'!CU54+'_Engine'!CV54=0,"·",IF('_Engine'!CU54='_Engine'!CV54,INDEX(Settings!$G$7:$G$11,MOD('_Engine'!CU54,10))&amp;IF('_Engine'!CU54&gt;10,"?",""),IF('_Engine'!CU54=0,INDEX(Settings!$G$7:$G$11,MOD('_Engine'!CV54,10))&amp;IF('_Engine'!CV54&gt;10,"?","")&amp;" PM",IF('_Engine'!CV54=0,INDEX(Settings!$G$7:$G$11,MOD('_Engine'!CU54,10))&amp;IF('_Engine'!CU54&gt;10,"?","")&amp;" AM",INDEX(Settings!$G$7:$G$11,MOD('_Engine'!CU54,10))&amp;IF('_Engine'!CU54&gt;10,"?","")&amp;" AM"&amp;CHAR(10)&amp;INDEX(Settings!$G$7:$G$11,MOD('_Engine'!CV54,10))&amp;IF('_Engine'!CV54&gt;10,"?","")&amp;" PM"))))))))</ns0:f>
        <ns0:v/>
      </ns0:c>
      <ns0:c r="AA54" s="164" t="str">
        <ns0:f>IF(OR($A54="",AA$11=""),"",IF(OR('_Engine'!$B$6&gt;0,INDEX('_Engine'!$AM$11:$AM$60,'_Engine'!$AO54)&lt;&gt;"OK"),"!",IF(INDEX(Team!$H$11:$N$60,'_Engine'!$AO54,WEEKDAY(AA$11,2))&lt;&gt;"Work","—",IF(COUNTIF(Settings!$F$18:$F$67,AA$11)&gt;0,"BH",IF('_Engine'!CW54+'_Engine'!CX54=0,"·",IF('_Engine'!CW54='_Engine'!CX54,INDEX(Settings!$G$7:$G$11,MOD('_Engine'!CW54,10))&amp;IF('_Engine'!CW54&gt;10,"?",""),IF('_Engine'!CW54=0,INDEX(Settings!$G$7:$G$11,MOD('_Engine'!CX54,10))&amp;IF('_Engine'!CX54&gt;10,"?","")&amp;" PM",IF('_Engine'!CX54=0,INDEX(Settings!$G$7:$G$11,MOD('_Engine'!CW54,10))&amp;IF('_Engine'!CW54&gt;10,"?","")&amp;" AM",INDEX(Settings!$G$7:$G$11,MOD('_Engine'!CW54,10))&amp;IF('_Engine'!CW54&gt;10,"?","")&amp;" AM"&amp;CHAR(10)&amp;INDEX(Settings!$G$7:$G$11,MOD('_Engine'!CX54,10))&amp;IF('_Engine'!CX54&gt;10,"?","")&amp;" PM"))))))))</ns0:f>
        <ns0:v/>
      </ns0:c>
      <ns0:c r="AB54" s="164" t="str">
        <ns0:f>IF(OR($A54="",AB$11=""),"",IF(OR('_Engine'!$B$6&gt;0,INDEX('_Engine'!$AM$11:$AM$60,'_Engine'!$AO54)&lt;&gt;"OK"),"!",IF(INDEX(Team!$H$11:$N$60,'_Engine'!$AO54,WEEKDAY(AB$11,2))&lt;&gt;"Work","—",IF(COUNTIF(Settings!$F$18:$F$67,AB$11)&gt;0,"BH",IF('_Engine'!CY54+'_Engine'!CZ54=0,"·",IF('_Engine'!CY54='_Engine'!CZ54,INDEX(Settings!$G$7:$G$11,MOD('_Engine'!CY54,10))&amp;IF('_Engine'!CY54&gt;10,"?",""),IF('_Engine'!CY54=0,INDEX(Settings!$G$7:$G$11,MOD('_Engine'!CZ54,10))&amp;IF('_Engine'!CZ54&gt;10,"?","")&amp;" PM",IF('_Engine'!CZ54=0,INDEX(Settings!$G$7:$G$11,MOD('_Engine'!CY54,10))&amp;IF('_Engine'!CY54&gt;10,"?","")&amp;" AM",INDEX(Settings!$G$7:$G$11,MOD('_Engine'!CY54,10))&amp;IF('_Engine'!CY54&gt;10,"?","")&amp;" AM"&amp;CHAR(10)&amp;INDEX(Settings!$G$7:$G$11,MOD('_Engine'!CZ54,10))&amp;IF('_Engine'!CZ54&gt;10,"?","")&amp;" PM"))))))))</ns0:f>
        <ns0:v/>
      </ns0:c>
      <ns0:c r="AC54" s="164" t="str">
        <ns0:f>IF(OR($A54="",AC$11=""),"",IF(OR('_Engine'!$B$6&gt;0,INDEX('_Engine'!$AM$11:$AM$60,'_Engine'!$AO54)&lt;&gt;"OK"),"!",IF(INDEX(Team!$H$11:$N$60,'_Engine'!$AO54,WEEKDAY(AC$11,2))&lt;&gt;"Work","—",IF(COUNTIF(Settings!$F$18:$F$67,AC$11)&gt;0,"BH",IF('_Engine'!DA54+'_Engine'!DB54=0,"·",IF('_Engine'!DA54='_Engine'!DB54,INDEX(Settings!$G$7:$G$11,MOD('_Engine'!DA54,10))&amp;IF('_Engine'!DA54&gt;10,"?",""),IF('_Engine'!DA54=0,INDEX(Settings!$G$7:$G$11,MOD('_Engine'!DB54,10))&amp;IF('_Engine'!DB54&gt;10,"?","")&amp;" PM",IF('_Engine'!DB54=0,INDEX(Settings!$G$7:$G$11,MOD('_Engine'!DA54,10))&amp;IF('_Engine'!DA54&gt;10,"?","")&amp;" AM",INDEX(Settings!$G$7:$G$11,MOD('_Engine'!DA54,10))&amp;IF('_Engine'!DA54&gt;10,"?","")&amp;" AM"&amp;CHAR(10)&amp;INDEX(Settings!$G$7:$G$11,MOD('_Engine'!DB54,10))&amp;IF('_Engine'!DB54&gt;10,"?","")&amp;" PM"))))))))</ns0:f>
        <ns0:v/>
      </ns0:c>
      <ns0:c r="AD54" s="164" t="str">
        <ns0:f>IF(OR($A54="",AD$11=""),"",IF(OR('_Engine'!$B$6&gt;0,INDEX('_Engine'!$AM$11:$AM$60,'_Engine'!$AO54)&lt;&gt;"OK"),"!",IF(INDEX(Team!$H$11:$N$60,'_Engine'!$AO54,WEEKDAY(AD$11,2))&lt;&gt;"Work","—",IF(COUNTIF(Settings!$F$18:$F$67,AD$11)&gt;0,"BH",IF('_Engine'!DC54+'_Engine'!DD54=0,"·",IF('_Engine'!DC54='_Engine'!DD54,INDEX(Settings!$G$7:$G$11,MOD('_Engine'!DC54,10))&amp;IF('_Engine'!DC54&gt;10,"?",""),IF('_Engine'!DC54=0,INDEX(Settings!$G$7:$G$11,MOD('_Engine'!DD54,10))&amp;IF('_Engine'!DD54&gt;10,"?","")&amp;" PM",IF('_Engine'!DD54=0,INDEX(Settings!$G$7:$G$11,MOD('_Engine'!DC54,10))&amp;IF('_Engine'!DC54&gt;10,"?","")&amp;" AM",INDEX(Settings!$G$7:$G$11,MOD('_Engine'!DC54,10))&amp;IF('_Engine'!DC54&gt;10,"?","")&amp;" AM"&amp;CHAR(10)&amp;INDEX(Settings!$G$7:$G$11,MOD('_Engine'!DD54,10))&amp;IF('_Engine'!DD54&gt;10,"?","")&amp;" PM"))))))))</ns0:f>
        <ns0:v/>
      </ns0:c>
      <ns0:c r="AE54" s="164" t="str">
        <ns0:f>IF(OR($A54="",AE$11=""),"",IF(OR('_Engine'!$B$6&gt;0,INDEX('_Engine'!$AM$11:$AM$60,'_Engine'!$AO54)&lt;&gt;"OK"),"!",IF(INDEX(Team!$H$11:$N$60,'_Engine'!$AO54,WEEKDAY(AE$11,2))&lt;&gt;"Work","—",IF(COUNTIF(Settings!$F$18:$F$67,AE$11)&gt;0,"BH",IF('_Engine'!DE54+'_Engine'!DF54=0,"·",IF('_Engine'!DE54='_Engine'!DF54,INDEX(Settings!$G$7:$G$11,MOD('_Engine'!DE54,10))&amp;IF('_Engine'!DE54&gt;10,"?",""),IF('_Engine'!DE54=0,INDEX(Settings!$G$7:$G$11,MOD('_Engine'!DF54,10))&amp;IF('_Engine'!DF54&gt;10,"?","")&amp;" PM",IF('_Engine'!DF54=0,INDEX(Settings!$G$7:$G$11,MOD('_Engine'!DE54,10))&amp;IF('_Engine'!DE54&gt;10,"?","")&amp;" AM",INDEX(Settings!$G$7:$G$11,MOD('_Engine'!DE54,10))&amp;IF('_Engine'!DE54&gt;10,"?","")&amp;" AM"&amp;CHAR(10)&amp;INDEX(Settings!$G$7:$G$11,MOD('_Engine'!DF54,10))&amp;IF('_Engine'!DF54&gt;10,"?","")&amp;" PM"))))))))</ns0:f>
        <ns0:v/>
      </ns0:c>
      <ns0:c r="AF54" s="164" t="str">
        <ns0:f>IF(OR($A54="",AF$11=""),"",IF(OR('_Engine'!$B$6&gt;0,INDEX('_Engine'!$AM$11:$AM$60,'_Engine'!$AO54)&lt;&gt;"OK"),"!",IF(INDEX(Team!$H$11:$N$60,'_Engine'!$AO54,WEEKDAY(AF$11,2))&lt;&gt;"Work","—",IF(COUNTIF(Settings!$F$18:$F$67,AF$11)&gt;0,"BH",IF('_Engine'!DG54+'_Engine'!DH54=0,"·",IF('_Engine'!DG54='_Engine'!DH54,INDEX(Settings!$G$7:$G$11,MOD('_Engine'!DG54,10))&amp;IF('_Engine'!DG54&gt;10,"?",""),IF('_Engine'!DG54=0,INDEX(Settings!$G$7:$G$11,MOD('_Engine'!DH54,10))&amp;IF('_Engine'!DH54&gt;10,"?","")&amp;" PM",IF('_Engine'!DH54=0,INDEX(Settings!$G$7:$G$11,MOD('_Engine'!DG54,10))&amp;IF('_Engine'!DG54&gt;10,"?","")&amp;" AM",INDEX(Settings!$G$7:$G$11,MOD('_Engine'!DG54,10))&amp;IF('_Engine'!DG54&gt;10,"?","")&amp;" AM"&amp;CHAR(10)&amp;INDEX(Settings!$G$7:$G$11,MOD('_Engine'!DH54,10))&amp;IF('_Engine'!DH54&gt;10,"?","")&amp;" PM"))))))))</ns0:f>
        <ns0:v/>
      </ns0:c>
      <ns0:c r="AG54" s="164" t="str">
        <ns0:f>IF(OR($A54="",AG$11=""),"",IF(OR('_Engine'!$B$6&gt;0,INDEX('_Engine'!$AM$11:$AM$60,'_Engine'!$AO54)&lt;&gt;"OK"),"!",IF(INDEX(Team!$H$11:$N$60,'_Engine'!$AO54,WEEKDAY(AG$11,2))&lt;&gt;"Work","—",IF(COUNTIF(Settings!$F$18:$F$67,AG$11)&gt;0,"BH",IF('_Engine'!DI54+'_Engine'!DJ54=0,"·",IF('_Engine'!DI54='_Engine'!DJ54,INDEX(Settings!$G$7:$G$11,MOD('_Engine'!DI54,10))&amp;IF('_Engine'!DI54&gt;10,"?",""),IF('_Engine'!DI54=0,INDEX(Settings!$G$7:$G$11,MOD('_Engine'!DJ54,10))&amp;IF('_Engine'!DJ54&gt;10,"?","")&amp;" PM",IF('_Engine'!DJ54=0,INDEX(Settings!$G$7:$G$11,MOD('_Engine'!DI54,10))&amp;IF('_Engine'!DI54&gt;10,"?","")&amp;" AM",INDEX(Settings!$G$7:$G$11,MOD('_Engine'!DI54,10))&amp;IF('_Engine'!DI54&gt;10,"?","")&amp;" AM"&amp;CHAR(10)&amp;INDEX(Settings!$G$7:$G$11,MOD('_Engine'!DJ54,10))&amp;IF('_Engine'!DJ54&gt;10,"?","")&amp;" PM"))))))))</ns0:f>
        <ns0:v/>
      </ns0:c>
      <ns0:c r="AH54" s="164" t="str">
        <ns0:f>IF(OR($A54="",AH$11=""),"",IF(OR('_Engine'!$B$6&gt;0,INDEX('_Engine'!$AM$11:$AM$60,'_Engine'!$AO54)&lt;&gt;"OK"),"!",IF(INDEX(Team!$H$11:$N$60,'_Engine'!$AO54,WEEKDAY(AH$11,2))&lt;&gt;"Work","—",IF(COUNTIF(Settings!$F$18:$F$67,AH$11)&gt;0,"BH",IF('_Engine'!DK54+'_Engine'!DL54=0,"·",IF('_Engine'!DK54='_Engine'!DL54,INDEX(Settings!$G$7:$G$11,MOD('_Engine'!DK54,10))&amp;IF('_Engine'!DK54&gt;10,"?",""),IF('_Engine'!DK54=0,INDEX(Settings!$G$7:$G$11,MOD('_Engine'!DL54,10))&amp;IF('_Engine'!DL54&gt;10,"?","")&amp;" PM",IF('_Engine'!DL54=0,INDEX(Settings!$G$7:$G$11,MOD('_Engine'!DK54,10))&amp;IF('_Engine'!DK54&gt;10,"?","")&amp;" AM",INDEX(Settings!$G$7:$G$11,MOD('_Engine'!DK54,10))&amp;IF('_Engine'!DK54&gt;10,"?","")&amp;" AM"&amp;CHAR(10)&amp;INDEX(Settings!$G$7:$G$11,MOD('_Engine'!DL54,10))&amp;IF('_Engine'!DL54&gt;10,"?","")&amp;" PM"))))))))</ns0:f>
        <ns0:v/>
      </ns0:c>
    </ns0:row>
    <ns0:row r="55" ht="38" customHeight="1">
      <ns0:c r="A55" s="4" t="str">
        <ns0:f>IF('_Engine'!AO55=0,"",IF(INDEX(Team!$B$11:$B$60,'_Engine'!AO55)="","[Unnamed]",INDEX(Team!$B$11:$B$60,'_Engine'!AO55)))</ns0:f>
        <ns0:v/>
      </ns0:c>
      <ns0:c r="B55" s="156" t="str">
        <ns0:f>IF('_Engine'!AO55=0,"",INDEX('_Engine'!$AN$11:$AN$60,'_Engine'!AO55))</ns0:f>
        <ns0:v/>
      </ns0:c>
      <ns0:c r="C55" s="4" t="str">
        <ns0:f>IF('_Engine'!AO55=0,"",INDEX(Team!$C$11:$C$60,'_Engine'!AO55))</ns0:f>
        <ns0:v/>
      </ns0:c>
      <ns0:c r="D55" s="162" t="str">
        <ns0:f>IF(OR($A55="",D$11=""),"",IF(OR('_Engine'!$B$6&gt;0,INDEX('_Engine'!$AM$11:$AM$60,'_Engine'!$AO55)&lt;&gt;"OK"),"!",IF(INDEX(Team!$H$11:$N$60,'_Engine'!$AO55,WEEKDAY(D$11,2))&lt;&gt;"Work","—",IF(COUNTIF(Settings!$F$18:$F$67,D$11)&gt;0,"BH",IF('_Engine'!BC55+'_Engine'!BD55=0,"·",IF('_Engine'!BC55='_Engine'!BD55,INDEX(Settings!$G$7:$G$11,MOD('_Engine'!BC55,10))&amp;IF('_Engine'!BC55&gt;10,"?",""),IF('_Engine'!BC55=0,INDEX(Settings!$G$7:$G$11,MOD('_Engine'!BD55,10))&amp;IF('_Engine'!BD55&gt;10,"?","")&amp;" PM",IF('_Engine'!BD55=0,INDEX(Settings!$G$7:$G$11,MOD('_Engine'!BC55,10))&amp;IF('_Engine'!BC55&gt;10,"?","")&amp;" AM",INDEX(Settings!$G$7:$G$11,MOD('_Engine'!BC55,10))&amp;IF('_Engine'!BC55&gt;10,"?","")&amp;" AM"&amp;CHAR(10)&amp;INDEX(Settings!$G$7:$G$11,MOD('_Engine'!BD55,10))&amp;IF('_Engine'!BD55&gt;10,"?","")&amp;" PM"))))))))</ns0:f>
        <ns0:v/>
      </ns0:c>
      <ns0:c r="E55" s="162" t="str">
        <ns0:f>IF(OR($A55="",E$11=""),"",IF(OR('_Engine'!$B$6&gt;0,INDEX('_Engine'!$AM$11:$AM$60,'_Engine'!$AO55)&lt;&gt;"OK"),"!",IF(INDEX(Team!$H$11:$N$60,'_Engine'!$AO55,WEEKDAY(E$11,2))&lt;&gt;"Work","—",IF(COUNTIF(Settings!$F$18:$F$67,E$11)&gt;0,"BH",IF('_Engine'!BE55+'_Engine'!BF55=0,"·",IF('_Engine'!BE55='_Engine'!BF55,INDEX(Settings!$G$7:$G$11,MOD('_Engine'!BE55,10))&amp;IF('_Engine'!BE55&gt;10,"?",""),IF('_Engine'!BE55=0,INDEX(Settings!$G$7:$G$11,MOD('_Engine'!BF55,10))&amp;IF('_Engine'!BF55&gt;10,"?","")&amp;" PM",IF('_Engine'!BF55=0,INDEX(Settings!$G$7:$G$11,MOD('_Engine'!BE55,10))&amp;IF('_Engine'!BE55&gt;10,"?","")&amp;" AM",INDEX(Settings!$G$7:$G$11,MOD('_Engine'!BE55,10))&amp;IF('_Engine'!BE55&gt;10,"?","")&amp;" AM"&amp;CHAR(10)&amp;INDEX(Settings!$G$7:$G$11,MOD('_Engine'!BF55,10))&amp;IF('_Engine'!BF55&gt;10,"?","")&amp;" PM"))))))))</ns0:f>
        <ns0:v/>
      </ns0:c>
      <ns0:c r="F55" s="162" t="str">
        <ns0:f>IF(OR($A55="",F$11=""),"",IF(OR('_Engine'!$B$6&gt;0,INDEX('_Engine'!$AM$11:$AM$60,'_Engine'!$AO55)&lt;&gt;"OK"),"!",IF(INDEX(Team!$H$11:$N$60,'_Engine'!$AO55,WEEKDAY(F$11,2))&lt;&gt;"Work","—",IF(COUNTIF(Settings!$F$18:$F$67,F$11)&gt;0,"BH",IF('_Engine'!BG55+'_Engine'!BH55=0,"·",IF('_Engine'!BG55='_Engine'!BH55,INDEX(Settings!$G$7:$G$11,MOD('_Engine'!BG55,10))&amp;IF('_Engine'!BG55&gt;10,"?",""),IF('_Engine'!BG55=0,INDEX(Settings!$G$7:$G$11,MOD('_Engine'!BH55,10))&amp;IF('_Engine'!BH55&gt;10,"?","")&amp;" PM",IF('_Engine'!BH55=0,INDEX(Settings!$G$7:$G$11,MOD('_Engine'!BG55,10))&amp;IF('_Engine'!BG55&gt;10,"?","")&amp;" AM",INDEX(Settings!$G$7:$G$11,MOD('_Engine'!BG55,10))&amp;IF('_Engine'!BG55&gt;10,"?","")&amp;" AM"&amp;CHAR(10)&amp;INDEX(Settings!$G$7:$G$11,MOD('_Engine'!BH55,10))&amp;IF('_Engine'!BH55&gt;10,"?","")&amp;" PM"))))))))</ns0:f>
        <ns0:v/>
      </ns0:c>
      <ns0:c r="G55" s="162" t="str">
        <ns0:f>IF(OR($A55="",G$11=""),"",IF(OR('_Engine'!$B$6&gt;0,INDEX('_Engine'!$AM$11:$AM$60,'_Engine'!$AO55)&lt;&gt;"OK"),"!",IF(INDEX(Team!$H$11:$N$60,'_Engine'!$AO55,WEEKDAY(G$11,2))&lt;&gt;"Work","—",IF(COUNTIF(Settings!$F$18:$F$67,G$11)&gt;0,"BH",IF('_Engine'!BI55+'_Engine'!BJ55=0,"·",IF('_Engine'!BI55='_Engine'!BJ55,INDEX(Settings!$G$7:$G$11,MOD('_Engine'!BI55,10))&amp;IF('_Engine'!BI55&gt;10,"?",""),IF('_Engine'!BI55=0,INDEX(Settings!$G$7:$G$11,MOD('_Engine'!BJ55,10))&amp;IF('_Engine'!BJ55&gt;10,"?","")&amp;" PM",IF('_Engine'!BJ55=0,INDEX(Settings!$G$7:$G$11,MOD('_Engine'!BI55,10))&amp;IF('_Engine'!BI55&gt;10,"?","")&amp;" AM",INDEX(Settings!$G$7:$G$11,MOD('_Engine'!BI55,10))&amp;IF('_Engine'!BI55&gt;10,"?","")&amp;" AM"&amp;CHAR(10)&amp;INDEX(Settings!$G$7:$G$11,MOD('_Engine'!BJ55,10))&amp;IF('_Engine'!BJ55&gt;10,"?","")&amp;" PM"))))))))</ns0:f>
        <ns0:v/>
      </ns0:c>
      <ns0:c r="H55" s="162" t="str">
        <ns0:f>IF(OR($A55="",H$11=""),"",IF(OR('_Engine'!$B$6&gt;0,INDEX('_Engine'!$AM$11:$AM$60,'_Engine'!$AO55)&lt;&gt;"OK"),"!",IF(INDEX(Team!$H$11:$N$60,'_Engine'!$AO55,WEEKDAY(H$11,2))&lt;&gt;"Work","—",IF(COUNTIF(Settings!$F$18:$F$67,H$11)&gt;0,"BH",IF('_Engine'!BK55+'_Engine'!BL55=0,"·",IF('_Engine'!BK55='_Engine'!BL55,INDEX(Settings!$G$7:$G$11,MOD('_Engine'!BK55,10))&amp;IF('_Engine'!BK55&gt;10,"?",""),IF('_Engine'!BK55=0,INDEX(Settings!$G$7:$G$11,MOD('_Engine'!BL55,10))&amp;IF('_Engine'!BL55&gt;10,"?","")&amp;" PM",IF('_Engine'!BL55=0,INDEX(Settings!$G$7:$G$11,MOD('_Engine'!BK55,10))&amp;IF('_Engine'!BK55&gt;10,"?","")&amp;" AM",INDEX(Settings!$G$7:$G$11,MOD('_Engine'!BK55,10))&amp;IF('_Engine'!BK55&gt;10,"?","")&amp;" AM"&amp;CHAR(10)&amp;INDEX(Settings!$G$7:$G$11,MOD('_Engine'!BL55,10))&amp;IF('_Engine'!BL55&gt;10,"?","")&amp;" PM"))))))))</ns0:f>
        <ns0:v/>
      </ns0:c>
      <ns0:c r="I55" s="162" t="str">
        <ns0:f>IF(OR($A55="",I$11=""),"",IF(OR('_Engine'!$B$6&gt;0,INDEX('_Engine'!$AM$11:$AM$60,'_Engine'!$AO55)&lt;&gt;"OK"),"!",IF(INDEX(Team!$H$11:$N$60,'_Engine'!$AO55,WEEKDAY(I$11,2))&lt;&gt;"Work","—",IF(COUNTIF(Settings!$F$18:$F$67,I$11)&gt;0,"BH",IF('_Engine'!BM55+'_Engine'!BN55=0,"·",IF('_Engine'!BM55='_Engine'!BN55,INDEX(Settings!$G$7:$G$11,MOD('_Engine'!BM55,10))&amp;IF('_Engine'!BM55&gt;10,"?",""),IF('_Engine'!BM55=0,INDEX(Settings!$G$7:$G$11,MOD('_Engine'!BN55,10))&amp;IF('_Engine'!BN55&gt;10,"?","")&amp;" PM",IF('_Engine'!BN55=0,INDEX(Settings!$G$7:$G$11,MOD('_Engine'!BM55,10))&amp;IF('_Engine'!BM55&gt;10,"?","")&amp;" AM",INDEX(Settings!$G$7:$G$11,MOD('_Engine'!BM55,10))&amp;IF('_Engine'!BM55&gt;10,"?","")&amp;" AM"&amp;CHAR(10)&amp;INDEX(Settings!$G$7:$G$11,MOD('_Engine'!BN55,10))&amp;IF('_Engine'!BN55&gt;10,"?","")&amp;" PM"))))))))</ns0:f>
        <ns0:v/>
      </ns0:c>
      <ns0:c r="J55" s="162" t="str">
        <ns0:f>IF(OR($A55="",J$11=""),"",IF(OR('_Engine'!$B$6&gt;0,INDEX('_Engine'!$AM$11:$AM$60,'_Engine'!$AO55)&lt;&gt;"OK"),"!",IF(INDEX(Team!$H$11:$N$60,'_Engine'!$AO55,WEEKDAY(J$11,2))&lt;&gt;"Work","—",IF(COUNTIF(Settings!$F$18:$F$67,J$11)&gt;0,"BH",IF('_Engine'!BO55+'_Engine'!BP55=0,"·",IF('_Engine'!BO55='_Engine'!BP55,INDEX(Settings!$G$7:$G$11,MOD('_Engine'!BO55,10))&amp;IF('_Engine'!BO55&gt;10,"?",""),IF('_Engine'!BO55=0,INDEX(Settings!$G$7:$G$11,MOD('_Engine'!BP55,10))&amp;IF('_Engine'!BP55&gt;10,"?","")&amp;" PM",IF('_Engine'!BP55=0,INDEX(Settings!$G$7:$G$11,MOD('_Engine'!BO55,10))&amp;IF('_Engine'!BO55&gt;10,"?","")&amp;" AM",INDEX(Settings!$G$7:$G$11,MOD('_Engine'!BO55,10))&amp;IF('_Engine'!BO55&gt;10,"?","")&amp;" AM"&amp;CHAR(10)&amp;INDEX(Settings!$G$7:$G$11,MOD('_Engine'!BP55,10))&amp;IF('_Engine'!BP55&gt;10,"?","")&amp;" PM"))))))))</ns0:f>
        <ns0:v/>
      </ns0:c>
      <ns0:c r="K55" s="164" t="str">
        <ns0:f>IF(OR($A55="",K$11=""),"",IF(OR('_Engine'!$B$6&gt;0,INDEX('_Engine'!$AM$11:$AM$60,'_Engine'!$AO55)&lt;&gt;"OK"),"!",IF(INDEX(Team!$H$11:$N$60,'_Engine'!$AO55,WEEKDAY(K$11,2))&lt;&gt;"Work","—",IF(COUNTIF(Settings!$F$18:$F$67,K$11)&gt;0,"BH",IF('_Engine'!BQ55+'_Engine'!BR55=0,"·",IF('_Engine'!BQ55='_Engine'!BR55,INDEX(Settings!$G$7:$G$11,MOD('_Engine'!BQ55,10))&amp;IF('_Engine'!BQ55&gt;10,"?",""),IF('_Engine'!BQ55=0,INDEX(Settings!$G$7:$G$11,MOD('_Engine'!BR55,10))&amp;IF('_Engine'!BR55&gt;10,"?","")&amp;" PM",IF('_Engine'!BR55=0,INDEX(Settings!$G$7:$G$11,MOD('_Engine'!BQ55,10))&amp;IF('_Engine'!BQ55&gt;10,"?","")&amp;" AM",INDEX(Settings!$G$7:$G$11,MOD('_Engine'!BQ55,10))&amp;IF('_Engine'!BQ55&gt;10,"?","")&amp;" AM"&amp;CHAR(10)&amp;INDEX(Settings!$G$7:$G$11,MOD('_Engine'!BR55,10))&amp;IF('_Engine'!BR55&gt;10,"?","")&amp;" PM"))))))))</ns0:f>
        <ns0:v/>
      </ns0:c>
      <ns0:c r="L55" s="164" t="str">
        <ns0:f>IF(OR($A55="",L$11=""),"",IF(OR('_Engine'!$B$6&gt;0,INDEX('_Engine'!$AM$11:$AM$60,'_Engine'!$AO55)&lt;&gt;"OK"),"!",IF(INDEX(Team!$H$11:$N$60,'_Engine'!$AO55,WEEKDAY(L$11,2))&lt;&gt;"Work","—",IF(COUNTIF(Settings!$F$18:$F$67,L$11)&gt;0,"BH",IF('_Engine'!BS55+'_Engine'!BT55=0,"·",IF('_Engine'!BS55='_Engine'!BT55,INDEX(Settings!$G$7:$G$11,MOD('_Engine'!BS55,10))&amp;IF('_Engine'!BS55&gt;10,"?",""),IF('_Engine'!BS55=0,INDEX(Settings!$G$7:$G$11,MOD('_Engine'!BT55,10))&amp;IF('_Engine'!BT55&gt;10,"?","")&amp;" PM",IF('_Engine'!BT55=0,INDEX(Settings!$G$7:$G$11,MOD('_Engine'!BS55,10))&amp;IF('_Engine'!BS55&gt;10,"?","")&amp;" AM",INDEX(Settings!$G$7:$G$11,MOD('_Engine'!BS55,10))&amp;IF('_Engine'!BS55&gt;10,"?","")&amp;" AM"&amp;CHAR(10)&amp;INDEX(Settings!$G$7:$G$11,MOD('_Engine'!BT55,10))&amp;IF('_Engine'!BT55&gt;10,"?","")&amp;" PM"))))))))</ns0:f>
        <ns0:v/>
      </ns0:c>
      <ns0:c r="M55" s="164" t="str">
        <ns0:f>IF(OR($A55="",M$11=""),"",IF(OR('_Engine'!$B$6&gt;0,INDEX('_Engine'!$AM$11:$AM$60,'_Engine'!$AO55)&lt;&gt;"OK"),"!",IF(INDEX(Team!$H$11:$N$60,'_Engine'!$AO55,WEEKDAY(M$11,2))&lt;&gt;"Work","—",IF(COUNTIF(Settings!$F$18:$F$67,M$11)&gt;0,"BH",IF('_Engine'!BU55+'_Engine'!BV55=0,"·",IF('_Engine'!BU55='_Engine'!BV55,INDEX(Settings!$G$7:$G$11,MOD('_Engine'!BU55,10))&amp;IF('_Engine'!BU55&gt;10,"?",""),IF('_Engine'!BU55=0,INDEX(Settings!$G$7:$G$11,MOD('_Engine'!BV55,10))&amp;IF('_Engine'!BV55&gt;10,"?","")&amp;" PM",IF('_Engine'!BV55=0,INDEX(Settings!$G$7:$G$11,MOD('_Engine'!BU55,10))&amp;IF('_Engine'!BU55&gt;10,"?","")&amp;" AM",INDEX(Settings!$G$7:$G$11,MOD('_Engine'!BU55,10))&amp;IF('_Engine'!BU55&gt;10,"?","")&amp;" AM"&amp;CHAR(10)&amp;INDEX(Settings!$G$7:$G$11,MOD('_Engine'!BV55,10))&amp;IF('_Engine'!BV55&gt;10,"?","")&amp;" PM"))))))))</ns0:f>
        <ns0:v/>
      </ns0:c>
      <ns0:c r="N55" s="164" t="str">
        <ns0:f>IF(OR($A55="",N$11=""),"",IF(OR('_Engine'!$B$6&gt;0,INDEX('_Engine'!$AM$11:$AM$60,'_Engine'!$AO55)&lt;&gt;"OK"),"!",IF(INDEX(Team!$H$11:$N$60,'_Engine'!$AO55,WEEKDAY(N$11,2))&lt;&gt;"Work","—",IF(COUNTIF(Settings!$F$18:$F$67,N$11)&gt;0,"BH",IF('_Engine'!BW55+'_Engine'!BX55=0,"·",IF('_Engine'!BW55='_Engine'!BX55,INDEX(Settings!$G$7:$G$11,MOD('_Engine'!BW55,10))&amp;IF('_Engine'!BW55&gt;10,"?",""),IF('_Engine'!BW55=0,INDEX(Settings!$G$7:$G$11,MOD('_Engine'!BX55,10))&amp;IF('_Engine'!BX55&gt;10,"?","")&amp;" PM",IF('_Engine'!BX55=0,INDEX(Settings!$G$7:$G$11,MOD('_Engine'!BW55,10))&amp;IF('_Engine'!BW55&gt;10,"?","")&amp;" AM",INDEX(Settings!$G$7:$G$11,MOD('_Engine'!BW55,10))&amp;IF('_Engine'!BW55&gt;10,"?","")&amp;" AM"&amp;CHAR(10)&amp;INDEX(Settings!$G$7:$G$11,MOD('_Engine'!BX55,10))&amp;IF('_Engine'!BX55&gt;10,"?","")&amp;" PM"))))))))</ns0:f>
        <ns0:v/>
      </ns0:c>
      <ns0:c r="O55" s="164" t="str">
        <ns0:f>IF(OR($A55="",O$11=""),"",IF(OR('_Engine'!$B$6&gt;0,INDEX('_Engine'!$AM$11:$AM$60,'_Engine'!$AO55)&lt;&gt;"OK"),"!",IF(INDEX(Team!$H$11:$N$60,'_Engine'!$AO55,WEEKDAY(O$11,2))&lt;&gt;"Work","—",IF(COUNTIF(Settings!$F$18:$F$67,O$11)&gt;0,"BH",IF('_Engine'!BY55+'_Engine'!BZ55=0,"·",IF('_Engine'!BY55='_Engine'!BZ55,INDEX(Settings!$G$7:$G$11,MOD('_Engine'!BY55,10))&amp;IF('_Engine'!BY55&gt;10,"?",""),IF('_Engine'!BY55=0,INDEX(Settings!$G$7:$G$11,MOD('_Engine'!BZ55,10))&amp;IF('_Engine'!BZ55&gt;10,"?","")&amp;" PM",IF('_Engine'!BZ55=0,INDEX(Settings!$G$7:$G$11,MOD('_Engine'!BY55,10))&amp;IF('_Engine'!BY55&gt;10,"?","")&amp;" AM",INDEX(Settings!$G$7:$G$11,MOD('_Engine'!BY55,10))&amp;IF('_Engine'!BY55&gt;10,"?","")&amp;" AM"&amp;CHAR(10)&amp;INDEX(Settings!$G$7:$G$11,MOD('_Engine'!BZ55,10))&amp;IF('_Engine'!BZ55&gt;10,"?","")&amp;" PM"))))))))</ns0:f>
        <ns0:v/>
      </ns0:c>
      <ns0:c r="P55" s="164" t="str">
        <ns0:f>IF(OR($A55="",P$11=""),"",IF(OR('_Engine'!$B$6&gt;0,INDEX('_Engine'!$AM$11:$AM$60,'_Engine'!$AO55)&lt;&gt;"OK"),"!",IF(INDEX(Team!$H$11:$N$60,'_Engine'!$AO55,WEEKDAY(P$11,2))&lt;&gt;"Work","—",IF(COUNTIF(Settings!$F$18:$F$67,P$11)&gt;0,"BH",IF('_Engine'!CA55+'_Engine'!CB55=0,"·",IF('_Engine'!CA55='_Engine'!CB55,INDEX(Settings!$G$7:$G$11,MOD('_Engine'!CA55,10))&amp;IF('_Engine'!CA55&gt;10,"?",""),IF('_Engine'!CA55=0,INDEX(Settings!$G$7:$G$11,MOD('_Engine'!CB55,10))&amp;IF('_Engine'!CB55&gt;10,"?","")&amp;" PM",IF('_Engine'!CB55=0,INDEX(Settings!$G$7:$G$11,MOD('_Engine'!CA55,10))&amp;IF('_Engine'!CA55&gt;10,"?","")&amp;" AM",INDEX(Settings!$G$7:$G$11,MOD('_Engine'!CA55,10))&amp;IF('_Engine'!CA55&gt;10,"?","")&amp;" AM"&amp;CHAR(10)&amp;INDEX(Settings!$G$7:$G$11,MOD('_Engine'!CB55,10))&amp;IF('_Engine'!CB55&gt;10,"?","")&amp;" PM"))))))))</ns0:f>
        <ns0:v/>
      </ns0:c>
      <ns0:c r="Q55" s="164" t="str">
        <ns0:f>IF(OR($A55="",Q$11=""),"",IF(OR('_Engine'!$B$6&gt;0,INDEX('_Engine'!$AM$11:$AM$60,'_Engine'!$AO55)&lt;&gt;"OK"),"!",IF(INDEX(Team!$H$11:$N$60,'_Engine'!$AO55,WEEKDAY(Q$11,2))&lt;&gt;"Work","—",IF(COUNTIF(Settings!$F$18:$F$67,Q$11)&gt;0,"BH",IF('_Engine'!CC55+'_Engine'!CD55=0,"·",IF('_Engine'!CC55='_Engine'!CD55,INDEX(Settings!$G$7:$G$11,MOD('_Engine'!CC55,10))&amp;IF('_Engine'!CC55&gt;10,"?",""),IF('_Engine'!CC55=0,INDEX(Settings!$G$7:$G$11,MOD('_Engine'!CD55,10))&amp;IF('_Engine'!CD55&gt;10,"?","")&amp;" PM",IF('_Engine'!CD55=0,INDEX(Settings!$G$7:$G$11,MOD('_Engine'!CC55,10))&amp;IF('_Engine'!CC55&gt;10,"?","")&amp;" AM",INDEX(Settings!$G$7:$G$11,MOD('_Engine'!CC55,10))&amp;IF('_Engine'!CC55&gt;10,"?","")&amp;" AM"&amp;CHAR(10)&amp;INDEX(Settings!$G$7:$G$11,MOD('_Engine'!CD55,10))&amp;IF('_Engine'!CD55&gt;10,"?","")&amp;" PM"))))))))</ns0:f>
        <ns0:v/>
      </ns0:c>
      <ns0:c r="R55" s="164" t="str">
        <ns0:f>IF(OR($A55="",R$11=""),"",IF(OR('_Engine'!$B$6&gt;0,INDEX('_Engine'!$AM$11:$AM$60,'_Engine'!$AO55)&lt;&gt;"OK"),"!",IF(INDEX(Team!$H$11:$N$60,'_Engine'!$AO55,WEEKDAY(R$11,2))&lt;&gt;"Work","—",IF(COUNTIF(Settings!$F$18:$F$67,R$11)&gt;0,"BH",IF('_Engine'!CE55+'_Engine'!CF55=0,"·",IF('_Engine'!CE55='_Engine'!CF55,INDEX(Settings!$G$7:$G$11,MOD('_Engine'!CE55,10))&amp;IF('_Engine'!CE55&gt;10,"?",""),IF('_Engine'!CE55=0,INDEX(Settings!$G$7:$G$11,MOD('_Engine'!CF55,10))&amp;IF('_Engine'!CF55&gt;10,"?","")&amp;" PM",IF('_Engine'!CF55=0,INDEX(Settings!$G$7:$G$11,MOD('_Engine'!CE55,10))&amp;IF('_Engine'!CE55&gt;10,"?","")&amp;" AM",INDEX(Settings!$G$7:$G$11,MOD('_Engine'!CE55,10))&amp;IF('_Engine'!CE55&gt;10,"?","")&amp;" AM"&amp;CHAR(10)&amp;INDEX(Settings!$G$7:$G$11,MOD('_Engine'!CF55,10))&amp;IF('_Engine'!CF55&gt;10,"?","")&amp;" PM"))))))))</ns0:f>
        <ns0:v/>
      </ns0:c>
      <ns0:c r="S55" s="164" t="str">
        <ns0:f>IF(OR($A55="",S$11=""),"",IF(OR('_Engine'!$B$6&gt;0,INDEX('_Engine'!$AM$11:$AM$60,'_Engine'!$AO55)&lt;&gt;"OK"),"!",IF(INDEX(Team!$H$11:$N$60,'_Engine'!$AO55,WEEKDAY(S$11,2))&lt;&gt;"Work","—",IF(COUNTIF(Settings!$F$18:$F$67,S$11)&gt;0,"BH",IF('_Engine'!CG55+'_Engine'!CH55=0,"·",IF('_Engine'!CG55='_Engine'!CH55,INDEX(Settings!$G$7:$G$11,MOD('_Engine'!CG55,10))&amp;IF('_Engine'!CG55&gt;10,"?",""),IF('_Engine'!CG55=0,INDEX(Settings!$G$7:$G$11,MOD('_Engine'!CH55,10))&amp;IF('_Engine'!CH55&gt;10,"?","")&amp;" PM",IF('_Engine'!CH55=0,INDEX(Settings!$G$7:$G$11,MOD('_Engine'!CG55,10))&amp;IF('_Engine'!CG55&gt;10,"?","")&amp;" AM",INDEX(Settings!$G$7:$G$11,MOD('_Engine'!CG55,10))&amp;IF('_Engine'!CG55&gt;10,"?","")&amp;" AM"&amp;CHAR(10)&amp;INDEX(Settings!$G$7:$G$11,MOD('_Engine'!CH55,10))&amp;IF('_Engine'!CH55&gt;10,"?","")&amp;" PM"))))))))</ns0:f>
        <ns0:v/>
      </ns0:c>
      <ns0:c r="T55" s="164" t="str">
        <ns0:f>IF(OR($A55="",T$11=""),"",IF(OR('_Engine'!$B$6&gt;0,INDEX('_Engine'!$AM$11:$AM$60,'_Engine'!$AO55)&lt;&gt;"OK"),"!",IF(INDEX(Team!$H$11:$N$60,'_Engine'!$AO55,WEEKDAY(T$11,2))&lt;&gt;"Work","—",IF(COUNTIF(Settings!$F$18:$F$67,T$11)&gt;0,"BH",IF('_Engine'!CI55+'_Engine'!CJ55=0,"·",IF('_Engine'!CI55='_Engine'!CJ55,INDEX(Settings!$G$7:$G$11,MOD('_Engine'!CI55,10))&amp;IF('_Engine'!CI55&gt;10,"?",""),IF('_Engine'!CI55=0,INDEX(Settings!$G$7:$G$11,MOD('_Engine'!CJ55,10))&amp;IF('_Engine'!CJ55&gt;10,"?","")&amp;" PM",IF('_Engine'!CJ55=0,INDEX(Settings!$G$7:$G$11,MOD('_Engine'!CI55,10))&amp;IF('_Engine'!CI55&gt;10,"?","")&amp;" AM",INDEX(Settings!$G$7:$G$11,MOD('_Engine'!CI55,10))&amp;IF('_Engine'!CI55&gt;10,"?","")&amp;" AM"&amp;CHAR(10)&amp;INDEX(Settings!$G$7:$G$11,MOD('_Engine'!CJ55,10))&amp;IF('_Engine'!CJ55&gt;10,"?","")&amp;" PM"))))))))</ns0:f>
        <ns0:v/>
      </ns0:c>
      <ns0:c r="U55" s="164" t="str">
        <ns0:f>IF(OR($A55="",U$11=""),"",IF(OR('_Engine'!$B$6&gt;0,INDEX('_Engine'!$AM$11:$AM$60,'_Engine'!$AO55)&lt;&gt;"OK"),"!",IF(INDEX(Team!$H$11:$N$60,'_Engine'!$AO55,WEEKDAY(U$11,2))&lt;&gt;"Work","—",IF(COUNTIF(Settings!$F$18:$F$67,U$11)&gt;0,"BH",IF('_Engine'!CK55+'_Engine'!CL55=0,"·",IF('_Engine'!CK55='_Engine'!CL55,INDEX(Settings!$G$7:$G$11,MOD('_Engine'!CK55,10))&amp;IF('_Engine'!CK55&gt;10,"?",""),IF('_Engine'!CK55=0,INDEX(Settings!$G$7:$G$11,MOD('_Engine'!CL55,10))&amp;IF('_Engine'!CL55&gt;10,"?","")&amp;" PM",IF('_Engine'!CL55=0,INDEX(Settings!$G$7:$G$11,MOD('_Engine'!CK55,10))&amp;IF('_Engine'!CK55&gt;10,"?","")&amp;" AM",INDEX(Settings!$G$7:$G$11,MOD('_Engine'!CK55,10))&amp;IF('_Engine'!CK55&gt;10,"?","")&amp;" AM"&amp;CHAR(10)&amp;INDEX(Settings!$G$7:$G$11,MOD('_Engine'!CL55,10))&amp;IF('_Engine'!CL55&gt;10,"?","")&amp;" PM"))))))))</ns0:f>
        <ns0:v/>
      </ns0:c>
      <ns0:c r="V55" s="164" t="str">
        <ns0:f>IF(OR($A55="",V$11=""),"",IF(OR('_Engine'!$B$6&gt;0,INDEX('_Engine'!$AM$11:$AM$60,'_Engine'!$AO55)&lt;&gt;"OK"),"!",IF(INDEX(Team!$H$11:$N$60,'_Engine'!$AO55,WEEKDAY(V$11,2))&lt;&gt;"Work","—",IF(COUNTIF(Settings!$F$18:$F$67,V$11)&gt;0,"BH",IF('_Engine'!CM55+'_Engine'!CN55=0,"·",IF('_Engine'!CM55='_Engine'!CN55,INDEX(Settings!$G$7:$G$11,MOD('_Engine'!CM55,10))&amp;IF('_Engine'!CM55&gt;10,"?",""),IF('_Engine'!CM55=0,INDEX(Settings!$G$7:$G$11,MOD('_Engine'!CN55,10))&amp;IF('_Engine'!CN55&gt;10,"?","")&amp;" PM",IF('_Engine'!CN55=0,INDEX(Settings!$G$7:$G$11,MOD('_Engine'!CM55,10))&amp;IF('_Engine'!CM55&gt;10,"?","")&amp;" AM",INDEX(Settings!$G$7:$G$11,MOD('_Engine'!CM55,10))&amp;IF('_Engine'!CM55&gt;10,"?","")&amp;" AM"&amp;CHAR(10)&amp;INDEX(Settings!$G$7:$G$11,MOD('_Engine'!CN55,10))&amp;IF('_Engine'!CN55&gt;10,"?","")&amp;" PM"))))))))</ns0:f>
        <ns0:v/>
      </ns0:c>
      <ns0:c r="W55" s="164" t="str">
        <ns0:f>IF(OR($A55="",W$11=""),"",IF(OR('_Engine'!$B$6&gt;0,INDEX('_Engine'!$AM$11:$AM$60,'_Engine'!$AO55)&lt;&gt;"OK"),"!",IF(INDEX(Team!$H$11:$N$60,'_Engine'!$AO55,WEEKDAY(W$11,2))&lt;&gt;"Work","—",IF(COUNTIF(Settings!$F$18:$F$67,W$11)&gt;0,"BH",IF('_Engine'!CO55+'_Engine'!CP55=0,"·",IF('_Engine'!CO55='_Engine'!CP55,INDEX(Settings!$G$7:$G$11,MOD('_Engine'!CO55,10))&amp;IF('_Engine'!CO55&gt;10,"?",""),IF('_Engine'!CO55=0,INDEX(Settings!$G$7:$G$11,MOD('_Engine'!CP55,10))&amp;IF('_Engine'!CP55&gt;10,"?","")&amp;" PM",IF('_Engine'!CP55=0,INDEX(Settings!$G$7:$G$11,MOD('_Engine'!CO55,10))&amp;IF('_Engine'!CO55&gt;10,"?","")&amp;" AM",INDEX(Settings!$G$7:$G$11,MOD('_Engine'!CO55,10))&amp;IF('_Engine'!CO55&gt;10,"?","")&amp;" AM"&amp;CHAR(10)&amp;INDEX(Settings!$G$7:$G$11,MOD('_Engine'!CP55,10))&amp;IF('_Engine'!CP55&gt;10,"?","")&amp;" PM"))))))))</ns0:f>
        <ns0:v/>
      </ns0:c>
      <ns0:c r="X55" s="164" t="str">
        <ns0:f>IF(OR($A55="",X$11=""),"",IF(OR('_Engine'!$B$6&gt;0,INDEX('_Engine'!$AM$11:$AM$60,'_Engine'!$AO55)&lt;&gt;"OK"),"!",IF(INDEX(Team!$H$11:$N$60,'_Engine'!$AO55,WEEKDAY(X$11,2))&lt;&gt;"Work","—",IF(COUNTIF(Settings!$F$18:$F$67,X$11)&gt;0,"BH",IF('_Engine'!CQ55+'_Engine'!CR55=0,"·",IF('_Engine'!CQ55='_Engine'!CR55,INDEX(Settings!$G$7:$G$11,MOD('_Engine'!CQ55,10))&amp;IF('_Engine'!CQ55&gt;10,"?",""),IF('_Engine'!CQ55=0,INDEX(Settings!$G$7:$G$11,MOD('_Engine'!CR55,10))&amp;IF('_Engine'!CR55&gt;10,"?","")&amp;" PM",IF('_Engine'!CR55=0,INDEX(Settings!$G$7:$G$11,MOD('_Engine'!CQ55,10))&amp;IF('_Engine'!CQ55&gt;10,"?","")&amp;" AM",INDEX(Settings!$G$7:$G$11,MOD('_Engine'!CQ55,10))&amp;IF('_Engine'!CQ55&gt;10,"?","")&amp;" AM"&amp;CHAR(10)&amp;INDEX(Settings!$G$7:$G$11,MOD('_Engine'!CR55,10))&amp;IF('_Engine'!CR55&gt;10,"?","")&amp;" PM"))))))))</ns0:f>
        <ns0:v/>
      </ns0:c>
      <ns0:c r="Y55" s="164" t="str">
        <ns0:f>IF(OR($A55="",Y$11=""),"",IF(OR('_Engine'!$B$6&gt;0,INDEX('_Engine'!$AM$11:$AM$60,'_Engine'!$AO55)&lt;&gt;"OK"),"!",IF(INDEX(Team!$H$11:$N$60,'_Engine'!$AO55,WEEKDAY(Y$11,2))&lt;&gt;"Work","—",IF(COUNTIF(Settings!$F$18:$F$67,Y$11)&gt;0,"BH",IF('_Engine'!CS55+'_Engine'!CT55=0,"·",IF('_Engine'!CS55='_Engine'!CT55,INDEX(Settings!$G$7:$G$11,MOD('_Engine'!CS55,10))&amp;IF('_Engine'!CS55&gt;10,"?",""),IF('_Engine'!CS55=0,INDEX(Settings!$G$7:$G$11,MOD('_Engine'!CT55,10))&amp;IF('_Engine'!CT55&gt;10,"?","")&amp;" PM",IF('_Engine'!CT55=0,INDEX(Settings!$G$7:$G$11,MOD('_Engine'!CS55,10))&amp;IF('_Engine'!CS55&gt;10,"?","")&amp;" AM",INDEX(Settings!$G$7:$G$11,MOD('_Engine'!CS55,10))&amp;IF('_Engine'!CS55&gt;10,"?","")&amp;" AM"&amp;CHAR(10)&amp;INDEX(Settings!$G$7:$G$11,MOD('_Engine'!CT55,10))&amp;IF('_Engine'!CT55&gt;10,"?","")&amp;" PM"))))))))</ns0:f>
        <ns0:v/>
      </ns0:c>
      <ns0:c r="Z55" s="164" t="str">
        <ns0:f>IF(OR($A55="",Z$11=""),"",IF(OR('_Engine'!$B$6&gt;0,INDEX('_Engine'!$AM$11:$AM$60,'_Engine'!$AO55)&lt;&gt;"OK"),"!",IF(INDEX(Team!$H$11:$N$60,'_Engine'!$AO55,WEEKDAY(Z$11,2))&lt;&gt;"Work","—",IF(COUNTIF(Settings!$F$18:$F$67,Z$11)&gt;0,"BH",IF('_Engine'!CU55+'_Engine'!CV55=0,"·",IF('_Engine'!CU55='_Engine'!CV55,INDEX(Settings!$G$7:$G$11,MOD('_Engine'!CU55,10))&amp;IF('_Engine'!CU55&gt;10,"?",""),IF('_Engine'!CU55=0,INDEX(Settings!$G$7:$G$11,MOD('_Engine'!CV55,10))&amp;IF('_Engine'!CV55&gt;10,"?","")&amp;" PM",IF('_Engine'!CV55=0,INDEX(Settings!$G$7:$G$11,MOD('_Engine'!CU55,10))&amp;IF('_Engine'!CU55&gt;10,"?","")&amp;" AM",INDEX(Settings!$G$7:$G$11,MOD('_Engine'!CU55,10))&amp;IF('_Engine'!CU55&gt;10,"?","")&amp;" AM"&amp;CHAR(10)&amp;INDEX(Settings!$G$7:$G$11,MOD('_Engine'!CV55,10))&amp;IF('_Engine'!CV55&gt;10,"?","")&amp;" PM"))))))))</ns0:f>
        <ns0:v/>
      </ns0:c>
      <ns0:c r="AA55" s="164" t="str">
        <ns0:f>IF(OR($A55="",AA$11=""),"",IF(OR('_Engine'!$B$6&gt;0,INDEX('_Engine'!$AM$11:$AM$60,'_Engine'!$AO55)&lt;&gt;"OK"),"!",IF(INDEX(Team!$H$11:$N$60,'_Engine'!$AO55,WEEKDAY(AA$11,2))&lt;&gt;"Work","—",IF(COUNTIF(Settings!$F$18:$F$67,AA$11)&gt;0,"BH",IF('_Engine'!CW55+'_Engine'!CX55=0,"·",IF('_Engine'!CW55='_Engine'!CX55,INDEX(Settings!$G$7:$G$11,MOD('_Engine'!CW55,10))&amp;IF('_Engine'!CW55&gt;10,"?",""),IF('_Engine'!CW55=0,INDEX(Settings!$G$7:$G$11,MOD('_Engine'!CX55,10))&amp;IF('_Engine'!CX55&gt;10,"?","")&amp;" PM",IF('_Engine'!CX55=0,INDEX(Settings!$G$7:$G$11,MOD('_Engine'!CW55,10))&amp;IF('_Engine'!CW55&gt;10,"?","")&amp;" AM",INDEX(Settings!$G$7:$G$11,MOD('_Engine'!CW55,10))&amp;IF('_Engine'!CW55&gt;10,"?","")&amp;" AM"&amp;CHAR(10)&amp;INDEX(Settings!$G$7:$G$11,MOD('_Engine'!CX55,10))&amp;IF('_Engine'!CX55&gt;10,"?","")&amp;" PM"))))))))</ns0:f>
        <ns0:v/>
      </ns0:c>
      <ns0:c r="AB55" s="164" t="str">
        <ns0:f>IF(OR($A55="",AB$11=""),"",IF(OR('_Engine'!$B$6&gt;0,INDEX('_Engine'!$AM$11:$AM$60,'_Engine'!$AO55)&lt;&gt;"OK"),"!",IF(INDEX(Team!$H$11:$N$60,'_Engine'!$AO55,WEEKDAY(AB$11,2))&lt;&gt;"Work","—",IF(COUNTIF(Settings!$F$18:$F$67,AB$11)&gt;0,"BH",IF('_Engine'!CY55+'_Engine'!CZ55=0,"·",IF('_Engine'!CY55='_Engine'!CZ55,INDEX(Settings!$G$7:$G$11,MOD('_Engine'!CY55,10))&amp;IF('_Engine'!CY55&gt;10,"?",""),IF('_Engine'!CY55=0,INDEX(Settings!$G$7:$G$11,MOD('_Engine'!CZ55,10))&amp;IF('_Engine'!CZ55&gt;10,"?","")&amp;" PM",IF('_Engine'!CZ55=0,INDEX(Settings!$G$7:$G$11,MOD('_Engine'!CY55,10))&amp;IF('_Engine'!CY55&gt;10,"?","")&amp;" AM",INDEX(Settings!$G$7:$G$11,MOD('_Engine'!CY55,10))&amp;IF('_Engine'!CY55&gt;10,"?","")&amp;" AM"&amp;CHAR(10)&amp;INDEX(Settings!$G$7:$G$11,MOD('_Engine'!CZ55,10))&amp;IF('_Engine'!CZ55&gt;10,"?","")&amp;" PM"))))))))</ns0:f>
        <ns0:v/>
      </ns0:c>
      <ns0:c r="AC55" s="164" t="str">
        <ns0:f>IF(OR($A55="",AC$11=""),"",IF(OR('_Engine'!$B$6&gt;0,INDEX('_Engine'!$AM$11:$AM$60,'_Engine'!$AO55)&lt;&gt;"OK"),"!",IF(INDEX(Team!$H$11:$N$60,'_Engine'!$AO55,WEEKDAY(AC$11,2))&lt;&gt;"Work","—",IF(COUNTIF(Settings!$F$18:$F$67,AC$11)&gt;0,"BH",IF('_Engine'!DA55+'_Engine'!DB55=0,"·",IF('_Engine'!DA55='_Engine'!DB55,INDEX(Settings!$G$7:$G$11,MOD('_Engine'!DA55,10))&amp;IF('_Engine'!DA55&gt;10,"?",""),IF('_Engine'!DA55=0,INDEX(Settings!$G$7:$G$11,MOD('_Engine'!DB55,10))&amp;IF('_Engine'!DB55&gt;10,"?","")&amp;" PM",IF('_Engine'!DB55=0,INDEX(Settings!$G$7:$G$11,MOD('_Engine'!DA55,10))&amp;IF('_Engine'!DA55&gt;10,"?","")&amp;" AM",INDEX(Settings!$G$7:$G$11,MOD('_Engine'!DA55,10))&amp;IF('_Engine'!DA55&gt;10,"?","")&amp;" AM"&amp;CHAR(10)&amp;INDEX(Settings!$G$7:$G$11,MOD('_Engine'!DB55,10))&amp;IF('_Engine'!DB55&gt;10,"?","")&amp;" PM"))))))))</ns0:f>
        <ns0:v/>
      </ns0:c>
      <ns0:c r="AD55" s="164" t="str">
        <ns0:f>IF(OR($A55="",AD$11=""),"",IF(OR('_Engine'!$B$6&gt;0,INDEX('_Engine'!$AM$11:$AM$60,'_Engine'!$AO55)&lt;&gt;"OK"),"!",IF(INDEX(Team!$H$11:$N$60,'_Engine'!$AO55,WEEKDAY(AD$11,2))&lt;&gt;"Work","—",IF(COUNTIF(Settings!$F$18:$F$67,AD$11)&gt;0,"BH",IF('_Engine'!DC55+'_Engine'!DD55=0,"·",IF('_Engine'!DC55='_Engine'!DD55,INDEX(Settings!$G$7:$G$11,MOD('_Engine'!DC55,10))&amp;IF('_Engine'!DC55&gt;10,"?",""),IF('_Engine'!DC55=0,INDEX(Settings!$G$7:$G$11,MOD('_Engine'!DD55,10))&amp;IF('_Engine'!DD55&gt;10,"?","")&amp;" PM",IF('_Engine'!DD55=0,INDEX(Settings!$G$7:$G$11,MOD('_Engine'!DC55,10))&amp;IF('_Engine'!DC55&gt;10,"?","")&amp;" AM",INDEX(Settings!$G$7:$G$11,MOD('_Engine'!DC55,10))&amp;IF('_Engine'!DC55&gt;10,"?","")&amp;" AM"&amp;CHAR(10)&amp;INDEX(Settings!$G$7:$G$11,MOD('_Engine'!DD55,10))&amp;IF('_Engine'!DD55&gt;10,"?","")&amp;" PM"))))))))</ns0:f>
        <ns0:v/>
      </ns0:c>
      <ns0:c r="AE55" s="164" t="str">
        <ns0:f>IF(OR($A55="",AE$11=""),"",IF(OR('_Engine'!$B$6&gt;0,INDEX('_Engine'!$AM$11:$AM$60,'_Engine'!$AO55)&lt;&gt;"OK"),"!",IF(INDEX(Team!$H$11:$N$60,'_Engine'!$AO55,WEEKDAY(AE$11,2))&lt;&gt;"Work","—",IF(COUNTIF(Settings!$F$18:$F$67,AE$11)&gt;0,"BH",IF('_Engine'!DE55+'_Engine'!DF55=0,"·",IF('_Engine'!DE55='_Engine'!DF55,INDEX(Settings!$G$7:$G$11,MOD('_Engine'!DE55,10))&amp;IF('_Engine'!DE55&gt;10,"?",""),IF('_Engine'!DE55=0,INDEX(Settings!$G$7:$G$11,MOD('_Engine'!DF55,10))&amp;IF('_Engine'!DF55&gt;10,"?","")&amp;" PM",IF('_Engine'!DF55=0,INDEX(Settings!$G$7:$G$11,MOD('_Engine'!DE55,10))&amp;IF('_Engine'!DE55&gt;10,"?","")&amp;" AM",INDEX(Settings!$G$7:$G$11,MOD('_Engine'!DE55,10))&amp;IF('_Engine'!DE55&gt;10,"?","")&amp;" AM"&amp;CHAR(10)&amp;INDEX(Settings!$G$7:$G$11,MOD('_Engine'!DF55,10))&amp;IF('_Engine'!DF55&gt;10,"?","")&amp;" PM"))))))))</ns0:f>
        <ns0:v/>
      </ns0:c>
      <ns0:c r="AF55" s="164" t="str">
        <ns0:f>IF(OR($A55="",AF$11=""),"",IF(OR('_Engine'!$B$6&gt;0,INDEX('_Engine'!$AM$11:$AM$60,'_Engine'!$AO55)&lt;&gt;"OK"),"!",IF(INDEX(Team!$H$11:$N$60,'_Engine'!$AO55,WEEKDAY(AF$11,2))&lt;&gt;"Work","—",IF(COUNTIF(Settings!$F$18:$F$67,AF$11)&gt;0,"BH",IF('_Engine'!DG55+'_Engine'!DH55=0,"·",IF('_Engine'!DG55='_Engine'!DH55,INDEX(Settings!$G$7:$G$11,MOD('_Engine'!DG55,10))&amp;IF('_Engine'!DG55&gt;10,"?",""),IF('_Engine'!DG55=0,INDEX(Settings!$G$7:$G$11,MOD('_Engine'!DH55,10))&amp;IF('_Engine'!DH55&gt;10,"?","")&amp;" PM",IF('_Engine'!DH55=0,INDEX(Settings!$G$7:$G$11,MOD('_Engine'!DG55,10))&amp;IF('_Engine'!DG55&gt;10,"?","")&amp;" AM",INDEX(Settings!$G$7:$G$11,MOD('_Engine'!DG55,10))&amp;IF('_Engine'!DG55&gt;10,"?","")&amp;" AM"&amp;CHAR(10)&amp;INDEX(Settings!$G$7:$G$11,MOD('_Engine'!DH55,10))&amp;IF('_Engine'!DH55&gt;10,"?","")&amp;" PM"))))))))</ns0:f>
        <ns0:v/>
      </ns0:c>
      <ns0:c r="AG55" s="164" t="str">
        <ns0:f>IF(OR($A55="",AG$11=""),"",IF(OR('_Engine'!$B$6&gt;0,INDEX('_Engine'!$AM$11:$AM$60,'_Engine'!$AO55)&lt;&gt;"OK"),"!",IF(INDEX(Team!$H$11:$N$60,'_Engine'!$AO55,WEEKDAY(AG$11,2))&lt;&gt;"Work","—",IF(COUNTIF(Settings!$F$18:$F$67,AG$11)&gt;0,"BH",IF('_Engine'!DI55+'_Engine'!DJ55=0,"·",IF('_Engine'!DI55='_Engine'!DJ55,INDEX(Settings!$G$7:$G$11,MOD('_Engine'!DI55,10))&amp;IF('_Engine'!DI55&gt;10,"?",""),IF('_Engine'!DI55=0,INDEX(Settings!$G$7:$G$11,MOD('_Engine'!DJ55,10))&amp;IF('_Engine'!DJ55&gt;10,"?","")&amp;" PM",IF('_Engine'!DJ55=0,INDEX(Settings!$G$7:$G$11,MOD('_Engine'!DI55,10))&amp;IF('_Engine'!DI55&gt;10,"?","")&amp;" AM",INDEX(Settings!$G$7:$G$11,MOD('_Engine'!DI55,10))&amp;IF('_Engine'!DI55&gt;10,"?","")&amp;" AM"&amp;CHAR(10)&amp;INDEX(Settings!$G$7:$G$11,MOD('_Engine'!DJ55,10))&amp;IF('_Engine'!DJ55&gt;10,"?","")&amp;" PM"))))))))</ns0:f>
        <ns0:v/>
      </ns0:c>
      <ns0:c r="AH55" s="164" t="str">
        <ns0:f>IF(OR($A55="",AH$11=""),"",IF(OR('_Engine'!$B$6&gt;0,INDEX('_Engine'!$AM$11:$AM$60,'_Engine'!$AO55)&lt;&gt;"OK"),"!",IF(INDEX(Team!$H$11:$N$60,'_Engine'!$AO55,WEEKDAY(AH$11,2))&lt;&gt;"Work","—",IF(COUNTIF(Settings!$F$18:$F$67,AH$11)&gt;0,"BH",IF('_Engine'!DK55+'_Engine'!DL55=0,"·",IF('_Engine'!DK55='_Engine'!DL55,INDEX(Settings!$G$7:$G$11,MOD('_Engine'!DK55,10))&amp;IF('_Engine'!DK55&gt;10,"?",""),IF('_Engine'!DK55=0,INDEX(Settings!$G$7:$G$11,MOD('_Engine'!DL55,10))&amp;IF('_Engine'!DL55&gt;10,"?","")&amp;" PM",IF('_Engine'!DL55=0,INDEX(Settings!$G$7:$G$11,MOD('_Engine'!DK55,10))&amp;IF('_Engine'!DK55&gt;10,"?","")&amp;" AM",INDEX(Settings!$G$7:$G$11,MOD('_Engine'!DK55,10))&amp;IF('_Engine'!DK55&gt;10,"?","")&amp;" AM"&amp;CHAR(10)&amp;INDEX(Settings!$G$7:$G$11,MOD('_Engine'!DL55,10))&amp;IF('_Engine'!DL55&gt;10,"?","")&amp;" PM"))))))))</ns0:f>
        <ns0:v/>
      </ns0:c>
    </ns0:row>
    <ns0:row r="56" ht="38" customHeight="1">
      <ns0:c r="A56" s="4" t="str">
        <ns0:f>IF('_Engine'!AO56=0,"",IF(INDEX(Team!$B$11:$B$60,'_Engine'!AO56)="","[Unnamed]",INDEX(Team!$B$11:$B$60,'_Engine'!AO56)))</ns0:f>
        <ns0:v/>
      </ns0:c>
      <ns0:c r="B56" s="156" t="str">
        <ns0:f>IF('_Engine'!AO56=0,"",INDEX('_Engine'!$AN$11:$AN$60,'_Engine'!AO56))</ns0:f>
        <ns0:v/>
      </ns0:c>
      <ns0:c r="C56" s="4" t="str">
        <ns0:f>IF('_Engine'!AO56=0,"",INDEX(Team!$C$11:$C$60,'_Engine'!AO56))</ns0:f>
        <ns0:v/>
      </ns0:c>
      <ns0:c r="D56" s="162" t="str">
        <ns0:f>IF(OR($A56="",D$11=""),"",IF(OR('_Engine'!$B$6&gt;0,INDEX('_Engine'!$AM$11:$AM$60,'_Engine'!$AO56)&lt;&gt;"OK"),"!",IF(INDEX(Team!$H$11:$N$60,'_Engine'!$AO56,WEEKDAY(D$11,2))&lt;&gt;"Work","—",IF(COUNTIF(Settings!$F$18:$F$67,D$11)&gt;0,"BH",IF('_Engine'!BC56+'_Engine'!BD56=0,"·",IF('_Engine'!BC56='_Engine'!BD56,INDEX(Settings!$G$7:$G$11,MOD('_Engine'!BC56,10))&amp;IF('_Engine'!BC56&gt;10,"?",""),IF('_Engine'!BC56=0,INDEX(Settings!$G$7:$G$11,MOD('_Engine'!BD56,10))&amp;IF('_Engine'!BD56&gt;10,"?","")&amp;" PM",IF('_Engine'!BD56=0,INDEX(Settings!$G$7:$G$11,MOD('_Engine'!BC56,10))&amp;IF('_Engine'!BC56&gt;10,"?","")&amp;" AM",INDEX(Settings!$G$7:$G$11,MOD('_Engine'!BC56,10))&amp;IF('_Engine'!BC56&gt;10,"?","")&amp;" AM"&amp;CHAR(10)&amp;INDEX(Settings!$G$7:$G$11,MOD('_Engine'!BD56,10))&amp;IF('_Engine'!BD56&gt;10,"?","")&amp;" PM"))))))))</ns0:f>
        <ns0:v/>
      </ns0:c>
      <ns0:c r="E56" s="162" t="str">
        <ns0:f>IF(OR($A56="",E$11=""),"",IF(OR('_Engine'!$B$6&gt;0,INDEX('_Engine'!$AM$11:$AM$60,'_Engine'!$AO56)&lt;&gt;"OK"),"!",IF(INDEX(Team!$H$11:$N$60,'_Engine'!$AO56,WEEKDAY(E$11,2))&lt;&gt;"Work","—",IF(COUNTIF(Settings!$F$18:$F$67,E$11)&gt;0,"BH",IF('_Engine'!BE56+'_Engine'!BF56=0,"·",IF('_Engine'!BE56='_Engine'!BF56,INDEX(Settings!$G$7:$G$11,MOD('_Engine'!BE56,10))&amp;IF('_Engine'!BE56&gt;10,"?",""),IF('_Engine'!BE56=0,INDEX(Settings!$G$7:$G$11,MOD('_Engine'!BF56,10))&amp;IF('_Engine'!BF56&gt;10,"?","")&amp;" PM",IF('_Engine'!BF56=0,INDEX(Settings!$G$7:$G$11,MOD('_Engine'!BE56,10))&amp;IF('_Engine'!BE56&gt;10,"?","")&amp;" AM",INDEX(Settings!$G$7:$G$11,MOD('_Engine'!BE56,10))&amp;IF('_Engine'!BE56&gt;10,"?","")&amp;" AM"&amp;CHAR(10)&amp;INDEX(Settings!$G$7:$G$11,MOD('_Engine'!BF56,10))&amp;IF('_Engine'!BF56&gt;10,"?","")&amp;" PM"))))))))</ns0:f>
        <ns0:v/>
      </ns0:c>
      <ns0:c r="F56" s="162" t="str">
        <ns0:f>IF(OR($A56="",F$11=""),"",IF(OR('_Engine'!$B$6&gt;0,INDEX('_Engine'!$AM$11:$AM$60,'_Engine'!$AO56)&lt;&gt;"OK"),"!",IF(INDEX(Team!$H$11:$N$60,'_Engine'!$AO56,WEEKDAY(F$11,2))&lt;&gt;"Work","—",IF(COUNTIF(Settings!$F$18:$F$67,F$11)&gt;0,"BH",IF('_Engine'!BG56+'_Engine'!BH56=0,"·",IF('_Engine'!BG56='_Engine'!BH56,INDEX(Settings!$G$7:$G$11,MOD('_Engine'!BG56,10))&amp;IF('_Engine'!BG56&gt;10,"?",""),IF('_Engine'!BG56=0,INDEX(Settings!$G$7:$G$11,MOD('_Engine'!BH56,10))&amp;IF('_Engine'!BH56&gt;10,"?","")&amp;" PM",IF('_Engine'!BH56=0,INDEX(Settings!$G$7:$G$11,MOD('_Engine'!BG56,10))&amp;IF('_Engine'!BG56&gt;10,"?","")&amp;" AM",INDEX(Settings!$G$7:$G$11,MOD('_Engine'!BG56,10))&amp;IF('_Engine'!BG56&gt;10,"?","")&amp;" AM"&amp;CHAR(10)&amp;INDEX(Settings!$G$7:$G$11,MOD('_Engine'!BH56,10))&amp;IF('_Engine'!BH56&gt;10,"?","")&amp;" PM"))))))))</ns0:f>
        <ns0:v/>
      </ns0:c>
      <ns0:c r="G56" s="162" t="str">
        <ns0:f>IF(OR($A56="",G$11=""),"",IF(OR('_Engine'!$B$6&gt;0,INDEX('_Engine'!$AM$11:$AM$60,'_Engine'!$AO56)&lt;&gt;"OK"),"!",IF(INDEX(Team!$H$11:$N$60,'_Engine'!$AO56,WEEKDAY(G$11,2))&lt;&gt;"Work","—",IF(COUNTIF(Settings!$F$18:$F$67,G$11)&gt;0,"BH",IF('_Engine'!BI56+'_Engine'!BJ56=0,"·",IF('_Engine'!BI56='_Engine'!BJ56,INDEX(Settings!$G$7:$G$11,MOD('_Engine'!BI56,10))&amp;IF('_Engine'!BI56&gt;10,"?",""),IF('_Engine'!BI56=0,INDEX(Settings!$G$7:$G$11,MOD('_Engine'!BJ56,10))&amp;IF('_Engine'!BJ56&gt;10,"?","")&amp;" PM",IF('_Engine'!BJ56=0,INDEX(Settings!$G$7:$G$11,MOD('_Engine'!BI56,10))&amp;IF('_Engine'!BI56&gt;10,"?","")&amp;" AM",INDEX(Settings!$G$7:$G$11,MOD('_Engine'!BI56,10))&amp;IF('_Engine'!BI56&gt;10,"?","")&amp;" AM"&amp;CHAR(10)&amp;INDEX(Settings!$G$7:$G$11,MOD('_Engine'!BJ56,10))&amp;IF('_Engine'!BJ56&gt;10,"?","")&amp;" PM"))))))))</ns0:f>
        <ns0:v/>
      </ns0:c>
      <ns0:c r="H56" s="162" t="str">
        <ns0:f>IF(OR($A56="",H$11=""),"",IF(OR('_Engine'!$B$6&gt;0,INDEX('_Engine'!$AM$11:$AM$60,'_Engine'!$AO56)&lt;&gt;"OK"),"!",IF(INDEX(Team!$H$11:$N$60,'_Engine'!$AO56,WEEKDAY(H$11,2))&lt;&gt;"Work","—",IF(COUNTIF(Settings!$F$18:$F$67,H$11)&gt;0,"BH",IF('_Engine'!BK56+'_Engine'!BL56=0,"·",IF('_Engine'!BK56='_Engine'!BL56,INDEX(Settings!$G$7:$G$11,MOD('_Engine'!BK56,10))&amp;IF('_Engine'!BK56&gt;10,"?",""),IF('_Engine'!BK56=0,INDEX(Settings!$G$7:$G$11,MOD('_Engine'!BL56,10))&amp;IF('_Engine'!BL56&gt;10,"?","")&amp;" PM",IF('_Engine'!BL56=0,INDEX(Settings!$G$7:$G$11,MOD('_Engine'!BK56,10))&amp;IF('_Engine'!BK56&gt;10,"?","")&amp;" AM",INDEX(Settings!$G$7:$G$11,MOD('_Engine'!BK56,10))&amp;IF('_Engine'!BK56&gt;10,"?","")&amp;" AM"&amp;CHAR(10)&amp;INDEX(Settings!$G$7:$G$11,MOD('_Engine'!BL56,10))&amp;IF('_Engine'!BL56&gt;10,"?","")&amp;" PM"))))))))</ns0:f>
        <ns0:v/>
      </ns0:c>
      <ns0:c r="I56" s="162" t="str">
        <ns0:f>IF(OR($A56="",I$11=""),"",IF(OR('_Engine'!$B$6&gt;0,INDEX('_Engine'!$AM$11:$AM$60,'_Engine'!$AO56)&lt;&gt;"OK"),"!",IF(INDEX(Team!$H$11:$N$60,'_Engine'!$AO56,WEEKDAY(I$11,2))&lt;&gt;"Work","—",IF(COUNTIF(Settings!$F$18:$F$67,I$11)&gt;0,"BH",IF('_Engine'!BM56+'_Engine'!BN56=0,"·",IF('_Engine'!BM56='_Engine'!BN56,INDEX(Settings!$G$7:$G$11,MOD('_Engine'!BM56,10))&amp;IF('_Engine'!BM56&gt;10,"?",""),IF('_Engine'!BM56=0,INDEX(Settings!$G$7:$G$11,MOD('_Engine'!BN56,10))&amp;IF('_Engine'!BN56&gt;10,"?","")&amp;" PM",IF('_Engine'!BN56=0,INDEX(Settings!$G$7:$G$11,MOD('_Engine'!BM56,10))&amp;IF('_Engine'!BM56&gt;10,"?","")&amp;" AM",INDEX(Settings!$G$7:$G$11,MOD('_Engine'!BM56,10))&amp;IF('_Engine'!BM56&gt;10,"?","")&amp;" AM"&amp;CHAR(10)&amp;INDEX(Settings!$G$7:$G$11,MOD('_Engine'!BN56,10))&amp;IF('_Engine'!BN56&gt;10,"?","")&amp;" PM"))))))))</ns0:f>
        <ns0:v/>
      </ns0:c>
      <ns0:c r="J56" s="162" t="str">
        <ns0:f>IF(OR($A56="",J$11=""),"",IF(OR('_Engine'!$B$6&gt;0,INDEX('_Engine'!$AM$11:$AM$60,'_Engine'!$AO56)&lt;&gt;"OK"),"!",IF(INDEX(Team!$H$11:$N$60,'_Engine'!$AO56,WEEKDAY(J$11,2))&lt;&gt;"Work","—",IF(COUNTIF(Settings!$F$18:$F$67,J$11)&gt;0,"BH",IF('_Engine'!BO56+'_Engine'!BP56=0,"·",IF('_Engine'!BO56='_Engine'!BP56,INDEX(Settings!$G$7:$G$11,MOD('_Engine'!BO56,10))&amp;IF('_Engine'!BO56&gt;10,"?",""),IF('_Engine'!BO56=0,INDEX(Settings!$G$7:$G$11,MOD('_Engine'!BP56,10))&amp;IF('_Engine'!BP56&gt;10,"?","")&amp;" PM",IF('_Engine'!BP56=0,INDEX(Settings!$G$7:$G$11,MOD('_Engine'!BO56,10))&amp;IF('_Engine'!BO56&gt;10,"?","")&amp;" AM",INDEX(Settings!$G$7:$G$11,MOD('_Engine'!BO56,10))&amp;IF('_Engine'!BO56&gt;10,"?","")&amp;" AM"&amp;CHAR(10)&amp;INDEX(Settings!$G$7:$G$11,MOD('_Engine'!BP56,10))&amp;IF('_Engine'!BP56&gt;10,"?","")&amp;" PM"))))))))</ns0:f>
        <ns0:v/>
      </ns0:c>
      <ns0:c r="K56" s="164" t="str">
        <ns0:f>IF(OR($A56="",K$11=""),"",IF(OR('_Engine'!$B$6&gt;0,INDEX('_Engine'!$AM$11:$AM$60,'_Engine'!$AO56)&lt;&gt;"OK"),"!",IF(INDEX(Team!$H$11:$N$60,'_Engine'!$AO56,WEEKDAY(K$11,2))&lt;&gt;"Work","—",IF(COUNTIF(Settings!$F$18:$F$67,K$11)&gt;0,"BH",IF('_Engine'!BQ56+'_Engine'!BR56=0,"·",IF('_Engine'!BQ56='_Engine'!BR56,INDEX(Settings!$G$7:$G$11,MOD('_Engine'!BQ56,10))&amp;IF('_Engine'!BQ56&gt;10,"?",""),IF('_Engine'!BQ56=0,INDEX(Settings!$G$7:$G$11,MOD('_Engine'!BR56,10))&amp;IF('_Engine'!BR56&gt;10,"?","")&amp;" PM",IF('_Engine'!BR56=0,INDEX(Settings!$G$7:$G$11,MOD('_Engine'!BQ56,10))&amp;IF('_Engine'!BQ56&gt;10,"?","")&amp;" AM",INDEX(Settings!$G$7:$G$11,MOD('_Engine'!BQ56,10))&amp;IF('_Engine'!BQ56&gt;10,"?","")&amp;" AM"&amp;CHAR(10)&amp;INDEX(Settings!$G$7:$G$11,MOD('_Engine'!BR56,10))&amp;IF('_Engine'!BR56&gt;10,"?","")&amp;" PM"))))))))</ns0:f>
        <ns0:v/>
      </ns0:c>
      <ns0:c r="L56" s="164" t="str">
        <ns0:f>IF(OR($A56="",L$11=""),"",IF(OR('_Engine'!$B$6&gt;0,INDEX('_Engine'!$AM$11:$AM$60,'_Engine'!$AO56)&lt;&gt;"OK"),"!",IF(INDEX(Team!$H$11:$N$60,'_Engine'!$AO56,WEEKDAY(L$11,2))&lt;&gt;"Work","—",IF(COUNTIF(Settings!$F$18:$F$67,L$11)&gt;0,"BH",IF('_Engine'!BS56+'_Engine'!BT56=0,"·",IF('_Engine'!BS56='_Engine'!BT56,INDEX(Settings!$G$7:$G$11,MOD('_Engine'!BS56,10))&amp;IF('_Engine'!BS56&gt;10,"?",""),IF('_Engine'!BS56=0,INDEX(Settings!$G$7:$G$11,MOD('_Engine'!BT56,10))&amp;IF('_Engine'!BT56&gt;10,"?","")&amp;" PM",IF('_Engine'!BT56=0,INDEX(Settings!$G$7:$G$11,MOD('_Engine'!BS56,10))&amp;IF('_Engine'!BS56&gt;10,"?","")&amp;" AM",INDEX(Settings!$G$7:$G$11,MOD('_Engine'!BS56,10))&amp;IF('_Engine'!BS56&gt;10,"?","")&amp;" AM"&amp;CHAR(10)&amp;INDEX(Settings!$G$7:$G$11,MOD('_Engine'!BT56,10))&amp;IF('_Engine'!BT56&gt;10,"?","")&amp;" PM"))))))))</ns0:f>
        <ns0:v/>
      </ns0:c>
      <ns0:c r="M56" s="164" t="str">
        <ns0:f>IF(OR($A56="",M$11=""),"",IF(OR('_Engine'!$B$6&gt;0,INDEX('_Engine'!$AM$11:$AM$60,'_Engine'!$AO56)&lt;&gt;"OK"),"!",IF(INDEX(Team!$H$11:$N$60,'_Engine'!$AO56,WEEKDAY(M$11,2))&lt;&gt;"Work","—",IF(COUNTIF(Settings!$F$18:$F$67,M$11)&gt;0,"BH",IF('_Engine'!BU56+'_Engine'!BV56=0,"·",IF('_Engine'!BU56='_Engine'!BV56,INDEX(Settings!$G$7:$G$11,MOD('_Engine'!BU56,10))&amp;IF('_Engine'!BU56&gt;10,"?",""),IF('_Engine'!BU56=0,INDEX(Settings!$G$7:$G$11,MOD('_Engine'!BV56,10))&amp;IF('_Engine'!BV56&gt;10,"?","")&amp;" PM",IF('_Engine'!BV56=0,INDEX(Settings!$G$7:$G$11,MOD('_Engine'!BU56,10))&amp;IF('_Engine'!BU56&gt;10,"?","")&amp;" AM",INDEX(Settings!$G$7:$G$11,MOD('_Engine'!BU56,10))&amp;IF('_Engine'!BU56&gt;10,"?","")&amp;" AM"&amp;CHAR(10)&amp;INDEX(Settings!$G$7:$G$11,MOD('_Engine'!BV56,10))&amp;IF('_Engine'!BV56&gt;10,"?","")&amp;" PM"))))))))</ns0:f>
        <ns0:v/>
      </ns0:c>
      <ns0:c r="N56" s="164" t="str">
        <ns0:f>IF(OR($A56="",N$11=""),"",IF(OR('_Engine'!$B$6&gt;0,INDEX('_Engine'!$AM$11:$AM$60,'_Engine'!$AO56)&lt;&gt;"OK"),"!",IF(INDEX(Team!$H$11:$N$60,'_Engine'!$AO56,WEEKDAY(N$11,2))&lt;&gt;"Work","—",IF(COUNTIF(Settings!$F$18:$F$67,N$11)&gt;0,"BH",IF('_Engine'!BW56+'_Engine'!BX56=0,"·",IF('_Engine'!BW56='_Engine'!BX56,INDEX(Settings!$G$7:$G$11,MOD('_Engine'!BW56,10))&amp;IF('_Engine'!BW56&gt;10,"?",""),IF('_Engine'!BW56=0,INDEX(Settings!$G$7:$G$11,MOD('_Engine'!BX56,10))&amp;IF('_Engine'!BX56&gt;10,"?","")&amp;" PM",IF('_Engine'!BX56=0,INDEX(Settings!$G$7:$G$11,MOD('_Engine'!BW56,10))&amp;IF('_Engine'!BW56&gt;10,"?","")&amp;" AM",INDEX(Settings!$G$7:$G$11,MOD('_Engine'!BW56,10))&amp;IF('_Engine'!BW56&gt;10,"?","")&amp;" AM"&amp;CHAR(10)&amp;INDEX(Settings!$G$7:$G$11,MOD('_Engine'!BX56,10))&amp;IF('_Engine'!BX56&gt;10,"?","")&amp;" PM"))))))))</ns0:f>
        <ns0:v/>
      </ns0:c>
      <ns0:c r="O56" s="164" t="str">
        <ns0:f>IF(OR($A56="",O$11=""),"",IF(OR('_Engine'!$B$6&gt;0,INDEX('_Engine'!$AM$11:$AM$60,'_Engine'!$AO56)&lt;&gt;"OK"),"!",IF(INDEX(Team!$H$11:$N$60,'_Engine'!$AO56,WEEKDAY(O$11,2))&lt;&gt;"Work","—",IF(COUNTIF(Settings!$F$18:$F$67,O$11)&gt;0,"BH",IF('_Engine'!BY56+'_Engine'!BZ56=0,"·",IF('_Engine'!BY56='_Engine'!BZ56,INDEX(Settings!$G$7:$G$11,MOD('_Engine'!BY56,10))&amp;IF('_Engine'!BY56&gt;10,"?",""),IF('_Engine'!BY56=0,INDEX(Settings!$G$7:$G$11,MOD('_Engine'!BZ56,10))&amp;IF('_Engine'!BZ56&gt;10,"?","")&amp;" PM",IF('_Engine'!BZ56=0,INDEX(Settings!$G$7:$G$11,MOD('_Engine'!BY56,10))&amp;IF('_Engine'!BY56&gt;10,"?","")&amp;" AM",INDEX(Settings!$G$7:$G$11,MOD('_Engine'!BY56,10))&amp;IF('_Engine'!BY56&gt;10,"?","")&amp;" AM"&amp;CHAR(10)&amp;INDEX(Settings!$G$7:$G$11,MOD('_Engine'!BZ56,10))&amp;IF('_Engine'!BZ56&gt;10,"?","")&amp;" PM"))))))))</ns0:f>
        <ns0:v/>
      </ns0:c>
      <ns0:c r="P56" s="164" t="str">
        <ns0:f>IF(OR($A56="",P$11=""),"",IF(OR('_Engine'!$B$6&gt;0,INDEX('_Engine'!$AM$11:$AM$60,'_Engine'!$AO56)&lt;&gt;"OK"),"!",IF(INDEX(Team!$H$11:$N$60,'_Engine'!$AO56,WEEKDAY(P$11,2))&lt;&gt;"Work","—",IF(COUNTIF(Settings!$F$18:$F$67,P$11)&gt;0,"BH",IF('_Engine'!CA56+'_Engine'!CB56=0,"·",IF('_Engine'!CA56='_Engine'!CB56,INDEX(Settings!$G$7:$G$11,MOD('_Engine'!CA56,10))&amp;IF('_Engine'!CA56&gt;10,"?",""),IF('_Engine'!CA56=0,INDEX(Settings!$G$7:$G$11,MOD('_Engine'!CB56,10))&amp;IF('_Engine'!CB56&gt;10,"?","")&amp;" PM",IF('_Engine'!CB56=0,INDEX(Settings!$G$7:$G$11,MOD('_Engine'!CA56,10))&amp;IF('_Engine'!CA56&gt;10,"?","")&amp;" AM",INDEX(Settings!$G$7:$G$11,MOD('_Engine'!CA56,10))&amp;IF('_Engine'!CA56&gt;10,"?","")&amp;" AM"&amp;CHAR(10)&amp;INDEX(Settings!$G$7:$G$11,MOD('_Engine'!CB56,10))&amp;IF('_Engine'!CB56&gt;10,"?","")&amp;" PM"))))))))</ns0:f>
        <ns0:v/>
      </ns0:c>
      <ns0:c r="Q56" s="164" t="str">
        <ns0:f>IF(OR($A56="",Q$11=""),"",IF(OR('_Engine'!$B$6&gt;0,INDEX('_Engine'!$AM$11:$AM$60,'_Engine'!$AO56)&lt;&gt;"OK"),"!",IF(INDEX(Team!$H$11:$N$60,'_Engine'!$AO56,WEEKDAY(Q$11,2))&lt;&gt;"Work","—",IF(COUNTIF(Settings!$F$18:$F$67,Q$11)&gt;0,"BH",IF('_Engine'!CC56+'_Engine'!CD56=0,"·",IF('_Engine'!CC56='_Engine'!CD56,INDEX(Settings!$G$7:$G$11,MOD('_Engine'!CC56,10))&amp;IF('_Engine'!CC56&gt;10,"?",""),IF('_Engine'!CC56=0,INDEX(Settings!$G$7:$G$11,MOD('_Engine'!CD56,10))&amp;IF('_Engine'!CD56&gt;10,"?","")&amp;" PM",IF('_Engine'!CD56=0,INDEX(Settings!$G$7:$G$11,MOD('_Engine'!CC56,10))&amp;IF('_Engine'!CC56&gt;10,"?","")&amp;" AM",INDEX(Settings!$G$7:$G$11,MOD('_Engine'!CC56,10))&amp;IF('_Engine'!CC56&gt;10,"?","")&amp;" AM"&amp;CHAR(10)&amp;INDEX(Settings!$G$7:$G$11,MOD('_Engine'!CD56,10))&amp;IF('_Engine'!CD56&gt;10,"?","")&amp;" PM"))))))))</ns0:f>
        <ns0:v/>
      </ns0:c>
      <ns0:c r="R56" s="164" t="str">
        <ns0:f>IF(OR($A56="",R$11=""),"",IF(OR('_Engine'!$B$6&gt;0,INDEX('_Engine'!$AM$11:$AM$60,'_Engine'!$AO56)&lt;&gt;"OK"),"!",IF(INDEX(Team!$H$11:$N$60,'_Engine'!$AO56,WEEKDAY(R$11,2))&lt;&gt;"Work","—",IF(COUNTIF(Settings!$F$18:$F$67,R$11)&gt;0,"BH",IF('_Engine'!CE56+'_Engine'!CF56=0,"·",IF('_Engine'!CE56='_Engine'!CF56,INDEX(Settings!$G$7:$G$11,MOD('_Engine'!CE56,10))&amp;IF('_Engine'!CE56&gt;10,"?",""),IF('_Engine'!CE56=0,INDEX(Settings!$G$7:$G$11,MOD('_Engine'!CF56,10))&amp;IF('_Engine'!CF56&gt;10,"?","")&amp;" PM",IF('_Engine'!CF56=0,INDEX(Settings!$G$7:$G$11,MOD('_Engine'!CE56,10))&amp;IF('_Engine'!CE56&gt;10,"?","")&amp;" AM",INDEX(Settings!$G$7:$G$11,MOD('_Engine'!CE56,10))&amp;IF('_Engine'!CE56&gt;10,"?","")&amp;" AM"&amp;CHAR(10)&amp;INDEX(Settings!$G$7:$G$11,MOD('_Engine'!CF56,10))&amp;IF('_Engine'!CF56&gt;10,"?","")&amp;" PM"))))))))</ns0:f>
        <ns0:v/>
      </ns0:c>
      <ns0:c r="S56" s="164" t="str">
        <ns0:f>IF(OR($A56="",S$11=""),"",IF(OR('_Engine'!$B$6&gt;0,INDEX('_Engine'!$AM$11:$AM$60,'_Engine'!$AO56)&lt;&gt;"OK"),"!",IF(INDEX(Team!$H$11:$N$60,'_Engine'!$AO56,WEEKDAY(S$11,2))&lt;&gt;"Work","—",IF(COUNTIF(Settings!$F$18:$F$67,S$11)&gt;0,"BH",IF('_Engine'!CG56+'_Engine'!CH56=0,"·",IF('_Engine'!CG56='_Engine'!CH56,INDEX(Settings!$G$7:$G$11,MOD('_Engine'!CG56,10))&amp;IF('_Engine'!CG56&gt;10,"?",""),IF('_Engine'!CG56=0,INDEX(Settings!$G$7:$G$11,MOD('_Engine'!CH56,10))&amp;IF('_Engine'!CH56&gt;10,"?","")&amp;" PM",IF('_Engine'!CH56=0,INDEX(Settings!$G$7:$G$11,MOD('_Engine'!CG56,10))&amp;IF('_Engine'!CG56&gt;10,"?","")&amp;" AM",INDEX(Settings!$G$7:$G$11,MOD('_Engine'!CG56,10))&amp;IF('_Engine'!CG56&gt;10,"?","")&amp;" AM"&amp;CHAR(10)&amp;INDEX(Settings!$G$7:$G$11,MOD('_Engine'!CH56,10))&amp;IF('_Engine'!CH56&gt;10,"?","")&amp;" PM"))))))))</ns0:f>
        <ns0:v/>
      </ns0:c>
      <ns0:c r="T56" s="164" t="str">
        <ns0:f>IF(OR($A56="",T$11=""),"",IF(OR('_Engine'!$B$6&gt;0,INDEX('_Engine'!$AM$11:$AM$60,'_Engine'!$AO56)&lt;&gt;"OK"),"!",IF(INDEX(Team!$H$11:$N$60,'_Engine'!$AO56,WEEKDAY(T$11,2))&lt;&gt;"Work","—",IF(COUNTIF(Settings!$F$18:$F$67,T$11)&gt;0,"BH",IF('_Engine'!CI56+'_Engine'!CJ56=0,"·",IF('_Engine'!CI56='_Engine'!CJ56,INDEX(Settings!$G$7:$G$11,MOD('_Engine'!CI56,10))&amp;IF('_Engine'!CI56&gt;10,"?",""),IF('_Engine'!CI56=0,INDEX(Settings!$G$7:$G$11,MOD('_Engine'!CJ56,10))&amp;IF('_Engine'!CJ56&gt;10,"?","")&amp;" PM",IF('_Engine'!CJ56=0,INDEX(Settings!$G$7:$G$11,MOD('_Engine'!CI56,10))&amp;IF('_Engine'!CI56&gt;10,"?","")&amp;" AM",INDEX(Settings!$G$7:$G$11,MOD('_Engine'!CI56,10))&amp;IF('_Engine'!CI56&gt;10,"?","")&amp;" AM"&amp;CHAR(10)&amp;INDEX(Settings!$G$7:$G$11,MOD('_Engine'!CJ56,10))&amp;IF('_Engine'!CJ56&gt;10,"?","")&amp;" PM"))))))))</ns0:f>
        <ns0:v/>
      </ns0:c>
      <ns0:c r="U56" s="164" t="str">
        <ns0:f>IF(OR($A56="",U$11=""),"",IF(OR('_Engine'!$B$6&gt;0,INDEX('_Engine'!$AM$11:$AM$60,'_Engine'!$AO56)&lt;&gt;"OK"),"!",IF(INDEX(Team!$H$11:$N$60,'_Engine'!$AO56,WEEKDAY(U$11,2))&lt;&gt;"Work","—",IF(COUNTIF(Settings!$F$18:$F$67,U$11)&gt;0,"BH",IF('_Engine'!CK56+'_Engine'!CL56=0,"·",IF('_Engine'!CK56='_Engine'!CL56,INDEX(Settings!$G$7:$G$11,MOD('_Engine'!CK56,10))&amp;IF('_Engine'!CK56&gt;10,"?",""),IF('_Engine'!CK56=0,INDEX(Settings!$G$7:$G$11,MOD('_Engine'!CL56,10))&amp;IF('_Engine'!CL56&gt;10,"?","")&amp;" PM",IF('_Engine'!CL56=0,INDEX(Settings!$G$7:$G$11,MOD('_Engine'!CK56,10))&amp;IF('_Engine'!CK56&gt;10,"?","")&amp;" AM",INDEX(Settings!$G$7:$G$11,MOD('_Engine'!CK56,10))&amp;IF('_Engine'!CK56&gt;10,"?","")&amp;" AM"&amp;CHAR(10)&amp;INDEX(Settings!$G$7:$G$11,MOD('_Engine'!CL56,10))&amp;IF('_Engine'!CL56&gt;10,"?","")&amp;" PM"))))))))</ns0:f>
        <ns0:v/>
      </ns0:c>
      <ns0:c r="V56" s="164" t="str">
        <ns0:f>IF(OR($A56="",V$11=""),"",IF(OR('_Engine'!$B$6&gt;0,INDEX('_Engine'!$AM$11:$AM$60,'_Engine'!$AO56)&lt;&gt;"OK"),"!",IF(INDEX(Team!$H$11:$N$60,'_Engine'!$AO56,WEEKDAY(V$11,2))&lt;&gt;"Work","—",IF(COUNTIF(Settings!$F$18:$F$67,V$11)&gt;0,"BH",IF('_Engine'!CM56+'_Engine'!CN56=0,"·",IF('_Engine'!CM56='_Engine'!CN56,INDEX(Settings!$G$7:$G$11,MOD('_Engine'!CM56,10))&amp;IF('_Engine'!CM56&gt;10,"?",""),IF('_Engine'!CM56=0,INDEX(Settings!$G$7:$G$11,MOD('_Engine'!CN56,10))&amp;IF('_Engine'!CN56&gt;10,"?","")&amp;" PM",IF('_Engine'!CN56=0,INDEX(Settings!$G$7:$G$11,MOD('_Engine'!CM56,10))&amp;IF('_Engine'!CM56&gt;10,"?","")&amp;" AM",INDEX(Settings!$G$7:$G$11,MOD('_Engine'!CM56,10))&amp;IF('_Engine'!CM56&gt;10,"?","")&amp;" AM"&amp;CHAR(10)&amp;INDEX(Settings!$G$7:$G$11,MOD('_Engine'!CN56,10))&amp;IF('_Engine'!CN56&gt;10,"?","")&amp;" PM"))))))))</ns0:f>
        <ns0:v/>
      </ns0:c>
      <ns0:c r="W56" s="164" t="str">
        <ns0:f>IF(OR($A56="",W$11=""),"",IF(OR('_Engine'!$B$6&gt;0,INDEX('_Engine'!$AM$11:$AM$60,'_Engine'!$AO56)&lt;&gt;"OK"),"!",IF(INDEX(Team!$H$11:$N$60,'_Engine'!$AO56,WEEKDAY(W$11,2))&lt;&gt;"Work","—",IF(COUNTIF(Settings!$F$18:$F$67,W$11)&gt;0,"BH",IF('_Engine'!CO56+'_Engine'!CP56=0,"·",IF('_Engine'!CO56='_Engine'!CP56,INDEX(Settings!$G$7:$G$11,MOD('_Engine'!CO56,10))&amp;IF('_Engine'!CO56&gt;10,"?",""),IF('_Engine'!CO56=0,INDEX(Settings!$G$7:$G$11,MOD('_Engine'!CP56,10))&amp;IF('_Engine'!CP56&gt;10,"?","")&amp;" PM",IF('_Engine'!CP56=0,INDEX(Settings!$G$7:$G$11,MOD('_Engine'!CO56,10))&amp;IF('_Engine'!CO56&gt;10,"?","")&amp;" AM",INDEX(Settings!$G$7:$G$11,MOD('_Engine'!CO56,10))&amp;IF('_Engine'!CO56&gt;10,"?","")&amp;" AM"&amp;CHAR(10)&amp;INDEX(Settings!$G$7:$G$11,MOD('_Engine'!CP56,10))&amp;IF('_Engine'!CP56&gt;10,"?","")&amp;" PM"))))))))</ns0:f>
        <ns0:v/>
      </ns0:c>
      <ns0:c r="X56" s="164" t="str">
        <ns0:f>IF(OR($A56="",X$11=""),"",IF(OR('_Engine'!$B$6&gt;0,INDEX('_Engine'!$AM$11:$AM$60,'_Engine'!$AO56)&lt;&gt;"OK"),"!",IF(INDEX(Team!$H$11:$N$60,'_Engine'!$AO56,WEEKDAY(X$11,2))&lt;&gt;"Work","—",IF(COUNTIF(Settings!$F$18:$F$67,X$11)&gt;0,"BH",IF('_Engine'!CQ56+'_Engine'!CR56=0,"·",IF('_Engine'!CQ56='_Engine'!CR56,INDEX(Settings!$G$7:$G$11,MOD('_Engine'!CQ56,10))&amp;IF('_Engine'!CQ56&gt;10,"?",""),IF('_Engine'!CQ56=0,INDEX(Settings!$G$7:$G$11,MOD('_Engine'!CR56,10))&amp;IF('_Engine'!CR56&gt;10,"?","")&amp;" PM",IF('_Engine'!CR56=0,INDEX(Settings!$G$7:$G$11,MOD('_Engine'!CQ56,10))&amp;IF('_Engine'!CQ56&gt;10,"?","")&amp;" AM",INDEX(Settings!$G$7:$G$11,MOD('_Engine'!CQ56,10))&amp;IF('_Engine'!CQ56&gt;10,"?","")&amp;" AM"&amp;CHAR(10)&amp;INDEX(Settings!$G$7:$G$11,MOD('_Engine'!CR56,10))&amp;IF('_Engine'!CR56&gt;10,"?","")&amp;" PM"))))))))</ns0:f>
        <ns0:v/>
      </ns0:c>
      <ns0:c r="Y56" s="164" t="str">
        <ns0:f>IF(OR($A56="",Y$11=""),"",IF(OR('_Engine'!$B$6&gt;0,INDEX('_Engine'!$AM$11:$AM$60,'_Engine'!$AO56)&lt;&gt;"OK"),"!",IF(INDEX(Team!$H$11:$N$60,'_Engine'!$AO56,WEEKDAY(Y$11,2))&lt;&gt;"Work","—",IF(COUNTIF(Settings!$F$18:$F$67,Y$11)&gt;0,"BH",IF('_Engine'!CS56+'_Engine'!CT56=0,"·",IF('_Engine'!CS56='_Engine'!CT56,INDEX(Settings!$G$7:$G$11,MOD('_Engine'!CS56,10))&amp;IF('_Engine'!CS56&gt;10,"?",""),IF('_Engine'!CS56=0,INDEX(Settings!$G$7:$G$11,MOD('_Engine'!CT56,10))&amp;IF('_Engine'!CT56&gt;10,"?","")&amp;" PM",IF('_Engine'!CT56=0,INDEX(Settings!$G$7:$G$11,MOD('_Engine'!CS56,10))&amp;IF('_Engine'!CS56&gt;10,"?","")&amp;" AM",INDEX(Settings!$G$7:$G$11,MOD('_Engine'!CS56,10))&amp;IF('_Engine'!CS56&gt;10,"?","")&amp;" AM"&amp;CHAR(10)&amp;INDEX(Settings!$G$7:$G$11,MOD('_Engine'!CT56,10))&amp;IF('_Engine'!CT56&gt;10,"?","")&amp;" PM"))))))))</ns0:f>
        <ns0:v/>
      </ns0:c>
      <ns0:c r="Z56" s="164" t="str">
        <ns0:f>IF(OR($A56="",Z$11=""),"",IF(OR('_Engine'!$B$6&gt;0,INDEX('_Engine'!$AM$11:$AM$60,'_Engine'!$AO56)&lt;&gt;"OK"),"!",IF(INDEX(Team!$H$11:$N$60,'_Engine'!$AO56,WEEKDAY(Z$11,2))&lt;&gt;"Work","—",IF(COUNTIF(Settings!$F$18:$F$67,Z$11)&gt;0,"BH",IF('_Engine'!CU56+'_Engine'!CV56=0,"·",IF('_Engine'!CU56='_Engine'!CV56,INDEX(Settings!$G$7:$G$11,MOD('_Engine'!CU56,10))&amp;IF('_Engine'!CU56&gt;10,"?",""),IF('_Engine'!CU56=0,INDEX(Settings!$G$7:$G$11,MOD('_Engine'!CV56,10))&amp;IF('_Engine'!CV56&gt;10,"?","")&amp;" PM",IF('_Engine'!CV56=0,INDEX(Settings!$G$7:$G$11,MOD('_Engine'!CU56,10))&amp;IF('_Engine'!CU56&gt;10,"?","")&amp;" AM",INDEX(Settings!$G$7:$G$11,MOD('_Engine'!CU56,10))&amp;IF('_Engine'!CU56&gt;10,"?","")&amp;" AM"&amp;CHAR(10)&amp;INDEX(Settings!$G$7:$G$11,MOD('_Engine'!CV56,10))&amp;IF('_Engine'!CV56&gt;10,"?","")&amp;" PM"))))))))</ns0:f>
        <ns0:v/>
      </ns0:c>
      <ns0:c r="AA56" s="164" t="str">
        <ns0:f>IF(OR($A56="",AA$11=""),"",IF(OR('_Engine'!$B$6&gt;0,INDEX('_Engine'!$AM$11:$AM$60,'_Engine'!$AO56)&lt;&gt;"OK"),"!",IF(INDEX(Team!$H$11:$N$60,'_Engine'!$AO56,WEEKDAY(AA$11,2))&lt;&gt;"Work","—",IF(COUNTIF(Settings!$F$18:$F$67,AA$11)&gt;0,"BH",IF('_Engine'!CW56+'_Engine'!CX56=0,"·",IF('_Engine'!CW56='_Engine'!CX56,INDEX(Settings!$G$7:$G$11,MOD('_Engine'!CW56,10))&amp;IF('_Engine'!CW56&gt;10,"?",""),IF('_Engine'!CW56=0,INDEX(Settings!$G$7:$G$11,MOD('_Engine'!CX56,10))&amp;IF('_Engine'!CX56&gt;10,"?","")&amp;" PM",IF('_Engine'!CX56=0,INDEX(Settings!$G$7:$G$11,MOD('_Engine'!CW56,10))&amp;IF('_Engine'!CW56&gt;10,"?","")&amp;" AM",INDEX(Settings!$G$7:$G$11,MOD('_Engine'!CW56,10))&amp;IF('_Engine'!CW56&gt;10,"?","")&amp;" AM"&amp;CHAR(10)&amp;INDEX(Settings!$G$7:$G$11,MOD('_Engine'!CX56,10))&amp;IF('_Engine'!CX56&gt;10,"?","")&amp;" PM"))))))))</ns0:f>
        <ns0:v/>
      </ns0:c>
      <ns0:c r="AB56" s="164" t="str">
        <ns0:f>IF(OR($A56="",AB$11=""),"",IF(OR('_Engine'!$B$6&gt;0,INDEX('_Engine'!$AM$11:$AM$60,'_Engine'!$AO56)&lt;&gt;"OK"),"!",IF(INDEX(Team!$H$11:$N$60,'_Engine'!$AO56,WEEKDAY(AB$11,2))&lt;&gt;"Work","—",IF(COUNTIF(Settings!$F$18:$F$67,AB$11)&gt;0,"BH",IF('_Engine'!CY56+'_Engine'!CZ56=0,"·",IF('_Engine'!CY56='_Engine'!CZ56,INDEX(Settings!$G$7:$G$11,MOD('_Engine'!CY56,10))&amp;IF('_Engine'!CY56&gt;10,"?",""),IF('_Engine'!CY56=0,INDEX(Settings!$G$7:$G$11,MOD('_Engine'!CZ56,10))&amp;IF('_Engine'!CZ56&gt;10,"?","")&amp;" PM",IF('_Engine'!CZ56=0,INDEX(Settings!$G$7:$G$11,MOD('_Engine'!CY56,10))&amp;IF('_Engine'!CY56&gt;10,"?","")&amp;" AM",INDEX(Settings!$G$7:$G$11,MOD('_Engine'!CY56,10))&amp;IF('_Engine'!CY56&gt;10,"?","")&amp;" AM"&amp;CHAR(10)&amp;INDEX(Settings!$G$7:$G$11,MOD('_Engine'!CZ56,10))&amp;IF('_Engine'!CZ56&gt;10,"?","")&amp;" PM"))))))))</ns0:f>
        <ns0:v/>
      </ns0:c>
      <ns0:c r="AC56" s="164" t="str">
        <ns0:f>IF(OR($A56="",AC$11=""),"",IF(OR('_Engine'!$B$6&gt;0,INDEX('_Engine'!$AM$11:$AM$60,'_Engine'!$AO56)&lt;&gt;"OK"),"!",IF(INDEX(Team!$H$11:$N$60,'_Engine'!$AO56,WEEKDAY(AC$11,2))&lt;&gt;"Work","—",IF(COUNTIF(Settings!$F$18:$F$67,AC$11)&gt;0,"BH",IF('_Engine'!DA56+'_Engine'!DB56=0,"·",IF('_Engine'!DA56='_Engine'!DB56,INDEX(Settings!$G$7:$G$11,MOD('_Engine'!DA56,10))&amp;IF('_Engine'!DA56&gt;10,"?",""),IF('_Engine'!DA56=0,INDEX(Settings!$G$7:$G$11,MOD('_Engine'!DB56,10))&amp;IF('_Engine'!DB56&gt;10,"?","")&amp;" PM",IF('_Engine'!DB56=0,INDEX(Settings!$G$7:$G$11,MOD('_Engine'!DA56,10))&amp;IF('_Engine'!DA56&gt;10,"?","")&amp;" AM",INDEX(Settings!$G$7:$G$11,MOD('_Engine'!DA56,10))&amp;IF('_Engine'!DA56&gt;10,"?","")&amp;" AM"&amp;CHAR(10)&amp;INDEX(Settings!$G$7:$G$11,MOD('_Engine'!DB56,10))&amp;IF('_Engine'!DB56&gt;10,"?","")&amp;" PM"))))))))</ns0:f>
        <ns0:v/>
      </ns0:c>
      <ns0:c r="AD56" s="164" t="str">
        <ns0:f>IF(OR($A56="",AD$11=""),"",IF(OR('_Engine'!$B$6&gt;0,INDEX('_Engine'!$AM$11:$AM$60,'_Engine'!$AO56)&lt;&gt;"OK"),"!",IF(INDEX(Team!$H$11:$N$60,'_Engine'!$AO56,WEEKDAY(AD$11,2))&lt;&gt;"Work","—",IF(COUNTIF(Settings!$F$18:$F$67,AD$11)&gt;0,"BH",IF('_Engine'!DC56+'_Engine'!DD56=0,"·",IF('_Engine'!DC56='_Engine'!DD56,INDEX(Settings!$G$7:$G$11,MOD('_Engine'!DC56,10))&amp;IF('_Engine'!DC56&gt;10,"?",""),IF('_Engine'!DC56=0,INDEX(Settings!$G$7:$G$11,MOD('_Engine'!DD56,10))&amp;IF('_Engine'!DD56&gt;10,"?","")&amp;" PM",IF('_Engine'!DD56=0,INDEX(Settings!$G$7:$G$11,MOD('_Engine'!DC56,10))&amp;IF('_Engine'!DC56&gt;10,"?","")&amp;" AM",INDEX(Settings!$G$7:$G$11,MOD('_Engine'!DC56,10))&amp;IF('_Engine'!DC56&gt;10,"?","")&amp;" AM"&amp;CHAR(10)&amp;INDEX(Settings!$G$7:$G$11,MOD('_Engine'!DD56,10))&amp;IF('_Engine'!DD56&gt;10,"?","")&amp;" PM"))))))))</ns0:f>
        <ns0:v/>
      </ns0:c>
      <ns0:c r="AE56" s="164" t="str">
        <ns0:f>IF(OR($A56="",AE$11=""),"",IF(OR('_Engine'!$B$6&gt;0,INDEX('_Engine'!$AM$11:$AM$60,'_Engine'!$AO56)&lt;&gt;"OK"),"!",IF(INDEX(Team!$H$11:$N$60,'_Engine'!$AO56,WEEKDAY(AE$11,2))&lt;&gt;"Work","—",IF(COUNTIF(Settings!$F$18:$F$67,AE$11)&gt;0,"BH",IF('_Engine'!DE56+'_Engine'!DF56=0,"·",IF('_Engine'!DE56='_Engine'!DF56,INDEX(Settings!$G$7:$G$11,MOD('_Engine'!DE56,10))&amp;IF('_Engine'!DE56&gt;10,"?",""),IF('_Engine'!DE56=0,INDEX(Settings!$G$7:$G$11,MOD('_Engine'!DF56,10))&amp;IF('_Engine'!DF56&gt;10,"?","")&amp;" PM",IF('_Engine'!DF56=0,INDEX(Settings!$G$7:$G$11,MOD('_Engine'!DE56,10))&amp;IF('_Engine'!DE56&gt;10,"?","")&amp;" AM",INDEX(Settings!$G$7:$G$11,MOD('_Engine'!DE56,10))&amp;IF('_Engine'!DE56&gt;10,"?","")&amp;" AM"&amp;CHAR(10)&amp;INDEX(Settings!$G$7:$G$11,MOD('_Engine'!DF56,10))&amp;IF('_Engine'!DF56&gt;10,"?","")&amp;" PM"))))))))</ns0:f>
        <ns0:v/>
      </ns0:c>
      <ns0:c r="AF56" s="164" t="str">
        <ns0:f>IF(OR($A56="",AF$11=""),"",IF(OR('_Engine'!$B$6&gt;0,INDEX('_Engine'!$AM$11:$AM$60,'_Engine'!$AO56)&lt;&gt;"OK"),"!",IF(INDEX(Team!$H$11:$N$60,'_Engine'!$AO56,WEEKDAY(AF$11,2))&lt;&gt;"Work","—",IF(COUNTIF(Settings!$F$18:$F$67,AF$11)&gt;0,"BH",IF('_Engine'!DG56+'_Engine'!DH56=0,"·",IF('_Engine'!DG56='_Engine'!DH56,INDEX(Settings!$G$7:$G$11,MOD('_Engine'!DG56,10))&amp;IF('_Engine'!DG56&gt;10,"?",""),IF('_Engine'!DG56=0,INDEX(Settings!$G$7:$G$11,MOD('_Engine'!DH56,10))&amp;IF('_Engine'!DH56&gt;10,"?","")&amp;" PM",IF('_Engine'!DH56=0,INDEX(Settings!$G$7:$G$11,MOD('_Engine'!DG56,10))&amp;IF('_Engine'!DG56&gt;10,"?","")&amp;" AM",INDEX(Settings!$G$7:$G$11,MOD('_Engine'!DG56,10))&amp;IF('_Engine'!DG56&gt;10,"?","")&amp;" AM"&amp;CHAR(10)&amp;INDEX(Settings!$G$7:$G$11,MOD('_Engine'!DH56,10))&amp;IF('_Engine'!DH56&gt;10,"?","")&amp;" PM"))))))))</ns0:f>
        <ns0:v/>
      </ns0:c>
      <ns0:c r="AG56" s="164" t="str">
        <ns0:f>IF(OR($A56="",AG$11=""),"",IF(OR('_Engine'!$B$6&gt;0,INDEX('_Engine'!$AM$11:$AM$60,'_Engine'!$AO56)&lt;&gt;"OK"),"!",IF(INDEX(Team!$H$11:$N$60,'_Engine'!$AO56,WEEKDAY(AG$11,2))&lt;&gt;"Work","—",IF(COUNTIF(Settings!$F$18:$F$67,AG$11)&gt;0,"BH",IF('_Engine'!DI56+'_Engine'!DJ56=0,"·",IF('_Engine'!DI56='_Engine'!DJ56,INDEX(Settings!$G$7:$G$11,MOD('_Engine'!DI56,10))&amp;IF('_Engine'!DI56&gt;10,"?",""),IF('_Engine'!DI56=0,INDEX(Settings!$G$7:$G$11,MOD('_Engine'!DJ56,10))&amp;IF('_Engine'!DJ56&gt;10,"?","")&amp;" PM",IF('_Engine'!DJ56=0,INDEX(Settings!$G$7:$G$11,MOD('_Engine'!DI56,10))&amp;IF('_Engine'!DI56&gt;10,"?","")&amp;" AM",INDEX(Settings!$G$7:$G$11,MOD('_Engine'!DI56,10))&amp;IF('_Engine'!DI56&gt;10,"?","")&amp;" AM"&amp;CHAR(10)&amp;INDEX(Settings!$G$7:$G$11,MOD('_Engine'!DJ56,10))&amp;IF('_Engine'!DJ56&gt;10,"?","")&amp;" PM"))))))))</ns0:f>
        <ns0:v/>
      </ns0:c>
      <ns0:c r="AH56" s="164" t="str">
        <ns0:f>IF(OR($A56="",AH$11=""),"",IF(OR('_Engine'!$B$6&gt;0,INDEX('_Engine'!$AM$11:$AM$60,'_Engine'!$AO56)&lt;&gt;"OK"),"!",IF(INDEX(Team!$H$11:$N$60,'_Engine'!$AO56,WEEKDAY(AH$11,2))&lt;&gt;"Work","—",IF(COUNTIF(Settings!$F$18:$F$67,AH$11)&gt;0,"BH",IF('_Engine'!DK56+'_Engine'!DL56=0,"·",IF('_Engine'!DK56='_Engine'!DL56,INDEX(Settings!$G$7:$G$11,MOD('_Engine'!DK56,10))&amp;IF('_Engine'!DK56&gt;10,"?",""),IF('_Engine'!DK56=0,INDEX(Settings!$G$7:$G$11,MOD('_Engine'!DL56,10))&amp;IF('_Engine'!DL56&gt;10,"?","")&amp;" PM",IF('_Engine'!DL56=0,INDEX(Settings!$G$7:$G$11,MOD('_Engine'!DK56,10))&amp;IF('_Engine'!DK56&gt;10,"?","")&amp;" AM",INDEX(Settings!$G$7:$G$11,MOD('_Engine'!DK56,10))&amp;IF('_Engine'!DK56&gt;10,"?","")&amp;" AM"&amp;CHAR(10)&amp;INDEX(Settings!$G$7:$G$11,MOD('_Engine'!DL56,10))&amp;IF('_Engine'!DL56&gt;10,"?","")&amp;" PM"))))))))</ns0:f>
        <ns0:v/>
      </ns0:c>
    </ns0:row>
    <ns0:row r="57" ht="38" customHeight="1">
      <ns0:c r="A57" s="4" t="str">
        <ns0:f>IF('_Engine'!AO57=0,"",IF(INDEX(Team!$B$11:$B$60,'_Engine'!AO57)="","[Unnamed]",INDEX(Team!$B$11:$B$60,'_Engine'!AO57)))</ns0:f>
        <ns0:v/>
      </ns0:c>
      <ns0:c r="B57" s="156" t="str">
        <ns0:f>IF('_Engine'!AO57=0,"",INDEX('_Engine'!$AN$11:$AN$60,'_Engine'!AO57))</ns0:f>
        <ns0:v/>
      </ns0:c>
      <ns0:c r="C57" s="4" t="str">
        <ns0:f>IF('_Engine'!AO57=0,"",INDEX(Team!$C$11:$C$60,'_Engine'!AO57))</ns0:f>
        <ns0:v/>
      </ns0:c>
      <ns0:c r="D57" s="162" t="str">
        <ns0:f>IF(OR($A57="",D$11=""),"",IF(OR('_Engine'!$B$6&gt;0,INDEX('_Engine'!$AM$11:$AM$60,'_Engine'!$AO57)&lt;&gt;"OK"),"!",IF(INDEX(Team!$H$11:$N$60,'_Engine'!$AO57,WEEKDAY(D$11,2))&lt;&gt;"Work","—",IF(COUNTIF(Settings!$F$18:$F$67,D$11)&gt;0,"BH",IF('_Engine'!BC57+'_Engine'!BD57=0,"·",IF('_Engine'!BC57='_Engine'!BD57,INDEX(Settings!$G$7:$G$11,MOD('_Engine'!BC57,10))&amp;IF('_Engine'!BC57&gt;10,"?",""),IF('_Engine'!BC57=0,INDEX(Settings!$G$7:$G$11,MOD('_Engine'!BD57,10))&amp;IF('_Engine'!BD57&gt;10,"?","")&amp;" PM",IF('_Engine'!BD57=0,INDEX(Settings!$G$7:$G$11,MOD('_Engine'!BC57,10))&amp;IF('_Engine'!BC57&gt;10,"?","")&amp;" AM",INDEX(Settings!$G$7:$G$11,MOD('_Engine'!BC57,10))&amp;IF('_Engine'!BC57&gt;10,"?","")&amp;" AM"&amp;CHAR(10)&amp;INDEX(Settings!$G$7:$G$11,MOD('_Engine'!BD57,10))&amp;IF('_Engine'!BD57&gt;10,"?","")&amp;" PM"))))))))</ns0:f>
        <ns0:v/>
      </ns0:c>
      <ns0:c r="E57" s="162" t="str">
        <ns0:f>IF(OR($A57="",E$11=""),"",IF(OR('_Engine'!$B$6&gt;0,INDEX('_Engine'!$AM$11:$AM$60,'_Engine'!$AO57)&lt;&gt;"OK"),"!",IF(INDEX(Team!$H$11:$N$60,'_Engine'!$AO57,WEEKDAY(E$11,2))&lt;&gt;"Work","—",IF(COUNTIF(Settings!$F$18:$F$67,E$11)&gt;0,"BH",IF('_Engine'!BE57+'_Engine'!BF57=0,"·",IF('_Engine'!BE57='_Engine'!BF57,INDEX(Settings!$G$7:$G$11,MOD('_Engine'!BE57,10))&amp;IF('_Engine'!BE57&gt;10,"?",""),IF('_Engine'!BE57=0,INDEX(Settings!$G$7:$G$11,MOD('_Engine'!BF57,10))&amp;IF('_Engine'!BF57&gt;10,"?","")&amp;" PM",IF('_Engine'!BF57=0,INDEX(Settings!$G$7:$G$11,MOD('_Engine'!BE57,10))&amp;IF('_Engine'!BE57&gt;10,"?","")&amp;" AM",INDEX(Settings!$G$7:$G$11,MOD('_Engine'!BE57,10))&amp;IF('_Engine'!BE57&gt;10,"?","")&amp;" AM"&amp;CHAR(10)&amp;INDEX(Settings!$G$7:$G$11,MOD('_Engine'!BF57,10))&amp;IF('_Engine'!BF57&gt;10,"?","")&amp;" PM"))))))))</ns0:f>
        <ns0:v/>
      </ns0:c>
      <ns0:c r="F57" s="162" t="str">
        <ns0:f>IF(OR($A57="",F$11=""),"",IF(OR('_Engine'!$B$6&gt;0,INDEX('_Engine'!$AM$11:$AM$60,'_Engine'!$AO57)&lt;&gt;"OK"),"!",IF(INDEX(Team!$H$11:$N$60,'_Engine'!$AO57,WEEKDAY(F$11,2))&lt;&gt;"Work","—",IF(COUNTIF(Settings!$F$18:$F$67,F$11)&gt;0,"BH",IF('_Engine'!BG57+'_Engine'!BH57=0,"·",IF('_Engine'!BG57='_Engine'!BH57,INDEX(Settings!$G$7:$G$11,MOD('_Engine'!BG57,10))&amp;IF('_Engine'!BG57&gt;10,"?",""),IF('_Engine'!BG57=0,INDEX(Settings!$G$7:$G$11,MOD('_Engine'!BH57,10))&amp;IF('_Engine'!BH57&gt;10,"?","")&amp;" PM",IF('_Engine'!BH57=0,INDEX(Settings!$G$7:$G$11,MOD('_Engine'!BG57,10))&amp;IF('_Engine'!BG57&gt;10,"?","")&amp;" AM",INDEX(Settings!$G$7:$G$11,MOD('_Engine'!BG57,10))&amp;IF('_Engine'!BG57&gt;10,"?","")&amp;" AM"&amp;CHAR(10)&amp;INDEX(Settings!$G$7:$G$11,MOD('_Engine'!BH57,10))&amp;IF('_Engine'!BH57&gt;10,"?","")&amp;" PM"))))))))</ns0:f>
        <ns0:v/>
      </ns0:c>
      <ns0:c r="G57" s="162" t="str">
        <ns0:f>IF(OR($A57="",G$11=""),"",IF(OR('_Engine'!$B$6&gt;0,INDEX('_Engine'!$AM$11:$AM$60,'_Engine'!$AO57)&lt;&gt;"OK"),"!",IF(INDEX(Team!$H$11:$N$60,'_Engine'!$AO57,WEEKDAY(G$11,2))&lt;&gt;"Work","—",IF(COUNTIF(Settings!$F$18:$F$67,G$11)&gt;0,"BH",IF('_Engine'!BI57+'_Engine'!BJ57=0,"·",IF('_Engine'!BI57='_Engine'!BJ57,INDEX(Settings!$G$7:$G$11,MOD('_Engine'!BI57,10))&amp;IF('_Engine'!BI57&gt;10,"?",""),IF('_Engine'!BI57=0,INDEX(Settings!$G$7:$G$11,MOD('_Engine'!BJ57,10))&amp;IF('_Engine'!BJ57&gt;10,"?","")&amp;" PM",IF('_Engine'!BJ57=0,INDEX(Settings!$G$7:$G$11,MOD('_Engine'!BI57,10))&amp;IF('_Engine'!BI57&gt;10,"?","")&amp;" AM",INDEX(Settings!$G$7:$G$11,MOD('_Engine'!BI57,10))&amp;IF('_Engine'!BI57&gt;10,"?","")&amp;" AM"&amp;CHAR(10)&amp;INDEX(Settings!$G$7:$G$11,MOD('_Engine'!BJ57,10))&amp;IF('_Engine'!BJ57&gt;10,"?","")&amp;" PM"))))))))</ns0:f>
        <ns0:v/>
      </ns0:c>
      <ns0:c r="H57" s="162" t="str">
        <ns0:f>IF(OR($A57="",H$11=""),"",IF(OR('_Engine'!$B$6&gt;0,INDEX('_Engine'!$AM$11:$AM$60,'_Engine'!$AO57)&lt;&gt;"OK"),"!",IF(INDEX(Team!$H$11:$N$60,'_Engine'!$AO57,WEEKDAY(H$11,2))&lt;&gt;"Work","—",IF(COUNTIF(Settings!$F$18:$F$67,H$11)&gt;0,"BH",IF('_Engine'!BK57+'_Engine'!BL57=0,"·",IF('_Engine'!BK57='_Engine'!BL57,INDEX(Settings!$G$7:$G$11,MOD('_Engine'!BK57,10))&amp;IF('_Engine'!BK57&gt;10,"?",""),IF('_Engine'!BK57=0,INDEX(Settings!$G$7:$G$11,MOD('_Engine'!BL57,10))&amp;IF('_Engine'!BL57&gt;10,"?","")&amp;" PM",IF('_Engine'!BL57=0,INDEX(Settings!$G$7:$G$11,MOD('_Engine'!BK57,10))&amp;IF('_Engine'!BK57&gt;10,"?","")&amp;" AM",INDEX(Settings!$G$7:$G$11,MOD('_Engine'!BK57,10))&amp;IF('_Engine'!BK57&gt;10,"?","")&amp;" AM"&amp;CHAR(10)&amp;INDEX(Settings!$G$7:$G$11,MOD('_Engine'!BL57,10))&amp;IF('_Engine'!BL57&gt;10,"?","")&amp;" PM"))))))))</ns0:f>
        <ns0:v/>
      </ns0:c>
      <ns0:c r="I57" s="162" t="str">
        <ns0:f>IF(OR($A57="",I$11=""),"",IF(OR('_Engine'!$B$6&gt;0,INDEX('_Engine'!$AM$11:$AM$60,'_Engine'!$AO57)&lt;&gt;"OK"),"!",IF(INDEX(Team!$H$11:$N$60,'_Engine'!$AO57,WEEKDAY(I$11,2))&lt;&gt;"Work","—",IF(COUNTIF(Settings!$F$18:$F$67,I$11)&gt;0,"BH",IF('_Engine'!BM57+'_Engine'!BN57=0,"·",IF('_Engine'!BM57='_Engine'!BN57,INDEX(Settings!$G$7:$G$11,MOD('_Engine'!BM57,10))&amp;IF('_Engine'!BM57&gt;10,"?",""),IF('_Engine'!BM57=0,INDEX(Settings!$G$7:$G$11,MOD('_Engine'!BN57,10))&amp;IF('_Engine'!BN57&gt;10,"?","")&amp;" PM",IF('_Engine'!BN57=0,INDEX(Settings!$G$7:$G$11,MOD('_Engine'!BM57,10))&amp;IF('_Engine'!BM57&gt;10,"?","")&amp;" AM",INDEX(Settings!$G$7:$G$11,MOD('_Engine'!BM57,10))&amp;IF('_Engine'!BM57&gt;10,"?","")&amp;" AM"&amp;CHAR(10)&amp;INDEX(Settings!$G$7:$G$11,MOD('_Engine'!BN57,10))&amp;IF('_Engine'!BN57&gt;10,"?","")&amp;" PM"))))))))</ns0:f>
        <ns0:v/>
      </ns0:c>
      <ns0:c r="J57" s="162" t="str">
        <ns0:f>IF(OR($A57="",J$11=""),"",IF(OR('_Engine'!$B$6&gt;0,INDEX('_Engine'!$AM$11:$AM$60,'_Engine'!$AO57)&lt;&gt;"OK"),"!",IF(INDEX(Team!$H$11:$N$60,'_Engine'!$AO57,WEEKDAY(J$11,2))&lt;&gt;"Work","—",IF(COUNTIF(Settings!$F$18:$F$67,J$11)&gt;0,"BH",IF('_Engine'!BO57+'_Engine'!BP57=0,"·",IF('_Engine'!BO57='_Engine'!BP57,INDEX(Settings!$G$7:$G$11,MOD('_Engine'!BO57,10))&amp;IF('_Engine'!BO57&gt;10,"?",""),IF('_Engine'!BO57=0,INDEX(Settings!$G$7:$G$11,MOD('_Engine'!BP57,10))&amp;IF('_Engine'!BP57&gt;10,"?","")&amp;" PM",IF('_Engine'!BP57=0,INDEX(Settings!$G$7:$G$11,MOD('_Engine'!BO57,10))&amp;IF('_Engine'!BO57&gt;10,"?","")&amp;" AM",INDEX(Settings!$G$7:$G$11,MOD('_Engine'!BO57,10))&amp;IF('_Engine'!BO57&gt;10,"?","")&amp;" AM"&amp;CHAR(10)&amp;INDEX(Settings!$G$7:$G$11,MOD('_Engine'!BP57,10))&amp;IF('_Engine'!BP57&gt;10,"?","")&amp;" PM"))))))))</ns0:f>
        <ns0:v/>
      </ns0:c>
      <ns0:c r="K57" s="164" t="str">
        <ns0:f>IF(OR($A57="",K$11=""),"",IF(OR('_Engine'!$B$6&gt;0,INDEX('_Engine'!$AM$11:$AM$60,'_Engine'!$AO57)&lt;&gt;"OK"),"!",IF(INDEX(Team!$H$11:$N$60,'_Engine'!$AO57,WEEKDAY(K$11,2))&lt;&gt;"Work","—",IF(COUNTIF(Settings!$F$18:$F$67,K$11)&gt;0,"BH",IF('_Engine'!BQ57+'_Engine'!BR57=0,"·",IF('_Engine'!BQ57='_Engine'!BR57,INDEX(Settings!$G$7:$G$11,MOD('_Engine'!BQ57,10))&amp;IF('_Engine'!BQ57&gt;10,"?",""),IF('_Engine'!BQ57=0,INDEX(Settings!$G$7:$G$11,MOD('_Engine'!BR57,10))&amp;IF('_Engine'!BR57&gt;10,"?","")&amp;" PM",IF('_Engine'!BR57=0,INDEX(Settings!$G$7:$G$11,MOD('_Engine'!BQ57,10))&amp;IF('_Engine'!BQ57&gt;10,"?","")&amp;" AM",INDEX(Settings!$G$7:$G$11,MOD('_Engine'!BQ57,10))&amp;IF('_Engine'!BQ57&gt;10,"?","")&amp;" AM"&amp;CHAR(10)&amp;INDEX(Settings!$G$7:$G$11,MOD('_Engine'!BR57,10))&amp;IF('_Engine'!BR57&gt;10,"?","")&amp;" PM"))))))))</ns0:f>
        <ns0:v/>
      </ns0:c>
      <ns0:c r="L57" s="164" t="str">
        <ns0:f>IF(OR($A57="",L$11=""),"",IF(OR('_Engine'!$B$6&gt;0,INDEX('_Engine'!$AM$11:$AM$60,'_Engine'!$AO57)&lt;&gt;"OK"),"!",IF(INDEX(Team!$H$11:$N$60,'_Engine'!$AO57,WEEKDAY(L$11,2))&lt;&gt;"Work","—",IF(COUNTIF(Settings!$F$18:$F$67,L$11)&gt;0,"BH",IF('_Engine'!BS57+'_Engine'!BT57=0,"·",IF('_Engine'!BS57='_Engine'!BT57,INDEX(Settings!$G$7:$G$11,MOD('_Engine'!BS57,10))&amp;IF('_Engine'!BS57&gt;10,"?",""),IF('_Engine'!BS57=0,INDEX(Settings!$G$7:$G$11,MOD('_Engine'!BT57,10))&amp;IF('_Engine'!BT57&gt;10,"?","")&amp;" PM",IF('_Engine'!BT57=0,INDEX(Settings!$G$7:$G$11,MOD('_Engine'!BS57,10))&amp;IF('_Engine'!BS57&gt;10,"?","")&amp;" AM",INDEX(Settings!$G$7:$G$11,MOD('_Engine'!BS57,10))&amp;IF('_Engine'!BS57&gt;10,"?","")&amp;" AM"&amp;CHAR(10)&amp;INDEX(Settings!$G$7:$G$11,MOD('_Engine'!BT57,10))&amp;IF('_Engine'!BT57&gt;10,"?","")&amp;" PM"))))))))</ns0:f>
        <ns0:v/>
      </ns0:c>
      <ns0:c r="M57" s="164" t="str">
        <ns0:f>IF(OR($A57="",M$11=""),"",IF(OR('_Engine'!$B$6&gt;0,INDEX('_Engine'!$AM$11:$AM$60,'_Engine'!$AO57)&lt;&gt;"OK"),"!",IF(INDEX(Team!$H$11:$N$60,'_Engine'!$AO57,WEEKDAY(M$11,2))&lt;&gt;"Work","—",IF(COUNTIF(Settings!$F$18:$F$67,M$11)&gt;0,"BH",IF('_Engine'!BU57+'_Engine'!BV57=0,"·",IF('_Engine'!BU57='_Engine'!BV57,INDEX(Settings!$G$7:$G$11,MOD('_Engine'!BU57,10))&amp;IF('_Engine'!BU57&gt;10,"?",""),IF('_Engine'!BU57=0,INDEX(Settings!$G$7:$G$11,MOD('_Engine'!BV57,10))&amp;IF('_Engine'!BV57&gt;10,"?","")&amp;" PM",IF('_Engine'!BV57=0,INDEX(Settings!$G$7:$G$11,MOD('_Engine'!BU57,10))&amp;IF('_Engine'!BU57&gt;10,"?","")&amp;" AM",INDEX(Settings!$G$7:$G$11,MOD('_Engine'!BU57,10))&amp;IF('_Engine'!BU57&gt;10,"?","")&amp;" AM"&amp;CHAR(10)&amp;INDEX(Settings!$G$7:$G$11,MOD('_Engine'!BV57,10))&amp;IF('_Engine'!BV57&gt;10,"?","")&amp;" PM"))))))))</ns0:f>
        <ns0:v/>
      </ns0:c>
      <ns0:c r="N57" s="164" t="str">
        <ns0:f>IF(OR($A57="",N$11=""),"",IF(OR('_Engine'!$B$6&gt;0,INDEX('_Engine'!$AM$11:$AM$60,'_Engine'!$AO57)&lt;&gt;"OK"),"!",IF(INDEX(Team!$H$11:$N$60,'_Engine'!$AO57,WEEKDAY(N$11,2))&lt;&gt;"Work","—",IF(COUNTIF(Settings!$F$18:$F$67,N$11)&gt;0,"BH",IF('_Engine'!BW57+'_Engine'!BX57=0,"·",IF('_Engine'!BW57='_Engine'!BX57,INDEX(Settings!$G$7:$G$11,MOD('_Engine'!BW57,10))&amp;IF('_Engine'!BW57&gt;10,"?",""),IF('_Engine'!BW57=0,INDEX(Settings!$G$7:$G$11,MOD('_Engine'!BX57,10))&amp;IF('_Engine'!BX57&gt;10,"?","")&amp;" PM",IF('_Engine'!BX57=0,INDEX(Settings!$G$7:$G$11,MOD('_Engine'!BW57,10))&amp;IF('_Engine'!BW57&gt;10,"?","")&amp;" AM",INDEX(Settings!$G$7:$G$11,MOD('_Engine'!BW57,10))&amp;IF('_Engine'!BW57&gt;10,"?","")&amp;" AM"&amp;CHAR(10)&amp;INDEX(Settings!$G$7:$G$11,MOD('_Engine'!BX57,10))&amp;IF('_Engine'!BX57&gt;10,"?","")&amp;" PM"))))))))</ns0:f>
        <ns0:v/>
      </ns0:c>
      <ns0:c r="O57" s="164" t="str">
        <ns0:f>IF(OR($A57="",O$11=""),"",IF(OR('_Engine'!$B$6&gt;0,INDEX('_Engine'!$AM$11:$AM$60,'_Engine'!$AO57)&lt;&gt;"OK"),"!",IF(INDEX(Team!$H$11:$N$60,'_Engine'!$AO57,WEEKDAY(O$11,2))&lt;&gt;"Work","—",IF(COUNTIF(Settings!$F$18:$F$67,O$11)&gt;0,"BH",IF('_Engine'!BY57+'_Engine'!BZ57=0,"·",IF('_Engine'!BY57='_Engine'!BZ57,INDEX(Settings!$G$7:$G$11,MOD('_Engine'!BY57,10))&amp;IF('_Engine'!BY57&gt;10,"?",""),IF('_Engine'!BY57=0,INDEX(Settings!$G$7:$G$11,MOD('_Engine'!BZ57,10))&amp;IF('_Engine'!BZ57&gt;10,"?","")&amp;" PM",IF('_Engine'!BZ57=0,INDEX(Settings!$G$7:$G$11,MOD('_Engine'!BY57,10))&amp;IF('_Engine'!BY57&gt;10,"?","")&amp;" AM",INDEX(Settings!$G$7:$G$11,MOD('_Engine'!BY57,10))&amp;IF('_Engine'!BY57&gt;10,"?","")&amp;" AM"&amp;CHAR(10)&amp;INDEX(Settings!$G$7:$G$11,MOD('_Engine'!BZ57,10))&amp;IF('_Engine'!BZ57&gt;10,"?","")&amp;" PM"))))))))</ns0:f>
        <ns0:v/>
      </ns0:c>
      <ns0:c r="P57" s="164" t="str">
        <ns0:f>IF(OR($A57="",P$11=""),"",IF(OR('_Engine'!$B$6&gt;0,INDEX('_Engine'!$AM$11:$AM$60,'_Engine'!$AO57)&lt;&gt;"OK"),"!",IF(INDEX(Team!$H$11:$N$60,'_Engine'!$AO57,WEEKDAY(P$11,2))&lt;&gt;"Work","—",IF(COUNTIF(Settings!$F$18:$F$67,P$11)&gt;0,"BH",IF('_Engine'!CA57+'_Engine'!CB57=0,"·",IF('_Engine'!CA57='_Engine'!CB57,INDEX(Settings!$G$7:$G$11,MOD('_Engine'!CA57,10))&amp;IF('_Engine'!CA57&gt;10,"?",""),IF('_Engine'!CA57=0,INDEX(Settings!$G$7:$G$11,MOD('_Engine'!CB57,10))&amp;IF('_Engine'!CB57&gt;10,"?","")&amp;" PM",IF('_Engine'!CB57=0,INDEX(Settings!$G$7:$G$11,MOD('_Engine'!CA57,10))&amp;IF('_Engine'!CA57&gt;10,"?","")&amp;" AM",INDEX(Settings!$G$7:$G$11,MOD('_Engine'!CA57,10))&amp;IF('_Engine'!CA57&gt;10,"?","")&amp;" AM"&amp;CHAR(10)&amp;INDEX(Settings!$G$7:$G$11,MOD('_Engine'!CB57,10))&amp;IF('_Engine'!CB57&gt;10,"?","")&amp;" PM"))))))))</ns0:f>
        <ns0:v/>
      </ns0:c>
      <ns0:c r="Q57" s="164" t="str">
        <ns0:f>IF(OR($A57="",Q$11=""),"",IF(OR('_Engine'!$B$6&gt;0,INDEX('_Engine'!$AM$11:$AM$60,'_Engine'!$AO57)&lt;&gt;"OK"),"!",IF(INDEX(Team!$H$11:$N$60,'_Engine'!$AO57,WEEKDAY(Q$11,2))&lt;&gt;"Work","—",IF(COUNTIF(Settings!$F$18:$F$67,Q$11)&gt;0,"BH",IF('_Engine'!CC57+'_Engine'!CD57=0,"·",IF('_Engine'!CC57='_Engine'!CD57,INDEX(Settings!$G$7:$G$11,MOD('_Engine'!CC57,10))&amp;IF('_Engine'!CC57&gt;10,"?",""),IF('_Engine'!CC57=0,INDEX(Settings!$G$7:$G$11,MOD('_Engine'!CD57,10))&amp;IF('_Engine'!CD57&gt;10,"?","")&amp;" PM",IF('_Engine'!CD57=0,INDEX(Settings!$G$7:$G$11,MOD('_Engine'!CC57,10))&amp;IF('_Engine'!CC57&gt;10,"?","")&amp;" AM",INDEX(Settings!$G$7:$G$11,MOD('_Engine'!CC57,10))&amp;IF('_Engine'!CC57&gt;10,"?","")&amp;" AM"&amp;CHAR(10)&amp;INDEX(Settings!$G$7:$G$11,MOD('_Engine'!CD57,10))&amp;IF('_Engine'!CD57&gt;10,"?","")&amp;" PM"))))))))</ns0:f>
        <ns0:v/>
      </ns0:c>
      <ns0:c r="R57" s="164" t="str">
        <ns0:f>IF(OR($A57="",R$11=""),"",IF(OR('_Engine'!$B$6&gt;0,INDEX('_Engine'!$AM$11:$AM$60,'_Engine'!$AO57)&lt;&gt;"OK"),"!",IF(INDEX(Team!$H$11:$N$60,'_Engine'!$AO57,WEEKDAY(R$11,2))&lt;&gt;"Work","—",IF(COUNTIF(Settings!$F$18:$F$67,R$11)&gt;0,"BH",IF('_Engine'!CE57+'_Engine'!CF57=0,"·",IF('_Engine'!CE57='_Engine'!CF57,INDEX(Settings!$G$7:$G$11,MOD('_Engine'!CE57,10))&amp;IF('_Engine'!CE57&gt;10,"?",""),IF('_Engine'!CE57=0,INDEX(Settings!$G$7:$G$11,MOD('_Engine'!CF57,10))&amp;IF('_Engine'!CF57&gt;10,"?","")&amp;" PM",IF('_Engine'!CF57=0,INDEX(Settings!$G$7:$G$11,MOD('_Engine'!CE57,10))&amp;IF('_Engine'!CE57&gt;10,"?","")&amp;" AM",INDEX(Settings!$G$7:$G$11,MOD('_Engine'!CE57,10))&amp;IF('_Engine'!CE57&gt;10,"?","")&amp;" AM"&amp;CHAR(10)&amp;INDEX(Settings!$G$7:$G$11,MOD('_Engine'!CF57,10))&amp;IF('_Engine'!CF57&gt;10,"?","")&amp;" PM"))))))))</ns0:f>
        <ns0:v/>
      </ns0:c>
      <ns0:c r="S57" s="164" t="str">
        <ns0:f>IF(OR($A57="",S$11=""),"",IF(OR('_Engine'!$B$6&gt;0,INDEX('_Engine'!$AM$11:$AM$60,'_Engine'!$AO57)&lt;&gt;"OK"),"!",IF(INDEX(Team!$H$11:$N$60,'_Engine'!$AO57,WEEKDAY(S$11,2))&lt;&gt;"Work","—",IF(COUNTIF(Settings!$F$18:$F$67,S$11)&gt;0,"BH",IF('_Engine'!CG57+'_Engine'!CH57=0,"·",IF('_Engine'!CG57='_Engine'!CH57,INDEX(Settings!$G$7:$G$11,MOD('_Engine'!CG57,10))&amp;IF('_Engine'!CG57&gt;10,"?",""),IF('_Engine'!CG57=0,INDEX(Settings!$G$7:$G$11,MOD('_Engine'!CH57,10))&amp;IF('_Engine'!CH57&gt;10,"?","")&amp;" PM",IF('_Engine'!CH57=0,INDEX(Settings!$G$7:$G$11,MOD('_Engine'!CG57,10))&amp;IF('_Engine'!CG57&gt;10,"?","")&amp;" AM",INDEX(Settings!$G$7:$G$11,MOD('_Engine'!CG57,10))&amp;IF('_Engine'!CG57&gt;10,"?","")&amp;" AM"&amp;CHAR(10)&amp;INDEX(Settings!$G$7:$G$11,MOD('_Engine'!CH57,10))&amp;IF('_Engine'!CH57&gt;10,"?","")&amp;" PM"))))))))</ns0:f>
        <ns0:v/>
      </ns0:c>
      <ns0:c r="T57" s="164" t="str">
        <ns0:f>IF(OR($A57="",T$11=""),"",IF(OR('_Engine'!$B$6&gt;0,INDEX('_Engine'!$AM$11:$AM$60,'_Engine'!$AO57)&lt;&gt;"OK"),"!",IF(INDEX(Team!$H$11:$N$60,'_Engine'!$AO57,WEEKDAY(T$11,2))&lt;&gt;"Work","—",IF(COUNTIF(Settings!$F$18:$F$67,T$11)&gt;0,"BH",IF('_Engine'!CI57+'_Engine'!CJ57=0,"·",IF('_Engine'!CI57='_Engine'!CJ57,INDEX(Settings!$G$7:$G$11,MOD('_Engine'!CI57,10))&amp;IF('_Engine'!CI57&gt;10,"?",""),IF('_Engine'!CI57=0,INDEX(Settings!$G$7:$G$11,MOD('_Engine'!CJ57,10))&amp;IF('_Engine'!CJ57&gt;10,"?","")&amp;" PM",IF('_Engine'!CJ57=0,INDEX(Settings!$G$7:$G$11,MOD('_Engine'!CI57,10))&amp;IF('_Engine'!CI57&gt;10,"?","")&amp;" AM",INDEX(Settings!$G$7:$G$11,MOD('_Engine'!CI57,10))&amp;IF('_Engine'!CI57&gt;10,"?","")&amp;" AM"&amp;CHAR(10)&amp;INDEX(Settings!$G$7:$G$11,MOD('_Engine'!CJ57,10))&amp;IF('_Engine'!CJ57&gt;10,"?","")&amp;" PM"))))))))</ns0:f>
        <ns0:v/>
      </ns0:c>
      <ns0:c r="U57" s="164" t="str">
        <ns0:f>IF(OR($A57="",U$11=""),"",IF(OR('_Engine'!$B$6&gt;0,INDEX('_Engine'!$AM$11:$AM$60,'_Engine'!$AO57)&lt;&gt;"OK"),"!",IF(INDEX(Team!$H$11:$N$60,'_Engine'!$AO57,WEEKDAY(U$11,2))&lt;&gt;"Work","—",IF(COUNTIF(Settings!$F$18:$F$67,U$11)&gt;0,"BH",IF('_Engine'!CK57+'_Engine'!CL57=0,"·",IF('_Engine'!CK57='_Engine'!CL57,INDEX(Settings!$G$7:$G$11,MOD('_Engine'!CK57,10))&amp;IF('_Engine'!CK57&gt;10,"?",""),IF('_Engine'!CK57=0,INDEX(Settings!$G$7:$G$11,MOD('_Engine'!CL57,10))&amp;IF('_Engine'!CL57&gt;10,"?","")&amp;" PM",IF('_Engine'!CL57=0,INDEX(Settings!$G$7:$G$11,MOD('_Engine'!CK57,10))&amp;IF('_Engine'!CK57&gt;10,"?","")&amp;" AM",INDEX(Settings!$G$7:$G$11,MOD('_Engine'!CK57,10))&amp;IF('_Engine'!CK57&gt;10,"?","")&amp;" AM"&amp;CHAR(10)&amp;INDEX(Settings!$G$7:$G$11,MOD('_Engine'!CL57,10))&amp;IF('_Engine'!CL57&gt;10,"?","")&amp;" PM"))))))))</ns0:f>
        <ns0:v/>
      </ns0:c>
      <ns0:c r="V57" s="164" t="str">
        <ns0:f>IF(OR($A57="",V$11=""),"",IF(OR('_Engine'!$B$6&gt;0,INDEX('_Engine'!$AM$11:$AM$60,'_Engine'!$AO57)&lt;&gt;"OK"),"!",IF(INDEX(Team!$H$11:$N$60,'_Engine'!$AO57,WEEKDAY(V$11,2))&lt;&gt;"Work","—",IF(COUNTIF(Settings!$F$18:$F$67,V$11)&gt;0,"BH",IF('_Engine'!CM57+'_Engine'!CN57=0,"·",IF('_Engine'!CM57='_Engine'!CN57,INDEX(Settings!$G$7:$G$11,MOD('_Engine'!CM57,10))&amp;IF('_Engine'!CM57&gt;10,"?",""),IF('_Engine'!CM57=0,INDEX(Settings!$G$7:$G$11,MOD('_Engine'!CN57,10))&amp;IF('_Engine'!CN57&gt;10,"?","")&amp;" PM",IF('_Engine'!CN57=0,INDEX(Settings!$G$7:$G$11,MOD('_Engine'!CM57,10))&amp;IF('_Engine'!CM57&gt;10,"?","")&amp;" AM",INDEX(Settings!$G$7:$G$11,MOD('_Engine'!CM57,10))&amp;IF('_Engine'!CM57&gt;10,"?","")&amp;" AM"&amp;CHAR(10)&amp;INDEX(Settings!$G$7:$G$11,MOD('_Engine'!CN57,10))&amp;IF('_Engine'!CN57&gt;10,"?","")&amp;" PM"))))))))</ns0:f>
        <ns0:v/>
      </ns0:c>
      <ns0:c r="W57" s="164" t="str">
        <ns0:f>IF(OR($A57="",W$11=""),"",IF(OR('_Engine'!$B$6&gt;0,INDEX('_Engine'!$AM$11:$AM$60,'_Engine'!$AO57)&lt;&gt;"OK"),"!",IF(INDEX(Team!$H$11:$N$60,'_Engine'!$AO57,WEEKDAY(W$11,2))&lt;&gt;"Work","—",IF(COUNTIF(Settings!$F$18:$F$67,W$11)&gt;0,"BH",IF('_Engine'!CO57+'_Engine'!CP57=0,"·",IF('_Engine'!CO57='_Engine'!CP57,INDEX(Settings!$G$7:$G$11,MOD('_Engine'!CO57,10))&amp;IF('_Engine'!CO57&gt;10,"?",""),IF('_Engine'!CO57=0,INDEX(Settings!$G$7:$G$11,MOD('_Engine'!CP57,10))&amp;IF('_Engine'!CP57&gt;10,"?","")&amp;" PM",IF('_Engine'!CP57=0,INDEX(Settings!$G$7:$G$11,MOD('_Engine'!CO57,10))&amp;IF('_Engine'!CO57&gt;10,"?","")&amp;" AM",INDEX(Settings!$G$7:$G$11,MOD('_Engine'!CO57,10))&amp;IF('_Engine'!CO57&gt;10,"?","")&amp;" AM"&amp;CHAR(10)&amp;INDEX(Settings!$G$7:$G$11,MOD('_Engine'!CP57,10))&amp;IF('_Engine'!CP57&gt;10,"?","")&amp;" PM"))))))))</ns0:f>
        <ns0:v/>
      </ns0:c>
      <ns0:c r="X57" s="164" t="str">
        <ns0:f>IF(OR($A57="",X$11=""),"",IF(OR('_Engine'!$B$6&gt;0,INDEX('_Engine'!$AM$11:$AM$60,'_Engine'!$AO57)&lt;&gt;"OK"),"!",IF(INDEX(Team!$H$11:$N$60,'_Engine'!$AO57,WEEKDAY(X$11,2))&lt;&gt;"Work","—",IF(COUNTIF(Settings!$F$18:$F$67,X$11)&gt;0,"BH",IF('_Engine'!CQ57+'_Engine'!CR57=0,"·",IF('_Engine'!CQ57='_Engine'!CR57,INDEX(Settings!$G$7:$G$11,MOD('_Engine'!CQ57,10))&amp;IF('_Engine'!CQ57&gt;10,"?",""),IF('_Engine'!CQ57=0,INDEX(Settings!$G$7:$G$11,MOD('_Engine'!CR57,10))&amp;IF('_Engine'!CR57&gt;10,"?","")&amp;" PM",IF('_Engine'!CR57=0,INDEX(Settings!$G$7:$G$11,MOD('_Engine'!CQ57,10))&amp;IF('_Engine'!CQ57&gt;10,"?","")&amp;" AM",INDEX(Settings!$G$7:$G$11,MOD('_Engine'!CQ57,10))&amp;IF('_Engine'!CQ57&gt;10,"?","")&amp;" AM"&amp;CHAR(10)&amp;INDEX(Settings!$G$7:$G$11,MOD('_Engine'!CR57,10))&amp;IF('_Engine'!CR57&gt;10,"?","")&amp;" PM"))))))))</ns0:f>
        <ns0:v/>
      </ns0:c>
      <ns0:c r="Y57" s="164" t="str">
        <ns0:f>IF(OR($A57="",Y$11=""),"",IF(OR('_Engine'!$B$6&gt;0,INDEX('_Engine'!$AM$11:$AM$60,'_Engine'!$AO57)&lt;&gt;"OK"),"!",IF(INDEX(Team!$H$11:$N$60,'_Engine'!$AO57,WEEKDAY(Y$11,2))&lt;&gt;"Work","—",IF(COUNTIF(Settings!$F$18:$F$67,Y$11)&gt;0,"BH",IF('_Engine'!CS57+'_Engine'!CT57=0,"·",IF('_Engine'!CS57='_Engine'!CT57,INDEX(Settings!$G$7:$G$11,MOD('_Engine'!CS57,10))&amp;IF('_Engine'!CS57&gt;10,"?",""),IF('_Engine'!CS57=0,INDEX(Settings!$G$7:$G$11,MOD('_Engine'!CT57,10))&amp;IF('_Engine'!CT57&gt;10,"?","")&amp;" PM",IF('_Engine'!CT57=0,INDEX(Settings!$G$7:$G$11,MOD('_Engine'!CS57,10))&amp;IF('_Engine'!CS57&gt;10,"?","")&amp;" AM",INDEX(Settings!$G$7:$G$11,MOD('_Engine'!CS57,10))&amp;IF('_Engine'!CS57&gt;10,"?","")&amp;" AM"&amp;CHAR(10)&amp;INDEX(Settings!$G$7:$G$11,MOD('_Engine'!CT57,10))&amp;IF('_Engine'!CT57&gt;10,"?","")&amp;" PM"))))))))</ns0:f>
        <ns0:v/>
      </ns0:c>
      <ns0:c r="Z57" s="164" t="str">
        <ns0:f>IF(OR($A57="",Z$11=""),"",IF(OR('_Engine'!$B$6&gt;0,INDEX('_Engine'!$AM$11:$AM$60,'_Engine'!$AO57)&lt;&gt;"OK"),"!",IF(INDEX(Team!$H$11:$N$60,'_Engine'!$AO57,WEEKDAY(Z$11,2))&lt;&gt;"Work","—",IF(COUNTIF(Settings!$F$18:$F$67,Z$11)&gt;0,"BH",IF('_Engine'!CU57+'_Engine'!CV57=0,"·",IF('_Engine'!CU57='_Engine'!CV57,INDEX(Settings!$G$7:$G$11,MOD('_Engine'!CU57,10))&amp;IF('_Engine'!CU57&gt;10,"?",""),IF('_Engine'!CU57=0,INDEX(Settings!$G$7:$G$11,MOD('_Engine'!CV57,10))&amp;IF('_Engine'!CV57&gt;10,"?","")&amp;" PM",IF('_Engine'!CV57=0,INDEX(Settings!$G$7:$G$11,MOD('_Engine'!CU57,10))&amp;IF('_Engine'!CU57&gt;10,"?","")&amp;" AM",INDEX(Settings!$G$7:$G$11,MOD('_Engine'!CU57,10))&amp;IF('_Engine'!CU57&gt;10,"?","")&amp;" AM"&amp;CHAR(10)&amp;INDEX(Settings!$G$7:$G$11,MOD('_Engine'!CV57,10))&amp;IF('_Engine'!CV57&gt;10,"?","")&amp;" PM"))))))))</ns0:f>
        <ns0:v/>
      </ns0:c>
      <ns0:c r="AA57" s="164" t="str">
        <ns0:f>IF(OR($A57="",AA$11=""),"",IF(OR('_Engine'!$B$6&gt;0,INDEX('_Engine'!$AM$11:$AM$60,'_Engine'!$AO57)&lt;&gt;"OK"),"!",IF(INDEX(Team!$H$11:$N$60,'_Engine'!$AO57,WEEKDAY(AA$11,2))&lt;&gt;"Work","—",IF(COUNTIF(Settings!$F$18:$F$67,AA$11)&gt;0,"BH",IF('_Engine'!CW57+'_Engine'!CX57=0,"·",IF('_Engine'!CW57='_Engine'!CX57,INDEX(Settings!$G$7:$G$11,MOD('_Engine'!CW57,10))&amp;IF('_Engine'!CW57&gt;10,"?",""),IF('_Engine'!CW57=0,INDEX(Settings!$G$7:$G$11,MOD('_Engine'!CX57,10))&amp;IF('_Engine'!CX57&gt;10,"?","")&amp;" PM",IF('_Engine'!CX57=0,INDEX(Settings!$G$7:$G$11,MOD('_Engine'!CW57,10))&amp;IF('_Engine'!CW57&gt;10,"?","")&amp;" AM",INDEX(Settings!$G$7:$G$11,MOD('_Engine'!CW57,10))&amp;IF('_Engine'!CW57&gt;10,"?","")&amp;" AM"&amp;CHAR(10)&amp;INDEX(Settings!$G$7:$G$11,MOD('_Engine'!CX57,10))&amp;IF('_Engine'!CX57&gt;10,"?","")&amp;" PM"))))))))</ns0:f>
        <ns0:v/>
      </ns0:c>
      <ns0:c r="AB57" s="164" t="str">
        <ns0:f>IF(OR($A57="",AB$11=""),"",IF(OR('_Engine'!$B$6&gt;0,INDEX('_Engine'!$AM$11:$AM$60,'_Engine'!$AO57)&lt;&gt;"OK"),"!",IF(INDEX(Team!$H$11:$N$60,'_Engine'!$AO57,WEEKDAY(AB$11,2))&lt;&gt;"Work","—",IF(COUNTIF(Settings!$F$18:$F$67,AB$11)&gt;0,"BH",IF('_Engine'!CY57+'_Engine'!CZ57=0,"·",IF('_Engine'!CY57='_Engine'!CZ57,INDEX(Settings!$G$7:$G$11,MOD('_Engine'!CY57,10))&amp;IF('_Engine'!CY57&gt;10,"?",""),IF('_Engine'!CY57=0,INDEX(Settings!$G$7:$G$11,MOD('_Engine'!CZ57,10))&amp;IF('_Engine'!CZ57&gt;10,"?","")&amp;" PM",IF('_Engine'!CZ57=0,INDEX(Settings!$G$7:$G$11,MOD('_Engine'!CY57,10))&amp;IF('_Engine'!CY57&gt;10,"?","")&amp;" AM",INDEX(Settings!$G$7:$G$11,MOD('_Engine'!CY57,10))&amp;IF('_Engine'!CY57&gt;10,"?","")&amp;" AM"&amp;CHAR(10)&amp;INDEX(Settings!$G$7:$G$11,MOD('_Engine'!CZ57,10))&amp;IF('_Engine'!CZ57&gt;10,"?","")&amp;" PM"))))))))</ns0:f>
        <ns0:v/>
      </ns0:c>
      <ns0:c r="AC57" s="164" t="str">
        <ns0:f>IF(OR($A57="",AC$11=""),"",IF(OR('_Engine'!$B$6&gt;0,INDEX('_Engine'!$AM$11:$AM$60,'_Engine'!$AO57)&lt;&gt;"OK"),"!",IF(INDEX(Team!$H$11:$N$60,'_Engine'!$AO57,WEEKDAY(AC$11,2))&lt;&gt;"Work","—",IF(COUNTIF(Settings!$F$18:$F$67,AC$11)&gt;0,"BH",IF('_Engine'!DA57+'_Engine'!DB57=0,"·",IF('_Engine'!DA57='_Engine'!DB57,INDEX(Settings!$G$7:$G$11,MOD('_Engine'!DA57,10))&amp;IF('_Engine'!DA57&gt;10,"?",""),IF('_Engine'!DA57=0,INDEX(Settings!$G$7:$G$11,MOD('_Engine'!DB57,10))&amp;IF('_Engine'!DB57&gt;10,"?","")&amp;" PM",IF('_Engine'!DB57=0,INDEX(Settings!$G$7:$G$11,MOD('_Engine'!DA57,10))&amp;IF('_Engine'!DA57&gt;10,"?","")&amp;" AM",INDEX(Settings!$G$7:$G$11,MOD('_Engine'!DA57,10))&amp;IF('_Engine'!DA57&gt;10,"?","")&amp;" AM"&amp;CHAR(10)&amp;INDEX(Settings!$G$7:$G$11,MOD('_Engine'!DB57,10))&amp;IF('_Engine'!DB57&gt;10,"?","")&amp;" PM"))))))))</ns0:f>
        <ns0:v/>
      </ns0:c>
      <ns0:c r="AD57" s="164" t="str">
        <ns0:f>IF(OR($A57="",AD$11=""),"",IF(OR('_Engine'!$B$6&gt;0,INDEX('_Engine'!$AM$11:$AM$60,'_Engine'!$AO57)&lt;&gt;"OK"),"!",IF(INDEX(Team!$H$11:$N$60,'_Engine'!$AO57,WEEKDAY(AD$11,2))&lt;&gt;"Work","—",IF(COUNTIF(Settings!$F$18:$F$67,AD$11)&gt;0,"BH",IF('_Engine'!DC57+'_Engine'!DD57=0,"·",IF('_Engine'!DC57='_Engine'!DD57,INDEX(Settings!$G$7:$G$11,MOD('_Engine'!DC57,10))&amp;IF('_Engine'!DC57&gt;10,"?",""),IF('_Engine'!DC57=0,INDEX(Settings!$G$7:$G$11,MOD('_Engine'!DD57,10))&amp;IF('_Engine'!DD57&gt;10,"?","")&amp;" PM",IF('_Engine'!DD57=0,INDEX(Settings!$G$7:$G$11,MOD('_Engine'!DC57,10))&amp;IF('_Engine'!DC57&gt;10,"?","")&amp;" AM",INDEX(Settings!$G$7:$G$11,MOD('_Engine'!DC57,10))&amp;IF('_Engine'!DC57&gt;10,"?","")&amp;" AM"&amp;CHAR(10)&amp;INDEX(Settings!$G$7:$G$11,MOD('_Engine'!DD57,10))&amp;IF('_Engine'!DD57&gt;10,"?","")&amp;" PM"))))))))</ns0:f>
        <ns0:v/>
      </ns0:c>
      <ns0:c r="AE57" s="164" t="str">
        <ns0:f>IF(OR($A57="",AE$11=""),"",IF(OR('_Engine'!$B$6&gt;0,INDEX('_Engine'!$AM$11:$AM$60,'_Engine'!$AO57)&lt;&gt;"OK"),"!",IF(INDEX(Team!$H$11:$N$60,'_Engine'!$AO57,WEEKDAY(AE$11,2))&lt;&gt;"Work","—",IF(COUNTIF(Settings!$F$18:$F$67,AE$11)&gt;0,"BH",IF('_Engine'!DE57+'_Engine'!DF57=0,"·",IF('_Engine'!DE57='_Engine'!DF57,INDEX(Settings!$G$7:$G$11,MOD('_Engine'!DE57,10))&amp;IF('_Engine'!DE57&gt;10,"?",""),IF('_Engine'!DE57=0,INDEX(Settings!$G$7:$G$11,MOD('_Engine'!DF57,10))&amp;IF('_Engine'!DF57&gt;10,"?","")&amp;" PM",IF('_Engine'!DF57=0,INDEX(Settings!$G$7:$G$11,MOD('_Engine'!DE57,10))&amp;IF('_Engine'!DE57&gt;10,"?","")&amp;" AM",INDEX(Settings!$G$7:$G$11,MOD('_Engine'!DE57,10))&amp;IF('_Engine'!DE57&gt;10,"?","")&amp;" AM"&amp;CHAR(10)&amp;INDEX(Settings!$G$7:$G$11,MOD('_Engine'!DF57,10))&amp;IF('_Engine'!DF57&gt;10,"?","")&amp;" PM"))))))))</ns0:f>
        <ns0:v/>
      </ns0:c>
      <ns0:c r="AF57" s="164" t="str">
        <ns0:f>IF(OR($A57="",AF$11=""),"",IF(OR('_Engine'!$B$6&gt;0,INDEX('_Engine'!$AM$11:$AM$60,'_Engine'!$AO57)&lt;&gt;"OK"),"!",IF(INDEX(Team!$H$11:$N$60,'_Engine'!$AO57,WEEKDAY(AF$11,2))&lt;&gt;"Work","—",IF(COUNTIF(Settings!$F$18:$F$67,AF$11)&gt;0,"BH",IF('_Engine'!DG57+'_Engine'!DH57=0,"·",IF('_Engine'!DG57='_Engine'!DH57,INDEX(Settings!$G$7:$G$11,MOD('_Engine'!DG57,10))&amp;IF('_Engine'!DG57&gt;10,"?",""),IF('_Engine'!DG57=0,INDEX(Settings!$G$7:$G$11,MOD('_Engine'!DH57,10))&amp;IF('_Engine'!DH57&gt;10,"?","")&amp;" PM",IF('_Engine'!DH57=0,INDEX(Settings!$G$7:$G$11,MOD('_Engine'!DG57,10))&amp;IF('_Engine'!DG57&gt;10,"?","")&amp;" AM",INDEX(Settings!$G$7:$G$11,MOD('_Engine'!DG57,10))&amp;IF('_Engine'!DG57&gt;10,"?","")&amp;" AM"&amp;CHAR(10)&amp;INDEX(Settings!$G$7:$G$11,MOD('_Engine'!DH57,10))&amp;IF('_Engine'!DH57&gt;10,"?","")&amp;" PM"))))))))</ns0:f>
        <ns0:v/>
      </ns0:c>
      <ns0:c r="AG57" s="164" t="str">
        <ns0:f>IF(OR($A57="",AG$11=""),"",IF(OR('_Engine'!$B$6&gt;0,INDEX('_Engine'!$AM$11:$AM$60,'_Engine'!$AO57)&lt;&gt;"OK"),"!",IF(INDEX(Team!$H$11:$N$60,'_Engine'!$AO57,WEEKDAY(AG$11,2))&lt;&gt;"Work","—",IF(COUNTIF(Settings!$F$18:$F$67,AG$11)&gt;0,"BH",IF('_Engine'!DI57+'_Engine'!DJ57=0,"·",IF('_Engine'!DI57='_Engine'!DJ57,INDEX(Settings!$G$7:$G$11,MOD('_Engine'!DI57,10))&amp;IF('_Engine'!DI57&gt;10,"?",""),IF('_Engine'!DI57=0,INDEX(Settings!$G$7:$G$11,MOD('_Engine'!DJ57,10))&amp;IF('_Engine'!DJ57&gt;10,"?","")&amp;" PM",IF('_Engine'!DJ57=0,INDEX(Settings!$G$7:$G$11,MOD('_Engine'!DI57,10))&amp;IF('_Engine'!DI57&gt;10,"?","")&amp;" AM",INDEX(Settings!$G$7:$G$11,MOD('_Engine'!DI57,10))&amp;IF('_Engine'!DI57&gt;10,"?","")&amp;" AM"&amp;CHAR(10)&amp;INDEX(Settings!$G$7:$G$11,MOD('_Engine'!DJ57,10))&amp;IF('_Engine'!DJ57&gt;10,"?","")&amp;" PM"))))))))</ns0:f>
        <ns0:v/>
      </ns0:c>
      <ns0:c r="AH57" s="164" t="str">
        <ns0:f>IF(OR($A57="",AH$11=""),"",IF(OR('_Engine'!$B$6&gt;0,INDEX('_Engine'!$AM$11:$AM$60,'_Engine'!$AO57)&lt;&gt;"OK"),"!",IF(INDEX(Team!$H$11:$N$60,'_Engine'!$AO57,WEEKDAY(AH$11,2))&lt;&gt;"Work","—",IF(COUNTIF(Settings!$F$18:$F$67,AH$11)&gt;0,"BH",IF('_Engine'!DK57+'_Engine'!DL57=0,"·",IF('_Engine'!DK57='_Engine'!DL57,INDEX(Settings!$G$7:$G$11,MOD('_Engine'!DK57,10))&amp;IF('_Engine'!DK57&gt;10,"?",""),IF('_Engine'!DK57=0,INDEX(Settings!$G$7:$G$11,MOD('_Engine'!DL57,10))&amp;IF('_Engine'!DL57&gt;10,"?","")&amp;" PM",IF('_Engine'!DL57=0,INDEX(Settings!$G$7:$G$11,MOD('_Engine'!DK57,10))&amp;IF('_Engine'!DK57&gt;10,"?","")&amp;" AM",INDEX(Settings!$G$7:$G$11,MOD('_Engine'!DK57,10))&amp;IF('_Engine'!DK57&gt;10,"?","")&amp;" AM"&amp;CHAR(10)&amp;INDEX(Settings!$G$7:$G$11,MOD('_Engine'!DL57,10))&amp;IF('_Engine'!DL57&gt;10,"?","")&amp;" PM"))))))))</ns0:f>
        <ns0:v/>
      </ns0:c>
    </ns0:row>
    <ns0:row r="58" ht="38" customHeight="1">
      <ns0:c r="A58" s="4" t="str">
        <ns0:f>IF('_Engine'!AO58=0,"",IF(INDEX(Team!$B$11:$B$60,'_Engine'!AO58)="","[Unnamed]",INDEX(Team!$B$11:$B$60,'_Engine'!AO58)))</ns0:f>
        <ns0:v/>
      </ns0:c>
      <ns0:c r="B58" s="156" t="str">
        <ns0:f>IF('_Engine'!AO58=0,"",INDEX('_Engine'!$AN$11:$AN$60,'_Engine'!AO58))</ns0:f>
        <ns0:v/>
      </ns0:c>
      <ns0:c r="C58" s="4" t="str">
        <ns0:f>IF('_Engine'!AO58=0,"",INDEX(Team!$C$11:$C$60,'_Engine'!AO58))</ns0:f>
        <ns0:v/>
      </ns0:c>
      <ns0:c r="D58" s="162" t="str">
        <ns0:f>IF(OR($A58="",D$11=""),"",IF(OR('_Engine'!$B$6&gt;0,INDEX('_Engine'!$AM$11:$AM$60,'_Engine'!$AO58)&lt;&gt;"OK"),"!",IF(INDEX(Team!$H$11:$N$60,'_Engine'!$AO58,WEEKDAY(D$11,2))&lt;&gt;"Work","—",IF(COUNTIF(Settings!$F$18:$F$67,D$11)&gt;0,"BH",IF('_Engine'!BC58+'_Engine'!BD58=0,"·",IF('_Engine'!BC58='_Engine'!BD58,INDEX(Settings!$G$7:$G$11,MOD('_Engine'!BC58,10))&amp;IF('_Engine'!BC58&gt;10,"?",""),IF('_Engine'!BC58=0,INDEX(Settings!$G$7:$G$11,MOD('_Engine'!BD58,10))&amp;IF('_Engine'!BD58&gt;10,"?","")&amp;" PM",IF('_Engine'!BD58=0,INDEX(Settings!$G$7:$G$11,MOD('_Engine'!BC58,10))&amp;IF('_Engine'!BC58&gt;10,"?","")&amp;" AM",INDEX(Settings!$G$7:$G$11,MOD('_Engine'!BC58,10))&amp;IF('_Engine'!BC58&gt;10,"?","")&amp;" AM"&amp;CHAR(10)&amp;INDEX(Settings!$G$7:$G$11,MOD('_Engine'!BD58,10))&amp;IF('_Engine'!BD58&gt;10,"?","")&amp;" PM"))))))))</ns0:f>
        <ns0:v/>
      </ns0:c>
      <ns0:c r="E58" s="162" t="str">
        <ns0:f>IF(OR($A58="",E$11=""),"",IF(OR('_Engine'!$B$6&gt;0,INDEX('_Engine'!$AM$11:$AM$60,'_Engine'!$AO58)&lt;&gt;"OK"),"!",IF(INDEX(Team!$H$11:$N$60,'_Engine'!$AO58,WEEKDAY(E$11,2))&lt;&gt;"Work","—",IF(COUNTIF(Settings!$F$18:$F$67,E$11)&gt;0,"BH",IF('_Engine'!BE58+'_Engine'!BF58=0,"·",IF('_Engine'!BE58='_Engine'!BF58,INDEX(Settings!$G$7:$G$11,MOD('_Engine'!BE58,10))&amp;IF('_Engine'!BE58&gt;10,"?",""),IF('_Engine'!BE58=0,INDEX(Settings!$G$7:$G$11,MOD('_Engine'!BF58,10))&amp;IF('_Engine'!BF58&gt;10,"?","")&amp;" PM",IF('_Engine'!BF58=0,INDEX(Settings!$G$7:$G$11,MOD('_Engine'!BE58,10))&amp;IF('_Engine'!BE58&gt;10,"?","")&amp;" AM",INDEX(Settings!$G$7:$G$11,MOD('_Engine'!BE58,10))&amp;IF('_Engine'!BE58&gt;10,"?","")&amp;" AM"&amp;CHAR(10)&amp;INDEX(Settings!$G$7:$G$11,MOD('_Engine'!BF58,10))&amp;IF('_Engine'!BF58&gt;10,"?","")&amp;" PM"))))))))</ns0:f>
        <ns0:v/>
      </ns0:c>
      <ns0:c r="F58" s="162" t="str">
        <ns0:f>IF(OR($A58="",F$11=""),"",IF(OR('_Engine'!$B$6&gt;0,INDEX('_Engine'!$AM$11:$AM$60,'_Engine'!$AO58)&lt;&gt;"OK"),"!",IF(INDEX(Team!$H$11:$N$60,'_Engine'!$AO58,WEEKDAY(F$11,2))&lt;&gt;"Work","—",IF(COUNTIF(Settings!$F$18:$F$67,F$11)&gt;0,"BH",IF('_Engine'!BG58+'_Engine'!BH58=0,"·",IF('_Engine'!BG58='_Engine'!BH58,INDEX(Settings!$G$7:$G$11,MOD('_Engine'!BG58,10))&amp;IF('_Engine'!BG58&gt;10,"?",""),IF('_Engine'!BG58=0,INDEX(Settings!$G$7:$G$11,MOD('_Engine'!BH58,10))&amp;IF('_Engine'!BH58&gt;10,"?","")&amp;" PM",IF('_Engine'!BH58=0,INDEX(Settings!$G$7:$G$11,MOD('_Engine'!BG58,10))&amp;IF('_Engine'!BG58&gt;10,"?","")&amp;" AM",INDEX(Settings!$G$7:$G$11,MOD('_Engine'!BG58,10))&amp;IF('_Engine'!BG58&gt;10,"?","")&amp;" AM"&amp;CHAR(10)&amp;INDEX(Settings!$G$7:$G$11,MOD('_Engine'!BH58,10))&amp;IF('_Engine'!BH58&gt;10,"?","")&amp;" PM"))))))))</ns0:f>
        <ns0:v/>
      </ns0:c>
      <ns0:c r="G58" s="162" t="str">
        <ns0:f>IF(OR($A58="",G$11=""),"",IF(OR('_Engine'!$B$6&gt;0,INDEX('_Engine'!$AM$11:$AM$60,'_Engine'!$AO58)&lt;&gt;"OK"),"!",IF(INDEX(Team!$H$11:$N$60,'_Engine'!$AO58,WEEKDAY(G$11,2))&lt;&gt;"Work","—",IF(COUNTIF(Settings!$F$18:$F$67,G$11)&gt;0,"BH",IF('_Engine'!BI58+'_Engine'!BJ58=0,"·",IF('_Engine'!BI58='_Engine'!BJ58,INDEX(Settings!$G$7:$G$11,MOD('_Engine'!BI58,10))&amp;IF('_Engine'!BI58&gt;10,"?",""),IF('_Engine'!BI58=0,INDEX(Settings!$G$7:$G$11,MOD('_Engine'!BJ58,10))&amp;IF('_Engine'!BJ58&gt;10,"?","")&amp;" PM",IF('_Engine'!BJ58=0,INDEX(Settings!$G$7:$G$11,MOD('_Engine'!BI58,10))&amp;IF('_Engine'!BI58&gt;10,"?","")&amp;" AM",INDEX(Settings!$G$7:$G$11,MOD('_Engine'!BI58,10))&amp;IF('_Engine'!BI58&gt;10,"?","")&amp;" AM"&amp;CHAR(10)&amp;INDEX(Settings!$G$7:$G$11,MOD('_Engine'!BJ58,10))&amp;IF('_Engine'!BJ58&gt;10,"?","")&amp;" PM"))))))))</ns0:f>
        <ns0:v/>
      </ns0:c>
      <ns0:c r="H58" s="162" t="str">
        <ns0:f>IF(OR($A58="",H$11=""),"",IF(OR('_Engine'!$B$6&gt;0,INDEX('_Engine'!$AM$11:$AM$60,'_Engine'!$AO58)&lt;&gt;"OK"),"!",IF(INDEX(Team!$H$11:$N$60,'_Engine'!$AO58,WEEKDAY(H$11,2))&lt;&gt;"Work","—",IF(COUNTIF(Settings!$F$18:$F$67,H$11)&gt;0,"BH",IF('_Engine'!BK58+'_Engine'!BL58=0,"·",IF('_Engine'!BK58='_Engine'!BL58,INDEX(Settings!$G$7:$G$11,MOD('_Engine'!BK58,10))&amp;IF('_Engine'!BK58&gt;10,"?",""),IF('_Engine'!BK58=0,INDEX(Settings!$G$7:$G$11,MOD('_Engine'!BL58,10))&amp;IF('_Engine'!BL58&gt;10,"?","")&amp;" PM",IF('_Engine'!BL58=0,INDEX(Settings!$G$7:$G$11,MOD('_Engine'!BK58,10))&amp;IF('_Engine'!BK58&gt;10,"?","")&amp;" AM",INDEX(Settings!$G$7:$G$11,MOD('_Engine'!BK58,10))&amp;IF('_Engine'!BK58&gt;10,"?","")&amp;" AM"&amp;CHAR(10)&amp;INDEX(Settings!$G$7:$G$11,MOD('_Engine'!BL58,10))&amp;IF('_Engine'!BL58&gt;10,"?","")&amp;" PM"))))))))</ns0:f>
        <ns0:v/>
      </ns0:c>
      <ns0:c r="I58" s="162" t="str">
        <ns0:f>IF(OR($A58="",I$11=""),"",IF(OR('_Engine'!$B$6&gt;0,INDEX('_Engine'!$AM$11:$AM$60,'_Engine'!$AO58)&lt;&gt;"OK"),"!",IF(INDEX(Team!$H$11:$N$60,'_Engine'!$AO58,WEEKDAY(I$11,2))&lt;&gt;"Work","—",IF(COUNTIF(Settings!$F$18:$F$67,I$11)&gt;0,"BH",IF('_Engine'!BM58+'_Engine'!BN58=0,"·",IF('_Engine'!BM58='_Engine'!BN58,INDEX(Settings!$G$7:$G$11,MOD('_Engine'!BM58,10))&amp;IF('_Engine'!BM58&gt;10,"?",""),IF('_Engine'!BM58=0,INDEX(Settings!$G$7:$G$11,MOD('_Engine'!BN58,10))&amp;IF('_Engine'!BN58&gt;10,"?","")&amp;" PM",IF('_Engine'!BN58=0,INDEX(Settings!$G$7:$G$11,MOD('_Engine'!BM58,10))&amp;IF('_Engine'!BM58&gt;10,"?","")&amp;" AM",INDEX(Settings!$G$7:$G$11,MOD('_Engine'!BM58,10))&amp;IF('_Engine'!BM58&gt;10,"?","")&amp;" AM"&amp;CHAR(10)&amp;INDEX(Settings!$G$7:$G$11,MOD('_Engine'!BN58,10))&amp;IF('_Engine'!BN58&gt;10,"?","")&amp;" PM"))))))))</ns0:f>
        <ns0:v/>
      </ns0:c>
      <ns0:c r="J58" s="162" t="str">
        <ns0:f>IF(OR($A58="",J$11=""),"",IF(OR('_Engine'!$B$6&gt;0,INDEX('_Engine'!$AM$11:$AM$60,'_Engine'!$AO58)&lt;&gt;"OK"),"!",IF(INDEX(Team!$H$11:$N$60,'_Engine'!$AO58,WEEKDAY(J$11,2))&lt;&gt;"Work","—",IF(COUNTIF(Settings!$F$18:$F$67,J$11)&gt;0,"BH",IF('_Engine'!BO58+'_Engine'!BP58=0,"·",IF('_Engine'!BO58='_Engine'!BP58,INDEX(Settings!$G$7:$G$11,MOD('_Engine'!BO58,10))&amp;IF('_Engine'!BO58&gt;10,"?",""),IF('_Engine'!BO58=0,INDEX(Settings!$G$7:$G$11,MOD('_Engine'!BP58,10))&amp;IF('_Engine'!BP58&gt;10,"?","")&amp;" PM",IF('_Engine'!BP58=0,INDEX(Settings!$G$7:$G$11,MOD('_Engine'!BO58,10))&amp;IF('_Engine'!BO58&gt;10,"?","")&amp;" AM",INDEX(Settings!$G$7:$G$11,MOD('_Engine'!BO58,10))&amp;IF('_Engine'!BO58&gt;10,"?","")&amp;" AM"&amp;CHAR(10)&amp;INDEX(Settings!$G$7:$G$11,MOD('_Engine'!BP58,10))&amp;IF('_Engine'!BP58&gt;10,"?","")&amp;" PM"))))))))</ns0:f>
        <ns0:v/>
      </ns0:c>
      <ns0:c r="K58" s="164" t="str">
        <ns0:f>IF(OR($A58="",K$11=""),"",IF(OR('_Engine'!$B$6&gt;0,INDEX('_Engine'!$AM$11:$AM$60,'_Engine'!$AO58)&lt;&gt;"OK"),"!",IF(INDEX(Team!$H$11:$N$60,'_Engine'!$AO58,WEEKDAY(K$11,2))&lt;&gt;"Work","—",IF(COUNTIF(Settings!$F$18:$F$67,K$11)&gt;0,"BH",IF('_Engine'!BQ58+'_Engine'!BR58=0,"·",IF('_Engine'!BQ58='_Engine'!BR58,INDEX(Settings!$G$7:$G$11,MOD('_Engine'!BQ58,10))&amp;IF('_Engine'!BQ58&gt;10,"?",""),IF('_Engine'!BQ58=0,INDEX(Settings!$G$7:$G$11,MOD('_Engine'!BR58,10))&amp;IF('_Engine'!BR58&gt;10,"?","")&amp;" PM",IF('_Engine'!BR58=0,INDEX(Settings!$G$7:$G$11,MOD('_Engine'!BQ58,10))&amp;IF('_Engine'!BQ58&gt;10,"?","")&amp;" AM",INDEX(Settings!$G$7:$G$11,MOD('_Engine'!BQ58,10))&amp;IF('_Engine'!BQ58&gt;10,"?","")&amp;" AM"&amp;CHAR(10)&amp;INDEX(Settings!$G$7:$G$11,MOD('_Engine'!BR58,10))&amp;IF('_Engine'!BR58&gt;10,"?","")&amp;" PM"))))))))</ns0:f>
        <ns0:v/>
      </ns0:c>
      <ns0:c r="L58" s="164" t="str">
        <ns0:f>IF(OR($A58="",L$11=""),"",IF(OR('_Engine'!$B$6&gt;0,INDEX('_Engine'!$AM$11:$AM$60,'_Engine'!$AO58)&lt;&gt;"OK"),"!",IF(INDEX(Team!$H$11:$N$60,'_Engine'!$AO58,WEEKDAY(L$11,2))&lt;&gt;"Work","—",IF(COUNTIF(Settings!$F$18:$F$67,L$11)&gt;0,"BH",IF('_Engine'!BS58+'_Engine'!BT58=0,"·",IF('_Engine'!BS58='_Engine'!BT58,INDEX(Settings!$G$7:$G$11,MOD('_Engine'!BS58,10))&amp;IF('_Engine'!BS58&gt;10,"?",""),IF('_Engine'!BS58=0,INDEX(Settings!$G$7:$G$11,MOD('_Engine'!BT58,10))&amp;IF('_Engine'!BT58&gt;10,"?","")&amp;" PM",IF('_Engine'!BT58=0,INDEX(Settings!$G$7:$G$11,MOD('_Engine'!BS58,10))&amp;IF('_Engine'!BS58&gt;10,"?","")&amp;" AM",INDEX(Settings!$G$7:$G$11,MOD('_Engine'!BS58,10))&amp;IF('_Engine'!BS58&gt;10,"?","")&amp;" AM"&amp;CHAR(10)&amp;INDEX(Settings!$G$7:$G$11,MOD('_Engine'!BT58,10))&amp;IF('_Engine'!BT58&gt;10,"?","")&amp;" PM"))))))))</ns0:f>
        <ns0:v/>
      </ns0:c>
      <ns0:c r="M58" s="164" t="str">
        <ns0:f>IF(OR($A58="",M$11=""),"",IF(OR('_Engine'!$B$6&gt;0,INDEX('_Engine'!$AM$11:$AM$60,'_Engine'!$AO58)&lt;&gt;"OK"),"!",IF(INDEX(Team!$H$11:$N$60,'_Engine'!$AO58,WEEKDAY(M$11,2))&lt;&gt;"Work","—",IF(COUNTIF(Settings!$F$18:$F$67,M$11)&gt;0,"BH",IF('_Engine'!BU58+'_Engine'!BV58=0,"·",IF('_Engine'!BU58='_Engine'!BV58,INDEX(Settings!$G$7:$G$11,MOD('_Engine'!BU58,10))&amp;IF('_Engine'!BU58&gt;10,"?",""),IF('_Engine'!BU58=0,INDEX(Settings!$G$7:$G$11,MOD('_Engine'!BV58,10))&amp;IF('_Engine'!BV58&gt;10,"?","")&amp;" PM",IF('_Engine'!BV58=0,INDEX(Settings!$G$7:$G$11,MOD('_Engine'!BU58,10))&amp;IF('_Engine'!BU58&gt;10,"?","")&amp;" AM",INDEX(Settings!$G$7:$G$11,MOD('_Engine'!BU58,10))&amp;IF('_Engine'!BU58&gt;10,"?","")&amp;" AM"&amp;CHAR(10)&amp;INDEX(Settings!$G$7:$G$11,MOD('_Engine'!BV58,10))&amp;IF('_Engine'!BV58&gt;10,"?","")&amp;" PM"))))))))</ns0:f>
        <ns0:v/>
      </ns0:c>
      <ns0:c r="N58" s="164" t="str">
        <ns0:f>IF(OR($A58="",N$11=""),"",IF(OR('_Engine'!$B$6&gt;0,INDEX('_Engine'!$AM$11:$AM$60,'_Engine'!$AO58)&lt;&gt;"OK"),"!",IF(INDEX(Team!$H$11:$N$60,'_Engine'!$AO58,WEEKDAY(N$11,2))&lt;&gt;"Work","—",IF(COUNTIF(Settings!$F$18:$F$67,N$11)&gt;0,"BH",IF('_Engine'!BW58+'_Engine'!BX58=0,"·",IF('_Engine'!BW58='_Engine'!BX58,INDEX(Settings!$G$7:$G$11,MOD('_Engine'!BW58,10))&amp;IF('_Engine'!BW58&gt;10,"?",""),IF('_Engine'!BW58=0,INDEX(Settings!$G$7:$G$11,MOD('_Engine'!BX58,10))&amp;IF('_Engine'!BX58&gt;10,"?","")&amp;" PM",IF('_Engine'!BX58=0,INDEX(Settings!$G$7:$G$11,MOD('_Engine'!BW58,10))&amp;IF('_Engine'!BW58&gt;10,"?","")&amp;" AM",INDEX(Settings!$G$7:$G$11,MOD('_Engine'!BW58,10))&amp;IF('_Engine'!BW58&gt;10,"?","")&amp;" AM"&amp;CHAR(10)&amp;INDEX(Settings!$G$7:$G$11,MOD('_Engine'!BX58,10))&amp;IF('_Engine'!BX58&gt;10,"?","")&amp;" PM"))))))))</ns0:f>
        <ns0:v/>
      </ns0:c>
      <ns0:c r="O58" s="164" t="str">
        <ns0:f>IF(OR($A58="",O$11=""),"",IF(OR('_Engine'!$B$6&gt;0,INDEX('_Engine'!$AM$11:$AM$60,'_Engine'!$AO58)&lt;&gt;"OK"),"!",IF(INDEX(Team!$H$11:$N$60,'_Engine'!$AO58,WEEKDAY(O$11,2))&lt;&gt;"Work","—",IF(COUNTIF(Settings!$F$18:$F$67,O$11)&gt;0,"BH",IF('_Engine'!BY58+'_Engine'!BZ58=0,"·",IF('_Engine'!BY58='_Engine'!BZ58,INDEX(Settings!$G$7:$G$11,MOD('_Engine'!BY58,10))&amp;IF('_Engine'!BY58&gt;10,"?",""),IF('_Engine'!BY58=0,INDEX(Settings!$G$7:$G$11,MOD('_Engine'!BZ58,10))&amp;IF('_Engine'!BZ58&gt;10,"?","")&amp;" PM",IF('_Engine'!BZ58=0,INDEX(Settings!$G$7:$G$11,MOD('_Engine'!BY58,10))&amp;IF('_Engine'!BY58&gt;10,"?","")&amp;" AM",INDEX(Settings!$G$7:$G$11,MOD('_Engine'!BY58,10))&amp;IF('_Engine'!BY58&gt;10,"?","")&amp;" AM"&amp;CHAR(10)&amp;INDEX(Settings!$G$7:$G$11,MOD('_Engine'!BZ58,10))&amp;IF('_Engine'!BZ58&gt;10,"?","")&amp;" PM"))))))))</ns0:f>
        <ns0:v/>
      </ns0:c>
      <ns0:c r="P58" s="164" t="str">
        <ns0:f>IF(OR($A58="",P$11=""),"",IF(OR('_Engine'!$B$6&gt;0,INDEX('_Engine'!$AM$11:$AM$60,'_Engine'!$AO58)&lt;&gt;"OK"),"!",IF(INDEX(Team!$H$11:$N$60,'_Engine'!$AO58,WEEKDAY(P$11,2))&lt;&gt;"Work","—",IF(COUNTIF(Settings!$F$18:$F$67,P$11)&gt;0,"BH",IF('_Engine'!CA58+'_Engine'!CB58=0,"·",IF('_Engine'!CA58='_Engine'!CB58,INDEX(Settings!$G$7:$G$11,MOD('_Engine'!CA58,10))&amp;IF('_Engine'!CA58&gt;10,"?",""),IF('_Engine'!CA58=0,INDEX(Settings!$G$7:$G$11,MOD('_Engine'!CB58,10))&amp;IF('_Engine'!CB58&gt;10,"?","")&amp;" PM",IF('_Engine'!CB58=0,INDEX(Settings!$G$7:$G$11,MOD('_Engine'!CA58,10))&amp;IF('_Engine'!CA58&gt;10,"?","")&amp;" AM",INDEX(Settings!$G$7:$G$11,MOD('_Engine'!CA58,10))&amp;IF('_Engine'!CA58&gt;10,"?","")&amp;" AM"&amp;CHAR(10)&amp;INDEX(Settings!$G$7:$G$11,MOD('_Engine'!CB58,10))&amp;IF('_Engine'!CB58&gt;10,"?","")&amp;" PM"))))))))</ns0:f>
        <ns0:v/>
      </ns0:c>
      <ns0:c r="Q58" s="164" t="str">
        <ns0:f>IF(OR($A58="",Q$11=""),"",IF(OR('_Engine'!$B$6&gt;0,INDEX('_Engine'!$AM$11:$AM$60,'_Engine'!$AO58)&lt;&gt;"OK"),"!",IF(INDEX(Team!$H$11:$N$60,'_Engine'!$AO58,WEEKDAY(Q$11,2))&lt;&gt;"Work","—",IF(COUNTIF(Settings!$F$18:$F$67,Q$11)&gt;0,"BH",IF('_Engine'!CC58+'_Engine'!CD58=0,"·",IF('_Engine'!CC58='_Engine'!CD58,INDEX(Settings!$G$7:$G$11,MOD('_Engine'!CC58,10))&amp;IF('_Engine'!CC58&gt;10,"?",""),IF('_Engine'!CC58=0,INDEX(Settings!$G$7:$G$11,MOD('_Engine'!CD58,10))&amp;IF('_Engine'!CD58&gt;10,"?","")&amp;" PM",IF('_Engine'!CD58=0,INDEX(Settings!$G$7:$G$11,MOD('_Engine'!CC58,10))&amp;IF('_Engine'!CC58&gt;10,"?","")&amp;" AM",INDEX(Settings!$G$7:$G$11,MOD('_Engine'!CC58,10))&amp;IF('_Engine'!CC58&gt;10,"?","")&amp;" AM"&amp;CHAR(10)&amp;INDEX(Settings!$G$7:$G$11,MOD('_Engine'!CD58,10))&amp;IF('_Engine'!CD58&gt;10,"?","")&amp;" PM"))))))))</ns0:f>
        <ns0:v/>
      </ns0:c>
      <ns0:c r="R58" s="164" t="str">
        <ns0:f>IF(OR($A58="",R$11=""),"",IF(OR('_Engine'!$B$6&gt;0,INDEX('_Engine'!$AM$11:$AM$60,'_Engine'!$AO58)&lt;&gt;"OK"),"!",IF(INDEX(Team!$H$11:$N$60,'_Engine'!$AO58,WEEKDAY(R$11,2))&lt;&gt;"Work","—",IF(COUNTIF(Settings!$F$18:$F$67,R$11)&gt;0,"BH",IF('_Engine'!CE58+'_Engine'!CF58=0,"·",IF('_Engine'!CE58='_Engine'!CF58,INDEX(Settings!$G$7:$G$11,MOD('_Engine'!CE58,10))&amp;IF('_Engine'!CE58&gt;10,"?",""),IF('_Engine'!CE58=0,INDEX(Settings!$G$7:$G$11,MOD('_Engine'!CF58,10))&amp;IF('_Engine'!CF58&gt;10,"?","")&amp;" PM",IF('_Engine'!CF58=0,INDEX(Settings!$G$7:$G$11,MOD('_Engine'!CE58,10))&amp;IF('_Engine'!CE58&gt;10,"?","")&amp;" AM",INDEX(Settings!$G$7:$G$11,MOD('_Engine'!CE58,10))&amp;IF('_Engine'!CE58&gt;10,"?","")&amp;" AM"&amp;CHAR(10)&amp;INDEX(Settings!$G$7:$G$11,MOD('_Engine'!CF58,10))&amp;IF('_Engine'!CF58&gt;10,"?","")&amp;" PM"))))))))</ns0:f>
        <ns0:v/>
      </ns0:c>
      <ns0:c r="S58" s="164" t="str">
        <ns0:f>IF(OR($A58="",S$11=""),"",IF(OR('_Engine'!$B$6&gt;0,INDEX('_Engine'!$AM$11:$AM$60,'_Engine'!$AO58)&lt;&gt;"OK"),"!",IF(INDEX(Team!$H$11:$N$60,'_Engine'!$AO58,WEEKDAY(S$11,2))&lt;&gt;"Work","—",IF(COUNTIF(Settings!$F$18:$F$67,S$11)&gt;0,"BH",IF('_Engine'!CG58+'_Engine'!CH58=0,"·",IF('_Engine'!CG58='_Engine'!CH58,INDEX(Settings!$G$7:$G$11,MOD('_Engine'!CG58,10))&amp;IF('_Engine'!CG58&gt;10,"?",""),IF('_Engine'!CG58=0,INDEX(Settings!$G$7:$G$11,MOD('_Engine'!CH58,10))&amp;IF('_Engine'!CH58&gt;10,"?","")&amp;" PM",IF('_Engine'!CH58=0,INDEX(Settings!$G$7:$G$11,MOD('_Engine'!CG58,10))&amp;IF('_Engine'!CG58&gt;10,"?","")&amp;" AM",INDEX(Settings!$G$7:$G$11,MOD('_Engine'!CG58,10))&amp;IF('_Engine'!CG58&gt;10,"?","")&amp;" AM"&amp;CHAR(10)&amp;INDEX(Settings!$G$7:$G$11,MOD('_Engine'!CH58,10))&amp;IF('_Engine'!CH58&gt;10,"?","")&amp;" PM"))))))))</ns0:f>
        <ns0:v/>
      </ns0:c>
      <ns0:c r="T58" s="164" t="str">
        <ns0:f>IF(OR($A58="",T$11=""),"",IF(OR('_Engine'!$B$6&gt;0,INDEX('_Engine'!$AM$11:$AM$60,'_Engine'!$AO58)&lt;&gt;"OK"),"!",IF(INDEX(Team!$H$11:$N$60,'_Engine'!$AO58,WEEKDAY(T$11,2))&lt;&gt;"Work","—",IF(COUNTIF(Settings!$F$18:$F$67,T$11)&gt;0,"BH",IF('_Engine'!CI58+'_Engine'!CJ58=0,"·",IF('_Engine'!CI58='_Engine'!CJ58,INDEX(Settings!$G$7:$G$11,MOD('_Engine'!CI58,10))&amp;IF('_Engine'!CI58&gt;10,"?",""),IF('_Engine'!CI58=0,INDEX(Settings!$G$7:$G$11,MOD('_Engine'!CJ58,10))&amp;IF('_Engine'!CJ58&gt;10,"?","")&amp;" PM",IF('_Engine'!CJ58=0,INDEX(Settings!$G$7:$G$11,MOD('_Engine'!CI58,10))&amp;IF('_Engine'!CI58&gt;10,"?","")&amp;" AM",INDEX(Settings!$G$7:$G$11,MOD('_Engine'!CI58,10))&amp;IF('_Engine'!CI58&gt;10,"?","")&amp;" AM"&amp;CHAR(10)&amp;INDEX(Settings!$G$7:$G$11,MOD('_Engine'!CJ58,10))&amp;IF('_Engine'!CJ58&gt;10,"?","")&amp;" PM"))))))))</ns0:f>
        <ns0:v/>
      </ns0:c>
      <ns0:c r="U58" s="164" t="str">
        <ns0:f>IF(OR($A58="",U$11=""),"",IF(OR('_Engine'!$B$6&gt;0,INDEX('_Engine'!$AM$11:$AM$60,'_Engine'!$AO58)&lt;&gt;"OK"),"!",IF(INDEX(Team!$H$11:$N$60,'_Engine'!$AO58,WEEKDAY(U$11,2))&lt;&gt;"Work","—",IF(COUNTIF(Settings!$F$18:$F$67,U$11)&gt;0,"BH",IF('_Engine'!CK58+'_Engine'!CL58=0,"·",IF('_Engine'!CK58='_Engine'!CL58,INDEX(Settings!$G$7:$G$11,MOD('_Engine'!CK58,10))&amp;IF('_Engine'!CK58&gt;10,"?",""),IF('_Engine'!CK58=0,INDEX(Settings!$G$7:$G$11,MOD('_Engine'!CL58,10))&amp;IF('_Engine'!CL58&gt;10,"?","")&amp;" PM",IF('_Engine'!CL58=0,INDEX(Settings!$G$7:$G$11,MOD('_Engine'!CK58,10))&amp;IF('_Engine'!CK58&gt;10,"?","")&amp;" AM",INDEX(Settings!$G$7:$G$11,MOD('_Engine'!CK58,10))&amp;IF('_Engine'!CK58&gt;10,"?","")&amp;" AM"&amp;CHAR(10)&amp;INDEX(Settings!$G$7:$G$11,MOD('_Engine'!CL58,10))&amp;IF('_Engine'!CL58&gt;10,"?","")&amp;" PM"))))))))</ns0:f>
        <ns0:v/>
      </ns0:c>
      <ns0:c r="V58" s="164" t="str">
        <ns0:f>IF(OR($A58="",V$11=""),"",IF(OR('_Engine'!$B$6&gt;0,INDEX('_Engine'!$AM$11:$AM$60,'_Engine'!$AO58)&lt;&gt;"OK"),"!",IF(INDEX(Team!$H$11:$N$60,'_Engine'!$AO58,WEEKDAY(V$11,2))&lt;&gt;"Work","—",IF(COUNTIF(Settings!$F$18:$F$67,V$11)&gt;0,"BH",IF('_Engine'!CM58+'_Engine'!CN58=0,"·",IF('_Engine'!CM58='_Engine'!CN58,INDEX(Settings!$G$7:$G$11,MOD('_Engine'!CM58,10))&amp;IF('_Engine'!CM58&gt;10,"?",""),IF('_Engine'!CM58=0,INDEX(Settings!$G$7:$G$11,MOD('_Engine'!CN58,10))&amp;IF('_Engine'!CN58&gt;10,"?","")&amp;" PM",IF('_Engine'!CN58=0,INDEX(Settings!$G$7:$G$11,MOD('_Engine'!CM58,10))&amp;IF('_Engine'!CM58&gt;10,"?","")&amp;" AM",INDEX(Settings!$G$7:$G$11,MOD('_Engine'!CM58,10))&amp;IF('_Engine'!CM58&gt;10,"?","")&amp;" AM"&amp;CHAR(10)&amp;INDEX(Settings!$G$7:$G$11,MOD('_Engine'!CN58,10))&amp;IF('_Engine'!CN58&gt;10,"?","")&amp;" PM"))))))))</ns0:f>
        <ns0:v/>
      </ns0:c>
      <ns0:c r="W58" s="164" t="str">
        <ns0:f>IF(OR($A58="",W$11=""),"",IF(OR('_Engine'!$B$6&gt;0,INDEX('_Engine'!$AM$11:$AM$60,'_Engine'!$AO58)&lt;&gt;"OK"),"!",IF(INDEX(Team!$H$11:$N$60,'_Engine'!$AO58,WEEKDAY(W$11,2))&lt;&gt;"Work","—",IF(COUNTIF(Settings!$F$18:$F$67,W$11)&gt;0,"BH",IF('_Engine'!CO58+'_Engine'!CP58=0,"·",IF('_Engine'!CO58='_Engine'!CP58,INDEX(Settings!$G$7:$G$11,MOD('_Engine'!CO58,10))&amp;IF('_Engine'!CO58&gt;10,"?",""),IF('_Engine'!CO58=0,INDEX(Settings!$G$7:$G$11,MOD('_Engine'!CP58,10))&amp;IF('_Engine'!CP58&gt;10,"?","")&amp;" PM",IF('_Engine'!CP58=0,INDEX(Settings!$G$7:$G$11,MOD('_Engine'!CO58,10))&amp;IF('_Engine'!CO58&gt;10,"?","")&amp;" AM",INDEX(Settings!$G$7:$G$11,MOD('_Engine'!CO58,10))&amp;IF('_Engine'!CO58&gt;10,"?","")&amp;" AM"&amp;CHAR(10)&amp;INDEX(Settings!$G$7:$G$11,MOD('_Engine'!CP58,10))&amp;IF('_Engine'!CP58&gt;10,"?","")&amp;" PM"))))))))</ns0:f>
        <ns0:v/>
      </ns0:c>
      <ns0:c r="X58" s="164" t="str">
        <ns0:f>IF(OR($A58="",X$11=""),"",IF(OR('_Engine'!$B$6&gt;0,INDEX('_Engine'!$AM$11:$AM$60,'_Engine'!$AO58)&lt;&gt;"OK"),"!",IF(INDEX(Team!$H$11:$N$60,'_Engine'!$AO58,WEEKDAY(X$11,2))&lt;&gt;"Work","—",IF(COUNTIF(Settings!$F$18:$F$67,X$11)&gt;0,"BH",IF('_Engine'!CQ58+'_Engine'!CR58=0,"·",IF('_Engine'!CQ58='_Engine'!CR58,INDEX(Settings!$G$7:$G$11,MOD('_Engine'!CQ58,10))&amp;IF('_Engine'!CQ58&gt;10,"?",""),IF('_Engine'!CQ58=0,INDEX(Settings!$G$7:$G$11,MOD('_Engine'!CR58,10))&amp;IF('_Engine'!CR58&gt;10,"?","")&amp;" PM",IF('_Engine'!CR58=0,INDEX(Settings!$G$7:$G$11,MOD('_Engine'!CQ58,10))&amp;IF('_Engine'!CQ58&gt;10,"?","")&amp;" AM",INDEX(Settings!$G$7:$G$11,MOD('_Engine'!CQ58,10))&amp;IF('_Engine'!CQ58&gt;10,"?","")&amp;" AM"&amp;CHAR(10)&amp;INDEX(Settings!$G$7:$G$11,MOD('_Engine'!CR58,10))&amp;IF('_Engine'!CR58&gt;10,"?","")&amp;" PM"))))))))</ns0:f>
        <ns0:v/>
      </ns0:c>
      <ns0:c r="Y58" s="164" t="str">
        <ns0:f>IF(OR($A58="",Y$11=""),"",IF(OR('_Engine'!$B$6&gt;0,INDEX('_Engine'!$AM$11:$AM$60,'_Engine'!$AO58)&lt;&gt;"OK"),"!",IF(INDEX(Team!$H$11:$N$60,'_Engine'!$AO58,WEEKDAY(Y$11,2))&lt;&gt;"Work","—",IF(COUNTIF(Settings!$F$18:$F$67,Y$11)&gt;0,"BH",IF('_Engine'!CS58+'_Engine'!CT58=0,"·",IF('_Engine'!CS58='_Engine'!CT58,INDEX(Settings!$G$7:$G$11,MOD('_Engine'!CS58,10))&amp;IF('_Engine'!CS58&gt;10,"?",""),IF('_Engine'!CS58=0,INDEX(Settings!$G$7:$G$11,MOD('_Engine'!CT58,10))&amp;IF('_Engine'!CT58&gt;10,"?","")&amp;" PM",IF('_Engine'!CT58=0,INDEX(Settings!$G$7:$G$11,MOD('_Engine'!CS58,10))&amp;IF('_Engine'!CS58&gt;10,"?","")&amp;" AM",INDEX(Settings!$G$7:$G$11,MOD('_Engine'!CS58,10))&amp;IF('_Engine'!CS58&gt;10,"?","")&amp;" AM"&amp;CHAR(10)&amp;INDEX(Settings!$G$7:$G$11,MOD('_Engine'!CT58,10))&amp;IF('_Engine'!CT58&gt;10,"?","")&amp;" PM"))))))))</ns0:f>
        <ns0:v/>
      </ns0:c>
      <ns0:c r="Z58" s="164" t="str">
        <ns0:f>IF(OR($A58="",Z$11=""),"",IF(OR('_Engine'!$B$6&gt;0,INDEX('_Engine'!$AM$11:$AM$60,'_Engine'!$AO58)&lt;&gt;"OK"),"!",IF(INDEX(Team!$H$11:$N$60,'_Engine'!$AO58,WEEKDAY(Z$11,2))&lt;&gt;"Work","—",IF(COUNTIF(Settings!$F$18:$F$67,Z$11)&gt;0,"BH",IF('_Engine'!CU58+'_Engine'!CV58=0,"·",IF('_Engine'!CU58='_Engine'!CV58,INDEX(Settings!$G$7:$G$11,MOD('_Engine'!CU58,10))&amp;IF('_Engine'!CU58&gt;10,"?",""),IF('_Engine'!CU58=0,INDEX(Settings!$G$7:$G$11,MOD('_Engine'!CV58,10))&amp;IF('_Engine'!CV58&gt;10,"?","")&amp;" PM",IF('_Engine'!CV58=0,INDEX(Settings!$G$7:$G$11,MOD('_Engine'!CU58,10))&amp;IF('_Engine'!CU58&gt;10,"?","")&amp;" AM",INDEX(Settings!$G$7:$G$11,MOD('_Engine'!CU58,10))&amp;IF('_Engine'!CU58&gt;10,"?","")&amp;" AM"&amp;CHAR(10)&amp;INDEX(Settings!$G$7:$G$11,MOD('_Engine'!CV58,10))&amp;IF('_Engine'!CV58&gt;10,"?","")&amp;" PM"))))))))</ns0:f>
        <ns0:v/>
      </ns0:c>
      <ns0:c r="AA58" s="164" t="str">
        <ns0:f>IF(OR($A58="",AA$11=""),"",IF(OR('_Engine'!$B$6&gt;0,INDEX('_Engine'!$AM$11:$AM$60,'_Engine'!$AO58)&lt;&gt;"OK"),"!",IF(INDEX(Team!$H$11:$N$60,'_Engine'!$AO58,WEEKDAY(AA$11,2))&lt;&gt;"Work","—",IF(COUNTIF(Settings!$F$18:$F$67,AA$11)&gt;0,"BH",IF('_Engine'!CW58+'_Engine'!CX58=0,"·",IF('_Engine'!CW58='_Engine'!CX58,INDEX(Settings!$G$7:$G$11,MOD('_Engine'!CW58,10))&amp;IF('_Engine'!CW58&gt;10,"?",""),IF('_Engine'!CW58=0,INDEX(Settings!$G$7:$G$11,MOD('_Engine'!CX58,10))&amp;IF('_Engine'!CX58&gt;10,"?","")&amp;" PM",IF('_Engine'!CX58=0,INDEX(Settings!$G$7:$G$11,MOD('_Engine'!CW58,10))&amp;IF('_Engine'!CW58&gt;10,"?","")&amp;" AM",INDEX(Settings!$G$7:$G$11,MOD('_Engine'!CW58,10))&amp;IF('_Engine'!CW58&gt;10,"?","")&amp;" AM"&amp;CHAR(10)&amp;INDEX(Settings!$G$7:$G$11,MOD('_Engine'!CX58,10))&amp;IF('_Engine'!CX58&gt;10,"?","")&amp;" PM"))))))))</ns0:f>
        <ns0:v/>
      </ns0:c>
      <ns0:c r="AB58" s="164" t="str">
        <ns0:f>IF(OR($A58="",AB$11=""),"",IF(OR('_Engine'!$B$6&gt;0,INDEX('_Engine'!$AM$11:$AM$60,'_Engine'!$AO58)&lt;&gt;"OK"),"!",IF(INDEX(Team!$H$11:$N$60,'_Engine'!$AO58,WEEKDAY(AB$11,2))&lt;&gt;"Work","—",IF(COUNTIF(Settings!$F$18:$F$67,AB$11)&gt;0,"BH",IF('_Engine'!CY58+'_Engine'!CZ58=0,"·",IF('_Engine'!CY58='_Engine'!CZ58,INDEX(Settings!$G$7:$G$11,MOD('_Engine'!CY58,10))&amp;IF('_Engine'!CY58&gt;10,"?",""),IF('_Engine'!CY58=0,INDEX(Settings!$G$7:$G$11,MOD('_Engine'!CZ58,10))&amp;IF('_Engine'!CZ58&gt;10,"?","")&amp;" PM",IF('_Engine'!CZ58=0,INDEX(Settings!$G$7:$G$11,MOD('_Engine'!CY58,10))&amp;IF('_Engine'!CY58&gt;10,"?","")&amp;" AM",INDEX(Settings!$G$7:$G$11,MOD('_Engine'!CY58,10))&amp;IF('_Engine'!CY58&gt;10,"?","")&amp;" AM"&amp;CHAR(10)&amp;INDEX(Settings!$G$7:$G$11,MOD('_Engine'!CZ58,10))&amp;IF('_Engine'!CZ58&gt;10,"?","")&amp;" PM"))))))))</ns0:f>
        <ns0:v/>
      </ns0:c>
      <ns0:c r="AC58" s="164" t="str">
        <ns0:f>IF(OR($A58="",AC$11=""),"",IF(OR('_Engine'!$B$6&gt;0,INDEX('_Engine'!$AM$11:$AM$60,'_Engine'!$AO58)&lt;&gt;"OK"),"!",IF(INDEX(Team!$H$11:$N$60,'_Engine'!$AO58,WEEKDAY(AC$11,2))&lt;&gt;"Work","—",IF(COUNTIF(Settings!$F$18:$F$67,AC$11)&gt;0,"BH",IF('_Engine'!DA58+'_Engine'!DB58=0,"·",IF('_Engine'!DA58='_Engine'!DB58,INDEX(Settings!$G$7:$G$11,MOD('_Engine'!DA58,10))&amp;IF('_Engine'!DA58&gt;10,"?",""),IF('_Engine'!DA58=0,INDEX(Settings!$G$7:$G$11,MOD('_Engine'!DB58,10))&amp;IF('_Engine'!DB58&gt;10,"?","")&amp;" PM",IF('_Engine'!DB58=0,INDEX(Settings!$G$7:$G$11,MOD('_Engine'!DA58,10))&amp;IF('_Engine'!DA58&gt;10,"?","")&amp;" AM",INDEX(Settings!$G$7:$G$11,MOD('_Engine'!DA58,10))&amp;IF('_Engine'!DA58&gt;10,"?","")&amp;" AM"&amp;CHAR(10)&amp;INDEX(Settings!$G$7:$G$11,MOD('_Engine'!DB58,10))&amp;IF('_Engine'!DB58&gt;10,"?","")&amp;" PM"))))))))</ns0:f>
        <ns0:v/>
      </ns0:c>
      <ns0:c r="AD58" s="164" t="str">
        <ns0:f>IF(OR($A58="",AD$11=""),"",IF(OR('_Engine'!$B$6&gt;0,INDEX('_Engine'!$AM$11:$AM$60,'_Engine'!$AO58)&lt;&gt;"OK"),"!",IF(INDEX(Team!$H$11:$N$60,'_Engine'!$AO58,WEEKDAY(AD$11,2))&lt;&gt;"Work","—",IF(COUNTIF(Settings!$F$18:$F$67,AD$11)&gt;0,"BH",IF('_Engine'!DC58+'_Engine'!DD58=0,"·",IF('_Engine'!DC58='_Engine'!DD58,INDEX(Settings!$G$7:$G$11,MOD('_Engine'!DC58,10))&amp;IF('_Engine'!DC58&gt;10,"?",""),IF('_Engine'!DC58=0,INDEX(Settings!$G$7:$G$11,MOD('_Engine'!DD58,10))&amp;IF('_Engine'!DD58&gt;10,"?","")&amp;" PM",IF('_Engine'!DD58=0,INDEX(Settings!$G$7:$G$11,MOD('_Engine'!DC58,10))&amp;IF('_Engine'!DC58&gt;10,"?","")&amp;" AM",INDEX(Settings!$G$7:$G$11,MOD('_Engine'!DC58,10))&amp;IF('_Engine'!DC58&gt;10,"?","")&amp;" AM"&amp;CHAR(10)&amp;INDEX(Settings!$G$7:$G$11,MOD('_Engine'!DD58,10))&amp;IF('_Engine'!DD58&gt;10,"?","")&amp;" PM"))))))))</ns0:f>
        <ns0:v/>
      </ns0:c>
      <ns0:c r="AE58" s="164" t="str">
        <ns0:f>IF(OR($A58="",AE$11=""),"",IF(OR('_Engine'!$B$6&gt;0,INDEX('_Engine'!$AM$11:$AM$60,'_Engine'!$AO58)&lt;&gt;"OK"),"!",IF(INDEX(Team!$H$11:$N$60,'_Engine'!$AO58,WEEKDAY(AE$11,2))&lt;&gt;"Work","—",IF(COUNTIF(Settings!$F$18:$F$67,AE$11)&gt;0,"BH",IF('_Engine'!DE58+'_Engine'!DF58=0,"·",IF('_Engine'!DE58='_Engine'!DF58,INDEX(Settings!$G$7:$G$11,MOD('_Engine'!DE58,10))&amp;IF('_Engine'!DE58&gt;10,"?",""),IF('_Engine'!DE58=0,INDEX(Settings!$G$7:$G$11,MOD('_Engine'!DF58,10))&amp;IF('_Engine'!DF58&gt;10,"?","")&amp;" PM",IF('_Engine'!DF58=0,INDEX(Settings!$G$7:$G$11,MOD('_Engine'!DE58,10))&amp;IF('_Engine'!DE58&gt;10,"?","")&amp;" AM",INDEX(Settings!$G$7:$G$11,MOD('_Engine'!DE58,10))&amp;IF('_Engine'!DE58&gt;10,"?","")&amp;" AM"&amp;CHAR(10)&amp;INDEX(Settings!$G$7:$G$11,MOD('_Engine'!DF58,10))&amp;IF('_Engine'!DF58&gt;10,"?","")&amp;" PM"))))))))</ns0:f>
        <ns0:v/>
      </ns0:c>
      <ns0:c r="AF58" s="164" t="str">
        <ns0:f>IF(OR($A58="",AF$11=""),"",IF(OR('_Engine'!$B$6&gt;0,INDEX('_Engine'!$AM$11:$AM$60,'_Engine'!$AO58)&lt;&gt;"OK"),"!",IF(INDEX(Team!$H$11:$N$60,'_Engine'!$AO58,WEEKDAY(AF$11,2))&lt;&gt;"Work","—",IF(COUNTIF(Settings!$F$18:$F$67,AF$11)&gt;0,"BH",IF('_Engine'!DG58+'_Engine'!DH58=0,"·",IF('_Engine'!DG58='_Engine'!DH58,INDEX(Settings!$G$7:$G$11,MOD('_Engine'!DG58,10))&amp;IF('_Engine'!DG58&gt;10,"?",""),IF('_Engine'!DG58=0,INDEX(Settings!$G$7:$G$11,MOD('_Engine'!DH58,10))&amp;IF('_Engine'!DH58&gt;10,"?","")&amp;" PM",IF('_Engine'!DH58=0,INDEX(Settings!$G$7:$G$11,MOD('_Engine'!DG58,10))&amp;IF('_Engine'!DG58&gt;10,"?","")&amp;" AM",INDEX(Settings!$G$7:$G$11,MOD('_Engine'!DG58,10))&amp;IF('_Engine'!DG58&gt;10,"?","")&amp;" AM"&amp;CHAR(10)&amp;INDEX(Settings!$G$7:$G$11,MOD('_Engine'!DH58,10))&amp;IF('_Engine'!DH58&gt;10,"?","")&amp;" PM"))))))))</ns0:f>
        <ns0:v/>
      </ns0:c>
      <ns0:c r="AG58" s="164" t="str">
        <ns0:f>IF(OR($A58="",AG$11=""),"",IF(OR('_Engine'!$B$6&gt;0,INDEX('_Engine'!$AM$11:$AM$60,'_Engine'!$AO58)&lt;&gt;"OK"),"!",IF(INDEX(Team!$H$11:$N$60,'_Engine'!$AO58,WEEKDAY(AG$11,2))&lt;&gt;"Work","—",IF(COUNTIF(Settings!$F$18:$F$67,AG$11)&gt;0,"BH",IF('_Engine'!DI58+'_Engine'!DJ58=0,"·",IF('_Engine'!DI58='_Engine'!DJ58,INDEX(Settings!$G$7:$G$11,MOD('_Engine'!DI58,10))&amp;IF('_Engine'!DI58&gt;10,"?",""),IF('_Engine'!DI58=0,INDEX(Settings!$G$7:$G$11,MOD('_Engine'!DJ58,10))&amp;IF('_Engine'!DJ58&gt;10,"?","")&amp;" PM",IF('_Engine'!DJ58=0,INDEX(Settings!$G$7:$G$11,MOD('_Engine'!DI58,10))&amp;IF('_Engine'!DI58&gt;10,"?","")&amp;" AM",INDEX(Settings!$G$7:$G$11,MOD('_Engine'!DI58,10))&amp;IF('_Engine'!DI58&gt;10,"?","")&amp;" AM"&amp;CHAR(10)&amp;INDEX(Settings!$G$7:$G$11,MOD('_Engine'!DJ58,10))&amp;IF('_Engine'!DJ58&gt;10,"?","")&amp;" PM"))))))))</ns0:f>
        <ns0:v/>
      </ns0:c>
      <ns0:c r="AH58" s="164" t="str">
        <ns0:f>IF(OR($A58="",AH$11=""),"",IF(OR('_Engine'!$B$6&gt;0,INDEX('_Engine'!$AM$11:$AM$60,'_Engine'!$AO58)&lt;&gt;"OK"),"!",IF(INDEX(Team!$H$11:$N$60,'_Engine'!$AO58,WEEKDAY(AH$11,2))&lt;&gt;"Work","—",IF(COUNTIF(Settings!$F$18:$F$67,AH$11)&gt;0,"BH",IF('_Engine'!DK58+'_Engine'!DL58=0,"·",IF('_Engine'!DK58='_Engine'!DL58,INDEX(Settings!$G$7:$G$11,MOD('_Engine'!DK58,10))&amp;IF('_Engine'!DK58&gt;10,"?",""),IF('_Engine'!DK58=0,INDEX(Settings!$G$7:$G$11,MOD('_Engine'!DL58,10))&amp;IF('_Engine'!DL58&gt;10,"?","")&amp;" PM",IF('_Engine'!DL58=0,INDEX(Settings!$G$7:$G$11,MOD('_Engine'!DK58,10))&amp;IF('_Engine'!DK58&gt;10,"?","")&amp;" AM",INDEX(Settings!$G$7:$G$11,MOD('_Engine'!DK58,10))&amp;IF('_Engine'!DK58&gt;10,"?","")&amp;" AM"&amp;CHAR(10)&amp;INDEX(Settings!$G$7:$G$11,MOD('_Engine'!DL58,10))&amp;IF('_Engine'!DL58&gt;10,"?","")&amp;" PM"))))))))</ns0:f>
        <ns0:v/>
      </ns0:c>
    </ns0:row>
    <ns0:row r="59" ht="38" customHeight="1">
      <ns0:c r="A59" s="4" t="str">
        <ns0:f>IF('_Engine'!AO59=0,"",IF(INDEX(Team!$B$11:$B$60,'_Engine'!AO59)="","[Unnamed]",INDEX(Team!$B$11:$B$60,'_Engine'!AO59)))</ns0:f>
        <ns0:v/>
      </ns0:c>
      <ns0:c r="B59" s="156" t="str">
        <ns0:f>IF('_Engine'!AO59=0,"",INDEX('_Engine'!$AN$11:$AN$60,'_Engine'!AO59))</ns0:f>
        <ns0:v/>
      </ns0:c>
      <ns0:c r="C59" s="4" t="str">
        <ns0:f>IF('_Engine'!AO59=0,"",INDEX(Team!$C$11:$C$60,'_Engine'!AO59))</ns0:f>
        <ns0:v/>
      </ns0:c>
      <ns0:c r="D59" s="162" t="str">
        <ns0:f>IF(OR($A59="",D$11=""),"",IF(OR('_Engine'!$B$6&gt;0,INDEX('_Engine'!$AM$11:$AM$60,'_Engine'!$AO59)&lt;&gt;"OK"),"!",IF(INDEX(Team!$H$11:$N$60,'_Engine'!$AO59,WEEKDAY(D$11,2))&lt;&gt;"Work","—",IF(COUNTIF(Settings!$F$18:$F$67,D$11)&gt;0,"BH",IF('_Engine'!BC59+'_Engine'!BD59=0,"·",IF('_Engine'!BC59='_Engine'!BD59,INDEX(Settings!$G$7:$G$11,MOD('_Engine'!BC59,10))&amp;IF('_Engine'!BC59&gt;10,"?",""),IF('_Engine'!BC59=0,INDEX(Settings!$G$7:$G$11,MOD('_Engine'!BD59,10))&amp;IF('_Engine'!BD59&gt;10,"?","")&amp;" PM",IF('_Engine'!BD59=0,INDEX(Settings!$G$7:$G$11,MOD('_Engine'!BC59,10))&amp;IF('_Engine'!BC59&gt;10,"?","")&amp;" AM",INDEX(Settings!$G$7:$G$11,MOD('_Engine'!BC59,10))&amp;IF('_Engine'!BC59&gt;10,"?","")&amp;" AM"&amp;CHAR(10)&amp;INDEX(Settings!$G$7:$G$11,MOD('_Engine'!BD59,10))&amp;IF('_Engine'!BD59&gt;10,"?","")&amp;" PM"))))))))</ns0:f>
        <ns0:v/>
      </ns0:c>
      <ns0:c r="E59" s="162" t="str">
        <ns0:f>IF(OR($A59="",E$11=""),"",IF(OR('_Engine'!$B$6&gt;0,INDEX('_Engine'!$AM$11:$AM$60,'_Engine'!$AO59)&lt;&gt;"OK"),"!",IF(INDEX(Team!$H$11:$N$60,'_Engine'!$AO59,WEEKDAY(E$11,2))&lt;&gt;"Work","—",IF(COUNTIF(Settings!$F$18:$F$67,E$11)&gt;0,"BH",IF('_Engine'!BE59+'_Engine'!BF59=0,"·",IF('_Engine'!BE59='_Engine'!BF59,INDEX(Settings!$G$7:$G$11,MOD('_Engine'!BE59,10))&amp;IF('_Engine'!BE59&gt;10,"?",""),IF('_Engine'!BE59=0,INDEX(Settings!$G$7:$G$11,MOD('_Engine'!BF59,10))&amp;IF('_Engine'!BF59&gt;10,"?","")&amp;" PM",IF('_Engine'!BF59=0,INDEX(Settings!$G$7:$G$11,MOD('_Engine'!BE59,10))&amp;IF('_Engine'!BE59&gt;10,"?","")&amp;" AM",INDEX(Settings!$G$7:$G$11,MOD('_Engine'!BE59,10))&amp;IF('_Engine'!BE59&gt;10,"?","")&amp;" AM"&amp;CHAR(10)&amp;INDEX(Settings!$G$7:$G$11,MOD('_Engine'!BF59,10))&amp;IF('_Engine'!BF59&gt;10,"?","")&amp;" PM"))))))))</ns0:f>
        <ns0:v/>
      </ns0:c>
      <ns0:c r="F59" s="162" t="str">
        <ns0:f>IF(OR($A59="",F$11=""),"",IF(OR('_Engine'!$B$6&gt;0,INDEX('_Engine'!$AM$11:$AM$60,'_Engine'!$AO59)&lt;&gt;"OK"),"!",IF(INDEX(Team!$H$11:$N$60,'_Engine'!$AO59,WEEKDAY(F$11,2))&lt;&gt;"Work","—",IF(COUNTIF(Settings!$F$18:$F$67,F$11)&gt;0,"BH",IF('_Engine'!BG59+'_Engine'!BH59=0,"·",IF('_Engine'!BG59='_Engine'!BH59,INDEX(Settings!$G$7:$G$11,MOD('_Engine'!BG59,10))&amp;IF('_Engine'!BG59&gt;10,"?",""),IF('_Engine'!BG59=0,INDEX(Settings!$G$7:$G$11,MOD('_Engine'!BH59,10))&amp;IF('_Engine'!BH59&gt;10,"?","")&amp;" PM",IF('_Engine'!BH59=0,INDEX(Settings!$G$7:$G$11,MOD('_Engine'!BG59,10))&amp;IF('_Engine'!BG59&gt;10,"?","")&amp;" AM",INDEX(Settings!$G$7:$G$11,MOD('_Engine'!BG59,10))&amp;IF('_Engine'!BG59&gt;10,"?","")&amp;" AM"&amp;CHAR(10)&amp;INDEX(Settings!$G$7:$G$11,MOD('_Engine'!BH59,10))&amp;IF('_Engine'!BH59&gt;10,"?","")&amp;" PM"))))))))</ns0:f>
        <ns0:v/>
      </ns0:c>
      <ns0:c r="G59" s="162" t="str">
        <ns0:f>IF(OR($A59="",G$11=""),"",IF(OR('_Engine'!$B$6&gt;0,INDEX('_Engine'!$AM$11:$AM$60,'_Engine'!$AO59)&lt;&gt;"OK"),"!",IF(INDEX(Team!$H$11:$N$60,'_Engine'!$AO59,WEEKDAY(G$11,2))&lt;&gt;"Work","—",IF(COUNTIF(Settings!$F$18:$F$67,G$11)&gt;0,"BH",IF('_Engine'!BI59+'_Engine'!BJ59=0,"·",IF('_Engine'!BI59='_Engine'!BJ59,INDEX(Settings!$G$7:$G$11,MOD('_Engine'!BI59,10))&amp;IF('_Engine'!BI59&gt;10,"?",""),IF('_Engine'!BI59=0,INDEX(Settings!$G$7:$G$11,MOD('_Engine'!BJ59,10))&amp;IF('_Engine'!BJ59&gt;10,"?","")&amp;" PM",IF('_Engine'!BJ59=0,INDEX(Settings!$G$7:$G$11,MOD('_Engine'!BI59,10))&amp;IF('_Engine'!BI59&gt;10,"?","")&amp;" AM",INDEX(Settings!$G$7:$G$11,MOD('_Engine'!BI59,10))&amp;IF('_Engine'!BI59&gt;10,"?","")&amp;" AM"&amp;CHAR(10)&amp;INDEX(Settings!$G$7:$G$11,MOD('_Engine'!BJ59,10))&amp;IF('_Engine'!BJ59&gt;10,"?","")&amp;" PM"))))))))</ns0:f>
        <ns0:v/>
      </ns0:c>
      <ns0:c r="H59" s="162" t="str">
        <ns0:f>IF(OR($A59="",H$11=""),"",IF(OR('_Engine'!$B$6&gt;0,INDEX('_Engine'!$AM$11:$AM$60,'_Engine'!$AO59)&lt;&gt;"OK"),"!",IF(INDEX(Team!$H$11:$N$60,'_Engine'!$AO59,WEEKDAY(H$11,2))&lt;&gt;"Work","—",IF(COUNTIF(Settings!$F$18:$F$67,H$11)&gt;0,"BH",IF('_Engine'!BK59+'_Engine'!BL59=0,"·",IF('_Engine'!BK59='_Engine'!BL59,INDEX(Settings!$G$7:$G$11,MOD('_Engine'!BK59,10))&amp;IF('_Engine'!BK59&gt;10,"?",""),IF('_Engine'!BK59=0,INDEX(Settings!$G$7:$G$11,MOD('_Engine'!BL59,10))&amp;IF('_Engine'!BL59&gt;10,"?","")&amp;" PM",IF('_Engine'!BL59=0,INDEX(Settings!$G$7:$G$11,MOD('_Engine'!BK59,10))&amp;IF('_Engine'!BK59&gt;10,"?","")&amp;" AM",INDEX(Settings!$G$7:$G$11,MOD('_Engine'!BK59,10))&amp;IF('_Engine'!BK59&gt;10,"?","")&amp;" AM"&amp;CHAR(10)&amp;INDEX(Settings!$G$7:$G$11,MOD('_Engine'!BL59,10))&amp;IF('_Engine'!BL59&gt;10,"?","")&amp;" PM"))))))))</ns0:f>
        <ns0:v/>
      </ns0:c>
      <ns0:c r="I59" s="162" t="str">
        <ns0:f>IF(OR($A59="",I$11=""),"",IF(OR('_Engine'!$B$6&gt;0,INDEX('_Engine'!$AM$11:$AM$60,'_Engine'!$AO59)&lt;&gt;"OK"),"!",IF(INDEX(Team!$H$11:$N$60,'_Engine'!$AO59,WEEKDAY(I$11,2))&lt;&gt;"Work","—",IF(COUNTIF(Settings!$F$18:$F$67,I$11)&gt;0,"BH",IF('_Engine'!BM59+'_Engine'!BN59=0,"·",IF('_Engine'!BM59='_Engine'!BN59,INDEX(Settings!$G$7:$G$11,MOD('_Engine'!BM59,10))&amp;IF('_Engine'!BM59&gt;10,"?",""),IF('_Engine'!BM59=0,INDEX(Settings!$G$7:$G$11,MOD('_Engine'!BN59,10))&amp;IF('_Engine'!BN59&gt;10,"?","")&amp;" PM",IF('_Engine'!BN59=0,INDEX(Settings!$G$7:$G$11,MOD('_Engine'!BM59,10))&amp;IF('_Engine'!BM59&gt;10,"?","")&amp;" AM",INDEX(Settings!$G$7:$G$11,MOD('_Engine'!BM59,10))&amp;IF('_Engine'!BM59&gt;10,"?","")&amp;" AM"&amp;CHAR(10)&amp;INDEX(Settings!$G$7:$G$11,MOD('_Engine'!BN59,10))&amp;IF('_Engine'!BN59&gt;10,"?","")&amp;" PM"))))))))</ns0:f>
        <ns0:v/>
      </ns0:c>
      <ns0:c r="J59" s="162" t="str">
        <ns0:f>IF(OR($A59="",J$11=""),"",IF(OR('_Engine'!$B$6&gt;0,INDEX('_Engine'!$AM$11:$AM$60,'_Engine'!$AO59)&lt;&gt;"OK"),"!",IF(INDEX(Team!$H$11:$N$60,'_Engine'!$AO59,WEEKDAY(J$11,2))&lt;&gt;"Work","—",IF(COUNTIF(Settings!$F$18:$F$67,J$11)&gt;0,"BH",IF('_Engine'!BO59+'_Engine'!BP59=0,"·",IF('_Engine'!BO59='_Engine'!BP59,INDEX(Settings!$G$7:$G$11,MOD('_Engine'!BO59,10))&amp;IF('_Engine'!BO59&gt;10,"?",""),IF('_Engine'!BO59=0,INDEX(Settings!$G$7:$G$11,MOD('_Engine'!BP59,10))&amp;IF('_Engine'!BP59&gt;10,"?","")&amp;" PM",IF('_Engine'!BP59=0,INDEX(Settings!$G$7:$G$11,MOD('_Engine'!BO59,10))&amp;IF('_Engine'!BO59&gt;10,"?","")&amp;" AM",INDEX(Settings!$G$7:$G$11,MOD('_Engine'!BO59,10))&amp;IF('_Engine'!BO59&gt;10,"?","")&amp;" AM"&amp;CHAR(10)&amp;INDEX(Settings!$G$7:$G$11,MOD('_Engine'!BP59,10))&amp;IF('_Engine'!BP59&gt;10,"?","")&amp;" PM"))))))))</ns0:f>
        <ns0:v/>
      </ns0:c>
      <ns0:c r="K59" s="164" t="str">
        <ns0:f>IF(OR($A59="",K$11=""),"",IF(OR('_Engine'!$B$6&gt;0,INDEX('_Engine'!$AM$11:$AM$60,'_Engine'!$AO59)&lt;&gt;"OK"),"!",IF(INDEX(Team!$H$11:$N$60,'_Engine'!$AO59,WEEKDAY(K$11,2))&lt;&gt;"Work","—",IF(COUNTIF(Settings!$F$18:$F$67,K$11)&gt;0,"BH",IF('_Engine'!BQ59+'_Engine'!BR59=0,"·",IF('_Engine'!BQ59='_Engine'!BR59,INDEX(Settings!$G$7:$G$11,MOD('_Engine'!BQ59,10))&amp;IF('_Engine'!BQ59&gt;10,"?",""),IF('_Engine'!BQ59=0,INDEX(Settings!$G$7:$G$11,MOD('_Engine'!BR59,10))&amp;IF('_Engine'!BR59&gt;10,"?","")&amp;" PM",IF('_Engine'!BR59=0,INDEX(Settings!$G$7:$G$11,MOD('_Engine'!BQ59,10))&amp;IF('_Engine'!BQ59&gt;10,"?","")&amp;" AM",INDEX(Settings!$G$7:$G$11,MOD('_Engine'!BQ59,10))&amp;IF('_Engine'!BQ59&gt;10,"?","")&amp;" AM"&amp;CHAR(10)&amp;INDEX(Settings!$G$7:$G$11,MOD('_Engine'!BR59,10))&amp;IF('_Engine'!BR59&gt;10,"?","")&amp;" PM"))))))))</ns0:f>
        <ns0:v/>
      </ns0:c>
      <ns0:c r="L59" s="164" t="str">
        <ns0:f>IF(OR($A59="",L$11=""),"",IF(OR('_Engine'!$B$6&gt;0,INDEX('_Engine'!$AM$11:$AM$60,'_Engine'!$AO59)&lt;&gt;"OK"),"!",IF(INDEX(Team!$H$11:$N$60,'_Engine'!$AO59,WEEKDAY(L$11,2))&lt;&gt;"Work","—",IF(COUNTIF(Settings!$F$18:$F$67,L$11)&gt;0,"BH",IF('_Engine'!BS59+'_Engine'!BT59=0,"·",IF('_Engine'!BS59='_Engine'!BT59,INDEX(Settings!$G$7:$G$11,MOD('_Engine'!BS59,10))&amp;IF('_Engine'!BS59&gt;10,"?",""),IF('_Engine'!BS59=0,INDEX(Settings!$G$7:$G$11,MOD('_Engine'!BT59,10))&amp;IF('_Engine'!BT59&gt;10,"?","")&amp;" PM",IF('_Engine'!BT59=0,INDEX(Settings!$G$7:$G$11,MOD('_Engine'!BS59,10))&amp;IF('_Engine'!BS59&gt;10,"?","")&amp;" AM",INDEX(Settings!$G$7:$G$11,MOD('_Engine'!BS59,10))&amp;IF('_Engine'!BS59&gt;10,"?","")&amp;" AM"&amp;CHAR(10)&amp;INDEX(Settings!$G$7:$G$11,MOD('_Engine'!BT59,10))&amp;IF('_Engine'!BT59&gt;10,"?","")&amp;" PM"))))))))</ns0:f>
        <ns0:v/>
      </ns0:c>
      <ns0:c r="M59" s="164" t="str">
        <ns0:f>IF(OR($A59="",M$11=""),"",IF(OR('_Engine'!$B$6&gt;0,INDEX('_Engine'!$AM$11:$AM$60,'_Engine'!$AO59)&lt;&gt;"OK"),"!",IF(INDEX(Team!$H$11:$N$60,'_Engine'!$AO59,WEEKDAY(M$11,2))&lt;&gt;"Work","—",IF(COUNTIF(Settings!$F$18:$F$67,M$11)&gt;0,"BH",IF('_Engine'!BU59+'_Engine'!BV59=0,"·",IF('_Engine'!BU59='_Engine'!BV59,INDEX(Settings!$G$7:$G$11,MOD('_Engine'!BU59,10))&amp;IF('_Engine'!BU59&gt;10,"?",""),IF('_Engine'!BU59=0,INDEX(Settings!$G$7:$G$11,MOD('_Engine'!BV59,10))&amp;IF('_Engine'!BV59&gt;10,"?","")&amp;" PM",IF('_Engine'!BV59=0,INDEX(Settings!$G$7:$G$11,MOD('_Engine'!BU59,10))&amp;IF('_Engine'!BU59&gt;10,"?","")&amp;" AM",INDEX(Settings!$G$7:$G$11,MOD('_Engine'!BU59,10))&amp;IF('_Engine'!BU59&gt;10,"?","")&amp;" AM"&amp;CHAR(10)&amp;INDEX(Settings!$G$7:$G$11,MOD('_Engine'!BV59,10))&amp;IF('_Engine'!BV59&gt;10,"?","")&amp;" PM"))))))))</ns0:f>
        <ns0:v/>
      </ns0:c>
      <ns0:c r="N59" s="164" t="str">
        <ns0:f>IF(OR($A59="",N$11=""),"",IF(OR('_Engine'!$B$6&gt;0,INDEX('_Engine'!$AM$11:$AM$60,'_Engine'!$AO59)&lt;&gt;"OK"),"!",IF(INDEX(Team!$H$11:$N$60,'_Engine'!$AO59,WEEKDAY(N$11,2))&lt;&gt;"Work","—",IF(COUNTIF(Settings!$F$18:$F$67,N$11)&gt;0,"BH",IF('_Engine'!BW59+'_Engine'!BX59=0,"·",IF('_Engine'!BW59='_Engine'!BX59,INDEX(Settings!$G$7:$G$11,MOD('_Engine'!BW59,10))&amp;IF('_Engine'!BW59&gt;10,"?",""),IF('_Engine'!BW59=0,INDEX(Settings!$G$7:$G$11,MOD('_Engine'!BX59,10))&amp;IF('_Engine'!BX59&gt;10,"?","")&amp;" PM",IF('_Engine'!BX59=0,INDEX(Settings!$G$7:$G$11,MOD('_Engine'!BW59,10))&amp;IF('_Engine'!BW59&gt;10,"?","")&amp;" AM",INDEX(Settings!$G$7:$G$11,MOD('_Engine'!BW59,10))&amp;IF('_Engine'!BW59&gt;10,"?","")&amp;" AM"&amp;CHAR(10)&amp;INDEX(Settings!$G$7:$G$11,MOD('_Engine'!BX59,10))&amp;IF('_Engine'!BX59&gt;10,"?","")&amp;" PM"))))))))</ns0:f>
        <ns0:v/>
      </ns0:c>
      <ns0:c r="O59" s="164" t="str">
        <ns0:f>IF(OR($A59="",O$11=""),"",IF(OR('_Engine'!$B$6&gt;0,INDEX('_Engine'!$AM$11:$AM$60,'_Engine'!$AO59)&lt;&gt;"OK"),"!",IF(INDEX(Team!$H$11:$N$60,'_Engine'!$AO59,WEEKDAY(O$11,2))&lt;&gt;"Work","—",IF(COUNTIF(Settings!$F$18:$F$67,O$11)&gt;0,"BH",IF('_Engine'!BY59+'_Engine'!BZ59=0,"·",IF('_Engine'!BY59='_Engine'!BZ59,INDEX(Settings!$G$7:$G$11,MOD('_Engine'!BY59,10))&amp;IF('_Engine'!BY59&gt;10,"?",""),IF('_Engine'!BY59=0,INDEX(Settings!$G$7:$G$11,MOD('_Engine'!BZ59,10))&amp;IF('_Engine'!BZ59&gt;10,"?","")&amp;" PM",IF('_Engine'!BZ59=0,INDEX(Settings!$G$7:$G$11,MOD('_Engine'!BY59,10))&amp;IF('_Engine'!BY59&gt;10,"?","")&amp;" AM",INDEX(Settings!$G$7:$G$11,MOD('_Engine'!BY59,10))&amp;IF('_Engine'!BY59&gt;10,"?","")&amp;" AM"&amp;CHAR(10)&amp;INDEX(Settings!$G$7:$G$11,MOD('_Engine'!BZ59,10))&amp;IF('_Engine'!BZ59&gt;10,"?","")&amp;" PM"))))))))</ns0:f>
        <ns0:v/>
      </ns0:c>
      <ns0:c r="P59" s="164" t="str">
        <ns0:f>IF(OR($A59="",P$11=""),"",IF(OR('_Engine'!$B$6&gt;0,INDEX('_Engine'!$AM$11:$AM$60,'_Engine'!$AO59)&lt;&gt;"OK"),"!",IF(INDEX(Team!$H$11:$N$60,'_Engine'!$AO59,WEEKDAY(P$11,2))&lt;&gt;"Work","—",IF(COUNTIF(Settings!$F$18:$F$67,P$11)&gt;0,"BH",IF('_Engine'!CA59+'_Engine'!CB59=0,"·",IF('_Engine'!CA59='_Engine'!CB59,INDEX(Settings!$G$7:$G$11,MOD('_Engine'!CA59,10))&amp;IF('_Engine'!CA59&gt;10,"?",""),IF('_Engine'!CA59=0,INDEX(Settings!$G$7:$G$11,MOD('_Engine'!CB59,10))&amp;IF('_Engine'!CB59&gt;10,"?","")&amp;" PM",IF('_Engine'!CB59=0,INDEX(Settings!$G$7:$G$11,MOD('_Engine'!CA59,10))&amp;IF('_Engine'!CA59&gt;10,"?","")&amp;" AM",INDEX(Settings!$G$7:$G$11,MOD('_Engine'!CA59,10))&amp;IF('_Engine'!CA59&gt;10,"?","")&amp;" AM"&amp;CHAR(10)&amp;INDEX(Settings!$G$7:$G$11,MOD('_Engine'!CB59,10))&amp;IF('_Engine'!CB59&gt;10,"?","")&amp;" PM"))))))))</ns0:f>
        <ns0:v/>
      </ns0:c>
      <ns0:c r="Q59" s="164" t="str">
        <ns0:f>IF(OR($A59="",Q$11=""),"",IF(OR('_Engine'!$B$6&gt;0,INDEX('_Engine'!$AM$11:$AM$60,'_Engine'!$AO59)&lt;&gt;"OK"),"!",IF(INDEX(Team!$H$11:$N$60,'_Engine'!$AO59,WEEKDAY(Q$11,2))&lt;&gt;"Work","—",IF(COUNTIF(Settings!$F$18:$F$67,Q$11)&gt;0,"BH",IF('_Engine'!CC59+'_Engine'!CD59=0,"·",IF('_Engine'!CC59='_Engine'!CD59,INDEX(Settings!$G$7:$G$11,MOD('_Engine'!CC59,10))&amp;IF('_Engine'!CC59&gt;10,"?",""),IF('_Engine'!CC59=0,INDEX(Settings!$G$7:$G$11,MOD('_Engine'!CD59,10))&amp;IF('_Engine'!CD59&gt;10,"?","")&amp;" PM",IF('_Engine'!CD59=0,INDEX(Settings!$G$7:$G$11,MOD('_Engine'!CC59,10))&amp;IF('_Engine'!CC59&gt;10,"?","")&amp;" AM",INDEX(Settings!$G$7:$G$11,MOD('_Engine'!CC59,10))&amp;IF('_Engine'!CC59&gt;10,"?","")&amp;" AM"&amp;CHAR(10)&amp;INDEX(Settings!$G$7:$G$11,MOD('_Engine'!CD59,10))&amp;IF('_Engine'!CD59&gt;10,"?","")&amp;" PM"))))))))</ns0:f>
        <ns0:v/>
      </ns0:c>
      <ns0:c r="R59" s="164" t="str">
        <ns0:f>IF(OR($A59="",R$11=""),"",IF(OR('_Engine'!$B$6&gt;0,INDEX('_Engine'!$AM$11:$AM$60,'_Engine'!$AO59)&lt;&gt;"OK"),"!",IF(INDEX(Team!$H$11:$N$60,'_Engine'!$AO59,WEEKDAY(R$11,2))&lt;&gt;"Work","—",IF(COUNTIF(Settings!$F$18:$F$67,R$11)&gt;0,"BH",IF('_Engine'!CE59+'_Engine'!CF59=0,"·",IF('_Engine'!CE59='_Engine'!CF59,INDEX(Settings!$G$7:$G$11,MOD('_Engine'!CE59,10))&amp;IF('_Engine'!CE59&gt;10,"?",""),IF('_Engine'!CE59=0,INDEX(Settings!$G$7:$G$11,MOD('_Engine'!CF59,10))&amp;IF('_Engine'!CF59&gt;10,"?","")&amp;" PM",IF('_Engine'!CF59=0,INDEX(Settings!$G$7:$G$11,MOD('_Engine'!CE59,10))&amp;IF('_Engine'!CE59&gt;10,"?","")&amp;" AM",INDEX(Settings!$G$7:$G$11,MOD('_Engine'!CE59,10))&amp;IF('_Engine'!CE59&gt;10,"?","")&amp;" AM"&amp;CHAR(10)&amp;INDEX(Settings!$G$7:$G$11,MOD('_Engine'!CF59,10))&amp;IF('_Engine'!CF59&gt;10,"?","")&amp;" PM"))))))))</ns0:f>
        <ns0:v/>
      </ns0:c>
      <ns0:c r="S59" s="164" t="str">
        <ns0:f>IF(OR($A59="",S$11=""),"",IF(OR('_Engine'!$B$6&gt;0,INDEX('_Engine'!$AM$11:$AM$60,'_Engine'!$AO59)&lt;&gt;"OK"),"!",IF(INDEX(Team!$H$11:$N$60,'_Engine'!$AO59,WEEKDAY(S$11,2))&lt;&gt;"Work","—",IF(COUNTIF(Settings!$F$18:$F$67,S$11)&gt;0,"BH",IF('_Engine'!CG59+'_Engine'!CH59=0,"·",IF('_Engine'!CG59='_Engine'!CH59,INDEX(Settings!$G$7:$G$11,MOD('_Engine'!CG59,10))&amp;IF('_Engine'!CG59&gt;10,"?",""),IF('_Engine'!CG59=0,INDEX(Settings!$G$7:$G$11,MOD('_Engine'!CH59,10))&amp;IF('_Engine'!CH59&gt;10,"?","")&amp;" PM",IF('_Engine'!CH59=0,INDEX(Settings!$G$7:$G$11,MOD('_Engine'!CG59,10))&amp;IF('_Engine'!CG59&gt;10,"?","")&amp;" AM",INDEX(Settings!$G$7:$G$11,MOD('_Engine'!CG59,10))&amp;IF('_Engine'!CG59&gt;10,"?","")&amp;" AM"&amp;CHAR(10)&amp;INDEX(Settings!$G$7:$G$11,MOD('_Engine'!CH59,10))&amp;IF('_Engine'!CH59&gt;10,"?","")&amp;" PM"))))))))</ns0:f>
        <ns0:v/>
      </ns0:c>
      <ns0:c r="T59" s="164" t="str">
        <ns0:f>IF(OR($A59="",T$11=""),"",IF(OR('_Engine'!$B$6&gt;0,INDEX('_Engine'!$AM$11:$AM$60,'_Engine'!$AO59)&lt;&gt;"OK"),"!",IF(INDEX(Team!$H$11:$N$60,'_Engine'!$AO59,WEEKDAY(T$11,2))&lt;&gt;"Work","—",IF(COUNTIF(Settings!$F$18:$F$67,T$11)&gt;0,"BH",IF('_Engine'!CI59+'_Engine'!CJ59=0,"·",IF('_Engine'!CI59='_Engine'!CJ59,INDEX(Settings!$G$7:$G$11,MOD('_Engine'!CI59,10))&amp;IF('_Engine'!CI59&gt;10,"?",""),IF('_Engine'!CI59=0,INDEX(Settings!$G$7:$G$11,MOD('_Engine'!CJ59,10))&amp;IF('_Engine'!CJ59&gt;10,"?","")&amp;" PM",IF('_Engine'!CJ59=0,INDEX(Settings!$G$7:$G$11,MOD('_Engine'!CI59,10))&amp;IF('_Engine'!CI59&gt;10,"?","")&amp;" AM",INDEX(Settings!$G$7:$G$11,MOD('_Engine'!CI59,10))&amp;IF('_Engine'!CI59&gt;10,"?","")&amp;" AM"&amp;CHAR(10)&amp;INDEX(Settings!$G$7:$G$11,MOD('_Engine'!CJ59,10))&amp;IF('_Engine'!CJ59&gt;10,"?","")&amp;" PM"))))))))</ns0:f>
        <ns0:v/>
      </ns0:c>
      <ns0:c r="U59" s="164" t="str">
        <ns0:f>IF(OR($A59="",U$11=""),"",IF(OR('_Engine'!$B$6&gt;0,INDEX('_Engine'!$AM$11:$AM$60,'_Engine'!$AO59)&lt;&gt;"OK"),"!",IF(INDEX(Team!$H$11:$N$60,'_Engine'!$AO59,WEEKDAY(U$11,2))&lt;&gt;"Work","—",IF(COUNTIF(Settings!$F$18:$F$67,U$11)&gt;0,"BH",IF('_Engine'!CK59+'_Engine'!CL59=0,"·",IF('_Engine'!CK59='_Engine'!CL59,INDEX(Settings!$G$7:$G$11,MOD('_Engine'!CK59,10))&amp;IF('_Engine'!CK59&gt;10,"?",""),IF('_Engine'!CK59=0,INDEX(Settings!$G$7:$G$11,MOD('_Engine'!CL59,10))&amp;IF('_Engine'!CL59&gt;10,"?","")&amp;" PM",IF('_Engine'!CL59=0,INDEX(Settings!$G$7:$G$11,MOD('_Engine'!CK59,10))&amp;IF('_Engine'!CK59&gt;10,"?","")&amp;" AM",INDEX(Settings!$G$7:$G$11,MOD('_Engine'!CK59,10))&amp;IF('_Engine'!CK59&gt;10,"?","")&amp;" AM"&amp;CHAR(10)&amp;INDEX(Settings!$G$7:$G$11,MOD('_Engine'!CL59,10))&amp;IF('_Engine'!CL59&gt;10,"?","")&amp;" PM"))))))))</ns0:f>
        <ns0:v/>
      </ns0:c>
      <ns0:c r="V59" s="164" t="str">
        <ns0:f>IF(OR($A59="",V$11=""),"",IF(OR('_Engine'!$B$6&gt;0,INDEX('_Engine'!$AM$11:$AM$60,'_Engine'!$AO59)&lt;&gt;"OK"),"!",IF(INDEX(Team!$H$11:$N$60,'_Engine'!$AO59,WEEKDAY(V$11,2))&lt;&gt;"Work","—",IF(COUNTIF(Settings!$F$18:$F$67,V$11)&gt;0,"BH",IF('_Engine'!CM59+'_Engine'!CN59=0,"·",IF('_Engine'!CM59='_Engine'!CN59,INDEX(Settings!$G$7:$G$11,MOD('_Engine'!CM59,10))&amp;IF('_Engine'!CM59&gt;10,"?",""),IF('_Engine'!CM59=0,INDEX(Settings!$G$7:$G$11,MOD('_Engine'!CN59,10))&amp;IF('_Engine'!CN59&gt;10,"?","")&amp;" PM",IF('_Engine'!CN59=0,INDEX(Settings!$G$7:$G$11,MOD('_Engine'!CM59,10))&amp;IF('_Engine'!CM59&gt;10,"?","")&amp;" AM",INDEX(Settings!$G$7:$G$11,MOD('_Engine'!CM59,10))&amp;IF('_Engine'!CM59&gt;10,"?","")&amp;" AM"&amp;CHAR(10)&amp;INDEX(Settings!$G$7:$G$11,MOD('_Engine'!CN59,10))&amp;IF('_Engine'!CN59&gt;10,"?","")&amp;" PM"))))))))</ns0:f>
        <ns0:v/>
      </ns0:c>
      <ns0:c r="W59" s="164" t="str">
        <ns0:f>IF(OR($A59="",W$11=""),"",IF(OR('_Engine'!$B$6&gt;0,INDEX('_Engine'!$AM$11:$AM$60,'_Engine'!$AO59)&lt;&gt;"OK"),"!",IF(INDEX(Team!$H$11:$N$60,'_Engine'!$AO59,WEEKDAY(W$11,2))&lt;&gt;"Work","—",IF(COUNTIF(Settings!$F$18:$F$67,W$11)&gt;0,"BH",IF('_Engine'!CO59+'_Engine'!CP59=0,"·",IF('_Engine'!CO59='_Engine'!CP59,INDEX(Settings!$G$7:$G$11,MOD('_Engine'!CO59,10))&amp;IF('_Engine'!CO59&gt;10,"?",""),IF('_Engine'!CO59=0,INDEX(Settings!$G$7:$G$11,MOD('_Engine'!CP59,10))&amp;IF('_Engine'!CP59&gt;10,"?","")&amp;" PM",IF('_Engine'!CP59=0,INDEX(Settings!$G$7:$G$11,MOD('_Engine'!CO59,10))&amp;IF('_Engine'!CO59&gt;10,"?","")&amp;" AM",INDEX(Settings!$G$7:$G$11,MOD('_Engine'!CO59,10))&amp;IF('_Engine'!CO59&gt;10,"?","")&amp;" AM"&amp;CHAR(10)&amp;INDEX(Settings!$G$7:$G$11,MOD('_Engine'!CP59,10))&amp;IF('_Engine'!CP59&gt;10,"?","")&amp;" PM"))))))))</ns0:f>
        <ns0:v/>
      </ns0:c>
      <ns0:c r="X59" s="164" t="str">
        <ns0:f>IF(OR($A59="",X$11=""),"",IF(OR('_Engine'!$B$6&gt;0,INDEX('_Engine'!$AM$11:$AM$60,'_Engine'!$AO59)&lt;&gt;"OK"),"!",IF(INDEX(Team!$H$11:$N$60,'_Engine'!$AO59,WEEKDAY(X$11,2))&lt;&gt;"Work","—",IF(COUNTIF(Settings!$F$18:$F$67,X$11)&gt;0,"BH",IF('_Engine'!CQ59+'_Engine'!CR59=0,"·",IF('_Engine'!CQ59='_Engine'!CR59,INDEX(Settings!$G$7:$G$11,MOD('_Engine'!CQ59,10))&amp;IF('_Engine'!CQ59&gt;10,"?",""),IF('_Engine'!CQ59=0,INDEX(Settings!$G$7:$G$11,MOD('_Engine'!CR59,10))&amp;IF('_Engine'!CR59&gt;10,"?","")&amp;" PM",IF('_Engine'!CR59=0,INDEX(Settings!$G$7:$G$11,MOD('_Engine'!CQ59,10))&amp;IF('_Engine'!CQ59&gt;10,"?","")&amp;" AM",INDEX(Settings!$G$7:$G$11,MOD('_Engine'!CQ59,10))&amp;IF('_Engine'!CQ59&gt;10,"?","")&amp;" AM"&amp;CHAR(10)&amp;INDEX(Settings!$G$7:$G$11,MOD('_Engine'!CR59,10))&amp;IF('_Engine'!CR59&gt;10,"?","")&amp;" PM"))))))))</ns0:f>
        <ns0:v/>
      </ns0:c>
      <ns0:c r="Y59" s="164" t="str">
        <ns0:f>IF(OR($A59="",Y$11=""),"",IF(OR('_Engine'!$B$6&gt;0,INDEX('_Engine'!$AM$11:$AM$60,'_Engine'!$AO59)&lt;&gt;"OK"),"!",IF(INDEX(Team!$H$11:$N$60,'_Engine'!$AO59,WEEKDAY(Y$11,2))&lt;&gt;"Work","—",IF(COUNTIF(Settings!$F$18:$F$67,Y$11)&gt;0,"BH",IF('_Engine'!CS59+'_Engine'!CT59=0,"·",IF('_Engine'!CS59='_Engine'!CT59,INDEX(Settings!$G$7:$G$11,MOD('_Engine'!CS59,10))&amp;IF('_Engine'!CS59&gt;10,"?",""),IF('_Engine'!CS59=0,INDEX(Settings!$G$7:$G$11,MOD('_Engine'!CT59,10))&amp;IF('_Engine'!CT59&gt;10,"?","")&amp;" PM",IF('_Engine'!CT59=0,INDEX(Settings!$G$7:$G$11,MOD('_Engine'!CS59,10))&amp;IF('_Engine'!CS59&gt;10,"?","")&amp;" AM",INDEX(Settings!$G$7:$G$11,MOD('_Engine'!CS59,10))&amp;IF('_Engine'!CS59&gt;10,"?","")&amp;" AM"&amp;CHAR(10)&amp;INDEX(Settings!$G$7:$G$11,MOD('_Engine'!CT59,10))&amp;IF('_Engine'!CT59&gt;10,"?","")&amp;" PM"))))))))</ns0:f>
        <ns0:v/>
      </ns0:c>
      <ns0:c r="Z59" s="164" t="str">
        <ns0:f>IF(OR($A59="",Z$11=""),"",IF(OR('_Engine'!$B$6&gt;0,INDEX('_Engine'!$AM$11:$AM$60,'_Engine'!$AO59)&lt;&gt;"OK"),"!",IF(INDEX(Team!$H$11:$N$60,'_Engine'!$AO59,WEEKDAY(Z$11,2))&lt;&gt;"Work","—",IF(COUNTIF(Settings!$F$18:$F$67,Z$11)&gt;0,"BH",IF('_Engine'!CU59+'_Engine'!CV59=0,"·",IF('_Engine'!CU59='_Engine'!CV59,INDEX(Settings!$G$7:$G$11,MOD('_Engine'!CU59,10))&amp;IF('_Engine'!CU59&gt;10,"?",""),IF('_Engine'!CU59=0,INDEX(Settings!$G$7:$G$11,MOD('_Engine'!CV59,10))&amp;IF('_Engine'!CV59&gt;10,"?","")&amp;" PM",IF('_Engine'!CV59=0,INDEX(Settings!$G$7:$G$11,MOD('_Engine'!CU59,10))&amp;IF('_Engine'!CU59&gt;10,"?","")&amp;" AM",INDEX(Settings!$G$7:$G$11,MOD('_Engine'!CU59,10))&amp;IF('_Engine'!CU59&gt;10,"?","")&amp;" AM"&amp;CHAR(10)&amp;INDEX(Settings!$G$7:$G$11,MOD('_Engine'!CV59,10))&amp;IF('_Engine'!CV59&gt;10,"?","")&amp;" PM"))))))))</ns0:f>
        <ns0:v/>
      </ns0:c>
      <ns0:c r="AA59" s="164" t="str">
        <ns0:f>IF(OR($A59="",AA$11=""),"",IF(OR('_Engine'!$B$6&gt;0,INDEX('_Engine'!$AM$11:$AM$60,'_Engine'!$AO59)&lt;&gt;"OK"),"!",IF(INDEX(Team!$H$11:$N$60,'_Engine'!$AO59,WEEKDAY(AA$11,2))&lt;&gt;"Work","—",IF(COUNTIF(Settings!$F$18:$F$67,AA$11)&gt;0,"BH",IF('_Engine'!CW59+'_Engine'!CX59=0,"·",IF('_Engine'!CW59='_Engine'!CX59,INDEX(Settings!$G$7:$G$11,MOD('_Engine'!CW59,10))&amp;IF('_Engine'!CW59&gt;10,"?",""),IF('_Engine'!CW59=0,INDEX(Settings!$G$7:$G$11,MOD('_Engine'!CX59,10))&amp;IF('_Engine'!CX59&gt;10,"?","")&amp;" PM",IF('_Engine'!CX59=0,INDEX(Settings!$G$7:$G$11,MOD('_Engine'!CW59,10))&amp;IF('_Engine'!CW59&gt;10,"?","")&amp;" AM",INDEX(Settings!$G$7:$G$11,MOD('_Engine'!CW59,10))&amp;IF('_Engine'!CW59&gt;10,"?","")&amp;" AM"&amp;CHAR(10)&amp;INDEX(Settings!$G$7:$G$11,MOD('_Engine'!CX59,10))&amp;IF('_Engine'!CX59&gt;10,"?","")&amp;" PM"))))))))</ns0:f>
        <ns0:v/>
      </ns0:c>
      <ns0:c r="AB59" s="164" t="str">
        <ns0:f>IF(OR($A59="",AB$11=""),"",IF(OR('_Engine'!$B$6&gt;0,INDEX('_Engine'!$AM$11:$AM$60,'_Engine'!$AO59)&lt;&gt;"OK"),"!",IF(INDEX(Team!$H$11:$N$60,'_Engine'!$AO59,WEEKDAY(AB$11,2))&lt;&gt;"Work","—",IF(COUNTIF(Settings!$F$18:$F$67,AB$11)&gt;0,"BH",IF('_Engine'!CY59+'_Engine'!CZ59=0,"·",IF('_Engine'!CY59='_Engine'!CZ59,INDEX(Settings!$G$7:$G$11,MOD('_Engine'!CY59,10))&amp;IF('_Engine'!CY59&gt;10,"?",""),IF('_Engine'!CY59=0,INDEX(Settings!$G$7:$G$11,MOD('_Engine'!CZ59,10))&amp;IF('_Engine'!CZ59&gt;10,"?","")&amp;" PM",IF('_Engine'!CZ59=0,INDEX(Settings!$G$7:$G$11,MOD('_Engine'!CY59,10))&amp;IF('_Engine'!CY59&gt;10,"?","")&amp;" AM",INDEX(Settings!$G$7:$G$11,MOD('_Engine'!CY59,10))&amp;IF('_Engine'!CY59&gt;10,"?","")&amp;" AM"&amp;CHAR(10)&amp;INDEX(Settings!$G$7:$G$11,MOD('_Engine'!CZ59,10))&amp;IF('_Engine'!CZ59&gt;10,"?","")&amp;" PM"))))))))</ns0:f>
        <ns0:v/>
      </ns0:c>
      <ns0:c r="AC59" s="164" t="str">
        <ns0:f>IF(OR($A59="",AC$11=""),"",IF(OR('_Engine'!$B$6&gt;0,INDEX('_Engine'!$AM$11:$AM$60,'_Engine'!$AO59)&lt;&gt;"OK"),"!",IF(INDEX(Team!$H$11:$N$60,'_Engine'!$AO59,WEEKDAY(AC$11,2))&lt;&gt;"Work","—",IF(COUNTIF(Settings!$F$18:$F$67,AC$11)&gt;0,"BH",IF('_Engine'!DA59+'_Engine'!DB59=0,"·",IF('_Engine'!DA59='_Engine'!DB59,INDEX(Settings!$G$7:$G$11,MOD('_Engine'!DA59,10))&amp;IF('_Engine'!DA59&gt;10,"?",""),IF('_Engine'!DA59=0,INDEX(Settings!$G$7:$G$11,MOD('_Engine'!DB59,10))&amp;IF('_Engine'!DB59&gt;10,"?","")&amp;" PM",IF('_Engine'!DB59=0,INDEX(Settings!$G$7:$G$11,MOD('_Engine'!DA59,10))&amp;IF('_Engine'!DA59&gt;10,"?","")&amp;" AM",INDEX(Settings!$G$7:$G$11,MOD('_Engine'!DA59,10))&amp;IF('_Engine'!DA59&gt;10,"?","")&amp;" AM"&amp;CHAR(10)&amp;INDEX(Settings!$G$7:$G$11,MOD('_Engine'!DB59,10))&amp;IF('_Engine'!DB59&gt;10,"?","")&amp;" PM"))))))))</ns0:f>
        <ns0:v/>
      </ns0:c>
      <ns0:c r="AD59" s="164" t="str">
        <ns0:f>IF(OR($A59="",AD$11=""),"",IF(OR('_Engine'!$B$6&gt;0,INDEX('_Engine'!$AM$11:$AM$60,'_Engine'!$AO59)&lt;&gt;"OK"),"!",IF(INDEX(Team!$H$11:$N$60,'_Engine'!$AO59,WEEKDAY(AD$11,2))&lt;&gt;"Work","—",IF(COUNTIF(Settings!$F$18:$F$67,AD$11)&gt;0,"BH",IF('_Engine'!DC59+'_Engine'!DD59=0,"·",IF('_Engine'!DC59='_Engine'!DD59,INDEX(Settings!$G$7:$G$11,MOD('_Engine'!DC59,10))&amp;IF('_Engine'!DC59&gt;10,"?",""),IF('_Engine'!DC59=0,INDEX(Settings!$G$7:$G$11,MOD('_Engine'!DD59,10))&amp;IF('_Engine'!DD59&gt;10,"?","")&amp;" PM",IF('_Engine'!DD59=0,INDEX(Settings!$G$7:$G$11,MOD('_Engine'!DC59,10))&amp;IF('_Engine'!DC59&gt;10,"?","")&amp;" AM",INDEX(Settings!$G$7:$G$11,MOD('_Engine'!DC59,10))&amp;IF('_Engine'!DC59&gt;10,"?","")&amp;" AM"&amp;CHAR(10)&amp;INDEX(Settings!$G$7:$G$11,MOD('_Engine'!DD59,10))&amp;IF('_Engine'!DD59&gt;10,"?","")&amp;" PM"))))))))</ns0:f>
        <ns0:v/>
      </ns0:c>
      <ns0:c r="AE59" s="164" t="str">
        <ns0:f>IF(OR($A59="",AE$11=""),"",IF(OR('_Engine'!$B$6&gt;0,INDEX('_Engine'!$AM$11:$AM$60,'_Engine'!$AO59)&lt;&gt;"OK"),"!",IF(INDEX(Team!$H$11:$N$60,'_Engine'!$AO59,WEEKDAY(AE$11,2))&lt;&gt;"Work","—",IF(COUNTIF(Settings!$F$18:$F$67,AE$11)&gt;0,"BH",IF('_Engine'!DE59+'_Engine'!DF59=0,"·",IF('_Engine'!DE59='_Engine'!DF59,INDEX(Settings!$G$7:$G$11,MOD('_Engine'!DE59,10))&amp;IF('_Engine'!DE59&gt;10,"?",""),IF('_Engine'!DE59=0,INDEX(Settings!$G$7:$G$11,MOD('_Engine'!DF59,10))&amp;IF('_Engine'!DF59&gt;10,"?","")&amp;" PM",IF('_Engine'!DF59=0,INDEX(Settings!$G$7:$G$11,MOD('_Engine'!DE59,10))&amp;IF('_Engine'!DE59&gt;10,"?","")&amp;" AM",INDEX(Settings!$G$7:$G$11,MOD('_Engine'!DE59,10))&amp;IF('_Engine'!DE59&gt;10,"?","")&amp;" AM"&amp;CHAR(10)&amp;INDEX(Settings!$G$7:$G$11,MOD('_Engine'!DF59,10))&amp;IF('_Engine'!DF59&gt;10,"?","")&amp;" PM"))))))))</ns0:f>
        <ns0:v/>
      </ns0:c>
      <ns0:c r="AF59" s="164" t="str">
        <ns0:f>IF(OR($A59="",AF$11=""),"",IF(OR('_Engine'!$B$6&gt;0,INDEX('_Engine'!$AM$11:$AM$60,'_Engine'!$AO59)&lt;&gt;"OK"),"!",IF(INDEX(Team!$H$11:$N$60,'_Engine'!$AO59,WEEKDAY(AF$11,2))&lt;&gt;"Work","—",IF(COUNTIF(Settings!$F$18:$F$67,AF$11)&gt;0,"BH",IF('_Engine'!DG59+'_Engine'!DH59=0,"·",IF('_Engine'!DG59='_Engine'!DH59,INDEX(Settings!$G$7:$G$11,MOD('_Engine'!DG59,10))&amp;IF('_Engine'!DG59&gt;10,"?",""),IF('_Engine'!DG59=0,INDEX(Settings!$G$7:$G$11,MOD('_Engine'!DH59,10))&amp;IF('_Engine'!DH59&gt;10,"?","")&amp;" PM",IF('_Engine'!DH59=0,INDEX(Settings!$G$7:$G$11,MOD('_Engine'!DG59,10))&amp;IF('_Engine'!DG59&gt;10,"?","")&amp;" AM",INDEX(Settings!$G$7:$G$11,MOD('_Engine'!DG59,10))&amp;IF('_Engine'!DG59&gt;10,"?","")&amp;" AM"&amp;CHAR(10)&amp;INDEX(Settings!$G$7:$G$11,MOD('_Engine'!DH59,10))&amp;IF('_Engine'!DH59&gt;10,"?","")&amp;" PM"))))))))</ns0:f>
        <ns0:v/>
      </ns0:c>
      <ns0:c r="AG59" s="164" t="str">
        <ns0:f>IF(OR($A59="",AG$11=""),"",IF(OR('_Engine'!$B$6&gt;0,INDEX('_Engine'!$AM$11:$AM$60,'_Engine'!$AO59)&lt;&gt;"OK"),"!",IF(INDEX(Team!$H$11:$N$60,'_Engine'!$AO59,WEEKDAY(AG$11,2))&lt;&gt;"Work","—",IF(COUNTIF(Settings!$F$18:$F$67,AG$11)&gt;0,"BH",IF('_Engine'!DI59+'_Engine'!DJ59=0,"·",IF('_Engine'!DI59='_Engine'!DJ59,INDEX(Settings!$G$7:$G$11,MOD('_Engine'!DI59,10))&amp;IF('_Engine'!DI59&gt;10,"?",""),IF('_Engine'!DI59=0,INDEX(Settings!$G$7:$G$11,MOD('_Engine'!DJ59,10))&amp;IF('_Engine'!DJ59&gt;10,"?","")&amp;" PM",IF('_Engine'!DJ59=0,INDEX(Settings!$G$7:$G$11,MOD('_Engine'!DI59,10))&amp;IF('_Engine'!DI59&gt;10,"?","")&amp;" AM",INDEX(Settings!$G$7:$G$11,MOD('_Engine'!DI59,10))&amp;IF('_Engine'!DI59&gt;10,"?","")&amp;" AM"&amp;CHAR(10)&amp;INDEX(Settings!$G$7:$G$11,MOD('_Engine'!DJ59,10))&amp;IF('_Engine'!DJ59&gt;10,"?","")&amp;" PM"))))))))</ns0:f>
        <ns0:v/>
      </ns0:c>
      <ns0:c r="AH59" s="164" t="str">
        <ns0:f>IF(OR($A59="",AH$11=""),"",IF(OR('_Engine'!$B$6&gt;0,INDEX('_Engine'!$AM$11:$AM$60,'_Engine'!$AO59)&lt;&gt;"OK"),"!",IF(INDEX(Team!$H$11:$N$60,'_Engine'!$AO59,WEEKDAY(AH$11,2))&lt;&gt;"Work","—",IF(COUNTIF(Settings!$F$18:$F$67,AH$11)&gt;0,"BH",IF('_Engine'!DK59+'_Engine'!DL59=0,"·",IF('_Engine'!DK59='_Engine'!DL59,INDEX(Settings!$G$7:$G$11,MOD('_Engine'!DK59,10))&amp;IF('_Engine'!DK59&gt;10,"?",""),IF('_Engine'!DK59=0,INDEX(Settings!$G$7:$G$11,MOD('_Engine'!DL59,10))&amp;IF('_Engine'!DL59&gt;10,"?","")&amp;" PM",IF('_Engine'!DL59=0,INDEX(Settings!$G$7:$G$11,MOD('_Engine'!DK59,10))&amp;IF('_Engine'!DK59&gt;10,"?","")&amp;" AM",INDEX(Settings!$G$7:$G$11,MOD('_Engine'!DK59,10))&amp;IF('_Engine'!DK59&gt;10,"?","")&amp;" AM"&amp;CHAR(10)&amp;INDEX(Settings!$G$7:$G$11,MOD('_Engine'!DL59,10))&amp;IF('_Engine'!DL59&gt;10,"?","")&amp;" PM"))))))))</ns0:f>
        <ns0:v/>
      </ns0:c>
    </ns0:row>
    <ns0:row r="60" ht="38" customHeight="1">
      <ns0:c r="A60" s="4" t="str">
        <ns0:f>IF('_Engine'!AO60=0,"",IF(INDEX(Team!$B$11:$B$60,'_Engine'!AO60)="","[Unnamed]",INDEX(Team!$B$11:$B$60,'_Engine'!AO60)))</ns0:f>
        <ns0:v/>
      </ns0:c>
      <ns0:c r="B60" s="156" t="str">
        <ns0:f>IF('_Engine'!AO60=0,"",INDEX('_Engine'!$AN$11:$AN$60,'_Engine'!AO60))</ns0:f>
        <ns0:v/>
      </ns0:c>
      <ns0:c r="C60" s="4" t="str">
        <ns0:f>IF('_Engine'!AO60=0,"",INDEX(Team!$C$11:$C$60,'_Engine'!AO60))</ns0:f>
        <ns0:v/>
      </ns0:c>
      <ns0:c r="D60" s="162" t="str">
        <ns0:f>IF(OR($A60="",D$11=""),"",IF(OR('_Engine'!$B$6&gt;0,INDEX('_Engine'!$AM$11:$AM$60,'_Engine'!$AO60)&lt;&gt;"OK"),"!",IF(INDEX(Team!$H$11:$N$60,'_Engine'!$AO60,WEEKDAY(D$11,2))&lt;&gt;"Work","—",IF(COUNTIF(Settings!$F$18:$F$67,D$11)&gt;0,"BH",IF('_Engine'!BC60+'_Engine'!BD60=0,"·",IF('_Engine'!BC60='_Engine'!BD60,INDEX(Settings!$G$7:$G$11,MOD('_Engine'!BC60,10))&amp;IF('_Engine'!BC60&gt;10,"?",""),IF('_Engine'!BC60=0,INDEX(Settings!$G$7:$G$11,MOD('_Engine'!BD60,10))&amp;IF('_Engine'!BD60&gt;10,"?","")&amp;" PM",IF('_Engine'!BD60=0,INDEX(Settings!$G$7:$G$11,MOD('_Engine'!BC60,10))&amp;IF('_Engine'!BC60&gt;10,"?","")&amp;" AM",INDEX(Settings!$G$7:$G$11,MOD('_Engine'!BC60,10))&amp;IF('_Engine'!BC60&gt;10,"?","")&amp;" AM"&amp;CHAR(10)&amp;INDEX(Settings!$G$7:$G$11,MOD('_Engine'!BD60,10))&amp;IF('_Engine'!BD60&gt;10,"?","")&amp;" PM"))))))))</ns0:f>
        <ns0:v/>
      </ns0:c>
      <ns0:c r="E60" s="162" t="str">
        <ns0:f>IF(OR($A60="",E$11=""),"",IF(OR('_Engine'!$B$6&gt;0,INDEX('_Engine'!$AM$11:$AM$60,'_Engine'!$AO60)&lt;&gt;"OK"),"!",IF(INDEX(Team!$H$11:$N$60,'_Engine'!$AO60,WEEKDAY(E$11,2))&lt;&gt;"Work","—",IF(COUNTIF(Settings!$F$18:$F$67,E$11)&gt;0,"BH",IF('_Engine'!BE60+'_Engine'!BF60=0,"·",IF('_Engine'!BE60='_Engine'!BF60,INDEX(Settings!$G$7:$G$11,MOD('_Engine'!BE60,10))&amp;IF('_Engine'!BE60&gt;10,"?",""),IF('_Engine'!BE60=0,INDEX(Settings!$G$7:$G$11,MOD('_Engine'!BF60,10))&amp;IF('_Engine'!BF60&gt;10,"?","")&amp;" PM",IF('_Engine'!BF60=0,INDEX(Settings!$G$7:$G$11,MOD('_Engine'!BE60,10))&amp;IF('_Engine'!BE60&gt;10,"?","")&amp;" AM",INDEX(Settings!$G$7:$G$11,MOD('_Engine'!BE60,10))&amp;IF('_Engine'!BE60&gt;10,"?","")&amp;" AM"&amp;CHAR(10)&amp;INDEX(Settings!$G$7:$G$11,MOD('_Engine'!BF60,10))&amp;IF('_Engine'!BF60&gt;10,"?","")&amp;" PM"))))))))</ns0:f>
        <ns0:v/>
      </ns0:c>
      <ns0:c r="F60" s="162" t="str">
        <ns0:f>IF(OR($A60="",F$11=""),"",IF(OR('_Engine'!$B$6&gt;0,INDEX('_Engine'!$AM$11:$AM$60,'_Engine'!$AO60)&lt;&gt;"OK"),"!",IF(INDEX(Team!$H$11:$N$60,'_Engine'!$AO60,WEEKDAY(F$11,2))&lt;&gt;"Work","—",IF(COUNTIF(Settings!$F$18:$F$67,F$11)&gt;0,"BH",IF('_Engine'!BG60+'_Engine'!BH60=0,"·",IF('_Engine'!BG60='_Engine'!BH60,INDEX(Settings!$G$7:$G$11,MOD('_Engine'!BG60,10))&amp;IF('_Engine'!BG60&gt;10,"?",""),IF('_Engine'!BG60=0,INDEX(Settings!$G$7:$G$11,MOD('_Engine'!BH60,10))&amp;IF('_Engine'!BH60&gt;10,"?","")&amp;" PM",IF('_Engine'!BH60=0,INDEX(Settings!$G$7:$G$11,MOD('_Engine'!BG60,10))&amp;IF('_Engine'!BG60&gt;10,"?","")&amp;" AM",INDEX(Settings!$G$7:$G$11,MOD('_Engine'!BG60,10))&amp;IF('_Engine'!BG60&gt;10,"?","")&amp;" AM"&amp;CHAR(10)&amp;INDEX(Settings!$G$7:$G$11,MOD('_Engine'!BH60,10))&amp;IF('_Engine'!BH60&gt;10,"?","")&amp;" PM"))))))))</ns0:f>
        <ns0:v/>
      </ns0:c>
      <ns0:c r="G60" s="162" t="str">
        <ns0:f>IF(OR($A60="",G$11=""),"",IF(OR('_Engine'!$B$6&gt;0,INDEX('_Engine'!$AM$11:$AM$60,'_Engine'!$AO60)&lt;&gt;"OK"),"!",IF(INDEX(Team!$H$11:$N$60,'_Engine'!$AO60,WEEKDAY(G$11,2))&lt;&gt;"Work","—",IF(COUNTIF(Settings!$F$18:$F$67,G$11)&gt;0,"BH",IF('_Engine'!BI60+'_Engine'!BJ60=0,"·",IF('_Engine'!BI60='_Engine'!BJ60,INDEX(Settings!$G$7:$G$11,MOD('_Engine'!BI60,10))&amp;IF('_Engine'!BI60&gt;10,"?",""),IF('_Engine'!BI60=0,INDEX(Settings!$G$7:$G$11,MOD('_Engine'!BJ60,10))&amp;IF('_Engine'!BJ60&gt;10,"?","")&amp;" PM",IF('_Engine'!BJ60=0,INDEX(Settings!$G$7:$G$11,MOD('_Engine'!BI60,10))&amp;IF('_Engine'!BI60&gt;10,"?","")&amp;" AM",INDEX(Settings!$G$7:$G$11,MOD('_Engine'!BI60,10))&amp;IF('_Engine'!BI60&gt;10,"?","")&amp;" AM"&amp;CHAR(10)&amp;INDEX(Settings!$G$7:$G$11,MOD('_Engine'!BJ60,10))&amp;IF('_Engine'!BJ60&gt;10,"?","")&amp;" PM"))))))))</ns0:f>
        <ns0:v/>
      </ns0:c>
      <ns0:c r="H60" s="162" t="str">
        <ns0:f>IF(OR($A60="",H$11=""),"",IF(OR('_Engine'!$B$6&gt;0,INDEX('_Engine'!$AM$11:$AM$60,'_Engine'!$AO60)&lt;&gt;"OK"),"!",IF(INDEX(Team!$H$11:$N$60,'_Engine'!$AO60,WEEKDAY(H$11,2))&lt;&gt;"Work","—",IF(COUNTIF(Settings!$F$18:$F$67,H$11)&gt;0,"BH",IF('_Engine'!BK60+'_Engine'!BL60=0,"·",IF('_Engine'!BK60='_Engine'!BL60,INDEX(Settings!$G$7:$G$11,MOD('_Engine'!BK60,10))&amp;IF('_Engine'!BK60&gt;10,"?",""),IF('_Engine'!BK60=0,INDEX(Settings!$G$7:$G$11,MOD('_Engine'!BL60,10))&amp;IF('_Engine'!BL60&gt;10,"?","")&amp;" PM",IF('_Engine'!BL60=0,INDEX(Settings!$G$7:$G$11,MOD('_Engine'!BK60,10))&amp;IF('_Engine'!BK60&gt;10,"?","")&amp;" AM",INDEX(Settings!$G$7:$G$11,MOD('_Engine'!BK60,10))&amp;IF('_Engine'!BK60&gt;10,"?","")&amp;" AM"&amp;CHAR(10)&amp;INDEX(Settings!$G$7:$G$11,MOD('_Engine'!BL60,10))&amp;IF('_Engine'!BL60&gt;10,"?","")&amp;" PM"))))))))</ns0:f>
        <ns0:v/>
      </ns0:c>
      <ns0:c r="I60" s="162" t="str">
        <ns0:f>IF(OR($A60="",I$11=""),"",IF(OR('_Engine'!$B$6&gt;0,INDEX('_Engine'!$AM$11:$AM$60,'_Engine'!$AO60)&lt;&gt;"OK"),"!",IF(INDEX(Team!$H$11:$N$60,'_Engine'!$AO60,WEEKDAY(I$11,2))&lt;&gt;"Work","—",IF(COUNTIF(Settings!$F$18:$F$67,I$11)&gt;0,"BH",IF('_Engine'!BM60+'_Engine'!BN60=0,"·",IF('_Engine'!BM60='_Engine'!BN60,INDEX(Settings!$G$7:$G$11,MOD('_Engine'!BM60,10))&amp;IF('_Engine'!BM60&gt;10,"?",""),IF('_Engine'!BM60=0,INDEX(Settings!$G$7:$G$11,MOD('_Engine'!BN60,10))&amp;IF('_Engine'!BN60&gt;10,"?","")&amp;" PM",IF('_Engine'!BN60=0,INDEX(Settings!$G$7:$G$11,MOD('_Engine'!BM60,10))&amp;IF('_Engine'!BM60&gt;10,"?","")&amp;" AM",INDEX(Settings!$G$7:$G$11,MOD('_Engine'!BM60,10))&amp;IF('_Engine'!BM60&gt;10,"?","")&amp;" AM"&amp;CHAR(10)&amp;INDEX(Settings!$G$7:$G$11,MOD('_Engine'!BN60,10))&amp;IF('_Engine'!BN60&gt;10,"?","")&amp;" PM"))))))))</ns0:f>
        <ns0:v/>
      </ns0:c>
      <ns0:c r="J60" s="162" t="str">
        <ns0:f>IF(OR($A60="",J$11=""),"",IF(OR('_Engine'!$B$6&gt;0,INDEX('_Engine'!$AM$11:$AM$60,'_Engine'!$AO60)&lt;&gt;"OK"),"!",IF(INDEX(Team!$H$11:$N$60,'_Engine'!$AO60,WEEKDAY(J$11,2))&lt;&gt;"Work","—",IF(COUNTIF(Settings!$F$18:$F$67,J$11)&gt;0,"BH",IF('_Engine'!BO60+'_Engine'!BP60=0,"·",IF('_Engine'!BO60='_Engine'!BP60,INDEX(Settings!$G$7:$G$11,MOD('_Engine'!BO60,10))&amp;IF('_Engine'!BO60&gt;10,"?",""),IF('_Engine'!BO60=0,INDEX(Settings!$G$7:$G$11,MOD('_Engine'!BP60,10))&amp;IF('_Engine'!BP60&gt;10,"?","")&amp;" PM",IF('_Engine'!BP60=0,INDEX(Settings!$G$7:$G$11,MOD('_Engine'!BO60,10))&amp;IF('_Engine'!BO60&gt;10,"?","")&amp;" AM",INDEX(Settings!$G$7:$G$11,MOD('_Engine'!BO60,10))&amp;IF('_Engine'!BO60&gt;10,"?","")&amp;" AM"&amp;CHAR(10)&amp;INDEX(Settings!$G$7:$G$11,MOD('_Engine'!BP60,10))&amp;IF('_Engine'!BP60&gt;10,"?","")&amp;" PM"))))))))</ns0:f>
        <ns0:v/>
      </ns0:c>
      <ns0:c r="K60" s="164" t="str">
        <ns0:f>IF(OR($A60="",K$11=""),"",IF(OR('_Engine'!$B$6&gt;0,INDEX('_Engine'!$AM$11:$AM$60,'_Engine'!$AO60)&lt;&gt;"OK"),"!",IF(INDEX(Team!$H$11:$N$60,'_Engine'!$AO60,WEEKDAY(K$11,2))&lt;&gt;"Work","—",IF(COUNTIF(Settings!$F$18:$F$67,K$11)&gt;0,"BH",IF('_Engine'!BQ60+'_Engine'!BR60=0,"·",IF('_Engine'!BQ60='_Engine'!BR60,INDEX(Settings!$G$7:$G$11,MOD('_Engine'!BQ60,10))&amp;IF('_Engine'!BQ60&gt;10,"?",""),IF('_Engine'!BQ60=0,INDEX(Settings!$G$7:$G$11,MOD('_Engine'!BR60,10))&amp;IF('_Engine'!BR60&gt;10,"?","")&amp;" PM",IF('_Engine'!BR60=0,INDEX(Settings!$G$7:$G$11,MOD('_Engine'!BQ60,10))&amp;IF('_Engine'!BQ60&gt;10,"?","")&amp;" AM",INDEX(Settings!$G$7:$G$11,MOD('_Engine'!BQ60,10))&amp;IF('_Engine'!BQ60&gt;10,"?","")&amp;" AM"&amp;CHAR(10)&amp;INDEX(Settings!$G$7:$G$11,MOD('_Engine'!BR60,10))&amp;IF('_Engine'!BR60&gt;10,"?","")&amp;" PM"))))))))</ns0:f>
        <ns0:v/>
      </ns0:c>
      <ns0:c r="L60" s="164" t="str">
        <ns0:f>IF(OR($A60="",L$11=""),"",IF(OR('_Engine'!$B$6&gt;0,INDEX('_Engine'!$AM$11:$AM$60,'_Engine'!$AO60)&lt;&gt;"OK"),"!",IF(INDEX(Team!$H$11:$N$60,'_Engine'!$AO60,WEEKDAY(L$11,2))&lt;&gt;"Work","—",IF(COUNTIF(Settings!$F$18:$F$67,L$11)&gt;0,"BH",IF('_Engine'!BS60+'_Engine'!BT60=0,"·",IF('_Engine'!BS60='_Engine'!BT60,INDEX(Settings!$G$7:$G$11,MOD('_Engine'!BS60,10))&amp;IF('_Engine'!BS60&gt;10,"?",""),IF('_Engine'!BS60=0,INDEX(Settings!$G$7:$G$11,MOD('_Engine'!BT60,10))&amp;IF('_Engine'!BT60&gt;10,"?","")&amp;" PM",IF('_Engine'!BT60=0,INDEX(Settings!$G$7:$G$11,MOD('_Engine'!BS60,10))&amp;IF('_Engine'!BS60&gt;10,"?","")&amp;" AM",INDEX(Settings!$G$7:$G$11,MOD('_Engine'!BS60,10))&amp;IF('_Engine'!BS60&gt;10,"?","")&amp;" AM"&amp;CHAR(10)&amp;INDEX(Settings!$G$7:$G$11,MOD('_Engine'!BT60,10))&amp;IF('_Engine'!BT60&gt;10,"?","")&amp;" PM"))))))))</ns0:f>
        <ns0:v/>
      </ns0:c>
      <ns0:c r="M60" s="164" t="str">
        <ns0:f>IF(OR($A60="",M$11=""),"",IF(OR('_Engine'!$B$6&gt;0,INDEX('_Engine'!$AM$11:$AM$60,'_Engine'!$AO60)&lt;&gt;"OK"),"!",IF(INDEX(Team!$H$11:$N$60,'_Engine'!$AO60,WEEKDAY(M$11,2))&lt;&gt;"Work","—",IF(COUNTIF(Settings!$F$18:$F$67,M$11)&gt;0,"BH",IF('_Engine'!BU60+'_Engine'!BV60=0,"·",IF('_Engine'!BU60='_Engine'!BV60,INDEX(Settings!$G$7:$G$11,MOD('_Engine'!BU60,10))&amp;IF('_Engine'!BU60&gt;10,"?",""),IF('_Engine'!BU60=0,INDEX(Settings!$G$7:$G$11,MOD('_Engine'!BV60,10))&amp;IF('_Engine'!BV60&gt;10,"?","")&amp;" PM",IF('_Engine'!BV60=0,INDEX(Settings!$G$7:$G$11,MOD('_Engine'!BU60,10))&amp;IF('_Engine'!BU60&gt;10,"?","")&amp;" AM",INDEX(Settings!$G$7:$G$11,MOD('_Engine'!BU60,10))&amp;IF('_Engine'!BU60&gt;10,"?","")&amp;" AM"&amp;CHAR(10)&amp;INDEX(Settings!$G$7:$G$11,MOD('_Engine'!BV60,10))&amp;IF('_Engine'!BV60&gt;10,"?","")&amp;" PM"))))))))</ns0:f>
        <ns0:v/>
      </ns0:c>
      <ns0:c r="N60" s="164" t="str">
        <ns0:f>IF(OR($A60="",N$11=""),"",IF(OR('_Engine'!$B$6&gt;0,INDEX('_Engine'!$AM$11:$AM$60,'_Engine'!$AO60)&lt;&gt;"OK"),"!",IF(INDEX(Team!$H$11:$N$60,'_Engine'!$AO60,WEEKDAY(N$11,2))&lt;&gt;"Work","—",IF(COUNTIF(Settings!$F$18:$F$67,N$11)&gt;0,"BH",IF('_Engine'!BW60+'_Engine'!BX60=0,"·",IF('_Engine'!BW60='_Engine'!BX60,INDEX(Settings!$G$7:$G$11,MOD('_Engine'!BW60,10))&amp;IF('_Engine'!BW60&gt;10,"?",""),IF('_Engine'!BW60=0,INDEX(Settings!$G$7:$G$11,MOD('_Engine'!BX60,10))&amp;IF('_Engine'!BX60&gt;10,"?","")&amp;" PM",IF('_Engine'!BX60=0,INDEX(Settings!$G$7:$G$11,MOD('_Engine'!BW60,10))&amp;IF('_Engine'!BW60&gt;10,"?","")&amp;" AM",INDEX(Settings!$G$7:$G$11,MOD('_Engine'!BW60,10))&amp;IF('_Engine'!BW60&gt;10,"?","")&amp;" AM"&amp;CHAR(10)&amp;INDEX(Settings!$G$7:$G$11,MOD('_Engine'!BX60,10))&amp;IF('_Engine'!BX60&gt;10,"?","")&amp;" PM"))))))))</ns0:f>
        <ns0:v/>
      </ns0:c>
      <ns0:c r="O60" s="164" t="str">
        <ns0:f>IF(OR($A60="",O$11=""),"",IF(OR('_Engine'!$B$6&gt;0,INDEX('_Engine'!$AM$11:$AM$60,'_Engine'!$AO60)&lt;&gt;"OK"),"!",IF(INDEX(Team!$H$11:$N$60,'_Engine'!$AO60,WEEKDAY(O$11,2))&lt;&gt;"Work","—",IF(COUNTIF(Settings!$F$18:$F$67,O$11)&gt;0,"BH",IF('_Engine'!BY60+'_Engine'!BZ60=0,"·",IF('_Engine'!BY60='_Engine'!BZ60,INDEX(Settings!$G$7:$G$11,MOD('_Engine'!BY60,10))&amp;IF('_Engine'!BY60&gt;10,"?",""),IF('_Engine'!BY60=0,INDEX(Settings!$G$7:$G$11,MOD('_Engine'!BZ60,10))&amp;IF('_Engine'!BZ60&gt;10,"?","")&amp;" PM",IF('_Engine'!BZ60=0,INDEX(Settings!$G$7:$G$11,MOD('_Engine'!BY60,10))&amp;IF('_Engine'!BY60&gt;10,"?","")&amp;" AM",INDEX(Settings!$G$7:$G$11,MOD('_Engine'!BY60,10))&amp;IF('_Engine'!BY60&gt;10,"?","")&amp;" AM"&amp;CHAR(10)&amp;INDEX(Settings!$G$7:$G$11,MOD('_Engine'!BZ60,10))&amp;IF('_Engine'!BZ60&gt;10,"?","")&amp;" PM"))))))))</ns0:f>
        <ns0:v/>
      </ns0:c>
      <ns0:c r="P60" s="164" t="str">
        <ns0:f>IF(OR($A60="",P$11=""),"",IF(OR('_Engine'!$B$6&gt;0,INDEX('_Engine'!$AM$11:$AM$60,'_Engine'!$AO60)&lt;&gt;"OK"),"!",IF(INDEX(Team!$H$11:$N$60,'_Engine'!$AO60,WEEKDAY(P$11,2))&lt;&gt;"Work","—",IF(COUNTIF(Settings!$F$18:$F$67,P$11)&gt;0,"BH",IF('_Engine'!CA60+'_Engine'!CB60=0,"·",IF('_Engine'!CA60='_Engine'!CB60,INDEX(Settings!$G$7:$G$11,MOD('_Engine'!CA60,10))&amp;IF('_Engine'!CA60&gt;10,"?",""),IF('_Engine'!CA60=0,INDEX(Settings!$G$7:$G$11,MOD('_Engine'!CB60,10))&amp;IF('_Engine'!CB60&gt;10,"?","")&amp;" PM",IF('_Engine'!CB60=0,INDEX(Settings!$G$7:$G$11,MOD('_Engine'!CA60,10))&amp;IF('_Engine'!CA60&gt;10,"?","")&amp;" AM",INDEX(Settings!$G$7:$G$11,MOD('_Engine'!CA60,10))&amp;IF('_Engine'!CA60&gt;10,"?","")&amp;" AM"&amp;CHAR(10)&amp;INDEX(Settings!$G$7:$G$11,MOD('_Engine'!CB60,10))&amp;IF('_Engine'!CB60&gt;10,"?","")&amp;" PM"))))))))</ns0:f>
        <ns0:v/>
      </ns0:c>
      <ns0:c r="Q60" s="164" t="str">
        <ns0:f>IF(OR($A60="",Q$11=""),"",IF(OR('_Engine'!$B$6&gt;0,INDEX('_Engine'!$AM$11:$AM$60,'_Engine'!$AO60)&lt;&gt;"OK"),"!",IF(INDEX(Team!$H$11:$N$60,'_Engine'!$AO60,WEEKDAY(Q$11,2))&lt;&gt;"Work","—",IF(COUNTIF(Settings!$F$18:$F$67,Q$11)&gt;0,"BH",IF('_Engine'!CC60+'_Engine'!CD60=0,"·",IF('_Engine'!CC60='_Engine'!CD60,INDEX(Settings!$G$7:$G$11,MOD('_Engine'!CC60,10))&amp;IF('_Engine'!CC60&gt;10,"?",""),IF('_Engine'!CC60=0,INDEX(Settings!$G$7:$G$11,MOD('_Engine'!CD60,10))&amp;IF('_Engine'!CD60&gt;10,"?","")&amp;" PM",IF('_Engine'!CD60=0,INDEX(Settings!$G$7:$G$11,MOD('_Engine'!CC60,10))&amp;IF('_Engine'!CC60&gt;10,"?","")&amp;" AM",INDEX(Settings!$G$7:$G$11,MOD('_Engine'!CC60,10))&amp;IF('_Engine'!CC60&gt;10,"?","")&amp;" AM"&amp;CHAR(10)&amp;INDEX(Settings!$G$7:$G$11,MOD('_Engine'!CD60,10))&amp;IF('_Engine'!CD60&gt;10,"?","")&amp;" PM"))))))))</ns0:f>
        <ns0:v/>
      </ns0:c>
      <ns0:c r="R60" s="164" t="str">
        <ns0:f>IF(OR($A60="",R$11=""),"",IF(OR('_Engine'!$B$6&gt;0,INDEX('_Engine'!$AM$11:$AM$60,'_Engine'!$AO60)&lt;&gt;"OK"),"!",IF(INDEX(Team!$H$11:$N$60,'_Engine'!$AO60,WEEKDAY(R$11,2))&lt;&gt;"Work","—",IF(COUNTIF(Settings!$F$18:$F$67,R$11)&gt;0,"BH",IF('_Engine'!CE60+'_Engine'!CF60=0,"·",IF('_Engine'!CE60='_Engine'!CF60,INDEX(Settings!$G$7:$G$11,MOD('_Engine'!CE60,10))&amp;IF('_Engine'!CE60&gt;10,"?",""),IF('_Engine'!CE60=0,INDEX(Settings!$G$7:$G$11,MOD('_Engine'!CF60,10))&amp;IF('_Engine'!CF60&gt;10,"?","")&amp;" PM",IF('_Engine'!CF60=0,INDEX(Settings!$G$7:$G$11,MOD('_Engine'!CE60,10))&amp;IF('_Engine'!CE60&gt;10,"?","")&amp;" AM",INDEX(Settings!$G$7:$G$11,MOD('_Engine'!CE60,10))&amp;IF('_Engine'!CE60&gt;10,"?","")&amp;" AM"&amp;CHAR(10)&amp;INDEX(Settings!$G$7:$G$11,MOD('_Engine'!CF60,10))&amp;IF('_Engine'!CF60&gt;10,"?","")&amp;" PM"))))))))</ns0:f>
        <ns0:v/>
      </ns0:c>
      <ns0:c r="S60" s="164" t="str">
        <ns0:f>IF(OR($A60="",S$11=""),"",IF(OR('_Engine'!$B$6&gt;0,INDEX('_Engine'!$AM$11:$AM$60,'_Engine'!$AO60)&lt;&gt;"OK"),"!",IF(INDEX(Team!$H$11:$N$60,'_Engine'!$AO60,WEEKDAY(S$11,2))&lt;&gt;"Work","—",IF(COUNTIF(Settings!$F$18:$F$67,S$11)&gt;0,"BH",IF('_Engine'!CG60+'_Engine'!CH60=0,"·",IF('_Engine'!CG60='_Engine'!CH60,INDEX(Settings!$G$7:$G$11,MOD('_Engine'!CG60,10))&amp;IF('_Engine'!CG60&gt;10,"?",""),IF('_Engine'!CG60=0,INDEX(Settings!$G$7:$G$11,MOD('_Engine'!CH60,10))&amp;IF('_Engine'!CH60&gt;10,"?","")&amp;" PM",IF('_Engine'!CH60=0,INDEX(Settings!$G$7:$G$11,MOD('_Engine'!CG60,10))&amp;IF('_Engine'!CG60&gt;10,"?","")&amp;" AM",INDEX(Settings!$G$7:$G$11,MOD('_Engine'!CG60,10))&amp;IF('_Engine'!CG60&gt;10,"?","")&amp;" AM"&amp;CHAR(10)&amp;INDEX(Settings!$G$7:$G$11,MOD('_Engine'!CH60,10))&amp;IF('_Engine'!CH60&gt;10,"?","")&amp;" PM"))))))))</ns0:f>
        <ns0:v/>
      </ns0:c>
      <ns0:c r="T60" s="164" t="str">
        <ns0:f>IF(OR($A60="",T$11=""),"",IF(OR('_Engine'!$B$6&gt;0,INDEX('_Engine'!$AM$11:$AM$60,'_Engine'!$AO60)&lt;&gt;"OK"),"!",IF(INDEX(Team!$H$11:$N$60,'_Engine'!$AO60,WEEKDAY(T$11,2))&lt;&gt;"Work","—",IF(COUNTIF(Settings!$F$18:$F$67,T$11)&gt;0,"BH",IF('_Engine'!CI60+'_Engine'!CJ60=0,"·",IF('_Engine'!CI60='_Engine'!CJ60,INDEX(Settings!$G$7:$G$11,MOD('_Engine'!CI60,10))&amp;IF('_Engine'!CI60&gt;10,"?",""),IF('_Engine'!CI60=0,INDEX(Settings!$G$7:$G$11,MOD('_Engine'!CJ60,10))&amp;IF('_Engine'!CJ60&gt;10,"?","")&amp;" PM",IF('_Engine'!CJ60=0,INDEX(Settings!$G$7:$G$11,MOD('_Engine'!CI60,10))&amp;IF('_Engine'!CI60&gt;10,"?","")&amp;" AM",INDEX(Settings!$G$7:$G$11,MOD('_Engine'!CI60,10))&amp;IF('_Engine'!CI60&gt;10,"?","")&amp;" AM"&amp;CHAR(10)&amp;INDEX(Settings!$G$7:$G$11,MOD('_Engine'!CJ60,10))&amp;IF('_Engine'!CJ60&gt;10,"?","")&amp;" PM"))))))))</ns0:f>
        <ns0:v/>
      </ns0:c>
      <ns0:c r="U60" s="164" t="str">
        <ns0:f>IF(OR($A60="",U$11=""),"",IF(OR('_Engine'!$B$6&gt;0,INDEX('_Engine'!$AM$11:$AM$60,'_Engine'!$AO60)&lt;&gt;"OK"),"!",IF(INDEX(Team!$H$11:$N$60,'_Engine'!$AO60,WEEKDAY(U$11,2))&lt;&gt;"Work","—",IF(COUNTIF(Settings!$F$18:$F$67,U$11)&gt;0,"BH",IF('_Engine'!CK60+'_Engine'!CL60=0,"·",IF('_Engine'!CK60='_Engine'!CL60,INDEX(Settings!$G$7:$G$11,MOD('_Engine'!CK60,10))&amp;IF('_Engine'!CK60&gt;10,"?",""),IF('_Engine'!CK60=0,INDEX(Settings!$G$7:$G$11,MOD('_Engine'!CL60,10))&amp;IF('_Engine'!CL60&gt;10,"?","")&amp;" PM",IF('_Engine'!CL60=0,INDEX(Settings!$G$7:$G$11,MOD('_Engine'!CK60,10))&amp;IF('_Engine'!CK60&gt;10,"?","")&amp;" AM",INDEX(Settings!$G$7:$G$11,MOD('_Engine'!CK60,10))&amp;IF('_Engine'!CK60&gt;10,"?","")&amp;" AM"&amp;CHAR(10)&amp;INDEX(Settings!$G$7:$G$11,MOD('_Engine'!CL60,10))&amp;IF('_Engine'!CL60&gt;10,"?","")&amp;" PM"))))))))</ns0:f>
        <ns0:v/>
      </ns0:c>
      <ns0:c r="V60" s="164" t="str">
        <ns0:f>IF(OR($A60="",V$11=""),"",IF(OR('_Engine'!$B$6&gt;0,INDEX('_Engine'!$AM$11:$AM$60,'_Engine'!$AO60)&lt;&gt;"OK"),"!",IF(INDEX(Team!$H$11:$N$60,'_Engine'!$AO60,WEEKDAY(V$11,2))&lt;&gt;"Work","—",IF(COUNTIF(Settings!$F$18:$F$67,V$11)&gt;0,"BH",IF('_Engine'!CM60+'_Engine'!CN60=0,"·",IF('_Engine'!CM60='_Engine'!CN60,INDEX(Settings!$G$7:$G$11,MOD('_Engine'!CM60,10))&amp;IF('_Engine'!CM60&gt;10,"?",""),IF('_Engine'!CM60=0,INDEX(Settings!$G$7:$G$11,MOD('_Engine'!CN60,10))&amp;IF('_Engine'!CN60&gt;10,"?","")&amp;" PM",IF('_Engine'!CN60=0,INDEX(Settings!$G$7:$G$11,MOD('_Engine'!CM60,10))&amp;IF('_Engine'!CM60&gt;10,"?","")&amp;" AM",INDEX(Settings!$G$7:$G$11,MOD('_Engine'!CM60,10))&amp;IF('_Engine'!CM60&gt;10,"?","")&amp;" AM"&amp;CHAR(10)&amp;INDEX(Settings!$G$7:$G$11,MOD('_Engine'!CN60,10))&amp;IF('_Engine'!CN60&gt;10,"?","")&amp;" PM"))))))))</ns0:f>
        <ns0:v/>
      </ns0:c>
      <ns0:c r="W60" s="164" t="str">
        <ns0:f>IF(OR($A60="",W$11=""),"",IF(OR('_Engine'!$B$6&gt;0,INDEX('_Engine'!$AM$11:$AM$60,'_Engine'!$AO60)&lt;&gt;"OK"),"!",IF(INDEX(Team!$H$11:$N$60,'_Engine'!$AO60,WEEKDAY(W$11,2))&lt;&gt;"Work","—",IF(COUNTIF(Settings!$F$18:$F$67,W$11)&gt;0,"BH",IF('_Engine'!CO60+'_Engine'!CP60=0,"·",IF('_Engine'!CO60='_Engine'!CP60,INDEX(Settings!$G$7:$G$11,MOD('_Engine'!CO60,10))&amp;IF('_Engine'!CO60&gt;10,"?",""),IF('_Engine'!CO60=0,INDEX(Settings!$G$7:$G$11,MOD('_Engine'!CP60,10))&amp;IF('_Engine'!CP60&gt;10,"?","")&amp;" PM",IF('_Engine'!CP60=0,INDEX(Settings!$G$7:$G$11,MOD('_Engine'!CO60,10))&amp;IF('_Engine'!CO60&gt;10,"?","")&amp;" AM",INDEX(Settings!$G$7:$G$11,MOD('_Engine'!CO60,10))&amp;IF('_Engine'!CO60&gt;10,"?","")&amp;" AM"&amp;CHAR(10)&amp;INDEX(Settings!$G$7:$G$11,MOD('_Engine'!CP60,10))&amp;IF('_Engine'!CP60&gt;10,"?","")&amp;" PM"))))))))</ns0:f>
        <ns0:v/>
      </ns0:c>
      <ns0:c r="X60" s="164" t="str">
        <ns0:f>IF(OR($A60="",X$11=""),"",IF(OR('_Engine'!$B$6&gt;0,INDEX('_Engine'!$AM$11:$AM$60,'_Engine'!$AO60)&lt;&gt;"OK"),"!",IF(INDEX(Team!$H$11:$N$60,'_Engine'!$AO60,WEEKDAY(X$11,2))&lt;&gt;"Work","—",IF(COUNTIF(Settings!$F$18:$F$67,X$11)&gt;0,"BH",IF('_Engine'!CQ60+'_Engine'!CR60=0,"·",IF('_Engine'!CQ60='_Engine'!CR60,INDEX(Settings!$G$7:$G$11,MOD('_Engine'!CQ60,10))&amp;IF('_Engine'!CQ60&gt;10,"?",""),IF('_Engine'!CQ60=0,INDEX(Settings!$G$7:$G$11,MOD('_Engine'!CR60,10))&amp;IF('_Engine'!CR60&gt;10,"?","")&amp;" PM",IF('_Engine'!CR60=0,INDEX(Settings!$G$7:$G$11,MOD('_Engine'!CQ60,10))&amp;IF('_Engine'!CQ60&gt;10,"?","")&amp;" AM",INDEX(Settings!$G$7:$G$11,MOD('_Engine'!CQ60,10))&amp;IF('_Engine'!CQ60&gt;10,"?","")&amp;" AM"&amp;CHAR(10)&amp;INDEX(Settings!$G$7:$G$11,MOD('_Engine'!CR60,10))&amp;IF('_Engine'!CR60&gt;10,"?","")&amp;" PM"))))))))</ns0:f>
        <ns0:v/>
      </ns0:c>
      <ns0:c r="Y60" s="164" t="str">
        <ns0:f>IF(OR($A60="",Y$11=""),"",IF(OR('_Engine'!$B$6&gt;0,INDEX('_Engine'!$AM$11:$AM$60,'_Engine'!$AO60)&lt;&gt;"OK"),"!",IF(INDEX(Team!$H$11:$N$60,'_Engine'!$AO60,WEEKDAY(Y$11,2))&lt;&gt;"Work","—",IF(COUNTIF(Settings!$F$18:$F$67,Y$11)&gt;0,"BH",IF('_Engine'!CS60+'_Engine'!CT60=0,"·",IF('_Engine'!CS60='_Engine'!CT60,INDEX(Settings!$G$7:$G$11,MOD('_Engine'!CS60,10))&amp;IF('_Engine'!CS60&gt;10,"?",""),IF('_Engine'!CS60=0,INDEX(Settings!$G$7:$G$11,MOD('_Engine'!CT60,10))&amp;IF('_Engine'!CT60&gt;10,"?","")&amp;" PM",IF('_Engine'!CT60=0,INDEX(Settings!$G$7:$G$11,MOD('_Engine'!CS60,10))&amp;IF('_Engine'!CS60&gt;10,"?","")&amp;" AM",INDEX(Settings!$G$7:$G$11,MOD('_Engine'!CS60,10))&amp;IF('_Engine'!CS60&gt;10,"?","")&amp;" AM"&amp;CHAR(10)&amp;INDEX(Settings!$G$7:$G$11,MOD('_Engine'!CT60,10))&amp;IF('_Engine'!CT60&gt;10,"?","")&amp;" PM"))))))))</ns0:f>
        <ns0:v/>
      </ns0:c>
      <ns0:c r="Z60" s="164" t="str">
        <ns0:f>IF(OR($A60="",Z$11=""),"",IF(OR('_Engine'!$B$6&gt;0,INDEX('_Engine'!$AM$11:$AM$60,'_Engine'!$AO60)&lt;&gt;"OK"),"!",IF(INDEX(Team!$H$11:$N$60,'_Engine'!$AO60,WEEKDAY(Z$11,2))&lt;&gt;"Work","—",IF(COUNTIF(Settings!$F$18:$F$67,Z$11)&gt;0,"BH",IF('_Engine'!CU60+'_Engine'!CV60=0,"·",IF('_Engine'!CU60='_Engine'!CV60,INDEX(Settings!$G$7:$G$11,MOD('_Engine'!CU60,10))&amp;IF('_Engine'!CU60&gt;10,"?",""),IF('_Engine'!CU60=0,INDEX(Settings!$G$7:$G$11,MOD('_Engine'!CV60,10))&amp;IF('_Engine'!CV60&gt;10,"?","")&amp;" PM",IF('_Engine'!CV60=0,INDEX(Settings!$G$7:$G$11,MOD('_Engine'!CU60,10))&amp;IF('_Engine'!CU60&gt;10,"?","")&amp;" AM",INDEX(Settings!$G$7:$G$11,MOD('_Engine'!CU60,10))&amp;IF('_Engine'!CU60&gt;10,"?","")&amp;" AM"&amp;CHAR(10)&amp;INDEX(Settings!$G$7:$G$11,MOD('_Engine'!CV60,10))&amp;IF('_Engine'!CV60&gt;10,"?","")&amp;" PM"))))))))</ns0:f>
        <ns0:v/>
      </ns0:c>
      <ns0:c r="AA60" s="164" t="str">
        <ns0:f>IF(OR($A60="",AA$11=""),"",IF(OR('_Engine'!$B$6&gt;0,INDEX('_Engine'!$AM$11:$AM$60,'_Engine'!$AO60)&lt;&gt;"OK"),"!",IF(INDEX(Team!$H$11:$N$60,'_Engine'!$AO60,WEEKDAY(AA$11,2))&lt;&gt;"Work","—",IF(COUNTIF(Settings!$F$18:$F$67,AA$11)&gt;0,"BH",IF('_Engine'!CW60+'_Engine'!CX60=0,"·",IF('_Engine'!CW60='_Engine'!CX60,INDEX(Settings!$G$7:$G$11,MOD('_Engine'!CW60,10))&amp;IF('_Engine'!CW60&gt;10,"?",""),IF('_Engine'!CW60=0,INDEX(Settings!$G$7:$G$11,MOD('_Engine'!CX60,10))&amp;IF('_Engine'!CX60&gt;10,"?","")&amp;" PM",IF('_Engine'!CX60=0,INDEX(Settings!$G$7:$G$11,MOD('_Engine'!CW60,10))&amp;IF('_Engine'!CW60&gt;10,"?","")&amp;" AM",INDEX(Settings!$G$7:$G$11,MOD('_Engine'!CW60,10))&amp;IF('_Engine'!CW60&gt;10,"?","")&amp;" AM"&amp;CHAR(10)&amp;INDEX(Settings!$G$7:$G$11,MOD('_Engine'!CX60,10))&amp;IF('_Engine'!CX60&gt;10,"?","")&amp;" PM"))))))))</ns0:f>
        <ns0:v/>
      </ns0:c>
      <ns0:c r="AB60" s="164" t="str">
        <ns0:f>IF(OR($A60="",AB$11=""),"",IF(OR('_Engine'!$B$6&gt;0,INDEX('_Engine'!$AM$11:$AM$60,'_Engine'!$AO60)&lt;&gt;"OK"),"!",IF(INDEX(Team!$H$11:$N$60,'_Engine'!$AO60,WEEKDAY(AB$11,2))&lt;&gt;"Work","—",IF(COUNTIF(Settings!$F$18:$F$67,AB$11)&gt;0,"BH",IF('_Engine'!CY60+'_Engine'!CZ60=0,"·",IF('_Engine'!CY60='_Engine'!CZ60,INDEX(Settings!$G$7:$G$11,MOD('_Engine'!CY60,10))&amp;IF('_Engine'!CY60&gt;10,"?",""),IF('_Engine'!CY60=0,INDEX(Settings!$G$7:$G$11,MOD('_Engine'!CZ60,10))&amp;IF('_Engine'!CZ60&gt;10,"?","")&amp;" PM",IF('_Engine'!CZ60=0,INDEX(Settings!$G$7:$G$11,MOD('_Engine'!CY60,10))&amp;IF('_Engine'!CY60&gt;10,"?","")&amp;" AM",INDEX(Settings!$G$7:$G$11,MOD('_Engine'!CY60,10))&amp;IF('_Engine'!CY60&gt;10,"?","")&amp;" AM"&amp;CHAR(10)&amp;INDEX(Settings!$G$7:$G$11,MOD('_Engine'!CZ60,10))&amp;IF('_Engine'!CZ60&gt;10,"?","")&amp;" PM"))))))))</ns0:f>
        <ns0:v/>
      </ns0:c>
      <ns0:c r="AC60" s="164" t="str">
        <ns0:f>IF(OR($A60="",AC$11=""),"",IF(OR('_Engine'!$B$6&gt;0,INDEX('_Engine'!$AM$11:$AM$60,'_Engine'!$AO60)&lt;&gt;"OK"),"!",IF(INDEX(Team!$H$11:$N$60,'_Engine'!$AO60,WEEKDAY(AC$11,2))&lt;&gt;"Work","—",IF(COUNTIF(Settings!$F$18:$F$67,AC$11)&gt;0,"BH",IF('_Engine'!DA60+'_Engine'!DB60=0,"·",IF('_Engine'!DA60='_Engine'!DB60,INDEX(Settings!$G$7:$G$11,MOD('_Engine'!DA60,10))&amp;IF('_Engine'!DA60&gt;10,"?",""),IF('_Engine'!DA60=0,INDEX(Settings!$G$7:$G$11,MOD('_Engine'!DB60,10))&amp;IF('_Engine'!DB60&gt;10,"?","")&amp;" PM",IF('_Engine'!DB60=0,INDEX(Settings!$G$7:$G$11,MOD('_Engine'!DA60,10))&amp;IF('_Engine'!DA60&gt;10,"?","")&amp;" AM",INDEX(Settings!$G$7:$G$11,MOD('_Engine'!DA60,10))&amp;IF('_Engine'!DA60&gt;10,"?","")&amp;" AM"&amp;CHAR(10)&amp;INDEX(Settings!$G$7:$G$11,MOD('_Engine'!DB60,10))&amp;IF('_Engine'!DB60&gt;10,"?","")&amp;" PM"))))))))</ns0:f>
        <ns0:v/>
      </ns0:c>
      <ns0:c r="AD60" s="164" t="str">
        <ns0:f>IF(OR($A60="",AD$11=""),"",IF(OR('_Engine'!$B$6&gt;0,INDEX('_Engine'!$AM$11:$AM$60,'_Engine'!$AO60)&lt;&gt;"OK"),"!",IF(INDEX(Team!$H$11:$N$60,'_Engine'!$AO60,WEEKDAY(AD$11,2))&lt;&gt;"Work","—",IF(COUNTIF(Settings!$F$18:$F$67,AD$11)&gt;0,"BH",IF('_Engine'!DC60+'_Engine'!DD60=0,"·",IF('_Engine'!DC60='_Engine'!DD60,INDEX(Settings!$G$7:$G$11,MOD('_Engine'!DC60,10))&amp;IF('_Engine'!DC60&gt;10,"?",""),IF('_Engine'!DC60=0,INDEX(Settings!$G$7:$G$11,MOD('_Engine'!DD60,10))&amp;IF('_Engine'!DD60&gt;10,"?","")&amp;" PM",IF('_Engine'!DD60=0,INDEX(Settings!$G$7:$G$11,MOD('_Engine'!DC60,10))&amp;IF('_Engine'!DC60&gt;10,"?","")&amp;" AM",INDEX(Settings!$G$7:$G$11,MOD('_Engine'!DC60,10))&amp;IF('_Engine'!DC60&gt;10,"?","")&amp;" AM"&amp;CHAR(10)&amp;INDEX(Settings!$G$7:$G$11,MOD('_Engine'!DD60,10))&amp;IF('_Engine'!DD60&gt;10,"?","")&amp;" PM"))))))))</ns0:f>
        <ns0:v/>
      </ns0:c>
      <ns0:c r="AE60" s="164" t="str">
        <ns0:f>IF(OR($A60="",AE$11=""),"",IF(OR('_Engine'!$B$6&gt;0,INDEX('_Engine'!$AM$11:$AM$60,'_Engine'!$AO60)&lt;&gt;"OK"),"!",IF(INDEX(Team!$H$11:$N$60,'_Engine'!$AO60,WEEKDAY(AE$11,2))&lt;&gt;"Work","—",IF(COUNTIF(Settings!$F$18:$F$67,AE$11)&gt;0,"BH",IF('_Engine'!DE60+'_Engine'!DF60=0,"·",IF('_Engine'!DE60='_Engine'!DF60,INDEX(Settings!$G$7:$G$11,MOD('_Engine'!DE60,10))&amp;IF('_Engine'!DE60&gt;10,"?",""),IF('_Engine'!DE60=0,INDEX(Settings!$G$7:$G$11,MOD('_Engine'!DF60,10))&amp;IF('_Engine'!DF60&gt;10,"?","")&amp;" PM",IF('_Engine'!DF60=0,INDEX(Settings!$G$7:$G$11,MOD('_Engine'!DE60,10))&amp;IF('_Engine'!DE60&gt;10,"?","")&amp;" AM",INDEX(Settings!$G$7:$G$11,MOD('_Engine'!DE60,10))&amp;IF('_Engine'!DE60&gt;10,"?","")&amp;" AM"&amp;CHAR(10)&amp;INDEX(Settings!$G$7:$G$11,MOD('_Engine'!DF60,10))&amp;IF('_Engine'!DF60&gt;10,"?","")&amp;" PM"))))))))</ns0:f>
        <ns0:v/>
      </ns0:c>
      <ns0:c r="AF60" s="164" t="str">
        <ns0:f>IF(OR($A60="",AF$11=""),"",IF(OR('_Engine'!$B$6&gt;0,INDEX('_Engine'!$AM$11:$AM$60,'_Engine'!$AO60)&lt;&gt;"OK"),"!",IF(INDEX(Team!$H$11:$N$60,'_Engine'!$AO60,WEEKDAY(AF$11,2))&lt;&gt;"Work","—",IF(COUNTIF(Settings!$F$18:$F$67,AF$11)&gt;0,"BH",IF('_Engine'!DG60+'_Engine'!DH60=0,"·",IF('_Engine'!DG60='_Engine'!DH60,INDEX(Settings!$G$7:$G$11,MOD('_Engine'!DG60,10))&amp;IF('_Engine'!DG60&gt;10,"?",""),IF('_Engine'!DG60=0,INDEX(Settings!$G$7:$G$11,MOD('_Engine'!DH60,10))&amp;IF('_Engine'!DH60&gt;10,"?","")&amp;" PM",IF('_Engine'!DH60=0,INDEX(Settings!$G$7:$G$11,MOD('_Engine'!DG60,10))&amp;IF('_Engine'!DG60&gt;10,"?","")&amp;" AM",INDEX(Settings!$G$7:$G$11,MOD('_Engine'!DG60,10))&amp;IF('_Engine'!DG60&gt;10,"?","")&amp;" AM"&amp;CHAR(10)&amp;INDEX(Settings!$G$7:$G$11,MOD('_Engine'!DH60,10))&amp;IF('_Engine'!DH60&gt;10,"?","")&amp;" PM"))))))))</ns0:f>
        <ns0:v/>
      </ns0:c>
      <ns0:c r="AG60" s="164" t="str">
        <ns0:f>IF(OR($A60="",AG$11=""),"",IF(OR('_Engine'!$B$6&gt;0,INDEX('_Engine'!$AM$11:$AM$60,'_Engine'!$AO60)&lt;&gt;"OK"),"!",IF(INDEX(Team!$H$11:$N$60,'_Engine'!$AO60,WEEKDAY(AG$11,2))&lt;&gt;"Work","—",IF(COUNTIF(Settings!$F$18:$F$67,AG$11)&gt;0,"BH",IF('_Engine'!DI60+'_Engine'!DJ60=0,"·",IF('_Engine'!DI60='_Engine'!DJ60,INDEX(Settings!$G$7:$G$11,MOD('_Engine'!DI60,10))&amp;IF('_Engine'!DI60&gt;10,"?",""),IF('_Engine'!DI60=0,INDEX(Settings!$G$7:$G$11,MOD('_Engine'!DJ60,10))&amp;IF('_Engine'!DJ60&gt;10,"?","")&amp;" PM",IF('_Engine'!DJ60=0,INDEX(Settings!$G$7:$G$11,MOD('_Engine'!DI60,10))&amp;IF('_Engine'!DI60&gt;10,"?","")&amp;" AM",INDEX(Settings!$G$7:$G$11,MOD('_Engine'!DI60,10))&amp;IF('_Engine'!DI60&gt;10,"?","")&amp;" AM"&amp;CHAR(10)&amp;INDEX(Settings!$G$7:$G$11,MOD('_Engine'!DJ60,10))&amp;IF('_Engine'!DJ60&gt;10,"?","")&amp;" PM"))))))))</ns0:f>
        <ns0:v/>
      </ns0:c>
      <ns0:c r="AH60" s="164" t="str">
        <ns0:f>IF(OR($A60="",AH$11=""),"",IF(OR('_Engine'!$B$6&gt;0,INDEX('_Engine'!$AM$11:$AM$60,'_Engine'!$AO60)&lt;&gt;"OK"),"!",IF(INDEX(Team!$H$11:$N$60,'_Engine'!$AO60,WEEKDAY(AH$11,2))&lt;&gt;"Work","—",IF(COUNTIF(Settings!$F$18:$F$67,AH$11)&gt;0,"BH",IF('_Engine'!DK60+'_Engine'!DL60=0,"·",IF('_Engine'!DK60='_Engine'!DL60,INDEX(Settings!$G$7:$G$11,MOD('_Engine'!DK60,10))&amp;IF('_Engine'!DK60&gt;10,"?",""),IF('_Engine'!DK60=0,INDEX(Settings!$G$7:$G$11,MOD('_Engine'!DL60,10))&amp;IF('_Engine'!DL60&gt;10,"?","")&amp;" PM",IF('_Engine'!DL60=0,INDEX(Settings!$G$7:$G$11,MOD('_Engine'!DK60,10))&amp;IF('_Engine'!DK60&gt;10,"?","")&amp;" AM",INDEX(Settings!$G$7:$G$11,MOD('_Engine'!DK60,10))&amp;IF('_Engine'!DK60&gt;10,"?","")&amp;" AM"&amp;CHAR(10)&amp;INDEX(Settings!$G$7:$G$11,MOD('_Engine'!DL60,10))&amp;IF('_Engine'!DL60&gt;10,"?","")&amp;" PM"))))))))</ns0:f>
        <ns0:v/>
      </ns0:c>
    </ns0:row>
    <ns0:row r="61" ht="38" customHeight="1">
      <ns0:c r="A61" s="4" t="str">
        <ns0:f>IF('_Engine'!AO61=0,"",IF(INDEX(Team!$B$11:$B$60,'_Engine'!AO61)="","[Unnamed]",INDEX(Team!$B$11:$B$60,'_Engine'!AO61)))</ns0:f>
        <ns0:v/>
      </ns0:c>
      <ns0:c r="B61" s="156" t="str">
        <ns0:f>IF('_Engine'!AO61=0,"",INDEX('_Engine'!$AN$11:$AN$60,'_Engine'!AO61))</ns0:f>
        <ns0:v/>
      </ns0:c>
      <ns0:c r="C61" s="4" t="str">
        <ns0:f>IF('_Engine'!AO61=0,"",INDEX(Team!$C$11:$C$60,'_Engine'!AO61))</ns0:f>
        <ns0:v/>
      </ns0:c>
      <ns0:c r="D61" s="162" t="str">
        <ns0:f>IF(OR($A61="",D$11=""),"",IF(OR('_Engine'!$B$6&gt;0,INDEX('_Engine'!$AM$11:$AM$60,'_Engine'!$AO61)&lt;&gt;"OK"),"!",IF(INDEX(Team!$H$11:$N$60,'_Engine'!$AO61,WEEKDAY(D$11,2))&lt;&gt;"Work","—",IF(COUNTIF(Settings!$F$18:$F$67,D$11)&gt;0,"BH",IF('_Engine'!BC61+'_Engine'!BD61=0,"·",IF('_Engine'!BC61='_Engine'!BD61,INDEX(Settings!$G$7:$G$11,MOD('_Engine'!BC61,10))&amp;IF('_Engine'!BC61&gt;10,"?",""),IF('_Engine'!BC61=0,INDEX(Settings!$G$7:$G$11,MOD('_Engine'!BD61,10))&amp;IF('_Engine'!BD61&gt;10,"?","")&amp;" PM",IF('_Engine'!BD61=0,INDEX(Settings!$G$7:$G$11,MOD('_Engine'!BC61,10))&amp;IF('_Engine'!BC61&gt;10,"?","")&amp;" AM",INDEX(Settings!$G$7:$G$11,MOD('_Engine'!BC61,10))&amp;IF('_Engine'!BC61&gt;10,"?","")&amp;" AM"&amp;CHAR(10)&amp;INDEX(Settings!$G$7:$G$11,MOD('_Engine'!BD61,10))&amp;IF('_Engine'!BD61&gt;10,"?","")&amp;" PM"))))))))</ns0:f>
        <ns0:v/>
      </ns0:c>
      <ns0:c r="E61" s="162" t="str">
        <ns0:f>IF(OR($A61="",E$11=""),"",IF(OR('_Engine'!$B$6&gt;0,INDEX('_Engine'!$AM$11:$AM$60,'_Engine'!$AO61)&lt;&gt;"OK"),"!",IF(INDEX(Team!$H$11:$N$60,'_Engine'!$AO61,WEEKDAY(E$11,2))&lt;&gt;"Work","—",IF(COUNTIF(Settings!$F$18:$F$67,E$11)&gt;0,"BH",IF('_Engine'!BE61+'_Engine'!BF61=0,"·",IF('_Engine'!BE61='_Engine'!BF61,INDEX(Settings!$G$7:$G$11,MOD('_Engine'!BE61,10))&amp;IF('_Engine'!BE61&gt;10,"?",""),IF('_Engine'!BE61=0,INDEX(Settings!$G$7:$G$11,MOD('_Engine'!BF61,10))&amp;IF('_Engine'!BF61&gt;10,"?","")&amp;" PM",IF('_Engine'!BF61=0,INDEX(Settings!$G$7:$G$11,MOD('_Engine'!BE61,10))&amp;IF('_Engine'!BE61&gt;10,"?","")&amp;" AM",INDEX(Settings!$G$7:$G$11,MOD('_Engine'!BE61,10))&amp;IF('_Engine'!BE61&gt;10,"?","")&amp;" AM"&amp;CHAR(10)&amp;INDEX(Settings!$G$7:$G$11,MOD('_Engine'!BF61,10))&amp;IF('_Engine'!BF61&gt;10,"?","")&amp;" PM"))))))))</ns0:f>
        <ns0:v/>
      </ns0:c>
      <ns0:c r="F61" s="162" t="str">
        <ns0:f>IF(OR($A61="",F$11=""),"",IF(OR('_Engine'!$B$6&gt;0,INDEX('_Engine'!$AM$11:$AM$60,'_Engine'!$AO61)&lt;&gt;"OK"),"!",IF(INDEX(Team!$H$11:$N$60,'_Engine'!$AO61,WEEKDAY(F$11,2))&lt;&gt;"Work","—",IF(COUNTIF(Settings!$F$18:$F$67,F$11)&gt;0,"BH",IF('_Engine'!BG61+'_Engine'!BH61=0,"·",IF('_Engine'!BG61='_Engine'!BH61,INDEX(Settings!$G$7:$G$11,MOD('_Engine'!BG61,10))&amp;IF('_Engine'!BG61&gt;10,"?",""),IF('_Engine'!BG61=0,INDEX(Settings!$G$7:$G$11,MOD('_Engine'!BH61,10))&amp;IF('_Engine'!BH61&gt;10,"?","")&amp;" PM",IF('_Engine'!BH61=0,INDEX(Settings!$G$7:$G$11,MOD('_Engine'!BG61,10))&amp;IF('_Engine'!BG61&gt;10,"?","")&amp;" AM",INDEX(Settings!$G$7:$G$11,MOD('_Engine'!BG61,10))&amp;IF('_Engine'!BG61&gt;10,"?","")&amp;" AM"&amp;CHAR(10)&amp;INDEX(Settings!$G$7:$G$11,MOD('_Engine'!BH61,10))&amp;IF('_Engine'!BH61&gt;10,"?","")&amp;" PM"))))))))</ns0:f>
        <ns0:v/>
      </ns0:c>
      <ns0:c r="G61" s="162" t="str">
        <ns0:f>IF(OR($A61="",G$11=""),"",IF(OR('_Engine'!$B$6&gt;0,INDEX('_Engine'!$AM$11:$AM$60,'_Engine'!$AO61)&lt;&gt;"OK"),"!",IF(INDEX(Team!$H$11:$N$60,'_Engine'!$AO61,WEEKDAY(G$11,2))&lt;&gt;"Work","—",IF(COUNTIF(Settings!$F$18:$F$67,G$11)&gt;0,"BH",IF('_Engine'!BI61+'_Engine'!BJ61=0,"·",IF('_Engine'!BI61='_Engine'!BJ61,INDEX(Settings!$G$7:$G$11,MOD('_Engine'!BI61,10))&amp;IF('_Engine'!BI61&gt;10,"?",""),IF('_Engine'!BI61=0,INDEX(Settings!$G$7:$G$11,MOD('_Engine'!BJ61,10))&amp;IF('_Engine'!BJ61&gt;10,"?","")&amp;" PM",IF('_Engine'!BJ61=0,INDEX(Settings!$G$7:$G$11,MOD('_Engine'!BI61,10))&amp;IF('_Engine'!BI61&gt;10,"?","")&amp;" AM",INDEX(Settings!$G$7:$G$11,MOD('_Engine'!BI61,10))&amp;IF('_Engine'!BI61&gt;10,"?","")&amp;" AM"&amp;CHAR(10)&amp;INDEX(Settings!$G$7:$G$11,MOD('_Engine'!BJ61,10))&amp;IF('_Engine'!BJ61&gt;10,"?","")&amp;" PM"))))))))</ns0:f>
        <ns0:v/>
      </ns0:c>
      <ns0:c r="H61" s="162" t="str">
        <ns0:f>IF(OR($A61="",H$11=""),"",IF(OR('_Engine'!$B$6&gt;0,INDEX('_Engine'!$AM$11:$AM$60,'_Engine'!$AO61)&lt;&gt;"OK"),"!",IF(INDEX(Team!$H$11:$N$60,'_Engine'!$AO61,WEEKDAY(H$11,2))&lt;&gt;"Work","—",IF(COUNTIF(Settings!$F$18:$F$67,H$11)&gt;0,"BH",IF('_Engine'!BK61+'_Engine'!BL61=0,"·",IF('_Engine'!BK61='_Engine'!BL61,INDEX(Settings!$G$7:$G$11,MOD('_Engine'!BK61,10))&amp;IF('_Engine'!BK61&gt;10,"?",""),IF('_Engine'!BK61=0,INDEX(Settings!$G$7:$G$11,MOD('_Engine'!BL61,10))&amp;IF('_Engine'!BL61&gt;10,"?","")&amp;" PM",IF('_Engine'!BL61=0,INDEX(Settings!$G$7:$G$11,MOD('_Engine'!BK61,10))&amp;IF('_Engine'!BK61&gt;10,"?","")&amp;" AM",INDEX(Settings!$G$7:$G$11,MOD('_Engine'!BK61,10))&amp;IF('_Engine'!BK61&gt;10,"?","")&amp;" AM"&amp;CHAR(10)&amp;INDEX(Settings!$G$7:$G$11,MOD('_Engine'!BL61,10))&amp;IF('_Engine'!BL61&gt;10,"?","")&amp;" PM"))))))))</ns0:f>
        <ns0:v/>
      </ns0:c>
      <ns0:c r="I61" s="162" t="str">
        <ns0:f>IF(OR($A61="",I$11=""),"",IF(OR('_Engine'!$B$6&gt;0,INDEX('_Engine'!$AM$11:$AM$60,'_Engine'!$AO61)&lt;&gt;"OK"),"!",IF(INDEX(Team!$H$11:$N$60,'_Engine'!$AO61,WEEKDAY(I$11,2))&lt;&gt;"Work","—",IF(COUNTIF(Settings!$F$18:$F$67,I$11)&gt;0,"BH",IF('_Engine'!BM61+'_Engine'!BN61=0,"·",IF('_Engine'!BM61='_Engine'!BN61,INDEX(Settings!$G$7:$G$11,MOD('_Engine'!BM61,10))&amp;IF('_Engine'!BM61&gt;10,"?",""),IF('_Engine'!BM61=0,INDEX(Settings!$G$7:$G$11,MOD('_Engine'!BN61,10))&amp;IF('_Engine'!BN61&gt;10,"?","")&amp;" PM",IF('_Engine'!BN61=0,INDEX(Settings!$G$7:$G$11,MOD('_Engine'!BM61,10))&amp;IF('_Engine'!BM61&gt;10,"?","")&amp;" AM",INDEX(Settings!$G$7:$G$11,MOD('_Engine'!BM61,10))&amp;IF('_Engine'!BM61&gt;10,"?","")&amp;" AM"&amp;CHAR(10)&amp;INDEX(Settings!$G$7:$G$11,MOD('_Engine'!BN61,10))&amp;IF('_Engine'!BN61&gt;10,"?","")&amp;" PM"))))))))</ns0:f>
        <ns0:v/>
      </ns0:c>
      <ns0:c r="J61" s="162" t="str">
        <ns0:f>IF(OR($A61="",J$11=""),"",IF(OR('_Engine'!$B$6&gt;0,INDEX('_Engine'!$AM$11:$AM$60,'_Engine'!$AO61)&lt;&gt;"OK"),"!",IF(INDEX(Team!$H$11:$N$60,'_Engine'!$AO61,WEEKDAY(J$11,2))&lt;&gt;"Work","—",IF(COUNTIF(Settings!$F$18:$F$67,J$11)&gt;0,"BH",IF('_Engine'!BO61+'_Engine'!BP61=0,"·",IF('_Engine'!BO61='_Engine'!BP61,INDEX(Settings!$G$7:$G$11,MOD('_Engine'!BO61,10))&amp;IF('_Engine'!BO61&gt;10,"?",""),IF('_Engine'!BO61=0,INDEX(Settings!$G$7:$G$11,MOD('_Engine'!BP61,10))&amp;IF('_Engine'!BP61&gt;10,"?","")&amp;" PM",IF('_Engine'!BP61=0,INDEX(Settings!$G$7:$G$11,MOD('_Engine'!BO61,10))&amp;IF('_Engine'!BO61&gt;10,"?","")&amp;" AM",INDEX(Settings!$G$7:$G$11,MOD('_Engine'!BO61,10))&amp;IF('_Engine'!BO61&gt;10,"?","")&amp;" AM"&amp;CHAR(10)&amp;INDEX(Settings!$G$7:$G$11,MOD('_Engine'!BP61,10))&amp;IF('_Engine'!BP61&gt;10,"?","")&amp;" PM"))))))))</ns0:f>
        <ns0:v/>
      </ns0:c>
      <ns0:c r="K61" s="164" t="str">
        <ns0:f>IF(OR($A61="",K$11=""),"",IF(OR('_Engine'!$B$6&gt;0,INDEX('_Engine'!$AM$11:$AM$60,'_Engine'!$AO61)&lt;&gt;"OK"),"!",IF(INDEX(Team!$H$11:$N$60,'_Engine'!$AO61,WEEKDAY(K$11,2))&lt;&gt;"Work","—",IF(COUNTIF(Settings!$F$18:$F$67,K$11)&gt;0,"BH",IF('_Engine'!BQ61+'_Engine'!BR61=0,"·",IF('_Engine'!BQ61='_Engine'!BR61,INDEX(Settings!$G$7:$G$11,MOD('_Engine'!BQ61,10))&amp;IF('_Engine'!BQ61&gt;10,"?",""),IF('_Engine'!BQ61=0,INDEX(Settings!$G$7:$G$11,MOD('_Engine'!BR61,10))&amp;IF('_Engine'!BR61&gt;10,"?","")&amp;" PM",IF('_Engine'!BR61=0,INDEX(Settings!$G$7:$G$11,MOD('_Engine'!BQ61,10))&amp;IF('_Engine'!BQ61&gt;10,"?","")&amp;" AM",INDEX(Settings!$G$7:$G$11,MOD('_Engine'!BQ61,10))&amp;IF('_Engine'!BQ61&gt;10,"?","")&amp;" AM"&amp;CHAR(10)&amp;INDEX(Settings!$G$7:$G$11,MOD('_Engine'!BR61,10))&amp;IF('_Engine'!BR61&gt;10,"?","")&amp;" PM"))))))))</ns0:f>
        <ns0:v/>
      </ns0:c>
      <ns0:c r="L61" s="164" t="str">
        <ns0:f>IF(OR($A61="",L$11=""),"",IF(OR('_Engine'!$B$6&gt;0,INDEX('_Engine'!$AM$11:$AM$60,'_Engine'!$AO61)&lt;&gt;"OK"),"!",IF(INDEX(Team!$H$11:$N$60,'_Engine'!$AO61,WEEKDAY(L$11,2))&lt;&gt;"Work","—",IF(COUNTIF(Settings!$F$18:$F$67,L$11)&gt;0,"BH",IF('_Engine'!BS61+'_Engine'!BT61=0,"·",IF('_Engine'!BS61='_Engine'!BT61,INDEX(Settings!$G$7:$G$11,MOD('_Engine'!BS61,10))&amp;IF('_Engine'!BS61&gt;10,"?",""),IF('_Engine'!BS61=0,INDEX(Settings!$G$7:$G$11,MOD('_Engine'!BT61,10))&amp;IF('_Engine'!BT61&gt;10,"?","")&amp;" PM",IF('_Engine'!BT61=0,INDEX(Settings!$G$7:$G$11,MOD('_Engine'!BS61,10))&amp;IF('_Engine'!BS61&gt;10,"?","")&amp;" AM",INDEX(Settings!$G$7:$G$11,MOD('_Engine'!BS61,10))&amp;IF('_Engine'!BS61&gt;10,"?","")&amp;" AM"&amp;CHAR(10)&amp;INDEX(Settings!$G$7:$G$11,MOD('_Engine'!BT61,10))&amp;IF('_Engine'!BT61&gt;10,"?","")&amp;" PM"))))))))</ns0:f>
        <ns0:v/>
      </ns0:c>
      <ns0:c r="M61" s="164" t="str">
        <ns0:f>IF(OR($A61="",M$11=""),"",IF(OR('_Engine'!$B$6&gt;0,INDEX('_Engine'!$AM$11:$AM$60,'_Engine'!$AO61)&lt;&gt;"OK"),"!",IF(INDEX(Team!$H$11:$N$60,'_Engine'!$AO61,WEEKDAY(M$11,2))&lt;&gt;"Work","—",IF(COUNTIF(Settings!$F$18:$F$67,M$11)&gt;0,"BH",IF('_Engine'!BU61+'_Engine'!BV61=0,"·",IF('_Engine'!BU61='_Engine'!BV61,INDEX(Settings!$G$7:$G$11,MOD('_Engine'!BU61,10))&amp;IF('_Engine'!BU61&gt;10,"?",""),IF('_Engine'!BU61=0,INDEX(Settings!$G$7:$G$11,MOD('_Engine'!BV61,10))&amp;IF('_Engine'!BV61&gt;10,"?","")&amp;" PM",IF('_Engine'!BV61=0,INDEX(Settings!$G$7:$G$11,MOD('_Engine'!BU61,10))&amp;IF('_Engine'!BU61&gt;10,"?","")&amp;" AM",INDEX(Settings!$G$7:$G$11,MOD('_Engine'!BU61,10))&amp;IF('_Engine'!BU61&gt;10,"?","")&amp;" AM"&amp;CHAR(10)&amp;INDEX(Settings!$G$7:$G$11,MOD('_Engine'!BV61,10))&amp;IF('_Engine'!BV61&gt;10,"?","")&amp;" PM"))))))))</ns0:f>
        <ns0:v/>
      </ns0:c>
      <ns0:c r="N61" s="164" t="str">
        <ns0:f>IF(OR($A61="",N$11=""),"",IF(OR('_Engine'!$B$6&gt;0,INDEX('_Engine'!$AM$11:$AM$60,'_Engine'!$AO61)&lt;&gt;"OK"),"!",IF(INDEX(Team!$H$11:$N$60,'_Engine'!$AO61,WEEKDAY(N$11,2))&lt;&gt;"Work","—",IF(COUNTIF(Settings!$F$18:$F$67,N$11)&gt;0,"BH",IF('_Engine'!BW61+'_Engine'!BX61=0,"·",IF('_Engine'!BW61='_Engine'!BX61,INDEX(Settings!$G$7:$G$11,MOD('_Engine'!BW61,10))&amp;IF('_Engine'!BW61&gt;10,"?",""),IF('_Engine'!BW61=0,INDEX(Settings!$G$7:$G$11,MOD('_Engine'!BX61,10))&amp;IF('_Engine'!BX61&gt;10,"?","")&amp;" PM",IF('_Engine'!BX61=0,INDEX(Settings!$G$7:$G$11,MOD('_Engine'!BW61,10))&amp;IF('_Engine'!BW61&gt;10,"?","")&amp;" AM",INDEX(Settings!$G$7:$G$11,MOD('_Engine'!BW61,10))&amp;IF('_Engine'!BW61&gt;10,"?","")&amp;" AM"&amp;CHAR(10)&amp;INDEX(Settings!$G$7:$G$11,MOD('_Engine'!BX61,10))&amp;IF('_Engine'!BX61&gt;10,"?","")&amp;" PM"))))))))</ns0:f>
        <ns0:v/>
      </ns0:c>
      <ns0:c r="O61" s="164" t="str">
        <ns0:f>IF(OR($A61="",O$11=""),"",IF(OR('_Engine'!$B$6&gt;0,INDEX('_Engine'!$AM$11:$AM$60,'_Engine'!$AO61)&lt;&gt;"OK"),"!",IF(INDEX(Team!$H$11:$N$60,'_Engine'!$AO61,WEEKDAY(O$11,2))&lt;&gt;"Work","—",IF(COUNTIF(Settings!$F$18:$F$67,O$11)&gt;0,"BH",IF('_Engine'!BY61+'_Engine'!BZ61=0,"·",IF('_Engine'!BY61='_Engine'!BZ61,INDEX(Settings!$G$7:$G$11,MOD('_Engine'!BY61,10))&amp;IF('_Engine'!BY61&gt;10,"?",""),IF('_Engine'!BY61=0,INDEX(Settings!$G$7:$G$11,MOD('_Engine'!BZ61,10))&amp;IF('_Engine'!BZ61&gt;10,"?","")&amp;" PM",IF('_Engine'!BZ61=0,INDEX(Settings!$G$7:$G$11,MOD('_Engine'!BY61,10))&amp;IF('_Engine'!BY61&gt;10,"?","")&amp;" AM",INDEX(Settings!$G$7:$G$11,MOD('_Engine'!BY61,10))&amp;IF('_Engine'!BY61&gt;10,"?","")&amp;" AM"&amp;CHAR(10)&amp;INDEX(Settings!$G$7:$G$11,MOD('_Engine'!BZ61,10))&amp;IF('_Engine'!BZ61&gt;10,"?","")&amp;" PM"))))))))</ns0:f>
        <ns0:v/>
      </ns0:c>
      <ns0:c r="P61" s="164" t="str">
        <ns0:f>IF(OR($A61="",P$11=""),"",IF(OR('_Engine'!$B$6&gt;0,INDEX('_Engine'!$AM$11:$AM$60,'_Engine'!$AO61)&lt;&gt;"OK"),"!",IF(INDEX(Team!$H$11:$N$60,'_Engine'!$AO61,WEEKDAY(P$11,2))&lt;&gt;"Work","—",IF(COUNTIF(Settings!$F$18:$F$67,P$11)&gt;0,"BH",IF('_Engine'!CA61+'_Engine'!CB61=0,"·",IF('_Engine'!CA61='_Engine'!CB61,INDEX(Settings!$G$7:$G$11,MOD('_Engine'!CA61,10))&amp;IF('_Engine'!CA61&gt;10,"?",""),IF('_Engine'!CA61=0,INDEX(Settings!$G$7:$G$11,MOD('_Engine'!CB61,10))&amp;IF('_Engine'!CB61&gt;10,"?","")&amp;" PM",IF('_Engine'!CB61=0,INDEX(Settings!$G$7:$G$11,MOD('_Engine'!CA61,10))&amp;IF('_Engine'!CA61&gt;10,"?","")&amp;" AM",INDEX(Settings!$G$7:$G$11,MOD('_Engine'!CA61,10))&amp;IF('_Engine'!CA61&gt;10,"?","")&amp;" AM"&amp;CHAR(10)&amp;INDEX(Settings!$G$7:$G$11,MOD('_Engine'!CB61,10))&amp;IF('_Engine'!CB61&gt;10,"?","")&amp;" PM"))))))))</ns0:f>
        <ns0:v/>
      </ns0:c>
      <ns0:c r="Q61" s="164" t="str">
        <ns0:f>IF(OR($A61="",Q$11=""),"",IF(OR('_Engine'!$B$6&gt;0,INDEX('_Engine'!$AM$11:$AM$60,'_Engine'!$AO61)&lt;&gt;"OK"),"!",IF(INDEX(Team!$H$11:$N$60,'_Engine'!$AO61,WEEKDAY(Q$11,2))&lt;&gt;"Work","—",IF(COUNTIF(Settings!$F$18:$F$67,Q$11)&gt;0,"BH",IF('_Engine'!CC61+'_Engine'!CD61=0,"·",IF('_Engine'!CC61='_Engine'!CD61,INDEX(Settings!$G$7:$G$11,MOD('_Engine'!CC61,10))&amp;IF('_Engine'!CC61&gt;10,"?",""),IF('_Engine'!CC61=0,INDEX(Settings!$G$7:$G$11,MOD('_Engine'!CD61,10))&amp;IF('_Engine'!CD61&gt;10,"?","")&amp;" PM",IF('_Engine'!CD61=0,INDEX(Settings!$G$7:$G$11,MOD('_Engine'!CC61,10))&amp;IF('_Engine'!CC61&gt;10,"?","")&amp;" AM",INDEX(Settings!$G$7:$G$11,MOD('_Engine'!CC61,10))&amp;IF('_Engine'!CC61&gt;10,"?","")&amp;" AM"&amp;CHAR(10)&amp;INDEX(Settings!$G$7:$G$11,MOD('_Engine'!CD61,10))&amp;IF('_Engine'!CD61&gt;10,"?","")&amp;" PM"))))))))</ns0:f>
        <ns0:v/>
      </ns0:c>
      <ns0:c r="R61" s="164" t="str">
        <ns0:f>IF(OR($A61="",R$11=""),"",IF(OR('_Engine'!$B$6&gt;0,INDEX('_Engine'!$AM$11:$AM$60,'_Engine'!$AO61)&lt;&gt;"OK"),"!",IF(INDEX(Team!$H$11:$N$60,'_Engine'!$AO61,WEEKDAY(R$11,2))&lt;&gt;"Work","—",IF(COUNTIF(Settings!$F$18:$F$67,R$11)&gt;0,"BH",IF('_Engine'!CE61+'_Engine'!CF61=0,"·",IF('_Engine'!CE61='_Engine'!CF61,INDEX(Settings!$G$7:$G$11,MOD('_Engine'!CE61,10))&amp;IF('_Engine'!CE61&gt;10,"?",""),IF('_Engine'!CE61=0,INDEX(Settings!$G$7:$G$11,MOD('_Engine'!CF61,10))&amp;IF('_Engine'!CF61&gt;10,"?","")&amp;" PM",IF('_Engine'!CF61=0,INDEX(Settings!$G$7:$G$11,MOD('_Engine'!CE61,10))&amp;IF('_Engine'!CE61&gt;10,"?","")&amp;" AM",INDEX(Settings!$G$7:$G$11,MOD('_Engine'!CE61,10))&amp;IF('_Engine'!CE61&gt;10,"?","")&amp;" AM"&amp;CHAR(10)&amp;INDEX(Settings!$G$7:$G$11,MOD('_Engine'!CF61,10))&amp;IF('_Engine'!CF61&gt;10,"?","")&amp;" PM"))))))))</ns0:f>
        <ns0:v/>
      </ns0:c>
      <ns0:c r="S61" s="164" t="str">
        <ns0:f>IF(OR($A61="",S$11=""),"",IF(OR('_Engine'!$B$6&gt;0,INDEX('_Engine'!$AM$11:$AM$60,'_Engine'!$AO61)&lt;&gt;"OK"),"!",IF(INDEX(Team!$H$11:$N$60,'_Engine'!$AO61,WEEKDAY(S$11,2))&lt;&gt;"Work","—",IF(COUNTIF(Settings!$F$18:$F$67,S$11)&gt;0,"BH",IF('_Engine'!CG61+'_Engine'!CH61=0,"·",IF('_Engine'!CG61='_Engine'!CH61,INDEX(Settings!$G$7:$G$11,MOD('_Engine'!CG61,10))&amp;IF('_Engine'!CG61&gt;10,"?",""),IF('_Engine'!CG61=0,INDEX(Settings!$G$7:$G$11,MOD('_Engine'!CH61,10))&amp;IF('_Engine'!CH61&gt;10,"?","")&amp;" PM",IF('_Engine'!CH61=0,INDEX(Settings!$G$7:$G$11,MOD('_Engine'!CG61,10))&amp;IF('_Engine'!CG61&gt;10,"?","")&amp;" AM",INDEX(Settings!$G$7:$G$11,MOD('_Engine'!CG61,10))&amp;IF('_Engine'!CG61&gt;10,"?","")&amp;" AM"&amp;CHAR(10)&amp;INDEX(Settings!$G$7:$G$11,MOD('_Engine'!CH61,10))&amp;IF('_Engine'!CH61&gt;10,"?","")&amp;" PM"))))))))</ns0:f>
        <ns0:v/>
      </ns0:c>
      <ns0:c r="T61" s="164" t="str">
        <ns0:f>IF(OR($A61="",T$11=""),"",IF(OR('_Engine'!$B$6&gt;0,INDEX('_Engine'!$AM$11:$AM$60,'_Engine'!$AO61)&lt;&gt;"OK"),"!",IF(INDEX(Team!$H$11:$N$60,'_Engine'!$AO61,WEEKDAY(T$11,2))&lt;&gt;"Work","—",IF(COUNTIF(Settings!$F$18:$F$67,T$11)&gt;0,"BH",IF('_Engine'!CI61+'_Engine'!CJ61=0,"·",IF('_Engine'!CI61='_Engine'!CJ61,INDEX(Settings!$G$7:$G$11,MOD('_Engine'!CI61,10))&amp;IF('_Engine'!CI61&gt;10,"?",""),IF('_Engine'!CI61=0,INDEX(Settings!$G$7:$G$11,MOD('_Engine'!CJ61,10))&amp;IF('_Engine'!CJ61&gt;10,"?","")&amp;" PM",IF('_Engine'!CJ61=0,INDEX(Settings!$G$7:$G$11,MOD('_Engine'!CI61,10))&amp;IF('_Engine'!CI61&gt;10,"?","")&amp;" AM",INDEX(Settings!$G$7:$G$11,MOD('_Engine'!CI61,10))&amp;IF('_Engine'!CI61&gt;10,"?","")&amp;" AM"&amp;CHAR(10)&amp;INDEX(Settings!$G$7:$G$11,MOD('_Engine'!CJ61,10))&amp;IF('_Engine'!CJ61&gt;10,"?","")&amp;" PM"))))))))</ns0:f>
        <ns0:v/>
      </ns0:c>
      <ns0:c r="U61" s="164" t="str">
        <ns0:f>IF(OR($A61="",U$11=""),"",IF(OR('_Engine'!$B$6&gt;0,INDEX('_Engine'!$AM$11:$AM$60,'_Engine'!$AO61)&lt;&gt;"OK"),"!",IF(INDEX(Team!$H$11:$N$60,'_Engine'!$AO61,WEEKDAY(U$11,2))&lt;&gt;"Work","—",IF(COUNTIF(Settings!$F$18:$F$67,U$11)&gt;0,"BH",IF('_Engine'!CK61+'_Engine'!CL61=0,"·",IF('_Engine'!CK61='_Engine'!CL61,INDEX(Settings!$G$7:$G$11,MOD('_Engine'!CK61,10))&amp;IF('_Engine'!CK61&gt;10,"?",""),IF('_Engine'!CK61=0,INDEX(Settings!$G$7:$G$11,MOD('_Engine'!CL61,10))&amp;IF('_Engine'!CL61&gt;10,"?","")&amp;" PM",IF('_Engine'!CL61=0,INDEX(Settings!$G$7:$G$11,MOD('_Engine'!CK61,10))&amp;IF('_Engine'!CK61&gt;10,"?","")&amp;" AM",INDEX(Settings!$G$7:$G$11,MOD('_Engine'!CK61,10))&amp;IF('_Engine'!CK61&gt;10,"?","")&amp;" AM"&amp;CHAR(10)&amp;INDEX(Settings!$G$7:$G$11,MOD('_Engine'!CL61,10))&amp;IF('_Engine'!CL61&gt;10,"?","")&amp;" PM"))))))))</ns0:f>
        <ns0:v/>
      </ns0:c>
      <ns0:c r="V61" s="164" t="str">
        <ns0:f>IF(OR($A61="",V$11=""),"",IF(OR('_Engine'!$B$6&gt;0,INDEX('_Engine'!$AM$11:$AM$60,'_Engine'!$AO61)&lt;&gt;"OK"),"!",IF(INDEX(Team!$H$11:$N$60,'_Engine'!$AO61,WEEKDAY(V$11,2))&lt;&gt;"Work","—",IF(COUNTIF(Settings!$F$18:$F$67,V$11)&gt;0,"BH",IF('_Engine'!CM61+'_Engine'!CN61=0,"·",IF('_Engine'!CM61='_Engine'!CN61,INDEX(Settings!$G$7:$G$11,MOD('_Engine'!CM61,10))&amp;IF('_Engine'!CM61&gt;10,"?",""),IF('_Engine'!CM61=0,INDEX(Settings!$G$7:$G$11,MOD('_Engine'!CN61,10))&amp;IF('_Engine'!CN61&gt;10,"?","")&amp;" PM",IF('_Engine'!CN61=0,INDEX(Settings!$G$7:$G$11,MOD('_Engine'!CM61,10))&amp;IF('_Engine'!CM61&gt;10,"?","")&amp;" AM",INDEX(Settings!$G$7:$G$11,MOD('_Engine'!CM61,10))&amp;IF('_Engine'!CM61&gt;10,"?","")&amp;" AM"&amp;CHAR(10)&amp;INDEX(Settings!$G$7:$G$11,MOD('_Engine'!CN61,10))&amp;IF('_Engine'!CN61&gt;10,"?","")&amp;" PM"))))))))</ns0:f>
        <ns0:v/>
      </ns0:c>
      <ns0:c r="W61" s="164" t="str">
        <ns0:f>IF(OR($A61="",W$11=""),"",IF(OR('_Engine'!$B$6&gt;0,INDEX('_Engine'!$AM$11:$AM$60,'_Engine'!$AO61)&lt;&gt;"OK"),"!",IF(INDEX(Team!$H$11:$N$60,'_Engine'!$AO61,WEEKDAY(W$11,2))&lt;&gt;"Work","—",IF(COUNTIF(Settings!$F$18:$F$67,W$11)&gt;0,"BH",IF('_Engine'!CO61+'_Engine'!CP61=0,"·",IF('_Engine'!CO61='_Engine'!CP61,INDEX(Settings!$G$7:$G$11,MOD('_Engine'!CO61,10))&amp;IF('_Engine'!CO61&gt;10,"?",""),IF('_Engine'!CO61=0,INDEX(Settings!$G$7:$G$11,MOD('_Engine'!CP61,10))&amp;IF('_Engine'!CP61&gt;10,"?","")&amp;" PM",IF('_Engine'!CP61=0,INDEX(Settings!$G$7:$G$11,MOD('_Engine'!CO61,10))&amp;IF('_Engine'!CO61&gt;10,"?","")&amp;" AM",INDEX(Settings!$G$7:$G$11,MOD('_Engine'!CO61,10))&amp;IF('_Engine'!CO61&gt;10,"?","")&amp;" AM"&amp;CHAR(10)&amp;INDEX(Settings!$G$7:$G$11,MOD('_Engine'!CP61,10))&amp;IF('_Engine'!CP61&gt;10,"?","")&amp;" PM"))))))))</ns0:f>
        <ns0:v/>
      </ns0:c>
      <ns0:c r="X61" s="164" t="str">
        <ns0:f>IF(OR($A61="",X$11=""),"",IF(OR('_Engine'!$B$6&gt;0,INDEX('_Engine'!$AM$11:$AM$60,'_Engine'!$AO61)&lt;&gt;"OK"),"!",IF(INDEX(Team!$H$11:$N$60,'_Engine'!$AO61,WEEKDAY(X$11,2))&lt;&gt;"Work","—",IF(COUNTIF(Settings!$F$18:$F$67,X$11)&gt;0,"BH",IF('_Engine'!CQ61+'_Engine'!CR61=0,"·",IF('_Engine'!CQ61='_Engine'!CR61,INDEX(Settings!$G$7:$G$11,MOD('_Engine'!CQ61,10))&amp;IF('_Engine'!CQ61&gt;10,"?",""),IF('_Engine'!CQ61=0,INDEX(Settings!$G$7:$G$11,MOD('_Engine'!CR61,10))&amp;IF('_Engine'!CR61&gt;10,"?","")&amp;" PM",IF('_Engine'!CR61=0,INDEX(Settings!$G$7:$G$11,MOD('_Engine'!CQ61,10))&amp;IF('_Engine'!CQ61&gt;10,"?","")&amp;" AM",INDEX(Settings!$G$7:$G$11,MOD('_Engine'!CQ61,10))&amp;IF('_Engine'!CQ61&gt;10,"?","")&amp;" AM"&amp;CHAR(10)&amp;INDEX(Settings!$G$7:$G$11,MOD('_Engine'!CR61,10))&amp;IF('_Engine'!CR61&gt;10,"?","")&amp;" PM"))))))))</ns0:f>
        <ns0:v/>
      </ns0:c>
      <ns0:c r="Y61" s="164" t="str">
        <ns0:f>IF(OR($A61="",Y$11=""),"",IF(OR('_Engine'!$B$6&gt;0,INDEX('_Engine'!$AM$11:$AM$60,'_Engine'!$AO61)&lt;&gt;"OK"),"!",IF(INDEX(Team!$H$11:$N$60,'_Engine'!$AO61,WEEKDAY(Y$11,2))&lt;&gt;"Work","—",IF(COUNTIF(Settings!$F$18:$F$67,Y$11)&gt;0,"BH",IF('_Engine'!CS61+'_Engine'!CT61=0,"·",IF('_Engine'!CS61='_Engine'!CT61,INDEX(Settings!$G$7:$G$11,MOD('_Engine'!CS61,10))&amp;IF('_Engine'!CS61&gt;10,"?",""),IF('_Engine'!CS61=0,INDEX(Settings!$G$7:$G$11,MOD('_Engine'!CT61,10))&amp;IF('_Engine'!CT61&gt;10,"?","")&amp;" PM",IF('_Engine'!CT61=0,INDEX(Settings!$G$7:$G$11,MOD('_Engine'!CS61,10))&amp;IF('_Engine'!CS61&gt;10,"?","")&amp;" AM",INDEX(Settings!$G$7:$G$11,MOD('_Engine'!CS61,10))&amp;IF('_Engine'!CS61&gt;10,"?","")&amp;" AM"&amp;CHAR(10)&amp;INDEX(Settings!$G$7:$G$11,MOD('_Engine'!CT61,10))&amp;IF('_Engine'!CT61&gt;10,"?","")&amp;" PM"))))))))</ns0:f>
        <ns0:v/>
      </ns0:c>
      <ns0:c r="Z61" s="164" t="str">
        <ns0:f>IF(OR($A61="",Z$11=""),"",IF(OR('_Engine'!$B$6&gt;0,INDEX('_Engine'!$AM$11:$AM$60,'_Engine'!$AO61)&lt;&gt;"OK"),"!",IF(INDEX(Team!$H$11:$N$60,'_Engine'!$AO61,WEEKDAY(Z$11,2))&lt;&gt;"Work","—",IF(COUNTIF(Settings!$F$18:$F$67,Z$11)&gt;0,"BH",IF('_Engine'!CU61+'_Engine'!CV61=0,"·",IF('_Engine'!CU61='_Engine'!CV61,INDEX(Settings!$G$7:$G$11,MOD('_Engine'!CU61,10))&amp;IF('_Engine'!CU61&gt;10,"?",""),IF('_Engine'!CU61=0,INDEX(Settings!$G$7:$G$11,MOD('_Engine'!CV61,10))&amp;IF('_Engine'!CV61&gt;10,"?","")&amp;" PM",IF('_Engine'!CV61=0,INDEX(Settings!$G$7:$G$11,MOD('_Engine'!CU61,10))&amp;IF('_Engine'!CU61&gt;10,"?","")&amp;" AM",INDEX(Settings!$G$7:$G$11,MOD('_Engine'!CU61,10))&amp;IF('_Engine'!CU61&gt;10,"?","")&amp;" AM"&amp;CHAR(10)&amp;INDEX(Settings!$G$7:$G$11,MOD('_Engine'!CV61,10))&amp;IF('_Engine'!CV61&gt;10,"?","")&amp;" PM"))))))))</ns0:f>
        <ns0:v/>
      </ns0:c>
      <ns0:c r="AA61" s="164" t="str">
        <ns0:f>IF(OR($A61="",AA$11=""),"",IF(OR('_Engine'!$B$6&gt;0,INDEX('_Engine'!$AM$11:$AM$60,'_Engine'!$AO61)&lt;&gt;"OK"),"!",IF(INDEX(Team!$H$11:$N$60,'_Engine'!$AO61,WEEKDAY(AA$11,2))&lt;&gt;"Work","—",IF(COUNTIF(Settings!$F$18:$F$67,AA$11)&gt;0,"BH",IF('_Engine'!CW61+'_Engine'!CX61=0,"·",IF('_Engine'!CW61='_Engine'!CX61,INDEX(Settings!$G$7:$G$11,MOD('_Engine'!CW61,10))&amp;IF('_Engine'!CW61&gt;10,"?",""),IF('_Engine'!CW61=0,INDEX(Settings!$G$7:$G$11,MOD('_Engine'!CX61,10))&amp;IF('_Engine'!CX61&gt;10,"?","")&amp;" PM",IF('_Engine'!CX61=0,INDEX(Settings!$G$7:$G$11,MOD('_Engine'!CW61,10))&amp;IF('_Engine'!CW61&gt;10,"?","")&amp;" AM",INDEX(Settings!$G$7:$G$11,MOD('_Engine'!CW61,10))&amp;IF('_Engine'!CW61&gt;10,"?","")&amp;" AM"&amp;CHAR(10)&amp;INDEX(Settings!$G$7:$G$11,MOD('_Engine'!CX61,10))&amp;IF('_Engine'!CX61&gt;10,"?","")&amp;" PM"))))))))</ns0:f>
        <ns0:v/>
      </ns0:c>
      <ns0:c r="AB61" s="164" t="str">
        <ns0:f>IF(OR($A61="",AB$11=""),"",IF(OR('_Engine'!$B$6&gt;0,INDEX('_Engine'!$AM$11:$AM$60,'_Engine'!$AO61)&lt;&gt;"OK"),"!",IF(INDEX(Team!$H$11:$N$60,'_Engine'!$AO61,WEEKDAY(AB$11,2))&lt;&gt;"Work","—",IF(COUNTIF(Settings!$F$18:$F$67,AB$11)&gt;0,"BH",IF('_Engine'!CY61+'_Engine'!CZ61=0,"·",IF('_Engine'!CY61='_Engine'!CZ61,INDEX(Settings!$G$7:$G$11,MOD('_Engine'!CY61,10))&amp;IF('_Engine'!CY61&gt;10,"?",""),IF('_Engine'!CY61=0,INDEX(Settings!$G$7:$G$11,MOD('_Engine'!CZ61,10))&amp;IF('_Engine'!CZ61&gt;10,"?","")&amp;" PM",IF('_Engine'!CZ61=0,INDEX(Settings!$G$7:$G$11,MOD('_Engine'!CY61,10))&amp;IF('_Engine'!CY61&gt;10,"?","")&amp;" AM",INDEX(Settings!$G$7:$G$11,MOD('_Engine'!CY61,10))&amp;IF('_Engine'!CY61&gt;10,"?","")&amp;" AM"&amp;CHAR(10)&amp;INDEX(Settings!$G$7:$G$11,MOD('_Engine'!CZ61,10))&amp;IF('_Engine'!CZ61&gt;10,"?","")&amp;" PM"))))))))</ns0:f>
        <ns0:v/>
      </ns0:c>
      <ns0:c r="AC61" s="164" t="str">
        <ns0:f>IF(OR($A61="",AC$11=""),"",IF(OR('_Engine'!$B$6&gt;0,INDEX('_Engine'!$AM$11:$AM$60,'_Engine'!$AO61)&lt;&gt;"OK"),"!",IF(INDEX(Team!$H$11:$N$60,'_Engine'!$AO61,WEEKDAY(AC$11,2))&lt;&gt;"Work","—",IF(COUNTIF(Settings!$F$18:$F$67,AC$11)&gt;0,"BH",IF('_Engine'!DA61+'_Engine'!DB61=0,"·",IF('_Engine'!DA61='_Engine'!DB61,INDEX(Settings!$G$7:$G$11,MOD('_Engine'!DA61,10))&amp;IF('_Engine'!DA61&gt;10,"?",""),IF('_Engine'!DA61=0,INDEX(Settings!$G$7:$G$11,MOD('_Engine'!DB61,10))&amp;IF('_Engine'!DB61&gt;10,"?","")&amp;" PM",IF('_Engine'!DB61=0,INDEX(Settings!$G$7:$G$11,MOD('_Engine'!DA61,10))&amp;IF('_Engine'!DA61&gt;10,"?","")&amp;" AM",INDEX(Settings!$G$7:$G$11,MOD('_Engine'!DA61,10))&amp;IF('_Engine'!DA61&gt;10,"?","")&amp;" AM"&amp;CHAR(10)&amp;INDEX(Settings!$G$7:$G$11,MOD('_Engine'!DB61,10))&amp;IF('_Engine'!DB61&gt;10,"?","")&amp;" PM"))))))))</ns0:f>
        <ns0:v/>
      </ns0:c>
      <ns0:c r="AD61" s="164" t="str">
        <ns0:f>IF(OR($A61="",AD$11=""),"",IF(OR('_Engine'!$B$6&gt;0,INDEX('_Engine'!$AM$11:$AM$60,'_Engine'!$AO61)&lt;&gt;"OK"),"!",IF(INDEX(Team!$H$11:$N$60,'_Engine'!$AO61,WEEKDAY(AD$11,2))&lt;&gt;"Work","—",IF(COUNTIF(Settings!$F$18:$F$67,AD$11)&gt;0,"BH",IF('_Engine'!DC61+'_Engine'!DD61=0,"·",IF('_Engine'!DC61='_Engine'!DD61,INDEX(Settings!$G$7:$G$11,MOD('_Engine'!DC61,10))&amp;IF('_Engine'!DC61&gt;10,"?",""),IF('_Engine'!DC61=0,INDEX(Settings!$G$7:$G$11,MOD('_Engine'!DD61,10))&amp;IF('_Engine'!DD61&gt;10,"?","")&amp;" PM",IF('_Engine'!DD61=0,INDEX(Settings!$G$7:$G$11,MOD('_Engine'!DC61,10))&amp;IF('_Engine'!DC61&gt;10,"?","")&amp;" AM",INDEX(Settings!$G$7:$G$11,MOD('_Engine'!DC61,10))&amp;IF('_Engine'!DC61&gt;10,"?","")&amp;" AM"&amp;CHAR(10)&amp;INDEX(Settings!$G$7:$G$11,MOD('_Engine'!DD61,10))&amp;IF('_Engine'!DD61&gt;10,"?","")&amp;" PM"))))))))</ns0:f>
        <ns0:v/>
      </ns0:c>
      <ns0:c r="AE61" s="164" t="str">
        <ns0:f>IF(OR($A61="",AE$11=""),"",IF(OR('_Engine'!$B$6&gt;0,INDEX('_Engine'!$AM$11:$AM$60,'_Engine'!$AO61)&lt;&gt;"OK"),"!",IF(INDEX(Team!$H$11:$N$60,'_Engine'!$AO61,WEEKDAY(AE$11,2))&lt;&gt;"Work","—",IF(COUNTIF(Settings!$F$18:$F$67,AE$11)&gt;0,"BH",IF('_Engine'!DE61+'_Engine'!DF61=0,"·",IF('_Engine'!DE61='_Engine'!DF61,INDEX(Settings!$G$7:$G$11,MOD('_Engine'!DE61,10))&amp;IF('_Engine'!DE61&gt;10,"?",""),IF('_Engine'!DE61=0,INDEX(Settings!$G$7:$G$11,MOD('_Engine'!DF61,10))&amp;IF('_Engine'!DF61&gt;10,"?","")&amp;" PM",IF('_Engine'!DF61=0,INDEX(Settings!$G$7:$G$11,MOD('_Engine'!DE61,10))&amp;IF('_Engine'!DE61&gt;10,"?","")&amp;" AM",INDEX(Settings!$G$7:$G$11,MOD('_Engine'!DE61,10))&amp;IF('_Engine'!DE61&gt;10,"?","")&amp;" AM"&amp;CHAR(10)&amp;INDEX(Settings!$G$7:$G$11,MOD('_Engine'!DF61,10))&amp;IF('_Engine'!DF61&gt;10,"?","")&amp;" PM"))))))))</ns0:f>
        <ns0:v/>
      </ns0:c>
      <ns0:c r="AF61" s="164" t="str">
        <ns0:f>IF(OR($A61="",AF$11=""),"",IF(OR('_Engine'!$B$6&gt;0,INDEX('_Engine'!$AM$11:$AM$60,'_Engine'!$AO61)&lt;&gt;"OK"),"!",IF(INDEX(Team!$H$11:$N$60,'_Engine'!$AO61,WEEKDAY(AF$11,2))&lt;&gt;"Work","—",IF(COUNTIF(Settings!$F$18:$F$67,AF$11)&gt;0,"BH",IF('_Engine'!DG61+'_Engine'!DH61=0,"·",IF('_Engine'!DG61='_Engine'!DH61,INDEX(Settings!$G$7:$G$11,MOD('_Engine'!DG61,10))&amp;IF('_Engine'!DG61&gt;10,"?",""),IF('_Engine'!DG61=0,INDEX(Settings!$G$7:$G$11,MOD('_Engine'!DH61,10))&amp;IF('_Engine'!DH61&gt;10,"?","")&amp;" PM",IF('_Engine'!DH61=0,INDEX(Settings!$G$7:$G$11,MOD('_Engine'!DG61,10))&amp;IF('_Engine'!DG61&gt;10,"?","")&amp;" AM",INDEX(Settings!$G$7:$G$11,MOD('_Engine'!DG61,10))&amp;IF('_Engine'!DG61&gt;10,"?","")&amp;" AM"&amp;CHAR(10)&amp;INDEX(Settings!$G$7:$G$11,MOD('_Engine'!DH61,10))&amp;IF('_Engine'!DH61&gt;10,"?","")&amp;" PM"))))))))</ns0:f>
        <ns0:v/>
      </ns0:c>
      <ns0:c r="AG61" s="164" t="str">
        <ns0:f>IF(OR($A61="",AG$11=""),"",IF(OR('_Engine'!$B$6&gt;0,INDEX('_Engine'!$AM$11:$AM$60,'_Engine'!$AO61)&lt;&gt;"OK"),"!",IF(INDEX(Team!$H$11:$N$60,'_Engine'!$AO61,WEEKDAY(AG$11,2))&lt;&gt;"Work","—",IF(COUNTIF(Settings!$F$18:$F$67,AG$11)&gt;0,"BH",IF('_Engine'!DI61+'_Engine'!DJ61=0,"·",IF('_Engine'!DI61='_Engine'!DJ61,INDEX(Settings!$G$7:$G$11,MOD('_Engine'!DI61,10))&amp;IF('_Engine'!DI61&gt;10,"?",""),IF('_Engine'!DI61=0,INDEX(Settings!$G$7:$G$11,MOD('_Engine'!DJ61,10))&amp;IF('_Engine'!DJ61&gt;10,"?","")&amp;" PM",IF('_Engine'!DJ61=0,INDEX(Settings!$G$7:$G$11,MOD('_Engine'!DI61,10))&amp;IF('_Engine'!DI61&gt;10,"?","")&amp;" AM",INDEX(Settings!$G$7:$G$11,MOD('_Engine'!DI61,10))&amp;IF('_Engine'!DI61&gt;10,"?","")&amp;" AM"&amp;CHAR(10)&amp;INDEX(Settings!$G$7:$G$11,MOD('_Engine'!DJ61,10))&amp;IF('_Engine'!DJ61&gt;10,"?","")&amp;" PM"))))))))</ns0:f>
        <ns0:v/>
      </ns0:c>
      <ns0:c r="AH61" s="164" t="str">
        <ns0:f>IF(OR($A61="",AH$11=""),"",IF(OR('_Engine'!$B$6&gt;0,INDEX('_Engine'!$AM$11:$AM$60,'_Engine'!$AO61)&lt;&gt;"OK"),"!",IF(INDEX(Team!$H$11:$N$60,'_Engine'!$AO61,WEEKDAY(AH$11,2))&lt;&gt;"Work","—",IF(COUNTIF(Settings!$F$18:$F$67,AH$11)&gt;0,"BH",IF('_Engine'!DK61+'_Engine'!DL61=0,"·",IF('_Engine'!DK61='_Engine'!DL61,INDEX(Settings!$G$7:$G$11,MOD('_Engine'!DK61,10))&amp;IF('_Engine'!DK61&gt;10,"?",""),IF('_Engine'!DK61=0,INDEX(Settings!$G$7:$G$11,MOD('_Engine'!DL61,10))&amp;IF('_Engine'!DL61&gt;10,"?","")&amp;" PM",IF('_Engine'!DL61=0,INDEX(Settings!$G$7:$G$11,MOD('_Engine'!DK61,10))&amp;IF('_Engine'!DK61&gt;10,"?","")&amp;" AM",INDEX(Settings!$G$7:$G$11,MOD('_Engine'!DK61,10))&amp;IF('_Engine'!DK61&gt;10,"?","")&amp;" AM"&amp;CHAR(10)&amp;INDEX(Settings!$G$7:$G$11,MOD('_Engine'!DL61,10))&amp;IF('_Engine'!DL61&gt;10,"?","")&amp;" PM"))))))))</ns0:f>
        <ns0:v/>
      </ns0:c>
    </ns0:row>
    <ns0:row r="62" ht="22" customHeight="1">
      <ns0:c r="A62" s="4"/>
      <ns0:c r="B62" s="4"/>
      <ns0:c r="C62" s="4"/>
      <ns0:c r="D62" s="4"/>
      <ns0:c r="E62" s="4"/>
      <ns0:c r="F62" s="4"/>
      <ns0:c r="G62" s="4"/>
      <ns0:c r="H62" s="4"/>
      <ns0:c r="I62" s="4"/>
      <ns0:c r="J62" s="4"/>
    </ns0:row>
    <ns0:row r="63" ht="22" customHeight="1">
      <ns0:c r="A63" s="4"/>
      <ns0:c r="B63" s="4"/>
      <ns0:c r="C63" s="4"/>
      <ns0:c r="D63" s="4"/>
      <ns0:c r="E63" s="4"/>
      <ns0:c r="F63" s="4"/>
      <ns0:c r="G63" s="4"/>
      <ns0:c r="H63" s="4"/>
      <ns0:c r="I63" s="4"/>
      <ns0:c r="J63" s="4"/>
    </ns0:row>
    <ns0:row r="64" ht="22" customHeight="1">
      <ns0:c r="A64" s="4"/>
      <ns0:c r="B64" s="4"/>
      <ns0:c r="C64" s="4"/>
      <ns0:c r="D64" s="4"/>
      <ns0:c r="E64" s="4"/>
      <ns0:c r="F64" s="4"/>
      <ns0:c r="G64" s="4"/>
      <ns0:c r="H64" s="4"/>
      <ns0:c r="I64" s="4"/>
      <ns0:c r="J64" s="4"/>
    </ns0:row>
    <ns0:row r="65" ht="22" customHeight="1">
      <ns0:c r="A65" s="4"/>
      <ns0:c r="B65" s="4"/>
      <ns0:c r="C65" s="4"/>
      <ns0:c r="D65" s="4"/>
      <ns0:c r="E65" s="4"/>
      <ns0:c r="F65" s="4"/>
      <ns0:c r="G65" s="4"/>
      <ns0:c r="H65" s="4"/>
      <ns0:c r="I65" s="4"/>
      <ns0:c r="J65" s="4"/>
    </ns0:row>
    <ns0:row r="66" ht="22" customHeight="1">
      <ns0:c r="A66" s="4"/>
      <ns0:c r="B66" s="4"/>
      <ns0:c r="C66" s="4"/>
      <ns0:c r="D66" s="4"/>
      <ns0:c r="E66" s="4"/>
      <ns0:c r="F66" s="4"/>
      <ns0:c r="G66" s="4"/>
      <ns0:c r="H66" s="4"/>
      <ns0:c r="I66" s="4"/>
      <ns0:c r="J66" s="4"/>
    </ns0:row>
    <ns0:row r="67" ht="22" customHeight="1">
      <ns0:c r="A67" s="4"/>
      <ns0:c r="B67" s="4"/>
      <ns0:c r="C67" s="4"/>
      <ns0:c r="D67" s="4"/>
      <ns0:c r="E67" s="4"/>
      <ns0:c r="F67" s="4"/>
      <ns0:c r="G67" s="4"/>
      <ns0:c r="H67" s="4"/>
      <ns0:c r="I67" s="4"/>
      <ns0:c r="J67" s="4"/>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AH2"/>
    <ns0:mergeCell ref="D4:G4"/>
    <ns0:mergeCell ref="H4:K4"/>
    <ns0:mergeCell ref="L4:O4"/>
    <ns0:mergeCell ref="D6:R7"/>
    <ns0:mergeCell ref="S6:AH7"/>
    <ns0:mergeCell ref="A8:C8"/>
    <ns0:mergeCell ref="D8:AH8"/>
    <ns0:mergeCell ref="A10:AH10"/>
  </ns0:mergeCells>
  <ns0:conditionalFormatting sqref="D12:AH61">
    <ns0:cfRule type="expression" dxfId="0" priority="1">
      <ns0:formula>D12="—"</ns0:formula>
    </ns0:cfRule>
    <ns0:cfRule type="expression" dxfId="1" priority="2">
      <ns0:formula>D12="BH"</ns0:formula>
    </ns0:cfRule>
    <ns0:cfRule type="expression" dxfId="2" priority="3">
      <ns0:formula>D12="!"</ns0:formula>
    </ns0:cfRule>
    <ns0:cfRule type="expression" dxfId="3" priority="4">
      <ns0:formula>AND(LEFT(D12,1)="H",ISERROR(FIND("?",D12)))</ns0:formula>
    </ns0:cfRule>
    <ns0:cfRule type="expression" dxfId="4" priority="5">
      <ns0:formula>AND(LEFT(D12,1)="S",ISERROR(FIND("?",D12)))</ns0:formula>
    </ns0:cfRule>
    <ns0:cfRule type="expression" dxfId="5" priority="6">
      <ns0:formula>AND(LEFT(D12,1)="U",ISERROR(FIND("?",D12)))</ns0:formula>
    </ns0:cfRule>
    <ns0:cfRule type="expression" dxfId="6" priority="7">
      <ns0:formula>AND(LEFT(D12,1)="T",ISERROR(FIND("?",D12)))</ns0:formula>
    </ns0:cfRule>
    <ns0:cfRule type="expression" dxfId="7" priority="8">
      <ns0:formula>AND(LEFT(D12,1)="O",ISERROR(FIND("?",D12)))</ns0:formula>
    </ns0:cfRule>
    <ns0:cfRule type="expression" dxfId="8" priority="9">
      <ns0:formula>ISNUMBER(FIND("?",D12))</ns0:formula>
    </ns0:cfRule>
  </ns0:conditionalFormatting>
  <ns0:conditionalFormatting sqref="B12:B61">
    <ns0:cfRule type="expression" dxfId="12" priority="10">
      <ns0:formula>AND(ISNUMBER(B12),B12&lt;0)</ns0:formula>
    </ns0:cfRule>
    <ns0:cfRule type="expression" dxfId="13" priority="11">
      <ns0:formula>B12="REVIEW"</ns0:formula>
    </ns0:cfRule>
  </ns0:conditionalFormatting>
  <ns0:dataValidations count="2">
    <ns0:dataValidation type="list" sqref="A7" showErrorMessage="1" errorStyle="stop" allowBlank="1" errorTitle="Check this entry" error="Choose a supported value. Pasted entries are also checked in the Review column.">
      <ns0:formula1>MonthChoices</ns0:formula1>
    </ns0:dataValidation>
    <ns0:dataValidation type="list" sqref="C7" showErrorMessage="1" errorStyle="stop" allowBlank="1" errorTitle="Check this entry" error="Choose a supported value. Pasted entries are also checked in the Review column.">
      <ns0:formula1>TeamChoices</ns0:formula1>
    </ns0:dataValidation>
  </ns0:dataValidations>
  <ns0:pageMargins left="0.7" right="0.7" top="0.75" bottom="0.75" header="0.3" footer="0.3"/>
</ns0:worksheet>
</file>

<file path=xl/worksheets/sheet2.xml><?xml version="1.0" encoding="utf-8"?>
<ns0:worksheet xmlns:ns0="http://schemas.openxmlformats.org/spreadsheetml/2006/main" xmlns:ns1="http://schemas.openxmlformats.org/officeDocument/2006/relationships">
  <ns0:sheetViews>
    <ns0:sheetView workbookViewId="0" showGridLines="0" zoomScale="85">
      <ns0:pane ySplit="10" topLeftCell="B11" activePane="bottomRight" state="frozen" xSplit="1"/>
      <ns0:selection pane="bottomRight" activeCell="B11" sqref="B11"/>
    </ns0:sheetView>
  </ns0:sheetViews>
  <ns0:sheetFormatPr defaultRowHeight="15"/>
  <ns0:cols>
    <ns0:col min="1" max="1" width="31" customWidth="1"/>
    <ns0:col min="2" max="2" width="17" customWidth="1"/>
    <ns0:col min="3" max="3" width="13" customWidth="1"/>
    <ns0:col min="4" max="4" width="17" customWidth="1"/>
    <ns0:col min="5" max="5" width="13" customWidth="1"/>
    <ns0:col min="6" max="6" width="22" customWidth="1"/>
    <ns0:col min="7" max="7" width="13" customWidth="1"/>
    <ns0:col min="8" max="8" width="9" customWidth="1"/>
    <ns0:col min="9" max="9" width="35" customWidth="1"/>
    <ns0:col min="10" max="10" width="40" customWidth="1"/>
  </ns0:cols>
  <ns0:sheetData>
    <ns0:row r="1" ht="26" customHeight="1">
      <ns0:c r="A1" s="7" t="inlineStr">
        <ns0:is>
          <ns0:t>TimeOff.Management  /  Bookings</ns0:t>
        </ns0:is>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0" t="inlineStr">
        <ns0:is>
          <ns0:t>Enter dates as 23.07.2027 (day.month.year). ISO 2027-07-23 and selected date values also work. Review confirms how the dates were read.</ns0:t>
        </ns0:is>
      </ns0:c>
      <ns0:c r="B6" s="40"/>
      <ns0:c r="C6" s="40"/>
      <ns0:c r="D6" s="40"/>
      <ns0:c r="E6" s="40"/>
      <ns0:c r="F6" s="40"/>
      <ns0:c r="G6" s="40"/>
      <ns0:c r="H6" s="40"/>
      <ns0:c r="I6" s="40"/>
      <ns0:c r="J6" s="4"/>
    </ns0:row>
    <ns0:row r="7" ht="22" customHeight="1">
      <ns0:c r="A7" s="40"/>
      <ns0:c r="B7" s="40"/>
      <ns0:c r="C7" s="40"/>
      <ns0:c r="D7" s="40"/>
      <ns0:c r="E7" s="40"/>
      <ns0:c r="F7" s="40"/>
      <ns0:c r="G7" s="40"/>
      <ns0:c r="H7" s="40"/>
      <ns0:c r="I7" s="40"/>
      <ns0:c r="J7" s="4"/>
    </ns0:row>
    <ns0:row r="8" ht="31" customHeight="1">
      <ns0:c r="A8" s="52" t="inlineStr">
        <ns0:is>
          <ns0:t>First / last day: Full day, AM or PM. Blank means Full day; working days between are full. For one date, use a half in either box; do not mix AM and PM.</ns0:t>
        </ns0:is>
      </ns0:c>
      <ns0:c r="B8" s="4"/>
      <ns0:c r="C8" s="4"/>
      <ns0:c r="D8" s="4"/>
      <ns0:c r="E8" s="4"/>
      <ns0:c r="F8" s="4"/>
      <ns0:c r="G8" s="4"/>
      <ns0:c r="H8" s="4"/>
      <ns0:c r="I8" s="4"/>
      <ns0:c r="J8" s="4"/>
    </ns0:row>
    <ns0:row r="9" ht="28" customHeight="1">
      <ns0:c r="A9" s="52" t="inlineStr">
        <ns0:is>
          <ns0:t>Example: Monday Full day → Tuesday AM = 1.5 days. Monday PM → Tuesday Full day = 1.5 days. Pending does not reduce allowance.</ns0:t>
        </ns0:is>
      </ns0:c>
      <ns0:c r="B9" s="52"/>
      <ns0:c r="C9" s="52"/>
      <ns0:c r="D9" s="52"/>
      <ns0:c r="E9" s="52"/>
      <ns0:c r="F9" s="52"/>
      <ns0:c r="G9" s="52"/>
      <ns0:c r="H9" s="52"/>
      <ns0:c r="I9" s="52"/>
      <ns0:c r="J9" s="4"/>
    </ns0:row>
    <ns0:row r="10" ht="42" customHeight="1">
      <ns0:c r="A10" s="17" t="inlineStr">
        <ns0:is>
          <ns0:t>Employee · ID</ns0:t>
        </ns0:is>
      </ns0:c>
      <ns0:c r="B10" s="17" t="inlineStr">
        <ns0:is>
          <ns0:t>Start date
DD.MM.YYYY</ns0:t>
        </ns0:is>
      </ns0:c>
      <ns0:c r="C10" s="17" t="inlineStr">
        <ns0:is>
          <ns0:t>First day</ns0:t>
        </ns0:is>
      </ns0:c>
      <ns0:c r="D10" s="17" t="inlineStr">
        <ns0:is>
          <ns0:t>End date
DD.MM.YYYY</ns0:t>
        </ns0:is>
      </ns0:c>
      <ns0:c r="E10" s="17" t="inlineStr">
        <ns0:is>
          <ns0:t>Last day</ns0:t>
        </ns0:is>
      </ns0:c>
      <ns0:c r="F10" s="17" t="inlineStr">
        <ns0:is>
          <ns0:t>Leave type · code</ns0:t>
        </ns0:is>
      </ns0:c>
      <ns0:c r="G10" s="17" t="inlineStr">
        <ns0:is>
          <ns0:t>Status</ns0:t>
        </ns0:is>
      </ns0:c>
      <ns0:c r="H10" s="17" t="inlineStr">
        <ns0:is>
          <ns0:t>Days</ns0:t>
        </ns0:is>
      </ns0:c>
      <ns0:c r="I10" s="17" t="inlineStr">
        <ns0:is>
          <ns0:t>Note (optional)</ns0:t>
        </ns0:is>
      </ns0:c>
      <ns0:c r="J10" s="17" t="inlineStr">
        <ns0:is>
          <ns0:t>Review / dates read as</ns0:t>
        </ns0:is>
      </ns0:c>
    </ns0:row>
    <ns0:row r="11" ht="43" customHeight="1">
      <ns0:c r="A11" s="200" t="inlineStr">
        <ns0:is>
          <ns0:t>Alex Morgan · EMP001</ns0:t>
        </ns0:is>
      </ns0:c>
      <ns0:c r="B11" s="201">
        <ns0:v>46545</ns0:v>
      </ns0:c>
      <ns0:c r="C11" s="209" t="inlineStr">
        <ns0:is>
          <ns0:t>Full day</ns0:t>
        </ns0:is>
      </ns0:c>
      <ns0:c r="D11" s="201">
        <ns0:v>46549</ns0:v>
      </ns0:c>
      <ns0:c r="E11" s="209" t="inlineStr">
        <ns0:is>
          <ns0:t>Full day</ns0:t>
        </ns0:is>
      </ns0:c>
      <ns0:c r="F11" s="200" t="inlineStr">
        <ns0:is>
          <ns0:t>Holiday · H</ns0:t>
        </ns0:is>
      </ns0:c>
      <ns0:c r="G11" s="200" t="inlineStr">
        <ns0:is>
          <ns0:t>Approved</ns0:t>
        </ns0:is>
      </ns0:c>
      <ns0:c r="H11" s="210">
        <ns0:f>IF('_Engine'!A11=0,"",IF('_Engine'!$B$6&gt;0,"REVIEW",IF('_Engine'!L11&gt;0,"REVIEW",'_Engine'!G11)))</ns0:f>
        <ns0:v>5</ns0:v>
      </ns0:c>
      <ns0:c r="I11" s="207" t="inlineStr">
        <ns0:is>
          <ns0:t>Earlier approved holiday</ns0:t>
        </ns0:is>
      </ns0:c>
      <ns0:c r="J11" s="208" t="str">
        <ns0:f>IF('_Engine'!K11="OK","OK · "&amp;TEXT('_Dates'!J11,"dd mmm yyyy")&amp;IF('_Dates'!J11='_Dates'!T11,""," → "&amp;TEXT('_Dates'!T11,"dd mmm yyyy")),'_Engine'!K11)</ns0:f>
        <ns0:v>OK · 07 Jun 2027 → 11 Jun 2027</ns0:v>
      </ns0:c>
    </ns0:row>
    <ns0:row r="12" ht="43" customHeight="1">
      <ns0:c r="A12" s="200" t="inlineStr">
        <ns0:is>
          <ns0:t>Alex Morgan · EMP001</ns0:t>
        </ns0:is>
      </ns0:c>
      <ns0:c r="B12" s="201">
        <ns0:v>46580</ns0:v>
      </ns0:c>
      <ns0:c r="C12" s="209" t="inlineStr">
        <ns0:is>
          <ns0:t>Full day</ns0:t>
        </ns0:is>
      </ns0:c>
      <ns0:c r="D12" s="201">
        <ns0:v>46584</ns0:v>
      </ns0:c>
      <ns0:c r="E12" s="209" t="inlineStr">
        <ns0:is>
          <ns0:t>Full day</ns0:t>
        </ns0:is>
      </ns0:c>
      <ns0:c r="F12" s="200" t="inlineStr">
        <ns0:is>
          <ns0:t>Holiday · H</ns0:t>
        </ns0:is>
      </ns0:c>
      <ns0:c r="G12" s="200" t="inlineStr">
        <ns0:is>
          <ns0:t>Approved</ns0:t>
        </ns0:is>
      </ns0:c>
      <ns0:c r="H12" s="210">
        <ns0:f>IF('_Engine'!A12=0,"",IF('_Engine'!$B$6&gt;0,"REVIEW",IF('_Engine'!L12&gt;0,"REVIEW",'_Engine'!G12)))</ns0:f>
        <ns0:v>5</ns0:v>
      </ns0:c>
      <ns0:c r="I12" s="207" t="inlineStr">
        <ns0:is>
          <ns0:t>Spans the 14 July reporting date</ns0:t>
        </ns0:is>
      </ns0:c>
      <ns0:c r="J12" s="208" t="str">
        <ns0:f>IF('_Engine'!K12="OK","OK · "&amp;TEXT('_Dates'!J12,"dd mmm yyyy")&amp;IF('_Dates'!J12='_Dates'!T12,""," → "&amp;TEXT('_Dates'!T12,"dd mmm yyyy")),'_Engine'!K12)</ns0:f>
        <ns0:v>OK · 12 Jul 2027 → 16 Jul 2027</ns0:v>
      </ns0:c>
    </ns0:row>
    <ns0:row r="13" ht="43" customHeight="1">
      <ns0:c r="A13" s="200" t="inlineStr">
        <ns0:is>
          <ns0:t>Alex Morgan · EMP001</ns0:t>
        </ns0:is>
      </ns0:c>
      <ns0:c r="B13" s="201">
        <ns0:v>46594</ns0:v>
      </ns0:c>
      <ns0:c r="C13" s="209" t="inlineStr">
        <ns0:is>
          <ns0:t>Full day</ns0:t>
        </ns0:is>
      </ns0:c>
      <ns0:c r="D13" s="201">
        <ns0:v>46598</ns0:v>
      </ns0:c>
      <ns0:c r="E13" s="209" t="inlineStr">
        <ns0:is>
          <ns0:t>Full day</ns0:t>
        </ns0:is>
      </ns0:c>
      <ns0:c r="F13" s="200" t="inlineStr">
        <ns0:is>
          <ns0:t>Holiday · H</ns0:t>
        </ns0:is>
      </ns0:c>
      <ns0:c r="G13" s="200" t="inlineStr">
        <ns0:is>
          <ns0:t>Cancelled</ns0:t>
        </ns0:is>
      </ns0:c>
      <ns0:c r="H13" s="210">
        <ns0:f>IF('_Engine'!A13=0,"",IF('_Engine'!$B$6&gt;0,"REVIEW",IF('_Engine'!L13&gt;0,"REVIEW",'_Engine'!G13)))</ns0:f>
        <ns0:v>5</ns0:v>
      </ns0:c>
      <ns0:c r="I13" s="207" t="inlineStr">
        <ns0:is>
          <ns0:t>Cancelled: no deduction</ns0:t>
        </ns0:is>
      </ns0:c>
      <ns0:c r="J13" s="208" t="str">
        <ns0:f>IF('_Engine'!K13="OK","OK · "&amp;TEXT('_Dates'!J13,"dd mmm yyyy")&amp;IF('_Dates'!J13='_Dates'!T13,""," → "&amp;TEXT('_Dates'!T13,"dd mmm yyyy")),'_Engine'!K13)</ns0:f>
        <ns0:v>Cancelled</ns0:v>
      </ns0:c>
    </ns0:row>
    <ns0:row r="14" ht="43" customHeight="1">
      <ns0:c r="A14" s="200" t="inlineStr">
        <ns0:is>
          <ns0:t>Helen Stone · EMP002</ns0:t>
        </ns0:is>
      </ns0:c>
      <ns0:c r="B14" s="201">
        <ns0:v>46590</ns0:v>
      </ns0:c>
      <ns0:c r="C14" s="209" t="inlineStr">
        <ns0:is>
          <ns0:t>Full day</ns0:t>
        </ns0:is>
      </ns0:c>
      <ns0:c r="D14" s="201">
        <ns0:v>46591</ns0:v>
      </ns0:c>
      <ns0:c r="E14" s="209" t="inlineStr">
        <ns0:is>
          <ns0:t>Full day</ns0:t>
        </ns0:is>
      </ns0:c>
      <ns0:c r="F14" s="200" t="inlineStr">
        <ns0:is>
          <ns0:t>Holiday · H</ns0:t>
        </ns0:is>
      </ns0:c>
      <ns0:c r="G14" s="200" t="inlineStr">
        <ns0:is>
          <ns0:t>Approved</ns0:t>
        </ns0:is>
      </ns0:c>
      <ns0:c r="H14" s="210">
        <ns0:f>IF('_Engine'!A14=0,"",IF('_Engine'!$B$6&gt;0,"REVIEW",IF('_Engine'!L14&gt;0,"REVIEW",'_Engine'!G14)))</ns0:f>
        <ns0:v>1</ns0:v>
      </ns0:c>
      <ns0:c r="I14" s="207" t="inlineStr">
        <ns0:is>
          <ns0:t>Example closure on 23 July is excluded</ns0:t>
        </ns0:is>
      </ns0:c>
      <ns0:c r="J14" s="208" t="str">
        <ns0:f>IF('_Engine'!K14="OK","OK · "&amp;TEXT('_Dates'!J14,"dd mmm yyyy")&amp;IF('_Dates'!J14='_Dates'!T14,""," → "&amp;TEXT('_Dates'!T14,"dd mmm yyyy")),'_Engine'!K14)</ns0:f>
        <ns0:v>OK · 22 Jul 2027 → 23 Jul 2027</ns0:v>
      </ns0:c>
    </ns0:row>
    <ns0:row r="15" ht="43" customHeight="1">
      <ns0:c r="A15" s="200" t="inlineStr">
        <ns0:is>
          <ns0:t>Helen Stone · EMP002</ns0:t>
        </ns0:is>
      </ns0:c>
      <ns0:c r="B15" s="201">
        <ns0:v>46580</ns0:v>
      </ns0:c>
      <ns0:c r="C15" s="209" t="inlineStr">
        <ns0:is>
          <ns0:t>Full day</ns0:t>
        </ns0:is>
      </ns0:c>
      <ns0:c r="D15" s="201">
        <ns0:v>46580</ns0:v>
      </ns0:c>
      <ns0:c r="E15" s="209" t="inlineStr">
        <ns0:is>
          <ns0:t>Full day</ns0:t>
        </ns0:is>
      </ns0:c>
      <ns0:c r="F15" s="200" t="inlineStr">
        <ns0:is>
          <ns0:t>Training · T</ns0:t>
        </ns0:is>
      </ns0:c>
      <ns0:c r="G15" s="200" t="inlineStr">
        <ns0:is>
          <ns0:t>Approved</ns0:t>
        </ns0:is>
      </ns0:c>
      <ns0:c r="H15" s="210">
        <ns0:f>IF('_Engine'!A15=0,"",IF('_Engine'!$B$6&gt;0,"REVIEW",IF('_Engine'!L15&gt;0,"REVIEW",'_Engine'!G15)))</ns0:f>
        <ns0:v>1</ns0:v>
      </ns0:c>
      <ns0:c r="I15" s="207" t="inlineStr">
        <ns0:is>
          <ns0:t>Training does not use holiday</ns0:t>
        </ns0:is>
      </ns0:c>
      <ns0:c r="J15" s="208" t="str">
        <ns0:f>IF('_Engine'!K15="OK","OK · "&amp;TEXT('_Dates'!J15,"dd mmm yyyy")&amp;IF('_Dates'!J15='_Dates'!T15,""," → "&amp;TEXT('_Dates'!T15,"dd mmm yyyy")),'_Engine'!K15)</ns0:f>
        <ns0:v>OK · 12 Jul 2027</ns0:v>
      </ns0:c>
    </ns0:row>
    <ns0:row r="16" ht="43" customHeight="1">
      <ns0:c r="A16" s="200" t="inlineStr">
        <ns0:is>
          <ns0:t>Sam Patel · EMP003</ns0:t>
        </ns0:is>
      </ns0:c>
      <ns0:c r="B16" s="201">
        <ns0:v>46587</ns0:v>
      </ns0:c>
      <ns0:c r="C16" s="209" t="inlineStr">
        <ns0:is>
          <ns0:t>Full day</ns0:t>
        </ns0:is>
      </ns0:c>
      <ns0:c r="D16" s="201">
        <ns0:v>46591</ns0:v>
      </ns0:c>
      <ns0:c r="E16" s="209" t="inlineStr">
        <ns0:is>
          <ns0:t>Full day</ns0:t>
        </ns0:is>
      </ns0:c>
      <ns0:c r="F16" s="200" t="inlineStr">
        <ns0:is>
          <ns0:t>Holiday · H</ns0:t>
        </ns0:is>
      </ns0:c>
      <ns0:c r="G16" s="200" t="inlineStr">
        <ns0:is>
          <ns0:t>Approved</ns0:t>
        </ns0:is>
      </ns0:c>
      <ns0:c r="H16" s="210">
        <ns0:f>IF('_Engine'!A16=0,"",IF('_Engine'!$B$6&gt;0,"REVIEW",IF('_Engine'!L16&gt;0,"REVIEW",'_Engine'!G16)))</ns0:f>
        <ns0:v>3</ns0:v>
      </ns0:c>
      <ns0:c r="I16" s="207" t="inlineStr">
        <ns0:is>
          <ns0:t>Monday–Wednesday working pattern</ns0:t>
        </ns0:is>
      </ns0:c>
      <ns0:c r="J16" s="208" t="str">
        <ns0:f>IF('_Engine'!K16="OK","OK · "&amp;TEXT('_Dates'!J16,"dd mmm yyyy")&amp;IF('_Dates'!J16='_Dates'!T16,""," → "&amp;TEXT('_Dates'!T16,"dd mmm yyyy")),'_Engine'!K16)</ns0:f>
        <ns0:v>OK · 19 Jul 2027 → 23 Jul 2027</ns0:v>
      </ns0:c>
    </ns0:row>
    <ns0:row r="17" ht="43" customHeight="1">
      <ns0:c r="A17" s="200" t="inlineStr">
        <ns0:is>
          <ns0:t>Sam Patel · EMP003</ns0:t>
        </ns0:is>
      </ns0:c>
      <ns0:c r="B17" s="201">
        <ns0:v>46594</ns0:v>
      </ns0:c>
      <ns0:c r="C17" s="209" t="inlineStr">
        <ns0:is>
          <ns0:t>Full day</ns0:t>
        </ns0:is>
      </ns0:c>
      <ns0:c r="D17" s="201">
        <ns0:v>46596</ns0:v>
      </ns0:c>
      <ns0:c r="E17" s="209" t="inlineStr">
        <ns0:is>
          <ns0:t>Full day</ns0:t>
        </ns0:is>
      </ns0:c>
      <ns0:c r="F17" s="200" t="inlineStr">
        <ns0:is>
          <ns0:t>Holiday · H</ns0:t>
        </ns0:is>
      </ns0:c>
      <ns0:c r="G17" s="200" t="inlineStr">
        <ns0:is>
          <ns0:t>Pending</ns0:t>
        </ns0:is>
      </ns0:c>
      <ns0:c r="H17" s="210">
        <ns0:f>IF('_Engine'!A17=0,"",IF('_Engine'!$B$6&gt;0,"REVIEW",IF('_Engine'!L17&gt;0,"REVIEW",'_Engine'!G17)))</ns0:f>
        <ns0:v>3</ns0:v>
      </ns0:c>
      <ns0:c r="I17" s="207" t="inlineStr">
        <ns0:is>
          <ns0:t>Pending, not deducted</ns0:t>
        </ns0:is>
      </ns0:c>
      <ns0:c r="J17" s="208" t="str">
        <ns0:f>IF('_Engine'!K17="OK","OK · "&amp;TEXT('_Dates'!J17,"dd mmm yyyy")&amp;IF('_Dates'!J17='_Dates'!T17,""," → "&amp;TEXT('_Dates'!T17,"dd mmm yyyy")),'_Engine'!K17)</ns0:f>
        <ns0:v>OK · 26 Jul 2027 → 28 Jul 2027</ns0:v>
      </ns0:c>
    </ns0:row>
    <ns0:row r="18" ht="43" customHeight="1">
      <ns0:c r="A18" s="200" t="inlineStr">
        <ns0:is>
          <ns0:t>Jordan Lee · EMP004</ns0:t>
        </ns0:is>
      </ns0:c>
      <ns0:c r="B18" s="201">
        <ns0:v>46582</ns0:v>
      </ns0:c>
      <ns0:c r="C18" s="209" t="inlineStr">
        <ns0:is>
          <ns0:t>AM</ns0:t>
        </ns0:is>
      </ns0:c>
      <ns0:c r="D18" s="201">
        <ns0:v>46582</ns0:v>
      </ns0:c>
      <ns0:c r="E18" s="209" t="inlineStr">
        <ns0:is>
          <ns0:t>Full day</ns0:t>
        </ns0:is>
      </ns0:c>
      <ns0:c r="F18" s="200" t="inlineStr">
        <ns0:is>
          <ns0:t>Holiday · H</ns0:t>
        </ns0:is>
      </ns0:c>
      <ns0:c r="G18" s="200" t="inlineStr">
        <ns0:is>
          <ns0:t>Approved</ns0:t>
        </ns0:is>
      </ns0:c>
      <ns0:c r="H18" s="210">
        <ns0:f>IF('_Engine'!A18=0,"",IF('_Engine'!$B$6&gt;0,"REVIEW",IF('_Engine'!L18&gt;0,"REVIEW",'_Engine'!G18)))</ns0:f>
        <ns0:v>0.5</ns0:v>
      </ns0:c>
      <ns0:c r="I18" s="207" t="inlineStr">
        <ns0:is>
          <ns0:t>Morning holiday</ns0:t>
        </ns0:is>
      </ns0:c>
      <ns0:c r="J18" s="208" t="str">
        <ns0:f>IF('_Engine'!K18="OK","OK · "&amp;TEXT('_Dates'!J18,"dd mmm yyyy")&amp;IF('_Dates'!J18='_Dates'!T18,""," → "&amp;TEXT('_Dates'!T18,"dd mmm yyyy")),'_Engine'!K18)</ns0:f>
        <ns0:v>OK · 14 Jul 2027</ns0:v>
      </ns0:c>
    </ns0:row>
    <ns0:row r="19" ht="43" customHeight="1">
      <ns0:c r="A19" s="200" t="inlineStr">
        <ns0:is>
          <ns0:t>Jordan Lee · EMP004</ns0:t>
        </ns0:is>
      </ns0:c>
      <ns0:c r="B19" s="201">
        <ns0:v>46582</ns0:v>
      </ns0:c>
      <ns0:c r="C19" s="209" t="inlineStr">
        <ns0:is>
          <ns0:t>PM</ns0:t>
        </ns0:is>
      </ns0:c>
      <ns0:c r="D19" s="201">
        <ns0:v>46582</ns0:v>
      </ns0:c>
      <ns0:c r="E19" s="209" t="inlineStr">
        <ns0:is>
          <ns0:t>Full day</ns0:t>
        </ns0:is>
      </ns0:c>
      <ns0:c r="F19" s="200" t="inlineStr">
        <ns0:is>
          <ns0:t>Sick leave · S</ns0:t>
        </ns0:is>
      </ns0:c>
      <ns0:c r="G19" s="200" t="inlineStr">
        <ns0:is>
          <ns0:t>Approved</ns0:t>
        </ns0:is>
      </ns0:c>
      <ns0:c r="H19" s="210">
        <ns0:f>IF('_Engine'!A19=0,"",IF('_Engine'!$B$6&gt;0,"REVIEW",IF('_Engine'!L19&gt;0,"REVIEW",'_Engine'!G19)))</ns0:f>
        <ns0:v>0.5</ns0:v>
      </ns0:c>
      <ns0:c r="I19" s="207" t="inlineStr">
        <ns0:is>
          <ns0:t>Afternoon absence</ns0:t>
        </ns0:is>
      </ns0:c>
      <ns0:c r="J19" s="208" t="str">
        <ns0:f>IF('_Engine'!K19="OK","OK · "&amp;TEXT('_Dates'!J19,"dd mmm yyyy")&amp;IF('_Dates'!J19='_Dates'!T19,""," → "&amp;TEXT('_Dates'!T19,"dd mmm yyyy")),'_Engine'!K19)</ns0:f>
        <ns0:v>OK · 14 Jul 2027</ns0:v>
      </ns0:c>
    </ns0:row>
    <ns0:row r="20" ht="43" customHeight="1">
      <ns0:c r="A20" s="200" t="inlineStr">
        <ns0:is>
          <ns0:t>Casey Taylor · EMP005</ns0:t>
        </ns0:is>
      </ns0:c>
      <ns0:c r="B20" s="201">
        <ns0:v>46594</ns0:v>
      </ns0:c>
      <ns0:c r="C20" s="209" t="inlineStr">
        <ns0:is>
          <ns0:t>Full day</ns0:t>
        </ns0:is>
      </ns0:c>
      <ns0:c r="D20" s="201">
        <ns0:v>46598</ns0:v>
      </ns0:c>
      <ns0:c r="E20" s="209" t="inlineStr">
        <ns0:is>
          <ns0:t>Full day</ns0:t>
        </ns0:is>
      </ns0:c>
      <ns0:c r="F20" s="200" t="inlineStr">
        <ns0:is>
          <ns0:t>Holiday · H</ns0:t>
        </ns0:is>
      </ns0:c>
      <ns0:c r="G20" s="200" t="inlineStr">
        <ns0:is>
          <ns0:t>Pending</ns0:t>
        </ns0:is>
      </ns0:c>
      <ns0:c r="H20" s="210">
        <ns0:f>IF('_Engine'!A20=0,"",IF('_Engine'!$B$6&gt;0,"REVIEW",IF('_Engine'!L20&gt;0,"REVIEW",'_Engine'!G20)))</ns0:f>
        <ns0:v>5</ns0:v>
      </ns0:c>
      <ns0:c r="I20" s="207" t="inlineStr">
        <ns0:is>
          <ns0:t>Awaiting a manual decision</ns0:t>
        </ns0:is>
      </ns0:c>
      <ns0:c r="J20" s="208" t="str">
        <ns0:f>IF('_Engine'!K20="OK","OK · "&amp;TEXT('_Dates'!J20,"dd mmm yyyy")&amp;IF('_Dates'!J20='_Dates'!T20,""," → "&amp;TEXT('_Dates'!T20,"dd mmm yyyy")),'_Engine'!K20)</ns0:f>
        <ns0:v>OK · 26 Jul 2027 → 30 Jul 2027</ns0:v>
      </ns0:c>
    </ns0:row>
    <ns0:row r="21" ht="43" customHeight="1">
      <ns0:c r="A21" s="200" t="inlineStr">
        <ns0:is>
          <ns0:t>Casey Taylor · EMP005</ns0:t>
        </ns0:is>
      </ns0:c>
      <ns0:c r="B21" s="201">
        <ns0:v>46575</ns0:v>
      </ns0:c>
      <ns0:c r="C21" s="209" t="inlineStr">
        <ns0:is>
          <ns0:t>Full day</ns0:t>
        </ns0:is>
      </ns0:c>
      <ns0:c r="D21" s="201">
        <ns0:v>46575</ns0:v>
      </ns0:c>
      <ns0:c r="E21" s="209" t="inlineStr">
        <ns0:is>
          <ns0:t>Full day</ns0:t>
        </ns0:is>
      </ns0:c>
      <ns0:c r="F21" s="200" t="inlineStr">
        <ns0:is>
          <ns0:t>Sick leave · S</ns0:t>
        </ns0:is>
      </ns0:c>
      <ns0:c r="G21" s="200" t="inlineStr">
        <ns0:is>
          <ns0:t>Approved</ns0:t>
        </ns0:is>
      </ns0:c>
      <ns0:c r="H21" s="210">
        <ns0:f>IF('_Engine'!A21=0,"",IF('_Engine'!$B$6&gt;0,"REVIEW",IF('_Engine'!L21&gt;0,"REVIEW",'_Engine'!G21)))</ns0:f>
        <ns0:v>1</ns0:v>
      </ns0:c>
      <ns0:c r="I21" s="207" t="inlineStr">
        <ns0:is>
          <ns0:t>Non-deducting absence</ns0:t>
        </ns0:is>
      </ns0:c>
      <ns0:c r="J21" s="208" t="str">
        <ns0:f>IF('_Engine'!K21="OK","OK · "&amp;TEXT('_Dates'!J21,"dd mmm yyyy")&amp;IF('_Dates'!J21='_Dates'!T21,""," → "&amp;TEXT('_Dates'!T21,"dd mmm yyyy")),'_Engine'!K21)</ns0:f>
        <ns0:v>OK · 07 Jul 2027</ns0:v>
      </ns0:c>
    </ns0:row>
    <ns0:row r="22" ht="43" customHeight="1">
      <ns0:c r="A22" s="200" t="inlineStr">
        <ns0:is>
          <ns0:t>Riley Chen · EMP006</ns0:t>
        </ns0:is>
      </ns0:c>
      <ns0:c r="B22" s="201">
        <ns0:v>46576</ns0:v>
      </ns0:c>
      <ns0:c r="C22" s="209" t="inlineStr">
        <ns0:is>
          <ns0:t>Full day</ns0:t>
        </ns0:is>
      </ns0:c>
      <ns0:c r="D22" s="201">
        <ns0:v>46576</ns0:v>
      </ns0:c>
      <ns0:c r="E22" s="209" t="inlineStr">
        <ns0:is>
          <ns0:t>Full day</ns0:t>
        </ns0:is>
      </ns0:c>
      <ns0:c r="F22" s="200" t="inlineStr">
        <ns0:is>
          <ns0:t>Unpaid leave · U</ns0:t>
        </ns0:is>
      </ns0:c>
      <ns0:c r="G22" s="200" t="inlineStr">
        <ns0:is>
          <ns0:t>Approved</ns0:t>
        </ns0:is>
      </ns0:c>
      <ns0:c r="H22" s="210">
        <ns0:f>IF('_Engine'!A22=0,"",IF('_Engine'!$B$6&gt;0,"REVIEW",IF('_Engine'!L22&gt;0,"REVIEW",'_Engine'!G22)))</ns0:f>
        <ns0:v>1</ns0:v>
      </ns0:c>
      <ns0:c r="I22" s="207" t="inlineStr">
        <ns0:is>
          <ns0:t>Unpaid leave: no holiday deduction</ns0:t>
        </ns0:is>
      </ns0:c>
      <ns0:c r="J22" s="208" t="str">
        <ns0:f>IF('_Engine'!K22="OK","OK · "&amp;TEXT('_Dates'!J22,"dd mmm yyyy")&amp;IF('_Dates'!J22='_Dates'!T22,""," → "&amp;TEXT('_Dates'!T22,"dd mmm yyyy")),'_Engine'!K22)</ns0:f>
        <ns0:v>OK · 08 Jul 2027</ns0:v>
      </ns0:c>
    </ns0:row>
    <ns0:row r="23" ht="43" customHeight="1">
      <ns0:c r="A23" s="200" t="inlineStr">
        <ns0:is>
          <ns0:t>Riley Chen · EMP006</ns0:t>
        </ns0:is>
      </ns0:c>
      <ns0:c r="B23" s="201">
        <ns0:v>46582</ns0:v>
      </ns0:c>
      <ns0:c r="C23" s="209" t="inlineStr">
        <ns0:is>
          <ns0:t>Full day</ns0:t>
        </ns0:is>
      </ns0:c>
      <ns0:c r="D23" s="201">
        <ns0:v>46582</ns0:v>
      </ns0:c>
      <ns0:c r="E23" s="209" t="inlineStr">
        <ns0:is>
          <ns0:t>Full day</ns0:t>
        </ns0:is>
      </ns0:c>
      <ns0:c r="F23" s="200" t="inlineStr">
        <ns0:is>
          <ns0:t>Training · T</ns0:t>
        </ns0:is>
      </ns0:c>
      <ns0:c r="G23" s="200" t="inlineStr">
        <ns0:is>
          <ns0:t>Approved</ns0:t>
        </ns0:is>
      </ns0:c>
      <ns0:c r="H23" s="210">
        <ns0:f>IF('_Engine'!A23=0,"",IF('_Engine'!$B$6&gt;0,"REVIEW",IF('_Engine'!L23&gt;0,"REVIEW",'_Engine'!G23)))</ns0:f>
        <ns0:v>1</ns0:v>
      </ns0:c>
      <ns0:c r="I23" s="207" t="inlineStr">
        <ns0:is>
          <ns0:t>Training</ns0:t>
        </ns0:is>
      </ns0:c>
      <ns0:c r="J23" s="208" t="str">
        <ns0:f>IF('_Engine'!K23="OK","OK · "&amp;TEXT('_Dates'!J23,"dd mmm yyyy")&amp;IF('_Dates'!J23='_Dates'!T23,""," → "&amp;TEXT('_Dates'!T23,"dd mmm yyyy")),'_Engine'!K23)</ns0:f>
        <ns0:v>OK · 14 Jul 2027</ns0:v>
      </ns0:c>
    </ns0:row>
    <ns0:row r="24" ht="43" customHeight="1">
      <ns0:c r="A24" s="200" t="inlineStr">
        <ns0:is>
          <ns0:t>Riley Chen · EMP006</ns0:t>
        </ns0:is>
      </ns0:c>
      <ns0:c r="B24" s="201">
        <ns0:v>46588</ns0:v>
      </ns0:c>
      <ns0:c r="C24" s="209" t="inlineStr">
        <ns0:is>
          <ns0:t>Full day</ns0:t>
        </ns0:is>
      </ns0:c>
      <ns0:c r="D24" s="201">
        <ns0:v>46588</ns0:v>
      </ns0:c>
      <ns0:c r="E24" s="209" t="inlineStr">
        <ns0:is>
          <ns0:t>Full day</ns0:t>
        </ns0:is>
      </ns0:c>
      <ns0:c r="F24" s="200" t="inlineStr">
        <ns0:is>
          <ns0:t>Other leave · O</ns0:t>
        </ns0:is>
      </ns0:c>
      <ns0:c r="G24" s="200" t="inlineStr">
        <ns0:is>
          <ns0:t>Approved</ns0:t>
        </ns0:is>
      </ns0:c>
      <ns0:c r="H24" s="210">
        <ns0:f>IF('_Engine'!A24=0,"",IF('_Engine'!$B$6&gt;0,"REVIEW",IF('_Engine'!L24&gt;0,"REVIEW",'_Engine'!G24)))</ns0:f>
        <ns0:v>1</ns0:v>
      </ns0:c>
      <ns0:c r="I24" s="207" t="inlineStr">
        <ns0:is>
          <ns0:t>Other leave</ns0:t>
        </ns0:is>
      </ns0:c>
      <ns0:c r="J24" s="208" t="str">
        <ns0:f>IF('_Engine'!K24="OK","OK · "&amp;TEXT('_Dates'!J24,"dd mmm yyyy")&amp;IF('_Dates'!J24='_Dates'!T24,""," → "&amp;TEXT('_Dates'!T24,"dd mmm yyyy")),'_Engine'!K24)</ns0:f>
        <ns0:v>OK · 20 Jul 2027</ns0:v>
      </ns0:c>
    </ns0:row>
    <ns0:row r="25" ht="43" customHeight="1">
      <ns0:c r="A25" s="200" t="inlineStr">
        <ns0:is>
          <ns0:t>Riley Chen · EMP006</ns0:t>
        </ns0:is>
      </ns0:c>
      <ns0:c r="B25" s="201">
        <ns0:v>46597</ns0:v>
      </ns0:c>
      <ns0:c r="C25" s="209" t="inlineStr">
        <ns0:is>
          <ns0:t>AM</ns0:t>
        </ns0:is>
      </ns0:c>
      <ns0:c r="D25" s="201">
        <ns0:v>46597</ns0:v>
      </ns0:c>
      <ns0:c r="E25" s="209" t="inlineStr">
        <ns0:is>
          <ns0:t>Full day</ns0:t>
        </ns0:is>
      </ns0:c>
      <ns0:c r="F25" s="200" t="inlineStr">
        <ns0:is>
          <ns0:t>Holiday · H</ns0:t>
        </ns0:is>
      </ns0:c>
      <ns0:c r="G25" s="200" t="inlineStr">
        <ns0:is>
          <ns0:t>Approved</ns0:t>
        </ns0:is>
      </ns0:c>
      <ns0:c r="H25" s="210">
        <ns0:f>IF('_Engine'!A25=0,"",IF('_Engine'!$B$6&gt;0,"REVIEW",IF('_Engine'!L25&gt;0,"REVIEW",'_Engine'!G25)))</ns0:f>
        <ns0:v>0.5</ns0:v>
      </ns0:c>
      <ns0:c r="I25" s="207" t="inlineStr">
        <ns0:is>
          <ns0:t>Approved half-day</ns0:t>
        </ns0:is>
      </ns0:c>
      <ns0:c r="J25" s="208" t="str">
        <ns0:f>IF('_Engine'!K25="OK","OK · "&amp;TEXT('_Dates'!J25,"dd mmm yyyy")&amp;IF('_Dates'!J25='_Dates'!T25,""," → "&amp;TEXT('_Dates'!T25,"dd mmm yyyy")),'_Engine'!K25)</ns0:f>
        <ns0:v>OK · 29 Jul 2027</ns0:v>
      </ns0:c>
    </ns0:row>
    <ns0:row r="26" ht="43" customHeight="1">
      <ns0:c r="A26" s="200" t="inlineStr">
        <ns0:is>
          <ns0:t>Riley Chen · EMP006</ns0:t>
        </ns0:is>
      </ns0:c>
      <ns0:c r="B26" s="201">
        <ns0:v>46597</ns0:v>
      </ns0:c>
      <ns0:c r="C26" s="209" t="inlineStr">
        <ns0:is>
          <ns0:t>PM</ns0:t>
        </ns0:is>
      </ns0:c>
      <ns0:c r="D26" s="201">
        <ns0:v>46597</ns0:v>
      </ns0:c>
      <ns0:c r="E26" s="209" t="inlineStr">
        <ns0:is>
          <ns0:t>Full day</ns0:t>
        </ns0:is>
      </ns0:c>
      <ns0:c r="F26" s="200" t="inlineStr">
        <ns0:is>
          <ns0:t>Holiday · H</ns0:t>
        </ns0:is>
      </ns0:c>
      <ns0:c r="G26" s="200" t="inlineStr">
        <ns0:is>
          <ns0:t>Pending</ns0:t>
        </ns0:is>
      </ns0:c>
      <ns0:c r="H26" s="210">
        <ns0:f>IF('_Engine'!A26=0,"",IF('_Engine'!$B$6&gt;0,"REVIEW",IF('_Engine'!L26&gt;0,"REVIEW",'_Engine'!G26)))</ns0:f>
        <ns0:v>0.5</ns0:v>
      </ns0:c>
      <ns0:c r="I26" s="207" t="inlineStr">
        <ns0:is>
          <ns0:t>Pending half-day; still available to book</ns0:t>
        </ns0:is>
      </ns0:c>
      <ns0:c r="J26" s="208" t="str">
        <ns0:f>IF('_Engine'!K26="OK","OK · "&amp;TEXT('_Dates'!J26,"dd mmm yyyy")&amp;IF('_Dates'!J26='_Dates'!T26,""," → "&amp;TEXT('_Dates'!T26,"dd mmm yyyy")),'_Engine'!K26)</ns0:f>
        <ns0:v>OK · 29 Jul 2027</ns0:v>
      </ns0:c>
    </ns0:row>
    <ns0:row r="27" ht="43" customHeight="1">
      <ns0:c r="A27" s="200" t="inlineStr">
        <ns0:is>
          <ns0:t>Jordan Lee · EMP004</ns0:t>
        </ns0:is>
      </ns0:c>
      <ns0:c r="B27" s="201" t="inlineStr">
        <ns0:is>
          <ns0:t>19.07.2027</ns0:t>
        </ns0:is>
      </ns0:c>
      <ns0:c r="C27" s="209" t="inlineStr">
        <ns0:is>
          <ns0:t>Full day</ns0:t>
        </ns0:is>
      </ns0:c>
      <ns0:c r="D27" s="201" t="inlineStr">
        <ns0:is>
          <ns0:t>20.07.2027</ns0:t>
        </ns0:is>
      </ns0:c>
      <ns0:c r="E27" s="209" t="inlineStr">
        <ns0:is>
          <ns0:t>AM</ns0:t>
        </ns0:is>
      </ns0:c>
      <ns0:c r="F27" s="200" t="inlineStr">
        <ns0:is>
          <ns0:t>Holiday · H</ns0:t>
        </ns0:is>
      </ns0:c>
      <ns0:c r="G27" s="200" t="inlineStr">
        <ns0:is>
          <ns0:t>Approved</ns0:t>
        </ns0:is>
      </ns0:c>
      <ns0:c r="H27" s="210">
        <ns0:f>IF('_Engine'!A27=0,"",IF('_Engine'!$B$6&gt;0,"REVIEW",IF('_Engine'!L27&gt;0,"REVIEW",'_Engine'!G27)))</ns0:f>
        <ns0:v>1.5</ns0:v>
      </ns0:c>
      <ns0:c r="I27" s="207" t="inlineStr">
        <ns0:is>
          <ns0:t>1.5 days: full Monday + Tuesday morning</ns0:t>
        </ns0:is>
      </ns0:c>
      <ns0:c r="J27" s="208" t="str">
        <ns0:f>IF('_Engine'!K27="OK","OK · "&amp;TEXT('_Dates'!J27,"dd mmm yyyy")&amp;IF('_Dates'!J27='_Dates'!T27,""," → "&amp;TEXT('_Dates'!T27,"dd mmm yyyy")),'_Engine'!K27)</ns0:f>
        <ns0:v>OK · 19 Jul 2027 → 20 Jul 2027</ns0:v>
      </ns0:c>
    </ns0:row>
    <ns0:row r="28" ht="43" customHeight="1">
      <ns0:c r="A28" s="200" t="inlineStr">
        <ns0:is>
          <ns0:t>Jordan Lee · EMP004</ns0:t>
        </ns0:is>
      </ns0:c>
      <ns0:c r="B28" s="201" t="inlineStr">
        <ns0:is>
          <ns0:t>20.07.2027</ns0:t>
        </ns0:is>
      </ns0:c>
      <ns0:c r="C28" s="209" t="inlineStr">
        <ns0:is>
          <ns0:t>PM</ns0:t>
        </ns0:is>
      </ns0:c>
      <ns0:c r="D28" s="201" t="inlineStr">
        <ns0:is>
          <ns0:t>21.07.2027</ns0:t>
        </ns0:is>
      </ns0:c>
      <ns0:c r="E28" s="209" t="inlineStr">
        <ns0:is>
          <ns0:t>Full day</ns0:t>
        </ns0:is>
      </ns0:c>
      <ns0:c r="F28" s="200" t="inlineStr">
        <ns0:is>
          <ns0:t>Holiday · H</ns0:t>
        </ns0:is>
      </ns0:c>
      <ns0:c r="G28" s="200" t="inlineStr">
        <ns0:is>
          <ns0:t>Approved</ns0:t>
        </ns0:is>
      </ns0:c>
      <ns0:c r="H28" s="210">
        <ns0:f>IF('_Engine'!A28=0,"",IF('_Engine'!$B$6&gt;0,"REVIEW",IF('_Engine'!L28&gt;0,"REVIEW",'_Engine'!G28)))</ns0:f>
        <ns0:v>1.5</ns0:v>
      </ns0:c>
      <ns0:c r="I28" s="207" t="inlineStr">
        <ns0:is>
          <ns0:t>1.5 days: Tuesday afternoon + full Wednesday; no overlap</ns0:t>
        </ns0:is>
      </ns0:c>
      <ns0:c r="J28" s="208" t="str">
        <ns0:f>IF('_Engine'!K28="OK","OK · "&amp;TEXT('_Dates'!J28,"dd mmm yyyy")&amp;IF('_Dates'!J28='_Dates'!T28,""," → "&amp;TEXT('_Dates'!T28,"dd mmm yyyy")),'_Engine'!K28)</ns0:f>
        <ns0:v>OK · 20 Jul 2027 → 21 Jul 2027</ns0:v>
      </ns0:c>
    </ns0:row>
    <ns0:row r="29" ht="43" customHeight="1">
      <ns0:c r="A29" s="200" t="inlineStr">
        <ns0:is>
          <ns0:t>Helen Stone · EMP002</ns0:t>
        </ns0:is>
      </ns0:c>
      <ns0:c r="B29" s="201" t="inlineStr">
        <ns0:is>
          <ns0:t>14.07.2027</ns0:t>
        </ns0:is>
      </ns0:c>
      <ns0:c r="C29" s="209" t="inlineStr">
        <ns0:is>
          <ns0:t>PM</ns0:t>
        </ns0:is>
      </ns0:c>
      <ns0:c r="D29" s="201" t="inlineStr">
        <ns0:is>
          <ns0:t>15.07.2027</ns0:t>
        </ns0:is>
      </ns0:c>
      <ns0:c r="E29" s="209" t="inlineStr">
        <ns0:is>
          <ns0:t>Full day</ns0:t>
        </ns0:is>
      </ns0:c>
      <ns0:c r="F29" s="200" t="inlineStr">
        <ns0:is>
          <ns0:t>Holiday · H</ns0:t>
        </ns0:is>
      </ns0:c>
      <ns0:c r="G29" s="200" t="inlineStr">
        <ns0:is>
          <ns0:t>Approved</ns0:t>
        </ns0:is>
      </ns0:c>
      <ns0:c r="H29" s="210">
        <ns0:f>IF('_Engine'!A29=0,"",IF('_Engine'!$B$6&gt;0,"REVIEW",IF('_Engine'!L29&gt;0,"REVIEW",'_Engine'!G29)))</ns0:f>
        <ns0:v>1.5</ns0:v>
      </ns0:c>
      <ns0:c r="I29" s="207" t="inlineStr">
        <ns0:is>
          <ns0:t>1.5 days: 0.5 taken + 1 booked ahead</ns0:t>
        </ns0:is>
      </ns0:c>
      <ns0:c r="J29" s="208" t="str">
        <ns0:f>IF('_Engine'!K29="OK","OK · "&amp;TEXT('_Dates'!J29,"dd mmm yyyy")&amp;IF('_Dates'!J29='_Dates'!T29,""," → "&amp;TEXT('_Dates'!T29,"dd mmm yyyy")),'_Engine'!K29)</ns0:f>
        <ns0:v>OK · 14 Jul 2027 → 15 Jul 2027</ns0:v>
      </ns0:c>
    </ns0:row>
    <ns0:row r="30" ht="43" customHeight="1">
      <ns0:c r="A30" s="200" t="inlineStr">
        <ns0:is>
          <ns0:t>Helen Stone · EMP002</ns0:t>
        </ns0:is>
      </ns0:c>
      <ns0:c r="B30" s="201" t="inlineStr">
        <ns0:is>
          <ns0:t>14.07.2027</ns0:t>
        </ns0:is>
      </ns0:c>
      <ns0:c r="C30" s="209" t="inlineStr">
        <ns0:is>
          <ns0:t>PM</ns0:t>
        </ns0:is>
      </ns0:c>
      <ns0:c r="D30" s="201" t="inlineStr">
        <ns0:is>
          <ns0:t>15.07.2027</ns0:t>
        </ns0:is>
      </ns0:c>
      <ns0:c r="E30" s="209" t="inlineStr">
        <ns0:is>
          <ns0:t>AM</ns0:t>
        </ns0:is>
      </ns0:c>
      <ns0:c r="F30" s="200" t="inlineStr">
        <ns0:is>
          <ns0:t>Holiday · H</ns0:t>
        </ns0:is>
      </ns0:c>
      <ns0:c r="G30" s="200" t="inlineStr">
        <ns0:is>
          <ns0:t>Cancelled</ns0:t>
        </ns0:is>
      </ns0:c>
      <ns0:c r="H30" s="210">
        <ns0:f>IF('_Engine'!A30=0,"",IF('_Engine'!$B$6&gt;0,"REVIEW",IF('_Engine'!L30&gt;0,"REVIEW",'_Engine'!G30)))</ns0:f>
        <ns0:v>1</ns0:v>
      </ns0:c>
      <ns0:c r="I30" s="207" t="inlineStr">
        <ns0:is>
          <ns0:t>Cancelled example: partial start and end; no deduction</ns0:t>
        </ns0:is>
      </ns0:c>
      <ns0:c r="J30" s="208" t="str">
        <ns0:f>IF('_Engine'!K30="OK","OK · "&amp;TEXT('_Dates'!J30,"dd mmm yyyy")&amp;IF('_Dates'!J30='_Dates'!T30,""," → "&amp;TEXT('_Dates'!T30,"dd mmm yyyy")),'_Engine'!K30)</ns0:f>
        <ns0:v>Cancelled</ns0:v>
      </ns0:c>
    </ns0:row>
    <ns0:row r="31" ht="32" customHeight="1">
      <ns0:c r="A31" s="200"/>
      <ns0:c r="B31" s="201"/>
      <ns0:c r="C31" s="209"/>
      <ns0:c r="D31" s="201"/>
      <ns0:c r="E31" s="209"/>
      <ns0:c r="F31" s="200"/>
      <ns0:c r="G31" s="200"/>
      <ns0:c r="H31" s="210">
        <ns0:f>IF('_Engine'!A31=0,"",IF('_Engine'!$B$6&gt;0,"REVIEW",IF('_Engine'!L31&gt;0,"REVIEW",'_Engine'!G31)))</ns0:f>
      </ns0:c>
      <ns0:c r="I31" s="207"/>
      <ns0:c r="J31" s="208">
        <ns0:f>IF('_Engine'!K31="OK","OK · "&amp;TEXT('_Dates'!J31,"dd mmm yyyy")&amp;IF('_Dates'!J31='_Dates'!T31,""," → "&amp;TEXT('_Dates'!T31,"dd mmm yyyy")),'_Engine'!K31)</ns0:f>
      </ns0:c>
    </ns0:row>
    <ns0:row r="32" ht="32" customHeight="1">
      <ns0:c r="A32" s="200"/>
      <ns0:c r="B32" s="201"/>
      <ns0:c r="C32" s="209"/>
      <ns0:c r="D32" s="201"/>
      <ns0:c r="E32" s="209"/>
      <ns0:c r="F32" s="200"/>
      <ns0:c r="G32" s="200"/>
      <ns0:c r="H32" s="210">
        <ns0:f>IF('_Engine'!A32=0,"",IF('_Engine'!$B$6&gt;0,"REVIEW",IF('_Engine'!L32&gt;0,"REVIEW",'_Engine'!G32)))</ns0:f>
      </ns0:c>
      <ns0:c r="I32" s="207"/>
      <ns0:c r="J32" s="208">
        <ns0:f>IF('_Engine'!K32="OK","OK · "&amp;TEXT('_Dates'!J32,"dd mmm yyyy")&amp;IF('_Dates'!J32='_Dates'!T32,""," → "&amp;TEXT('_Dates'!T32,"dd mmm yyyy")),'_Engine'!K32)</ns0:f>
      </ns0:c>
    </ns0:row>
    <ns0:row r="33" ht="32" customHeight="1">
      <ns0:c r="A33" s="200"/>
      <ns0:c r="B33" s="201"/>
      <ns0:c r="C33" s="209"/>
      <ns0:c r="D33" s="201"/>
      <ns0:c r="E33" s="209"/>
      <ns0:c r="F33" s="200"/>
      <ns0:c r="G33" s="200"/>
      <ns0:c r="H33" s="210">
        <ns0:f>IF('_Engine'!A33=0,"",IF('_Engine'!$B$6&gt;0,"REVIEW",IF('_Engine'!L33&gt;0,"REVIEW",'_Engine'!G33)))</ns0:f>
      </ns0:c>
      <ns0:c r="I33" s="207"/>
      <ns0:c r="J33" s="208">
        <ns0:f>IF('_Engine'!K33="OK","OK · "&amp;TEXT('_Dates'!J33,"dd mmm yyyy")&amp;IF('_Dates'!J33='_Dates'!T33,""," → "&amp;TEXT('_Dates'!T33,"dd mmm yyyy")),'_Engine'!K33)</ns0:f>
      </ns0:c>
    </ns0:row>
    <ns0:row r="34" ht="32" customHeight="1">
      <ns0:c r="A34" s="200"/>
      <ns0:c r="B34" s="201"/>
      <ns0:c r="C34" s="209"/>
      <ns0:c r="D34" s="201"/>
      <ns0:c r="E34" s="209"/>
      <ns0:c r="F34" s="200"/>
      <ns0:c r="G34" s="200"/>
      <ns0:c r="H34" s="210">
        <ns0:f>IF('_Engine'!A34=0,"",IF('_Engine'!$B$6&gt;0,"REVIEW",IF('_Engine'!L34&gt;0,"REVIEW",'_Engine'!G34)))</ns0:f>
      </ns0:c>
      <ns0:c r="I34" s="207"/>
      <ns0:c r="J34" s="208">
        <ns0:f>IF('_Engine'!K34="OK","OK · "&amp;TEXT('_Dates'!J34,"dd mmm yyyy")&amp;IF('_Dates'!J34='_Dates'!T34,""," → "&amp;TEXT('_Dates'!T34,"dd mmm yyyy")),'_Engine'!K34)</ns0:f>
      </ns0:c>
    </ns0:row>
    <ns0:row r="35" ht="32" customHeight="1">
      <ns0:c r="A35" s="200"/>
      <ns0:c r="B35" s="201"/>
      <ns0:c r="C35" s="209"/>
      <ns0:c r="D35" s="201"/>
      <ns0:c r="E35" s="209"/>
      <ns0:c r="F35" s="200"/>
      <ns0:c r="G35" s="200"/>
      <ns0:c r="H35" s="210">
        <ns0:f>IF('_Engine'!A35=0,"",IF('_Engine'!$B$6&gt;0,"REVIEW",IF('_Engine'!L35&gt;0,"REVIEW",'_Engine'!G35)))</ns0:f>
      </ns0:c>
      <ns0:c r="I35" s="207"/>
      <ns0:c r="J35" s="208">
        <ns0:f>IF('_Engine'!K35="OK","OK · "&amp;TEXT('_Dates'!J35,"dd mmm yyyy")&amp;IF('_Dates'!J35='_Dates'!T35,""," → "&amp;TEXT('_Dates'!T35,"dd mmm yyyy")),'_Engine'!K35)</ns0:f>
      </ns0:c>
    </ns0:row>
    <ns0:row r="36" ht="32" customHeight="1">
      <ns0:c r="A36" s="200"/>
      <ns0:c r="B36" s="201"/>
      <ns0:c r="C36" s="209"/>
      <ns0:c r="D36" s="201"/>
      <ns0:c r="E36" s="209"/>
      <ns0:c r="F36" s="200"/>
      <ns0:c r="G36" s="200"/>
      <ns0:c r="H36" s="210">
        <ns0:f>IF('_Engine'!A36=0,"",IF('_Engine'!$B$6&gt;0,"REVIEW",IF('_Engine'!L36&gt;0,"REVIEW",'_Engine'!G36)))</ns0:f>
      </ns0:c>
      <ns0:c r="I36" s="207"/>
      <ns0:c r="J36" s="208">
        <ns0:f>IF('_Engine'!K36="OK","OK · "&amp;TEXT('_Dates'!J36,"dd mmm yyyy")&amp;IF('_Dates'!J36='_Dates'!T36,""," → "&amp;TEXT('_Dates'!T36,"dd mmm yyyy")),'_Engine'!K36)</ns0:f>
      </ns0:c>
    </ns0:row>
    <ns0:row r="37" ht="32" customHeight="1">
      <ns0:c r="A37" s="200"/>
      <ns0:c r="B37" s="201"/>
      <ns0:c r="C37" s="209"/>
      <ns0:c r="D37" s="201"/>
      <ns0:c r="E37" s="209"/>
      <ns0:c r="F37" s="200"/>
      <ns0:c r="G37" s="200"/>
      <ns0:c r="H37" s="210">
        <ns0:f>IF('_Engine'!A37=0,"",IF('_Engine'!$B$6&gt;0,"REVIEW",IF('_Engine'!L37&gt;0,"REVIEW",'_Engine'!G37)))</ns0:f>
      </ns0:c>
      <ns0:c r="I37" s="207"/>
      <ns0:c r="J37" s="208">
        <ns0:f>IF('_Engine'!K37="OK","OK · "&amp;TEXT('_Dates'!J37,"dd mmm yyyy")&amp;IF('_Dates'!J37='_Dates'!T37,""," → "&amp;TEXT('_Dates'!T37,"dd mmm yyyy")),'_Engine'!K37)</ns0:f>
      </ns0:c>
    </ns0:row>
    <ns0:row r="38" ht="32" customHeight="1">
      <ns0:c r="A38" s="200"/>
      <ns0:c r="B38" s="201"/>
      <ns0:c r="C38" s="209"/>
      <ns0:c r="D38" s="201"/>
      <ns0:c r="E38" s="209"/>
      <ns0:c r="F38" s="200"/>
      <ns0:c r="G38" s="200"/>
      <ns0:c r="H38" s="210">
        <ns0:f>IF('_Engine'!A38=0,"",IF('_Engine'!$B$6&gt;0,"REVIEW",IF('_Engine'!L38&gt;0,"REVIEW",'_Engine'!G38)))</ns0:f>
      </ns0:c>
      <ns0:c r="I38" s="207"/>
      <ns0:c r="J38" s="208">
        <ns0:f>IF('_Engine'!K38="OK","OK · "&amp;TEXT('_Dates'!J38,"dd mmm yyyy")&amp;IF('_Dates'!J38='_Dates'!T38,""," → "&amp;TEXT('_Dates'!T38,"dd mmm yyyy")),'_Engine'!K38)</ns0:f>
      </ns0:c>
    </ns0:row>
    <ns0:row r="39" ht="32" customHeight="1">
      <ns0:c r="A39" s="200"/>
      <ns0:c r="B39" s="201"/>
      <ns0:c r="C39" s="209"/>
      <ns0:c r="D39" s="201"/>
      <ns0:c r="E39" s="209"/>
      <ns0:c r="F39" s="200"/>
      <ns0:c r="G39" s="200"/>
      <ns0:c r="H39" s="210">
        <ns0:f>IF('_Engine'!A39=0,"",IF('_Engine'!$B$6&gt;0,"REVIEW",IF('_Engine'!L39&gt;0,"REVIEW",'_Engine'!G39)))</ns0:f>
      </ns0:c>
      <ns0:c r="I39" s="207"/>
      <ns0:c r="J39" s="208">
        <ns0:f>IF('_Engine'!K39="OK","OK · "&amp;TEXT('_Dates'!J39,"dd mmm yyyy")&amp;IF('_Dates'!J39='_Dates'!T39,""," → "&amp;TEXT('_Dates'!T39,"dd mmm yyyy")),'_Engine'!K39)</ns0:f>
      </ns0:c>
    </ns0:row>
    <ns0:row r="40" ht="32" customHeight="1">
      <ns0:c r="A40" s="200"/>
      <ns0:c r="B40" s="201"/>
      <ns0:c r="C40" s="209"/>
      <ns0:c r="D40" s="201"/>
      <ns0:c r="E40" s="209"/>
      <ns0:c r="F40" s="200"/>
      <ns0:c r="G40" s="200"/>
      <ns0:c r="H40" s="210">
        <ns0:f>IF('_Engine'!A40=0,"",IF('_Engine'!$B$6&gt;0,"REVIEW",IF('_Engine'!L40&gt;0,"REVIEW",'_Engine'!G40)))</ns0:f>
      </ns0:c>
      <ns0:c r="I40" s="207"/>
      <ns0:c r="J40" s="208">
        <ns0:f>IF('_Engine'!K40="OK","OK · "&amp;TEXT('_Dates'!J40,"dd mmm yyyy")&amp;IF('_Dates'!J40='_Dates'!T40,""," → "&amp;TEXT('_Dates'!T40,"dd mmm yyyy")),'_Engine'!K40)</ns0:f>
      </ns0:c>
    </ns0:row>
    <ns0:row r="41" ht="32" customHeight="1">
      <ns0:c r="A41" s="200"/>
      <ns0:c r="B41" s="201"/>
      <ns0:c r="C41" s="209"/>
      <ns0:c r="D41" s="201"/>
      <ns0:c r="E41" s="209"/>
      <ns0:c r="F41" s="200"/>
      <ns0:c r="G41" s="200"/>
      <ns0:c r="H41" s="210">
        <ns0:f>IF('_Engine'!A41=0,"",IF('_Engine'!$B$6&gt;0,"REVIEW",IF('_Engine'!L41&gt;0,"REVIEW",'_Engine'!G41)))</ns0:f>
      </ns0:c>
      <ns0:c r="I41" s="207"/>
      <ns0:c r="J41" s="208">
        <ns0:f>IF('_Engine'!K41="OK","OK · "&amp;TEXT('_Dates'!J41,"dd mmm yyyy")&amp;IF('_Dates'!J41='_Dates'!T41,""," → "&amp;TEXT('_Dates'!T41,"dd mmm yyyy")),'_Engine'!K41)</ns0:f>
      </ns0:c>
    </ns0:row>
    <ns0:row r="42" ht="32" customHeight="1">
      <ns0:c r="A42" s="200"/>
      <ns0:c r="B42" s="201"/>
      <ns0:c r="C42" s="209"/>
      <ns0:c r="D42" s="201"/>
      <ns0:c r="E42" s="209"/>
      <ns0:c r="F42" s="200"/>
      <ns0:c r="G42" s="200"/>
      <ns0:c r="H42" s="210">
        <ns0:f>IF('_Engine'!A42=0,"",IF('_Engine'!$B$6&gt;0,"REVIEW",IF('_Engine'!L42&gt;0,"REVIEW",'_Engine'!G42)))</ns0:f>
      </ns0:c>
      <ns0:c r="I42" s="207"/>
      <ns0:c r="J42" s="208">
        <ns0:f>IF('_Engine'!K42="OK","OK · "&amp;TEXT('_Dates'!J42,"dd mmm yyyy")&amp;IF('_Dates'!J42='_Dates'!T42,""," → "&amp;TEXT('_Dates'!T42,"dd mmm yyyy")),'_Engine'!K42)</ns0:f>
      </ns0:c>
    </ns0:row>
    <ns0:row r="43" ht="32" customHeight="1">
      <ns0:c r="A43" s="200"/>
      <ns0:c r="B43" s="201"/>
      <ns0:c r="C43" s="209"/>
      <ns0:c r="D43" s="201"/>
      <ns0:c r="E43" s="209"/>
      <ns0:c r="F43" s="200"/>
      <ns0:c r="G43" s="200"/>
      <ns0:c r="H43" s="210" t="str">
        <ns0:f>IF('_Engine'!A43=0,"",IF('_Engine'!$B$6&gt;0,"REVIEW",IF('_Engine'!L43&gt;0,"REVIEW",'_Engine'!G43)))</ns0:f>
        <ns0:v/>
      </ns0:c>
      <ns0:c r="I43" s="207"/>
      <ns0:c r="J43" s="208" t="str">
        <ns0:f>IF('_Engine'!K43="OK","OK · "&amp;TEXT('_Dates'!J43,"dd mmm yyyy")&amp;IF('_Dates'!J43='_Dates'!T43,""," → "&amp;TEXT('_Dates'!T43,"dd mmm yyyy")),'_Engine'!K43)</ns0:f>
        <ns0:v/>
      </ns0:c>
    </ns0:row>
    <ns0:row r="44" ht="32" customHeight="1">
      <ns0:c r="A44" s="200"/>
      <ns0:c r="B44" s="201"/>
      <ns0:c r="C44" s="209"/>
      <ns0:c r="D44" s="201"/>
      <ns0:c r="E44" s="209"/>
      <ns0:c r="F44" s="200"/>
      <ns0:c r="G44" s="200"/>
      <ns0:c r="H44" s="210" t="str">
        <ns0:f>IF('_Engine'!A44=0,"",IF('_Engine'!$B$6&gt;0,"REVIEW",IF('_Engine'!L44&gt;0,"REVIEW",'_Engine'!G44)))</ns0:f>
        <ns0:v/>
      </ns0:c>
      <ns0:c r="I44" s="207"/>
      <ns0:c r="J44" s="208" t="str">
        <ns0:f>IF('_Engine'!K44="OK","OK · "&amp;TEXT('_Dates'!J44,"dd mmm yyyy")&amp;IF('_Dates'!J44='_Dates'!T44,""," → "&amp;TEXT('_Dates'!T44,"dd mmm yyyy")),'_Engine'!K44)</ns0:f>
        <ns0:v/>
      </ns0:c>
    </ns0:row>
    <ns0:row r="45" ht="32" customHeight="1">
      <ns0:c r="A45" s="200"/>
      <ns0:c r="B45" s="201"/>
      <ns0:c r="C45" s="209"/>
      <ns0:c r="D45" s="201"/>
      <ns0:c r="E45" s="209"/>
      <ns0:c r="F45" s="200"/>
      <ns0:c r="G45" s="200"/>
      <ns0:c r="H45" s="210" t="str">
        <ns0:f>IF('_Engine'!A45=0,"",IF('_Engine'!$B$6&gt;0,"REVIEW",IF('_Engine'!L45&gt;0,"REVIEW",'_Engine'!G45)))</ns0:f>
        <ns0:v/>
      </ns0:c>
      <ns0:c r="I45" s="207"/>
      <ns0:c r="J45" s="208" t="str">
        <ns0:f>IF('_Engine'!K45="OK","OK · "&amp;TEXT('_Dates'!J45,"dd mmm yyyy")&amp;IF('_Dates'!J45='_Dates'!T45,""," → "&amp;TEXT('_Dates'!T45,"dd mmm yyyy")),'_Engine'!K45)</ns0:f>
        <ns0:v/>
      </ns0:c>
    </ns0:row>
    <ns0:row r="46" ht="32" customHeight="1">
      <ns0:c r="A46" s="200"/>
      <ns0:c r="B46" s="201"/>
      <ns0:c r="C46" s="209"/>
      <ns0:c r="D46" s="201"/>
      <ns0:c r="E46" s="209"/>
      <ns0:c r="F46" s="200"/>
      <ns0:c r="G46" s="200"/>
      <ns0:c r="H46" s="210" t="str">
        <ns0:f>IF('_Engine'!A46=0,"",IF('_Engine'!$B$6&gt;0,"REVIEW",IF('_Engine'!L46&gt;0,"REVIEW",'_Engine'!G46)))</ns0:f>
        <ns0:v/>
      </ns0:c>
      <ns0:c r="I46" s="207"/>
      <ns0:c r="J46" s="208" t="str">
        <ns0:f>IF('_Engine'!K46="OK","OK · "&amp;TEXT('_Dates'!J46,"dd mmm yyyy")&amp;IF('_Dates'!J46='_Dates'!T46,""," → "&amp;TEXT('_Dates'!T46,"dd mmm yyyy")),'_Engine'!K46)</ns0:f>
        <ns0:v/>
      </ns0:c>
    </ns0:row>
    <ns0:row r="47" ht="32" customHeight="1">
      <ns0:c r="A47" s="200"/>
      <ns0:c r="B47" s="201"/>
      <ns0:c r="C47" s="209"/>
      <ns0:c r="D47" s="201"/>
      <ns0:c r="E47" s="209"/>
      <ns0:c r="F47" s="200"/>
      <ns0:c r="G47" s="200"/>
      <ns0:c r="H47" s="210" t="str">
        <ns0:f>IF('_Engine'!A47=0,"",IF('_Engine'!$B$6&gt;0,"REVIEW",IF('_Engine'!L47&gt;0,"REVIEW",'_Engine'!G47)))</ns0:f>
        <ns0:v/>
      </ns0:c>
      <ns0:c r="I47" s="207"/>
      <ns0:c r="J47" s="208" t="str">
        <ns0:f>IF('_Engine'!K47="OK","OK · "&amp;TEXT('_Dates'!J47,"dd mmm yyyy")&amp;IF('_Dates'!J47='_Dates'!T47,""," → "&amp;TEXT('_Dates'!T47,"dd mmm yyyy")),'_Engine'!K47)</ns0:f>
        <ns0:v/>
      </ns0:c>
    </ns0:row>
    <ns0:row r="48" ht="32" customHeight="1">
      <ns0:c r="A48" s="200"/>
      <ns0:c r="B48" s="201"/>
      <ns0:c r="C48" s="209"/>
      <ns0:c r="D48" s="201"/>
      <ns0:c r="E48" s="209"/>
      <ns0:c r="F48" s="200"/>
      <ns0:c r="G48" s="200"/>
      <ns0:c r="H48" s="210" t="str">
        <ns0:f>IF('_Engine'!A48=0,"",IF('_Engine'!$B$6&gt;0,"REVIEW",IF('_Engine'!L48&gt;0,"REVIEW",'_Engine'!G48)))</ns0:f>
        <ns0:v/>
      </ns0:c>
      <ns0:c r="I48" s="207"/>
      <ns0:c r="J48" s="208" t="str">
        <ns0:f>IF('_Engine'!K48="OK","OK · "&amp;TEXT('_Dates'!J48,"dd mmm yyyy")&amp;IF('_Dates'!J48='_Dates'!T48,""," → "&amp;TEXT('_Dates'!T48,"dd mmm yyyy")),'_Engine'!K48)</ns0:f>
        <ns0:v/>
      </ns0:c>
    </ns0:row>
    <ns0:row r="49" ht="32" customHeight="1">
      <ns0:c r="A49" s="200"/>
      <ns0:c r="B49" s="201"/>
      <ns0:c r="C49" s="209"/>
      <ns0:c r="D49" s="201"/>
      <ns0:c r="E49" s="209"/>
      <ns0:c r="F49" s="200"/>
      <ns0:c r="G49" s="200"/>
      <ns0:c r="H49" s="210" t="str">
        <ns0:f>IF('_Engine'!A49=0,"",IF('_Engine'!$B$6&gt;0,"REVIEW",IF('_Engine'!L49&gt;0,"REVIEW",'_Engine'!G49)))</ns0:f>
        <ns0:v/>
      </ns0:c>
      <ns0:c r="I49" s="207"/>
      <ns0:c r="J49" s="208" t="str">
        <ns0:f>IF('_Engine'!K49="OK","OK · "&amp;TEXT('_Dates'!J49,"dd mmm yyyy")&amp;IF('_Dates'!J49='_Dates'!T49,""," → "&amp;TEXT('_Dates'!T49,"dd mmm yyyy")),'_Engine'!K49)</ns0:f>
        <ns0:v/>
      </ns0:c>
    </ns0:row>
    <ns0:row r="50" ht="32" customHeight="1">
      <ns0:c r="A50" s="200"/>
      <ns0:c r="B50" s="201"/>
      <ns0:c r="C50" s="209"/>
      <ns0:c r="D50" s="201"/>
      <ns0:c r="E50" s="209"/>
      <ns0:c r="F50" s="200"/>
      <ns0:c r="G50" s="200"/>
      <ns0:c r="H50" s="210" t="str">
        <ns0:f>IF('_Engine'!A50=0,"",IF('_Engine'!$B$6&gt;0,"REVIEW",IF('_Engine'!L50&gt;0,"REVIEW",'_Engine'!G50)))</ns0:f>
        <ns0:v/>
      </ns0:c>
      <ns0:c r="I50" s="207"/>
      <ns0:c r="J50" s="208" t="str">
        <ns0:f>IF('_Engine'!K50="OK","OK · "&amp;TEXT('_Dates'!J50,"dd mmm yyyy")&amp;IF('_Dates'!J50='_Dates'!T50,""," → "&amp;TEXT('_Dates'!T50,"dd mmm yyyy")),'_Engine'!K50)</ns0:f>
        <ns0:v/>
      </ns0:c>
    </ns0:row>
    <ns0:row r="51" ht="32" customHeight="1">
      <ns0:c r="A51" s="200"/>
      <ns0:c r="B51" s="201"/>
      <ns0:c r="C51" s="209"/>
      <ns0:c r="D51" s="201"/>
      <ns0:c r="E51" s="209"/>
      <ns0:c r="F51" s="200"/>
      <ns0:c r="G51" s="200"/>
      <ns0:c r="H51" s="210" t="str">
        <ns0:f>IF('_Engine'!A51=0,"",IF('_Engine'!$B$6&gt;0,"REVIEW",IF('_Engine'!L51&gt;0,"REVIEW",'_Engine'!G51)))</ns0:f>
        <ns0:v/>
      </ns0:c>
      <ns0:c r="I51" s="207"/>
      <ns0:c r="J51" s="208" t="str">
        <ns0:f>IF('_Engine'!K51="OK","OK · "&amp;TEXT('_Dates'!J51,"dd mmm yyyy")&amp;IF('_Dates'!J51='_Dates'!T51,""," → "&amp;TEXT('_Dates'!T51,"dd mmm yyyy")),'_Engine'!K51)</ns0:f>
        <ns0:v/>
      </ns0:c>
    </ns0:row>
    <ns0:row r="52" ht="32" customHeight="1">
      <ns0:c r="A52" s="200"/>
      <ns0:c r="B52" s="201"/>
      <ns0:c r="C52" s="209"/>
      <ns0:c r="D52" s="201"/>
      <ns0:c r="E52" s="209"/>
      <ns0:c r="F52" s="200"/>
      <ns0:c r="G52" s="200"/>
      <ns0:c r="H52" s="210" t="str">
        <ns0:f>IF('_Engine'!A52=0,"",IF('_Engine'!$B$6&gt;0,"REVIEW",IF('_Engine'!L52&gt;0,"REVIEW",'_Engine'!G52)))</ns0:f>
        <ns0:v/>
      </ns0:c>
      <ns0:c r="I52" s="207"/>
      <ns0:c r="J52" s="208" t="str">
        <ns0:f>IF('_Engine'!K52="OK","OK · "&amp;TEXT('_Dates'!J52,"dd mmm yyyy")&amp;IF('_Dates'!J52='_Dates'!T52,""," → "&amp;TEXT('_Dates'!T52,"dd mmm yyyy")),'_Engine'!K52)</ns0:f>
        <ns0:v/>
      </ns0:c>
    </ns0:row>
    <ns0:row r="53" ht="32" customHeight="1">
      <ns0:c r="A53" s="200"/>
      <ns0:c r="B53" s="201"/>
      <ns0:c r="C53" s="209"/>
      <ns0:c r="D53" s="201"/>
      <ns0:c r="E53" s="209"/>
      <ns0:c r="F53" s="200"/>
      <ns0:c r="G53" s="200"/>
      <ns0:c r="H53" s="210" t="str">
        <ns0:f>IF('_Engine'!A53=0,"",IF('_Engine'!$B$6&gt;0,"REVIEW",IF('_Engine'!L53&gt;0,"REVIEW",'_Engine'!G53)))</ns0:f>
        <ns0:v/>
      </ns0:c>
      <ns0:c r="I53" s="207"/>
      <ns0:c r="J53" s="208" t="str">
        <ns0:f>IF('_Engine'!K53="OK","OK · "&amp;TEXT('_Dates'!J53,"dd mmm yyyy")&amp;IF('_Dates'!J53='_Dates'!T53,""," → "&amp;TEXT('_Dates'!T53,"dd mmm yyyy")),'_Engine'!K53)</ns0:f>
        <ns0:v/>
      </ns0:c>
    </ns0:row>
    <ns0:row r="54" ht="32" customHeight="1">
      <ns0:c r="A54" s="200"/>
      <ns0:c r="B54" s="201"/>
      <ns0:c r="C54" s="209"/>
      <ns0:c r="D54" s="201"/>
      <ns0:c r="E54" s="209"/>
      <ns0:c r="F54" s="200"/>
      <ns0:c r="G54" s="200"/>
      <ns0:c r="H54" s="210" t="str">
        <ns0:f>IF('_Engine'!A54=0,"",IF('_Engine'!$B$6&gt;0,"REVIEW",IF('_Engine'!L54&gt;0,"REVIEW",'_Engine'!G54)))</ns0:f>
        <ns0:v/>
      </ns0:c>
      <ns0:c r="I54" s="207"/>
      <ns0:c r="J54" s="208" t="str">
        <ns0:f>IF('_Engine'!K54="OK","OK · "&amp;TEXT('_Dates'!J54,"dd mmm yyyy")&amp;IF('_Dates'!J54='_Dates'!T54,""," → "&amp;TEXT('_Dates'!T54,"dd mmm yyyy")),'_Engine'!K54)</ns0:f>
        <ns0:v/>
      </ns0:c>
    </ns0:row>
    <ns0:row r="55" ht="32" customHeight="1">
      <ns0:c r="A55" s="200"/>
      <ns0:c r="B55" s="201"/>
      <ns0:c r="C55" s="209"/>
      <ns0:c r="D55" s="201"/>
      <ns0:c r="E55" s="209"/>
      <ns0:c r="F55" s="200"/>
      <ns0:c r="G55" s="200"/>
      <ns0:c r="H55" s="210" t="str">
        <ns0:f>IF('_Engine'!A55=0,"",IF('_Engine'!$B$6&gt;0,"REVIEW",IF('_Engine'!L55&gt;0,"REVIEW",'_Engine'!G55)))</ns0:f>
        <ns0:v/>
      </ns0:c>
      <ns0:c r="I55" s="207"/>
      <ns0:c r="J55" s="208" t="str">
        <ns0:f>IF('_Engine'!K55="OK","OK · "&amp;TEXT('_Dates'!J55,"dd mmm yyyy")&amp;IF('_Dates'!J55='_Dates'!T55,""," → "&amp;TEXT('_Dates'!T55,"dd mmm yyyy")),'_Engine'!K55)</ns0:f>
        <ns0:v/>
      </ns0:c>
    </ns0:row>
    <ns0:row r="56" ht="32" customHeight="1">
      <ns0:c r="A56" s="200"/>
      <ns0:c r="B56" s="201"/>
      <ns0:c r="C56" s="209"/>
      <ns0:c r="D56" s="201"/>
      <ns0:c r="E56" s="209"/>
      <ns0:c r="F56" s="200"/>
      <ns0:c r="G56" s="200"/>
      <ns0:c r="H56" s="210" t="str">
        <ns0:f>IF('_Engine'!A56=0,"",IF('_Engine'!$B$6&gt;0,"REVIEW",IF('_Engine'!L56&gt;0,"REVIEW",'_Engine'!G56)))</ns0:f>
        <ns0:v/>
      </ns0:c>
      <ns0:c r="I56" s="207"/>
      <ns0:c r="J56" s="208" t="str">
        <ns0:f>IF('_Engine'!K56="OK","OK · "&amp;TEXT('_Dates'!J56,"dd mmm yyyy")&amp;IF('_Dates'!J56='_Dates'!T56,""," → "&amp;TEXT('_Dates'!T56,"dd mmm yyyy")),'_Engine'!K56)</ns0:f>
        <ns0:v/>
      </ns0:c>
    </ns0:row>
    <ns0:row r="57" ht="32" customHeight="1">
      <ns0:c r="A57" s="200"/>
      <ns0:c r="B57" s="201"/>
      <ns0:c r="C57" s="209"/>
      <ns0:c r="D57" s="201"/>
      <ns0:c r="E57" s="209"/>
      <ns0:c r="F57" s="200"/>
      <ns0:c r="G57" s="200"/>
      <ns0:c r="H57" s="210" t="str">
        <ns0:f>IF('_Engine'!A57=0,"",IF('_Engine'!$B$6&gt;0,"REVIEW",IF('_Engine'!L57&gt;0,"REVIEW",'_Engine'!G57)))</ns0:f>
        <ns0:v/>
      </ns0:c>
      <ns0:c r="I57" s="207"/>
      <ns0:c r="J57" s="208" t="str">
        <ns0:f>IF('_Engine'!K57="OK","OK · "&amp;TEXT('_Dates'!J57,"dd mmm yyyy")&amp;IF('_Dates'!J57='_Dates'!T57,""," → "&amp;TEXT('_Dates'!T57,"dd mmm yyyy")),'_Engine'!K57)</ns0:f>
        <ns0:v/>
      </ns0:c>
    </ns0:row>
    <ns0:row r="58" ht="32" customHeight="1">
      <ns0:c r="A58" s="200"/>
      <ns0:c r="B58" s="201"/>
      <ns0:c r="C58" s="209"/>
      <ns0:c r="D58" s="201"/>
      <ns0:c r="E58" s="209"/>
      <ns0:c r="F58" s="200"/>
      <ns0:c r="G58" s="200"/>
      <ns0:c r="H58" s="210" t="str">
        <ns0:f>IF('_Engine'!A58=0,"",IF('_Engine'!$B$6&gt;0,"REVIEW",IF('_Engine'!L58&gt;0,"REVIEW",'_Engine'!G58)))</ns0:f>
        <ns0:v/>
      </ns0:c>
      <ns0:c r="I58" s="207"/>
      <ns0:c r="J58" s="208" t="str">
        <ns0:f>IF('_Engine'!K58="OK","OK · "&amp;TEXT('_Dates'!J58,"dd mmm yyyy")&amp;IF('_Dates'!J58='_Dates'!T58,""," → "&amp;TEXT('_Dates'!T58,"dd mmm yyyy")),'_Engine'!K58)</ns0:f>
        <ns0:v/>
      </ns0:c>
    </ns0:row>
    <ns0:row r="59" ht="32" customHeight="1">
      <ns0:c r="A59" s="200"/>
      <ns0:c r="B59" s="201"/>
      <ns0:c r="C59" s="209"/>
      <ns0:c r="D59" s="201"/>
      <ns0:c r="E59" s="209"/>
      <ns0:c r="F59" s="200"/>
      <ns0:c r="G59" s="200"/>
      <ns0:c r="H59" s="210" t="str">
        <ns0:f>IF('_Engine'!A59=0,"",IF('_Engine'!$B$6&gt;0,"REVIEW",IF('_Engine'!L59&gt;0,"REVIEW",'_Engine'!G59)))</ns0:f>
        <ns0:v/>
      </ns0:c>
      <ns0:c r="I59" s="207"/>
      <ns0:c r="J59" s="208" t="str">
        <ns0:f>IF('_Engine'!K59="OK","OK · "&amp;TEXT('_Dates'!J59,"dd mmm yyyy")&amp;IF('_Dates'!J59='_Dates'!T59,""," → "&amp;TEXT('_Dates'!T59,"dd mmm yyyy")),'_Engine'!K59)</ns0:f>
        <ns0:v/>
      </ns0:c>
    </ns0:row>
    <ns0:row r="60" ht="32" customHeight="1">
      <ns0:c r="A60" s="200"/>
      <ns0:c r="B60" s="201"/>
      <ns0:c r="C60" s="209"/>
      <ns0:c r="D60" s="201"/>
      <ns0:c r="E60" s="209"/>
      <ns0:c r="F60" s="200"/>
      <ns0:c r="G60" s="200"/>
      <ns0:c r="H60" s="210" t="str">
        <ns0:f>IF('_Engine'!A60=0,"",IF('_Engine'!$B$6&gt;0,"REVIEW",IF('_Engine'!L60&gt;0,"REVIEW",'_Engine'!G60)))</ns0:f>
        <ns0:v/>
      </ns0:c>
      <ns0:c r="I60" s="207"/>
      <ns0:c r="J60" s="208" t="str">
        <ns0:f>IF('_Engine'!K60="OK","OK · "&amp;TEXT('_Dates'!J60,"dd mmm yyyy")&amp;IF('_Dates'!J60='_Dates'!T60,""," → "&amp;TEXT('_Dates'!T60,"dd mmm yyyy")),'_Engine'!K60)</ns0:f>
        <ns0:v/>
      </ns0:c>
    </ns0:row>
    <ns0:row r="61" ht="32" customHeight="1">
      <ns0:c r="A61" s="200"/>
      <ns0:c r="B61" s="201"/>
      <ns0:c r="C61" s="209"/>
      <ns0:c r="D61" s="201"/>
      <ns0:c r="E61" s="209"/>
      <ns0:c r="F61" s="200"/>
      <ns0:c r="G61" s="200"/>
      <ns0:c r="H61" s="210" t="str">
        <ns0:f>IF('_Engine'!A61=0,"",IF('_Engine'!$B$6&gt;0,"REVIEW",IF('_Engine'!L61&gt;0,"REVIEW",'_Engine'!G61)))</ns0:f>
        <ns0:v/>
      </ns0:c>
      <ns0:c r="I61" s="207"/>
      <ns0:c r="J61" s="208" t="str">
        <ns0:f>IF('_Engine'!K61="OK","OK · "&amp;TEXT('_Dates'!J61,"dd mmm yyyy")&amp;IF('_Dates'!J61='_Dates'!T61,""," → "&amp;TEXT('_Dates'!T61,"dd mmm yyyy")),'_Engine'!K61)</ns0:f>
        <ns0:v/>
      </ns0:c>
    </ns0:row>
    <ns0:row r="62" ht="32" customHeight="1">
      <ns0:c r="A62" s="200"/>
      <ns0:c r="B62" s="201"/>
      <ns0:c r="C62" s="209"/>
      <ns0:c r="D62" s="201"/>
      <ns0:c r="E62" s="209"/>
      <ns0:c r="F62" s="200"/>
      <ns0:c r="G62" s="200"/>
      <ns0:c r="H62" s="210" t="str">
        <ns0:f>IF('_Engine'!A62=0,"",IF('_Engine'!$B$6&gt;0,"REVIEW",IF('_Engine'!L62&gt;0,"REVIEW",'_Engine'!G62)))</ns0:f>
        <ns0:v/>
      </ns0:c>
      <ns0:c r="I62" s="207"/>
      <ns0:c r="J62" s="208" t="str">
        <ns0:f>IF('_Engine'!K62="OK","OK · "&amp;TEXT('_Dates'!J62,"dd mmm yyyy")&amp;IF('_Dates'!J62='_Dates'!T62,""," → "&amp;TEXT('_Dates'!T62,"dd mmm yyyy")),'_Engine'!K62)</ns0:f>
        <ns0:v/>
      </ns0:c>
    </ns0:row>
    <ns0:row r="63" ht="32" customHeight="1">
      <ns0:c r="A63" s="200"/>
      <ns0:c r="B63" s="201"/>
      <ns0:c r="C63" s="209"/>
      <ns0:c r="D63" s="201"/>
      <ns0:c r="E63" s="209"/>
      <ns0:c r="F63" s="200"/>
      <ns0:c r="G63" s="200"/>
      <ns0:c r="H63" s="210" t="str">
        <ns0:f>IF('_Engine'!A63=0,"",IF('_Engine'!$B$6&gt;0,"REVIEW",IF('_Engine'!L63&gt;0,"REVIEW",'_Engine'!G63)))</ns0:f>
        <ns0:v/>
      </ns0:c>
      <ns0:c r="I63" s="207"/>
      <ns0:c r="J63" s="208" t="str">
        <ns0:f>IF('_Engine'!K63="OK","OK · "&amp;TEXT('_Dates'!J63,"dd mmm yyyy")&amp;IF('_Dates'!J63='_Dates'!T63,""," → "&amp;TEXT('_Dates'!T63,"dd mmm yyyy")),'_Engine'!K63)</ns0:f>
        <ns0:v/>
      </ns0:c>
    </ns0:row>
    <ns0:row r="64" ht="32" customHeight="1">
      <ns0:c r="A64" s="200"/>
      <ns0:c r="B64" s="201"/>
      <ns0:c r="C64" s="209"/>
      <ns0:c r="D64" s="201"/>
      <ns0:c r="E64" s="209"/>
      <ns0:c r="F64" s="200"/>
      <ns0:c r="G64" s="200"/>
      <ns0:c r="H64" s="210" t="str">
        <ns0:f>IF('_Engine'!A64=0,"",IF('_Engine'!$B$6&gt;0,"REVIEW",IF('_Engine'!L64&gt;0,"REVIEW",'_Engine'!G64)))</ns0:f>
        <ns0:v/>
      </ns0:c>
      <ns0:c r="I64" s="207"/>
      <ns0:c r="J64" s="208" t="str">
        <ns0:f>IF('_Engine'!K64="OK","OK · "&amp;TEXT('_Dates'!J64,"dd mmm yyyy")&amp;IF('_Dates'!J64='_Dates'!T64,""," → "&amp;TEXT('_Dates'!T64,"dd mmm yyyy")),'_Engine'!K64)</ns0:f>
        <ns0:v/>
      </ns0:c>
    </ns0:row>
    <ns0:row r="65" ht="32" customHeight="1">
      <ns0:c r="A65" s="200"/>
      <ns0:c r="B65" s="201"/>
      <ns0:c r="C65" s="209"/>
      <ns0:c r="D65" s="201"/>
      <ns0:c r="E65" s="209"/>
      <ns0:c r="F65" s="200"/>
      <ns0:c r="G65" s="200"/>
      <ns0:c r="H65" s="210" t="str">
        <ns0:f>IF('_Engine'!A65=0,"",IF('_Engine'!$B$6&gt;0,"REVIEW",IF('_Engine'!L65&gt;0,"REVIEW",'_Engine'!G65)))</ns0:f>
        <ns0:v/>
      </ns0:c>
      <ns0:c r="I65" s="207"/>
      <ns0:c r="J65" s="208" t="str">
        <ns0:f>IF('_Engine'!K65="OK","OK · "&amp;TEXT('_Dates'!J65,"dd mmm yyyy")&amp;IF('_Dates'!J65='_Dates'!T65,""," → "&amp;TEXT('_Dates'!T65,"dd mmm yyyy")),'_Engine'!K65)</ns0:f>
        <ns0:v/>
      </ns0:c>
    </ns0:row>
    <ns0:row r="66" ht="32" customHeight="1">
      <ns0:c r="A66" s="200"/>
      <ns0:c r="B66" s="201"/>
      <ns0:c r="C66" s="209"/>
      <ns0:c r="D66" s="201"/>
      <ns0:c r="E66" s="209"/>
      <ns0:c r="F66" s="200"/>
      <ns0:c r="G66" s="200"/>
      <ns0:c r="H66" s="210" t="str">
        <ns0:f>IF('_Engine'!A66=0,"",IF('_Engine'!$B$6&gt;0,"REVIEW",IF('_Engine'!L66&gt;0,"REVIEW",'_Engine'!G66)))</ns0:f>
        <ns0:v/>
      </ns0:c>
      <ns0:c r="I66" s="207"/>
      <ns0:c r="J66" s="208" t="str">
        <ns0:f>IF('_Engine'!K66="OK","OK · "&amp;TEXT('_Dates'!J66,"dd mmm yyyy")&amp;IF('_Dates'!J66='_Dates'!T66,""," → "&amp;TEXT('_Dates'!T66,"dd mmm yyyy")),'_Engine'!K66)</ns0:f>
        <ns0:v/>
      </ns0:c>
    </ns0:row>
    <ns0:row r="67" ht="32" customHeight="1">
      <ns0:c r="A67" s="200"/>
      <ns0:c r="B67" s="201"/>
      <ns0:c r="C67" s="209"/>
      <ns0:c r="D67" s="201"/>
      <ns0:c r="E67" s="209"/>
      <ns0:c r="F67" s="200"/>
      <ns0:c r="G67" s="200"/>
      <ns0:c r="H67" s="210" t="str">
        <ns0:f>IF('_Engine'!A67=0,"",IF('_Engine'!$B$6&gt;0,"REVIEW",IF('_Engine'!L67&gt;0,"REVIEW",'_Engine'!G67)))</ns0:f>
        <ns0:v/>
      </ns0:c>
      <ns0:c r="I67" s="207"/>
      <ns0:c r="J67" s="208" t="str">
        <ns0:f>IF('_Engine'!K67="OK","OK · "&amp;TEXT('_Dates'!J67,"dd mmm yyyy")&amp;IF('_Dates'!J67='_Dates'!T67,""," → "&amp;TEXT('_Dates'!T67,"dd mmm yyyy")),'_Engine'!K67)</ns0:f>
        <ns0:v/>
      </ns0:c>
    </ns0:row>
    <ns0:row r="68" ht="32" customHeight="1">
      <ns0:c r="A68" s="200"/>
      <ns0:c r="B68" s="201"/>
      <ns0:c r="C68" s="209"/>
      <ns0:c r="D68" s="201"/>
      <ns0:c r="E68" s="209"/>
      <ns0:c r="F68" s="200"/>
      <ns0:c r="G68" s="200"/>
      <ns0:c r="H68" s="210" t="str">
        <ns0:f>IF('_Engine'!A68=0,"",IF('_Engine'!$B$6&gt;0,"REVIEW",IF('_Engine'!L68&gt;0,"REVIEW",'_Engine'!G68)))</ns0:f>
        <ns0:v/>
      </ns0:c>
      <ns0:c r="I68" s="207"/>
      <ns0:c r="J68" s="208" t="str">
        <ns0:f>IF('_Engine'!K68="OK","OK · "&amp;TEXT('_Dates'!J68,"dd mmm yyyy")&amp;IF('_Dates'!J68='_Dates'!T68,""," → "&amp;TEXT('_Dates'!T68,"dd mmm yyyy")),'_Engine'!K68)</ns0:f>
        <ns0:v/>
      </ns0:c>
    </ns0:row>
    <ns0:row r="69" ht="32" customHeight="1">
      <ns0:c r="A69" s="200"/>
      <ns0:c r="B69" s="201"/>
      <ns0:c r="C69" s="209"/>
      <ns0:c r="D69" s="201"/>
      <ns0:c r="E69" s="209"/>
      <ns0:c r="F69" s="200"/>
      <ns0:c r="G69" s="200"/>
      <ns0:c r="H69" s="210" t="str">
        <ns0:f>IF('_Engine'!A69=0,"",IF('_Engine'!$B$6&gt;0,"REVIEW",IF('_Engine'!L69&gt;0,"REVIEW",'_Engine'!G69)))</ns0:f>
        <ns0:v/>
      </ns0:c>
      <ns0:c r="I69" s="207"/>
      <ns0:c r="J69" s="208" t="str">
        <ns0:f>IF('_Engine'!K69="OK","OK · "&amp;TEXT('_Dates'!J69,"dd mmm yyyy")&amp;IF('_Dates'!J69='_Dates'!T69,""," → "&amp;TEXT('_Dates'!T69,"dd mmm yyyy")),'_Engine'!K69)</ns0:f>
        <ns0:v/>
      </ns0:c>
    </ns0:row>
    <ns0:row r="70" ht="32" customHeight="1">
      <ns0:c r="A70" s="200"/>
      <ns0:c r="B70" s="201"/>
      <ns0:c r="C70" s="209"/>
      <ns0:c r="D70" s="201"/>
      <ns0:c r="E70" s="209"/>
      <ns0:c r="F70" s="200"/>
      <ns0:c r="G70" s="200"/>
      <ns0:c r="H70" s="210" t="str">
        <ns0:f>IF('_Engine'!A70=0,"",IF('_Engine'!$B$6&gt;0,"REVIEW",IF('_Engine'!L70&gt;0,"REVIEW",'_Engine'!G70)))</ns0:f>
        <ns0:v/>
      </ns0:c>
      <ns0:c r="I70" s="207"/>
      <ns0:c r="J70" s="208" t="str">
        <ns0:f>IF('_Engine'!K70="OK","OK · "&amp;TEXT('_Dates'!J70,"dd mmm yyyy")&amp;IF('_Dates'!J70='_Dates'!T70,""," → "&amp;TEXT('_Dates'!T70,"dd mmm yyyy")),'_Engine'!K70)</ns0:f>
        <ns0:v/>
      </ns0:c>
    </ns0:row>
    <ns0:row r="71" ht="32" customHeight="1">
      <ns0:c r="A71" s="200"/>
      <ns0:c r="B71" s="201"/>
      <ns0:c r="C71" s="209"/>
      <ns0:c r="D71" s="201"/>
      <ns0:c r="E71" s="209"/>
      <ns0:c r="F71" s="200"/>
      <ns0:c r="G71" s="200"/>
      <ns0:c r="H71" s="210" t="str">
        <ns0:f>IF('_Engine'!A71=0,"",IF('_Engine'!$B$6&gt;0,"REVIEW",IF('_Engine'!L71&gt;0,"REVIEW",'_Engine'!G71)))</ns0:f>
        <ns0:v/>
      </ns0:c>
      <ns0:c r="I71" s="207"/>
      <ns0:c r="J71" s="208" t="str">
        <ns0:f>IF('_Engine'!K71="OK","OK · "&amp;TEXT('_Dates'!J71,"dd mmm yyyy")&amp;IF('_Dates'!J71='_Dates'!T71,""," → "&amp;TEXT('_Dates'!T71,"dd mmm yyyy")),'_Engine'!K71)</ns0:f>
        <ns0:v/>
      </ns0:c>
    </ns0:row>
    <ns0:row r="72" ht="32" customHeight="1">
      <ns0:c r="A72" s="200"/>
      <ns0:c r="B72" s="201"/>
      <ns0:c r="C72" s="209"/>
      <ns0:c r="D72" s="201"/>
      <ns0:c r="E72" s="209"/>
      <ns0:c r="F72" s="200"/>
      <ns0:c r="G72" s="200"/>
      <ns0:c r="H72" s="210" t="str">
        <ns0:f>IF('_Engine'!A72=0,"",IF('_Engine'!$B$6&gt;0,"REVIEW",IF('_Engine'!L72&gt;0,"REVIEW",'_Engine'!G72)))</ns0:f>
        <ns0:v/>
      </ns0:c>
      <ns0:c r="I72" s="207"/>
      <ns0:c r="J72" s="208" t="str">
        <ns0:f>IF('_Engine'!K72="OK","OK · "&amp;TEXT('_Dates'!J72,"dd mmm yyyy")&amp;IF('_Dates'!J72='_Dates'!T72,""," → "&amp;TEXT('_Dates'!T72,"dd mmm yyyy")),'_Engine'!K72)</ns0:f>
        <ns0:v/>
      </ns0:c>
    </ns0:row>
    <ns0:row r="73" ht="32" customHeight="1">
      <ns0:c r="A73" s="200"/>
      <ns0:c r="B73" s="201"/>
      <ns0:c r="C73" s="209"/>
      <ns0:c r="D73" s="201"/>
      <ns0:c r="E73" s="209"/>
      <ns0:c r="F73" s="200"/>
      <ns0:c r="G73" s="200"/>
      <ns0:c r="H73" s="210" t="str">
        <ns0:f>IF('_Engine'!A73=0,"",IF('_Engine'!$B$6&gt;0,"REVIEW",IF('_Engine'!L73&gt;0,"REVIEW",'_Engine'!G73)))</ns0:f>
        <ns0:v/>
      </ns0:c>
      <ns0:c r="I73" s="207"/>
      <ns0:c r="J73" s="208" t="str">
        <ns0:f>IF('_Engine'!K73="OK","OK · "&amp;TEXT('_Dates'!J73,"dd mmm yyyy")&amp;IF('_Dates'!J73='_Dates'!T73,""," → "&amp;TEXT('_Dates'!T73,"dd mmm yyyy")),'_Engine'!K73)</ns0:f>
        <ns0:v/>
      </ns0:c>
    </ns0:row>
    <ns0:row r="74" ht="32" customHeight="1">
      <ns0:c r="A74" s="200"/>
      <ns0:c r="B74" s="201"/>
      <ns0:c r="C74" s="209"/>
      <ns0:c r="D74" s="201"/>
      <ns0:c r="E74" s="209"/>
      <ns0:c r="F74" s="200"/>
      <ns0:c r="G74" s="200"/>
      <ns0:c r="H74" s="210" t="str">
        <ns0:f>IF('_Engine'!A74=0,"",IF('_Engine'!$B$6&gt;0,"REVIEW",IF('_Engine'!L74&gt;0,"REVIEW",'_Engine'!G74)))</ns0:f>
        <ns0:v/>
      </ns0:c>
      <ns0:c r="I74" s="207"/>
      <ns0:c r="J74" s="208" t="str">
        <ns0:f>IF('_Engine'!K74="OK","OK · "&amp;TEXT('_Dates'!J74,"dd mmm yyyy")&amp;IF('_Dates'!J74='_Dates'!T74,""," → "&amp;TEXT('_Dates'!T74,"dd mmm yyyy")),'_Engine'!K74)</ns0:f>
        <ns0:v/>
      </ns0:c>
    </ns0:row>
    <ns0:row r="75" ht="32" customHeight="1">
      <ns0:c r="A75" s="200"/>
      <ns0:c r="B75" s="201"/>
      <ns0:c r="C75" s="209"/>
      <ns0:c r="D75" s="201"/>
      <ns0:c r="E75" s="209"/>
      <ns0:c r="F75" s="200"/>
      <ns0:c r="G75" s="200"/>
      <ns0:c r="H75" s="210" t="str">
        <ns0:f>IF('_Engine'!A75=0,"",IF('_Engine'!$B$6&gt;0,"REVIEW",IF('_Engine'!L75&gt;0,"REVIEW",'_Engine'!G75)))</ns0:f>
        <ns0:v/>
      </ns0:c>
      <ns0:c r="I75" s="207"/>
      <ns0:c r="J75" s="208" t="str">
        <ns0:f>IF('_Engine'!K75="OK","OK · "&amp;TEXT('_Dates'!J75,"dd mmm yyyy")&amp;IF('_Dates'!J75='_Dates'!T75,""," → "&amp;TEXT('_Dates'!T75,"dd mmm yyyy")),'_Engine'!K75)</ns0:f>
        <ns0:v/>
      </ns0:c>
    </ns0:row>
    <ns0:row r="76" ht="32" customHeight="1">
      <ns0:c r="A76" s="200"/>
      <ns0:c r="B76" s="201"/>
      <ns0:c r="C76" s="209"/>
      <ns0:c r="D76" s="201"/>
      <ns0:c r="E76" s="209"/>
      <ns0:c r="F76" s="200"/>
      <ns0:c r="G76" s="200"/>
      <ns0:c r="H76" s="210" t="str">
        <ns0:f>IF('_Engine'!A76=0,"",IF('_Engine'!$B$6&gt;0,"REVIEW",IF('_Engine'!L76&gt;0,"REVIEW",'_Engine'!G76)))</ns0:f>
        <ns0:v/>
      </ns0:c>
      <ns0:c r="I76" s="207"/>
      <ns0:c r="J76" s="208" t="str">
        <ns0:f>IF('_Engine'!K76="OK","OK · "&amp;TEXT('_Dates'!J76,"dd mmm yyyy")&amp;IF('_Dates'!J76='_Dates'!T76,""," → "&amp;TEXT('_Dates'!T76,"dd mmm yyyy")),'_Engine'!K76)</ns0:f>
        <ns0:v/>
      </ns0:c>
    </ns0:row>
    <ns0:row r="77" ht="32" customHeight="1">
      <ns0:c r="A77" s="200"/>
      <ns0:c r="B77" s="201"/>
      <ns0:c r="C77" s="209"/>
      <ns0:c r="D77" s="201"/>
      <ns0:c r="E77" s="209"/>
      <ns0:c r="F77" s="200"/>
      <ns0:c r="G77" s="200"/>
      <ns0:c r="H77" s="210" t="str">
        <ns0:f>IF('_Engine'!A77=0,"",IF('_Engine'!$B$6&gt;0,"REVIEW",IF('_Engine'!L77&gt;0,"REVIEW",'_Engine'!G77)))</ns0:f>
        <ns0:v/>
      </ns0:c>
      <ns0:c r="I77" s="207"/>
      <ns0:c r="J77" s="208" t="str">
        <ns0:f>IF('_Engine'!K77="OK","OK · "&amp;TEXT('_Dates'!J77,"dd mmm yyyy")&amp;IF('_Dates'!J77='_Dates'!T77,""," → "&amp;TEXT('_Dates'!T77,"dd mmm yyyy")),'_Engine'!K77)</ns0:f>
        <ns0:v/>
      </ns0:c>
    </ns0:row>
    <ns0:row r="78" ht="32" customHeight="1">
      <ns0:c r="A78" s="200"/>
      <ns0:c r="B78" s="201"/>
      <ns0:c r="C78" s="209"/>
      <ns0:c r="D78" s="201"/>
      <ns0:c r="E78" s="209"/>
      <ns0:c r="F78" s="200"/>
      <ns0:c r="G78" s="200"/>
      <ns0:c r="H78" s="210" t="str">
        <ns0:f>IF('_Engine'!A78=0,"",IF('_Engine'!$B$6&gt;0,"REVIEW",IF('_Engine'!L78&gt;0,"REVIEW",'_Engine'!G78)))</ns0:f>
        <ns0:v/>
      </ns0:c>
      <ns0:c r="I78" s="207"/>
      <ns0:c r="J78" s="208" t="str">
        <ns0:f>IF('_Engine'!K78="OK","OK · "&amp;TEXT('_Dates'!J78,"dd mmm yyyy")&amp;IF('_Dates'!J78='_Dates'!T78,""," → "&amp;TEXT('_Dates'!T78,"dd mmm yyyy")),'_Engine'!K78)</ns0:f>
        <ns0:v/>
      </ns0:c>
    </ns0:row>
    <ns0:row r="79" ht="32" customHeight="1">
      <ns0:c r="A79" s="200"/>
      <ns0:c r="B79" s="201"/>
      <ns0:c r="C79" s="209"/>
      <ns0:c r="D79" s="201"/>
      <ns0:c r="E79" s="209"/>
      <ns0:c r="F79" s="200"/>
      <ns0:c r="G79" s="200"/>
      <ns0:c r="H79" s="210" t="str">
        <ns0:f>IF('_Engine'!A79=0,"",IF('_Engine'!$B$6&gt;0,"REVIEW",IF('_Engine'!L79&gt;0,"REVIEW",'_Engine'!G79)))</ns0:f>
        <ns0:v/>
      </ns0:c>
      <ns0:c r="I79" s="207"/>
      <ns0:c r="J79" s="208" t="str">
        <ns0:f>IF('_Engine'!K79="OK","OK · "&amp;TEXT('_Dates'!J79,"dd mmm yyyy")&amp;IF('_Dates'!J79='_Dates'!T79,""," → "&amp;TEXT('_Dates'!T79,"dd mmm yyyy")),'_Engine'!K79)</ns0:f>
        <ns0:v/>
      </ns0:c>
    </ns0:row>
    <ns0:row r="80" ht="32" customHeight="1">
      <ns0:c r="A80" s="200"/>
      <ns0:c r="B80" s="201"/>
      <ns0:c r="C80" s="209"/>
      <ns0:c r="D80" s="201"/>
      <ns0:c r="E80" s="209"/>
      <ns0:c r="F80" s="200"/>
      <ns0:c r="G80" s="200"/>
      <ns0:c r="H80" s="210" t="str">
        <ns0:f>IF('_Engine'!A80=0,"",IF('_Engine'!$B$6&gt;0,"REVIEW",IF('_Engine'!L80&gt;0,"REVIEW",'_Engine'!G80)))</ns0:f>
        <ns0:v/>
      </ns0:c>
      <ns0:c r="I80" s="207"/>
      <ns0:c r="J80" s="208" t="str">
        <ns0:f>IF('_Engine'!K80="OK","OK · "&amp;TEXT('_Dates'!J80,"dd mmm yyyy")&amp;IF('_Dates'!J80='_Dates'!T80,""," → "&amp;TEXT('_Dates'!T80,"dd mmm yyyy")),'_Engine'!K80)</ns0:f>
        <ns0:v/>
      </ns0:c>
    </ns0:row>
    <ns0:row r="81" ht="32" customHeight="1">
      <ns0:c r="A81" s="200"/>
      <ns0:c r="B81" s="201"/>
      <ns0:c r="C81" s="209"/>
      <ns0:c r="D81" s="201"/>
      <ns0:c r="E81" s="209"/>
      <ns0:c r="F81" s="200"/>
      <ns0:c r="G81" s="200"/>
      <ns0:c r="H81" s="210" t="str">
        <ns0:f>IF('_Engine'!A81=0,"",IF('_Engine'!$B$6&gt;0,"REVIEW",IF('_Engine'!L81&gt;0,"REVIEW",'_Engine'!G81)))</ns0:f>
        <ns0:v/>
      </ns0:c>
      <ns0:c r="I81" s="207"/>
      <ns0:c r="J81" s="208" t="str">
        <ns0:f>IF('_Engine'!K81="OK","OK · "&amp;TEXT('_Dates'!J81,"dd mmm yyyy")&amp;IF('_Dates'!J81='_Dates'!T81,""," → "&amp;TEXT('_Dates'!T81,"dd mmm yyyy")),'_Engine'!K81)</ns0:f>
        <ns0:v/>
      </ns0:c>
    </ns0:row>
    <ns0:row r="82" ht="32" customHeight="1">
      <ns0:c r="A82" s="200"/>
      <ns0:c r="B82" s="201"/>
      <ns0:c r="C82" s="209"/>
      <ns0:c r="D82" s="201"/>
      <ns0:c r="E82" s="209"/>
      <ns0:c r="F82" s="200"/>
      <ns0:c r="G82" s="200"/>
      <ns0:c r="H82" s="210" t="str">
        <ns0:f>IF('_Engine'!A82=0,"",IF('_Engine'!$B$6&gt;0,"REVIEW",IF('_Engine'!L82&gt;0,"REVIEW",'_Engine'!G82)))</ns0:f>
        <ns0:v/>
      </ns0:c>
      <ns0:c r="I82" s="207"/>
      <ns0:c r="J82" s="208" t="str">
        <ns0:f>IF('_Engine'!K82="OK","OK · "&amp;TEXT('_Dates'!J82,"dd mmm yyyy")&amp;IF('_Dates'!J82='_Dates'!T82,""," → "&amp;TEXT('_Dates'!T82,"dd mmm yyyy")),'_Engine'!K82)</ns0:f>
        <ns0:v/>
      </ns0:c>
    </ns0:row>
    <ns0:row r="83" ht="32" customHeight="1">
      <ns0:c r="A83" s="200"/>
      <ns0:c r="B83" s="201"/>
      <ns0:c r="C83" s="209"/>
      <ns0:c r="D83" s="201"/>
      <ns0:c r="E83" s="209"/>
      <ns0:c r="F83" s="200"/>
      <ns0:c r="G83" s="200"/>
      <ns0:c r="H83" s="210" t="str">
        <ns0:f>IF('_Engine'!A83=0,"",IF('_Engine'!$B$6&gt;0,"REVIEW",IF('_Engine'!L83&gt;0,"REVIEW",'_Engine'!G83)))</ns0:f>
        <ns0:v/>
      </ns0:c>
      <ns0:c r="I83" s="207"/>
      <ns0:c r="J83" s="208" t="str">
        <ns0:f>IF('_Engine'!K83="OK","OK · "&amp;TEXT('_Dates'!J83,"dd mmm yyyy")&amp;IF('_Dates'!J83='_Dates'!T83,""," → "&amp;TEXT('_Dates'!T83,"dd mmm yyyy")),'_Engine'!K83)</ns0:f>
        <ns0:v/>
      </ns0:c>
    </ns0:row>
    <ns0:row r="84" ht="32" customHeight="1">
      <ns0:c r="A84" s="200"/>
      <ns0:c r="B84" s="201"/>
      <ns0:c r="C84" s="209"/>
      <ns0:c r="D84" s="201"/>
      <ns0:c r="E84" s="209"/>
      <ns0:c r="F84" s="200"/>
      <ns0:c r="G84" s="200"/>
      <ns0:c r="H84" s="210" t="str">
        <ns0:f>IF('_Engine'!A84=0,"",IF('_Engine'!$B$6&gt;0,"REVIEW",IF('_Engine'!L84&gt;0,"REVIEW",'_Engine'!G84)))</ns0:f>
        <ns0:v/>
      </ns0:c>
      <ns0:c r="I84" s="207"/>
      <ns0:c r="J84" s="208" t="str">
        <ns0:f>IF('_Engine'!K84="OK","OK · "&amp;TEXT('_Dates'!J84,"dd mmm yyyy")&amp;IF('_Dates'!J84='_Dates'!T84,""," → "&amp;TEXT('_Dates'!T84,"dd mmm yyyy")),'_Engine'!K84)</ns0:f>
        <ns0:v/>
      </ns0:c>
    </ns0:row>
    <ns0:row r="85" ht="32" customHeight="1">
      <ns0:c r="A85" s="200"/>
      <ns0:c r="B85" s="201"/>
      <ns0:c r="C85" s="209"/>
      <ns0:c r="D85" s="201"/>
      <ns0:c r="E85" s="209"/>
      <ns0:c r="F85" s="200"/>
      <ns0:c r="G85" s="200"/>
      <ns0:c r="H85" s="210" t="str">
        <ns0:f>IF('_Engine'!A85=0,"",IF('_Engine'!$B$6&gt;0,"REVIEW",IF('_Engine'!L85&gt;0,"REVIEW",'_Engine'!G85)))</ns0:f>
        <ns0:v/>
      </ns0:c>
      <ns0:c r="I85" s="207"/>
      <ns0:c r="J85" s="208" t="str">
        <ns0:f>IF('_Engine'!K85="OK","OK · "&amp;TEXT('_Dates'!J85,"dd mmm yyyy")&amp;IF('_Dates'!J85='_Dates'!T85,""," → "&amp;TEXT('_Dates'!T85,"dd mmm yyyy")),'_Engine'!K85)</ns0:f>
        <ns0:v/>
      </ns0:c>
    </ns0:row>
    <ns0:row r="86" ht="32" customHeight="1">
      <ns0:c r="A86" s="200"/>
      <ns0:c r="B86" s="201"/>
      <ns0:c r="C86" s="209"/>
      <ns0:c r="D86" s="201"/>
      <ns0:c r="E86" s="209"/>
      <ns0:c r="F86" s="200"/>
      <ns0:c r="G86" s="200"/>
      <ns0:c r="H86" s="210" t="str">
        <ns0:f>IF('_Engine'!A86=0,"",IF('_Engine'!$B$6&gt;0,"REVIEW",IF('_Engine'!L86&gt;0,"REVIEW",'_Engine'!G86)))</ns0:f>
        <ns0:v/>
      </ns0:c>
      <ns0:c r="I86" s="207"/>
      <ns0:c r="J86" s="208" t="str">
        <ns0:f>IF('_Engine'!K86="OK","OK · "&amp;TEXT('_Dates'!J86,"dd mmm yyyy")&amp;IF('_Dates'!J86='_Dates'!T86,""," → "&amp;TEXT('_Dates'!T86,"dd mmm yyyy")),'_Engine'!K86)</ns0:f>
        <ns0:v/>
      </ns0:c>
    </ns0:row>
    <ns0:row r="87" ht="32" customHeight="1">
      <ns0:c r="A87" s="200"/>
      <ns0:c r="B87" s="201"/>
      <ns0:c r="C87" s="209"/>
      <ns0:c r="D87" s="201"/>
      <ns0:c r="E87" s="209"/>
      <ns0:c r="F87" s="200"/>
      <ns0:c r="G87" s="200"/>
      <ns0:c r="H87" s="210" t="str">
        <ns0:f>IF('_Engine'!A87=0,"",IF('_Engine'!$B$6&gt;0,"REVIEW",IF('_Engine'!L87&gt;0,"REVIEW",'_Engine'!G87)))</ns0:f>
        <ns0:v/>
      </ns0:c>
      <ns0:c r="I87" s="207"/>
      <ns0:c r="J87" s="208" t="str">
        <ns0:f>IF('_Engine'!K87="OK","OK · "&amp;TEXT('_Dates'!J87,"dd mmm yyyy")&amp;IF('_Dates'!J87='_Dates'!T87,""," → "&amp;TEXT('_Dates'!T87,"dd mmm yyyy")),'_Engine'!K87)</ns0:f>
        <ns0:v/>
      </ns0:c>
    </ns0:row>
    <ns0:row r="88" ht="32" customHeight="1">
      <ns0:c r="A88" s="200"/>
      <ns0:c r="B88" s="201"/>
      <ns0:c r="C88" s="209"/>
      <ns0:c r="D88" s="201"/>
      <ns0:c r="E88" s="209"/>
      <ns0:c r="F88" s="200"/>
      <ns0:c r="G88" s="200"/>
      <ns0:c r="H88" s="210" t="str">
        <ns0:f>IF('_Engine'!A88=0,"",IF('_Engine'!$B$6&gt;0,"REVIEW",IF('_Engine'!L88&gt;0,"REVIEW",'_Engine'!G88)))</ns0:f>
        <ns0:v/>
      </ns0:c>
      <ns0:c r="I88" s="207"/>
      <ns0:c r="J88" s="208" t="str">
        <ns0:f>IF('_Engine'!K88="OK","OK · "&amp;TEXT('_Dates'!J88,"dd mmm yyyy")&amp;IF('_Dates'!J88='_Dates'!T88,""," → "&amp;TEXT('_Dates'!T88,"dd mmm yyyy")),'_Engine'!K88)</ns0:f>
        <ns0:v/>
      </ns0:c>
    </ns0:row>
    <ns0:row r="89" ht="32" customHeight="1">
      <ns0:c r="A89" s="200"/>
      <ns0:c r="B89" s="201"/>
      <ns0:c r="C89" s="209"/>
      <ns0:c r="D89" s="201"/>
      <ns0:c r="E89" s="209"/>
      <ns0:c r="F89" s="200"/>
      <ns0:c r="G89" s="200"/>
      <ns0:c r="H89" s="210" t="str">
        <ns0:f>IF('_Engine'!A89=0,"",IF('_Engine'!$B$6&gt;0,"REVIEW",IF('_Engine'!L89&gt;0,"REVIEW",'_Engine'!G89)))</ns0:f>
        <ns0:v/>
      </ns0:c>
      <ns0:c r="I89" s="207"/>
      <ns0:c r="J89" s="208" t="str">
        <ns0:f>IF('_Engine'!K89="OK","OK · "&amp;TEXT('_Dates'!J89,"dd mmm yyyy")&amp;IF('_Dates'!J89='_Dates'!T89,""," → "&amp;TEXT('_Dates'!T89,"dd mmm yyyy")),'_Engine'!K89)</ns0:f>
        <ns0:v/>
      </ns0:c>
    </ns0:row>
    <ns0:row r="90" ht="32" customHeight="1">
      <ns0:c r="A90" s="200"/>
      <ns0:c r="B90" s="201"/>
      <ns0:c r="C90" s="209"/>
      <ns0:c r="D90" s="201"/>
      <ns0:c r="E90" s="209"/>
      <ns0:c r="F90" s="200"/>
      <ns0:c r="G90" s="200"/>
      <ns0:c r="H90" s="210" t="str">
        <ns0:f>IF('_Engine'!A90=0,"",IF('_Engine'!$B$6&gt;0,"REVIEW",IF('_Engine'!L90&gt;0,"REVIEW",'_Engine'!G90)))</ns0:f>
        <ns0:v/>
      </ns0:c>
      <ns0:c r="I90" s="207"/>
      <ns0:c r="J90" s="208" t="str">
        <ns0:f>IF('_Engine'!K90="OK","OK · "&amp;TEXT('_Dates'!J90,"dd mmm yyyy")&amp;IF('_Dates'!J90='_Dates'!T90,""," → "&amp;TEXT('_Dates'!T90,"dd mmm yyyy")),'_Engine'!K90)</ns0:f>
        <ns0:v/>
      </ns0:c>
    </ns0:row>
    <ns0:row r="91" ht="32" customHeight="1">
      <ns0:c r="A91" s="200"/>
      <ns0:c r="B91" s="201"/>
      <ns0:c r="C91" s="209"/>
      <ns0:c r="D91" s="201"/>
      <ns0:c r="E91" s="209"/>
      <ns0:c r="F91" s="200"/>
      <ns0:c r="G91" s="200"/>
      <ns0:c r="H91" s="210" t="str">
        <ns0:f>IF('_Engine'!A91=0,"",IF('_Engine'!$B$6&gt;0,"REVIEW",IF('_Engine'!L91&gt;0,"REVIEW",'_Engine'!G91)))</ns0:f>
        <ns0:v/>
      </ns0:c>
      <ns0:c r="I91" s="207"/>
      <ns0:c r="J91" s="208" t="str">
        <ns0:f>IF('_Engine'!K91="OK","OK · "&amp;TEXT('_Dates'!J91,"dd mmm yyyy")&amp;IF('_Dates'!J91='_Dates'!T91,""," → "&amp;TEXT('_Dates'!T91,"dd mmm yyyy")),'_Engine'!K91)</ns0:f>
        <ns0:v/>
      </ns0:c>
    </ns0:row>
    <ns0:row r="92" ht="32" customHeight="1">
      <ns0:c r="A92" s="200"/>
      <ns0:c r="B92" s="201"/>
      <ns0:c r="C92" s="209"/>
      <ns0:c r="D92" s="201"/>
      <ns0:c r="E92" s="209"/>
      <ns0:c r="F92" s="200"/>
      <ns0:c r="G92" s="200"/>
      <ns0:c r="H92" s="210" t="str">
        <ns0:f>IF('_Engine'!A92=0,"",IF('_Engine'!$B$6&gt;0,"REVIEW",IF('_Engine'!L92&gt;0,"REVIEW",'_Engine'!G92)))</ns0:f>
        <ns0:v/>
      </ns0:c>
      <ns0:c r="I92" s="207"/>
      <ns0:c r="J92" s="208" t="str">
        <ns0:f>IF('_Engine'!K92="OK","OK · "&amp;TEXT('_Dates'!J92,"dd mmm yyyy")&amp;IF('_Dates'!J92='_Dates'!T92,""," → "&amp;TEXT('_Dates'!T92,"dd mmm yyyy")),'_Engine'!K92)</ns0:f>
        <ns0:v/>
      </ns0:c>
    </ns0:row>
    <ns0:row r="93" ht="32" customHeight="1">
      <ns0:c r="A93" s="200"/>
      <ns0:c r="B93" s="201"/>
      <ns0:c r="C93" s="209"/>
      <ns0:c r="D93" s="201"/>
      <ns0:c r="E93" s="209"/>
      <ns0:c r="F93" s="200"/>
      <ns0:c r="G93" s="200"/>
      <ns0:c r="H93" s="210" t="str">
        <ns0:f>IF('_Engine'!A93=0,"",IF('_Engine'!$B$6&gt;0,"REVIEW",IF('_Engine'!L93&gt;0,"REVIEW",'_Engine'!G93)))</ns0:f>
        <ns0:v/>
      </ns0:c>
      <ns0:c r="I93" s="207"/>
      <ns0:c r="J93" s="208" t="str">
        <ns0:f>IF('_Engine'!K93="OK","OK · "&amp;TEXT('_Dates'!J93,"dd mmm yyyy")&amp;IF('_Dates'!J93='_Dates'!T93,""," → "&amp;TEXT('_Dates'!T93,"dd mmm yyyy")),'_Engine'!K93)</ns0:f>
        <ns0:v/>
      </ns0:c>
    </ns0:row>
    <ns0:row r="94" ht="32" customHeight="1">
      <ns0:c r="A94" s="200"/>
      <ns0:c r="B94" s="201"/>
      <ns0:c r="C94" s="209"/>
      <ns0:c r="D94" s="201"/>
      <ns0:c r="E94" s="209"/>
      <ns0:c r="F94" s="200"/>
      <ns0:c r="G94" s="200"/>
      <ns0:c r="H94" s="210" t="str">
        <ns0:f>IF('_Engine'!A94=0,"",IF('_Engine'!$B$6&gt;0,"REVIEW",IF('_Engine'!L94&gt;0,"REVIEW",'_Engine'!G94)))</ns0:f>
        <ns0:v/>
      </ns0:c>
      <ns0:c r="I94" s="207"/>
      <ns0:c r="J94" s="208" t="str">
        <ns0:f>IF('_Engine'!K94="OK","OK · "&amp;TEXT('_Dates'!J94,"dd mmm yyyy")&amp;IF('_Dates'!J94='_Dates'!T94,""," → "&amp;TEXT('_Dates'!T94,"dd mmm yyyy")),'_Engine'!K94)</ns0:f>
        <ns0:v/>
      </ns0:c>
    </ns0:row>
    <ns0:row r="95" ht="32" customHeight="1">
      <ns0:c r="A95" s="200"/>
      <ns0:c r="B95" s="201"/>
      <ns0:c r="C95" s="209"/>
      <ns0:c r="D95" s="201"/>
      <ns0:c r="E95" s="209"/>
      <ns0:c r="F95" s="200"/>
      <ns0:c r="G95" s="200"/>
      <ns0:c r="H95" s="210" t="str">
        <ns0:f>IF('_Engine'!A95=0,"",IF('_Engine'!$B$6&gt;0,"REVIEW",IF('_Engine'!L95&gt;0,"REVIEW",'_Engine'!G95)))</ns0:f>
        <ns0:v/>
      </ns0:c>
      <ns0:c r="I95" s="207"/>
      <ns0:c r="J95" s="208" t="str">
        <ns0:f>IF('_Engine'!K95="OK","OK · "&amp;TEXT('_Dates'!J95,"dd mmm yyyy")&amp;IF('_Dates'!J95='_Dates'!T95,""," → "&amp;TEXT('_Dates'!T95,"dd mmm yyyy")),'_Engine'!K95)</ns0:f>
        <ns0:v/>
      </ns0:c>
    </ns0:row>
    <ns0:row r="96" ht="32" customHeight="1">
      <ns0:c r="A96" s="200"/>
      <ns0:c r="B96" s="201"/>
      <ns0:c r="C96" s="209"/>
      <ns0:c r="D96" s="201"/>
      <ns0:c r="E96" s="209"/>
      <ns0:c r="F96" s="200"/>
      <ns0:c r="G96" s="200"/>
      <ns0:c r="H96" s="210" t="str">
        <ns0:f>IF('_Engine'!A96=0,"",IF('_Engine'!$B$6&gt;0,"REVIEW",IF('_Engine'!L96&gt;0,"REVIEW",'_Engine'!G96)))</ns0:f>
        <ns0:v/>
      </ns0:c>
      <ns0:c r="I96" s="207"/>
      <ns0:c r="J96" s="208" t="str">
        <ns0:f>IF('_Engine'!K96="OK","OK · "&amp;TEXT('_Dates'!J96,"dd mmm yyyy")&amp;IF('_Dates'!J96='_Dates'!T96,""," → "&amp;TEXT('_Dates'!T96,"dd mmm yyyy")),'_Engine'!K96)</ns0:f>
        <ns0:v/>
      </ns0:c>
    </ns0:row>
    <ns0:row r="97" ht="32" customHeight="1">
      <ns0:c r="A97" s="200"/>
      <ns0:c r="B97" s="201"/>
      <ns0:c r="C97" s="209"/>
      <ns0:c r="D97" s="201"/>
      <ns0:c r="E97" s="209"/>
      <ns0:c r="F97" s="200"/>
      <ns0:c r="G97" s="200"/>
      <ns0:c r="H97" s="210" t="str">
        <ns0:f>IF('_Engine'!A97=0,"",IF('_Engine'!$B$6&gt;0,"REVIEW",IF('_Engine'!L97&gt;0,"REVIEW",'_Engine'!G97)))</ns0:f>
        <ns0:v/>
      </ns0:c>
      <ns0:c r="I97" s="207"/>
      <ns0:c r="J97" s="208" t="str">
        <ns0:f>IF('_Engine'!K97="OK","OK · "&amp;TEXT('_Dates'!J97,"dd mmm yyyy")&amp;IF('_Dates'!J97='_Dates'!T97,""," → "&amp;TEXT('_Dates'!T97,"dd mmm yyyy")),'_Engine'!K97)</ns0:f>
        <ns0:v/>
      </ns0:c>
    </ns0:row>
    <ns0:row r="98" ht="32" customHeight="1">
      <ns0:c r="A98" s="200"/>
      <ns0:c r="B98" s="201"/>
      <ns0:c r="C98" s="209"/>
      <ns0:c r="D98" s="201"/>
      <ns0:c r="E98" s="209"/>
      <ns0:c r="F98" s="200"/>
      <ns0:c r="G98" s="200"/>
      <ns0:c r="H98" s="210" t="str">
        <ns0:f>IF('_Engine'!A98=0,"",IF('_Engine'!$B$6&gt;0,"REVIEW",IF('_Engine'!L98&gt;0,"REVIEW",'_Engine'!G98)))</ns0:f>
        <ns0:v/>
      </ns0:c>
      <ns0:c r="I98" s="207"/>
      <ns0:c r="J98" s="208" t="str">
        <ns0:f>IF('_Engine'!K98="OK","OK · "&amp;TEXT('_Dates'!J98,"dd mmm yyyy")&amp;IF('_Dates'!J98='_Dates'!T98,""," → "&amp;TEXT('_Dates'!T98,"dd mmm yyyy")),'_Engine'!K98)</ns0:f>
        <ns0:v/>
      </ns0:c>
    </ns0:row>
    <ns0:row r="99" ht="32" customHeight="1">
      <ns0:c r="A99" s="200"/>
      <ns0:c r="B99" s="201"/>
      <ns0:c r="C99" s="209"/>
      <ns0:c r="D99" s="201"/>
      <ns0:c r="E99" s="209"/>
      <ns0:c r="F99" s="200"/>
      <ns0:c r="G99" s="200"/>
      <ns0:c r="H99" s="210" t="str">
        <ns0:f>IF('_Engine'!A99=0,"",IF('_Engine'!$B$6&gt;0,"REVIEW",IF('_Engine'!L99&gt;0,"REVIEW",'_Engine'!G99)))</ns0:f>
        <ns0:v/>
      </ns0:c>
      <ns0:c r="I99" s="207"/>
      <ns0:c r="J99" s="208" t="str">
        <ns0:f>IF('_Engine'!K99="OK","OK · "&amp;TEXT('_Dates'!J99,"dd mmm yyyy")&amp;IF('_Dates'!J99='_Dates'!T99,""," → "&amp;TEXT('_Dates'!T99,"dd mmm yyyy")),'_Engine'!K99)</ns0:f>
        <ns0:v/>
      </ns0:c>
    </ns0:row>
    <ns0:row r="100" ht="32" customHeight="1">
      <ns0:c r="A100" s="200"/>
      <ns0:c r="B100" s="201"/>
      <ns0:c r="C100" s="209"/>
      <ns0:c r="D100" s="201"/>
      <ns0:c r="E100" s="209"/>
      <ns0:c r="F100" s="200"/>
      <ns0:c r="G100" s="200"/>
      <ns0:c r="H100" s="210" t="str">
        <ns0:f>IF('_Engine'!A100=0,"",IF('_Engine'!$B$6&gt;0,"REVIEW",IF('_Engine'!L100&gt;0,"REVIEW",'_Engine'!G100)))</ns0:f>
        <ns0:v/>
      </ns0:c>
      <ns0:c r="I100" s="207"/>
      <ns0:c r="J100" s="208" t="str">
        <ns0:f>IF('_Engine'!K100="OK","OK · "&amp;TEXT('_Dates'!J100,"dd mmm yyyy")&amp;IF('_Dates'!J100='_Dates'!T100,""," → "&amp;TEXT('_Dates'!T100,"dd mmm yyyy")),'_Engine'!K100)</ns0:f>
        <ns0:v/>
      </ns0:c>
    </ns0:row>
    <ns0:row r="101" ht="32" customHeight="1">
      <ns0:c r="A101" s="200"/>
      <ns0:c r="B101" s="201"/>
      <ns0:c r="C101" s="209"/>
      <ns0:c r="D101" s="201"/>
      <ns0:c r="E101" s="209"/>
      <ns0:c r="F101" s="200"/>
      <ns0:c r="G101" s="200"/>
      <ns0:c r="H101" s="210" t="str">
        <ns0:f>IF('_Engine'!A101=0,"",IF('_Engine'!$B$6&gt;0,"REVIEW",IF('_Engine'!L101&gt;0,"REVIEW",'_Engine'!G101)))</ns0:f>
        <ns0:v/>
      </ns0:c>
      <ns0:c r="I101" s="207"/>
      <ns0:c r="J101" s="208" t="str">
        <ns0:f>IF('_Engine'!K101="OK","OK · "&amp;TEXT('_Dates'!J101,"dd mmm yyyy")&amp;IF('_Dates'!J101='_Dates'!T101,""," → "&amp;TEXT('_Dates'!T101,"dd mmm yyyy")),'_Engine'!K101)</ns0:f>
        <ns0:v/>
      </ns0:c>
    </ns0:row>
    <ns0:row r="102" ht="32" customHeight="1">
      <ns0:c r="A102" s="200"/>
      <ns0:c r="B102" s="201"/>
      <ns0:c r="C102" s="209"/>
      <ns0:c r="D102" s="201"/>
      <ns0:c r="E102" s="209"/>
      <ns0:c r="F102" s="200"/>
      <ns0:c r="G102" s="200"/>
      <ns0:c r="H102" s="210" t="str">
        <ns0:f>IF('_Engine'!A102=0,"",IF('_Engine'!$B$6&gt;0,"REVIEW",IF('_Engine'!L102&gt;0,"REVIEW",'_Engine'!G102)))</ns0:f>
        <ns0:v/>
      </ns0:c>
      <ns0:c r="I102" s="207"/>
      <ns0:c r="J102" s="208" t="str">
        <ns0:f>IF('_Engine'!K102="OK","OK · "&amp;TEXT('_Dates'!J102,"dd mmm yyyy")&amp;IF('_Dates'!J102='_Dates'!T102,""," → "&amp;TEXT('_Dates'!T102,"dd mmm yyyy")),'_Engine'!K102)</ns0:f>
        <ns0:v/>
      </ns0:c>
    </ns0:row>
    <ns0:row r="103" ht="32" customHeight="1">
      <ns0:c r="A103" s="200"/>
      <ns0:c r="B103" s="201"/>
      <ns0:c r="C103" s="209"/>
      <ns0:c r="D103" s="201"/>
      <ns0:c r="E103" s="209"/>
      <ns0:c r="F103" s="200"/>
      <ns0:c r="G103" s="200"/>
      <ns0:c r="H103" s="210" t="str">
        <ns0:f>IF('_Engine'!A103=0,"",IF('_Engine'!$B$6&gt;0,"REVIEW",IF('_Engine'!L103&gt;0,"REVIEW",'_Engine'!G103)))</ns0:f>
        <ns0:v/>
      </ns0:c>
      <ns0:c r="I103" s="207"/>
      <ns0:c r="J103" s="208" t="str">
        <ns0:f>IF('_Engine'!K103="OK","OK · "&amp;TEXT('_Dates'!J103,"dd mmm yyyy")&amp;IF('_Dates'!J103='_Dates'!T103,""," → "&amp;TEXT('_Dates'!T103,"dd mmm yyyy")),'_Engine'!K103)</ns0:f>
        <ns0:v/>
      </ns0:c>
    </ns0:row>
    <ns0:row r="104" ht="32" customHeight="1">
      <ns0:c r="A104" s="200"/>
      <ns0:c r="B104" s="201"/>
      <ns0:c r="C104" s="209"/>
      <ns0:c r="D104" s="201"/>
      <ns0:c r="E104" s="209"/>
      <ns0:c r="F104" s="200"/>
      <ns0:c r="G104" s="200"/>
      <ns0:c r="H104" s="210" t="str">
        <ns0:f>IF('_Engine'!A104=0,"",IF('_Engine'!$B$6&gt;0,"REVIEW",IF('_Engine'!L104&gt;0,"REVIEW",'_Engine'!G104)))</ns0:f>
        <ns0:v/>
      </ns0:c>
      <ns0:c r="I104" s="207"/>
      <ns0:c r="J104" s="208" t="str">
        <ns0:f>IF('_Engine'!K104="OK","OK · "&amp;TEXT('_Dates'!J104,"dd mmm yyyy")&amp;IF('_Dates'!J104='_Dates'!T104,""," → "&amp;TEXT('_Dates'!T104,"dd mmm yyyy")),'_Engine'!K104)</ns0:f>
        <ns0:v/>
      </ns0:c>
    </ns0:row>
    <ns0:row r="105" ht="32" customHeight="1">
      <ns0:c r="A105" s="200"/>
      <ns0:c r="B105" s="201"/>
      <ns0:c r="C105" s="209"/>
      <ns0:c r="D105" s="201"/>
      <ns0:c r="E105" s="209"/>
      <ns0:c r="F105" s="200"/>
      <ns0:c r="G105" s="200"/>
      <ns0:c r="H105" s="210" t="str">
        <ns0:f>IF('_Engine'!A105=0,"",IF('_Engine'!$B$6&gt;0,"REVIEW",IF('_Engine'!L105&gt;0,"REVIEW",'_Engine'!G105)))</ns0:f>
        <ns0:v/>
      </ns0:c>
      <ns0:c r="I105" s="207"/>
      <ns0:c r="J105" s="208" t="str">
        <ns0:f>IF('_Engine'!K105="OK","OK · "&amp;TEXT('_Dates'!J105,"dd mmm yyyy")&amp;IF('_Dates'!J105='_Dates'!T105,""," → "&amp;TEXT('_Dates'!T105,"dd mmm yyyy")),'_Engine'!K105)</ns0:f>
        <ns0:v/>
      </ns0:c>
    </ns0:row>
    <ns0:row r="106" ht="32" customHeight="1">
      <ns0:c r="A106" s="200"/>
      <ns0:c r="B106" s="201"/>
      <ns0:c r="C106" s="209"/>
      <ns0:c r="D106" s="201"/>
      <ns0:c r="E106" s="209"/>
      <ns0:c r="F106" s="200"/>
      <ns0:c r="G106" s="200"/>
      <ns0:c r="H106" s="210" t="str">
        <ns0:f>IF('_Engine'!A106=0,"",IF('_Engine'!$B$6&gt;0,"REVIEW",IF('_Engine'!L106&gt;0,"REVIEW",'_Engine'!G106)))</ns0:f>
        <ns0:v/>
      </ns0:c>
      <ns0:c r="I106" s="207"/>
      <ns0:c r="J106" s="208" t="str">
        <ns0:f>IF('_Engine'!K106="OK","OK · "&amp;TEXT('_Dates'!J106,"dd mmm yyyy")&amp;IF('_Dates'!J106='_Dates'!T106,""," → "&amp;TEXT('_Dates'!T106,"dd mmm yyyy")),'_Engine'!K106)</ns0:f>
        <ns0:v/>
      </ns0:c>
    </ns0:row>
    <ns0:row r="107" ht="32" customHeight="1">
      <ns0:c r="A107" s="200"/>
      <ns0:c r="B107" s="201"/>
      <ns0:c r="C107" s="209"/>
      <ns0:c r="D107" s="201"/>
      <ns0:c r="E107" s="209"/>
      <ns0:c r="F107" s="200"/>
      <ns0:c r="G107" s="200"/>
      <ns0:c r="H107" s="210" t="str">
        <ns0:f>IF('_Engine'!A107=0,"",IF('_Engine'!$B$6&gt;0,"REVIEW",IF('_Engine'!L107&gt;0,"REVIEW",'_Engine'!G107)))</ns0:f>
        <ns0:v/>
      </ns0:c>
      <ns0:c r="I107" s="207"/>
      <ns0:c r="J107" s="208" t="str">
        <ns0:f>IF('_Engine'!K107="OK","OK · "&amp;TEXT('_Dates'!J107,"dd mmm yyyy")&amp;IF('_Dates'!J107='_Dates'!T107,""," → "&amp;TEXT('_Dates'!T107,"dd mmm yyyy")),'_Engine'!K107)</ns0:f>
        <ns0:v/>
      </ns0:c>
    </ns0:row>
    <ns0:row r="108" ht="32" customHeight="1">
      <ns0:c r="A108" s="200"/>
      <ns0:c r="B108" s="201"/>
      <ns0:c r="C108" s="209"/>
      <ns0:c r="D108" s="201"/>
      <ns0:c r="E108" s="209"/>
      <ns0:c r="F108" s="200"/>
      <ns0:c r="G108" s="200"/>
      <ns0:c r="H108" s="210" t="str">
        <ns0:f>IF('_Engine'!A108=0,"",IF('_Engine'!$B$6&gt;0,"REVIEW",IF('_Engine'!L108&gt;0,"REVIEW",'_Engine'!G108)))</ns0:f>
        <ns0:v/>
      </ns0:c>
      <ns0:c r="I108" s="207"/>
      <ns0:c r="J108" s="208" t="str">
        <ns0:f>IF('_Engine'!K108="OK","OK · "&amp;TEXT('_Dates'!J108,"dd mmm yyyy")&amp;IF('_Dates'!J108='_Dates'!T108,""," → "&amp;TEXT('_Dates'!T108,"dd mmm yyyy")),'_Engine'!K108)</ns0:f>
        <ns0:v/>
      </ns0:c>
    </ns0:row>
    <ns0:row r="109" ht="32" customHeight="1">
      <ns0:c r="A109" s="200"/>
      <ns0:c r="B109" s="201"/>
      <ns0:c r="C109" s="209"/>
      <ns0:c r="D109" s="201"/>
      <ns0:c r="E109" s="209"/>
      <ns0:c r="F109" s="200"/>
      <ns0:c r="G109" s="200"/>
      <ns0:c r="H109" s="210" t="str">
        <ns0:f>IF('_Engine'!A109=0,"",IF('_Engine'!$B$6&gt;0,"REVIEW",IF('_Engine'!L109&gt;0,"REVIEW",'_Engine'!G109)))</ns0:f>
        <ns0:v/>
      </ns0:c>
      <ns0:c r="I109" s="207"/>
      <ns0:c r="J109" s="208" t="str">
        <ns0:f>IF('_Engine'!K109="OK","OK · "&amp;TEXT('_Dates'!J109,"dd mmm yyyy")&amp;IF('_Dates'!J109='_Dates'!T109,""," → "&amp;TEXT('_Dates'!T109,"dd mmm yyyy")),'_Engine'!K109)</ns0:f>
        <ns0:v/>
      </ns0:c>
    </ns0:row>
    <ns0:row r="110" ht="32" customHeight="1">
      <ns0:c r="A110" s="200"/>
      <ns0:c r="B110" s="201"/>
      <ns0:c r="C110" s="209"/>
      <ns0:c r="D110" s="201"/>
      <ns0:c r="E110" s="209"/>
      <ns0:c r="F110" s="200"/>
      <ns0:c r="G110" s="200"/>
      <ns0:c r="H110" s="210" t="str">
        <ns0:f>IF('_Engine'!A110=0,"",IF('_Engine'!$B$6&gt;0,"REVIEW",IF('_Engine'!L110&gt;0,"REVIEW",'_Engine'!G110)))</ns0:f>
        <ns0:v/>
      </ns0:c>
      <ns0:c r="I110" s="207"/>
      <ns0:c r="J110" s="208" t="str">
        <ns0:f>IF('_Engine'!K110="OK","OK · "&amp;TEXT('_Dates'!J110,"dd mmm yyyy")&amp;IF('_Dates'!J110='_Dates'!T110,""," → "&amp;TEXT('_Dates'!T110,"dd mmm yyyy")),'_Engine'!K110)</ns0:f>
        <ns0:v/>
      </ns0:c>
    </ns0:row>
    <ns0:row r="111" ht="32" customHeight="1">
      <ns0:c r="A111" s="200"/>
      <ns0:c r="B111" s="201"/>
      <ns0:c r="C111" s="209"/>
      <ns0:c r="D111" s="201"/>
      <ns0:c r="E111" s="209"/>
      <ns0:c r="F111" s="200"/>
      <ns0:c r="G111" s="200"/>
      <ns0:c r="H111" s="210" t="str">
        <ns0:f>IF('_Engine'!A111=0,"",IF('_Engine'!$B$6&gt;0,"REVIEW",IF('_Engine'!L111&gt;0,"REVIEW",'_Engine'!G111)))</ns0:f>
        <ns0:v/>
      </ns0:c>
      <ns0:c r="I111" s="207"/>
      <ns0:c r="J111" s="208" t="str">
        <ns0:f>IF('_Engine'!K111="OK","OK · "&amp;TEXT('_Dates'!J111,"dd mmm yyyy")&amp;IF('_Dates'!J111='_Dates'!T111,""," → "&amp;TEXT('_Dates'!T111,"dd mmm yyyy")),'_Engine'!K111)</ns0:f>
        <ns0:v/>
      </ns0:c>
    </ns0:row>
    <ns0:row r="112" ht="32" customHeight="1">
      <ns0:c r="A112" s="200"/>
      <ns0:c r="B112" s="201"/>
      <ns0:c r="C112" s="209"/>
      <ns0:c r="D112" s="201"/>
      <ns0:c r="E112" s="209"/>
      <ns0:c r="F112" s="200"/>
      <ns0:c r="G112" s="200"/>
      <ns0:c r="H112" s="210" t="str">
        <ns0:f>IF('_Engine'!A112=0,"",IF('_Engine'!$B$6&gt;0,"REVIEW",IF('_Engine'!L112&gt;0,"REVIEW",'_Engine'!G112)))</ns0:f>
        <ns0:v/>
      </ns0:c>
      <ns0:c r="I112" s="207"/>
      <ns0:c r="J112" s="208" t="str">
        <ns0:f>IF('_Engine'!K112="OK","OK · "&amp;TEXT('_Dates'!J112,"dd mmm yyyy")&amp;IF('_Dates'!J112='_Dates'!T112,""," → "&amp;TEXT('_Dates'!T112,"dd mmm yyyy")),'_Engine'!K112)</ns0:f>
        <ns0:v/>
      </ns0:c>
    </ns0:row>
    <ns0:row r="113" ht="32" customHeight="1">
      <ns0:c r="A113" s="200"/>
      <ns0:c r="B113" s="201"/>
      <ns0:c r="C113" s="209"/>
      <ns0:c r="D113" s="201"/>
      <ns0:c r="E113" s="209"/>
      <ns0:c r="F113" s="200"/>
      <ns0:c r="G113" s="200"/>
      <ns0:c r="H113" s="210" t="str">
        <ns0:f>IF('_Engine'!A113=0,"",IF('_Engine'!$B$6&gt;0,"REVIEW",IF('_Engine'!L113&gt;0,"REVIEW",'_Engine'!G113)))</ns0:f>
        <ns0:v/>
      </ns0:c>
      <ns0:c r="I113" s="207"/>
      <ns0:c r="J113" s="208" t="str">
        <ns0:f>IF('_Engine'!K113="OK","OK · "&amp;TEXT('_Dates'!J113,"dd mmm yyyy")&amp;IF('_Dates'!J113='_Dates'!T113,""," → "&amp;TEXT('_Dates'!T113,"dd mmm yyyy")),'_Engine'!K113)</ns0:f>
        <ns0:v/>
      </ns0:c>
    </ns0:row>
    <ns0:row r="114" ht="32" customHeight="1">
      <ns0:c r="A114" s="200"/>
      <ns0:c r="B114" s="201"/>
      <ns0:c r="C114" s="209"/>
      <ns0:c r="D114" s="201"/>
      <ns0:c r="E114" s="209"/>
      <ns0:c r="F114" s="200"/>
      <ns0:c r="G114" s="200"/>
      <ns0:c r="H114" s="210" t="str">
        <ns0:f>IF('_Engine'!A114=0,"",IF('_Engine'!$B$6&gt;0,"REVIEW",IF('_Engine'!L114&gt;0,"REVIEW",'_Engine'!G114)))</ns0:f>
        <ns0:v/>
      </ns0:c>
      <ns0:c r="I114" s="207"/>
      <ns0:c r="J114" s="208" t="str">
        <ns0:f>IF('_Engine'!K114="OK","OK · "&amp;TEXT('_Dates'!J114,"dd mmm yyyy")&amp;IF('_Dates'!J114='_Dates'!T114,""," → "&amp;TEXT('_Dates'!T114,"dd mmm yyyy")),'_Engine'!K114)</ns0:f>
        <ns0:v/>
      </ns0:c>
    </ns0:row>
    <ns0:row r="115" ht="32" customHeight="1">
      <ns0:c r="A115" s="200"/>
      <ns0:c r="B115" s="201"/>
      <ns0:c r="C115" s="209"/>
      <ns0:c r="D115" s="201"/>
      <ns0:c r="E115" s="209"/>
      <ns0:c r="F115" s="200"/>
      <ns0:c r="G115" s="200"/>
      <ns0:c r="H115" s="210" t="str">
        <ns0:f>IF('_Engine'!A115=0,"",IF('_Engine'!$B$6&gt;0,"REVIEW",IF('_Engine'!L115&gt;0,"REVIEW",'_Engine'!G115)))</ns0:f>
        <ns0:v/>
      </ns0:c>
      <ns0:c r="I115" s="207"/>
      <ns0:c r="J115" s="208" t="str">
        <ns0:f>IF('_Engine'!K115="OK","OK · "&amp;TEXT('_Dates'!J115,"dd mmm yyyy")&amp;IF('_Dates'!J115='_Dates'!T115,""," → "&amp;TEXT('_Dates'!T115,"dd mmm yyyy")),'_Engine'!K115)</ns0:f>
        <ns0:v/>
      </ns0:c>
    </ns0:row>
    <ns0:row r="116" ht="32" customHeight="1">
      <ns0:c r="A116" s="200"/>
      <ns0:c r="B116" s="201"/>
      <ns0:c r="C116" s="209"/>
      <ns0:c r="D116" s="201"/>
      <ns0:c r="E116" s="209"/>
      <ns0:c r="F116" s="200"/>
      <ns0:c r="G116" s="200"/>
      <ns0:c r="H116" s="210" t="str">
        <ns0:f>IF('_Engine'!A116=0,"",IF('_Engine'!$B$6&gt;0,"REVIEW",IF('_Engine'!L116&gt;0,"REVIEW",'_Engine'!G116)))</ns0:f>
        <ns0:v/>
      </ns0:c>
      <ns0:c r="I116" s="207"/>
      <ns0:c r="J116" s="208" t="str">
        <ns0:f>IF('_Engine'!K116="OK","OK · "&amp;TEXT('_Dates'!J116,"dd mmm yyyy")&amp;IF('_Dates'!J116='_Dates'!T116,""," → "&amp;TEXT('_Dates'!T116,"dd mmm yyyy")),'_Engine'!K116)</ns0:f>
        <ns0:v/>
      </ns0:c>
    </ns0:row>
    <ns0:row r="117" ht="32" customHeight="1">
      <ns0:c r="A117" s="200"/>
      <ns0:c r="B117" s="201"/>
      <ns0:c r="C117" s="209"/>
      <ns0:c r="D117" s="201"/>
      <ns0:c r="E117" s="209"/>
      <ns0:c r="F117" s="200"/>
      <ns0:c r="G117" s="200"/>
      <ns0:c r="H117" s="210" t="str">
        <ns0:f>IF('_Engine'!A117=0,"",IF('_Engine'!$B$6&gt;0,"REVIEW",IF('_Engine'!L117&gt;0,"REVIEW",'_Engine'!G117)))</ns0:f>
        <ns0:v/>
      </ns0:c>
      <ns0:c r="I117" s="207"/>
      <ns0:c r="J117" s="208" t="str">
        <ns0:f>IF('_Engine'!K117="OK","OK · "&amp;TEXT('_Dates'!J117,"dd mmm yyyy")&amp;IF('_Dates'!J117='_Dates'!T117,""," → "&amp;TEXT('_Dates'!T117,"dd mmm yyyy")),'_Engine'!K117)</ns0:f>
        <ns0:v/>
      </ns0:c>
    </ns0:row>
    <ns0:row r="118" ht="32" customHeight="1">
      <ns0:c r="A118" s="200"/>
      <ns0:c r="B118" s="201"/>
      <ns0:c r="C118" s="209"/>
      <ns0:c r="D118" s="201"/>
      <ns0:c r="E118" s="209"/>
      <ns0:c r="F118" s="200"/>
      <ns0:c r="G118" s="200"/>
      <ns0:c r="H118" s="210" t="str">
        <ns0:f>IF('_Engine'!A118=0,"",IF('_Engine'!$B$6&gt;0,"REVIEW",IF('_Engine'!L118&gt;0,"REVIEW",'_Engine'!G118)))</ns0:f>
        <ns0:v/>
      </ns0:c>
      <ns0:c r="I118" s="207"/>
      <ns0:c r="J118" s="208" t="str">
        <ns0:f>IF('_Engine'!K118="OK","OK · "&amp;TEXT('_Dates'!J118,"dd mmm yyyy")&amp;IF('_Dates'!J118='_Dates'!T118,""," → "&amp;TEXT('_Dates'!T118,"dd mmm yyyy")),'_Engine'!K118)</ns0:f>
        <ns0:v/>
      </ns0:c>
    </ns0:row>
    <ns0:row r="119" ht="32" customHeight="1">
      <ns0:c r="A119" s="200"/>
      <ns0:c r="B119" s="201"/>
      <ns0:c r="C119" s="209"/>
      <ns0:c r="D119" s="201"/>
      <ns0:c r="E119" s="209"/>
      <ns0:c r="F119" s="200"/>
      <ns0:c r="G119" s="200"/>
      <ns0:c r="H119" s="210" t="str">
        <ns0:f>IF('_Engine'!A119=0,"",IF('_Engine'!$B$6&gt;0,"REVIEW",IF('_Engine'!L119&gt;0,"REVIEW",'_Engine'!G119)))</ns0:f>
        <ns0:v/>
      </ns0:c>
      <ns0:c r="I119" s="207"/>
      <ns0:c r="J119" s="208" t="str">
        <ns0:f>IF('_Engine'!K119="OK","OK · "&amp;TEXT('_Dates'!J119,"dd mmm yyyy")&amp;IF('_Dates'!J119='_Dates'!T119,""," → "&amp;TEXT('_Dates'!T119,"dd mmm yyyy")),'_Engine'!K119)</ns0:f>
        <ns0:v/>
      </ns0:c>
    </ns0:row>
    <ns0:row r="120" ht="32" customHeight="1">
      <ns0:c r="A120" s="200"/>
      <ns0:c r="B120" s="201"/>
      <ns0:c r="C120" s="209"/>
      <ns0:c r="D120" s="201"/>
      <ns0:c r="E120" s="209"/>
      <ns0:c r="F120" s="200"/>
      <ns0:c r="G120" s="200"/>
      <ns0:c r="H120" s="210" t="str">
        <ns0:f>IF('_Engine'!A120=0,"",IF('_Engine'!$B$6&gt;0,"REVIEW",IF('_Engine'!L120&gt;0,"REVIEW",'_Engine'!G120)))</ns0:f>
        <ns0:v/>
      </ns0:c>
      <ns0:c r="I120" s="207"/>
      <ns0:c r="J120" s="208" t="str">
        <ns0:f>IF('_Engine'!K120="OK","OK · "&amp;TEXT('_Dates'!J120,"dd mmm yyyy")&amp;IF('_Dates'!J120='_Dates'!T120,""," → "&amp;TEXT('_Dates'!T120,"dd mmm yyyy")),'_Engine'!K120)</ns0:f>
        <ns0:v/>
      </ns0:c>
    </ns0:row>
    <ns0:row r="121" ht="32" customHeight="1">
      <ns0:c r="A121" s="200"/>
      <ns0:c r="B121" s="201"/>
      <ns0:c r="C121" s="209"/>
      <ns0:c r="D121" s="201"/>
      <ns0:c r="E121" s="209"/>
      <ns0:c r="F121" s="200"/>
      <ns0:c r="G121" s="200"/>
      <ns0:c r="H121" s="210" t="str">
        <ns0:f>IF('_Engine'!A121=0,"",IF('_Engine'!$B$6&gt;0,"REVIEW",IF('_Engine'!L121&gt;0,"REVIEW",'_Engine'!G121)))</ns0:f>
        <ns0:v/>
      </ns0:c>
      <ns0:c r="I121" s="207"/>
      <ns0:c r="J121" s="208" t="str">
        <ns0:f>IF('_Engine'!K121="OK","OK · "&amp;TEXT('_Dates'!J121,"dd mmm yyyy")&amp;IF('_Dates'!J121='_Dates'!T121,""," → "&amp;TEXT('_Dates'!T121,"dd mmm yyyy")),'_Engine'!K121)</ns0:f>
        <ns0:v/>
      </ns0:c>
    </ns0:row>
    <ns0:row r="122" ht="32" customHeight="1">
      <ns0:c r="A122" s="200"/>
      <ns0:c r="B122" s="201"/>
      <ns0:c r="C122" s="209"/>
      <ns0:c r="D122" s="201"/>
      <ns0:c r="E122" s="209"/>
      <ns0:c r="F122" s="200"/>
      <ns0:c r="G122" s="200"/>
      <ns0:c r="H122" s="210" t="str">
        <ns0:f>IF('_Engine'!A122=0,"",IF('_Engine'!$B$6&gt;0,"REVIEW",IF('_Engine'!L122&gt;0,"REVIEW",'_Engine'!G122)))</ns0:f>
        <ns0:v/>
      </ns0:c>
      <ns0:c r="I122" s="207"/>
      <ns0:c r="J122" s="208" t="str">
        <ns0:f>IF('_Engine'!K122="OK","OK · "&amp;TEXT('_Dates'!J122,"dd mmm yyyy")&amp;IF('_Dates'!J122='_Dates'!T122,""," → "&amp;TEXT('_Dates'!T122,"dd mmm yyyy")),'_Engine'!K122)</ns0:f>
        <ns0:v/>
      </ns0:c>
    </ns0:row>
    <ns0:row r="123" ht="32" customHeight="1">
      <ns0:c r="A123" s="200"/>
      <ns0:c r="B123" s="201"/>
      <ns0:c r="C123" s="209"/>
      <ns0:c r="D123" s="201"/>
      <ns0:c r="E123" s="209"/>
      <ns0:c r="F123" s="200"/>
      <ns0:c r="G123" s="200"/>
      <ns0:c r="H123" s="210" t="str">
        <ns0:f>IF('_Engine'!A123=0,"",IF('_Engine'!$B$6&gt;0,"REVIEW",IF('_Engine'!L123&gt;0,"REVIEW",'_Engine'!G123)))</ns0:f>
        <ns0:v/>
      </ns0:c>
      <ns0:c r="I123" s="207"/>
      <ns0:c r="J123" s="208" t="str">
        <ns0:f>IF('_Engine'!K123="OK","OK · "&amp;TEXT('_Dates'!J123,"dd mmm yyyy")&amp;IF('_Dates'!J123='_Dates'!T123,""," → "&amp;TEXT('_Dates'!T123,"dd mmm yyyy")),'_Engine'!K123)</ns0:f>
        <ns0:v/>
      </ns0:c>
    </ns0:row>
    <ns0:row r="124" ht="32" customHeight="1">
      <ns0:c r="A124" s="200"/>
      <ns0:c r="B124" s="201"/>
      <ns0:c r="C124" s="209"/>
      <ns0:c r="D124" s="201"/>
      <ns0:c r="E124" s="209"/>
      <ns0:c r="F124" s="200"/>
      <ns0:c r="G124" s="200"/>
      <ns0:c r="H124" s="210" t="str">
        <ns0:f>IF('_Engine'!A124=0,"",IF('_Engine'!$B$6&gt;0,"REVIEW",IF('_Engine'!L124&gt;0,"REVIEW",'_Engine'!G124)))</ns0:f>
        <ns0:v/>
      </ns0:c>
      <ns0:c r="I124" s="207"/>
      <ns0:c r="J124" s="208" t="str">
        <ns0:f>IF('_Engine'!K124="OK","OK · "&amp;TEXT('_Dates'!J124,"dd mmm yyyy")&amp;IF('_Dates'!J124='_Dates'!T124,""," → "&amp;TEXT('_Dates'!T124,"dd mmm yyyy")),'_Engine'!K124)</ns0:f>
        <ns0:v/>
      </ns0:c>
    </ns0:row>
    <ns0:row r="125" ht="32" customHeight="1">
      <ns0:c r="A125" s="200"/>
      <ns0:c r="B125" s="201"/>
      <ns0:c r="C125" s="209"/>
      <ns0:c r="D125" s="201"/>
      <ns0:c r="E125" s="209"/>
      <ns0:c r="F125" s="200"/>
      <ns0:c r="G125" s="200"/>
      <ns0:c r="H125" s="210" t="str">
        <ns0:f>IF('_Engine'!A125=0,"",IF('_Engine'!$B$6&gt;0,"REVIEW",IF('_Engine'!L125&gt;0,"REVIEW",'_Engine'!G125)))</ns0:f>
        <ns0:v/>
      </ns0:c>
      <ns0:c r="I125" s="207"/>
      <ns0:c r="J125" s="208" t="str">
        <ns0:f>IF('_Engine'!K125="OK","OK · "&amp;TEXT('_Dates'!J125,"dd mmm yyyy")&amp;IF('_Dates'!J125='_Dates'!T125,""," → "&amp;TEXT('_Dates'!T125,"dd mmm yyyy")),'_Engine'!K125)</ns0:f>
        <ns0:v/>
      </ns0:c>
    </ns0:row>
    <ns0:row r="126" ht="32" customHeight="1">
      <ns0:c r="A126" s="200"/>
      <ns0:c r="B126" s="201"/>
      <ns0:c r="C126" s="209"/>
      <ns0:c r="D126" s="201"/>
      <ns0:c r="E126" s="209"/>
      <ns0:c r="F126" s="200"/>
      <ns0:c r="G126" s="200"/>
      <ns0:c r="H126" s="210" t="str">
        <ns0:f>IF('_Engine'!A126=0,"",IF('_Engine'!$B$6&gt;0,"REVIEW",IF('_Engine'!L126&gt;0,"REVIEW",'_Engine'!G126)))</ns0:f>
        <ns0:v/>
      </ns0:c>
      <ns0:c r="I126" s="207"/>
      <ns0:c r="J126" s="208" t="str">
        <ns0:f>IF('_Engine'!K126="OK","OK · "&amp;TEXT('_Dates'!J126,"dd mmm yyyy")&amp;IF('_Dates'!J126='_Dates'!T126,""," → "&amp;TEXT('_Dates'!T126,"dd mmm yyyy")),'_Engine'!K126)</ns0:f>
        <ns0:v/>
      </ns0:c>
    </ns0:row>
    <ns0:row r="127" ht="32" customHeight="1">
      <ns0:c r="A127" s="200"/>
      <ns0:c r="B127" s="201"/>
      <ns0:c r="C127" s="209"/>
      <ns0:c r="D127" s="201"/>
      <ns0:c r="E127" s="209"/>
      <ns0:c r="F127" s="200"/>
      <ns0:c r="G127" s="200"/>
      <ns0:c r="H127" s="210" t="str">
        <ns0:f>IF('_Engine'!A127=0,"",IF('_Engine'!$B$6&gt;0,"REVIEW",IF('_Engine'!L127&gt;0,"REVIEW",'_Engine'!G127)))</ns0:f>
        <ns0:v/>
      </ns0:c>
      <ns0:c r="I127" s="207"/>
      <ns0:c r="J127" s="208" t="str">
        <ns0:f>IF('_Engine'!K127="OK","OK · "&amp;TEXT('_Dates'!J127,"dd mmm yyyy")&amp;IF('_Dates'!J127='_Dates'!T127,""," → "&amp;TEXT('_Dates'!T127,"dd mmm yyyy")),'_Engine'!K127)</ns0:f>
        <ns0:v/>
      </ns0:c>
    </ns0:row>
    <ns0:row r="128" ht="32" customHeight="1">
      <ns0:c r="A128" s="200"/>
      <ns0:c r="B128" s="201"/>
      <ns0:c r="C128" s="209"/>
      <ns0:c r="D128" s="201"/>
      <ns0:c r="E128" s="209"/>
      <ns0:c r="F128" s="200"/>
      <ns0:c r="G128" s="200"/>
      <ns0:c r="H128" s="210" t="str">
        <ns0:f>IF('_Engine'!A128=0,"",IF('_Engine'!$B$6&gt;0,"REVIEW",IF('_Engine'!L128&gt;0,"REVIEW",'_Engine'!G128)))</ns0:f>
        <ns0:v/>
      </ns0:c>
      <ns0:c r="I128" s="207"/>
      <ns0:c r="J128" s="208" t="str">
        <ns0:f>IF('_Engine'!K128="OK","OK · "&amp;TEXT('_Dates'!J128,"dd mmm yyyy")&amp;IF('_Dates'!J128='_Dates'!T128,""," → "&amp;TEXT('_Dates'!T128,"dd mmm yyyy")),'_Engine'!K128)</ns0:f>
        <ns0:v/>
      </ns0:c>
    </ns0:row>
    <ns0:row r="129" ht="32" customHeight="1">
      <ns0:c r="A129" s="200"/>
      <ns0:c r="B129" s="201"/>
      <ns0:c r="C129" s="209"/>
      <ns0:c r="D129" s="201"/>
      <ns0:c r="E129" s="209"/>
      <ns0:c r="F129" s="200"/>
      <ns0:c r="G129" s="200"/>
      <ns0:c r="H129" s="210" t="str">
        <ns0:f>IF('_Engine'!A129=0,"",IF('_Engine'!$B$6&gt;0,"REVIEW",IF('_Engine'!L129&gt;0,"REVIEW",'_Engine'!G129)))</ns0:f>
        <ns0:v/>
      </ns0:c>
      <ns0:c r="I129" s="207"/>
      <ns0:c r="J129" s="208" t="str">
        <ns0:f>IF('_Engine'!K129="OK","OK · "&amp;TEXT('_Dates'!J129,"dd mmm yyyy")&amp;IF('_Dates'!J129='_Dates'!T129,""," → "&amp;TEXT('_Dates'!T129,"dd mmm yyyy")),'_Engine'!K129)</ns0:f>
        <ns0:v/>
      </ns0:c>
    </ns0:row>
    <ns0:row r="130" ht="32" customHeight="1">
      <ns0:c r="A130" s="200"/>
      <ns0:c r="B130" s="201"/>
      <ns0:c r="C130" s="209"/>
      <ns0:c r="D130" s="201"/>
      <ns0:c r="E130" s="209"/>
      <ns0:c r="F130" s="200"/>
      <ns0:c r="G130" s="200"/>
      <ns0:c r="H130" s="210" t="str">
        <ns0:f>IF('_Engine'!A130=0,"",IF('_Engine'!$B$6&gt;0,"REVIEW",IF('_Engine'!L130&gt;0,"REVIEW",'_Engine'!G130)))</ns0:f>
        <ns0:v/>
      </ns0:c>
      <ns0:c r="I130" s="207"/>
      <ns0:c r="J130" s="208" t="str">
        <ns0:f>IF('_Engine'!K130="OK","OK · "&amp;TEXT('_Dates'!J130,"dd mmm yyyy")&amp;IF('_Dates'!J130='_Dates'!T130,""," → "&amp;TEXT('_Dates'!T130,"dd mmm yyyy")),'_Engine'!K130)</ns0:f>
        <ns0:v/>
      </ns0:c>
    </ns0:row>
    <ns0:row r="131" ht="32" customHeight="1">
      <ns0:c r="A131" s="200"/>
      <ns0:c r="B131" s="201"/>
      <ns0:c r="C131" s="209"/>
      <ns0:c r="D131" s="201"/>
      <ns0:c r="E131" s="209"/>
      <ns0:c r="F131" s="200"/>
      <ns0:c r="G131" s="200"/>
      <ns0:c r="H131" s="210" t="str">
        <ns0:f>IF('_Engine'!A131=0,"",IF('_Engine'!$B$6&gt;0,"REVIEW",IF('_Engine'!L131&gt;0,"REVIEW",'_Engine'!G131)))</ns0:f>
        <ns0:v/>
      </ns0:c>
      <ns0:c r="I131" s="207"/>
      <ns0:c r="J131" s="208" t="str">
        <ns0:f>IF('_Engine'!K131="OK","OK · "&amp;TEXT('_Dates'!J131,"dd mmm yyyy")&amp;IF('_Dates'!J131='_Dates'!T131,""," → "&amp;TEXT('_Dates'!T131,"dd mmm yyyy")),'_Engine'!K131)</ns0:f>
        <ns0:v/>
      </ns0:c>
    </ns0:row>
    <ns0:row r="132" ht="32" customHeight="1">
      <ns0:c r="A132" s="200"/>
      <ns0:c r="B132" s="201"/>
      <ns0:c r="C132" s="209"/>
      <ns0:c r="D132" s="201"/>
      <ns0:c r="E132" s="209"/>
      <ns0:c r="F132" s="200"/>
      <ns0:c r="G132" s="200"/>
      <ns0:c r="H132" s="210" t="str">
        <ns0:f>IF('_Engine'!A132=0,"",IF('_Engine'!$B$6&gt;0,"REVIEW",IF('_Engine'!L132&gt;0,"REVIEW",'_Engine'!G132)))</ns0:f>
        <ns0:v/>
      </ns0:c>
      <ns0:c r="I132" s="207"/>
      <ns0:c r="J132" s="208" t="str">
        <ns0:f>IF('_Engine'!K132="OK","OK · "&amp;TEXT('_Dates'!J132,"dd mmm yyyy")&amp;IF('_Dates'!J132='_Dates'!T132,""," → "&amp;TEXT('_Dates'!T132,"dd mmm yyyy")),'_Engine'!K132)</ns0:f>
        <ns0:v/>
      </ns0:c>
    </ns0:row>
    <ns0:row r="133" ht="32" customHeight="1">
      <ns0:c r="A133" s="200"/>
      <ns0:c r="B133" s="201"/>
      <ns0:c r="C133" s="209"/>
      <ns0:c r="D133" s="201"/>
      <ns0:c r="E133" s="209"/>
      <ns0:c r="F133" s="200"/>
      <ns0:c r="G133" s="200"/>
      <ns0:c r="H133" s="210" t="str">
        <ns0:f>IF('_Engine'!A133=0,"",IF('_Engine'!$B$6&gt;0,"REVIEW",IF('_Engine'!L133&gt;0,"REVIEW",'_Engine'!G133)))</ns0:f>
        <ns0:v/>
      </ns0:c>
      <ns0:c r="I133" s="207"/>
      <ns0:c r="J133" s="208" t="str">
        <ns0:f>IF('_Engine'!K133="OK","OK · "&amp;TEXT('_Dates'!J133,"dd mmm yyyy")&amp;IF('_Dates'!J133='_Dates'!T133,""," → "&amp;TEXT('_Dates'!T133,"dd mmm yyyy")),'_Engine'!K133)</ns0:f>
        <ns0:v/>
      </ns0:c>
    </ns0:row>
    <ns0:row r="134" ht="32" customHeight="1">
      <ns0:c r="A134" s="200"/>
      <ns0:c r="B134" s="201"/>
      <ns0:c r="C134" s="209"/>
      <ns0:c r="D134" s="201"/>
      <ns0:c r="E134" s="209"/>
      <ns0:c r="F134" s="200"/>
      <ns0:c r="G134" s="200"/>
      <ns0:c r="H134" s="210" t="str">
        <ns0:f>IF('_Engine'!A134=0,"",IF('_Engine'!$B$6&gt;0,"REVIEW",IF('_Engine'!L134&gt;0,"REVIEW",'_Engine'!G134)))</ns0:f>
        <ns0:v/>
      </ns0:c>
      <ns0:c r="I134" s="207"/>
      <ns0:c r="J134" s="208" t="str">
        <ns0:f>IF('_Engine'!K134="OK","OK · "&amp;TEXT('_Dates'!J134,"dd mmm yyyy")&amp;IF('_Dates'!J134='_Dates'!T134,""," → "&amp;TEXT('_Dates'!T134,"dd mmm yyyy")),'_Engine'!K134)</ns0:f>
        <ns0:v/>
      </ns0:c>
    </ns0:row>
    <ns0:row r="135" ht="32" customHeight="1">
      <ns0:c r="A135" s="200"/>
      <ns0:c r="B135" s="201"/>
      <ns0:c r="C135" s="209"/>
      <ns0:c r="D135" s="201"/>
      <ns0:c r="E135" s="209"/>
      <ns0:c r="F135" s="200"/>
      <ns0:c r="G135" s="200"/>
      <ns0:c r="H135" s="210" t="str">
        <ns0:f>IF('_Engine'!A135=0,"",IF('_Engine'!$B$6&gt;0,"REVIEW",IF('_Engine'!L135&gt;0,"REVIEW",'_Engine'!G135)))</ns0:f>
        <ns0:v/>
      </ns0:c>
      <ns0:c r="I135" s="207"/>
      <ns0:c r="J135" s="208" t="str">
        <ns0:f>IF('_Engine'!K135="OK","OK · "&amp;TEXT('_Dates'!J135,"dd mmm yyyy")&amp;IF('_Dates'!J135='_Dates'!T135,""," → "&amp;TEXT('_Dates'!T135,"dd mmm yyyy")),'_Engine'!K135)</ns0:f>
        <ns0:v/>
      </ns0:c>
    </ns0:row>
    <ns0:row r="136" ht="32" customHeight="1">
      <ns0:c r="A136" s="200"/>
      <ns0:c r="B136" s="201"/>
      <ns0:c r="C136" s="209"/>
      <ns0:c r="D136" s="201"/>
      <ns0:c r="E136" s="209"/>
      <ns0:c r="F136" s="200"/>
      <ns0:c r="G136" s="200"/>
      <ns0:c r="H136" s="210" t="str">
        <ns0:f>IF('_Engine'!A136=0,"",IF('_Engine'!$B$6&gt;0,"REVIEW",IF('_Engine'!L136&gt;0,"REVIEW",'_Engine'!G136)))</ns0:f>
        <ns0:v/>
      </ns0:c>
      <ns0:c r="I136" s="207"/>
      <ns0:c r="J136" s="208" t="str">
        <ns0:f>IF('_Engine'!K136="OK","OK · "&amp;TEXT('_Dates'!J136,"dd mmm yyyy")&amp;IF('_Dates'!J136='_Dates'!T136,""," → "&amp;TEXT('_Dates'!T136,"dd mmm yyyy")),'_Engine'!K136)</ns0:f>
        <ns0:v/>
      </ns0:c>
    </ns0:row>
    <ns0:row r="137" ht="32" customHeight="1">
      <ns0:c r="A137" s="200"/>
      <ns0:c r="B137" s="201"/>
      <ns0:c r="C137" s="209"/>
      <ns0:c r="D137" s="201"/>
      <ns0:c r="E137" s="209"/>
      <ns0:c r="F137" s="200"/>
      <ns0:c r="G137" s="200"/>
      <ns0:c r="H137" s="210" t="str">
        <ns0:f>IF('_Engine'!A137=0,"",IF('_Engine'!$B$6&gt;0,"REVIEW",IF('_Engine'!L137&gt;0,"REVIEW",'_Engine'!G137)))</ns0:f>
        <ns0:v/>
      </ns0:c>
      <ns0:c r="I137" s="207"/>
      <ns0:c r="J137" s="208" t="str">
        <ns0:f>IF('_Engine'!K137="OK","OK · "&amp;TEXT('_Dates'!J137,"dd mmm yyyy")&amp;IF('_Dates'!J137='_Dates'!T137,""," → "&amp;TEXT('_Dates'!T137,"dd mmm yyyy")),'_Engine'!K137)</ns0:f>
        <ns0:v/>
      </ns0:c>
    </ns0:row>
    <ns0:row r="138" ht="32" customHeight="1">
      <ns0:c r="A138" s="200"/>
      <ns0:c r="B138" s="201"/>
      <ns0:c r="C138" s="209"/>
      <ns0:c r="D138" s="201"/>
      <ns0:c r="E138" s="209"/>
      <ns0:c r="F138" s="200"/>
      <ns0:c r="G138" s="200"/>
      <ns0:c r="H138" s="210" t="str">
        <ns0:f>IF('_Engine'!A138=0,"",IF('_Engine'!$B$6&gt;0,"REVIEW",IF('_Engine'!L138&gt;0,"REVIEW",'_Engine'!G138)))</ns0:f>
        <ns0:v/>
      </ns0:c>
      <ns0:c r="I138" s="207"/>
      <ns0:c r="J138" s="208" t="str">
        <ns0:f>IF('_Engine'!K138="OK","OK · "&amp;TEXT('_Dates'!J138,"dd mmm yyyy")&amp;IF('_Dates'!J138='_Dates'!T138,""," → "&amp;TEXT('_Dates'!T138,"dd mmm yyyy")),'_Engine'!K138)</ns0:f>
        <ns0:v/>
      </ns0:c>
    </ns0:row>
    <ns0:row r="139" ht="32" customHeight="1">
      <ns0:c r="A139" s="200"/>
      <ns0:c r="B139" s="201"/>
      <ns0:c r="C139" s="209"/>
      <ns0:c r="D139" s="201"/>
      <ns0:c r="E139" s="209"/>
      <ns0:c r="F139" s="200"/>
      <ns0:c r="G139" s="200"/>
      <ns0:c r="H139" s="210" t="str">
        <ns0:f>IF('_Engine'!A139=0,"",IF('_Engine'!$B$6&gt;0,"REVIEW",IF('_Engine'!L139&gt;0,"REVIEW",'_Engine'!G139)))</ns0:f>
        <ns0:v/>
      </ns0:c>
      <ns0:c r="I139" s="207"/>
      <ns0:c r="J139" s="208" t="str">
        <ns0:f>IF('_Engine'!K139="OK","OK · "&amp;TEXT('_Dates'!J139,"dd mmm yyyy")&amp;IF('_Dates'!J139='_Dates'!T139,""," → "&amp;TEXT('_Dates'!T139,"dd mmm yyyy")),'_Engine'!K139)</ns0:f>
        <ns0:v/>
      </ns0:c>
    </ns0:row>
    <ns0:row r="140" ht="32" customHeight="1">
      <ns0:c r="A140" s="200"/>
      <ns0:c r="B140" s="201"/>
      <ns0:c r="C140" s="209"/>
      <ns0:c r="D140" s="201"/>
      <ns0:c r="E140" s="209"/>
      <ns0:c r="F140" s="200"/>
      <ns0:c r="G140" s="200"/>
      <ns0:c r="H140" s="210" t="str">
        <ns0:f>IF('_Engine'!A140=0,"",IF('_Engine'!$B$6&gt;0,"REVIEW",IF('_Engine'!L140&gt;0,"REVIEW",'_Engine'!G140)))</ns0:f>
        <ns0:v/>
      </ns0:c>
      <ns0:c r="I140" s="207"/>
      <ns0:c r="J140" s="208" t="str">
        <ns0:f>IF('_Engine'!K140="OK","OK · "&amp;TEXT('_Dates'!J140,"dd mmm yyyy")&amp;IF('_Dates'!J140='_Dates'!T140,""," → "&amp;TEXT('_Dates'!T140,"dd mmm yyyy")),'_Engine'!K140)</ns0:f>
        <ns0:v/>
      </ns0:c>
    </ns0:row>
    <ns0:row r="141" ht="32" customHeight="1">
      <ns0:c r="A141" s="200"/>
      <ns0:c r="B141" s="201"/>
      <ns0:c r="C141" s="209"/>
      <ns0:c r="D141" s="201"/>
      <ns0:c r="E141" s="209"/>
      <ns0:c r="F141" s="200"/>
      <ns0:c r="G141" s="200"/>
      <ns0:c r="H141" s="210" t="str">
        <ns0:f>IF('_Engine'!A141=0,"",IF('_Engine'!$B$6&gt;0,"REVIEW",IF('_Engine'!L141&gt;0,"REVIEW",'_Engine'!G141)))</ns0:f>
        <ns0:v/>
      </ns0:c>
      <ns0:c r="I141" s="207"/>
      <ns0:c r="J141" s="208" t="str">
        <ns0:f>IF('_Engine'!K141="OK","OK · "&amp;TEXT('_Dates'!J141,"dd mmm yyyy")&amp;IF('_Dates'!J141='_Dates'!T141,""," → "&amp;TEXT('_Dates'!T141,"dd mmm yyyy")),'_Engine'!K141)</ns0:f>
        <ns0:v/>
      </ns0:c>
    </ns0:row>
    <ns0:row r="142" ht="32" customHeight="1">
      <ns0:c r="A142" s="200"/>
      <ns0:c r="B142" s="201"/>
      <ns0:c r="C142" s="209"/>
      <ns0:c r="D142" s="201"/>
      <ns0:c r="E142" s="209"/>
      <ns0:c r="F142" s="200"/>
      <ns0:c r="G142" s="200"/>
      <ns0:c r="H142" s="210" t="str">
        <ns0:f>IF('_Engine'!A142=0,"",IF('_Engine'!$B$6&gt;0,"REVIEW",IF('_Engine'!L142&gt;0,"REVIEW",'_Engine'!G142)))</ns0:f>
        <ns0:v/>
      </ns0:c>
      <ns0:c r="I142" s="207"/>
      <ns0:c r="J142" s="208" t="str">
        <ns0:f>IF('_Engine'!K142="OK","OK · "&amp;TEXT('_Dates'!J142,"dd mmm yyyy")&amp;IF('_Dates'!J142='_Dates'!T142,""," → "&amp;TEXT('_Dates'!T142,"dd mmm yyyy")),'_Engine'!K142)</ns0:f>
        <ns0:v/>
      </ns0:c>
    </ns0:row>
    <ns0:row r="143" ht="32" customHeight="1">
      <ns0:c r="A143" s="200"/>
      <ns0:c r="B143" s="201"/>
      <ns0:c r="C143" s="209"/>
      <ns0:c r="D143" s="201"/>
      <ns0:c r="E143" s="209"/>
      <ns0:c r="F143" s="200"/>
      <ns0:c r="G143" s="200"/>
      <ns0:c r="H143" s="210" t="str">
        <ns0:f>IF('_Engine'!A143=0,"",IF('_Engine'!$B$6&gt;0,"REVIEW",IF('_Engine'!L143&gt;0,"REVIEW",'_Engine'!G143)))</ns0:f>
        <ns0:v/>
      </ns0:c>
      <ns0:c r="I143" s="207"/>
      <ns0:c r="J143" s="208" t="str">
        <ns0:f>IF('_Engine'!K143="OK","OK · "&amp;TEXT('_Dates'!J143,"dd mmm yyyy")&amp;IF('_Dates'!J143='_Dates'!T143,""," → "&amp;TEXT('_Dates'!T143,"dd mmm yyyy")),'_Engine'!K143)</ns0:f>
        <ns0:v/>
      </ns0:c>
    </ns0:row>
    <ns0:row r="144" ht="32" customHeight="1">
      <ns0:c r="A144" s="200"/>
      <ns0:c r="B144" s="201"/>
      <ns0:c r="C144" s="209"/>
      <ns0:c r="D144" s="201"/>
      <ns0:c r="E144" s="209"/>
      <ns0:c r="F144" s="200"/>
      <ns0:c r="G144" s="200"/>
      <ns0:c r="H144" s="210" t="str">
        <ns0:f>IF('_Engine'!A144=0,"",IF('_Engine'!$B$6&gt;0,"REVIEW",IF('_Engine'!L144&gt;0,"REVIEW",'_Engine'!G144)))</ns0:f>
        <ns0:v/>
      </ns0:c>
      <ns0:c r="I144" s="207"/>
      <ns0:c r="J144" s="208" t="str">
        <ns0:f>IF('_Engine'!K144="OK","OK · "&amp;TEXT('_Dates'!J144,"dd mmm yyyy")&amp;IF('_Dates'!J144='_Dates'!T144,""," → "&amp;TEXT('_Dates'!T144,"dd mmm yyyy")),'_Engine'!K144)</ns0:f>
        <ns0:v/>
      </ns0:c>
    </ns0:row>
    <ns0:row r="145" ht="32" customHeight="1">
      <ns0:c r="A145" s="200"/>
      <ns0:c r="B145" s="201"/>
      <ns0:c r="C145" s="209"/>
      <ns0:c r="D145" s="201"/>
      <ns0:c r="E145" s="209"/>
      <ns0:c r="F145" s="200"/>
      <ns0:c r="G145" s="200"/>
      <ns0:c r="H145" s="210" t="str">
        <ns0:f>IF('_Engine'!A145=0,"",IF('_Engine'!$B$6&gt;0,"REVIEW",IF('_Engine'!L145&gt;0,"REVIEW",'_Engine'!G145)))</ns0:f>
        <ns0:v/>
      </ns0:c>
      <ns0:c r="I145" s="207"/>
      <ns0:c r="J145" s="208" t="str">
        <ns0:f>IF('_Engine'!K145="OK","OK · "&amp;TEXT('_Dates'!J145,"dd mmm yyyy")&amp;IF('_Dates'!J145='_Dates'!T145,""," → "&amp;TEXT('_Dates'!T145,"dd mmm yyyy")),'_Engine'!K145)</ns0:f>
        <ns0:v/>
      </ns0:c>
    </ns0:row>
    <ns0:row r="146" ht="32" customHeight="1">
      <ns0:c r="A146" s="200"/>
      <ns0:c r="B146" s="201"/>
      <ns0:c r="C146" s="209"/>
      <ns0:c r="D146" s="201"/>
      <ns0:c r="E146" s="209"/>
      <ns0:c r="F146" s="200"/>
      <ns0:c r="G146" s="200"/>
      <ns0:c r="H146" s="210" t="str">
        <ns0:f>IF('_Engine'!A146=0,"",IF('_Engine'!$B$6&gt;0,"REVIEW",IF('_Engine'!L146&gt;0,"REVIEW",'_Engine'!G146)))</ns0:f>
        <ns0:v/>
      </ns0:c>
      <ns0:c r="I146" s="207"/>
      <ns0:c r="J146" s="208" t="str">
        <ns0:f>IF('_Engine'!K146="OK","OK · "&amp;TEXT('_Dates'!J146,"dd mmm yyyy")&amp;IF('_Dates'!J146='_Dates'!T146,""," → "&amp;TEXT('_Dates'!T146,"dd mmm yyyy")),'_Engine'!K146)</ns0:f>
        <ns0:v/>
      </ns0:c>
    </ns0:row>
    <ns0:row r="147" ht="32" customHeight="1">
      <ns0:c r="A147" s="200"/>
      <ns0:c r="B147" s="201"/>
      <ns0:c r="C147" s="209"/>
      <ns0:c r="D147" s="201"/>
      <ns0:c r="E147" s="209"/>
      <ns0:c r="F147" s="200"/>
      <ns0:c r="G147" s="200"/>
      <ns0:c r="H147" s="210" t="str">
        <ns0:f>IF('_Engine'!A147=0,"",IF('_Engine'!$B$6&gt;0,"REVIEW",IF('_Engine'!L147&gt;0,"REVIEW",'_Engine'!G147)))</ns0:f>
        <ns0:v/>
      </ns0:c>
      <ns0:c r="I147" s="207"/>
      <ns0:c r="J147" s="208" t="str">
        <ns0:f>IF('_Engine'!K147="OK","OK · "&amp;TEXT('_Dates'!J147,"dd mmm yyyy")&amp;IF('_Dates'!J147='_Dates'!T147,""," → "&amp;TEXT('_Dates'!T147,"dd mmm yyyy")),'_Engine'!K147)</ns0:f>
        <ns0:v/>
      </ns0:c>
    </ns0:row>
    <ns0:row r="148" ht="32" customHeight="1">
      <ns0:c r="A148" s="200"/>
      <ns0:c r="B148" s="201"/>
      <ns0:c r="C148" s="209"/>
      <ns0:c r="D148" s="201"/>
      <ns0:c r="E148" s="209"/>
      <ns0:c r="F148" s="200"/>
      <ns0:c r="G148" s="200"/>
      <ns0:c r="H148" s="210" t="str">
        <ns0:f>IF('_Engine'!A148=0,"",IF('_Engine'!$B$6&gt;0,"REVIEW",IF('_Engine'!L148&gt;0,"REVIEW",'_Engine'!G148)))</ns0:f>
        <ns0:v/>
      </ns0:c>
      <ns0:c r="I148" s="207"/>
      <ns0:c r="J148" s="208" t="str">
        <ns0:f>IF('_Engine'!K148="OK","OK · "&amp;TEXT('_Dates'!J148,"dd mmm yyyy")&amp;IF('_Dates'!J148='_Dates'!T148,""," → "&amp;TEXT('_Dates'!T148,"dd mmm yyyy")),'_Engine'!K148)</ns0:f>
        <ns0:v/>
      </ns0:c>
    </ns0:row>
    <ns0:row r="149" ht="32" customHeight="1">
      <ns0:c r="A149" s="200"/>
      <ns0:c r="B149" s="201"/>
      <ns0:c r="C149" s="209"/>
      <ns0:c r="D149" s="201"/>
      <ns0:c r="E149" s="209"/>
      <ns0:c r="F149" s="200"/>
      <ns0:c r="G149" s="200"/>
      <ns0:c r="H149" s="210" t="str">
        <ns0:f>IF('_Engine'!A149=0,"",IF('_Engine'!$B$6&gt;0,"REVIEW",IF('_Engine'!L149&gt;0,"REVIEW",'_Engine'!G149)))</ns0:f>
        <ns0:v/>
      </ns0:c>
      <ns0:c r="I149" s="207"/>
      <ns0:c r="J149" s="208" t="str">
        <ns0:f>IF('_Engine'!K149="OK","OK · "&amp;TEXT('_Dates'!J149,"dd mmm yyyy")&amp;IF('_Dates'!J149='_Dates'!T149,""," → "&amp;TEXT('_Dates'!T149,"dd mmm yyyy")),'_Engine'!K149)</ns0:f>
        <ns0:v/>
      </ns0:c>
    </ns0:row>
    <ns0:row r="150" ht="32" customHeight="1">
      <ns0:c r="A150" s="200"/>
      <ns0:c r="B150" s="201"/>
      <ns0:c r="C150" s="209"/>
      <ns0:c r="D150" s="201"/>
      <ns0:c r="E150" s="209"/>
      <ns0:c r="F150" s="200"/>
      <ns0:c r="G150" s="200"/>
      <ns0:c r="H150" s="210" t="str">
        <ns0:f>IF('_Engine'!A150=0,"",IF('_Engine'!$B$6&gt;0,"REVIEW",IF('_Engine'!L150&gt;0,"REVIEW",'_Engine'!G150)))</ns0:f>
        <ns0:v/>
      </ns0:c>
      <ns0:c r="I150" s="207"/>
      <ns0:c r="J150" s="208" t="str">
        <ns0:f>IF('_Engine'!K150="OK","OK · "&amp;TEXT('_Dates'!J150,"dd mmm yyyy")&amp;IF('_Dates'!J150='_Dates'!T150,""," → "&amp;TEXT('_Dates'!T150,"dd mmm yyyy")),'_Engine'!K150)</ns0:f>
        <ns0:v/>
      </ns0:c>
    </ns0:row>
    <ns0:row r="151" ht="32" customHeight="1">
      <ns0:c r="A151" s="200"/>
      <ns0:c r="B151" s="201"/>
      <ns0:c r="C151" s="209"/>
      <ns0:c r="D151" s="201"/>
      <ns0:c r="E151" s="209"/>
      <ns0:c r="F151" s="200"/>
      <ns0:c r="G151" s="200"/>
      <ns0:c r="H151" s="210" t="str">
        <ns0:f>IF('_Engine'!A151=0,"",IF('_Engine'!$B$6&gt;0,"REVIEW",IF('_Engine'!L151&gt;0,"REVIEW",'_Engine'!G151)))</ns0:f>
        <ns0:v/>
      </ns0:c>
      <ns0:c r="I151" s="207"/>
      <ns0:c r="J151" s="208" t="str">
        <ns0:f>IF('_Engine'!K151="OK","OK · "&amp;TEXT('_Dates'!J151,"dd mmm yyyy")&amp;IF('_Dates'!J151='_Dates'!T151,""," → "&amp;TEXT('_Dates'!T151,"dd mmm yyyy")),'_Engine'!K151)</ns0:f>
        <ns0:v/>
      </ns0:c>
    </ns0:row>
    <ns0:row r="152" ht="32" customHeight="1">
      <ns0:c r="A152" s="200"/>
      <ns0:c r="B152" s="201"/>
      <ns0:c r="C152" s="209"/>
      <ns0:c r="D152" s="201"/>
      <ns0:c r="E152" s="209"/>
      <ns0:c r="F152" s="200"/>
      <ns0:c r="G152" s="200"/>
      <ns0:c r="H152" s="210" t="str">
        <ns0:f>IF('_Engine'!A152=0,"",IF('_Engine'!$B$6&gt;0,"REVIEW",IF('_Engine'!L152&gt;0,"REVIEW",'_Engine'!G152)))</ns0:f>
        <ns0:v/>
      </ns0:c>
      <ns0:c r="I152" s="207"/>
      <ns0:c r="J152" s="208" t="str">
        <ns0:f>IF('_Engine'!K152="OK","OK · "&amp;TEXT('_Dates'!J152,"dd mmm yyyy")&amp;IF('_Dates'!J152='_Dates'!T152,""," → "&amp;TEXT('_Dates'!T152,"dd mmm yyyy")),'_Engine'!K152)</ns0:f>
        <ns0:v/>
      </ns0:c>
    </ns0:row>
    <ns0:row r="153" ht="32" customHeight="1">
      <ns0:c r="A153" s="200"/>
      <ns0:c r="B153" s="201"/>
      <ns0:c r="C153" s="209"/>
      <ns0:c r="D153" s="201"/>
      <ns0:c r="E153" s="209"/>
      <ns0:c r="F153" s="200"/>
      <ns0:c r="G153" s="200"/>
      <ns0:c r="H153" s="210" t="str">
        <ns0:f>IF('_Engine'!A153=0,"",IF('_Engine'!$B$6&gt;0,"REVIEW",IF('_Engine'!L153&gt;0,"REVIEW",'_Engine'!G153)))</ns0:f>
        <ns0:v/>
      </ns0:c>
      <ns0:c r="I153" s="207"/>
      <ns0:c r="J153" s="208" t="str">
        <ns0:f>IF('_Engine'!K153="OK","OK · "&amp;TEXT('_Dates'!J153,"dd mmm yyyy")&amp;IF('_Dates'!J153='_Dates'!T153,""," → "&amp;TEXT('_Dates'!T153,"dd mmm yyyy")),'_Engine'!K153)</ns0:f>
        <ns0:v/>
      </ns0:c>
    </ns0:row>
    <ns0:row r="154" ht="32" customHeight="1">
      <ns0:c r="A154" s="200"/>
      <ns0:c r="B154" s="201"/>
      <ns0:c r="C154" s="209"/>
      <ns0:c r="D154" s="201"/>
      <ns0:c r="E154" s="209"/>
      <ns0:c r="F154" s="200"/>
      <ns0:c r="G154" s="200"/>
      <ns0:c r="H154" s="210" t="str">
        <ns0:f>IF('_Engine'!A154=0,"",IF('_Engine'!$B$6&gt;0,"REVIEW",IF('_Engine'!L154&gt;0,"REVIEW",'_Engine'!G154)))</ns0:f>
        <ns0:v/>
      </ns0:c>
      <ns0:c r="I154" s="207"/>
      <ns0:c r="J154" s="208" t="str">
        <ns0:f>IF('_Engine'!K154="OK","OK · "&amp;TEXT('_Dates'!J154,"dd mmm yyyy")&amp;IF('_Dates'!J154='_Dates'!T154,""," → "&amp;TEXT('_Dates'!T154,"dd mmm yyyy")),'_Engine'!K154)</ns0:f>
        <ns0:v/>
      </ns0:c>
    </ns0:row>
    <ns0:row r="155" ht="32" customHeight="1">
      <ns0:c r="A155" s="200"/>
      <ns0:c r="B155" s="201"/>
      <ns0:c r="C155" s="209"/>
      <ns0:c r="D155" s="201"/>
      <ns0:c r="E155" s="209"/>
      <ns0:c r="F155" s="200"/>
      <ns0:c r="G155" s="200"/>
      <ns0:c r="H155" s="210" t="str">
        <ns0:f>IF('_Engine'!A155=0,"",IF('_Engine'!$B$6&gt;0,"REVIEW",IF('_Engine'!L155&gt;0,"REVIEW",'_Engine'!G155)))</ns0:f>
        <ns0:v/>
      </ns0:c>
      <ns0:c r="I155" s="207"/>
      <ns0:c r="J155" s="208" t="str">
        <ns0:f>IF('_Engine'!K155="OK","OK · "&amp;TEXT('_Dates'!J155,"dd mmm yyyy")&amp;IF('_Dates'!J155='_Dates'!T155,""," → "&amp;TEXT('_Dates'!T155,"dd mmm yyyy")),'_Engine'!K155)</ns0:f>
        <ns0:v/>
      </ns0:c>
    </ns0:row>
    <ns0:row r="156" ht="32" customHeight="1">
      <ns0:c r="A156" s="200"/>
      <ns0:c r="B156" s="201"/>
      <ns0:c r="C156" s="209"/>
      <ns0:c r="D156" s="201"/>
      <ns0:c r="E156" s="209"/>
      <ns0:c r="F156" s="200"/>
      <ns0:c r="G156" s="200"/>
      <ns0:c r="H156" s="210" t="str">
        <ns0:f>IF('_Engine'!A156=0,"",IF('_Engine'!$B$6&gt;0,"REVIEW",IF('_Engine'!L156&gt;0,"REVIEW",'_Engine'!G156)))</ns0:f>
        <ns0:v/>
      </ns0:c>
      <ns0:c r="I156" s="207"/>
      <ns0:c r="J156" s="208" t="str">
        <ns0:f>IF('_Engine'!K156="OK","OK · "&amp;TEXT('_Dates'!J156,"dd mmm yyyy")&amp;IF('_Dates'!J156='_Dates'!T156,""," → "&amp;TEXT('_Dates'!T156,"dd mmm yyyy")),'_Engine'!K156)</ns0:f>
        <ns0:v/>
      </ns0:c>
    </ns0:row>
    <ns0:row r="157" ht="32" customHeight="1">
      <ns0:c r="A157" s="200"/>
      <ns0:c r="B157" s="201"/>
      <ns0:c r="C157" s="209"/>
      <ns0:c r="D157" s="201"/>
      <ns0:c r="E157" s="209"/>
      <ns0:c r="F157" s="200"/>
      <ns0:c r="G157" s="200"/>
      <ns0:c r="H157" s="210" t="str">
        <ns0:f>IF('_Engine'!A157=0,"",IF('_Engine'!$B$6&gt;0,"REVIEW",IF('_Engine'!L157&gt;0,"REVIEW",'_Engine'!G157)))</ns0:f>
        <ns0:v/>
      </ns0:c>
      <ns0:c r="I157" s="207"/>
      <ns0:c r="J157" s="208" t="str">
        <ns0:f>IF('_Engine'!K157="OK","OK · "&amp;TEXT('_Dates'!J157,"dd mmm yyyy")&amp;IF('_Dates'!J157='_Dates'!T157,""," → "&amp;TEXT('_Dates'!T157,"dd mmm yyyy")),'_Engine'!K157)</ns0:f>
        <ns0:v/>
      </ns0:c>
    </ns0:row>
    <ns0:row r="158" ht="32" customHeight="1">
      <ns0:c r="A158" s="200"/>
      <ns0:c r="B158" s="201"/>
      <ns0:c r="C158" s="209"/>
      <ns0:c r="D158" s="201"/>
      <ns0:c r="E158" s="209"/>
      <ns0:c r="F158" s="200"/>
      <ns0:c r="G158" s="200"/>
      <ns0:c r="H158" s="210" t="str">
        <ns0:f>IF('_Engine'!A158=0,"",IF('_Engine'!$B$6&gt;0,"REVIEW",IF('_Engine'!L158&gt;0,"REVIEW",'_Engine'!G158)))</ns0:f>
        <ns0:v/>
      </ns0:c>
      <ns0:c r="I158" s="207"/>
      <ns0:c r="J158" s="208" t="str">
        <ns0:f>IF('_Engine'!K158="OK","OK · "&amp;TEXT('_Dates'!J158,"dd mmm yyyy")&amp;IF('_Dates'!J158='_Dates'!T158,""," → "&amp;TEXT('_Dates'!T158,"dd mmm yyyy")),'_Engine'!K158)</ns0:f>
        <ns0:v/>
      </ns0:c>
    </ns0:row>
    <ns0:row r="159" ht="32" customHeight="1">
      <ns0:c r="A159" s="200"/>
      <ns0:c r="B159" s="201"/>
      <ns0:c r="C159" s="209"/>
      <ns0:c r="D159" s="201"/>
      <ns0:c r="E159" s="209"/>
      <ns0:c r="F159" s="200"/>
      <ns0:c r="G159" s="200"/>
      <ns0:c r="H159" s="210" t="str">
        <ns0:f>IF('_Engine'!A159=0,"",IF('_Engine'!$B$6&gt;0,"REVIEW",IF('_Engine'!L159&gt;0,"REVIEW",'_Engine'!G159)))</ns0:f>
        <ns0:v/>
      </ns0:c>
      <ns0:c r="I159" s="207"/>
      <ns0:c r="J159" s="208" t="str">
        <ns0:f>IF('_Engine'!K159="OK","OK · "&amp;TEXT('_Dates'!J159,"dd mmm yyyy")&amp;IF('_Dates'!J159='_Dates'!T159,""," → "&amp;TEXT('_Dates'!T159,"dd mmm yyyy")),'_Engine'!K159)</ns0:f>
        <ns0:v/>
      </ns0:c>
    </ns0:row>
    <ns0:row r="160" ht="32" customHeight="1">
      <ns0:c r="A160" s="200"/>
      <ns0:c r="B160" s="201"/>
      <ns0:c r="C160" s="209"/>
      <ns0:c r="D160" s="201"/>
      <ns0:c r="E160" s="209"/>
      <ns0:c r="F160" s="200"/>
      <ns0:c r="G160" s="200"/>
      <ns0:c r="H160" s="210" t="str">
        <ns0:f>IF('_Engine'!A160=0,"",IF('_Engine'!$B$6&gt;0,"REVIEW",IF('_Engine'!L160&gt;0,"REVIEW",'_Engine'!G160)))</ns0:f>
        <ns0:v/>
      </ns0:c>
      <ns0:c r="I160" s="207"/>
      <ns0:c r="J160" s="208" t="str">
        <ns0:f>IF('_Engine'!K160="OK","OK · "&amp;TEXT('_Dates'!J160,"dd mmm yyyy")&amp;IF('_Dates'!J160='_Dates'!T160,""," → "&amp;TEXT('_Dates'!T160,"dd mmm yyyy")),'_Engine'!K160)</ns0:f>
        <ns0:v/>
      </ns0:c>
    </ns0:row>
    <ns0:row r="161" ht="32" customHeight="1">
      <ns0:c r="A161" s="200"/>
      <ns0:c r="B161" s="201"/>
      <ns0:c r="C161" s="209"/>
      <ns0:c r="D161" s="201"/>
      <ns0:c r="E161" s="209"/>
      <ns0:c r="F161" s="200"/>
      <ns0:c r="G161" s="200"/>
      <ns0:c r="H161" s="210" t="str">
        <ns0:f>IF('_Engine'!A161=0,"",IF('_Engine'!$B$6&gt;0,"REVIEW",IF('_Engine'!L161&gt;0,"REVIEW",'_Engine'!G161)))</ns0:f>
        <ns0:v/>
      </ns0:c>
      <ns0:c r="I161" s="207"/>
      <ns0:c r="J161" s="208" t="str">
        <ns0:f>IF('_Engine'!K161="OK","OK · "&amp;TEXT('_Dates'!J161,"dd mmm yyyy")&amp;IF('_Dates'!J161='_Dates'!T161,""," → "&amp;TEXT('_Dates'!T161,"dd mmm yyyy")),'_Engine'!K161)</ns0:f>
        <ns0:v/>
      </ns0:c>
    </ns0:row>
    <ns0:row r="162" ht="32" customHeight="1">
      <ns0:c r="A162" s="200"/>
      <ns0:c r="B162" s="201"/>
      <ns0:c r="C162" s="209"/>
      <ns0:c r="D162" s="201"/>
      <ns0:c r="E162" s="209"/>
      <ns0:c r="F162" s="200"/>
      <ns0:c r="G162" s="200"/>
      <ns0:c r="H162" s="210" t="str">
        <ns0:f>IF('_Engine'!A162=0,"",IF('_Engine'!$B$6&gt;0,"REVIEW",IF('_Engine'!L162&gt;0,"REVIEW",'_Engine'!G162)))</ns0:f>
        <ns0:v/>
      </ns0:c>
      <ns0:c r="I162" s="207"/>
      <ns0:c r="J162" s="208" t="str">
        <ns0:f>IF('_Engine'!K162="OK","OK · "&amp;TEXT('_Dates'!J162,"dd mmm yyyy")&amp;IF('_Dates'!J162='_Dates'!T162,""," → "&amp;TEXT('_Dates'!T162,"dd mmm yyyy")),'_Engine'!K162)</ns0:f>
        <ns0:v/>
      </ns0:c>
    </ns0:row>
    <ns0:row r="163" ht="32" customHeight="1">
      <ns0:c r="A163" s="200"/>
      <ns0:c r="B163" s="201"/>
      <ns0:c r="C163" s="209"/>
      <ns0:c r="D163" s="201"/>
      <ns0:c r="E163" s="209"/>
      <ns0:c r="F163" s="200"/>
      <ns0:c r="G163" s="200"/>
      <ns0:c r="H163" s="210" t="str">
        <ns0:f>IF('_Engine'!A163=0,"",IF('_Engine'!$B$6&gt;0,"REVIEW",IF('_Engine'!L163&gt;0,"REVIEW",'_Engine'!G163)))</ns0:f>
        <ns0:v/>
      </ns0:c>
      <ns0:c r="I163" s="207"/>
      <ns0:c r="J163" s="208" t="str">
        <ns0:f>IF('_Engine'!K163="OK","OK · "&amp;TEXT('_Dates'!J163,"dd mmm yyyy")&amp;IF('_Dates'!J163='_Dates'!T163,""," → "&amp;TEXT('_Dates'!T163,"dd mmm yyyy")),'_Engine'!K163)</ns0:f>
        <ns0:v/>
      </ns0:c>
    </ns0:row>
    <ns0:row r="164" ht="32" customHeight="1">
      <ns0:c r="A164" s="200"/>
      <ns0:c r="B164" s="201"/>
      <ns0:c r="C164" s="209"/>
      <ns0:c r="D164" s="201"/>
      <ns0:c r="E164" s="209"/>
      <ns0:c r="F164" s="200"/>
      <ns0:c r="G164" s="200"/>
      <ns0:c r="H164" s="210" t="str">
        <ns0:f>IF('_Engine'!A164=0,"",IF('_Engine'!$B$6&gt;0,"REVIEW",IF('_Engine'!L164&gt;0,"REVIEW",'_Engine'!G164)))</ns0:f>
        <ns0:v/>
      </ns0:c>
      <ns0:c r="I164" s="207"/>
      <ns0:c r="J164" s="208" t="str">
        <ns0:f>IF('_Engine'!K164="OK","OK · "&amp;TEXT('_Dates'!J164,"dd mmm yyyy")&amp;IF('_Dates'!J164='_Dates'!T164,""," → "&amp;TEXT('_Dates'!T164,"dd mmm yyyy")),'_Engine'!K164)</ns0:f>
        <ns0:v/>
      </ns0:c>
    </ns0:row>
    <ns0:row r="165" ht="32" customHeight="1">
      <ns0:c r="A165" s="200"/>
      <ns0:c r="B165" s="201"/>
      <ns0:c r="C165" s="209"/>
      <ns0:c r="D165" s="201"/>
      <ns0:c r="E165" s="209"/>
      <ns0:c r="F165" s="200"/>
      <ns0:c r="G165" s="200"/>
      <ns0:c r="H165" s="210" t="str">
        <ns0:f>IF('_Engine'!A165=0,"",IF('_Engine'!$B$6&gt;0,"REVIEW",IF('_Engine'!L165&gt;0,"REVIEW",'_Engine'!G165)))</ns0:f>
        <ns0:v/>
      </ns0:c>
      <ns0:c r="I165" s="207"/>
      <ns0:c r="J165" s="208" t="str">
        <ns0:f>IF('_Engine'!K165="OK","OK · "&amp;TEXT('_Dates'!J165,"dd mmm yyyy")&amp;IF('_Dates'!J165='_Dates'!T165,""," → "&amp;TEXT('_Dates'!T165,"dd mmm yyyy")),'_Engine'!K165)</ns0:f>
        <ns0:v/>
      </ns0:c>
    </ns0:row>
    <ns0:row r="166" ht="32" customHeight="1">
      <ns0:c r="A166" s="200"/>
      <ns0:c r="B166" s="201"/>
      <ns0:c r="C166" s="209"/>
      <ns0:c r="D166" s="201"/>
      <ns0:c r="E166" s="209"/>
      <ns0:c r="F166" s="200"/>
      <ns0:c r="G166" s="200"/>
      <ns0:c r="H166" s="210" t="str">
        <ns0:f>IF('_Engine'!A166=0,"",IF('_Engine'!$B$6&gt;0,"REVIEW",IF('_Engine'!L166&gt;0,"REVIEW",'_Engine'!G166)))</ns0:f>
        <ns0:v/>
      </ns0:c>
      <ns0:c r="I166" s="207"/>
      <ns0:c r="J166" s="208" t="str">
        <ns0:f>IF('_Engine'!K166="OK","OK · "&amp;TEXT('_Dates'!J166,"dd mmm yyyy")&amp;IF('_Dates'!J166='_Dates'!T166,""," → "&amp;TEXT('_Dates'!T166,"dd mmm yyyy")),'_Engine'!K166)</ns0:f>
        <ns0:v/>
      </ns0:c>
    </ns0:row>
    <ns0:row r="167" ht="32" customHeight="1">
      <ns0:c r="A167" s="200"/>
      <ns0:c r="B167" s="201"/>
      <ns0:c r="C167" s="209"/>
      <ns0:c r="D167" s="201"/>
      <ns0:c r="E167" s="209"/>
      <ns0:c r="F167" s="200"/>
      <ns0:c r="G167" s="200"/>
      <ns0:c r="H167" s="210" t="str">
        <ns0:f>IF('_Engine'!A167=0,"",IF('_Engine'!$B$6&gt;0,"REVIEW",IF('_Engine'!L167&gt;0,"REVIEW",'_Engine'!G167)))</ns0:f>
        <ns0:v/>
      </ns0:c>
      <ns0:c r="I167" s="207"/>
      <ns0:c r="J167" s="208" t="str">
        <ns0:f>IF('_Engine'!K167="OK","OK · "&amp;TEXT('_Dates'!J167,"dd mmm yyyy")&amp;IF('_Dates'!J167='_Dates'!T167,""," → "&amp;TEXT('_Dates'!T167,"dd mmm yyyy")),'_Engine'!K167)</ns0:f>
        <ns0:v/>
      </ns0:c>
    </ns0:row>
    <ns0:row r="168" ht="32" customHeight="1">
      <ns0:c r="A168" s="200"/>
      <ns0:c r="B168" s="201"/>
      <ns0:c r="C168" s="209"/>
      <ns0:c r="D168" s="201"/>
      <ns0:c r="E168" s="209"/>
      <ns0:c r="F168" s="200"/>
      <ns0:c r="G168" s="200"/>
      <ns0:c r="H168" s="210" t="str">
        <ns0:f>IF('_Engine'!A168=0,"",IF('_Engine'!$B$6&gt;0,"REVIEW",IF('_Engine'!L168&gt;0,"REVIEW",'_Engine'!G168)))</ns0:f>
        <ns0:v/>
      </ns0:c>
      <ns0:c r="I168" s="207"/>
      <ns0:c r="J168" s="208" t="str">
        <ns0:f>IF('_Engine'!K168="OK","OK · "&amp;TEXT('_Dates'!J168,"dd mmm yyyy")&amp;IF('_Dates'!J168='_Dates'!T168,""," → "&amp;TEXT('_Dates'!T168,"dd mmm yyyy")),'_Engine'!K168)</ns0:f>
        <ns0:v/>
      </ns0:c>
    </ns0:row>
    <ns0:row r="169" ht="32" customHeight="1">
      <ns0:c r="A169" s="200"/>
      <ns0:c r="B169" s="201"/>
      <ns0:c r="C169" s="209"/>
      <ns0:c r="D169" s="201"/>
      <ns0:c r="E169" s="209"/>
      <ns0:c r="F169" s="200"/>
      <ns0:c r="G169" s="200"/>
      <ns0:c r="H169" s="210" t="str">
        <ns0:f>IF('_Engine'!A169=0,"",IF('_Engine'!$B$6&gt;0,"REVIEW",IF('_Engine'!L169&gt;0,"REVIEW",'_Engine'!G169)))</ns0:f>
        <ns0:v/>
      </ns0:c>
      <ns0:c r="I169" s="207"/>
      <ns0:c r="J169" s="208" t="str">
        <ns0:f>IF('_Engine'!K169="OK","OK · "&amp;TEXT('_Dates'!J169,"dd mmm yyyy")&amp;IF('_Dates'!J169='_Dates'!T169,""," → "&amp;TEXT('_Dates'!T169,"dd mmm yyyy")),'_Engine'!K169)</ns0:f>
        <ns0:v/>
      </ns0:c>
    </ns0:row>
    <ns0:row r="170" ht="32" customHeight="1">
      <ns0:c r="A170" s="200"/>
      <ns0:c r="B170" s="201"/>
      <ns0:c r="C170" s="209"/>
      <ns0:c r="D170" s="201"/>
      <ns0:c r="E170" s="209"/>
      <ns0:c r="F170" s="200"/>
      <ns0:c r="G170" s="200"/>
      <ns0:c r="H170" s="210" t="str">
        <ns0:f>IF('_Engine'!A170=0,"",IF('_Engine'!$B$6&gt;0,"REVIEW",IF('_Engine'!L170&gt;0,"REVIEW",'_Engine'!G170)))</ns0:f>
        <ns0:v/>
      </ns0:c>
      <ns0:c r="I170" s="207"/>
      <ns0:c r="J170" s="208" t="str">
        <ns0:f>IF('_Engine'!K170="OK","OK · "&amp;TEXT('_Dates'!J170,"dd mmm yyyy")&amp;IF('_Dates'!J170='_Dates'!T170,""," → "&amp;TEXT('_Dates'!T170,"dd mmm yyyy")),'_Engine'!K170)</ns0:f>
        <ns0:v/>
      </ns0:c>
    </ns0:row>
    <ns0:row r="171" ht="32" customHeight="1">
      <ns0:c r="A171" s="200"/>
      <ns0:c r="B171" s="201"/>
      <ns0:c r="C171" s="209"/>
      <ns0:c r="D171" s="201"/>
      <ns0:c r="E171" s="209"/>
      <ns0:c r="F171" s="200"/>
      <ns0:c r="G171" s="200"/>
      <ns0:c r="H171" s="210" t="str">
        <ns0:f>IF('_Engine'!A171=0,"",IF('_Engine'!$B$6&gt;0,"REVIEW",IF('_Engine'!L171&gt;0,"REVIEW",'_Engine'!G171)))</ns0:f>
        <ns0:v/>
      </ns0:c>
      <ns0:c r="I171" s="207"/>
      <ns0:c r="J171" s="208" t="str">
        <ns0:f>IF('_Engine'!K171="OK","OK · "&amp;TEXT('_Dates'!J171,"dd mmm yyyy")&amp;IF('_Dates'!J171='_Dates'!T171,""," → "&amp;TEXT('_Dates'!T171,"dd mmm yyyy")),'_Engine'!K171)</ns0:f>
        <ns0:v/>
      </ns0:c>
    </ns0:row>
    <ns0:row r="172" ht="32" customHeight="1">
      <ns0:c r="A172" s="200"/>
      <ns0:c r="B172" s="201"/>
      <ns0:c r="C172" s="209"/>
      <ns0:c r="D172" s="201"/>
      <ns0:c r="E172" s="209"/>
      <ns0:c r="F172" s="200"/>
      <ns0:c r="G172" s="200"/>
      <ns0:c r="H172" s="210" t="str">
        <ns0:f>IF('_Engine'!A172=0,"",IF('_Engine'!$B$6&gt;0,"REVIEW",IF('_Engine'!L172&gt;0,"REVIEW",'_Engine'!G172)))</ns0:f>
        <ns0:v/>
      </ns0:c>
      <ns0:c r="I172" s="207"/>
      <ns0:c r="J172" s="208" t="str">
        <ns0:f>IF('_Engine'!K172="OK","OK · "&amp;TEXT('_Dates'!J172,"dd mmm yyyy")&amp;IF('_Dates'!J172='_Dates'!T172,""," → "&amp;TEXT('_Dates'!T172,"dd mmm yyyy")),'_Engine'!K172)</ns0:f>
        <ns0:v/>
      </ns0:c>
    </ns0:row>
    <ns0:row r="173" ht="32" customHeight="1">
      <ns0:c r="A173" s="200"/>
      <ns0:c r="B173" s="201"/>
      <ns0:c r="C173" s="209"/>
      <ns0:c r="D173" s="201"/>
      <ns0:c r="E173" s="209"/>
      <ns0:c r="F173" s="200"/>
      <ns0:c r="G173" s="200"/>
      <ns0:c r="H173" s="210" t="str">
        <ns0:f>IF('_Engine'!A173=0,"",IF('_Engine'!$B$6&gt;0,"REVIEW",IF('_Engine'!L173&gt;0,"REVIEW",'_Engine'!G173)))</ns0:f>
        <ns0:v/>
      </ns0:c>
      <ns0:c r="I173" s="207"/>
      <ns0:c r="J173" s="208" t="str">
        <ns0:f>IF('_Engine'!K173="OK","OK · "&amp;TEXT('_Dates'!J173,"dd mmm yyyy")&amp;IF('_Dates'!J173='_Dates'!T173,""," → "&amp;TEXT('_Dates'!T173,"dd mmm yyyy")),'_Engine'!K173)</ns0:f>
        <ns0:v/>
      </ns0:c>
    </ns0:row>
    <ns0:row r="174" ht="32" customHeight="1">
      <ns0:c r="A174" s="200"/>
      <ns0:c r="B174" s="201"/>
      <ns0:c r="C174" s="209"/>
      <ns0:c r="D174" s="201"/>
      <ns0:c r="E174" s="209"/>
      <ns0:c r="F174" s="200"/>
      <ns0:c r="G174" s="200"/>
      <ns0:c r="H174" s="210" t="str">
        <ns0:f>IF('_Engine'!A174=0,"",IF('_Engine'!$B$6&gt;0,"REVIEW",IF('_Engine'!L174&gt;0,"REVIEW",'_Engine'!G174)))</ns0:f>
        <ns0:v/>
      </ns0:c>
      <ns0:c r="I174" s="207"/>
      <ns0:c r="J174" s="208" t="str">
        <ns0:f>IF('_Engine'!K174="OK","OK · "&amp;TEXT('_Dates'!J174,"dd mmm yyyy")&amp;IF('_Dates'!J174='_Dates'!T174,""," → "&amp;TEXT('_Dates'!T174,"dd mmm yyyy")),'_Engine'!K174)</ns0:f>
        <ns0:v/>
      </ns0:c>
    </ns0:row>
    <ns0:row r="175" ht="32" customHeight="1">
      <ns0:c r="A175" s="200"/>
      <ns0:c r="B175" s="201"/>
      <ns0:c r="C175" s="209"/>
      <ns0:c r="D175" s="201"/>
      <ns0:c r="E175" s="209"/>
      <ns0:c r="F175" s="200"/>
      <ns0:c r="G175" s="200"/>
      <ns0:c r="H175" s="210" t="str">
        <ns0:f>IF('_Engine'!A175=0,"",IF('_Engine'!$B$6&gt;0,"REVIEW",IF('_Engine'!L175&gt;0,"REVIEW",'_Engine'!G175)))</ns0:f>
        <ns0:v/>
      </ns0:c>
      <ns0:c r="I175" s="207"/>
      <ns0:c r="J175" s="208" t="str">
        <ns0:f>IF('_Engine'!K175="OK","OK · "&amp;TEXT('_Dates'!J175,"dd mmm yyyy")&amp;IF('_Dates'!J175='_Dates'!T175,""," → "&amp;TEXT('_Dates'!T175,"dd mmm yyyy")),'_Engine'!K175)</ns0:f>
        <ns0:v/>
      </ns0:c>
    </ns0:row>
    <ns0:row r="176" ht="32" customHeight="1">
      <ns0:c r="A176" s="200"/>
      <ns0:c r="B176" s="201"/>
      <ns0:c r="C176" s="209"/>
      <ns0:c r="D176" s="201"/>
      <ns0:c r="E176" s="209"/>
      <ns0:c r="F176" s="200"/>
      <ns0:c r="G176" s="200"/>
      <ns0:c r="H176" s="210" t="str">
        <ns0:f>IF('_Engine'!A176=0,"",IF('_Engine'!$B$6&gt;0,"REVIEW",IF('_Engine'!L176&gt;0,"REVIEW",'_Engine'!G176)))</ns0:f>
        <ns0:v/>
      </ns0:c>
      <ns0:c r="I176" s="207"/>
      <ns0:c r="J176" s="208" t="str">
        <ns0:f>IF('_Engine'!K176="OK","OK · "&amp;TEXT('_Dates'!J176,"dd mmm yyyy")&amp;IF('_Dates'!J176='_Dates'!T176,""," → "&amp;TEXT('_Dates'!T176,"dd mmm yyyy")),'_Engine'!K176)</ns0:f>
        <ns0:v/>
      </ns0:c>
    </ns0:row>
    <ns0:row r="177" ht="32" customHeight="1">
      <ns0:c r="A177" s="200"/>
      <ns0:c r="B177" s="201"/>
      <ns0:c r="C177" s="209"/>
      <ns0:c r="D177" s="201"/>
      <ns0:c r="E177" s="209"/>
      <ns0:c r="F177" s="200"/>
      <ns0:c r="G177" s="200"/>
      <ns0:c r="H177" s="210" t="str">
        <ns0:f>IF('_Engine'!A177=0,"",IF('_Engine'!$B$6&gt;0,"REVIEW",IF('_Engine'!L177&gt;0,"REVIEW",'_Engine'!G177)))</ns0:f>
        <ns0:v/>
      </ns0:c>
      <ns0:c r="I177" s="207"/>
      <ns0:c r="J177" s="208" t="str">
        <ns0:f>IF('_Engine'!K177="OK","OK · "&amp;TEXT('_Dates'!J177,"dd mmm yyyy")&amp;IF('_Dates'!J177='_Dates'!T177,""," → "&amp;TEXT('_Dates'!T177,"dd mmm yyyy")),'_Engine'!K177)</ns0:f>
        <ns0:v/>
      </ns0:c>
    </ns0:row>
    <ns0:row r="178" ht="32" customHeight="1">
      <ns0:c r="A178" s="200"/>
      <ns0:c r="B178" s="201"/>
      <ns0:c r="C178" s="209"/>
      <ns0:c r="D178" s="201"/>
      <ns0:c r="E178" s="209"/>
      <ns0:c r="F178" s="200"/>
      <ns0:c r="G178" s="200"/>
      <ns0:c r="H178" s="210" t="str">
        <ns0:f>IF('_Engine'!A178=0,"",IF('_Engine'!$B$6&gt;0,"REVIEW",IF('_Engine'!L178&gt;0,"REVIEW",'_Engine'!G178)))</ns0:f>
        <ns0:v/>
      </ns0:c>
      <ns0:c r="I178" s="207"/>
      <ns0:c r="J178" s="208" t="str">
        <ns0:f>IF('_Engine'!K178="OK","OK · "&amp;TEXT('_Dates'!J178,"dd mmm yyyy")&amp;IF('_Dates'!J178='_Dates'!T178,""," → "&amp;TEXT('_Dates'!T178,"dd mmm yyyy")),'_Engine'!K178)</ns0:f>
        <ns0:v/>
      </ns0:c>
    </ns0:row>
    <ns0:row r="179" ht="32" customHeight="1">
      <ns0:c r="A179" s="200"/>
      <ns0:c r="B179" s="201"/>
      <ns0:c r="C179" s="209"/>
      <ns0:c r="D179" s="201"/>
      <ns0:c r="E179" s="209"/>
      <ns0:c r="F179" s="200"/>
      <ns0:c r="G179" s="200"/>
      <ns0:c r="H179" s="210" t="str">
        <ns0:f>IF('_Engine'!A179=0,"",IF('_Engine'!$B$6&gt;0,"REVIEW",IF('_Engine'!L179&gt;0,"REVIEW",'_Engine'!G179)))</ns0:f>
        <ns0:v/>
      </ns0:c>
      <ns0:c r="I179" s="207"/>
      <ns0:c r="J179" s="208" t="str">
        <ns0:f>IF('_Engine'!K179="OK","OK · "&amp;TEXT('_Dates'!J179,"dd mmm yyyy")&amp;IF('_Dates'!J179='_Dates'!T179,""," → "&amp;TEXT('_Dates'!T179,"dd mmm yyyy")),'_Engine'!K179)</ns0:f>
        <ns0:v/>
      </ns0:c>
    </ns0:row>
    <ns0:row r="180" ht="32" customHeight="1">
      <ns0:c r="A180" s="200"/>
      <ns0:c r="B180" s="201"/>
      <ns0:c r="C180" s="209"/>
      <ns0:c r="D180" s="201"/>
      <ns0:c r="E180" s="209"/>
      <ns0:c r="F180" s="200"/>
      <ns0:c r="G180" s="200"/>
      <ns0:c r="H180" s="210" t="str">
        <ns0:f>IF('_Engine'!A180=0,"",IF('_Engine'!$B$6&gt;0,"REVIEW",IF('_Engine'!L180&gt;0,"REVIEW",'_Engine'!G180)))</ns0:f>
        <ns0:v/>
      </ns0:c>
      <ns0:c r="I180" s="207"/>
      <ns0:c r="J180" s="208" t="str">
        <ns0:f>IF('_Engine'!K180="OK","OK · "&amp;TEXT('_Dates'!J180,"dd mmm yyyy")&amp;IF('_Dates'!J180='_Dates'!T180,""," → "&amp;TEXT('_Dates'!T180,"dd mmm yyyy")),'_Engine'!K180)</ns0:f>
        <ns0:v/>
      </ns0:c>
    </ns0:row>
    <ns0:row r="181" ht="32" customHeight="1">
      <ns0:c r="A181" s="200"/>
      <ns0:c r="B181" s="201"/>
      <ns0:c r="C181" s="209"/>
      <ns0:c r="D181" s="201"/>
      <ns0:c r="E181" s="209"/>
      <ns0:c r="F181" s="200"/>
      <ns0:c r="G181" s="200"/>
      <ns0:c r="H181" s="210" t="str">
        <ns0:f>IF('_Engine'!A181=0,"",IF('_Engine'!$B$6&gt;0,"REVIEW",IF('_Engine'!L181&gt;0,"REVIEW",'_Engine'!G181)))</ns0:f>
        <ns0:v/>
      </ns0:c>
      <ns0:c r="I181" s="207"/>
      <ns0:c r="J181" s="208" t="str">
        <ns0:f>IF('_Engine'!K181="OK","OK · "&amp;TEXT('_Dates'!J181,"dd mmm yyyy")&amp;IF('_Dates'!J181='_Dates'!T181,""," → "&amp;TEXT('_Dates'!T181,"dd mmm yyyy")),'_Engine'!K181)</ns0:f>
        <ns0:v/>
      </ns0:c>
    </ns0:row>
    <ns0:row r="182" ht="32" customHeight="1">
      <ns0:c r="A182" s="200"/>
      <ns0:c r="B182" s="201"/>
      <ns0:c r="C182" s="209"/>
      <ns0:c r="D182" s="201"/>
      <ns0:c r="E182" s="209"/>
      <ns0:c r="F182" s="200"/>
      <ns0:c r="G182" s="200"/>
      <ns0:c r="H182" s="210" t="str">
        <ns0:f>IF('_Engine'!A182=0,"",IF('_Engine'!$B$6&gt;0,"REVIEW",IF('_Engine'!L182&gt;0,"REVIEW",'_Engine'!G182)))</ns0:f>
        <ns0:v/>
      </ns0:c>
      <ns0:c r="I182" s="207"/>
      <ns0:c r="J182" s="208" t="str">
        <ns0:f>IF('_Engine'!K182="OK","OK · "&amp;TEXT('_Dates'!J182,"dd mmm yyyy")&amp;IF('_Dates'!J182='_Dates'!T182,""," → "&amp;TEXT('_Dates'!T182,"dd mmm yyyy")),'_Engine'!K182)</ns0:f>
        <ns0:v/>
      </ns0:c>
    </ns0:row>
    <ns0:row r="183" ht="32" customHeight="1">
      <ns0:c r="A183" s="200"/>
      <ns0:c r="B183" s="201"/>
      <ns0:c r="C183" s="209"/>
      <ns0:c r="D183" s="201"/>
      <ns0:c r="E183" s="209"/>
      <ns0:c r="F183" s="200"/>
      <ns0:c r="G183" s="200"/>
      <ns0:c r="H183" s="210" t="str">
        <ns0:f>IF('_Engine'!A183=0,"",IF('_Engine'!$B$6&gt;0,"REVIEW",IF('_Engine'!L183&gt;0,"REVIEW",'_Engine'!G183)))</ns0:f>
        <ns0:v/>
      </ns0:c>
      <ns0:c r="I183" s="207"/>
      <ns0:c r="J183" s="208" t="str">
        <ns0:f>IF('_Engine'!K183="OK","OK · "&amp;TEXT('_Dates'!J183,"dd mmm yyyy")&amp;IF('_Dates'!J183='_Dates'!T183,""," → "&amp;TEXT('_Dates'!T183,"dd mmm yyyy")),'_Engine'!K183)</ns0:f>
        <ns0:v/>
      </ns0:c>
    </ns0:row>
    <ns0:row r="184" ht="32" customHeight="1">
      <ns0:c r="A184" s="200"/>
      <ns0:c r="B184" s="201"/>
      <ns0:c r="C184" s="209"/>
      <ns0:c r="D184" s="201"/>
      <ns0:c r="E184" s="209"/>
      <ns0:c r="F184" s="200"/>
      <ns0:c r="G184" s="200"/>
      <ns0:c r="H184" s="210" t="str">
        <ns0:f>IF('_Engine'!A184=0,"",IF('_Engine'!$B$6&gt;0,"REVIEW",IF('_Engine'!L184&gt;0,"REVIEW",'_Engine'!G184)))</ns0:f>
        <ns0:v/>
      </ns0:c>
      <ns0:c r="I184" s="207"/>
      <ns0:c r="J184" s="208" t="str">
        <ns0:f>IF('_Engine'!K184="OK","OK · "&amp;TEXT('_Dates'!J184,"dd mmm yyyy")&amp;IF('_Dates'!J184='_Dates'!T184,""," → "&amp;TEXT('_Dates'!T184,"dd mmm yyyy")),'_Engine'!K184)</ns0:f>
        <ns0:v/>
      </ns0:c>
    </ns0:row>
    <ns0:row r="185" ht="32" customHeight="1">
      <ns0:c r="A185" s="200"/>
      <ns0:c r="B185" s="201"/>
      <ns0:c r="C185" s="209"/>
      <ns0:c r="D185" s="201"/>
      <ns0:c r="E185" s="209"/>
      <ns0:c r="F185" s="200"/>
      <ns0:c r="G185" s="200"/>
      <ns0:c r="H185" s="210" t="str">
        <ns0:f>IF('_Engine'!A185=0,"",IF('_Engine'!$B$6&gt;0,"REVIEW",IF('_Engine'!L185&gt;0,"REVIEW",'_Engine'!G185)))</ns0:f>
        <ns0:v/>
      </ns0:c>
      <ns0:c r="I185" s="207"/>
      <ns0:c r="J185" s="208" t="str">
        <ns0:f>IF('_Engine'!K185="OK","OK · "&amp;TEXT('_Dates'!J185,"dd mmm yyyy")&amp;IF('_Dates'!J185='_Dates'!T185,""," → "&amp;TEXT('_Dates'!T185,"dd mmm yyyy")),'_Engine'!K185)</ns0:f>
        <ns0:v/>
      </ns0:c>
    </ns0:row>
    <ns0:row r="186" ht="32" customHeight="1">
      <ns0:c r="A186" s="200"/>
      <ns0:c r="B186" s="201"/>
      <ns0:c r="C186" s="209"/>
      <ns0:c r="D186" s="201"/>
      <ns0:c r="E186" s="209"/>
      <ns0:c r="F186" s="200"/>
      <ns0:c r="G186" s="200"/>
      <ns0:c r="H186" s="210" t="str">
        <ns0:f>IF('_Engine'!A186=0,"",IF('_Engine'!$B$6&gt;0,"REVIEW",IF('_Engine'!L186&gt;0,"REVIEW",'_Engine'!G186)))</ns0:f>
        <ns0:v/>
      </ns0:c>
      <ns0:c r="I186" s="207"/>
      <ns0:c r="J186" s="208" t="str">
        <ns0:f>IF('_Engine'!K186="OK","OK · "&amp;TEXT('_Dates'!J186,"dd mmm yyyy")&amp;IF('_Dates'!J186='_Dates'!T186,""," → "&amp;TEXT('_Dates'!T186,"dd mmm yyyy")),'_Engine'!K186)</ns0:f>
        <ns0:v/>
      </ns0:c>
    </ns0:row>
    <ns0:row r="187" ht="32" customHeight="1">
      <ns0:c r="A187" s="200"/>
      <ns0:c r="B187" s="201"/>
      <ns0:c r="C187" s="209"/>
      <ns0:c r="D187" s="201"/>
      <ns0:c r="E187" s="209"/>
      <ns0:c r="F187" s="200"/>
      <ns0:c r="G187" s="200"/>
      <ns0:c r="H187" s="210" t="str">
        <ns0:f>IF('_Engine'!A187=0,"",IF('_Engine'!$B$6&gt;0,"REVIEW",IF('_Engine'!L187&gt;0,"REVIEW",'_Engine'!G187)))</ns0:f>
        <ns0:v/>
      </ns0:c>
      <ns0:c r="I187" s="207"/>
      <ns0:c r="J187" s="208" t="str">
        <ns0:f>IF('_Engine'!K187="OK","OK · "&amp;TEXT('_Dates'!J187,"dd mmm yyyy")&amp;IF('_Dates'!J187='_Dates'!T187,""," → "&amp;TEXT('_Dates'!T187,"dd mmm yyyy")),'_Engine'!K187)</ns0:f>
        <ns0:v/>
      </ns0:c>
    </ns0:row>
    <ns0:row r="188" ht="32" customHeight="1">
      <ns0:c r="A188" s="200"/>
      <ns0:c r="B188" s="201"/>
      <ns0:c r="C188" s="209"/>
      <ns0:c r="D188" s="201"/>
      <ns0:c r="E188" s="209"/>
      <ns0:c r="F188" s="200"/>
      <ns0:c r="G188" s="200"/>
      <ns0:c r="H188" s="210" t="str">
        <ns0:f>IF('_Engine'!A188=0,"",IF('_Engine'!$B$6&gt;0,"REVIEW",IF('_Engine'!L188&gt;0,"REVIEW",'_Engine'!G188)))</ns0:f>
        <ns0:v/>
      </ns0:c>
      <ns0:c r="I188" s="207"/>
      <ns0:c r="J188" s="208" t="str">
        <ns0:f>IF('_Engine'!K188="OK","OK · "&amp;TEXT('_Dates'!J188,"dd mmm yyyy")&amp;IF('_Dates'!J188='_Dates'!T188,""," → "&amp;TEXT('_Dates'!T188,"dd mmm yyyy")),'_Engine'!K188)</ns0:f>
        <ns0:v/>
      </ns0:c>
    </ns0:row>
    <ns0:row r="189" ht="32" customHeight="1">
      <ns0:c r="A189" s="200"/>
      <ns0:c r="B189" s="201"/>
      <ns0:c r="C189" s="209"/>
      <ns0:c r="D189" s="201"/>
      <ns0:c r="E189" s="209"/>
      <ns0:c r="F189" s="200"/>
      <ns0:c r="G189" s="200"/>
      <ns0:c r="H189" s="210" t="str">
        <ns0:f>IF('_Engine'!A189=0,"",IF('_Engine'!$B$6&gt;0,"REVIEW",IF('_Engine'!L189&gt;0,"REVIEW",'_Engine'!G189)))</ns0:f>
        <ns0:v/>
      </ns0:c>
      <ns0:c r="I189" s="207"/>
      <ns0:c r="J189" s="208" t="str">
        <ns0:f>IF('_Engine'!K189="OK","OK · "&amp;TEXT('_Dates'!J189,"dd mmm yyyy")&amp;IF('_Dates'!J189='_Dates'!T189,""," → "&amp;TEXT('_Dates'!T189,"dd mmm yyyy")),'_Engine'!K189)</ns0:f>
        <ns0:v/>
      </ns0:c>
    </ns0:row>
    <ns0:row r="190" ht="32" customHeight="1">
      <ns0:c r="A190" s="200"/>
      <ns0:c r="B190" s="201"/>
      <ns0:c r="C190" s="209"/>
      <ns0:c r="D190" s="201"/>
      <ns0:c r="E190" s="209"/>
      <ns0:c r="F190" s="200"/>
      <ns0:c r="G190" s="200"/>
      <ns0:c r="H190" s="210" t="str">
        <ns0:f>IF('_Engine'!A190=0,"",IF('_Engine'!$B$6&gt;0,"REVIEW",IF('_Engine'!L190&gt;0,"REVIEW",'_Engine'!G190)))</ns0:f>
        <ns0:v/>
      </ns0:c>
      <ns0:c r="I190" s="207"/>
      <ns0:c r="J190" s="208" t="str">
        <ns0:f>IF('_Engine'!K190="OK","OK · "&amp;TEXT('_Dates'!J190,"dd mmm yyyy")&amp;IF('_Dates'!J190='_Dates'!T190,""," → "&amp;TEXT('_Dates'!T190,"dd mmm yyyy")),'_Engine'!K190)</ns0:f>
        <ns0:v/>
      </ns0:c>
    </ns0:row>
    <ns0:row r="191" ht="32" customHeight="1">
      <ns0:c r="A191" s="200"/>
      <ns0:c r="B191" s="201"/>
      <ns0:c r="C191" s="209"/>
      <ns0:c r="D191" s="201"/>
      <ns0:c r="E191" s="209"/>
      <ns0:c r="F191" s="200"/>
      <ns0:c r="G191" s="200"/>
      <ns0:c r="H191" s="210" t="str">
        <ns0:f>IF('_Engine'!A191=0,"",IF('_Engine'!$B$6&gt;0,"REVIEW",IF('_Engine'!L191&gt;0,"REVIEW",'_Engine'!G191)))</ns0:f>
        <ns0:v/>
      </ns0:c>
      <ns0:c r="I191" s="207"/>
      <ns0:c r="J191" s="208" t="str">
        <ns0:f>IF('_Engine'!K191="OK","OK · "&amp;TEXT('_Dates'!J191,"dd mmm yyyy")&amp;IF('_Dates'!J191='_Dates'!T191,""," → "&amp;TEXT('_Dates'!T191,"dd mmm yyyy")),'_Engine'!K191)</ns0:f>
        <ns0:v/>
      </ns0:c>
    </ns0:row>
    <ns0:row r="192" ht="32" customHeight="1">
      <ns0:c r="A192" s="200"/>
      <ns0:c r="B192" s="201"/>
      <ns0:c r="C192" s="209"/>
      <ns0:c r="D192" s="201"/>
      <ns0:c r="E192" s="209"/>
      <ns0:c r="F192" s="200"/>
      <ns0:c r="G192" s="200"/>
      <ns0:c r="H192" s="210" t="str">
        <ns0:f>IF('_Engine'!A192=0,"",IF('_Engine'!$B$6&gt;0,"REVIEW",IF('_Engine'!L192&gt;0,"REVIEW",'_Engine'!G192)))</ns0:f>
        <ns0:v/>
      </ns0:c>
      <ns0:c r="I192" s="207"/>
      <ns0:c r="J192" s="208" t="str">
        <ns0:f>IF('_Engine'!K192="OK","OK · "&amp;TEXT('_Dates'!J192,"dd mmm yyyy")&amp;IF('_Dates'!J192='_Dates'!T192,""," → "&amp;TEXT('_Dates'!T192,"dd mmm yyyy")),'_Engine'!K192)</ns0:f>
        <ns0:v/>
      </ns0:c>
    </ns0:row>
    <ns0:row r="193" ht="32" customHeight="1">
      <ns0:c r="A193" s="200"/>
      <ns0:c r="B193" s="201"/>
      <ns0:c r="C193" s="209"/>
      <ns0:c r="D193" s="201"/>
      <ns0:c r="E193" s="209"/>
      <ns0:c r="F193" s="200"/>
      <ns0:c r="G193" s="200"/>
      <ns0:c r="H193" s="210" t="str">
        <ns0:f>IF('_Engine'!A193=0,"",IF('_Engine'!$B$6&gt;0,"REVIEW",IF('_Engine'!L193&gt;0,"REVIEW",'_Engine'!G193)))</ns0:f>
        <ns0:v/>
      </ns0:c>
      <ns0:c r="I193" s="207"/>
      <ns0:c r="J193" s="208" t="str">
        <ns0:f>IF('_Engine'!K193="OK","OK · "&amp;TEXT('_Dates'!J193,"dd mmm yyyy")&amp;IF('_Dates'!J193='_Dates'!T193,""," → "&amp;TEXT('_Dates'!T193,"dd mmm yyyy")),'_Engine'!K193)</ns0:f>
        <ns0:v/>
      </ns0:c>
    </ns0:row>
    <ns0:row r="194" ht="32" customHeight="1">
      <ns0:c r="A194" s="200"/>
      <ns0:c r="B194" s="201"/>
      <ns0:c r="C194" s="209"/>
      <ns0:c r="D194" s="201"/>
      <ns0:c r="E194" s="209"/>
      <ns0:c r="F194" s="200"/>
      <ns0:c r="G194" s="200"/>
      <ns0:c r="H194" s="210" t="str">
        <ns0:f>IF('_Engine'!A194=0,"",IF('_Engine'!$B$6&gt;0,"REVIEW",IF('_Engine'!L194&gt;0,"REVIEW",'_Engine'!G194)))</ns0:f>
        <ns0:v/>
      </ns0:c>
      <ns0:c r="I194" s="207"/>
      <ns0:c r="J194" s="208" t="str">
        <ns0:f>IF('_Engine'!K194="OK","OK · "&amp;TEXT('_Dates'!J194,"dd mmm yyyy")&amp;IF('_Dates'!J194='_Dates'!T194,""," → "&amp;TEXT('_Dates'!T194,"dd mmm yyyy")),'_Engine'!K194)</ns0:f>
        <ns0:v/>
      </ns0:c>
    </ns0:row>
    <ns0:row r="195" ht="32" customHeight="1">
      <ns0:c r="A195" s="200"/>
      <ns0:c r="B195" s="201"/>
      <ns0:c r="C195" s="209"/>
      <ns0:c r="D195" s="201"/>
      <ns0:c r="E195" s="209"/>
      <ns0:c r="F195" s="200"/>
      <ns0:c r="G195" s="200"/>
      <ns0:c r="H195" s="210" t="str">
        <ns0:f>IF('_Engine'!A195=0,"",IF('_Engine'!$B$6&gt;0,"REVIEW",IF('_Engine'!L195&gt;0,"REVIEW",'_Engine'!G195)))</ns0:f>
        <ns0:v/>
      </ns0:c>
      <ns0:c r="I195" s="207"/>
      <ns0:c r="J195" s="208" t="str">
        <ns0:f>IF('_Engine'!K195="OK","OK · "&amp;TEXT('_Dates'!J195,"dd mmm yyyy")&amp;IF('_Dates'!J195='_Dates'!T195,""," → "&amp;TEXT('_Dates'!T195,"dd mmm yyyy")),'_Engine'!K195)</ns0:f>
        <ns0:v/>
      </ns0:c>
    </ns0:row>
    <ns0:row r="196" ht="32" customHeight="1">
      <ns0:c r="A196" s="200"/>
      <ns0:c r="B196" s="201"/>
      <ns0:c r="C196" s="209"/>
      <ns0:c r="D196" s="201"/>
      <ns0:c r="E196" s="209"/>
      <ns0:c r="F196" s="200"/>
      <ns0:c r="G196" s="200"/>
      <ns0:c r="H196" s="210" t="str">
        <ns0:f>IF('_Engine'!A196=0,"",IF('_Engine'!$B$6&gt;0,"REVIEW",IF('_Engine'!L196&gt;0,"REVIEW",'_Engine'!G196)))</ns0:f>
        <ns0:v/>
      </ns0:c>
      <ns0:c r="I196" s="207"/>
      <ns0:c r="J196" s="208" t="str">
        <ns0:f>IF('_Engine'!K196="OK","OK · "&amp;TEXT('_Dates'!J196,"dd mmm yyyy")&amp;IF('_Dates'!J196='_Dates'!T196,""," → "&amp;TEXT('_Dates'!T196,"dd mmm yyyy")),'_Engine'!K196)</ns0:f>
        <ns0:v/>
      </ns0:c>
    </ns0:row>
    <ns0:row r="197" ht="32" customHeight="1">
      <ns0:c r="A197" s="200"/>
      <ns0:c r="B197" s="201"/>
      <ns0:c r="C197" s="209"/>
      <ns0:c r="D197" s="201"/>
      <ns0:c r="E197" s="209"/>
      <ns0:c r="F197" s="200"/>
      <ns0:c r="G197" s="200"/>
      <ns0:c r="H197" s="210" t="str">
        <ns0:f>IF('_Engine'!A197=0,"",IF('_Engine'!$B$6&gt;0,"REVIEW",IF('_Engine'!L197&gt;0,"REVIEW",'_Engine'!G197)))</ns0:f>
        <ns0:v/>
      </ns0:c>
      <ns0:c r="I197" s="207"/>
      <ns0:c r="J197" s="208" t="str">
        <ns0:f>IF('_Engine'!K197="OK","OK · "&amp;TEXT('_Dates'!J197,"dd mmm yyyy")&amp;IF('_Dates'!J197='_Dates'!T197,""," → "&amp;TEXT('_Dates'!T197,"dd mmm yyyy")),'_Engine'!K197)</ns0:f>
        <ns0:v/>
      </ns0:c>
    </ns0:row>
    <ns0:row r="198" ht="32" customHeight="1">
      <ns0:c r="A198" s="200"/>
      <ns0:c r="B198" s="201"/>
      <ns0:c r="C198" s="209"/>
      <ns0:c r="D198" s="201"/>
      <ns0:c r="E198" s="209"/>
      <ns0:c r="F198" s="200"/>
      <ns0:c r="G198" s="200"/>
      <ns0:c r="H198" s="210" t="str">
        <ns0:f>IF('_Engine'!A198=0,"",IF('_Engine'!$B$6&gt;0,"REVIEW",IF('_Engine'!L198&gt;0,"REVIEW",'_Engine'!G198)))</ns0:f>
        <ns0:v/>
      </ns0:c>
      <ns0:c r="I198" s="207"/>
      <ns0:c r="J198" s="208" t="str">
        <ns0:f>IF('_Engine'!K198="OK","OK · "&amp;TEXT('_Dates'!J198,"dd mmm yyyy")&amp;IF('_Dates'!J198='_Dates'!T198,""," → "&amp;TEXT('_Dates'!T198,"dd mmm yyyy")),'_Engine'!K198)</ns0:f>
        <ns0:v/>
      </ns0:c>
    </ns0:row>
    <ns0:row r="199" ht="32" customHeight="1">
      <ns0:c r="A199" s="200"/>
      <ns0:c r="B199" s="201"/>
      <ns0:c r="C199" s="209"/>
      <ns0:c r="D199" s="201"/>
      <ns0:c r="E199" s="209"/>
      <ns0:c r="F199" s="200"/>
      <ns0:c r="G199" s="200"/>
      <ns0:c r="H199" s="210" t="str">
        <ns0:f>IF('_Engine'!A199=0,"",IF('_Engine'!$B$6&gt;0,"REVIEW",IF('_Engine'!L199&gt;0,"REVIEW",'_Engine'!G199)))</ns0:f>
        <ns0:v/>
      </ns0:c>
      <ns0:c r="I199" s="207"/>
      <ns0:c r="J199" s="208" t="str">
        <ns0:f>IF('_Engine'!K199="OK","OK · "&amp;TEXT('_Dates'!J199,"dd mmm yyyy")&amp;IF('_Dates'!J199='_Dates'!T199,""," → "&amp;TEXT('_Dates'!T199,"dd mmm yyyy")),'_Engine'!K199)</ns0:f>
        <ns0:v/>
      </ns0:c>
    </ns0:row>
    <ns0:row r="200" ht="32" customHeight="1">
      <ns0:c r="A200" s="200"/>
      <ns0:c r="B200" s="201"/>
      <ns0:c r="C200" s="209"/>
      <ns0:c r="D200" s="201"/>
      <ns0:c r="E200" s="209"/>
      <ns0:c r="F200" s="200"/>
      <ns0:c r="G200" s="200"/>
      <ns0:c r="H200" s="210" t="str">
        <ns0:f>IF('_Engine'!A200=0,"",IF('_Engine'!$B$6&gt;0,"REVIEW",IF('_Engine'!L200&gt;0,"REVIEW",'_Engine'!G200)))</ns0:f>
        <ns0:v/>
      </ns0:c>
      <ns0:c r="I200" s="207"/>
      <ns0:c r="J200" s="208" t="str">
        <ns0:f>IF('_Engine'!K200="OK","OK · "&amp;TEXT('_Dates'!J200,"dd mmm yyyy")&amp;IF('_Dates'!J200='_Dates'!T200,""," → "&amp;TEXT('_Dates'!T200,"dd mmm yyyy")),'_Engine'!K200)</ns0:f>
        <ns0:v/>
      </ns0:c>
    </ns0:row>
    <ns0:row r="201" ht="32" customHeight="1">
      <ns0:c r="A201" s="200"/>
      <ns0:c r="B201" s="201"/>
      <ns0:c r="C201" s="209"/>
      <ns0:c r="D201" s="201"/>
      <ns0:c r="E201" s="209"/>
      <ns0:c r="F201" s="200"/>
      <ns0:c r="G201" s="200"/>
      <ns0:c r="H201" s="210" t="str">
        <ns0:f>IF('_Engine'!A201=0,"",IF('_Engine'!$B$6&gt;0,"REVIEW",IF('_Engine'!L201&gt;0,"REVIEW",'_Engine'!G201)))</ns0:f>
        <ns0:v/>
      </ns0:c>
      <ns0:c r="I201" s="207"/>
      <ns0:c r="J201" s="208" t="str">
        <ns0:f>IF('_Engine'!K201="OK","OK · "&amp;TEXT('_Dates'!J201,"dd mmm yyyy")&amp;IF('_Dates'!J201='_Dates'!T201,""," → "&amp;TEXT('_Dates'!T201,"dd mmm yyyy")),'_Engine'!K201)</ns0:f>
        <ns0:v/>
      </ns0:c>
    </ns0:row>
    <ns0:row r="202" ht="32" customHeight="1">
      <ns0:c r="A202" s="200"/>
      <ns0:c r="B202" s="201"/>
      <ns0:c r="C202" s="209"/>
      <ns0:c r="D202" s="201"/>
      <ns0:c r="E202" s="209"/>
      <ns0:c r="F202" s="200"/>
      <ns0:c r="G202" s="200"/>
      <ns0:c r="H202" s="210" t="str">
        <ns0:f>IF('_Engine'!A202=0,"",IF('_Engine'!$B$6&gt;0,"REVIEW",IF('_Engine'!L202&gt;0,"REVIEW",'_Engine'!G202)))</ns0:f>
        <ns0:v/>
      </ns0:c>
      <ns0:c r="I202" s="207"/>
      <ns0:c r="J202" s="208" t="str">
        <ns0:f>IF('_Engine'!K202="OK","OK · "&amp;TEXT('_Dates'!J202,"dd mmm yyyy")&amp;IF('_Dates'!J202='_Dates'!T202,""," → "&amp;TEXT('_Dates'!T202,"dd mmm yyyy")),'_Engine'!K202)</ns0:f>
        <ns0:v/>
      </ns0:c>
    </ns0:row>
    <ns0:row r="203" ht="32" customHeight="1">
      <ns0:c r="A203" s="200"/>
      <ns0:c r="B203" s="201"/>
      <ns0:c r="C203" s="209"/>
      <ns0:c r="D203" s="201"/>
      <ns0:c r="E203" s="209"/>
      <ns0:c r="F203" s="200"/>
      <ns0:c r="G203" s="200"/>
      <ns0:c r="H203" s="210" t="str">
        <ns0:f>IF('_Engine'!A203=0,"",IF('_Engine'!$B$6&gt;0,"REVIEW",IF('_Engine'!L203&gt;0,"REVIEW",'_Engine'!G203)))</ns0:f>
        <ns0:v/>
      </ns0:c>
      <ns0:c r="I203" s="207"/>
      <ns0:c r="J203" s="208" t="str">
        <ns0:f>IF('_Engine'!K203="OK","OK · "&amp;TEXT('_Dates'!J203,"dd mmm yyyy")&amp;IF('_Dates'!J203='_Dates'!T203,""," → "&amp;TEXT('_Dates'!T203,"dd mmm yyyy")),'_Engine'!K203)</ns0:f>
        <ns0:v/>
      </ns0:c>
    </ns0:row>
    <ns0:row r="204" ht="32" customHeight="1">
      <ns0:c r="A204" s="200"/>
      <ns0:c r="B204" s="201"/>
      <ns0:c r="C204" s="209"/>
      <ns0:c r="D204" s="201"/>
      <ns0:c r="E204" s="209"/>
      <ns0:c r="F204" s="200"/>
      <ns0:c r="G204" s="200"/>
      <ns0:c r="H204" s="210" t="str">
        <ns0:f>IF('_Engine'!A204=0,"",IF('_Engine'!$B$6&gt;0,"REVIEW",IF('_Engine'!L204&gt;0,"REVIEW",'_Engine'!G204)))</ns0:f>
        <ns0:v/>
      </ns0:c>
      <ns0:c r="I204" s="207"/>
      <ns0:c r="J204" s="208" t="str">
        <ns0:f>IF('_Engine'!K204="OK","OK · "&amp;TEXT('_Dates'!J204,"dd mmm yyyy")&amp;IF('_Dates'!J204='_Dates'!T204,""," → "&amp;TEXT('_Dates'!T204,"dd mmm yyyy")),'_Engine'!K204)</ns0:f>
        <ns0:v/>
      </ns0:c>
    </ns0:row>
    <ns0:row r="205" ht="32" customHeight="1">
      <ns0:c r="A205" s="200"/>
      <ns0:c r="B205" s="201"/>
      <ns0:c r="C205" s="209"/>
      <ns0:c r="D205" s="201"/>
      <ns0:c r="E205" s="209"/>
      <ns0:c r="F205" s="200"/>
      <ns0:c r="G205" s="200"/>
      <ns0:c r="H205" s="210" t="str">
        <ns0:f>IF('_Engine'!A205=0,"",IF('_Engine'!$B$6&gt;0,"REVIEW",IF('_Engine'!L205&gt;0,"REVIEW",'_Engine'!G205)))</ns0:f>
        <ns0:v/>
      </ns0:c>
      <ns0:c r="I205" s="207"/>
      <ns0:c r="J205" s="208" t="str">
        <ns0:f>IF('_Engine'!K205="OK","OK · "&amp;TEXT('_Dates'!J205,"dd mmm yyyy")&amp;IF('_Dates'!J205='_Dates'!T205,""," → "&amp;TEXT('_Dates'!T205,"dd mmm yyyy")),'_Engine'!K205)</ns0:f>
        <ns0:v/>
      </ns0:c>
    </ns0:row>
    <ns0:row r="206" ht="32" customHeight="1">
      <ns0:c r="A206" s="200"/>
      <ns0:c r="B206" s="201"/>
      <ns0:c r="C206" s="209"/>
      <ns0:c r="D206" s="201"/>
      <ns0:c r="E206" s="209"/>
      <ns0:c r="F206" s="200"/>
      <ns0:c r="G206" s="200"/>
      <ns0:c r="H206" s="210" t="str">
        <ns0:f>IF('_Engine'!A206=0,"",IF('_Engine'!$B$6&gt;0,"REVIEW",IF('_Engine'!L206&gt;0,"REVIEW",'_Engine'!G206)))</ns0:f>
        <ns0:v/>
      </ns0:c>
      <ns0:c r="I206" s="207"/>
      <ns0:c r="J206" s="208" t="str">
        <ns0:f>IF('_Engine'!K206="OK","OK · "&amp;TEXT('_Dates'!J206,"dd mmm yyyy")&amp;IF('_Dates'!J206='_Dates'!T206,""," → "&amp;TEXT('_Dates'!T206,"dd mmm yyyy")),'_Engine'!K206)</ns0:f>
        <ns0:v/>
      </ns0:c>
    </ns0:row>
    <ns0:row r="207" ht="32" customHeight="1">
      <ns0:c r="A207" s="200"/>
      <ns0:c r="B207" s="201"/>
      <ns0:c r="C207" s="209"/>
      <ns0:c r="D207" s="201"/>
      <ns0:c r="E207" s="209"/>
      <ns0:c r="F207" s="200"/>
      <ns0:c r="G207" s="200"/>
      <ns0:c r="H207" s="210" t="str">
        <ns0:f>IF('_Engine'!A207=0,"",IF('_Engine'!$B$6&gt;0,"REVIEW",IF('_Engine'!L207&gt;0,"REVIEW",'_Engine'!G207)))</ns0:f>
        <ns0:v/>
      </ns0:c>
      <ns0:c r="I207" s="207"/>
      <ns0:c r="J207" s="208" t="str">
        <ns0:f>IF('_Engine'!K207="OK","OK · "&amp;TEXT('_Dates'!J207,"dd mmm yyyy")&amp;IF('_Dates'!J207='_Dates'!T207,""," → "&amp;TEXT('_Dates'!T207,"dd mmm yyyy")),'_Engine'!K207)</ns0:f>
        <ns0:v/>
      </ns0:c>
    </ns0:row>
    <ns0:row r="208" ht="32" customHeight="1">
      <ns0:c r="A208" s="200"/>
      <ns0:c r="B208" s="201"/>
      <ns0:c r="C208" s="209"/>
      <ns0:c r="D208" s="201"/>
      <ns0:c r="E208" s="209"/>
      <ns0:c r="F208" s="200"/>
      <ns0:c r="G208" s="200"/>
      <ns0:c r="H208" s="210" t="str">
        <ns0:f>IF('_Engine'!A208=0,"",IF('_Engine'!$B$6&gt;0,"REVIEW",IF('_Engine'!L208&gt;0,"REVIEW",'_Engine'!G208)))</ns0:f>
        <ns0:v/>
      </ns0:c>
      <ns0:c r="I208" s="207"/>
      <ns0:c r="J208" s="208" t="str">
        <ns0:f>IF('_Engine'!K208="OK","OK · "&amp;TEXT('_Dates'!J208,"dd mmm yyyy")&amp;IF('_Dates'!J208='_Dates'!T208,""," → "&amp;TEXT('_Dates'!T208,"dd mmm yyyy")),'_Engine'!K208)</ns0:f>
        <ns0:v/>
      </ns0:c>
    </ns0:row>
    <ns0:row r="209" ht="32" customHeight="1">
      <ns0:c r="A209" s="200"/>
      <ns0:c r="B209" s="201"/>
      <ns0:c r="C209" s="209"/>
      <ns0:c r="D209" s="201"/>
      <ns0:c r="E209" s="209"/>
      <ns0:c r="F209" s="200"/>
      <ns0:c r="G209" s="200"/>
      <ns0:c r="H209" s="210" t="str">
        <ns0:f>IF('_Engine'!A209=0,"",IF('_Engine'!$B$6&gt;0,"REVIEW",IF('_Engine'!L209&gt;0,"REVIEW",'_Engine'!G209)))</ns0:f>
        <ns0:v/>
      </ns0:c>
      <ns0:c r="I209" s="207"/>
      <ns0:c r="J209" s="208" t="str">
        <ns0:f>IF('_Engine'!K209="OK","OK · "&amp;TEXT('_Dates'!J209,"dd mmm yyyy")&amp;IF('_Dates'!J209='_Dates'!T209,""," → "&amp;TEXT('_Dates'!T209,"dd mmm yyyy")),'_Engine'!K209)</ns0:f>
        <ns0:v/>
      </ns0:c>
    </ns0:row>
    <ns0:row r="210" ht="32" customHeight="1">
      <ns0:c r="A210" s="200"/>
      <ns0:c r="B210" s="201"/>
      <ns0:c r="C210" s="209"/>
      <ns0:c r="D210" s="201"/>
      <ns0:c r="E210" s="209"/>
      <ns0:c r="F210" s="200"/>
      <ns0:c r="G210" s="200"/>
      <ns0:c r="H210" s="210" t="str">
        <ns0:f>IF('_Engine'!A210=0,"",IF('_Engine'!$B$6&gt;0,"REVIEW",IF('_Engine'!L210&gt;0,"REVIEW",'_Engine'!G210)))</ns0:f>
        <ns0:v/>
      </ns0:c>
      <ns0:c r="I210" s="207"/>
      <ns0:c r="J210" s="208" t="str">
        <ns0:f>IF('_Engine'!K210="OK","OK · "&amp;TEXT('_Dates'!J210,"dd mmm yyyy")&amp;IF('_Dates'!J210='_Dates'!T210,""," → "&amp;TEXT('_Dates'!T210,"dd mmm yyyy")),'_Engine'!K210)</ns0:f>
        <ns0:v/>
      </ns0:c>
    </ns0:row>
    <ns0:row r="211" ht="32" customHeight="1">
      <ns0:c r="A211" s="200"/>
      <ns0:c r="B211" s="201"/>
      <ns0:c r="C211" s="209"/>
      <ns0:c r="D211" s="201"/>
      <ns0:c r="E211" s="209"/>
      <ns0:c r="F211" s="200"/>
      <ns0:c r="G211" s="200"/>
      <ns0:c r="H211" s="210" t="str">
        <ns0:f>IF('_Engine'!A211=0,"",IF('_Engine'!$B$6&gt;0,"REVIEW",IF('_Engine'!L211&gt;0,"REVIEW",'_Engine'!G211)))</ns0:f>
        <ns0:v/>
      </ns0:c>
      <ns0:c r="I211" s="207"/>
      <ns0:c r="J211" s="208" t="str">
        <ns0:f>IF('_Engine'!K211="OK","OK · "&amp;TEXT('_Dates'!J211,"dd mmm yyyy")&amp;IF('_Dates'!J211='_Dates'!T211,""," → "&amp;TEXT('_Dates'!T211,"dd mmm yyyy")),'_Engine'!K211)</ns0:f>
        <ns0:v/>
      </ns0:c>
    </ns0:row>
    <ns0:row r="212" ht="32" customHeight="1">
      <ns0:c r="A212" s="200"/>
      <ns0:c r="B212" s="201"/>
      <ns0:c r="C212" s="209"/>
      <ns0:c r="D212" s="201"/>
      <ns0:c r="E212" s="209"/>
      <ns0:c r="F212" s="200"/>
      <ns0:c r="G212" s="200"/>
      <ns0:c r="H212" s="210" t="str">
        <ns0:f>IF('_Engine'!A212=0,"",IF('_Engine'!$B$6&gt;0,"REVIEW",IF('_Engine'!L212&gt;0,"REVIEW",'_Engine'!G212)))</ns0:f>
        <ns0:v/>
      </ns0:c>
      <ns0:c r="I212" s="207"/>
      <ns0:c r="J212" s="208" t="str">
        <ns0:f>IF('_Engine'!K212="OK","OK · "&amp;TEXT('_Dates'!J212,"dd mmm yyyy")&amp;IF('_Dates'!J212='_Dates'!T212,""," → "&amp;TEXT('_Dates'!T212,"dd mmm yyyy")),'_Engine'!K212)</ns0:f>
        <ns0:v/>
      </ns0:c>
    </ns0:row>
    <ns0:row r="213" ht="32" customHeight="1">
      <ns0:c r="A213" s="200"/>
      <ns0:c r="B213" s="201"/>
      <ns0:c r="C213" s="209"/>
      <ns0:c r="D213" s="201"/>
      <ns0:c r="E213" s="209"/>
      <ns0:c r="F213" s="200"/>
      <ns0:c r="G213" s="200"/>
      <ns0:c r="H213" s="210" t="str">
        <ns0:f>IF('_Engine'!A213=0,"",IF('_Engine'!$B$6&gt;0,"REVIEW",IF('_Engine'!L213&gt;0,"REVIEW",'_Engine'!G213)))</ns0:f>
        <ns0:v/>
      </ns0:c>
      <ns0:c r="I213" s="207"/>
      <ns0:c r="J213" s="208" t="str">
        <ns0:f>IF('_Engine'!K213="OK","OK · "&amp;TEXT('_Dates'!J213,"dd mmm yyyy")&amp;IF('_Dates'!J213='_Dates'!T213,""," → "&amp;TEXT('_Dates'!T213,"dd mmm yyyy")),'_Engine'!K213)</ns0:f>
        <ns0:v/>
      </ns0:c>
    </ns0:row>
    <ns0:row r="214" ht="32" customHeight="1">
      <ns0:c r="A214" s="200"/>
      <ns0:c r="B214" s="201"/>
      <ns0:c r="C214" s="209"/>
      <ns0:c r="D214" s="201"/>
      <ns0:c r="E214" s="209"/>
      <ns0:c r="F214" s="200"/>
      <ns0:c r="G214" s="200"/>
      <ns0:c r="H214" s="210" t="str">
        <ns0:f>IF('_Engine'!A214=0,"",IF('_Engine'!$B$6&gt;0,"REVIEW",IF('_Engine'!L214&gt;0,"REVIEW",'_Engine'!G214)))</ns0:f>
        <ns0:v/>
      </ns0:c>
      <ns0:c r="I214" s="207"/>
      <ns0:c r="J214" s="208" t="str">
        <ns0:f>IF('_Engine'!K214="OK","OK · "&amp;TEXT('_Dates'!J214,"dd mmm yyyy")&amp;IF('_Dates'!J214='_Dates'!T214,""," → "&amp;TEXT('_Dates'!T214,"dd mmm yyyy")),'_Engine'!K214)</ns0:f>
        <ns0:v/>
      </ns0:c>
    </ns0:row>
    <ns0:row r="215" ht="32" customHeight="1">
      <ns0:c r="A215" s="200"/>
      <ns0:c r="B215" s="201"/>
      <ns0:c r="C215" s="209"/>
      <ns0:c r="D215" s="201"/>
      <ns0:c r="E215" s="209"/>
      <ns0:c r="F215" s="200"/>
      <ns0:c r="G215" s="200"/>
      <ns0:c r="H215" s="210" t="str">
        <ns0:f>IF('_Engine'!A215=0,"",IF('_Engine'!$B$6&gt;0,"REVIEW",IF('_Engine'!L215&gt;0,"REVIEW",'_Engine'!G215)))</ns0:f>
        <ns0:v/>
      </ns0:c>
      <ns0:c r="I215" s="207"/>
      <ns0:c r="J215" s="208" t="str">
        <ns0:f>IF('_Engine'!K215="OK","OK · "&amp;TEXT('_Dates'!J215,"dd mmm yyyy")&amp;IF('_Dates'!J215='_Dates'!T215,""," → "&amp;TEXT('_Dates'!T215,"dd mmm yyyy")),'_Engine'!K215)</ns0:f>
        <ns0:v/>
      </ns0:c>
    </ns0:row>
    <ns0:row r="216" ht="32" customHeight="1">
      <ns0:c r="A216" s="200"/>
      <ns0:c r="B216" s="201"/>
      <ns0:c r="C216" s="209"/>
      <ns0:c r="D216" s="201"/>
      <ns0:c r="E216" s="209"/>
      <ns0:c r="F216" s="200"/>
      <ns0:c r="G216" s="200"/>
      <ns0:c r="H216" s="210" t="str">
        <ns0:f>IF('_Engine'!A216=0,"",IF('_Engine'!$B$6&gt;0,"REVIEW",IF('_Engine'!L216&gt;0,"REVIEW",'_Engine'!G216)))</ns0:f>
        <ns0:v/>
      </ns0:c>
      <ns0:c r="I216" s="207"/>
      <ns0:c r="J216" s="208" t="str">
        <ns0:f>IF('_Engine'!K216="OK","OK · "&amp;TEXT('_Dates'!J216,"dd mmm yyyy")&amp;IF('_Dates'!J216='_Dates'!T216,""," → "&amp;TEXT('_Dates'!T216,"dd mmm yyyy")),'_Engine'!K216)</ns0:f>
        <ns0:v/>
      </ns0:c>
    </ns0:row>
    <ns0:row r="217" ht="32" customHeight="1">
      <ns0:c r="A217" s="200"/>
      <ns0:c r="B217" s="201"/>
      <ns0:c r="C217" s="209"/>
      <ns0:c r="D217" s="201"/>
      <ns0:c r="E217" s="209"/>
      <ns0:c r="F217" s="200"/>
      <ns0:c r="G217" s="200"/>
      <ns0:c r="H217" s="210" t="str">
        <ns0:f>IF('_Engine'!A217=0,"",IF('_Engine'!$B$6&gt;0,"REVIEW",IF('_Engine'!L217&gt;0,"REVIEW",'_Engine'!G217)))</ns0:f>
        <ns0:v/>
      </ns0:c>
      <ns0:c r="I217" s="207"/>
      <ns0:c r="J217" s="208" t="str">
        <ns0:f>IF('_Engine'!K217="OK","OK · "&amp;TEXT('_Dates'!J217,"dd mmm yyyy")&amp;IF('_Dates'!J217='_Dates'!T217,""," → "&amp;TEXT('_Dates'!T217,"dd mmm yyyy")),'_Engine'!K217)</ns0:f>
        <ns0:v/>
      </ns0:c>
    </ns0:row>
    <ns0:row r="218" ht="32" customHeight="1">
      <ns0:c r="A218" s="200"/>
      <ns0:c r="B218" s="201"/>
      <ns0:c r="C218" s="209"/>
      <ns0:c r="D218" s="201"/>
      <ns0:c r="E218" s="209"/>
      <ns0:c r="F218" s="200"/>
      <ns0:c r="G218" s="200"/>
      <ns0:c r="H218" s="210" t="str">
        <ns0:f>IF('_Engine'!A218=0,"",IF('_Engine'!$B$6&gt;0,"REVIEW",IF('_Engine'!L218&gt;0,"REVIEW",'_Engine'!G218)))</ns0:f>
        <ns0:v/>
      </ns0:c>
      <ns0:c r="I218" s="207"/>
      <ns0:c r="J218" s="208" t="str">
        <ns0:f>IF('_Engine'!K218="OK","OK · "&amp;TEXT('_Dates'!J218,"dd mmm yyyy")&amp;IF('_Dates'!J218='_Dates'!T218,""," → "&amp;TEXT('_Dates'!T218,"dd mmm yyyy")),'_Engine'!K218)</ns0:f>
        <ns0:v/>
      </ns0:c>
    </ns0:row>
    <ns0:row r="219" ht="32" customHeight="1">
      <ns0:c r="A219" s="200"/>
      <ns0:c r="B219" s="201"/>
      <ns0:c r="C219" s="209"/>
      <ns0:c r="D219" s="201"/>
      <ns0:c r="E219" s="209"/>
      <ns0:c r="F219" s="200"/>
      <ns0:c r="G219" s="200"/>
      <ns0:c r="H219" s="210" t="str">
        <ns0:f>IF('_Engine'!A219=0,"",IF('_Engine'!$B$6&gt;0,"REVIEW",IF('_Engine'!L219&gt;0,"REVIEW",'_Engine'!G219)))</ns0:f>
        <ns0:v/>
      </ns0:c>
      <ns0:c r="I219" s="207"/>
      <ns0:c r="J219" s="208" t="str">
        <ns0:f>IF('_Engine'!K219="OK","OK · "&amp;TEXT('_Dates'!J219,"dd mmm yyyy")&amp;IF('_Dates'!J219='_Dates'!T219,""," → "&amp;TEXT('_Dates'!T219,"dd mmm yyyy")),'_Engine'!K219)</ns0:f>
        <ns0:v/>
      </ns0:c>
    </ns0:row>
    <ns0:row r="220" ht="32" customHeight="1">
      <ns0:c r="A220" s="200"/>
      <ns0:c r="B220" s="201"/>
      <ns0:c r="C220" s="209"/>
      <ns0:c r="D220" s="201"/>
      <ns0:c r="E220" s="209"/>
      <ns0:c r="F220" s="200"/>
      <ns0:c r="G220" s="200"/>
      <ns0:c r="H220" s="210" t="str">
        <ns0:f>IF('_Engine'!A220=0,"",IF('_Engine'!$B$6&gt;0,"REVIEW",IF('_Engine'!L220&gt;0,"REVIEW",'_Engine'!G220)))</ns0:f>
        <ns0:v/>
      </ns0:c>
      <ns0:c r="I220" s="207"/>
      <ns0:c r="J220" s="208" t="str">
        <ns0:f>IF('_Engine'!K220="OK","OK · "&amp;TEXT('_Dates'!J220,"dd mmm yyyy")&amp;IF('_Dates'!J220='_Dates'!T220,""," → "&amp;TEXT('_Dates'!T220,"dd mmm yyyy")),'_Engine'!K220)</ns0:f>
        <ns0:v/>
      </ns0:c>
    </ns0:row>
    <ns0:row r="221" ht="32" customHeight="1">
      <ns0:c r="A221" s="200"/>
      <ns0:c r="B221" s="201"/>
      <ns0:c r="C221" s="209"/>
      <ns0:c r="D221" s="201"/>
      <ns0:c r="E221" s="209"/>
      <ns0:c r="F221" s="200"/>
      <ns0:c r="G221" s="200"/>
      <ns0:c r="H221" s="210" t="str">
        <ns0:f>IF('_Engine'!A221=0,"",IF('_Engine'!$B$6&gt;0,"REVIEW",IF('_Engine'!L221&gt;0,"REVIEW",'_Engine'!G221)))</ns0:f>
        <ns0:v/>
      </ns0:c>
      <ns0:c r="I221" s="207"/>
      <ns0:c r="J221" s="208" t="str">
        <ns0:f>IF('_Engine'!K221="OK","OK · "&amp;TEXT('_Dates'!J221,"dd mmm yyyy")&amp;IF('_Dates'!J221='_Dates'!T221,""," → "&amp;TEXT('_Dates'!T221,"dd mmm yyyy")),'_Engine'!K221)</ns0:f>
        <ns0:v/>
      </ns0:c>
    </ns0:row>
    <ns0:row r="222" ht="32" customHeight="1">
      <ns0:c r="A222" s="200"/>
      <ns0:c r="B222" s="201"/>
      <ns0:c r="C222" s="209"/>
      <ns0:c r="D222" s="201"/>
      <ns0:c r="E222" s="209"/>
      <ns0:c r="F222" s="200"/>
      <ns0:c r="G222" s="200"/>
      <ns0:c r="H222" s="210" t="str">
        <ns0:f>IF('_Engine'!A222=0,"",IF('_Engine'!$B$6&gt;0,"REVIEW",IF('_Engine'!L222&gt;0,"REVIEW",'_Engine'!G222)))</ns0:f>
        <ns0:v/>
      </ns0:c>
      <ns0:c r="I222" s="207"/>
      <ns0:c r="J222" s="208" t="str">
        <ns0:f>IF('_Engine'!K222="OK","OK · "&amp;TEXT('_Dates'!J222,"dd mmm yyyy")&amp;IF('_Dates'!J222='_Dates'!T222,""," → "&amp;TEXT('_Dates'!T222,"dd mmm yyyy")),'_Engine'!K222)</ns0:f>
        <ns0:v/>
      </ns0:c>
    </ns0:row>
    <ns0:row r="223" ht="32" customHeight="1">
      <ns0:c r="A223" s="200"/>
      <ns0:c r="B223" s="201"/>
      <ns0:c r="C223" s="209"/>
      <ns0:c r="D223" s="201"/>
      <ns0:c r="E223" s="209"/>
      <ns0:c r="F223" s="200"/>
      <ns0:c r="G223" s="200"/>
      <ns0:c r="H223" s="210" t="str">
        <ns0:f>IF('_Engine'!A223=0,"",IF('_Engine'!$B$6&gt;0,"REVIEW",IF('_Engine'!L223&gt;0,"REVIEW",'_Engine'!G223)))</ns0:f>
        <ns0:v/>
      </ns0:c>
      <ns0:c r="I223" s="207"/>
      <ns0:c r="J223" s="208" t="str">
        <ns0:f>IF('_Engine'!K223="OK","OK · "&amp;TEXT('_Dates'!J223,"dd mmm yyyy")&amp;IF('_Dates'!J223='_Dates'!T223,""," → "&amp;TEXT('_Dates'!T223,"dd mmm yyyy")),'_Engine'!K223)</ns0:f>
        <ns0:v/>
      </ns0:c>
    </ns0:row>
    <ns0:row r="224" ht="32" customHeight="1">
      <ns0:c r="A224" s="200"/>
      <ns0:c r="B224" s="201"/>
      <ns0:c r="C224" s="209"/>
      <ns0:c r="D224" s="201"/>
      <ns0:c r="E224" s="209"/>
      <ns0:c r="F224" s="200"/>
      <ns0:c r="G224" s="200"/>
      <ns0:c r="H224" s="210" t="str">
        <ns0:f>IF('_Engine'!A224=0,"",IF('_Engine'!$B$6&gt;0,"REVIEW",IF('_Engine'!L224&gt;0,"REVIEW",'_Engine'!G224)))</ns0:f>
        <ns0:v/>
      </ns0:c>
      <ns0:c r="I224" s="207"/>
      <ns0:c r="J224" s="208" t="str">
        <ns0:f>IF('_Engine'!K224="OK","OK · "&amp;TEXT('_Dates'!J224,"dd mmm yyyy")&amp;IF('_Dates'!J224='_Dates'!T224,""," → "&amp;TEXT('_Dates'!T224,"dd mmm yyyy")),'_Engine'!K224)</ns0:f>
        <ns0:v/>
      </ns0:c>
    </ns0:row>
    <ns0:row r="225" ht="32" customHeight="1">
      <ns0:c r="A225" s="200"/>
      <ns0:c r="B225" s="201"/>
      <ns0:c r="C225" s="209"/>
      <ns0:c r="D225" s="201"/>
      <ns0:c r="E225" s="209"/>
      <ns0:c r="F225" s="200"/>
      <ns0:c r="G225" s="200"/>
      <ns0:c r="H225" s="210" t="str">
        <ns0:f>IF('_Engine'!A225=0,"",IF('_Engine'!$B$6&gt;0,"REVIEW",IF('_Engine'!L225&gt;0,"REVIEW",'_Engine'!G225)))</ns0:f>
        <ns0:v/>
      </ns0:c>
      <ns0:c r="I225" s="207"/>
      <ns0:c r="J225" s="208" t="str">
        <ns0:f>IF('_Engine'!K225="OK","OK · "&amp;TEXT('_Dates'!J225,"dd mmm yyyy")&amp;IF('_Dates'!J225='_Dates'!T225,""," → "&amp;TEXT('_Dates'!T225,"dd mmm yyyy")),'_Engine'!K225)</ns0:f>
        <ns0:v/>
      </ns0:c>
    </ns0:row>
    <ns0:row r="226" ht="32" customHeight="1">
      <ns0:c r="A226" s="200"/>
      <ns0:c r="B226" s="201"/>
      <ns0:c r="C226" s="209"/>
      <ns0:c r="D226" s="201"/>
      <ns0:c r="E226" s="209"/>
      <ns0:c r="F226" s="200"/>
      <ns0:c r="G226" s="200"/>
      <ns0:c r="H226" s="210" t="str">
        <ns0:f>IF('_Engine'!A226=0,"",IF('_Engine'!$B$6&gt;0,"REVIEW",IF('_Engine'!L226&gt;0,"REVIEW",'_Engine'!G226)))</ns0:f>
        <ns0:v/>
      </ns0:c>
      <ns0:c r="I226" s="207"/>
      <ns0:c r="J226" s="208" t="str">
        <ns0:f>IF('_Engine'!K226="OK","OK · "&amp;TEXT('_Dates'!J226,"dd mmm yyyy")&amp;IF('_Dates'!J226='_Dates'!T226,""," → "&amp;TEXT('_Dates'!T226,"dd mmm yyyy")),'_Engine'!K226)</ns0:f>
        <ns0:v/>
      </ns0:c>
    </ns0:row>
    <ns0:row r="227" ht="32" customHeight="1">
      <ns0:c r="A227" s="200"/>
      <ns0:c r="B227" s="201"/>
      <ns0:c r="C227" s="209"/>
      <ns0:c r="D227" s="201"/>
      <ns0:c r="E227" s="209"/>
      <ns0:c r="F227" s="200"/>
      <ns0:c r="G227" s="200"/>
      <ns0:c r="H227" s="210" t="str">
        <ns0:f>IF('_Engine'!A227=0,"",IF('_Engine'!$B$6&gt;0,"REVIEW",IF('_Engine'!L227&gt;0,"REVIEW",'_Engine'!G227)))</ns0:f>
        <ns0:v/>
      </ns0:c>
      <ns0:c r="I227" s="207"/>
      <ns0:c r="J227" s="208" t="str">
        <ns0:f>IF('_Engine'!K227="OK","OK · "&amp;TEXT('_Dates'!J227,"dd mmm yyyy")&amp;IF('_Dates'!J227='_Dates'!T227,""," → "&amp;TEXT('_Dates'!T227,"dd mmm yyyy")),'_Engine'!K227)</ns0:f>
        <ns0:v/>
      </ns0:c>
    </ns0:row>
    <ns0:row r="228" ht="32" customHeight="1">
      <ns0:c r="A228" s="200"/>
      <ns0:c r="B228" s="201"/>
      <ns0:c r="C228" s="209"/>
      <ns0:c r="D228" s="201"/>
      <ns0:c r="E228" s="209"/>
      <ns0:c r="F228" s="200"/>
      <ns0:c r="G228" s="200"/>
      <ns0:c r="H228" s="210" t="str">
        <ns0:f>IF('_Engine'!A228=0,"",IF('_Engine'!$B$6&gt;0,"REVIEW",IF('_Engine'!L228&gt;0,"REVIEW",'_Engine'!G228)))</ns0:f>
        <ns0:v/>
      </ns0:c>
      <ns0:c r="I228" s="207"/>
      <ns0:c r="J228" s="208" t="str">
        <ns0:f>IF('_Engine'!K228="OK","OK · "&amp;TEXT('_Dates'!J228,"dd mmm yyyy")&amp;IF('_Dates'!J228='_Dates'!T228,""," → "&amp;TEXT('_Dates'!T228,"dd mmm yyyy")),'_Engine'!K228)</ns0:f>
        <ns0:v/>
      </ns0:c>
    </ns0:row>
    <ns0:row r="229" ht="32" customHeight="1">
      <ns0:c r="A229" s="200"/>
      <ns0:c r="B229" s="201"/>
      <ns0:c r="C229" s="209"/>
      <ns0:c r="D229" s="201"/>
      <ns0:c r="E229" s="209"/>
      <ns0:c r="F229" s="200"/>
      <ns0:c r="G229" s="200"/>
      <ns0:c r="H229" s="210" t="str">
        <ns0:f>IF('_Engine'!A229=0,"",IF('_Engine'!$B$6&gt;0,"REVIEW",IF('_Engine'!L229&gt;0,"REVIEW",'_Engine'!G229)))</ns0:f>
        <ns0:v/>
      </ns0:c>
      <ns0:c r="I229" s="207"/>
      <ns0:c r="J229" s="208" t="str">
        <ns0:f>IF('_Engine'!K229="OK","OK · "&amp;TEXT('_Dates'!J229,"dd mmm yyyy")&amp;IF('_Dates'!J229='_Dates'!T229,""," → "&amp;TEXT('_Dates'!T229,"dd mmm yyyy")),'_Engine'!K229)</ns0:f>
        <ns0:v/>
      </ns0:c>
    </ns0:row>
    <ns0:row r="230" ht="32" customHeight="1">
      <ns0:c r="A230" s="200"/>
      <ns0:c r="B230" s="201"/>
      <ns0:c r="C230" s="209"/>
      <ns0:c r="D230" s="201"/>
      <ns0:c r="E230" s="209"/>
      <ns0:c r="F230" s="200"/>
      <ns0:c r="G230" s="200"/>
      <ns0:c r="H230" s="210" t="str">
        <ns0:f>IF('_Engine'!A230=0,"",IF('_Engine'!$B$6&gt;0,"REVIEW",IF('_Engine'!L230&gt;0,"REVIEW",'_Engine'!G230)))</ns0:f>
        <ns0:v/>
      </ns0:c>
      <ns0:c r="I230" s="207"/>
      <ns0:c r="J230" s="208" t="str">
        <ns0:f>IF('_Engine'!K230="OK","OK · "&amp;TEXT('_Dates'!J230,"dd mmm yyyy")&amp;IF('_Dates'!J230='_Dates'!T230,""," → "&amp;TEXT('_Dates'!T230,"dd mmm yyyy")),'_Engine'!K230)</ns0:f>
        <ns0:v/>
      </ns0:c>
    </ns0:row>
    <ns0:row r="231" ht="32" customHeight="1">
      <ns0:c r="A231" s="200"/>
      <ns0:c r="B231" s="201"/>
      <ns0:c r="C231" s="209"/>
      <ns0:c r="D231" s="201"/>
      <ns0:c r="E231" s="209"/>
      <ns0:c r="F231" s="200"/>
      <ns0:c r="G231" s="200"/>
      <ns0:c r="H231" s="210" t="str">
        <ns0:f>IF('_Engine'!A231=0,"",IF('_Engine'!$B$6&gt;0,"REVIEW",IF('_Engine'!L231&gt;0,"REVIEW",'_Engine'!G231)))</ns0:f>
        <ns0:v/>
      </ns0:c>
      <ns0:c r="I231" s="207"/>
      <ns0:c r="J231" s="208" t="str">
        <ns0:f>IF('_Engine'!K231="OK","OK · "&amp;TEXT('_Dates'!J231,"dd mmm yyyy")&amp;IF('_Dates'!J231='_Dates'!T231,""," → "&amp;TEXT('_Dates'!T231,"dd mmm yyyy")),'_Engine'!K231)</ns0:f>
        <ns0:v/>
      </ns0:c>
    </ns0:row>
    <ns0:row r="232" ht="32" customHeight="1">
      <ns0:c r="A232" s="200"/>
      <ns0:c r="B232" s="201"/>
      <ns0:c r="C232" s="209"/>
      <ns0:c r="D232" s="201"/>
      <ns0:c r="E232" s="209"/>
      <ns0:c r="F232" s="200"/>
      <ns0:c r="G232" s="200"/>
      <ns0:c r="H232" s="210" t="str">
        <ns0:f>IF('_Engine'!A232=0,"",IF('_Engine'!$B$6&gt;0,"REVIEW",IF('_Engine'!L232&gt;0,"REVIEW",'_Engine'!G232)))</ns0:f>
        <ns0:v/>
      </ns0:c>
      <ns0:c r="I232" s="207"/>
      <ns0:c r="J232" s="208" t="str">
        <ns0:f>IF('_Engine'!K232="OK","OK · "&amp;TEXT('_Dates'!J232,"dd mmm yyyy")&amp;IF('_Dates'!J232='_Dates'!T232,""," → "&amp;TEXT('_Dates'!T232,"dd mmm yyyy")),'_Engine'!K232)</ns0:f>
        <ns0:v/>
      </ns0:c>
    </ns0:row>
    <ns0:row r="233" ht="32" customHeight="1">
      <ns0:c r="A233" s="200"/>
      <ns0:c r="B233" s="201"/>
      <ns0:c r="C233" s="209"/>
      <ns0:c r="D233" s="201"/>
      <ns0:c r="E233" s="209"/>
      <ns0:c r="F233" s="200"/>
      <ns0:c r="G233" s="200"/>
      <ns0:c r="H233" s="210" t="str">
        <ns0:f>IF('_Engine'!A233=0,"",IF('_Engine'!$B$6&gt;0,"REVIEW",IF('_Engine'!L233&gt;0,"REVIEW",'_Engine'!G233)))</ns0:f>
        <ns0:v/>
      </ns0:c>
      <ns0:c r="I233" s="207"/>
      <ns0:c r="J233" s="208" t="str">
        <ns0:f>IF('_Engine'!K233="OK","OK · "&amp;TEXT('_Dates'!J233,"dd mmm yyyy")&amp;IF('_Dates'!J233='_Dates'!T233,""," → "&amp;TEXT('_Dates'!T233,"dd mmm yyyy")),'_Engine'!K233)</ns0:f>
        <ns0:v/>
      </ns0:c>
    </ns0:row>
    <ns0:row r="234" ht="32" customHeight="1">
      <ns0:c r="A234" s="200"/>
      <ns0:c r="B234" s="201"/>
      <ns0:c r="C234" s="209"/>
      <ns0:c r="D234" s="201"/>
      <ns0:c r="E234" s="209"/>
      <ns0:c r="F234" s="200"/>
      <ns0:c r="G234" s="200"/>
      <ns0:c r="H234" s="210" t="str">
        <ns0:f>IF('_Engine'!A234=0,"",IF('_Engine'!$B$6&gt;0,"REVIEW",IF('_Engine'!L234&gt;0,"REVIEW",'_Engine'!G234)))</ns0:f>
        <ns0:v/>
      </ns0:c>
      <ns0:c r="I234" s="207"/>
      <ns0:c r="J234" s="208" t="str">
        <ns0:f>IF('_Engine'!K234="OK","OK · "&amp;TEXT('_Dates'!J234,"dd mmm yyyy")&amp;IF('_Dates'!J234='_Dates'!T234,""," → "&amp;TEXT('_Dates'!T234,"dd mmm yyyy")),'_Engine'!K234)</ns0:f>
        <ns0:v/>
      </ns0:c>
    </ns0:row>
    <ns0:row r="235" ht="32" customHeight="1">
      <ns0:c r="A235" s="200"/>
      <ns0:c r="B235" s="201"/>
      <ns0:c r="C235" s="209"/>
      <ns0:c r="D235" s="201"/>
      <ns0:c r="E235" s="209"/>
      <ns0:c r="F235" s="200"/>
      <ns0:c r="G235" s="200"/>
      <ns0:c r="H235" s="210" t="str">
        <ns0:f>IF('_Engine'!A235=0,"",IF('_Engine'!$B$6&gt;0,"REVIEW",IF('_Engine'!L235&gt;0,"REVIEW",'_Engine'!G235)))</ns0:f>
        <ns0:v/>
      </ns0:c>
      <ns0:c r="I235" s="207"/>
      <ns0:c r="J235" s="208" t="str">
        <ns0:f>IF('_Engine'!K235="OK","OK · "&amp;TEXT('_Dates'!J235,"dd mmm yyyy")&amp;IF('_Dates'!J235='_Dates'!T235,""," → "&amp;TEXT('_Dates'!T235,"dd mmm yyyy")),'_Engine'!K235)</ns0:f>
        <ns0:v/>
      </ns0:c>
    </ns0:row>
    <ns0:row r="236" ht="32" customHeight="1">
      <ns0:c r="A236" s="200"/>
      <ns0:c r="B236" s="201"/>
      <ns0:c r="C236" s="209"/>
      <ns0:c r="D236" s="201"/>
      <ns0:c r="E236" s="209"/>
      <ns0:c r="F236" s="200"/>
      <ns0:c r="G236" s="200"/>
      <ns0:c r="H236" s="210" t="str">
        <ns0:f>IF('_Engine'!A236=0,"",IF('_Engine'!$B$6&gt;0,"REVIEW",IF('_Engine'!L236&gt;0,"REVIEW",'_Engine'!G236)))</ns0:f>
        <ns0:v/>
      </ns0:c>
      <ns0:c r="I236" s="207"/>
      <ns0:c r="J236" s="208" t="str">
        <ns0:f>IF('_Engine'!K236="OK","OK · "&amp;TEXT('_Dates'!J236,"dd mmm yyyy")&amp;IF('_Dates'!J236='_Dates'!T236,""," → "&amp;TEXT('_Dates'!T236,"dd mmm yyyy")),'_Engine'!K236)</ns0:f>
        <ns0:v/>
      </ns0:c>
    </ns0:row>
    <ns0:row r="237" ht="32" customHeight="1">
      <ns0:c r="A237" s="200"/>
      <ns0:c r="B237" s="201"/>
      <ns0:c r="C237" s="209"/>
      <ns0:c r="D237" s="201"/>
      <ns0:c r="E237" s="209"/>
      <ns0:c r="F237" s="200"/>
      <ns0:c r="G237" s="200"/>
      <ns0:c r="H237" s="210" t="str">
        <ns0:f>IF('_Engine'!A237=0,"",IF('_Engine'!$B$6&gt;0,"REVIEW",IF('_Engine'!L237&gt;0,"REVIEW",'_Engine'!G237)))</ns0:f>
        <ns0:v/>
      </ns0:c>
      <ns0:c r="I237" s="207"/>
      <ns0:c r="J237" s="208" t="str">
        <ns0:f>IF('_Engine'!K237="OK","OK · "&amp;TEXT('_Dates'!J237,"dd mmm yyyy")&amp;IF('_Dates'!J237='_Dates'!T237,""," → "&amp;TEXT('_Dates'!T237,"dd mmm yyyy")),'_Engine'!K237)</ns0:f>
        <ns0:v/>
      </ns0:c>
    </ns0:row>
    <ns0:row r="238" ht="32" customHeight="1">
      <ns0:c r="A238" s="200"/>
      <ns0:c r="B238" s="201"/>
      <ns0:c r="C238" s="209"/>
      <ns0:c r="D238" s="201"/>
      <ns0:c r="E238" s="209"/>
      <ns0:c r="F238" s="200"/>
      <ns0:c r="G238" s="200"/>
      <ns0:c r="H238" s="210" t="str">
        <ns0:f>IF('_Engine'!A238=0,"",IF('_Engine'!$B$6&gt;0,"REVIEW",IF('_Engine'!L238&gt;0,"REVIEW",'_Engine'!G238)))</ns0:f>
        <ns0:v/>
      </ns0:c>
      <ns0:c r="I238" s="207"/>
      <ns0:c r="J238" s="208" t="str">
        <ns0:f>IF('_Engine'!K238="OK","OK · "&amp;TEXT('_Dates'!J238,"dd mmm yyyy")&amp;IF('_Dates'!J238='_Dates'!T238,""," → "&amp;TEXT('_Dates'!T238,"dd mmm yyyy")),'_Engine'!K238)</ns0:f>
        <ns0:v/>
      </ns0:c>
    </ns0:row>
    <ns0:row r="239" ht="32" customHeight="1">
      <ns0:c r="A239" s="200"/>
      <ns0:c r="B239" s="201"/>
      <ns0:c r="C239" s="209"/>
      <ns0:c r="D239" s="201"/>
      <ns0:c r="E239" s="209"/>
      <ns0:c r="F239" s="200"/>
      <ns0:c r="G239" s="200"/>
      <ns0:c r="H239" s="210" t="str">
        <ns0:f>IF('_Engine'!A239=0,"",IF('_Engine'!$B$6&gt;0,"REVIEW",IF('_Engine'!L239&gt;0,"REVIEW",'_Engine'!G239)))</ns0:f>
        <ns0:v/>
      </ns0:c>
      <ns0:c r="I239" s="207"/>
      <ns0:c r="J239" s="208" t="str">
        <ns0:f>IF('_Engine'!K239="OK","OK · "&amp;TEXT('_Dates'!J239,"dd mmm yyyy")&amp;IF('_Dates'!J239='_Dates'!T239,""," → "&amp;TEXT('_Dates'!T239,"dd mmm yyyy")),'_Engine'!K239)</ns0:f>
        <ns0:v/>
      </ns0:c>
    </ns0:row>
    <ns0:row r="240" ht="32" customHeight="1">
      <ns0:c r="A240" s="200"/>
      <ns0:c r="B240" s="201"/>
      <ns0:c r="C240" s="209"/>
      <ns0:c r="D240" s="201"/>
      <ns0:c r="E240" s="209"/>
      <ns0:c r="F240" s="200"/>
      <ns0:c r="G240" s="200"/>
      <ns0:c r="H240" s="210" t="str">
        <ns0:f>IF('_Engine'!A240=0,"",IF('_Engine'!$B$6&gt;0,"REVIEW",IF('_Engine'!L240&gt;0,"REVIEW",'_Engine'!G240)))</ns0:f>
        <ns0:v/>
      </ns0:c>
      <ns0:c r="I240" s="207"/>
      <ns0:c r="J240" s="208" t="str">
        <ns0:f>IF('_Engine'!K240="OK","OK · "&amp;TEXT('_Dates'!J240,"dd mmm yyyy")&amp;IF('_Dates'!J240='_Dates'!T240,""," → "&amp;TEXT('_Dates'!T240,"dd mmm yyyy")),'_Engine'!K240)</ns0:f>
        <ns0:v/>
      </ns0:c>
    </ns0:row>
    <ns0:row r="241" ht="32" customHeight="1">
      <ns0:c r="A241" s="200"/>
      <ns0:c r="B241" s="201"/>
      <ns0:c r="C241" s="209"/>
      <ns0:c r="D241" s="201"/>
      <ns0:c r="E241" s="209"/>
      <ns0:c r="F241" s="200"/>
      <ns0:c r="G241" s="200"/>
      <ns0:c r="H241" s="210" t="str">
        <ns0:f>IF('_Engine'!A241=0,"",IF('_Engine'!$B$6&gt;0,"REVIEW",IF('_Engine'!L241&gt;0,"REVIEW",'_Engine'!G241)))</ns0:f>
        <ns0:v/>
      </ns0:c>
      <ns0:c r="I241" s="207"/>
      <ns0:c r="J241" s="208" t="str">
        <ns0:f>IF('_Engine'!K241="OK","OK · "&amp;TEXT('_Dates'!J241,"dd mmm yyyy")&amp;IF('_Dates'!J241='_Dates'!T241,""," → "&amp;TEXT('_Dates'!T241,"dd mmm yyyy")),'_Engine'!K241)</ns0:f>
        <ns0:v/>
      </ns0:c>
    </ns0:row>
    <ns0:row r="242" ht="32" customHeight="1">
      <ns0:c r="A242" s="200"/>
      <ns0:c r="B242" s="201"/>
      <ns0:c r="C242" s="209"/>
      <ns0:c r="D242" s="201"/>
      <ns0:c r="E242" s="209"/>
      <ns0:c r="F242" s="200"/>
      <ns0:c r="G242" s="200"/>
      <ns0:c r="H242" s="210" t="str">
        <ns0:f>IF('_Engine'!A242=0,"",IF('_Engine'!$B$6&gt;0,"REVIEW",IF('_Engine'!L242&gt;0,"REVIEW",'_Engine'!G242)))</ns0:f>
        <ns0:v/>
      </ns0:c>
      <ns0:c r="I242" s="207"/>
      <ns0:c r="J242" s="208" t="str">
        <ns0:f>IF('_Engine'!K242="OK","OK · "&amp;TEXT('_Dates'!J242,"dd mmm yyyy")&amp;IF('_Dates'!J242='_Dates'!T242,""," → "&amp;TEXT('_Dates'!T242,"dd mmm yyyy")),'_Engine'!K242)</ns0:f>
        <ns0:v/>
      </ns0:c>
    </ns0:row>
    <ns0:row r="243" ht="32" customHeight="1">
      <ns0:c r="A243" s="200"/>
      <ns0:c r="B243" s="201"/>
      <ns0:c r="C243" s="209"/>
      <ns0:c r="D243" s="201"/>
      <ns0:c r="E243" s="209"/>
      <ns0:c r="F243" s="200"/>
      <ns0:c r="G243" s="200"/>
      <ns0:c r="H243" s="210" t="str">
        <ns0:f>IF('_Engine'!A243=0,"",IF('_Engine'!$B$6&gt;0,"REVIEW",IF('_Engine'!L243&gt;0,"REVIEW",'_Engine'!G243)))</ns0:f>
        <ns0:v/>
      </ns0:c>
      <ns0:c r="I243" s="207"/>
      <ns0:c r="J243" s="208" t="str">
        <ns0:f>IF('_Engine'!K243="OK","OK · "&amp;TEXT('_Dates'!J243,"dd mmm yyyy")&amp;IF('_Dates'!J243='_Dates'!T243,""," → "&amp;TEXT('_Dates'!T243,"dd mmm yyyy")),'_Engine'!K243)</ns0:f>
        <ns0:v/>
      </ns0:c>
    </ns0:row>
    <ns0:row r="244" ht="32" customHeight="1">
      <ns0:c r="A244" s="200"/>
      <ns0:c r="B244" s="201"/>
      <ns0:c r="C244" s="209"/>
      <ns0:c r="D244" s="201"/>
      <ns0:c r="E244" s="209"/>
      <ns0:c r="F244" s="200"/>
      <ns0:c r="G244" s="200"/>
      <ns0:c r="H244" s="210" t="str">
        <ns0:f>IF('_Engine'!A244=0,"",IF('_Engine'!$B$6&gt;0,"REVIEW",IF('_Engine'!L244&gt;0,"REVIEW",'_Engine'!G244)))</ns0:f>
        <ns0:v/>
      </ns0:c>
      <ns0:c r="I244" s="207"/>
      <ns0:c r="J244" s="208" t="str">
        <ns0:f>IF('_Engine'!K244="OK","OK · "&amp;TEXT('_Dates'!J244,"dd mmm yyyy")&amp;IF('_Dates'!J244='_Dates'!T244,""," → "&amp;TEXT('_Dates'!T244,"dd mmm yyyy")),'_Engine'!K244)</ns0:f>
        <ns0:v/>
      </ns0:c>
    </ns0:row>
    <ns0:row r="245" ht="32" customHeight="1">
      <ns0:c r="A245" s="200"/>
      <ns0:c r="B245" s="201"/>
      <ns0:c r="C245" s="209"/>
      <ns0:c r="D245" s="201"/>
      <ns0:c r="E245" s="209"/>
      <ns0:c r="F245" s="200"/>
      <ns0:c r="G245" s="200"/>
      <ns0:c r="H245" s="210" t="str">
        <ns0:f>IF('_Engine'!A245=0,"",IF('_Engine'!$B$6&gt;0,"REVIEW",IF('_Engine'!L245&gt;0,"REVIEW",'_Engine'!G245)))</ns0:f>
        <ns0:v/>
      </ns0:c>
      <ns0:c r="I245" s="207"/>
      <ns0:c r="J245" s="208" t="str">
        <ns0:f>IF('_Engine'!K245="OK","OK · "&amp;TEXT('_Dates'!J245,"dd mmm yyyy")&amp;IF('_Dates'!J245='_Dates'!T245,""," → "&amp;TEXT('_Dates'!T245,"dd mmm yyyy")),'_Engine'!K245)</ns0:f>
        <ns0:v/>
      </ns0:c>
    </ns0:row>
    <ns0:row r="246" ht="32" customHeight="1">
      <ns0:c r="A246" s="200"/>
      <ns0:c r="B246" s="201"/>
      <ns0:c r="C246" s="209"/>
      <ns0:c r="D246" s="201"/>
      <ns0:c r="E246" s="209"/>
      <ns0:c r="F246" s="200"/>
      <ns0:c r="G246" s="200"/>
      <ns0:c r="H246" s="210" t="str">
        <ns0:f>IF('_Engine'!A246=0,"",IF('_Engine'!$B$6&gt;0,"REVIEW",IF('_Engine'!L246&gt;0,"REVIEW",'_Engine'!G246)))</ns0:f>
        <ns0:v/>
      </ns0:c>
      <ns0:c r="I246" s="207"/>
      <ns0:c r="J246" s="208" t="str">
        <ns0:f>IF('_Engine'!K246="OK","OK · "&amp;TEXT('_Dates'!J246,"dd mmm yyyy")&amp;IF('_Dates'!J246='_Dates'!T246,""," → "&amp;TEXT('_Dates'!T246,"dd mmm yyyy")),'_Engine'!K246)</ns0:f>
        <ns0:v/>
      </ns0:c>
    </ns0:row>
    <ns0:row r="247" ht="32" customHeight="1">
      <ns0:c r="A247" s="200"/>
      <ns0:c r="B247" s="201"/>
      <ns0:c r="C247" s="209"/>
      <ns0:c r="D247" s="201"/>
      <ns0:c r="E247" s="209"/>
      <ns0:c r="F247" s="200"/>
      <ns0:c r="G247" s="200"/>
      <ns0:c r="H247" s="210" t="str">
        <ns0:f>IF('_Engine'!A247=0,"",IF('_Engine'!$B$6&gt;0,"REVIEW",IF('_Engine'!L247&gt;0,"REVIEW",'_Engine'!G247)))</ns0:f>
        <ns0:v/>
      </ns0:c>
      <ns0:c r="I247" s="207"/>
      <ns0:c r="J247" s="208" t="str">
        <ns0:f>IF('_Engine'!K247="OK","OK · "&amp;TEXT('_Dates'!J247,"dd mmm yyyy")&amp;IF('_Dates'!J247='_Dates'!T247,""," → "&amp;TEXT('_Dates'!T247,"dd mmm yyyy")),'_Engine'!K247)</ns0:f>
        <ns0:v/>
      </ns0:c>
    </ns0:row>
    <ns0:row r="248" ht="32" customHeight="1">
      <ns0:c r="A248" s="200"/>
      <ns0:c r="B248" s="201"/>
      <ns0:c r="C248" s="209"/>
      <ns0:c r="D248" s="201"/>
      <ns0:c r="E248" s="209"/>
      <ns0:c r="F248" s="200"/>
      <ns0:c r="G248" s="200"/>
      <ns0:c r="H248" s="210" t="str">
        <ns0:f>IF('_Engine'!A248=0,"",IF('_Engine'!$B$6&gt;0,"REVIEW",IF('_Engine'!L248&gt;0,"REVIEW",'_Engine'!G248)))</ns0:f>
        <ns0:v/>
      </ns0:c>
      <ns0:c r="I248" s="207"/>
      <ns0:c r="J248" s="208" t="str">
        <ns0:f>IF('_Engine'!K248="OK","OK · "&amp;TEXT('_Dates'!J248,"dd mmm yyyy")&amp;IF('_Dates'!J248='_Dates'!T248,""," → "&amp;TEXT('_Dates'!T248,"dd mmm yyyy")),'_Engine'!K248)</ns0:f>
        <ns0:v/>
      </ns0:c>
    </ns0:row>
    <ns0:row r="249" ht="32" customHeight="1">
      <ns0:c r="A249" s="200"/>
      <ns0:c r="B249" s="201"/>
      <ns0:c r="C249" s="209"/>
      <ns0:c r="D249" s="201"/>
      <ns0:c r="E249" s="209"/>
      <ns0:c r="F249" s="200"/>
      <ns0:c r="G249" s="200"/>
      <ns0:c r="H249" s="210" t="str">
        <ns0:f>IF('_Engine'!A249=0,"",IF('_Engine'!$B$6&gt;0,"REVIEW",IF('_Engine'!L249&gt;0,"REVIEW",'_Engine'!G249)))</ns0:f>
        <ns0:v/>
      </ns0:c>
      <ns0:c r="I249" s="207"/>
      <ns0:c r="J249" s="208" t="str">
        <ns0:f>IF('_Engine'!K249="OK","OK · "&amp;TEXT('_Dates'!J249,"dd mmm yyyy")&amp;IF('_Dates'!J249='_Dates'!T249,""," → "&amp;TEXT('_Dates'!T249,"dd mmm yyyy")),'_Engine'!K249)</ns0:f>
        <ns0:v/>
      </ns0:c>
    </ns0:row>
    <ns0:row r="250" ht="32" customHeight="1">
      <ns0:c r="A250" s="200"/>
      <ns0:c r="B250" s="201"/>
      <ns0:c r="C250" s="209"/>
      <ns0:c r="D250" s="201"/>
      <ns0:c r="E250" s="209"/>
      <ns0:c r="F250" s="200"/>
      <ns0:c r="G250" s="200"/>
      <ns0:c r="H250" s="210" t="str">
        <ns0:f>IF('_Engine'!A250=0,"",IF('_Engine'!$B$6&gt;0,"REVIEW",IF('_Engine'!L250&gt;0,"REVIEW",'_Engine'!G250)))</ns0:f>
        <ns0:v/>
      </ns0:c>
      <ns0:c r="I250" s="207"/>
      <ns0:c r="J250" s="208" t="str">
        <ns0:f>IF('_Engine'!K250="OK","OK · "&amp;TEXT('_Dates'!J250,"dd mmm yyyy")&amp;IF('_Dates'!J250='_Dates'!T250,""," → "&amp;TEXT('_Dates'!T250,"dd mmm yyyy")),'_Engine'!K250)</ns0:f>
        <ns0:v/>
      </ns0:c>
    </ns0:row>
    <ns0:row r="251" ht="32" customHeight="1">
      <ns0:c r="A251" s="200"/>
      <ns0:c r="B251" s="201"/>
      <ns0:c r="C251" s="209"/>
      <ns0:c r="D251" s="201"/>
      <ns0:c r="E251" s="209"/>
      <ns0:c r="F251" s="200"/>
      <ns0:c r="G251" s="200"/>
      <ns0:c r="H251" s="210" t="str">
        <ns0:f>IF('_Engine'!A251=0,"",IF('_Engine'!$B$6&gt;0,"REVIEW",IF('_Engine'!L251&gt;0,"REVIEW",'_Engine'!G251)))</ns0:f>
        <ns0:v/>
      </ns0:c>
      <ns0:c r="I251" s="207"/>
      <ns0:c r="J251" s="208" t="str">
        <ns0:f>IF('_Engine'!K251="OK","OK · "&amp;TEXT('_Dates'!J251,"dd mmm yyyy")&amp;IF('_Dates'!J251='_Dates'!T251,""," → "&amp;TEXT('_Dates'!T251,"dd mmm yyyy")),'_Engine'!K251)</ns0:f>
        <ns0:v/>
      </ns0:c>
    </ns0:row>
    <ns0:row r="252" ht="32" customHeight="1">
      <ns0:c r="A252" s="200"/>
      <ns0:c r="B252" s="201"/>
      <ns0:c r="C252" s="209"/>
      <ns0:c r="D252" s="201"/>
      <ns0:c r="E252" s="209"/>
      <ns0:c r="F252" s="200"/>
      <ns0:c r="G252" s="200"/>
      <ns0:c r="H252" s="210" t="str">
        <ns0:f>IF('_Engine'!A252=0,"",IF('_Engine'!$B$6&gt;0,"REVIEW",IF('_Engine'!L252&gt;0,"REVIEW",'_Engine'!G252)))</ns0:f>
        <ns0:v/>
      </ns0:c>
      <ns0:c r="I252" s="207"/>
      <ns0:c r="J252" s="208" t="str">
        <ns0:f>IF('_Engine'!K252="OK","OK · "&amp;TEXT('_Dates'!J252,"dd mmm yyyy")&amp;IF('_Dates'!J252='_Dates'!T252,""," → "&amp;TEXT('_Dates'!T252,"dd mmm yyyy")),'_Engine'!K252)</ns0:f>
        <ns0:v/>
      </ns0:c>
    </ns0:row>
    <ns0:row r="253" ht="32" customHeight="1">
      <ns0:c r="A253" s="200"/>
      <ns0:c r="B253" s="201"/>
      <ns0:c r="C253" s="209"/>
      <ns0:c r="D253" s="201"/>
      <ns0:c r="E253" s="209"/>
      <ns0:c r="F253" s="200"/>
      <ns0:c r="G253" s="200"/>
      <ns0:c r="H253" s="210" t="str">
        <ns0:f>IF('_Engine'!A253=0,"",IF('_Engine'!$B$6&gt;0,"REVIEW",IF('_Engine'!L253&gt;0,"REVIEW",'_Engine'!G253)))</ns0:f>
        <ns0:v/>
      </ns0:c>
      <ns0:c r="I253" s="207"/>
      <ns0:c r="J253" s="208" t="str">
        <ns0:f>IF('_Engine'!K253="OK","OK · "&amp;TEXT('_Dates'!J253,"dd mmm yyyy")&amp;IF('_Dates'!J253='_Dates'!T253,""," → "&amp;TEXT('_Dates'!T253,"dd mmm yyyy")),'_Engine'!K253)</ns0:f>
        <ns0:v/>
      </ns0:c>
    </ns0:row>
    <ns0:row r="254" ht="32" customHeight="1">
      <ns0:c r="A254" s="200"/>
      <ns0:c r="B254" s="201"/>
      <ns0:c r="C254" s="209"/>
      <ns0:c r="D254" s="201"/>
      <ns0:c r="E254" s="209"/>
      <ns0:c r="F254" s="200"/>
      <ns0:c r="G254" s="200"/>
      <ns0:c r="H254" s="210" t="str">
        <ns0:f>IF('_Engine'!A254=0,"",IF('_Engine'!$B$6&gt;0,"REVIEW",IF('_Engine'!L254&gt;0,"REVIEW",'_Engine'!G254)))</ns0:f>
        <ns0:v/>
      </ns0:c>
      <ns0:c r="I254" s="207"/>
      <ns0:c r="J254" s="208" t="str">
        <ns0:f>IF('_Engine'!K254="OK","OK · "&amp;TEXT('_Dates'!J254,"dd mmm yyyy")&amp;IF('_Dates'!J254='_Dates'!T254,""," → "&amp;TEXT('_Dates'!T254,"dd mmm yyyy")),'_Engine'!K254)</ns0:f>
        <ns0:v/>
      </ns0:c>
    </ns0:row>
    <ns0:row r="255" ht="32" customHeight="1">
      <ns0:c r="A255" s="200"/>
      <ns0:c r="B255" s="201"/>
      <ns0:c r="C255" s="209"/>
      <ns0:c r="D255" s="201"/>
      <ns0:c r="E255" s="209"/>
      <ns0:c r="F255" s="200"/>
      <ns0:c r="G255" s="200"/>
      <ns0:c r="H255" s="210" t="str">
        <ns0:f>IF('_Engine'!A255=0,"",IF('_Engine'!$B$6&gt;0,"REVIEW",IF('_Engine'!L255&gt;0,"REVIEW",'_Engine'!G255)))</ns0:f>
        <ns0:v/>
      </ns0:c>
      <ns0:c r="I255" s="207"/>
      <ns0:c r="J255" s="208" t="str">
        <ns0:f>IF('_Engine'!K255="OK","OK · "&amp;TEXT('_Dates'!J255,"dd mmm yyyy")&amp;IF('_Dates'!J255='_Dates'!T255,""," → "&amp;TEXT('_Dates'!T255,"dd mmm yyyy")),'_Engine'!K255)</ns0:f>
        <ns0:v/>
      </ns0:c>
    </ns0:row>
    <ns0:row r="256" ht="32" customHeight="1">
      <ns0:c r="A256" s="200"/>
      <ns0:c r="B256" s="201"/>
      <ns0:c r="C256" s="209"/>
      <ns0:c r="D256" s="201"/>
      <ns0:c r="E256" s="209"/>
      <ns0:c r="F256" s="200"/>
      <ns0:c r="G256" s="200"/>
      <ns0:c r="H256" s="210" t="str">
        <ns0:f>IF('_Engine'!A256=0,"",IF('_Engine'!$B$6&gt;0,"REVIEW",IF('_Engine'!L256&gt;0,"REVIEW",'_Engine'!G256)))</ns0:f>
        <ns0:v/>
      </ns0:c>
      <ns0:c r="I256" s="207"/>
      <ns0:c r="J256" s="208" t="str">
        <ns0:f>IF('_Engine'!K256="OK","OK · "&amp;TEXT('_Dates'!J256,"dd mmm yyyy")&amp;IF('_Dates'!J256='_Dates'!T256,""," → "&amp;TEXT('_Dates'!T256,"dd mmm yyyy")),'_Engine'!K256)</ns0:f>
        <ns0:v/>
      </ns0:c>
    </ns0:row>
    <ns0:row r="257" ht="32" customHeight="1">
      <ns0:c r="A257" s="200"/>
      <ns0:c r="B257" s="201"/>
      <ns0:c r="C257" s="209"/>
      <ns0:c r="D257" s="201"/>
      <ns0:c r="E257" s="209"/>
      <ns0:c r="F257" s="200"/>
      <ns0:c r="G257" s="200"/>
      <ns0:c r="H257" s="210" t="str">
        <ns0:f>IF('_Engine'!A257=0,"",IF('_Engine'!$B$6&gt;0,"REVIEW",IF('_Engine'!L257&gt;0,"REVIEW",'_Engine'!G257)))</ns0:f>
        <ns0:v/>
      </ns0:c>
      <ns0:c r="I257" s="207"/>
      <ns0:c r="J257" s="208" t="str">
        <ns0:f>IF('_Engine'!K257="OK","OK · "&amp;TEXT('_Dates'!J257,"dd mmm yyyy")&amp;IF('_Dates'!J257='_Dates'!T257,""," → "&amp;TEXT('_Dates'!T257,"dd mmm yyyy")),'_Engine'!K257)</ns0:f>
        <ns0:v/>
      </ns0:c>
    </ns0:row>
    <ns0:row r="258" ht="32" customHeight="1">
      <ns0:c r="A258" s="200"/>
      <ns0:c r="B258" s="201"/>
      <ns0:c r="C258" s="209"/>
      <ns0:c r="D258" s="201"/>
      <ns0:c r="E258" s="209"/>
      <ns0:c r="F258" s="200"/>
      <ns0:c r="G258" s="200"/>
      <ns0:c r="H258" s="210" t="str">
        <ns0:f>IF('_Engine'!A258=0,"",IF('_Engine'!$B$6&gt;0,"REVIEW",IF('_Engine'!L258&gt;0,"REVIEW",'_Engine'!G258)))</ns0:f>
        <ns0:v/>
      </ns0:c>
      <ns0:c r="I258" s="207"/>
      <ns0:c r="J258" s="208" t="str">
        <ns0:f>IF('_Engine'!K258="OK","OK · "&amp;TEXT('_Dates'!J258,"dd mmm yyyy")&amp;IF('_Dates'!J258='_Dates'!T258,""," → "&amp;TEXT('_Dates'!T258,"dd mmm yyyy")),'_Engine'!K258)</ns0:f>
        <ns0:v/>
      </ns0:c>
    </ns0:row>
    <ns0:row r="259" ht="32" customHeight="1">
      <ns0:c r="A259" s="200"/>
      <ns0:c r="B259" s="201"/>
      <ns0:c r="C259" s="209"/>
      <ns0:c r="D259" s="201"/>
      <ns0:c r="E259" s="209"/>
      <ns0:c r="F259" s="200"/>
      <ns0:c r="G259" s="200"/>
      <ns0:c r="H259" s="210" t="str">
        <ns0:f>IF('_Engine'!A259=0,"",IF('_Engine'!$B$6&gt;0,"REVIEW",IF('_Engine'!L259&gt;0,"REVIEW",'_Engine'!G259)))</ns0:f>
        <ns0:v/>
      </ns0:c>
      <ns0:c r="I259" s="207"/>
      <ns0:c r="J259" s="208" t="str">
        <ns0:f>IF('_Engine'!K259="OK","OK · "&amp;TEXT('_Dates'!J259,"dd mmm yyyy")&amp;IF('_Dates'!J259='_Dates'!T259,""," → "&amp;TEXT('_Dates'!T259,"dd mmm yyyy")),'_Engine'!K259)</ns0:f>
        <ns0:v/>
      </ns0:c>
    </ns0:row>
    <ns0:row r="260" ht="32" customHeight="1">
      <ns0:c r="A260" s="200"/>
      <ns0:c r="B260" s="201"/>
      <ns0:c r="C260" s="209"/>
      <ns0:c r="D260" s="201"/>
      <ns0:c r="E260" s="209"/>
      <ns0:c r="F260" s="200"/>
      <ns0:c r="G260" s="200"/>
      <ns0:c r="H260" s="210" t="str">
        <ns0:f>IF('_Engine'!A260=0,"",IF('_Engine'!$B$6&gt;0,"REVIEW",IF('_Engine'!L260&gt;0,"REVIEW",'_Engine'!G260)))</ns0:f>
        <ns0:v/>
      </ns0:c>
      <ns0:c r="I260" s="207"/>
      <ns0:c r="J260" s="208" t="str">
        <ns0:f>IF('_Engine'!K260="OK","OK · "&amp;TEXT('_Dates'!J260,"dd mmm yyyy")&amp;IF('_Dates'!J260='_Dates'!T260,""," → "&amp;TEXT('_Dates'!T260,"dd mmm yyyy")),'_Engine'!K260)</ns0:f>
        <ns0:v/>
      </ns0:c>
    </ns0:row>
    <ns0:row r="261" ht="32" customHeight="1">
      <ns0:c r="A261" s="200"/>
      <ns0:c r="B261" s="201"/>
      <ns0:c r="C261" s="209"/>
      <ns0:c r="D261" s="201"/>
      <ns0:c r="E261" s="209"/>
      <ns0:c r="F261" s="200"/>
      <ns0:c r="G261" s="200"/>
      <ns0:c r="H261" s="210" t="str">
        <ns0:f>IF('_Engine'!A261=0,"",IF('_Engine'!$B$6&gt;0,"REVIEW",IF('_Engine'!L261&gt;0,"REVIEW",'_Engine'!G261)))</ns0:f>
        <ns0:v/>
      </ns0:c>
      <ns0:c r="I261" s="207"/>
      <ns0:c r="J261" s="208" t="str">
        <ns0:f>IF('_Engine'!K261="OK","OK · "&amp;TEXT('_Dates'!J261,"dd mmm yyyy")&amp;IF('_Dates'!J261='_Dates'!T261,""," → "&amp;TEXT('_Dates'!T261,"dd mmm yyyy")),'_Engine'!K261)</ns0:f>
        <ns0:v/>
      </ns0:c>
    </ns0:row>
    <ns0:row r="262" ht="32" customHeight="1">
      <ns0:c r="A262" s="200"/>
      <ns0:c r="B262" s="201"/>
      <ns0:c r="C262" s="209"/>
      <ns0:c r="D262" s="201"/>
      <ns0:c r="E262" s="209"/>
      <ns0:c r="F262" s="200"/>
      <ns0:c r="G262" s="200"/>
      <ns0:c r="H262" s="210" t="str">
        <ns0:f>IF('_Engine'!A262=0,"",IF('_Engine'!$B$6&gt;0,"REVIEW",IF('_Engine'!L262&gt;0,"REVIEW",'_Engine'!G262)))</ns0:f>
        <ns0:v/>
      </ns0:c>
      <ns0:c r="I262" s="207"/>
      <ns0:c r="J262" s="208" t="str">
        <ns0:f>IF('_Engine'!K262="OK","OK · "&amp;TEXT('_Dates'!J262,"dd mmm yyyy")&amp;IF('_Dates'!J262='_Dates'!T262,""," → "&amp;TEXT('_Dates'!T262,"dd mmm yyyy")),'_Engine'!K262)</ns0:f>
        <ns0:v/>
      </ns0:c>
    </ns0:row>
    <ns0:row r="263" ht="32" customHeight="1">
      <ns0:c r="A263" s="200"/>
      <ns0:c r="B263" s="201"/>
      <ns0:c r="C263" s="209"/>
      <ns0:c r="D263" s="201"/>
      <ns0:c r="E263" s="209"/>
      <ns0:c r="F263" s="200"/>
      <ns0:c r="G263" s="200"/>
      <ns0:c r="H263" s="210" t="str">
        <ns0:f>IF('_Engine'!A263=0,"",IF('_Engine'!$B$6&gt;0,"REVIEW",IF('_Engine'!L263&gt;0,"REVIEW",'_Engine'!G263)))</ns0:f>
        <ns0:v/>
      </ns0:c>
      <ns0:c r="I263" s="207"/>
      <ns0:c r="J263" s="208" t="str">
        <ns0:f>IF('_Engine'!K263="OK","OK · "&amp;TEXT('_Dates'!J263,"dd mmm yyyy")&amp;IF('_Dates'!J263='_Dates'!T263,""," → "&amp;TEXT('_Dates'!T263,"dd mmm yyyy")),'_Engine'!K263)</ns0:f>
        <ns0:v/>
      </ns0:c>
    </ns0:row>
    <ns0:row r="264" ht="32" customHeight="1">
      <ns0:c r="A264" s="200"/>
      <ns0:c r="B264" s="201"/>
      <ns0:c r="C264" s="209"/>
      <ns0:c r="D264" s="201"/>
      <ns0:c r="E264" s="209"/>
      <ns0:c r="F264" s="200"/>
      <ns0:c r="G264" s="200"/>
      <ns0:c r="H264" s="210" t="str">
        <ns0:f>IF('_Engine'!A264=0,"",IF('_Engine'!$B$6&gt;0,"REVIEW",IF('_Engine'!L264&gt;0,"REVIEW",'_Engine'!G264)))</ns0:f>
        <ns0:v/>
      </ns0:c>
      <ns0:c r="I264" s="207"/>
      <ns0:c r="J264" s="208" t="str">
        <ns0:f>IF('_Engine'!K264="OK","OK · "&amp;TEXT('_Dates'!J264,"dd mmm yyyy")&amp;IF('_Dates'!J264='_Dates'!T264,""," → "&amp;TEXT('_Dates'!T264,"dd mmm yyyy")),'_Engine'!K264)</ns0:f>
        <ns0:v/>
      </ns0:c>
    </ns0:row>
    <ns0:row r="265" ht="32" customHeight="1">
      <ns0:c r="A265" s="200"/>
      <ns0:c r="B265" s="201"/>
      <ns0:c r="C265" s="209"/>
      <ns0:c r="D265" s="201"/>
      <ns0:c r="E265" s="209"/>
      <ns0:c r="F265" s="200"/>
      <ns0:c r="G265" s="200"/>
      <ns0:c r="H265" s="210" t="str">
        <ns0:f>IF('_Engine'!A265=0,"",IF('_Engine'!$B$6&gt;0,"REVIEW",IF('_Engine'!L265&gt;0,"REVIEW",'_Engine'!G265)))</ns0:f>
        <ns0:v/>
      </ns0:c>
      <ns0:c r="I265" s="207"/>
      <ns0:c r="J265" s="208" t="str">
        <ns0:f>IF('_Engine'!K265="OK","OK · "&amp;TEXT('_Dates'!J265,"dd mmm yyyy")&amp;IF('_Dates'!J265='_Dates'!T265,""," → "&amp;TEXT('_Dates'!T265,"dd mmm yyyy")),'_Engine'!K265)</ns0:f>
        <ns0:v/>
      </ns0:c>
    </ns0:row>
    <ns0:row r="266" ht="32" customHeight="1">
      <ns0:c r="A266" s="200"/>
      <ns0:c r="B266" s="201"/>
      <ns0:c r="C266" s="209"/>
      <ns0:c r="D266" s="201"/>
      <ns0:c r="E266" s="209"/>
      <ns0:c r="F266" s="200"/>
      <ns0:c r="G266" s="200"/>
      <ns0:c r="H266" s="210" t="str">
        <ns0:f>IF('_Engine'!A266=0,"",IF('_Engine'!$B$6&gt;0,"REVIEW",IF('_Engine'!L266&gt;0,"REVIEW",'_Engine'!G266)))</ns0:f>
        <ns0:v/>
      </ns0:c>
      <ns0:c r="I266" s="207"/>
      <ns0:c r="J266" s="208" t="str">
        <ns0:f>IF('_Engine'!K266="OK","OK · "&amp;TEXT('_Dates'!J266,"dd mmm yyyy")&amp;IF('_Dates'!J266='_Dates'!T266,""," → "&amp;TEXT('_Dates'!T266,"dd mmm yyyy")),'_Engine'!K266)</ns0:f>
        <ns0:v/>
      </ns0:c>
    </ns0:row>
    <ns0:row r="267" ht="32" customHeight="1">
      <ns0:c r="A267" s="200"/>
      <ns0:c r="B267" s="201"/>
      <ns0:c r="C267" s="209"/>
      <ns0:c r="D267" s="201"/>
      <ns0:c r="E267" s="209"/>
      <ns0:c r="F267" s="200"/>
      <ns0:c r="G267" s="200"/>
      <ns0:c r="H267" s="210" t="str">
        <ns0:f>IF('_Engine'!A267=0,"",IF('_Engine'!$B$6&gt;0,"REVIEW",IF('_Engine'!L267&gt;0,"REVIEW",'_Engine'!G267)))</ns0:f>
        <ns0:v/>
      </ns0:c>
      <ns0:c r="I267" s="207"/>
      <ns0:c r="J267" s="208" t="str">
        <ns0:f>IF('_Engine'!K267="OK","OK · "&amp;TEXT('_Dates'!J267,"dd mmm yyyy")&amp;IF('_Dates'!J267='_Dates'!T267,""," → "&amp;TEXT('_Dates'!T267,"dd mmm yyyy")),'_Engine'!K267)</ns0:f>
        <ns0:v/>
      </ns0:c>
    </ns0:row>
    <ns0:row r="268" ht="32" customHeight="1">
      <ns0:c r="A268" s="200"/>
      <ns0:c r="B268" s="201"/>
      <ns0:c r="C268" s="209"/>
      <ns0:c r="D268" s="201"/>
      <ns0:c r="E268" s="209"/>
      <ns0:c r="F268" s="200"/>
      <ns0:c r="G268" s="200"/>
      <ns0:c r="H268" s="210" t="str">
        <ns0:f>IF('_Engine'!A268=0,"",IF('_Engine'!$B$6&gt;0,"REVIEW",IF('_Engine'!L268&gt;0,"REVIEW",'_Engine'!G268)))</ns0:f>
        <ns0:v/>
      </ns0:c>
      <ns0:c r="I268" s="207"/>
      <ns0:c r="J268" s="208" t="str">
        <ns0:f>IF('_Engine'!K268="OK","OK · "&amp;TEXT('_Dates'!J268,"dd mmm yyyy")&amp;IF('_Dates'!J268='_Dates'!T268,""," → "&amp;TEXT('_Dates'!T268,"dd mmm yyyy")),'_Engine'!K268)</ns0:f>
        <ns0:v/>
      </ns0:c>
    </ns0:row>
    <ns0:row r="269" ht="32" customHeight="1">
      <ns0:c r="A269" s="200"/>
      <ns0:c r="B269" s="201"/>
      <ns0:c r="C269" s="209"/>
      <ns0:c r="D269" s="201"/>
      <ns0:c r="E269" s="209"/>
      <ns0:c r="F269" s="200"/>
      <ns0:c r="G269" s="200"/>
      <ns0:c r="H269" s="210" t="str">
        <ns0:f>IF('_Engine'!A269=0,"",IF('_Engine'!$B$6&gt;0,"REVIEW",IF('_Engine'!L269&gt;0,"REVIEW",'_Engine'!G269)))</ns0:f>
        <ns0:v/>
      </ns0:c>
      <ns0:c r="I269" s="207"/>
      <ns0:c r="J269" s="208" t="str">
        <ns0:f>IF('_Engine'!K269="OK","OK · "&amp;TEXT('_Dates'!J269,"dd mmm yyyy")&amp;IF('_Dates'!J269='_Dates'!T269,""," → "&amp;TEXT('_Dates'!T269,"dd mmm yyyy")),'_Engine'!K269)</ns0:f>
        <ns0:v/>
      </ns0:c>
    </ns0:row>
    <ns0:row r="270" ht="32" customHeight="1">
      <ns0:c r="A270" s="200"/>
      <ns0:c r="B270" s="201"/>
      <ns0:c r="C270" s="209"/>
      <ns0:c r="D270" s="201"/>
      <ns0:c r="E270" s="209"/>
      <ns0:c r="F270" s="200"/>
      <ns0:c r="G270" s="200"/>
      <ns0:c r="H270" s="210" t="str">
        <ns0:f>IF('_Engine'!A270=0,"",IF('_Engine'!$B$6&gt;0,"REVIEW",IF('_Engine'!L270&gt;0,"REVIEW",'_Engine'!G270)))</ns0:f>
        <ns0:v/>
      </ns0:c>
      <ns0:c r="I270" s="207"/>
      <ns0:c r="J270" s="208" t="str">
        <ns0:f>IF('_Engine'!K270="OK","OK · "&amp;TEXT('_Dates'!J270,"dd mmm yyyy")&amp;IF('_Dates'!J270='_Dates'!T270,""," → "&amp;TEXT('_Dates'!T270,"dd mmm yyyy")),'_Engine'!K270)</ns0:f>
        <ns0:v/>
      </ns0:c>
    </ns0:row>
    <ns0:row r="271" ht="32" customHeight="1">
      <ns0:c r="A271" s="200"/>
      <ns0:c r="B271" s="201"/>
      <ns0:c r="C271" s="209"/>
      <ns0:c r="D271" s="201"/>
      <ns0:c r="E271" s="209"/>
      <ns0:c r="F271" s="200"/>
      <ns0:c r="G271" s="200"/>
      <ns0:c r="H271" s="210" t="str">
        <ns0:f>IF('_Engine'!A271=0,"",IF('_Engine'!$B$6&gt;0,"REVIEW",IF('_Engine'!L271&gt;0,"REVIEW",'_Engine'!G271)))</ns0:f>
        <ns0:v/>
      </ns0:c>
      <ns0:c r="I271" s="207"/>
      <ns0:c r="J271" s="208" t="str">
        <ns0:f>IF('_Engine'!K271="OK","OK · "&amp;TEXT('_Dates'!J271,"dd mmm yyyy")&amp;IF('_Dates'!J271='_Dates'!T271,""," → "&amp;TEXT('_Dates'!T271,"dd mmm yyyy")),'_Engine'!K271)</ns0:f>
        <ns0:v/>
      </ns0:c>
    </ns0:row>
    <ns0:row r="272" ht="32" customHeight="1">
      <ns0:c r="A272" s="200"/>
      <ns0:c r="B272" s="201"/>
      <ns0:c r="C272" s="209"/>
      <ns0:c r="D272" s="201"/>
      <ns0:c r="E272" s="209"/>
      <ns0:c r="F272" s="200"/>
      <ns0:c r="G272" s="200"/>
      <ns0:c r="H272" s="210" t="str">
        <ns0:f>IF('_Engine'!A272=0,"",IF('_Engine'!$B$6&gt;0,"REVIEW",IF('_Engine'!L272&gt;0,"REVIEW",'_Engine'!G272)))</ns0:f>
        <ns0:v/>
      </ns0:c>
      <ns0:c r="I272" s="207"/>
      <ns0:c r="J272" s="208" t="str">
        <ns0:f>IF('_Engine'!K272="OK","OK · "&amp;TEXT('_Dates'!J272,"dd mmm yyyy")&amp;IF('_Dates'!J272='_Dates'!T272,""," → "&amp;TEXT('_Dates'!T272,"dd mmm yyyy")),'_Engine'!K272)</ns0:f>
        <ns0:v/>
      </ns0:c>
    </ns0:row>
    <ns0:row r="273" ht="32" customHeight="1">
      <ns0:c r="A273" s="200"/>
      <ns0:c r="B273" s="201"/>
      <ns0:c r="C273" s="209"/>
      <ns0:c r="D273" s="201"/>
      <ns0:c r="E273" s="209"/>
      <ns0:c r="F273" s="200"/>
      <ns0:c r="G273" s="200"/>
      <ns0:c r="H273" s="210" t="str">
        <ns0:f>IF('_Engine'!A273=0,"",IF('_Engine'!$B$6&gt;0,"REVIEW",IF('_Engine'!L273&gt;0,"REVIEW",'_Engine'!G273)))</ns0:f>
        <ns0:v/>
      </ns0:c>
      <ns0:c r="I273" s="207"/>
      <ns0:c r="J273" s="208" t="str">
        <ns0:f>IF('_Engine'!K273="OK","OK · "&amp;TEXT('_Dates'!J273,"dd mmm yyyy")&amp;IF('_Dates'!J273='_Dates'!T273,""," → "&amp;TEXT('_Dates'!T273,"dd mmm yyyy")),'_Engine'!K273)</ns0:f>
        <ns0:v/>
      </ns0:c>
    </ns0:row>
    <ns0:row r="274" ht="32" customHeight="1">
      <ns0:c r="A274" s="200"/>
      <ns0:c r="B274" s="201"/>
      <ns0:c r="C274" s="209"/>
      <ns0:c r="D274" s="201"/>
      <ns0:c r="E274" s="209"/>
      <ns0:c r="F274" s="200"/>
      <ns0:c r="G274" s="200"/>
      <ns0:c r="H274" s="210" t="str">
        <ns0:f>IF('_Engine'!A274=0,"",IF('_Engine'!$B$6&gt;0,"REVIEW",IF('_Engine'!L274&gt;0,"REVIEW",'_Engine'!G274)))</ns0:f>
        <ns0:v/>
      </ns0:c>
      <ns0:c r="I274" s="207"/>
      <ns0:c r="J274" s="208" t="str">
        <ns0:f>IF('_Engine'!K274="OK","OK · "&amp;TEXT('_Dates'!J274,"dd mmm yyyy")&amp;IF('_Dates'!J274='_Dates'!T274,""," → "&amp;TEXT('_Dates'!T274,"dd mmm yyyy")),'_Engine'!K274)</ns0:f>
        <ns0:v/>
      </ns0:c>
    </ns0:row>
    <ns0:row r="275" ht="32" customHeight="1">
      <ns0:c r="A275" s="200"/>
      <ns0:c r="B275" s="201"/>
      <ns0:c r="C275" s="209"/>
      <ns0:c r="D275" s="201"/>
      <ns0:c r="E275" s="209"/>
      <ns0:c r="F275" s="200"/>
      <ns0:c r="G275" s="200"/>
      <ns0:c r="H275" s="210" t="str">
        <ns0:f>IF('_Engine'!A275=0,"",IF('_Engine'!$B$6&gt;0,"REVIEW",IF('_Engine'!L275&gt;0,"REVIEW",'_Engine'!G275)))</ns0:f>
        <ns0:v/>
      </ns0:c>
      <ns0:c r="I275" s="207"/>
      <ns0:c r="J275" s="208" t="str">
        <ns0:f>IF('_Engine'!K275="OK","OK · "&amp;TEXT('_Dates'!J275,"dd mmm yyyy")&amp;IF('_Dates'!J275='_Dates'!T275,""," → "&amp;TEXT('_Dates'!T275,"dd mmm yyyy")),'_Engine'!K275)</ns0:f>
        <ns0:v/>
      </ns0:c>
    </ns0:row>
    <ns0:row r="276" ht="32" customHeight="1">
      <ns0:c r="A276" s="200"/>
      <ns0:c r="B276" s="201"/>
      <ns0:c r="C276" s="209"/>
      <ns0:c r="D276" s="201"/>
      <ns0:c r="E276" s="209"/>
      <ns0:c r="F276" s="200"/>
      <ns0:c r="G276" s="200"/>
      <ns0:c r="H276" s="210" t="str">
        <ns0:f>IF('_Engine'!A276=0,"",IF('_Engine'!$B$6&gt;0,"REVIEW",IF('_Engine'!L276&gt;0,"REVIEW",'_Engine'!G276)))</ns0:f>
        <ns0:v/>
      </ns0:c>
      <ns0:c r="I276" s="207"/>
      <ns0:c r="J276" s="208" t="str">
        <ns0:f>IF('_Engine'!K276="OK","OK · "&amp;TEXT('_Dates'!J276,"dd mmm yyyy")&amp;IF('_Dates'!J276='_Dates'!T276,""," → "&amp;TEXT('_Dates'!T276,"dd mmm yyyy")),'_Engine'!K276)</ns0:f>
        <ns0:v/>
      </ns0:c>
    </ns0:row>
    <ns0:row r="277" ht="32" customHeight="1">
      <ns0:c r="A277" s="200"/>
      <ns0:c r="B277" s="201"/>
      <ns0:c r="C277" s="209"/>
      <ns0:c r="D277" s="201"/>
      <ns0:c r="E277" s="209"/>
      <ns0:c r="F277" s="200"/>
      <ns0:c r="G277" s="200"/>
      <ns0:c r="H277" s="210" t="str">
        <ns0:f>IF('_Engine'!A277=0,"",IF('_Engine'!$B$6&gt;0,"REVIEW",IF('_Engine'!L277&gt;0,"REVIEW",'_Engine'!G277)))</ns0:f>
        <ns0:v/>
      </ns0:c>
      <ns0:c r="I277" s="207"/>
      <ns0:c r="J277" s="208" t="str">
        <ns0:f>IF('_Engine'!K277="OK","OK · "&amp;TEXT('_Dates'!J277,"dd mmm yyyy")&amp;IF('_Dates'!J277='_Dates'!T277,""," → "&amp;TEXT('_Dates'!T277,"dd mmm yyyy")),'_Engine'!K277)</ns0:f>
        <ns0:v/>
      </ns0:c>
    </ns0:row>
    <ns0:row r="278" ht="32" customHeight="1">
      <ns0:c r="A278" s="200"/>
      <ns0:c r="B278" s="201"/>
      <ns0:c r="C278" s="209"/>
      <ns0:c r="D278" s="201"/>
      <ns0:c r="E278" s="209"/>
      <ns0:c r="F278" s="200"/>
      <ns0:c r="G278" s="200"/>
      <ns0:c r="H278" s="210" t="str">
        <ns0:f>IF('_Engine'!A278=0,"",IF('_Engine'!$B$6&gt;0,"REVIEW",IF('_Engine'!L278&gt;0,"REVIEW",'_Engine'!G278)))</ns0:f>
        <ns0:v/>
      </ns0:c>
      <ns0:c r="I278" s="207"/>
      <ns0:c r="J278" s="208" t="str">
        <ns0:f>IF('_Engine'!K278="OK","OK · "&amp;TEXT('_Dates'!J278,"dd mmm yyyy")&amp;IF('_Dates'!J278='_Dates'!T278,""," → "&amp;TEXT('_Dates'!T278,"dd mmm yyyy")),'_Engine'!K278)</ns0:f>
        <ns0:v/>
      </ns0:c>
    </ns0:row>
    <ns0:row r="279" ht="32" customHeight="1">
      <ns0:c r="A279" s="200"/>
      <ns0:c r="B279" s="201"/>
      <ns0:c r="C279" s="209"/>
      <ns0:c r="D279" s="201"/>
      <ns0:c r="E279" s="209"/>
      <ns0:c r="F279" s="200"/>
      <ns0:c r="G279" s="200"/>
      <ns0:c r="H279" s="210" t="str">
        <ns0:f>IF('_Engine'!A279=0,"",IF('_Engine'!$B$6&gt;0,"REVIEW",IF('_Engine'!L279&gt;0,"REVIEW",'_Engine'!G279)))</ns0:f>
        <ns0:v/>
      </ns0:c>
      <ns0:c r="I279" s="207"/>
      <ns0:c r="J279" s="208" t="str">
        <ns0:f>IF('_Engine'!K279="OK","OK · "&amp;TEXT('_Dates'!J279,"dd mmm yyyy")&amp;IF('_Dates'!J279='_Dates'!T279,""," → "&amp;TEXT('_Dates'!T279,"dd mmm yyyy")),'_Engine'!K279)</ns0:f>
        <ns0:v/>
      </ns0:c>
    </ns0:row>
    <ns0:row r="280" ht="32" customHeight="1">
      <ns0:c r="A280" s="200"/>
      <ns0:c r="B280" s="201"/>
      <ns0:c r="C280" s="209"/>
      <ns0:c r="D280" s="201"/>
      <ns0:c r="E280" s="209"/>
      <ns0:c r="F280" s="200"/>
      <ns0:c r="G280" s="200"/>
      <ns0:c r="H280" s="210" t="str">
        <ns0:f>IF('_Engine'!A280=0,"",IF('_Engine'!$B$6&gt;0,"REVIEW",IF('_Engine'!L280&gt;0,"REVIEW",'_Engine'!G280)))</ns0:f>
        <ns0:v/>
      </ns0:c>
      <ns0:c r="I280" s="207"/>
      <ns0:c r="J280" s="208" t="str">
        <ns0:f>IF('_Engine'!K280="OK","OK · "&amp;TEXT('_Dates'!J280,"dd mmm yyyy")&amp;IF('_Dates'!J280='_Dates'!T280,""," → "&amp;TEXT('_Dates'!T280,"dd mmm yyyy")),'_Engine'!K280)</ns0:f>
        <ns0:v/>
      </ns0:c>
    </ns0:row>
    <ns0:row r="281" ht="32" customHeight="1">
      <ns0:c r="A281" s="200"/>
      <ns0:c r="B281" s="201"/>
      <ns0:c r="C281" s="209"/>
      <ns0:c r="D281" s="201"/>
      <ns0:c r="E281" s="209"/>
      <ns0:c r="F281" s="200"/>
      <ns0:c r="G281" s="200"/>
      <ns0:c r="H281" s="210" t="str">
        <ns0:f>IF('_Engine'!A281=0,"",IF('_Engine'!$B$6&gt;0,"REVIEW",IF('_Engine'!L281&gt;0,"REVIEW",'_Engine'!G281)))</ns0:f>
        <ns0:v/>
      </ns0:c>
      <ns0:c r="I281" s="207"/>
      <ns0:c r="J281" s="208" t="str">
        <ns0:f>IF('_Engine'!K281="OK","OK · "&amp;TEXT('_Dates'!J281,"dd mmm yyyy")&amp;IF('_Dates'!J281='_Dates'!T281,""," → "&amp;TEXT('_Dates'!T281,"dd mmm yyyy")),'_Engine'!K281)</ns0:f>
        <ns0:v/>
      </ns0:c>
    </ns0:row>
    <ns0:row r="282" ht="32" customHeight="1">
      <ns0:c r="A282" s="200"/>
      <ns0:c r="B282" s="201"/>
      <ns0:c r="C282" s="209"/>
      <ns0:c r="D282" s="201"/>
      <ns0:c r="E282" s="209"/>
      <ns0:c r="F282" s="200"/>
      <ns0:c r="G282" s="200"/>
      <ns0:c r="H282" s="210" t="str">
        <ns0:f>IF('_Engine'!A282=0,"",IF('_Engine'!$B$6&gt;0,"REVIEW",IF('_Engine'!L282&gt;0,"REVIEW",'_Engine'!G282)))</ns0:f>
        <ns0:v/>
      </ns0:c>
      <ns0:c r="I282" s="207"/>
      <ns0:c r="J282" s="208" t="str">
        <ns0:f>IF('_Engine'!K282="OK","OK · "&amp;TEXT('_Dates'!J282,"dd mmm yyyy")&amp;IF('_Dates'!J282='_Dates'!T282,""," → "&amp;TEXT('_Dates'!T282,"dd mmm yyyy")),'_Engine'!K282)</ns0:f>
        <ns0:v/>
      </ns0:c>
    </ns0:row>
    <ns0:row r="283" ht="32" customHeight="1">
      <ns0:c r="A283" s="200"/>
      <ns0:c r="B283" s="201"/>
      <ns0:c r="C283" s="209"/>
      <ns0:c r="D283" s="201"/>
      <ns0:c r="E283" s="209"/>
      <ns0:c r="F283" s="200"/>
      <ns0:c r="G283" s="200"/>
      <ns0:c r="H283" s="210" t="str">
        <ns0:f>IF('_Engine'!A283=0,"",IF('_Engine'!$B$6&gt;0,"REVIEW",IF('_Engine'!L283&gt;0,"REVIEW",'_Engine'!G283)))</ns0:f>
        <ns0:v/>
      </ns0:c>
      <ns0:c r="I283" s="207"/>
      <ns0:c r="J283" s="208" t="str">
        <ns0:f>IF('_Engine'!K283="OK","OK · "&amp;TEXT('_Dates'!J283,"dd mmm yyyy")&amp;IF('_Dates'!J283='_Dates'!T283,""," → "&amp;TEXT('_Dates'!T283,"dd mmm yyyy")),'_Engine'!K283)</ns0:f>
        <ns0:v/>
      </ns0:c>
    </ns0:row>
    <ns0:row r="284" ht="32" customHeight="1">
      <ns0:c r="A284" s="200"/>
      <ns0:c r="B284" s="201"/>
      <ns0:c r="C284" s="209"/>
      <ns0:c r="D284" s="201"/>
      <ns0:c r="E284" s="209"/>
      <ns0:c r="F284" s="200"/>
      <ns0:c r="G284" s="200"/>
      <ns0:c r="H284" s="210" t="str">
        <ns0:f>IF('_Engine'!A284=0,"",IF('_Engine'!$B$6&gt;0,"REVIEW",IF('_Engine'!L284&gt;0,"REVIEW",'_Engine'!G284)))</ns0:f>
        <ns0:v/>
      </ns0:c>
      <ns0:c r="I284" s="207"/>
      <ns0:c r="J284" s="208" t="str">
        <ns0:f>IF('_Engine'!K284="OK","OK · "&amp;TEXT('_Dates'!J284,"dd mmm yyyy")&amp;IF('_Dates'!J284='_Dates'!T284,""," → "&amp;TEXT('_Dates'!T284,"dd mmm yyyy")),'_Engine'!K284)</ns0:f>
        <ns0:v/>
      </ns0:c>
    </ns0:row>
    <ns0:row r="285" ht="32" customHeight="1">
      <ns0:c r="A285" s="200"/>
      <ns0:c r="B285" s="201"/>
      <ns0:c r="C285" s="209"/>
      <ns0:c r="D285" s="201"/>
      <ns0:c r="E285" s="209"/>
      <ns0:c r="F285" s="200"/>
      <ns0:c r="G285" s="200"/>
      <ns0:c r="H285" s="210" t="str">
        <ns0:f>IF('_Engine'!A285=0,"",IF('_Engine'!$B$6&gt;0,"REVIEW",IF('_Engine'!L285&gt;0,"REVIEW",'_Engine'!G285)))</ns0:f>
        <ns0:v/>
      </ns0:c>
      <ns0:c r="I285" s="207"/>
      <ns0:c r="J285" s="208" t="str">
        <ns0:f>IF('_Engine'!K285="OK","OK · "&amp;TEXT('_Dates'!J285,"dd mmm yyyy")&amp;IF('_Dates'!J285='_Dates'!T285,""," → "&amp;TEXT('_Dates'!T285,"dd mmm yyyy")),'_Engine'!K285)</ns0:f>
        <ns0:v/>
      </ns0:c>
    </ns0:row>
    <ns0:row r="286" ht="32" customHeight="1">
      <ns0:c r="A286" s="200"/>
      <ns0:c r="B286" s="201"/>
      <ns0:c r="C286" s="209"/>
      <ns0:c r="D286" s="201"/>
      <ns0:c r="E286" s="209"/>
      <ns0:c r="F286" s="200"/>
      <ns0:c r="G286" s="200"/>
      <ns0:c r="H286" s="210" t="str">
        <ns0:f>IF('_Engine'!A286=0,"",IF('_Engine'!$B$6&gt;0,"REVIEW",IF('_Engine'!L286&gt;0,"REVIEW",'_Engine'!G286)))</ns0:f>
        <ns0:v/>
      </ns0:c>
      <ns0:c r="I286" s="207"/>
      <ns0:c r="J286" s="208" t="str">
        <ns0:f>IF('_Engine'!K286="OK","OK · "&amp;TEXT('_Dates'!J286,"dd mmm yyyy")&amp;IF('_Dates'!J286='_Dates'!T286,""," → "&amp;TEXT('_Dates'!T286,"dd mmm yyyy")),'_Engine'!K286)</ns0:f>
        <ns0:v/>
      </ns0:c>
    </ns0:row>
    <ns0:row r="287" ht="32" customHeight="1">
      <ns0:c r="A287" s="200"/>
      <ns0:c r="B287" s="201"/>
      <ns0:c r="C287" s="209"/>
      <ns0:c r="D287" s="201"/>
      <ns0:c r="E287" s="209"/>
      <ns0:c r="F287" s="200"/>
      <ns0:c r="G287" s="200"/>
      <ns0:c r="H287" s="210" t="str">
        <ns0:f>IF('_Engine'!A287=0,"",IF('_Engine'!$B$6&gt;0,"REVIEW",IF('_Engine'!L287&gt;0,"REVIEW",'_Engine'!G287)))</ns0:f>
        <ns0:v/>
      </ns0:c>
      <ns0:c r="I287" s="207"/>
      <ns0:c r="J287" s="208" t="str">
        <ns0:f>IF('_Engine'!K287="OK","OK · "&amp;TEXT('_Dates'!J287,"dd mmm yyyy")&amp;IF('_Dates'!J287='_Dates'!T287,""," → "&amp;TEXT('_Dates'!T287,"dd mmm yyyy")),'_Engine'!K287)</ns0:f>
        <ns0:v/>
      </ns0:c>
    </ns0:row>
    <ns0:row r="288" ht="32" customHeight="1">
      <ns0:c r="A288" s="200"/>
      <ns0:c r="B288" s="201"/>
      <ns0:c r="C288" s="209"/>
      <ns0:c r="D288" s="201"/>
      <ns0:c r="E288" s="209"/>
      <ns0:c r="F288" s="200"/>
      <ns0:c r="G288" s="200"/>
      <ns0:c r="H288" s="210" t="str">
        <ns0:f>IF('_Engine'!A288=0,"",IF('_Engine'!$B$6&gt;0,"REVIEW",IF('_Engine'!L288&gt;0,"REVIEW",'_Engine'!G288)))</ns0:f>
        <ns0:v/>
      </ns0:c>
      <ns0:c r="I288" s="207"/>
      <ns0:c r="J288" s="208" t="str">
        <ns0:f>IF('_Engine'!K288="OK","OK · "&amp;TEXT('_Dates'!J288,"dd mmm yyyy")&amp;IF('_Dates'!J288='_Dates'!T288,""," → "&amp;TEXT('_Dates'!T288,"dd mmm yyyy")),'_Engine'!K288)</ns0:f>
        <ns0:v/>
      </ns0:c>
    </ns0:row>
    <ns0:row r="289" ht="32" customHeight="1">
      <ns0:c r="A289" s="200"/>
      <ns0:c r="B289" s="201"/>
      <ns0:c r="C289" s="209"/>
      <ns0:c r="D289" s="201"/>
      <ns0:c r="E289" s="209"/>
      <ns0:c r="F289" s="200"/>
      <ns0:c r="G289" s="200"/>
      <ns0:c r="H289" s="210" t="str">
        <ns0:f>IF('_Engine'!A289=0,"",IF('_Engine'!$B$6&gt;0,"REVIEW",IF('_Engine'!L289&gt;0,"REVIEW",'_Engine'!G289)))</ns0:f>
        <ns0:v/>
      </ns0:c>
      <ns0:c r="I289" s="207"/>
      <ns0:c r="J289" s="208" t="str">
        <ns0:f>IF('_Engine'!K289="OK","OK · "&amp;TEXT('_Dates'!J289,"dd mmm yyyy")&amp;IF('_Dates'!J289='_Dates'!T289,""," → "&amp;TEXT('_Dates'!T289,"dd mmm yyyy")),'_Engine'!K289)</ns0:f>
        <ns0:v/>
      </ns0:c>
    </ns0:row>
    <ns0:row r="290" ht="32" customHeight="1">
      <ns0:c r="A290" s="200"/>
      <ns0:c r="B290" s="201"/>
      <ns0:c r="C290" s="209"/>
      <ns0:c r="D290" s="201"/>
      <ns0:c r="E290" s="209"/>
      <ns0:c r="F290" s="200"/>
      <ns0:c r="G290" s="200"/>
      <ns0:c r="H290" s="210" t="str">
        <ns0:f>IF('_Engine'!A290=0,"",IF('_Engine'!$B$6&gt;0,"REVIEW",IF('_Engine'!L290&gt;0,"REVIEW",'_Engine'!G290)))</ns0:f>
        <ns0:v/>
      </ns0:c>
      <ns0:c r="I290" s="207"/>
      <ns0:c r="J290" s="208" t="str">
        <ns0:f>IF('_Engine'!K290="OK","OK · "&amp;TEXT('_Dates'!J290,"dd mmm yyyy")&amp;IF('_Dates'!J290='_Dates'!T290,""," → "&amp;TEXT('_Dates'!T290,"dd mmm yyyy")),'_Engine'!K290)</ns0:f>
        <ns0:v/>
      </ns0:c>
    </ns0:row>
    <ns0:row r="291" ht="32" customHeight="1">
      <ns0:c r="A291" s="200"/>
      <ns0:c r="B291" s="201"/>
      <ns0:c r="C291" s="209"/>
      <ns0:c r="D291" s="201"/>
      <ns0:c r="E291" s="209"/>
      <ns0:c r="F291" s="200"/>
      <ns0:c r="G291" s="200"/>
      <ns0:c r="H291" s="210" t="str">
        <ns0:f>IF('_Engine'!A291=0,"",IF('_Engine'!$B$6&gt;0,"REVIEW",IF('_Engine'!L291&gt;0,"REVIEW",'_Engine'!G291)))</ns0:f>
        <ns0:v/>
      </ns0:c>
      <ns0:c r="I291" s="207"/>
      <ns0:c r="J291" s="208" t="str">
        <ns0:f>IF('_Engine'!K291="OK","OK · "&amp;TEXT('_Dates'!J291,"dd mmm yyyy")&amp;IF('_Dates'!J291='_Dates'!T291,""," → "&amp;TEXT('_Dates'!T291,"dd mmm yyyy")),'_Engine'!K291)</ns0:f>
        <ns0:v/>
      </ns0:c>
    </ns0:row>
    <ns0:row r="292" ht="32" customHeight="1">
      <ns0:c r="A292" s="200"/>
      <ns0:c r="B292" s="201"/>
      <ns0:c r="C292" s="209"/>
      <ns0:c r="D292" s="201"/>
      <ns0:c r="E292" s="209"/>
      <ns0:c r="F292" s="200"/>
      <ns0:c r="G292" s="200"/>
      <ns0:c r="H292" s="210" t="str">
        <ns0:f>IF('_Engine'!A292=0,"",IF('_Engine'!$B$6&gt;0,"REVIEW",IF('_Engine'!L292&gt;0,"REVIEW",'_Engine'!G292)))</ns0:f>
        <ns0:v/>
      </ns0:c>
      <ns0:c r="I292" s="207"/>
      <ns0:c r="J292" s="208" t="str">
        <ns0:f>IF('_Engine'!K292="OK","OK · "&amp;TEXT('_Dates'!J292,"dd mmm yyyy")&amp;IF('_Dates'!J292='_Dates'!T292,""," → "&amp;TEXT('_Dates'!T292,"dd mmm yyyy")),'_Engine'!K292)</ns0:f>
        <ns0:v/>
      </ns0:c>
    </ns0:row>
    <ns0:row r="293" ht="32" customHeight="1">
      <ns0:c r="A293" s="200"/>
      <ns0:c r="B293" s="201"/>
      <ns0:c r="C293" s="209"/>
      <ns0:c r="D293" s="201"/>
      <ns0:c r="E293" s="209"/>
      <ns0:c r="F293" s="200"/>
      <ns0:c r="G293" s="200"/>
      <ns0:c r="H293" s="210" t="str">
        <ns0:f>IF('_Engine'!A293=0,"",IF('_Engine'!$B$6&gt;0,"REVIEW",IF('_Engine'!L293&gt;0,"REVIEW",'_Engine'!G293)))</ns0:f>
        <ns0:v/>
      </ns0:c>
      <ns0:c r="I293" s="207"/>
      <ns0:c r="J293" s="208" t="str">
        <ns0:f>IF('_Engine'!K293="OK","OK · "&amp;TEXT('_Dates'!J293,"dd mmm yyyy")&amp;IF('_Dates'!J293='_Dates'!T293,""," → "&amp;TEXT('_Dates'!T293,"dd mmm yyyy")),'_Engine'!K293)</ns0:f>
        <ns0:v/>
      </ns0:c>
    </ns0:row>
    <ns0:row r="294" ht="32" customHeight="1">
      <ns0:c r="A294" s="200"/>
      <ns0:c r="B294" s="201"/>
      <ns0:c r="C294" s="209"/>
      <ns0:c r="D294" s="201"/>
      <ns0:c r="E294" s="209"/>
      <ns0:c r="F294" s="200"/>
      <ns0:c r="G294" s="200"/>
      <ns0:c r="H294" s="210" t="str">
        <ns0:f>IF('_Engine'!A294=0,"",IF('_Engine'!$B$6&gt;0,"REVIEW",IF('_Engine'!L294&gt;0,"REVIEW",'_Engine'!G294)))</ns0:f>
        <ns0:v/>
      </ns0:c>
      <ns0:c r="I294" s="207"/>
      <ns0:c r="J294" s="208" t="str">
        <ns0:f>IF('_Engine'!K294="OK","OK · "&amp;TEXT('_Dates'!J294,"dd mmm yyyy")&amp;IF('_Dates'!J294='_Dates'!T294,""," → "&amp;TEXT('_Dates'!T294,"dd mmm yyyy")),'_Engine'!K294)</ns0:f>
        <ns0:v/>
      </ns0:c>
    </ns0:row>
    <ns0:row r="295" ht="32" customHeight="1">
      <ns0:c r="A295" s="200"/>
      <ns0:c r="B295" s="201"/>
      <ns0:c r="C295" s="209"/>
      <ns0:c r="D295" s="201"/>
      <ns0:c r="E295" s="209"/>
      <ns0:c r="F295" s="200"/>
      <ns0:c r="G295" s="200"/>
      <ns0:c r="H295" s="210" t="str">
        <ns0:f>IF('_Engine'!A295=0,"",IF('_Engine'!$B$6&gt;0,"REVIEW",IF('_Engine'!L295&gt;0,"REVIEW",'_Engine'!G295)))</ns0:f>
        <ns0:v/>
      </ns0:c>
      <ns0:c r="I295" s="207"/>
      <ns0:c r="J295" s="208" t="str">
        <ns0:f>IF('_Engine'!K295="OK","OK · "&amp;TEXT('_Dates'!J295,"dd mmm yyyy")&amp;IF('_Dates'!J295='_Dates'!T295,""," → "&amp;TEXT('_Dates'!T295,"dd mmm yyyy")),'_Engine'!K295)</ns0:f>
        <ns0:v/>
      </ns0:c>
    </ns0:row>
    <ns0:row r="296" ht="32" customHeight="1">
      <ns0:c r="A296" s="200"/>
      <ns0:c r="B296" s="201"/>
      <ns0:c r="C296" s="209"/>
      <ns0:c r="D296" s="201"/>
      <ns0:c r="E296" s="209"/>
      <ns0:c r="F296" s="200"/>
      <ns0:c r="G296" s="200"/>
      <ns0:c r="H296" s="210" t="str">
        <ns0:f>IF('_Engine'!A296=0,"",IF('_Engine'!$B$6&gt;0,"REVIEW",IF('_Engine'!L296&gt;0,"REVIEW",'_Engine'!G296)))</ns0:f>
        <ns0:v/>
      </ns0:c>
      <ns0:c r="I296" s="207"/>
      <ns0:c r="J296" s="208" t="str">
        <ns0:f>IF('_Engine'!K296="OK","OK · "&amp;TEXT('_Dates'!J296,"dd mmm yyyy")&amp;IF('_Dates'!J296='_Dates'!T296,""," → "&amp;TEXT('_Dates'!T296,"dd mmm yyyy")),'_Engine'!K296)</ns0:f>
        <ns0:v/>
      </ns0:c>
    </ns0:row>
    <ns0:row r="297" ht="32" customHeight="1">
      <ns0:c r="A297" s="200"/>
      <ns0:c r="B297" s="201"/>
      <ns0:c r="C297" s="209"/>
      <ns0:c r="D297" s="201"/>
      <ns0:c r="E297" s="209"/>
      <ns0:c r="F297" s="200"/>
      <ns0:c r="G297" s="200"/>
      <ns0:c r="H297" s="210" t="str">
        <ns0:f>IF('_Engine'!A297=0,"",IF('_Engine'!$B$6&gt;0,"REVIEW",IF('_Engine'!L297&gt;0,"REVIEW",'_Engine'!G297)))</ns0:f>
        <ns0:v/>
      </ns0:c>
      <ns0:c r="I297" s="207"/>
      <ns0:c r="J297" s="208" t="str">
        <ns0:f>IF('_Engine'!K297="OK","OK · "&amp;TEXT('_Dates'!J297,"dd mmm yyyy")&amp;IF('_Dates'!J297='_Dates'!T297,""," → "&amp;TEXT('_Dates'!T297,"dd mmm yyyy")),'_Engine'!K297)</ns0:f>
        <ns0:v/>
      </ns0:c>
    </ns0:row>
    <ns0:row r="298" ht="32" customHeight="1">
      <ns0:c r="A298" s="200"/>
      <ns0:c r="B298" s="201"/>
      <ns0:c r="C298" s="209"/>
      <ns0:c r="D298" s="201"/>
      <ns0:c r="E298" s="209"/>
      <ns0:c r="F298" s="200"/>
      <ns0:c r="G298" s="200"/>
      <ns0:c r="H298" s="210" t="str">
        <ns0:f>IF('_Engine'!A298=0,"",IF('_Engine'!$B$6&gt;0,"REVIEW",IF('_Engine'!L298&gt;0,"REVIEW",'_Engine'!G298)))</ns0:f>
        <ns0:v/>
      </ns0:c>
      <ns0:c r="I298" s="207"/>
      <ns0:c r="J298" s="208" t="str">
        <ns0:f>IF('_Engine'!K298="OK","OK · "&amp;TEXT('_Dates'!J298,"dd mmm yyyy")&amp;IF('_Dates'!J298='_Dates'!T298,""," → "&amp;TEXT('_Dates'!T298,"dd mmm yyyy")),'_Engine'!K298)</ns0:f>
        <ns0:v/>
      </ns0:c>
    </ns0:row>
    <ns0:row r="299" ht="32" customHeight="1">
      <ns0:c r="A299" s="200"/>
      <ns0:c r="B299" s="201"/>
      <ns0:c r="C299" s="209"/>
      <ns0:c r="D299" s="201"/>
      <ns0:c r="E299" s="209"/>
      <ns0:c r="F299" s="200"/>
      <ns0:c r="G299" s="200"/>
      <ns0:c r="H299" s="210" t="str">
        <ns0:f>IF('_Engine'!A299=0,"",IF('_Engine'!$B$6&gt;0,"REVIEW",IF('_Engine'!L299&gt;0,"REVIEW",'_Engine'!G299)))</ns0:f>
        <ns0:v/>
      </ns0:c>
      <ns0:c r="I299" s="207"/>
      <ns0:c r="J299" s="208" t="str">
        <ns0:f>IF('_Engine'!K299="OK","OK · "&amp;TEXT('_Dates'!J299,"dd mmm yyyy")&amp;IF('_Dates'!J299='_Dates'!T299,""," → "&amp;TEXT('_Dates'!T299,"dd mmm yyyy")),'_Engine'!K299)</ns0:f>
        <ns0:v/>
      </ns0:c>
    </ns0:row>
    <ns0:row r="300" ht="32" customHeight="1">
      <ns0:c r="A300" s="200"/>
      <ns0:c r="B300" s="201"/>
      <ns0:c r="C300" s="209"/>
      <ns0:c r="D300" s="201"/>
      <ns0:c r="E300" s="209"/>
      <ns0:c r="F300" s="200"/>
      <ns0:c r="G300" s="200"/>
      <ns0:c r="H300" s="210" t="str">
        <ns0:f>IF('_Engine'!A300=0,"",IF('_Engine'!$B$6&gt;0,"REVIEW",IF('_Engine'!L300&gt;0,"REVIEW",'_Engine'!G300)))</ns0:f>
        <ns0:v/>
      </ns0:c>
      <ns0:c r="I300" s="207"/>
      <ns0:c r="J300" s="208" t="str">
        <ns0:f>IF('_Engine'!K300="OK","OK · "&amp;TEXT('_Dates'!J300,"dd mmm yyyy")&amp;IF('_Dates'!J300='_Dates'!T300,""," → "&amp;TEXT('_Dates'!T300,"dd mmm yyyy")),'_Engine'!K300)</ns0:f>
        <ns0:v/>
      </ns0:c>
    </ns0:row>
    <ns0:row r="301" ht="32" customHeight="1">
      <ns0:c r="A301" s="200"/>
      <ns0:c r="B301" s="201"/>
      <ns0:c r="C301" s="209"/>
      <ns0:c r="D301" s="201"/>
      <ns0:c r="E301" s="209"/>
      <ns0:c r="F301" s="200"/>
      <ns0:c r="G301" s="200"/>
      <ns0:c r="H301" s="210" t="str">
        <ns0:f>IF('_Engine'!A301=0,"",IF('_Engine'!$B$6&gt;0,"REVIEW",IF('_Engine'!L301&gt;0,"REVIEW",'_Engine'!G301)))</ns0:f>
        <ns0:v/>
      </ns0:c>
      <ns0:c r="I301" s="207"/>
      <ns0:c r="J301" s="208" t="str">
        <ns0:f>IF('_Engine'!K301="OK","OK · "&amp;TEXT('_Dates'!J301,"dd mmm yyyy")&amp;IF('_Dates'!J301='_Dates'!T301,""," → "&amp;TEXT('_Dates'!T301,"dd mmm yyyy")),'_Engine'!K301)</ns0:f>
        <ns0:v/>
      </ns0:c>
    </ns0:row>
    <ns0:row r="302" ht="32" customHeight="1">
      <ns0:c r="A302" s="200"/>
      <ns0:c r="B302" s="201"/>
      <ns0:c r="C302" s="209"/>
      <ns0:c r="D302" s="201"/>
      <ns0:c r="E302" s="209"/>
      <ns0:c r="F302" s="200"/>
      <ns0:c r="G302" s="200"/>
      <ns0:c r="H302" s="210" t="str">
        <ns0:f>IF('_Engine'!A302=0,"",IF('_Engine'!$B$6&gt;0,"REVIEW",IF('_Engine'!L302&gt;0,"REVIEW",'_Engine'!G302)))</ns0:f>
        <ns0:v/>
      </ns0:c>
      <ns0:c r="I302" s="207"/>
      <ns0:c r="J302" s="208" t="str">
        <ns0:f>IF('_Engine'!K302="OK","OK · "&amp;TEXT('_Dates'!J302,"dd mmm yyyy")&amp;IF('_Dates'!J302='_Dates'!T302,""," → "&amp;TEXT('_Dates'!T302,"dd mmm yyyy")),'_Engine'!K302)</ns0:f>
        <ns0:v/>
      </ns0:c>
    </ns0:row>
    <ns0:row r="303" ht="32" customHeight="1">
      <ns0:c r="A303" s="200"/>
      <ns0:c r="B303" s="201"/>
      <ns0:c r="C303" s="209"/>
      <ns0:c r="D303" s="201"/>
      <ns0:c r="E303" s="209"/>
      <ns0:c r="F303" s="200"/>
      <ns0:c r="G303" s="200"/>
      <ns0:c r="H303" s="210" t="str">
        <ns0:f>IF('_Engine'!A303=0,"",IF('_Engine'!$B$6&gt;0,"REVIEW",IF('_Engine'!L303&gt;0,"REVIEW",'_Engine'!G303)))</ns0:f>
        <ns0:v/>
      </ns0:c>
      <ns0:c r="I303" s="207"/>
      <ns0:c r="J303" s="208" t="str">
        <ns0:f>IF('_Engine'!K303="OK","OK · "&amp;TEXT('_Dates'!J303,"dd mmm yyyy")&amp;IF('_Dates'!J303='_Dates'!T303,""," → "&amp;TEXT('_Dates'!T303,"dd mmm yyyy")),'_Engine'!K303)</ns0:f>
        <ns0:v/>
      </ns0:c>
    </ns0:row>
    <ns0:row r="304" ht="32" customHeight="1">
      <ns0:c r="A304" s="200"/>
      <ns0:c r="B304" s="201"/>
      <ns0:c r="C304" s="209"/>
      <ns0:c r="D304" s="201"/>
      <ns0:c r="E304" s="209"/>
      <ns0:c r="F304" s="200"/>
      <ns0:c r="G304" s="200"/>
      <ns0:c r="H304" s="210" t="str">
        <ns0:f>IF('_Engine'!A304=0,"",IF('_Engine'!$B$6&gt;0,"REVIEW",IF('_Engine'!L304&gt;0,"REVIEW",'_Engine'!G304)))</ns0:f>
        <ns0:v/>
      </ns0:c>
      <ns0:c r="I304" s="207"/>
      <ns0:c r="J304" s="208" t="str">
        <ns0:f>IF('_Engine'!K304="OK","OK · "&amp;TEXT('_Dates'!J304,"dd mmm yyyy")&amp;IF('_Dates'!J304='_Dates'!T304,""," → "&amp;TEXT('_Dates'!T304,"dd mmm yyyy")),'_Engine'!K304)</ns0:f>
        <ns0:v/>
      </ns0:c>
    </ns0:row>
    <ns0:row r="305" ht="32" customHeight="1">
      <ns0:c r="A305" s="200"/>
      <ns0:c r="B305" s="201"/>
      <ns0:c r="C305" s="209"/>
      <ns0:c r="D305" s="201"/>
      <ns0:c r="E305" s="209"/>
      <ns0:c r="F305" s="200"/>
      <ns0:c r="G305" s="200"/>
      <ns0:c r="H305" s="210" t="str">
        <ns0:f>IF('_Engine'!A305=0,"",IF('_Engine'!$B$6&gt;0,"REVIEW",IF('_Engine'!L305&gt;0,"REVIEW",'_Engine'!G305)))</ns0:f>
        <ns0:v/>
      </ns0:c>
      <ns0:c r="I305" s="207"/>
      <ns0:c r="J305" s="208" t="str">
        <ns0:f>IF('_Engine'!K305="OK","OK · "&amp;TEXT('_Dates'!J305,"dd mmm yyyy")&amp;IF('_Dates'!J305='_Dates'!T305,""," → "&amp;TEXT('_Dates'!T305,"dd mmm yyyy")),'_Engine'!K305)</ns0:f>
        <ns0:v/>
      </ns0:c>
    </ns0:row>
    <ns0:row r="306" ht="32" customHeight="1">
      <ns0:c r="A306" s="200"/>
      <ns0:c r="B306" s="201"/>
      <ns0:c r="C306" s="209"/>
      <ns0:c r="D306" s="201"/>
      <ns0:c r="E306" s="209"/>
      <ns0:c r="F306" s="200"/>
      <ns0:c r="G306" s="200"/>
      <ns0:c r="H306" s="210" t="str">
        <ns0:f>IF('_Engine'!A306=0,"",IF('_Engine'!$B$6&gt;0,"REVIEW",IF('_Engine'!L306&gt;0,"REVIEW",'_Engine'!G306)))</ns0:f>
        <ns0:v/>
      </ns0:c>
      <ns0:c r="I306" s="207"/>
      <ns0:c r="J306" s="208" t="str">
        <ns0:f>IF('_Engine'!K306="OK","OK · "&amp;TEXT('_Dates'!J306,"dd mmm yyyy")&amp;IF('_Dates'!J306='_Dates'!T306,""," → "&amp;TEXT('_Dates'!T306,"dd mmm yyyy")),'_Engine'!K306)</ns0:f>
        <ns0:v/>
      </ns0:c>
    </ns0:row>
    <ns0:row r="307" ht="32" customHeight="1">
      <ns0:c r="A307" s="200"/>
      <ns0:c r="B307" s="201"/>
      <ns0:c r="C307" s="209"/>
      <ns0:c r="D307" s="201"/>
      <ns0:c r="E307" s="209"/>
      <ns0:c r="F307" s="200"/>
      <ns0:c r="G307" s="200"/>
      <ns0:c r="H307" s="210" t="str">
        <ns0:f>IF('_Engine'!A307=0,"",IF('_Engine'!$B$6&gt;0,"REVIEW",IF('_Engine'!L307&gt;0,"REVIEW",'_Engine'!G307)))</ns0:f>
        <ns0:v/>
      </ns0:c>
      <ns0:c r="I307" s="207"/>
      <ns0:c r="J307" s="208" t="str">
        <ns0:f>IF('_Engine'!K307="OK","OK · "&amp;TEXT('_Dates'!J307,"dd mmm yyyy")&amp;IF('_Dates'!J307='_Dates'!T307,""," → "&amp;TEXT('_Dates'!T307,"dd mmm yyyy")),'_Engine'!K307)</ns0:f>
        <ns0:v/>
      </ns0:c>
    </ns0:row>
    <ns0:row r="308" ht="32" customHeight="1">
      <ns0:c r="A308" s="200"/>
      <ns0:c r="B308" s="201"/>
      <ns0:c r="C308" s="209"/>
      <ns0:c r="D308" s="201"/>
      <ns0:c r="E308" s="209"/>
      <ns0:c r="F308" s="200"/>
      <ns0:c r="G308" s="200"/>
      <ns0:c r="H308" s="210" t="str">
        <ns0:f>IF('_Engine'!A308=0,"",IF('_Engine'!$B$6&gt;0,"REVIEW",IF('_Engine'!L308&gt;0,"REVIEW",'_Engine'!G308)))</ns0:f>
        <ns0:v/>
      </ns0:c>
      <ns0:c r="I308" s="207"/>
      <ns0:c r="J308" s="208" t="str">
        <ns0:f>IF('_Engine'!K308="OK","OK · "&amp;TEXT('_Dates'!J308,"dd mmm yyyy")&amp;IF('_Dates'!J308='_Dates'!T308,""," → "&amp;TEXT('_Dates'!T308,"dd mmm yyyy")),'_Engine'!K308)</ns0:f>
        <ns0:v/>
      </ns0:c>
    </ns0:row>
    <ns0:row r="309" ht="32" customHeight="1">
      <ns0:c r="A309" s="200"/>
      <ns0:c r="B309" s="201"/>
      <ns0:c r="C309" s="209"/>
      <ns0:c r="D309" s="201"/>
      <ns0:c r="E309" s="209"/>
      <ns0:c r="F309" s="200"/>
      <ns0:c r="G309" s="200"/>
      <ns0:c r="H309" s="210" t="str">
        <ns0:f>IF('_Engine'!A309=0,"",IF('_Engine'!$B$6&gt;0,"REVIEW",IF('_Engine'!L309&gt;0,"REVIEW",'_Engine'!G309)))</ns0:f>
        <ns0:v/>
      </ns0:c>
      <ns0:c r="I309" s="207"/>
      <ns0:c r="J309" s="208" t="str">
        <ns0:f>IF('_Engine'!K309="OK","OK · "&amp;TEXT('_Dates'!J309,"dd mmm yyyy")&amp;IF('_Dates'!J309='_Dates'!T309,""," → "&amp;TEXT('_Dates'!T309,"dd mmm yyyy")),'_Engine'!K309)</ns0:f>
        <ns0:v/>
      </ns0:c>
    </ns0:row>
    <ns0:row r="310" ht="32" customHeight="1">
      <ns0:c r="A310" s="200"/>
      <ns0:c r="B310" s="201"/>
      <ns0:c r="C310" s="209"/>
      <ns0:c r="D310" s="201"/>
      <ns0:c r="E310" s="209"/>
      <ns0:c r="F310" s="200"/>
      <ns0:c r="G310" s="200"/>
      <ns0:c r="H310" s="210" t="str">
        <ns0:f>IF('_Engine'!A310=0,"",IF('_Engine'!$B$6&gt;0,"REVIEW",IF('_Engine'!L310&gt;0,"REVIEW",'_Engine'!G310)))</ns0:f>
        <ns0:v/>
      </ns0:c>
      <ns0:c r="I310" s="207"/>
      <ns0:c r="J310" s="208" t="str">
        <ns0:f>IF('_Engine'!K310="OK","OK · "&amp;TEXT('_Dates'!J310,"dd mmm yyyy")&amp;IF('_Dates'!J310='_Dates'!T310,""," → "&amp;TEXT('_Dates'!T310,"dd mmm yyyy")),'_Engine'!K310)</ns0:f>
        <ns0:v/>
      </ns0:c>
    </ns0:row>
    <ns0:row r="311" ht="32" customHeight="1">
      <ns0:c r="A311" s="200"/>
      <ns0:c r="B311" s="201"/>
      <ns0:c r="C311" s="209"/>
      <ns0:c r="D311" s="201"/>
      <ns0:c r="E311" s="209"/>
      <ns0:c r="F311" s="200"/>
      <ns0:c r="G311" s="200"/>
      <ns0:c r="H311" s="210" t="str">
        <ns0:f>IF('_Engine'!A311=0,"",IF('_Engine'!$B$6&gt;0,"REVIEW",IF('_Engine'!L311&gt;0,"REVIEW",'_Engine'!G311)))</ns0:f>
        <ns0:v/>
      </ns0:c>
      <ns0:c r="I311" s="207"/>
      <ns0:c r="J311" s="208" t="str">
        <ns0:f>IF('_Engine'!K311="OK","OK · "&amp;TEXT('_Dates'!J311,"dd mmm yyyy")&amp;IF('_Dates'!J311='_Dates'!T311,""," → "&amp;TEXT('_Dates'!T311,"dd mmm yyyy")),'_Engine'!K311)</ns0:f>
        <ns0:v/>
      </ns0:c>
    </ns0:row>
    <ns0:row r="312" ht="32" customHeight="1">
      <ns0:c r="A312" s="200"/>
      <ns0:c r="B312" s="201"/>
      <ns0:c r="C312" s="209"/>
      <ns0:c r="D312" s="201"/>
      <ns0:c r="E312" s="209"/>
      <ns0:c r="F312" s="200"/>
      <ns0:c r="G312" s="200"/>
      <ns0:c r="H312" s="210" t="str">
        <ns0:f>IF('_Engine'!A312=0,"",IF('_Engine'!$B$6&gt;0,"REVIEW",IF('_Engine'!L312&gt;0,"REVIEW",'_Engine'!G312)))</ns0:f>
        <ns0:v/>
      </ns0:c>
      <ns0:c r="I312" s="207"/>
      <ns0:c r="J312" s="208" t="str">
        <ns0:f>IF('_Engine'!K312="OK","OK · "&amp;TEXT('_Dates'!J312,"dd mmm yyyy")&amp;IF('_Dates'!J312='_Dates'!T312,""," → "&amp;TEXT('_Dates'!T312,"dd mmm yyyy")),'_Engine'!K312)</ns0:f>
        <ns0:v/>
      </ns0:c>
    </ns0:row>
    <ns0:row r="313" ht="32" customHeight="1">
      <ns0:c r="A313" s="200"/>
      <ns0:c r="B313" s="201"/>
      <ns0:c r="C313" s="209"/>
      <ns0:c r="D313" s="201"/>
      <ns0:c r="E313" s="209"/>
      <ns0:c r="F313" s="200"/>
      <ns0:c r="G313" s="200"/>
      <ns0:c r="H313" s="210" t="str">
        <ns0:f>IF('_Engine'!A313=0,"",IF('_Engine'!$B$6&gt;0,"REVIEW",IF('_Engine'!L313&gt;0,"REVIEW",'_Engine'!G313)))</ns0:f>
        <ns0:v/>
      </ns0:c>
      <ns0:c r="I313" s="207"/>
      <ns0:c r="J313" s="208" t="str">
        <ns0:f>IF('_Engine'!K313="OK","OK · "&amp;TEXT('_Dates'!J313,"dd mmm yyyy")&amp;IF('_Dates'!J313='_Dates'!T313,""," → "&amp;TEXT('_Dates'!T313,"dd mmm yyyy")),'_Engine'!K313)</ns0:f>
        <ns0:v/>
      </ns0:c>
    </ns0:row>
    <ns0:row r="314" ht="32" customHeight="1">
      <ns0:c r="A314" s="200"/>
      <ns0:c r="B314" s="201"/>
      <ns0:c r="C314" s="209"/>
      <ns0:c r="D314" s="201"/>
      <ns0:c r="E314" s="209"/>
      <ns0:c r="F314" s="200"/>
      <ns0:c r="G314" s="200"/>
      <ns0:c r="H314" s="210" t="str">
        <ns0:f>IF('_Engine'!A314=0,"",IF('_Engine'!$B$6&gt;0,"REVIEW",IF('_Engine'!L314&gt;0,"REVIEW",'_Engine'!G314)))</ns0:f>
        <ns0:v/>
      </ns0:c>
      <ns0:c r="I314" s="207"/>
      <ns0:c r="J314" s="208" t="str">
        <ns0:f>IF('_Engine'!K314="OK","OK · "&amp;TEXT('_Dates'!J314,"dd mmm yyyy")&amp;IF('_Dates'!J314='_Dates'!T314,""," → "&amp;TEXT('_Dates'!T314,"dd mmm yyyy")),'_Engine'!K314)</ns0:f>
        <ns0:v/>
      </ns0:c>
    </ns0:row>
    <ns0:row r="315" ht="32" customHeight="1">
      <ns0:c r="A315" s="200"/>
      <ns0:c r="B315" s="201"/>
      <ns0:c r="C315" s="209"/>
      <ns0:c r="D315" s="201"/>
      <ns0:c r="E315" s="209"/>
      <ns0:c r="F315" s="200"/>
      <ns0:c r="G315" s="200"/>
      <ns0:c r="H315" s="210" t="str">
        <ns0:f>IF('_Engine'!A315=0,"",IF('_Engine'!$B$6&gt;0,"REVIEW",IF('_Engine'!L315&gt;0,"REVIEW",'_Engine'!G315)))</ns0:f>
        <ns0:v/>
      </ns0:c>
      <ns0:c r="I315" s="207"/>
      <ns0:c r="J315" s="208" t="str">
        <ns0:f>IF('_Engine'!K315="OK","OK · "&amp;TEXT('_Dates'!J315,"dd mmm yyyy")&amp;IF('_Dates'!J315='_Dates'!T315,""," → "&amp;TEXT('_Dates'!T315,"dd mmm yyyy")),'_Engine'!K315)</ns0:f>
        <ns0:v/>
      </ns0:c>
    </ns0:row>
    <ns0:row r="316" ht="32" customHeight="1">
      <ns0:c r="A316" s="200"/>
      <ns0:c r="B316" s="201"/>
      <ns0:c r="C316" s="209"/>
      <ns0:c r="D316" s="201"/>
      <ns0:c r="E316" s="209"/>
      <ns0:c r="F316" s="200"/>
      <ns0:c r="G316" s="200"/>
      <ns0:c r="H316" s="210" t="str">
        <ns0:f>IF('_Engine'!A316=0,"",IF('_Engine'!$B$6&gt;0,"REVIEW",IF('_Engine'!L316&gt;0,"REVIEW",'_Engine'!G316)))</ns0:f>
        <ns0:v/>
      </ns0:c>
      <ns0:c r="I316" s="207"/>
      <ns0:c r="J316" s="208" t="str">
        <ns0:f>IF('_Engine'!K316="OK","OK · "&amp;TEXT('_Dates'!J316,"dd mmm yyyy")&amp;IF('_Dates'!J316='_Dates'!T316,""," → "&amp;TEXT('_Dates'!T316,"dd mmm yyyy")),'_Engine'!K316)</ns0:f>
        <ns0:v/>
      </ns0:c>
    </ns0:row>
    <ns0:row r="317" ht="32" customHeight="1">
      <ns0:c r="A317" s="200"/>
      <ns0:c r="B317" s="201"/>
      <ns0:c r="C317" s="209"/>
      <ns0:c r="D317" s="201"/>
      <ns0:c r="E317" s="209"/>
      <ns0:c r="F317" s="200"/>
      <ns0:c r="G317" s="200"/>
      <ns0:c r="H317" s="210" t="str">
        <ns0:f>IF('_Engine'!A317=0,"",IF('_Engine'!$B$6&gt;0,"REVIEW",IF('_Engine'!L317&gt;0,"REVIEW",'_Engine'!G317)))</ns0:f>
        <ns0:v/>
      </ns0:c>
      <ns0:c r="I317" s="207"/>
      <ns0:c r="J317" s="208" t="str">
        <ns0:f>IF('_Engine'!K317="OK","OK · "&amp;TEXT('_Dates'!J317,"dd mmm yyyy")&amp;IF('_Dates'!J317='_Dates'!T317,""," → "&amp;TEXT('_Dates'!T317,"dd mmm yyyy")),'_Engine'!K317)</ns0:f>
        <ns0:v/>
      </ns0:c>
    </ns0:row>
    <ns0:row r="318" ht="32" customHeight="1">
      <ns0:c r="A318" s="200"/>
      <ns0:c r="B318" s="201"/>
      <ns0:c r="C318" s="209"/>
      <ns0:c r="D318" s="201"/>
      <ns0:c r="E318" s="209"/>
      <ns0:c r="F318" s="200"/>
      <ns0:c r="G318" s="200"/>
      <ns0:c r="H318" s="210" t="str">
        <ns0:f>IF('_Engine'!A318=0,"",IF('_Engine'!$B$6&gt;0,"REVIEW",IF('_Engine'!L318&gt;0,"REVIEW",'_Engine'!G318)))</ns0:f>
        <ns0:v/>
      </ns0:c>
      <ns0:c r="I318" s="207"/>
      <ns0:c r="J318" s="208" t="str">
        <ns0:f>IF('_Engine'!K318="OK","OK · "&amp;TEXT('_Dates'!J318,"dd mmm yyyy")&amp;IF('_Dates'!J318='_Dates'!T318,""," → "&amp;TEXT('_Dates'!T318,"dd mmm yyyy")),'_Engine'!K318)</ns0:f>
        <ns0:v/>
      </ns0:c>
    </ns0:row>
    <ns0:row r="319" ht="32" customHeight="1">
      <ns0:c r="A319" s="200"/>
      <ns0:c r="B319" s="201"/>
      <ns0:c r="C319" s="209"/>
      <ns0:c r="D319" s="201"/>
      <ns0:c r="E319" s="209"/>
      <ns0:c r="F319" s="200"/>
      <ns0:c r="G319" s="200"/>
      <ns0:c r="H319" s="210" t="str">
        <ns0:f>IF('_Engine'!A319=0,"",IF('_Engine'!$B$6&gt;0,"REVIEW",IF('_Engine'!L319&gt;0,"REVIEW",'_Engine'!G319)))</ns0:f>
        <ns0:v/>
      </ns0:c>
      <ns0:c r="I319" s="207"/>
      <ns0:c r="J319" s="208" t="str">
        <ns0:f>IF('_Engine'!K319="OK","OK · "&amp;TEXT('_Dates'!J319,"dd mmm yyyy")&amp;IF('_Dates'!J319='_Dates'!T319,""," → "&amp;TEXT('_Dates'!T319,"dd mmm yyyy")),'_Engine'!K319)</ns0:f>
        <ns0:v/>
      </ns0:c>
    </ns0:row>
    <ns0:row r="320" ht="32" customHeight="1">
      <ns0:c r="A320" s="200"/>
      <ns0:c r="B320" s="201"/>
      <ns0:c r="C320" s="209"/>
      <ns0:c r="D320" s="201"/>
      <ns0:c r="E320" s="209"/>
      <ns0:c r="F320" s="200"/>
      <ns0:c r="G320" s="200"/>
      <ns0:c r="H320" s="210" t="str">
        <ns0:f>IF('_Engine'!A320=0,"",IF('_Engine'!$B$6&gt;0,"REVIEW",IF('_Engine'!L320&gt;0,"REVIEW",'_Engine'!G320)))</ns0:f>
        <ns0:v/>
      </ns0:c>
      <ns0:c r="I320" s="207"/>
      <ns0:c r="J320" s="208" t="str">
        <ns0:f>IF('_Engine'!K320="OK","OK · "&amp;TEXT('_Dates'!J320,"dd mmm yyyy")&amp;IF('_Dates'!J320='_Dates'!T320,""," → "&amp;TEXT('_Dates'!T320,"dd mmm yyyy")),'_Engine'!K320)</ns0:f>
        <ns0:v/>
      </ns0:c>
    </ns0:row>
    <ns0:row r="321" ht="32" customHeight="1">
      <ns0:c r="A321" s="200"/>
      <ns0:c r="B321" s="201"/>
      <ns0:c r="C321" s="209"/>
      <ns0:c r="D321" s="201"/>
      <ns0:c r="E321" s="209"/>
      <ns0:c r="F321" s="200"/>
      <ns0:c r="G321" s="200"/>
      <ns0:c r="H321" s="210" t="str">
        <ns0:f>IF('_Engine'!A321=0,"",IF('_Engine'!$B$6&gt;0,"REVIEW",IF('_Engine'!L321&gt;0,"REVIEW",'_Engine'!G321)))</ns0:f>
        <ns0:v/>
      </ns0:c>
      <ns0:c r="I321" s="207"/>
      <ns0:c r="J321" s="208" t="str">
        <ns0:f>IF('_Engine'!K321="OK","OK · "&amp;TEXT('_Dates'!J321,"dd mmm yyyy")&amp;IF('_Dates'!J321='_Dates'!T321,""," → "&amp;TEXT('_Dates'!T321,"dd mmm yyyy")),'_Engine'!K321)</ns0:f>
        <ns0:v/>
      </ns0:c>
    </ns0:row>
    <ns0:row r="322" ht="32" customHeight="1">
      <ns0:c r="A322" s="200"/>
      <ns0:c r="B322" s="201"/>
      <ns0:c r="C322" s="209"/>
      <ns0:c r="D322" s="201"/>
      <ns0:c r="E322" s="209"/>
      <ns0:c r="F322" s="200"/>
      <ns0:c r="G322" s="200"/>
      <ns0:c r="H322" s="210" t="str">
        <ns0:f>IF('_Engine'!A322=0,"",IF('_Engine'!$B$6&gt;0,"REVIEW",IF('_Engine'!L322&gt;0,"REVIEW",'_Engine'!G322)))</ns0:f>
        <ns0:v/>
      </ns0:c>
      <ns0:c r="I322" s="207"/>
      <ns0:c r="J322" s="208" t="str">
        <ns0:f>IF('_Engine'!K322="OK","OK · "&amp;TEXT('_Dates'!J322,"dd mmm yyyy")&amp;IF('_Dates'!J322='_Dates'!T322,""," → "&amp;TEXT('_Dates'!T322,"dd mmm yyyy")),'_Engine'!K322)</ns0:f>
        <ns0:v/>
      </ns0:c>
    </ns0:row>
    <ns0:row r="323" ht="32" customHeight="1">
      <ns0:c r="A323" s="200"/>
      <ns0:c r="B323" s="201"/>
      <ns0:c r="C323" s="209"/>
      <ns0:c r="D323" s="201"/>
      <ns0:c r="E323" s="209"/>
      <ns0:c r="F323" s="200"/>
      <ns0:c r="G323" s="200"/>
      <ns0:c r="H323" s="210" t="str">
        <ns0:f>IF('_Engine'!A323=0,"",IF('_Engine'!$B$6&gt;0,"REVIEW",IF('_Engine'!L323&gt;0,"REVIEW",'_Engine'!G323)))</ns0:f>
        <ns0:v/>
      </ns0:c>
      <ns0:c r="I323" s="207"/>
      <ns0:c r="J323" s="208" t="str">
        <ns0:f>IF('_Engine'!K323="OK","OK · "&amp;TEXT('_Dates'!J323,"dd mmm yyyy")&amp;IF('_Dates'!J323='_Dates'!T323,""," → "&amp;TEXT('_Dates'!T323,"dd mmm yyyy")),'_Engine'!K323)</ns0:f>
        <ns0:v/>
      </ns0:c>
    </ns0:row>
    <ns0:row r="324" ht="32" customHeight="1">
      <ns0:c r="A324" s="200"/>
      <ns0:c r="B324" s="201"/>
      <ns0:c r="C324" s="209"/>
      <ns0:c r="D324" s="201"/>
      <ns0:c r="E324" s="209"/>
      <ns0:c r="F324" s="200"/>
      <ns0:c r="G324" s="200"/>
      <ns0:c r="H324" s="210" t="str">
        <ns0:f>IF('_Engine'!A324=0,"",IF('_Engine'!$B$6&gt;0,"REVIEW",IF('_Engine'!L324&gt;0,"REVIEW",'_Engine'!G324)))</ns0:f>
        <ns0:v/>
      </ns0:c>
      <ns0:c r="I324" s="207"/>
      <ns0:c r="J324" s="208" t="str">
        <ns0:f>IF('_Engine'!K324="OK","OK · "&amp;TEXT('_Dates'!J324,"dd mmm yyyy")&amp;IF('_Dates'!J324='_Dates'!T324,""," → "&amp;TEXT('_Dates'!T324,"dd mmm yyyy")),'_Engine'!K324)</ns0:f>
        <ns0:v/>
      </ns0:c>
    </ns0:row>
    <ns0:row r="325" ht="32" customHeight="1">
      <ns0:c r="A325" s="200"/>
      <ns0:c r="B325" s="201"/>
      <ns0:c r="C325" s="209"/>
      <ns0:c r="D325" s="201"/>
      <ns0:c r="E325" s="209"/>
      <ns0:c r="F325" s="200"/>
      <ns0:c r="G325" s="200"/>
      <ns0:c r="H325" s="210" t="str">
        <ns0:f>IF('_Engine'!A325=0,"",IF('_Engine'!$B$6&gt;0,"REVIEW",IF('_Engine'!L325&gt;0,"REVIEW",'_Engine'!G325)))</ns0:f>
        <ns0:v/>
      </ns0:c>
      <ns0:c r="I325" s="207"/>
      <ns0:c r="J325" s="208" t="str">
        <ns0:f>IF('_Engine'!K325="OK","OK · "&amp;TEXT('_Dates'!J325,"dd mmm yyyy")&amp;IF('_Dates'!J325='_Dates'!T325,""," → "&amp;TEXT('_Dates'!T325,"dd mmm yyyy")),'_Engine'!K325)</ns0:f>
        <ns0:v/>
      </ns0:c>
    </ns0:row>
    <ns0:row r="326" ht="32" customHeight="1">
      <ns0:c r="A326" s="200"/>
      <ns0:c r="B326" s="201"/>
      <ns0:c r="C326" s="209"/>
      <ns0:c r="D326" s="201"/>
      <ns0:c r="E326" s="209"/>
      <ns0:c r="F326" s="200"/>
      <ns0:c r="G326" s="200"/>
      <ns0:c r="H326" s="210" t="str">
        <ns0:f>IF('_Engine'!A326=0,"",IF('_Engine'!$B$6&gt;0,"REVIEW",IF('_Engine'!L326&gt;0,"REVIEW",'_Engine'!G326)))</ns0:f>
        <ns0:v/>
      </ns0:c>
      <ns0:c r="I326" s="207"/>
      <ns0:c r="J326" s="208" t="str">
        <ns0:f>IF('_Engine'!K326="OK","OK · "&amp;TEXT('_Dates'!J326,"dd mmm yyyy")&amp;IF('_Dates'!J326='_Dates'!T326,""," → "&amp;TEXT('_Dates'!T326,"dd mmm yyyy")),'_Engine'!K326)</ns0:f>
        <ns0:v/>
      </ns0:c>
    </ns0:row>
    <ns0:row r="327" ht="32" customHeight="1">
      <ns0:c r="A327" s="200"/>
      <ns0:c r="B327" s="201"/>
      <ns0:c r="C327" s="209"/>
      <ns0:c r="D327" s="201"/>
      <ns0:c r="E327" s="209"/>
      <ns0:c r="F327" s="200"/>
      <ns0:c r="G327" s="200"/>
      <ns0:c r="H327" s="210" t="str">
        <ns0:f>IF('_Engine'!A327=0,"",IF('_Engine'!$B$6&gt;0,"REVIEW",IF('_Engine'!L327&gt;0,"REVIEW",'_Engine'!G327)))</ns0:f>
        <ns0:v/>
      </ns0:c>
      <ns0:c r="I327" s="207"/>
      <ns0:c r="J327" s="208" t="str">
        <ns0:f>IF('_Engine'!K327="OK","OK · "&amp;TEXT('_Dates'!J327,"dd mmm yyyy")&amp;IF('_Dates'!J327='_Dates'!T327,""," → "&amp;TEXT('_Dates'!T327,"dd mmm yyyy")),'_Engine'!K327)</ns0:f>
        <ns0:v/>
      </ns0:c>
    </ns0:row>
    <ns0:row r="328" ht="32" customHeight="1">
      <ns0:c r="A328" s="200"/>
      <ns0:c r="B328" s="201"/>
      <ns0:c r="C328" s="209"/>
      <ns0:c r="D328" s="201"/>
      <ns0:c r="E328" s="209"/>
      <ns0:c r="F328" s="200"/>
      <ns0:c r="G328" s="200"/>
      <ns0:c r="H328" s="210" t="str">
        <ns0:f>IF('_Engine'!A328=0,"",IF('_Engine'!$B$6&gt;0,"REVIEW",IF('_Engine'!L328&gt;0,"REVIEW",'_Engine'!G328)))</ns0:f>
        <ns0:v/>
      </ns0:c>
      <ns0:c r="I328" s="207"/>
      <ns0:c r="J328" s="208" t="str">
        <ns0:f>IF('_Engine'!K328="OK","OK · "&amp;TEXT('_Dates'!J328,"dd mmm yyyy")&amp;IF('_Dates'!J328='_Dates'!T328,""," → "&amp;TEXT('_Dates'!T328,"dd mmm yyyy")),'_Engine'!K328)</ns0:f>
        <ns0:v/>
      </ns0:c>
    </ns0:row>
    <ns0:row r="329" ht="32" customHeight="1">
      <ns0:c r="A329" s="200"/>
      <ns0:c r="B329" s="201"/>
      <ns0:c r="C329" s="209"/>
      <ns0:c r="D329" s="201"/>
      <ns0:c r="E329" s="209"/>
      <ns0:c r="F329" s="200"/>
      <ns0:c r="G329" s="200"/>
      <ns0:c r="H329" s="210" t="str">
        <ns0:f>IF('_Engine'!A329=0,"",IF('_Engine'!$B$6&gt;0,"REVIEW",IF('_Engine'!L329&gt;0,"REVIEW",'_Engine'!G329)))</ns0:f>
        <ns0:v/>
      </ns0:c>
      <ns0:c r="I329" s="207"/>
      <ns0:c r="J329" s="208" t="str">
        <ns0:f>IF('_Engine'!K329="OK","OK · "&amp;TEXT('_Dates'!J329,"dd mmm yyyy")&amp;IF('_Dates'!J329='_Dates'!T329,""," → "&amp;TEXT('_Dates'!T329,"dd mmm yyyy")),'_Engine'!K329)</ns0:f>
        <ns0:v/>
      </ns0:c>
    </ns0:row>
    <ns0:row r="330" ht="32" customHeight="1">
      <ns0:c r="A330" s="200"/>
      <ns0:c r="B330" s="201"/>
      <ns0:c r="C330" s="209"/>
      <ns0:c r="D330" s="201"/>
      <ns0:c r="E330" s="209"/>
      <ns0:c r="F330" s="200"/>
      <ns0:c r="G330" s="200"/>
      <ns0:c r="H330" s="210" t="str">
        <ns0:f>IF('_Engine'!A330=0,"",IF('_Engine'!$B$6&gt;0,"REVIEW",IF('_Engine'!L330&gt;0,"REVIEW",'_Engine'!G330)))</ns0:f>
        <ns0:v/>
      </ns0:c>
      <ns0:c r="I330" s="207"/>
      <ns0:c r="J330" s="208" t="str">
        <ns0:f>IF('_Engine'!K330="OK","OK · "&amp;TEXT('_Dates'!J330,"dd mmm yyyy")&amp;IF('_Dates'!J330='_Dates'!T330,""," → "&amp;TEXT('_Dates'!T330,"dd mmm yyyy")),'_Engine'!K330)</ns0:f>
        <ns0:v/>
      </ns0:c>
    </ns0:row>
    <ns0:row r="331" ht="32" customHeight="1">
      <ns0:c r="A331" s="200"/>
      <ns0:c r="B331" s="201"/>
      <ns0:c r="C331" s="209"/>
      <ns0:c r="D331" s="201"/>
      <ns0:c r="E331" s="209"/>
      <ns0:c r="F331" s="200"/>
      <ns0:c r="G331" s="200"/>
      <ns0:c r="H331" s="210" t="str">
        <ns0:f>IF('_Engine'!A331=0,"",IF('_Engine'!$B$6&gt;0,"REVIEW",IF('_Engine'!L331&gt;0,"REVIEW",'_Engine'!G331)))</ns0:f>
        <ns0:v/>
      </ns0:c>
      <ns0:c r="I331" s="207"/>
      <ns0:c r="J331" s="208" t="str">
        <ns0:f>IF('_Engine'!K331="OK","OK · "&amp;TEXT('_Dates'!J331,"dd mmm yyyy")&amp;IF('_Dates'!J331='_Dates'!T331,""," → "&amp;TEXT('_Dates'!T331,"dd mmm yyyy")),'_Engine'!K331)</ns0:f>
        <ns0:v/>
      </ns0:c>
    </ns0:row>
    <ns0:row r="332" ht="32" customHeight="1">
      <ns0:c r="A332" s="200"/>
      <ns0:c r="B332" s="201"/>
      <ns0:c r="C332" s="209"/>
      <ns0:c r="D332" s="201"/>
      <ns0:c r="E332" s="209"/>
      <ns0:c r="F332" s="200"/>
      <ns0:c r="G332" s="200"/>
      <ns0:c r="H332" s="210" t="str">
        <ns0:f>IF('_Engine'!A332=0,"",IF('_Engine'!$B$6&gt;0,"REVIEW",IF('_Engine'!L332&gt;0,"REVIEW",'_Engine'!G332)))</ns0:f>
        <ns0:v/>
      </ns0:c>
      <ns0:c r="I332" s="207"/>
      <ns0:c r="J332" s="208" t="str">
        <ns0:f>IF('_Engine'!K332="OK","OK · "&amp;TEXT('_Dates'!J332,"dd mmm yyyy")&amp;IF('_Dates'!J332='_Dates'!T332,""," → "&amp;TEXT('_Dates'!T332,"dd mmm yyyy")),'_Engine'!K332)</ns0:f>
        <ns0:v/>
      </ns0:c>
    </ns0:row>
    <ns0:row r="333" ht="32" customHeight="1">
      <ns0:c r="A333" s="200"/>
      <ns0:c r="B333" s="201"/>
      <ns0:c r="C333" s="209"/>
      <ns0:c r="D333" s="201"/>
      <ns0:c r="E333" s="209"/>
      <ns0:c r="F333" s="200"/>
      <ns0:c r="G333" s="200"/>
      <ns0:c r="H333" s="210" t="str">
        <ns0:f>IF('_Engine'!A333=0,"",IF('_Engine'!$B$6&gt;0,"REVIEW",IF('_Engine'!L333&gt;0,"REVIEW",'_Engine'!G333)))</ns0:f>
        <ns0:v/>
      </ns0:c>
      <ns0:c r="I333" s="207"/>
      <ns0:c r="J333" s="208" t="str">
        <ns0:f>IF('_Engine'!K333="OK","OK · "&amp;TEXT('_Dates'!J333,"dd mmm yyyy")&amp;IF('_Dates'!J333='_Dates'!T333,""," → "&amp;TEXT('_Dates'!T333,"dd mmm yyyy")),'_Engine'!K333)</ns0:f>
        <ns0:v/>
      </ns0:c>
    </ns0:row>
    <ns0:row r="334" ht="32" customHeight="1">
      <ns0:c r="A334" s="200"/>
      <ns0:c r="B334" s="201"/>
      <ns0:c r="C334" s="209"/>
      <ns0:c r="D334" s="201"/>
      <ns0:c r="E334" s="209"/>
      <ns0:c r="F334" s="200"/>
      <ns0:c r="G334" s="200"/>
      <ns0:c r="H334" s="210" t="str">
        <ns0:f>IF('_Engine'!A334=0,"",IF('_Engine'!$B$6&gt;0,"REVIEW",IF('_Engine'!L334&gt;0,"REVIEW",'_Engine'!G334)))</ns0:f>
        <ns0:v/>
      </ns0:c>
      <ns0:c r="I334" s="207"/>
      <ns0:c r="J334" s="208" t="str">
        <ns0:f>IF('_Engine'!K334="OK","OK · "&amp;TEXT('_Dates'!J334,"dd mmm yyyy")&amp;IF('_Dates'!J334='_Dates'!T334,""," → "&amp;TEXT('_Dates'!T334,"dd mmm yyyy")),'_Engine'!K334)</ns0:f>
        <ns0:v/>
      </ns0:c>
    </ns0:row>
    <ns0:row r="335" ht="32" customHeight="1">
      <ns0:c r="A335" s="200"/>
      <ns0:c r="B335" s="201"/>
      <ns0:c r="C335" s="209"/>
      <ns0:c r="D335" s="201"/>
      <ns0:c r="E335" s="209"/>
      <ns0:c r="F335" s="200"/>
      <ns0:c r="G335" s="200"/>
      <ns0:c r="H335" s="210" t="str">
        <ns0:f>IF('_Engine'!A335=0,"",IF('_Engine'!$B$6&gt;0,"REVIEW",IF('_Engine'!L335&gt;0,"REVIEW",'_Engine'!G335)))</ns0:f>
        <ns0:v/>
      </ns0:c>
      <ns0:c r="I335" s="207"/>
      <ns0:c r="J335" s="208" t="str">
        <ns0:f>IF('_Engine'!K335="OK","OK · "&amp;TEXT('_Dates'!J335,"dd mmm yyyy")&amp;IF('_Dates'!J335='_Dates'!T335,""," → "&amp;TEXT('_Dates'!T335,"dd mmm yyyy")),'_Engine'!K335)</ns0:f>
        <ns0:v/>
      </ns0:c>
    </ns0:row>
    <ns0:row r="336" ht="32" customHeight="1">
      <ns0:c r="A336" s="200"/>
      <ns0:c r="B336" s="201"/>
      <ns0:c r="C336" s="209"/>
      <ns0:c r="D336" s="201"/>
      <ns0:c r="E336" s="209"/>
      <ns0:c r="F336" s="200"/>
      <ns0:c r="G336" s="200"/>
      <ns0:c r="H336" s="210" t="str">
        <ns0:f>IF('_Engine'!A336=0,"",IF('_Engine'!$B$6&gt;0,"REVIEW",IF('_Engine'!L336&gt;0,"REVIEW",'_Engine'!G336)))</ns0:f>
        <ns0:v/>
      </ns0:c>
      <ns0:c r="I336" s="207"/>
      <ns0:c r="J336" s="208" t="str">
        <ns0:f>IF('_Engine'!K336="OK","OK · "&amp;TEXT('_Dates'!J336,"dd mmm yyyy")&amp;IF('_Dates'!J336='_Dates'!T336,""," → "&amp;TEXT('_Dates'!T336,"dd mmm yyyy")),'_Engine'!K336)</ns0:f>
        <ns0:v/>
      </ns0:c>
    </ns0:row>
    <ns0:row r="337" ht="32" customHeight="1">
      <ns0:c r="A337" s="200"/>
      <ns0:c r="B337" s="201"/>
      <ns0:c r="C337" s="209"/>
      <ns0:c r="D337" s="201"/>
      <ns0:c r="E337" s="209"/>
      <ns0:c r="F337" s="200"/>
      <ns0:c r="G337" s="200"/>
      <ns0:c r="H337" s="210" t="str">
        <ns0:f>IF('_Engine'!A337=0,"",IF('_Engine'!$B$6&gt;0,"REVIEW",IF('_Engine'!L337&gt;0,"REVIEW",'_Engine'!G337)))</ns0:f>
        <ns0:v/>
      </ns0:c>
      <ns0:c r="I337" s="207"/>
      <ns0:c r="J337" s="208" t="str">
        <ns0:f>IF('_Engine'!K337="OK","OK · "&amp;TEXT('_Dates'!J337,"dd mmm yyyy")&amp;IF('_Dates'!J337='_Dates'!T337,""," → "&amp;TEXT('_Dates'!T337,"dd mmm yyyy")),'_Engine'!K337)</ns0:f>
        <ns0:v/>
      </ns0:c>
    </ns0:row>
    <ns0:row r="338" ht="32" customHeight="1">
      <ns0:c r="A338" s="200"/>
      <ns0:c r="B338" s="201"/>
      <ns0:c r="C338" s="209"/>
      <ns0:c r="D338" s="201"/>
      <ns0:c r="E338" s="209"/>
      <ns0:c r="F338" s="200"/>
      <ns0:c r="G338" s="200"/>
      <ns0:c r="H338" s="210" t="str">
        <ns0:f>IF('_Engine'!A338=0,"",IF('_Engine'!$B$6&gt;0,"REVIEW",IF('_Engine'!L338&gt;0,"REVIEW",'_Engine'!G338)))</ns0:f>
        <ns0:v/>
      </ns0:c>
      <ns0:c r="I338" s="207"/>
      <ns0:c r="J338" s="208" t="str">
        <ns0:f>IF('_Engine'!K338="OK","OK · "&amp;TEXT('_Dates'!J338,"dd mmm yyyy")&amp;IF('_Dates'!J338='_Dates'!T338,""," → "&amp;TEXT('_Dates'!T338,"dd mmm yyyy")),'_Engine'!K338)</ns0:f>
        <ns0:v/>
      </ns0:c>
    </ns0:row>
    <ns0:row r="339" ht="32" customHeight="1">
      <ns0:c r="A339" s="200"/>
      <ns0:c r="B339" s="201"/>
      <ns0:c r="C339" s="209"/>
      <ns0:c r="D339" s="201"/>
      <ns0:c r="E339" s="209"/>
      <ns0:c r="F339" s="200"/>
      <ns0:c r="G339" s="200"/>
      <ns0:c r="H339" s="210" t="str">
        <ns0:f>IF('_Engine'!A339=0,"",IF('_Engine'!$B$6&gt;0,"REVIEW",IF('_Engine'!L339&gt;0,"REVIEW",'_Engine'!G339)))</ns0:f>
        <ns0:v/>
      </ns0:c>
      <ns0:c r="I339" s="207"/>
      <ns0:c r="J339" s="208" t="str">
        <ns0:f>IF('_Engine'!K339="OK","OK · "&amp;TEXT('_Dates'!J339,"dd mmm yyyy")&amp;IF('_Dates'!J339='_Dates'!T339,""," → "&amp;TEXT('_Dates'!T339,"dd mmm yyyy")),'_Engine'!K339)</ns0:f>
        <ns0:v/>
      </ns0:c>
    </ns0:row>
    <ns0:row r="340" ht="32" customHeight="1">
      <ns0:c r="A340" s="200"/>
      <ns0:c r="B340" s="201"/>
      <ns0:c r="C340" s="209"/>
      <ns0:c r="D340" s="201"/>
      <ns0:c r="E340" s="209"/>
      <ns0:c r="F340" s="200"/>
      <ns0:c r="G340" s="200"/>
      <ns0:c r="H340" s="210" t="str">
        <ns0:f>IF('_Engine'!A340=0,"",IF('_Engine'!$B$6&gt;0,"REVIEW",IF('_Engine'!L340&gt;0,"REVIEW",'_Engine'!G340)))</ns0:f>
        <ns0:v/>
      </ns0:c>
      <ns0:c r="I340" s="207"/>
      <ns0:c r="J340" s="208" t="str">
        <ns0:f>IF('_Engine'!K340="OK","OK · "&amp;TEXT('_Dates'!J340,"dd mmm yyyy")&amp;IF('_Dates'!J340='_Dates'!T340,""," → "&amp;TEXT('_Dates'!T340,"dd mmm yyyy")),'_Engine'!K340)</ns0:f>
        <ns0:v/>
      </ns0:c>
    </ns0:row>
    <ns0:row r="341" ht="32" customHeight="1">
      <ns0:c r="A341" s="200"/>
      <ns0:c r="B341" s="201"/>
      <ns0:c r="C341" s="209"/>
      <ns0:c r="D341" s="201"/>
      <ns0:c r="E341" s="209"/>
      <ns0:c r="F341" s="200"/>
      <ns0:c r="G341" s="200"/>
      <ns0:c r="H341" s="210" t="str">
        <ns0:f>IF('_Engine'!A341=0,"",IF('_Engine'!$B$6&gt;0,"REVIEW",IF('_Engine'!L341&gt;0,"REVIEW",'_Engine'!G341)))</ns0:f>
        <ns0:v/>
      </ns0:c>
      <ns0:c r="I341" s="207"/>
      <ns0:c r="J341" s="208" t="str">
        <ns0:f>IF('_Engine'!K341="OK","OK · "&amp;TEXT('_Dates'!J341,"dd mmm yyyy")&amp;IF('_Dates'!J341='_Dates'!T341,""," → "&amp;TEXT('_Dates'!T341,"dd mmm yyyy")),'_Engine'!K341)</ns0:f>
        <ns0:v/>
      </ns0:c>
    </ns0:row>
    <ns0:row r="342" ht="32" customHeight="1">
      <ns0:c r="A342" s="200"/>
      <ns0:c r="B342" s="201"/>
      <ns0:c r="C342" s="209"/>
      <ns0:c r="D342" s="201"/>
      <ns0:c r="E342" s="209"/>
      <ns0:c r="F342" s="200"/>
      <ns0:c r="G342" s="200"/>
      <ns0:c r="H342" s="210" t="str">
        <ns0:f>IF('_Engine'!A342=0,"",IF('_Engine'!$B$6&gt;0,"REVIEW",IF('_Engine'!L342&gt;0,"REVIEW",'_Engine'!G342)))</ns0:f>
        <ns0:v/>
      </ns0:c>
      <ns0:c r="I342" s="207"/>
      <ns0:c r="J342" s="208" t="str">
        <ns0:f>IF('_Engine'!K342="OK","OK · "&amp;TEXT('_Dates'!J342,"dd mmm yyyy")&amp;IF('_Dates'!J342='_Dates'!T342,""," → "&amp;TEXT('_Dates'!T342,"dd mmm yyyy")),'_Engine'!K342)</ns0:f>
        <ns0:v/>
      </ns0:c>
    </ns0:row>
    <ns0:row r="343" ht="32" customHeight="1">
      <ns0:c r="A343" s="200"/>
      <ns0:c r="B343" s="201"/>
      <ns0:c r="C343" s="209"/>
      <ns0:c r="D343" s="201"/>
      <ns0:c r="E343" s="209"/>
      <ns0:c r="F343" s="200"/>
      <ns0:c r="G343" s="200"/>
      <ns0:c r="H343" s="210" t="str">
        <ns0:f>IF('_Engine'!A343=0,"",IF('_Engine'!$B$6&gt;0,"REVIEW",IF('_Engine'!L343&gt;0,"REVIEW",'_Engine'!G343)))</ns0:f>
        <ns0:v/>
      </ns0:c>
      <ns0:c r="I343" s="207"/>
      <ns0:c r="J343" s="208" t="str">
        <ns0:f>IF('_Engine'!K343="OK","OK · "&amp;TEXT('_Dates'!J343,"dd mmm yyyy")&amp;IF('_Dates'!J343='_Dates'!T343,""," → "&amp;TEXT('_Dates'!T343,"dd mmm yyyy")),'_Engine'!K343)</ns0:f>
        <ns0:v/>
      </ns0:c>
    </ns0:row>
    <ns0:row r="344" ht="32" customHeight="1">
      <ns0:c r="A344" s="200"/>
      <ns0:c r="B344" s="201"/>
      <ns0:c r="C344" s="209"/>
      <ns0:c r="D344" s="201"/>
      <ns0:c r="E344" s="209"/>
      <ns0:c r="F344" s="200"/>
      <ns0:c r="G344" s="200"/>
      <ns0:c r="H344" s="210" t="str">
        <ns0:f>IF('_Engine'!A344=0,"",IF('_Engine'!$B$6&gt;0,"REVIEW",IF('_Engine'!L344&gt;0,"REVIEW",'_Engine'!G344)))</ns0:f>
        <ns0:v/>
      </ns0:c>
      <ns0:c r="I344" s="207"/>
      <ns0:c r="J344" s="208" t="str">
        <ns0:f>IF('_Engine'!K344="OK","OK · "&amp;TEXT('_Dates'!J344,"dd mmm yyyy")&amp;IF('_Dates'!J344='_Dates'!T344,""," → "&amp;TEXT('_Dates'!T344,"dd mmm yyyy")),'_Engine'!K344)</ns0:f>
        <ns0:v/>
      </ns0:c>
    </ns0:row>
    <ns0:row r="345" ht="32" customHeight="1">
      <ns0:c r="A345" s="200"/>
      <ns0:c r="B345" s="201"/>
      <ns0:c r="C345" s="209"/>
      <ns0:c r="D345" s="201"/>
      <ns0:c r="E345" s="209"/>
      <ns0:c r="F345" s="200"/>
      <ns0:c r="G345" s="200"/>
      <ns0:c r="H345" s="210" t="str">
        <ns0:f>IF('_Engine'!A345=0,"",IF('_Engine'!$B$6&gt;0,"REVIEW",IF('_Engine'!L345&gt;0,"REVIEW",'_Engine'!G345)))</ns0:f>
        <ns0:v/>
      </ns0:c>
      <ns0:c r="I345" s="207"/>
      <ns0:c r="J345" s="208" t="str">
        <ns0:f>IF('_Engine'!K345="OK","OK · "&amp;TEXT('_Dates'!J345,"dd mmm yyyy")&amp;IF('_Dates'!J345='_Dates'!T345,""," → "&amp;TEXT('_Dates'!T345,"dd mmm yyyy")),'_Engine'!K345)</ns0:f>
        <ns0:v/>
      </ns0:c>
    </ns0:row>
    <ns0:row r="346" ht="32" customHeight="1">
      <ns0:c r="A346" s="200"/>
      <ns0:c r="B346" s="201"/>
      <ns0:c r="C346" s="209"/>
      <ns0:c r="D346" s="201"/>
      <ns0:c r="E346" s="209"/>
      <ns0:c r="F346" s="200"/>
      <ns0:c r="G346" s="200"/>
      <ns0:c r="H346" s="210" t="str">
        <ns0:f>IF('_Engine'!A346=0,"",IF('_Engine'!$B$6&gt;0,"REVIEW",IF('_Engine'!L346&gt;0,"REVIEW",'_Engine'!G346)))</ns0:f>
        <ns0:v/>
      </ns0:c>
      <ns0:c r="I346" s="207"/>
      <ns0:c r="J346" s="208" t="str">
        <ns0:f>IF('_Engine'!K346="OK","OK · "&amp;TEXT('_Dates'!J346,"dd mmm yyyy")&amp;IF('_Dates'!J346='_Dates'!T346,""," → "&amp;TEXT('_Dates'!T346,"dd mmm yyyy")),'_Engine'!K346)</ns0:f>
        <ns0:v/>
      </ns0:c>
    </ns0:row>
    <ns0:row r="347" ht="32" customHeight="1">
      <ns0:c r="A347" s="200"/>
      <ns0:c r="B347" s="201"/>
      <ns0:c r="C347" s="209"/>
      <ns0:c r="D347" s="201"/>
      <ns0:c r="E347" s="209"/>
      <ns0:c r="F347" s="200"/>
      <ns0:c r="G347" s="200"/>
      <ns0:c r="H347" s="210" t="str">
        <ns0:f>IF('_Engine'!A347=0,"",IF('_Engine'!$B$6&gt;0,"REVIEW",IF('_Engine'!L347&gt;0,"REVIEW",'_Engine'!G347)))</ns0:f>
        <ns0:v/>
      </ns0:c>
      <ns0:c r="I347" s="207"/>
      <ns0:c r="J347" s="208" t="str">
        <ns0:f>IF('_Engine'!K347="OK","OK · "&amp;TEXT('_Dates'!J347,"dd mmm yyyy")&amp;IF('_Dates'!J347='_Dates'!T347,""," → "&amp;TEXT('_Dates'!T347,"dd mmm yyyy")),'_Engine'!K347)</ns0:f>
        <ns0:v/>
      </ns0:c>
    </ns0:row>
    <ns0:row r="348" ht="32" customHeight="1">
      <ns0:c r="A348" s="200"/>
      <ns0:c r="B348" s="201"/>
      <ns0:c r="C348" s="209"/>
      <ns0:c r="D348" s="201"/>
      <ns0:c r="E348" s="209"/>
      <ns0:c r="F348" s="200"/>
      <ns0:c r="G348" s="200"/>
      <ns0:c r="H348" s="210" t="str">
        <ns0:f>IF('_Engine'!A348=0,"",IF('_Engine'!$B$6&gt;0,"REVIEW",IF('_Engine'!L348&gt;0,"REVIEW",'_Engine'!G348)))</ns0:f>
        <ns0:v/>
      </ns0:c>
      <ns0:c r="I348" s="207"/>
      <ns0:c r="J348" s="208" t="str">
        <ns0:f>IF('_Engine'!K348="OK","OK · "&amp;TEXT('_Dates'!J348,"dd mmm yyyy")&amp;IF('_Dates'!J348='_Dates'!T348,""," → "&amp;TEXT('_Dates'!T348,"dd mmm yyyy")),'_Engine'!K348)</ns0:f>
        <ns0:v/>
      </ns0:c>
    </ns0:row>
    <ns0:row r="349" ht="32" customHeight="1">
      <ns0:c r="A349" s="200"/>
      <ns0:c r="B349" s="201"/>
      <ns0:c r="C349" s="209"/>
      <ns0:c r="D349" s="201"/>
      <ns0:c r="E349" s="209"/>
      <ns0:c r="F349" s="200"/>
      <ns0:c r="G349" s="200"/>
      <ns0:c r="H349" s="210" t="str">
        <ns0:f>IF('_Engine'!A349=0,"",IF('_Engine'!$B$6&gt;0,"REVIEW",IF('_Engine'!L349&gt;0,"REVIEW",'_Engine'!G349)))</ns0:f>
        <ns0:v/>
      </ns0:c>
      <ns0:c r="I349" s="207"/>
      <ns0:c r="J349" s="208" t="str">
        <ns0:f>IF('_Engine'!K349="OK","OK · "&amp;TEXT('_Dates'!J349,"dd mmm yyyy")&amp;IF('_Dates'!J349='_Dates'!T349,""," → "&amp;TEXT('_Dates'!T349,"dd mmm yyyy")),'_Engine'!K349)</ns0:f>
        <ns0:v/>
      </ns0:c>
    </ns0:row>
    <ns0:row r="350" ht="32" customHeight="1">
      <ns0:c r="A350" s="200"/>
      <ns0:c r="B350" s="201"/>
      <ns0:c r="C350" s="209"/>
      <ns0:c r="D350" s="201"/>
      <ns0:c r="E350" s="209"/>
      <ns0:c r="F350" s="200"/>
      <ns0:c r="G350" s="200"/>
      <ns0:c r="H350" s="210" t="str">
        <ns0:f>IF('_Engine'!A350=0,"",IF('_Engine'!$B$6&gt;0,"REVIEW",IF('_Engine'!L350&gt;0,"REVIEW",'_Engine'!G350)))</ns0:f>
        <ns0:v/>
      </ns0:c>
      <ns0:c r="I350" s="207"/>
      <ns0:c r="J350" s="208" t="str">
        <ns0:f>IF('_Engine'!K350="OK","OK · "&amp;TEXT('_Dates'!J350,"dd mmm yyyy")&amp;IF('_Dates'!J350='_Dates'!T350,""," → "&amp;TEXT('_Dates'!T350,"dd mmm yyyy")),'_Engine'!K350)</ns0:f>
        <ns0:v/>
      </ns0:c>
    </ns0:row>
    <ns0:row r="351" ht="32" customHeight="1">
      <ns0:c r="A351" s="200"/>
      <ns0:c r="B351" s="201"/>
      <ns0:c r="C351" s="209"/>
      <ns0:c r="D351" s="201"/>
      <ns0:c r="E351" s="209"/>
      <ns0:c r="F351" s="200"/>
      <ns0:c r="G351" s="200"/>
      <ns0:c r="H351" s="210" t="str">
        <ns0:f>IF('_Engine'!A351=0,"",IF('_Engine'!$B$6&gt;0,"REVIEW",IF('_Engine'!L351&gt;0,"REVIEW",'_Engine'!G351)))</ns0:f>
        <ns0:v/>
      </ns0:c>
      <ns0:c r="I351" s="207"/>
      <ns0:c r="J351" s="208" t="str">
        <ns0:f>IF('_Engine'!K351="OK","OK · "&amp;TEXT('_Dates'!J351,"dd mmm yyyy")&amp;IF('_Dates'!J351='_Dates'!T351,""," → "&amp;TEXT('_Dates'!T351,"dd mmm yyyy")),'_Engine'!K351)</ns0:f>
        <ns0:v/>
      </ns0:c>
    </ns0:row>
    <ns0:row r="352" ht="32" customHeight="1">
      <ns0:c r="A352" s="200"/>
      <ns0:c r="B352" s="201"/>
      <ns0:c r="C352" s="209"/>
      <ns0:c r="D352" s="201"/>
      <ns0:c r="E352" s="209"/>
      <ns0:c r="F352" s="200"/>
      <ns0:c r="G352" s="200"/>
      <ns0:c r="H352" s="210" t="str">
        <ns0:f>IF('_Engine'!A352=0,"",IF('_Engine'!$B$6&gt;0,"REVIEW",IF('_Engine'!L352&gt;0,"REVIEW",'_Engine'!G352)))</ns0:f>
        <ns0:v/>
      </ns0:c>
      <ns0:c r="I352" s="207"/>
      <ns0:c r="J352" s="208" t="str">
        <ns0:f>IF('_Engine'!K352="OK","OK · "&amp;TEXT('_Dates'!J352,"dd mmm yyyy")&amp;IF('_Dates'!J352='_Dates'!T352,""," → "&amp;TEXT('_Dates'!T352,"dd mmm yyyy")),'_Engine'!K352)</ns0:f>
        <ns0:v/>
      </ns0:c>
    </ns0:row>
    <ns0:row r="353" ht="32" customHeight="1">
      <ns0:c r="A353" s="200"/>
      <ns0:c r="B353" s="201"/>
      <ns0:c r="C353" s="209"/>
      <ns0:c r="D353" s="201"/>
      <ns0:c r="E353" s="209"/>
      <ns0:c r="F353" s="200"/>
      <ns0:c r="G353" s="200"/>
      <ns0:c r="H353" s="210" t="str">
        <ns0:f>IF('_Engine'!A353=0,"",IF('_Engine'!$B$6&gt;0,"REVIEW",IF('_Engine'!L353&gt;0,"REVIEW",'_Engine'!G353)))</ns0:f>
        <ns0:v/>
      </ns0:c>
      <ns0:c r="I353" s="207"/>
      <ns0:c r="J353" s="208" t="str">
        <ns0:f>IF('_Engine'!K353="OK","OK · "&amp;TEXT('_Dates'!J353,"dd mmm yyyy")&amp;IF('_Dates'!J353='_Dates'!T353,""," → "&amp;TEXT('_Dates'!T353,"dd mmm yyyy")),'_Engine'!K353)</ns0:f>
        <ns0:v/>
      </ns0:c>
    </ns0:row>
    <ns0:row r="354" ht="32" customHeight="1">
      <ns0:c r="A354" s="200"/>
      <ns0:c r="B354" s="201"/>
      <ns0:c r="C354" s="209"/>
      <ns0:c r="D354" s="201"/>
      <ns0:c r="E354" s="209"/>
      <ns0:c r="F354" s="200"/>
      <ns0:c r="G354" s="200"/>
      <ns0:c r="H354" s="210" t="str">
        <ns0:f>IF('_Engine'!A354=0,"",IF('_Engine'!$B$6&gt;0,"REVIEW",IF('_Engine'!L354&gt;0,"REVIEW",'_Engine'!G354)))</ns0:f>
        <ns0:v/>
      </ns0:c>
      <ns0:c r="I354" s="207"/>
      <ns0:c r="J354" s="208" t="str">
        <ns0:f>IF('_Engine'!K354="OK","OK · "&amp;TEXT('_Dates'!J354,"dd mmm yyyy")&amp;IF('_Dates'!J354='_Dates'!T354,""," → "&amp;TEXT('_Dates'!T354,"dd mmm yyyy")),'_Engine'!K354)</ns0:f>
        <ns0:v/>
      </ns0:c>
    </ns0:row>
    <ns0:row r="355" ht="32" customHeight="1">
      <ns0:c r="A355" s="200"/>
      <ns0:c r="B355" s="201"/>
      <ns0:c r="C355" s="209"/>
      <ns0:c r="D355" s="201"/>
      <ns0:c r="E355" s="209"/>
      <ns0:c r="F355" s="200"/>
      <ns0:c r="G355" s="200"/>
      <ns0:c r="H355" s="210" t="str">
        <ns0:f>IF('_Engine'!A355=0,"",IF('_Engine'!$B$6&gt;0,"REVIEW",IF('_Engine'!L355&gt;0,"REVIEW",'_Engine'!G355)))</ns0:f>
        <ns0:v/>
      </ns0:c>
      <ns0:c r="I355" s="207"/>
      <ns0:c r="J355" s="208" t="str">
        <ns0:f>IF('_Engine'!K355="OK","OK · "&amp;TEXT('_Dates'!J355,"dd mmm yyyy")&amp;IF('_Dates'!J355='_Dates'!T355,""," → "&amp;TEXT('_Dates'!T355,"dd mmm yyyy")),'_Engine'!K355)</ns0:f>
        <ns0:v/>
      </ns0:c>
    </ns0:row>
    <ns0:row r="356" ht="32" customHeight="1">
      <ns0:c r="A356" s="200"/>
      <ns0:c r="B356" s="201"/>
      <ns0:c r="C356" s="209"/>
      <ns0:c r="D356" s="201"/>
      <ns0:c r="E356" s="209"/>
      <ns0:c r="F356" s="200"/>
      <ns0:c r="G356" s="200"/>
      <ns0:c r="H356" s="210" t="str">
        <ns0:f>IF('_Engine'!A356=0,"",IF('_Engine'!$B$6&gt;0,"REVIEW",IF('_Engine'!L356&gt;0,"REVIEW",'_Engine'!G356)))</ns0:f>
        <ns0:v/>
      </ns0:c>
      <ns0:c r="I356" s="207"/>
      <ns0:c r="J356" s="208" t="str">
        <ns0:f>IF('_Engine'!K356="OK","OK · "&amp;TEXT('_Dates'!J356,"dd mmm yyyy")&amp;IF('_Dates'!J356='_Dates'!T356,""," → "&amp;TEXT('_Dates'!T356,"dd mmm yyyy")),'_Engine'!K356)</ns0:f>
        <ns0:v/>
      </ns0:c>
    </ns0:row>
    <ns0:row r="357" ht="32" customHeight="1">
      <ns0:c r="A357" s="200"/>
      <ns0:c r="B357" s="201"/>
      <ns0:c r="C357" s="209"/>
      <ns0:c r="D357" s="201"/>
      <ns0:c r="E357" s="209"/>
      <ns0:c r="F357" s="200"/>
      <ns0:c r="G357" s="200"/>
      <ns0:c r="H357" s="210" t="str">
        <ns0:f>IF('_Engine'!A357=0,"",IF('_Engine'!$B$6&gt;0,"REVIEW",IF('_Engine'!L357&gt;0,"REVIEW",'_Engine'!G357)))</ns0:f>
        <ns0:v/>
      </ns0:c>
      <ns0:c r="I357" s="207"/>
      <ns0:c r="J357" s="208" t="str">
        <ns0:f>IF('_Engine'!K357="OK","OK · "&amp;TEXT('_Dates'!J357,"dd mmm yyyy")&amp;IF('_Dates'!J357='_Dates'!T357,""," → "&amp;TEXT('_Dates'!T357,"dd mmm yyyy")),'_Engine'!K357)</ns0:f>
        <ns0:v/>
      </ns0:c>
    </ns0:row>
    <ns0:row r="358" ht="32" customHeight="1">
      <ns0:c r="A358" s="200"/>
      <ns0:c r="B358" s="201"/>
      <ns0:c r="C358" s="209"/>
      <ns0:c r="D358" s="201"/>
      <ns0:c r="E358" s="209"/>
      <ns0:c r="F358" s="200"/>
      <ns0:c r="G358" s="200"/>
      <ns0:c r="H358" s="210" t="str">
        <ns0:f>IF('_Engine'!A358=0,"",IF('_Engine'!$B$6&gt;0,"REVIEW",IF('_Engine'!L358&gt;0,"REVIEW",'_Engine'!G358)))</ns0:f>
        <ns0:v/>
      </ns0:c>
      <ns0:c r="I358" s="207"/>
      <ns0:c r="J358" s="208" t="str">
        <ns0:f>IF('_Engine'!K358="OK","OK · "&amp;TEXT('_Dates'!J358,"dd mmm yyyy")&amp;IF('_Dates'!J358='_Dates'!T358,""," → "&amp;TEXT('_Dates'!T358,"dd mmm yyyy")),'_Engine'!K358)</ns0:f>
        <ns0:v/>
      </ns0:c>
    </ns0:row>
    <ns0:row r="359" ht="32" customHeight="1">
      <ns0:c r="A359" s="200"/>
      <ns0:c r="B359" s="201"/>
      <ns0:c r="C359" s="209"/>
      <ns0:c r="D359" s="201"/>
      <ns0:c r="E359" s="209"/>
      <ns0:c r="F359" s="200"/>
      <ns0:c r="G359" s="200"/>
      <ns0:c r="H359" s="210" t="str">
        <ns0:f>IF('_Engine'!A359=0,"",IF('_Engine'!$B$6&gt;0,"REVIEW",IF('_Engine'!L359&gt;0,"REVIEW",'_Engine'!G359)))</ns0:f>
        <ns0:v/>
      </ns0:c>
      <ns0:c r="I359" s="207"/>
      <ns0:c r="J359" s="208" t="str">
        <ns0:f>IF('_Engine'!K359="OK","OK · "&amp;TEXT('_Dates'!J359,"dd mmm yyyy")&amp;IF('_Dates'!J359='_Dates'!T359,""," → "&amp;TEXT('_Dates'!T359,"dd mmm yyyy")),'_Engine'!K359)</ns0:f>
        <ns0:v/>
      </ns0:c>
    </ns0:row>
    <ns0:row r="360" ht="32" customHeight="1">
      <ns0:c r="A360" s="200"/>
      <ns0:c r="B360" s="201"/>
      <ns0:c r="C360" s="209"/>
      <ns0:c r="D360" s="201"/>
      <ns0:c r="E360" s="209"/>
      <ns0:c r="F360" s="200"/>
      <ns0:c r="G360" s="200"/>
      <ns0:c r="H360" s="210" t="str">
        <ns0:f>IF('_Engine'!A360=0,"",IF('_Engine'!$B$6&gt;0,"REVIEW",IF('_Engine'!L360&gt;0,"REVIEW",'_Engine'!G360)))</ns0:f>
        <ns0:v/>
      </ns0:c>
      <ns0:c r="I360" s="207"/>
      <ns0:c r="J360" s="208" t="str">
        <ns0:f>IF('_Engine'!K360="OK","OK · "&amp;TEXT('_Dates'!J360,"dd mmm yyyy")&amp;IF('_Dates'!J360='_Dates'!T360,""," → "&amp;TEXT('_Dates'!T360,"dd mmm yyyy")),'_Engine'!K360)</ns0:f>
        <ns0:v/>
      </ns0:c>
    </ns0:row>
    <ns0:row r="361" ht="32" customHeight="1">
      <ns0:c r="A361" s="200"/>
      <ns0:c r="B361" s="201"/>
      <ns0:c r="C361" s="209"/>
      <ns0:c r="D361" s="201"/>
      <ns0:c r="E361" s="209"/>
      <ns0:c r="F361" s="200"/>
      <ns0:c r="G361" s="200"/>
      <ns0:c r="H361" s="210" t="str">
        <ns0:f>IF('_Engine'!A361=0,"",IF('_Engine'!$B$6&gt;0,"REVIEW",IF('_Engine'!L361&gt;0,"REVIEW",'_Engine'!G361)))</ns0:f>
        <ns0:v/>
      </ns0:c>
      <ns0:c r="I361" s="207"/>
      <ns0:c r="J361" s="208" t="str">
        <ns0:f>IF('_Engine'!K361="OK","OK · "&amp;TEXT('_Dates'!J361,"dd mmm yyyy")&amp;IF('_Dates'!J361='_Dates'!T361,""," → "&amp;TEXT('_Dates'!T361,"dd mmm yyyy")),'_Engine'!K361)</ns0:f>
        <ns0:v/>
      </ns0:c>
    </ns0:row>
    <ns0:row r="362" ht="32" customHeight="1">
      <ns0:c r="A362" s="200"/>
      <ns0:c r="B362" s="201"/>
      <ns0:c r="C362" s="209"/>
      <ns0:c r="D362" s="201"/>
      <ns0:c r="E362" s="209"/>
      <ns0:c r="F362" s="200"/>
      <ns0:c r="G362" s="200"/>
      <ns0:c r="H362" s="210" t="str">
        <ns0:f>IF('_Engine'!A362=0,"",IF('_Engine'!$B$6&gt;0,"REVIEW",IF('_Engine'!L362&gt;0,"REVIEW",'_Engine'!G362)))</ns0:f>
        <ns0:v/>
      </ns0:c>
      <ns0:c r="I362" s="207"/>
      <ns0:c r="J362" s="208" t="str">
        <ns0:f>IF('_Engine'!K362="OK","OK · "&amp;TEXT('_Dates'!J362,"dd mmm yyyy")&amp;IF('_Dates'!J362='_Dates'!T362,""," → "&amp;TEXT('_Dates'!T362,"dd mmm yyyy")),'_Engine'!K362)</ns0:f>
        <ns0:v/>
      </ns0:c>
    </ns0:row>
    <ns0:row r="363" ht="32" customHeight="1">
      <ns0:c r="A363" s="200"/>
      <ns0:c r="B363" s="201"/>
      <ns0:c r="C363" s="209"/>
      <ns0:c r="D363" s="201"/>
      <ns0:c r="E363" s="209"/>
      <ns0:c r="F363" s="200"/>
      <ns0:c r="G363" s="200"/>
      <ns0:c r="H363" s="210" t="str">
        <ns0:f>IF('_Engine'!A363=0,"",IF('_Engine'!$B$6&gt;0,"REVIEW",IF('_Engine'!L363&gt;0,"REVIEW",'_Engine'!G363)))</ns0:f>
        <ns0:v/>
      </ns0:c>
      <ns0:c r="I363" s="207"/>
      <ns0:c r="J363" s="208" t="str">
        <ns0:f>IF('_Engine'!K363="OK","OK · "&amp;TEXT('_Dates'!J363,"dd mmm yyyy")&amp;IF('_Dates'!J363='_Dates'!T363,""," → "&amp;TEXT('_Dates'!T363,"dd mmm yyyy")),'_Engine'!K363)</ns0:f>
        <ns0:v/>
      </ns0:c>
    </ns0:row>
    <ns0:row r="364" ht="32" customHeight="1">
      <ns0:c r="A364" s="200"/>
      <ns0:c r="B364" s="201"/>
      <ns0:c r="C364" s="209"/>
      <ns0:c r="D364" s="201"/>
      <ns0:c r="E364" s="209"/>
      <ns0:c r="F364" s="200"/>
      <ns0:c r="G364" s="200"/>
      <ns0:c r="H364" s="210" t="str">
        <ns0:f>IF('_Engine'!A364=0,"",IF('_Engine'!$B$6&gt;0,"REVIEW",IF('_Engine'!L364&gt;0,"REVIEW",'_Engine'!G364)))</ns0:f>
        <ns0:v/>
      </ns0:c>
      <ns0:c r="I364" s="207"/>
      <ns0:c r="J364" s="208" t="str">
        <ns0:f>IF('_Engine'!K364="OK","OK · "&amp;TEXT('_Dates'!J364,"dd mmm yyyy")&amp;IF('_Dates'!J364='_Dates'!T364,""," → "&amp;TEXT('_Dates'!T364,"dd mmm yyyy")),'_Engine'!K364)</ns0:f>
        <ns0:v/>
      </ns0:c>
    </ns0:row>
    <ns0:row r="365" ht="32" customHeight="1">
      <ns0:c r="A365" s="200"/>
      <ns0:c r="B365" s="201"/>
      <ns0:c r="C365" s="209"/>
      <ns0:c r="D365" s="201"/>
      <ns0:c r="E365" s="209"/>
      <ns0:c r="F365" s="200"/>
      <ns0:c r="G365" s="200"/>
      <ns0:c r="H365" s="210" t="str">
        <ns0:f>IF('_Engine'!A365=0,"",IF('_Engine'!$B$6&gt;0,"REVIEW",IF('_Engine'!L365&gt;0,"REVIEW",'_Engine'!G365)))</ns0:f>
        <ns0:v/>
      </ns0:c>
      <ns0:c r="I365" s="207"/>
      <ns0:c r="J365" s="208" t="str">
        <ns0:f>IF('_Engine'!K365="OK","OK · "&amp;TEXT('_Dates'!J365,"dd mmm yyyy")&amp;IF('_Dates'!J365='_Dates'!T365,""," → "&amp;TEXT('_Dates'!T365,"dd mmm yyyy")),'_Engine'!K365)</ns0:f>
        <ns0:v/>
      </ns0:c>
    </ns0:row>
    <ns0:row r="366" ht="32" customHeight="1">
      <ns0:c r="A366" s="200"/>
      <ns0:c r="B366" s="201"/>
      <ns0:c r="C366" s="209"/>
      <ns0:c r="D366" s="201"/>
      <ns0:c r="E366" s="209"/>
      <ns0:c r="F366" s="200"/>
      <ns0:c r="G366" s="200"/>
      <ns0:c r="H366" s="210" t="str">
        <ns0:f>IF('_Engine'!A366=0,"",IF('_Engine'!$B$6&gt;0,"REVIEW",IF('_Engine'!L366&gt;0,"REVIEW",'_Engine'!G366)))</ns0:f>
        <ns0:v/>
      </ns0:c>
      <ns0:c r="I366" s="207"/>
      <ns0:c r="J366" s="208" t="str">
        <ns0:f>IF('_Engine'!K366="OK","OK · "&amp;TEXT('_Dates'!J366,"dd mmm yyyy")&amp;IF('_Dates'!J366='_Dates'!T366,""," → "&amp;TEXT('_Dates'!T366,"dd mmm yyyy")),'_Engine'!K366)</ns0:f>
        <ns0:v/>
      </ns0:c>
    </ns0:row>
    <ns0:row r="367" ht="32" customHeight="1">
      <ns0:c r="A367" s="200"/>
      <ns0:c r="B367" s="201"/>
      <ns0:c r="C367" s="209"/>
      <ns0:c r="D367" s="201"/>
      <ns0:c r="E367" s="209"/>
      <ns0:c r="F367" s="200"/>
      <ns0:c r="G367" s="200"/>
      <ns0:c r="H367" s="210" t="str">
        <ns0:f>IF('_Engine'!A367=0,"",IF('_Engine'!$B$6&gt;0,"REVIEW",IF('_Engine'!L367&gt;0,"REVIEW",'_Engine'!G367)))</ns0:f>
        <ns0:v/>
      </ns0:c>
      <ns0:c r="I367" s="207"/>
      <ns0:c r="J367" s="208" t="str">
        <ns0:f>IF('_Engine'!K367="OK","OK · "&amp;TEXT('_Dates'!J367,"dd mmm yyyy")&amp;IF('_Dates'!J367='_Dates'!T367,""," → "&amp;TEXT('_Dates'!T367,"dd mmm yyyy")),'_Engine'!K367)</ns0:f>
        <ns0:v/>
      </ns0:c>
    </ns0:row>
    <ns0:row r="368" ht="32" customHeight="1">
      <ns0:c r="A368" s="200"/>
      <ns0:c r="B368" s="201"/>
      <ns0:c r="C368" s="209"/>
      <ns0:c r="D368" s="201"/>
      <ns0:c r="E368" s="209"/>
      <ns0:c r="F368" s="200"/>
      <ns0:c r="G368" s="200"/>
      <ns0:c r="H368" s="210" t="str">
        <ns0:f>IF('_Engine'!A368=0,"",IF('_Engine'!$B$6&gt;0,"REVIEW",IF('_Engine'!L368&gt;0,"REVIEW",'_Engine'!G368)))</ns0:f>
        <ns0:v/>
      </ns0:c>
      <ns0:c r="I368" s="207"/>
      <ns0:c r="J368" s="208" t="str">
        <ns0:f>IF('_Engine'!K368="OK","OK · "&amp;TEXT('_Dates'!J368,"dd mmm yyyy")&amp;IF('_Dates'!J368='_Dates'!T368,""," → "&amp;TEXT('_Dates'!T368,"dd mmm yyyy")),'_Engine'!K368)</ns0:f>
        <ns0:v/>
      </ns0:c>
    </ns0:row>
    <ns0:row r="369" ht="32" customHeight="1">
      <ns0:c r="A369" s="200"/>
      <ns0:c r="B369" s="201"/>
      <ns0:c r="C369" s="209"/>
      <ns0:c r="D369" s="201"/>
      <ns0:c r="E369" s="209"/>
      <ns0:c r="F369" s="200"/>
      <ns0:c r="G369" s="200"/>
      <ns0:c r="H369" s="210" t="str">
        <ns0:f>IF('_Engine'!A369=0,"",IF('_Engine'!$B$6&gt;0,"REVIEW",IF('_Engine'!L369&gt;0,"REVIEW",'_Engine'!G369)))</ns0:f>
        <ns0:v/>
      </ns0:c>
      <ns0:c r="I369" s="207"/>
      <ns0:c r="J369" s="208" t="str">
        <ns0:f>IF('_Engine'!K369="OK","OK · "&amp;TEXT('_Dates'!J369,"dd mmm yyyy")&amp;IF('_Dates'!J369='_Dates'!T369,""," → "&amp;TEXT('_Dates'!T369,"dd mmm yyyy")),'_Engine'!K369)</ns0:f>
        <ns0:v/>
      </ns0:c>
    </ns0:row>
    <ns0:row r="370" ht="32" customHeight="1">
      <ns0:c r="A370" s="200"/>
      <ns0:c r="B370" s="201"/>
      <ns0:c r="C370" s="209"/>
      <ns0:c r="D370" s="201"/>
      <ns0:c r="E370" s="209"/>
      <ns0:c r="F370" s="200"/>
      <ns0:c r="G370" s="200"/>
      <ns0:c r="H370" s="210" t="str">
        <ns0:f>IF('_Engine'!A370=0,"",IF('_Engine'!$B$6&gt;0,"REVIEW",IF('_Engine'!L370&gt;0,"REVIEW",'_Engine'!G370)))</ns0:f>
        <ns0:v/>
      </ns0:c>
      <ns0:c r="I370" s="207"/>
      <ns0:c r="J370" s="208" t="str">
        <ns0:f>IF('_Engine'!K370="OK","OK · "&amp;TEXT('_Dates'!J370,"dd mmm yyyy")&amp;IF('_Dates'!J370='_Dates'!T370,""," → "&amp;TEXT('_Dates'!T370,"dd mmm yyyy")),'_Engine'!K370)</ns0:f>
        <ns0:v/>
      </ns0:c>
    </ns0:row>
    <ns0:row r="371" ht="32" customHeight="1">
      <ns0:c r="A371" s="200"/>
      <ns0:c r="B371" s="201"/>
      <ns0:c r="C371" s="209"/>
      <ns0:c r="D371" s="201"/>
      <ns0:c r="E371" s="209"/>
      <ns0:c r="F371" s="200"/>
      <ns0:c r="G371" s="200"/>
      <ns0:c r="H371" s="210" t="str">
        <ns0:f>IF('_Engine'!A371=0,"",IF('_Engine'!$B$6&gt;0,"REVIEW",IF('_Engine'!L371&gt;0,"REVIEW",'_Engine'!G371)))</ns0:f>
        <ns0:v/>
      </ns0:c>
      <ns0:c r="I371" s="207"/>
      <ns0:c r="J371" s="208" t="str">
        <ns0:f>IF('_Engine'!K371="OK","OK · "&amp;TEXT('_Dates'!J371,"dd mmm yyyy")&amp;IF('_Dates'!J371='_Dates'!T371,""," → "&amp;TEXT('_Dates'!T371,"dd mmm yyyy")),'_Engine'!K371)</ns0:f>
        <ns0:v/>
      </ns0:c>
    </ns0:row>
    <ns0:row r="372" ht="32" customHeight="1">
      <ns0:c r="A372" s="200"/>
      <ns0:c r="B372" s="201"/>
      <ns0:c r="C372" s="209"/>
      <ns0:c r="D372" s="201"/>
      <ns0:c r="E372" s="209"/>
      <ns0:c r="F372" s="200"/>
      <ns0:c r="G372" s="200"/>
      <ns0:c r="H372" s="210" t="str">
        <ns0:f>IF('_Engine'!A372=0,"",IF('_Engine'!$B$6&gt;0,"REVIEW",IF('_Engine'!L372&gt;0,"REVIEW",'_Engine'!G372)))</ns0:f>
        <ns0:v/>
      </ns0:c>
      <ns0:c r="I372" s="207"/>
      <ns0:c r="J372" s="208" t="str">
        <ns0:f>IF('_Engine'!K372="OK","OK · "&amp;TEXT('_Dates'!J372,"dd mmm yyyy")&amp;IF('_Dates'!J372='_Dates'!T372,""," → "&amp;TEXT('_Dates'!T372,"dd mmm yyyy")),'_Engine'!K372)</ns0:f>
        <ns0:v/>
      </ns0:c>
    </ns0:row>
    <ns0:row r="373" ht="32" customHeight="1">
      <ns0:c r="A373" s="200"/>
      <ns0:c r="B373" s="201"/>
      <ns0:c r="C373" s="209"/>
      <ns0:c r="D373" s="201"/>
      <ns0:c r="E373" s="209"/>
      <ns0:c r="F373" s="200"/>
      <ns0:c r="G373" s="200"/>
      <ns0:c r="H373" s="210" t="str">
        <ns0:f>IF('_Engine'!A373=0,"",IF('_Engine'!$B$6&gt;0,"REVIEW",IF('_Engine'!L373&gt;0,"REVIEW",'_Engine'!G373)))</ns0:f>
        <ns0:v/>
      </ns0:c>
      <ns0:c r="I373" s="207"/>
      <ns0:c r="J373" s="208" t="str">
        <ns0:f>IF('_Engine'!K373="OK","OK · "&amp;TEXT('_Dates'!J373,"dd mmm yyyy")&amp;IF('_Dates'!J373='_Dates'!T373,""," → "&amp;TEXT('_Dates'!T373,"dd mmm yyyy")),'_Engine'!K373)</ns0:f>
        <ns0:v/>
      </ns0:c>
    </ns0:row>
    <ns0:row r="374" ht="32" customHeight="1">
      <ns0:c r="A374" s="200"/>
      <ns0:c r="B374" s="201"/>
      <ns0:c r="C374" s="209"/>
      <ns0:c r="D374" s="201"/>
      <ns0:c r="E374" s="209"/>
      <ns0:c r="F374" s="200"/>
      <ns0:c r="G374" s="200"/>
      <ns0:c r="H374" s="210" t="str">
        <ns0:f>IF('_Engine'!A374=0,"",IF('_Engine'!$B$6&gt;0,"REVIEW",IF('_Engine'!L374&gt;0,"REVIEW",'_Engine'!G374)))</ns0:f>
        <ns0:v/>
      </ns0:c>
      <ns0:c r="I374" s="207"/>
      <ns0:c r="J374" s="208" t="str">
        <ns0:f>IF('_Engine'!K374="OK","OK · "&amp;TEXT('_Dates'!J374,"dd mmm yyyy")&amp;IF('_Dates'!J374='_Dates'!T374,""," → "&amp;TEXT('_Dates'!T374,"dd mmm yyyy")),'_Engine'!K374)</ns0:f>
        <ns0:v/>
      </ns0:c>
    </ns0:row>
    <ns0:row r="375" ht="32" customHeight="1">
      <ns0:c r="A375" s="200"/>
      <ns0:c r="B375" s="201"/>
      <ns0:c r="C375" s="209"/>
      <ns0:c r="D375" s="201"/>
      <ns0:c r="E375" s="209"/>
      <ns0:c r="F375" s="200"/>
      <ns0:c r="G375" s="200"/>
      <ns0:c r="H375" s="210" t="str">
        <ns0:f>IF('_Engine'!A375=0,"",IF('_Engine'!$B$6&gt;0,"REVIEW",IF('_Engine'!L375&gt;0,"REVIEW",'_Engine'!G375)))</ns0:f>
        <ns0:v/>
      </ns0:c>
      <ns0:c r="I375" s="207"/>
      <ns0:c r="J375" s="208" t="str">
        <ns0:f>IF('_Engine'!K375="OK","OK · "&amp;TEXT('_Dates'!J375,"dd mmm yyyy")&amp;IF('_Dates'!J375='_Dates'!T375,""," → "&amp;TEXT('_Dates'!T375,"dd mmm yyyy")),'_Engine'!K375)</ns0:f>
        <ns0:v/>
      </ns0:c>
    </ns0:row>
    <ns0:row r="376" ht="32" customHeight="1">
      <ns0:c r="A376" s="200"/>
      <ns0:c r="B376" s="201"/>
      <ns0:c r="C376" s="209"/>
      <ns0:c r="D376" s="201"/>
      <ns0:c r="E376" s="209"/>
      <ns0:c r="F376" s="200"/>
      <ns0:c r="G376" s="200"/>
      <ns0:c r="H376" s="210" t="str">
        <ns0:f>IF('_Engine'!A376=0,"",IF('_Engine'!$B$6&gt;0,"REVIEW",IF('_Engine'!L376&gt;0,"REVIEW",'_Engine'!G376)))</ns0:f>
        <ns0:v/>
      </ns0:c>
      <ns0:c r="I376" s="207"/>
      <ns0:c r="J376" s="208" t="str">
        <ns0:f>IF('_Engine'!K376="OK","OK · "&amp;TEXT('_Dates'!J376,"dd mmm yyyy")&amp;IF('_Dates'!J376='_Dates'!T376,""," → "&amp;TEXT('_Dates'!T376,"dd mmm yyyy")),'_Engine'!K376)</ns0:f>
        <ns0:v/>
      </ns0:c>
    </ns0:row>
    <ns0:row r="377" ht="32" customHeight="1">
      <ns0:c r="A377" s="200"/>
      <ns0:c r="B377" s="201"/>
      <ns0:c r="C377" s="209"/>
      <ns0:c r="D377" s="201"/>
      <ns0:c r="E377" s="209"/>
      <ns0:c r="F377" s="200"/>
      <ns0:c r="G377" s="200"/>
      <ns0:c r="H377" s="210" t="str">
        <ns0:f>IF('_Engine'!A377=0,"",IF('_Engine'!$B$6&gt;0,"REVIEW",IF('_Engine'!L377&gt;0,"REVIEW",'_Engine'!G377)))</ns0:f>
        <ns0:v/>
      </ns0:c>
      <ns0:c r="I377" s="207"/>
      <ns0:c r="J377" s="208" t="str">
        <ns0:f>IF('_Engine'!K377="OK","OK · "&amp;TEXT('_Dates'!J377,"dd mmm yyyy")&amp;IF('_Dates'!J377='_Dates'!T377,""," → "&amp;TEXT('_Dates'!T377,"dd mmm yyyy")),'_Engine'!K377)</ns0:f>
        <ns0:v/>
      </ns0:c>
    </ns0:row>
    <ns0:row r="378" ht="32" customHeight="1">
      <ns0:c r="A378" s="200"/>
      <ns0:c r="B378" s="201"/>
      <ns0:c r="C378" s="209"/>
      <ns0:c r="D378" s="201"/>
      <ns0:c r="E378" s="209"/>
      <ns0:c r="F378" s="200"/>
      <ns0:c r="G378" s="200"/>
      <ns0:c r="H378" s="210" t="str">
        <ns0:f>IF('_Engine'!A378=0,"",IF('_Engine'!$B$6&gt;0,"REVIEW",IF('_Engine'!L378&gt;0,"REVIEW",'_Engine'!G378)))</ns0:f>
        <ns0:v/>
      </ns0:c>
      <ns0:c r="I378" s="207"/>
      <ns0:c r="J378" s="208" t="str">
        <ns0:f>IF('_Engine'!K378="OK","OK · "&amp;TEXT('_Dates'!J378,"dd mmm yyyy")&amp;IF('_Dates'!J378='_Dates'!T378,""," → "&amp;TEXT('_Dates'!T378,"dd mmm yyyy")),'_Engine'!K378)</ns0:f>
        <ns0:v/>
      </ns0:c>
    </ns0:row>
    <ns0:row r="379" ht="32" customHeight="1">
      <ns0:c r="A379" s="200"/>
      <ns0:c r="B379" s="201"/>
      <ns0:c r="C379" s="209"/>
      <ns0:c r="D379" s="201"/>
      <ns0:c r="E379" s="209"/>
      <ns0:c r="F379" s="200"/>
      <ns0:c r="G379" s="200"/>
      <ns0:c r="H379" s="210" t="str">
        <ns0:f>IF('_Engine'!A379=0,"",IF('_Engine'!$B$6&gt;0,"REVIEW",IF('_Engine'!L379&gt;0,"REVIEW",'_Engine'!G379)))</ns0:f>
        <ns0:v/>
      </ns0:c>
      <ns0:c r="I379" s="207"/>
      <ns0:c r="J379" s="208" t="str">
        <ns0:f>IF('_Engine'!K379="OK","OK · "&amp;TEXT('_Dates'!J379,"dd mmm yyyy")&amp;IF('_Dates'!J379='_Dates'!T379,""," → "&amp;TEXT('_Dates'!T379,"dd mmm yyyy")),'_Engine'!K379)</ns0:f>
        <ns0:v/>
      </ns0:c>
    </ns0:row>
    <ns0:row r="380" ht="32" customHeight="1">
      <ns0:c r="A380" s="200"/>
      <ns0:c r="B380" s="201"/>
      <ns0:c r="C380" s="209"/>
      <ns0:c r="D380" s="201"/>
      <ns0:c r="E380" s="209"/>
      <ns0:c r="F380" s="200"/>
      <ns0:c r="G380" s="200"/>
      <ns0:c r="H380" s="210" t="str">
        <ns0:f>IF('_Engine'!A380=0,"",IF('_Engine'!$B$6&gt;0,"REVIEW",IF('_Engine'!L380&gt;0,"REVIEW",'_Engine'!G380)))</ns0:f>
        <ns0:v/>
      </ns0:c>
      <ns0:c r="I380" s="207"/>
      <ns0:c r="J380" s="208" t="str">
        <ns0:f>IF('_Engine'!K380="OK","OK · "&amp;TEXT('_Dates'!J380,"dd mmm yyyy")&amp;IF('_Dates'!J380='_Dates'!T380,""," → "&amp;TEXT('_Dates'!T380,"dd mmm yyyy")),'_Engine'!K380)</ns0:f>
        <ns0:v/>
      </ns0:c>
    </ns0:row>
    <ns0:row r="381" ht="32" customHeight="1">
      <ns0:c r="A381" s="200"/>
      <ns0:c r="B381" s="201"/>
      <ns0:c r="C381" s="209"/>
      <ns0:c r="D381" s="201"/>
      <ns0:c r="E381" s="209"/>
      <ns0:c r="F381" s="200"/>
      <ns0:c r="G381" s="200"/>
      <ns0:c r="H381" s="210" t="str">
        <ns0:f>IF('_Engine'!A381=0,"",IF('_Engine'!$B$6&gt;0,"REVIEW",IF('_Engine'!L381&gt;0,"REVIEW",'_Engine'!G381)))</ns0:f>
        <ns0:v/>
      </ns0:c>
      <ns0:c r="I381" s="207"/>
      <ns0:c r="J381" s="208" t="str">
        <ns0:f>IF('_Engine'!K381="OK","OK · "&amp;TEXT('_Dates'!J381,"dd mmm yyyy")&amp;IF('_Dates'!J381='_Dates'!T381,""," → "&amp;TEXT('_Dates'!T381,"dd mmm yyyy")),'_Engine'!K381)</ns0:f>
        <ns0:v/>
      </ns0:c>
    </ns0:row>
    <ns0:row r="382" ht="32" customHeight="1">
      <ns0:c r="A382" s="200"/>
      <ns0:c r="B382" s="201"/>
      <ns0:c r="C382" s="209"/>
      <ns0:c r="D382" s="201"/>
      <ns0:c r="E382" s="209"/>
      <ns0:c r="F382" s="200"/>
      <ns0:c r="G382" s="200"/>
      <ns0:c r="H382" s="210" t="str">
        <ns0:f>IF('_Engine'!A382=0,"",IF('_Engine'!$B$6&gt;0,"REVIEW",IF('_Engine'!L382&gt;0,"REVIEW",'_Engine'!G382)))</ns0:f>
        <ns0:v/>
      </ns0:c>
      <ns0:c r="I382" s="207"/>
      <ns0:c r="J382" s="208" t="str">
        <ns0:f>IF('_Engine'!K382="OK","OK · "&amp;TEXT('_Dates'!J382,"dd mmm yyyy")&amp;IF('_Dates'!J382='_Dates'!T382,""," → "&amp;TEXT('_Dates'!T382,"dd mmm yyyy")),'_Engine'!K382)</ns0:f>
        <ns0:v/>
      </ns0:c>
    </ns0:row>
    <ns0:row r="383" ht="32" customHeight="1">
      <ns0:c r="A383" s="200"/>
      <ns0:c r="B383" s="201"/>
      <ns0:c r="C383" s="209"/>
      <ns0:c r="D383" s="201"/>
      <ns0:c r="E383" s="209"/>
      <ns0:c r="F383" s="200"/>
      <ns0:c r="G383" s="200"/>
      <ns0:c r="H383" s="210" t="str">
        <ns0:f>IF('_Engine'!A383=0,"",IF('_Engine'!$B$6&gt;0,"REVIEW",IF('_Engine'!L383&gt;0,"REVIEW",'_Engine'!G383)))</ns0:f>
        <ns0:v/>
      </ns0:c>
      <ns0:c r="I383" s="207"/>
      <ns0:c r="J383" s="208" t="str">
        <ns0:f>IF('_Engine'!K383="OK","OK · "&amp;TEXT('_Dates'!J383,"dd mmm yyyy")&amp;IF('_Dates'!J383='_Dates'!T383,""," → "&amp;TEXT('_Dates'!T383,"dd mmm yyyy")),'_Engine'!K383)</ns0:f>
        <ns0:v/>
      </ns0:c>
    </ns0:row>
    <ns0:row r="384" ht="32" customHeight="1">
      <ns0:c r="A384" s="200"/>
      <ns0:c r="B384" s="201"/>
      <ns0:c r="C384" s="209"/>
      <ns0:c r="D384" s="201"/>
      <ns0:c r="E384" s="209"/>
      <ns0:c r="F384" s="200"/>
      <ns0:c r="G384" s="200"/>
      <ns0:c r="H384" s="210" t="str">
        <ns0:f>IF('_Engine'!A384=0,"",IF('_Engine'!$B$6&gt;0,"REVIEW",IF('_Engine'!L384&gt;0,"REVIEW",'_Engine'!G384)))</ns0:f>
        <ns0:v/>
      </ns0:c>
      <ns0:c r="I384" s="207"/>
      <ns0:c r="J384" s="208" t="str">
        <ns0:f>IF('_Engine'!K384="OK","OK · "&amp;TEXT('_Dates'!J384,"dd mmm yyyy")&amp;IF('_Dates'!J384='_Dates'!T384,""," → "&amp;TEXT('_Dates'!T384,"dd mmm yyyy")),'_Engine'!K384)</ns0:f>
        <ns0:v/>
      </ns0:c>
    </ns0:row>
    <ns0:row r="385" ht="32" customHeight="1">
      <ns0:c r="A385" s="200"/>
      <ns0:c r="B385" s="201"/>
      <ns0:c r="C385" s="209"/>
      <ns0:c r="D385" s="201"/>
      <ns0:c r="E385" s="209"/>
      <ns0:c r="F385" s="200"/>
      <ns0:c r="G385" s="200"/>
      <ns0:c r="H385" s="210" t="str">
        <ns0:f>IF('_Engine'!A385=0,"",IF('_Engine'!$B$6&gt;0,"REVIEW",IF('_Engine'!L385&gt;0,"REVIEW",'_Engine'!G385)))</ns0:f>
        <ns0:v/>
      </ns0:c>
      <ns0:c r="I385" s="207"/>
      <ns0:c r="J385" s="208" t="str">
        <ns0:f>IF('_Engine'!K385="OK","OK · "&amp;TEXT('_Dates'!J385,"dd mmm yyyy")&amp;IF('_Dates'!J385='_Dates'!T385,""," → "&amp;TEXT('_Dates'!T385,"dd mmm yyyy")),'_Engine'!K385)</ns0:f>
        <ns0:v/>
      </ns0:c>
    </ns0:row>
    <ns0:row r="386" ht="32" customHeight="1">
      <ns0:c r="A386" s="200"/>
      <ns0:c r="B386" s="201"/>
      <ns0:c r="C386" s="209"/>
      <ns0:c r="D386" s="201"/>
      <ns0:c r="E386" s="209"/>
      <ns0:c r="F386" s="200"/>
      <ns0:c r="G386" s="200"/>
      <ns0:c r="H386" s="210" t="str">
        <ns0:f>IF('_Engine'!A386=0,"",IF('_Engine'!$B$6&gt;0,"REVIEW",IF('_Engine'!L386&gt;0,"REVIEW",'_Engine'!G386)))</ns0:f>
        <ns0:v/>
      </ns0:c>
      <ns0:c r="I386" s="207"/>
      <ns0:c r="J386" s="208" t="str">
        <ns0:f>IF('_Engine'!K386="OK","OK · "&amp;TEXT('_Dates'!J386,"dd mmm yyyy")&amp;IF('_Dates'!J386='_Dates'!T386,""," → "&amp;TEXT('_Dates'!T386,"dd mmm yyyy")),'_Engine'!K386)</ns0:f>
        <ns0:v/>
      </ns0:c>
    </ns0:row>
    <ns0:row r="387" ht="32" customHeight="1">
      <ns0:c r="A387" s="200"/>
      <ns0:c r="B387" s="201"/>
      <ns0:c r="C387" s="209"/>
      <ns0:c r="D387" s="201"/>
      <ns0:c r="E387" s="209"/>
      <ns0:c r="F387" s="200"/>
      <ns0:c r="G387" s="200"/>
      <ns0:c r="H387" s="210" t="str">
        <ns0:f>IF('_Engine'!A387=0,"",IF('_Engine'!$B$6&gt;0,"REVIEW",IF('_Engine'!L387&gt;0,"REVIEW",'_Engine'!G387)))</ns0:f>
        <ns0:v/>
      </ns0:c>
      <ns0:c r="I387" s="207"/>
      <ns0:c r="J387" s="208" t="str">
        <ns0:f>IF('_Engine'!K387="OK","OK · "&amp;TEXT('_Dates'!J387,"dd mmm yyyy")&amp;IF('_Dates'!J387='_Dates'!T387,""," → "&amp;TEXT('_Dates'!T387,"dd mmm yyyy")),'_Engine'!K387)</ns0:f>
        <ns0:v/>
      </ns0:c>
    </ns0:row>
    <ns0:row r="388" ht="32" customHeight="1">
      <ns0:c r="A388" s="200"/>
      <ns0:c r="B388" s="201"/>
      <ns0:c r="C388" s="209"/>
      <ns0:c r="D388" s="201"/>
      <ns0:c r="E388" s="209"/>
      <ns0:c r="F388" s="200"/>
      <ns0:c r="G388" s="200"/>
      <ns0:c r="H388" s="210" t="str">
        <ns0:f>IF('_Engine'!A388=0,"",IF('_Engine'!$B$6&gt;0,"REVIEW",IF('_Engine'!L388&gt;0,"REVIEW",'_Engine'!G388)))</ns0:f>
        <ns0:v/>
      </ns0:c>
      <ns0:c r="I388" s="207"/>
      <ns0:c r="J388" s="208" t="str">
        <ns0:f>IF('_Engine'!K388="OK","OK · "&amp;TEXT('_Dates'!J388,"dd mmm yyyy")&amp;IF('_Dates'!J388='_Dates'!T388,""," → "&amp;TEXT('_Dates'!T388,"dd mmm yyyy")),'_Engine'!K388)</ns0:f>
        <ns0:v/>
      </ns0:c>
    </ns0:row>
    <ns0:row r="389" ht="32" customHeight="1">
      <ns0:c r="A389" s="200"/>
      <ns0:c r="B389" s="201"/>
      <ns0:c r="C389" s="209"/>
      <ns0:c r="D389" s="201"/>
      <ns0:c r="E389" s="209"/>
      <ns0:c r="F389" s="200"/>
      <ns0:c r="G389" s="200"/>
      <ns0:c r="H389" s="210" t="str">
        <ns0:f>IF('_Engine'!A389=0,"",IF('_Engine'!$B$6&gt;0,"REVIEW",IF('_Engine'!L389&gt;0,"REVIEW",'_Engine'!G389)))</ns0:f>
        <ns0:v/>
      </ns0:c>
      <ns0:c r="I389" s="207"/>
      <ns0:c r="J389" s="208" t="str">
        <ns0:f>IF('_Engine'!K389="OK","OK · "&amp;TEXT('_Dates'!J389,"dd mmm yyyy")&amp;IF('_Dates'!J389='_Dates'!T389,""," → "&amp;TEXT('_Dates'!T389,"dd mmm yyyy")),'_Engine'!K389)</ns0:f>
        <ns0:v/>
      </ns0:c>
    </ns0:row>
    <ns0:row r="390" ht="32" customHeight="1">
      <ns0:c r="A390" s="200"/>
      <ns0:c r="B390" s="201"/>
      <ns0:c r="C390" s="209"/>
      <ns0:c r="D390" s="201"/>
      <ns0:c r="E390" s="209"/>
      <ns0:c r="F390" s="200"/>
      <ns0:c r="G390" s="200"/>
      <ns0:c r="H390" s="210" t="str">
        <ns0:f>IF('_Engine'!A390=0,"",IF('_Engine'!$B$6&gt;0,"REVIEW",IF('_Engine'!L390&gt;0,"REVIEW",'_Engine'!G390)))</ns0:f>
        <ns0:v/>
      </ns0:c>
      <ns0:c r="I390" s="207"/>
      <ns0:c r="J390" s="208" t="str">
        <ns0:f>IF('_Engine'!K390="OK","OK · "&amp;TEXT('_Dates'!J390,"dd mmm yyyy")&amp;IF('_Dates'!J390='_Dates'!T390,""," → "&amp;TEXT('_Dates'!T390,"dd mmm yyyy")),'_Engine'!K390)</ns0:f>
        <ns0:v/>
      </ns0:c>
    </ns0:row>
    <ns0:row r="391" ht="32" customHeight="1">
      <ns0:c r="A391" s="200"/>
      <ns0:c r="B391" s="201"/>
      <ns0:c r="C391" s="209"/>
      <ns0:c r="D391" s="201"/>
      <ns0:c r="E391" s="209"/>
      <ns0:c r="F391" s="200"/>
      <ns0:c r="G391" s="200"/>
      <ns0:c r="H391" s="210" t="str">
        <ns0:f>IF('_Engine'!A391=0,"",IF('_Engine'!$B$6&gt;0,"REVIEW",IF('_Engine'!L391&gt;0,"REVIEW",'_Engine'!G391)))</ns0:f>
        <ns0:v/>
      </ns0:c>
      <ns0:c r="I391" s="207"/>
      <ns0:c r="J391" s="208" t="str">
        <ns0:f>IF('_Engine'!K391="OK","OK · "&amp;TEXT('_Dates'!J391,"dd mmm yyyy")&amp;IF('_Dates'!J391='_Dates'!T391,""," → "&amp;TEXT('_Dates'!T391,"dd mmm yyyy")),'_Engine'!K391)</ns0:f>
        <ns0:v/>
      </ns0:c>
    </ns0:row>
    <ns0:row r="392" ht="32" customHeight="1">
      <ns0:c r="A392" s="200"/>
      <ns0:c r="B392" s="201"/>
      <ns0:c r="C392" s="209"/>
      <ns0:c r="D392" s="201"/>
      <ns0:c r="E392" s="209"/>
      <ns0:c r="F392" s="200"/>
      <ns0:c r="G392" s="200"/>
      <ns0:c r="H392" s="210" t="str">
        <ns0:f>IF('_Engine'!A392=0,"",IF('_Engine'!$B$6&gt;0,"REVIEW",IF('_Engine'!L392&gt;0,"REVIEW",'_Engine'!G392)))</ns0:f>
        <ns0:v/>
      </ns0:c>
      <ns0:c r="I392" s="207"/>
      <ns0:c r="J392" s="208" t="str">
        <ns0:f>IF('_Engine'!K392="OK","OK · "&amp;TEXT('_Dates'!J392,"dd mmm yyyy")&amp;IF('_Dates'!J392='_Dates'!T392,""," → "&amp;TEXT('_Dates'!T392,"dd mmm yyyy")),'_Engine'!K392)</ns0:f>
        <ns0:v/>
      </ns0:c>
    </ns0:row>
    <ns0:row r="393" ht="32" customHeight="1">
      <ns0:c r="A393" s="200"/>
      <ns0:c r="B393" s="201"/>
      <ns0:c r="C393" s="209"/>
      <ns0:c r="D393" s="201"/>
      <ns0:c r="E393" s="209"/>
      <ns0:c r="F393" s="200"/>
      <ns0:c r="G393" s="200"/>
      <ns0:c r="H393" s="210" t="str">
        <ns0:f>IF('_Engine'!A393=0,"",IF('_Engine'!$B$6&gt;0,"REVIEW",IF('_Engine'!L393&gt;0,"REVIEW",'_Engine'!G393)))</ns0:f>
        <ns0:v/>
      </ns0:c>
      <ns0:c r="I393" s="207"/>
      <ns0:c r="J393" s="208" t="str">
        <ns0:f>IF('_Engine'!K393="OK","OK · "&amp;TEXT('_Dates'!J393,"dd mmm yyyy")&amp;IF('_Dates'!J393='_Dates'!T393,""," → "&amp;TEXT('_Dates'!T393,"dd mmm yyyy")),'_Engine'!K393)</ns0:f>
        <ns0:v/>
      </ns0:c>
    </ns0:row>
    <ns0:row r="394" ht="32" customHeight="1">
      <ns0:c r="A394" s="200"/>
      <ns0:c r="B394" s="201"/>
      <ns0:c r="C394" s="209"/>
      <ns0:c r="D394" s="201"/>
      <ns0:c r="E394" s="209"/>
      <ns0:c r="F394" s="200"/>
      <ns0:c r="G394" s="200"/>
      <ns0:c r="H394" s="210" t="str">
        <ns0:f>IF('_Engine'!A394=0,"",IF('_Engine'!$B$6&gt;0,"REVIEW",IF('_Engine'!L394&gt;0,"REVIEW",'_Engine'!G394)))</ns0:f>
        <ns0:v/>
      </ns0:c>
      <ns0:c r="I394" s="207"/>
      <ns0:c r="J394" s="208" t="str">
        <ns0:f>IF('_Engine'!K394="OK","OK · "&amp;TEXT('_Dates'!J394,"dd mmm yyyy")&amp;IF('_Dates'!J394='_Dates'!T394,""," → "&amp;TEXT('_Dates'!T394,"dd mmm yyyy")),'_Engine'!K394)</ns0:f>
        <ns0:v/>
      </ns0:c>
    </ns0:row>
    <ns0:row r="395" ht="32" customHeight="1">
      <ns0:c r="A395" s="200"/>
      <ns0:c r="B395" s="201"/>
      <ns0:c r="C395" s="209"/>
      <ns0:c r="D395" s="201"/>
      <ns0:c r="E395" s="209"/>
      <ns0:c r="F395" s="200"/>
      <ns0:c r="G395" s="200"/>
      <ns0:c r="H395" s="210" t="str">
        <ns0:f>IF('_Engine'!A395=0,"",IF('_Engine'!$B$6&gt;0,"REVIEW",IF('_Engine'!L395&gt;0,"REVIEW",'_Engine'!G395)))</ns0:f>
        <ns0:v/>
      </ns0:c>
      <ns0:c r="I395" s="207"/>
      <ns0:c r="J395" s="208" t="str">
        <ns0:f>IF('_Engine'!K395="OK","OK · "&amp;TEXT('_Dates'!J395,"dd mmm yyyy")&amp;IF('_Dates'!J395='_Dates'!T395,""," → "&amp;TEXT('_Dates'!T395,"dd mmm yyyy")),'_Engine'!K395)</ns0:f>
        <ns0:v/>
      </ns0:c>
    </ns0:row>
    <ns0:row r="396" ht="32" customHeight="1">
      <ns0:c r="A396" s="200"/>
      <ns0:c r="B396" s="201"/>
      <ns0:c r="C396" s="209"/>
      <ns0:c r="D396" s="201"/>
      <ns0:c r="E396" s="209"/>
      <ns0:c r="F396" s="200"/>
      <ns0:c r="G396" s="200"/>
      <ns0:c r="H396" s="210" t="str">
        <ns0:f>IF('_Engine'!A396=0,"",IF('_Engine'!$B$6&gt;0,"REVIEW",IF('_Engine'!L396&gt;0,"REVIEW",'_Engine'!G396)))</ns0:f>
        <ns0:v/>
      </ns0:c>
      <ns0:c r="I396" s="207"/>
      <ns0:c r="J396" s="208" t="str">
        <ns0:f>IF('_Engine'!K396="OK","OK · "&amp;TEXT('_Dates'!J396,"dd mmm yyyy")&amp;IF('_Dates'!J396='_Dates'!T396,""," → "&amp;TEXT('_Dates'!T396,"dd mmm yyyy")),'_Engine'!K396)</ns0:f>
        <ns0:v/>
      </ns0:c>
    </ns0:row>
    <ns0:row r="397" ht="32" customHeight="1">
      <ns0:c r="A397" s="200"/>
      <ns0:c r="B397" s="201"/>
      <ns0:c r="C397" s="209"/>
      <ns0:c r="D397" s="201"/>
      <ns0:c r="E397" s="209"/>
      <ns0:c r="F397" s="200"/>
      <ns0:c r="G397" s="200"/>
      <ns0:c r="H397" s="210" t="str">
        <ns0:f>IF('_Engine'!A397=0,"",IF('_Engine'!$B$6&gt;0,"REVIEW",IF('_Engine'!L397&gt;0,"REVIEW",'_Engine'!G397)))</ns0:f>
        <ns0:v/>
      </ns0:c>
      <ns0:c r="I397" s="207"/>
      <ns0:c r="J397" s="208" t="str">
        <ns0:f>IF('_Engine'!K397="OK","OK · "&amp;TEXT('_Dates'!J397,"dd mmm yyyy")&amp;IF('_Dates'!J397='_Dates'!T397,""," → "&amp;TEXT('_Dates'!T397,"dd mmm yyyy")),'_Engine'!K397)</ns0:f>
        <ns0:v/>
      </ns0:c>
    </ns0:row>
    <ns0:row r="398" ht="32" customHeight="1">
      <ns0:c r="A398" s="200"/>
      <ns0:c r="B398" s="201"/>
      <ns0:c r="C398" s="209"/>
      <ns0:c r="D398" s="201"/>
      <ns0:c r="E398" s="209"/>
      <ns0:c r="F398" s="200"/>
      <ns0:c r="G398" s="200"/>
      <ns0:c r="H398" s="210" t="str">
        <ns0:f>IF('_Engine'!A398=0,"",IF('_Engine'!$B$6&gt;0,"REVIEW",IF('_Engine'!L398&gt;0,"REVIEW",'_Engine'!G398)))</ns0:f>
        <ns0:v/>
      </ns0:c>
      <ns0:c r="I398" s="207"/>
      <ns0:c r="J398" s="208" t="str">
        <ns0:f>IF('_Engine'!K398="OK","OK · "&amp;TEXT('_Dates'!J398,"dd mmm yyyy")&amp;IF('_Dates'!J398='_Dates'!T398,""," → "&amp;TEXT('_Dates'!T398,"dd mmm yyyy")),'_Engine'!K398)</ns0:f>
        <ns0:v/>
      </ns0:c>
    </ns0:row>
    <ns0:row r="399" ht="32" customHeight="1">
      <ns0:c r="A399" s="200"/>
      <ns0:c r="B399" s="201"/>
      <ns0:c r="C399" s="209"/>
      <ns0:c r="D399" s="201"/>
      <ns0:c r="E399" s="209"/>
      <ns0:c r="F399" s="200"/>
      <ns0:c r="G399" s="200"/>
      <ns0:c r="H399" s="210" t="str">
        <ns0:f>IF('_Engine'!A399=0,"",IF('_Engine'!$B$6&gt;0,"REVIEW",IF('_Engine'!L399&gt;0,"REVIEW",'_Engine'!G399)))</ns0:f>
        <ns0:v/>
      </ns0:c>
      <ns0:c r="I399" s="207"/>
      <ns0:c r="J399" s="208" t="str">
        <ns0:f>IF('_Engine'!K399="OK","OK · "&amp;TEXT('_Dates'!J399,"dd mmm yyyy")&amp;IF('_Dates'!J399='_Dates'!T399,""," → "&amp;TEXT('_Dates'!T399,"dd mmm yyyy")),'_Engine'!K399)</ns0:f>
        <ns0:v/>
      </ns0:c>
    </ns0:row>
    <ns0:row r="400" ht="32" customHeight="1">
      <ns0:c r="A400" s="200"/>
      <ns0:c r="B400" s="201"/>
      <ns0:c r="C400" s="209"/>
      <ns0:c r="D400" s="201"/>
      <ns0:c r="E400" s="209"/>
      <ns0:c r="F400" s="200"/>
      <ns0:c r="G400" s="200"/>
      <ns0:c r="H400" s="210" t="str">
        <ns0:f>IF('_Engine'!A400=0,"",IF('_Engine'!$B$6&gt;0,"REVIEW",IF('_Engine'!L400&gt;0,"REVIEW",'_Engine'!G400)))</ns0:f>
        <ns0:v/>
      </ns0:c>
      <ns0:c r="I400" s="207"/>
      <ns0:c r="J400" s="208" t="str">
        <ns0:f>IF('_Engine'!K400="OK","OK · "&amp;TEXT('_Dates'!J400,"dd mmm yyyy")&amp;IF('_Dates'!J400='_Dates'!T400,""," → "&amp;TEXT('_Dates'!T400,"dd mmm yyyy")),'_Engine'!K400)</ns0:f>
        <ns0:v/>
      </ns0:c>
    </ns0:row>
    <ns0:row r="401" ht="32" customHeight="1">
      <ns0:c r="A401" s="200"/>
      <ns0:c r="B401" s="201"/>
      <ns0:c r="C401" s="209"/>
      <ns0:c r="D401" s="201"/>
      <ns0:c r="E401" s="209"/>
      <ns0:c r="F401" s="200"/>
      <ns0:c r="G401" s="200"/>
      <ns0:c r="H401" s="210" t="str">
        <ns0:f>IF('_Engine'!A401=0,"",IF('_Engine'!$B$6&gt;0,"REVIEW",IF('_Engine'!L401&gt;0,"REVIEW",'_Engine'!G401)))</ns0:f>
        <ns0:v/>
      </ns0:c>
      <ns0:c r="I401" s="207"/>
      <ns0:c r="J401" s="208" t="str">
        <ns0:f>IF('_Engine'!K401="OK","OK · "&amp;TEXT('_Dates'!J401,"dd mmm yyyy")&amp;IF('_Dates'!J401='_Dates'!T401,""," → "&amp;TEXT('_Dates'!T401,"dd mmm yyyy")),'_Engine'!K401)</ns0:f>
        <ns0:v/>
      </ns0:c>
    </ns0:row>
    <ns0:row r="402" ht="32" customHeight="1">
      <ns0:c r="A402" s="200"/>
      <ns0:c r="B402" s="201"/>
      <ns0:c r="C402" s="209"/>
      <ns0:c r="D402" s="201"/>
      <ns0:c r="E402" s="209"/>
      <ns0:c r="F402" s="200"/>
      <ns0:c r="G402" s="200"/>
      <ns0:c r="H402" s="210" t="str">
        <ns0:f>IF('_Engine'!A402=0,"",IF('_Engine'!$B$6&gt;0,"REVIEW",IF('_Engine'!L402&gt;0,"REVIEW",'_Engine'!G402)))</ns0:f>
        <ns0:v/>
      </ns0:c>
      <ns0:c r="I402" s="207"/>
      <ns0:c r="J402" s="208" t="str">
        <ns0:f>IF('_Engine'!K402="OK","OK · "&amp;TEXT('_Dates'!J402,"dd mmm yyyy")&amp;IF('_Dates'!J402='_Dates'!T402,""," → "&amp;TEXT('_Dates'!T402,"dd mmm yyyy")),'_Engine'!K402)</ns0:f>
        <ns0:v/>
      </ns0:c>
    </ns0:row>
    <ns0:row r="403" ht="32" customHeight="1">
      <ns0:c r="A403" s="200"/>
      <ns0:c r="B403" s="201"/>
      <ns0:c r="C403" s="209"/>
      <ns0:c r="D403" s="201"/>
      <ns0:c r="E403" s="209"/>
      <ns0:c r="F403" s="200"/>
      <ns0:c r="G403" s="200"/>
      <ns0:c r="H403" s="210" t="str">
        <ns0:f>IF('_Engine'!A403=0,"",IF('_Engine'!$B$6&gt;0,"REVIEW",IF('_Engine'!L403&gt;0,"REVIEW",'_Engine'!G403)))</ns0:f>
        <ns0:v/>
      </ns0:c>
      <ns0:c r="I403" s="207"/>
      <ns0:c r="J403" s="208" t="str">
        <ns0:f>IF('_Engine'!K403="OK","OK · "&amp;TEXT('_Dates'!J403,"dd mmm yyyy")&amp;IF('_Dates'!J403='_Dates'!T403,""," → "&amp;TEXT('_Dates'!T403,"dd mmm yyyy")),'_Engine'!K403)</ns0:f>
        <ns0:v/>
      </ns0:c>
    </ns0:row>
    <ns0:row r="404" ht="32" customHeight="1">
      <ns0:c r="A404" s="200"/>
      <ns0:c r="B404" s="201"/>
      <ns0:c r="C404" s="209"/>
      <ns0:c r="D404" s="201"/>
      <ns0:c r="E404" s="209"/>
      <ns0:c r="F404" s="200"/>
      <ns0:c r="G404" s="200"/>
      <ns0:c r="H404" s="210" t="str">
        <ns0:f>IF('_Engine'!A404=0,"",IF('_Engine'!$B$6&gt;0,"REVIEW",IF('_Engine'!L404&gt;0,"REVIEW",'_Engine'!G404)))</ns0:f>
        <ns0:v/>
      </ns0:c>
      <ns0:c r="I404" s="207"/>
      <ns0:c r="J404" s="208" t="str">
        <ns0:f>IF('_Engine'!K404="OK","OK · "&amp;TEXT('_Dates'!J404,"dd mmm yyyy")&amp;IF('_Dates'!J404='_Dates'!T404,""," → "&amp;TEXT('_Dates'!T404,"dd mmm yyyy")),'_Engine'!K404)</ns0:f>
        <ns0:v/>
      </ns0:c>
    </ns0:row>
    <ns0:row r="405" ht="32" customHeight="1">
      <ns0:c r="A405" s="200"/>
      <ns0:c r="B405" s="201"/>
      <ns0:c r="C405" s="209"/>
      <ns0:c r="D405" s="201"/>
      <ns0:c r="E405" s="209"/>
      <ns0:c r="F405" s="200"/>
      <ns0:c r="G405" s="200"/>
      <ns0:c r="H405" s="210" t="str">
        <ns0:f>IF('_Engine'!A405=0,"",IF('_Engine'!$B$6&gt;0,"REVIEW",IF('_Engine'!L405&gt;0,"REVIEW",'_Engine'!G405)))</ns0:f>
        <ns0:v/>
      </ns0:c>
      <ns0:c r="I405" s="207"/>
      <ns0:c r="J405" s="208" t="str">
        <ns0:f>IF('_Engine'!K405="OK","OK · "&amp;TEXT('_Dates'!J405,"dd mmm yyyy")&amp;IF('_Dates'!J405='_Dates'!T405,""," → "&amp;TEXT('_Dates'!T405,"dd mmm yyyy")),'_Engine'!K405)</ns0:f>
        <ns0:v/>
      </ns0:c>
    </ns0:row>
    <ns0:row r="406" ht="32" customHeight="1">
      <ns0:c r="A406" s="200"/>
      <ns0:c r="B406" s="201"/>
      <ns0:c r="C406" s="209"/>
      <ns0:c r="D406" s="201"/>
      <ns0:c r="E406" s="209"/>
      <ns0:c r="F406" s="200"/>
      <ns0:c r="G406" s="200"/>
      <ns0:c r="H406" s="210" t="str">
        <ns0:f>IF('_Engine'!A406=0,"",IF('_Engine'!$B$6&gt;0,"REVIEW",IF('_Engine'!L406&gt;0,"REVIEW",'_Engine'!G406)))</ns0:f>
        <ns0:v/>
      </ns0:c>
      <ns0:c r="I406" s="207"/>
      <ns0:c r="J406" s="208" t="str">
        <ns0:f>IF('_Engine'!K406="OK","OK · "&amp;TEXT('_Dates'!J406,"dd mmm yyyy")&amp;IF('_Dates'!J406='_Dates'!T406,""," → "&amp;TEXT('_Dates'!T406,"dd mmm yyyy")),'_Engine'!K406)</ns0:f>
        <ns0:v/>
      </ns0:c>
    </ns0:row>
    <ns0:row r="407" ht="32" customHeight="1">
      <ns0:c r="A407" s="200"/>
      <ns0:c r="B407" s="201"/>
      <ns0:c r="C407" s="209"/>
      <ns0:c r="D407" s="201"/>
      <ns0:c r="E407" s="209"/>
      <ns0:c r="F407" s="200"/>
      <ns0:c r="G407" s="200"/>
      <ns0:c r="H407" s="210" t="str">
        <ns0:f>IF('_Engine'!A407=0,"",IF('_Engine'!$B$6&gt;0,"REVIEW",IF('_Engine'!L407&gt;0,"REVIEW",'_Engine'!G407)))</ns0:f>
        <ns0:v/>
      </ns0:c>
      <ns0:c r="I407" s="207"/>
      <ns0:c r="J407" s="208" t="str">
        <ns0:f>IF('_Engine'!K407="OK","OK · "&amp;TEXT('_Dates'!J407,"dd mmm yyyy")&amp;IF('_Dates'!J407='_Dates'!T407,""," → "&amp;TEXT('_Dates'!T407,"dd mmm yyyy")),'_Engine'!K407)</ns0:f>
        <ns0:v/>
      </ns0:c>
    </ns0:row>
    <ns0:row r="408" ht="32" customHeight="1">
      <ns0:c r="A408" s="200"/>
      <ns0:c r="B408" s="201"/>
      <ns0:c r="C408" s="209"/>
      <ns0:c r="D408" s="201"/>
      <ns0:c r="E408" s="209"/>
      <ns0:c r="F408" s="200"/>
      <ns0:c r="G408" s="200"/>
      <ns0:c r="H408" s="210" t="str">
        <ns0:f>IF('_Engine'!A408=0,"",IF('_Engine'!$B$6&gt;0,"REVIEW",IF('_Engine'!L408&gt;0,"REVIEW",'_Engine'!G408)))</ns0:f>
        <ns0:v/>
      </ns0:c>
      <ns0:c r="I408" s="207"/>
      <ns0:c r="J408" s="208" t="str">
        <ns0:f>IF('_Engine'!K408="OK","OK · "&amp;TEXT('_Dates'!J408,"dd mmm yyyy")&amp;IF('_Dates'!J408='_Dates'!T408,""," → "&amp;TEXT('_Dates'!T408,"dd mmm yyyy")),'_Engine'!K408)</ns0:f>
        <ns0:v/>
      </ns0:c>
    </ns0:row>
    <ns0:row r="409" ht="32" customHeight="1">
      <ns0:c r="A409" s="200"/>
      <ns0:c r="B409" s="201"/>
      <ns0:c r="C409" s="209"/>
      <ns0:c r="D409" s="201"/>
      <ns0:c r="E409" s="209"/>
      <ns0:c r="F409" s="200"/>
      <ns0:c r="G409" s="200"/>
      <ns0:c r="H409" s="210" t="str">
        <ns0:f>IF('_Engine'!A409=0,"",IF('_Engine'!$B$6&gt;0,"REVIEW",IF('_Engine'!L409&gt;0,"REVIEW",'_Engine'!G409)))</ns0:f>
        <ns0:v/>
      </ns0:c>
      <ns0:c r="I409" s="207"/>
      <ns0:c r="J409" s="208" t="str">
        <ns0:f>IF('_Engine'!K409="OK","OK · "&amp;TEXT('_Dates'!J409,"dd mmm yyyy")&amp;IF('_Dates'!J409='_Dates'!T409,""," → "&amp;TEXT('_Dates'!T409,"dd mmm yyyy")),'_Engine'!K409)</ns0:f>
        <ns0:v/>
      </ns0:c>
    </ns0:row>
    <ns0:row r="410" ht="32" customHeight="1">
      <ns0:c r="A410" s="200"/>
      <ns0:c r="B410" s="201"/>
      <ns0:c r="C410" s="209"/>
      <ns0:c r="D410" s="201"/>
      <ns0:c r="E410" s="209"/>
      <ns0:c r="F410" s="200"/>
      <ns0:c r="G410" s="200"/>
      <ns0:c r="H410" s="210" t="str">
        <ns0:f>IF('_Engine'!A410=0,"",IF('_Engine'!$B$6&gt;0,"REVIEW",IF('_Engine'!L410&gt;0,"REVIEW",'_Engine'!G410)))</ns0:f>
        <ns0:v/>
      </ns0:c>
      <ns0:c r="I410" s="207"/>
      <ns0:c r="J410" s="208" t="str">
        <ns0:f>IF('_Engine'!K410="OK","OK · "&amp;TEXT('_Dates'!J410,"dd mmm yyyy")&amp;IF('_Dates'!J410='_Dates'!T410,""," → "&amp;TEXT('_Dates'!T410,"dd mmm yyyy")),'_Engine'!K410)</ns0:f>
        <ns0:v/>
      </ns0:c>
    </ns0:row>
    <ns0:row r="411" ht="32" customHeight="1">
      <ns0:c r="A411" s="200"/>
      <ns0:c r="B411" s="201"/>
      <ns0:c r="C411" s="209"/>
      <ns0:c r="D411" s="201"/>
      <ns0:c r="E411" s="209"/>
      <ns0:c r="F411" s="200"/>
      <ns0:c r="G411" s="200"/>
      <ns0:c r="H411" s="210" t="str">
        <ns0:f>IF('_Engine'!A411=0,"",IF('_Engine'!$B$6&gt;0,"REVIEW",IF('_Engine'!L411&gt;0,"REVIEW",'_Engine'!G411)))</ns0:f>
        <ns0:v/>
      </ns0:c>
      <ns0:c r="I411" s="207"/>
      <ns0:c r="J411" s="208" t="str">
        <ns0:f>IF('_Engine'!K411="OK","OK · "&amp;TEXT('_Dates'!J411,"dd mmm yyyy")&amp;IF('_Dates'!J411='_Dates'!T411,""," → "&amp;TEXT('_Dates'!T411,"dd mmm yyyy")),'_Engine'!K411)</ns0:f>
        <ns0:v/>
      </ns0:c>
    </ns0:row>
    <ns0:row r="412" ht="32" customHeight="1">
      <ns0:c r="A412" s="200"/>
      <ns0:c r="B412" s="201"/>
      <ns0:c r="C412" s="209"/>
      <ns0:c r="D412" s="201"/>
      <ns0:c r="E412" s="209"/>
      <ns0:c r="F412" s="200"/>
      <ns0:c r="G412" s="200"/>
      <ns0:c r="H412" s="210" t="str">
        <ns0:f>IF('_Engine'!A412=0,"",IF('_Engine'!$B$6&gt;0,"REVIEW",IF('_Engine'!L412&gt;0,"REVIEW",'_Engine'!G412)))</ns0:f>
        <ns0:v/>
      </ns0:c>
      <ns0:c r="I412" s="207"/>
      <ns0:c r="J412" s="208" t="str">
        <ns0:f>IF('_Engine'!K412="OK","OK · "&amp;TEXT('_Dates'!J412,"dd mmm yyyy")&amp;IF('_Dates'!J412='_Dates'!T412,""," → "&amp;TEXT('_Dates'!T412,"dd mmm yyyy")),'_Engine'!K412)</ns0:f>
        <ns0:v/>
      </ns0:c>
    </ns0:row>
    <ns0:row r="413" ht="32" customHeight="1">
      <ns0:c r="A413" s="200"/>
      <ns0:c r="B413" s="201"/>
      <ns0:c r="C413" s="209"/>
      <ns0:c r="D413" s="201"/>
      <ns0:c r="E413" s="209"/>
      <ns0:c r="F413" s="200"/>
      <ns0:c r="G413" s="200"/>
      <ns0:c r="H413" s="210" t="str">
        <ns0:f>IF('_Engine'!A413=0,"",IF('_Engine'!$B$6&gt;0,"REVIEW",IF('_Engine'!L413&gt;0,"REVIEW",'_Engine'!G413)))</ns0:f>
        <ns0:v/>
      </ns0:c>
      <ns0:c r="I413" s="207"/>
      <ns0:c r="J413" s="208" t="str">
        <ns0:f>IF('_Engine'!K413="OK","OK · "&amp;TEXT('_Dates'!J413,"dd mmm yyyy")&amp;IF('_Dates'!J413='_Dates'!T413,""," → "&amp;TEXT('_Dates'!T413,"dd mmm yyyy")),'_Engine'!K413)</ns0:f>
        <ns0:v/>
      </ns0:c>
    </ns0:row>
    <ns0:row r="414" ht="32" customHeight="1">
      <ns0:c r="A414" s="200"/>
      <ns0:c r="B414" s="201"/>
      <ns0:c r="C414" s="209"/>
      <ns0:c r="D414" s="201"/>
      <ns0:c r="E414" s="209"/>
      <ns0:c r="F414" s="200"/>
      <ns0:c r="G414" s="200"/>
      <ns0:c r="H414" s="210" t="str">
        <ns0:f>IF('_Engine'!A414=0,"",IF('_Engine'!$B$6&gt;0,"REVIEW",IF('_Engine'!L414&gt;0,"REVIEW",'_Engine'!G414)))</ns0:f>
        <ns0:v/>
      </ns0:c>
      <ns0:c r="I414" s="207"/>
      <ns0:c r="J414" s="208" t="str">
        <ns0:f>IF('_Engine'!K414="OK","OK · "&amp;TEXT('_Dates'!J414,"dd mmm yyyy")&amp;IF('_Dates'!J414='_Dates'!T414,""," → "&amp;TEXT('_Dates'!T414,"dd mmm yyyy")),'_Engine'!K414)</ns0:f>
        <ns0:v/>
      </ns0:c>
    </ns0:row>
    <ns0:row r="415" ht="32" customHeight="1">
      <ns0:c r="A415" s="200"/>
      <ns0:c r="B415" s="201"/>
      <ns0:c r="C415" s="209"/>
      <ns0:c r="D415" s="201"/>
      <ns0:c r="E415" s="209"/>
      <ns0:c r="F415" s="200"/>
      <ns0:c r="G415" s="200"/>
      <ns0:c r="H415" s="210" t="str">
        <ns0:f>IF('_Engine'!A415=0,"",IF('_Engine'!$B$6&gt;0,"REVIEW",IF('_Engine'!L415&gt;0,"REVIEW",'_Engine'!G415)))</ns0:f>
        <ns0:v/>
      </ns0:c>
      <ns0:c r="I415" s="207"/>
      <ns0:c r="J415" s="208" t="str">
        <ns0:f>IF('_Engine'!K415="OK","OK · "&amp;TEXT('_Dates'!J415,"dd mmm yyyy")&amp;IF('_Dates'!J415='_Dates'!T415,""," → "&amp;TEXT('_Dates'!T415,"dd mmm yyyy")),'_Engine'!K415)</ns0:f>
        <ns0:v/>
      </ns0:c>
    </ns0:row>
    <ns0:row r="416" ht="32" customHeight="1">
      <ns0:c r="A416" s="200"/>
      <ns0:c r="B416" s="201"/>
      <ns0:c r="C416" s="209"/>
      <ns0:c r="D416" s="201"/>
      <ns0:c r="E416" s="209"/>
      <ns0:c r="F416" s="200"/>
      <ns0:c r="G416" s="200"/>
      <ns0:c r="H416" s="210" t="str">
        <ns0:f>IF('_Engine'!A416=0,"",IF('_Engine'!$B$6&gt;0,"REVIEW",IF('_Engine'!L416&gt;0,"REVIEW",'_Engine'!G416)))</ns0:f>
        <ns0:v/>
      </ns0:c>
      <ns0:c r="I416" s="207"/>
      <ns0:c r="J416" s="208" t="str">
        <ns0:f>IF('_Engine'!K416="OK","OK · "&amp;TEXT('_Dates'!J416,"dd mmm yyyy")&amp;IF('_Dates'!J416='_Dates'!T416,""," → "&amp;TEXT('_Dates'!T416,"dd mmm yyyy")),'_Engine'!K416)</ns0:f>
        <ns0:v/>
      </ns0:c>
    </ns0:row>
    <ns0:row r="417" ht="32" customHeight="1">
      <ns0:c r="A417" s="200"/>
      <ns0:c r="B417" s="201"/>
      <ns0:c r="C417" s="209"/>
      <ns0:c r="D417" s="201"/>
      <ns0:c r="E417" s="209"/>
      <ns0:c r="F417" s="200"/>
      <ns0:c r="G417" s="200"/>
      <ns0:c r="H417" s="210" t="str">
        <ns0:f>IF('_Engine'!A417=0,"",IF('_Engine'!$B$6&gt;0,"REVIEW",IF('_Engine'!L417&gt;0,"REVIEW",'_Engine'!G417)))</ns0:f>
        <ns0:v/>
      </ns0:c>
      <ns0:c r="I417" s="207"/>
      <ns0:c r="J417" s="208" t="str">
        <ns0:f>IF('_Engine'!K417="OK","OK · "&amp;TEXT('_Dates'!J417,"dd mmm yyyy")&amp;IF('_Dates'!J417='_Dates'!T417,""," → "&amp;TEXT('_Dates'!T417,"dd mmm yyyy")),'_Engine'!K417)</ns0:f>
        <ns0:v/>
      </ns0:c>
    </ns0:row>
    <ns0:row r="418" ht="32" customHeight="1">
      <ns0:c r="A418" s="200"/>
      <ns0:c r="B418" s="201"/>
      <ns0:c r="C418" s="209"/>
      <ns0:c r="D418" s="201"/>
      <ns0:c r="E418" s="209"/>
      <ns0:c r="F418" s="200"/>
      <ns0:c r="G418" s="200"/>
      <ns0:c r="H418" s="210" t="str">
        <ns0:f>IF('_Engine'!A418=0,"",IF('_Engine'!$B$6&gt;0,"REVIEW",IF('_Engine'!L418&gt;0,"REVIEW",'_Engine'!G418)))</ns0:f>
        <ns0:v/>
      </ns0:c>
      <ns0:c r="I418" s="207"/>
      <ns0:c r="J418" s="208" t="str">
        <ns0:f>IF('_Engine'!K418="OK","OK · "&amp;TEXT('_Dates'!J418,"dd mmm yyyy")&amp;IF('_Dates'!J418='_Dates'!T418,""," → "&amp;TEXT('_Dates'!T418,"dd mmm yyyy")),'_Engine'!K418)</ns0:f>
        <ns0:v/>
      </ns0:c>
    </ns0:row>
    <ns0:row r="419" ht="32" customHeight="1">
      <ns0:c r="A419" s="200"/>
      <ns0:c r="B419" s="201"/>
      <ns0:c r="C419" s="209"/>
      <ns0:c r="D419" s="201"/>
      <ns0:c r="E419" s="209"/>
      <ns0:c r="F419" s="200"/>
      <ns0:c r="G419" s="200"/>
      <ns0:c r="H419" s="210" t="str">
        <ns0:f>IF('_Engine'!A419=0,"",IF('_Engine'!$B$6&gt;0,"REVIEW",IF('_Engine'!L419&gt;0,"REVIEW",'_Engine'!G419)))</ns0:f>
        <ns0:v/>
      </ns0:c>
      <ns0:c r="I419" s="207"/>
      <ns0:c r="J419" s="208" t="str">
        <ns0:f>IF('_Engine'!K419="OK","OK · "&amp;TEXT('_Dates'!J419,"dd mmm yyyy")&amp;IF('_Dates'!J419='_Dates'!T419,""," → "&amp;TEXT('_Dates'!T419,"dd mmm yyyy")),'_Engine'!K419)</ns0:f>
        <ns0:v/>
      </ns0:c>
    </ns0:row>
    <ns0:row r="420" ht="32" customHeight="1">
      <ns0:c r="A420" s="200"/>
      <ns0:c r="B420" s="201"/>
      <ns0:c r="C420" s="209"/>
      <ns0:c r="D420" s="201"/>
      <ns0:c r="E420" s="209"/>
      <ns0:c r="F420" s="200"/>
      <ns0:c r="G420" s="200"/>
      <ns0:c r="H420" s="210" t="str">
        <ns0:f>IF('_Engine'!A420=0,"",IF('_Engine'!$B$6&gt;0,"REVIEW",IF('_Engine'!L420&gt;0,"REVIEW",'_Engine'!G420)))</ns0:f>
        <ns0:v/>
      </ns0:c>
      <ns0:c r="I420" s="207"/>
      <ns0:c r="J420" s="208" t="str">
        <ns0:f>IF('_Engine'!K420="OK","OK · "&amp;TEXT('_Dates'!J420,"dd mmm yyyy")&amp;IF('_Dates'!J420='_Dates'!T420,""," → "&amp;TEXT('_Dates'!T420,"dd mmm yyyy")),'_Engine'!K420)</ns0:f>
        <ns0:v/>
      </ns0:c>
    </ns0:row>
    <ns0:row r="421" ht="32" customHeight="1">
      <ns0:c r="A421" s="200"/>
      <ns0:c r="B421" s="201"/>
      <ns0:c r="C421" s="209"/>
      <ns0:c r="D421" s="201"/>
      <ns0:c r="E421" s="209"/>
      <ns0:c r="F421" s="200"/>
      <ns0:c r="G421" s="200"/>
      <ns0:c r="H421" s="210" t="str">
        <ns0:f>IF('_Engine'!A421=0,"",IF('_Engine'!$B$6&gt;0,"REVIEW",IF('_Engine'!L421&gt;0,"REVIEW",'_Engine'!G421)))</ns0:f>
        <ns0:v/>
      </ns0:c>
      <ns0:c r="I421" s="207"/>
      <ns0:c r="J421" s="208" t="str">
        <ns0:f>IF('_Engine'!K421="OK","OK · "&amp;TEXT('_Dates'!J421,"dd mmm yyyy")&amp;IF('_Dates'!J421='_Dates'!T421,""," → "&amp;TEXT('_Dates'!T421,"dd mmm yyyy")),'_Engine'!K421)</ns0:f>
        <ns0:v/>
      </ns0:c>
    </ns0:row>
    <ns0:row r="422" ht="32" customHeight="1">
      <ns0:c r="A422" s="200"/>
      <ns0:c r="B422" s="201"/>
      <ns0:c r="C422" s="209"/>
      <ns0:c r="D422" s="201"/>
      <ns0:c r="E422" s="209"/>
      <ns0:c r="F422" s="200"/>
      <ns0:c r="G422" s="200"/>
      <ns0:c r="H422" s="210" t="str">
        <ns0:f>IF('_Engine'!A422=0,"",IF('_Engine'!$B$6&gt;0,"REVIEW",IF('_Engine'!L422&gt;0,"REVIEW",'_Engine'!G422)))</ns0:f>
        <ns0:v/>
      </ns0:c>
      <ns0:c r="I422" s="207"/>
      <ns0:c r="J422" s="208" t="str">
        <ns0:f>IF('_Engine'!K422="OK","OK · "&amp;TEXT('_Dates'!J422,"dd mmm yyyy")&amp;IF('_Dates'!J422='_Dates'!T422,""," → "&amp;TEXT('_Dates'!T422,"dd mmm yyyy")),'_Engine'!K422)</ns0:f>
        <ns0:v/>
      </ns0:c>
    </ns0:row>
    <ns0:row r="423" ht="32" customHeight="1">
      <ns0:c r="A423" s="200"/>
      <ns0:c r="B423" s="201"/>
      <ns0:c r="C423" s="209"/>
      <ns0:c r="D423" s="201"/>
      <ns0:c r="E423" s="209"/>
      <ns0:c r="F423" s="200"/>
      <ns0:c r="G423" s="200"/>
      <ns0:c r="H423" s="210" t="str">
        <ns0:f>IF('_Engine'!A423=0,"",IF('_Engine'!$B$6&gt;0,"REVIEW",IF('_Engine'!L423&gt;0,"REVIEW",'_Engine'!G423)))</ns0:f>
        <ns0:v/>
      </ns0:c>
      <ns0:c r="I423" s="207"/>
      <ns0:c r="J423" s="208" t="str">
        <ns0:f>IF('_Engine'!K423="OK","OK · "&amp;TEXT('_Dates'!J423,"dd mmm yyyy")&amp;IF('_Dates'!J423='_Dates'!T423,""," → "&amp;TEXT('_Dates'!T423,"dd mmm yyyy")),'_Engine'!K423)</ns0:f>
        <ns0:v/>
      </ns0:c>
    </ns0:row>
    <ns0:row r="424" ht="32" customHeight="1">
      <ns0:c r="A424" s="200"/>
      <ns0:c r="B424" s="201"/>
      <ns0:c r="C424" s="209"/>
      <ns0:c r="D424" s="201"/>
      <ns0:c r="E424" s="209"/>
      <ns0:c r="F424" s="200"/>
      <ns0:c r="G424" s="200"/>
      <ns0:c r="H424" s="210" t="str">
        <ns0:f>IF('_Engine'!A424=0,"",IF('_Engine'!$B$6&gt;0,"REVIEW",IF('_Engine'!L424&gt;0,"REVIEW",'_Engine'!G424)))</ns0:f>
        <ns0:v/>
      </ns0:c>
      <ns0:c r="I424" s="207"/>
      <ns0:c r="J424" s="208" t="str">
        <ns0:f>IF('_Engine'!K424="OK","OK · "&amp;TEXT('_Dates'!J424,"dd mmm yyyy")&amp;IF('_Dates'!J424='_Dates'!T424,""," → "&amp;TEXT('_Dates'!T424,"dd mmm yyyy")),'_Engine'!K424)</ns0:f>
        <ns0:v/>
      </ns0:c>
    </ns0:row>
    <ns0:row r="425" ht="32" customHeight="1">
      <ns0:c r="A425" s="200"/>
      <ns0:c r="B425" s="201"/>
      <ns0:c r="C425" s="209"/>
      <ns0:c r="D425" s="201"/>
      <ns0:c r="E425" s="209"/>
      <ns0:c r="F425" s="200"/>
      <ns0:c r="G425" s="200"/>
      <ns0:c r="H425" s="210" t="str">
        <ns0:f>IF('_Engine'!A425=0,"",IF('_Engine'!$B$6&gt;0,"REVIEW",IF('_Engine'!L425&gt;0,"REVIEW",'_Engine'!G425)))</ns0:f>
        <ns0:v/>
      </ns0:c>
      <ns0:c r="I425" s="207"/>
      <ns0:c r="J425" s="208" t="str">
        <ns0:f>IF('_Engine'!K425="OK","OK · "&amp;TEXT('_Dates'!J425,"dd mmm yyyy")&amp;IF('_Dates'!J425='_Dates'!T425,""," → "&amp;TEXT('_Dates'!T425,"dd mmm yyyy")),'_Engine'!K425)</ns0:f>
        <ns0:v/>
      </ns0:c>
    </ns0:row>
    <ns0:row r="426" ht="32" customHeight="1">
      <ns0:c r="A426" s="200"/>
      <ns0:c r="B426" s="201"/>
      <ns0:c r="C426" s="209"/>
      <ns0:c r="D426" s="201"/>
      <ns0:c r="E426" s="209"/>
      <ns0:c r="F426" s="200"/>
      <ns0:c r="G426" s="200"/>
      <ns0:c r="H426" s="210" t="str">
        <ns0:f>IF('_Engine'!A426=0,"",IF('_Engine'!$B$6&gt;0,"REVIEW",IF('_Engine'!L426&gt;0,"REVIEW",'_Engine'!G426)))</ns0:f>
        <ns0:v/>
      </ns0:c>
      <ns0:c r="I426" s="207"/>
      <ns0:c r="J426" s="208" t="str">
        <ns0:f>IF('_Engine'!K426="OK","OK · "&amp;TEXT('_Dates'!J426,"dd mmm yyyy")&amp;IF('_Dates'!J426='_Dates'!T426,""," → "&amp;TEXT('_Dates'!T426,"dd mmm yyyy")),'_Engine'!K426)</ns0:f>
        <ns0:v/>
      </ns0:c>
    </ns0:row>
    <ns0:row r="427" ht="32" customHeight="1">
      <ns0:c r="A427" s="200"/>
      <ns0:c r="B427" s="201"/>
      <ns0:c r="C427" s="209"/>
      <ns0:c r="D427" s="201"/>
      <ns0:c r="E427" s="209"/>
      <ns0:c r="F427" s="200"/>
      <ns0:c r="G427" s="200"/>
      <ns0:c r="H427" s="210" t="str">
        <ns0:f>IF('_Engine'!A427=0,"",IF('_Engine'!$B$6&gt;0,"REVIEW",IF('_Engine'!L427&gt;0,"REVIEW",'_Engine'!G427)))</ns0:f>
        <ns0:v/>
      </ns0:c>
      <ns0:c r="I427" s="207"/>
      <ns0:c r="J427" s="208" t="str">
        <ns0:f>IF('_Engine'!K427="OK","OK · "&amp;TEXT('_Dates'!J427,"dd mmm yyyy")&amp;IF('_Dates'!J427='_Dates'!T427,""," → "&amp;TEXT('_Dates'!T427,"dd mmm yyyy")),'_Engine'!K427)</ns0:f>
        <ns0:v/>
      </ns0:c>
    </ns0:row>
    <ns0:row r="428" ht="32" customHeight="1">
      <ns0:c r="A428" s="200"/>
      <ns0:c r="B428" s="201"/>
      <ns0:c r="C428" s="209"/>
      <ns0:c r="D428" s="201"/>
      <ns0:c r="E428" s="209"/>
      <ns0:c r="F428" s="200"/>
      <ns0:c r="G428" s="200"/>
      <ns0:c r="H428" s="210" t="str">
        <ns0:f>IF('_Engine'!A428=0,"",IF('_Engine'!$B$6&gt;0,"REVIEW",IF('_Engine'!L428&gt;0,"REVIEW",'_Engine'!G428)))</ns0:f>
        <ns0:v/>
      </ns0:c>
      <ns0:c r="I428" s="207"/>
      <ns0:c r="J428" s="208" t="str">
        <ns0:f>IF('_Engine'!K428="OK","OK · "&amp;TEXT('_Dates'!J428,"dd mmm yyyy")&amp;IF('_Dates'!J428='_Dates'!T428,""," → "&amp;TEXT('_Dates'!T428,"dd mmm yyyy")),'_Engine'!K428)</ns0:f>
        <ns0:v/>
      </ns0:c>
    </ns0:row>
    <ns0:row r="429" ht="32" customHeight="1">
      <ns0:c r="A429" s="200"/>
      <ns0:c r="B429" s="201"/>
      <ns0:c r="C429" s="209"/>
      <ns0:c r="D429" s="201"/>
      <ns0:c r="E429" s="209"/>
      <ns0:c r="F429" s="200"/>
      <ns0:c r="G429" s="200"/>
      <ns0:c r="H429" s="210" t="str">
        <ns0:f>IF('_Engine'!A429=0,"",IF('_Engine'!$B$6&gt;0,"REVIEW",IF('_Engine'!L429&gt;0,"REVIEW",'_Engine'!G429)))</ns0:f>
        <ns0:v/>
      </ns0:c>
      <ns0:c r="I429" s="207"/>
      <ns0:c r="J429" s="208" t="str">
        <ns0:f>IF('_Engine'!K429="OK","OK · "&amp;TEXT('_Dates'!J429,"dd mmm yyyy")&amp;IF('_Dates'!J429='_Dates'!T429,""," → "&amp;TEXT('_Dates'!T429,"dd mmm yyyy")),'_Engine'!K429)</ns0:f>
        <ns0:v/>
      </ns0:c>
    </ns0:row>
    <ns0:row r="430" ht="32" customHeight="1">
      <ns0:c r="A430" s="200"/>
      <ns0:c r="B430" s="201"/>
      <ns0:c r="C430" s="209"/>
      <ns0:c r="D430" s="201"/>
      <ns0:c r="E430" s="209"/>
      <ns0:c r="F430" s="200"/>
      <ns0:c r="G430" s="200"/>
      <ns0:c r="H430" s="210" t="str">
        <ns0:f>IF('_Engine'!A430=0,"",IF('_Engine'!$B$6&gt;0,"REVIEW",IF('_Engine'!L430&gt;0,"REVIEW",'_Engine'!G430)))</ns0:f>
        <ns0:v/>
      </ns0:c>
      <ns0:c r="I430" s="207"/>
      <ns0:c r="J430" s="208" t="str">
        <ns0:f>IF('_Engine'!K430="OK","OK · "&amp;TEXT('_Dates'!J430,"dd mmm yyyy")&amp;IF('_Dates'!J430='_Dates'!T430,""," → "&amp;TEXT('_Dates'!T430,"dd mmm yyyy")),'_Engine'!K430)</ns0:f>
        <ns0:v/>
      </ns0:c>
    </ns0:row>
    <ns0:row r="431" ht="32" customHeight="1">
      <ns0:c r="A431" s="200"/>
      <ns0:c r="B431" s="201"/>
      <ns0:c r="C431" s="209"/>
      <ns0:c r="D431" s="201"/>
      <ns0:c r="E431" s="209"/>
      <ns0:c r="F431" s="200"/>
      <ns0:c r="G431" s="200"/>
      <ns0:c r="H431" s="210" t="str">
        <ns0:f>IF('_Engine'!A431=0,"",IF('_Engine'!$B$6&gt;0,"REVIEW",IF('_Engine'!L431&gt;0,"REVIEW",'_Engine'!G431)))</ns0:f>
        <ns0:v/>
      </ns0:c>
      <ns0:c r="I431" s="207"/>
      <ns0:c r="J431" s="208" t="str">
        <ns0:f>IF('_Engine'!K431="OK","OK · "&amp;TEXT('_Dates'!J431,"dd mmm yyyy")&amp;IF('_Dates'!J431='_Dates'!T431,""," → "&amp;TEXT('_Dates'!T431,"dd mmm yyyy")),'_Engine'!K431)</ns0:f>
        <ns0:v/>
      </ns0:c>
    </ns0:row>
    <ns0:row r="432" ht="32" customHeight="1">
      <ns0:c r="A432" s="200"/>
      <ns0:c r="B432" s="201"/>
      <ns0:c r="C432" s="209"/>
      <ns0:c r="D432" s="201"/>
      <ns0:c r="E432" s="209"/>
      <ns0:c r="F432" s="200"/>
      <ns0:c r="G432" s="200"/>
      <ns0:c r="H432" s="210" t="str">
        <ns0:f>IF('_Engine'!A432=0,"",IF('_Engine'!$B$6&gt;0,"REVIEW",IF('_Engine'!L432&gt;0,"REVIEW",'_Engine'!G432)))</ns0:f>
        <ns0:v/>
      </ns0:c>
      <ns0:c r="I432" s="207"/>
      <ns0:c r="J432" s="208" t="str">
        <ns0:f>IF('_Engine'!K432="OK","OK · "&amp;TEXT('_Dates'!J432,"dd mmm yyyy")&amp;IF('_Dates'!J432='_Dates'!T432,""," → "&amp;TEXT('_Dates'!T432,"dd mmm yyyy")),'_Engine'!K432)</ns0:f>
        <ns0:v/>
      </ns0:c>
    </ns0:row>
    <ns0:row r="433" ht="32" customHeight="1">
      <ns0:c r="A433" s="200"/>
      <ns0:c r="B433" s="201"/>
      <ns0:c r="C433" s="209"/>
      <ns0:c r="D433" s="201"/>
      <ns0:c r="E433" s="209"/>
      <ns0:c r="F433" s="200"/>
      <ns0:c r="G433" s="200"/>
      <ns0:c r="H433" s="210" t="str">
        <ns0:f>IF('_Engine'!A433=0,"",IF('_Engine'!$B$6&gt;0,"REVIEW",IF('_Engine'!L433&gt;0,"REVIEW",'_Engine'!G433)))</ns0:f>
        <ns0:v/>
      </ns0:c>
      <ns0:c r="I433" s="207"/>
      <ns0:c r="J433" s="208" t="str">
        <ns0:f>IF('_Engine'!K433="OK","OK · "&amp;TEXT('_Dates'!J433,"dd mmm yyyy")&amp;IF('_Dates'!J433='_Dates'!T433,""," → "&amp;TEXT('_Dates'!T433,"dd mmm yyyy")),'_Engine'!K433)</ns0:f>
        <ns0:v/>
      </ns0:c>
    </ns0:row>
    <ns0:row r="434" ht="32" customHeight="1">
      <ns0:c r="A434" s="200"/>
      <ns0:c r="B434" s="201"/>
      <ns0:c r="C434" s="209"/>
      <ns0:c r="D434" s="201"/>
      <ns0:c r="E434" s="209"/>
      <ns0:c r="F434" s="200"/>
      <ns0:c r="G434" s="200"/>
      <ns0:c r="H434" s="210" t="str">
        <ns0:f>IF('_Engine'!A434=0,"",IF('_Engine'!$B$6&gt;0,"REVIEW",IF('_Engine'!L434&gt;0,"REVIEW",'_Engine'!G434)))</ns0:f>
        <ns0:v/>
      </ns0:c>
      <ns0:c r="I434" s="207"/>
      <ns0:c r="J434" s="208" t="str">
        <ns0:f>IF('_Engine'!K434="OK","OK · "&amp;TEXT('_Dates'!J434,"dd mmm yyyy")&amp;IF('_Dates'!J434='_Dates'!T434,""," → "&amp;TEXT('_Dates'!T434,"dd mmm yyyy")),'_Engine'!K434)</ns0:f>
        <ns0:v/>
      </ns0:c>
    </ns0:row>
    <ns0:row r="435" ht="32" customHeight="1">
      <ns0:c r="A435" s="200"/>
      <ns0:c r="B435" s="201"/>
      <ns0:c r="C435" s="209"/>
      <ns0:c r="D435" s="201"/>
      <ns0:c r="E435" s="209"/>
      <ns0:c r="F435" s="200"/>
      <ns0:c r="G435" s="200"/>
      <ns0:c r="H435" s="210" t="str">
        <ns0:f>IF('_Engine'!A435=0,"",IF('_Engine'!$B$6&gt;0,"REVIEW",IF('_Engine'!L435&gt;0,"REVIEW",'_Engine'!G435)))</ns0:f>
        <ns0:v/>
      </ns0:c>
      <ns0:c r="I435" s="207"/>
      <ns0:c r="J435" s="208" t="str">
        <ns0:f>IF('_Engine'!K435="OK","OK · "&amp;TEXT('_Dates'!J435,"dd mmm yyyy")&amp;IF('_Dates'!J435='_Dates'!T435,""," → "&amp;TEXT('_Dates'!T435,"dd mmm yyyy")),'_Engine'!K435)</ns0:f>
        <ns0:v/>
      </ns0:c>
    </ns0:row>
    <ns0:row r="436" ht="32" customHeight="1">
      <ns0:c r="A436" s="200"/>
      <ns0:c r="B436" s="201"/>
      <ns0:c r="C436" s="209"/>
      <ns0:c r="D436" s="201"/>
      <ns0:c r="E436" s="209"/>
      <ns0:c r="F436" s="200"/>
      <ns0:c r="G436" s="200"/>
      <ns0:c r="H436" s="210" t="str">
        <ns0:f>IF('_Engine'!A436=0,"",IF('_Engine'!$B$6&gt;0,"REVIEW",IF('_Engine'!L436&gt;0,"REVIEW",'_Engine'!G436)))</ns0:f>
        <ns0:v/>
      </ns0:c>
      <ns0:c r="I436" s="207"/>
      <ns0:c r="J436" s="208" t="str">
        <ns0:f>IF('_Engine'!K436="OK","OK · "&amp;TEXT('_Dates'!J436,"dd mmm yyyy")&amp;IF('_Dates'!J436='_Dates'!T436,""," → "&amp;TEXT('_Dates'!T436,"dd mmm yyyy")),'_Engine'!K436)</ns0:f>
        <ns0:v/>
      </ns0:c>
    </ns0:row>
    <ns0:row r="437" ht="32" customHeight="1">
      <ns0:c r="A437" s="200"/>
      <ns0:c r="B437" s="201"/>
      <ns0:c r="C437" s="209"/>
      <ns0:c r="D437" s="201"/>
      <ns0:c r="E437" s="209"/>
      <ns0:c r="F437" s="200"/>
      <ns0:c r="G437" s="200"/>
      <ns0:c r="H437" s="210" t="str">
        <ns0:f>IF('_Engine'!A437=0,"",IF('_Engine'!$B$6&gt;0,"REVIEW",IF('_Engine'!L437&gt;0,"REVIEW",'_Engine'!G437)))</ns0:f>
        <ns0:v/>
      </ns0:c>
      <ns0:c r="I437" s="207"/>
      <ns0:c r="J437" s="208" t="str">
        <ns0:f>IF('_Engine'!K437="OK","OK · "&amp;TEXT('_Dates'!J437,"dd mmm yyyy")&amp;IF('_Dates'!J437='_Dates'!T437,""," → "&amp;TEXT('_Dates'!T437,"dd mmm yyyy")),'_Engine'!K437)</ns0:f>
        <ns0:v/>
      </ns0:c>
    </ns0:row>
    <ns0:row r="438" ht="32" customHeight="1">
      <ns0:c r="A438" s="200"/>
      <ns0:c r="B438" s="201"/>
      <ns0:c r="C438" s="209"/>
      <ns0:c r="D438" s="201"/>
      <ns0:c r="E438" s="209"/>
      <ns0:c r="F438" s="200"/>
      <ns0:c r="G438" s="200"/>
      <ns0:c r="H438" s="210" t="str">
        <ns0:f>IF('_Engine'!A438=0,"",IF('_Engine'!$B$6&gt;0,"REVIEW",IF('_Engine'!L438&gt;0,"REVIEW",'_Engine'!G438)))</ns0:f>
        <ns0:v/>
      </ns0:c>
      <ns0:c r="I438" s="207"/>
      <ns0:c r="J438" s="208" t="str">
        <ns0:f>IF('_Engine'!K438="OK","OK · "&amp;TEXT('_Dates'!J438,"dd mmm yyyy")&amp;IF('_Dates'!J438='_Dates'!T438,""," → "&amp;TEXT('_Dates'!T438,"dd mmm yyyy")),'_Engine'!K438)</ns0:f>
        <ns0:v/>
      </ns0:c>
    </ns0:row>
    <ns0:row r="439" ht="32" customHeight="1">
      <ns0:c r="A439" s="200"/>
      <ns0:c r="B439" s="201"/>
      <ns0:c r="C439" s="209"/>
      <ns0:c r="D439" s="201"/>
      <ns0:c r="E439" s="209"/>
      <ns0:c r="F439" s="200"/>
      <ns0:c r="G439" s="200"/>
      <ns0:c r="H439" s="210" t="str">
        <ns0:f>IF('_Engine'!A439=0,"",IF('_Engine'!$B$6&gt;0,"REVIEW",IF('_Engine'!L439&gt;0,"REVIEW",'_Engine'!G439)))</ns0:f>
        <ns0:v/>
      </ns0:c>
      <ns0:c r="I439" s="207"/>
      <ns0:c r="J439" s="208" t="str">
        <ns0:f>IF('_Engine'!K439="OK","OK · "&amp;TEXT('_Dates'!J439,"dd mmm yyyy")&amp;IF('_Dates'!J439='_Dates'!T439,""," → "&amp;TEXT('_Dates'!T439,"dd mmm yyyy")),'_Engine'!K439)</ns0:f>
        <ns0:v/>
      </ns0:c>
    </ns0:row>
    <ns0:row r="440" ht="32" customHeight="1">
      <ns0:c r="A440" s="200"/>
      <ns0:c r="B440" s="201"/>
      <ns0:c r="C440" s="209"/>
      <ns0:c r="D440" s="201"/>
      <ns0:c r="E440" s="209"/>
      <ns0:c r="F440" s="200"/>
      <ns0:c r="G440" s="200"/>
      <ns0:c r="H440" s="210" t="str">
        <ns0:f>IF('_Engine'!A440=0,"",IF('_Engine'!$B$6&gt;0,"REVIEW",IF('_Engine'!L440&gt;0,"REVIEW",'_Engine'!G440)))</ns0:f>
        <ns0:v/>
      </ns0:c>
      <ns0:c r="I440" s="207"/>
      <ns0:c r="J440" s="208" t="str">
        <ns0:f>IF('_Engine'!K440="OK","OK · "&amp;TEXT('_Dates'!J440,"dd mmm yyyy")&amp;IF('_Dates'!J440='_Dates'!T440,""," → "&amp;TEXT('_Dates'!T440,"dd mmm yyyy")),'_Engine'!K440)</ns0:f>
        <ns0:v/>
      </ns0:c>
    </ns0:row>
    <ns0:row r="441" ht="32" customHeight="1">
      <ns0:c r="A441" s="200"/>
      <ns0:c r="B441" s="201"/>
      <ns0:c r="C441" s="209"/>
      <ns0:c r="D441" s="201"/>
      <ns0:c r="E441" s="209"/>
      <ns0:c r="F441" s="200"/>
      <ns0:c r="G441" s="200"/>
      <ns0:c r="H441" s="210" t="str">
        <ns0:f>IF('_Engine'!A441=0,"",IF('_Engine'!$B$6&gt;0,"REVIEW",IF('_Engine'!L441&gt;0,"REVIEW",'_Engine'!G441)))</ns0:f>
        <ns0:v/>
      </ns0:c>
      <ns0:c r="I441" s="207"/>
      <ns0:c r="J441" s="208" t="str">
        <ns0:f>IF('_Engine'!K441="OK","OK · "&amp;TEXT('_Dates'!J441,"dd mmm yyyy")&amp;IF('_Dates'!J441='_Dates'!T441,""," → "&amp;TEXT('_Dates'!T441,"dd mmm yyyy")),'_Engine'!K441)</ns0:f>
        <ns0:v/>
      </ns0:c>
    </ns0:row>
    <ns0:row r="442" ht="32" customHeight="1">
      <ns0:c r="A442" s="200"/>
      <ns0:c r="B442" s="201"/>
      <ns0:c r="C442" s="209"/>
      <ns0:c r="D442" s="201"/>
      <ns0:c r="E442" s="209"/>
      <ns0:c r="F442" s="200"/>
      <ns0:c r="G442" s="200"/>
      <ns0:c r="H442" s="210" t="str">
        <ns0:f>IF('_Engine'!A442=0,"",IF('_Engine'!$B$6&gt;0,"REVIEW",IF('_Engine'!L442&gt;0,"REVIEW",'_Engine'!G442)))</ns0:f>
        <ns0:v/>
      </ns0:c>
      <ns0:c r="I442" s="207"/>
      <ns0:c r="J442" s="208" t="str">
        <ns0:f>IF('_Engine'!K442="OK","OK · "&amp;TEXT('_Dates'!J442,"dd mmm yyyy")&amp;IF('_Dates'!J442='_Dates'!T442,""," → "&amp;TEXT('_Dates'!T442,"dd mmm yyyy")),'_Engine'!K442)</ns0:f>
        <ns0:v/>
      </ns0:c>
    </ns0:row>
    <ns0:row r="443" ht="32" customHeight="1">
      <ns0:c r="A443" s="200"/>
      <ns0:c r="B443" s="201"/>
      <ns0:c r="C443" s="209"/>
      <ns0:c r="D443" s="201"/>
      <ns0:c r="E443" s="209"/>
      <ns0:c r="F443" s="200"/>
      <ns0:c r="G443" s="200"/>
      <ns0:c r="H443" s="210" t="str">
        <ns0:f>IF('_Engine'!A443=0,"",IF('_Engine'!$B$6&gt;0,"REVIEW",IF('_Engine'!L443&gt;0,"REVIEW",'_Engine'!G443)))</ns0:f>
        <ns0:v/>
      </ns0:c>
      <ns0:c r="I443" s="207"/>
      <ns0:c r="J443" s="208" t="str">
        <ns0:f>IF('_Engine'!K443="OK","OK · "&amp;TEXT('_Dates'!J443,"dd mmm yyyy")&amp;IF('_Dates'!J443='_Dates'!T443,""," → "&amp;TEXT('_Dates'!T443,"dd mmm yyyy")),'_Engine'!K443)</ns0:f>
        <ns0:v/>
      </ns0:c>
    </ns0:row>
    <ns0:row r="444" ht="32" customHeight="1">
      <ns0:c r="A444" s="200"/>
      <ns0:c r="B444" s="201"/>
      <ns0:c r="C444" s="209"/>
      <ns0:c r="D444" s="201"/>
      <ns0:c r="E444" s="209"/>
      <ns0:c r="F444" s="200"/>
      <ns0:c r="G444" s="200"/>
      <ns0:c r="H444" s="210" t="str">
        <ns0:f>IF('_Engine'!A444=0,"",IF('_Engine'!$B$6&gt;0,"REVIEW",IF('_Engine'!L444&gt;0,"REVIEW",'_Engine'!G444)))</ns0:f>
        <ns0:v/>
      </ns0:c>
      <ns0:c r="I444" s="207"/>
      <ns0:c r="J444" s="208" t="str">
        <ns0:f>IF('_Engine'!K444="OK","OK · "&amp;TEXT('_Dates'!J444,"dd mmm yyyy")&amp;IF('_Dates'!J444='_Dates'!T444,""," → "&amp;TEXT('_Dates'!T444,"dd mmm yyyy")),'_Engine'!K444)</ns0:f>
        <ns0:v/>
      </ns0:c>
    </ns0:row>
    <ns0:row r="445" ht="32" customHeight="1">
      <ns0:c r="A445" s="200"/>
      <ns0:c r="B445" s="201"/>
      <ns0:c r="C445" s="209"/>
      <ns0:c r="D445" s="201"/>
      <ns0:c r="E445" s="209"/>
      <ns0:c r="F445" s="200"/>
      <ns0:c r="G445" s="200"/>
      <ns0:c r="H445" s="210" t="str">
        <ns0:f>IF('_Engine'!A445=0,"",IF('_Engine'!$B$6&gt;0,"REVIEW",IF('_Engine'!L445&gt;0,"REVIEW",'_Engine'!G445)))</ns0:f>
        <ns0:v/>
      </ns0:c>
      <ns0:c r="I445" s="207"/>
      <ns0:c r="J445" s="208" t="str">
        <ns0:f>IF('_Engine'!K445="OK","OK · "&amp;TEXT('_Dates'!J445,"dd mmm yyyy")&amp;IF('_Dates'!J445='_Dates'!T445,""," → "&amp;TEXT('_Dates'!T445,"dd mmm yyyy")),'_Engine'!K445)</ns0:f>
        <ns0:v/>
      </ns0:c>
    </ns0:row>
    <ns0:row r="446" ht="32" customHeight="1">
      <ns0:c r="A446" s="200"/>
      <ns0:c r="B446" s="201"/>
      <ns0:c r="C446" s="209"/>
      <ns0:c r="D446" s="201"/>
      <ns0:c r="E446" s="209"/>
      <ns0:c r="F446" s="200"/>
      <ns0:c r="G446" s="200"/>
      <ns0:c r="H446" s="210" t="str">
        <ns0:f>IF('_Engine'!A446=0,"",IF('_Engine'!$B$6&gt;0,"REVIEW",IF('_Engine'!L446&gt;0,"REVIEW",'_Engine'!G446)))</ns0:f>
        <ns0:v/>
      </ns0:c>
      <ns0:c r="I446" s="207"/>
      <ns0:c r="J446" s="208" t="str">
        <ns0:f>IF('_Engine'!K446="OK","OK · "&amp;TEXT('_Dates'!J446,"dd mmm yyyy")&amp;IF('_Dates'!J446='_Dates'!T446,""," → "&amp;TEXT('_Dates'!T446,"dd mmm yyyy")),'_Engine'!K446)</ns0:f>
        <ns0:v/>
      </ns0:c>
    </ns0:row>
    <ns0:row r="447" ht="32" customHeight="1">
      <ns0:c r="A447" s="200"/>
      <ns0:c r="B447" s="201"/>
      <ns0:c r="C447" s="209"/>
      <ns0:c r="D447" s="201"/>
      <ns0:c r="E447" s="209"/>
      <ns0:c r="F447" s="200"/>
      <ns0:c r="G447" s="200"/>
      <ns0:c r="H447" s="210" t="str">
        <ns0:f>IF('_Engine'!A447=0,"",IF('_Engine'!$B$6&gt;0,"REVIEW",IF('_Engine'!L447&gt;0,"REVIEW",'_Engine'!G447)))</ns0:f>
        <ns0:v/>
      </ns0:c>
      <ns0:c r="I447" s="207"/>
      <ns0:c r="J447" s="208" t="str">
        <ns0:f>IF('_Engine'!K447="OK","OK · "&amp;TEXT('_Dates'!J447,"dd mmm yyyy")&amp;IF('_Dates'!J447='_Dates'!T447,""," → "&amp;TEXT('_Dates'!T447,"dd mmm yyyy")),'_Engine'!K447)</ns0:f>
        <ns0:v/>
      </ns0:c>
    </ns0:row>
    <ns0:row r="448" ht="32" customHeight="1">
      <ns0:c r="A448" s="200"/>
      <ns0:c r="B448" s="201"/>
      <ns0:c r="C448" s="209"/>
      <ns0:c r="D448" s="201"/>
      <ns0:c r="E448" s="209"/>
      <ns0:c r="F448" s="200"/>
      <ns0:c r="G448" s="200"/>
      <ns0:c r="H448" s="210" t="str">
        <ns0:f>IF('_Engine'!A448=0,"",IF('_Engine'!$B$6&gt;0,"REVIEW",IF('_Engine'!L448&gt;0,"REVIEW",'_Engine'!G448)))</ns0:f>
        <ns0:v/>
      </ns0:c>
      <ns0:c r="I448" s="207"/>
      <ns0:c r="J448" s="208" t="str">
        <ns0:f>IF('_Engine'!K448="OK","OK · "&amp;TEXT('_Dates'!J448,"dd mmm yyyy")&amp;IF('_Dates'!J448='_Dates'!T448,""," → "&amp;TEXT('_Dates'!T448,"dd mmm yyyy")),'_Engine'!K448)</ns0:f>
        <ns0:v/>
      </ns0:c>
    </ns0:row>
    <ns0:row r="449" ht="32" customHeight="1">
      <ns0:c r="A449" s="200"/>
      <ns0:c r="B449" s="201"/>
      <ns0:c r="C449" s="209"/>
      <ns0:c r="D449" s="201"/>
      <ns0:c r="E449" s="209"/>
      <ns0:c r="F449" s="200"/>
      <ns0:c r="G449" s="200"/>
      <ns0:c r="H449" s="210" t="str">
        <ns0:f>IF('_Engine'!A449=0,"",IF('_Engine'!$B$6&gt;0,"REVIEW",IF('_Engine'!L449&gt;0,"REVIEW",'_Engine'!G449)))</ns0:f>
        <ns0:v/>
      </ns0:c>
      <ns0:c r="I449" s="207"/>
      <ns0:c r="J449" s="208" t="str">
        <ns0:f>IF('_Engine'!K449="OK","OK · "&amp;TEXT('_Dates'!J449,"dd mmm yyyy")&amp;IF('_Dates'!J449='_Dates'!T449,""," → "&amp;TEXT('_Dates'!T449,"dd mmm yyyy")),'_Engine'!K449)</ns0:f>
        <ns0:v/>
      </ns0:c>
    </ns0:row>
    <ns0:row r="450" ht="32" customHeight="1">
      <ns0:c r="A450" s="200"/>
      <ns0:c r="B450" s="201"/>
      <ns0:c r="C450" s="209"/>
      <ns0:c r="D450" s="201"/>
      <ns0:c r="E450" s="209"/>
      <ns0:c r="F450" s="200"/>
      <ns0:c r="G450" s="200"/>
      <ns0:c r="H450" s="210" t="str">
        <ns0:f>IF('_Engine'!A450=0,"",IF('_Engine'!$B$6&gt;0,"REVIEW",IF('_Engine'!L450&gt;0,"REVIEW",'_Engine'!G450)))</ns0:f>
        <ns0:v/>
      </ns0:c>
      <ns0:c r="I450" s="207"/>
      <ns0:c r="J450" s="208" t="str">
        <ns0:f>IF('_Engine'!K450="OK","OK · "&amp;TEXT('_Dates'!J450,"dd mmm yyyy")&amp;IF('_Dates'!J450='_Dates'!T450,""," → "&amp;TEXT('_Dates'!T450,"dd mmm yyyy")),'_Engine'!K450)</ns0:f>
        <ns0:v/>
      </ns0:c>
    </ns0:row>
    <ns0:row r="451" ht="32" customHeight="1">
      <ns0:c r="A451" s="200"/>
      <ns0:c r="B451" s="201"/>
      <ns0:c r="C451" s="209"/>
      <ns0:c r="D451" s="201"/>
      <ns0:c r="E451" s="209"/>
      <ns0:c r="F451" s="200"/>
      <ns0:c r="G451" s="200"/>
      <ns0:c r="H451" s="210" t="str">
        <ns0:f>IF('_Engine'!A451=0,"",IF('_Engine'!$B$6&gt;0,"REVIEW",IF('_Engine'!L451&gt;0,"REVIEW",'_Engine'!G451)))</ns0:f>
        <ns0:v/>
      </ns0:c>
      <ns0:c r="I451" s="207"/>
      <ns0:c r="J451" s="208" t="str">
        <ns0:f>IF('_Engine'!K451="OK","OK · "&amp;TEXT('_Dates'!J451,"dd mmm yyyy")&amp;IF('_Dates'!J451='_Dates'!T451,""," → "&amp;TEXT('_Dates'!T451,"dd mmm yyyy")),'_Engine'!K451)</ns0:f>
        <ns0:v/>
      </ns0:c>
    </ns0:row>
    <ns0:row r="452" ht="32" customHeight="1">
      <ns0:c r="A452" s="200"/>
      <ns0:c r="B452" s="201"/>
      <ns0:c r="C452" s="209"/>
      <ns0:c r="D452" s="201"/>
      <ns0:c r="E452" s="209"/>
      <ns0:c r="F452" s="200"/>
      <ns0:c r="G452" s="200"/>
      <ns0:c r="H452" s="210" t="str">
        <ns0:f>IF('_Engine'!A452=0,"",IF('_Engine'!$B$6&gt;0,"REVIEW",IF('_Engine'!L452&gt;0,"REVIEW",'_Engine'!G452)))</ns0:f>
        <ns0:v/>
      </ns0:c>
      <ns0:c r="I452" s="207"/>
      <ns0:c r="J452" s="208" t="str">
        <ns0:f>IF('_Engine'!K452="OK","OK · "&amp;TEXT('_Dates'!J452,"dd mmm yyyy")&amp;IF('_Dates'!J452='_Dates'!T452,""," → "&amp;TEXT('_Dates'!T452,"dd mmm yyyy")),'_Engine'!K452)</ns0:f>
        <ns0:v/>
      </ns0:c>
    </ns0:row>
    <ns0:row r="453" ht="32" customHeight="1">
      <ns0:c r="A453" s="200"/>
      <ns0:c r="B453" s="201"/>
      <ns0:c r="C453" s="209"/>
      <ns0:c r="D453" s="201"/>
      <ns0:c r="E453" s="209"/>
      <ns0:c r="F453" s="200"/>
      <ns0:c r="G453" s="200"/>
      <ns0:c r="H453" s="210" t="str">
        <ns0:f>IF('_Engine'!A453=0,"",IF('_Engine'!$B$6&gt;0,"REVIEW",IF('_Engine'!L453&gt;0,"REVIEW",'_Engine'!G453)))</ns0:f>
        <ns0:v/>
      </ns0:c>
      <ns0:c r="I453" s="207"/>
      <ns0:c r="J453" s="208" t="str">
        <ns0:f>IF('_Engine'!K453="OK","OK · "&amp;TEXT('_Dates'!J453,"dd mmm yyyy")&amp;IF('_Dates'!J453='_Dates'!T453,""," → "&amp;TEXT('_Dates'!T453,"dd mmm yyyy")),'_Engine'!K453)</ns0:f>
        <ns0:v/>
      </ns0:c>
    </ns0:row>
    <ns0:row r="454" ht="32" customHeight="1">
      <ns0:c r="A454" s="200"/>
      <ns0:c r="B454" s="201"/>
      <ns0:c r="C454" s="209"/>
      <ns0:c r="D454" s="201"/>
      <ns0:c r="E454" s="209"/>
      <ns0:c r="F454" s="200"/>
      <ns0:c r="G454" s="200"/>
      <ns0:c r="H454" s="210" t="str">
        <ns0:f>IF('_Engine'!A454=0,"",IF('_Engine'!$B$6&gt;0,"REVIEW",IF('_Engine'!L454&gt;0,"REVIEW",'_Engine'!G454)))</ns0:f>
        <ns0:v/>
      </ns0:c>
      <ns0:c r="I454" s="207"/>
      <ns0:c r="J454" s="208" t="str">
        <ns0:f>IF('_Engine'!K454="OK","OK · "&amp;TEXT('_Dates'!J454,"dd mmm yyyy")&amp;IF('_Dates'!J454='_Dates'!T454,""," → "&amp;TEXT('_Dates'!T454,"dd mmm yyyy")),'_Engine'!K454)</ns0:f>
        <ns0:v/>
      </ns0:c>
    </ns0:row>
    <ns0:row r="455" ht="32" customHeight="1">
      <ns0:c r="A455" s="200"/>
      <ns0:c r="B455" s="201"/>
      <ns0:c r="C455" s="209"/>
      <ns0:c r="D455" s="201"/>
      <ns0:c r="E455" s="209"/>
      <ns0:c r="F455" s="200"/>
      <ns0:c r="G455" s="200"/>
      <ns0:c r="H455" s="210" t="str">
        <ns0:f>IF('_Engine'!A455=0,"",IF('_Engine'!$B$6&gt;0,"REVIEW",IF('_Engine'!L455&gt;0,"REVIEW",'_Engine'!G455)))</ns0:f>
        <ns0:v/>
      </ns0:c>
      <ns0:c r="I455" s="207"/>
      <ns0:c r="J455" s="208" t="str">
        <ns0:f>IF('_Engine'!K455="OK","OK · "&amp;TEXT('_Dates'!J455,"dd mmm yyyy")&amp;IF('_Dates'!J455='_Dates'!T455,""," → "&amp;TEXT('_Dates'!T455,"dd mmm yyyy")),'_Engine'!K455)</ns0:f>
        <ns0:v/>
      </ns0:c>
    </ns0:row>
    <ns0:row r="456" ht="32" customHeight="1">
      <ns0:c r="A456" s="200"/>
      <ns0:c r="B456" s="201"/>
      <ns0:c r="C456" s="209"/>
      <ns0:c r="D456" s="201"/>
      <ns0:c r="E456" s="209"/>
      <ns0:c r="F456" s="200"/>
      <ns0:c r="G456" s="200"/>
      <ns0:c r="H456" s="210" t="str">
        <ns0:f>IF('_Engine'!A456=0,"",IF('_Engine'!$B$6&gt;0,"REVIEW",IF('_Engine'!L456&gt;0,"REVIEW",'_Engine'!G456)))</ns0:f>
        <ns0:v/>
      </ns0:c>
      <ns0:c r="I456" s="207"/>
      <ns0:c r="J456" s="208" t="str">
        <ns0:f>IF('_Engine'!K456="OK","OK · "&amp;TEXT('_Dates'!J456,"dd mmm yyyy")&amp;IF('_Dates'!J456='_Dates'!T456,""," → "&amp;TEXT('_Dates'!T456,"dd mmm yyyy")),'_Engine'!K456)</ns0:f>
        <ns0:v/>
      </ns0:c>
    </ns0:row>
    <ns0:row r="457" ht="32" customHeight="1">
      <ns0:c r="A457" s="200"/>
      <ns0:c r="B457" s="201"/>
      <ns0:c r="C457" s="209"/>
      <ns0:c r="D457" s="201"/>
      <ns0:c r="E457" s="209"/>
      <ns0:c r="F457" s="200"/>
      <ns0:c r="G457" s="200"/>
      <ns0:c r="H457" s="210" t="str">
        <ns0:f>IF('_Engine'!A457=0,"",IF('_Engine'!$B$6&gt;0,"REVIEW",IF('_Engine'!L457&gt;0,"REVIEW",'_Engine'!G457)))</ns0:f>
        <ns0:v/>
      </ns0:c>
      <ns0:c r="I457" s="207"/>
      <ns0:c r="J457" s="208" t="str">
        <ns0:f>IF('_Engine'!K457="OK","OK · "&amp;TEXT('_Dates'!J457,"dd mmm yyyy")&amp;IF('_Dates'!J457='_Dates'!T457,""," → "&amp;TEXT('_Dates'!T457,"dd mmm yyyy")),'_Engine'!K457)</ns0:f>
        <ns0:v/>
      </ns0:c>
    </ns0:row>
    <ns0:row r="458" ht="32" customHeight="1">
      <ns0:c r="A458" s="200"/>
      <ns0:c r="B458" s="201"/>
      <ns0:c r="C458" s="209"/>
      <ns0:c r="D458" s="201"/>
      <ns0:c r="E458" s="209"/>
      <ns0:c r="F458" s="200"/>
      <ns0:c r="G458" s="200"/>
      <ns0:c r="H458" s="210" t="str">
        <ns0:f>IF('_Engine'!A458=0,"",IF('_Engine'!$B$6&gt;0,"REVIEW",IF('_Engine'!L458&gt;0,"REVIEW",'_Engine'!G458)))</ns0:f>
        <ns0:v/>
      </ns0:c>
      <ns0:c r="I458" s="207"/>
      <ns0:c r="J458" s="208" t="str">
        <ns0:f>IF('_Engine'!K458="OK","OK · "&amp;TEXT('_Dates'!J458,"dd mmm yyyy")&amp;IF('_Dates'!J458='_Dates'!T458,""," → "&amp;TEXT('_Dates'!T458,"dd mmm yyyy")),'_Engine'!K458)</ns0:f>
        <ns0:v/>
      </ns0:c>
    </ns0:row>
    <ns0:row r="459" ht="32" customHeight="1">
      <ns0:c r="A459" s="200"/>
      <ns0:c r="B459" s="201"/>
      <ns0:c r="C459" s="209"/>
      <ns0:c r="D459" s="201"/>
      <ns0:c r="E459" s="209"/>
      <ns0:c r="F459" s="200"/>
      <ns0:c r="G459" s="200"/>
      <ns0:c r="H459" s="210" t="str">
        <ns0:f>IF('_Engine'!A459=0,"",IF('_Engine'!$B$6&gt;0,"REVIEW",IF('_Engine'!L459&gt;0,"REVIEW",'_Engine'!G459)))</ns0:f>
        <ns0:v/>
      </ns0:c>
      <ns0:c r="I459" s="207"/>
      <ns0:c r="J459" s="208" t="str">
        <ns0:f>IF('_Engine'!K459="OK","OK · "&amp;TEXT('_Dates'!J459,"dd mmm yyyy")&amp;IF('_Dates'!J459='_Dates'!T459,""," → "&amp;TEXT('_Dates'!T459,"dd mmm yyyy")),'_Engine'!K459)</ns0:f>
        <ns0:v/>
      </ns0:c>
    </ns0:row>
    <ns0:row r="460" ht="32" customHeight="1">
      <ns0:c r="A460" s="200"/>
      <ns0:c r="B460" s="201"/>
      <ns0:c r="C460" s="209"/>
      <ns0:c r="D460" s="201"/>
      <ns0:c r="E460" s="209"/>
      <ns0:c r="F460" s="200"/>
      <ns0:c r="G460" s="200"/>
      <ns0:c r="H460" s="210" t="str">
        <ns0:f>IF('_Engine'!A460=0,"",IF('_Engine'!$B$6&gt;0,"REVIEW",IF('_Engine'!L460&gt;0,"REVIEW",'_Engine'!G460)))</ns0:f>
        <ns0:v/>
      </ns0:c>
      <ns0:c r="I460" s="207"/>
      <ns0:c r="J460" s="208" t="str">
        <ns0:f>IF('_Engine'!K460="OK","OK · "&amp;TEXT('_Dates'!J460,"dd mmm yyyy")&amp;IF('_Dates'!J460='_Dates'!T460,""," → "&amp;TEXT('_Dates'!T460,"dd mmm yyyy")),'_Engine'!K460)</ns0:f>
        <ns0:v/>
      </ns0:c>
    </ns0:row>
    <ns0:row r="461" ht="32" customHeight="1">
      <ns0:c r="A461" s="200"/>
      <ns0:c r="B461" s="201"/>
      <ns0:c r="C461" s="209"/>
      <ns0:c r="D461" s="201"/>
      <ns0:c r="E461" s="209"/>
      <ns0:c r="F461" s="200"/>
      <ns0:c r="G461" s="200"/>
      <ns0:c r="H461" s="210" t="str">
        <ns0:f>IF('_Engine'!A461=0,"",IF('_Engine'!$B$6&gt;0,"REVIEW",IF('_Engine'!L461&gt;0,"REVIEW",'_Engine'!G461)))</ns0:f>
        <ns0:v/>
      </ns0:c>
      <ns0:c r="I461" s="207"/>
      <ns0:c r="J461" s="208" t="str">
        <ns0:f>IF('_Engine'!K461="OK","OK · "&amp;TEXT('_Dates'!J461,"dd mmm yyyy")&amp;IF('_Dates'!J461='_Dates'!T461,""," → "&amp;TEXT('_Dates'!T461,"dd mmm yyyy")),'_Engine'!K461)</ns0:f>
        <ns0:v/>
      </ns0:c>
    </ns0:row>
    <ns0:row r="462" ht="32" customHeight="1">
      <ns0:c r="A462" s="200"/>
      <ns0:c r="B462" s="201"/>
      <ns0:c r="C462" s="209"/>
      <ns0:c r="D462" s="201"/>
      <ns0:c r="E462" s="209"/>
      <ns0:c r="F462" s="200"/>
      <ns0:c r="G462" s="200"/>
      <ns0:c r="H462" s="210" t="str">
        <ns0:f>IF('_Engine'!A462=0,"",IF('_Engine'!$B$6&gt;0,"REVIEW",IF('_Engine'!L462&gt;0,"REVIEW",'_Engine'!G462)))</ns0:f>
        <ns0:v/>
      </ns0:c>
      <ns0:c r="I462" s="207"/>
      <ns0:c r="J462" s="208" t="str">
        <ns0:f>IF('_Engine'!K462="OK","OK · "&amp;TEXT('_Dates'!J462,"dd mmm yyyy")&amp;IF('_Dates'!J462='_Dates'!T462,""," → "&amp;TEXT('_Dates'!T462,"dd mmm yyyy")),'_Engine'!K462)</ns0:f>
        <ns0:v/>
      </ns0:c>
    </ns0:row>
    <ns0:row r="463" ht="32" customHeight="1">
      <ns0:c r="A463" s="200"/>
      <ns0:c r="B463" s="201"/>
      <ns0:c r="C463" s="209"/>
      <ns0:c r="D463" s="201"/>
      <ns0:c r="E463" s="209"/>
      <ns0:c r="F463" s="200"/>
      <ns0:c r="G463" s="200"/>
      <ns0:c r="H463" s="210" t="str">
        <ns0:f>IF('_Engine'!A463=0,"",IF('_Engine'!$B$6&gt;0,"REVIEW",IF('_Engine'!L463&gt;0,"REVIEW",'_Engine'!G463)))</ns0:f>
        <ns0:v/>
      </ns0:c>
      <ns0:c r="I463" s="207"/>
      <ns0:c r="J463" s="208" t="str">
        <ns0:f>IF('_Engine'!K463="OK","OK · "&amp;TEXT('_Dates'!J463,"dd mmm yyyy")&amp;IF('_Dates'!J463='_Dates'!T463,""," → "&amp;TEXT('_Dates'!T463,"dd mmm yyyy")),'_Engine'!K463)</ns0:f>
        <ns0:v/>
      </ns0:c>
    </ns0:row>
    <ns0:row r="464" ht="32" customHeight="1">
      <ns0:c r="A464" s="200"/>
      <ns0:c r="B464" s="201"/>
      <ns0:c r="C464" s="209"/>
      <ns0:c r="D464" s="201"/>
      <ns0:c r="E464" s="209"/>
      <ns0:c r="F464" s="200"/>
      <ns0:c r="G464" s="200"/>
      <ns0:c r="H464" s="210" t="str">
        <ns0:f>IF('_Engine'!A464=0,"",IF('_Engine'!$B$6&gt;0,"REVIEW",IF('_Engine'!L464&gt;0,"REVIEW",'_Engine'!G464)))</ns0:f>
        <ns0:v/>
      </ns0:c>
      <ns0:c r="I464" s="207"/>
      <ns0:c r="J464" s="208" t="str">
        <ns0:f>IF('_Engine'!K464="OK","OK · "&amp;TEXT('_Dates'!J464,"dd mmm yyyy")&amp;IF('_Dates'!J464='_Dates'!T464,""," → "&amp;TEXT('_Dates'!T464,"dd mmm yyyy")),'_Engine'!K464)</ns0:f>
        <ns0:v/>
      </ns0:c>
    </ns0:row>
    <ns0:row r="465" ht="32" customHeight="1">
      <ns0:c r="A465" s="200"/>
      <ns0:c r="B465" s="201"/>
      <ns0:c r="C465" s="209"/>
      <ns0:c r="D465" s="201"/>
      <ns0:c r="E465" s="209"/>
      <ns0:c r="F465" s="200"/>
      <ns0:c r="G465" s="200"/>
      <ns0:c r="H465" s="210" t="str">
        <ns0:f>IF('_Engine'!A465=0,"",IF('_Engine'!$B$6&gt;0,"REVIEW",IF('_Engine'!L465&gt;0,"REVIEW",'_Engine'!G465)))</ns0:f>
        <ns0:v/>
      </ns0:c>
      <ns0:c r="I465" s="207"/>
      <ns0:c r="J465" s="208" t="str">
        <ns0:f>IF('_Engine'!K465="OK","OK · "&amp;TEXT('_Dates'!J465,"dd mmm yyyy")&amp;IF('_Dates'!J465='_Dates'!T465,""," → "&amp;TEXT('_Dates'!T465,"dd mmm yyyy")),'_Engine'!K465)</ns0:f>
        <ns0:v/>
      </ns0:c>
    </ns0:row>
    <ns0:row r="466" ht="32" customHeight="1">
      <ns0:c r="A466" s="200"/>
      <ns0:c r="B466" s="201"/>
      <ns0:c r="C466" s="209"/>
      <ns0:c r="D466" s="201"/>
      <ns0:c r="E466" s="209"/>
      <ns0:c r="F466" s="200"/>
      <ns0:c r="G466" s="200"/>
      <ns0:c r="H466" s="210" t="str">
        <ns0:f>IF('_Engine'!A466=0,"",IF('_Engine'!$B$6&gt;0,"REVIEW",IF('_Engine'!L466&gt;0,"REVIEW",'_Engine'!G466)))</ns0:f>
        <ns0:v/>
      </ns0:c>
      <ns0:c r="I466" s="207"/>
      <ns0:c r="J466" s="208" t="str">
        <ns0:f>IF('_Engine'!K466="OK","OK · "&amp;TEXT('_Dates'!J466,"dd mmm yyyy")&amp;IF('_Dates'!J466='_Dates'!T466,""," → "&amp;TEXT('_Dates'!T466,"dd mmm yyyy")),'_Engine'!K466)</ns0:f>
        <ns0:v/>
      </ns0:c>
    </ns0:row>
    <ns0:row r="467" ht="32" customHeight="1">
      <ns0:c r="A467" s="200"/>
      <ns0:c r="B467" s="201"/>
      <ns0:c r="C467" s="209"/>
      <ns0:c r="D467" s="201"/>
      <ns0:c r="E467" s="209"/>
      <ns0:c r="F467" s="200"/>
      <ns0:c r="G467" s="200"/>
      <ns0:c r="H467" s="210" t="str">
        <ns0:f>IF('_Engine'!A467=0,"",IF('_Engine'!$B$6&gt;0,"REVIEW",IF('_Engine'!L467&gt;0,"REVIEW",'_Engine'!G467)))</ns0:f>
        <ns0:v/>
      </ns0:c>
      <ns0:c r="I467" s="207"/>
      <ns0:c r="J467" s="208" t="str">
        <ns0:f>IF('_Engine'!K467="OK","OK · "&amp;TEXT('_Dates'!J467,"dd mmm yyyy")&amp;IF('_Dates'!J467='_Dates'!T467,""," → "&amp;TEXT('_Dates'!T467,"dd mmm yyyy")),'_Engine'!K467)</ns0:f>
        <ns0:v/>
      </ns0:c>
    </ns0:row>
    <ns0:row r="468" ht="32" customHeight="1">
      <ns0:c r="A468" s="200"/>
      <ns0:c r="B468" s="201"/>
      <ns0:c r="C468" s="209"/>
      <ns0:c r="D468" s="201"/>
      <ns0:c r="E468" s="209"/>
      <ns0:c r="F468" s="200"/>
      <ns0:c r="G468" s="200"/>
      <ns0:c r="H468" s="210" t="str">
        <ns0:f>IF('_Engine'!A468=0,"",IF('_Engine'!$B$6&gt;0,"REVIEW",IF('_Engine'!L468&gt;0,"REVIEW",'_Engine'!G468)))</ns0:f>
        <ns0:v/>
      </ns0:c>
      <ns0:c r="I468" s="207"/>
      <ns0:c r="J468" s="208" t="str">
        <ns0:f>IF('_Engine'!K468="OK","OK · "&amp;TEXT('_Dates'!J468,"dd mmm yyyy")&amp;IF('_Dates'!J468='_Dates'!T468,""," → "&amp;TEXT('_Dates'!T468,"dd mmm yyyy")),'_Engine'!K468)</ns0:f>
        <ns0:v/>
      </ns0:c>
    </ns0:row>
    <ns0:row r="469" ht="32" customHeight="1">
      <ns0:c r="A469" s="200"/>
      <ns0:c r="B469" s="201"/>
      <ns0:c r="C469" s="209"/>
      <ns0:c r="D469" s="201"/>
      <ns0:c r="E469" s="209"/>
      <ns0:c r="F469" s="200"/>
      <ns0:c r="G469" s="200"/>
      <ns0:c r="H469" s="210" t="str">
        <ns0:f>IF('_Engine'!A469=0,"",IF('_Engine'!$B$6&gt;0,"REVIEW",IF('_Engine'!L469&gt;0,"REVIEW",'_Engine'!G469)))</ns0:f>
        <ns0:v/>
      </ns0:c>
      <ns0:c r="I469" s="207"/>
      <ns0:c r="J469" s="208" t="str">
        <ns0:f>IF('_Engine'!K469="OK","OK · "&amp;TEXT('_Dates'!J469,"dd mmm yyyy")&amp;IF('_Dates'!J469='_Dates'!T469,""," → "&amp;TEXT('_Dates'!T469,"dd mmm yyyy")),'_Engine'!K469)</ns0:f>
        <ns0:v/>
      </ns0:c>
    </ns0:row>
    <ns0:row r="470" ht="32" customHeight="1">
      <ns0:c r="A470" s="200"/>
      <ns0:c r="B470" s="201"/>
      <ns0:c r="C470" s="209"/>
      <ns0:c r="D470" s="201"/>
      <ns0:c r="E470" s="209"/>
      <ns0:c r="F470" s="200"/>
      <ns0:c r="G470" s="200"/>
      <ns0:c r="H470" s="210" t="str">
        <ns0:f>IF('_Engine'!A470=0,"",IF('_Engine'!$B$6&gt;0,"REVIEW",IF('_Engine'!L470&gt;0,"REVIEW",'_Engine'!G470)))</ns0:f>
        <ns0:v/>
      </ns0:c>
      <ns0:c r="I470" s="207"/>
      <ns0:c r="J470" s="208" t="str">
        <ns0:f>IF('_Engine'!K470="OK","OK · "&amp;TEXT('_Dates'!J470,"dd mmm yyyy")&amp;IF('_Dates'!J470='_Dates'!T470,""," → "&amp;TEXT('_Dates'!T470,"dd mmm yyyy")),'_Engine'!K470)</ns0:f>
        <ns0:v/>
      </ns0:c>
    </ns0:row>
    <ns0:row r="471" ht="32" customHeight="1">
      <ns0:c r="A471" s="200"/>
      <ns0:c r="B471" s="201"/>
      <ns0:c r="C471" s="209"/>
      <ns0:c r="D471" s="201"/>
      <ns0:c r="E471" s="209"/>
      <ns0:c r="F471" s="200"/>
      <ns0:c r="G471" s="200"/>
      <ns0:c r="H471" s="210" t="str">
        <ns0:f>IF('_Engine'!A471=0,"",IF('_Engine'!$B$6&gt;0,"REVIEW",IF('_Engine'!L471&gt;0,"REVIEW",'_Engine'!G471)))</ns0:f>
        <ns0:v/>
      </ns0:c>
      <ns0:c r="I471" s="207"/>
      <ns0:c r="J471" s="208" t="str">
        <ns0:f>IF('_Engine'!K471="OK","OK · "&amp;TEXT('_Dates'!J471,"dd mmm yyyy")&amp;IF('_Dates'!J471='_Dates'!T471,""," → "&amp;TEXT('_Dates'!T471,"dd mmm yyyy")),'_Engine'!K471)</ns0:f>
        <ns0:v/>
      </ns0:c>
    </ns0:row>
    <ns0:row r="472" ht="32" customHeight="1">
      <ns0:c r="A472" s="200"/>
      <ns0:c r="B472" s="201"/>
      <ns0:c r="C472" s="209"/>
      <ns0:c r="D472" s="201"/>
      <ns0:c r="E472" s="209"/>
      <ns0:c r="F472" s="200"/>
      <ns0:c r="G472" s="200"/>
      <ns0:c r="H472" s="210" t="str">
        <ns0:f>IF('_Engine'!A472=0,"",IF('_Engine'!$B$6&gt;0,"REVIEW",IF('_Engine'!L472&gt;0,"REVIEW",'_Engine'!G472)))</ns0:f>
        <ns0:v/>
      </ns0:c>
      <ns0:c r="I472" s="207"/>
      <ns0:c r="J472" s="208" t="str">
        <ns0:f>IF('_Engine'!K472="OK","OK · "&amp;TEXT('_Dates'!J472,"dd mmm yyyy")&amp;IF('_Dates'!J472='_Dates'!T472,""," → "&amp;TEXT('_Dates'!T472,"dd mmm yyyy")),'_Engine'!K472)</ns0:f>
        <ns0:v/>
      </ns0:c>
    </ns0:row>
    <ns0:row r="473" ht="32" customHeight="1">
      <ns0:c r="A473" s="200"/>
      <ns0:c r="B473" s="201"/>
      <ns0:c r="C473" s="209"/>
      <ns0:c r="D473" s="201"/>
      <ns0:c r="E473" s="209"/>
      <ns0:c r="F473" s="200"/>
      <ns0:c r="G473" s="200"/>
      <ns0:c r="H473" s="210" t="str">
        <ns0:f>IF('_Engine'!A473=0,"",IF('_Engine'!$B$6&gt;0,"REVIEW",IF('_Engine'!L473&gt;0,"REVIEW",'_Engine'!G473)))</ns0:f>
        <ns0:v/>
      </ns0:c>
      <ns0:c r="I473" s="207"/>
      <ns0:c r="J473" s="208" t="str">
        <ns0:f>IF('_Engine'!K473="OK","OK · "&amp;TEXT('_Dates'!J473,"dd mmm yyyy")&amp;IF('_Dates'!J473='_Dates'!T473,""," → "&amp;TEXT('_Dates'!T473,"dd mmm yyyy")),'_Engine'!K473)</ns0:f>
        <ns0:v/>
      </ns0:c>
    </ns0:row>
    <ns0:row r="474" ht="32" customHeight="1">
      <ns0:c r="A474" s="200"/>
      <ns0:c r="B474" s="201"/>
      <ns0:c r="C474" s="209"/>
      <ns0:c r="D474" s="201"/>
      <ns0:c r="E474" s="209"/>
      <ns0:c r="F474" s="200"/>
      <ns0:c r="G474" s="200"/>
      <ns0:c r="H474" s="210" t="str">
        <ns0:f>IF('_Engine'!A474=0,"",IF('_Engine'!$B$6&gt;0,"REVIEW",IF('_Engine'!L474&gt;0,"REVIEW",'_Engine'!G474)))</ns0:f>
        <ns0:v/>
      </ns0:c>
      <ns0:c r="I474" s="207"/>
      <ns0:c r="J474" s="208" t="str">
        <ns0:f>IF('_Engine'!K474="OK","OK · "&amp;TEXT('_Dates'!J474,"dd mmm yyyy")&amp;IF('_Dates'!J474='_Dates'!T474,""," → "&amp;TEXT('_Dates'!T474,"dd mmm yyyy")),'_Engine'!K474)</ns0:f>
        <ns0:v/>
      </ns0:c>
    </ns0:row>
    <ns0:row r="475" ht="32" customHeight="1">
      <ns0:c r="A475" s="200"/>
      <ns0:c r="B475" s="201"/>
      <ns0:c r="C475" s="209"/>
      <ns0:c r="D475" s="201"/>
      <ns0:c r="E475" s="209"/>
      <ns0:c r="F475" s="200"/>
      <ns0:c r="G475" s="200"/>
      <ns0:c r="H475" s="210" t="str">
        <ns0:f>IF('_Engine'!A475=0,"",IF('_Engine'!$B$6&gt;0,"REVIEW",IF('_Engine'!L475&gt;0,"REVIEW",'_Engine'!G475)))</ns0:f>
        <ns0:v/>
      </ns0:c>
      <ns0:c r="I475" s="207"/>
      <ns0:c r="J475" s="208" t="str">
        <ns0:f>IF('_Engine'!K475="OK","OK · "&amp;TEXT('_Dates'!J475,"dd mmm yyyy")&amp;IF('_Dates'!J475='_Dates'!T475,""," → "&amp;TEXT('_Dates'!T475,"dd mmm yyyy")),'_Engine'!K475)</ns0:f>
        <ns0:v/>
      </ns0:c>
    </ns0:row>
    <ns0:row r="476" ht="32" customHeight="1">
      <ns0:c r="A476" s="200"/>
      <ns0:c r="B476" s="201"/>
      <ns0:c r="C476" s="209"/>
      <ns0:c r="D476" s="201"/>
      <ns0:c r="E476" s="209"/>
      <ns0:c r="F476" s="200"/>
      <ns0:c r="G476" s="200"/>
      <ns0:c r="H476" s="210" t="str">
        <ns0:f>IF('_Engine'!A476=0,"",IF('_Engine'!$B$6&gt;0,"REVIEW",IF('_Engine'!L476&gt;0,"REVIEW",'_Engine'!G476)))</ns0:f>
        <ns0:v/>
      </ns0:c>
      <ns0:c r="I476" s="207"/>
      <ns0:c r="J476" s="208" t="str">
        <ns0:f>IF('_Engine'!K476="OK","OK · "&amp;TEXT('_Dates'!J476,"dd mmm yyyy")&amp;IF('_Dates'!J476='_Dates'!T476,""," → "&amp;TEXT('_Dates'!T476,"dd mmm yyyy")),'_Engine'!K476)</ns0:f>
        <ns0:v/>
      </ns0:c>
    </ns0:row>
    <ns0:row r="477" ht="32" customHeight="1">
      <ns0:c r="A477" s="200"/>
      <ns0:c r="B477" s="201"/>
      <ns0:c r="C477" s="209"/>
      <ns0:c r="D477" s="201"/>
      <ns0:c r="E477" s="209"/>
      <ns0:c r="F477" s="200"/>
      <ns0:c r="G477" s="200"/>
      <ns0:c r="H477" s="210" t="str">
        <ns0:f>IF('_Engine'!A477=0,"",IF('_Engine'!$B$6&gt;0,"REVIEW",IF('_Engine'!L477&gt;0,"REVIEW",'_Engine'!G477)))</ns0:f>
        <ns0:v/>
      </ns0:c>
      <ns0:c r="I477" s="207"/>
      <ns0:c r="J477" s="208" t="str">
        <ns0:f>IF('_Engine'!K477="OK","OK · "&amp;TEXT('_Dates'!J477,"dd mmm yyyy")&amp;IF('_Dates'!J477='_Dates'!T477,""," → "&amp;TEXT('_Dates'!T477,"dd mmm yyyy")),'_Engine'!K477)</ns0:f>
        <ns0:v/>
      </ns0:c>
    </ns0:row>
    <ns0:row r="478" ht="32" customHeight="1">
      <ns0:c r="A478" s="200"/>
      <ns0:c r="B478" s="201"/>
      <ns0:c r="C478" s="209"/>
      <ns0:c r="D478" s="201"/>
      <ns0:c r="E478" s="209"/>
      <ns0:c r="F478" s="200"/>
      <ns0:c r="G478" s="200"/>
      <ns0:c r="H478" s="210" t="str">
        <ns0:f>IF('_Engine'!A478=0,"",IF('_Engine'!$B$6&gt;0,"REVIEW",IF('_Engine'!L478&gt;0,"REVIEW",'_Engine'!G478)))</ns0:f>
        <ns0:v/>
      </ns0:c>
      <ns0:c r="I478" s="207"/>
      <ns0:c r="J478" s="208" t="str">
        <ns0:f>IF('_Engine'!K478="OK","OK · "&amp;TEXT('_Dates'!J478,"dd mmm yyyy")&amp;IF('_Dates'!J478='_Dates'!T478,""," → "&amp;TEXT('_Dates'!T478,"dd mmm yyyy")),'_Engine'!K478)</ns0:f>
        <ns0:v/>
      </ns0:c>
    </ns0:row>
    <ns0:row r="479" ht="32" customHeight="1">
      <ns0:c r="A479" s="200"/>
      <ns0:c r="B479" s="201"/>
      <ns0:c r="C479" s="209"/>
      <ns0:c r="D479" s="201"/>
      <ns0:c r="E479" s="209"/>
      <ns0:c r="F479" s="200"/>
      <ns0:c r="G479" s="200"/>
      <ns0:c r="H479" s="210" t="str">
        <ns0:f>IF('_Engine'!A479=0,"",IF('_Engine'!$B$6&gt;0,"REVIEW",IF('_Engine'!L479&gt;0,"REVIEW",'_Engine'!G479)))</ns0:f>
        <ns0:v/>
      </ns0:c>
      <ns0:c r="I479" s="207"/>
      <ns0:c r="J479" s="208" t="str">
        <ns0:f>IF('_Engine'!K479="OK","OK · "&amp;TEXT('_Dates'!J479,"dd mmm yyyy")&amp;IF('_Dates'!J479='_Dates'!T479,""," → "&amp;TEXT('_Dates'!T479,"dd mmm yyyy")),'_Engine'!K479)</ns0:f>
        <ns0:v/>
      </ns0:c>
    </ns0:row>
    <ns0:row r="480" ht="32" customHeight="1">
      <ns0:c r="A480" s="200"/>
      <ns0:c r="B480" s="201"/>
      <ns0:c r="C480" s="209"/>
      <ns0:c r="D480" s="201"/>
      <ns0:c r="E480" s="209"/>
      <ns0:c r="F480" s="200"/>
      <ns0:c r="G480" s="200"/>
      <ns0:c r="H480" s="210" t="str">
        <ns0:f>IF('_Engine'!A480=0,"",IF('_Engine'!$B$6&gt;0,"REVIEW",IF('_Engine'!L480&gt;0,"REVIEW",'_Engine'!G480)))</ns0:f>
        <ns0:v/>
      </ns0:c>
      <ns0:c r="I480" s="207"/>
      <ns0:c r="J480" s="208" t="str">
        <ns0:f>IF('_Engine'!K480="OK","OK · "&amp;TEXT('_Dates'!J480,"dd mmm yyyy")&amp;IF('_Dates'!J480='_Dates'!T480,""," → "&amp;TEXT('_Dates'!T480,"dd mmm yyyy")),'_Engine'!K480)</ns0:f>
        <ns0:v/>
      </ns0:c>
    </ns0:row>
    <ns0:row r="481" ht="32" customHeight="1">
      <ns0:c r="A481" s="200"/>
      <ns0:c r="B481" s="201"/>
      <ns0:c r="C481" s="209"/>
      <ns0:c r="D481" s="201"/>
      <ns0:c r="E481" s="209"/>
      <ns0:c r="F481" s="200"/>
      <ns0:c r="G481" s="200"/>
      <ns0:c r="H481" s="210" t="str">
        <ns0:f>IF('_Engine'!A481=0,"",IF('_Engine'!$B$6&gt;0,"REVIEW",IF('_Engine'!L481&gt;0,"REVIEW",'_Engine'!G481)))</ns0:f>
        <ns0:v/>
      </ns0:c>
      <ns0:c r="I481" s="207"/>
      <ns0:c r="J481" s="208" t="str">
        <ns0:f>IF('_Engine'!K481="OK","OK · "&amp;TEXT('_Dates'!J481,"dd mmm yyyy")&amp;IF('_Dates'!J481='_Dates'!T481,""," → "&amp;TEXT('_Dates'!T481,"dd mmm yyyy")),'_Engine'!K481)</ns0:f>
        <ns0:v/>
      </ns0:c>
    </ns0:row>
    <ns0:row r="482" ht="32" customHeight="1">
      <ns0:c r="A482" s="200"/>
      <ns0:c r="B482" s="201"/>
      <ns0:c r="C482" s="209"/>
      <ns0:c r="D482" s="201"/>
      <ns0:c r="E482" s="209"/>
      <ns0:c r="F482" s="200"/>
      <ns0:c r="G482" s="200"/>
      <ns0:c r="H482" s="210" t="str">
        <ns0:f>IF('_Engine'!A482=0,"",IF('_Engine'!$B$6&gt;0,"REVIEW",IF('_Engine'!L482&gt;0,"REVIEW",'_Engine'!G482)))</ns0:f>
        <ns0:v/>
      </ns0:c>
      <ns0:c r="I482" s="207"/>
      <ns0:c r="J482" s="208" t="str">
        <ns0:f>IF('_Engine'!K482="OK","OK · "&amp;TEXT('_Dates'!J482,"dd mmm yyyy")&amp;IF('_Dates'!J482='_Dates'!T482,""," → "&amp;TEXT('_Dates'!T482,"dd mmm yyyy")),'_Engine'!K482)</ns0:f>
        <ns0:v/>
      </ns0:c>
    </ns0:row>
    <ns0:row r="483" ht="32" customHeight="1">
      <ns0:c r="A483" s="200"/>
      <ns0:c r="B483" s="201"/>
      <ns0:c r="C483" s="209"/>
      <ns0:c r="D483" s="201"/>
      <ns0:c r="E483" s="209"/>
      <ns0:c r="F483" s="200"/>
      <ns0:c r="G483" s="200"/>
      <ns0:c r="H483" s="210" t="str">
        <ns0:f>IF('_Engine'!A483=0,"",IF('_Engine'!$B$6&gt;0,"REVIEW",IF('_Engine'!L483&gt;0,"REVIEW",'_Engine'!G483)))</ns0:f>
        <ns0:v/>
      </ns0:c>
      <ns0:c r="I483" s="207"/>
      <ns0:c r="J483" s="208" t="str">
        <ns0:f>IF('_Engine'!K483="OK","OK · "&amp;TEXT('_Dates'!J483,"dd mmm yyyy")&amp;IF('_Dates'!J483='_Dates'!T483,""," → "&amp;TEXT('_Dates'!T483,"dd mmm yyyy")),'_Engine'!K483)</ns0:f>
        <ns0:v/>
      </ns0:c>
    </ns0:row>
    <ns0:row r="484" ht="32" customHeight="1">
      <ns0:c r="A484" s="200"/>
      <ns0:c r="B484" s="201"/>
      <ns0:c r="C484" s="209"/>
      <ns0:c r="D484" s="201"/>
      <ns0:c r="E484" s="209"/>
      <ns0:c r="F484" s="200"/>
      <ns0:c r="G484" s="200"/>
      <ns0:c r="H484" s="210" t="str">
        <ns0:f>IF('_Engine'!A484=0,"",IF('_Engine'!$B$6&gt;0,"REVIEW",IF('_Engine'!L484&gt;0,"REVIEW",'_Engine'!G484)))</ns0:f>
        <ns0:v/>
      </ns0:c>
      <ns0:c r="I484" s="207"/>
      <ns0:c r="J484" s="208" t="str">
        <ns0:f>IF('_Engine'!K484="OK","OK · "&amp;TEXT('_Dates'!J484,"dd mmm yyyy")&amp;IF('_Dates'!J484='_Dates'!T484,""," → "&amp;TEXT('_Dates'!T484,"dd mmm yyyy")),'_Engine'!K484)</ns0:f>
        <ns0:v/>
      </ns0:c>
    </ns0:row>
    <ns0:row r="485" ht="32" customHeight="1">
      <ns0:c r="A485" s="200"/>
      <ns0:c r="B485" s="201"/>
      <ns0:c r="C485" s="209"/>
      <ns0:c r="D485" s="201"/>
      <ns0:c r="E485" s="209"/>
      <ns0:c r="F485" s="200"/>
      <ns0:c r="G485" s="200"/>
      <ns0:c r="H485" s="210" t="str">
        <ns0:f>IF('_Engine'!A485=0,"",IF('_Engine'!$B$6&gt;0,"REVIEW",IF('_Engine'!L485&gt;0,"REVIEW",'_Engine'!G485)))</ns0:f>
        <ns0:v/>
      </ns0:c>
      <ns0:c r="I485" s="207"/>
      <ns0:c r="J485" s="208" t="str">
        <ns0:f>IF('_Engine'!K485="OK","OK · "&amp;TEXT('_Dates'!J485,"dd mmm yyyy")&amp;IF('_Dates'!J485='_Dates'!T485,""," → "&amp;TEXT('_Dates'!T485,"dd mmm yyyy")),'_Engine'!K485)</ns0:f>
        <ns0:v/>
      </ns0:c>
    </ns0:row>
    <ns0:row r="486" ht="32" customHeight="1">
      <ns0:c r="A486" s="200"/>
      <ns0:c r="B486" s="201"/>
      <ns0:c r="C486" s="209"/>
      <ns0:c r="D486" s="201"/>
      <ns0:c r="E486" s="209"/>
      <ns0:c r="F486" s="200"/>
      <ns0:c r="G486" s="200"/>
      <ns0:c r="H486" s="210" t="str">
        <ns0:f>IF('_Engine'!A486=0,"",IF('_Engine'!$B$6&gt;0,"REVIEW",IF('_Engine'!L486&gt;0,"REVIEW",'_Engine'!G486)))</ns0:f>
        <ns0:v/>
      </ns0:c>
      <ns0:c r="I486" s="207"/>
      <ns0:c r="J486" s="208" t="str">
        <ns0:f>IF('_Engine'!K486="OK","OK · "&amp;TEXT('_Dates'!J486,"dd mmm yyyy")&amp;IF('_Dates'!J486='_Dates'!T486,""," → "&amp;TEXT('_Dates'!T486,"dd mmm yyyy")),'_Engine'!K486)</ns0:f>
        <ns0:v/>
      </ns0:c>
    </ns0:row>
    <ns0:row r="487" ht="32" customHeight="1">
      <ns0:c r="A487" s="200"/>
      <ns0:c r="B487" s="201"/>
      <ns0:c r="C487" s="209"/>
      <ns0:c r="D487" s="201"/>
      <ns0:c r="E487" s="209"/>
      <ns0:c r="F487" s="200"/>
      <ns0:c r="G487" s="200"/>
      <ns0:c r="H487" s="210" t="str">
        <ns0:f>IF('_Engine'!A487=0,"",IF('_Engine'!$B$6&gt;0,"REVIEW",IF('_Engine'!L487&gt;0,"REVIEW",'_Engine'!G487)))</ns0:f>
        <ns0:v/>
      </ns0:c>
      <ns0:c r="I487" s="207"/>
      <ns0:c r="J487" s="208" t="str">
        <ns0:f>IF('_Engine'!K487="OK","OK · "&amp;TEXT('_Dates'!J487,"dd mmm yyyy")&amp;IF('_Dates'!J487='_Dates'!T487,""," → "&amp;TEXT('_Dates'!T487,"dd mmm yyyy")),'_Engine'!K487)</ns0:f>
        <ns0:v/>
      </ns0:c>
    </ns0:row>
    <ns0:row r="488" ht="32" customHeight="1">
      <ns0:c r="A488" s="200"/>
      <ns0:c r="B488" s="201"/>
      <ns0:c r="C488" s="209"/>
      <ns0:c r="D488" s="201"/>
      <ns0:c r="E488" s="209"/>
      <ns0:c r="F488" s="200"/>
      <ns0:c r="G488" s="200"/>
      <ns0:c r="H488" s="210" t="str">
        <ns0:f>IF('_Engine'!A488=0,"",IF('_Engine'!$B$6&gt;0,"REVIEW",IF('_Engine'!L488&gt;0,"REVIEW",'_Engine'!G488)))</ns0:f>
        <ns0:v/>
      </ns0:c>
      <ns0:c r="I488" s="207"/>
      <ns0:c r="J488" s="208" t="str">
        <ns0:f>IF('_Engine'!K488="OK","OK · "&amp;TEXT('_Dates'!J488,"dd mmm yyyy")&amp;IF('_Dates'!J488='_Dates'!T488,""," → "&amp;TEXT('_Dates'!T488,"dd mmm yyyy")),'_Engine'!K488)</ns0:f>
        <ns0:v/>
      </ns0:c>
    </ns0:row>
    <ns0:row r="489" ht="32" customHeight="1">
      <ns0:c r="A489" s="200"/>
      <ns0:c r="B489" s="201"/>
      <ns0:c r="C489" s="209"/>
      <ns0:c r="D489" s="201"/>
      <ns0:c r="E489" s="209"/>
      <ns0:c r="F489" s="200"/>
      <ns0:c r="G489" s="200"/>
      <ns0:c r="H489" s="210" t="str">
        <ns0:f>IF('_Engine'!A489=0,"",IF('_Engine'!$B$6&gt;0,"REVIEW",IF('_Engine'!L489&gt;0,"REVIEW",'_Engine'!G489)))</ns0:f>
        <ns0:v/>
      </ns0:c>
      <ns0:c r="I489" s="207"/>
      <ns0:c r="J489" s="208" t="str">
        <ns0:f>IF('_Engine'!K489="OK","OK · "&amp;TEXT('_Dates'!J489,"dd mmm yyyy")&amp;IF('_Dates'!J489='_Dates'!T489,""," → "&amp;TEXT('_Dates'!T489,"dd mmm yyyy")),'_Engine'!K489)</ns0:f>
        <ns0:v/>
      </ns0:c>
    </ns0:row>
    <ns0:row r="490" ht="32" customHeight="1">
      <ns0:c r="A490" s="200"/>
      <ns0:c r="B490" s="201"/>
      <ns0:c r="C490" s="209"/>
      <ns0:c r="D490" s="201"/>
      <ns0:c r="E490" s="209"/>
      <ns0:c r="F490" s="200"/>
      <ns0:c r="G490" s="200"/>
      <ns0:c r="H490" s="210" t="str">
        <ns0:f>IF('_Engine'!A490=0,"",IF('_Engine'!$B$6&gt;0,"REVIEW",IF('_Engine'!L490&gt;0,"REVIEW",'_Engine'!G490)))</ns0:f>
        <ns0:v/>
      </ns0:c>
      <ns0:c r="I490" s="207"/>
      <ns0:c r="J490" s="208" t="str">
        <ns0:f>IF('_Engine'!K490="OK","OK · "&amp;TEXT('_Dates'!J490,"dd mmm yyyy")&amp;IF('_Dates'!J490='_Dates'!T490,""," → "&amp;TEXT('_Dates'!T490,"dd mmm yyyy")),'_Engine'!K490)</ns0:f>
        <ns0:v/>
      </ns0:c>
    </ns0:row>
    <ns0:row r="491" ht="32" customHeight="1">
      <ns0:c r="A491" s="200"/>
      <ns0:c r="B491" s="201"/>
      <ns0:c r="C491" s="209"/>
      <ns0:c r="D491" s="201"/>
      <ns0:c r="E491" s="209"/>
      <ns0:c r="F491" s="200"/>
      <ns0:c r="G491" s="200"/>
      <ns0:c r="H491" s="210" t="str">
        <ns0:f>IF('_Engine'!A491=0,"",IF('_Engine'!$B$6&gt;0,"REVIEW",IF('_Engine'!L491&gt;0,"REVIEW",'_Engine'!G491)))</ns0:f>
        <ns0:v/>
      </ns0:c>
      <ns0:c r="I491" s="207"/>
      <ns0:c r="J491" s="208" t="str">
        <ns0:f>IF('_Engine'!K491="OK","OK · "&amp;TEXT('_Dates'!J491,"dd mmm yyyy")&amp;IF('_Dates'!J491='_Dates'!T491,""," → "&amp;TEXT('_Dates'!T491,"dd mmm yyyy")),'_Engine'!K491)</ns0:f>
        <ns0:v/>
      </ns0:c>
    </ns0:row>
    <ns0:row r="492" ht="32" customHeight="1">
      <ns0:c r="A492" s="200"/>
      <ns0:c r="B492" s="201"/>
      <ns0:c r="C492" s="209"/>
      <ns0:c r="D492" s="201"/>
      <ns0:c r="E492" s="209"/>
      <ns0:c r="F492" s="200"/>
      <ns0:c r="G492" s="200"/>
      <ns0:c r="H492" s="210" t="str">
        <ns0:f>IF('_Engine'!A492=0,"",IF('_Engine'!$B$6&gt;0,"REVIEW",IF('_Engine'!L492&gt;0,"REVIEW",'_Engine'!G492)))</ns0:f>
        <ns0:v/>
      </ns0:c>
      <ns0:c r="I492" s="207"/>
      <ns0:c r="J492" s="208" t="str">
        <ns0:f>IF('_Engine'!K492="OK","OK · "&amp;TEXT('_Dates'!J492,"dd mmm yyyy")&amp;IF('_Dates'!J492='_Dates'!T492,""," → "&amp;TEXT('_Dates'!T492,"dd mmm yyyy")),'_Engine'!K492)</ns0:f>
        <ns0:v/>
      </ns0:c>
    </ns0:row>
    <ns0:row r="493" ht="32" customHeight="1">
      <ns0:c r="A493" s="200"/>
      <ns0:c r="B493" s="201"/>
      <ns0:c r="C493" s="209"/>
      <ns0:c r="D493" s="201"/>
      <ns0:c r="E493" s="209"/>
      <ns0:c r="F493" s="200"/>
      <ns0:c r="G493" s="200"/>
      <ns0:c r="H493" s="210" t="str">
        <ns0:f>IF('_Engine'!A493=0,"",IF('_Engine'!$B$6&gt;0,"REVIEW",IF('_Engine'!L493&gt;0,"REVIEW",'_Engine'!G493)))</ns0:f>
        <ns0:v/>
      </ns0:c>
      <ns0:c r="I493" s="207"/>
      <ns0:c r="J493" s="208" t="str">
        <ns0:f>IF('_Engine'!K493="OK","OK · "&amp;TEXT('_Dates'!J493,"dd mmm yyyy")&amp;IF('_Dates'!J493='_Dates'!T493,""," → "&amp;TEXT('_Dates'!T493,"dd mmm yyyy")),'_Engine'!K493)</ns0:f>
        <ns0:v/>
      </ns0:c>
    </ns0:row>
    <ns0:row r="494" ht="32" customHeight="1">
      <ns0:c r="A494" s="200"/>
      <ns0:c r="B494" s="201"/>
      <ns0:c r="C494" s="209"/>
      <ns0:c r="D494" s="201"/>
      <ns0:c r="E494" s="209"/>
      <ns0:c r="F494" s="200"/>
      <ns0:c r="G494" s="200"/>
      <ns0:c r="H494" s="210" t="str">
        <ns0:f>IF('_Engine'!A494=0,"",IF('_Engine'!$B$6&gt;0,"REVIEW",IF('_Engine'!L494&gt;0,"REVIEW",'_Engine'!G494)))</ns0:f>
        <ns0:v/>
      </ns0:c>
      <ns0:c r="I494" s="207"/>
      <ns0:c r="J494" s="208" t="str">
        <ns0:f>IF('_Engine'!K494="OK","OK · "&amp;TEXT('_Dates'!J494,"dd mmm yyyy")&amp;IF('_Dates'!J494='_Dates'!T494,""," → "&amp;TEXT('_Dates'!T494,"dd mmm yyyy")),'_Engine'!K494)</ns0:f>
        <ns0:v/>
      </ns0:c>
    </ns0:row>
    <ns0:row r="495" ht="32" customHeight="1">
      <ns0:c r="A495" s="200"/>
      <ns0:c r="B495" s="201"/>
      <ns0:c r="C495" s="209"/>
      <ns0:c r="D495" s="201"/>
      <ns0:c r="E495" s="209"/>
      <ns0:c r="F495" s="200"/>
      <ns0:c r="G495" s="200"/>
      <ns0:c r="H495" s="210" t="str">
        <ns0:f>IF('_Engine'!A495=0,"",IF('_Engine'!$B$6&gt;0,"REVIEW",IF('_Engine'!L495&gt;0,"REVIEW",'_Engine'!G495)))</ns0:f>
        <ns0:v/>
      </ns0:c>
      <ns0:c r="I495" s="207"/>
      <ns0:c r="J495" s="208" t="str">
        <ns0:f>IF('_Engine'!K495="OK","OK · "&amp;TEXT('_Dates'!J495,"dd mmm yyyy")&amp;IF('_Dates'!J495='_Dates'!T495,""," → "&amp;TEXT('_Dates'!T495,"dd mmm yyyy")),'_Engine'!K495)</ns0:f>
        <ns0:v/>
      </ns0:c>
    </ns0:row>
    <ns0:row r="496" ht="32" customHeight="1">
      <ns0:c r="A496" s="200"/>
      <ns0:c r="B496" s="201"/>
      <ns0:c r="C496" s="209"/>
      <ns0:c r="D496" s="201"/>
      <ns0:c r="E496" s="209"/>
      <ns0:c r="F496" s="200"/>
      <ns0:c r="G496" s="200"/>
      <ns0:c r="H496" s="210" t="str">
        <ns0:f>IF('_Engine'!A496=0,"",IF('_Engine'!$B$6&gt;0,"REVIEW",IF('_Engine'!L496&gt;0,"REVIEW",'_Engine'!G496)))</ns0:f>
        <ns0:v/>
      </ns0:c>
      <ns0:c r="I496" s="207"/>
      <ns0:c r="J496" s="208" t="str">
        <ns0:f>IF('_Engine'!K496="OK","OK · "&amp;TEXT('_Dates'!J496,"dd mmm yyyy")&amp;IF('_Dates'!J496='_Dates'!T496,""," → "&amp;TEXT('_Dates'!T496,"dd mmm yyyy")),'_Engine'!K496)</ns0:f>
        <ns0:v/>
      </ns0:c>
    </ns0:row>
    <ns0:row r="497" ht="32" customHeight="1">
      <ns0:c r="A497" s="200"/>
      <ns0:c r="B497" s="201"/>
      <ns0:c r="C497" s="209"/>
      <ns0:c r="D497" s="201"/>
      <ns0:c r="E497" s="209"/>
      <ns0:c r="F497" s="200"/>
      <ns0:c r="G497" s="200"/>
      <ns0:c r="H497" s="210" t="str">
        <ns0:f>IF('_Engine'!A497=0,"",IF('_Engine'!$B$6&gt;0,"REVIEW",IF('_Engine'!L497&gt;0,"REVIEW",'_Engine'!G497)))</ns0:f>
        <ns0:v/>
      </ns0:c>
      <ns0:c r="I497" s="207"/>
      <ns0:c r="J497" s="208" t="str">
        <ns0:f>IF('_Engine'!K497="OK","OK · "&amp;TEXT('_Dates'!J497,"dd mmm yyyy")&amp;IF('_Dates'!J497='_Dates'!T497,""," → "&amp;TEXT('_Dates'!T497,"dd mmm yyyy")),'_Engine'!K497)</ns0:f>
        <ns0:v/>
      </ns0:c>
    </ns0:row>
    <ns0:row r="498" ht="32" customHeight="1">
      <ns0:c r="A498" s="200"/>
      <ns0:c r="B498" s="201"/>
      <ns0:c r="C498" s="209"/>
      <ns0:c r="D498" s="201"/>
      <ns0:c r="E498" s="209"/>
      <ns0:c r="F498" s="200"/>
      <ns0:c r="G498" s="200"/>
      <ns0:c r="H498" s="210" t="str">
        <ns0:f>IF('_Engine'!A498=0,"",IF('_Engine'!$B$6&gt;0,"REVIEW",IF('_Engine'!L498&gt;0,"REVIEW",'_Engine'!G498)))</ns0:f>
        <ns0:v/>
      </ns0:c>
      <ns0:c r="I498" s="207"/>
      <ns0:c r="J498" s="208" t="str">
        <ns0:f>IF('_Engine'!K498="OK","OK · "&amp;TEXT('_Dates'!J498,"dd mmm yyyy")&amp;IF('_Dates'!J498='_Dates'!T498,""," → "&amp;TEXT('_Dates'!T498,"dd mmm yyyy")),'_Engine'!K498)</ns0:f>
        <ns0:v/>
      </ns0:c>
    </ns0:row>
    <ns0:row r="499" ht="32" customHeight="1">
      <ns0:c r="A499" s="200"/>
      <ns0:c r="B499" s="201"/>
      <ns0:c r="C499" s="209"/>
      <ns0:c r="D499" s="201"/>
      <ns0:c r="E499" s="209"/>
      <ns0:c r="F499" s="200"/>
      <ns0:c r="G499" s="200"/>
      <ns0:c r="H499" s="210" t="str">
        <ns0:f>IF('_Engine'!A499=0,"",IF('_Engine'!$B$6&gt;0,"REVIEW",IF('_Engine'!L499&gt;0,"REVIEW",'_Engine'!G499)))</ns0:f>
        <ns0:v/>
      </ns0:c>
      <ns0:c r="I499" s="207"/>
      <ns0:c r="J499" s="208" t="str">
        <ns0:f>IF('_Engine'!K499="OK","OK · "&amp;TEXT('_Dates'!J499,"dd mmm yyyy")&amp;IF('_Dates'!J499='_Dates'!T499,""," → "&amp;TEXT('_Dates'!T499,"dd mmm yyyy")),'_Engine'!K499)</ns0:f>
        <ns0:v/>
      </ns0:c>
    </ns0:row>
    <ns0:row r="500" ht="32" customHeight="1">
      <ns0:c r="A500" s="200"/>
      <ns0:c r="B500" s="201"/>
      <ns0:c r="C500" s="209"/>
      <ns0:c r="D500" s="201"/>
      <ns0:c r="E500" s="209"/>
      <ns0:c r="F500" s="200"/>
      <ns0:c r="G500" s="200"/>
      <ns0:c r="H500" s="210" t="str">
        <ns0:f>IF('_Engine'!A500=0,"",IF('_Engine'!$B$6&gt;0,"REVIEW",IF('_Engine'!L500&gt;0,"REVIEW",'_Engine'!G500)))</ns0:f>
        <ns0:v/>
      </ns0:c>
      <ns0:c r="I500" s="207"/>
      <ns0:c r="J500" s="208" t="str">
        <ns0:f>IF('_Engine'!K500="OK","OK · "&amp;TEXT('_Dates'!J500,"dd mmm yyyy")&amp;IF('_Dates'!J500='_Dates'!T500,""," → "&amp;TEXT('_Dates'!T500,"dd mmm yyyy")),'_Engine'!K500)</ns0:f>
        <ns0:v/>
      </ns0:c>
    </ns0:row>
    <ns0:row r="501" ht="32" customHeight="1">
      <ns0:c r="A501" s="200"/>
      <ns0:c r="B501" s="201"/>
      <ns0:c r="C501" s="209"/>
      <ns0:c r="D501" s="201"/>
      <ns0:c r="E501" s="209"/>
      <ns0:c r="F501" s="200"/>
      <ns0:c r="G501" s="200"/>
      <ns0:c r="H501" s="210" t="str">
        <ns0:f>IF('_Engine'!A501=0,"",IF('_Engine'!$B$6&gt;0,"REVIEW",IF('_Engine'!L501&gt;0,"REVIEW",'_Engine'!G501)))</ns0:f>
        <ns0:v/>
      </ns0:c>
      <ns0:c r="I501" s="207"/>
      <ns0:c r="J501" s="208" t="str">
        <ns0:f>IF('_Engine'!K501="OK","OK · "&amp;TEXT('_Dates'!J501,"dd mmm yyyy")&amp;IF('_Dates'!J501='_Dates'!T501,""," → "&amp;TEXT('_Dates'!T501,"dd mmm yyyy")),'_Engine'!K501)</ns0:f>
        <ns0:v/>
      </ns0:c>
    </ns0:row>
    <ns0:row r="502" ht="32" customHeight="1">
      <ns0:c r="A502" s="200"/>
      <ns0:c r="B502" s="201"/>
      <ns0:c r="C502" s="209"/>
      <ns0:c r="D502" s="201"/>
      <ns0:c r="E502" s="209"/>
      <ns0:c r="F502" s="200"/>
      <ns0:c r="G502" s="200"/>
      <ns0:c r="H502" s="210" t="str">
        <ns0:f>IF('_Engine'!A502=0,"",IF('_Engine'!$B$6&gt;0,"REVIEW",IF('_Engine'!L502&gt;0,"REVIEW",'_Engine'!G502)))</ns0:f>
        <ns0:v/>
      </ns0:c>
      <ns0:c r="I502" s="207"/>
      <ns0:c r="J502" s="208" t="str">
        <ns0:f>IF('_Engine'!K502="OK","OK · "&amp;TEXT('_Dates'!J502,"dd mmm yyyy")&amp;IF('_Dates'!J502='_Dates'!T502,""," → "&amp;TEXT('_Dates'!T502,"dd mmm yyyy")),'_Engine'!K502)</ns0:f>
        <ns0:v/>
      </ns0:c>
    </ns0:row>
    <ns0:row r="503" ht="32" customHeight="1">
      <ns0:c r="A503" s="200"/>
      <ns0:c r="B503" s="201"/>
      <ns0:c r="C503" s="209"/>
      <ns0:c r="D503" s="201"/>
      <ns0:c r="E503" s="209"/>
      <ns0:c r="F503" s="200"/>
      <ns0:c r="G503" s="200"/>
      <ns0:c r="H503" s="210" t="str">
        <ns0:f>IF('_Engine'!A503=0,"",IF('_Engine'!$B$6&gt;0,"REVIEW",IF('_Engine'!L503&gt;0,"REVIEW",'_Engine'!G503)))</ns0:f>
        <ns0:v/>
      </ns0:c>
      <ns0:c r="I503" s="207"/>
      <ns0:c r="J503" s="208" t="str">
        <ns0:f>IF('_Engine'!K503="OK","OK · "&amp;TEXT('_Dates'!J503,"dd mmm yyyy")&amp;IF('_Dates'!J503='_Dates'!T503,""," → "&amp;TEXT('_Dates'!T503,"dd mmm yyyy")),'_Engine'!K503)</ns0:f>
        <ns0:v/>
      </ns0:c>
    </ns0:row>
    <ns0:row r="504" ht="32" customHeight="1">
      <ns0:c r="A504" s="200"/>
      <ns0:c r="B504" s="201"/>
      <ns0:c r="C504" s="209"/>
      <ns0:c r="D504" s="201"/>
      <ns0:c r="E504" s="209"/>
      <ns0:c r="F504" s="200"/>
      <ns0:c r="G504" s="200"/>
      <ns0:c r="H504" s="210" t="str">
        <ns0:f>IF('_Engine'!A504=0,"",IF('_Engine'!$B$6&gt;0,"REVIEW",IF('_Engine'!L504&gt;0,"REVIEW",'_Engine'!G504)))</ns0:f>
        <ns0:v/>
      </ns0:c>
      <ns0:c r="I504" s="207"/>
      <ns0:c r="J504" s="208" t="str">
        <ns0:f>IF('_Engine'!K504="OK","OK · "&amp;TEXT('_Dates'!J504,"dd mmm yyyy")&amp;IF('_Dates'!J504='_Dates'!T504,""," → "&amp;TEXT('_Dates'!T504,"dd mmm yyyy")),'_Engine'!K504)</ns0:f>
        <ns0:v/>
      </ns0:c>
    </ns0:row>
    <ns0:row r="505" ht="32" customHeight="1">
      <ns0:c r="A505" s="200"/>
      <ns0:c r="B505" s="201"/>
      <ns0:c r="C505" s="209"/>
      <ns0:c r="D505" s="201"/>
      <ns0:c r="E505" s="209"/>
      <ns0:c r="F505" s="200"/>
      <ns0:c r="G505" s="200"/>
      <ns0:c r="H505" s="210" t="str">
        <ns0:f>IF('_Engine'!A505=0,"",IF('_Engine'!$B$6&gt;0,"REVIEW",IF('_Engine'!L505&gt;0,"REVIEW",'_Engine'!G505)))</ns0:f>
        <ns0:v/>
      </ns0:c>
      <ns0:c r="I505" s="207"/>
      <ns0:c r="J505" s="208" t="str">
        <ns0:f>IF('_Engine'!K505="OK","OK · "&amp;TEXT('_Dates'!J505,"dd mmm yyyy")&amp;IF('_Dates'!J505='_Dates'!T505,""," → "&amp;TEXT('_Dates'!T505,"dd mmm yyyy")),'_Engine'!K505)</ns0:f>
        <ns0:v/>
      </ns0:c>
    </ns0:row>
    <ns0:row r="506" ht="32" customHeight="1">
      <ns0:c r="A506" s="200"/>
      <ns0:c r="B506" s="201"/>
      <ns0:c r="C506" s="209"/>
      <ns0:c r="D506" s="201"/>
      <ns0:c r="E506" s="209"/>
      <ns0:c r="F506" s="200"/>
      <ns0:c r="G506" s="200"/>
      <ns0:c r="H506" s="210" t="str">
        <ns0:f>IF('_Engine'!A506=0,"",IF('_Engine'!$B$6&gt;0,"REVIEW",IF('_Engine'!L506&gt;0,"REVIEW",'_Engine'!G506)))</ns0:f>
        <ns0:v/>
      </ns0:c>
      <ns0:c r="I506" s="207"/>
      <ns0:c r="J506" s="208" t="str">
        <ns0:f>IF('_Engine'!K506="OK","OK · "&amp;TEXT('_Dates'!J506,"dd mmm yyyy")&amp;IF('_Dates'!J506='_Dates'!T506,""," → "&amp;TEXT('_Dates'!T506,"dd mmm yyyy")),'_Engine'!K506)</ns0:f>
        <ns0:v/>
      </ns0:c>
    </ns0:row>
    <ns0:row r="507" ht="32" customHeight="1">
      <ns0:c r="A507" s="200"/>
      <ns0:c r="B507" s="201"/>
      <ns0:c r="C507" s="209"/>
      <ns0:c r="D507" s="201"/>
      <ns0:c r="E507" s="209"/>
      <ns0:c r="F507" s="200"/>
      <ns0:c r="G507" s="200"/>
      <ns0:c r="H507" s="210" t="str">
        <ns0:f>IF('_Engine'!A507=0,"",IF('_Engine'!$B$6&gt;0,"REVIEW",IF('_Engine'!L507&gt;0,"REVIEW",'_Engine'!G507)))</ns0:f>
        <ns0:v/>
      </ns0:c>
      <ns0:c r="I507" s="207"/>
      <ns0:c r="J507" s="208" t="str">
        <ns0:f>IF('_Engine'!K507="OK","OK · "&amp;TEXT('_Dates'!J507,"dd mmm yyyy")&amp;IF('_Dates'!J507='_Dates'!T507,""," → "&amp;TEXT('_Dates'!T507,"dd mmm yyyy")),'_Engine'!K507)</ns0:f>
        <ns0:v/>
      </ns0:c>
    </ns0:row>
    <ns0:row r="508" ht="32" customHeight="1">
      <ns0:c r="A508" s="200"/>
      <ns0:c r="B508" s="201"/>
      <ns0:c r="C508" s="209"/>
      <ns0:c r="D508" s="201"/>
      <ns0:c r="E508" s="209"/>
      <ns0:c r="F508" s="200"/>
      <ns0:c r="G508" s="200"/>
      <ns0:c r="H508" s="210" t="str">
        <ns0:f>IF('_Engine'!A508=0,"",IF('_Engine'!$B$6&gt;0,"REVIEW",IF('_Engine'!L508&gt;0,"REVIEW",'_Engine'!G508)))</ns0:f>
        <ns0:v/>
      </ns0:c>
      <ns0:c r="I508" s="207"/>
      <ns0:c r="J508" s="208" t="str">
        <ns0:f>IF('_Engine'!K508="OK","OK · "&amp;TEXT('_Dates'!J508,"dd mmm yyyy")&amp;IF('_Dates'!J508='_Dates'!T508,""," → "&amp;TEXT('_Dates'!T508,"dd mmm yyyy")),'_Engine'!K508)</ns0:f>
        <ns0:v/>
      </ns0:c>
    </ns0:row>
    <ns0:row r="509" ht="32" customHeight="1">
      <ns0:c r="A509" s="200"/>
      <ns0:c r="B509" s="201"/>
      <ns0:c r="C509" s="209"/>
      <ns0:c r="D509" s="201"/>
      <ns0:c r="E509" s="209"/>
      <ns0:c r="F509" s="200"/>
      <ns0:c r="G509" s="200"/>
      <ns0:c r="H509" s="210" t="str">
        <ns0:f>IF('_Engine'!A509=0,"",IF('_Engine'!$B$6&gt;0,"REVIEW",IF('_Engine'!L509&gt;0,"REVIEW",'_Engine'!G509)))</ns0:f>
        <ns0:v/>
      </ns0:c>
      <ns0:c r="I509" s="207"/>
      <ns0:c r="J509" s="208" t="str">
        <ns0:f>IF('_Engine'!K509="OK","OK · "&amp;TEXT('_Dates'!J509,"dd mmm yyyy")&amp;IF('_Dates'!J509='_Dates'!T509,""," → "&amp;TEXT('_Dates'!T509,"dd mmm yyyy")),'_Engine'!K509)</ns0:f>
        <ns0:v/>
      </ns0:c>
    </ns0:row>
    <ns0:row r="510" ht="32" customHeight="1">
      <ns0:c r="A510" s="200"/>
      <ns0:c r="B510" s="201"/>
      <ns0:c r="C510" s="209"/>
      <ns0:c r="D510" s="201"/>
      <ns0:c r="E510" s="209"/>
      <ns0:c r="F510" s="200"/>
      <ns0:c r="G510" s="200"/>
      <ns0:c r="H510" s="210" t="str">
        <ns0:f>IF('_Engine'!A510=0,"",IF('_Engine'!$B$6&gt;0,"REVIEW",IF('_Engine'!L510&gt;0,"REVIEW",'_Engine'!G510)))</ns0:f>
        <ns0:v/>
      </ns0:c>
      <ns0:c r="I510" s="207"/>
      <ns0:c r="J510" s="208" t="str">
        <ns0:f>IF('_Engine'!K510="OK","OK · "&amp;TEXT('_Dates'!J510,"dd mmm yyyy")&amp;IF('_Dates'!J510='_Dates'!T510,""," → "&amp;TEXT('_Dates'!T510,"dd mmm yyyy")),'_Engine'!K510)</ns0:f>
        <ns0:v/>
      </ns0:c>
    </ns0:row>
    <ns0:row r="511" ht="32" customHeight="1">
      <ns0:c r="A511" s="200"/>
      <ns0:c r="B511" s="201"/>
      <ns0:c r="C511" s="209"/>
      <ns0:c r="D511" s="201"/>
      <ns0:c r="E511" s="209"/>
      <ns0:c r="F511" s="200"/>
      <ns0:c r="G511" s="200"/>
      <ns0:c r="H511" s="210" t="str">
        <ns0:f>IF('_Engine'!A511=0,"",IF('_Engine'!$B$6&gt;0,"REVIEW",IF('_Engine'!L511&gt;0,"REVIEW",'_Engine'!G511)))</ns0:f>
        <ns0:v/>
      </ns0:c>
      <ns0:c r="I511" s="207"/>
      <ns0:c r="J511" s="208" t="str">
        <ns0:f>IF('_Engine'!K511="OK","OK · "&amp;TEXT('_Dates'!J511,"dd mmm yyyy")&amp;IF('_Dates'!J511='_Dates'!T511,""," → "&amp;TEXT('_Dates'!T511,"dd mmm yyyy")),'_Engine'!K511)</ns0:f>
        <ns0:v/>
      </ns0:c>
    </ns0:row>
    <ns0:row r="512" ht="32" customHeight="1">
      <ns0:c r="A512" s="200"/>
      <ns0:c r="B512" s="201"/>
      <ns0:c r="C512" s="209"/>
      <ns0:c r="D512" s="201"/>
      <ns0:c r="E512" s="209"/>
      <ns0:c r="F512" s="200"/>
      <ns0:c r="G512" s="200"/>
      <ns0:c r="H512" s="210" t="str">
        <ns0:f>IF('_Engine'!A512=0,"",IF('_Engine'!$B$6&gt;0,"REVIEW",IF('_Engine'!L512&gt;0,"REVIEW",'_Engine'!G512)))</ns0:f>
        <ns0:v/>
      </ns0:c>
      <ns0:c r="I512" s="207"/>
      <ns0:c r="J512" s="208" t="str">
        <ns0:f>IF('_Engine'!K512="OK","OK · "&amp;TEXT('_Dates'!J512,"dd mmm yyyy")&amp;IF('_Dates'!J512='_Dates'!T512,""," → "&amp;TEXT('_Dates'!T512,"dd mmm yyyy")),'_Engine'!K512)</ns0:f>
        <ns0:v/>
      </ns0:c>
    </ns0:row>
    <ns0:row r="513" ht="32" customHeight="1">
      <ns0:c r="A513" s="200"/>
      <ns0:c r="B513" s="201"/>
      <ns0:c r="C513" s="209"/>
      <ns0:c r="D513" s="201"/>
      <ns0:c r="E513" s="209"/>
      <ns0:c r="F513" s="200"/>
      <ns0:c r="G513" s="200"/>
      <ns0:c r="H513" s="210" t="str">
        <ns0:f>IF('_Engine'!A513=0,"",IF('_Engine'!$B$6&gt;0,"REVIEW",IF('_Engine'!L513&gt;0,"REVIEW",'_Engine'!G513)))</ns0:f>
        <ns0:v/>
      </ns0:c>
      <ns0:c r="I513" s="207"/>
      <ns0:c r="J513" s="208" t="str">
        <ns0:f>IF('_Engine'!K513="OK","OK · "&amp;TEXT('_Dates'!J513,"dd mmm yyyy")&amp;IF('_Dates'!J513='_Dates'!T513,""," → "&amp;TEXT('_Dates'!T513,"dd mmm yyyy")),'_Engine'!K513)</ns0:f>
        <ns0:v/>
      </ns0:c>
    </ns0:row>
    <ns0:row r="514" ht="32" customHeight="1">
      <ns0:c r="A514" s="200"/>
      <ns0:c r="B514" s="201"/>
      <ns0:c r="C514" s="209"/>
      <ns0:c r="D514" s="201"/>
      <ns0:c r="E514" s="209"/>
      <ns0:c r="F514" s="200"/>
      <ns0:c r="G514" s="200"/>
      <ns0:c r="H514" s="210" t="str">
        <ns0:f>IF('_Engine'!A514=0,"",IF('_Engine'!$B$6&gt;0,"REVIEW",IF('_Engine'!L514&gt;0,"REVIEW",'_Engine'!G514)))</ns0:f>
        <ns0:v/>
      </ns0:c>
      <ns0:c r="I514" s="207"/>
      <ns0:c r="J514" s="208" t="str">
        <ns0:f>IF('_Engine'!K514="OK","OK · "&amp;TEXT('_Dates'!J514,"dd mmm yyyy")&amp;IF('_Dates'!J514='_Dates'!T514,""," → "&amp;TEXT('_Dates'!T514,"dd mmm yyyy")),'_Engine'!K514)</ns0:f>
        <ns0:v/>
      </ns0:c>
    </ns0:row>
    <ns0:row r="515" ht="32" customHeight="1">
      <ns0:c r="A515" s="200"/>
      <ns0:c r="B515" s="201"/>
      <ns0:c r="C515" s="209"/>
      <ns0:c r="D515" s="201"/>
      <ns0:c r="E515" s="209"/>
      <ns0:c r="F515" s="200"/>
      <ns0:c r="G515" s="200"/>
      <ns0:c r="H515" s="210" t="str">
        <ns0:f>IF('_Engine'!A515=0,"",IF('_Engine'!$B$6&gt;0,"REVIEW",IF('_Engine'!L515&gt;0,"REVIEW",'_Engine'!G515)))</ns0:f>
        <ns0:v/>
      </ns0:c>
      <ns0:c r="I515" s="207"/>
      <ns0:c r="J515" s="208" t="str">
        <ns0:f>IF('_Engine'!K515="OK","OK · "&amp;TEXT('_Dates'!J515,"dd mmm yyyy")&amp;IF('_Dates'!J515='_Dates'!T515,""," → "&amp;TEXT('_Dates'!T515,"dd mmm yyyy")),'_Engine'!K515)</ns0:f>
        <ns0:v/>
      </ns0:c>
    </ns0:row>
    <ns0:row r="516" ht="32" customHeight="1">
      <ns0:c r="A516" s="200"/>
      <ns0:c r="B516" s="201"/>
      <ns0:c r="C516" s="209"/>
      <ns0:c r="D516" s="201"/>
      <ns0:c r="E516" s="209"/>
      <ns0:c r="F516" s="200"/>
      <ns0:c r="G516" s="200"/>
      <ns0:c r="H516" s="210" t="str">
        <ns0:f>IF('_Engine'!A516=0,"",IF('_Engine'!$B$6&gt;0,"REVIEW",IF('_Engine'!L516&gt;0,"REVIEW",'_Engine'!G516)))</ns0:f>
        <ns0:v/>
      </ns0:c>
      <ns0:c r="I516" s="207"/>
      <ns0:c r="J516" s="208" t="str">
        <ns0:f>IF('_Engine'!K516="OK","OK · "&amp;TEXT('_Dates'!J516,"dd mmm yyyy")&amp;IF('_Dates'!J516='_Dates'!T516,""," → "&amp;TEXT('_Dates'!T516,"dd mmm yyyy")),'_Engine'!K516)</ns0:f>
        <ns0:v/>
      </ns0:c>
    </ns0:row>
    <ns0:row r="517" ht="32" customHeight="1">
      <ns0:c r="A517" s="200"/>
      <ns0:c r="B517" s="201"/>
      <ns0:c r="C517" s="209"/>
      <ns0:c r="D517" s="201"/>
      <ns0:c r="E517" s="209"/>
      <ns0:c r="F517" s="200"/>
      <ns0:c r="G517" s="200"/>
      <ns0:c r="H517" s="210" t="str">
        <ns0:f>IF('_Engine'!A517=0,"",IF('_Engine'!$B$6&gt;0,"REVIEW",IF('_Engine'!L517&gt;0,"REVIEW",'_Engine'!G517)))</ns0:f>
        <ns0:v/>
      </ns0:c>
      <ns0:c r="I517" s="207"/>
      <ns0:c r="J517" s="208" t="str">
        <ns0:f>IF('_Engine'!K517="OK","OK · "&amp;TEXT('_Dates'!J517,"dd mmm yyyy")&amp;IF('_Dates'!J517='_Dates'!T517,""," → "&amp;TEXT('_Dates'!T517,"dd mmm yyyy")),'_Engine'!K517)</ns0:f>
        <ns0:v/>
      </ns0:c>
    </ns0:row>
    <ns0:row r="518" ht="32" customHeight="1">
      <ns0:c r="A518" s="200"/>
      <ns0:c r="B518" s="201"/>
      <ns0:c r="C518" s="209"/>
      <ns0:c r="D518" s="201"/>
      <ns0:c r="E518" s="209"/>
      <ns0:c r="F518" s="200"/>
      <ns0:c r="G518" s="200"/>
      <ns0:c r="H518" s="210" t="str">
        <ns0:f>IF('_Engine'!A518=0,"",IF('_Engine'!$B$6&gt;0,"REVIEW",IF('_Engine'!L518&gt;0,"REVIEW",'_Engine'!G518)))</ns0:f>
        <ns0:v/>
      </ns0:c>
      <ns0:c r="I518" s="207"/>
      <ns0:c r="J518" s="208" t="str">
        <ns0:f>IF('_Engine'!K518="OK","OK · "&amp;TEXT('_Dates'!J518,"dd mmm yyyy")&amp;IF('_Dates'!J518='_Dates'!T518,""," → "&amp;TEXT('_Dates'!T518,"dd mmm yyyy")),'_Engine'!K518)</ns0:f>
        <ns0:v/>
      </ns0:c>
    </ns0:row>
    <ns0:row r="519" ht="32" customHeight="1">
      <ns0:c r="A519" s="200"/>
      <ns0:c r="B519" s="201"/>
      <ns0:c r="C519" s="209"/>
      <ns0:c r="D519" s="201"/>
      <ns0:c r="E519" s="209"/>
      <ns0:c r="F519" s="200"/>
      <ns0:c r="G519" s="200"/>
      <ns0:c r="H519" s="210" t="str">
        <ns0:f>IF('_Engine'!A519=0,"",IF('_Engine'!$B$6&gt;0,"REVIEW",IF('_Engine'!L519&gt;0,"REVIEW",'_Engine'!G519)))</ns0:f>
        <ns0:v/>
      </ns0:c>
      <ns0:c r="I519" s="207"/>
      <ns0:c r="J519" s="208" t="str">
        <ns0:f>IF('_Engine'!K519="OK","OK · "&amp;TEXT('_Dates'!J519,"dd mmm yyyy")&amp;IF('_Dates'!J519='_Dates'!T519,""," → "&amp;TEXT('_Dates'!T519,"dd mmm yyyy")),'_Engine'!K519)</ns0:f>
        <ns0:v/>
      </ns0:c>
    </ns0:row>
    <ns0:row r="520" ht="32" customHeight="1">
      <ns0:c r="A520" s="200"/>
      <ns0:c r="B520" s="201"/>
      <ns0:c r="C520" s="209"/>
      <ns0:c r="D520" s="201"/>
      <ns0:c r="E520" s="209"/>
      <ns0:c r="F520" s="200"/>
      <ns0:c r="G520" s="200"/>
      <ns0:c r="H520" s="210" t="str">
        <ns0:f>IF('_Engine'!A520=0,"",IF('_Engine'!$B$6&gt;0,"REVIEW",IF('_Engine'!L520&gt;0,"REVIEW",'_Engine'!G520)))</ns0:f>
        <ns0:v/>
      </ns0:c>
      <ns0:c r="I520" s="207"/>
      <ns0:c r="J520" s="208" t="str">
        <ns0:f>IF('_Engine'!K520="OK","OK · "&amp;TEXT('_Dates'!J520,"dd mmm yyyy")&amp;IF('_Dates'!J520='_Dates'!T520,""," → "&amp;TEXT('_Dates'!T520,"dd mmm yyyy")),'_Engine'!K520)</ns0:f>
        <ns0:v/>
      </ns0:c>
    </ns0:row>
    <ns0:row r="521" ht="32" customHeight="1">
      <ns0:c r="A521" s="200"/>
      <ns0:c r="B521" s="201"/>
      <ns0:c r="C521" s="209"/>
      <ns0:c r="D521" s="201"/>
      <ns0:c r="E521" s="209"/>
      <ns0:c r="F521" s="200"/>
      <ns0:c r="G521" s="200"/>
      <ns0:c r="H521" s="210" t="str">
        <ns0:f>IF('_Engine'!A521=0,"",IF('_Engine'!$B$6&gt;0,"REVIEW",IF('_Engine'!L521&gt;0,"REVIEW",'_Engine'!G521)))</ns0:f>
        <ns0:v/>
      </ns0:c>
      <ns0:c r="I521" s="207"/>
      <ns0:c r="J521" s="208" t="str">
        <ns0:f>IF('_Engine'!K521="OK","OK · "&amp;TEXT('_Dates'!J521,"dd mmm yyyy")&amp;IF('_Dates'!J521='_Dates'!T521,""," → "&amp;TEXT('_Dates'!T521,"dd mmm yyyy")),'_Engine'!K521)</ns0:f>
        <ns0:v/>
      </ns0:c>
    </ns0:row>
    <ns0:row r="522" ht="32" customHeight="1">
      <ns0:c r="A522" s="200"/>
      <ns0:c r="B522" s="201"/>
      <ns0:c r="C522" s="209"/>
      <ns0:c r="D522" s="201"/>
      <ns0:c r="E522" s="209"/>
      <ns0:c r="F522" s="200"/>
      <ns0:c r="G522" s="200"/>
      <ns0:c r="H522" s="210" t="str">
        <ns0:f>IF('_Engine'!A522=0,"",IF('_Engine'!$B$6&gt;0,"REVIEW",IF('_Engine'!L522&gt;0,"REVIEW",'_Engine'!G522)))</ns0:f>
        <ns0:v/>
      </ns0:c>
      <ns0:c r="I522" s="207"/>
      <ns0:c r="J522" s="208" t="str">
        <ns0:f>IF('_Engine'!K522="OK","OK · "&amp;TEXT('_Dates'!J522,"dd mmm yyyy")&amp;IF('_Dates'!J522='_Dates'!T522,""," → "&amp;TEXT('_Dates'!T522,"dd mmm yyyy")),'_Engine'!K522)</ns0:f>
        <ns0:v/>
      </ns0:c>
    </ns0:row>
    <ns0:row r="523" ht="32" customHeight="1">
      <ns0:c r="A523" s="200"/>
      <ns0:c r="B523" s="201"/>
      <ns0:c r="C523" s="209"/>
      <ns0:c r="D523" s="201"/>
      <ns0:c r="E523" s="209"/>
      <ns0:c r="F523" s="200"/>
      <ns0:c r="G523" s="200"/>
      <ns0:c r="H523" s="210" t="str">
        <ns0:f>IF('_Engine'!A523=0,"",IF('_Engine'!$B$6&gt;0,"REVIEW",IF('_Engine'!L523&gt;0,"REVIEW",'_Engine'!G523)))</ns0:f>
        <ns0:v/>
      </ns0:c>
      <ns0:c r="I523" s="207"/>
      <ns0:c r="J523" s="208" t="str">
        <ns0:f>IF('_Engine'!K523="OK","OK · "&amp;TEXT('_Dates'!J523,"dd mmm yyyy")&amp;IF('_Dates'!J523='_Dates'!T523,""," → "&amp;TEXT('_Dates'!T523,"dd mmm yyyy")),'_Engine'!K523)</ns0:f>
        <ns0:v/>
      </ns0:c>
    </ns0:row>
    <ns0:row r="524" ht="32" customHeight="1">
      <ns0:c r="A524" s="200"/>
      <ns0:c r="B524" s="201"/>
      <ns0:c r="C524" s="209"/>
      <ns0:c r="D524" s="201"/>
      <ns0:c r="E524" s="209"/>
      <ns0:c r="F524" s="200"/>
      <ns0:c r="G524" s="200"/>
      <ns0:c r="H524" s="210" t="str">
        <ns0:f>IF('_Engine'!A524=0,"",IF('_Engine'!$B$6&gt;0,"REVIEW",IF('_Engine'!L524&gt;0,"REVIEW",'_Engine'!G524)))</ns0:f>
        <ns0:v/>
      </ns0:c>
      <ns0:c r="I524" s="207"/>
      <ns0:c r="J524" s="208" t="str">
        <ns0:f>IF('_Engine'!K524="OK","OK · "&amp;TEXT('_Dates'!J524,"dd mmm yyyy")&amp;IF('_Dates'!J524='_Dates'!T524,""," → "&amp;TEXT('_Dates'!T524,"dd mmm yyyy")),'_Engine'!K524)</ns0:f>
        <ns0:v/>
      </ns0:c>
    </ns0:row>
    <ns0:row r="525" ht="32" customHeight="1">
      <ns0:c r="A525" s="200"/>
      <ns0:c r="B525" s="201"/>
      <ns0:c r="C525" s="209"/>
      <ns0:c r="D525" s="201"/>
      <ns0:c r="E525" s="209"/>
      <ns0:c r="F525" s="200"/>
      <ns0:c r="G525" s="200"/>
      <ns0:c r="H525" s="210" t="str">
        <ns0:f>IF('_Engine'!A525=0,"",IF('_Engine'!$B$6&gt;0,"REVIEW",IF('_Engine'!L525&gt;0,"REVIEW",'_Engine'!G525)))</ns0:f>
        <ns0:v/>
      </ns0:c>
      <ns0:c r="I525" s="207"/>
      <ns0:c r="J525" s="208" t="str">
        <ns0:f>IF('_Engine'!K525="OK","OK · "&amp;TEXT('_Dates'!J525,"dd mmm yyyy")&amp;IF('_Dates'!J525='_Dates'!T525,""," → "&amp;TEXT('_Dates'!T525,"dd mmm yyyy")),'_Engine'!K525)</ns0:f>
        <ns0:v/>
      </ns0:c>
    </ns0:row>
    <ns0:row r="526" ht="32" customHeight="1">
      <ns0:c r="A526" s="200"/>
      <ns0:c r="B526" s="201"/>
      <ns0:c r="C526" s="209"/>
      <ns0:c r="D526" s="201"/>
      <ns0:c r="E526" s="209"/>
      <ns0:c r="F526" s="200"/>
      <ns0:c r="G526" s="200"/>
      <ns0:c r="H526" s="210" t="str">
        <ns0:f>IF('_Engine'!A526=0,"",IF('_Engine'!$B$6&gt;0,"REVIEW",IF('_Engine'!L526&gt;0,"REVIEW",'_Engine'!G526)))</ns0:f>
        <ns0:v/>
      </ns0:c>
      <ns0:c r="I526" s="207"/>
      <ns0:c r="J526" s="208" t="str">
        <ns0:f>IF('_Engine'!K526="OK","OK · "&amp;TEXT('_Dates'!J526,"dd mmm yyyy")&amp;IF('_Dates'!J526='_Dates'!T526,""," → "&amp;TEXT('_Dates'!T526,"dd mmm yyyy")),'_Engine'!K526)</ns0:f>
        <ns0:v/>
      </ns0:c>
    </ns0:row>
    <ns0:row r="527" ht="32" customHeight="1">
      <ns0:c r="A527" s="200"/>
      <ns0:c r="B527" s="201"/>
      <ns0:c r="C527" s="209"/>
      <ns0:c r="D527" s="201"/>
      <ns0:c r="E527" s="209"/>
      <ns0:c r="F527" s="200"/>
      <ns0:c r="G527" s="200"/>
      <ns0:c r="H527" s="210" t="str">
        <ns0:f>IF('_Engine'!A527=0,"",IF('_Engine'!$B$6&gt;0,"REVIEW",IF('_Engine'!L527&gt;0,"REVIEW",'_Engine'!G527)))</ns0:f>
        <ns0:v/>
      </ns0:c>
      <ns0:c r="I527" s="207"/>
      <ns0:c r="J527" s="208" t="str">
        <ns0:f>IF('_Engine'!K527="OK","OK · "&amp;TEXT('_Dates'!J527,"dd mmm yyyy")&amp;IF('_Dates'!J527='_Dates'!T527,""," → "&amp;TEXT('_Dates'!T527,"dd mmm yyyy")),'_Engine'!K527)</ns0:f>
        <ns0:v/>
      </ns0:c>
    </ns0:row>
    <ns0:row r="528" ht="32" customHeight="1">
      <ns0:c r="A528" s="200"/>
      <ns0:c r="B528" s="201"/>
      <ns0:c r="C528" s="209"/>
      <ns0:c r="D528" s="201"/>
      <ns0:c r="E528" s="209"/>
      <ns0:c r="F528" s="200"/>
      <ns0:c r="G528" s="200"/>
      <ns0:c r="H528" s="210" t="str">
        <ns0:f>IF('_Engine'!A528=0,"",IF('_Engine'!$B$6&gt;0,"REVIEW",IF('_Engine'!L528&gt;0,"REVIEW",'_Engine'!G528)))</ns0:f>
        <ns0:v/>
      </ns0:c>
      <ns0:c r="I528" s="207"/>
      <ns0:c r="J528" s="208" t="str">
        <ns0:f>IF('_Engine'!K528="OK","OK · "&amp;TEXT('_Dates'!J528,"dd mmm yyyy")&amp;IF('_Dates'!J528='_Dates'!T528,""," → "&amp;TEXT('_Dates'!T528,"dd mmm yyyy")),'_Engine'!K528)</ns0:f>
        <ns0:v/>
      </ns0:c>
    </ns0:row>
    <ns0:row r="529" ht="32" customHeight="1">
      <ns0:c r="A529" s="200"/>
      <ns0:c r="B529" s="201"/>
      <ns0:c r="C529" s="209"/>
      <ns0:c r="D529" s="201"/>
      <ns0:c r="E529" s="209"/>
      <ns0:c r="F529" s="200"/>
      <ns0:c r="G529" s="200"/>
      <ns0:c r="H529" s="210" t="str">
        <ns0:f>IF('_Engine'!A529=0,"",IF('_Engine'!$B$6&gt;0,"REVIEW",IF('_Engine'!L529&gt;0,"REVIEW",'_Engine'!G529)))</ns0:f>
        <ns0:v/>
      </ns0:c>
      <ns0:c r="I529" s="207"/>
      <ns0:c r="J529" s="208" t="str">
        <ns0:f>IF('_Engine'!K529="OK","OK · "&amp;TEXT('_Dates'!J529,"dd mmm yyyy")&amp;IF('_Dates'!J529='_Dates'!T529,""," → "&amp;TEXT('_Dates'!T529,"dd mmm yyyy")),'_Engine'!K529)</ns0:f>
        <ns0:v/>
      </ns0:c>
    </ns0:row>
    <ns0:row r="530" ht="32" customHeight="1">
      <ns0:c r="A530" s="200"/>
      <ns0:c r="B530" s="201"/>
      <ns0:c r="C530" s="209"/>
      <ns0:c r="D530" s="201"/>
      <ns0:c r="E530" s="209"/>
      <ns0:c r="F530" s="200"/>
      <ns0:c r="G530" s="200"/>
      <ns0:c r="H530" s="210" t="str">
        <ns0:f>IF('_Engine'!A530=0,"",IF('_Engine'!$B$6&gt;0,"REVIEW",IF('_Engine'!L530&gt;0,"REVIEW",'_Engine'!G530)))</ns0:f>
        <ns0:v/>
      </ns0:c>
      <ns0:c r="I530" s="207"/>
      <ns0:c r="J530" s="208" t="str">
        <ns0:f>IF('_Engine'!K530="OK","OK · "&amp;TEXT('_Dates'!J530,"dd mmm yyyy")&amp;IF('_Dates'!J530='_Dates'!T530,""," → "&amp;TEXT('_Dates'!T530,"dd mmm yyyy")),'_Engine'!K530)</ns0:f>
        <ns0:v/>
      </ns0:c>
    </ns0:row>
    <ns0:row r="531" ht="32" customHeight="1">
      <ns0:c r="A531" s="200"/>
      <ns0:c r="B531" s="201"/>
      <ns0:c r="C531" s="209"/>
      <ns0:c r="D531" s="201"/>
      <ns0:c r="E531" s="209"/>
      <ns0:c r="F531" s="200"/>
      <ns0:c r="G531" s="200"/>
      <ns0:c r="H531" s="210" t="str">
        <ns0:f>IF('_Engine'!A531=0,"",IF('_Engine'!$B$6&gt;0,"REVIEW",IF('_Engine'!L531&gt;0,"REVIEW",'_Engine'!G531)))</ns0:f>
        <ns0:v/>
      </ns0:c>
      <ns0:c r="I531" s="207"/>
      <ns0:c r="J531" s="208" t="str">
        <ns0:f>IF('_Engine'!K531="OK","OK · "&amp;TEXT('_Dates'!J531,"dd mmm yyyy")&amp;IF('_Dates'!J531='_Dates'!T531,""," → "&amp;TEXT('_Dates'!T531,"dd mmm yyyy")),'_Engine'!K531)</ns0:f>
        <ns0:v/>
      </ns0:c>
    </ns0:row>
    <ns0:row r="532" ht="32" customHeight="1">
      <ns0:c r="A532" s="200"/>
      <ns0:c r="B532" s="201"/>
      <ns0:c r="C532" s="209"/>
      <ns0:c r="D532" s="201"/>
      <ns0:c r="E532" s="209"/>
      <ns0:c r="F532" s="200"/>
      <ns0:c r="G532" s="200"/>
      <ns0:c r="H532" s="210" t="str">
        <ns0:f>IF('_Engine'!A532=0,"",IF('_Engine'!$B$6&gt;0,"REVIEW",IF('_Engine'!L532&gt;0,"REVIEW",'_Engine'!G532)))</ns0:f>
        <ns0:v/>
      </ns0:c>
      <ns0:c r="I532" s="207"/>
      <ns0:c r="J532" s="208" t="str">
        <ns0:f>IF('_Engine'!K532="OK","OK · "&amp;TEXT('_Dates'!J532,"dd mmm yyyy")&amp;IF('_Dates'!J532='_Dates'!T532,""," → "&amp;TEXT('_Dates'!T532,"dd mmm yyyy")),'_Engine'!K532)</ns0:f>
        <ns0:v/>
      </ns0:c>
    </ns0:row>
    <ns0:row r="533" ht="32" customHeight="1">
      <ns0:c r="A533" s="200"/>
      <ns0:c r="B533" s="201"/>
      <ns0:c r="C533" s="209"/>
      <ns0:c r="D533" s="201"/>
      <ns0:c r="E533" s="209"/>
      <ns0:c r="F533" s="200"/>
      <ns0:c r="G533" s="200"/>
      <ns0:c r="H533" s="210" t="str">
        <ns0:f>IF('_Engine'!A533=0,"",IF('_Engine'!$B$6&gt;0,"REVIEW",IF('_Engine'!L533&gt;0,"REVIEW",'_Engine'!G533)))</ns0:f>
        <ns0:v/>
      </ns0:c>
      <ns0:c r="I533" s="207"/>
      <ns0:c r="J533" s="208" t="str">
        <ns0:f>IF('_Engine'!K533="OK","OK · "&amp;TEXT('_Dates'!J533,"dd mmm yyyy")&amp;IF('_Dates'!J533='_Dates'!T533,""," → "&amp;TEXT('_Dates'!T533,"dd mmm yyyy")),'_Engine'!K533)</ns0:f>
        <ns0:v/>
      </ns0:c>
    </ns0:row>
    <ns0:row r="534" ht="32" customHeight="1">
      <ns0:c r="A534" s="200"/>
      <ns0:c r="B534" s="201"/>
      <ns0:c r="C534" s="209"/>
      <ns0:c r="D534" s="201"/>
      <ns0:c r="E534" s="209"/>
      <ns0:c r="F534" s="200"/>
      <ns0:c r="G534" s="200"/>
      <ns0:c r="H534" s="210" t="str">
        <ns0:f>IF('_Engine'!A534=0,"",IF('_Engine'!$B$6&gt;0,"REVIEW",IF('_Engine'!L534&gt;0,"REVIEW",'_Engine'!G534)))</ns0:f>
        <ns0:v/>
      </ns0:c>
      <ns0:c r="I534" s="207"/>
      <ns0:c r="J534" s="208" t="str">
        <ns0:f>IF('_Engine'!K534="OK","OK · "&amp;TEXT('_Dates'!J534,"dd mmm yyyy")&amp;IF('_Dates'!J534='_Dates'!T534,""," → "&amp;TEXT('_Dates'!T534,"dd mmm yyyy")),'_Engine'!K534)</ns0:f>
        <ns0:v/>
      </ns0:c>
    </ns0:row>
    <ns0:row r="535" ht="32" customHeight="1">
      <ns0:c r="A535" s="200"/>
      <ns0:c r="B535" s="201"/>
      <ns0:c r="C535" s="209"/>
      <ns0:c r="D535" s="201"/>
      <ns0:c r="E535" s="209"/>
      <ns0:c r="F535" s="200"/>
      <ns0:c r="G535" s="200"/>
      <ns0:c r="H535" s="210" t="str">
        <ns0:f>IF('_Engine'!A535=0,"",IF('_Engine'!$B$6&gt;0,"REVIEW",IF('_Engine'!L535&gt;0,"REVIEW",'_Engine'!G535)))</ns0:f>
        <ns0:v/>
      </ns0:c>
      <ns0:c r="I535" s="207"/>
      <ns0:c r="J535" s="208" t="str">
        <ns0:f>IF('_Engine'!K535="OK","OK · "&amp;TEXT('_Dates'!J535,"dd mmm yyyy")&amp;IF('_Dates'!J535='_Dates'!T535,""," → "&amp;TEXT('_Dates'!T535,"dd mmm yyyy")),'_Engine'!K535)</ns0:f>
        <ns0:v/>
      </ns0:c>
    </ns0:row>
    <ns0:row r="536" ht="32" customHeight="1">
      <ns0:c r="A536" s="200"/>
      <ns0:c r="B536" s="201"/>
      <ns0:c r="C536" s="209"/>
      <ns0:c r="D536" s="201"/>
      <ns0:c r="E536" s="209"/>
      <ns0:c r="F536" s="200"/>
      <ns0:c r="G536" s="200"/>
      <ns0:c r="H536" s="210" t="str">
        <ns0:f>IF('_Engine'!A536=0,"",IF('_Engine'!$B$6&gt;0,"REVIEW",IF('_Engine'!L536&gt;0,"REVIEW",'_Engine'!G536)))</ns0:f>
        <ns0:v/>
      </ns0:c>
      <ns0:c r="I536" s="207"/>
      <ns0:c r="J536" s="208" t="str">
        <ns0:f>IF('_Engine'!K536="OK","OK · "&amp;TEXT('_Dates'!J536,"dd mmm yyyy")&amp;IF('_Dates'!J536='_Dates'!T536,""," → "&amp;TEXT('_Dates'!T536,"dd mmm yyyy")),'_Engine'!K536)</ns0:f>
        <ns0:v/>
      </ns0:c>
    </ns0:row>
    <ns0:row r="537" ht="32" customHeight="1">
      <ns0:c r="A537" s="200"/>
      <ns0:c r="B537" s="201"/>
      <ns0:c r="C537" s="209"/>
      <ns0:c r="D537" s="201"/>
      <ns0:c r="E537" s="209"/>
      <ns0:c r="F537" s="200"/>
      <ns0:c r="G537" s="200"/>
      <ns0:c r="H537" s="210" t="str">
        <ns0:f>IF('_Engine'!A537=0,"",IF('_Engine'!$B$6&gt;0,"REVIEW",IF('_Engine'!L537&gt;0,"REVIEW",'_Engine'!G537)))</ns0:f>
        <ns0:v/>
      </ns0:c>
      <ns0:c r="I537" s="207"/>
      <ns0:c r="J537" s="208" t="str">
        <ns0:f>IF('_Engine'!K537="OK","OK · "&amp;TEXT('_Dates'!J537,"dd mmm yyyy")&amp;IF('_Dates'!J537='_Dates'!T537,""," → "&amp;TEXT('_Dates'!T537,"dd mmm yyyy")),'_Engine'!K537)</ns0:f>
        <ns0:v/>
      </ns0:c>
    </ns0:row>
    <ns0:row r="538" ht="32" customHeight="1">
      <ns0:c r="A538" s="200"/>
      <ns0:c r="B538" s="201"/>
      <ns0:c r="C538" s="209"/>
      <ns0:c r="D538" s="201"/>
      <ns0:c r="E538" s="209"/>
      <ns0:c r="F538" s="200"/>
      <ns0:c r="G538" s="200"/>
      <ns0:c r="H538" s="210" t="str">
        <ns0:f>IF('_Engine'!A538=0,"",IF('_Engine'!$B$6&gt;0,"REVIEW",IF('_Engine'!L538&gt;0,"REVIEW",'_Engine'!G538)))</ns0:f>
        <ns0:v/>
      </ns0:c>
      <ns0:c r="I538" s="207"/>
      <ns0:c r="J538" s="208" t="str">
        <ns0:f>IF('_Engine'!K538="OK","OK · "&amp;TEXT('_Dates'!J538,"dd mmm yyyy")&amp;IF('_Dates'!J538='_Dates'!T538,""," → "&amp;TEXT('_Dates'!T538,"dd mmm yyyy")),'_Engine'!K538)</ns0:f>
        <ns0:v/>
      </ns0:c>
    </ns0:row>
    <ns0:row r="539" ht="32" customHeight="1">
      <ns0:c r="A539" s="200"/>
      <ns0:c r="B539" s="201"/>
      <ns0:c r="C539" s="209"/>
      <ns0:c r="D539" s="201"/>
      <ns0:c r="E539" s="209"/>
      <ns0:c r="F539" s="200"/>
      <ns0:c r="G539" s="200"/>
      <ns0:c r="H539" s="210" t="str">
        <ns0:f>IF('_Engine'!A539=0,"",IF('_Engine'!$B$6&gt;0,"REVIEW",IF('_Engine'!L539&gt;0,"REVIEW",'_Engine'!G539)))</ns0:f>
        <ns0:v/>
      </ns0:c>
      <ns0:c r="I539" s="207"/>
      <ns0:c r="J539" s="208" t="str">
        <ns0:f>IF('_Engine'!K539="OK","OK · "&amp;TEXT('_Dates'!J539,"dd mmm yyyy")&amp;IF('_Dates'!J539='_Dates'!T539,""," → "&amp;TEXT('_Dates'!T539,"dd mmm yyyy")),'_Engine'!K539)</ns0:f>
        <ns0:v/>
      </ns0:c>
    </ns0:row>
    <ns0:row r="540" ht="32" customHeight="1">
      <ns0:c r="A540" s="200"/>
      <ns0:c r="B540" s="201"/>
      <ns0:c r="C540" s="209"/>
      <ns0:c r="D540" s="201"/>
      <ns0:c r="E540" s="209"/>
      <ns0:c r="F540" s="200"/>
      <ns0:c r="G540" s="200"/>
      <ns0:c r="H540" s="210" t="str">
        <ns0:f>IF('_Engine'!A540=0,"",IF('_Engine'!$B$6&gt;0,"REVIEW",IF('_Engine'!L540&gt;0,"REVIEW",'_Engine'!G540)))</ns0:f>
        <ns0:v/>
      </ns0:c>
      <ns0:c r="I540" s="207"/>
      <ns0:c r="J540" s="208" t="str">
        <ns0:f>IF('_Engine'!K540="OK","OK · "&amp;TEXT('_Dates'!J540,"dd mmm yyyy")&amp;IF('_Dates'!J540='_Dates'!T540,""," → "&amp;TEXT('_Dates'!T540,"dd mmm yyyy")),'_Engine'!K540)</ns0:f>
        <ns0:v/>
      </ns0:c>
    </ns0:row>
    <ns0:row r="541" ht="32" customHeight="1">
      <ns0:c r="A541" s="200"/>
      <ns0:c r="B541" s="201"/>
      <ns0:c r="C541" s="209"/>
      <ns0:c r="D541" s="201"/>
      <ns0:c r="E541" s="209"/>
      <ns0:c r="F541" s="200"/>
      <ns0:c r="G541" s="200"/>
      <ns0:c r="H541" s="210" t="str">
        <ns0:f>IF('_Engine'!A541=0,"",IF('_Engine'!$B$6&gt;0,"REVIEW",IF('_Engine'!L541&gt;0,"REVIEW",'_Engine'!G541)))</ns0:f>
        <ns0:v/>
      </ns0:c>
      <ns0:c r="I541" s="207"/>
      <ns0:c r="J541" s="208" t="str">
        <ns0:f>IF('_Engine'!K541="OK","OK · "&amp;TEXT('_Dates'!J541,"dd mmm yyyy")&amp;IF('_Dates'!J541='_Dates'!T541,""," → "&amp;TEXT('_Dates'!T541,"dd mmm yyyy")),'_Engine'!K541)</ns0:f>
        <ns0:v/>
      </ns0:c>
    </ns0:row>
    <ns0:row r="542" ht="32" customHeight="1">
      <ns0:c r="A542" s="200"/>
      <ns0:c r="B542" s="201"/>
      <ns0:c r="C542" s="209"/>
      <ns0:c r="D542" s="201"/>
      <ns0:c r="E542" s="209"/>
      <ns0:c r="F542" s="200"/>
      <ns0:c r="G542" s="200"/>
      <ns0:c r="H542" s="210" t="str">
        <ns0:f>IF('_Engine'!A542=0,"",IF('_Engine'!$B$6&gt;0,"REVIEW",IF('_Engine'!L542&gt;0,"REVIEW",'_Engine'!G542)))</ns0:f>
        <ns0:v/>
      </ns0:c>
      <ns0:c r="I542" s="207"/>
      <ns0:c r="J542" s="208" t="str">
        <ns0:f>IF('_Engine'!K542="OK","OK · "&amp;TEXT('_Dates'!J542,"dd mmm yyyy")&amp;IF('_Dates'!J542='_Dates'!T542,""," → "&amp;TEXT('_Dates'!T542,"dd mmm yyyy")),'_Engine'!K542)</ns0:f>
        <ns0:v/>
      </ns0:c>
    </ns0:row>
    <ns0:row r="543" ht="32" customHeight="1">
      <ns0:c r="A543" s="200"/>
      <ns0:c r="B543" s="201"/>
      <ns0:c r="C543" s="209"/>
      <ns0:c r="D543" s="201"/>
      <ns0:c r="E543" s="209"/>
      <ns0:c r="F543" s="200"/>
      <ns0:c r="G543" s="200"/>
      <ns0:c r="H543" s="210" t="str">
        <ns0:f>IF('_Engine'!A543=0,"",IF('_Engine'!$B$6&gt;0,"REVIEW",IF('_Engine'!L543&gt;0,"REVIEW",'_Engine'!G543)))</ns0:f>
        <ns0:v/>
      </ns0:c>
      <ns0:c r="I543" s="207"/>
      <ns0:c r="J543" s="208" t="str">
        <ns0:f>IF('_Engine'!K543="OK","OK · "&amp;TEXT('_Dates'!J543,"dd mmm yyyy")&amp;IF('_Dates'!J543='_Dates'!T543,""," → "&amp;TEXT('_Dates'!T543,"dd mmm yyyy")),'_Engine'!K543)</ns0:f>
        <ns0:v/>
      </ns0:c>
    </ns0:row>
    <ns0:row r="544" ht="32" customHeight="1">
      <ns0:c r="A544" s="200"/>
      <ns0:c r="B544" s="201"/>
      <ns0:c r="C544" s="209"/>
      <ns0:c r="D544" s="201"/>
      <ns0:c r="E544" s="209"/>
      <ns0:c r="F544" s="200"/>
      <ns0:c r="G544" s="200"/>
      <ns0:c r="H544" s="210" t="str">
        <ns0:f>IF('_Engine'!A544=0,"",IF('_Engine'!$B$6&gt;0,"REVIEW",IF('_Engine'!L544&gt;0,"REVIEW",'_Engine'!G544)))</ns0:f>
        <ns0:v/>
      </ns0:c>
      <ns0:c r="I544" s="207"/>
      <ns0:c r="J544" s="208" t="str">
        <ns0:f>IF('_Engine'!K544="OK","OK · "&amp;TEXT('_Dates'!J544,"dd mmm yyyy")&amp;IF('_Dates'!J544='_Dates'!T544,""," → "&amp;TEXT('_Dates'!T544,"dd mmm yyyy")),'_Engine'!K544)</ns0:f>
        <ns0:v/>
      </ns0:c>
    </ns0:row>
    <ns0:row r="545" ht="32" customHeight="1">
      <ns0:c r="A545" s="200"/>
      <ns0:c r="B545" s="201"/>
      <ns0:c r="C545" s="209"/>
      <ns0:c r="D545" s="201"/>
      <ns0:c r="E545" s="209"/>
      <ns0:c r="F545" s="200"/>
      <ns0:c r="G545" s="200"/>
      <ns0:c r="H545" s="210" t="str">
        <ns0:f>IF('_Engine'!A545=0,"",IF('_Engine'!$B$6&gt;0,"REVIEW",IF('_Engine'!L545&gt;0,"REVIEW",'_Engine'!G545)))</ns0:f>
        <ns0:v/>
      </ns0:c>
      <ns0:c r="I545" s="207"/>
      <ns0:c r="J545" s="208" t="str">
        <ns0:f>IF('_Engine'!K545="OK","OK · "&amp;TEXT('_Dates'!J545,"dd mmm yyyy")&amp;IF('_Dates'!J545='_Dates'!T545,""," → "&amp;TEXT('_Dates'!T545,"dd mmm yyyy")),'_Engine'!K545)</ns0:f>
        <ns0:v/>
      </ns0:c>
    </ns0:row>
    <ns0:row r="546" ht="32" customHeight="1">
      <ns0:c r="A546" s="200"/>
      <ns0:c r="B546" s="201"/>
      <ns0:c r="C546" s="209"/>
      <ns0:c r="D546" s="201"/>
      <ns0:c r="E546" s="209"/>
      <ns0:c r="F546" s="200"/>
      <ns0:c r="G546" s="200"/>
      <ns0:c r="H546" s="210" t="str">
        <ns0:f>IF('_Engine'!A546=0,"",IF('_Engine'!$B$6&gt;0,"REVIEW",IF('_Engine'!L546&gt;0,"REVIEW",'_Engine'!G546)))</ns0:f>
        <ns0:v/>
      </ns0:c>
      <ns0:c r="I546" s="207"/>
      <ns0:c r="J546" s="208" t="str">
        <ns0:f>IF('_Engine'!K546="OK","OK · "&amp;TEXT('_Dates'!J546,"dd mmm yyyy")&amp;IF('_Dates'!J546='_Dates'!T546,""," → "&amp;TEXT('_Dates'!T546,"dd mmm yyyy")),'_Engine'!K546)</ns0:f>
        <ns0:v/>
      </ns0:c>
    </ns0:row>
    <ns0:row r="547" ht="32" customHeight="1">
      <ns0:c r="A547" s="200"/>
      <ns0:c r="B547" s="201"/>
      <ns0:c r="C547" s="209"/>
      <ns0:c r="D547" s="201"/>
      <ns0:c r="E547" s="209"/>
      <ns0:c r="F547" s="200"/>
      <ns0:c r="G547" s="200"/>
      <ns0:c r="H547" s="210" t="str">
        <ns0:f>IF('_Engine'!A547=0,"",IF('_Engine'!$B$6&gt;0,"REVIEW",IF('_Engine'!L547&gt;0,"REVIEW",'_Engine'!G547)))</ns0:f>
        <ns0:v/>
      </ns0:c>
      <ns0:c r="I547" s="207"/>
      <ns0:c r="J547" s="208" t="str">
        <ns0:f>IF('_Engine'!K547="OK","OK · "&amp;TEXT('_Dates'!J547,"dd mmm yyyy")&amp;IF('_Dates'!J547='_Dates'!T547,""," → "&amp;TEXT('_Dates'!T547,"dd mmm yyyy")),'_Engine'!K547)</ns0:f>
        <ns0:v/>
      </ns0:c>
    </ns0:row>
    <ns0:row r="548" ht="32" customHeight="1">
      <ns0:c r="A548" s="200"/>
      <ns0:c r="B548" s="201"/>
      <ns0:c r="C548" s="209"/>
      <ns0:c r="D548" s="201"/>
      <ns0:c r="E548" s="209"/>
      <ns0:c r="F548" s="200"/>
      <ns0:c r="G548" s="200"/>
      <ns0:c r="H548" s="210" t="str">
        <ns0:f>IF('_Engine'!A548=0,"",IF('_Engine'!$B$6&gt;0,"REVIEW",IF('_Engine'!L548&gt;0,"REVIEW",'_Engine'!G548)))</ns0:f>
        <ns0:v/>
      </ns0:c>
      <ns0:c r="I548" s="207"/>
      <ns0:c r="J548" s="208" t="str">
        <ns0:f>IF('_Engine'!K548="OK","OK · "&amp;TEXT('_Dates'!J548,"dd mmm yyyy")&amp;IF('_Dates'!J548='_Dates'!T548,""," → "&amp;TEXT('_Dates'!T548,"dd mmm yyyy")),'_Engine'!K548)</ns0:f>
        <ns0:v/>
      </ns0:c>
    </ns0:row>
    <ns0:row r="549" ht="32" customHeight="1">
      <ns0:c r="A549" s="200"/>
      <ns0:c r="B549" s="201"/>
      <ns0:c r="C549" s="209"/>
      <ns0:c r="D549" s="201"/>
      <ns0:c r="E549" s="209"/>
      <ns0:c r="F549" s="200"/>
      <ns0:c r="G549" s="200"/>
      <ns0:c r="H549" s="210" t="str">
        <ns0:f>IF('_Engine'!A549=0,"",IF('_Engine'!$B$6&gt;0,"REVIEW",IF('_Engine'!L549&gt;0,"REVIEW",'_Engine'!G549)))</ns0:f>
        <ns0:v/>
      </ns0:c>
      <ns0:c r="I549" s="207"/>
      <ns0:c r="J549" s="208" t="str">
        <ns0:f>IF('_Engine'!K549="OK","OK · "&amp;TEXT('_Dates'!J549,"dd mmm yyyy")&amp;IF('_Dates'!J549='_Dates'!T549,""," → "&amp;TEXT('_Dates'!T549,"dd mmm yyyy")),'_Engine'!K549)</ns0:f>
        <ns0:v/>
      </ns0:c>
    </ns0:row>
    <ns0:row r="550" ht="32" customHeight="1">
      <ns0:c r="A550" s="200"/>
      <ns0:c r="B550" s="201"/>
      <ns0:c r="C550" s="209"/>
      <ns0:c r="D550" s="201"/>
      <ns0:c r="E550" s="209"/>
      <ns0:c r="F550" s="200"/>
      <ns0:c r="G550" s="200"/>
      <ns0:c r="H550" s="210" t="str">
        <ns0:f>IF('_Engine'!A550=0,"",IF('_Engine'!$B$6&gt;0,"REVIEW",IF('_Engine'!L550&gt;0,"REVIEW",'_Engine'!G550)))</ns0:f>
        <ns0:v/>
      </ns0:c>
      <ns0:c r="I550" s="207"/>
      <ns0:c r="J550" s="208" t="str">
        <ns0:f>IF('_Engine'!K550="OK","OK · "&amp;TEXT('_Dates'!J550,"dd mmm yyyy")&amp;IF('_Dates'!J550='_Dates'!T550,""," → "&amp;TEXT('_Dates'!T550,"dd mmm yyyy")),'_Engine'!K550)</ns0:f>
        <ns0:v/>
      </ns0:c>
    </ns0:row>
    <ns0:row r="551" ht="32" customHeight="1">
      <ns0:c r="A551" s="200"/>
      <ns0:c r="B551" s="201"/>
      <ns0:c r="C551" s="209"/>
      <ns0:c r="D551" s="201"/>
      <ns0:c r="E551" s="209"/>
      <ns0:c r="F551" s="200"/>
      <ns0:c r="G551" s="200"/>
      <ns0:c r="H551" s="210" t="str">
        <ns0:f>IF('_Engine'!A551=0,"",IF('_Engine'!$B$6&gt;0,"REVIEW",IF('_Engine'!L551&gt;0,"REVIEW",'_Engine'!G551)))</ns0:f>
        <ns0:v/>
      </ns0:c>
      <ns0:c r="I551" s="207"/>
      <ns0:c r="J551" s="208" t="str">
        <ns0:f>IF('_Engine'!K551="OK","OK · "&amp;TEXT('_Dates'!J551,"dd mmm yyyy")&amp;IF('_Dates'!J551='_Dates'!T551,""," → "&amp;TEXT('_Dates'!T551,"dd mmm yyyy")),'_Engine'!K551)</ns0:f>
        <ns0:v/>
      </ns0:c>
    </ns0:row>
    <ns0:row r="552" ht="32" customHeight="1">
      <ns0:c r="A552" s="200"/>
      <ns0:c r="B552" s="201"/>
      <ns0:c r="C552" s="209"/>
      <ns0:c r="D552" s="201"/>
      <ns0:c r="E552" s="209"/>
      <ns0:c r="F552" s="200"/>
      <ns0:c r="G552" s="200"/>
      <ns0:c r="H552" s="210" t="str">
        <ns0:f>IF('_Engine'!A552=0,"",IF('_Engine'!$B$6&gt;0,"REVIEW",IF('_Engine'!L552&gt;0,"REVIEW",'_Engine'!G552)))</ns0:f>
        <ns0:v/>
      </ns0:c>
      <ns0:c r="I552" s="207"/>
      <ns0:c r="J552" s="208" t="str">
        <ns0:f>IF('_Engine'!K552="OK","OK · "&amp;TEXT('_Dates'!J552,"dd mmm yyyy")&amp;IF('_Dates'!J552='_Dates'!T552,""," → "&amp;TEXT('_Dates'!T552,"dd mmm yyyy")),'_Engine'!K552)</ns0:f>
        <ns0:v/>
      </ns0:c>
    </ns0:row>
    <ns0:row r="553" ht="32" customHeight="1">
      <ns0:c r="A553" s="200"/>
      <ns0:c r="B553" s="201"/>
      <ns0:c r="C553" s="209"/>
      <ns0:c r="D553" s="201"/>
      <ns0:c r="E553" s="209"/>
      <ns0:c r="F553" s="200"/>
      <ns0:c r="G553" s="200"/>
      <ns0:c r="H553" s="210" t="str">
        <ns0:f>IF('_Engine'!A553=0,"",IF('_Engine'!$B$6&gt;0,"REVIEW",IF('_Engine'!L553&gt;0,"REVIEW",'_Engine'!G553)))</ns0:f>
        <ns0:v/>
      </ns0:c>
      <ns0:c r="I553" s="207"/>
      <ns0:c r="J553" s="208" t="str">
        <ns0:f>IF('_Engine'!K553="OK","OK · "&amp;TEXT('_Dates'!J553,"dd mmm yyyy")&amp;IF('_Dates'!J553='_Dates'!T553,""," → "&amp;TEXT('_Dates'!T553,"dd mmm yyyy")),'_Engine'!K553)</ns0:f>
        <ns0:v/>
      </ns0:c>
    </ns0:row>
    <ns0:row r="554" ht="32" customHeight="1">
      <ns0:c r="A554" s="200"/>
      <ns0:c r="B554" s="201"/>
      <ns0:c r="C554" s="209"/>
      <ns0:c r="D554" s="201"/>
      <ns0:c r="E554" s="209"/>
      <ns0:c r="F554" s="200"/>
      <ns0:c r="G554" s="200"/>
      <ns0:c r="H554" s="210" t="str">
        <ns0:f>IF('_Engine'!A554=0,"",IF('_Engine'!$B$6&gt;0,"REVIEW",IF('_Engine'!L554&gt;0,"REVIEW",'_Engine'!G554)))</ns0:f>
        <ns0:v/>
      </ns0:c>
      <ns0:c r="I554" s="207"/>
      <ns0:c r="J554" s="208" t="str">
        <ns0:f>IF('_Engine'!K554="OK","OK · "&amp;TEXT('_Dates'!J554,"dd mmm yyyy")&amp;IF('_Dates'!J554='_Dates'!T554,""," → "&amp;TEXT('_Dates'!T554,"dd mmm yyyy")),'_Engine'!K554)</ns0:f>
        <ns0:v/>
      </ns0:c>
    </ns0:row>
    <ns0:row r="555" ht="32" customHeight="1">
      <ns0:c r="A555" s="200"/>
      <ns0:c r="B555" s="201"/>
      <ns0:c r="C555" s="209"/>
      <ns0:c r="D555" s="201"/>
      <ns0:c r="E555" s="209"/>
      <ns0:c r="F555" s="200"/>
      <ns0:c r="G555" s="200"/>
      <ns0:c r="H555" s="210" t="str">
        <ns0:f>IF('_Engine'!A555=0,"",IF('_Engine'!$B$6&gt;0,"REVIEW",IF('_Engine'!L555&gt;0,"REVIEW",'_Engine'!G555)))</ns0:f>
        <ns0:v/>
      </ns0:c>
      <ns0:c r="I555" s="207"/>
      <ns0:c r="J555" s="208" t="str">
        <ns0:f>IF('_Engine'!K555="OK","OK · "&amp;TEXT('_Dates'!J555,"dd mmm yyyy")&amp;IF('_Dates'!J555='_Dates'!T555,""," → "&amp;TEXT('_Dates'!T555,"dd mmm yyyy")),'_Engine'!K555)</ns0:f>
        <ns0:v/>
      </ns0:c>
    </ns0:row>
    <ns0:row r="556" ht="32" customHeight="1">
      <ns0:c r="A556" s="200"/>
      <ns0:c r="B556" s="201"/>
      <ns0:c r="C556" s="209"/>
      <ns0:c r="D556" s="201"/>
      <ns0:c r="E556" s="209"/>
      <ns0:c r="F556" s="200"/>
      <ns0:c r="G556" s="200"/>
      <ns0:c r="H556" s="210" t="str">
        <ns0:f>IF('_Engine'!A556=0,"",IF('_Engine'!$B$6&gt;0,"REVIEW",IF('_Engine'!L556&gt;0,"REVIEW",'_Engine'!G556)))</ns0:f>
        <ns0:v/>
      </ns0:c>
      <ns0:c r="I556" s="207"/>
      <ns0:c r="J556" s="208" t="str">
        <ns0:f>IF('_Engine'!K556="OK","OK · "&amp;TEXT('_Dates'!J556,"dd mmm yyyy")&amp;IF('_Dates'!J556='_Dates'!T556,""," → "&amp;TEXT('_Dates'!T556,"dd mmm yyyy")),'_Engine'!K556)</ns0:f>
        <ns0:v/>
      </ns0:c>
    </ns0:row>
    <ns0:row r="557" ht="32" customHeight="1">
      <ns0:c r="A557" s="200"/>
      <ns0:c r="B557" s="201"/>
      <ns0:c r="C557" s="209"/>
      <ns0:c r="D557" s="201"/>
      <ns0:c r="E557" s="209"/>
      <ns0:c r="F557" s="200"/>
      <ns0:c r="G557" s="200"/>
      <ns0:c r="H557" s="210" t="str">
        <ns0:f>IF('_Engine'!A557=0,"",IF('_Engine'!$B$6&gt;0,"REVIEW",IF('_Engine'!L557&gt;0,"REVIEW",'_Engine'!G557)))</ns0:f>
        <ns0:v/>
      </ns0:c>
      <ns0:c r="I557" s="207"/>
      <ns0:c r="J557" s="208" t="str">
        <ns0:f>IF('_Engine'!K557="OK","OK · "&amp;TEXT('_Dates'!J557,"dd mmm yyyy")&amp;IF('_Dates'!J557='_Dates'!T557,""," → "&amp;TEXT('_Dates'!T557,"dd mmm yyyy")),'_Engine'!K557)</ns0:f>
        <ns0:v/>
      </ns0:c>
    </ns0:row>
    <ns0:row r="558" ht="32" customHeight="1">
      <ns0:c r="A558" s="200"/>
      <ns0:c r="B558" s="201"/>
      <ns0:c r="C558" s="209"/>
      <ns0:c r="D558" s="201"/>
      <ns0:c r="E558" s="209"/>
      <ns0:c r="F558" s="200"/>
      <ns0:c r="G558" s="200"/>
      <ns0:c r="H558" s="210" t="str">
        <ns0:f>IF('_Engine'!A558=0,"",IF('_Engine'!$B$6&gt;0,"REVIEW",IF('_Engine'!L558&gt;0,"REVIEW",'_Engine'!G558)))</ns0:f>
        <ns0:v/>
      </ns0:c>
      <ns0:c r="I558" s="207"/>
      <ns0:c r="J558" s="208" t="str">
        <ns0:f>IF('_Engine'!K558="OK","OK · "&amp;TEXT('_Dates'!J558,"dd mmm yyyy")&amp;IF('_Dates'!J558='_Dates'!T558,""," → "&amp;TEXT('_Dates'!T558,"dd mmm yyyy")),'_Engine'!K558)</ns0:f>
        <ns0:v/>
      </ns0:c>
    </ns0:row>
    <ns0:row r="559" ht="32" customHeight="1">
      <ns0:c r="A559" s="200"/>
      <ns0:c r="B559" s="201"/>
      <ns0:c r="C559" s="209"/>
      <ns0:c r="D559" s="201"/>
      <ns0:c r="E559" s="209"/>
      <ns0:c r="F559" s="200"/>
      <ns0:c r="G559" s="200"/>
      <ns0:c r="H559" s="210" t="str">
        <ns0:f>IF('_Engine'!A559=0,"",IF('_Engine'!$B$6&gt;0,"REVIEW",IF('_Engine'!L559&gt;0,"REVIEW",'_Engine'!G559)))</ns0:f>
        <ns0:v/>
      </ns0:c>
      <ns0:c r="I559" s="207"/>
      <ns0:c r="J559" s="208" t="str">
        <ns0:f>IF('_Engine'!K559="OK","OK · "&amp;TEXT('_Dates'!J559,"dd mmm yyyy")&amp;IF('_Dates'!J559='_Dates'!T559,""," → "&amp;TEXT('_Dates'!T559,"dd mmm yyyy")),'_Engine'!K559)</ns0:f>
        <ns0:v/>
      </ns0:c>
    </ns0:row>
    <ns0:row r="560" ht="32" customHeight="1">
      <ns0:c r="A560" s="200"/>
      <ns0:c r="B560" s="201"/>
      <ns0:c r="C560" s="209"/>
      <ns0:c r="D560" s="201"/>
      <ns0:c r="E560" s="209"/>
      <ns0:c r="F560" s="200"/>
      <ns0:c r="G560" s="200"/>
      <ns0:c r="H560" s="210" t="str">
        <ns0:f>IF('_Engine'!A560=0,"",IF('_Engine'!$B$6&gt;0,"REVIEW",IF('_Engine'!L560&gt;0,"REVIEW",'_Engine'!G560)))</ns0:f>
        <ns0:v/>
      </ns0:c>
      <ns0:c r="I560" s="207"/>
      <ns0:c r="J560" s="208" t="str">
        <ns0:f>IF('_Engine'!K560="OK","OK · "&amp;TEXT('_Dates'!J560,"dd mmm yyyy")&amp;IF('_Dates'!J560='_Dates'!T560,""," → "&amp;TEXT('_Dates'!T560,"dd mmm yyyy")),'_Engine'!K560)</ns0:f>
        <ns0:v/>
      </ns0:c>
    </ns0:row>
    <ns0:row r="561" ht="32" customHeight="1">
      <ns0:c r="A561" s="200"/>
      <ns0:c r="B561" s="201"/>
      <ns0:c r="C561" s="209"/>
      <ns0:c r="D561" s="201"/>
      <ns0:c r="E561" s="209"/>
      <ns0:c r="F561" s="200"/>
      <ns0:c r="G561" s="200"/>
      <ns0:c r="H561" s="210" t="str">
        <ns0:f>IF('_Engine'!A561=0,"",IF('_Engine'!$B$6&gt;0,"REVIEW",IF('_Engine'!L561&gt;0,"REVIEW",'_Engine'!G561)))</ns0:f>
        <ns0:v/>
      </ns0:c>
      <ns0:c r="I561" s="207"/>
      <ns0:c r="J561" s="208" t="str">
        <ns0:f>IF('_Engine'!K561="OK","OK · "&amp;TEXT('_Dates'!J561,"dd mmm yyyy")&amp;IF('_Dates'!J561='_Dates'!T561,""," → "&amp;TEXT('_Dates'!T561,"dd mmm yyyy")),'_Engine'!K561)</ns0:f>
        <ns0:v/>
      </ns0:c>
    </ns0:row>
    <ns0:row r="562" ht="32" customHeight="1">
      <ns0:c r="A562" s="200"/>
      <ns0:c r="B562" s="201"/>
      <ns0:c r="C562" s="209"/>
      <ns0:c r="D562" s="201"/>
      <ns0:c r="E562" s="209"/>
      <ns0:c r="F562" s="200"/>
      <ns0:c r="G562" s="200"/>
      <ns0:c r="H562" s="210" t="str">
        <ns0:f>IF('_Engine'!A562=0,"",IF('_Engine'!$B$6&gt;0,"REVIEW",IF('_Engine'!L562&gt;0,"REVIEW",'_Engine'!G562)))</ns0:f>
        <ns0:v/>
      </ns0:c>
      <ns0:c r="I562" s="207"/>
      <ns0:c r="J562" s="208" t="str">
        <ns0:f>IF('_Engine'!K562="OK","OK · "&amp;TEXT('_Dates'!J562,"dd mmm yyyy")&amp;IF('_Dates'!J562='_Dates'!T562,""," → "&amp;TEXT('_Dates'!T562,"dd mmm yyyy")),'_Engine'!K562)</ns0:f>
        <ns0:v/>
      </ns0:c>
    </ns0:row>
    <ns0:row r="563" ht="32" customHeight="1">
      <ns0:c r="A563" s="200"/>
      <ns0:c r="B563" s="201"/>
      <ns0:c r="C563" s="209"/>
      <ns0:c r="D563" s="201"/>
      <ns0:c r="E563" s="209"/>
      <ns0:c r="F563" s="200"/>
      <ns0:c r="G563" s="200"/>
      <ns0:c r="H563" s="210" t="str">
        <ns0:f>IF('_Engine'!A563=0,"",IF('_Engine'!$B$6&gt;0,"REVIEW",IF('_Engine'!L563&gt;0,"REVIEW",'_Engine'!G563)))</ns0:f>
        <ns0:v/>
      </ns0:c>
      <ns0:c r="I563" s="207"/>
      <ns0:c r="J563" s="208" t="str">
        <ns0:f>IF('_Engine'!K563="OK","OK · "&amp;TEXT('_Dates'!J563,"dd mmm yyyy")&amp;IF('_Dates'!J563='_Dates'!T563,""," → "&amp;TEXT('_Dates'!T563,"dd mmm yyyy")),'_Engine'!K563)</ns0:f>
        <ns0:v/>
      </ns0:c>
    </ns0:row>
    <ns0:row r="564" ht="32" customHeight="1">
      <ns0:c r="A564" s="200"/>
      <ns0:c r="B564" s="201"/>
      <ns0:c r="C564" s="209"/>
      <ns0:c r="D564" s="201"/>
      <ns0:c r="E564" s="209"/>
      <ns0:c r="F564" s="200"/>
      <ns0:c r="G564" s="200"/>
      <ns0:c r="H564" s="210" t="str">
        <ns0:f>IF('_Engine'!A564=0,"",IF('_Engine'!$B$6&gt;0,"REVIEW",IF('_Engine'!L564&gt;0,"REVIEW",'_Engine'!G564)))</ns0:f>
        <ns0:v/>
      </ns0:c>
      <ns0:c r="I564" s="207"/>
      <ns0:c r="J564" s="208" t="str">
        <ns0:f>IF('_Engine'!K564="OK","OK · "&amp;TEXT('_Dates'!J564,"dd mmm yyyy")&amp;IF('_Dates'!J564='_Dates'!T564,""," → "&amp;TEXT('_Dates'!T564,"dd mmm yyyy")),'_Engine'!K564)</ns0:f>
        <ns0:v/>
      </ns0:c>
    </ns0:row>
    <ns0:row r="565" ht="32" customHeight="1">
      <ns0:c r="A565" s="200"/>
      <ns0:c r="B565" s="201"/>
      <ns0:c r="C565" s="209"/>
      <ns0:c r="D565" s="201"/>
      <ns0:c r="E565" s="209"/>
      <ns0:c r="F565" s="200"/>
      <ns0:c r="G565" s="200"/>
      <ns0:c r="H565" s="210" t="str">
        <ns0:f>IF('_Engine'!A565=0,"",IF('_Engine'!$B$6&gt;0,"REVIEW",IF('_Engine'!L565&gt;0,"REVIEW",'_Engine'!G565)))</ns0:f>
        <ns0:v/>
      </ns0:c>
      <ns0:c r="I565" s="207"/>
      <ns0:c r="J565" s="208" t="str">
        <ns0:f>IF('_Engine'!K565="OK","OK · "&amp;TEXT('_Dates'!J565,"dd mmm yyyy")&amp;IF('_Dates'!J565='_Dates'!T565,""," → "&amp;TEXT('_Dates'!T565,"dd mmm yyyy")),'_Engine'!K565)</ns0:f>
        <ns0:v/>
      </ns0:c>
    </ns0:row>
    <ns0:row r="566" ht="32" customHeight="1">
      <ns0:c r="A566" s="200"/>
      <ns0:c r="B566" s="201"/>
      <ns0:c r="C566" s="209"/>
      <ns0:c r="D566" s="201"/>
      <ns0:c r="E566" s="209"/>
      <ns0:c r="F566" s="200"/>
      <ns0:c r="G566" s="200"/>
      <ns0:c r="H566" s="210" t="str">
        <ns0:f>IF('_Engine'!A566=0,"",IF('_Engine'!$B$6&gt;0,"REVIEW",IF('_Engine'!L566&gt;0,"REVIEW",'_Engine'!G566)))</ns0:f>
        <ns0:v/>
      </ns0:c>
      <ns0:c r="I566" s="207"/>
      <ns0:c r="J566" s="208" t="str">
        <ns0:f>IF('_Engine'!K566="OK","OK · "&amp;TEXT('_Dates'!J566,"dd mmm yyyy")&amp;IF('_Dates'!J566='_Dates'!T566,""," → "&amp;TEXT('_Dates'!T566,"dd mmm yyyy")),'_Engine'!K566)</ns0:f>
        <ns0:v/>
      </ns0:c>
    </ns0:row>
    <ns0:row r="567" ht="32" customHeight="1">
      <ns0:c r="A567" s="200"/>
      <ns0:c r="B567" s="201"/>
      <ns0:c r="C567" s="209"/>
      <ns0:c r="D567" s="201"/>
      <ns0:c r="E567" s="209"/>
      <ns0:c r="F567" s="200"/>
      <ns0:c r="G567" s="200"/>
      <ns0:c r="H567" s="210" t="str">
        <ns0:f>IF('_Engine'!A567=0,"",IF('_Engine'!$B$6&gt;0,"REVIEW",IF('_Engine'!L567&gt;0,"REVIEW",'_Engine'!G567)))</ns0:f>
        <ns0:v/>
      </ns0:c>
      <ns0:c r="I567" s="207"/>
      <ns0:c r="J567" s="208" t="str">
        <ns0:f>IF('_Engine'!K567="OK","OK · "&amp;TEXT('_Dates'!J567,"dd mmm yyyy")&amp;IF('_Dates'!J567='_Dates'!T567,""," → "&amp;TEXT('_Dates'!T567,"dd mmm yyyy")),'_Engine'!K567)</ns0:f>
        <ns0:v/>
      </ns0:c>
    </ns0:row>
    <ns0:row r="568" ht="32" customHeight="1">
      <ns0:c r="A568" s="200"/>
      <ns0:c r="B568" s="201"/>
      <ns0:c r="C568" s="209"/>
      <ns0:c r="D568" s="201"/>
      <ns0:c r="E568" s="209"/>
      <ns0:c r="F568" s="200"/>
      <ns0:c r="G568" s="200"/>
      <ns0:c r="H568" s="210" t="str">
        <ns0:f>IF('_Engine'!A568=0,"",IF('_Engine'!$B$6&gt;0,"REVIEW",IF('_Engine'!L568&gt;0,"REVIEW",'_Engine'!G568)))</ns0:f>
        <ns0:v/>
      </ns0:c>
      <ns0:c r="I568" s="207"/>
      <ns0:c r="J568" s="208" t="str">
        <ns0:f>IF('_Engine'!K568="OK","OK · "&amp;TEXT('_Dates'!J568,"dd mmm yyyy")&amp;IF('_Dates'!J568='_Dates'!T568,""," → "&amp;TEXT('_Dates'!T568,"dd mmm yyyy")),'_Engine'!K568)</ns0:f>
        <ns0:v/>
      </ns0:c>
    </ns0:row>
    <ns0:row r="569" ht="32" customHeight="1">
      <ns0:c r="A569" s="200"/>
      <ns0:c r="B569" s="201"/>
      <ns0:c r="C569" s="209"/>
      <ns0:c r="D569" s="201"/>
      <ns0:c r="E569" s="209"/>
      <ns0:c r="F569" s="200"/>
      <ns0:c r="G569" s="200"/>
      <ns0:c r="H569" s="210" t="str">
        <ns0:f>IF('_Engine'!A569=0,"",IF('_Engine'!$B$6&gt;0,"REVIEW",IF('_Engine'!L569&gt;0,"REVIEW",'_Engine'!G569)))</ns0:f>
        <ns0:v/>
      </ns0:c>
      <ns0:c r="I569" s="207"/>
      <ns0:c r="J569" s="208" t="str">
        <ns0:f>IF('_Engine'!K569="OK","OK · "&amp;TEXT('_Dates'!J569,"dd mmm yyyy")&amp;IF('_Dates'!J569='_Dates'!T569,""," → "&amp;TEXT('_Dates'!T569,"dd mmm yyyy")),'_Engine'!K569)</ns0:f>
        <ns0:v/>
      </ns0:c>
    </ns0:row>
    <ns0:row r="570" ht="32" customHeight="1">
      <ns0:c r="A570" s="200"/>
      <ns0:c r="B570" s="201"/>
      <ns0:c r="C570" s="209"/>
      <ns0:c r="D570" s="201"/>
      <ns0:c r="E570" s="209"/>
      <ns0:c r="F570" s="200"/>
      <ns0:c r="G570" s="200"/>
      <ns0:c r="H570" s="210" t="str">
        <ns0:f>IF('_Engine'!A570=0,"",IF('_Engine'!$B$6&gt;0,"REVIEW",IF('_Engine'!L570&gt;0,"REVIEW",'_Engine'!G570)))</ns0:f>
        <ns0:v/>
      </ns0:c>
      <ns0:c r="I570" s="207"/>
      <ns0:c r="J570" s="208" t="str">
        <ns0:f>IF('_Engine'!K570="OK","OK · "&amp;TEXT('_Dates'!J570,"dd mmm yyyy")&amp;IF('_Dates'!J570='_Dates'!T570,""," → "&amp;TEXT('_Dates'!T570,"dd mmm yyyy")),'_Engine'!K570)</ns0:f>
        <ns0:v/>
      </ns0:c>
    </ns0:row>
    <ns0:row r="571" ht="32" customHeight="1">
      <ns0:c r="A571" s="200"/>
      <ns0:c r="B571" s="201"/>
      <ns0:c r="C571" s="209"/>
      <ns0:c r="D571" s="201"/>
      <ns0:c r="E571" s="209"/>
      <ns0:c r="F571" s="200"/>
      <ns0:c r="G571" s="200"/>
      <ns0:c r="H571" s="210" t="str">
        <ns0:f>IF('_Engine'!A571=0,"",IF('_Engine'!$B$6&gt;0,"REVIEW",IF('_Engine'!L571&gt;0,"REVIEW",'_Engine'!G571)))</ns0:f>
        <ns0:v/>
      </ns0:c>
      <ns0:c r="I571" s="207"/>
      <ns0:c r="J571" s="208" t="str">
        <ns0:f>IF('_Engine'!K571="OK","OK · "&amp;TEXT('_Dates'!J571,"dd mmm yyyy")&amp;IF('_Dates'!J571='_Dates'!T571,""," → "&amp;TEXT('_Dates'!T571,"dd mmm yyyy")),'_Engine'!K571)</ns0:f>
        <ns0:v/>
      </ns0:c>
    </ns0:row>
    <ns0:row r="572" ht="32" customHeight="1">
      <ns0:c r="A572" s="200"/>
      <ns0:c r="B572" s="201"/>
      <ns0:c r="C572" s="209"/>
      <ns0:c r="D572" s="201"/>
      <ns0:c r="E572" s="209"/>
      <ns0:c r="F572" s="200"/>
      <ns0:c r="G572" s="200"/>
      <ns0:c r="H572" s="210" t="str">
        <ns0:f>IF('_Engine'!A572=0,"",IF('_Engine'!$B$6&gt;0,"REVIEW",IF('_Engine'!L572&gt;0,"REVIEW",'_Engine'!G572)))</ns0:f>
        <ns0:v/>
      </ns0:c>
      <ns0:c r="I572" s="207"/>
      <ns0:c r="J572" s="208" t="str">
        <ns0:f>IF('_Engine'!K572="OK","OK · "&amp;TEXT('_Dates'!J572,"dd mmm yyyy")&amp;IF('_Dates'!J572='_Dates'!T572,""," → "&amp;TEXT('_Dates'!T572,"dd mmm yyyy")),'_Engine'!K572)</ns0:f>
        <ns0:v/>
      </ns0:c>
    </ns0:row>
    <ns0:row r="573" ht="32" customHeight="1">
      <ns0:c r="A573" s="200"/>
      <ns0:c r="B573" s="201"/>
      <ns0:c r="C573" s="209"/>
      <ns0:c r="D573" s="201"/>
      <ns0:c r="E573" s="209"/>
      <ns0:c r="F573" s="200"/>
      <ns0:c r="G573" s="200"/>
      <ns0:c r="H573" s="210" t="str">
        <ns0:f>IF('_Engine'!A573=0,"",IF('_Engine'!$B$6&gt;0,"REVIEW",IF('_Engine'!L573&gt;0,"REVIEW",'_Engine'!G573)))</ns0:f>
        <ns0:v/>
      </ns0:c>
      <ns0:c r="I573" s="207"/>
      <ns0:c r="J573" s="208" t="str">
        <ns0:f>IF('_Engine'!K573="OK","OK · "&amp;TEXT('_Dates'!J573,"dd mmm yyyy")&amp;IF('_Dates'!J573='_Dates'!T573,""," → "&amp;TEXT('_Dates'!T573,"dd mmm yyyy")),'_Engine'!K573)</ns0:f>
        <ns0:v/>
      </ns0:c>
    </ns0:row>
    <ns0:row r="574" ht="32" customHeight="1">
      <ns0:c r="A574" s="200"/>
      <ns0:c r="B574" s="201"/>
      <ns0:c r="C574" s="209"/>
      <ns0:c r="D574" s="201"/>
      <ns0:c r="E574" s="209"/>
      <ns0:c r="F574" s="200"/>
      <ns0:c r="G574" s="200"/>
      <ns0:c r="H574" s="210" t="str">
        <ns0:f>IF('_Engine'!A574=0,"",IF('_Engine'!$B$6&gt;0,"REVIEW",IF('_Engine'!L574&gt;0,"REVIEW",'_Engine'!G574)))</ns0:f>
        <ns0:v/>
      </ns0:c>
      <ns0:c r="I574" s="207"/>
      <ns0:c r="J574" s="208" t="str">
        <ns0:f>IF('_Engine'!K574="OK","OK · "&amp;TEXT('_Dates'!J574,"dd mmm yyyy")&amp;IF('_Dates'!J574='_Dates'!T574,""," → "&amp;TEXT('_Dates'!T574,"dd mmm yyyy")),'_Engine'!K574)</ns0:f>
        <ns0:v/>
      </ns0:c>
    </ns0:row>
    <ns0:row r="575" ht="32" customHeight="1">
      <ns0:c r="A575" s="200"/>
      <ns0:c r="B575" s="201"/>
      <ns0:c r="C575" s="209"/>
      <ns0:c r="D575" s="201"/>
      <ns0:c r="E575" s="209"/>
      <ns0:c r="F575" s="200"/>
      <ns0:c r="G575" s="200"/>
      <ns0:c r="H575" s="210" t="str">
        <ns0:f>IF('_Engine'!A575=0,"",IF('_Engine'!$B$6&gt;0,"REVIEW",IF('_Engine'!L575&gt;0,"REVIEW",'_Engine'!G575)))</ns0:f>
        <ns0:v/>
      </ns0:c>
      <ns0:c r="I575" s="207"/>
      <ns0:c r="J575" s="208" t="str">
        <ns0:f>IF('_Engine'!K575="OK","OK · "&amp;TEXT('_Dates'!J575,"dd mmm yyyy")&amp;IF('_Dates'!J575='_Dates'!T575,""," → "&amp;TEXT('_Dates'!T575,"dd mmm yyyy")),'_Engine'!K575)</ns0:f>
        <ns0:v/>
      </ns0:c>
    </ns0:row>
    <ns0:row r="576" ht="32" customHeight="1">
      <ns0:c r="A576" s="200"/>
      <ns0:c r="B576" s="201"/>
      <ns0:c r="C576" s="209"/>
      <ns0:c r="D576" s="201"/>
      <ns0:c r="E576" s="209"/>
      <ns0:c r="F576" s="200"/>
      <ns0:c r="G576" s="200"/>
      <ns0:c r="H576" s="210" t="str">
        <ns0:f>IF('_Engine'!A576=0,"",IF('_Engine'!$B$6&gt;0,"REVIEW",IF('_Engine'!L576&gt;0,"REVIEW",'_Engine'!G576)))</ns0:f>
        <ns0:v/>
      </ns0:c>
      <ns0:c r="I576" s="207"/>
      <ns0:c r="J576" s="208" t="str">
        <ns0:f>IF('_Engine'!K576="OK","OK · "&amp;TEXT('_Dates'!J576,"dd mmm yyyy")&amp;IF('_Dates'!J576='_Dates'!T576,""," → "&amp;TEXT('_Dates'!T576,"dd mmm yyyy")),'_Engine'!K576)</ns0:f>
        <ns0:v/>
      </ns0:c>
    </ns0:row>
    <ns0:row r="577" ht="32" customHeight="1">
      <ns0:c r="A577" s="200"/>
      <ns0:c r="B577" s="201"/>
      <ns0:c r="C577" s="209"/>
      <ns0:c r="D577" s="201"/>
      <ns0:c r="E577" s="209"/>
      <ns0:c r="F577" s="200"/>
      <ns0:c r="G577" s="200"/>
      <ns0:c r="H577" s="210" t="str">
        <ns0:f>IF('_Engine'!A577=0,"",IF('_Engine'!$B$6&gt;0,"REVIEW",IF('_Engine'!L577&gt;0,"REVIEW",'_Engine'!G577)))</ns0:f>
        <ns0:v/>
      </ns0:c>
      <ns0:c r="I577" s="207"/>
      <ns0:c r="J577" s="208" t="str">
        <ns0:f>IF('_Engine'!K577="OK","OK · "&amp;TEXT('_Dates'!J577,"dd mmm yyyy")&amp;IF('_Dates'!J577='_Dates'!T577,""," → "&amp;TEXT('_Dates'!T577,"dd mmm yyyy")),'_Engine'!K577)</ns0:f>
        <ns0:v/>
      </ns0:c>
    </ns0:row>
    <ns0:row r="578" ht="32" customHeight="1">
      <ns0:c r="A578" s="200"/>
      <ns0:c r="B578" s="201"/>
      <ns0:c r="C578" s="209"/>
      <ns0:c r="D578" s="201"/>
      <ns0:c r="E578" s="209"/>
      <ns0:c r="F578" s="200"/>
      <ns0:c r="G578" s="200"/>
      <ns0:c r="H578" s="210" t="str">
        <ns0:f>IF('_Engine'!A578=0,"",IF('_Engine'!$B$6&gt;0,"REVIEW",IF('_Engine'!L578&gt;0,"REVIEW",'_Engine'!G578)))</ns0:f>
        <ns0:v/>
      </ns0:c>
      <ns0:c r="I578" s="207"/>
      <ns0:c r="J578" s="208" t="str">
        <ns0:f>IF('_Engine'!K578="OK","OK · "&amp;TEXT('_Dates'!J578,"dd mmm yyyy")&amp;IF('_Dates'!J578='_Dates'!T578,""," → "&amp;TEXT('_Dates'!T578,"dd mmm yyyy")),'_Engine'!K578)</ns0:f>
        <ns0:v/>
      </ns0:c>
    </ns0:row>
    <ns0:row r="579" ht="32" customHeight="1">
      <ns0:c r="A579" s="200"/>
      <ns0:c r="B579" s="201"/>
      <ns0:c r="C579" s="209"/>
      <ns0:c r="D579" s="201"/>
      <ns0:c r="E579" s="209"/>
      <ns0:c r="F579" s="200"/>
      <ns0:c r="G579" s="200"/>
      <ns0:c r="H579" s="210" t="str">
        <ns0:f>IF('_Engine'!A579=0,"",IF('_Engine'!$B$6&gt;0,"REVIEW",IF('_Engine'!L579&gt;0,"REVIEW",'_Engine'!G579)))</ns0:f>
        <ns0:v/>
      </ns0:c>
      <ns0:c r="I579" s="207"/>
      <ns0:c r="J579" s="208" t="str">
        <ns0:f>IF('_Engine'!K579="OK","OK · "&amp;TEXT('_Dates'!J579,"dd mmm yyyy")&amp;IF('_Dates'!J579='_Dates'!T579,""," → "&amp;TEXT('_Dates'!T579,"dd mmm yyyy")),'_Engine'!K579)</ns0:f>
        <ns0:v/>
      </ns0:c>
    </ns0:row>
    <ns0:row r="580" ht="32" customHeight="1">
      <ns0:c r="A580" s="200"/>
      <ns0:c r="B580" s="201"/>
      <ns0:c r="C580" s="209"/>
      <ns0:c r="D580" s="201"/>
      <ns0:c r="E580" s="209"/>
      <ns0:c r="F580" s="200"/>
      <ns0:c r="G580" s="200"/>
      <ns0:c r="H580" s="210" t="str">
        <ns0:f>IF('_Engine'!A580=0,"",IF('_Engine'!$B$6&gt;0,"REVIEW",IF('_Engine'!L580&gt;0,"REVIEW",'_Engine'!G580)))</ns0:f>
        <ns0:v/>
      </ns0:c>
      <ns0:c r="I580" s="207"/>
      <ns0:c r="J580" s="208" t="str">
        <ns0:f>IF('_Engine'!K580="OK","OK · "&amp;TEXT('_Dates'!J580,"dd mmm yyyy")&amp;IF('_Dates'!J580='_Dates'!T580,""," → "&amp;TEXT('_Dates'!T580,"dd mmm yyyy")),'_Engine'!K580)</ns0:f>
        <ns0:v/>
      </ns0:c>
    </ns0:row>
    <ns0:row r="581" ht="32" customHeight="1">
      <ns0:c r="A581" s="200"/>
      <ns0:c r="B581" s="201"/>
      <ns0:c r="C581" s="209"/>
      <ns0:c r="D581" s="201"/>
      <ns0:c r="E581" s="209"/>
      <ns0:c r="F581" s="200"/>
      <ns0:c r="G581" s="200"/>
      <ns0:c r="H581" s="210" t="str">
        <ns0:f>IF('_Engine'!A581=0,"",IF('_Engine'!$B$6&gt;0,"REVIEW",IF('_Engine'!L581&gt;0,"REVIEW",'_Engine'!G581)))</ns0:f>
        <ns0:v/>
      </ns0:c>
      <ns0:c r="I581" s="207"/>
      <ns0:c r="J581" s="208" t="str">
        <ns0:f>IF('_Engine'!K581="OK","OK · "&amp;TEXT('_Dates'!J581,"dd mmm yyyy")&amp;IF('_Dates'!J581='_Dates'!T581,""," → "&amp;TEXT('_Dates'!T581,"dd mmm yyyy")),'_Engine'!K581)</ns0:f>
        <ns0:v/>
      </ns0:c>
    </ns0:row>
    <ns0:row r="582" ht="32" customHeight="1">
      <ns0:c r="A582" s="200"/>
      <ns0:c r="B582" s="201"/>
      <ns0:c r="C582" s="209"/>
      <ns0:c r="D582" s="201"/>
      <ns0:c r="E582" s="209"/>
      <ns0:c r="F582" s="200"/>
      <ns0:c r="G582" s="200"/>
      <ns0:c r="H582" s="210" t="str">
        <ns0:f>IF('_Engine'!A582=0,"",IF('_Engine'!$B$6&gt;0,"REVIEW",IF('_Engine'!L582&gt;0,"REVIEW",'_Engine'!G582)))</ns0:f>
        <ns0:v/>
      </ns0:c>
      <ns0:c r="I582" s="207"/>
      <ns0:c r="J582" s="208" t="str">
        <ns0:f>IF('_Engine'!K582="OK","OK · "&amp;TEXT('_Dates'!J582,"dd mmm yyyy")&amp;IF('_Dates'!J582='_Dates'!T582,""," → "&amp;TEXT('_Dates'!T582,"dd mmm yyyy")),'_Engine'!K582)</ns0:f>
        <ns0:v/>
      </ns0:c>
    </ns0:row>
    <ns0:row r="583" ht="32" customHeight="1">
      <ns0:c r="A583" s="200"/>
      <ns0:c r="B583" s="201"/>
      <ns0:c r="C583" s="209"/>
      <ns0:c r="D583" s="201"/>
      <ns0:c r="E583" s="209"/>
      <ns0:c r="F583" s="200"/>
      <ns0:c r="G583" s="200"/>
      <ns0:c r="H583" s="210" t="str">
        <ns0:f>IF('_Engine'!A583=0,"",IF('_Engine'!$B$6&gt;0,"REVIEW",IF('_Engine'!L583&gt;0,"REVIEW",'_Engine'!G583)))</ns0:f>
        <ns0:v/>
      </ns0:c>
      <ns0:c r="I583" s="207"/>
      <ns0:c r="J583" s="208" t="str">
        <ns0:f>IF('_Engine'!K583="OK","OK · "&amp;TEXT('_Dates'!J583,"dd mmm yyyy")&amp;IF('_Dates'!J583='_Dates'!T583,""," → "&amp;TEXT('_Dates'!T583,"dd mmm yyyy")),'_Engine'!K583)</ns0:f>
        <ns0:v/>
      </ns0:c>
    </ns0:row>
    <ns0:row r="584" ht="32" customHeight="1">
      <ns0:c r="A584" s="200"/>
      <ns0:c r="B584" s="201"/>
      <ns0:c r="C584" s="209"/>
      <ns0:c r="D584" s="201"/>
      <ns0:c r="E584" s="209"/>
      <ns0:c r="F584" s="200"/>
      <ns0:c r="G584" s="200"/>
      <ns0:c r="H584" s="210" t="str">
        <ns0:f>IF('_Engine'!A584=0,"",IF('_Engine'!$B$6&gt;0,"REVIEW",IF('_Engine'!L584&gt;0,"REVIEW",'_Engine'!G584)))</ns0:f>
        <ns0:v/>
      </ns0:c>
      <ns0:c r="I584" s="207"/>
      <ns0:c r="J584" s="208" t="str">
        <ns0:f>IF('_Engine'!K584="OK","OK · "&amp;TEXT('_Dates'!J584,"dd mmm yyyy")&amp;IF('_Dates'!J584='_Dates'!T584,""," → "&amp;TEXT('_Dates'!T584,"dd mmm yyyy")),'_Engine'!K584)</ns0:f>
        <ns0:v/>
      </ns0:c>
    </ns0:row>
    <ns0:row r="585" ht="32" customHeight="1">
      <ns0:c r="A585" s="200"/>
      <ns0:c r="B585" s="201"/>
      <ns0:c r="C585" s="209"/>
      <ns0:c r="D585" s="201"/>
      <ns0:c r="E585" s="209"/>
      <ns0:c r="F585" s="200"/>
      <ns0:c r="G585" s="200"/>
      <ns0:c r="H585" s="210" t="str">
        <ns0:f>IF('_Engine'!A585=0,"",IF('_Engine'!$B$6&gt;0,"REVIEW",IF('_Engine'!L585&gt;0,"REVIEW",'_Engine'!G585)))</ns0:f>
        <ns0:v/>
      </ns0:c>
      <ns0:c r="I585" s="207"/>
      <ns0:c r="J585" s="208" t="str">
        <ns0:f>IF('_Engine'!K585="OK","OK · "&amp;TEXT('_Dates'!J585,"dd mmm yyyy")&amp;IF('_Dates'!J585='_Dates'!T585,""," → "&amp;TEXT('_Dates'!T585,"dd mmm yyyy")),'_Engine'!K585)</ns0:f>
        <ns0:v/>
      </ns0:c>
    </ns0:row>
    <ns0:row r="586" ht="32" customHeight="1">
      <ns0:c r="A586" s="200"/>
      <ns0:c r="B586" s="201"/>
      <ns0:c r="C586" s="209"/>
      <ns0:c r="D586" s="201"/>
      <ns0:c r="E586" s="209"/>
      <ns0:c r="F586" s="200"/>
      <ns0:c r="G586" s="200"/>
      <ns0:c r="H586" s="210" t="str">
        <ns0:f>IF('_Engine'!A586=0,"",IF('_Engine'!$B$6&gt;0,"REVIEW",IF('_Engine'!L586&gt;0,"REVIEW",'_Engine'!G586)))</ns0:f>
        <ns0:v/>
      </ns0:c>
      <ns0:c r="I586" s="207"/>
      <ns0:c r="J586" s="208" t="str">
        <ns0:f>IF('_Engine'!K586="OK","OK · "&amp;TEXT('_Dates'!J586,"dd mmm yyyy")&amp;IF('_Dates'!J586='_Dates'!T586,""," → "&amp;TEXT('_Dates'!T586,"dd mmm yyyy")),'_Engine'!K586)</ns0:f>
        <ns0:v/>
      </ns0:c>
    </ns0:row>
    <ns0:row r="587" ht="32" customHeight="1">
      <ns0:c r="A587" s="200"/>
      <ns0:c r="B587" s="201"/>
      <ns0:c r="C587" s="209"/>
      <ns0:c r="D587" s="201"/>
      <ns0:c r="E587" s="209"/>
      <ns0:c r="F587" s="200"/>
      <ns0:c r="G587" s="200"/>
      <ns0:c r="H587" s="210" t="str">
        <ns0:f>IF('_Engine'!A587=0,"",IF('_Engine'!$B$6&gt;0,"REVIEW",IF('_Engine'!L587&gt;0,"REVIEW",'_Engine'!G587)))</ns0:f>
        <ns0:v/>
      </ns0:c>
      <ns0:c r="I587" s="207"/>
      <ns0:c r="J587" s="208" t="str">
        <ns0:f>IF('_Engine'!K587="OK","OK · "&amp;TEXT('_Dates'!J587,"dd mmm yyyy")&amp;IF('_Dates'!J587='_Dates'!T587,""," → "&amp;TEXT('_Dates'!T587,"dd mmm yyyy")),'_Engine'!K587)</ns0:f>
        <ns0:v/>
      </ns0:c>
    </ns0:row>
    <ns0:row r="588" ht="32" customHeight="1">
      <ns0:c r="A588" s="200"/>
      <ns0:c r="B588" s="201"/>
      <ns0:c r="C588" s="209"/>
      <ns0:c r="D588" s="201"/>
      <ns0:c r="E588" s="209"/>
      <ns0:c r="F588" s="200"/>
      <ns0:c r="G588" s="200"/>
      <ns0:c r="H588" s="210" t="str">
        <ns0:f>IF('_Engine'!A588=0,"",IF('_Engine'!$B$6&gt;0,"REVIEW",IF('_Engine'!L588&gt;0,"REVIEW",'_Engine'!G588)))</ns0:f>
        <ns0:v/>
      </ns0:c>
      <ns0:c r="I588" s="207"/>
      <ns0:c r="J588" s="208" t="str">
        <ns0:f>IF('_Engine'!K588="OK","OK · "&amp;TEXT('_Dates'!J588,"dd mmm yyyy")&amp;IF('_Dates'!J588='_Dates'!T588,""," → "&amp;TEXT('_Dates'!T588,"dd mmm yyyy")),'_Engine'!K588)</ns0:f>
        <ns0:v/>
      </ns0:c>
    </ns0:row>
    <ns0:row r="589" ht="32" customHeight="1">
      <ns0:c r="A589" s="200"/>
      <ns0:c r="B589" s="201"/>
      <ns0:c r="C589" s="209"/>
      <ns0:c r="D589" s="201"/>
      <ns0:c r="E589" s="209"/>
      <ns0:c r="F589" s="200"/>
      <ns0:c r="G589" s="200"/>
      <ns0:c r="H589" s="210" t="str">
        <ns0:f>IF('_Engine'!A589=0,"",IF('_Engine'!$B$6&gt;0,"REVIEW",IF('_Engine'!L589&gt;0,"REVIEW",'_Engine'!G589)))</ns0:f>
        <ns0:v/>
      </ns0:c>
      <ns0:c r="I589" s="207"/>
      <ns0:c r="J589" s="208" t="str">
        <ns0:f>IF('_Engine'!K589="OK","OK · "&amp;TEXT('_Dates'!J589,"dd mmm yyyy")&amp;IF('_Dates'!J589='_Dates'!T589,""," → "&amp;TEXT('_Dates'!T589,"dd mmm yyyy")),'_Engine'!K589)</ns0:f>
        <ns0:v/>
      </ns0:c>
    </ns0:row>
    <ns0:row r="590" ht="32" customHeight="1">
      <ns0:c r="A590" s="200"/>
      <ns0:c r="B590" s="201"/>
      <ns0:c r="C590" s="209"/>
      <ns0:c r="D590" s="201"/>
      <ns0:c r="E590" s="209"/>
      <ns0:c r="F590" s="200"/>
      <ns0:c r="G590" s="200"/>
      <ns0:c r="H590" s="210" t="str">
        <ns0:f>IF('_Engine'!A590=0,"",IF('_Engine'!$B$6&gt;0,"REVIEW",IF('_Engine'!L590&gt;0,"REVIEW",'_Engine'!G590)))</ns0:f>
        <ns0:v/>
      </ns0:c>
      <ns0:c r="I590" s="207"/>
      <ns0:c r="J590" s="208" t="str">
        <ns0:f>IF('_Engine'!K590="OK","OK · "&amp;TEXT('_Dates'!J590,"dd mmm yyyy")&amp;IF('_Dates'!J590='_Dates'!T590,""," → "&amp;TEXT('_Dates'!T590,"dd mmm yyyy")),'_Engine'!K590)</ns0:f>
        <ns0:v/>
      </ns0:c>
    </ns0:row>
    <ns0:row r="591" ht="32" customHeight="1">
      <ns0:c r="A591" s="200"/>
      <ns0:c r="B591" s="201"/>
      <ns0:c r="C591" s="209"/>
      <ns0:c r="D591" s="201"/>
      <ns0:c r="E591" s="209"/>
      <ns0:c r="F591" s="200"/>
      <ns0:c r="G591" s="200"/>
      <ns0:c r="H591" s="210" t="str">
        <ns0:f>IF('_Engine'!A591=0,"",IF('_Engine'!$B$6&gt;0,"REVIEW",IF('_Engine'!L591&gt;0,"REVIEW",'_Engine'!G591)))</ns0:f>
        <ns0:v/>
      </ns0:c>
      <ns0:c r="I591" s="207"/>
      <ns0:c r="J591" s="208" t="str">
        <ns0:f>IF('_Engine'!K591="OK","OK · "&amp;TEXT('_Dates'!J591,"dd mmm yyyy")&amp;IF('_Dates'!J591='_Dates'!T591,""," → "&amp;TEXT('_Dates'!T591,"dd mmm yyyy")),'_Engine'!K591)</ns0:f>
        <ns0:v/>
      </ns0:c>
    </ns0:row>
    <ns0:row r="592" ht="32" customHeight="1">
      <ns0:c r="A592" s="200"/>
      <ns0:c r="B592" s="201"/>
      <ns0:c r="C592" s="209"/>
      <ns0:c r="D592" s="201"/>
      <ns0:c r="E592" s="209"/>
      <ns0:c r="F592" s="200"/>
      <ns0:c r="G592" s="200"/>
      <ns0:c r="H592" s="210" t="str">
        <ns0:f>IF('_Engine'!A592=0,"",IF('_Engine'!$B$6&gt;0,"REVIEW",IF('_Engine'!L592&gt;0,"REVIEW",'_Engine'!G592)))</ns0:f>
        <ns0:v/>
      </ns0:c>
      <ns0:c r="I592" s="207"/>
      <ns0:c r="J592" s="208" t="str">
        <ns0:f>IF('_Engine'!K592="OK","OK · "&amp;TEXT('_Dates'!J592,"dd mmm yyyy")&amp;IF('_Dates'!J592='_Dates'!T592,""," → "&amp;TEXT('_Dates'!T592,"dd mmm yyyy")),'_Engine'!K592)</ns0:f>
        <ns0:v/>
      </ns0:c>
    </ns0:row>
    <ns0:row r="593" ht="32" customHeight="1">
      <ns0:c r="A593" s="200"/>
      <ns0:c r="B593" s="201"/>
      <ns0:c r="C593" s="209"/>
      <ns0:c r="D593" s="201"/>
      <ns0:c r="E593" s="209"/>
      <ns0:c r="F593" s="200"/>
      <ns0:c r="G593" s="200"/>
      <ns0:c r="H593" s="210" t="str">
        <ns0:f>IF('_Engine'!A593=0,"",IF('_Engine'!$B$6&gt;0,"REVIEW",IF('_Engine'!L593&gt;0,"REVIEW",'_Engine'!G593)))</ns0:f>
        <ns0:v/>
      </ns0:c>
      <ns0:c r="I593" s="207"/>
      <ns0:c r="J593" s="208" t="str">
        <ns0:f>IF('_Engine'!K593="OK","OK · "&amp;TEXT('_Dates'!J593,"dd mmm yyyy")&amp;IF('_Dates'!J593='_Dates'!T593,""," → "&amp;TEXT('_Dates'!T593,"dd mmm yyyy")),'_Engine'!K593)</ns0:f>
        <ns0:v/>
      </ns0:c>
    </ns0:row>
    <ns0:row r="594" ht="32" customHeight="1">
      <ns0:c r="A594" s="200"/>
      <ns0:c r="B594" s="201"/>
      <ns0:c r="C594" s="209"/>
      <ns0:c r="D594" s="201"/>
      <ns0:c r="E594" s="209"/>
      <ns0:c r="F594" s="200"/>
      <ns0:c r="G594" s="200"/>
      <ns0:c r="H594" s="210" t="str">
        <ns0:f>IF('_Engine'!A594=0,"",IF('_Engine'!$B$6&gt;0,"REVIEW",IF('_Engine'!L594&gt;0,"REVIEW",'_Engine'!G594)))</ns0:f>
        <ns0:v/>
      </ns0:c>
      <ns0:c r="I594" s="207"/>
      <ns0:c r="J594" s="208" t="str">
        <ns0:f>IF('_Engine'!K594="OK","OK · "&amp;TEXT('_Dates'!J594,"dd mmm yyyy")&amp;IF('_Dates'!J594='_Dates'!T594,""," → "&amp;TEXT('_Dates'!T594,"dd mmm yyyy")),'_Engine'!K594)</ns0:f>
        <ns0:v/>
      </ns0:c>
    </ns0:row>
    <ns0:row r="595" ht="32" customHeight="1">
      <ns0:c r="A595" s="200"/>
      <ns0:c r="B595" s="201"/>
      <ns0:c r="C595" s="209"/>
      <ns0:c r="D595" s="201"/>
      <ns0:c r="E595" s="209"/>
      <ns0:c r="F595" s="200"/>
      <ns0:c r="G595" s="200"/>
      <ns0:c r="H595" s="210" t="str">
        <ns0:f>IF('_Engine'!A595=0,"",IF('_Engine'!$B$6&gt;0,"REVIEW",IF('_Engine'!L595&gt;0,"REVIEW",'_Engine'!G595)))</ns0:f>
        <ns0:v/>
      </ns0:c>
      <ns0:c r="I595" s="207"/>
      <ns0:c r="J595" s="208" t="str">
        <ns0:f>IF('_Engine'!K595="OK","OK · "&amp;TEXT('_Dates'!J595,"dd mmm yyyy")&amp;IF('_Dates'!J595='_Dates'!T595,""," → "&amp;TEXT('_Dates'!T595,"dd mmm yyyy")),'_Engine'!K595)</ns0:f>
        <ns0:v/>
      </ns0:c>
    </ns0:row>
    <ns0:row r="596" ht="32" customHeight="1">
      <ns0:c r="A596" s="200"/>
      <ns0:c r="B596" s="201"/>
      <ns0:c r="C596" s="209"/>
      <ns0:c r="D596" s="201"/>
      <ns0:c r="E596" s="209"/>
      <ns0:c r="F596" s="200"/>
      <ns0:c r="G596" s="200"/>
      <ns0:c r="H596" s="210" t="str">
        <ns0:f>IF('_Engine'!A596=0,"",IF('_Engine'!$B$6&gt;0,"REVIEW",IF('_Engine'!L596&gt;0,"REVIEW",'_Engine'!G596)))</ns0:f>
        <ns0:v/>
      </ns0:c>
      <ns0:c r="I596" s="207"/>
      <ns0:c r="J596" s="208" t="str">
        <ns0:f>IF('_Engine'!K596="OK","OK · "&amp;TEXT('_Dates'!J596,"dd mmm yyyy")&amp;IF('_Dates'!J596='_Dates'!T596,""," → "&amp;TEXT('_Dates'!T596,"dd mmm yyyy")),'_Engine'!K596)</ns0:f>
        <ns0:v/>
      </ns0:c>
    </ns0:row>
    <ns0:row r="597" ht="32" customHeight="1">
      <ns0:c r="A597" s="200"/>
      <ns0:c r="B597" s="201"/>
      <ns0:c r="C597" s="209"/>
      <ns0:c r="D597" s="201"/>
      <ns0:c r="E597" s="209"/>
      <ns0:c r="F597" s="200"/>
      <ns0:c r="G597" s="200"/>
      <ns0:c r="H597" s="210" t="str">
        <ns0:f>IF('_Engine'!A597=0,"",IF('_Engine'!$B$6&gt;0,"REVIEW",IF('_Engine'!L597&gt;0,"REVIEW",'_Engine'!G597)))</ns0:f>
        <ns0:v/>
      </ns0:c>
      <ns0:c r="I597" s="207"/>
      <ns0:c r="J597" s="208" t="str">
        <ns0:f>IF('_Engine'!K597="OK","OK · "&amp;TEXT('_Dates'!J597,"dd mmm yyyy")&amp;IF('_Dates'!J597='_Dates'!T597,""," → "&amp;TEXT('_Dates'!T597,"dd mmm yyyy")),'_Engine'!K597)</ns0:f>
        <ns0:v/>
      </ns0:c>
    </ns0:row>
    <ns0:row r="598" ht="32" customHeight="1">
      <ns0:c r="A598" s="200"/>
      <ns0:c r="B598" s="201"/>
      <ns0:c r="C598" s="209"/>
      <ns0:c r="D598" s="201"/>
      <ns0:c r="E598" s="209"/>
      <ns0:c r="F598" s="200"/>
      <ns0:c r="G598" s="200"/>
      <ns0:c r="H598" s="210" t="str">
        <ns0:f>IF('_Engine'!A598=0,"",IF('_Engine'!$B$6&gt;0,"REVIEW",IF('_Engine'!L598&gt;0,"REVIEW",'_Engine'!G598)))</ns0:f>
        <ns0:v/>
      </ns0:c>
      <ns0:c r="I598" s="207"/>
      <ns0:c r="J598" s="208" t="str">
        <ns0:f>IF('_Engine'!K598="OK","OK · "&amp;TEXT('_Dates'!J598,"dd mmm yyyy")&amp;IF('_Dates'!J598='_Dates'!T598,""," → "&amp;TEXT('_Dates'!T598,"dd mmm yyyy")),'_Engine'!K598)</ns0:f>
        <ns0:v/>
      </ns0:c>
    </ns0:row>
    <ns0:row r="599" ht="32" customHeight="1">
      <ns0:c r="A599" s="200"/>
      <ns0:c r="B599" s="201"/>
      <ns0:c r="C599" s="209"/>
      <ns0:c r="D599" s="201"/>
      <ns0:c r="E599" s="209"/>
      <ns0:c r="F599" s="200"/>
      <ns0:c r="G599" s="200"/>
      <ns0:c r="H599" s="210" t="str">
        <ns0:f>IF('_Engine'!A599=0,"",IF('_Engine'!$B$6&gt;0,"REVIEW",IF('_Engine'!L599&gt;0,"REVIEW",'_Engine'!G599)))</ns0:f>
        <ns0:v/>
      </ns0:c>
      <ns0:c r="I599" s="207"/>
      <ns0:c r="J599" s="208" t="str">
        <ns0:f>IF('_Engine'!K599="OK","OK · "&amp;TEXT('_Dates'!J599,"dd mmm yyyy")&amp;IF('_Dates'!J599='_Dates'!T599,""," → "&amp;TEXT('_Dates'!T599,"dd mmm yyyy")),'_Engine'!K599)</ns0:f>
        <ns0:v/>
      </ns0:c>
    </ns0:row>
    <ns0:row r="600" ht="32" customHeight="1">
      <ns0:c r="A600" s="200"/>
      <ns0:c r="B600" s="201"/>
      <ns0:c r="C600" s="209"/>
      <ns0:c r="D600" s="201"/>
      <ns0:c r="E600" s="209"/>
      <ns0:c r="F600" s="200"/>
      <ns0:c r="G600" s="200"/>
      <ns0:c r="H600" s="210" t="str">
        <ns0:f>IF('_Engine'!A600=0,"",IF('_Engine'!$B$6&gt;0,"REVIEW",IF('_Engine'!L600&gt;0,"REVIEW",'_Engine'!G600)))</ns0:f>
        <ns0:v/>
      </ns0:c>
      <ns0:c r="I600" s="207"/>
      <ns0:c r="J600" s="208" t="str">
        <ns0:f>IF('_Engine'!K600="OK","OK · "&amp;TEXT('_Dates'!J600,"dd mmm yyyy")&amp;IF('_Dates'!J600='_Dates'!T600,""," → "&amp;TEXT('_Dates'!T600,"dd mmm yyyy")),'_Engine'!K600)</ns0:f>
        <ns0:v/>
      </ns0:c>
    </ns0:row>
    <ns0:row r="601" ht="32" customHeight="1">
      <ns0:c r="A601" s="200"/>
      <ns0:c r="B601" s="201"/>
      <ns0:c r="C601" s="209"/>
      <ns0:c r="D601" s="201"/>
      <ns0:c r="E601" s="209"/>
      <ns0:c r="F601" s="200"/>
      <ns0:c r="G601" s="200"/>
      <ns0:c r="H601" s="210" t="str">
        <ns0:f>IF('_Engine'!A601=0,"",IF('_Engine'!$B$6&gt;0,"REVIEW",IF('_Engine'!L601&gt;0,"REVIEW",'_Engine'!G601)))</ns0:f>
        <ns0:v/>
      </ns0:c>
      <ns0:c r="I601" s="207"/>
      <ns0:c r="J601" s="208" t="str">
        <ns0:f>IF('_Engine'!K601="OK","OK · "&amp;TEXT('_Dates'!J601,"dd mmm yyyy")&amp;IF('_Dates'!J601='_Dates'!T601,""," → "&amp;TEXT('_Dates'!T601,"dd mmm yyyy")),'_Engine'!K601)</ns0:f>
        <ns0:v/>
      </ns0:c>
    </ns0:row>
    <ns0:row r="602" ht="32" customHeight="1">
      <ns0:c r="A602" s="200"/>
      <ns0:c r="B602" s="201"/>
      <ns0:c r="C602" s="209"/>
      <ns0:c r="D602" s="201"/>
      <ns0:c r="E602" s="209"/>
      <ns0:c r="F602" s="200"/>
      <ns0:c r="G602" s="200"/>
      <ns0:c r="H602" s="210" t="str">
        <ns0:f>IF('_Engine'!A602=0,"",IF('_Engine'!$B$6&gt;0,"REVIEW",IF('_Engine'!L602&gt;0,"REVIEW",'_Engine'!G602)))</ns0:f>
        <ns0:v/>
      </ns0:c>
      <ns0:c r="I602" s="207"/>
      <ns0:c r="J602" s="208" t="str">
        <ns0:f>IF('_Engine'!K602="OK","OK · "&amp;TEXT('_Dates'!J602,"dd mmm yyyy")&amp;IF('_Dates'!J602='_Dates'!T602,""," → "&amp;TEXT('_Dates'!T602,"dd mmm yyyy")),'_Engine'!K602)</ns0:f>
        <ns0:v/>
      </ns0:c>
    </ns0:row>
    <ns0:row r="603" ht="32" customHeight="1">
      <ns0:c r="A603" s="200"/>
      <ns0:c r="B603" s="201"/>
      <ns0:c r="C603" s="209"/>
      <ns0:c r="D603" s="201"/>
      <ns0:c r="E603" s="209"/>
      <ns0:c r="F603" s="200"/>
      <ns0:c r="G603" s="200"/>
      <ns0:c r="H603" s="210" t="str">
        <ns0:f>IF('_Engine'!A603=0,"",IF('_Engine'!$B$6&gt;0,"REVIEW",IF('_Engine'!L603&gt;0,"REVIEW",'_Engine'!G603)))</ns0:f>
        <ns0:v/>
      </ns0:c>
      <ns0:c r="I603" s="207"/>
      <ns0:c r="J603" s="208" t="str">
        <ns0:f>IF('_Engine'!K603="OK","OK · "&amp;TEXT('_Dates'!J603,"dd mmm yyyy")&amp;IF('_Dates'!J603='_Dates'!T603,""," → "&amp;TEXT('_Dates'!T603,"dd mmm yyyy")),'_Engine'!K603)</ns0:f>
        <ns0:v/>
      </ns0:c>
    </ns0:row>
    <ns0:row r="604" ht="32" customHeight="1">
      <ns0:c r="A604" s="200"/>
      <ns0:c r="B604" s="201"/>
      <ns0:c r="C604" s="209"/>
      <ns0:c r="D604" s="201"/>
      <ns0:c r="E604" s="209"/>
      <ns0:c r="F604" s="200"/>
      <ns0:c r="G604" s="200"/>
      <ns0:c r="H604" s="210" t="str">
        <ns0:f>IF('_Engine'!A604=0,"",IF('_Engine'!$B$6&gt;0,"REVIEW",IF('_Engine'!L604&gt;0,"REVIEW",'_Engine'!G604)))</ns0:f>
        <ns0:v/>
      </ns0:c>
      <ns0:c r="I604" s="207"/>
      <ns0:c r="J604" s="208" t="str">
        <ns0:f>IF('_Engine'!K604="OK","OK · "&amp;TEXT('_Dates'!J604,"dd mmm yyyy")&amp;IF('_Dates'!J604='_Dates'!T604,""," → "&amp;TEXT('_Dates'!T604,"dd mmm yyyy")),'_Engine'!K604)</ns0:f>
        <ns0:v/>
      </ns0:c>
    </ns0:row>
    <ns0:row r="605" ht="32" customHeight="1">
      <ns0:c r="A605" s="200"/>
      <ns0:c r="B605" s="201"/>
      <ns0:c r="C605" s="209"/>
      <ns0:c r="D605" s="201"/>
      <ns0:c r="E605" s="209"/>
      <ns0:c r="F605" s="200"/>
      <ns0:c r="G605" s="200"/>
      <ns0:c r="H605" s="210" t="str">
        <ns0:f>IF('_Engine'!A605=0,"",IF('_Engine'!$B$6&gt;0,"REVIEW",IF('_Engine'!L605&gt;0,"REVIEW",'_Engine'!G605)))</ns0:f>
        <ns0:v/>
      </ns0:c>
      <ns0:c r="I605" s="207"/>
      <ns0:c r="J605" s="208" t="str">
        <ns0:f>IF('_Engine'!K605="OK","OK · "&amp;TEXT('_Dates'!J605,"dd mmm yyyy")&amp;IF('_Dates'!J605='_Dates'!T605,""," → "&amp;TEXT('_Dates'!T605,"dd mmm yyyy")),'_Engine'!K605)</ns0:f>
        <ns0:v/>
      </ns0:c>
    </ns0:row>
    <ns0:row r="606" ht="32" customHeight="1">
      <ns0:c r="A606" s="200"/>
      <ns0:c r="B606" s="201"/>
      <ns0:c r="C606" s="209"/>
      <ns0:c r="D606" s="201"/>
      <ns0:c r="E606" s="209"/>
      <ns0:c r="F606" s="200"/>
      <ns0:c r="G606" s="200"/>
      <ns0:c r="H606" s="210" t="str">
        <ns0:f>IF('_Engine'!A606=0,"",IF('_Engine'!$B$6&gt;0,"REVIEW",IF('_Engine'!L606&gt;0,"REVIEW",'_Engine'!G606)))</ns0:f>
        <ns0:v/>
      </ns0:c>
      <ns0:c r="I606" s="207"/>
      <ns0:c r="J606" s="208" t="str">
        <ns0:f>IF('_Engine'!K606="OK","OK · "&amp;TEXT('_Dates'!J606,"dd mmm yyyy")&amp;IF('_Dates'!J606='_Dates'!T606,""," → "&amp;TEXT('_Dates'!T606,"dd mmm yyyy")),'_Engine'!K606)</ns0:f>
        <ns0:v/>
      </ns0:c>
    </ns0:row>
    <ns0:row r="607" ht="32" customHeight="1">
      <ns0:c r="A607" s="200"/>
      <ns0:c r="B607" s="201"/>
      <ns0:c r="C607" s="209"/>
      <ns0:c r="D607" s="201"/>
      <ns0:c r="E607" s="209"/>
      <ns0:c r="F607" s="200"/>
      <ns0:c r="G607" s="200"/>
      <ns0:c r="H607" s="210" t="str">
        <ns0:f>IF('_Engine'!A607=0,"",IF('_Engine'!$B$6&gt;0,"REVIEW",IF('_Engine'!L607&gt;0,"REVIEW",'_Engine'!G607)))</ns0:f>
        <ns0:v/>
      </ns0:c>
      <ns0:c r="I607" s="207"/>
      <ns0:c r="J607" s="208" t="str">
        <ns0:f>IF('_Engine'!K607="OK","OK · "&amp;TEXT('_Dates'!J607,"dd mmm yyyy")&amp;IF('_Dates'!J607='_Dates'!T607,""," → "&amp;TEXT('_Dates'!T607,"dd mmm yyyy")),'_Engine'!K607)</ns0:f>
        <ns0:v/>
      </ns0:c>
    </ns0:row>
    <ns0:row r="608" ht="32" customHeight="1">
      <ns0:c r="A608" s="200"/>
      <ns0:c r="B608" s="201"/>
      <ns0:c r="C608" s="209"/>
      <ns0:c r="D608" s="201"/>
      <ns0:c r="E608" s="209"/>
      <ns0:c r="F608" s="200"/>
      <ns0:c r="G608" s="200"/>
      <ns0:c r="H608" s="210" t="str">
        <ns0:f>IF('_Engine'!A608=0,"",IF('_Engine'!$B$6&gt;0,"REVIEW",IF('_Engine'!L608&gt;0,"REVIEW",'_Engine'!G608)))</ns0:f>
        <ns0:v/>
      </ns0:c>
      <ns0:c r="I608" s="207"/>
      <ns0:c r="J608" s="208" t="str">
        <ns0:f>IF('_Engine'!K608="OK","OK · "&amp;TEXT('_Dates'!J608,"dd mmm yyyy")&amp;IF('_Dates'!J608='_Dates'!T608,""," → "&amp;TEXT('_Dates'!T608,"dd mmm yyyy")),'_Engine'!K608)</ns0:f>
        <ns0:v/>
      </ns0:c>
    </ns0:row>
    <ns0:row r="609" ht="32" customHeight="1">
      <ns0:c r="A609" s="200"/>
      <ns0:c r="B609" s="201"/>
      <ns0:c r="C609" s="209"/>
      <ns0:c r="D609" s="201"/>
      <ns0:c r="E609" s="209"/>
      <ns0:c r="F609" s="200"/>
      <ns0:c r="G609" s="200"/>
      <ns0:c r="H609" s="210" t="str">
        <ns0:f>IF('_Engine'!A609=0,"",IF('_Engine'!$B$6&gt;0,"REVIEW",IF('_Engine'!L609&gt;0,"REVIEW",'_Engine'!G609)))</ns0:f>
        <ns0:v/>
      </ns0:c>
      <ns0:c r="I609" s="207"/>
      <ns0:c r="J609" s="208" t="str">
        <ns0:f>IF('_Engine'!K609="OK","OK · "&amp;TEXT('_Dates'!J609,"dd mmm yyyy")&amp;IF('_Dates'!J609='_Dates'!T609,""," → "&amp;TEXT('_Dates'!T609,"dd mmm yyyy")),'_Engine'!K609)</ns0:f>
        <ns0:v/>
      </ns0:c>
    </ns0:row>
    <ns0:row r="610" ht="32" customHeight="1">
      <ns0:c r="A610" s="200"/>
      <ns0:c r="B610" s="201"/>
      <ns0:c r="C610" s="209"/>
      <ns0:c r="D610" s="201"/>
      <ns0:c r="E610" s="209"/>
      <ns0:c r="F610" s="200"/>
      <ns0:c r="G610" s="200"/>
      <ns0:c r="H610" s="210" t="str">
        <ns0:f>IF('_Engine'!A610=0,"",IF('_Engine'!$B$6&gt;0,"REVIEW",IF('_Engine'!L610&gt;0,"REVIEW",'_Engine'!G610)))</ns0:f>
        <ns0:v/>
      </ns0:c>
      <ns0:c r="I610" s="207"/>
      <ns0:c r="J610" s="208" t="str">
        <ns0:f>IF('_Engine'!K610="OK","OK · "&amp;TEXT('_Dates'!J610,"dd mmm yyyy")&amp;IF('_Dates'!J610='_Dates'!T610,""," → "&amp;TEXT('_Dates'!T610,"dd mmm yyyy")),'_Engine'!K610)</ns0:f>
        <ns0:v/>
      </ns0:c>
    </ns0:row>
    <ns0:row r="611" ht="32" customHeight="1">
      <ns0:c r="A611" s="200"/>
      <ns0:c r="B611" s="201"/>
      <ns0:c r="C611" s="209"/>
      <ns0:c r="D611" s="201"/>
      <ns0:c r="E611" s="209"/>
      <ns0:c r="F611" s="200"/>
      <ns0:c r="G611" s="200"/>
      <ns0:c r="H611" s="210" t="str">
        <ns0:f>IF('_Engine'!A611=0,"",IF('_Engine'!$B$6&gt;0,"REVIEW",IF('_Engine'!L611&gt;0,"REVIEW",'_Engine'!G611)))</ns0:f>
        <ns0:v/>
      </ns0:c>
      <ns0:c r="I611" s="207"/>
      <ns0:c r="J611" s="208" t="str">
        <ns0:f>IF('_Engine'!K611="OK","OK · "&amp;TEXT('_Dates'!J611,"dd mmm yyyy")&amp;IF('_Dates'!J611='_Dates'!T611,""," → "&amp;TEXT('_Dates'!T611,"dd mmm yyyy")),'_Engine'!K611)</ns0:f>
        <ns0:v/>
      </ns0:c>
    </ns0:row>
    <ns0:row r="612" ht="32" customHeight="1">
      <ns0:c r="A612" s="200"/>
      <ns0:c r="B612" s="201"/>
      <ns0:c r="C612" s="209"/>
      <ns0:c r="D612" s="201"/>
      <ns0:c r="E612" s="209"/>
      <ns0:c r="F612" s="200"/>
      <ns0:c r="G612" s="200"/>
      <ns0:c r="H612" s="210" t="str">
        <ns0:f>IF('_Engine'!A612=0,"",IF('_Engine'!$B$6&gt;0,"REVIEW",IF('_Engine'!L612&gt;0,"REVIEW",'_Engine'!G612)))</ns0:f>
        <ns0:v/>
      </ns0:c>
      <ns0:c r="I612" s="207"/>
      <ns0:c r="J612" s="208" t="str">
        <ns0:f>IF('_Engine'!K612="OK","OK · "&amp;TEXT('_Dates'!J612,"dd mmm yyyy")&amp;IF('_Dates'!J612='_Dates'!T612,""," → "&amp;TEXT('_Dates'!T612,"dd mmm yyyy")),'_Engine'!K612)</ns0:f>
        <ns0:v/>
      </ns0:c>
    </ns0:row>
    <ns0:row r="613" ht="32" customHeight="1">
      <ns0:c r="A613" s="200"/>
      <ns0:c r="B613" s="201"/>
      <ns0:c r="C613" s="209"/>
      <ns0:c r="D613" s="201"/>
      <ns0:c r="E613" s="209"/>
      <ns0:c r="F613" s="200"/>
      <ns0:c r="G613" s="200"/>
      <ns0:c r="H613" s="210" t="str">
        <ns0:f>IF('_Engine'!A613=0,"",IF('_Engine'!$B$6&gt;0,"REVIEW",IF('_Engine'!L613&gt;0,"REVIEW",'_Engine'!G613)))</ns0:f>
        <ns0:v/>
      </ns0:c>
      <ns0:c r="I613" s="207"/>
      <ns0:c r="J613" s="208" t="str">
        <ns0:f>IF('_Engine'!K613="OK","OK · "&amp;TEXT('_Dates'!J613,"dd mmm yyyy")&amp;IF('_Dates'!J613='_Dates'!T613,""," → "&amp;TEXT('_Dates'!T613,"dd mmm yyyy")),'_Engine'!K613)</ns0:f>
        <ns0:v/>
      </ns0:c>
    </ns0:row>
    <ns0:row r="614" ht="32" customHeight="1">
      <ns0:c r="A614" s="200"/>
      <ns0:c r="B614" s="201"/>
      <ns0:c r="C614" s="209"/>
      <ns0:c r="D614" s="201"/>
      <ns0:c r="E614" s="209"/>
      <ns0:c r="F614" s="200"/>
      <ns0:c r="G614" s="200"/>
      <ns0:c r="H614" s="210" t="str">
        <ns0:f>IF('_Engine'!A614=0,"",IF('_Engine'!$B$6&gt;0,"REVIEW",IF('_Engine'!L614&gt;0,"REVIEW",'_Engine'!G614)))</ns0:f>
        <ns0:v/>
      </ns0:c>
      <ns0:c r="I614" s="207"/>
      <ns0:c r="J614" s="208" t="str">
        <ns0:f>IF('_Engine'!K614="OK","OK · "&amp;TEXT('_Dates'!J614,"dd mmm yyyy")&amp;IF('_Dates'!J614='_Dates'!T614,""," → "&amp;TEXT('_Dates'!T614,"dd mmm yyyy")),'_Engine'!K614)</ns0:f>
        <ns0:v/>
      </ns0:c>
    </ns0:row>
    <ns0:row r="615" ht="32" customHeight="1">
      <ns0:c r="A615" s="200"/>
      <ns0:c r="B615" s="201"/>
      <ns0:c r="C615" s="209"/>
      <ns0:c r="D615" s="201"/>
      <ns0:c r="E615" s="209"/>
      <ns0:c r="F615" s="200"/>
      <ns0:c r="G615" s="200"/>
      <ns0:c r="H615" s="210" t="str">
        <ns0:f>IF('_Engine'!A615=0,"",IF('_Engine'!$B$6&gt;0,"REVIEW",IF('_Engine'!L615&gt;0,"REVIEW",'_Engine'!G615)))</ns0:f>
        <ns0:v/>
      </ns0:c>
      <ns0:c r="I615" s="207"/>
      <ns0:c r="J615" s="208" t="str">
        <ns0:f>IF('_Engine'!K615="OK","OK · "&amp;TEXT('_Dates'!J615,"dd mmm yyyy")&amp;IF('_Dates'!J615='_Dates'!T615,""," → "&amp;TEXT('_Dates'!T615,"dd mmm yyyy")),'_Engine'!K615)</ns0:f>
        <ns0:v/>
      </ns0:c>
    </ns0:row>
    <ns0:row r="616" ht="32" customHeight="1">
      <ns0:c r="A616" s="200"/>
      <ns0:c r="B616" s="201"/>
      <ns0:c r="C616" s="209"/>
      <ns0:c r="D616" s="201"/>
      <ns0:c r="E616" s="209"/>
      <ns0:c r="F616" s="200"/>
      <ns0:c r="G616" s="200"/>
      <ns0:c r="H616" s="210" t="str">
        <ns0:f>IF('_Engine'!A616=0,"",IF('_Engine'!$B$6&gt;0,"REVIEW",IF('_Engine'!L616&gt;0,"REVIEW",'_Engine'!G616)))</ns0:f>
        <ns0:v/>
      </ns0:c>
      <ns0:c r="I616" s="207"/>
      <ns0:c r="J616" s="208" t="str">
        <ns0:f>IF('_Engine'!K616="OK","OK · "&amp;TEXT('_Dates'!J616,"dd mmm yyyy")&amp;IF('_Dates'!J616='_Dates'!T616,""," → "&amp;TEXT('_Dates'!T616,"dd mmm yyyy")),'_Engine'!K616)</ns0:f>
        <ns0:v/>
      </ns0:c>
    </ns0:row>
    <ns0:row r="617" ht="32" customHeight="1">
      <ns0:c r="A617" s="200"/>
      <ns0:c r="B617" s="201"/>
      <ns0:c r="C617" s="209"/>
      <ns0:c r="D617" s="201"/>
      <ns0:c r="E617" s="209"/>
      <ns0:c r="F617" s="200"/>
      <ns0:c r="G617" s="200"/>
      <ns0:c r="H617" s="210" t="str">
        <ns0:f>IF('_Engine'!A617=0,"",IF('_Engine'!$B$6&gt;0,"REVIEW",IF('_Engine'!L617&gt;0,"REVIEW",'_Engine'!G617)))</ns0:f>
        <ns0:v/>
      </ns0:c>
      <ns0:c r="I617" s="207"/>
      <ns0:c r="J617" s="208" t="str">
        <ns0:f>IF('_Engine'!K617="OK","OK · "&amp;TEXT('_Dates'!J617,"dd mmm yyyy")&amp;IF('_Dates'!J617='_Dates'!T617,""," → "&amp;TEXT('_Dates'!T617,"dd mmm yyyy")),'_Engine'!K617)</ns0:f>
        <ns0:v/>
      </ns0:c>
    </ns0:row>
    <ns0:row r="618" ht="32" customHeight="1">
      <ns0:c r="A618" s="200"/>
      <ns0:c r="B618" s="201"/>
      <ns0:c r="C618" s="209"/>
      <ns0:c r="D618" s="201"/>
      <ns0:c r="E618" s="209"/>
      <ns0:c r="F618" s="200"/>
      <ns0:c r="G618" s="200"/>
      <ns0:c r="H618" s="210" t="str">
        <ns0:f>IF('_Engine'!A618=0,"",IF('_Engine'!$B$6&gt;0,"REVIEW",IF('_Engine'!L618&gt;0,"REVIEW",'_Engine'!G618)))</ns0:f>
        <ns0:v/>
      </ns0:c>
      <ns0:c r="I618" s="207"/>
      <ns0:c r="J618" s="208" t="str">
        <ns0:f>IF('_Engine'!K618="OK","OK · "&amp;TEXT('_Dates'!J618,"dd mmm yyyy")&amp;IF('_Dates'!J618='_Dates'!T618,""," → "&amp;TEXT('_Dates'!T618,"dd mmm yyyy")),'_Engine'!K618)</ns0:f>
        <ns0:v/>
      </ns0:c>
    </ns0:row>
    <ns0:row r="619" ht="32" customHeight="1">
      <ns0:c r="A619" s="200"/>
      <ns0:c r="B619" s="201"/>
      <ns0:c r="C619" s="209"/>
      <ns0:c r="D619" s="201"/>
      <ns0:c r="E619" s="209"/>
      <ns0:c r="F619" s="200"/>
      <ns0:c r="G619" s="200"/>
      <ns0:c r="H619" s="210" t="str">
        <ns0:f>IF('_Engine'!A619=0,"",IF('_Engine'!$B$6&gt;0,"REVIEW",IF('_Engine'!L619&gt;0,"REVIEW",'_Engine'!G619)))</ns0:f>
        <ns0:v/>
      </ns0:c>
      <ns0:c r="I619" s="207"/>
      <ns0:c r="J619" s="208" t="str">
        <ns0:f>IF('_Engine'!K619="OK","OK · "&amp;TEXT('_Dates'!J619,"dd mmm yyyy")&amp;IF('_Dates'!J619='_Dates'!T619,""," → "&amp;TEXT('_Dates'!T619,"dd mmm yyyy")),'_Engine'!K619)</ns0:f>
        <ns0:v/>
      </ns0:c>
    </ns0:row>
    <ns0:row r="620" ht="32" customHeight="1">
      <ns0:c r="A620" s="200"/>
      <ns0:c r="B620" s="201"/>
      <ns0:c r="C620" s="209"/>
      <ns0:c r="D620" s="201"/>
      <ns0:c r="E620" s="209"/>
      <ns0:c r="F620" s="200"/>
      <ns0:c r="G620" s="200"/>
      <ns0:c r="H620" s="210" t="str">
        <ns0:f>IF('_Engine'!A620=0,"",IF('_Engine'!$B$6&gt;0,"REVIEW",IF('_Engine'!L620&gt;0,"REVIEW",'_Engine'!G620)))</ns0:f>
        <ns0:v/>
      </ns0:c>
      <ns0:c r="I620" s="207"/>
      <ns0:c r="J620" s="208" t="str">
        <ns0:f>IF('_Engine'!K620="OK","OK · "&amp;TEXT('_Dates'!J620,"dd mmm yyyy")&amp;IF('_Dates'!J620='_Dates'!T620,""," → "&amp;TEXT('_Dates'!T620,"dd mmm yyyy")),'_Engine'!K620)</ns0:f>
        <ns0:v/>
      </ns0:c>
    </ns0:row>
    <ns0:row r="621" ht="32" customHeight="1">
      <ns0:c r="A621" s="200"/>
      <ns0:c r="B621" s="201"/>
      <ns0:c r="C621" s="209"/>
      <ns0:c r="D621" s="201"/>
      <ns0:c r="E621" s="209"/>
      <ns0:c r="F621" s="200"/>
      <ns0:c r="G621" s="200"/>
      <ns0:c r="H621" s="210" t="str">
        <ns0:f>IF('_Engine'!A621=0,"",IF('_Engine'!$B$6&gt;0,"REVIEW",IF('_Engine'!L621&gt;0,"REVIEW",'_Engine'!G621)))</ns0:f>
        <ns0:v/>
      </ns0:c>
      <ns0:c r="I621" s="207"/>
      <ns0:c r="J621" s="208" t="str">
        <ns0:f>IF('_Engine'!K621="OK","OK · "&amp;TEXT('_Dates'!J621,"dd mmm yyyy")&amp;IF('_Dates'!J621='_Dates'!T621,""," → "&amp;TEXT('_Dates'!T621,"dd mmm yyyy")),'_Engine'!K621)</ns0:f>
        <ns0:v/>
      </ns0:c>
    </ns0:row>
    <ns0:row r="622" ht="32" customHeight="1">
      <ns0:c r="A622" s="200"/>
      <ns0:c r="B622" s="201"/>
      <ns0:c r="C622" s="209"/>
      <ns0:c r="D622" s="201"/>
      <ns0:c r="E622" s="209"/>
      <ns0:c r="F622" s="200"/>
      <ns0:c r="G622" s="200"/>
      <ns0:c r="H622" s="210" t="str">
        <ns0:f>IF('_Engine'!A622=0,"",IF('_Engine'!$B$6&gt;0,"REVIEW",IF('_Engine'!L622&gt;0,"REVIEW",'_Engine'!G622)))</ns0:f>
        <ns0:v/>
      </ns0:c>
      <ns0:c r="I622" s="207"/>
      <ns0:c r="J622" s="208" t="str">
        <ns0:f>IF('_Engine'!K622="OK","OK · "&amp;TEXT('_Dates'!J622,"dd mmm yyyy")&amp;IF('_Dates'!J622='_Dates'!T622,""," → "&amp;TEXT('_Dates'!T622,"dd mmm yyyy")),'_Engine'!K622)</ns0:f>
        <ns0:v/>
      </ns0:c>
    </ns0:row>
    <ns0:row r="623" ht="32" customHeight="1">
      <ns0:c r="A623" s="200"/>
      <ns0:c r="B623" s="201"/>
      <ns0:c r="C623" s="209"/>
      <ns0:c r="D623" s="201"/>
      <ns0:c r="E623" s="209"/>
      <ns0:c r="F623" s="200"/>
      <ns0:c r="G623" s="200"/>
      <ns0:c r="H623" s="210" t="str">
        <ns0:f>IF('_Engine'!A623=0,"",IF('_Engine'!$B$6&gt;0,"REVIEW",IF('_Engine'!L623&gt;0,"REVIEW",'_Engine'!G623)))</ns0:f>
        <ns0:v/>
      </ns0:c>
      <ns0:c r="I623" s="207"/>
      <ns0:c r="J623" s="208" t="str">
        <ns0:f>IF('_Engine'!K623="OK","OK · "&amp;TEXT('_Dates'!J623,"dd mmm yyyy")&amp;IF('_Dates'!J623='_Dates'!T623,""," → "&amp;TEXT('_Dates'!T623,"dd mmm yyyy")),'_Engine'!K623)</ns0:f>
        <ns0:v/>
      </ns0:c>
    </ns0:row>
    <ns0:row r="624" ht="32" customHeight="1">
      <ns0:c r="A624" s="200"/>
      <ns0:c r="B624" s="201"/>
      <ns0:c r="C624" s="209"/>
      <ns0:c r="D624" s="201"/>
      <ns0:c r="E624" s="209"/>
      <ns0:c r="F624" s="200"/>
      <ns0:c r="G624" s="200"/>
      <ns0:c r="H624" s="210" t="str">
        <ns0:f>IF('_Engine'!A624=0,"",IF('_Engine'!$B$6&gt;0,"REVIEW",IF('_Engine'!L624&gt;0,"REVIEW",'_Engine'!G624)))</ns0:f>
        <ns0:v/>
      </ns0:c>
      <ns0:c r="I624" s="207"/>
      <ns0:c r="J624" s="208" t="str">
        <ns0:f>IF('_Engine'!K624="OK","OK · "&amp;TEXT('_Dates'!J624,"dd mmm yyyy")&amp;IF('_Dates'!J624='_Dates'!T624,""," → "&amp;TEXT('_Dates'!T624,"dd mmm yyyy")),'_Engine'!K624)</ns0:f>
        <ns0:v/>
      </ns0:c>
    </ns0:row>
    <ns0:row r="625" ht="32" customHeight="1">
      <ns0:c r="A625" s="200"/>
      <ns0:c r="B625" s="201"/>
      <ns0:c r="C625" s="209"/>
      <ns0:c r="D625" s="201"/>
      <ns0:c r="E625" s="209"/>
      <ns0:c r="F625" s="200"/>
      <ns0:c r="G625" s="200"/>
      <ns0:c r="H625" s="210" t="str">
        <ns0:f>IF('_Engine'!A625=0,"",IF('_Engine'!$B$6&gt;0,"REVIEW",IF('_Engine'!L625&gt;0,"REVIEW",'_Engine'!G625)))</ns0:f>
        <ns0:v/>
      </ns0:c>
      <ns0:c r="I625" s="207"/>
      <ns0:c r="J625" s="208" t="str">
        <ns0:f>IF('_Engine'!K625="OK","OK · "&amp;TEXT('_Dates'!J625,"dd mmm yyyy")&amp;IF('_Dates'!J625='_Dates'!T625,""," → "&amp;TEXT('_Dates'!T625,"dd mmm yyyy")),'_Engine'!K625)</ns0:f>
        <ns0:v/>
      </ns0:c>
    </ns0:row>
    <ns0:row r="626" ht="32" customHeight="1">
      <ns0:c r="A626" s="200"/>
      <ns0:c r="B626" s="201"/>
      <ns0:c r="C626" s="209"/>
      <ns0:c r="D626" s="201"/>
      <ns0:c r="E626" s="209"/>
      <ns0:c r="F626" s="200"/>
      <ns0:c r="G626" s="200"/>
      <ns0:c r="H626" s="210" t="str">
        <ns0:f>IF('_Engine'!A626=0,"",IF('_Engine'!$B$6&gt;0,"REVIEW",IF('_Engine'!L626&gt;0,"REVIEW",'_Engine'!G626)))</ns0:f>
        <ns0:v/>
      </ns0:c>
      <ns0:c r="I626" s="207"/>
      <ns0:c r="J626" s="208" t="str">
        <ns0:f>IF('_Engine'!K626="OK","OK · "&amp;TEXT('_Dates'!J626,"dd mmm yyyy")&amp;IF('_Dates'!J626='_Dates'!T626,""," → "&amp;TEXT('_Dates'!T626,"dd mmm yyyy")),'_Engine'!K626)</ns0:f>
        <ns0:v/>
      </ns0:c>
    </ns0:row>
    <ns0:row r="627" ht="32" customHeight="1">
      <ns0:c r="A627" s="200"/>
      <ns0:c r="B627" s="201"/>
      <ns0:c r="C627" s="209"/>
      <ns0:c r="D627" s="201"/>
      <ns0:c r="E627" s="209"/>
      <ns0:c r="F627" s="200"/>
      <ns0:c r="G627" s="200"/>
      <ns0:c r="H627" s="210" t="str">
        <ns0:f>IF('_Engine'!A627=0,"",IF('_Engine'!$B$6&gt;0,"REVIEW",IF('_Engine'!L627&gt;0,"REVIEW",'_Engine'!G627)))</ns0:f>
        <ns0:v/>
      </ns0:c>
      <ns0:c r="I627" s="207"/>
      <ns0:c r="J627" s="208" t="str">
        <ns0:f>IF('_Engine'!K627="OK","OK · "&amp;TEXT('_Dates'!J627,"dd mmm yyyy")&amp;IF('_Dates'!J627='_Dates'!T627,""," → "&amp;TEXT('_Dates'!T627,"dd mmm yyyy")),'_Engine'!K627)</ns0:f>
        <ns0:v/>
      </ns0:c>
    </ns0:row>
    <ns0:row r="628" ht="32" customHeight="1">
      <ns0:c r="A628" s="200"/>
      <ns0:c r="B628" s="201"/>
      <ns0:c r="C628" s="209"/>
      <ns0:c r="D628" s="201"/>
      <ns0:c r="E628" s="209"/>
      <ns0:c r="F628" s="200"/>
      <ns0:c r="G628" s="200"/>
      <ns0:c r="H628" s="210" t="str">
        <ns0:f>IF('_Engine'!A628=0,"",IF('_Engine'!$B$6&gt;0,"REVIEW",IF('_Engine'!L628&gt;0,"REVIEW",'_Engine'!G628)))</ns0:f>
        <ns0:v/>
      </ns0:c>
      <ns0:c r="I628" s="207"/>
      <ns0:c r="J628" s="208" t="str">
        <ns0:f>IF('_Engine'!K628="OK","OK · "&amp;TEXT('_Dates'!J628,"dd mmm yyyy")&amp;IF('_Dates'!J628='_Dates'!T628,""," → "&amp;TEXT('_Dates'!T628,"dd mmm yyyy")),'_Engine'!K628)</ns0:f>
        <ns0:v/>
      </ns0:c>
    </ns0:row>
    <ns0:row r="629" ht="32" customHeight="1">
      <ns0:c r="A629" s="200"/>
      <ns0:c r="B629" s="201"/>
      <ns0:c r="C629" s="209"/>
      <ns0:c r="D629" s="201"/>
      <ns0:c r="E629" s="209"/>
      <ns0:c r="F629" s="200"/>
      <ns0:c r="G629" s="200"/>
      <ns0:c r="H629" s="210" t="str">
        <ns0:f>IF('_Engine'!A629=0,"",IF('_Engine'!$B$6&gt;0,"REVIEW",IF('_Engine'!L629&gt;0,"REVIEW",'_Engine'!G629)))</ns0:f>
        <ns0:v/>
      </ns0:c>
      <ns0:c r="I629" s="207"/>
      <ns0:c r="J629" s="208" t="str">
        <ns0:f>IF('_Engine'!K629="OK","OK · "&amp;TEXT('_Dates'!J629,"dd mmm yyyy")&amp;IF('_Dates'!J629='_Dates'!T629,""," → "&amp;TEXT('_Dates'!T629,"dd mmm yyyy")),'_Engine'!K629)</ns0:f>
        <ns0:v/>
      </ns0:c>
    </ns0:row>
    <ns0:row r="630" ht="32" customHeight="1">
      <ns0:c r="A630" s="200"/>
      <ns0:c r="B630" s="201"/>
      <ns0:c r="C630" s="209"/>
      <ns0:c r="D630" s="201"/>
      <ns0:c r="E630" s="209"/>
      <ns0:c r="F630" s="200"/>
      <ns0:c r="G630" s="200"/>
      <ns0:c r="H630" s="210" t="str">
        <ns0:f>IF('_Engine'!A630=0,"",IF('_Engine'!$B$6&gt;0,"REVIEW",IF('_Engine'!L630&gt;0,"REVIEW",'_Engine'!G630)))</ns0:f>
        <ns0:v/>
      </ns0:c>
      <ns0:c r="I630" s="207"/>
      <ns0:c r="J630" s="208" t="str">
        <ns0:f>IF('_Engine'!K630="OK","OK · "&amp;TEXT('_Dates'!J630,"dd mmm yyyy")&amp;IF('_Dates'!J630='_Dates'!T630,""," → "&amp;TEXT('_Dates'!T630,"dd mmm yyyy")),'_Engine'!K630)</ns0:f>
        <ns0:v/>
      </ns0:c>
    </ns0:row>
    <ns0:row r="631" ht="32" customHeight="1">
      <ns0:c r="A631" s="200"/>
      <ns0:c r="B631" s="201"/>
      <ns0:c r="C631" s="209"/>
      <ns0:c r="D631" s="201"/>
      <ns0:c r="E631" s="209"/>
      <ns0:c r="F631" s="200"/>
      <ns0:c r="G631" s="200"/>
      <ns0:c r="H631" s="210" t="str">
        <ns0:f>IF('_Engine'!A631=0,"",IF('_Engine'!$B$6&gt;0,"REVIEW",IF('_Engine'!L631&gt;0,"REVIEW",'_Engine'!G631)))</ns0:f>
        <ns0:v/>
      </ns0:c>
      <ns0:c r="I631" s="207"/>
      <ns0:c r="J631" s="208" t="str">
        <ns0:f>IF('_Engine'!K631="OK","OK · "&amp;TEXT('_Dates'!J631,"dd mmm yyyy")&amp;IF('_Dates'!J631='_Dates'!T631,""," → "&amp;TEXT('_Dates'!T631,"dd mmm yyyy")),'_Engine'!K631)</ns0:f>
        <ns0:v/>
      </ns0:c>
    </ns0:row>
    <ns0:row r="632" ht="32" customHeight="1">
      <ns0:c r="A632" s="200"/>
      <ns0:c r="B632" s="201"/>
      <ns0:c r="C632" s="209"/>
      <ns0:c r="D632" s="201"/>
      <ns0:c r="E632" s="209"/>
      <ns0:c r="F632" s="200"/>
      <ns0:c r="G632" s="200"/>
      <ns0:c r="H632" s="210" t="str">
        <ns0:f>IF('_Engine'!A632=0,"",IF('_Engine'!$B$6&gt;0,"REVIEW",IF('_Engine'!L632&gt;0,"REVIEW",'_Engine'!G632)))</ns0:f>
        <ns0:v/>
      </ns0:c>
      <ns0:c r="I632" s="207"/>
      <ns0:c r="J632" s="208" t="str">
        <ns0:f>IF('_Engine'!K632="OK","OK · "&amp;TEXT('_Dates'!J632,"dd mmm yyyy")&amp;IF('_Dates'!J632='_Dates'!T632,""," → "&amp;TEXT('_Dates'!T632,"dd mmm yyyy")),'_Engine'!K632)</ns0:f>
        <ns0:v/>
      </ns0:c>
    </ns0:row>
    <ns0:row r="633" ht="32" customHeight="1">
      <ns0:c r="A633" s="200"/>
      <ns0:c r="B633" s="201"/>
      <ns0:c r="C633" s="209"/>
      <ns0:c r="D633" s="201"/>
      <ns0:c r="E633" s="209"/>
      <ns0:c r="F633" s="200"/>
      <ns0:c r="G633" s="200"/>
      <ns0:c r="H633" s="210" t="str">
        <ns0:f>IF('_Engine'!A633=0,"",IF('_Engine'!$B$6&gt;0,"REVIEW",IF('_Engine'!L633&gt;0,"REVIEW",'_Engine'!G633)))</ns0:f>
        <ns0:v/>
      </ns0:c>
      <ns0:c r="I633" s="207"/>
      <ns0:c r="J633" s="208" t="str">
        <ns0:f>IF('_Engine'!K633="OK","OK · "&amp;TEXT('_Dates'!J633,"dd mmm yyyy")&amp;IF('_Dates'!J633='_Dates'!T633,""," → "&amp;TEXT('_Dates'!T633,"dd mmm yyyy")),'_Engine'!K633)</ns0:f>
        <ns0:v/>
      </ns0:c>
    </ns0:row>
    <ns0:row r="634" ht="32" customHeight="1">
      <ns0:c r="A634" s="200"/>
      <ns0:c r="B634" s="201"/>
      <ns0:c r="C634" s="209"/>
      <ns0:c r="D634" s="201"/>
      <ns0:c r="E634" s="209"/>
      <ns0:c r="F634" s="200"/>
      <ns0:c r="G634" s="200"/>
      <ns0:c r="H634" s="210" t="str">
        <ns0:f>IF('_Engine'!A634=0,"",IF('_Engine'!$B$6&gt;0,"REVIEW",IF('_Engine'!L634&gt;0,"REVIEW",'_Engine'!G634)))</ns0:f>
        <ns0:v/>
      </ns0:c>
      <ns0:c r="I634" s="207"/>
      <ns0:c r="J634" s="208" t="str">
        <ns0:f>IF('_Engine'!K634="OK","OK · "&amp;TEXT('_Dates'!J634,"dd mmm yyyy")&amp;IF('_Dates'!J634='_Dates'!T634,""," → "&amp;TEXT('_Dates'!T634,"dd mmm yyyy")),'_Engine'!K634)</ns0:f>
        <ns0:v/>
      </ns0:c>
    </ns0:row>
    <ns0:row r="635" ht="32" customHeight="1">
      <ns0:c r="A635" s="200"/>
      <ns0:c r="B635" s="201"/>
      <ns0:c r="C635" s="209"/>
      <ns0:c r="D635" s="201"/>
      <ns0:c r="E635" s="209"/>
      <ns0:c r="F635" s="200"/>
      <ns0:c r="G635" s="200"/>
      <ns0:c r="H635" s="210" t="str">
        <ns0:f>IF('_Engine'!A635=0,"",IF('_Engine'!$B$6&gt;0,"REVIEW",IF('_Engine'!L635&gt;0,"REVIEW",'_Engine'!G635)))</ns0:f>
        <ns0:v/>
      </ns0:c>
      <ns0:c r="I635" s="207"/>
      <ns0:c r="J635" s="208" t="str">
        <ns0:f>IF('_Engine'!K635="OK","OK · "&amp;TEXT('_Dates'!J635,"dd mmm yyyy")&amp;IF('_Dates'!J635='_Dates'!T635,""," → "&amp;TEXT('_Dates'!T635,"dd mmm yyyy")),'_Engine'!K635)</ns0:f>
        <ns0:v/>
      </ns0:c>
    </ns0:row>
    <ns0:row r="636" ht="32" customHeight="1">
      <ns0:c r="A636" s="200"/>
      <ns0:c r="B636" s="201"/>
      <ns0:c r="C636" s="209"/>
      <ns0:c r="D636" s="201"/>
      <ns0:c r="E636" s="209"/>
      <ns0:c r="F636" s="200"/>
      <ns0:c r="G636" s="200"/>
      <ns0:c r="H636" s="210" t="str">
        <ns0:f>IF('_Engine'!A636=0,"",IF('_Engine'!$B$6&gt;0,"REVIEW",IF('_Engine'!L636&gt;0,"REVIEW",'_Engine'!G636)))</ns0:f>
        <ns0:v/>
      </ns0:c>
      <ns0:c r="I636" s="207"/>
      <ns0:c r="J636" s="208" t="str">
        <ns0:f>IF('_Engine'!K636="OK","OK · "&amp;TEXT('_Dates'!J636,"dd mmm yyyy")&amp;IF('_Dates'!J636='_Dates'!T636,""," → "&amp;TEXT('_Dates'!T636,"dd mmm yyyy")),'_Engine'!K636)</ns0:f>
        <ns0:v/>
      </ns0:c>
    </ns0:row>
    <ns0:row r="637" ht="32" customHeight="1">
      <ns0:c r="A637" s="200"/>
      <ns0:c r="B637" s="201"/>
      <ns0:c r="C637" s="209"/>
      <ns0:c r="D637" s="201"/>
      <ns0:c r="E637" s="209"/>
      <ns0:c r="F637" s="200"/>
      <ns0:c r="G637" s="200"/>
      <ns0:c r="H637" s="210" t="str">
        <ns0:f>IF('_Engine'!A637=0,"",IF('_Engine'!$B$6&gt;0,"REVIEW",IF('_Engine'!L637&gt;0,"REVIEW",'_Engine'!G637)))</ns0:f>
        <ns0:v/>
      </ns0:c>
      <ns0:c r="I637" s="207"/>
      <ns0:c r="J637" s="208" t="str">
        <ns0:f>IF('_Engine'!K637="OK","OK · "&amp;TEXT('_Dates'!J637,"dd mmm yyyy")&amp;IF('_Dates'!J637='_Dates'!T637,""," → "&amp;TEXT('_Dates'!T637,"dd mmm yyyy")),'_Engine'!K637)</ns0:f>
        <ns0:v/>
      </ns0:c>
    </ns0:row>
    <ns0:row r="638" ht="32" customHeight="1">
      <ns0:c r="A638" s="200"/>
      <ns0:c r="B638" s="201"/>
      <ns0:c r="C638" s="209"/>
      <ns0:c r="D638" s="201"/>
      <ns0:c r="E638" s="209"/>
      <ns0:c r="F638" s="200"/>
      <ns0:c r="G638" s="200"/>
      <ns0:c r="H638" s="210" t="str">
        <ns0:f>IF('_Engine'!A638=0,"",IF('_Engine'!$B$6&gt;0,"REVIEW",IF('_Engine'!L638&gt;0,"REVIEW",'_Engine'!G638)))</ns0:f>
        <ns0:v/>
      </ns0:c>
      <ns0:c r="I638" s="207"/>
      <ns0:c r="J638" s="208" t="str">
        <ns0:f>IF('_Engine'!K638="OK","OK · "&amp;TEXT('_Dates'!J638,"dd mmm yyyy")&amp;IF('_Dates'!J638='_Dates'!T638,""," → "&amp;TEXT('_Dates'!T638,"dd mmm yyyy")),'_Engine'!K638)</ns0:f>
        <ns0:v/>
      </ns0:c>
    </ns0:row>
    <ns0:row r="639" ht="32" customHeight="1">
      <ns0:c r="A639" s="200"/>
      <ns0:c r="B639" s="201"/>
      <ns0:c r="C639" s="209"/>
      <ns0:c r="D639" s="201"/>
      <ns0:c r="E639" s="209"/>
      <ns0:c r="F639" s="200"/>
      <ns0:c r="G639" s="200"/>
      <ns0:c r="H639" s="210" t="str">
        <ns0:f>IF('_Engine'!A639=0,"",IF('_Engine'!$B$6&gt;0,"REVIEW",IF('_Engine'!L639&gt;0,"REVIEW",'_Engine'!G639)))</ns0:f>
        <ns0:v/>
      </ns0:c>
      <ns0:c r="I639" s="207"/>
      <ns0:c r="J639" s="208" t="str">
        <ns0:f>IF('_Engine'!K639="OK","OK · "&amp;TEXT('_Dates'!J639,"dd mmm yyyy")&amp;IF('_Dates'!J639='_Dates'!T639,""," → "&amp;TEXT('_Dates'!T639,"dd mmm yyyy")),'_Engine'!K639)</ns0:f>
        <ns0:v/>
      </ns0:c>
    </ns0:row>
    <ns0:row r="640" ht="32" customHeight="1">
      <ns0:c r="A640" s="200"/>
      <ns0:c r="B640" s="201"/>
      <ns0:c r="C640" s="209"/>
      <ns0:c r="D640" s="201"/>
      <ns0:c r="E640" s="209"/>
      <ns0:c r="F640" s="200"/>
      <ns0:c r="G640" s="200"/>
      <ns0:c r="H640" s="210" t="str">
        <ns0:f>IF('_Engine'!A640=0,"",IF('_Engine'!$B$6&gt;0,"REVIEW",IF('_Engine'!L640&gt;0,"REVIEW",'_Engine'!G640)))</ns0:f>
        <ns0:v/>
      </ns0:c>
      <ns0:c r="I640" s="207"/>
      <ns0:c r="J640" s="208" t="str">
        <ns0:f>IF('_Engine'!K640="OK","OK · "&amp;TEXT('_Dates'!J640,"dd mmm yyyy")&amp;IF('_Dates'!J640='_Dates'!T640,""," → "&amp;TEXT('_Dates'!T640,"dd mmm yyyy")),'_Engine'!K640)</ns0:f>
        <ns0:v/>
      </ns0:c>
    </ns0:row>
    <ns0:row r="641" ht="32" customHeight="1">
      <ns0:c r="A641" s="200"/>
      <ns0:c r="B641" s="201"/>
      <ns0:c r="C641" s="209"/>
      <ns0:c r="D641" s="201"/>
      <ns0:c r="E641" s="209"/>
      <ns0:c r="F641" s="200"/>
      <ns0:c r="G641" s="200"/>
      <ns0:c r="H641" s="210" t="str">
        <ns0:f>IF('_Engine'!A641=0,"",IF('_Engine'!$B$6&gt;0,"REVIEW",IF('_Engine'!L641&gt;0,"REVIEW",'_Engine'!G641)))</ns0:f>
        <ns0:v/>
      </ns0:c>
      <ns0:c r="I641" s="207"/>
      <ns0:c r="J641" s="208" t="str">
        <ns0:f>IF('_Engine'!K641="OK","OK · "&amp;TEXT('_Dates'!J641,"dd mmm yyyy")&amp;IF('_Dates'!J641='_Dates'!T641,""," → "&amp;TEXT('_Dates'!T641,"dd mmm yyyy")),'_Engine'!K641)</ns0:f>
        <ns0:v/>
      </ns0:c>
    </ns0:row>
    <ns0:row r="642" ht="32" customHeight="1">
      <ns0:c r="A642" s="200"/>
      <ns0:c r="B642" s="201"/>
      <ns0:c r="C642" s="209"/>
      <ns0:c r="D642" s="201"/>
      <ns0:c r="E642" s="209"/>
      <ns0:c r="F642" s="200"/>
      <ns0:c r="G642" s="200"/>
      <ns0:c r="H642" s="210" t="str">
        <ns0:f>IF('_Engine'!A642=0,"",IF('_Engine'!$B$6&gt;0,"REVIEW",IF('_Engine'!L642&gt;0,"REVIEW",'_Engine'!G642)))</ns0:f>
        <ns0:v/>
      </ns0:c>
      <ns0:c r="I642" s="207"/>
      <ns0:c r="J642" s="208" t="str">
        <ns0:f>IF('_Engine'!K642="OK","OK · "&amp;TEXT('_Dates'!J642,"dd mmm yyyy")&amp;IF('_Dates'!J642='_Dates'!T642,""," → "&amp;TEXT('_Dates'!T642,"dd mmm yyyy")),'_Engine'!K642)</ns0:f>
        <ns0:v/>
      </ns0:c>
    </ns0:row>
    <ns0:row r="643" ht="32" customHeight="1">
      <ns0:c r="A643" s="200"/>
      <ns0:c r="B643" s="201"/>
      <ns0:c r="C643" s="209"/>
      <ns0:c r="D643" s="201"/>
      <ns0:c r="E643" s="209"/>
      <ns0:c r="F643" s="200"/>
      <ns0:c r="G643" s="200"/>
      <ns0:c r="H643" s="210" t="str">
        <ns0:f>IF('_Engine'!A643=0,"",IF('_Engine'!$B$6&gt;0,"REVIEW",IF('_Engine'!L643&gt;0,"REVIEW",'_Engine'!G643)))</ns0:f>
        <ns0:v/>
      </ns0:c>
      <ns0:c r="I643" s="207"/>
      <ns0:c r="J643" s="208" t="str">
        <ns0:f>IF('_Engine'!K643="OK","OK · "&amp;TEXT('_Dates'!J643,"dd mmm yyyy")&amp;IF('_Dates'!J643='_Dates'!T643,""," → "&amp;TEXT('_Dates'!T643,"dd mmm yyyy")),'_Engine'!K643)</ns0:f>
        <ns0:v/>
      </ns0:c>
    </ns0:row>
    <ns0:row r="644" ht="32" customHeight="1">
      <ns0:c r="A644" s="200"/>
      <ns0:c r="B644" s="201"/>
      <ns0:c r="C644" s="209"/>
      <ns0:c r="D644" s="201"/>
      <ns0:c r="E644" s="209"/>
      <ns0:c r="F644" s="200"/>
      <ns0:c r="G644" s="200"/>
      <ns0:c r="H644" s="210" t="str">
        <ns0:f>IF('_Engine'!A644=0,"",IF('_Engine'!$B$6&gt;0,"REVIEW",IF('_Engine'!L644&gt;0,"REVIEW",'_Engine'!G644)))</ns0:f>
        <ns0:v/>
      </ns0:c>
      <ns0:c r="I644" s="207"/>
      <ns0:c r="J644" s="208" t="str">
        <ns0:f>IF('_Engine'!K644="OK","OK · "&amp;TEXT('_Dates'!J644,"dd mmm yyyy")&amp;IF('_Dates'!J644='_Dates'!T644,""," → "&amp;TEXT('_Dates'!T644,"dd mmm yyyy")),'_Engine'!K644)</ns0:f>
        <ns0:v/>
      </ns0:c>
    </ns0:row>
    <ns0:row r="645" ht="32" customHeight="1">
      <ns0:c r="A645" s="200"/>
      <ns0:c r="B645" s="201"/>
      <ns0:c r="C645" s="209"/>
      <ns0:c r="D645" s="201"/>
      <ns0:c r="E645" s="209"/>
      <ns0:c r="F645" s="200"/>
      <ns0:c r="G645" s="200"/>
      <ns0:c r="H645" s="210" t="str">
        <ns0:f>IF('_Engine'!A645=0,"",IF('_Engine'!$B$6&gt;0,"REVIEW",IF('_Engine'!L645&gt;0,"REVIEW",'_Engine'!G645)))</ns0:f>
        <ns0:v/>
      </ns0:c>
      <ns0:c r="I645" s="207"/>
      <ns0:c r="J645" s="208" t="str">
        <ns0:f>IF('_Engine'!K645="OK","OK · "&amp;TEXT('_Dates'!J645,"dd mmm yyyy")&amp;IF('_Dates'!J645='_Dates'!T645,""," → "&amp;TEXT('_Dates'!T645,"dd mmm yyyy")),'_Engine'!K645)</ns0:f>
        <ns0:v/>
      </ns0:c>
    </ns0:row>
    <ns0:row r="646" ht="32" customHeight="1">
      <ns0:c r="A646" s="200"/>
      <ns0:c r="B646" s="201"/>
      <ns0:c r="C646" s="209"/>
      <ns0:c r="D646" s="201"/>
      <ns0:c r="E646" s="209"/>
      <ns0:c r="F646" s="200"/>
      <ns0:c r="G646" s="200"/>
      <ns0:c r="H646" s="210" t="str">
        <ns0:f>IF('_Engine'!A646=0,"",IF('_Engine'!$B$6&gt;0,"REVIEW",IF('_Engine'!L646&gt;0,"REVIEW",'_Engine'!G646)))</ns0:f>
        <ns0:v/>
      </ns0:c>
      <ns0:c r="I646" s="207"/>
      <ns0:c r="J646" s="208" t="str">
        <ns0:f>IF('_Engine'!K646="OK","OK · "&amp;TEXT('_Dates'!J646,"dd mmm yyyy")&amp;IF('_Dates'!J646='_Dates'!T646,""," → "&amp;TEXT('_Dates'!T646,"dd mmm yyyy")),'_Engine'!K646)</ns0:f>
        <ns0:v/>
      </ns0:c>
    </ns0:row>
    <ns0:row r="647" ht="32" customHeight="1">
      <ns0:c r="A647" s="200"/>
      <ns0:c r="B647" s="201"/>
      <ns0:c r="C647" s="209"/>
      <ns0:c r="D647" s="201"/>
      <ns0:c r="E647" s="209"/>
      <ns0:c r="F647" s="200"/>
      <ns0:c r="G647" s="200"/>
      <ns0:c r="H647" s="210" t="str">
        <ns0:f>IF('_Engine'!A647=0,"",IF('_Engine'!$B$6&gt;0,"REVIEW",IF('_Engine'!L647&gt;0,"REVIEW",'_Engine'!G647)))</ns0:f>
        <ns0:v/>
      </ns0:c>
      <ns0:c r="I647" s="207"/>
      <ns0:c r="J647" s="208" t="str">
        <ns0:f>IF('_Engine'!K647="OK","OK · "&amp;TEXT('_Dates'!J647,"dd mmm yyyy")&amp;IF('_Dates'!J647='_Dates'!T647,""," → "&amp;TEXT('_Dates'!T647,"dd mmm yyyy")),'_Engine'!K647)</ns0:f>
        <ns0:v/>
      </ns0:c>
    </ns0:row>
    <ns0:row r="648" ht="32" customHeight="1">
      <ns0:c r="A648" s="200"/>
      <ns0:c r="B648" s="201"/>
      <ns0:c r="C648" s="209"/>
      <ns0:c r="D648" s="201"/>
      <ns0:c r="E648" s="209"/>
      <ns0:c r="F648" s="200"/>
      <ns0:c r="G648" s="200"/>
      <ns0:c r="H648" s="210" t="str">
        <ns0:f>IF('_Engine'!A648=0,"",IF('_Engine'!$B$6&gt;0,"REVIEW",IF('_Engine'!L648&gt;0,"REVIEW",'_Engine'!G648)))</ns0:f>
        <ns0:v/>
      </ns0:c>
      <ns0:c r="I648" s="207"/>
      <ns0:c r="J648" s="208" t="str">
        <ns0:f>IF('_Engine'!K648="OK","OK · "&amp;TEXT('_Dates'!J648,"dd mmm yyyy")&amp;IF('_Dates'!J648='_Dates'!T648,""," → "&amp;TEXT('_Dates'!T648,"dd mmm yyyy")),'_Engine'!K648)</ns0:f>
        <ns0:v/>
      </ns0:c>
    </ns0:row>
    <ns0:row r="649" ht="32" customHeight="1">
      <ns0:c r="A649" s="200"/>
      <ns0:c r="B649" s="201"/>
      <ns0:c r="C649" s="209"/>
      <ns0:c r="D649" s="201"/>
      <ns0:c r="E649" s="209"/>
      <ns0:c r="F649" s="200"/>
      <ns0:c r="G649" s="200"/>
      <ns0:c r="H649" s="210" t="str">
        <ns0:f>IF('_Engine'!A649=0,"",IF('_Engine'!$B$6&gt;0,"REVIEW",IF('_Engine'!L649&gt;0,"REVIEW",'_Engine'!G649)))</ns0:f>
        <ns0:v/>
      </ns0:c>
      <ns0:c r="I649" s="207"/>
      <ns0:c r="J649" s="208" t="str">
        <ns0:f>IF('_Engine'!K649="OK","OK · "&amp;TEXT('_Dates'!J649,"dd mmm yyyy")&amp;IF('_Dates'!J649='_Dates'!T649,""," → "&amp;TEXT('_Dates'!T649,"dd mmm yyyy")),'_Engine'!K649)</ns0:f>
        <ns0:v/>
      </ns0:c>
    </ns0:row>
    <ns0:row r="650" ht="32" customHeight="1">
      <ns0:c r="A650" s="200"/>
      <ns0:c r="B650" s="201"/>
      <ns0:c r="C650" s="209"/>
      <ns0:c r="D650" s="201"/>
      <ns0:c r="E650" s="209"/>
      <ns0:c r="F650" s="200"/>
      <ns0:c r="G650" s="200"/>
      <ns0:c r="H650" s="210" t="str">
        <ns0:f>IF('_Engine'!A650=0,"",IF('_Engine'!$B$6&gt;0,"REVIEW",IF('_Engine'!L650&gt;0,"REVIEW",'_Engine'!G650)))</ns0:f>
        <ns0:v/>
      </ns0:c>
      <ns0:c r="I650" s="207"/>
      <ns0:c r="J650" s="208" t="str">
        <ns0:f>IF('_Engine'!K650="OK","OK · "&amp;TEXT('_Dates'!J650,"dd mmm yyyy")&amp;IF('_Dates'!J650='_Dates'!T650,""," → "&amp;TEXT('_Dates'!T650,"dd mmm yyyy")),'_Engine'!K650)</ns0:f>
        <ns0:v/>
      </ns0:c>
    </ns0:row>
    <ns0:row r="651" ht="32" customHeight="1">
      <ns0:c r="A651" s="200"/>
      <ns0:c r="B651" s="201"/>
      <ns0:c r="C651" s="209"/>
      <ns0:c r="D651" s="201"/>
      <ns0:c r="E651" s="209"/>
      <ns0:c r="F651" s="200"/>
      <ns0:c r="G651" s="200"/>
      <ns0:c r="H651" s="210" t="str">
        <ns0:f>IF('_Engine'!A651=0,"",IF('_Engine'!$B$6&gt;0,"REVIEW",IF('_Engine'!L651&gt;0,"REVIEW",'_Engine'!G651)))</ns0:f>
        <ns0:v/>
      </ns0:c>
      <ns0:c r="I651" s="207"/>
      <ns0:c r="J651" s="208" t="str">
        <ns0:f>IF('_Engine'!K651="OK","OK · "&amp;TEXT('_Dates'!J651,"dd mmm yyyy")&amp;IF('_Dates'!J651='_Dates'!T651,""," → "&amp;TEXT('_Dates'!T651,"dd mmm yyyy")),'_Engine'!K651)</ns0:f>
        <ns0:v/>
      </ns0:c>
    </ns0:row>
    <ns0:row r="652" ht="32" customHeight="1">
      <ns0:c r="A652" s="200"/>
      <ns0:c r="B652" s="201"/>
      <ns0:c r="C652" s="209"/>
      <ns0:c r="D652" s="201"/>
      <ns0:c r="E652" s="209"/>
      <ns0:c r="F652" s="200"/>
      <ns0:c r="G652" s="200"/>
      <ns0:c r="H652" s="210" t="str">
        <ns0:f>IF('_Engine'!A652=0,"",IF('_Engine'!$B$6&gt;0,"REVIEW",IF('_Engine'!L652&gt;0,"REVIEW",'_Engine'!G652)))</ns0:f>
        <ns0:v/>
      </ns0:c>
      <ns0:c r="I652" s="207"/>
      <ns0:c r="J652" s="208" t="str">
        <ns0:f>IF('_Engine'!K652="OK","OK · "&amp;TEXT('_Dates'!J652,"dd mmm yyyy")&amp;IF('_Dates'!J652='_Dates'!T652,""," → "&amp;TEXT('_Dates'!T652,"dd mmm yyyy")),'_Engine'!K652)</ns0:f>
        <ns0:v/>
      </ns0:c>
    </ns0:row>
    <ns0:row r="653" ht="32" customHeight="1">
      <ns0:c r="A653" s="200"/>
      <ns0:c r="B653" s="201"/>
      <ns0:c r="C653" s="209"/>
      <ns0:c r="D653" s="201"/>
      <ns0:c r="E653" s="209"/>
      <ns0:c r="F653" s="200"/>
      <ns0:c r="G653" s="200"/>
      <ns0:c r="H653" s="210" t="str">
        <ns0:f>IF('_Engine'!A653=0,"",IF('_Engine'!$B$6&gt;0,"REVIEW",IF('_Engine'!L653&gt;0,"REVIEW",'_Engine'!G653)))</ns0:f>
        <ns0:v/>
      </ns0:c>
      <ns0:c r="I653" s="207"/>
      <ns0:c r="J653" s="208" t="str">
        <ns0:f>IF('_Engine'!K653="OK","OK · "&amp;TEXT('_Dates'!J653,"dd mmm yyyy")&amp;IF('_Dates'!J653='_Dates'!T653,""," → "&amp;TEXT('_Dates'!T653,"dd mmm yyyy")),'_Engine'!K653)</ns0:f>
        <ns0:v/>
      </ns0:c>
    </ns0:row>
    <ns0:row r="654" ht="32" customHeight="1">
      <ns0:c r="A654" s="200"/>
      <ns0:c r="B654" s="201"/>
      <ns0:c r="C654" s="209"/>
      <ns0:c r="D654" s="201"/>
      <ns0:c r="E654" s="209"/>
      <ns0:c r="F654" s="200"/>
      <ns0:c r="G654" s="200"/>
      <ns0:c r="H654" s="210" t="str">
        <ns0:f>IF('_Engine'!A654=0,"",IF('_Engine'!$B$6&gt;0,"REVIEW",IF('_Engine'!L654&gt;0,"REVIEW",'_Engine'!G654)))</ns0:f>
        <ns0:v/>
      </ns0:c>
      <ns0:c r="I654" s="207"/>
      <ns0:c r="J654" s="208" t="str">
        <ns0:f>IF('_Engine'!K654="OK","OK · "&amp;TEXT('_Dates'!J654,"dd mmm yyyy")&amp;IF('_Dates'!J654='_Dates'!T654,""," → "&amp;TEXT('_Dates'!T654,"dd mmm yyyy")),'_Engine'!K654)</ns0:f>
        <ns0:v/>
      </ns0:c>
    </ns0:row>
    <ns0:row r="655" ht="32" customHeight="1">
      <ns0:c r="A655" s="200"/>
      <ns0:c r="B655" s="201"/>
      <ns0:c r="C655" s="209"/>
      <ns0:c r="D655" s="201"/>
      <ns0:c r="E655" s="209"/>
      <ns0:c r="F655" s="200"/>
      <ns0:c r="G655" s="200"/>
      <ns0:c r="H655" s="210" t="str">
        <ns0:f>IF('_Engine'!A655=0,"",IF('_Engine'!$B$6&gt;0,"REVIEW",IF('_Engine'!L655&gt;0,"REVIEW",'_Engine'!G655)))</ns0:f>
        <ns0:v/>
      </ns0:c>
      <ns0:c r="I655" s="207"/>
      <ns0:c r="J655" s="208" t="str">
        <ns0:f>IF('_Engine'!K655="OK","OK · "&amp;TEXT('_Dates'!J655,"dd mmm yyyy")&amp;IF('_Dates'!J655='_Dates'!T655,""," → "&amp;TEXT('_Dates'!T655,"dd mmm yyyy")),'_Engine'!K655)</ns0:f>
        <ns0:v/>
      </ns0:c>
    </ns0:row>
    <ns0:row r="656" ht="32" customHeight="1">
      <ns0:c r="A656" s="200"/>
      <ns0:c r="B656" s="201"/>
      <ns0:c r="C656" s="209"/>
      <ns0:c r="D656" s="201"/>
      <ns0:c r="E656" s="209"/>
      <ns0:c r="F656" s="200"/>
      <ns0:c r="G656" s="200"/>
      <ns0:c r="H656" s="210" t="str">
        <ns0:f>IF('_Engine'!A656=0,"",IF('_Engine'!$B$6&gt;0,"REVIEW",IF('_Engine'!L656&gt;0,"REVIEW",'_Engine'!G656)))</ns0:f>
        <ns0:v/>
      </ns0:c>
      <ns0:c r="I656" s="207"/>
      <ns0:c r="J656" s="208" t="str">
        <ns0:f>IF('_Engine'!K656="OK","OK · "&amp;TEXT('_Dates'!J656,"dd mmm yyyy")&amp;IF('_Dates'!J656='_Dates'!T656,""," → "&amp;TEXT('_Dates'!T656,"dd mmm yyyy")),'_Engine'!K656)</ns0:f>
        <ns0:v/>
      </ns0:c>
    </ns0:row>
    <ns0:row r="657" ht="32" customHeight="1">
      <ns0:c r="A657" s="200"/>
      <ns0:c r="B657" s="201"/>
      <ns0:c r="C657" s="209"/>
      <ns0:c r="D657" s="201"/>
      <ns0:c r="E657" s="209"/>
      <ns0:c r="F657" s="200"/>
      <ns0:c r="G657" s="200"/>
      <ns0:c r="H657" s="210" t="str">
        <ns0:f>IF('_Engine'!A657=0,"",IF('_Engine'!$B$6&gt;0,"REVIEW",IF('_Engine'!L657&gt;0,"REVIEW",'_Engine'!G657)))</ns0:f>
        <ns0:v/>
      </ns0:c>
      <ns0:c r="I657" s="207"/>
      <ns0:c r="J657" s="208" t="str">
        <ns0:f>IF('_Engine'!K657="OK","OK · "&amp;TEXT('_Dates'!J657,"dd mmm yyyy")&amp;IF('_Dates'!J657='_Dates'!T657,""," → "&amp;TEXT('_Dates'!T657,"dd mmm yyyy")),'_Engine'!K657)</ns0:f>
        <ns0:v/>
      </ns0:c>
    </ns0:row>
    <ns0:row r="658" ht="32" customHeight="1">
      <ns0:c r="A658" s="200"/>
      <ns0:c r="B658" s="201"/>
      <ns0:c r="C658" s="209"/>
      <ns0:c r="D658" s="201"/>
      <ns0:c r="E658" s="209"/>
      <ns0:c r="F658" s="200"/>
      <ns0:c r="G658" s="200"/>
      <ns0:c r="H658" s="210" t="str">
        <ns0:f>IF('_Engine'!A658=0,"",IF('_Engine'!$B$6&gt;0,"REVIEW",IF('_Engine'!L658&gt;0,"REVIEW",'_Engine'!G658)))</ns0:f>
        <ns0:v/>
      </ns0:c>
      <ns0:c r="I658" s="207"/>
      <ns0:c r="J658" s="208" t="str">
        <ns0:f>IF('_Engine'!K658="OK","OK · "&amp;TEXT('_Dates'!J658,"dd mmm yyyy")&amp;IF('_Dates'!J658='_Dates'!T658,""," → "&amp;TEXT('_Dates'!T658,"dd mmm yyyy")),'_Engine'!K658)</ns0:f>
        <ns0:v/>
      </ns0:c>
    </ns0:row>
    <ns0:row r="659" ht="32" customHeight="1">
      <ns0:c r="A659" s="200"/>
      <ns0:c r="B659" s="201"/>
      <ns0:c r="C659" s="209"/>
      <ns0:c r="D659" s="201"/>
      <ns0:c r="E659" s="209"/>
      <ns0:c r="F659" s="200"/>
      <ns0:c r="G659" s="200"/>
      <ns0:c r="H659" s="210" t="str">
        <ns0:f>IF('_Engine'!A659=0,"",IF('_Engine'!$B$6&gt;0,"REVIEW",IF('_Engine'!L659&gt;0,"REVIEW",'_Engine'!G659)))</ns0:f>
        <ns0:v/>
      </ns0:c>
      <ns0:c r="I659" s="207"/>
      <ns0:c r="J659" s="208" t="str">
        <ns0:f>IF('_Engine'!K659="OK","OK · "&amp;TEXT('_Dates'!J659,"dd mmm yyyy")&amp;IF('_Dates'!J659='_Dates'!T659,""," → "&amp;TEXT('_Dates'!T659,"dd mmm yyyy")),'_Engine'!K659)</ns0:f>
        <ns0:v/>
      </ns0:c>
    </ns0:row>
    <ns0:row r="660" ht="32" customHeight="1">
      <ns0:c r="A660" s="200"/>
      <ns0:c r="B660" s="201"/>
      <ns0:c r="C660" s="209"/>
      <ns0:c r="D660" s="201"/>
      <ns0:c r="E660" s="209"/>
      <ns0:c r="F660" s="200"/>
      <ns0:c r="G660" s="200"/>
      <ns0:c r="H660" s="210" t="str">
        <ns0:f>IF('_Engine'!A660=0,"",IF('_Engine'!$B$6&gt;0,"REVIEW",IF('_Engine'!L660&gt;0,"REVIEW",'_Engine'!G660)))</ns0:f>
        <ns0:v/>
      </ns0:c>
      <ns0:c r="I660" s="207"/>
      <ns0:c r="J660" s="208" t="str">
        <ns0:f>IF('_Engine'!K660="OK","OK · "&amp;TEXT('_Dates'!J660,"dd mmm yyyy")&amp;IF('_Dates'!J660='_Dates'!T660,""," → "&amp;TEXT('_Dates'!T660,"dd mmm yyyy")),'_Engine'!K660)</ns0:f>
        <ns0:v/>
      </ns0:c>
    </ns0:row>
    <ns0:row r="661" ht="32" customHeight="1">
      <ns0:c r="A661" s="200"/>
      <ns0:c r="B661" s="201"/>
      <ns0:c r="C661" s="209"/>
      <ns0:c r="D661" s="201"/>
      <ns0:c r="E661" s="209"/>
      <ns0:c r="F661" s="200"/>
      <ns0:c r="G661" s="200"/>
      <ns0:c r="H661" s="210" t="str">
        <ns0:f>IF('_Engine'!A661=0,"",IF('_Engine'!$B$6&gt;0,"REVIEW",IF('_Engine'!L661&gt;0,"REVIEW",'_Engine'!G661)))</ns0:f>
        <ns0:v/>
      </ns0:c>
      <ns0:c r="I661" s="207"/>
      <ns0:c r="J661" s="208" t="str">
        <ns0:f>IF('_Engine'!K661="OK","OK · "&amp;TEXT('_Dates'!J661,"dd mmm yyyy")&amp;IF('_Dates'!J661='_Dates'!T661,""," → "&amp;TEXT('_Dates'!T661,"dd mmm yyyy")),'_Engine'!K661)</ns0:f>
        <ns0:v/>
      </ns0:c>
    </ns0:row>
    <ns0:row r="662" ht="32" customHeight="1">
      <ns0:c r="A662" s="200"/>
      <ns0:c r="B662" s="201"/>
      <ns0:c r="C662" s="209"/>
      <ns0:c r="D662" s="201"/>
      <ns0:c r="E662" s="209"/>
      <ns0:c r="F662" s="200"/>
      <ns0:c r="G662" s="200"/>
      <ns0:c r="H662" s="210" t="str">
        <ns0:f>IF('_Engine'!A662=0,"",IF('_Engine'!$B$6&gt;0,"REVIEW",IF('_Engine'!L662&gt;0,"REVIEW",'_Engine'!G662)))</ns0:f>
        <ns0:v/>
      </ns0:c>
      <ns0:c r="I662" s="207"/>
      <ns0:c r="J662" s="208" t="str">
        <ns0:f>IF('_Engine'!K662="OK","OK · "&amp;TEXT('_Dates'!J662,"dd mmm yyyy")&amp;IF('_Dates'!J662='_Dates'!T662,""," → "&amp;TEXT('_Dates'!T662,"dd mmm yyyy")),'_Engine'!K662)</ns0:f>
        <ns0:v/>
      </ns0:c>
    </ns0:row>
    <ns0:row r="663" ht="32" customHeight="1">
      <ns0:c r="A663" s="200"/>
      <ns0:c r="B663" s="201"/>
      <ns0:c r="C663" s="209"/>
      <ns0:c r="D663" s="201"/>
      <ns0:c r="E663" s="209"/>
      <ns0:c r="F663" s="200"/>
      <ns0:c r="G663" s="200"/>
      <ns0:c r="H663" s="210" t="str">
        <ns0:f>IF('_Engine'!A663=0,"",IF('_Engine'!$B$6&gt;0,"REVIEW",IF('_Engine'!L663&gt;0,"REVIEW",'_Engine'!G663)))</ns0:f>
        <ns0:v/>
      </ns0:c>
      <ns0:c r="I663" s="207"/>
      <ns0:c r="J663" s="208" t="str">
        <ns0:f>IF('_Engine'!K663="OK","OK · "&amp;TEXT('_Dates'!J663,"dd mmm yyyy")&amp;IF('_Dates'!J663='_Dates'!T663,""," → "&amp;TEXT('_Dates'!T663,"dd mmm yyyy")),'_Engine'!K663)</ns0:f>
        <ns0:v/>
      </ns0:c>
    </ns0:row>
    <ns0:row r="664" ht="32" customHeight="1">
      <ns0:c r="A664" s="200"/>
      <ns0:c r="B664" s="201"/>
      <ns0:c r="C664" s="209"/>
      <ns0:c r="D664" s="201"/>
      <ns0:c r="E664" s="209"/>
      <ns0:c r="F664" s="200"/>
      <ns0:c r="G664" s="200"/>
      <ns0:c r="H664" s="210" t="str">
        <ns0:f>IF('_Engine'!A664=0,"",IF('_Engine'!$B$6&gt;0,"REVIEW",IF('_Engine'!L664&gt;0,"REVIEW",'_Engine'!G664)))</ns0:f>
        <ns0:v/>
      </ns0:c>
      <ns0:c r="I664" s="207"/>
      <ns0:c r="J664" s="208" t="str">
        <ns0:f>IF('_Engine'!K664="OK","OK · "&amp;TEXT('_Dates'!J664,"dd mmm yyyy")&amp;IF('_Dates'!J664='_Dates'!T664,""," → "&amp;TEXT('_Dates'!T664,"dd mmm yyyy")),'_Engine'!K664)</ns0:f>
        <ns0:v/>
      </ns0:c>
    </ns0:row>
    <ns0:row r="665" ht="32" customHeight="1">
      <ns0:c r="A665" s="200"/>
      <ns0:c r="B665" s="201"/>
      <ns0:c r="C665" s="209"/>
      <ns0:c r="D665" s="201"/>
      <ns0:c r="E665" s="209"/>
      <ns0:c r="F665" s="200"/>
      <ns0:c r="G665" s="200"/>
      <ns0:c r="H665" s="210" t="str">
        <ns0:f>IF('_Engine'!A665=0,"",IF('_Engine'!$B$6&gt;0,"REVIEW",IF('_Engine'!L665&gt;0,"REVIEW",'_Engine'!G665)))</ns0:f>
        <ns0:v/>
      </ns0:c>
      <ns0:c r="I665" s="207"/>
      <ns0:c r="J665" s="208" t="str">
        <ns0:f>IF('_Engine'!K665="OK","OK · "&amp;TEXT('_Dates'!J665,"dd mmm yyyy")&amp;IF('_Dates'!J665='_Dates'!T665,""," → "&amp;TEXT('_Dates'!T665,"dd mmm yyyy")),'_Engine'!K665)</ns0:f>
        <ns0:v/>
      </ns0:c>
    </ns0:row>
    <ns0:row r="666" ht="32" customHeight="1">
      <ns0:c r="A666" s="200"/>
      <ns0:c r="B666" s="201"/>
      <ns0:c r="C666" s="209"/>
      <ns0:c r="D666" s="201"/>
      <ns0:c r="E666" s="209"/>
      <ns0:c r="F666" s="200"/>
      <ns0:c r="G666" s="200"/>
      <ns0:c r="H666" s="210" t="str">
        <ns0:f>IF('_Engine'!A666=0,"",IF('_Engine'!$B$6&gt;0,"REVIEW",IF('_Engine'!L666&gt;0,"REVIEW",'_Engine'!G666)))</ns0:f>
        <ns0:v/>
      </ns0:c>
      <ns0:c r="I666" s="207"/>
      <ns0:c r="J666" s="208" t="str">
        <ns0:f>IF('_Engine'!K666="OK","OK · "&amp;TEXT('_Dates'!J666,"dd mmm yyyy")&amp;IF('_Dates'!J666='_Dates'!T666,""," → "&amp;TEXT('_Dates'!T666,"dd mmm yyyy")),'_Engine'!K666)</ns0:f>
        <ns0:v/>
      </ns0:c>
    </ns0:row>
    <ns0:row r="667" ht="32" customHeight="1">
      <ns0:c r="A667" s="200"/>
      <ns0:c r="B667" s="201"/>
      <ns0:c r="C667" s="209"/>
      <ns0:c r="D667" s="201"/>
      <ns0:c r="E667" s="209"/>
      <ns0:c r="F667" s="200"/>
      <ns0:c r="G667" s="200"/>
      <ns0:c r="H667" s="210" t="str">
        <ns0:f>IF('_Engine'!A667=0,"",IF('_Engine'!$B$6&gt;0,"REVIEW",IF('_Engine'!L667&gt;0,"REVIEW",'_Engine'!G667)))</ns0:f>
        <ns0:v/>
      </ns0:c>
      <ns0:c r="I667" s="207"/>
      <ns0:c r="J667" s="208" t="str">
        <ns0:f>IF('_Engine'!K667="OK","OK · "&amp;TEXT('_Dates'!J667,"dd mmm yyyy")&amp;IF('_Dates'!J667='_Dates'!T667,""," → "&amp;TEXT('_Dates'!T667,"dd mmm yyyy")),'_Engine'!K667)</ns0:f>
        <ns0:v/>
      </ns0:c>
    </ns0:row>
    <ns0:row r="668" ht="32" customHeight="1">
      <ns0:c r="A668" s="200"/>
      <ns0:c r="B668" s="201"/>
      <ns0:c r="C668" s="209"/>
      <ns0:c r="D668" s="201"/>
      <ns0:c r="E668" s="209"/>
      <ns0:c r="F668" s="200"/>
      <ns0:c r="G668" s="200"/>
      <ns0:c r="H668" s="210" t="str">
        <ns0:f>IF('_Engine'!A668=0,"",IF('_Engine'!$B$6&gt;0,"REVIEW",IF('_Engine'!L668&gt;0,"REVIEW",'_Engine'!G668)))</ns0:f>
        <ns0:v/>
      </ns0:c>
      <ns0:c r="I668" s="207"/>
      <ns0:c r="J668" s="208" t="str">
        <ns0:f>IF('_Engine'!K668="OK","OK · "&amp;TEXT('_Dates'!J668,"dd mmm yyyy")&amp;IF('_Dates'!J668='_Dates'!T668,""," → "&amp;TEXT('_Dates'!T668,"dd mmm yyyy")),'_Engine'!K668)</ns0:f>
        <ns0:v/>
      </ns0:c>
    </ns0:row>
    <ns0:row r="669" ht="32" customHeight="1">
      <ns0:c r="A669" s="200"/>
      <ns0:c r="B669" s="201"/>
      <ns0:c r="C669" s="209"/>
      <ns0:c r="D669" s="201"/>
      <ns0:c r="E669" s="209"/>
      <ns0:c r="F669" s="200"/>
      <ns0:c r="G669" s="200"/>
      <ns0:c r="H669" s="210" t="str">
        <ns0:f>IF('_Engine'!A669=0,"",IF('_Engine'!$B$6&gt;0,"REVIEW",IF('_Engine'!L669&gt;0,"REVIEW",'_Engine'!G669)))</ns0:f>
        <ns0:v/>
      </ns0:c>
      <ns0:c r="I669" s="207"/>
      <ns0:c r="J669" s="208" t="str">
        <ns0:f>IF('_Engine'!K669="OK","OK · "&amp;TEXT('_Dates'!J669,"dd mmm yyyy")&amp;IF('_Dates'!J669='_Dates'!T669,""," → "&amp;TEXT('_Dates'!T669,"dd mmm yyyy")),'_Engine'!K669)</ns0:f>
        <ns0:v/>
      </ns0:c>
    </ns0:row>
    <ns0:row r="670" ht="32" customHeight="1">
      <ns0:c r="A670" s="200"/>
      <ns0:c r="B670" s="201"/>
      <ns0:c r="C670" s="209"/>
      <ns0:c r="D670" s="201"/>
      <ns0:c r="E670" s="209"/>
      <ns0:c r="F670" s="200"/>
      <ns0:c r="G670" s="200"/>
      <ns0:c r="H670" s="210" t="str">
        <ns0:f>IF('_Engine'!A670=0,"",IF('_Engine'!$B$6&gt;0,"REVIEW",IF('_Engine'!L670&gt;0,"REVIEW",'_Engine'!G670)))</ns0:f>
        <ns0:v/>
      </ns0:c>
      <ns0:c r="I670" s="207"/>
      <ns0:c r="J670" s="208" t="str">
        <ns0:f>IF('_Engine'!K670="OK","OK · "&amp;TEXT('_Dates'!J670,"dd mmm yyyy")&amp;IF('_Dates'!J670='_Dates'!T670,""," → "&amp;TEXT('_Dates'!T670,"dd mmm yyyy")),'_Engine'!K670)</ns0:f>
        <ns0:v/>
      </ns0:c>
    </ns0:row>
    <ns0:row r="671" ht="32" customHeight="1">
      <ns0:c r="A671" s="200"/>
      <ns0:c r="B671" s="201"/>
      <ns0:c r="C671" s="209"/>
      <ns0:c r="D671" s="201"/>
      <ns0:c r="E671" s="209"/>
      <ns0:c r="F671" s="200"/>
      <ns0:c r="G671" s="200"/>
      <ns0:c r="H671" s="210" t="str">
        <ns0:f>IF('_Engine'!A671=0,"",IF('_Engine'!$B$6&gt;0,"REVIEW",IF('_Engine'!L671&gt;0,"REVIEW",'_Engine'!G671)))</ns0:f>
        <ns0:v/>
      </ns0:c>
      <ns0:c r="I671" s="207"/>
      <ns0:c r="J671" s="208" t="str">
        <ns0:f>IF('_Engine'!K671="OK","OK · "&amp;TEXT('_Dates'!J671,"dd mmm yyyy")&amp;IF('_Dates'!J671='_Dates'!T671,""," → "&amp;TEXT('_Dates'!T671,"dd mmm yyyy")),'_Engine'!K671)</ns0:f>
        <ns0:v/>
      </ns0:c>
    </ns0:row>
    <ns0:row r="672" ht="32" customHeight="1">
      <ns0:c r="A672" s="200"/>
      <ns0:c r="B672" s="201"/>
      <ns0:c r="C672" s="209"/>
      <ns0:c r="D672" s="201"/>
      <ns0:c r="E672" s="209"/>
      <ns0:c r="F672" s="200"/>
      <ns0:c r="G672" s="200"/>
      <ns0:c r="H672" s="210" t="str">
        <ns0:f>IF('_Engine'!A672=0,"",IF('_Engine'!$B$6&gt;0,"REVIEW",IF('_Engine'!L672&gt;0,"REVIEW",'_Engine'!G672)))</ns0:f>
        <ns0:v/>
      </ns0:c>
      <ns0:c r="I672" s="207"/>
      <ns0:c r="J672" s="208" t="str">
        <ns0:f>IF('_Engine'!K672="OK","OK · "&amp;TEXT('_Dates'!J672,"dd mmm yyyy")&amp;IF('_Dates'!J672='_Dates'!T672,""," → "&amp;TEXT('_Dates'!T672,"dd mmm yyyy")),'_Engine'!K672)</ns0:f>
        <ns0:v/>
      </ns0:c>
    </ns0:row>
    <ns0:row r="673" ht="32" customHeight="1">
      <ns0:c r="A673" s="200"/>
      <ns0:c r="B673" s="201"/>
      <ns0:c r="C673" s="209"/>
      <ns0:c r="D673" s="201"/>
      <ns0:c r="E673" s="209"/>
      <ns0:c r="F673" s="200"/>
      <ns0:c r="G673" s="200"/>
      <ns0:c r="H673" s="210" t="str">
        <ns0:f>IF('_Engine'!A673=0,"",IF('_Engine'!$B$6&gt;0,"REVIEW",IF('_Engine'!L673&gt;0,"REVIEW",'_Engine'!G673)))</ns0:f>
        <ns0:v/>
      </ns0:c>
      <ns0:c r="I673" s="207"/>
      <ns0:c r="J673" s="208" t="str">
        <ns0:f>IF('_Engine'!K673="OK","OK · "&amp;TEXT('_Dates'!J673,"dd mmm yyyy")&amp;IF('_Dates'!J673='_Dates'!T673,""," → "&amp;TEXT('_Dates'!T673,"dd mmm yyyy")),'_Engine'!K673)</ns0:f>
        <ns0:v/>
      </ns0:c>
    </ns0:row>
    <ns0:row r="674" ht="32" customHeight="1">
      <ns0:c r="A674" s="200"/>
      <ns0:c r="B674" s="201"/>
      <ns0:c r="C674" s="209"/>
      <ns0:c r="D674" s="201"/>
      <ns0:c r="E674" s="209"/>
      <ns0:c r="F674" s="200"/>
      <ns0:c r="G674" s="200"/>
      <ns0:c r="H674" s="210" t="str">
        <ns0:f>IF('_Engine'!A674=0,"",IF('_Engine'!$B$6&gt;0,"REVIEW",IF('_Engine'!L674&gt;0,"REVIEW",'_Engine'!G674)))</ns0:f>
        <ns0:v/>
      </ns0:c>
      <ns0:c r="I674" s="207"/>
      <ns0:c r="J674" s="208" t="str">
        <ns0:f>IF('_Engine'!K674="OK","OK · "&amp;TEXT('_Dates'!J674,"dd mmm yyyy")&amp;IF('_Dates'!J674='_Dates'!T674,""," → "&amp;TEXT('_Dates'!T674,"dd mmm yyyy")),'_Engine'!K674)</ns0:f>
        <ns0:v/>
      </ns0:c>
    </ns0:row>
    <ns0:row r="675" ht="32" customHeight="1">
      <ns0:c r="A675" s="200"/>
      <ns0:c r="B675" s="201"/>
      <ns0:c r="C675" s="209"/>
      <ns0:c r="D675" s="201"/>
      <ns0:c r="E675" s="209"/>
      <ns0:c r="F675" s="200"/>
      <ns0:c r="G675" s="200"/>
      <ns0:c r="H675" s="210" t="str">
        <ns0:f>IF('_Engine'!A675=0,"",IF('_Engine'!$B$6&gt;0,"REVIEW",IF('_Engine'!L675&gt;0,"REVIEW",'_Engine'!G675)))</ns0:f>
        <ns0:v/>
      </ns0:c>
      <ns0:c r="I675" s="207"/>
      <ns0:c r="J675" s="208" t="str">
        <ns0:f>IF('_Engine'!K675="OK","OK · "&amp;TEXT('_Dates'!J675,"dd mmm yyyy")&amp;IF('_Dates'!J675='_Dates'!T675,""," → "&amp;TEXT('_Dates'!T675,"dd mmm yyyy")),'_Engine'!K675)</ns0:f>
        <ns0:v/>
      </ns0:c>
    </ns0:row>
    <ns0:row r="676" ht="32" customHeight="1">
      <ns0:c r="A676" s="200"/>
      <ns0:c r="B676" s="201"/>
      <ns0:c r="C676" s="209"/>
      <ns0:c r="D676" s="201"/>
      <ns0:c r="E676" s="209"/>
      <ns0:c r="F676" s="200"/>
      <ns0:c r="G676" s="200"/>
      <ns0:c r="H676" s="210" t="str">
        <ns0:f>IF('_Engine'!A676=0,"",IF('_Engine'!$B$6&gt;0,"REVIEW",IF('_Engine'!L676&gt;0,"REVIEW",'_Engine'!G676)))</ns0:f>
        <ns0:v/>
      </ns0:c>
      <ns0:c r="I676" s="207"/>
      <ns0:c r="J676" s="208" t="str">
        <ns0:f>IF('_Engine'!K676="OK","OK · "&amp;TEXT('_Dates'!J676,"dd mmm yyyy")&amp;IF('_Dates'!J676='_Dates'!T676,""," → "&amp;TEXT('_Dates'!T676,"dd mmm yyyy")),'_Engine'!K676)</ns0:f>
        <ns0:v/>
      </ns0:c>
    </ns0:row>
    <ns0:row r="677" ht="32" customHeight="1">
      <ns0:c r="A677" s="200"/>
      <ns0:c r="B677" s="201"/>
      <ns0:c r="C677" s="209"/>
      <ns0:c r="D677" s="201"/>
      <ns0:c r="E677" s="209"/>
      <ns0:c r="F677" s="200"/>
      <ns0:c r="G677" s="200"/>
      <ns0:c r="H677" s="210" t="str">
        <ns0:f>IF('_Engine'!A677=0,"",IF('_Engine'!$B$6&gt;0,"REVIEW",IF('_Engine'!L677&gt;0,"REVIEW",'_Engine'!G677)))</ns0:f>
        <ns0:v/>
      </ns0:c>
      <ns0:c r="I677" s="207"/>
      <ns0:c r="J677" s="208" t="str">
        <ns0:f>IF('_Engine'!K677="OK","OK · "&amp;TEXT('_Dates'!J677,"dd mmm yyyy")&amp;IF('_Dates'!J677='_Dates'!T677,""," → "&amp;TEXT('_Dates'!T677,"dd mmm yyyy")),'_Engine'!K677)</ns0:f>
        <ns0:v/>
      </ns0:c>
    </ns0:row>
    <ns0:row r="678" ht="32" customHeight="1">
      <ns0:c r="A678" s="200"/>
      <ns0:c r="B678" s="201"/>
      <ns0:c r="C678" s="209"/>
      <ns0:c r="D678" s="201"/>
      <ns0:c r="E678" s="209"/>
      <ns0:c r="F678" s="200"/>
      <ns0:c r="G678" s="200"/>
      <ns0:c r="H678" s="210" t="str">
        <ns0:f>IF('_Engine'!A678=0,"",IF('_Engine'!$B$6&gt;0,"REVIEW",IF('_Engine'!L678&gt;0,"REVIEW",'_Engine'!G678)))</ns0:f>
        <ns0:v/>
      </ns0:c>
      <ns0:c r="I678" s="207"/>
      <ns0:c r="J678" s="208" t="str">
        <ns0:f>IF('_Engine'!K678="OK","OK · "&amp;TEXT('_Dates'!J678,"dd mmm yyyy")&amp;IF('_Dates'!J678='_Dates'!T678,""," → "&amp;TEXT('_Dates'!T678,"dd mmm yyyy")),'_Engine'!K678)</ns0:f>
        <ns0:v/>
      </ns0:c>
    </ns0:row>
    <ns0:row r="679" ht="32" customHeight="1">
      <ns0:c r="A679" s="200"/>
      <ns0:c r="B679" s="201"/>
      <ns0:c r="C679" s="209"/>
      <ns0:c r="D679" s="201"/>
      <ns0:c r="E679" s="209"/>
      <ns0:c r="F679" s="200"/>
      <ns0:c r="G679" s="200"/>
      <ns0:c r="H679" s="210" t="str">
        <ns0:f>IF('_Engine'!A679=0,"",IF('_Engine'!$B$6&gt;0,"REVIEW",IF('_Engine'!L679&gt;0,"REVIEW",'_Engine'!G679)))</ns0:f>
        <ns0:v/>
      </ns0:c>
      <ns0:c r="I679" s="207"/>
      <ns0:c r="J679" s="208" t="str">
        <ns0:f>IF('_Engine'!K679="OK","OK · "&amp;TEXT('_Dates'!J679,"dd mmm yyyy")&amp;IF('_Dates'!J679='_Dates'!T679,""," → "&amp;TEXT('_Dates'!T679,"dd mmm yyyy")),'_Engine'!K679)</ns0:f>
        <ns0:v/>
      </ns0:c>
    </ns0:row>
    <ns0:row r="680" ht="32" customHeight="1">
      <ns0:c r="A680" s="200"/>
      <ns0:c r="B680" s="201"/>
      <ns0:c r="C680" s="209"/>
      <ns0:c r="D680" s="201"/>
      <ns0:c r="E680" s="209"/>
      <ns0:c r="F680" s="200"/>
      <ns0:c r="G680" s="200"/>
      <ns0:c r="H680" s="210" t="str">
        <ns0:f>IF('_Engine'!A680=0,"",IF('_Engine'!$B$6&gt;0,"REVIEW",IF('_Engine'!L680&gt;0,"REVIEW",'_Engine'!G680)))</ns0:f>
        <ns0:v/>
      </ns0:c>
      <ns0:c r="I680" s="207"/>
      <ns0:c r="J680" s="208" t="str">
        <ns0:f>IF('_Engine'!K680="OK","OK · "&amp;TEXT('_Dates'!J680,"dd mmm yyyy")&amp;IF('_Dates'!J680='_Dates'!T680,""," → "&amp;TEXT('_Dates'!T680,"dd mmm yyyy")),'_Engine'!K680)</ns0:f>
        <ns0:v/>
      </ns0:c>
    </ns0:row>
    <ns0:row r="681" ht="32" customHeight="1">
      <ns0:c r="A681" s="200"/>
      <ns0:c r="B681" s="201"/>
      <ns0:c r="C681" s="209"/>
      <ns0:c r="D681" s="201"/>
      <ns0:c r="E681" s="209"/>
      <ns0:c r="F681" s="200"/>
      <ns0:c r="G681" s="200"/>
      <ns0:c r="H681" s="210" t="str">
        <ns0:f>IF('_Engine'!A681=0,"",IF('_Engine'!$B$6&gt;0,"REVIEW",IF('_Engine'!L681&gt;0,"REVIEW",'_Engine'!G681)))</ns0:f>
        <ns0:v/>
      </ns0:c>
      <ns0:c r="I681" s="207"/>
      <ns0:c r="J681" s="208" t="str">
        <ns0:f>IF('_Engine'!K681="OK","OK · "&amp;TEXT('_Dates'!J681,"dd mmm yyyy")&amp;IF('_Dates'!J681='_Dates'!T681,""," → "&amp;TEXT('_Dates'!T681,"dd mmm yyyy")),'_Engine'!K681)</ns0:f>
        <ns0:v/>
      </ns0:c>
    </ns0:row>
    <ns0:row r="682" ht="32" customHeight="1">
      <ns0:c r="A682" s="200"/>
      <ns0:c r="B682" s="201"/>
      <ns0:c r="C682" s="209"/>
      <ns0:c r="D682" s="201"/>
      <ns0:c r="E682" s="209"/>
      <ns0:c r="F682" s="200"/>
      <ns0:c r="G682" s="200"/>
      <ns0:c r="H682" s="210" t="str">
        <ns0:f>IF('_Engine'!A682=0,"",IF('_Engine'!$B$6&gt;0,"REVIEW",IF('_Engine'!L682&gt;0,"REVIEW",'_Engine'!G682)))</ns0:f>
        <ns0:v/>
      </ns0:c>
      <ns0:c r="I682" s="207"/>
      <ns0:c r="J682" s="208" t="str">
        <ns0:f>IF('_Engine'!K682="OK","OK · "&amp;TEXT('_Dates'!J682,"dd mmm yyyy")&amp;IF('_Dates'!J682='_Dates'!T682,""," → "&amp;TEXT('_Dates'!T682,"dd mmm yyyy")),'_Engine'!K682)</ns0:f>
        <ns0:v/>
      </ns0:c>
    </ns0:row>
    <ns0:row r="683" ht="32" customHeight="1">
      <ns0:c r="A683" s="200"/>
      <ns0:c r="B683" s="201"/>
      <ns0:c r="C683" s="209"/>
      <ns0:c r="D683" s="201"/>
      <ns0:c r="E683" s="209"/>
      <ns0:c r="F683" s="200"/>
      <ns0:c r="G683" s="200"/>
      <ns0:c r="H683" s="210" t="str">
        <ns0:f>IF('_Engine'!A683=0,"",IF('_Engine'!$B$6&gt;0,"REVIEW",IF('_Engine'!L683&gt;0,"REVIEW",'_Engine'!G683)))</ns0:f>
        <ns0:v/>
      </ns0:c>
      <ns0:c r="I683" s="207"/>
      <ns0:c r="J683" s="208" t="str">
        <ns0:f>IF('_Engine'!K683="OK","OK · "&amp;TEXT('_Dates'!J683,"dd mmm yyyy")&amp;IF('_Dates'!J683='_Dates'!T683,""," → "&amp;TEXT('_Dates'!T683,"dd mmm yyyy")),'_Engine'!K683)</ns0:f>
        <ns0:v/>
      </ns0:c>
    </ns0:row>
    <ns0:row r="684" ht="32" customHeight="1">
      <ns0:c r="A684" s="200"/>
      <ns0:c r="B684" s="201"/>
      <ns0:c r="C684" s="209"/>
      <ns0:c r="D684" s="201"/>
      <ns0:c r="E684" s="209"/>
      <ns0:c r="F684" s="200"/>
      <ns0:c r="G684" s="200"/>
      <ns0:c r="H684" s="210" t="str">
        <ns0:f>IF('_Engine'!A684=0,"",IF('_Engine'!$B$6&gt;0,"REVIEW",IF('_Engine'!L684&gt;0,"REVIEW",'_Engine'!G684)))</ns0:f>
        <ns0:v/>
      </ns0:c>
      <ns0:c r="I684" s="207"/>
      <ns0:c r="J684" s="208" t="str">
        <ns0:f>IF('_Engine'!K684="OK","OK · "&amp;TEXT('_Dates'!J684,"dd mmm yyyy")&amp;IF('_Dates'!J684='_Dates'!T684,""," → "&amp;TEXT('_Dates'!T684,"dd mmm yyyy")),'_Engine'!K684)</ns0:f>
        <ns0:v/>
      </ns0:c>
    </ns0:row>
    <ns0:row r="685" ht="32" customHeight="1">
      <ns0:c r="A685" s="200"/>
      <ns0:c r="B685" s="201"/>
      <ns0:c r="C685" s="209"/>
      <ns0:c r="D685" s="201"/>
      <ns0:c r="E685" s="209"/>
      <ns0:c r="F685" s="200"/>
      <ns0:c r="G685" s="200"/>
      <ns0:c r="H685" s="210" t="str">
        <ns0:f>IF('_Engine'!A685=0,"",IF('_Engine'!$B$6&gt;0,"REVIEW",IF('_Engine'!L685&gt;0,"REVIEW",'_Engine'!G685)))</ns0:f>
        <ns0:v/>
      </ns0:c>
      <ns0:c r="I685" s="207"/>
      <ns0:c r="J685" s="208" t="str">
        <ns0:f>IF('_Engine'!K685="OK","OK · "&amp;TEXT('_Dates'!J685,"dd mmm yyyy")&amp;IF('_Dates'!J685='_Dates'!T685,""," → "&amp;TEXT('_Dates'!T685,"dd mmm yyyy")),'_Engine'!K685)</ns0:f>
        <ns0:v/>
      </ns0:c>
    </ns0:row>
    <ns0:row r="686" ht="32" customHeight="1">
      <ns0:c r="A686" s="200"/>
      <ns0:c r="B686" s="201"/>
      <ns0:c r="C686" s="209"/>
      <ns0:c r="D686" s="201"/>
      <ns0:c r="E686" s="209"/>
      <ns0:c r="F686" s="200"/>
      <ns0:c r="G686" s="200"/>
      <ns0:c r="H686" s="210" t="str">
        <ns0:f>IF('_Engine'!A686=0,"",IF('_Engine'!$B$6&gt;0,"REVIEW",IF('_Engine'!L686&gt;0,"REVIEW",'_Engine'!G686)))</ns0:f>
        <ns0:v/>
      </ns0:c>
      <ns0:c r="I686" s="207"/>
      <ns0:c r="J686" s="208" t="str">
        <ns0:f>IF('_Engine'!K686="OK","OK · "&amp;TEXT('_Dates'!J686,"dd mmm yyyy")&amp;IF('_Dates'!J686='_Dates'!T686,""," → "&amp;TEXT('_Dates'!T686,"dd mmm yyyy")),'_Engine'!K686)</ns0:f>
        <ns0:v/>
      </ns0:c>
    </ns0:row>
    <ns0:row r="687" ht="32" customHeight="1">
      <ns0:c r="A687" s="200"/>
      <ns0:c r="B687" s="201"/>
      <ns0:c r="C687" s="209"/>
      <ns0:c r="D687" s="201"/>
      <ns0:c r="E687" s="209"/>
      <ns0:c r="F687" s="200"/>
      <ns0:c r="G687" s="200"/>
      <ns0:c r="H687" s="210" t="str">
        <ns0:f>IF('_Engine'!A687=0,"",IF('_Engine'!$B$6&gt;0,"REVIEW",IF('_Engine'!L687&gt;0,"REVIEW",'_Engine'!G687)))</ns0:f>
        <ns0:v/>
      </ns0:c>
      <ns0:c r="I687" s="207"/>
      <ns0:c r="J687" s="208" t="str">
        <ns0:f>IF('_Engine'!K687="OK","OK · "&amp;TEXT('_Dates'!J687,"dd mmm yyyy")&amp;IF('_Dates'!J687='_Dates'!T687,""," → "&amp;TEXT('_Dates'!T687,"dd mmm yyyy")),'_Engine'!K687)</ns0:f>
        <ns0:v/>
      </ns0:c>
    </ns0:row>
    <ns0:row r="688" ht="32" customHeight="1">
      <ns0:c r="A688" s="200"/>
      <ns0:c r="B688" s="201"/>
      <ns0:c r="C688" s="209"/>
      <ns0:c r="D688" s="201"/>
      <ns0:c r="E688" s="209"/>
      <ns0:c r="F688" s="200"/>
      <ns0:c r="G688" s="200"/>
      <ns0:c r="H688" s="210" t="str">
        <ns0:f>IF('_Engine'!A688=0,"",IF('_Engine'!$B$6&gt;0,"REVIEW",IF('_Engine'!L688&gt;0,"REVIEW",'_Engine'!G688)))</ns0:f>
        <ns0:v/>
      </ns0:c>
      <ns0:c r="I688" s="207"/>
      <ns0:c r="J688" s="208" t="str">
        <ns0:f>IF('_Engine'!K688="OK","OK · "&amp;TEXT('_Dates'!J688,"dd mmm yyyy")&amp;IF('_Dates'!J688='_Dates'!T688,""," → "&amp;TEXT('_Dates'!T688,"dd mmm yyyy")),'_Engine'!K688)</ns0:f>
        <ns0:v/>
      </ns0:c>
    </ns0:row>
    <ns0:row r="689" ht="32" customHeight="1">
      <ns0:c r="A689" s="200"/>
      <ns0:c r="B689" s="201"/>
      <ns0:c r="C689" s="209"/>
      <ns0:c r="D689" s="201"/>
      <ns0:c r="E689" s="209"/>
      <ns0:c r="F689" s="200"/>
      <ns0:c r="G689" s="200"/>
      <ns0:c r="H689" s="210" t="str">
        <ns0:f>IF('_Engine'!A689=0,"",IF('_Engine'!$B$6&gt;0,"REVIEW",IF('_Engine'!L689&gt;0,"REVIEW",'_Engine'!G689)))</ns0:f>
        <ns0:v/>
      </ns0:c>
      <ns0:c r="I689" s="207"/>
      <ns0:c r="J689" s="208" t="str">
        <ns0:f>IF('_Engine'!K689="OK","OK · "&amp;TEXT('_Dates'!J689,"dd mmm yyyy")&amp;IF('_Dates'!J689='_Dates'!T689,""," → "&amp;TEXT('_Dates'!T689,"dd mmm yyyy")),'_Engine'!K689)</ns0:f>
        <ns0:v/>
      </ns0:c>
    </ns0:row>
    <ns0:row r="690" ht="32" customHeight="1">
      <ns0:c r="A690" s="200"/>
      <ns0:c r="B690" s="201"/>
      <ns0:c r="C690" s="209"/>
      <ns0:c r="D690" s="201"/>
      <ns0:c r="E690" s="209"/>
      <ns0:c r="F690" s="200"/>
      <ns0:c r="G690" s="200"/>
      <ns0:c r="H690" s="210" t="str">
        <ns0:f>IF('_Engine'!A690=0,"",IF('_Engine'!$B$6&gt;0,"REVIEW",IF('_Engine'!L690&gt;0,"REVIEW",'_Engine'!G690)))</ns0:f>
        <ns0:v/>
      </ns0:c>
      <ns0:c r="I690" s="207"/>
      <ns0:c r="J690" s="208" t="str">
        <ns0:f>IF('_Engine'!K690="OK","OK · "&amp;TEXT('_Dates'!J690,"dd mmm yyyy")&amp;IF('_Dates'!J690='_Dates'!T690,""," → "&amp;TEXT('_Dates'!T690,"dd mmm yyyy")),'_Engine'!K690)</ns0:f>
        <ns0:v/>
      </ns0:c>
    </ns0:row>
    <ns0:row r="691" ht="32" customHeight="1">
      <ns0:c r="A691" s="200"/>
      <ns0:c r="B691" s="201"/>
      <ns0:c r="C691" s="209"/>
      <ns0:c r="D691" s="201"/>
      <ns0:c r="E691" s="209"/>
      <ns0:c r="F691" s="200"/>
      <ns0:c r="G691" s="200"/>
      <ns0:c r="H691" s="210" t="str">
        <ns0:f>IF('_Engine'!A691=0,"",IF('_Engine'!$B$6&gt;0,"REVIEW",IF('_Engine'!L691&gt;0,"REVIEW",'_Engine'!G691)))</ns0:f>
        <ns0:v/>
      </ns0:c>
      <ns0:c r="I691" s="207"/>
      <ns0:c r="J691" s="208" t="str">
        <ns0:f>IF('_Engine'!K691="OK","OK · "&amp;TEXT('_Dates'!J691,"dd mmm yyyy")&amp;IF('_Dates'!J691='_Dates'!T691,""," → "&amp;TEXT('_Dates'!T691,"dd mmm yyyy")),'_Engine'!K691)</ns0:f>
        <ns0:v/>
      </ns0:c>
    </ns0:row>
    <ns0:row r="692" ht="32" customHeight="1">
      <ns0:c r="A692" s="200"/>
      <ns0:c r="B692" s="201"/>
      <ns0:c r="C692" s="209"/>
      <ns0:c r="D692" s="201"/>
      <ns0:c r="E692" s="209"/>
      <ns0:c r="F692" s="200"/>
      <ns0:c r="G692" s="200"/>
      <ns0:c r="H692" s="210" t="str">
        <ns0:f>IF('_Engine'!A692=0,"",IF('_Engine'!$B$6&gt;0,"REVIEW",IF('_Engine'!L692&gt;0,"REVIEW",'_Engine'!G692)))</ns0:f>
        <ns0:v/>
      </ns0:c>
      <ns0:c r="I692" s="207"/>
      <ns0:c r="J692" s="208" t="str">
        <ns0:f>IF('_Engine'!K692="OK","OK · "&amp;TEXT('_Dates'!J692,"dd mmm yyyy")&amp;IF('_Dates'!J692='_Dates'!T692,""," → "&amp;TEXT('_Dates'!T692,"dd mmm yyyy")),'_Engine'!K692)</ns0:f>
        <ns0:v/>
      </ns0:c>
    </ns0:row>
    <ns0:row r="693" ht="32" customHeight="1">
      <ns0:c r="A693" s="200"/>
      <ns0:c r="B693" s="201"/>
      <ns0:c r="C693" s="209"/>
      <ns0:c r="D693" s="201"/>
      <ns0:c r="E693" s="209"/>
      <ns0:c r="F693" s="200"/>
      <ns0:c r="G693" s="200"/>
      <ns0:c r="H693" s="210" t="str">
        <ns0:f>IF('_Engine'!A693=0,"",IF('_Engine'!$B$6&gt;0,"REVIEW",IF('_Engine'!L693&gt;0,"REVIEW",'_Engine'!G693)))</ns0:f>
        <ns0:v/>
      </ns0:c>
      <ns0:c r="I693" s="207"/>
      <ns0:c r="J693" s="208" t="str">
        <ns0:f>IF('_Engine'!K693="OK","OK · "&amp;TEXT('_Dates'!J693,"dd mmm yyyy")&amp;IF('_Dates'!J693='_Dates'!T693,""," → "&amp;TEXT('_Dates'!T693,"dd mmm yyyy")),'_Engine'!K693)</ns0:f>
        <ns0:v/>
      </ns0:c>
    </ns0:row>
    <ns0:row r="694" ht="32" customHeight="1">
      <ns0:c r="A694" s="200"/>
      <ns0:c r="B694" s="201"/>
      <ns0:c r="C694" s="209"/>
      <ns0:c r="D694" s="201"/>
      <ns0:c r="E694" s="209"/>
      <ns0:c r="F694" s="200"/>
      <ns0:c r="G694" s="200"/>
      <ns0:c r="H694" s="210" t="str">
        <ns0:f>IF('_Engine'!A694=0,"",IF('_Engine'!$B$6&gt;0,"REVIEW",IF('_Engine'!L694&gt;0,"REVIEW",'_Engine'!G694)))</ns0:f>
        <ns0:v/>
      </ns0:c>
      <ns0:c r="I694" s="207"/>
      <ns0:c r="J694" s="208" t="str">
        <ns0:f>IF('_Engine'!K694="OK","OK · "&amp;TEXT('_Dates'!J694,"dd mmm yyyy")&amp;IF('_Dates'!J694='_Dates'!T694,""," → "&amp;TEXT('_Dates'!T694,"dd mmm yyyy")),'_Engine'!K694)</ns0:f>
        <ns0:v/>
      </ns0:c>
    </ns0:row>
    <ns0:row r="695" ht="32" customHeight="1">
      <ns0:c r="A695" s="200"/>
      <ns0:c r="B695" s="201"/>
      <ns0:c r="C695" s="209"/>
      <ns0:c r="D695" s="201"/>
      <ns0:c r="E695" s="209"/>
      <ns0:c r="F695" s="200"/>
      <ns0:c r="G695" s="200"/>
      <ns0:c r="H695" s="210" t="str">
        <ns0:f>IF('_Engine'!A695=0,"",IF('_Engine'!$B$6&gt;0,"REVIEW",IF('_Engine'!L695&gt;0,"REVIEW",'_Engine'!G695)))</ns0:f>
        <ns0:v/>
      </ns0:c>
      <ns0:c r="I695" s="207"/>
      <ns0:c r="J695" s="208" t="str">
        <ns0:f>IF('_Engine'!K695="OK","OK · "&amp;TEXT('_Dates'!J695,"dd mmm yyyy")&amp;IF('_Dates'!J695='_Dates'!T695,""," → "&amp;TEXT('_Dates'!T695,"dd mmm yyyy")),'_Engine'!K695)</ns0:f>
        <ns0:v/>
      </ns0:c>
    </ns0:row>
    <ns0:row r="696" ht="32" customHeight="1">
      <ns0:c r="A696" s="200"/>
      <ns0:c r="B696" s="201"/>
      <ns0:c r="C696" s="209"/>
      <ns0:c r="D696" s="201"/>
      <ns0:c r="E696" s="209"/>
      <ns0:c r="F696" s="200"/>
      <ns0:c r="G696" s="200"/>
      <ns0:c r="H696" s="210" t="str">
        <ns0:f>IF('_Engine'!A696=0,"",IF('_Engine'!$B$6&gt;0,"REVIEW",IF('_Engine'!L696&gt;0,"REVIEW",'_Engine'!G696)))</ns0:f>
        <ns0:v/>
      </ns0:c>
      <ns0:c r="I696" s="207"/>
      <ns0:c r="J696" s="208" t="str">
        <ns0:f>IF('_Engine'!K696="OK","OK · "&amp;TEXT('_Dates'!J696,"dd mmm yyyy")&amp;IF('_Dates'!J696='_Dates'!T696,""," → "&amp;TEXT('_Dates'!T696,"dd mmm yyyy")),'_Engine'!K696)</ns0:f>
        <ns0:v/>
      </ns0:c>
    </ns0:row>
    <ns0:row r="697" ht="32" customHeight="1">
      <ns0:c r="A697" s="200"/>
      <ns0:c r="B697" s="201"/>
      <ns0:c r="C697" s="209"/>
      <ns0:c r="D697" s="201"/>
      <ns0:c r="E697" s="209"/>
      <ns0:c r="F697" s="200"/>
      <ns0:c r="G697" s="200"/>
      <ns0:c r="H697" s="210" t="str">
        <ns0:f>IF('_Engine'!A697=0,"",IF('_Engine'!$B$6&gt;0,"REVIEW",IF('_Engine'!L697&gt;0,"REVIEW",'_Engine'!G697)))</ns0:f>
        <ns0:v/>
      </ns0:c>
      <ns0:c r="I697" s="207"/>
      <ns0:c r="J697" s="208" t="str">
        <ns0:f>IF('_Engine'!K697="OK","OK · "&amp;TEXT('_Dates'!J697,"dd mmm yyyy")&amp;IF('_Dates'!J697='_Dates'!T697,""," → "&amp;TEXT('_Dates'!T697,"dd mmm yyyy")),'_Engine'!K697)</ns0:f>
        <ns0:v/>
      </ns0:c>
    </ns0:row>
    <ns0:row r="698" ht="32" customHeight="1">
      <ns0:c r="A698" s="200"/>
      <ns0:c r="B698" s="201"/>
      <ns0:c r="C698" s="209"/>
      <ns0:c r="D698" s="201"/>
      <ns0:c r="E698" s="209"/>
      <ns0:c r="F698" s="200"/>
      <ns0:c r="G698" s="200"/>
      <ns0:c r="H698" s="210" t="str">
        <ns0:f>IF('_Engine'!A698=0,"",IF('_Engine'!$B$6&gt;0,"REVIEW",IF('_Engine'!L698&gt;0,"REVIEW",'_Engine'!G698)))</ns0:f>
        <ns0:v/>
      </ns0:c>
      <ns0:c r="I698" s="207"/>
      <ns0:c r="J698" s="208" t="str">
        <ns0:f>IF('_Engine'!K698="OK","OK · "&amp;TEXT('_Dates'!J698,"dd mmm yyyy")&amp;IF('_Dates'!J698='_Dates'!T698,""," → "&amp;TEXT('_Dates'!T698,"dd mmm yyyy")),'_Engine'!K698)</ns0:f>
        <ns0:v/>
      </ns0:c>
    </ns0:row>
    <ns0:row r="699" ht="32" customHeight="1">
      <ns0:c r="A699" s="200"/>
      <ns0:c r="B699" s="201"/>
      <ns0:c r="C699" s="209"/>
      <ns0:c r="D699" s="201"/>
      <ns0:c r="E699" s="209"/>
      <ns0:c r="F699" s="200"/>
      <ns0:c r="G699" s="200"/>
      <ns0:c r="H699" s="210" t="str">
        <ns0:f>IF('_Engine'!A699=0,"",IF('_Engine'!$B$6&gt;0,"REVIEW",IF('_Engine'!L699&gt;0,"REVIEW",'_Engine'!G699)))</ns0:f>
        <ns0:v/>
      </ns0:c>
      <ns0:c r="I699" s="207"/>
      <ns0:c r="J699" s="208" t="str">
        <ns0:f>IF('_Engine'!K699="OK","OK · "&amp;TEXT('_Dates'!J699,"dd mmm yyyy")&amp;IF('_Dates'!J699='_Dates'!T699,""," → "&amp;TEXT('_Dates'!T699,"dd mmm yyyy")),'_Engine'!K699)</ns0:f>
        <ns0:v/>
      </ns0:c>
    </ns0:row>
    <ns0:row r="700" ht="32" customHeight="1">
      <ns0:c r="A700" s="200"/>
      <ns0:c r="B700" s="201"/>
      <ns0:c r="C700" s="209"/>
      <ns0:c r="D700" s="201"/>
      <ns0:c r="E700" s="209"/>
      <ns0:c r="F700" s="200"/>
      <ns0:c r="G700" s="200"/>
      <ns0:c r="H700" s="210" t="str">
        <ns0:f>IF('_Engine'!A700=0,"",IF('_Engine'!$B$6&gt;0,"REVIEW",IF('_Engine'!L700&gt;0,"REVIEW",'_Engine'!G700)))</ns0:f>
        <ns0:v/>
      </ns0:c>
      <ns0:c r="I700" s="207"/>
      <ns0:c r="J700" s="208" t="str">
        <ns0:f>IF('_Engine'!K700="OK","OK · "&amp;TEXT('_Dates'!J700,"dd mmm yyyy")&amp;IF('_Dates'!J700='_Dates'!T700,""," → "&amp;TEXT('_Dates'!T700,"dd mmm yyyy")),'_Engine'!K700)</ns0:f>
        <ns0:v/>
      </ns0:c>
    </ns0:row>
    <ns0:row r="701" ht="32" customHeight="1">
      <ns0:c r="A701" s="200"/>
      <ns0:c r="B701" s="201"/>
      <ns0:c r="C701" s="209"/>
      <ns0:c r="D701" s="201"/>
      <ns0:c r="E701" s="209"/>
      <ns0:c r="F701" s="200"/>
      <ns0:c r="G701" s="200"/>
      <ns0:c r="H701" s="210" t="str">
        <ns0:f>IF('_Engine'!A701=0,"",IF('_Engine'!$B$6&gt;0,"REVIEW",IF('_Engine'!L701&gt;0,"REVIEW",'_Engine'!G701)))</ns0:f>
        <ns0:v/>
      </ns0:c>
      <ns0:c r="I701" s="207"/>
      <ns0:c r="J701" s="208" t="str">
        <ns0:f>IF('_Engine'!K701="OK","OK · "&amp;TEXT('_Dates'!J701,"dd mmm yyyy")&amp;IF('_Dates'!J701='_Dates'!T701,""," → "&amp;TEXT('_Dates'!T701,"dd mmm yyyy")),'_Engine'!K701)</ns0:f>
        <ns0:v/>
      </ns0:c>
    </ns0:row>
    <ns0:row r="702" ht="32" customHeight="1">
      <ns0:c r="A702" s="200"/>
      <ns0:c r="B702" s="201"/>
      <ns0:c r="C702" s="209"/>
      <ns0:c r="D702" s="201"/>
      <ns0:c r="E702" s="209"/>
      <ns0:c r="F702" s="200"/>
      <ns0:c r="G702" s="200"/>
      <ns0:c r="H702" s="210" t="str">
        <ns0:f>IF('_Engine'!A702=0,"",IF('_Engine'!$B$6&gt;0,"REVIEW",IF('_Engine'!L702&gt;0,"REVIEW",'_Engine'!G702)))</ns0:f>
        <ns0:v/>
      </ns0:c>
      <ns0:c r="I702" s="207"/>
      <ns0:c r="J702" s="208" t="str">
        <ns0:f>IF('_Engine'!K702="OK","OK · "&amp;TEXT('_Dates'!J702,"dd mmm yyyy")&amp;IF('_Dates'!J702='_Dates'!T702,""," → "&amp;TEXT('_Dates'!T702,"dd mmm yyyy")),'_Engine'!K702)</ns0:f>
        <ns0:v/>
      </ns0:c>
    </ns0:row>
    <ns0:row r="703" ht="32" customHeight="1">
      <ns0:c r="A703" s="200"/>
      <ns0:c r="B703" s="201"/>
      <ns0:c r="C703" s="209"/>
      <ns0:c r="D703" s="201"/>
      <ns0:c r="E703" s="209"/>
      <ns0:c r="F703" s="200"/>
      <ns0:c r="G703" s="200"/>
      <ns0:c r="H703" s="210" t="str">
        <ns0:f>IF('_Engine'!A703=0,"",IF('_Engine'!$B$6&gt;0,"REVIEW",IF('_Engine'!L703&gt;0,"REVIEW",'_Engine'!G703)))</ns0:f>
        <ns0:v/>
      </ns0:c>
      <ns0:c r="I703" s="207"/>
      <ns0:c r="J703" s="208" t="str">
        <ns0:f>IF('_Engine'!K703="OK","OK · "&amp;TEXT('_Dates'!J703,"dd mmm yyyy")&amp;IF('_Dates'!J703='_Dates'!T703,""," → "&amp;TEXT('_Dates'!T703,"dd mmm yyyy")),'_Engine'!K703)</ns0:f>
        <ns0:v/>
      </ns0:c>
    </ns0:row>
    <ns0:row r="704" ht="32" customHeight="1">
      <ns0:c r="A704" s="200"/>
      <ns0:c r="B704" s="201"/>
      <ns0:c r="C704" s="209"/>
      <ns0:c r="D704" s="201"/>
      <ns0:c r="E704" s="209"/>
      <ns0:c r="F704" s="200"/>
      <ns0:c r="G704" s="200"/>
      <ns0:c r="H704" s="210" t="str">
        <ns0:f>IF('_Engine'!A704=0,"",IF('_Engine'!$B$6&gt;0,"REVIEW",IF('_Engine'!L704&gt;0,"REVIEW",'_Engine'!G704)))</ns0:f>
        <ns0:v/>
      </ns0:c>
      <ns0:c r="I704" s="207"/>
      <ns0:c r="J704" s="208" t="str">
        <ns0:f>IF('_Engine'!K704="OK","OK · "&amp;TEXT('_Dates'!J704,"dd mmm yyyy")&amp;IF('_Dates'!J704='_Dates'!T704,""," → "&amp;TEXT('_Dates'!T704,"dd mmm yyyy")),'_Engine'!K704)</ns0:f>
        <ns0:v/>
      </ns0:c>
    </ns0:row>
    <ns0:row r="705" ht="32" customHeight="1">
      <ns0:c r="A705" s="200"/>
      <ns0:c r="B705" s="201"/>
      <ns0:c r="C705" s="209"/>
      <ns0:c r="D705" s="201"/>
      <ns0:c r="E705" s="209"/>
      <ns0:c r="F705" s="200"/>
      <ns0:c r="G705" s="200"/>
      <ns0:c r="H705" s="210" t="str">
        <ns0:f>IF('_Engine'!A705=0,"",IF('_Engine'!$B$6&gt;0,"REVIEW",IF('_Engine'!L705&gt;0,"REVIEW",'_Engine'!G705)))</ns0:f>
        <ns0:v/>
      </ns0:c>
      <ns0:c r="I705" s="207"/>
      <ns0:c r="J705" s="208" t="str">
        <ns0:f>IF('_Engine'!K705="OK","OK · "&amp;TEXT('_Dates'!J705,"dd mmm yyyy")&amp;IF('_Dates'!J705='_Dates'!T705,""," → "&amp;TEXT('_Dates'!T705,"dd mmm yyyy")),'_Engine'!K705)</ns0:f>
        <ns0:v/>
      </ns0:c>
    </ns0:row>
    <ns0:row r="706" ht="32" customHeight="1">
      <ns0:c r="A706" s="200"/>
      <ns0:c r="B706" s="201"/>
      <ns0:c r="C706" s="209"/>
      <ns0:c r="D706" s="201"/>
      <ns0:c r="E706" s="209"/>
      <ns0:c r="F706" s="200"/>
      <ns0:c r="G706" s="200"/>
      <ns0:c r="H706" s="210" t="str">
        <ns0:f>IF('_Engine'!A706=0,"",IF('_Engine'!$B$6&gt;0,"REVIEW",IF('_Engine'!L706&gt;0,"REVIEW",'_Engine'!G706)))</ns0:f>
        <ns0:v/>
      </ns0:c>
      <ns0:c r="I706" s="207"/>
      <ns0:c r="J706" s="208" t="str">
        <ns0:f>IF('_Engine'!K706="OK","OK · "&amp;TEXT('_Dates'!J706,"dd mmm yyyy")&amp;IF('_Dates'!J706='_Dates'!T706,""," → "&amp;TEXT('_Dates'!T706,"dd mmm yyyy")),'_Engine'!K706)</ns0:f>
        <ns0:v/>
      </ns0:c>
    </ns0:row>
    <ns0:row r="707" ht="32" customHeight="1">
      <ns0:c r="A707" s="200"/>
      <ns0:c r="B707" s="201"/>
      <ns0:c r="C707" s="209"/>
      <ns0:c r="D707" s="201"/>
      <ns0:c r="E707" s="209"/>
      <ns0:c r="F707" s="200"/>
      <ns0:c r="G707" s="200"/>
      <ns0:c r="H707" s="210" t="str">
        <ns0:f>IF('_Engine'!A707=0,"",IF('_Engine'!$B$6&gt;0,"REVIEW",IF('_Engine'!L707&gt;0,"REVIEW",'_Engine'!G707)))</ns0:f>
        <ns0:v/>
      </ns0:c>
      <ns0:c r="I707" s="207"/>
      <ns0:c r="J707" s="208" t="str">
        <ns0:f>IF('_Engine'!K707="OK","OK · "&amp;TEXT('_Dates'!J707,"dd mmm yyyy")&amp;IF('_Dates'!J707='_Dates'!T707,""," → "&amp;TEXT('_Dates'!T707,"dd mmm yyyy")),'_Engine'!K707)</ns0:f>
        <ns0:v/>
      </ns0:c>
    </ns0:row>
    <ns0:row r="708" ht="32" customHeight="1">
      <ns0:c r="A708" s="200"/>
      <ns0:c r="B708" s="201"/>
      <ns0:c r="C708" s="209"/>
      <ns0:c r="D708" s="201"/>
      <ns0:c r="E708" s="209"/>
      <ns0:c r="F708" s="200"/>
      <ns0:c r="G708" s="200"/>
      <ns0:c r="H708" s="210" t="str">
        <ns0:f>IF('_Engine'!A708=0,"",IF('_Engine'!$B$6&gt;0,"REVIEW",IF('_Engine'!L708&gt;0,"REVIEW",'_Engine'!G708)))</ns0:f>
        <ns0:v/>
      </ns0:c>
      <ns0:c r="I708" s="207"/>
      <ns0:c r="J708" s="208" t="str">
        <ns0:f>IF('_Engine'!K708="OK","OK · "&amp;TEXT('_Dates'!J708,"dd mmm yyyy")&amp;IF('_Dates'!J708='_Dates'!T708,""," → "&amp;TEXT('_Dates'!T708,"dd mmm yyyy")),'_Engine'!K708)</ns0:f>
        <ns0:v/>
      </ns0:c>
    </ns0:row>
    <ns0:row r="709" ht="32" customHeight="1">
      <ns0:c r="A709" s="200"/>
      <ns0:c r="B709" s="201"/>
      <ns0:c r="C709" s="209"/>
      <ns0:c r="D709" s="201"/>
      <ns0:c r="E709" s="209"/>
      <ns0:c r="F709" s="200"/>
      <ns0:c r="G709" s="200"/>
      <ns0:c r="H709" s="210" t="str">
        <ns0:f>IF('_Engine'!A709=0,"",IF('_Engine'!$B$6&gt;0,"REVIEW",IF('_Engine'!L709&gt;0,"REVIEW",'_Engine'!G709)))</ns0:f>
        <ns0:v/>
      </ns0:c>
      <ns0:c r="I709" s="207"/>
      <ns0:c r="J709" s="208" t="str">
        <ns0:f>IF('_Engine'!K709="OK","OK · "&amp;TEXT('_Dates'!J709,"dd mmm yyyy")&amp;IF('_Dates'!J709='_Dates'!T709,""," → "&amp;TEXT('_Dates'!T709,"dd mmm yyyy")),'_Engine'!K709)</ns0:f>
        <ns0:v/>
      </ns0:c>
    </ns0:row>
    <ns0:row r="710" ht="32" customHeight="1">
      <ns0:c r="A710" s="200"/>
      <ns0:c r="B710" s="201"/>
      <ns0:c r="C710" s="209"/>
      <ns0:c r="D710" s="201"/>
      <ns0:c r="E710" s="209"/>
      <ns0:c r="F710" s="200"/>
      <ns0:c r="G710" s="200"/>
      <ns0:c r="H710" s="210" t="str">
        <ns0:f>IF('_Engine'!A710=0,"",IF('_Engine'!$B$6&gt;0,"REVIEW",IF('_Engine'!L710&gt;0,"REVIEW",'_Engine'!G710)))</ns0:f>
        <ns0:v/>
      </ns0:c>
      <ns0:c r="I710" s="207"/>
      <ns0:c r="J710" s="208" t="str">
        <ns0:f>IF('_Engine'!K710="OK","OK · "&amp;TEXT('_Dates'!J710,"dd mmm yyyy")&amp;IF('_Dates'!J710='_Dates'!T710,""," → "&amp;TEXT('_Dates'!T710,"dd mmm yyyy")),'_Engine'!K710)</ns0:f>
        <ns0:v/>
      </ns0:c>
    </ns0:row>
    <ns0:row r="711" ht="32" customHeight="1">
      <ns0:c r="A711" s="200"/>
      <ns0:c r="B711" s="201"/>
      <ns0:c r="C711" s="209"/>
      <ns0:c r="D711" s="201"/>
      <ns0:c r="E711" s="209"/>
      <ns0:c r="F711" s="200"/>
      <ns0:c r="G711" s="200"/>
      <ns0:c r="H711" s="210" t="str">
        <ns0:f>IF('_Engine'!A711=0,"",IF('_Engine'!$B$6&gt;0,"REVIEW",IF('_Engine'!L711&gt;0,"REVIEW",'_Engine'!G711)))</ns0:f>
        <ns0:v/>
      </ns0:c>
      <ns0:c r="I711" s="207"/>
      <ns0:c r="J711" s="208" t="str">
        <ns0:f>IF('_Engine'!K711="OK","OK · "&amp;TEXT('_Dates'!J711,"dd mmm yyyy")&amp;IF('_Dates'!J711='_Dates'!T711,""," → "&amp;TEXT('_Dates'!T711,"dd mmm yyyy")),'_Engine'!K711)</ns0:f>
        <ns0:v/>
      </ns0:c>
    </ns0:row>
    <ns0:row r="712" ht="32" customHeight="1">
      <ns0:c r="A712" s="200"/>
      <ns0:c r="B712" s="201"/>
      <ns0:c r="C712" s="209"/>
      <ns0:c r="D712" s="201"/>
      <ns0:c r="E712" s="209"/>
      <ns0:c r="F712" s="200"/>
      <ns0:c r="G712" s="200"/>
      <ns0:c r="H712" s="210" t="str">
        <ns0:f>IF('_Engine'!A712=0,"",IF('_Engine'!$B$6&gt;0,"REVIEW",IF('_Engine'!L712&gt;0,"REVIEW",'_Engine'!G712)))</ns0:f>
        <ns0:v/>
      </ns0:c>
      <ns0:c r="I712" s="207"/>
      <ns0:c r="J712" s="208" t="str">
        <ns0:f>IF('_Engine'!K712="OK","OK · "&amp;TEXT('_Dates'!J712,"dd mmm yyyy")&amp;IF('_Dates'!J712='_Dates'!T712,""," → "&amp;TEXT('_Dates'!T712,"dd mmm yyyy")),'_Engine'!K712)</ns0:f>
        <ns0:v/>
      </ns0:c>
    </ns0:row>
    <ns0:row r="713" ht="32" customHeight="1">
      <ns0:c r="A713" s="200"/>
      <ns0:c r="B713" s="201"/>
      <ns0:c r="C713" s="209"/>
      <ns0:c r="D713" s="201"/>
      <ns0:c r="E713" s="209"/>
      <ns0:c r="F713" s="200"/>
      <ns0:c r="G713" s="200"/>
      <ns0:c r="H713" s="210" t="str">
        <ns0:f>IF('_Engine'!A713=0,"",IF('_Engine'!$B$6&gt;0,"REVIEW",IF('_Engine'!L713&gt;0,"REVIEW",'_Engine'!G713)))</ns0:f>
        <ns0:v/>
      </ns0:c>
      <ns0:c r="I713" s="207"/>
      <ns0:c r="J713" s="208" t="str">
        <ns0:f>IF('_Engine'!K713="OK","OK · "&amp;TEXT('_Dates'!J713,"dd mmm yyyy")&amp;IF('_Dates'!J713='_Dates'!T713,""," → "&amp;TEXT('_Dates'!T713,"dd mmm yyyy")),'_Engine'!K713)</ns0:f>
        <ns0:v/>
      </ns0:c>
    </ns0:row>
    <ns0:row r="714" ht="32" customHeight="1">
      <ns0:c r="A714" s="200"/>
      <ns0:c r="B714" s="201"/>
      <ns0:c r="C714" s="209"/>
      <ns0:c r="D714" s="201"/>
      <ns0:c r="E714" s="209"/>
      <ns0:c r="F714" s="200"/>
      <ns0:c r="G714" s="200"/>
      <ns0:c r="H714" s="210" t="str">
        <ns0:f>IF('_Engine'!A714=0,"",IF('_Engine'!$B$6&gt;0,"REVIEW",IF('_Engine'!L714&gt;0,"REVIEW",'_Engine'!G714)))</ns0:f>
        <ns0:v/>
      </ns0:c>
      <ns0:c r="I714" s="207"/>
      <ns0:c r="J714" s="208" t="str">
        <ns0:f>IF('_Engine'!K714="OK","OK · "&amp;TEXT('_Dates'!J714,"dd mmm yyyy")&amp;IF('_Dates'!J714='_Dates'!T714,""," → "&amp;TEXT('_Dates'!T714,"dd mmm yyyy")),'_Engine'!K714)</ns0:f>
        <ns0:v/>
      </ns0:c>
    </ns0:row>
    <ns0:row r="715" ht="32" customHeight="1">
      <ns0:c r="A715" s="200"/>
      <ns0:c r="B715" s="201"/>
      <ns0:c r="C715" s="209"/>
      <ns0:c r="D715" s="201"/>
      <ns0:c r="E715" s="209"/>
      <ns0:c r="F715" s="200"/>
      <ns0:c r="G715" s="200"/>
      <ns0:c r="H715" s="210" t="str">
        <ns0:f>IF('_Engine'!A715=0,"",IF('_Engine'!$B$6&gt;0,"REVIEW",IF('_Engine'!L715&gt;0,"REVIEW",'_Engine'!G715)))</ns0:f>
        <ns0:v/>
      </ns0:c>
      <ns0:c r="I715" s="207"/>
      <ns0:c r="J715" s="208" t="str">
        <ns0:f>IF('_Engine'!K715="OK","OK · "&amp;TEXT('_Dates'!J715,"dd mmm yyyy")&amp;IF('_Dates'!J715='_Dates'!T715,""," → "&amp;TEXT('_Dates'!T715,"dd mmm yyyy")),'_Engine'!K715)</ns0:f>
        <ns0:v/>
      </ns0:c>
    </ns0:row>
    <ns0:row r="716" ht="32" customHeight="1">
      <ns0:c r="A716" s="200"/>
      <ns0:c r="B716" s="201"/>
      <ns0:c r="C716" s="209"/>
      <ns0:c r="D716" s="201"/>
      <ns0:c r="E716" s="209"/>
      <ns0:c r="F716" s="200"/>
      <ns0:c r="G716" s="200"/>
      <ns0:c r="H716" s="210" t="str">
        <ns0:f>IF('_Engine'!A716=0,"",IF('_Engine'!$B$6&gt;0,"REVIEW",IF('_Engine'!L716&gt;0,"REVIEW",'_Engine'!G716)))</ns0:f>
        <ns0:v/>
      </ns0:c>
      <ns0:c r="I716" s="207"/>
      <ns0:c r="J716" s="208" t="str">
        <ns0:f>IF('_Engine'!K716="OK","OK · "&amp;TEXT('_Dates'!J716,"dd mmm yyyy")&amp;IF('_Dates'!J716='_Dates'!T716,""," → "&amp;TEXT('_Dates'!T716,"dd mmm yyyy")),'_Engine'!K716)</ns0:f>
        <ns0:v/>
      </ns0:c>
    </ns0:row>
    <ns0:row r="717" ht="32" customHeight="1">
      <ns0:c r="A717" s="200"/>
      <ns0:c r="B717" s="201"/>
      <ns0:c r="C717" s="209"/>
      <ns0:c r="D717" s="201"/>
      <ns0:c r="E717" s="209"/>
      <ns0:c r="F717" s="200"/>
      <ns0:c r="G717" s="200"/>
      <ns0:c r="H717" s="210" t="str">
        <ns0:f>IF('_Engine'!A717=0,"",IF('_Engine'!$B$6&gt;0,"REVIEW",IF('_Engine'!L717&gt;0,"REVIEW",'_Engine'!G717)))</ns0:f>
        <ns0:v/>
      </ns0:c>
      <ns0:c r="I717" s="207"/>
      <ns0:c r="J717" s="208" t="str">
        <ns0:f>IF('_Engine'!K717="OK","OK · "&amp;TEXT('_Dates'!J717,"dd mmm yyyy")&amp;IF('_Dates'!J717='_Dates'!T717,""," → "&amp;TEXT('_Dates'!T717,"dd mmm yyyy")),'_Engine'!K717)</ns0:f>
        <ns0:v/>
      </ns0:c>
    </ns0:row>
    <ns0:row r="718" ht="32" customHeight="1">
      <ns0:c r="A718" s="200"/>
      <ns0:c r="B718" s="201"/>
      <ns0:c r="C718" s="209"/>
      <ns0:c r="D718" s="201"/>
      <ns0:c r="E718" s="209"/>
      <ns0:c r="F718" s="200"/>
      <ns0:c r="G718" s="200"/>
      <ns0:c r="H718" s="210" t="str">
        <ns0:f>IF('_Engine'!A718=0,"",IF('_Engine'!$B$6&gt;0,"REVIEW",IF('_Engine'!L718&gt;0,"REVIEW",'_Engine'!G718)))</ns0:f>
        <ns0:v/>
      </ns0:c>
      <ns0:c r="I718" s="207"/>
      <ns0:c r="J718" s="208" t="str">
        <ns0:f>IF('_Engine'!K718="OK","OK · "&amp;TEXT('_Dates'!J718,"dd mmm yyyy")&amp;IF('_Dates'!J718='_Dates'!T718,""," → "&amp;TEXT('_Dates'!T718,"dd mmm yyyy")),'_Engine'!K718)</ns0:f>
        <ns0:v/>
      </ns0:c>
    </ns0:row>
    <ns0:row r="719" ht="32" customHeight="1">
      <ns0:c r="A719" s="200"/>
      <ns0:c r="B719" s="201"/>
      <ns0:c r="C719" s="209"/>
      <ns0:c r="D719" s="201"/>
      <ns0:c r="E719" s="209"/>
      <ns0:c r="F719" s="200"/>
      <ns0:c r="G719" s="200"/>
      <ns0:c r="H719" s="210" t="str">
        <ns0:f>IF('_Engine'!A719=0,"",IF('_Engine'!$B$6&gt;0,"REVIEW",IF('_Engine'!L719&gt;0,"REVIEW",'_Engine'!G719)))</ns0:f>
        <ns0:v/>
      </ns0:c>
      <ns0:c r="I719" s="207"/>
      <ns0:c r="J719" s="208" t="str">
        <ns0:f>IF('_Engine'!K719="OK","OK · "&amp;TEXT('_Dates'!J719,"dd mmm yyyy")&amp;IF('_Dates'!J719='_Dates'!T719,""," → "&amp;TEXT('_Dates'!T719,"dd mmm yyyy")),'_Engine'!K719)</ns0:f>
        <ns0:v/>
      </ns0:c>
    </ns0:row>
    <ns0:row r="720" ht="32" customHeight="1">
      <ns0:c r="A720" s="200"/>
      <ns0:c r="B720" s="201"/>
      <ns0:c r="C720" s="209"/>
      <ns0:c r="D720" s="201"/>
      <ns0:c r="E720" s="209"/>
      <ns0:c r="F720" s="200"/>
      <ns0:c r="G720" s="200"/>
      <ns0:c r="H720" s="210" t="str">
        <ns0:f>IF('_Engine'!A720=0,"",IF('_Engine'!$B$6&gt;0,"REVIEW",IF('_Engine'!L720&gt;0,"REVIEW",'_Engine'!G720)))</ns0:f>
        <ns0:v/>
      </ns0:c>
      <ns0:c r="I720" s="207"/>
      <ns0:c r="J720" s="208" t="str">
        <ns0:f>IF('_Engine'!K720="OK","OK · "&amp;TEXT('_Dates'!J720,"dd mmm yyyy")&amp;IF('_Dates'!J720='_Dates'!T720,""," → "&amp;TEXT('_Dates'!T720,"dd mmm yyyy")),'_Engine'!K720)</ns0:f>
        <ns0:v/>
      </ns0:c>
    </ns0:row>
    <ns0:row r="721" ht="32" customHeight="1">
      <ns0:c r="A721" s="200"/>
      <ns0:c r="B721" s="201"/>
      <ns0:c r="C721" s="209"/>
      <ns0:c r="D721" s="201"/>
      <ns0:c r="E721" s="209"/>
      <ns0:c r="F721" s="200"/>
      <ns0:c r="G721" s="200"/>
      <ns0:c r="H721" s="210" t="str">
        <ns0:f>IF('_Engine'!A721=0,"",IF('_Engine'!$B$6&gt;0,"REVIEW",IF('_Engine'!L721&gt;0,"REVIEW",'_Engine'!G721)))</ns0:f>
        <ns0:v/>
      </ns0:c>
      <ns0:c r="I721" s="207"/>
      <ns0:c r="J721" s="208" t="str">
        <ns0:f>IF('_Engine'!K721="OK","OK · "&amp;TEXT('_Dates'!J721,"dd mmm yyyy")&amp;IF('_Dates'!J721='_Dates'!T721,""," → "&amp;TEXT('_Dates'!T721,"dd mmm yyyy")),'_Engine'!K721)</ns0:f>
        <ns0:v/>
      </ns0:c>
    </ns0:row>
    <ns0:row r="722" ht="32" customHeight="1">
      <ns0:c r="A722" s="200"/>
      <ns0:c r="B722" s="201"/>
      <ns0:c r="C722" s="209"/>
      <ns0:c r="D722" s="201"/>
      <ns0:c r="E722" s="209"/>
      <ns0:c r="F722" s="200"/>
      <ns0:c r="G722" s="200"/>
      <ns0:c r="H722" s="210" t="str">
        <ns0:f>IF('_Engine'!A722=0,"",IF('_Engine'!$B$6&gt;0,"REVIEW",IF('_Engine'!L722&gt;0,"REVIEW",'_Engine'!G722)))</ns0:f>
        <ns0:v/>
      </ns0:c>
      <ns0:c r="I722" s="207"/>
      <ns0:c r="J722" s="208" t="str">
        <ns0:f>IF('_Engine'!K722="OK","OK · "&amp;TEXT('_Dates'!J722,"dd mmm yyyy")&amp;IF('_Dates'!J722='_Dates'!T722,""," → "&amp;TEXT('_Dates'!T722,"dd mmm yyyy")),'_Engine'!K722)</ns0:f>
        <ns0:v/>
      </ns0:c>
    </ns0:row>
    <ns0:row r="723" ht="32" customHeight="1">
      <ns0:c r="A723" s="200"/>
      <ns0:c r="B723" s="201"/>
      <ns0:c r="C723" s="209"/>
      <ns0:c r="D723" s="201"/>
      <ns0:c r="E723" s="209"/>
      <ns0:c r="F723" s="200"/>
      <ns0:c r="G723" s="200"/>
      <ns0:c r="H723" s="210" t="str">
        <ns0:f>IF('_Engine'!A723=0,"",IF('_Engine'!$B$6&gt;0,"REVIEW",IF('_Engine'!L723&gt;0,"REVIEW",'_Engine'!G723)))</ns0:f>
        <ns0:v/>
      </ns0:c>
      <ns0:c r="I723" s="207"/>
      <ns0:c r="J723" s="208" t="str">
        <ns0:f>IF('_Engine'!K723="OK","OK · "&amp;TEXT('_Dates'!J723,"dd mmm yyyy")&amp;IF('_Dates'!J723='_Dates'!T723,""," → "&amp;TEXT('_Dates'!T723,"dd mmm yyyy")),'_Engine'!K723)</ns0:f>
        <ns0:v/>
      </ns0:c>
    </ns0:row>
    <ns0:row r="724" ht="32" customHeight="1">
      <ns0:c r="A724" s="200"/>
      <ns0:c r="B724" s="201"/>
      <ns0:c r="C724" s="209"/>
      <ns0:c r="D724" s="201"/>
      <ns0:c r="E724" s="209"/>
      <ns0:c r="F724" s="200"/>
      <ns0:c r="G724" s="200"/>
      <ns0:c r="H724" s="210" t="str">
        <ns0:f>IF('_Engine'!A724=0,"",IF('_Engine'!$B$6&gt;0,"REVIEW",IF('_Engine'!L724&gt;0,"REVIEW",'_Engine'!G724)))</ns0:f>
        <ns0:v/>
      </ns0:c>
      <ns0:c r="I724" s="207"/>
      <ns0:c r="J724" s="208" t="str">
        <ns0:f>IF('_Engine'!K724="OK","OK · "&amp;TEXT('_Dates'!J724,"dd mmm yyyy")&amp;IF('_Dates'!J724='_Dates'!T724,""," → "&amp;TEXT('_Dates'!T724,"dd mmm yyyy")),'_Engine'!K724)</ns0:f>
        <ns0:v/>
      </ns0:c>
    </ns0:row>
    <ns0:row r="725" ht="32" customHeight="1">
      <ns0:c r="A725" s="200"/>
      <ns0:c r="B725" s="201"/>
      <ns0:c r="C725" s="209"/>
      <ns0:c r="D725" s="201"/>
      <ns0:c r="E725" s="209"/>
      <ns0:c r="F725" s="200"/>
      <ns0:c r="G725" s="200"/>
      <ns0:c r="H725" s="210" t="str">
        <ns0:f>IF('_Engine'!A725=0,"",IF('_Engine'!$B$6&gt;0,"REVIEW",IF('_Engine'!L725&gt;0,"REVIEW",'_Engine'!G725)))</ns0:f>
        <ns0:v/>
      </ns0:c>
      <ns0:c r="I725" s="207"/>
      <ns0:c r="J725" s="208" t="str">
        <ns0:f>IF('_Engine'!K725="OK","OK · "&amp;TEXT('_Dates'!J725,"dd mmm yyyy")&amp;IF('_Dates'!J725='_Dates'!T725,""," → "&amp;TEXT('_Dates'!T725,"dd mmm yyyy")),'_Engine'!K725)</ns0:f>
        <ns0:v/>
      </ns0:c>
    </ns0:row>
    <ns0:row r="726" ht="32" customHeight="1">
      <ns0:c r="A726" s="200"/>
      <ns0:c r="B726" s="201"/>
      <ns0:c r="C726" s="209"/>
      <ns0:c r="D726" s="201"/>
      <ns0:c r="E726" s="209"/>
      <ns0:c r="F726" s="200"/>
      <ns0:c r="G726" s="200"/>
      <ns0:c r="H726" s="210" t="str">
        <ns0:f>IF('_Engine'!A726=0,"",IF('_Engine'!$B$6&gt;0,"REVIEW",IF('_Engine'!L726&gt;0,"REVIEW",'_Engine'!G726)))</ns0:f>
        <ns0:v/>
      </ns0:c>
      <ns0:c r="I726" s="207"/>
      <ns0:c r="J726" s="208" t="str">
        <ns0:f>IF('_Engine'!K726="OK","OK · "&amp;TEXT('_Dates'!J726,"dd mmm yyyy")&amp;IF('_Dates'!J726='_Dates'!T726,""," → "&amp;TEXT('_Dates'!T726,"dd mmm yyyy")),'_Engine'!K726)</ns0:f>
        <ns0:v/>
      </ns0:c>
    </ns0:row>
    <ns0:row r="727" ht="32" customHeight="1">
      <ns0:c r="A727" s="200"/>
      <ns0:c r="B727" s="201"/>
      <ns0:c r="C727" s="209"/>
      <ns0:c r="D727" s="201"/>
      <ns0:c r="E727" s="209"/>
      <ns0:c r="F727" s="200"/>
      <ns0:c r="G727" s="200"/>
      <ns0:c r="H727" s="210" t="str">
        <ns0:f>IF('_Engine'!A727=0,"",IF('_Engine'!$B$6&gt;0,"REVIEW",IF('_Engine'!L727&gt;0,"REVIEW",'_Engine'!G727)))</ns0:f>
        <ns0:v/>
      </ns0:c>
      <ns0:c r="I727" s="207"/>
      <ns0:c r="J727" s="208" t="str">
        <ns0:f>IF('_Engine'!K727="OK","OK · "&amp;TEXT('_Dates'!J727,"dd mmm yyyy")&amp;IF('_Dates'!J727='_Dates'!T727,""," → "&amp;TEXT('_Dates'!T727,"dd mmm yyyy")),'_Engine'!K727)</ns0:f>
        <ns0:v/>
      </ns0:c>
    </ns0:row>
    <ns0:row r="728" ht="32" customHeight="1">
      <ns0:c r="A728" s="200"/>
      <ns0:c r="B728" s="201"/>
      <ns0:c r="C728" s="209"/>
      <ns0:c r="D728" s="201"/>
      <ns0:c r="E728" s="209"/>
      <ns0:c r="F728" s="200"/>
      <ns0:c r="G728" s="200"/>
      <ns0:c r="H728" s="210" t="str">
        <ns0:f>IF('_Engine'!A728=0,"",IF('_Engine'!$B$6&gt;0,"REVIEW",IF('_Engine'!L728&gt;0,"REVIEW",'_Engine'!G728)))</ns0:f>
        <ns0:v/>
      </ns0:c>
      <ns0:c r="I728" s="207"/>
      <ns0:c r="J728" s="208" t="str">
        <ns0:f>IF('_Engine'!K728="OK","OK · "&amp;TEXT('_Dates'!J728,"dd mmm yyyy")&amp;IF('_Dates'!J728='_Dates'!T728,""," → "&amp;TEXT('_Dates'!T728,"dd mmm yyyy")),'_Engine'!K728)</ns0:f>
        <ns0:v/>
      </ns0:c>
    </ns0:row>
    <ns0:row r="729" ht="32" customHeight="1">
      <ns0:c r="A729" s="200"/>
      <ns0:c r="B729" s="201"/>
      <ns0:c r="C729" s="209"/>
      <ns0:c r="D729" s="201"/>
      <ns0:c r="E729" s="209"/>
      <ns0:c r="F729" s="200"/>
      <ns0:c r="G729" s="200"/>
      <ns0:c r="H729" s="210" t="str">
        <ns0:f>IF('_Engine'!A729=0,"",IF('_Engine'!$B$6&gt;0,"REVIEW",IF('_Engine'!L729&gt;0,"REVIEW",'_Engine'!G729)))</ns0:f>
        <ns0:v/>
      </ns0:c>
      <ns0:c r="I729" s="207"/>
      <ns0:c r="J729" s="208" t="str">
        <ns0:f>IF('_Engine'!K729="OK","OK · "&amp;TEXT('_Dates'!J729,"dd mmm yyyy")&amp;IF('_Dates'!J729='_Dates'!T729,""," → "&amp;TEXT('_Dates'!T729,"dd mmm yyyy")),'_Engine'!K729)</ns0:f>
        <ns0:v/>
      </ns0:c>
    </ns0:row>
    <ns0:row r="730" ht="32" customHeight="1">
      <ns0:c r="A730" s="200"/>
      <ns0:c r="B730" s="201"/>
      <ns0:c r="C730" s="209"/>
      <ns0:c r="D730" s="201"/>
      <ns0:c r="E730" s="209"/>
      <ns0:c r="F730" s="200"/>
      <ns0:c r="G730" s="200"/>
      <ns0:c r="H730" s="210" t="str">
        <ns0:f>IF('_Engine'!A730=0,"",IF('_Engine'!$B$6&gt;0,"REVIEW",IF('_Engine'!L730&gt;0,"REVIEW",'_Engine'!G730)))</ns0:f>
        <ns0:v/>
      </ns0:c>
      <ns0:c r="I730" s="207"/>
      <ns0:c r="J730" s="208" t="str">
        <ns0:f>IF('_Engine'!K730="OK","OK · "&amp;TEXT('_Dates'!J730,"dd mmm yyyy")&amp;IF('_Dates'!J730='_Dates'!T730,""," → "&amp;TEXT('_Dates'!T730,"dd mmm yyyy")),'_Engine'!K730)</ns0:f>
        <ns0:v/>
      </ns0:c>
    </ns0:row>
    <ns0:row r="731" ht="32" customHeight="1">
      <ns0:c r="A731" s="200"/>
      <ns0:c r="B731" s="201"/>
      <ns0:c r="C731" s="209"/>
      <ns0:c r="D731" s="201"/>
      <ns0:c r="E731" s="209"/>
      <ns0:c r="F731" s="200"/>
      <ns0:c r="G731" s="200"/>
      <ns0:c r="H731" s="210" t="str">
        <ns0:f>IF('_Engine'!A731=0,"",IF('_Engine'!$B$6&gt;0,"REVIEW",IF('_Engine'!L731&gt;0,"REVIEW",'_Engine'!G731)))</ns0:f>
        <ns0:v/>
      </ns0:c>
      <ns0:c r="I731" s="207"/>
      <ns0:c r="J731" s="208" t="str">
        <ns0:f>IF('_Engine'!K731="OK","OK · "&amp;TEXT('_Dates'!J731,"dd mmm yyyy")&amp;IF('_Dates'!J731='_Dates'!T731,""," → "&amp;TEXT('_Dates'!T731,"dd mmm yyyy")),'_Engine'!K731)</ns0:f>
        <ns0:v/>
      </ns0:c>
    </ns0:row>
    <ns0:row r="732" ht="32" customHeight="1">
      <ns0:c r="A732" s="200"/>
      <ns0:c r="B732" s="201"/>
      <ns0:c r="C732" s="209"/>
      <ns0:c r="D732" s="201"/>
      <ns0:c r="E732" s="209"/>
      <ns0:c r="F732" s="200"/>
      <ns0:c r="G732" s="200"/>
      <ns0:c r="H732" s="210" t="str">
        <ns0:f>IF('_Engine'!A732=0,"",IF('_Engine'!$B$6&gt;0,"REVIEW",IF('_Engine'!L732&gt;0,"REVIEW",'_Engine'!G732)))</ns0:f>
        <ns0:v/>
      </ns0:c>
      <ns0:c r="I732" s="207"/>
      <ns0:c r="J732" s="208" t="str">
        <ns0:f>IF('_Engine'!K732="OK","OK · "&amp;TEXT('_Dates'!J732,"dd mmm yyyy")&amp;IF('_Dates'!J732='_Dates'!T732,""," → "&amp;TEXT('_Dates'!T732,"dd mmm yyyy")),'_Engine'!K732)</ns0:f>
        <ns0:v/>
      </ns0:c>
    </ns0:row>
    <ns0:row r="733" ht="32" customHeight="1">
      <ns0:c r="A733" s="200"/>
      <ns0:c r="B733" s="201"/>
      <ns0:c r="C733" s="209"/>
      <ns0:c r="D733" s="201"/>
      <ns0:c r="E733" s="209"/>
      <ns0:c r="F733" s="200"/>
      <ns0:c r="G733" s="200"/>
      <ns0:c r="H733" s="210" t="str">
        <ns0:f>IF('_Engine'!A733=0,"",IF('_Engine'!$B$6&gt;0,"REVIEW",IF('_Engine'!L733&gt;0,"REVIEW",'_Engine'!G733)))</ns0:f>
        <ns0:v/>
      </ns0:c>
      <ns0:c r="I733" s="207"/>
      <ns0:c r="J733" s="208" t="str">
        <ns0:f>IF('_Engine'!K733="OK","OK · "&amp;TEXT('_Dates'!J733,"dd mmm yyyy")&amp;IF('_Dates'!J733='_Dates'!T733,""," → "&amp;TEXT('_Dates'!T733,"dd mmm yyyy")),'_Engine'!K733)</ns0:f>
        <ns0:v/>
      </ns0:c>
    </ns0:row>
    <ns0:row r="734" ht="32" customHeight="1">
      <ns0:c r="A734" s="200"/>
      <ns0:c r="B734" s="201"/>
      <ns0:c r="C734" s="209"/>
      <ns0:c r="D734" s="201"/>
      <ns0:c r="E734" s="209"/>
      <ns0:c r="F734" s="200"/>
      <ns0:c r="G734" s="200"/>
      <ns0:c r="H734" s="210" t="str">
        <ns0:f>IF('_Engine'!A734=0,"",IF('_Engine'!$B$6&gt;0,"REVIEW",IF('_Engine'!L734&gt;0,"REVIEW",'_Engine'!G734)))</ns0:f>
        <ns0:v/>
      </ns0:c>
      <ns0:c r="I734" s="207"/>
      <ns0:c r="J734" s="208" t="str">
        <ns0:f>IF('_Engine'!K734="OK","OK · "&amp;TEXT('_Dates'!J734,"dd mmm yyyy")&amp;IF('_Dates'!J734='_Dates'!T734,""," → "&amp;TEXT('_Dates'!T734,"dd mmm yyyy")),'_Engine'!K734)</ns0:f>
        <ns0:v/>
      </ns0:c>
    </ns0:row>
    <ns0:row r="735" ht="32" customHeight="1">
      <ns0:c r="A735" s="200"/>
      <ns0:c r="B735" s="201"/>
      <ns0:c r="C735" s="209"/>
      <ns0:c r="D735" s="201"/>
      <ns0:c r="E735" s="209"/>
      <ns0:c r="F735" s="200"/>
      <ns0:c r="G735" s="200"/>
      <ns0:c r="H735" s="210" t="str">
        <ns0:f>IF('_Engine'!A735=0,"",IF('_Engine'!$B$6&gt;0,"REVIEW",IF('_Engine'!L735&gt;0,"REVIEW",'_Engine'!G735)))</ns0:f>
        <ns0:v/>
      </ns0:c>
      <ns0:c r="I735" s="207"/>
      <ns0:c r="J735" s="208" t="str">
        <ns0:f>IF('_Engine'!K735="OK","OK · "&amp;TEXT('_Dates'!J735,"dd mmm yyyy")&amp;IF('_Dates'!J735='_Dates'!T735,""," → "&amp;TEXT('_Dates'!T735,"dd mmm yyyy")),'_Engine'!K735)</ns0:f>
        <ns0:v/>
      </ns0:c>
    </ns0:row>
    <ns0:row r="736" ht="32" customHeight="1">
      <ns0:c r="A736" s="200"/>
      <ns0:c r="B736" s="201"/>
      <ns0:c r="C736" s="209"/>
      <ns0:c r="D736" s="201"/>
      <ns0:c r="E736" s="209"/>
      <ns0:c r="F736" s="200"/>
      <ns0:c r="G736" s="200"/>
      <ns0:c r="H736" s="210" t="str">
        <ns0:f>IF('_Engine'!A736=0,"",IF('_Engine'!$B$6&gt;0,"REVIEW",IF('_Engine'!L736&gt;0,"REVIEW",'_Engine'!G736)))</ns0:f>
        <ns0:v/>
      </ns0:c>
      <ns0:c r="I736" s="207"/>
      <ns0:c r="J736" s="208" t="str">
        <ns0:f>IF('_Engine'!K736="OK","OK · "&amp;TEXT('_Dates'!J736,"dd mmm yyyy")&amp;IF('_Dates'!J736='_Dates'!T736,""," → "&amp;TEXT('_Dates'!T736,"dd mmm yyyy")),'_Engine'!K736)</ns0:f>
        <ns0:v/>
      </ns0:c>
    </ns0:row>
    <ns0:row r="737" ht="32" customHeight="1">
      <ns0:c r="A737" s="200"/>
      <ns0:c r="B737" s="201"/>
      <ns0:c r="C737" s="209"/>
      <ns0:c r="D737" s="201"/>
      <ns0:c r="E737" s="209"/>
      <ns0:c r="F737" s="200"/>
      <ns0:c r="G737" s="200"/>
      <ns0:c r="H737" s="210" t="str">
        <ns0:f>IF('_Engine'!A737=0,"",IF('_Engine'!$B$6&gt;0,"REVIEW",IF('_Engine'!L737&gt;0,"REVIEW",'_Engine'!G737)))</ns0:f>
        <ns0:v/>
      </ns0:c>
      <ns0:c r="I737" s="207"/>
      <ns0:c r="J737" s="208" t="str">
        <ns0:f>IF('_Engine'!K737="OK","OK · "&amp;TEXT('_Dates'!J737,"dd mmm yyyy")&amp;IF('_Dates'!J737='_Dates'!T737,""," → "&amp;TEXT('_Dates'!T737,"dd mmm yyyy")),'_Engine'!K737)</ns0:f>
        <ns0:v/>
      </ns0:c>
    </ns0:row>
    <ns0:row r="738" ht="32" customHeight="1">
      <ns0:c r="A738" s="200"/>
      <ns0:c r="B738" s="201"/>
      <ns0:c r="C738" s="209"/>
      <ns0:c r="D738" s="201"/>
      <ns0:c r="E738" s="209"/>
      <ns0:c r="F738" s="200"/>
      <ns0:c r="G738" s="200"/>
      <ns0:c r="H738" s="210" t="str">
        <ns0:f>IF('_Engine'!A738=0,"",IF('_Engine'!$B$6&gt;0,"REVIEW",IF('_Engine'!L738&gt;0,"REVIEW",'_Engine'!G738)))</ns0:f>
        <ns0:v/>
      </ns0:c>
      <ns0:c r="I738" s="207"/>
      <ns0:c r="J738" s="208" t="str">
        <ns0:f>IF('_Engine'!K738="OK","OK · "&amp;TEXT('_Dates'!J738,"dd mmm yyyy")&amp;IF('_Dates'!J738='_Dates'!T738,""," → "&amp;TEXT('_Dates'!T738,"dd mmm yyyy")),'_Engine'!K738)</ns0:f>
        <ns0:v/>
      </ns0:c>
    </ns0:row>
    <ns0:row r="739" ht="32" customHeight="1">
      <ns0:c r="A739" s="200"/>
      <ns0:c r="B739" s="201"/>
      <ns0:c r="C739" s="209"/>
      <ns0:c r="D739" s="201"/>
      <ns0:c r="E739" s="209"/>
      <ns0:c r="F739" s="200"/>
      <ns0:c r="G739" s="200"/>
      <ns0:c r="H739" s="210" t="str">
        <ns0:f>IF('_Engine'!A739=0,"",IF('_Engine'!$B$6&gt;0,"REVIEW",IF('_Engine'!L739&gt;0,"REVIEW",'_Engine'!G739)))</ns0:f>
        <ns0:v/>
      </ns0:c>
      <ns0:c r="I739" s="207"/>
      <ns0:c r="J739" s="208" t="str">
        <ns0:f>IF('_Engine'!K739="OK","OK · "&amp;TEXT('_Dates'!J739,"dd mmm yyyy")&amp;IF('_Dates'!J739='_Dates'!T739,""," → "&amp;TEXT('_Dates'!T739,"dd mmm yyyy")),'_Engine'!K739)</ns0:f>
        <ns0:v/>
      </ns0:c>
    </ns0:row>
    <ns0:row r="740" ht="32" customHeight="1">
      <ns0:c r="A740" s="200"/>
      <ns0:c r="B740" s="201"/>
      <ns0:c r="C740" s="209"/>
      <ns0:c r="D740" s="201"/>
      <ns0:c r="E740" s="209"/>
      <ns0:c r="F740" s="200"/>
      <ns0:c r="G740" s="200"/>
      <ns0:c r="H740" s="210" t="str">
        <ns0:f>IF('_Engine'!A740=0,"",IF('_Engine'!$B$6&gt;0,"REVIEW",IF('_Engine'!L740&gt;0,"REVIEW",'_Engine'!G740)))</ns0:f>
        <ns0:v/>
      </ns0:c>
      <ns0:c r="I740" s="207"/>
      <ns0:c r="J740" s="208" t="str">
        <ns0:f>IF('_Engine'!K740="OK","OK · "&amp;TEXT('_Dates'!J740,"dd mmm yyyy")&amp;IF('_Dates'!J740='_Dates'!T740,""," → "&amp;TEXT('_Dates'!T740,"dd mmm yyyy")),'_Engine'!K740)</ns0:f>
        <ns0:v/>
      </ns0:c>
    </ns0:row>
    <ns0:row r="741" ht="32" customHeight="1">
      <ns0:c r="A741" s="200"/>
      <ns0:c r="B741" s="201"/>
      <ns0:c r="C741" s="209"/>
      <ns0:c r="D741" s="201"/>
      <ns0:c r="E741" s="209"/>
      <ns0:c r="F741" s="200"/>
      <ns0:c r="G741" s="200"/>
      <ns0:c r="H741" s="210" t="str">
        <ns0:f>IF('_Engine'!A741=0,"",IF('_Engine'!$B$6&gt;0,"REVIEW",IF('_Engine'!L741&gt;0,"REVIEW",'_Engine'!G741)))</ns0:f>
        <ns0:v/>
      </ns0:c>
      <ns0:c r="I741" s="207"/>
      <ns0:c r="J741" s="208" t="str">
        <ns0:f>IF('_Engine'!K741="OK","OK · "&amp;TEXT('_Dates'!J741,"dd mmm yyyy")&amp;IF('_Dates'!J741='_Dates'!T741,""," → "&amp;TEXT('_Dates'!T741,"dd mmm yyyy")),'_Engine'!K741)</ns0:f>
        <ns0:v/>
      </ns0:c>
    </ns0:row>
    <ns0:row r="742" ht="32" customHeight="1">
      <ns0:c r="A742" s="200"/>
      <ns0:c r="B742" s="201"/>
      <ns0:c r="C742" s="209"/>
      <ns0:c r="D742" s="201"/>
      <ns0:c r="E742" s="209"/>
      <ns0:c r="F742" s="200"/>
      <ns0:c r="G742" s="200"/>
      <ns0:c r="H742" s="210" t="str">
        <ns0:f>IF('_Engine'!A742=0,"",IF('_Engine'!$B$6&gt;0,"REVIEW",IF('_Engine'!L742&gt;0,"REVIEW",'_Engine'!G742)))</ns0:f>
        <ns0:v/>
      </ns0:c>
      <ns0:c r="I742" s="207"/>
      <ns0:c r="J742" s="208" t="str">
        <ns0:f>IF('_Engine'!K742="OK","OK · "&amp;TEXT('_Dates'!J742,"dd mmm yyyy")&amp;IF('_Dates'!J742='_Dates'!T742,""," → "&amp;TEXT('_Dates'!T742,"dd mmm yyyy")),'_Engine'!K742)</ns0:f>
        <ns0:v/>
      </ns0:c>
    </ns0:row>
    <ns0:row r="743" ht="32" customHeight="1">
      <ns0:c r="A743" s="200"/>
      <ns0:c r="B743" s="201"/>
      <ns0:c r="C743" s="209"/>
      <ns0:c r="D743" s="201"/>
      <ns0:c r="E743" s="209"/>
      <ns0:c r="F743" s="200"/>
      <ns0:c r="G743" s="200"/>
      <ns0:c r="H743" s="210" t="str">
        <ns0:f>IF('_Engine'!A743=0,"",IF('_Engine'!$B$6&gt;0,"REVIEW",IF('_Engine'!L743&gt;0,"REVIEW",'_Engine'!G743)))</ns0:f>
        <ns0:v/>
      </ns0:c>
      <ns0:c r="I743" s="207"/>
      <ns0:c r="J743" s="208" t="str">
        <ns0:f>IF('_Engine'!K743="OK","OK · "&amp;TEXT('_Dates'!J743,"dd mmm yyyy")&amp;IF('_Dates'!J743='_Dates'!T743,""," → "&amp;TEXT('_Dates'!T743,"dd mmm yyyy")),'_Engine'!K743)</ns0:f>
        <ns0:v/>
      </ns0:c>
    </ns0:row>
    <ns0:row r="744" ht="32" customHeight="1">
      <ns0:c r="A744" s="200"/>
      <ns0:c r="B744" s="201"/>
      <ns0:c r="C744" s="209"/>
      <ns0:c r="D744" s="201"/>
      <ns0:c r="E744" s="209"/>
      <ns0:c r="F744" s="200"/>
      <ns0:c r="G744" s="200"/>
      <ns0:c r="H744" s="210" t="str">
        <ns0:f>IF('_Engine'!A744=0,"",IF('_Engine'!$B$6&gt;0,"REVIEW",IF('_Engine'!L744&gt;0,"REVIEW",'_Engine'!G744)))</ns0:f>
        <ns0:v/>
      </ns0:c>
      <ns0:c r="I744" s="207"/>
      <ns0:c r="J744" s="208" t="str">
        <ns0:f>IF('_Engine'!K744="OK","OK · "&amp;TEXT('_Dates'!J744,"dd mmm yyyy")&amp;IF('_Dates'!J744='_Dates'!T744,""," → "&amp;TEXT('_Dates'!T744,"dd mmm yyyy")),'_Engine'!K744)</ns0:f>
        <ns0:v/>
      </ns0:c>
    </ns0:row>
    <ns0:row r="745" ht="32" customHeight="1">
      <ns0:c r="A745" s="200"/>
      <ns0:c r="B745" s="201"/>
      <ns0:c r="C745" s="209"/>
      <ns0:c r="D745" s="201"/>
      <ns0:c r="E745" s="209"/>
      <ns0:c r="F745" s="200"/>
      <ns0:c r="G745" s="200"/>
      <ns0:c r="H745" s="210" t="str">
        <ns0:f>IF('_Engine'!A745=0,"",IF('_Engine'!$B$6&gt;0,"REVIEW",IF('_Engine'!L745&gt;0,"REVIEW",'_Engine'!G745)))</ns0:f>
        <ns0:v/>
      </ns0:c>
      <ns0:c r="I745" s="207"/>
      <ns0:c r="J745" s="208" t="str">
        <ns0:f>IF('_Engine'!K745="OK","OK · "&amp;TEXT('_Dates'!J745,"dd mmm yyyy")&amp;IF('_Dates'!J745='_Dates'!T745,""," → "&amp;TEXT('_Dates'!T745,"dd mmm yyyy")),'_Engine'!K745)</ns0:f>
        <ns0:v/>
      </ns0:c>
    </ns0:row>
    <ns0:row r="746" ht="32" customHeight="1">
      <ns0:c r="A746" s="200"/>
      <ns0:c r="B746" s="201"/>
      <ns0:c r="C746" s="209"/>
      <ns0:c r="D746" s="201"/>
      <ns0:c r="E746" s="209"/>
      <ns0:c r="F746" s="200"/>
      <ns0:c r="G746" s="200"/>
      <ns0:c r="H746" s="210" t="str">
        <ns0:f>IF('_Engine'!A746=0,"",IF('_Engine'!$B$6&gt;0,"REVIEW",IF('_Engine'!L746&gt;0,"REVIEW",'_Engine'!G746)))</ns0:f>
        <ns0:v/>
      </ns0:c>
      <ns0:c r="I746" s="207"/>
      <ns0:c r="J746" s="208" t="str">
        <ns0:f>IF('_Engine'!K746="OK","OK · "&amp;TEXT('_Dates'!J746,"dd mmm yyyy")&amp;IF('_Dates'!J746='_Dates'!T746,""," → "&amp;TEXT('_Dates'!T746,"dd mmm yyyy")),'_Engine'!K746)</ns0:f>
        <ns0:v/>
      </ns0:c>
    </ns0:row>
    <ns0:row r="747" ht="32" customHeight="1">
      <ns0:c r="A747" s="200"/>
      <ns0:c r="B747" s="201"/>
      <ns0:c r="C747" s="209"/>
      <ns0:c r="D747" s="201"/>
      <ns0:c r="E747" s="209"/>
      <ns0:c r="F747" s="200"/>
      <ns0:c r="G747" s="200"/>
      <ns0:c r="H747" s="210" t="str">
        <ns0:f>IF('_Engine'!A747=0,"",IF('_Engine'!$B$6&gt;0,"REVIEW",IF('_Engine'!L747&gt;0,"REVIEW",'_Engine'!G747)))</ns0:f>
        <ns0:v/>
      </ns0:c>
      <ns0:c r="I747" s="207"/>
      <ns0:c r="J747" s="208" t="str">
        <ns0:f>IF('_Engine'!K747="OK","OK · "&amp;TEXT('_Dates'!J747,"dd mmm yyyy")&amp;IF('_Dates'!J747='_Dates'!T747,""," → "&amp;TEXT('_Dates'!T747,"dd mmm yyyy")),'_Engine'!K747)</ns0:f>
        <ns0:v/>
      </ns0:c>
    </ns0:row>
    <ns0:row r="748" ht="32" customHeight="1">
      <ns0:c r="A748" s="200"/>
      <ns0:c r="B748" s="201"/>
      <ns0:c r="C748" s="209"/>
      <ns0:c r="D748" s="201"/>
      <ns0:c r="E748" s="209"/>
      <ns0:c r="F748" s="200"/>
      <ns0:c r="G748" s="200"/>
      <ns0:c r="H748" s="210" t="str">
        <ns0:f>IF('_Engine'!A748=0,"",IF('_Engine'!$B$6&gt;0,"REVIEW",IF('_Engine'!L748&gt;0,"REVIEW",'_Engine'!G748)))</ns0:f>
        <ns0:v/>
      </ns0:c>
      <ns0:c r="I748" s="207"/>
      <ns0:c r="J748" s="208" t="str">
        <ns0:f>IF('_Engine'!K748="OK","OK · "&amp;TEXT('_Dates'!J748,"dd mmm yyyy")&amp;IF('_Dates'!J748='_Dates'!T748,""," → "&amp;TEXT('_Dates'!T748,"dd mmm yyyy")),'_Engine'!K748)</ns0:f>
        <ns0:v/>
      </ns0:c>
    </ns0:row>
    <ns0:row r="749" ht="32" customHeight="1">
      <ns0:c r="A749" s="200"/>
      <ns0:c r="B749" s="201"/>
      <ns0:c r="C749" s="209"/>
      <ns0:c r="D749" s="201"/>
      <ns0:c r="E749" s="209"/>
      <ns0:c r="F749" s="200"/>
      <ns0:c r="G749" s="200"/>
      <ns0:c r="H749" s="210" t="str">
        <ns0:f>IF('_Engine'!A749=0,"",IF('_Engine'!$B$6&gt;0,"REVIEW",IF('_Engine'!L749&gt;0,"REVIEW",'_Engine'!G749)))</ns0:f>
        <ns0:v/>
      </ns0:c>
      <ns0:c r="I749" s="207"/>
      <ns0:c r="J749" s="208" t="str">
        <ns0:f>IF('_Engine'!K749="OK","OK · "&amp;TEXT('_Dates'!J749,"dd mmm yyyy")&amp;IF('_Dates'!J749='_Dates'!T749,""," → "&amp;TEXT('_Dates'!T749,"dd mmm yyyy")),'_Engine'!K749)</ns0:f>
        <ns0:v/>
      </ns0:c>
    </ns0:row>
    <ns0:row r="750" ht="32" customHeight="1">
      <ns0:c r="A750" s="200"/>
      <ns0:c r="B750" s="201"/>
      <ns0:c r="C750" s="209"/>
      <ns0:c r="D750" s="201"/>
      <ns0:c r="E750" s="209"/>
      <ns0:c r="F750" s="200"/>
      <ns0:c r="G750" s="200"/>
      <ns0:c r="H750" s="210" t="str">
        <ns0:f>IF('_Engine'!A750=0,"",IF('_Engine'!$B$6&gt;0,"REVIEW",IF('_Engine'!L750&gt;0,"REVIEW",'_Engine'!G750)))</ns0:f>
        <ns0:v/>
      </ns0:c>
      <ns0:c r="I750" s="207"/>
      <ns0:c r="J750" s="208" t="str">
        <ns0:f>IF('_Engine'!K750="OK","OK · "&amp;TEXT('_Dates'!J750,"dd mmm yyyy")&amp;IF('_Dates'!J750='_Dates'!T750,""," → "&amp;TEXT('_Dates'!T750,"dd mmm yyyy")),'_Engine'!K750)</ns0:f>
        <ns0:v/>
      </ns0:c>
    </ns0:row>
    <ns0:row r="751" ht="32" customHeight="1">
      <ns0:c r="A751" s="200"/>
      <ns0:c r="B751" s="201"/>
      <ns0:c r="C751" s="209"/>
      <ns0:c r="D751" s="201"/>
      <ns0:c r="E751" s="209"/>
      <ns0:c r="F751" s="200"/>
      <ns0:c r="G751" s="200"/>
      <ns0:c r="H751" s="210" t="str">
        <ns0:f>IF('_Engine'!A751=0,"",IF('_Engine'!$B$6&gt;0,"REVIEW",IF('_Engine'!L751&gt;0,"REVIEW",'_Engine'!G751)))</ns0:f>
        <ns0:v/>
      </ns0:c>
      <ns0:c r="I751" s="207"/>
      <ns0:c r="J751" s="208" t="str">
        <ns0:f>IF('_Engine'!K751="OK","OK · "&amp;TEXT('_Dates'!J751,"dd mmm yyyy")&amp;IF('_Dates'!J751='_Dates'!T751,""," → "&amp;TEXT('_Dates'!T751,"dd mmm yyyy")),'_Engine'!K751)</ns0:f>
        <ns0:v/>
      </ns0:c>
    </ns0:row>
    <ns0:row r="752" ht="32" customHeight="1">
      <ns0:c r="A752" s="200"/>
      <ns0:c r="B752" s="201"/>
      <ns0:c r="C752" s="209"/>
      <ns0:c r="D752" s="201"/>
      <ns0:c r="E752" s="209"/>
      <ns0:c r="F752" s="200"/>
      <ns0:c r="G752" s="200"/>
      <ns0:c r="H752" s="210" t="str">
        <ns0:f>IF('_Engine'!A752=0,"",IF('_Engine'!$B$6&gt;0,"REVIEW",IF('_Engine'!L752&gt;0,"REVIEW",'_Engine'!G752)))</ns0:f>
        <ns0:v/>
      </ns0:c>
      <ns0:c r="I752" s="207"/>
      <ns0:c r="J752" s="208" t="str">
        <ns0:f>IF('_Engine'!K752="OK","OK · "&amp;TEXT('_Dates'!J752,"dd mmm yyyy")&amp;IF('_Dates'!J752='_Dates'!T752,""," → "&amp;TEXT('_Dates'!T752,"dd mmm yyyy")),'_Engine'!K752)</ns0:f>
        <ns0:v/>
      </ns0:c>
    </ns0:row>
    <ns0:row r="753" ht="32" customHeight="1">
      <ns0:c r="A753" s="200"/>
      <ns0:c r="B753" s="201"/>
      <ns0:c r="C753" s="209"/>
      <ns0:c r="D753" s="201"/>
      <ns0:c r="E753" s="209"/>
      <ns0:c r="F753" s="200"/>
      <ns0:c r="G753" s="200"/>
      <ns0:c r="H753" s="210" t="str">
        <ns0:f>IF('_Engine'!A753=0,"",IF('_Engine'!$B$6&gt;0,"REVIEW",IF('_Engine'!L753&gt;0,"REVIEW",'_Engine'!G753)))</ns0:f>
        <ns0:v/>
      </ns0:c>
      <ns0:c r="I753" s="207"/>
      <ns0:c r="J753" s="208" t="str">
        <ns0:f>IF('_Engine'!K753="OK","OK · "&amp;TEXT('_Dates'!J753,"dd mmm yyyy")&amp;IF('_Dates'!J753='_Dates'!T753,""," → "&amp;TEXT('_Dates'!T753,"dd mmm yyyy")),'_Engine'!K753)</ns0:f>
        <ns0:v/>
      </ns0:c>
    </ns0:row>
    <ns0:row r="754" ht="32" customHeight="1">
      <ns0:c r="A754" s="200"/>
      <ns0:c r="B754" s="201"/>
      <ns0:c r="C754" s="209"/>
      <ns0:c r="D754" s="201"/>
      <ns0:c r="E754" s="209"/>
      <ns0:c r="F754" s="200"/>
      <ns0:c r="G754" s="200"/>
      <ns0:c r="H754" s="210" t="str">
        <ns0:f>IF('_Engine'!A754=0,"",IF('_Engine'!$B$6&gt;0,"REVIEW",IF('_Engine'!L754&gt;0,"REVIEW",'_Engine'!G754)))</ns0:f>
        <ns0:v/>
      </ns0:c>
      <ns0:c r="I754" s="207"/>
      <ns0:c r="J754" s="208" t="str">
        <ns0:f>IF('_Engine'!K754="OK","OK · "&amp;TEXT('_Dates'!J754,"dd mmm yyyy")&amp;IF('_Dates'!J754='_Dates'!T754,""," → "&amp;TEXT('_Dates'!T754,"dd mmm yyyy")),'_Engine'!K754)</ns0:f>
        <ns0:v/>
      </ns0:c>
    </ns0:row>
    <ns0:row r="755" ht="32" customHeight="1">
      <ns0:c r="A755" s="200"/>
      <ns0:c r="B755" s="201"/>
      <ns0:c r="C755" s="209"/>
      <ns0:c r="D755" s="201"/>
      <ns0:c r="E755" s="209"/>
      <ns0:c r="F755" s="200"/>
      <ns0:c r="G755" s="200"/>
      <ns0:c r="H755" s="210" t="str">
        <ns0:f>IF('_Engine'!A755=0,"",IF('_Engine'!$B$6&gt;0,"REVIEW",IF('_Engine'!L755&gt;0,"REVIEW",'_Engine'!G755)))</ns0:f>
        <ns0:v/>
      </ns0:c>
      <ns0:c r="I755" s="207"/>
      <ns0:c r="J755" s="208" t="str">
        <ns0:f>IF('_Engine'!K755="OK","OK · "&amp;TEXT('_Dates'!J755,"dd mmm yyyy")&amp;IF('_Dates'!J755='_Dates'!T755,""," → "&amp;TEXT('_Dates'!T755,"dd mmm yyyy")),'_Engine'!K755)</ns0:f>
        <ns0:v/>
      </ns0:c>
    </ns0:row>
    <ns0:row r="756" ht="32" customHeight="1">
      <ns0:c r="A756" s="200"/>
      <ns0:c r="B756" s="201"/>
      <ns0:c r="C756" s="209"/>
      <ns0:c r="D756" s="201"/>
      <ns0:c r="E756" s="209"/>
      <ns0:c r="F756" s="200"/>
      <ns0:c r="G756" s="200"/>
      <ns0:c r="H756" s="210" t="str">
        <ns0:f>IF('_Engine'!A756=0,"",IF('_Engine'!$B$6&gt;0,"REVIEW",IF('_Engine'!L756&gt;0,"REVIEW",'_Engine'!G756)))</ns0:f>
        <ns0:v/>
      </ns0:c>
      <ns0:c r="I756" s="207"/>
      <ns0:c r="J756" s="208" t="str">
        <ns0:f>IF('_Engine'!K756="OK","OK · "&amp;TEXT('_Dates'!J756,"dd mmm yyyy")&amp;IF('_Dates'!J756='_Dates'!T756,""," → "&amp;TEXT('_Dates'!T756,"dd mmm yyyy")),'_Engine'!K756)</ns0:f>
        <ns0:v/>
      </ns0:c>
    </ns0:row>
    <ns0:row r="757" ht="32" customHeight="1">
      <ns0:c r="A757" s="200"/>
      <ns0:c r="B757" s="201"/>
      <ns0:c r="C757" s="209"/>
      <ns0:c r="D757" s="201"/>
      <ns0:c r="E757" s="209"/>
      <ns0:c r="F757" s="200"/>
      <ns0:c r="G757" s="200"/>
      <ns0:c r="H757" s="210" t="str">
        <ns0:f>IF('_Engine'!A757=0,"",IF('_Engine'!$B$6&gt;0,"REVIEW",IF('_Engine'!L757&gt;0,"REVIEW",'_Engine'!G757)))</ns0:f>
        <ns0:v/>
      </ns0:c>
      <ns0:c r="I757" s="207"/>
      <ns0:c r="J757" s="208" t="str">
        <ns0:f>IF('_Engine'!K757="OK","OK · "&amp;TEXT('_Dates'!J757,"dd mmm yyyy")&amp;IF('_Dates'!J757='_Dates'!T757,""," → "&amp;TEXT('_Dates'!T757,"dd mmm yyyy")),'_Engine'!K757)</ns0:f>
        <ns0:v/>
      </ns0:c>
    </ns0:row>
    <ns0:row r="758" ht="32" customHeight="1">
      <ns0:c r="A758" s="200"/>
      <ns0:c r="B758" s="201"/>
      <ns0:c r="C758" s="209"/>
      <ns0:c r="D758" s="201"/>
      <ns0:c r="E758" s="209"/>
      <ns0:c r="F758" s="200"/>
      <ns0:c r="G758" s="200"/>
      <ns0:c r="H758" s="210" t="str">
        <ns0:f>IF('_Engine'!A758=0,"",IF('_Engine'!$B$6&gt;0,"REVIEW",IF('_Engine'!L758&gt;0,"REVIEW",'_Engine'!G758)))</ns0:f>
        <ns0:v/>
      </ns0:c>
      <ns0:c r="I758" s="207"/>
      <ns0:c r="J758" s="208" t="str">
        <ns0:f>IF('_Engine'!K758="OK","OK · "&amp;TEXT('_Dates'!J758,"dd mmm yyyy")&amp;IF('_Dates'!J758='_Dates'!T758,""," → "&amp;TEXT('_Dates'!T758,"dd mmm yyyy")),'_Engine'!K758)</ns0:f>
        <ns0:v/>
      </ns0:c>
    </ns0:row>
    <ns0:row r="759" ht="32" customHeight="1">
      <ns0:c r="A759" s="200"/>
      <ns0:c r="B759" s="201"/>
      <ns0:c r="C759" s="209"/>
      <ns0:c r="D759" s="201"/>
      <ns0:c r="E759" s="209"/>
      <ns0:c r="F759" s="200"/>
      <ns0:c r="G759" s="200"/>
      <ns0:c r="H759" s="210" t="str">
        <ns0:f>IF('_Engine'!A759=0,"",IF('_Engine'!$B$6&gt;0,"REVIEW",IF('_Engine'!L759&gt;0,"REVIEW",'_Engine'!G759)))</ns0:f>
        <ns0:v/>
      </ns0:c>
      <ns0:c r="I759" s="207"/>
      <ns0:c r="J759" s="208" t="str">
        <ns0:f>IF('_Engine'!K759="OK","OK · "&amp;TEXT('_Dates'!J759,"dd mmm yyyy")&amp;IF('_Dates'!J759='_Dates'!T759,""," → "&amp;TEXT('_Dates'!T759,"dd mmm yyyy")),'_Engine'!K759)</ns0:f>
        <ns0:v/>
      </ns0:c>
    </ns0:row>
    <ns0:row r="760" ht="32" customHeight="1">
      <ns0:c r="A760" s="200"/>
      <ns0:c r="B760" s="201"/>
      <ns0:c r="C760" s="209"/>
      <ns0:c r="D760" s="201"/>
      <ns0:c r="E760" s="209"/>
      <ns0:c r="F760" s="200"/>
      <ns0:c r="G760" s="200"/>
      <ns0:c r="H760" s="210" t="str">
        <ns0:f>IF('_Engine'!A760=0,"",IF('_Engine'!$B$6&gt;0,"REVIEW",IF('_Engine'!L760&gt;0,"REVIEW",'_Engine'!G760)))</ns0:f>
        <ns0:v/>
      </ns0:c>
      <ns0:c r="I760" s="207"/>
      <ns0:c r="J760" s="208" t="str">
        <ns0:f>IF('_Engine'!K760="OK","OK · "&amp;TEXT('_Dates'!J760,"dd mmm yyyy")&amp;IF('_Dates'!J760='_Dates'!T760,""," → "&amp;TEXT('_Dates'!T760,"dd mmm yyyy")),'_Engine'!K760)</ns0:f>
        <ns0:v/>
      </ns0:c>
    </ns0:row>
    <ns0:row r="761" ht="32" customHeight="1">
      <ns0:c r="A761" s="200"/>
      <ns0:c r="B761" s="201"/>
      <ns0:c r="C761" s="209"/>
      <ns0:c r="D761" s="201"/>
      <ns0:c r="E761" s="209"/>
      <ns0:c r="F761" s="200"/>
      <ns0:c r="G761" s="200"/>
      <ns0:c r="H761" s="210" t="str">
        <ns0:f>IF('_Engine'!A761=0,"",IF('_Engine'!$B$6&gt;0,"REVIEW",IF('_Engine'!L761&gt;0,"REVIEW",'_Engine'!G761)))</ns0:f>
        <ns0:v/>
      </ns0:c>
      <ns0:c r="I761" s="207"/>
      <ns0:c r="J761" s="208" t="str">
        <ns0:f>IF('_Engine'!K761="OK","OK · "&amp;TEXT('_Dates'!J761,"dd mmm yyyy")&amp;IF('_Dates'!J761='_Dates'!T761,""," → "&amp;TEXT('_Dates'!T761,"dd mmm yyyy")),'_Engine'!K761)</ns0:f>
        <ns0:v/>
      </ns0:c>
    </ns0:row>
    <ns0:row r="762" ht="32" customHeight="1">
      <ns0:c r="A762" s="200"/>
      <ns0:c r="B762" s="201"/>
      <ns0:c r="C762" s="209"/>
      <ns0:c r="D762" s="201"/>
      <ns0:c r="E762" s="209"/>
      <ns0:c r="F762" s="200"/>
      <ns0:c r="G762" s="200"/>
      <ns0:c r="H762" s="210" t="str">
        <ns0:f>IF('_Engine'!A762=0,"",IF('_Engine'!$B$6&gt;0,"REVIEW",IF('_Engine'!L762&gt;0,"REVIEW",'_Engine'!G762)))</ns0:f>
        <ns0:v/>
      </ns0:c>
      <ns0:c r="I762" s="207"/>
      <ns0:c r="J762" s="208" t="str">
        <ns0:f>IF('_Engine'!K762="OK","OK · "&amp;TEXT('_Dates'!J762,"dd mmm yyyy")&amp;IF('_Dates'!J762='_Dates'!T762,""," → "&amp;TEXT('_Dates'!T762,"dd mmm yyyy")),'_Engine'!K762)</ns0:f>
        <ns0:v/>
      </ns0:c>
    </ns0:row>
    <ns0:row r="763" ht="32" customHeight="1">
      <ns0:c r="A763" s="200"/>
      <ns0:c r="B763" s="201"/>
      <ns0:c r="C763" s="209"/>
      <ns0:c r="D763" s="201"/>
      <ns0:c r="E763" s="209"/>
      <ns0:c r="F763" s="200"/>
      <ns0:c r="G763" s="200"/>
      <ns0:c r="H763" s="210" t="str">
        <ns0:f>IF('_Engine'!A763=0,"",IF('_Engine'!$B$6&gt;0,"REVIEW",IF('_Engine'!L763&gt;0,"REVIEW",'_Engine'!G763)))</ns0:f>
        <ns0:v/>
      </ns0:c>
      <ns0:c r="I763" s="207"/>
      <ns0:c r="J763" s="208" t="str">
        <ns0:f>IF('_Engine'!K763="OK","OK · "&amp;TEXT('_Dates'!J763,"dd mmm yyyy")&amp;IF('_Dates'!J763='_Dates'!T763,""," → "&amp;TEXT('_Dates'!T763,"dd mmm yyyy")),'_Engine'!K763)</ns0:f>
        <ns0:v/>
      </ns0:c>
    </ns0:row>
    <ns0:row r="764" ht="32" customHeight="1">
      <ns0:c r="A764" s="200"/>
      <ns0:c r="B764" s="201"/>
      <ns0:c r="C764" s="209"/>
      <ns0:c r="D764" s="201"/>
      <ns0:c r="E764" s="209"/>
      <ns0:c r="F764" s="200"/>
      <ns0:c r="G764" s="200"/>
      <ns0:c r="H764" s="210" t="str">
        <ns0:f>IF('_Engine'!A764=0,"",IF('_Engine'!$B$6&gt;0,"REVIEW",IF('_Engine'!L764&gt;0,"REVIEW",'_Engine'!G764)))</ns0:f>
        <ns0:v/>
      </ns0:c>
      <ns0:c r="I764" s="207"/>
      <ns0:c r="J764" s="208" t="str">
        <ns0:f>IF('_Engine'!K764="OK","OK · "&amp;TEXT('_Dates'!J764,"dd mmm yyyy")&amp;IF('_Dates'!J764='_Dates'!T764,""," → "&amp;TEXT('_Dates'!T764,"dd mmm yyyy")),'_Engine'!K764)</ns0:f>
        <ns0:v/>
      </ns0:c>
    </ns0:row>
    <ns0:row r="765" ht="32" customHeight="1">
      <ns0:c r="A765" s="200"/>
      <ns0:c r="B765" s="201"/>
      <ns0:c r="C765" s="209"/>
      <ns0:c r="D765" s="201"/>
      <ns0:c r="E765" s="209"/>
      <ns0:c r="F765" s="200"/>
      <ns0:c r="G765" s="200"/>
      <ns0:c r="H765" s="210" t="str">
        <ns0:f>IF('_Engine'!A765=0,"",IF('_Engine'!$B$6&gt;0,"REVIEW",IF('_Engine'!L765&gt;0,"REVIEW",'_Engine'!G765)))</ns0:f>
        <ns0:v/>
      </ns0:c>
      <ns0:c r="I765" s="207"/>
      <ns0:c r="J765" s="208" t="str">
        <ns0:f>IF('_Engine'!K765="OK","OK · "&amp;TEXT('_Dates'!J765,"dd mmm yyyy")&amp;IF('_Dates'!J765='_Dates'!T765,""," → "&amp;TEXT('_Dates'!T765,"dd mmm yyyy")),'_Engine'!K765)</ns0:f>
        <ns0:v/>
      </ns0:c>
    </ns0:row>
    <ns0:row r="766" ht="32" customHeight="1">
      <ns0:c r="A766" s="200"/>
      <ns0:c r="B766" s="201"/>
      <ns0:c r="C766" s="209"/>
      <ns0:c r="D766" s="201"/>
      <ns0:c r="E766" s="209"/>
      <ns0:c r="F766" s="200"/>
      <ns0:c r="G766" s="200"/>
      <ns0:c r="H766" s="210" t="str">
        <ns0:f>IF('_Engine'!A766=0,"",IF('_Engine'!$B$6&gt;0,"REVIEW",IF('_Engine'!L766&gt;0,"REVIEW",'_Engine'!G766)))</ns0:f>
        <ns0:v/>
      </ns0:c>
      <ns0:c r="I766" s="207"/>
      <ns0:c r="J766" s="208" t="str">
        <ns0:f>IF('_Engine'!K766="OK","OK · "&amp;TEXT('_Dates'!J766,"dd mmm yyyy")&amp;IF('_Dates'!J766='_Dates'!T766,""," → "&amp;TEXT('_Dates'!T766,"dd mmm yyyy")),'_Engine'!K766)</ns0:f>
        <ns0:v/>
      </ns0:c>
    </ns0:row>
    <ns0:row r="767" ht="32" customHeight="1">
      <ns0:c r="A767" s="200"/>
      <ns0:c r="B767" s="201"/>
      <ns0:c r="C767" s="209"/>
      <ns0:c r="D767" s="201"/>
      <ns0:c r="E767" s="209"/>
      <ns0:c r="F767" s="200"/>
      <ns0:c r="G767" s="200"/>
      <ns0:c r="H767" s="210" t="str">
        <ns0:f>IF('_Engine'!A767=0,"",IF('_Engine'!$B$6&gt;0,"REVIEW",IF('_Engine'!L767&gt;0,"REVIEW",'_Engine'!G767)))</ns0:f>
        <ns0:v/>
      </ns0:c>
      <ns0:c r="I767" s="207"/>
      <ns0:c r="J767" s="208" t="str">
        <ns0:f>IF('_Engine'!K767="OK","OK · "&amp;TEXT('_Dates'!J767,"dd mmm yyyy")&amp;IF('_Dates'!J767='_Dates'!T767,""," → "&amp;TEXT('_Dates'!T767,"dd mmm yyyy")),'_Engine'!K767)</ns0:f>
        <ns0:v/>
      </ns0:c>
    </ns0:row>
    <ns0:row r="768" ht="32" customHeight="1">
      <ns0:c r="A768" s="200"/>
      <ns0:c r="B768" s="201"/>
      <ns0:c r="C768" s="209"/>
      <ns0:c r="D768" s="201"/>
      <ns0:c r="E768" s="209"/>
      <ns0:c r="F768" s="200"/>
      <ns0:c r="G768" s="200"/>
      <ns0:c r="H768" s="210" t="str">
        <ns0:f>IF('_Engine'!A768=0,"",IF('_Engine'!$B$6&gt;0,"REVIEW",IF('_Engine'!L768&gt;0,"REVIEW",'_Engine'!G768)))</ns0:f>
        <ns0:v/>
      </ns0:c>
      <ns0:c r="I768" s="207"/>
      <ns0:c r="J768" s="208" t="str">
        <ns0:f>IF('_Engine'!K768="OK","OK · "&amp;TEXT('_Dates'!J768,"dd mmm yyyy")&amp;IF('_Dates'!J768='_Dates'!T768,""," → "&amp;TEXT('_Dates'!T768,"dd mmm yyyy")),'_Engine'!K768)</ns0:f>
        <ns0:v/>
      </ns0:c>
    </ns0:row>
    <ns0:row r="769" ht="32" customHeight="1">
      <ns0:c r="A769" s="200"/>
      <ns0:c r="B769" s="201"/>
      <ns0:c r="C769" s="209"/>
      <ns0:c r="D769" s="201"/>
      <ns0:c r="E769" s="209"/>
      <ns0:c r="F769" s="200"/>
      <ns0:c r="G769" s="200"/>
      <ns0:c r="H769" s="210" t="str">
        <ns0:f>IF('_Engine'!A769=0,"",IF('_Engine'!$B$6&gt;0,"REVIEW",IF('_Engine'!L769&gt;0,"REVIEW",'_Engine'!G769)))</ns0:f>
        <ns0:v/>
      </ns0:c>
      <ns0:c r="I769" s="207"/>
      <ns0:c r="J769" s="208" t="str">
        <ns0:f>IF('_Engine'!K769="OK","OK · "&amp;TEXT('_Dates'!J769,"dd mmm yyyy")&amp;IF('_Dates'!J769='_Dates'!T769,""," → "&amp;TEXT('_Dates'!T769,"dd mmm yyyy")),'_Engine'!K769)</ns0:f>
        <ns0:v/>
      </ns0:c>
    </ns0:row>
    <ns0:row r="770" ht="32" customHeight="1">
      <ns0:c r="A770" s="200"/>
      <ns0:c r="B770" s="201"/>
      <ns0:c r="C770" s="209"/>
      <ns0:c r="D770" s="201"/>
      <ns0:c r="E770" s="209"/>
      <ns0:c r="F770" s="200"/>
      <ns0:c r="G770" s="200"/>
      <ns0:c r="H770" s="210" t="str">
        <ns0:f>IF('_Engine'!A770=0,"",IF('_Engine'!$B$6&gt;0,"REVIEW",IF('_Engine'!L770&gt;0,"REVIEW",'_Engine'!G770)))</ns0:f>
        <ns0:v/>
      </ns0:c>
      <ns0:c r="I770" s="207"/>
      <ns0:c r="J770" s="208" t="str">
        <ns0:f>IF('_Engine'!K770="OK","OK · "&amp;TEXT('_Dates'!J770,"dd mmm yyyy")&amp;IF('_Dates'!J770='_Dates'!T770,""," → "&amp;TEXT('_Dates'!T770,"dd mmm yyyy")),'_Engine'!K770)</ns0:f>
        <ns0:v/>
      </ns0:c>
    </ns0:row>
    <ns0:row r="771" ht="32" customHeight="1">
      <ns0:c r="A771" s="200"/>
      <ns0:c r="B771" s="201"/>
      <ns0:c r="C771" s="209"/>
      <ns0:c r="D771" s="201"/>
      <ns0:c r="E771" s="209"/>
      <ns0:c r="F771" s="200"/>
      <ns0:c r="G771" s="200"/>
      <ns0:c r="H771" s="210" t="str">
        <ns0:f>IF('_Engine'!A771=0,"",IF('_Engine'!$B$6&gt;0,"REVIEW",IF('_Engine'!L771&gt;0,"REVIEW",'_Engine'!G771)))</ns0:f>
        <ns0:v/>
      </ns0:c>
      <ns0:c r="I771" s="207"/>
      <ns0:c r="J771" s="208" t="str">
        <ns0:f>IF('_Engine'!K771="OK","OK · "&amp;TEXT('_Dates'!J771,"dd mmm yyyy")&amp;IF('_Dates'!J771='_Dates'!T771,""," → "&amp;TEXT('_Dates'!T771,"dd mmm yyyy")),'_Engine'!K771)</ns0:f>
        <ns0:v/>
      </ns0:c>
    </ns0:row>
    <ns0:row r="772" ht="32" customHeight="1">
      <ns0:c r="A772" s="200"/>
      <ns0:c r="B772" s="201"/>
      <ns0:c r="C772" s="209"/>
      <ns0:c r="D772" s="201"/>
      <ns0:c r="E772" s="209"/>
      <ns0:c r="F772" s="200"/>
      <ns0:c r="G772" s="200"/>
      <ns0:c r="H772" s="210" t="str">
        <ns0:f>IF('_Engine'!A772=0,"",IF('_Engine'!$B$6&gt;0,"REVIEW",IF('_Engine'!L772&gt;0,"REVIEW",'_Engine'!G772)))</ns0:f>
        <ns0:v/>
      </ns0:c>
      <ns0:c r="I772" s="207"/>
      <ns0:c r="J772" s="208" t="str">
        <ns0:f>IF('_Engine'!K772="OK","OK · "&amp;TEXT('_Dates'!J772,"dd mmm yyyy")&amp;IF('_Dates'!J772='_Dates'!T772,""," → "&amp;TEXT('_Dates'!T772,"dd mmm yyyy")),'_Engine'!K772)</ns0:f>
        <ns0:v/>
      </ns0:c>
    </ns0:row>
    <ns0:row r="773" ht="32" customHeight="1">
      <ns0:c r="A773" s="200"/>
      <ns0:c r="B773" s="201"/>
      <ns0:c r="C773" s="209"/>
      <ns0:c r="D773" s="201"/>
      <ns0:c r="E773" s="209"/>
      <ns0:c r="F773" s="200"/>
      <ns0:c r="G773" s="200"/>
      <ns0:c r="H773" s="210" t="str">
        <ns0:f>IF('_Engine'!A773=0,"",IF('_Engine'!$B$6&gt;0,"REVIEW",IF('_Engine'!L773&gt;0,"REVIEW",'_Engine'!G773)))</ns0:f>
        <ns0:v/>
      </ns0:c>
      <ns0:c r="I773" s="207"/>
      <ns0:c r="J773" s="208" t="str">
        <ns0:f>IF('_Engine'!K773="OK","OK · "&amp;TEXT('_Dates'!J773,"dd mmm yyyy")&amp;IF('_Dates'!J773='_Dates'!T773,""," → "&amp;TEXT('_Dates'!T773,"dd mmm yyyy")),'_Engine'!K773)</ns0:f>
        <ns0:v/>
      </ns0:c>
    </ns0:row>
    <ns0:row r="774" ht="32" customHeight="1">
      <ns0:c r="A774" s="200"/>
      <ns0:c r="B774" s="201"/>
      <ns0:c r="C774" s="209"/>
      <ns0:c r="D774" s="201"/>
      <ns0:c r="E774" s="209"/>
      <ns0:c r="F774" s="200"/>
      <ns0:c r="G774" s="200"/>
      <ns0:c r="H774" s="210" t="str">
        <ns0:f>IF('_Engine'!A774=0,"",IF('_Engine'!$B$6&gt;0,"REVIEW",IF('_Engine'!L774&gt;0,"REVIEW",'_Engine'!G774)))</ns0:f>
        <ns0:v/>
      </ns0:c>
      <ns0:c r="I774" s="207"/>
      <ns0:c r="J774" s="208" t="str">
        <ns0:f>IF('_Engine'!K774="OK","OK · "&amp;TEXT('_Dates'!J774,"dd mmm yyyy")&amp;IF('_Dates'!J774='_Dates'!T774,""," → "&amp;TEXT('_Dates'!T774,"dd mmm yyyy")),'_Engine'!K774)</ns0:f>
        <ns0:v/>
      </ns0:c>
    </ns0:row>
    <ns0:row r="775" ht="32" customHeight="1">
      <ns0:c r="A775" s="200"/>
      <ns0:c r="B775" s="201"/>
      <ns0:c r="C775" s="209"/>
      <ns0:c r="D775" s="201"/>
      <ns0:c r="E775" s="209"/>
      <ns0:c r="F775" s="200"/>
      <ns0:c r="G775" s="200"/>
      <ns0:c r="H775" s="210" t="str">
        <ns0:f>IF('_Engine'!A775=0,"",IF('_Engine'!$B$6&gt;0,"REVIEW",IF('_Engine'!L775&gt;0,"REVIEW",'_Engine'!G775)))</ns0:f>
        <ns0:v/>
      </ns0:c>
      <ns0:c r="I775" s="207"/>
      <ns0:c r="J775" s="208" t="str">
        <ns0:f>IF('_Engine'!K775="OK","OK · "&amp;TEXT('_Dates'!J775,"dd mmm yyyy")&amp;IF('_Dates'!J775='_Dates'!T775,""," → "&amp;TEXT('_Dates'!T775,"dd mmm yyyy")),'_Engine'!K775)</ns0:f>
        <ns0:v/>
      </ns0:c>
    </ns0:row>
    <ns0:row r="776" ht="32" customHeight="1">
      <ns0:c r="A776" s="200"/>
      <ns0:c r="B776" s="201"/>
      <ns0:c r="C776" s="209"/>
      <ns0:c r="D776" s="201"/>
      <ns0:c r="E776" s="209"/>
      <ns0:c r="F776" s="200"/>
      <ns0:c r="G776" s="200"/>
      <ns0:c r="H776" s="210" t="str">
        <ns0:f>IF('_Engine'!A776=0,"",IF('_Engine'!$B$6&gt;0,"REVIEW",IF('_Engine'!L776&gt;0,"REVIEW",'_Engine'!G776)))</ns0:f>
        <ns0:v/>
      </ns0:c>
      <ns0:c r="I776" s="207"/>
      <ns0:c r="J776" s="208" t="str">
        <ns0:f>IF('_Engine'!K776="OK","OK · "&amp;TEXT('_Dates'!J776,"dd mmm yyyy")&amp;IF('_Dates'!J776='_Dates'!T776,""," → "&amp;TEXT('_Dates'!T776,"dd mmm yyyy")),'_Engine'!K776)</ns0:f>
        <ns0:v/>
      </ns0:c>
    </ns0:row>
    <ns0:row r="777" ht="32" customHeight="1">
      <ns0:c r="A777" s="200"/>
      <ns0:c r="B777" s="201"/>
      <ns0:c r="C777" s="209"/>
      <ns0:c r="D777" s="201"/>
      <ns0:c r="E777" s="209"/>
      <ns0:c r="F777" s="200"/>
      <ns0:c r="G777" s="200"/>
      <ns0:c r="H777" s="210" t="str">
        <ns0:f>IF('_Engine'!A777=0,"",IF('_Engine'!$B$6&gt;0,"REVIEW",IF('_Engine'!L777&gt;0,"REVIEW",'_Engine'!G777)))</ns0:f>
        <ns0:v/>
      </ns0:c>
      <ns0:c r="I777" s="207"/>
      <ns0:c r="J777" s="208" t="str">
        <ns0:f>IF('_Engine'!K777="OK","OK · "&amp;TEXT('_Dates'!J777,"dd mmm yyyy")&amp;IF('_Dates'!J777='_Dates'!T777,""," → "&amp;TEXT('_Dates'!T777,"dd mmm yyyy")),'_Engine'!K777)</ns0:f>
        <ns0:v/>
      </ns0:c>
    </ns0:row>
    <ns0:row r="778" ht="32" customHeight="1">
      <ns0:c r="A778" s="200"/>
      <ns0:c r="B778" s="201"/>
      <ns0:c r="C778" s="209"/>
      <ns0:c r="D778" s="201"/>
      <ns0:c r="E778" s="209"/>
      <ns0:c r="F778" s="200"/>
      <ns0:c r="G778" s="200"/>
      <ns0:c r="H778" s="210" t="str">
        <ns0:f>IF('_Engine'!A778=0,"",IF('_Engine'!$B$6&gt;0,"REVIEW",IF('_Engine'!L778&gt;0,"REVIEW",'_Engine'!G778)))</ns0:f>
        <ns0:v/>
      </ns0:c>
      <ns0:c r="I778" s="207"/>
      <ns0:c r="J778" s="208" t="str">
        <ns0:f>IF('_Engine'!K778="OK","OK · "&amp;TEXT('_Dates'!J778,"dd mmm yyyy")&amp;IF('_Dates'!J778='_Dates'!T778,""," → "&amp;TEXT('_Dates'!T778,"dd mmm yyyy")),'_Engine'!K778)</ns0:f>
        <ns0:v/>
      </ns0:c>
    </ns0:row>
    <ns0:row r="779" ht="32" customHeight="1">
      <ns0:c r="A779" s="200"/>
      <ns0:c r="B779" s="201"/>
      <ns0:c r="C779" s="209"/>
      <ns0:c r="D779" s="201"/>
      <ns0:c r="E779" s="209"/>
      <ns0:c r="F779" s="200"/>
      <ns0:c r="G779" s="200"/>
      <ns0:c r="H779" s="210" t="str">
        <ns0:f>IF('_Engine'!A779=0,"",IF('_Engine'!$B$6&gt;0,"REVIEW",IF('_Engine'!L779&gt;0,"REVIEW",'_Engine'!G779)))</ns0:f>
        <ns0:v/>
      </ns0:c>
      <ns0:c r="I779" s="207"/>
      <ns0:c r="J779" s="208" t="str">
        <ns0:f>IF('_Engine'!K779="OK","OK · "&amp;TEXT('_Dates'!J779,"dd mmm yyyy")&amp;IF('_Dates'!J779='_Dates'!T779,""," → "&amp;TEXT('_Dates'!T779,"dd mmm yyyy")),'_Engine'!K779)</ns0:f>
        <ns0:v/>
      </ns0:c>
    </ns0:row>
    <ns0:row r="780" ht="32" customHeight="1">
      <ns0:c r="A780" s="200"/>
      <ns0:c r="B780" s="201"/>
      <ns0:c r="C780" s="209"/>
      <ns0:c r="D780" s="201"/>
      <ns0:c r="E780" s="209"/>
      <ns0:c r="F780" s="200"/>
      <ns0:c r="G780" s="200"/>
      <ns0:c r="H780" s="210" t="str">
        <ns0:f>IF('_Engine'!A780=0,"",IF('_Engine'!$B$6&gt;0,"REVIEW",IF('_Engine'!L780&gt;0,"REVIEW",'_Engine'!G780)))</ns0:f>
        <ns0:v/>
      </ns0:c>
      <ns0:c r="I780" s="207"/>
      <ns0:c r="J780" s="208" t="str">
        <ns0:f>IF('_Engine'!K780="OK","OK · "&amp;TEXT('_Dates'!J780,"dd mmm yyyy")&amp;IF('_Dates'!J780='_Dates'!T780,""," → "&amp;TEXT('_Dates'!T780,"dd mmm yyyy")),'_Engine'!K780)</ns0:f>
        <ns0:v/>
      </ns0:c>
    </ns0:row>
    <ns0:row r="781" ht="32" customHeight="1">
      <ns0:c r="A781" s="200"/>
      <ns0:c r="B781" s="201"/>
      <ns0:c r="C781" s="209"/>
      <ns0:c r="D781" s="201"/>
      <ns0:c r="E781" s="209"/>
      <ns0:c r="F781" s="200"/>
      <ns0:c r="G781" s="200"/>
      <ns0:c r="H781" s="210" t="str">
        <ns0:f>IF('_Engine'!A781=0,"",IF('_Engine'!$B$6&gt;0,"REVIEW",IF('_Engine'!L781&gt;0,"REVIEW",'_Engine'!G781)))</ns0:f>
        <ns0:v/>
      </ns0:c>
      <ns0:c r="I781" s="207"/>
      <ns0:c r="J781" s="208" t="str">
        <ns0:f>IF('_Engine'!K781="OK","OK · "&amp;TEXT('_Dates'!J781,"dd mmm yyyy")&amp;IF('_Dates'!J781='_Dates'!T781,""," → "&amp;TEXT('_Dates'!T781,"dd mmm yyyy")),'_Engine'!K781)</ns0:f>
        <ns0:v/>
      </ns0:c>
    </ns0:row>
    <ns0:row r="782" ht="32" customHeight="1">
      <ns0:c r="A782" s="200"/>
      <ns0:c r="B782" s="201"/>
      <ns0:c r="C782" s="209"/>
      <ns0:c r="D782" s="201"/>
      <ns0:c r="E782" s="209"/>
      <ns0:c r="F782" s="200"/>
      <ns0:c r="G782" s="200"/>
      <ns0:c r="H782" s="210" t="str">
        <ns0:f>IF('_Engine'!A782=0,"",IF('_Engine'!$B$6&gt;0,"REVIEW",IF('_Engine'!L782&gt;0,"REVIEW",'_Engine'!G782)))</ns0:f>
        <ns0:v/>
      </ns0:c>
      <ns0:c r="I782" s="207"/>
      <ns0:c r="J782" s="208" t="str">
        <ns0:f>IF('_Engine'!K782="OK","OK · "&amp;TEXT('_Dates'!J782,"dd mmm yyyy")&amp;IF('_Dates'!J782='_Dates'!T782,""," → "&amp;TEXT('_Dates'!T782,"dd mmm yyyy")),'_Engine'!K782)</ns0:f>
        <ns0:v/>
      </ns0:c>
    </ns0:row>
    <ns0:row r="783" ht="32" customHeight="1">
      <ns0:c r="A783" s="200"/>
      <ns0:c r="B783" s="201"/>
      <ns0:c r="C783" s="209"/>
      <ns0:c r="D783" s="201"/>
      <ns0:c r="E783" s="209"/>
      <ns0:c r="F783" s="200"/>
      <ns0:c r="G783" s="200"/>
      <ns0:c r="H783" s="210" t="str">
        <ns0:f>IF('_Engine'!A783=0,"",IF('_Engine'!$B$6&gt;0,"REVIEW",IF('_Engine'!L783&gt;0,"REVIEW",'_Engine'!G783)))</ns0:f>
        <ns0:v/>
      </ns0:c>
      <ns0:c r="I783" s="207"/>
      <ns0:c r="J783" s="208" t="str">
        <ns0:f>IF('_Engine'!K783="OK","OK · "&amp;TEXT('_Dates'!J783,"dd mmm yyyy")&amp;IF('_Dates'!J783='_Dates'!T783,""," → "&amp;TEXT('_Dates'!T783,"dd mmm yyyy")),'_Engine'!K783)</ns0:f>
        <ns0:v/>
      </ns0:c>
    </ns0:row>
    <ns0:row r="784" ht="32" customHeight="1">
      <ns0:c r="A784" s="200"/>
      <ns0:c r="B784" s="201"/>
      <ns0:c r="C784" s="209"/>
      <ns0:c r="D784" s="201"/>
      <ns0:c r="E784" s="209"/>
      <ns0:c r="F784" s="200"/>
      <ns0:c r="G784" s="200"/>
      <ns0:c r="H784" s="210" t="str">
        <ns0:f>IF('_Engine'!A784=0,"",IF('_Engine'!$B$6&gt;0,"REVIEW",IF('_Engine'!L784&gt;0,"REVIEW",'_Engine'!G784)))</ns0:f>
        <ns0:v/>
      </ns0:c>
      <ns0:c r="I784" s="207"/>
      <ns0:c r="J784" s="208" t="str">
        <ns0:f>IF('_Engine'!K784="OK","OK · "&amp;TEXT('_Dates'!J784,"dd mmm yyyy")&amp;IF('_Dates'!J784='_Dates'!T784,""," → "&amp;TEXT('_Dates'!T784,"dd mmm yyyy")),'_Engine'!K784)</ns0:f>
        <ns0:v/>
      </ns0:c>
    </ns0:row>
    <ns0:row r="785" ht="32" customHeight="1">
      <ns0:c r="A785" s="200"/>
      <ns0:c r="B785" s="201"/>
      <ns0:c r="C785" s="209"/>
      <ns0:c r="D785" s="201"/>
      <ns0:c r="E785" s="209"/>
      <ns0:c r="F785" s="200"/>
      <ns0:c r="G785" s="200"/>
      <ns0:c r="H785" s="210" t="str">
        <ns0:f>IF('_Engine'!A785=0,"",IF('_Engine'!$B$6&gt;0,"REVIEW",IF('_Engine'!L785&gt;0,"REVIEW",'_Engine'!G785)))</ns0:f>
        <ns0:v/>
      </ns0:c>
      <ns0:c r="I785" s="207"/>
      <ns0:c r="J785" s="208" t="str">
        <ns0:f>IF('_Engine'!K785="OK","OK · "&amp;TEXT('_Dates'!J785,"dd mmm yyyy")&amp;IF('_Dates'!J785='_Dates'!T785,""," → "&amp;TEXT('_Dates'!T785,"dd mmm yyyy")),'_Engine'!K785)</ns0:f>
        <ns0:v/>
      </ns0:c>
    </ns0:row>
    <ns0:row r="786" ht="32" customHeight="1">
      <ns0:c r="A786" s="200"/>
      <ns0:c r="B786" s="201"/>
      <ns0:c r="C786" s="209"/>
      <ns0:c r="D786" s="201"/>
      <ns0:c r="E786" s="209"/>
      <ns0:c r="F786" s="200"/>
      <ns0:c r="G786" s="200"/>
      <ns0:c r="H786" s="210" t="str">
        <ns0:f>IF('_Engine'!A786=0,"",IF('_Engine'!$B$6&gt;0,"REVIEW",IF('_Engine'!L786&gt;0,"REVIEW",'_Engine'!G786)))</ns0:f>
        <ns0:v/>
      </ns0:c>
      <ns0:c r="I786" s="207"/>
      <ns0:c r="J786" s="208" t="str">
        <ns0:f>IF('_Engine'!K786="OK","OK · "&amp;TEXT('_Dates'!J786,"dd mmm yyyy")&amp;IF('_Dates'!J786='_Dates'!T786,""," → "&amp;TEXT('_Dates'!T786,"dd mmm yyyy")),'_Engine'!K786)</ns0:f>
        <ns0:v/>
      </ns0:c>
    </ns0:row>
    <ns0:row r="787" ht="32" customHeight="1">
      <ns0:c r="A787" s="200"/>
      <ns0:c r="B787" s="201"/>
      <ns0:c r="C787" s="209"/>
      <ns0:c r="D787" s="201"/>
      <ns0:c r="E787" s="209"/>
      <ns0:c r="F787" s="200"/>
      <ns0:c r="G787" s="200"/>
      <ns0:c r="H787" s="210" t="str">
        <ns0:f>IF('_Engine'!A787=0,"",IF('_Engine'!$B$6&gt;0,"REVIEW",IF('_Engine'!L787&gt;0,"REVIEW",'_Engine'!G787)))</ns0:f>
        <ns0:v/>
      </ns0:c>
      <ns0:c r="I787" s="207"/>
      <ns0:c r="J787" s="208" t="str">
        <ns0:f>IF('_Engine'!K787="OK","OK · "&amp;TEXT('_Dates'!J787,"dd mmm yyyy")&amp;IF('_Dates'!J787='_Dates'!T787,""," → "&amp;TEXT('_Dates'!T787,"dd mmm yyyy")),'_Engine'!K787)</ns0:f>
        <ns0:v/>
      </ns0:c>
    </ns0:row>
    <ns0:row r="788" ht="32" customHeight="1">
      <ns0:c r="A788" s="200"/>
      <ns0:c r="B788" s="201"/>
      <ns0:c r="C788" s="209"/>
      <ns0:c r="D788" s="201"/>
      <ns0:c r="E788" s="209"/>
      <ns0:c r="F788" s="200"/>
      <ns0:c r="G788" s="200"/>
      <ns0:c r="H788" s="210" t="str">
        <ns0:f>IF('_Engine'!A788=0,"",IF('_Engine'!$B$6&gt;0,"REVIEW",IF('_Engine'!L788&gt;0,"REVIEW",'_Engine'!G788)))</ns0:f>
        <ns0:v/>
      </ns0:c>
      <ns0:c r="I788" s="207"/>
      <ns0:c r="J788" s="208" t="str">
        <ns0:f>IF('_Engine'!K788="OK","OK · "&amp;TEXT('_Dates'!J788,"dd mmm yyyy")&amp;IF('_Dates'!J788='_Dates'!T788,""," → "&amp;TEXT('_Dates'!T788,"dd mmm yyyy")),'_Engine'!K788)</ns0:f>
        <ns0:v/>
      </ns0:c>
    </ns0:row>
    <ns0:row r="789" ht="32" customHeight="1">
      <ns0:c r="A789" s="200"/>
      <ns0:c r="B789" s="201"/>
      <ns0:c r="C789" s="209"/>
      <ns0:c r="D789" s="201"/>
      <ns0:c r="E789" s="209"/>
      <ns0:c r="F789" s="200"/>
      <ns0:c r="G789" s="200"/>
      <ns0:c r="H789" s="210" t="str">
        <ns0:f>IF('_Engine'!A789=0,"",IF('_Engine'!$B$6&gt;0,"REVIEW",IF('_Engine'!L789&gt;0,"REVIEW",'_Engine'!G789)))</ns0:f>
        <ns0:v/>
      </ns0:c>
      <ns0:c r="I789" s="207"/>
      <ns0:c r="J789" s="208" t="str">
        <ns0:f>IF('_Engine'!K789="OK","OK · "&amp;TEXT('_Dates'!J789,"dd mmm yyyy")&amp;IF('_Dates'!J789='_Dates'!T789,""," → "&amp;TEXT('_Dates'!T789,"dd mmm yyyy")),'_Engine'!K789)</ns0:f>
        <ns0:v/>
      </ns0:c>
    </ns0:row>
    <ns0:row r="790" ht="32" customHeight="1">
      <ns0:c r="A790" s="200"/>
      <ns0:c r="B790" s="201"/>
      <ns0:c r="C790" s="209"/>
      <ns0:c r="D790" s="201"/>
      <ns0:c r="E790" s="209"/>
      <ns0:c r="F790" s="200"/>
      <ns0:c r="G790" s="200"/>
      <ns0:c r="H790" s="210" t="str">
        <ns0:f>IF('_Engine'!A790=0,"",IF('_Engine'!$B$6&gt;0,"REVIEW",IF('_Engine'!L790&gt;0,"REVIEW",'_Engine'!G790)))</ns0:f>
        <ns0:v/>
      </ns0:c>
      <ns0:c r="I790" s="207"/>
      <ns0:c r="J790" s="208" t="str">
        <ns0:f>IF('_Engine'!K790="OK","OK · "&amp;TEXT('_Dates'!J790,"dd mmm yyyy")&amp;IF('_Dates'!J790='_Dates'!T790,""," → "&amp;TEXT('_Dates'!T790,"dd mmm yyyy")),'_Engine'!K790)</ns0:f>
        <ns0:v/>
      </ns0:c>
    </ns0:row>
    <ns0:row r="791" ht="32" customHeight="1">
      <ns0:c r="A791" s="200"/>
      <ns0:c r="B791" s="201"/>
      <ns0:c r="C791" s="209"/>
      <ns0:c r="D791" s="201"/>
      <ns0:c r="E791" s="209"/>
      <ns0:c r="F791" s="200"/>
      <ns0:c r="G791" s="200"/>
      <ns0:c r="H791" s="210" t="str">
        <ns0:f>IF('_Engine'!A791=0,"",IF('_Engine'!$B$6&gt;0,"REVIEW",IF('_Engine'!L791&gt;0,"REVIEW",'_Engine'!G791)))</ns0:f>
        <ns0:v/>
      </ns0:c>
      <ns0:c r="I791" s="207"/>
      <ns0:c r="J791" s="208" t="str">
        <ns0:f>IF('_Engine'!K791="OK","OK · "&amp;TEXT('_Dates'!J791,"dd mmm yyyy")&amp;IF('_Dates'!J791='_Dates'!T791,""," → "&amp;TEXT('_Dates'!T791,"dd mmm yyyy")),'_Engine'!K791)</ns0:f>
        <ns0:v/>
      </ns0:c>
    </ns0:row>
    <ns0:row r="792" ht="32" customHeight="1">
      <ns0:c r="A792" s="200"/>
      <ns0:c r="B792" s="201"/>
      <ns0:c r="C792" s="209"/>
      <ns0:c r="D792" s="201"/>
      <ns0:c r="E792" s="209"/>
      <ns0:c r="F792" s="200"/>
      <ns0:c r="G792" s="200"/>
      <ns0:c r="H792" s="210" t="str">
        <ns0:f>IF('_Engine'!A792=0,"",IF('_Engine'!$B$6&gt;0,"REVIEW",IF('_Engine'!L792&gt;0,"REVIEW",'_Engine'!G792)))</ns0:f>
        <ns0:v/>
      </ns0:c>
      <ns0:c r="I792" s="207"/>
      <ns0:c r="J792" s="208" t="str">
        <ns0:f>IF('_Engine'!K792="OK","OK · "&amp;TEXT('_Dates'!J792,"dd mmm yyyy")&amp;IF('_Dates'!J792='_Dates'!T792,""," → "&amp;TEXT('_Dates'!T792,"dd mmm yyyy")),'_Engine'!K792)</ns0:f>
        <ns0:v/>
      </ns0:c>
    </ns0:row>
    <ns0:row r="793" ht="32" customHeight="1">
      <ns0:c r="A793" s="200"/>
      <ns0:c r="B793" s="201"/>
      <ns0:c r="C793" s="209"/>
      <ns0:c r="D793" s="201"/>
      <ns0:c r="E793" s="209"/>
      <ns0:c r="F793" s="200"/>
      <ns0:c r="G793" s="200"/>
      <ns0:c r="H793" s="210" t="str">
        <ns0:f>IF('_Engine'!A793=0,"",IF('_Engine'!$B$6&gt;0,"REVIEW",IF('_Engine'!L793&gt;0,"REVIEW",'_Engine'!G793)))</ns0:f>
        <ns0:v/>
      </ns0:c>
      <ns0:c r="I793" s="207"/>
      <ns0:c r="J793" s="208" t="str">
        <ns0:f>IF('_Engine'!K793="OK","OK · "&amp;TEXT('_Dates'!J793,"dd mmm yyyy")&amp;IF('_Dates'!J793='_Dates'!T793,""," → "&amp;TEXT('_Dates'!T793,"dd mmm yyyy")),'_Engine'!K793)</ns0:f>
        <ns0:v/>
      </ns0:c>
    </ns0:row>
    <ns0:row r="794" ht="32" customHeight="1">
      <ns0:c r="A794" s="200"/>
      <ns0:c r="B794" s="201"/>
      <ns0:c r="C794" s="209"/>
      <ns0:c r="D794" s="201"/>
      <ns0:c r="E794" s="209"/>
      <ns0:c r="F794" s="200"/>
      <ns0:c r="G794" s="200"/>
      <ns0:c r="H794" s="210" t="str">
        <ns0:f>IF('_Engine'!A794=0,"",IF('_Engine'!$B$6&gt;0,"REVIEW",IF('_Engine'!L794&gt;0,"REVIEW",'_Engine'!G794)))</ns0:f>
        <ns0:v/>
      </ns0:c>
      <ns0:c r="I794" s="207"/>
      <ns0:c r="J794" s="208" t="str">
        <ns0:f>IF('_Engine'!K794="OK","OK · "&amp;TEXT('_Dates'!J794,"dd mmm yyyy")&amp;IF('_Dates'!J794='_Dates'!T794,""," → "&amp;TEXT('_Dates'!T794,"dd mmm yyyy")),'_Engine'!K794)</ns0:f>
        <ns0:v/>
      </ns0:c>
    </ns0:row>
    <ns0:row r="795" ht="32" customHeight="1">
      <ns0:c r="A795" s="200"/>
      <ns0:c r="B795" s="201"/>
      <ns0:c r="C795" s="209"/>
      <ns0:c r="D795" s="201"/>
      <ns0:c r="E795" s="209"/>
      <ns0:c r="F795" s="200"/>
      <ns0:c r="G795" s="200"/>
      <ns0:c r="H795" s="210" t="str">
        <ns0:f>IF('_Engine'!A795=0,"",IF('_Engine'!$B$6&gt;0,"REVIEW",IF('_Engine'!L795&gt;0,"REVIEW",'_Engine'!G795)))</ns0:f>
        <ns0:v/>
      </ns0:c>
      <ns0:c r="I795" s="207"/>
      <ns0:c r="J795" s="208" t="str">
        <ns0:f>IF('_Engine'!K795="OK","OK · "&amp;TEXT('_Dates'!J795,"dd mmm yyyy")&amp;IF('_Dates'!J795='_Dates'!T795,""," → "&amp;TEXT('_Dates'!T795,"dd mmm yyyy")),'_Engine'!K795)</ns0:f>
        <ns0:v/>
      </ns0:c>
    </ns0:row>
    <ns0:row r="796" ht="32" customHeight="1">
      <ns0:c r="A796" s="200"/>
      <ns0:c r="B796" s="201"/>
      <ns0:c r="C796" s="209"/>
      <ns0:c r="D796" s="201"/>
      <ns0:c r="E796" s="209"/>
      <ns0:c r="F796" s="200"/>
      <ns0:c r="G796" s="200"/>
      <ns0:c r="H796" s="210" t="str">
        <ns0:f>IF('_Engine'!A796=0,"",IF('_Engine'!$B$6&gt;0,"REVIEW",IF('_Engine'!L796&gt;0,"REVIEW",'_Engine'!G796)))</ns0:f>
        <ns0:v/>
      </ns0:c>
      <ns0:c r="I796" s="207"/>
      <ns0:c r="J796" s="208" t="str">
        <ns0:f>IF('_Engine'!K796="OK","OK · "&amp;TEXT('_Dates'!J796,"dd mmm yyyy")&amp;IF('_Dates'!J796='_Dates'!T796,""," → "&amp;TEXT('_Dates'!T796,"dd mmm yyyy")),'_Engine'!K796)</ns0:f>
        <ns0:v/>
      </ns0:c>
    </ns0:row>
    <ns0:row r="797" ht="32" customHeight="1">
      <ns0:c r="A797" s="200"/>
      <ns0:c r="B797" s="201"/>
      <ns0:c r="C797" s="209"/>
      <ns0:c r="D797" s="201"/>
      <ns0:c r="E797" s="209"/>
      <ns0:c r="F797" s="200"/>
      <ns0:c r="G797" s="200"/>
      <ns0:c r="H797" s="210" t="str">
        <ns0:f>IF('_Engine'!A797=0,"",IF('_Engine'!$B$6&gt;0,"REVIEW",IF('_Engine'!L797&gt;0,"REVIEW",'_Engine'!G797)))</ns0:f>
        <ns0:v/>
      </ns0:c>
      <ns0:c r="I797" s="207"/>
      <ns0:c r="J797" s="208" t="str">
        <ns0:f>IF('_Engine'!K797="OK","OK · "&amp;TEXT('_Dates'!J797,"dd mmm yyyy")&amp;IF('_Dates'!J797='_Dates'!T797,""," → "&amp;TEXT('_Dates'!T797,"dd mmm yyyy")),'_Engine'!K797)</ns0:f>
        <ns0:v/>
      </ns0:c>
    </ns0:row>
    <ns0:row r="798" ht="32" customHeight="1">
      <ns0:c r="A798" s="200"/>
      <ns0:c r="B798" s="201"/>
      <ns0:c r="C798" s="209"/>
      <ns0:c r="D798" s="201"/>
      <ns0:c r="E798" s="209"/>
      <ns0:c r="F798" s="200"/>
      <ns0:c r="G798" s="200"/>
      <ns0:c r="H798" s="210" t="str">
        <ns0:f>IF('_Engine'!A798=0,"",IF('_Engine'!$B$6&gt;0,"REVIEW",IF('_Engine'!L798&gt;0,"REVIEW",'_Engine'!G798)))</ns0:f>
        <ns0:v/>
      </ns0:c>
      <ns0:c r="I798" s="207"/>
      <ns0:c r="J798" s="208" t="str">
        <ns0:f>IF('_Engine'!K798="OK","OK · "&amp;TEXT('_Dates'!J798,"dd mmm yyyy")&amp;IF('_Dates'!J798='_Dates'!T798,""," → "&amp;TEXT('_Dates'!T798,"dd mmm yyyy")),'_Engine'!K798)</ns0:f>
        <ns0:v/>
      </ns0:c>
    </ns0:row>
    <ns0:row r="799" ht="32" customHeight="1">
      <ns0:c r="A799" s="200"/>
      <ns0:c r="B799" s="201"/>
      <ns0:c r="C799" s="209"/>
      <ns0:c r="D799" s="201"/>
      <ns0:c r="E799" s="209"/>
      <ns0:c r="F799" s="200"/>
      <ns0:c r="G799" s="200"/>
      <ns0:c r="H799" s="210" t="str">
        <ns0:f>IF('_Engine'!A799=0,"",IF('_Engine'!$B$6&gt;0,"REVIEW",IF('_Engine'!L799&gt;0,"REVIEW",'_Engine'!G799)))</ns0:f>
        <ns0:v/>
      </ns0:c>
      <ns0:c r="I799" s="207"/>
      <ns0:c r="J799" s="208" t="str">
        <ns0:f>IF('_Engine'!K799="OK","OK · "&amp;TEXT('_Dates'!J799,"dd mmm yyyy")&amp;IF('_Dates'!J799='_Dates'!T799,""," → "&amp;TEXT('_Dates'!T799,"dd mmm yyyy")),'_Engine'!K799)</ns0:f>
        <ns0:v/>
      </ns0:c>
    </ns0:row>
    <ns0:row r="800" ht="32" customHeight="1">
      <ns0:c r="A800" s="200"/>
      <ns0:c r="B800" s="201"/>
      <ns0:c r="C800" s="209"/>
      <ns0:c r="D800" s="201"/>
      <ns0:c r="E800" s="209"/>
      <ns0:c r="F800" s="200"/>
      <ns0:c r="G800" s="200"/>
      <ns0:c r="H800" s="210" t="str">
        <ns0:f>IF('_Engine'!A800=0,"",IF('_Engine'!$B$6&gt;0,"REVIEW",IF('_Engine'!L800&gt;0,"REVIEW",'_Engine'!G800)))</ns0:f>
        <ns0:v/>
      </ns0:c>
      <ns0:c r="I800" s="207"/>
      <ns0:c r="J800" s="208" t="str">
        <ns0:f>IF('_Engine'!K800="OK","OK · "&amp;TEXT('_Dates'!J800,"dd mmm yyyy")&amp;IF('_Dates'!J800='_Dates'!T800,""," → "&amp;TEXT('_Dates'!T800,"dd mmm yyyy")),'_Engine'!K800)</ns0:f>
        <ns0:v/>
      </ns0:c>
    </ns0:row>
    <ns0:row r="801" ht="32" customHeight="1">
      <ns0:c r="A801" s="200"/>
      <ns0:c r="B801" s="201"/>
      <ns0:c r="C801" s="209"/>
      <ns0:c r="D801" s="201"/>
      <ns0:c r="E801" s="209"/>
      <ns0:c r="F801" s="200"/>
      <ns0:c r="G801" s="200"/>
      <ns0:c r="H801" s="210" t="str">
        <ns0:f>IF('_Engine'!A801=0,"",IF('_Engine'!$B$6&gt;0,"REVIEW",IF('_Engine'!L801&gt;0,"REVIEW",'_Engine'!G801)))</ns0:f>
        <ns0:v/>
      </ns0:c>
      <ns0:c r="I801" s="207"/>
      <ns0:c r="J801" s="208" t="str">
        <ns0:f>IF('_Engine'!K801="OK","OK · "&amp;TEXT('_Dates'!J801,"dd mmm yyyy")&amp;IF('_Dates'!J801='_Dates'!T801,""," → "&amp;TEXT('_Dates'!T801,"dd mmm yyyy")),'_Engine'!K801)</ns0:f>
        <ns0:v/>
      </ns0:c>
    </ns0:row>
    <ns0:row r="802" ht="32" customHeight="1">
      <ns0:c r="A802" s="200"/>
      <ns0:c r="B802" s="201"/>
      <ns0:c r="C802" s="209"/>
      <ns0:c r="D802" s="201"/>
      <ns0:c r="E802" s="209"/>
      <ns0:c r="F802" s="200"/>
      <ns0:c r="G802" s="200"/>
      <ns0:c r="H802" s="210" t="str">
        <ns0:f>IF('_Engine'!A802=0,"",IF('_Engine'!$B$6&gt;0,"REVIEW",IF('_Engine'!L802&gt;0,"REVIEW",'_Engine'!G802)))</ns0:f>
        <ns0:v/>
      </ns0:c>
      <ns0:c r="I802" s="207"/>
      <ns0:c r="J802" s="208" t="str">
        <ns0:f>IF('_Engine'!K802="OK","OK · "&amp;TEXT('_Dates'!J802,"dd mmm yyyy")&amp;IF('_Dates'!J802='_Dates'!T802,""," → "&amp;TEXT('_Dates'!T802,"dd mmm yyyy")),'_Engine'!K802)</ns0:f>
        <ns0:v/>
      </ns0:c>
    </ns0:row>
    <ns0:row r="803" ht="32" customHeight="1">
      <ns0:c r="A803" s="200"/>
      <ns0:c r="B803" s="201"/>
      <ns0:c r="C803" s="209"/>
      <ns0:c r="D803" s="201"/>
      <ns0:c r="E803" s="209"/>
      <ns0:c r="F803" s="200"/>
      <ns0:c r="G803" s="200"/>
      <ns0:c r="H803" s="210" t="str">
        <ns0:f>IF('_Engine'!A803=0,"",IF('_Engine'!$B$6&gt;0,"REVIEW",IF('_Engine'!L803&gt;0,"REVIEW",'_Engine'!G803)))</ns0:f>
        <ns0:v/>
      </ns0:c>
      <ns0:c r="I803" s="207"/>
      <ns0:c r="J803" s="208" t="str">
        <ns0:f>IF('_Engine'!K803="OK","OK · "&amp;TEXT('_Dates'!J803,"dd mmm yyyy")&amp;IF('_Dates'!J803='_Dates'!T803,""," → "&amp;TEXT('_Dates'!T803,"dd mmm yyyy")),'_Engine'!K803)</ns0:f>
        <ns0:v/>
      </ns0:c>
    </ns0:row>
    <ns0:row r="804" ht="32" customHeight="1">
      <ns0:c r="A804" s="200"/>
      <ns0:c r="B804" s="201"/>
      <ns0:c r="C804" s="209"/>
      <ns0:c r="D804" s="201"/>
      <ns0:c r="E804" s="209"/>
      <ns0:c r="F804" s="200"/>
      <ns0:c r="G804" s="200"/>
      <ns0:c r="H804" s="210" t="str">
        <ns0:f>IF('_Engine'!A804=0,"",IF('_Engine'!$B$6&gt;0,"REVIEW",IF('_Engine'!L804&gt;0,"REVIEW",'_Engine'!G804)))</ns0:f>
        <ns0:v/>
      </ns0:c>
      <ns0:c r="I804" s="207"/>
      <ns0:c r="J804" s="208" t="str">
        <ns0:f>IF('_Engine'!K804="OK","OK · "&amp;TEXT('_Dates'!J804,"dd mmm yyyy")&amp;IF('_Dates'!J804='_Dates'!T804,""," → "&amp;TEXT('_Dates'!T804,"dd mmm yyyy")),'_Engine'!K804)</ns0:f>
        <ns0:v/>
      </ns0:c>
    </ns0:row>
    <ns0:row r="805" ht="32" customHeight="1">
      <ns0:c r="A805" s="200"/>
      <ns0:c r="B805" s="201"/>
      <ns0:c r="C805" s="209"/>
      <ns0:c r="D805" s="201"/>
      <ns0:c r="E805" s="209"/>
      <ns0:c r="F805" s="200"/>
      <ns0:c r="G805" s="200"/>
      <ns0:c r="H805" s="210" t="str">
        <ns0:f>IF('_Engine'!A805=0,"",IF('_Engine'!$B$6&gt;0,"REVIEW",IF('_Engine'!L805&gt;0,"REVIEW",'_Engine'!G805)))</ns0:f>
        <ns0:v/>
      </ns0:c>
      <ns0:c r="I805" s="207"/>
      <ns0:c r="J805" s="208" t="str">
        <ns0:f>IF('_Engine'!K805="OK","OK · "&amp;TEXT('_Dates'!J805,"dd mmm yyyy")&amp;IF('_Dates'!J805='_Dates'!T805,""," → "&amp;TEXT('_Dates'!T805,"dd mmm yyyy")),'_Engine'!K805)</ns0:f>
        <ns0:v/>
      </ns0:c>
    </ns0:row>
    <ns0:row r="806" ht="32" customHeight="1">
      <ns0:c r="A806" s="200"/>
      <ns0:c r="B806" s="201"/>
      <ns0:c r="C806" s="209"/>
      <ns0:c r="D806" s="201"/>
      <ns0:c r="E806" s="209"/>
      <ns0:c r="F806" s="200"/>
      <ns0:c r="G806" s="200"/>
      <ns0:c r="H806" s="210" t="str">
        <ns0:f>IF('_Engine'!A806=0,"",IF('_Engine'!$B$6&gt;0,"REVIEW",IF('_Engine'!L806&gt;0,"REVIEW",'_Engine'!G806)))</ns0:f>
        <ns0:v/>
      </ns0:c>
      <ns0:c r="I806" s="207"/>
      <ns0:c r="J806" s="208" t="str">
        <ns0:f>IF('_Engine'!K806="OK","OK · "&amp;TEXT('_Dates'!J806,"dd mmm yyyy")&amp;IF('_Dates'!J806='_Dates'!T806,""," → "&amp;TEXT('_Dates'!T806,"dd mmm yyyy")),'_Engine'!K806)</ns0:f>
        <ns0:v/>
      </ns0:c>
    </ns0:row>
    <ns0:row r="807" ht="32" customHeight="1">
      <ns0:c r="A807" s="200"/>
      <ns0:c r="B807" s="201"/>
      <ns0:c r="C807" s="209"/>
      <ns0:c r="D807" s="201"/>
      <ns0:c r="E807" s="209"/>
      <ns0:c r="F807" s="200"/>
      <ns0:c r="G807" s="200"/>
      <ns0:c r="H807" s="210" t="str">
        <ns0:f>IF('_Engine'!A807=0,"",IF('_Engine'!$B$6&gt;0,"REVIEW",IF('_Engine'!L807&gt;0,"REVIEW",'_Engine'!G807)))</ns0:f>
        <ns0:v/>
      </ns0:c>
      <ns0:c r="I807" s="207"/>
      <ns0:c r="J807" s="208" t="str">
        <ns0:f>IF('_Engine'!K807="OK","OK · "&amp;TEXT('_Dates'!J807,"dd mmm yyyy")&amp;IF('_Dates'!J807='_Dates'!T807,""," → "&amp;TEXT('_Dates'!T807,"dd mmm yyyy")),'_Engine'!K807)</ns0:f>
        <ns0:v/>
      </ns0:c>
    </ns0:row>
    <ns0:row r="808" ht="32" customHeight="1">
      <ns0:c r="A808" s="200"/>
      <ns0:c r="B808" s="201"/>
      <ns0:c r="C808" s="209"/>
      <ns0:c r="D808" s="201"/>
      <ns0:c r="E808" s="209"/>
      <ns0:c r="F808" s="200"/>
      <ns0:c r="G808" s="200"/>
      <ns0:c r="H808" s="210" t="str">
        <ns0:f>IF('_Engine'!A808=0,"",IF('_Engine'!$B$6&gt;0,"REVIEW",IF('_Engine'!L808&gt;0,"REVIEW",'_Engine'!G808)))</ns0:f>
        <ns0:v/>
      </ns0:c>
      <ns0:c r="I808" s="207"/>
      <ns0:c r="J808" s="208" t="str">
        <ns0:f>IF('_Engine'!K808="OK","OK · "&amp;TEXT('_Dates'!J808,"dd mmm yyyy")&amp;IF('_Dates'!J808='_Dates'!T808,""," → "&amp;TEXT('_Dates'!T808,"dd mmm yyyy")),'_Engine'!K808)</ns0:f>
        <ns0:v/>
      </ns0:c>
    </ns0:row>
    <ns0:row r="809" ht="32" customHeight="1">
      <ns0:c r="A809" s="200"/>
      <ns0:c r="B809" s="201"/>
      <ns0:c r="C809" s="209"/>
      <ns0:c r="D809" s="201"/>
      <ns0:c r="E809" s="209"/>
      <ns0:c r="F809" s="200"/>
      <ns0:c r="G809" s="200"/>
      <ns0:c r="H809" s="210" t="str">
        <ns0:f>IF('_Engine'!A809=0,"",IF('_Engine'!$B$6&gt;0,"REVIEW",IF('_Engine'!L809&gt;0,"REVIEW",'_Engine'!G809)))</ns0:f>
        <ns0:v/>
      </ns0:c>
      <ns0:c r="I809" s="207"/>
      <ns0:c r="J809" s="208" t="str">
        <ns0:f>IF('_Engine'!K809="OK","OK · "&amp;TEXT('_Dates'!J809,"dd mmm yyyy")&amp;IF('_Dates'!J809='_Dates'!T809,""," → "&amp;TEXT('_Dates'!T809,"dd mmm yyyy")),'_Engine'!K809)</ns0:f>
        <ns0:v/>
      </ns0:c>
    </ns0:row>
    <ns0:row r="810" ht="32" customHeight="1">
      <ns0:c r="A810" s="200"/>
      <ns0:c r="B810" s="201"/>
      <ns0:c r="C810" s="209"/>
      <ns0:c r="D810" s="201"/>
      <ns0:c r="E810" s="209"/>
      <ns0:c r="F810" s="200"/>
      <ns0:c r="G810" s="200"/>
      <ns0:c r="H810" s="210" t="str">
        <ns0:f>IF('_Engine'!A810=0,"",IF('_Engine'!$B$6&gt;0,"REVIEW",IF('_Engine'!L810&gt;0,"REVIEW",'_Engine'!G810)))</ns0:f>
        <ns0:v/>
      </ns0:c>
      <ns0:c r="I810" s="207"/>
      <ns0:c r="J810" s="208" t="str">
        <ns0:f>IF('_Engine'!K810="OK","OK · "&amp;TEXT('_Dates'!J810,"dd mmm yyyy")&amp;IF('_Dates'!J810='_Dates'!T810,""," → "&amp;TEXT('_Dates'!T810,"dd mmm yyyy")),'_Engine'!K810)</ns0:f>
        <ns0:v/>
      </ns0:c>
    </ns0:row>
    <ns0:row r="811" ht="32" customHeight="1">
      <ns0:c r="A811" s="200"/>
      <ns0:c r="B811" s="201"/>
      <ns0:c r="C811" s="209"/>
      <ns0:c r="D811" s="201"/>
      <ns0:c r="E811" s="209"/>
      <ns0:c r="F811" s="200"/>
      <ns0:c r="G811" s="200"/>
      <ns0:c r="H811" s="210" t="str">
        <ns0:f>IF('_Engine'!A811=0,"",IF('_Engine'!$B$6&gt;0,"REVIEW",IF('_Engine'!L811&gt;0,"REVIEW",'_Engine'!G811)))</ns0:f>
        <ns0:v/>
      </ns0:c>
      <ns0:c r="I811" s="207"/>
      <ns0:c r="J811" s="208" t="str">
        <ns0:f>IF('_Engine'!K811="OK","OK · "&amp;TEXT('_Dates'!J811,"dd mmm yyyy")&amp;IF('_Dates'!J811='_Dates'!T811,""," → "&amp;TEXT('_Dates'!T811,"dd mmm yyyy")),'_Engine'!K811)</ns0:f>
        <ns0:v/>
      </ns0:c>
    </ns0:row>
    <ns0:row r="812" ht="32" customHeight="1">
      <ns0:c r="A812" s="200"/>
      <ns0:c r="B812" s="201"/>
      <ns0:c r="C812" s="209"/>
      <ns0:c r="D812" s="201"/>
      <ns0:c r="E812" s="209"/>
      <ns0:c r="F812" s="200"/>
      <ns0:c r="G812" s="200"/>
      <ns0:c r="H812" s="210" t="str">
        <ns0:f>IF('_Engine'!A812=0,"",IF('_Engine'!$B$6&gt;0,"REVIEW",IF('_Engine'!L812&gt;0,"REVIEW",'_Engine'!G812)))</ns0:f>
        <ns0:v/>
      </ns0:c>
      <ns0:c r="I812" s="207"/>
      <ns0:c r="J812" s="208" t="str">
        <ns0:f>IF('_Engine'!K812="OK","OK · "&amp;TEXT('_Dates'!J812,"dd mmm yyyy")&amp;IF('_Dates'!J812='_Dates'!T812,""," → "&amp;TEXT('_Dates'!T812,"dd mmm yyyy")),'_Engine'!K812)</ns0:f>
        <ns0:v/>
      </ns0:c>
    </ns0:row>
    <ns0:row r="813" ht="32" customHeight="1">
      <ns0:c r="A813" s="200"/>
      <ns0:c r="B813" s="201"/>
      <ns0:c r="C813" s="209"/>
      <ns0:c r="D813" s="201"/>
      <ns0:c r="E813" s="209"/>
      <ns0:c r="F813" s="200"/>
      <ns0:c r="G813" s="200"/>
      <ns0:c r="H813" s="210" t="str">
        <ns0:f>IF('_Engine'!A813=0,"",IF('_Engine'!$B$6&gt;0,"REVIEW",IF('_Engine'!L813&gt;0,"REVIEW",'_Engine'!G813)))</ns0:f>
        <ns0:v/>
      </ns0:c>
      <ns0:c r="I813" s="207"/>
      <ns0:c r="J813" s="208" t="str">
        <ns0:f>IF('_Engine'!K813="OK","OK · "&amp;TEXT('_Dates'!J813,"dd mmm yyyy")&amp;IF('_Dates'!J813='_Dates'!T813,""," → "&amp;TEXT('_Dates'!T813,"dd mmm yyyy")),'_Engine'!K813)</ns0:f>
        <ns0:v/>
      </ns0:c>
    </ns0:row>
    <ns0:row r="814" ht="32" customHeight="1">
      <ns0:c r="A814" s="200"/>
      <ns0:c r="B814" s="201"/>
      <ns0:c r="C814" s="209"/>
      <ns0:c r="D814" s="201"/>
      <ns0:c r="E814" s="209"/>
      <ns0:c r="F814" s="200"/>
      <ns0:c r="G814" s="200"/>
      <ns0:c r="H814" s="210" t="str">
        <ns0:f>IF('_Engine'!A814=0,"",IF('_Engine'!$B$6&gt;0,"REVIEW",IF('_Engine'!L814&gt;0,"REVIEW",'_Engine'!G814)))</ns0:f>
        <ns0:v/>
      </ns0:c>
      <ns0:c r="I814" s="207"/>
      <ns0:c r="J814" s="208" t="str">
        <ns0:f>IF('_Engine'!K814="OK","OK · "&amp;TEXT('_Dates'!J814,"dd mmm yyyy")&amp;IF('_Dates'!J814='_Dates'!T814,""," → "&amp;TEXT('_Dates'!T814,"dd mmm yyyy")),'_Engine'!K814)</ns0:f>
        <ns0:v/>
      </ns0:c>
    </ns0:row>
    <ns0:row r="815" ht="32" customHeight="1">
      <ns0:c r="A815" s="200"/>
      <ns0:c r="B815" s="201"/>
      <ns0:c r="C815" s="209"/>
      <ns0:c r="D815" s="201"/>
      <ns0:c r="E815" s="209"/>
      <ns0:c r="F815" s="200"/>
      <ns0:c r="G815" s="200"/>
      <ns0:c r="H815" s="210" t="str">
        <ns0:f>IF('_Engine'!A815=0,"",IF('_Engine'!$B$6&gt;0,"REVIEW",IF('_Engine'!L815&gt;0,"REVIEW",'_Engine'!G815)))</ns0:f>
        <ns0:v/>
      </ns0:c>
      <ns0:c r="I815" s="207"/>
      <ns0:c r="J815" s="208" t="str">
        <ns0:f>IF('_Engine'!K815="OK","OK · "&amp;TEXT('_Dates'!J815,"dd mmm yyyy")&amp;IF('_Dates'!J815='_Dates'!T815,""," → "&amp;TEXT('_Dates'!T815,"dd mmm yyyy")),'_Engine'!K815)</ns0:f>
        <ns0:v/>
      </ns0:c>
    </ns0:row>
    <ns0:row r="816" ht="32" customHeight="1">
      <ns0:c r="A816" s="200"/>
      <ns0:c r="B816" s="201"/>
      <ns0:c r="C816" s="209"/>
      <ns0:c r="D816" s="201"/>
      <ns0:c r="E816" s="209"/>
      <ns0:c r="F816" s="200"/>
      <ns0:c r="G816" s="200"/>
      <ns0:c r="H816" s="210" t="str">
        <ns0:f>IF('_Engine'!A816=0,"",IF('_Engine'!$B$6&gt;0,"REVIEW",IF('_Engine'!L816&gt;0,"REVIEW",'_Engine'!G816)))</ns0:f>
        <ns0:v/>
      </ns0:c>
      <ns0:c r="I816" s="207"/>
      <ns0:c r="J816" s="208" t="str">
        <ns0:f>IF('_Engine'!K816="OK","OK · "&amp;TEXT('_Dates'!J816,"dd mmm yyyy")&amp;IF('_Dates'!J816='_Dates'!T816,""," → "&amp;TEXT('_Dates'!T816,"dd mmm yyyy")),'_Engine'!K816)</ns0:f>
        <ns0:v/>
      </ns0:c>
    </ns0:row>
    <ns0:row r="817" ht="32" customHeight="1">
      <ns0:c r="A817" s="200"/>
      <ns0:c r="B817" s="201"/>
      <ns0:c r="C817" s="209"/>
      <ns0:c r="D817" s="201"/>
      <ns0:c r="E817" s="209"/>
      <ns0:c r="F817" s="200"/>
      <ns0:c r="G817" s="200"/>
      <ns0:c r="H817" s="210" t="str">
        <ns0:f>IF('_Engine'!A817=0,"",IF('_Engine'!$B$6&gt;0,"REVIEW",IF('_Engine'!L817&gt;0,"REVIEW",'_Engine'!G817)))</ns0:f>
        <ns0:v/>
      </ns0:c>
      <ns0:c r="I817" s="207"/>
      <ns0:c r="J817" s="208" t="str">
        <ns0:f>IF('_Engine'!K817="OK","OK · "&amp;TEXT('_Dates'!J817,"dd mmm yyyy")&amp;IF('_Dates'!J817='_Dates'!T817,""," → "&amp;TEXT('_Dates'!T817,"dd mmm yyyy")),'_Engine'!K817)</ns0:f>
        <ns0:v/>
      </ns0:c>
    </ns0:row>
    <ns0:row r="818" ht="32" customHeight="1">
      <ns0:c r="A818" s="200"/>
      <ns0:c r="B818" s="201"/>
      <ns0:c r="C818" s="209"/>
      <ns0:c r="D818" s="201"/>
      <ns0:c r="E818" s="209"/>
      <ns0:c r="F818" s="200"/>
      <ns0:c r="G818" s="200"/>
      <ns0:c r="H818" s="210" t="str">
        <ns0:f>IF('_Engine'!A818=0,"",IF('_Engine'!$B$6&gt;0,"REVIEW",IF('_Engine'!L818&gt;0,"REVIEW",'_Engine'!G818)))</ns0:f>
        <ns0:v/>
      </ns0:c>
      <ns0:c r="I818" s="207"/>
      <ns0:c r="J818" s="208" t="str">
        <ns0:f>IF('_Engine'!K818="OK","OK · "&amp;TEXT('_Dates'!J818,"dd mmm yyyy")&amp;IF('_Dates'!J818='_Dates'!T818,""," → "&amp;TEXT('_Dates'!T818,"dd mmm yyyy")),'_Engine'!K818)</ns0:f>
        <ns0:v/>
      </ns0:c>
    </ns0:row>
    <ns0:row r="819" ht="32" customHeight="1">
      <ns0:c r="A819" s="200"/>
      <ns0:c r="B819" s="201"/>
      <ns0:c r="C819" s="209"/>
      <ns0:c r="D819" s="201"/>
      <ns0:c r="E819" s="209"/>
      <ns0:c r="F819" s="200"/>
      <ns0:c r="G819" s="200"/>
      <ns0:c r="H819" s="210" t="str">
        <ns0:f>IF('_Engine'!A819=0,"",IF('_Engine'!$B$6&gt;0,"REVIEW",IF('_Engine'!L819&gt;0,"REVIEW",'_Engine'!G819)))</ns0:f>
        <ns0:v/>
      </ns0:c>
      <ns0:c r="I819" s="207"/>
      <ns0:c r="J819" s="208" t="str">
        <ns0:f>IF('_Engine'!K819="OK","OK · "&amp;TEXT('_Dates'!J819,"dd mmm yyyy")&amp;IF('_Dates'!J819='_Dates'!T819,""," → "&amp;TEXT('_Dates'!T819,"dd mmm yyyy")),'_Engine'!K819)</ns0:f>
        <ns0:v/>
      </ns0:c>
    </ns0:row>
    <ns0:row r="820" ht="32" customHeight="1">
      <ns0:c r="A820" s="200"/>
      <ns0:c r="B820" s="201"/>
      <ns0:c r="C820" s="209"/>
      <ns0:c r="D820" s="201"/>
      <ns0:c r="E820" s="209"/>
      <ns0:c r="F820" s="200"/>
      <ns0:c r="G820" s="200"/>
      <ns0:c r="H820" s="210" t="str">
        <ns0:f>IF('_Engine'!A820=0,"",IF('_Engine'!$B$6&gt;0,"REVIEW",IF('_Engine'!L820&gt;0,"REVIEW",'_Engine'!G820)))</ns0:f>
        <ns0:v/>
      </ns0:c>
      <ns0:c r="I820" s="207"/>
      <ns0:c r="J820" s="208" t="str">
        <ns0:f>IF('_Engine'!K820="OK","OK · "&amp;TEXT('_Dates'!J820,"dd mmm yyyy")&amp;IF('_Dates'!J820='_Dates'!T820,""," → "&amp;TEXT('_Dates'!T820,"dd mmm yyyy")),'_Engine'!K820)</ns0:f>
        <ns0:v/>
      </ns0:c>
    </ns0:row>
    <ns0:row r="821" ht="32" customHeight="1">
      <ns0:c r="A821" s="200"/>
      <ns0:c r="B821" s="201"/>
      <ns0:c r="C821" s="209"/>
      <ns0:c r="D821" s="201"/>
      <ns0:c r="E821" s="209"/>
      <ns0:c r="F821" s="200"/>
      <ns0:c r="G821" s="200"/>
      <ns0:c r="H821" s="210" t="str">
        <ns0:f>IF('_Engine'!A821=0,"",IF('_Engine'!$B$6&gt;0,"REVIEW",IF('_Engine'!L821&gt;0,"REVIEW",'_Engine'!G821)))</ns0:f>
        <ns0:v/>
      </ns0:c>
      <ns0:c r="I821" s="207"/>
      <ns0:c r="J821" s="208" t="str">
        <ns0:f>IF('_Engine'!K821="OK","OK · "&amp;TEXT('_Dates'!J821,"dd mmm yyyy")&amp;IF('_Dates'!J821='_Dates'!T821,""," → "&amp;TEXT('_Dates'!T821,"dd mmm yyyy")),'_Engine'!K821)</ns0:f>
        <ns0:v/>
      </ns0:c>
    </ns0:row>
    <ns0:row r="822" ht="32" customHeight="1">
      <ns0:c r="A822" s="200"/>
      <ns0:c r="B822" s="201"/>
      <ns0:c r="C822" s="209"/>
      <ns0:c r="D822" s="201"/>
      <ns0:c r="E822" s="209"/>
      <ns0:c r="F822" s="200"/>
      <ns0:c r="G822" s="200"/>
      <ns0:c r="H822" s="210" t="str">
        <ns0:f>IF('_Engine'!A822=0,"",IF('_Engine'!$B$6&gt;0,"REVIEW",IF('_Engine'!L822&gt;0,"REVIEW",'_Engine'!G822)))</ns0:f>
        <ns0:v/>
      </ns0:c>
      <ns0:c r="I822" s="207"/>
      <ns0:c r="J822" s="208" t="str">
        <ns0:f>IF('_Engine'!K822="OK","OK · "&amp;TEXT('_Dates'!J822,"dd mmm yyyy")&amp;IF('_Dates'!J822='_Dates'!T822,""," → "&amp;TEXT('_Dates'!T822,"dd mmm yyyy")),'_Engine'!K822)</ns0:f>
        <ns0:v/>
      </ns0:c>
    </ns0:row>
    <ns0:row r="823" ht="32" customHeight="1">
      <ns0:c r="A823" s="200"/>
      <ns0:c r="B823" s="201"/>
      <ns0:c r="C823" s="209"/>
      <ns0:c r="D823" s="201"/>
      <ns0:c r="E823" s="209"/>
      <ns0:c r="F823" s="200"/>
      <ns0:c r="G823" s="200"/>
      <ns0:c r="H823" s="210" t="str">
        <ns0:f>IF('_Engine'!A823=0,"",IF('_Engine'!$B$6&gt;0,"REVIEW",IF('_Engine'!L823&gt;0,"REVIEW",'_Engine'!G823)))</ns0:f>
        <ns0:v/>
      </ns0:c>
      <ns0:c r="I823" s="207"/>
      <ns0:c r="J823" s="208" t="str">
        <ns0:f>IF('_Engine'!K823="OK","OK · "&amp;TEXT('_Dates'!J823,"dd mmm yyyy")&amp;IF('_Dates'!J823='_Dates'!T823,""," → "&amp;TEXT('_Dates'!T823,"dd mmm yyyy")),'_Engine'!K823)</ns0:f>
        <ns0:v/>
      </ns0:c>
    </ns0:row>
    <ns0:row r="824" ht="32" customHeight="1">
      <ns0:c r="A824" s="200"/>
      <ns0:c r="B824" s="201"/>
      <ns0:c r="C824" s="209"/>
      <ns0:c r="D824" s="201"/>
      <ns0:c r="E824" s="209"/>
      <ns0:c r="F824" s="200"/>
      <ns0:c r="G824" s="200"/>
      <ns0:c r="H824" s="210" t="str">
        <ns0:f>IF('_Engine'!A824=0,"",IF('_Engine'!$B$6&gt;0,"REVIEW",IF('_Engine'!L824&gt;0,"REVIEW",'_Engine'!G824)))</ns0:f>
        <ns0:v/>
      </ns0:c>
      <ns0:c r="I824" s="207"/>
      <ns0:c r="J824" s="208" t="str">
        <ns0:f>IF('_Engine'!K824="OK","OK · "&amp;TEXT('_Dates'!J824,"dd mmm yyyy")&amp;IF('_Dates'!J824='_Dates'!T824,""," → "&amp;TEXT('_Dates'!T824,"dd mmm yyyy")),'_Engine'!K824)</ns0:f>
        <ns0:v/>
      </ns0:c>
    </ns0:row>
    <ns0:row r="825" ht="32" customHeight="1">
      <ns0:c r="A825" s="200"/>
      <ns0:c r="B825" s="201"/>
      <ns0:c r="C825" s="209"/>
      <ns0:c r="D825" s="201"/>
      <ns0:c r="E825" s="209"/>
      <ns0:c r="F825" s="200"/>
      <ns0:c r="G825" s="200"/>
      <ns0:c r="H825" s="210" t="str">
        <ns0:f>IF('_Engine'!A825=0,"",IF('_Engine'!$B$6&gt;0,"REVIEW",IF('_Engine'!L825&gt;0,"REVIEW",'_Engine'!G825)))</ns0:f>
        <ns0:v/>
      </ns0:c>
      <ns0:c r="I825" s="207"/>
      <ns0:c r="J825" s="208" t="str">
        <ns0:f>IF('_Engine'!K825="OK","OK · "&amp;TEXT('_Dates'!J825,"dd mmm yyyy")&amp;IF('_Dates'!J825='_Dates'!T825,""," → "&amp;TEXT('_Dates'!T825,"dd mmm yyyy")),'_Engine'!K825)</ns0:f>
        <ns0:v/>
      </ns0:c>
    </ns0:row>
    <ns0:row r="826" ht="32" customHeight="1">
      <ns0:c r="A826" s="200"/>
      <ns0:c r="B826" s="201"/>
      <ns0:c r="C826" s="209"/>
      <ns0:c r="D826" s="201"/>
      <ns0:c r="E826" s="209"/>
      <ns0:c r="F826" s="200"/>
      <ns0:c r="G826" s="200"/>
      <ns0:c r="H826" s="210" t="str">
        <ns0:f>IF('_Engine'!A826=0,"",IF('_Engine'!$B$6&gt;0,"REVIEW",IF('_Engine'!L826&gt;0,"REVIEW",'_Engine'!G826)))</ns0:f>
        <ns0:v/>
      </ns0:c>
      <ns0:c r="I826" s="207"/>
      <ns0:c r="J826" s="208" t="str">
        <ns0:f>IF('_Engine'!K826="OK","OK · "&amp;TEXT('_Dates'!J826,"dd mmm yyyy")&amp;IF('_Dates'!J826='_Dates'!T826,""," → "&amp;TEXT('_Dates'!T826,"dd mmm yyyy")),'_Engine'!K826)</ns0:f>
        <ns0:v/>
      </ns0:c>
    </ns0:row>
    <ns0:row r="827" ht="32" customHeight="1">
      <ns0:c r="A827" s="200"/>
      <ns0:c r="B827" s="201"/>
      <ns0:c r="C827" s="209"/>
      <ns0:c r="D827" s="201"/>
      <ns0:c r="E827" s="209"/>
      <ns0:c r="F827" s="200"/>
      <ns0:c r="G827" s="200"/>
      <ns0:c r="H827" s="210" t="str">
        <ns0:f>IF('_Engine'!A827=0,"",IF('_Engine'!$B$6&gt;0,"REVIEW",IF('_Engine'!L827&gt;0,"REVIEW",'_Engine'!G827)))</ns0:f>
        <ns0:v/>
      </ns0:c>
      <ns0:c r="I827" s="207"/>
      <ns0:c r="J827" s="208" t="str">
        <ns0:f>IF('_Engine'!K827="OK","OK · "&amp;TEXT('_Dates'!J827,"dd mmm yyyy")&amp;IF('_Dates'!J827='_Dates'!T827,""," → "&amp;TEXT('_Dates'!T827,"dd mmm yyyy")),'_Engine'!K827)</ns0:f>
        <ns0:v/>
      </ns0:c>
    </ns0:row>
    <ns0:row r="828" ht="32" customHeight="1">
      <ns0:c r="A828" s="200"/>
      <ns0:c r="B828" s="201"/>
      <ns0:c r="C828" s="209"/>
      <ns0:c r="D828" s="201"/>
      <ns0:c r="E828" s="209"/>
      <ns0:c r="F828" s="200"/>
      <ns0:c r="G828" s="200"/>
      <ns0:c r="H828" s="210" t="str">
        <ns0:f>IF('_Engine'!A828=0,"",IF('_Engine'!$B$6&gt;0,"REVIEW",IF('_Engine'!L828&gt;0,"REVIEW",'_Engine'!G828)))</ns0:f>
        <ns0:v/>
      </ns0:c>
      <ns0:c r="I828" s="207"/>
      <ns0:c r="J828" s="208" t="str">
        <ns0:f>IF('_Engine'!K828="OK","OK · "&amp;TEXT('_Dates'!J828,"dd mmm yyyy")&amp;IF('_Dates'!J828='_Dates'!T828,""," → "&amp;TEXT('_Dates'!T828,"dd mmm yyyy")),'_Engine'!K828)</ns0:f>
        <ns0:v/>
      </ns0:c>
    </ns0:row>
    <ns0:row r="829" ht="32" customHeight="1">
      <ns0:c r="A829" s="200"/>
      <ns0:c r="B829" s="201"/>
      <ns0:c r="C829" s="209"/>
      <ns0:c r="D829" s="201"/>
      <ns0:c r="E829" s="209"/>
      <ns0:c r="F829" s="200"/>
      <ns0:c r="G829" s="200"/>
      <ns0:c r="H829" s="210" t="str">
        <ns0:f>IF('_Engine'!A829=0,"",IF('_Engine'!$B$6&gt;0,"REVIEW",IF('_Engine'!L829&gt;0,"REVIEW",'_Engine'!G829)))</ns0:f>
        <ns0:v/>
      </ns0:c>
      <ns0:c r="I829" s="207"/>
      <ns0:c r="J829" s="208" t="str">
        <ns0:f>IF('_Engine'!K829="OK","OK · "&amp;TEXT('_Dates'!J829,"dd mmm yyyy")&amp;IF('_Dates'!J829='_Dates'!T829,""," → "&amp;TEXT('_Dates'!T829,"dd mmm yyyy")),'_Engine'!K829)</ns0:f>
        <ns0:v/>
      </ns0:c>
    </ns0:row>
    <ns0:row r="830" ht="32" customHeight="1">
      <ns0:c r="A830" s="200"/>
      <ns0:c r="B830" s="201"/>
      <ns0:c r="C830" s="209"/>
      <ns0:c r="D830" s="201"/>
      <ns0:c r="E830" s="209"/>
      <ns0:c r="F830" s="200"/>
      <ns0:c r="G830" s="200"/>
      <ns0:c r="H830" s="210" t="str">
        <ns0:f>IF('_Engine'!A830=0,"",IF('_Engine'!$B$6&gt;0,"REVIEW",IF('_Engine'!L830&gt;0,"REVIEW",'_Engine'!G830)))</ns0:f>
        <ns0:v/>
      </ns0:c>
      <ns0:c r="I830" s="207"/>
      <ns0:c r="J830" s="208" t="str">
        <ns0:f>IF('_Engine'!K830="OK","OK · "&amp;TEXT('_Dates'!J830,"dd mmm yyyy")&amp;IF('_Dates'!J830='_Dates'!T830,""," → "&amp;TEXT('_Dates'!T830,"dd mmm yyyy")),'_Engine'!K830)</ns0:f>
        <ns0:v/>
      </ns0:c>
    </ns0:row>
    <ns0:row r="831" ht="32" customHeight="1">
      <ns0:c r="A831" s="200"/>
      <ns0:c r="B831" s="201"/>
      <ns0:c r="C831" s="209"/>
      <ns0:c r="D831" s="201"/>
      <ns0:c r="E831" s="209"/>
      <ns0:c r="F831" s="200"/>
      <ns0:c r="G831" s="200"/>
      <ns0:c r="H831" s="210" t="str">
        <ns0:f>IF('_Engine'!A831=0,"",IF('_Engine'!$B$6&gt;0,"REVIEW",IF('_Engine'!L831&gt;0,"REVIEW",'_Engine'!G831)))</ns0:f>
        <ns0:v/>
      </ns0:c>
      <ns0:c r="I831" s="207"/>
      <ns0:c r="J831" s="208" t="str">
        <ns0:f>IF('_Engine'!K831="OK","OK · "&amp;TEXT('_Dates'!J831,"dd mmm yyyy")&amp;IF('_Dates'!J831='_Dates'!T831,""," → "&amp;TEXT('_Dates'!T831,"dd mmm yyyy")),'_Engine'!K831)</ns0:f>
        <ns0:v/>
      </ns0:c>
    </ns0:row>
    <ns0:row r="832" ht="32" customHeight="1">
      <ns0:c r="A832" s="200"/>
      <ns0:c r="B832" s="201"/>
      <ns0:c r="C832" s="209"/>
      <ns0:c r="D832" s="201"/>
      <ns0:c r="E832" s="209"/>
      <ns0:c r="F832" s="200"/>
      <ns0:c r="G832" s="200"/>
      <ns0:c r="H832" s="210" t="str">
        <ns0:f>IF('_Engine'!A832=0,"",IF('_Engine'!$B$6&gt;0,"REVIEW",IF('_Engine'!L832&gt;0,"REVIEW",'_Engine'!G832)))</ns0:f>
        <ns0:v/>
      </ns0:c>
      <ns0:c r="I832" s="207"/>
      <ns0:c r="J832" s="208" t="str">
        <ns0:f>IF('_Engine'!K832="OK","OK · "&amp;TEXT('_Dates'!J832,"dd mmm yyyy")&amp;IF('_Dates'!J832='_Dates'!T832,""," → "&amp;TEXT('_Dates'!T832,"dd mmm yyyy")),'_Engine'!K832)</ns0:f>
        <ns0:v/>
      </ns0:c>
    </ns0:row>
    <ns0:row r="833" ht="32" customHeight="1">
      <ns0:c r="A833" s="200"/>
      <ns0:c r="B833" s="201"/>
      <ns0:c r="C833" s="209"/>
      <ns0:c r="D833" s="201"/>
      <ns0:c r="E833" s="209"/>
      <ns0:c r="F833" s="200"/>
      <ns0:c r="G833" s="200"/>
      <ns0:c r="H833" s="210" t="str">
        <ns0:f>IF('_Engine'!A833=0,"",IF('_Engine'!$B$6&gt;0,"REVIEW",IF('_Engine'!L833&gt;0,"REVIEW",'_Engine'!G833)))</ns0:f>
        <ns0:v/>
      </ns0:c>
      <ns0:c r="I833" s="207"/>
      <ns0:c r="J833" s="208" t="str">
        <ns0:f>IF('_Engine'!K833="OK","OK · "&amp;TEXT('_Dates'!J833,"dd mmm yyyy")&amp;IF('_Dates'!J833='_Dates'!T833,""," → "&amp;TEXT('_Dates'!T833,"dd mmm yyyy")),'_Engine'!K833)</ns0:f>
        <ns0:v/>
      </ns0:c>
    </ns0:row>
    <ns0:row r="834" ht="32" customHeight="1">
      <ns0:c r="A834" s="200"/>
      <ns0:c r="B834" s="201"/>
      <ns0:c r="C834" s="209"/>
      <ns0:c r="D834" s="201"/>
      <ns0:c r="E834" s="209"/>
      <ns0:c r="F834" s="200"/>
      <ns0:c r="G834" s="200"/>
      <ns0:c r="H834" s="210" t="str">
        <ns0:f>IF('_Engine'!A834=0,"",IF('_Engine'!$B$6&gt;0,"REVIEW",IF('_Engine'!L834&gt;0,"REVIEW",'_Engine'!G834)))</ns0:f>
        <ns0:v/>
      </ns0:c>
      <ns0:c r="I834" s="207"/>
      <ns0:c r="J834" s="208" t="str">
        <ns0:f>IF('_Engine'!K834="OK","OK · "&amp;TEXT('_Dates'!J834,"dd mmm yyyy")&amp;IF('_Dates'!J834='_Dates'!T834,""," → "&amp;TEXT('_Dates'!T834,"dd mmm yyyy")),'_Engine'!K834)</ns0:f>
        <ns0:v/>
      </ns0:c>
    </ns0:row>
    <ns0:row r="835" ht="32" customHeight="1">
      <ns0:c r="A835" s="200"/>
      <ns0:c r="B835" s="201"/>
      <ns0:c r="C835" s="209"/>
      <ns0:c r="D835" s="201"/>
      <ns0:c r="E835" s="209"/>
      <ns0:c r="F835" s="200"/>
      <ns0:c r="G835" s="200"/>
      <ns0:c r="H835" s="210" t="str">
        <ns0:f>IF('_Engine'!A835=0,"",IF('_Engine'!$B$6&gt;0,"REVIEW",IF('_Engine'!L835&gt;0,"REVIEW",'_Engine'!G835)))</ns0:f>
        <ns0:v/>
      </ns0:c>
      <ns0:c r="I835" s="207"/>
      <ns0:c r="J835" s="208" t="str">
        <ns0:f>IF('_Engine'!K835="OK","OK · "&amp;TEXT('_Dates'!J835,"dd mmm yyyy")&amp;IF('_Dates'!J835='_Dates'!T835,""," → "&amp;TEXT('_Dates'!T835,"dd mmm yyyy")),'_Engine'!K835)</ns0:f>
        <ns0:v/>
      </ns0:c>
    </ns0:row>
    <ns0:row r="836" ht="32" customHeight="1">
      <ns0:c r="A836" s="200"/>
      <ns0:c r="B836" s="201"/>
      <ns0:c r="C836" s="209"/>
      <ns0:c r="D836" s="201"/>
      <ns0:c r="E836" s="209"/>
      <ns0:c r="F836" s="200"/>
      <ns0:c r="G836" s="200"/>
      <ns0:c r="H836" s="210" t="str">
        <ns0:f>IF('_Engine'!A836=0,"",IF('_Engine'!$B$6&gt;0,"REVIEW",IF('_Engine'!L836&gt;0,"REVIEW",'_Engine'!G836)))</ns0:f>
        <ns0:v/>
      </ns0:c>
      <ns0:c r="I836" s="207"/>
      <ns0:c r="J836" s="208" t="str">
        <ns0:f>IF('_Engine'!K836="OK","OK · "&amp;TEXT('_Dates'!J836,"dd mmm yyyy")&amp;IF('_Dates'!J836='_Dates'!T836,""," → "&amp;TEXT('_Dates'!T836,"dd mmm yyyy")),'_Engine'!K836)</ns0:f>
        <ns0:v/>
      </ns0:c>
    </ns0:row>
    <ns0:row r="837" ht="32" customHeight="1">
      <ns0:c r="A837" s="200"/>
      <ns0:c r="B837" s="201"/>
      <ns0:c r="C837" s="209"/>
      <ns0:c r="D837" s="201"/>
      <ns0:c r="E837" s="209"/>
      <ns0:c r="F837" s="200"/>
      <ns0:c r="G837" s="200"/>
      <ns0:c r="H837" s="210" t="str">
        <ns0:f>IF('_Engine'!A837=0,"",IF('_Engine'!$B$6&gt;0,"REVIEW",IF('_Engine'!L837&gt;0,"REVIEW",'_Engine'!G837)))</ns0:f>
        <ns0:v/>
      </ns0:c>
      <ns0:c r="I837" s="207"/>
      <ns0:c r="J837" s="208" t="str">
        <ns0:f>IF('_Engine'!K837="OK","OK · "&amp;TEXT('_Dates'!J837,"dd mmm yyyy")&amp;IF('_Dates'!J837='_Dates'!T837,""," → "&amp;TEXT('_Dates'!T837,"dd mmm yyyy")),'_Engine'!K837)</ns0:f>
        <ns0:v/>
      </ns0:c>
    </ns0:row>
    <ns0:row r="838" ht="32" customHeight="1">
      <ns0:c r="A838" s="200"/>
      <ns0:c r="B838" s="201"/>
      <ns0:c r="C838" s="209"/>
      <ns0:c r="D838" s="201"/>
      <ns0:c r="E838" s="209"/>
      <ns0:c r="F838" s="200"/>
      <ns0:c r="G838" s="200"/>
      <ns0:c r="H838" s="210" t="str">
        <ns0:f>IF('_Engine'!A838=0,"",IF('_Engine'!$B$6&gt;0,"REVIEW",IF('_Engine'!L838&gt;0,"REVIEW",'_Engine'!G838)))</ns0:f>
        <ns0:v/>
      </ns0:c>
      <ns0:c r="I838" s="207"/>
      <ns0:c r="J838" s="208" t="str">
        <ns0:f>IF('_Engine'!K838="OK","OK · "&amp;TEXT('_Dates'!J838,"dd mmm yyyy")&amp;IF('_Dates'!J838='_Dates'!T838,""," → "&amp;TEXT('_Dates'!T838,"dd mmm yyyy")),'_Engine'!K838)</ns0:f>
        <ns0:v/>
      </ns0:c>
    </ns0:row>
    <ns0:row r="839" ht="32" customHeight="1">
      <ns0:c r="A839" s="200"/>
      <ns0:c r="B839" s="201"/>
      <ns0:c r="C839" s="209"/>
      <ns0:c r="D839" s="201"/>
      <ns0:c r="E839" s="209"/>
      <ns0:c r="F839" s="200"/>
      <ns0:c r="G839" s="200"/>
      <ns0:c r="H839" s="210" t="str">
        <ns0:f>IF('_Engine'!A839=0,"",IF('_Engine'!$B$6&gt;0,"REVIEW",IF('_Engine'!L839&gt;0,"REVIEW",'_Engine'!G839)))</ns0:f>
        <ns0:v/>
      </ns0:c>
      <ns0:c r="I839" s="207"/>
      <ns0:c r="J839" s="208" t="str">
        <ns0:f>IF('_Engine'!K839="OK","OK · "&amp;TEXT('_Dates'!J839,"dd mmm yyyy")&amp;IF('_Dates'!J839='_Dates'!T839,""," → "&amp;TEXT('_Dates'!T839,"dd mmm yyyy")),'_Engine'!K839)</ns0:f>
        <ns0:v/>
      </ns0:c>
    </ns0:row>
    <ns0:row r="840" ht="32" customHeight="1">
      <ns0:c r="A840" s="200"/>
      <ns0:c r="B840" s="201"/>
      <ns0:c r="C840" s="209"/>
      <ns0:c r="D840" s="201"/>
      <ns0:c r="E840" s="209"/>
      <ns0:c r="F840" s="200"/>
      <ns0:c r="G840" s="200"/>
      <ns0:c r="H840" s="210" t="str">
        <ns0:f>IF('_Engine'!A840=0,"",IF('_Engine'!$B$6&gt;0,"REVIEW",IF('_Engine'!L840&gt;0,"REVIEW",'_Engine'!G840)))</ns0:f>
        <ns0:v/>
      </ns0:c>
      <ns0:c r="I840" s="207"/>
      <ns0:c r="J840" s="208" t="str">
        <ns0:f>IF('_Engine'!K840="OK","OK · "&amp;TEXT('_Dates'!J840,"dd mmm yyyy")&amp;IF('_Dates'!J840='_Dates'!T840,""," → "&amp;TEXT('_Dates'!T840,"dd mmm yyyy")),'_Engine'!K840)</ns0:f>
        <ns0:v/>
      </ns0:c>
    </ns0:row>
    <ns0:row r="841" ht="32" customHeight="1">
      <ns0:c r="A841" s="200"/>
      <ns0:c r="B841" s="201"/>
      <ns0:c r="C841" s="209"/>
      <ns0:c r="D841" s="201"/>
      <ns0:c r="E841" s="209"/>
      <ns0:c r="F841" s="200"/>
      <ns0:c r="G841" s="200"/>
      <ns0:c r="H841" s="210" t="str">
        <ns0:f>IF('_Engine'!A841=0,"",IF('_Engine'!$B$6&gt;0,"REVIEW",IF('_Engine'!L841&gt;0,"REVIEW",'_Engine'!G841)))</ns0:f>
        <ns0:v/>
      </ns0:c>
      <ns0:c r="I841" s="207"/>
      <ns0:c r="J841" s="208" t="str">
        <ns0:f>IF('_Engine'!K841="OK","OK · "&amp;TEXT('_Dates'!J841,"dd mmm yyyy")&amp;IF('_Dates'!J841='_Dates'!T841,""," → "&amp;TEXT('_Dates'!T841,"dd mmm yyyy")),'_Engine'!K841)</ns0:f>
        <ns0:v/>
      </ns0:c>
    </ns0:row>
    <ns0:row r="842" ht="32" customHeight="1">
      <ns0:c r="A842" s="200"/>
      <ns0:c r="B842" s="201"/>
      <ns0:c r="C842" s="209"/>
      <ns0:c r="D842" s="201"/>
      <ns0:c r="E842" s="209"/>
      <ns0:c r="F842" s="200"/>
      <ns0:c r="G842" s="200"/>
      <ns0:c r="H842" s="210" t="str">
        <ns0:f>IF('_Engine'!A842=0,"",IF('_Engine'!$B$6&gt;0,"REVIEW",IF('_Engine'!L842&gt;0,"REVIEW",'_Engine'!G842)))</ns0:f>
        <ns0:v/>
      </ns0:c>
      <ns0:c r="I842" s="207"/>
      <ns0:c r="J842" s="208" t="str">
        <ns0:f>IF('_Engine'!K842="OK","OK · "&amp;TEXT('_Dates'!J842,"dd mmm yyyy")&amp;IF('_Dates'!J842='_Dates'!T842,""," → "&amp;TEXT('_Dates'!T842,"dd mmm yyyy")),'_Engine'!K842)</ns0:f>
        <ns0:v/>
      </ns0:c>
    </ns0:row>
    <ns0:row r="843" ht="32" customHeight="1">
      <ns0:c r="A843" s="200"/>
      <ns0:c r="B843" s="201"/>
      <ns0:c r="C843" s="209"/>
      <ns0:c r="D843" s="201"/>
      <ns0:c r="E843" s="209"/>
      <ns0:c r="F843" s="200"/>
      <ns0:c r="G843" s="200"/>
      <ns0:c r="H843" s="210" t="str">
        <ns0:f>IF('_Engine'!A843=0,"",IF('_Engine'!$B$6&gt;0,"REVIEW",IF('_Engine'!L843&gt;0,"REVIEW",'_Engine'!G843)))</ns0:f>
        <ns0:v/>
      </ns0:c>
      <ns0:c r="I843" s="207"/>
      <ns0:c r="J843" s="208" t="str">
        <ns0:f>IF('_Engine'!K843="OK","OK · "&amp;TEXT('_Dates'!J843,"dd mmm yyyy")&amp;IF('_Dates'!J843='_Dates'!T843,""," → "&amp;TEXT('_Dates'!T843,"dd mmm yyyy")),'_Engine'!K843)</ns0:f>
        <ns0:v/>
      </ns0:c>
    </ns0:row>
    <ns0:row r="844" ht="32" customHeight="1">
      <ns0:c r="A844" s="200"/>
      <ns0:c r="B844" s="201"/>
      <ns0:c r="C844" s="209"/>
      <ns0:c r="D844" s="201"/>
      <ns0:c r="E844" s="209"/>
      <ns0:c r="F844" s="200"/>
      <ns0:c r="G844" s="200"/>
      <ns0:c r="H844" s="210" t="str">
        <ns0:f>IF('_Engine'!A844=0,"",IF('_Engine'!$B$6&gt;0,"REVIEW",IF('_Engine'!L844&gt;0,"REVIEW",'_Engine'!G844)))</ns0:f>
        <ns0:v/>
      </ns0:c>
      <ns0:c r="I844" s="207"/>
      <ns0:c r="J844" s="208" t="str">
        <ns0:f>IF('_Engine'!K844="OK","OK · "&amp;TEXT('_Dates'!J844,"dd mmm yyyy")&amp;IF('_Dates'!J844='_Dates'!T844,""," → "&amp;TEXT('_Dates'!T844,"dd mmm yyyy")),'_Engine'!K844)</ns0:f>
        <ns0:v/>
      </ns0:c>
    </ns0:row>
    <ns0:row r="845" ht="32" customHeight="1">
      <ns0:c r="A845" s="200"/>
      <ns0:c r="B845" s="201"/>
      <ns0:c r="C845" s="209"/>
      <ns0:c r="D845" s="201"/>
      <ns0:c r="E845" s="209"/>
      <ns0:c r="F845" s="200"/>
      <ns0:c r="G845" s="200"/>
      <ns0:c r="H845" s="210" t="str">
        <ns0:f>IF('_Engine'!A845=0,"",IF('_Engine'!$B$6&gt;0,"REVIEW",IF('_Engine'!L845&gt;0,"REVIEW",'_Engine'!G845)))</ns0:f>
        <ns0:v/>
      </ns0:c>
      <ns0:c r="I845" s="207"/>
      <ns0:c r="J845" s="208" t="str">
        <ns0:f>IF('_Engine'!K845="OK","OK · "&amp;TEXT('_Dates'!J845,"dd mmm yyyy")&amp;IF('_Dates'!J845='_Dates'!T845,""," → "&amp;TEXT('_Dates'!T845,"dd mmm yyyy")),'_Engine'!K845)</ns0:f>
        <ns0:v/>
      </ns0:c>
    </ns0:row>
    <ns0:row r="846" ht="32" customHeight="1">
      <ns0:c r="A846" s="200"/>
      <ns0:c r="B846" s="201"/>
      <ns0:c r="C846" s="209"/>
      <ns0:c r="D846" s="201"/>
      <ns0:c r="E846" s="209"/>
      <ns0:c r="F846" s="200"/>
      <ns0:c r="G846" s="200"/>
      <ns0:c r="H846" s="210" t="str">
        <ns0:f>IF('_Engine'!A846=0,"",IF('_Engine'!$B$6&gt;0,"REVIEW",IF('_Engine'!L846&gt;0,"REVIEW",'_Engine'!G846)))</ns0:f>
        <ns0:v/>
      </ns0:c>
      <ns0:c r="I846" s="207"/>
      <ns0:c r="J846" s="208" t="str">
        <ns0:f>IF('_Engine'!K846="OK","OK · "&amp;TEXT('_Dates'!J846,"dd mmm yyyy")&amp;IF('_Dates'!J846='_Dates'!T846,""," → "&amp;TEXT('_Dates'!T846,"dd mmm yyyy")),'_Engine'!K846)</ns0:f>
        <ns0:v/>
      </ns0:c>
    </ns0:row>
    <ns0:row r="847" ht="32" customHeight="1">
      <ns0:c r="A847" s="200"/>
      <ns0:c r="B847" s="201"/>
      <ns0:c r="C847" s="209"/>
      <ns0:c r="D847" s="201"/>
      <ns0:c r="E847" s="209"/>
      <ns0:c r="F847" s="200"/>
      <ns0:c r="G847" s="200"/>
      <ns0:c r="H847" s="210" t="str">
        <ns0:f>IF('_Engine'!A847=0,"",IF('_Engine'!$B$6&gt;0,"REVIEW",IF('_Engine'!L847&gt;0,"REVIEW",'_Engine'!G847)))</ns0:f>
        <ns0:v/>
      </ns0:c>
      <ns0:c r="I847" s="207"/>
      <ns0:c r="J847" s="208" t="str">
        <ns0:f>IF('_Engine'!K847="OK","OK · "&amp;TEXT('_Dates'!J847,"dd mmm yyyy")&amp;IF('_Dates'!J847='_Dates'!T847,""," → "&amp;TEXT('_Dates'!T847,"dd mmm yyyy")),'_Engine'!K847)</ns0:f>
        <ns0:v/>
      </ns0:c>
    </ns0:row>
    <ns0:row r="848" ht="32" customHeight="1">
      <ns0:c r="A848" s="200"/>
      <ns0:c r="B848" s="201"/>
      <ns0:c r="C848" s="209"/>
      <ns0:c r="D848" s="201"/>
      <ns0:c r="E848" s="209"/>
      <ns0:c r="F848" s="200"/>
      <ns0:c r="G848" s="200"/>
      <ns0:c r="H848" s="210" t="str">
        <ns0:f>IF('_Engine'!A848=0,"",IF('_Engine'!$B$6&gt;0,"REVIEW",IF('_Engine'!L848&gt;0,"REVIEW",'_Engine'!G848)))</ns0:f>
        <ns0:v/>
      </ns0:c>
      <ns0:c r="I848" s="207"/>
      <ns0:c r="J848" s="208" t="str">
        <ns0:f>IF('_Engine'!K848="OK","OK · "&amp;TEXT('_Dates'!J848,"dd mmm yyyy")&amp;IF('_Dates'!J848='_Dates'!T848,""," → "&amp;TEXT('_Dates'!T848,"dd mmm yyyy")),'_Engine'!K848)</ns0:f>
        <ns0:v/>
      </ns0:c>
    </ns0:row>
    <ns0:row r="849" ht="32" customHeight="1">
      <ns0:c r="A849" s="200"/>
      <ns0:c r="B849" s="201"/>
      <ns0:c r="C849" s="209"/>
      <ns0:c r="D849" s="201"/>
      <ns0:c r="E849" s="209"/>
      <ns0:c r="F849" s="200"/>
      <ns0:c r="G849" s="200"/>
      <ns0:c r="H849" s="210" t="str">
        <ns0:f>IF('_Engine'!A849=0,"",IF('_Engine'!$B$6&gt;0,"REVIEW",IF('_Engine'!L849&gt;0,"REVIEW",'_Engine'!G849)))</ns0:f>
        <ns0:v/>
      </ns0:c>
      <ns0:c r="I849" s="207"/>
      <ns0:c r="J849" s="208" t="str">
        <ns0:f>IF('_Engine'!K849="OK","OK · "&amp;TEXT('_Dates'!J849,"dd mmm yyyy")&amp;IF('_Dates'!J849='_Dates'!T849,""," → "&amp;TEXT('_Dates'!T849,"dd mmm yyyy")),'_Engine'!K849)</ns0:f>
        <ns0:v/>
      </ns0:c>
    </ns0:row>
    <ns0:row r="850" ht="32" customHeight="1">
      <ns0:c r="A850" s="200"/>
      <ns0:c r="B850" s="201"/>
      <ns0:c r="C850" s="209"/>
      <ns0:c r="D850" s="201"/>
      <ns0:c r="E850" s="209"/>
      <ns0:c r="F850" s="200"/>
      <ns0:c r="G850" s="200"/>
      <ns0:c r="H850" s="210" t="str">
        <ns0:f>IF('_Engine'!A850=0,"",IF('_Engine'!$B$6&gt;0,"REVIEW",IF('_Engine'!L850&gt;0,"REVIEW",'_Engine'!G850)))</ns0:f>
        <ns0:v/>
      </ns0:c>
      <ns0:c r="I850" s="207"/>
      <ns0:c r="J850" s="208" t="str">
        <ns0:f>IF('_Engine'!K850="OK","OK · "&amp;TEXT('_Dates'!J850,"dd mmm yyyy")&amp;IF('_Dates'!J850='_Dates'!T850,""," → "&amp;TEXT('_Dates'!T850,"dd mmm yyyy")),'_Engine'!K850)</ns0:f>
        <ns0:v/>
      </ns0:c>
    </ns0:row>
    <ns0:row r="851" ht="32" customHeight="1">
      <ns0:c r="A851" s="200"/>
      <ns0:c r="B851" s="201"/>
      <ns0:c r="C851" s="209"/>
      <ns0:c r="D851" s="201"/>
      <ns0:c r="E851" s="209"/>
      <ns0:c r="F851" s="200"/>
      <ns0:c r="G851" s="200"/>
      <ns0:c r="H851" s="210" t="str">
        <ns0:f>IF('_Engine'!A851=0,"",IF('_Engine'!$B$6&gt;0,"REVIEW",IF('_Engine'!L851&gt;0,"REVIEW",'_Engine'!G851)))</ns0:f>
        <ns0:v/>
      </ns0:c>
      <ns0:c r="I851" s="207"/>
      <ns0:c r="J851" s="208" t="str">
        <ns0:f>IF('_Engine'!K851="OK","OK · "&amp;TEXT('_Dates'!J851,"dd mmm yyyy")&amp;IF('_Dates'!J851='_Dates'!T851,""," → "&amp;TEXT('_Dates'!T851,"dd mmm yyyy")),'_Engine'!K851)</ns0:f>
        <ns0:v/>
      </ns0:c>
    </ns0:row>
    <ns0:row r="852" ht="32" customHeight="1">
      <ns0:c r="A852" s="200"/>
      <ns0:c r="B852" s="201"/>
      <ns0:c r="C852" s="209"/>
      <ns0:c r="D852" s="201"/>
      <ns0:c r="E852" s="209"/>
      <ns0:c r="F852" s="200"/>
      <ns0:c r="G852" s="200"/>
      <ns0:c r="H852" s="210" t="str">
        <ns0:f>IF('_Engine'!A852=0,"",IF('_Engine'!$B$6&gt;0,"REVIEW",IF('_Engine'!L852&gt;0,"REVIEW",'_Engine'!G852)))</ns0:f>
        <ns0:v/>
      </ns0:c>
      <ns0:c r="I852" s="207"/>
      <ns0:c r="J852" s="208" t="str">
        <ns0:f>IF('_Engine'!K852="OK","OK · "&amp;TEXT('_Dates'!J852,"dd mmm yyyy")&amp;IF('_Dates'!J852='_Dates'!T852,""," → "&amp;TEXT('_Dates'!T852,"dd mmm yyyy")),'_Engine'!K852)</ns0:f>
        <ns0:v/>
      </ns0:c>
    </ns0:row>
    <ns0:row r="853" ht="32" customHeight="1">
      <ns0:c r="A853" s="200"/>
      <ns0:c r="B853" s="201"/>
      <ns0:c r="C853" s="209"/>
      <ns0:c r="D853" s="201"/>
      <ns0:c r="E853" s="209"/>
      <ns0:c r="F853" s="200"/>
      <ns0:c r="G853" s="200"/>
      <ns0:c r="H853" s="210" t="str">
        <ns0:f>IF('_Engine'!A853=0,"",IF('_Engine'!$B$6&gt;0,"REVIEW",IF('_Engine'!L853&gt;0,"REVIEW",'_Engine'!G853)))</ns0:f>
        <ns0:v/>
      </ns0:c>
      <ns0:c r="I853" s="207"/>
      <ns0:c r="J853" s="208" t="str">
        <ns0:f>IF('_Engine'!K853="OK","OK · "&amp;TEXT('_Dates'!J853,"dd mmm yyyy")&amp;IF('_Dates'!J853='_Dates'!T853,""," → "&amp;TEXT('_Dates'!T853,"dd mmm yyyy")),'_Engine'!K853)</ns0:f>
        <ns0:v/>
      </ns0:c>
    </ns0:row>
    <ns0:row r="854" ht="32" customHeight="1">
      <ns0:c r="A854" s="200"/>
      <ns0:c r="B854" s="201"/>
      <ns0:c r="C854" s="209"/>
      <ns0:c r="D854" s="201"/>
      <ns0:c r="E854" s="209"/>
      <ns0:c r="F854" s="200"/>
      <ns0:c r="G854" s="200"/>
      <ns0:c r="H854" s="210" t="str">
        <ns0:f>IF('_Engine'!A854=0,"",IF('_Engine'!$B$6&gt;0,"REVIEW",IF('_Engine'!L854&gt;0,"REVIEW",'_Engine'!G854)))</ns0:f>
        <ns0:v/>
      </ns0:c>
      <ns0:c r="I854" s="207"/>
      <ns0:c r="J854" s="208" t="str">
        <ns0:f>IF('_Engine'!K854="OK","OK · "&amp;TEXT('_Dates'!J854,"dd mmm yyyy")&amp;IF('_Dates'!J854='_Dates'!T854,""," → "&amp;TEXT('_Dates'!T854,"dd mmm yyyy")),'_Engine'!K854)</ns0:f>
        <ns0:v/>
      </ns0:c>
    </ns0:row>
    <ns0:row r="855" ht="32" customHeight="1">
      <ns0:c r="A855" s="200"/>
      <ns0:c r="B855" s="201"/>
      <ns0:c r="C855" s="209"/>
      <ns0:c r="D855" s="201"/>
      <ns0:c r="E855" s="209"/>
      <ns0:c r="F855" s="200"/>
      <ns0:c r="G855" s="200"/>
      <ns0:c r="H855" s="210" t="str">
        <ns0:f>IF('_Engine'!A855=0,"",IF('_Engine'!$B$6&gt;0,"REVIEW",IF('_Engine'!L855&gt;0,"REVIEW",'_Engine'!G855)))</ns0:f>
        <ns0:v/>
      </ns0:c>
      <ns0:c r="I855" s="207"/>
      <ns0:c r="J855" s="208" t="str">
        <ns0:f>IF('_Engine'!K855="OK","OK · "&amp;TEXT('_Dates'!J855,"dd mmm yyyy")&amp;IF('_Dates'!J855='_Dates'!T855,""," → "&amp;TEXT('_Dates'!T855,"dd mmm yyyy")),'_Engine'!K855)</ns0:f>
        <ns0:v/>
      </ns0:c>
    </ns0:row>
    <ns0:row r="856" ht="32" customHeight="1">
      <ns0:c r="A856" s="200"/>
      <ns0:c r="B856" s="201"/>
      <ns0:c r="C856" s="209"/>
      <ns0:c r="D856" s="201"/>
      <ns0:c r="E856" s="209"/>
      <ns0:c r="F856" s="200"/>
      <ns0:c r="G856" s="200"/>
      <ns0:c r="H856" s="210" t="str">
        <ns0:f>IF('_Engine'!A856=0,"",IF('_Engine'!$B$6&gt;0,"REVIEW",IF('_Engine'!L856&gt;0,"REVIEW",'_Engine'!G856)))</ns0:f>
        <ns0:v/>
      </ns0:c>
      <ns0:c r="I856" s="207"/>
      <ns0:c r="J856" s="208" t="str">
        <ns0:f>IF('_Engine'!K856="OK","OK · "&amp;TEXT('_Dates'!J856,"dd mmm yyyy")&amp;IF('_Dates'!J856='_Dates'!T856,""," → "&amp;TEXT('_Dates'!T856,"dd mmm yyyy")),'_Engine'!K856)</ns0:f>
        <ns0:v/>
      </ns0:c>
    </ns0:row>
    <ns0:row r="857" ht="32" customHeight="1">
      <ns0:c r="A857" s="200"/>
      <ns0:c r="B857" s="201"/>
      <ns0:c r="C857" s="209"/>
      <ns0:c r="D857" s="201"/>
      <ns0:c r="E857" s="209"/>
      <ns0:c r="F857" s="200"/>
      <ns0:c r="G857" s="200"/>
      <ns0:c r="H857" s="210" t="str">
        <ns0:f>IF('_Engine'!A857=0,"",IF('_Engine'!$B$6&gt;0,"REVIEW",IF('_Engine'!L857&gt;0,"REVIEW",'_Engine'!G857)))</ns0:f>
        <ns0:v/>
      </ns0:c>
      <ns0:c r="I857" s="207"/>
      <ns0:c r="J857" s="208" t="str">
        <ns0:f>IF('_Engine'!K857="OK","OK · "&amp;TEXT('_Dates'!J857,"dd mmm yyyy")&amp;IF('_Dates'!J857='_Dates'!T857,""," → "&amp;TEXT('_Dates'!T857,"dd mmm yyyy")),'_Engine'!K857)</ns0:f>
        <ns0:v/>
      </ns0:c>
    </ns0:row>
    <ns0:row r="858" ht="32" customHeight="1">
      <ns0:c r="A858" s="200"/>
      <ns0:c r="B858" s="201"/>
      <ns0:c r="C858" s="209"/>
      <ns0:c r="D858" s="201"/>
      <ns0:c r="E858" s="209"/>
      <ns0:c r="F858" s="200"/>
      <ns0:c r="G858" s="200"/>
      <ns0:c r="H858" s="210" t="str">
        <ns0:f>IF('_Engine'!A858=0,"",IF('_Engine'!$B$6&gt;0,"REVIEW",IF('_Engine'!L858&gt;0,"REVIEW",'_Engine'!G858)))</ns0:f>
        <ns0:v/>
      </ns0:c>
      <ns0:c r="I858" s="207"/>
      <ns0:c r="J858" s="208" t="str">
        <ns0:f>IF('_Engine'!K858="OK","OK · "&amp;TEXT('_Dates'!J858,"dd mmm yyyy")&amp;IF('_Dates'!J858='_Dates'!T858,""," → "&amp;TEXT('_Dates'!T858,"dd mmm yyyy")),'_Engine'!K858)</ns0:f>
        <ns0:v/>
      </ns0:c>
    </ns0:row>
    <ns0:row r="859" ht="32" customHeight="1">
      <ns0:c r="A859" s="200"/>
      <ns0:c r="B859" s="201"/>
      <ns0:c r="C859" s="209"/>
      <ns0:c r="D859" s="201"/>
      <ns0:c r="E859" s="209"/>
      <ns0:c r="F859" s="200"/>
      <ns0:c r="G859" s="200"/>
      <ns0:c r="H859" s="210" t="str">
        <ns0:f>IF('_Engine'!A859=0,"",IF('_Engine'!$B$6&gt;0,"REVIEW",IF('_Engine'!L859&gt;0,"REVIEW",'_Engine'!G859)))</ns0:f>
        <ns0:v/>
      </ns0:c>
      <ns0:c r="I859" s="207"/>
      <ns0:c r="J859" s="208" t="str">
        <ns0:f>IF('_Engine'!K859="OK","OK · "&amp;TEXT('_Dates'!J859,"dd mmm yyyy")&amp;IF('_Dates'!J859='_Dates'!T859,""," → "&amp;TEXT('_Dates'!T859,"dd mmm yyyy")),'_Engine'!K859)</ns0:f>
        <ns0:v/>
      </ns0:c>
    </ns0:row>
    <ns0:row r="860" ht="32" customHeight="1">
      <ns0:c r="A860" s="200"/>
      <ns0:c r="B860" s="201"/>
      <ns0:c r="C860" s="209"/>
      <ns0:c r="D860" s="201"/>
      <ns0:c r="E860" s="209"/>
      <ns0:c r="F860" s="200"/>
      <ns0:c r="G860" s="200"/>
      <ns0:c r="H860" s="210" t="str">
        <ns0:f>IF('_Engine'!A860=0,"",IF('_Engine'!$B$6&gt;0,"REVIEW",IF('_Engine'!L860&gt;0,"REVIEW",'_Engine'!G860)))</ns0:f>
        <ns0:v/>
      </ns0:c>
      <ns0:c r="I860" s="207"/>
      <ns0:c r="J860" s="208" t="str">
        <ns0:f>IF('_Engine'!K860="OK","OK · "&amp;TEXT('_Dates'!J860,"dd mmm yyyy")&amp;IF('_Dates'!J860='_Dates'!T860,""," → "&amp;TEXT('_Dates'!T860,"dd mmm yyyy")),'_Engine'!K860)</ns0:f>
        <ns0:v/>
      </ns0:c>
    </ns0:row>
    <ns0:row r="861" ht="32" customHeight="1">
      <ns0:c r="A861" s="200"/>
      <ns0:c r="B861" s="201"/>
      <ns0:c r="C861" s="209"/>
      <ns0:c r="D861" s="201"/>
      <ns0:c r="E861" s="209"/>
      <ns0:c r="F861" s="200"/>
      <ns0:c r="G861" s="200"/>
      <ns0:c r="H861" s="210" t="str">
        <ns0:f>IF('_Engine'!A861=0,"",IF('_Engine'!$B$6&gt;0,"REVIEW",IF('_Engine'!L861&gt;0,"REVIEW",'_Engine'!G861)))</ns0:f>
        <ns0:v/>
      </ns0:c>
      <ns0:c r="I861" s="207"/>
      <ns0:c r="J861" s="208" t="str">
        <ns0:f>IF('_Engine'!K861="OK","OK · "&amp;TEXT('_Dates'!J861,"dd mmm yyyy")&amp;IF('_Dates'!J861='_Dates'!T861,""," → "&amp;TEXT('_Dates'!T861,"dd mmm yyyy")),'_Engine'!K861)</ns0:f>
        <ns0:v/>
      </ns0:c>
    </ns0:row>
    <ns0:row r="862" ht="32" customHeight="1">
      <ns0:c r="A862" s="200"/>
      <ns0:c r="B862" s="201"/>
      <ns0:c r="C862" s="209"/>
      <ns0:c r="D862" s="201"/>
      <ns0:c r="E862" s="209"/>
      <ns0:c r="F862" s="200"/>
      <ns0:c r="G862" s="200"/>
      <ns0:c r="H862" s="210" t="str">
        <ns0:f>IF('_Engine'!A862=0,"",IF('_Engine'!$B$6&gt;0,"REVIEW",IF('_Engine'!L862&gt;0,"REVIEW",'_Engine'!G862)))</ns0:f>
        <ns0:v/>
      </ns0:c>
      <ns0:c r="I862" s="207"/>
      <ns0:c r="J862" s="208" t="str">
        <ns0:f>IF('_Engine'!K862="OK","OK · "&amp;TEXT('_Dates'!J862,"dd mmm yyyy")&amp;IF('_Dates'!J862='_Dates'!T862,""," → "&amp;TEXT('_Dates'!T862,"dd mmm yyyy")),'_Engine'!K862)</ns0:f>
        <ns0:v/>
      </ns0:c>
    </ns0:row>
    <ns0:row r="863" ht="32" customHeight="1">
      <ns0:c r="A863" s="200"/>
      <ns0:c r="B863" s="201"/>
      <ns0:c r="C863" s="209"/>
      <ns0:c r="D863" s="201"/>
      <ns0:c r="E863" s="209"/>
      <ns0:c r="F863" s="200"/>
      <ns0:c r="G863" s="200"/>
      <ns0:c r="H863" s="210" t="str">
        <ns0:f>IF('_Engine'!A863=0,"",IF('_Engine'!$B$6&gt;0,"REVIEW",IF('_Engine'!L863&gt;0,"REVIEW",'_Engine'!G863)))</ns0:f>
        <ns0:v/>
      </ns0:c>
      <ns0:c r="I863" s="207"/>
      <ns0:c r="J863" s="208" t="str">
        <ns0:f>IF('_Engine'!K863="OK","OK · "&amp;TEXT('_Dates'!J863,"dd mmm yyyy")&amp;IF('_Dates'!J863='_Dates'!T863,""," → "&amp;TEXT('_Dates'!T863,"dd mmm yyyy")),'_Engine'!K863)</ns0:f>
        <ns0:v/>
      </ns0:c>
    </ns0:row>
    <ns0:row r="864" ht="32" customHeight="1">
      <ns0:c r="A864" s="200"/>
      <ns0:c r="B864" s="201"/>
      <ns0:c r="C864" s="209"/>
      <ns0:c r="D864" s="201"/>
      <ns0:c r="E864" s="209"/>
      <ns0:c r="F864" s="200"/>
      <ns0:c r="G864" s="200"/>
      <ns0:c r="H864" s="210" t="str">
        <ns0:f>IF('_Engine'!A864=0,"",IF('_Engine'!$B$6&gt;0,"REVIEW",IF('_Engine'!L864&gt;0,"REVIEW",'_Engine'!G864)))</ns0:f>
        <ns0:v/>
      </ns0:c>
      <ns0:c r="I864" s="207"/>
      <ns0:c r="J864" s="208" t="str">
        <ns0:f>IF('_Engine'!K864="OK","OK · "&amp;TEXT('_Dates'!J864,"dd mmm yyyy")&amp;IF('_Dates'!J864='_Dates'!T864,""," → "&amp;TEXT('_Dates'!T864,"dd mmm yyyy")),'_Engine'!K864)</ns0:f>
        <ns0:v/>
      </ns0:c>
    </ns0:row>
    <ns0:row r="865" ht="32" customHeight="1">
      <ns0:c r="A865" s="200"/>
      <ns0:c r="B865" s="201"/>
      <ns0:c r="C865" s="209"/>
      <ns0:c r="D865" s="201"/>
      <ns0:c r="E865" s="209"/>
      <ns0:c r="F865" s="200"/>
      <ns0:c r="G865" s="200"/>
      <ns0:c r="H865" s="210" t="str">
        <ns0:f>IF('_Engine'!A865=0,"",IF('_Engine'!$B$6&gt;0,"REVIEW",IF('_Engine'!L865&gt;0,"REVIEW",'_Engine'!G865)))</ns0:f>
        <ns0:v/>
      </ns0:c>
      <ns0:c r="I865" s="207"/>
      <ns0:c r="J865" s="208" t="str">
        <ns0:f>IF('_Engine'!K865="OK","OK · "&amp;TEXT('_Dates'!J865,"dd mmm yyyy")&amp;IF('_Dates'!J865='_Dates'!T865,""," → "&amp;TEXT('_Dates'!T865,"dd mmm yyyy")),'_Engine'!K865)</ns0:f>
        <ns0:v/>
      </ns0:c>
    </ns0:row>
    <ns0:row r="866" ht="32" customHeight="1">
      <ns0:c r="A866" s="200"/>
      <ns0:c r="B866" s="201"/>
      <ns0:c r="C866" s="209"/>
      <ns0:c r="D866" s="201"/>
      <ns0:c r="E866" s="209"/>
      <ns0:c r="F866" s="200"/>
      <ns0:c r="G866" s="200"/>
      <ns0:c r="H866" s="210" t="str">
        <ns0:f>IF('_Engine'!A866=0,"",IF('_Engine'!$B$6&gt;0,"REVIEW",IF('_Engine'!L866&gt;0,"REVIEW",'_Engine'!G866)))</ns0:f>
        <ns0:v/>
      </ns0:c>
      <ns0:c r="I866" s="207"/>
      <ns0:c r="J866" s="208" t="str">
        <ns0:f>IF('_Engine'!K866="OK","OK · "&amp;TEXT('_Dates'!J866,"dd mmm yyyy")&amp;IF('_Dates'!J866='_Dates'!T866,""," → "&amp;TEXT('_Dates'!T866,"dd mmm yyyy")),'_Engine'!K866)</ns0:f>
        <ns0:v/>
      </ns0:c>
    </ns0:row>
    <ns0:row r="867" ht="32" customHeight="1">
      <ns0:c r="A867" s="200"/>
      <ns0:c r="B867" s="201"/>
      <ns0:c r="C867" s="209"/>
      <ns0:c r="D867" s="201"/>
      <ns0:c r="E867" s="209"/>
      <ns0:c r="F867" s="200"/>
      <ns0:c r="G867" s="200"/>
      <ns0:c r="H867" s="210" t="str">
        <ns0:f>IF('_Engine'!A867=0,"",IF('_Engine'!$B$6&gt;0,"REVIEW",IF('_Engine'!L867&gt;0,"REVIEW",'_Engine'!G867)))</ns0:f>
        <ns0:v/>
      </ns0:c>
      <ns0:c r="I867" s="207"/>
      <ns0:c r="J867" s="208" t="str">
        <ns0:f>IF('_Engine'!K867="OK","OK · "&amp;TEXT('_Dates'!J867,"dd mmm yyyy")&amp;IF('_Dates'!J867='_Dates'!T867,""," → "&amp;TEXT('_Dates'!T867,"dd mmm yyyy")),'_Engine'!K867)</ns0:f>
        <ns0:v/>
      </ns0:c>
    </ns0:row>
    <ns0:row r="868" ht="32" customHeight="1">
      <ns0:c r="A868" s="200"/>
      <ns0:c r="B868" s="201"/>
      <ns0:c r="C868" s="209"/>
      <ns0:c r="D868" s="201"/>
      <ns0:c r="E868" s="209"/>
      <ns0:c r="F868" s="200"/>
      <ns0:c r="G868" s="200"/>
      <ns0:c r="H868" s="210" t="str">
        <ns0:f>IF('_Engine'!A868=0,"",IF('_Engine'!$B$6&gt;0,"REVIEW",IF('_Engine'!L868&gt;0,"REVIEW",'_Engine'!G868)))</ns0:f>
        <ns0:v/>
      </ns0:c>
      <ns0:c r="I868" s="207"/>
      <ns0:c r="J868" s="208" t="str">
        <ns0:f>IF('_Engine'!K868="OK","OK · "&amp;TEXT('_Dates'!J868,"dd mmm yyyy")&amp;IF('_Dates'!J868='_Dates'!T868,""," → "&amp;TEXT('_Dates'!T868,"dd mmm yyyy")),'_Engine'!K868)</ns0:f>
        <ns0:v/>
      </ns0:c>
    </ns0:row>
    <ns0:row r="869" ht="32" customHeight="1">
      <ns0:c r="A869" s="200"/>
      <ns0:c r="B869" s="201"/>
      <ns0:c r="C869" s="209"/>
      <ns0:c r="D869" s="201"/>
      <ns0:c r="E869" s="209"/>
      <ns0:c r="F869" s="200"/>
      <ns0:c r="G869" s="200"/>
      <ns0:c r="H869" s="210" t="str">
        <ns0:f>IF('_Engine'!A869=0,"",IF('_Engine'!$B$6&gt;0,"REVIEW",IF('_Engine'!L869&gt;0,"REVIEW",'_Engine'!G869)))</ns0:f>
        <ns0:v/>
      </ns0:c>
      <ns0:c r="I869" s="207"/>
      <ns0:c r="J869" s="208" t="str">
        <ns0:f>IF('_Engine'!K869="OK","OK · "&amp;TEXT('_Dates'!J869,"dd mmm yyyy")&amp;IF('_Dates'!J869='_Dates'!T869,""," → "&amp;TEXT('_Dates'!T869,"dd mmm yyyy")),'_Engine'!K869)</ns0:f>
        <ns0:v/>
      </ns0:c>
    </ns0:row>
    <ns0:row r="870" ht="32" customHeight="1">
      <ns0:c r="A870" s="200"/>
      <ns0:c r="B870" s="201"/>
      <ns0:c r="C870" s="209"/>
      <ns0:c r="D870" s="201"/>
      <ns0:c r="E870" s="209"/>
      <ns0:c r="F870" s="200"/>
      <ns0:c r="G870" s="200"/>
      <ns0:c r="H870" s="210" t="str">
        <ns0:f>IF('_Engine'!A870=0,"",IF('_Engine'!$B$6&gt;0,"REVIEW",IF('_Engine'!L870&gt;0,"REVIEW",'_Engine'!G870)))</ns0:f>
        <ns0:v/>
      </ns0:c>
      <ns0:c r="I870" s="207"/>
      <ns0:c r="J870" s="208" t="str">
        <ns0:f>IF('_Engine'!K870="OK","OK · "&amp;TEXT('_Dates'!J870,"dd mmm yyyy")&amp;IF('_Dates'!J870='_Dates'!T870,""," → "&amp;TEXT('_Dates'!T870,"dd mmm yyyy")),'_Engine'!K870)</ns0:f>
        <ns0:v/>
      </ns0:c>
    </ns0:row>
    <ns0:row r="871" ht="32" customHeight="1">
      <ns0:c r="A871" s="200"/>
      <ns0:c r="B871" s="201"/>
      <ns0:c r="C871" s="209"/>
      <ns0:c r="D871" s="201"/>
      <ns0:c r="E871" s="209"/>
      <ns0:c r="F871" s="200"/>
      <ns0:c r="G871" s="200"/>
      <ns0:c r="H871" s="210" t="str">
        <ns0:f>IF('_Engine'!A871=0,"",IF('_Engine'!$B$6&gt;0,"REVIEW",IF('_Engine'!L871&gt;0,"REVIEW",'_Engine'!G871)))</ns0:f>
        <ns0:v/>
      </ns0:c>
      <ns0:c r="I871" s="207"/>
      <ns0:c r="J871" s="208" t="str">
        <ns0:f>IF('_Engine'!K871="OK","OK · "&amp;TEXT('_Dates'!J871,"dd mmm yyyy")&amp;IF('_Dates'!J871='_Dates'!T871,""," → "&amp;TEXT('_Dates'!T871,"dd mmm yyyy")),'_Engine'!K871)</ns0:f>
        <ns0:v/>
      </ns0:c>
    </ns0:row>
    <ns0:row r="872" ht="32" customHeight="1">
      <ns0:c r="A872" s="200"/>
      <ns0:c r="B872" s="201"/>
      <ns0:c r="C872" s="209"/>
      <ns0:c r="D872" s="201"/>
      <ns0:c r="E872" s="209"/>
      <ns0:c r="F872" s="200"/>
      <ns0:c r="G872" s="200"/>
      <ns0:c r="H872" s="210" t="str">
        <ns0:f>IF('_Engine'!A872=0,"",IF('_Engine'!$B$6&gt;0,"REVIEW",IF('_Engine'!L872&gt;0,"REVIEW",'_Engine'!G872)))</ns0:f>
        <ns0:v/>
      </ns0:c>
      <ns0:c r="I872" s="207"/>
      <ns0:c r="J872" s="208" t="str">
        <ns0:f>IF('_Engine'!K872="OK","OK · "&amp;TEXT('_Dates'!J872,"dd mmm yyyy")&amp;IF('_Dates'!J872='_Dates'!T872,""," → "&amp;TEXT('_Dates'!T872,"dd mmm yyyy")),'_Engine'!K872)</ns0:f>
        <ns0:v/>
      </ns0:c>
    </ns0:row>
    <ns0:row r="873" ht="32" customHeight="1">
      <ns0:c r="A873" s="200"/>
      <ns0:c r="B873" s="201"/>
      <ns0:c r="C873" s="209"/>
      <ns0:c r="D873" s="201"/>
      <ns0:c r="E873" s="209"/>
      <ns0:c r="F873" s="200"/>
      <ns0:c r="G873" s="200"/>
      <ns0:c r="H873" s="210" t="str">
        <ns0:f>IF('_Engine'!A873=0,"",IF('_Engine'!$B$6&gt;0,"REVIEW",IF('_Engine'!L873&gt;0,"REVIEW",'_Engine'!G873)))</ns0:f>
        <ns0:v/>
      </ns0:c>
      <ns0:c r="I873" s="207"/>
      <ns0:c r="J873" s="208" t="str">
        <ns0:f>IF('_Engine'!K873="OK","OK · "&amp;TEXT('_Dates'!J873,"dd mmm yyyy")&amp;IF('_Dates'!J873='_Dates'!T873,""," → "&amp;TEXT('_Dates'!T873,"dd mmm yyyy")),'_Engine'!K873)</ns0:f>
        <ns0:v/>
      </ns0:c>
    </ns0:row>
    <ns0:row r="874" ht="32" customHeight="1">
      <ns0:c r="A874" s="200"/>
      <ns0:c r="B874" s="201"/>
      <ns0:c r="C874" s="209"/>
      <ns0:c r="D874" s="201"/>
      <ns0:c r="E874" s="209"/>
      <ns0:c r="F874" s="200"/>
      <ns0:c r="G874" s="200"/>
      <ns0:c r="H874" s="210" t="str">
        <ns0:f>IF('_Engine'!A874=0,"",IF('_Engine'!$B$6&gt;0,"REVIEW",IF('_Engine'!L874&gt;0,"REVIEW",'_Engine'!G874)))</ns0:f>
        <ns0:v/>
      </ns0:c>
      <ns0:c r="I874" s="207"/>
      <ns0:c r="J874" s="208" t="str">
        <ns0:f>IF('_Engine'!K874="OK","OK · "&amp;TEXT('_Dates'!J874,"dd mmm yyyy")&amp;IF('_Dates'!J874='_Dates'!T874,""," → "&amp;TEXT('_Dates'!T874,"dd mmm yyyy")),'_Engine'!K874)</ns0:f>
        <ns0:v/>
      </ns0:c>
    </ns0:row>
    <ns0:row r="875" ht="32" customHeight="1">
      <ns0:c r="A875" s="200"/>
      <ns0:c r="B875" s="201"/>
      <ns0:c r="C875" s="209"/>
      <ns0:c r="D875" s="201"/>
      <ns0:c r="E875" s="209"/>
      <ns0:c r="F875" s="200"/>
      <ns0:c r="G875" s="200"/>
      <ns0:c r="H875" s="210" t="str">
        <ns0:f>IF('_Engine'!A875=0,"",IF('_Engine'!$B$6&gt;0,"REVIEW",IF('_Engine'!L875&gt;0,"REVIEW",'_Engine'!G875)))</ns0:f>
        <ns0:v/>
      </ns0:c>
      <ns0:c r="I875" s="207"/>
      <ns0:c r="J875" s="208" t="str">
        <ns0:f>IF('_Engine'!K875="OK","OK · "&amp;TEXT('_Dates'!J875,"dd mmm yyyy")&amp;IF('_Dates'!J875='_Dates'!T875,""," → "&amp;TEXT('_Dates'!T875,"dd mmm yyyy")),'_Engine'!K875)</ns0:f>
        <ns0:v/>
      </ns0:c>
    </ns0:row>
    <ns0:row r="876" ht="32" customHeight="1">
      <ns0:c r="A876" s="200"/>
      <ns0:c r="B876" s="201"/>
      <ns0:c r="C876" s="209"/>
      <ns0:c r="D876" s="201"/>
      <ns0:c r="E876" s="209"/>
      <ns0:c r="F876" s="200"/>
      <ns0:c r="G876" s="200"/>
      <ns0:c r="H876" s="210" t="str">
        <ns0:f>IF('_Engine'!A876=0,"",IF('_Engine'!$B$6&gt;0,"REVIEW",IF('_Engine'!L876&gt;0,"REVIEW",'_Engine'!G876)))</ns0:f>
        <ns0:v/>
      </ns0:c>
      <ns0:c r="I876" s="207"/>
      <ns0:c r="J876" s="208" t="str">
        <ns0:f>IF('_Engine'!K876="OK","OK · "&amp;TEXT('_Dates'!J876,"dd mmm yyyy")&amp;IF('_Dates'!J876='_Dates'!T876,""," → "&amp;TEXT('_Dates'!T876,"dd mmm yyyy")),'_Engine'!K876)</ns0:f>
        <ns0:v/>
      </ns0:c>
    </ns0:row>
    <ns0:row r="877" ht="32" customHeight="1">
      <ns0:c r="A877" s="200"/>
      <ns0:c r="B877" s="201"/>
      <ns0:c r="C877" s="209"/>
      <ns0:c r="D877" s="201"/>
      <ns0:c r="E877" s="209"/>
      <ns0:c r="F877" s="200"/>
      <ns0:c r="G877" s="200"/>
      <ns0:c r="H877" s="210" t="str">
        <ns0:f>IF('_Engine'!A877=0,"",IF('_Engine'!$B$6&gt;0,"REVIEW",IF('_Engine'!L877&gt;0,"REVIEW",'_Engine'!G877)))</ns0:f>
        <ns0:v/>
      </ns0:c>
      <ns0:c r="I877" s="207"/>
      <ns0:c r="J877" s="208" t="str">
        <ns0:f>IF('_Engine'!K877="OK","OK · "&amp;TEXT('_Dates'!J877,"dd mmm yyyy")&amp;IF('_Dates'!J877='_Dates'!T877,""," → "&amp;TEXT('_Dates'!T877,"dd mmm yyyy")),'_Engine'!K877)</ns0:f>
        <ns0:v/>
      </ns0:c>
    </ns0:row>
    <ns0:row r="878" ht="32" customHeight="1">
      <ns0:c r="A878" s="200"/>
      <ns0:c r="B878" s="201"/>
      <ns0:c r="C878" s="209"/>
      <ns0:c r="D878" s="201"/>
      <ns0:c r="E878" s="209"/>
      <ns0:c r="F878" s="200"/>
      <ns0:c r="G878" s="200"/>
      <ns0:c r="H878" s="210" t="str">
        <ns0:f>IF('_Engine'!A878=0,"",IF('_Engine'!$B$6&gt;0,"REVIEW",IF('_Engine'!L878&gt;0,"REVIEW",'_Engine'!G878)))</ns0:f>
        <ns0:v/>
      </ns0:c>
      <ns0:c r="I878" s="207"/>
      <ns0:c r="J878" s="208" t="str">
        <ns0:f>IF('_Engine'!K878="OK","OK · "&amp;TEXT('_Dates'!J878,"dd mmm yyyy")&amp;IF('_Dates'!J878='_Dates'!T878,""," → "&amp;TEXT('_Dates'!T878,"dd mmm yyyy")),'_Engine'!K878)</ns0:f>
        <ns0:v/>
      </ns0:c>
    </ns0:row>
    <ns0:row r="879" ht="32" customHeight="1">
      <ns0:c r="A879" s="200"/>
      <ns0:c r="B879" s="201"/>
      <ns0:c r="C879" s="209"/>
      <ns0:c r="D879" s="201"/>
      <ns0:c r="E879" s="209"/>
      <ns0:c r="F879" s="200"/>
      <ns0:c r="G879" s="200"/>
      <ns0:c r="H879" s="210" t="str">
        <ns0:f>IF('_Engine'!A879=0,"",IF('_Engine'!$B$6&gt;0,"REVIEW",IF('_Engine'!L879&gt;0,"REVIEW",'_Engine'!G879)))</ns0:f>
        <ns0:v/>
      </ns0:c>
      <ns0:c r="I879" s="207"/>
      <ns0:c r="J879" s="208" t="str">
        <ns0:f>IF('_Engine'!K879="OK","OK · "&amp;TEXT('_Dates'!J879,"dd mmm yyyy")&amp;IF('_Dates'!J879='_Dates'!T879,""," → "&amp;TEXT('_Dates'!T879,"dd mmm yyyy")),'_Engine'!K879)</ns0:f>
        <ns0:v/>
      </ns0:c>
    </ns0:row>
    <ns0:row r="880" ht="32" customHeight="1">
      <ns0:c r="A880" s="200"/>
      <ns0:c r="B880" s="201"/>
      <ns0:c r="C880" s="209"/>
      <ns0:c r="D880" s="201"/>
      <ns0:c r="E880" s="209"/>
      <ns0:c r="F880" s="200"/>
      <ns0:c r="G880" s="200"/>
      <ns0:c r="H880" s="210" t="str">
        <ns0:f>IF('_Engine'!A880=0,"",IF('_Engine'!$B$6&gt;0,"REVIEW",IF('_Engine'!L880&gt;0,"REVIEW",'_Engine'!G880)))</ns0:f>
        <ns0:v/>
      </ns0:c>
      <ns0:c r="I880" s="207"/>
      <ns0:c r="J880" s="208" t="str">
        <ns0:f>IF('_Engine'!K880="OK","OK · "&amp;TEXT('_Dates'!J880,"dd mmm yyyy")&amp;IF('_Dates'!J880='_Dates'!T880,""," → "&amp;TEXT('_Dates'!T880,"dd mmm yyyy")),'_Engine'!K880)</ns0:f>
        <ns0:v/>
      </ns0:c>
    </ns0:row>
    <ns0:row r="881" ht="32" customHeight="1">
      <ns0:c r="A881" s="200"/>
      <ns0:c r="B881" s="201"/>
      <ns0:c r="C881" s="209"/>
      <ns0:c r="D881" s="201"/>
      <ns0:c r="E881" s="209"/>
      <ns0:c r="F881" s="200"/>
      <ns0:c r="G881" s="200"/>
      <ns0:c r="H881" s="210" t="str">
        <ns0:f>IF('_Engine'!A881=0,"",IF('_Engine'!$B$6&gt;0,"REVIEW",IF('_Engine'!L881&gt;0,"REVIEW",'_Engine'!G881)))</ns0:f>
        <ns0:v/>
      </ns0:c>
      <ns0:c r="I881" s="207"/>
      <ns0:c r="J881" s="208" t="str">
        <ns0:f>IF('_Engine'!K881="OK","OK · "&amp;TEXT('_Dates'!J881,"dd mmm yyyy")&amp;IF('_Dates'!J881='_Dates'!T881,""," → "&amp;TEXT('_Dates'!T881,"dd mmm yyyy")),'_Engine'!K881)</ns0:f>
        <ns0:v/>
      </ns0:c>
    </ns0:row>
    <ns0:row r="882" ht="32" customHeight="1">
      <ns0:c r="A882" s="200"/>
      <ns0:c r="B882" s="201"/>
      <ns0:c r="C882" s="209"/>
      <ns0:c r="D882" s="201"/>
      <ns0:c r="E882" s="209"/>
      <ns0:c r="F882" s="200"/>
      <ns0:c r="G882" s="200"/>
      <ns0:c r="H882" s="210" t="str">
        <ns0:f>IF('_Engine'!A882=0,"",IF('_Engine'!$B$6&gt;0,"REVIEW",IF('_Engine'!L882&gt;0,"REVIEW",'_Engine'!G882)))</ns0:f>
        <ns0:v/>
      </ns0:c>
      <ns0:c r="I882" s="207"/>
      <ns0:c r="J882" s="208" t="str">
        <ns0:f>IF('_Engine'!K882="OK","OK · "&amp;TEXT('_Dates'!J882,"dd mmm yyyy")&amp;IF('_Dates'!J882='_Dates'!T882,""," → "&amp;TEXT('_Dates'!T882,"dd mmm yyyy")),'_Engine'!K882)</ns0:f>
        <ns0:v/>
      </ns0:c>
    </ns0:row>
    <ns0:row r="883" ht="32" customHeight="1">
      <ns0:c r="A883" s="200"/>
      <ns0:c r="B883" s="201"/>
      <ns0:c r="C883" s="209"/>
      <ns0:c r="D883" s="201"/>
      <ns0:c r="E883" s="209"/>
      <ns0:c r="F883" s="200"/>
      <ns0:c r="G883" s="200"/>
      <ns0:c r="H883" s="210" t="str">
        <ns0:f>IF('_Engine'!A883=0,"",IF('_Engine'!$B$6&gt;0,"REVIEW",IF('_Engine'!L883&gt;0,"REVIEW",'_Engine'!G883)))</ns0:f>
        <ns0:v/>
      </ns0:c>
      <ns0:c r="I883" s="207"/>
      <ns0:c r="J883" s="208" t="str">
        <ns0:f>IF('_Engine'!K883="OK","OK · "&amp;TEXT('_Dates'!J883,"dd mmm yyyy")&amp;IF('_Dates'!J883='_Dates'!T883,""," → "&amp;TEXT('_Dates'!T883,"dd mmm yyyy")),'_Engine'!K883)</ns0:f>
        <ns0:v/>
      </ns0:c>
    </ns0:row>
    <ns0:row r="884" ht="32" customHeight="1">
      <ns0:c r="A884" s="200"/>
      <ns0:c r="B884" s="201"/>
      <ns0:c r="C884" s="209"/>
      <ns0:c r="D884" s="201"/>
      <ns0:c r="E884" s="209"/>
      <ns0:c r="F884" s="200"/>
      <ns0:c r="G884" s="200"/>
      <ns0:c r="H884" s="210" t="str">
        <ns0:f>IF('_Engine'!A884=0,"",IF('_Engine'!$B$6&gt;0,"REVIEW",IF('_Engine'!L884&gt;0,"REVIEW",'_Engine'!G884)))</ns0:f>
        <ns0:v/>
      </ns0:c>
      <ns0:c r="I884" s="207"/>
      <ns0:c r="J884" s="208" t="str">
        <ns0:f>IF('_Engine'!K884="OK","OK · "&amp;TEXT('_Dates'!J884,"dd mmm yyyy")&amp;IF('_Dates'!J884='_Dates'!T884,""," → "&amp;TEXT('_Dates'!T884,"dd mmm yyyy")),'_Engine'!K884)</ns0:f>
        <ns0:v/>
      </ns0:c>
    </ns0:row>
    <ns0:row r="885" ht="32" customHeight="1">
      <ns0:c r="A885" s="200"/>
      <ns0:c r="B885" s="201"/>
      <ns0:c r="C885" s="209"/>
      <ns0:c r="D885" s="201"/>
      <ns0:c r="E885" s="209"/>
      <ns0:c r="F885" s="200"/>
      <ns0:c r="G885" s="200"/>
      <ns0:c r="H885" s="210" t="str">
        <ns0:f>IF('_Engine'!A885=0,"",IF('_Engine'!$B$6&gt;0,"REVIEW",IF('_Engine'!L885&gt;0,"REVIEW",'_Engine'!G885)))</ns0:f>
        <ns0:v/>
      </ns0:c>
      <ns0:c r="I885" s="207"/>
      <ns0:c r="J885" s="208" t="str">
        <ns0:f>IF('_Engine'!K885="OK","OK · "&amp;TEXT('_Dates'!J885,"dd mmm yyyy")&amp;IF('_Dates'!J885='_Dates'!T885,""," → "&amp;TEXT('_Dates'!T885,"dd mmm yyyy")),'_Engine'!K885)</ns0:f>
        <ns0:v/>
      </ns0:c>
    </ns0:row>
    <ns0:row r="886" ht="32" customHeight="1">
      <ns0:c r="A886" s="200"/>
      <ns0:c r="B886" s="201"/>
      <ns0:c r="C886" s="209"/>
      <ns0:c r="D886" s="201"/>
      <ns0:c r="E886" s="209"/>
      <ns0:c r="F886" s="200"/>
      <ns0:c r="G886" s="200"/>
      <ns0:c r="H886" s="210" t="str">
        <ns0:f>IF('_Engine'!A886=0,"",IF('_Engine'!$B$6&gt;0,"REVIEW",IF('_Engine'!L886&gt;0,"REVIEW",'_Engine'!G886)))</ns0:f>
        <ns0:v/>
      </ns0:c>
      <ns0:c r="I886" s="207"/>
      <ns0:c r="J886" s="208" t="str">
        <ns0:f>IF('_Engine'!K886="OK","OK · "&amp;TEXT('_Dates'!J886,"dd mmm yyyy")&amp;IF('_Dates'!J886='_Dates'!T886,""," → "&amp;TEXT('_Dates'!T886,"dd mmm yyyy")),'_Engine'!K886)</ns0:f>
        <ns0:v/>
      </ns0:c>
    </ns0:row>
    <ns0:row r="887" ht="32" customHeight="1">
      <ns0:c r="A887" s="200"/>
      <ns0:c r="B887" s="201"/>
      <ns0:c r="C887" s="209"/>
      <ns0:c r="D887" s="201"/>
      <ns0:c r="E887" s="209"/>
      <ns0:c r="F887" s="200"/>
      <ns0:c r="G887" s="200"/>
      <ns0:c r="H887" s="210" t="str">
        <ns0:f>IF('_Engine'!A887=0,"",IF('_Engine'!$B$6&gt;0,"REVIEW",IF('_Engine'!L887&gt;0,"REVIEW",'_Engine'!G887)))</ns0:f>
        <ns0:v/>
      </ns0:c>
      <ns0:c r="I887" s="207"/>
      <ns0:c r="J887" s="208" t="str">
        <ns0:f>IF('_Engine'!K887="OK","OK · "&amp;TEXT('_Dates'!J887,"dd mmm yyyy")&amp;IF('_Dates'!J887='_Dates'!T887,""," → "&amp;TEXT('_Dates'!T887,"dd mmm yyyy")),'_Engine'!K887)</ns0:f>
        <ns0:v/>
      </ns0:c>
    </ns0:row>
    <ns0:row r="888" ht="32" customHeight="1">
      <ns0:c r="A888" s="200"/>
      <ns0:c r="B888" s="201"/>
      <ns0:c r="C888" s="209"/>
      <ns0:c r="D888" s="201"/>
      <ns0:c r="E888" s="209"/>
      <ns0:c r="F888" s="200"/>
      <ns0:c r="G888" s="200"/>
      <ns0:c r="H888" s="210" t="str">
        <ns0:f>IF('_Engine'!A888=0,"",IF('_Engine'!$B$6&gt;0,"REVIEW",IF('_Engine'!L888&gt;0,"REVIEW",'_Engine'!G888)))</ns0:f>
        <ns0:v/>
      </ns0:c>
      <ns0:c r="I888" s="207"/>
      <ns0:c r="J888" s="208" t="str">
        <ns0:f>IF('_Engine'!K888="OK","OK · "&amp;TEXT('_Dates'!J888,"dd mmm yyyy")&amp;IF('_Dates'!J888='_Dates'!T888,""," → "&amp;TEXT('_Dates'!T888,"dd mmm yyyy")),'_Engine'!K888)</ns0:f>
        <ns0:v/>
      </ns0:c>
    </ns0:row>
    <ns0:row r="889" ht="32" customHeight="1">
      <ns0:c r="A889" s="200"/>
      <ns0:c r="B889" s="201"/>
      <ns0:c r="C889" s="209"/>
      <ns0:c r="D889" s="201"/>
      <ns0:c r="E889" s="209"/>
      <ns0:c r="F889" s="200"/>
      <ns0:c r="G889" s="200"/>
      <ns0:c r="H889" s="210" t="str">
        <ns0:f>IF('_Engine'!A889=0,"",IF('_Engine'!$B$6&gt;0,"REVIEW",IF('_Engine'!L889&gt;0,"REVIEW",'_Engine'!G889)))</ns0:f>
        <ns0:v/>
      </ns0:c>
      <ns0:c r="I889" s="207"/>
      <ns0:c r="J889" s="208" t="str">
        <ns0:f>IF('_Engine'!K889="OK","OK · "&amp;TEXT('_Dates'!J889,"dd mmm yyyy")&amp;IF('_Dates'!J889='_Dates'!T889,""," → "&amp;TEXT('_Dates'!T889,"dd mmm yyyy")),'_Engine'!K889)</ns0:f>
        <ns0:v/>
      </ns0:c>
    </ns0:row>
    <ns0:row r="890" ht="32" customHeight="1">
      <ns0:c r="A890" s="200"/>
      <ns0:c r="B890" s="201"/>
      <ns0:c r="C890" s="209"/>
      <ns0:c r="D890" s="201"/>
      <ns0:c r="E890" s="209"/>
      <ns0:c r="F890" s="200"/>
      <ns0:c r="G890" s="200"/>
      <ns0:c r="H890" s="210" t="str">
        <ns0:f>IF('_Engine'!A890=0,"",IF('_Engine'!$B$6&gt;0,"REVIEW",IF('_Engine'!L890&gt;0,"REVIEW",'_Engine'!G890)))</ns0:f>
        <ns0:v/>
      </ns0:c>
      <ns0:c r="I890" s="207"/>
      <ns0:c r="J890" s="208" t="str">
        <ns0:f>IF('_Engine'!K890="OK","OK · "&amp;TEXT('_Dates'!J890,"dd mmm yyyy")&amp;IF('_Dates'!J890='_Dates'!T890,""," → "&amp;TEXT('_Dates'!T890,"dd mmm yyyy")),'_Engine'!K890)</ns0:f>
        <ns0:v/>
      </ns0:c>
    </ns0:row>
    <ns0:row r="891" ht="32" customHeight="1">
      <ns0:c r="A891" s="200"/>
      <ns0:c r="B891" s="201"/>
      <ns0:c r="C891" s="209"/>
      <ns0:c r="D891" s="201"/>
      <ns0:c r="E891" s="209"/>
      <ns0:c r="F891" s="200"/>
      <ns0:c r="G891" s="200"/>
      <ns0:c r="H891" s="210" t="str">
        <ns0:f>IF('_Engine'!A891=0,"",IF('_Engine'!$B$6&gt;0,"REVIEW",IF('_Engine'!L891&gt;0,"REVIEW",'_Engine'!G891)))</ns0:f>
        <ns0:v/>
      </ns0:c>
      <ns0:c r="I891" s="207"/>
      <ns0:c r="J891" s="208" t="str">
        <ns0:f>IF('_Engine'!K891="OK","OK · "&amp;TEXT('_Dates'!J891,"dd mmm yyyy")&amp;IF('_Dates'!J891='_Dates'!T891,""," → "&amp;TEXT('_Dates'!T891,"dd mmm yyyy")),'_Engine'!K891)</ns0:f>
        <ns0:v/>
      </ns0:c>
    </ns0:row>
    <ns0:row r="892" ht="32" customHeight="1">
      <ns0:c r="A892" s="200"/>
      <ns0:c r="B892" s="201"/>
      <ns0:c r="C892" s="209"/>
      <ns0:c r="D892" s="201"/>
      <ns0:c r="E892" s="209"/>
      <ns0:c r="F892" s="200"/>
      <ns0:c r="G892" s="200"/>
      <ns0:c r="H892" s="210" t="str">
        <ns0:f>IF('_Engine'!A892=0,"",IF('_Engine'!$B$6&gt;0,"REVIEW",IF('_Engine'!L892&gt;0,"REVIEW",'_Engine'!G892)))</ns0:f>
        <ns0:v/>
      </ns0:c>
      <ns0:c r="I892" s="207"/>
      <ns0:c r="J892" s="208" t="str">
        <ns0:f>IF('_Engine'!K892="OK","OK · "&amp;TEXT('_Dates'!J892,"dd mmm yyyy")&amp;IF('_Dates'!J892='_Dates'!T892,""," → "&amp;TEXT('_Dates'!T892,"dd mmm yyyy")),'_Engine'!K892)</ns0:f>
        <ns0:v/>
      </ns0:c>
    </ns0:row>
    <ns0:row r="893" ht="32" customHeight="1">
      <ns0:c r="A893" s="200"/>
      <ns0:c r="B893" s="201"/>
      <ns0:c r="C893" s="209"/>
      <ns0:c r="D893" s="201"/>
      <ns0:c r="E893" s="209"/>
      <ns0:c r="F893" s="200"/>
      <ns0:c r="G893" s="200"/>
      <ns0:c r="H893" s="210" t="str">
        <ns0:f>IF('_Engine'!A893=0,"",IF('_Engine'!$B$6&gt;0,"REVIEW",IF('_Engine'!L893&gt;0,"REVIEW",'_Engine'!G893)))</ns0:f>
        <ns0:v/>
      </ns0:c>
      <ns0:c r="I893" s="207"/>
      <ns0:c r="J893" s="208" t="str">
        <ns0:f>IF('_Engine'!K893="OK","OK · "&amp;TEXT('_Dates'!J893,"dd mmm yyyy")&amp;IF('_Dates'!J893='_Dates'!T893,""," → "&amp;TEXT('_Dates'!T893,"dd mmm yyyy")),'_Engine'!K893)</ns0:f>
        <ns0:v/>
      </ns0:c>
    </ns0:row>
    <ns0:row r="894" ht="32" customHeight="1">
      <ns0:c r="A894" s="200"/>
      <ns0:c r="B894" s="201"/>
      <ns0:c r="C894" s="209"/>
      <ns0:c r="D894" s="201"/>
      <ns0:c r="E894" s="209"/>
      <ns0:c r="F894" s="200"/>
      <ns0:c r="G894" s="200"/>
      <ns0:c r="H894" s="210" t="str">
        <ns0:f>IF('_Engine'!A894=0,"",IF('_Engine'!$B$6&gt;0,"REVIEW",IF('_Engine'!L894&gt;0,"REVIEW",'_Engine'!G894)))</ns0:f>
        <ns0:v/>
      </ns0:c>
      <ns0:c r="I894" s="207"/>
      <ns0:c r="J894" s="208" t="str">
        <ns0:f>IF('_Engine'!K894="OK","OK · "&amp;TEXT('_Dates'!J894,"dd mmm yyyy")&amp;IF('_Dates'!J894='_Dates'!T894,""," → "&amp;TEXT('_Dates'!T894,"dd mmm yyyy")),'_Engine'!K894)</ns0:f>
        <ns0:v/>
      </ns0:c>
    </ns0:row>
    <ns0:row r="895" ht="32" customHeight="1">
      <ns0:c r="A895" s="200"/>
      <ns0:c r="B895" s="201"/>
      <ns0:c r="C895" s="209"/>
      <ns0:c r="D895" s="201"/>
      <ns0:c r="E895" s="209"/>
      <ns0:c r="F895" s="200"/>
      <ns0:c r="G895" s="200"/>
      <ns0:c r="H895" s="210" t="str">
        <ns0:f>IF('_Engine'!A895=0,"",IF('_Engine'!$B$6&gt;0,"REVIEW",IF('_Engine'!L895&gt;0,"REVIEW",'_Engine'!G895)))</ns0:f>
        <ns0:v/>
      </ns0:c>
      <ns0:c r="I895" s="207"/>
      <ns0:c r="J895" s="208" t="str">
        <ns0:f>IF('_Engine'!K895="OK","OK · "&amp;TEXT('_Dates'!J895,"dd mmm yyyy")&amp;IF('_Dates'!J895='_Dates'!T895,""," → "&amp;TEXT('_Dates'!T895,"dd mmm yyyy")),'_Engine'!K895)</ns0:f>
        <ns0:v/>
      </ns0:c>
    </ns0:row>
    <ns0:row r="896" ht="32" customHeight="1">
      <ns0:c r="A896" s="200"/>
      <ns0:c r="B896" s="201"/>
      <ns0:c r="C896" s="209"/>
      <ns0:c r="D896" s="201"/>
      <ns0:c r="E896" s="209"/>
      <ns0:c r="F896" s="200"/>
      <ns0:c r="G896" s="200"/>
      <ns0:c r="H896" s="210" t="str">
        <ns0:f>IF('_Engine'!A896=0,"",IF('_Engine'!$B$6&gt;0,"REVIEW",IF('_Engine'!L896&gt;0,"REVIEW",'_Engine'!G896)))</ns0:f>
        <ns0:v/>
      </ns0:c>
      <ns0:c r="I896" s="207"/>
      <ns0:c r="J896" s="208" t="str">
        <ns0:f>IF('_Engine'!K896="OK","OK · "&amp;TEXT('_Dates'!J896,"dd mmm yyyy")&amp;IF('_Dates'!J896='_Dates'!T896,""," → "&amp;TEXT('_Dates'!T896,"dd mmm yyyy")),'_Engine'!K896)</ns0:f>
        <ns0:v/>
      </ns0:c>
    </ns0:row>
    <ns0:row r="897" ht="32" customHeight="1">
      <ns0:c r="A897" s="200"/>
      <ns0:c r="B897" s="201"/>
      <ns0:c r="C897" s="209"/>
      <ns0:c r="D897" s="201"/>
      <ns0:c r="E897" s="209"/>
      <ns0:c r="F897" s="200"/>
      <ns0:c r="G897" s="200"/>
      <ns0:c r="H897" s="210" t="str">
        <ns0:f>IF('_Engine'!A897=0,"",IF('_Engine'!$B$6&gt;0,"REVIEW",IF('_Engine'!L897&gt;0,"REVIEW",'_Engine'!G897)))</ns0:f>
        <ns0:v/>
      </ns0:c>
      <ns0:c r="I897" s="207"/>
      <ns0:c r="J897" s="208" t="str">
        <ns0:f>IF('_Engine'!K897="OK","OK · "&amp;TEXT('_Dates'!J897,"dd mmm yyyy")&amp;IF('_Dates'!J897='_Dates'!T897,""," → "&amp;TEXT('_Dates'!T897,"dd mmm yyyy")),'_Engine'!K897)</ns0:f>
        <ns0:v/>
      </ns0:c>
    </ns0:row>
    <ns0:row r="898" ht="32" customHeight="1">
      <ns0:c r="A898" s="200"/>
      <ns0:c r="B898" s="201"/>
      <ns0:c r="C898" s="209"/>
      <ns0:c r="D898" s="201"/>
      <ns0:c r="E898" s="209"/>
      <ns0:c r="F898" s="200"/>
      <ns0:c r="G898" s="200"/>
      <ns0:c r="H898" s="210" t="str">
        <ns0:f>IF('_Engine'!A898=0,"",IF('_Engine'!$B$6&gt;0,"REVIEW",IF('_Engine'!L898&gt;0,"REVIEW",'_Engine'!G898)))</ns0:f>
        <ns0:v/>
      </ns0:c>
      <ns0:c r="I898" s="207"/>
      <ns0:c r="J898" s="208" t="str">
        <ns0:f>IF('_Engine'!K898="OK","OK · "&amp;TEXT('_Dates'!J898,"dd mmm yyyy")&amp;IF('_Dates'!J898='_Dates'!T898,""," → "&amp;TEXT('_Dates'!T898,"dd mmm yyyy")),'_Engine'!K898)</ns0:f>
        <ns0:v/>
      </ns0:c>
    </ns0:row>
    <ns0:row r="899" ht="32" customHeight="1">
      <ns0:c r="A899" s="200"/>
      <ns0:c r="B899" s="201"/>
      <ns0:c r="C899" s="209"/>
      <ns0:c r="D899" s="201"/>
      <ns0:c r="E899" s="209"/>
      <ns0:c r="F899" s="200"/>
      <ns0:c r="G899" s="200"/>
      <ns0:c r="H899" s="210" t="str">
        <ns0:f>IF('_Engine'!A899=0,"",IF('_Engine'!$B$6&gt;0,"REVIEW",IF('_Engine'!L899&gt;0,"REVIEW",'_Engine'!G899)))</ns0:f>
        <ns0:v/>
      </ns0:c>
      <ns0:c r="I899" s="207"/>
      <ns0:c r="J899" s="208" t="str">
        <ns0:f>IF('_Engine'!K899="OK","OK · "&amp;TEXT('_Dates'!J899,"dd mmm yyyy")&amp;IF('_Dates'!J899='_Dates'!T899,""," → "&amp;TEXT('_Dates'!T899,"dd mmm yyyy")),'_Engine'!K899)</ns0:f>
        <ns0:v/>
      </ns0:c>
    </ns0:row>
    <ns0:row r="900" ht="32" customHeight="1">
      <ns0:c r="A900" s="200"/>
      <ns0:c r="B900" s="201"/>
      <ns0:c r="C900" s="209"/>
      <ns0:c r="D900" s="201"/>
      <ns0:c r="E900" s="209"/>
      <ns0:c r="F900" s="200"/>
      <ns0:c r="G900" s="200"/>
      <ns0:c r="H900" s="210" t="str">
        <ns0:f>IF('_Engine'!A900=0,"",IF('_Engine'!$B$6&gt;0,"REVIEW",IF('_Engine'!L900&gt;0,"REVIEW",'_Engine'!G900)))</ns0:f>
        <ns0:v/>
      </ns0:c>
      <ns0:c r="I900" s="207"/>
      <ns0:c r="J900" s="208" t="str">
        <ns0:f>IF('_Engine'!K900="OK","OK · "&amp;TEXT('_Dates'!J900,"dd mmm yyyy")&amp;IF('_Dates'!J900='_Dates'!T900,""," → "&amp;TEXT('_Dates'!T900,"dd mmm yyyy")),'_Engine'!K900)</ns0:f>
        <ns0:v/>
      </ns0:c>
    </ns0:row>
    <ns0:row r="901" ht="32" customHeight="1">
      <ns0:c r="A901" s="200"/>
      <ns0:c r="B901" s="201"/>
      <ns0:c r="C901" s="209"/>
      <ns0:c r="D901" s="201"/>
      <ns0:c r="E901" s="209"/>
      <ns0:c r="F901" s="200"/>
      <ns0:c r="G901" s="200"/>
      <ns0:c r="H901" s="210" t="str">
        <ns0:f>IF('_Engine'!A901=0,"",IF('_Engine'!$B$6&gt;0,"REVIEW",IF('_Engine'!L901&gt;0,"REVIEW",'_Engine'!G901)))</ns0:f>
        <ns0:v/>
      </ns0:c>
      <ns0:c r="I901" s="207"/>
      <ns0:c r="J901" s="208" t="str">
        <ns0:f>IF('_Engine'!K901="OK","OK · "&amp;TEXT('_Dates'!J901,"dd mmm yyyy")&amp;IF('_Dates'!J901='_Dates'!T901,""," → "&amp;TEXT('_Dates'!T901,"dd mmm yyyy")),'_Engine'!K901)</ns0:f>
        <ns0:v/>
      </ns0:c>
    </ns0:row>
    <ns0:row r="902" ht="32" customHeight="1">
      <ns0:c r="A902" s="200"/>
      <ns0:c r="B902" s="201"/>
      <ns0:c r="C902" s="209"/>
      <ns0:c r="D902" s="201"/>
      <ns0:c r="E902" s="209"/>
      <ns0:c r="F902" s="200"/>
      <ns0:c r="G902" s="200"/>
      <ns0:c r="H902" s="210" t="str">
        <ns0:f>IF('_Engine'!A902=0,"",IF('_Engine'!$B$6&gt;0,"REVIEW",IF('_Engine'!L902&gt;0,"REVIEW",'_Engine'!G902)))</ns0:f>
        <ns0:v/>
      </ns0:c>
      <ns0:c r="I902" s="207"/>
      <ns0:c r="J902" s="208" t="str">
        <ns0:f>IF('_Engine'!K902="OK","OK · "&amp;TEXT('_Dates'!J902,"dd mmm yyyy")&amp;IF('_Dates'!J902='_Dates'!T902,""," → "&amp;TEXT('_Dates'!T902,"dd mmm yyyy")),'_Engine'!K902)</ns0:f>
        <ns0:v/>
      </ns0:c>
    </ns0:row>
    <ns0:row r="903" ht="32" customHeight="1">
      <ns0:c r="A903" s="200"/>
      <ns0:c r="B903" s="201"/>
      <ns0:c r="C903" s="209"/>
      <ns0:c r="D903" s="201"/>
      <ns0:c r="E903" s="209"/>
      <ns0:c r="F903" s="200"/>
      <ns0:c r="G903" s="200"/>
      <ns0:c r="H903" s="210" t="str">
        <ns0:f>IF('_Engine'!A903=0,"",IF('_Engine'!$B$6&gt;0,"REVIEW",IF('_Engine'!L903&gt;0,"REVIEW",'_Engine'!G903)))</ns0:f>
        <ns0:v/>
      </ns0:c>
      <ns0:c r="I903" s="207"/>
      <ns0:c r="J903" s="208" t="str">
        <ns0:f>IF('_Engine'!K903="OK","OK · "&amp;TEXT('_Dates'!J903,"dd mmm yyyy")&amp;IF('_Dates'!J903='_Dates'!T903,""," → "&amp;TEXT('_Dates'!T903,"dd mmm yyyy")),'_Engine'!K903)</ns0:f>
        <ns0:v/>
      </ns0:c>
    </ns0:row>
    <ns0:row r="904" ht="32" customHeight="1">
      <ns0:c r="A904" s="200"/>
      <ns0:c r="B904" s="201"/>
      <ns0:c r="C904" s="209"/>
      <ns0:c r="D904" s="201"/>
      <ns0:c r="E904" s="209"/>
      <ns0:c r="F904" s="200"/>
      <ns0:c r="G904" s="200"/>
      <ns0:c r="H904" s="210" t="str">
        <ns0:f>IF('_Engine'!A904=0,"",IF('_Engine'!$B$6&gt;0,"REVIEW",IF('_Engine'!L904&gt;0,"REVIEW",'_Engine'!G904)))</ns0:f>
        <ns0:v/>
      </ns0:c>
      <ns0:c r="I904" s="207"/>
      <ns0:c r="J904" s="208" t="str">
        <ns0:f>IF('_Engine'!K904="OK","OK · "&amp;TEXT('_Dates'!J904,"dd mmm yyyy")&amp;IF('_Dates'!J904='_Dates'!T904,""," → "&amp;TEXT('_Dates'!T904,"dd mmm yyyy")),'_Engine'!K904)</ns0:f>
        <ns0:v/>
      </ns0:c>
    </ns0:row>
    <ns0:row r="905" ht="32" customHeight="1">
      <ns0:c r="A905" s="200"/>
      <ns0:c r="B905" s="201"/>
      <ns0:c r="C905" s="209"/>
      <ns0:c r="D905" s="201"/>
      <ns0:c r="E905" s="209"/>
      <ns0:c r="F905" s="200"/>
      <ns0:c r="G905" s="200"/>
      <ns0:c r="H905" s="210" t="str">
        <ns0:f>IF('_Engine'!A905=0,"",IF('_Engine'!$B$6&gt;0,"REVIEW",IF('_Engine'!L905&gt;0,"REVIEW",'_Engine'!G905)))</ns0:f>
        <ns0:v/>
      </ns0:c>
      <ns0:c r="I905" s="207"/>
      <ns0:c r="J905" s="208" t="str">
        <ns0:f>IF('_Engine'!K905="OK","OK · "&amp;TEXT('_Dates'!J905,"dd mmm yyyy")&amp;IF('_Dates'!J905='_Dates'!T905,""," → "&amp;TEXT('_Dates'!T905,"dd mmm yyyy")),'_Engine'!K905)</ns0:f>
        <ns0:v/>
      </ns0:c>
    </ns0:row>
    <ns0:row r="906" ht="32" customHeight="1">
      <ns0:c r="A906" s="200"/>
      <ns0:c r="B906" s="201"/>
      <ns0:c r="C906" s="209"/>
      <ns0:c r="D906" s="201"/>
      <ns0:c r="E906" s="209"/>
      <ns0:c r="F906" s="200"/>
      <ns0:c r="G906" s="200"/>
      <ns0:c r="H906" s="210" t="str">
        <ns0:f>IF('_Engine'!A906=0,"",IF('_Engine'!$B$6&gt;0,"REVIEW",IF('_Engine'!L906&gt;0,"REVIEW",'_Engine'!G906)))</ns0:f>
        <ns0:v/>
      </ns0:c>
      <ns0:c r="I906" s="207"/>
      <ns0:c r="J906" s="208" t="str">
        <ns0:f>IF('_Engine'!K906="OK","OK · "&amp;TEXT('_Dates'!J906,"dd mmm yyyy")&amp;IF('_Dates'!J906='_Dates'!T906,""," → "&amp;TEXT('_Dates'!T906,"dd mmm yyyy")),'_Engine'!K906)</ns0:f>
        <ns0:v/>
      </ns0:c>
    </ns0:row>
    <ns0:row r="907" ht="32" customHeight="1">
      <ns0:c r="A907" s="200"/>
      <ns0:c r="B907" s="201"/>
      <ns0:c r="C907" s="209"/>
      <ns0:c r="D907" s="201"/>
      <ns0:c r="E907" s="209"/>
      <ns0:c r="F907" s="200"/>
      <ns0:c r="G907" s="200"/>
      <ns0:c r="H907" s="210" t="str">
        <ns0:f>IF('_Engine'!A907=0,"",IF('_Engine'!$B$6&gt;0,"REVIEW",IF('_Engine'!L907&gt;0,"REVIEW",'_Engine'!G907)))</ns0:f>
        <ns0:v/>
      </ns0:c>
      <ns0:c r="I907" s="207"/>
      <ns0:c r="J907" s="208" t="str">
        <ns0:f>IF('_Engine'!K907="OK","OK · "&amp;TEXT('_Dates'!J907,"dd mmm yyyy")&amp;IF('_Dates'!J907='_Dates'!T907,""," → "&amp;TEXT('_Dates'!T907,"dd mmm yyyy")),'_Engine'!K907)</ns0:f>
        <ns0:v/>
      </ns0:c>
    </ns0:row>
    <ns0:row r="908" ht="32" customHeight="1">
      <ns0:c r="A908" s="200"/>
      <ns0:c r="B908" s="201"/>
      <ns0:c r="C908" s="209"/>
      <ns0:c r="D908" s="201"/>
      <ns0:c r="E908" s="209"/>
      <ns0:c r="F908" s="200"/>
      <ns0:c r="G908" s="200"/>
      <ns0:c r="H908" s="210" t="str">
        <ns0:f>IF('_Engine'!A908=0,"",IF('_Engine'!$B$6&gt;0,"REVIEW",IF('_Engine'!L908&gt;0,"REVIEW",'_Engine'!G908)))</ns0:f>
        <ns0:v/>
      </ns0:c>
      <ns0:c r="I908" s="207"/>
      <ns0:c r="J908" s="208" t="str">
        <ns0:f>IF('_Engine'!K908="OK","OK · "&amp;TEXT('_Dates'!J908,"dd mmm yyyy")&amp;IF('_Dates'!J908='_Dates'!T908,""," → "&amp;TEXT('_Dates'!T908,"dd mmm yyyy")),'_Engine'!K908)</ns0:f>
        <ns0:v/>
      </ns0:c>
    </ns0:row>
    <ns0:row r="909" ht="32" customHeight="1">
      <ns0:c r="A909" s="200"/>
      <ns0:c r="B909" s="201"/>
      <ns0:c r="C909" s="209"/>
      <ns0:c r="D909" s="201"/>
      <ns0:c r="E909" s="209"/>
      <ns0:c r="F909" s="200"/>
      <ns0:c r="G909" s="200"/>
      <ns0:c r="H909" s="210" t="str">
        <ns0:f>IF('_Engine'!A909=0,"",IF('_Engine'!$B$6&gt;0,"REVIEW",IF('_Engine'!L909&gt;0,"REVIEW",'_Engine'!G909)))</ns0:f>
        <ns0:v/>
      </ns0:c>
      <ns0:c r="I909" s="207"/>
      <ns0:c r="J909" s="208" t="str">
        <ns0:f>IF('_Engine'!K909="OK","OK · "&amp;TEXT('_Dates'!J909,"dd mmm yyyy")&amp;IF('_Dates'!J909='_Dates'!T909,""," → "&amp;TEXT('_Dates'!T909,"dd mmm yyyy")),'_Engine'!K909)</ns0:f>
        <ns0:v/>
      </ns0:c>
    </ns0:row>
    <ns0:row r="910" ht="32" customHeight="1">
      <ns0:c r="A910" s="200"/>
      <ns0:c r="B910" s="201"/>
      <ns0:c r="C910" s="209"/>
      <ns0:c r="D910" s="201"/>
      <ns0:c r="E910" s="209"/>
      <ns0:c r="F910" s="200"/>
      <ns0:c r="G910" s="200"/>
      <ns0:c r="H910" s="210" t="str">
        <ns0:f>IF('_Engine'!A910=0,"",IF('_Engine'!$B$6&gt;0,"REVIEW",IF('_Engine'!L910&gt;0,"REVIEW",'_Engine'!G910)))</ns0:f>
        <ns0:v/>
      </ns0:c>
      <ns0:c r="I910" s="207"/>
      <ns0:c r="J910" s="208" t="str">
        <ns0:f>IF('_Engine'!K910="OK","OK · "&amp;TEXT('_Dates'!J910,"dd mmm yyyy")&amp;IF('_Dates'!J910='_Dates'!T910,""," → "&amp;TEXT('_Dates'!T910,"dd mmm yyyy")),'_Engine'!K910)</ns0:f>
        <ns0:v/>
      </ns0:c>
    </ns0:row>
    <ns0:row r="911" ht="32" customHeight="1">
      <ns0:c r="A911" s="200"/>
      <ns0:c r="B911" s="201"/>
      <ns0:c r="C911" s="209"/>
      <ns0:c r="D911" s="201"/>
      <ns0:c r="E911" s="209"/>
      <ns0:c r="F911" s="200"/>
      <ns0:c r="G911" s="200"/>
      <ns0:c r="H911" s="210" t="str">
        <ns0:f>IF('_Engine'!A911=0,"",IF('_Engine'!$B$6&gt;0,"REVIEW",IF('_Engine'!L911&gt;0,"REVIEW",'_Engine'!G911)))</ns0:f>
        <ns0:v/>
      </ns0:c>
      <ns0:c r="I911" s="207"/>
      <ns0:c r="J911" s="208" t="str">
        <ns0:f>IF('_Engine'!K911="OK","OK · "&amp;TEXT('_Dates'!J911,"dd mmm yyyy")&amp;IF('_Dates'!J911='_Dates'!T911,""," → "&amp;TEXT('_Dates'!T911,"dd mmm yyyy")),'_Engine'!K911)</ns0:f>
        <ns0:v/>
      </ns0:c>
    </ns0:row>
    <ns0:row r="912" ht="32" customHeight="1">
      <ns0:c r="A912" s="200"/>
      <ns0:c r="B912" s="201"/>
      <ns0:c r="C912" s="209"/>
      <ns0:c r="D912" s="201"/>
      <ns0:c r="E912" s="209"/>
      <ns0:c r="F912" s="200"/>
      <ns0:c r="G912" s="200"/>
      <ns0:c r="H912" s="210" t="str">
        <ns0:f>IF('_Engine'!A912=0,"",IF('_Engine'!$B$6&gt;0,"REVIEW",IF('_Engine'!L912&gt;0,"REVIEW",'_Engine'!G912)))</ns0:f>
        <ns0:v/>
      </ns0:c>
      <ns0:c r="I912" s="207"/>
      <ns0:c r="J912" s="208" t="str">
        <ns0:f>IF('_Engine'!K912="OK","OK · "&amp;TEXT('_Dates'!J912,"dd mmm yyyy")&amp;IF('_Dates'!J912='_Dates'!T912,""," → "&amp;TEXT('_Dates'!T912,"dd mmm yyyy")),'_Engine'!K912)</ns0:f>
        <ns0:v/>
      </ns0:c>
    </ns0:row>
    <ns0:row r="913" ht="32" customHeight="1">
      <ns0:c r="A913" s="200"/>
      <ns0:c r="B913" s="201"/>
      <ns0:c r="C913" s="209"/>
      <ns0:c r="D913" s="201"/>
      <ns0:c r="E913" s="209"/>
      <ns0:c r="F913" s="200"/>
      <ns0:c r="G913" s="200"/>
      <ns0:c r="H913" s="210" t="str">
        <ns0:f>IF('_Engine'!A913=0,"",IF('_Engine'!$B$6&gt;0,"REVIEW",IF('_Engine'!L913&gt;0,"REVIEW",'_Engine'!G913)))</ns0:f>
        <ns0:v/>
      </ns0:c>
      <ns0:c r="I913" s="207"/>
      <ns0:c r="J913" s="208" t="str">
        <ns0:f>IF('_Engine'!K913="OK","OK · "&amp;TEXT('_Dates'!J913,"dd mmm yyyy")&amp;IF('_Dates'!J913='_Dates'!T913,""," → "&amp;TEXT('_Dates'!T913,"dd mmm yyyy")),'_Engine'!K913)</ns0:f>
        <ns0:v/>
      </ns0:c>
    </ns0:row>
    <ns0:row r="914" ht="32" customHeight="1">
      <ns0:c r="A914" s="200"/>
      <ns0:c r="B914" s="201"/>
      <ns0:c r="C914" s="209"/>
      <ns0:c r="D914" s="201"/>
      <ns0:c r="E914" s="209"/>
      <ns0:c r="F914" s="200"/>
      <ns0:c r="G914" s="200"/>
      <ns0:c r="H914" s="210" t="str">
        <ns0:f>IF('_Engine'!A914=0,"",IF('_Engine'!$B$6&gt;0,"REVIEW",IF('_Engine'!L914&gt;0,"REVIEW",'_Engine'!G914)))</ns0:f>
        <ns0:v/>
      </ns0:c>
      <ns0:c r="I914" s="207"/>
      <ns0:c r="J914" s="208" t="str">
        <ns0:f>IF('_Engine'!K914="OK","OK · "&amp;TEXT('_Dates'!J914,"dd mmm yyyy")&amp;IF('_Dates'!J914='_Dates'!T914,""," → "&amp;TEXT('_Dates'!T914,"dd mmm yyyy")),'_Engine'!K914)</ns0:f>
        <ns0:v/>
      </ns0:c>
    </ns0:row>
    <ns0:row r="915" ht="32" customHeight="1">
      <ns0:c r="A915" s="200"/>
      <ns0:c r="B915" s="201"/>
      <ns0:c r="C915" s="209"/>
      <ns0:c r="D915" s="201"/>
      <ns0:c r="E915" s="209"/>
      <ns0:c r="F915" s="200"/>
      <ns0:c r="G915" s="200"/>
      <ns0:c r="H915" s="210" t="str">
        <ns0:f>IF('_Engine'!A915=0,"",IF('_Engine'!$B$6&gt;0,"REVIEW",IF('_Engine'!L915&gt;0,"REVIEW",'_Engine'!G915)))</ns0:f>
        <ns0:v/>
      </ns0:c>
      <ns0:c r="I915" s="207"/>
      <ns0:c r="J915" s="208" t="str">
        <ns0:f>IF('_Engine'!K915="OK","OK · "&amp;TEXT('_Dates'!J915,"dd mmm yyyy")&amp;IF('_Dates'!J915='_Dates'!T915,""," → "&amp;TEXT('_Dates'!T915,"dd mmm yyyy")),'_Engine'!K915)</ns0:f>
        <ns0:v/>
      </ns0:c>
    </ns0:row>
    <ns0:row r="916" ht="32" customHeight="1">
      <ns0:c r="A916" s="200"/>
      <ns0:c r="B916" s="201"/>
      <ns0:c r="C916" s="209"/>
      <ns0:c r="D916" s="201"/>
      <ns0:c r="E916" s="209"/>
      <ns0:c r="F916" s="200"/>
      <ns0:c r="G916" s="200"/>
      <ns0:c r="H916" s="210" t="str">
        <ns0:f>IF('_Engine'!A916=0,"",IF('_Engine'!$B$6&gt;0,"REVIEW",IF('_Engine'!L916&gt;0,"REVIEW",'_Engine'!G916)))</ns0:f>
        <ns0:v/>
      </ns0:c>
      <ns0:c r="I916" s="207"/>
      <ns0:c r="J916" s="208" t="str">
        <ns0:f>IF('_Engine'!K916="OK","OK · "&amp;TEXT('_Dates'!J916,"dd mmm yyyy")&amp;IF('_Dates'!J916='_Dates'!T916,""," → "&amp;TEXT('_Dates'!T916,"dd mmm yyyy")),'_Engine'!K916)</ns0:f>
        <ns0:v/>
      </ns0:c>
    </ns0:row>
    <ns0:row r="917" ht="32" customHeight="1">
      <ns0:c r="A917" s="200"/>
      <ns0:c r="B917" s="201"/>
      <ns0:c r="C917" s="209"/>
      <ns0:c r="D917" s="201"/>
      <ns0:c r="E917" s="209"/>
      <ns0:c r="F917" s="200"/>
      <ns0:c r="G917" s="200"/>
      <ns0:c r="H917" s="210" t="str">
        <ns0:f>IF('_Engine'!A917=0,"",IF('_Engine'!$B$6&gt;0,"REVIEW",IF('_Engine'!L917&gt;0,"REVIEW",'_Engine'!G917)))</ns0:f>
        <ns0:v/>
      </ns0:c>
      <ns0:c r="I917" s="207"/>
      <ns0:c r="J917" s="208" t="str">
        <ns0:f>IF('_Engine'!K917="OK","OK · "&amp;TEXT('_Dates'!J917,"dd mmm yyyy")&amp;IF('_Dates'!J917='_Dates'!T917,""," → "&amp;TEXT('_Dates'!T917,"dd mmm yyyy")),'_Engine'!K917)</ns0:f>
        <ns0:v/>
      </ns0:c>
    </ns0:row>
    <ns0:row r="918" ht="32" customHeight="1">
      <ns0:c r="A918" s="200"/>
      <ns0:c r="B918" s="201"/>
      <ns0:c r="C918" s="209"/>
      <ns0:c r="D918" s="201"/>
      <ns0:c r="E918" s="209"/>
      <ns0:c r="F918" s="200"/>
      <ns0:c r="G918" s="200"/>
      <ns0:c r="H918" s="210" t="str">
        <ns0:f>IF('_Engine'!A918=0,"",IF('_Engine'!$B$6&gt;0,"REVIEW",IF('_Engine'!L918&gt;0,"REVIEW",'_Engine'!G918)))</ns0:f>
        <ns0:v/>
      </ns0:c>
      <ns0:c r="I918" s="207"/>
      <ns0:c r="J918" s="208" t="str">
        <ns0:f>IF('_Engine'!K918="OK","OK · "&amp;TEXT('_Dates'!J918,"dd mmm yyyy")&amp;IF('_Dates'!J918='_Dates'!T918,""," → "&amp;TEXT('_Dates'!T918,"dd mmm yyyy")),'_Engine'!K918)</ns0:f>
        <ns0:v/>
      </ns0:c>
    </ns0:row>
    <ns0:row r="919" ht="32" customHeight="1">
      <ns0:c r="A919" s="200"/>
      <ns0:c r="B919" s="201"/>
      <ns0:c r="C919" s="209"/>
      <ns0:c r="D919" s="201"/>
      <ns0:c r="E919" s="209"/>
      <ns0:c r="F919" s="200"/>
      <ns0:c r="G919" s="200"/>
      <ns0:c r="H919" s="210" t="str">
        <ns0:f>IF('_Engine'!A919=0,"",IF('_Engine'!$B$6&gt;0,"REVIEW",IF('_Engine'!L919&gt;0,"REVIEW",'_Engine'!G919)))</ns0:f>
        <ns0:v/>
      </ns0:c>
      <ns0:c r="I919" s="207"/>
      <ns0:c r="J919" s="208" t="str">
        <ns0:f>IF('_Engine'!K919="OK","OK · "&amp;TEXT('_Dates'!J919,"dd mmm yyyy")&amp;IF('_Dates'!J919='_Dates'!T919,""," → "&amp;TEXT('_Dates'!T919,"dd mmm yyyy")),'_Engine'!K919)</ns0:f>
        <ns0:v/>
      </ns0:c>
    </ns0:row>
    <ns0:row r="920" ht="32" customHeight="1">
      <ns0:c r="A920" s="200"/>
      <ns0:c r="B920" s="201"/>
      <ns0:c r="C920" s="209"/>
      <ns0:c r="D920" s="201"/>
      <ns0:c r="E920" s="209"/>
      <ns0:c r="F920" s="200"/>
      <ns0:c r="G920" s="200"/>
      <ns0:c r="H920" s="210" t="str">
        <ns0:f>IF('_Engine'!A920=0,"",IF('_Engine'!$B$6&gt;0,"REVIEW",IF('_Engine'!L920&gt;0,"REVIEW",'_Engine'!G920)))</ns0:f>
        <ns0:v/>
      </ns0:c>
      <ns0:c r="I920" s="207"/>
      <ns0:c r="J920" s="208" t="str">
        <ns0:f>IF('_Engine'!K920="OK","OK · "&amp;TEXT('_Dates'!J920,"dd mmm yyyy")&amp;IF('_Dates'!J920='_Dates'!T920,""," → "&amp;TEXT('_Dates'!T920,"dd mmm yyyy")),'_Engine'!K920)</ns0:f>
        <ns0:v/>
      </ns0:c>
    </ns0:row>
    <ns0:row r="921" ht="32" customHeight="1">
      <ns0:c r="A921" s="200"/>
      <ns0:c r="B921" s="201"/>
      <ns0:c r="C921" s="209"/>
      <ns0:c r="D921" s="201"/>
      <ns0:c r="E921" s="209"/>
      <ns0:c r="F921" s="200"/>
      <ns0:c r="G921" s="200"/>
      <ns0:c r="H921" s="210" t="str">
        <ns0:f>IF('_Engine'!A921=0,"",IF('_Engine'!$B$6&gt;0,"REVIEW",IF('_Engine'!L921&gt;0,"REVIEW",'_Engine'!G921)))</ns0:f>
        <ns0:v/>
      </ns0:c>
      <ns0:c r="I921" s="207"/>
      <ns0:c r="J921" s="208" t="str">
        <ns0:f>IF('_Engine'!K921="OK","OK · "&amp;TEXT('_Dates'!J921,"dd mmm yyyy")&amp;IF('_Dates'!J921='_Dates'!T921,""," → "&amp;TEXT('_Dates'!T921,"dd mmm yyyy")),'_Engine'!K921)</ns0:f>
        <ns0:v/>
      </ns0:c>
    </ns0:row>
    <ns0:row r="922" ht="32" customHeight="1">
      <ns0:c r="A922" s="200"/>
      <ns0:c r="B922" s="201"/>
      <ns0:c r="C922" s="209"/>
      <ns0:c r="D922" s="201"/>
      <ns0:c r="E922" s="209"/>
      <ns0:c r="F922" s="200"/>
      <ns0:c r="G922" s="200"/>
      <ns0:c r="H922" s="210" t="str">
        <ns0:f>IF('_Engine'!A922=0,"",IF('_Engine'!$B$6&gt;0,"REVIEW",IF('_Engine'!L922&gt;0,"REVIEW",'_Engine'!G922)))</ns0:f>
        <ns0:v/>
      </ns0:c>
      <ns0:c r="I922" s="207"/>
      <ns0:c r="J922" s="208" t="str">
        <ns0:f>IF('_Engine'!K922="OK","OK · "&amp;TEXT('_Dates'!J922,"dd mmm yyyy")&amp;IF('_Dates'!J922='_Dates'!T922,""," → "&amp;TEXT('_Dates'!T922,"dd mmm yyyy")),'_Engine'!K922)</ns0:f>
        <ns0:v/>
      </ns0:c>
    </ns0:row>
    <ns0:row r="923" ht="32" customHeight="1">
      <ns0:c r="A923" s="200"/>
      <ns0:c r="B923" s="201"/>
      <ns0:c r="C923" s="209"/>
      <ns0:c r="D923" s="201"/>
      <ns0:c r="E923" s="209"/>
      <ns0:c r="F923" s="200"/>
      <ns0:c r="G923" s="200"/>
      <ns0:c r="H923" s="210" t="str">
        <ns0:f>IF('_Engine'!A923=0,"",IF('_Engine'!$B$6&gt;0,"REVIEW",IF('_Engine'!L923&gt;0,"REVIEW",'_Engine'!G923)))</ns0:f>
        <ns0:v/>
      </ns0:c>
      <ns0:c r="I923" s="207"/>
      <ns0:c r="J923" s="208" t="str">
        <ns0:f>IF('_Engine'!K923="OK","OK · "&amp;TEXT('_Dates'!J923,"dd mmm yyyy")&amp;IF('_Dates'!J923='_Dates'!T923,""," → "&amp;TEXT('_Dates'!T923,"dd mmm yyyy")),'_Engine'!K923)</ns0:f>
        <ns0:v/>
      </ns0:c>
    </ns0:row>
    <ns0:row r="924" ht="32" customHeight="1">
      <ns0:c r="A924" s="200"/>
      <ns0:c r="B924" s="201"/>
      <ns0:c r="C924" s="209"/>
      <ns0:c r="D924" s="201"/>
      <ns0:c r="E924" s="209"/>
      <ns0:c r="F924" s="200"/>
      <ns0:c r="G924" s="200"/>
      <ns0:c r="H924" s="210" t="str">
        <ns0:f>IF('_Engine'!A924=0,"",IF('_Engine'!$B$6&gt;0,"REVIEW",IF('_Engine'!L924&gt;0,"REVIEW",'_Engine'!G924)))</ns0:f>
        <ns0:v/>
      </ns0:c>
      <ns0:c r="I924" s="207"/>
      <ns0:c r="J924" s="208" t="str">
        <ns0:f>IF('_Engine'!K924="OK","OK · "&amp;TEXT('_Dates'!J924,"dd mmm yyyy")&amp;IF('_Dates'!J924='_Dates'!T924,""," → "&amp;TEXT('_Dates'!T924,"dd mmm yyyy")),'_Engine'!K924)</ns0:f>
        <ns0:v/>
      </ns0:c>
    </ns0:row>
    <ns0:row r="925" ht="32" customHeight="1">
      <ns0:c r="A925" s="200"/>
      <ns0:c r="B925" s="201"/>
      <ns0:c r="C925" s="209"/>
      <ns0:c r="D925" s="201"/>
      <ns0:c r="E925" s="209"/>
      <ns0:c r="F925" s="200"/>
      <ns0:c r="G925" s="200"/>
      <ns0:c r="H925" s="210" t="str">
        <ns0:f>IF('_Engine'!A925=0,"",IF('_Engine'!$B$6&gt;0,"REVIEW",IF('_Engine'!L925&gt;0,"REVIEW",'_Engine'!G925)))</ns0:f>
        <ns0:v/>
      </ns0:c>
      <ns0:c r="I925" s="207"/>
      <ns0:c r="J925" s="208" t="str">
        <ns0:f>IF('_Engine'!K925="OK","OK · "&amp;TEXT('_Dates'!J925,"dd mmm yyyy")&amp;IF('_Dates'!J925='_Dates'!T925,""," → "&amp;TEXT('_Dates'!T925,"dd mmm yyyy")),'_Engine'!K925)</ns0:f>
        <ns0:v/>
      </ns0:c>
    </ns0:row>
    <ns0:row r="926" ht="32" customHeight="1">
      <ns0:c r="A926" s="200"/>
      <ns0:c r="B926" s="201"/>
      <ns0:c r="C926" s="209"/>
      <ns0:c r="D926" s="201"/>
      <ns0:c r="E926" s="209"/>
      <ns0:c r="F926" s="200"/>
      <ns0:c r="G926" s="200"/>
      <ns0:c r="H926" s="210" t="str">
        <ns0:f>IF('_Engine'!A926=0,"",IF('_Engine'!$B$6&gt;0,"REVIEW",IF('_Engine'!L926&gt;0,"REVIEW",'_Engine'!G926)))</ns0:f>
        <ns0:v/>
      </ns0:c>
      <ns0:c r="I926" s="207"/>
      <ns0:c r="J926" s="208" t="str">
        <ns0:f>IF('_Engine'!K926="OK","OK · "&amp;TEXT('_Dates'!J926,"dd mmm yyyy")&amp;IF('_Dates'!J926='_Dates'!T926,""," → "&amp;TEXT('_Dates'!T926,"dd mmm yyyy")),'_Engine'!K926)</ns0:f>
        <ns0:v/>
      </ns0:c>
    </ns0:row>
    <ns0:row r="927" ht="32" customHeight="1">
      <ns0:c r="A927" s="200"/>
      <ns0:c r="B927" s="201"/>
      <ns0:c r="C927" s="209"/>
      <ns0:c r="D927" s="201"/>
      <ns0:c r="E927" s="209"/>
      <ns0:c r="F927" s="200"/>
      <ns0:c r="G927" s="200"/>
      <ns0:c r="H927" s="210" t="str">
        <ns0:f>IF('_Engine'!A927=0,"",IF('_Engine'!$B$6&gt;0,"REVIEW",IF('_Engine'!L927&gt;0,"REVIEW",'_Engine'!G927)))</ns0:f>
        <ns0:v/>
      </ns0:c>
      <ns0:c r="I927" s="207"/>
      <ns0:c r="J927" s="208" t="str">
        <ns0:f>IF('_Engine'!K927="OK","OK · "&amp;TEXT('_Dates'!J927,"dd mmm yyyy")&amp;IF('_Dates'!J927='_Dates'!T927,""," → "&amp;TEXT('_Dates'!T927,"dd mmm yyyy")),'_Engine'!K927)</ns0:f>
        <ns0:v/>
      </ns0:c>
    </ns0:row>
    <ns0:row r="928" ht="32" customHeight="1">
      <ns0:c r="A928" s="200"/>
      <ns0:c r="B928" s="201"/>
      <ns0:c r="C928" s="209"/>
      <ns0:c r="D928" s="201"/>
      <ns0:c r="E928" s="209"/>
      <ns0:c r="F928" s="200"/>
      <ns0:c r="G928" s="200"/>
      <ns0:c r="H928" s="210" t="str">
        <ns0:f>IF('_Engine'!A928=0,"",IF('_Engine'!$B$6&gt;0,"REVIEW",IF('_Engine'!L928&gt;0,"REVIEW",'_Engine'!G928)))</ns0:f>
        <ns0:v/>
      </ns0:c>
      <ns0:c r="I928" s="207"/>
      <ns0:c r="J928" s="208" t="str">
        <ns0:f>IF('_Engine'!K928="OK","OK · "&amp;TEXT('_Dates'!J928,"dd mmm yyyy")&amp;IF('_Dates'!J928='_Dates'!T928,""," → "&amp;TEXT('_Dates'!T928,"dd mmm yyyy")),'_Engine'!K928)</ns0:f>
        <ns0:v/>
      </ns0:c>
    </ns0:row>
    <ns0:row r="929" ht="32" customHeight="1">
      <ns0:c r="A929" s="200"/>
      <ns0:c r="B929" s="201"/>
      <ns0:c r="C929" s="209"/>
      <ns0:c r="D929" s="201"/>
      <ns0:c r="E929" s="209"/>
      <ns0:c r="F929" s="200"/>
      <ns0:c r="G929" s="200"/>
      <ns0:c r="H929" s="210" t="str">
        <ns0:f>IF('_Engine'!A929=0,"",IF('_Engine'!$B$6&gt;0,"REVIEW",IF('_Engine'!L929&gt;0,"REVIEW",'_Engine'!G929)))</ns0:f>
        <ns0:v/>
      </ns0:c>
      <ns0:c r="I929" s="207"/>
      <ns0:c r="J929" s="208" t="str">
        <ns0:f>IF('_Engine'!K929="OK","OK · "&amp;TEXT('_Dates'!J929,"dd mmm yyyy")&amp;IF('_Dates'!J929='_Dates'!T929,""," → "&amp;TEXT('_Dates'!T929,"dd mmm yyyy")),'_Engine'!K929)</ns0:f>
        <ns0:v/>
      </ns0:c>
    </ns0:row>
    <ns0:row r="930" ht="32" customHeight="1">
      <ns0:c r="A930" s="200"/>
      <ns0:c r="B930" s="201"/>
      <ns0:c r="C930" s="209"/>
      <ns0:c r="D930" s="201"/>
      <ns0:c r="E930" s="209"/>
      <ns0:c r="F930" s="200"/>
      <ns0:c r="G930" s="200"/>
      <ns0:c r="H930" s="210" t="str">
        <ns0:f>IF('_Engine'!A930=0,"",IF('_Engine'!$B$6&gt;0,"REVIEW",IF('_Engine'!L930&gt;0,"REVIEW",'_Engine'!G930)))</ns0:f>
        <ns0:v/>
      </ns0:c>
      <ns0:c r="I930" s="207"/>
      <ns0:c r="J930" s="208" t="str">
        <ns0:f>IF('_Engine'!K930="OK","OK · "&amp;TEXT('_Dates'!J930,"dd mmm yyyy")&amp;IF('_Dates'!J930='_Dates'!T930,""," → "&amp;TEXT('_Dates'!T930,"dd mmm yyyy")),'_Engine'!K930)</ns0:f>
        <ns0:v/>
      </ns0:c>
    </ns0:row>
    <ns0:row r="931" ht="32" customHeight="1">
      <ns0:c r="A931" s="200"/>
      <ns0:c r="B931" s="201"/>
      <ns0:c r="C931" s="209"/>
      <ns0:c r="D931" s="201"/>
      <ns0:c r="E931" s="209"/>
      <ns0:c r="F931" s="200"/>
      <ns0:c r="G931" s="200"/>
      <ns0:c r="H931" s="210" t="str">
        <ns0:f>IF('_Engine'!A931=0,"",IF('_Engine'!$B$6&gt;0,"REVIEW",IF('_Engine'!L931&gt;0,"REVIEW",'_Engine'!G931)))</ns0:f>
        <ns0:v/>
      </ns0:c>
      <ns0:c r="I931" s="207"/>
      <ns0:c r="J931" s="208" t="str">
        <ns0:f>IF('_Engine'!K931="OK","OK · "&amp;TEXT('_Dates'!J931,"dd mmm yyyy")&amp;IF('_Dates'!J931='_Dates'!T931,""," → "&amp;TEXT('_Dates'!T931,"dd mmm yyyy")),'_Engine'!K931)</ns0:f>
        <ns0:v/>
      </ns0:c>
    </ns0:row>
    <ns0:row r="932" ht="32" customHeight="1">
      <ns0:c r="A932" s="200"/>
      <ns0:c r="B932" s="201"/>
      <ns0:c r="C932" s="209"/>
      <ns0:c r="D932" s="201"/>
      <ns0:c r="E932" s="209"/>
      <ns0:c r="F932" s="200"/>
      <ns0:c r="G932" s="200"/>
      <ns0:c r="H932" s="210" t="str">
        <ns0:f>IF('_Engine'!A932=0,"",IF('_Engine'!$B$6&gt;0,"REVIEW",IF('_Engine'!L932&gt;0,"REVIEW",'_Engine'!G932)))</ns0:f>
        <ns0:v/>
      </ns0:c>
      <ns0:c r="I932" s="207"/>
      <ns0:c r="J932" s="208" t="str">
        <ns0:f>IF('_Engine'!K932="OK","OK · "&amp;TEXT('_Dates'!J932,"dd mmm yyyy")&amp;IF('_Dates'!J932='_Dates'!T932,""," → "&amp;TEXT('_Dates'!T932,"dd mmm yyyy")),'_Engine'!K932)</ns0:f>
        <ns0:v/>
      </ns0:c>
    </ns0:row>
    <ns0:row r="933" ht="32" customHeight="1">
      <ns0:c r="A933" s="200"/>
      <ns0:c r="B933" s="201"/>
      <ns0:c r="C933" s="209"/>
      <ns0:c r="D933" s="201"/>
      <ns0:c r="E933" s="209"/>
      <ns0:c r="F933" s="200"/>
      <ns0:c r="G933" s="200"/>
      <ns0:c r="H933" s="210" t="str">
        <ns0:f>IF('_Engine'!A933=0,"",IF('_Engine'!$B$6&gt;0,"REVIEW",IF('_Engine'!L933&gt;0,"REVIEW",'_Engine'!G933)))</ns0:f>
        <ns0:v/>
      </ns0:c>
      <ns0:c r="I933" s="207"/>
      <ns0:c r="J933" s="208" t="str">
        <ns0:f>IF('_Engine'!K933="OK","OK · "&amp;TEXT('_Dates'!J933,"dd mmm yyyy")&amp;IF('_Dates'!J933='_Dates'!T933,""," → "&amp;TEXT('_Dates'!T933,"dd mmm yyyy")),'_Engine'!K933)</ns0:f>
        <ns0:v/>
      </ns0:c>
    </ns0:row>
    <ns0:row r="934" ht="32" customHeight="1">
      <ns0:c r="A934" s="200"/>
      <ns0:c r="B934" s="201"/>
      <ns0:c r="C934" s="209"/>
      <ns0:c r="D934" s="201"/>
      <ns0:c r="E934" s="209"/>
      <ns0:c r="F934" s="200"/>
      <ns0:c r="G934" s="200"/>
      <ns0:c r="H934" s="210" t="str">
        <ns0:f>IF('_Engine'!A934=0,"",IF('_Engine'!$B$6&gt;0,"REVIEW",IF('_Engine'!L934&gt;0,"REVIEW",'_Engine'!G934)))</ns0:f>
        <ns0:v/>
      </ns0:c>
      <ns0:c r="I934" s="207"/>
      <ns0:c r="J934" s="208" t="str">
        <ns0:f>IF('_Engine'!K934="OK","OK · "&amp;TEXT('_Dates'!J934,"dd mmm yyyy")&amp;IF('_Dates'!J934='_Dates'!T934,""," → "&amp;TEXT('_Dates'!T934,"dd mmm yyyy")),'_Engine'!K934)</ns0:f>
        <ns0:v/>
      </ns0:c>
    </ns0:row>
    <ns0:row r="935" ht="32" customHeight="1">
      <ns0:c r="A935" s="200"/>
      <ns0:c r="B935" s="201"/>
      <ns0:c r="C935" s="209"/>
      <ns0:c r="D935" s="201"/>
      <ns0:c r="E935" s="209"/>
      <ns0:c r="F935" s="200"/>
      <ns0:c r="G935" s="200"/>
      <ns0:c r="H935" s="210" t="str">
        <ns0:f>IF('_Engine'!A935=0,"",IF('_Engine'!$B$6&gt;0,"REVIEW",IF('_Engine'!L935&gt;0,"REVIEW",'_Engine'!G935)))</ns0:f>
        <ns0:v/>
      </ns0:c>
      <ns0:c r="I935" s="207"/>
      <ns0:c r="J935" s="208" t="str">
        <ns0:f>IF('_Engine'!K935="OK","OK · "&amp;TEXT('_Dates'!J935,"dd mmm yyyy")&amp;IF('_Dates'!J935='_Dates'!T935,""," → "&amp;TEXT('_Dates'!T935,"dd mmm yyyy")),'_Engine'!K935)</ns0:f>
        <ns0:v/>
      </ns0:c>
    </ns0:row>
    <ns0:row r="936" ht="32" customHeight="1">
      <ns0:c r="A936" s="200"/>
      <ns0:c r="B936" s="201"/>
      <ns0:c r="C936" s="209"/>
      <ns0:c r="D936" s="201"/>
      <ns0:c r="E936" s="209"/>
      <ns0:c r="F936" s="200"/>
      <ns0:c r="G936" s="200"/>
      <ns0:c r="H936" s="210" t="str">
        <ns0:f>IF('_Engine'!A936=0,"",IF('_Engine'!$B$6&gt;0,"REVIEW",IF('_Engine'!L936&gt;0,"REVIEW",'_Engine'!G936)))</ns0:f>
        <ns0:v/>
      </ns0:c>
      <ns0:c r="I936" s="207"/>
      <ns0:c r="J936" s="208" t="str">
        <ns0:f>IF('_Engine'!K936="OK","OK · "&amp;TEXT('_Dates'!J936,"dd mmm yyyy")&amp;IF('_Dates'!J936='_Dates'!T936,""," → "&amp;TEXT('_Dates'!T936,"dd mmm yyyy")),'_Engine'!K936)</ns0:f>
        <ns0:v/>
      </ns0:c>
    </ns0:row>
    <ns0:row r="937" ht="32" customHeight="1">
      <ns0:c r="A937" s="200"/>
      <ns0:c r="B937" s="201"/>
      <ns0:c r="C937" s="209"/>
      <ns0:c r="D937" s="201"/>
      <ns0:c r="E937" s="209"/>
      <ns0:c r="F937" s="200"/>
      <ns0:c r="G937" s="200"/>
      <ns0:c r="H937" s="210" t="str">
        <ns0:f>IF('_Engine'!A937=0,"",IF('_Engine'!$B$6&gt;0,"REVIEW",IF('_Engine'!L937&gt;0,"REVIEW",'_Engine'!G937)))</ns0:f>
        <ns0:v/>
      </ns0:c>
      <ns0:c r="I937" s="207"/>
      <ns0:c r="J937" s="208" t="str">
        <ns0:f>IF('_Engine'!K937="OK","OK · "&amp;TEXT('_Dates'!J937,"dd mmm yyyy")&amp;IF('_Dates'!J937='_Dates'!T937,""," → "&amp;TEXT('_Dates'!T937,"dd mmm yyyy")),'_Engine'!K937)</ns0:f>
        <ns0:v/>
      </ns0:c>
    </ns0:row>
    <ns0:row r="938" ht="32" customHeight="1">
      <ns0:c r="A938" s="200"/>
      <ns0:c r="B938" s="201"/>
      <ns0:c r="C938" s="209"/>
      <ns0:c r="D938" s="201"/>
      <ns0:c r="E938" s="209"/>
      <ns0:c r="F938" s="200"/>
      <ns0:c r="G938" s="200"/>
      <ns0:c r="H938" s="210" t="str">
        <ns0:f>IF('_Engine'!A938=0,"",IF('_Engine'!$B$6&gt;0,"REVIEW",IF('_Engine'!L938&gt;0,"REVIEW",'_Engine'!G938)))</ns0:f>
        <ns0:v/>
      </ns0:c>
      <ns0:c r="I938" s="207"/>
      <ns0:c r="J938" s="208" t="str">
        <ns0:f>IF('_Engine'!K938="OK","OK · "&amp;TEXT('_Dates'!J938,"dd mmm yyyy")&amp;IF('_Dates'!J938='_Dates'!T938,""," → "&amp;TEXT('_Dates'!T938,"dd mmm yyyy")),'_Engine'!K938)</ns0:f>
        <ns0:v/>
      </ns0:c>
    </ns0:row>
    <ns0:row r="939" ht="32" customHeight="1">
      <ns0:c r="A939" s="200"/>
      <ns0:c r="B939" s="201"/>
      <ns0:c r="C939" s="209"/>
      <ns0:c r="D939" s="201"/>
      <ns0:c r="E939" s="209"/>
      <ns0:c r="F939" s="200"/>
      <ns0:c r="G939" s="200"/>
      <ns0:c r="H939" s="210" t="str">
        <ns0:f>IF('_Engine'!A939=0,"",IF('_Engine'!$B$6&gt;0,"REVIEW",IF('_Engine'!L939&gt;0,"REVIEW",'_Engine'!G939)))</ns0:f>
        <ns0:v/>
      </ns0:c>
      <ns0:c r="I939" s="207"/>
      <ns0:c r="J939" s="208" t="str">
        <ns0:f>IF('_Engine'!K939="OK","OK · "&amp;TEXT('_Dates'!J939,"dd mmm yyyy")&amp;IF('_Dates'!J939='_Dates'!T939,""," → "&amp;TEXT('_Dates'!T939,"dd mmm yyyy")),'_Engine'!K939)</ns0:f>
        <ns0:v/>
      </ns0:c>
    </ns0:row>
    <ns0:row r="940" ht="32" customHeight="1">
      <ns0:c r="A940" s="200"/>
      <ns0:c r="B940" s="201"/>
      <ns0:c r="C940" s="209"/>
      <ns0:c r="D940" s="201"/>
      <ns0:c r="E940" s="209"/>
      <ns0:c r="F940" s="200"/>
      <ns0:c r="G940" s="200"/>
      <ns0:c r="H940" s="210" t="str">
        <ns0:f>IF('_Engine'!A940=0,"",IF('_Engine'!$B$6&gt;0,"REVIEW",IF('_Engine'!L940&gt;0,"REVIEW",'_Engine'!G940)))</ns0:f>
        <ns0:v/>
      </ns0:c>
      <ns0:c r="I940" s="207"/>
      <ns0:c r="J940" s="208" t="str">
        <ns0:f>IF('_Engine'!K940="OK","OK · "&amp;TEXT('_Dates'!J940,"dd mmm yyyy")&amp;IF('_Dates'!J940='_Dates'!T940,""," → "&amp;TEXT('_Dates'!T940,"dd mmm yyyy")),'_Engine'!K940)</ns0:f>
        <ns0:v/>
      </ns0:c>
    </ns0:row>
    <ns0:row r="941" ht="32" customHeight="1">
      <ns0:c r="A941" s="200"/>
      <ns0:c r="B941" s="201"/>
      <ns0:c r="C941" s="209"/>
      <ns0:c r="D941" s="201"/>
      <ns0:c r="E941" s="209"/>
      <ns0:c r="F941" s="200"/>
      <ns0:c r="G941" s="200"/>
      <ns0:c r="H941" s="210" t="str">
        <ns0:f>IF('_Engine'!A941=0,"",IF('_Engine'!$B$6&gt;0,"REVIEW",IF('_Engine'!L941&gt;0,"REVIEW",'_Engine'!G941)))</ns0:f>
        <ns0:v/>
      </ns0:c>
      <ns0:c r="I941" s="207"/>
      <ns0:c r="J941" s="208" t="str">
        <ns0:f>IF('_Engine'!K941="OK","OK · "&amp;TEXT('_Dates'!J941,"dd mmm yyyy")&amp;IF('_Dates'!J941='_Dates'!T941,""," → "&amp;TEXT('_Dates'!T941,"dd mmm yyyy")),'_Engine'!K941)</ns0:f>
        <ns0:v/>
      </ns0:c>
    </ns0:row>
    <ns0:row r="942" ht="32" customHeight="1">
      <ns0:c r="A942" s="200"/>
      <ns0:c r="B942" s="201"/>
      <ns0:c r="C942" s="209"/>
      <ns0:c r="D942" s="201"/>
      <ns0:c r="E942" s="209"/>
      <ns0:c r="F942" s="200"/>
      <ns0:c r="G942" s="200"/>
      <ns0:c r="H942" s="210" t="str">
        <ns0:f>IF('_Engine'!A942=0,"",IF('_Engine'!$B$6&gt;0,"REVIEW",IF('_Engine'!L942&gt;0,"REVIEW",'_Engine'!G942)))</ns0:f>
        <ns0:v/>
      </ns0:c>
      <ns0:c r="I942" s="207"/>
      <ns0:c r="J942" s="208" t="str">
        <ns0:f>IF('_Engine'!K942="OK","OK · "&amp;TEXT('_Dates'!J942,"dd mmm yyyy")&amp;IF('_Dates'!J942='_Dates'!T942,""," → "&amp;TEXT('_Dates'!T942,"dd mmm yyyy")),'_Engine'!K942)</ns0:f>
        <ns0:v/>
      </ns0:c>
    </ns0:row>
    <ns0:row r="943" ht="32" customHeight="1">
      <ns0:c r="A943" s="200"/>
      <ns0:c r="B943" s="201"/>
      <ns0:c r="C943" s="209"/>
      <ns0:c r="D943" s="201"/>
      <ns0:c r="E943" s="209"/>
      <ns0:c r="F943" s="200"/>
      <ns0:c r="G943" s="200"/>
      <ns0:c r="H943" s="210" t="str">
        <ns0:f>IF('_Engine'!A943=0,"",IF('_Engine'!$B$6&gt;0,"REVIEW",IF('_Engine'!L943&gt;0,"REVIEW",'_Engine'!G943)))</ns0:f>
        <ns0:v/>
      </ns0:c>
      <ns0:c r="I943" s="207"/>
      <ns0:c r="J943" s="208" t="str">
        <ns0:f>IF('_Engine'!K943="OK","OK · "&amp;TEXT('_Dates'!J943,"dd mmm yyyy")&amp;IF('_Dates'!J943='_Dates'!T943,""," → "&amp;TEXT('_Dates'!T943,"dd mmm yyyy")),'_Engine'!K943)</ns0:f>
        <ns0:v/>
      </ns0:c>
    </ns0:row>
    <ns0:row r="944" ht="32" customHeight="1">
      <ns0:c r="A944" s="200"/>
      <ns0:c r="B944" s="201"/>
      <ns0:c r="C944" s="209"/>
      <ns0:c r="D944" s="201"/>
      <ns0:c r="E944" s="209"/>
      <ns0:c r="F944" s="200"/>
      <ns0:c r="G944" s="200"/>
      <ns0:c r="H944" s="210" t="str">
        <ns0:f>IF('_Engine'!A944=0,"",IF('_Engine'!$B$6&gt;0,"REVIEW",IF('_Engine'!L944&gt;0,"REVIEW",'_Engine'!G944)))</ns0:f>
        <ns0:v/>
      </ns0:c>
      <ns0:c r="I944" s="207"/>
      <ns0:c r="J944" s="208" t="str">
        <ns0:f>IF('_Engine'!K944="OK","OK · "&amp;TEXT('_Dates'!J944,"dd mmm yyyy")&amp;IF('_Dates'!J944='_Dates'!T944,""," → "&amp;TEXT('_Dates'!T944,"dd mmm yyyy")),'_Engine'!K944)</ns0:f>
        <ns0:v/>
      </ns0:c>
    </ns0:row>
    <ns0:row r="945" ht="32" customHeight="1">
      <ns0:c r="A945" s="200"/>
      <ns0:c r="B945" s="201"/>
      <ns0:c r="C945" s="209"/>
      <ns0:c r="D945" s="201"/>
      <ns0:c r="E945" s="209"/>
      <ns0:c r="F945" s="200"/>
      <ns0:c r="G945" s="200"/>
      <ns0:c r="H945" s="210" t="str">
        <ns0:f>IF('_Engine'!A945=0,"",IF('_Engine'!$B$6&gt;0,"REVIEW",IF('_Engine'!L945&gt;0,"REVIEW",'_Engine'!G945)))</ns0:f>
        <ns0:v/>
      </ns0:c>
      <ns0:c r="I945" s="207"/>
      <ns0:c r="J945" s="208" t="str">
        <ns0:f>IF('_Engine'!K945="OK","OK · "&amp;TEXT('_Dates'!J945,"dd mmm yyyy")&amp;IF('_Dates'!J945='_Dates'!T945,""," → "&amp;TEXT('_Dates'!T945,"dd mmm yyyy")),'_Engine'!K945)</ns0:f>
        <ns0:v/>
      </ns0:c>
    </ns0:row>
    <ns0:row r="946" ht="32" customHeight="1">
      <ns0:c r="A946" s="200"/>
      <ns0:c r="B946" s="201"/>
      <ns0:c r="C946" s="209"/>
      <ns0:c r="D946" s="201"/>
      <ns0:c r="E946" s="209"/>
      <ns0:c r="F946" s="200"/>
      <ns0:c r="G946" s="200"/>
      <ns0:c r="H946" s="210" t="str">
        <ns0:f>IF('_Engine'!A946=0,"",IF('_Engine'!$B$6&gt;0,"REVIEW",IF('_Engine'!L946&gt;0,"REVIEW",'_Engine'!G946)))</ns0:f>
        <ns0:v/>
      </ns0:c>
      <ns0:c r="I946" s="207"/>
      <ns0:c r="J946" s="208" t="str">
        <ns0:f>IF('_Engine'!K946="OK","OK · "&amp;TEXT('_Dates'!J946,"dd mmm yyyy")&amp;IF('_Dates'!J946='_Dates'!T946,""," → "&amp;TEXT('_Dates'!T946,"dd mmm yyyy")),'_Engine'!K946)</ns0:f>
        <ns0:v/>
      </ns0:c>
    </ns0:row>
    <ns0:row r="947" ht="32" customHeight="1">
      <ns0:c r="A947" s="200"/>
      <ns0:c r="B947" s="201"/>
      <ns0:c r="C947" s="209"/>
      <ns0:c r="D947" s="201"/>
      <ns0:c r="E947" s="209"/>
      <ns0:c r="F947" s="200"/>
      <ns0:c r="G947" s="200"/>
      <ns0:c r="H947" s="210" t="str">
        <ns0:f>IF('_Engine'!A947=0,"",IF('_Engine'!$B$6&gt;0,"REVIEW",IF('_Engine'!L947&gt;0,"REVIEW",'_Engine'!G947)))</ns0:f>
        <ns0:v/>
      </ns0:c>
      <ns0:c r="I947" s="207"/>
      <ns0:c r="J947" s="208" t="str">
        <ns0:f>IF('_Engine'!K947="OK","OK · "&amp;TEXT('_Dates'!J947,"dd mmm yyyy")&amp;IF('_Dates'!J947='_Dates'!T947,""," → "&amp;TEXT('_Dates'!T947,"dd mmm yyyy")),'_Engine'!K947)</ns0:f>
        <ns0:v/>
      </ns0:c>
    </ns0:row>
    <ns0:row r="948" ht="32" customHeight="1">
      <ns0:c r="A948" s="200"/>
      <ns0:c r="B948" s="201"/>
      <ns0:c r="C948" s="209"/>
      <ns0:c r="D948" s="201"/>
      <ns0:c r="E948" s="209"/>
      <ns0:c r="F948" s="200"/>
      <ns0:c r="G948" s="200"/>
      <ns0:c r="H948" s="210" t="str">
        <ns0:f>IF('_Engine'!A948=0,"",IF('_Engine'!$B$6&gt;0,"REVIEW",IF('_Engine'!L948&gt;0,"REVIEW",'_Engine'!G948)))</ns0:f>
        <ns0:v/>
      </ns0:c>
      <ns0:c r="I948" s="207"/>
      <ns0:c r="J948" s="208" t="str">
        <ns0:f>IF('_Engine'!K948="OK","OK · "&amp;TEXT('_Dates'!J948,"dd mmm yyyy")&amp;IF('_Dates'!J948='_Dates'!T948,""," → "&amp;TEXT('_Dates'!T948,"dd mmm yyyy")),'_Engine'!K948)</ns0:f>
        <ns0:v/>
      </ns0:c>
    </ns0:row>
    <ns0:row r="949" ht="32" customHeight="1">
      <ns0:c r="A949" s="200"/>
      <ns0:c r="B949" s="201"/>
      <ns0:c r="C949" s="209"/>
      <ns0:c r="D949" s="201"/>
      <ns0:c r="E949" s="209"/>
      <ns0:c r="F949" s="200"/>
      <ns0:c r="G949" s="200"/>
      <ns0:c r="H949" s="210" t="str">
        <ns0:f>IF('_Engine'!A949=0,"",IF('_Engine'!$B$6&gt;0,"REVIEW",IF('_Engine'!L949&gt;0,"REVIEW",'_Engine'!G949)))</ns0:f>
        <ns0:v/>
      </ns0:c>
      <ns0:c r="I949" s="207"/>
      <ns0:c r="J949" s="208" t="str">
        <ns0:f>IF('_Engine'!K949="OK","OK · "&amp;TEXT('_Dates'!J949,"dd mmm yyyy")&amp;IF('_Dates'!J949='_Dates'!T949,""," → "&amp;TEXT('_Dates'!T949,"dd mmm yyyy")),'_Engine'!K949)</ns0:f>
        <ns0:v/>
      </ns0:c>
    </ns0:row>
    <ns0:row r="950" ht="32" customHeight="1">
      <ns0:c r="A950" s="200"/>
      <ns0:c r="B950" s="201"/>
      <ns0:c r="C950" s="209"/>
      <ns0:c r="D950" s="201"/>
      <ns0:c r="E950" s="209"/>
      <ns0:c r="F950" s="200"/>
      <ns0:c r="G950" s="200"/>
      <ns0:c r="H950" s="210" t="str">
        <ns0:f>IF('_Engine'!A950=0,"",IF('_Engine'!$B$6&gt;0,"REVIEW",IF('_Engine'!L950&gt;0,"REVIEW",'_Engine'!G950)))</ns0:f>
        <ns0:v/>
      </ns0:c>
      <ns0:c r="I950" s="207"/>
      <ns0:c r="J950" s="208" t="str">
        <ns0:f>IF('_Engine'!K950="OK","OK · "&amp;TEXT('_Dates'!J950,"dd mmm yyyy")&amp;IF('_Dates'!J950='_Dates'!T950,""," → "&amp;TEXT('_Dates'!T950,"dd mmm yyyy")),'_Engine'!K950)</ns0:f>
        <ns0:v/>
      </ns0:c>
    </ns0:row>
    <ns0:row r="951" ht="32" customHeight="1">
      <ns0:c r="A951" s="200"/>
      <ns0:c r="B951" s="201"/>
      <ns0:c r="C951" s="209"/>
      <ns0:c r="D951" s="201"/>
      <ns0:c r="E951" s="209"/>
      <ns0:c r="F951" s="200"/>
      <ns0:c r="G951" s="200"/>
      <ns0:c r="H951" s="210" t="str">
        <ns0:f>IF('_Engine'!A951=0,"",IF('_Engine'!$B$6&gt;0,"REVIEW",IF('_Engine'!L951&gt;0,"REVIEW",'_Engine'!G951)))</ns0:f>
        <ns0:v/>
      </ns0:c>
      <ns0:c r="I951" s="207"/>
      <ns0:c r="J951" s="208" t="str">
        <ns0:f>IF('_Engine'!K951="OK","OK · "&amp;TEXT('_Dates'!J951,"dd mmm yyyy")&amp;IF('_Dates'!J951='_Dates'!T951,""," → "&amp;TEXT('_Dates'!T951,"dd mmm yyyy")),'_Engine'!K951)</ns0:f>
        <ns0:v/>
      </ns0:c>
    </ns0:row>
    <ns0:row r="952" ht="32" customHeight="1">
      <ns0:c r="A952" s="200"/>
      <ns0:c r="B952" s="201"/>
      <ns0:c r="C952" s="209"/>
      <ns0:c r="D952" s="201"/>
      <ns0:c r="E952" s="209"/>
      <ns0:c r="F952" s="200"/>
      <ns0:c r="G952" s="200"/>
      <ns0:c r="H952" s="210" t="str">
        <ns0:f>IF('_Engine'!A952=0,"",IF('_Engine'!$B$6&gt;0,"REVIEW",IF('_Engine'!L952&gt;0,"REVIEW",'_Engine'!G952)))</ns0:f>
        <ns0:v/>
      </ns0:c>
      <ns0:c r="I952" s="207"/>
      <ns0:c r="J952" s="208" t="str">
        <ns0:f>IF('_Engine'!K952="OK","OK · "&amp;TEXT('_Dates'!J952,"dd mmm yyyy")&amp;IF('_Dates'!J952='_Dates'!T952,""," → "&amp;TEXT('_Dates'!T952,"dd mmm yyyy")),'_Engine'!K952)</ns0:f>
        <ns0:v/>
      </ns0:c>
    </ns0:row>
    <ns0:row r="953" ht="32" customHeight="1">
      <ns0:c r="A953" s="200"/>
      <ns0:c r="B953" s="201"/>
      <ns0:c r="C953" s="209"/>
      <ns0:c r="D953" s="201"/>
      <ns0:c r="E953" s="209"/>
      <ns0:c r="F953" s="200"/>
      <ns0:c r="G953" s="200"/>
      <ns0:c r="H953" s="210" t="str">
        <ns0:f>IF('_Engine'!A953=0,"",IF('_Engine'!$B$6&gt;0,"REVIEW",IF('_Engine'!L953&gt;0,"REVIEW",'_Engine'!G953)))</ns0:f>
        <ns0:v/>
      </ns0:c>
      <ns0:c r="I953" s="207"/>
      <ns0:c r="J953" s="208" t="str">
        <ns0:f>IF('_Engine'!K953="OK","OK · "&amp;TEXT('_Dates'!J953,"dd mmm yyyy")&amp;IF('_Dates'!J953='_Dates'!T953,""," → "&amp;TEXT('_Dates'!T953,"dd mmm yyyy")),'_Engine'!K953)</ns0:f>
        <ns0:v/>
      </ns0:c>
    </ns0:row>
    <ns0:row r="954" ht="32" customHeight="1">
      <ns0:c r="A954" s="200"/>
      <ns0:c r="B954" s="201"/>
      <ns0:c r="C954" s="209"/>
      <ns0:c r="D954" s="201"/>
      <ns0:c r="E954" s="209"/>
      <ns0:c r="F954" s="200"/>
      <ns0:c r="G954" s="200"/>
      <ns0:c r="H954" s="210" t="str">
        <ns0:f>IF('_Engine'!A954=0,"",IF('_Engine'!$B$6&gt;0,"REVIEW",IF('_Engine'!L954&gt;0,"REVIEW",'_Engine'!G954)))</ns0:f>
        <ns0:v/>
      </ns0:c>
      <ns0:c r="I954" s="207"/>
      <ns0:c r="J954" s="208" t="str">
        <ns0:f>IF('_Engine'!K954="OK","OK · "&amp;TEXT('_Dates'!J954,"dd mmm yyyy")&amp;IF('_Dates'!J954='_Dates'!T954,""," → "&amp;TEXT('_Dates'!T954,"dd mmm yyyy")),'_Engine'!K954)</ns0:f>
        <ns0:v/>
      </ns0:c>
    </ns0:row>
    <ns0:row r="955" ht="32" customHeight="1">
      <ns0:c r="A955" s="200"/>
      <ns0:c r="B955" s="201"/>
      <ns0:c r="C955" s="209"/>
      <ns0:c r="D955" s="201"/>
      <ns0:c r="E955" s="209"/>
      <ns0:c r="F955" s="200"/>
      <ns0:c r="G955" s="200"/>
      <ns0:c r="H955" s="210" t="str">
        <ns0:f>IF('_Engine'!A955=0,"",IF('_Engine'!$B$6&gt;0,"REVIEW",IF('_Engine'!L955&gt;0,"REVIEW",'_Engine'!G955)))</ns0:f>
        <ns0:v/>
      </ns0:c>
      <ns0:c r="I955" s="207"/>
      <ns0:c r="J955" s="208" t="str">
        <ns0:f>IF('_Engine'!K955="OK","OK · "&amp;TEXT('_Dates'!J955,"dd mmm yyyy")&amp;IF('_Dates'!J955='_Dates'!T955,""," → "&amp;TEXT('_Dates'!T955,"dd mmm yyyy")),'_Engine'!K955)</ns0:f>
        <ns0:v/>
      </ns0:c>
    </ns0:row>
    <ns0:row r="956" ht="32" customHeight="1">
      <ns0:c r="A956" s="200"/>
      <ns0:c r="B956" s="201"/>
      <ns0:c r="C956" s="209"/>
      <ns0:c r="D956" s="201"/>
      <ns0:c r="E956" s="209"/>
      <ns0:c r="F956" s="200"/>
      <ns0:c r="G956" s="200"/>
      <ns0:c r="H956" s="210" t="str">
        <ns0:f>IF('_Engine'!A956=0,"",IF('_Engine'!$B$6&gt;0,"REVIEW",IF('_Engine'!L956&gt;0,"REVIEW",'_Engine'!G956)))</ns0:f>
        <ns0:v/>
      </ns0:c>
      <ns0:c r="I956" s="207"/>
      <ns0:c r="J956" s="208" t="str">
        <ns0:f>IF('_Engine'!K956="OK","OK · "&amp;TEXT('_Dates'!J956,"dd mmm yyyy")&amp;IF('_Dates'!J956='_Dates'!T956,""," → "&amp;TEXT('_Dates'!T956,"dd mmm yyyy")),'_Engine'!K956)</ns0:f>
        <ns0:v/>
      </ns0:c>
    </ns0:row>
    <ns0:row r="957" ht="32" customHeight="1">
      <ns0:c r="A957" s="200"/>
      <ns0:c r="B957" s="201"/>
      <ns0:c r="C957" s="209"/>
      <ns0:c r="D957" s="201"/>
      <ns0:c r="E957" s="209"/>
      <ns0:c r="F957" s="200"/>
      <ns0:c r="G957" s="200"/>
      <ns0:c r="H957" s="210" t="str">
        <ns0:f>IF('_Engine'!A957=0,"",IF('_Engine'!$B$6&gt;0,"REVIEW",IF('_Engine'!L957&gt;0,"REVIEW",'_Engine'!G957)))</ns0:f>
        <ns0:v/>
      </ns0:c>
      <ns0:c r="I957" s="207"/>
      <ns0:c r="J957" s="208" t="str">
        <ns0:f>IF('_Engine'!K957="OK","OK · "&amp;TEXT('_Dates'!J957,"dd mmm yyyy")&amp;IF('_Dates'!J957='_Dates'!T957,""," → "&amp;TEXT('_Dates'!T957,"dd mmm yyyy")),'_Engine'!K957)</ns0:f>
        <ns0:v/>
      </ns0:c>
    </ns0:row>
    <ns0:row r="958" ht="32" customHeight="1">
      <ns0:c r="A958" s="200"/>
      <ns0:c r="B958" s="201"/>
      <ns0:c r="C958" s="209"/>
      <ns0:c r="D958" s="201"/>
      <ns0:c r="E958" s="209"/>
      <ns0:c r="F958" s="200"/>
      <ns0:c r="G958" s="200"/>
      <ns0:c r="H958" s="210" t="str">
        <ns0:f>IF('_Engine'!A958=0,"",IF('_Engine'!$B$6&gt;0,"REVIEW",IF('_Engine'!L958&gt;0,"REVIEW",'_Engine'!G958)))</ns0:f>
        <ns0:v/>
      </ns0:c>
      <ns0:c r="I958" s="207"/>
      <ns0:c r="J958" s="208" t="str">
        <ns0:f>IF('_Engine'!K958="OK","OK · "&amp;TEXT('_Dates'!J958,"dd mmm yyyy")&amp;IF('_Dates'!J958='_Dates'!T958,""," → "&amp;TEXT('_Dates'!T958,"dd mmm yyyy")),'_Engine'!K958)</ns0:f>
        <ns0:v/>
      </ns0:c>
    </ns0:row>
    <ns0:row r="959" ht="32" customHeight="1">
      <ns0:c r="A959" s="200"/>
      <ns0:c r="B959" s="201"/>
      <ns0:c r="C959" s="209"/>
      <ns0:c r="D959" s="201"/>
      <ns0:c r="E959" s="209"/>
      <ns0:c r="F959" s="200"/>
      <ns0:c r="G959" s="200"/>
      <ns0:c r="H959" s="210" t="str">
        <ns0:f>IF('_Engine'!A959=0,"",IF('_Engine'!$B$6&gt;0,"REVIEW",IF('_Engine'!L959&gt;0,"REVIEW",'_Engine'!G959)))</ns0:f>
        <ns0:v/>
      </ns0:c>
      <ns0:c r="I959" s="207"/>
      <ns0:c r="J959" s="208" t="str">
        <ns0:f>IF('_Engine'!K959="OK","OK · "&amp;TEXT('_Dates'!J959,"dd mmm yyyy")&amp;IF('_Dates'!J959='_Dates'!T959,""," → "&amp;TEXT('_Dates'!T959,"dd mmm yyyy")),'_Engine'!K959)</ns0:f>
        <ns0:v/>
      </ns0:c>
    </ns0:row>
    <ns0:row r="960" ht="32" customHeight="1">
      <ns0:c r="A960" s="200"/>
      <ns0:c r="B960" s="201"/>
      <ns0:c r="C960" s="209"/>
      <ns0:c r="D960" s="201"/>
      <ns0:c r="E960" s="209"/>
      <ns0:c r="F960" s="200"/>
      <ns0:c r="G960" s="200"/>
      <ns0:c r="H960" s="210" t="str">
        <ns0:f>IF('_Engine'!A960=0,"",IF('_Engine'!$B$6&gt;0,"REVIEW",IF('_Engine'!L960&gt;0,"REVIEW",'_Engine'!G960)))</ns0:f>
        <ns0:v/>
      </ns0:c>
      <ns0:c r="I960" s="207"/>
      <ns0:c r="J960" s="208" t="str">
        <ns0:f>IF('_Engine'!K960="OK","OK · "&amp;TEXT('_Dates'!J960,"dd mmm yyyy")&amp;IF('_Dates'!J960='_Dates'!T960,""," → "&amp;TEXT('_Dates'!T960,"dd mmm yyyy")),'_Engine'!K960)</ns0:f>
        <ns0:v/>
      </ns0:c>
    </ns0:row>
    <ns0:row r="961" ht="32" customHeight="1">
      <ns0:c r="A961" s="200"/>
      <ns0:c r="B961" s="201"/>
      <ns0:c r="C961" s="209"/>
      <ns0:c r="D961" s="201"/>
      <ns0:c r="E961" s="209"/>
      <ns0:c r="F961" s="200"/>
      <ns0:c r="G961" s="200"/>
      <ns0:c r="H961" s="210" t="str">
        <ns0:f>IF('_Engine'!A961=0,"",IF('_Engine'!$B$6&gt;0,"REVIEW",IF('_Engine'!L961&gt;0,"REVIEW",'_Engine'!G961)))</ns0:f>
        <ns0:v/>
      </ns0:c>
      <ns0:c r="I961" s="207"/>
      <ns0:c r="J961" s="208" t="str">
        <ns0:f>IF('_Engine'!K961="OK","OK · "&amp;TEXT('_Dates'!J961,"dd mmm yyyy")&amp;IF('_Dates'!J961='_Dates'!T961,""," → "&amp;TEXT('_Dates'!T961,"dd mmm yyyy")),'_Engine'!K961)</ns0:f>
        <ns0:v/>
      </ns0:c>
    </ns0:row>
    <ns0:row r="962" ht="32" customHeight="1">
      <ns0:c r="A962" s="200"/>
      <ns0:c r="B962" s="201"/>
      <ns0:c r="C962" s="209"/>
      <ns0:c r="D962" s="201"/>
      <ns0:c r="E962" s="209"/>
      <ns0:c r="F962" s="200"/>
      <ns0:c r="G962" s="200"/>
      <ns0:c r="H962" s="210" t="str">
        <ns0:f>IF('_Engine'!A962=0,"",IF('_Engine'!$B$6&gt;0,"REVIEW",IF('_Engine'!L962&gt;0,"REVIEW",'_Engine'!G962)))</ns0:f>
        <ns0:v/>
      </ns0:c>
      <ns0:c r="I962" s="207"/>
      <ns0:c r="J962" s="208" t="str">
        <ns0:f>IF('_Engine'!K962="OK","OK · "&amp;TEXT('_Dates'!J962,"dd mmm yyyy")&amp;IF('_Dates'!J962='_Dates'!T962,""," → "&amp;TEXT('_Dates'!T962,"dd mmm yyyy")),'_Engine'!K962)</ns0:f>
        <ns0:v/>
      </ns0:c>
    </ns0:row>
    <ns0:row r="963" ht="32" customHeight="1">
      <ns0:c r="A963" s="200"/>
      <ns0:c r="B963" s="201"/>
      <ns0:c r="C963" s="209"/>
      <ns0:c r="D963" s="201"/>
      <ns0:c r="E963" s="209"/>
      <ns0:c r="F963" s="200"/>
      <ns0:c r="G963" s="200"/>
      <ns0:c r="H963" s="210" t="str">
        <ns0:f>IF('_Engine'!A963=0,"",IF('_Engine'!$B$6&gt;0,"REVIEW",IF('_Engine'!L963&gt;0,"REVIEW",'_Engine'!G963)))</ns0:f>
        <ns0:v/>
      </ns0:c>
      <ns0:c r="I963" s="207"/>
      <ns0:c r="J963" s="208" t="str">
        <ns0:f>IF('_Engine'!K963="OK","OK · "&amp;TEXT('_Dates'!J963,"dd mmm yyyy")&amp;IF('_Dates'!J963='_Dates'!T963,""," → "&amp;TEXT('_Dates'!T963,"dd mmm yyyy")),'_Engine'!K963)</ns0:f>
        <ns0:v/>
      </ns0:c>
    </ns0:row>
    <ns0:row r="964" ht="32" customHeight="1">
      <ns0:c r="A964" s="200"/>
      <ns0:c r="B964" s="201"/>
      <ns0:c r="C964" s="209"/>
      <ns0:c r="D964" s="201"/>
      <ns0:c r="E964" s="209"/>
      <ns0:c r="F964" s="200"/>
      <ns0:c r="G964" s="200"/>
      <ns0:c r="H964" s="210" t="str">
        <ns0:f>IF('_Engine'!A964=0,"",IF('_Engine'!$B$6&gt;0,"REVIEW",IF('_Engine'!L964&gt;0,"REVIEW",'_Engine'!G964)))</ns0:f>
        <ns0:v/>
      </ns0:c>
      <ns0:c r="I964" s="207"/>
      <ns0:c r="J964" s="208" t="str">
        <ns0:f>IF('_Engine'!K964="OK","OK · "&amp;TEXT('_Dates'!J964,"dd mmm yyyy")&amp;IF('_Dates'!J964='_Dates'!T964,""," → "&amp;TEXT('_Dates'!T964,"dd mmm yyyy")),'_Engine'!K964)</ns0:f>
        <ns0:v/>
      </ns0:c>
    </ns0:row>
    <ns0:row r="965" ht="32" customHeight="1">
      <ns0:c r="A965" s="200"/>
      <ns0:c r="B965" s="201"/>
      <ns0:c r="C965" s="209"/>
      <ns0:c r="D965" s="201"/>
      <ns0:c r="E965" s="209"/>
      <ns0:c r="F965" s="200"/>
      <ns0:c r="G965" s="200"/>
      <ns0:c r="H965" s="210" t="str">
        <ns0:f>IF('_Engine'!A965=0,"",IF('_Engine'!$B$6&gt;0,"REVIEW",IF('_Engine'!L965&gt;0,"REVIEW",'_Engine'!G965)))</ns0:f>
        <ns0:v/>
      </ns0:c>
      <ns0:c r="I965" s="207"/>
      <ns0:c r="J965" s="208" t="str">
        <ns0:f>IF('_Engine'!K965="OK","OK · "&amp;TEXT('_Dates'!J965,"dd mmm yyyy")&amp;IF('_Dates'!J965='_Dates'!T965,""," → "&amp;TEXT('_Dates'!T965,"dd mmm yyyy")),'_Engine'!K965)</ns0:f>
        <ns0:v/>
      </ns0:c>
    </ns0:row>
    <ns0:row r="966" ht="32" customHeight="1">
      <ns0:c r="A966" s="200"/>
      <ns0:c r="B966" s="201"/>
      <ns0:c r="C966" s="209"/>
      <ns0:c r="D966" s="201"/>
      <ns0:c r="E966" s="209"/>
      <ns0:c r="F966" s="200"/>
      <ns0:c r="G966" s="200"/>
      <ns0:c r="H966" s="210" t="str">
        <ns0:f>IF('_Engine'!A966=0,"",IF('_Engine'!$B$6&gt;0,"REVIEW",IF('_Engine'!L966&gt;0,"REVIEW",'_Engine'!G966)))</ns0:f>
        <ns0:v/>
      </ns0:c>
      <ns0:c r="I966" s="207"/>
      <ns0:c r="J966" s="208" t="str">
        <ns0:f>IF('_Engine'!K966="OK","OK · "&amp;TEXT('_Dates'!J966,"dd mmm yyyy")&amp;IF('_Dates'!J966='_Dates'!T966,""," → "&amp;TEXT('_Dates'!T966,"dd mmm yyyy")),'_Engine'!K966)</ns0:f>
        <ns0:v/>
      </ns0:c>
    </ns0:row>
    <ns0:row r="967" ht="32" customHeight="1">
      <ns0:c r="A967" s="200"/>
      <ns0:c r="B967" s="201"/>
      <ns0:c r="C967" s="209"/>
      <ns0:c r="D967" s="201"/>
      <ns0:c r="E967" s="209"/>
      <ns0:c r="F967" s="200"/>
      <ns0:c r="G967" s="200"/>
      <ns0:c r="H967" s="210" t="str">
        <ns0:f>IF('_Engine'!A967=0,"",IF('_Engine'!$B$6&gt;0,"REVIEW",IF('_Engine'!L967&gt;0,"REVIEW",'_Engine'!G967)))</ns0:f>
        <ns0:v/>
      </ns0:c>
      <ns0:c r="I967" s="207"/>
      <ns0:c r="J967" s="208" t="str">
        <ns0:f>IF('_Engine'!K967="OK","OK · "&amp;TEXT('_Dates'!J967,"dd mmm yyyy")&amp;IF('_Dates'!J967='_Dates'!T967,""," → "&amp;TEXT('_Dates'!T967,"dd mmm yyyy")),'_Engine'!K967)</ns0:f>
        <ns0:v/>
      </ns0:c>
    </ns0:row>
    <ns0:row r="968" ht="32" customHeight="1">
      <ns0:c r="A968" s="200"/>
      <ns0:c r="B968" s="201"/>
      <ns0:c r="C968" s="209"/>
      <ns0:c r="D968" s="201"/>
      <ns0:c r="E968" s="209"/>
      <ns0:c r="F968" s="200"/>
      <ns0:c r="G968" s="200"/>
      <ns0:c r="H968" s="210" t="str">
        <ns0:f>IF('_Engine'!A968=0,"",IF('_Engine'!$B$6&gt;0,"REVIEW",IF('_Engine'!L968&gt;0,"REVIEW",'_Engine'!G968)))</ns0:f>
        <ns0:v/>
      </ns0:c>
      <ns0:c r="I968" s="207"/>
      <ns0:c r="J968" s="208" t="str">
        <ns0:f>IF('_Engine'!K968="OK","OK · "&amp;TEXT('_Dates'!J968,"dd mmm yyyy")&amp;IF('_Dates'!J968='_Dates'!T968,""," → "&amp;TEXT('_Dates'!T968,"dd mmm yyyy")),'_Engine'!K968)</ns0:f>
        <ns0:v/>
      </ns0:c>
    </ns0:row>
    <ns0:row r="969" ht="32" customHeight="1">
      <ns0:c r="A969" s="200"/>
      <ns0:c r="B969" s="201"/>
      <ns0:c r="C969" s="209"/>
      <ns0:c r="D969" s="201"/>
      <ns0:c r="E969" s="209"/>
      <ns0:c r="F969" s="200"/>
      <ns0:c r="G969" s="200"/>
      <ns0:c r="H969" s="210" t="str">
        <ns0:f>IF('_Engine'!A969=0,"",IF('_Engine'!$B$6&gt;0,"REVIEW",IF('_Engine'!L969&gt;0,"REVIEW",'_Engine'!G969)))</ns0:f>
        <ns0:v/>
      </ns0:c>
      <ns0:c r="I969" s="207"/>
      <ns0:c r="J969" s="208" t="str">
        <ns0:f>IF('_Engine'!K969="OK","OK · "&amp;TEXT('_Dates'!J969,"dd mmm yyyy")&amp;IF('_Dates'!J969='_Dates'!T969,""," → "&amp;TEXT('_Dates'!T969,"dd mmm yyyy")),'_Engine'!K969)</ns0:f>
        <ns0:v/>
      </ns0:c>
    </ns0:row>
    <ns0:row r="970" ht="32" customHeight="1">
      <ns0:c r="A970" s="200"/>
      <ns0:c r="B970" s="201"/>
      <ns0:c r="C970" s="209"/>
      <ns0:c r="D970" s="201"/>
      <ns0:c r="E970" s="209"/>
      <ns0:c r="F970" s="200"/>
      <ns0:c r="G970" s="200"/>
      <ns0:c r="H970" s="210" t="str">
        <ns0:f>IF('_Engine'!A970=0,"",IF('_Engine'!$B$6&gt;0,"REVIEW",IF('_Engine'!L970&gt;0,"REVIEW",'_Engine'!G970)))</ns0:f>
        <ns0:v/>
      </ns0:c>
      <ns0:c r="I970" s="207"/>
      <ns0:c r="J970" s="208" t="str">
        <ns0:f>IF('_Engine'!K970="OK","OK · "&amp;TEXT('_Dates'!J970,"dd mmm yyyy")&amp;IF('_Dates'!J970='_Dates'!T970,""," → "&amp;TEXT('_Dates'!T970,"dd mmm yyyy")),'_Engine'!K970)</ns0:f>
        <ns0:v/>
      </ns0:c>
    </ns0:row>
    <ns0:row r="971" ht="32" customHeight="1">
      <ns0:c r="A971" s="200"/>
      <ns0:c r="B971" s="201"/>
      <ns0:c r="C971" s="209"/>
      <ns0:c r="D971" s="201"/>
      <ns0:c r="E971" s="209"/>
      <ns0:c r="F971" s="200"/>
      <ns0:c r="G971" s="200"/>
      <ns0:c r="H971" s="210" t="str">
        <ns0:f>IF('_Engine'!A971=0,"",IF('_Engine'!$B$6&gt;0,"REVIEW",IF('_Engine'!L971&gt;0,"REVIEW",'_Engine'!G971)))</ns0:f>
        <ns0:v/>
      </ns0:c>
      <ns0:c r="I971" s="207"/>
      <ns0:c r="J971" s="208" t="str">
        <ns0:f>IF('_Engine'!K971="OK","OK · "&amp;TEXT('_Dates'!J971,"dd mmm yyyy")&amp;IF('_Dates'!J971='_Dates'!T971,""," → "&amp;TEXT('_Dates'!T971,"dd mmm yyyy")),'_Engine'!K971)</ns0:f>
        <ns0:v/>
      </ns0:c>
    </ns0:row>
    <ns0:row r="972" ht="32" customHeight="1">
      <ns0:c r="A972" s="200"/>
      <ns0:c r="B972" s="201"/>
      <ns0:c r="C972" s="209"/>
      <ns0:c r="D972" s="201"/>
      <ns0:c r="E972" s="209"/>
      <ns0:c r="F972" s="200"/>
      <ns0:c r="G972" s="200"/>
      <ns0:c r="H972" s="210" t="str">
        <ns0:f>IF('_Engine'!A972=0,"",IF('_Engine'!$B$6&gt;0,"REVIEW",IF('_Engine'!L972&gt;0,"REVIEW",'_Engine'!G972)))</ns0:f>
        <ns0:v/>
      </ns0:c>
      <ns0:c r="I972" s="207"/>
      <ns0:c r="J972" s="208" t="str">
        <ns0:f>IF('_Engine'!K972="OK","OK · "&amp;TEXT('_Dates'!J972,"dd mmm yyyy")&amp;IF('_Dates'!J972='_Dates'!T972,""," → "&amp;TEXT('_Dates'!T972,"dd mmm yyyy")),'_Engine'!K972)</ns0:f>
        <ns0:v/>
      </ns0:c>
    </ns0:row>
    <ns0:row r="973" ht="32" customHeight="1">
      <ns0:c r="A973" s="200"/>
      <ns0:c r="B973" s="201"/>
      <ns0:c r="C973" s="209"/>
      <ns0:c r="D973" s="201"/>
      <ns0:c r="E973" s="209"/>
      <ns0:c r="F973" s="200"/>
      <ns0:c r="G973" s="200"/>
      <ns0:c r="H973" s="210" t="str">
        <ns0:f>IF('_Engine'!A973=0,"",IF('_Engine'!$B$6&gt;0,"REVIEW",IF('_Engine'!L973&gt;0,"REVIEW",'_Engine'!G973)))</ns0:f>
        <ns0:v/>
      </ns0:c>
      <ns0:c r="I973" s="207"/>
      <ns0:c r="J973" s="208" t="str">
        <ns0:f>IF('_Engine'!K973="OK","OK · "&amp;TEXT('_Dates'!J973,"dd mmm yyyy")&amp;IF('_Dates'!J973='_Dates'!T973,""," → "&amp;TEXT('_Dates'!T973,"dd mmm yyyy")),'_Engine'!K973)</ns0:f>
        <ns0:v/>
      </ns0:c>
    </ns0:row>
    <ns0:row r="974" ht="32" customHeight="1">
      <ns0:c r="A974" s="200"/>
      <ns0:c r="B974" s="201"/>
      <ns0:c r="C974" s="209"/>
      <ns0:c r="D974" s="201"/>
      <ns0:c r="E974" s="209"/>
      <ns0:c r="F974" s="200"/>
      <ns0:c r="G974" s="200"/>
      <ns0:c r="H974" s="210" t="str">
        <ns0:f>IF('_Engine'!A974=0,"",IF('_Engine'!$B$6&gt;0,"REVIEW",IF('_Engine'!L974&gt;0,"REVIEW",'_Engine'!G974)))</ns0:f>
        <ns0:v/>
      </ns0:c>
      <ns0:c r="I974" s="207"/>
      <ns0:c r="J974" s="208" t="str">
        <ns0:f>IF('_Engine'!K974="OK","OK · "&amp;TEXT('_Dates'!J974,"dd mmm yyyy")&amp;IF('_Dates'!J974='_Dates'!T974,""," → "&amp;TEXT('_Dates'!T974,"dd mmm yyyy")),'_Engine'!K974)</ns0:f>
        <ns0:v/>
      </ns0:c>
    </ns0:row>
    <ns0:row r="975" ht="32" customHeight="1">
      <ns0:c r="A975" s="200"/>
      <ns0:c r="B975" s="201"/>
      <ns0:c r="C975" s="209"/>
      <ns0:c r="D975" s="201"/>
      <ns0:c r="E975" s="209"/>
      <ns0:c r="F975" s="200"/>
      <ns0:c r="G975" s="200"/>
      <ns0:c r="H975" s="210" t="str">
        <ns0:f>IF('_Engine'!A975=0,"",IF('_Engine'!$B$6&gt;0,"REVIEW",IF('_Engine'!L975&gt;0,"REVIEW",'_Engine'!G975)))</ns0:f>
        <ns0:v/>
      </ns0:c>
      <ns0:c r="I975" s="207"/>
      <ns0:c r="J975" s="208" t="str">
        <ns0:f>IF('_Engine'!K975="OK","OK · "&amp;TEXT('_Dates'!J975,"dd mmm yyyy")&amp;IF('_Dates'!J975='_Dates'!T975,""," → "&amp;TEXT('_Dates'!T975,"dd mmm yyyy")),'_Engine'!K975)</ns0:f>
        <ns0:v/>
      </ns0:c>
    </ns0:row>
    <ns0:row r="976" ht="32" customHeight="1">
      <ns0:c r="A976" s="200"/>
      <ns0:c r="B976" s="201"/>
      <ns0:c r="C976" s="209"/>
      <ns0:c r="D976" s="201"/>
      <ns0:c r="E976" s="209"/>
      <ns0:c r="F976" s="200"/>
      <ns0:c r="G976" s="200"/>
      <ns0:c r="H976" s="210" t="str">
        <ns0:f>IF('_Engine'!A976=0,"",IF('_Engine'!$B$6&gt;0,"REVIEW",IF('_Engine'!L976&gt;0,"REVIEW",'_Engine'!G976)))</ns0:f>
        <ns0:v/>
      </ns0:c>
      <ns0:c r="I976" s="207"/>
      <ns0:c r="J976" s="208" t="str">
        <ns0:f>IF('_Engine'!K976="OK","OK · "&amp;TEXT('_Dates'!J976,"dd mmm yyyy")&amp;IF('_Dates'!J976='_Dates'!T976,""," → "&amp;TEXT('_Dates'!T976,"dd mmm yyyy")),'_Engine'!K976)</ns0:f>
        <ns0:v/>
      </ns0:c>
    </ns0:row>
    <ns0:row r="977" ht="32" customHeight="1">
      <ns0:c r="A977" s="200"/>
      <ns0:c r="B977" s="201"/>
      <ns0:c r="C977" s="209"/>
      <ns0:c r="D977" s="201"/>
      <ns0:c r="E977" s="209"/>
      <ns0:c r="F977" s="200"/>
      <ns0:c r="G977" s="200"/>
      <ns0:c r="H977" s="210" t="str">
        <ns0:f>IF('_Engine'!A977=0,"",IF('_Engine'!$B$6&gt;0,"REVIEW",IF('_Engine'!L977&gt;0,"REVIEW",'_Engine'!G977)))</ns0:f>
        <ns0:v/>
      </ns0:c>
      <ns0:c r="I977" s="207"/>
      <ns0:c r="J977" s="208" t="str">
        <ns0:f>IF('_Engine'!K977="OK","OK · "&amp;TEXT('_Dates'!J977,"dd mmm yyyy")&amp;IF('_Dates'!J977='_Dates'!T977,""," → "&amp;TEXT('_Dates'!T977,"dd mmm yyyy")),'_Engine'!K977)</ns0:f>
        <ns0:v/>
      </ns0:c>
    </ns0:row>
    <ns0:row r="978" ht="32" customHeight="1">
      <ns0:c r="A978" s="200"/>
      <ns0:c r="B978" s="201"/>
      <ns0:c r="C978" s="209"/>
      <ns0:c r="D978" s="201"/>
      <ns0:c r="E978" s="209"/>
      <ns0:c r="F978" s="200"/>
      <ns0:c r="G978" s="200"/>
      <ns0:c r="H978" s="210" t="str">
        <ns0:f>IF('_Engine'!A978=0,"",IF('_Engine'!$B$6&gt;0,"REVIEW",IF('_Engine'!L978&gt;0,"REVIEW",'_Engine'!G978)))</ns0:f>
        <ns0:v/>
      </ns0:c>
      <ns0:c r="I978" s="207"/>
      <ns0:c r="J978" s="208" t="str">
        <ns0:f>IF('_Engine'!K978="OK","OK · "&amp;TEXT('_Dates'!J978,"dd mmm yyyy")&amp;IF('_Dates'!J978='_Dates'!T978,""," → "&amp;TEXT('_Dates'!T978,"dd mmm yyyy")),'_Engine'!K978)</ns0:f>
        <ns0:v/>
      </ns0:c>
    </ns0:row>
    <ns0:row r="979" ht="32" customHeight="1">
      <ns0:c r="A979" s="200"/>
      <ns0:c r="B979" s="201"/>
      <ns0:c r="C979" s="209"/>
      <ns0:c r="D979" s="201"/>
      <ns0:c r="E979" s="209"/>
      <ns0:c r="F979" s="200"/>
      <ns0:c r="G979" s="200"/>
      <ns0:c r="H979" s="210" t="str">
        <ns0:f>IF('_Engine'!A979=0,"",IF('_Engine'!$B$6&gt;0,"REVIEW",IF('_Engine'!L979&gt;0,"REVIEW",'_Engine'!G979)))</ns0:f>
        <ns0:v/>
      </ns0:c>
      <ns0:c r="I979" s="207"/>
      <ns0:c r="J979" s="208" t="str">
        <ns0:f>IF('_Engine'!K979="OK","OK · "&amp;TEXT('_Dates'!J979,"dd mmm yyyy")&amp;IF('_Dates'!J979='_Dates'!T979,""," → "&amp;TEXT('_Dates'!T979,"dd mmm yyyy")),'_Engine'!K979)</ns0:f>
        <ns0:v/>
      </ns0:c>
    </ns0:row>
    <ns0:row r="980" ht="32" customHeight="1">
      <ns0:c r="A980" s="200"/>
      <ns0:c r="B980" s="201"/>
      <ns0:c r="C980" s="209"/>
      <ns0:c r="D980" s="201"/>
      <ns0:c r="E980" s="209"/>
      <ns0:c r="F980" s="200"/>
      <ns0:c r="G980" s="200"/>
      <ns0:c r="H980" s="210" t="str">
        <ns0:f>IF('_Engine'!A980=0,"",IF('_Engine'!$B$6&gt;0,"REVIEW",IF('_Engine'!L980&gt;0,"REVIEW",'_Engine'!G980)))</ns0:f>
        <ns0:v/>
      </ns0:c>
      <ns0:c r="I980" s="207"/>
      <ns0:c r="J980" s="208" t="str">
        <ns0:f>IF('_Engine'!K980="OK","OK · "&amp;TEXT('_Dates'!J980,"dd mmm yyyy")&amp;IF('_Dates'!J980='_Dates'!T980,""," → "&amp;TEXT('_Dates'!T980,"dd mmm yyyy")),'_Engine'!K980)</ns0:f>
        <ns0:v/>
      </ns0:c>
    </ns0:row>
    <ns0:row r="981" ht="32" customHeight="1">
      <ns0:c r="A981" s="200"/>
      <ns0:c r="B981" s="201"/>
      <ns0:c r="C981" s="209"/>
      <ns0:c r="D981" s="201"/>
      <ns0:c r="E981" s="209"/>
      <ns0:c r="F981" s="200"/>
      <ns0:c r="G981" s="200"/>
      <ns0:c r="H981" s="210" t="str">
        <ns0:f>IF('_Engine'!A981=0,"",IF('_Engine'!$B$6&gt;0,"REVIEW",IF('_Engine'!L981&gt;0,"REVIEW",'_Engine'!G981)))</ns0:f>
        <ns0:v/>
      </ns0:c>
      <ns0:c r="I981" s="207"/>
      <ns0:c r="J981" s="208" t="str">
        <ns0:f>IF('_Engine'!K981="OK","OK · "&amp;TEXT('_Dates'!J981,"dd mmm yyyy")&amp;IF('_Dates'!J981='_Dates'!T981,""," → "&amp;TEXT('_Dates'!T981,"dd mmm yyyy")),'_Engine'!K981)</ns0:f>
        <ns0:v/>
      </ns0:c>
    </ns0:row>
    <ns0:row r="982" ht="32" customHeight="1">
      <ns0:c r="A982" s="200"/>
      <ns0:c r="B982" s="201"/>
      <ns0:c r="C982" s="209"/>
      <ns0:c r="D982" s="201"/>
      <ns0:c r="E982" s="209"/>
      <ns0:c r="F982" s="200"/>
      <ns0:c r="G982" s="200"/>
      <ns0:c r="H982" s="210" t="str">
        <ns0:f>IF('_Engine'!A982=0,"",IF('_Engine'!$B$6&gt;0,"REVIEW",IF('_Engine'!L982&gt;0,"REVIEW",'_Engine'!G982)))</ns0:f>
        <ns0:v/>
      </ns0:c>
      <ns0:c r="I982" s="207"/>
      <ns0:c r="J982" s="208" t="str">
        <ns0:f>IF('_Engine'!K982="OK","OK · "&amp;TEXT('_Dates'!J982,"dd mmm yyyy")&amp;IF('_Dates'!J982='_Dates'!T982,""," → "&amp;TEXT('_Dates'!T982,"dd mmm yyyy")),'_Engine'!K982)</ns0:f>
        <ns0:v/>
      </ns0:c>
    </ns0:row>
    <ns0:row r="983" ht="32" customHeight="1">
      <ns0:c r="A983" s="200"/>
      <ns0:c r="B983" s="201"/>
      <ns0:c r="C983" s="209"/>
      <ns0:c r="D983" s="201"/>
      <ns0:c r="E983" s="209"/>
      <ns0:c r="F983" s="200"/>
      <ns0:c r="G983" s="200"/>
      <ns0:c r="H983" s="210" t="str">
        <ns0:f>IF('_Engine'!A983=0,"",IF('_Engine'!$B$6&gt;0,"REVIEW",IF('_Engine'!L983&gt;0,"REVIEW",'_Engine'!G983)))</ns0:f>
        <ns0:v/>
      </ns0:c>
      <ns0:c r="I983" s="207"/>
      <ns0:c r="J983" s="208" t="str">
        <ns0:f>IF('_Engine'!K983="OK","OK · "&amp;TEXT('_Dates'!J983,"dd mmm yyyy")&amp;IF('_Dates'!J983='_Dates'!T983,""," → "&amp;TEXT('_Dates'!T983,"dd mmm yyyy")),'_Engine'!K983)</ns0:f>
        <ns0:v/>
      </ns0:c>
    </ns0:row>
    <ns0:row r="984" ht="32" customHeight="1">
      <ns0:c r="A984" s="200"/>
      <ns0:c r="B984" s="201"/>
      <ns0:c r="C984" s="209"/>
      <ns0:c r="D984" s="201"/>
      <ns0:c r="E984" s="209"/>
      <ns0:c r="F984" s="200"/>
      <ns0:c r="G984" s="200"/>
      <ns0:c r="H984" s="210" t="str">
        <ns0:f>IF('_Engine'!A984=0,"",IF('_Engine'!$B$6&gt;0,"REVIEW",IF('_Engine'!L984&gt;0,"REVIEW",'_Engine'!G984)))</ns0:f>
        <ns0:v/>
      </ns0:c>
      <ns0:c r="I984" s="207"/>
      <ns0:c r="J984" s="208" t="str">
        <ns0:f>IF('_Engine'!K984="OK","OK · "&amp;TEXT('_Dates'!J984,"dd mmm yyyy")&amp;IF('_Dates'!J984='_Dates'!T984,""," → "&amp;TEXT('_Dates'!T984,"dd mmm yyyy")),'_Engine'!K984)</ns0:f>
        <ns0:v/>
      </ns0:c>
    </ns0:row>
    <ns0:row r="985" ht="32" customHeight="1">
      <ns0:c r="A985" s="200"/>
      <ns0:c r="B985" s="201"/>
      <ns0:c r="C985" s="209"/>
      <ns0:c r="D985" s="201"/>
      <ns0:c r="E985" s="209"/>
      <ns0:c r="F985" s="200"/>
      <ns0:c r="G985" s="200"/>
      <ns0:c r="H985" s="210" t="str">
        <ns0:f>IF('_Engine'!A985=0,"",IF('_Engine'!$B$6&gt;0,"REVIEW",IF('_Engine'!L985&gt;0,"REVIEW",'_Engine'!G985)))</ns0:f>
        <ns0:v/>
      </ns0:c>
      <ns0:c r="I985" s="207"/>
      <ns0:c r="J985" s="208" t="str">
        <ns0:f>IF('_Engine'!K985="OK","OK · "&amp;TEXT('_Dates'!J985,"dd mmm yyyy")&amp;IF('_Dates'!J985='_Dates'!T985,""," → "&amp;TEXT('_Dates'!T985,"dd mmm yyyy")),'_Engine'!K985)</ns0:f>
        <ns0:v/>
      </ns0:c>
    </ns0:row>
    <ns0:row r="986" ht="32" customHeight="1">
      <ns0:c r="A986" s="200"/>
      <ns0:c r="B986" s="201"/>
      <ns0:c r="C986" s="209"/>
      <ns0:c r="D986" s="201"/>
      <ns0:c r="E986" s="209"/>
      <ns0:c r="F986" s="200"/>
      <ns0:c r="G986" s="200"/>
      <ns0:c r="H986" s="210" t="str">
        <ns0:f>IF('_Engine'!A986=0,"",IF('_Engine'!$B$6&gt;0,"REVIEW",IF('_Engine'!L986&gt;0,"REVIEW",'_Engine'!G986)))</ns0:f>
        <ns0:v/>
      </ns0:c>
      <ns0:c r="I986" s="207"/>
      <ns0:c r="J986" s="208" t="str">
        <ns0:f>IF('_Engine'!K986="OK","OK · "&amp;TEXT('_Dates'!J986,"dd mmm yyyy")&amp;IF('_Dates'!J986='_Dates'!T986,""," → "&amp;TEXT('_Dates'!T986,"dd mmm yyyy")),'_Engine'!K986)</ns0:f>
        <ns0:v/>
      </ns0:c>
    </ns0:row>
    <ns0:row r="987" ht="32" customHeight="1">
      <ns0:c r="A987" s="200"/>
      <ns0:c r="B987" s="201"/>
      <ns0:c r="C987" s="209"/>
      <ns0:c r="D987" s="201"/>
      <ns0:c r="E987" s="209"/>
      <ns0:c r="F987" s="200"/>
      <ns0:c r="G987" s="200"/>
      <ns0:c r="H987" s="210" t="str">
        <ns0:f>IF('_Engine'!A987=0,"",IF('_Engine'!$B$6&gt;0,"REVIEW",IF('_Engine'!L987&gt;0,"REVIEW",'_Engine'!G987)))</ns0:f>
        <ns0:v/>
      </ns0:c>
      <ns0:c r="I987" s="207"/>
      <ns0:c r="J987" s="208" t="str">
        <ns0:f>IF('_Engine'!K987="OK","OK · "&amp;TEXT('_Dates'!J987,"dd mmm yyyy")&amp;IF('_Dates'!J987='_Dates'!T987,""," → "&amp;TEXT('_Dates'!T987,"dd mmm yyyy")),'_Engine'!K987)</ns0:f>
        <ns0:v/>
      </ns0:c>
    </ns0:row>
    <ns0:row r="988" ht="32" customHeight="1">
      <ns0:c r="A988" s="200"/>
      <ns0:c r="B988" s="201"/>
      <ns0:c r="C988" s="209"/>
      <ns0:c r="D988" s="201"/>
      <ns0:c r="E988" s="209"/>
      <ns0:c r="F988" s="200"/>
      <ns0:c r="G988" s="200"/>
      <ns0:c r="H988" s="210" t="str">
        <ns0:f>IF('_Engine'!A988=0,"",IF('_Engine'!$B$6&gt;0,"REVIEW",IF('_Engine'!L988&gt;0,"REVIEW",'_Engine'!G988)))</ns0:f>
        <ns0:v/>
      </ns0:c>
      <ns0:c r="I988" s="207"/>
      <ns0:c r="J988" s="208" t="str">
        <ns0:f>IF('_Engine'!K988="OK","OK · "&amp;TEXT('_Dates'!J988,"dd mmm yyyy")&amp;IF('_Dates'!J988='_Dates'!T988,""," → "&amp;TEXT('_Dates'!T988,"dd mmm yyyy")),'_Engine'!K988)</ns0:f>
        <ns0:v/>
      </ns0:c>
    </ns0:row>
    <ns0:row r="989" ht="32" customHeight="1">
      <ns0:c r="A989" s="200"/>
      <ns0:c r="B989" s="201"/>
      <ns0:c r="C989" s="209"/>
      <ns0:c r="D989" s="201"/>
      <ns0:c r="E989" s="209"/>
      <ns0:c r="F989" s="200"/>
      <ns0:c r="G989" s="200"/>
      <ns0:c r="H989" s="210" t="str">
        <ns0:f>IF('_Engine'!A989=0,"",IF('_Engine'!$B$6&gt;0,"REVIEW",IF('_Engine'!L989&gt;0,"REVIEW",'_Engine'!G989)))</ns0:f>
        <ns0:v/>
      </ns0:c>
      <ns0:c r="I989" s="207"/>
      <ns0:c r="J989" s="208" t="str">
        <ns0:f>IF('_Engine'!K989="OK","OK · "&amp;TEXT('_Dates'!J989,"dd mmm yyyy")&amp;IF('_Dates'!J989='_Dates'!T989,""," → "&amp;TEXT('_Dates'!T989,"dd mmm yyyy")),'_Engine'!K989)</ns0:f>
        <ns0:v/>
      </ns0:c>
    </ns0:row>
    <ns0:row r="990" ht="32" customHeight="1">
      <ns0:c r="A990" s="200"/>
      <ns0:c r="B990" s="201"/>
      <ns0:c r="C990" s="209"/>
      <ns0:c r="D990" s="201"/>
      <ns0:c r="E990" s="209"/>
      <ns0:c r="F990" s="200"/>
      <ns0:c r="G990" s="200"/>
      <ns0:c r="H990" s="210" t="str">
        <ns0:f>IF('_Engine'!A990=0,"",IF('_Engine'!$B$6&gt;0,"REVIEW",IF('_Engine'!L990&gt;0,"REVIEW",'_Engine'!G990)))</ns0:f>
        <ns0:v/>
      </ns0:c>
      <ns0:c r="I990" s="207"/>
      <ns0:c r="J990" s="208" t="str">
        <ns0:f>IF('_Engine'!K990="OK","OK · "&amp;TEXT('_Dates'!J990,"dd mmm yyyy")&amp;IF('_Dates'!J990='_Dates'!T990,""," → "&amp;TEXT('_Dates'!T990,"dd mmm yyyy")),'_Engine'!K990)</ns0:f>
        <ns0:v/>
      </ns0:c>
    </ns0:row>
    <ns0:row r="991" ht="32" customHeight="1">
      <ns0:c r="A991" s="200"/>
      <ns0:c r="B991" s="201"/>
      <ns0:c r="C991" s="209"/>
      <ns0:c r="D991" s="201"/>
      <ns0:c r="E991" s="209"/>
      <ns0:c r="F991" s="200"/>
      <ns0:c r="G991" s="200"/>
      <ns0:c r="H991" s="210" t="str">
        <ns0:f>IF('_Engine'!A991=0,"",IF('_Engine'!$B$6&gt;0,"REVIEW",IF('_Engine'!L991&gt;0,"REVIEW",'_Engine'!G991)))</ns0:f>
        <ns0:v/>
      </ns0:c>
      <ns0:c r="I991" s="207"/>
      <ns0:c r="J991" s="208" t="str">
        <ns0:f>IF('_Engine'!K991="OK","OK · "&amp;TEXT('_Dates'!J991,"dd mmm yyyy")&amp;IF('_Dates'!J991='_Dates'!T991,""," → "&amp;TEXT('_Dates'!T991,"dd mmm yyyy")),'_Engine'!K991)</ns0:f>
        <ns0:v/>
      </ns0:c>
    </ns0:row>
    <ns0:row r="992" ht="32" customHeight="1">
      <ns0:c r="A992" s="200"/>
      <ns0:c r="B992" s="201"/>
      <ns0:c r="C992" s="209"/>
      <ns0:c r="D992" s="201"/>
      <ns0:c r="E992" s="209"/>
      <ns0:c r="F992" s="200"/>
      <ns0:c r="G992" s="200"/>
      <ns0:c r="H992" s="210" t="str">
        <ns0:f>IF('_Engine'!A992=0,"",IF('_Engine'!$B$6&gt;0,"REVIEW",IF('_Engine'!L992&gt;0,"REVIEW",'_Engine'!G992)))</ns0:f>
        <ns0:v/>
      </ns0:c>
      <ns0:c r="I992" s="207"/>
      <ns0:c r="J992" s="208" t="str">
        <ns0:f>IF('_Engine'!K992="OK","OK · "&amp;TEXT('_Dates'!J992,"dd mmm yyyy")&amp;IF('_Dates'!J992='_Dates'!T992,""," → "&amp;TEXT('_Dates'!T992,"dd mmm yyyy")),'_Engine'!K992)</ns0:f>
        <ns0:v/>
      </ns0:c>
    </ns0:row>
    <ns0:row r="993" ht="32" customHeight="1">
      <ns0:c r="A993" s="200"/>
      <ns0:c r="B993" s="201"/>
      <ns0:c r="C993" s="209"/>
      <ns0:c r="D993" s="201"/>
      <ns0:c r="E993" s="209"/>
      <ns0:c r="F993" s="200"/>
      <ns0:c r="G993" s="200"/>
      <ns0:c r="H993" s="210" t="str">
        <ns0:f>IF('_Engine'!A993=0,"",IF('_Engine'!$B$6&gt;0,"REVIEW",IF('_Engine'!L993&gt;0,"REVIEW",'_Engine'!G993)))</ns0:f>
        <ns0:v/>
      </ns0:c>
      <ns0:c r="I993" s="207"/>
      <ns0:c r="J993" s="208" t="str">
        <ns0:f>IF('_Engine'!K993="OK","OK · "&amp;TEXT('_Dates'!J993,"dd mmm yyyy")&amp;IF('_Dates'!J993='_Dates'!T993,""," → "&amp;TEXT('_Dates'!T993,"dd mmm yyyy")),'_Engine'!K993)</ns0:f>
        <ns0:v/>
      </ns0:c>
    </ns0:row>
    <ns0:row r="994" ht="32" customHeight="1">
      <ns0:c r="A994" s="200"/>
      <ns0:c r="B994" s="201"/>
      <ns0:c r="C994" s="209"/>
      <ns0:c r="D994" s="201"/>
      <ns0:c r="E994" s="209"/>
      <ns0:c r="F994" s="200"/>
      <ns0:c r="G994" s="200"/>
      <ns0:c r="H994" s="210" t="str">
        <ns0:f>IF('_Engine'!A994=0,"",IF('_Engine'!$B$6&gt;0,"REVIEW",IF('_Engine'!L994&gt;0,"REVIEW",'_Engine'!G994)))</ns0:f>
        <ns0:v/>
      </ns0:c>
      <ns0:c r="I994" s="207"/>
      <ns0:c r="J994" s="208" t="str">
        <ns0:f>IF('_Engine'!K994="OK","OK · "&amp;TEXT('_Dates'!J994,"dd mmm yyyy")&amp;IF('_Dates'!J994='_Dates'!T994,""," → "&amp;TEXT('_Dates'!T994,"dd mmm yyyy")),'_Engine'!K994)</ns0:f>
        <ns0:v/>
      </ns0:c>
    </ns0:row>
    <ns0:row r="995" ht="32" customHeight="1">
      <ns0:c r="A995" s="200"/>
      <ns0:c r="B995" s="201"/>
      <ns0:c r="C995" s="209"/>
      <ns0:c r="D995" s="201"/>
      <ns0:c r="E995" s="209"/>
      <ns0:c r="F995" s="200"/>
      <ns0:c r="G995" s="200"/>
      <ns0:c r="H995" s="210" t="str">
        <ns0:f>IF('_Engine'!A995=0,"",IF('_Engine'!$B$6&gt;0,"REVIEW",IF('_Engine'!L995&gt;0,"REVIEW",'_Engine'!G995)))</ns0:f>
        <ns0:v/>
      </ns0:c>
      <ns0:c r="I995" s="207"/>
      <ns0:c r="J995" s="208" t="str">
        <ns0:f>IF('_Engine'!K995="OK","OK · "&amp;TEXT('_Dates'!J995,"dd mmm yyyy")&amp;IF('_Dates'!J995='_Dates'!T995,""," → "&amp;TEXT('_Dates'!T995,"dd mmm yyyy")),'_Engine'!K995)</ns0:f>
        <ns0:v/>
      </ns0:c>
    </ns0:row>
    <ns0:row r="996" ht="32" customHeight="1">
      <ns0:c r="A996" s="200"/>
      <ns0:c r="B996" s="201"/>
      <ns0:c r="C996" s="209"/>
      <ns0:c r="D996" s="201"/>
      <ns0:c r="E996" s="209"/>
      <ns0:c r="F996" s="200"/>
      <ns0:c r="G996" s="200"/>
      <ns0:c r="H996" s="210" t="str">
        <ns0:f>IF('_Engine'!A996=0,"",IF('_Engine'!$B$6&gt;0,"REVIEW",IF('_Engine'!L996&gt;0,"REVIEW",'_Engine'!G996)))</ns0:f>
        <ns0:v/>
      </ns0:c>
      <ns0:c r="I996" s="207"/>
      <ns0:c r="J996" s="208" t="str">
        <ns0:f>IF('_Engine'!K996="OK","OK · "&amp;TEXT('_Dates'!J996,"dd mmm yyyy")&amp;IF('_Dates'!J996='_Dates'!T996,""," → "&amp;TEXT('_Dates'!T996,"dd mmm yyyy")),'_Engine'!K996)</ns0:f>
        <ns0:v/>
      </ns0:c>
    </ns0:row>
    <ns0:row r="997" ht="32" customHeight="1">
      <ns0:c r="A997" s="200"/>
      <ns0:c r="B997" s="201"/>
      <ns0:c r="C997" s="209"/>
      <ns0:c r="D997" s="201"/>
      <ns0:c r="E997" s="209"/>
      <ns0:c r="F997" s="200"/>
      <ns0:c r="G997" s="200"/>
      <ns0:c r="H997" s="210" t="str">
        <ns0:f>IF('_Engine'!A997=0,"",IF('_Engine'!$B$6&gt;0,"REVIEW",IF('_Engine'!L997&gt;0,"REVIEW",'_Engine'!G997)))</ns0:f>
        <ns0:v/>
      </ns0:c>
      <ns0:c r="I997" s="207"/>
      <ns0:c r="J997" s="208" t="str">
        <ns0:f>IF('_Engine'!K997="OK","OK · "&amp;TEXT('_Dates'!J997,"dd mmm yyyy")&amp;IF('_Dates'!J997='_Dates'!T997,""," → "&amp;TEXT('_Dates'!T997,"dd mmm yyyy")),'_Engine'!K997)</ns0:f>
        <ns0:v/>
      </ns0:c>
    </ns0:row>
    <ns0:row r="998" ht="32" customHeight="1">
      <ns0:c r="A998" s="200"/>
      <ns0:c r="B998" s="201"/>
      <ns0:c r="C998" s="209"/>
      <ns0:c r="D998" s="201"/>
      <ns0:c r="E998" s="209"/>
      <ns0:c r="F998" s="200"/>
      <ns0:c r="G998" s="200"/>
      <ns0:c r="H998" s="210" t="str">
        <ns0:f>IF('_Engine'!A998=0,"",IF('_Engine'!$B$6&gt;0,"REVIEW",IF('_Engine'!L998&gt;0,"REVIEW",'_Engine'!G998)))</ns0:f>
        <ns0:v/>
      </ns0:c>
      <ns0:c r="I998" s="207"/>
      <ns0:c r="J998" s="208" t="str">
        <ns0:f>IF('_Engine'!K998="OK","OK · "&amp;TEXT('_Dates'!J998,"dd mmm yyyy")&amp;IF('_Dates'!J998='_Dates'!T998,""," → "&amp;TEXT('_Dates'!T998,"dd mmm yyyy")),'_Engine'!K998)</ns0:f>
        <ns0:v/>
      </ns0:c>
    </ns0:row>
    <ns0:row r="999" ht="32" customHeight="1">
      <ns0:c r="A999" s="200"/>
      <ns0:c r="B999" s="201"/>
      <ns0:c r="C999" s="209"/>
      <ns0:c r="D999" s="201"/>
      <ns0:c r="E999" s="209"/>
      <ns0:c r="F999" s="200"/>
      <ns0:c r="G999" s="200"/>
      <ns0:c r="H999" s="210" t="str">
        <ns0:f>IF('_Engine'!A999=0,"",IF('_Engine'!$B$6&gt;0,"REVIEW",IF('_Engine'!L999&gt;0,"REVIEW",'_Engine'!G999)))</ns0:f>
        <ns0:v/>
      </ns0:c>
      <ns0:c r="I999" s="207"/>
      <ns0:c r="J999" s="208" t="str">
        <ns0:f>IF('_Engine'!K999="OK","OK · "&amp;TEXT('_Dates'!J999,"dd mmm yyyy")&amp;IF('_Dates'!J999='_Dates'!T999,""," → "&amp;TEXT('_Dates'!T999,"dd mmm yyyy")),'_Engine'!K999)</ns0:f>
        <ns0:v/>
      </ns0:c>
    </ns0:row>
    <ns0:row r="1000" ht="32" customHeight="1">
      <ns0:c r="A1000" s="200"/>
      <ns0:c r="B1000" s="201"/>
      <ns0:c r="C1000" s="209"/>
      <ns0:c r="D1000" s="201"/>
      <ns0:c r="E1000" s="209"/>
      <ns0:c r="F1000" s="200"/>
      <ns0:c r="G1000" s="200"/>
      <ns0:c r="H1000" s="210" t="str">
        <ns0:f>IF('_Engine'!A1000=0,"",IF('_Engine'!$B$6&gt;0,"REVIEW",IF('_Engine'!L1000&gt;0,"REVIEW",'_Engine'!G1000)))</ns0:f>
        <ns0:v/>
      </ns0:c>
      <ns0:c r="I1000" s="207"/>
      <ns0:c r="J1000" s="208" t="str">
        <ns0:f>IF('_Engine'!K1000="OK","OK · "&amp;TEXT('_Dates'!J1000,"dd mmm yyyy")&amp;IF('_Dates'!J1000='_Dates'!T1000,""," → "&amp;TEXT('_Dates'!T1000,"dd mmm yyyy")),'_Engine'!K1000)</ns0:f>
        <ns0:v/>
      </ns0:c>
    </ns0:row>
    <ns0:row r="1001" ht="32" customHeight="1">
      <ns0:c r="A1001" s="200"/>
      <ns0:c r="B1001" s="201"/>
      <ns0:c r="C1001" s="209"/>
      <ns0:c r="D1001" s="201"/>
      <ns0:c r="E1001" s="209"/>
      <ns0:c r="F1001" s="200"/>
      <ns0:c r="G1001" s="200"/>
      <ns0:c r="H1001" s="210" t="str">
        <ns0:f>IF('_Engine'!A1001=0,"",IF('_Engine'!$B$6&gt;0,"REVIEW",IF('_Engine'!L1001&gt;0,"REVIEW",'_Engine'!G1001)))</ns0:f>
        <ns0:v/>
      </ns0:c>
      <ns0:c r="I1001" s="207"/>
      <ns0:c r="J1001" s="208" t="str">
        <ns0:f>IF('_Engine'!K1001="OK","OK · "&amp;TEXT('_Dates'!J1001,"dd mmm yyyy")&amp;IF('_Dates'!J1001='_Dates'!T1001,""," → "&amp;TEXT('_Dates'!T1001,"dd mmm yyyy")),'_Engine'!K1001)</ns0:f>
        <ns0:v/>
      </ns0:c>
    </ns0:row>
    <ns0:row r="1002" ht="32" customHeight="1">
      <ns0:c r="A1002" s="200"/>
      <ns0:c r="B1002" s="201"/>
      <ns0:c r="C1002" s="209"/>
      <ns0:c r="D1002" s="201"/>
      <ns0:c r="E1002" s="209"/>
      <ns0:c r="F1002" s="200"/>
      <ns0:c r="G1002" s="200"/>
      <ns0:c r="H1002" s="210" t="str">
        <ns0:f>IF('_Engine'!A1002=0,"",IF('_Engine'!$B$6&gt;0,"REVIEW",IF('_Engine'!L1002&gt;0,"REVIEW",'_Engine'!G1002)))</ns0:f>
        <ns0:v/>
      </ns0:c>
      <ns0:c r="I1002" s="207"/>
      <ns0:c r="J1002" s="208" t="str">
        <ns0:f>IF('_Engine'!K1002="OK","OK · "&amp;TEXT('_Dates'!J1002,"dd mmm yyyy")&amp;IF('_Dates'!J1002='_Dates'!T1002,""," → "&amp;TEXT('_Dates'!T1002,"dd mmm yyyy")),'_Engine'!K1002)</ns0:f>
        <ns0:v/>
      </ns0:c>
    </ns0:row>
    <ns0:row r="1003" ht="32" customHeight="1">
      <ns0:c r="A1003" s="200"/>
      <ns0:c r="B1003" s="201"/>
      <ns0:c r="C1003" s="209"/>
      <ns0:c r="D1003" s="201"/>
      <ns0:c r="E1003" s="209"/>
      <ns0:c r="F1003" s="200"/>
      <ns0:c r="G1003" s="200"/>
      <ns0:c r="H1003" s="210" t="str">
        <ns0:f>IF('_Engine'!A1003=0,"",IF('_Engine'!$B$6&gt;0,"REVIEW",IF('_Engine'!L1003&gt;0,"REVIEW",'_Engine'!G1003)))</ns0:f>
        <ns0:v/>
      </ns0:c>
      <ns0:c r="I1003" s="207"/>
      <ns0:c r="J1003" s="208" t="str">
        <ns0:f>IF('_Engine'!K1003="OK","OK · "&amp;TEXT('_Dates'!J1003,"dd mmm yyyy")&amp;IF('_Dates'!J1003='_Dates'!T1003,""," → "&amp;TEXT('_Dates'!T1003,"dd mmm yyyy")),'_Engine'!K1003)</ns0:f>
        <ns0:v/>
      </ns0:c>
    </ns0:row>
    <ns0:row r="1004" ht="32" customHeight="1">
      <ns0:c r="A1004" s="200"/>
      <ns0:c r="B1004" s="201"/>
      <ns0:c r="C1004" s="209"/>
      <ns0:c r="D1004" s="201"/>
      <ns0:c r="E1004" s="209"/>
      <ns0:c r="F1004" s="200"/>
      <ns0:c r="G1004" s="200"/>
      <ns0:c r="H1004" s="210" t="str">
        <ns0:f>IF('_Engine'!A1004=0,"",IF('_Engine'!$B$6&gt;0,"REVIEW",IF('_Engine'!L1004&gt;0,"REVIEW",'_Engine'!G1004)))</ns0:f>
        <ns0:v/>
      </ns0:c>
      <ns0:c r="I1004" s="207"/>
      <ns0:c r="J1004" s="208" t="str">
        <ns0:f>IF('_Engine'!K1004="OK","OK · "&amp;TEXT('_Dates'!J1004,"dd mmm yyyy")&amp;IF('_Dates'!J1004='_Dates'!T1004,""," → "&amp;TEXT('_Dates'!T1004,"dd mmm yyyy")),'_Engine'!K1004)</ns0:f>
        <ns0:v/>
      </ns0:c>
    </ns0:row>
    <ns0:row r="1005" ht="32" customHeight="1">
      <ns0:c r="A1005" s="200"/>
      <ns0:c r="B1005" s="201"/>
      <ns0:c r="C1005" s="209"/>
      <ns0:c r="D1005" s="201"/>
      <ns0:c r="E1005" s="209"/>
      <ns0:c r="F1005" s="200"/>
      <ns0:c r="G1005" s="200"/>
      <ns0:c r="H1005" s="210" t="str">
        <ns0:f>IF('_Engine'!A1005=0,"",IF('_Engine'!$B$6&gt;0,"REVIEW",IF('_Engine'!L1005&gt;0,"REVIEW",'_Engine'!G1005)))</ns0:f>
        <ns0:v/>
      </ns0:c>
      <ns0:c r="I1005" s="207"/>
      <ns0:c r="J1005" s="208" t="str">
        <ns0:f>IF('_Engine'!K1005="OK","OK · "&amp;TEXT('_Dates'!J1005,"dd mmm yyyy")&amp;IF('_Dates'!J1005='_Dates'!T1005,""," → "&amp;TEXT('_Dates'!T1005,"dd mmm yyyy")),'_Engine'!K1005)</ns0:f>
        <ns0:v/>
      </ns0:c>
    </ns0:row>
    <ns0:row r="1006" ht="32" customHeight="1">
      <ns0:c r="A1006" s="200"/>
      <ns0:c r="B1006" s="201"/>
      <ns0:c r="C1006" s="209"/>
      <ns0:c r="D1006" s="201"/>
      <ns0:c r="E1006" s="209"/>
      <ns0:c r="F1006" s="200"/>
      <ns0:c r="G1006" s="200"/>
      <ns0:c r="H1006" s="210" t="str">
        <ns0:f>IF('_Engine'!A1006=0,"",IF('_Engine'!$B$6&gt;0,"REVIEW",IF('_Engine'!L1006&gt;0,"REVIEW",'_Engine'!G1006)))</ns0:f>
        <ns0:v/>
      </ns0:c>
      <ns0:c r="I1006" s="207"/>
      <ns0:c r="J1006" s="208" t="str">
        <ns0:f>IF('_Engine'!K1006="OK","OK · "&amp;TEXT('_Dates'!J1006,"dd mmm yyyy")&amp;IF('_Dates'!J1006='_Dates'!T1006,""," → "&amp;TEXT('_Dates'!T1006,"dd mmm yyyy")),'_Engine'!K1006)</ns0:f>
        <ns0:v/>
      </ns0:c>
    </ns0:row>
    <ns0:row r="1007" ht="32" customHeight="1">
      <ns0:c r="A1007" s="200"/>
      <ns0:c r="B1007" s="201"/>
      <ns0:c r="C1007" s="209"/>
      <ns0:c r="D1007" s="201"/>
      <ns0:c r="E1007" s="209"/>
      <ns0:c r="F1007" s="200"/>
      <ns0:c r="G1007" s="200"/>
      <ns0:c r="H1007" s="210" t="str">
        <ns0:f>IF('_Engine'!A1007=0,"",IF('_Engine'!$B$6&gt;0,"REVIEW",IF('_Engine'!L1007&gt;0,"REVIEW",'_Engine'!G1007)))</ns0:f>
        <ns0:v/>
      </ns0:c>
      <ns0:c r="I1007" s="207"/>
      <ns0:c r="J1007" s="208" t="str">
        <ns0:f>IF('_Engine'!K1007="OK","OK · "&amp;TEXT('_Dates'!J1007,"dd mmm yyyy")&amp;IF('_Dates'!J1007='_Dates'!T1007,""," → "&amp;TEXT('_Dates'!T1007,"dd mmm yyyy")),'_Engine'!K1007)</ns0:f>
        <ns0:v/>
      </ns0:c>
    </ns0:row>
    <ns0:row r="1008" ht="32" customHeight="1">
      <ns0:c r="A1008" s="200"/>
      <ns0:c r="B1008" s="201"/>
      <ns0:c r="C1008" s="209"/>
      <ns0:c r="D1008" s="201"/>
      <ns0:c r="E1008" s="209"/>
      <ns0:c r="F1008" s="200"/>
      <ns0:c r="G1008" s="200"/>
      <ns0:c r="H1008" s="210" t="str">
        <ns0:f>IF('_Engine'!A1008=0,"",IF('_Engine'!$B$6&gt;0,"REVIEW",IF('_Engine'!L1008&gt;0,"REVIEW",'_Engine'!G1008)))</ns0:f>
        <ns0:v/>
      </ns0:c>
      <ns0:c r="I1008" s="207"/>
      <ns0:c r="J1008" s="208" t="str">
        <ns0:f>IF('_Engine'!K1008="OK","OK · "&amp;TEXT('_Dates'!J1008,"dd mmm yyyy")&amp;IF('_Dates'!J1008='_Dates'!T1008,""," → "&amp;TEXT('_Dates'!T1008,"dd mmm yyyy")),'_Engine'!K1008)</ns0:f>
        <ns0:v/>
      </ns0:c>
    </ns0:row>
    <ns0:row r="1009" ht="32" customHeight="1">
      <ns0:c r="A1009" s="200"/>
      <ns0:c r="B1009" s="201"/>
      <ns0:c r="C1009" s="209"/>
      <ns0:c r="D1009" s="201"/>
      <ns0:c r="E1009" s="209"/>
      <ns0:c r="F1009" s="200"/>
      <ns0:c r="G1009" s="200"/>
      <ns0:c r="H1009" s="210" t="str">
        <ns0:f>IF('_Engine'!A1009=0,"",IF('_Engine'!$B$6&gt;0,"REVIEW",IF('_Engine'!L1009&gt;0,"REVIEW",'_Engine'!G1009)))</ns0:f>
        <ns0:v/>
      </ns0:c>
      <ns0:c r="I1009" s="207"/>
      <ns0:c r="J1009" s="208" t="str">
        <ns0:f>IF('_Engine'!K1009="OK","OK · "&amp;TEXT('_Dates'!J1009,"dd mmm yyyy")&amp;IF('_Dates'!J1009='_Dates'!T1009,""," → "&amp;TEXT('_Dates'!T1009,"dd mmm yyyy")),'_Engine'!K1009)</ns0:f>
        <ns0:v/>
      </ns0:c>
    </ns0:row>
    <ns0:row r="1010" ht="32" customHeight="1">
      <ns0:c r="A1010" s="200"/>
      <ns0:c r="B1010" s="201"/>
      <ns0:c r="C1010" s="209"/>
      <ns0:c r="D1010" s="201"/>
      <ns0:c r="E1010" s="209"/>
      <ns0:c r="F1010" s="200"/>
      <ns0:c r="G1010" s="200"/>
      <ns0:c r="H1010" s="210" t="str">
        <ns0:f>IF('_Engine'!A1010=0,"",IF('_Engine'!$B$6&gt;0,"REVIEW",IF('_Engine'!L1010&gt;0,"REVIEW",'_Engine'!G1010)))</ns0:f>
        <ns0:v/>
      </ns0:c>
      <ns0:c r="I1010" s="207"/>
      <ns0:c r="J1010" s="208" t="str">
        <ns0:f>IF('_Engine'!K1010="OK","OK · "&amp;TEXT('_Dates'!J1010,"dd mmm yyyy")&amp;IF('_Dates'!J1010='_Dates'!T1010,""," → "&amp;TEXT('_Dates'!T1010,"dd mmm yyyy")),'_Engine'!K1010)</ns0:f>
        <ns0:v/>
      </ns0:c>
    </ns0:row>
    <ns0:row r="1012">
      <ns0:c r="A1012" s="177" t="inlineStr">
        <ns0:is>
          <ns0:t>1,000 prepared rows. H (Days) and J (Review) are formulas. Invalid dates or conflicting halves need correction. Clearing input cells does not delete formulas.</ns0:t>
        </ns0:is>
      </ns0:c>
      <ns0:c r="B1012" s="177"/>
      <ns0:c r="C1012" s="177"/>
      <ns0:c r="D1012" s="177"/>
      <ns0:c r="E1012" s="177"/>
      <ns0:c r="F1012" s="177"/>
      <ns0:c r="G1012" s="177"/>
      <ns0:c r="H1012" s="177"/>
      <ns0:c r="I1012" s="177"/>
    </ns0:row>
    <ns0:row r="1013">
      <ns0:c r="A1013" s="177"/>
      <ns0:c r="B1013" s="177"/>
      <ns0:c r="C1013" s="177"/>
      <ns0:c r="D1013" s="177"/>
      <ns0:c r="E1013" s="177"/>
      <ns0:c r="F1013" s="177"/>
      <ns0:c r="G1013" s="177"/>
      <ns0:c r="H1013" s="177"/>
      <ns0:c r="I1013" s="177"/>
    </ns0:row>
  </ns0:sheetData>
  <ns0:sheetProtection sheet="1" objects="1" scenarios="1" formatCells="1" formatColumns="1" formatRows="1" insertColumns="1" insertRows="1" insertHyperlinks="1" deleteColumns="1" deleteRows="1" selectLockedCells="0" selectUnlockedCells="0" sort="1" autoFilter="0" pivotTables="1"/>
  <ns0:mergeCells count="10">
    <ns0:mergeCell ref="A1:J2"/>
    <ns0:mergeCell ref="A4:B4"/>
    <ns0:mergeCell ref="C4:D4"/>
    <ns0:mergeCell ref="E4:F4"/>
    <ns0:mergeCell ref="G4:H4"/>
    <ns0:mergeCell ref="I4:J4"/>
    <ns0:mergeCell ref="A6:J7"/>
    <ns0:mergeCell ref="A8:J8"/>
    <ns0:mergeCell ref="A9:J9"/>
    <ns0:mergeCell ref="A1012:J1013"/>
  </ns0:mergeCells>
  <ns0:conditionalFormatting sqref="J11:J1010">
    <ns0:cfRule type="expression" dxfId="9" priority="1">
      <ns0:formula>LEFT(J11,5)="CHECK"</ns0:formula>
    </ns0:cfRule>
  </ns0:conditionalFormatting>
  <ns0:dataValidations count="7">
    <ns0:dataValidation type="list" sqref="A11:A1010" showInputMessage="1" showErrorMessage="1" errorStyle="stop" allowBlank="1" errorTitle="Check this entry" error="Choose a supported dropdown value.">
      <ns0:formula1>EmployeeChoices</ns0:formula1>
    </ns0:dataValidation>
    <ns0:dataValidation type="list" sqref="C11:C1010" showInputMessage="1" showErrorMessage="1" errorStyle="stop" allowBlank="1" errorTitle="Check this entry" error="Choose a supported dropdown value." promptTitle="Portion of this date" prompt="Full day, AM or PM. Blank means Full day. For one date, a half-day counts once; do not mix AM and PM.">
      <ns0:formula1>"Full day,AM,PM"</ns0:formula1>
    </ns0:dataValidation>
    <ns0:dataValidation type="list" sqref="E11:E1010" showInputMessage="1" showErrorMessage="1" errorStyle="stop" allowBlank="1" errorTitle="Check this entry" error="Choose a supported dropdown value." promptTitle="Portion of this date" prompt="Full day, AM or PM. Blank means Full day. For one date, a half-day counts once; do not mix AM and PM.">
      <ns0:formula1>"Full day,AM,PM"</ns0:formula1>
    </ns0:dataValidation>
    <ns0:dataValidation type="list" sqref="F11:F1010" showInputMessage="1" showErrorMessage="1" errorStyle="stop" allowBlank="1" errorTitle="Check this entry" error="Choose a supported dropdown value.">
      <ns0:formula1>LeaveTypeChoices</ns0:formula1>
    </ns0:dataValidation>
    <ns0:dataValidation type="list" sqref="G11:G1010" showInputMessage="1" showErrorMessage="1" errorStyle="stop" allowBlank="1" errorTitle="Check this entry" error="Choose a supported dropdown value.">
      <ns0:formula1>"Approved,Pending,Cancelled"</ns0:formula1>
    </ns0:dataValidation>
    <ns0:dataValidation type="custom" sqref="B11:B1010" showInputMessage="1" showErrorMessage="1" errorStyle="stop" allowBlank="1" promptTitle="Date: day first" prompt="Type 23.07.2027 or 2027-07-23, or select a date. Review confirms the dates read. Use a four-digit year." errorTitle="Check the date" error="Enter a real date such as 23.07.2027 or 2027-07-23. Review also checks pasted entries.">
      <ns0:formula1>OR(B11="",INDEX(rngBookings_B,ROW()-10)&gt;0)</ns0:formula1>
    </ns0:dataValidation>
    <ns0:dataValidation type="custom" sqref="D11:D1010" showInputMessage="1" showErrorMessage="1" errorStyle="stop" allowBlank="1" promptTitle="Date: day first" prompt="Type 23.07.2027 or 2027-07-23, or select a date. Review confirms the dates read. Use a four-digit year." errorTitle="Check the date" error="Enter a real date such as 23.07.2027 or 2027-07-23. Review also checks pasted entries.">
      <ns0:formula1>OR(D11="",INDEX(rngBookings_C,ROW()-10)&gt;0)</ns0:formula1>
    </ns0:dataValidation>
  </ns0:dataValidations>
  <ns0:pageMargins left="0.7" right="0.7" top="0.75" bottom="0.75" header="0.3" footer="0.3"/>
  <ns0:tableParts count="1">
    <ns0:tablePart ns1:id="R7a75433026b140c7"/>
  </ns0:tableParts>
</ns0:worksheet>
</file>

<file path=xl/worksheets/sheet3.xml><?xml version="1.0" encoding="utf-8"?>
<ns0:worksheet xmlns:ns0="http://schemas.openxmlformats.org/spreadsheetml/2006/main" xmlns:ns1="http://schemas.openxmlformats.org/officeDocument/2006/relationships">
  <ns0:sheetViews>
    <ns0:sheetView workbookViewId="0" showGridLines="0" zoomScale="85">
      <ns0:pane ySplit="11" topLeftCell="C12" activePane="bottomRight" state="frozen" xSplit="2"/>
      <ns0:selection pane="bottomRight" activeCell="C12" sqref="C12"/>
    </ns0:sheetView>
  </ns0:sheetViews>
  <ns0:sheetFormatPr defaultRowHeight="15"/>
  <ns0:cols>
    <ns0:col min="1" max="1" width="24" hidden="0" customWidth="1"/>
    <ns0:col min="2" max="2" width="18" hidden="0" customWidth="1"/>
    <ns0:col min="3" max="3" width="14" hidden="0" customWidth="1"/>
    <ns0:col min="4" max="4" width="12" hidden="0" customWidth="1"/>
    <ns0:col min="5" max="5" width="12" hidden="0" customWidth="1"/>
    <ns0:col min="6" max="6" width="14" hidden="0" customWidth="1"/>
    <ns0:col min="7" max="7" width="12" hidden="0" customWidth="1"/>
    <ns0:col min="8" max="8" width="16" hidden="0" customWidth="1"/>
    <ns0:col min="9" max="9" width="18" hidden="0" customWidth="1"/>
    <ns0:col min="10" max="10" width="33" hidden="0" customWidth="1"/>
  </ns0:cols>
  <ns0:sheetData>
    <ns0:row r="1" ht="26" customHeight="1">
      <ns0:c r="A1" s="7" t="str">
        <ns0:v>TimeOff.Management  /  Balances</ns0:v>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 t="str">
        <ns0:v>Reporting date · through end of</ns0:v>
      </ns0:c>
      <ns0:c r="B6" s="4"/>
      <ns0:c r="C6" s="20">
        <ns0:f>Settings!B9</ns0:f>
        <ns0:v>46582</ns0:v>
      </ns0:c>
      <ns0:c r="D6" s="90" t="str">
        <ns0:f>HYPERLINK("#'Settings'!B9","Change reporting date")</ns0:f>
        <ns0:v>Change reporting date</ns0:v>
      </ns0:c>
      <ns0:c r="E6" s="90"/>
      <ns0:c r="F6" s="52" t="str">
        <ns0:v>Pending leave is shown separately and is not deducted.</ns0:v>
      </ns0:c>
      <ns0:c r="G6" s="52"/>
      <ns0:c r="H6" s="52"/>
      <ns0:c r="I6" s="52"/>
      <ns0:c r="J6" s="52"/>
    </ns0:row>
    <ns0:row r="7" ht="22" customHeight="1">
      <ns0:c r="A7" s="4"/>
      <ns0:c r="B7" s="4"/>
      <ns0:c r="C7" s="4"/>
      <ns0:c r="D7" s="4"/>
      <ns0:c r="E7" s="4"/>
      <ns0:c r="F7" s="4"/>
      <ns0:c r="G7" s="4"/>
      <ns0:c r="H7" s="4"/>
      <ns0:c r="I7" s="4"/>
      <ns0:c r="J7" s="4"/>
    </ns0:row>
    <ns0:row r="8" ht="25" customHeight="1">
      <ns0:c r="A8" s="93" t="str">
        <ns0:f>IF('_Engine'!$B$8&gt;0,"TAKEN · INCOMPLETE","TAKEN  "&amp;TEXT(SUM('_Engine'!$AH$11:$AH$60),"0.0")&amp;" days")</ns0:f>
        <ns0:v>TAKEN  9.0 days</ns0:v>
      </ns0:c>
      <ns0:c r="B8" s="93"/>
      <ns0:c r="C8" s="93"/>
      <ns0:c r="D8" s="93" t="str">
        <ns0:f>IF('_Engine'!$B$8&gt;0,"BOOKED AHEAD · INCOMPLETE","BOOKED AHEAD  "&amp;TEXT(SUM('_Engine'!$AI$11:$AI$60),"0.0")&amp;" days")</ns0:f>
        <ns0:v>BOOKED AHEAD  10.5 days</ns0:v>
      </ns0:c>
      <ns0:c r="E8" s="93"/>
      <ns0:c r="F8" s="93"/>
      <ns0:c r="G8" s="97" t="str">
        <ns0:f>IF('_Engine'!$B$8&gt;0,"REMAINING TO BOOK · INCOMPLETE","REMAINING TO BOOK  "&amp;TEXT(SUM('_Engine'!$AN$11:$AN$60),"0.0")&amp;" days")</ns0:f>
        <ns0:v>REMAINING TO BOOK  117.5 days</ns0:v>
      </ns0:c>
      <ns0:c r="H8" s="97"/>
      <ns0:c r="I8" s="97"/>
      <ns0:c r="J8" s="97"/>
    </ns0:row>
    <ns0:row r="9" ht="25" customHeight="1">
      <ns0:c r="A9" s="93"/>
      <ns0:c r="B9" s="93"/>
      <ns0:c r="C9" s="93"/>
      <ns0:c r="D9" s="93"/>
      <ns0:c r="E9" s="93"/>
      <ns0:c r="F9" s="93"/>
      <ns0:c r="G9" s="97"/>
      <ns0:c r="H9" s="97"/>
      <ns0:c r="I9" s="97"/>
      <ns0:c r="J9" s="97"/>
    </ns0:row>
    <ns0:row r="10" ht="22" customHeight="1">
      <ns0:c r="A10" s="4"/>
      <ns0:c r="B10" s="4"/>
      <ns0:c r="C10" s="4"/>
      <ns0:c r="D10" s="4"/>
      <ns0:c r="E10" s="4"/>
      <ns0:c r="F10" s="4"/>
      <ns0:c r="G10" s="4"/>
      <ns0:c r="H10" s="4"/>
      <ns0:c r="I10" s="4"/>
      <ns0:c r="J10" s="4"/>
    </ns0:row>
    <ns0:row r="11" ht="36" customHeight="1">
      <ns0:c r="A11" s="17" t="str">
        <ns0:v>Employee</ns0:v>
      </ns0:c>
      <ns0:c r="B11" s="17" t="str">
        <ns0:v>Team</ns0:v>
      </ns0:c>
      <ns0:c r="C11" s="17" t="str">
        <ns0:v>Bookable
allowance</ns0:v>
      </ns0:c>
      <ns0:c r="D11" s="17" t="str">
        <ns0:v>Adjustment</ns0:v>
      </ns0:c>
      <ns0:c r="E11" s="17" t="str">
        <ns0:v>Taken</ns0:v>
      </ns0:c>
      <ns0:c r="F11" s="17" t="str">
        <ns0:v>Booked
ahead</ns0:v>
      </ns0:c>
      <ns0:c r="G11" s="17" t="str">
        <ns0:v>Pending</ns0:v>
      </ns0:c>
      <ns0:c r="H11" s="17" t="str">
        <ns0:v>Remaining
to book</ns0:v>
      </ns0:c>
      <ns0:c r="I11" s="17" t="str">
        <ns0:v>Other approved
(non-deducting)</ns0:v>
      </ns0:c>
      <ns0:c r="J11" s="17" t="str">
        <ns0:v>Review</ns0:v>
      </ns0:c>
    </ns0:row>
    <ns0:row r="12" ht="29" customHeight="1">
      <ns0:c r="A12" s="4" t="str">
        <ns0:f>IF('_Engine'!X11=0,"",IF(Team!B11="","[Unnamed] "&amp;Team!A11,Team!B11))</ns0:f>
        <ns0:v>Alex Morgan</ns0:v>
      </ns0:c>
      <ns0:c r="B12" s="4" t="str">
        <ns0:f>IF('_Engine'!X11=0,"",Team!C11)</ns0:f>
        <ns0:v>Product</ns0:v>
      </ns0:c>
      <ns0:c r="C12" s="100">
        <ns0:f>IF('_Engine'!X11=0,"",IF('_Engine'!AA11&gt;0,"REVIEW",Team!F11))</ns0:f>
        <ns0:v>25</ns0:v>
      </ns0:c>
      <ns0:c r="D12" s="100">
        <ns0:f>IF('_Engine'!X11=0,"",IF('_Engine'!AA11&gt;0,"REVIEW",Team!G11))</ns0:f>
        <ns0:v>0</ns0:v>
      </ns0:c>
      <ns0:c r="E12" s="100">
        <ns0:f>IF('_Engine'!X11=0,"",IF(OR('_Engine'!$B$6&gt;0,'_Engine'!AM11&lt;&gt;"OK"),"REVIEW",'_Engine'!AH11))</ns0:f>
        <ns0:v>8</ns0:v>
      </ns0:c>
      <ns0:c r="F12" s="100">
        <ns0:f>IF('_Engine'!X11=0,"",IF(OR('_Engine'!$B$6&gt;0,'_Engine'!AM11&lt;&gt;"OK"),"REVIEW",'_Engine'!AI11))</ns0:f>
        <ns0:v>2</ns0:v>
      </ns0:c>
      <ns0:c r="G12" s="100">
        <ns0:f>IF('_Engine'!X11=0,"",IF(OR('_Engine'!$B$6&gt;0,'_Engine'!AM11&lt;&gt;"OK"),"REVIEW",'_Engine'!AJ11))</ns0:f>
        <ns0:v>0</ns0:v>
      </ns0:c>
      <ns0:c r="H12" s="102">
        <ns0:f>IF('_Engine'!X11=0,"",IF(OR('_Engine'!$B$6&gt;0,'_Engine'!AM11&lt;&gt;"OK"),"REVIEW",'_Engine'!AN11))</ns0:f>
        <ns0:v>15</ns0:v>
      </ns0:c>
      <ns0:c r="I12" s="100">
        <ns0:f>IF('_Engine'!X11=0,"",IF(OR('_Engine'!$B$6&gt;0,'_Engine'!AM11&lt;&gt;"OK"),"REVIEW",'_Engine'!AK11))</ns0:f>
        <ns0:v>0</ns0:v>
      </ns0:c>
      <ns0:c r="J12" s="4" t="str">
        <ns0:f>IF('_Engine'!X11=0,"",IF('_Engine'!$B$6&gt;0,"CHECK shared settings",'_Engine'!AM11))</ns0:f>
        <ns0:v>OK</ns0:v>
      </ns0:c>
    </ns0:row>
    <ns0:row r="13" ht="29" customHeight="1">
      <ns0:c r="A13" s="4" t="str">
        <ns0:f>IF('_Engine'!X12=0,"",IF(Team!B12="","[Unnamed] "&amp;Team!A12,Team!B12))</ns0:f>
        <ns0:v>Helen Stone</ns0:v>
      </ns0:c>
      <ns0:c r="B13" s="4" t="str">
        <ns0:f>IF('_Engine'!X12=0,"",Team!C12)</ns0:f>
        <ns0:v>Operations</ns0:v>
      </ns0:c>
      <ns0:c r="C13" s="100">
        <ns0:f>IF('_Engine'!X12=0,"",IF('_Engine'!AA12&gt;0,"REVIEW",Team!F12))</ns0:f>
        <ns0:v>25</ns0:v>
      </ns0:c>
      <ns0:c r="D13" s="100">
        <ns0:f>IF('_Engine'!X12=0,"",IF('_Engine'!AA12&gt;0,"REVIEW",Team!G12))</ns0:f>
        <ns0:v>2</ns0:v>
      </ns0:c>
      <ns0:c r="E13" s="100">
        <ns0:f>IF('_Engine'!X12=0,"",IF(OR('_Engine'!$B$6&gt;0,'_Engine'!AM12&lt;&gt;"OK"),"REVIEW",'_Engine'!AH12))</ns0:f>
        <ns0:v>0.5</ns0:v>
      </ns0:c>
      <ns0:c r="F13" s="100">
        <ns0:f>IF('_Engine'!X12=0,"",IF(OR('_Engine'!$B$6&gt;0,'_Engine'!AM12&lt;&gt;"OK"),"REVIEW",'_Engine'!AI12))</ns0:f>
        <ns0:v>2</ns0:v>
      </ns0:c>
      <ns0:c r="G13" s="100">
        <ns0:f>IF('_Engine'!X12=0,"",IF(OR('_Engine'!$B$6&gt;0,'_Engine'!AM12&lt;&gt;"OK"),"REVIEW",'_Engine'!AJ12))</ns0:f>
        <ns0:v>0</ns0:v>
      </ns0:c>
      <ns0:c r="H13" s="102">
        <ns0:f>IF('_Engine'!X12=0,"",IF(OR('_Engine'!$B$6&gt;0,'_Engine'!AM12&lt;&gt;"OK"),"REVIEW",'_Engine'!AN12))</ns0:f>
        <ns0:v>24.5</ns0:v>
      </ns0:c>
      <ns0:c r="I13" s="100">
        <ns0:f>IF('_Engine'!X12=0,"",IF(OR('_Engine'!$B$6&gt;0,'_Engine'!AM12&lt;&gt;"OK"),"REVIEW",'_Engine'!AK12))</ns0:f>
        <ns0:v>1</ns0:v>
      </ns0:c>
      <ns0:c r="J13" s="4" t="str">
        <ns0:f>IF('_Engine'!X12=0,"",IF('_Engine'!$B$6&gt;0,"CHECK shared settings",'_Engine'!AM12))</ns0:f>
        <ns0:v>OK</ns0:v>
      </ns0:c>
    </ns0:row>
    <ns0:row r="14" ht="29" customHeight="1">
      <ns0:c r="A14" s="4" t="str">
        <ns0:f>IF('_Engine'!X13=0,"",IF(Team!B13="","[Unnamed] "&amp;Team!A13,Team!B13))</ns0:f>
        <ns0:v>Sam Patel</ns0:v>
      </ns0:c>
      <ns0:c r="B14" s="4" t="str">
        <ns0:f>IF('_Engine'!X13=0,"",Team!C13)</ns0:f>
        <ns0:v>Product</ns0:v>
      </ns0:c>
      <ns0:c r="C14" s="100">
        <ns0:f>IF('_Engine'!X13=0,"",IF('_Engine'!AA13&gt;0,"REVIEW",Team!F13))</ns0:f>
        <ns0:v>15</ns0:v>
      </ns0:c>
      <ns0:c r="D14" s="100">
        <ns0:f>IF('_Engine'!X13=0,"",IF('_Engine'!AA13&gt;0,"REVIEW",Team!G13))</ns0:f>
        <ns0:v>0</ns0:v>
      </ns0:c>
      <ns0:c r="E14" s="100">
        <ns0:f>IF('_Engine'!X13=0,"",IF(OR('_Engine'!$B$6&gt;0,'_Engine'!AM13&lt;&gt;"OK"),"REVIEW",'_Engine'!AH13))</ns0:f>
        <ns0:v>0</ns0:v>
      </ns0:c>
      <ns0:c r="F14" s="100">
        <ns0:f>IF('_Engine'!X13=0,"",IF(OR('_Engine'!$B$6&gt;0,'_Engine'!AM13&lt;&gt;"OK"),"REVIEW",'_Engine'!AI13))</ns0:f>
        <ns0:v>3</ns0:v>
      </ns0:c>
      <ns0:c r="G14" s="100">
        <ns0:f>IF('_Engine'!X13=0,"",IF(OR('_Engine'!$B$6&gt;0,'_Engine'!AM13&lt;&gt;"OK"),"REVIEW",'_Engine'!AJ13))</ns0:f>
        <ns0:v>3</ns0:v>
      </ns0:c>
      <ns0:c r="H14" s="102">
        <ns0:f>IF('_Engine'!X13=0,"",IF(OR('_Engine'!$B$6&gt;0,'_Engine'!AM13&lt;&gt;"OK"),"REVIEW",'_Engine'!AN13))</ns0:f>
        <ns0:v>12</ns0:v>
      </ns0:c>
      <ns0:c r="I14" s="100">
        <ns0:f>IF('_Engine'!X13=0,"",IF(OR('_Engine'!$B$6&gt;0,'_Engine'!AM13&lt;&gt;"OK"),"REVIEW",'_Engine'!AK13))</ns0:f>
        <ns0:v>0</ns0:v>
      </ns0:c>
      <ns0:c r="J14" s="4" t="str">
        <ns0:f>IF('_Engine'!X13=0,"",IF('_Engine'!$B$6&gt;0,"CHECK shared settings",'_Engine'!AM13))</ns0:f>
        <ns0:v>OK</ns0:v>
      </ns0:c>
    </ns0:row>
    <ns0:row r="15" ht="29" customHeight="1">
      <ns0:c r="A15" s="4" t="str">
        <ns0:f>IF('_Engine'!X14=0,"",IF(Team!B14="","[Unnamed] "&amp;Team!A14,Team!B14))</ns0:f>
        <ns0:v>Jordan Lee</ns0:v>
      </ns0:c>
      <ns0:c r="B15" s="4" t="str">
        <ns0:f>IF('_Engine'!X14=0,"",Team!C14)</ns0:f>
        <ns0:v>Operations</ns0:v>
      </ns0:c>
      <ns0:c r="C15" s="100">
        <ns0:f>IF('_Engine'!X14=0,"",IF('_Engine'!AA14&gt;0,"REVIEW",Team!F14))</ns0:f>
        <ns0:v>25</ns0:v>
      </ns0:c>
      <ns0:c r="D15" s="100">
        <ns0:f>IF('_Engine'!X14=0,"",IF('_Engine'!AA14&gt;0,"REVIEW",Team!G14))</ns0:f>
        <ns0:v>0</ns0:v>
      </ns0:c>
      <ns0:c r="E15" s="100">
        <ns0:f>IF('_Engine'!X14=0,"",IF(OR('_Engine'!$B$6&gt;0,'_Engine'!AM14&lt;&gt;"OK"),"REVIEW",'_Engine'!AH14))</ns0:f>
        <ns0:v>0.5</ns0:v>
      </ns0:c>
      <ns0:c r="F15" s="100">
        <ns0:f>IF('_Engine'!X14=0,"",IF(OR('_Engine'!$B$6&gt;0,'_Engine'!AM14&lt;&gt;"OK"),"REVIEW",'_Engine'!AI14))</ns0:f>
        <ns0:v>3</ns0:v>
      </ns0:c>
      <ns0:c r="G15" s="100">
        <ns0:f>IF('_Engine'!X14=0,"",IF(OR('_Engine'!$B$6&gt;0,'_Engine'!AM14&lt;&gt;"OK"),"REVIEW",'_Engine'!AJ14))</ns0:f>
        <ns0:v>0</ns0:v>
      </ns0:c>
      <ns0:c r="H15" s="102">
        <ns0:f>IF('_Engine'!X14=0,"",IF(OR('_Engine'!$B$6&gt;0,'_Engine'!AM14&lt;&gt;"OK"),"REVIEW",'_Engine'!AN14))</ns0:f>
        <ns0:v>21.5</ns0:v>
      </ns0:c>
      <ns0:c r="I15" s="100">
        <ns0:f>IF('_Engine'!X14=0,"",IF(OR('_Engine'!$B$6&gt;0,'_Engine'!AM14&lt;&gt;"OK"),"REVIEW",'_Engine'!AK14))</ns0:f>
        <ns0:v>0.5</ns0:v>
      </ns0:c>
      <ns0:c r="J15" s="4" t="str">
        <ns0:f>IF('_Engine'!X14=0,"",IF('_Engine'!$B$6&gt;0,"CHECK shared settings",'_Engine'!AM14))</ns0:f>
        <ns0:v>OK</ns0:v>
      </ns0:c>
    </ns0:row>
    <ns0:row r="16" ht="29" customHeight="1">
      <ns0:c r="A16" s="4" t="str">
        <ns0:f>IF('_Engine'!X15=0,"",IF(Team!B15="","[Unnamed] "&amp;Team!A15,Team!B15))</ns0:f>
        <ns0:v>Casey Taylor</ns0:v>
      </ns0:c>
      <ns0:c r="B16" s="4" t="str">
        <ns0:f>IF('_Engine'!X15=0,"",Team!C15)</ns0:f>
        <ns0:v>Product</ns0:v>
      </ns0:c>
      <ns0:c r="C16" s="100">
        <ns0:f>IF('_Engine'!X15=0,"",IF('_Engine'!AA15&gt;0,"REVIEW",Team!F15))</ns0:f>
        <ns0:v>25</ns0:v>
      </ns0:c>
      <ns0:c r="D16" s="100">
        <ns0:f>IF('_Engine'!X15=0,"",IF('_Engine'!AA15&gt;0,"REVIEW",Team!G15))</ns0:f>
        <ns0:v>0</ns0:v>
      </ns0:c>
      <ns0:c r="E16" s="100">
        <ns0:f>IF('_Engine'!X15=0,"",IF(OR('_Engine'!$B$6&gt;0,'_Engine'!AM15&lt;&gt;"OK"),"REVIEW",'_Engine'!AH15))</ns0:f>
        <ns0:v>0</ns0:v>
      </ns0:c>
      <ns0:c r="F16" s="100">
        <ns0:f>IF('_Engine'!X15=0,"",IF(OR('_Engine'!$B$6&gt;0,'_Engine'!AM15&lt;&gt;"OK"),"REVIEW",'_Engine'!AI15))</ns0:f>
        <ns0:v>0</ns0:v>
      </ns0:c>
      <ns0:c r="G16" s="100">
        <ns0:f>IF('_Engine'!X15=0,"",IF(OR('_Engine'!$B$6&gt;0,'_Engine'!AM15&lt;&gt;"OK"),"REVIEW",'_Engine'!AJ15))</ns0:f>
        <ns0:v>5</ns0:v>
      </ns0:c>
      <ns0:c r="H16" s="102">
        <ns0:f>IF('_Engine'!X15=0,"",IF(OR('_Engine'!$B$6&gt;0,'_Engine'!AM15&lt;&gt;"OK"),"REVIEW",'_Engine'!AN15))</ns0:f>
        <ns0:v>25</ns0:v>
      </ns0:c>
      <ns0:c r="I16" s="100">
        <ns0:f>IF('_Engine'!X15=0,"",IF(OR('_Engine'!$B$6&gt;0,'_Engine'!AM15&lt;&gt;"OK"),"REVIEW",'_Engine'!AK15))</ns0:f>
        <ns0:v>1</ns0:v>
      </ns0:c>
      <ns0:c r="J16" s="4" t="str">
        <ns0:f>IF('_Engine'!X15=0,"",IF('_Engine'!$B$6&gt;0,"CHECK shared settings",'_Engine'!AM15))</ns0:f>
        <ns0:v>OK</ns0:v>
      </ns0:c>
    </ns0:row>
    <ns0:row r="17" ht="29" customHeight="1">
      <ns0:c r="A17" s="4" t="str">
        <ns0:f>IF('_Engine'!X16=0,"",IF(Team!B16="","[Unnamed] "&amp;Team!A16,Team!B16))</ns0:f>
        <ns0:v>Riley Chen</ns0:v>
      </ns0:c>
      <ns0:c r="B17" s="4" t="str">
        <ns0:f>IF('_Engine'!X16=0,"",Team!C16)</ns0:f>
        <ns0:v>Operations</ns0:v>
      </ns0:c>
      <ns0:c r="C17" s="100">
        <ns0:f>IF('_Engine'!X16=0,"",IF('_Engine'!AA16&gt;0,"REVIEW",Team!F16))</ns0:f>
        <ns0:v>20</ns0:v>
      </ns0:c>
      <ns0:c r="D17" s="100">
        <ns0:f>IF('_Engine'!X16=0,"",IF('_Engine'!AA16&gt;0,"REVIEW",Team!G16))</ns0:f>
        <ns0:v>0</ns0:v>
      </ns0:c>
      <ns0:c r="E17" s="100">
        <ns0:f>IF('_Engine'!X16=0,"",IF(OR('_Engine'!$B$6&gt;0,'_Engine'!AM16&lt;&gt;"OK"),"REVIEW",'_Engine'!AH16))</ns0:f>
        <ns0:v>0</ns0:v>
      </ns0:c>
      <ns0:c r="F17" s="100">
        <ns0:f>IF('_Engine'!X16=0,"",IF(OR('_Engine'!$B$6&gt;0,'_Engine'!AM16&lt;&gt;"OK"),"REVIEW",'_Engine'!AI16))</ns0:f>
        <ns0:v>0.5</ns0:v>
      </ns0:c>
      <ns0:c r="G17" s="100">
        <ns0:f>IF('_Engine'!X16=0,"",IF(OR('_Engine'!$B$6&gt;0,'_Engine'!AM16&lt;&gt;"OK"),"REVIEW",'_Engine'!AJ16))</ns0:f>
        <ns0:v>0.5</ns0:v>
      </ns0:c>
      <ns0:c r="H17" s="102">
        <ns0:f>IF('_Engine'!X16=0,"",IF(OR('_Engine'!$B$6&gt;0,'_Engine'!AM16&lt;&gt;"OK"),"REVIEW",'_Engine'!AN16))</ns0:f>
        <ns0:v>19.5</ns0:v>
      </ns0:c>
      <ns0:c r="I17" s="100">
        <ns0:f>IF('_Engine'!X16=0,"",IF(OR('_Engine'!$B$6&gt;0,'_Engine'!AM16&lt;&gt;"OK"),"REVIEW",'_Engine'!AK16))</ns0:f>
        <ns0:v>3</ns0:v>
      </ns0:c>
      <ns0:c r="J17" s="4" t="str">
        <ns0:f>IF('_Engine'!X16=0,"",IF('_Engine'!$B$6&gt;0,"CHECK shared settings",'_Engine'!AM16))</ns0:f>
        <ns0:v>OK</ns0:v>
      </ns0:c>
    </ns0:row>
    <ns0:row r="18" ht="29" customHeight="1">
      <ns0:c r="A18" s="4" t="str">
        <ns0:f>IF('_Engine'!X17=0,"",IF(Team!B17="","[Unnamed] "&amp;Team!A17,Team!B17))</ns0:f>
        <ns0:v/>
      </ns0:c>
      <ns0:c r="B18" s="4" t="str">
        <ns0:f>IF('_Engine'!X17=0,"",Team!C17)</ns0:f>
        <ns0:v/>
      </ns0:c>
      <ns0:c r="C18" s="100" t="str">
        <ns0:f>IF('_Engine'!X17=0,"",IF('_Engine'!AA17&gt;0,"REVIEW",Team!F17))</ns0:f>
        <ns0:v/>
      </ns0:c>
      <ns0:c r="D18" s="100" t="str">
        <ns0:f>IF('_Engine'!X17=0,"",IF('_Engine'!AA17&gt;0,"REVIEW",Team!G17))</ns0:f>
        <ns0:v/>
      </ns0:c>
      <ns0:c r="E18" s="100" t="str">
        <ns0:f>IF('_Engine'!X17=0,"",IF(OR('_Engine'!$B$6&gt;0,'_Engine'!AM17&lt;&gt;"OK"),"REVIEW",'_Engine'!AH17))</ns0:f>
        <ns0:v/>
      </ns0:c>
      <ns0:c r="F18" s="100" t="str">
        <ns0:f>IF('_Engine'!X17=0,"",IF(OR('_Engine'!$B$6&gt;0,'_Engine'!AM17&lt;&gt;"OK"),"REVIEW",'_Engine'!AI17))</ns0:f>
        <ns0:v/>
      </ns0:c>
      <ns0:c r="G18" s="100" t="str">
        <ns0:f>IF('_Engine'!X17=0,"",IF(OR('_Engine'!$B$6&gt;0,'_Engine'!AM17&lt;&gt;"OK"),"REVIEW",'_Engine'!AJ17))</ns0:f>
        <ns0:v/>
      </ns0:c>
      <ns0:c r="H18" s="102" t="str">
        <ns0:f>IF('_Engine'!X17=0,"",IF(OR('_Engine'!$B$6&gt;0,'_Engine'!AM17&lt;&gt;"OK"),"REVIEW",'_Engine'!AN17))</ns0:f>
        <ns0:v/>
      </ns0:c>
      <ns0:c r="I18" s="100" t="str">
        <ns0:f>IF('_Engine'!X17=0,"",IF(OR('_Engine'!$B$6&gt;0,'_Engine'!AM17&lt;&gt;"OK"),"REVIEW",'_Engine'!AK17))</ns0:f>
        <ns0:v/>
      </ns0:c>
      <ns0:c r="J18" s="4" t="str">
        <ns0:f>IF('_Engine'!X17=0,"",IF('_Engine'!$B$6&gt;0,"CHECK shared settings",'_Engine'!AM17))</ns0:f>
        <ns0:v/>
      </ns0:c>
    </ns0:row>
    <ns0:row r="19" ht="29" customHeight="1">
      <ns0:c r="A19" s="4" t="str">
        <ns0:f>IF('_Engine'!X18=0,"",IF(Team!B18="","[Unnamed] "&amp;Team!A18,Team!B18))</ns0:f>
        <ns0:v/>
      </ns0:c>
      <ns0:c r="B19" s="4" t="str">
        <ns0:f>IF('_Engine'!X18=0,"",Team!C18)</ns0:f>
        <ns0:v/>
      </ns0:c>
      <ns0:c r="C19" s="100" t="str">
        <ns0:f>IF('_Engine'!X18=0,"",IF('_Engine'!AA18&gt;0,"REVIEW",Team!F18))</ns0:f>
        <ns0:v/>
      </ns0:c>
      <ns0:c r="D19" s="100" t="str">
        <ns0:f>IF('_Engine'!X18=0,"",IF('_Engine'!AA18&gt;0,"REVIEW",Team!G18))</ns0:f>
        <ns0:v/>
      </ns0:c>
      <ns0:c r="E19" s="100" t="str">
        <ns0:f>IF('_Engine'!X18=0,"",IF(OR('_Engine'!$B$6&gt;0,'_Engine'!AM18&lt;&gt;"OK"),"REVIEW",'_Engine'!AH18))</ns0:f>
        <ns0:v/>
      </ns0:c>
      <ns0:c r="F19" s="100" t="str">
        <ns0:f>IF('_Engine'!X18=0,"",IF(OR('_Engine'!$B$6&gt;0,'_Engine'!AM18&lt;&gt;"OK"),"REVIEW",'_Engine'!AI18))</ns0:f>
        <ns0:v/>
      </ns0:c>
      <ns0:c r="G19" s="100" t="str">
        <ns0:f>IF('_Engine'!X18=0,"",IF(OR('_Engine'!$B$6&gt;0,'_Engine'!AM18&lt;&gt;"OK"),"REVIEW",'_Engine'!AJ18))</ns0:f>
        <ns0:v/>
      </ns0:c>
      <ns0:c r="H19" s="102" t="str">
        <ns0:f>IF('_Engine'!X18=0,"",IF(OR('_Engine'!$B$6&gt;0,'_Engine'!AM18&lt;&gt;"OK"),"REVIEW",'_Engine'!AN18))</ns0:f>
        <ns0:v/>
      </ns0:c>
      <ns0:c r="I19" s="100" t="str">
        <ns0:f>IF('_Engine'!X18=0,"",IF(OR('_Engine'!$B$6&gt;0,'_Engine'!AM18&lt;&gt;"OK"),"REVIEW",'_Engine'!AK18))</ns0:f>
        <ns0:v/>
      </ns0:c>
      <ns0:c r="J19" s="4" t="str">
        <ns0:f>IF('_Engine'!X18=0,"",IF('_Engine'!$B$6&gt;0,"CHECK shared settings",'_Engine'!AM18))</ns0:f>
        <ns0:v/>
      </ns0:c>
    </ns0:row>
    <ns0:row r="20" ht="29" customHeight="1">
      <ns0:c r="A20" s="4" t="str">
        <ns0:f>IF('_Engine'!X19=0,"",IF(Team!B19="","[Unnamed] "&amp;Team!A19,Team!B19))</ns0:f>
        <ns0:v/>
      </ns0:c>
      <ns0:c r="B20" s="4" t="str">
        <ns0:f>IF('_Engine'!X19=0,"",Team!C19)</ns0:f>
        <ns0:v/>
      </ns0:c>
      <ns0:c r="C20" s="100" t="str">
        <ns0:f>IF('_Engine'!X19=0,"",IF('_Engine'!AA19&gt;0,"REVIEW",Team!F19))</ns0:f>
        <ns0:v/>
      </ns0:c>
      <ns0:c r="D20" s="100" t="str">
        <ns0:f>IF('_Engine'!X19=0,"",IF('_Engine'!AA19&gt;0,"REVIEW",Team!G19))</ns0:f>
        <ns0:v/>
      </ns0:c>
      <ns0:c r="E20" s="100" t="str">
        <ns0:f>IF('_Engine'!X19=0,"",IF(OR('_Engine'!$B$6&gt;0,'_Engine'!AM19&lt;&gt;"OK"),"REVIEW",'_Engine'!AH19))</ns0:f>
        <ns0:v/>
      </ns0:c>
      <ns0:c r="F20" s="100" t="str">
        <ns0:f>IF('_Engine'!X19=0,"",IF(OR('_Engine'!$B$6&gt;0,'_Engine'!AM19&lt;&gt;"OK"),"REVIEW",'_Engine'!AI19))</ns0:f>
        <ns0:v/>
      </ns0:c>
      <ns0:c r="G20" s="100" t="str">
        <ns0:f>IF('_Engine'!X19=0,"",IF(OR('_Engine'!$B$6&gt;0,'_Engine'!AM19&lt;&gt;"OK"),"REVIEW",'_Engine'!AJ19))</ns0:f>
        <ns0:v/>
      </ns0:c>
      <ns0:c r="H20" s="102" t="str">
        <ns0:f>IF('_Engine'!X19=0,"",IF(OR('_Engine'!$B$6&gt;0,'_Engine'!AM19&lt;&gt;"OK"),"REVIEW",'_Engine'!AN19))</ns0:f>
        <ns0:v/>
      </ns0:c>
      <ns0:c r="I20" s="100" t="str">
        <ns0:f>IF('_Engine'!X19=0,"",IF(OR('_Engine'!$B$6&gt;0,'_Engine'!AM19&lt;&gt;"OK"),"REVIEW",'_Engine'!AK19))</ns0:f>
        <ns0:v/>
      </ns0:c>
      <ns0:c r="J20" s="4" t="str">
        <ns0:f>IF('_Engine'!X19=0,"",IF('_Engine'!$B$6&gt;0,"CHECK shared settings",'_Engine'!AM19))</ns0:f>
        <ns0:v/>
      </ns0:c>
    </ns0:row>
    <ns0:row r="21" ht="29" customHeight="1">
      <ns0:c r="A21" s="4" t="str">
        <ns0:f>IF('_Engine'!X20=0,"",IF(Team!B20="","[Unnamed] "&amp;Team!A20,Team!B20))</ns0:f>
        <ns0:v/>
      </ns0:c>
      <ns0:c r="B21" s="4" t="str">
        <ns0:f>IF('_Engine'!X20=0,"",Team!C20)</ns0:f>
        <ns0:v/>
      </ns0:c>
      <ns0:c r="C21" s="100" t="str">
        <ns0:f>IF('_Engine'!X20=0,"",IF('_Engine'!AA20&gt;0,"REVIEW",Team!F20))</ns0:f>
        <ns0:v/>
      </ns0:c>
      <ns0:c r="D21" s="100" t="str">
        <ns0:f>IF('_Engine'!X20=0,"",IF('_Engine'!AA20&gt;0,"REVIEW",Team!G20))</ns0:f>
        <ns0:v/>
      </ns0:c>
      <ns0:c r="E21" s="100" t="str">
        <ns0:f>IF('_Engine'!X20=0,"",IF(OR('_Engine'!$B$6&gt;0,'_Engine'!AM20&lt;&gt;"OK"),"REVIEW",'_Engine'!AH20))</ns0:f>
        <ns0:v/>
      </ns0:c>
      <ns0:c r="F21" s="100" t="str">
        <ns0:f>IF('_Engine'!X20=0,"",IF(OR('_Engine'!$B$6&gt;0,'_Engine'!AM20&lt;&gt;"OK"),"REVIEW",'_Engine'!AI20))</ns0:f>
        <ns0:v/>
      </ns0:c>
      <ns0:c r="G21" s="100" t="str">
        <ns0:f>IF('_Engine'!X20=0,"",IF(OR('_Engine'!$B$6&gt;0,'_Engine'!AM20&lt;&gt;"OK"),"REVIEW",'_Engine'!AJ20))</ns0:f>
        <ns0:v/>
      </ns0:c>
      <ns0:c r="H21" s="102" t="str">
        <ns0:f>IF('_Engine'!X20=0,"",IF(OR('_Engine'!$B$6&gt;0,'_Engine'!AM20&lt;&gt;"OK"),"REVIEW",'_Engine'!AN20))</ns0:f>
        <ns0:v/>
      </ns0:c>
      <ns0:c r="I21" s="100" t="str">
        <ns0:f>IF('_Engine'!X20=0,"",IF(OR('_Engine'!$B$6&gt;0,'_Engine'!AM20&lt;&gt;"OK"),"REVIEW",'_Engine'!AK20))</ns0:f>
        <ns0:v/>
      </ns0:c>
      <ns0:c r="J21" s="4" t="str">
        <ns0:f>IF('_Engine'!X20=0,"",IF('_Engine'!$B$6&gt;0,"CHECK shared settings",'_Engine'!AM20))</ns0:f>
        <ns0:v/>
      </ns0:c>
    </ns0:row>
    <ns0:row r="22" ht="29" customHeight="1">
      <ns0:c r="A22" s="4" t="str">
        <ns0:f>IF('_Engine'!X21=0,"",IF(Team!B21="","[Unnamed] "&amp;Team!A21,Team!B21))</ns0:f>
        <ns0:v/>
      </ns0:c>
      <ns0:c r="B22" s="4" t="str">
        <ns0:f>IF('_Engine'!X21=0,"",Team!C21)</ns0:f>
        <ns0:v/>
      </ns0:c>
      <ns0:c r="C22" s="100" t="str">
        <ns0:f>IF('_Engine'!X21=0,"",IF('_Engine'!AA21&gt;0,"REVIEW",Team!F21))</ns0:f>
        <ns0:v/>
      </ns0:c>
      <ns0:c r="D22" s="100" t="str">
        <ns0:f>IF('_Engine'!X21=0,"",IF('_Engine'!AA21&gt;0,"REVIEW",Team!G21))</ns0:f>
        <ns0:v/>
      </ns0:c>
      <ns0:c r="E22" s="100" t="str">
        <ns0:f>IF('_Engine'!X21=0,"",IF(OR('_Engine'!$B$6&gt;0,'_Engine'!AM21&lt;&gt;"OK"),"REVIEW",'_Engine'!AH21))</ns0:f>
        <ns0:v/>
      </ns0:c>
      <ns0:c r="F22" s="100" t="str">
        <ns0:f>IF('_Engine'!X21=0,"",IF(OR('_Engine'!$B$6&gt;0,'_Engine'!AM21&lt;&gt;"OK"),"REVIEW",'_Engine'!AI21))</ns0:f>
        <ns0:v/>
      </ns0:c>
      <ns0:c r="G22" s="100" t="str">
        <ns0:f>IF('_Engine'!X21=0,"",IF(OR('_Engine'!$B$6&gt;0,'_Engine'!AM21&lt;&gt;"OK"),"REVIEW",'_Engine'!AJ21))</ns0:f>
        <ns0:v/>
      </ns0:c>
      <ns0:c r="H22" s="102" t="str">
        <ns0:f>IF('_Engine'!X21=0,"",IF(OR('_Engine'!$B$6&gt;0,'_Engine'!AM21&lt;&gt;"OK"),"REVIEW",'_Engine'!AN21))</ns0:f>
        <ns0:v/>
      </ns0:c>
      <ns0:c r="I22" s="100" t="str">
        <ns0:f>IF('_Engine'!X21=0,"",IF(OR('_Engine'!$B$6&gt;0,'_Engine'!AM21&lt;&gt;"OK"),"REVIEW",'_Engine'!AK21))</ns0:f>
        <ns0:v/>
      </ns0:c>
      <ns0:c r="J22" s="4" t="str">
        <ns0:f>IF('_Engine'!X21=0,"",IF('_Engine'!$B$6&gt;0,"CHECK shared settings",'_Engine'!AM21))</ns0:f>
        <ns0:v/>
      </ns0:c>
    </ns0:row>
    <ns0:row r="23" ht="29" customHeight="1">
      <ns0:c r="A23" s="4" t="str">
        <ns0:f>IF('_Engine'!X22=0,"",IF(Team!B22="","[Unnamed] "&amp;Team!A22,Team!B22))</ns0:f>
        <ns0:v/>
      </ns0:c>
      <ns0:c r="B23" s="4" t="str">
        <ns0:f>IF('_Engine'!X22=0,"",Team!C22)</ns0:f>
        <ns0:v/>
      </ns0:c>
      <ns0:c r="C23" s="100" t="str">
        <ns0:f>IF('_Engine'!X22=0,"",IF('_Engine'!AA22&gt;0,"REVIEW",Team!F22))</ns0:f>
        <ns0:v/>
      </ns0:c>
      <ns0:c r="D23" s="100" t="str">
        <ns0:f>IF('_Engine'!X22=0,"",IF('_Engine'!AA22&gt;0,"REVIEW",Team!G22))</ns0:f>
        <ns0:v/>
      </ns0:c>
      <ns0:c r="E23" s="100" t="str">
        <ns0:f>IF('_Engine'!X22=0,"",IF(OR('_Engine'!$B$6&gt;0,'_Engine'!AM22&lt;&gt;"OK"),"REVIEW",'_Engine'!AH22))</ns0:f>
        <ns0:v/>
      </ns0:c>
      <ns0:c r="F23" s="100" t="str">
        <ns0:f>IF('_Engine'!X22=0,"",IF(OR('_Engine'!$B$6&gt;0,'_Engine'!AM22&lt;&gt;"OK"),"REVIEW",'_Engine'!AI22))</ns0:f>
        <ns0:v/>
      </ns0:c>
      <ns0:c r="G23" s="100" t="str">
        <ns0:f>IF('_Engine'!X22=0,"",IF(OR('_Engine'!$B$6&gt;0,'_Engine'!AM22&lt;&gt;"OK"),"REVIEW",'_Engine'!AJ22))</ns0:f>
        <ns0:v/>
      </ns0:c>
      <ns0:c r="H23" s="102" t="str">
        <ns0:f>IF('_Engine'!X22=0,"",IF(OR('_Engine'!$B$6&gt;0,'_Engine'!AM22&lt;&gt;"OK"),"REVIEW",'_Engine'!AN22))</ns0:f>
        <ns0:v/>
      </ns0:c>
      <ns0:c r="I23" s="100" t="str">
        <ns0:f>IF('_Engine'!X22=0,"",IF(OR('_Engine'!$B$6&gt;0,'_Engine'!AM22&lt;&gt;"OK"),"REVIEW",'_Engine'!AK22))</ns0:f>
        <ns0:v/>
      </ns0:c>
      <ns0:c r="J23" s="4" t="str">
        <ns0:f>IF('_Engine'!X22=0,"",IF('_Engine'!$B$6&gt;0,"CHECK shared settings",'_Engine'!AM22))</ns0:f>
        <ns0:v/>
      </ns0:c>
    </ns0:row>
    <ns0:row r="24" ht="29" customHeight="1">
      <ns0:c r="A24" s="4" t="str">
        <ns0:f>IF('_Engine'!X23=0,"",IF(Team!B23="","[Unnamed] "&amp;Team!A23,Team!B23))</ns0:f>
        <ns0:v/>
      </ns0:c>
      <ns0:c r="B24" s="4" t="str">
        <ns0:f>IF('_Engine'!X23=0,"",Team!C23)</ns0:f>
        <ns0:v/>
      </ns0:c>
      <ns0:c r="C24" s="100" t="str">
        <ns0:f>IF('_Engine'!X23=0,"",IF('_Engine'!AA23&gt;0,"REVIEW",Team!F23))</ns0:f>
        <ns0:v/>
      </ns0:c>
      <ns0:c r="D24" s="100" t="str">
        <ns0:f>IF('_Engine'!X23=0,"",IF('_Engine'!AA23&gt;0,"REVIEW",Team!G23))</ns0:f>
        <ns0:v/>
      </ns0:c>
      <ns0:c r="E24" s="100" t="str">
        <ns0:f>IF('_Engine'!X23=0,"",IF(OR('_Engine'!$B$6&gt;0,'_Engine'!AM23&lt;&gt;"OK"),"REVIEW",'_Engine'!AH23))</ns0:f>
        <ns0:v/>
      </ns0:c>
      <ns0:c r="F24" s="100" t="str">
        <ns0:f>IF('_Engine'!X23=0,"",IF(OR('_Engine'!$B$6&gt;0,'_Engine'!AM23&lt;&gt;"OK"),"REVIEW",'_Engine'!AI23))</ns0:f>
        <ns0:v/>
      </ns0:c>
      <ns0:c r="G24" s="100" t="str">
        <ns0:f>IF('_Engine'!X23=0,"",IF(OR('_Engine'!$B$6&gt;0,'_Engine'!AM23&lt;&gt;"OK"),"REVIEW",'_Engine'!AJ23))</ns0:f>
        <ns0:v/>
      </ns0:c>
      <ns0:c r="H24" s="102" t="str">
        <ns0:f>IF('_Engine'!X23=0,"",IF(OR('_Engine'!$B$6&gt;0,'_Engine'!AM23&lt;&gt;"OK"),"REVIEW",'_Engine'!AN23))</ns0:f>
        <ns0:v/>
      </ns0:c>
      <ns0:c r="I24" s="100" t="str">
        <ns0:f>IF('_Engine'!X23=0,"",IF(OR('_Engine'!$B$6&gt;0,'_Engine'!AM23&lt;&gt;"OK"),"REVIEW",'_Engine'!AK23))</ns0:f>
        <ns0:v/>
      </ns0:c>
      <ns0:c r="J24" s="4" t="str">
        <ns0:f>IF('_Engine'!X23=0,"",IF('_Engine'!$B$6&gt;0,"CHECK shared settings",'_Engine'!AM23))</ns0:f>
        <ns0:v/>
      </ns0:c>
    </ns0:row>
    <ns0:row r="25" ht="29" customHeight="1">
      <ns0:c r="A25" s="4" t="str">
        <ns0:f>IF('_Engine'!X24=0,"",IF(Team!B24="","[Unnamed] "&amp;Team!A24,Team!B24))</ns0:f>
        <ns0:v/>
      </ns0:c>
      <ns0:c r="B25" s="4" t="str">
        <ns0:f>IF('_Engine'!X24=0,"",Team!C24)</ns0:f>
        <ns0:v/>
      </ns0:c>
      <ns0:c r="C25" s="100" t="str">
        <ns0:f>IF('_Engine'!X24=0,"",IF('_Engine'!AA24&gt;0,"REVIEW",Team!F24))</ns0:f>
        <ns0:v/>
      </ns0:c>
      <ns0:c r="D25" s="100" t="str">
        <ns0:f>IF('_Engine'!X24=0,"",IF('_Engine'!AA24&gt;0,"REVIEW",Team!G24))</ns0:f>
        <ns0:v/>
      </ns0:c>
      <ns0:c r="E25" s="100" t="str">
        <ns0:f>IF('_Engine'!X24=0,"",IF(OR('_Engine'!$B$6&gt;0,'_Engine'!AM24&lt;&gt;"OK"),"REVIEW",'_Engine'!AH24))</ns0:f>
        <ns0:v/>
      </ns0:c>
      <ns0:c r="F25" s="100" t="str">
        <ns0:f>IF('_Engine'!X24=0,"",IF(OR('_Engine'!$B$6&gt;0,'_Engine'!AM24&lt;&gt;"OK"),"REVIEW",'_Engine'!AI24))</ns0:f>
        <ns0:v/>
      </ns0:c>
      <ns0:c r="G25" s="100" t="str">
        <ns0:f>IF('_Engine'!X24=0,"",IF(OR('_Engine'!$B$6&gt;0,'_Engine'!AM24&lt;&gt;"OK"),"REVIEW",'_Engine'!AJ24))</ns0:f>
        <ns0:v/>
      </ns0:c>
      <ns0:c r="H25" s="102" t="str">
        <ns0:f>IF('_Engine'!X24=0,"",IF(OR('_Engine'!$B$6&gt;0,'_Engine'!AM24&lt;&gt;"OK"),"REVIEW",'_Engine'!AN24))</ns0:f>
        <ns0:v/>
      </ns0:c>
      <ns0:c r="I25" s="100" t="str">
        <ns0:f>IF('_Engine'!X24=0,"",IF(OR('_Engine'!$B$6&gt;0,'_Engine'!AM24&lt;&gt;"OK"),"REVIEW",'_Engine'!AK24))</ns0:f>
        <ns0:v/>
      </ns0:c>
      <ns0:c r="J25" s="4" t="str">
        <ns0:f>IF('_Engine'!X24=0,"",IF('_Engine'!$B$6&gt;0,"CHECK shared settings",'_Engine'!AM24))</ns0:f>
        <ns0:v/>
      </ns0:c>
    </ns0:row>
    <ns0:row r="26" ht="29" customHeight="1">
      <ns0:c r="A26" s="4" t="str">
        <ns0:f>IF('_Engine'!X25=0,"",IF(Team!B25="","[Unnamed] "&amp;Team!A25,Team!B25))</ns0:f>
        <ns0:v/>
      </ns0:c>
      <ns0:c r="B26" s="4" t="str">
        <ns0:f>IF('_Engine'!X25=0,"",Team!C25)</ns0:f>
        <ns0:v/>
      </ns0:c>
      <ns0:c r="C26" s="100" t="str">
        <ns0:f>IF('_Engine'!X25=0,"",IF('_Engine'!AA25&gt;0,"REVIEW",Team!F25))</ns0:f>
        <ns0:v/>
      </ns0:c>
      <ns0:c r="D26" s="100" t="str">
        <ns0:f>IF('_Engine'!X25=0,"",IF('_Engine'!AA25&gt;0,"REVIEW",Team!G25))</ns0:f>
        <ns0:v/>
      </ns0:c>
      <ns0:c r="E26" s="100" t="str">
        <ns0:f>IF('_Engine'!X25=0,"",IF(OR('_Engine'!$B$6&gt;0,'_Engine'!AM25&lt;&gt;"OK"),"REVIEW",'_Engine'!AH25))</ns0:f>
        <ns0:v/>
      </ns0:c>
      <ns0:c r="F26" s="100" t="str">
        <ns0:f>IF('_Engine'!X25=0,"",IF(OR('_Engine'!$B$6&gt;0,'_Engine'!AM25&lt;&gt;"OK"),"REVIEW",'_Engine'!AI25))</ns0:f>
        <ns0:v/>
      </ns0:c>
      <ns0:c r="G26" s="100" t="str">
        <ns0:f>IF('_Engine'!X25=0,"",IF(OR('_Engine'!$B$6&gt;0,'_Engine'!AM25&lt;&gt;"OK"),"REVIEW",'_Engine'!AJ25))</ns0:f>
        <ns0:v/>
      </ns0:c>
      <ns0:c r="H26" s="102" t="str">
        <ns0:f>IF('_Engine'!X25=0,"",IF(OR('_Engine'!$B$6&gt;0,'_Engine'!AM25&lt;&gt;"OK"),"REVIEW",'_Engine'!AN25))</ns0:f>
        <ns0:v/>
      </ns0:c>
      <ns0:c r="I26" s="100" t="str">
        <ns0:f>IF('_Engine'!X25=0,"",IF(OR('_Engine'!$B$6&gt;0,'_Engine'!AM25&lt;&gt;"OK"),"REVIEW",'_Engine'!AK25))</ns0:f>
        <ns0:v/>
      </ns0:c>
      <ns0:c r="J26" s="4" t="str">
        <ns0:f>IF('_Engine'!X25=0,"",IF('_Engine'!$B$6&gt;0,"CHECK shared settings",'_Engine'!AM25))</ns0:f>
        <ns0:v/>
      </ns0:c>
    </ns0:row>
    <ns0:row r="27" ht="29" customHeight="1">
      <ns0:c r="A27" s="4" t="str">
        <ns0:f>IF('_Engine'!X26=0,"",IF(Team!B26="","[Unnamed] "&amp;Team!A26,Team!B26))</ns0:f>
        <ns0:v/>
      </ns0:c>
      <ns0:c r="B27" s="4" t="str">
        <ns0:f>IF('_Engine'!X26=0,"",Team!C26)</ns0:f>
        <ns0:v/>
      </ns0:c>
      <ns0:c r="C27" s="100" t="str">
        <ns0:f>IF('_Engine'!X26=0,"",IF('_Engine'!AA26&gt;0,"REVIEW",Team!F26))</ns0:f>
        <ns0:v/>
      </ns0:c>
      <ns0:c r="D27" s="100" t="str">
        <ns0:f>IF('_Engine'!X26=0,"",IF('_Engine'!AA26&gt;0,"REVIEW",Team!G26))</ns0:f>
        <ns0:v/>
      </ns0:c>
      <ns0:c r="E27" s="100" t="str">
        <ns0:f>IF('_Engine'!X26=0,"",IF(OR('_Engine'!$B$6&gt;0,'_Engine'!AM26&lt;&gt;"OK"),"REVIEW",'_Engine'!AH26))</ns0:f>
        <ns0:v/>
      </ns0:c>
      <ns0:c r="F27" s="100" t="str">
        <ns0:f>IF('_Engine'!X26=0,"",IF(OR('_Engine'!$B$6&gt;0,'_Engine'!AM26&lt;&gt;"OK"),"REVIEW",'_Engine'!AI26))</ns0:f>
        <ns0:v/>
      </ns0:c>
      <ns0:c r="G27" s="100" t="str">
        <ns0:f>IF('_Engine'!X26=0,"",IF(OR('_Engine'!$B$6&gt;0,'_Engine'!AM26&lt;&gt;"OK"),"REVIEW",'_Engine'!AJ26))</ns0:f>
        <ns0:v/>
      </ns0:c>
      <ns0:c r="H27" s="102" t="str">
        <ns0:f>IF('_Engine'!X26=0,"",IF(OR('_Engine'!$B$6&gt;0,'_Engine'!AM26&lt;&gt;"OK"),"REVIEW",'_Engine'!AN26))</ns0:f>
        <ns0:v/>
      </ns0:c>
      <ns0:c r="I27" s="100" t="str">
        <ns0:f>IF('_Engine'!X26=0,"",IF(OR('_Engine'!$B$6&gt;0,'_Engine'!AM26&lt;&gt;"OK"),"REVIEW",'_Engine'!AK26))</ns0:f>
        <ns0:v/>
      </ns0:c>
      <ns0:c r="J27" s="4" t="str">
        <ns0:f>IF('_Engine'!X26=0,"",IF('_Engine'!$B$6&gt;0,"CHECK shared settings",'_Engine'!AM26))</ns0:f>
        <ns0:v/>
      </ns0:c>
    </ns0:row>
    <ns0:row r="28" ht="29" customHeight="1">
      <ns0:c r="A28" s="4" t="str">
        <ns0:f>IF('_Engine'!X27=0,"",IF(Team!B27="","[Unnamed] "&amp;Team!A27,Team!B27))</ns0:f>
        <ns0:v/>
      </ns0:c>
      <ns0:c r="B28" s="4" t="str">
        <ns0:f>IF('_Engine'!X27=0,"",Team!C27)</ns0:f>
        <ns0:v/>
      </ns0:c>
      <ns0:c r="C28" s="100" t="str">
        <ns0:f>IF('_Engine'!X27=0,"",IF('_Engine'!AA27&gt;0,"REVIEW",Team!F27))</ns0:f>
        <ns0:v/>
      </ns0:c>
      <ns0:c r="D28" s="100" t="str">
        <ns0:f>IF('_Engine'!X27=0,"",IF('_Engine'!AA27&gt;0,"REVIEW",Team!G27))</ns0:f>
        <ns0:v/>
      </ns0:c>
      <ns0:c r="E28" s="100" t="str">
        <ns0:f>IF('_Engine'!X27=0,"",IF(OR('_Engine'!$B$6&gt;0,'_Engine'!AM27&lt;&gt;"OK"),"REVIEW",'_Engine'!AH27))</ns0:f>
        <ns0:v/>
      </ns0:c>
      <ns0:c r="F28" s="100" t="str">
        <ns0:f>IF('_Engine'!X27=0,"",IF(OR('_Engine'!$B$6&gt;0,'_Engine'!AM27&lt;&gt;"OK"),"REVIEW",'_Engine'!AI27))</ns0:f>
        <ns0:v/>
      </ns0:c>
      <ns0:c r="G28" s="100" t="str">
        <ns0:f>IF('_Engine'!X27=0,"",IF(OR('_Engine'!$B$6&gt;0,'_Engine'!AM27&lt;&gt;"OK"),"REVIEW",'_Engine'!AJ27))</ns0:f>
        <ns0:v/>
      </ns0:c>
      <ns0:c r="H28" s="102" t="str">
        <ns0:f>IF('_Engine'!X27=0,"",IF(OR('_Engine'!$B$6&gt;0,'_Engine'!AM27&lt;&gt;"OK"),"REVIEW",'_Engine'!AN27))</ns0:f>
        <ns0:v/>
      </ns0:c>
      <ns0:c r="I28" s="100" t="str">
        <ns0:f>IF('_Engine'!X27=0,"",IF(OR('_Engine'!$B$6&gt;0,'_Engine'!AM27&lt;&gt;"OK"),"REVIEW",'_Engine'!AK27))</ns0:f>
        <ns0:v/>
      </ns0:c>
      <ns0:c r="J28" s="4" t="str">
        <ns0:f>IF('_Engine'!X27=0,"",IF('_Engine'!$B$6&gt;0,"CHECK shared settings",'_Engine'!AM27))</ns0:f>
        <ns0:v/>
      </ns0:c>
    </ns0:row>
    <ns0:row r="29" ht="29" customHeight="1">
      <ns0:c r="A29" s="4" t="str">
        <ns0:f>IF('_Engine'!X28=0,"",IF(Team!B28="","[Unnamed] "&amp;Team!A28,Team!B28))</ns0:f>
        <ns0:v/>
      </ns0:c>
      <ns0:c r="B29" s="4" t="str">
        <ns0:f>IF('_Engine'!X28=0,"",Team!C28)</ns0:f>
        <ns0:v/>
      </ns0:c>
      <ns0:c r="C29" s="100" t="str">
        <ns0:f>IF('_Engine'!X28=0,"",IF('_Engine'!AA28&gt;0,"REVIEW",Team!F28))</ns0:f>
        <ns0:v/>
      </ns0:c>
      <ns0:c r="D29" s="100" t="str">
        <ns0:f>IF('_Engine'!X28=0,"",IF('_Engine'!AA28&gt;0,"REVIEW",Team!G28))</ns0:f>
        <ns0:v/>
      </ns0:c>
      <ns0:c r="E29" s="100" t="str">
        <ns0:f>IF('_Engine'!X28=0,"",IF(OR('_Engine'!$B$6&gt;0,'_Engine'!AM28&lt;&gt;"OK"),"REVIEW",'_Engine'!AH28))</ns0:f>
        <ns0:v/>
      </ns0:c>
      <ns0:c r="F29" s="100" t="str">
        <ns0:f>IF('_Engine'!X28=0,"",IF(OR('_Engine'!$B$6&gt;0,'_Engine'!AM28&lt;&gt;"OK"),"REVIEW",'_Engine'!AI28))</ns0:f>
        <ns0:v/>
      </ns0:c>
      <ns0:c r="G29" s="100" t="str">
        <ns0:f>IF('_Engine'!X28=0,"",IF(OR('_Engine'!$B$6&gt;0,'_Engine'!AM28&lt;&gt;"OK"),"REVIEW",'_Engine'!AJ28))</ns0:f>
        <ns0:v/>
      </ns0:c>
      <ns0:c r="H29" s="102" t="str">
        <ns0:f>IF('_Engine'!X28=0,"",IF(OR('_Engine'!$B$6&gt;0,'_Engine'!AM28&lt;&gt;"OK"),"REVIEW",'_Engine'!AN28))</ns0:f>
        <ns0:v/>
      </ns0:c>
      <ns0:c r="I29" s="100" t="str">
        <ns0:f>IF('_Engine'!X28=0,"",IF(OR('_Engine'!$B$6&gt;0,'_Engine'!AM28&lt;&gt;"OK"),"REVIEW",'_Engine'!AK28))</ns0:f>
        <ns0:v/>
      </ns0:c>
      <ns0:c r="J29" s="4" t="str">
        <ns0:f>IF('_Engine'!X28=0,"",IF('_Engine'!$B$6&gt;0,"CHECK shared settings",'_Engine'!AM28))</ns0:f>
        <ns0:v/>
      </ns0:c>
    </ns0:row>
    <ns0:row r="30" ht="29" customHeight="1">
      <ns0:c r="A30" s="4" t="str">
        <ns0:f>IF('_Engine'!X29=0,"",IF(Team!B29="","[Unnamed] "&amp;Team!A29,Team!B29))</ns0:f>
        <ns0:v/>
      </ns0:c>
      <ns0:c r="B30" s="4" t="str">
        <ns0:f>IF('_Engine'!X29=0,"",Team!C29)</ns0:f>
        <ns0:v/>
      </ns0:c>
      <ns0:c r="C30" s="100" t="str">
        <ns0:f>IF('_Engine'!X29=0,"",IF('_Engine'!AA29&gt;0,"REVIEW",Team!F29))</ns0:f>
        <ns0:v/>
      </ns0:c>
      <ns0:c r="D30" s="100" t="str">
        <ns0:f>IF('_Engine'!X29=0,"",IF('_Engine'!AA29&gt;0,"REVIEW",Team!G29))</ns0:f>
        <ns0:v/>
      </ns0:c>
      <ns0:c r="E30" s="100" t="str">
        <ns0:f>IF('_Engine'!X29=0,"",IF(OR('_Engine'!$B$6&gt;0,'_Engine'!AM29&lt;&gt;"OK"),"REVIEW",'_Engine'!AH29))</ns0:f>
        <ns0:v/>
      </ns0:c>
      <ns0:c r="F30" s="100" t="str">
        <ns0:f>IF('_Engine'!X29=0,"",IF(OR('_Engine'!$B$6&gt;0,'_Engine'!AM29&lt;&gt;"OK"),"REVIEW",'_Engine'!AI29))</ns0:f>
        <ns0:v/>
      </ns0:c>
      <ns0:c r="G30" s="100" t="str">
        <ns0:f>IF('_Engine'!X29=0,"",IF(OR('_Engine'!$B$6&gt;0,'_Engine'!AM29&lt;&gt;"OK"),"REVIEW",'_Engine'!AJ29))</ns0:f>
        <ns0:v/>
      </ns0:c>
      <ns0:c r="H30" s="102" t="str">
        <ns0:f>IF('_Engine'!X29=0,"",IF(OR('_Engine'!$B$6&gt;0,'_Engine'!AM29&lt;&gt;"OK"),"REVIEW",'_Engine'!AN29))</ns0:f>
        <ns0:v/>
      </ns0:c>
      <ns0:c r="I30" s="100" t="str">
        <ns0:f>IF('_Engine'!X29=0,"",IF(OR('_Engine'!$B$6&gt;0,'_Engine'!AM29&lt;&gt;"OK"),"REVIEW",'_Engine'!AK29))</ns0:f>
        <ns0:v/>
      </ns0:c>
      <ns0:c r="J30" s="4" t="str">
        <ns0:f>IF('_Engine'!X29=0,"",IF('_Engine'!$B$6&gt;0,"CHECK shared settings",'_Engine'!AM29))</ns0:f>
        <ns0:v/>
      </ns0:c>
    </ns0:row>
    <ns0:row r="31" ht="29" customHeight="1">
      <ns0:c r="A31" s="4" t="str">
        <ns0:f>IF('_Engine'!X30=0,"",IF(Team!B30="","[Unnamed] "&amp;Team!A30,Team!B30))</ns0:f>
        <ns0:v/>
      </ns0:c>
      <ns0:c r="B31" s="4" t="str">
        <ns0:f>IF('_Engine'!X30=0,"",Team!C30)</ns0:f>
        <ns0:v/>
      </ns0:c>
      <ns0:c r="C31" s="100" t="str">
        <ns0:f>IF('_Engine'!X30=0,"",IF('_Engine'!AA30&gt;0,"REVIEW",Team!F30))</ns0:f>
        <ns0:v/>
      </ns0:c>
      <ns0:c r="D31" s="100" t="str">
        <ns0:f>IF('_Engine'!X30=0,"",IF('_Engine'!AA30&gt;0,"REVIEW",Team!G30))</ns0:f>
        <ns0:v/>
      </ns0:c>
      <ns0:c r="E31" s="100" t="str">
        <ns0:f>IF('_Engine'!X30=0,"",IF(OR('_Engine'!$B$6&gt;0,'_Engine'!AM30&lt;&gt;"OK"),"REVIEW",'_Engine'!AH30))</ns0:f>
        <ns0:v/>
      </ns0:c>
      <ns0:c r="F31" s="100" t="str">
        <ns0:f>IF('_Engine'!X30=0,"",IF(OR('_Engine'!$B$6&gt;0,'_Engine'!AM30&lt;&gt;"OK"),"REVIEW",'_Engine'!AI30))</ns0:f>
        <ns0:v/>
      </ns0:c>
      <ns0:c r="G31" s="100" t="str">
        <ns0:f>IF('_Engine'!X30=0,"",IF(OR('_Engine'!$B$6&gt;0,'_Engine'!AM30&lt;&gt;"OK"),"REVIEW",'_Engine'!AJ30))</ns0:f>
        <ns0:v/>
      </ns0:c>
      <ns0:c r="H31" s="102" t="str">
        <ns0:f>IF('_Engine'!X30=0,"",IF(OR('_Engine'!$B$6&gt;0,'_Engine'!AM30&lt;&gt;"OK"),"REVIEW",'_Engine'!AN30))</ns0:f>
        <ns0:v/>
      </ns0:c>
      <ns0:c r="I31" s="100" t="str">
        <ns0:f>IF('_Engine'!X30=0,"",IF(OR('_Engine'!$B$6&gt;0,'_Engine'!AM30&lt;&gt;"OK"),"REVIEW",'_Engine'!AK30))</ns0:f>
        <ns0:v/>
      </ns0:c>
      <ns0:c r="J31" s="4" t="str">
        <ns0:f>IF('_Engine'!X30=0,"",IF('_Engine'!$B$6&gt;0,"CHECK shared settings",'_Engine'!AM30))</ns0:f>
        <ns0:v/>
      </ns0:c>
    </ns0:row>
    <ns0:row r="32" ht="29" customHeight="1">
      <ns0:c r="A32" s="4" t="str">
        <ns0:f>IF('_Engine'!X31=0,"",IF(Team!B31="","[Unnamed] "&amp;Team!A31,Team!B31))</ns0:f>
        <ns0:v/>
      </ns0:c>
      <ns0:c r="B32" s="4" t="str">
        <ns0:f>IF('_Engine'!X31=0,"",Team!C31)</ns0:f>
        <ns0:v/>
      </ns0:c>
      <ns0:c r="C32" s="100" t="str">
        <ns0:f>IF('_Engine'!X31=0,"",IF('_Engine'!AA31&gt;0,"REVIEW",Team!F31))</ns0:f>
        <ns0:v/>
      </ns0:c>
      <ns0:c r="D32" s="100" t="str">
        <ns0:f>IF('_Engine'!X31=0,"",IF('_Engine'!AA31&gt;0,"REVIEW",Team!G31))</ns0:f>
        <ns0:v/>
      </ns0:c>
      <ns0:c r="E32" s="100" t="str">
        <ns0:f>IF('_Engine'!X31=0,"",IF(OR('_Engine'!$B$6&gt;0,'_Engine'!AM31&lt;&gt;"OK"),"REVIEW",'_Engine'!AH31))</ns0:f>
        <ns0:v/>
      </ns0:c>
      <ns0:c r="F32" s="100" t="str">
        <ns0:f>IF('_Engine'!X31=0,"",IF(OR('_Engine'!$B$6&gt;0,'_Engine'!AM31&lt;&gt;"OK"),"REVIEW",'_Engine'!AI31))</ns0:f>
        <ns0:v/>
      </ns0:c>
      <ns0:c r="G32" s="100" t="str">
        <ns0:f>IF('_Engine'!X31=0,"",IF(OR('_Engine'!$B$6&gt;0,'_Engine'!AM31&lt;&gt;"OK"),"REVIEW",'_Engine'!AJ31))</ns0:f>
        <ns0:v/>
      </ns0:c>
      <ns0:c r="H32" s="102" t="str">
        <ns0:f>IF('_Engine'!X31=0,"",IF(OR('_Engine'!$B$6&gt;0,'_Engine'!AM31&lt;&gt;"OK"),"REVIEW",'_Engine'!AN31))</ns0:f>
        <ns0:v/>
      </ns0:c>
      <ns0:c r="I32" s="100" t="str">
        <ns0:f>IF('_Engine'!X31=0,"",IF(OR('_Engine'!$B$6&gt;0,'_Engine'!AM31&lt;&gt;"OK"),"REVIEW",'_Engine'!AK31))</ns0:f>
        <ns0:v/>
      </ns0:c>
      <ns0:c r="J32" s="4" t="str">
        <ns0:f>IF('_Engine'!X31=0,"",IF('_Engine'!$B$6&gt;0,"CHECK shared settings",'_Engine'!AM31))</ns0:f>
        <ns0:v/>
      </ns0:c>
    </ns0:row>
    <ns0:row r="33" ht="29" customHeight="1">
      <ns0:c r="A33" s="4" t="str">
        <ns0:f>IF('_Engine'!X32=0,"",IF(Team!B32="","[Unnamed] "&amp;Team!A32,Team!B32))</ns0:f>
        <ns0:v/>
      </ns0:c>
      <ns0:c r="B33" s="4" t="str">
        <ns0:f>IF('_Engine'!X32=0,"",Team!C32)</ns0:f>
        <ns0:v/>
      </ns0:c>
      <ns0:c r="C33" s="100" t="str">
        <ns0:f>IF('_Engine'!X32=0,"",IF('_Engine'!AA32&gt;0,"REVIEW",Team!F32))</ns0:f>
        <ns0:v/>
      </ns0:c>
      <ns0:c r="D33" s="100" t="str">
        <ns0:f>IF('_Engine'!X32=0,"",IF('_Engine'!AA32&gt;0,"REVIEW",Team!G32))</ns0:f>
        <ns0:v/>
      </ns0:c>
      <ns0:c r="E33" s="100" t="str">
        <ns0:f>IF('_Engine'!X32=0,"",IF(OR('_Engine'!$B$6&gt;0,'_Engine'!AM32&lt;&gt;"OK"),"REVIEW",'_Engine'!AH32))</ns0:f>
        <ns0:v/>
      </ns0:c>
      <ns0:c r="F33" s="100" t="str">
        <ns0:f>IF('_Engine'!X32=0,"",IF(OR('_Engine'!$B$6&gt;0,'_Engine'!AM32&lt;&gt;"OK"),"REVIEW",'_Engine'!AI32))</ns0:f>
        <ns0:v/>
      </ns0:c>
      <ns0:c r="G33" s="100" t="str">
        <ns0:f>IF('_Engine'!X32=0,"",IF(OR('_Engine'!$B$6&gt;0,'_Engine'!AM32&lt;&gt;"OK"),"REVIEW",'_Engine'!AJ32))</ns0:f>
        <ns0:v/>
      </ns0:c>
      <ns0:c r="H33" s="102" t="str">
        <ns0:f>IF('_Engine'!X32=0,"",IF(OR('_Engine'!$B$6&gt;0,'_Engine'!AM32&lt;&gt;"OK"),"REVIEW",'_Engine'!AN32))</ns0:f>
        <ns0:v/>
      </ns0:c>
      <ns0:c r="I33" s="100" t="str">
        <ns0:f>IF('_Engine'!X32=0,"",IF(OR('_Engine'!$B$6&gt;0,'_Engine'!AM32&lt;&gt;"OK"),"REVIEW",'_Engine'!AK32))</ns0:f>
        <ns0:v/>
      </ns0:c>
      <ns0:c r="J33" s="4" t="str">
        <ns0:f>IF('_Engine'!X32=0,"",IF('_Engine'!$B$6&gt;0,"CHECK shared settings",'_Engine'!AM32))</ns0:f>
        <ns0:v/>
      </ns0:c>
    </ns0:row>
    <ns0:row r="34" ht="29" customHeight="1">
      <ns0:c r="A34" s="4" t="str">
        <ns0:f>IF('_Engine'!X33=0,"",IF(Team!B33="","[Unnamed] "&amp;Team!A33,Team!B33))</ns0:f>
        <ns0:v/>
      </ns0:c>
      <ns0:c r="B34" s="4" t="str">
        <ns0:f>IF('_Engine'!X33=0,"",Team!C33)</ns0:f>
        <ns0:v/>
      </ns0:c>
      <ns0:c r="C34" s="100" t="str">
        <ns0:f>IF('_Engine'!X33=0,"",IF('_Engine'!AA33&gt;0,"REVIEW",Team!F33))</ns0:f>
        <ns0:v/>
      </ns0:c>
      <ns0:c r="D34" s="100" t="str">
        <ns0:f>IF('_Engine'!X33=0,"",IF('_Engine'!AA33&gt;0,"REVIEW",Team!G33))</ns0:f>
        <ns0:v/>
      </ns0:c>
      <ns0:c r="E34" s="100" t="str">
        <ns0:f>IF('_Engine'!X33=0,"",IF(OR('_Engine'!$B$6&gt;0,'_Engine'!AM33&lt;&gt;"OK"),"REVIEW",'_Engine'!AH33))</ns0:f>
        <ns0:v/>
      </ns0:c>
      <ns0:c r="F34" s="100" t="str">
        <ns0:f>IF('_Engine'!X33=0,"",IF(OR('_Engine'!$B$6&gt;0,'_Engine'!AM33&lt;&gt;"OK"),"REVIEW",'_Engine'!AI33))</ns0:f>
        <ns0:v/>
      </ns0:c>
      <ns0:c r="G34" s="100" t="str">
        <ns0:f>IF('_Engine'!X33=0,"",IF(OR('_Engine'!$B$6&gt;0,'_Engine'!AM33&lt;&gt;"OK"),"REVIEW",'_Engine'!AJ33))</ns0:f>
        <ns0:v/>
      </ns0:c>
      <ns0:c r="H34" s="102" t="str">
        <ns0:f>IF('_Engine'!X33=0,"",IF(OR('_Engine'!$B$6&gt;0,'_Engine'!AM33&lt;&gt;"OK"),"REVIEW",'_Engine'!AN33))</ns0:f>
        <ns0:v/>
      </ns0:c>
      <ns0:c r="I34" s="100" t="str">
        <ns0:f>IF('_Engine'!X33=0,"",IF(OR('_Engine'!$B$6&gt;0,'_Engine'!AM33&lt;&gt;"OK"),"REVIEW",'_Engine'!AK33))</ns0:f>
        <ns0:v/>
      </ns0:c>
      <ns0:c r="J34" s="4" t="str">
        <ns0:f>IF('_Engine'!X33=0,"",IF('_Engine'!$B$6&gt;0,"CHECK shared settings",'_Engine'!AM33))</ns0:f>
        <ns0:v/>
      </ns0:c>
    </ns0:row>
    <ns0:row r="35" ht="29" customHeight="1">
      <ns0:c r="A35" s="4" t="str">
        <ns0:f>IF('_Engine'!X34=0,"",IF(Team!B34="","[Unnamed] "&amp;Team!A34,Team!B34))</ns0:f>
        <ns0:v/>
      </ns0:c>
      <ns0:c r="B35" s="4" t="str">
        <ns0:f>IF('_Engine'!X34=0,"",Team!C34)</ns0:f>
        <ns0:v/>
      </ns0:c>
      <ns0:c r="C35" s="100" t="str">
        <ns0:f>IF('_Engine'!X34=0,"",IF('_Engine'!AA34&gt;0,"REVIEW",Team!F34))</ns0:f>
        <ns0:v/>
      </ns0:c>
      <ns0:c r="D35" s="100" t="str">
        <ns0:f>IF('_Engine'!X34=0,"",IF('_Engine'!AA34&gt;0,"REVIEW",Team!G34))</ns0:f>
        <ns0:v/>
      </ns0:c>
      <ns0:c r="E35" s="100" t="str">
        <ns0:f>IF('_Engine'!X34=0,"",IF(OR('_Engine'!$B$6&gt;0,'_Engine'!AM34&lt;&gt;"OK"),"REVIEW",'_Engine'!AH34))</ns0:f>
        <ns0:v/>
      </ns0:c>
      <ns0:c r="F35" s="100" t="str">
        <ns0:f>IF('_Engine'!X34=0,"",IF(OR('_Engine'!$B$6&gt;0,'_Engine'!AM34&lt;&gt;"OK"),"REVIEW",'_Engine'!AI34))</ns0:f>
        <ns0:v/>
      </ns0:c>
      <ns0:c r="G35" s="100" t="str">
        <ns0:f>IF('_Engine'!X34=0,"",IF(OR('_Engine'!$B$6&gt;0,'_Engine'!AM34&lt;&gt;"OK"),"REVIEW",'_Engine'!AJ34))</ns0:f>
        <ns0:v/>
      </ns0:c>
      <ns0:c r="H35" s="102" t="str">
        <ns0:f>IF('_Engine'!X34=0,"",IF(OR('_Engine'!$B$6&gt;0,'_Engine'!AM34&lt;&gt;"OK"),"REVIEW",'_Engine'!AN34))</ns0:f>
        <ns0:v/>
      </ns0:c>
      <ns0:c r="I35" s="100" t="str">
        <ns0:f>IF('_Engine'!X34=0,"",IF(OR('_Engine'!$B$6&gt;0,'_Engine'!AM34&lt;&gt;"OK"),"REVIEW",'_Engine'!AK34))</ns0:f>
        <ns0:v/>
      </ns0:c>
      <ns0:c r="J35" s="4" t="str">
        <ns0:f>IF('_Engine'!X34=0,"",IF('_Engine'!$B$6&gt;0,"CHECK shared settings",'_Engine'!AM34))</ns0:f>
        <ns0:v/>
      </ns0:c>
    </ns0:row>
    <ns0:row r="36" ht="29" customHeight="1">
      <ns0:c r="A36" s="4" t="str">
        <ns0:f>IF('_Engine'!X35=0,"",IF(Team!B35="","[Unnamed] "&amp;Team!A35,Team!B35))</ns0:f>
        <ns0:v/>
      </ns0:c>
      <ns0:c r="B36" s="4" t="str">
        <ns0:f>IF('_Engine'!X35=0,"",Team!C35)</ns0:f>
        <ns0:v/>
      </ns0:c>
      <ns0:c r="C36" s="100" t="str">
        <ns0:f>IF('_Engine'!X35=0,"",IF('_Engine'!AA35&gt;0,"REVIEW",Team!F35))</ns0:f>
        <ns0:v/>
      </ns0:c>
      <ns0:c r="D36" s="100" t="str">
        <ns0:f>IF('_Engine'!X35=0,"",IF('_Engine'!AA35&gt;0,"REVIEW",Team!G35))</ns0:f>
        <ns0:v/>
      </ns0:c>
      <ns0:c r="E36" s="100" t="str">
        <ns0:f>IF('_Engine'!X35=0,"",IF(OR('_Engine'!$B$6&gt;0,'_Engine'!AM35&lt;&gt;"OK"),"REVIEW",'_Engine'!AH35))</ns0:f>
        <ns0:v/>
      </ns0:c>
      <ns0:c r="F36" s="100" t="str">
        <ns0:f>IF('_Engine'!X35=0,"",IF(OR('_Engine'!$B$6&gt;0,'_Engine'!AM35&lt;&gt;"OK"),"REVIEW",'_Engine'!AI35))</ns0:f>
        <ns0:v/>
      </ns0:c>
      <ns0:c r="G36" s="100" t="str">
        <ns0:f>IF('_Engine'!X35=0,"",IF(OR('_Engine'!$B$6&gt;0,'_Engine'!AM35&lt;&gt;"OK"),"REVIEW",'_Engine'!AJ35))</ns0:f>
        <ns0:v/>
      </ns0:c>
      <ns0:c r="H36" s="102" t="str">
        <ns0:f>IF('_Engine'!X35=0,"",IF(OR('_Engine'!$B$6&gt;0,'_Engine'!AM35&lt;&gt;"OK"),"REVIEW",'_Engine'!AN35))</ns0:f>
        <ns0:v/>
      </ns0:c>
      <ns0:c r="I36" s="100" t="str">
        <ns0:f>IF('_Engine'!X35=0,"",IF(OR('_Engine'!$B$6&gt;0,'_Engine'!AM35&lt;&gt;"OK"),"REVIEW",'_Engine'!AK35))</ns0:f>
        <ns0:v/>
      </ns0:c>
      <ns0:c r="J36" s="4" t="str">
        <ns0:f>IF('_Engine'!X35=0,"",IF('_Engine'!$B$6&gt;0,"CHECK shared settings",'_Engine'!AM35))</ns0:f>
        <ns0:v/>
      </ns0:c>
    </ns0:row>
    <ns0:row r="37" ht="29" customHeight="1">
      <ns0:c r="A37" s="4" t="str">
        <ns0:f>IF('_Engine'!X36=0,"",IF(Team!B36="","[Unnamed] "&amp;Team!A36,Team!B36))</ns0:f>
        <ns0:v/>
      </ns0:c>
      <ns0:c r="B37" s="4" t="str">
        <ns0:f>IF('_Engine'!X36=0,"",Team!C36)</ns0:f>
        <ns0:v/>
      </ns0:c>
      <ns0:c r="C37" s="100" t="str">
        <ns0:f>IF('_Engine'!X36=0,"",IF('_Engine'!AA36&gt;0,"REVIEW",Team!F36))</ns0:f>
        <ns0:v/>
      </ns0:c>
      <ns0:c r="D37" s="100" t="str">
        <ns0:f>IF('_Engine'!X36=0,"",IF('_Engine'!AA36&gt;0,"REVIEW",Team!G36))</ns0:f>
        <ns0:v/>
      </ns0:c>
      <ns0:c r="E37" s="100" t="str">
        <ns0:f>IF('_Engine'!X36=0,"",IF(OR('_Engine'!$B$6&gt;0,'_Engine'!AM36&lt;&gt;"OK"),"REVIEW",'_Engine'!AH36))</ns0:f>
        <ns0:v/>
      </ns0:c>
      <ns0:c r="F37" s="100" t="str">
        <ns0:f>IF('_Engine'!X36=0,"",IF(OR('_Engine'!$B$6&gt;0,'_Engine'!AM36&lt;&gt;"OK"),"REVIEW",'_Engine'!AI36))</ns0:f>
        <ns0:v/>
      </ns0:c>
      <ns0:c r="G37" s="100" t="str">
        <ns0:f>IF('_Engine'!X36=0,"",IF(OR('_Engine'!$B$6&gt;0,'_Engine'!AM36&lt;&gt;"OK"),"REVIEW",'_Engine'!AJ36))</ns0:f>
        <ns0:v/>
      </ns0:c>
      <ns0:c r="H37" s="102" t="str">
        <ns0:f>IF('_Engine'!X36=0,"",IF(OR('_Engine'!$B$6&gt;0,'_Engine'!AM36&lt;&gt;"OK"),"REVIEW",'_Engine'!AN36))</ns0:f>
        <ns0:v/>
      </ns0:c>
      <ns0:c r="I37" s="100" t="str">
        <ns0:f>IF('_Engine'!X36=0,"",IF(OR('_Engine'!$B$6&gt;0,'_Engine'!AM36&lt;&gt;"OK"),"REVIEW",'_Engine'!AK36))</ns0:f>
        <ns0:v/>
      </ns0:c>
      <ns0:c r="J37" s="4" t="str">
        <ns0:f>IF('_Engine'!X36=0,"",IF('_Engine'!$B$6&gt;0,"CHECK shared settings",'_Engine'!AM36))</ns0:f>
        <ns0:v/>
      </ns0:c>
    </ns0:row>
    <ns0:row r="38" ht="29" customHeight="1">
      <ns0:c r="A38" s="4" t="str">
        <ns0:f>IF('_Engine'!X37=0,"",IF(Team!B37="","[Unnamed] "&amp;Team!A37,Team!B37))</ns0:f>
        <ns0:v/>
      </ns0:c>
      <ns0:c r="B38" s="4" t="str">
        <ns0:f>IF('_Engine'!X37=0,"",Team!C37)</ns0:f>
        <ns0:v/>
      </ns0:c>
      <ns0:c r="C38" s="100" t="str">
        <ns0:f>IF('_Engine'!X37=0,"",IF('_Engine'!AA37&gt;0,"REVIEW",Team!F37))</ns0:f>
        <ns0:v/>
      </ns0:c>
      <ns0:c r="D38" s="100" t="str">
        <ns0:f>IF('_Engine'!X37=0,"",IF('_Engine'!AA37&gt;0,"REVIEW",Team!G37))</ns0:f>
        <ns0:v/>
      </ns0:c>
      <ns0:c r="E38" s="100" t="str">
        <ns0:f>IF('_Engine'!X37=0,"",IF(OR('_Engine'!$B$6&gt;0,'_Engine'!AM37&lt;&gt;"OK"),"REVIEW",'_Engine'!AH37))</ns0:f>
        <ns0:v/>
      </ns0:c>
      <ns0:c r="F38" s="100" t="str">
        <ns0:f>IF('_Engine'!X37=0,"",IF(OR('_Engine'!$B$6&gt;0,'_Engine'!AM37&lt;&gt;"OK"),"REVIEW",'_Engine'!AI37))</ns0:f>
        <ns0:v/>
      </ns0:c>
      <ns0:c r="G38" s="100" t="str">
        <ns0:f>IF('_Engine'!X37=0,"",IF(OR('_Engine'!$B$6&gt;0,'_Engine'!AM37&lt;&gt;"OK"),"REVIEW",'_Engine'!AJ37))</ns0:f>
        <ns0:v/>
      </ns0:c>
      <ns0:c r="H38" s="102" t="str">
        <ns0:f>IF('_Engine'!X37=0,"",IF(OR('_Engine'!$B$6&gt;0,'_Engine'!AM37&lt;&gt;"OK"),"REVIEW",'_Engine'!AN37))</ns0:f>
        <ns0:v/>
      </ns0:c>
      <ns0:c r="I38" s="100" t="str">
        <ns0:f>IF('_Engine'!X37=0,"",IF(OR('_Engine'!$B$6&gt;0,'_Engine'!AM37&lt;&gt;"OK"),"REVIEW",'_Engine'!AK37))</ns0:f>
        <ns0:v/>
      </ns0:c>
      <ns0:c r="J38" s="4" t="str">
        <ns0:f>IF('_Engine'!X37=0,"",IF('_Engine'!$B$6&gt;0,"CHECK shared settings",'_Engine'!AM37))</ns0:f>
        <ns0:v/>
      </ns0:c>
    </ns0:row>
    <ns0:row r="39" ht="29" customHeight="1">
      <ns0:c r="A39" s="4" t="str">
        <ns0:f>IF('_Engine'!X38=0,"",IF(Team!B38="","[Unnamed] "&amp;Team!A38,Team!B38))</ns0:f>
        <ns0:v/>
      </ns0:c>
      <ns0:c r="B39" s="4" t="str">
        <ns0:f>IF('_Engine'!X38=0,"",Team!C38)</ns0:f>
        <ns0:v/>
      </ns0:c>
      <ns0:c r="C39" s="100" t="str">
        <ns0:f>IF('_Engine'!X38=0,"",IF('_Engine'!AA38&gt;0,"REVIEW",Team!F38))</ns0:f>
        <ns0:v/>
      </ns0:c>
      <ns0:c r="D39" s="100" t="str">
        <ns0:f>IF('_Engine'!X38=0,"",IF('_Engine'!AA38&gt;0,"REVIEW",Team!G38))</ns0:f>
        <ns0:v/>
      </ns0:c>
      <ns0:c r="E39" s="100" t="str">
        <ns0:f>IF('_Engine'!X38=0,"",IF(OR('_Engine'!$B$6&gt;0,'_Engine'!AM38&lt;&gt;"OK"),"REVIEW",'_Engine'!AH38))</ns0:f>
        <ns0:v/>
      </ns0:c>
      <ns0:c r="F39" s="100" t="str">
        <ns0:f>IF('_Engine'!X38=0,"",IF(OR('_Engine'!$B$6&gt;0,'_Engine'!AM38&lt;&gt;"OK"),"REVIEW",'_Engine'!AI38))</ns0:f>
        <ns0:v/>
      </ns0:c>
      <ns0:c r="G39" s="100" t="str">
        <ns0:f>IF('_Engine'!X38=0,"",IF(OR('_Engine'!$B$6&gt;0,'_Engine'!AM38&lt;&gt;"OK"),"REVIEW",'_Engine'!AJ38))</ns0:f>
        <ns0:v/>
      </ns0:c>
      <ns0:c r="H39" s="102" t="str">
        <ns0:f>IF('_Engine'!X38=0,"",IF(OR('_Engine'!$B$6&gt;0,'_Engine'!AM38&lt;&gt;"OK"),"REVIEW",'_Engine'!AN38))</ns0:f>
        <ns0:v/>
      </ns0:c>
      <ns0:c r="I39" s="100" t="str">
        <ns0:f>IF('_Engine'!X38=0,"",IF(OR('_Engine'!$B$6&gt;0,'_Engine'!AM38&lt;&gt;"OK"),"REVIEW",'_Engine'!AK38))</ns0:f>
        <ns0:v/>
      </ns0:c>
      <ns0:c r="J39" s="4" t="str">
        <ns0:f>IF('_Engine'!X38=0,"",IF('_Engine'!$B$6&gt;0,"CHECK shared settings",'_Engine'!AM38))</ns0:f>
        <ns0:v/>
      </ns0:c>
    </ns0:row>
    <ns0:row r="40" ht="29" customHeight="1">
      <ns0:c r="A40" s="4" t="str">
        <ns0:f>IF('_Engine'!X39=0,"",IF(Team!B39="","[Unnamed] "&amp;Team!A39,Team!B39))</ns0:f>
        <ns0:v/>
      </ns0:c>
      <ns0:c r="B40" s="4" t="str">
        <ns0:f>IF('_Engine'!X39=0,"",Team!C39)</ns0:f>
        <ns0:v/>
      </ns0:c>
      <ns0:c r="C40" s="100" t="str">
        <ns0:f>IF('_Engine'!X39=0,"",IF('_Engine'!AA39&gt;0,"REVIEW",Team!F39))</ns0:f>
        <ns0:v/>
      </ns0:c>
      <ns0:c r="D40" s="100" t="str">
        <ns0:f>IF('_Engine'!X39=0,"",IF('_Engine'!AA39&gt;0,"REVIEW",Team!G39))</ns0:f>
        <ns0:v/>
      </ns0:c>
      <ns0:c r="E40" s="100" t="str">
        <ns0:f>IF('_Engine'!X39=0,"",IF(OR('_Engine'!$B$6&gt;0,'_Engine'!AM39&lt;&gt;"OK"),"REVIEW",'_Engine'!AH39))</ns0:f>
        <ns0:v/>
      </ns0:c>
      <ns0:c r="F40" s="100" t="str">
        <ns0:f>IF('_Engine'!X39=0,"",IF(OR('_Engine'!$B$6&gt;0,'_Engine'!AM39&lt;&gt;"OK"),"REVIEW",'_Engine'!AI39))</ns0:f>
        <ns0:v/>
      </ns0:c>
      <ns0:c r="G40" s="100" t="str">
        <ns0:f>IF('_Engine'!X39=0,"",IF(OR('_Engine'!$B$6&gt;0,'_Engine'!AM39&lt;&gt;"OK"),"REVIEW",'_Engine'!AJ39))</ns0:f>
        <ns0:v/>
      </ns0:c>
      <ns0:c r="H40" s="102" t="str">
        <ns0:f>IF('_Engine'!X39=0,"",IF(OR('_Engine'!$B$6&gt;0,'_Engine'!AM39&lt;&gt;"OK"),"REVIEW",'_Engine'!AN39))</ns0:f>
        <ns0:v/>
      </ns0:c>
      <ns0:c r="I40" s="100" t="str">
        <ns0:f>IF('_Engine'!X39=0,"",IF(OR('_Engine'!$B$6&gt;0,'_Engine'!AM39&lt;&gt;"OK"),"REVIEW",'_Engine'!AK39))</ns0:f>
        <ns0:v/>
      </ns0:c>
      <ns0:c r="J40" s="4" t="str">
        <ns0:f>IF('_Engine'!X39=0,"",IF('_Engine'!$B$6&gt;0,"CHECK shared settings",'_Engine'!AM39))</ns0:f>
        <ns0:v/>
      </ns0:c>
    </ns0:row>
    <ns0:row r="41" ht="29" customHeight="1">
      <ns0:c r="A41" s="4" t="str">
        <ns0:f>IF('_Engine'!X40=0,"",IF(Team!B40="","[Unnamed] "&amp;Team!A40,Team!B40))</ns0:f>
        <ns0:v/>
      </ns0:c>
      <ns0:c r="B41" s="4" t="str">
        <ns0:f>IF('_Engine'!X40=0,"",Team!C40)</ns0:f>
        <ns0:v/>
      </ns0:c>
      <ns0:c r="C41" s="100" t="str">
        <ns0:f>IF('_Engine'!X40=0,"",IF('_Engine'!AA40&gt;0,"REVIEW",Team!F40))</ns0:f>
        <ns0:v/>
      </ns0:c>
      <ns0:c r="D41" s="100" t="str">
        <ns0:f>IF('_Engine'!X40=0,"",IF('_Engine'!AA40&gt;0,"REVIEW",Team!G40))</ns0:f>
        <ns0:v/>
      </ns0:c>
      <ns0:c r="E41" s="100" t="str">
        <ns0:f>IF('_Engine'!X40=0,"",IF(OR('_Engine'!$B$6&gt;0,'_Engine'!AM40&lt;&gt;"OK"),"REVIEW",'_Engine'!AH40))</ns0:f>
        <ns0:v/>
      </ns0:c>
      <ns0:c r="F41" s="100" t="str">
        <ns0:f>IF('_Engine'!X40=0,"",IF(OR('_Engine'!$B$6&gt;0,'_Engine'!AM40&lt;&gt;"OK"),"REVIEW",'_Engine'!AI40))</ns0:f>
        <ns0:v/>
      </ns0:c>
      <ns0:c r="G41" s="100" t="str">
        <ns0:f>IF('_Engine'!X40=0,"",IF(OR('_Engine'!$B$6&gt;0,'_Engine'!AM40&lt;&gt;"OK"),"REVIEW",'_Engine'!AJ40))</ns0:f>
        <ns0:v/>
      </ns0:c>
      <ns0:c r="H41" s="102" t="str">
        <ns0:f>IF('_Engine'!X40=0,"",IF(OR('_Engine'!$B$6&gt;0,'_Engine'!AM40&lt;&gt;"OK"),"REVIEW",'_Engine'!AN40))</ns0:f>
        <ns0:v/>
      </ns0:c>
      <ns0:c r="I41" s="100" t="str">
        <ns0:f>IF('_Engine'!X40=0,"",IF(OR('_Engine'!$B$6&gt;0,'_Engine'!AM40&lt;&gt;"OK"),"REVIEW",'_Engine'!AK40))</ns0:f>
        <ns0:v/>
      </ns0:c>
      <ns0:c r="J41" s="4" t="str">
        <ns0:f>IF('_Engine'!X40=0,"",IF('_Engine'!$B$6&gt;0,"CHECK shared settings",'_Engine'!AM40))</ns0:f>
        <ns0:v/>
      </ns0:c>
    </ns0:row>
    <ns0:row r="42" ht="29" customHeight="1">
      <ns0:c r="A42" s="4" t="str">
        <ns0:f>IF('_Engine'!X41=0,"",IF(Team!B41="","[Unnamed] "&amp;Team!A41,Team!B41))</ns0:f>
        <ns0:v/>
      </ns0:c>
      <ns0:c r="B42" s="4" t="str">
        <ns0:f>IF('_Engine'!X41=0,"",Team!C41)</ns0:f>
        <ns0:v/>
      </ns0:c>
      <ns0:c r="C42" s="100" t="str">
        <ns0:f>IF('_Engine'!X41=0,"",IF('_Engine'!AA41&gt;0,"REVIEW",Team!F41))</ns0:f>
        <ns0:v/>
      </ns0:c>
      <ns0:c r="D42" s="100" t="str">
        <ns0:f>IF('_Engine'!X41=0,"",IF('_Engine'!AA41&gt;0,"REVIEW",Team!G41))</ns0:f>
        <ns0:v/>
      </ns0:c>
      <ns0:c r="E42" s="100" t="str">
        <ns0:f>IF('_Engine'!X41=0,"",IF(OR('_Engine'!$B$6&gt;0,'_Engine'!AM41&lt;&gt;"OK"),"REVIEW",'_Engine'!AH41))</ns0:f>
        <ns0:v/>
      </ns0:c>
      <ns0:c r="F42" s="100" t="str">
        <ns0:f>IF('_Engine'!X41=0,"",IF(OR('_Engine'!$B$6&gt;0,'_Engine'!AM41&lt;&gt;"OK"),"REVIEW",'_Engine'!AI41))</ns0:f>
        <ns0:v/>
      </ns0:c>
      <ns0:c r="G42" s="100" t="str">
        <ns0:f>IF('_Engine'!X41=0,"",IF(OR('_Engine'!$B$6&gt;0,'_Engine'!AM41&lt;&gt;"OK"),"REVIEW",'_Engine'!AJ41))</ns0:f>
        <ns0:v/>
      </ns0:c>
      <ns0:c r="H42" s="102" t="str">
        <ns0:f>IF('_Engine'!X41=0,"",IF(OR('_Engine'!$B$6&gt;0,'_Engine'!AM41&lt;&gt;"OK"),"REVIEW",'_Engine'!AN41))</ns0:f>
        <ns0:v/>
      </ns0:c>
      <ns0:c r="I42" s="100" t="str">
        <ns0:f>IF('_Engine'!X41=0,"",IF(OR('_Engine'!$B$6&gt;0,'_Engine'!AM41&lt;&gt;"OK"),"REVIEW",'_Engine'!AK41))</ns0:f>
        <ns0:v/>
      </ns0:c>
      <ns0:c r="J42" s="4" t="str">
        <ns0:f>IF('_Engine'!X41=0,"",IF('_Engine'!$B$6&gt;0,"CHECK shared settings",'_Engine'!AM41))</ns0:f>
        <ns0:v/>
      </ns0:c>
    </ns0:row>
    <ns0:row r="43" ht="29" customHeight="1">
      <ns0:c r="A43" s="4" t="str">
        <ns0:f>IF('_Engine'!X42=0,"",IF(Team!B42="","[Unnamed] "&amp;Team!A42,Team!B42))</ns0:f>
        <ns0:v/>
      </ns0:c>
      <ns0:c r="B43" s="4" t="str">
        <ns0:f>IF('_Engine'!X42=0,"",Team!C42)</ns0:f>
        <ns0:v/>
      </ns0:c>
      <ns0:c r="C43" s="100" t="str">
        <ns0:f>IF('_Engine'!X42=0,"",IF('_Engine'!AA42&gt;0,"REVIEW",Team!F42))</ns0:f>
        <ns0:v/>
      </ns0:c>
      <ns0:c r="D43" s="100" t="str">
        <ns0:f>IF('_Engine'!X42=0,"",IF('_Engine'!AA42&gt;0,"REVIEW",Team!G42))</ns0:f>
        <ns0:v/>
      </ns0:c>
      <ns0:c r="E43" s="100" t="str">
        <ns0:f>IF('_Engine'!X42=0,"",IF(OR('_Engine'!$B$6&gt;0,'_Engine'!AM42&lt;&gt;"OK"),"REVIEW",'_Engine'!AH42))</ns0:f>
        <ns0:v/>
      </ns0:c>
      <ns0:c r="F43" s="100" t="str">
        <ns0:f>IF('_Engine'!X42=0,"",IF(OR('_Engine'!$B$6&gt;0,'_Engine'!AM42&lt;&gt;"OK"),"REVIEW",'_Engine'!AI42))</ns0:f>
        <ns0:v/>
      </ns0:c>
      <ns0:c r="G43" s="100" t="str">
        <ns0:f>IF('_Engine'!X42=0,"",IF(OR('_Engine'!$B$6&gt;0,'_Engine'!AM42&lt;&gt;"OK"),"REVIEW",'_Engine'!AJ42))</ns0:f>
        <ns0:v/>
      </ns0:c>
      <ns0:c r="H43" s="102" t="str">
        <ns0:f>IF('_Engine'!X42=0,"",IF(OR('_Engine'!$B$6&gt;0,'_Engine'!AM42&lt;&gt;"OK"),"REVIEW",'_Engine'!AN42))</ns0:f>
        <ns0:v/>
      </ns0:c>
      <ns0:c r="I43" s="100" t="str">
        <ns0:f>IF('_Engine'!X42=0,"",IF(OR('_Engine'!$B$6&gt;0,'_Engine'!AM42&lt;&gt;"OK"),"REVIEW",'_Engine'!AK42))</ns0:f>
        <ns0:v/>
      </ns0:c>
      <ns0:c r="J43" s="4" t="str">
        <ns0:f>IF('_Engine'!X42=0,"",IF('_Engine'!$B$6&gt;0,"CHECK shared settings",'_Engine'!AM42))</ns0:f>
        <ns0:v/>
      </ns0:c>
    </ns0:row>
    <ns0:row r="44" ht="29" customHeight="1">
      <ns0:c r="A44" s="4" t="str">
        <ns0:f>IF('_Engine'!X43=0,"",IF(Team!B43="","[Unnamed] "&amp;Team!A43,Team!B43))</ns0:f>
        <ns0:v/>
      </ns0:c>
      <ns0:c r="B44" s="4" t="str">
        <ns0:f>IF('_Engine'!X43=0,"",Team!C43)</ns0:f>
        <ns0:v/>
      </ns0:c>
      <ns0:c r="C44" s="100" t="str">
        <ns0:f>IF('_Engine'!X43=0,"",IF('_Engine'!AA43&gt;0,"REVIEW",Team!F43))</ns0:f>
        <ns0:v/>
      </ns0:c>
      <ns0:c r="D44" s="100" t="str">
        <ns0:f>IF('_Engine'!X43=0,"",IF('_Engine'!AA43&gt;0,"REVIEW",Team!G43))</ns0:f>
        <ns0:v/>
      </ns0:c>
      <ns0:c r="E44" s="100" t="str">
        <ns0:f>IF('_Engine'!X43=0,"",IF(OR('_Engine'!$B$6&gt;0,'_Engine'!AM43&lt;&gt;"OK"),"REVIEW",'_Engine'!AH43))</ns0:f>
        <ns0:v/>
      </ns0:c>
      <ns0:c r="F44" s="100" t="str">
        <ns0:f>IF('_Engine'!X43=0,"",IF(OR('_Engine'!$B$6&gt;0,'_Engine'!AM43&lt;&gt;"OK"),"REVIEW",'_Engine'!AI43))</ns0:f>
        <ns0:v/>
      </ns0:c>
      <ns0:c r="G44" s="100" t="str">
        <ns0:f>IF('_Engine'!X43=0,"",IF(OR('_Engine'!$B$6&gt;0,'_Engine'!AM43&lt;&gt;"OK"),"REVIEW",'_Engine'!AJ43))</ns0:f>
        <ns0:v/>
      </ns0:c>
      <ns0:c r="H44" s="102" t="str">
        <ns0:f>IF('_Engine'!X43=0,"",IF(OR('_Engine'!$B$6&gt;0,'_Engine'!AM43&lt;&gt;"OK"),"REVIEW",'_Engine'!AN43))</ns0:f>
        <ns0:v/>
      </ns0:c>
      <ns0:c r="I44" s="100" t="str">
        <ns0:f>IF('_Engine'!X43=0,"",IF(OR('_Engine'!$B$6&gt;0,'_Engine'!AM43&lt;&gt;"OK"),"REVIEW",'_Engine'!AK43))</ns0:f>
        <ns0:v/>
      </ns0:c>
      <ns0:c r="J44" s="4" t="str">
        <ns0:f>IF('_Engine'!X43=0,"",IF('_Engine'!$B$6&gt;0,"CHECK shared settings",'_Engine'!AM43))</ns0:f>
        <ns0:v/>
      </ns0:c>
    </ns0:row>
    <ns0:row r="45" ht="29" customHeight="1">
      <ns0:c r="A45" s="4" t="str">
        <ns0:f>IF('_Engine'!X44=0,"",IF(Team!B44="","[Unnamed] "&amp;Team!A44,Team!B44))</ns0:f>
        <ns0:v/>
      </ns0:c>
      <ns0:c r="B45" s="4" t="str">
        <ns0:f>IF('_Engine'!X44=0,"",Team!C44)</ns0:f>
        <ns0:v/>
      </ns0:c>
      <ns0:c r="C45" s="100" t="str">
        <ns0:f>IF('_Engine'!X44=0,"",IF('_Engine'!AA44&gt;0,"REVIEW",Team!F44))</ns0:f>
        <ns0:v/>
      </ns0:c>
      <ns0:c r="D45" s="100" t="str">
        <ns0:f>IF('_Engine'!X44=0,"",IF('_Engine'!AA44&gt;0,"REVIEW",Team!G44))</ns0:f>
        <ns0:v/>
      </ns0:c>
      <ns0:c r="E45" s="100" t="str">
        <ns0:f>IF('_Engine'!X44=0,"",IF(OR('_Engine'!$B$6&gt;0,'_Engine'!AM44&lt;&gt;"OK"),"REVIEW",'_Engine'!AH44))</ns0:f>
        <ns0:v/>
      </ns0:c>
      <ns0:c r="F45" s="100" t="str">
        <ns0:f>IF('_Engine'!X44=0,"",IF(OR('_Engine'!$B$6&gt;0,'_Engine'!AM44&lt;&gt;"OK"),"REVIEW",'_Engine'!AI44))</ns0:f>
        <ns0:v/>
      </ns0:c>
      <ns0:c r="G45" s="100" t="str">
        <ns0:f>IF('_Engine'!X44=0,"",IF(OR('_Engine'!$B$6&gt;0,'_Engine'!AM44&lt;&gt;"OK"),"REVIEW",'_Engine'!AJ44))</ns0:f>
        <ns0:v/>
      </ns0:c>
      <ns0:c r="H45" s="102" t="str">
        <ns0:f>IF('_Engine'!X44=0,"",IF(OR('_Engine'!$B$6&gt;0,'_Engine'!AM44&lt;&gt;"OK"),"REVIEW",'_Engine'!AN44))</ns0:f>
        <ns0:v/>
      </ns0:c>
      <ns0:c r="I45" s="100" t="str">
        <ns0:f>IF('_Engine'!X44=0,"",IF(OR('_Engine'!$B$6&gt;0,'_Engine'!AM44&lt;&gt;"OK"),"REVIEW",'_Engine'!AK44))</ns0:f>
        <ns0:v/>
      </ns0:c>
      <ns0:c r="J45" s="4" t="str">
        <ns0:f>IF('_Engine'!X44=0,"",IF('_Engine'!$B$6&gt;0,"CHECK shared settings",'_Engine'!AM44))</ns0:f>
        <ns0:v/>
      </ns0:c>
    </ns0:row>
    <ns0:row r="46" ht="29" customHeight="1">
      <ns0:c r="A46" s="4" t="str">
        <ns0:f>IF('_Engine'!X45=0,"",IF(Team!B45="","[Unnamed] "&amp;Team!A45,Team!B45))</ns0:f>
        <ns0:v/>
      </ns0:c>
      <ns0:c r="B46" s="4" t="str">
        <ns0:f>IF('_Engine'!X45=0,"",Team!C45)</ns0:f>
        <ns0:v/>
      </ns0:c>
      <ns0:c r="C46" s="100" t="str">
        <ns0:f>IF('_Engine'!X45=0,"",IF('_Engine'!AA45&gt;0,"REVIEW",Team!F45))</ns0:f>
        <ns0:v/>
      </ns0:c>
      <ns0:c r="D46" s="100" t="str">
        <ns0:f>IF('_Engine'!X45=0,"",IF('_Engine'!AA45&gt;0,"REVIEW",Team!G45))</ns0:f>
        <ns0:v/>
      </ns0:c>
      <ns0:c r="E46" s="100" t="str">
        <ns0:f>IF('_Engine'!X45=0,"",IF(OR('_Engine'!$B$6&gt;0,'_Engine'!AM45&lt;&gt;"OK"),"REVIEW",'_Engine'!AH45))</ns0:f>
        <ns0:v/>
      </ns0:c>
      <ns0:c r="F46" s="100" t="str">
        <ns0:f>IF('_Engine'!X45=0,"",IF(OR('_Engine'!$B$6&gt;0,'_Engine'!AM45&lt;&gt;"OK"),"REVIEW",'_Engine'!AI45))</ns0:f>
        <ns0:v/>
      </ns0:c>
      <ns0:c r="G46" s="100" t="str">
        <ns0:f>IF('_Engine'!X45=0,"",IF(OR('_Engine'!$B$6&gt;0,'_Engine'!AM45&lt;&gt;"OK"),"REVIEW",'_Engine'!AJ45))</ns0:f>
        <ns0:v/>
      </ns0:c>
      <ns0:c r="H46" s="102" t="str">
        <ns0:f>IF('_Engine'!X45=0,"",IF(OR('_Engine'!$B$6&gt;0,'_Engine'!AM45&lt;&gt;"OK"),"REVIEW",'_Engine'!AN45))</ns0:f>
        <ns0:v/>
      </ns0:c>
      <ns0:c r="I46" s="100" t="str">
        <ns0:f>IF('_Engine'!X45=0,"",IF(OR('_Engine'!$B$6&gt;0,'_Engine'!AM45&lt;&gt;"OK"),"REVIEW",'_Engine'!AK45))</ns0:f>
        <ns0:v/>
      </ns0:c>
      <ns0:c r="J46" s="4" t="str">
        <ns0:f>IF('_Engine'!X45=0,"",IF('_Engine'!$B$6&gt;0,"CHECK shared settings",'_Engine'!AM45))</ns0:f>
        <ns0:v/>
      </ns0:c>
    </ns0:row>
    <ns0:row r="47" ht="29" customHeight="1">
      <ns0:c r="A47" s="4" t="str">
        <ns0:f>IF('_Engine'!X46=0,"",IF(Team!B46="","[Unnamed] "&amp;Team!A46,Team!B46))</ns0:f>
        <ns0:v/>
      </ns0:c>
      <ns0:c r="B47" s="4" t="str">
        <ns0:f>IF('_Engine'!X46=0,"",Team!C46)</ns0:f>
        <ns0:v/>
      </ns0:c>
      <ns0:c r="C47" s="100" t="str">
        <ns0:f>IF('_Engine'!X46=0,"",IF('_Engine'!AA46&gt;0,"REVIEW",Team!F46))</ns0:f>
        <ns0:v/>
      </ns0:c>
      <ns0:c r="D47" s="100" t="str">
        <ns0:f>IF('_Engine'!X46=0,"",IF('_Engine'!AA46&gt;0,"REVIEW",Team!G46))</ns0:f>
        <ns0:v/>
      </ns0:c>
      <ns0:c r="E47" s="100" t="str">
        <ns0:f>IF('_Engine'!X46=0,"",IF(OR('_Engine'!$B$6&gt;0,'_Engine'!AM46&lt;&gt;"OK"),"REVIEW",'_Engine'!AH46))</ns0:f>
        <ns0:v/>
      </ns0:c>
      <ns0:c r="F47" s="100" t="str">
        <ns0:f>IF('_Engine'!X46=0,"",IF(OR('_Engine'!$B$6&gt;0,'_Engine'!AM46&lt;&gt;"OK"),"REVIEW",'_Engine'!AI46))</ns0:f>
        <ns0:v/>
      </ns0:c>
      <ns0:c r="G47" s="100" t="str">
        <ns0:f>IF('_Engine'!X46=0,"",IF(OR('_Engine'!$B$6&gt;0,'_Engine'!AM46&lt;&gt;"OK"),"REVIEW",'_Engine'!AJ46))</ns0:f>
        <ns0:v/>
      </ns0:c>
      <ns0:c r="H47" s="102" t="str">
        <ns0:f>IF('_Engine'!X46=0,"",IF(OR('_Engine'!$B$6&gt;0,'_Engine'!AM46&lt;&gt;"OK"),"REVIEW",'_Engine'!AN46))</ns0:f>
        <ns0:v/>
      </ns0:c>
      <ns0:c r="I47" s="100" t="str">
        <ns0:f>IF('_Engine'!X46=0,"",IF(OR('_Engine'!$B$6&gt;0,'_Engine'!AM46&lt;&gt;"OK"),"REVIEW",'_Engine'!AK46))</ns0:f>
        <ns0:v/>
      </ns0:c>
      <ns0:c r="J47" s="4" t="str">
        <ns0:f>IF('_Engine'!X46=0,"",IF('_Engine'!$B$6&gt;0,"CHECK shared settings",'_Engine'!AM46))</ns0:f>
        <ns0:v/>
      </ns0:c>
    </ns0:row>
    <ns0:row r="48" ht="29" customHeight="1">
      <ns0:c r="A48" s="4" t="str">
        <ns0:f>IF('_Engine'!X47=0,"",IF(Team!B47="","[Unnamed] "&amp;Team!A47,Team!B47))</ns0:f>
        <ns0:v/>
      </ns0:c>
      <ns0:c r="B48" s="4" t="str">
        <ns0:f>IF('_Engine'!X47=0,"",Team!C47)</ns0:f>
        <ns0:v/>
      </ns0:c>
      <ns0:c r="C48" s="100" t="str">
        <ns0:f>IF('_Engine'!X47=0,"",IF('_Engine'!AA47&gt;0,"REVIEW",Team!F47))</ns0:f>
        <ns0:v/>
      </ns0:c>
      <ns0:c r="D48" s="100" t="str">
        <ns0:f>IF('_Engine'!X47=0,"",IF('_Engine'!AA47&gt;0,"REVIEW",Team!G47))</ns0:f>
        <ns0:v/>
      </ns0:c>
      <ns0:c r="E48" s="100" t="str">
        <ns0:f>IF('_Engine'!X47=0,"",IF(OR('_Engine'!$B$6&gt;0,'_Engine'!AM47&lt;&gt;"OK"),"REVIEW",'_Engine'!AH47))</ns0:f>
        <ns0:v/>
      </ns0:c>
      <ns0:c r="F48" s="100" t="str">
        <ns0:f>IF('_Engine'!X47=0,"",IF(OR('_Engine'!$B$6&gt;0,'_Engine'!AM47&lt;&gt;"OK"),"REVIEW",'_Engine'!AI47))</ns0:f>
        <ns0:v/>
      </ns0:c>
      <ns0:c r="G48" s="100" t="str">
        <ns0:f>IF('_Engine'!X47=0,"",IF(OR('_Engine'!$B$6&gt;0,'_Engine'!AM47&lt;&gt;"OK"),"REVIEW",'_Engine'!AJ47))</ns0:f>
        <ns0:v/>
      </ns0:c>
      <ns0:c r="H48" s="102" t="str">
        <ns0:f>IF('_Engine'!X47=0,"",IF(OR('_Engine'!$B$6&gt;0,'_Engine'!AM47&lt;&gt;"OK"),"REVIEW",'_Engine'!AN47))</ns0:f>
        <ns0:v/>
      </ns0:c>
      <ns0:c r="I48" s="100" t="str">
        <ns0:f>IF('_Engine'!X47=0,"",IF(OR('_Engine'!$B$6&gt;0,'_Engine'!AM47&lt;&gt;"OK"),"REVIEW",'_Engine'!AK47))</ns0:f>
        <ns0:v/>
      </ns0:c>
      <ns0:c r="J48" s="4" t="str">
        <ns0:f>IF('_Engine'!X47=0,"",IF('_Engine'!$B$6&gt;0,"CHECK shared settings",'_Engine'!AM47))</ns0:f>
        <ns0:v/>
      </ns0:c>
    </ns0:row>
    <ns0:row r="49" ht="29" customHeight="1">
      <ns0:c r="A49" s="4" t="str">
        <ns0:f>IF('_Engine'!X48=0,"",IF(Team!B48="","[Unnamed] "&amp;Team!A48,Team!B48))</ns0:f>
        <ns0:v/>
      </ns0:c>
      <ns0:c r="B49" s="4" t="str">
        <ns0:f>IF('_Engine'!X48=0,"",Team!C48)</ns0:f>
        <ns0:v/>
      </ns0:c>
      <ns0:c r="C49" s="100" t="str">
        <ns0:f>IF('_Engine'!X48=0,"",IF('_Engine'!AA48&gt;0,"REVIEW",Team!F48))</ns0:f>
        <ns0:v/>
      </ns0:c>
      <ns0:c r="D49" s="100" t="str">
        <ns0:f>IF('_Engine'!X48=0,"",IF('_Engine'!AA48&gt;0,"REVIEW",Team!G48))</ns0:f>
        <ns0:v/>
      </ns0:c>
      <ns0:c r="E49" s="100" t="str">
        <ns0:f>IF('_Engine'!X48=0,"",IF(OR('_Engine'!$B$6&gt;0,'_Engine'!AM48&lt;&gt;"OK"),"REVIEW",'_Engine'!AH48))</ns0:f>
        <ns0:v/>
      </ns0:c>
      <ns0:c r="F49" s="100" t="str">
        <ns0:f>IF('_Engine'!X48=0,"",IF(OR('_Engine'!$B$6&gt;0,'_Engine'!AM48&lt;&gt;"OK"),"REVIEW",'_Engine'!AI48))</ns0:f>
        <ns0:v/>
      </ns0:c>
      <ns0:c r="G49" s="100" t="str">
        <ns0:f>IF('_Engine'!X48=0,"",IF(OR('_Engine'!$B$6&gt;0,'_Engine'!AM48&lt;&gt;"OK"),"REVIEW",'_Engine'!AJ48))</ns0:f>
        <ns0:v/>
      </ns0:c>
      <ns0:c r="H49" s="102" t="str">
        <ns0:f>IF('_Engine'!X48=0,"",IF(OR('_Engine'!$B$6&gt;0,'_Engine'!AM48&lt;&gt;"OK"),"REVIEW",'_Engine'!AN48))</ns0:f>
        <ns0:v/>
      </ns0:c>
      <ns0:c r="I49" s="100" t="str">
        <ns0:f>IF('_Engine'!X48=0,"",IF(OR('_Engine'!$B$6&gt;0,'_Engine'!AM48&lt;&gt;"OK"),"REVIEW",'_Engine'!AK48))</ns0:f>
        <ns0:v/>
      </ns0:c>
      <ns0:c r="J49" s="4" t="str">
        <ns0:f>IF('_Engine'!X48=0,"",IF('_Engine'!$B$6&gt;0,"CHECK shared settings",'_Engine'!AM48))</ns0:f>
        <ns0:v/>
      </ns0:c>
    </ns0:row>
    <ns0:row r="50" ht="29" customHeight="1">
      <ns0:c r="A50" s="4" t="str">
        <ns0:f>IF('_Engine'!X49=0,"",IF(Team!B49="","[Unnamed] "&amp;Team!A49,Team!B49))</ns0:f>
        <ns0:v/>
      </ns0:c>
      <ns0:c r="B50" s="4" t="str">
        <ns0:f>IF('_Engine'!X49=0,"",Team!C49)</ns0:f>
        <ns0:v/>
      </ns0:c>
      <ns0:c r="C50" s="100" t="str">
        <ns0:f>IF('_Engine'!X49=0,"",IF('_Engine'!AA49&gt;0,"REVIEW",Team!F49))</ns0:f>
        <ns0:v/>
      </ns0:c>
      <ns0:c r="D50" s="100" t="str">
        <ns0:f>IF('_Engine'!X49=0,"",IF('_Engine'!AA49&gt;0,"REVIEW",Team!G49))</ns0:f>
        <ns0:v/>
      </ns0:c>
      <ns0:c r="E50" s="100" t="str">
        <ns0:f>IF('_Engine'!X49=0,"",IF(OR('_Engine'!$B$6&gt;0,'_Engine'!AM49&lt;&gt;"OK"),"REVIEW",'_Engine'!AH49))</ns0:f>
        <ns0:v/>
      </ns0:c>
      <ns0:c r="F50" s="100" t="str">
        <ns0:f>IF('_Engine'!X49=0,"",IF(OR('_Engine'!$B$6&gt;0,'_Engine'!AM49&lt;&gt;"OK"),"REVIEW",'_Engine'!AI49))</ns0:f>
        <ns0:v/>
      </ns0:c>
      <ns0:c r="G50" s="100" t="str">
        <ns0:f>IF('_Engine'!X49=0,"",IF(OR('_Engine'!$B$6&gt;0,'_Engine'!AM49&lt;&gt;"OK"),"REVIEW",'_Engine'!AJ49))</ns0:f>
        <ns0:v/>
      </ns0:c>
      <ns0:c r="H50" s="102" t="str">
        <ns0:f>IF('_Engine'!X49=0,"",IF(OR('_Engine'!$B$6&gt;0,'_Engine'!AM49&lt;&gt;"OK"),"REVIEW",'_Engine'!AN49))</ns0:f>
        <ns0:v/>
      </ns0:c>
      <ns0:c r="I50" s="100" t="str">
        <ns0:f>IF('_Engine'!X49=0,"",IF(OR('_Engine'!$B$6&gt;0,'_Engine'!AM49&lt;&gt;"OK"),"REVIEW",'_Engine'!AK49))</ns0:f>
        <ns0:v/>
      </ns0:c>
      <ns0:c r="J50" s="4" t="str">
        <ns0:f>IF('_Engine'!X49=0,"",IF('_Engine'!$B$6&gt;0,"CHECK shared settings",'_Engine'!AM49))</ns0:f>
        <ns0:v/>
      </ns0:c>
    </ns0:row>
    <ns0:row r="51" ht="29" customHeight="1">
      <ns0:c r="A51" s="4" t="str">
        <ns0:f>IF('_Engine'!X50=0,"",IF(Team!B50="","[Unnamed] "&amp;Team!A50,Team!B50))</ns0:f>
        <ns0:v/>
      </ns0:c>
      <ns0:c r="B51" s="4" t="str">
        <ns0:f>IF('_Engine'!X50=0,"",Team!C50)</ns0:f>
        <ns0:v/>
      </ns0:c>
      <ns0:c r="C51" s="100" t="str">
        <ns0:f>IF('_Engine'!X50=0,"",IF('_Engine'!AA50&gt;0,"REVIEW",Team!F50))</ns0:f>
        <ns0:v/>
      </ns0:c>
      <ns0:c r="D51" s="100" t="str">
        <ns0:f>IF('_Engine'!X50=0,"",IF('_Engine'!AA50&gt;0,"REVIEW",Team!G50))</ns0:f>
        <ns0:v/>
      </ns0:c>
      <ns0:c r="E51" s="100" t="str">
        <ns0:f>IF('_Engine'!X50=0,"",IF(OR('_Engine'!$B$6&gt;0,'_Engine'!AM50&lt;&gt;"OK"),"REVIEW",'_Engine'!AH50))</ns0:f>
        <ns0:v/>
      </ns0:c>
      <ns0:c r="F51" s="100" t="str">
        <ns0:f>IF('_Engine'!X50=0,"",IF(OR('_Engine'!$B$6&gt;0,'_Engine'!AM50&lt;&gt;"OK"),"REVIEW",'_Engine'!AI50))</ns0:f>
        <ns0:v/>
      </ns0:c>
      <ns0:c r="G51" s="100" t="str">
        <ns0:f>IF('_Engine'!X50=0,"",IF(OR('_Engine'!$B$6&gt;0,'_Engine'!AM50&lt;&gt;"OK"),"REVIEW",'_Engine'!AJ50))</ns0:f>
        <ns0:v/>
      </ns0:c>
      <ns0:c r="H51" s="102" t="str">
        <ns0:f>IF('_Engine'!X50=0,"",IF(OR('_Engine'!$B$6&gt;0,'_Engine'!AM50&lt;&gt;"OK"),"REVIEW",'_Engine'!AN50))</ns0:f>
        <ns0:v/>
      </ns0:c>
      <ns0:c r="I51" s="100" t="str">
        <ns0:f>IF('_Engine'!X50=0,"",IF(OR('_Engine'!$B$6&gt;0,'_Engine'!AM50&lt;&gt;"OK"),"REVIEW",'_Engine'!AK50))</ns0:f>
        <ns0:v/>
      </ns0:c>
      <ns0:c r="J51" s="4" t="str">
        <ns0:f>IF('_Engine'!X50=0,"",IF('_Engine'!$B$6&gt;0,"CHECK shared settings",'_Engine'!AM50))</ns0:f>
        <ns0:v/>
      </ns0:c>
    </ns0:row>
    <ns0:row r="52" ht="29" customHeight="1">
      <ns0:c r="A52" s="4" t="str">
        <ns0:f>IF('_Engine'!X51=0,"",IF(Team!B51="","[Unnamed] "&amp;Team!A51,Team!B51))</ns0:f>
        <ns0:v/>
      </ns0:c>
      <ns0:c r="B52" s="4" t="str">
        <ns0:f>IF('_Engine'!X51=0,"",Team!C51)</ns0:f>
        <ns0:v/>
      </ns0:c>
      <ns0:c r="C52" s="100" t="str">
        <ns0:f>IF('_Engine'!X51=0,"",IF('_Engine'!AA51&gt;0,"REVIEW",Team!F51))</ns0:f>
        <ns0:v/>
      </ns0:c>
      <ns0:c r="D52" s="100" t="str">
        <ns0:f>IF('_Engine'!X51=0,"",IF('_Engine'!AA51&gt;0,"REVIEW",Team!G51))</ns0:f>
        <ns0:v/>
      </ns0:c>
      <ns0:c r="E52" s="100" t="str">
        <ns0:f>IF('_Engine'!X51=0,"",IF(OR('_Engine'!$B$6&gt;0,'_Engine'!AM51&lt;&gt;"OK"),"REVIEW",'_Engine'!AH51))</ns0:f>
        <ns0:v/>
      </ns0:c>
      <ns0:c r="F52" s="100" t="str">
        <ns0:f>IF('_Engine'!X51=0,"",IF(OR('_Engine'!$B$6&gt;0,'_Engine'!AM51&lt;&gt;"OK"),"REVIEW",'_Engine'!AI51))</ns0:f>
        <ns0:v/>
      </ns0:c>
      <ns0:c r="G52" s="100" t="str">
        <ns0:f>IF('_Engine'!X51=0,"",IF(OR('_Engine'!$B$6&gt;0,'_Engine'!AM51&lt;&gt;"OK"),"REVIEW",'_Engine'!AJ51))</ns0:f>
        <ns0:v/>
      </ns0:c>
      <ns0:c r="H52" s="102" t="str">
        <ns0:f>IF('_Engine'!X51=0,"",IF(OR('_Engine'!$B$6&gt;0,'_Engine'!AM51&lt;&gt;"OK"),"REVIEW",'_Engine'!AN51))</ns0:f>
        <ns0:v/>
      </ns0:c>
      <ns0:c r="I52" s="100" t="str">
        <ns0:f>IF('_Engine'!X51=0,"",IF(OR('_Engine'!$B$6&gt;0,'_Engine'!AM51&lt;&gt;"OK"),"REVIEW",'_Engine'!AK51))</ns0:f>
        <ns0:v/>
      </ns0:c>
      <ns0:c r="J52" s="4" t="str">
        <ns0:f>IF('_Engine'!X51=0,"",IF('_Engine'!$B$6&gt;0,"CHECK shared settings",'_Engine'!AM51))</ns0:f>
        <ns0:v/>
      </ns0:c>
    </ns0:row>
    <ns0:row r="53" ht="29" customHeight="1">
      <ns0:c r="A53" s="4" t="str">
        <ns0:f>IF('_Engine'!X52=0,"",IF(Team!B52="","[Unnamed] "&amp;Team!A52,Team!B52))</ns0:f>
        <ns0:v/>
      </ns0:c>
      <ns0:c r="B53" s="4" t="str">
        <ns0:f>IF('_Engine'!X52=0,"",Team!C52)</ns0:f>
        <ns0:v/>
      </ns0:c>
      <ns0:c r="C53" s="100" t="str">
        <ns0:f>IF('_Engine'!X52=0,"",IF('_Engine'!AA52&gt;0,"REVIEW",Team!F52))</ns0:f>
        <ns0:v/>
      </ns0:c>
      <ns0:c r="D53" s="100" t="str">
        <ns0:f>IF('_Engine'!X52=0,"",IF('_Engine'!AA52&gt;0,"REVIEW",Team!G52))</ns0:f>
        <ns0:v/>
      </ns0:c>
      <ns0:c r="E53" s="100" t="str">
        <ns0:f>IF('_Engine'!X52=0,"",IF(OR('_Engine'!$B$6&gt;0,'_Engine'!AM52&lt;&gt;"OK"),"REVIEW",'_Engine'!AH52))</ns0:f>
        <ns0:v/>
      </ns0:c>
      <ns0:c r="F53" s="100" t="str">
        <ns0:f>IF('_Engine'!X52=0,"",IF(OR('_Engine'!$B$6&gt;0,'_Engine'!AM52&lt;&gt;"OK"),"REVIEW",'_Engine'!AI52))</ns0:f>
        <ns0:v/>
      </ns0:c>
      <ns0:c r="G53" s="100" t="str">
        <ns0:f>IF('_Engine'!X52=0,"",IF(OR('_Engine'!$B$6&gt;0,'_Engine'!AM52&lt;&gt;"OK"),"REVIEW",'_Engine'!AJ52))</ns0:f>
        <ns0:v/>
      </ns0:c>
      <ns0:c r="H53" s="102" t="str">
        <ns0:f>IF('_Engine'!X52=0,"",IF(OR('_Engine'!$B$6&gt;0,'_Engine'!AM52&lt;&gt;"OK"),"REVIEW",'_Engine'!AN52))</ns0:f>
        <ns0:v/>
      </ns0:c>
      <ns0:c r="I53" s="100" t="str">
        <ns0:f>IF('_Engine'!X52=0,"",IF(OR('_Engine'!$B$6&gt;0,'_Engine'!AM52&lt;&gt;"OK"),"REVIEW",'_Engine'!AK52))</ns0:f>
        <ns0:v/>
      </ns0:c>
      <ns0:c r="J53" s="4" t="str">
        <ns0:f>IF('_Engine'!X52=0,"",IF('_Engine'!$B$6&gt;0,"CHECK shared settings",'_Engine'!AM52))</ns0:f>
        <ns0:v/>
      </ns0:c>
    </ns0:row>
    <ns0:row r="54" ht="29" customHeight="1">
      <ns0:c r="A54" s="4" t="str">
        <ns0:f>IF('_Engine'!X53=0,"",IF(Team!B53="","[Unnamed] "&amp;Team!A53,Team!B53))</ns0:f>
        <ns0:v/>
      </ns0:c>
      <ns0:c r="B54" s="4" t="str">
        <ns0:f>IF('_Engine'!X53=0,"",Team!C53)</ns0:f>
        <ns0:v/>
      </ns0:c>
      <ns0:c r="C54" s="100" t="str">
        <ns0:f>IF('_Engine'!X53=0,"",IF('_Engine'!AA53&gt;0,"REVIEW",Team!F53))</ns0:f>
        <ns0:v/>
      </ns0:c>
      <ns0:c r="D54" s="100" t="str">
        <ns0:f>IF('_Engine'!X53=0,"",IF('_Engine'!AA53&gt;0,"REVIEW",Team!G53))</ns0:f>
        <ns0:v/>
      </ns0:c>
      <ns0:c r="E54" s="100" t="str">
        <ns0:f>IF('_Engine'!X53=0,"",IF(OR('_Engine'!$B$6&gt;0,'_Engine'!AM53&lt;&gt;"OK"),"REVIEW",'_Engine'!AH53))</ns0:f>
        <ns0:v/>
      </ns0:c>
      <ns0:c r="F54" s="100" t="str">
        <ns0:f>IF('_Engine'!X53=0,"",IF(OR('_Engine'!$B$6&gt;0,'_Engine'!AM53&lt;&gt;"OK"),"REVIEW",'_Engine'!AI53))</ns0:f>
        <ns0:v/>
      </ns0:c>
      <ns0:c r="G54" s="100" t="str">
        <ns0:f>IF('_Engine'!X53=0,"",IF(OR('_Engine'!$B$6&gt;0,'_Engine'!AM53&lt;&gt;"OK"),"REVIEW",'_Engine'!AJ53))</ns0:f>
        <ns0:v/>
      </ns0:c>
      <ns0:c r="H54" s="102" t="str">
        <ns0:f>IF('_Engine'!X53=0,"",IF(OR('_Engine'!$B$6&gt;0,'_Engine'!AM53&lt;&gt;"OK"),"REVIEW",'_Engine'!AN53))</ns0:f>
        <ns0:v/>
      </ns0:c>
      <ns0:c r="I54" s="100" t="str">
        <ns0:f>IF('_Engine'!X53=0,"",IF(OR('_Engine'!$B$6&gt;0,'_Engine'!AM53&lt;&gt;"OK"),"REVIEW",'_Engine'!AK53))</ns0:f>
        <ns0:v/>
      </ns0:c>
      <ns0:c r="J54" s="4" t="str">
        <ns0:f>IF('_Engine'!X53=0,"",IF('_Engine'!$B$6&gt;0,"CHECK shared settings",'_Engine'!AM53))</ns0:f>
        <ns0:v/>
      </ns0:c>
    </ns0:row>
    <ns0:row r="55" ht="29" customHeight="1">
      <ns0:c r="A55" s="4" t="str">
        <ns0:f>IF('_Engine'!X54=0,"",IF(Team!B54="","[Unnamed] "&amp;Team!A54,Team!B54))</ns0:f>
        <ns0:v/>
      </ns0:c>
      <ns0:c r="B55" s="4" t="str">
        <ns0:f>IF('_Engine'!X54=0,"",Team!C54)</ns0:f>
        <ns0:v/>
      </ns0:c>
      <ns0:c r="C55" s="100" t="str">
        <ns0:f>IF('_Engine'!X54=0,"",IF('_Engine'!AA54&gt;0,"REVIEW",Team!F54))</ns0:f>
        <ns0:v/>
      </ns0:c>
      <ns0:c r="D55" s="100" t="str">
        <ns0:f>IF('_Engine'!X54=0,"",IF('_Engine'!AA54&gt;0,"REVIEW",Team!G54))</ns0:f>
        <ns0:v/>
      </ns0:c>
      <ns0:c r="E55" s="100" t="str">
        <ns0:f>IF('_Engine'!X54=0,"",IF(OR('_Engine'!$B$6&gt;0,'_Engine'!AM54&lt;&gt;"OK"),"REVIEW",'_Engine'!AH54))</ns0:f>
        <ns0:v/>
      </ns0:c>
      <ns0:c r="F55" s="100" t="str">
        <ns0:f>IF('_Engine'!X54=0,"",IF(OR('_Engine'!$B$6&gt;0,'_Engine'!AM54&lt;&gt;"OK"),"REVIEW",'_Engine'!AI54))</ns0:f>
        <ns0:v/>
      </ns0:c>
      <ns0:c r="G55" s="100" t="str">
        <ns0:f>IF('_Engine'!X54=0,"",IF(OR('_Engine'!$B$6&gt;0,'_Engine'!AM54&lt;&gt;"OK"),"REVIEW",'_Engine'!AJ54))</ns0:f>
        <ns0:v/>
      </ns0:c>
      <ns0:c r="H55" s="102" t="str">
        <ns0:f>IF('_Engine'!X54=0,"",IF(OR('_Engine'!$B$6&gt;0,'_Engine'!AM54&lt;&gt;"OK"),"REVIEW",'_Engine'!AN54))</ns0:f>
        <ns0:v/>
      </ns0:c>
      <ns0:c r="I55" s="100" t="str">
        <ns0:f>IF('_Engine'!X54=0,"",IF(OR('_Engine'!$B$6&gt;0,'_Engine'!AM54&lt;&gt;"OK"),"REVIEW",'_Engine'!AK54))</ns0:f>
        <ns0:v/>
      </ns0:c>
      <ns0:c r="J55" s="4" t="str">
        <ns0:f>IF('_Engine'!X54=0,"",IF('_Engine'!$B$6&gt;0,"CHECK shared settings",'_Engine'!AM54))</ns0:f>
        <ns0:v/>
      </ns0:c>
    </ns0:row>
    <ns0:row r="56" ht="29" customHeight="1">
      <ns0:c r="A56" s="4" t="str">
        <ns0:f>IF('_Engine'!X55=0,"",IF(Team!B55="","[Unnamed] "&amp;Team!A55,Team!B55))</ns0:f>
        <ns0:v/>
      </ns0:c>
      <ns0:c r="B56" s="4" t="str">
        <ns0:f>IF('_Engine'!X55=0,"",Team!C55)</ns0:f>
        <ns0:v/>
      </ns0:c>
      <ns0:c r="C56" s="100" t="str">
        <ns0:f>IF('_Engine'!X55=0,"",IF('_Engine'!AA55&gt;0,"REVIEW",Team!F55))</ns0:f>
        <ns0:v/>
      </ns0:c>
      <ns0:c r="D56" s="100" t="str">
        <ns0:f>IF('_Engine'!X55=0,"",IF('_Engine'!AA55&gt;0,"REVIEW",Team!G55))</ns0:f>
        <ns0:v/>
      </ns0:c>
      <ns0:c r="E56" s="100" t="str">
        <ns0:f>IF('_Engine'!X55=0,"",IF(OR('_Engine'!$B$6&gt;0,'_Engine'!AM55&lt;&gt;"OK"),"REVIEW",'_Engine'!AH55))</ns0:f>
        <ns0:v/>
      </ns0:c>
      <ns0:c r="F56" s="100" t="str">
        <ns0:f>IF('_Engine'!X55=0,"",IF(OR('_Engine'!$B$6&gt;0,'_Engine'!AM55&lt;&gt;"OK"),"REVIEW",'_Engine'!AI55))</ns0:f>
        <ns0:v/>
      </ns0:c>
      <ns0:c r="G56" s="100" t="str">
        <ns0:f>IF('_Engine'!X55=0,"",IF(OR('_Engine'!$B$6&gt;0,'_Engine'!AM55&lt;&gt;"OK"),"REVIEW",'_Engine'!AJ55))</ns0:f>
        <ns0:v/>
      </ns0:c>
      <ns0:c r="H56" s="102" t="str">
        <ns0:f>IF('_Engine'!X55=0,"",IF(OR('_Engine'!$B$6&gt;0,'_Engine'!AM55&lt;&gt;"OK"),"REVIEW",'_Engine'!AN55))</ns0:f>
        <ns0:v/>
      </ns0:c>
      <ns0:c r="I56" s="100" t="str">
        <ns0:f>IF('_Engine'!X55=0,"",IF(OR('_Engine'!$B$6&gt;0,'_Engine'!AM55&lt;&gt;"OK"),"REVIEW",'_Engine'!AK55))</ns0:f>
        <ns0:v/>
      </ns0:c>
      <ns0:c r="J56" s="4" t="str">
        <ns0:f>IF('_Engine'!X55=0,"",IF('_Engine'!$B$6&gt;0,"CHECK shared settings",'_Engine'!AM55))</ns0:f>
        <ns0:v/>
      </ns0:c>
    </ns0:row>
    <ns0:row r="57" ht="29" customHeight="1">
      <ns0:c r="A57" s="4" t="str">
        <ns0:f>IF('_Engine'!X56=0,"",IF(Team!B56="","[Unnamed] "&amp;Team!A56,Team!B56))</ns0:f>
        <ns0:v/>
      </ns0:c>
      <ns0:c r="B57" s="4" t="str">
        <ns0:f>IF('_Engine'!X56=0,"",Team!C56)</ns0:f>
        <ns0:v/>
      </ns0:c>
      <ns0:c r="C57" s="100" t="str">
        <ns0:f>IF('_Engine'!X56=0,"",IF('_Engine'!AA56&gt;0,"REVIEW",Team!F56))</ns0:f>
        <ns0:v/>
      </ns0:c>
      <ns0:c r="D57" s="100" t="str">
        <ns0:f>IF('_Engine'!X56=0,"",IF('_Engine'!AA56&gt;0,"REVIEW",Team!G56))</ns0:f>
        <ns0:v/>
      </ns0:c>
      <ns0:c r="E57" s="100" t="str">
        <ns0:f>IF('_Engine'!X56=0,"",IF(OR('_Engine'!$B$6&gt;0,'_Engine'!AM56&lt;&gt;"OK"),"REVIEW",'_Engine'!AH56))</ns0:f>
        <ns0:v/>
      </ns0:c>
      <ns0:c r="F57" s="100" t="str">
        <ns0:f>IF('_Engine'!X56=0,"",IF(OR('_Engine'!$B$6&gt;0,'_Engine'!AM56&lt;&gt;"OK"),"REVIEW",'_Engine'!AI56))</ns0:f>
        <ns0:v/>
      </ns0:c>
      <ns0:c r="G57" s="100" t="str">
        <ns0:f>IF('_Engine'!X56=0,"",IF(OR('_Engine'!$B$6&gt;0,'_Engine'!AM56&lt;&gt;"OK"),"REVIEW",'_Engine'!AJ56))</ns0:f>
        <ns0:v/>
      </ns0:c>
      <ns0:c r="H57" s="102" t="str">
        <ns0:f>IF('_Engine'!X56=0,"",IF(OR('_Engine'!$B$6&gt;0,'_Engine'!AM56&lt;&gt;"OK"),"REVIEW",'_Engine'!AN56))</ns0:f>
        <ns0:v/>
      </ns0:c>
      <ns0:c r="I57" s="100" t="str">
        <ns0:f>IF('_Engine'!X56=0,"",IF(OR('_Engine'!$B$6&gt;0,'_Engine'!AM56&lt;&gt;"OK"),"REVIEW",'_Engine'!AK56))</ns0:f>
        <ns0:v/>
      </ns0:c>
      <ns0:c r="J57" s="4" t="str">
        <ns0:f>IF('_Engine'!X56=0,"",IF('_Engine'!$B$6&gt;0,"CHECK shared settings",'_Engine'!AM56))</ns0:f>
        <ns0:v/>
      </ns0:c>
    </ns0:row>
    <ns0:row r="58" ht="29" customHeight="1">
      <ns0:c r="A58" s="4" t="str">
        <ns0:f>IF('_Engine'!X57=0,"",IF(Team!B57="","[Unnamed] "&amp;Team!A57,Team!B57))</ns0:f>
        <ns0:v/>
      </ns0:c>
      <ns0:c r="B58" s="4" t="str">
        <ns0:f>IF('_Engine'!X57=0,"",Team!C57)</ns0:f>
        <ns0:v/>
      </ns0:c>
      <ns0:c r="C58" s="100" t="str">
        <ns0:f>IF('_Engine'!X57=0,"",IF('_Engine'!AA57&gt;0,"REVIEW",Team!F57))</ns0:f>
        <ns0:v/>
      </ns0:c>
      <ns0:c r="D58" s="100" t="str">
        <ns0:f>IF('_Engine'!X57=0,"",IF('_Engine'!AA57&gt;0,"REVIEW",Team!G57))</ns0:f>
        <ns0:v/>
      </ns0:c>
      <ns0:c r="E58" s="100" t="str">
        <ns0:f>IF('_Engine'!X57=0,"",IF(OR('_Engine'!$B$6&gt;0,'_Engine'!AM57&lt;&gt;"OK"),"REVIEW",'_Engine'!AH57))</ns0:f>
        <ns0:v/>
      </ns0:c>
      <ns0:c r="F58" s="100" t="str">
        <ns0:f>IF('_Engine'!X57=0,"",IF(OR('_Engine'!$B$6&gt;0,'_Engine'!AM57&lt;&gt;"OK"),"REVIEW",'_Engine'!AI57))</ns0:f>
        <ns0:v/>
      </ns0:c>
      <ns0:c r="G58" s="100" t="str">
        <ns0:f>IF('_Engine'!X57=0,"",IF(OR('_Engine'!$B$6&gt;0,'_Engine'!AM57&lt;&gt;"OK"),"REVIEW",'_Engine'!AJ57))</ns0:f>
        <ns0:v/>
      </ns0:c>
      <ns0:c r="H58" s="102" t="str">
        <ns0:f>IF('_Engine'!X57=0,"",IF(OR('_Engine'!$B$6&gt;0,'_Engine'!AM57&lt;&gt;"OK"),"REVIEW",'_Engine'!AN57))</ns0:f>
        <ns0:v/>
      </ns0:c>
      <ns0:c r="I58" s="100" t="str">
        <ns0:f>IF('_Engine'!X57=0,"",IF(OR('_Engine'!$B$6&gt;0,'_Engine'!AM57&lt;&gt;"OK"),"REVIEW",'_Engine'!AK57))</ns0:f>
        <ns0:v/>
      </ns0:c>
      <ns0:c r="J58" s="4" t="str">
        <ns0:f>IF('_Engine'!X57=0,"",IF('_Engine'!$B$6&gt;0,"CHECK shared settings",'_Engine'!AM57))</ns0:f>
        <ns0:v/>
      </ns0:c>
    </ns0:row>
    <ns0:row r="59" ht="29" customHeight="1">
      <ns0:c r="A59" s="4" t="str">
        <ns0:f>IF('_Engine'!X58=0,"",IF(Team!B58="","[Unnamed] "&amp;Team!A58,Team!B58))</ns0:f>
        <ns0:v/>
      </ns0:c>
      <ns0:c r="B59" s="4" t="str">
        <ns0:f>IF('_Engine'!X58=0,"",Team!C58)</ns0:f>
        <ns0:v/>
      </ns0:c>
      <ns0:c r="C59" s="100" t="str">
        <ns0:f>IF('_Engine'!X58=0,"",IF('_Engine'!AA58&gt;0,"REVIEW",Team!F58))</ns0:f>
        <ns0:v/>
      </ns0:c>
      <ns0:c r="D59" s="100" t="str">
        <ns0:f>IF('_Engine'!X58=0,"",IF('_Engine'!AA58&gt;0,"REVIEW",Team!G58))</ns0:f>
        <ns0:v/>
      </ns0:c>
      <ns0:c r="E59" s="100" t="str">
        <ns0:f>IF('_Engine'!X58=0,"",IF(OR('_Engine'!$B$6&gt;0,'_Engine'!AM58&lt;&gt;"OK"),"REVIEW",'_Engine'!AH58))</ns0:f>
        <ns0:v/>
      </ns0:c>
      <ns0:c r="F59" s="100" t="str">
        <ns0:f>IF('_Engine'!X58=0,"",IF(OR('_Engine'!$B$6&gt;0,'_Engine'!AM58&lt;&gt;"OK"),"REVIEW",'_Engine'!AI58))</ns0:f>
        <ns0:v/>
      </ns0:c>
      <ns0:c r="G59" s="100" t="str">
        <ns0:f>IF('_Engine'!X58=0,"",IF(OR('_Engine'!$B$6&gt;0,'_Engine'!AM58&lt;&gt;"OK"),"REVIEW",'_Engine'!AJ58))</ns0:f>
        <ns0:v/>
      </ns0:c>
      <ns0:c r="H59" s="102" t="str">
        <ns0:f>IF('_Engine'!X58=0,"",IF(OR('_Engine'!$B$6&gt;0,'_Engine'!AM58&lt;&gt;"OK"),"REVIEW",'_Engine'!AN58))</ns0:f>
        <ns0:v/>
      </ns0:c>
      <ns0:c r="I59" s="100" t="str">
        <ns0:f>IF('_Engine'!X58=0,"",IF(OR('_Engine'!$B$6&gt;0,'_Engine'!AM58&lt;&gt;"OK"),"REVIEW",'_Engine'!AK58))</ns0:f>
        <ns0:v/>
      </ns0:c>
      <ns0:c r="J59" s="4" t="str">
        <ns0:f>IF('_Engine'!X58=0,"",IF('_Engine'!$B$6&gt;0,"CHECK shared settings",'_Engine'!AM58))</ns0:f>
        <ns0:v/>
      </ns0:c>
    </ns0:row>
    <ns0:row r="60" ht="29" customHeight="1">
      <ns0:c r="A60" s="4" t="str">
        <ns0:f>IF('_Engine'!X59=0,"",IF(Team!B59="","[Unnamed] "&amp;Team!A59,Team!B59))</ns0:f>
        <ns0:v/>
      </ns0:c>
      <ns0:c r="B60" s="4" t="str">
        <ns0:f>IF('_Engine'!X59=0,"",Team!C59)</ns0:f>
        <ns0:v/>
      </ns0:c>
      <ns0:c r="C60" s="100" t="str">
        <ns0:f>IF('_Engine'!X59=0,"",IF('_Engine'!AA59&gt;0,"REVIEW",Team!F59))</ns0:f>
        <ns0:v/>
      </ns0:c>
      <ns0:c r="D60" s="100" t="str">
        <ns0:f>IF('_Engine'!X59=0,"",IF('_Engine'!AA59&gt;0,"REVIEW",Team!G59))</ns0:f>
        <ns0:v/>
      </ns0:c>
      <ns0:c r="E60" s="100" t="str">
        <ns0:f>IF('_Engine'!X59=0,"",IF(OR('_Engine'!$B$6&gt;0,'_Engine'!AM59&lt;&gt;"OK"),"REVIEW",'_Engine'!AH59))</ns0:f>
        <ns0:v/>
      </ns0:c>
      <ns0:c r="F60" s="100" t="str">
        <ns0:f>IF('_Engine'!X59=0,"",IF(OR('_Engine'!$B$6&gt;0,'_Engine'!AM59&lt;&gt;"OK"),"REVIEW",'_Engine'!AI59))</ns0:f>
        <ns0:v/>
      </ns0:c>
      <ns0:c r="G60" s="100" t="str">
        <ns0:f>IF('_Engine'!X59=0,"",IF(OR('_Engine'!$B$6&gt;0,'_Engine'!AM59&lt;&gt;"OK"),"REVIEW",'_Engine'!AJ59))</ns0:f>
        <ns0:v/>
      </ns0:c>
      <ns0:c r="H60" s="102" t="str">
        <ns0:f>IF('_Engine'!X59=0,"",IF(OR('_Engine'!$B$6&gt;0,'_Engine'!AM59&lt;&gt;"OK"),"REVIEW",'_Engine'!AN59))</ns0:f>
        <ns0:v/>
      </ns0:c>
      <ns0:c r="I60" s="100" t="str">
        <ns0:f>IF('_Engine'!X59=0,"",IF(OR('_Engine'!$B$6&gt;0,'_Engine'!AM59&lt;&gt;"OK"),"REVIEW",'_Engine'!AK59))</ns0:f>
        <ns0:v/>
      </ns0:c>
      <ns0:c r="J60" s="4" t="str">
        <ns0:f>IF('_Engine'!X59=0,"",IF('_Engine'!$B$6&gt;0,"CHECK shared settings",'_Engine'!AM59))</ns0:f>
        <ns0:v/>
      </ns0:c>
    </ns0:row>
    <ns0:row r="61" ht="29" customHeight="1">
      <ns0:c r="A61" s="4" t="str">
        <ns0:f>IF('_Engine'!X60=0,"",IF(Team!B60="","[Unnamed] "&amp;Team!A60,Team!B60))</ns0:f>
        <ns0:v/>
      </ns0:c>
      <ns0:c r="B61" s="4" t="str">
        <ns0:f>IF('_Engine'!X60=0,"",Team!C60)</ns0:f>
        <ns0:v/>
      </ns0:c>
      <ns0:c r="C61" s="100" t="str">
        <ns0:f>IF('_Engine'!X60=0,"",IF('_Engine'!AA60&gt;0,"REVIEW",Team!F60))</ns0:f>
        <ns0:v/>
      </ns0:c>
      <ns0:c r="D61" s="100" t="str">
        <ns0:f>IF('_Engine'!X60=0,"",IF('_Engine'!AA60&gt;0,"REVIEW",Team!G60))</ns0:f>
        <ns0:v/>
      </ns0:c>
      <ns0:c r="E61" s="100" t="str">
        <ns0:f>IF('_Engine'!X60=0,"",IF(OR('_Engine'!$B$6&gt;0,'_Engine'!AM60&lt;&gt;"OK"),"REVIEW",'_Engine'!AH60))</ns0:f>
        <ns0:v/>
      </ns0:c>
      <ns0:c r="F61" s="100" t="str">
        <ns0:f>IF('_Engine'!X60=0,"",IF(OR('_Engine'!$B$6&gt;0,'_Engine'!AM60&lt;&gt;"OK"),"REVIEW",'_Engine'!AI60))</ns0:f>
        <ns0:v/>
      </ns0:c>
      <ns0:c r="G61" s="100" t="str">
        <ns0:f>IF('_Engine'!X60=0,"",IF(OR('_Engine'!$B$6&gt;0,'_Engine'!AM60&lt;&gt;"OK"),"REVIEW",'_Engine'!AJ60))</ns0:f>
        <ns0:v/>
      </ns0:c>
      <ns0:c r="H61" s="102" t="str">
        <ns0:f>IF('_Engine'!X60=0,"",IF(OR('_Engine'!$B$6&gt;0,'_Engine'!AM60&lt;&gt;"OK"),"REVIEW",'_Engine'!AN60))</ns0:f>
        <ns0:v/>
      </ns0:c>
      <ns0:c r="I61" s="100" t="str">
        <ns0:f>IF('_Engine'!X60=0,"",IF(OR('_Engine'!$B$6&gt;0,'_Engine'!AM60&lt;&gt;"OK"),"REVIEW",'_Engine'!AK60))</ns0:f>
        <ns0:v/>
      </ns0:c>
      <ns0:c r="J61" s="4" t="str">
        <ns0:f>IF('_Engine'!X60=0,"",IF('_Engine'!$B$6&gt;0,"CHECK shared settings",'_Engine'!AM60))</ns0:f>
        <ns0:v/>
      </ns0:c>
    </ns0:row>
    <ns0:row r="62" ht="22" customHeight="1">
      <ns0:c r="A62" s="4"/>
      <ns0:c r="B62" s="4"/>
      <ns0:c r="C62" s="4"/>
      <ns0:c r="D62" s="4"/>
      <ns0:c r="E62" s="4"/>
      <ns0:c r="F62" s="4"/>
      <ns0:c r="G62" s="4"/>
      <ns0:c r="H62" s="4"/>
      <ns0:c r="I62" s="4"/>
      <ns0:c r="J62" s="4"/>
    </ns0:row>
    <ns0:row r="63" ht="22" customHeight="1">
      <ns0:c r="A63" s="31" t="str">
        <ns0:v>Remaining to book = bookable allowance + adjustment − taken − booked ahead. Taken / ahead include all approved leave types marked Yes in Settings. A negative balance stays negative.</ns0:v>
      </ns0:c>
      <ns0:c r="B63" s="31"/>
      <ns0:c r="C63" s="31"/>
      <ns0:c r="D63" s="31"/>
      <ns0:c r="E63" s="31"/>
      <ns0:c r="F63" s="31"/>
      <ns0:c r="G63" s="31"/>
      <ns0:c r="H63" s="31"/>
      <ns0:c r="I63" s="31"/>
      <ns0:c r="J63" s="31"/>
    </ns0:row>
    <ns0:row r="64" ht="22" customHeight="1">
      <ns0:c r="A64" s="31"/>
      <ns0:c r="B64" s="31"/>
      <ns0:c r="C64" s="31"/>
      <ns0:c r="D64" s="31"/>
      <ns0:c r="E64" s="31"/>
      <ns0:c r="F64" s="31"/>
      <ns0:c r="G64" s="31"/>
      <ns0:c r="H64" s="31"/>
      <ns0:c r="I64" s="31"/>
      <ns0:c r="J64" s="31"/>
    </ns0:row>
    <ns0:row r="65" ht="22" customHeight="1">
      <ns0:c r="A65" s="4"/>
      <ns0:c r="B65" s="4"/>
      <ns0:c r="C65" s="4"/>
      <ns0:c r="D65" s="4"/>
      <ns0:c r="E65" s="4"/>
      <ns0:c r="F65" s="4"/>
      <ns0:c r="G65" s="4"/>
      <ns0:c r="H65" s="4"/>
      <ns0:c r="I65" s="4"/>
      <ns0:c r="J65" s="4"/>
    </ns0:row>
    <ns0:row r="66" ht="22" customHeight="1">
      <ns0:c r="A66" s="36" t="str">
        <ns0:f>IF('_Engine'!$B$8=0,"All current records pass the input checks.",IF('_Engine'!$B$9&gt;0,"UNASSIGNED ENTRIES: company totals are incomplete. Individual figures use identified records only and may change when these entries are assigned.","REVIEW REQUIRED: affected employee figures are withheld. Other employee figures remain available. Company totals are incomplete."))</ns0:f>
        <ns0:v>All current records pass the input checks.</ns0:v>
      </ns0:c>
      <ns0:c r="B66" s="36"/>
      <ns0:c r="C66" s="36"/>
      <ns0:c r="D66" s="36"/>
      <ns0:c r="E66" s="36"/>
      <ns0:c r="F66" s="36"/>
      <ns0:c r="G66" s="36"/>
      <ns0:c r="H66" s="36"/>
      <ns0:c r="I66" s="36"/>
      <ns0:c r="J66" s="36"/>
    </ns0:row>
    <ns0:row r="67" ht="22" customHeight="1">
      <ns0:c r="A67" s="36"/>
      <ns0:c r="B67" s="36"/>
      <ns0:c r="C67" s="36"/>
      <ns0:c r="D67" s="36"/>
      <ns0:c r="E67" s="36"/>
      <ns0:c r="F67" s="36"/>
      <ns0:c r="G67" s="36"/>
      <ns0:c r="H67" s="36"/>
      <ns0:c r="I67" s="36"/>
      <ns0:c r="J67" s="36"/>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A6:B6"/>
    <ns0:mergeCell ref="D6:E6"/>
    <ns0:mergeCell ref="F6:J6"/>
    <ns0:mergeCell ref="A8:C9"/>
    <ns0:mergeCell ref="D8:F9"/>
    <ns0:mergeCell ref="G8:J9"/>
    <ns0:mergeCell ref="A63:J64"/>
    <ns0:mergeCell ref="A66:J67"/>
  </ns0:mergeCells>
  <ns0:conditionalFormatting sqref="J12:J61">
    <ns0:cfRule type="expression" dxfId="11" priority="1">
      <ns0:formula>LEFT(J12,5)="CHECK"</ns0:formula>
    </ns0:cfRule>
  </ns0:conditionalFormatting>
  <ns0:conditionalFormatting sqref="H12:H61">
    <ns0:cfRule type="expression" dxfId="14" priority="2">
      <ns0:formula>AND(ISNUMBER(H12),H12&lt;0)</ns0:formula>
    </ns0:cfRule>
    <ns0:cfRule type="expression" dxfId="15" priority="3">
      <ns0:formula>H12="REVIEW"</ns0:formula>
    </ns0:cfRule>
  </ns0:conditionalFormatting>
  <ns0:pageMargins left="0.7" right="0.7" top="0.75" bottom="0.75" header="0.3" footer="0.3"/>
  <ns0:tableParts count="1">
    <ns0:tablePart ns1:id="R71a6ba85fe4446f5"/>
  </ns0:tableParts>
</ns0:worksheet>
</file>

<file path=xl/worksheets/sheet4.xml><?xml version="1.0" encoding="utf-8"?>
<ns0:worksheet xmlns:ns0="http://schemas.openxmlformats.org/spreadsheetml/2006/main" xmlns:ns1="http://schemas.openxmlformats.org/officeDocument/2006/relationships">
  <ns0:sheetViews>
    <ns0:sheetView workbookViewId="0" showGridLines="0" zoomScale="85">
      <ns0:pane ySplit="10" topLeftCell="D11" activePane="bottomRight" state="frozen" xSplit="3"/>
      <ns0:selection pane="bottomRight" activeCell="D11" sqref="D11"/>
    </ns0:sheetView>
  </ns0:sheetViews>
  <ns0:sheetFormatPr defaultRowHeight="15"/>
  <ns0:cols>
    <ns0:col min="1" max="1" width="13" hidden="0" customWidth="1"/>
    <ns0:col min="2" max="2" width="24" hidden="0" customWidth="1"/>
    <ns0:col min="3" max="3" width="18" hidden="0" customWidth="1"/>
    <ns0:col min="4" max="4" width="13" hidden="0" customWidth="1"/>
    <ns0:col min="5" max="5" width="13" hidden="0" customWidth="1"/>
    <ns0:col min="6" max="6" width="13" hidden="0" customWidth="1"/>
    <ns0:col min="7" max="7" width="12" hidden="0" customWidth="1"/>
    <ns0:col min="8" max="8" width="8" hidden="0" customWidth="1"/>
    <ns0:col min="9" max="9" width="8" hidden="0" customWidth="1"/>
    <ns0:col min="10" max="10" width="8" hidden="0" customWidth="1"/>
    <ns0:col min="11" max="11" width="8" hidden="0" customWidth="1"/>
    <ns0:col min="12" max="12" width="8" hidden="0" customWidth="1"/>
    <ns0:col min="13" max="13" width="8" hidden="0" customWidth="1"/>
    <ns0:col min="14" max="14" width="8" hidden="0" customWidth="1"/>
    <ns0:col min="15" max="15" width="33" hidden="0" customWidth="1"/>
  </ns0:cols>
  <ns0:sheetData>
    <ns0:row r="1" ht="26" customHeight="1">
      <ns0:c r="A1" s="7" t="str">
        <ns0:v>TimeOff.Management  /  Team</ns0:v>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0" t="str">
        <ns0:v>Agreed allowance − fixed days reserved = bookable allowance. Example: 28 − 8 = 20. Enter each person’s total agreed entitlement in “Agreed allowance”; do not deduct fixed holidays twice.</ns0:v>
      </ns0:c>
      <ns0:c r="B6" s="40"/>
      <ns0:c r="C6" s="40"/>
      <ns0:c r="D6" s="40"/>
      <ns0:c r="E6" s="40"/>
      <ns0:c r="F6" s="40"/>
      <ns0:c r="G6" s="40"/>
      <ns0:c r="H6" s="31" t="str">
        <ns0:v>Blue cells are inputs. Use a stable ID; never reuse it during this leave year. Working days must be equal in length within each employee’s week.</ns0:v>
      </ns0:c>
      <ns0:c r="I6" s="31"/>
      <ns0:c r="J6" s="31"/>
      <ns0:c r="K6" s="45"/>
      <ns0:c r="L6" s="45"/>
      <ns0:c r="M6" s="45"/>
      <ns0:c r="N6" s="45"/>
      <ns0:c r="O6" s="45"/>
    </ns0:row>
    <ns0:row r="7" ht="22" customHeight="1">
      <ns0:c r="A7" s="40"/>
      <ns0:c r="B7" s="40"/>
      <ns0:c r="C7" s="40"/>
      <ns0:c r="D7" s="40"/>
      <ns0:c r="E7" s="40"/>
      <ns0:c r="F7" s="40"/>
      <ns0:c r="G7" s="40"/>
      <ns0:c r="H7" s="31"/>
      <ns0:c r="I7" s="31"/>
      <ns0:c r="J7" s="31"/>
      <ns0:c r="K7" s="45"/>
      <ns0:c r="L7" s="45"/>
      <ns0:c r="M7" s="45"/>
      <ns0:c r="N7" s="45"/>
      <ns0:c r="O7" s="45"/>
    </ns0:row>
    <ns0:row r="8" ht="22" customHeight="1">
      <ns0:c r="A8" s="4"/>
      <ns0:c r="B8" s="4"/>
      <ns0:c r="C8" s="4"/>
      <ns0:c r="D8" s="4"/>
      <ns0:c r="E8" s="4"/>
      <ns0:c r="F8" s="4"/>
      <ns0:c r="G8" s="4"/>
      <ns0:c r="H8" s="4"/>
      <ns0:c r="I8" s="4"/>
      <ns0:c r="J8" s="4"/>
    </ns0:row>
    <ns0:row r="9" ht="22" customHeight="1">
      <ns0:c r="A9" s="52" t="str">
        <ns0:v>50 prepared employee rows. Default IDs and Monday–Friday patterns are suggestions. Empty name / team / allowance rows are not employees.</ns0:v>
      </ns0:c>
      <ns0:c r="B9" s="52"/>
      <ns0:c r="C9" s="52"/>
      <ns0:c r="D9" s="52"/>
      <ns0:c r="E9" s="52"/>
      <ns0:c r="F9" s="52"/>
      <ns0:c r="G9" s="52"/>
      <ns0:c r="H9" s="52"/>
      <ns0:c r="I9" s="52"/>
      <ns0:c r="J9" s="52"/>
      <ns0:c r="K9" s="54"/>
      <ns0:c r="L9" s="54"/>
      <ns0:c r="M9" s="54"/>
      <ns0:c r="N9" s="54"/>
      <ns0:c r="O9" s="54"/>
    </ns0:row>
    <ns0:row r="10" ht="36" customHeight="1">
      <ns0:c r="A10" s="17" t="str">
        <ns0:v>Employee ID</ns0:v>
      </ns0:c>
      <ns0:c r="B10" s="17" t="str">
        <ns0:v>Employee name</ns0:v>
      </ns0:c>
      <ns0:c r="C10" s="17" t="str">
        <ns0:v>Team</ns0:v>
      </ns0:c>
      <ns0:c r="D10" s="17" t="str">
        <ns0:v>Agreed
allowance</ns0:v>
      </ns0:c>
      <ns0:c r="E10" s="17" t="str">
        <ns0:v>Fixed days
reserved</ns0:v>
      </ns0:c>
      <ns0:c r="F10" s="17" t="str">
        <ns0:v>Bookable
allowance</ns0:v>
      </ns0:c>
      <ns0:c r="G10" s="17" t="str">
        <ns0:v>Adjustment</ns0:v>
      </ns0:c>
      <ns0:c r="H10" s="17" t="str">
        <ns0:v>Mon</ns0:v>
      </ns0:c>
      <ns0:c r="I10" s="17" t="str">
        <ns0:v>Tue</ns0:v>
      </ns0:c>
      <ns0:c r="J10" s="17" t="str">
        <ns0:v>Wed</ns0:v>
      </ns0:c>
      <ns0:c r="K10" s="63" t="str">
        <ns0:v>Thu</ns0:v>
      </ns0:c>
      <ns0:c r="L10" s="63" t="str">
        <ns0:v>Fri</ns0:v>
      </ns0:c>
      <ns0:c r="M10" s="63" t="str">
        <ns0:v>Sat</ns0:v>
      </ns0:c>
      <ns0:c r="N10" s="63" t="str">
        <ns0:v>Sun</ns0:v>
      </ns0:c>
      <ns0:c r="O10" s="63" t="str">
        <ns0:v>Review</ns0:v>
      </ns0:c>
    </ns0:row>
    <ns0:row r="11" ht="27" customHeight="1">
      <ns0:c r="A11" s="200" t="str">
        <ns0:v>EMP001</ns0:v>
      </ns0:c>
      <ns0:c r="B11" s="200" t="str">
        <ns0:v>Alex Morgan</ns0:v>
      </ns0:c>
      <ns0:c r="C11" s="200" t="str">
        <ns0:v>Product</ns0:v>
      </ns0:c>
      <ns0:c r="D11" s="204" t="n">
        <ns0:v>33</ns0:v>
      </ns0:c>
      <ns0:c r="E11" s="204" t="n">
        <ns0:v>8</ns0:v>
      </ns0:c>
      <ns0:c r="F11" s="75">
        <ns0:f>IF('_Engine'!X11=0,"",IF(OR(NOT(ISNUMBER(D11)),NOT(ISNUMBER(E11)),E11&lt;0,D11&lt;E11),"REVIEW",D11-E11))</ns0:f>
        <ns0:v>25</ns0:v>
      </ns0:c>
      <ns0:c r="G11" s="204" t="n">
        <ns0:v>0</ns0:v>
      </ns0:c>
      <ns0:c r="H11" s="205" t="str">
        <ns0:v>Work</ns0:v>
      </ns0:c>
      <ns0:c r="I11" s="205" t="str">
        <ns0:v>Work</ns0:v>
      </ns0:c>
      <ns0:c r="J11" s="205" t="str">
        <ns0:v>Work</ns0:v>
      </ns0:c>
      <ns0:c r="K11" s="206" t="str">
        <ns0:v>Work</ns0:v>
      </ns0:c>
      <ns0:c r="L11" s="206" t="str">
        <ns0:v>Work</ns0:v>
      </ns0:c>
      <ns0:c r="M11" s="206" t="str">
        <ns0:v>Off</ns0:v>
      </ns0:c>
      <ns0:c r="N11" s="206" t="str">
        <ns0:v>Off</ns0:v>
      </ns0:c>
      <ns0:c r="O11" t="str">
        <ns0:f>IF('_Engine'!X11=0,"",IFERROR(IF(OR(NOT(ISTEXT(A11)),A11="",LEN(TRIM(A11))=0,LEN(A11)&gt;24,ISNUMBER(FIND(" ",A11)),ISNUMBER(FIND("*",A11)),ISNUMBER(FIND("?",A11)),ISNUMBER(FIND("~",A11))),"CHECK stable ID",IF(COUNTIF($A$11:$A$60,A11)&lt;&gt;1,"CHECK duplicate ID",IF(OR(LEN(TRIM(B11))=0,ISNUMBER(FIND(" · ",B11))),"CHECK employee name",IF(OR(LEN(TRIM(C11))=0,ISNUMBER(FIND("*",C11)),ISNUMBER(FIND("?",C11)),ISNUMBER(FIND("~",C11)),C11="All teams"),"CHECK team name",IF(OR(NOT(ISNUMBER(D11)),D11&lt;0,D11&gt;366),"CHECK agreed allowance",IF(OR(NOT(ISNUMBER(E11)),E11&lt;0,E11&gt;D11),"CHECK fixed days reserved",IF(OR(NOT(ISNUMBER(G11)),G11&lt;-366,G11&gt;366),"CHECK adjustment",IF(COUNTIF(H11:N11,"Work")+COUNTIF(H11:N11,"Off")&lt;&gt;7,"CHECK weekly pattern",IF(COUNTIF(H11:N11,"Work")=0,"CHECK at least one workday","OK"))))))))),"CHECK input"))</ns0:f>
        <ns0:v>OK</ns0:v>
      </ns0:c>
    </ns0:row>
    <ns0:row r="12" ht="27" customHeight="1">
      <ns0:c r="A12" s="200" t="str">
        <ns0:v>EMP002</ns0:v>
      </ns0:c>
      <ns0:c r="B12" s="200" t="str">
        <ns0:v>Helen Stone</ns0:v>
      </ns0:c>
      <ns0:c r="C12" s="200" t="str">
        <ns0:v>Operations</ns0:v>
      </ns0:c>
      <ns0:c r="D12" s="204" t="n">
        <ns0:v>33</ns0:v>
      </ns0:c>
      <ns0:c r="E12" s="204" t="n">
        <ns0:v>8</ns0:v>
      </ns0:c>
      <ns0:c r="F12" s="75">
        <ns0:f>IF('_Engine'!X12=0,"",IF(OR(NOT(ISNUMBER(D12)),NOT(ISNUMBER(E12)),E12&lt;0,D12&lt;E12),"REVIEW",D12-E12))</ns0:f>
        <ns0:v>25</ns0:v>
      </ns0:c>
      <ns0:c r="G12" s="204" t="n">
        <ns0:v>2</ns0:v>
      </ns0:c>
      <ns0:c r="H12" s="205" t="str">
        <ns0:v>Work</ns0:v>
      </ns0:c>
      <ns0:c r="I12" s="205" t="str">
        <ns0:v>Work</ns0:v>
      </ns0:c>
      <ns0:c r="J12" s="205" t="str">
        <ns0:v>Work</ns0:v>
      </ns0:c>
      <ns0:c r="K12" s="206" t="str">
        <ns0:v>Work</ns0:v>
      </ns0:c>
      <ns0:c r="L12" s="206" t="str">
        <ns0:v>Work</ns0:v>
      </ns0:c>
      <ns0:c r="M12" s="206" t="str">
        <ns0:v>Off</ns0:v>
      </ns0:c>
      <ns0:c r="N12" s="206" t="str">
        <ns0:v>Off</ns0:v>
      </ns0:c>
      <ns0:c r="O12" t="str">
        <ns0:f>IF('_Engine'!X12=0,"",IFERROR(IF(OR(NOT(ISTEXT(A12)),A12="",LEN(TRIM(A12))=0,LEN(A12)&gt;24,ISNUMBER(FIND(" ",A12)),ISNUMBER(FIND("*",A12)),ISNUMBER(FIND("?",A12)),ISNUMBER(FIND("~",A12))),"CHECK stable ID",IF(COUNTIF($A$11:$A$60,A12)&lt;&gt;1,"CHECK duplicate ID",IF(OR(LEN(TRIM(B12))=0,ISNUMBER(FIND(" · ",B12))),"CHECK employee name",IF(OR(LEN(TRIM(C12))=0,ISNUMBER(FIND("*",C12)),ISNUMBER(FIND("?",C12)),ISNUMBER(FIND("~",C12)),C12="All teams"),"CHECK team name",IF(OR(NOT(ISNUMBER(D12)),D12&lt;0,D12&gt;366),"CHECK agreed allowance",IF(OR(NOT(ISNUMBER(E12)),E12&lt;0,E12&gt;D12),"CHECK fixed days reserved",IF(OR(NOT(ISNUMBER(G12)),G12&lt;-366,G12&gt;366),"CHECK adjustment",IF(COUNTIF(H12:N12,"Work")+COUNTIF(H12:N12,"Off")&lt;&gt;7,"CHECK weekly pattern",IF(COUNTIF(H12:N12,"Work")=0,"CHECK at least one workday","OK"))))))))),"CHECK input"))</ns0:f>
        <ns0:v>OK</ns0:v>
      </ns0:c>
    </ns0:row>
    <ns0:row r="13" ht="27" customHeight="1">
      <ns0:c r="A13" s="200" t="str">
        <ns0:v>EMP003</ns0:v>
      </ns0:c>
      <ns0:c r="B13" s="200" t="str">
        <ns0:v>Sam Patel</ns0:v>
      </ns0:c>
      <ns0:c r="C13" s="200" t="str">
        <ns0:v>Product</ns0:v>
      </ns0:c>
      <ns0:c r="D13" s="204" t="n">
        <ns0:v>20</ns0:v>
      </ns0:c>
      <ns0:c r="E13" s="204" t="n">
        <ns0:v>5</ns0:v>
      </ns0:c>
      <ns0:c r="F13" s="75">
        <ns0:f>IF('_Engine'!X13=0,"",IF(OR(NOT(ISNUMBER(D13)),NOT(ISNUMBER(E13)),E13&lt;0,D13&lt;E13),"REVIEW",D13-E13))</ns0:f>
        <ns0:v>15</ns0:v>
      </ns0:c>
      <ns0:c r="G13" s="204" t="n">
        <ns0:v>0</ns0:v>
      </ns0:c>
      <ns0:c r="H13" s="205" t="str">
        <ns0:v>Work</ns0:v>
      </ns0:c>
      <ns0:c r="I13" s="205" t="str">
        <ns0:v>Work</ns0:v>
      </ns0:c>
      <ns0:c r="J13" s="205" t="str">
        <ns0:v>Work</ns0:v>
      </ns0:c>
      <ns0:c r="K13" s="206" t="str">
        <ns0:v>Off</ns0:v>
      </ns0:c>
      <ns0:c r="L13" s="206" t="str">
        <ns0:v>Off</ns0:v>
      </ns0:c>
      <ns0:c r="M13" s="206" t="str">
        <ns0:v>Off</ns0:v>
      </ns0:c>
      <ns0:c r="N13" s="206" t="str">
        <ns0:v>Off</ns0:v>
      </ns0:c>
      <ns0:c r="O13" t="str">
        <ns0:f>IF('_Engine'!X13=0,"",IFERROR(IF(OR(NOT(ISTEXT(A13)),A13="",LEN(TRIM(A13))=0,LEN(A13)&gt;24,ISNUMBER(FIND(" ",A13)),ISNUMBER(FIND("*",A13)),ISNUMBER(FIND("?",A13)),ISNUMBER(FIND("~",A13))),"CHECK stable ID",IF(COUNTIF($A$11:$A$60,A13)&lt;&gt;1,"CHECK duplicate ID",IF(OR(LEN(TRIM(B13))=0,ISNUMBER(FIND(" · ",B13))),"CHECK employee name",IF(OR(LEN(TRIM(C13))=0,ISNUMBER(FIND("*",C13)),ISNUMBER(FIND("?",C13)),ISNUMBER(FIND("~",C13)),C13="All teams"),"CHECK team name",IF(OR(NOT(ISNUMBER(D13)),D13&lt;0,D13&gt;366),"CHECK agreed allowance",IF(OR(NOT(ISNUMBER(E13)),E13&lt;0,E13&gt;D13),"CHECK fixed days reserved",IF(OR(NOT(ISNUMBER(G13)),G13&lt;-366,G13&gt;366),"CHECK adjustment",IF(COUNTIF(H13:N13,"Work")+COUNTIF(H13:N13,"Off")&lt;&gt;7,"CHECK weekly pattern",IF(COUNTIF(H13:N13,"Work")=0,"CHECK at least one workday","OK"))))))))),"CHECK input"))</ns0:f>
        <ns0:v>OK</ns0:v>
      </ns0:c>
    </ns0:row>
    <ns0:row r="14" ht="27" customHeight="1">
      <ns0:c r="A14" s="200" t="str">
        <ns0:v>EMP004</ns0:v>
      </ns0:c>
      <ns0:c r="B14" s="200" t="str">
        <ns0:v>Jordan Lee</ns0:v>
      </ns0:c>
      <ns0:c r="C14" s="200" t="str">
        <ns0:v>Operations</ns0:v>
      </ns0:c>
      <ns0:c r="D14" s="204" t="n">
        <ns0:v>33</ns0:v>
      </ns0:c>
      <ns0:c r="E14" s="204" t="n">
        <ns0:v>8</ns0:v>
      </ns0:c>
      <ns0:c r="F14" s="75">
        <ns0:f>IF('_Engine'!X14=0,"",IF(OR(NOT(ISNUMBER(D14)),NOT(ISNUMBER(E14)),E14&lt;0,D14&lt;E14),"REVIEW",D14-E14))</ns0:f>
        <ns0:v>25</ns0:v>
      </ns0:c>
      <ns0:c r="G14" s="204" t="n">
        <ns0:v>0</ns0:v>
      </ns0:c>
      <ns0:c r="H14" s="205" t="str">
        <ns0:v>Work</ns0:v>
      </ns0:c>
      <ns0:c r="I14" s="205" t="str">
        <ns0:v>Work</ns0:v>
      </ns0:c>
      <ns0:c r="J14" s="205" t="str">
        <ns0:v>Work</ns0:v>
      </ns0:c>
      <ns0:c r="K14" s="206" t="str">
        <ns0:v>Work</ns0:v>
      </ns0:c>
      <ns0:c r="L14" s="206" t="str">
        <ns0:v>Work</ns0:v>
      </ns0:c>
      <ns0:c r="M14" s="206" t="str">
        <ns0:v>Off</ns0:v>
      </ns0:c>
      <ns0:c r="N14" s="206" t="str">
        <ns0:v>Off</ns0:v>
      </ns0:c>
      <ns0:c r="O14" t="str">
        <ns0:f>IF('_Engine'!X14=0,"",IFERROR(IF(OR(NOT(ISTEXT(A14)),A14="",LEN(TRIM(A14))=0,LEN(A14)&gt;24,ISNUMBER(FIND(" ",A14)),ISNUMBER(FIND("*",A14)),ISNUMBER(FIND("?",A14)),ISNUMBER(FIND("~",A14))),"CHECK stable ID",IF(COUNTIF($A$11:$A$60,A14)&lt;&gt;1,"CHECK duplicate ID",IF(OR(LEN(TRIM(B14))=0,ISNUMBER(FIND(" · ",B14))),"CHECK employee name",IF(OR(LEN(TRIM(C14))=0,ISNUMBER(FIND("*",C14)),ISNUMBER(FIND("?",C14)),ISNUMBER(FIND("~",C14)),C14="All teams"),"CHECK team name",IF(OR(NOT(ISNUMBER(D14)),D14&lt;0,D14&gt;366),"CHECK agreed allowance",IF(OR(NOT(ISNUMBER(E14)),E14&lt;0,E14&gt;D14),"CHECK fixed days reserved",IF(OR(NOT(ISNUMBER(G14)),G14&lt;-366,G14&gt;366),"CHECK adjustment",IF(COUNTIF(H14:N14,"Work")+COUNTIF(H14:N14,"Off")&lt;&gt;7,"CHECK weekly pattern",IF(COUNTIF(H14:N14,"Work")=0,"CHECK at least one workday","OK"))))))))),"CHECK input"))</ns0:f>
        <ns0:v>OK</ns0:v>
      </ns0:c>
    </ns0:row>
    <ns0:row r="15" ht="27" customHeight="1">
      <ns0:c r="A15" s="200" t="str">
        <ns0:v>EMP005</ns0:v>
      </ns0:c>
      <ns0:c r="B15" s="200" t="str">
        <ns0:v>Casey Taylor</ns0:v>
      </ns0:c>
      <ns0:c r="C15" s="200" t="str">
        <ns0:v>Product</ns0:v>
      </ns0:c>
      <ns0:c r="D15" s="204" t="n">
        <ns0:v>33</ns0:v>
      </ns0:c>
      <ns0:c r="E15" s="204" t="n">
        <ns0:v>8</ns0:v>
      </ns0:c>
      <ns0:c r="F15" s="75">
        <ns0:f>IF('_Engine'!X15=0,"",IF(OR(NOT(ISNUMBER(D15)),NOT(ISNUMBER(E15)),E15&lt;0,D15&lt;E15),"REVIEW",D15-E15))</ns0:f>
        <ns0:v>25</ns0:v>
      </ns0:c>
      <ns0:c r="G15" s="204" t="n">
        <ns0:v>0</ns0:v>
      </ns0:c>
      <ns0:c r="H15" s="205" t="str">
        <ns0:v>Work</ns0:v>
      </ns0:c>
      <ns0:c r="I15" s="205" t="str">
        <ns0:v>Work</ns0:v>
      </ns0:c>
      <ns0:c r="J15" s="205" t="str">
        <ns0:v>Work</ns0:v>
      </ns0:c>
      <ns0:c r="K15" s="206" t="str">
        <ns0:v>Work</ns0:v>
      </ns0:c>
      <ns0:c r="L15" s="206" t="str">
        <ns0:v>Work</ns0:v>
      </ns0:c>
      <ns0:c r="M15" s="206" t="str">
        <ns0:v>Off</ns0:v>
      </ns0:c>
      <ns0:c r="N15" s="206" t="str">
        <ns0:v>Off</ns0:v>
      </ns0:c>
      <ns0:c r="O15" t="str">
        <ns0:f>IF('_Engine'!X15=0,"",IFERROR(IF(OR(NOT(ISTEXT(A15)),A15="",LEN(TRIM(A15))=0,LEN(A15)&gt;24,ISNUMBER(FIND(" ",A15)),ISNUMBER(FIND("*",A15)),ISNUMBER(FIND("?",A15)),ISNUMBER(FIND("~",A15))),"CHECK stable ID",IF(COUNTIF($A$11:$A$60,A15)&lt;&gt;1,"CHECK duplicate ID",IF(OR(LEN(TRIM(B15))=0,ISNUMBER(FIND(" · ",B15))),"CHECK employee name",IF(OR(LEN(TRIM(C15))=0,ISNUMBER(FIND("*",C15)),ISNUMBER(FIND("?",C15)),ISNUMBER(FIND("~",C15)),C15="All teams"),"CHECK team name",IF(OR(NOT(ISNUMBER(D15)),D15&lt;0,D15&gt;366),"CHECK agreed allowance",IF(OR(NOT(ISNUMBER(E15)),E15&lt;0,E15&gt;D15),"CHECK fixed days reserved",IF(OR(NOT(ISNUMBER(G15)),G15&lt;-366,G15&gt;366),"CHECK adjustment",IF(COUNTIF(H15:N15,"Work")+COUNTIF(H15:N15,"Off")&lt;&gt;7,"CHECK weekly pattern",IF(COUNTIF(H15:N15,"Work")=0,"CHECK at least one workday","OK"))))))))),"CHECK input"))</ns0:f>
        <ns0:v>OK</ns0:v>
      </ns0:c>
    </ns0:row>
    <ns0:row r="16" ht="27" customHeight="1">
      <ns0:c r="A16" s="200" t="str">
        <ns0:v>EMP006</ns0:v>
      </ns0:c>
      <ns0:c r="B16" s="200" t="str">
        <ns0:v>Riley Chen</ns0:v>
      </ns0:c>
      <ns0:c r="C16" s="200" t="str">
        <ns0:v>Operations</ns0:v>
      </ns0:c>
      <ns0:c r="D16" s="204" t="n">
        <ns0:v>26</ns0:v>
      </ns0:c>
      <ns0:c r="E16" s="204" t="n">
        <ns0:v>6</ns0:v>
      </ns0:c>
      <ns0:c r="F16" s="75">
        <ns0:f>IF('_Engine'!X16=0,"",IF(OR(NOT(ISNUMBER(D16)),NOT(ISNUMBER(E16)),E16&lt;0,D16&lt;E16),"REVIEW",D16-E16))</ns0:f>
        <ns0:v>20</ns0:v>
      </ns0:c>
      <ns0:c r="G16" s="204" t="n">
        <ns0:v>0</ns0:v>
      </ns0:c>
      <ns0:c r="H16" s="205" t="str">
        <ns0:v>Work</ns0:v>
      </ns0:c>
      <ns0:c r="I16" s="205" t="str">
        <ns0:v>Work</ns0:v>
      </ns0:c>
      <ns0:c r="J16" s="205" t="str">
        <ns0:v>Work</ns0:v>
      </ns0:c>
      <ns0:c r="K16" s="206" t="str">
        <ns0:v>Work</ns0:v>
      </ns0:c>
      <ns0:c r="L16" s="206" t="str">
        <ns0:v>Off</ns0:v>
      </ns0:c>
      <ns0:c r="M16" s="206" t="str">
        <ns0:v>Off</ns0:v>
      </ns0:c>
      <ns0:c r="N16" s="206" t="str">
        <ns0:v>Off</ns0:v>
      </ns0:c>
      <ns0:c r="O16" t="str">
        <ns0:f>IF('_Engine'!X16=0,"",IFERROR(IF(OR(NOT(ISTEXT(A16)),A16="",LEN(TRIM(A16))=0,LEN(A16)&gt;24,ISNUMBER(FIND(" ",A16)),ISNUMBER(FIND("*",A16)),ISNUMBER(FIND("?",A16)),ISNUMBER(FIND("~",A16))),"CHECK stable ID",IF(COUNTIF($A$11:$A$60,A16)&lt;&gt;1,"CHECK duplicate ID",IF(OR(LEN(TRIM(B16))=0,ISNUMBER(FIND(" · ",B16))),"CHECK employee name",IF(OR(LEN(TRIM(C16))=0,ISNUMBER(FIND("*",C16)),ISNUMBER(FIND("?",C16)),ISNUMBER(FIND("~",C16)),C16="All teams"),"CHECK team name",IF(OR(NOT(ISNUMBER(D16)),D16&lt;0,D16&gt;366),"CHECK agreed allowance",IF(OR(NOT(ISNUMBER(E16)),E16&lt;0,E16&gt;D16),"CHECK fixed days reserved",IF(OR(NOT(ISNUMBER(G16)),G16&lt;-366,G16&gt;366),"CHECK adjustment",IF(COUNTIF(H16:N16,"Work")+COUNTIF(H16:N16,"Off")&lt;&gt;7,"CHECK weekly pattern",IF(COUNTIF(H16:N16,"Work")=0,"CHECK at least one workday","OK"))))))))),"CHECK input"))</ns0:f>
        <ns0:v>OK</ns0:v>
      </ns0:c>
    </ns0:row>
    <ns0:row r="17" ht="27" customHeight="1">
      <ns0:c r="A17" s="200" t="str">
        <ns0:v>EMP007</ns0:v>
      </ns0:c>
      <ns0:c r="B17" s="200"/>
      <ns0:c r="C17" s="200"/>
      <ns0:c r="D17" s="204"/>
      <ns0:c r="E17" s="204" t="n">
        <ns0:v>0</ns0:v>
      </ns0:c>
      <ns0:c r="F17" s="75" t="str">
        <ns0:f>IF('_Engine'!X17=0,"",IF(OR(NOT(ISNUMBER(D17)),NOT(ISNUMBER(E17)),E17&lt;0,D17&lt;E17),"REVIEW",D17-E17))</ns0:f>
        <ns0:v/>
      </ns0:c>
      <ns0:c r="G17" s="204" t="n">
        <ns0:v>0</ns0:v>
      </ns0:c>
      <ns0:c r="H17" s="205" t="str">
        <ns0:v>Work</ns0:v>
      </ns0:c>
      <ns0:c r="I17" s="205" t="str">
        <ns0:v>Work</ns0:v>
      </ns0:c>
      <ns0:c r="J17" s="205" t="str">
        <ns0:v>Work</ns0:v>
      </ns0:c>
      <ns0:c r="K17" s="206" t="str">
        <ns0:v>Work</ns0:v>
      </ns0:c>
      <ns0:c r="L17" s="206" t="str">
        <ns0:v>Work</ns0:v>
      </ns0:c>
      <ns0:c r="M17" s="206" t="str">
        <ns0:v>Off</ns0:v>
      </ns0:c>
      <ns0:c r="N17" s="206" t="str">
        <ns0:v>Off</ns0:v>
      </ns0:c>
      <ns0:c r="O17" t="str">
        <ns0:f>IF('_Engine'!X17=0,"",IFERROR(IF(OR(NOT(ISTEXT(A17)),A17="",LEN(TRIM(A17))=0,LEN(A17)&gt;24,ISNUMBER(FIND(" ",A17)),ISNUMBER(FIND("*",A17)),ISNUMBER(FIND("?",A17)),ISNUMBER(FIND("~",A17))),"CHECK stable ID",IF(COUNTIF($A$11:$A$60,A17)&lt;&gt;1,"CHECK duplicate ID",IF(OR(LEN(TRIM(B17))=0,ISNUMBER(FIND(" · ",B17))),"CHECK employee name",IF(OR(LEN(TRIM(C17))=0,ISNUMBER(FIND("*",C17)),ISNUMBER(FIND("?",C17)),ISNUMBER(FIND("~",C17)),C17="All teams"),"CHECK team name",IF(OR(NOT(ISNUMBER(D17)),D17&lt;0,D17&gt;366),"CHECK agreed allowance",IF(OR(NOT(ISNUMBER(E17)),E17&lt;0,E17&gt;D17),"CHECK fixed days reserved",IF(OR(NOT(ISNUMBER(G17)),G17&lt;-366,G17&gt;366),"CHECK adjustment",IF(COUNTIF(H17:N17,"Work")+COUNTIF(H17:N17,"Off")&lt;&gt;7,"CHECK weekly pattern",IF(COUNTIF(H17:N17,"Work")=0,"CHECK at least one workday","OK"))))))))),"CHECK input"))</ns0:f>
        <ns0:v/>
      </ns0:c>
    </ns0:row>
    <ns0:row r="18" ht="27" customHeight="1">
      <ns0:c r="A18" s="200" t="str">
        <ns0:v>EMP008</ns0:v>
      </ns0:c>
      <ns0:c r="B18" s="200"/>
      <ns0:c r="C18" s="200"/>
      <ns0:c r="D18" s="204"/>
      <ns0:c r="E18" s="204" t="n">
        <ns0:v>0</ns0:v>
      </ns0:c>
      <ns0:c r="F18" s="75" t="str">
        <ns0:f>IF('_Engine'!X18=0,"",IF(OR(NOT(ISNUMBER(D18)),NOT(ISNUMBER(E18)),E18&lt;0,D18&lt;E18),"REVIEW",D18-E18))</ns0:f>
        <ns0:v/>
      </ns0:c>
      <ns0:c r="G18" s="204" t="n">
        <ns0:v>0</ns0:v>
      </ns0:c>
      <ns0:c r="H18" s="205" t="str">
        <ns0:v>Work</ns0:v>
      </ns0:c>
      <ns0:c r="I18" s="205" t="str">
        <ns0:v>Work</ns0:v>
      </ns0:c>
      <ns0:c r="J18" s="205" t="str">
        <ns0:v>Work</ns0:v>
      </ns0:c>
      <ns0:c r="K18" s="206" t="str">
        <ns0:v>Work</ns0:v>
      </ns0:c>
      <ns0:c r="L18" s="206" t="str">
        <ns0:v>Work</ns0:v>
      </ns0:c>
      <ns0:c r="M18" s="206" t="str">
        <ns0:v>Off</ns0:v>
      </ns0:c>
      <ns0:c r="N18" s="206" t="str">
        <ns0:v>Off</ns0:v>
      </ns0:c>
      <ns0:c r="O18" t="str">
        <ns0:f>IF('_Engine'!X18=0,"",IFERROR(IF(OR(NOT(ISTEXT(A18)),A18="",LEN(TRIM(A18))=0,LEN(A18)&gt;24,ISNUMBER(FIND(" ",A18)),ISNUMBER(FIND("*",A18)),ISNUMBER(FIND("?",A18)),ISNUMBER(FIND("~",A18))),"CHECK stable ID",IF(COUNTIF($A$11:$A$60,A18)&lt;&gt;1,"CHECK duplicate ID",IF(OR(LEN(TRIM(B18))=0,ISNUMBER(FIND(" · ",B18))),"CHECK employee name",IF(OR(LEN(TRIM(C18))=0,ISNUMBER(FIND("*",C18)),ISNUMBER(FIND("?",C18)),ISNUMBER(FIND("~",C18)),C18="All teams"),"CHECK team name",IF(OR(NOT(ISNUMBER(D18)),D18&lt;0,D18&gt;366),"CHECK agreed allowance",IF(OR(NOT(ISNUMBER(E18)),E18&lt;0,E18&gt;D18),"CHECK fixed days reserved",IF(OR(NOT(ISNUMBER(G18)),G18&lt;-366,G18&gt;366),"CHECK adjustment",IF(COUNTIF(H18:N18,"Work")+COUNTIF(H18:N18,"Off")&lt;&gt;7,"CHECK weekly pattern",IF(COUNTIF(H18:N18,"Work")=0,"CHECK at least one workday","OK"))))))))),"CHECK input"))</ns0:f>
        <ns0:v/>
      </ns0:c>
    </ns0:row>
    <ns0:row r="19" ht="27" customHeight="1">
      <ns0:c r="A19" s="200" t="str">
        <ns0:v>EMP009</ns0:v>
      </ns0:c>
      <ns0:c r="B19" s="200"/>
      <ns0:c r="C19" s="200"/>
      <ns0:c r="D19" s="204"/>
      <ns0:c r="E19" s="204" t="n">
        <ns0:v>0</ns0:v>
      </ns0:c>
      <ns0:c r="F19" s="75" t="str">
        <ns0:f>IF('_Engine'!X19=0,"",IF(OR(NOT(ISNUMBER(D19)),NOT(ISNUMBER(E19)),E19&lt;0,D19&lt;E19),"REVIEW",D19-E19))</ns0:f>
        <ns0:v/>
      </ns0:c>
      <ns0:c r="G19" s="204" t="n">
        <ns0:v>0</ns0:v>
      </ns0:c>
      <ns0:c r="H19" s="205" t="str">
        <ns0:v>Work</ns0:v>
      </ns0:c>
      <ns0:c r="I19" s="205" t="str">
        <ns0:v>Work</ns0:v>
      </ns0:c>
      <ns0:c r="J19" s="205" t="str">
        <ns0:v>Work</ns0:v>
      </ns0:c>
      <ns0:c r="K19" s="206" t="str">
        <ns0:v>Work</ns0:v>
      </ns0:c>
      <ns0:c r="L19" s="206" t="str">
        <ns0:v>Work</ns0:v>
      </ns0:c>
      <ns0:c r="M19" s="206" t="str">
        <ns0:v>Off</ns0:v>
      </ns0:c>
      <ns0:c r="N19" s="206" t="str">
        <ns0:v>Off</ns0:v>
      </ns0:c>
      <ns0:c r="O19" t="str">
        <ns0:f>IF('_Engine'!X19=0,"",IFERROR(IF(OR(NOT(ISTEXT(A19)),A19="",LEN(TRIM(A19))=0,LEN(A19)&gt;24,ISNUMBER(FIND(" ",A19)),ISNUMBER(FIND("*",A19)),ISNUMBER(FIND("?",A19)),ISNUMBER(FIND("~",A19))),"CHECK stable ID",IF(COUNTIF($A$11:$A$60,A19)&lt;&gt;1,"CHECK duplicate ID",IF(OR(LEN(TRIM(B19))=0,ISNUMBER(FIND(" · ",B19))),"CHECK employee name",IF(OR(LEN(TRIM(C19))=0,ISNUMBER(FIND("*",C19)),ISNUMBER(FIND("?",C19)),ISNUMBER(FIND("~",C19)),C19="All teams"),"CHECK team name",IF(OR(NOT(ISNUMBER(D19)),D19&lt;0,D19&gt;366),"CHECK agreed allowance",IF(OR(NOT(ISNUMBER(E19)),E19&lt;0,E19&gt;D19),"CHECK fixed days reserved",IF(OR(NOT(ISNUMBER(G19)),G19&lt;-366,G19&gt;366),"CHECK adjustment",IF(COUNTIF(H19:N19,"Work")+COUNTIF(H19:N19,"Off")&lt;&gt;7,"CHECK weekly pattern",IF(COUNTIF(H19:N19,"Work")=0,"CHECK at least one workday","OK"))))))))),"CHECK input"))</ns0:f>
        <ns0:v/>
      </ns0:c>
    </ns0:row>
    <ns0:row r="20" ht="27" customHeight="1">
      <ns0:c r="A20" s="200" t="str">
        <ns0:v>EMP010</ns0:v>
      </ns0:c>
      <ns0:c r="B20" s="200"/>
      <ns0:c r="C20" s="200"/>
      <ns0:c r="D20" s="204"/>
      <ns0:c r="E20" s="204" t="n">
        <ns0:v>0</ns0:v>
      </ns0:c>
      <ns0:c r="F20" s="75" t="str">
        <ns0:f>IF('_Engine'!X20=0,"",IF(OR(NOT(ISNUMBER(D20)),NOT(ISNUMBER(E20)),E20&lt;0,D20&lt;E20),"REVIEW",D20-E20))</ns0:f>
        <ns0:v/>
      </ns0:c>
      <ns0:c r="G20" s="204" t="n">
        <ns0:v>0</ns0:v>
      </ns0:c>
      <ns0:c r="H20" s="205" t="str">
        <ns0:v>Work</ns0:v>
      </ns0:c>
      <ns0:c r="I20" s="205" t="str">
        <ns0:v>Work</ns0:v>
      </ns0:c>
      <ns0:c r="J20" s="205" t="str">
        <ns0:v>Work</ns0:v>
      </ns0:c>
      <ns0:c r="K20" s="206" t="str">
        <ns0:v>Work</ns0:v>
      </ns0:c>
      <ns0:c r="L20" s="206" t="str">
        <ns0:v>Work</ns0:v>
      </ns0:c>
      <ns0:c r="M20" s="206" t="str">
        <ns0:v>Off</ns0:v>
      </ns0:c>
      <ns0:c r="N20" s="206" t="str">
        <ns0:v>Off</ns0:v>
      </ns0:c>
      <ns0:c r="O20" t="str">
        <ns0:f>IF('_Engine'!X20=0,"",IFERROR(IF(OR(NOT(ISTEXT(A20)),A20="",LEN(TRIM(A20))=0,LEN(A20)&gt;24,ISNUMBER(FIND(" ",A20)),ISNUMBER(FIND("*",A20)),ISNUMBER(FIND("?",A20)),ISNUMBER(FIND("~",A20))),"CHECK stable ID",IF(COUNTIF($A$11:$A$60,A20)&lt;&gt;1,"CHECK duplicate ID",IF(OR(LEN(TRIM(B20))=0,ISNUMBER(FIND(" · ",B20))),"CHECK employee name",IF(OR(LEN(TRIM(C20))=0,ISNUMBER(FIND("*",C20)),ISNUMBER(FIND("?",C20)),ISNUMBER(FIND("~",C20)),C20="All teams"),"CHECK team name",IF(OR(NOT(ISNUMBER(D20)),D20&lt;0,D20&gt;366),"CHECK agreed allowance",IF(OR(NOT(ISNUMBER(E20)),E20&lt;0,E20&gt;D20),"CHECK fixed days reserved",IF(OR(NOT(ISNUMBER(G20)),G20&lt;-366,G20&gt;366),"CHECK adjustment",IF(COUNTIF(H20:N20,"Work")+COUNTIF(H20:N20,"Off")&lt;&gt;7,"CHECK weekly pattern",IF(COUNTIF(H20:N20,"Work")=0,"CHECK at least one workday","OK"))))))))),"CHECK input"))</ns0:f>
        <ns0:v/>
      </ns0:c>
    </ns0:row>
    <ns0:row r="21" ht="27" customHeight="1">
      <ns0:c r="A21" s="200" t="str">
        <ns0:v>EMP011</ns0:v>
      </ns0:c>
      <ns0:c r="B21" s="200"/>
      <ns0:c r="C21" s="200"/>
      <ns0:c r="D21" s="204"/>
      <ns0:c r="E21" s="204" t="n">
        <ns0:v>0</ns0:v>
      </ns0:c>
      <ns0:c r="F21" s="75" t="str">
        <ns0:f>IF('_Engine'!X21=0,"",IF(OR(NOT(ISNUMBER(D21)),NOT(ISNUMBER(E21)),E21&lt;0,D21&lt;E21),"REVIEW",D21-E21))</ns0:f>
        <ns0:v/>
      </ns0:c>
      <ns0:c r="G21" s="204" t="n">
        <ns0:v>0</ns0:v>
      </ns0:c>
      <ns0:c r="H21" s="205" t="str">
        <ns0:v>Work</ns0:v>
      </ns0:c>
      <ns0:c r="I21" s="205" t="str">
        <ns0:v>Work</ns0:v>
      </ns0:c>
      <ns0:c r="J21" s="205" t="str">
        <ns0:v>Work</ns0:v>
      </ns0:c>
      <ns0:c r="K21" s="206" t="str">
        <ns0:v>Work</ns0:v>
      </ns0:c>
      <ns0:c r="L21" s="206" t="str">
        <ns0:v>Work</ns0:v>
      </ns0:c>
      <ns0:c r="M21" s="206" t="str">
        <ns0:v>Off</ns0:v>
      </ns0:c>
      <ns0:c r="N21" s="206" t="str">
        <ns0:v>Off</ns0:v>
      </ns0:c>
      <ns0:c r="O21" t="str">
        <ns0:f>IF('_Engine'!X21=0,"",IFERROR(IF(OR(NOT(ISTEXT(A21)),A21="",LEN(TRIM(A21))=0,LEN(A21)&gt;24,ISNUMBER(FIND(" ",A21)),ISNUMBER(FIND("*",A21)),ISNUMBER(FIND("?",A21)),ISNUMBER(FIND("~",A21))),"CHECK stable ID",IF(COUNTIF($A$11:$A$60,A21)&lt;&gt;1,"CHECK duplicate ID",IF(OR(LEN(TRIM(B21))=0,ISNUMBER(FIND(" · ",B21))),"CHECK employee name",IF(OR(LEN(TRIM(C21))=0,ISNUMBER(FIND("*",C21)),ISNUMBER(FIND("?",C21)),ISNUMBER(FIND("~",C21)),C21="All teams"),"CHECK team name",IF(OR(NOT(ISNUMBER(D21)),D21&lt;0,D21&gt;366),"CHECK agreed allowance",IF(OR(NOT(ISNUMBER(E21)),E21&lt;0,E21&gt;D21),"CHECK fixed days reserved",IF(OR(NOT(ISNUMBER(G21)),G21&lt;-366,G21&gt;366),"CHECK adjustment",IF(COUNTIF(H21:N21,"Work")+COUNTIF(H21:N21,"Off")&lt;&gt;7,"CHECK weekly pattern",IF(COUNTIF(H21:N21,"Work")=0,"CHECK at least one workday","OK"))))))))),"CHECK input"))</ns0:f>
        <ns0:v/>
      </ns0:c>
    </ns0:row>
    <ns0:row r="22" ht="27" customHeight="1">
      <ns0:c r="A22" s="200" t="str">
        <ns0:v>EMP012</ns0:v>
      </ns0:c>
      <ns0:c r="B22" s="200"/>
      <ns0:c r="C22" s="200"/>
      <ns0:c r="D22" s="204"/>
      <ns0:c r="E22" s="204" t="n">
        <ns0:v>0</ns0:v>
      </ns0:c>
      <ns0:c r="F22" s="75" t="str">
        <ns0:f>IF('_Engine'!X22=0,"",IF(OR(NOT(ISNUMBER(D22)),NOT(ISNUMBER(E22)),E22&lt;0,D22&lt;E22),"REVIEW",D22-E22))</ns0:f>
        <ns0:v/>
      </ns0:c>
      <ns0:c r="G22" s="204" t="n">
        <ns0:v>0</ns0:v>
      </ns0:c>
      <ns0:c r="H22" s="205" t="str">
        <ns0:v>Work</ns0:v>
      </ns0:c>
      <ns0:c r="I22" s="205" t="str">
        <ns0:v>Work</ns0:v>
      </ns0:c>
      <ns0:c r="J22" s="205" t="str">
        <ns0:v>Work</ns0:v>
      </ns0:c>
      <ns0:c r="K22" s="206" t="str">
        <ns0:v>Work</ns0:v>
      </ns0:c>
      <ns0:c r="L22" s="206" t="str">
        <ns0:v>Work</ns0:v>
      </ns0:c>
      <ns0:c r="M22" s="206" t="str">
        <ns0:v>Off</ns0:v>
      </ns0:c>
      <ns0:c r="N22" s="206" t="str">
        <ns0:v>Off</ns0:v>
      </ns0:c>
      <ns0:c r="O22" t="str">
        <ns0:f>IF('_Engine'!X22=0,"",IFERROR(IF(OR(NOT(ISTEXT(A22)),A22="",LEN(TRIM(A22))=0,LEN(A22)&gt;24,ISNUMBER(FIND(" ",A22)),ISNUMBER(FIND("*",A22)),ISNUMBER(FIND("?",A22)),ISNUMBER(FIND("~",A22))),"CHECK stable ID",IF(COUNTIF($A$11:$A$60,A22)&lt;&gt;1,"CHECK duplicate ID",IF(OR(LEN(TRIM(B22))=0,ISNUMBER(FIND(" · ",B22))),"CHECK employee name",IF(OR(LEN(TRIM(C22))=0,ISNUMBER(FIND("*",C22)),ISNUMBER(FIND("?",C22)),ISNUMBER(FIND("~",C22)),C22="All teams"),"CHECK team name",IF(OR(NOT(ISNUMBER(D22)),D22&lt;0,D22&gt;366),"CHECK agreed allowance",IF(OR(NOT(ISNUMBER(E22)),E22&lt;0,E22&gt;D22),"CHECK fixed days reserved",IF(OR(NOT(ISNUMBER(G22)),G22&lt;-366,G22&gt;366),"CHECK adjustment",IF(COUNTIF(H22:N22,"Work")+COUNTIF(H22:N22,"Off")&lt;&gt;7,"CHECK weekly pattern",IF(COUNTIF(H22:N22,"Work")=0,"CHECK at least one workday","OK"))))))))),"CHECK input"))</ns0:f>
        <ns0:v/>
      </ns0:c>
    </ns0:row>
    <ns0:row r="23" ht="27" customHeight="1">
      <ns0:c r="A23" s="200" t="str">
        <ns0:v>EMP013</ns0:v>
      </ns0:c>
      <ns0:c r="B23" s="200"/>
      <ns0:c r="C23" s="200"/>
      <ns0:c r="D23" s="204"/>
      <ns0:c r="E23" s="204" t="n">
        <ns0:v>0</ns0:v>
      </ns0:c>
      <ns0:c r="F23" s="75" t="str">
        <ns0:f>IF('_Engine'!X23=0,"",IF(OR(NOT(ISNUMBER(D23)),NOT(ISNUMBER(E23)),E23&lt;0,D23&lt;E23),"REVIEW",D23-E23))</ns0:f>
        <ns0:v/>
      </ns0:c>
      <ns0:c r="G23" s="204" t="n">
        <ns0:v>0</ns0:v>
      </ns0:c>
      <ns0:c r="H23" s="205" t="str">
        <ns0:v>Work</ns0:v>
      </ns0:c>
      <ns0:c r="I23" s="205" t="str">
        <ns0:v>Work</ns0:v>
      </ns0:c>
      <ns0:c r="J23" s="205" t="str">
        <ns0:v>Work</ns0:v>
      </ns0:c>
      <ns0:c r="K23" s="206" t="str">
        <ns0:v>Work</ns0:v>
      </ns0:c>
      <ns0:c r="L23" s="206" t="str">
        <ns0:v>Work</ns0:v>
      </ns0:c>
      <ns0:c r="M23" s="206" t="str">
        <ns0:v>Off</ns0:v>
      </ns0:c>
      <ns0:c r="N23" s="206" t="str">
        <ns0:v>Off</ns0:v>
      </ns0:c>
      <ns0:c r="O23" t="str">
        <ns0:f>IF('_Engine'!X23=0,"",IFERROR(IF(OR(NOT(ISTEXT(A23)),A23="",LEN(TRIM(A23))=0,LEN(A23)&gt;24,ISNUMBER(FIND(" ",A23)),ISNUMBER(FIND("*",A23)),ISNUMBER(FIND("?",A23)),ISNUMBER(FIND("~",A23))),"CHECK stable ID",IF(COUNTIF($A$11:$A$60,A23)&lt;&gt;1,"CHECK duplicate ID",IF(OR(LEN(TRIM(B23))=0,ISNUMBER(FIND(" · ",B23))),"CHECK employee name",IF(OR(LEN(TRIM(C23))=0,ISNUMBER(FIND("*",C23)),ISNUMBER(FIND("?",C23)),ISNUMBER(FIND("~",C23)),C23="All teams"),"CHECK team name",IF(OR(NOT(ISNUMBER(D23)),D23&lt;0,D23&gt;366),"CHECK agreed allowance",IF(OR(NOT(ISNUMBER(E23)),E23&lt;0,E23&gt;D23),"CHECK fixed days reserved",IF(OR(NOT(ISNUMBER(G23)),G23&lt;-366,G23&gt;366),"CHECK adjustment",IF(COUNTIF(H23:N23,"Work")+COUNTIF(H23:N23,"Off")&lt;&gt;7,"CHECK weekly pattern",IF(COUNTIF(H23:N23,"Work")=0,"CHECK at least one workday","OK"))))))))),"CHECK input"))</ns0:f>
        <ns0:v/>
      </ns0:c>
    </ns0:row>
    <ns0:row r="24" ht="27" customHeight="1">
      <ns0:c r="A24" s="200" t="str">
        <ns0:v>EMP014</ns0:v>
      </ns0:c>
      <ns0:c r="B24" s="200"/>
      <ns0:c r="C24" s="200"/>
      <ns0:c r="D24" s="204"/>
      <ns0:c r="E24" s="204" t="n">
        <ns0:v>0</ns0:v>
      </ns0:c>
      <ns0:c r="F24" s="75" t="str">
        <ns0:f>IF('_Engine'!X24=0,"",IF(OR(NOT(ISNUMBER(D24)),NOT(ISNUMBER(E24)),E24&lt;0,D24&lt;E24),"REVIEW",D24-E24))</ns0:f>
        <ns0:v/>
      </ns0:c>
      <ns0:c r="G24" s="204" t="n">
        <ns0:v>0</ns0:v>
      </ns0:c>
      <ns0:c r="H24" s="205" t="str">
        <ns0:v>Work</ns0:v>
      </ns0:c>
      <ns0:c r="I24" s="205" t="str">
        <ns0:v>Work</ns0:v>
      </ns0:c>
      <ns0:c r="J24" s="205" t="str">
        <ns0:v>Work</ns0:v>
      </ns0:c>
      <ns0:c r="K24" s="206" t="str">
        <ns0:v>Work</ns0:v>
      </ns0:c>
      <ns0:c r="L24" s="206" t="str">
        <ns0:v>Work</ns0:v>
      </ns0:c>
      <ns0:c r="M24" s="206" t="str">
        <ns0:v>Off</ns0:v>
      </ns0:c>
      <ns0:c r="N24" s="206" t="str">
        <ns0:v>Off</ns0:v>
      </ns0:c>
      <ns0:c r="O24" t="str">
        <ns0:f>IF('_Engine'!X24=0,"",IFERROR(IF(OR(NOT(ISTEXT(A24)),A24="",LEN(TRIM(A24))=0,LEN(A24)&gt;24,ISNUMBER(FIND(" ",A24)),ISNUMBER(FIND("*",A24)),ISNUMBER(FIND("?",A24)),ISNUMBER(FIND("~",A24))),"CHECK stable ID",IF(COUNTIF($A$11:$A$60,A24)&lt;&gt;1,"CHECK duplicate ID",IF(OR(LEN(TRIM(B24))=0,ISNUMBER(FIND(" · ",B24))),"CHECK employee name",IF(OR(LEN(TRIM(C24))=0,ISNUMBER(FIND("*",C24)),ISNUMBER(FIND("?",C24)),ISNUMBER(FIND("~",C24)),C24="All teams"),"CHECK team name",IF(OR(NOT(ISNUMBER(D24)),D24&lt;0,D24&gt;366),"CHECK agreed allowance",IF(OR(NOT(ISNUMBER(E24)),E24&lt;0,E24&gt;D24),"CHECK fixed days reserved",IF(OR(NOT(ISNUMBER(G24)),G24&lt;-366,G24&gt;366),"CHECK adjustment",IF(COUNTIF(H24:N24,"Work")+COUNTIF(H24:N24,"Off")&lt;&gt;7,"CHECK weekly pattern",IF(COUNTIF(H24:N24,"Work")=0,"CHECK at least one workday","OK"))))))))),"CHECK input"))</ns0:f>
        <ns0:v/>
      </ns0:c>
    </ns0:row>
    <ns0:row r="25" ht="27" customHeight="1">
      <ns0:c r="A25" s="200" t="str">
        <ns0:v>EMP015</ns0:v>
      </ns0:c>
      <ns0:c r="B25" s="200"/>
      <ns0:c r="C25" s="200"/>
      <ns0:c r="D25" s="204"/>
      <ns0:c r="E25" s="204" t="n">
        <ns0:v>0</ns0:v>
      </ns0:c>
      <ns0:c r="F25" s="75" t="str">
        <ns0:f>IF('_Engine'!X25=0,"",IF(OR(NOT(ISNUMBER(D25)),NOT(ISNUMBER(E25)),E25&lt;0,D25&lt;E25),"REVIEW",D25-E25))</ns0:f>
        <ns0:v/>
      </ns0:c>
      <ns0:c r="G25" s="204" t="n">
        <ns0:v>0</ns0:v>
      </ns0:c>
      <ns0:c r="H25" s="205" t="str">
        <ns0:v>Work</ns0:v>
      </ns0:c>
      <ns0:c r="I25" s="205" t="str">
        <ns0:v>Work</ns0:v>
      </ns0:c>
      <ns0:c r="J25" s="205" t="str">
        <ns0:v>Work</ns0:v>
      </ns0:c>
      <ns0:c r="K25" s="206" t="str">
        <ns0:v>Work</ns0:v>
      </ns0:c>
      <ns0:c r="L25" s="206" t="str">
        <ns0:v>Work</ns0:v>
      </ns0:c>
      <ns0:c r="M25" s="206" t="str">
        <ns0:v>Off</ns0:v>
      </ns0:c>
      <ns0:c r="N25" s="206" t="str">
        <ns0:v>Off</ns0:v>
      </ns0:c>
      <ns0:c r="O25" t="str">
        <ns0:f>IF('_Engine'!X25=0,"",IFERROR(IF(OR(NOT(ISTEXT(A25)),A25="",LEN(TRIM(A25))=0,LEN(A25)&gt;24,ISNUMBER(FIND(" ",A25)),ISNUMBER(FIND("*",A25)),ISNUMBER(FIND("?",A25)),ISNUMBER(FIND("~",A25))),"CHECK stable ID",IF(COUNTIF($A$11:$A$60,A25)&lt;&gt;1,"CHECK duplicate ID",IF(OR(LEN(TRIM(B25))=0,ISNUMBER(FIND(" · ",B25))),"CHECK employee name",IF(OR(LEN(TRIM(C25))=0,ISNUMBER(FIND("*",C25)),ISNUMBER(FIND("?",C25)),ISNUMBER(FIND("~",C25)),C25="All teams"),"CHECK team name",IF(OR(NOT(ISNUMBER(D25)),D25&lt;0,D25&gt;366),"CHECK agreed allowance",IF(OR(NOT(ISNUMBER(E25)),E25&lt;0,E25&gt;D25),"CHECK fixed days reserved",IF(OR(NOT(ISNUMBER(G25)),G25&lt;-366,G25&gt;366),"CHECK adjustment",IF(COUNTIF(H25:N25,"Work")+COUNTIF(H25:N25,"Off")&lt;&gt;7,"CHECK weekly pattern",IF(COUNTIF(H25:N25,"Work")=0,"CHECK at least one workday","OK"))))))))),"CHECK input"))</ns0:f>
        <ns0:v/>
      </ns0:c>
    </ns0:row>
    <ns0:row r="26" ht="27" customHeight="1">
      <ns0:c r="A26" s="200" t="str">
        <ns0:v>EMP016</ns0:v>
      </ns0:c>
      <ns0:c r="B26" s="200"/>
      <ns0:c r="C26" s="200"/>
      <ns0:c r="D26" s="204"/>
      <ns0:c r="E26" s="204" t="n">
        <ns0:v>0</ns0:v>
      </ns0:c>
      <ns0:c r="F26" s="75" t="str">
        <ns0:f>IF('_Engine'!X26=0,"",IF(OR(NOT(ISNUMBER(D26)),NOT(ISNUMBER(E26)),E26&lt;0,D26&lt;E26),"REVIEW",D26-E26))</ns0:f>
        <ns0:v/>
      </ns0:c>
      <ns0:c r="G26" s="204" t="n">
        <ns0:v>0</ns0:v>
      </ns0:c>
      <ns0:c r="H26" s="205" t="str">
        <ns0:v>Work</ns0:v>
      </ns0:c>
      <ns0:c r="I26" s="205" t="str">
        <ns0:v>Work</ns0:v>
      </ns0:c>
      <ns0:c r="J26" s="205" t="str">
        <ns0:v>Work</ns0:v>
      </ns0:c>
      <ns0:c r="K26" s="206" t="str">
        <ns0:v>Work</ns0:v>
      </ns0:c>
      <ns0:c r="L26" s="206" t="str">
        <ns0:v>Work</ns0:v>
      </ns0:c>
      <ns0:c r="M26" s="206" t="str">
        <ns0:v>Off</ns0:v>
      </ns0:c>
      <ns0:c r="N26" s="206" t="str">
        <ns0:v>Off</ns0:v>
      </ns0:c>
      <ns0:c r="O26" t="str">
        <ns0:f>IF('_Engine'!X26=0,"",IFERROR(IF(OR(NOT(ISTEXT(A26)),A26="",LEN(TRIM(A26))=0,LEN(A26)&gt;24,ISNUMBER(FIND(" ",A26)),ISNUMBER(FIND("*",A26)),ISNUMBER(FIND("?",A26)),ISNUMBER(FIND("~",A26))),"CHECK stable ID",IF(COUNTIF($A$11:$A$60,A26)&lt;&gt;1,"CHECK duplicate ID",IF(OR(LEN(TRIM(B26))=0,ISNUMBER(FIND(" · ",B26))),"CHECK employee name",IF(OR(LEN(TRIM(C26))=0,ISNUMBER(FIND("*",C26)),ISNUMBER(FIND("?",C26)),ISNUMBER(FIND("~",C26)),C26="All teams"),"CHECK team name",IF(OR(NOT(ISNUMBER(D26)),D26&lt;0,D26&gt;366),"CHECK agreed allowance",IF(OR(NOT(ISNUMBER(E26)),E26&lt;0,E26&gt;D26),"CHECK fixed days reserved",IF(OR(NOT(ISNUMBER(G26)),G26&lt;-366,G26&gt;366),"CHECK adjustment",IF(COUNTIF(H26:N26,"Work")+COUNTIF(H26:N26,"Off")&lt;&gt;7,"CHECK weekly pattern",IF(COUNTIF(H26:N26,"Work")=0,"CHECK at least one workday","OK"))))))))),"CHECK input"))</ns0:f>
        <ns0:v/>
      </ns0:c>
    </ns0:row>
    <ns0:row r="27" ht="27" customHeight="1">
      <ns0:c r="A27" s="200" t="str">
        <ns0:v>EMP017</ns0:v>
      </ns0:c>
      <ns0:c r="B27" s="200"/>
      <ns0:c r="C27" s="200"/>
      <ns0:c r="D27" s="204"/>
      <ns0:c r="E27" s="204" t="n">
        <ns0:v>0</ns0:v>
      </ns0:c>
      <ns0:c r="F27" s="75" t="str">
        <ns0:f>IF('_Engine'!X27=0,"",IF(OR(NOT(ISNUMBER(D27)),NOT(ISNUMBER(E27)),E27&lt;0,D27&lt;E27),"REVIEW",D27-E27))</ns0:f>
        <ns0:v/>
      </ns0:c>
      <ns0:c r="G27" s="204" t="n">
        <ns0:v>0</ns0:v>
      </ns0:c>
      <ns0:c r="H27" s="205" t="str">
        <ns0:v>Work</ns0:v>
      </ns0:c>
      <ns0:c r="I27" s="205" t="str">
        <ns0:v>Work</ns0:v>
      </ns0:c>
      <ns0:c r="J27" s="205" t="str">
        <ns0:v>Work</ns0:v>
      </ns0:c>
      <ns0:c r="K27" s="206" t="str">
        <ns0:v>Work</ns0:v>
      </ns0:c>
      <ns0:c r="L27" s="206" t="str">
        <ns0:v>Work</ns0:v>
      </ns0:c>
      <ns0:c r="M27" s="206" t="str">
        <ns0:v>Off</ns0:v>
      </ns0:c>
      <ns0:c r="N27" s="206" t="str">
        <ns0:v>Off</ns0:v>
      </ns0:c>
      <ns0:c r="O27" t="str">
        <ns0:f>IF('_Engine'!X27=0,"",IFERROR(IF(OR(NOT(ISTEXT(A27)),A27="",LEN(TRIM(A27))=0,LEN(A27)&gt;24,ISNUMBER(FIND(" ",A27)),ISNUMBER(FIND("*",A27)),ISNUMBER(FIND("?",A27)),ISNUMBER(FIND("~",A27))),"CHECK stable ID",IF(COUNTIF($A$11:$A$60,A27)&lt;&gt;1,"CHECK duplicate ID",IF(OR(LEN(TRIM(B27))=0,ISNUMBER(FIND(" · ",B27))),"CHECK employee name",IF(OR(LEN(TRIM(C27))=0,ISNUMBER(FIND("*",C27)),ISNUMBER(FIND("?",C27)),ISNUMBER(FIND("~",C27)),C27="All teams"),"CHECK team name",IF(OR(NOT(ISNUMBER(D27)),D27&lt;0,D27&gt;366),"CHECK agreed allowance",IF(OR(NOT(ISNUMBER(E27)),E27&lt;0,E27&gt;D27),"CHECK fixed days reserved",IF(OR(NOT(ISNUMBER(G27)),G27&lt;-366,G27&gt;366),"CHECK adjustment",IF(COUNTIF(H27:N27,"Work")+COUNTIF(H27:N27,"Off")&lt;&gt;7,"CHECK weekly pattern",IF(COUNTIF(H27:N27,"Work")=0,"CHECK at least one workday","OK"))))))))),"CHECK input"))</ns0:f>
        <ns0:v/>
      </ns0:c>
    </ns0:row>
    <ns0:row r="28" ht="27" customHeight="1">
      <ns0:c r="A28" s="200" t="str">
        <ns0:v>EMP018</ns0:v>
      </ns0:c>
      <ns0:c r="B28" s="200"/>
      <ns0:c r="C28" s="200"/>
      <ns0:c r="D28" s="204"/>
      <ns0:c r="E28" s="204" t="n">
        <ns0:v>0</ns0:v>
      </ns0:c>
      <ns0:c r="F28" s="75" t="str">
        <ns0:f>IF('_Engine'!X28=0,"",IF(OR(NOT(ISNUMBER(D28)),NOT(ISNUMBER(E28)),E28&lt;0,D28&lt;E28),"REVIEW",D28-E28))</ns0:f>
        <ns0:v/>
      </ns0:c>
      <ns0:c r="G28" s="204" t="n">
        <ns0:v>0</ns0:v>
      </ns0:c>
      <ns0:c r="H28" s="205" t="str">
        <ns0:v>Work</ns0:v>
      </ns0:c>
      <ns0:c r="I28" s="205" t="str">
        <ns0:v>Work</ns0:v>
      </ns0:c>
      <ns0:c r="J28" s="205" t="str">
        <ns0:v>Work</ns0:v>
      </ns0:c>
      <ns0:c r="K28" s="206" t="str">
        <ns0:v>Work</ns0:v>
      </ns0:c>
      <ns0:c r="L28" s="206" t="str">
        <ns0:v>Work</ns0:v>
      </ns0:c>
      <ns0:c r="M28" s="206" t="str">
        <ns0:v>Off</ns0:v>
      </ns0:c>
      <ns0:c r="N28" s="206" t="str">
        <ns0:v>Off</ns0:v>
      </ns0:c>
      <ns0:c r="O28" t="str">
        <ns0:f>IF('_Engine'!X28=0,"",IFERROR(IF(OR(NOT(ISTEXT(A28)),A28="",LEN(TRIM(A28))=0,LEN(A28)&gt;24,ISNUMBER(FIND(" ",A28)),ISNUMBER(FIND("*",A28)),ISNUMBER(FIND("?",A28)),ISNUMBER(FIND("~",A28))),"CHECK stable ID",IF(COUNTIF($A$11:$A$60,A28)&lt;&gt;1,"CHECK duplicate ID",IF(OR(LEN(TRIM(B28))=0,ISNUMBER(FIND(" · ",B28))),"CHECK employee name",IF(OR(LEN(TRIM(C28))=0,ISNUMBER(FIND("*",C28)),ISNUMBER(FIND("?",C28)),ISNUMBER(FIND("~",C28)),C28="All teams"),"CHECK team name",IF(OR(NOT(ISNUMBER(D28)),D28&lt;0,D28&gt;366),"CHECK agreed allowance",IF(OR(NOT(ISNUMBER(E28)),E28&lt;0,E28&gt;D28),"CHECK fixed days reserved",IF(OR(NOT(ISNUMBER(G28)),G28&lt;-366,G28&gt;366),"CHECK adjustment",IF(COUNTIF(H28:N28,"Work")+COUNTIF(H28:N28,"Off")&lt;&gt;7,"CHECK weekly pattern",IF(COUNTIF(H28:N28,"Work")=0,"CHECK at least one workday","OK"))))))))),"CHECK input"))</ns0:f>
        <ns0:v/>
      </ns0:c>
    </ns0:row>
    <ns0:row r="29" ht="27" customHeight="1">
      <ns0:c r="A29" s="200" t="str">
        <ns0:v>EMP019</ns0:v>
      </ns0:c>
      <ns0:c r="B29" s="200"/>
      <ns0:c r="C29" s="200"/>
      <ns0:c r="D29" s="204"/>
      <ns0:c r="E29" s="204" t="n">
        <ns0:v>0</ns0:v>
      </ns0:c>
      <ns0:c r="F29" s="75" t="str">
        <ns0:f>IF('_Engine'!X29=0,"",IF(OR(NOT(ISNUMBER(D29)),NOT(ISNUMBER(E29)),E29&lt;0,D29&lt;E29),"REVIEW",D29-E29))</ns0:f>
        <ns0:v/>
      </ns0:c>
      <ns0:c r="G29" s="204" t="n">
        <ns0:v>0</ns0:v>
      </ns0:c>
      <ns0:c r="H29" s="205" t="str">
        <ns0:v>Work</ns0:v>
      </ns0:c>
      <ns0:c r="I29" s="205" t="str">
        <ns0:v>Work</ns0:v>
      </ns0:c>
      <ns0:c r="J29" s="205" t="str">
        <ns0:v>Work</ns0:v>
      </ns0:c>
      <ns0:c r="K29" s="206" t="str">
        <ns0:v>Work</ns0:v>
      </ns0:c>
      <ns0:c r="L29" s="206" t="str">
        <ns0:v>Work</ns0:v>
      </ns0:c>
      <ns0:c r="M29" s="206" t="str">
        <ns0:v>Off</ns0:v>
      </ns0:c>
      <ns0:c r="N29" s="206" t="str">
        <ns0:v>Off</ns0:v>
      </ns0:c>
      <ns0:c r="O29" t="str">
        <ns0:f>IF('_Engine'!X29=0,"",IFERROR(IF(OR(NOT(ISTEXT(A29)),A29="",LEN(TRIM(A29))=0,LEN(A29)&gt;24,ISNUMBER(FIND(" ",A29)),ISNUMBER(FIND("*",A29)),ISNUMBER(FIND("?",A29)),ISNUMBER(FIND("~",A29))),"CHECK stable ID",IF(COUNTIF($A$11:$A$60,A29)&lt;&gt;1,"CHECK duplicate ID",IF(OR(LEN(TRIM(B29))=0,ISNUMBER(FIND(" · ",B29))),"CHECK employee name",IF(OR(LEN(TRIM(C29))=0,ISNUMBER(FIND("*",C29)),ISNUMBER(FIND("?",C29)),ISNUMBER(FIND("~",C29)),C29="All teams"),"CHECK team name",IF(OR(NOT(ISNUMBER(D29)),D29&lt;0,D29&gt;366),"CHECK agreed allowance",IF(OR(NOT(ISNUMBER(E29)),E29&lt;0,E29&gt;D29),"CHECK fixed days reserved",IF(OR(NOT(ISNUMBER(G29)),G29&lt;-366,G29&gt;366),"CHECK adjustment",IF(COUNTIF(H29:N29,"Work")+COUNTIF(H29:N29,"Off")&lt;&gt;7,"CHECK weekly pattern",IF(COUNTIF(H29:N29,"Work")=0,"CHECK at least one workday","OK"))))))))),"CHECK input"))</ns0:f>
        <ns0:v/>
      </ns0:c>
    </ns0:row>
    <ns0:row r="30" ht="27" customHeight="1">
      <ns0:c r="A30" s="200" t="str">
        <ns0:v>EMP020</ns0:v>
      </ns0:c>
      <ns0:c r="B30" s="200"/>
      <ns0:c r="C30" s="200"/>
      <ns0:c r="D30" s="204"/>
      <ns0:c r="E30" s="204" t="n">
        <ns0:v>0</ns0:v>
      </ns0:c>
      <ns0:c r="F30" s="75" t="str">
        <ns0:f>IF('_Engine'!X30=0,"",IF(OR(NOT(ISNUMBER(D30)),NOT(ISNUMBER(E30)),E30&lt;0,D30&lt;E30),"REVIEW",D30-E30))</ns0:f>
        <ns0:v/>
      </ns0:c>
      <ns0:c r="G30" s="204" t="n">
        <ns0:v>0</ns0:v>
      </ns0:c>
      <ns0:c r="H30" s="205" t="str">
        <ns0:v>Work</ns0:v>
      </ns0:c>
      <ns0:c r="I30" s="205" t="str">
        <ns0:v>Work</ns0:v>
      </ns0:c>
      <ns0:c r="J30" s="205" t="str">
        <ns0:v>Work</ns0:v>
      </ns0:c>
      <ns0:c r="K30" s="206" t="str">
        <ns0:v>Work</ns0:v>
      </ns0:c>
      <ns0:c r="L30" s="206" t="str">
        <ns0:v>Work</ns0:v>
      </ns0:c>
      <ns0:c r="M30" s="206" t="str">
        <ns0:v>Off</ns0:v>
      </ns0:c>
      <ns0:c r="N30" s="206" t="str">
        <ns0:v>Off</ns0:v>
      </ns0:c>
      <ns0:c r="O30" t="str">
        <ns0:f>IF('_Engine'!X30=0,"",IFERROR(IF(OR(NOT(ISTEXT(A30)),A30="",LEN(TRIM(A30))=0,LEN(A30)&gt;24,ISNUMBER(FIND(" ",A30)),ISNUMBER(FIND("*",A30)),ISNUMBER(FIND("?",A30)),ISNUMBER(FIND("~",A30))),"CHECK stable ID",IF(COUNTIF($A$11:$A$60,A30)&lt;&gt;1,"CHECK duplicate ID",IF(OR(LEN(TRIM(B30))=0,ISNUMBER(FIND(" · ",B30))),"CHECK employee name",IF(OR(LEN(TRIM(C30))=0,ISNUMBER(FIND("*",C30)),ISNUMBER(FIND("?",C30)),ISNUMBER(FIND("~",C30)),C30="All teams"),"CHECK team name",IF(OR(NOT(ISNUMBER(D30)),D30&lt;0,D30&gt;366),"CHECK agreed allowance",IF(OR(NOT(ISNUMBER(E30)),E30&lt;0,E30&gt;D30),"CHECK fixed days reserved",IF(OR(NOT(ISNUMBER(G30)),G30&lt;-366,G30&gt;366),"CHECK adjustment",IF(COUNTIF(H30:N30,"Work")+COUNTIF(H30:N30,"Off")&lt;&gt;7,"CHECK weekly pattern",IF(COUNTIF(H30:N30,"Work")=0,"CHECK at least one workday","OK"))))))))),"CHECK input"))</ns0:f>
        <ns0:v/>
      </ns0:c>
    </ns0:row>
    <ns0:row r="31" ht="27" customHeight="1">
      <ns0:c r="A31" s="200" t="str">
        <ns0:v>EMP021</ns0:v>
      </ns0:c>
      <ns0:c r="B31" s="200"/>
      <ns0:c r="C31" s="200"/>
      <ns0:c r="D31" s="204"/>
      <ns0:c r="E31" s="204" t="n">
        <ns0:v>0</ns0:v>
      </ns0:c>
      <ns0:c r="F31" s="75" t="str">
        <ns0:f>IF('_Engine'!X31=0,"",IF(OR(NOT(ISNUMBER(D31)),NOT(ISNUMBER(E31)),E31&lt;0,D31&lt;E31),"REVIEW",D31-E31))</ns0:f>
        <ns0:v/>
      </ns0:c>
      <ns0:c r="G31" s="204" t="n">
        <ns0:v>0</ns0:v>
      </ns0:c>
      <ns0:c r="H31" s="205" t="str">
        <ns0:v>Work</ns0:v>
      </ns0:c>
      <ns0:c r="I31" s="205" t="str">
        <ns0:v>Work</ns0:v>
      </ns0:c>
      <ns0:c r="J31" s="205" t="str">
        <ns0:v>Work</ns0:v>
      </ns0:c>
      <ns0:c r="K31" s="206" t="str">
        <ns0:v>Work</ns0:v>
      </ns0:c>
      <ns0:c r="L31" s="206" t="str">
        <ns0:v>Work</ns0:v>
      </ns0:c>
      <ns0:c r="M31" s="206" t="str">
        <ns0:v>Off</ns0:v>
      </ns0:c>
      <ns0:c r="N31" s="206" t="str">
        <ns0:v>Off</ns0:v>
      </ns0:c>
      <ns0:c r="O31" t="str">
        <ns0:f>IF('_Engine'!X31=0,"",IFERROR(IF(OR(NOT(ISTEXT(A31)),A31="",LEN(TRIM(A31))=0,LEN(A31)&gt;24,ISNUMBER(FIND(" ",A31)),ISNUMBER(FIND("*",A31)),ISNUMBER(FIND("?",A31)),ISNUMBER(FIND("~",A31))),"CHECK stable ID",IF(COUNTIF($A$11:$A$60,A31)&lt;&gt;1,"CHECK duplicate ID",IF(OR(LEN(TRIM(B31))=0,ISNUMBER(FIND(" · ",B31))),"CHECK employee name",IF(OR(LEN(TRIM(C31))=0,ISNUMBER(FIND("*",C31)),ISNUMBER(FIND("?",C31)),ISNUMBER(FIND("~",C31)),C31="All teams"),"CHECK team name",IF(OR(NOT(ISNUMBER(D31)),D31&lt;0,D31&gt;366),"CHECK agreed allowance",IF(OR(NOT(ISNUMBER(E31)),E31&lt;0,E31&gt;D31),"CHECK fixed days reserved",IF(OR(NOT(ISNUMBER(G31)),G31&lt;-366,G31&gt;366),"CHECK adjustment",IF(COUNTIF(H31:N31,"Work")+COUNTIF(H31:N31,"Off")&lt;&gt;7,"CHECK weekly pattern",IF(COUNTIF(H31:N31,"Work")=0,"CHECK at least one workday","OK"))))))))),"CHECK input"))</ns0:f>
        <ns0:v/>
      </ns0:c>
    </ns0:row>
    <ns0:row r="32" ht="27" customHeight="1">
      <ns0:c r="A32" s="200" t="str">
        <ns0:v>EMP022</ns0:v>
      </ns0:c>
      <ns0:c r="B32" s="200"/>
      <ns0:c r="C32" s="200"/>
      <ns0:c r="D32" s="204"/>
      <ns0:c r="E32" s="204" t="n">
        <ns0:v>0</ns0:v>
      </ns0:c>
      <ns0:c r="F32" s="75" t="str">
        <ns0:f>IF('_Engine'!X32=0,"",IF(OR(NOT(ISNUMBER(D32)),NOT(ISNUMBER(E32)),E32&lt;0,D32&lt;E32),"REVIEW",D32-E32))</ns0:f>
        <ns0:v/>
      </ns0:c>
      <ns0:c r="G32" s="204" t="n">
        <ns0:v>0</ns0:v>
      </ns0:c>
      <ns0:c r="H32" s="205" t="str">
        <ns0:v>Work</ns0:v>
      </ns0:c>
      <ns0:c r="I32" s="205" t="str">
        <ns0:v>Work</ns0:v>
      </ns0:c>
      <ns0:c r="J32" s="205" t="str">
        <ns0:v>Work</ns0:v>
      </ns0:c>
      <ns0:c r="K32" s="206" t="str">
        <ns0:v>Work</ns0:v>
      </ns0:c>
      <ns0:c r="L32" s="206" t="str">
        <ns0:v>Work</ns0:v>
      </ns0:c>
      <ns0:c r="M32" s="206" t="str">
        <ns0:v>Off</ns0:v>
      </ns0:c>
      <ns0:c r="N32" s="206" t="str">
        <ns0:v>Off</ns0:v>
      </ns0:c>
      <ns0:c r="O32" t="str">
        <ns0:f>IF('_Engine'!X32=0,"",IFERROR(IF(OR(NOT(ISTEXT(A32)),A32="",LEN(TRIM(A32))=0,LEN(A32)&gt;24,ISNUMBER(FIND(" ",A32)),ISNUMBER(FIND("*",A32)),ISNUMBER(FIND("?",A32)),ISNUMBER(FIND("~",A32))),"CHECK stable ID",IF(COUNTIF($A$11:$A$60,A32)&lt;&gt;1,"CHECK duplicate ID",IF(OR(LEN(TRIM(B32))=0,ISNUMBER(FIND(" · ",B32))),"CHECK employee name",IF(OR(LEN(TRIM(C32))=0,ISNUMBER(FIND("*",C32)),ISNUMBER(FIND("?",C32)),ISNUMBER(FIND("~",C32)),C32="All teams"),"CHECK team name",IF(OR(NOT(ISNUMBER(D32)),D32&lt;0,D32&gt;366),"CHECK agreed allowance",IF(OR(NOT(ISNUMBER(E32)),E32&lt;0,E32&gt;D32),"CHECK fixed days reserved",IF(OR(NOT(ISNUMBER(G32)),G32&lt;-366,G32&gt;366),"CHECK adjustment",IF(COUNTIF(H32:N32,"Work")+COUNTIF(H32:N32,"Off")&lt;&gt;7,"CHECK weekly pattern",IF(COUNTIF(H32:N32,"Work")=0,"CHECK at least one workday","OK"))))))))),"CHECK input"))</ns0:f>
        <ns0:v/>
      </ns0:c>
    </ns0:row>
    <ns0:row r="33" ht="27" customHeight="1">
      <ns0:c r="A33" s="200" t="str">
        <ns0:v>EMP023</ns0:v>
      </ns0:c>
      <ns0:c r="B33" s="200"/>
      <ns0:c r="C33" s="200"/>
      <ns0:c r="D33" s="204"/>
      <ns0:c r="E33" s="204" t="n">
        <ns0:v>0</ns0:v>
      </ns0:c>
      <ns0:c r="F33" s="75" t="str">
        <ns0:f>IF('_Engine'!X33=0,"",IF(OR(NOT(ISNUMBER(D33)),NOT(ISNUMBER(E33)),E33&lt;0,D33&lt;E33),"REVIEW",D33-E33))</ns0:f>
        <ns0:v/>
      </ns0:c>
      <ns0:c r="G33" s="204" t="n">
        <ns0:v>0</ns0:v>
      </ns0:c>
      <ns0:c r="H33" s="205" t="str">
        <ns0:v>Work</ns0:v>
      </ns0:c>
      <ns0:c r="I33" s="205" t="str">
        <ns0:v>Work</ns0:v>
      </ns0:c>
      <ns0:c r="J33" s="205" t="str">
        <ns0:v>Work</ns0:v>
      </ns0:c>
      <ns0:c r="K33" s="206" t="str">
        <ns0:v>Work</ns0:v>
      </ns0:c>
      <ns0:c r="L33" s="206" t="str">
        <ns0:v>Work</ns0:v>
      </ns0:c>
      <ns0:c r="M33" s="206" t="str">
        <ns0:v>Off</ns0:v>
      </ns0:c>
      <ns0:c r="N33" s="206" t="str">
        <ns0:v>Off</ns0:v>
      </ns0:c>
      <ns0:c r="O33" t="str">
        <ns0:f>IF('_Engine'!X33=0,"",IFERROR(IF(OR(NOT(ISTEXT(A33)),A33="",LEN(TRIM(A33))=0,LEN(A33)&gt;24,ISNUMBER(FIND(" ",A33)),ISNUMBER(FIND("*",A33)),ISNUMBER(FIND("?",A33)),ISNUMBER(FIND("~",A33))),"CHECK stable ID",IF(COUNTIF($A$11:$A$60,A33)&lt;&gt;1,"CHECK duplicate ID",IF(OR(LEN(TRIM(B33))=0,ISNUMBER(FIND(" · ",B33))),"CHECK employee name",IF(OR(LEN(TRIM(C33))=0,ISNUMBER(FIND("*",C33)),ISNUMBER(FIND("?",C33)),ISNUMBER(FIND("~",C33)),C33="All teams"),"CHECK team name",IF(OR(NOT(ISNUMBER(D33)),D33&lt;0,D33&gt;366),"CHECK agreed allowance",IF(OR(NOT(ISNUMBER(E33)),E33&lt;0,E33&gt;D33),"CHECK fixed days reserved",IF(OR(NOT(ISNUMBER(G33)),G33&lt;-366,G33&gt;366),"CHECK adjustment",IF(COUNTIF(H33:N33,"Work")+COUNTIF(H33:N33,"Off")&lt;&gt;7,"CHECK weekly pattern",IF(COUNTIF(H33:N33,"Work")=0,"CHECK at least one workday","OK"))))))))),"CHECK input"))</ns0:f>
        <ns0:v/>
      </ns0:c>
    </ns0:row>
    <ns0:row r="34" ht="27" customHeight="1">
      <ns0:c r="A34" s="200" t="str">
        <ns0:v>EMP024</ns0:v>
      </ns0:c>
      <ns0:c r="B34" s="200"/>
      <ns0:c r="C34" s="200"/>
      <ns0:c r="D34" s="204"/>
      <ns0:c r="E34" s="204" t="n">
        <ns0:v>0</ns0:v>
      </ns0:c>
      <ns0:c r="F34" s="75" t="str">
        <ns0:f>IF('_Engine'!X34=0,"",IF(OR(NOT(ISNUMBER(D34)),NOT(ISNUMBER(E34)),E34&lt;0,D34&lt;E34),"REVIEW",D34-E34))</ns0:f>
        <ns0:v/>
      </ns0:c>
      <ns0:c r="G34" s="204" t="n">
        <ns0:v>0</ns0:v>
      </ns0:c>
      <ns0:c r="H34" s="205" t="str">
        <ns0:v>Work</ns0:v>
      </ns0:c>
      <ns0:c r="I34" s="205" t="str">
        <ns0:v>Work</ns0:v>
      </ns0:c>
      <ns0:c r="J34" s="205" t="str">
        <ns0:v>Work</ns0:v>
      </ns0:c>
      <ns0:c r="K34" s="206" t="str">
        <ns0:v>Work</ns0:v>
      </ns0:c>
      <ns0:c r="L34" s="206" t="str">
        <ns0:v>Work</ns0:v>
      </ns0:c>
      <ns0:c r="M34" s="206" t="str">
        <ns0:v>Off</ns0:v>
      </ns0:c>
      <ns0:c r="N34" s="206" t="str">
        <ns0:v>Off</ns0:v>
      </ns0:c>
      <ns0:c r="O34" t="str">
        <ns0:f>IF('_Engine'!X34=0,"",IFERROR(IF(OR(NOT(ISTEXT(A34)),A34="",LEN(TRIM(A34))=0,LEN(A34)&gt;24,ISNUMBER(FIND(" ",A34)),ISNUMBER(FIND("*",A34)),ISNUMBER(FIND("?",A34)),ISNUMBER(FIND("~",A34))),"CHECK stable ID",IF(COUNTIF($A$11:$A$60,A34)&lt;&gt;1,"CHECK duplicate ID",IF(OR(LEN(TRIM(B34))=0,ISNUMBER(FIND(" · ",B34))),"CHECK employee name",IF(OR(LEN(TRIM(C34))=0,ISNUMBER(FIND("*",C34)),ISNUMBER(FIND("?",C34)),ISNUMBER(FIND("~",C34)),C34="All teams"),"CHECK team name",IF(OR(NOT(ISNUMBER(D34)),D34&lt;0,D34&gt;366),"CHECK agreed allowance",IF(OR(NOT(ISNUMBER(E34)),E34&lt;0,E34&gt;D34),"CHECK fixed days reserved",IF(OR(NOT(ISNUMBER(G34)),G34&lt;-366,G34&gt;366),"CHECK adjustment",IF(COUNTIF(H34:N34,"Work")+COUNTIF(H34:N34,"Off")&lt;&gt;7,"CHECK weekly pattern",IF(COUNTIF(H34:N34,"Work")=0,"CHECK at least one workday","OK"))))))))),"CHECK input"))</ns0:f>
        <ns0:v/>
      </ns0:c>
    </ns0:row>
    <ns0:row r="35" ht="27" customHeight="1">
      <ns0:c r="A35" s="200" t="str">
        <ns0:v>EMP025</ns0:v>
      </ns0:c>
      <ns0:c r="B35" s="200"/>
      <ns0:c r="C35" s="200"/>
      <ns0:c r="D35" s="204"/>
      <ns0:c r="E35" s="204" t="n">
        <ns0:v>0</ns0:v>
      </ns0:c>
      <ns0:c r="F35" s="75" t="str">
        <ns0:f>IF('_Engine'!X35=0,"",IF(OR(NOT(ISNUMBER(D35)),NOT(ISNUMBER(E35)),E35&lt;0,D35&lt;E35),"REVIEW",D35-E35))</ns0:f>
        <ns0:v/>
      </ns0:c>
      <ns0:c r="G35" s="204" t="n">
        <ns0:v>0</ns0:v>
      </ns0:c>
      <ns0:c r="H35" s="205" t="str">
        <ns0:v>Work</ns0:v>
      </ns0:c>
      <ns0:c r="I35" s="205" t="str">
        <ns0:v>Work</ns0:v>
      </ns0:c>
      <ns0:c r="J35" s="205" t="str">
        <ns0:v>Work</ns0:v>
      </ns0:c>
      <ns0:c r="K35" s="206" t="str">
        <ns0:v>Work</ns0:v>
      </ns0:c>
      <ns0:c r="L35" s="206" t="str">
        <ns0:v>Work</ns0:v>
      </ns0:c>
      <ns0:c r="M35" s="206" t="str">
        <ns0:v>Off</ns0:v>
      </ns0:c>
      <ns0:c r="N35" s="206" t="str">
        <ns0:v>Off</ns0:v>
      </ns0:c>
      <ns0:c r="O35" t="str">
        <ns0:f>IF('_Engine'!X35=0,"",IFERROR(IF(OR(NOT(ISTEXT(A35)),A35="",LEN(TRIM(A35))=0,LEN(A35)&gt;24,ISNUMBER(FIND(" ",A35)),ISNUMBER(FIND("*",A35)),ISNUMBER(FIND("?",A35)),ISNUMBER(FIND("~",A35))),"CHECK stable ID",IF(COUNTIF($A$11:$A$60,A35)&lt;&gt;1,"CHECK duplicate ID",IF(OR(LEN(TRIM(B35))=0,ISNUMBER(FIND(" · ",B35))),"CHECK employee name",IF(OR(LEN(TRIM(C35))=0,ISNUMBER(FIND("*",C35)),ISNUMBER(FIND("?",C35)),ISNUMBER(FIND("~",C35)),C35="All teams"),"CHECK team name",IF(OR(NOT(ISNUMBER(D35)),D35&lt;0,D35&gt;366),"CHECK agreed allowance",IF(OR(NOT(ISNUMBER(E35)),E35&lt;0,E35&gt;D35),"CHECK fixed days reserved",IF(OR(NOT(ISNUMBER(G35)),G35&lt;-366,G35&gt;366),"CHECK adjustment",IF(COUNTIF(H35:N35,"Work")+COUNTIF(H35:N35,"Off")&lt;&gt;7,"CHECK weekly pattern",IF(COUNTIF(H35:N35,"Work")=0,"CHECK at least one workday","OK"))))))))),"CHECK input"))</ns0:f>
        <ns0:v/>
      </ns0:c>
    </ns0:row>
    <ns0:row r="36" ht="27" customHeight="1">
      <ns0:c r="A36" s="200" t="str">
        <ns0:v>EMP026</ns0:v>
      </ns0:c>
      <ns0:c r="B36" s="200"/>
      <ns0:c r="C36" s="200"/>
      <ns0:c r="D36" s="204"/>
      <ns0:c r="E36" s="204" t="n">
        <ns0:v>0</ns0:v>
      </ns0:c>
      <ns0:c r="F36" s="75" t="str">
        <ns0:f>IF('_Engine'!X36=0,"",IF(OR(NOT(ISNUMBER(D36)),NOT(ISNUMBER(E36)),E36&lt;0,D36&lt;E36),"REVIEW",D36-E36))</ns0:f>
        <ns0:v/>
      </ns0:c>
      <ns0:c r="G36" s="204" t="n">
        <ns0:v>0</ns0:v>
      </ns0:c>
      <ns0:c r="H36" s="205" t="str">
        <ns0:v>Work</ns0:v>
      </ns0:c>
      <ns0:c r="I36" s="205" t="str">
        <ns0:v>Work</ns0:v>
      </ns0:c>
      <ns0:c r="J36" s="205" t="str">
        <ns0:v>Work</ns0:v>
      </ns0:c>
      <ns0:c r="K36" s="206" t="str">
        <ns0:v>Work</ns0:v>
      </ns0:c>
      <ns0:c r="L36" s="206" t="str">
        <ns0:v>Work</ns0:v>
      </ns0:c>
      <ns0:c r="M36" s="206" t="str">
        <ns0:v>Off</ns0:v>
      </ns0:c>
      <ns0:c r="N36" s="206" t="str">
        <ns0:v>Off</ns0:v>
      </ns0:c>
      <ns0:c r="O36" t="str">
        <ns0:f>IF('_Engine'!X36=0,"",IFERROR(IF(OR(NOT(ISTEXT(A36)),A36="",LEN(TRIM(A36))=0,LEN(A36)&gt;24,ISNUMBER(FIND(" ",A36)),ISNUMBER(FIND("*",A36)),ISNUMBER(FIND("?",A36)),ISNUMBER(FIND("~",A36))),"CHECK stable ID",IF(COUNTIF($A$11:$A$60,A36)&lt;&gt;1,"CHECK duplicate ID",IF(OR(LEN(TRIM(B36))=0,ISNUMBER(FIND(" · ",B36))),"CHECK employee name",IF(OR(LEN(TRIM(C36))=0,ISNUMBER(FIND("*",C36)),ISNUMBER(FIND("?",C36)),ISNUMBER(FIND("~",C36)),C36="All teams"),"CHECK team name",IF(OR(NOT(ISNUMBER(D36)),D36&lt;0,D36&gt;366),"CHECK agreed allowance",IF(OR(NOT(ISNUMBER(E36)),E36&lt;0,E36&gt;D36),"CHECK fixed days reserved",IF(OR(NOT(ISNUMBER(G36)),G36&lt;-366,G36&gt;366),"CHECK adjustment",IF(COUNTIF(H36:N36,"Work")+COUNTIF(H36:N36,"Off")&lt;&gt;7,"CHECK weekly pattern",IF(COUNTIF(H36:N36,"Work")=0,"CHECK at least one workday","OK"))))))))),"CHECK input"))</ns0:f>
        <ns0:v/>
      </ns0:c>
    </ns0:row>
    <ns0:row r="37" ht="27" customHeight="1">
      <ns0:c r="A37" s="200" t="str">
        <ns0:v>EMP027</ns0:v>
      </ns0:c>
      <ns0:c r="B37" s="200"/>
      <ns0:c r="C37" s="200"/>
      <ns0:c r="D37" s="204"/>
      <ns0:c r="E37" s="204" t="n">
        <ns0:v>0</ns0:v>
      </ns0:c>
      <ns0:c r="F37" s="75" t="str">
        <ns0:f>IF('_Engine'!X37=0,"",IF(OR(NOT(ISNUMBER(D37)),NOT(ISNUMBER(E37)),E37&lt;0,D37&lt;E37),"REVIEW",D37-E37))</ns0:f>
        <ns0:v/>
      </ns0:c>
      <ns0:c r="G37" s="204" t="n">
        <ns0:v>0</ns0:v>
      </ns0:c>
      <ns0:c r="H37" s="205" t="str">
        <ns0:v>Work</ns0:v>
      </ns0:c>
      <ns0:c r="I37" s="205" t="str">
        <ns0:v>Work</ns0:v>
      </ns0:c>
      <ns0:c r="J37" s="205" t="str">
        <ns0:v>Work</ns0:v>
      </ns0:c>
      <ns0:c r="K37" s="206" t="str">
        <ns0:v>Work</ns0:v>
      </ns0:c>
      <ns0:c r="L37" s="206" t="str">
        <ns0:v>Work</ns0:v>
      </ns0:c>
      <ns0:c r="M37" s="206" t="str">
        <ns0:v>Off</ns0:v>
      </ns0:c>
      <ns0:c r="N37" s="206" t="str">
        <ns0:v>Off</ns0:v>
      </ns0:c>
      <ns0:c r="O37" t="str">
        <ns0:f>IF('_Engine'!X37=0,"",IFERROR(IF(OR(NOT(ISTEXT(A37)),A37="",LEN(TRIM(A37))=0,LEN(A37)&gt;24,ISNUMBER(FIND(" ",A37)),ISNUMBER(FIND("*",A37)),ISNUMBER(FIND("?",A37)),ISNUMBER(FIND("~",A37))),"CHECK stable ID",IF(COUNTIF($A$11:$A$60,A37)&lt;&gt;1,"CHECK duplicate ID",IF(OR(LEN(TRIM(B37))=0,ISNUMBER(FIND(" · ",B37))),"CHECK employee name",IF(OR(LEN(TRIM(C37))=0,ISNUMBER(FIND("*",C37)),ISNUMBER(FIND("?",C37)),ISNUMBER(FIND("~",C37)),C37="All teams"),"CHECK team name",IF(OR(NOT(ISNUMBER(D37)),D37&lt;0,D37&gt;366),"CHECK agreed allowance",IF(OR(NOT(ISNUMBER(E37)),E37&lt;0,E37&gt;D37),"CHECK fixed days reserved",IF(OR(NOT(ISNUMBER(G37)),G37&lt;-366,G37&gt;366),"CHECK adjustment",IF(COUNTIF(H37:N37,"Work")+COUNTIF(H37:N37,"Off")&lt;&gt;7,"CHECK weekly pattern",IF(COUNTIF(H37:N37,"Work")=0,"CHECK at least one workday","OK"))))))))),"CHECK input"))</ns0:f>
        <ns0:v/>
      </ns0:c>
    </ns0:row>
    <ns0:row r="38" ht="27" customHeight="1">
      <ns0:c r="A38" s="200" t="str">
        <ns0:v>EMP028</ns0:v>
      </ns0:c>
      <ns0:c r="B38" s="200"/>
      <ns0:c r="C38" s="200"/>
      <ns0:c r="D38" s="204"/>
      <ns0:c r="E38" s="204" t="n">
        <ns0:v>0</ns0:v>
      </ns0:c>
      <ns0:c r="F38" s="75" t="str">
        <ns0:f>IF('_Engine'!X38=0,"",IF(OR(NOT(ISNUMBER(D38)),NOT(ISNUMBER(E38)),E38&lt;0,D38&lt;E38),"REVIEW",D38-E38))</ns0:f>
        <ns0:v/>
      </ns0:c>
      <ns0:c r="G38" s="204" t="n">
        <ns0:v>0</ns0:v>
      </ns0:c>
      <ns0:c r="H38" s="205" t="str">
        <ns0:v>Work</ns0:v>
      </ns0:c>
      <ns0:c r="I38" s="205" t="str">
        <ns0:v>Work</ns0:v>
      </ns0:c>
      <ns0:c r="J38" s="205" t="str">
        <ns0:v>Work</ns0:v>
      </ns0:c>
      <ns0:c r="K38" s="206" t="str">
        <ns0:v>Work</ns0:v>
      </ns0:c>
      <ns0:c r="L38" s="206" t="str">
        <ns0:v>Work</ns0:v>
      </ns0:c>
      <ns0:c r="M38" s="206" t="str">
        <ns0:v>Off</ns0:v>
      </ns0:c>
      <ns0:c r="N38" s="206" t="str">
        <ns0:v>Off</ns0:v>
      </ns0:c>
      <ns0:c r="O38" t="str">
        <ns0:f>IF('_Engine'!X38=0,"",IFERROR(IF(OR(NOT(ISTEXT(A38)),A38="",LEN(TRIM(A38))=0,LEN(A38)&gt;24,ISNUMBER(FIND(" ",A38)),ISNUMBER(FIND("*",A38)),ISNUMBER(FIND("?",A38)),ISNUMBER(FIND("~",A38))),"CHECK stable ID",IF(COUNTIF($A$11:$A$60,A38)&lt;&gt;1,"CHECK duplicate ID",IF(OR(LEN(TRIM(B38))=0,ISNUMBER(FIND(" · ",B38))),"CHECK employee name",IF(OR(LEN(TRIM(C38))=0,ISNUMBER(FIND("*",C38)),ISNUMBER(FIND("?",C38)),ISNUMBER(FIND("~",C38)),C38="All teams"),"CHECK team name",IF(OR(NOT(ISNUMBER(D38)),D38&lt;0,D38&gt;366),"CHECK agreed allowance",IF(OR(NOT(ISNUMBER(E38)),E38&lt;0,E38&gt;D38),"CHECK fixed days reserved",IF(OR(NOT(ISNUMBER(G38)),G38&lt;-366,G38&gt;366),"CHECK adjustment",IF(COUNTIF(H38:N38,"Work")+COUNTIF(H38:N38,"Off")&lt;&gt;7,"CHECK weekly pattern",IF(COUNTIF(H38:N38,"Work")=0,"CHECK at least one workday","OK"))))))))),"CHECK input"))</ns0:f>
        <ns0:v/>
      </ns0:c>
    </ns0:row>
    <ns0:row r="39" ht="27" customHeight="1">
      <ns0:c r="A39" s="200" t="str">
        <ns0:v>EMP029</ns0:v>
      </ns0:c>
      <ns0:c r="B39" s="200"/>
      <ns0:c r="C39" s="200"/>
      <ns0:c r="D39" s="204"/>
      <ns0:c r="E39" s="204" t="n">
        <ns0:v>0</ns0:v>
      </ns0:c>
      <ns0:c r="F39" s="75" t="str">
        <ns0:f>IF('_Engine'!X39=0,"",IF(OR(NOT(ISNUMBER(D39)),NOT(ISNUMBER(E39)),E39&lt;0,D39&lt;E39),"REVIEW",D39-E39))</ns0:f>
        <ns0:v/>
      </ns0:c>
      <ns0:c r="G39" s="204" t="n">
        <ns0:v>0</ns0:v>
      </ns0:c>
      <ns0:c r="H39" s="205" t="str">
        <ns0:v>Work</ns0:v>
      </ns0:c>
      <ns0:c r="I39" s="205" t="str">
        <ns0:v>Work</ns0:v>
      </ns0:c>
      <ns0:c r="J39" s="205" t="str">
        <ns0:v>Work</ns0:v>
      </ns0:c>
      <ns0:c r="K39" s="206" t="str">
        <ns0:v>Work</ns0:v>
      </ns0:c>
      <ns0:c r="L39" s="206" t="str">
        <ns0:v>Work</ns0:v>
      </ns0:c>
      <ns0:c r="M39" s="206" t="str">
        <ns0:v>Off</ns0:v>
      </ns0:c>
      <ns0:c r="N39" s="206" t="str">
        <ns0:v>Off</ns0:v>
      </ns0:c>
      <ns0:c r="O39" t="str">
        <ns0:f>IF('_Engine'!X39=0,"",IFERROR(IF(OR(NOT(ISTEXT(A39)),A39="",LEN(TRIM(A39))=0,LEN(A39)&gt;24,ISNUMBER(FIND(" ",A39)),ISNUMBER(FIND("*",A39)),ISNUMBER(FIND("?",A39)),ISNUMBER(FIND("~",A39))),"CHECK stable ID",IF(COUNTIF($A$11:$A$60,A39)&lt;&gt;1,"CHECK duplicate ID",IF(OR(LEN(TRIM(B39))=0,ISNUMBER(FIND(" · ",B39))),"CHECK employee name",IF(OR(LEN(TRIM(C39))=0,ISNUMBER(FIND("*",C39)),ISNUMBER(FIND("?",C39)),ISNUMBER(FIND("~",C39)),C39="All teams"),"CHECK team name",IF(OR(NOT(ISNUMBER(D39)),D39&lt;0,D39&gt;366),"CHECK agreed allowance",IF(OR(NOT(ISNUMBER(E39)),E39&lt;0,E39&gt;D39),"CHECK fixed days reserved",IF(OR(NOT(ISNUMBER(G39)),G39&lt;-366,G39&gt;366),"CHECK adjustment",IF(COUNTIF(H39:N39,"Work")+COUNTIF(H39:N39,"Off")&lt;&gt;7,"CHECK weekly pattern",IF(COUNTIF(H39:N39,"Work")=0,"CHECK at least one workday","OK"))))))))),"CHECK input"))</ns0:f>
        <ns0:v/>
      </ns0:c>
    </ns0:row>
    <ns0:row r="40" ht="27" customHeight="1">
      <ns0:c r="A40" s="200" t="str">
        <ns0:v>EMP030</ns0:v>
      </ns0:c>
      <ns0:c r="B40" s="200"/>
      <ns0:c r="C40" s="200"/>
      <ns0:c r="D40" s="204"/>
      <ns0:c r="E40" s="204" t="n">
        <ns0:v>0</ns0:v>
      </ns0:c>
      <ns0:c r="F40" s="75" t="str">
        <ns0:f>IF('_Engine'!X40=0,"",IF(OR(NOT(ISNUMBER(D40)),NOT(ISNUMBER(E40)),E40&lt;0,D40&lt;E40),"REVIEW",D40-E40))</ns0:f>
        <ns0:v/>
      </ns0:c>
      <ns0:c r="G40" s="204" t="n">
        <ns0:v>0</ns0:v>
      </ns0:c>
      <ns0:c r="H40" s="205" t="str">
        <ns0:v>Work</ns0:v>
      </ns0:c>
      <ns0:c r="I40" s="205" t="str">
        <ns0:v>Work</ns0:v>
      </ns0:c>
      <ns0:c r="J40" s="205" t="str">
        <ns0:v>Work</ns0:v>
      </ns0:c>
      <ns0:c r="K40" s="206" t="str">
        <ns0:v>Work</ns0:v>
      </ns0:c>
      <ns0:c r="L40" s="206" t="str">
        <ns0:v>Work</ns0:v>
      </ns0:c>
      <ns0:c r="M40" s="206" t="str">
        <ns0:v>Off</ns0:v>
      </ns0:c>
      <ns0:c r="N40" s="206" t="str">
        <ns0:v>Off</ns0:v>
      </ns0:c>
      <ns0:c r="O40" t="str">
        <ns0:f>IF('_Engine'!X40=0,"",IFERROR(IF(OR(NOT(ISTEXT(A40)),A40="",LEN(TRIM(A40))=0,LEN(A40)&gt;24,ISNUMBER(FIND(" ",A40)),ISNUMBER(FIND("*",A40)),ISNUMBER(FIND("?",A40)),ISNUMBER(FIND("~",A40))),"CHECK stable ID",IF(COUNTIF($A$11:$A$60,A40)&lt;&gt;1,"CHECK duplicate ID",IF(OR(LEN(TRIM(B40))=0,ISNUMBER(FIND(" · ",B40))),"CHECK employee name",IF(OR(LEN(TRIM(C40))=0,ISNUMBER(FIND("*",C40)),ISNUMBER(FIND("?",C40)),ISNUMBER(FIND("~",C40)),C40="All teams"),"CHECK team name",IF(OR(NOT(ISNUMBER(D40)),D40&lt;0,D40&gt;366),"CHECK agreed allowance",IF(OR(NOT(ISNUMBER(E40)),E40&lt;0,E40&gt;D40),"CHECK fixed days reserved",IF(OR(NOT(ISNUMBER(G40)),G40&lt;-366,G40&gt;366),"CHECK adjustment",IF(COUNTIF(H40:N40,"Work")+COUNTIF(H40:N40,"Off")&lt;&gt;7,"CHECK weekly pattern",IF(COUNTIF(H40:N40,"Work")=0,"CHECK at least one workday","OK"))))))))),"CHECK input"))</ns0:f>
        <ns0:v/>
      </ns0:c>
    </ns0:row>
    <ns0:row r="41" ht="27" customHeight="1">
      <ns0:c r="A41" s="200" t="str">
        <ns0:v>EMP031</ns0:v>
      </ns0:c>
      <ns0:c r="B41" s="200"/>
      <ns0:c r="C41" s="200"/>
      <ns0:c r="D41" s="204"/>
      <ns0:c r="E41" s="204" t="n">
        <ns0:v>0</ns0:v>
      </ns0:c>
      <ns0:c r="F41" s="75" t="str">
        <ns0:f>IF('_Engine'!X41=0,"",IF(OR(NOT(ISNUMBER(D41)),NOT(ISNUMBER(E41)),E41&lt;0,D41&lt;E41),"REVIEW",D41-E41))</ns0:f>
        <ns0:v/>
      </ns0:c>
      <ns0:c r="G41" s="204" t="n">
        <ns0:v>0</ns0:v>
      </ns0:c>
      <ns0:c r="H41" s="205" t="str">
        <ns0:v>Work</ns0:v>
      </ns0:c>
      <ns0:c r="I41" s="205" t="str">
        <ns0:v>Work</ns0:v>
      </ns0:c>
      <ns0:c r="J41" s="205" t="str">
        <ns0:v>Work</ns0:v>
      </ns0:c>
      <ns0:c r="K41" s="206" t="str">
        <ns0:v>Work</ns0:v>
      </ns0:c>
      <ns0:c r="L41" s="206" t="str">
        <ns0:v>Work</ns0:v>
      </ns0:c>
      <ns0:c r="M41" s="206" t="str">
        <ns0:v>Off</ns0:v>
      </ns0:c>
      <ns0:c r="N41" s="206" t="str">
        <ns0:v>Off</ns0:v>
      </ns0:c>
      <ns0:c r="O41" t="str">
        <ns0:f>IF('_Engine'!X41=0,"",IFERROR(IF(OR(NOT(ISTEXT(A41)),A41="",LEN(TRIM(A41))=0,LEN(A41)&gt;24,ISNUMBER(FIND(" ",A41)),ISNUMBER(FIND("*",A41)),ISNUMBER(FIND("?",A41)),ISNUMBER(FIND("~",A41))),"CHECK stable ID",IF(COUNTIF($A$11:$A$60,A41)&lt;&gt;1,"CHECK duplicate ID",IF(OR(LEN(TRIM(B41))=0,ISNUMBER(FIND(" · ",B41))),"CHECK employee name",IF(OR(LEN(TRIM(C41))=0,ISNUMBER(FIND("*",C41)),ISNUMBER(FIND("?",C41)),ISNUMBER(FIND("~",C41)),C41="All teams"),"CHECK team name",IF(OR(NOT(ISNUMBER(D41)),D41&lt;0,D41&gt;366),"CHECK agreed allowance",IF(OR(NOT(ISNUMBER(E41)),E41&lt;0,E41&gt;D41),"CHECK fixed days reserved",IF(OR(NOT(ISNUMBER(G41)),G41&lt;-366,G41&gt;366),"CHECK adjustment",IF(COUNTIF(H41:N41,"Work")+COUNTIF(H41:N41,"Off")&lt;&gt;7,"CHECK weekly pattern",IF(COUNTIF(H41:N41,"Work")=0,"CHECK at least one workday","OK"))))))))),"CHECK input"))</ns0:f>
        <ns0:v/>
      </ns0:c>
    </ns0:row>
    <ns0:row r="42" ht="27" customHeight="1">
      <ns0:c r="A42" s="200" t="str">
        <ns0:v>EMP032</ns0:v>
      </ns0:c>
      <ns0:c r="B42" s="200"/>
      <ns0:c r="C42" s="200"/>
      <ns0:c r="D42" s="204"/>
      <ns0:c r="E42" s="204" t="n">
        <ns0:v>0</ns0:v>
      </ns0:c>
      <ns0:c r="F42" s="75" t="str">
        <ns0:f>IF('_Engine'!X42=0,"",IF(OR(NOT(ISNUMBER(D42)),NOT(ISNUMBER(E42)),E42&lt;0,D42&lt;E42),"REVIEW",D42-E42))</ns0:f>
        <ns0:v/>
      </ns0:c>
      <ns0:c r="G42" s="204" t="n">
        <ns0:v>0</ns0:v>
      </ns0:c>
      <ns0:c r="H42" s="205" t="str">
        <ns0:v>Work</ns0:v>
      </ns0:c>
      <ns0:c r="I42" s="205" t="str">
        <ns0:v>Work</ns0:v>
      </ns0:c>
      <ns0:c r="J42" s="205" t="str">
        <ns0:v>Work</ns0:v>
      </ns0:c>
      <ns0:c r="K42" s="206" t="str">
        <ns0:v>Work</ns0:v>
      </ns0:c>
      <ns0:c r="L42" s="206" t="str">
        <ns0:v>Work</ns0:v>
      </ns0:c>
      <ns0:c r="M42" s="206" t="str">
        <ns0:v>Off</ns0:v>
      </ns0:c>
      <ns0:c r="N42" s="206" t="str">
        <ns0:v>Off</ns0:v>
      </ns0:c>
      <ns0:c r="O42" t="str">
        <ns0:f>IF('_Engine'!X42=0,"",IFERROR(IF(OR(NOT(ISTEXT(A42)),A42="",LEN(TRIM(A42))=0,LEN(A42)&gt;24,ISNUMBER(FIND(" ",A42)),ISNUMBER(FIND("*",A42)),ISNUMBER(FIND("?",A42)),ISNUMBER(FIND("~",A42))),"CHECK stable ID",IF(COUNTIF($A$11:$A$60,A42)&lt;&gt;1,"CHECK duplicate ID",IF(OR(LEN(TRIM(B42))=0,ISNUMBER(FIND(" · ",B42))),"CHECK employee name",IF(OR(LEN(TRIM(C42))=0,ISNUMBER(FIND("*",C42)),ISNUMBER(FIND("?",C42)),ISNUMBER(FIND("~",C42)),C42="All teams"),"CHECK team name",IF(OR(NOT(ISNUMBER(D42)),D42&lt;0,D42&gt;366),"CHECK agreed allowance",IF(OR(NOT(ISNUMBER(E42)),E42&lt;0,E42&gt;D42),"CHECK fixed days reserved",IF(OR(NOT(ISNUMBER(G42)),G42&lt;-366,G42&gt;366),"CHECK adjustment",IF(COUNTIF(H42:N42,"Work")+COUNTIF(H42:N42,"Off")&lt;&gt;7,"CHECK weekly pattern",IF(COUNTIF(H42:N42,"Work")=0,"CHECK at least one workday","OK"))))))))),"CHECK input"))</ns0:f>
        <ns0:v/>
      </ns0:c>
    </ns0:row>
    <ns0:row r="43" ht="27" customHeight="1">
      <ns0:c r="A43" s="200" t="str">
        <ns0:v>EMP033</ns0:v>
      </ns0:c>
      <ns0:c r="B43" s="200"/>
      <ns0:c r="C43" s="200"/>
      <ns0:c r="D43" s="204"/>
      <ns0:c r="E43" s="204" t="n">
        <ns0:v>0</ns0:v>
      </ns0:c>
      <ns0:c r="F43" s="75" t="str">
        <ns0:f>IF('_Engine'!X43=0,"",IF(OR(NOT(ISNUMBER(D43)),NOT(ISNUMBER(E43)),E43&lt;0,D43&lt;E43),"REVIEW",D43-E43))</ns0:f>
        <ns0:v/>
      </ns0:c>
      <ns0:c r="G43" s="204" t="n">
        <ns0:v>0</ns0:v>
      </ns0:c>
      <ns0:c r="H43" s="205" t="str">
        <ns0:v>Work</ns0:v>
      </ns0:c>
      <ns0:c r="I43" s="205" t="str">
        <ns0:v>Work</ns0:v>
      </ns0:c>
      <ns0:c r="J43" s="205" t="str">
        <ns0:v>Work</ns0:v>
      </ns0:c>
      <ns0:c r="K43" s="206" t="str">
        <ns0:v>Work</ns0:v>
      </ns0:c>
      <ns0:c r="L43" s="206" t="str">
        <ns0:v>Work</ns0:v>
      </ns0:c>
      <ns0:c r="M43" s="206" t="str">
        <ns0:v>Off</ns0:v>
      </ns0:c>
      <ns0:c r="N43" s="206" t="str">
        <ns0:v>Off</ns0:v>
      </ns0:c>
      <ns0:c r="O43" t="str">
        <ns0:f>IF('_Engine'!X43=0,"",IFERROR(IF(OR(NOT(ISTEXT(A43)),A43="",LEN(TRIM(A43))=0,LEN(A43)&gt;24,ISNUMBER(FIND(" ",A43)),ISNUMBER(FIND("*",A43)),ISNUMBER(FIND("?",A43)),ISNUMBER(FIND("~",A43))),"CHECK stable ID",IF(COUNTIF($A$11:$A$60,A43)&lt;&gt;1,"CHECK duplicate ID",IF(OR(LEN(TRIM(B43))=0,ISNUMBER(FIND(" · ",B43))),"CHECK employee name",IF(OR(LEN(TRIM(C43))=0,ISNUMBER(FIND("*",C43)),ISNUMBER(FIND("?",C43)),ISNUMBER(FIND("~",C43)),C43="All teams"),"CHECK team name",IF(OR(NOT(ISNUMBER(D43)),D43&lt;0,D43&gt;366),"CHECK agreed allowance",IF(OR(NOT(ISNUMBER(E43)),E43&lt;0,E43&gt;D43),"CHECK fixed days reserved",IF(OR(NOT(ISNUMBER(G43)),G43&lt;-366,G43&gt;366),"CHECK adjustment",IF(COUNTIF(H43:N43,"Work")+COUNTIF(H43:N43,"Off")&lt;&gt;7,"CHECK weekly pattern",IF(COUNTIF(H43:N43,"Work")=0,"CHECK at least one workday","OK"))))))))),"CHECK input"))</ns0:f>
        <ns0:v/>
      </ns0:c>
    </ns0:row>
    <ns0:row r="44" ht="27" customHeight="1">
      <ns0:c r="A44" s="200" t="str">
        <ns0:v>EMP034</ns0:v>
      </ns0:c>
      <ns0:c r="B44" s="200"/>
      <ns0:c r="C44" s="200"/>
      <ns0:c r="D44" s="204"/>
      <ns0:c r="E44" s="204" t="n">
        <ns0:v>0</ns0:v>
      </ns0:c>
      <ns0:c r="F44" s="75" t="str">
        <ns0:f>IF('_Engine'!X44=0,"",IF(OR(NOT(ISNUMBER(D44)),NOT(ISNUMBER(E44)),E44&lt;0,D44&lt;E44),"REVIEW",D44-E44))</ns0:f>
        <ns0:v/>
      </ns0:c>
      <ns0:c r="G44" s="204" t="n">
        <ns0:v>0</ns0:v>
      </ns0:c>
      <ns0:c r="H44" s="205" t="str">
        <ns0:v>Work</ns0:v>
      </ns0:c>
      <ns0:c r="I44" s="205" t="str">
        <ns0:v>Work</ns0:v>
      </ns0:c>
      <ns0:c r="J44" s="205" t="str">
        <ns0:v>Work</ns0:v>
      </ns0:c>
      <ns0:c r="K44" s="206" t="str">
        <ns0:v>Work</ns0:v>
      </ns0:c>
      <ns0:c r="L44" s="206" t="str">
        <ns0:v>Work</ns0:v>
      </ns0:c>
      <ns0:c r="M44" s="206" t="str">
        <ns0:v>Off</ns0:v>
      </ns0:c>
      <ns0:c r="N44" s="206" t="str">
        <ns0:v>Off</ns0:v>
      </ns0:c>
      <ns0:c r="O44" t="str">
        <ns0:f>IF('_Engine'!X44=0,"",IFERROR(IF(OR(NOT(ISTEXT(A44)),A44="",LEN(TRIM(A44))=0,LEN(A44)&gt;24,ISNUMBER(FIND(" ",A44)),ISNUMBER(FIND("*",A44)),ISNUMBER(FIND("?",A44)),ISNUMBER(FIND("~",A44))),"CHECK stable ID",IF(COUNTIF($A$11:$A$60,A44)&lt;&gt;1,"CHECK duplicate ID",IF(OR(LEN(TRIM(B44))=0,ISNUMBER(FIND(" · ",B44))),"CHECK employee name",IF(OR(LEN(TRIM(C44))=0,ISNUMBER(FIND("*",C44)),ISNUMBER(FIND("?",C44)),ISNUMBER(FIND("~",C44)),C44="All teams"),"CHECK team name",IF(OR(NOT(ISNUMBER(D44)),D44&lt;0,D44&gt;366),"CHECK agreed allowance",IF(OR(NOT(ISNUMBER(E44)),E44&lt;0,E44&gt;D44),"CHECK fixed days reserved",IF(OR(NOT(ISNUMBER(G44)),G44&lt;-366,G44&gt;366),"CHECK adjustment",IF(COUNTIF(H44:N44,"Work")+COUNTIF(H44:N44,"Off")&lt;&gt;7,"CHECK weekly pattern",IF(COUNTIF(H44:N44,"Work")=0,"CHECK at least one workday","OK"))))))))),"CHECK input"))</ns0:f>
        <ns0:v/>
      </ns0:c>
    </ns0:row>
    <ns0:row r="45" ht="27" customHeight="1">
      <ns0:c r="A45" s="200" t="str">
        <ns0:v>EMP035</ns0:v>
      </ns0:c>
      <ns0:c r="B45" s="200"/>
      <ns0:c r="C45" s="200"/>
      <ns0:c r="D45" s="204"/>
      <ns0:c r="E45" s="204" t="n">
        <ns0:v>0</ns0:v>
      </ns0:c>
      <ns0:c r="F45" s="75" t="str">
        <ns0:f>IF('_Engine'!X45=0,"",IF(OR(NOT(ISNUMBER(D45)),NOT(ISNUMBER(E45)),E45&lt;0,D45&lt;E45),"REVIEW",D45-E45))</ns0:f>
        <ns0:v/>
      </ns0:c>
      <ns0:c r="G45" s="204" t="n">
        <ns0:v>0</ns0:v>
      </ns0:c>
      <ns0:c r="H45" s="205" t="str">
        <ns0:v>Work</ns0:v>
      </ns0:c>
      <ns0:c r="I45" s="205" t="str">
        <ns0:v>Work</ns0:v>
      </ns0:c>
      <ns0:c r="J45" s="205" t="str">
        <ns0:v>Work</ns0:v>
      </ns0:c>
      <ns0:c r="K45" s="206" t="str">
        <ns0:v>Work</ns0:v>
      </ns0:c>
      <ns0:c r="L45" s="206" t="str">
        <ns0:v>Work</ns0:v>
      </ns0:c>
      <ns0:c r="M45" s="206" t="str">
        <ns0:v>Off</ns0:v>
      </ns0:c>
      <ns0:c r="N45" s="206" t="str">
        <ns0:v>Off</ns0:v>
      </ns0:c>
      <ns0:c r="O45" t="str">
        <ns0:f>IF('_Engine'!X45=0,"",IFERROR(IF(OR(NOT(ISTEXT(A45)),A45="",LEN(TRIM(A45))=0,LEN(A45)&gt;24,ISNUMBER(FIND(" ",A45)),ISNUMBER(FIND("*",A45)),ISNUMBER(FIND("?",A45)),ISNUMBER(FIND("~",A45))),"CHECK stable ID",IF(COUNTIF($A$11:$A$60,A45)&lt;&gt;1,"CHECK duplicate ID",IF(OR(LEN(TRIM(B45))=0,ISNUMBER(FIND(" · ",B45))),"CHECK employee name",IF(OR(LEN(TRIM(C45))=0,ISNUMBER(FIND("*",C45)),ISNUMBER(FIND("?",C45)),ISNUMBER(FIND("~",C45)),C45="All teams"),"CHECK team name",IF(OR(NOT(ISNUMBER(D45)),D45&lt;0,D45&gt;366),"CHECK agreed allowance",IF(OR(NOT(ISNUMBER(E45)),E45&lt;0,E45&gt;D45),"CHECK fixed days reserved",IF(OR(NOT(ISNUMBER(G45)),G45&lt;-366,G45&gt;366),"CHECK adjustment",IF(COUNTIF(H45:N45,"Work")+COUNTIF(H45:N45,"Off")&lt;&gt;7,"CHECK weekly pattern",IF(COUNTIF(H45:N45,"Work")=0,"CHECK at least one workday","OK"))))))))),"CHECK input"))</ns0:f>
        <ns0:v/>
      </ns0:c>
    </ns0:row>
    <ns0:row r="46" ht="27" customHeight="1">
      <ns0:c r="A46" s="200" t="str">
        <ns0:v>EMP036</ns0:v>
      </ns0:c>
      <ns0:c r="B46" s="200"/>
      <ns0:c r="C46" s="200"/>
      <ns0:c r="D46" s="204"/>
      <ns0:c r="E46" s="204" t="n">
        <ns0:v>0</ns0:v>
      </ns0:c>
      <ns0:c r="F46" s="75" t="str">
        <ns0:f>IF('_Engine'!X46=0,"",IF(OR(NOT(ISNUMBER(D46)),NOT(ISNUMBER(E46)),E46&lt;0,D46&lt;E46),"REVIEW",D46-E46))</ns0:f>
        <ns0:v/>
      </ns0:c>
      <ns0:c r="G46" s="204" t="n">
        <ns0:v>0</ns0:v>
      </ns0:c>
      <ns0:c r="H46" s="205" t="str">
        <ns0:v>Work</ns0:v>
      </ns0:c>
      <ns0:c r="I46" s="205" t="str">
        <ns0:v>Work</ns0:v>
      </ns0:c>
      <ns0:c r="J46" s="205" t="str">
        <ns0:v>Work</ns0:v>
      </ns0:c>
      <ns0:c r="K46" s="206" t="str">
        <ns0:v>Work</ns0:v>
      </ns0:c>
      <ns0:c r="L46" s="206" t="str">
        <ns0:v>Work</ns0:v>
      </ns0:c>
      <ns0:c r="M46" s="206" t="str">
        <ns0:v>Off</ns0:v>
      </ns0:c>
      <ns0:c r="N46" s="206" t="str">
        <ns0:v>Off</ns0:v>
      </ns0:c>
      <ns0:c r="O46" t="str">
        <ns0:f>IF('_Engine'!X46=0,"",IFERROR(IF(OR(NOT(ISTEXT(A46)),A46="",LEN(TRIM(A46))=0,LEN(A46)&gt;24,ISNUMBER(FIND(" ",A46)),ISNUMBER(FIND("*",A46)),ISNUMBER(FIND("?",A46)),ISNUMBER(FIND("~",A46))),"CHECK stable ID",IF(COUNTIF($A$11:$A$60,A46)&lt;&gt;1,"CHECK duplicate ID",IF(OR(LEN(TRIM(B46))=0,ISNUMBER(FIND(" · ",B46))),"CHECK employee name",IF(OR(LEN(TRIM(C46))=0,ISNUMBER(FIND("*",C46)),ISNUMBER(FIND("?",C46)),ISNUMBER(FIND("~",C46)),C46="All teams"),"CHECK team name",IF(OR(NOT(ISNUMBER(D46)),D46&lt;0,D46&gt;366),"CHECK agreed allowance",IF(OR(NOT(ISNUMBER(E46)),E46&lt;0,E46&gt;D46),"CHECK fixed days reserved",IF(OR(NOT(ISNUMBER(G46)),G46&lt;-366,G46&gt;366),"CHECK adjustment",IF(COUNTIF(H46:N46,"Work")+COUNTIF(H46:N46,"Off")&lt;&gt;7,"CHECK weekly pattern",IF(COUNTIF(H46:N46,"Work")=0,"CHECK at least one workday","OK"))))))))),"CHECK input"))</ns0:f>
        <ns0:v/>
      </ns0:c>
    </ns0:row>
    <ns0:row r="47" ht="27" customHeight="1">
      <ns0:c r="A47" s="200" t="str">
        <ns0:v>EMP037</ns0:v>
      </ns0:c>
      <ns0:c r="B47" s="200"/>
      <ns0:c r="C47" s="200"/>
      <ns0:c r="D47" s="204"/>
      <ns0:c r="E47" s="204" t="n">
        <ns0:v>0</ns0:v>
      </ns0:c>
      <ns0:c r="F47" s="75" t="str">
        <ns0:f>IF('_Engine'!X47=0,"",IF(OR(NOT(ISNUMBER(D47)),NOT(ISNUMBER(E47)),E47&lt;0,D47&lt;E47),"REVIEW",D47-E47))</ns0:f>
        <ns0:v/>
      </ns0:c>
      <ns0:c r="G47" s="204" t="n">
        <ns0:v>0</ns0:v>
      </ns0:c>
      <ns0:c r="H47" s="205" t="str">
        <ns0:v>Work</ns0:v>
      </ns0:c>
      <ns0:c r="I47" s="205" t="str">
        <ns0:v>Work</ns0:v>
      </ns0:c>
      <ns0:c r="J47" s="205" t="str">
        <ns0:v>Work</ns0:v>
      </ns0:c>
      <ns0:c r="K47" s="206" t="str">
        <ns0:v>Work</ns0:v>
      </ns0:c>
      <ns0:c r="L47" s="206" t="str">
        <ns0:v>Work</ns0:v>
      </ns0:c>
      <ns0:c r="M47" s="206" t="str">
        <ns0:v>Off</ns0:v>
      </ns0:c>
      <ns0:c r="N47" s="206" t="str">
        <ns0:v>Off</ns0:v>
      </ns0:c>
      <ns0:c r="O47" t="str">
        <ns0:f>IF('_Engine'!X47=0,"",IFERROR(IF(OR(NOT(ISTEXT(A47)),A47="",LEN(TRIM(A47))=0,LEN(A47)&gt;24,ISNUMBER(FIND(" ",A47)),ISNUMBER(FIND("*",A47)),ISNUMBER(FIND("?",A47)),ISNUMBER(FIND("~",A47))),"CHECK stable ID",IF(COUNTIF($A$11:$A$60,A47)&lt;&gt;1,"CHECK duplicate ID",IF(OR(LEN(TRIM(B47))=0,ISNUMBER(FIND(" · ",B47))),"CHECK employee name",IF(OR(LEN(TRIM(C47))=0,ISNUMBER(FIND("*",C47)),ISNUMBER(FIND("?",C47)),ISNUMBER(FIND("~",C47)),C47="All teams"),"CHECK team name",IF(OR(NOT(ISNUMBER(D47)),D47&lt;0,D47&gt;366),"CHECK agreed allowance",IF(OR(NOT(ISNUMBER(E47)),E47&lt;0,E47&gt;D47),"CHECK fixed days reserved",IF(OR(NOT(ISNUMBER(G47)),G47&lt;-366,G47&gt;366),"CHECK adjustment",IF(COUNTIF(H47:N47,"Work")+COUNTIF(H47:N47,"Off")&lt;&gt;7,"CHECK weekly pattern",IF(COUNTIF(H47:N47,"Work")=0,"CHECK at least one workday","OK"))))))))),"CHECK input"))</ns0:f>
        <ns0:v/>
      </ns0:c>
    </ns0:row>
    <ns0:row r="48" ht="27" customHeight="1">
      <ns0:c r="A48" s="200" t="str">
        <ns0:v>EMP038</ns0:v>
      </ns0:c>
      <ns0:c r="B48" s="200"/>
      <ns0:c r="C48" s="200"/>
      <ns0:c r="D48" s="204"/>
      <ns0:c r="E48" s="204" t="n">
        <ns0:v>0</ns0:v>
      </ns0:c>
      <ns0:c r="F48" s="75" t="str">
        <ns0:f>IF('_Engine'!X48=0,"",IF(OR(NOT(ISNUMBER(D48)),NOT(ISNUMBER(E48)),E48&lt;0,D48&lt;E48),"REVIEW",D48-E48))</ns0:f>
        <ns0:v/>
      </ns0:c>
      <ns0:c r="G48" s="204" t="n">
        <ns0:v>0</ns0:v>
      </ns0:c>
      <ns0:c r="H48" s="205" t="str">
        <ns0:v>Work</ns0:v>
      </ns0:c>
      <ns0:c r="I48" s="205" t="str">
        <ns0:v>Work</ns0:v>
      </ns0:c>
      <ns0:c r="J48" s="205" t="str">
        <ns0:v>Work</ns0:v>
      </ns0:c>
      <ns0:c r="K48" s="206" t="str">
        <ns0:v>Work</ns0:v>
      </ns0:c>
      <ns0:c r="L48" s="206" t="str">
        <ns0:v>Work</ns0:v>
      </ns0:c>
      <ns0:c r="M48" s="206" t="str">
        <ns0:v>Off</ns0:v>
      </ns0:c>
      <ns0:c r="N48" s="206" t="str">
        <ns0:v>Off</ns0:v>
      </ns0:c>
      <ns0:c r="O48" t="str">
        <ns0:f>IF('_Engine'!X48=0,"",IFERROR(IF(OR(NOT(ISTEXT(A48)),A48="",LEN(TRIM(A48))=0,LEN(A48)&gt;24,ISNUMBER(FIND(" ",A48)),ISNUMBER(FIND("*",A48)),ISNUMBER(FIND("?",A48)),ISNUMBER(FIND("~",A48))),"CHECK stable ID",IF(COUNTIF($A$11:$A$60,A48)&lt;&gt;1,"CHECK duplicate ID",IF(OR(LEN(TRIM(B48))=0,ISNUMBER(FIND(" · ",B48))),"CHECK employee name",IF(OR(LEN(TRIM(C48))=0,ISNUMBER(FIND("*",C48)),ISNUMBER(FIND("?",C48)),ISNUMBER(FIND("~",C48)),C48="All teams"),"CHECK team name",IF(OR(NOT(ISNUMBER(D48)),D48&lt;0,D48&gt;366),"CHECK agreed allowance",IF(OR(NOT(ISNUMBER(E48)),E48&lt;0,E48&gt;D48),"CHECK fixed days reserved",IF(OR(NOT(ISNUMBER(G48)),G48&lt;-366,G48&gt;366),"CHECK adjustment",IF(COUNTIF(H48:N48,"Work")+COUNTIF(H48:N48,"Off")&lt;&gt;7,"CHECK weekly pattern",IF(COUNTIF(H48:N48,"Work")=0,"CHECK at least one workday","OK"))))))))),"CHECK input"))</ns0:f>
        <ns0:v/>
      </ns0:c>
    </ns0:row>
    <ns0:row r="49" ht="27" customHeight="1">
      <ns0:c r="A49" s="200" t="str">
        <ns0:v>EMP039</ns0:v>
      </ns0:c>
      <ns0:c r="B49" s="200"/>
      <ns0:c r="C49" s="200"/>
      <ns0:c r="D49" s="204"/>
      <ns0:c r="E49" s="204" t="n">
        <ns0:v>0</ns0:v>
      </ns0:c>
      <ns0:c r="F49" s="75" t="str">
        <ns0:f>IF('_Engine'!X49=0,"",IF(OR(NOT(ISNUMBER(D49)),NOT(ISNUMBER(E49)),E49&lt;0,D49&lt;E49),"REVIEW",D49-E49))</ns0:f>
        <ns0:v/>
      </ns0:c>
      <ns0:c r="G49" s="204" t="n">
        <ns0:v>0</ns0:v>
      </ns0:c>
      <ns0:c r="H49" s="205" t="str">
        <ns0:v>Work</ns0:v>
      </ns0:c>
      <ns0:c r="I49" s="205" t="str">
        <ns0:v>Work</ns0:v>
      </ns0:c>
      <ns0:c r="J49" s="205" t="str">
        <ns0:v>Work</ns0:v>
      </ns0:c>
      <ns0:c r="K49" s="206" t="str">
        <ns0:v>Work</ns0:v>
      </ns0:c>
      <ns0:c r="L49" s="206" t="str">
        <ns0:v>Work</ns0:v>
      </ns0:c>
      <ns0:c r="M49" s="206" t="str">
        <ns0:v>Off</ns0:v>
      </ns0:c>
      <ns0:c r="N49" s="206" t="str">
        <ns0:v>Off</ns0:v>
      </ns0:c>
      <ns0:c r="O49" t="str">
        <ns0:f>IF('_Engine'!X49=0,"",IFERROR(IF(OR(NOT(ISTEXT(A49)),A49="",LEN(TRIM(A49))=0,LEN(A49)&gt;24,ISNUMBER(FIND(" ",A49)),ISNUMBER(FIND("*",A49)),ISNUMBER(FIND("?",A49)),ISNUMBER(FIND("~",A49))),"CHECK stable ID",IF(COUNTIF($A$11:$A$60,A49)&lt;&gt;1,"CHECK duplicate ID",IF(OR(LEN(TRIM(B49))=0,ISNUMBER(FIND(" · ",B49))),"CHECK employee name",IF(OR(LEN(TRIM(C49))=0,ISNUMBER(FIND("*",C49)),ISNUMBER(FIND("?",C49)),ISNUMBER(FIND("~",C49)),C49="All teams"),"CHECK team name",IF(OR(NOT(ISNUMBER(D49)),D49&lt;0,D49&gt;366),"CHECK agreed allowance",IF(OR(NOT(ISNUMBER(E49)),E49&lt;0,E49&gt;D49),"CHECK fixed days reserved",IF(OR(NOT(ISNUMBER(G49)),G49&lt;-366,G49&gt;366),"CHECK adjustment",IF(COUNTIF(H49:N49,"Work")+COUNTIF(H49:N49,"Off")&lt;&gt;7,"CHECK weekly pattern",IF(COUNTIF(H49:N49,"Work")=0,"CHECK at least one workday","OK"))))))))),"CHECK input"))</ns0:f>
        <ns0:v/>
      </ns0:c>
    </ns0:row>
    <ns0:row r="50" ht="27" customHeight="1">
      <ns0:c r="A50" s="200" t="str">
        <ns0:v>EMP040</ns0:v>
      </ns0:c>
      <ns0:c r="B50" s="200"/>
      <ns0:c r="C50" s="200"/>
      <ns0:c r="D50" s="204"/>
      <ns0:c r="E50" s="204" t="n">
        <ns0:v>0</ns0:v>
      </ns0:c>
      <ns0:c r="F50" s="75" t="str">
        <ns0:f>IF('_Engine'!X50=0,"",IF(OR(NOT(ISNUMBER(D50)),NOT(ISNUMBER(E50)),E50&lt;0,D50&lt;E50),"REVIEW",D50-E50))</ns0:f>
        <ns0:v/>
      </ns0:c>
      <ns0:c r="G50" s="204" t="n">
        <ns0:v>0</ns0:v>
      </ns0:c>
      <ns0:c r="H50" s="205" t="str">
        <ns0:v>Work</ns0:v>
      </ns0:c>
      <ns0:c r="I50" s="205" t="str">
        <ns0:v>Work</ns0:v>
      </ns0:c>
      <ns0:c r="J50" s="205" t="str">
        <ns0:v>Work</ns0:v>
      </ns0:c>
      <ns0:c r="K50" s="206" t="str">
        <ns0:v>Work</ns0:v>
      </ns0:c>
      <ns0:c r="L50" s="206" t="str">
        <ns0:v>Work</ns0:v>
      </ns0:c>
      <ns0:c r="M50" s="206" t="str">
        <ns0:v>Off</ns0:v>
      </ns0:c>
      <ns0:c r="N50" s="206" t="str">
        <ns0:v>Off</ns0:v>
      </ns0:c>
      <ns0:c r="O50" t="str">
        <ns0:f>IF('_Engine'!X50=0,"",IFERROR(IF(OR(NOT(ISTEXT(A50)),A50="",LEN(TRIM(A50))=0,LEN(A50)&gt;24,ISNUMBER(FIND(" ",A50)),ISNUMBER(FIND("*",A50)),ISNUMBER(FIND("?",A50)),ISNUMBER(FIND("~",A50))),"CHECK stable ID",IF(COUNTIF($A$11:$A$60,A50)&lt;&gt;1,"CHECK duplicate ID",IF(OR(LEN(TRIM(B50))=0,ISNUMBER(FIND(" · ",B50))),"CHECK employee name",IF(OR(LEN(TRIM(C50))=0,ISNUMBER(FIND("*",C50)),ISNUMBER(FIND("?",C50)),ISNUMBER(FIND("~",C50)),C50="All teams"),"CHECK team name",IF(OR(NOT(ISNUMBER(D50)),D50&lt;0,D50&gt;366),"CHECK agreed allowance",IF(OR(NOT(ISNUMBER(E50)),E50&lt;0,E50&gt;D50),"CHECK fixed days reserved",IF(OR(NOT(ISNUMBER(G50)),G50&lt;-366,G50&gt;366),"CHECK adjustment",IF(COUNTIF(H50:N50,"Work")+COUNTIF(H50:N50,"Off")&lt;&gt;7,"CHECK weekly pattern",IF(COUNTIF(H50:N50,"Work")=0,"CHECK at least one workday","OK"))))))))),"CHECK input"))</ns0:f>
        <ns0:v/>
      </ns0:c>
    </ns0:row>
    <ns0:row r="51" ht="27" customHeight="1">
      <ns0:c r="A51" s="200" t="str">
        <ns0:v>EMP041</ns0:v>
      </ns0:c>
      <ns0:c r="B51" s="200"/>
      <ns0:c r="C51" s="200"/>
      <ns0:c r="D51" s="204"/>
      <ns0:c r="E51" s="204" t="n">
        <ns0:v>0</ns0:v>
      </ns0:c>
      <ns0:c r="F51" s="75" t="str">
        <ns0:f>IF('_Engine'!X51=0,"",IF(OR(NOT(ISNUMBER(D51)),NOT(ISNUMBER(E51)),E51&lt;0,D51&lt;E51),"REVIEW",D51-E51))</ns0:f>
        <ns0:v/>
      </ns0:c>
      <ns0:c r="G51" s="204" t="n">
        <ns0:v>0</ns0:v>
      </ns0:c>
      <ns0:c r="H51" s="205" t="str">
        <ns0:v>Work</ns0:v>
      </ns0:c>
      <ns0:c r="I51" s="205" t="str">
        <ns0:v>Work</ns0:v>
      </ns0:c>
      <ns0:c r="J51" s="205" t="str">
        <ns0:v>Work</ns0:v>
      </ns0:c>
      <ns0:c r="K51" s="206" t="str">
        <ns0:v>Work</ns0:v>
      </ns0:c>
      <ns0:c r="L51" s="206" t="str">
        <ns0:v>Work</ns0:v>
      </ns0:c>
      <ns0:c r="M51" s="206" t="str">
        <ns0:v>Off</ns0:v>
      </ns0:c>
      <ns0:c r="N51" s="206" t="str">
        <ns0:v>Off</ns0:v>
      </ns0:c>
      <ns0:c r="O51" t="str">
        <ns0:f>IF('_Engine'!X51=0,"",IFERROR(IF(OR(NOT(ISTEXT(A51)),A51="",LEN(TRIM(A51))=0,LEN(A51)&gt;24,ISNUMBER(FIND(" ",A51)),ISNUMBER(FIND("*",A51)),ISNUMBER(FIND("?",A51)),ISNUMBER(FIND("~",A51))),"CHECK stable ID",IF(COUNTIF($A$11:$A$60,A51)&lt;&gt;1,"CHECK duplicate ID",IF(OR(LEN(TRIM(B51))=0,ISNUMBER(FIND(" · ",B51))),"CHECK employee name",IF(OR(LEN(TRIM(C51))=0,ISNUMBER(FIND("*",C51)),ISNUMBER(FIND("?",C51)),ISNUMBER(FIND("~",C51)),C51="All teams"),"CHECK team name",IF(OR(NOT(ISNUMBER(D51)),D51&lt;0,D51&gt;366),"CHECK agreed allowance",IF(OR(NOT(ISNUMBER(E51)),E51&lt;0,E51&gt;D51),"CHECK fixed days reserved",IF(OR(NOT(ISNUMBER(G51)),G51&lt;-366,G51&gt;366),"CHECK adjustment",IF(COUNTIF(H51:N51,"Work")+COUNTIF(H51:N51,"Off")&lt;&gt;7,"CHECK weekly pattern",IF(COUNTIF(H51:N51,"Work")=0,"CHECK at least one workday","OK"))))))))),"CHECK input"))</ns0:f>
        <ns0:v/>
      </ns0:c>
    </ns0:row>
    <ns0:row r="52" ht="27" customHeight="1">
      <ns0:c r="A52" s="200" t="str">
        <ns0:v>EMP042</ns0:v>
      </ns0:c>
      <ns0:c r="B52" s="200"/>
      <ns0:c r="C52" s="200"/>
      <ns0:c r="D52" s="204"/>
      <ns0:c r="E52" s="204" t="n">
        <ns0:v>0</ns0:v>
      </ns0:c>
      <ns0:c r="F52" s="75" t="str">
        <ns0:f>IF('_Engine'!X52=0,"",IF(OR(NOT(ISNUMBER(D52)),NOT(ISNUMBER(E52)),E52&lt;0,D52&lt;E52),"REVIEW",D52-E52))</ns0:f>
        <ns0:v/>
      </ns0:c>
      <ns0:c r="G52" s="204" t="n">
        <ns0:v>0</ns0:v>
      </ns0:c>
      <ns0:c r="H52" s="205" t="str">
        <ns0:v>Work</ns0:v>
      </ns0:c>
      <ns0:c r="I52" s="205" t="str">
        <ns0:v>Work</ns0:v>
      </ns0:c>
      <ns0:c r="J52" s="205" t="str">
        <ns0:v>Work</ns0:v>
      </ns0:c>
      <ns0:c r="K52" s="206" t="str">
        <ns0:v>Work</ns0:v>
      </ns0:c>
      <ns0:c r="L52" s="206" t="str">
        <ns0:v>Work</ns0:v>
      </ns0:c>
      <ns0:c r="M52" s="206" t="str">
        <ns0:v>Off</ns0:v>
      </ns0:c>
      <ns0:c r="N52" s="206" t="str">
        <ns0:v>Off</ns0:v>
      </ns0:c>
      <ns0:c r="O52" t="str">
        <ns0:f>IF('_Engine'!X52=0,"",IFERROR(IF(OR(NOT(ISTEXT(A52)),A52="",LEN(TRIM(A52))=0,LEN(A52)&gt;24,ISNUMBER(FIND(" ",A52)),ISNUMBER(FIND("*",A52)),ISNUMBER(FIND("?",A52)),ISNUMBER(FIND("~",A52))),"CHECK stable ID",IF(COUNTIF($A$11:$A$60,A52)&lt;&gt;1,"CHECK duplicate ID",IF(OR(LEN(TRIM(B52))=0,ISNUMBER(FIND(" · ",B52))),"CHECK employee name",IF(OR(LEN(TRIM(C52))=0,ISNUMBER(FIND("*",C52)),ISNUMBER(FIND("?",C52)),ISNUMBER(FIND("~",C52)),C52="All teams"),"CHECK team name",IF(OR(NOT(ISNUMBER(D52)),D52&lt;0,D52&gt;366),"CHECK agreed allowance",IF(OR(NOT(ISNUMBER(E52)),E52&lt;0,E52&gt;D52),"CHECK fixed days reserved",IF(OR(NOT(ISNUMBER(G52)),G52&lt;-366,G52&gt;366),"CHECK adjustment",IF(COUNTIF(H52:N52,"Work")+COUNTIF(H52:N52,"Off")&lt;&gt;7,"CHECK weekly pattern",IF(COUNTIF(H52:N52,"Work")=0,"CHECK at least one workday","OK"))))))))),"CHECK input"))</ns0:f>
        <ns0:v/>
      </ns0:c>
    </ns0:row>
    <ns0:row r="53" ht="27" customHeight="1">
      <ns0:c r="A53" s="200" t="str">
        <ns0:v>EMP043</ns0:v>
      </ns0:c>
      <ns0:c r="B53" s="200"/>
      <ns0:c r="C53" s="200"/>
      <ns0:c r="D53" s="204"/>
      <ns0:c r="E53" s="204" t="n">
        <ns0:v>0</ns0:v>
      </ns0:c>
      <ns0:c r="F53" s="75" t="str">
        <ns0:f>IF('_Engine'!X53=0,"",IF(OR(NOT(ISNUMBER(D53)),NOT(ISNUMBER(E53)),E53&lt;0,D53&lt;E53),"REVIEW",D53-E53))</ns0:f>
        <ns0:v/>
      </ns0:c>
      <ns0:c r="G53" s="204" t="n">
        <ns0:v>0</ns0:v>
      </ns0:c>
      <ns0:c r="H53" s="205" t="str">
        <ns0:v>Work</ns0:v>
      </ns0:c>
      <ns0:c r="I53" s="205" t="str">
        <ns0:v>Work</ns0:v>
      </ns0:c>
      <ns0:c r="J53" s="205" t="str">
        <ns0:v>Work</ns0:v>
      </ns0:c>
      <ns0:c r="K53" s="206" t="str">
        <ns0:v>Work</ns0:v>
      </ns0:c>
      <ns0:c r="L53" s="206" t="str">
        <ns0:v>Work</ns0:v>
      </ns0:c>
      <ns0:c r="M53" s="206" t="str">
        <ns0:v>Off</ns0:v>
      </ns0:c>
      <ns0:c r="N53" s="206" t="str">
        <ns0:v>Off</ns0:v>
      </ns0:c>
      <ns0:c r="O53" t="str">
        <ns0:f>IF('_Engine'!X53=0,"",IFERROR(IF(OR(NOT(ISTEXT(A53)),A53="",LEN(TRIM(A53))=0,LEN(A53)&gt;24,ISNUMBER(FIND(" ",A53)),ISNUMBER(FIND("*",A53)),ISNUMBER(FIND("?",A53)),ISNUMBER(FIND("~",A53))),"CHECK stable ID",IF(COUNTIF($A$11:$A$60,A53)&lt;&gt;1,"CHECK duplicate ID",IF(OR(LEN(TRIM(B53))=0,ISNUMBER(FIND(" · ",B53))),"CHECK employee name",IF(OR(LEN(TRIM(C53))=0,ISNUMBER(FIND("*",C53)),ISNUMBER(FIND("?",C53)),ISNUMBER(FIND("~",C53)),C53="All teams"),"CHECK team name",IF(OR(NOT(ISNUMBER(D53)),D53&lt;0,D53&gt;366),"CHECK agreed allowance",IF(OR(NOT(ISNUMBER(E53)),E53&lt;0,E53&gt;D53),"CHECK fixed days reserved",IF(OR(NOT(ISNUMBER(G53)),G53&lt;-366,G53&gt;366),"CHECK adjustment",IF(COUNTIF(H53:N53,"Work")+COUNTIF(H53:N53,"Off")&lt;&gt;7,"CHECK weekly pattern",IF(COUNTIF(H53:N53,"Work")=0,"CHECK at least one workday","OK"))))))))),"CHECK input"))</ns0:f>
        <ns0:v/>
      </ns0:c>
    </ns0:row>
    <ns0:row r="54" ht="27" customHeight="1">
      <ns0:c r="A54" s="200" t="str">
        <ns0:v>EMP044</ns0:v>
      </ns0:c>
      <ns0:c r="B54" s="200"/>
      <ns0:c r="C54" s="200"/>
      <ns0:c r="D54" s="204"/>
      <ns0:c r="E54" s="204" t="n">
        <ns0:v>0</ns0:v>
      </ns0:c>
      <ns0:c r="F54" s="75" t="str">
        <ns0:f>IF('_Engine'!X54=0,"",IF(OR(NOT(ISNUMBER(D54)),NOT(ISNUMBER(E54)),E54&lt;0,D54&lt;E54),"REVIEW",D54-E54))</ns0:f>
        <ns0:v/>
      </ns0:c>
      <ns0:c r="G54" s="204" t="n">
        <ns0:v>0</ns0:v>
      </ns0:c>
      <ns0:c r="H54" s="205" t="str">
        <ns0:v>Work</ns0:v>
      </ns0:c>
      <ns0:c r="I54" s="205" t="str">
        <ns0:v>Work</ns0:v>
      </ns0:c>
      <ns0:c r="J54" s="205" t="str">
        <ns0:v>Work</ns0:v>
      </ns0:c>
      <ns0:c r="K54" s="206" t="str">
        <ns0:v>Work</ns0:v>
      </ns0:c>
      <ns0:c r="L54" s="206" t="str">
        <ns0:v>Work</ns0:v>
      </ns0:c>
      <ns0:c r="M54" s="206" t="str">
        <ns0:v>Off</ns0:v>
      </ns0:c>
      <ns0:c r="N54" s="206" t="str">
        <ns0:v>Off</ns0:v>
      </ns0:c>
      <ns0:c r="O54" t="str">
        <ns0:f>IF('_Engine'!X54=0,"",IFERROR(IF(OR(NOT(ISTEXT(A54)),A54="",LEN(TRIM(A54))=0,LEN(A54)&gt;24,ISNUMBER(FIND(" ",A54)),ISNUMBER(FIND("*",A54)),ISNUMBER(FIND("?",A54)),ISNUMBER(FIND("~",A54))),"CHECK stable ID",IF(COUNTIF($A$11:$A$60,A54)&lt;&gt;1,"CHECK duplicate ID",IF(OR(LEN(TRIM(B54))=0,ISNUMBER(FIND(" · ",B54))),"CHECK employee name",IF(OR(LEN(TRIM(C54))=0,ISNUMBER(FIND("*",C54)),ISNUMBER(FIND("?",C54)),ISNUMBER(FIND("~",C54)),C54="All teams"),"CHECK team name",IF(OR(NOT(ISNUMBER(D54)),D54&lt;0,D54&gt;366),"CHECK agreed allowance",IF(OR(NOT(ISNUMBER(E54)),E54&lt;0,E54&gt;D54),"CHECK fixed days reserved",IF(OR(NOT(ISNUMBER(G54)),G54&lt;-366,G54&gt;366),"CHECK adjustment",IF(COUNTIF(H54:N54,"Work")+COUNTIF(H54:N54,"Off")&lt;&gt;7,"CHECK weekly pattern",IF(COUNTIF(H54:N54,"Work")=0,"CHECK at least one workday","OK"))))))))),"CHECK input"))</ns0:f>
        <ns0:v/>
      </ns0:c>
    </ns0:row>
    <ns0:row r="55" ht="27" customHeight="1">
      <ns0:c r="A55" s="200" t="str">
        <ns0:v>EMP045</ns0:v>
      </ns0:c>
      <ns0:c r="B55" s="200"/>
      <ns0:c r="C55" s="200"/>
      <ns0:c r="D55" s="204"/>
      <ns0:c r="E55" s="204" t="n">
        <ns0:v>0</ns0:v>
      </ns0:c>
      <ns0:c r="F55" s="75" t="str">
        <ns0:f>IF('_Engine'!X55=0,"",IF(OR(NOT(ISNUMBER(D55)),NOT(ISNUMBER(E55)),E55&lt;0,D55&lt;E55),"REVIEW",D55-E55))</ns0:f>
        <ns0:v/>
      </ns0:c>
      <ns0:c r="G55" s="204" t="n">
        <ns0:v>0</ns0:v>
      </ns0:c>
      <ns0:c r="H55" s="205" t="str">
        <ns0:v>Work</ns0:v>
      </ns0:c>
      <ns0:c r="I55" s="205" t="str">
        <ns0:v>Work</ns0:v>
      </ns0:c>
      <ns0:c r="J55" s="205" t="str">
        <ns0:v>Work</ns0:v>
      </ns0:c>
      <ns0:c r="K55" s="206" t="str">
        <ns0:v>Work</ns0:v>
      </ns0:c>
      <ns0:c r="L55" s="206" t="str">
        <ns0:v>Work</ns0:v>
      </ns0:c>
      <ns0:c r="M55" s="206" t="str">
        <ns0:v>Off</ns0:v>
      </ns0:c>
      <ns0:c r="N55" s="206" t="str">
        <ns0:v>Off</ns0:v>
      </ns0:c>
      <ns0:c r="O55" t="str">
        <ns0:f>IF('_Engine'!X55=0,"",IFERROR(IF(OR(NOT(ISTEXT(A55)),A55="",LEN(TRIM(A55))=0,LEN(A55)&gt;24,ISNUMBER(FIND(" ",A55)),ISNUMBER(FIND("*",A55)),ISNUMBER(FIND("?",A55)),ISNUMBER(FIND("~",A55))),"CHECK stable ID",IF(COUNTIF($A$11:$A$60,A55)&lt;&gt;1,"CHECK duplicate ID",IF(OR(LEN(TRIM(B55))=0,ISNUMBER(FIND(" · ",B55))),"CHECK employee name",IF(OR(LEN(TRIM(C55))=0,ISNUMBER(FIND("*",C55)),ISNUMBER(FIND("?",C55)),ISNUMBER(FIND("~",C55)),C55="All teams"),"CHECK team name",IF(OR(NOT(ISNUMBER(D55)),D55&lt;0,D55&gt;366),"CHECK agreed allowance",IF(OR(NOT(ISNUMBER(E55)),E55&lt;0,E55&gt;D55),"CHECK fixed days reserved",IF(OR(NOT(ISNUMBER(G55)),G55&lt;-366,G55&gt;366),"CHECK adjustment",IF(COUNTIF(H55:N55,"Work")+COUNTIF(H55:N55,"Off")&lt;&gt;7,"CHECK weekly pattern",IF(COUNTIF(H55:N55,"Work")=0,"CHECK at least one workday","OK"))))))))),"CHECK input"))</ns0:f>
        <ns0:v/>
      </ns0:c>
    </ns0:row>
    <ns0:row r="56" ht="27" customHeight="1">
      <ns0:c r="A56" s="200" t="str">
        <ns0:v>EMP046</ns0:v>
      </ns0:c>
      <ns0:c r="B56" s="200"/>
      <ns0:c r="C56" s="200"/>
      <ns0:c r="D56" s="204"/>
      <ns0:c r="E56" s="204" t="n">
        <ns0:v>0</ns0:v>
      </ns0:c>
      <ns0:c r="F56" s="75" t="str">
        <ns0:f>IF('_Engine'!X56=0,"",IF(OR(NOT(ISNUMBER(D56)),NOT(ISNUMBER(E56)),E56&lt;0,D56&lt;E56),"REVIEW",D56-E56))</ns0:f>
        <ns0:v/>
      </ns0:c>
      <ns0:c r="G56" s="204" t="n">
        <ns0:v>0</ns0:v>
      </ns0:c>
      <ns0:c r="H56" s="205" t="str">
        <ns0:v>Work</ns0:v>
      </ns0:c>
      <ns0:c r="I56" s="205" t="str">
        <ns0:v>Work</ns0:v>
      </ns0:c>
      <ns0:c r="J56" s="205" t="str">
        <ns0:v>Work</ns0:v>
      </ns0:c>
      <ns0:c r="K56" s="206" t="str">
        <ns0:v>Work</ns0:v>
      </ns0:c>
      <ns0:c r="L56" s="206" t="str">
        <ns0:v>Work</ns0:v>
      </ns0:c>
      <ns0:c r="M56" s="206" t="str">
        <ns0:v>Off</ns0:v>
      </ns0:c>
      <ns0:c r="N56" s="206" t="str">
        <ns0:v>Off</ns0:v>
      </ns0:c>
      <ns0:c r="O56" t="str">
        <ns0:f>IF('_Engine'!X56=0,"",IFERROR(IF(OR(NOT(ISTEXT(A56)),A56="",LEN(TRIM(A56))=0,LEN(A56)&gt;24,ISNUMBER(FIND(" ",A56)),ISNUMBER(FIND("*",A56)),ISNUMBER(FIND("?",A56)),ISNUMBER(FIND("~",A56))),"CHECK stable ID",IF(COUNTIF($A$11:$A$60,A56)&lt;&gt;1,"CHECK duplicate ID",IF(OR(LEN(TRIM(B56))=0,ISNUMBER(FIND(" · ",B56))),"CHECK employee name",IF(OR(LEN(TRIM(C56))=0,ISNUMBER(FIND("*",C56)),ISNUMBER(FIND("?",C56)),ISNUMBER(FIND("~",C56)),C56="All teams"),"CHECK team name",IF(OR(NOT(ISNUMBER(D56)),D56&lt;0,D56&gt;366),"CHECK agreed allowance",IF(OR(NOT(ISNUMBER(E56)),E56&lt;0,E56&gt;D56),"CHECK fixed days reserved",IF(OR(NOT(ISNUMBER(G56)),G56&lt;-366,G56&gt;366),"CHECK adjustment",IF(COUNTIF(H56:N56,"Work")+COUNTIF(H56:N56,"Off")&lt;&gt;7,"CHECK weekly pattern",IF(COUNTIF(H56:N56,"Work")=0,"CHECK at least one workday","OK"))))))))),"CHECK input"))</ns0:f>
        <ns0:v/>
      </ns0:c>
    </ns0:row>
    <ns0:row r="57" ht="27" customHeight="1">
      <ns0:c r="A57" s="200" t="str">
        <ns0:v>EMP047</ns0:v>
      </ns0:c>
      <ns0:c r="B57" s="200"/>
      <ns0:c r="C57" s="200"/>
      <ns0:c r="D57" s="204"/>
      <ns0:c r="E57" s="204" t="n">
        <ns0:v>0</ns0:v>
      </ns0:c>
      <ns0:c r="F57" s="75" t="str">
        <ns0:f>IF('_Engine'!X57=0,"",IF(OR(NOT(ISNUMBER(D57)),NOT(ISNUMBER(E57)),E57&lt;0,D57&lt;E57),"REVIEW",D57-E57))</ns0:f>
        <ns0:v/>
      </ns0:c>
      <ns0:c r="G57" s="204" t="n">
        <ns0:v>0</ns0:v>
      </ns0:c>
      <ns0:c r="H57" s="205" t="str">
        <ns0:v>Work</ns0:v>
      </ns0:c>
      <ns0:c r="I57" s="205" t="str">
        <ns0:v>Work</ns0:v>
      </ns0:c>
      <ns0:c r="J57" s="205" t="str">
        <ns0:v>Work</ns0:v>
      </ns0:c>
      <ns0:c r="K57" s="206" t="str">
        <ns0:v>Work</ns0:v>
      </ns0:c>
      <ns0:c r="L57" s="206" t="str">
        <ns0:v>Work</ns0:v>
      </ns0:c>
      <ns0:c r="M57" s="206" t="str">
        <ns0:v>Off</ns0:v>
      </ns0:c>
      <ns0:c r="N57" s="206" t="str">
        <ns0:v>Off</ns0:v>
      </ns0:c>
      <ns0:c r="O57" t="str">
        <ns0:f>IF('_Engine'!X57=0,"",IFERROR(IF(OR(NOT(ISTEXT(A57)),A57="",LEN(TRIM(A57))=0,LEN(A57)&gt;24,ISNUMBER(FIND(" ",A57)),ISNUMBER(FIND("*",A57)),ISNUMBER(FIND("?",A57)),ISNUMBER(FIND("~",A57))),"CHECK stable ID",IF(COUNTIF($A$11:$A$60,A57)&lt;&gt;1,"CHECK duplicate ID",IF(OR(LEN(TRIM(B57))=0,ISNUMBER(FIND(" · ",B57))),"CHECK employee name",IF(OR(LEN(TRIM(C57))=0,ISNUMBER(FIND("*",C57)),ISNUMBER(FIND("?",C57)),ISNUMBER(FIND("~",C57)),C57="All teams"),"CHECK team name",IF(OR(NOT(ISNUMBER(D57)),D57&lt;0,D57&gt;366),"CHECK agreed allowance",IF(OR(NOT(ISNUMBER(E57)),E57&lt;0,E57&gt;D57),"CHECK fixed days reserved",IF(OR(NOT(ISNUMBER(G57)),G57&lt;-366,G57&gt;366),"CHECK adjustment",IF(COUNTIF(H57:N57,"Work")+COUNTIF(H57:N57,"Off")&lt;&gt;7,"CHECK weekly pattern",IF(COUNTIF(H57:N57,"Work")=0,"CHECK at least one workday","OK"))))))))),"CHECK input"))</ns0:f>
        <ns0:v/>
      </ns0:c>
    </ns0:row>
    <ns0:row r="58" ht="27" customHeight="1">
      <ns0:c r="A58" s="200" t="str">
        <ns0:v>EMP048</ns0:v>
      </ns0:c>
      <ns0:c r="B58" s="200"/>
      <ns0:c r="C58" s="200"/>
      <ns0:c r="D58" s="204"/>
      <ns0:c r="E58" s="204" t="n">
        <ns0:v>0</ns0:v>
      </ns0:c>
      <ns0:c r="F58" s="75" t="str">
        <ns0:f>IF('_Engine'!X58=0,"",IF(OR(NOT(ISNUMBER(D58)),NOT(ISNUMBER(E58)),E58&lt;0,D58&lt;E58),"REVIEW",D58-E58))</ns0:f>
        <ns0:v/>
      </ns0:c>
      <ns0:c r="G58" s="204" t="n">
        <ns0:v>0</ns0:v>
      </ns0:c>
      <ns0:c r="H58" s="205" t="str">
        <ns0:v>Work</ns0:v>
      </ns0:c>
      <ns0:c r="I58" s="205" t="str">
        <ns0:v>Work</ns0:v>
      </ns0:c>
      <ns0:c r="J58" s="205" t="str">
        <ns0:v>Work</ns0:v>
      </ns0:c>
      <ns0:c r="K58" s="206" t="str">
        <ns0:v>Work</ns0:v>
      </ns0:c>
      <ns0:c r="L58" s="206" t="str">
        <ns0:v>Work</ns0:v>
      </ns0:c>
      <ns0:c r="M58" s="206" t="str">
        <ns0:v>Off</ns0:v>
      </ns0:c>
      <ns0:c r="N58" s="206" t="str">
        <ns0:v>Off</ns0:v>
      </ns0:c>
      <ns0:c r="O58" t="str">
        <ns0:f>IF('_Engine'!X58=0,"",IFERROR(IF(OR(NOT(ISTEXT(A58)),A58="",LEN(TRIM(A58))=0,LEN(A58)&gt;24,ISNUMBER(FIND(" ",A58)),ISNUMBER(FIND("*",A58)),ISNUMBER(FIND("?",A58)),ISNUMBER(FIND("~",A58))),"CHECK stable ID",IF(COUNTIF($A$11:$A$60,A58)&lt;&gt;1,"CHECK duplicate ID",IF(OR(LEN(TRIM(B58))=0,ISNUMBER(FIND(" · ",B58))),"CHECK employee name",IF(OR(LEN(TRIM(C58))=0,ISNUMBER(FIND("*",C58)),ISNUMBER(FIND("?",C58)),ISNUMBER(FIND("~",C58)),C58="All teams"),"CHECK team name",IF(OR(NOT(ISNUMBER(D58)),D58&lt;0,D58&gt;366),"CHECK agreed allowance",IF(OR(NOT(ISNUMBER(E58)),E58&lt;0,E58&gt;D58),"CHECK fixed days reserved",IF(OR(NOT(ISNUMBER(G58)),G58&lt;-366,G58&gt;366),"CHECK adjustment",IF(COUNTIF(H58:N58,"Work")+COUNTIF(H58:N58,"Off")&lt;&gt;7,"CHECK weekly pattern",IF(COUNTIF(H58:N58,"Work")=0,"CHECK at least one workday","OK"))))))))),"CHECK input"))</ns0:f>
        <ns0:v/>
      </ns0:c>
    </ns0:row>
    <ns0:row r="59" ht="27" customHeight="1">
      <ns0:c r="A59" s="200" t="str">
        <ns0:v>EMP049</ns0:v>
      </ns0:c>
      <ns0:c r="B59" s="200"/>
      <ns0:c r="C59" s="200"/>
      <ns0:c r="D59" s="204"/>
      <ns0:c r="E59" s="204" t="n">
        <ns0:v>0</ns0:v>
      </ns0:c>
      <ns0:c r="F59" s="75" t="str">
        <ns0:f>IF('_Engine'!X59=0,"",IF(OR(NOT(ISNUMBER(D59)),NOT(ISNUMBER(E59)),E59&lt;0,D59&lt;E59),"REVIEW",D59-E59))</ns0:f>
        <ns0:v/>
      </ns0:c>
      <ns0:c r="G59" s="204" t="n">
        <ns0:v>0</ns0:v>
      </ns0:c>
      <ns0:c r="H59" s="205" t="str">
        <ns0:v>Work</ns0:v>
      </ns0:c>
      <ns0:c r="I59" s="205" t="str">
        <ns0:v>Work</ns0:v>
      </ns0:c>
      <ns0:c r="J59" s="205" t="str">
        <ns0:v>Work</ns0:v>
      </ns0:c>
      <ns0:c r="K59" s="206" t="str">
        <ns0:v>Work</ns0:v>
      </ns0:c>
      <ns0:c r="L59" s="206" t="str">
        <ns0:v>Work</ns0:v>
      </ns0:c>
      <ns0:c r="M59" s="206" t="str">
        <ns0:v>Off</ns0:v>
      </ns0:c>
      <ns0:c r="N59" s="206" t="str">
        <ns0:v>Off</ns0:v>
      </ns0:c>
      <ns0:c r="O59" t="str">
        <ns0:f>IF('_Engine'!X59=0,"",IFERROR(IF(OR(NOT(ISTEXT(A59)),A59="",LEN(TRIM(A59))=0,LEN(A59)&gt;24,ISNUMBER(FIND(" ",A59)),ISNUMBER(FIND("*",A59)),ISNUMBER(FIND("?",A59)),ISNUMBER(FIND("~",A59))),"CHECK stable ID",IF(COUNTIF($A$11:$A$60,A59)&lt;&gt;1,"CHECK duplicate ID",IF(OR(LEN(TRIM(B59))=0,ISNUMBER(FIND(" · ",B59))),"CHECK employee name",IF(OR(LEN(TRIM(C59))=0,ISNUMBER(FIND("*",C59)),ISNUMBER(FIND("?",C59)),ISNUMBER(FIND("~",C59)),C59="All teams"),"CHECK team name",IF(OR(NOT(ISNUMBER(D59)),D59&lt;0,D59&gt;366),"CHECK agreed allowance",IF(OR(NOT(ISNUMBER(E59)),E59&lt;0,E59&gt;D59),"CHECK fixed days reserved",IF(OR(NOT(ISNUMBER(G59)),G59&lt;-366,G59&gt;366),"CHECK adjustment",IF(COUNTIF(H59:N59,"Work")+COUNTIF(H59:N59,"Off")&lt;&gt;7,"CHECK weekly pattern",IF(COUNTIF(H59:N59,"Work")=0,"CHECK at least one workday","OK"))))))))),"CHECK input"))</ns0:f>
        <ns0:v/>
      </ns0:c>
    </ns0:row>
    <ns0:row r="60" ht="27" customHeight="1">
      <ns0:c r="A60" s="200" t="str">
        <ns0:v>EMP050</ns0:v>
      </ns0:c>
      <ns0:c r="B60" s="200"/>
      <ns0:c r="C60" s="200"/>
      <ns0:c r="D60" s="204"/>
      <ns0:c r="E60" s="204" t="n">
        <ns0:v>0</ns0:v>
      </ns0:c>
      <ns0:c r="F60" s="75" t="str">
        <ns0:f>IF('_Engine'!X60=0,"",IF(OR(NOT(ISNUMBER(D60)),NOT(ISNUMBER(E60)),E60&lt;0,D60&lt;E60),"REVIEW",D60-E60))</ns0:f>
        <ns0:v/>
      </ns0:c>
      <ns0:c r="G60" s="204" t="n">
        <ns0:v>0</ns0:v>
      </ns0:c>
      <ns0:c r="H60" s="205" t="str">
        <ns0:v>Work</ns0:v>
      </ns0:c>
      <ns0:c r="I60" s="205" t="str">
        <ns0:v>Work</ns0:v>
      </ns0:c>
      <ns0:c r="J60" s="205" t="str">
        <ns0:v>Work</ns0:v>
      </ns0:c>
      <ns0:c r="K60" s="206" t="str">
        <ns0:v>Work</ns0:v>
      </ns0:c>
      <ns0:c r="L60" s="206" t="str">
        <ns0:v>Work</ns0:v>
      </ns0:c>
      <ns0:c r="M60" s="206" t="str">
        <ns0:v>Off</ns0:v>
      </ns0:c>
      <ns0:c r="N60" s="206" t="str">
        <ns0:v>Off</ns0:v>
      </ns0:c>
      <ns0:c r="O60" t="str">
        <ns0:f>IF('_Engine'!X60=0,"",IFERROR(IF(OR(NOT(ISTEXT(A60)),A60="",LEN(TRIM(A60))=0,LEN(A60)&gt;24,ISNUMBER(FIND(" ",A60)),ISNUMBER(FIND("*",A60)),ISNUMBER(FIND("?",A60)),ISNUMBER(FIND("~",A60))),"CHECK stable ID",IF(COUNTIF($A$11:$A$60,A60)&lt;&gt;1,"CHECK duplicate ID",IF(OR(LEN(TRIM(B60))=0,ISNUMBER(FIND(" · ",B60))),"CHECK employee name",IF(OR(LEN(TRIM(C60))=0,ISNUMBER(FIND("*",C60)),ISNUMBER(FIND("?",C60)),ISNUMBER(FIND("~",C60)),C60="All teams"),"CHECK team name",IF(OR(NOT(ISNUMBER(D60)),D60&lt;0,D60&gt;366),"CHECK agreed allowance",IF(OR(NOT(ISNUMBER(E60)),E60&lt;0,E60&gt;D60),"CHECK fixed days reserved",IF(OR(NOT(ISNUMBER(G60)),G60&lt;-366,G60&gt;366),"CHECK adjustment",IF(COUNTIF(H60:N60,"Work")+COUNTIF(H60:N60,"Off")&lt;&gt;7,"CHECK weekly pattern",IF(COUNTIF(H60:N60,"Work")=0,"CHECK at least one workday","OK"))))))))),"CHECK input"))</ns0:f>
        <ns0:v/>
      </ns0:c>
    </ns0:row>
    <ns0:row r="61" ht="22" customHeight="1">
      <ns0:c r="A61" s="4"/>
      <ns0:c r="B61" s="4"/>
      <ns0:c r="C61" s="4"/>
      <ns0:c r="D61" s="4"/>
      <ns0:c r="E61" s="4"/>
      <ns0:c r="F61" s="4"/>
      <ns0:c r="G61" s="4"/>
      <ns0:c r="H61" s="4"/>
      <ns0:c r="I61" s="4"/>
      <ns0:c r="J61" s="4"/>
    </ns0:row>
    <ns0:row r="62" ht="22" customHeight="1">
      <ns0:c r="A62" s="31" t="str">
        <ns0:v>Use the header filters to find a person or team. Clear input cells to remove a record; do not delete rows or reuse an ID within this leave year.</ns0:v>
      </ns0:c>
      <ns0:c r="B62" s="31"/>
      <ns0:c r="C62" s="31"/>
      <ns0:c r="D62" s="31"/>
      <ns0:c r="E62" s="31"/>
      <ns0:c r="F62" s="31"/>
      <ns0:c r="G62" s="31"/>
      <ns0:c r="H62" s="31"/>
      <ns0:c r="I62" s="31"/>
      <ns0:c r="J62" s="31"/>
      <ns0:c r="K62" s="45"/>
      <ns0:c r="L62" s="45"/>
      <ns0:c r="M62" s="45"/>
      <ns0:c r="N62" s="45"/>
      <ns0:c r="O62" s="45"/>
    </ns0:row>
    <ns0:row r="63" ht="22" customHeight="1">
      <ns0:c r="A63" s="31"/>
      <ns0:c r="B63" s="31"/>
      <ns0:c r="C63" s="31"/>
      <ns0:c r="D63" s="31"/>
      <ns0:c r="E63" s="31"/>
      <ns0:c r="F63" s="31"/>
      <ns0:c r="G63" s="31"/>
      <ns0:c r="H63" s="31"/>
      <ns0:c r="I63" s="31"/>
      <ns0:c r="J63" s="31"/>
      <ns0:c r="K63" s="45"/>
      <ns0:c r="L63" s="45"/>
      <ns0:c r="M63" s="45"/>
      <ns0:c r="N63" s="45"/>
      <ns0:c r="O63" s="45"/>
    </ns0:row>
    <ns0:row r="64" ht="22" customHeight="1">
      <ns0:c r="A64" s="4"/>
      <ns0:c r="B64" s="4"/>
      <ns0:c r="C64" s="4"/>
      <ns0:c r="D64" s="4"/>
      <ns0:c r="E64" s="4"/>
      <ns0:c r="F64" s="4"/>
      <ns0:c r="G64" s="4"/>
      <ns0:c r="H64" s="4"/>
      <ns0:c r="I64" s="4"/>
      <ns0:c r="J64" s="4"/>
    </ns0:row>
    <ns0:row r="65" ht="22" customHeight="1">
      <ns0:c r="A65" s="4"/>
      <ns0:c r="B65" s="4"/>
      <ns0:c r="C65" s="4"/>
      <ns0:c r="D65" s="4"/>
      <ns0:c r="E65" s="4"/>
      <ns0:c r="F65" s="4"/>
      <ns0:c r="G65" s="4"/>
      <ns0:c r="H65" s="4"/>
      <ns0:c r="I65" s="4"/>
      <ns0:c r="J65" s="4"/>
    </ns0:row>
    <ns0:row r="66" ht="22" customHeight="1">
      <ns0:c r="A66" s="4"/>
      <ns0:c r="B66" s="4"/>
      <ns0:c r="C66" s="4"/>
      <ns0:c r="D66" s="4"/>
      <ns0:c r="E66" s="4"/>
      <ns0:c r="F66" s="4"/>
      <ns0:c r="G66" s="4"/>
      <ns0:c r="H66" s="4"/>
      <ns0:c r="I66" s="4"/>
      <ns0:c r="J66" s="4"/>
    </ns0:row>
    <ns0:row r="67" ht="22" customHeight="1">
      <ns0:c r="A67" s="4"/>
      <ns0:c r="B67" s="4"/>
      <ns0:c r="C67" s="4"/>
      <ns0:c r="D67" s="4"/>
      <ns0:c r="E67" s="4"/>
      <ns0:c r="F67" s="4"/>
      <ns0:c r="G67" s="4"/>
      <ns0:c r="H67" s="4"/>
      <ns0:c r="I67" s="4"/>
      <ns0:c r="J67" s="4"/>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A6:G7"/>
    <ns0:mergeCell ref="H6:O7"/>
    <ns0:mergeCell ref="A9:O9"/>
    <ns0:mergeCell ref="A62:O63"/>
  </ns0:mergeCells>
  <ns0:conditionalFormatting sqref="O11:O60">
    <ns0:cfRule type="expression" dxfId="10" priority="1">
      <ns0:formula>LEFT(O11,5)="CHECK"</ns0:formula>
    </ns0:cfRule>
  </ns0:conditionalFormatting>
  <ns0:dataValidations count="1">
    <ns0:dataValidation type="list" sqref="H11:N60" showErrorMessage="1" errorStyle="stop" allowBlank="1" errorTitle="Check this entry" error="Choose a supported value. Pasted entries are also checked in the Review column.">
      <ns0:formula1>"Work,Off"</ns0:formula1>
    </ns0:dataValidation>
  </ns0:dataValidations>
  <ns0:pageMargins left="0.7" right="0.7" top="0.75" bottom="0.75" header="0.3" footer="0.3"/>
  <ns0:tableParts count="1">
    <ns0:tablePart ns1:id="R189803e9d7ca446a"/>
  </ns0:tableParts>
</ns0:worksheet>
</file>

<file path=xl/worksheets/sheet5.xml><?xml version="1.0" encoding="utf-8"?>
<ns0:worksheet xmlns:ns0="http://schemas.openxmlformats.org/spreadsheetml/2006/main">
  <ns0:sheetViews>
    <ns0:sheetView workbookViewId="0" showGridLines="0" zoomScale="85">
      <ns0:pane ySplit="4" topLeftCell="A5" activePane="bottomLeft" state="frozen"/>
      <ns0:selection pane="bottomLeft" activeCell="A5" sqref="A5"/>
    </ns0:sheetView>
  </ns0:sheetViews>
  <ns0:sheetFormatPr defaultRowHeight="15"/>
  <ns0:cols>
    <ns0:col min="1" max="1" width="23" hidden="0" customWidth="1"/>
    <ns0:col min="2" max="2" width="22" hidden="0" customWidth="1"/>
    <ns0:col min="3" max="3" width="14" hidden="0" customWidth="1"/>
    <ns0:col min="4" max="4" width="14" hidden="0" customWidth="1"/>
    <ns0:col min="5" max="5" width="3" hidden="0" customWidth="1"/>
    <ns0:col min="6" max="6" width="25" hidden="0" customWidth="1"/>
    <ns0:col min="7" max="7" width="9" hidden="0" customWidth="1"/>
    <ns0:col min="8" max="8" width="16" hidden="0" customWidth="1"/>
    <ns0:col min="9" max="9" width="31" hidden="0" customWidth="1"/>
    <ns0:col min="10" max="10" width="2" hidden="0" customWidth="1"/>
  </ns0:cols>
  <ns0:sheetData>
    <ns0:row r="1" ht="26" customHeight="1">
      <ns0:c r="A1" s="7" t="str">
        <ns0:v>TimeOff.Management  /  Settings</ns0:v>
      </ns0:c>
      <ns0:c r="B1" s="7"/>
      <ns0:c r="C1" s="7"/>
      <ns0:c r="D1" s="7"/>
      <ns0:c r="E1" s="7"/>
      <ns0:c r="F1" s="7"/>
      <ns0:c r="G1" s="7"/>
      <ns0:c r="H1" s="7"/>
      <ns0:c r="I1" s="7"/>
      <ns0:c r="J1" s="7"/>
    </ns0:row>
    <ns0:row r="2" ht="26" customHeight="1">
      <ns0:c r="A2" s="7"/>
      <ns0:c r="B2" s="7"/>
      <ns0:c r="C2" s="7"/>
      <ns0:c r="D2" s="7"/>
      <ns0:c r="E2" s="7"/>
      <ns0:c r="F2" s="7"/>
      <ns0:c r="G2" s="7"/>
      <ns0:c r="H2" s="7"/>
      <ns0:c r="I2" s="7"/>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36" customHeight="1">
      <ns0:c r="A6" s="17" t="str">
        <ns0:v>01  COMPANY SETTINGS</ns0:v>
      </ns0:c>
      <ns0:c r="B6" s="17"/>
      <ns0:c r="C6" s="17"/>
      <ns0:c r="D6" s="17"/>
      <ns0:c r="E6" s="4"/>
      <ns0:c r="F6" s="17" t="str">
        <ns0:v>02  LEAVE TYPES</ns0:v>
      </ns0:c>
      <ns0:c r="G6" s="17" t="str">
        <ns0:v>Code</ns0:v>
      </ns0:c>
      <ns0:c r="H6" s="17" t="str">
        <ns0:v>Uses allowance?</ns0:v>
      </ns0:c>
      <ns0:c r="I6" s="17" t="str">
        <ns0:v>Check</ns0:v>
      </ns0:c>
      <ns0:c r="J6" s="4"/>
    </ns0:row>
    <ns0:row r="7" ht="22" customHeight="1">
      <ns0:c r="A7" s="28" t="str">
        <ns0:v>Leave-year start</ns0:v>
      </ns0:c>
      <ns0:c r="B7" s="201" t="n">
        <ns0:v>46388</ns0:v>
      </ns0:c>
      <ns0:c r="C7" s="4"/>
      <ns0:c r="D7" s="4"/>
      <ns0:c r="E7" s="4"/>
      <ns0:c r="F7" s="200" t="str">
        <ns0:v>Holiday</ns0:v>
      </ns0:c>
      <ns0:c r="G7" s="4" t="str">
        <ns0:v>H</ns0:v>
      </ns0:c>
      <ns0:c r="H7" s="200" t="str">
        <ns0:v>Yes</ns0:v>
      </ns0:c>
      <ns0:c r="I7" s="4" t="str">
        <ns0:f>IFERROR(IF(OR(F7="",LEN(TRIM(F7))=0),"CHECK name",IF(COUNTIF($F$7:$F$11,F7)&gt;1,"CHECK duplicate name",IF(OR(ISNUMBER(FIND(" · ",F7)),ISNUMBER(FIND("*",F7)),ISNUMBER(FIND("?",F7))),"CHECK label characters",IF(AND(H7&lt;&gt;"Yes",H7&lt;&gt;"No"),"CHECK Yes / No","OK")))),"CHECK leave type")</ns0:f>
        <ns0:v>OK</ns0:v>
      </ns0:c>
      <ns0:c r="J7" s="4"/>
    </ns0:row>
    <ns0:row r="8" ht="22" customHeight="1">
      <ns0:c r="A8" s="28" t="str">
        <ns0:v>Leave-year end</ns0:v>
      </ns0:c>
      <ns0:c r="B8" s="20">
        <ns0:f>IFERROR(IF(AND(ISNUMBER(B7),B7=INT(B7),DAY(B7)=1,YEAR(B7)&gt;=2000,YEAR(B7)&lt;=2099),DATE(YEAR(B7)+1,MONTH(B7),1)-1,""),"")</ns0:f>
        <ns0:v>46752</ns0:v>
      </ns0:c>
      <ns0:c r="C8" s="4"/>
      <ns0:c r="D8" s="4"/>
      <ns0:c r="E8" s="4"/>
      <ns0:c r="F8" s="200" t="str">
        <ns0:v>Sick leave</ns0:v>
      </ns0:c>
      <ns0:c r="G8" s="4" t="str">
        <ns0:v>S</ns0:v>
      </ns0:c>
      <ns0:c r="H8" s="200" t="str">
        <ns0:v>No</ns0:v>
      </ns0:c>
      <ns0:c r="I8" s="4" t="str">
        <ns0:f>IFERROR(IF(OR(F8="",LEN(TRIM(F8))=0),"CHECK name",IF(COUNTIF($F$7:$F$11,F8)&gt;1,"CHECK duplicate name",IF(OR(ISNUMBER(FIND(" · ",F8)),ISNUMBER(FIND("*",F8)),ISNUMBER(FIND("?",F8))),"CHECK label characters",IF(AND(H8&lt;&gt;"Yes",H8&lt;&gt;"No"),"CHECK Yes / No","OK")))),"CHECK leave type")</ns0:f>
        <ns0:v>OK</ns0:v>
      </ns0:c>
      <ns0:c r="J8" s="4"/>
    </ns0:row>
    <ns0:row r="9" ht="22" customHeight="1">
      <ns0:c r="A9" s="28" t="str">
        <ns0:v>Reporting date</ns0:v>
      </ns0:c>
      <ns0:c r="B9" s="201" t="n">
        <ns0:v>46582</ns0:v>
      </ns0:c>
      <ns0:c r="C9" s="4"/>
      <ns0:c r="D9" s="4"/>
      <ns0:c r="E9" s="4"/>
      <ns0:c r="F9" s="200" t="str">
        <ns0:v>Unpaid leave</ns0:v>
      </ns0:c>
      <ns0:c r="G9" s="4" t="str">
        <ns0:v>U</ns0:v>
      </ns0:c>
      <ns0:c r="H9" s="200" t="str">
        <ns0:v>No</ns0:v>
      </ns0:c>
      <ns0:c r="I9" s="4" t="str">
        <ns0:f>IFERROR(IF(OR(F9="",LEN(TRIM(F9))=0),"CHECK name",IF(COUNTIF($F$7:$F$11,F9)&gt;1,"CHECK duplicate name",IF(OR(ISNUMBER(FIND(" · ",F9)),ISNUMBER(FIND("*",F9)),ISNUMBER(FIND("?",F9))),"CHECK label characters",IF(AND(H9&lt;&gt;"Yes",H9&lt;&gt;"No"),"CHECK Yes / No","OK")))),"CHECK leave type")</ns0:f>
        <ns0:v>OK</ns0:v>
      </ns0:c>
      <ns0:c r="J9" s="4"/>
    </ns0:row>
    <ns0:row r="10" ht="22" customHeight="1">
      <ns0:c r="A10" s="28" t="str">
        <ns0:v>Company / team</ns0:v>
      </ns0:c>
      <ns0:c r="B10" s="200" t="str">
        <ns0:v>Example studio</ns0:v>
      </ns0:c>
      <ns0:c r="C10" s="4"/>
      <ns0:c r="D10" s="4"/>
      <ns0:c r="E10" s="4"/>
      <ns0:c r="F10" s="200" t="str">
        <ns0:v>Training</ns0:v>
      </ns0:c>
      <ns0:c r="G10" s="4" t="str">
        <ns0:v>T</ns0:v>
      </ns0:c>
      <ns0:c r="H10" s="200" t="str">
        <ns0:v>No</ns0:v>
      </ns0:c>
      <ns0:c r="I10" s="4" t="str">
        <ns0:f>IFERROR(IF(OR(F10="",LEN(TRIM(F10))=0),"CHECK name",IF(COUNTIF($F$7:$F$11,F10)&gt;1,"CHECK duplicate name",IF(OR(ISNUMBER(FIND(" · ",F10)),ISNUMBER(FIND("*",F10)),ISNUMBER(FIND("?",F10))),"CHECK label characters",IF(AND(H10&lt;&gt;"Yes",H10&lt;&gt;"No"),"CHECK Yes / No","OK")))),"CHECK leave type")</ns0:f>
        <ns0:v>OK</ns0:v>
      </ns0:c>
      <ns0:c r="J10" s="4"/>
    </ns0:row>
    <ns0:row r="11" ht="22" customHeight="1">
      <ns0:c r="A11" s="28"/>
      <ns0:c r="B11" s="4"/>
      <ns0:c r="C11" s="4"/>
      <ns0:c r="D11" s="4"/>
      <ns0:c r="E11" s="4"/>
      <ns0:c r="F11" s="200" t="str">
        <ns0:v>Other leave</ns0:v>
      </ns0:c>
      <ns0:c r="G11" s="4" t="str">
        <ns0:v>O</ns0:v>
      </ns0:c>
      <ns0:c r="H11" s="200" t="str">
        <ns0:v>No</ns0:v>
      </ns0:c>
      <ns0:c r="I11" s="4" t="str">
        <ns0:f>IFERROR(IF(OR(F11="",LEN(TRIM(F11))=0),"CHECK name",IF(COUNTIF($F$7:$F$11,F11)&gt;1,"CHECK duplicate name",IF(OR(ISNUMBER(FIND(" · ",F11)),ISNUMBER(FIND("*",F11)),ISNUMBER(FIND("?",F11))),"CHECK label characters",IF(AND(H11&lt;&gt;"Yes",H11&lt;&gt;"No"),"CHECK Yes / No","OK")))),"CHECK leave type")</ns0:f>
        <ns0:v>OK</ns0:v>
      </ns0:c>
      <ns0:c r="J11" s="4"/>
    </ns0:row>
    <ns0:row r="12" ht="22" customHeight="1">
      <ns0:c r="A12" s="28" t="str">
        <ns0:v>Shared settings</ns0:v>
      </ns0:c>
      <ns0:c r="B12" s="4" t="str">
        <ns0:f>IFERROR(IF(OR(NOT(ISNUMBER(B7)),B7&lt;&gt;INT(B7),DAY(B7)&lt;&gt;1,YEAR(B7)&lt;2000,YEAR(B7)&gt;2099),"CHECK leave-year start",IF(OR(NOT(ISNUMBER(B9)),B9&lt;&gt;INT(B9),YEAR(B9)&lt;2000,YEAR(B9)&gt;2100),"CHECK reporting date",IF(COUNTIF(I7:I11,"OK")&lt;5,"CHECK leave types",IF(COUNTIF(I18:I67,"OK")+COUNTBLANK(I18:I67)&lt;50,"CHECK closure list","OK")))),"CHECK settings")</ns0:f>
        <ns0:v>OK</ns0:v>
      </ns0:c>
      <ns0:c r="C12" s="4"/>
      <ns0:c r="D12" s="4"/>
      <ns0:c r="E12" s="4"/>
      <ns0:c r="F12" s="4"/>
      <ns0:c r="G12" s="4"/>
      <ns0:c r="H12" s="4"/>
      <ns0:c r="I12" s="4"/>
      <ns0:c r="J12" s="4"/>
    </ns0:row>
    <ns0:row r="13" ht="22" customHeight="1">
      <ns0:c r="A13" s="28"/>
      <ns0:c r="B13" s="4"/>
      <ns0:c r="C13" s="4"/>
      <ns0:c r="D13" s="4"/>
      <ns0:c r="E13" s="4"/>
      <ns0:c r="F13" s="31" t="str">
        <ns0:v>Rename the five labels or change “Uses allowance?”. Codes stay fixed. A policy change recalculates every booking of that type, including earlier bookings.</ns0:v>
      </ns0:c>
      <ns0:c r="G13" s="31"/>
      <ns0:c r="H13" s="31"/>
      <ns0:c r="I13" s="31"/>
      <ns0:c r="J13" s="4"/>
    </ns0:row>
    <ns0:row r="14" ht="22" customHeight="1">
      <ns0:c r="A14" s="28" t="str">
        <ns0:v>Rows needing review</ns0:v>
      </ns0:c>
      <ns0:c r="B14" s="4">
        <ns0:f>'_Engine'!B8</ns0:f>
        <ns0:v>0</ns0:v>
      </ns0:c>
      <ns0:c r="C14" s="4"/>
      <ns0:c r="D14" s="4"/>
      <ns0:c r="E14" s="4"/>
      <ns0:c r="F14" s="31"/>
      <ns0:c r="G14" s="31"/>
      <ns0:c r="H14" s="31"/>
      <ns0:c r="I14" s="31"/>
      <ns0:c r="J14" s="4"/>
    </ns0:row>
    <ns0:row r="15" ht="22" customHeight="1">
      <ns0:c r="A15" s="28" t="str">
        <ns0:v>Bookings used</ns0:v>
      </ns0:c>
      <ns0:c r="B15" s="4" t="str">
        <ns0:f>COUNTIF('_Engine'!$A$11:$A$1010,1)&amp;" / 1,000"</ns0:f>
        <ns0:v>20 / 1,000</ns0:v>
      </ns0:c>
      <ns0:c r="C15" s="4"/>
      <ns0:c r="D15" s="4"/>
      <ns0:c r="E15" s="4"/>
      <ns0:c r="F15" s="31"/>
      <ns0:c r="G15" s="31"/>
      <ns0:c r="H15" s="31"/>
      <ns0:c r="I15" s="31"/>
      <ns0:c r="J15" s="4"/>
    </ns0:row>
    <ns0:row r="16" ht="22" customHeight="1">
      <ns0:c r="A16" s="28" t="str">
        <ns0:v>Employees set up</ns0:v>
      </ns0:c>
      <ns0:c r="B16" s="4" t="str">
        <ns0:f>SUM('_Engine'!$X$11:$X$60)&amp;" / 50"</ns0:f>
        <ns0:v>6 / 50</ns0:v>
      </ns0:c>
      <ns0:c r="C16" s="4"/>
      <ns0:c r="D16" s="4"/>
      <ns0:c r="E16" s="4"/>
      <ns0:c r="F16" s="4"/>
      <ns0:c r="G16" s="4"/>
      <ns0:c r="H16" s="4"/>
      <ns0:c r="I16" s="4"/>
      <ns0:c r="J16" s="4"/>
    </ns0:row>
    <ns0:row r="17" ht="36" customHeight="1">
      <ns0:c r="A17" s="4"/>
      <ns0:c r="B17" s="4"/>
      <ns0:c r="C17" s="4"/>
      <ns0:c r="D17" s="4"/>
      <ns0:c r="E17" s="4"/>
      <ns0:c r="F17" s="17" t="str">
        <ns0:v>03  NON-WORKING DATES</ns0:v>
      </ns0:c>
      <ns0:c r="G17" s="17" t="str">
        <ns0:v>Description</ns0:v>
      </ns0:c>
      <ns0:c r="H17" s="17" t="str"/>
      <ns0:c r="I17" s="17" t="str">
        <ns0:v>Check</ns0:v>
      </ns0:c>
      <ns0:c r="J17" s="4"/>
    </ns0:row>
    <ns0:row r="18" ht="22" customHeight="1">
      <ns0:c r="A18" s="4"/>
      <ns0:c r="B18" s="4"/>
      <ns0:c r="C18" s="4"/>
      <ns0:c r="D18" s="4"/>
      <ns0:c r="E18" s="4"/>
      <ns0:c r="F18" s="201" t="n">
        <ns0:v>46591</ns0:v>
      </ns0:c>
      <ns0:c r="G18" s="200" t="str">
        <ns0:v>Example closure — replace</ns0:v>
      </ns0:c>
      <ns0:c r="H18" s="200"/>
      <ns0:c r="I18" s="4" t="str">
        <ns0:f>IF(COUNTA(F18,G18)=0,"",IFERROR(IF(OR(NOT(ISNUMBER(F18)),F18&lt;&gt;INT(F18)),"CHECK date",IF(AND(ISNUMBER($B$8),OR(F18&lt;$B$7,F18&gt;$B$8)),"CHECK outside leave year",IF(COUNTIF($F$18:$F$67,F18)&gt;1,"CHECK duplicate date",IF(LEN(TRIM(G18))=0,"CHECK description","OK")))),"CHECK date / description"))</ns0:f>
        <ns0:v>OK</ns0:v>
      </ns0:c>
      <ns0:c r="J18" s="4"/>
    </ns0:row>
    <ns0:row r="19" ht="22" customHeight="1">
      <ns0:c r="A19" s="31" t="str">
        <ns0:v>TAKEN = scheduled approved leave through the end of the reporting date. BOOKED AHEAD = scheduled approved leave after that date. This is not an attendance check.</ns0:v>
      </ns0:c>
      <ns0:c r="B19" s="31"/>
      <ns0:c r="C19" s="31"/>
      <ns0:c r="D19" s="31"/>
      <ns0:c r="E19" s="4"/>
      <ns0:c r="F19" s="201"/>
      <ns0:c r="G19" s="200"/>
      <ns0:c r="H19" s="200"/>
      <ns0:c r="I19" s="4" t="str">
        <ns0:f>IF(COUNTA(F19,G19)=0,"",IFERROR(IF(OR(NOT(ISNUMBER(F19)),F19&lt;&gt;INT(F19)),"CHECK date",IF(AND(ISNUMBER($B$8),OR(F19&lt;$B$7,F19&gt;$B$8)),"CHECK outside leave year",IF(COUNTIF($F$18:$F$67,F19)&gt;1,"CHECK duplicate date",IF(LEN(TRIM(G19))=0,"CHECK description","OK")))),"CHECK date / description"))</ns0:f>
        <ns0:v/>
      </ns0:c>
      <ns0:c r="J19" s="4"/>
    </ns0:row>
    <ns0:row r="20" ht="22" customHeight="1">
      <ns0:c r="A20" s="31"/>
      <ns0:c r="B20" s="31"/>
      <ns0:c r="C20" s="31"/>
      <ns0:c r="D20" s="31"/>
      <ns0:c r="E20" s="4"/>
      <ns0:c r="F20" s="201"/>
      <ns0:c r="G20" s="200"/>
      <ns0:c r="H20" s="200"/>
      <ns0:c r="I20" s="4" t="str">
        <ns0:f>IF(COUNTA(F20,G20)=0,"",IFERROR(IF(OR(NOT(ISNUMBER(F20)),F20&lt;&gt;INT(F20)),"CHECK date",IF(AND(ISNUMBER($B$8),OR(F20&lt;$B$7,F20&gt;$B$8)),"CHECK outside leave year",IF(COUNTIF($F$18:$F$67,F20)&gt;1,"CHECK duplicate date",IF(LEN(TRIM(G20))=0,"CHECK description","OK")))),"CHECK date / description"))</ns0:f>
        <ns0:v/>
      </ns0:c>
      <ns0:c r="J20" s="4"/>
    </ns0:row>
    <ns0:row r="21" ht="22" customHeight="1">
      <ns0:c r="A21" s="31"/>
      <ns0:c r="B21" s="31"/>
      <ns0:c r="C21" s="31"/>
      <ns0:c r="D21" s="31"/>
      <ns0:c r="E21" s="4"/>
      <ns0:c r="F21" s="201"/>
      <ns0:c r="G21" s="200"/>
      <ns0:c r="H21" s="200"/>
      <ns0:c r="I21" s="4" t="str">
        <ns0:f>IF(COUNTA(F21,G21)=0,"",IFERROR(IF(OR(NOT(ISNUMBER(F21)),F21&lt;&gt;INT(F21)),"CHECK date",IF(AND(ISNUMBER($B$8),OR(F21&lt;$B$7,F21&gt;$B$8)),"CHECK outside leave year",IF(COUNTIF($F$18:$F$67,F21)&gt;1,"CHECK duplicate date",IF(LEN(TRIM(G21))=0,"CHECK description","OK")))),"CHECK date / description"))</ns0:f>
        <ns0:v/>
      </ns0:c>
      <ns0:c r="J21" s="4"/>
    </ns0:row>
    <ns0:row r="22" ht="22" customHeight="1">
      <ns0:c r="A22" s="31"/>
      <ns0:c r="B22" s="31"/>
      <ns0:c r="C22" s="31"/>
      <ns0:c r="D22" s="31"/>
      <ns0:c r="E22" s="4"/>
      <ns0:c r="F22" s="201"/>
      <ns0:c r="G22" s="200"/>
      <ns0:c r="H22" s="200"/>
      <ns0:c r="I22" s="4" t="str">
        <ns0:f>IF(COUNTA(F22,G22)=0,"",IFERROR(IF(OR(NOT(ISNUMBER(F22)),F22&lt;&gt;INT(F22)),"CHECK date",IF(AND(ISNUMBER($B$8),OR(F22&lt;$B$7,F22&gt;$B$8)),"CHECK outside leave year",IF(COUNTIF($F$18:$F$67,F22)&gt;1,"CHECK duplicate date",IF(LEN(TRIM(G22))=0,"CHECK description","OK")))),"CHECK date / description"))</ns0:f>
        <ns0:v/>
      </ns0:c>
      <ns0:c r="J22" s="4"/>
    </ns0:row>
    <ns0:row r="23" ht="22" customHeight="1">
      <ns0:c r="A23" s="4"/>
      <ns0:c r="B23" s="4"/>
      <ns0:c r="C23" s="4"/>
      <ns0:c r="D23" s="4"/>
      <ns0:c r="E23" s="4"/>
      <ns0:c r="F23" s="201"/>
      <ns0:c r="G23" s="200"/>
      <ns0:c r="H23" s="200"/>
      <ns0:c r="I23" s="4" t="str">
        <ns0:f>IF(COUNTA(F23,G23)=0,"",IFERROR(IF(OR(NOT(ISNUMBER(F23)),F23&lt;&gt;INT(F23)),"CHECK date",IF(AND(ISNUMBER($B$8),OR(F23&lt;$B$7,F23&gt;$B$8)),"CHECK outside leave year",IF(COUNTIF($F$18:$F$67,F23)&gt;1,"CHECK duplicate date",IF(LEN(TRIM(G23))=0,"CHECK description","OK")))),"CHECK date / description"))</ns0:f>
        <ns0:v/>
      </ns0:c>
      <ns0:c r="J23" s="4"/>
    </ns0:row>
    <ns0:row r="24" ht="22" customHeight="1">
      <ns0:c r="A24" s="36" t="str">
        <ns0:v>FIXED HOLIDAYS: listed dates are excluded from bookings. They do not automatically reserve allowance. In Team, enter the total allowance and the fixed days already reserved for each employee.</ns0:v>
      </ns0:c>
      <ns0:c r="B24" s="36"/>
      <ns0:c r="C24" s="36"/>
      <ns0:c r="D24" s="36"/>
      <ns0:c r="E24" s="4"/>
      <ns0:c r="F24" s="201"/>
      <ns0:c r="G24" s="200"/>
      <ns0:c r="H24" s="200"/>
      <ns0:c r="I24" s="4" t="str">
        <ns0:f>IF(COUNTA(F24,G24)=0,"",IFERROR(IF(OR(NOT(ISNUMBER(F24)),F24&lt;&gt;INT(F24)),"CHECK date",IF(AND(ISNUMBER($B$8),OR(F24&lt;$B$7,F24&gt;$B$8)),"CHECK outside leave year",IF(COUNTIF($F$18:$F$67,F24)&gt;1,"CHECK duplicate date",IF(LEN(TRIM(G24))=0,"CHECK description","OK")))),"CHECK date / description"))</ns0:f>
        <ns0:v/>
      </ns0:c>
      <ns0:c r="J24" s="4"/>
    </ns0:row>
    <ns0:row r="25" ht="22" customHeight="1">
      <ns0:c r="A25" s="36"/>
      <ns0:c r="B25" s="36"/>
      <ns0:c r="C25" s="36"/>
      <ns0:c r="D25" s="36"/>
      <ns0:c r="E25" s="4"/>
      <ns0:c r="F25" s="201"/>
      <ns0:c r="G25" s="200"/>
      <ns0:c r="H25" s="200"/>
      <ns0:c r="I25" s="4" t="str">
        <ns0:f>IF(COUNTA(F25,G25)=0,"",IFERROR(IF(OR(NOT(ISNUMBER(F25)),F25&lt;&gt;INT(F25)),"CHECK date",IF(AND(ISNUMBER($B$8),OR(F25&lt;$B$7,F25&gt;$B$8)),"CHECK outside leave year",IF(COUNTIF($F$18:$F$67,F25)&gt;1,"CHECK duplicate date",IF(LEN(TRIM(G25))=0,"CHECK description","OK")))),"CHECK date / description"))</ns0:f>
        <ns0:v/>
      </ns0:c>
      <ns0:c r="J25" s="4"/>
    </ns0:row>
    <ns0:row r="26" ht="22" customHeight="1">
      <ns0:c r="A26" s="36"/>
      <ns0:c r="B26" s="36"/>
      <ns0:c r="C26" s="36"/>
      <ns0:c r="D26" s="36"/>
      <ns0:c r="E26" s="4"/>
      <ns0:c r="F26" s="201"/>
      <ns0:c r="G26" s="200"/>
      <ns0:c r="H26" s="200"/>
      <ns0:c r="I26" s="4" t="str">
        <ns0:f>IF(COUNTA(F26,G26)=0,"",IFERROR(IF(OR(NOT(ISNUMBER(F26)),F26&lt;&gt;INT(F26)),"CHECK date",IF(AND(ISNUMBER($B$8),OR(F26&lt;$B$7,F26&gt;$B$8)),"CHECK outside leave year",IF(COUNTIF($F$18:$F$67,F26)&gt;1,"CHECK duplicate date",IF(LEN(TRIM(G26))=0,"CHECK description","OK")))),"CHECK date / description"))</ns0:f>
        <ns0:v/>
      </ns0:c>
      <ns0:c r="J26" s="4"/>
    </ns0:row>
    <ns0:row r="27" ht="22" customHeight="1">
      <ns0:c r="A27" s="36"/>
      <ns0:c r="B27" s="36"/>
      <ns0:c r="C27" s="36"/>
      <ns0:c r="D27" s="36"/>
      <ns0:c r="E27" s="4"/>
      <ns0:c r="F27" s="201"/>
      <ns0:c r="G27" s="200"/>
      <ns0:c r="H27" s="200"/>
      <ns0:c r="I27" s="4" t="str">
        <ns0:f>IF(COUNTA(F27,G27)=0,"",IFERROR(IF(OR(NOT(ISNUMBER(F27)),F27&lt;&gt;INT(F27)),"CHECK date",IF(AND(ISNUMBER($B$8),OR(F27&lt;$B$7,F27&gt;$B$8)),"CHECK outside leave year",IF(COUNTIF($F$18:$F$67,F27)&gt;1,"CHECK duplicate date",IF(LEN(TRIM(G27))=0,"CHECK description","OK")))),"CHECK date / description"))</ns0:f>
        <ns0:v/>
      </ns0:c>
      <ns0:c r="J27" s="4"/>
    </ns0:row>
    <ns0:row r="28" ht="22" customHeight="1">
      <ns0:c r="A28" s="36"/>
      <ns0:c r="B28" s="36"/>
      <ns0:c r="C28" s="36"/>
      <ns0:c r="D28" s="36"/>
      <ns0:c r="E28" s="4"/>
      <ns0:c r="F28" s="201"/>
      <ns0:c r="G28" s="200"/>
      <ns0:c r="H28" s="200"/>
      <ns0:c r="I28" s="4" t="str">
        <ns0:f>IF(COUNTA(F28,G28)=0,"",IFERROR(IF(OR(NOT(ISNUMBER(F28)),F28&lt;&gt;INT(F28)),"CHECK date",IF(AND(ISNUMBER($B$8),OR(F28&lt;$B$7,F28&gt;$B$8)),"CHECK outside leave year",IF(COUNTIF($F$18:$F$67,F28)&gt;1,"CHECK duplicate date",IF(LEN(TRIM(G28))=0,"CHECK description","OK")))),"CHECK date / description"))</ns0:f>
        <ns0:v/>
      </ns0:c>
      <ns0:c r="J28" s="4"/>
    </ns0:row>
    <ns0:row r="29" ht="22" customHeight="1">
      <ns0:c r="A29" s="4"/>
      <ns0:c r="B29" s="4"/>
      <ns0:c r="C29" s="4"/>
      <ns0:c r="D29" s="4"/>
      <ns0:c r="E29" s="4"/>
      <ns0:c r="F29" s="201"/>
      <ns0:c r="G29" s="200"/>
      <ns0:c r="H29" s="200"/>
      <ns0:c r="I29" s="4" t="str">
        <ns0:f>IF(COUNTA(F29,G29)=0,"",IFERROR(IF(OR(NOT(ISNUMBER(F29)),F29&lt;&gt;INT(F29)),"CHECK date",IF(AND(ISNUMBER($B$8),OR(F29&lt;$B$7,F29&gt;$B$8)),"CHECK outside leave year",IF(COUNTIF($F$18:$F$67,F29)&gt;1,"CHECK duplicate date",IF(LEN(TRIM(G29))=0,"CHECK description","OK")))),"CHECK date / description"))</ns0:f>
        <ns0:v/>
      </ns0:c>
      <ns0:c r="J29" s="4"/>
    </ns0:row>
    <ns0:row r="30" ht="22" customHeight="1">
      <ns0:c r="A30" s="40" t="str">
        <ns0:v>Example: 28 agreed days − 8 fixed days reserved = 20 bookable days. For part-time colleagues, use their own agreed reservation—not automatically 8.</ns0:v>
      </ns0:c>
      <ns0:c r="B30" s="40"/>
      <ns0:c r="C30" s="40"/>
      <ns0:c r="D30" s="40"/>
      <ns0:c r="E30" s="4"/>
      <ns0:c r="F30" s="201"/>
      <ns0:c r="G30" s="200"/>
      <ns0:c r="H30" s="200"/>
      <ns0:c r="I30" s="4" t="str">
        <ns0:f>IF(COUNTA(F30,G30)=0,"",IFERROR(IF(OR(NOT(ISNUMBER(F30)),F30&lt;&gt;INT(F30)),"CHECK date",IF(AND(ISNUMBER($B$8),OR(F30&lt;$B$7,F30&gt;$B$8)),"CHECK outside leave year",IF(COUNTIF($F$18:$F$67,F30)&gt;1,"CHECK duplicate date",IF(LEN(TRIM(G30))=0,"CHECK description","OK")))),"CHECK date / description"))</ns0:f>
        <ns0:v/>
      </ns0:c>
      <ns0:c r="J30" s="4"/>
    </ns0:row>
    <ns0:row r="31" ht="22" customHeight="1">
      <ns0:c r="A31" s="40"/>
      <ns0:c r="B31" s="40"/>
      <ns0:c r="C31" s="40"/>
      <ns0:c r="D31" s="40"/>
      <ns0:c r="E31" s="4"/>
      <ns0:c r="F31" s="201"/>
      <ns0:c r="G31" s="200"/>
      <ns0:c r="H31" s="200"/>
      <ns0:c r="I31" s="4" t="str">
        <ns0:f>IF(COUNTA(F31,G31)=0,"",IFERROR(IF(OR(NOT(ISNUMBER(F31)),F31&lt;&gt;INT(F31)),"CHECK date",IF(AND(ISNUMBER($B$8),OR(F31&lt;$B$7,F31&gt;$B$8)),"CHECK outside leave year",IF(COUNTIF($F$18:$F$67,F31)&gt;1,"CHECK duplicate date",IF(LEN(TRIM(G31))=0,"CHECK description","OK")))),"CHECK date / description"))</ns0:f>
        <ns0:v/>
      </ns0:c>
      <ns0:c r="J31" s="4"/>
    </ns0:row>
    <ns0:row r="32" ht="22" customHeight="1">
      <ns0:c r="A32" s="40"/>
      <ns0:c r="B32" s="40"/>
      <ns0:c r="C32" s="40"/>
      <ns0:c r="D32" s="40"/>
      <ns0:c r="E32" s="4"/>
      <ns0:c r="F32" s="201"/>
      <ns0:c r="G32" s="200"/>
      <ns0:c r="H32" s="200"/>
      <ns0:c r="I32" s="4" t="str">
        <ns0:f>IF(COUNTA(F32,G32)=0,"",IFERROR(IF(OR(NOT(ISNUMBER(F32)),F32&lt;&gt;INT(F32)),"CHECK date",IF(AND(ISNUMBER($B$8),OR(F32&lt;$B$7,F32&gt;$B$8)),"CHECK outside leave year",IF(COUNTIF($F$18:$F$67,F32)&gt;1,"CHECK duplicate date",IF(LEN(TRIM(G32))=0,"CHECK description","OK")))),"CHECK date / description"))</ns0:f>
        <ns0:v/>
      </ns0:c>
      <ns0:c r="J32" s="4"/>
    </ns0:row>
    <ns0:row r="33" ht="22" customHeight="1">
      <ns0:c r="A33" s="40"/>
      <ns0:c r="B33" s="40"/>
      <ns0:c r="C33" s="40"/>
      <ns0:c r="D33" s="40"/>
      <ns0:c r="E33" s="4"/>
      <ns0:c r="F33" s="201"/>
      <ns0:c r="G33" s="200"/>
      <ns0:c r="H33" s="200"/>
      <ns0:c r="I33" s="4" t="str">
        <ns0:f>IF(COUNTA(F33,G33)=0,"",IFERROR(IF(OR(NOT(ISNUMBER(F33)),F33&lt;&gt;INT(F33)),"CHECK date",IF(AND(ISNUMBER($B$8),OR(F33&lt;$B$7,F33&gt;$B$8)),"CHECK outside leave year",IF(COUNTIF($F$18:$F$67,F33)&gt;1,"CHECK duplicate date",IF(LEN(TRIM(G33))=0,"CHECK description","OK")))),"CHECK date / description"))</ns0:f>
        <ns0:v/>
      </ns0:c>
      <ns0:c r="J33" s="4"/>
    </ns0:row>
    <ns0:row r="34" ht="22" customHeight="1">
      <ns0:c r="A34" s="4"/>
      <ns0:c r="B34" s="4"/>
      <ns0:c r="C34" s="4"/>
      <ns0:c r="D34" s="4"/>
      <ns0:c r="E34" s="4"/>
      <ns0:c r="F34" s="201"/>
      <ns0:c r="G34" s="200"/>
      <ns0:c r="H34" s="200"/>
      <ns0:c r="I34" s="4" t="str">
        <ns0:f>IF(COUNTA(F34,G34)=0,"",IFERROR(IF(OR(NOT(ISNUMBER(F34)),F34&lt;&gt;INT(F34)),"CHECK date",IF(AND(ISNUMBER($B$8),OR(F34&lt;$B$7,F34&gt;$B$8)),"CHECK outside leave year",IF(COUNTIF($F$18:$F$67,F34)&gt;1,"CHECK duplicate date",IF(LEN(TRIM(G34))=0,"CHECK description","OK")))),"CHECK date / description"))</ns0:f>
        <ns0:v/>
      </ns0:c>
      <ns0:c r="J34" s="4"/>
    </ns0:row>
    <ns0:row r="35" ht="22" customHeight="1">
      <ns0:c r="A35" s="31" t="str">
        <ns0:v>The closure list applies to everyone, on their working days only. Use one list for a team with the same fixed holidays. Delete the invented example closure. No official dates are preloaded.</ns0:v>
      </ns0:c>
      <ns0:c r="B35" s="31"/>
      <ns0:c r="C35" s="31"/>
      <ns0:c r="D35" s="31"/>
      <ns0:c r="E35" s="4"/>
      <ns0:c r="F35" s="201"/>
      <ns0:c r="G35" s="200"/>
      <ns0:c r="H35" s="200"/>
      <ns0:c r="I35" s="4" t="str">
        <ns0:f>IF(COUNTA(F35,G35)=0,"",IFERROR(IF(OR(NOT(ISNUMBER(F35)),F35&lt;&gt;INT(F35)),"CHECK date",IF(AND(ISNUMBER($B$8),OR(F35&lt;$B$7,F35&gt;$B$8)),"CHECK outside leave year",IF(COUNTIF($F$18:$F$67,F35)&gt;1,"CHECK duplicate date",IF(LEN(TRIM(G35))=0,"CHECK description","OK")))),"CHECK date / description"))</ns0:f>
        <ns0:v/>
      </ns0:c>
      <ns0:c r="J35" s="4"/>
    </ns0:row>
    <ns0:row r="36" ht="22" customHeight="1">
      <ns0:c r="A36" s="31"/>
      <ns0:c r="B36" s="31"/>
      <ns0:c r="C36" s="31"/>
      <ns0:c r="D36" s="31"/>
      <ns0:c r="E36" s="4"/>
      <ns0:c r="F36" s="201"/>
      <ns0:c r="G36" s="200"/>
      <ns0:c r="H36" s="200"/>
      <ns0:c r="I36" s="4" t="str">
        <ns0:f>IF(COUNTA(F36,G36)=0,"",IFERROR(IF(OR(NOT(ISNUMBER(F36)),F36&lt;&gt;INT(F36)),"CHECK date",IF(AND(ISNUMBER($B$8),OR(F36&lt;$B$7,F36&gt;$B$8)),"CHECK outside leave year",IF(COUNTIF($F$18:$F$67,F36)&gt;1,"CHECK duplicate date",IF(LEN(TRIM(G36))=0,"CHECK description","OK")))),"CHECK date / description"))</ns0:f>
        <ns0:v/>
      </ns0:c>
      <ns0:c r="J36" s="4"/>
    </ns0:row>
    <ns0:row r="37" ht="22" customHeight="1">
      <ns0:c r="A37" s="31"/>
      <ns0:c r="B37" s="31"/>
      <ns0:c r="C37" s="31"/>
      <ns0:c r="D37" s="31"/>
      <ns0:c r="E37" s="4"/>
      <ns0:c r="F37" s="201"/>
      <ns0:c r="G37" s="200"/>
      <ns0:c r="H37" s="200"/>
      <ns0:c r="I37" s="4" t="str">
        <ns0:f>IF(COUNTA(F37,G37)=0,"",IFERROR(IF(OR(NOT(ISNUMBER(F37)),F37&lt;&gt;INT(F37)),"CHECK date",IF(AND(ISNUMBER($B$8),OR(F37&lt;$B$7,F37&gt;$B$8)),"CHECK outside leave year",IF(COUNTIF($F$18:$F$67,F37)&gt;1,"CHECK duplicate date",IF(LEN(TRIM(G37))=0,"CHECK description","OK")))),"CHECK date / description"))</ns0:f>
        <ns0:v/>
      </ns0:c>
      <ns0:c r="J37" s="4"/>
    </ns0:row>
    <ns0:row r="38" ht="22" customHeight="1">
      <ns0:c r="A38" s="31"/>
      <ns0:c r="B38" s="31"/>
      <ns0:c r="C38" s="31"/>
      <ns0:c r="D38" s="31"/>
      <ns0:c r="E38" s="4"/>
      <ns0:c r="F38" s="201"/>
      <ns0:c r="G38" s="200"/>
      <ns0:c r="H38" s="200"/>
      <ns0:c r="I38" s="4" t="str">
        <ns0:f>IF(COUNTA(F38,G38)=0,"",IFERROR(IF(OR(NOT(ISNUMBER(F38)),F38&lt;&gt;INT(F38)),"CHECK date",IF(AND(ISNUMBER($B$8),OR(F38&lt;$B$7,F38&gt;$B$8)),"CHECK outside leave year",IF(COUNTIF($F$18:$F$67,F38)&gt;1,"CHECK duplicate date",IF(LEN(TRIM(G38))=0,"CHECK description","OK")))),"CHECK date / description"))</ns0:f>
        <ns0:v/>
      </ns0:c>
      <ns0:c r="J38" s="4"/>
    </ns0:row>
    <ns0:row r="39" ht="22" customHeight="1">
      <ns0:c r="A39" s="31"/>
      <ns0:c r="B39" s="31"/>
      <ns0:c r="C39" s="31"/>
      <ns0:c r="D39" s="31"/>
      <ns0:c r="E39" s="4"/>
      <ns0:c r="F39" s="201"/>
      <ns0:c r="G39" s="200"/>
      <ns0:c r="H39" s="200"/>
      <ns0:c r="I39" s="4" t="str">
        <ns0:f>IF(COUNTA(F39,G39)=0,"",IFERROR(IF(OR(NOT(ISNUMBER(F39)),F39&lt;&gt;INT(F39)),"CHECK date",IF(AND(ISNUMBER($B$8),OR(F39&lt;$B$7,F39&gt;$B$8)),"CHECK outside leave year",IF(COUNTIF($F$18:$F$67,F39)&gt;1,"CHECK duplicate date",IF(LEN(TRIM(G39))=0,"CHECK description","OK")))),"CHECK date / description"))</ns0:f>
        <ns0:v/>
      </ns0:c>
      <ns0:c r="J39" s="4"/>
    </ns0:row>
    <ns0:row r="40" ht="22" customHeight="1">
      <ns0:c r="A40" s="4"/>
      <ns0:c r="B40" s="4"/>
      <ns0:c r="C40" s="4"/>
      <ns0:c r="D40" s="4"/>
      <ns0:c r="E40" s="4"/>
      <ns0:c r="F40" s="201"/>
      <ns0:c r="G40" s="200"/>
      <ns0:c r="H40" s="200"/>
      <ns0:c r="I40" s="4" t="str">
        <ns0:f>IF(COUNTA(F40,G40)=0,"",IFERROR(IF(OR(NOT(ISNUMBER(F40)),F40&lt;&gt;INT(F40)),"CHECK date",IF(AND(ISNUMBER($B$8),OR(F40&lt;$B$7,F40&gt;$B$8)),"CHECK outside leave year",IF(COUNTIF($F$18:$F$67,F40)&gt;1,"CHECK duplicate date",IF(LEN(TRIM(G40))=0,"CHECK description","OK")))),"CHECK date / description"))</ns0:f>
        <ns0:v/>
      </ns0:c>
      <ns0:c r="J40" s="4"/>
    </ns0:row>
    <ns0:row r="41" ht="22" customHeight="1">
      <ns0:c r="A41" s="31" t="str">
        <ns0:v>The leave year starts on the first of a month. Archive a copy before changing it; clear or replace old bookings. Split requests that cross the year boundary.</ns0:v>
      </ns0:c>
      <ns0:c r="B41" s="31"/>
      <ns0:c r="C41" s="31"/>
      <ns0:c r="D41" s="31"/>
      <ns0:c r="E41" s="4"/>
      <ns0:c r="F41" s="201"/>
      <ns0:c r="G41" s="200"/>
      <ns0:c r="H41" s="200"/>
      <ns0:c r="I41" s="4" t="str">
        <ns0:f>IF(COUNTA(F41,G41)=0,"",IFERROR(IF(OR(NOT(ISNUMBER(F41)),F41&lt;&gt;INT(F41)),"CHECK date",IF(AND(ISNUMBER($B$8),OR(F41&lt;$B$7,F41&gt;$B$8)),"CHECK outside leave year",IF(COUNTIF($F$18:$F$67,F41)&gt;1,"CHECK duplicate date",IF(LEN(TRIM(G41))=0,"CHECK description","OK")))),"CHECK date / description"))</ns0:f>
        <ns0:v/>
      </ns0:c>
      <ns0:c r="J41" s="4"/>
    </ns0:row>
    <ns0:row r="42" ht="22" customHeight="1">
      <ns0:c r="A42" s="31"/>
      <ns0:c r="B42" s="31"/>
      <ns0:c r="C42" s="31"/>
      <ns0:c r="D42" s="31"/>
      <ns0:c r="E42" s="4"/>
      <ns0:c r="F42" s="201"/>
      <ns0:c r="G42" s="200"/>
      <ns0:c r="H42" s="200"/>
      <ns0:c r="I42" s="4" t="str">
        <ns0:f>IF(COUNTA(F42,G42)=0,"",IFERROR(IF(OR(NOT(ISNUMBER(F42)),F42&lt;&gt;INT(F42)),"CHECK date",IF(AND(ISNUMBER($B$8),OR(F42&lt;$B$7,F42&gt;$B$8)),"CHECK outside leave year",IF(COUNTIF($F$18:$F$67,F42)&gt;1,"CHECK duplicate date",IF(LEN(TRIM(G42))=0,"CHECK description","OK")))),"CHECK date / description"))</ns0:f>
        <ns0:v/>
      </ns0:c>
      <ns0:c r="J42" s="4"/>
    </ns0:row>
    <ns0:row r="43" ht="22" customHeight="1">
      <ns0:c r="A43" s="31"/>
      <ns0:c r="B43" s="31"/>
      <ns0:c r="C43" s="31"/>
      <ns0:c r="D43" s="31"/>
      <ns0:c r="E43" s="4"/>
      <ns0:c r="F43" s="201"/>
      <ns0:c r="G43" s="200"/>
      <ns0:c r="H43" s="200"/>
      <ns0:c r="I43" s="4" t="str">
        <ns0:f>IF(COUNTA(F43,G43)=0,"",IFERROR(IF(OR(NOT(ISNUMBER(F43)),F43&lt;&gt;INT(F43)),"CHECK date",IF(AND(ISNUMBER($B$8),OR(F43&lt;$B$7,F43&gt;$B$8)),"CHECK outside leave year",IF(COUNTIF($F$18:$F$67,F43)&gt;1,"CHECK duplicate date",IF(LEN(TRIM(G43))=0,"CHECK description","OK")))),"CHECK date / description"))</ns0:f>
        <ns0:v/>
      </ns0:c>
      <ns0:c r="J43" s="4"/>
    </ns0:row>
    <ns0:row r="44" ht="22" customHeight="1">
      <ns0:c r="A44" s="31"/>
      <ns0:c r="B44" s="31"/>
      <ns0:c r="C44" s="31"/>
      <ns0:c r="D44" s="31"/>
      <ns0:c r="E44" s="4"/>
      <ns0:c r="F44" s="201"/>
      <ns0:c r="G44" s="200"/>
      <ns0:c r="H44" s="200"/>
      <ns0:c r="I44" s="4" t="str">
        <ns0:f>IF(COUNTA(F44,G44)=0,"",IFERROR(IF(OR(NOT(ISNUMBER(F44)),F44&lt;&gt;INT(F44)),"CHECK date",IF(AND(ISNUMBER($B$8),OR(F44&lt;$B$7,F44&gt;$B$8)),"CHECK outside leave year",IF(COUNTIF($F$18:$F$67,F44)&gt;1,"CHECK duplicate date",IF(LEN(TRIM(G44))=0,"CHECK description","OK")))),"CHECK date / description"))</ns0:f>
        <ns0:v/>
      </ns0:c>
      <ns0:c r="J44" s="4"/>
    </ns0:row>
    <ns0:row r="45" ht="22" customHeight="1">
      <ns0:c r="A45" s="4"/>
      <ns0:c r="B45" s="4"/>
      <ns0:c r="C45" s="4"/>
      <ns0:c r="D45" s="4"/>
      <ns0:c r="E45" s="4"/>
      <ns0:c r="F45" s="201"/>
      <ns0:c r="G45" s="200"/>
      <ns0:c r="H45" s="200"/>
      <ns0:c r="I45" s="4" t="str">
        <ns0:f>IF(COUNTA(F45,G45)=0,"",IFERROR(IF(OR(NOT(ISNUMBER(F45)),F45&lt;&gt;INT(F45)),"CHECK date",IF(AND(ISNUMBER($B$8),OR(F45&lt;$B$7,F45&gt;$B$8)),"CHECK outside leave year",IF(COUNTIF($F$18:$F$67,F45)&gt;1,"CHECK duplicate date",IF(LEN(TRIM(G45))=0,"CHECK description","OK")))),"CHECK date / description"))</ns0:f>
        <ns0:v/>
      </ns0:c>
      <ns0:c r="J45" s="4"/>
    </ns0:row>
    <ns0:row r="46" ht="22" customHeight="1">
      <ns0:c r="A46" s="31" t="str">
        <ns0:v>Fixed weekly patterns, equal-length days, days-based balances. No accrual, entitlement calculation, changing rotas, payroll, automated approval or employee privacy permissions.</ns0:v>
      </ns0:c>
      <ns0:c r="B46" s="31"/>
      <ns0:c r="C46" s="31"/>
      <ns0:c r="D46" s="31"/>
      <ns0:c r="E46" s="4"/>
      <ns0:c r="F46" s="201"/>
      <ns0:c r="G46" s="200"/>
      <ns0:c r="H46" s="200"/>
      <ns0:c r="I46" s="4" t="str">
        <ns0:f>IF(COUNTA(F46,G46)=0,"",IFERROR(IF(OR(NOT(ISNUMBER(F46)),F46&lt;&gt;INT(F46)),"CHECK date",IF(AND(ISNUMBER($B$8),OR(F46&lt;$B$7,F46&gt;$B$8)),"CHECK outside leave year",IF(COUNTIF($F$18:$F$67,F46)&gt;1,"CHECK duplicate date",IF(LEN(TRIM(G46))=0,"CHECK description","OK")))),"CHECK date / description"))</ns0:f>
        <ns0:v/>
      </ns0:c>
      <ns0:c r="J46" s="4"/>
    </ns0:row>
    <ns0:row r="47" ht="22" customHeight="1">
      <ns0:c r="A47" s="31"/>
      <ns0:c r="B47" s="31"/>
      <ns0:c r="C47" s="31"/>
      <ns0:c r="D47" s="31"/>
      <ns0:c r="E47" s="4"/>
      <ns0:c r="F47" s="201"/>
      <ns0:c r="G47" s="200"/>
      <ns0:c r="H47" s="200"/>
      <ns0:c r="I47" s="4" t="str">
        <ns0:f>IF(COUNTA(F47,G47)=0,"",IFERROR(IF(OR(NOT(ISNUMBER(F47)),F47&lt;&gt;INT(F47)),"CHECK date",IF(AND(ISNUMBER($B$8),OR(F47&lt;$B$7,F47&gt;$B$8)),"CHECK outside leave year",IF(COUNTIF($F$18:$F$67,F47)&gt;1,"CHECK duplicate date",IF(LEN(TRIM(G47))=0,"CHECK description","OK")))),"CHECK date / description"))</ns0:f>
        <ns0:v/>
      </ns0:c>
      <ns0:c r="J47" s="4"/>
    </ns0:row>
    <ns0:row r="48" ht="22" customHeight="1">
      <ns0:c r="A48" s="31"/>
      <ns0:c r="B48" s="31"/>
      <ns0:c r="C48" s="31"/>
      <ns0:c r="D48" s="31"/>
      <ns0:c r="E48" s="4"/>
      <ns0:c r="F48" s="201"/>
      <ns0:c r="G48" s="200"/>
      <ns0:c r="H48" s="200"/>
      <ns0:c r="I48" s="4" t="str">
        <ns0:f>IF(COUNTA(F48,G48)=0,"",IFERROR(IF(OR(NOT(ISNUMBER(F48)),F48&lt;&gt;INT(F48)),"CHECK date",IF(AND(ISNUMBER($B$8),OR(F48&lt;$B$7,F48&gt;$B$8)),"CHECK outside leave year",IF(COUNTIF($F$18:$F$67,F48)&gt;1,"CHECK duplicate date",IF(LEN(TRIM(G48))=0,"CHECK description","OK")))),"CHECK date / description"))</ns0:f>
        <ns0:v/>
      </ns0:c>
      <ns0:c r="J48" s="4"/>
    </ns0:row>
    <ns0:row r="49" ht="22" customHeight="1">
      <ns0:c r="A49" s="31"/>
      <ns0:c r="B49" s="31"/>
      <ns0:c r="C49" s="31"/>
      <ns0:c r="D49" s="31"/>
      <ns0:c r="E49" s="4"/>
      <ns0:c r="F49" s="201"/>
      <ns0:c r="G49" s="200"/>
      <ns0:c r="H49" s="200"/>
      <ns0:c r="I49" s="4" t="str">
        <ns0:f>IF(COUNTA(F49,G49)=0,"",IFERROR(IF(OR(NOT(ISNUMBER(F49)),F49&lt;&gt;INT(F49)),"CHECK date",IF(AND(ISNUMBER($B$8),OR(F49&lt;$B$7,F49&gt;$B$8)),"CHECK outside leave year",IF(COUNTIF($F$18:$F$67,F49)&gt;1,"CHECK duplicate date",IF(LEN(TRIM(G49))=0,"CHECK description","OK")))),"CHECK date / description"))</ns0:f>
        <ns0:v/>
      </ns0:c>
      <ns0:c r="J49" s="4"/>
    </ns0:row>
    <ns0:row r="50" ht="22" customHeight="1">
      <ns0:c r="A50" s="4"/>
      <ns0:c r="B50" s="4"/>
      <ns0:c r="C50" s="4"/>
      <ns0:c r="D50" s="4"/>
      <ns0:c r="E50" s="4"/>
      <ns0:c r="F50" s="201"/>
      <ns0:c r="G50" s="200"/>
      <ns0:c r="H50" s="200"/>
      <ns0:c r="I50" s="4" t="str">
        <ns0:f>IF(COUNTA(F50,G50)=0,"",IFERROR(IF(OR(NOT(ISNUMBER(F50)),F50&lt;&gt;INT(F50)),"CHECK date",IF(AND(ISNUMBER($B$8),OR(F50&lt;$B$7,F50&gt;$B$8)),"CHECK outside leave year",IF(COUNTIF($F$18:$F$67,F50)&gt;1,"CHECK duplicate date",IF(LEN(TRIM(G50))=0,"CHECK description","OK")))),"CHECK date / description"))</ns0:f>
        <ns0:v/>
      </ns0:c>
      <ns0:c r="J50" s="4"/>
    </ns0:row>
    <ns0:row r="51" ht="22" customHeight="1">
      <ns0:c r="A51" s="31" t="str">
        <ns0:v>Filter using the existing column arrows. Formula cells are intended to be protected against accidental edits. Protection is not a privacy or access-control system.</ns0:v>
      </ns0:c>
      <ns0:c r="B51" s="31"/>
      <ns0:c r="C51" s="31"/>
      <ns0:c r="D51" s="31"/>
      <ns0:c r="E51" s="4"/>
      <ns0:c r="F51" s="201"/>
      <ns0:c r="G51" s="200"/>
      <ns0:c r="H51" s="200"/>
      <ns0:c r="I51" s="4" t="str">
        <ns0:f>IF(COUNTA(F51,G51)=0,"",IFERROR(IF(OR(NOT(ISNUMBER(F51)),F51&lt;&gt;INT(F51)),"CHECK date",IF(AND(ISNUMBER($B$8),OR(F51&lt;$B$7,F51&gt;$B$8)),"CHECK outside leave year",IF(COUNTIF($F$18:$F$67,F51)&gt;1,"CHECK duplicate date",IF(LEN(TRIM(G51))=0,"CHECK description","OK")))),"CHECK date / description"))</ns0:f>
        <ns0:v/>
      </ns0:c>
      <ns0:c r="J51" s="4"/>
    </ns0:row>
    <ns0:row r="52" ht="22" customHeight="1">
      <ns0:c r="A52" s="31"/>
      <ns0:c r="B52" s="31"/>
      <ns0:c r="C52" s="31"/>
      <ns0:c r="D52" s="31"/>
      <ns0:c r="E52" s="4"/>
      <ns0:c r="F52" s="201"/>
      <ns0:c r="G52" s="200"/>
      <ns0:c r="H52" s="200"/>
      <ns0:c r="I52" s="4" t="str">
        <ns0:f>IF(COUNTA(F52,G52)=0,"",IFERROR(IF(OR(NOT(ISNUMBER(F52)),F52&lt;&gt;INT(F52)),"CHECK date",IF(AND(ISNUMBER($B$8),OR(F52&lt;$B$7,F52&gt;$B$8)),"CHECK outside leave year",IF(COUNTIF($F$18:$F$67,F52)&gt;1,"CHECK duplicate date",IF(LEN(TRIM(G52))=0,"CHECK description","OK")))),"CHECK date / description"))</ns0:f>
        <ns0:v/>
      </ns0:c>
      <ns0:c r="J52" s="4"/>
    </ns0:row>
    <ns0:row r="53" ht="22" customHeight="1">
      <ns0:c r="A53" s="31"/>
      <ns0:c r="B53" s="31"/>
      <ns0:c r="C53" s="31"/>
      <ns0:c r="D53" s="31"/>
      <ns0:c r="E53" s="4"/>
      <ns0:c r="F53" s="201"/>
      <ns0:c r="G53" s="200"/>
      <ns0:c r="H53" s="200"/>
      <ns0:c r="I53" s="4" t="str">
        <ns0:f>IF(COUNTA(F53,G53)=0,"",IFERROR(IF(OR(NOT(ISNUMBER(F53)),F53&lt;&gt;INT(F53)),"CHECK date",IF(AND(ISNUMBER($B$8),OR(F53&lt;$B$7,F53&gt;$B$8)),"CHECK outside leave year",IF(COUNTIF($F$18:$F$67,F53)&gt;1,"CHECK duplicate date",IF(LEN(TRIM(G53))=0,"CHECK description","OK")))),"CHECK date / description"))</ns0:f>
        <ns0:v/>
      </ns0:c>
      <ns0:c r="J53" s="4"/>
    </ns0:row>
    <ns0:row r="54" ht="22" customHeight="1">
      <ns0:c r="A54" s="31"/>
      <ns0:c r="B54" s="31"/>
      <ns0:c r="C54" s="31"/>
      <ns0:c r="D54" s="31"/>
      <ns0:c r="E54" s="4"/>
      <ns0:c r="F54" s="201"/>
      <ns0:c r="G54" s="200"/>
      <ns0:c r="H54" s="200"/>
      <ns0:c r="I54" s="4" t="str">
        <ns0:f>IF(COUNTA(F54,G54)=0,"",IFERROR(IF(OR(NOT(ISNUMBER(F54)),F54&lt;&gt;INT(F54)),"CHECK date",IF(AND(ISNUMBER($B$8),OR(F54&lt;$B$7,F54&gt;$B$8)),"CHECK outside leave year",IF(COUNTIF($F$18:$F$67,F54)&gt;1,"CHECK duplicate date",IF(LEN(TRIM(G54))=0,"CHECK description","OK")))),"CHECK date / description"))</ns0:f>
        <ns0:v/>
      </ns0:c>
      <ns0:c r="J54" s="4"/>
    </ns0:row>
    <ns0:row r="55" ht="22" customHeight="1">
      <ns0:c r="A55" s="4"/>
      <ns0:c r="B55" s="4"/>
      <ns0:c r="C55" s="4"/>
      <ns0:c r="D55" s="4"/>
      <ns0:c r="E55" s="4"/>
      <ns0:c r="F55" s="201"/>
      <ns0:c r="G55" s="200"/>
      <ns0:c r="H55" s="200"/>
      <ns0:c r="I55" s="4" t="str">
        <ns0:f>IF(COUNTA(F55,G55)=0,"",IFERROR(IF(OR(NOT(ISNUMBER(F55)),F55&lt;&gt;INT(F55)),"CHECK date",IF(AND(ISNUMBER($B$8),OR(F55&lt;$B$7,F55&gt;$B$8)),"CHECK outside leave year",IF(COUNTIF($F$18:$F$67,F55)&gt;1,"CHECK duplicate date",IF(LEN(TRIM(G55))=0,"CHECK description","OK")))),"CHECK date / description"))</ns0:f>
        <ns0:v/>
      </ns0:c>
      <ns0:c r="J55" s="4"/>
    </ns0:row>
    <ns0:row r="56" ht="22" customHeight="1">
      <ns0:c r="A56" s="4"/>
      <ns0:c r="B56" s="4"/>
      <ns0:c r="C56" s="4"/>
      <ns0:c r="D56" s="4"/>
      <ns0:c r="E56" s="4"/>
      <ns0:c r="F56" s="201"/>
      <ns0:c r="G56" s="200"/>
      <ns0:c r="H56" s="200"/>
      <ns0:c r="I56" s="4" t="str">
        <ns0:f>IF(COUNTA(F56,G56)=0,"",IFERROR(IF(OR(NOT(ISNUMBER(F56)),F56&lt;&gt;INT(F56)),"CHECK date",IF(AND(ISNUMBER($B$8),OR(F56&lt;$B$7,F56&gt;$B$8)),"CHECK outside leave year",IF(COUNTIF($F$18:$F$67,F56)&gt;1,"CHECK duplicate date",IF(LEN(TRIM(G56))=0,"CHECK description","OK")))),"CHECK date / description"))</ns0:f>
        <ns0:v/>
      </ns0:c>
      <ns0:c r="J56" s="4"/>
    </ns0:row>
    <ns0:row r="57" ht="22" customHeight="1">
      <ns0:c r="A57" s="4"/>
      <ns0:c r="B57" s="4"/>
      <ns0:c r="C57" s="4"/>
      <ns0:c r="D57" s="4"/>
      <ns0:c r="E57" s="4"/>
      <ns0:c r="F57" s="201"/>
      <ns0:c r="G57" s="200"/>
      <ns0:c r="H57" s="200"/>
      <ns0:c r="I57" s="4" t="str">
        <ns0:f>IF(COUNTA(F57,G57)=0,"",IFERROR(IF(OR(NOT(ISNUMBER(F57)),F57&lt;&gt;INT(F57)),"CHECK date",IF(AND(ISNUMBER($B$8),OR(F57&lt;$B$7,F57&gt;$B$8)),"CHECK outside leave year",IF(COUNTIF($F$18:$F$67,F57)&gt;1,"CHECK duplicate date",IF(LEN(TRIM(G57))=0,"CHECK description","OK")))),"CHECK date / description"))</ns0:f>
        <ns0:v/>
      </ns0:c>
      <ns0:c r="J57" s="4"/>
    </ns0:row>
    <ns0:row r="58" ht="22" customHeight="1">
      <ns0:c r="A58" s="4"/>
      <ns0:c r="B58" s="4"/>
      <ns0:c r="C58" s="4"/>
      <ns0:c r="D58" s="4"/>
      <ns0:c r="E58" s="4"/>
      <ns0:c r="F58" s="201"/>
      <ns0:c r="G58" s="200"/>
      <ns0:c r="H58" s="200"/>
      <ns0:c r="I58" s="4" t="str">
        <ns0:f>IF(COUNTA(F58,G58)=0,"",IFERROR(IF(OR(NOT(ISNUMBER(F58)),F58&lt;&gt;INT(F58)),"CHECK date",IF(AND(ISNUMBER($B$8),OR(F58&lt;$B$7,F58&gt;$B$8)),"CHECK outside leave year",IF(COUNTIF($F$18:$F$67,F58)&gt;1,"CHECK duplicate date",IF(LEN(TRIM(G58))=0,"CHECK description","OK")))),"CHECK date / description"))</ns0:f>
        <ns0:v/>
      </ns0:c>
      <ns0:c r="J58" s="4"/>
    </ns0:row>
    <ns0:row r="59" ht="22" customHeight="1">
      <ns0:c r="A59" s="4"/>
      <ns0:c r="B59" s="4"/>
      <ns0:c r="C59" s="4"/>
      <ns0:c r="D59" s="4"/>
      <ns0:c r="E59" s="4"/>
      <ns0:c r="F59" s="201"/>
      <ns0:c r="G59" s="200"/>
      <ns0:c r="H59" s="200"/>
      <ns0:c r="I59" s="4" t="str">
        <ns0:f>IF(COUNTA(F59,G59)=0,"",IFERROR(IF(OR(NOT(ISNUMBER(F59)),F59&lt;&gt;INT(F59)),"CHECK date",IF(AND(ISNUMBER($B$8),OR(F59&lt;$B$7,F59&gt;$B$8)),"CHECK outside leave year",IF(COUNTIF($F$18:$F$67,F59)&gt;1,"CHECK duplicate date",IF(LEN(TRIM(G59))=0,"CHECK description","OK")))),"CHECK date / description"))</ns0:f>
        <ns0:v/>
      </ns0:c>
      <ns0:c r="J59" s="4"/>
    </ns0:row>
    <ns0:row r="60" ht="22" customHeight="1">
      <ns0:c r="A60" s="4"/>
      <ns0:c r="B60" s="4"/>
      <ns0:c r="C60" s="4"/>
      <ns0:c r="D60" s="4"/>
      <ns0:c r="E60" s="4"/>
      <ns0:c r="F60" s="201"/>
      <ns0:c r="G60" s="200"/>
      <ns0:c r="H60" s="200"/>
      <ns0:c r="I60" s="4" t="str">
        <ns0:f>IF(COUNTA(F60,G60)=0,"",IFERROR(IF(OR(NOT(ISNUMBER(F60)),F60&lt;&gt;INT(F60)),"CHECK date",IF(AND(ISNUMBER($B$8),OR(F60&lt;$B$7,F60&gt;$B$8)),"CHECK outside leave year",IF(COUNTIF($F$18:$F$67,F60)&gt;1,"CHECK duplicate date",IF(LEN(TRIM(G60))=0,"CHECK description","OK")))),"CHECK date / description"))</ns0:f>
        <ns0:v/>
      </ns0:c>
      <ns0:c r="J60" s="4"/>
    </ns0:row>
    <ns0:row r="61" ht="22" customHeight="1">
      <ns0:c r="A61" s="4"/>
      <ns0:c r="B61" s="4"/>
      <ns0:c r="C61" s="4"/>
      <ns0:c r="D61" s="4"/>
      <ns0:c r="E61" s="4"/>
      <ns0:c r="F61" s="201"/>
      <ns0:c r="G61" s="200"/>
      <ns0:c r="H61" s="200"/>
      <ns0:c r="I61" s="4" t="str">
        <ns0:f>IF(COUNTA(F61,G61)=0,"",IFERROR(IF(OR(NOT(ISNUMBER(F61)),F61&lt;&gt;INT(F61)),"CHECK date",IF(AND(ISNUMBER($B$8),OR(F61&lt;$B$7,F61&gt;$B$8)),"CHECK outside leave year",IF(COUNTIF($F$18:$F$67,F61)&gt;1,"CHECK duplicate date",IF(LEN(TRIM(G61))=0,"CHECK description","OK")))),"CHECK date / description"))</ns0:f>
        <ns0:v/>
      </ns0:c>
      <ns0:c r="J61" s="4"/>
    </ns0:row>
    <ns0:row r="62" ht="22" customHeight="1">
      <ns0:c r="A62" s="4"/>
      <ns0:c r="B62" s="4"/>
      <ns0:c r="C62" s="4"/>
      <ns0:c r="D62" s="4"/>
      <ns0:c r="E62" s="4"/>
      <ns0:c r="F62" s="201"/>
      <ns0:c r="G62" s="200"/>
      <ns0:c r="H62" s="200"/>
      <ns0:c r="I62" s="4" t="str">
        <ns0:f>IF(COUNTA(F62,G62)=0,"",IFERROR(IF(OR(NOT(ISNUMBER(F62)),F62&lt;&gt;INT(F62)),"CHECK date",IF(AND(ISNUMBER($B$8),OR(F62&lt;$B$7,F62&gt;$B$8)),"CHECK outside leave year",IF(COUNTIF($F$18:$F$67,F62)&gt;1,"CHECK duplicate date",IF(LEN(TRIM(G62))=0,"CHECK description","OK")))),"CHECK date / description"))</ns0:f>
        <ns0:v/>
      </ns0:c>
      <ns0:c r="J62" s="4"/>
    </ns0:row>
    <ns0:row r="63" ht="22" customHeight="1">
      <ns0:c r="A63" s="4"/>
      <ns0:c r="B63" s="4"/>
      <ns0:c r="C63" s="4"/>
      <ns0:c r="D63" s="4"/>
      <ns0:c r="E63" s="4"/>
      <ns0:c r="F63" s="201"/>
      <ns0:c r="G63" s="200"/>
      <ns0:c r="H63" s="200"/>
      <ns0:c r="I63" s="4" t="str">
        <ns0:f>IF(COUNTA(F63,G63)=0,"",IFERROR(IF(OR(NOT(ISNUMBER(F63)),F63&lt;&gt;INT(F63)),"CHECK date",IF(AND(ISNUMBER($B$8),OR(F63&lt;$B$7,F63&gt;$B$8)),"CHECK outside leave year",IF(COUNTIF($F$18:$F$67,F63)&gt;1,"CHECK duplicate date",IF(LEN(TRIM(G63))=0,"CHECK description","OK")))),"CHECK date / description"))</ns0:f>
        <ns0:v/>
      </ns0:c>
      <ns0:c r="J63" s="4"/>
    </ns0:row>
    <ns0:row r="64" ht="22" customHeight="1">
      <ns0:c r="A64" s="4"/>
      <ns0:c r="B64" s="4"/>
      <ns0:c r="C64" s="4"/>
      <ns0:c r="D64" s="4"/>
      <ns0:c r="E64" s="4"/>
      <ns0:c r="F64" s="201"/>
      <ns0:c r="G64" s="200"/>
      <ns0:c r="H64" s="200"/>
      <ns0:c r="I64" s="4" t="str">
        <ns0:f>IF(COUNTA(F64,G64)=0,"",IFERROR(IF(OR(NOT(ISNUMBER(F64)),F64&lt;&gt;INT(F64)),"CHECK date",IF(AND(ISNUMBER($B$8),OR(F64&lt;$B$7,F64&gt;$B$8)),"CHECK outside leave year",IF(COUNTIF($F$18:$F$67,F64)&gt;1,"CHECK duplicate date",IF(LEN(TRIM(G64))=0,"CHECK description","OK")))),"CHECK date / description"))</ns0:f>
        <ns0:v/>
      </ns0:c>
      <ns0:c r="J64" s="4"/>
    </ns0:row>
    <ns0:row r="65" ht="22" customHeight="1">
      <ns0:c r="A65" s="4"/>
      <ns0:c r="B65" s="4"/>
      <ns0:c r="C65" s="4"/>
      <ns0:c r="D65" s="4"/>
      <ns0:c r="E65" s="4"/>
      <ns0:c r="F65" s="201"/>
      <ns0:c r="G65" s="200"/>
      <ns0:c r="H65" s="200"/>
      <ns0:c r="I65" s="4" t="str">
        <ns0:f>IF(COUNTA(F65,G65)=0,"",IFERROR(IF(OR(NOT(ISNUMBER(F65)),F65&lt;&gt;INT(F65)),"CHECK date",IF(AND(ISNUMBER($B$8),OR(F65&lt;$B$7,F65&gt;$B$8)),"CHECK outside leave year",IF(COUNTIF($F$18:$F$67,F65)&gt;1,"CHECK duplicate date",IF(LEN(TRIM(G65))=0,"CHECK description","OK")))),"CHECK date / description"))</ns0:f>
        <ns0:v/>
      </ns0:c>
      <ns0:c r="J65" s="4"/>
    </ns0:row>
    <ns0:row r="66" ht="22" customHeight="1">
      <ns0:c r="A66" s="4"/>
      <ns0:c r="B66" s="4"/>
      <ns0:c r="C66" s="4"/>
      <ns0:c r="D66" s="4"/>
      <ns0:c r="E66" s="4"/>
      <ns0:c r="F66" s="201"/>
      <ns0:c r="G66" s="200"/>
      <ns0:c r="H66" s="200"/>
      <ns0:c r="I66" s="4" t="str">
        <ns0:f>IF(COUNTA(F66,G66)=0,"",IFERROR(IF(OR(NOT(ISNUMBER(F66)),F66&lt;&gt;INT(F66)),"CHECK date",IF(AND(ISNUMBER($B$8),OR(F66&lt;$B$7,F66&gt;$B$8)),"CHECK outside leave year",IF(COUNTIF($F$18:$F$67,F66)&gt;1,"CHECK duplicate date",IF(LEN(TRIM(G66))=0,"CHECK description","OK")))),"CHECK date / description"))</ns0:f>
        <ns0:v/>
      </ns0:c>
      <ns0:c r="J66" s="4"/>
    </ns0:row>
    <ns0:row r="67" ht="22" customHeight="1">
      <ns0:c r="A67" s="4"/>
      <ns0:c r="B67" s="4"/>
      <ns0:c r="C67" s="4"/>
      <ns0:c r="D67" s="4"/>
      <ns0:c r="E67" s="4"/>
      <ns0:c r="F67" s="201"/>
      <ns0:c r="G67" s="200"/>
      <ns0:c r="H67" s="200"/>
      <ns0:c r="I67" s="4" t="str">
        <ns0:f>IF(COUNTA(F67,G67)=0,"",IFERROR(IF(OR(NOT(ISNUMBER(F67)),F67&lt;&gt;INT(F67)),"CHECK date",IF(AND(ISNUMBER($B$8),OR(F67&lt;$B$7,F67&gt;$B$8)),"CHECK outside leave year",IF(COUNTIF($F$18:$F$67,F67)&gt;1,"CHECK duplicate date",IF(LEN(TRIM(G67))=0,"CHECK description","OK")))),"CHECK date / description"))</ns0:f>
        <ns0:v/>
      </ns0:c>
      <ns0:c r="J67" s="4"/>
    </ns0:row>
    <ns0:row r="68" ht="22" customHeight="1">
      <ns0:c r="A68" s="4"/>
      <ns0:c r="B68" s="4"/>
      <ns0:c r="C68" s="4"/>
      <ns0:c r="D68" s="4"/>
      <ns0:c r="E68" s="4"/>
      <ns0:c r="F68" s="4"/>
      <ns0:c r="G68" s="4"/>
      <ns0:c r="H68" s="4"/>
      <ns0:c r="I68" s="4"/>
      <ns0:c r="J68" s="4"/>
    </ns0:row>
    <ns0:row r="69" ht="22" customHeight="1">
      <ns0:c r="A69" s="4"/>
      <ns0:c r="B69" s="4"/>
      <ns0:c r="C69" s="4"/>
      <ns0:c r="D69" s="4"/>
      <ns0:c r="E69" s="4"/>
      <ns0:c r="F69" s="4"/>
      <ns0:c r="G69" s="4"/>
      <ns0:c r="H69" s="4"/>
      <ns0:c r="I69" s="4"/>
      <ns0:c r="J69" s="4"/>
    </ns0:row>
    <ns0:row r="70" ht="22" customHeight="1">
      <ns0:c r="A70" s="4"/>
      <ns0:c r="B70" s="4"/>
      <ns0:c r="C70" s="4"/>
      <ns0:c r="D70" s="4"/>
      <ns0:c r="E70" s="4"/>
      <ns0:c r="F70" s="4"/>
      <ns0:c r="G70" s="4"/>
      <ns0:c r="H70" s="4"/>
      <ns0:c r="I70" s="4"/>
      <ns0:c r="J70" s="4"/>
    </ns0:row>
    <ns0:row r="71" ht="22" customHeight="1">
      <ns0:c r="A71" s="4"/>
      <ns0:c r="B71" s="4"/>
      <ns0:c r="C71" s="4"/>
      <ns0:c r="D71" s="4"/>
      <ns0:c r="E71" s="4"/>
      <ns0:c r="F71" s="4"/>
      <ns0:c r="G71" s="4"/>
      <ns0:c r="H71" s="4"/>
      <ns0:c r="I71" s="4"/>
      <ns0:c r="J71" s="4"/>
    </ns0:row>
    <ns0:row r="72" ht="22" customHeight="1">
      <ns0:c r="A72" s="4"/>
      <ns0:c r="B72" s="4"/>
      <ns0:c r="C72" s="4"/>
      <ns0:c r="D72" s="4"/>
      <ns0:c r="E72" s="4"/>
      <ns0:c r="F72" s="4"/>
      <ns0:c r="G72" s="4"/>
      <ns0:c r="H72" s="4"/>
      <ns0:c r="I72" s="4"/>
      <ns0:c r="J72" s="4"/>
    </ns0:row>
    <ns0:row r="73" ht="22" customHeight="1">
      <ns0:c r="A73" s="4"/>
      <ns0:c r="B73" s="4"/>
      <ns0:c r="C73" s="4"/>
      <ns0:c r="D73" s="4"/>
      <ns0:c r="E73" s="4"/>
      <ns0:c r="F73" s="4"/>
      <ns0:c r="G73" s="4"/>
      <ns0:c r="H73" s="4"/>
      <ns0:c r="I73" s="4"/>
      <ns0:c r="J73" s="4"/>
    </ns0:row>
    <ns0:row r="74" ht="22" customHeight="1">
      <ns0:c r="A74" s="4"/>
      <ns0:c r="B74" s="4"/>
      <ns0:c r="C74" s="4"/>
      <ns0:c r="D74" s="4"/>
      <ns0:c r="E74" s="4"/>
      <ns0:c r="F74" s="4"/>
      <ns0:c r="G74" s="4"/>
      <ns0:c r="H74" s="4"/>
      <ns0:c r="I74" s="4"/>
      <ns0:c r="J74" s="4"/>
    </ns0:row>
    <ns0:row r="75" ht="22" customHeight="1">
      <ns0:c r="A75" s="4"/>
      <ns0:c r="B75" s="4"/>
      <ns0:c r="C75" s="4"/>
      <ns0:c r="D75" s="4"/>
      <ns0:c r="E75" s="4"/>
      <ns0:c r="F75" s="4"/>
      <ns0:c r="G75" s="4"/>
      <ns0:c r="H75" s="4"/>
      <ns0:c r="I75" s="4"/>
      <ns0:c r="J75" s="4"/>
    </ns0:row>
    <ns0:row r="76" ht="22" customHeight="1">
      <ns0:c r="A76" s="4"/>
      <ns0:c r="B76" s="4"/>
      <ns0:c r="C76" s="4"/>
      <ns0:c r="D76" s="4"/>
      <ns0:c r="E76" s="4"/>
      <ns0:c r="F76" s="4"/>
      <ns0:c r="G76" s="4"/>
      <ns0:c r="H76" s="4"/>
      <ns0:c r="I76" s="4"/>
      <ns0:c r="J76" s="4"/>
    </ns0:row>
    <ns0:row r="77" ht="22" customHeight="1">
      <ns0:c r="A77" s="4"/>
      <ns0:c r="B77" s="4"/>
      <ns0:c r="C77" s="4"/>
      <ns0:c r="D77" s="4"/>
      <ns0:c r="E77" s="4"/>
      <ns0:c r="F77" s="4"/>
      <ns0:c r="G77" s="4"/>
      <ns0:c r="H77" s="4"/>
      <ns0:c r="I77" s="4"/>
      <ns0:c r="J77" s="4"/>
    </ns0:row>
    <ns0:row r="78" ht="22" customHeight="1">
      <ns0:c r="A78" s="4"/>
      <ns0:c r="B78" s="4"/>
      <ns0:c r="C78" s="4"/>
      <ns0:c r="D78" s="4"/>
      <ns0:c r="E78" s="4"/>
      <ns0:c r="F78" s="4"/>
      <ns0:c r="G78" s="4"/>
      <ns0:c r="H78" s="4"/>
      <ns0:c r="I78" s="4"/>
      <ns0:c r="J78" s="4"/>
    </ns0:row>
    <ns0:row r="79" ht="22" customHeight="1">
      <ns0:c r="A79" s="4"/>
      <ns0:c r="B79" s="4"/>
      <ns0:c r="C79" s="4"/>
      <ns0:c r="D79" s="4"/>
      <ns0:c r="E79" s="4"/>
      <ns0:c r="F79" s="4"/>
      <ns0:c r="G79" s="4"/>
      <ns0:c r="H79" s="4"/>
      <ns0:c r="I79" s="4"/>
      <ns0:c r="J79" s="4"/>
    </ns0:row>
    <ns0:row r="80" ht="22" customHeight="1">
      <ns0:c r="A80" s="4"/>
      <ns0:c r="B80" s="4"/>
      <ns0:c r="C80" s="4"/>
      <ns0:c r="D80" s="4"/>
      <ns0:c r="E80" s="4"/>
      <ns0:c r="F80" s="4"/>
      <ns0:c r="G80" s="4"/>
      <ns0:c r="H80" s="4"/>
      <ns0:c r="I80" s="4"/>
      <ns0:c r="J80" s="4"/>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A6:D6"/>
    <ns0:mergeCell ref="F13:I15"/>
    <ns0:mergeCell ref="G17:H17"/>
    <ns0:mergeCell ref="G18:H18"/>
    <ns0:mergeCell ref="G19:H19"/>
    <ns0:mergeCell ref="G20:H20"/>
    <ns0:mergeCell ref="G21:H21"/>
    <ns0:mergeCell ref="G22:H22"/>
    <ns0:mergeCell ref="G23:H23"/>
    <ns0:mergeCell ref="G24:H24"/>
    <ns0:mergeCell ref="G25:H25"/>
    <ns0:mergeCell ref="G26:H26"/>
    <ns0:mergeCell ref="G27:H27"/>
    <ns0:mergeCell ref="G28:H28"/>
    <ns0:mergeCell ref="G29:H29"/>
    <ns0:mergeCell ref="G30:H30"/>
    <ns0:mergeCell ref="G31:H31"/>
    <ns0:mergeCell ref="G32:H32"/>
    <ns0:mergeCell ref="G33:H33"/>
    <ns0:mergeCell ref="G34:H34"/>
    <ns0:mergeCell ref="G35:H35"/>
    <ns0:mergeCell ref="G36:H36"/>
    <ns0:mergeCell ref="G37:H37"/>
    <ns0:mergeCell ref="G38:H38"/>
    <ns0:mergeCell ref="G39:H39"/>
    <ns0:mergeCell ref="G40:H40"/>
    <ns0:mergeCell ref="G41:H41"/>
    <ns0:mergeCell ref="G42:H42"/>
    <ns0:mergeCell ref="G43:H43"/>
    <ns0:mergeCell ref="G44:H44"/>
    <ns0:mergeCell ref="G45:H45"/>
    <ns0:mergeCell ref="G46:H46"/>
    <ns0:mergeCell ref="G47:H47"/>
    <ns0:mergeCell ref="G48:H48"/>
    <ns0:mergeCell ref="G49:H49"/>
    <ns0:mergeCell ref="G50:H50"/>
    <ns0:mergeCell ref="G51:H51"/>
    <ns0:mergeCell ref="G52:H52"/>
    <ns0:mergeCell ref="G53:H53"/>
    <ns0:mergeCell ref="G54:H54"/>
    <ns0:mergeCell ref="G55:H55"/>
    <ns0:mergeCell ref="G56:H56"/>
    <ns0:mergeCell ref="G57:H57"/>
    <ns0:mergeCell ref="G58:H58"/>
    <ns0:mergeCell ref="G59:H59"/>
    <ns0:mergeCell ref="G60:H60"/>
    <ns0:mergeCell ref="G61:H61"/>
    <ns0:mergeCell ref="G62:H62"/>
    <ns0:mergeCell ref="G63:H63"/>
    <ns0:mergeCell ref="G64:H64"/>
    <ns0:mergeCell ref="G65:H65"/>
    <ns0:mergeCell ref="G66:H66"/>
    <ns0:mergeCell ref="G67:H67"/>
    <ns0:mergeCell ref="A19:D22"/>
    <ns0:mergeCell ref="A24:D28"/>
    <ns0:mergeCell ref="A30:D33"/>
    <ns0:mergeCell ref="A35:D39"/>
    <ns0:mergeCell ref="A41:D44"/>
    <ns0:mergeCell ref="A46:D49"/>
    <ns0:mergeCell ref="A51:D54"/>
  </ns0:mergeCells>
  <ns0:dataValidations count="1">
    <ns0:dataValidation type="list" sqref="H7:H11" showErrorMessage="1" errorStyle="stop" allowBlank="1" errorTitle="Check this entry" error="Choose a supported value. Pasted entries are also checked in the Review column.">
      <ns0:formula1>"Yes,No"</ns0:formula1>
    </ns0:dataValidation>
  </ns0:dataValidations>
  <ns0:pageMargins left="0.7" right="0.7" top="0.75" bottom="0.75" header="0.3" footer="0.3"/>
</ns0:worksheet>
</file>

<file path=xl/worksheets/sheet6.xml><?xml version="1.0" encoding="utf-8"?>
<ns0:worksheet xmlns:ns0="http://schemas.openxmlformats.org/spreadsheetml/2006/main">
  <ns0:sheetViews>
    <ns0:sheetView workbookViewId="0" showGridLines="0" zoomScale="85">
      <ns0:pane ySplit="4" topLeftCell="A5" activePane="bottomLeft" state="frozen"/>
      <ns0:selection pane="bottomLeft" activeCell="A5" sqref="A5"/>
    </ns0:sheetView>
  </ns0:sheetViews>
  <ns0:sheetFormatPr defaultRowHeight="15"/>
  <ns0:cols>
    <ns0:col min="1" max="1" width="15" hidden="0" customWidth="1"/>
    <ns0:col min="2" max="2" width="15" hidden="0" customWidth="1"/>
    <ns0:col min="3" max="3" width="15" hidden="0" customWidth="1"/>
    <ns0:col min="4" max="4" width="15" hidden="0" customWidth="1"/>
    <ns0:col min="5" max="5" width="15" hidden="0" customWidth="1"/>
    <ns0:col min="6" max="6" width="15" hidden="0" customWidth="1"/>
    <ns0:col min="7" max="7" width="15" hidden="0" customWidth="1"/>
    <ns0:col min="8" max="8" width="15" hidden="0" customWidth="1"/>
    <ns0:col min="9" max="9" width="15" hidden="0" customWidth="1"/>
    <ns0:col min="10" max="10" width="15" hidden="0" customWidth="1"/>
  </ns0:cols>
  <ns0:sheetData>
    <ns0:row r="1" ht="26" customHeight="1">
      <ns0:c r="A1" s="116" t="str">
        <ns0:v>TimeOff.Management  /  Your holiday tracker</ns0:v>
      </ns0:c>
      <ns0:c r="B1" s="116"/>
      <ns0:c r="C1" s="116"/>
      <ns0:c r="D1" s="116"/>
      <ns0:c r="E1" s="116"/>
      <ns0:c r="F1" s="116"/>
      <ns0:c r="G1" s="116"/>
      <ns0:c r="H1" s="116"/>
      <ns0:c r="I1" s="116"/>
      <ns0:c r="J1" s="7"/>
    </ns0:row>
    <ns0:row r="2" ht="26" customHeight="1">
      <ns0:c r="A2" s="116"/>
      <ns0:c r="B2" s="116"/>
      <ns0:c r="C2" s="116"/>
      <ns0:c r="D2" s="116"/>
      <ns0:c r="E2" s="116"/>
      <ns0:c r="F2" s="116"/>
      <ns0:c r="G2" s="116"/>
      <ns0:c r="H2" s="116"/>
      <ns0:c r="I2" s="116"/>
      <ns0:c r="J2" s="7"/>
    </ns0:row>
    <ns0:row r="3" ht="22" customHeight="1">
      <ns0:c r="A3" s="4"/>
      <ns0:c r="B3" s="4"/>
      <ns0:c r="C3" s="4"/>
      <ns0:c r="D3" s="4"/>
      <ns0:c r="E3" s="4"/>
      <ns0:c r="F3" s="4"/>
      <ns0:c r="G3" s="4"/>
      <ns0:c r="H3" s="4"/>
      <ns0:c r="I3" s="4"/>
      <ns0:c r="J3" s="4"/>
    </ns0:row>
    <ns0:row r="4" ht="28" customHeight="1">
      <ns0:c r="A4" s="12" t="str">
        <ns0:f>HYPERLINK("#'Calendar'!A1","Calendar")</ns0:f>
        <ns0:v>Calendar</ns0:v>
      </ns0:c>
      <ns0:c r="B4" s="12"/>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row>
    <ns0:row r="5" ht="22" customHeight="1">
      <ns0:c r="A5" s="4"/>
      <ns0:c r="B5" s="4"/>
      <ns0:c r="C5" s="4"/>
      <ns0:c r="D5" s="4"/>
      <ns0:c r="E5" s="4"/>
      <ns0:c r="F5" s="4"/>
      <ns0:c r="G5" s="4"/>
      <ns0:c r="H5" s="4"/>
      <ns0:c r="I5" s="4"/>
      <ns0:c r="J5" s="4"/>
    </ns0:row>
    <ns0:row r="6" ht="22" customHeight="1">
      <ns0:c r="A6" s="40" t="inlineStr">
        <ns0:is>
          <ns0:t>EXAMPLE EDITION · Six fictional colleagues and 20 bookings, including four partial-range examples. Calendar is the everyday working screen. v3 · flexible booking dates and half-day endpoints.</ns0:t>
        </ns0:is>
      </ns0:c>
      <ns0:c r="B6" s="40"/>
      <ns0:c r="C6" s="40"/>
      <ns0:c r="D6" s="40"/>
      <ns0:c r="E6" s="40"/>
      <ns0:c r="F6" s="40"/>
      <ns0:c r="G6" s="40"/>
      <ns0:c r="H6" s="40"/>
      <ns0:c r="I6" s="40"/>
      <ns0:c r="J6" s="4"/>
    </ns0:row>
    <ns0:row r="7" ht="22" customHeight="1">
      <ns0:c r="A7" s="40"/>
      <ns0:c r="B7" s="40"/>
      <ns0:c r="C7" s="40"/>
      <ns0:c r="D7" s="40"/>
      <ns0:c r="E7" s="40"/>
      <ns0:c r="F7" s="40"/>
      <ns0:c r="G7" s="40"/>
      <ns0:c r="H7" s="40"/>
      <ns0:c r="I7" s="40"/>
      <ns0:c r="J7" s="4"/>
    </ns0:row>
    <ns0:row r="8" ht="22" customHeight="1">
      <ns0:c r="A8" s="4"/>
      <ns0:c r="B8" s="4"/>
      <ns0:c r="C8" s="4"/>
      <ns0:c r="D8" s="4"/>
      <ns0:c r="E8" s="4"/>
      <ns0:c r="F8" s="4"/>
      <ns0:c r="G8" s="4"/>
      <ns0:c r="H8" s="4"/>
      <ns0:c r="I8" s="4"/>
      <ns0:c r="J8" s="4"/>
    </ns0:row>
    <ns0:row r="9" ht="24" customHeight="1">
      <ns0:c r="A9" s="181" t="str">
        <ns0:f>HYPERLINK("#'Settings'!A1","01  Set the leave year")</ns0:f>
        <ns0:v>01  Set the leave year</ns0:v>
      </ns0:c>
      <ns0:c r="B9" s="181"/>
      <ns0:c r="C9" s="181"/>
      <ns0:c r="D9" s="181" t="str">
        <ns0:f>HYPERLINK("#'Team'!A1","02  Add your team")</ns0:f>
        <ns0:v>02  Add your team</ns0:v>
      </ns0:c>
      <ns0:c r="E9" s="181"/>
      <ns0:c r="F9" s="181"/>
      <ns0:c r="G9" s="181" t="str">
        <ns0:f>HYPERLINK("#'Bookings'!A1","03  Record a booking")</ns0:f>
        <ns0:v>03  Record a booking</ns0:v>
      </ns0:c>
      <ns0:c r="H9" s="181"/>
      <ns0:c r="I9" s="181"/>
      <ns0:c r="J9" s="4"/>
    </ns0:row>
    <ns0:row r="10" ht="24" customHeight="1">
      <ns0:c r="A10" s="181"/>
      <ns0:c r="B10" s="181"/>
      <ns0:c r="C10" s="181"/>
      <ns0:c r="D10" s="181"/>
      <ns0:c r="E10" s="181"/>
      <ns0:c r="F10" s="181"/>
      <ns0:c r="G10" s="181"/>
      <ns0:c r="H10" s="181"/>
      <ns0:c r="I10" s="181"/>
      <ns0:c r="J10" s="4"/>
    </ns0:row>
    <ns0:row r="11" ht="22" customHeight="1">
      <ns0:c r="A11" s="4"/>
      <ns0:c r="B11" s="4"/>
      <ns0:c r="C11" s="4"/>
      <ns0:c r="D11" s="4"/>
      <ns0:c r="E11" s="4"/>
      <ns0:c r="F11" s="4"/>
      <ns0:c r="G11" s="4"/>
      <ns0:c r="H11" s="4"/>
      <ns0:c r="I11" s="4"/>
      <ns0:c r="J11" s="4"/>
    </ns0:row>
    <ns0:row r="12" ht="22" customHeight="1">
      <ns0:c r="A12" s="185" t="str">
        <ns0:v>A clear balance</ns0:v>
      </ns0:c>
      <ns0:c r="B12" s="185"/>
      <ns0:c r="C12" s="185"/>
      <ns0:c r="D12" s="185"/>
      <ns0:c r="E12" s="185"/>
      <ns0:c r="F12" s="185"/>
      <ns0:c r="G12" s="185"/>
      <ns0:c r="H12" s="185"/>
      <ns0:c r="I12" s="185"/>
      <ns0:c r="J12" s="4"/>
    </ns0:row>
    <ns0:row r="13" ht="22" customHeight="1">
      <ns0:c r="A13" s="185"/>
      <ns0:c r="B13" s="185"/>
      <ns0:c r="C13" s="185"/>
      <ns0:c r="D13" s="185"/>
      <ns0:c r="E13" s="185"/>
      <ns0:c r="F13" s="185"/>
      <ns0:c r="G13" s="185"/>
      <ns0:c r="H13" s="185"/>
      <ns0:c r="I13" s="185"/>
      <ns0:c r="J13" s="4"/>
    </ns0:row>
    <ns0:row r="14" ht="22" customHeight="1">
      <ns0:c r="A14" s="31" t="str">
        <ns0:v>Remaining to book = bookable allowance + adjustment − taken − booked ahead. Pending is separate. Approved future leave counts straight away; cancelled leave does not deduct.</ns0:v>
      </ns0:c>
      <ns0:c r="B14" s="31"/>
      <ns0:c r="C14" s="31"/>
      <ns0:c r="D14" s="31"/>
      <ns0:c r="E14" s="31"/>
      <ns0:c r="F14" s="31"/>
      <ns0:c r="G14" s="31"/>
      <ns0:c r="H14" s="31"/>
      <ns0:c r="I14" s="31"/>
      <ns0:c r="J14" s="4"/>
    </ns0:row>
    <ns0:row r="15" ht="22" customHeight="1">
      <ns0:c r="A15" s="31"/>
      <ns0:c r="B15" s="31"/>
      <ns0:c r="C15" s="31"/>
      <ns0:c r="D15" s="31"/>
      <ns0:c r="E15" s="31"/>
      <ns0:c r="F15" s="31"/>
      <ns0:c r="G15" s="31"/>
      <ns0:c r="H15" s="31"/>
      <ns0:c r="I15" s="31"/>
      <ns0:c r="J15" s="4"/>
    </ns0:row>
    <ns0:row r="16" ht="22" customHeight="1">
      <ns0:c r="A16" s="31"/>
      <ns0:c r="B16" s="31"/>
      <ns0:c r="C16" s="31"/>
      <ns0:c r="D16" s="31"/>
      <ns0:c r="E16" s="31"/>
      <ns0:c r="F16" s="31"/>
      <ns0:c r="G16" s="31"/>
      <ns0:c r="H16" s="31"/>
      <ns0:c r="I16" s="31"/>
      <ns0:c r="J16" s="4"/>
    </ns0:row>
    <ns0:row r="17" ht="22" customHeight="1">
      <ns0:c r="A17" s="4"/>
      <ns0:c r="B17" s="4"/>
      <ns0:c r="C17" s="4"/>
      <ns0:c r="D17" s="4"/>
      <ns0:c r="E17" s="4"/>
      <ns0:c r="F17" s="4"/>
      <ns0:c r="G17" s="4"/>
      <ns0:c r="H17" s="4"/>
      <ns0:c r="I17" s="4"/>
      <ns0:c r="J17" s="4"/>
    </ns0:row>
    <ns0:row r="18" ht="22" customHeight="1">
      <ns0:c r="A18" s="185" t="str">
        <ns0:v>Bank holidays: enter the right starting allowance</ns0:v>
      </ns0:c>
      <ns0:c r="B18" s="185"/>
      <ns0:c r="C18" s="185"/>
      <ns0:c r="D18" s="185"/>
      <ns0:c r="E18" s="185"/>
      <ns0:c r="F18" s="185"/>
      <ns0:c r="G18" s="185"/>
      <ns0:c r="H18" s="185"/>
      <ns0:c r="I18" s="185"/>
      <ns0:c r="J18" s="4"/>
    </ns0:row>
    <ns0:row r="19" ht="22" customHeight="1">
      <ns0:c r="A19" s="185"/>
      <ns0:c r="B19" s="185"/>
      <ns0:c r="C19" s="185"/>
      <ns0:c r="D19" s="185"/>
      <ns0:c r="E19" s="185"/>
      <ns0:c r="F19" s="185"/>
      <ns0:c r="G19" s="185"/>
      <ns0:c r="H19" s="185"/>
      <ns0:c r="I19" s="185"/>
      <ns0:c r="J19" s="4"/>
    </ns0:row>
    <ns0:row r="20" ht="22" customHeight="1">
      <ns0:c r="A20" s="40" t="str">
        <ns0:v>Enter total agreed entitlement and the fixed days already reserved in Team. Example: 28 agreed days − 8 reserved = 20 bookable days. Use each employee’s own reservation. Listed closure dates are then excluded from bookings; they are not deducted again.</ns0:v>
      </ns0:c>
      <ns0:c r="B20" s="40"/>
      <ns0:c r="C20" s="40"/>
      <ns0:c r="D20" s="40"/>
      <ns0:c r="E20" s="40"/>
      <ns0:c r="F20" s="40"/>
      <ns0:c r="G20" s="40"/>
      <ns0:c r="H20" s="40"/>
      <ns0:c r="I20" s="40"/>
      <ns0:c r="J20" s="4"/>
    </ns0:row>
    <ns0:row r="21" ht="22" customHeight="1">
      <ns0:c r="A21" s="40"/>
      <ns0:c r="B21" s="40"/>
      <ns0:c r="C21" s="40"/>
      <ns0:c r="D21" s="40"/>
      <ns0:c r="E21" s="40"/>
      <ns0:c r="F21" s="40"/>
      <ns0:c r="G21" s="40"/>
      <ns0:c r="H21" s="40"/>
      <ns0:c r="I21" s="40"/>
      <ns0:c r="J21" s="4"/>
    </ns0:row>
    <ns0:row r="22" ht="22" customHeight="1">
      <ns0:c r="A22" s="40"/>
      <ns0:c r="B22" s="40"/>
      <ns0:c r="C22" s="40"/>
      <ns0:c r="D22" s="40"/>
      <ns0:c r="E22" s="40"/>
      <ns0:c r="F22" s="40"/>
      <ns0:c r="G22" s="40"/>
      <ns0:c r="H22" s="40"/>
      <ns0:c r="I22" s="40"/>
      <ns0:c r="J22" s="4"/>
    </ns0:row>
    <ns0:row r="23" ht="22" customHeight="1">
      <ns0:c r="A23" s="40"/>
      <ns0:c r="B23" s="40"/>
      <ns0:c r="C23" s="40"/>
      <ns0:c r="D23" s="40"/>
      <ns0:c r="E23" s="40"/>
      <ns0:c r="F23" s="40"/>
      <ns0:c r="G23" s="40"/>
      <ns0:c r="H23" s="40"/>
      <ns0:c r="I23" s="40"/>
      <ns0:c r="J23" s="4"/>
    </ns0:row>
    <ns0:row r="24" ht="22" customHeight="1">
      <ns0:c r="A24" s="4"/>
      <ns0:c r="B24" s="4"/>
      <ns0:c r="C24" s="4"/>
      <ns0:c r="D24" s="4"/>
      <ns0:c r="E24" s="4"/>
      <ns0:c r="F24" s="4"/>
      <ns0:c r="G24" s="4"/>
      <ns0:c r="H24" s="4"/>
      <ns0:c r="I24" s="4"/>
      <ns0:c r="J24" s="4"/>
    </ns0:row>
    <ns0:row r="25" ht="22" customHeight="1">
      <ns0:c r="A25" s="185" t="str">
        <ns0:v>What the reporting date means</ns0:v>
      </ns0:c>
      <ns0:c r="B25" s="185"/>
      <ns0:c r="C25" s="185"/>
      <ns0:c r="D25" s="185"/>
      <ns0:c r="E25" s="185"/>
      <ns0:c r="F25" s="185"/>
      <ns0:c r="G25" s="185"/>
      <ns0:c r="H25" s="185"/>
      <ns0:c r="I25" s="185"/>
      <ns0:c r="J25" s="4"/>
    </ns0:row>
    <ns0:row r="26" ht="22" customHeight="1">
      <ns0:c r="A26" s="185"/>
      <ns0:c r="B26" s="185"/>
      <ns0:c r="C26" s="185"/>
      <ns0:c r="D26" s="185"/>
      <ns0:c r="E26" s="185"/>
      <ns0:c r="F26" s="185"/>
      <ns0:c r="G26" s="185"/>
      <ns0:c r="H26" s="185"/>
      <ns0:c r="I26" s="185"/>
      <ns0:c r="J26" s="4"/>
    </ns0:row>
    <ns0:row r="27" ht="22" customHeight="1">
      <ns0:c r="A27" s="31" t="str">
        <ns0:v>Taken means approved scheduled days through the end of the reporting date, not confirmed attendance. Booked ahead means approved scheduled days after it. A booking spanning that date is split across the actual working days. Change the date in Settings.</ns0:v>
      </ns0:c>
      <ns0:c r="B27" s="31"/>
      <ns0:c r="C27" s="31"/>
      <ns0:c r="D27" s="31"/>
      <ns0:c r="E27" s="31"/>
      <ns0:c r="F27" s="31"/>
      <ns0:c r="G27" s="31"/>
      <ns0:c r="H27" s="31"/>
      <ns0:c r="I27" s="31"/>
      <ns0:c r="J27" s="4"/>
    </ns0:row>
    <ns0:row r="28" ht="22" customHeight="1">
      <ns0:c r="A28" s="31"/>
      <ns0:c r="B28" s="31"/>
      <ns0:c r="C28" s="31"/>
      <ns0:c r="D28" s="31"/>
      <ns0:c r="E28" s="31"/>
      <ns0:c r="F28" s="31"/>
      <ns0:c r="G28" s="31"/>
      <ns0:c r="H28" s="31"/>
      <ns0:c r="I28" s="31"/>
      <ns0:c r="J28" s="4"/>
    </ns0:row>
    <ns0:row r="29" ht="22" customHeight="1">
      <ns0:c r="A29" s="31"/>
      <ns0:c r="B29" s="31"/>
      <ns0:c r="C29" s="31"/>
      <ns0:c r="D29" s="31"/>
      <ns0:c r="E29" s="31"/>
      <ns0:c r="F29" s="31"/>
      <ns0:c r="G29" s="31"/>
      <ns0:c r="H29" s="31"/>
      <ns0:c r="I29" s="31"/>
      <ns0:c r="J29" s="4"/>
    </ns0:row>
    <ns0:row r="30" ht="22" customHeight="1">
      <ns0:c r="A30" s="31"/>
      <ns0:c r="B30" s="31"/>
      <ns0:c r="C30" s="31"/>
      <ns0:c r="D30" s="31"/>
      <ns0:c r="E30" s="31"/>
      <ns0:c r="F30" s="31"/>
      <ns0:c r="G30" s="31"/>
      <ns0:c r="H30" s="31"/>
      <ns0:c r="I30" s="31"/>
      <ns0:c r="J30" s="4"/>
    </ns0:row>
    <ns0:row r="31" ht="22" customHeight="1">
      <ns0:c r="A31" s="4"/>
      <ns0:c r="B31" s="4"/>
      <ns0:c r="C31" s="4"/>
      <ns0:c r="D31" s="4"/>
      <ns0:c r="E31" s="4"/>
      <ns0:c r="F31" s="4"/>
      <ns0:c r="G31" s="4"/>
      <ns0:c r="H31" s="4"/>
      <ns0:c r="I31" s="4"/>
      <ns0:c r="J31" s="4"/>
    </ns0:row>
    <ns0:row r="32" ht="22" customHeight="1">
      <ns0:c r="A32" s="185" t="inlineStr">
        <ns0:is>
          <ns0:t>Leave types, dates and partial days</ns0:t>
        </ns0:is>
      </ns0:c>
      <ns0:c r="B32" s="185"/>
      <ns0:c r="C32" s="185"/>
      <ns0:c r="D32" s="185"/>
      <ns0:c r="E32" s="185"/>
      <ns0:c r="F32" s="185"/>
      <ns0:c r="G32" s="185"/>
      <ns0:c r="H32" s="185"/>
      <ns0:c r="I32" s="185"/>
      <ns0:c r="J32" s="4"/>
    </ns0:row>
    <ns0:row r="33" ht="22" customHeight="1">
      <ns0:c r="A33" s="185"/>
      <ns0:c r="B33" s="185"/>
      <ns0:c r="C33" s="185"/>
      <ns0:c r="D33" s="185"/>
      <ns0:c r="E33" s="185"/>
      <ns0:c r="F33" s="185"/>
      <ns0:c r="G33" s="185"/>
      <ns0:c r="H33" s="185"/>
      <ns0:c r="I33" s="185"/>
      <ns0:c r="J33" s="4"/>
    </ns0:row>
    <ns0:row r="34" ht="22" customHeight="1">
      <ns0:c r="A34" s="31" t="inlineStr">
        <ns0:is>
          <ns0:t>Choose Full day, AM or PM for the first and last dates. Dates between are full working days. A full Monday plus Tuesday AM is one 1.5-day row. A single AM or PM counts 0.5, not twice; opposite halves on the same date are flagged. Blank portions mean Full day.</ns0:t>
        </ns0:is>
      </ns0:c>
      <ns0:c r="B34" s="31"/>
      <ns0:c r="C34" s="31"/>
      <ns0:c r="D34" s="31"/>
      <ns0:c r="E34" s="31"/>
      <ns0:c r="F34" s="31"/>
      <ns0:c r="G34" s="31"/>
      <ns0:c r="H34" s="31"/>
      <ns0:c r="I34" s="31"/>
      <ns0:c r="J34" s="4"/>
    </ns0:row>
    <ns0:row r="35" ht="22" customHeight="1">
      <ns0:c r="A35" s="31"/>
      <ns0:c r="B35" s="31"/>
      <ns0:c r="C35" s="31"/>
      <ns0:c r="D35" s="31"/>
      <ns0:c r="E35" s="31"/>
      <ns0:c r="F35" s="31"/>
      <ns0:c r="G35" s="31"/>
      <ns0:c r="H35" s="31"/>
      <ns0:c r="I35" s="31"/>
      <ns0:c r="J35" s="4"/>
    </ns0:row>
    <ns0:row r="36" ht="22" customHeight="1">
      <ns0:c r="A36" s="31"/>
      <ns0:c r="B36" s="31"/>
      <ns0:c r="C36" s="31"/>
      <ns0:c r="D36" s="31"/>
      <ns0:c r="E36" s="31"/>
      <ns0:c r="F36" s="31"/>
      <ns0:c r="G36" s="31"/>
      <ns0:c r="H36" s="31"/>
      <ns0:c r="I36" s="31"/>
      <ns0:c r="J36" s="4"/>
    </ns0:row>
    <ns0:row r="37" ht="22" customHeight="1">
      <ns0:c r="A37" s="31"/>
      <ns0:c r="B37" s="31"/>
      <ns0:c r="C37" s="31"/>
      <ns0:c r="D37" s="31"/>
      <ns0:c r="E37" s="31"/>
      <ns0:c r="F37" s="31"/>
      <ns0:c r="G37" s="31"/>
      <ns0:c r="H37" s="31"/>
      <ns0:c r="I37" s="31"/>
      <ns0:c r="J37" s="4"/>
    </ns0:row>
    <ns0:row r="38" ht="22" customHeight="1">
      <ns0:c r="A38" s="4"/>
      <ns0:c r="B38" s="4"/>
      <ns0:c r="C38" s="4"/>
      <ns0:c r="D38" s="4"/>
      <ns0:c r="E38" s="4"/>
      <ns0:c r="F38" s="4"/>
      <ns0:c r="G38" s="4"/>
      <ns0:c r="H38" s="4"/>
      <ns0:c r="I38" s="4"/>
      <ns0:c r="J38" s="4"/>
    </ns0:row>
    <ns0:row r="39" ht="22" customHeight="1">
      <ns0:c r="A39" s="185" t="str">
        <ns0:v>Warnings without blocking the whole team</ns0:v>
      </ns0:c>
      <ns0:c r="B39" s="185"/>
      <ns0:c r="C39" s="185"/>
      <ns0:c r="D39" s="185"/>
      <ns0:c r="E39" s="185"/>
      <ns0:c r="F39" s="185"/>
      <ns0:c r="G39" s="185"/>
      <ns0:c r="H39" s="185"/>
      <ns0:c r="I39" s="185"/>
      <ns0:c r="J39" s="4"/>
    </ns0:row>
    <ns0:row r="40" ht="22" customHeight="1">
      <ns0:c r="A40" s="185"/>
      <ns0:c r="B40" s="185"/>
      <ns0:c r="C40" s="185"/>
      <ns0:c r="D40" s="185"/>
      <ns0:c r="E40" s="185"/>
      <ns0:c r="F40" s="185"/>
      <ns0:c r="G40" s="185"/>
      <ns0:c r="H40" s="185"/>
      <ns0:c r="I40" s="185"/>
      <ns0:c r="J40" s="4"/>
    </ns0:row>
    <ns0:row r="41" ht="22" customHeight="1">
      <ns0:c r="A41" s="36" t="str">
        <ns0:v>A known employee’s incomplete or overlapping entry affects only their result. Unrelated employee figures stay visible. Shared setup errors affect the shared calculation. Company totals are incomplete while any issue remains. Unassigned bookings are flagged prominently.</ns0:v>
      </ns0:c>
      <ns0:c r="B41" s="36"/>
      <ns0:c r="C41" s="36"/>
      <ns0:c r="D41" s="36"/>
      <ns0:c r="E41" s="36"/>
      <ns0:c r="F41" s="36"/>
      <ns0:c r="G41" s="36"/>
      <ns0:c r="H41" s="36"/>
      <ns0:c r="I41" s="36"/>
      <ns0:c r="J41" s="4"/>
    </ns0:row>
    <ns0:row r="42" ht="22" customHeight="1">
      <ns0:c r="A42" s="36"/>
      <ns0:c r="B42" s="36"/>
      <ns0:c r="C42" s="36"/>
      <ns0:c r="D42" s="36"/>
      <ns0:c r="E42" s="36"/>
      <ns0:c r="F42" s="36"/>
      <ns0:c r="G42" s="36"/>
      <ns0:c r="H42" s="36"/>
      <ns0:c r="I42" s="36"/>
      <ns0:c r="J42" s="4"/>
    </ns0:row>
    <ns0:row r="43" ht="22" customHeight="1">
      <ns0:c r="A43" s="36"/>
      <ns0:c r="B43" s="36"/>
      <ns0:c r="C43" s="36"/>
      <ns0:c r="D43" s="36"/>
      <ns0:c r="E43" s="36"/>
      <ns0:c r="F43" s="36"/>
      <ns0:c r="G43" s="36"/>
      <ns0:c r="H43" s="36"/>
      <ns0:c r="I43" s="36"/>
      <ns0:c r="J43" s="4"/>
    </ns0:row>
    <ns0:row r="44" ht="22" customHeight="1">
      <ns0:c r="A44" s="36"/>
      <ns0:c r="B44" s="36"/>
      <ns0:c r="C44" s="36"/>
      <ns0:c r="D44" s="36"/>
      <ns0:c r="E44" s="36"/>
      <ns0:c r="F44" s="36"/>
      <ns0:c r="G44" s="36"/>
      <ns0:c r="H44" s="36"/>
      <ns0:c r="I44" s="36"/>
      <ns0:c r="J44" s="4"/>
    </ns0:row>
    <ns0:row r="45" ht="22" customHeight="1">
      <ns0:c r="A45" s="4"/>
      <ns0:c r="B45" s="4"/>
      <ns0:c r="C45" s="4"/>
      <ns0:c r="D45" s="4"/>
      <ns0:c r="E45" s="4"/>
      <ns0:c r="F45" s="4"/>
      <ns0:c r="G45" s="4"/>
      <ns0:c r="H45" s="4"/>
      <ns0:c r="I45" s="4"/>
      <ns0:c r="J45" s="4"/>
    </ns0:row>
    <ns0:row r="46" ht="22" customHeight="1">
      <ns0:c r="A46" s="185" t="str">
        <ns0:v>Edit safely</ns0:v>
      </ns0:c>
      <ns0:c r="B46" s="185"/>
      <ns0:c r="C46" s="185"/>
      <ns0:c r="D46" s="185"/>
      <ns0:c r="E46" s="185"/>
      <ns0:c r="F46" s="185"/>
      <ns0:c r="G46" s="185"/>
      <ns0:c r="H46" s="185"/>
      <ns0:c r="I46" s="185"/>
      <ns0:c r="J46" s="4"/>
    </ns0:row>
    <ns0:row r="47" ht="22" customHeight="1">
      <ns0:c r="A47" s="185"/>
      <ns0:c r="B47" s="185"/>
      <ns0:c r="C47" s="185"/>
      <ns0:c r="D47" s="185"/>
      <ns0:c r="E47" s="185"/>
      <ns0:c r="F47" s="185"/>
      <ns0:c r="G47" s="185"/>
      <ns0:c r="H47" s="185"/>
      <ns0:c r="I47" s="185"/>
      <ns0:c r="J47" s="4"/>
    </ns0:row>
    <ns0:row r="48" ht="22" customHeight="1">
      <ns0:c r="A48" s="31" t="str">
        <ns0:v>Blue cells are editable. Formula cells are protected; existing table filters stay available. No password is needed: Review → Unprotect Sheet. Filtering is supported; sorting or adding/deleting rows requires unprotection and is not part of this prepared template. Clear input contents instead of deleting rows.</ns0:v>
      </ns0:c>
      <ns0:c r="B48" s="31"/>
      <ns0:c r="C48" s="31"/>
      <ns0:c r="D48" s="31"/>
      <ns0:c r="E48" s="31"/>
      <ns0:c r="F48" s="31"/>
      <ns0:c r="G48" s="31"/>
      <ns0:c r="H48" s="31"/>
      <ns0:c r="I48" s="31"/>
      <ns0:c r="J48" s="4"/>
    </ns0:row>
    <ns0:row r="49" ht="22" customHeight="1">
      <ns0:c r="A49" s="31"/>
      <ns0:c r="B49" s="31"/>
      <ns0:c r="C49" s="31"/>
      <ns0:c r="D49" s="31"/>
      <ns0:c r="E49" s="31"/>
      <ns0:c r="F49" s="31"/>
      <ns0:c r="G49" s="31"/>
      <ns0:c r="H49" s="31"/>
      <ns0:c r="I49" s="31"/>
      <ns0:c r="J49" s="4"/>
    </ns0:row>
    <ns0:row r="50" ht="22" customHeight="1">
      <ns0:c r="A50" s="31"/>
      <ns0:c r="B50" s="31"/>
      <ns0:c r="C50" s="31"/>
      <ns0:c r="D50" s="31"/>
      <ns0:c r="E50" s="31"/>
      <ns0:c r="F50" s="31"/>
      <ns0:c r="G50" s="31"/>
      <ns0:c r="H50" s="31"/>
      <ns0:c r="I50" s="31"/>
      <ns0:c r="J50" s="4"/>
    </ns0:row>
    <ns0:row r="51" ht="22" customHeight="1">
      <ns0:c r="A51" s="31"/>
      <ns0:c r="B51" s="31"/>
      <ns0:c r="C51" s="31"/>
      <ns0:c r="D51" s="31"/>
      <ns0:c r="E51" s="31"/>
      <ns0:c r="F51" s="31"/>
      <ns0:c r="G51" s="31"/>
      <ns0:c r="H51" s="31"/>
      <ns0:c r="I51" s="31"/>
      <ns0:c r="J51" s="4"/>
    </ns0:row>
    <ns0:row r="52" ht="22" customHeight="1">
      <ns0:c r="A52" s="31"/>
      <ns0:c r="B52" s="31"/>
      <ns0:c r="C52" s="31"/>
      <ns0:c r="D52" s="31"/>
      <ns0:c r="E52" s="31"/>
      <ns0:c r="F52" s="31"/>
      <ns0:c r="G52" s="31"/>
      <ns0:c r="H52" s="31"/>
      <ns0:c r="I52" s="31"/>
      <ns0:c r="J52" s="4"/>
    </ns0:row>
    <ns0:row r="53" ht="22" customHeight="1">
      <ns0:c r="A53" s="4"/>
      <ns0:c r="B53" s="4"/>
      <ns0:c r="C53" s="4"/>
      <ns0:c r="D53" s="4"/>
      <ns0:c r="E53" s="4"/>
      <ns0:c r="F53" s="4"/>
      <ns0:c r="G53" s="4"/>
      <ns0:c r="H53" s="4"/>
      <ns0:c r="I53" s="4"/>
      <ns0:c r="J53" s="4"/>
    </ns0:row>
    <ns0:row r="54" ht="22" customHeight="1">
      <ns0:c r="A54" s="185" t="str">
        <ns0:v>Keep it simple, and keep it private</ns0:v>
      </ns0:c>
      <ns0:c r="B54" s="185"/>
      <ns0:c r="C54" s="185"/>
      <ns0:c r="D54" s="185"/>
      <ns0:c r="E54" s="185"/>
      <ns0:c r="F54" s="185"/>
      <ns0:c r="G54" s="185"/>
      <ns0:c r="H54" s="185"/>
      <ns0:c r="I54" s="185"/>
      <ns0:c r="J54" s="4"/>
    </ns0:row>
    <ns0:row r="55" ht="22" customHeight="1">
      <ns0:c r="A55" s="185"/>
      <ns0:c r="B55" s="185"/>
      <ns0:c r="C55" s="185"/>
      <ns0:c r="D55" s="185"/>
      <ns0:c r="E55" s="185"/>
      <ns0:c r="F55" s="185"/>
      <ns0:c r="G55" s="185"/>
      <ns0:c r="H55" s="185"/>
      <ns0:c r="I55" s="185"/>
      <ns0:c r="J55" s="4"/>
    </ns0:row>
    <ns0:row r="56" ht="22" customHeight="1">
      <ns0:c r="A56" s="31" t="str">
        <ns0:v>50 employees · 1,000 bookings · one fixed weekly pattern per person · equal-length days · one company-wide closure list. No accrual, hours, payroll or automatic approvals. This is a manager workbook, not an employee portal. Sharing the file shares its contents. Do not enter medical details; formula protection is not privacy protection.</ns0:v>
      </ns0:c>
      <ns0:c r="B56" s="31"/>
      <ns0:c r="C56" s="31"/>
      <ns0:c r="D56" s="31"/>
      <ns0:c r="E56" s="31"/>
      <ns0:c r="F56" s="31"/>
      <ns0:c r="G56" s="31"/>
      <ns0:c r="H56" s="31"/>
      <ns0:c r="I56" s="31"/>
      <ns0:c r="J56" s="4"/>
    </ns0:row>
    <ns0:row r="57" ht="22" customHeight="1">
      <ns0:c r="A57" s="31"/>
      <ns0:c r="B57" s="31"/>
      <ns0:c r="C57" s="31"/>
      <ns0:c r="D57" s="31"/>
      <ns0:c r="E57" s="31"/>
      <ns0:c r="F57" s="31"/>
      <ns0:c r="G57" s="31"/>
      <ns0:c r="H57" s="31"/>
      <ns0:c r="I57" s="31"/>
      <ns0:c r="J57" s="4"/>
    </ns0:row>
    <ns0:row r="58" ht="22" customHeight="1">
      <ns0:c r="A58" s="31"/>
      <ns0:c r="B58" s="31"/>
      <ns0:c r="C58" s="31"/>
      <ns0:c r="D58" s="31"/>
      <ns0:c r="E58" s="31"/>
      <ns0:c r="F58" s="31"/>
      <ns0:c r="G58" s="31"/>
      <ns0:c r="H58" s="31"/>
      <ns0:c r="I58" s="31"/>
      <ns0:c r="J58" s="4"/>
    </ns0:row>
    <ns0:row r="59" ht="22" customHeight="1">
      <ns0:c r="A59" s="31"/>
      <ns0:c r="B59" s="31"/>
      <ns0:c r="C59" s="31"/>
      <ns0:c r="D59" s="31"/>
      <ns0:c r="E59" s="31"/>
      <ns0:c r="F59" s="31"/>
      <ns0:c r="G59" s="31"/>
      <ns0:c r="H59" s="31"/>
      <ns0:c r="I59" s="31"/>
      <ns0:c r="J59" s="4"/>
    </ns0:row>
    <ns0:row r="60" ht="22" customHeight="1">
      <ns0:c r="A60" s="31"/>
      <ns0:c r="B60" s="31"/>
      <ns0:c r="C60" s="31"/>
      <ns0:c r="D60" s="31"/>
      <ns0:c r="E60" s="31"/>
      <ns0:c r="F60" s="31"/>
      <ns0:c r="G60" s="31"/>
      <ns0:c r="H60" s="31"/>
      <ns0:c r="I60" s="31"/>
      <ns0:c r="J60" s="4"/>
    </ns0:row>
    <ns0:row r="61" ht="22" customHeight="1">
      <ns0:c r="A61" s="4"/>
      <ns0:c r="B61" s="4"/>
      <ns0:c r="C61" s="4"/>
      <ns0:c r="D61" s="4"/>
      <ns0:c r="E61" s="4"/>
      <ns0:c r="F61" s="4"/>
      <ns0:c r="G61" s="4"/>
      <ns0:c r="H61" s="4"/>
      <ns0:c r="I61" s="4"/>
      <ns0:c r="J61" s="4"/>
    </ns0:row>
    <ns0:row r="62" ht="22" customHeight="1">
      <ns0:c r="A62" s="185" t="inlineStr">
        <ns0:is>
          <ns0:t>Booking dates and worked examples</ns0:t>
        </ns0:is>
      </ns0:c>
      <ns0:c r="B62" s="185"/>
      <ns0:c r="C62" s="185"/>
      <ns0:c r="D62" s="185"/>
      <ns0:c r="E62" s="185"/>
      <ns0:c r="F62" s="185"/>
      <ns0:c r="G62" s="185"/>
      <ns0:c r="H62" s="185"/>
      <ns0:c r="I62" s="185"/>
      <ns0:c r="J62" s="4"/>
    </ns0:row>
    <ns0:row r="63" ht="22" customHeight="1">
      <ns0:c r="A63" s="185"/>
      <ns0:c r="B63" s="185"/>
      <ns0:c r="C63" s="185"/>
      <ns0:c r="D63" s="185"/>
      <ns0:c r="E63" s="185"/>
      <ns0:c r="F63" s="185"/>
      <ns0:c r="G63" s="185"/>
      <ns0:c r="H63" s="185"/>
      <ns0:c r="I63" s="185"/>
      <ns0:c r="J63" s="4"/>
    </ns0:row>
    <ns0:row r="64" ht="22" customHeight="1">
      <ns0:c r="A64" s="40" t="inlineStr">
        <ns0:is>
          <ns0:t>Type dates as 23.07.2027 or ISO 2027-07-23; selected date values also work. Review confirms the dates read. Dotted/slashed text is day-first; use four-digit years. Invalid dates are flagged. In the example, Jordan has full Monday + Tuesday AM (1.5 days), then Tuesday PM + full Wednesday (1.5), without overlap. Helen has 0.5 taken + 1 booked ahead. The closure is fictional.</ns0:t>
        </ns0:is>
      </ns0:c>
      <ns0:c r="B64" s="40"/>
      <ns0:c r="C64" s="40"/>
      <ns0:c r="D64" s="40"/>
      <ns0:c r="E64" s="40"/>
      <ns0:c r="F64" s="40"/>
      <ns0:c r="G64" s="40"/>
      <ns0:c r="H64" s="40"/>
      <ns0:c r="I64" s="40"/>
      <ns0:c r="J64" s="4"/>
    </ns0:row>
    <ns0:row r="65" ht="22" customHeight="1">
      <ns0:c r="A65" s="40"/>
      <ns0:c r="B65" s="40"/>
      <ns0:c r="C65" s="40"/>
      <ns0:c r="D65" s="40"/>
      <ns0:c r="E65" s="40"/>
      <ns0:c r="F65" s="40"/>
      <ns0:c r="G65" s="40"/>
      <ns0:c r="H65" s="40"/>
      <ns0:c r="I65" s="40"/>
      <ns0:c r="J65" s="4"/>
    </ns0:row>
    <ns0:row r="66" ht="22" customHeight="1">
      <ns0:c r="A66" s="40"/>
      <ns0:c r="B66" s="40"/>
      <ns0:c r="C66" s="40"/>
      <ns0:c r="D66" s="40"/>
      <ns0:c r="E66" s="40"/>
      <ns0:c r="F66" s="40"/>
      <ns0:c r="G66" s="40"/>
      <ns0:c r="H66" s="40"/>
      <ns0:c r="I66" s="40"/>
      <ns0:c r="J66" s="4"/>
    </ns0:row>
    <ns0:row r="67" ht="22" customHeight="1">
      <ns0:c r="A67" s="40"/>
      <ns0:c r="B67" s="40"/>
      <ns0:c r="C67" s="40"/>
      <ns0:c r="D67" s="40"/>
      <ns0:c r="E67" s="40"/>
      <ns0:c r="F67" s="40"/>
      <ns0:c r="G67" s="40"/>
      <ns0:c r="H67" s="40"/>
      <ns0:c r="I67" s="40"/>
      <ns0:c r="J67" s="4"/>
    </ns0:row>
    <ns0:row r="68" ht="22" customHeight="1">
      <ns0:c r="A68" s="4"/>
      <ns0:c r="B68" s="4"/>
      <ns0:c r="C68" s="4"/>
      <ns0:c r="D68" s="4"/>
      <ns0:c r="E68" s="4"/>
      <ns0:c r="F68" s="4"/>
      <ns0:c r="G68" s="4"/>
      <ns0:c r="H68" s="4"/>
      <ns0:c r="I68" s="4"/>
      <ns0:c r="J68" s="4"/>
    </ns0:row>
    <ns0:row r="69" ht="22" customHeight="1">
      <ns0:c r="A69" s="188" t="str">
        <ns0:f>HYPERLINK("https://timeoff.management/holiday-tracker","When manual updates become too much, explore TimeOff.Management →")</ns0:f>
        <ns0:v>When manual updates become too much, explore TimeOff.Management →</ns0:v>
      </ns0:c>
      <ns0:c r="B69" s="188"/>
      <ns0:c r="C69" s="188"/>
      <ns0:c r="D69" s="188"/>
      <ns0:c r="E69" s="188"/>
      <ns0:c r="F69" s="188"/>
      <ns0:c r="G69" s="188"/>
      <ns0:c r="H69" s="188"/>
      <ns0:c r="I69" s="188"/>
      <ns0:c r="J69" s="4"/>
    </ns0:row>
    <ns0:row r="70" ht="22" customHeight="1">
      <ns0:c r="A70" s="188"/>
      <ns0:c r="B70" s="188"/>
      <ns0:c r="C70" s="188"/>
      <ns0:c r="D70" s="188"/>
      <ns0:c r="E70" s="188"/>
      <ns0:c r="F70" s="188"/>
      <ns0:c r="G70" s="188"/>
      <ns0:c r="H70" s="188"/>
      <ns0:c r="I70" s="188"/>
      <ns0:c r="J70" s="4"/>
    </ns0:row>
    <ns0:row r="71" ht="22" customHeight="1">
      <ns0:c r="A71" s="4"/>
      <ns0:c r="B71" s="4"/>
      <ns0:c r="C71" s="4"/>
      <ns0:c r="D71" s="4"/>
      <ns0:c r="E71" s="4"/>
      <ns0:c r="F71" s="4"/>
      <ns0:c r="G71" s="4"/>
      <ns0:c r="H71" s="4"/>
      <ns0:c r="I71" s="4"/>
      <ns0:c r="J71" s="4"/>
    </ns0:row>
    <ns0:row r="72" ht="22" customHeight="1">
      <ns0:c r="A72" s="191" t="str">
        <ns0:v>Source: https://support.microsoft.com/en-us/excel/protection-and-security-in-excel</ns0:v>
      </ns0:c>
      <ns0:c r="B72" s="191"/>
      <ns0:c r="C72" s="191"/>
      <ns0:c r="D72" s="191"/>
      <ns0:c r="E72" s="191"/>
      <ns0:c r="F72" s="191"/>
      <ns0:c r="G72" s="191"/>
      <ns0:c r="H72" s="191"/>
      <ns0:c r="I72" s="191"/>
      <ns0:c r="J72" s="4"/>
    </ns0:row>
    <ns0:row r="73" ht="22" customHeight="1">
      <ns0:c r="A73" s="191" t="inlineStr">
        <ns0:is>
          <ns0:t>Source: https://support.google.com/docs/answer/9331167?hl=en</ns0:t>
        </ns0:is>
      </ns0:c>
      <ns0:c r="B73" s="191"/>
      <ns0:c r="C73" s="191"/>
      <ns0:c r="D73" s="191"/>
      <ns0:c r="E73" s="191"/>
      <ns0:c r="F73" s="191"/>
      <ns0:c r="G73" s="191"/>
      <ns0:c r="H73" s="191"/>
      <ns0:c r="I73" s="191"/>
      <ns0:c r="J73" s="4"/>
    </ns0:row>
    <ns0:row r="74">
      <ns0:c r="A74" s="196" t="str">
        <ns0:v>Arithmetic: full weeks plus the scheduled weekdays in the remaining interval, less applicable closure dates. This workbook records an agreed allowance; it does not establish legal entitlement.</ns0:v>
      </ns0:c>
      <ns0:c r="B74" s="196"/>
      <ns0:c r="C74" s="196"/>
      <ns0:c r="D74" s="196"/>
      <ns0:c r="E74" s="196"/>
      <ns0:c r="F74" s="196"/>
      <ns0:c r="G74" s="196"/>
      <ns0:c r="H74" s="196"/>
      <ns0:c r="I74" s="196"/>
    </ns0:row>
    <ns0:row r="75">
      <ns0:c r="A75" s="196"/>
      <ns0:c r="B75" s="196"/>
      <ns0:c r="C75" s="196"/>
      <ns0:c r="D75" s="196"/>
      <ns0:c r="E75" s="196"/>
      <ns0:c r="F75" s="196"/>
      <ns0:c r="G75" s="196"/>
      <ns0:c r="H75" s="196"/>
      <ns0:c r="I75" s="196"/>
    </ns0:row>
    <ns0:row r="76">
      <ns0:c r="A76" t="inlineStr">
        <ns0:is>
          <ns0:t>Date-format reference: https://support.microsoft.com/en-us/excel/format-a-date-the-way-you-want-in-excel</ns0:t>
        </ns0:is>
      </ns0:c>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4:B4"/>
    <ns0:mergeCell ref="C4:D4"/>
    <ns0:mergeCell ref="E4:F4"/>
    <ns0:mergeCell ref="G4:H4"/>
    <ns0:mergeCell ref="I4:J4"/>
    <ns0:mergeCell ref="A1:I2"/>
    <ns0:mergeCell ref="A6:I7"/>
    <ns0:mergeCell ref="A9:C10"/>
    <ns0:mergeCell ref="D9:F10"/>
    <ns0:mergeCell ref="G9:I10"/>
    <ns0:mergeCell ref="A12:I13"/>
    <ns0:mergeCell ref="A14:I16"/>
    <ns0:mergeCell ref="A18:I19"/>
    <ns0:mergeCell ref="A20:I23"/>
    <ns0:mergeCell ref="A25:I26"/>
    <ns0:mergeCell ref="A27:I30"/>
    <ns0:mergeCell ref="A32:I33"/>
    <ns0:mergeCell ref="A34:I37"/>
    <ns0:mergeCell ref="A39:I40"/>
    <ns0:mergeCell ref="A41:I44"/>
    <ns0:mergeCell ref="A46:I47"/>
    <ns0:mergeCell ref="A48:I52"/>
    <ns0:mergeCell ref="A54:I55"/>
    <ns0:mergeCell ref="A56:I60"/>
    <ns0:mergeCell ref="A62:I63"/>
    <ns0:mergeCell ref="A64:I67"/>
    <ns0:mergeCell ref="A69:I70"/>
    <ns0:mergeCell ref="A72:I72"/>
    <ns0:mergeCell ref="A73:I73"/>
    <ns0:mergeCell ref="A74:I75"/>
  </ns0:mergeCells>
  <ns0:pageMargins left="0.7" right="0.7" top="0.75" bottom="0.75" header="0.3" footer="0.3"/>
</ns0:worksheet>
</file>

<file path=xl/worksheets/sheet7.xml><?xml version="1.0" encoding="utf-8"?>
<ns0:worksheet xmlns:ns0="http://schemas.openxmlformats.org/spreadsheetml/2006/main">
  <ns0:sheetViews>
    <ns0:sheetView workbookViewId="0" showGridLines="0" zoomScale="85"/>
  </ns0:sheetViews>
  <ns0:sheetFormatPr defaultRowHeight="15"/>
  <ns0:cols>
    <ns0:col min="1" max="1" width="15" hidden="0" customWidth="1"/>
    <ns0:col min="2" max="2" width="15" hidden="0" customWidth="1"/>
    <ns0:col min="3" max="3" width="15" hidden="0" customWidth="1"/>
    <ns0:col min="4" max="4" width="15" hidden="0" customWidth="1"/>
    <ns0:col min="5" max="5" width="15" hidden="0" customWidth="1"/>
    <ns0:col min="6" max="6" width="15" hidden="0" customWidth="1"/>
    <ns0:col min="7" max="7" width="15" hidden="0" customWidth="1"/>
    <ns0:col min="8" max="8" width="15" hidden="0" customWidth="1"/>
    <ns0:col min="9" max="9" width="15" hidden="0" customWidth="1"/>
    <ns0:col min="10" max="10" width="15" hidden="0" customWidth="1"/>
  </ns0:cols>
  <ns0:sheetData>
    <ns0:row r="1" ht="26" customHeight="1">
      <ns0:c r="A1" s="7" t="inlineStr">
        <ns0:is>
          <ns0:t>TimeOff.Management  /  Calculation engine</ns0:t>
        </ns0:is>
      </ns0:c>
      <ns0:c r="B1" s="7"/>
      <ns0:c r="C1" s="7"/>
      <ns0:c r="D1" s="7"/>
      <ns0:c r="E1" s="7"/>
      <ns0:c r="F1" s="7"/>
      <ns0:c r="G1" s="7"/>
      <ns0:c r="H1" s="7"/>
      <ns0:c r="I1" s="7"/>
      <ns0:c r="J1" s="7"/>
      <ns0:c r="X1" s="45" t="inlineStr">
        <ns0:is>
          <ns0:t>Technical calculations only. Do not rename this sheet or change formulas. Use Settings, Team and Bookings for inputs.</ns0:t>
        </ns0:is>
      </ns0:c>
      <ns0:c r="Y1" s="45"/>
      <ns0:c r="Z1" s="45"/>
      <ns0:c r="AA1" s="45"/>
      <ns0:c r="AB1" s="45"/>
      <ns0:c r="AC1" s="45"/>
      <ns0:c r="AD1" s="45"/>
      <ns0:c r="AE1" s="45"/>
      <ns0:c r="AF1" s="45"/>
      <ns0:c r="AG1" s="45"/>
      <ns0:c r="AH1" s="45"/>
      <ns0:c r="AI1" s="45"/>
      <ns0:c r="AJ1" s="45"/>
      <ns0:c r="AK1" s="45"/>
      <ns0:c r="AL1" s="45"/>
      <ns0:c r="AM1" s="45"/>
      <ns0:c r="AN1" s="45"/>
      <ns0:c r="AO1" s="45"/>
    </ns0:row>
    <ns0:row r="2" ht="26" customHeight="1">
      <ns0:c r="A2" s="7"/>
      <ns0:c r="B2" s="7"/>
      <ns0:c r="C2" s="7"/>
      <ns0:c r="D2" s="7"/>
      <ns0:c r="E2" s="7"/>
      <ns0:c r="F2" s="7"/>
      <ns0:c r="G2" s="7"/>
      <ns0:c r="H2" s="7"/>
      <ns0:c r="I2" s="7"/>
      <ns0:c r="J2" s="7"/>
      <ns0:c r="X2" s="45"/>
      <ns0:c r="Y2" s="45"/>
      <ns0:c r="Z2" s="45"/>
      <ns0:c r="AA2" s="45"/>
      <ns0:c r="AB2" s="45"/>
      <ns0:c r="AC2" s="45"/>
      <ns0:c r="AD2" s="45"/>
      <ns0:c r="AE2" s="45"/>
      <ns0:c r="AF2" s="45"/>
      <ns0:c r="AG2" s="45"/>
      <ns0:c r="AH2" s="45"/>
      <ns0:c r="AI2" s="45"/>
      <ns0:c r="AJ2" s="45"/>
      <ns0:c r="AK2" s="45"/>
      <ns0:c r="AL2" s="45"/>
      <ns0:c r="AM2" s="45"/>
      <ns0:c r="AN2" s="45"/>
      <ns0:c r="AO2" s="45"/>
    </ns0:row>
    <ns0:row r="3" ht="22" customHeight="1">
      <ns0:c r="A3" s="4"/>
      <ns0:c r="B3" s="4"/>
      <ns0:c r="C3" s="4"/>
      <ns0:c r="D3" s="4"/>
      <ns0:c r="E3" s="4"/>
      <ns0:c r="F3" s="4"/>
      <ns0:c r="G3" s="4"/>
      <ns0:c r="H3" s="4"/>
      <ns0:c r="I3" s="4"/>
      <ns0:c r="J3" s="4"/>
      <ns0:c r="X3" s="45"/>
      <ns0:c r="Y3" s="45"/>
      <ns0:c r="Z3" s="45"/>
      <ns0:c r="AA3" s="45"/>
      <ns0:c r="AB3" s="45"/>
      <ns0:c r="AC3" s="45"/>
      <ns0:c r="AD3" s="45"/>
      <ns0:c r="AE3" s="45"/>
      <ns0:c r="AF3" s="45"/>
      <ns0:c r="AG3" s="45"/>
      <ns0:c r="AH3" s="45"/>
      <ns0:c r="AI3" s="45"/>
      <ns0:c r="AJ3" s="45"/>
      <ns0:c r="AK3" s="45"/>
      <ns0:c r="AL3" s="45"/>
      <ns0:c r="AM3" s="45"/>
      <ns0:c r="AN3" s="45"/>
      <ns0:c r="AO3" s="45"/>
    </ns0:row>
    <ns0:row r="4" ht="28" customHeight="1">
      <ns0:c r="A4" s="12" t="str">
        <ns0:f>HYPERLINK("#'Calendar'!A1","Calendar")</ns0:f>
        <ns0:v>Calendar</ns0:v>
      </ns0:c>
      <ns0:c r="B4" s="12">
        <ns0:f>IFERROR(DATE(Calendar!B7,MATCH(Calendar!A7,$AS$11:$AS$22,0),1),0)</ns0:f>
        <ns0:v>46569</ns0:v>
      </ns0:c>
      <ns0:c r="C4" s="12" t="str">
        <ns0:f>HYPERLINK("#'Bookings'!A1","Add a booking")</ns0:f>
        <ns0:v>Add a booking</ns0:v>
      </ns0:c>
      <ns0:c r="D4" s="12"/>
      <ns0:c r="E4" s="12" t="str">
        <ns0:f>HYPERLINK("#'Balances'!A1","Balances")</ns0:f>
        <ns0:v>Balances</ns0:v>
      </ns0:c>
      <ns0:c r="F4" s="12"/>
      <ns0:c r="G4" s="12" t="str">
        <ns0:f>HYPERLINK("#'Team'!A1","Team")</ns0:f>
        <ns0:v>Team</ns0:v>
      </ns0:c>
      <ns0:c r="H4" s="12"/>
      <ns0:c r="I4" s="12" t="str">
        <ns0:f>HYPERLINK("#'Settings'!A1","Settings")</ns0:f>
        <ns0:v>Settings</ns0:v>
      </ns0:c>
      <ns0:c r="J4" s="12"/>
      <ns0:c r="X4" s="45"/>
      <ns0:c r="Y4" s="45"/>
      <ns0:c r="Z4" s="45"/>
      <ns0:c r="AA4" s="45"/>
      <ns0:c r="AB4" s="45"/>
      <ns0:c r="AC4" s="45"/>
      <ns0:c r="AD4" s="45"/>
      <ns0:c r="AE4" s="45"/>
      <ns0:c r="AF4" s="45"/>
      <ns0:c r="AG4" s="45"/>
      <ns0:c r="AH4" s="45"/>
      <ns0:c r="AI4" s="45"/>
      <ns0:c r="AJ4" s="45"/>
      <ns0:c r="AK4" s="45"/>
      <ns0:c r="AL4" s="45"/>
      <ns0:c r="AM4" s="45"/>
      <ns0:c r="AN4" s="45"/>
      <ns0:c r="AO4" s="45"/>
    </ns0:row>
    <ns0:row r="5" ht="22" customHeight="1">
      <ns0:c r="A5" s="4"/>
      <ns0:c r="B5" s="4" t="str">
        <ns0:f>IFERROR(IF(COUNTIF($AS$11:$AS$22,Calendar!A7)&lt;&gt;1,"CHECK month",IF(OR(NOT(ISNUMBER(Calendar!B7)),Calendar!B7&lt;&gt;INT(Calendar!B7),Calendar!B7&lt;2000,Calendar!B7&gt;2100),"CHECK year",IF(AND($B$6=0,OR(B4&lt;Settings!$B$7,B4&gt;Settings!$B$8)),"CHECK month within leave year",IF(OR(Calendar!C7="",COUNTIF($AF$10:$AF$60,Calendar!C7)=0),"CHECK team filter","OK")))),"CHECK calendar controls")</ns0:f>
        <ns0:v>OK</ns0:v>
      </ns0:c>
      <ns0:c r="C5" s="4"/>
      <ns0:c r="D5" s="4"/>
      <ns0:c r="E5" s="4"/>
      <ns0:c r="F5" s="4"/>
      <ns0:c r="G5" s="4"/>
      <ns0:c r="H5" s="4"/>
      <ns0:c r="I5" s="4"/>
      <ns0:c r="J5" s="4"/>
    </ns0:row>
    <ns0:row r="6" ht="22" customHeight="1">
      <ns0:c r="A6" s="31" t="inlineStr">
        <ns0:is>
          <ns0:t>Shared setup check</ns0:t>
        </ns0:is>
      </ns0:c>
      <ns0:c r="B6" s="31">
        <ns0:f>IF(Settings!$B$12="OK",0,1)</ns0:f>
        <ns0:v>0</ns0:v>
      </ns0:c>
      <ns0:c r="C6" s="31"/>
      <ns0:c r="D6" s="31"/>
      <ns0:c r="E6" s="31"/>
      <ns0:c r="F6" s="31"/>
      <ns0:c r="G6" s="31"/>
      <ns0:c r="H6" s="31"/>
      <ns0:c r="I6" s="31"/>
      <ns0:c r="J6" s="31"/>
      <ns0:c r="K6" s="45"/>
      <ns0:c r="L6" s="45"/>
      <ns0:c r="M6" s="45"/>
      <ns0:c r="N6" s="45"/>
      <ns0:c r="O6" s="45"/>
      <ns0:c r="P6" s="45"/>
      <ns0:c r="Q6" s="45"/>
      <ns0:c r="R6" s="45"/>
      <ns0:c r="S6" s="45"/>
      <ns0:c r="T6" s="45"/>
      <ns0:c r="U6" s="45"/>
      <ns0:c r="V6" s="45"/>
    </ns0:row>
    <ns0:row r="7" ht="22" customHeight="1">
      <ns0:c r="A7" s="31"/>
      <ns0:c r="B7" s="31"/>
      <ns0:c r="C7" s="31"/>
      <ns0:c r="D7" s="31"/>
      <ns0:c r="E7" s="31"/>
      <ns0:c r="F7" s="31"/>
      <ns0:c r="G7" s="31"/>
      <ns0:c r="H7" s="31"/>
      <ns0:c r="I7" s="31"/>
      <ns0:c r="J7" s="31"/>
      <ns0:c r="K7" s="45"/>
      <ns0:c r="L7" s="45"/>
      <ns0:c r="M7" s="45"/>
      <ns0:c r="N7" s="45"/>
      <ns0:c r="O7" s="45"/>
      <ns0:c r="P7" s="45"/>
      <ns0:c r="Q7" s="45"/>
      <ns0:c r="R7" s="45"/>
      <ns0:c r="S7" s="45"/>
      <ns0:c r="T7" s="45"/>
      <ns0:c r="U7" s="45"/>
      <ns0:c r="V7" s="45"/>
      <ns0:c r="AQ7" s="0" t="str">
        <ns0:f>Settings!F7&amp;" · "&amp;Settings!G7</ns0:f>
        <ns0:v>Holiday · H</ns0:v>
      </ns0:c>
    </ns0:row>
    <ns0:row r="8" ht="22" customHeight="1">
      <ns0:c r="A8" s="4" t="inlineStr">
        <ns0:is>
          <ns0:t>Review rows</ns0:t>
        </ns0:is>
      </ns0:c>
      <ns0:c r="B8" s="4">
        <ns0:f>B6+SUM($AA$11:$AA$60)+SUM(rngEngine_L)</ns0:f>
        <ns0:v>0</ns0:v>
      </ns0:c>
      <ns0:c r="C8" s="4"/>
      <ns0:c r="D8" s="4"/>
      <ns0:c r="E8" s="4"/>
      <ns0:c r="F8" s="4"/>
      <ns0:c r="G8" s="4"/>
      <ns0:c r="H8" s="4"/>
      <ns0:c r="I8" s="4"/>
      <ns0:c r="J8" s="4"/>
      <ns0:c r="AQ8" s="0" t="str">
        <ns0:f>Settings!F8&amp;" · "&amp;Settings!G8</ns0:f>
        <ns0:v>Sick leave · S</ns0:v>
      </ns0:c>
    </ns0:row>
    <ns0:row r="9" ht="22" customHeight="1">
      <ns0:c r="A9" s="4" t="inlineStr">
        <ns0:is>
          <ns0:t>Unassigned errors</ns0:t>
        </ns0:is>
      </ns0:c>
      <ns0:c r="B9" s="4">
        <ns0:f>SUM(rngEngine_M)</ns0:f>
        <ns0:v>0</ns0:v>
      </ns0:c>
      <ns0:c r="C9" s="4"/>
      <ns0:c r="D9" s="4"/>
      <ns0:c r="E9" s="4"/>
      <ns0:c r="F9" s="4"/>
      <ns0:c r="G9" s="4"/>
      <ns0:c r="H9" s="4"/>
      <ns0:c r="I9" s="4"/>
      <ns0:c r="J9" s="4"/>
      <ns0:c r="AQ9" s="0" t="str">
        <ns0:f>Settings!F9&amp;" · "&amp;Settings!G9</ns0:f>
        <ns0:v>Unpaid leave · U</ns0:v>
      </ns0:c>
    </ns0:row>
    <ns0:row r="10" ht="22" customHeight="1">
      <ns0:c r="A10" s="4"/>
      <ns0:c r="B10" s="4"/>
      <ns0:c r="C10" s="4"/>
      <ns0:c r="D10" s="4"/>
      <ns0:c r="E10" s="4"/>
      <ns0:c r="F10" s="4"/>
      <ns0:c r="G10" s="4"/>
      <ns0:c r="H10" s="4"/>
      <ns0:c r="I10" s="4"/>
      <ns0:c r="J10" s="4"/>
      <ns0:c r="AF10" t="inlineStr">
        <ns0:is>
          <ns0:t>All teams</ns0:t>
        </ns0:is>
      </ns0:c>
      <ns0:c r="AQ10" s="0" t="str">
        <ns0:f>Settings!F10&amp;" · "&amp;Settings!G10</ns0:f>
        <ns0:v>Training · T</ns0:v>
      </ns0:c>
    </ns0:row>
    <ns0:row r="11" ht="22" customHeight="1">
      <ns0:c r="A11" s="4">
        <ns0:f>IF(COUNTA(Bookings!A11:G11,Bookings!I11)=0,0,1)</ns0:f>
        <ns0:v>1</ns0:v>
      </ns0:c>
      <ns0:c r="B11" s="4" t="str">
        <ns0:f>IFERROR(TRIM(MID(Bookings!A11,FIND(" · ",Bookings!A11)+3,99)),"")</ns0:f>
        <ns0:v>EMP001</ns0:v>
      </ns0:c>
      <ns0:c r="C11" s="4">
        <ns0:f>IF(OR(B11="",LEN(B11)&gt;24,ISNUMBER(FIND(" ",B11)),ISNUMBER(FIND("*",B11)),ISNUMBER(FIND("?",B11)),ISNUMBER(FIND("~",B11))),0,IFERROR(MATCH(B11,Team!$A$11:$A$60,0),0))</ns0:f>
        <ns0:v>1</ns0:v>
      </ns0:c>
      <ns0:c r="D11" s="4" t="str">
        <ns0:f>IFERROR(IF(MID(Bookings!F11,LEN(Bookings!F11)-3,3)=" · ",RIGHT(Bookings!F11,1),""),"")</ns0:f>
        <ns0:v>H</ns0:v>
      </ns0:c>
      <ns0:c r="E11" s="4" t="str">
        <ns0:f>IFERROR(INDEX(Settings!$H$7:$H$11,MATCH(D11,Settings!$G$7:$G$11,0)),"")</ns0:f>
        <ns0:v>Yes</ns0:v>
      </ns0:c>
      <ns0:c r="F11" s="4" t="str">
        <ns0:f>IF(A11=0,"",IFERROR(IF(OR(B11="",C11=0),"CHECK employee selection",IF(INDEX(Team!$O$11:$O$60,C11)&lt;&gt;"OK","CHECK employee setup",IF(OR('_Dates'!J11=0,'_Dates'!T11=0),"CHECK date: use DD.MM.YYYY",IF('_Dates'!T11&lt;'_Dates'!J11,"CHECK end before start",IF(AND($B$6=0,OR('_Dates'!J11&lt;Settings!$B$7,'_Dates'!T11&gt;Settings!$B$8)),"CHECK split across leave years",IF(OR(NOT(OR('_Dates'!U11="Full day",'_Dates'!U11="AM",'_Dates'!U11="PM")),NOT(OR('_Dates'!V11="Full day",'_Dates'!V11="AM",'_Dates'!V11="PM"))),"CHECK Full day / AM / PM",IF(AND('_Dates'!J11='_Dates'!T11,'_Dates'!U11&lt;&gt;"Full day",'_Dates'!V11&lt;&gt;"Full day",'_Dates'!U11&lt;&gt;'_Dates'!V11),"CHECK same-day portions disagree",IF(AND($B$6=0,OR(AND('_Dates'!U11&lt;&gt;"Full day",'_Dates'!AA11=0),AND('_Dates'!V11&lt;&gt;"Full day",'_Dates'!AB11=0))),"CHECK half-day on non-working date",IF(COUNTIF(Settings!$G$7:$G$11,D11)&lt;&gt;1,"CHECK leave type",IF(AND(Bookings!G11&lt;&gt;"Approved",Bookings!G11&lt;&gt;"Pending",Bookings!G11&lt;&gt;"Cancelled"),"CHECK status","OK")))))))))),"CHECK input"))</ns0:f>
        <ns0:v>OK</ns0:v>
      </ns0:c>
      <ns0:c r="G11" s="4">
        <ns0:f>IF(OR(F11&lt;&gt;"OK",$B$6&gt;0),0,0.5*(IF(('_Dates'!X11)&lt;('_Dates'!W11),0,INT((('_Dates'!X11)-('_Dates'!W11)+1)/7)*LEN(SUBSTITUTE(W11,"O",""))+LEN(SUBSTITUTE(MID(W11&amp;W11,WEEKDAY(('_Dates'!W11),2),MOD((('_Dates'!X11)-('_Dates'!W11)+1),7)),"O",""))-COUNTIFS(INDEX(AllClosureRows,C11,0),"&gt;="&amp;('_Dates'!W11),INDEX(AllClosureRows,C11,0),"&lt;="&amp;('_Dates'!X11)))+IF(('_Dates'!Z11)&lt;('_Dates'!Y11),0,INT((('_Dates'!Z11)-('_Dates'!Y11)+1)/7)*LEN(SUBSTITUTE(W11,"O",""))+LEN(SUBSTITUTE(MID(W11&amp;W11,WEEKDAY(('_Dates'!Y11),2),MOD((('_Dates'!Z11)-('_Dates'!Y11)+1),7)),"O",""))-COUNTIFS(INDEX(AllClosureRows,C11,0),"&gt;="&amp;('_Dates'!Y11),INDEX(AllClosureRows,C11,0),"&lt;="&amp;('_Dates'!Z11)))))</ns0:f>
        <ns0:v>5</ns0:v>
      </ns0:c>
      <ns0:c r="H11" s="4">
        <ns0:f>IF(OR(F11&lt;&gt;"OK",$B$6&gt;0),0,0.5*(IF((MIN('_Dates'!X11,Settings!$B$9))&lt;('_Dates'!W11),0,INT(((MIN('_Dates'!X11,Settings!$B$9))-('_Dates'!W11)+1)/7)*LEN(SUBSTITUTE(W11,"O",""))+LEN(SUBSTITUTE(MID(W11&amp;W11,WEEKDAY(('_Dates'!W11),2),MOD(((MIN('_Dates'!X11,Settings!$B$9))-('_Dates'!W11)+1),7)),"O",""))-COUNTIFS(INDEX(AllClosureRows,C11,0),"&gt;="&amp;('_Dates'!W11),INDEX(AllClosureRows,C11,0),"&lt;="&amp;(MIN('_Dates'!X11,Settings!$B$9))))+IF((MIN('_Dates'!Z11,Settings!$B$9))&lt;('_Dates'!Y11),0,INT(((MIN('_Dates'!Z11,Settings!$B$9))-('_Dates'!Y11)+1)/7)*LEN(SUBSTITUTE(W11,"O",""))+LEN(SUBSTITUTE(MID(W11&amp;W11,WEEKDAY(('_Dates'!Y11),2),MOD(((MIN('_Dates'!Z11,Settings!$B$9))-('_Dates'!Y11)+1),7)),"O",""))-COUNTIFS(INDEX(AllClosureRows,C11,0),"&gt;="&amp;('_Dates'!Y11),INDEX(AllClosureRows,C11,0),"&lt;="&amp;(MIN('_Dates'!Z11,Settings!$B$9))))))</ns0:f>
        <ns0:v>5</ns0:v>
      </ns0:c>
      <ns0:c r="I11" s="4">
        <ns0:f>MAX(0,G11-H11)</ns0:f>
        <ns0:v>0</ns0:v>
      </ns0:c>
      <ns0:c r="J11" s="4">
        <ns0:f>IF(OR(A11=0,F11&lt;&gt;"OK",Bookings!G11="Cancelled",$B$6&gt;0),0,IF('_Dates'!AC11=1,MAX(0,COUNTIFS(rngEngine_B,B11,rngAMStart,"&lt;="&amp;'_Dates'!X11,rngAMEnd,"&gt;="&amp;'_Dates'!W11,rngAMActive,1,rngEngine_F,"OK",rngBookings_F,"&lt;&gt;Cancelled")-1),0)+IF('_Dates'!AD11=1,MAX(0,COUNTIFS(rngEngine_B,B11,rngPMStart,"&lt;="&amp;'_Dates'!Z11,rngPMEnd,"&gt;="&amp;'_Dates'!Y11,rngPMActive,1,rngEngine_F,"OK",rngBookings_F,"&lt;&gt;Cancelled")-1),0))</ns0:f>
        <ns0:v>0</ns0:v>
      </ns0:c>
      <ns0:c r="K11" s="0" t="str">
        <ns0:f>IF(A11=0,"",IF(F11&lt;&gt;"OK",F11,IF(J11&gt;0,"CHECK overlapping entry",IF(AND($B$6=0,G11&lt;=0,Bookings!G11&lt;&gt;"Cancelled"),"CHECK no working days",IF(Bookings!G11="Cancelled","Cancelled","OK")))))</ns0:f>
        <ns0:v>OK</ns0:v>
      </ns0:c>
      <ns0:c r="L11" s="0">
        <ns0:f>IF(LEFT(K11,5)="CHECK",1,0)</ns0:f>
        <ns0:v>0</ns0:v>
      </ns0:c>
      <ns0:c r="M11" s="0">
        <ns0:f>IF(AND(L11=1,OR(C11=0,IFERROR(INDEX($X$11:$X$60,C11),0)=0)),1,0)</ns0:f>
        <ns0:v>0</ns0:v>
      </ns0:c>
      <ns0:c r="N11" s="0">
        <ns0:f>IF(OR(A11=0,L11&gt;0,$B$6&gt;0,Bookings!G11="Cancelled"),0,G11)</ns0:f>
        <ns0:v>5</ns0:v>
      </ns0:c>
      <ns0:c r="O11" s="0">
        <ns0:f>IF(AND(Bookings!G11="Approved",E11="Yes"),N11,0)</ns0:f>
        <ns0:v>5</ns0:v>
      </ns0:c>
      <ns0:c r="P11" s="0">
        <ns0:f>IF(AND(Bookings!G11="Approved",E11="Yes",L11=0,$B$6=0),H11,0)</ns0:f>
        <ns0:v>5</ns0:v>
      </ns0:c>
      <ns0:c r="Q11" s="0">
        <ns0:f>IF(AND(Bookings!G11="Approved",E11="Yes",L11=0,$B$6=0),I11,0)</ns0:f>
        <ns0:v>0</ns0:v>
      </ns0:c>
      <ns0:c r="R11" s="0">
        <ns0:f>IF(AND(Bookings!G11="Pending",E11="Yes"),N11,0)</ns0:f>
        <ns0:v>0</ns0:v>
      </ns0:c>
      <ns0:c r="S11" s="0">
        <ns0:f>IF(AND(Bookings!G11="Approved",E11="No"),N11,0)</ns0:f>
        <ns0:v>0</ns0:v>
      </ns0:c>
      <ns0:c r="T11" s="0">
        <ns0:f>IFERROR(MATCH(D11,Settings!$G$7:$G$11,0),0)</ns0:f>
        <ns0:v>1</ns0:v>
      </ns0:c>
      <ns0:c r="U11" s="0">
        <ns0:f>IF(N11&gt;0,T11+IF(Bookings!G11="Pending",10,0),0)</ns0:f>
        <ns0:v>1</ns0:v>
      </ns0:c>
      <ns0:c r="V11" s="0">
        <ns0:f>U11</ns0:f>
        <ns0:v>1</ns0:v>
      </ns0:c>
      <ns0:c r="W11" s="0" t="str">
        <ns0:f>IF(C11=0,"",INDEX($AP$11:$AP$60,C11))</ns0:f>
        <ns0:v>WWWWWOO</ns0:v>
      </ns0:c>
      <ns0:c r="X11" s="0">
        <ns0:f>IF(COUNTA(Team!B11:D11)=0,0,1)</ns0:f>
        <ns0:v>1</ns0:v>
      </ns0:c>
      <ns0:c r="Y11" s="0" t="str">
        <ns0:f>IF(X11=0,"",IF(Team!B11="","[Unnamed]",Team!B11)&amp;" · "&amp;Team!A11)</ns0:f>
        <ns0:v>Alex Morgan · EMP001</ns0:v>
      </ns0:c>
      <ns0:c r="Z11" s="0">
        <ns0:f>IF(X11=0,0,COUNTIF(Team!H11:N11,"Work"))</ns0:f>
        <ns0:v>5</ns0:v>
      </ns0:c>
      <ns0:c r="AA11" s="0">
        <ns0:f>IF(LEFT(Team!O11,5)="CHECK",1,0)</ns0:f>
        <ns0:v>0</ns0:v>
      </ns0:c>
      <ns0:c r="AB11" s="0">
        <ns0:f>IF(X11=0,0,SUMIFS(rngEngine_L,rngEngine_B,Team!A11))</ns0:f>
        <ns0:v>0</ns0:v>
      </ns0:c>
      <ns0:c r="AC11" s="0">
        <ns0:f>IF(AND(X11=1,OR(Calendar!$C$7="All teams",Team!C11=Calendar!$C$7)),MAX($AC$10:AC10)+1,"")</ns0:f>
        <ns0:v>1</ns0:v>
      </ns0:c>
      <ns0:c r="AD11" s="0">
        <ns0:f>IF(OR(X11=0,Team!C11="",COUNTIF(Team!$C$11:C11,Team!C11)&gt;1),"",MAX($AD$10:AD10)+1)</ns0:f>
        <ns0:v>1</ns0:v>
      </ns0:c>
      <ns0:c r="AE11" s="0" t="str">
        <ns0:f>IFERROR(INDEX(Team!$C$11:$C$60,MATCH(ROW()-10,$AD$11:$AD$60,0)),"")</ns0:f>
        <ns0:v>Product</ns0:v>
      </ns0:c>
      <ns0:c r="AF11" s="0" t="str">
        <ns0:f>AE11</ns0:f>
        <ns0:v>Product</ns0:v>
      </ns0:c>
      <ns0:c r="AG11" s="0">
        <ns0:f>IF(X11=0,0,IFERROR(Team!F11+Team!G11,0))</ns0:f>
        <ns0:v>25</ns0:v>
      </ns0:c>
      <ns0:c r="AH11" s="0">
        <ns0:f>IF(X11=0,0,SUMIFS(rngEngine_P,rngEngine_B,Team!A11))</ns0:f>
        <ns0:v>8</ns0:v>
      </ns0:c>
      <ns0:c r="AI11" s="0">
        <ns0:f>IF(X11=0,0,SUMIFS(rngEngine_Q,rngEngine_B,Team!A11))</ns0:f>
        <ns0:v>2</ns0:v>
      </ns0:c>
      <ns0:c r="AJ11" s="0">
        <ns0:f>IF(X11=0,0,SUMIFS(rngEngine_R,rngEngine_B,Team!A11))</ns0:f>
        <ns0:v>0</ns0:v>
      </ns0:c>
      <ns0:c r="AK11" s="0">
        <ns0:f>IF(X11=0,0,SUMIFS(rngEngine_S,rngEngine_B,Team!A11))</ns0:f>
        <ns0:v>0</ns0:v>
      </ns0:c>
      <ns0:c r="AL11" s="0">
        <ns0:f>AH11+AI11</ns0:f>
        <ns0:v>10</ns0:v>
      </ns0:c>
      <ns0:c r="AM11" s="0" t="str">
        <ns0:f>IF(X11=0,"",IF(AA11&gt;0,"CHECK team setup",IF(AB11&gt;0,"CHECK "&amp;AB11&amp;" booking(s)","OK")))</ns0:f>
        <ns0:v>OK</ns0:v>
      </ns0:c>
      <ns0:c r="AN11" s="0">
        <ns0:f>IF(X11=0,"",IF(OR($B$6&gt;0,AM11&lt;&gt;"OK"),"REVIEW",AG11-AL11))</ns0:f>
        <ns0:v>15</ns0:v>
      </ns0:c>
      <ns0:c r="AP11" s="0" t="str">
        <ns0:f>IF(Team!H11="Work","W","O")&amp;IF(Team!I11="Work","W","O")&amp;IF(Team!J11="Work","W","O")&amp;IF(Team!K11="Work","W","O")&amp;IF(Team!L11="Work","W","O")&amp;IF(Team!M11="Work","W","O")&amp;IF(Team!N11="Work","W","O")</ns0:f>
        <ns0:v>WWWWWOO</ns0:v>
      </ns0:c>
      <ns0:c r="AQ11" s="0" t="str">
        <ns0:f>Settings!F11&amp;" · "&amp;Settings!G11</ns0:f>
        <ns0:v>Other leave · O</ns0:v>
      </ns0:c>
      <ns0:c r="AS11" t="inlineStr">
        <ns0:is>
          <ns0:t>January</ns0:t>
        </ns0:is>
      </ns0:c>
    </ns0:row>
    <ns0:row r="12" ht="22" customHeight="1">
      <ns0:c r="A12" s="4">
        <ns0:f>IF(COUNTA(Bookings!A12:G12,Bookings!I12)=0,0,1)</ns0:f>
        <ns0:v>1</ns0:v>
      </ns0:c>
      <ns0:c r="B12" s="4" t="str">
        <ns0:f>IFERROR(TRIM(MID(Bookings!A12,FIND(" · ",Bookings!A12)+3,99)),"")</ns0:f>
        <ns0:v>EMP001</ns0:v>
      </ns0:c>
      <ns0:c r="C12" s="4">
        <ns0:f>IF(OR(B12="",LEN(B12)&gt;24,ISNUMBER(FIND(" ",B12)),ISNUMBER(FIND("*",B12)),ISNUMBER(FIND("?",B12)),ISNUMBER(FIND("~",B12))),0,IFERROR(MATCH(B12,Team!$A$11:$A$60,0),0))</ns0:f>
        <ns0:v>1</ns0:v>
      </ns0:c>
      <ns0:c r="D12" s="4" t="str">
        <ns0:f>IFERROR(IF(MID(Bookings!F12,LEN(Bookings!F12)-3,3)=" · ",RIGHT(Bookings!F12,1),""),"")</ns0:f>
        <ns0:v>H</ns0:v>
      </ns0:c>
      <ns0:c r="E12" s="4" t="str">
        <ns0:f>IFERROR(INDEX(Settings!$H$7:$H$11,MATCH(D12,Settings!$G$7:$G$11,0)),"")</ns0:f>
        <ns0:v>Yes</ns0:v>
      </ns0:c>
      <ns0:c r="F12" s="4" t="str">
        <ns0:f>IF(A12=0,"",IFERROR(IF(OR(B12="",C12=0),"CHECK employee selection",IF(INDEX(Team!$O$11:$O$60,C12)&lt;&gt;"OK","CHECK employee setup",IF(OR('_Dates'!J12=0,'_Dates'!T12=0),"CHECK date: use DD.MM.YYYY",IF('_Dates'!T12&lt;'_Dates'!J12,"CHECK end before start",IF(AND($B$6=0,OR('_Dates'!J12&lt;Settings!$B$7,'_Dates'!T12&gt;Settings!$B$8)),"CHECK split across leave years",IF(OR(NOT(OR('_Dates'!U12="Full day",'_Dates'!U12="AM",'_Dates'!U12="PM")),NOT(OR('_Dates'!V12="Full day",'_Dates'!V12="AM",'_Dates'!V12="PM"))),"CHECK Full day / AM / PM",IF(AND('_Dates'!J12='_Dates'!T12,'_Dates'!U12&lt;&gt;"Full day",'_Dates'!V12&lt;&gt;"Full day",'_Dates'!U12&lt;&gt;'_Dates'!V12),"CHECK same-day portions disagree",IF(AND($B$6=0,OR(AND('_Dates'!U12&lt;&gt;"Full day",'_Dates'!AA12=0),AND('_Dates'!V12&lt;&gt;"Full day",'_Dates'!AB12=0))),"CHECK half-day on non-working date",IF(COUNTIF(Settings!$G$7:$G$11,D12)&lt;&gt;1,"CHECK leave type",IF(AND(Bookings!G12&lt;&gt;"Approved",Bookings!G12&lt;&gt;"Pending",Bookings!G12&lt;&gt;"Cancelled"),"CHECK status","OK")))))))))),"CHECK input"))</ns0:f>
        <ns0:v>OK</ns0:v>
      </ns0:c>
      <ns0:c r="G12" s="4">
        <ns0:f>IF(OR(F12&lt;&gt;"OK",$B$6&gt;0),0,0.5*(IF(('_Dates'!X12)&lt;('_Dates'!W12),0,INT((('_Dates'!X12)-('_Dates'!W12)+1)/7)*LEN(SUBSTITUTE(W12,"O",""))+LEN(SUBSTITUTE(MID(W12&amp;W12,WEEKDAY(('_Dates'!W12),2),MOD((('_Dates'!X12)-('_Dates'!W12)+1),7)),"O",""))-COUNTIFS(INDEX(AllClosureRows,C12,0),"&gt;="&amp;('_Dates'!W12),INDEX(AllClosureRows,C12,0),"&lt;="&amp;('_Dates'!X12)))+IF(('_Dates'!Z12)&lt;('_Dates'!Y12),0,INT((('_Dates'!Z12)-('_Dates'!Y12)+1)/7)*LEN(SUBSTITUTE(W12,"O",""))+LEN(SUBSTITUTE(MID(W12&amp;W12,WEEKDAY(('_Dates'!Y12),2),MOD((('_Dates'!Z12)-('_Dates'!Y12)+1),7)),"O",""))-COUNTIFS(INDEX(AllClosureRows,C12,0),"&gt;="&amp;('_Dates'!Y12),INDEX(AllClosureRows,C12,0),"&lt;="&amp;('_Dates'!Z12)))))</ns0:f>
        <ns0:v>5</ns0:v>
      </ns0:c>
      <ns0:c r="H12" s="4">
        <ns0:f>IF(OR(F12&lt;&gt;"OK",$B$6&gt;0),0,0.5*(IF((MIN('_Dates'!X12,Settings!$B$9))&lt;('_Dates'!W12),0,INT(((MIN('_Dates'!X12,Settings!$B$9))-('_Dates'!W12)+1)/7)*LEN(SUBSTITUTE(W12,"O",""))+LEN(SUBSTITUTE(MID(W12&amp;W12,WEEKDAY(('_Dates'!W12),2),MOD(((MIN('_Dates'!X12,Settings!$B$9))-('_Dates'!W12)+1),7)),"O",""))-COUNTIFS(INDEX(AllClosureRows,C12,0),"&gt;="&amp;('_Dates'!W12),INDEX(AllClosureRows,C12,0),"&lt;="&amp;(MIN('_Dates'!X12,Settings!$B$9))))+IF((MIN('_Dates'!Z12,Settings!$B$9))&lt;('_Dates'!Y12),0,INT(((MIN('_Dates'!Z12,Settings!$B$9))-('_Dates'!Y12)+1)/7)*LEN(SUBSTITUTE(W12,"O",""))+LEN(SUBSTITUTE(MID(W12&amp;W12,WEEKDAY(('_Dates'!Y12),2),MOD(((MIN('_Dates'!Z12,Settings!$B$9))-('_Dates'!Y12)+1),7)),"O",""))-COUNTIFS(INDEX(AllClosureRows,C12,0),"&gt;="&amp;('_Dates'!Y12),INDEX(AllClosureRows,C12,0),"&lt;="&amp;(MIN('_Dates'!Z12,Settings!$B$9))))))</ns0:f>
        <ns0:v>3</ns0:v>
      </ns0:c>
      <ns0:c r="I12" s="4">
        <ns0:f>MAX(0,G12-H12)</ns0:f>
        <ns0:v>2</ns0:v>
      </ns0:c>
      <ns0:c r="J12" s="4">
        <ns0:f>IF(OR(A12=0,F12&lt;&gt;"OK",Bookings!G12="Cancelled",$B$6&gt;0),0,IF('_Dates'!AC12=1,MAX(0,COUNTIFS(rngEngine_B,B12,rngAMStart,"&lt;="&amp;'_Dates'!X12,rngAMEnd,"&gt;="&amp;'_Dates'!W12,rngAMActive,1,rngEngine_F,"OK",rngBookings_F,"&lt;&gt;Cancelled")-1),0)+IF('_Dates'!AD12=1,MAX(0,COUNTIFS(rngEngine_B,B12,rngPMStart,"&lt;="&amp;'_Dates'!Z12,rngPMEnd,"&gt;="&amp;'_Dates'!Y12,rngPMActive,1,rngEngine_F,"OK",rngBookings_F,"&lt;&gt;Cancelled")-1),0))</ns0:f>
        <ns0:v>0</ns0:v>
      </ns0:c>
      <ns0:c r="K12" s="0" t="str">
        <ns0:f>IF(A12=0,"",IF(F12&lt;&gt;"OK",F12,IF(J12&gt;0,"CHECK overlapping entry",IF(AND($B$6=0,G12&lt;=0,Bookings!G12&lt;&gt;"Cancelled"),"CHECK no working days",IF(Bookings!G12="Cancelled","Cancelled","OK")))))</ns0:f>
        <ns0:v>OK</ns0:v>
      </ns0:c>
      <ns0:c r="L12" s="0">
        <ns0:f>IF(LEFT(K12,5)="CHECK",1,0)</ns0:f>
        <ns0:v>0</ns0:v>
      </ns0:c>
      <ns0:c r="M12" s="0">
        <ns0:f>IF(AND(L12=1,OR(C12=0,IFERROR(INDEX($X$11:$X$60,C12),0)=0)),1,0)</ns0:f>
        <ns0:v>0</ns0:v>
      </ns0:c>
      <ns0:c r="N12" s="0">
        <ns0:f>IF(OR(A12=0,L12&gt;0,$B$6&gt;0,Bookings!G12="Cancelled"),0,G12)</ns0:f>
        <ns0:v>5</ns0:v>
      </ns0:c>
      <ns0:c r="O12" s="0">
        <ns0:f>IF(AND(Bookings!G12="Approved",E12="Yes"),N12,0)</ns0:f>
        <ns0:v>5</ns0:v>
      </ns0:c>
      <ns0:c r="P12" s="0">
        <ns0:f>IF(AND(Bookings!G12="Approved",E12="Yes",L12=0,$B$6=0),H12,0)</ns0:f>
        <ns0:v>3</ns0:v>
      </ns0:c>
      <ns0:c r="Q12" s="0">
        <ns0:f>IF(AND(Bookings!G12="Approved",E12="Yes",L12=0,$B$6=0),I12,0)</ns0:f>
        <ns0:v>2</ns0:v>
      </ns0:c>
      <ns0:c r="R12" s="0">
        <ns0:f>IF(AND(Bookings!G12="Pending",E12="Yes"),N12,0)</ns0:f>
        <ns0:v>0</ns0:v>
      </ns0:c>
      <ns0:c r="S12" s="0">
        <ns0:f>IF(AND(Bookings!G12="Approved",E12="No"),N12,0)</ns0:f>
        <ns0:v>0</ns0:v>
      </ns0:c>
      <ns0:c r="T12" s="0">
        <ns0:f>IFERROR(MATCH(D12,Settings!$G$7:$G$11,0),0)</ns0:f>
        <ns0:v>1</ns0:v>
      </ns0:c>
      <ns0:c r="U12" s="0">
        <ns0:f>IF(N12&gt;0,T12+IF(Bookings!G12="Pending",10,0),0)</ns0:f>
        <ns0:v>1</ns0:v>
      </ns0:c>
      <ns0:c r="V12" s="0">
        <ns0:f>U12</ns0:f>
        <ns0:v>1</ns0:v>
      </ns0:c>
      <ns0:c r="W12" s="0" t="str">
        <ns0:f>IF(C12=0,"",INDEX($AP$11:$AP$60,C12))</ns0:f>
        <ns0:v>WWWWWOO</ns0:v>
      </ns0:c>
      <ns0:c r="X12" s="0">
        <ns0:f>IF(COUNTA(Team!B12:D12)=0,0,1)</ns0:f>
        <ns0:v>1</ns0:v>
      </ns0:c>
      <ns0:c r="Y12" s="0" t="str">
        <ns0:f>IF(X12=0,"",IF(Team!B12="","[Unnamed]",Team!B12)&amp;" · "&amp;Team!A12)</ns0:f>
        <ns0:v>Helen Stone · EMP002</ns0:v>
      </ns0:c>
      <ns0:c r="Z12" s="0">
        <ns0:f>IF(X12=0,0,COUNTIF(Team!H12:N12,"Work"))</ns0:f>
        <ns0:v>5</ns0:v>
      </ns0:c>
      <ns0:c r="AA12" s="0">
        <ns0:f>IF(LEFT(Team!O12,5)="CHECK",1,0)</ns0:f>
        <ns0:v>0</ns0:v>
      </ns0:c>
      <ns0:c r="AB12" s="0">
        <ns0:f>IF(X12=0,0,SUMIFS(rngEngine_L,rngEngine_B,Team!A12))</ns0:f>
        <ns0:v>0</ns0:v>
      </ns0:c>
      <ns0:c r="AC12" s="0">
        <ns0:f>IF(AND(X12=1,OR(Calendar!$C$7="All teams",Team!C12=Calendar!$C$7)),MAX($AC$10:AC11)+1,"")</ns0:f>
        <ns0:v>2</ns0:v>
      </ns0:c>
      <ns0:c r="AD12" s="0">
        <ns0:f>IF(OR(X12=0,Team!C12="",COUNTIF(Team!$C$11:C12,Team!C12)&gt;1),"",MAX($AD$10:AD11)+1)</ns0:f>
        <ns0:v>2</ns0:v>
      </ns0:c>
      <ns0:c r="AE12" s="0" t="str">
        <ns0:f>IFERROR(INDEX(Team!$C$11:$C$60,MATCH(ROW()-10,$AD$11:$AD$60,0)),"")</ns0:f>
        <ns0:v>Operations</ns0:v>
      </ns0:c>
      <ns0:c r="AF12" s="0" t="str">
        <ns0:f>AE12</ns0:f>
        <ns0:v>Operations</ns0:v>
      </ns0:c>
      <ns0:c r="AG12" s="0">
        <ns0:f>IF(X12=0,0,IFERROR(Team!F12+Team!G12,0))</ns0:f>
        <ns0:v>27</ns0:v>
      </ns0:c>
      <ns0:c r="AH12" s="0">
        <ns0:f>IF(X12=0,0,SUMIFS(rngEngine_P,rngEngine_B,Team!A12))</ns0:f>
        <ns0:v>0.5</ns0:v>
      </ns0:c>
      <ns0:c r="AI12" s="0">
        <ns0:f>IF(X12=0,0,SUMIFS(rngEngine_Q,rngEngine_B,Team!A12))</ns0:f>
        <ns0:v>2</ns0:v>
      </ns0:c>
      <ns0:c r="AJ12" s="0">
        <ns0:f>IF(X12=0,0,SUMIFS(rngEngine_R,rngEngine_B,Team!A12))</ns0:f>
        <ns0:v>0</ns0:v>
      </ns0:c>
      <ns0:c r="AK12" s="0">
        <ns0:f>IF(X12=0,0,SUMIFS(rngEngine_S,rngEngine_B,Team!A12))</ns0:f>
        <ns0:v>1</ns0:v>
      </ns0:c>
      <ns0:c r="AL12" s="0">
        <ns0:f>AH12+AI12</ns0:f>
        <ns0:v>2.5</ns0:v>
      </ns0:c>
      <ns0:c r="AM12" s="0" t="str">
        <ns0:f>IF(X12=0,"",IF(AA12&gt;0,"CHECK team setup",IF(AB12&gt;0,"CHECK "&amp;AB12&amp;" booking(s)","OK")))</ns0:f>
        <ns0:v>OK</ns0:v>
      </ns0:c>
      <ns0:c r="AN12" s="0">
        <ns0:f>IF(X12=0,"",IF(OR($B$6&gt;0,AM12&lt;&gt;"OK"),"REVIEW",AG12-AL12))</ns0:f>
        <ns0:v>24.5</ns0:v>
      </ns0:c>
      <ns0:c r="AO12" s="0">
        <ns0:f>IFERROR(MATCH(ROW()-11,$AC$11:$AC$60,0),0)</ns0:f>
        <ns0:v>1</ns0:v>
      </ns0:c>
      <ns0:c r="AP12" s="0" t="str">
        <ns0:f>IF(Team!H12="Work","W","O")&amp;IF(Team!I12="Work","W","O")&amp;IF(Team!J12="Work","W","O")&amp;IF(Team!K12="Work","W","O")&amp;IF(Team!L12="Work","W","O")&amp;IF(Team!M12="Work","W","O")&amp;IF(Team!N12="Work","W","O")</ns0:f>
        <ns0:v>WWWWWOO</ns0:v>
      </ns0:c>
      <ns0:c r="AS12" t="inlineStr">
        <ns0:is>
          <ns0:t>February</ns0:t>
        </ns0:is>
      </ns0:c>
      <ns0:c r="BC12" s="0">
        <ns0:f>IF(OR($AO12=0,$B$5&lt;&gt;"OK",$B$6&gt;0,Calendar!D$11=""),0,SUMIFS(rngEngine_U,rngEngine_B,INDEX(Team!$A$11:$A$60,$AO12),rngAMStart,"&lt;="&amp;Calendar!D$11,rngAMEnd,"&gt;="&amp;Calendar!D$11))</ns0:f>
        <ns0:v>0</ns0:v>
      </ns0:c>
      <ns0:c r="BD12" s="0">
        <ns0:f>IF(OR($AO12=0,$B$5&lt;&gt;"OK",$B$6&gt;0,Calendar!D$11=""),0,SUMIFS(rngEngine_V,rngEngine_B,INDEX(Team!$A$11:$A$60,$AO12),rngPMStart,"&lt;="&amp;Calendar!D$11,rngPMEnd,"&gt;="&amp;Calendar!D$11))</ns0:f>
        <ns0:v>0</ns0:v>
      </ns0:c>
      <ns0:c r="BE12" s="0">
        <ns0:f>IF(OR($AO12=0,$B$5&lt;&gt;"OK",$B$6&gt;0,Calendar!E$11=""),0,SUMIFS(rngEngine_U,rngEngine_B,INDEX(Team!$A$11:$A$60,$AO12),rngAMStart,"&lt;="&amp;Calendar!E$11,rngAMEnd,"&gt;="&amp;Calendar!E$11))</ns0:f>
        <ns0:v>0</ns0:v>
      </ns0:c>
      <ns0:c r="BF12" s="0">
        <ns0:f>IF(OR($AO12=0,$B$5&lt;&gt;"OK",$B$6&gt;0,Calendar!E$11=""),0,SUMIFS(rngEngine_V,rngEngine_B,INDEX(Team!$A$11:$A$60,$AO12),rngPMStart,"&lt;="&amp;Calendar!E$11,rngPMEnd,"&gt;="&amp;Calendar!E$11))</ns0:f>
        <ns0:v>0</ns0:v>
      </ns0:c>
      <ns0:c r="BG12" s="0">
        <ns0:f>IF(OR($AO12=0,$B$5&lt;&gt;"OK",$B$6&gt;0,Calendar!F$11=""),0,SUMIFS(rngEngine_U,rngEngine_B,INDEX(Team!$A$11:$A$60,$AO12),rngAMStart,"&lt;="&amp;Calendar!F$11,rngAMEnd,"&gt;="&amp;Calendar!F$11))</ns0:f>
        <ns0:v>0</ns0:v>
      </ns0:c>
      <ns0:c r="BH12" s="0">
        <ns0:f>IF(OR($AO12=0,$B$5&lt;&gt;"OK",$B$6&gt;0,Calendar!F$11=""),0,SUMIFS(rngEngine_V,rngEngine_B,INDEX(Team!$A$11:$A$60,$AO12),rngPMStart,"&lt;="&amp;Calendar!F$11,rngPMEnd,"&gt;="&amp;Calendar!F$11))</ns0:f>
        <ns0:v>0</ns0:v>
      </ns0:c>
      <ns0:c r="BI12" s="0">
        <ns0:f>IF(OR($AO12=0,$B$5&lt;&gt;"OK",$B$6&gt;0,Calendar!G$11=""),0,SUMIFS(rngEngine_U,rngEngine_B,INDEX(Team!$A$11:$A$60,$AO12),rngAMStart,"&lt;="&amp;Calendar!G$11,rngAMEnd,"&gt;="&amp;Calendar!G$11))</ns0:f>
        <ns0:v>0</ns0:v>
      </ns0:c>
      <ns0:c r="BJ12" s="0">
        <ns0:f>IF(OR($AO12=0,$B$5&lt;&gt;"OK",$B$6&gt;0,Calendar!G$11=""),0,SUMIFS(rngEngine_V,rngEngine_B,INDEX(Team!$A$11:$A$60,$AO12),rngPMStart,"&lt;="&amp;Calendar!G$11,rngPMEnd,"&gt;="&amp;Calendar!G$11))</ns0:f>
        <ns0:v>0</ns0:v>
      </ns0:c>
      <ns0:c r="BK12" s="0">
        <ns0:f>IF(OR($AO12=0,$B$5&lt;&gt;"OK",$B$6&gt;0,Calendar!H$11=""),0,SUMIFS(rngEngine_U,rngEngine_B,INDEX(Team!$A$11:$A$60,$AO12),rngAMStart,"&lt;="&amp;Calendar!H$11,rngAMEnd,"&gt;="&amp;Calendar!H$11))</ns0:f>
        <ns0:v>0</ns0:v>
      </ns0:c>
      <ns0:c r="BL12" s="0">
        <ns0:f>IF(OR($AO12=0,$B$5&lt;&gt;"OK",$B$6&gt;0,Calendar!H$11=""),0,SUMIFS(rngEngine_V,rngEngine_B,INDEX(Team!$A$11:$A$60,$AO12),rngPMStart,"&lt;="&amp;Calendar!H$11,rngPMEnd,"&gt;="&amp;Calendar!H$11))</ns0:f>
        <ns0:v>0</ns0:v>
      </ns0:c>
      <ns0:c r="BM12" s="0">
        <ns0:f>IF(OR($AO12=0,$B$5&lt;&gt;"OK",$B$6&gt;0,Calendar!I$11=""),0,SUMIFS(rngEngine_U,rngEngine_B,INDEX(Team!$A$11:$A$60,$AO12),rngAMStart,"&lt;="&amp;Calendar!I$11,rngAMEnd,"&gt;="&amp;Calendar!I$11))</ns0:f>
        <ns0:v>0</ns0:v>
      </ns0:c>
      <ns0:c r="BN12" s="0">
        <ns0:f>IF(OR($AO12=0,$B$5&lt;&gt;"OK",$B$6&gt;0,Calendar!I$11=""),0,SUMIFS(rngEngine_V,rngEngine_B,INDEX(Team!$A$11:$A$60,$AO12),rngPMStart,"&lt;="&amp;Calendar!I$11,rngPMEnd,"&gt;="&amp;Calendar!I$11))</ns0:f>
        <ns0:v>0</ns0:v>
      </ns0:c>
      <ns0:c r="BO12" s="0">
        <ns0:f>IF(OR($AO12=0,$B$5&lt;&gt;"OK",$B$6&gt;0,Calendar!J$11=""),0,SUMIFS(rngEngine_U,rngEngine_B,INDEX(Team!$A$11:$A$60,$AO12),rngAMStart,"&lt;="&amp;Calendar!J$11,rngAMEnd,"&gt;="&amp;Calendar!J$11))</ns0:f>
        <ns0:v>0</ns0:v>
      </ns0:c>
      <ns0:c r="BP12" s="0">
        <ns0:f>IF(OR($AO12=0,$B$5&lt;&gt;"OK",$B$6&gt;0,Calendar!J$11=""),0,SUMIFS(rngEngine_V,rngEngine_B,INDEX(Team!$A$11:$A$60,$AO12),rngPMStart,"&lt;="&amp;Calendar!J$11,rngPMEnd,"&gt;="&amp;Calendar!J$11))</ns0:f>
        <ns0:v>0</ns0:v>
      </ns0:c>
      <ns0:c r="BQ12" s="0">
        <ns0:f>IF(OR($AO12=0,$B$5&lt;&gt;"OK",$B$6&gt;0,Calendar!K$11=""),0,SUMIFS(rngEngine_U,rngEngine_B,INDEX(Team!$A$11:$A$60,$AO12),rngAMStart,"&lt;="&amp;Calendar!K$11,rngAMEnd,"&gt;="&amp;Calendar!K$11))</ns0:f>
        <ns0:v>0</ns0:v>
      </ns0:c>
      <ns0:c r="BR12" s="0">
        <ns0:f>IF(OR($AO12=0,$B$5&lt;&gt;"OK",$B$6&gt;0,Calendar!K$11=""),0,SUMIFS(rngEngine_V,rngEngine_B,INDEX(Team!$A$11:$A$60,$AO12),rngPMStart,"&lt;="&amp;Calendar!K$11,rngPMEnd,"&gt;="&amp;Calendar!K$11))</ns0:f>
        <ns0:v>0</ns0:v>
      </ns0:c>
      <ns0:c r="BS12" s="0">
        <ns0:f>IF(OR($AO12=0,$B$5&lt;&gt;"OK",$B$6&gt;0,Calendar!L$11=""),0,SUMIFS(rngEngine_U,rngEngine_B,INDEX(Team!$A$11:$A$60,$AO12),rngAMStart,"&lt;="&amp;Calendar!L$11,rngAMEnd,"&gt;="&amp;Calendar!L$11))</ns0:f>
        <ns0:v>0</ns0:v>
      </ns0:c>
      <ns0:c r="BT12" s="0">
        <ns0:f>IF(OR($AO12=0,$B$5&lt;&gt;"OK",$B$6&gt;0,Calendar!L$11=""),0,SUMIFS(rngEngine_V,rngEngine_B,INDEX(Team!$A$11:$A$60,$AO12),rngPMStart,"&lt;="&amp;Calendar!L$11,rngPMEnd,"&gt;="&amp;Calendar!L$11))</ns0:f>
        <ns0:v>0</ns0:v>
      </ns0:c>
      <ns0:c r="BU12" s="0">
        <ns0:f>IF(OR($AO12=0,$B$5&lt;&gt;"OK",$B$6&gt;0,Calendar!M$11=""),0,SUMIFS(rngEngine_U,rngEngine_B,INDEX(Team!$A$11:$A$60,$AO12),rngAMStart,"&lt;="&amp;Calendar!M$11,rngAMEnd,"&gt;="&amp;Calendar!M$11))</ns0:f>
        <ns0:v>0</ns0:v>
      </ns0:c>
      <ns0:c r="BV12" s="0">
        <ns0:f>IF(OR($AO12=0,$B$5&lt;&gt;"OK",$B$6&gt;0,Calendar!M$11=""),0,SUMIFS(rngEngine_V,rngEngine_B,INDEX(Team!$A$11:$A$60,$AO12),rngPMStart,"&lt;="&amp;Calendar!M$11,rngPMEnd,"&gt;="&amp;Calendar!M$11))</ns0:f>
        <ns0:v>0</ns0:v>
      </ns0:c>
      <ns0:c r="BW12" s="0">
        <ns0:f>IF(OR($AO12=0,$B$5&lt;&gt;"OK",$B$6&gt;0,Calendar!N$11=""),0,SUMIFS(rngEngine_U,rngEngine_B,INDEX(Team!$A$11:$A$60,$AO12),rngAMStart,"&lt;="&amp;Calendar!N$11,rngAMEnd,"&gt;="&amp;Calendar!N$11))</ns0:f>
        <ns0:v>0</ns0:v>
      </ns0:c>
      <ns0:c r="BX12" s="0">
        <ns0:f>IF(OR($AO12=0,$B$5&lt;&gt;"OK",$B$6&gt;0,Calendar!N$11=""),0,SUMIFS(rngEngine_V,rngEngine_B,INDEX(Team!$A$11:$A$60,$AO12),rngPMStart,"&lt;="&amp;Calendar!N$11,rngPMEnd,"&gt;="&amp;Calendar!N$11))</ns0:f>
        <ns0:v>0</ns0:v>
      </ns0:c>
      <ns0:c r="BY12" s="0">
        <ns0:f>IF(OR($AO12=0,$B$5&lt;&gt;"OK",$B$6&gt;0,Calendar!O$11=""),0,SUMIFS(rngEngine_U,rngEngine_B,INDEX(Team!$A$11:$A$60,$AO12),rngAMStart,"&lt;="&amp;Calendar!O$11,rngAMEnd,"&gt;="&amp;Calendar!O$11))</ns0:f>
        <ns0:v>1</ns0:v>
      </ns0:c>
      <ns0:c r="BZ12" s="0">
        <ns0:f>IF(OR($AO12=0,$B$5&lt;&gt;"OK",$B$6&gt;0,Calendar!O$11=""),0,SUMIFS(rngEngine_V,rngEngine_B,INDEX(Team!$A$11:$A$60,$AO12),rngPMStart,"&lt;="&amp;Calendar!O$11,rngPMEnd,"&gt;="&amp;Calendar!O$11))</ns0:f>
        <ns0:v>1</ns0:v>
      </ns0:c>
      <ns0:c r="CA12" s="0">
        <ns0:f>IF(OR($AO12=0,$B$5&lt;&gt;"OK",$B$6&gt;0,Calendar!P$11=""),0,SUMIFS(rngEngine_U,rngEngine_B,INDEX(Team!$A$11:$A$60,$AO12),rngAMStart,"&lt;="&amp;Calendar!P$11,rngAMEnd,"&gt;="&amp;Calendar!P$11))</ns0:f>
        <ns0:v>1</ns0:v>
      </ns0:c>
      <ns0:c r="CB12" s="0">
        <ns0:f>IF(OR($AO12=0,$B$5&lt;&gt;"OK",$B$6&gt;0,Calendar!P$11=""),0,SUMIFS(rngEngine_V,rngEngine_B,INDEX(Team!$A$11:$A$60,$AO12),rngPMStart,"&lt;="&amp;Calendar!P$11,rngPMEnd,"&gt;="&amp;Calendar!P$11))</ns0:f>
        <ns0:v>1</ns0:v>
      </ns0:c>
      <ns0:c r="CC12" s="0">
        <ns0:f>IF(OR($AO12=0,$B$5&lt;&gt;"OK",$B$6&gt;0,Calendar!Q$11=""),0,SUMIFS(rngEngine_U,rngEngine_B,INDEX(Team!$A$11:$A$60,$AO12),rngAMStart,"&lt;="&amp;Calendar!Q$11,rngAMEnd,"&gt;="&amp;Calendar!Q$11))</ns0:f>
        <ns0:v>1</ns0:v>
      </ns0:c>
      <ns0:c r="CD12" s="0">
        <ns0:f>IF(OR($AO12=0,$B$5&lt;&gt;"OK",$B$6&gt;0,Calendar!Q$11=""),0,SUMIFS(rngEngine_V,rngEngine_B,INDEX(Team!$A$11:$A$60,$AO12),rngPMStart,"&lt;="&amp;Calendar!Q$11,rngPMEnd,"&gt;="&amp;Calendar!Q$11))</ns0:f>
        <ns0:v>1</ns0:v>
      </ns0:c>
      <ns0:c r="CE12" s="0">
        <ns0:f>IF(OR($AO12=0,$B$5&lt;&gt;"OK",$B$6&gt;0,Calendar!R$11=""),0,SUMIFS(rngEngine_U,rngEngine_B,INDEX(Team!$A$11:$A$60,$AO12),rngAMStart,"&lt;="&amp;Calendar!R$11,rngAMEnd,"&gt;="&amp;Calendar!R$11))</ns0:f>
        <ns0:v>1</ns0:v>
      </ns0:c>
      <ns0:c r="CF12" s="0">
        <ns0:f>IF(OR($AO12=0,$B$5&lt;&gt;"OK",$B$6&gt;0,Calendar!R$11=""),0,SUMIFS(rngEngine_V,rngEngine_B,INDEX(Team!$A$11:$A$60,$AO12),rngPMStart,"&lt;="&amp;Calendar!R$11,rngPMEnd,"&gt;="&amp;Calendar!R$11))</ns0:f>
        <ns0:v>1</ns0:v>
      </ns0:c>
      <ns0:c r="CG12" s="0">
        <ns0:f>IF(OR($AO12=0,$B$5&lt;&gt;"OK",$B$6&gt;0,Calendar!S$11=""),0,SUMIFS(rngEngine_U,rngEngine_B,INDEX(Team!$A$11:$A$60,$AO12),rngAMStart,"&lt;="&amp;Calendar!S$11,rngAMEnd,"&gt;="&amp;Calendar!S$11))</ns0:f>
        <ns0:v>1</ns0:v>
      </ns0:c>
      <ns0:c r="CH12" s="0">
        <ns0:f>IF(OR($AO12=0,$B$5&lt;&gt;"OK",$B$6&gt;0,Calendar!S$11=""),0,SUMIFS(rngEngine_V,rngEngine_B,INDEX(Team!$A$11:$A$60,$AO12),rngPMStart,"&lt;="&amp;Calendar!S$11,rngPMEnd,"&gt;="&amp;Calendar!S$11))</ns0:f>
        <ns0:v>1</ns0:v>
      </ns0:c>
      <ns0:c r="CI12" s="0">
        <ns0:f>IF(OR($AO12=0,$B$5&lt;&gt;"OK",$B$6&gt;0,Calendar!T$11=""),0,SUMIFS(rngEngine_U,rngEngine_B,INDEX(Team!$A$11:$A$60,$AO12),rngAMStart,"&lt;="&amp;Calendar!T$11,rngAMEnd,"&gt;="&amp;Calendar!T$11))</ns0:f>
        <ns0:v>0</ns0:v>
      </ns0:c>
      <ns0:c r="CJ12" s="0">
        <ns0:f>IF(OR($AO12=0,$B$5&lt;&gt;"OK",$B$6&gt;0,Calendar!T$11=""),0,SUMIFS(rngEngine_V,rngEngine_B,INDEX(Team!$A$11:$A$60,$AO12),rngPMStart,"&lt;="&amp;Calendar!T$11,rngPMEnd,"&gt;="&amp;Calendar!T$11))</ns0:f>
        <ns0:v>0</ns0:v>
      </ns0:c>
      <ns0:c r="CK12" s="0">
        <ns0:f>IF(OR($AO12=0,$B$5&lt;&gt;"OK",$B$6&gt;0,Calendar!U$11=""),0,SUMIFS(rngEngine_U,rngEngine_B,INDEX(Team!$A$11:$A$60,$AO12),rngAMStart,"&lt;="&amp;Calendar!U$11,rngAMEnd,"&gt;="&amp;Calendar!U$11))</ns0:f>
        <ns0:v>0</ns0:v>
      </ns0:c>
      <ns0:c r="CL12" s="0">
        <ns0:f>IF(OR($AO12=0,$B$5&lt;&gt;"OK",$B$6&gt;0,Calendar!U$11=""),0,SUMIFS(rngEngine_V,rngEngine_B,INDEX(Team!$A$11:$A$60,$AO12),rngPMStart,"&lt;="&amp;Calendar!U$11,rngPMEnd,"&gt;="&amp;Calendar!U$11))</ns0:f>
        <ns0:v>0</ns0:v>
      </ns0:c>
      <ns0:c r="CM12" s="0">
        <ns0:f>IF(OR($AO12=0,$B$5&lt;&gt;"OK",$B$6&gt;0,Calendar!V$11=""),0,SUMIFS(rngEngine_U,rngEngine_B,INDEX(Team!$A$11:$A$60,$AO12),rngAMStart,"&lt;="&amp;Calendar!V$11,rngAMEnd,"&gt;="&amp;Calendar!V$11))</ns0:f>
        <ns0:v>0</ns0:v>
      </ns0:c>
      <ns0:c r="CN12" s="0">
        <ns0:f>IF(OR($AO12=0,$B$5&lt;&gt;"OK",$B$6&gt;0,Calendar!V$11=""),0,SUMIFS(rngEngine_V,rngEngine_B,INDEX(Team!$A$11:$A$60,$AO12),rngPMStart,"&lt;="&amp;Calendar!V$11,rngPMEnd,"&gt;="&amp;Calendar!V$11))</ns0:f>
        <ns0:v>0</ns0:v>
      </ns0:c>
      <ns0:c r="CO12" s="0">
        <ns0:f>IF(OR($AO12=0,$B$5&lt;&gt;"OK",$B$6&gt;0,Calendar!W$11=""),0,SUMIFS(rngEngine_U,rngEngine_B,INDEX(Team!$A$11:$A$60,$AO12),rngAMStart,"&lt;="&amp;Calendar!W$11,rngAMEnd,"&gt;="&amp;Calendar!W$11))</ns0:f>
        <ns0:v>0</ns0:v>
      </ns0:c>
      <ns0:c r="CP12" s="0">
        <ns0:f>IF(OR($AO12=0,$B$5&lt;&gt;"OK",$B$6&gt;0,Calendar!W$11=""),0,SUMIFS(rngEngine_V,rngEngine_B,INDEX(Team!$A$11:$A$60,$AO12),rngPMStart,"&lt;="&amp;Calendar!W$11,rngPMEnd,"&gt;="&amp;Calendar!W$11))</ns0:f>
        <ns0:v>0</ns0:v>
      </ns0:c>
      <ns0:c r="CQ12" s="0">
        <ns0:f>IF(OR($AO12=0,$B$5&lt;&gt;"OK",$B$6&gt;0,Calendar!X$11=""),0,SUMIFS(rngEngine_U,rngEngine_B,INDEX(Team!$A$11:$A$60,$AO12),rngAMStart,"&lt;="&amp;Calendar!X$11,rngAMEnd,"&gt;="&amp;Calendar!X$11))</ns0:f>
        <ns0:v>0</ns0:v>
      </ns0:c>
      <ns0:c r="CR12" s="0">
        <ns0:f>IF(OR($AO12=0,$B$5&lt;&gt;"OK",$B$6&gt;0,Calendar!X$11=""),0,SUMIFS(rngEngine_V,rngEngine_B,INDEX(Team!$A$11:$A$60,$AO12),rngPMStart,"&lt;="&amp;Calendar!X$11,rngPMEnd,"&gt;="&amp;Calendar!X$11))</ns0:f>
        <ns0:v>0</ns0:v>
      </ns0:c>
      <ns0:c r="CS12" s="0">
        <ns0:f>IF(OR($AO12=0,$B$5&lt;&gt;"OK",$B$6&gt;0,Calendar!Y$11=""),0,SUMIFS(rngEngine_U,rngEngine_B,INDEX(Team!$A$11:$A$60,$AO12),rngAMStart,"&lt;="&amp;Calendar!Y$11,rngAMEnd,"&gt;="&amp;Calendar!Y$11))</ns0:f>
        <ns0:v>0</ns0:v>
      </ns0:c>
      <ns0:c r="CT12" s="0">
        <ns0:f>IF(OR($AO12=0,$B$5&lt;&gt;"OK",$B$6&gt;0,Calendar!Y$11=""),0,SUMIFS(rngEngine_V,rngEngine_B,INDEX(Team!$A$11:$A$60,$AO12),rngPMStart,"&lt;="&amp;Calendar!Y$11,rngPMEnd,"&gt;="&amp;Calendar!Y$11))</ns0:f>
        <ns0:v>0</ns0:v>
      </ns0:c>
      <ns0:c r="CU12" s="0">
        <ns0:f>IF(OR($AO12=0,$B$5&lt;&gt;"OK",$B$6&gt;0,Calendar!Z$11=""),0,SUMIFS(rngEngine_U,rngEngine_B,INDEX(Team!$A$11:$A$60,$AO12),rngAMStart,"&lt;="&amp;Calendar!Z$11,rngAMEnd,"&gt;="&amp;Calendar!Z$11))</ns0:f>
        <ns0:v>0</ns0:v>
      </ns0:c>
      <ns0:c r="CV12" s="0">
        <ns0:f>IF(OR($AO12=0,$B$5&lt;&gt;"OK",$B$6&gt;0,Calendar!Z$11=""),0,SUMIFS(rngEngine_V,rngEngine_B,INDEX(Team!$A$11:$A$60,$AO12),rngPMStart,"&lt;="&amp;Calendar!Z$11,rngPMEnd,"&gt;="&amp;Calendar!Z$11))</ns0:f>
        <ns0:v>0</ns0:v>
      </ns0:c>
      <ns0:c r="CW12" s="0">
        <ns0:f>IF(OR($AO12=0,$B$5&lt;&gt;"OK",$B$6&gt;0,Calendar!AA$11=""),0,SUMIFS(rngEngine_U,rngEngine_B,INDEX(Team!$A$11:$A$60,$AO12),rngAMStart,"&lt;="&amp;Calendar!AA$11,rngAMEnd,"&gt;="&amp;Calendar!AA$11))</ns0:f>
        <ns0:v>0</ns0:v>
      </ns0:c>
      <ns0:c r="CX12" s="0">
        <ns0:f>IF(OR($AO12=0,$B$5&lt;&gt;"OK",$B$6&gt;0,Calendar!AA$11=""),0,SUMIFS(rngEngine_V,rngEngine_B,INDEX(Team!$A$11:$A$60,$AO12),rngPMStart,"&lt;="&amp;Calendar!AA$11,rngPMEnd,"&gt;="&amp;Calendar!AA$11))</ns0:f>
        <ns0:v>0</ns0:v>
      </ns0:c>
      <ns0:c r="CY12" s="0">
        <ns0:f>IF(OR($AO12=0,$B$5&lt;&gt;"OK",$B$6&gt;0,Calendar!AB$11=""),0,SUMIFS(rngEngine_U,rngEngine_B,INDEX(Team!$A$11:$A$60,$AO12),rngAMStart,"&lt;="&amp;Calendar!AB$11,rngAMEnd,"&gt;="&amp;Calendar!AB$11))</ns0:f>
        <ns0:v>0</ns0:v>
      </ns0:c>
      <ns0:c r="CZ12" s="0">
        <ns0:f>IF(OR($AO12=0,$B$5&lt;&gt;"OK",$B$6&gt;0,Calendar!AB$11=""),0,SUMIFS(rngEngine_V,rngEngine_B,INDEX(Team!$A$11:$A$60,$AO12),rngPMStart,"&lt;="&amp;Calendar!AB$11,rngPMEnd,"&gt;="&amp;Calendar!AB$11))</ns0:f>
        <ns0:v>0</ns0:v>
      </ns0:c>
      <ns0:c r="DA12" s="0">
        <ns0:f>IF(OR($AO12=0,$B$5&lt;&gt;"OK",$B$6&gt;0,Calendar!AC$11=""),0,SUMIFS(rngEngine_U,rngEngine_B,INDEX(Team!$A$11:$A$60,$AO12),rngAMStart,"&lt;="&amp;Calendar!AC$11,rngAMEnd,"&gt;="&amp;Calendar!AC$11))</ns0:f>
        <ns0:v>0</ns0:v>
      </ns0:c>
      <ns0:c r="DB12" s="0">
        <ns0:f>IF(OR($AO12=0,$B$5&lt;&gt;"OK",$B$6&gt;0,Calendar!AC$11=""),0,SUMIFS(rngEngine_V,rngEngine_B,INDEX(Team!$A$11:$A$60,$AO12),rngPMStart,"&lt;="&amp;Calendar!AC$11,rngPMEnd,"&gt;="&amp;Calendar!AC$11))</ns0:f>
        <ns0:v>0</ns0:v>
      </ns0:c>
      <ns0:c r="DC12" s="0">
        <ns0:f>IF(OR($AO12=0,$B$5&lt;&gt;"OK",$B$6&gt;0,Calendar!AD$11=""),0,SUMIFS(rngEngine_U,rngEngine_B,INDEX(Team!$A$11:$A$60,$AO12),rngAMStart,"&lt;="&amp;Calendar!AD$11,rngAMEnd,"&gt;="&amp;Calendar!AD$11))</ns0:f>
        <ns0:v>0</ns0:v>
      </ns0:c>
      <ns0:c r="DD12" s="0">
        <ns0:f>IF(OR($AO12=0,$B$5&lt;&gt;"OK",$B$6&gt;0,Calendar!AD$11=""),0,SUMIFS(rngEngine_V,rngEngine_B,INDEX(Team!$A$11:$A$60,$AO12),rngPMStart,"&lt;="&amp;Calendar!AD$11,rngPMEnd,"&gt;="&amp;Calendar!AD$11))</ns0:f>
        <ns0:v>0</ns0:v>
      </ns0:c>
      <ns0:c r="DE12" s="0">
        <ns0:f>IF(OR($AO12=0,$B$5&lt;&gt;"OK",$B$6&gt;0,Calendar!AE$11=""),0,SUMIFS(rngEngine_U,rngEngine_B,INDEX(Team!$A$11:$A$60,$AO12),rngAMStart,"&lt;="&amp;Calendar!AE$11,rngAMEnd,"&gt;="&amp;Calendar!AE$11))</ns0:f>
        <ns0:v>0</ns0:v>
      </ns0:c>
      <ns0:c r="DF12" s="0">
        <ns0:f>IF(OR($AO12=0,$B$5&lt;&gt;"OK",$B$6&gt;0,Calendar!AE$11=""),0,SUMIFS(rngEngine_V,rngEngine_B,INDEX(Team!$A$11:$A$60,$AO12),rngPMStart,"&lt;="&amp;Calendar!AE$11,rngPMEnd,"&gt;="&amp;Calendar!AE$11))</ns0:f>
        <ns0:v>0</ns0:v>
      </ns0:c>
      <ns0:c r="DG12" s="0">
        <ns0:f>IF(OR($AO12=0,$B$5&lt;&gt;"OK",$B$6&gt;0,Calendar!AF$11=""),0,SUMIFS(rngEngine_U,rngEngine_B,INDEX(Team!$A$11:$A$60,$AO12),rngAMStart,"&lt;="&amp;Calendar!AF$11,rngAMEnd,"&gt;="&amp;Calendar!AF$11))</ns0:f>
        <ns0:v>0</ns0:v>
      </ns0:c>
      <ns0:c r="DH12" s="0">
        <ns0:f>IF(OR($AO12=0,$B$5&lt;&gt;"OK",$B$6&gt;0,Calendar!AF$11=""),0,SUMIFS(rngEngine_V,rngEngine_B,INDEX(Team!$A$11:$A$60,$AO12),rngPMStart,"&lt;="&amp;Calendar!AF$11,rngPMEnd,"&gt;="&amp;Calendar!AF$11))</ns0:f>
        <ns0:v>0</ns0:v>
      </ns0:c>
      <ns0:c r="DI12" s="0">
        <ns0:f>IF(OR($AO12=0,$B$5&lt;&gt;"OK",$B$6&gt;0,Calendar!AG$11=""),0,SUMIFS(rngEngine_U,rngEngine_B,INDEX(Team!$A$11:$A$60,$AO12),rngAMStart,"&lt;="&amp;Calendar!AG$11,rngAMEnd,"&gt;="&amp;Calendar!AG$11))</ns0:f>
        <ns0:v>0</ns0:v>
      </ns0:c>
      <ns0:c r="DJ12" s="0">
        <ns0:f>IF(OR($AO12=0,$B$5&lt;&gt;"OK",$B$6&gt;0,Calendar!AG$11=""),0,SUMIFS(rngEngine_V,rngEngine_B,INDEX(Team!$A$11:$A$60,$AO12),rngPMStart,"&lt;="&amp;Calendar!AG$11,rngPMEnd,"&gt;="&amp;Calendar!AG$11))</ns0:f>
        <ns0:v>0</ns0:v>
      </ns0:c>
      <ns0:c r="DK12" s="0">
        <ns0:f>IF(OR($AO12=0,$B$5&lt;&gt;"OK",$B$6&gt;0,Calendar!AH$11=""),0,SUMIFS(rngEngine_U,rngEngine_B,INDEX(Team!$A$11:$A$60,$AO12),rngAMStart,"&lt;="&amp;Calendar!AH$11,rngAMEnd,"&gt;="&amp;Calendar!AH$11))</ns0:f>
        <ns0:v>0</ns0:v>
      </ns0:c>
      <ns0:c r="DL12" s="0">
        <ns0:f>IF(OR($AO12=0,$B$5&lt;&gt;"OK",$B$6&gt;0,Calendar!AH$11=""),0,SUMIFS(rngEngine_V,rngEngine_B,INDEX(Team!$A$11:$A$60,$AO12),rngPMStart,"&lt;="&amp;Calendar!AH$11,rngPMEnd,"&gt;="&amp;Calendar!AH$11))</ns0:f>
        <ns0:v>0</ns0:v>
      </ns0:c>
    </ns0:row>
    <ns0:row r="13" ht="22" customHeight="1">
      <ns0:c r="A13" s="4">
        <ns0:f>IF(COUNTA(Bookings!A13:G13,Bookings!I13)=0,0,1)</ns0:f>
        <ns0:v>1</ns0:v>
      </ns0:c>
      <ns0:c r="B13" s="4" t="str">
        <ns0:f>IFERROR(TRIM(MID(Bookings!A13,FIND(" · ",Bookings!A13)+3,99)),"")</ns0:f>
        <ns0:v>EMP001</ns0:v>
      </ns0:c>
      <ns0:c r="C13" s="4">
        <ns0:f>IF(OR(B13="",LEN(B13)&gt;24,ISNUMBER(FIND(" ",B13)),ISNUMBER(FIND("*",B13)),ISNUMBER(FIND("?",B13)),ISNUMBER(FIND("~",B13))),0,IFERROR(MATCH(B13,Team!$A$11:$A$60,0),0))</ns0:f>
        <ns0:v>1</ns0:v>
      </ns0:c>
      <ns0:c r="D13" s="4" t="str">
        <ns0:f>IFERROR(IF(MID(Bookings!F13,LEN(Bookings!F13)-3,3)=" · ",RIGHT(Bookings!F13,1),""),"")</ns0:f>
        <ns0:v>H</ns0:v>
      </ns0:c>
      <ns0:c r="E13" s="4" t="str">
        <ns0:f>IFERROR(INDEX(Settings!$H$7:$H$11,MATCH(D13,Settings!$G$7:$G$11,0)),"")</ns0:f>
        <ns0:v>Yes</ns0:v>
      </ns0:c>
      <ns0:c r="F13" s="4" t="str">
        <ns0:f>IF(A13=0,"",IFERROR(IF(OR(B13="",C13=0),"CHECK employee selection",IF(INDEX(Team!$O$11:$O$60,C13)&lt;&gt;"OK","CHECK employee setup",IF(OR('_Dates'!J13=0,'_Dates'!T13=0),"CHECK date: use DD.MM.YYYY",IF('_Dates'!T13&lt;'_Dates'!J13,"CHECK end before start",IF(AND($B$6=0,OR('_Dates'!J13&lt;Settings!$B$7,'_Dates'!T13&gt;Settings!$B$8)),"CHECK split across leave years",IF(OR(NOT(OR('_Dates'!U13="Full day",'_Dates'!U13="AM",'_Dates'!U13="PM")),NOT(OR('_Dates'!V13="Full day",'_Dates'!V13="AM",'_Dates'!V13="PM"))),"CHECK Full day / AM / PM",IF(AND('_Dates'!J13='_Dates'!T13,'_Dates'!U13&lt;&gt;"Full day",'_Dates'!V13&lt;&gt;"Full day",'_Dates'!U13&lt;&gt;'_Dates'!V13),"CHECK same-day portions disagree",IF(AND($B$6=0,OR(AND('_Dates'!U13&lt;&gt;"Full day",'_Dates'!AA13=0),AND('_Dates'!V13&lt;&gt;"Full day",'_Dates'!AB13=0))),"CHECK half-day on non-working date",IF(COUNTIF(Settings!$G$7:$G$11,D13)&lt;&gt;1,"CHECK leave type",IF(AND(Bookings!G13&lt;&gt;"Approved",Bookings!G13&lt;&gt;"Pending",Bookings!G13&lt;&gt;"Cancelled"),"CHECK status","OK")))))))))),"CHECK input"))</ns0:f>
        <ns0:v>OK</ns0:v>
      </ns0:c>
      <ns0:c r="G13" s="4">
        <ns0:f>IF(OR(F13&lt;&gt;"OK",$B$6&gt;0),0,0.5*(IF(('_Dates'!X13)&lt;('_Dates'!W13),0,INT((('_Dates'!X13)-('_Dates'!W13)+1)/7)*LEN(SUBSTITUTE(W13,"O",""))+LEN(SUBSTITUTE(MID(W13&amp;W13,WEEKDAY(('_Dates'!W13),2),MOD((('_Dates'!X13)-('_Dates'!W13)+1),7)),"O",""))-COUNTIFS(INDEX(AllClosureRows,C13,0),"&gt;="&amp;('_Dates'!W13),INDEX(AllClosureRows,C13,0),"&lt;="&amp;('_Dates'!X13)))+IF(('_Dates'!Z13)&lt;('_Dates'!Y13),0,INT((('_Dates'!Z13)-('_Dates'!Y13)+1)/7)*LEN(SUBSTITUTE(W13,"O",""))+LEN(SUBSTITUTE(MID(W13&amp;W13,WEEKDAY(('_Dates'!Y13),2),MOD((('_Dates'!Z13)-('_Dates'!Y13)+1),7)),"O",""))-COUNTIFS(INDEX(AllClosureRows,C13,0),"&gt;="&amp;('_Dates'!Y13),INDEX(AllClosureRows,C13,0),"&lt;="&amp;('_Dates'!Z13)))))</ns0:f>
        <ns0:v>5</ns0:v>
      </ns0:c>
      <ns0:c r="H13" s="4">
        <ns0:f>IF(OR(F13&lt;&gt;"OK",$B$6&gt;0),0,0.5*(IF((MIN('_Dates'!X13,Settings!$B$9))&lt;('_Dates'!W13),0,INT(((MIN('_Dates'!X13,Settings!$B$9))-('_Dates'!W13)+1)/7)*LEN(SUBSTITUTE(W13,"O",""))+LEN(SUBSTITUTE(MID(W13&amp;W13,WEEKDAY(('_Dates'!W13),2),MOD(((MIN('_Dates'!X13,Settings!$B$9))-('_Dates'!W13)+1),7)),"O",""))-COUNTIFS(INDEX(AllClosureRows,C13,0),"&gt;="&amp;('_Dates'!W13),INDEX(AllClosureRows,C13,0),"&lt;="&amp;(MIN('_Dates'!X13,Settings!$B$9))))+IF((MIN('_Dates'!Z13,Settings!$B$9))&lt;('_Dates'!Y13),0,INT(((MIN('_Dates'!Z13,Settings!$B$9))-('_Dates'!Y13)+1)/7)*LEN(SUBSTITUTE(W13,"O",""))+LEN(SUBSTITUTE(MID(W13&amp;W13,WEEKDAY(('_Dates'!Y13),2),MOD(((MIN('_Dates'!Z13,Settings!$B$9))-('_Dates'!Y13)+1),7)),"O",""))-COUNTIFS(INDEX(AllClosureRows,C13,0),"&gt;="&amp;('_Dates'!Y13),INDEX(AllClosureRows,C13,0),"&lt;="&amp;(MIN('_Dates'!Z13,Settings!$B$9))))))</ns0:f>
        <ns0:v>0</ns0:v>
      </ns0:c>
      <ns0:c r="I13" s="4">
        <ns0:f>MAX(0,G13-H13)</ns0:f>
        <ns0:v>5</ns0:v>
      </ns0:c>
      <ns0:c r="J13" s="4">
        <ns0:f>IF(OR(A13=0,F13&lt;&gt;"OK",Bookings!G13="Cancelled",$B$6&gt;0),0,IF('_Dates'!AC13=1,MAX(0,COUNTIFS(rngEngine_B,B13,rngAMStart,"&lt;="&amp;'_Dates'!X13,rngAMEnd,"&gt;="&amp;'_Dates'!W13,rngAMActive,1,rngEngine_F,"OK",rngBookings_F,"&lt;&gt;Cancelled")-1),0)+IF('_Dates'!AD13=1,MAX(0,COUNTIFS(rngEngine_B,B13,rngPMStart,"&lt;="&amp;'_Dates'!Z13,rngPMEnd,"&gt;="&amp;'_Dates'!Y13,rngPMActive,1,rngEngine_F,"OK",rngBookings_F,"&lt;&gt;Cancelled")-1),0))</ns0:f>
        <ns0:v>0</ns0:v>
      </ns0:c>
      <ns0:c r="K13" s="0" t="str">
        <ns0:f>IF(A13=0,"",IF(F13&lt;&gt;"OK",F13,IF(J13&gt;0,"CHECK overlapping entry",IF(AND($B$6=0,G13&lt;=0,Bookings!G13&lt;&gt;"Cancelled"),"CHECK no working days",IF(Bookings!G13="Cancelled","Cancelled","OK")))))</ns0:f>
        <ns0:v>Cancelled</ns0:v>
      </ns0:c>
      <ns0:c r="L13" s="0">
        <ns0:f>IF(LEFT(K13,5)="CHECK",1,0)</ns0:f>
        <ns0:v>0</ns0:v>
      </ns0:c>
      <ns0:c r="M13" s="0">
        <ns0:f>IF(AND(L13=1,OR(C13=0,IFERROR(INDEX($X$11:$X$60,C13),0)=0)),1,0)</ns0:f>
        <ns0:v>0</ns0:v>
      </ns0:c>
      <ns0:c r="N13" s="0">
        <ns0:f>IF(OR(A13=0,L13&gt;0,$B$6&gt;0,Bookings!G13="Cancelled"),0,G13)</ns0:f>
        <ns0:v>0</ns0:v>
      </ns0:c>
      <ns0:c r="O13" s="0">
        <ns0:f>IF(AND(Bookings!G13="Approved",E13="Yes"),N13,0)</ns0:f>
        <ns0:v>0</ns0:v>
      </ns0:c>
      <ns0:c r="P13" s="0">
        <ns0:f>IF(AND(Bookings!G13="Approved",E13="Yes",L13=0,$B$6=0),H13,0)</ns0:f>
        <ns0:v>0</ns0:v>
      </ns0:c>
      <ns0:c r="Q13" s="0">
        <ns0:f>IF(AND(Bookings!G13="Approved",E13="Yes",L13=0,$B$6=0),I13,0)</ns0:f>
        <ns0:v>0</ns0:v>
      </ns0:c>
      <ns0:c r="R13" s="0">
        <ns0:f>IF(AND(Bookings!G13="Pending",E13="Yes"),N13,0)</ns0:f>
        <ns0:v>0</ns0:v>
      </ns0:c>
      <ns0:c r="S13" s="0">
        <ns0:f>IF(AND(Bookings!G13="Approved",E13="No"),N13,0)</ns0:f>
        <ns0:v>0</ns0:v>
      </ns0:c>
      <ns0:c r="T13" s="0">
        <ns0:f>IFERROR(MATCH(D13,Settings!$G$7:$G$11,0),0)</ns0:f>
        <ns0:v>1</ns0:v>
      </ns0:c>
      <ns0:c r="U13" s="0">
        <ns0:f>IF(N13&gt;0,T13+IF(Bookings!G13="Pending",10,0),0)</ns0:f>
        <ns0:v>0</ns0:v>
      </ns0:c>
      <ns0:c r="V13" s="0">
        <ns0:f>U13</ns0:f>
        <ns0:v>0</ns0:v>
      </ns0:c>
      <ns0:c r="W13" s="0" t="str">
        <ns0:f>IF(C13=0,"",INDEX($AP$11:$AP$60,C13))</ns0:f>
        <ns0:v>WWWWWOO</ns0:v>
      </ns0:c>
      <ns0:c r="X13" s="0">
        <ns0:f>IF(COUNTA(Team!B13:D13)=0,0,1)</ns0:f>
        <ns0:v>1</ns0:v>
      </ns0:c>
      <ns0:c r="Y13" s="0" t="str">
        <ns0:f>IF(X13=0,"",IF(Team!B13="","[Unnamed]",Team!B13)&amp;" · "&amp;Team!A13)</ns0:f>
        <ns0:v>Sam Patel · EMP003</ns0:v>
      </ns0:c>
      <ns0:c r="Z13" s="0">
        <ns0:f>IF(X13=0,0,COUNTIF(Team!H13:N13,"Work"))</ns0:f>
        <ns0:v>3</ns0:v>
      </ns0:c>
      <ns0:c r="AA13" s="0">
        <ns0:f>IF(LEFT(Team!O13,5)="CHECK",1,0)</ns0:f>
        <ns0:v>0</ns0:v>
      </ns0:c>
      <ns0:c r="AB13" s="0">
        <ns0:f>IF(X13=0,0,SUMIFS(rngEngine_L,rngEngine_B,Team!A13))</ns0:f>
        <ns0:v>0</ns0:v>
      </ns0:c>
      <ns0:c r="AC13" s="0">
        <ns0:f>IF(AND(X13=1,OR(Calendar!$C$7="All teams",Team!C13=Calendar!$C$7)),MAX($AC$10:AC12)+1,"")</ns0:f>
        <ns0:v>3</ns0:v>
      </ns0:c>
      <ns0:c r="AD13" s="0" t="str">
        <ns0:f>IF(OR(X13=0,Team!C13="",COUNTIF(Team!$C$11:C13,Team!C13)&gt;1),"",MAX($AD$10:AD12)+1)</ns0:f>
        <ns0:v/>
      </ns0:c>
      <ns0:c r="AE13" s="0" t="str">
        <ns0:f>IFERROR(INDEX(Team!$C$11:$C$60,MATCH(ROW()-10,$AD$11:$AD$60,0)),"")</ns0:f>
        <ns0:v/>
      </ns0:c>
      <ns0:c r="AF13" s="0" t="str">
        <ns0:f>AE13</ns0:f>
        <ns0:v/>
      </ns0:c>
      <ns0:c r="AG13" s="0">
        <ns0:f>IF(X13=0,0,IFERROR(Team!F13+Team!G13,0))</ns0:f>
        <ns0:v>15</ns0:v>
      </ns0:c>
      <ns0:c r="AH13" s="0">
        <ns0:f>IF(X13=0,0,SUMIFS(rngEngine_P,rngEngine_B,Team!A13))</ns0:f>
        <ns0:v>0</ns0:v>
      </ns0:c>
      <ns0:c r="AI13" s="0">
        <ns0:f>IF(X13=0,0,SUMIFS(rngEngine_Q,rngEngine_B,Team!A13))</ns0:f>
        <ns0:v>3</ns0:v>
      </ns0:c>
      <ns0:c r="AJ13" s="0">
        <ns0:f>IF(X13=0,0,SUMIFS(rngEngine_R,rngEngine_B,Team!A13))</ns0:f>
        <ns0:v>3</ns0:v>
      </ns0:c>
      <ns0:c r="AK13" s="0">
        <ns0:f>IF(X13=0,0,SUMIFS(rngEngine_S,rngEngine_B,Team!A13))</ns0:f>
        <ns0:v>0</ns0:v>
      </ns0:c>
      <ns0:c r="AL13" s="0">
        <ns0:f>AH13+AI13</ns0:f>
        <ns0:v>3</ns0:v>
      </ns0:c>
      <ns0:c r="AM13" s="0" t="str">
        <ns0:f>IF(X13=0,"",IF(AA13&gt;0,"CHECK team setup",IF(AB13&gt;0,"CHECK "&amp;AB13&amp;" booking(s)","OK")))</ns0:f>
        <ns0:v>OK</ns0:v>
      </ns0:c>
      <ns0:c r="AN13" s="0">
        <ns0:f>IF(X13=0,"",IF(OR($B$6&gt;0,AM13&lt;&gt;"OK"),"REVIEW",AG13-AL13))</ns0:f>
        <ns0:v>12</ns0:v>
      </ns0:c>
      <ns0:c r="AO13" s="0">
        <ns0:f>IFERROR(MATCH(ROW()-11,$AC$11:$AC$60,0),0)</ns0:f>
        <ns0:v>2</ns0:v>
      </ns0:c>
      <ns0:c r="AP13" s="0" t="str">
        <ns0:f>IF(Team!H13="Work","W","O")&amp;IF(Team!I13="Work","W","O")&amp;IF(Team!J13="Work","W","O")&amp;IF(Team!K13="Work","W","O")&amp;IF(Team!L13="Work","W","O")&amp;IF(Team!M13="Work","W","O")&amp;IF(Team!N13="Work","W","O")</ns0:f>
        <ns0:v>WWWOOOO</ns0:v>
      </ns0:c>
      <ns0:c r="AS13" t="inlineStr">
        <ns0:is>
          <ns0:t>March</ns0:t>
        </ns0:is>
      </ns0:c>
      <ns0:c r="BC13" s="0">
        <ns0:f>IF(OR($AO13=0,$B$5&lt;&gt;"OK",$B$6&gt;0,Calendar!D$11=""),0,SUMIFS(rngEngine_U,rngEngine_B,INDEX(Team!$A$11:$A$60,$AO13),rngAMStart,"&lt;="&amp;Calendar!D$11,rngAMEnd,"&gt;="&amp;Calendar!D$11))</ns0:f>
        <ns0:v>0</ns0:v>
      </ns0:c>
      <ns0:c r="BD13" s="0">
        <ns0:f>IF(OR($AO13=0,$B$5&lt;&gt;"OK",$B$6&gt;0,Calendar!D$11=""),0,SUMIFS(rngEngine_V,rngEngine_B,INDEX(Team!$A$11:$A$60,$AO13),rngPMStart,"&lt;="&amp;Calendar!D$11,rngPMEnd,"&gt;="&amp;Calendar!D$11))</ns0:f>
        <ns0:v>0</ns0:v>
      </ns0:c>
      <ns0:c r="BE13" s="0">
        <ns0:f>IF(OR($AO13=0,$B$5&lt;&gt;"OK",$B$6&gt;0,Calendar!E$11=""),0,SUMIFS(rngEngine_U,rngEngine_B,INDEX(Team!$A$11:$A$60,$AO13),rngAMStart,"&lt;="&amp;Calendar!E$11,rngAMEnd,"&gt;="&amp;Calendar!E$11))</ns0:f>
        <ns0:v>0</ns0:v>
      </ns0:c>
      <ns0:c r="BF13" s="0">
        <ns0:f>IF(OR($AO13=0,$B$5&lt;&gt;"OK",$B$6&gt;0,Calendar!E$11=""),0,SUMIFS(rngEngine_V,rngEngine_B,INDEX(Team!$A$11:$A$60,$AO13),rngPMStart,"&lt;="&amp;Calendar!E$11,rngPMEnd,"&gt;="&amp;Calendar!E$11))</ns0:f>
        <ns0:v>0</ns0:v>
      </ns0:c>
      <ns0:c r="BG13" s="0">
        <ns0:f>IF(OR($AO13=0,$B$5&lt;&gt;"OK",$B$6&gt;0,Calendar!F$11=""),0,SUMIFS(rngEngine_U,rngEngine_B,INDEX(Team!$A$11:$A$60,$AO13),rngAMStart,"&lt;="&amp;Calendar!F$11,rngAMEnd,"&gt;="&amp;Calendar!F$11))</ns0:f>
        <ns0:v>0</ns0:v>
      </ns0:c>
      <ns0:c r="BH13" s="0">
        <ns0:f>IF(OR($AO13=0,$B$5&lt;&gt;"OK",$B$6&gt;0,Calendar!F$11=""),0,SUMIFS(rngEngine_V,rngEngine_B,INDEX(Team!$A$11:$A$60,$AO13),rngPMStart,"&lt;="&amp;Calendar!F$11,rngPMEnd,"&gt;="&amp;Calendar!F$11))</ns0:f>
        <ns0:v>0</ns0:v>
      </ns0:c>
      <ns0:c r="BI13" s="0">
        <ns0:f>IF(OR($AO13=0,$B$5&lt;&gt;"OK",$B$6&gt;0,Calendar!G$11=""),0,SUMIFS(rngEngine_U,rngEngine_B,INDEX(Team!$A$11:$A$60,$AO13),rngAMStart,"&lt;="&amp;Calendar!G$11,rngAMEnd,"&gt;="&amp;Calendar!G$11))</ns0:f>
        <ns0:v>0</ns0:v>
      </ns0:c>
      <ns0:c r="BJ13" s="0">
        <ns0:f>IF(OR($AO13=0,$B$5&lt;&gt;"OK",$B$6&gt;0,Calendar!G$11=""),0,SUMIFS(rngEngine_V,rngEngine_B,INDEX(Team!$A$11:$A$60,$AO13),rngPMStart,"&lt;="&amp;Calendar!G$11,rngPMEnd,"&gt;="&amp;Calendar!G$11))</ns0:f>
        <ns0:v>0</ns0:v>
      </ns0:c>
      <ns0:c r="BK13" s="0">
        <ns0:f>IF(OR($AO13=0,$B$5&lt;&gt;"OK",$B$6&gt;0,Calendar!H$11=""),0,SUMIFS(rngEngine_U,rngEngine_B,INDEX(Team!$A$11:$A$60,$AO13),rngAMStart,"&lt;="&amp;Calendar!H$11,rngAMEnd,"&gt;="&amp;Calendar!H$11))</ns0:f>
        <ns0:v>0</ns0:v>
      </ns0:c>
      <ns0:c r="BL13" s="0">
        <ns0:f>IF(OR($AO13=0,$B$5&lt;&gt;"OK",$B$6&gt;0,Calendar!H$11=""),0,SUMIFS(rngEngine_V,rngEngine_B,INDEX(Team!$A$11:$A$60,$AO13),rngPMStart,"&lt;="&amp;Calendar!H$11,rngPMEnd,"&gt;="&amp;Calendar!H$11))</ns0:f>
        <ns0:v>0</ns0:v>
      </ns0:c>
      <ns0:c r="BM13" s="0">
        <ns0:f>IF(OR($AO13=0,$B$5&lt;&gt;"OK",$B$6&gt;0,Calendar!I$11=""),0,SUMIFS(rngEngine_U,rngEngine_B,INDEX(Team!$A$11:$A$60,$AO13),rngAMStart,"&lt;="&amp;Calendar!I$11,rngAMEnd,"&gt;="&amp;Calendar!I$11))</ns0:f>
        <ns0:v>0</ns0:v>
      </ns0:c>
      <ns0:c r="BN13" s="0">
        <ns0:f>IF(OR($AO13=0,$B$5&lt;&gt;"OK",$B$6&gt;0,Calendar!I$11=""),0,SUMIFS(rngEngine_V,rngEngine_B,INDEX(Team!$A$11:$A$60,$AO13),rngPMStart,"&lt;="&amp;Calendar!I$11,rngPMEnd,"&gt;="&amp;Calendar!I$11))</ns0:f>
        <ns0:v>0</ns0:v>
      </ns0:c>
      <ns0:c r="BO13" s="0">
        <ns0:f>IF(OR($AO13=0,$B$5&lt;&gt;"OK",$B$6&gt;0,Calendar!J$11=""),0,SUMIFS(rngEngine_U,rngEngine_B,INDEX(Team!$A$11:$A$60,$AO13),rngAMStart,"&lt;="&amp;Calendar!J$11,rngAMEnd,"&gt;="&amp;Calendar!J$11))</ns0:f>
        <ns0:v>0</ns0:v>
      </ns0:c>
      <ns0:c r="BP13" s="0">
        <ns0:f>IF(OR($AO13=0,$B$5&lt;&gt;"OK",$B$6&gt;0,Calendar!J$11=""),0,SUMIFS(rngEngine_V,rngEngine_B,INDEX(Team!$A$11:$A$60,$AO13),rngPMStart,"&lt;="&amp;Calendar!J$11,rngPMEnd,"&gt;="&amp;Calendar!J$11))</ns0:f>
        <ns0:v>0</ns0:v>
      </ns0:c>
      <ns0:c r="BQ13" s="0">
        <ns0:f>IF(OR($AO13=0,$B$5&lt;&gt;"OK",$B$6&gt;0,Calendar!K$11=""),0,SUMIFS(rngEngine_U,rngEngine_B,INDEX(Team!$A$11:$A$60,$AO13),rngAMStart,"&lt;="&amp;Calendar!K$11,rngAMEnd,"&gt;="&amp;Calendar!K$11))</ns0:f>
        <ns0:v>0</ns0:v>
      </ns0:c>
      <ns0:c r="BR13" s="0">
        <ns0:f>IF(OR($AO13=0,$B$5&lt;&gt;"OK",$B$6&gt;0,Calendar!K$11=""),0,SUMIFS(rngEngine_V,rngEngine_B,INDEX(Team!$A$11:$A$60,$AO13),rngPMStart,"&lt;="&amp;Calendar!K$11,rngPMEnd,"&gt;="&amp;Calendar!K$11))</ns0:f>
        <ns0:v>0</ns0:v>
      </ns0:c>
      <ns0:c r="BS13" s="0">
        <ns0:f>IF(OR($AO13=0,$B$5&lt;&gt;"OK",$B$6&gt;0,Calendar!L$11=""),0,SUMIFS(rngEngine_U,rngEngine_B,INDEX(Team!$A$11:$A$60,$AO13),rngAMStart,"&lt;="&amp;Calendar!L$11,rngAMEnd,"&gt;="&amp;Calendar!L$11))</ns0:f>
        <ns0:v>0</ns0:v>
      </ns0:c>
      <ns0:c r="BT13" s="0">
        <ns0:f>IF(OR($AO13=0,$B$5&lt;&gt;"OK",$B$6&gt;0,Calendar!L$11=""),0,SUMIFS(rngEngine_V,rngEngine_B,INDEX(Team!$A$11:$A$60,$AO13),rngPMStart,"&lt;="&amp;Calendar!L$11,rngPMEnd,"&gt;="&amp;Calendar!L$11))</ns0:f>
        <ns0:v>0</ns0:v>
      </ns0:c>
      <ns0:c r="BU13" s="0">
        <ns0:f>IF(OR($AO13=0,$B$5&lt;&gt;"OK",$B$6&gt;0,Calendar!M$11=""),0,SUMIFS(rngEngine_U,rngEngine_B,INDEX(Team!$A$11:$A$60,$AO13),rngAMStart,"&lt;="&amp;Calendar!M$11,rngAMEnd,"&gt;="&amp;Calendar!M$11))</ns0:f>
        <ns0:v>0</ns0:v>
      </ns0:c>
      <ns0:c r="BV13" s="0">
        <ns0:f>IF(OR($AO13=0,$B$5&lt;&gt;"OK",$B$6&gt;0,Calendar!M$11=""),0,SUMIFS(rngEngine_V,rngEngine_B,INDEX(Team!$A$11:$A$60,$AO13),rngPMStart,"&lt;="&amp;Calendar!M$11,rngPMEnd,"&gt;="&amp;Calendar!M$11))</ns0:f>
        <ns0:v>0</ns0:v>
      </ns0:c>
      <ns0:c r="BW13" s="0">
        <ns0:f>IF(OR($AO13=0,$B$5&lt;&gt;"OK",$B$6&gt;0,Calendar!N$11=""),0,SUMIFS(rngEngine_U,rngEngine_B,INDEX(Team!$A$11:$A$60,$AO13),rngAMStart,"&lt;="&amp;Calendar!N$11,rngAMEnd,"&gt;="&amp;Calendar!N$11))</ns0:f>
        <ns0:v>0</ns0:v>
      </ns0:c>
      <ns0:c r="BX13" s="0">
        <ns0:f>IF(OR($AO13=0,$B$5&lt;&gt;"OK",$B$6&gt;0,Calendar!N$11=""),0,SUMIFS(rngEngine_V,rngEngine_B,INDEX(Team!$A$11:$A$60,$AO13),rngPMStart,"&lt;="&amp;Calendar!N$11,rngPMEnd,"&gt;="&amp;Calendar!N$11))</ns0:f>
        <ns0:v>0</ns0:v>
      </ns0:c>
      <ns0:c r="BY13" s="0">
        <ns0:f>IF(OR($AO13=0,$B$5&lt;&gt;"OK",$B$6&gt;0,Calendar!O$11=""),0,SUMIFS(rngEngine_U,rngEngine_B,INDEX(Team!$A$11:$A$60,$AO13),rngAMStart,"&lt;="&amp;Calendar!O$11,rngAMEnd,"&gt;="&amp;Calendar!O$11))</ns0:f>
        <ns0:v>4</ns0:v>
      </ns0:c>
      <ns0:c r="BZ13" s="0">
        <ns0:f>IF(OR($AO13=0,$B$5&lt;&gt;"OK",$B$6&gt;0,Calendar!O$11=""),0,SUMIFS(rngEngine_V,rngEngine_B,INDEX(Team!$A$11:$A$60,$AO13),rngPMStart,"&lt;="&amp;Calendar!O$11,rngPMEnd,"&gt;="&amp;Calendar!O$11))</ns0:f>
        <ns0:v>4</ns0:v>
      </ns0:c>
      <ns0:c r="CA13" s="0">
        <ns0:f>IF(OR($AO13=0,$B$5&lt;&gt;"OK",$B$6&gt;0,Calendar!P$11=""),0,SUMIFS(rngEngine_U,rngEngine_B,INDEX(Team!$A$11:$A$60,$AO13),rngAMStart,"&lt;="&amp;Calendar!P$11,rngAMEnd,"&gt;="&amp;Calendar!P$11))</ns0:f>
        <ns0:v>0</ns0:v>
      </ns0:c>
      <ns0:c r="CB13" s="0">
        <ns0:f>IF(OR($AO13=0,$B$5&lt;&gt;"OK",$B$6&gt;0,Calendar!P$11=""),0,SUMIFS(rngEngine_V,rngEngine_B,INDEX(Team!$A$11:$A$60,$AO13),rngPMStart,"&lt;="&amp;Calendar!P$11,rngPMEnd,"&gt;="&amp;Calendar!P$11))</ns0:f>
        <ns0:v>0</ns0:v>
      </ns0:c>
      <ns0:c r="CC13" s="0">
        <ns0:f>IF(OR($AO13=0,$B$5&lt;&gt;"OK",$B$6&gt;0,Calendar!Q$11=""),0,SUMIFS(rngEngine_U,rngEngine_B,INDEX(Team!$A$11:$A$60,$AO13),rngAMStart,"&lt;="&amp;Calendar!Q$11,rngAMEnd,"&gt;="&amp;Calendar!Q$11))</ns0:f>
        <ns0:v>0</ns0:v>
      </ns0:c>
      <ns0:c r="CD13" s="0">
        <ns0:f>IF(OR($AO13=0,$B$5&lt;&gt;"OK",$B$6&gt;0,Calendar!Q$11=""),0,SUMIFS(rngEngine_V,rngEngine_B,INDEX(Team!$A$11:$A$60,$AO13),rngPMStart,"&lt;="&amp;Calendar!Q$11,rngPMEnd,"&gt;="&amp;Calendar!Q$11))</ns0:f>
        <ns0:v>1</ns0:v>
      </ns0:c>
      <ns0:c r="CE13" s="0">
        <ns0:f>IF(OR($AO13=0,$B$5&lt;&gt;"OK",$B$6&gt;0,Calendar!R$11=""),0,SUMIFS(rngEngine_U,rngEngine_B,INDEX(Team!$A$11:$A$60,$AO13),rngAMStart,"&lt;="&amp;Calendar!R$11,rngAMEnd,"&gt;="&amp;Calendar!R$11))</ns0:f>
        <ns0:v>1</ns0:v>
      </ns0:c>
      <ns0:c r="CF13" s="0">
        <ns0:f>IF(OR($AO13=0,$B$5&lt;&gt;"OK",$B$6&gt;0,Calendar!R$11=""),0,SUMIFS(rngEngine_V,rngEngine_B,INDEX(Team!$A$11:$A$60,$AO13),rngPMStart,"&lt;="&amp;Calendar!R$11,rngPMEnd,"&gt;="&amp;Calendar!R$11))</ns0:f>
        <ns0:v>1</ns0:v>
      </ns0:c>
      <ns0:c r="CG13" s="0">
        <ns0:f>IF(OR($AO13=0,$B$5&lt;&gt;"OK",$B$6&gt;0,Calendar!S$11=""),0,SUMIFS(rngEngine_U,rngEngine_B,INDEX(Team!$A$11:$A$60,$AO13),rngAMStart,"&lt;="&amp;Calendar!S$11,rngAMEnd,"&gt;="&amp;Calendar!S$11))</ns0:f>
        <ns0:v>0</ns0:v>
      </ns0:c>
      <ns0:c r="CH13" s="0">
        <ns0:f>IF(OR($AO13=0,$B$5&lt;&gt;"OK",$B$6&gt;0,Calendar!S$11=""),0,SUMIFS(rngEngine_V,rngEngine_B,INDEX(Team!$A$11:$A$60,$AO13),rngPMStart,"&lt;="&amp;Calendar!S$11,rngPMEnd,"&gt;="&amp;Calendar!S$11))</ns0:f>
        <ns0:v>0</ns0:v>
      </ns0:c>
      <ns0:c r="CI13" s="0">
        <ns0:f>IF(OR($AO13=0,$B$5&lt;&gt;"OK",$B$6&gt;0,Calendar!T$11=""),0,SUMIFS(rngEngine_U,rngEngine_B,INDEX(Team!$A$11:$A$60,$AO13),rngAMStart,"&lt;="&amp;Calendar!T$11,rngAMEnd,"&gt;="&amp;Calendar!T$11))</ns0:f>
        <ns0:v>0</ns0:v>
      </ns0:c>
      <ns0:c r="CJ13" s="0">
        <ns0:f>IF(OR($AO13=0,$B$5&lt;&gt;"OK",$B$6&gt;0,Calendar!T$11=""),0,SUMIFS(rngEngine_V,rngEngine_B,INDEX(Team!$A$11:$A$60,$AO13),rngPMStart,"&lt;="&amp;Calendar!T$11,rngPMEnd,"&gt;="&amp;Calendar!T$11))</ns0:f>
        <ns0:v>0</ns0:v>
      </ns0:c>
      <ns0:c r="CK13" s="0">
        <ns0:f>IF(OR($AO13=0,$B$5&lt;&gt;"OK",$B$6&gt;0,Calendar!U$11=""),0,SUMIFS(rngEngine_U,rngEngine_B,INDEX(Team!$A$11:$A$60,$AO13),rngAMStart,"&lt;="&amp;Calendar!U$11,rngAMEnd,"&gt;="&amp;Calendar!U$11))</ns0:f>
        <ns0:v>0</ns0:v>
      </ns0:c>
      <ns0:c r="CL13" s="0">
        <ns0:f>IF(OR($AO13=0,$B$5&lt;&gt;"OK",$B$6&gt;0,Calendar!U$11=""),0,SUMIFS(rngEngine_V,rngEngine_B,INDEX(Team!$A$11:$A$60,$AO13),rngPMStart,"&lt;="&amp;Calendar!U$11,rngPMEnd,"&gt;="&amp;Calendar!U$11))</ns0:f>
        <ns0:v>0</ns0:v>
      </ns0:c>
      <ns0:c r="CM13" s="0">
        <ns0:f>IF(OR($AO13=0,$B$5&lt;&gt;"OK",$B$6&gt;0,Calendar!V$11=""),0,SUMIFS(rngEngine_U,rngEngine_B,INDEX(Team!$A$11:$A$60,$AO13),rngAMStart,"&lt;="&amp;Calendar!V$11,rngAMEnd,"&gt;="&amp;Calendar!V$11))</ns0:f>
        <ns0:v>0</ns0:v>
      </ns0:c>
      <ns0:c r="CN13" s="0">
        <ns0:f>IF(OR($AO13=0,$B$5&lt;&gt;"OK",$B$6&gt;0,Calendar!V$11=""),0,SUMIFS(rngEngine_V,rngEngine_B,INDEX(Team!$A$11:$A$60,$AO13),rngPMStart,"&lt;="&amp;Calendar!V$11,rngPMEnd,"&gt;="&amp;Calendar!V$11))</ns0:f>
        <ns0:v>0</ns0:v>
      </ns0:c>
      <ns0:c r="CO13" s="0">
        <ns0:f>IF(OR($AO13=0,$B$5&lt;&gt;"OK",$B$6&gt;0,Calendar!W$11=""),0,SUMIFS(rngEngine_U,rngEngine_B,INDEX(Team!$A$11:$A$60,$AO13),rngAMStart,"&lt;="&amp;Calendar!W$11,rngAMEnd,"&gt;="&amp;Calendar!W$11))</ns0:f>
        <ns0:v>0</ns0:v>
      </ns0:c>
      <ns0:c r="CP13" s="0">
        <ns0:f>IF(OR($AO13=0,$B$5&lt;&gt;"OK",$B$6&gt;0,Calendar!W$11=""),0,SUMIFS(rngEngine_V,rngEngine_B,INDEX(Team!$A$11:$A$60,$AO13),rngPMStart,"&lt;="&amp;Calendar!W$11,rngPMEnd,"&gt;="&amp;Calendar!W$11))</ns0:f>
        <ns0:v>0</ns0:v>
      </ns0:c>
      <ns0:c r="CQ13" s="0">
        <ns0:f>IF(OR($AO13=0,$B$5&lt;&gt;"OK",$B$6&gt;0,Calendar!X$11=""),0,SUMIFS(rngEngine_U,rngEngine_B,INDEX(Team!$A$11:$A$60,$AO13),rngAMStart,"&lt;="&amp;Calendar!X$11,rngAMEnd,"&gt;="&amp;Calendar!X$11))</ns0:f>
        <ns0:v>0</ns0:v>
      </ns0:c>
      <ns0:c r="CR13" s="0">
        <ns0:f>IF(OR($AO13=0,$B$5&lt;&gt;"OK",$B$6&gt;0,Calendar!X$11=""),0,SUMIFS(rngEngine_V,rngEngine_B,INDEX(Team!$A$11:$A$60,$AO13),rngPMStart,"&lt;="&amp;Calendar!X$11,rngPMEnd,"&gt;="&amp;Calendar!X$11))</ns0:f>
        <ns0:v>0</ns0:v>
      </ns0:c>
      <ns0:c r="CS13" s="0">
        <ns0:f>IF(OR($AO13=0,$B$5&lt;&gt;"OK",$B$6&gt;0,Calendar!Y$11=""),0,SUMIFS(rngEngine_U,rngEngine_B,INDEX(Team!$A$11:$A$60,$AO13),rngAMStart,"&lt;="&amp;Calendar!Y$11,rngAMEnd,"&gt;="&amp;Calendar!Y$11))</ns0:f>
        <ns0:v>1</ns0:v>
      </ns0:c>
      <ns0:c r="CT13" s="0">
        <ns0:f>IF(OR($AO13=0,$B$5&lt;&gt;"OK",$B$6&gt;0,Calendar!Y$11=""),0,SUMIFS(rngEngine_V,rngEngine_B,INDEX(Team!$A$11:$A$60,$AO13),rngPMStart,"&lt;="&amp;Calendar!Y$11,rngPMEnd,"&gt;="&amp;Calendar!Y$11))</ns0:f>
        <ns0:v>1</ns0:v>
      </ns0:c>
      <ns0:c r="CU13" s="0">
        <ns0:f>IF(OR($AO13=0,$B$5&lt;&gt;"OK",$B$6&gt;0,Calendar!Z$11=""),0,SUMIFS(rngEngine_U,rngEngine_B,INDEX(Team!$A$11:$A$60,$AO13),rngAMStart,"&lt;="&amp;Calendar!Z$11,rngAMEnd,"&gt;="&amp;Calendar!Z$11))</ns0:f>
        <ns0:v>1</ns0:v>
      </ns0:c>
      <ns0:c r="CV13" s="0">
        <ns0:f>IF(OR($AO13=0,$B$5&lt;&gt;"OK",$B$6&gt;0,Calendar!Z$11=""),0,SUMIFS(rngEngine_V,rngEngine_B,INDEX(Team!$A$11:$A$60,$AO13),rngPMStart,"&lt;="&amp;Calendar!Z$11,rngPMEnd,"&gt;="&amp;Calendar!Z$11))</ns0:f>
        <ns0:v>1</ns0:v>
      </ns0:c>
      <ns0:c r="CW13" s="0">
        <ns0:f>IF(OR($AO13=0,$B$5&lt;&gt;"OK",$B$6&gt;0,Calendar!AA$11=""),0,SUMIFS(rngEngine_U,rngEngine_B,INDEX(Team!$A$11:$A$60,$AO13),rngAMStart,"&lt;="&amp;Calendar!AA$11,rngAMEnd,"&gt;="&amp;Calendar!AA$11))</ns0:f>
        <ns0:v>0</ns0:v>
      </ns0:c>
      <ns0:c r="CX13" s="0">
        <ns0:f>IF(OR($AO13=0,$B$5&lt;&gt;"OK",$B$6&gt;0,Calendar!AA$11=""),0,SUMIFS(rngEngine_V,rngEngine_B,INDEX(Team!$A$11:$A$60,$AO13),rngPMStart,"&lt;="&amp;Calendar!AA$11,rngPMEnd,"&gt;="&amp;Calendar!AA$11))</ns0:f>
        <ns0:v>0</ns0:v>
      </ns0:c>
      <ns0:c r="CY13" s="0">
        <ns0:f>IF(OR($AO13=0,$B$5&lt;&gt;"OK",$B$6&gt;0,Calendar!AB$11=""),0,SUMIFS(rngEngine_U,rngEngine_B,INDEX(Team!$A$11:$A$60,$AO13),rngAMStart,"&lt;="&amp;Calendar!AB$11,rngAMEnd,"&gt;="&amp;Calendar!AB$11))</ns0:f>
        <ns0:v>0</ns0:v>
      </ns0:c>
      <ns0:c r="CZ13" s="0">
        <ns0:f>IF(OR($AO13=0,$B$5&lt;&gt;"OK",$B$6&gt;0,Calendar!AB$11=""),0,SUMIFS(rngEngine_V,rngEngine_B,INDEX(Team!$A$11:$A$60,$AO13),rngPMStart,"&lt;="&amp;Calendar!AB$11,rngPMEnd,"&gt;="&amp;Calendar!AB$11))</ns0:f>
        <ns0:v>0</ns0:v>
      </ns0:c>
      <ns0:c r="DA13" s="0">
        <ns0:f>IF(OR($AO13=0,$B$5&lt;&gt;"OK",$B$6&gt;0,Calendar!AC$11=""),0,SUMIFS(rngEngine_U,rngEngine_B,INDEX(Team!$A$11:$A$60,$AO13),rngAMStart,"&lt;="&amp;Calendar!AC$11,rngAMEnd,"&gt;="&amp;Calendar!AC$11))</ns0:f>
        <ns0:v>0</ns0:v>
      </ns0:c>
      <ns0:c r="DB13" s="0">
        <ns0:f>IF(OR($AO13=0,$B$5&lt;&gt;"OK",$B$6&gt;0,Calendar!AC$11=""),0,SUMIFS(rngEngine_V,rngEngine_B,INDEX(Team!$A$11:$A$60,$AO13),rngPMStart,"&lt;="&amp;Calendar!AC$11,rngPMEnd,"&gt;="&amp;Calendar!AC$11))</ns0:f>
        <ns0:v>0</ns0:v>
      </ns0:c>
      <ns0:c r="DC13" s="0">
        <ns0:f>IF(OR($AO13=0,$B$5&lt;&gt;"OK",$B$6&gt;0,Calendar!AD$11=""),0,SUMIFS(rngEngine_U,rngEngine_B,INDEX(Team!$A$11:$A$60,$AO13),rngAMStart,"&lt;="&amp;Calendar!AD$11,rngAMEnd,"&gt;="&amp;Calendar!AD$11))</ns0:f>
        <ns0:v>0</ns0:v>
      </ns0:c>
      <ns0:c r="DD13" s="0">
        <ns0:f>IF(OR($AO13=0,$B$5&lt;&gt;"OK",$B$6&gt;0,Calendar!AD$11=""),0,SUMIFS(rngEngine_V,rngEngine_B,INDEX(Team!$A$11:$A$60,$AO13),rngPMStart,"&lt;="&amp;Calendar!AD$11,rngPMEnd,"&gt;="&amp;Calendar!AD$11))</ns0:f>
        <ns0:v>0</ns0:v>
      </ns0:c>
      <ns0:c r="DE13" s="0">
        <ns0:f>IF(OR($AO13=0,$B$5&lt;&gt;"OK",$B$6&gt;0,Calendar!AE$11=""),0,SUMIFS(rngEngine_U,rngEngine_B,INDEX(Team!$A$11:$A$60,$AO13),rngAMStart,"&lt;="&amp;Calendar!AE$11,rngAMEnd,"&gt;="&amp;Calendar!AE$11))</ns0:f>
        <ns0:v>0</ns0:v>
      </ns0:c>
      <ns0:c r="DF13" s="0">
        <ns0:f>IF(OR($AO13=0,$B$5&lt;&gt;"OK",$B$6&gt;0,Calendar!AE$11=""),0,SUMIFS(rngEngine_V,rngEngine_B,INDEX(Team!$A$11:$A$60,$AO13),rngPMStart,"&lt;="&amp;Calendar!AE$11,rngPMEnd,"&gt;="&amp;Calendar!AE$11))</ns0:f>
        <ns0:v>0</ns0:v>
      </ns0:c>
      <ns0:c r="DG13" s="0">
        <ns0:f>IF(OR($AO13=0,$B$5&lt;&gt;"OK",$B$6&gt;0,Calendar!AF$11=""),0,SUMIFS(rngEngine_U,rngEngine_B,INDEX(Team!$A$11:$A$60,$AO13),rngAMStart,"&lt;="&amp;Calendar!AF$11,rngAMEnd,"&gt;="&amp;Calendar!AF$11))</ns0:f>
        <ns0:v>0</ns0:v>
      </ns0:c>
      <ns0:c r="DH13" s="0">
        <ns0:f>IF(OR($AO13=0,$B$5&lt;&gt;"OK",$B$6&gt;0,Calendar!AF$11=""),0,SUMIFS(rngEngine_V,rngEngine_B,INDEX(Team!$A$11:$A$60,$AO13),rngPMStart,"&lt;="&amp;Calendar!AF$11,rngPMEnd,"&gt;="&amp;Calendar!AF$11))</ns0:f>
        <ns0:v>0</ns0:v>
      </ns0:c>
      <ns0:c r="DI13" s="0">
        <ns0:f>IF(OR($AO13=0,$B$5&lt;&gt;"OK",$B$6&gt;0,Calendar!AG$11=""),0,SUMIFS(rngEngine_U,rngEngine_B,INDEX(Team!$A$11:$A$60,$AO13),rngAMStart,"&lt;="&amp;Calendar!AG$11,rngAMEnd,"&gt;="&amp;Calendar!AG$11))</ns0:f>
        <ns0:v>0</ns0:v>
      </ns0:c>
      <ns0:c r="DJ13" s="0">
        <ns0:f>IF(OR($AO13=0,$B$5&lt;&gt;"OK",$B$6&gt;0,Calendar!AG$11=""),0,SUMIFS(rngEngine_V,rngEngine_B,INDEX(Team!$A$11:$A$60,$AO13),rngPMStart,"&lt;="&amp;Calendar!AG$11,rngPMEnd,"&gt;="&amp;Calendar!AG$11))</ns0:f>
        <ns0:v>0</ns0:v>
      </ns0:c>
      <ns0:c r="DK13" s="0">
        <ns0:f>IF(OR($AO13=0,$B$5&lt;&gt;"OK",$B$6&gt;0,Calendar!AH$11=""),0,SUMIFS(rngEngine_U,rngEngine_B,INDEX(Team!$A$11:$A$60,$AO13),rngAMStart,"&lt;="&amp;Calendar!AH$11,rngAMEnd,"&gt;="&amp;Calendar!AH$11))</ns0:f>
        <ns0:v>0</ns0:v>
      </ns0:c>
      <ns0:c r="DL13" s="0">
        <ns0:f>IF(OR($AO13=0,$B$5&lt;&gt;"OK",$B$6&gt;0,Calendar!AH$11=""),0,SUMIFS(rngEngine_V,rngEngine_B,INDEX(Team!$A$11:$A$60,$AO13),rngPMStart,"&lt;="&amp;Calendar!AH$11,rngPMEnd,"&gt;="&amp;Calendar!AH$11))</ns0:f>
        <ns0:v>0</ns0:v>
      </ns0:c>
    </ns0:row>
    <ns0:row r="14" ht="22" customHeight="1">
      <ns0:c r="A14" s="4">
        <ns0:f>IF(COUNTA(Bookings!A14:G14,Bookings!I14)=0,0,1)</ns0:f>
        <ns0:v>1</ns0:v>
      </ns0:c>
      <ns0:c r="B14" s="4" t="str">
        <ns0:f>IFERROR(TRIM(MID(Bookings!A14,FIND(" · ",Bookings!A14)+3,99)),"")</ns0:f>
        <ns0:v>EMP002</ns0:v>
      </ns0:c>
      <ns0:c r="C14" s="4">
        <ns0:f>IF(OR(B14="",LEN(B14)&gt;24,ISNUMBER(FIND(" ",B14)),ISNUMBER(FIND("*",B14)),ISNUMBER(FIND("?",B14)),ISNUMBER(FIND("~",B14))),0,IFERROR(MATCH(B14,Team!$A$11:$A$60,0),0))</ns0:f>
        <ns0:v>2</ns0:v>
      </ns0:c>
      <ns0:c r="D14" s="4" t="str">
        <ns0:f>IFERROR(IF(MID(Bookings!F14,LEN(Bookings!F14)-3,3)=" · ",RIGHT(Bookings!F14,1),""),"")</ns0:f>
        <ns0:v>H</ns0:v>
      </ns0:c>
      <ns0:c r="E14" s="4" t="str">
        <ns0:f>IFERROR(INDEX(Settings!$H$7:$H$11,MATCH(D14,Settings!$G$7:$G$11,0)),"")</ns0:f>
        <ns0:v>Yes</ns0:v>
      </ns0:c>
      <ns0:c r="F14" s="4" t="str">
        <ns0:f>IF(A14=0,"",IFERROR(IF(OR(B14="",C14=0),"CHECK employee selection",IF(INDEX(Team!$O$11:$O$60,C14)&lt;&gt;"OK","CHECK employee setup",IF(OR('_Dates'!J14=0,'_Dates'!T14=0),"CHECK date: use DD.MM.YYYY",IF('_Dates'!T14&lt;'_Dates'!J14,"CHECK end before start",IF(AND($B$6=0,OR('_Dates'!J14&lt;Settings!$B$7,'_Dates'!T14&gt;Settings!$B$8)),"CHECK split across leave years",IF(OR(NOT(OR('_Dates'!U14="Full day",'_Dates'!U14="AM",'_Dates'!U14="PM")),NOT(OR('_Dates'!V14="Full day",'_Dates'!V14="AM",'_Dates'!V14="PM"))),"CHECK Full day / AM / PM",IF(AND('_Dates'!J14='_Dates'!T14,'_Dates'!U14&lt;&gt;"Full day",'_Dates'!V14&lt;&gt;"Full day",'_Dates'!U14&lt;&gt;'_Dates'!V14),"CHECK same-day portions disagree",IF(AND($B$6=0,OR(AND('_Dates'!U14&lt;&gt;"Full day",'_Dates'!AA14=0),AND('_Dates'!V14&lt;&gt;"Full day",'_Dates'!AB14=0))),"CHECK half-day on non-working date",IF(COUNTIF(Settings!$G$7:$G$11,D14)&lt;&gt;1,"CHECK leave type",IF(AND(Bookings!G14&lt;&gt;"Approved",Bookings!G14&lt;&gt;"Pending",Bookings!G14&lt;&gt;"Cancelled"),"CHECK status","OK")))))))))),"CHECK input"))</ns0:f>
        <ns0:v>OK</ns0:v>
      </ns0:c>
      <ns0:c r="G14" s="4">
        <ns0:f>IF(OR(F14&lt;&gt;"OK",$B$6&gt;0),0,0.5*(IF(('_Dates'!X14)&lt;('_Dates'!W14),0,INT((('_Dates'!X14)-('_Dates'!W14)+1)/7)*LEN(SUBSTITUTE(W14,"O",""))+LEN(SUBSTITUTE(MID(W14&amp;W14,WEEKDAY(('_Dates'!W14),2),MOD((('_Dates'!X14)-('_Dates'!W14)+1),7)),"O",""))-COUNTIFS(INDEX(AllClosureRows,C14,0),"&gt;="&amp;('_Dates'!W14),INDEX(AllClosureRows,C14,0),"&lt;="&amp;('_Dates'!X14)))+IF(('_Dates'!Z14)&lt;('_Dates'!Y14),0,INT((('_Dates'!Z14)-('_Dates'!Y14)+1)/7)*LEN(SUBSTITUTE(W14,"O",""))+LEN(SUBSTITUTE(MID(W14&amp;W14,WEEKDAY(('_Dates'!Y14),2),MOD((('_Dates'!Z14)-('_Dates'!Y14)+1),7)),"O",""))-COUNTIFS(INDEX(AllClosureRows,C14,0),"&gt;="&amp;('_Dates'!Y14),INDEX(AllClosureRows,C14,0),"&lt;="&amp;('_Dates'!Z14)))))</ns0:f>
        <ns0:v>1</ns0:v>
      </ns0:c>
      <ns0:c r="H14" s="4">
        <ns0:f>IF(OR(F14&lt;&gt;"OK",$B$6&gt;0),0,0.5*(IF((MIN('_Dates'!X14,Settings!$B$9))&lt;('_Dates'!W14),0,INT(((MIN('_Dates'!X14,Settings!$B$9))-('_Dates'!W14)+1)/7)*LEN(SUBSTITUTE(W14,"O",""))+LEN(SUBSTITUTE(MID(W14&amp;W14,WEEKDAY(('_Dates'!W14),2),MOD(((MIN('_Dates'!X14,Settings!$B$9))-('_Dates'!W14)+1),7)),"O",""))-COUNTIFS(INDEX(AllClosureRows,C14,0),"&gt;="&amp;('_Dates'!W14),INDEX(AllClosureRows,C14,0),"&lt;="&amp;(MIN('_Dates'!X14,Settings!$B$9))))+IF((MIN('_Dates'!Z14,Settings!$B$9))&lt;('_Dates'!Y14),0,INT(((MIN('_Dates'!Z14,Settings!$B$9))-('_Dates'!Y14)+1)/7)*LEN(SUBSTITUTE(W14,"O",""))+LEN(SUBSTITUTE(MID(W14&amp;W14,WEEKDAY(('_Dates'!Y14),2),MOD(((MIN('_Dates'!Z14,Settings!$B$9))-('_Dates'!Y14)+1),7)),"O",""))-COUNTIFS(INDEX(AllClosureRows,C14,0),"&gt;="&amp;('_Dates'!Y14),INDEX(AllClosureRows,C14,0),"&lt;="&amp;(MIN('_Dates'!Z14,Settings!$B$9))))))</ns0:f>
        <ns0:v>0</ns0:v>
      </ns0:c>
      <ns0:c r="I14" s="4">
        <ns0:f>MAX(0,G14-H14)</ns0:f>
        <ns0:v>1</ns0:v>
      </ns0:c>
      <ns0:c r="J14" s="4">
        <ns0:f>IF(OR(A14=0,F14&lt;&gt;"OK",Bookings!G14="Cancelled",$B$6&gt;0),0,IF('_Dates'!AC14=1,MAX(0,COUNTIFS(rngEngine_B,B14,rngAMStart,"&lt;="&amp;'_Dates'!X14,rngAMEnd,"&gt;="&amp;'_Dates'!W14,rngAMActive,1,rngEngine_F,"OK",rngBookings_F,"&lt;&gt;Cancelled")-1),0)+IF('_Dates'!AD14=1,MAX(0,COUNTIFS(rngEngine_B,B14,rngPMStart,"&lt;="&amp;'_Dates'!Z14,rngPMEnd,"&gt;="&amp;'_Dates'!Y14,rngPMActive,1,rngEngine_F,"OK",rngBookings_F,"&lt;&gt;Cancelled")-1),0))</ns0:f>
        <ns0:v>0</ns0:v>
      </ns0:c>
      <ns0:c r="K14" s="0" t="str">
        <ns0:f>IF(A14=0,"",IF(F14&lt;&gt;"OK",F14,IF(J14&gt;0,"CHECK overlapping entry",IF(AND($B$6=0,G14&lt;=0,Bookings!G14&lt;&gt;"Cancelled"),"CHECK no working days",IF(Bookings!G14="Cancelled","Cancelled","OK")))))</ns0:f>
        <ns0:v>OK</ns0:v>
      </ns0:c>
      <ns0:c r="L14" s="0">
        <ns0:f>IF(LEFT(K14,5)="CHECK",1,0)</ns0:f>
        <ns0:v>0</ns0:v>
      </ns0:c>
      <ns0:c r="M14" s="0">
        <ns0:f>IF(AND(L14=1,OR(C14=0,IFERROR(INDEX($X$11:$X$60,C14),0)=0)),1,0)</ns0:f>
        <ns0:v>0</ns0:v>
      </ns0:c>
      <ns0:c r="N14" s="0">
        <ns0:f>IF(OR(A14=0,L14&gt;0,$B$6&gt;0,Bookings!G14="Cancelled"),0,G14)</ns0:f>
        <ns0:v>1</ns0:v>
      </ns0:c>
      <ns0:c r="O14" s="0">
        <ns0:f>IF(AND(Bookings!G14="Approved",E14="Yes"),N14,0)</ns0:f>
        <ns0:v>1</ns0:v>
      </ns0:c>
      <ns0:c r="P14" s="0">
        <ns0:f>IF(AND(Bookings!G14="Approved",E14="Yes",L14=0,$B$6=0),H14,0)</ns0:f>
        <ns0:v>0</ns0:v>
      </ns0:c>
      <ns0:c r="Q14" s="0">
        <ns0:f>IF(AND(Bookings!G14="Approved",E14="Yes",L14=0,$B$6=0),I14,0)</ns0:f>
        <ns0:v>1</ns0:v>
      </ns0:c>
      <ns0:c r="R14" s="0">
        <ns0:f>IF(AND(Bookings!G14="Pending",E14="Yes"),N14,0)</ns0:f>
        <ns0:v>0</ns0:v>
      </ns0:c>
      <ns0:c r="S14" s="0">
        <ns0:f>IF(AND(Bookings!G14="Approved",E14="No"),N14,0)</ns0:f>
        <ns0:v>0</ns0:v>
      </ns0:c>
      <ns0:c r="T14" s="0">
        <ns0:f>IFERROR(MATCH(D14,Settings!$G$7:$G$11,0),0)</ns0:f>
        <ns0:v>1</ns0:v>
      </ns0:c>
      <ns0:c r="U14" s="0">
        <ns0:f>IF(N14&gt;0,T14+IF(Bookings!G14="Pending",10,0),0)</ns0:f>
        <ns0:v>1</ns0:v>
      </ns0:c>
      <ns0:c r="V14" s="0">
        <ns0:f>U14</ns0:f>
        <ns0:v>1</ns0:v>
      </ns0:c>
      <ns0:c r="W14" s="0" t="str">
        <ns0:f>IF(C14=0,"",INDEX($AP$11:$AP$60,C14))</ns0:f>
        <ns0:v>WWWWWOO</ns0:v>
      </ns0:c>
      <ns0:c r="X14" s="0">
        <ns0:f>IF(COUNTA(Team!B14:D14)=0,0,1)</ns0:f>
        <ns0:v>1</ns0:v>
      </ns0:c>
      <ns0:c r="Y14" s="0" t="str">
        <ns0:f>IF(X14=0,"",IF(Team!B14="","[Unnamed]",Team!B14)&amp;" · "&amp;Team!A14)</ns0:f>
        <ns0:v>Jordan Lee · EMP004</ns0:v>
      </ns0:c>
      <ns0:c r="Z14" s="0">
        <ns0:f>IF(X14=0,0,COUNTIF(Team!H14:N14,"Work"))</ns0:f>
        <ns0:v>5</ns0:v>
      </ns0:c>
      <ns0:c r="AA14" s="0">
        <ns0:f>IF(LEFT(Team!O14,5)="CHECK",1,0)</ns0:f>
        <ns0:v>0</ns0:v>
      </ns0:c>
      <ns0:c r="AB14" s="0">
        <ns0:f>IF(X14=0,0,SUMIFS(rngEngine_L,rngEngine_B,Team!A14))</ns0:f>
        <ns0:v>0</ns0:v>
      </ns0:c>
      <ns0:c r="AC14" s="0">
        <ns0:f>IF(AND(X14=1,OR(Calendar!$C$7="All teams",Team!C14=Calendar!$C$7)),MAX($AC$10:AC13)+1,"")</ns0:f>
        <ns0:v>4</ns0:v>
      </ns0:c>
      <ns0:c r="AD14" s="0" t="str">
        <ns0:f>IF(OR(X14=0,Team!C14="",COUNTIF(Team!$C$11:C14,Team!C14)&gt;1),"",MAX($AD$10:AD13)+1)</ns0:f>
        <ns0:v/>
      </ns0:c>
      <ns0:c r="AE14" s="0" t="str">
        <ns0:f>IFERROR(INDEX(Team!$C$11:$C$60,MATCH(ROW()-10,$AD$11:$AD$60,0)),"")</ns0:f>
        <ns0:v/>
      </ns0:c>
      <ns0:c r="AF14" s="0" t="str">
        <ns0:f>AE14</ns0:f>
        <ns0:v/>
      </ns0:c>
      <ns0:c r="AG14" s="0">
        <ns0:f>IF(X14=0,0,IFERROR(Team!F14+Team!G14,0))</ns0:f>
        <ns0:v>25</ns0:v>
      </ns0:c>
      <ns0:c r="AH14" s="0">
        <ns0:f>IF(X14=0,0,SUMIFS(rngEngine_P,rngEngine_B,Team!A14))</ns0:f>
        <ns0:v>0.5</ns0:v>
      </ns0:c>
      <ns0:c r="AI14" s="0">
        <ns0:f>IF(X14=0,0,SUMIFS(rngEngine_Q,rngEngine_B,Team!A14))</ns0:f>
        <ns0:v>3</ns0:v>
      </ns0:c>
      <ns0:c r="AJ14" s="0">
        <ns0:f>IF(X14=0,0,SUMIFS(rngEngine_R,rngEngine_B,Team!A14))</ns0:f>
        <ns0:v>0</ns0:v>
      </ns0:c>
      <ns0:c r="AK14" s="0">
        <ns0:f>IF(X14=0,0,SUMIFS(rngEngine_S,rngEngine_B,Team!A14))</ns0:f>
        <ns0:v>0.5</ns0:v>
      </ns0:c>
      <ns0:c r="AL14" s="0">
        <ns0:f>AH14+AI14</ns0:f>
        <ns0:v>3.5</ns0:v>
      </ns0:c>
      <ns0:c r="AM14" s="0" t="str">
        <ns0:f>IF(X14=0,"",IF(AA14&gt;0,"CHECK team setup",IF(AB14&gt;0,"CHECK "&amp;AB14&amp;" booking(s)","OK")))</ns0:f>
        <ns0:v>OK</ns0:v>
      </ns0:c>
      <ns0:c r="AN14" s="0">
        <ns0:f>IF(X14=0,"",IF(OR($B$6&gt;0,AM14&lt;&gt;"OK"),"REVIEW",AG14-AL14))</ns0:f>
        <ns0:v>21.5</ns0:v>
      </ns0:c>
      <ns0:c r="AO14" s="0">
        <ns0:f>IFERROR(MATCH(ROW()-11,$AC$11:$AC$60,0),0)</ns0:f>
        <ns0:v>3</ns0:v>
      </ns0:c>
      <ns0:c r="AP14" s="0" t="str">
        <ns0:f>IF(Team!H14="Work","W","O")&amp;IF(Team!I14="Work","W","O")&amp;IF(Team!J14="Work","W","O")&amp;IF(Team!K14="Work","W","O")&amp;IF(Team!L14="Work","W","O")&amp;IF(Team!M14="Work","W","O")&amp;IF(Team!N14="Work","W","O")</ns0:f>
        <ns0:v>WWWWWOO</ns0:v>
      </ns0:c>
      <ns0:c r="AS14" t="inlineStr">
        <ns0:is>
          <ns0:t>April</ns0:t>
        </ns0:is>
      </ns0:c>
      <ns0:c r="BC14" s="0">
        <ns0:f>IF(OR($AO14=0,$B$5&lt;&gt;"OK",$B$6&gt;0,Calendar!D$11=""),0,SUMIFS(rngEngine_U,rngEngine_B,INDEX(Team!$A$11:$A$60,$AO14),rngAMStart,"&lt;="&amp;Calendar!D$11,rngAMEnd,"&gt;="&amp;Calendar!D$11))</ns0:f>
        <ns0:v>0</ns0:v>
      </ns0:c>
      <ns0:c r="BD14" s="0">
        <ns0:f>IF(OR($AO14=0,$B$5&lt;&gt;"OK",$B$6&gt;0,Calendar!D$11=""),0,SUMIFS(rngEngine_V,rngEngine_B,INDEX(Team!$A$11:$A$60,$AO14),rngPMStart,"&lt;="&amp;Calendar!D$11,rngPMEnd,"&gt;="&amp;Calendar!D$11))</ns0:f>
        <ns0:v>0</ns0:v>
      </ns0:c>
      <ns0:c r="BE14" s="0">
        <ns0:f>IF(OR($AO14=0,$B$5&lt;&gt;"OK",$B$6&gt;0,Calendar!E$11=""),0,SUMIFS(rngEngine_U,rngEngine_B,INDEX(Team!$A$11:$A$60,$AO14),rngAMStart,"&lt;="&amp;Calendar!E$11,rngAMEnd,"&gt;="&amp;Calendar!E$11))</ns0:f>
        <ns0:v>0</ns0:v>
      </ns0:c>
      <ns0:c r="BF14" s="0">
        <ns0:f>IF(OR($AO14=0,$B$5&lt;&gt;"OK",$B$6&gt;0,Calendar!E$11=""),0,SUMIFS(rngEngine_V,rngEngine_B,INDEX(Team!$A$11:$A$60,$AO14),rngPMStart,"&lt;="&amp;Calendar!E$11,rngPMEnd,"&gt;="&amp;Calendar!E$11))</ns0:f>
        <ns0:v>0</ns0:v>
      </ns0:c>
      <ns0:c r="BG14" s="0">
        <ns0:f>IF(OR($AO14=0,$B$5&lt;&gt;"OK",$B$6&gt;0,Calendar!F$11=""),0,SUMIFS(rngEngine_U,rngEngine_B,INDEX(Team!$A$11:$A$60,$AO14),rngAMStart,"&lt;="&amp;Calendar!F$11,rngAMEnd,"&gt;="&amp;Calendar!F$11))</ns0:f>
        <ns0:v>0</ns0:v>
      </ns0:c>
      <ns0:c r="BH14" s="0">
        <ns0:f>IF(OR($AO14=0,$B$5&lt;&gt;"OK",$B$6&gt;0,Calendar!F$11=""),0,SUMIFS(rngEngine_V,rngEngine_B,INDEX(Team!$A$11:$A$60,$AO14),rngPMStart,"&lt;="&amp;Calendar!F$11,rngPMEnd,"&gt;="&amp;Calendar!F$11))</ns0:f>
        <ns0:v>0</ns0:v>
      </ns0:c>
      <ns0:c r="BI14" s="0">
        <ns0:f>IF(OR($AO14=0,$B$5&lt;&gt;"OK",$B$6&gt;0,Calendar!G$11=""),0,SUMIFS(rngEngine_U,rngEngine_B,INDEX(Team!$A$11:$A$60,$AO14),rngAMStart,"&lt;="&amp;Calendar!G$11,rngAMEnd,"&gt;="&amp;Calendar!G$11))</ns0:f>
        <ns0:v>0</ns0:v>
      </ns0:c>
      <ns0:c r="BJ14" s="0">
        <ns0:f>IF(OR($AO14=0,$B$5&lt;&gt;"OK",$B$6&gt;0,Calendar!G$11=""),0,SUMIFS(rngEngine_V,rngEngine_B,INDEX(Team!$A$11:$A$60,$AO14),rngPMStart,"&lt;="&amp;Calendar!G$11,rngPMEnd,"&gt;="&amp;Calendar!G$11))</ns0:f>
        <ns0:v>0</ns0:v>
      </ns0:c>
      <ns0:c r="BK14" s="0">
        <ns0:f>IF(OR($AO14=0,$B$5&lt;&gt;"OK",$B$6&gt;0,Calendar!H$11=""),0,SUMIFS(rngEngine_U,rngEngine_B,INDEX(Team!$A$11:$A$60,$AO14),rngAMStart,"&lt;="&amp;Calendar!H$11,rngAMEnd,"&gt;="&amp;Calendar!H$11))</ns0:f>
        <ns0:v>0</ns0:v>
      </ns0:c>
      <ns0:c r="BL14" s="0">
        <ns0:f>IF(OR($AO14=0,$B$5&lt;&gt;"OK",$B$6&gt;0,Calendar!H$11=""),0,SUMIFS(rngEngine_V,rngEngine_B,INDEX(Team!$A$11:$A$60,$AO14),rngPMStart,"&lt;="&amp;Calendar!H$11,rngPMEnd,"&gt;="&amp;Calendar!H$11))</ns0:f>
        <ns0:v>0</ns0:v>
      </ns0:c>
      <ns0:c r="BM14" s="0">
        <ns0:f>IF(OR($AO14=0,$B$5&lt;&gt;"OK",$B$6&gt;0,Calendar!I$11=""),0,SUMIFS(rngEngine_U,rngEngine_B,INDEX(Team!$A$11:$A$60,$AO14),rngAMStart,"&lt;="&amp;Calendar!I$11,rngAMEnd,"&gt;="&amp;Calendar!I$11))</ns0:f>
        <ns0:v>0</ns0:v>
      </ns0:c>
      <ns0:c r="BN14" s="0">
        <ns0:f>IF(OR($AO14=0,$B$5&lt;&gt;"OK",$B$6&gt;0,Calendar!I$11=""),0,SUMIFS(rngEngine_V,rngEngine_B,INDEX(Team!$A$11:$A$60,$AO14),rngPMStart,"&lt;="&amp;Calendar!I$11,rngPMEnd,"&gt;="&amp;Calendar!I$11))</ns0:f>
        <ns0:v>0</ns0:v>
      </ns0:c>
      <ns0:c r="BO14" s="0">
        <ns0:f>IF(OR($AO14=0,$B$5&lt;&gt;"OK",$B$6&gt;0,Calendar!J$11=""),0,SUMIFS(rngEngine_U,rngEngine_B,INDEX(Team!$A$11:$A$60,$AO14),rngAMStart,"&lt;="&amp;Calendar!J$11,rngAMEnd,"&gt;="&amp;Calendar!J$11))</ns0:f>
        <ns0:v>0</ns0:v>
      </ns0:c>
      <ns0:c r="BP14" s="0">
        <ns0:f>IF(OR($AO14=0,$B$5&lt;&gt;"OK",$B$6&gt;0,Calendar!J$11=""),0,SUMIFS(rngEngine_V,rngEngine_B,INDEX(Team!$A$11:$A$60,$AO14),rngPMStart,"&lt;="&amp;Calendar!J$11,rngPMEnd,"&gt;="&amp;Calendar!J$11))</ns0:f>
        <ns0:v>0</ns0:v>
      </ns0:c>
      <ns0:c r="BQ14" s="0">
        <ns0:f>IF(OR($AO14=0,$B$5&lt;&gt;"OK",$B$6&gt;0,Calendar!K$11=""),0,SUMIFS(rngEngine_U,rngEngine_B,INDEX(Team!$A$11:$A$60,$AO14),rngAMStart,"&lt;="&amp;Calendar!K$11,rngAMEnd,"&gt;="&amp;Calendar!K$11))</ns0:f>
        <ns0:v>0</ns0:v>
      </ns0:c>
      <ns0:c r="BR14" s="0">
        <ns0:f>IF(OR($AO14=0,$B$5&lt;&gt;"OK",$B$6&gt;0,Calendar!K$11=""),0,SUMIFS(rngEngine_V,rngEngine_B,INDEX(Team!$A$11:$A$60,$AO14),rngPMStart,"&lt;="&amp;Calendar!K$11,rngPMEnd,"&gt;="&amp;Calendar!K$11))</ns0:f>
        <ns0:v>0</ns0:v>
      </ns0:c>
      <ns0:c r="BS14" s="0">
        <ns0:f>IF(OR($AO14=0,$B$5&lt;&gt;"OK",$B$6&gt;0,Calendar!L$11=""),0,SUMIFS(rngEngine_U,rngEngine_B,INDEX(Team!$A$11:$A$60,$AO14),rngAMStart,"&lt;="&amp;Calendar!L$11,rngAMEnd,"&gt;="&amp;Calendar!L$11))</ns0:f>
        <ns0:v>0</ns0:v>
      </ns0:c>
      <ns0:c r="BT14" s="0">
        <ns0:f>IF(OR($AO14=0,$B$5&lt;&gt;"OK",$B$6&gt;0,Calendar!L$11=""),0,SUMIFS(rngEngine_V,rngEngine_B,INDEX(Team!$A$11:$A$60,$AO14),rngPMStart,"&lt;="&amp;Calendar!L$11,rngPMEnd,"&gt;="&amp;Calendar!L$11))</ns0:f>
        <ns0:v>0</ns0:v>
      </ns0:c>
      <ns0:c r="BU14" s="0">
        <ns0:f>IF(OR($AO14=0,$B$5&lt;&gt;"OK",$B$6&gt;0,Calendar!M$11=""),0,SUMIFS(rngEngine_U,rngEngine_B,INDEX(Team!$A$11:$A$60,$AO14),rngAMStart,"&lt;="&amp;Calendar!M$11,rngAMEnd,"&gt;="&amp;Calendar!M$11))</ns0:f>
        <ns0:v>0</ns0:v>
      </ns0:c>
      <ns0:c r="BV14" s="0">
        <ns0:f>IF(OR($AO14=0,$B$5&lt;&gt;"OK",$B$6&gt;0,Calendar!M$11=""),0,SUMIFS(rngEngine_V,rngEngine_B,INDEX(Team!$A$11:$A$60,$AO14),rngPMStart,"&lt;="&amp;Calendar!M$11,rngPMEnd,"&gt;="&amp;Calendar!M$11))</ns0:f>
        <ns0:v>0</ns0:v>
      </ns0:c>
      <ns0:c r="BW14" s="0">
        <ns0:f>IF(OR($AO14=0,$B$5&lt;&gt;"OK",$B$6&gt;0,Calendar!N$11=""),0,SUMIFS(rngEngine_U,rngEngine_B,INDEX(Team!$A$11:$A$60,$AO14),rngAMStart,"&lt;="&amp;Calendar!N$11,rngAMEnd,"&gt;="&amp;Calendar!N$11))</ns0:f>
        <ns0:v>0</ns0:v>
      </ns0:c>
      <ns0:c r="BX14" s="0">
        <ns0:f>IF(OR($AO14=0,$B$5&lt;&gt;"OK",$B$6&gt;0,Calendar!N$11=""),0,SUMIFS(rngEngine_V,rngEngine_B,INDEX(Team!$A$11:$A$60,$AO14),rngPMStart,"&lt;="&amp;Calendar!N$11,rngPMEnd,"&gt;="&amp;Calendar!N$11))</ns0:f>
        <ns0:v>0</ns0:v>
      </ns0:c>
      <ns0:c r="BY14" s="0">
        <ns0:f>IF(OR($AO14=0,$B$5&lt;&gt;"OK",$B$6&gt;0,Calendar!O$11=""),0,SUMIFS(rngEngine_U,rngEngine_B,INDEX(Team!$A$11:$A$60,$AO14),rngAMStart,"&lt;="&amp;Calendar!O$11,rngAMEnd,"&gt;="&amp;Calendar!O$11))</ns0:f>
        <ns0:v>0</ns0:v>
      </ns0:c>
      <ns0:c r="BZ14" s="0">
        <ns0:f>IF(OR($AO14=0,$B$5&lt;&gt;"OK",$B$6&gt;0,Calendar!O$11=""),0,SUMIFS(rngEngine_V,rngEngine_B,INDEX(Team!$A$11:$A$60,$AO14),rngPMStart,"&lt;="&amp;Calendar!O$11,rngPMEnd,"&gt;="&amp;Calendar!O$11))</ns0:f>
        <ns0:v>0</ns0:v>
      </ns0:c>
      <ns0:c r="CA14" s="0">
        <ns0:f>IF(OR($AO14=0,$B$5&lt;&gt;"OK",$B$6&gt;0,Calendar!P$11=""),0,SUMIFS(rngEngine_U,rngEngine_B,INDEX(Team!$A$11:$A$60,$AO14),rngAMStart,"&lt;="&amp;Calendar!P$11,rngAMEnd,"&gt;="&amp;Calendar!P$11))</ns0:f>
        <ns0:v>0</ns0:v>
      </ns0:c>
      <ns0:c r="CB14" s="0">
        <ns0:f>IF(OR($AO14=0,$B$5&lt;&gt;"OK",$B$6&gt;0,Calendar!P$11=""),0,SUMIFS(rngEngine_V,rngEngine_B,INDEX(Team!$A$11:$A$60,$AO14),rngPMStart,"&lt;="&amp;Calendar!P$11,rngPMEnd,"&gt;="&amp;Calendar!P$11))</ns0:f>
        <ns0:v>0</ns0:v>
      </ns0:c>
      <ns0:c r="CC14" s="0">
        <ns0:f>IF(OR($AO14=0,$B$5&lt;&gt;"OK",$B$6&gt;0,Calendar!Q$11=""),0,SUMIFS(rngEngine_U,rngEngine_B,INDEX(Team!$A$11:$A$60,$AO14),rngAMStart,"&lt;="&amp;Calendar!Q$11,rngAMEnd,"&gt;="&amp;Calendar!Q$11))</ns0:f>
        <ns0:v>0</ns0:v>
      </ns0:c>
      <ns0:c r="CD14" s="0">
        <ns0:f>IF(OR($AO14=0,$B$5&lt;&gt;"OK",$B$6&gt;0,Calendar!Q$11=""),0,SUMIFS(rngEngine_V,rngEngine_B,INDEX(Team!$A$11:$A$60,$AO14),rngPMStart,"&lt;="&amp;Calendar!Q$11,rngPMEnd,"&gt;="&amp;Calendar!Q$11))</ns0:f>
        <ns0:v>0</ns0:v>
      </ns0:c>
      <ns0:c r="CE14" s="0">
        <ns0:f>IF(OR($AO14=0,$B$5&lt;&gt;"OK",$B$6&gt;0,Calendar!R$11=""),0,SUMIFS(rngEngine_U,rngEngine_B,INDEX(Team!$A$11:$A$60,$AO14),rngAMStart,"&lt;="&amp;Calendar!R$11,rngAMEnd,"&gt;="&amp;Calendar!R$11))</ns0:f>
        <ns0:v>0</ns0:v>
      </ns0:c>
      <ns0:c r="CF14" s="0">
        <ns0:f>IF(OR($AO14=0,$B$5&lt;&gt;"OK",$B$6&gt;0,Calendar!R$11=""),0,SUMIFS(rngEngine_V,rngEngine_B,INDEX(Team!$A$11:$A$60,$AO14),rngPMStart,"&lt;="&amp;Calendar!R$11,rngPMEnd,"&gt;="&amp;Calendar!R$11))</ns0:f>
        <ns0:v>0</ns0:v>
      </ns0:c>
      <ns0:c r="CG14" s="0">
        <ns0:f>IF(OR($AO14=0,$B$5&lt;&gt;"OK",$B$6&gt;0,Calendar!S$11=""),0,SUMIFS(rngEngine_U,rngEngine_B,INDEX(Team!$A$11:$A$60,$AO14),rngAMStart,"&lt;="&amp;Calendar!S$11,rngAMEnd,"&gt;="&amp;Calendar!S$11))</ns0:f>
        <ns0:v>0</ns0:v>
      </ns0:c>
      <ns0:c r="CH14" s="0">
        <ns0:f>IF(OR($AO14=0,$B$5&lt;&gt;"OK",$B$6&gt;0,Calendar!S$11=""),0,SUMIFS(rngEngine_V,rngEngine_B,INDEX(Team!$A$11:$A$60,$AO14),rngPMStart,"&lt;="&amp;Calendar!S$11,rngPMEnd,"&gt;="&amp;Calendar!S$11))</ns0:f>
        <ns0:v>0</ns0:v>
      </ns0:c>
      <ns0:c r="CI14" s="0">
        <ns0:f>IF(OR($AO14=0,$B$5&lt;&gt;"OK",$B$6&gt;0,Calendar!T$11=""),0,SUMIFS(rngEngine_U,rngEngine_B,INDEX(Team!$A$11:$A$60,$AO14),rngAMStart,"&lt;="&amp;Calendar!T$11,rngAMEnd,"&gt;="&amp;Calendar!T$11))</ns0:f>
        <ns0:v>0</ns0:v>
      </ns0:c>
      <ns0:c r="CJ14" s="0">
        <ns0:f>IF(OR($AO14=0,$B$5&lt;&gt;"OK",$B$6&gt;0,Calendar!T$11=""),0,SUMIFS(rngEngine_V,rngEngine_B,INDEX(Team!$A$11:$A$60,$AO14),rngPMStart,"&lt;="&amp;Calendar!T$11,rngPMEnd,"&gt;="&amp;Calendar!T$11))</ns0:f>
        <ns0:v>0</ns0:v>
      </ns0:c>
      <ns0:c r="CK14" s="0">
        <ns0:f>IF(OR($AO14=0,$B$5&lt;&gt;"OK",$B$6&gt;0,Calendar!U$11=""),0,SUMIFS(rngEngine_U,rngEngine_B,INDEX(Team!$A$11:$A$60,$AO14),rngAMStart,"&lt;="&amp;Calendar!U$11,rngAMEnd,"&gt;="&amp;Calendar!U$11))</ns0:f>
        <ns0:v>0</ns0:v>
      </ns0:c>
      <ns0:c r="CL14" s="0">
        <ns0:f>IF(OR($AO14=0,$B$5&lt;&gt;"OK",$B$6&gt;0,Calendar!U$11=""),0,SUMIFS(rngEngine_V,rngEngine_B,INDEX(Team!$A$11:$A$60,$AO14),rngPMStart,"&lt;="&amp;Calendar!U$11,rngPMEnd,"&gt;="&amp;Calendar!U$11))</ns0:f>
        <ns0:v>0</ns0:v>
      </ns0:c>
      <ns0:c r="CM14" s="0">
        <ns0:f>IF(OR($AO14=0,$B$5&lt;&gt;"OK",$B$6&gt;0,Calendar!V$11=""),0,SUMIFS(rngEngine_U,rngEngine_B,INDEX(Team!$A$11:$A$60,$AO14),rngAMStart,"&lt;="&amp;Calendar!V$11,rngAMEnd,"&gt;="&amp;Calendar!V$11))</ns0:f>
        <ns0:v>1</ns0:v>
      </ns0:c>
      <ns0:c r="CN14" s="0">
        <ns0:f>IF(OR($AO14=0,$B$5&lt;&gt;"OK",$B$6&gt;0,Calendar!V$11=""),0,SUMIFS(rngEngine_V,rngEngine_B,INDEX(Team!$A$11:$A$60,$AO14),rngPMStart,"&lt;="&amp;Calendar!V$11,rngPMEnd,"&gt;="&amp;Calendar!V$11))</ns0:f>
        <ns0:v>1</ns0:v>
      </ns0:c>
      <ns0:c r="CO14" s="0">
        <ns0:f>IF(OR($AO14=0,$B$5&lt;&gt;"OK",$B$6&gt;0,Calendar!W$11=""),0,SUMIFS(rngEngine_U,rngEngine_B,INDEX(Team!$A$11:$A$60,$AO14),rngAMStart,"&lt;="&amp;Calendar!W$11,rngAMEnd,"&gt;="&amp;Calendar!W$11))</ns0:f>
        <ns0:v>1</ns0:v>
      </ns0:c>
      <ns0:c r="CP14" s="0">
        <ns0:f>IF(OR($AO14=0,$B$5&lt;&gt;"OK",$B$6&gt;0,Calendar!W$11=""),0,SUMIFS(rngEngine_V,rngEngine_B,INDEX(Team!$A$11:$A$60,$AO14),rngPMStart,"&lt;="&amp;Calendar!W$11,rngPMEnd,"&gt;="&amp;Calendar!W$11))</ns0:f>
        <ns0:v>1</ns0:v>
      </ns0:c>
      <ns0:c r="CQ14" s="0">
        <ns0:f>IF(OR($AO14=0,$B$5&lt;&gt;"OK",$B$6&gt;0,Calendar!X$11=""),0,SUMIFS(rngEngine_U,rngEngine_B,INDEX(Team!$A$11:$A$60,$AO14),rngAMStart,"&lt;="&amp;Calendar!X$11,rngAMEnd,"&gt;="&amp;Calendar!X$11))</ns0:f>
        <ns0:v>1</ns0:v>
      </ns0:c>
      <ns0:c r="CR14" s="0">
        <ns0:f>IF(OR($AO14=0,$B$5&lt;&gt;"OK",$B$6&gt;0,Calendar!X$11=""),0,SUMIFS(rngEngine_V,rngEngine_B,INDEX(Team!$A$11:$A$60,$AO14),rngPMStart,"&lt;="&amp;Calendar!X$11,rngPMEnd,"&gt;="&amp;Calendar!X$11))</ns0:f>
        <ns0:v>1</ns0:v>
      </ns0:c>
      <ns0:c r="CS14" s="0">
        <ns0:f>IF(OR($AO14=0,$B$5&lt;&gt;"OK",$B$6&gt;0,Calendar!Y$11=""),0,SUMIFS(rngEngine_U,rngEngine_B,INDEX(Team!$A$11:$A$60,$AO14),rngAMStart,"&lt;="&amp;Calendar!Y$11,rngAMEnd,"&gt;="&amp;Calendar!Y$11))</ns0:f>
        <ns0:v>1</ns0:v>
      </ns0:c>
      <ns0:c r="CT14" s="0">
        <ns0:f>IF(OR($AO14=0,$B$5&lt;&gt;"OK",$B$6&gt;0,Calendar!Y$11=""),0,SUMIFS(rngEngine_V,rngEngine_B,INDEX(Team!$A$11:$A$60,$AO14),rngPMStart,"&lt;="&amp;Calendar!Y$11,rngPMEnd,"&gt;="&amp;Calendar!Y$11))</ns0:f>
        <ns0:v>1</ns0:v>
      </ns0:c>
      <ns0:c r="CU14" s="0">
        <ns0:f>IF(OR($AO14=0,$B$5&lt;&gt;"OK",$B$6&gt;0,Calendar!Z$11=""),0,SUMIFS(rngEngine_U,rngEngine_B,INDEX(Team!$A$11:$A$60,$AO14),rngAMStart,"&lt;="&amp;Calendar!Z$11,rngAMEnd,"&gt;="&amp;Calendar!Z$11))</ns0:f>
        <ns0:v>1</ns0:v>
      </ns0:c>
      <ns0:c r="CV14" s="0">
        <ns0:f>IF(OR($AO14=0,$B$5&lt;&gt;"OK",$B$6&gt;0,Calendar!Z$11=""),0,SUMIFS(rngEngine_V,rngEngine_B,INDEX(Team!$A$11:$A$60,$AO14),rngPMStart,"&lt;="&amp;Calendar!Z$11,rngPMEnd,"&gt;="&amp;Calendar!Z$11))</ns0:f>
        <ns0:v>1</ns0:v>
      </ns0:c>
      <ns0:c r="CW14" s="0">
        <ns0:f>IF(OR($AO14=0,$B$5&lt;&gt;"OK",$B$6&gt;0,Calendar!AA$11=""),0,SUMIFS(rngEngine_U,rngEngine_B,INDEX(Team!$A$11:$A$60,$AO14),rngAMStart,"&lt;="&amp;Calendar!AA$11,rngAMEnd,"&gt;="&amp;Calendar!AA$11))</ns0:f>
        <ns0:v>0</ns0:v>
      </ns0:c>
      <ns0:c r="CX14" s="0">
        <ns0:f>IF(OR($AO14=0,$B$5&lt;&gt;"OK",$B$6&gt;0,Calendar!AA$11=""),0,SUMIFS(rngEngine_V,rngEngine_B,INDEX(Team!$A$11:$A$60,$AO14),rngPMStart,"&lt;="&amp;Calendar!AA$11,rngPMEnd,"&gt;="&amp;Calendar!AA$11))</ns0:f>
        <ns0:v>0</ns0:v>
      </ns0:c>
      <ns0:c r="CY14" s="0">
        <ns0:f>IF(OR($AO14=0,$B$5&lt;&gt;"OK",$B$6&gt;0,Calendar!AB$11=""),0,SUMIFS(rngEngine_U,rngEngine_B,INDEX(Team!$A$11:$A$60,$AO14),rngAMStart,"&lt;="&amp;Calendar!AB$11,rngAMEnd,"&gt;="&amp;Calendar!AB$11))</ns0:f>
        <ns0:v>0</ns0:v>
      </ns0:c>
      <ns0:c r="CZ14" s="0">
        <ns0:f>IF(OR($AO14=0,$B$5&lt;&gt;"OK",$B$6&gt;0,Calendar!AB$11=""),0,SUMIFS(rngEngine_V,rngEngine_B,INDEX(Team!$A$11:$A$60,$AO14),rngPMStart,"&lt;="&amp;Calendar!AB$11,rngPMEnd,"&gt;="&amp;Calendar!AB$11))</ns0:f>
        <ns0:v>0</ns0:v>
      </ns0:c>
      <ns0:c r="DA14" s="0">
        <ns0:f>IF(OR($AO14=0,$B$5&lt;&gt;"OK",$B$6&gt;0,Calendar!AC$11=""),0,SUMIFS(rngEngine_U,rngEngine_B,INDEX(Team!$A$11:$A$60,$AO14),rngAMStart,"&lt;="&amp;Calendar!AC$11,rngAMEnd,"&gt;="&amp;Calendar!AC$11))</ns0:f>
        <ns0:v>11</ns0:v>
      </ns0:c>
      <ns0:c r="DB14" s="0">
        <ns0:f>IF(OR($AO14=0,$B$5&lt;&gt;"OK",$B$6&gt;0,Calendar!AC$11=""),0,SUMIFS(rngEngine_V,rngEngine_B,INDEX(Team!$A$11:$A$60,$AO14),rngPMStart,"&lt;="&amp;Calendar!AC$11,rngPMEnd,"&gt;="&amp;Calendar!AC$11))</ns0:f>
        <ns0:v>11</ns0:v>
      </ns0:c>
      <ns0:c r="DC14" s="0">
        <ns0:f>IF(OR($AO14=0,$B$5&lt;&gt;"OK",$B$6&gt;0,Calendar!AD$11=""),0,SUMIFS(rngEngine_U,rngEngine_B,INDEX(Team!$A$11:$A$60,$AO14),rngAMStart,"&lt;="&amp;Calendar!AD$11,rngAMEnd,"&gt;="&amp;Calendar!AD$11))</ns0:f>
        <ns0:v>11</ns0:v>
      </ns0:c>
      <ns0:c r="DD14" s="0">
        <ns0:f>IF(OR($AO14=0,$B$5&lt;&gt;"OK",$B$6&gt;0,Calendar!AD$11=""),0,SUMIFS(rngEngine_V,rngEngine_B,INDEX(Team!$A$11:$A$60,$AO14),rngPMStart,"&lt;="&amp;Calendar!AD$11,rngPMEnd,"&gt;="&amp;Calendar!AD$11))</ns0:f>
        <ns0:v>11</ns0:v>
      </ns0:c>
      <ns0:c r="DE14" s="0">
        <ns0:f>IF(OR($AO14=0,$B$5&lt;&gt;"OK",$B$6&gt;0,Calendar!AE$11=""),0,SUMIFS(rngEngine_U,rngEngine_B,INDEX(Team!$A$11:$A$60,$AO14),rngAMStart,"&lt;="&amp;Calendar!AE$11,rngAMEnd,"&gt;="&amp;Calendar!AE$11))</ns0:f>
        <ns0:v>11</ns0:v>
      </ns0:c>
      <ns0:c r="DF14" s="0">
        <ns0:f>IF(OR($AO14=0,$B$5&lt;&gt;"OK",$B$6&gt;0,Calendar!AE$11=""),0,SUMIFS(rngEngine_V,rngEngine_B,INDEX(Team!$A$11:$A$60,$AO14),rngPMStart,"&lt;="&amp;Calendar!AE$11,rngPMEnd,"&gt;="&amp;Calendar!AE$11))</ns0:f>
        <ns0:v>11</ns0:v>
      </ns0:c>
      <ns0:c r="DG14" s="0">
        <ns0:f>IF(OR($AO14=0,$B$5&lt;&gt;"OK",$B$6&gt;0,Calendar!AF$11=""),0,SUMIFS(rngEngine_U,rngEngine_B,INDEX(Team!$A$11:$A$60,$AO14),rngAMStart,"&lt;="&amp;Calendar!AF$11,rngAMEnd,"&gt;="&amp;Calendar!AF$11))</ns0:f>
        <ns0:v>0</ns0:v>
      </ns0:c>
      <ns0:c r="DH14" s="0">
        <ns0:f>IF(OR($AO14=0,$B$5&lt;&gt;"OK",$B$6&gt;0,Calendar!AF$11=""),0,SUMIFS(rngEngine_V,rngEngine_B,INDEX(Team!$A$11:$A$60,$AO14),rngPMStart,"&lt;="&amp;Calendar!AF$11,rngPMEnd,"&gt;="&amp;Calendar!AF$11))</ns0:f>
        <ns0:v>0</ns0:v>
      </ns0:c>
      <ns0:c r="DI14" s="0">
        <ns0:f>IF(OR($AO14=0,$B$5&lt;&gt;"OK",$B$6&gt;0,Calendar!AG$11=""),0,SUMIFS(rngEngine_U,rngEngine_B,INDEX(Team!$A$11:$A$60,$AO14),rngAMStart,"&lt;="&amp;Calendar!AG$11,rngAMEnd,"&gt;="&amp;Calendar!AG$11))</ns0:f>
        <ns0:v>0</ns0:v>
      </ns0:c>
      <ns0:c r="DJ14" s="0">
        <ns0:f>IF(OR($AO14=0,$B$5&lt;&gt;"OK",$B$6&gt;0,Calendar!AG$11=""),0,SUMIFS(rngEngine_V,rngEngine_B,INDEX(Team!$A$11:$A$60,$AO14),rngPMStart,"&lt;="&amp;Calendar!AG$11,rngPMEnd,"&gt;="&amp;Calendar!AG$11))</ns0:f>
        <ns0:v>0</ns0:v>
      </ns0:c>
      <ns0:c r="DK14" s="0">
        <ns0:f>IF(OR($AO14=0,$B$5&lt;&gt;"OK",$B$6&gt;0,Calendar!AH$11=""),0,SUMIFS(rngEngine_U,rngEngine_B,INDEX(Team!$A$11:$A$60,$AO14),rngAMStart,"&lt;="&amp;Calendar!AH$11,rngAMEnd,"&gt;="&amp;Calendar!AH$11))</ns0:f>
        <ns0:v>0</ns0:v>
      </ns0:c>
      <ns0:c r="DL14" s="0">
        <ns0:f>IF(OR($AO14=0,$B$5&lt;&gt;"OK",$B$6&gt;0,Calendar!AH$11=""),0,SUMIFS(rngEngine_V,rngEngine_B,INDEX(Team!$A$11:$A$60,$AO14),rngPMStart,"&lt;="&amp;Calendar!AH$11,rngPMEnd,"&gt;="&amp;Calendar!AH$11))</ns0:f>
        <ns0:v>0</ns0:v>
      </ns0:c>
    </ns0:row>
    <ns0:row r="15" ht="22" customHeight="1">
      <ns0:c r="A15" s="4">
        <ns0:f>IF(COUNTA(Bookings!A15:G15,Bookings!I15)=0,0,1)</ns0:f>
        <ns0:v>1</ns0:v>
      </ns0:c>
      <ns0:c r="B15" s="4" t="str">
        <ns0:f>IFERROR(TRIM(MID(Bookings!A15,FIND(" · ",Bookings!A15)+3,99)),"")</ns0:f>
        <ns0:v>EMP002</ns0:v>
      </ns0:c>
      <ns0:c r="C15" s="4">
        <ns0:f>IF(OR(B15="",LEN(B15)&gt;24,ISNUMBER(FIND(" ",B15)),ISNUMBER(FIND("*",B15)),ISNUMBER(FIND("?",B15)),ISNUMBER(FIND("~",B15))),0,IFERROR(MATCH(B15,Team!$A$11:$A$60,0),0))</ns0:f>
        <ns0:v>2</ns0:v>
      </ns0:c>
      <ns0:c r="D15" s="4" t="str">
        <ns0:f>IFERROR(IF(MID(Bookings!F15,LEN(Bookings!F15)-3,3)=" · ",RIGHT(Bookings!F15,1),""),"")</ns0:f>
        <ns0:v>T</ns0:v>
      </ns0:c>
      <ns0:c r="E15" s="4" t="str">
        <ns0:f>IFERROR(INDEX(Settings!$H$7:$H$11,MATCH(D15,Settings!$G$7:$G$11,0)),"")</ns0:f>
        <ns0:v>No</ns0:v>
      </ns0:c>
      <ns0:c r="F15" s="4" t="str">
        <ns0:f>IF(A15=0,"",IFERROR(IF(OR(B15="",C15=0),"CHECK employee selection",IF(INDEX(Team!$O$11:$O$60,C15)&lt;&gt;"OK","CHECK employee setup",IF(OR('_Dates'!J15=0,'_Dates'!T15=0),"CHECK date: use DD.MM.YYYY",IF('_Dates'!T15&lt;'_Dates'!J15,"CHECK end before start",IF(AND($B$6=0,OR('_Dates'!J15&lt;Settings!$B$7,'_Dates'!T15&gt;Settings!$B$8)),"CHECK split across leave years",IF(OR(NOT(OR('_Dates'!U15="Full day",'_Dates'!U15="AM",'_Dates'!U15="PM")),NOT(OR('_Dates'!V15="Full day",'_Dates'!V15="AM",'_Dates'!V15="PM"))),"CHECK Full day / AM / PM",IF(AND('_Dates'!J15='_Dates'!T15,'_Dates'!U15&lt;&gt;"Full day",'_Dates'!V15&lt;&gt;"Full day",'_Dates'!U15&lt;&gt;'_Dates'!V15),"CHECK same-day portions disagree",IF(AND($B$6=0,OR(AND('_Dates'!U15&lt;&gt;"Full day",'_Dates'!AA15=0),AND('_Dates'!V15&lt;&gt;"Full day",'_Dates'!AB15=0))),"CHECK half-day on non-working date",IF(COUNTIF(Settings!$G$7:$G$11,D15)&lt;&gt;1,"CHECK leave type",IF(AND(Bookings!G15&lt;&gt;"Approved",Bookings!G15&lt;&gt;"Pending",Bookings!G15&lt;&gt;"Cancelled"),"CHECK status","OK")))))))))),"CHECK input"))</ns0:f>
        <ns0:v>OK</ns0:v>
      </ns0:c>
      <ns0:c r="G15" s="4">
        <ns0:f>IF(OR(F15&lt;&gt;"OK",$B$6&gt;0),0,0.5*(IF(('_Dates'!X15)&lt;('_Dates'!W15),0,INT((('_Dates'!X15)-('_Dates'!W15)+1)/7)*LEN(SUBSTITUTE(W15,"O",""))+LEN(SUBSTITUTE(MID(W15&amp;W15,WEEKDAY(('_Dates'!W15),2),MOD((('_Dates'!X15)-('_Dates'!W15)+1),7)),"O",""))-COUNTIFS(INDEX(AllClosureRows,C15,0),"&gt;="&amp;('_Dates'!W15),INDEX(AllClosureRows,C15,0),"&lt;="&amp;('_Dates'!X15)))+IF(('_Dates'!Z15)&lt;('_Dates'!Y15),0,INT((('_Dates'!Z15)-('_Dates'!Y15)+1)/7)*LEN(SUBSTITUTE(W15,"O",""))+LEN(SUBSTITUTE(MID(W15&amp;W15,WEEKDAY(('_Dates'!Y15),2),MOD((('_Dates'!Z15)-('_Dates'!Y15)+1),7)),"O",""))-COUNTIFS(INDEX(AllClosureRows,C15,0),"&gt;="&amp;('_Dates'!Y15),INDEX(AllClosureRows,C15,0),"&lt;="&amp;('_Dates'!Z15)))))</ns0:f>
        <ns0:v>1</ns0:v>
      </ns0:c>
      <ns0:c r="H15" s="4">
        <ns0:f>IF(OR(F15&lt;&gt;"OK",$B$6&gt;0),0,0.5*(IF((MIN('_Dates'!X15,Settings!$B$9))&lt;('_Dates'!W15),0,INT(((MIN('_Dates'!X15,Settings!$B$9))-('_Dates'!W15)+1)/7)*LEN(SUBSTITUTE(W15,"O",""))+LEN(SUBSTITUTE(MID(W15&amp;W15,WEEKDAY(('_Dates'!W15),2),MOD(((MIN('_Dates'!X15,Settings!$B$9))-('_Dates'!W15)+1),7)),"O",""))-COUNTIFS(INDEX(AllClosureRows,C15,0),"&gt;="&amp;('_Dates'!W15),INDEX(AllClosureRows,C15,0),"&lt;="&amp;(MIN('_Dates'!X15,Settings!$B$9))))+IF((MIN('_Dates'!Z15,Settings!$B$9))&lt;('_Dates'!Y15),0,INT(((MIN('_Dates'!Z15,Settings!$B$9))-('_Dates'!Y15)+1)/7)*LEN(SUBSTITUTE(W15,"O",""))+LEN(SUBSTITUTE(MID(W15&amp;W15,WEEKDAY(('_Dates'!Y15),2),MOD(((MIN('_Dates'!Z15,Settings!$B$9))-('_Dates'!Y15)+1),7)),"O",""))-COUNTIFS(INDEX(AllClosureRows,C15,0),"&gt;="&amp;('_Dates'!Y15),INDEX(AllClosureRows,C15,0),"&lt;="&amp;(MIN('_Dates'!Z15,Settings!$B$9))))))</ns0:f>
        <ns0:v>1</ns0:v>
      </ns0:c>
      <ns0:c r="I15" s="4">
        <ns0:f>MAX(0,G15-H15)</ns0:f>
        <ns0:v>0</ns0:v>
      </ns0:c>
      <ns0:c r="J15" s="4">
        <ns0:f>IF(OR(A15=0,F15&lt;&gt;"OK",Bookings!G15="Cancelled",$B$6&gt;0),0,IF('_Dates'!AC15=1,MAX(0,COUNTIFS(rngEngine_B,B15,rngAMStart,"&lt;="&amp;'_Dates'!X15,rngAMEnd,"&gt;="&amp;'_Dates'!W15,rngAMActive,1,rngEngine_F,"OK",rngBookings_F,"&lt;&gt;Cancelled")-1),0)+IF('_Dates'!AD15=1,MAX(0,COUNTIFS(rngEngine_B,B15,rngPMStart,"&lt;="&amp;'_Dates'!Z15,rngPMEnd,"&gt;="&amp;'_Dates'!Y15,rngPMActive,1,rngEngine_F,"OK",rngBookings_F,"&lt;&gt;Cancelled")-1),0))</ns0:f>
        <ns0:v>0</ns0:v>
      </ns0:c>
      <ns0:c r="K15" s="0" t="str">
        <ns0:f>IF(A15=0,"",IF(F15&lt;&gt;"OK",F15,IF(J15&gt;0,"CHECK overlapping entry",IF(AND($B$6=0,G15&lt;=0,Bookings!G15&lt;&gt;"Cancelled"),"CHECK no working days",IF(Bookings!G15="Cancelled","Cancelled","OK")))))</ns0:f>
        <ns0:v>OK</ns0:v>
      </ns0:c>
      <ns0:c r="L15" s="0">
        <ns0:f>IF(LEFT(K15,5)="CHECK",1,0)</ns0:f>
        <ns0:v>0</ns0:v>
      </ns0:c>
      <ns0:c r="M15" s="0">
        <ns0:f>IF(AND(L15=1,OR(C15=0,IFERROR(INDEX($X$11:$X$60,C15),0)=0)),1,0)</ns0:f>
        <ns0:v>0</ns0:v>
      </ns0:c>
      <ns0:c r="N15" s="0">
        <ns0:f>IF(OR(A15=0,L15&gt;0,$B$6&gt;0,Bookings!G15="Cancelled"),0,G15)</ns0:f>
        <ns0:v>1</ns0:v>
      </ns0:c>
      <ns0:c r="O15" s="0">
        <ns0:f>IF(AND(Bookings!G15="Approved",E15="Yes"),N15,0)</ns0:f>
        <ns0:v>0</ns0:v>
      </ns0:c>
      <ns0:c r="P15" s="0">
        <ns0:f>IF(AND(Bookings!G15="Approved",E15="Yes",L15=0,$B$6=0),H15,0)</ns0:f>
        <ns0:v>0</ns0:v>
      </ns0:c>
      <ns0:c r="Q15" s="0">
        <ns0:f>IF(AND(Bookings!G15="Approved",E15="Yes",L15=0,$B$6=0),I15,0)</ns0:f>
        <ns0:v>0</ns0:v>
      </ns0:c>
      <ns0:c r="R15" s="0">
        <ns0:f>IF(AND(Bookings!G15="Pending",E15="Yes"),N15,0)</ns0:f>
        <ns0:v>0</ns0:v>
      </ns0:c>
      <ns0:c r="S15" s="0">
        <ns0:f>IF(AND(Bookings!G15="Approved",E15="No"),N15,0)</ns0:f>
        <ns0:v>1</ns0:v>
      </ns0:c>
      <ns0:c r="T15" s="0">
        <ns0:f>IFERROR(MATCH(D15,Settings!$G$7:$G$11,0),0)</ns0:f>
        <ns0:v>4</ns0:v>
      </ns0:c>
      <ns0:c r="U15" s="0">
        <ns0:f>IF(N15&gt;0,T15+IF(Bookings!G15="Pending",10,0),0)</ns0:f>
        <ns0:v>4</ns0:v>
      </ns0:c>
      <ns0:c r="V15" s="0">
        <ns0:f>U15</ns0:f>
        <ns0:v>4</ns0:v>
      </ns0:c>
      <ns0:c r="W15" s="0" t="str">
        <ns0:f>IF(C15=0,"",INDEX($AP$11:$AP$60,C15))</ns0:f>
        <ns0:v>WWWWWOO</ns0:v>
      </ns0:c>
      <ns0:c r="X15" s="0">
        <ns0:f>IF(COUNTA(Team!B15:D15)=0,0,1)</ns0:f>
        <ns0:v>1</ns0:v>
      </ns0:c>
      <ns0:c r="Y15" s="0" t="str">
        <ns0:f>IF(X15=0,"",IF(Team!B15="","[Unnamed]",Team!B15)&amp;" · "&amp;Team!A15)</ns0:f>
        <ns0:v>Casey Taylor · EMP005</ns0:v>
      </ns0:c>
      <ns0:c r="Z15" s="0">
        <ns0:f>IF(X15=0,0,COUNTIF(Team!H15:N15,"Work"))</ns0:f>
        <ns0:v>5</ns0:v>
      </ns0:c>
      <ns0:c r="AA15" s="0">
        <ns0:f>IF(LEFT(Team!O15,5)="CHECK",1,0)</ns0:f>
        <ns0:v>0</ns0:v>
      </ns0:c>
      <ns0:c r="AB15" s="0">
        <ns0:f>IF(X15=0,0,SUMIFS(rngEngine_L,rngEngine_B,Team!A15))</ns0:f>
        <ns0:v>0</ns0:v>
      </ns0:c>
      <ns0:c r="AC15" s="0">
        <ns0:f>IF(AND(X15=1,OR(Calendar!$C$7="All teams",Team!C15=Calendar!$C$7)),MAX($AC$10:AC14)+1,"")</ns0:f>
        <ns0:v>5</ns0:v>
      </ns0:c>
      <ns0:c r="AD15" s="0" t="str">
        <ns0:f>IF(OR(X15=0,Team!C15="",COUNTIF(Team!$C$11:C15,Team!C15)&gt;1),"",MAX($AD$10:AD14)+1)</ns0:f>
        <ns0:v/>
      </ns0:c>
      <ns0:c r="AE15" s="0" t="str">
        <ns0:f>IFERROR(INDEX(Team!$C$11:$C$60,MATCH(ROW()-10,$AD$11:$AD$60,0)),"")</ns0:f>
        <ns0:v/>
      </ns0:c>
      <ns0:c r="AF15" s="0" t="str">
        <ns0:f>AE15</ns0:f>
        <ns0:v/>
      </ns0:c>
      <ns0:c r="AG15" s="0">
        <ns0:f>IF(X15=0,0,IFERROR(Team!F15+Team!G15,0))</ns0:f>
        <ns0:v>25</ns0:v>
      </ns0:c>
      <ns0:c r="AH15" s="0">
        <ns0:f>IF(X15=0,0,SUMIFS(rngEngine_P,rngEngine_B,Team!A15))</ns0:f>
        <ns0:v>0</ns0:v>
      </ns0:c>
      <ns0:c r="AI15" s="0">
        <ns0:f>IF(X15=0,0,SUMIFS(rngEngine_Q,rngEngine_B,Team!A15))</ns0:f>
        <ns0:v>0</ns0:v>
      </ns0:c>
      <ns0:c r="AJ15" s="0">
        <ns0:f>IF(X15=0,0,SUMIFS(rngEngine_R,rngEngine_B,Team!A15))</ns0:f>
        <ns0:v>5</ns0:v>
      </ns0:c>
      <ns0:c r="AK15" s="0">
        <ns0:f>IF(X15=0,0,SUMIFS(rngEngine_S,rngEngine_B,Team!A15))</ns0:f>
        <ns0:v>1</ns0:v>
      </ns0:c>
      <ns0:c r="AL15" s="0">
        <ns0:f>AH15+AI15</ns0:f>
        <ns0:v>0</ns0:v>
      </ns0:c>
      <ns0:c r="AM15" s="0" t="str">
        <ns0:f>IF(X15=0,"",IF(AA15&gt;0,"CHECK team setup",IF(AB15&gt;0,"CHECK "&amp;AB15&amp;" booking(s)","OK")))</ns0:f>
        <ns0:v>OK</ns0:v>
      </ns0:c>
      <ns0:c r="AN15" s="0">
        <ns0:f>IF(X15=0,"",IF(OR($B$6&gt;0,AM15&lt;&gt;"OK"),"REVIEW",AG15-AL15))</ns0:f>
        <ns0:v>25</ns0:v>
      </ns0:c>
      <ns0:c r="AO15" s="0">
        <ns0:f>IFERROR(MATCH(ROW()-11,$AC$11:$AC$60,0),0)</ns0:f>
        <ns0:v>4</ns0:v>
      </ns0:c>
      <ns0:c r="AP15" s="0" t="str">
        <ns0:f>IF(Team!H15="Work","W","O")&amp;IF(Team!I15="Work","W","O")&amp;IF(Team!J15="Work","W","O")&amp;IF(Team!K15="Work","W","O")&amp;IF(Team!L15="Work","W","O")&amp;IF(Team!M15="Work","W","O")&amp;IF(Team!N15="Work","W","O")</ns0:f>
        <ns0:v>WWWWWOO</ns0:v>
      </ns0:c>
      <ns0:c r="AS15" t="inlineStr">
        <ns0:is>
          <ns0:t>May</ns0:t>
        </ns0:is>
      </ns0:c>
      <ns0:c r="BC15" s="0">
        <ns0:f>IF(OR($AO15=0,$B$5&lt;&gt;"OK",$B$6&gt;0,Calendar!D$11=""),0,SUMIFS(rngEngine_U,rngEngine_B,INDEX(Team!$A$11:$A$60,$AO15),rngAMStart,"&lt;="&amp;Calendar!D$11,rngAMEnd,"&gt;="&amp;Calendar!D$11))</ns0:f>
        <ns0:v>0</ns0:v>
      </ns0:c>
      <ns0:c r="BD15" s="0">
        <ns0:f>IF(OR($AO15=0,$B$5&lt;&gt;"OK",$B$6&gt;0,Calendar!D$11=""),0,SUMIFS(rngEngine_V,rngEngine_B,INDEX(Team!$A$11:$A$60,$AO15),rngPMStart,"&lt;="&amp;Calendar!D$11,rngPMEnd,"&gt;="&amp;Calendar!D$11))</ns0:f>
        <ns0:v>0</ns0:v>
      </ns0:c>
      <ns0:c r="BE15" s="0">
        <ns0:f>IF(OR($AO15=0,$B$5&lt;&gt;"OK",$B$6&gt;0,Calendar!E$11=""),0,SUMIFS(rngEngine_U,rngEngine_B,INDEX(Team!$A$11:$A$60,$AO15),rngAMStart,"&lt;="&amp;Calendar!E$11,rngAMEnd,"&gt;="&amp;Calendar!E$11))</ns0:f>
        <ns0:v>0</ns0:v>
      </ns0:c>
      <ns0:c r="BF15" s="0">
        <ns0:f>IF(OR($AO15=0,$B$5&lt;&gt;"OK",$B$6&gt;0,Calendar!E$11=""),0,SUMIFS(rngEngine_V,rngEngine_B,INDEX(Team!$A$11:$A$60,$AO15),rngPMStart,"&lt;="&amp;Calendar!E$11,rngPMEnd,"&gt;="&amp;Calendar!E$11))</ns0:f>
        <ns0:v>0</ns0:v>
      </ns0:c>
      <ns0:c r="BG15" s="0">
        <ns0:f>IF(OR($AO15=0,$B$5&lt;&gt;"OK",$B$6&gt;0,Calendar!F$11=""),0,SUMIFS(rngEngine_U,rngEngine_B,INDEX(Team!$A$11:$A$60,$AO15),rngAMStart,"&lt;="&amp;Calendar!F$11,rngAMEnd,"&gt;="&amp;Calendar!F$11))</ns0:f>
        <ns0:v>0</ns0:v>
      </ns0:c>
      <ns0:c r="BH15" s="0">
        <ns0:f>IF(OR($AO15=0,$B$5&lt;&gt;"OK",$B$6&gt;0,Calendar!F$11=""),0,SUMIFS(rngEngine_V,rngEngine_B,INDEX(Team!$A$11:$A$60,$AO15),rngPMStart,"&lt;="&amp;Calendar!F$11,rngPMEnd,"&gt;="&amp;Calendar!F$11))</ns0:f>
        <ns0:v>0</ns0:v>
      </ns0:c>
      <ns0:c r="BI15" s="0">
        <ns0:f>IF(OR($AO15=0,$B$5&lt;&gt;"OK",$B$6&gt;0,Calendar!G$11=""),0,SUMIFS(rngEngine_U,rngEngine_B,INDEX(Team!$A$11:$A$60,$AO15),rngAMStart,"&lt;="&amp;Calendar!G$11,rngAMEnd,"&gt;="&amp;Calendar!G$11))</ns0:f>
        <ns0:v>0</ns0:v>
      </ns0:c>
      <ns0:c r="BJ15" s="0">
        <ns0:f>IF(OR($AO15=0,$B$5&lt;&gt;"OK",$B$6&gt;0,Calendar!G$11=""),0,SUMIFS(rngEngine_V,rngEngine_B,INDEX(Team!$A$11:$A$60,$AO15),rngPMStart,"&lt;="&amp;Calendar!G$11,rngPMEnd,"&gt;="&amp;Calendar!G$11))</ns0:f>
        <ns0:v>0</ns0:v>
      </ns0:c>
      <ns0:c r="BK15" s="0">
        <ns0:f>IF(OR($AO15=0,$B$5&lt;&gt;"OK",$B$6&gt;0,Calendar!H$11=""),0,SUMIFS(rngEngine_U,rngEngine_B,INDEX(Team!$A$11:$A$60,$AO15),rngAMStart,"&lt;="&amp;Calendar!H$11,rngAMEnd,"&gt;="&amp;Calendar!H$11))</ns0:f>
        <ns0:v>0</ns0:v>
      </ns0:c>
      <ns0:c r="BL15" s="0">
        <ns0:f>IF(OR($AO15=0,$B$5&lt;&gt;"OK",$B$6&gt;0,Calendar!H$11=""),0,SUMIFS(rngEngine_V,rngEngine_B,INDEX(Team!$A$11:$A$60,$AO15),rngPMStart,"&lt;="&amp;Calendar!H$11,rngPMEnd,"&gt;="&amp;Calendar!H$11))</ns0:f>
        <ns0:v>0</ns0:v>
      </ns0:c>
      <ns0:c r="BM15" s="0">
        <ns0:f>IF(OR($AO15=0,$B$5&lt;&gt;"OK",$B$6&gt;0,Calendar!I$11=""),0,SUMIFS(rngEngine_U,rngEngine_B,INDEX(Team!$A$11:$A$60,$AO15),rngAMStart,"&lt;="&amp;Calendar!I$11,rngAMEnd,"&gt;="&amp;Calendar!I$11))</ns0:f>
        <ns0:v>0</ns0:v>
      </ns0:c>
      <ns0:c r="BN15" s="0">
        <ns0:f>IF(OR($AO15=0,$B$5&lt;&gt;"OK",$B$6&gt;0,Calendar!I$11=""),0,SUMIFS(rngEngine_V,rngEngine_B,INDEX(Team!$A$11:$A$60,$AO15),rngPMStart,"&lt;="&amp;Calendar!I$11,rngPMEnd,"&gt;="&amp;Calendar!I$11))</ns0:f>
        <ns0:v>0</ns0:v>
      </ns0:c>
      <ns0:c r="BO15" s="0">
        <ns0:f>IF(OR($AO15=0,$B$5&lt;&gt;"OK",$B$6&gt;0,Calendar!J$11=""),0,SUMIFS(rngEngine_U,rngEngine_B,INDEX(Team!$A$11:$A$60,$AO15),rngAMStart,"&lt;="&amp;Calendar!J$11,rngAMEnd,"&gt;="&amp;Calendar!J$11))</ns0:f>
        <ns0:v>0</ns0:v>
      </ns0:c>
      <ns0:c r="BP15" s="0">
        <ns0:f>IF(OR($AO15=0,$B$5&lt;&gt;"OK",$B$6&gt;0,Calendar!J$11=""),0,SUMIFS(rngEngine_V,rngEngine_B,INDEX(Team!$A$11:$A$60,$AO15),rngPMStart,"&lt;="&amp;Calendar!J$11,rngPMEnd,"&gt;="&amp;Calendar!J$11))</ns0:f>
        <ns0:v>0</ns0:v>
      </ns0:c>
      <ns0:c r="BQ15" s="0">
        <ns0:f>IF(OR($AO15=0,$B$5&lt;&gt;"OK",$B$6&gt;0,Calendar!K$11=""),0,SUMIFS(rngEngine_U,rngEngine_B,INDEX(Team!$A$11:$A$60,$AO15),rngAMStart,"&lt;="&amp;Calendar!K$11,rngAMEnd,"&gt;="&amp;Calendar!K$11))</ns0:f>
        <ns0:v>0</ns0:v>
      </ns0:c>
      <ns0:c r="BR15" s="0">
        <ns0:f>IF(OR($AO15=0,$B$5&lt;&gt;"OK",$B$6&gt;0,Calendar!K$11=""),0,SUMIFS(rngEngine_V,rngEngine_B,INDEX(Team!$A$11:$A$60,$AO15),rngPMStart,"&lt;="&amp;Calendar!K$11,rngPMEnd,"&gt;="&amp;Calendar!K$11))</ns0:f>
        <ns0:v>0</ns0:v>
      </ns0:c>
      <ns0:c r="BS15" s="0">
        <ns0:f>IF(OR($AO15=0,$B$5&lt;&gt;"OK",$B$6&gt;0,Calendar!L$11=""),0,SUMIFS(rngEngine_U,rngEngine_B,INDEX(Team!$A$11:$A$60,$AO15),rngAMStart,"&lt;="&amp;Calendar!L$11,rngAMEnd,"&gt;="&amp;Calendar!L$11))</ns0:f>
        <ns0:v>0</ns0:v>
      </ns0:c>
      <ns0:c r="BT15" s="0">
        <ns0:f>IF(OR($AO15=0,$B$5&lt;&gt;"OK",$B$6&gt;0,Calendar!L$11=""),0,SUMIFS(rngEngine_V,rngEngine_B,INDEX(Team!$A$11:$A$60,$AO15),rngPMStart,"&lt;="&amp;Calendar!L$11,rngPMEnd,"&gt;="&amp;Calendar!L$11))</ns0:f>
        <ns0:v>0</ns0:v>
      </ns0:c>
      <ns0:c r="BU15" s="0">
        <ns0:f>IF(OR($AO15=0,$B$5&lt;&gt;"OK",$B$6&gt;0,Calendar!M$11=""),0,SUMIFS(rngEngine_U,rngEngine_B,INDEX(Team!$A$11:$A$60,$AO15),rngAMStart,"&lt;="&amp;Calendar!M$11,rngAMEnd,"&gt;="&amp;Calendar!M$11))</ns0:f>
        <ns0:v>0</ns0:v>
      </ns0:c>
      <ns0:c r="BV15" s="0">
        <ns0:f>IF(OR($AO15=0,$B$5&lt;&gt;"OK",$B$6&gt;0,Calendar!M$11=""),0,SUMIFS(rngEngine_V,rngEngine_B,INDEX(Team!$A$11:$A$60,$AO15),rngPMStart,"&lt;="&amp;Calendar!M$11,rngPMEnd,"&gt;="&amp;Calendar!M$11))</ns0:f>
        <ns0:v>0</ns0:v>
      </ns0:c>
      <ns0:c r="BW15" s="0">
        <ns0:f>IF(OR($AO15=0,$B$5&lt;&gt;"OK",$B$6&gt;0,Calendar!N$11=""),0,SUMIFS(rngEngine_U,rngEngine_B,INDEX(Team!$A$11:$A$60,$AO15),rngAMStart,"&lt;="&amp;Calendar!N$11,rngAMEnd,"&gt;="&amp;Calendar!N$11))</ns0:f>
        <ns0:v>0</ns0:v>
      </ns0:c>
      <ns0:c r="BX15" s="0">
        <ns0:f>IF(OR($AO15=0,$B$5&lt;&gt;"OK",$B$6&gt;0,Calendar!N$11=""),0,SUMIFS(rngEngine_V,rngEngine_B,INDEX(Team!$A$11:$A$60,$AO15),rngPMStart,"&lt;="&amp;Calendar!N$11,rngPMEnd,"&gt;="&amp;Calendar!N$11))</ns0:f>
        <ns0:v>0</ns0:v>
      </ns0:c>
      <ns0:c r="BY15" s="0">
        <ns0:f>IF(OR($AO15=0,$B$5&lt;&gt;"OK",$B$6&gt;0,Calendar!O$11=""),0,SUMIFS(rngEngine_U,rngEngine_B,INDEX(Team!$A$11:$A$60,$AO15),rngAMStart,"&lt;="&amp;Calendar!O$11,rngAMEnd,"&gt;="&amp;Calendar!O$11))</ns0:f>
        <ns0:v>0</ns0:v>
      </ns0:c>
      <ns0:c r="BZ15" s="0">
        <ns0:f>IF(OR($AO15=0,$B$5&lt;&gt;"OK",$B$6&gt;0,Calendar!O$11=""),0,SUMIFS(rngEngine_V,rngEngine_B,INDEX(Team!$A$11:$A$60,$AO15),rngPMStart,"&lt;="&amp;Calendar!O$11,rngPMEnd,"&gt;="&amp;Calendar!O$11))</ns0:f>
        <ns0:v>0</ns0:v>
      </ns0:c>
      <ns0:c r="CA15" s="0">
        <ns0:f>IF(OR($AO15=0,$B$5&lt;&gt;"OK",$B$6&gt;0,Calendar!P$11=""),0,SUMIFS(rngEngine_U,rngEngine_B,INDEX(Team!$A$11:$A$60,$AO15),rngAMStart,"&lt;="&amp;Calendar!P$11,rngAMEnd,"&gt;="&amp;Calendar!P$11))</ns0:f>
        <ns0:v>0</ns0:v>
      </ns0:c>
      <ns0:c r="CB15" s="0">
        <ns0:f>IF(OR($AO15=0,$B$5&lt;&gt;"OK",$B$6&gt;0,Calendar!P$11=""),0,SUMIFS(rngEngine_V,rngEngine_B,INDEX(Team!$A$11:$A$60,$AO15),rngPMStart,"&lt;="&amp;Calendar!P$11,rngPMEnd,"&gt;="&amp;Calendar!P$11))</ns0:f>
        <ns0:v>0</ns0:v>
      </ns0:c>
      <ns0:c r="CC15" s="0">
        <ns0:f>IF(OR($AO15=0,$B$5&lt;&gt;"OK",$B$6&gt;0,Calendar!Q$11=""),0,SUMIFS(rngEngine_U,rngEngine_B,INDEX(Team!$A$11:$A$60,$AO15),rngAMStart,"&lt;="&amp;Calendar!Q$11,rngAMEnd,"&gt;="&amp;Calendar!Q$11))</ns0:f>
        <ns0:v>1</ns0:v>
      </ns0:c>
      <ns0:c r="CD15" s="0">
        <ns0:f>IF(OR($AO15=0,$B$5&lt;&gt;"OK",$B$6&gt;0,Calendar!Q$11=""),0,SUMIFS(rngEngine_V,rngEngine_B,INDEX(Team!$A$11:$A$60,$AO15),rngPMStart,"&lt;="&amp;Calendar!Q$11,rngPMEnd,"&gt;="&amp;Calendar!Q$11))</ns0:f>
        <ns0:v>2</ns0:v>
      </ns0:c>
      <ns0:c r="CE15" s="0">
        <ns0:f>IF(OR($AO15=0,$B$5&lt;&gt;"OK",$B$6&gt;0,Calendar!R$11=""),0,SUMIFS(rngEngine_U,rngEngine_B,INDEX(Team!$A$11:$A$60,$AO15),rngAMStart,"&lt;="&amp;Calendar!R$11,rngAMEnd,"&gt;="&amp;Calendar!R$11))</ns0:f>
        <ns0:v>0</ns0:v>
      </ns0:c>
      <ns0:c r="CF15" s="0">
        <ns0:f>IF(OR($AO15=0,$B$5&lt;&gt;"OK",$B$6&gt;0,Calendar!R$11=""),0,SUMIFS(rngEngine_V,rngEngine_B,INDEX(Team!$A$11:$A$60,$AO15),rngPMStart,"&lt;="&amp;Calendar!R$11,rngPMEnd,"&gt;="&amp;Calendar!R$11))</ns0:f>
        <ns0:v>0</ns0:v>
      </ns0:c>
      <ns0:c r="CG15" s="0">
        <ns0:f>IF(OR($AO15=0,$B$5&lt;&gt;"OK",$B$6&gt;0,Calendar!S$11=""),0,SUMIFS(rngEngine_U,rngEngine_B,INDEX(Team!$A$11:$A$60,$AO15),rngAMStart,"&lt;="&amp;Calendar!S$11,rngAMEnd,"&gt;="&amp;Calendar!S$11))</ns0:f>
        <ns0:v>0</ns0:v>
      </ns0:c>
      <ns0:c r="CH15" s="0">
        <ns0:f>IF(OR($AO15=0,$B$5&lt;&gt;"OK",$B$6&gt;0,Calendar!S$11=""),0,SUMIFS(rngEngine_V,rngEngine_B,INDEX(Team!$A$11:$A$60,$AO15),rngPMStart,"&lt;="&amp;Calendar!S$11,rngPMEnd,"&gt;="&amp;Calendar!S$11))</ns0:f>
        <ns0:v>0</ns0:v>
      </ns0:c>
      <ns0:c r="CI15" s="0">
        <ns0:f>IF(OR($AO15=0,$B$5&lt;&gt;"OK",$B$6&gt;0,Calendar!T$11=""),0,SUMIFS(rngEngine_U,rngEngine_B,INDEX(Team!$A$11:$A$60,$AO15),rngAMStart,"&lt;="&amp;Calendar!T$11,rngAMEnd,"&gt;="&amp;Calendar!T$11))</ns0:f>
        <ns0:v>0</ns0:v>
      </ns0:c>
      <ns0:c r="CJ15" s="0">
        <ns0:f>IF(OR($AO15=0,$B$5&lt;&gt;"OK",$B$6&gt;0,Calendar!T$11=""),0,SUMIFS(rngEngine_V,rngEngine_B,INDEX(Team!$A$11:$A$60,$AO15),rngPMStart,"&lt;="&amp;Calendar!T$11,rngPMEnd,"&gt;="&amp;Calendar!T$11))</ns0:f>
        <ns0:v>0</ns0:v>
      </ns0:c>
      <ns0:c r="CK15" s="0">
        <ns0:f>IF(OR($AO15=0,$B$5&lt;&gt;"OK",$B$6&gt;0,Calendar!U$11=""),0,SUMIFS(rngEngine_U,rngEngine_B,INDEX(Team!$A$11:$A$60,$AO15),rngAMStart,"&lt;="&amp;Calendar!U$11,rngAMEnd,"&gt;="&amp;Calendar!U$11))</ns0:f>
        <ns0:v>0</ns0:v>
      </ns0:c>
      <ns0:c r="CL15" s="0">
        <ns0:f>IF(OR($AO15=0,$B$5&lt;&gt;"OK",$B$6&gt;0,Calendar!U$11=""),0,SUMIFS(rngEngine_V,rngEngine_B,INDEX(Team!$A$11:$A$60,$AO15),rngPMStart,"&lt;="&amp;Calendar!U$11,rngPMEnd,"&gt;="&amp;Calendar!U$11))</ns0:f>
        <ns0:v>0</ns0:v>
      </ns0:c>
      <ns0:c r="CM15" s="0">
        <ns0:f>IF(OR($AO15=0,$B$5&lt;&gt;"OK",$B$6&gt;0,Calendar!V$11=""),0,SUMIFS(rngEngine_U,rngEngine_B,INDEX(Team!$A$11:$A$60,$AO15),rngAMStart,"&lt;="&amp;Calendar!V$11,rngAMEnd,"&gt;="&amp;Calendar!V$11))</ns0:f>
        <ns0:v>1</ns0:v>
      </ns0:c>
      <ns0:c r="CN15" s="0">
        <ns0:f>IF(OR($AO15=0,$B$5&lt;&gt;"OK",$B$6&gt;0,Calendar!V$11=""),0,SUMIFS(rngEngine_V,rngEngine_B,INDEX(Team!$A$11:$A$60,$AO15),rngPMStart,"&lt;="&amp;Calendar!V$11,rngPMEnd,"&gt;="&amp;Calendar!V$11))</ns0:f>
        <ns0:v>1</ns0:v>
      </ns0:c>
      <ns0:c r="CO15" s="0">
        <ns0:f>IF(OR($AO15=0,$B$5&lt;&gt;"OK",$B$6&gt;0,Calendar!W$11=""),0,SUMIFS(rngEngine_U,rngEngine_B,INDEX(Team!$A$11:$A$60,$AO15),rngAMStart,"&lt;="&amp;Calendar!W$11,rngAMEnd,"&gt;="&amp;Calendar!W$11))</ns0:f>
        <ns0:v>1</ns0:v>
      </ns0:c>
      <ns0:c r="CP15" s="0">
        <ns0:f>IF(OR($AO15=0,$B$5&lt;&gt;"OK",$B$6&gt;0,Calendar!W$11=""),0,SUMIFS(rngEngine_V,rngEngine_B,INDEX(Team!$A$11:$A$60,$AO15),rngPMStart,"&lt;="&amp;Calendar!W$11,rngPMEnd,"&gt;="&amp;Calendar!W$11))</ns0:f>
        <ns0:v>1</ns0:v>
      </ns0:c>
      <ns0:c r="CQ15" s="0">
        <ns0:f>IF(OR($AO15=0,$B$5&lt;&gt;"OK",$B$6&gt;0,Calendar!X$11=""),0,SUMIFS(rngEngine_U,rngEngine_B,INDEX(Team!$A$11:$A$60,$AO15),rngAMStart,"&lt;="&amp;Calendar!X$11,rngAMEnd,"&gt;="&amp;Calendar!X$11))</ns0:f>
        <ns0:v>1</ns0:v>
      </ns0:c>
      <ns0:c r="CR15" s="0">
        <ns0:f>IF(OR($AO15=0,$B$5&lt;&gt;"OK",$B$6&gt;0,Calendar!X$11=""),0,SUMIFS(rngEngine_V,rngEngine_B,INDEX(Team!$A$11:$A$60,$AO15),rngPMStart,"&lt;="&amp;Calendar!X$11,rngPMEnd,"&gt;="&amp;Calendar!X$11))</ns0:f>
        <ns0:v>1</ns0:v>
      </ns0:c>
      <ns0:c r="CS15" s="0">
        <ns0:f>IF(OR($AO15=0,$B$5&lt;&gt;"OK",$B$6&gt;0,Calendar!Y$11=""),0,SUMIFS(rngEngine_U,rngEngine_B,INDEX(Team!$A$11:$A$60,$AO15),rngAMStart,"&lt;="&amp;Calendar!Y$11,rngAMEnd,"&gt;="&amp;Calendar!Y$11))</ns0:f>
        <ns0:v>0</ns0:v>
      </ns0:c>
      <ns0:c r="CT15" s="0">
        <ns0:f>IF(OR($AO15=0,$B$5&lt;&gt;"OK",$B$6&gt;0,Calendar!Y$11=""),0,SUMIFS(rngEngine_V,rngEngine_B,INDEX(Team!$A$11:$A$60,$AO15),rngPMStart,"&lt;="&amp;Calendar!Y$11,rngPMEnd,"&gt;="&amp;Calendar!Y$11))</ns0:f>
        <ns0:v>0</ns0:v>
      </ns0:c>
      <ns0:c r="CU15" s="0">
        <ns0:f>IF(OR($AO15=0,$B$5&lt;&gt;"OK",$B$6&gt;0,Calendar!Z$11=""),0,SUMIFS(rngEngine_U,rngEngine_B,INDEX(Team!$A$11:$A$60,$AO15),rngAMStart,"&lt;="&amp;Calendar!Z$11,rngAMEnd,"&gt;="&amp;Calendar!Z$11))</ns0:f>
        <ns0:v>0</ns0:v>
      </ns0:c>
      <ns0:c r="CV15" s="0">
        <ns0:f>IF(OR($AO15=0,$B$5&lt;&gt;"OK",$B$6&gt;0,Calendar!Z$11=""),0,SUMIFS(rngEngine_V,rngEngine_B,INDEX(Team!$A$11:$A$60,$AO15),rngPMStart,"&lt;="&amp;Calendar!Z$11,rngPMEnd,"&gt;="&amp;Calendar!Z$11))</ns0:f>
        <ns0:v>0</ns0:v>
      </ns0:c>
      <ns0:c r="CW15" s="0">
        <ns0:f>IF(OR($AO15=0,$B$5&lt;&gt;"OK",$B$6&gt;0,Calendar!AA$11=""),0,SUMIFS(rngEngine_U,rngEngine_B,INDEX(Team!$A$11:$A$60,$AO15),rngAMStart,"&lt;="&amp;Calendar!AA$11,rngAMEnd,"&gt;="&amp;Calendar!AA$11))</ns0:f>
        <ns0:v>0</ns0:v>
      </ns0:c>
      <ns0:c r="CX15" s="0">
        <ns0:f>IF(OR($AO15=0,$B$5&lt;&gt;"OK",$B$6&gt;0,Calendar!AA$11=""),0,SUMIFS(rngEngine_V,rngEngine_B,INDEX(Team!$A$11:$A$60,$AO15),rngPMStart,"&lt;="&amp;Calendar!AA$11,rngPMEnd,"&gt;="&amp;Calendar!AA$11))</ns0:f>
        <ns0:v>0</ns0:v>
      </ns0:c>
      <ns0:c r="CY15" s="0">
        <ns0:f>IF(OR($AO15=0,$B$5&lt;&gt;"OK",$B$6&gt;0,Calendar!AB$11=""),0,SUMIFS(rngEngine_U,rngEngine_B,INDEX(Team!$A$11:$A$60,$AO15),rngAMStart,"&lt;="&amp;Calendar!AB$11,rngAMEnd,"&gt;="&amp;Calendar!AB$11))</ns0:f>
        <ns0:v>0</ns0:v>
      </ns0:c>
      <ns0:c r="CZ15" s="0">
        <ns0:f>IF(OR($AO15=0,$B$5&lt;&gt;"OK",$B$6&gt;0,Calendar!AB$11=""),0,SUMIFS(rngEngine_V,rngEngine_B,INDEX(Team!$A$11:$A$60,$AO15),rngPMStart,"&lt;="&amp;Calendar!AB$11,rngPMEnd,"&gt;="&amp;Calendar!AB$11))</ns0:f>
        <ns0:v>0</ns0:v>
      </ns0:c>
      <ns0:c r="DA15" s="0">
        <ns0:f>IF(OR($AO15=0,$B$5&lt;&gt;"OK",$B$6&gt;0,Calendar!AC$11=""),0,SUMIFS(rngEngine_U,rngEngine_B,INDEX(Team!$A$11:$A$60,$AO15),rngAMStart,"&lt;="&amp;Calendar!AC$11,rngAMEnd,"&gt;="&amp;Calendar!AC$11))</ns0:f>
        <ns0:v>0</ns0:v>
      </ns0:c>
      <ns0:c r="DB15" s="0">
        <ns0:f>IF(OR($AO15=0,$B$5&lt;&gt;"OK",$B$6&gt;0,Calendar!AC$11=""),0,SUMIFS(rngEngine_V,rngEngine_B,INDEX(Team!$A$11:$A$60,$AO15),rngPMStart,"&lt;="&amp;Calendar!AC$11,rngPMEnd,"&gt;="&amp;Calendar!AC$11))</ns0:f>
        <ns0:v>0</ns0:v>
      </ns0:c>
      <ns0:c r="DC15" s="0">
        <ns0:f>IF(OR($AO15=0,$B$5&lt;&gt;"OK",$B$6&gt;0,Calendar!AD$11=""),0,SUMIFS(rngEngine_U,rngEngine_B,INDEX(Team!$A$11:$A$60,$AO15),rngAMStart,"&lt;="&amp;Calendar!AD$11,rngAMEnd,"&gt;="&amp;Calendar!AD$11))</ns0:f>
        <ns0:v>0</ns0:v>
      </ns0:c>
      <ns0:c r="DD15" s="0">
        <ns0:f>IF(OR($AO15=0,$B$5&lt;&gt;"OK",$B$6&gt;0,Calendar!AD$11=""),0,SUMIFS(rngEngine_V,rngEngine_B,INDEX(Team!$A$11:$A$60,$AO15),rngPMStart,"&lt;="&amp;Calendar!AD$11,rngPMEnd,"&gt;="&amp;Calendar!AD$11))</ns0:f>
        <ns0:v>0</ns0:v>
      </ns0:c>
      <ns0:c r="DE15" s="0">
        <ns0:f>IF(OR($AO15=0,$B$5&lt;&gt;"OK",$B$6&gt;0,Calendar!AE$11=""),0,SUMIFS(rngEngine_U,rngEngine_B,INDEX(Team!$A$11:$A$60,$AO15),rngAMStart,"&lt;="&amp;Calendar!AE$11,rngAMEnd,"&gt;="&amp;Calendar!AE$11))</ns0:f>
        <ns0:v>0</ns0:v>
      </ns0:c>
      <ns0:c r="DF15" s="0">
        <ns0:f>IF(OR($AO15=0,$B$5&lt;&gt;"OK",$B$6&gt;0,Calendar!AE$11=""),0,SUMIFS(rngEngine_V,rngEngine_B,INDEX(Team!$A$11:$A$60,$AO15),rngPMStart,"&lt;="&amp;Calendar!AE$11,rngPMEnd,"&gt;="&amp;Calendar!AE$11))</ns0:f>
        <ns0:v>0</ns0:v>
      </ns0:c>
      <ns0:c r="DG15" s="0">
        <ns0:f>IF(OR($AO15=0,$B$5&lt;&gt;"OK",$B$6&gt;0,Calendar!AF$11=""),0,SUMIFS(rngEngine_U,rngEngine_B,INDEX(Team!$A$11:$A$60,$AO15),rngAMStart,"&lt;="&amp;Calendar!AF$11,rngAMEnd,"&gt;="&amp;Calendar!AF$11))</ns0:f>
        <ns0:v>0</ns0:v>
      </ns0:c>
      <ns0:c r="DH15" s="0">
        <ns0:f>IF(OR($AO15=0,$B$5&lt;&gt;"OK",$B$6&gt;0,Calendar!AF$11=""),0,SUMIFS(rngEngine_V,rngEngine_B,INDEX(Team!$A$11:$A$60,$AO15),rngPMStart,"&lt;="&amp;Calendar!AF$11,rngPMEnd,"&gt;="&amp;Calendar!AF$11))</ns0:f>
        <ns0:v>0</ns0:v>
      </ns0:c>
      <ns0:c r="DI15" s="0">
        <ns0:f>IF(OR($AO15=0,$B$5&lt;&gt;"OK",$B$6&gt;0,Calendar!AG$11=""),0,SUMIFS(rngEngine_U,rngEngine_B,INDEX(Team!$A$11:$A$60,$AO15),rngAMStart,"&lt;="&amp;Calendar!AG$11,rngAMEnd,"&gt;="&amp;Calendar!AG$11))</ns0:f>
        <ns0:v>0</ns0:v>
      </ns0:c>
      <ns0:c r="DJ15" s="0">
        <ns0:f>IF(OR($AO15=0,$B$5&lt;&gt;"OK",$B$6&gt;0,Calendar!AG$11=""),0,SUMIFS(rngEngine_V,rngEngine_B,INDEX(Team!$A$11:$A$60,$AO15),rngPMStart,"&lt;="&amp;Calendar!AG$11,rngPMEnd,"&gt;="&amp;Calendar!AG$11))</ns0:f>
        <ns0:v>0</ns0:v>
      </ns0:c>
      <ns0:c r="DK15" s="0">
        <ns0:f>IF(OR($AO15=0,$B$5&lt;&gt;"OK",$B$6&gt;0,Calendar!AH$11=""),0,SUMIFS(rngEngine_U,rngEngine_B,INDEX(Team!$A$11:$A$60,$AO15),rngAMStart,"&lt;="&amp;Calendar!AH$11,rngAMEnd,"&gt;="&amp;Calendar!AH$11))</ns0:f>
        <ns0:v>0</ns0:v>
      </ns0:c>
      <ns0:c r="DL15" s="0">
        <ns0:f>IF(OR($AO15=0,$B$5&lt;&gt;"OK",$B$6&gt;0,Calendar!AH$11=""),0,SUMIFS(rngEngine_V,rngEngine_B,INDEX(Team!$A$11:$A$60,$AO15),rngPMStart,"&lt;="&amp;Calendar!AH$11,rngPMEnd,"&gt;="&amp;Calendar!AH$11))</ns0:f>
        <ns0:v>0</ns0:v>
      </ns0:c>
    </ns0:row>
    <ns0:row r="16" ht="22" customHeight="1">
      <ns0:c r="A16" s="4">
        <ns0:f>IF(COUNTA(Bookings!A16:G16,Bookings!I16)=0,0,1)</ns0:f>
        <ns0:v>1</ns0:v>
      </ns0:c>
      <ns0:c r="B16" s="4" t="str">
        <ns0:f>IFERROR(TRIM(MID(Bookings!A16,FIND(" · ",Bookings!A16)+3,99)),"")</ns0:f>
        <ns0:v>EMP003</ns0:v>
      </ns0:c>
      <ns0:c r="C16" s="4">
        <ns0:f>IF(OR(B16="",LEN(B16)&gt;24,ISNUMBER(FIND(" ",B16)),ISNUMBER(FIND("*",B16)),ISNUMBER(FIND("?",B16)),ISNUMBER(FIND("~",B16))),0,IFERROR(MATCH(B16,Team!$A$11:$A$60,0),0))</ns0:f>
        <ns0:v>3</ns0:v>
      </ns0:c>
      <ns0:c r="D16" s="4" t="str">
        <ns0:f>IFERROR(IF(MID(Bookings!F16,LEN(Bookings!F16)-3,3)=" · ",RIGHT(Bookings!F16,1),""),"")</ns0:f>
        <ns0:v>H</ns0:v>
      </ns0:c>
      <ns0:c r="E16" s="4" t="str">
        <ns0:f>IFERROR(INDEX(Settings!$H$7:$H$11,MATCH(D16,Settings!$G$7:$G$11,0)),"")</ns0:f>
        <ns0:v>Yes</ns0:v>
      </ns0:c>
      <ns0:c r="F16" s="4" t="str">
        <ns0:f>IF(A16=0,"",IFERROR(IF(OR(B16="",C16=0),"CHECK employee selection",IF(INDEX(Team!$O$11:$O$60,C16)&lt;&gt;"OK","CHECK employee setup",IF(OR('_Dates'!J16=0,'_Dates'!T16=0),"CHECK date: use DD.MM.YYYY",IF('_Dates'!T16&lt;'_Dates'!J16,"CHECK end before start",IF(AND($B$6=0,OR('_Dates'!J16&lt;Settings!$B$7,'_Dates'!T16&gt;Settings!$B$8)),"CHECK split across leave years",IF(OR(NOT(OR('_Dates'!U16="Full day",'_Dates'!U16="AM",'_Dates'!U16="PM")),NOT(OR('_Dates'!V16="Full day",'_Dates'!V16="AM",'_Dates'!V16="PM"))),"CHECK Full day / AM / PM",IF(AND('_Dates'!J16='_Dates'!T16,'_Dates'!U16&lt;&gt;"Full day",'_Dates'!V16&lt;&gt;"Full day",'_Dates'!U16&lt;&gt;'_Dates'!V16),"CHECK same-day portions disagree",IF(AND($B$6=0,OR(AND('_Dates'!U16&lt;&gt;"Full day",'_Dates'!AA16=0),AND('_Dates'!V16&lt;&gt;"Full day",'_Dates'!AB16=0))),"CHECK half-day on non-working date",IF(COUNTIF(Settings!$G$7:$G$11,D16)&lt;&gt;1,"CHECK leave type",IF(AND(Bookings!G16&lt;&gt;"Approved",Bookings!G16&lt;&gt;"Pending",Bookings!G16&lt;&gt;"Cancelled"),"CHECK status","OK")))))))))),"CHECK input"))</ns0:f>
        <ns0:v>OK</ns0:v>
      </ns0:c>
      <ns0:c r="G16" s="4">
        <ns0:f>IF(OR(F16&lt;&gt;"OK",$B$6&gt;0),0,0.5*(IF(('_Dates'!X16)&lt;('_Dates'!W16),0,INT((('_Dates'!X16)-('_Dates'!W16)+1)/7)*LEN(SUBSTITUTE(W16,"O",""))+LEN(SUBSTITUTE(MID(W16&amp;W16,WEEKDAY(('_Dates'!W16),2),MOD((('_Dates'!X16)-('_Dates'!W16)+1),7)),"O",""))-COUNTIFS(INDEX(AllClosureRows,C16,0),"&gt;="&amp;('_Dates'!W16),INDEX(AllClosureRows,C16,0),"&lt;="&amp;('_Dates'!X16)))+IF(('_Dates'!Z16)&lt;('_Dates'!Y16),0,INT((('_Dates'!Z16)-('_Dates'!Y16)+1)/7)*LEN(SUBSTITUTE(W16,"O",""))+LEN(SUBSTITUTE(MID(W16&amp;W16,WEEKDAY(('_Dates'!Y16),2),MOD((('_Dates'!Z16)-('_Dates'!Y16)+1),7)),"O",""))-COUNTIFS(INDEX(AllClosureRows,C16,0),"&gt;="&amp;('_Dates'!Y16),INDEX(AllClosureRows,C16,0),"&lt;="&amp;('_Dates'!Z16)))))</ns0:f>
        <ns0:v>3</ns0:v>
      </ns0:c>
      <ns0:c r="H16" s="4">
        <ns0:f>IF(OR(F16&lt;&gt;"OK",$B$6&gt;0),0,0.5*(IF((MIN('_Dates'!X16,Settings!$B$9))&lt;('_Dates'!W16),0,INT(((MIN('_Dates'!X16,Settings!$B$9))-('_Dates'!W16)+1)/7)*LEN(SUBSTITUTE(W16,"O",""))+LEN(SUBSTITUTE(MID(W16&amp;W16,WEEKDAY(('_Dates'!W16),2),MOD(((MIN('_Dates'!X16,Settings!$B$9))-('_Dates'!W16)+1),7)),"O",""))-COUNTIFS(INDEX(AllClosureRows,C16,0),"&gt;="&amp;('_Dates'!W16),INDEX(AllClosureRows,C16,0),"&lt;="&amp;(MIN('_Dates'!X16,Settings!$B$9))))+IF((MIN('_Dates'!Z16,Settings!$B$9))&lt;('_Dates'!Y16),0,INT(((MIN('_Dates'!Z16,Settings!$B$9))-('_Dates'!Y16)+1)/7)*LEN(SUBSTITUTE(W16,"O",""))+LEN(SUBSTITUTE(MID(W16&amp;W16,WEEKDAY(('_Dates'!Y16),2),MOD(((MIN('_Dates'!Z16,Settings!$B$9))-('_Dates'!Y16)+1),7)),"O",""))-COUNTIFS(INDEX(AllClosureRows,C16,0),"&gt;="&amp;('_Dates'!Y16),INDEX(AllClosureRows,C16,0),"&lt;="&amp;(MIN('_Dates'!Z16,Settings!$B$9))))))</ns0:f>
        <ns0:v>0</ns0:v>
      </ns0:c>
      <ns0:c r="I16" s="4">
        <ns0:f>MAX(0,G16-H16)</ns0:f>
        <ns0:v>3</ns0:v>
      </ns0:c>
      <ns0:c r="J16" s="4">
        <ns0:f>IF(OR(A16=0,F16&lt;&gt;"OK",Bookings!G16="Cancelled",$B$6&gt;0),0,IF('_Dates'!AC16=1,MAX(0,COUNTIFS(rngEngine_B,B16,rngAMStart,"&lt;="&amp;'_Dates'!X16,rngAMEnd,"&gt;="&amp;'_Dates'!W16,rngAMActive,1,rngEngine_F,"OK",rngBookings_F,"&lt;&gt;Cancelled")-1),0)+IF('_Dates'!AD16=1,MAX(0,COUNTIFS(rngEngine_B,B16,rngPMStart,"&lt;="&amp;'_Dates'!Z16,rngPMEnd,"&gt;="&amp;'_Dates'!Y16,rngPMActive,1,rngEngine_F,"OK",rngBookings_F,"&lt;&gt;Cancelled")-1),0))</ns0:f>
        <ns0:v>0</ns0:v>
      </ns0:c>
      <ns0:c r="K16" s="0" t="str">
        <ns0:f>IF(A16=0,"",IF(F16&lt;&gt;"OK",F16,IF(J16&gt;0,"CHECK overlapping entry",IF(AND($B$6=0,G16&lt;=0,Bookings!G16&lt;&gt;"Cancelled"),"CHECK no working days",IF(Bookings!G16="Cancelled","Cancelled","OK")))))</ns0:f>
        <ns0:v>OK</ns0:v>
      </ns0:c>
      <ns0:c r="L16" s="0">
        <ns0:f>IF(LEFT(K16,5)="CHECK",1,0)</ns0:f>
        <ns0:v>0</ns0:v>
      </ns0:c>
      <ns0:c r="M16" s="0">
        <ns0:f>IF(AND(L16=1,OR(C16=0,IFERROR(INDEX($X$11:$X$60,C16),0)=0)),1,0)</ns0:f>
        <ns0:v>0</ns0:v>
      </ns0:c>
      <ns0:c r="N16" s="0">
        <ns0:f>IF(OR(A16=0,L16&gt;0,$B$6&gt;0,Bookings!G16="Cancelled"),0,G16)</ns0:f>
        <ns0:v>3</ns0:v>
      </ns0:c>
      <ns0:c r="O16" s="0">
        <ns0:f>IF(AND(Bookings!G16="Approved",E16="Yes"),N16,0)</ns0:f>
        <ns0:v>3</ns0:v>
      </ns0:c>
      <ns0:c r="P16" s="0">
        <ns0:f>IF(AND(Bookings!G16="Approved",E16="Yes",L16=0,$B$6=0),H16,0)</ns0:f>
        <ns0:v>0</ns0:v>
      </ns0:c>
      <ns0:c r="Q16" s="0">
        <ns0:f>IF(AND(Bookings!G16="Approved",E16="Yes",L16=0,$B$6=0),I16,0)</ns0:f>
        <ns0:v>3</ns0:v>
      </ns0:c>
      <ns0:c r="R16" s="0">
        <ns0:f>IF(AND(Bookings!G16="Pending",E16="Yes"),N16,0)</ns0:f>
        <ns0:v>0</ns0:v>
      </ns0:c>
      <ns0:c r="S16" s="0">
        <ns0:f>IF(AND(Bookings!G16="Approved",E16="No"),N16,0)</ns0:f>
        <ns0:v>0</ns0:v>
      </ns0:c>
      <ns0:c r="T16" s="0">
        <ns0:f>IFERROR(MATCH(D16,Settings!$G$7:$G$11,0),0)</ns0:f>
        <ns0:v>1</ns0:v>
      </ns0:c>
      <ns0:c r="U16" s="0">
        <ns0:f>IF(N16&gt;0,T16+IF(Bookings!G16="Pending",10,0),0)</ns0:f>
        <ns0:v>1</ns0:v>
      </ns0:c>
      <ns0:c r="V16" s="0">
        <ns0:f>U16</ns0:f>
        <ns0:v>1</ns0:v>
      </ns0:c>
      <ns0:c r="W16" s="0" t="str">
        <ns0:f>IF(C16=0,"",INDEX($AP$11:$AP$60,C16))</ns0:f>
        <ns0:v>WWWOOOO</ns0:v>
      </ns0:c>
      <ns0:c r="X16" s="0">
        <ns0:f>IF(COUNTA(Team!B16:D16)=0,0,1)</ns0:f>
        <ns0:v>1</ns0:v>
      </ns0:c>
      <ns0:c r="Y16" s="0" t="str">
        <ns0:f>IF(X16=0,"",IF(Team!B16="","[Unnamed]",Team!B16)&amp;" · "&amp;Team!A16)</ns0:f>
        <ns0:v>Riley Chen · EMP006</ns0:v>
      </ns0:c>
      <ns0:c r="Z16" s="0">
        <ns0:f>IF(X16=0,0,COUNTIF(Team!H16:N16,"Work"))</ns0:f>
        <ns0:v>4</ns0:v>
      </ns0:c>
      <ns0:c r="AA16" s="0">
        <ns0:f>IF(LEFT(Team!O16,5)="CHECK",1,0)</ns0:f>
        <ns0:v>0</ns0:v>
      </ns0:c>
      <ns0:c r="AB16" s="0">
        <ns0:f>IF(X16=0,0,SUMIFS(rngEngine_L,rngEngine_B,Team!A16))</ns0:f>
        <ns0:v>0</ns0:v>
      </ns0:c>
      <ns0:c r="AC16" s="0">
        <ns0:f>IF(AND(X16=1,OR(Calendar!$C$7="All teams",Team!C16=Calendar!$C$7)),MAX($AC$10:AC15)+1,"")</ns0:f>
        <ns0:v>6</ns0:v>
      </ns0:c>
      <ns0:c r="AD16" s="0" t="str">
        <ns0:f>IF(OR(X16=0,Team!C16="",COUNTIF(Team!$C$11:C16,Team!C16)&gt;1),"",MAX($AD$10:AD15)+1)</ns0:f>
        <ns0:v/>
      </ns0:c>
      <ns0:c r="AE16" s="0" t="str">
        <ns0:f>IFERROR(INDEX(Team!$C$11:$C$60,MATCH(ROW()-10,$AD$11:$AD$60,0)),"")</ns0:f>
        <ns0:v/>
      </ns0:c>
      <ns0:c r="AF16" s="0" t="str">
        <ns0:f>AE16</ns0:f>
        <ns0:v/>
      </ns0:c>
      <ns0:c r="AG16" s="0">
        <ns0:f>IF(X16=0,0,IFERROR(Team!F16+Team!G16,0))</ns0:f>
        <ns0:v>20</ns0:v>
      </ns0:c>
      <ns0:c r="AH16" s="0">
        <ns0:f>IF(X16=0,0,SUMIFS(rngEngine_P,rngEngine_B,Team!A16))</ns0:f>
        <ns0:v>0</ns0:v>
      </ns0:c>
      <ns0:c r="AI16" s="0">
        <ns0:f>IF(X16=0,0,SUMIFS(rngEngine_Q,rngEngine_B,Team!A16))</ns0:f>
        <ns0:v>0.5</ns0:v>
      </ns0:c>
      <ns0:c r="AJ16" s="0">
        <ns0:f>IF(X16=0,0,SUMIFS(rngEngine_R,rngEngine_B,Team!A16))</ns0:f>
        <ns0:v>0.5</ns0:v>
      </ns0:c>
      <ns0:c r="AK16" s="0">
        <ns0:f>IF(X16=0,0,SUMIFS(rngEngine_S,rngEngine_B,Team!A16))</ns0:f>
        <ns0:v>3</ns0:v>
      </ns0:c>
      <ns0:c r="AL16" s="0">
        <ns0:f>AH16+AI16</ns0:f>
        <ns0:v>0.5</ns0:v>
      </ns0:c>
      <ns0:c r="AM16" s="0" t="str">
        <ns0:f>IF(X16=0,"",IF(AA16&gt;0,"CHECK team setup",IF(AB16&gt;0,"CHECK "&amp;AB16&amp;" booking(s)","OK")))</ns0:f>
        <ns0:v>OK</ns0:v>
      </ns0:c>
      <ns0:c r="AN16" s="0">
        <ns0:f>IF(X16=0,"",IF(OR($B$6&gt;0,AM16&lt;&gt;"OK"),"REVIEW",AG16-AL16))</ns0:f>
        <ns0:v>19.5</ns0:v>
      </ns0:c>
      <ns0:c r="AO16" s="0">
        <ns0:f>IFERROR(MATCH(ROW()-11,$AC$11:$AC$60,0),0)</ns0:f>
        <ns0:v>5</ns0:v>
      </ns0:c>
      <ns0:c r="AP16" s="0" t="str">
        <ns0:f>IF(Team!H16="Work","W","O")&amp;IF(Team!I16="Work","W","O")&amp;IF(Team!J16="Work","W","O")&amp;IF(Team!K16="Work","W","O")&amp;IF(Team!L16="Work","W","O")&amp;IF(Team!M16="Work","W","O")&amp;IF(Team!N16="Work","W","O")</ns0:f>
        <ns0:v>WWWWOOO</ns0:v>
      </ns0:c>
      <ns0:c r="AS16" t="inlineStr">
        <ns0:is>
          <ns0:t>June</ns0:t>
        </ns0:is>
      </ns0:c>
      <ns0:c r="BC16" s="0">
        <ns0:f>IF(OR($AO16=0,$B$5&lt;&gt;"OK",$B$6&gt;0,Calendar!D$11=""),0,SUMIFS(rngEngine_U,rngEngine_B,INDEX(Team!$A$11:$A$60,$AO16),rngAMStart,"&lt;="&amp;Calendar!D$11,rngAMEnd,"&gt;="&amp;Calendar!D$11))</ns0:f>
        <ns0:v>0</ns0:v>
      </ns0:c>
      <ns0:c r="BD16" s="0">
        <ns0:f>IF(OR($AO16=0,$B$5&lt;&gt;"OK",$B$6&gt;0,Calendar!D$11=""),0,SUMIFS(rngEngine_V,rngEngine_B,INDEX(Team!$A$11:$A$60,$AO16),rngPMStart,"&lt;="&amp;Calendar!D$11,rngPMEnd,"&gt;="&amp;Calendar!D$11))</ns0:f>
        <ns0:v>0</ns0:v>
      </ns0:c>
      <ns0:c r="BE16" s="0">
        <ns0:f>IF(OR($AO16=0,$B$5&lt;&gt;"OK",$B$6&gt;0,Calendar!E$11=""),0,SUMIFS(rngEngine_U,rngEngine_B,INDEX(Team!$A$11:$A$60,$AO16),rngAMStart,"&lt;="&amp;Calendar!E$11,rngAMEnd,"&gt;="&amp;Calendar!E$11))</ns0:f>
        <ns0:v>0</ns0:v>
      </ns0:c>
      <ns0:c r="BF16" s="0">
        <ns0:f>IF(OR($AO16=0,$B$5&lt;&gt;"OK",$B$6&gt;0,Calendar!E$11=""),0,SUMIFS(rngEngine_V,rngEngine_B,INDEX(Team!$A$11:$A$60,$AO16),rngPMStart,"&lt;="&amp;Calendar!E$11,rngPMEnd,"&gt;="&amp;Calendar!E$11))</ns0:f>
        <ns0:v>0</ns0:v>
      </ns0:c>
      <ns0:c r="BG16" s="0">
        <ns0:f>IF(OR($AO16=0,$B$5&lt;&gt;"OK",$B$6&gt;0,Calendar!F$11=""),0,SUMIFS(rngEngine_U,rngEngine_B,INDEX(Team!$A$11:$A$60,$AO16),rngAMStart,"&lt;="&amp;Calendar!F$11,rngAMEnd,"&gt;="&amp;Calendar!F$11))</ns0:f>
        <ns0:v>0</ns0:v>
      </ns0:c>
      <ns0:c r="BH16" s="0">
        <ns0:f>IF(OR($AO16=0,$B$5&lt;&gt;"OK",$B$6&gt;0,Calendar!F$11=""),0,SUMIFS(rngEngine_V,rngEngine_B,INDEX(Team!$A$11:$A$60,$AO16),rngPMStart,"&lt;="&amp;Calendar!F$11,rngPMEnd,"&gt;="&amp;Calendar!F$11))</ns0:f>
        <ns0:v>0</ns0:v>
      </ns0:c>
      <ns0:c r="BI16" s="0">
        <ns0:f>IF(OR($AO16=0,$B$5&lt;&gt;"OK",$B$6&gt;0,Calendar!G$11=""),0,SUMIFS(rngEngine_U,rngEngine_B,INDEX(Team!$A$11:$A$60,$AO16),rngAMStart,"&lt;="&amp;Calendar!G$11,rngAMEnd,"&gt;="&amp;Calendar!G$11))</ns0:f>
        <ns0:v>0</ns0:v>
      </ns0:c>
      <ns0:c r="BJ16" s="0">
        <ns0:f>IF(OR($AO16=0,$B$5&lt;&gt;"OK",$B$6&gt;0,Calendar!G$11=""),0,SUMIFS(rngEngine_V,rngEngine_B,INDEX(Team!$A$11:$A$60,$AO16),rngPMStart,"&lt;="&amp;Calendar!G$11,rngPMEnd,"&gt;="&amp;Calendar!G$11))</ns0:f>
        <ns0:v>0</ns0:v>
      </ns0:c>
      <ns0:c r="BK16" s="0">
        <ns0:f>IF(OR($AO16=0,$B$5&lt;&gt;"OK",$B$6&gt;0,Calendar!H$11=""),0,SUMIFS(rngEngine_U,rngEngine_B,INDEX(Team!$A$11:$A$60,$AO16),rngAMStart,"&lt;="&amp;Calendar!H$11,rngAMEnd,"&gt;="&amp;Calendar!H$11))</ns0:f>
        <ns0:v>0</ns0:v>
      </ns0:c>
      <ns0:c r="BL16" s="0">
        <ns0:f>IF(OR($AO16=0,$B$5&lt;&gt;"OK",$B$6&gt;0,Calendar!H$11=""),0,SUMIFS(rngEngine_V,rngEngine_B,INDEX(Team!$A$11:$A$60,$AO16),rngPMStart,"&lt;="&amp;Calendar!H$11,rngPMEnd,"&gt;="&amp;Calendar!H$11))</ns0:f>
        <ns0:v>0</ns0:v>
      </ns0:c>
      <ns0:c r="BM16" s="0">
        <ns0:f>IF(OR($AO16=0,$B$5&lt;&gt;"OK",$B$6&gt;0,Calendar!I$11=""),0,SUMIFS(rngEngine_U,rngEngine_B,INDEX(Team!$A$11:$A$60,$AO16),rngAMStart,"&lt;="&amp;Calendar!I$11,rngAMEnd,"&gt;="&amp;Calendar!I$11))</ns0:f>
        <ns0:v>0</ns0:v>
      </ns0:c>
      <ns0:c r="BN16" s="0">
        <ns0:f>IF(OR($AO16=0,$B$5&lt;&gt;"OK",$B$6&gt;0,Calendar!I$11=""),0,SUMIFS(rngEngine_V,rngEngine_B,INDEX(Team!$A$11:$A$60,$AO16),rngPMStart,"&lt;="&amp;Calendar!I$11,rngPMEnd,"&gt;="&amp;Calendar!I$11))</ns0:f>
        <ns0:v>0</ns0:v>
      </ns0:c>
      <ns0:c r="BO16" s="0">
        <ns0:f>IF(OR($AO16=0,$B$5&lt;&gt;"OK",$B$6&gt;0,Calendar!J$11=""),0,SUMIFS(rngEngine_U,rngEngine_B,INDEX(Team!$A$11:$A$60,$AO16),rngAMStart,"&lt;="&amp;Calendar!J$11,rngAMEnd,"&gt;="&amp;Calendar!J$11))</ns0:f>
        <ns0:v>2</ns0:v>
      </ns0:c>
      <ns0:c r="BP16" s="0">
        <ns0:f>IF(OR($AO16=0,$B$5&lt;&gt;"OK",$B$6&gt;0,Calendar!J$11=""),0,SUMIFS(rngEngine_V,rngEngine_B,INDEX(Team!$A$11:$A$60,$AO16),rngPMStart,"&lt;="&amp;Calendar!J$11,rngPMEnd,"&gt;="&amp;Calendar!J$11))</ns0:f>
        <ns0:v>2</ns0:v>
      </ns0:c>
      <ns0:c r="BQ16" s="0">
        <ns0:f>IF(OR($AO16=0,$B$5&lt;&gt;"OK",$B$6&gt;0,Calendar!K$11=""),0,SUMIFS(rngEngine_U,rngEngine_B,INDEX(Team!$A$11:$A$60,$AO16),rngAMStart,"&lt;="&amp;Calendar!K$11,rngAMEnd,"&gt;="&amp;Calendar!K$11))</ns0:f>
        <ns0:v>0</ns0:v>
      </ns0:c>
      <ns0:c r="BR16" s="0">
        <ns0:f>IF(OR($AO16=0,$B$5&lt;&gt;"OK",$B$6&gt;0,Calendar!K$11=""),0,SUMIFS(rngEngine_V,rngEngine_B,INDEX(Team!$A$11:$A$60,$AO16),rngPMStart,"&lt;="&amp;Calendar!K$11,rngPMEnd,"&gt;="&amp;Calendar!K$11))</ns0:f>
        <ns0:v>0</ns0:v>
      </ns0:c>
      <ns0:c r="BS16" s="0">
        <ns0:f>IF(OR($AO16=0,$B$5&lt;&gt;"OK",$B$6&gt;0,Calendar!L$11=""),0,SUMIFS(rngEngine_U,rngEngine_B,INDEX(Team!$A$11:$A$60,$AO16),rngAMStart,"&lt;="&amp;Calendar!L$11,rngAMEnd,"&gt;="&amp;Calendar!L$11))</ns0:f>
        <ns0:v>0</ns0:v>
      </ns0:c>
      <ns0:c r="BT16" s="0">
        <ns0:f>IF(OR($AO16=0,$B$5&lt;&gt;"OK",$B$6&gt;0,Calendar!L$11=""),0,SUMIFS(rngEngine_V,rngEngine_B,INDEX(Team!$A$11:$A$60,$AO16),rngPMStart,"&lt;="&amp;Calendar!L$11,rngPMEnd,"&gt;="&amp;Calendar!L$11))</ns0:f>
        <ns0:v>0</ns0:v>
      </ns0:c>
      <ns0:c r="BU16" s="0">
        <ns0:f>IF(OR($AO16=0,$B$5&lt;&gt;"OK",$B$6&gt;0,Calendar!M$11=""),0,SUMIFS(rngEngine_U,rngEngine_B,INDEX(Team!$A$11:$A$60,$AO16),rngAMStart,"&lt;="&amp;Calendar!M$11,rngAMEnd,"&gt;="&amp;Calendar!M$11))</ns0:f>
        <ns0:v>0</ns0:v>
      </ns0:c>
      <ns0:c r="BV16" s="0">
        <ns0:f>IF(OR($AO16=0,$B$5&lt;&gt;"OK",$B$6&gt;0,Calendar!M$11=""),0,SUMIFS(rngEngine_V,rngEngine_B,INDEX(Team!$A$11:$A$60,$AO16),rngPMStart,"&lt;="&amp;Calendar!M$11,rngPMEnd,"&gt;="&amp;Calendar!M$11))</ns0:f>
        <ns0:v>0</ns0:v>
      </ns0:c>
      <ns0:c r="BW16" s="0">
        <ns0:f>IF(OR($AO16=0,$B$5&lt;&gt;"OK",$B$6&gt;0,Calendar!N$11=""),0,SUMIFS(rngEngine_U,rngEngine_B,INDEX(Team!$A$11:$A$60,$AO16),rngAMStart,"&lt;="&amp;Calendar!N$11,rngAMEnd,"&gt;="&amp;Calendar!N$11))</ns0:f>
        <ns0:v>0</ns0:v>
      </ns0:c>
      <ns0:c r="BX16" s="0">
        <ns0:f>IF(OR($AO16=0,$B$5&lt;&gt;"OK",$B$6&gt;0,Calendar!N$11=""),0,SUMIFS(rngEngine_V,rngEngine_B,INDEX(Team!$A$11:$A$60,$AO16),rngPMStart,"&lt;="&amp;Calendar!N$11,rngPMEnd,"&gt;="&amp;Calendar!N$11))</ns0:f>
        <ns0:v>0</ns0:v>
      </ns0:c>
      <ns0:c r="BY16" s="0">
        <ns0:f>IF(OR($AO16=0,$B$5&lt;&gt;"OK",$B$6&gt;0,Calendar!O$11=""),0,SUMIFS(rngEngine_U,rngEngine_B,INDEX(Team!$A$11:$A$60,$AO16),rngAMStart,"&lt;="&amp;Calendar!O$11,rngAMEnd,"&gt;="&amp;Calendar!O$11))</ns0:f>
        <ns0:v>0</ns0:v>
      </ns0:c>
      <ns0:c r="BZ16" s="0">
        <ns0:f>IF(OR($AO16=0,$B$5&lt;&gt;"OK",$B$6&gt;0,Calendar!O$11=""),0,SUMIFS(rngEngine_V,rngEngine_B,INDEX(Team!$A$11:$A$60,$AO16),rngPMStart,"&lt;="&amp;Calendar!O$11,rngPMEnd,"&gt;="&amp;Calendar!O$11))</ns0:f>
        <ns0:v>0</ns0:v>
      </ns0:c>
      <ns0:c r="CA16" s="0">
        <ns0:f>IF(OR($AO16=0,$B$5&lt;&gt;"OK",$B$6&gt;0,Calendar!P$11=""),0,SUMIFS(rngEngine_U,rngEngine_B,INDEX(Team!$A$11:$A$60,$AO16),rngAMStart,"&lt;="&amp;Calendar!P$11,rngAMEnd,"&gt;="&amp;Calendar!P$11))</ns0:f>
        <ns0:v>0</ns0:v>
      </ns0:c>
      <ns0:c r="CB16" s="0">
        <ns0:f>IF(OR($AO16=0,$B$5&lt;&gt;"OK",$B$6&gt;0,Calendar!P$11=""),0,SUMIFS(rngEngine_V,rngEngine_B,INDEX(Team!$A$11:$A$60,$AO16),rngPMStart,"&lt;="&amp;Calendar!P$11,rngPMEnd,"&gt;="&amp;Calendar!P$11))</ns0:f>
        <ns0:v>0</ns0:v>
      </ns0:c>
      <ns0:c r="CC16" s="0">
        <ns0:f>IF(OR($AO16=0,$B$5&lt;&gt;"OK",$B$6&gt;0,Calendar!Q$11=""),0,SUMIFS(rngEngine_U,rngEngine_B,INDEX(Team!$A$11:$A$60,$AO16),rngAMStart,"&lt;="&amp;Calendar!Q$11,rngAMEnd,"&gt;="&amp;Calendar!Q$11))</ns0:f>
        <ns0:v>0</ns0:v>
      </ns0:c>
      <ns0:c r="CD16" s="0">
        <ns0:f>IF(OR($AO16=0,$B$5&lt;&gt;"OK",$B$6&gt;0,Calendar!Q$11=""),0,SUMIFS(rngEngine_V,rngEngine_B,INDEX(Team!$A$11:$A$60,$AO16),rngPMStart,"&lt;="&amp;Calendar!Q$11,rngPMEnd,"&gt;="&amp;Calendar!Q$11))</ns0:f>
        <ns0:v>0</ns0:v>
      </ns0:c>
      <ns0:c r="CE16" s="0">
        <ns0:f>IF(OR($AO16=0,$B$5&lt;&gt;"OK",$B$6&gt;0,Calendar!R$11=""),0,SUMIFS(rngEngine_U,rngEngine_B,INDEX(Team!$A$11:$A$60,$AO16),rngAMStart,"&lt;="&amp;Calendar!R$11,rngAMEnd,"&gt;="&amp;Calendar!R$11))</ns0:f>
        <ns0:v>0</ns0:v>
      </ns0:c>
      <ns0:c r="CF16" s="0">
        <ns0:f>IF(OR($AO16=0,$B$5&lt;&gt;"OK",$B$6&gt;0,Calendar!R$11=""),0,SUMIFS(rngEngine_V,rngEngine_B,INDEX(Team!$A$11:$A$60,$AO16),rngPMStart,"&lt;="&amp;Calendar!R$11,rngPMEnd,"&gt;="&amp;Calendar!R$11))</ns0:f>
        <ns0:v>0</ns0:v>
      </ns0:c>
      <ns0:c r="CG16" s="0">
        <ns0:f>IF(OR($AO16=0,$B$5&lt;&gt;"OK",$B$6&gt;0,Calendar!S$11=""),0,SUMIFS(rngEngine_U,rngEngine_B,INDEX(Team!$A$11:$A$60,$AO16),rngAMStart,"&lt;="&amp;Calendar!S$11,rngAMEnd,"&gt;="&amp;Calendar!S$11))</ns0:f>
        <ns0:v>0</ns0:v>
      </ns0:c>
      <ns0:c r="CH16" s="0">
        <ns0:f>IF(OR($AO16=0,$B$5&lt;&gt;"OK",$B$6&gt;0,Calendar!S$11=""),0,SUMIFS(rngEngine_V,rngEngine_B,INDEX(Team!$A$11:$A$60,$AO16),rngPMStart,"&lt;="&amp;Calendar!S$11,rngPMEnd,"&gt;="&amp;Calendar!S$11))</ns0:f>
        <ns0:v>0</ns0:v>
      </ns0:c>
      <ns0:c r="CI16" s="0">
        <ns0:f>IF(OR($AO16=0,$B$5&lt;&gt;"OK",$B$6&gt;0,Calendar!T$11=""),0,SUMIFS(rngEngine_U,rngEngine_B,INDEX(Team!$A$11:$A$60,$AO16),rngAMStart,"&lt;="&amp;Calendar!T$11,rngAMEnd,"&gt;="&amp;Calendar!T$11))</ns0:f>
        <ns0:v>0</ns0:v>
      </ns0:c>
      <ns0:c r="CJ16" s="0">
        <ns0:f>IF(OR($AO16=0,$B$5&lt;&gt;"OK",$B$6&gt;0,Calendar!T$11=""),0,SUMIFS(rngEngine_V,rngEngine_B,INDEX(Team!$A$11:$A$60,$AO16),rngPMStart,"&lt;="&amp;Calendar!T$11,rngPMEnd,"&gt;="&amp;Calendar!T$11))</ns0:f>
        <ns0:v>0</ns0:v>
      </ns0:c>
      <ns0:c r="CK16" s="0">
        <ns0:f>IF(OR($AO16=0,$B$5&lt;&gt;"OK",$B$6&gt;0,Calendar!U$11=""),0,SUMIFS(rngEngine_U,rngEngine_B,INDEX(Team!$A$11:$A$60,$AO16),rngAMStart,"&lt;="&amp;Calendar!U$11,rngAMEnd,"&gt;="&amp;Calendar!U$11))</ns0:f>
        <ns0:v>0</ns0:v>
      </ns0:c>
      <ns0:c r="CL16" s="0">
        <ns0:f>IF(OR($AO16=0,$B$5&lt;&gt;"OK",$B$6&gt;0,Calendar!U$11=""),0,SUMIFS(rngEngine_V,rngEngine_B,INDEX(Team!$A$11:$A$60,$AO16),rngPMStart,"&lt;="&amp;Calendar!U$11,rngPMEnd,"&gt;="&amp;Calendar!U$11))</ns0:f>
        <ns0:v>0</ns0:v>
      </ns0:c>
      <ns0:c r="CM16" s="0">
        <ns0:f>IF(OR($AO16=0,$B$5&lt;&gt;"OK",$B$6&gt;0,Calendar!V$11=""),0,SUMIFS(rngEngine_U,rngEngine_B,INDEX(Team!$A$11:$A$60,$AO16),rngAMStart,"&lt;="&amp;Calendar!V$11,rngAMEnd,"&gt;="&amp;Calendar!V$11))</ns0:f>
        <ns0:v>0</ns0:v>
      </ns0:c>
      <ns0:c r="CN16" s="0">
        <ns0:f>IF(OR($AO16=0,$B$5&lt;&gt;"OK",$B$6&gt;0,Calendar!V$11=""),0,SUMIFS(rngEngine_V,rngEngine_B,INDEX(Team!$A$11:$A$60,$AO16),rngPMStart,"&lt;="&amp;Calendar!V$11,rngPMEnd,"&gt;="&amp;Calendar!V$11))</ns0:f>
        <ns0:v>0</ns0:v>
      </ns0:c>
      <ns0:c r="CO16" s="0">
        <ns0:f>IF(OR($AO16=0,$B$5&lt;&gt;"OK",$B$6&gt;0,Calendar!W$11=""),0,SUMIFS(rngEngine_U,rngEngine_B,INDEX(Team!$A$11:$A$60,$AO16),rngAMStart,"&lt;="&amp;Calendar!W$11,rngAMEnd,"&gt;="&amp;Calendar!W$11))</ns0:f>
        <ns0:v>0</ns0:v>
      </ns0:c>
      <ns0:c r="CP16" s="0">
        <ns0:f>IF(OR($AO16=0,$B$5&lt;&gt;"OK",$B$6&gt;0,Calendar!W$11=""),0,SUMIFS(rngEngine_V,rngEngine_B,INDEX(Team!$A$11:$A$60,$AO16),rngPMStart,"&lt;="&amp;Calendar!W$11,rngPMEnd,"&gt;="&amp;Calendar!W$11))</ns0:f>
        <ns0:v>0</ns0:v>
      </ns0:c>
      <ns0:c r="CQ16" s="0">
        <ns0:f>IF(OR($AO16=0,$B$5&lt;&gt;"OK",$B$6&gt;0,Calendar!X$11=""),0,SUMIFS(rngEngine_U,rngEngine_B,INDEX(Team!$A$11:$A$60,$AO16),rngAMStart,"&lt;="&amp;Calendar!X$11,rngAMEnd,"&gt;="&amp;Calendar!X$11))</ns0:f>
        <ns0:v>0</ns0:v>
      </ns0:c>
      <ns0:c r="CR16" s="0">
        <ns0:f>IF(OR($AO16=0,$B$5&lt;&gt;"OK",$B$6&gt;0,Calendar!X$11=""),0,SUMIFS(rngEngine_V,rngEngine_B,INDEX(Team!$A$11:$A$60,$AO16),rngPMStart,"&lt;="&amp;Calendar!X$11,rngPMEnd,"&gt;="&amp;Calendar!X$11))</ns0:f>
        <ns0:v>0</ns0:v>
      </ns0:c>
      <ns0:c r="CS16" s="0">
        <ns0:f>IF(OR($AO16=0,$B$5&lt;&gt;"OK",$B$6&gt;0,Calendar!Y$11=""),0,SUMIFS(rngEngine_U,rngEngine_B,INDEX(Team!$A$11:$A$60,$AO16),rngAMStart,"&lt;="&amp;Calendar!Y$11,rngAMEnd,"&gt;="&amp;Calendar!Y$11))</ns0:f>
        <ns0:v>0</ns0:v>
      </ns0:c>
      <ns0:c r="CT16" s="0">
        <ns0:f>IF(OR($AO16=0,$B$5&lt;&gt;"OK",$B$6&gt;0,Calendar!Y$11=""),0,SUMIFS(rngEngine_V,rngEngine_B,INDEX(Team!$A$11:$A$60,$AO16),rngPMStart,"&lt;="&amp;Calendar!Y$11,rngPMEnd,"&gt;="&amp;Calendar!Y$11))</ns0:f>
        <ns0:v>0</ns0:v>
      </ns0:c>
      <ns0:c r="CU16" s="0">
        <ns0:f>IF(OR($AO16=0,$B$5&lt;&gt;"OK",$B$6&gt;0,Calendar!Z$11=""),0,SUMIFS(rngEngine_U,rngEngine_B,INDEX(Team!$A$11:$A$60,$AO16),rngAMStart,"&lt;="&amp;Calendar!Z$11,rngAMEnd,"&gt;="&amp;Calendar!Z$11))</ns0:f>
        <ns0:v>0</ns0:v>
      </ns0:c>
      <ns0:c r="CV16" s="0">
        <ns0:f>IF(OR($AO16=0,$B$5&lt;&gt;"OK",$B$6&gt;0,Calendar!Z$11=""),0,SUMIFS(rngEngine_V,rngEngine_B,INDEX(Team!$A$11:$A$60,$AO16),rngPMStart,"&lt;="&amp;Calendar!Z$11,rngPMEnd,"&gt;="&amp;Calendar!Z$11))</ns0:f>
        <ns0:v>0</ns0:v>
      </ns0:c>
      <ns0:c r="CW16" s="0">
        <ns0:f>IF(OR($AO16=0,$B$5&lt;&gt;"OK",$B$6&gt;0,Calendar!AA$11=""),0,SUMIFS(rngEngine_U,rngEngine_B,INDEX(Team!$A$11:$A$60,$AO16),rngAMStart,"&lt;="&amp;Calendar!AA$11,rngAMEnd,"&gt;="&amp;Calendar!AA$11))</ns0:f>
        <ns0:v>0</ns0:v>
      </ns0:c>
      <ns0:c r="CX16" s="0">
        <ns0:f>IF(OR($AO16=0,$B$5&lt;&gt;"OK",$B$6&gt;0,Calendar!AA$11=""),0,SUMIFS(rngEngine_V,rngEngine_B,INDEX(Team!$A$11:$A$60,$AO16),rngPMStart,"&lt;="&amp;Calendar!AA$11,rngPMEnd,"&gt;="&amp;Calendar!AA$11))</ns0:f>
        <ns0:v>0</ns0:v>
      </ns0:c>
      <ns0:c r="CY16" s="0">
        <ns0:f>IF(OR($AO16=0,$B$5&lt;&gt;"OK",$B$6&gt;0,Calendar!AB$11=""),0,SUMIFS(rngEngine_U,rngEngine_B,INDEX(Team!$A$11:$A$60,$AO16),rngAMStart,"&lt;="&amp;Calendar!AB$11,rngAMEnd,"&gt;="&amp;Calendar!AB$11))</ns0:f>
        <ns0:v>0</ns0:v>
      </ns0:c>
      <ns0:c r="CZ16" s="0">
        <ns0:f>IF(OR($AO16=0,$B$5&lt;&gt;"OK",$B$6&gt;0,Calendar!AB$11=""),0,SUMIFS(rngEngine_V,rngEngine_B,INDEX(Team!$A$11:$A$60,$AO16),rngPMStart,"&lt;="&amp;Calendar!AB$11,rngPMEnd,"&gt;="&amp;Calendar!AB$11))</ns0:f>
        <ns0:v>0</ns0:v>
      </ns0:c>
      <ns0:c r="DA16" s="0">
        <ns0:f>IF(OR($AO16=0,$B$5&lt;&gt;"OK",$B$6&gt;0,Calendar!AC$11=""),0,SUMIFS(rngEngine_U,rngEngine_B,INDEX(Team!$A$11:$A$60,$AO16),rngAMStart,"&lt;="&amp;Calendar!AC$11,rngAMEnd,"&gt;="&amp;Calendar!AC$11))</ns0:f>
        <ns0:v>11</ns0:v>
      </ns0:c>
      <ns0:c r="DB16" s="0">
        <ns0:f>IF(OR($AO16=0,$B$5&lt;&gt;"OK",$B$6&gt;0,Calendar!AC$11=""),0,SUMIFS(rngEngine_V,rngEngine_B,INDEX(Team!$A$11:$A$60,$AO16),rngPMStart,"&lt;="&amp;Calendar!AC$11,rngPMEnd,"&gt;="&amp;Calendar!AC$11))</ns0:f>
        <ns0:v>11</ns0:v>
      </ns0:c>
      <ns0:c r="DC16" s="0">
        <ns0:f>IF(OR($AO16=0,$B$5&lt;&gt;"OK",$B$6&gt;0,Calendar!AD$11=""),0,SUMIFS(rngEngine_U,rngEngine_B,INDEX(Team!$A$11:$A$60,$AO16),rngAMStart,"&lt;="&amp;Calendar!AD$11,rngAMEnd,"&gt;="&amp;Calendar!AD$11))</ns0:f>
        <ns0:v>11</ns0:v>
      </ns0:c>
      <ns0:c r="DD16" s="0">
        <ns0:f>IF(OR($AO16=0,$B$5&lt;&gt;"OK",$B$6&gt;0,Calendar!AD$11=""),0,SUMIFS(rngEngine_V,rngEngine_B,INDEX(Team!$A$11:$A$60,$AO16),rngPMStart,"&lt;="&amp;Calendar!AD$11,rngPMEnd,"&gt;="&amp;Calendar!AD$11))</ns0:f>
        <ns0:v>11</ns0:v>
      </ns0:c>
      <ns0:c r="DE16" s="0">
        <ns0:f>IF(OR($AO16=0,$B$5&lt;&gt;"OK",$B$6&gt;0,Calendar!AE$11=""),0,SUMIFS(rngEngine_U,rngEngine_B,INDEX(Team!$A$11:$A$60,$AO16),rngAMStart,"&lt;="&amp;Calendar!AE$11,rngAMEnd,"&gt;="&amp;Calendar!AE$11))</ns0:f>
        <ns0:v>11</ns0:v>
      </ns0:c>
      <ns0:c r="DF16" s="0">
        <ns0:f>IF(OR($AO16=0,$B$5&lt;&gt;"OK",$B$6&gt;0,Calendar!AE$11=""),0,SUMIFS(rngEngine_V,rngEngine_B,INDEX(Team!$A$11:$A$60,$AO16),rngPMStart,"&lt;="&amp;Calendar!AE$11,rngPMEnd,"&gt;="&amp;Calendar!AE$11))</ns0:f>
        <ns0:v>11</ns0:v>
      </ns0:c>
      <ns0:c r="DG16" s="0">
        <ns0:f>IF(OR($AO16=0,$B$5&lt;&gt;"OK",$B$6&gt;0,Calendar!AF$11=""),0,SUMIFS(rngEngine_U,rngEngine_B,INDEX(Team!$A$11:$A$60,$AO16),rngAMStart,"&lt;="&amp;Calendar!AF$11,rngAMEnd,"&gt;="&amp;Calendar!AF$11))</ns0:f>
        <ns0:v>11</ns0:v>
      </ns0:c>
      <ns0:c r="DH16" s="0">
        <ns0:f>IF(OR($AO16=0,$B$5&lt;&gt;"OK",$B$6&gt;0,Calendar!AF$11=""),0,SUMIFS(rngEngine_V,rngEngine_B,INDEX(Team!$A$11:$A$60,$AO16),rngPMStart,"&lt;="&amp;Calendar!AF$11,rngPMEnd,"&gt;="&amp;Calendar!AF$11))</ns0:f>
        <ns0:v>11</ns0:v>
      </ns0:c>
      <ns0:c r="DI16" s="0">
        <ns0:f>IF(OR($AO16=0,$B$5&lt;&gt;"OK",$B$6&gt;0,Calendar!AG$11=""),0,SUMIFS(rngEngine_U,rngEngine_B,INDEX(Team!$A$11:$A$60,$AO16),rngAMStart,"&lt;="&amp;Calendar!AG$11,rngAMEnd,"&gt;="&amp;Calendar!AG$11))</ns0:f>
        <ns0:v>11</ns0:v>
      </ns0:c>
      <ns0:c r="DJ16" s="0">
        <ns0:f>IF(OR($AO16=0,$B$5&lt;&gt;"OK",$B$6&gt;0,Calendar!AG$11=""),0,SUMIFS(rngEngine_V,rngEngine_B,INDEX(Team!$A$11:$A$60,$AO16),rngPMStart,"&lt;="&amp;Calendar!AG$11,rngPMEnd,"&gt;="&amp;Calendar!AG$11))</ns0:f>
        <ns0:v>11</ns0:v>
      </ns0:c>
      <ns0:c r="DK16" s="0">
        <ns0:f>IF(OR($AO16=0,$B$5&lt;&gt;"OK",$B$6&gt;0,Calendar!AH$11=""),0,SUMIFS(rngEngine_U,rngEngine_B,INDEX(Team!$A$11:$A$60,$AO16),rngAMStart,"&lt;="&amp;Calendar!AH$11,rngAMEnd,"&gt;="&amp;Calendar!AH$11))</ns0:f>
        <ns0:v>0</ns0:v>
      </ns0:c>
      <ns0:c r="DL16" s="0">
        <ns0:f>IF(OR($AO16=0,$B$5&lt;&gt;"OK",$B$6&gt;0,Calendar!AH$11=""),0,SUMIFS(rngEngine_V,rngEngine_B,INDEX(Team!$A$11:$A$60,$AO16),rngPMStart,"&lt;="&amp;Calendar!AH$11,rngPMEnd,"&gt;="&amp;Calendar!AH$11))</ns0:f>
        <ns0:v>0</ns0:v>
      </ns0:c>
    </ns0:row>
    <ns0:row r="17" ht="22" customHeight="1">
      <ns0:c r="A17" s="4">
        <ns0:f>IF(COUNTA(Bookings!A17:G17,Bookings!I17)=0,0,1)</ns0:f>
        <ns0:v>1</ns0:v>
      </ns0:c>
      <ns0:c r="B17" s="4" t="str">
        <ns0:f>IFERROR(TRIM(MID(Bookings!A17,FIND(" · ",Bookings!A17)+3,99)),"")</ns0:f>
        <ns0:v>EMP003</ns0:v>
      </ns0:c>
      <ns0:c r="C17" s="4">
        <ns0:f>IF(OR(B17="",LEN(B17)&gt;24,ISNUMBER(FIND(" ",B17)),ISNUMBER(FIND("*",B17)),ISNUMBER(FIND("?",B17)),ISNUMBER(FIND("~",B17))),0,IFERROR(MATCH(B17,Team!$A$11:$A$60,0),0))</ns0:f>
        <ns0:v>3</ns0:v>
      </ns0:c>
      <ns0:c r="D17" s="4" t="str">
        <ns0:f>IFERROR(IF(MID(Bookings!F17,LEN(Bookings!F17)-3,3)=" · ",RIGHT(Bookings!F17,1),""),"")</ns0:f>
        <ns0:v>H</ns0:v>
      </ns0:c>
      <ns0:c r="E17" s="4" t="str">
        <ns0:f>IFERROR(INDEX(Settings!$H$7:$H$11,MATCH(D17,Settings!$G$7:$G$11,0)),"")</ns0:f>
        <ns0:v>Yes</ns0:v>
      </ns0:c>
      <ns0:c r="F17" s="4" t="str">
        <ns0:f>IF(A17=0,"",IFERROR(IF(OR(B17="",C17=0),"CHECK employee selection",IF(INDEX(Team!$O$11:$O$60,C17)&lt;&gt;"OK","CHECK employee setup",IF(OR('_Dates'!J17=0,'_Dates'!T17=0),"CHECK date: use DD.MM.YYYY",IF('_Dates'!T17&lt;'_Dates'!J17,"CHECK end before start",IF(AND($B$6=0,OR('_Dates'!J17&lt;Settings!$B$7,'_Dates'!T17&gt;Settings!$B$8)),"CHECK split across leave years",IF(OR(NOT(OR('_Dates'!U17="Full day",'_Dates'!U17="AM",'_Dates'!U17="PM")),NOT(OR('_Dates'!V17="Full day",'_Dates'!V17="AM",'_Dates'!V17="PM"))),"CHECK Full day / AM / PM",IF(AND('_Dates'!J17='_Dates'!T17,'_Dates'!U17&lt;&gt;"Full day",'_Dates'!V17&lt;&gt;"Full day",'_Dates'!U17&lt;&gt;'_Dates'!V17),"CHECK same-day portions disagree",IF(AND($B$6=0,OR(AND('_Dates'!U17&lt;&gt;"Full day",'_Dates'!AA17=0),AND('_Dates'!V17&lt;&gt;"Full day",'_Dates'!AB17=0))),"CHECK half-day on non-working date",IF(COUNTIF(Settings!$G$7:$G$11,D17)&lt;&gt;1,"CHECK leave type",IF(AND(Bookings!G17&lt;&gt;"Approved",Bookings!G17&lt;&gt;"Pending",Bookings!G17&lt;&gt;"Cancelled"),"CHECK status","OK")))))))))),"CHECK input"))</ns0:f>
        <ns0:v>OK</ns0:v>
      </ns0:c>
      <ns0:c r="G17" s="4">
        <ns0:f>IF(OR(F17&lt;&gt;"OK",$B$6&gt;0),0,0.5*(IF(('_Dates'!X17)&lt;('_Dates'!W17),0,INT((('_Dates'!X17)-('_Dates'!W17)+1)/7)*LEN(SUBSTITUTE(W17,"O",""))+LEN(SUBSTITUTE(MID(W17&amp;W17,WEEKDAY(('_Dates'!W17),2),MOD((('_Dates'!X17)-('_Dates'!W17)+1),7)),"O",""))-COUNTIFS(INDEX(AllClosureRows,C17,0),"&gt;="&amp;('_Dates'!W17),INDEX(AllClosureRows,C17,0),"&lt;="&amp;('_Dates'!X17)))+IF(('_Dates'!Z17)&lt;('_Dates'!Y17),0,INT((('_Dates'!Z17)-('_Dates'!Y17)+1)/7)*LEN(SUBSTITUTE(W17,"O",""))+LEN(SUBSTITUTE(MID(W17&amp;W17,WEEKDAY(('_Dates'!Y17),2),MOD((('_Dates'!Z17)-('_Dates'!Y17)+1),7)),"O",""))-COUNTIFS(INDEX(AllClosureRows,C17,0),"&gt;="&amp;('_Dates'!Y17),INDEX(AllClosureRows,C17,0),"&lt;="&amp;('_Dates'!Z17)))))</ns0:f>
        <ns0:v>3</ns0:v>
      </ns0:c>
      <ns0:c r="H17" s="4">
        <ns0:f>IF(OR(F17&lt;&gt;"OK",$B$6&gt;0),0,0.5*(IF((MIN('_Dates'!X17,Settings!$B$9))&lt;('_Dates'!W17),0,INT(((MIN('_Dates'!X17,Settings!$B$9))-('_Dates'!W17)+1)/7)*LEN(SUBSTITUTE(W17,"O",""))+LEN(SUBSTITUTE(MID(W17&amp;W17,WEEKDAY(('_Dates'!W17),2),MOD(((MIN('_Dates'!X17,Settings!$B$9))-('_Dates'!W17)+1),7)),"O",""))-COUNTIFS(INDEX(AllClosureRows,C17,0),"&gt;="&amp;('_Dates'!W17),INDEX(AllClosureRows,C17,0),"&lt;="&amp;(MIN('_Dates'!X17,Settings!$B$9))))+IF((MIN('_Dates'!Z17,Settings!$B$9))&lt;('_Dates'!Y17),0,INT(((MIN('_Dates'!Z17,Settings!$B$9))-('_Dates'!Y17)+1)/7)*LEN(SUBSTITUTE(W17,"O",""))+LEN(SUBSTITUTE(MID(W17&amp;W17,WEEKDAY(('_Dates'!Y17),2),MOD(((MIN('_Dates'!Z17,Settings!$B$9))-('_Dates'!Y17)+1),7)),"O",""))-COUNTIFS(INDEX(AllClosureRows,C17,0),"&gt;="&amp;('_Dates'!Y17),INDEX(AllClosureRows,C17,0),"&lt;="&amp;(MIN('_Dates'!Z17,Settings!$B$9))))))</ns0:f>
        <ns0:v>0</ns0:v>
      </ns0:c>
      <ns0:c r="I17" s="4">
        <ns0:f>MAX(0,G17-H17)</ns0:f>
        <ns0:v>3</ns0:v>
      </ns0:c>
      <ns0:c r="J17" s="4">
        <ns0:f>IF(OR(A17=0,F17&lt;&gt;"OK",Bookings!G17="Cancelled",$B$6&gt;0),0,IF('_Dates'!AC17=1,MAX(0,COUNTIFS(rngEngine_B,B17,rngAMStart,"&lt;="&amp;'_Dates'!X17,rngAMEnd,"&gt;="&amp;'_Dates'!W17,rngAMActive,1,rngEngine_F,"OK",rngBookings_F,"&lt;&gt;Cancelled")-1),0)+IF('_Dates'!AD17=1,MAX(0,COUNTIFS(rngEngine_B,B17,rngPMStart,"&lt;="&amp;'_Dates'!Z17,rngPMEnd,"&gt;="&amp;'_Dates'!Y17,rngPMActive,1,rngEngine_F,"OK",rngBookings_F,"&lt;&gt;Cancelled")-1),0))</ns0:f>
        <ns0:v>0</ns0:v>
      </ns0:c>
      <ns0:c r="K17" s="0" t="str">
        <ns0:f>IF(A17=0,"",IF(F17&lt;&gt;"OK",F17,IF(J17&gt;0,"CHECK overlapping entry",IF(AND($B$6=0,G17&lt;=0,Bookings!G17&lt;&gt;"Cancelled"),"CHECK no working days",IF(Bookings!G17="Cancelled","Cancelled","OK")))))</ns0:f>
        <ns0:v>OK</ns0:v>
      </ns0:c>
      <ns0:c r="L17" s="0">
        <ns0:f>IF(LEFT(K17,5)="CHECK",1,0)</ns0:f>
        <ns0:v>0</ns0:v>
      </ns0:c>
      <ns0:c r="M17" s="0">
        <ns0:f>IF(AND(L17=1,OR(C17=0,IFERROR(INDEX($X$11:$X$60,C17),0)=0)),1,0)</ns0:f>
        <ns0:v>0</ns0:v>
      </ns0:c>
      <ns0:c r="N17" s="0">
        <ns0:f>IF(OR(A17=0,L17&gt;0,$B$6&gt;0,Bookings!G17="Cancelled"),0,G17)</ns0:f>
        <ns0:v>3</ns0:v>
      </ns0:c>
      <ns0:c r="O17" s="0">
        <ns0:f>IF(AND(Bookings!G17="Approved",E17="Yes"),N17,0)</ns0:f>
        <ns0:v>0</ns0:v>
      </ns0:c>
      <ns0:c r="P17" s="0">
        <ns0:f>IF(AND(Bookings!G17="Approved",E17="Yes",L17=0,$B$6=0),H17,0)</ns0:f>
        <ns0:v>0</ns0:v>
      </ns0:c>
      <ns0:c r="Q17" s="0">
        <ns0:f>IF(AND(Bookings!G17="Approved",E17="Yes",L17=0,$B$6=0),I17,0)</ns0:f>
        <ns0:v>0</ns0:v>
      </ns0:c>
      <ns0:c r="R17" s="0">
        <ns0:f>IF(AND(Bookings!G17="Pending",E17="Yes"),N17,0)</ns0:f>
        <ns0:v>3</ns0:v>
      </ns0:c>
      <ns0:c r="S17" s="0">
        <ns0:f>IF(AND(Bookings!G17="Approved",E17="No"),N17,0)</ns0:f>
        <ns0:v>0</ns0:v>
      </ns0:c>
      <ns0:c r="T17" s="0">
        <ns0:f>IFERROR(MATCH(D17,Settings!$G$7:$G$11,0),0)</ns0:f>
        <ns0:v>1</ns0:v>
      </ns0:c>
      <ns0:c r="U17" s="0">
        <ns0:f>IF(N17&gt;0,T17+IF(Bookings!G17="Pending",10,0),0)</ns0:f>
        <ns0:v>11</ns0:v>
      </ns0:c>
      <ns0:c r="V17" s="0">
        <ns0:f>U17</ns0:f>
        <ns0:v>11</ns0:v>
      </ns0:c>
      <ns0:c r="W17" s="0" t="str">
        <ns0:f>IF(C17=0,"",INDEX($AP$11:$AP$60,C17))</ns0:f>
        <ns0:v>WWWOOOO</ns0:v>
      </ns0:c>
      <ns0:c r="X17" s="0">
        <ns0:f>IF(COUNTA(Team!B17:D17)=0,0,1)</ns0:f>
        <ns0:v>0</ns0:v>
      </ns0:c>
      <ns0:c r="Y17" s="0" t="str">
        <ns0:f>IF(X17=0,"",IF(Team!B17="","[Unnamed]",Team!B17)&amp;" · "&amp;Team!A17)</ns0:f>
        <ns0:v/>
      </ns0:c>
      <ns0:c r="Z17" s="0">
        <ns0:f>IF(X17=0,0,COUNTIF(Team!H17:N17,"Work"))</ns0:f>
        <ns0:v>0</ns0:v>
      </ns0:c>
      <ns0:c r="AA17" s="0">
        <ns0:f>IF(LEFT(Team!O17,5)="CHECK",1,0)</ns0:f>
        <ns0:v>0</ns0:v>
      </ns0:c>
      <ns0:c r="AB17" s="0">
        <ns0:f>IF(X17=0,0,SUMIFS(rngEngine_L,rngEngine_B,Team!A17))</ns0:f>
        <ns0:v>0</ns0:v>
      </ns0:c>
      <ns0:c r="AC17" s="0" t="str">
        <ns0:f>IF(AND(X17=1,OR(Calendar!$C$7="All teams",Team!C17=Calendar!$C$7)),MAX($AC$10:AC16)+1,"")</ns0:f>
        <ns0:v/>
      </ns0:c>
      <ns0:c r="AD17" s="0" t="str">
        <ns0:f>IF(OR(X17=0,Team!C17="",COUNTIF(Team!$C$11:C17,Team!C17)&gt;1),"",MAX($AD$10:AD16)+1)</ns0:f>
        <ns0:v/>
      </ns0:c>
      <ns0:c r="AE17" s="0" t="str">
        <ns0:f>IFERROR(INDEX(Team!$C$11:$C$60,MATCH(ROW()-10,$AD$11:$AD$60,0)),"")</ns0:f>
        <ns0:v/>
      </ns0:c>
      <ns0:c r="AF17" s="0" t="str">
        <ns0:f>AE17</ns0:f>
        <ns0:v/>
      </ns0:c>
      <ns0:c r="AG17" s="0">
        <ns0:f>IF(X17=0,0,IFERROR(Team!F17+Team!G17,0))</ns0:f>
        <ns0:v>0</ns0:v>
      </ns0:c>
      <ns0:c r="AH17" s="0">
        <ns0:f>IF(X17=0,0,SUMIFS(rngEngine_P,rngEngine_B,Team!A17))</ns0:f>
        <ns0:v>0</ns0:v>
      </ns0:c>
      <ns0:c r="AI17" s="0">
        <ns0:f>IF(X17=0,0,SUMIFS(rngEngine_Q,rngEngine_B,Team!A17))</ns0:f>
        <ns0:v>0</ns0:v>
      </ns0:c>
      <ns0:c r="AJ17" s="0">
        <ns0:f>IF(X17=0,0,SUMIFS(rngEngine_R,rngEngine_B,Team!A17))</ns0:f>
        <ns0:v>0</ns0:v>
      </ns0:c>
      <ns0:c r="AK17" s="0">
        <ns0:f>IF(X17=0,0,SUMIFS(rngEngine_S,rngEngine_B,Team!A17))</ns0:f>
        <ns0:v>0</ns0:v>
      </ns0:c>
      <ns0:c r="AL17" s="0">
        <ns0:f>AH17+AI17</ns0:f>
        <ns0:v>0</ns0:v>
      </ns0:c>
      <ns0:c r="AM17" s="0" t="str">
        <ns0:f>IF(X17=0,"",IF(AA17&gt;0,"CHECK team setup",IF(AB17&gt;0,"CHECK "&amp;AB17&amp;" booking(s)","OK")))</ns0:f>
        <ns0:v/>
      </ns0:c>
      <ns0:c r="AN17" s="0" t="str">
        <ns0:f>IF(X17=0,"",IF(OR($B$6&gt;0,AM17&lt;&gt;"OK"),"REVIEW",AG17-AL17))</ns0:f>
        <ns0:v/>
      </ns0:c>
      <ns0:c r="AO17" s="0">
        <ns0:f>IFERROR(MATCH(ROW()-11,$AC$11:$AC$60,0),0)</ns0:f>
        <ns0:v>6</ns0:v>
      </ns0:c>
      <ns0:c r="AP17" s="0" t="str">
        <ns0:f>IF(Team!H17="Work","W","O")&amp;IF(Team!I17="Work","W","O")&amp;IF(Team!J17="Work","W","O")&amp;IF(Team!K17="Work","W","O")&amp;IF(Team!L17="Work","W","O")&amp;IF(Team!M17="Work","W","O")&amp;IF(Team!N17="Work","W","O")</ns0:f>
        <ns0:v>OOOOOOO</ns0:v>
      </ns0:c>
      <ns0:c r="AS17" t="inlineStr">
        <ns0:is>
          <ns0:t>July</ns0:t>
        </ns0:is>
      </ns0:c>
      <ns0:c r="BC17" s="0">
        <ns0:f>IF(OR($AO17=0,$B$5&lt;&gt;"OK",$B$6&gt;0,Calendar!D$11=""),0,SUMIFS(rngEngine_U,rngEngine_B,INDEX(Team!$A$11:$A$60,$AO17),rngAMStart,"&lt;="&amp;Calendar!D$11,rngAMEnd,"&gt;="&amp;Calendar!D$11))</ns0:f>
        <ns0:v>0</ns0:v>
      </ns0:c>
      <ns0:c r="BD17" s="0">
        <ns0:f>IF(OR($AO17=0,$B$5&lt;&gt;"OK",$B$6&gt;0,Calendar!D$11=""),0,SUMIFS(rngEngine_V,rngEngine_B,INDEX(Team!$A$11:$A$60,$AO17),rngPMStart,"&lt;="&amp;Calendar!D$11,rngPMEnd,"&gt;="&amp;Calendar!D$11))</ns0:f>
        <ns0:v>0</ns0:v>
      </ns0:c>
      <ns0:c r="BE17" s="0">
        <ns0:f>IF(OR($AO17=0,$B$5&lt;&gt;"OK",$B$6&gt;0,Calendar!E$11=""),0,SUMIFS(rngEngine_U,rngEngine_B,INDEX(Team!$A$11:$A$60,$AO17),rngAMStart,"&lt;="&amp;Calendar!E$11,rngAMEnd,"&gt;="&amp;Calendar!E$11))</ns0:f>
        <ns0:v>0</ns0:v>
      </ns0:c>
      <ns0:c r="BF17" s="0">
        <ns0:f>IF(OR($AO17=0,$B$5&lt;&gt;"OK",$B$6&gt;0,Calendar!E$11=""),0,SUMIFS(rngEngine_V,rngEngine_B,INDEX(Team!$A$11:$A$60,$AO17),rngPMStart,"&lt;="&amp;Calendar!E$11,rngPMEnd,"&gt;="&amp;Calendar!E$11))</ns0:f>
        <ns0:v>0</ns0:v>
      </ns0:c>
      <ns0:c r="BG17" s="0">
        <ns0:f>IF(OR($AO17=0,$B$5&lt;&gt;"OK",$B$6&gt;0,Calendar!F$11=""),0,SUMIFS(rngEngine_U,rngEngine_B,INDEX(Team!$A$11:$A$60,$AO17),rngAMStart,"&lt;="&amp;Calendar!F$11,rngAMEnd,"&gt;="&amp;Calendar!F$11))</ns0:f>
        <ns0:v>0</ns0:v>
      </ns0:c>
      <ns0:c r="BH17" s="0">
        <ns0:f>IF(OR($AO17=0,$B$5&lt;&gt;"OK",$B$6&gt;0,Calendar!F$11=""),0,SUMIFS(rngEngine_V,rngEngine_B,INDEX(Team!$A$11:$A$60,$AO17),rngPMStart,"&lt;="&amp;Calendar!F$11,rngPMEnd,"&gt;="&amp;Calendar!F$11))</ns0:f>
        <ns0:v>0</ns0:v>
      </ns0:c>
      <ns0:c r="BI17" s="0">
        <ns0:f>IF(OR($AO17=0,$B$5&lt;&gt;"OK",$B$6&gt;0,Calendar!G$11=""),0,SUMIFS(rngEngine_U,rngEngine_B,INDEX(Team!$A$11:$A$60,$AO17),rngAMStart,"&lt;="&amp;Calendar!G$11,rngAMEnd,"&gt;="&amp;Calendar!G$11))</ns0:f>
        <ns0:v>0</ns0:v>
      </ns0:c>
      <ns0:c r="BJ17" s="0">
        <ns0:f>IF(OR($AO17=0,$B$5&lt;&gt;"OK",$B$6&gt;0,Calendar!G$11=""),0,SUMIFS(rngEngine_V,rngEngine_B,INDEX(Team!$A$11:$A$60,$AO17),rngPMStart,"&lt;="&amp;Calendar!G$11,rngPMEnd,"&gt;="&amp;Calendar!G$11))</ns0:f>
        <ns0:v>0</ns0:v>
      </ns0:c>
      <ns0:c r="BK17" s="0">
        <ns0:f>IF(OR($AO17=0,$B$5&lt;&gt;"OK",$B$6&gt;0,Calendar!H$11=""),0,SUMIFS(rngEngine_U,rngEngine_B,INDEX(Team!$A$11:$A$60,$AO17),rngAMStart,"&lt;="&amp;Calendar!H$11,rngAMEnd,"&gt;="&amp;Calendar!H$11))</ns0:f>
        <ns0:v>0</ns0:v>
      </ns0:c>
      <ns0:c r="BL17" s="0">
        <ns0:f>IF(OR($AO17=0,$B$5&lt;&gt;"OK",$B$6&gt;0,Calendar!H$11=""),0,SUMIFS(rngEngine_V,rngEngine_B,INDEX(Team!$A$11:$A$60,$AO17),rngPMStart,"&lt;="&amp;Calendar!H$11,rngPMEnd,"&gt;="&amp;Calendar!H$11))</ns0:f>
        <ns0:v>0</ns0:v>
      </ns0:c>
      <ns0:c r="BM17" s="0">
        <ns0:f>IF(OR($AO17=0,$B$5&lt;&gt;"OK",$B$6&gt;0,Calendar!I$11=""),0,SUMIFS(rngEngine_U,rngEngine_B,INDEX(Team!$A$11:$A$60,$AO17),rngAMStart,"&lt;="&amp;Calendar!I$11,rngAMEnd,"&gt;="&amp;Calendar!I$11))</ns0:f>
        <ns0:v>0</ns0:v>
      </ns0:c>
      <ns0:c r="BN17" s="0">
        <ns0:f>IF(OR($AO17=0,$B$5&lt;&gt;"OK",$B$6&gt;0,Calendar!I$11=""),0,SUMIFS(rngEngine_V,rngEngine_B,INDEX(Team!$A$11:$A$60,$AO17),rngPMStart,"&lt;="&amp;Calendar!I$11,rngPMEnd,"&gt;="&amp;Calendar!I$11))</ns0:f>
        <ns0:v>0</ns0:v>
      </ns0:c>
      <ns0:c r="BO17" s="0">
        <ns0:f>IF(OR($AO17=0,$B$5&lt;&gt;"OK",$B$6&gt;0,Calendar!J$11=""),0,SUMIFS(rngEngine_U,rngEngine_B,INDEX(Team!$A$11:$A$60,$AO17),rngAMStart,"&lt;="&amp;Calendar!J$11,rngAMEnd,"&gt;="&amp;Calendar!J$11))</ns0:f>
        <ns0:v>0</ns0:v>
      </ns0:c>
      <ns0:c r="BP17" s="0">
        <ns0:f>IF(OR($AO17=0,$B$5&lt;&gt;"OK",$B$6&gt;0,Calendar!J$11=""),0,SUMIFS(rngEngine_V,rngEngine_B,INDEX(Team!$A$11:$A$60,$AO17),rngPMStart,"&lt;="&amp;Calendar!J$11,rngPMEnd,"&gt;="&amp;Calendar!J$11))</ns0:f>
        <ns0:v>0</ns0:v>
      </ns0:c>
      <ns0:c r="BQ17" s="0">
        <ns0:f>IF(OR($AO17=0,$B$5&lt;&gt;"OK",$B$6&gt;0,Calendar!K$11=""),0,SUMIFS(rngEngine_U,rngEngine_B,INDEX(Team!$A$11:$A$60,$AO17),rngAMStart,"&lt;="&amp;Calendar!K$11,rngAMEnd,"&gt;="&amp;Calendar!K$11))</ns0:f>
        <ns0:v>3</ns0:v>
      </ns0:c>
      <ns0:c r="BR17" s="0">
        <ns0:f>IF(OR($AO17=0,$B$5&lt;&gt;"OK",$B$6&gt;0,Calendar!K$11=""),0,SUMIFS(rngEngine_V,rngEngine_B,INDEX(Team!$A$11:$A$60,$AO17),rngPMStart,"&lt;="&amp;Calendar!K$11,rngPMEnd,"&gt;="&amp;Calendar!K$11))</ns0:f>
        <ns0:v>3</ns0:v>
      </ns0:c>
      <ns0:c r="BS17" s="0">
        <ns0:f>IF(OR($AO17=0,$B$5&lt;&gt;"OK",$B$6&gt;0,Calendar!L$11=""),0,SUMIFS(rngEngine_U,rngEngine_B,INDEX(Team!$A$11:$A$60,$AO17),rngAMStart,"&lt;="&amp;Calendar!L$11,rngAMEnd,"&gt;="&amp;Calendar!L$11))</ns0:f>
        <ns0:v>0</ns0:v>
      </ns0:c>
      <ns0:c r="BT17" s="0">
        <ns0:f>IF(OR($AO17=0,$B$5&lt;&gt;"OK",$B$6&gt;0,Calendar!L$11=""),0,SUMIFS(rngEngine_V,rngEngine_B,INDEX(Team!$A$11:$A$60,$AO17),rngPMStart,"&lt;="&amp;Calendar!L$11,rngPMEnd,"&gt;="&amp;Calendar!L$11))</ns0:f>
        <ns0:v>0</ns0:v>
      </ns0:c>
      <ns0:c r="BU17" s="0">
        <ns0:f>IF(OR($AO17=0,$B$5&lt;&gt;"OK",$B$6&gt;0,Calendar!M$11=""),0,SUMIFS(rngEngine_U,rngEngine_B,INDEX(Team!$A$11:$A$60,$AO17),rngAMStart,"&lt;="&amp;Calendar!M$11,rngAMEnd,"&gt;="&amp;Calendar!M$11))</ns0:f>
        <ns0:v>0</ns0:v>
      </ns0:c>
      <ns0:c r="BV17" s="0">
        <ns0:f>IF(OR($AO17=0,$B$5&lt;&gt;"OK",$B$6&gt;0,Calendar!M$11=""),0,SUMIFS(rngEngine_V,rngEngine_B,INDEX(Team!$A$11:$A$60,$AO17),rngPMStart,"&lt;="&amp;Calendar!M$11,rngPMEnd,"&gt;="&amp;Calendar!M$11))</ns0:f>
        <ns0:v>0</ns0:v>
      </ns0:c>
      <ns0:c r="BW17" s="0">
        <ns0:f>IF(OR($AO17=0,$B$5&lt;&gt;"OK",$B$6&gt;0,Calendar!N$11=""),0,SUMIFS(rngEngine_U,rngEngine_B,INDEX(Team!$A$11:$A$60,$AO17),rngAMStart,"&lt;="&amp;Calendar!N$11,rngAMEnd,"&gt;="&amp;Calendar!N$11))</ns0:f>
        <ns0:v>0</ns0:v>
      </ns0:c>
      <ns0:c r="BX17" s="0">
        <ns0:f>IF(OR($AO17=0,$B$5&lt;&gt;"OK",$B$6&gt;0,Calendar!N$11=""),0,SUMIFS(rngEngine_V,rngEngine_B,INDEX(Team!$A$11:$A$60,$AO17),rngPMStart,"&lt;="&amp;Calendar!N$11,rngPMEnd,"&gt;="&amp;Calendar!N$11))</ns0:f>
        <ns0:v>0</ns0:v>
      </ns0:c>
      <ns0:c r="BY17" s="0">
        <ns0:f>IF(OR($AO17=0,$B$5&lt;&gt;"OK",$B$6&gt;0,Calendar!O$11=""),0,SUMIFS(rngEngine_U,rngEngine_B,INDEX(Team!$A$11:$A$60,$AO17),rngAMStart,"&lt;="&amp;Calendar!O$11,rngAMEnd,"&gt;="&amp;Calendar!O$11))</ns0:f>
        <ns0:v>0</ns0:v>
      </ns0:c>
      <ns0:c r="BZ17" s="0">
        <ns0:f>IF(OR($AO17=0,$B$5&lt;&gt;"OK",$B$6&gt;0,Calendar!O$11=""),0,SUMIFS(rngEngine_V,rngEngine_B,INDEX(Team!$A$11:$A$60,$AO17),rngPMStart,"&lt;="&amp;Calendar!O$11,rngPMEnd,"&gt;="&amp;Calendar!O$11))</ns0:f>
        <ns0:v>0</ns0:v>
      </ns0:c>
      <ns0:c r="CA17" s="0">
        <ns0:f>IF(OR($AO17=0,$B$5&lt;&gt;"OK",$B$6&gt;0,Calendar!P$11=""),0,SUMIFS(rngEngine_U,rngEngine_B,INDEX(Team!$A$11:$A$60,$AO17),rngAMStart,"&lt;="&amp;Calendar!P$11,rngAMEnd,"&gt;="&amp;Calendar!P$11))</ns0:f>
        <ns0:v>0</ns0:v>
      </ns0:c>
      <ns0:c r="CB17" s="0">
        <ns0:f>IF(OR($AO17=0,$B$5&lt;&gt;"OK",$B$6&gt;0,Calendar!P$11=""),0,SUMIFS(rngEngine_V,rngEngine_B,INDEX(Team!$A$11:$A$60,$AO17),rngPMStart,"&lt;="&amp;Calendar!P$11,rngPMEnd,"&gt;="&amp;Calendar!P$11))</ns0:f>
        <ns0:v>0</ns0:v>
      </ns0:c>
      <ns0:c r="CC17" s="0">
        <ns0:f>IF(OR($AO17=0,$B$5&lt;&gt;"OK",$B$6&gt;0,Calendar!Q$11=""),0,SUMIFS(rngEngine_U,rngEngine_B,INDEX(Team!$A$11:$A$60,$AO17),rngAMStart,"&lt;="&amp;Calendar!Q$11,rngAMEnd,"&gt;="&amp;Calendar!Q$11))</ns0:f>
        <ns0:v>4</ns0:v>
      </ns0:c>
      <ns0:c r="CD17" s="0">
        <ns0:f>IF(OR($AO17=0,$B$5&lt;&gt;"OK",$B$6&gt;0,Calendar!Q$11=""),0,SUMIFS(rngEngine_V,rngEngine_B,INDEX(Team!$A$11:$A$60,$AO17),rngPMStart,"&lt;="&amp;Calendar!Q$11,rngPMEnd,"&gt;="&amp;Calendar!Q$11))</ns0:f>
        <ns0:v>4</ns0:v>
      </ns0:c>
      <ns0:c r="CE17" s="0">
        <ns0:f>IF(OR($AO17=0,$B$5&lt;&gt;"OK",$B$6&gt;0,Calendar!R$11=""),0,SUMIFS(rngEngine_U,rngEngine_B,INDEX(Team!$A$11:$A$60,$AO17),rngAMStart,"&lt;="&amp;Calendar!R$11,rngAMEnd,"&gt;="&amp;Calendar!R$11))</ns0:f>
        <ns0:v>0</ns0:v>
      </ns0:c>
      <ns0:c r="CF17" s="0">
        <ns0:f>IF(OR($AO17=0,$B$5&lt;&gt;"OK",$B$6&gt;0,Calendar!R$11=""),0,SUMIFS(rngEngine_V,rngEngine_B,INDEX(Team!$A$11:$A$60,$AO17),rngPMStart,"&lt;="&amp;Calendar!R$11,rngPMEnd,"&gt;="&amp;Calendar!R$11))</ns0:f>
        <ns0:v>0</ns0:v>
      </ns0:c>
      <ns0:c r="CG17" s="0">
        <ns0:f>IF(OR($AO17=0,$B$5&lt;&gt;"OK",$B$6&gt;0,Calendar!S$11=""),0,SUMIFS(rngEngine_U,rngEngine_B,INDEX(Team!$A$11:$A$60,$AO17),rngAMStart,"&lt;="&amp;Calendar!S$11,rngAMEnd,"&gt;="&amp;Calendar!S$11))</ns0:f>
        <ns0:v>0</ns0:v>
      </ns0:c>
      <ns0:c r="CH17" s="0">
        <ns0:f>IF(OR($AO17=0,$B$5&lt;&gt;"OK",$B$6&gt;0,Calendar!S$11=""),0,SUMIFS(rngEngine_V,rngEngine_B,INDEX(Team!$A$11:$A$60,$AO17),rngPMStart,"&lt;="&amp;Calendar!S$11,rngPMEnd,"&gt;="&amp;Calendar!S$11))</ns0:f>
        <ns0:v>0</ns0:v>
      </ns0:c>
      <ns0:c r="CI17" s="0">
        <ns0:f>IF(OR($AO17=0,$B$5&lt;&gt;"OK",$B$6&gt;0,Calendar!T$11=""),0,SUMIFS(rngEngine_U,rngEngine_B,INDEX(Team!$A$11:$A$60,$AO17),rngAMStart,"&lt;="&amp;Calendar!T$11,rngAMEnd,"&gt;="&amp;Calendar!T$11))</ns0:f>
        <ns0:v>0</ns0:v>
      </ns0:c>
      <ns0:c r="CJ17" s="0">
        <ns0:f>IF(OR($AO17=0,$B$5&lt;&gt;"OK",$B$6&gt;0,Calendar!T$11=""),0,SUMIFS(rngEngine_V,rngEngine_B,INDEX(Team!$A$11:$A$60,$AO17),rngPMStart,"&lt;="&amp;Calendar!T$11,rngPMEnd,"&gt;="&amp;Calendar!T$11))</ns0:f>
        <ns0:v>0</ns0:v>
      </ns0:c>
      <ns0:c r="CK17" s="0">
        <ns0:f>IF(OR($AO17=0,$B$5&lt;&gt;"OK",$B$6&gt;0,Calendar!U$11=""),0,SUMIFS(rngEngine_U,rngEngine_B,INDEX(Team!$A$11:$A$60,$AO17),rngAMStart,"&lt;="&amp;Calendar!U$11,rngAMEnd,"&gt;="&amp;Calendar!U$11))</ns0:f>
        <ns0:v>0</ns0:v>
      </ns0:c>
      <ns0:c r="CL17" s="0">
        <ns0:f>IF(OR($AO17=0,$B$5&lt;&gt;"OK",$B$6&gt;0,Calendar!U$11=""),0,SUMIFS(rngEngine_V,rngEngine_B,INDEX(Team!$A$11:$A$60,$AO17),rngPMStart,"&lt;="&amp;Calendar!U$11,rngPMEnd,"&gt;="&amp;Calendar!U$11))</ns0:f>
        <ns0:v>0</ns0:v>
      </ns0:c>
      <ns0:c r="CM17" s="0">
        <ns0:f>IF(OR($AO17=0,$B$5&lt;&gt;"OK",$B$6&gt;0,Calendar!V$11=""),0,SUMIFS(rngEngine_U,rngEngine_B,INDEX(Team!$A$11:$A$60,$AO17),rngAMStart,"&lt;="&amp;Calendar!V$11,rngAMEnd,"&gt;="&amp;Calendar!V$11))</ns0:f>
        <ns0:v>0</ns0:v>
      </ns0:c>
      <ns0:c r="CN17" s="0">
        <ns0:f>IF(OR($AO17=0,$B$5&lt;&gt;"OK",$B$6&gt;0,Calendar!V$11=""),0,SUMIFS(rngEngine_V,rngEngine_B,INDEX(Team!$A$11:$A$60,$AO17),rngPMStart,"&lt;="&amp;Calendar!V$11,rngPMEnd,"&gt;="&amp;Calendar!V$11))</ns0:f>
        <ns0:v>0</ns0:v>
      </ns0:c>
      <ns0:c r="CO17" s="0">
        <ns0:f>IF(OR($AO17=0,$B$5&lt;&gt;"OK",$B$6&gt;0,Calendar!W$11=""),0,SUMIFS(rngEngine_U,rngEngine_B,INDEX(Team!$A$11:$A$60,$AO17),rngAMStart,"&lt;="&amp;Calendar!W$11,rngAMEnd,"&gt;="&amp;Calendar!W$11))</ns0:f>
        <ns0:v>5</ns0:v>
      </ns0:c>
      <ns0:c r="CP17" s="0">
        <ns0:f>IF(OR($AO17=0,$B$5&lt;&gt;"OK",$B$6&gt;0,Calendar!W$11=""),0,SUMIFS(rngEngine_V,rngEngine_B,INDEX(Team!$A$11:$A$60,$AO17),rngPMStart,"&lt;="&amp;Calendar!W$11,rngPMEnd,"&gt;="&amp;Calendar!W$11))</ns0:f>
        <ns0:v>5</ns0:v>
      </ns0:c>
      <ns0:c r="CQ17" s="0">
        <ns0:f>IF(OR($AO17=0,$B$5&lt;&gt;"OK",$B$6&gt;0,Calendar!X$11=""),0,SUMIFS(rngEngine_U,rngEngine_B,INDEX(Team!$A$11:$A$60,$AO17),rngAMStart,"&lt;="&amp;Calendar!X$11,rngAMEnd,"&gt;="&amp;Calendar!X$11))</ns0:f>
        <ns0:v>0</ns0:v>
      </ns0:c>
      <ns0:c r="CR17" s="0">
        <ns0:f>IF(OR($AO17=0,$B$5&lt;&gt;"OK",$B$6&gt;0,Calendar!X$11=""),0,SUMIFS(rngEngine_V,rngEngine_B,INDEX(Team!$A$11:$A$60,$AO17),rngPMStart,"&lt;="&amp;Calendar!X$11,rngPMEnd,"&gt;="&amp;Calendar!X$11))</ns0:f>
        <ns0:v>0</ns0:v>
      </ns0:c>
      <ns0:c r="CS17" s="0">
        <ns0:f>IF(OR($AO17=0,$B$5&lt;&gt;"OK",$B$6&gt;0,Calendar!Y$11=""),0,SUMIFS(rngEngine_U,rngEngine_B,INDEX(Team!$A$11:$A$60,$AO17),rngAMStart,"&lt;="&amp;Calendar!Y$11,rngAMEnd,"&gt;="&amp;Calendar!Y$11))</ns0:f>
        <ns0:v>0</ns0:v>
      </ns0:c>
      <ns0:c r="CT17" s="0">
        <ns0:f>IF(OR($AO17=0,$B$5&lt;&gt;"OK",$B$6&gt;0,Calendar!Y$11=""),0,SUMIFS(rngEngine_V,rngEngine_B,INDEX(Team!$A$11:$A$60,$AO17),rngPMStart,"&lt;="&amp;Calendar!Y$11,rngPMEnd,"&gt;="&amp;Calendar!Y$11))</ns0:f>
        <ns0:v>0</ns0:v>
      </ns0:c>
      <ns0:c r="CU17" s="0">
        <ns0:f>IF(OR($AO17=0,$B$5&lt;&gt;"OK",$B$6&gt;0,Calendar!Z$11=""),0,SUMIFS(rngEngine_U,rngEngine_B,INDEX(Team!$A$11:$A$60,$AO17),rngAMStart,"&lt;="&amp;Calendar!Z$11,rngAMEnd,"&gt;="&amp;Calendar!Z$11))</ns0:f>
        <ns0:v>0</ns0:v>
      </ns0:c>
      <ns0:c r="CV17" s="0">
        <ns0:f>IF(OR($AO17=0,$B$5&lt;&gt;"OK",$B$6&gt;0,Calendar!Z$11=""),0,SUMIFS(rngEngine_V,rngEngine_B,INDEX(Team!$A$11:$A$60,$AO17),rngPMStart,"&lt;="&amp;Calendar!Z$11,rngPMEnd,"&gt;="&amp;Calendar!Z$11))</ns0:f>
        <ns0:v>0</ns0:v>
      </ns0:c>
      <ns0:c r="CW17" s="0">
        <ns0:f>IF(OR($AO17=0,$B$5&lt;&gt;"OK",$B$6&gt;0,Calendar!AA$11=""),0,SUMIFS(rngEngine_U,rngEngine_B,INDEX(Team!$A$11:$A$60,$AO17),rngAMStart,"&lt;="&amp;Calendar!AA$11,rngAMEnd,"&gt;="&amp;Calendar!AA$11))</ns0:f>
        <ns0:v>0</ns0:v>
      </ns0:c>
      <ns0:c r="CX17" s="0">
        <ns0:f>IF(OR($AO17=0,$B$5&lt;&gt;"OK",$B$6&gt;0,Calendar!AA$11=""),0,SUMIFS(rngEngine_V,rngEngine_B,INDEX(Team!$A$11:$A$60,$AO17),rngPMStart,"&lt;="&amp;Calendar!AA$11,rngPMEnd,"&gt;="&amp;Calendar!AA$11))</ns0:f>
        <ns0:v>0</ns0:v>
      </ns0:c>
      <ns0:c r="CY17" s="0">
        <ns0:f>IF(OR($AO17=0,$B$5&lt;&gt;"OK",$B$6&gt;0,Calendar!AB$11=""),0,SUMIFS(rngEngine_U,rngEngine_B,INDEX(Team!$A$11:$A$60,$AO17),rngAMStart,"&lt;="&amp;Calendar!AB$11,rngAMEnd,"&gt;="&amp;Calendar!AB$11))</ns0:f>
        <ns0:v>0</ns0:v>
      </ns0:c>
      <ns0:c r="CZ17" s="0">
        <ns0:f>IF(OR($AO17=0,$B$5&lt;&gt;"OK",$B$6&gt;0,Calendar!AB$11=""),0,SUMIFS(rngEngine_V,rngEngine_B,INDEX(Team!$A$11:$A$60,$AO17),rngPMStart,"&lt;="&amp;Calendar!AB$11,rngPMEnd,"&gt;="&amp;Calendar!AB$11))</ns0:f>
        <ns0:v>0</ns0:v>
      </ns0:c>
      <ns0:c r="DA17" s="0">
        <ns0:f>IF(OR($AO17=0,$B$5&lt;&gt;"OK",$B$6&gt;0,Calendar!AC$11=""),0,SUMIFS(rngEngine_U,rngEngine_B,INDEX(Team!$A$11:$A$60,$AO17),rngAMStart,"&lt;="&amp;Calendar!AC$11,rngAMEnd,"&gt;="&amp;Calendar!AC$11))</ns0:f>
        <ns0:v>0</ns0:v>
      </ns0:c>
      <ns0:c r="DB17" s="0">
        <ns0:f>IF(OR($AO17=0,$B$5&lt;&gt;"OK",$B$6&gt;0,Calendar!AC$11=""),0,SUMIFS(rngEngine_V,rngEngine_B,INDEX(Team!$A$11:$A$60,$AO17),rngPMStart,"&lt;="&amp;Calendar!AC$11,rngPMEnd,"&gt;="&amp;Calendar!AC$11))</ns0:f>
        <ns0:v>0</ns0:v>
      </ns0:c>
      <ns0:c r="DC17" s="0">
        <ns0:f>IF(OR($AO17=0,$B$5&lt;&gt;"OK",$B$6&gt;0,Calendar!AD$11=""),0,SUMIFS(rngEngine_U,rngEngine_B,INDEX(Team!$A$11:$A$60,$AO17),rngAMStart,"&lt;="&amp;Calendar!AD$11,rngAMEnd,"&gt;="&amp;Calendar!AD$11))</ns0:f>
        <ns0:v>0</ns0:v>
      </ns0:c>
      <ns0:c r="DD17" s="0">
        <ns0:f>IF(OR($AO17=0,$B$5&lt;&gt;"OK",$B$6&gt;0,Calendar!AD$11=""),0,SUMIFS(rngEngine_V,rngEngine_B,INDEX(Team!$A$11:$A$60,$AO17),rngPMStart,"&lt;="&amp;Calendar!AD$11,rngPMEnd,"&gt;="&amp;Calendar!AD$11))</ns0:f>
        <ns0:v>0</ns0:v>
      </ns0:c>
      <ns0:c r="DE17" s="0">
        <ns0:f>IF(OR($AO17=0,$B$5&lt;&gt;"OK",$B$6&gt;0,Calendar!AE$11=""),0,SUMIFS(rngEngine_U,rngEngine_B,INDEX(Team!$A$11:$A$60,$AO17),rngAMStart,"&lt;="&amp;Calendar!AE$11,rngAMEnd,"&gt;="&amp;Calendar!AE$11))</ns0:f>
        <ns0:v>0</ns0:v>
      </ns0:c>
      <ns0:c r="DF17" s="0">
        <ns0:f>IF(OR($AO17=0,$B$5&lt;&gt;"OK",$B$6&gt;0,Calendar!AE$11=""),0,SUMIFS(rngEngine_V,rngEngine_B,INDEX(Team!$A$11:$A$60,$AO17),rngPMStart,"&lt;="&amp;Calendar!AE$11,rngPMEnd,"&gt;="&amp;Calendar!AE$11))</ns0:f>
        <ns0:v>0</ns0:v>
      </ns0:c>
      <ns0:c r="DG17" s="0">
        <ns0:f>IF(OR($AO17=0,$B$5&lt;&gt;"OK",$B$6&gt;0,Calendar!AF$11=""),0,SUMIFS(rngEngine_U,rngEngine_B,INDEX(Team!$A$11:$A$60,$AO17),rngAMStart,"&lt;="&amp;Calendar!AF$11,rngAMEnd,"&gt;="&amp;Calendar!AF$11))</ns0:f>
        <ns0:v>1</ns0:v>
      </ns0:c>
      <ns0:c r="DH17" s="0">
        <ns0:f>IF(OR($AO17=0,$B$5&lt;&gt;"OK",$B$6&gt;0,Calendar!AF$11=""),0,SUMIFS(rngEngine_V,rngEngine_B,INDEX(Team!$A$11:$A$60,$AO17),rngPMStart,"&lt;="&amp;Calendar!AF$11,rngPMEnd,"&gt;="&amp;Calendar!AF$11))</ns0:f>
        <ns0:v>11</ns0:v>
      </ns0:c>
      <ns0:c r="DI17" s="0">
        <ns0:f>IF(OR($AO17=0,$B$5&lt;&gt;"OK",$B$6&gt;0,Calendar!AG$11=""),0,SUMIFS(rngEngine_U,rngEngine_B,INDEX(Team!$A$11:$A$60,$AO17),rngAMStart,"&lt;="&amp;Calendar!AG$11,rngAMEnd,"&gt;="&amp;Calendar!AG$11))</ns0:f>
        <ns0:v>0</ns0:v>
      </ns0:c>
      <ns0:c r="DJ17" s="0">
        <ns0:f>IF(OR($AO17=0,$B$5&lt;&gt;"OK",$B$6&gt;0,Calendar!AG$11=""),0,SUMIFS(rngEngine_V,rngEngine_B,INDEX(Team!$A$11:$A$60,$AO17),rngPMStart,"&lt;="&amp;Calendar!AG$11,rngPMEnd,"&gt;="&amp;Calendar!AG$11))</ns0:f>
        <ns0:v>0</ns0:v>
      </ns0:c>
      <ns0:c r="DK17" s="0">
        <ns0:f>IF(OR($AO17=0,$B$5&lt;&gt;"OK",$B$6&gt;0,Calendar!AH$11=""),0,SUMIFS(rngEngine_U,rngEngine_B,INDEX(Team!$A$11:$A$60,$AO17),rngAMStart,"&lt;="&amp;Calendar!AH$11,rngAMEnd,"&gt;="&amp;Calendar!AH$11))</ns0:f>
        <ns0:v>0</ns0:v>
      </ns0:c>
      <ns0:c r="DL17" s="0">
        <ns0:f>IF(OR($AO17=0,$B$5&lt;&gt;"OK",$B$6&gt;0,Calendar!AH$11=""),0,SUMIFS(rngEngine_V,rngEngine_B,INDEX(Team!$A$11:$A$60,$AO17),rngPMStart,"&lt;="&amp;Calendar!AH$11,rngPMEnd,"&gt;="&amp;Calendar!AH$11))</ns0:f>
        <ns0:v>0</ns0:v>
      </ns0:c>
    </ns0:row>
    <ns0:row r="18" ht="22" customHeight="1">
      <ns0:c r="A18" s="4">
        <ns0:f>IF(COUNTA(Bookings!A18:G18,Bookings!I18)=0,0,1)</ns0:f>
        <ns0:v>1</ns0:v>
      </ns0:c>
      <ns0:c r="B18" s="4" t="str">
        <ns0:f>IFERROR(TRIM(MID(Bookings!A18,FIND(" · ",Bookings!A18)+3,99)),"")</ns0:f>
        <ns0:v>EMP004</ns0:v>
      </ns0:c>
      <ns0:c r="C18" s="4">
        <ns0:f>IF(OR(B18="",LEN(B18)&gt;24,ISNUMBER(FIND(" ",B18)),ISNUMBER(FIND("*",B18)),ISNUMBER(FIND("?",B18)),ISNUMBER(FIND("~",B18))),0,IFERROR(MATCH(B18,Team!$A$11:$A$60,0),0))</ns0:f>
        <ns0:v>4</ns0:v>
      </ns0:c>
      <ns0:c r="D18" s="4" t="str">
        <ns0:f>IFERROR(IF(MID(Bookings!F18,LEN(Bookings!F18)-3,3)=" · ",RIGHT(Bookings!F18,1),""),"")</ns0:f>
        <ns0:v>H</ns0:v>
      </ns0:c>
      <ns0:c r="E18" s="4" t="str">
        <ns0:f>IFERROR(INDEX(Settings!$H$7:$H$11,MATCH(D18,Settings!$G$7:$G$11,0)),"")</ns0:f>
        <ns0:v>Yes</ns0:v>
      </ns0:c>
      <ns0:c r="F18" s="4" t="str">
        <ns0:f>IF(A18=0,"",IFERROR(IF(OR(B18="",C18=0),"CHECK employee selection",IF(INDEX(Team!$O$11:$O$60,C18)&lt;&gt;"OK","CHECK employee setup",IF(OR('_Dates'!J18=0,'_Dates'!T18=0),"CHECK date: use DD.MM.YYYY",IF('_Dates'!T18&lt;'_Dates'!J18,"CHECK end before start",IF(AND($B$6=0,OR('_Dates'!J18&lt;Settings!$B$7,'_Dates'!T18&gt;Settings!$B$8)),"CHECK split across leave years",IF(OR(NOT(OR('_Dates'!U18="Full day",'_Dates'!U18="AM",'_Dates'!U18="PM")),NOT(OR('_Dates'!V18="Full day",'_Dates'!V18="AM",'_Dates'!V18="PM"))),"CHECK Full day / AM / PM",IF(AND('_Dates'!J18='_Dates'!T18,'_Dates'!U18&lt;&gt;"Full day",'_Dates'!V18&lt;&gt;"Full day",'_Dates'!U18&lt;&gt;'_Dates'!V18),"CHECK same-day portions disagree",IF(AND($B$6=0,OR(AND('_Dates'!U18&lt;&gt;"Full day",'_Dates'!AA18=0),AND('_Dates'!V18&lt;&gt;"Full day",'_Dates'!AB18=0))),"CHECK half-day on non-working date",IF(COUNTIF(Settings!$G$7:$G$11,D18)&lt;&gt;1,"CHECK leave type",IF(AND(Bookings!G18&lt;&gt;"Approved",Bookings!G18&lt;&gt;"Pending",Bookings!G18&lt;&gt;"Cancelled"),"CHECK status","OK")))))))))),"CHECK input"))</ns0:f>
        <ns0:v>OK</ns0:v>
      </ns0:c>
      <ns0:c r="G18" s="4">
        <ns0:f>IF(OR(F18&lt;&gt;"OK",$B$6&gt;0),0,0.5*(IF(('_Dates'!X18)&lt;('_Dates'!W18),0,INT((('_Dates'!X18)-('_Dates'!W18)+1)/7)*LEN(SUBSTITUTE(W18,"O",""))+LEN(SUBSTITUTE(MID(W18&amp;W18,WEEKDAY(('_Dates'!W18),2),MOD((('_Dates'!X18)-('_Dates'!W18)+1),7)),"O",""))-COUNTIFS(INDEX(AllClosureRows,C18,0),"&gt;="&amp;('_Dates'!W18),INDEX(AllClosureRows,C18,0),"&lt;="&amp;('_Dates'!X18)))+IF(('_Dates'!Z18)&lt;('_Dates'!Y18),0,INT((('_Dates'!Z18)-('_Dates'!Y18)+1)/7)*LEN(SUBSTITUTE(W18,"O",""))+LEN(SUBSTITUTE(MID(W18&amp;W18,WEEKDAY(('_Dates'!Y18),2),MOD((('_Dates'!Z18)-('_Dates'!Y18)+1),7)),"O",""))-COUNTIFS(INDEX(AllClosureRows,C18,0),"&gt;="&amp;('_Dates'!Y18),INDEX(AllClosureRows,C18,0),"&lt;="&amp;('_Dates'!Z18)))))</ns0:f>
        <ns0:v>0.5</ns0:v>
      </ns0:c>
      <ns0:c r="H18" s="4">
        <ns0:f>IF(OR(F18&lt;&gt;"OK",$B$6&gt;0),0,0.5*(IF((MIN('_Dates'!X18,Settings!$B$9))&lt;('_Dates'!W18),0,INT(((MIN('_Dates'!X18,Settings!$B$9))-('_Dates'!W18)+1)/7)*LEN(SUBSTITUTE(W18,"O",""))+LEN(SUBSTITUTE(MID(W18&amp;W18,WEEKDAY(('_Dates'!W18),2),MOD(((MIN('_Dates'!X18,Settings!$B$9))-('_Dates'!W18)+1),7)),"O",""))-COUNTIFS(INDEX(AllClosureRows,C18,0),"&gt;="&amp;('_Dates'!W18),INDEX(AllClosureRows,C18,0),"&lt;="&amp;(MIN('_Dates'!X18,Settings!$B$9))))+IF((MIN('_Dates'!Z18,Settings!$B$9))&lt;('_Dates'!Y18),0,INT(((MIN('_Dates'!Z18,Settings!$B$9))-('_Dates'!Y18)+1)/7)*LEN(SUBSTITUTE(W18,"O",""))+LEN(SUBSTITUTE(MID(W18&amp;W18,WEEKDAY(('_Dates'!Y18),2),MOD(((MIN('_Dates'!Z18,Settings!$B$9))-('_Dates'!Y18)+1),7)),"O",""))-COUNTIFS(INDEX(AllClosureRows,C18,0),"&gt;="&amp;('_Dates'!Y18),INDEX(AllClosureRows,C18,0),"&lt;="&amp;(MIN('_Dates'!Z18,Settings!$B$9))))))</ns0:f>
        <ns0:v>0.5</ns0:v>
      </ns0:c>
      <ns0:c r="I18" s="4">
        <ns0:f>MAX(0,G18-H18)</ns0:f>
        <ns0:v>0</ns0:v>
      </ns0:c>
      <ns0:c r="J18" s="4">
        <ns0:f>IF(OR(A18=0,F18&lt;&gt;"OK",Bookings!G18="Cancelled",$B$6&gt;0),0,IF('_Dates'!AC18=1,MAX(0,COUNTIFS(rngEngine_B,B18,rngAMStart,"&lt;="&amp;'_Dates'!X18,rngAMEnd,"&gt;="&amp;'_Dates'!W18,rngAMActive,1,rngEngine_F,"OK",rngBookings_F,"&lt;&gt;Cancelled")-1),0)+IF('_Dates'!AD18=1,MAX(0,COUNTIFS(rngEngine_B,B18,rngPMStart,"&lt;="&amp;'_Dates'!Z18,rngPMEnd,"&gt;="&amp;'_Dates'!Y18,rngPMActive,1,rngEngine_F,"OK",rngBookings_F,"&lt;&gt;Cancelled")-1),0))</ns0:f>
        <ns0:v>0</ns0:v>
      </ns0:c>
      <ns0:c r="K18" s="0" t="str">
        <ns0:f>IF(A18=0,"",IF(F18&lt;&gt;"OK",F18,IF(J18&gt;0,"CHECK overlapping entry",IF(AND($B$6=0,G18&lt;=0,Bookings!G18&lt;&gt;"Cancelled"),"CHECK no working days",IF(Bookings!G18="Cancelled","Cancelled","OK")))))</ns0:f>
        <ns0:v>OK</ns0:v>
      </ns0:c>
      <ns0:c r="L18" s="0">
        <ns0:f>IF(LEFT(K18,5)="CHECK",1,0)</ns0:f>
        <ns0:v>0</ns0:v>
      </ns0:c>
      <ns0:c r="M18" s="0">
        <ns0:f>IF(AND(L18=1,OR(C18=0,IFERROR(INDEX($X$11:$X$60,C18),0)=0)),1,0)</ns0:f>
        <ns0:v>0</ns0:v>
      </ns0:c>
      <ns0:c r="N18" s="0">
        <ns0:f>IF(OR(A18=0,L18&gt;0,$B$6&gt;0,Bookings!G18="Cancelled"),0,G18)</ns0:f>
        <ns0:v>0.5</ns0:v>
      </ns0:c>
      <ns0:c r="O18" s="0">
        <ns0:f>IF(AND(Bookings!G18="Approved",E18="Yes"),N18,0)</ns0:f>
        <ns0:v>0.5</ns0:v>
      </ns0:c>
      <ns0:c r="P18" s="0">
        <ns0:f>IF(AND(Bookings!G18="Approved",E18="Yes",L18=0,$B$6=0),H18,0)</ns0:f>
        <ns0:v>0.5</ns0:v>
      </ns0:c>
      <ns0:c r="Q18" s="0">
        <ns0:f>IF(AND(Bookings!G18="Approved",E18="Yes",L18=0,$B$6=0),I18,0)</ns0:f>
        <ns0:v>0</ns0:v>
      </ns0:c>
      <ns0:c r="R18" s="0">
        <ns0:f>IF(AND(Bookings!G18="Pending",E18="Yes"),N18,0)</ns0:f>
        <ns0:v>0</ns0:v>
      </ns0:c>
      <ns0:c r="S18" s="0">
        <ns0:f>IF(AND(Bookings!G18="Approved",E18="No"),N18,0)</ns0:f>
        <ns0:v>0</ns0:v>
      </ns0:c>
      <ns0:c r="T18" s="0">
        <ns0:f>IFERROR(MATCH(D18,Settings!$G$7:$G$11,0),0)</ns0:f>
        <ns0:v>1</ns0:v>
      </ns0:c>
      <ns0:c r="U18" s="0">
        <ns0:f>IF(N18&gt;0,T18+IF(Bookings!G18="Pending",10,0),0)</ns0:f>
        <ns0:v>1</ns0:v>
      </ns0:c>
      <ns0:c r="V18" s="0">
        <ns0:f>U18</ns0:f>
        <ns0:v>1</ns0:v>
      </ns0:c>
      <ns0:c r="W18" s="0" t="str">
        <ns0:f>IF(C18=0,"",INDEX($AP$11:$AP$60,C18))</ns0:f>
        <ns0:v>WWWWWOO</ns0:v>
      </ns0:c>
      <ns0:c r="X18" s="0">
        <ns0:f>IF(COUNTA(Team!B18:D18)=0,0,1)</ns0:f>
        <ns0:v>0</ns0:v>
      </ns0:c>
      <ns0:c r="Y18" s="0" t="str">
        <ns0:f>IF(X18=0,"",IF(Team!B18="","[Unnamed]",Team!B18)&amp;" · "&amp;Team!A18)</ns0:f>
        <ns0:v/>
      </ns0:c>
      <ns0:c r="Z18" s="0">
        <ns0:f>IF(X18=0,0,COUNTIF(Team!H18:N18,"Work"))</ns0:f>
        <ns0:v>0</ns0:v>
      </ns0:c>
      <ns0:c r="AA18" s="0">
        <ns0:f>IF(LEFT(Team!O18,5)="CHECK",1,0)</ns0:f>
        <ns0:v>0</ns0:v>
      </ns0:c>
      <ns0:c r="AB18" s="0">
        <ns0:f>IF(X18=0,0,SUMIFS(rngEngine_L,rngEngine_B,Team!A18))</ns0:f>
        <ns0:v>0</ns0:v>
      </ns0:c>
      <ns0:c r="AC18" s="0" t="str">
        <ns0:f>IF(AND(X18=1,OR(Calendar!$C$7="All teams",Team!C18=Calendar!$C$7)),MAX($AC$10:AC17)+1,"")</ns0:f>
        <ns0:v/>
      </ns0:c>
      <ns0:c r="AD18" s="0" t="str">
        <ns0:f>IF(OR(X18=0,Team!C18="",COUNTIF(Team!$C$11:C18,Team!C18)&gt;1),"",MAX($AD$10:AD17)+1)</ns0:f>
        <ns0:v/>
      </ns0:c>
      <ns0:c r="AE18" s="0" t="str">
        <ns0:f>IFERROR(INDEX(Team!$C$11:$C$60,MATCH(ROW()-10,$AD$11:$AD$60,0)),"")</ns0:f>
        <ns0:v/>
      </ns0:c>
      <ns0:c r="AF18" s="0" t="str">
        <ns0:f>AE18</ns0:f>
        <ns0:v/>
      </ns0:c>
      <ns0:c r="AG18" s="0">
        <ns0:f>IF(X18=0,0,IFERROR(Team!F18+Team!G18,0))</ns0:f>
        <ns0:v>0</ns0:v>
      </ns0:c>
      <ns0:c r="AH18" s="0">
        <ns0:f>IF(X18=0,0,SUMIFS(rngEngine_P,rngEngine_B,Team!A18))</ns0:f>
        <ns0:v>0</ns0:v>
      </ns0:c>
      <ns0:c r="AI18" s="0">
        <ns0:f>IF(X18=0,0,SUMIFS(rngEngine_Q,rngEngine_B,Team!A18))</ns0:f>
        <ns0:v>0</ns0:v>
      </ns0:c>
      <ns0:c r="AJ18" s="0">
        <ns0:f>IF(X18=0,0,SUMIFS(rngEngine_R,rngEngine_B,Team!A18))</ns0:f>
        <ns0:v>0</ns0:v>
      </ns0:c>
      <ns0:c r="AK18" s="0">
        <ns0:f>IF(X18=0,0,SUMIFS(rngEngine_S,rngEngine_B,Team!A18))</ns0:f>
        <ns0:v>0</ns0:v>
      </ns0:c>
      <ns0:c r="AL18" s="0">
        <ns0:f>AH18+AI18</ns0:f>
        <ns0:v>0</ns0:v>
      </ns0:c>
      <ns0:c r="AM18" s="0" t="str">
        <ns0:f>IF(X18=0,"",IF(AA18&gt;0,"CHECK team setup",IF(AB18&gt;0,"CHECK "&amp;AB18&amp;" booking(s)","OK")))</ns0:f>
        <ns0:v/>
      </ns0:c>
      <ns0:c r="AN18" s="0" t="str">
        <ns0:f>IF(X18=0,"",IF(OR($B$6&gt;0,AM18&lt;&gt;"OK"),"REVIEW",AG18-AL18))</ns0:f>
        <ns0:v/>
      </ns0:c>
      <ns0:c r="AO18" s="0">
        <ns0:f>IFERROR(MATCH(ROW()-11,$AC$11:$AC$60,0),0)</ns0:f>
        <ns0:v>0</ns0:v>
      </ns0:c>
      <ns0:c r="AP18" s="0" t="str">
        <ns0:f>IF(Team!H18="Work","W","O")&amp;IF(Team!I18="Work","W","O")&amp;IF(Team!J18="Work","W","O")&amp;IF(Team!K18="Work","W","O")&amp;IF(Team!L18="Work","W","O")&amp;IF(Team!M18="Work","W","O")&amp;IF(Team!N18="Work","W","O")</ns0:f>
        <ns0:v>OOOOOOO</ns0:v>
      </ns0:c>
      <ns0:c r="AR18" s="0">
        <ns0:f>IFERROR(IF(ISNUMBER(Settings!F18),WEEKDAY(Settings!F18,2),0),0)</ns0:f>
        <ns0:v>5</ns0:v>
      </ns0:c>
      <ns0:c r="AS18" t="inlineStr">
        <ns0:is>
          <ns0:t>August</ns0:t>
        </ns0:is>
      </ns0:c>
      <ns0:c r="BC18" s="0">
        <ns0:f>IF(OR($AO18=0,$B$5&lt;&gt;"OK",$B$6&gt;0,Calendar!D$11=""),0,SUMIFS(rngEngine_U,rngEngine_B,INDEX(Team!$A$11:$A$60,$AO18),rngAMStart,"&lt;="&amp;Calendar!D$11,rngAMEnd,"&gt;="&amp;Calendar!D$11))</ns0:f>
        <ns0:v>0</ns0:v>
      </ns0:c>
      <ns0:c r="BD18" s="0">
        <ns0:f>IF(OR($AO18=0,$B$5&lt;&gt;"OK",$B$6&gt;0,Calendar!D$11=""),0,SUMIFS(rngEngine_V,rngEngine_B,INDEX(Team!$A$11:$A$60,$AO18),rngPMStart,"&lt;="&amp;Calendar!D$11,rngPMEnd,"&gt;="&amp;Calendar!D$11))</ns0:f>
        <ns0:v>0</ns0:v>
      </ns0:c>
      <ns0:c r="BE18" s="0">
        <ns0:f>IF(OR($AO18=0,$B$5&lt;&gt;"OK",$B$6&gt;0,Calendar!E$11=""),0,SUMIFS(rngEngine_U,rngEngine_B,INDEX(Team!$A$11:$A$60,$AO18),rngAMStart,"&lt;="&amp;Calendar!E$11,rngAMEnd,"&gt;="&amp;Calendar!E$11))</ns0:f>
        <ns0:v>0</ns0:v>
      </ns0:c>
      <ns0:c r="BF18" s="0">
        <ns0:f>IF(OR($AO18=0,$B$5&lt;&gt;"OK",$B$6&gt;0,Calendar!E$11=""),0,SUMIFS(rngEngine_V,rngEngine_B,INDEX(Team!$A$11:$A$60,$AO18),rngPMStart,"&lt;="&amp;Calendar!E$11,rngPMEnd,"&gt;="&amp;Calendar!E$11))</ns0:f>
        <ns0:v>0</ns0:v>
      </ns0:c>
      <ns0:c r="BG18" s="0">
        <ns0:f>IF(OR($AO18=0,$B$5&lt;&gt;"OK",$B$6&gt;0,Calendar!F$11=""),0,SUMIFS(rngEngine_U,rngEngine_B,INDEX(Team!$A$11:$A$60,$AO18),rngAMStart,"&lt;="&amp;Calendar!F$11,rngAMEnd,"&gt;="&amp;Calendar!F$11))</ns0:f>
        <ns0:v>0</ns0:v>
      </ns0:c>
      <ns0:c r="BH18" s="0">
        <ns0:f>IF(OR($AO18=0,$B$5&lt;&gt;"OK",$B$6&gt;0,Calendar!F$11=""),0,SUMIFS(rngEngine_V,rngEngine_B,INDEX(Team!$A$11:$A$60,$AO18),rngPMStart,"&lt;="&amp;Calendar!F$11,rngPMEnd,"&gt;="&amp;Calendar!F$11))</ns0:f>
        <ns0:v>0</ns0:v>
      </ns0:c>
      <ns0:c r="BI18" s="0">
        <ns0:f>IF(OR($AO18=0,$B$5&lt;&gt;"OK",$B$6&gt;0,Calendar!G$11=""),0,SUMIFS(rngEngine_U,rngEngine_B,INDEX(Team!$A$11:$A$60,$AO18),rngAMStart,"&lt;="&amp;Calendar!G$11,rngAMEnd,"&gt;="&amp;Calendar!G$11))</ns0:f>
        <ns0:v>0</ns0:v>
      </ns0:c>
      <ns0:c r="BJ18" s="0">
        <ns0:f>IF(OR($AO18=0,$B$5&lt;&gt;"OK",$B$6&gt;0,Calendar!G$11=""),0,SUMIFS(rngEngine_V,rngEngine_B,INDEX(Team!$A$11:$A$60,$AO18),rngPMStart,"&lt;="&amp;Calendar!G$11,rngPMEnd,"&gt;="&amp;Calendar!G$11))</ns0:f>
        <ns0:v>0</ns0:v>
      </ns0:c>
      <ns0:c r="BK18" s="0">
        <ns0:f>IF(OR($AO18=0,$B$5&lt;&gt;"OK",$B$6&gt;0,Calendar!H$11=""),0,SUMIFS(rngEngine_U,rngEngine_B,INDEX(Team!$A$11:$A$60,$AO18),rngAMStart,"&lt;="&amp;Calendar!H$11,rngAMEnd,"&gt;="&amp;Calendar!H$11))</ns0:f>
        <ns0:v>0</ns0:v>
      </ns0:c>
      <ns0:c r="BL18" s="0">
        <ns0:f>IF(OR($AO18=0,$B$5&lt;&gt;"OK",$B$6&gt;0,Calendar!H$11=""),0,SUMIFS(rngEngine_V,rngEngine_B,INDEX(Team!$A$11:$A$60,$AO18),rngPMStart,"&lt;="&amp;Calendar!H$11,rngPMEnd,"&gt;="&amp;Calendar!H$11))</ns0:f>
        <ns0:v>0</ns0:v>
      </ns0:c>
      <ns0:c r="BM18" s="0">
        <ns0:f>IF(OR($AO18=0,$B$5&lt;&gt;"OK",$B$6&gt;0,Calendar!I$11=""),0,SUMIFS(rngEngine_U,rngEngine_B,INDEX(Team!$A$11:$A$60,$AO18),rngAMStart,"&lt;="&amp;Calendar!I$11,rngAMEnd,"&gt;="&amp;Calendar!I$11))</ns0:f>
        <ns0:v>0</ns0:v>
      </ns0:c>
      <ns0:c r="BN18" s="0">
        <ns0:f>IF(OR($AO18=0,$B$5&lt;&gt;"OK",$B$6&gt;0,Calendar!I$11=""),0,SUMIFS(rngEngine_V,rngEngine_B,INDEX(Team!$A$11:$A$60,$AO18),rngPMStart,"&lt;="&amp;Calendar!I$11,rngPMEnd,"&gt;="&amp;Calendar!I$11))</ns0:f>
        <ns0:v>0</ns0:v>
      </ns0:c>
      <ns0:c r="BO18" s="0">
        <ns0:f>IF(OR($AO18=0,$B$5&lt;&gt;"OK",$B$6&gt;0,Calendar!J$11=""),0,SUMIFS(rngEngine_U,rngEngine_B,INDEX(Team!$A$11:$A$60,$AO18),rngAMStart,"&lt;="&amp;Calendar!J$11,rngAMEnd,"&gt;="&amp;Calendar!J$11))</ns0:f>
        <ns0:v>0</ns0:v>
      </ns0:c>
      <ns0:c r="BP18" s="0">
        <ns0:f>IF(OR($AO18=0,$B$5&lt;&gt;"OK",$B$6&gt;0,Calendar!J$11=""),0,SUMIFS(rngEngine_V,rngEngine_B,INDEX(Team!$A$11:$A$60,$AO18),rngPMStart,"&lt;="&amp;Calendar!J$11,rngPMEnd,"&gt;="&amp;Calendar!J$11))</ns0:f>
        <ns0:v>0</ns0:v>
      </ns0:c>
      <ns0:c r="BQ18" s="0">
        <ns0:f>IF(OR($AO18=0,$B$5&lt;&gt;"OK",$B$6&gt;0,Calendar!K$11=""),0,SUMIFS(rngEngine_U,rngEngine_B,INDEX(Team!$A$11:$A$60,$AO18),rngAMStart,"&lt;="&amp;Calendar!K$11,rngAMEnd,"&gt;="&amp;Calendar!K$11))</ns0:f>
        <ns0:v>0</ns0:v>
      </ns0:c>
      <ns0:c r="BR18" s="0">
        <ns0:f>IF(OR($AO18=0,$B$5&lt;&gt;"OK",$B$6&gt;0,Calendar!K$11=""),0,SUMIFS(rngEngine_V,rngEngine_B,INDEX(Team!$A$11:$A$60,$AO18),rngPMStart,"&lt;="&amp;Calendar!K$11,rngPMEnd,"&gt;="&amp;Calendar!K$11))</ns0:f>
        <ns0:v>0</ns0:v>
      </ns0:c>
      <ns0:c r="BS18" s="0">
        <ns0:f>IF(OR($AO18=0,$B$5&lt;&gt;"OK",$B$6&gt;0,Calendar!L$11=""),0,SUMIFS(rngEngine_U,rngEngine_B,INDEX(Team!$A$11:$A$60,$AO18),rngAMStart,"&lt;="&amp;Calendar!L$11,rngAMEnd,"&gt;="&amp;Calendar!L$11))</ns0:f>
        <ns0:v>0</ns0:v>
      </ns0:c>
      <ns0:c r="BT18" s="0">
        <ns0:f>IF(OR($AO18=0,$B$5&lt;&gt;"OK",$B$6&gt;0,Calendar!L$11=""),0,SUMIFS(rngEngine_V,rngEngine_B,INDEX(Team!$A$11:$A$60,$AO18),rngPMStart,"&lt;="&amp;Calendar!L$11,rngPMEnd,"&gt;="&amp;Calendar!L$11))</ns0:f>
        <ns0:v>0</ns0:v>
      </ns0:c>
      <ns0:c r="BU18" s="0">
        <ns0:f>IF(OR($AO18=0,$B$5&lt;&gt;"OK",$B$6&gt;0,Calendar!M$11=""),0,SUMIFS(rngEngine_U,rngEngine_B,INDEX(Team!$A$11:$A$60,$AO18),rngAMStart,"&lt;="&amp;Calendar!M$11,rngAMEnd,"&gt;="&amp;Calendar!M$11))</ns0:f>
        <ns0:v>0</ns0:v>
      </ns0:c>
      <ns0:c r="BV18" s="0">
        <ns0:f>IF(OR($AO18=0,$B$5&lt;&gt;"OK",$B$6&gt;0,Calendar!M$11=""),0,SUMIFS(rngEngine_V,rngEngine_B,INDEX(Team!$A$11:$A$60,$AO18),rngPMStart,"&lt;="&amp;Calendar!M$11,rngPMEnd,"&gt;="&amp;Calendar!M$11))</ns0:f>
        <ns0:v>0</ns0:v>
      </ns0:c>
      <ns0:c r="BW18" s="0">
        <ns0:f>IF(OR($AO18=0,$B$5&lt;&gt;"OK",$B$6&gt;0,Calendar!N$11=""),0,SUMIFS(rngEngine_U,rngEngine_B,INDEX(Team!$A$11:$A$60,$AO18),rngAMStart,"&lt;="&amp;Calendar!N$11,rngAMEnd,"&gt;="&amp;Calendar!N$11))</ns0:f>
        <ns0:v>0</ns0:v>
      </ns0:c>
      <ns0:c r="BX18" s="0">
        <ns0:f>IF(OR($AO18=0,$B$5&lt;&gt;"OK",$B$6&gt;0,Calendar!N$11=""),0,SUMIFS(rngEngine_V,rngEngine_B,INDEX(Team!$A$11:$A$60,$AO18),rngPMStart,"&lt;="&amp;Calendar!N$11,rngPMEnd,"&gt;="&amp;Calendar!N$11))</ns0:f>
        <ns0:v>0</ns0:v>
      </ns0:c>
      <ns0:c r="BY18" s="0">
        <ns0:f>IF(OR($AO18=0,$B$5&lt;&gt;"OK",$B$6&gt;0,Calendar!O$11=""),0,SUMIFS(rngEngine_U,rngEngine_B,INDEX(Team!$A$11:$A$60,$AO18),rngAMStart,"&lt;="&amp;Calendar!O$11,rngAMEnd,"&gt;="&amp;Calendar!O$11))</ns0:f>
        <ns0:v>0</ns0:v>
      </ns0:c>
      <ns0:c r="BZ18" s="0">
        <ns0:f>IF(OR($AO18=0,$B$5&lt;&gt;"OK",$B$6&gt;0,Calendar!O$11=""),0,SUMIFS(rngEngine_V,rngEngine_B,INDEX(Team!$A$11:$A$60,$AO18),rngPMStart,"&lt;="&amp;Calendar!O$11,rngPMEnd,"&gt;="&amp;Calendar!O$11))</ns0:f>
        <ns0:v>0</ns0:v>
      </ns0:c>
      <ns0:c r="CA18" s="0">
        <ns0:f>IF(OR($AO18=0,$B$5&lt;&gt;"OK",$B$6&gt;0,Calendar!P$11=""),0,SUMIFS(rngEngine_U,rngEngine_B,INDEX(Team!$A$11:$A$60,$AO18),rngAMStart,"&lt;="&amp;Calendar!P$11,rngAMEnd,"&gt;="&amp;Calendar!P$11))</ns0:f>
        <ns0:v>0</ns0:v>
      </ns0:c>
      <ns0:c r="CB18" s="0">
        <ns0:f>IF(OR($AO18=0,$B$5&lt;&gt;"OK",$B$6&gt;0,Calendar!P$11=""),0,SUMIFS(rngEngine_V,rngEngine_B,INDEX(Team!$A$11:$A$60,$AO18),rngPMStart,"&lt;="&amp;Calendar!P$11,rngPMEnd,"&gt;="&amp;Calendar!P$11))</ns0:f>
        <ns0:v>0</ns0:v>
      </ns0:c>
      <ns0:c r="CC18" s="0">
        <ns0:f>IF(OR($AO18=0,$B$5&lt;&gt;"OK",$B$6&gt;0,Calendar!Q$11=""),0,SUMIFS(rngEngine_U,rngEngine_B,INDEX(Team!$A$11:$A$60,$AO18),rngAMStart,"&lt;="&amp;Calendar!Q$11,rngAMEnd,"&gt;="&amp;Calendar!Q$11))</ns0:f>
        <ns0:v>0</ns0:v>
      </ns0:c>
      <ns0:c r="CD18" s="0">
        <ns0:f>IF(OR($AO18=0,$B$5&lt;&gt;"OK",$B$6&gt;0,Calendar!Q$11=""),0,SUMIFS(rngEngine_V,rngEngine_B,INDEX(Team!$A$11:$A$60,$AO18),rngPMStart,"&lt;="&amp;Calendar!Q$11,rngPMEnd,"&gt;="&amp;Calendar!Q$11))</ns0:f>
        <ns0:v>0</ns0:v>
      </ns0:c>
      <ns0:c r="CE18" s="0">
        <ns0:f>IF(OR($AO18=0,$B$5&lt;&gt;"OK",$B$6&gt;0,Calendar!R$11=""),0,SUMIFS(rngEngine_U,rngEngine_B,INDEX(Team!$A$11:$A$60,$AO18),rngAMStart,"&lt;="&amp;Calendar!R$11,rngAMEnd,"&gt;="&amp;Calendar!R$11))</ns0:f>
        <ns0:v>0</ns0:v>
      </ns0:c>
      <ns0:c r="CF18" s="0">
        <ns0:f>IF(OR($AO18=0,$B$5&lt;&gt;"OK",$B$6&gt;0,Calendar!R$11=""),0,SUMIFS(rngEngine_V,rngEngine_B,INDEX(Team!$A$11:$A$60,$AO18),rngPMStart,"&lt;="&amp;Calendar!R$11,rngPMEnd,"&gt;="&amp;Calendar!R$11))</ns0:f>
        <ns0:v>0</ns0:v>
      </ns0:c>
      <ns0:c r="CG18" s="0">
        <ns0:f>IF(OR($AO18=0,$B$5&lt;&gt;"OK",$B$6&gt;0,Calendar!S$11=""),0,SUMIFS(rngEngine_U,rngEngine_B,INDEX(Team!$A$11:$A$60,$AO18),rngAMStart,"&lt;="&amp;Calendar!S$11,rngAMEnd,"&gt;="&amp;Calendar!S$11))</ns0:f>
        <ns0:v>0</ns0:v>
      </ns0:c>
      <ns0:c r="CH18" s="0">
        <ns0:f>IF(OR($AO18=0,$B$5&lt;&gt;"OK",$B$6&gt;0,Calendar!S$11=""),0,SUMIFS(rngEngine_V,rngEngine_B,INDEX(Team!$A$11:$A$60,$AO18),rngPMStart,"&lt;="&amp;Calendar!S$11,rngPMEnd,"&gt;="&amp;Calendar!S$11))</ns0:f>
        <ns0:v>0</ns0:v>
      </ns0:c>
      <ns0:c r="CI18" s="0">
        <ns0:f>IF(OR($AO18=0,$B$5&lt;&gt;"OK",$B$6&gt;0,Calendar!T$11=""),0,SUMIFS(rngEngine_U,rngEngine_B,INDEX(Team!$A$11:$A$60,$AO18),rngAMStart,"&lt;="&amp;Calendar!T$11,rngAMEnd,"&gt;="&amp;Calendar!T$11))</ns0:f>
        <ns0:v>0</ns0:v>
      </ns0:c>
      <ns0:c r="CJ18" s="0">
        <ns0:f>IF(OR($AO18=0,$B$5&lt;&gt;"OK",$B$6&gt;0,Calendar!T$11=""),0,SUMIFS(rngEngine_V,rngEngine_B,INDEX(Team!$A$11:$A$60,$AO18),rngPMStart,"&lt;="&amp;Calendar!T$11,rngPMEnd,"&gt;="&amp;Calendar!T$11))</ns0:f>
        <ns0:v>0</ns0:v>
      </ns0:c>
      <ns0:c r="CK18" s="0">
        <ns0:f>IF(OR($AO18=0,$B$5&lt;&gt;"OK",$B$6&gt;0,Calendar!U$11=""),0,SUMIFS(rngEngine_U,rngEngine_B,INDEX(Team!$A$11:$A$60,$AO18),rngAMStart,"&lt;="&amp;Calendar!U$11,rngAMEnd,"&gt;="&amp;Calendar!U$11))</ns0:f>
        <ns0:v>0</ns0:v>
      </ns0:c>
      <ns0:c r="CL18" s="0">
        <ns0:f>IF(OR($AO18=0,$B$5&lt;&gt;"OK",$B$6&gt;0,Calendar!U$11=""),0,SUMIFS(rngEngine_V,rngEngine_B,INDEX(Team!$A$11:$A$60,$AO18),rngPMStart,"&lt;="&amp;Calendar!U$11,rngPMEnd,"&gt;="&amp;Calendar!U$11))</ns0:f>
        <ns0:v>0</ns0:v>
      </ns0:c>
      <ns0:c r="CM18" s="0">
        <ns0:f>IF(OR($AO18=0,$B$5&lt;&gt;"OK",$B$6&gt;0,Calendar!V$11=""),0,SUMIFS(rngEngine_U,rngEngine_B,INDEX(Team!$A$11:$A$60,$AO18),rngAMStart,"&lt;="&amp;Calendar!V$11,rngAMEnd,"&gt;="&amp;Calendar!V$11))</ns0:f>
        <ns0:v>0</ns0:v>
      </ns0:c>
      <ns0:c r="CN18" s="0">
        <ns0:f>IF(OR($AO18=0,$B$5&lt;&gt;"OK",$B$6&gt;0,Calendar!V$11=""),0,SUMIFS(rngEngine_V,rngEngine_B,INDEX(Team!$A$11:$A$60,$AO18),rngPMStart,"&lt;="&amp;Calendar!V$11,rngPMEnd,"&gt;="&amp;Calendar!V$11))</ns0:f>
        <ns0:v>0</ns0:v>
      </ns0:c>
      <ns0:c r="CO18" s="0">
        <ns0:f>IF(OR($AO18=0,$B$5&lt;&gt;"OK",$B$6&gt;0,Calendar!W$11=""),0,SUMIFS(rngEngine_U,rngEngine_B,INDEX(Team!$A$11:$A$60,$AO18),rngAMStart,"&lt;="&amp;Calendar!W$11,rngAMEnd,"&gt;="&amp;Calendar!W$11))</ns0:f>
        <ns0:v>0</ns0:v>
      </ns0:c>
      <ns0:c r="CP18" s="0">
        <ns0:f>IF(OR($AO18=0,$B$5&lt;&gt;"OK",$B$6&gt;0,Calendar!W$11=""),0,SUMIFS(rngEngine_V,rngEngine_B,INDEX(Team!$A$11:$A$60,$AO18),rngPMStart,"&lt;="&amp;Calendar!W$11,rngPMEnd,"&gt;="&amp;Calendar!W$11))</ns0:f>
        <ns0:v>0</ns0:v>
      </ns0:c>
      <ns0:c r="CQ18" s="0">
        <ns0:f>IF(OR($AO18=0,$B$5&lt;&gt;"OK",$B$6&gt;0,Calendar!X$11=""),0,SUMIFS(rngEngine_U,rngEngine_B,INDEX(Team!$A$11:$A$60,$AO18),rngAMStart,"&lt;="&amp;Calendar!X$11,rngAMEnd,"&gt;="&amp;Calendar!X$11))</ns0:f>
        <ns0:v>0</ns0:v>
      </ns0:c>
      <ns0:c r="CR18" s="0">
        <ns0:f>IF(OR($AO18=0,$B$5&lt;&gt;"OK",$B$6&gt;0,Calendar!X$11=""),0,SUMIFS(rngEngine_V,rngEngine_B,INDEX(Team!$A$11:$A$60,$AO18),rngPMStart,"&lt;="&amp;Calendar!X$11,rngPMEnd,"&gt;="&amp;Calendar!X$11))</ns0:f>
        <ns0:v>0</ns0:v>
      </ns0:c>
      <ns0:c r="CS18" s="0">
        <ns0:f>IF(OR($AO18=0,$B$5&lt;&gt;"OK",$B$6&gt;0,Calendar!Y$11=""),0,SUMIFS(rngEngine_U,rngEngine_B,INDEX(Team!$A$11:$A$60,$AO18),rngAMStart,"&lt;="&amp;Calendar!Y$11,rngAMEnd,"&gt;="&amp;Calendar!Y$11))</ns0:f>
        <ns0:v>0</ns0:v>
      </ns0:c>
      <ns0:c r="CT18" s="0">
        <ns0:f>IF(OR($AO18=0,$B$5&lt;&gt;"OK",$B$6&gt;0,Calendar!Y$11=""),0,SUMIFS(rngEngine_V,rngEngine_B,INDEX(Team!$A$11:$A$60,$AO18),rngPMStart,"&lt;="&amp;Calendar!Y$11,rngPMEnd,"&gt;="&amp;Calendar!Y$11))</ns0:f>
        <ns0:v>0</ns0:v>
      </ns0:c>
      <ns0:c r="CU18" s="0">
        <ns0:f>IF(OR($AO18=0,$B$5&lt;&gt;"OK",$B$6&gt;0,Calendar!Z$11=""),0,SUMIFS(rngEngine_U,rngEngine_B,INDEX(Team!$A$11:$A$60,$AO18),rngAMStart,"&lt;="&amp;Calendar!Z$11,rngAMEnd,"&gt;="&amp;Calendar!Z$11))</ns0:f>
        <ns0:v>0</ns0:v>
      </ns0:c>
      <ns0:c r="CV18" s="0">
        <ns0:f>IF(OR($AO18=0,$B$5&lt;&gt;"OK",$B$6&gt;0,Calendar!Z$11=""),0,SUMIFS(rngEngine_V,rngEngine_B,INDEX(Team!$A$11:$A$60,$AO18),rngPMStart,"&lt;="&amp;Calendar!Z$11,rngPMEnd,"&gt;="&amp;Calendar!Z$11))</ns0:f>
        <ns0:v>0</ns0:v>
      </ns0:c>
      <ns0:c r="CW18" s="0">
        <ns0:f>IF(OR($AO18=0,$B$5&lt;&gt;"OK",$B$6&gt;0,Calendar!AA$11=""),0,SUMIFS(rngEngine_U,rngEngine_B,INDEX(Team!$A$11:$A$60,$AO18),rngAMStart,"&lt;="&amp;Calendar!AA$11,rngAMEnd,"&gt;="&amp;Calendar!AA$11))</ns0:f>
        <ns0:v>0</ns0:v>
      </ns0:c>
      <ns0:c r="CX18" s="0">
        <ns0:f>IF(OR($AO18=0,$B$5&lt;&gt;"OK",$B$6&gt;0,Calendar!AA$11=""),0,SUMIFS(rngEngine_V,rngEngine_B,INDEX(Team!$A$11:$A$60,$AO18),rngPMStart,"&lt;="&amp;Calendar!AA$11,rngPMEnd,"&gt;="&amp;Calendar!AA$11))</ns0:f>
        <ns0:v>0</ns0:v>
      </ns0:c>
      <ns0:c r="CY18" s="0">
        <ns0:f>IF(OR($AO18=0,$B$5&lt;&gt;"OK",$B$6&gt;0,Calendar!AB$11=""),0,SUMIFS(rngEngine_U,rngEngine_B,INDEX(Team!$A$11:$A$60,$AO18),rngAMStart,"&lt;="&amp;Calendar!AB$11,rngAMEnd,"&gt;="&amp;Calendar!AB$11))</ns0:f>
        <ns0:v>0</ns0:v>
      </ns0:c>
      <ns0:c r="CZ18" s="0">
        <ns0:f>IF(OR($AO18=0,$B$5&lt;&gt;"OK",$B$6&gt;0,Calendar!AB$11=""),0,SUMIFS(rngEngine_V,rngEngine_B,INDEX(Team!$A$11:$A$60,$AO18),rngPMStart,"&lt;="&amp;Calendar!AB$11,rngPMEnd,"&gt;="&amp;Calendar!AB$11))</ns0:f>
        <ns0:v>0</ns0:v>
      </ns0:c>
      <ns0:c r="DA18" s="0">
        <ns0:f>IF(OR($AO18=0,$B$5&lt;&gt;"OK",$B$6&gt;0,Calendar!AC$11=""),0,SUMIFS(rngEngine_U,rngEngine_B,INDEX(Team!$A$11:$A$60,$AO18),rngAMStart,"&lt;="&amp;Calendar!AC$11,rngAMEnd,"&gt;="&amp;Calendar!AC$11))</ns0:f>
        <ns0:v>0</ns0:v>
      </ns0:c>
      <ns0:c r="DB18" s="0">
        <ns0:f>IF(OR($AO18=0,$B$5&lt;&gt;"OK",$B$6&gt;0,Calendar!AC$11=""),0,SUMIFS(rngEngine_V,rngEngine_B,INDEX(Team!$A$11:$A$60,$AO18),rngPMStart,"&lt;="&amp;Calendar!AC$11,rngPMEnd,"&gt;="&amp;Calendar!AC$11))</ns0:f>
        <ns0:v>0</ns0:v>
      </ns0:c>
      <ns0:c r="DC18" s="0">
        <ns0:f>IF(OR($AO18=0,$B$5&lt;&gt;"OK",$B$6&gt;0,Calendar!AD$11=""),0,SUMIFS(rngEngine_U,rngEngine_B,INDEX(Team!$A$11:$A$60,$AO18),rngAMStart,"&lt;="&amp;Calendar!AD$11,rngAMEnd,"&gt;="&amp;Calendar!AD$11))</ns0:f>
        <ns0:v>0</ns0:v>
      </ns0:c>
      <ns0:c r="DD18" s="0">
        <ns0:f>IF(OR($AO18=0,$B$5&lt;&gt;"OK",$B$6&gt;0,Calendar!AD$11=""),0,SUMIFS(rngEngine_V,rngEngine_B,INDEX(Team!$A$11:$A$60,$AO18),rngPMStart,"&lt;="&amp;Calendar!AD$11,rngPMEnd,"&gt;="&amp;Calendar!AD$11))</ns0:f>
        <ns0:v>0</ns0:v>
      </ns0:c>
      <ns0:c r="DE18" s="0">
        <ns0:f>IF(OR($AO18=0,$B$5&lt;&gt;"OK",$B$6&gt;0,Calendar!AE$11=""),0,SUMIFS(rngEngine_U,rngEngine_B,INDEX(Team!$A$11:$A$60,$AO18),rngAMStart,"&lt;="&amp;Calendar!AE$11,rngAMEnd,"&gt;="&amp;Calendar!AE$11))</ns0:f>
        <ns0:v>0</ns0:v>
      </ns0:c>
      <ns0:c r="DF18" s="0">
        <ns0:f>IF(OR($AO18=0,$B$5&lt;&gt;"OK",$B$6&gt;0,Calendar!AE$11=""),0,SUMIFS(rngEngine_V,rngEngine_B,INDEX(Team!$A$11:$A$60,$AO18),rngPMStart,"&lt;="&amp;Calendar!AE$11,rngPMEnd,"&gt;="&amp;Calendar!AE$11))</ns0:f>
        <ns0:v>0</ns0:v>
      </ns0:c>
      <ns0:c r="DG18" s="0">
        <ns0:f>IF(OR($AO18=0,$B$5&lt;&gt;"OK",$B$6&gt;0,Calendar!AF$11=""),0,SUMIFS(rngEngine_U,rngEngine_B,INDEX(Team!$A$11:$A$60,$AO18),rngAMStart,"&lt;="&amp;Calendar!AF$11,rngAMEnd,"&gt;="&amp;Calendar!AF$11))</ns0:f>
        <ns0:v>0</ns0:v>
      </ns0:c>
      <ns0:c r="DH18" s="0">
        <ns0:f>IF(OR($AO18=0,$B$5&lt;&gt;"OK",$B$6&gt;0,Calendar!AF$11=""),0,SUMIFS(rngEngine_V,rngEngine_B,INDEX(Team!$A$11:$A$60,$AO18),rngPMStart,"&lt;="&amp;Calendar!AF$11,rngPMEnd,"&gt;="&amp;Calendar!AF$11))</ns0:f>
        <ns0:v>0</ns0:v>
      </ns0:c>
      <ns0:c r="DI18" s="0">
        <ns0:f>IF(OR($AO18=0,$B$5&lt;&gt;"OK",$B$6&gt;0,Calendar!AG$11=""),0,SUMIFS(rngEngine_U,rngEngine_B,INDEX(Team!$A$11:$A$60,$AO18),rngAMStart,"&lt;="&amp;Calendar!AG$11,rngAMEnd,"&gt;="&amp;Calendar!AG$11))</ns0:f>
        <ns0:v>0</ns0:v>
      </ns0:c>
      <ns0:c r="DJ18" s="0">
        <ns0:f>IF(OR($AO18=0,$B$5&lt;&gt;"OK",$B$6&gt;0,Calendar!AG$11=""),0,SUMIFS(rngEngine_V,rngEngine_B,INDEX(Team!$A$11:$A$60,$AO18),rngPMStart,"&lt;="&amp;Calendar!AG$11,rngPMEnd,"&gt;="&amp;Calendar!AG$11))</ns0:f>
        <ns0:v>0</ns0:v>
      </ns0:c>
      <ns0:c r="DK18" s="0">
        <ns0:f>IF(OR($AO18=0,$B$5&lt;&gt;"OK",$B$6&gt;0,Calendar!AH$11=""),0,SUMIFS(rngEngine_U,rngEngine_B,INDEX(Team!$A$11:$A$60,$AO18),rngAMStart,"&lt;="&amp;Calendar!AH$11,rngAMEnd,"&gt;="&amp;Calendar!AH$11))</ns0:f>
        <ns0:v>0</ns0:v>
      </ns0:c>
      <ns0:c r="DL18" s="0">
        <ns0:f>IF(OR($AO18=0,$B$5&lt;&gt;"OK",$B$6&gt;0,Calendar!AH$11=""),0,SUMIFS(rngEngine_V,rngEngine_B,INDEX(Team!$A$11:$A$60,$AO18),rngPMStart,"&lt;="&amp;Calendar!AH$11,rngPMEnd,"&gt;="&amp;Calendar!AH$11))</ns0:f>
        <ns0:v>0</ns0:v>
      </ns0:c>
    </ns0:row>
    <ns0:row r="19" ht="22" customHeight="1">
      <ns0:c r="A19" s="4">
        <ns0:f>IF(COUNTA(Bookings!A19:G19,Bookings!I19)=0,0,1)</ns0:f>
        <ns0:v>1</ns0:v>
      </ns0:c>
      <ns0:c r="B19" s="4" t="str">
        <ns0:f>IFERROR(TRIM(MID(Bookings!A19,FIND(" · ",Bookings!A19)+3,99)),"")</ns0:f>
        <ns0:v>EMP004</ns0:v>
      </ns0:c>
      <ns0:c r="C19" s="4">
        <ns0:f>IF(OR(B19="",LEN(B19)&gt;24,ISNUMBER(FIND(" ",B19)),ISNUMBER(FIND("*",B19)),ISNUMBER(FIND("?",B19)),ISNUMBER(FIND("~",B19))),0,IFERROR(MATCH(B19,Team!$A$11:$A$60,0),0))</ns0:f>
        <ns0:v>4</ns0:v>
      </ns0:c>
      <ns0:c r="D19" s="4" t="str">
        <ns0:f>IFERROR(IF(MID(Bookings!F19,LEN(Bookings!F19)-3,3)=" · ",RIGHT(Bookings!F19,1),""),"")</ns0:f>
        <ns0:v>S</ns0:v>
      </ns0:c>
      <ns0:c r="E19" s="4" t="str">
        <ns0:f>IFERROR(INDEX(Settings!$H$7:$H$11,MATCH(D19,Settings!$G$7:$G$11,0)),"")</ns0:f>
        <ns0:v>No</ns0:v>
      </ns0:c>
      <ns0:c r="F19" s="4" t="str">
        <ns0:f>IF(A19=0,"",IFERROR(IF(OR(B19="",C19=0),"CHECK employee selection",IF(INDEX(Team!$O$11:$O$60,C19)&lt;&gt;"OK","CHECK employee setup",IF(OR('_Dates'!J19=0,'_Dates'!T19=0),"CHECK date: use DD.MM.YYYY",IF('_Dates'!T19&lt;'_Dates'!J19,"CHECK end before start",IF(AND($B$6=0,OR('_Dates'!J19&lt;Settings!$B$7,'_Dates'!T19&gt;Settings!$B$8)),"CHECK split across leave years",IF(OR(NOT(OR('_Dates'!U19="Full day",'_Dates'!U19="AM",'_Dates'!U19="PM")),NOT(OR('_Dates'!V19="Full day",'_Dates'!V19="AM",'_Dates'!V19="PM"))),"CHECK Full day / AM / PM",IF(AND('_Dates'!J19='_Dates'!T19,'_Dates'!U19&lt;&gt;"Full day",'_Dates'!V19&lt;&gt;"Full day",'_Dates'!U19&lt;&gt;'_Dates'!V19),"CHECK same-day portions disagree",IF(AND($B$6=0,OR(AND('_Dates'!U19&lt;&gt;"Full day",'_Dates'!AA19=0),AND('_Dates'!V19&lt;&gt;"Full day",'_Dates'!AB19=0))),"CHECK half-day on non-working date",IF(COUNTIF(Settings!$G$7:$G$11,D19)&lt;&gt;1,"CHECK leave type",IF(AND(Bookings!G19&lt;&gt;"Approved",Bookings!G19&lt;&gt;"Pending",Bookings!G19&lt;&gt;"Cancelled"),"CHECK status","OK")))))))))),"CHECK input"))</ns0:f>
        <ns0:v>OK</ns0:v>
      </ns0:c>
      <ns0:c r="G19" s="4">
        <ns0:f>IF(OR(F19&lt;&gt;"OK",$B$6&gt;0),0,0.5*(IF(('_Dates'!X19)&lt;('_Dates'!W19),0,INT((('_Dates'!X19)-('_Dates'!W19)+1)/7)*LEN(SUBSTITUTE(W19,"O",""))+LEN(SUBSTITUTE(MID(W19&amp;W19,WEEKDAY(('_Dates'!W19),2),MOD((('_Dates'!X19)-('_Dates'!W19)+1),7)),"O",""))-COUNTIFS(INDEX(AllClosureRows,C19,0),"&gt;="&amp;('_Dates'!W19),INDEX(AllClosureRows,C19,0),"&lt;="&amp;('_Dates'!X19)))+IF(('_Dates'!Z19)&lt;('_Dates'!Y19),0,INT((('_Dates'!Z19)-('_Dates'!Y19)+1)/7)*LEN(SUBSTITUTE(W19,"O",""))+LEN(SUBSTITUTE(MID(W19&amp;W19,WEEKDAY(('_Dates'!Y19),2),MOD((('_Dates'!Z19)-('_Dates'!Y19)+1),7)),"O",""))-COUNTIFS(INDEX(AllClosureRows,C19,0),"&gt;="&amp;('_Dates'!Y19),INDEX(AllClosureRows,C19,0),"&lt;="&amp;('_Dates'!Z19)))))</ns0:f>
        <ns0:v>0.5</ns0:v>
      </ns0:c>
      <ns0:c r="H19" s="4">
        <ns0:f>IF(OR(F19&lt;&gt;"OK",$B$6&gt;0),0,0.5*(IF((MIN('_Dates'!X19,Settings!$B$9))&lt;('_Dates'!W19),0,INT(((MIN('_Dates'!X19,Settings!$B$9))-('_Dates'!W19)+1)/7)*LEN(SUBSTITUTE(W19,"O",""))+LEN(SUBSTITUTE(MID(W19&amp;W19,WEEKDAY(('_Dates'!W19),2),MOD(((MIN('_Dates'!X19,Settings!$B$9))-('_Dates'!W19)+1),7)),"O",""))-COUNTIFS(INDEX(AllClosureRows,C19,0),"&gt;="&amp;('_Dates'!W19),INDEX(AllClosureRows,C19,0),"&lt;="&amp;(MIN('_Dates'!X19,Settings!$B$9))))+IF((MIN('_Dates'!Z19,Settings!$B$9))&lt;('_Dates'!Y19),0,INT(((MIN('_Dates'!Z19,Settings!$B$9))-('_Dates'!Y19)+1)/7)*LEN(SUBSTITUTE(W19,"O",""))+LEN(SUBSTITUTE(MID(W19&amp;W19,WEEKDAY(('_Dates'!Y19),2),MOD(((MIN('_Dates'!Z19,Settings!$B$9))-('_Dates'!Y19)+1),7)),"O",""))-COUNTIFS(INDEX(AllClosureRows,C19,0),"&gt;="&amp;('_Dates'!Y19),INDEX(AllClosureRows,C19,0),"&lt;="&amp;(MIN('_Dates'!Z19,Settings!$B$9))))))</ns0:f>
        <ns0:v>0.5</ns0:v>
      </ns0:c>
      <ns0:c r="I19" s="4">
        <ns0:f>MAX(0,G19-H19)</ns0:f>
        <ns0:v>0</ns0:v>
      </ns0:c>
      <ns0:c r="J19" s="4">
        <ns0:f>IF(OR(A19=0,F19&lt;&gt;"OK",Bookings!G19="Cancelled",$B$6&gt;0),0,IF('_Dates'!AC19=1,MAX(0,COUNTIFS(rngEngine_B,B19,rngAMStart,"&lt;="&amp;'_Dates'!X19,rngAMEnd,"&gt;="&amp;'_Dates'!W19,rngAMActive,1,rngEngine_F,"OK",rngBookings_F,"&lt;&gt;Cancelled")-1),0)+IF('_Dates'!AD19=1,MAX(0,COUNTIFS(rngEngine_B,B19,rngPMStart,"&lt;="&amp;'_Dates'!Z19,rngPMEnd,"&gt;="&amp;'_Dates'!Y19,rngPMActive,1,rngEngine_F,"OK",rngBookings_F,"&lt;&gt;Cancelled")-1),0))</ns0:f>
        <ns0:v>0</ns0:v>
      </ns0:c>
      <ns0:c r="K19" s="0" t="str">
        <ns0:f>IF(A19=0,"",IF(F19&lt;&gt;"OK",F19,IF(J19&gt;0,"CHECK overlapping entry",IF(AND($B$6=0,G19&lt;=0,Bookings!G19&lt;&gt;"Cancelled"),"CHECK no working days",IF(Bookings!G19="Cancelled","Cancelled","OK")))))</ns0:f>
        <ns0:v>OK</ns0:v>
      </ns0:c>
      <ns0:c r="L19" s="0">
        <ns0:f>IF(LEFT(K19,5)="CHECK",1,0)</ns0:f>
        <ns0:v>0</ns0:v>
      </ns0:c>
      <ns0:c r="M19" s="0">
        <ns0:f>IF(AND(L19=1,OR(C19=0,IFERROR(INDEX($X$11:$X$60,C19),0)=0)),1,0)</ns0:f>
        <ns0:v>0</ns0:v>
      </ns0:c>
      <ns0:c r="N19" s="0">
        <ns0:f>IF(OR(A19=0,L19&gt;0,$B$6&gt;0,Bookings!G19="Cancelled"),0,G19)</ns0:f>
        <ns0:v>0.5</ns0:v>
      </ns0:c>
      <ns0:c r="O19" s="0">
        <ns0:f>IF(AND(Bookings!G19="Approved",E19="Yes"),N19,0)</ns0:f>
        <ns0:v>0</ns0:v>
      </ns0:c>
      <ns0:c r="P19" s="0">
        <ns0:f>IF(AND(Bookings!G19="Approved",E19="Yes",L19=0,$B$6=0),H19,0)</ns0:f>
        <ns0:v>0</ns0:v>
      </ns0:c>
      <ns0:c r="Q19" s="0">
        <ns0:f>IF(AND(Bookings!G19="Approved",E19="Yes",L19=0,$B$6=0),I19,0)</ns0:f>
        <ns0:v>0</ns0:v>
      </ns0:c>
      <ns0:c r="R19" s="0">
        <ns0:f>IF(AND(Bookings!G19="Pending",E19="Yes"),N19,0)</ns0:f>
        <ns0:v>0</ns0:v>
      </ns0:c>
      <ns0:c r="S19" s="0">
        <ns0:f>IF(AND(Bookings!G19="Approved",E19="No"),N19,0)</ns0:f>
        <ns0:v>0.5</ns0:v>
      </ns0:c>
      <ns0:c r="T19" s="0">
        <ns0:f>IFERROR(MATCH(D19,Settings!$G$7:$G$11,0),0)</ns0:f>
        <ns0:v>2</ns0:v>
      </ns0:c>
      <ns0:c r="U19" s="0">
        <ns0:f>IF(N19&gt;0,T19+IF(Bookings!G19="Pending",10,0),0)</ns0:f>
        <ns0:v>2</ns0:v>
      </ns0:c>
      <ns0:c r="V19" s="0">
        <ns0:f>U19</ns0:f>
        <ns0:v>2</ns0:v>
      </ns0:c>
      <ns0:c r="W19" s="0" t="str">
        <ns0:f>IF(C19=0,"",INDEX($AP$11:$AP$60,C19))</ns0:f>
        <ns0:v>WWWWWOO</ns0:v>
      </ns0:c>
      <ns0:c r="X19" s="0">
        <ns0:f>IF(COUNTA(Team!B19:D19)=0,0,1)</ns0:f>
        <ns0:v>0</ns0:v>
      </ns0:c>
      <ns0:c r="Y19" s="0" t="str">
        <ns0:f>IF(X19=0,"",IF(Team!B19="","[Unnamed]",Team!B19)&amp;" · "&amp;Team!A19)</ns0:f>
        <ns0:v/>
      </ns0:c>
      <ns0:c r="Z19" s="0">
        <ns0:f>IF(X19=0,0,COUNTIF(Team!H19:N19,"Work"))</ns0:f>
        <ns0:v>0</ns0:v>
      </ns0:c>
      <ns0:c r="AA19" s="0">
        <ns0:f>IF(LEFT(Team!O19,5)="CHECK",1,0)</ns0:f>
        <ns0:v>0</ns0:v>
      </ns0:c>
      <ns0:c r="AB19" s="0">
        <ns0:f>IF(X19=0,0,SUMIFS(rngEngine_L,rngEngine_B,Team!A19))</ns0:f>
        <ns0:v>0</ns0:v>
      </ns0:c>
      <ns0:c r="AC19" s="0" t="str">
        <ns0:f>IF(AND(X19=1,OR(Calendar!$C$7="All teams",Team!C19=Calendar!$C$7)),MAX($AC$10:AC18)+1,"")</ns0:f>
        <ns0:v/>
      </ns0:c>
      <ns0:c r="AD19" s="0" t="str">
        <ns0:f>IF(OR(X19=0,Team!C19="",COUNTIF(Team!$C$11:C19,Team!C19)&gt;1),"",MAX($AD$10:AD18)+1)</ns0:f>
        <ns0:v/>
      </ns0:c>
      <ns0:c r="AE19" s="0" t="str">
        <ns0:f>IFERROR(INDEX(Team!$C$11:$C$60,MATCH(ROW()-10,$AD$11:$AD$60,0)),"")</ns0:f>
        <ns0:v/>
      </ns0:c>
      <ns0:c r="AF19" s="0" t="str">
        <ns0:f>AE19</ns0:f>
        <ns0:v/>
      </ns0:c>
      <ns0:c r="AG19" s="0">
        <ns0:f>IF(X19=0,0,IFERROR(Team!F19+Team!G19,0))</ns0:f>
        <ns0:v>0</ns0:v>
      </ns0:c>
      <ns0:c r="AH19" s="0">
        <ns0:f>IF(X19=0,0,SUMIFS(rngEngine_P,rngEngine_B,Team!A19))</ns0:f>
        <ns0:v>0</ns0:v>
      </ns0:c>
      <ns0:c r="AI19" s="0">
        <ns0:f>IF(X19=0,0,SUMIFS(rngEngine_Q,rngEngine_B,Team!A19))</ns0:f>
        <ns0:v>0</ns0:v>
      </ns0:c>
      <ns0:c r="AJ19" s="0">
        <ns0:f>IF(X19=0,0,SUMIFS(rngEngine_R,rngEngine_B,Team!A19))</ns0:f>
        <ns0:v>0</ns0:v>
      </ns0:c>
      <ns0:c r="AK19" s="0">
        <ns0:f>IF(X19=0,0,SUMIFS(rngEngine_S,rngEngine_B,Team!A19))</ns0:f>
        <ns0:v>0</ns0:v>
      </ns0:c>
      <ns0:c r="AL19" s="0">
        <ns0:f>AH19+AI19</ns0:f>
        <ns0:v>0</ns0:v>
      </ns0:c>
      <ns0:c r="AM19" s="0" t="str">
        <ns0:f>IF(X19=0,"",IF(AA19&gt;0,"CHECK team setup",IF(AB19&gt;0,"CHECK "&amp;AB19&amp;" booking(s)","OK")))</ns0:f>
        <ns0:v/>
      </ns0:c>
      <ns0:c r="AN19" s="0" t="str">
        <ns0:f>IF(X19=0,"",IF(OR($B$6&gt;0,AM19&lt;&gt;"OK"),"REVIEW",AG19-AL19))</ns0:f>
        <ns0:v/>
      </ns0:c>
      <ns0:c r="AO19" s="0">
        <ns0:f>IFERROR(MATCH(ROW()-11,$AC$11:$AC$60,0),0)</ns0:f>
        <ns0:v>0</ns0:v>
      </ns0:c>
      <ns0:c r="AP19" s="0" t="str">
        <ns0:f>IF(Team!H19="Work","W","O")&amp;IF(Team!I19="Work","W","O")&amp;IF(Team!J19="Work","W","O")&amp;IF(Team!K19="Work","W","O")&amp;IF(Team!L19="Work","W","O")&amp;IF(Team!M19="Work","W","O")&amp;IF(Team!N19="Work","W","O")</ns0:f>
        <ns0:v>OOOOOOO</ns0:v>
      </ns0:c>
      <ns0:c r="AR19" s="0">
        <ns0:f>IFERROR(IF(ISNUMBER(Settings!F19),WEEKDAY(Settings!F19,2),0),0)</ns0:f>
        <ns0:v>0</ns0:v>
      </ns0:c>
      <ns0:c r="AS19" t="inlineStr">
        <ns0:is>
          <ns0:t>September</ns0:t>
        </ns0:is>
      </ns0:c>
      <ns0:c r="BC19" s="0">
        <ns0:f>IF(OR($AO19=0,$B$5&lt;&gt;"OK",$B$6&gt;0,Calendar!D$11=""),0,SUMIFS(rngEngine_U,rngEngine_B,INDEX(Team!$A$11:$A$60,$AO19),rngAMStart,"&lt;="&amp;Calendar!D$11,rngAMEnd,"&gt;="&amp;Calendar!D$11))</ns0:f>
        <ns0:v>0</ns0:v>
      </ns0:c>
      <ns0:c r="BD19" s="0">
        <ns0:f>IF(OR($AO19=0,$B$5&lt;&gt;"OK",$B$6&gt;0,Calendar!D$11=""),0,SUMIFS(rngEngine_V,rngEngine_B,INDEX(Team!$A$11:$A$60,$AO19),rngPMStart,"&lt;="&amp;Calendar!D$11,rngPMEnd,"&gt;="&amp;Calendar!D$11))</ns0:f>
        <ns0:v>0</ns0:v>
      </ns0:c>
      <ns0:c r="BE19" s="0">
        <ns0:f>IF(OR($AO19=0,$B$5&lt;&gt;"OK",$B$6&gt;0,Calendar!E$11=""),0,SUMIFS(rngEngine_U,rngEngine_B,INDEX(Team!$A$11:$A$60,$AO19),rngAMStart,"&lt;="&amp;Calendar!E$11,rngAMEnd,"&gt;="&amp;Calendar!E$11))</ns0:f>
        <ns0:v>0</ns0:v>
      </ns0:c>
      <ns0:c r="BF19" s="0">
        <ns0:f>IF(OR($AO19=0,$B$5&lt;&gt;"OK",$B$6&gt;0,Calendar!E$11=""),0,SUMIFS(rngEngine_V,rngEngine_B,INDEX(Team!$A$11:$A$60,$AO19),rngPMStart,"&lt;="&amp;Calendar!E$11,rngPMEnd,"&gt;="&amp;Calendar!E$11))</ns0:f>
        <ns0:v>0</ns0:v>
      </ns0:c>
      <ns0:c r="BG19" s="0">
        <ns0:f>IF(OR($AO19=0,$B$5&lt;&gt;"OK",$B$6&gt;0,Calendar!F$11=""),0,SUMIFS(rngEngine_U,rngEngine_B,INDEX(Team!$A$11:$A$60,$AO19),rngAMStart,"&lt;="&amp;Calendar!F$11,rngAMEnd,"&gt;="&amp;Calendar!F$11))</ns0:f>
        <ns0:v>0</ns0:v>
      </ns0:c>
      <ns0:c r="BH19" s="0">
        <ns0:f>IF(OR($AO19=0,$B$5&lt;&gt;"OK",$B$6&gt;0,Calendar!F$11=""),0,SUMIFS(rngEngine_V,rngEngine_B,INDEX(Team!$A$11:$A$60,$AO19),rngPMStart,"&lt;="&amp;Calendar!F$11,rngPMEnd,"&gt;="&amp;Calendar!F$11))</ns0:f>
        <ns0:v>0</ns0:v>
      </ns0:c>
      <ns0:c r="BI19" s="0">
        <ns0:f>IF(OR($AO19=0,$B$5&lt;&gt;"OK",$B$6&gt;0,Calendar!G$11=""),0,SUMIFS(rngEngine_U,rngEngine_B,INDEX(Team!$A$11:$A$60,$AO19),rngAMStart,"&lt;="&amp;Calendar!G$11,rngAMEnd,"&gt;="&amp;Calendar!G$11))</ns0:f>
        <ns0:v>0</ns0:v>
      </ns0:c>
      <ns0:c r="BJ19" s="0">
        <ns0:f>IF(OR($AO19=0,$B$5&lt;&gt;"OK",$B$6&gt;0,Calendar!G$11=""),0,SUMIFS(rngEngine_V,rngEngine_B,INDEX(Team!$A$11:$A$60,$AO19),rngPMStart,"&lt;="&amp;Calendar!G$11,rngPMEnd,"&gt;="&amp;Calendar!G$11))</ns0:f>
        <ns0:v>0</ns0:v>
      </ns0:c>
      <ns0:c r="BK19" s="0">
        <ns0:f>IF(OR($AO19=0,$B$5&lt;&gt;"OK",$B$6&gt;0,Calendar!H$11=""),0,SUMIFS(rngEngine_U,rngEngine_B,INDEX(Team!$A$11:$A$60,$AO19),rngAMStart,"&lt;="&amp;Calendar!H$11,rngAMEnd,"&gt;="&amp;Calendar!H$11))</ns0:f>
        <ns0:v>0</ns0:v>
      </ns0:c>
      <ns0:c r="BL19" s="0">
        <ns0:f>IF(OR($AO19=0,$B$5&lt;&gt;"OK",$B$6&gt;0,Calendar!H$11=""),0,SUMIFS(rngEngine_V,rngEngine_B,INDEX(Team!$A$11:$A$60,$AO19),rngPMStart,"&lt;="&amp;Calendar!H$11,rngPMEnd,"&gt;="&amp;Calendar!H$11))</ns0:f>
        <ns0:v>0</ns0:v>
      </ns0:c>
      <ns0:c r="BM19" s="0">
        <ns0:f>IF(OR($AO19=0,$B$5&lt;&gt;"OK",$B$6&gt;0,Calendar!I$11=""),0,SUMIFS(rngEngine_U,rngEngine_B,INDEX(Team!$A$11:$A$60,$AO19),rngAMStart,"&lt;="&amp;Calendar!I$11,rngAMEnd,"&gt;="&amp;Calendar!I$11))</ns0:f>
        <ns0:v>0</ns0:v>
      </ns0:c>
      <ns0:c r="BN19" s="0">
        <ns0:f>IF(OR($AO19=0,$B$5&lt;&gt;"OK",$B$6&gt;0,Calendar!I$11=""),0,SUMIFS(rngEngine_V,rngEngine_B,INDEX(Team!$A$11:$A$60,$AO19),rngPMStart,"&lt;="&amp;Calendar!I$11,rngPMEnd,"&gt;="&amp;Calendar!I$11))</ns0:f>
        <ns0:v>0</ns0:v>
      </ns0:c>
      <ns0:c r="BO19" s="0">
        <ns0:f>IF(OR($AO19=0,$B$5&lt;&gt;"OK",$B$6&gt;0,Calendar!J$11=""),0,SUMIFS(rngEngine_U,rngEngine_B,INDEX(Team!$A$11:$A$60,$AO19),rngAMStart,"&lt;="&amp;Calendar!J$11,rngAMEnd,"&gt;="&amp;Calendar!J$11))</ns0:f>
        <ns0:v>0</ns0:v>
      </ns0:c>
      <ns0:c r="BP19" s="0">
        <ns0:f>IF(OR($AO19=0,$B$5&lt;&gt;"OK",$B$6&gt;0,Calendar!J$11=""),0,SUMIFS(rngEngine_V,rngEngine_B,INDEX(Team!$A$11:$A$60,$AO19),rngPMStart,"&lt;="&amp;Calendar!J$11,rngPMEnd,"&gt;="&amp;Calendar!J$11))</ns0:f>
        <ns0:v>0</ns0:v>
      </ns0:c>
      <ns0:c r="BQ19" s="0">
        <ns0:f>IF(OR($AO19=0,$B$5&lt;&gt;"OK",$B$6&gt;0,Calendar!K$11=""),0,SUMIFS(rngEngine_U,rngEngine_B,INDEX(Team!$A$11:$A$60,$AO19),rngAMStart,"&lt;="&amp;Calendar!K$11,rngAMEnd,"&gt;="&amp;Calendar!K$11))</ns0:f>
        <ns0:v>0</ns0:v>
      </ns0:c>
      <ns0:c r="BR19" s="0">
        <ns0:f>IF(OR($AO19=0,$B$5&lt;&gt;"OK",$B$6&gt;0,Calendar!K$11=""),0,SUMIFS(rngEngine_V,rngEngine_B,INDEX(Team!$A$11:$A$60,$AO19),rngPMStart,"&lt;="&amp;Calendar!K$11,rngPMEnd,"&gt;="&amp;Calendar!K$11))</ns0:f>
        <ns0:v>0</ns0:v>
      </ns0:c>
      <ns0:c r="BS19" s="0">
        <ns0:f>IF(OR($AO19=0,$B$5&lt;&gt;"OK",$B$6&gt;0,Calendar!L$11=""),0,SUMIFS(rngEngine_U,rngEngine_B,INDEX(Team!$A$11:$A$60,$AO19),rngAMStart,"&lt;="&amp;Calendar!L$11,rngAMEnd,"&gt;="&amp;Calendar!L$11))</ns0:f>
        <ns0:v>0</ns0:v>
      </ns0:c>
      <ns0:c r="BT19" s="0">
        <ns0:f>IF(OR($AO19=0,$B$5&lt;&gt;"OK",$B$6&gt;0,Calendar!L$11=""),0,SUMIFS(rngEngine_V,rngEngine_B,INDEX(Team!$A$11:$A$60,$AO19),rngPMStart,"&lt;="&amp;Calendar!L$11,rngPMEnd,"&gt;="&amp;Calendar!L$11))</ns0:f>
        <ns0:v>0</ns0:v>
      </ns0:c>
      <ns0:c r="BU19" s="0">
        <ns0:f>IF(OR($AO19=0,$B$5&lt;&gt;"OK",$B$6&gt;0,Calendar!M$11=""),0,SUMIFS(rngEngine_U,rngEngine_B,INDEX(Team!$A$11:$A$60,$AO19),rngAMStart,"&lt;="&amp;Calendar!M$11,rngAMEnd,"&gt;="&amp;Calendar!M$11))</ns0:f>
        <ns0:v>0</ns0:v>
      </ns0:c>
      <ns0:c r="BV19" s="0">
        <ns0:f>IF(OR($AO19=0,$B$5&lt;&gt;"OK",$B$6&gt;0,Calendar!M$11=""),0,SUMIFS(rngEngine_V,rngEngine_B,INDEX(Team!$A$11:$A$60,$AO19),rngPMStart,"&lt;="&amp;Calendar!M$11,rngPMEnd,"&gt;="&amp;Calendar!M$11))</ns0:f>
        <ns0:v>0</ns0:v>
      </ns0:c>
      <ns0:c r="BW19" s="0">
        <ns0:f>IF(OR($AO19=0,$B$5&lt;&gt;"OK",$B$6&gt;0,Calendar!N$11=""),0,SUMIFS(rngEngine_U,rngEngine_B,INDEX(Team!$A$11:$A$60,$AO19),rngAMStart,"&lt;="&amp;Calendar!N$11,rngAMEnd,"&gt;="&amp;Calendar!N$11))</ns0:f>
        <ns0:v>0</ns0:v>
      </ns0:c>
      <ns0:c r="BX19" s="0">
        <ns0:f>IF(OR($AO19=0,$B$5&lt;&gt;"OK",$B$6&gt;0,Calendar!N$11=""),0,SUMIFS(rngEngine_V,rngEngine_B,INDEX(Team!$A$11:$A$60,$AO19),rngPMStart,"&lt;="&amp;Calendar!N$11,rngPMEnd,"&gt;="&amp;Calendar!N$11))</ns0:f>
        <ns0:v>0</ns0:v>
      </ns0:c>
      <ns0:c r="BY19" s="0">
        <ns0:f>IF(OR($AO19=0,$B$5&lt;&gt;"OK",$B$6&gt;0,Calendar!O$11=""),0,SUMIFS(rngEngine_U,rngEngine_B,INDEX(Team!$A$11:$A$60,$AO19),rngAMStart,"&lt;="&amp;Calendar!O$11,rngAMEnd,"&gt;="&amp;Calendar!O$11))</ns0:f>
        <ns0:v>0</ns0:v>
      </ns0:c>
      <ns0:c r="BZ19" s="0">
        <ns0:f>IF(OR($AO19=0,$B$5&lt;&gt;"OK",$B$6&gt;0,Calendar!O$11=""),0,SUMIFS(rngEngine_V,rngEngine_B,INDEX(Team!$A$11:$A$60,$AO19),rngPMStart,"&lt;="&amp;Calendar!O$11,rngPMEnd,"&gt;="&amp;Calendar!O$11))</ns0:f>
        <ns0:v>0</ns0:v>
      </ns0:c>
      <ns0:c r="CA19" s="0">
        <ns0:f>IF(OR($AO19=0,$B$5&lt;&gt;"OK",$B$6&gt;0,Calendar!P$11=""),0,SUMIFS(rngEngine_U,rngEngine_B,INDEX(Team!$A$11:$A$60,$AO19),rngAMStart,"&lt;="&amp;Calendar!P$11,rngAMEnd,"&gt;="&amp;Calendar!P$11))</ns0:f>
        <ns0:v>0</ns0:v>
      </ns0:c>
      <ns0:c r="CB19" s="0">
        <ns0:f>IF(OR($AO19=0,$B$5&lt;&gt;"OK",$B$6&gt;0,Calendar!P$11=""),0,SUMIFS(rngEngine_V,rngEngine_B,INDEX(Team!$A$11:$A$60,$AO19),rngPMStart,"&lt;="&amp;Calendar!P$11,rngPMEnd,"&gt;="&amp;Calendar!P$11))</ns0:f>
        <ns0:v>0</ns0:v>
      </ns0:c>
      <ns0:c r="CC19" s="0">
        <ns0:f>IF(OR($AO19=0,$B$5&lt;&gt;"OK",$B$6&gt;0,Calendar!Q$11=""),0,SUMIFS(rngEngine_U,rngEngine_B,INDEX(Team!$A$11:$A$60,$AO19),rngAMStart,"&lt;="&amp;Calendar!Q$11,rngAMEnd,"&gt;="&amp;Calendar!Q$11))</ns0:f>
        <ns0:v>0</ns0:v>
      </ns0:c>
      <ns0:c r="CD19" s="0">
        <ns0:f>IF(OR($AO19=0,$B$5&lt;&gt;"OK",$B$6&gt;0,Calendar!Q$11=""),0,SUMIFS(rngEngine_V,rngEngine_B,INDEX(Team!$A$11:$A$60,$AO19),rngPMStart,"&lt;="&amp;Calendar!Q$11,rngPMEnd,"&gt;="&amp;Calendar!Q$11))</ns0:f>
        <ns0:v>0</ns0:v>
      </ns0:c>
      <ns0:c r="CE19" s="0">
        <ns0:f>IF(OR($AO19=0,$B$5&lt;&gt;"OK",$B$6&gt;0,Calendar!R$11=""),0,SUMIFS(rngEngine_U,rngEngine_B,INDEX(Team!$A$11:$A$60,$AO19),rngAMStart,"&lt;="&amp;Calendar!R$11,rngAMEnd,"&gt;="&amp;Calendar!R$11))</ns0:f>
        <ns0:v>0</ns0:v>
      </ns0:c>
      <ns0:c r="CF19" s="0">
        <ns0:f>IF(OR($AO19=0,$B$5&lt;&gt;"OK",$B$6&gt;0,Calendar!R$11=""),0,SUMIFS(rngEngine_V,rngEngine_B,INDEX(Team!$A$11:$A$60,$AO19),rngPMStart,"&lt;="&amp;Calendar!R$11,rngPMEnd,"&gt;="&amp;Calendar!R$11))</ns0:f>
        <ns0:v>0</ns0:v>
      </ns0:c>
      <ns0:c r="CG19" s="0">
        <ns0:f>IF(OR($AO19=0,$B$5&lt;&gt;"OK",$B$6&gt;0,Calendar!S$11=""),0,SUMIFS(rngEngine_U,rngEngine_B,INDEX(Team!$A$11:$A$60,$AO19),rngAMStart,"&lt;="&amp;Calendar!S$11,rngAMEnd,"&gt;="&amp;Calendar!S$11))</ns0:f>
        <ns0:v>0</ns0:v>
      </ns0:c>
      <ns0:c r="CH19" s="0">
        <ns0:f>IF(OR($AO19=0,$B$5&lt;&gt;"OK",$B$6&gt;0,Calendar!S$11=""),0,SUMIFS(rngEngine_V,rngEngine_B,INDEX(Team!$A$11:$A$60,$AO19),rngPMStart,"&lt;="&amp;Calendar!S$11,rngPMEnd,"&gt;="&amp;Calendar!S$11))</ns0:f>
        <ns0:v>0</ns0:v>
      </ns0:c>
      <ns0:c r="CI19" s="0">
        <ns0:f>IF(OR($AO19=0,$B$5&lt;&gt;"OK",$B$6&gt;0,Calendar!T$11=""),0,SUMIFS(rngEngine_U,rngEngine_B,INDEX(Team!$A$11:$A$60,$AO19),rngAMStart,"&lt;="&amp;Calendar!T$11,rngAMEnd,"&gt;="&amp;Calendar!T$11))</ns0:f>
        <ns0:v>0</ns0:v>
      </ns0:c>
      <ns0:c r="CJ19" s="0">
        <ns0:f>IF(OR($AO19=0,$B$5&lt;&gt;"OK",$B$6&gt;0,Calendar!T$11=""),0,SUMIFS(rngEngine_V,rngEngine_B,INDEX(Team!$A$11:$A$60,$AO19),rngPMStart,"&lt;="&amp;Calendar!T$11,rngPMEnd,"&gt;="&amp;Calendar!T$11))</ns0:f>
        <ns0:v>0</ns0:v>
      </ns0:c>
      <ns0:c r="CK19" s="0">
        <ns0:f>IF(OR($AO19=0,$B$5&lt;&gt;"OK",$B$6&gt;0,Calendar!U$11=""),0,SUMIFS(rngEngine_U,rngEngine_B,INDEX(Team!$A$11:$A$60,$AO19),rngAMStart,"&lt;="&amp;Calendar!U$11,rngAMEnd,"&gt;="&amp;Calendar!U$11))</ns0:f>
        <ns0:v>0</ns0:v>
      </ns0:c>
      <ns0:c r="CL19" s="0">
        <ns0:f>IF(OR($AO19=0,$B$5&lt;&gt;"OK",$B$6&gt;0,Calendar!U$11=""),0,SUMIFS(rngEngine_V,rngEngine_B,INDEX(Team!$A$11:$A$60,$AO19),rngPMStart,"&lt;="&amp;Calendar!U$11,rngPMEnd,"&gt;="&amp;Calendar!U$11))</ns0:f>
        <ns0:v>0</ns0:v>
      </ns0:c>
      <ns0:c r="CM19" s="0">
        <ns0:f>IF(OR($AO19=0,$B$5&lt;&gt;"OK",$B$6&gt;0,Calendar!V$11=""),0,SUMIFS(rngEngine_U,rngEngine_B,INDEX(Team!$A$11:$A$60,$AO19),rngAMStart,"&lt;="&amp;Calendar!V$11,rngAMEnd,"&gt;="&amp;Calendar!V$11))</ns0:f>
        <ns0:v>0</ns0:v>
      </ns0:c>
      <ns0:c r="CN19" s="0">
        <ns0:f>IF(OR($AO19=0,$B$5&lt;&gt;"OK",$B$6&gt;0,Calendar!V$11=""),0,SUMIFS(rngEngine_V,rngEngine_B,INDEX(Team!$A$11:$A$60,$AO19),rngPMStart,"&lt;="&amp;Calendar!V$11,rngPMEnd,"&gt;="&amp;Calendar!V$11))</ns0:f>
        <ns0:v>0</ns0:v>
      </ns0:c>
      <ns0:c r="CO19" s="0">
        <ns0:f>IF(OR($AO19=0,$B$5&lt;&gt;"OK",$B$6&gt;0,Calendar!W$11=""),0,SUMIFS(rngEngine_U,rngEngine_B,INDEX(Team!$A$11:$A$60,$AO19),rngAMStart,"&lt;="&amp;Calendar!W$11,rngAMEnd,"&gt;="&amp;Calendar!W$11))</ns0:f>
        <ns0:v>0</ns0:v>
      </ns0:c>
      <ns0:c r="CP19" s="0">
        <ns0:f>IF(OR($AO19=0,$B$5&lt;&gt;"OK",$B$6&gt;0,Calendar!W$11=""),0,SUMIFS(rngEngine_V,rngEngine_B,INDEX(Team!$A$11:$A$60,$AO19),rngPMStart,"&lt;="&amp;Calendar!W$11,rngPMEnd,"&gt;="&amp;Calendar!W$11))</ns0:f>
        <ns0:v>0</ns0:v>
      </ns0:c>
      <ns0:c r="CQ19" s="0">
        <ns0:f>IF(OR($AO19=0,$B$5&lt;&gt;"OK",$B$6&gt;0,Calendar!X$11=""),0,SUMIFS(rngEngine_U,rngEngine_B,INDEX(Team!$A$11:$A$60,$AO19),rngAMStart,"&lt;="&amp;Calendar!X$11,rngAMEnd,"&gt;="&amp;Calendar!X$11))</ns0:f>
        <ns0:v>0</ns0:v>
      </ns0:c>
      <ns0:c r="CR19" s="0">
        <ns0:f>IF(OR($AO19=0,$B$5&lt;&gt;"OK",$B$6&gt;0,Calendar!X$11=""),0,SUMIFS(rngEngine_V,rngEngine_B,INDEX(Team!$A$11:$A$60,$AO19),rngPMStart,"&lt;="&amp;Calendar!X$11,rngPMEnd,"&gt;="&amp;Calendar!X$11))</ns0:f>
        <ns0:v>0</ns0:v>
      </ns0:c>
      <ns0:c r="CS19" s="0">
        <ns0:f>IF(OR($AO19=0,$B$5&lt;&gt;"OK",$B$6&gt;0,Calendar!Y$11=""),0,SUMIFS(rngEngine_U,rngEngine_B,INDEX(Team!$A$11:$A$60,$AO19),rngAMStart,"&lt;="&amp;Calendar!Y$11,rngAMEnd,"&gt;="&amp;Calendar!Y$11))</ns0:f>
        <ns0:v>0</ns0:v>
      </ns0:c>
      <ns0:c r="CT19" s="0">
        <ns0:f>IF(OR($AO19=0,$B$5&lt;&gt;"OK",$B$6&gt;0,Calendar!Y$11=""),0,SUMIFS(rngEngine_V,rngEngine_B,INDEX(Team!$A$11:$A$60,$AO19),rngPMStart,"&lt;="&amp;Calendar!Y$11,rngPMEnd,"&gt;="&amp;Calendar!Y$11))</ns0:f>
        <ns0:v>0</ns0:v>
      </ns0:c>
      <ns0:c r="CU19" s="0">
        <ns0:f>IF(OR($AO19=0,$B$5&lt;&gt;"OK",$B$6&gt;0,Calendar!Z$11=""),0,SUMIFS(rngEngine_U,rngEngine_B,INDEX(Team!$A$11:$A$60,$AO19),rngAMStart,"&lt;="&amp;Calendar!Z$11,rngAMEnd,"&gt;="&amp;Calendar!Z$11))</ns0:f>
        <ns0:v>0</ns0:v>
      </ns0:c>
      <ns0:c r="CV19" s="0">
        <ns0:f>IF(OR($AO19=0,$B$5&lt;&gt;"OK",$B$6&gt;0,Calendar!Z$11=""),0,SUMIFS(rngEngine_V,rngEngine_B,INDEX(Team!$A$11:$A$60,$AO19),rngPMStart,"&lt;="&amp;Calendar!Z$11,rngPMEnd,"&gt;="&amp;Calendar!Z$11))</ns0:f>
        <ns0:v>0</ns0:v>
      </ns0:c>
      <ns0:c r="CW19" s="0">
        <ns0:f>IF(OR($AO19=0,$B$5&lt;&gt;"OK",$B$6&gt;0,Calendar!AA$11=""),0,SUMIFS(rngEngine_U,rngEngine_B,INDEX(Team!$A$11:$A$60,$AO19),rngAMStart,"&lt;="&amp;Calendar!AA$11,rngAMEnd,"&gt;="&amp;Calendar!AA$11))</ns0:f>
        <ns0:v>0</ns0:v>
      </ns0:c>
      <ns0:c r="CX19" s="0">
        <ns0:f>IF(OR($AO19=0,$B$5&lt;&gt;"OK",$B$6&gt;0,Calendar!AA$11=""),0,SUMIFS(rngEngine_V,rngEngine_B,INDEX(Team!$A$11:$A$60,$AO19),rngPMStart,"&lt;="&amp;Calendar!AA$11,rngPMEnd,"&gt;="&amp;Calendar!AA$11))</ns0:f>
        <ns0:v>0</ns0:v>
      </ns0:c>
      <ns0:c r="CY19" s="0">
        <ns0:f>IF(OR($AO19=0,$B$5&lt;&gt;"OK",$B$6&gt;0,Calendar!AB$11=""),0,SUMIFS(rngEngine_U,rngEngine_B,INDEX(Team!$A$11:$A$60,$AO19),rngAMStart,"&lt;="&amp;Calendar!AB$11,rngAMEnd,"&gt;="&amp;Calendar!AB$11))</ns0:f>
        <ns0:v>0</ns0:v>
      </ns0:c>
      <ns0:c r="CZ19" s="0">
        <ns0:f>IF(OR($AO19=0,$B$5&lt;&gt;"OK",$B$6&gt;0,Calendar!AB$11=""),0,SUMIFS(rngEngine_V,rngEngine_B,INDEX(Team!$A$11:$A$60,$AO19),rngPMStart,"&lt;="&amp;Calendar!AB$11,rngPMEnd,"&gt;="&amp;Calendar!AB$11))</ns0:f>
        <ns0:v>0</ns0:v>
      </ns0:c>
      <ns0:c r="DA19" s="0">
        <ns0:f>IF(OR($AO19=0,$B$5&lt;&gt;"OK",$B$6&gt;0,Calendar!AC$11=""),0,SUMIFS(rngEngine_U,rngEngine_B,INDEX(Team!$A$11:$A$60,$AO19),rngAMStart,"&lt;="&amp;Calendar!AC$11,rngAMEnd,"&gt;="&amp;Calendar!AC$11))</ns0:f>
        <ns0:v>0</ns0:v>
      </ns0:c>
      <ns0:c r="DB19" s="0">
        <ns0:f>IF(OR($AO19=0,$B$5&lt;&gt;"OK",$B$6&gt;0,Calendar!AC$11=""),0,SUMIFS(rngEngine_V,rngEngine_B,INDEX(Team!$A$11:$A$60,$AO19),rngPMStart,"&lt;="&amp;Calendar!AC$11,rngPMEnd,"&gt;="&amp;Calendar!AC$11))</ns0:f>
        <ns0:v>0</ns0:v>
      </ns0:c>
      <ns0:c r="DC19" s="0">
        <ns0:f>IF(OR($AO19=0,$B$5&lt;&gt;"OK",$B$6&gt;0,Calendar!AD$11=""),0,SUMIFS(rngEngine_U,rngEngine_B,INDEX(Team!$A$11:$A$60,$AO19),rngAMStart,"&lt;="&amp;Calendar!AD$11,rngAMEnd,"&gt;="&amp;Calendar!AD$11))</ns0:f>
        <ns0:v>0</ns0:v>
      </ns0:c>
      <ns0:c r="DD19" s="0">
        <ns0:f>IF(OR($AO19=0,$B$5&lt;&gt;"OK",$B$6&gt;0,Calendar!AD$11=""),0,SUMIFS(rngEngine_V,rngEngine_B,INDEX(Team!$A$11:$A$60,$AO19),rngPMStart,"&lt;="&amp;Calendar!AD$11,rngPMEnd,"&gt;="&amp;Calendar!AD$11))</ns0:f>
        <ns0:v>0</ns0:v>
      </ns0:c>
      <ns0:c r="DE19" s="0">
        <ns0:f>IF(OR($AO19=0,$B$5&lt;&gt;"OK",$B$6&gt;0,Calendar!AE$11=""),0,SUMIFS(rngEngine_U,rngEngine_B,INDEX(Team!$A$11:$A$60,$AO19),rngAMStart,"&lt;="&amp;Calendar!AE$11,rngAMEnd,"&gt;="&amp;Calendar!AE$11))</ns0:f>
        <ns0:v>0</ns0:v>
      </ns0:c>
      <ns0:c r="DF19" s="0">
        <ns0:f>IF(OR($AO19=0,$B$5&lt;&gt;"OK",$B$6&gt;0,Calendar!AE$11=""),0,SUMIFS(rngEngine_V,rngEngine_B,INDEX(Team!$A$11:$A$60,$AO19),rngPMStart,"&lt;="&amp;Calendar!AE$11,rngPMEnd,"&gt;="&amp;Calendar!AE$11))</ns0:f>
        <ns0:v>0</ns0:v>
      </ns0:c>
      <ns0:c r="DG19" s="0">
        <ns0:f>IF(OR($AO19=0,$B$5&lt;&gt;"OK",$B$6&gt;0,Calendar!AF$11=""),0,SUMIFS(rngEngine_U,rngEngine_B,INDEX(Team!$A$11:$A$60,$AO19),rngAMStart,"&lt;="&amp;Calendar!AF$11,rngAMEnd,"&gt;="&amp;Calendar!AF$11))</ns0:f>
        <ns0:v>0</ns0:v>
      </ns0:c>
      <ns0:c r="DH19" s="0">
        <ns0:f>IF(OR($AO19=0,$B$5&lt;&gt;"OK",$B$6&gt;0,Calendar!AF$11=""),0,SUMIFS(rngEngine_V,rngEngine_B,INDEX(Team!$A$11:$A$60,$AO19),rngPMStart,"&lt;="&amp;Calendar!AF$11,rngPMEnd,"&gt;="&amp;Calendar!AF$11))</ns0:f>
        <ns0:v>0</ns0:v>
      </ns0:c>
      <ns0:c r="DI19" s="0">
        <ns0:f>IF(OR($AO19=0,$B$5&lt;&gt;"OK",$B$6&gt;0,Calendar!AG$11=""),0,SUMIFS(rngEngine_U,rngEngine_B,INDEX(Team!$A$11:$A$60,$AO19),rngAMStart,"&lt;="&amp;Calendar!AG$11,rngAMEnd,"&gt;="&amp;Calendar!AG$11))</ns0:f>
        <ns0:v>0</ns0:v>
      </ns0:c>
      <ns0:c r="DJ19" s="0">
        <ns0:f>IF(OR($AO19=0,$B$5&lt;&gt;"OK",$B$6&gt;0,Calendar!AG$11=""),0,SUMIFS(rngEngine_V,rngEngine_B,INDEX(Team!$A$11:$A$60,$AO19),rngPMStart,"&lt;="&amp;Calendar!AG$11,rngPMEnd,"&gt;="&amp;Calendar!AG$11))</ns0:f>
        <ns0:v>0</ns0:v>
      </ns0:c>
      <ns0:c r="DK19" s="0">
        <ns0:f>IF(OR($AO19=0,$B$5&lt;&gt;"OK",$B$6&gt;0,Calendar!AH$11=""),0,SUMIFS(rngEngine_U,rngEngine_B,INDEX(Team!$A$11:$A$60,$AO19),rngAMStart,"&lt;="&amp;Calendar!AH$11,rngAMEnd,"&gt;="&amp;Calendar!AH$11))</ns0:f>
        <ns0:v>0</ns0:v>
      </ns0:c>
      <ns0:c r="DL19" s="0">
        <ns0:f>IF(OR($AO19=0,$B$5&lt;&gt;"OK",$B$6&gt;0,Calendar!AH$11=""),0,SUMIFS(rngEngine_V,rngEngine_B,INDEX(Team!$A$11:$A$60,$AO19),rngPMStart,"&lt;="&amp;Calendar!AH$11,rngPMEnd,"&gt;="&amp;Calendar!AH$11))</ns0:f>
        <ns0:v>0</ns0:v>
      </ns0:c>
    </ns0:row>
    <ns0:row r="20" ht="22" customHeight="1">
      <ns0:c r="A20" s="4">
        <ns0:f>IF(COUNTA(Bookings!A20:G20,Bookings!I20)=0,0,1)</ns0:f>
        <ns0:v>1</ns0:v>
      </ns0:c>
      <ns0:c r="B20" s="4" t="str">
        <ns0:f>IFERROR(TRIM(MID(Bookings!A20,FIND(" · ",Bookings!A20)+3,99)),"")</ns0:f>
        <ns0:v>EMP005</ns0:v>
      </ns0:c>
      <ns0:c r="C20" s="4">
        <ns0:f>IF(OR(B20="",LEN(B20)&gt;24,ISNUMBER(FIND(" ",B20)),ISNUMBER(FIND("*",B20)),ISNUMBER(FIND("?",B20)),ISNUMBER(FIND("~",B20))),0,IFERROR(MATCH(B20,Team!$A$11:$A$60,0),0))</ns0:f>
        <ns0:v>5</ns0:v>
      </ns0:c>
      <ns0:c r="D20" s="4" t="str">
        <ns0:f>IFERROR(IF(MID(Bookings!F20,LEN(Bookings!F20)-3,3)=" · ",RIGHT(Bookings!F20,1),""),"")</ns0:f>
        <ns0:v>H</ns0:v>
      </ns0:c>
      <ns0:c r="E20" s="4" t="str">
        <ns0:f>IFERROR(INDEX(Settings!$H$7:$H$11,MATCH(D20,Settings!$G$7:$G$11,0)),"")</ns0:f>
        <ns0:v>Yes</ns0:v>
      </ns0:c>
      <ns0:c r="F20" s="4" t="str">
        <ns0:f>IF(A20=0,"",IFERROR(IF(OR(B20="",C20=0),"CHECK employee selection",IF(INDEX(Team!$O$11:$O$60,C20)&lt;&gt;"OK","CHECK employee setup",IF(OR('_Dates'!J20=0,'_Dates'!T20=0),"CHECK date: use DD.MM.YYYY",IF('_Dates'!T20&lt;'_Dates'!J20,"CHECK end before start",IF(AND($B$6=0,OR('_Dates'!J20&lt;Settings!$B$7,'_Dates'!T20&gt;Settings!$B$8)),"CHECK split across leave years",IF(OR(NOT(OR('_Dates'!U20="Full day",'_Dates'!U20="AM",'_Dates'!U20="PM")),NOT(OR('_Dates'!V20="Full day",'_Dates'!V20="AM",'_Dates'!V20="PM"))),"CHECK Full day / AM / PM",IF(AND('_Dates'!J20='_Dates'!T20,'_Dates'!U20&lt;&gt;"Full day",'_Dates'!V20&lt;&gt;"Full day",'_Dates'!U20&lt;&gt;'_Dates'!V20),"CHECK same-day portions disagree",IF(AND($B$6=0,OR(AND('_Dates'!U20&lt;&gt;"Full day",'_Dates'!AA20=0),AND('_Dates'!V20&lt;&gt;"Full day",'_Dates'!AB20=0))),"CHECK half-day on non-working date",IF(COUNTIF(Settings!$G$7:$G$11,D20)&lt;&gt;1,"CHECK leave type",IF(AND(Bookings!G20&lt;&gt;"Approved",Bookings!G20&lt;&gt;"Pending",Bookings!G20&lt;&gt;"Cancelled"),"CHECK status","OK")))))))))),"CHECK input"))</ns0:f>
        <ns0:v>OK</ns0:v>
      </ns0:c>
      <ns0:c r="G20" s="4">
        <ns0:f>IF(OR(F20&lt;&gt;"OK",$B$6&gt;0),0,0.5*(IF(('_Dates'!X20)&lt;('_Dates'!W20),0,INT((('_Dates'!X20)-('_Dates'!W20)+1)/7)*LEN(SUBSTITUTE(W20,"O",""))+LEN(SUBSTITUTE(MID(W20&amp;W20,WEEKDAY(('_Dates'!W20),2),MOD((('_Dates'!X20)-('_Dates'!W20)+1),7)),"O",""))-COUNTIFS(INDEX(AllClosureRows,C20,0),"&gt;="&amp;('_Dates'!W20),INDEX(AllClosureRows,C20,0),"&lt;="&amp;('_Dates'!X20)))+IF(('_Dates'!Z20)&lt;('_Dates'!Y20),0,INT((('_Dates'!Z20)-('_Dates'!Y20)+1)/7)*LEN(SUBSTITUTE(W20,"O",""))+LEN(SUBSTITUTE(MID(W20&amp;W20,WEEKDAY(('_Dates'!Y20),2),MOD((('_Dates'!Z20)-('_Dates'!Y20)+1),7)),"O",""))-COUNTIFS(INDEX(AllClosureRows,C20,0),"&gt;="&amp;('_Dates'!Y20),INDEX(AllClosureRows,C20,0),"&lt;="&amp;('_Dates'!Z20)))))</ns0:f>
        <ns0:v>5</ns0:v>
      </ns0:c>
      <ns0:c r="H20" s="4">
        <ns0:f>IF(OR(F20&lt;&gt;"OK",$B$6&gt;0),0,0.5*(IF((MIN('_Dates'!X20,Settings!$B$9))&lt;('_Dates'!W20),0,INT(((MIN('_Dates'!X20,Settings!$B$9))-('_Dates'!W20)+1)/7)*LEN(SUBSTITUTE(W20,"O",""))+LEN(SUBSTITUTE(MID(W20&amp;W20,WEEKDAY(('_Dates'!W20),2),MOD(((MIN('_Dates'!X20,Settings!$B$9))-('_Dates'!W20)+1),7)),"O",""))-COUNTIFS(INDEX(AllClosureRows,C20,0),"&gt;="&amp;('_Dates'!W20),INDEX(AllClosureRows,C20,0),"&lt;="&amp;(MIN('_Dates'!X20,Settings!$B$9))))+IF((MIN('_Dates'!Z20,Settings!$B$9))&lt;('_Dates'!Y20),0,INT(((MIN('_Dates'!Z20,Settings!$B$9))-('_Dates'!Y20)+1)/7)*LEN(SUBSTITUTE(W20,"O",""))+LEN(SUBSTITUTE(MID(W20&amp;W20,WEEKDAY(('_Dates'!Y20),2),MOD(((MIN('_Dates'!Z20,Settings!$B$9))-('_Dates'!Y20)+1),7)),"O",""))-COUNTIFS(INDEX(AllClosureRows,C20,0),"&gt;="&amp;('_Dates'!Y20),INDEX(AllClosureRows,C20,0),"&lt;="&amp;(MIN('_Dates'!Z20,Settings!$B$9))))))</ns0:f>
        <ns0:v>0</ns0:v>
      </ns0:c>
      <ns0:c r="I20" s="4">
        <ns0:f>MAX(0,G20-H20)</ns0:f>
        <ns0:v>5</ns0:v>
      </ns0:c>
      <ns0:c r="J20" s="4">
        <ns0:f>IF(OR(A20=0,F20&lt;&gt;"OK",Bookings!G20="Cancelled",$B$6&gt;0),0,IF('_Dates'!AC20=1,MAX(0,COUNTIFS(rngEngine_B,B20,rngAMStart,"&lt;="&amp;'_Dates'!X20,rngAMEnd,"&gt;="&amp;'_Dates'!W20,rngAMActive,1,rngEngine_F,"OK",rngBookings_F,"&lt;&gt;Cancelled")-1),0)+IF('_Dates'!AD20=1,MAX(0,COUNTIFS(rngEngine_B,B20,rngPMStart,"&lt;="&amp;'_Dates'!Z20,rngPMEnd,"&gt;="&amp;'_Dates'!Y20,rngPMActive,1,rngEngine_F,"OK",rngBookings_F,"&lt;&gt;Cancelled")-1),0))</ns0:f>
        <ns0:v>0</ns0:v>
      </ns0:c>
      <ns0:c r="K20" s="0" t="str">
        <ns0:f>IF(A20=0,"",IF(F20&lt;&gt;"OK",F20,IF(J20&gt;0,"CHECK overlapping entry",IF(AND($B$6=0,G20&lt;=0,Bookings!G20&lt;&gt;"Cancelled"),"CHECK no working days",IF(Bookings!G20="Cancelled","Cancelled","OK")))))</ns0:f>
        <ns0:v>OK</ns0:v>
      </ns0:c>
      <ns0:c r="L20" s="0">
        <ns0:f>IF(LEFT(K20,5)="CHECK",1,0)</ns0:f>
        <ns0:v>0</ns0:v>
      </ns0:c>
      <ns0:c r="M20" s="0">
        <ns0:f>IF(AND(L20=1,OR(C20=0,IFERROR(INDEX($X$11:$X$60,C20),0)=0)),1,0)</ns0:f>
        <ns0:v>0</ns0:v>
      </ns0:c>
      <ns0:c r="N20" s="0">
        <ns0:f>IF(OR(A20=0,L20&gt;0,$B$6&gt;0,Bookings!G20="Cancelled"),0,G20)</ns0:f>
        <ns0:v>5</ns0:v>
      </ns0:c>
      <ns0:c r="O20" s="0">
        <ns0:f>IF(AND(Bookings!G20="Approved",E20="Yes"),N20,0)</ns0:f>
        <ns0:v>0</ns0:v>
      </ns0:c>
      <ns0:c r="P20" s="0">
        <ns0:f>IF(AND(Bookings!G20="Approved",E20="Yes",L20=0,$B$6=0),H20,0)</ns0:f>
        <ns0:v>0</ns0:v>
      </ns0:c>
      <ns0:c r="Q20" s="0">
        <ns0:f>IF(AND(Bookings!G20="Approved",E20="Yes",L20=0,$B$6=0),I20,0)</ns0:f>
        <ns0:v>0</ns0:v>
      </ns0:c>
      <ns0:c r="R20" s="0">
        <ns0:f>IF(AND(Bookings!G20="Pending",E20="Yes"),N20,0)</ns0:f>
        <ns0:v>5</ns0:v>
      </ns0:c>
      <ns0:c r="S20" s="0">
        <ns0:f>IF(AND(Bookings!G20="Approved",E20="No"),N20,0)</ns0:f>
        <ns0:v>0</ns0:v>
      </ns0:c>
      <ns0:c r="T20" s="0">
        <ns0:f>IFERROR(MATCH(D20,Settings!$G$7:$G$11,0),0)</ns0:f>
        <ns0:v>1</ns0:v>
      </ns0:c>
      <ns0:c r="U20" s="0">
        <ns0:f>IF(N20&gt;0,T20+IF(Bookings!G20="Pending",10,0),0)</ns0:f>
        <ns0:v>11</ns0:v>
      </ns0:c>
      <ns0:c r="V20" s="0">
        <ns0:f>U20</ns0:f>
        <ns0:v>11</ns0:v>
      </ns0:c>
      <ns0:c r="W20" s="0" t="str">
        <ns0:f>IF(C20=0,"",INDEX($AP$11:$AP$60,C20))</ns0:f>
        <ns0:v>WWWWWOO</ns0:v>
      </ns0:c>
      <ns0:c r="X20" s="0">
        <ns0:f>IF(COUNTA(Team!B20:D20)=0,0,1)</ns0:f>
        <ns0:v>0</ns0:v>
      </ns0:c>
      <ns0:c r="Y20" s="0" t="str">
        <ns0:f>IF(X20=0,"",IF(Team!B20="","[Unnamed]",Team!B20)&amp;" · "&amp;Team!A20)</ns0:f>
        <ns0:v/>
      </ns0:c>
      <ns0:c r="Z20" s="0">
        <ns0:f>IF(X20=0,0,COUNTIF(Team!H20:N20,"Work"))</ns0:f>
        <ns0:v>0</ns0:v>
      </ns0:c>
      <ns0:c r="AA20" s="0">
        <ns0:f>IF(LEFT(Team!O20,5)="CHECK",1,0)</ns0:f>
        <ns0:v>0</ns0:v>
      </ns0:c>
      <ns0:c r="AB20" s="0">
        <ns0:f>IF(X20=0,0,SUMIFS(rngEngine_L,rngEngine_B,Team!A20))</ns0:f>
        <ns0:v>0</ns0:v>
      </ns0:c>
      <ns0:c r="AC20" s="0" t="str">
        <ns0:f>IF(AND(X20=1,OR(Calendar!$C$7="All teams",Team!C20=Calendar!$C$7)),MAX($AC$10:AC19)+1,"")</ns0:f>
        <ns0:v/>
      </ns0:c>
      <ns0:c r="AD20" s="0" t="str">
        <ns0:f>IF(OR(X20=0,Team!C20="",COUNTIF(Team!$C$11:C20,Team!C20)&gt;1),"",MAX($AD$10:AD19)+1)</ns0:f>
        <ns0:v/>
      </ns0:c>
      <ns0:c r="AE20" s="0" t="str">
        <ns0:f>IFERROR(INDEX(Team!$C$11:$C$60,MATCH(ROW()-10,$AD$11:$AD$60,0)),"")</ns0:f>
        <ns0:v/>
      </ns0:c>
      <ns0:c r="AF20" s="0" t="str">
        <ns0:f>AE20</ns0:f>
        <ns0:v/>
      </ns0:c>
      <ns0:c r="AG20" s="0">
        <ns0:f>IF(X20=0,0,IFERROR(Team!F20+Team!G20,0))</ns0:f>
        <ns0:v>0</ns0:v>
      </ns0:c>
      <ns0:c r="AH20" s="0">
        <ns0:f>IF(X20=0,0,SUMIFS(rngEngine_P,rngEngine_B,Team!A20))</ns0:f>
        <ns0:v>0</ns0:v>
      </ns0:c>
      <ns0:c r="AI20" s="0">
        <ns0:f>IF(X20=0,0,SUMIFS(rngEngine_Q,rngEngine_B,Team!A20))</ns0:f>
        <ns0:v>0</ns0:v>
      </ns0:c>
      <ns0:c r="AJ20" s="0">
        <ns0:f>IF(X20=0,0,SUMIFS(rngEngine_R,rngEngine_B,Team!A20))</ns0:f>
        <ns0:v>0</ns0:v>
      </ns0:c>
      <ns0:c r="AK20" s="0">
        <ns0:f>IF(X20=0,0,SUMIFS(rngEngine_S,rngEngine_B,Team!A20))</ns0:f>
        <ns0:v>0</ns0:v>
      </ns0:c>
      <ns0:c r="AL20" s="0">
        <ns0:f>AH20+AI20</ns0:f>
        <ns0:v>0</ns0:v>
      </ns0:c>
      <ns0:c r="AM20" s="0" t="str">
        <ns0:f>IF(X20=0,"",IF(AA20&gt;0,"CHECK team setup",IF(AB20&gt;0,"CHECK "&amp;AB20&amp;" booking(s)","OK")))</ns0:f>
        <ns0:v/>
      </ns0:c>
      <ns0:c r="AN20" s="0" t="str">
        <ns0:f>IF(X20=0,"",IF(OR($B$6&gt;0,AM20&lt;&gt;"OK"),"REVIEW",AG20-AL20))</ns0:f>
        <ns0:v/>
      </ns0:c>
      <ns0:c r="AO20" s="0">
        <ns0:f>IFERROR(MATCH(ROW()-11,$AC$11:$AC$60,0),0)</ns0:f>
        <ns0:v>0</ns0:v>
      </ns0:c>
      <ns0:c r="AP20" s="0" t="str">
        <ns0:f>IF(Team!H20="Work","W","O")&amp;IF(Team!I20="Work","W","O")&amp;IF(Team!J20="Work","W","O")&amp;IF(Team!K20="Work","W","O")&amp;IF(Team!L20="Work","W","O")&amp;IF(Team!M20="Work","W","O")&amp;IF(Team!N20="Work","W","O")</ns0:f>
        <ns0:v>OOOOOOO</ns0:v>
      </ns0:c>
      <ns0:c r="AR20" s="0">
        <ns0:f>IFERROR(IF(ISNUMBER(Settings!F20),WEEKDAY(Settings!F20,2),0),0)</ns0:f>
        <ns0:v>0</ns0:v>
      </ns0:c>
      <ns0:c r="AS20" t="inlineStr">
        <ns0:is>
          <ns0:t>October</ns0:t>
        </ns0:is>
      </ns0:c>
      <ns0:c r="BC20" s="0">
        <ns0:f>IF(OR($AO20=0,$B$5&lt;&gt;"OK",$B$6&gt;0,Calendar!D$11=""),0,SUMIFS(rngEngine_U,rngEngine_B,INDEX(Team!$A$11:$A$60,$AO20),rngAMStart,"&lt;="&amp;Calendar!D$11,rngAMEnd,"&gt;="&amp;Calendar!D$11))</ns0:f>
        <ns0:v>0</ns0:v>
      </ns0:c>
      <ns0:c r="BD20" s="0">
        <ns0:f>IF(OR($AO20=0,$B$5&lt;&gt;"OK",$B$6&gt;0,Calendar!D$11=""),0,SUMIFS(rngEngine_V,rngEngine_B,INDEX(Team!$A$11:$A$60,$AO20),rngPMStart,"&lt;="&amp;Calendar!D$11,rngPMEnd,"&gt;="&amp;Calendar!D$11))</ns0:f>
        <ns0:v>0</ns0:v>
      </ns0:c>
      <ns0:c r="BE20" s="0">
        <ns0:f>IF(OR($AO20=0,$B$5&lt;&gt;"OK",$B$6&gt;0,Calendar!E$11=""),0,SUMIFS(rngEngine_U,rngEngine_B,INDEX(Team!$A$11:$A$60,$AO20),rngAMStart,"&lt;="&amp;Calendar!E$11,rngAMEnd,"&gt;="&amp;Calendar!E$11))</ns0:f>
        <ns0:v>0</ns0:v>
      </ns0:c>
      <ns0:c r="BF20" s="0">
        <ns0:f>IF(OR($AO20=0,$B$5&lt;&gt;"OK",$B$6&gt;0,Calendar!E$11=""),0,SUMIFS(rngEngine_V,rngEngine_B,INDEX(Team!$A$11:$A$60,$AO20),rngPMStart,"&lt;="&amp;Calendar!E$11,rngPMEnd,"&gt;="&amp;Calendar!E$11))</ns0:f>
        <ns0:v>0</ns0:v>
      </ns0:c>
      <ns0:c r="BG20" s="0">
        <ns0:f>IF(OR($AO20=0,$B$5&lt;&gt;"OK",$B$6&gt;0,Calendar!F$11=""),0,SUMIFS(rngEngine_U,rngEngine_B,INDEX(Team!$A$11:$A$60,$AO20),rngAMStart,"&lt;="&amp;Calendar!F$11,rngAMEnd,"&gt;="&amp;Calendar!F$11))</ns0:f>
        <ns0:v>0</ns0:v>
      </ns0:c>
      <ns0:c r="BH20" s="0">
        <ns0:f>IF(OR($AO20=0,$B$5&lt;&gt;"OK",$B$6&gt;0,Calendar!F$11=""),0,SUMIFS(rngEngine_V,rngEngine_B,INDEX(Team!$A$11:$A$60,$AO20),rngPMStart,"&lt;="&amp;Calendar!F$11,rngPMEnd,"&gt;="&amp;Calendar!F$11))</ns0:f>
        <ns0:v>0</ns0:v>
      </ns0:c>
      <ns0:c r="BI20" s="0">
        <ns0:f>IF(OR($AO20=0,$B$5&lt;&gt;"OK",$B$6&gt;0,Calendar!G$11=""),0,SUMIFS(rngEngine_U,rngEngine_B,INDEX(Team!$A$11:$A$60,$AO20),rngAMStart,"&lt;="&amp;Calendar!G$11,rngAMEnd,"&gt;="&amp;Calendar!G$11))</ns0:f>
        <ns0:v>0</ns0:v>
      </ns0:c>
      <ns0:c r="BJ20" s="0">
        <ns0:f>IF(OR($AO20=0,$B$5&lt;&gt;"OK",$B$6&gt;0,Calendar!G$11=""),0,SUMIFS(rngEngine_V,rngEngine_B,INDEX(Team!$A$11:$A$60,$AO20),rngPMStart,"&lt;="&amp;Calendar!G$11,rngPMEnd,"&gt;="&amp;Calendar!G$11))</ns0:f>
        <ns0:v>0</ns0:v>
      </ns0:c>
      <ns0:c r="BK20" s="0">
        <ns0:f>IF(OR($AO20=0,$B$5&lt;&gt;"OK",$B$6&gt;0,Calendar!H$11=""),0,SUMIFS(rngEngine_U,rngEngine_B,INDEX(Team!$A$11:$A$60,$AO20),rngAMStart,"&lt;="&amp;Calendar!H$11,rngAMEnd,"&gt;="&amp;Calendar!H$11))</ns0:f>
        <ns0:v>0</ns0:v>
      </ns0:c>
      <ns0:c r="BL20" s="0">
        <ns0:f>IF(OR($AO20=0,$B$5&lt;&gt;"OK",$B$6&gt;0,Calendar!H$11=""),0,SUMIFS(rngEngine_V,rngEngine_B,INDEX(Team!$A$11:$A$60,$AO20),rngPMStart,"&lt;="&amp;Calendar!H$11,rngPMEnd,"&gt;="&amp;Calendar!H$11))</ns0:f>
        <ns0:v>0</ns0:v>
      </ns0:c>
      <ns0:c r="BM20" s="0">
        <ns0:f>IF(OR($AO20=0,$B$5&lt;&gt;"OK",$B$6&gt;0,Calendar!I$11=""),0,SUMIFS(rngEngine_U,rngEngine_B,INDEX(Team!$A$11:$A$60,$AO20),rngAMStart,"&lt;="&amp;Calendar!I$11,rngAMEnd,"&gt;="&amp;Calendar!I$11))</ns0:f>
        <ns0:v>0</ns0:v>
      </ns0:c>
      <ns0:c r="BN20" s="0">
        <ns0:f>IF(OR($AO20=0,$B$5&lt;&gt;"OK",$B$6&gt;0,Calendar!I$11=""),0,SUMIFS(rngEngine_V,rngEngine_B,INDEX(Team!$A$11:$A$60,$AO20),rngPMStart,"&lt;="&amp;Calendar!I$11,rngPMEnd,"&gt;="&amp;Calendar!I$11))</ns0:f>
        <ns0:v>0</ns0:v>
      </ns0:c>
      <ns0:c r="BO20" s="0">
        <ns0:f>IF(OR($AO20=0,$B$5&lt;&gt;"OK",$B$6&gt;0,Calendar!J$11=""),0,SUMIFS(rngEngine_U,rngEngine_B,INDEX(Team!$A$11:$A$60,$AO20),rngAMStart,"&lt;="&amp;Calendar!J$11,rngAMEnd,"&gt;="&amp;Calendar!J$11))</ns0:f>
        <ns0:v>0</ns0:v>
      </ns0:c>
      <ns0:c r="BP20" s="0">
        <ns0:f>IF(OR($AO20=0,$B$5&lt;&gt;"OK",$B$6&gt;0,Calendar!J$11=""),0,SUMIFS(rngEngine_V,rngEngine_B,INDEX(Team!$A$11:$A$60,$AO20),rngPMStart,"&lt;="&amp;Calendar!J$11,rngPMEnd,"&gt;="&amp;Calendar!J$11))</ns0:f>
        <ns0:v>0</ns0:v>
      </ns0:c>
      <ns0:c r="BQ20" s="0">
        <ns0:f>IF(OR($AO20=0,$B$5&lt;&gt;"OK",$B$6&gt;0,Calendar!K$11=""),0,SUMIFS(rngEngine_U,rngEngine_B,INDEX(Team!$A$11:$A$60,$AO20),rngAMStart,"&lt;="&amp;Calendar!K$11,rngAMEnd,"&gt;="&amp;Calendar!K$11))</ns0:f>
        <ns0:v>0</ns0:v>
      </ns0:c>
      <ns0:c r="BR20" s="0">
        <ns0:f>IF(OR($AO20=0,$B$5&lt;&gt;"OK",$B$6&gt;0,Calendar!K$11=""),0,SUMIFS(rngEngine_V,rngEngine_B,INDEX(Team!$A$11:$A$60,$AO20),rngPMStart,"&lt;="&amp;Calendar!K$11,rngPMEnd,"&gt;="&amp;Calendar!K$11))</ns0:f>
        <ns0:v>0</ns0:v>
      </ns0:c>
      <ns0:c r="BS20" s="0">
        <ns0:f>IF(OR($AO20=0,$B$5&lt;&gt;"OK",$B$6&gt;0,Calendar!L$11=""),0,SUMIFS(rngEngine_U,rngEngine_B,INDEX(Team!$A$11:$A$60,$AO20),rngAMStart,"&lt;="&amp;Calendar!L$11,rngAMEnd,"&gt;="&amp;Calendar!L$11))</ns0:f>
        <ns0:v>0</ns0:v>
      </ns0:c>
      <ns0:c r="BT20" s="0">
        <ns0:f>IF(OR($AO20=0,$B$5&lt;&gt;"OK",$B$6&gt;0,Calendar!L$11=""),0,SUMIFS(rngEngine_V,rngEngine_B,INDEX(Team!$A$11:$A$60,$AO20),rngPMStart,"&lt;="&amp;Calendar!L$11,rngPMEnd,"&gt;="&amp;Calendar!L$11))</ns0:f>
        <ns0:v>0</ns0:v>
      </ns0:c>
      <ns0:c r="BU20" s="0">
        <ns0:f>IF(OR($AO20=0,$B$5&lt;&gt;"OK",$B$6&gt;0,Calendar!M$11=""),0,SUMIFS(rngEngine_U,rngEngine_B,INDEX(Team!$A$11:$A$60,$AO20),rngAMStart,"&lt;="&amp;Calendar!M$11,rngAMEnd,"&gt;="&amp;Calendar!M$11))</ns0:f>
        <ns0:v>0</ns0:v>
      </ns0:c>
      <ns0:c r="BV20" s="0">
        <ns0:f>IF(OR($AO20=0,$B$5&lt;&gt;"OK",$B$6&gt;0,Calendar!M$11=""),0,SUMIFS(rngEngine_V,rngEngine_B,INDEX(Team!$A$11:$A$60,$AO20),rngPMStart,"&lt;="&amp;Calendar!M$11,rngPMEnd,"&gt;="&amp;Calendar!M$11))</ns0:f>
        <ns0:v>0</ns0:v>
      </ns0:c>
      <ns0:c r="BW20" s="0">
        <ns0:f>IF(OR($AO20=0,$B$5&lt;&gt;"OK",$B$6&gt;0,Calendar!N$11=""),0,SUMIFS(rngEngine_U,rngEngine_B,INDEX(Team!$A$11:$A$60,$AO20),rngAMStart,"&lt;="&amp;Calendar!N$11,rngAMEnd,"&gt;="&amp;Calendar!N$11))</ns0:f>
        <ns0:v>0</ns0:v>
      </ns0:c>
      <ns0:c r="BX20" s="0">
        <ns0:f>IF(OR($AO20=0,$B$5&lt;&gt;"OK",$B$6&gt;0,Calendar!N$11=""),0,SUMIFS(rngEngine_V,rngEngine_B,INDEX(Team!$A$11:$A$60,$AO20),rngPMStart,"&lt;="&amp;Calendar!N$11,rngPMEnd,"&gt;="&amp;Calendar!N$11))</ns0:f>
        <ns0:v>0</ns0:v>
      </ns0:c>
      <ns0:c r="BY20" s="0">
        <ns0:f>IF(OR($AO20=0,$B$5&lt;&gt;"OK",$B$6&gt;0,Calendar!O$11=""),0,SUMIFS(rngEngine_U,rngEngine_B,INDEX(Team!$A$11:$A$60,$AO20),rngAMStart,"&lt;="&amp;Calendar!O$11,rngAMEnd,"&gt;="&amp;Calendar!O$11))</ns0:f>
        <ns0:v>0</ns0:v>
      </ns0:c>
      <ns0:c r="BZ20" s="0">
        <ns0:f>IF(OR($AO20=0,$B$5&lt;&gt;"OK",$B$6&gt;0,Calendar!O$11=""),0,SUMIFS(rngEngine_V,rngEngine_B,INDEX(Team!$A$11:$A$60,$AO20),rngPMStart,"&lt;="&amp;Calendar!O$11,rngPMEnd,"&gt;="&amp;Calendar!O$11))</ns0:f>
        <ns0:v>0</ns0:v>
      </ns0:c>
      <ns0:c r="CA20" s="0">
        <ns0:f>IF(OR($AO20=0,$B$5&lt;&gt;"OK",$B$6&gt;0,Calendar!P$11=""),0,SUMIFS(rngEngine_U,rngEngine_B,INDEX(Team!$A$11:$A$60,$AO20),rngAMStart,"&lt;="&amp;Calendar!P$11,rngAMEnd,"&gt;="&amp;Calendar!P$11))</ns0:f>
        <ns0:v>0</ns0:v>
      </ns0:c>
      <ns0:c r="CB20" s="0">
        <ns0:f>IF(OR($AO20=0,$B$5&lt;&gt;"OK",$B$6&gt;0,Calendar!P$11=""),0,SUMIFS(rngEngine_V,rngEngine_B,INDEX(Team!$A$11:$A$60,$AO20),rngPMStart,"&lt;="&amp;Calendar!P$11,rngPMEnd,"&gt;="&amp;Calendar!P$11))</ns0:f>
        <ns0:v>0</ns0:v>
      </ns0:c>
      <ns0:c r="CC20" s="0">
        <ns0:f>IF(OR($AO20=0,$B$5&lt;&gt;"OK",$B$6&gt;0,Calendar!Q$11=""),0,SUMIFS(rngEngine_U,rngEngine_B,INDEX(Team!$A$11:$A$60,$AO20),rngAMStart,"&lt;="&amp;Calendar!Q$11,rngAMEnd,"&gt;="&amp;Calendar!Q$11))</ns0:f>
        <ns0:v>0</ns0:v>
      </ns0:c>
      <ns0:c r="CD20" s="0">
        <ns0:f>IF(OR($AO20=0,$B$5&lt;&gt;"OK",$B$6&gt;0,Calendar!Q$11=""),0,SUMIFS(rngEngine_V,rngEngine_B,INDEX(Team!$A$11:$A$60,$AO20),rngPMStart,"&lt;="&amp;Calendar!Q$11,rngPMEnd,"&gt;="&amp;Calendar!Q$11))</ns0:f>
        <ns0:v>0</ns0:v>
      </ns0:c>
      <ns0:c r="CE20" s="0">
        <ns0:f>IF(OR($AO20=0,$B$5&lt;&gt;"OK",$B$6&gt;0,Calendar!R$11=""),0,SUMIFS(rngEngine_U,rngEngine_B,INDEX(Team!$A$11:$A$60,$AO20),rngAMStart,"&lt;="&amp;Calendar!R$11,rngAMEnd,"&gt;="&amp;Calendar!R$11))</ns0:f>
        <ns0:v>0</ns0:v>
      </ns0:c>
      <ns0:c r="CF20" s="0">
        <ns0:f>IF(OR($AO20=0,$B$5&lt;&gt;"OK",$B$6&gt;0,Calendar!R$11=""),0,SUMIFS(rngEngine_V,rngEngine_B,INDEX(Team!$A$11:$A$60,$AO20),rngPMStart,"&lt;="&amp;Calendar!R$11,rngPMEnd,"&gt;="&amp;Calendar!R$11))</ns0:f>
        <ns0:v>0</ns0:v>
      </ns0:c>
      <ns0:c r="CG20" s="0">
        <ns0:f>IF(OR($AO20=0,$B$5&lt;&gt;"OK",$B$6&gt;0,Calendar!S$11=""),0,SUMIFS(rngEngine_U,rngEngine_B,INDEX(Team!$A$11:$A$60,$AO20),rngAMStart,"&lt;="&amp;Calendar!S$11,rngAMEnd,"&gt;="&amp;Calendar!S$11))</ns0:f>
        <ns0:v>0</ns0:v>
      </ns0:c>
      <ns0:c r="CH20" s="0">
        <ns0:f>IF(OR($AO20=0,$B$5&lt;&gt;"OK",$B$6&gt;0,Calendar!S$11=""),0,SUMIFS(rngEngine_V,rngEngine_B,INDEX(Team!$A$11:$A$60,$AO20),rngPMStart,"&lt;="&amp;Calendar!S$11,rngPMEnd,"&gt;="&amp;Calendar!S$11))</ns0:f>
        <ns0:v>0</ns0:v>
      </ns0:c>
      <ns0:c r="CI20" s="0">
        <ns0:f>IF(OR($AO20=0,$B$5&lt;&gt;"OK",$B$6&gt;0,Calendar!T$11=""),0,SUMIFS(rngEngine_U,rngEngine_B,INDEX(Team!$A$11:$A$60,$AO20),rngAMStart,"&lt;="&amp;Calendar!T$11,rngAMEnd,"&gt;="&amp;Calendar!T$11))</ns0:f>
        <ns0:v>0</ns0:v>
      </ns0:c>
      <ns0:c r="CJ20" s="0">
        <ns0:f>IF(OR($AO20=0,$B$5&lt;&gt;"OK",$B$6&gt;0,Calendar!T$11=""),0,SUMIFS(rngEngine_V,rngEngine_B,INDEX(Team!$A$11:$A$60,$AO20),rngPMStart,"&lt;="&amp;Calendar!T$11,rngPMEnd,"&gt;="&amp;Calendar!T$11))</ns0:f>
        <ns0:v>0</ns0:v>
      </ns0:c>
      <ns0:c r="CK20" s="0">
        <ns0:f>IF(OR($AO20=0,$B$5&lt;&gt;"OK",$B$6&gt;0,Calendar!U$11=""),0,SUMIFS(rngEngine_U,rngEngine_B,INDEX(Team!$A$11:$A$60,$AO20),rngAMStart,"&lt;="&amp;Calendar!U$11,rngAMEnd,"&gt;="&amp;Calendar!U$11))</ns0:f>
        <ns0:v>0</ns0:v>
      </ns0:c>
      <ns0:c r="CL20" s="0">
        <ns0:f>IF(OR($AO20=0,$B$5&lt;&gt;"OK",$B$6&gt;0,Calendar!U$11=""),0,SUMIFS(rngEngine_V,rngEngine_B,INDEX(Team!$A$11:$A$60,$AO20),rngPMStart,"&lt;="&amp;Calendar!U$11,rngPMEnd,"&gt;="&amp;Calendar!U$11))</ns0:f>
        <ns0:v>0</ns0:v>
      </ns0:c>
      <ns0:c r="CM20" s="0">
        <ns0:f>IF(OR($AO20=0,$B$5&lt;&gt;"OK",$B$6&gt;0,Calendar!V$11=""),0,SUMIFS(rngEngine_U,rngEngine_B,INDEX(Team!$A$11:$A$60,$AO20),rngAMStart,"&lt;="&amp;Calendar!V$11,rngAMEnd,"&gt;="&amp;Calendar!V$11))</ns0:f>
        <ns0:v>0</ns0:v>
      </ns0:c>
      <ns0:c r="CN20" s="0">
        <ns0:f>IF(OR($AO20=0,$B$5&lt;&gt;"OK",$B$6&gt;0,Calendar!V$11=""),0,SUMIFS(rngEngine_V,rngEngine_B,INDEX(Team!$A$11:$A$60,$AO20),rngPMStart,"&lt;="&amp;Calendar!V$11,rngPMEnd,"&gt;="&amp;Calendar!V$11))</ns0:f>
        <ns0:v>0</ns0:v>
      </ns0:c>
      <ns0:c r="CO20" s="0">
        <ns0:f>IF(OR($AO20=0,$B$5&lt;&gt;"OK",$B$6&gt;0,Calendar!W$11=""),0,SUMIFS(rngEngine_U,rngEngine_B,INDEX(Team!$A$11:$A$60,$AO20),rngAMStart,"&lt;="&amp;Calendar!W$11,rngAMEnd,"&gt;="&amp;Calendar!W$11))</ns0:f>
        <ns0:v>0</ns0:v>
      </ns0:c>
      <ns0:c r="CP20" s="0">
        <ns0:f>IF(OR($AO20=0,$B$5&lt;&gt;"OK",$B$6&gt;0,Calendar!W$11=""),0,SUMIFS(rngEngine_V,rngEngine_B,INDEX(Team!$A$11:$A$60,$AO20),rngPMStart,"&lt;="&amp;Calendar!W$11,rngPMEnd,"&gt;="&amp;Calendar!W$11))</ns0:f>
        <ns0:v>0</ns0:v>
      </ns0:c>
      <ns0:c r="CQ20" s="0">
        <ns0:f>IF(OR($AO20=0,$B$5&lt;&gt;"OK",$B$6&gt;0,Calendar!X$11=""),0,SUMIFS(rngEngine_U,rngEngine_B,INDEX(Team!$A$11:$A$60,$AO20),rngAMStart,"&lt;="&amp;Calendar!X$11,rngAMEnd,"&gt;="&amp;Calendar!X$11))</ns0:f>
        <ns0:v>0</ns0:v>
      </ns0:c>
      <ns0:c r="CR20" s="0">
        <ns0:f>IF(OR($AO20=0,$B$5&lt;&gt;"OK",$B$6&gt;0,Calendar!X$11=""),0,SUMIFS(rngEngine_V,rngEngine_B,INDEX(Team!$A$11:$A$60,$AO20),rngPMStart,"&lt;="&amp;Calendar!X$11,rngPMEnd,"&gt;="&amp;Calendar!X$11))</ns0:f>
        <ns0:v>0</ns0:v>
      </ns0:c>
      <ns0:c r="CS20" s="0">
        <ns0:f>IF(OR($AO20=0,$B$5&lt;&gt;"OK",$B$6&gt;0,Calendar!Y$11=""),0,SUMIFS(rngEngine_U,rngEngine_B,INDEX(Team!$A$11:$A$60,$AO20),rngAMStart,"&lt;="&amp;Calendar!Y$11,rngAMEnd,"&gt;="&amp;Calendar!Y$11))</ns0:f>
        <ns0:v>0</ns0:v>
      </ns0:c>
      <ns0:c r="CT20" s="0">
        <ns0:f>IF(OR($AO20=0,$B$5&lt;&gt;"OK",$B$6&gt;0,Calendar!Y$11=""),0,SUMIFS(rngEngine_V,rngEngine_B,INDEX(Team!$A$11:$A$60,$AO20),rngPMStart,"&lt;="&amp;Calendar!Y$11,rngPMEnd,"&gt;="&amp;Calendar!Y$11))</ns0:f>
        <ns0:v>0</ns0:v>
      </ns0:c>
      <ns0:c r="CU20" s="0">
        <ns0:f>IF(OR($AO20=0,$B$5&lt;&gt;"OK",$B$6&gt;0,Calendar!Z$11=""),0,SUMIFS(rngEngine_U,rngEngine_B,INDEX(Team!$A$11:$A$60,$AO20),rngAMStart,"&lt;="&amp;Calendar!Z$11,rngAMEnd,"&gt;="&amp;Calendar!Z$11))</ns0:f>
        <ns0:v>0</ns0:v>
      </ns0:c>
      <ns0:c r="CV20" s="0">
        <ns0:f>IF(OR($AO20=0,$B$5&lt;&gt;"OK",$B$6&gt;0,Calendar!Z$11=""),0,SUMIFS(rngEngine_V,rngEngine_B,INDEX(Team!$A$11:$A$60,$AO20),rngPMStart,"&lt;="&amp;Calendar!Z$11,rngPMEnd,"&gt;="&amp;Calendar!Z$11))</ns0:f>
        <ns0:v>0</ns0:v>
      </ns0:c>
      <ns0:c r="CW20" s="0">
        <ns0:f>IF(OR($AO20=0,$B$5&lt;&gt;"OK",$B$6&gt;0,Calendar!AA$11=""),0,SUMIFS(rngEngine_U,rngEngine_B,INDEX(Team!$A$11:$A$60,$AO20),rngAMStart,"&lt;="&amp;Calendar!AA$11,rngAMEnd,"&gt;="&amp;Calendar!AA$11))</ns0:f>
        <ns0:v>0</ns0:v>
      </ns0:c>
      <ns0:c r="CX20" s="0">
        <ns0:f>IF(OR($AO20=0,$B$5&lt;&gt;"OK",$B$6&gt;0,Calendar!AA$11=""),0,SUMIFS(rngEngine_V,rngEngine_B,INDEX(Team!$A$11:$A$60,$AO20),rngPMStart,"&lt;="&amp;Calendar!AA$11,rngPMEnd,"&gt;="&amp;Calendar!AA$11))</ns0:f>
        <ns0:v>0</ns0:v>
      </ns0:c>
      <ns0:c r="CY20" s="0">
        <ns0:f>IF(OR($AO20=0,$B$5&lt;&gt;"OK",$B$6&gt;0,Calendar!AB$11=""),0,SUMIFS(rngEngine_U,rngEngine_B,INDEX(Team!$A$11:$A$60,$AO20),rngAMStart,"&lt;="&amp;Calendar!AB$11,rngAMEnd,"&gt;="&amp;Calendar!AB$11))</ns0:f>
        <ns0:v>0</ns0:v>
      </ns0:c>
      <ns0:c r="CZ20" s="0">
        <ns0:f>IF(OR($AO20=0,$B$5&lt;&gt;"OK",$B$6&gt;0,Calendar!AB$11=""),0,SUMIFS(rngEngine_V,rngEngine_B,INDEX(Team!$A$11:$A$60,$AO20),rngPMStart,"&lt;="&amp;Calendar!AB$11,rngPMEnd,"&gt;="&amp;Calendar!AB$11))</ns0:f>
        <ns0:v>0</ns0:v>
      </ns0:c>
      <ns0:c r="DA20" s="0">
        <ns0:f>IF(OR($AO20=0,$B$5&lt;&gt;"OK",$B$6&gt;0,Calendar!AC$11=""),0,SUMIFS(rngEngine_U,rngEngine_B,INDEX(Team!$A$11:$A$60,$AO20),rngAMStart,"&lt;="&amp;Calendar!AC$11,rngAMEnd,"&gt;="&amp;Calendar!AC$11))</ns0:f>
        <ns0:v>0</ns0:v>
      </ns0:c>
      <ns0:c r="DB20" s="0">
        <ns0:f>IF(OR($AO20=0,$B$5&lt;&gt;"OK",$B$6&gt;0,Calendar!AC$11=""),0,SUMIFS(rngEngine_V,rngEngine_B,INDEX(Team!$A$11:$A$60,$AO20),rngPMStart,"&lt;="&amp;Calendar!AC$11,rngPMEnd,"&gt;="&amp;Calendar!AC$11))</ns0:f>
        <ns0:v>0</ns0:v>
      </ns0:c>
      <ns0:c r="DC20" s="0">
        <ns0:f>IF(OR($AO20=0,$B$5&lt;&gt;"OK",$B$6&gt;0,Calendar!AD$11=""),0,SUMIFS(rngEngine_U,rngEngine_B,INDEX(Team!$A$11:$A$60,$AO20),rngAMStart,"&lt;="&amp;Calendar!AD$11,rngAMEnd,"&gt;="&amp;Calendar!AD$11))</ns0:f>
        <ns0:v>0</ns0:v>
      </ns0:c>
      <ns0:c r="DD20" s="0">
        <ns0:f>IF(OR($AO20=0,$B$5&lt;&gt;"OK",$B$6&gt;0,Calendar!AD$11=""),0,SUMIFS(rngEngine_V,rngEngine_B,INDEX(Team!$A$11:$A$60,$AO20),rngPMStart,"&lt;="&amp;Calendar!AD$11,rngPMEnd,"&gt;="&amp;Calendar!AD$11))</ns0:f>
        <ns0:v>0</ns0:v>
      </ns0:c>
      <ns0:c r="DE20" s="0">
        <ns0:f>IF(OR($AO20=0,$B$5&lt;&gt;"OK",$B$6&gt;0,Calendar!AE$11=""),0,SUMIFS(rngEngine_U,rngEngine_B,INDEX(Team!$A$11:$A$60,$AO20),rngAMStart,"&lt;="&amp;Calendar!AE$11,rngAMEnd,"&gt;="&amp;Calendar!AE$11))</ns0:f>
        <ns0:v>0</ns0:v>
      </ns0:c>
      <ns0:c r="DF20" s="0">
        <ns0:f>IF(OR($AO20=0,$B$5&lt;&gt;"OK",$B$6&gt;0,Calendar!AE$11=""),0,SUMIFS(rngEngine_V,rngEngine_B,INDEX(Team!$A$11:$A$60,$AO20),rngPMStart,"&lt;="&amp;Calendar!AE$11,rngPMEnd,"&gt;="&amp;Calendar!AE$11))</ns0:f>
        <ns0:v>0</ns0:v>
      </ns0:c>
      <ns0:c r="DG20" s="0">
        <ns0:f>IF(OR($AO20=0,$B$5&lt;&gt;"OK",$B$6&gt;0,Calendar!AF$11=""),0,SUMIFS(rngEngine_U,rngEngine_B,INDEX(Team!$A$11:$A$60,$AO20),rngAMStart,"&lt;="&amp;Calendar!AF$11,rngAMEnd,"&gt;="&amp;Calendar!AF$11))</ns0:f>
        <ns0:v>0</ns0:v>
      </ns0:c>
      <ns0:c r="DH20" s="0">
        <ns0:f>IF(OR($AO20=0,$B$5&lt;&gt;"OK",$B$6&gt;0,Calendar!AF$11=""),0,SUMIFS(rngEngine_V,rngEngine_B,INDEX(Team!$A$11:$A$60,$AO20),rngPMStart,"&lt;="&amp;Calendar!AF$11,rngPMEnd,"&gt;="&amp;Calendar!AF$11))</ns0:f>
        <ns0:v>0</ns0:v>
      </ns0:c>
      <ns0:c r="DI20" s="0">
        <ns0:f>IF(OR($AO20=0,$B$5&lt;&gt;"OK",$B$6&gt;0,Calendar!AG$11=""),0,SUMIFS(rngEngine_U,rngEngine_B,INDEX(Team!$A$11:$A$60,$AO20),rngAMStart,"&lt;="&amp;Calendar!AG$11,rngAMEnd,"&gt;="&amp;Calendar!AG$11))</ns0:f>
        <ns0:v>0</ns0:v>
      </ns0:c>
      <ns0:c r="DJ20" s="0">
        <ns0:f>IF(OR($AO20=0,$B$5&lt;&gt;"OK",$B$6&gt;0,Calendar!AG$11=""),0,SUMIFS(rngEngine_V,rngEngine_B,INDEX(Team!$A$11:$A$60,$AO20),rngPMStart,"&lt;="&amp;Calendar!AG$11,rngPMEnd,"&gt;="&amp;Calendar!AG$11))</ns0:f>
        <ns0:v>0</ns0:v>
      </ns0:c>
      <ns0:c r="DK20" s="0">
        <ns0:f>IF(OR($AO20=0,$B$5&lt;&gt;"OK",$B$6&gt;0,Calendar!AH$11=""),0,SUMIFS(rngEngine_U,rngEngine_B,INDEX(Team!$A$11:$A$60,$AO20),rngAMStart,"&lt;="&amp;Calendar!AH$11,rngAMEnd,"&gt;="&amp;Calendar!AH$11))</ns0:f>
        <ns0:v>0</ns0:v>
      </ns0:c>
      <ns0:c r="DL20" s="0">
        <ns0:f>IF(OR($AO20=0,$B$5&lt;&gt;"OK",$B$6&gt;0,Calendar!AH$11=""),0,SUMIFS(rngEngine_V,rngEngine_B,INDEX(Team!$A$11:$A$60,$AO20),rngPMStart,"&lt;="&amp;Calendar!AH$11,rngPMEnd,"&gt;="&amp;Calendar!AH$11))</ns0:f>
        <ns0:v>0</ns0:v>
      </ns0:c>
    </ns0:row>
    <ns0:row r="21" ht="22" customHeight="1">
      <ns0:c r="A21" s="4">
        <ns0:f>IF(COUNTA(Bookings!A21:G21,Bookings!I21)=0,0,1)</ns0:f>
        <ns0:v>1</ns0:v>
      </ns0:c>
      <ns0:c r="B21" s="4" t="str">
        <ns0:f>IFERROR(TRIM(MID(Bookings!A21,FIND(" · ",Bookings!A21)+3,99)),"")</ns0:f>
        <ns0:v>EMP005</ns0:v>
      </ns0:c>
      <ns0:c r="C21" s="4">
        <ns0:f>IF(OR(B21="",LEN(B21)&gt;24,ISNUMBER(FIND(" ",B21)),ISNUMBER(FIND("*",B21)),ISNUMBER(FIND("?",B21)),ISNUMBER(FIND("~",B21))),0,IFERROR(MATCH(B21,Team!$A$11:$A$60,0),0))</ns0:f>
        <ns0:v>5</ns0:v>
      </ns0:c>
      <ns0:c r="D21" s="4" t="str">
        <ns0:f>IFERROR(IF(MID(Bookings!F21,LEN(Bookings!F21)-3,3)=" · ",RIGHT(Bookings!F21,1),""),"")</ns0:f>
        <ns0:v>S</ns0:v>
      </ns0:c>
      <ns0:c r="E21" s="4" t="str">
        <ns0:f>IFERROR(INDEX(Settings!$H$7:$H$11,MATCH(D21,Settings!$G$7:$G$11,0)),"")</ns0:f>
        <ns0:v>No</ns0:v>
      </ns0:c>
      <ns0:c r="F21" s="4" t="str">
        <ns0:f>IF(A21=0,"",IFERROR(IF(OR(B21="",C21=0),"CHECK employee selection",IF(INDEX(Team!$O$11:$O$60,C21)&lt;&gt;"OK","CHECK employee setup",IF(OR('_Dates'!J21=0,'_Dates'!T21=0),"CHECK date: use DD.MM.YYYY",IF('_Dates'!T21&lt;'_Dates'!J21,"CHECK end before start",IF(AND($B$6=0,OR('_Dates'!J21&lt;Settings!$B$7,'_Dates'!T21&gt;Settings!$B$8)),"CHECK split across leave years",IF(OR(NOT(OR('_Dates'!U21="Full day",'_Dates'!U21="AM",'_Dates'!U21="PM")),NOT(OR('_Dates'!V21="Full day",'_Dates'!V21="AM",'_Dates'!V21="PM"))),"CHECK Full day / AM / PM",IF(AND('_Dates'!J21='_Dates'!T21,'_Dates'!U21&lt;&gt;"Full day",'_Dates'!V21&lt;&gt;"Full day",'_Dates'!U21&lt;&gt;'_Dates'!V21),"CHECK same-day portions disagree",IF(AND($B$6=0,OR(AND('_Dates'!U21&lt;&gt;"Full day",'_Dates'!AA21=0),AND('_Dates'!V21&lt;&gt;"Full day",'_Dates'!AB21=0))),"CHECK half-day on non-working date",IF(COUNTIF(Settings!$G$7:$G$11,D21)&lt;&gt;1,"CHECK leave type",IF(AND(Bookings!G21&lt;&gt;"Approved",Bookings!G21&lt;&gt;"Pending",Bookings!G21&lt;&gt;"Cancelled"),"CHECK status","OK")))))))))),"CHECK input"))</ns0:f>
        <ns0:v>OK</ns0:v>
      </ns0:c>
      <ns0:c r="G21" s="4">
        <ns0:f>IF(OR(F21&lt;&gt;"OK",$B$6&gt;0),0,0.5*(IF(('_Dates'!X21)&lt;('_Dates'!W21),0,INT((('_Dates'!X21)-('_Dates'!W21)+1)/7)*LEN(SUBSTITUTE(W21,"O",""))+LEN(SUBSTITUTE(MID(W21&amp;W21,WEEKDAY(('_Dates'!W21),2),MOD((('_Dates'!X21)-('_Dates'!W21)+1),7)),"O",""))-COUNTIFS(INDEX(AllClosureRows,C21,0),"&gt;="&amp;('_Dates'!W21),INDEX(AllClosureRows,C21,0),"&lt;="&amp;('_Dates'!X21)))+IF(('_Dates'!Z21)&lt;('_Dates'!Y21),0,INT((('_Dates'!Z21)-('_Dates'!Y21)+1)/7)*LEN(SUBSTITUTE(W21,"O",""))+LEN(SUBSTITUTE(MID(W21&amp;W21,WEEKDAY(('_Dates'!Y21),2),MOD((('_Dates'!Z21)-('_Dates'!Y21)+1),7)),"O",""))-COUNTIFS(INDEX(AllClosureRows,C21,0),"&gt;="&amp;('_Dates'!Y21),INDEX(AllClosureRows,C21,0),"&lt;="&amp;('_Dates'!Z21)))))</ns0:f>
        <ns0:v>1</ns0:v>
      </ns0:c>
      <ns0:c r="H21" s="4">
        <ns0:f>IF(OR(F21&lt;&gt;"OK",$B$6&gt;0),0,0.5*(IF((MIN('_Dates'!X21,Settings!$B$9))&lt;('_Dates'!W21),0,INT(((MIN('_Dates'!X21,Settings!$B$9))-('_Dates'!W21)+1)/7)*LEN(SUBSTITUTE(W21,"O",""))+LEN(SUBSTITUTE(MID(W21&amp;W21,WEEKDAY(('_Dates'!W21),2),MOD(((MIN('_Dates'!X21,Settings!$B$9))-('_Dates'!W21)+1),7)),"O",""))-COUNTIFS(INDEX(AllClosureRows,C21,0),"&gt;="&amp;('_Dates'!W21),INDEX(AllClosureRows,C21,0),"&lt;="&amp;(MIN('_Dates'!X21,Settings!$B$9))))+IF((MIN('_Dates'!Z21,Settings!$B$9))&lt;('_Dates'!Y21),0,INT(((MIN('_Dates'!Z21,Settings!$B$9))-('_Dates'!Y21)+1)/7)*LEN(SUBSTITUTE(W21,"O",""))+LEN(SUBSTITUTE(MID(W21&amp;W21,WEEKDAY(('_Dates'!Y21),2),MOD(((MIN('_Dates'!Z21,Settings!$B$9))-('_Dates'!Y21)+1),7)),"O",""))-COUNTIFS(INDEX(AllClosureRows,C21,0),"&gt;="&amp;('_Dates'!Y21),INDEX(AllClosureRows,C21,0),"&lt;="&amp;(MIN('_Dates'!Z21,Settings!$B$9))))))</ns0:f>
        <ns0:v>1</ns0:v>
      </ns0:c>
      <ns0:c r="I21" s="4">
        <ns0:f>MAX(0,G21-H21)</ns0:f>
        <ns0:v>0</ns0:v>
      </ns0:c>
      <ns0:c r="J21" s="4">
        <ns0:f>IF(OR(A21=0,F21&lt;&gt;"OK",Bookings!G21="Cancelled",$B$6&gt;0),0,IF('_Dates'!AC21=1,MAX(0,COUNTIFS(rngEngine_B,B21,rngAMStart,"&lt;="&amp;'_Dates'!X21,rngAMEnd,"&gt;="&amp;'_Dates'!W21,rngAMActive,1,rngEngine_F,"OK",rngBookings_F,"&lt;&gt;Cancelled")-1),0)+IF('_Dates'!AD21=1,MAX(0,COUNTIFS(rngEngine_B,B21,rngPMStart,"&lt;="&amp;'_Dates'!Z21,rngPMEnd,"&gt;="&amp;'_Dates'!Y21,rngPMActive,1,rngEngine_F,"OK",rngBookings_F,"&lt;&gt;Cancelled")-1),0))</ns0:f>
        <ns0:v>0</ns0:v>
      </ns0:c>
      <ns0:c r="K21" s="0" t="str">
        <ns0:f>IF(A21=0,"",IF(F21&lt;&gt;"OK",F21,IF(J21&gt;0,"CHECK overlapping entry",IF(AND($B$6=0,G21&lt;=0,Bookings!G21&lt;&gt;"Cancelled"),"CHECK no working days",IF(Bookings!G21="Cancelled","Cancelled","OK")))))</ns0:f>
        <ns0:v>OK</ns0:v>
      </ns0:c>
      <ns0:c r="L21" s="0">
        <ns0:f>IF(LEFT(K21,5)="CHECK",1,0)</ns0:f>
        <ns0:v>0</ns0:v>
      </ns0:c>
      <ns0:c r="M21" s="0">
        <ns0:f>IF(AND(L21=1,OR(C21=0,IFERROR(INDEX($X$11:$X$60,C21),0)=0)),1,0)</ns0:f>
        <ns0:v>0</ns0:v>
      </ns0:c>
      <ns0:c r="N21" s="0">
        <ns0:f>IF(OR(A21=0,L21&gt;0,$B$6&gt;0,Bookings!G21="Cancelled"),0,G21)</ns0:f>
        <ns0:v>1</ns0:v>
      </ns0:c>
      <ns0:c r="O21" s="0">
        <ns0:f>IF(AND(Bookings!G21="Approved",E21="Yes"),N21,0)</ns0:f>
        <ns0:v>0</ns0:v>
      </ns0:c>
      <ns0:c r="P21" s="0">
        <ns0:f>IF(AND(Bookings!G21="Approved",E21="Yes",L21=0,$B$6=0),H21,0)</ns0:f>
        <ns0:v>0</ns0:v>
      </ns0:c>
      <ns0:c r="Q21" s="0">
        <ns0:f>IF(AND(Bookings!G21="Approved",E21="Yes",L21=0,$B$6=0),I21,0)</ns0:f>
        <ns0:v>0</ns0:v>
      </ns0:c>
      <ns0:c r="R21" s="0">
        <ns0:f>IF(AND(Bookings!G21="Pending",E21="Yes"),N21,0)</ns0:f>
        <ns0:v>0</ns0:v>
      </ns0:c>
      <ns0:c r="S21" s="0">
        <ns0:f>IF(AND(Bookings!G21="Approved",E21="No"),N21,0)</ns0:f>
        <ns0:v>1</ns0:v>
      </ns0:c>
      <ns0:c r="T21" s="0">
        <ns0:f>IFERROR(MATCH(D21,Settings!$G$7:$G$11,0),0)</ns0:f>
        <ns0:v>2</ns0:v>
      </ns0:c>
      <ns0:c r="U21" s="0">
        <ns0:f>IF(N21&gt;0,T21+IF(Bookings!G21="Pending",10,0),0)</ns0:f>
        <ns0:v>2</ns0:v>
      </ns0:c>
      <ns0:c r="V21" s="0">
        <ns0:f>U21</ns0:f>
        <ns0:v>2</ns0:v>
      </ns0:c>
      <ns0:c r="W21" s="0" t="str">
        <ns0:f>IF(C21=0,"",INDEX($AP$11:$AP$60,C21))</ns0:f>
        <ns0:v>WWWWWOO</ns0:v>
      </ns0:c>
      <ns0:c r="X21" s="0">
        <ns0:f>IF(COUNTA(Team!B21:D21)=0,0,1)</ns0:f>
        <ns0:v>0</ns0:v>
      </ns0:c>
      <ns0:c r="Y21" s="0" t="str">
        <ns0:f>IF(X21=0,"",IF(Team!B21="","[Unnamed]",Team!B21)&amp;" · "&amp;Team!A21)</ns0:f>
        <ns0:v/>
      </ns0:c>
      <ns0:c r="Z21" s="0">
        <ns0:f>IF(X21=0,0,COUNTIF(Team!H21:N21,"Work"))</ns0:f>
        <ns0:v>0</ns0:v>
      </ns0:c>
      <ns0:c r="AA21" s="0">
        <ns0:f>IF(LEFT(Team!O21,5)="CHECK",1,0)</ns0:f>
        <ns0:v>0</ns0:v>
      </ns0:c>
      <ns0:c r="AB21" s="0">
        <ns0:f>IF(X21=0,0,SUMIFS(rngEngine_L,rngEngine_B,Team!A21))</ns0:f>
        <ns0:v>0</ns0:v>
      </ns0:c>
      <ns0:c r="AC21" s="0" t="str">
        <ns0:f>IF(AND(X21=1,OR(Calendar!$C$7="All teams",Team!C21=Calendar!$C$7)),MAX($AC$10:AC20)+1,"")</ns0:f>
        <ns0:v/>
      </ns0:c>
      <ns0:c r="AD21" s="0" t="str">
        <ns0:f>IF(OR(X21=0,Team!C21="",COUNTIF(Team!$C$11:C21,Team!C21)&gt;1),"",MAX($AD$10:AD20)+1)</ns0:f>
        <ns0:v/>
      </ns0:c>
      <ns0:c r="AE21" s="0" t="str">
        <ns0:f>IFERROR(INDEX(Team!$C$11:$C$60,MATCH(ROW()-10,$AD$11:$AD$60,0)),"")</ns0:f>
        <ns0:v/>
      </ns0:c>
      <ns0:c r="AF21" s="0" t="str">
        <ns0:f>AE21</ns0:f>
        <ns0:v/>
      </ns0:c>
      <ns0:c r="AG21" s="0">
        <ns0:f>IF(X21=0,0,IFERROR(Team!F21+Team!G21,0))</ns0:f>
        <ns0:v>0</ns0:v>
      </ns0:c>
      <ns0:c r="AH21" s="0">
        <ns0:f>IF(X21=0,0,SUMIFS(rngEngine_P,rngEngine_B,Team!A21))</ns0:f>
        <ns0:v>0</ns0:v>
      </ns0:c>
      <ns0:c r="AI21" s="0">
        <ns0:f>IF(X21=0,0,SUMIFS(rngEngine_Q,rngEngine_B,Team!A21))</ns0:f>
        <ns0:v>0</ns0:v>
      </ns0:c>
      <ns0:c r="AJ21" s="0">
        <ns0:f>IF(X21=0,0,SUMIFS(rngEngine_R,rngEngine_B,Team!A21))</ns0:f>
        <ns0:v>0</ns0:v>
      </ns0:c>
      <ns0:c r="AK21" s="0">
        <ns0:f>IF(X21=0,0,SUMIFS(rngEngine_S,rngEngine_B,Team!A21))</ns0:f>
        <ns0:v>0</ns0:v>
      </ns0:c>
      <ns0:c r="AL21" s="0">
        <ns0:f>AH21+AI21</ns0:f>
        <ns0:v>0</ns0:v>
      </ns0:c>
      <ns0:c r="AM21" s="0" t="str">
        <ns0:f>IF(X21=0,"",IF(AA21&gt;0,"CHECK team setup",IF(AB21&gt;0,"CHECK "&amp;AB21&amp;" booking(s)","OK")))</ns0:f>
        <ns0:v/>
      </ns0:c>
      <ns0:c r="AN21" s="0" t="str">
        <ns0:f>IF(X21=0,"",IF(OR($B$6&gt;0,AM21&lt;&gt;"OK"),"REVIEW",AG21-AL21))</ns0:f>
        <ns0:v/>
      </ns0:c>
      <ns0:c r="AO21" s="0">
        <ns0:f>IFERROR(MATCH(ROW()-11,$AC$11:$AC$60,0),0)</ns0:f>
        <ns0:v>0</ns0:v>
      </ns0:c>
      <ns0:c r="AP21" s="0" t="str">
        <ns0:f>IF(Team!H21="Work","W","O")&amp;IF(Team!I21="Work","W","O")&amp;IF(Team!J21="Work","W","O")&amp;IF(Team!K21="Work","W","O")&amp;IF(Team!L21="Work","W","O")&amp;IF(Team!M21="Work","W","O")&amp;IF(Team!N21="Work","W","O")</ns0:f>
        <ns0:v>OOOOOOO</ns0:v>
      </ns0:c>
      <ns0:c r="AR21" s="0">
        <ns0:f>IFERROR(IF(ISNUMBER(Settings!F21),WEEKDAY(Settings!F21,2),0),0)</ns0:f>
        <ns0:v>0</ns0:v>
      </ns0:c>
      <ns0:c r="AS21" t="inlineStr">
        <ns0:is>
          <ns0:t>November</ns0:t>
        </ns0:is>
      </ns0:c>
      <ns0:c r="BC21" s="0">
        <ns0:f>IF(OR($AO21=0,$B$5&lt;&gt;"OK",$B$6&gt;0,Calendar!D$11=""),0,SUMIFS(rngEngine_U,rngEngine_B,INDEX(Team!$A$11:$A$60,$AO21),rngAMStart,"&lt;="&amp;Calendar!D$11,rngAMEnd,"&gt;="&amp;Calendar!D$11))</ns0:f>
        <ns0:v>0</ns0:v>
      </ns0:c>
      <ns0:c r="BD21" s="0">
        <ns0:f>IF(OR($AO21=0,$B$5&lt;&gt;"OK",$B$6&gt;0,Calendar!D$11=""),0,SUMIFS(rngEngine_V,rngEngine_B,INDEX(Team!$A$11:$A$60,$AO21),rngPMStart,"&lt;="&amp;Calendar!D$11,rngPMEnd,"&gt;="&amp;Calendar!D$11))</ns0:f>
        <ns0:v>0</ns0:v>
      </ns0:c>
      <ns0:c r="BE21" s="0">
        <ns0:f>IF(OR($AO21=0,$B$5&lt;&gt;"OK",$B$6&gt;0,Calendar!E$11=""),0,SUMIFS(rngEngine_U,rngEngine_B,INDEX(Team!$A$11:$A$60,$AO21),rngAMStart,"&lt;="&amp;Calendar!E$11,rngAMEnd,"&gt;="&amp;Calendar!E$11))</ns0:f>
        <ns0:v>0</ns0:v>
      </ns0:c>
      <ns0:c r="BF21" s="0">
        <ns0:f>IF(OR($AO21=0,$B$5&lt;&gt;"OK",$B$6&gt;0,Calendar!E$11=""),0,SUMIFS(rngEngine_V,rngEngine_B,INDEX(Team!$A$11:$A$60,$AO21),rngPMStart,"&lt;="&amp;Calendar!E$11,rngPMEnd,"&gt;="&amp;Calendar!E$11))</ns0:f>
        <ns0:v>0</ns0:v>
      </ns0:c>
      <ns0:c r="BG21" s="0">
        <ns0:f>IF(OR($AO21=0,$B$5&lt;&gt;"OK",$B$6&gt;0,Calendar!F$11=""),0,SUMIFS(rngEngine_U,rngEngine_B,INDEX(Team!$A$11:$A$60,$AO21),rngAMStart,"&lt;="&amp;Calendar!F$11,rngAMEnd,"&gt;="&amp;Calendar!F$11))</ns0:f>
        <ns0:v>0</ns0:v>
      </ns0:c>
      <ns0:c r="BH21" s="0">
        <ns0:f>IF(OR($AO21=0,$B$5&lt;&gt;"OK",$B$6&gt;0,Calendar!F$11=""),0,SUMIFS(rngEngine_V,rngEngine_B,INDEX(Team!$A$11:$A$60,$AO21),rngPMStart,"&lt;="&amp;Calendar!F$11,rngPMEnd,"&gt;="&amp;Calendar!F$11))</ns0:f>
        <ns0:v>0</ns0:v>
      </ns0:c>
      <ns0:c r="BI21" s="0">
        <ns0:f>IF(OR($AO21=0,$B$5&lt;&gt;"OK",$B$6&gt;0,Calendar!G$11=""),0,SUMIFS(rngEngine_U,rngEngine_B,INDEX(Team!$A$11:$A$60,$AO21),rngAMStart,"&lt;="&amp;Calendar!G$11,rngAMEnd,"&gt;="&amp;Calendar!G$11))</ns0:f>
        <ns0:v>0</ns0:v>
      </ns0:c>
      <ns0:c r="BJ21" s="0">
        <ns0:f>IF(OR($AO21=0,$B$5&lt;&gt;"OK",$B$6&gt;0,Calendar!G$11=""),0,SUMIFS(rngEngine_V,rngEngine_B,INDEX(Team!$A$11:$A$60,$AO21),rngPMStart,"&lt;="&amp;Calendar!G$11,rngPMEnd,"&gt;="&amp;Calendar!G$11))</ns0:f>
        <ns0:v>0</ns0:v>
      </ns0:c>
      <ns0:c r="BK21" s="0">
        <ns0:f>IF(OR($AO21=0,$B$5&lt;&gt;"OK",$B$6&gt;0,Calendar!H$11=""),0,SUMIFS(rngEngine_U,rngEngine_B,INDEX(Team!$A$11:$A$60,$AO21),rngAMStart,"&lt;="&amp;Calendar!H$11,rngAMEnd,"&gt;="&amp;Calendar!H$11))</ns0:f>
        <ns0:v>0</ns0:v>
      </ns0:c>
      <ns0:c r="BL21" s="0">
        <ns0:f>IF(OR($AO21=0,$B$5&lt;&gt;"OK",$B$6&gt;0,Calendar!H$11=""),0,SUMIFS(rngEngine_V,rngEngine_B,INDEX(Team!$A$11:$A$60,$AO21),rngPMStart,"&lt;="&amp;Calendar!H$11,rngPMEnd,"&gt;="&amp;Calendar!H$11))</ns0:f>
        <ns0:v>0</ns0:v>
      </ns0:c>
      <ns0:c r="BM21" s="0">
        <ns0:f>IF(OR($AO21=0,$B$5&lt;&gt;"OK",$B$6&gt;0,Calendar!I$11=""),0,SUMIFS(rngEngine_U,rngEngine_B,INDEX(Team!$A$11:$A$60,$AO21),rngAMStart,"&lt;="&amp;Calendar!I$11,rngAMEnd,"&gt;="&amp;Calendar!I$11))</ns0:f>
        <ns0:v>0</ns0:v>
      </ns0:c>
      <ns0:c r="BN21" s="0">
        <ns0:f>IF(OR($AO21=0,$B$5&lt;&gt;"OK",$B$6&gt;0,Calendar!I$11=""),0,SUMIFS(rngEngine_V,rngEngine_B,INDEX(Team!$A$11:$A$60,$AO21),rngPMStart,"&lt;="&amp;Calendar!I$11,rngPMEnd,"&gt;="&amp;Calendar!I$11))</ns0:f>
        <ns0:v>0</ns0:v>
      </ns0:c>
      <ns0:c r="BO21" s="0">
        <ns0:f>IF(OR($AO21=0,$B$5&lt;&gt;"OK",$B$6&gt;0,Calendar!J$11=""),0,SUMIFS(rngEngine_U,rngEngine_B,INDEX(Team!$A$11:$A$60,$AO21),rngAMStart,"&lt;="&amp;Calendar!J$11,rngAMEnd,"&gt;="&amp;Calendar!J$11))</ns0:f>
        <ns0:v>0</ns0:v>
      </ns0:c>
      <ns0:c r="BP21" s="0">
        <ns0:f>IF(OR($AO21=0,$B$5&lt;&gt;"OK",$B$6&gt;0,Calendar!J$11=""),0,SUMIFS(rngEngine_V,rngEngine_B,INDEX(Team!$A$11:$A$60,$AO21),rngPMStart,"&lt;="&amp;Calendar!J$11,rngPMEnd,"&gt;="&amp;Calendar!J$11))</ns0:f>
        <ns0:v>0</ns0:v>
      </ns0:c>
      <ns0:c r="BQ21" s="0">
        <ns0:f>IF(OR($AO21=0,$B$5&lt;&gt;"OK",$B$6&gt;0,Calendar!K$11=""),0,SUMIFS(rngEngine_U,rngEngine_B,INDEX(Team!$A$11:$A$60,$AO21),rngAMStart,"&lt;="&amp;Calendar!K$11,rngAMEnd,"&gt;="&amp;Calendar!K$11))</ns0:f>
        <ns0:v>0</ns0:v>
      </ns0:c>
      <ns0:c r="BR21" s="0">
        <ns0:f>IF(OR($AO21=0,$B$5&lt;&gt;"OK",$B$6&gt;0,Calendar!K$11=""),0,SUMIFS(rngEngine_V,rngEngine_B,INDEX(Team!$A$11:$A$60,$AO21),rngPMStart,"&lt;="&amp;Calendar!K$11,rngPMEnd,"&gt;="&amp;Calendar!K$11))</ns0:f>
        <ns0:v>0</ns0:v>
      </ns0:c>
      <ns0:c r="BS21" s="0">
        <ns0:f>IF(OR($AO21=0,$B$5&lt;&gt;"OK",$B$6&gt;0,Calendar!L$11=""),0,SUMIFS(rngEngine_U,rngEngine_B,INDEX(Team!$A$11:$A$60,$AO21),rngAMStart,"&lt;="&amp;Calendar!L$11,rngAMEnd,"&gt;="&amp;Calendar!L$11))</ns0:f>
        <ns0:v>0</ns0:v>
      </ns0:c>
      <ns0:c r="BT21" s="0">
        <ns0:f>IF(OR($AO21=0,$B$5&lt;&gt;"OK",$B$6&gt;0,Calendar!L$11=""),0,SUMIFS(rngEngine_V,rngEngine_B,INDEX(Team!$A$11:$A$60,$AO21),rngPMStart,"&lt;="&amp;Calendar!L$11,rngPMEnd,"&gt;="&amp;Calendar!L$11))</ns0:f>
        <ns0:v>0</ns0:v>
      </ns0:c>
      <ns0:c r="BU21" s="0">
        <ns0:f>IF(OR($AO21=0,$B$5&lt;&gt;"OK",$B$6&gt;0,Calendar!M$11=""),0,SUMIFS(rngEngine_U,rngEngine_B,INDEX(Team!$A$11:$A$60,$AO21),rngAMStart,"&lt;="&amp;Calendar!M$11,rngAMEnd,"&gt;="&amp;Calendar!M$11))</ns0:f>
        <ns0:v>0</ns0:v>
      </ns0:c>
      <ns0:c r="BV21" s="0">
        <ns0:f>IF(OR($AO21=0,$B$5&lt;&gt;"OK",$B$6&gt;0,Calendar!M$11=""),0,SUMIFS(rngEngine_V,rngEngine_B,INDEX(Team!$A$11:$A$60,$AO21),rngPMStart,"&lt;="&amp;Calendar!M$11,rngPMEnd,"&gt;="&amp;Calendar!M$11))</ns0:f>
        <ns0:v>0</ns0:v>
      </ns0:c>
      <ns0:c r="BW21" s="0">
        <ns0:f>IF(OR($AO21=0,$B$5&lt;&gt;"OK",$B$6&gt;0,Calendar!N$11=""),0,SUMIFS(rngEngine_U,rngEngine_B,INDEX(Team!$A$11:$A$60,$AO21),rngAMStart,"&lt;="&amp;Calendar!N$11,rngAMEnd,"&gt;="&amp;Calendar!N$11))</ns0:f>
        <ns0:v>0</ns0:v>
      </ns0:c>
      <ns0:c r="BX21" s="0">
        <ns0:f>IF(OR($AO21=0,$B$5&lt;&gt;"OK",$B$6&gt;0,Calendar!N$11=""),0,SUMIFS(rngEngine_V,rngEngine_B,INDEX(Team!$A$11:$A$60,$AO21),rngPMStart,"&lt;="&amp;Calendar!N$11,rngPMEnd,"&gt;="&amp;Calendar!N$11))</ns0:f>
        <ns0:v>0</ns0:v>
      </ns0:c>
      <ns0:c r="BY21" s="0">
        <ns0:f>IF(OR($AO21=0,$B$5&lt;&gt;"OK",$B$6&gt;0,Calendar!O$11=""),0,SUMIFS(rngEngine_U,rngEngine_B,INDEX(Team!$A$11:$A$60,$AO21),rngAMStart,"&lt;="&amp;Calendar!O$11,rngAMEnd,"&gt;="&amp;Calendar!O$11))</ns0:f>
        <ns0:v>0</ns0:v>
      </ns0:c>
      <ns0:c r="BZ21" s="0">
        <ns0:f>IF(OR($AO21=0,$B$5&lt;&gt;"OK",$B$6&gt;0,Calendar!O$11=""),0,SUMIFS(rngEngine_V,rngEngine_B,INDEX(Team!$A$11:$A$60,$AO21),rngPMStart,"&lt;="&amp;Calendar!O$11,rngPMEnd,"&gt;="&amp;Calendar!O$11))</ns0:f>
        <ns0:v>0</ns0:v>
      </ns0:c>
      <ns0:c r="CA21" s="0">
        <ns0:f>IF(OR($AO21=0,$B$5&lt;&gt;"OK",$B$6&gt;0,Calendar!P$11=""),0,SUMIFS(rngEngine_U,rngEngine_B,INDEX(Team!$A$11:$A$60,$AO21),rngAMStart,"&lt;="&amp;Calendar!P$11,rngAMEnd,"&gt;="&amp;Calendar!P$11))</ns0:f>
        <ns0:v>0</ns0:v>
      </ns0:c>
      <ns0:c r="CB21" s="0">
        <ns0:f>IF(OR($AO21=0,$B$5&lt;&gt;"OK",$B$6&gt;0,Calendar!P$11=""),0,SUMIFS(rngEngine_V,rngEngine_B,INDEX(Team!$A$11:$A$60,$AO21),rngPMStart,"&lt;="&amp;Calendar!P$11,rngPMEnd,"&gt;="&amp;Calendar!P$11))</ns0:f>
        <ns0:v>0</ns0:v>
      </ns0:c>
      <ns0:c r="CC21" s="0">
        <ns0:f>IF(OR($AO21=0,$B$5&lt;&gt;"OK",$B$6&gt;0,Calendar!Q$11=""),0,SUMIFS(rngEngine_U,rngEngine_B,INDEX(Team!$A$11:$A$60,$AO21),rngAMStart,"&lt;="&amp;Calendar!Q$11,rngAMEnd,"&gt;="&amp;Calendar!Q$11))</ns0:f>
        <ns0:v>0</ns0:v>
      </ns0:c>
      <ns0:c r="CD21" s="0">
        <ns0:f>IF(OR($AO21=0,$B$5&lt;&gt;"OK",$B$6&gt;0,Calendar!Q$11=""),0,SUMIFS(rngEngine_V,rngEngine_B,INDEX(Team!$A$11:$A$60,$AO21),rngPMStart,"&lt;="&amp;Calendar!Q$11,rngPMEnd,"&gt;="&amp;Calendar!Q$11))</ns0:f>
        <ns0:v>0</ns0:v>
      </ns0:c>
      <ns0:c r="CE21" s="0">
        <ns0:f>IF(OR($AO21=0,$B$5&lt;&gt;"OK",$B$6&gt;0,Calendar!R$11=""),0,SUMIFS(rngEngine_U,rngEngine_B,INDEX(Team!$A$11:$A$60,$AO21),rngAMStart,"&lt;="&amp;Calendar!R$11,rngAMEnd,"&gt;="&amp;Calendar!R$11))</ns0:f>
        <ns0:v>0</ns0:v>
      </ns0:c>
      <ns0:c r="CF21" s="0">
        <ns0:f>IF(OR($AO21=0,$B$5&lt;&gt;"OK",$B$6&gt;0,Calendar!R$11=""),0,SUMIFS(rngEngine_V,rngEngine_B,INDEX(Team!$A$11:$A$60,$AO21),rngPMStart,"&lt;="&amp;Calendar!R$11,rngPMEnd,"&gt;="&amp;Calendar!R$11))</ns0:f>
        <ns0:v>0</ns0:v>
      </ns0:c>
      <ns0:c r="CG21" s="0">
        <ns0:f>IF(OR($AO21=0,$B$5&lt;&gt;"OK",$B$6&gt;0,Calendar!S$11=""),0,SUMIFS(rngEngine_U,rngEngine_B,INDEX(Team!$A$11:$A$60,$AO21),rngAMStart,"&lt;="&amp;Calendar!S$11,rngAMEnd,"&gt;="&amp;Calendar!S$11))</ns0:f>
        <ns0:v>0</ns0:v>
      </ns0:c>
      <ns0:c r="CH21" s="0">
        <ns0:f>IF(OR($AO21=0,$B$5&lt;&gt;"OK",$B$6&gt;0,Calendar!S$11=""),0,SUMIFS(rngEngine_V,rngEngine_B,INDEX(Team!$A$11:$A$60,$AO21),rngPMStart,"&lt;="&amp;Calendar!S$11,rngPMEnd,"&gt;="&amp;Calendar!S$11))</ns0:f>
        <ns0:v>0</ns0:v>
      </ns0:c>
      <ns0:c r="CI21" s="0">
        <ns0:f>IF(OR($AO21=0,$B$5&lt;&gt;"OK",$B$6&gt;0,Calendar!T$11=""),0,SUMIFS(rngEngine_U,rngEngine_B,INDEX(Team!$A$11:$A$60,$AO21),rngAMStart,"&lt;="&amp;Calendar!T$11,rngAMEnd,"&gt;="&amp;Calendar!T$11))</ns0:f>
        <ns0:v>0</ns0:v>
      </ns0:c>
      <ns0:c r="CJ21" s="0">
        <ns0:f>IF(OR($AO21=0,$B$5&lt;&gt;"OK",$B$6&gt;0,Calendar!T$11=""),0,SUMIFS(rngEngine_V,rngEngine_B,INDEX(Team!$A$11:$A$60,$AO21),rngPMStart,"&lt;="&amp;Calendar!T$11,rngPMEnd,"&gt;="&amp;Calendar!T$11))</ns0:f>
        <ns0:v>0</ns0:v>
      </ns0:c>
      <ns0:c r="CK21" s="0">
        <ns0:f>IF(OR($AO21=0,$B$5&lt;&gt;"OK",$B$6&gt;0,Calendar!U$11=""),0,SUMIFS(rngEngine_U,rngEngine_B,INDEX(Team!$A$11:$A$60,$AO21),rngAMStart,"&lt;="&amp;Calendar!U$11,rngAMEnd,"&gt;="&amp;Calendar!U$11))</ns0:f>
        <ns0:v>0</ns0:v>
      </ns0:c>
      <ns0:c r="CL21" s="0">
        <ns0:f>IF(OR($AO21=0,$B$5&lt;&gt;"OK",$B$6&gt;0,Calendar!U$11=""),0,SUMIFS(rngEngine_V,rngEngine_B,INDEX(Team!$A$11:$A$60,$AO21),rngPMStart,"&lt;="&amp;Calendar!U$11,rngPMEnd,"&gt;="&amp;Calendar!U$11))</ns0:f>
        <ns0:v>0</ns0:v>
      </ns0:c>
      <ns0:c r="CM21" s="0">
        <ns0:f>IF(OR($AO21=0,$B$5&lt;&gt;"OK",$B$6&gt;0,Calendar!V$11=""),0,SUMIFS(rngEngine_U,rngEngine_B,INDEX(Team!$A$11:$A$60,$AO21),rngAMStart,"&lt;="&amp;Calendar!V$11,rngAMEnd,"&gt;="&amp;Calendar!V$11))</ns0:f>
        <ns0:v>0</ns0:v>
      </ns0:c>
      <ns0:c r="CN21" s="0">
        <ns0:f>IF(OR($AO21=0,$B$5&lt;&gt;"OK",$B$6&gt;0,Calendar!V$11=""),0,SUMIFS(rngEngine_V,rngEngine_B,INDEX(Team!$A$11:$A$60,$AO21),rngPMStart,"&lt;="&amp;Calendar!V$11,rngPMEnd,"&gt;="&amp;Calendar!V$11))</ns0:f>
        <ns0:v>0</ns0:v>
      </ns0:c>
      <ns0:c r="CO21" s="0">
        <ns0:f>IF(OR($AO21=0,$B$5&lt;&gt;"OK",$B$6&gt;0,Calendar!W$11=""),0,SUMIFS(rngEngine_U,rngEngine_B,INDEX(Team!$A$11:$A$60,$AO21),rngAMStart,"&lt;="&amp;Calendar!W$11,rngAMEnd,"&gt;="&amp;Calendar!W$11))</ns0:f>
        <ns0:v>0</ns0:v>
      </ns0:c>
      <ns0:c r="CP21" s="0">
        <ns0:f>IF(OR($AO21=0,$B$5&lt;&gt;"OK",$B$6&gt;0,Calendar!W$11=""),0,SUMIFS(rngEngine_V,rngEngine_B,INDEX(Team!$A$11:$A$60,$AO21),rngPMStart,"&lt;="&amp;Calendar!W$11,rngPMEnd,"&gt;="&amp;Calendar!W$11))</ns0:f>
        <ns0:v>0</ns0:v>
      </ns0:c>
      <ns0:c r="CQ21" s="0">
        <ns0:f>IF(OR($AO21=0,$B$5&lt;&gt;"OK",$B$6&gt;0,Calendar!X$11=""),0,SUMIFS(rngEngine_U,rngEngine_B,INDEX(Team!$A$11:$A$60,$AO21),rngAMStart,"&lt;="&amp;Calendar!X$11,rngAMEnd,"&gt;="&amp;Calendar!X$11))</ns0:f>
        <ns0:v>0</ns0:v>
      </ns0:c>
      <ns0:c r="CR21" s="0">
        <ns0:f>IF(OR($AO21=0,$B$5&lt;&gt;"OK",$B$6&gt;0,Calendar!X$11=""),0,SUMIFS(rngEngine_V,rngEngine_B,INDEX(Team!$A$11:$A$60,$AO21),rngPMStart,"&lt;="&amp;Calendar!X$11,rngPMEnd,"&gt;="&amp;Calendar!X$11))</ns0:f>
        <ns0:v>0</ns0:v>
      </ns0:c>
      <ns0:c r="CS21" s="0">
        <ns0:f>IF(OR($AO21=0,$B$5&lt;&gt;"OK",$B$6&gt;0,Calendar!Y$11=""),0,SUMIFS(rngEngine_U,rngEngine_B,INDEX(Team!$A$11:$A$60,$AO21),rngAMStart,"&lt;="&amp;Calendar!Y$11,rngAMEnd,"&gt;="&amp;Calendar!Y$11))</ns0:f>
        <ns0:v>0</ns0:v>
      </ns0:c>
      <ns0:c r="CT21" s="0">
        <ns0:f>IF(OR($AO21=0,$B$5&lt;&gt;"OK",$B$6&gt;0,Calendar!Y$11=""),0,SUMIFS(rngEngine_V,rngEngine_B,INDEX(Team!$A$11:$A$60,$AO21),rngPMStart,"&lt;="&amp;Calendar!Y$11,rngPMEnd,"&gt;="&amp;Calendar!Y$11))</ns0:f>
        <ns0:v>0</ns0:v>
      </ns0:c>
      <ns0:c r="CU21" s="0">
        <ns0:f>IF(OR($AO21=0,$B$5&lt;&gt;"OK",$B$6&gt;0,Calendar!Z$11=""),0,SUMIFS(rngEngine_U,rngEngine_B,INDEX(Team!$A$11:$A$60,$AO21),rngAMStart,"&lt;="&amp;Calendar!Z$11,rngAMEnd,"&gt;="&amp;Calendar!Z$11))</ns0:f>
        <ns0:v>0</ns0:v>
      </ns0:c>
      <ns0:c r="CV21" s="0">
        <ns0:f>IF(OR($AO21=0,$B$5&lt;&gt;"OK",$B$6&gt;0,Calendar!Z$11=""),0,SUMIFS(rngEngine_V,rngEngine_B,INDEX(Team!$A$11:$A$60,$AO21),rngPMStart,"&lt;="&amp;Calendar!Z$11,rngPMEnd,"&gt;="&amp;Calendar!Z$11))</ns0:f>
        <ns0:v>0</ns0:v>
      </ns0:c>
      <ns0:c r="CW21" s="0">
        <ns0:f>IF(OR($AO21=0,$B$5&lt;&gt;"OK",$B$6&gt;0,Calendar!AA$11=""),0,SUMIFS(rngEngine_U,rngEngine_B,INDEX(Team!$A$11:$A$60,$AO21),rngAMStart,"&lt;="&amp;Calendar!AA$11,rngAMEnd,"&gt;="&amp;Calendar!AA$11))</ns0:f>
        <ns0:v>0</ns0:v>
      </ns0:c>
      <ns0:c r="CX21" s="0">
        <ns0:f>IF(OR($AO21=0,$B$5&lt;&gt;"OK",$B$6&gt;0,Calendar!AA$11=""),0,SUMIFS(rngEngine_V,rngEngine_B,INDEX(Team!$A$11:$A$60,$AO21),rngPMStart,"&lt;="&amp;Calendar!AA$11,rngPMEnd,"&gt;="&amp;Calendar!AA$11))</ns0:f>
        <ns0:v>0</ns0:v>
      </ns0:c>
      <ns0:c r="CY21" s="0">
        <ns0:f>IF(OR($AO21=0,$B$5&lt;&gt;"OK",$B$6&gt;0,Calendar!AB$11=""),0,SUMIFS(rngEngine_U,rngEngine_B,INDEX(Team!$A$11:$A$60,$AO21),rngAMStart,"&lt;="&amp;Calendar!AB$11,rngAMEnd,"&gt;="&amp;Calendar!AB$11))</ns0:f>
        <ns0:v>0</ns0:v>
      </ns0:c>
      <ns0:c r="CZ21" s="0">
        <ns0:f>IF(OR($AO21=0,$B$5&lt;&gt;"OK",$B$6&gt;0,Calendar!AB$11=""),0,SUMIFS(rngEngine_V,rngEngine_B,INDEX(Team!$A$11:$A$60,$AO21),rngPMStart,"&lt;="&amp;Calendar!AB$11,rngPMEnd,"&gt;="&amp;Calendar!AB$11))</ns0:f>
        <ns0:v>0</ns0:v>
      </ns0:c>
      <ns0:c r="DA21" s="0">
        <ns0:f>IF(OR($AO21=0,$B$5&lt;&gt;"OK",$B$6&gt;0,Calendar!AC$11=""),0,SUMIFS(rngEngine_U,rngEngine_B,INDEX(Team!$A$11:$A$60,$AO21),rngAMStart,"&lt;="&amp;Calendar!AC$11,rngAMEnd,"&gt;="&amp;Calendar!AC$11))</ns0:f>
        <ns0:v>0</ns0:v>
      </ns0:c>
      <ns0:c r="DB21" s="0">
        <ns0:f>IF(OR($AO21=0,$B$5&lt;&gt;"OK",$B$6&gt;0,Calendar!AC$11=""),0,SUMIFS(rngEngine_V,rngEngine_B,INDEX(Team!$A$11:$A$60,$AO21),rngPMStart,"&lt;="&amp;Calendar!AC$11,rngPMEnd,"&gt;="&amp;Calendar!AC$11))</ns0:f>
        <ns0:v>0</ns0:v>
      </ns0:c>
      <ns0:c r="DC21" s="0">
        <ns0:f>IF(OR($AO21=0,$B$5&lt;&gt;"OK",$B$6&gt;0,Calendar!AD$11=""),0,SUMIFS(rngEngine_U,rngEngine_B,INDEX(Team!$A$11:$A$60,$AO21),rngAMStart,"&lt;="&amp;Calendar!AD$11,rngAMEnd,"&gt;="&amp;Calendar!AD$11))</ns0:f>
        <ns0:v>0</ns0:v>
      </ns0:c>
      <ns0:c r="DD21" s="0">
        <ns0:f>IF(OR($AO21=0,$B$5&lt;&gt;"OK",$B$6&gt;0,Calendar!AD$11=""),0,SUMIFS(rngEngine_V,rngEngine_B,INDEX(Team!$A$11:$A$60,$AO21),rngPMStart,"&lt;="&amp;Calendar!AD$11,rngPMEnd,"&gt;="&amp;Calendar!AD$11))</ns0:f>
        <ns0:v>0</ns0:v>
      </ns0:c>
      <ns0:c r="DE21" s="0">
        <ns0:f>IF(OR($AO21=0,$B$5&lt;&gt;"OK",$B$6&gt;0,Calendar!AE$11=""),0,SUMIFS(rngEngine_U,rngEngine_B,INDEX(Team!$A$11:$A$60,$AO21),rngAMStart,"&lt;="&amp;Calendar!AE$11,rngAMEnd,"&gt;="&amp;Calendar!AE$11))</ns0:f>
        <ns0:v>0</ns0:v>
      </ns0:c>
      <ns0:c r="DF21" s="0">
        <ns0:f>IF(OR($AO21=0,$B$5&lt;&gt;"OK",$B$6&gt;0,Calendar!AE$11=""),0,SUMIFS(rngEngine_V,rngEngine_B,INDEX(Team!$A$11:$A$60,$AO21),rngPMStart,"&lt;="&amp;Calendar!AE$11,rngPMEnd,"&gt;="&amp;Calendar!AE$11))</ns0:f>
        <ns0:v>0</ns0:v>
      </ns0:c>
      <ns0:c r="DG21" s="0">
        <ns0:f>IF(OR($AO21=0,$B$5&lt;&gt;"OK",$B$6&gt;0,Calendar!AF$11=""),0,SUMIFS(rngEngine_U,rngEngine_B,INDEX(Team!$A$11:$A$60,$AO21),rngAMStart,"&lt;="&amp;Calendar!AF$11,rngAMEnd,"&gt;="&amp;Calendar!AF$11))</ns0:f>
        <ns0:v>0</ns0:v>
      </ns0:c>
      <ns0:c r="DH21" s="0">
        <ns0:f>IF(OR($AO21=0,$B$5&lt;&gt;"OK",$B$6&gt;0,Calendar!AF$11=""),0,SUMIFS(rngEngine_V,rngEngine_B,INDEX(Team!$A$11:$A$60,$AO21),rngPMStart,"&lt;="&amp;Calendar!AF$11,rngPMEnd,"&gt;="&amp;Calendar!AF$11))</ns0:f>
        <ns0:v>0</ns0:v>
      </ns0:c>
      <ns0:c r="DI21" s="0">
        <ns0:f>IF(OR($AO21=0,$B$5&lt;&gt;"OK",$B$6&gt;0,Calendar!AG$11=""),0,SUMIFS(rngEngine_U,rngEngine_B,INDEX(Team!$A$11:$A$60,$AO21),rngAMStart,"&lt;="&amp;Calendar!AG$11,rngAMEnd,"&gt;="&amp;Calendar!AG$11))</ns0:f>
        <ns0:v>0</ns0:v>
      </ns0:c>
      <ns0:c r="DJ21" s="0">
        <ns0:f>IF(OR($AO21=0,$B$5&lt;&gt;"OK",$B$6&gt;0,Calendar!AG$11=""),0,SUMIFS(rngEngine_V,rngEngine_B,INDEX(Team!$A$11:$A$60,$AO21),rngPMStart,"&lt;="&amp;Calendar!AG$11,rngPMEnd,"&gt;="&amp;Calendar!AG$11))</ns0:f>
        <ns0:v>0</ns0:v>
      </ns0:c>
      <ns0:c r="DK21" s="0">
        <ns0:f>IF(OR($AO21=0,$B$5&lt;&gt;"OK",$B$6&gt;0,Calendar!AH$11=""),0,SUMIFS(rngEngine_U,rngEngine_B,INDEX(Team!$A$11:$A$60,$AO21),rngAMStart,"&lt;="&amp;Calendar!AH$11,rngAMEnd,"&gt;="&amp;Calendar!AH$11))</ns0:f>
        <ns0:v>0</ns0:v>
      </ns0:c>
      <ns0:c r="DL21" s="0">
        <ns0:f>IF(OR($AO21=0,$B$5&lt;&gt;"OK",$B$6&gt;0,Calendar!AH$11=""),0,SUMIFS(rngEngine_V,rngEngine_B,INDEX(Team!$A$11:$A$60,$AO21),rngPMStart,"&lt;="&amp;Calendar!AH$11,rngPMEnd,"&gt;="&amp;Calendar!AH$11))</ns0:f>
        <ns0:v>0</ns0:v>
      </ns0:c>
    </ns0:row>
    <ns0:row r="22" ht="22" customHeight="1">
      <ns0:c r="A22" s="4">
        <ns0:f>IF(COUNTA(Bookings!A22:G22,Bookings!I22)=0,0,1)</ns0:f>
        <ns0:v>1</ns0:v>
      </ns0:c>
      <ns0:c r="B22" s="4" t="str">
        <ns0:f>IFERROR(TRIM(MID(Bookings!A22,FIND(" · ",Bookings!A22)+3,99)),"")</ns0:f>
        <ns0:v>EMP006</ns0:v>
      </ns0:c>
      <ns0:c r="C22" s="4">
        <ns0:f>IF(OR(B22="",LEN(B22)&gt;24,ISNUMBER(FIND(" ",B22)),ISNUMBER(FIND("*",B22)),ISNUMBER(FIND("?",B22)),ISNUMBER(FIND("~",B22))),0,IFERROR(MATCH(B22,Team!$A$11:$A$60,0),0))</ns0:f>
        <ns0:v>6</ns0:v>
      </ns0:c>
      <ns0:c r="D22" s="4" t="str">
        <ns0:f>IFERROR(IF(MID(Bookings!F22,LEN(Bookings!F22)-3,3)=" · ",RIGHT(Bookings!F22,1),""),"")</ns0:f>
        <ns0:v>U</ns0:v>
      </ns0:c>
      <ns0:c r="E22" s="4" t="str">
        <ns0:f>IFERROR(INDEX(Settings!$H$7:$H$11,MATCH(D22,Settings!$G$7:$G$11,0)),"")</ns0:f>
        <ns0:v>No</ns0:v>
      </ns0:c>
      <ns0:c r="F22" s="4" t="str">
        <ns0:f>IF(A22=0,"",IFERROR(IF(OR(B22="",C22=0),"CHECK employee selection",IF(INDEX(Team!$O$11:$O$60,C22)&lt;&gt;"OK","CHECK employee setup",IF(OR('_Dates'!J22=0,'_Dates'!T22=0),"CHECK date: use DD.MM.YYYY",IF('_Dates'!T22&lt;'_Dates'!J22,"CHECK end before start",IF(AND($B$6=0,OR('_Dates'!J22&lt;Settings!$B$7,'_Dates'!T22&gt;Settings!$B$8)),"CHECK split across leave years",IF(OR(NOT(OR('_Dates'!U22="Full day",'_Dates'!U22="AM",'_Dates'!U22="PM")),NOT(OR('_Dates'!V22="Full day",'_Dates'!V22="AM",'_Dates'!V22="PM"))),"CHECK Full day / AM / PM",IF(AND('_Dates'!J22='_Dates'!T22,'_Dates'!U22&lt;&gt;"Full day",'_Dates'!V22&lt;&gt;"Full day",'_Dates'!U22&lt;&gt;'_Dates'!V22),"CHECK same-day portions disagree",IF(AND($B$6=0,OR(AND('_Dates'!U22&lt;&gt;"Full day",'_Dates'!AA22=0),AND('_Dates'!V22&lt;&gt;"Full day",'_Dates'!AB22=0))),"CHECK half-day on non-working date",IF(COUNTIF(Settings!$G$7:$G$11,D22)&lt;&gt;1,"CHECK leave type",IF(AND(Bookings!G22&lt;&gt;"Approved",Bookings!G22&lt;&gt;"Pending",Bookings!G22&lt;&gt;"Cancelled"),"CHECK status","OK")))))))))),"CHECK input"))</ns0:f>
        <ns0:v>OK</ns0:v>
      </ns0:c>
      <ns0:c r="G22" s="4">
        <ns0:f>IF(OR(F22&lt;&gt;"OK",$B$6&gt;0),0,0.5*(IF(('_Dates'!X22)&lt;('_Dates'!W22),0,INT((('_Dates'!X22)-('_Dates'!W22)+1)/7)*LEN(SUBSTITUTE(W22,"O",""))+LEN(SUBSTITUTE(MID(W22&amp;W22,WEEKDAY(('_Dates'!W22),2),MOD((('_Dates'!X22)-('_Dates'!W22)+1),7)),"O",""))-COUNTIFS(INDEX(AllClosureRows,C22,0),"&gt;="&amp;('_Dates'!W22),INDEX(AllClosureRows,C22,0),"&lt;="&amp;('_Dates'!X22)))+IF(('_Dates'!Z22)&lt;('_Dates'!Y22),0,INT((('_Dates'!Z22)-('_Dates'!Y22)+1)/7)*LEN(SUBSTITUTE(W22,"O",""))+LEN(SUBSTITUTE(MID(W22&amp;W22,WEEKDAY(('_Dates'!Y22),2),MOD((('_Dates'!Z22)-('_Dates'!Y22)+1),7)),"O",""))-COUNTIFS(INDEX(AllClosureRows,C22,0),"&gt;="&amp;('_Dates'!Y22),INDEX(AllClosureRows,C22,0),"&lt;="&amp;('_Dates'!Z22)))))</ns0:f>
        <ns0:v>1</ns0:v>
      </ns0:c>
      <ns0:c r="H22" s="4">
        <ns0:f>IF(OR(F22&lt;&gt;"OK",$B$6&gt;0),0,0.5*(IF((MIN('_Dates'!X22,Settings!$B$9))&lt;('_Dates'!W22),0,INT(((MIN('_Dates'!X22,Settings!$B$9))-('_Dates'!W22)+1)/7)*LEN(SUBSTITUTE(W22,"O",""))+LEN(SUBSTITUTE(MID(W22&amp;W22,WEEKDAY(('_Dates'!W22),2),MOD(((MIN('_Dates'!X22,Settings!$B$9))-('_Dates'!W22)+1),7)),"O",""))-COUNTIFS(INDEX(AllClosureRows,C22,0),"&gt;="&amp;('_Dates'!W22),INDEX(AllClosureRows,C22,0),"&lt;="&amp;(MIN('_Dates'!X22,Settings!$B$9))))+IF((MIN('_Dates'!Z22,Settings!$B$9))&lt;('_Dates'!Y22),0,INT(((MIN('_Dates'!Z22,Settings!$B$9))-('_Dates'!Y22)+1)/7)*LEN(SUBSTITUTE(W22,"O",""))+LEN(SUBSTITUTE(MID(W22&amp;W22,WEEKDAY(('_Dates'!Y22),2),MOD(((MIN('_Dates'!Z22,Settings!$B$9))-('_Dates'!Y22)+1),7)),"O",""))-COUNTIFS(INDEX(AllClosureRows,C22,0),"&gt;="&amp;('_Dates'!Y22),INDEX(AllClosureRows,C22,0),"&lt;="&amp;(MIN('_Dates'!Z22,Settings!$B$9))))))</ns0:f>
        <ns0:v>1</ns0:v>
      </ns0:c>
      <ns0:c r="I22" s="4">
        <ns0:f>MAX(0,G22-H22)</ns0:f>
        <ns0:v>0</ns0:v>
      </ns0:c>
      <ns0:c r="J22" s="4">
        <ns0:f>IF(OR(A22=0,F22&lt;&gt;"OK",Bookings!G22="Cancelled",$B$6&gt;0),0,IF('_Dates'!AC22=1,MAX(0,COUNTIFS(rngEngine_B,B22,rngAMStart,"&lt;="&amp;'_Dates'!X22,rngAMEnd,"&gt;="&amp;'_Dates'!W22,rngAMActive,1,rngEngine_F,"OK",rngBookings_F,"&lt;&gt;Cancelled")-1),0)+IF('_Dates'!AD22=1,MAX(0,COUNTIFS(rngEngine_B,B22,rngPMStart,"&lt;="&amp;'_Dates'!Z22,rngPMEnd,"&gt;="&amp;'_Dates'!Y22,rngPMActive,1,rngEngine_F,"OK",rngBookings_F,"&lt;&gt;Cancelled")-1),0))</ns0:f>
        <ns0:v>0</ns0:v>
      </ns0:c>
      <ns0:c r="K22" s="0" t="str">
        <ns0:f>IF(A22=0,"",IF(F22&lt;&gt;"OK",F22,IF(J22&gt;0,"CHECK overlapping entry",IF(AND($B$6=0,G22&lt;=0,Bookings!G22&lt;&gt;"Cancelled"),"CHECK no working days",IF(Bookings!G22="Cancelled","Cancelled","OK")))))</ns0:f>
        <ns0:v>OK</ns0:v>
      </ns0:c>
      <ns0:c r="L22" s="0">
        <ns0:f>IF(LEFT(K22,5)="CHECK",1,0)</ns0:f>
        <ns0:v>0</ns0:v>
      </ns0:c>
      <ns0:c r="M22" s="0">
        <ns0:f>IF(AND(L22=1,OR(C22=0,IFERROR(INDEX($X$11:$X$60,C22),0)=0)),1,0)</ns0:f>
        <ns0:v>0</ns0:v>
      </ns0:c>
      <ns0:c r="N22" s="0">
        <ns0:f>IF(OR(A22=0,L22&gt;0,$B$6&gt;0,Bookings!G22="Cancelled"),0,G22)</ns0:f>
        <ns0:v>1</ns0:v>
      </ns0:c>
      <ns0:c r="O22" s="0">
        <ns0:f>IF(AND(Bookings!G22="Approved",E22="Yes"),N22,0)</ns0:f>
        <ns0:v>0</ns0:v>
      </ns0:c>
      <ns0:c r="P22" s="0">
        <ns0:f>IF(AND(Bookings!G22="Approved",E22="Yes",L22=0,$B$6=0),H22,0)</ns0:f>
        <ns0:v>0</ns0:v>
      </ns0:c>
      <ns0:c r="Q22" s="0">
        <ns0:f>IF(AND(Bookings!G22="Approved",E22="Yes",L22=0,$B$6=0),I22,0)</ns0:f>
        <ns0:v>0</ns0:v>
      </ns0:c>
      <ns0:c r="R22" s="0">
        <ns0:f>IF(AND(Bookings!G22="Pending",E22="Yes"),N22,0)</ns0:f>
        <ns0:v>0</ns0:v>
      </ns0:c>
      <ns0:c r="S22" s="0">
        <ns0:f>IF(AND(Bookings!G22="Approved",E22="No"),N22,0)</ns0:f>
        <ns0:v>1</ns0:v>
      </ns0:c>
      <ns0:c r="T22" s="0">
        <ns0:f>IFERROR(MATCH(D22,Settings!$G$7:$G$11,0),0)</ns0:f>
        <ns0:v>3</ns0:v>
      </ns0:c>
      <ns0:c r="U22" s="0">
        <ns0:f>IF(N22&gt;0,T22+IF(Bookings!G22="Pending",10,0),0)</ns0:f>
        <ns0:v>3</ns0:v>
      </ns0:c>
      <ns0:c r="V22" s="0">
        <ns0:f>U22</ns0:f>
        <ns0:v>3</ns0:v>
      </ns0:c>
      <ns0:c r="W22" s="0" t="str">
        <ns0:f>IF(C22=0,"",INDEX($AP$11:$AP$60,C22))</ns0:f>
        <ns0:v>WWWWOOO</ns0:v>
      </ns0:c>
      <ns0:c r="X22" s="0">
        <ns0:f>IF(COUNTA(Team!B22:D22)=0,0,1)</ns0:f>
        <ns0:v>0</ns0:v>
      </ns0:c>
      <ns0:c r="Y22" s="0" t="str">
        <ns0:f>IF(X22=0,"",IF(Team!B22="","[Unnamed]",Team!B22)&amp;" · "&amp;Team!A22)</ns0:f>
        <ns0:v/>
      </ns0:c>
      <ns0:c r="Z22" s="0">
        <ns0:f>IF(X22=0,0,COUNTIF(Team!H22:N22,"Work"))</ns0:f>
        <ns0:v>0</ns0:v>
      </ns0:c>
      <ns0:c r="AA22" s="0">
        <ns0:f>IF(LEFT(Team!O22,5)="CHECK",1,0)</ns0:f>
        <ns0:v>0</ns0:v>
      </ns0:c>
      <ns0:c r="AB22" s="0">
        <ns0:f>IF(X22=0,0,SUMIFS(rngEngine_L,rngEngine_B,Team!A22))</ns0:f>
        <ns0:v>0</ns0:v>
      </ns0:c>
      <ns0:c r="AC22" s="0" t="str">
        <ns0:f>IF(AND(X22=1,OR(Calendar!$C$7="All teams",Team!C22=Calendar!$C$7)),MAX($AC$10:AC21)+1,"")</ns0:f>
        <ns0:v/>
      </ns0:c>
      <ns0:c r="AD22" s="0" t="str">
        <ns0:f>IF(OR(X22=0,Team!C22="",COUNTIF(Team!$C$11:C22,Team!C22)&gt;1),"",MAX($AD$10:AD21)+1)</ns0:f>
        <ns0:v/>
      </ns0:c>
      <ns0:c r="AE22" s="0" t="str">
        <ns0:f>IFERROR(INDEX(Team!$C$11:$C$60,MATCH(ROW()-10,$AD$11:$AD$60,0)),"")</ns0:f>
        <ns0:v/>
      </ns0:c>
      <ns0:c r="AF22" s="0">
        <ns0:f>AE22</ns0:f>
        <ns0:v>0</ns0:v>
      </ns0:c>
      <ns0:c r="AG22" s="0">
        <ns0:f>IF(X22=0,0,IFERROR(Team!F22+Team!G22,0))</ns0:f>
        <ns0:v>0</ns0:v>
      </ns0:c>
      <ns0:c r="AH22" s="0">
        <ns0:f>IF(X22=0,0,SUMIFS(rngEngine_P,rngEngine_B,Team!A22))</ns0:f>
        <ns0:v>0</ns0:v>
      </ns0:c>
      <ns0:c r="AI22" s="0">
        <ns0:f>IF(X22=0,0,SUMIFS(rngEngine_Q,rngEngine_B,Team!A22))</ns0:f>
        <ns0:v>0</ns0:v>
      </ns0:c>
      <ns0:c r="AJ22" s="0">
        <ns0:f>IF(X22=0,0,SUMIFS(rngEngine_R,rngEngine_B,Team!A22))</ns0:f>
        <ns0:v>0</ns0:v>
      </ns0:c>
      <ns0:c r="AK22" s="0">
        <ns0:f>IF(X22=0,0,SUMIFS(rngEngine_S,rngEngine_B,Team!A22))</ns0:f>
        <ns0:v>0</ns0:v>
      </ns0:c>
      <ns0:c r="AL22" s="0">
        <ns0:f>AH22+AI22</ns0:f>
        <ns0:v>0</ns0:v>
      </ns0:c>
      <ns0:c r="AM22" s="0" t="str">
        <ns0:f>IF(X22=0,"",IF(AA22&gt;0,"CHECK team setup",IF(AB22&gt;0,"CHECK "&amp;AB22&amp;" booking(s)","OK")))</ns0:f>
        <ns0:v/>
      </ns0:c>
      <ns0:c r="AN22" s="0" t="str">
        <ns0:f>IF(X22=0,"",IF(OR($B$6&gt;0,AM22&lt;&gt;"OK"),"REVIEW",AG22-AL22))</ns0:f>
        <ns0:v/>
      </ns0:c>
      <ns0:c r="AO22" s="0">
        <ns0:f>IFERROR(MATCH(ROW()-11,$AC$11:$AC$60,0),0)</ns0:f>
        <ns0:v>0</ns0:v>
      </ns0:c>
      <ns0:c r="AP22" s="0" t="str">
        <ns0:f>IF(Team!H22="Work","W","O")&amp;IF(Team!I22="Work","W","O")&amp;IF(Team!J22="Work","W","O")&amp;IF(Team!K22="Work","W","O")&amp;IF(Team!L22="Work","W","O")&amp;IF(Team!M22="Work","W","O")&amp;IF(Team!N22="Work","W","O")</ns0:f>
        <ns0:v>OOOOOOO</ns0:v>
      </ns0:c>
      <ns0:c r="AR22" s="0">
        <ns0:f>IFERROR(IF(ISNUMBER(Settings!F22),WEEKDAY(Settings!F22,2),0),0)</ns0:f>
        <ns0:v>0</ns0:v>
      </ns0:c>
      <ns0:c r="AS22" t="inlineStr">
        <ns0:is>
          <ns0:t>December</ns0:t>
        </ns0:is>
      </ns0:c>
      <ns0:c r="BC22" s="0">
        <ns0:f>IF(OR($AO22=0,$B$5&lt;&gt;"OK",$B$6&gt;0,Calendar!D$11=""),0,SUMIFS(rngEngine_U,rngEngine_B,INDEX(Team!$A$11:$A$60,$AO22),rngAMStart,"&lt;="&amp;Calendar!D$11,rngAMEnd,"&gt;="&amp;Calendar!D$11))</ns0:f>
        <ns0:v>0</ns0:v>
      </ns0:c>
      <ns0:c r="BD22" s="0">
        <ns0:f>IF(OR($AO22=0,$B$5&lt;&gt;"OK",$B$6&gt;0,Calendar!D$11=""),0,SUMIFS(rngEngine_V,rngEngine_B,INDEX(Team!$A$11:$A$60,$AO22),rngPMStart,"&lt;="&amp;Calendar!D$11,rngPMEnd,"&gt;="&amp;Calendar!D$11))</ns0:f>
        <ns0:v>0</ns0:v>
      </ns0:c>
      <ns0:c r="BE22" s="0">
        <ns0:f>IF(OR($AO22=0,$B$5&lt;&gt;"OK",$B$6&gt;0,Calendar!E$11=""),0,SUMIFS(rngEngine_U,rngEngine_B,INDEX(Team!$A$11:$A$60,$AO22),rngAMStart,"&lt;="&amp;Calendar!E$11,rngAMEnd,"&gt;="&amp;Calendar!E$11))</ns0:f>
        <ns0:v>0</ns0:v>
      </ns0:c>
      <ns0:c r="BF22" s="0">
        <ns0:f>IF(OR($AO22=0,$B$5&lt;&gt;"OK",$B$6&gt;0,Calendar!E$11=""),0,SUMIFS(rngEngine_V,rngEngine_B,INDEX(Team!$A$11:$A$60,$AO22),rngPMStart,"&lt;="&amp;Calendar!E$11,rngPMEnd,"&gt;="&amp;Calendar!E$11))</ns0:f>
        <ns0:v>0</ns0:v>
      </ns0:c>
      <ns0:c r="BG22" s="0">
        <ns0:f>IF(OR($AO22=0,$B$5&lt;&gt;"OK",$B$6&gt;0,Calendar!F$11=""),0,SUMIFS(rngEngine_U,rngEngine_B,INDEX(Team!$A$11:$A$60,$AO22),rngAMStart,"&lt;="&amp;Calendar!F$11,rngAMEnd,"&gt;="&amp;Calendar!F$11))</ns0:f>
        <ns0:v>0</ns0:v>
      </ns0:c>
      <ns0:c r="BH22" s="0">
        <ns0:f>IF(OR($AO22=0,$B$5&lt;&gt;"OK",$B$6&gt;0,Calendar!F$11=""),0,SUMIFS(rngEngine_V,rngEngine_B,INDEX(Team!$A$11:$A$60,$AO22),rngPMStart,"&lt;="&amp;Calendar!F$11,rngPMEnd,"&gt;="&amp;Calendar!F$11))</ns0:f>
        <ns0:v>0</ns0:v>
      </ns0:c>
      <ns0:c r="BI22" s="0">
        <ns0:f>IF(OR($AO22=0,$B$5&lt;&gt;"OK",$B$6&gt;0,Calendar!G$11=""),0,SUMIFS(rngEngine_U,rngEngine_B,INDEX(Team!$A$11:$A$60,$AO22),rngAMStart,"&lt;="&amp;Calendar!G$11,rngAMEnd,"&gt;="&amp;Calendar!G$11))</ns0:f>
        <ns0:v>0</ns0:v>
      </ns0:c>
      <ns0:c r="BJ22" s="0">
        <ns0:f>IF(OR($AO22=0,$B$5&lt;&gt;"OK",$B$6&gt;0,Calendar!G$11=""),0,SUMIFS(rngEngine_V,rngEngine_B,INDEX(Team!$A$11:$A$60,$AO22),rngPMStart,"&lt;="&amp;Calendar!G$11,rngPMEnd,"&gt;="&amp;Calendar!G$11))</ns0:f>
        <ns0:v>0</ns0:v>
      </ns0:c>
      <ns0:c r="BK22" s="0">
        <ns0:f>IF(OR($AO22=0,$B$5&lt;&gt;"OK",$B$6&gt;0,Calendar!H$11=""),0,SUMIFS(rngEngine_U,rngEngine_B,INDEX(Team!$A$11:$A$60,$AO22),rngAMStart,"&lt;="&amp;Calendar!H$11,rngAMEnd,"&gt;="&amp;Calendar!H$11))</ns0:f>
        <ns0:v>0</ns0:v>
      </ns0:c>
      <ns0:c r="BL22" s="0">
        <ns0:f>IF(OR($AO22=0,$B$5&lt;&gt;"OK",$B$6&gt;0,Calendar!H$11=""),0,SUMIFS(rngEngine_V,rngEngine_B,INDEX(Team!$A$11:$A$60,$AO22),rngPMStart,"&lt;="&amp;Calendar!H$11,rngPMEnd,"&gt;="&amp;Calendar!H$11))</ns0:f>
        <ns0:v>0</ns0:v>
      </ns0:c>
      <ns0:c r="BM22" s="0">
        <ns0:f>IF(OR($AO22=0,$B$5&lt;&gt;"OK",$B$6&gt;0,Calendar!I$11=""),0,SUMIFS(rngEngine_U,rngEngine_B,INDEX(Team!$A$11:$A$60,$AO22),rngAMStart,"&lt;="&amp;Calendar!I$11,rngAMEnd,"&gt;="&amp;Calendar!I$11))</ns0:f>
        <ns0:v>0</ns0:v>
      </ns0:c>
      <ns0:c r="BN22" s="0">
        <ns0:f>IF(OR($AO22=0,$B$5&lt;&gt;"OK",$B$6&gt;0,Calendar!I$11=""),0,SUMIFS(rngEngine_V,rngEngine_B,INDEX(Team!$A$11:$A$60,$AO22),rngPMStart,"&lt;="&amp;Calendar!I$11,rngPMEnd,"&gt;="&amp;Calendar!I$11))</ns0:f>
        <ns0:v>0</ns0:v>
      </ns0:c>
      <ns0:c r="BO22" s="0">
        <ns0:f>IF(OR($AO22=0,$B$5&lt;&gt;"OK",$B$6&gt;0,Calendar!J$11=""),0,SUMIFS(rngEngine_U,rngEngine_B,INDEX(Team!$A$11:$A$60,$AO22),rngAMStart,"&lt;="&amp;Calendar!J$11,rngAMEnd,"&gt;="&amp;Calendar!J$11))</ns0:f>
        <ns0:v>0</ns0:v>
      </ns0:c>
      <ns0:c r="BP22" s="0">
        <ns0:f>IF(OR($AO22=0,$B$5&lt;&gt;"OK",$B$6&gt;0,Calendar!J$11=""),0,SUMIFS(rngEngine_V,rngEngine_B,INDEX(Team!$A$11:$A$60,$AO22),rngPMStart,"&lt;="&amp;Calendar!J$11,rngPMEnd,"&gt;="&amp;Calendar!J$11))</ns0:f>
        <ns0:v>0</ns0:v>
      </ns0:c>
      <ns0:c r="BQ22" s="0">
        <ns0:f>IF(OR($AO22=0,$B$5&lt;&gt;"OK",$B$6&gt;0,Calendar!K$11=""),0,SUMIFS(rngEngine_U,rngEngine_B,INDEX(Team!$A$11:$A$60,$AO22),rngAMStart,"&lt;="&amp;Calendar!K$11,rngAMEnd,"&gt;="&amp;Calendar!K$11))</ns0:f>
        <ns0:v>0</ns0:v>
      </ns0:c>
      <ns0:c r="BR22" s="0">
        <ns0:f>IF(OR($AO22=0,$B$5&lt;&gt;"OK",$B$6&gt;0,Calendar!K$11=""),0,SUMIFS(rngEngine_V,rngEngine_B,INDEX(Team!$A$11:$A$60,$AO22),rngPMStart,"&lt;="&amp;Calendar!K$11,rngPMEnd,"&gt;="&amp;Calendar!K$11))</ns0:f>
        <ns0:v>0</ns0:v>
      </ns0:c>
      <ns0:c r="BS22" s="0">
        <ns0:f>IF(OR($AO22=0,$B$5&lt;&gt;"OK",$B$6&gt;0,Calendar!L$11=""),0,SUMIFS(rngEngine_U,rngEngine_B,INDEX(Team!$A$11:$A$60,$AO22),rngAMStart,"&lt;="&amp;Calendar!L$11,rngAMEnd,"&gt;="&amp;Calendar!L$11))</ns0:f>
        <ns0:v>0</ns0:v>
      </ns0:c>
      <ns0:c r="BT22" s="0">
        <ns0:f>IF(OR($AO22=0,$B$5&lt;&gt;"OK",$B$6&gt;0,Calendar!L$11=""),0,SUMIFS(rngEngine_V,rngEngine_B,INDEX(Team!$A$11:$A$60,$AO22),rngPMStart,"&lt;="&amp;Calendar!L$11,rngPMEnd,"&gt;="&amp;Calendar!L$11))</ns0:f>
        <ns0:v>0</ns0:v>
      </ns0:c>
      <ns0:c r="BU22" s="0">
        <ns0:f>IF(OR($AO22=0,$B$5&lt;&gt;"OK",$B$6&gt;0,Calendar!M$11=""),0,SUMIFS(rngEngine_U,rngEngine_B,INDEX(Team!$A$11:$A$60,$AO22),rngAMStart,"&lt;="&amp;Calendar!M$11,rngAMEnd,"&gt;="&amp;Calendar!M$11))</ns0:f>
        <ns0:v>0</ns0:v>
      </ns0:c>
      <ns0:c r="BV22" s="0">
        <ns0:f>IF(OR($AO22=0,$B$5&lt;&gt;"OK",$B$6&gt;0,Calendar!M$11=""),0,SUMIFS(rngEngine_V,rngEngine_B,INDEX(Team!$A$11:$A$60,$AO22),rngPMStart,"&lt;="&amp;Calendar!M$11,rngPMEnd,"&gt;="&amp;Calendar!M$11))</ns0:f>
        <ns0:v>0</ns0:v>
      </ns0:c>
      <ns0:c r="BW22" s="0">
        <ns0:f>IF(OR($AO22=0,$B$5&lt;&gt;"OK",$B$6&gt;0,Calendar!N$11=""),0,SUMIFS(rngEngine_U,rngEngine_B,INDEX(Team!$A$11:$A$60,$AO22),rngAMStart,"&lt;="&amp;Calendar!N$11,rngAMEnd,"&gt;="&amp;Calendar!N$11))</ns0:f>
        <ns0:v>0</ns0:v>
      </ns0:c>
      <ns0:c r="BX22" s="0">
        <ns0:f>IF(OR($AO22=0,$B$5&lt;&gt;"OK",$B$6&gt;0,Calendar!N$11=""),0,SUMIFS(rngEngine_V,rngEngine_B,INDEX(Team!$A$11:$A$60,$AO22),rngPMStart,"&lt;="&amp;Calendar!N$11,rngPMEnd,"&gt;="&amp;Calendar!N$11))</ns0:f>
        <ns0:v>0</ns0:v>
      </ns0:c>
      <ns0:c r="BY22" s="0">
        <ns0:f>IF(OR($AO22=0,$B$5&lt;&gt;"OK",$B$6&gt;0,Calendar!O$11=""),0,SUMIFS(rngEngine_U,rngEngine_B,INDEX(Team!$A$11:$A$60,$AO22),rngAMStart,"&lt;="&amp;Calendar!O$11,rngAMEnd,"&gt;="&amp;Calendar!O$11))</ns0:f>
        <ns0:v>0</ns0:v>
      </ns0:c>
      <ns0:c r="BZ22" s="0">
        <ns0:f>IF(OR($AO22=0,$B$5&lt;&gt;"OK",$B$6&gt;0,Calendar!O$11=""),0,SUMIFS(rngEngine_V,rngEngine_B,INDEX(Team!$A$11:$A$60,$AO22),rngPMStart,"&lt;="&amp;Calendar!O$11,rngPMEnd,"&gt;="&amp;Calendar!O$11))</ns0:f>
        <ns0:v>0</ns0:v>
      </ns0:c>
      <ns0:c r="CA22" s="0">
        <ns0:f>IF(OR($AO22=0,$B$5&lt;&gt;"OK",$B$6&gt;0,Calendar!P$11=""),0,SUMIFS(rngEngine_U,rngEngine_B,INDEX(Team!$A$11:$A$60,$AO22),rngAMStart,"&lt;="&amp;Calendar!P$11,rngAMEnd,"&gt;="&amp;Calendar!P$11))</ns0:f>
        <ns0:v>0</ns0:v>
      </ns0:c>
      <ns0:c r="CB22" s="0">
        <ns0:f>IF(OR($AO22=0,$B$5&lt;&gt;"OK",$B$6&gt;0,Calendar!P$11=""),0,SUMIFS(rngEngine_V,rngEngine_B,INDEX(Team!$A$11:$A$60,$AO22),rngPMStart,"&lt;="&amp;Calendar!P$11,rngPMEnd,"&gt;="&amp;Calendar!P$11))</ns0:f>
        <ns0:v>0</ns0:v>
      </ns0:c>
      <ns0:c r="CC22" s="0">
        <ns0:f>IF(OR($AO22=0,$B$5&lt;&gt;"OK",$B$6&gt;0,Calendar!Q$11=""),0,SUMIFS(rngEngine_U,rngEngine_B,INDEX(Team!$A$11:$A$60,$AO22),rngAMStart,"&lt;="&amp;Calendar!Q$11,rngAMEnd,"&gt;="&amp;Calendar!Q$11))</ns0:f>
        <ns0:v>0</ns0:v>
      </ns0:c>
      <ns0:c r="CD22" s="0">
        <ns0:f>IF(OR($AO22=0,$B$5&lt;&gt;"OK",$B$6&gt;0,Calendar!Q$11=""),0,SUMIFS(rngEngine_V,rngEngine_B,INDEX(Team!$A$11:$A$60,$AO22),rngPMStart,"&lt;="&amp;Calendar!Q$11,rngPMEnd,"&gt;="&amp;Calendar!Q$11))</ns0:f>
        <ns0:v>0</ns0:v>
      </ns0:c>
      <ns0:c r="CE22" s="0">
        <ns0:f>IF(OR($AO22=0,$B$5&lt;&gt;"OK",$B$6&gt;0,Calendar!R$11=""),0,SUMIFS(rngEngine_U,rngEngine_B,INDEX(Team!$A$11:$A$60,$AO22),rngAMStart,"&lt;="&amp;Calendar!R$11,rngAMEnd,"&gt;="&amp;Calendar!R$11))</ns0:f>
        <ns0:v>0</ns0:v>
      </ns0:c>
      <ns0:c r="CF22" s="0">
        <ns0:f>IF(OR($AO22=0,$B$5&lt;&gt;"OK",$B$6&gt;0,Calendar!R$11=""),0,SUMIFS(rngEngine_V,rngEngine_B,INDEX(Team!$A$11:$A$60,$AO22),rngPMStart,"&lt;="&amp;Calendar!R$11,rngPMEnd,"&gt;="&amp;Calendar!R$11))</ns0:f>
        <ns0:v>0</ns0:v>
      </ns0:c>
      <ns0:c r="CG22" s="0">
        <ns0:f>IF(OR($AO22=0,$B$5&lt;&gt;"OK",$B$6&gt;0,Calendar!S$11=""),0,SUMIFS(rngEngine_U,rngEngine_B,INDEX(Team!$A$11:$A$60,$AO22),rngAMStart,"&lt;="&amp;Calendar!S$11,rngAMEnd,"&gt;="&amp;Calendar!S$11))</ns0:f>
        <ns0:v>0</ns0:v>
      </ns0:c>
      <ns0:c r="CH22" s="0">
        <ns0:f>IF(OR($AO22=0,$B$5&lt;&gt;"OK",$B$6&gt;0,Calendar!S$11=""),0,SUMIFS(rngEngine_V,rngEngine_B,INDEX(Team!$A$11:$A$60,$AO22),rngPMStart,"&lt;="&amp;Calendar!S$11,rngPMEnd,"&gt;="&amp;Calendar!S$11))</ns0:f>
        <ns0:v>0</ns0:v>
      </ns0:c>
      <ns0:c r="CI22" s="0">
        <ns0:f>IF(OR($AO22=0,$B$5&lt;&gt;"OK",$B$6&gt;0,Calendar!T$11=""),0,SUMIFS(rngEngine_U,rngEngine_B,INDEX(Team!$A$11:$A$60,$AO22),rngAMStart,"&lt;="&amp;Calendar!T$11,rngAMEnd,"&gt;="&amp;Calendar!T$11))</ns0:f>
        <ns0:v>0</ns0:v>
      </ns0:c>
      <ns0:c r="CJ22" s="0">
        <ns0:f>IF(OR($AO22=0,$B$5&lt;&gt;"OK",$B$6&gt;0,Calendar!T$11=""),0,SUMIFS(rngEngine_V,rngEngine_B,INDEX(Team!$A$11:$A$60,$AO22),rngPMStart,"&lt;="&amp;Calendar!T$11,rngPMEnd,"&gt;="&amp;Calendar!T$11))</ns0:f>
        <ns0:v>0</ns0:v>
      </ns0:c>
      <ns0:c r="CK22" s="0">
        <ns0:f>IF(OR($AO22=0,$B$5&lt;&gt;"OK",$B$6&gt;0,Calendar!U$11=""),0,SUMIFS(rngEngine_U,rngEngine_B,INDEX(Team!$A$11:$A$60,$AO22),rngAMStart,"&lt;="&amp;Calendar!U$11,rngAMEnd,"&gt;="&amp;Calendar!U$11))</ns0:f>
        <ns0:v>0</ns0:v>
      </ns0:c>
      <ns0:c r="CL22" s="0">
        <ns0:f>IF(OR($AO22=0,$B$5&lt;&gt;"OK",$B$6&gt;0,Calendar!U$11=""),0,SUMIFS(rngEngine_V,rngEngine_B,INDEX(Team!$A$11:$A$60,$AO22),rngPMStart,"&lt;="&amp;Calendar!U$11,rngPMEnd,"&gt;="&amp;Calendar!U$11))</ns0:f>
        <ns0:v>0</ns0:v>
      </ns0:c>
      <ns0:c r="CM22" s="0">
        <ns0:f>IF(OR($AO22=0,$B$5&lt;&gt;"OK",$B$6&gt;0,Calendar!V$11=""),0,SUMIFS(rngEngine_U,rngEngine_B,INDEX(Team!$A$11:$A$60,$AO22),rngAMStart,"&lt;="&amp;Calendar!V$11,rngAMEnd,"&gt;="&amp;Calendar!V$11))</ns0:f>
        <ns0:v>0</ns0:v>
      </ns0:c>
      <ns0:c r="CN22" s="0">
        <ns0:f>IF(OR($AO22=0,$B$5&lt;&gt;"OK",$B$6&gt;0,Calendar!V$11=""),0,SUMIFS(rngEngine_V,rngEngine_B,INDEX(Team!$A$11:$A$60,$AO22),rngPMStart,"&lt;="&amp;Calendar!V$11,rngPMEnd,"&gt;="&amp;Calendar!V$11))</ns0:f>
        <ns0:v>0</ns0:v>
      </ns0:c>
      <ns0:c r="CO22" s="0">
        <ns0:f>IF(OR($AO22=0,$B$5&lt;&gt;"OK",$B$6&gt;0,Calendar!W$11=""),0,SUMIFS(rngEngine_U,rngEngine_B,INDEX(Team!$A$11:$A$60,$AO22),rngAMStart,"&lt;="&amp;Calendar!W$11,rngAMEnd,"&gt;="&amp;Calendar!W$11))</ns0:f>
        <ns0:v>0</ns0:v>
      </ns0:c>
      <ns0:c r="CP22" s="0">
        <ns0:f>IF(OR($AO22=0,$B$5&lt;&gt;"OK",$B$6&gt;0,Calendar!W$11=""),0,SUMIFS(rngEngine_V,rngEngine_B,INDEX(Team!$A$11:$A$60,$AO22),rngPMStart,"&lt;="&amp;Calendar!W$11,rngPMEnd,"&gt;="&amp;Calendar!W$11))</ns0:f>
        <ns0:v>0</ns0:v>
      </ns0:c>
      <ns0:c r="CQ22" s="0">
        <ns0:f>IF(OR($AO22=0,$B$5&lt;&gt;"OK",$B$6&gt;0,Calendar!X$11=""),0,SUMIFS(rngEngine_U,rngEngine_B,INDEX(Team!$A$11:$A$60,$AO22),rngAMStart,"&lt;="&amp;Calendar!X$11,rngAMEnd,"&gt;="&amp;Calendar!X$11))</ns0:f>
        <ns0:v>0</ns0:v>
      </ns0:c>
      <ns0:c r="CR22" s="0">
        <ns0:f>IF(OR($AO22=0,$B$5&lt;&gt;"OK",$B$6&gt;0,Calendar!X$11=""),0,SUMIFS(rngEngine_V,rngEngine_B,INDEX(Team!$A$11:$A$60,$AO22),rngPMStart,"&lt;="&amp;Calendar!X$11,rngPMEnd,"&gt;="&amp;Calendar!X$11))</ns0:f>
        <ns0:v>0</ns0:v>
      </ns0:c>
      <ns0:c r="CS22" s="0">
        <ns0:f>IF(OR($AO22=0,$B$5&lt;&gt;"OK",$B$6&gt;0,Calendar!Y$11=""),0,SUMIFS(rngEngine_U,rngEngine_B,INDEX(Team!$A$11:$A$60,$AO22),rngAMStart,"&lt;="&amp;Calendar!Y$11,rngAMEnd,"&gt;="&amp;Calendar!Y$11))</ns0:f>
        <ns0:v>0</ns0:v>
      </ns0:c>
      <ns0:c r="CT22" s="0">
        <ns0:f>IF(OR($AO22=0,$B$5&lt;&gt;"OK",$B$6&gt;0,Calendar!Y$11=""),0,SUMIFS(rngEngine_V,rngEngine_B,INDEX(Team!$A$11:$A$60,$AO22),rngPMStart,"&lt;="&amp;Calendar!Y$11,rngPMEnd,"&gt;="&amp;Calendar!Y$11))</ns0:f>
        <ns0:v>0</ns0:v>
      </ns0:c>
      <ns0:c r="CU22" s="0">
        <ns0:f>IF(OR($AO22=0,$B$5&lt;&gt;"OK",$B$6&gt;0,Calendar!Z$11=""),0,SUMIFS(rngEngine_U,rngEngine_B,INDEX(Team!$A$11:$A$60,$AO22),rngAMStart,"&lt;="&amp;Calendar!Z$11,rngAMEnd,"&gt;="&amp;Calendar!Z$11))</ns0:f>
        <ns0:v>0</ns0:v>
      </ns0:c>
      <ns0:c r="CV22" s="0">
        <ns0:f>IF(OR($AO22=0,$B$5&lt;&gt;"OK",$B$6&gt;0,Calendar!Z$11=""),0,SUMIFS(rngEngine_V,rngEngine_B,INDEX(Team!$A$11:$A$60,$AO22),rngPMStart,"&lt;="&amp;Calendar!Z$11,rngPMEnd,"&gt;="&amp;Calendar!Z$11))</ns0:f>
        <ns0:v>0</ns0:v>
      </ns0:c>
      <ns0:c r="CW22" s="0">
        <ns0:f>IF(OR($AO22=0,$B$5&lt;&gt;"OK",$B$6&gt;0,Calendar!AA$11=""),0,SUMIFS(rngEngine_U,rngEngine_B,INDEX(Team!$A$11:$A$60,$AO22),rngAMStart,"&lt;="&amp;Calendar!AA$11,rngAMEnd,"&gt;="&amp;Calendar!AA$11))</ns0:f>
        <ns0:v>0</ns0:v>
      </ns0:c>
      <ns0:c r="CX22" s="0">
        <ns0:f>IF(OR($AO22=0,$B$5&lt;&gt;"OK",$B$6&gt;0,Calendar!AA$11=""),0,SUMIFS(rngEngine_V,rngEngine_B,INDEX(Team!$A$11:$A$60,$AO22),rngPMStart,"&lt;="&amp;Calendar!AA$11,rngPMEnd,"&gt;="&amp;Calendar!AA$11))</ns0:f>
        <ns0:v>0</ns0:v>
      </ns0:c>
      <ns0:c r="CY22" s="0">
        <ns0:f>IF(OR($AO22=0,$B$5&lt;&gt;"OK",$B$6&gt;0,Calendar!AB$11=""),0,SUMIFS(rngEngine_U,rngEngine_B,INDEX(Team!$A$11:$A$60,$AO22),rngAMStart,"&lt;="&amp;Calendar!AB$11,rngAMEnd,"&gt;="&amp;Calendar!AB$11))</ns0:f>
        <ns0:v>0</ns0:v>
      </ns0:c>
      <ns0:c r="CZ22" s="0">
        <ns0:f>IF(OR($AO22=0,$B$5&lt;&gt;"OK",$B$6&gt;0,Calendar!AB$11=""),0,SUMIFS(rngEngine_V,rngEngine_B,INDEX(Team!$A$11:$A$60,$AO22),rngPMStart,"&lt;="&amp;Calendar!AB$11,rngPMEnd,"&gt;="&amp;Calendar!AB$11))</ns0:f>
        <ns0:v>0</ns0:v>
      </ns0:c>
      <ns0:c r="DA22" s="0">
        <ns0:f>IF(OR($AO22=0,$B$5&lt;&gt;"OK",$B$6&gt;0,Calendar!AC$11=""),0,SUMIFS(rngEngine_U,rngEngine_B,INDEX(Team!$A$11:$A$60,$AO22),rngAMStart,"&lt;="&amp;Calendar!AC$11,rngAMEnd,"&gt;="&amp;Calendar!AC$11))</ns0:f>
        <ns0:v>0</ns0:v>
      </ns0:c>
      <ns0:c r="DB22" s="0">
        <ns0:f>IF(OR($AO22=0,$B$5&lt;&gt;"OK",$B$6&gt;0,Calendar!AC$11=""),0,SUMIFS(rngEngine_V,rngEngine_B,INDEX(Team!$A$11:$A$60,$AO22),rngPMStart,"&lt;="&amp;Calendar!AC$11,rngPMEnd,"&gt;="&amp;Calendar!AC$11))</ns0:f>
        <ns0:v>0</ns0:v>
      </ns0:c>
      <ns0:c r="DC22" s="0">
        <ns0:f>IF(OR($AO22=0,$B$5&lt;&gt;"OK",$B$6&gt;0,Calendar!AD$11=""),0,SUMIFS(rngEngine_U,rngEngine_B,INDEX(Team!$A$11:$A$60,$AO22),rngAMStart,"&lt;="&amp;Calendar!AD$11,rngAMEnd,"&gt;="&amp;Calendar!AD$11))</ns0:f>
        <ns0:v>0</ns0:v>
      </ns0:c>
      <ns0:c r="DD22" s="0">
        <ns0:f>IF(OR($AO22=0,$B$5&lt;&gt;"OK",$B$6&gt;0,Calendar!AD$11=""),0,SUMIFS(rngEngine_V,rngEngine_B,INDEX(Team!$A$11:$A$60,$AO22),rngPMStart,"&lt;="&amp;Calendar!AD$11,rngPMEnd,"&gt;="&amp;Calendar!AD$11))</ns0:f>
        <ns0:v>0</ns0:v>
      </ns0:c>
      <ns0:c r="DE22" s="0">
        <ns0:f>IF(OR($AO22=0,$B$5&lt;&gt;"OK",$B$6&gt;0,Calendar!AE$11=""),0,SUMIFS(rngEngine_U,rngEngine_B,INDEX(Team!$A$11:$A$60,$AO22),rngAMStart,"&lt;="&amp;Calendar!AE$11,rngAMEnd,"&gt;="&amp;Calendar!AE$11))</ns0:f>
        <ns0:v>0</ns0:v>
      </ns0:c>
      <ns0:c r="DF22" s="0">
        <ns0:f>IF(OR($AO22=0,$B$5&lt;&gt;"OK",$B$6&gt;0,Calendar!AE$11=""),0,SUMIFS(rngEngine_V,rngEngine_B,INDEX(Team!$A$11:$A$60,$AO22),rngPMStart,"&lt;="&amp;Calendar!AE$11,rngPMEnd,"&gt;="&amp;Calendar!AE$11))</ns0:f>
        <ns0:v>0</ns0:v>
      </ns0:c>
      <ns0:c r="DG22" s="0">
        <ns0:f>IF(OR($AO22=0,$B$5&lt;&gt;"OK",$B$6&gt;0,Calendar!AF$11=""),0,SUMIFS(rngEngine_U,rngEngine_B,INDEX(Team!$A$11:$A$60,$AO22),rngAMStart,"&lt;="&amp;Calendar!AF$11,rngAMEnd,"&gt;="&amp;Calendar!AF$11))</ns0:f>
        <ns0:v>0</ns0:v>
      </ns0:c>
      <ns0:c r="DH22" s="0">
        <ns0:f>IF(OR($AO22=0,$B$5&lt;&gt;"OK",$B$6&gt;0,Calendar!AF$11=""),0,SUMIFS(rngEngine_V,rngEngine_B,INDEX(Team!$A$11:$A$60,$AO22),rngPMStart,"&lt;="&amp;Calendar!AF$11,rngPMEnd,"&gt;="&amp;Calendar!AF$11))</ns0:f>
        <ns0:v>0</ns0:v>
      </ns0:c>
      <ns0:c r="DI22" s="0">
        <ns0:f>IF(OR($AO22=0,$B$5&lt;&gt;"OK",$B$6&gt;0,Calendar!AG$11=""),0,SUMIFS(rngEngine_U,rngEngine_B,INDEX(Team!$A$11:$A$60,$AO22),rngAMStart,"&lt;="&amp;Calendar!AG$11,rngAMEnd,"&gt;="&amp;Calendar!AG$11))</ns0:f>
        <ns0:v>0</ns0:v>
      </ns0:c>
      <ns0:c r="DJ22" s="0">
        <ns0:f>IF(OR($AO22=0,$B$5&lt;&gt;"OK",$B$6&gt;0,Calendar!AG$11=""),0,SUMIFS(rngEngine_V,rngEngine_B,INDEX(Team!$A$11:$A$60,$AO22),rngPMStart,"&lt;="&amp;Calendar!AG$11,rngPMEnd,"&gt;="&amp;Calendar!AG$11))</ns0:f>
        <ns0:v>0</ns0:v>
      </ns0:c>
      <ns0:c r="DK22" s="0">
        <ns0:f>IF(OR($AO22=0,$B$5&lt;&gt;"OK",$B$6&gt;0,Calendar!AH$11=""),0,SUMIFS(rngEngine_U,rngEngine_B,INDEX(Team!$A$11:$A$60,$AO22),rngAMStart,"&lt;="&amp;Calendar!AH$11,rngAMEnd,"&gt;="&amp;Calendar!AH$11))</ns0:f>
        <ns0:v>0</ns0:v>
      </ns0:c>
      <ns0:c r="DL22" s="0">
        <ns0:f>IF(OR($AO22=0,$B$5&lt;&gt;"OK",$B$6&gt;0,Calendar!AH$11=""),0,SUMIFS(rngEngine_V,rngEngine_B,INDEX(Team!$A$11:$A$60,$AO22),rngPMStart,"&lt;="&amp;Calendar!AH$11,rngPMEnd,"&gt;="&amp;Calendar!AH$11))</ns0:f>
        <ns0:v>0</ns0:v>
      </ns0:c>
    </ns0:row>
    <ns0:row r="23" ht="22" customHeight="1">
      <ns0:c r="A23" s="4">
        <ns0:f>IF(COUNTA(Bookings!A23:G23,Bookings!I23)=0,0,1)</ns0:f>
        <ns0:v>1</ns0:v>
      </ns0:c>
      <ns0:c r="B23" s="4" t="str">
        <ns0:f>IFERROR(TRIM(MID(Bookings!A23,FIND(" · ",Bookings!A23)+3,99)),"")</ns0:f>
        <ns0:v>EMP006</ns0:v>
      </ns0:c>
      <ns0:c r="C23" s="4">
        <ns0:f>IF(OR(B23="",LEN(B23)&gt;24,ISNUMBER(FIND(" ",B23)),ISNUMBER(FIND("*",B23)),ISNUMBER(FIND("?",B23)),ISNUMBER(FIND("~",B23))),0,IFERROR(MATCH(B23,Team!$A$11:$A$60,0),0))</ns0:f>
        <ns0:v>6</ns0:v>
      </ns0:c>
      <ns0:c r="D23" s="4" t="str">
        <ns0:f>IFERROR(IF(MID(Bookings!F23,LEN(Bookings!F23)-3,3)=" · ",RIGHT(Bookings!F23,1),""),"")</ns0:f>
        <ns0:v>T</ns0:v>
      </ns0:c>
      <ns0:c r="E23" s="4" t="str">
        <ns0:f>IFERROR(INDEX(Settings!$H$7:$H$11,MATCH(D23,Settings!$G$7:$G$11,0)),"")</ns0:f>
        <ns0:v>No</ns0:v>
      </ns0:c>
      <ns0:c r="F23" s="4" t="str">
        <ns0:f>IF(A23=0,"",IFERROR(IF(OR(B23="",C23=0),"CHECK employee selection",IF(INDEX(Team!$O$11:$O$60,C23)&lt;&gt;"OK","CHECK employee setup",IF(OR('_Dates'!J23=0,'_Dates'!T23=0),"CHECK date: use DD.MM.YYYY",IF('_Dates'!T23&lt;'_Dates'!J23,"CHECK end before start",IF(AND($B$6=0,OR('_Dates'!J23&lt;Settings!$B$7,'_Dates'!T23&gt;Settings!$B$8)),"CHECK split across leave years",IF(OR(NOT(OR('_Dates'!U23="Full day",'_Dates'!U23="AM",'_Dates'!U23="PM")),NOT(OR('_Dates'!V23="Full day",'_Dates'!V23="AM",'_Dates'!V23="PM"))),"CHECK Full day / AM / PM",IF(AND('_Dates'!J23='_Dates'!T23,'_Dates'!U23&lt;&gt;"Full day",'_Dates'!V23&lt;&gt;"Full day",'_Dates'!U23&lt;&gt;'_Dates'!V23),"CHECK same-day portions disagree",IF(AND($B$6=0,OR(AND('_Dates'!U23&lt;&gt;"Full day",'_Dates'!AA23=0),AND('_Dates'!V23&lt;&gt;"Full day",'_Dates'!AB23=0))),"CHECK half-day on non-working date",IF(COUNTIF(Settings!$G$7:$G$11,D23)&lt;&gt;1,"CHECK leave type",IF(AND(Bookings!G23&lt;&gt;"Approved",Bookings!G23&lt;&gt;"Pending",Bookings!G23&lt;&gt;"Cancelled"),"CHECK status","OK")))))))))),"CHECK input"))</ns0:f>
        <ns0:v>OK</ns0:v>
      </ns0:c>
      <ns0:c r="G23" s="4">
        <ns0:f>IF(OR(F23&lt;&gt;"OK",$B$6&gt;0),0,0.5*(IF(('_Dates'!X23)&lt;('_Dates'!W23),0,INT((('_Dates'!X23)-('_Dates'!W23)+1)/7)*LEN(SUBSTITUTE(W23,"O",""))+LEN(SUBSTITUTE(MID(W23&amp;W23,WEEKDAY(('_Dates'!W23),2),MOD((('_Dates'!X23)-('_Dates'!W23)+1),7)),"O",""))-COUNTIFS(INDEX(AllClosureRows,C23,0),"&gt;="&amp;('_Dates'!W23),INDEX(AllClosureRows,C23,0),"&lt;="&amp;('_Dates'!X23)))+IF(('_Dates'!Z23)&lt;('_Dates'!Y23),0,INT((('_Dates'!Z23)-('_Dates'!Y23)+1)/7)*LEN(SUBSTITUTE(W23,"O",""))+LEN(SUBSTITUTE(MID(W23&amp;W23,WEEKDAY(('_Dates'!Y23),2),MOD((('_Dates'!Z23)-('_Dates'!Y23)+1),7)),"O",""))-COUNTIFS(INDEX(AllClosureRows,C23,0),"&gt;="&amp;('_Dates'!Y23),INDEX(AllClosureRows,C23,0),"&lt;="&amp;('_Dates'!Z23)))))</ns0:f>
        <ns0:v>1</ns0:v>
      </ns0:c>
      <ns0:c r="H23" s="4">
        <ns0:f>IF(OR(F23&lt;&gt;"OK",$B$6&gt;0),0,0.5*(IF((MIN('_Dates'!X23,Settings!$B$9))&lt;('_Dates'!W23),0,INT(((MIN('_Dates'!X23,Settings!$B$9))-('_Dates'!W23)+1)/7)*LEN(SUBSTITUTE(W23,"O",""))+LEN(SUBSTITUTE(MID(W23&amp;W23,WEEKDAY(('_Dates'!W23),2),MOD(((MIN('_Dates'!X23,Settings!$B$9))-('_Dates'!W23)+1),7)),"O",""))-COUNTIFS(INDEX(AllClosureRows,C23,0),"&gt;="&amp;('_Dates'!W23),INDEX(AllClosureRows,C23,0),"&lt;="&amp;(MIN('_Dates'!X23,Settings!$B$9))))+IF((MIN('_Dates'!Z23,Settings!$B$9))&lt;('_Dates'!Y23),0,INT(((MIN('_Dates'!Z23,Settings!$B$9))-('_Dates'!Y23)+1)/7)*LEN(SUBSTITUTE(W23,"O",""))+LEN(SUBSTITUTE(MID(W23&amp;W23,WEEKDAY(('_Dates'!Y23),2),MOD(((MIN('_Dates'!Z23,Settings!$B$9))-('_Dates'!Y23)+1),7)),"O",""))-COUNTIFS(INDEX(AllClosureRows,C23,0),"&gt;="&amp;('_Dates'!Y23),INDEX(AllClosureRows,C23,0),"&lt;="&amp;(MIN('_Dates'!Z23,Settings!$B$9))))))</ns0:f>
        <ns0:v>1</ns0:v>
      </ns0:c>
      <ns0:c r="I23" s="4">
        <ns0:f>MAX(0,G23-H23)</ns0:f>
        <ns0:v>0</ns0:v>
      </ns0:c>
      <ns0:c r="J23" s="4">
        <ns0:f>IF(OR(A23=0,F23&lt;&gt;"OK",Bookings!G23="Cancelled",$B$6&gt;0),0,IF('_Dates'!AC23=1,MAX(0,COUNTIFS(rngEngine_B,B23,rngAMStart,"&lt;="&amp;'_Dates'!X23,rngAMEnd,"&gt;="&amp;'_Dates'!W23,rngAMActive,1,rngEngine_F,"OK",rngBookings_F,"&lt;&gt;Cancelled")-1),0)+IF('_Dates'!AD23=1,MAX(0,COUNTIFS(rngEngine_B,B23,rngPMStart,"&lt;="&amp;'_Dates'!Z23,rngPMEnd,"&gt;="&amp;'_Dates'!Y23,rngPMActive,1,rngEngine_F,"OK",rngBookings_F,"&lt;&gt;Cancelled")-1),0))</ns0:f>
        <ns0:v>0</ns0:v>
      </ns0:c>
      <ns0:c r="K23" s="0" t="str">
        <ns0:f>IF(A23=0,"",IF(F23&lt;&gt;"OK",F23,IF(J23&gt;0,"CHECK overlapping entry",IF(AND($B$6=0,G23&lt;=0,Bookings!G23&lt;&gt;"Cancelled"),"CHECK no working days",IF(Bookings!G23="Cancelled","Cancelled","OK")))))</ns0:f>
        <ns0:v>OK</ns0:v>
      </ns0:c>
      <ns0:c r="L23" s="0">
        <ns0:f>IF(LEFT(K23,5)="CHECK",1,0)</ns0:f>
        <ns0:v>0</ns0:v>
      </ns0:c>
      <ns0:c r="M23" s="0">
        <ns0:f>IF(AND(L23=1,OR(C23=0,IFERROR(INDEX($X$11:$X$60,C23),0)=0)),1,0)</ns0:f>
        <ns0:v>0</ns0:v>
      </ns0:c>
      <ns0:c r="N23" s="0">
        <ns0:f>IF(OR(A23=0,L23&gt;0,$B$6&gt;0,Bookings!G23="Cancelled"),0,G23)</ns0:f>
        <ns0:v>1</ns0:v>
      </ns0:c>
      <ns0:c r="O23" s="0">
        <ns0:f>IF(AND(Bookings!G23="Approved",E23="Yes"),N23,0)</ns0:f>
        <ns0:v>0</ns0:v>
      </ns0:c>
      <ns0:c r="P23" s="0">
        <ns0:f>IF(AND(Bookings!G23="Approved",E23="Yes",L23=0,$B$6=0),H23,0)</ns0:f>
        <ns0:v>0</ns0:v>
      </ns0:c>
      <ns0:c r="Q23" s="0">
        <ns0:f>IF(AND(Bookings!G23="Approved",E23="Yes",L23=0,$B$6=0),I23,0)</ns0:f>
        <ns0:v>0</ns0:v>
      </ns0:c>
      <ns0:c r="R23" s="0">
        <ns0:f>IF(AND(Bookings!G23="Pending",E23="Yes"),N23,0)</ns0:f>
        <ns0:v>0</ns0:v>
      </ns0:c>
      <ns0:c r="S23" s="0">
        <ns0:f>IF(AND(Bookings!G23="Approved",E23="No"),N23,0)</ns0:f>
        <ns0:v>1</ns0:v>
      </ns0:c>
      <ns0:c r="T23" s="0">
        <ns0:f>IFERROR(MATCH(D23,Settings!$G$7:$G$11,0),0)</ns0:f>
        <ns0:v>4</ns0:v>
      </ns0:c>
      <ns0:c r="U23" s="0">
        <ns0:f>IF(N23&gt;0,T23+IF(Bookings!G23="Pending",10,0),0)</ns0:f>
        <ns0:v>4</ns0:v>
      </ns0:c>
      <ns0:c r="V23" s="0">
        <ns0:f>U23</ns0:f>
        <ns0:v>4</ns0:v>
      </ns0:c>
      <ns0:c r="W23" s="0" t="str">
        <ns0:f>IF(C23=0,"",INDEX($AP$11:$AP$60,C23))</ns0:f>
        <ns0:v>WWWWOOO</ns0:v>
      </ns0:c>
      <ns0:c r="X23" s="0">
        <ns0:f>IF(COUNTA(Team!B23:D23)=0,0,1)</ns0:f>
        <ns0:v>0</ns0:v>
      </ns0:c>
      <ns0:c r="Y23" s="0" t="str">
        <ns0:f>IF(X23=0,"",IF(Team!B23="","[Unnamed]",Team!B23)&amp;" · "&amp;Team!A23)</ns0:f>
        <ns0:v/>
      </ns0:c>
      <ns0:c r="Z23" s="0">
        <ns0:f>IF(X23=0,0,COUNTIF(Team!H23:N23,"Work"))</ns0:f>
        <ns0:v>0</ns0:v>
      </ns0:c>
      <ns0:c r="AA23" s="0">
        <ns0:f>IF(LEFT(Team!O23,5)="CHECK",1,0)</ns0:f>
        <ns0:v>0</ns0:v>
      </ns0:c>
      <ns0:c r="AB23" s="0">
        <ns0:f>IF(X23=0,0,SUMIFS(rngEngine_L,rngEngine_B,Team!A23))</ns0:f>
        <ns0:v>0</ns0:v>
      </ns0:c>
      <ns0:c r="AC23" s="0" t="str">
        <ns0:f>IF(AND(X23=1,OR(Calendar!$C$7="All teams",Team!C23=Calendar!$C$7)),MAX($AC$10:AC22)+1,"")</ns0:f>
        <ns0:v/>
      </ns0:c>
      <ns0:c r="AD23" s="0" t="str">
        <ns0:f>IF(OR(X23=0,Team!C23="",COUNTIF(Team!$C$11:C23,Team!C23)&gt;1),"",MAX($AD$10:AD22)+1)</ns0:f>
        <ns0:v/>
      </ns0:c>
      <ns0:c r="AE23" s="0" t="str">
        <ns0:f>IFERROR(INDEX(Team!$C$11:$C$60,MATCH(ROW()-10,$AD$11:$AD$60,0)),"")</ns0:f>
        <ns0:v/>
      </ns0:c>
      <ns0:c r="AF23" s="0" t="str">
        <ns0:f>AE23</ns0:f>
        <ns0:v/>
      </ns0:c>
      <ns0:c r="AG23" s="0">
        <ns0:f>IF(X23=0,0,IFERROR(Team!F23+Team!G23,0))</ns0:f>
        <ns0:v>0</ns0:v>
      </ns0:c>
      <ns0:c r="AH23" s="0">
        <ns0:f>IF(X23=0,0,SUMIFS(rngEngine_P,rngEngine_B,Team!A23))</ns0:f>
        <ns0:v>0</ns0:v>
      </ns0:c>
      <ns0:c r="AI23" s="0">
        <ns0:f>IF(X23=0,0,SUMIFS(rngEngine_Q,rngEngine_B,Team!A23))</ns0:f>
        <ns0:v>0</ns0:v>
      </ns0:c>
      <ns0:c r="AJ23" s="0">
        <ns0:f>IF(X23=0,0,SUMIFS(rngEngine_R,rngEngine_B,Team!A23))</ns0:f>
        <ns0:v>0</ns0:v>
      </ns0:c>
      <ns0:c r="AK23" s="0">
        <ns0:f>IF(X23=0,0,SUMIFS(rngEngine_S,rngEngine_B,Team!A23))</ns0:f>
        <ns0:v>0</ns0:v>
      </ns0:c>
      <ns0:c r="AL23" s="0">
        <ns0:f>AH23+AI23</ns0:f>
        <ns0:v>0</ns0:v>
      </ns0:c>
      <ns0:c r="AM23" s="0" t="str">
        <ns0:f>IF(X23=0,"",IF(AA23&gt;0,"CHECK team setup",IF(AB23&gt;0,"CHECK "&amp;AB23&amp;" booking(s)","OK")))</ns0:f>
        <ns0:v/>
      </ns0:c>
      <ns0:c r="AN23" s="0" t="str">
        <ns0:f>IF(X23=0,"",IF(OR($B$6&gt;0,AM23&lt;&gt;"OK"),"REVIEW",AG23-AL23))</ns0:f>
        <ns0:v/>
      </ns0:c>
      <ns0:c r="AO23" s="0">
        <ns0:f>IFERROR(MATCH(ROW()-11,$AC$11:$AC$60,0),0)</ns0:f>
        <ns0:v>0</ns0:v>
      </ns0:c>
      <ns0:c r="AP23" s="0" t="str">
        <ns0:f>IF(Team!H23="Work","W","O")&amp;IF(Team!I23="Work","W","O")&amp;IF(Team!J23="Work","W","O")&amp;IF(Team!K23="Work","W","O")&amp;IF(Team!L23="Work","W","O")&amp;IF(Team!M23="Work","W","O")&amp;IF(Team!N23="Work","W","O")</ns0:f>
        <ns0:v>WWWWWOO</ns0:v>
      </ns0:c>
      <ns0:c r="AR23" s="0">
        <ns0:f>IFERROR(IF(ISNUMBER(Settings!F23),WEEKDAY(Settings!F23,2),0),0)</ns0:f>
        <ns0:v>0</ns0:v>
      </ns0:c>
      <ns0:c r="BC23" s="0">
        <ns0:f>IF(OR($AO23=0,$B$5&lt;&gt;"OK",$B$6&gt;0,Calendar!D$11=""),0,SUMIFS(rngEngine_U,rngEngine_B,INDEX(Team!$A$11:$A$60,$AO23),rngAMStart,"&lt;="&amp;Calendar!D$11,rngAMEnd,"&gt;="&amp;Calendar!D$11))</ns0:f>
        <ns0:v>0</ns0:v>
      </ns0:c>
      <ns0:c r="BD23" s="0">
        <ns0:f>IF(OR($AO23=0,$B$5&lt;&gt;"OK",$B$6&gt;0,Calendar!D$11=""),0,SUMIFS(rngEngine_V,rngEngine_B,INDEX(Team!$A$11:$A$60,$AO23),rngPMStart,"&lt;="&amp;Calendar!D$11,rngPMEnd,"&gt;="&amp;Calendar!D$11))</ns0:f>
        <ns0:v>0</ns0:v>
      </ns0:c>
      <ns0:c r="BE23" s="0">
        <ns0:f>IF(OR($AO23=0,$B$5&lt;&gt;"OK",$B$6&gt;0,Calendar!E$11=""),0,SUMIFS(rngEngine_U,rngEngine_B,INDEX(Team!$A$11:$A$60,$AO23),rngAMStart,"&lt;="&amp;Calendar!E$11,rngAMEnd,"&gt;="&amp;Calendar!E$11))</ns0:f>
        <ns0:v>0</ns0:v>
      </ns0:c>
      <ns0:c r="BF23" s="0">
        <ns0:f>IF(OR($AO23=0,$B$5&lt;&gt;"OK",$B$6&gt;0,Calendar!E$11=""),0,SUMIFS(rngEngine_V,rngEngine_B,INDEX(Team!$A$11:$A$60,$AO23),rngPMStart,"&lt;="&amp;Calendar!E$11,rngPMEnd,"&gt;="&amp;Calendar!E$11))</ns0:f>
        <ns0:v>0</ns0:v>
      </ns0:c>
      <ns0:c r="BG23" s="0">
        <ns0:f>IF(OR($AO23=0,$B$5&lt;&gt;"OK",$B$6&gt;0,Calendar!F$11=""),0,SUMIFS(rngEngine_U,rngEngine_B,INDEX(Team!$A$11:$A$60,$AO23),rngAMStart,"&lt;="&amp;Calendar!F$11,rngAMEnd,"&gt;="&amp;Calendar!F$11))</ns0:f>
        <ns0:v>0</ns0:v>
      </ns0:c>
      <ns0:c r="BH23" s="0">
        <ns0:f>IF(OR($AO23=0,$B$5&lt;&gt;"OK",$B$6&gt;0,Calendar!F$11=""),0,SUMIFS(rngEngine_V,rngEngine_B,INDEX(Team!$A$11:$A$60,$AO23),rngPMStart,"&lt;="&amp;Calendar!F$11,rngPMEnd,"&gt;="&amp;Calendar!F$11))</ns0:f>
        <ns0:v>0</ns0:v>
      </ns0:c>
      <ns0:c r="BI23" s="0">
        <ns0:f>IF(OR($AO23=0,$B$5&lt;&gt;"OK",$B$6&gt;0,Calendar!G$11=""),0,SUMIFS(rngEngine_U,rngEngine_B,INDEX(Team!$A$11:$A$60,$AO23),rngAMStart,"&lt;="&amp;Calendar!G$11,rngAMEnd,"&gt;="&amp;Calendar!G$11))</ns0:f>
        <ns0:v>0</ns0:v>
      </ns0:c>
      <ns0:c r="BJ23" s="0">
        <ns0:f>IF(OR($AO23=0,$B$5&lt;&gt;"OK",$B$6&gt;0,Calendar!G$11=""),0,SUMIFS(rngEngine_V,rngEngine_B,INDEX(Team!$A$11:$A$60,$AO23),rngPMStart,"&lt;="&amp;Calendar!G$11,rngPMEnd,"&gt;="&amp;Calendar!G$11))</ns0:f>
        <ns0:v>0</ns0:v>
      </ns0:c>
      <ns0:c r="BK23" s="0">
        <ns0:f>IF(OR($AO23=0,$B$5&lt;&gt;"OK",$B$6&gt;0,Calendar!H$11=""),0,SUMIFS(rngEngine_U,rngEngine_B,INDEX(Team!$A$11:$A$60,$AO23),rngAMStart,"&lt;="&amp;Calendar!H$11,rngAMEnd,"&gt;="&amp;Calendar!H$11))</ns0:f>
        <ns0:v>0</ns0:v>
      </ns0:c>
      <ns0:c r="BL23" s="0">
        <ns0:f>IF(OR($AO23=0,$B$5&lt;&gt;"OK",$B$6&gt;0,Calendar!H$11=""),0,SUMIFS(rngEngine_V,rngEngine_B,INDEX(Team!$A$11:$A$60,$AO23),rngPMStart,"&lt;="&amp;Calendar!H$11,rngPMEnd,"&gt;="&amp;Calendar!H$11))</ns0:f>
        <ns0:v>0</ns0:v>
      </ns0:c>
      <ns0:c r="BM23" s="0">
        <ns0:f>IF(OR($AO23=0,$B$5&lt;&gt;"OK",$B$6&gt;0,Calendar!I$11=""),0,SUMIFS(rngEngine_U,rngEngine_B,INDEX(Team!$A$11:$A$60,$AO23),rngAMStart,"&lt;="&amp;Calendar!I$11,rngAMEnd,"&gt;="&amp;Calendar!I$11))</ns0:f>
        <ns0:v>0</ns0:v>
      </ns0:c>
      <ns0:c r="BN23" s="0">
        <ns0:f>IF(OR($AO23=0,$B$5&lt;&gt;"OK",$B$6&gt;0,Calendar!I$11=""),0,SUMIFS(rngEngine_V,rngEngine_B,INDEX(Team!$A$11:$A$60,$AO23),rngPMStart,"&lt;="&amp;Calendar!I$11,rngPMEnd,"&gt;="&amp;Calendar!I$11))</ns0:f>
        <ns0:v>0</ns0:v>
      </ns0:c>
      <ns0:c r="BO23" s="0">
        <ns0:f>IF(OR($AO23=0,$B$5&lt;&gt;"OK",$B$6&gt;0,Calendar!J$11=""),0,SUMIFS(rngEngine_U,rngEngine_B,INDEX(Team!$A$11:$A$60,$AO23),rngAMStart,"&lt;="&amp;Calendar!J$11,rngAMEnd,"&gt;="&amp;Calendar!J$11))</ns0:f>
        <ns0:v>0</ns0:v>
      </ns0:c>
      <ns0:c r="BP23" s="0">
        <ns0:f>IF(OR($AO23=0,$B$5&lt;&gt;"OK",$B$6&gt;0,Calendar!J$11=""),0,SUMIFS(rngEngine_V,rngEngine_B,INDEX(Team!$A$11:$A$60,$AO23),rngPMStart,"&lt;="&amp;Calendar!J$11,rngPMEnd,"&gt;="&amp;Calendar!J$11))</ns0:f>
        <ns0:v>0</ns0:v>
      </ns0:c>
      <ns0:c r="BQ23" s="0">
        <ns0:f>IF(OR($AO23=0,$B$5&lt;&gt;"OK",$B$6&gt;0,Calendar!K$11=""),0,SUMIFS(rngEngine_U,rngEngine_B,INDEX(Team!$A$11:$A$60,$AO23),rngAMStart,"&lt;="&amp;Calendar!K$11,rngAMEnd,"&gt;="&amp;Calendar!K$11))</ns0:f>
        <ns0:v>0</ns0:v>
      </ns0:c>
      <ns0:c r="BR23" s="0">
        <ns0:f>IF(OR($AO23=0,$B$5&lt;&gt;"OK",$B$6&gt;0,Calendar!K$11=""),0,SUMIFS(rngEngine_V,rngEngine_B,INDEX(Team!$A$11:$A$60,$AO23),rngPMStart,"&lt;="&amp;Calendar!K$11,rngPMEnd,"&gt;="&amp;Calendar!K$11))</ns0:f>
        <ns0:v>0</ns0:v>
      </ns0:c>
      <ns0:c r="BS23" s="0">
        <ns0:f>IF(OR($AO23=0,$B$5&lt;&gt;"OK",$B$6&gt;0,Calendar!L$11=""),0,SUMIFS(rngEngine_U,rngEngine_B,INDEX(Team!$A$11:$A$60,$AO23),rngAMStart,"&lt;="&amp;Calendar!L$11,rngAMEnd,"&gt;="&amp;Calendar!L$11))</ns0:f>
        <ns0:v>0</ns0:v>
      </ns0:c>
      <ns0:c r="BT23" s="0">
        <ns0:f>IF(OR($AO23=0,$B$5&lt;&gt;"OK",$B$6&gt;0,Calendar!L$11=""),0,SUMIFS(rngEngine_V,rngEngine_B,INDEX(Team!$A$11:$A$60,$AO23),rngPMStart,"&lt;="&amp;Calendar!L$11,rngPMEnd,"&gt;="&amp;Calendar!L$11))</ns0:f>
        <ns0:v>0</ns0:v>
      </ns0:c>
      <ns0:c r="BU23" s="0">
        <ns0:f>IF(OR($AO23=0,$B$5&lt;&gt;"OK",$B$6&gt;0,Calendar!M$11=""),0,SUMIFS(rngEngine_U,rngEngine_B,INDEX(Team!$A$11:$A$60,$AO23),rngAMStart,"&lt;="&amp;Calendar!M$11,rngAMEnd,"&gt;="&amp;Calendar!M$11))</ns0:f>
        <ns0:v>0</ns0:v>
      </ns0:c>
      <ns0:c r="BV23" s="0">
        <ns0:f>IF(OR($AO23=0,$B$5&lt;&gt;"OK",$B$6&gt;0,Calendar!M$11=""),0,SUMIFS(rngEngine_V,rngEngine_B,INDEX(Team!$A$11:$A$60,$AO23),rngPMStart,"&lt;="&amp;Calendar!M$11,rngPMEnd,"&gt;="&amp;Calendar!M$11))</ns0:f>
        <ns0:v>0</ns0:v>
      </ns0:c>
      <ns0:c r="BW23" s="0">
        <ns0:f>IF(OR($AO23=0,$B$5&lt;&gt;"OK",$B$6&gt;0,Calendar!N$11=""),0,SUMIFS(rngEngine_U,rngEngine_B,INDEX(Team!$A$11:$A$60,$AO23),rngAMStart,"&lt;="&amp;Calendar!N$11,rngAMEnd,"&gt;="&amp;Calendar!N$11))</ns0:f>
        <ns0:v>0</ns0:v>
      </ns0:c>
      <ns0:c r="BX23" s="0">
        <ns0:f>IF(OR($AO23=0,$B$5&lt;&gt;"OK",$B$6&gt;0,Calendar!N$11=""),0,SUMIFS(rngEngine_V,rngEngine_B,INDEX(Team!$A$11:$A$60,$AO23),rngPMStart,"&lt;="&amp;Calendar!N$11,rngPMEnd,"&gt;="&amp;Calendar!N$11))</ns0:f>
        <ns0:v>0</ns0:v>
      </ns0:c>
      <ns0:c r="BY23" s="0">
        <ns0:f>IF(OR($AO23=0,$B$5&lt;&gt;"OK",$B$6&gt;0,Calendar!O$11=""),0,SUMIFS(rngEngine_U,rngEngine_B,INDEX(Team!$A$11:$A$60,$AO23),rngAMStart,"&lt;="&amp;Calendar!O$11,rngAMEnd,"&gt;="&amp;Calendar!O$11))</ns0:f>
        <ns0:v>0</ns0:v>
      </ns0:c>
      <ns0:c r="BZ23" s="0">
        <ns0:f>IF(OR($AO23=0,$B$5&lt;&gt;"OK",$B$6&gt;0,Calendar!O$11=""),0,SUMIFS(rngEngine_V,rngEngine_B,INDEX(Team!$A$11:$A$60,$AO23),rngPMStart,"&lt;="&amp;Calendar!O$11,rngPMEnd,"&gt;="&amp;Calendar!O$11))</ns0:f>
        <ns0:v>0</ns0:v>
      </ns0:c>
      <ns0:c r="CA23" s="0">
        <ns0:f>IF(OR($AO23=0,$B$5&lt;&gt;"OK",$B$6&gt;0,Calendar!P$11=""),0,SUMIFS(rngEngine_U,rngEngine_B,INDEX(Team!$A$11:$A$60,$AO23),rngAMStart,"&lt;="&amp;Calendar!P$11,rngAMEnd,"&gt;="&amp;Calendar!P$11))</ns0:f>
        <ns0:v>0</ns0:v>
      </ns0:c>
      <ns0:c r="CB23" s="0">
        <ns0:f>IF(OR($AO23=0,$B$5&lt;&gt;"OK",$B$6&gt;0,Calendar!P$11=""),0,SUMIFS(rngEngine_V,rngEngine_B,INDEX(Team!$A$11:$A$60,$AO23),rngPMStart,"&lt;="&amp;Calendar!P$11,rngPMEnd,"&gt;="&amp;Calendar!P$11))</ns0:f>
        <ns0:v>0</ns0:v>
      </ns0:c>
      <ns0:c r="CC23" s="0">
        <ns0:f>IF(OR($AO23=0,$B$5&lt;&gt;"OK",$B$6&gt;0,Calendar!Q$11=""),0,SUMIFS(rngEngine_U,rngEngine_B,INDEX(Team!$A$11:$A$60,$AO23),rngAMStart,"&lt;="&amp;Calendar!Q$11,rngAMEnd,"&gt;="&amp;Calendar!Q$11))</ns0:f>
        <ns0:v>0</ns0:v>
      </ns0:c>
      <ns0:c r="CD23" s="0">
        <ns0:f>IF(OR($AO23=0,$B$5&lt;&gt;"OK",$B$6&gt;0,Calendar!Q$11=""),0,SUMIFS(rngEngine_V,rngEngine_B,INDEX(Team!$A$11:$A$60,$AO23),rngPMStart,"&lt;="&amp;Calendar!Q$11,rngPMEnd,"&gt;="&amp;Calendar!Q$11))</ns0:f>
        <ns0:v>0</ns0:v>
      </ns0:c>
      <ns0:c r="CE23" s="0">
        <ns0:f>IF(OR($AO23=0,$B$5&lt;&gt;"OK",$B$6&gt;0,Calendar!R$11=""),0,SUMIFS(rngEngine_U,rngEngine_B,INDEX(Team!$A$11:$A$60,$AO23),rngAMStart,"&lt;="&amp;Calendar!R$11,rngAMEnd,"&gt;="&amp;Calendar!R$11))</ns0:f>
        <ns0:v>0</ns0:v>
      </ns0:c>
      <ns0:c r="CF23" s="0">
        <ns0:f>IF(OR($AO23=0,$B$5&lt;&gt;"OK",$B$6&gt;0,Calendar!R$11=""),0,SUMIFS(rngEngine_V,rngEngine_B,INDEX(Team!$A$11:$A$60,$AO23),rngPMStart,"&lt;="&amp;Calendar!R$11,rngPMEnd,"&gt;="&amp;Calendar!R$11))</ns0:f>
        <ns0:v>0</ns0:v>
      </ns0:c>
      <ns0:c r="CG23" s="0">
        <ns0:f>IF(OR($AO23=0,$B$5&lt;&gt;"OK",$B$6&gt;0,Calendar!S$11=""),0,SUMIFS(rngEngine_U,rngEngine_B,INDEX(Team!$A$11:$A$60,$AO23),rngAMStart,"&lt;="&amp;Calendar!S$11,rngAMEnd,"&gt;="&amp;Calendar!S$11))</ns0:f>
        <ns0:v>0</ns0:v>
      </ns0:c>
      <ns0:c r="CH23" s="0">
        <ns0:f>IF(OR($AO23=0,$B$5&lt;&gt;"OK",$B$6&gt;0,Calendar!S$11=""),0,SUMIFS(rngEngine_V,rngEngine_B,INDEX(Team!$A$11:$A$60,$AO23),rngPMStart,"&lt;="&amp;Calendar!S$11,rngPMEnd,"&gt;="&amp;Calendar!S$11))</ns0:f>
        <ns0:v>0</ns0:v>
      </ns0:c>
      <ns0:c r="CI23" s="0">
        <ns0:f>IF(OR($AO23=0,$B$5&lt;&gt;"OK",$B$6&gt;0,Calendar!T$11=""),0,SUMIFS(rngEngine_U,rngEngine_B,INDEX(Team!$A$11:$A$60,$AO23),rngAMStart,"&lt;="&amp;Calendar!T$11,rngAMEnd,"&gt;="&amp;Calendar!T$11))</ns0:f>
        <ns0:v>0</ns0:v>
      </ns0:c>
      <ns0:c r="CJ23" s="0">
        <ns0:f>IF(OR($AO23=0,$B$5&lt;&gt;"OK",$B$6&gt;0,Calendar!T$11=""),0,SUMIFS(rngEngine_V,rngEngine_B,INDEX(Team!$A$11:$A$60,$AO23),rngPMStart,"&lt;="&amp;Calendar!T$11,rngPMEnd,"&gt;="&amp;Calendar!T$11))</ns0:f>
        <ns0:v>0</ns0:v>
      </ns0:c>
      <ns0:c r="CK23" s="0">
        <ns0:f>IF(OR($AO23=0,$B$5&lt;&gt;"OK",$B$6&gt;0,Calendar!U$11=""),0,SUMIFS(rngEngine_U,rngEngine_B,INDEX(Team!$A$11:$A$60,$AO23),rngAMStart,"&lt;="&amp;Calendar!U$11,rngAMEnd,"&gt;="&amp;Calendar!U$11))</ns0:f>
        <ns0:v>0</ns0:v>
      </ns0:c>
      <ns0:c r="CL23" s="0">
        <ns0:f>IF(OR($AO23=0,$B$5&lt;&gt;"OK",$B$6&gt;0,Calendar!U$11=""),0,SUMIFS(rngEngine_V,rngEngine_B,INDEX(Team!$A$11:$A$60,$AO23),rngPMStart,"&lt;="&amp;Calendar!U$11,rngPMEnd,"&gt;="&amp;Calendar!U$11))</ns0:f>
        <ns0:v>0</ns0:v>
      </ns0:c>
      <ns0:c r="CM23" s="0">
        <ns0:f>IF(OR($AO23=0,$B$5&lt;&gt;"OK",$B$6&gt;0,Calendar!V$11=""),0,SUMIFS(rngEngine_U,rngEngine_B,INDEX(Team!$A$11:$A$60,$AO23),rngAMStart,"&lt;="&amp;Calendar!V$11,rngAMEnd,"&gt;="&amp;Calendar!V$11))</ns0:f>
        <ns0:v>0</ns0:v>
      </ns0:c>
      <ns0:c r="CN23" s="0">
        <ns0:f>IF(OR($AO23=0,$B$5&lt;&gt;"OK",$B$6&gt;0,Calendar!V$11=""),0,SUMIFS(rngEngine_V,rngEngine_B,INDEX(Team!$A$11:$A$60,$AO23),rngPMStart,"&lt;="&amp;Calendar!V$11,rngPMEnd,"&gt;="&amp;Calendar!V$11))</ns0:f>
        <ns0:v>0</ns0:v>
      </ns0:c>
      <ns0:c r="CO23" s="0">
        <ns0:f>IF(OR($AO23=0,$B$5&lt;&gt;"OK",$B$6&gt;0,Calendar!W$11=""),0,SUMIFS(rngEngine_U,rngEngine_B,INDEX(Team!$A$11:$A$60,$AO23),rngAMStart,"&lt;="&amp;Calendar!W$11,rngAMEnd,"&gt;="&amp;Calendar!W$11))</ns0:f>
        <ns0:v>0</ns0:v>
      </ns0:c>
      <ns0:c r="CP23" s="0">
        <ns0:f>IF(OR($AO23=0,$B$5&lt;&gt;"OK",$B$6&gt;0,Calendar!W$11=""),0,SUMIFS(rngEngine_V,rngEngine_B,INDEX(Team!$A$11:$A$60,$AO23),rngPMStart,"&lt;="&amp;Calendar!W$11,rngPMEnd,"&gt;="&amp;Calendar!W$11))</ns0:f>
        <ns0:v>0</ns0:v>
      </ns0:c>
      <ns0:c r="CQ23" s="0">
        <ns0:f>IF(OR($AO23=0,$B$5&lt;&gt;"OK",$B$6&gt;0,Calendar!X$11=""),0,SUMIFS(rngEngine_U,rngEngine_B,INDEX(Team!$A$11:$A$60,$AO23),rngAMStart,"&lt;="&amp;Calendar!X$11,rngAMEnd,"&gt;="&amp;Calendar!X$11))</ns0:f>
        <ns0:v>0</ns0:v>
      </ns0:c>
      <ns0:c r="CR23" s="0">
        <ns0:f>IF(OR($AO23=0,$B$5&lt;&gt;"OK",$B$6&gt;0,Calendar!X$11=""),0,SUMIFS(rngEngine_V,rngEngine_B,INDEX(Team!$A$11:$A$60,$AO23),rngPMStart,"&lt;="&amp;Calendar!X$11,rngPMEnd,"&gt;="&amp;Calendar!X$11))</ns0:f>
        <ns0:v>0</ns0:v>
      </ns0:c>
      <ns0:c r="CS23" s="0">
        <ns0:f>IF(OR($AO23=0,$B$5&lt;&gt;"OK",$B$6&gt;0,Calendar!Y$11=""),0,SUMIFS(rngEngine_U,rngEngine_B,INDEX(Team!$A$11:$A$60,$AO23),rngAMStart,"&lt;="&amp;Calendar!Y$11,rngAMEnd,"&gt;="&amp;Calendar!Y$11))</ns0:f>
        <ns0:v>0</ns0:v>
      </ns0:c>
      <ns0:c r="CT23" s="0">
        <ns0:f>IF(OR($AO23=0,$B$5&lt;&gt;"OK",$B$6&gt;0,Calendar!Y$11=""),0,SUMIFS(rngEngine_V,rngEngine_B,INDEX(Team!$A$11:$A$60,$AO23),rngPMStart,"&lt;="&amp;Calendar!Y$11,rngPMEnd,"&gt;="&amp;Calendar!Y$11))</ns0:f>
        <ns0:v>0</ns0:v>
      </ns0:c>
      <ns0:c r="CU23" s="0">
        <ns0:f>IF(OR($AO23=0,$B$5&lt;&gt;"OK",$B$6&gt;0,Calendar!Z$11=""),0,SUMIFS(rngEngine_U,rngEngine_B,INDEX(Team!$A$11:$A$60,$AO23),rngAMStart,"&lt;="&amp;Calendar!Z$11,rngAMEnd,"&gt;="&amp;Calendar!Z$11))</ns0:f>
        <ns0:v>0</ns0:v>
      </ns0:c>
      <ns0:c r="CV23" s="0">
        <ns0:f>IF(OR($AO23=0,$B$5&lt;&gt;"OK",$B$6&gt;0,Calendar!Z$11=""),0,SUMIFS(rngEngine_V,rngEngine_B,INDEX(Team!$A$11:$A$60,$AO23),rngPMStart,"&lt;="&amp;Calendar!Z$11,rngPMEnd,"&gt;="&amp;Calendar!Z$11))</ns0:f>
        <ns0:v>0</ns0:v>
      </ns0:c>
      <ns0:c r="CW23" s="0">
        <ns0:f>IF(OR($AO23=0,$B$5&lt;&gt;"OK",$B$6&gt;0,Calendar!AA$11=""),0,SUMIFS(rngEngine_U,rngEngine_B,INDEX(Team!$A$11:$A$60,$AO23),rngAMStart,"&lt;="&amp;Calendar!AA$11,rngAMEnd,"&gt;="&amp;Calendar!AA$11))</ns0:f>
        <ns0:v>0</ns0:v>
      </ns0:c>
      <ns0:c r="CX23" s="0">
        <ns0:f>IF(OR($AO23=0,$B$5&lt;&gt;"OK",$B$6&gt;0,Calendar!AA$11=""),0,SUMIFS(rngEngine_V,rngEngine_B,INDEX(Team!$A$11:$A$60,$AO23),rngPMStart,"&lt;="&amp;Calendar!AA$11,rngPMEnd,"&gt;="&amp;Calendar!AA$11))</ns0:f>
        <ns0:v>0</ns0:v>
      </ns0:c>
      <ns0:c r="CY23" s="0">
        <ns0:f>IF(OR($AO23=0,$B$5&lt;&gt;"OK",$B$6&gt;0,Calendar!AB$11=""),0,SUMIFS(rngEngine_U,rngEngine_B,INDEX(Team!$A$11:$A$60,$AO23),rngAMStart,"&lt;="&amp;Calendar!AB$11,rngAMEnd,"&gt;="&amp;Calendar!AB$11))</ns0:f>
        <ns0:v>0</ns0:v>
      </ns0:c>
      <ns0:c r="CZ23" s="0">
        <ns0:f>IF(OR($AO23=0,$B$5&lt;&gt;"OK",$B$6&gt;0,Calendar!AB$11=""),0,SUMIFS(rngEngine_V,rngEngine_B,INDEX(Team!$A$11:$A$60,$AO23),rngPMStart,"&lt;="&amp;Calendar!AB$11,rngPMEnd,"&gt;="&amp;Calendar!AB$11))</ns0:f>
        <ns0:v>0</ns0:v>
      </ns0:c>
      <ns0:c r="DA23" s="0">
        <ns0:f>IF(OR($AO23=0,$B$5&lt;&gt;"OK",$B$6&gt;0,Calendar!AC$11=""),0,SUMIFS(rngEngine_U,rngEngine_B,INDEX(Team!$A$11:$A$60,$AO23),rngAMStart,"&lt;="&amp;Calendar!AC$11,rngAMEnd,"&gt;="&amp;Calendar!AC$11))</ns0:f>
        <ns0:v>0</ns0:v>
      </ns0:c>
      <ns0:c r="DB23" s="0">
        <ns0:f>IF(OR($AO23=0,$B$5&lt;&gt;"OK",$B$6&gt;0,Calendar!AC$11=""),0,SUMIFS(rngEngine_V,rngEngine_B,INDEX(Team!$A$11:$A$60,$AO23),rngPMStart,"&lt;="&amp;Calendar!AC$11,rngPMEnd,"&gt;="&amp;Calendar!AC$11))</ns0:f>
        <ns0:v>0</ns0:v>
      </ns0:c>
      <ns0:c r="DC23" s="0">
        <ns0:f>IF(OR($AO23=0,$B$5&lt;&gt;"OK",$B$6&gt;0,Calendar!AD$11=""),0,SUMIFS(rngEngine_U,rngEngine_B,INDEX(Team!$A$11:$A$60,$AO23),rngAMStart,"&lt;="&amp;Calendar!AD$11,rngAMEnd,"&gt;="&amp;Calendar!AD$11))</ns0:f>
        <ns0:v>0</ns0:v>
      </ns0:c>
      <ns0:c r="DD23" s="0">
        <ns0:f>IF(OR($AO23=0,$B$5&lt;&gt;"OK",$B$6&gt;0,Calendar!AD$11=""),0,SUMIFS(rngEngine_V,rngEngine_B,INDEX(Team!$A$11:$A$60,$AO23),rngPMStart,"&lt;="&amp;Calendar!AD$11,rngPMEnd,"&gt;="&amp;Calendar!AD$11))</ns0:f>
        <ns0:v>0</ns0:v>
      </ns0:c>
      <ns0:c r="DE23" s="0">
        <ns0:f>IF(OR($AO23=0,$B$5&lt;&gt;"OK",$B$6&gt;0,Calendar!AE$11=""),0,SUMIFS(rngEngine_U,rngEngine_B,INDEX(Team!$A$11:$A$60,$AO23),rngAMStart,"&lt;="&amp;Calendar!AE$11,rngAMEnd,"&gt;="&amp;Calendar!AE$11))</ns0:f>
        <ns0:v>0</ns0:v>
      </ns0:c>
      <ns0:c r="DF23" s="0">
        <ns0:f>IF(OR($AO23=0,$B$5&lt;&gt;"OK",$B$6&gt;0,Calendar!AE$11=""),0,SUMIFS(rngEngine_V,rngEngine_B,INDEX(Team!$A$11:$A$60,$AO23),rngPMStart,"&lt;="&amp;Calendar!AE$11,rngPMEnd,"&gt;="&amp;Calendar!AE$11))</ns0:f>
        <ns0:v>0</ns0:v>
      </ns0:c>
      <ns0:c r="DG23" s="0">
        <ns0:f>IF(OR($AO23=0,$B$5&lt;&gt;"OK",$B$6&gt;0,Calendar!AF$11=""),0,SUMIFS(rngEngine_U,rngEngine_B,INDEX(Team!$A$11:$A$60,$AO23),rngAMStart,"&lt;="&amp;Calendar!AF$11,rngAMEnd,"&gt;="&amp;Calendar!AF$11))</ns0:f>
        <ns0:v>0</ns0:v>
      </ns0:c>
      <ns0:c r="DH23" s="0">
        <ns0:f>IF(OR($AO23=0,$B$5&lt;&gt;"OK",$B$6&gt;0,Calendar!AF$11=""),0,SUMIFS(rngEngine_V,rngEngine_B,INDEX(Team!$A$11:$A$60,$AO23),rngPMStart,"&lt;="&amp;Calendar!AF$11,rngPMEnd,"&gt;="&amp;Calendar!AF$11))</ns0:f>
        <ns0:v>0</ns0:v>
      </ns0:c>
      <ns0:c r="DI23" s="0">
        <ns0:f>IF(OR($AO23=0,$B$5&lt;&gt;"OK",$B$6&gt;0,Calendar!AG$11=""),0,SUMIFS(rngEngine_U,rngEngine_B,INDEX(Team!$A$11:$A$60,$AO23),rngAMStart,"&lt;="&amp;Calendar!AG$11,rngAMEnd,"&gt;="&amp;Calendar!AG$11))</ns0:f>
        <ns0:v>0</ns0:v>
      </ns0:c>
      <ns0:c r="DJ23" s="0">
        <ns0:f>IF(OR($AO23=0,$B$5&lt;&gt;"OK",$B$6&gt;0,Calendar!AG$11=""),0,SUMIFS(rngEngine_V,rngEngine_B,INDEX(Team!$A$11:$A$60,$AO23),rngPMStart,"&lt;="&amp;Calendar!AG$11,rngPMEnd,"&gt;="&amp;Calendar!AG$11))</ns0:f>
        <ns0:v>0</ns0:v>
      </ns0:c>
      <ns0:c r="DK23" s="0">
        <ns0:f>IF(OR($AO23=0,$B$5&lt;&gt;"OK",$B$6&gt;0,Calendar!AH$11=""),0,SUMIFS(rngEngine_U,rngEngine_B,INDEX(Team!$A$11:$A$60,$AO23),rngAMStart,"&lt;="&amp;Calendar!AH$11,rngAMEnd,"&gt;="&amp;Calendar!AH$11))</ns0:f>
        <ns0:v>0</ns0:v>
      </ns0:c>
      <ns0:c r="DL23" s="0">
        <ns0:f>IF(OR($AO23=0,$B$5&lt;&gt;"OK",$B$6&gt;0,Calendar!AH$11=""),0,SUMIFS(rngEngine_V,rngEngine_B,INDEX(Team!$A$11:$A$60,$AO23),rngPMStart,"&lt;="&amp;Calendar!AH$11,rngPMEnd,"&gt;="&amp;Calendar!AH$11))</ns0:f>
        <ns0:v>0</ns0:v>
      </ns0:c>
    </ns0:row>
    <ns0:row r="24" ht="22" customHeight="1">
      <ns0:c r="A24" s="4">
        <ns0:f>IF(COUNTA(Bookings!A24:G24,Bookings!I24)=0,0,1)</ns0:f>
        <ns0:v>1</ns0:v>
      </ns0:c>
      <ns0:c r="B24" s="4" t="str">
        <ns0:f>IFERROR(TRIM(MID(Bookings!A24,FIND(" · ",Bookings!A24)+3,99)),"")</ns0:f>
        <ns0:v>EMP006</ns0:v>
      </ns0:c>
      <ns0:c r="C24" s="4">
        <ns0:f>IF(OR(B24="",LEN(B24)&gt;24,ISNUMBER(FIND(" ",B24)),ISNUMBER(FIND("*",B24)),ISNUMBER(FIND("?",B24)),ISNUMBER(FIND("~",B24))),0,IFERROR(MATCH(B24,Team!$A$11:$A$60,0),0))</ns0:f>
        <ns0:v>6</ns0:v>
      </ns0:c>
      <ns0:c r="D24" s="4" t="str">
        <ns0:f>IFERROR(IF(MID(Bookings!F24,LEN(Bookings!F24)-3,3)=" · ",RIGHT(Bookings!F24,1),""),"")</ns0:f>
        <ns0:v>O</ns0:v>
      </ns0:c>
      <ns0:c r="E24" s="4" t="str">
        <ns0:f>IFERROR(INDEX(Settings!$H$7:$H$11,MATCH(D24,Settings!$G$7:$G$11,0)),"")</ns0:f>
        <ns0:v>No</ns0:v>
      </ns0:c>
      <ns0:c r="F24" s="4" t="str">
        <ns0:f>IF(A24=0,"",IFERROR(IF(OR(B24="",C24=0),"CHECK employee selection",IF(INDEX(Team!$O$11:$O$60,C24)&lt;&gt;"OK","CHECK employee setup",IF(OR('_Dates'!J24=0,'_Dates'!T24=0),"CHECK date: use DD.MM.YYYY",IF('_Dates'!T24&lt;'_Dates'!J24,"CHECK end before start",IF(AND($B$6=0,OR('_Dates'!J24&lt;Settings!$B$7,'_Dates'!T24&gt;Settings!$B$8)),"CHECK split across leave years",IF(OR(NOT(OR('_Dates'!U24="Full day",'_Dates'!U24="AM",'_Dates'!U24="PM")),NOT(OR('_Dates'!V24="Full day",'_Dates'!V24="AM",'_Dates'!V24="PM"))),"CHECK Full day / AM / PM",IF(AND('_Dates'!J24='_Dates'!T24,'_Dates'!U24&lt;&gt;"Full day",'_Dates'!V24&lt;&gt;"Full day",'_Dates'!U24&lt;&gt;'_Dates'!V24),"CHECK same-day portions disagree",IF(AND($B$6=0,OR(AND('_Dates'!U24&lt;&gt;"Full day",'_Dates'!AA24=0),AND('_Dates'!V24&lt;&gt;"Full day",'_Dates'!AB24=0))),"CHECK half-day on non-working date",IF(COUNTIF(Settings!$G$7:$G$11,D24)&lt;&gt;1,"CHECK leave type",IF(AND(Bookings!G24&lt;&gt;"Approved",Bookings!G24&lt;&gt;"Pending",Bookings!G24&lt;&gt;"Cancelled"),"CHECK status","OK")))))))))),"CHECK input"))</ns0:f>
        <ns0:v>OK</ns0:v>
      </ns0:c>
      <ns0:c r="G24" s="4">
        <ns0:f>IF(OR(F24&lt;&gt;"OK",$B$6&gt;0),0,0.5*(IF(('_Dates'!X24)&lt;('_Dates'!W24),0,INT((('_Dates'!X24)-('_Dates'!W24)+1)/7)*LEN(SUBSTITUTE(W24,"O",""))+LEN(SUBSTITUTE(MID(W24&amp;W24,WEEKDAY(('_Dates'!W24),2),MOD((('_Dates'!X24)-('_Dates'!W24)+1),7)),"O",""))-COUNTIFS(INDEX(AllClosureRows,C24,0),"&gt;="&amp;('_Dates'!W24),INDEX(AllClosureRows,C24,0),"&lt;="&amp;('_Dates'!X24)))+IF(('_Dates'!Z24)&lt;('_Dates'!Y24),0,INT((('_Dates'!Z24)-('_Dates'!Y24)+1)/7)*LEN(SUBSTITUTE(W24,"O",""))+LEN(SUBSTITUTE(MID(W24&amp;W24,WEEKDAY(('_Dates'!Y24),2),MOD((('_Dates'!Z24)-('_Dates'!Y24)+1),7)),"O",""))-COUNTIFS(INDEX(AllClosureRows,C24,0),"&gt;="&amp;('_Dates'!Y24),INDEX(AllClosureRows,C24,0),"&lt;="&amp;('_Dates'!Z24)))))</ns0:f>
        <ns0:v>1</ns0:v>
      </ns0:c>
      <ns0:c r="H24" s="4">
        <ns0:f>IF(OR(F24&lt;&gt;"OK",$B$6&gt;0),0,0.5*(IF((MIN('_Dates'!X24,Settings!$B$9))&lt;('_Dates'!W24),0,INT(((MIN('_Dates'!X24,Settings!$B$9))-('_Dates'!W24)+1)/7)*LEN(SUBSTITUTE(W24,"O",""))+LEN(SUBSTITUTE(MID(W24&amp;W24,WEEKDAY(('_Dates'!W24),2),MOD(((MIN('_Dates'!X24,Settings!$B$9))-('_Dates'!W24)+1),7)),"O",""))-COUNTIFS(INDEX(AllClosureRows,C24,0),"&gt;="&amp;('_Dates'!W24),INDEX(AllClosureRows,C24,0),"&lt;="&amp;(MIN('_Dates'!X24,Settings!$B$9))))+IF((MIN('_Dates'!Z24,Settings!$B$9))&lt;('_Dates'!Y24),0,INT(((MIN('_Dates'!Z24,Settings!$B$9))-('_Dates'!Y24)+1)/7)*LEN(SUBSTITUTE(W24,"O",""))+LEN(SUBSTITUTE(MID(W24&amp;W24,WEEKDAY(('_Dates'!Y24),2),MOD(((MIN('_Dates'!Z24,Settings!$B$9))-('_Dates'!Y24)+1),7)),"O",""))-COUNTIFS(INDEX(AllClosureRows,C24,0),"&gt;="&amp;('_Dates'!Y24),INDEX(AllClosureRows,C24,0),"&lt;="&amp;(MIN('_Dates'!Z24,Settings!$B$9))))))</ns0:f>
        <ns0:v>0</ns0:v>
      </ns0:c>
      <ns0:c r="I24" s="4">
        <ns0:f>MAX(0,G24-H24)</ns0:f>
        <ns0:v>1</ns0:v>
      </ns0:c>
      <ns0:c r="J24" s="4">
        <ns0:f>IF(OR(A24=0,F24&lt;&gt;"OK",Bookings!G24="Cancelled",$B$6&gt;0),0,IF('_Dates'!AC24=1,MAX(0,COUNTIFS(rngEngine_B,B24,rngAMStart,"&lt;="&amp;'_Dates'!X24,rngAMEnd,"&gt;="&amp;'_Dates'!W24,rngAMActive,1,rngEngine_F,"OK",rngBookings_F,"&lt;&gt;Cancelled")-1),0)+IF('_Dates'!AD24=1,MAX(0,COUNTIFS(rngEngine_B,B24,rngPMStart,"&lt;="&amp;'_Dates'!Z24,rngPMEnd,"&gt;="&amp;'_Dates'!Y24,rngPMActive,1,rngEngine_F,"OK",rngBookings_F,"&lt;&gt;Cancelled")-1),0))</ns0:f>
        <ns0:v>0</ns0:v>
      </ns0:c>
      <ns0:c r="K24" s="0" t="str">
        <ns0:f>IF(A24=0,"",IF(F24&lt;&gt;"OK",F24,IF(J24&gt;0,"CHECK overlapping entry",IF(AND($B$6=0,G24&lt;=0,Bookings!G24&lt;&gt;"Cancelled"),"CHECK no working days",IF(Bookings!G24="Cancelled","Cancelled","OK")))))</ns0:f>
        <ns0:v>OK</ns0:v>
      </ns0:c>
      <ns0:c r="L24" s="0">
        <ns0:f>IF(LEFT(K24,5)="CHECK",1,0)</ns0:f>
        <ns0:v>0</ns0:v>
      </ns0:c>
      <ns0:c r="M24" s="0">
        <ns0:f>IF(AND(L24=1,OR(C24=0,IFERROR(INDEX($X$11:$X$60,C24),0)=0)),1,0)</ns0:f>
        <ns0:v>0</ns0:v>
      </ns0:c>
      <ns0:c r="N24" s="0">
        <ns0:f>IF(OR(A24=0,L24&gt;0,$B$6&gt;0,Bookings!G24="Cancelled"),0,G24)</ns0:f>
        <ns0:v>1</ns0:v>
      </ns0:c>
      <ns0:c r="O24" s="0">
        <ns0:f>IF(AND(Bookings!G24="Approved",E24="Yes"),N24,0)</ns0:f>
        <ns0:v>0</ns0:v>
      </ns0:c>
      <ns0:c r="P24" s="0">
        <ns0:f>IF(AND(Bookings!G24="Approved",E24="Yes",L24=0,$B$6=0),H24,0)</ns0:f>
        <ns0:v>0</ns0:v>
      </ns0:c>
      <ns0:c r="Q24" s="0">
        <ns0:f>IF(AND(Bookings!G24="Approved",E24="Yes",L24=0,$B$6=0),I24,0)</ns0:f>
        <ns0:v>0</ns0:v>
      </ns0:c>
      <ns0:c r="R24" s="0">
        <ns0:f>IF(AND(Bookings!G24="Pending",E24="Yes"),N24,0)</ns0:f>
        <ns0:v>0</ns0:v>
      </ns0:c>
      <ns0:c r="S24" s="0">
        <ns0:f>IF(AND(Bookings!G24="Approved",E24="No"),N24,0)</ns0:f>
        <ns0:v>1</ns0:v>
      </ns0:c>
      <ns0:c r="T24" s="0">
        <ns0:f>IFERROR(MATCH(D24,Settings!$G$7:$G$11,0),0)</ns0:f>
        <ns0:v>5</ns0:v>
      </ns0:c>
      <ns0:c r="U24" s="0">
        <ns0:f>IF(N24&gt;0,T24+IF(Bookings!G24="Pending",10,0),0)</ns0:f>
        <ns0:v>5</ns0:v>
      </ns0:c>
      <ns0:c r="V24" s="0">
        <ns0:f>U24</ns0:f>
        <ns0:v>5</ns0:v>
      </ns0:c>
      <ns0:c r="W24" s="0" t="str">
        <ns0:f>IF(C24=0,"",INDEX($AP$11:$AP$60,C24))</ns0:f>
        <ns0:v>WWWWOOO</ns0:v>
      </ns0:c>
      <ns0:c r="X24" s="0">
        <ns0:f>IF(COUNTA(Team!B24:D24)=0,0,1)</ns0:f>
        <ns0:v>0</ns0:v>
      </ns0:c>
      <ns0:c r="Y24" s="0" t="str">
        <ns0:f>IF(X24=0,"",IF(Team!B24="","[Unnamed]",Team!B24)&amp;" · "&amp;Team!A24)</ns0:f>
        <ns0:v/>
      </ns0:c>
      <ns0:c r="Z24" s="0">
        <ns0:f>IF(X24=0,0,COUNTIF(Team!H24:N24,"Work"))</ns0:f>
        <ns0:v>0</ns0:v>
      </ns0:c>
      <ns0:c r="AA24" s="0">
        <ns0:f>IF(LEFT(Team!O24,5)="CHECK",1,0)</ns0:f>
        <ns0:v>0</ns0:v>
      </ns0:c>
      <ns0:c r="AB24" s="0">
        <ns0:f>IF(X24=0,0,SUMIFS(rngEngine_L,rngEngine_B,Team!A24))</ns0:f>
        <ns0:v>0</ns0:v>
      </ns0:c>
      <ns0:c r="AC24" s="0" t="str">
        <ns0:f>IF(AND(X24=1,OR(Calendar!$C$7="All teams",Team!C24=Calendar!$C$7)),MAX($AC$10:AC23)+1,"")</ns0:f>
        <ns0:v/>
      </ns0:c>
      <ns0:c r="AD24" s="0" t="str">
        <ns0:f>IF(OR(X24=0,Team!C24="",COUNTIF(Team!$C$11:C24,Team!C24)&gt;1),"",MAX($AD$10:AD23)+1)</ns0:f>
        <ns0:v/>
      </ns0:c>
      <ns0:c r="AE24" s="0" t="str">
        <ns0:f>IFERROR(INDEX(Team!$C$11:$C$60,MATCH(ROW()-10,$AD$11:$AD$60,0)),"")</ns0:f>
        <ns0:v/>
      </ns0:c>
      <ns0:c r="AF24" s="0" t="str">
        <ns0:f>AE24</ns0:f>
        <ns0:v/>
      </ns0:c>
      <ns0:c r="AG24" s="0">
        <ns0:f>IF(X24=0,0,IFERROR(Team!F24+Team!G24,0))</ns0:f>
        <ns0:v>0</ns0:v>
      </ns0:c>
      <ns0:c r="AH24" s="0">
        <ns0:f>IF(X24=0,0,SUMIFS(rngEngine_P,rngEngine_B,Team!A24))</ns0:f>
        <ns0:v>0</ns0:v>
      </ns0:c>
      <ns0:c r="AI24" s="0">
        <ns0:f>IF(X24=0,0,SUMIFS(rngEngine_Q,rngEngine_B,Team!A24))</ns0:f>
        <ns0:v>0</ns0:v>
      </ns0:c>
      <ns0:c r="AJ24" s="0">
        <ns0:f>IF(X24=0,0,SUMIFS(rngEngine_R,rngEngine_B,Team!A24))</ns0:f>
        <ns0:v>0</ns0:v>
      </ns0:c>
      <ns0:c r="AK24" s="0">
        <ns0:f>IF(X24=0,0,SUMIFS(rngEngine_S,rngEngine_B,Team!A24))</ns0:f>
        <ns0:v>0</ns0:v>
      </ns0:c>
      <ns0:c r="AL24" s="0">
        <ns0:f>AH24+AI24</ns0:f>
        <ns0:v>0</ns0:v>
      </ns0:c>
      <ns0:c r="AM24" s="0" t="str">
        <ns0:f>IF(X24=0,"",IF(AA24&gt;0,"CHECK team setup",IF(AB24&gt;0,"CHECK "&amp;AB24&amp;" booking(s)","OK")))</ns0:f>
        <ns0:v/>
      </ns0:c>
      <ns0:c r="AN24" s="0" t="str">
        <ns0:f>IF(X24=0,"",IF(OR($B$6&gt;0,AM24&lt;&gt;"OK"),"REVIEW",AG24-AL24))</ns0:f>
        <ns0:v/>
      </ns0:c>
      <ns0:c r="AO24" s="0">
        <ns0:f>IFERROR(MATCH(ROW()-11,$AC$11:$AC$60,0),0)</ns0:f>
        <ns0:v>0</ns0:v>
      </ns0:c>
      <ns0:c r="AP24" s="0" t="str">
        <ns0:f>IF(Team!H24="Work","W","O")&amp;IF(Team!I24="Work","W","O")&amp;IF(Team!J24="Work","W","O")&amp;IF(Team!K24="Work","W","O")&amp;IF(Team!L24="Work","W","O")&amp;IF(Team!M24="Work","W","O")&amp;IF(Team!N24="Work","W","O")</ns0:f>
        <ns0:v>WWWWWOO</ns0:v>
      </ns0:c>
      <ns0:c r="AR24" s="0">
        <ns0:f>IFERROR(IF(ISNUMBER(Settings!F24),WEEKDAY(Settings!F24,2),0),0)</ns0:f>
        <ns0:v>0</ns0:v>
      </ns0:c>
      <ns0:c r="BC24" s="0">
        <ns0:f>IF(OR($AO24=0,$B$5&lt;&gt;"OK",$B$6&gt;0,Calendar!D$11=""),0,SUMIFS(rngEngine_U,rngEngine_B,INDEX(Team!$A$11:$A$60,$AO24),rngAMStart,"&lt;="&amp;Calendar!D$11,rngAMEnd,"&gt;="&amp;Calendar!D$11))</ns0:f>
        <ns0:v>0</ns0:v>
      </ns0:c>
      <ns0:c r="BD24" s="0">
        <ns0:f>IF(OR($AO24=0,$B$5&lt;&gt;"OK",$B$6&gt;0,Calendar!D$11=""),0,SUMIFS(rngEngine_V,rngEngine_B,INDEX(Team!$A$11:$A$60,$AO24),rngPMStart,"&lt;="&amp;Calendar!D$11,rngPMEnd,"&gt;="&amp;Calendar!D$11))</ns0:f>
        <ns0:v>0</ns0:v>
      </ns0:c>
      <ns0:c r="BE24" s="0">
        <ns0:f>IF(OR($AO24=0,$B$5&lt;&gt;"OK",$B$6&gt;0,Calendar!E$11=""),0,SUMIFS(rngEngine_U,rngEngine_B,INDEX(Team!$A$11:$A$60,$AO24),rngAMStart,"&lt;="&amp;Calendar!E$11,rngAMEnd,"&gt;="&amp;Calendar!E$11))</ns0:f>
        <ns0:v>0</ns0:v>
      </ns0:c>
      <ns0:c r="BF24" s="0">
        <ns0:f>IF(OR($AO24=0,$B$5&lt;&gt;"OK",$B$6&gt;0,Calendar!E$11=""),0,SUMIFS(rngEngine_V,rngEngine_B,INDEX(Team!$A$11:$A$60,$AO24),rngPMStart,"&lt;="&amp;Calendar!E$11,rngPMEnd,"&gt;="&amp;Calendar!E$11))</ns0:f>
        <ns0:v>0</ns0:v>
      </ns0:c>
      <ns0:c r="BG24" s="0">
        <ns0:f>IF(OR($AO24=0,$B$5&lt;&gt;"OK",$B$6&gt;0,Calendar!F$11=""),0,SUMIFS(rngEngine_U,rngEngine_B,INDEX(Team!$A$11:$A$60,$AO24),rngAMStart,"&lt;="&amp;Calendar!F$11,rngAMEnd,"&gt;="&amp;Calendar!F$11))</ns0:f>
        <ns0:v>0</ns0:v>
      </ns0:c>
      <ns0:c r="BH24" s="0">
        <ns0:f>IF(OR($AO24=0,$B$5&lt;&gt;"OK",$B$6&gt;0,Calendar!F$11=""),0,SUMIFS(rngEngine_V,rngEngine_B,INDEX(Team!$A$11:$A$60,$AO24),rngPMStart,"&lt;="&amp;Calendar!F$11,rngPMEnd,"&gt;="&amp;Calendar!F$11))</ns0:f>
        <ns0:v>0</ns0:v>
      </ns0:c>
      <ns0:c r="BI24" s="0">
        <ns0:f>IF(OR($AO24=0,$B$5&lt;&gt;"OK",$B$6&gt;0,Calendar!G$11=""),0,SUMIFS(rngEngine_U,rngEngine_B,INDEX(Team!$A$11:$A$60,$AO24),rngAMStart,"&lt;="&amp;Calendar!G$11,rngAMEnd,"&gt;="&amp;Calendar!G$11))</ns0:f>
        <ns0:v>0</ns0:v>
      </ns0:c>
      <ns0:c r="BJ24" s="0">
        <ns0:f>IF(OR($AO24=0,$B$5&lt;&gt;"OK",$B$6&gt;0,Calendar!G$11=""),0,SUMIFS(rngEngine_V,rngEngine_B,INDEX(Team!$A$11:$A$60,$AO24),rngPMStart,"&lt;="&amp;Calendar!G$11,rngPMEnd,"&gt;="&amp;Calendar!G$11))</ns0:f>
        <ns0:v>0</ns0:v>
      </ns0:c>
      <ns0:c r="BK24" s="0">
        <ns0:f>IF(OR($AO24=0,$B$5&lt;&gt;"OK",$B$6&gt;0,Calendar!H$11=""),0,SUMIFS(rngEngine_U,rngEngine_B,INDEX(Team!$A$11:$A$60,$AO24),rngAMStart,"&lt;="&amp;Calendar!H$11,rngAMEnd,"&gt;="&amp;Calendar!H$11))</ns0:f>
        <ns0:v>0</ns0:v>
      </ns0:c>
      <ns0:c r="BL24" s="0">
        <ns0:f>IF(OR($AO24=0,$B$5&lt;&gt;"OK",$B$6&gt;0,Calendar!H$11=""),0,SUMIFS(rngEngine_V,rngEngine_B,INDEX(Team!$A$11:$A$60,$AO24),rngPMStart,"&lt;="&amp;Calendar!H$11,rngPMEnd,"&gt;="&amp;Calendar!H$11))</ns0:f>
        <ns0:v>0</ns0:v>
      </ns0:c>
      <ns0:c r="BM24" s="0">
        <ns0:f>IF(OR($AO24=0,$B$5&lt;&gt;"OK",$B$6&gt;0,Calendar!I$11=""),0,SUMIFS(rngEngine_U,rngEngine_B,INDEX(Team!$A$11:$A$60,$AO24),rngAMStart,"&lt;="&amp;Calendar!I$11,rngAMEnd,"&gt;="&amp;Calendar!I$11))</ns0:f>
        <ns0:v>0</ns0:v>
      </ns0:c>
      <ns0:c r="BN24" s="0">
        <ns0:f>IF(OR($AO24=0,$B$5&lt;&gt;"OK",$B$6&gt;0,Calendar!I$11=""),0,SUMIFS(rngEngine_V,rngEngine_B,INDEX(Team!$A$11:$A$60,$AO24),rngPMStart,"&lt;="&amp;Calendar!I$11,rngPMEnd,"&gt;="&amp;Calendar!I$11))</ns0:f>
        <ns0:v>0</ns0:v>
      </ns0:c>
      <ns0:c r="BO24" s="0">
        <ns0:f>IF(OR($AO24=0,$B$5&lt;&gt;"OK",$B$6&gt;0,Calendar!J$11=""),0,SUMIFS(rngEngine_U,rngEngine_B,INDEX(Team!$A$11:$A$60,$AO24),rngAMStart,"&lt;="&amp;Calendar!J$11,rngAMEnd,"&gt;="&amp;Calendar!J$11))</ns0:f>
        <ns0:v>0</ns0:v>
      </ns0:c>
      <ns0:c r="BP24" s="0">
        <ns0:f>IF(OR($AO24=0,$B$5&lt;&gt;"OK",$B$6&gt;0,Calendar!J$11=""),0,SUMIFS(rngEngine_V,rngEngine_B,INDEX(Team!$A$11:$A$60,$AO24),rngPMStart,"&lt;="&amp;Calendar!J$11,rngPMEnd,"&gt;="&amp;Calendar!J$11))</ns0:f>
        <ns0:v>0</ns0:v>
      </ns0:c>
      <ns0:c r="BQ24" s="0">
        <ns0:f>IF(OR($AO24=0,$B$5&lt;&gt;"OK",$B$6&gt;0,Calendar!K$11=""),0,SUMIFS(rngEngine_U,rngEngine_B,INDEX(Team!$A$11:$A$60,$AO24),rngAMStart,"&lt;="&amp;Calendar!K$11,rngAMEnd,"&gt;="&amp;Calendar!K$11))</ns0:f>
        <ns0:v>0</ns0:v>
      </ns0:c>
      <ns0:c r="BR24" s="0">
        <ns0:f>IF(OR($AO24=0,$B$5&lt;&gt;"OK",$B$6&gt;0,Calendar!K$11=""),0,SUMIFS(rngEngine_V,rngEngine_B,INDEX(Team!$A$11:$A$60,$AO24),rngPMStart,"&lt;="&amp;Calendar!K$11,rngPMEnd,"&gt;="&amp;Calendar!K$11))</ns0:f>
        <ns0:v>0</ns0:v>
      </ns0:c>
      <ns0:c r="BS24" s="0">
        <ns0:f>IF(OR($AO24=0,$B$5&lt;&gt;"OK",$B$6&gt;0,Calendar!L$11=""),0,SUMIFS(rngEngine_U,rngEngine_B,INDEX(Team!$A$11:$A$60,$AO24),rngAMStart,"&lt;="&amp;Calendar!L$11,rngAMEnd,"&gt;="&amp;Calendar!L$11))</ns0:f>
        <ns0:v>0</ns0:v>
      </ns0:c>
      <ns0:c r="BT24" s="0">
        <ns0:f>IF(OR($AO24=0,$B$5&lt;&gt;"OK",$B$6&gt;0,Calendar!L$11=""),0,SUMIFS(rngEngine_V,rngEngine_B,INDEX(Team!$A$11:$A$60,$AO24),rngPMStart,"&lt;="&amp;Calendar!L$11,rngPMEnd,"&gt;="&amp;Calendar!L$11))</ns0:f>
        <ns0:v>0</ns0:v>
      </ns0:c>
      <ns0:c r="BU24" s="0">
        <ns0:f>IF(OR($AO24=0,$B$5&lt;&gt;"OK",$B$6&gt;0,Calendar!M$11=""),0,SUMIFS(rngEngine_U,rngEngine_B,INDEX(Team!$A$11:$A$60,$AO24),rngAMStart,"&lt;="&amp;Calendar!M$11,rngAMEnd,"&gt;="&amp;Calendar!M$11))</ns0:f>
        <ns0:v>0</ns0:v>
      </ns0:c>
      <ns0:c r="BV24" s="0">
        <ns0:f>IF(OR($AO24=0,$B$5&lt;&gt;"OK",$B$6&gt;0,Calendar!M$11=""),0,SUMIFS(rngEngine_V,rngEngine_B,INDEX(Team!$A$11:$A$60,$AO24),rngPMStart,"&lt;="&amp;Calendar!M$11,rngPMEnd,"&gt;="&amp;Calendar!M$11))</ns0:f>
        <ns0:v>0</ns0:v>
      </ns0:c>
      <ns0:c r="BW24" s="0">
        <ns0:f>IF(OR($AO24=0,$B$5&lt;&gt;"OK",$B$6&gt;0,Calendar!N$11=""),0,SUMIFS(rngEngine_U,rngEngine_B,INDEX(Team!$A$11:$A$60,$AO24),rngAMStart,"&lt;="&amp;Calendar!N$11,rngAMEnd,"&gt;="&amp;Calendar!N$11))</ns0:f>
        <ns0:v>0</ns0:v>
      </ns0:c>
      <ns0:c r="BX24" s="0">
        <ns0:f>IF(OR($AO24=0,$B$5&lt;&gt;"OK",$B$6&gt;0,Calendar!N$11=""),0,SUMIFS(rngEngine_V,rngEngine_B,INDEX(Team!$A$11:$A$60,$AO24),rngPMStart,"&lt;="&amp;Calendar!N$11,rngPMEnd,"&gt;="&amp;Calendar!N$11))</ns0:f>
        <ns0:v>0</ns0:v>
      </ns0:c>
      <ns0:c r="BY24" s="0">
        <ns0:f>IF(OR($AO24=0,$B$5&lt;&gt;"OK",$B$6&gt;0,Calendar!O$11=""),0,SUMIFS(rngEngine_U,rngEngine_B,INDEX(Team!$A$11:$A$60,$AO24),rngAMStart,"&lt;="&amp;Calendar!O$11,rngAMEnd,"&gt;="&amp;Calendar!O$11))</ns0:f>
        <ns0:v>0</ns0:v>
      </ns0:c>
      <ns0:c r="BZ24" s="0">
        <ns0:f>IF(OR($AO24=0,$B$5&lt;&gt;"OK",$B$6&gt;0,Calendar!O$11=""),0,SUMIFS(rngEngine_V,rngEngine_B,INDEX(Team!$A$11:$A$60,$AO24),rngPMStart,"&lt;="&amp;Calendar!O$11,rngPMEnd,"&gt;="&amp;Calendar!O$11))</ns0:f>
        <ns0:v>0</ns0:v>
      </ns0:c>
      <ns0:c r="CA24" s="0">
        <ns0:f>IF(OR($AO24=0,$B$5&lt;&gt;"OK",$B$6&gt;0,Calendar!P$11=""),0,SUMIFS(rngEngine_U,rngEngine_B,INDEX(Team!$A$11:$A$60,$AO24),rngAMStart,"&lt;="&amp;Calendar!P$11,rngAMEnd,"&gt;="&amp;Calendar!P$11))</ns0:f>
        <ns0:v>0</ns0:v>
      </ns0:c>
      <ns0:c r="CB24" s="0">
        <ns0:f>IF(OR($AO24=0,$B$5&lt;&gt;"OK",$B$6&gt;0,Calendar!P$11=""),0,SUMIFS(rngEngine_V,rngEngine_B,INDEX(Team!$A$11:$A$60,$AO24),rngPMStart,"&lt;="&amp;Calendar!P$11,rngPMEnd,"&gt;="&amp;Calendar!P$11))</ns0:f>
        <ns0:v>0</ns0:v>
      </ns0:c>
      <ns0:c r="CC24" s="0">
        <ns0:f>IF(OR($AO24=0,$B$5&lt;&gt;"OK",$B$6&gt;0,Calendar!Q$11=""),0,SUMIFS(rngEngine_U,rngEngine_B,INDEX(Team!$A$11:$A$60,$AO24),rngAMStart,"&lt;="&amp;Calendar!Q$11,rngAMEnd,"&gt;="&amp;Calendar!Q$11))</ns0:f>
        <ns0:v>0</ns0:v>
      </ns0:c>
      <ns0:c r="CD24" s="0">
        <ns0:f>IF(OR($AO24=0,$B$5&lt;&gt;"OK",$B$6&gt;0,Calendar!Q$11=""),0,SUMIFS(rngEngine_V,rngEngine_B,INDEX(Team!$A$11:$A$60,$AO24),rngPMStart,"&lt;="&amp;Calendar!Q$11,rngPMEnd,"&gt;="&amp;Calendar!Q$11))</ns0:f>
        <ns0:v>0</ns0:v>
      </ns0:c>
      <ns0:c r="CE24" s="0">
        <ns0:f>IF(OR($AO24=0,$B$5&lt;&gt;"OK",$B$6&gt;0,Calendar!R$11=""),0,SUMIFS(rngEngine_U,rngEngine_B,INDEX(Team!$A$11:$A$60,$AO24),rngAMStart,"&lt;="&amp;Calendar!R$11,rngAMEnd,"&gt;="&amp;Calendar!R$11))</ns0:f>
        <ns0:v>0</ns0:v>
      </ns0:c>
      <ns0:c r="CF24" s="0">
        <ns0:f>IF(OR($AO24=0,$B$5&lt;&gt;"OK",$B$6&gt;0,Calendar!R$11=""),0,SUMIFS(rngEngine_V,rngEngine_B,INDEX(Team!$A$11:$A$60,$AO24),rngPMStart,"&lt;="&amp;Calendar!R$11,rngPMEnd,"&gt;="&amp;Calendar!R$11))</ns0:f>
        <ns0:v>0</ns0:v>
      </ns0:c>
      <ns0:c r="CG24" s="0">
        <ns0:f>IF(OR($AO24=0,$B$5&lt;&gt;"OK",$B$6&gt;0,Calendar!S$11=""),0,SUMIFS(rngEngine_U,rngEngine_B,INDEX(Team!$A$11:$A$60,$AO24),rngAMStart,"&lt;="&amp;Calendar!S$11,rngAMEnd,"&gt;="&amp;Calendar!S$11))</ns0:f>
        <ns0:v>0</ns0:v>
      </ns0:c>
      <ns0:c r="CH24" s="0">
        <ns0:f>IF(OR($AO24=0,$B$5&lt;&gt;"OK",$B$6&gt;0,Calendar!S$11=""),0,SUMIFS(rngEngine_V,rngEngine_B,INDEX(Team!$A$11:$A$60,$AO24),rngPMStart,"&lt;="&amp;Calendar!S$11,rngPMEnd,"&gt;="&amp;Calendar!S$11))</ns0:f>
        <ns0:v>0</ns0:v>
      </ns0:c>
      <ns0:c r="CI24" s="0">
        <ns0:f>IF(OR($AO24=0,$B$5&lt;&gt;"OK",$B$6&gt;0,Calendar!T$11=""),0,SUMIFS(rngEngine_U,rngEngine_B,INDEX(Team!$A$11:$A$60,$AO24),rngAMStart,"&lt;="&amp;Calendar!T$11,rngAMEnd,"&gt;="&amp;Calendar!T$11))</ns0:f>
        <ns0:v>0</ns0:v>
      </ns0:c>
      <ns0:c r="CJ24" s="0">
        <ns0:f>IF(OR($AO24=0,$B$5&lt;&gt;"OK",$B$6&gt;0,Calendar!T$11=""),0,SUMIFS(rngEngine_V,rngEngine_B,INDEX(Team!$A$11:$A$60,$AO24),rngPMStart,"&lt;="&amp;Calendar!T$11,rngPMEnd,"&gt;="&amp;Calendar!T$11))</ns0:f>
        <ns0:v>0</ns0:v>
      </ns0:c>
      <ns0:c r="CK24" s="0">
        <ns0:f>IF(OR($AO24=0,$B$5&lt;&gt;"OK",$B$6&gt;0,Calendar!U$11=""),0,SUMIFS(rngEngine_U,rngEngine_B,INDEX(Team!$A$11:$A$60,$AO24),rngAMStart,"&lt;="&amp;Calendar!U$11,rngAMEnd,"&gt;="&amp;Calendar!U$11))</ns0:f>
        <ns0:v>0</ns0:v>
      </ns0:c>
      <ns0:c r="CL24" s="0">
        <ns0:f>IF(OR($AO24=0,$B$5&lt;&gt;"OK",$B$6&gt;0,Calendar!U$11=""),0,SUMIFS(rngEngine_V,rngEngine_B,INDEX(Team!$A$11:$A$60,$AO24),rngPMStart,"&lt;="&amp;Calendar!U$11,rngPMEnd,"&gt;="&amp;Calendar!U$11))</ns0:f>
        <ns0:v>0</ns0:v>
      </ns0:c>
      <ns0:c r="CM24" s="0">
        <ns0:f>IF(OR($AO24=0,$B$5&lt;&gt;"OK",$B$6&gt;0,Calendar!V$11=""),0,SUMIFS(rngEngine_U,rngEngine_B,INDEX(Team!$A$11:$A$60,$AO24),rngAMStart,"&lt;="&amp;Calendar!V$11,rngAMEnd,"&gt;="&amp;Calendar!V$11))</ns0:f>
        <ns0:v>0</ns0:v>
      </ns0:c>
      <ns0:c r="CN24" s="0">
        <ns0:f>IF(OR($AO24=0,$B$5&lt;&gt;"OK",$B$6&gt;0,Calendar!V$11=""),0,SUMIFS(rngEngine_V,rngEngine_B,INDEX(Team!$A$11:$A$60,$AO24),rngPMStart,"&lt;="&amp;Calendar!V$11,rngPMEnd,"&gt;="&amp;Calendar!V$11))</ns0:f>
        <ns0:v>0</ns0:v>
      </ns0:c>
      <ns0:c r="CO24" s="0">
        <ns0:f>IF(OR($AO24=0,$B$5&lt;&gt;"OK",$B$6&gt;0,Calendar!W$11=""),0,SUMIFS(rngEngine_U,rngEngine_B,INDEX(Team!$A$11:$A$60,$AO24),rngAMStart,"&lt;="&amp;Calendar!W$11,rngAMEnd,"&gt;="&amp;Calendar!W$11))</ns0:f>
        <ns0:v>0</ns0:v>
      </ns0:c>
      <ns0:c r="CP24" s="0">
        <ns0:f>IF(OR($AO24=0,$B$5&lt;&gt;"OK",$B$6&gt;0,Calendar!W$11=""),0,SUMIFS(rngEngine_V,rngEngine_B,INDEX(Team!$A$11:$A$60,$AO24),rngPMStart,"&lt;="&amp;Calendar!W$11,rngPMEnd,"&gt;="&amp;Calendar!W$11))</ns0:f>
        <ns0:v>0</ns0:v>
      </ns0:c>
      <ns0:c r="CQ24" s="0">
        <ns0:f>IF(OR($AO24=0,$B$5&lt;&gt;"OK",$B$6&gt;0,Calendar!X$11=""),0,SUMIFS(rngEngine_U,rngEngine_B,INDEX(Team!$A$11:$A$60,$AO24),rngAMStart,"&lt;="&amp;Calendar!X$11,rngAMEnd,"&gt;="&amp;Calendar!X$11))</ns0:f>
        <ns0:v>0</ns0:v>
      </ns0:c>
      <ns0:c r="CR24" s="0">
        <ns0:f>IF(OR($AO24=0,$B$5&lt;&gt;"OK",$B$6&gt;0,Calendar!X$11=""),0,SUMIFS(rngEngine_V,rngEngine_B,INDEX(Team!$A$11:$A$60,$AO24),rngPMStart,"&lt;="&amp;Calendar!X$11,rngPMEnd,"&gt;="&amp;Calendar!X$11))</ns0:f>
        <ns0:v>0</ns0:v>
      </ns0:c>
      <ns0:c r="CS24" s="0">
        <ns0:f>IF(OR($AO24=0,$B$5&lt;&gt;"OK",$B$6&gt;0,Calendar!Y$11=""),0,SUMIFS(rngEngine_U,rngEngine_B,INDEX(Team!$A$11:$A$60,$AO24),rngAMStart,"&lt;="&amp;Calendar!Y$11,rngAMEnd,"&gt;="&amp;Calendar!Y$11))</ns0:f>
        <ns0:v>0</ns0:v>
      </ns0:c>
      <ns0:c r="CT24" s="0">
        <ns0:f>IF(OR($AO24=0,$B$5&lt;&gt;"OK",$B$6&gt;0,Calendar!Y$11=""),0,SUMIFS(rngEngine_V,rngEngine_B,INDEX(Team!$A$11:$A$60,$AO24),rngPMStart,"&lt;="&amp;Calendar!Y$11,rngPMEnd,"&gt;="&amp;Calendar!Y$11))</ns0:f>
        <ns0:v>0</ns0:v>
      </ns0:c>
      <ns0:c r="CU24" s="0">
        <ns0:f>IF(OR($AO24=0,$B$5&lt;&gt;"OK",$B$6&gt;0,Calendar!Z$11=""),0,SUMIFS(rngEngine_U,rngEngine_B,INDEX(Team!$A$11:$A$60,$AO24),rngAMStart,"&lt;="&amp;Calendar!Z$11,rngAMEnd,"&gt;="&amp;Calendar!Z$11))</ns0:f>
        <ns0:v>0</ns0:v>
      </ns0:c>
      <ns0:c r="CV24" s="0">
        <ns0:f>IF(OR($AO24=0,$B$5&lt;&gt;"OK",$B$6&gt;0,Calendar!Z$11=""),0,SUMIFS(rngEngine_V,rngEngine_B,INDEX(Team!$A$11:$A$60,$AO24),rngPMStart,"&lt;="&amp;Calendar!Z$11,rngPMEnd,"&gt;="&amp;Calendar!Z$11))</ns0:f>
        <ns0:v>0</ns0:v>
      </ns0:c>
      <ns0:c r="CW24" s="0">
        <ns0:f>IF(OR($AO24=0,$B$5&lt;&gt;"OK",$B$6&gt;0,Calendar!AA$11=""),0,SUMIFS(rngEngine_U,rngEngine_B,INDEX(Team!$A$11:$A$60,$AO24),rngAMStart,"&lt;="&amp;Calendar!AA$11,rngAMEnd,"&gt;="&amp;Calendar!AA$11))</ns0:f>
        <ns0:v>0</ns0:v>
      </ns0:c>
      <ns0:c r="CX24" s="0">
        <ns0:f>IF(OR($AO24=0,$B$5&lt;&gt;"OK",$B$6&gt;0,Calendar!AA$11=""),0,SUMIFS(rngEngine_V,rngEngine_B,INDEX(Team!$A$11:$A$60,$AO24),rngPMStart,"&lt;="&amp;Calendar!AA$11,rngPMEnd,"&gt;="&amp;Calendar!AA$11))</ns0:f>
        <ns0:v>0</ns0:v>
      </ns0:c>
      <ns0:c r="CY24" s="0">
        <ns0:f>IF(OR($AO24=0,$B$5&lt;&gt;"OK",$B$6&gt;0,Calendar!AB$11=""),0,SUMIFS(rngEngine_U,rngEngine_B,INDEX(Team!$A$11:$A$60,$AO24),rngAMStart,"&lt;="&amp;Calendar!AB$11,rngAMEnd,"&gt;="&amp;Calendar!AB$11))</ns0:f>
        <ns0:v>0</ns0:v>
      </ns0:c>
      <ns0:c r="CZ24" s="0">
        <ns0:f>IF(OR($AO24=0,$B$5&lt;&gt;"OK",$B$6&gt;0,Calendar!AB$11=""),0,SUMIFS(rngEngine_V,rngEngine_B,INDEX(Team!$A$11:$A$60,$AO24),rngPMStart,"&lt;="&amp;Calendar!AB$11,rngPMEnd,"&gt;="&amp;Calendar!AB$11))</ns0:f>
        <ns0:v>0</ns0:v>
      </ns0:c>
      <ns0:c r="DA24" s="0">
        <ns0:f>IF(OR($AO24=0,$B$5&lt;&gt;"OK",$B$6&gt;0,Calendar!AC$11=""),0,SUMIFS(rngEngine_U,rngEngine_B,INDEX(Team!$A$11:$A$60,$AO24),rngAMStart,"&lt;="&amp;Calendar!AC$11,rngAMEnd,"&gt;="&amp;Calendar!AC$11))</ns0:f>
        <ns0:v>0</ns0:v>
      </ns0:c>
      <ns0:c r="DB24" s="0">
        <ns0:f>IF(OR($AO24=0,$B$5&lt;&gt;"OK",$B$6&gt;0,Calendar!AC$11=""),0,SUMIFS(rngEngine_V,rngEngine_B,INDEX(Team!$A$11:$A$60,$AO24),rngPMStart,"&lt;="&amp;Calendar!AC$11,rngPMEnd,"&gt;="&amp;Calendar!AC$11))</ns0:f>
        <ns0:v>0</ns0:v>
      </ns0:c>
      <ns0:c r="DC24" s="0">
        <ns0:f>IF(OR($AO24=0,$B$5&lt;&gt;"OK",$B$6&gt;0,Calendar!AD$11=""),0,SUMIFS(rngEngine_U,rngEngine_B,INDEX(Team!$A$11:$A$60,$AO24),rngAMStart,"&lt;="&amp;Calendar!AD$11,rngAMEnd,"&gt;="&amp;Calendar!AD$11))</ns0:f>
        <ns0:v>0</ns0:v>
      </ns0:c>
      <ns0:c r="DD24" s="0">
        <ns0:f>IF(OR($AO24=0,$B$5&lt;&gt;"OK",$B$6&gt;0,Calendar!AD$11=""),0,SUMIFS(rngEngine_V,rngEngine_B,INDEX(Team!$A$11:$A$60,$AO24),rngPMStart,"&lt;="&amp;Calendar!AD$11,rngPMEnd,"&gt;="&amp;Calendar!AD$11))</ns0:f>
        <ns0:v>0</ns0:v>
      </ns0:c>
      <ns0:c r="DE24" s="0">
        <ns0:f>IF(OR($AO24=0,$B$5&lt;&gt;"OK",$B$6&gt;0,Calendar!AE$11=""),0,SUMIFS(rngEngine_U,rngEngine_B,INDEX(Team!$A$11:$A$60,$AO24),rngAMStart,"&lt;="&amp;Calendar!AE$11,rngAMEnd,"&gt;="&amp;Calendar!AE$11))</ns0:f>
        <ns0:v>0</ns0:v>
      </ns0:c>
      <ns0:c r="DF24" s="0">
        <ns0:f>IF(OR($AO24=0,$B$5&lt;&gt;"OK",$B$6&gt;0,Calendar!AE$11=""),0,SUMIFS(rngEngine_V,rngEngine_B,INDEX(Team!$A$11:$A$60,$AO24),rngPMStart,"&lt;="&amp;Calendar!AE$11,rngPMEnd,"&gt;="&amp;Calendar!AE$11))</ns0:f>
        <ns0:v>0</ns0:v>
      </ns0:c>
      <ns0:c r="DG24" s="0">
        <ns0:f>IF(OR($AO24=0,$B$5&lt;&gt;"OK",$B$6&gt;0,Calendar!AF$11=""),0,SUMIFS(rngEngine_U,rngEngine_B,INDEX(Team!$A$11:$A$60,$AO24),rngAMStart,"&lt;="&amp;Calendar!AF$11,rngAMEnd,"&gt;="&amp;Calendar!AF$11))</ns0:f>
        <ns0:v>0</ns0:v>
      </ns0:c>
      <ns0:c r="DH24" s="0">
        <ns0:f>IF(OR($AO24=0,$B$5&lt;&gt;"OK",$B$6&gt;0,Calendar!AF$11=""),0,SUMIFS(rngEngine_V,rngEngine_B,INDEX(Team!$A$11:$A$60,$AO24),rngPMStart,"&lt;="&amp;Calendar!AF$11,rngPMEnd,"&gt;="&amp;Calendar!AF$11))</ns0:f>
        <ns0:v>0</ns0:v>
      </ns0:c>
      <ns0:c r="DI24" s="0">
        <ns0:f>IF(OR($AO24=0,$B$5&lt;&gt;"OK",$B$6&gt;0,Calendar!AG$11=""),0,SUMIFS(rngEngine_U,rngEngine_B,INDEX(Team!$A$11:$A$60,$AO24),rngAMStart,"&lt;="&amp;Calendar!AG$11,rngAMEnd,"&gt;="&amp;Calendar!AG$11))</ns0:f>
        <ns0:v>0</ns0:v>
      </ns0:c>
      <ns0:c r="DJ24" s="0">
        <ns0:f>IF(OR($AO24=0,$B$5&lt;&gt;"OK",$B$6&gt;0,Calendar!AG$11=""),0,SUMIFS(rngEngine_V,rngEngine_B,INDEX(Team!$A$11:$A$60,$AO24),rngPMStart,"&lt;="&amp;Calendar!AG$11,rngPMEnd,"&gt;="&amp;Calendar!AG$11))</ns0:f>
        <ns0:v>0</ns0:v>
      </ns0:c>
      <ns0:c r="DK24" s="0">
        <ns0:f>IF(OR($AO24=0,$B$5&lt;&gt;"OK",$B$6&gt;0,Calendar!AH$11=""),0,SUMIFS(rngEngine_U,rngEngine_B,INDEX(Team!$A$11:$A$60,$AO24),rngAMStart,"&lt;="&amp;Calendar!AH$11,rngAMEnd,"&gt;="&amp;Calendar!AH$11))</ns0:f>
        <ns0:v>0</ns0:v>
      </ns0:c>
      <ns0:c r="DL24" s="0">
        <ns0:f>IF(OR($AO24=0,$B$5&lt;&gt;"OK",$B$6&gt;0,Calendar!AH$11=""),0,SUMIFS(rngEngine_V,rngEngine_B,INDEX(Team!$A$11:$A$60,$AO24),rngPMStart,"&lt;="&amp;Calendar!AH$11,rngPMEnd,"&gt;="&amp;Calendar!AH$11))</ns0:f>
        <ns0:v>0</ns0:v>
      </ns0:c>
    </ns0:row>
    <ns0:row r="25" ht="22" customHeight="1">
      <ns0:c r="A25" s="4">
        <ns0:f>IF(COUNTA(Bookings!A25:G25,Bookings!I25)=0,0,1)</ns0:f>
        <ns0:v>1</ns0:v>
      </ns0:c>
      <ns0:c r="B25" s="4" t="str">
        <ns0:f>IFERROR(TRIM(MID(Bookings!A25,FIND(" · ",Bookings!A25)+3,99)),"")</ns0:f>
        <ns0:v>EMP006</ns0:v>
      </ns0:c>
      <ns0:c r="C25" s="4">
        <ns0:f>IF(OR(B25="",LEN(B25)&gt;24,ISNUMBER(FIND(" ",B25)),ISNUMBER(FIND("*",B25)),ISNUMBER(FIND("?",B25)),ISNUMBER(FIND("~",B25))),0,IFERROR(MATCH(B25,Team!$A$11:$A$60,0),0))</ns0:f>
        <ns0:v>6</ns0:v>
      </ns0:c>
      <ns0:c r="D25" s="4" t="str">
        <ns0:f>IFERROR(IF(MID(Bookings!F25,LEN(Bookings!F25)-3,3)=" · ",RIGHT(Bookings!F25,1),""),"")</ns0:f>
        <ns0:v>H</ns0:v>
      </ns0:c>
      <ns0:c r="E25" s="4" t="str">
        <ns0:f>IFERROR(INDEX(Settings!$H$7:$H$11,MATCH(D25,Settings!$G$7:$G$11,0)),"")</ns0:f>
        <ns0:v>Yes</ns0:v>
      </ns0:c>
      <ns0:c r="F25" s="4" t="str">
        <ns0:f>IF(A25=0,"",IFERROR(IF(OR(B25="",C25=0),"CHECK employee selection",IF(INDEX(Team!$O$11:$O$60,C25)&lt;&gt;"OK","CHECK employee setup",IF(OR('_Dates'!J25=0,'_Dates'!T25=0),"CHECK date: use DD.MM.YYYY",IF('_Dates'!T25&lt;'_Dates'!J25,"CHECK end before start",IF(AND($B$6=0,OR('_Dates'!J25&lt;Settings!$B$7,'_Dates'!T25&gt;Settings!$B$8)),"CHECK split across leave years",IF(OR(NOT(OR('_Dates'!U25="Full day",'_Dates'!U25="AM",'_Dates'!U25="PM")),NOT(OR('_Dates'!V25="Full day",'_Dates'!V25="AM",'_Dates'!V25="PM"))),"CHECK Full day / AM / PM",IF(AND('_Dates'!J25='_Dates'!T25,'_Dates'!U25&lt;&gt;"Full day",'_Dates'!V25&lt;&gt;"Full day",'_Dates'!U25&lt;&gt;'_Dates'!V25),"CHECK same-day portions disagree",IF(AND($B$6=0,OR(AND('_Dates'!U25&lt;&gt;"Full day",'_Dates'!AA25=0),AND('_Dates'!V25&lt;&gt;"Full day",'_Dates'!AB25=0))),"CHECK half-day on non-working date",IF(COUNTIF(Settings!$G$7:$G$11,D25)&lt;&gt;1,"CHECK leave type",IF(AND(Bookings!G25&lt;&gt;"Approved",Bookings!G25&lt;&gt;"Pending",Bookings!G25&lt;&gt;"Cancelled"),"CHECK status","OK")))))))))),"CHECK input"))</ns0:f>
        <ns0:v>OK</ns0:v>
      </ns0:c>
      <ns0:c r="G25" s="4">
        <ns0:f>IF(OR(F25&lt;&gt;"OK",$B$6&gt;0),0,0.5*(IF(('_Dates'!X25)&lt;('_Dates'!W25),0,INT((('_Dates'!X25)-('_Dates'!W25)+1)/7)*LEN(SUBSTITUTE(W25,"O",""))+LEN(SUBSTITUTE(MID(W25&amp;W25,WEEKDAY(('_Dates'!W25),2),MOD((('_Dates'!X25)-('_Dates'!W25)+1),7)),"O",""))-COUNTIFS(INDEX(AllClosureRows,C25,0),"&gt;="&amp;('_Dates'!W25),INDEX(AllClosureRows,C25,0),"&lt;="&amp;('_Dates'!X25)))+IF(('_Dates'!Z25)&lt;('_Dates'!Y25),0,INT((('_Dates'!Z25)-('_Dates'!Y25)+1)/7)*LEN(SUBSTITUTE(W25,"O",""))+LEN(SUBSTITUTE(MID(W25&amp;W25,WEEKDAY(('_Dates'!Y25),2),MOD((('_Dates'!Z25)-('_Dates'!Y25)+1),7)),"O",""))-COUNTIFS(INDEX(AllClosureRows,C25,0),"&gt;="&amp;('_Dates'!Y25),INDEX(AllClosureRows,C25,0),"&lt;="&amp;('_Dates'!Z25)))))</ns0:f>
        <ns0:v>0.5</ns0:v>
      </ns0:c>
      <ns0:c r="H25" s="4">
        <ns0:f>IF(OR(F25&lt;&gt;"OK",$B$6&gt;0),0,0.5*(IF((MIN('_Dates'!X25,Settings!$B$9))&lt;('_Dates'!W25),0,INT(((MIN('_Dates'!X25,Settings!$B$9))-('_Dates'!W25)+1)/7)*LEN(SUBSTITUTE(W25,"O",""))+LEN(SUBSTITUTE(MID(W25&amp;W25,WEEKDAY(('_Dates'!W25),2),MOD(((MIN('_Dates'!X25,Settings!$B$9))-('_Dates'!W25)+1),7)),"O",""))-COUNTIFS(INDEX(AllClosureRows,C25,0),"&gt;="&amp;('_Dates'!W25),INDEX(AllClosureRows,C25,0),"&lt;="&amp;(MIN('_Dates'!X25,Settings!$B$9))))+IF((MIN('_Dates'!Z25,Settings!$B$9))&lt;('_Dates'!Y25),0,INT(((MIN('_Dates'!Z25,Settings!$B$9))-('_Dates'!Y25)+1)/7)*LEN(SUBSTITUTE(W25,"O",""))+LEN(SUBSTITUTE(MID(W25&amp;W25,WEEKDAY(('_Dates'!Y25),2),MOD(((MIN('_Dates'!Z25,Settings!$B$9))-('_Dates'!Y25)+1),7)),"O",""))-COUNTIFS(INDEX(AllClosureRows,C25,0),"&gt;="&amp;('_Dates'!Y25),INDEX(AllClosureRows,C25,0),"&lt;="&amp;(MIN('_Dates'!Z25,Settings!$B$9))))))</ns0:f>
        <ns0:v>0</ns0:v>
      </ns0:c>
      <ns0:c r="I25" s="4">
        <ns0:f>MAX(0,G25-H25)</ns0:f>
        <ns0:v>0.5</ns0:v>
      </ns0:c>
      <ns0:c r="J25" s="4">
        <ns0:f>IF(OR(A25=0,F25&lt;&gt;"OK",Bookings!G25="Cancelled",$B$6&gt;0),0,IF('_Dates'!AC25=1,MAX(0,COUNTIFS(rngEngine_B,B25,rngAMStart,"&lt;="&amp;'_Dates'!X25,rngAMEnd,"&gt;="&amp;'_Dates'!W25,rngAMActive,1,rngEngine_F,"OK",rngBookings_F,"&lt;&gt;Cancelled")-1),0)+IF('_Dates'!AD25=1,MAX(0,COUNTIFS(rngEngine_B,B25,rngPMStart,"&lt;="&amp;'_Dates'!Z25,rngPMEnd,"&gt;="&amp;'_Dates'!Y25,rngPMActive,1,rngEngine_F,"OK",rngBookings_F,"&lt;&gt;Cancelled")-1),0))</ns0:f>
        <ns0:v>0</ns0:v>
      </ns0:c>
      <ns0:c r="K25" s="0" t="str">
        <ns0:f>IF(A25=0,"",IF(F25&lt;&gt;"OK",F25,IF(J25&gt;0,"CHECK overlapping entry",IF(AND($B$6=0,G25&lt;=0,Bookings!G25&lt;&gt;"Cancelled"),"CHECK no working days",IF(Bookings!G25="Cancelled","Cancelled","OK")))))</ns0:f>
        <ns0:v>OK</ns0:v>
      </ns0:c>
      <ns0:c r="L25" s="0">
        <ns0:f>IF(LEFT(K25,5)="CHECK",1,0)</ns0:f>
        <ns0:v>0</ns0:v>
      </ns0:c>
      <ns0:c r="M25" s="0">
        <ns0:f>IF(AND(L25=1,OR(C25=0,IFERROR(INDEX($X$11:$X$60,C25),0)=0)),1,0)</ns0:f>
        <ns0:v>0</ns0:v>
      </ns0:c>
      <ns0:c r="N25" s="0">
        <ns0:f>IF(OR(A25=0,L25&gt;0,$B$6&gt;0,Bookings!G25="Cancelled"),0,G25)</ns0:f>
        <ns0:v>0.5</ns0:v>
      </ns0:c>
      <ns0:c r="O25" s="0">
        <ns0:f>IF(AND(Bookings!G25="Approved",E25="Yes"),N25,0)</ns0:f>
        <ns0:v>0.5</ns0:v>
      </ns0:c>
      <ns0:c r="P25" s="0">
        <ns0:f>IF(AND(Bookings!G25="Approved",E25="Yes",L25=0,$B$6=0),H25,0)</ns0:f>
        <ns0:v>0</ns0:v>
      </ns0:c>
      <ns0:c r="Q25" s="0">
        <ns0:f>IF(AND(Bookings!G25="Approved",E25="Yes",L25=0,$B$6=0),I25,0)</ns0:f>
        <ns0:v>0.5</ns0:v>
      </ns0:c>
      <ns0:c r="R25" s="0">
        <ns0:f>IF(AND(Bookings!G25="Pending",E25="Yes"),N25,0)</ns0:f>
        <ns0:v>0</ns0:v>
      </ns0:c>
      <ns0:c r="S25" s="0">
        <ns0:f>IF(AND(Bookings!G25="Approved",E25="No"),N25,0)</ns0:f>
        <ns0:v>0</ns0:v>
      </ns0:c>
      <ns0:c r="T25" s="0">
        <ns0:f>IFERROR(MATCH(D25,Settings!$G$7:$G$11,0),0)</ns0:f>
        <ns0:v>1</ns0:v>
      </ns0:c>
      <ns0:c r="U25" s="0">
        <ns0:f>IF(N25&gt;0,T25+IF(Bookings!G25="Pending",10,0),0)</ns0:f>
        <ns0:v>1</ns0:v>
      </ns0:c>
      <ns0:c r="V25" s="0">
        <ns0:f>U25</ns0:f>
        <ns0:v>1</ns0:v>
      </ns0:c>
      <ns0:c r="W25" s="0" t="str">
        <ns0:f>IF(C25=0,"",INDEX($AP$11:$AP$60,C25))</ns0:f>
        <ns0:v>WWWWOOO</ns0:v>
      </ns0:c>
      <ns0:c r="X25" s="0">
        <ns0:f>IF(COUNTA(Team!B25:D25)=0,0,1)</ns0:f>
        <ns0:v>0</ns0:v>
      </ns0:c>
      <ns0:c r="Y25" s="0" t="str">
        <ns0:f>IF(X25=0,"",IF(Team!B25="","[Unnamed]",Team!B25)&amp;" · "&amp;Team!A25)</ns0:f>
        <ns0:v/>
      </ns0:c>
      <ns0:c r="Z25" s="0">
        <ns0:f>IF(X25=0,0,COUNTIF(Team!H25:N25,"Work"))</ns0:f>
        <ns0:v>0</ns0:v>
      </ns0:c>
      <ns0:c r="AA25" s="0">
        <ns0:f>IF(LEFT(Team!O25,5)="CHECK",1,0)</ns0:f>
        <ns0:v>0</ns0:v>
      </ns0:c>
      <ns0:c r="AB25" s="0">
        <ns0:f>IF(X25=0,0,SUMIFS(rngEngine_L,rngEngine_B,Team!A25))</ns0:f>
        <ns0:v>0</ns0:v>
      </ns0:c>
      <ns0:c r="AC25" s="0" t="str">
        <ns0:f>IF(AND(X25=1,OR(Calendar!$C$7="All teams",Team!C25=Calendar!$C$7)),MAX($AC$10:AC24)+1,"")</ns0:f>
        <ns0:v/>
      </ns0:c>
      <ns0:c r="AD25" s="0" t="str">
        <ns0:f>IF(OR(X25=0,Team!C25="",COUNTIF(Team!$C$11:C25,Team!C25)&gt;1),"",MAX($AD$10:AD24)+1)</ns0:f>
        <ns0:v/>
      </ns0:c>
      <ns0:c r="AE25" s="0" t="str">
        <ns0:f>IFERROR(INDEX(Team!$C$11:$C$60,MATCH(ROW()-10,$AD$11:$AD$60,0)),"")</ns0:f>
        <ns0:v/>
      </ns0:c>
      <ns0:c r="AF25" s="0" t="str">
        <ns0:f>AE25</ns0:f>
        <ns0:v/>
      </ns0:c>
      <ns0:c r="AG25" s="0">
        <ns0:f>IF(X25=0,0,IFERROR(Team!F25+Team!G25,0))</ns0:f>
        <ns0:v>0</ns0:v>
      </ns0:c>
      <ns0:c r="AH25" s="0">
        <ns0:f>IF(X25=0,0,SUMIFS(rngEngine_P,rngEngine_B,Team!A25))</ns0:f>
        <ns0:v>0</ns0:v>
      </ns0:c>
      <ns0:c r="AI25" s="0">
        <ns0:f>IF(X25=0,0,SUMIFS(rngEngine_Q,rngEngine_B,Team!A25))</ns0:f>
        <ns0:v>0</ns0:v>
      </ns0:c>
      <ns0:c r="AJ25" s="0">
        <ns0:f>IF(X25=0,0,SUMIFS(rngEngine_R,rngEngine_B,Team!A25))</ns0:f>
        <ns0:v>0</ns0:v>
      </ns0:c>
      <ns0:c r="AK25" s="0">
        <ns0:f>IF(X25=0,0,SUMIFS(rngEngine_S,rngEngine_B,Team!A25))</ns0:f>
        <ns0:v>0</ns0:v>
      </ns0:c>
      <ns0:c r="AL25" s="0">
        <ns0:f>AH25+AI25</ns0:f>
        <ns0:v>0</ns0:v>
      </ns0:c>
      <ns0:c r="AM25" s="0" t="str">
        <ns0:f>IF(X25=0,"",IF(AA25&gt;0,"CHECK team setup",IF(AB25&gt;0,"CHECK "&amp;AB25&amp;" booking(s)","OK")))</ns0:f>
        <ns0:v/>
      </ns0:c>
      <ns0:c r="AN25" s="0" t="str">
        <ns0:f>IF(X25=0,"",IF(OR($B$6&gt;0,AM25&lt;&gt;"OK"),"REVIEW",AG25-AL25))</ns0:f>
        <ns0:v/>
      </ns0:c>
      <ns0:c r="AO25" s="0">
        <ns0:f>IFERROR(MATCH(ROW()-11,$AC$11:$AC$60,0),0)</ns0:f>
        <ns0:v>0</ns0:v>
      </ns0:c>
      <ns0:c r="AP25" s="0" t="str">
        <ns0:f>IF(Team!H25="Work","W","O")&amp;IF(Team!I25="Work","W","O")&amp;IF(Team!J25="Work","W","O")&amp;IF(Team!K25="Work","W","O")&amp;IF(Team!L25="Work","W","O")&amp;IF(Team!M25="Work","W","O")&amp;IF(Team!N25="Work","W","O")</ns0:f>
        <ns0:v>WWWWWOO</ns0:v>
      </ns0:c>
      <ns0:c r="AR25" s="0">
        <ns0:f>IFERROR(IF(ISNUMBER(Settings!F25),WEEKDAY(Settings!F25,2),0),0)</ns0:f>
        <ns0:v>0</ns0:v>
      </ns0:c>
      <ns0:c r="BC25" s="0">
        <ns0:f>IF(OR($AO25=0,$B$5&lt;&gt;"OK",$B$6&gt;0,Calendar!D$11=""),0,SUMIFS(rngEngine_U,rngEngine_B,INDEX(Team!$A$11:$A$60,$AO25),rngAMStart,"&lt;="&amp;Calendar!D$11,rngAMEnd,"&gt;="&amp;Calendar!D$11))</ns0:f>
        <ns0:v>0</ns0:v>
      </ns0:c>
      <ns0:c r="BD25" s="0">
        <ns0:f>IF(OR($AO25=0,$B$5&lt;&gt;"OK",$B$6&gt;0,Calendar!D$11=""),0,SUMIFS(rngEngine_V,rngEngine_B,INDEX(Team!$A$11:$A$60,$AO25),rngPMStart,"&lt;="&amp;Calendar!D$11,rngPMEnd,"&gt;="&amp;Calendar!D$11))</ns0:f>
        <ns0:v>0</ns0:v>
      </ns0:c>
      <ns0:c r="BE25" s="0">
        <ns0:f>IF(OR($AO25=0,$B$5&lt;&gt;"OK",$B$6&gt;0,Calendar!E$11=""),0,SUMIFS(rngEngine_U,rngEngine_B,INDEX(Team!$A$11:$A$60,$AO25),rngAMStart,"&lt;="&amp;Calendar!E$11,rngAMEnd,"&gt;="&amp;Calendar!E$11))</ns0:f>
        <ns0:v>0</ns0:v>
      </ns0:c>
      <ns0:c r="BF25" s="0">
        <ns0:f>IF(OR($AO25=0,$B$5&lt;&gt;"OK",$B$6&gt;0,Calendar!E$11=""),0,SUMIFS(rngEngine_V,rngEngine_B,INDEX(Team!$A$11:$A$60,$AO25),rngPMStart,"&lt;="&amp;Calendar!E$11,rngPMEnd,"&gt;="&amp;Calendar!E$11))</ns0:f>
        <ns0:v>0</ns0:v>
      </ns0:c>
      <ns0:c r="BG25" s="0">
        <ns0:f>IF(OR($AO25=0,$B$5&lt;&gt;"OK",$B$6&gt;0,Calendar!F$11=""),0,SUMIFS(rngEngine_U,rngEngine_B,INDEX(Team!$A$11:$A$60,$AO25),rngAMStart,"&lt;="&amp;Calendar!F$11,rngAMEnd,"&gt;="&amp;Calendar!F$11))</ns0:f>
        <ns0:v>0</ns0:v>
      </ns0:c>
      <ns0:c r="BH25" s="0">
        <ns0:f>IF(OR($AO25=0,$B$5&lt;&gt;"OK",$B$6&gt;0,Calendar!F$11=""),0,SUMIFS(rngEngine_V,rngEngine_B,INDEX(Team!$A$11:$A$60,$AO25),rngPMStart,"&lt;="&amp;Calendar!F$11,rngPMEnd,"&gt;="&amp;Calendar!F$11))</ns0:f>
        <ns0:v>0</ns0:v>
      </ns0:c>
      <ns0:c r="BI25" s="0">
        <ns0:f>IF(OR($AO25=0,$B$5&lt;&gt;"OK",$B$6&gt;0,Calendar!G$11=""),0,SUMIFS(rngEngine_U,rngEngine_B,INDEX(Team!$A$11:$A$60,$AO25),rngAMStart,"&lt;="&amp;Calendar!G$11,rngAMEnd,"&gt;="&amp;Calendar!G$11))</ns0:f>
        <ns0:v>0</ns0:v>
      </ns0:c>
      <ns0:c r="BJ25" s="0">
        <ns0:f>IF(OR($AO25=0,$B$5&lt;&gt;"OK",$B$6&gt;0,Calendar!G$11=""),0,SUMIFS(rngEngine_V,rngEngine_B,INDEX(Team!$A$11:$A$60,$AO25),rngPMStart,"&lt;="&amp;Calendar!G$11,rngPMEnd,"&gt;="&amp;Calendar!G$11))</ns0:f>
        <ns0:v>0</ns0:v>
      </ns0:c>
      <ns0:c r="BK25" s="0">
        <ns0:f>IF(OR($AO25=0,$B$5&lt;&gt;"OK",$B$6&gt;0,Calendar!H$11=""),0,SUMIFS(rngEngine_U,rngEngine_B,INDEX(Team!$A$11:$A$60,$AO25),rngAMStart,"&lt;="&amp;Calendar!H$11,rngAMEnd,"&gt;="&amp;Calendar!H$11))</ns0:f>
        <ns0:v>0</ns0:v>
      </ns0:c>
      <ns0:c r="BL25" s="0">
        <ns0:f>IF(OR($AO25=0,$B$5&lt;&gt;"OK",$B$6&gt;0,Calendar!H$11=""),0,SUMIFS(rngEngine_V,rngEngine_B,INDEX(Team!$A$11:$A$60,$AO25),rngPMStart,"&lt;="&amp;Calendar!H$11,rngPMEnd,"&gt;="&amp;Calendar!H$11))</ns0:f>
        <ns0:v>0</ns0:v>
      </ns0:c>
      <ns0:c r="BM25" s="0">
        <ns0:f>IF(OR($AO25=0,$B$5&lt;&gt;"OK",$B$6&gt;0,Calendar!I$11=""),0,SUMIFS(rngEngine_U,rngEngine_B,INDEX(Team!$A$11:$A$60,$AO25),rngAMStart,"&lt;="&amp;Calendar!I$11,rngAMEnd,"&gt;="&amp;Calendar!I$11))</ns0:f>
        <ns0:v>0</ns0:v>
      </ns0:c>
      <ns0:c r="BN25" s="0">
        <ns0:f>IF(OR($AO25=0,$B$5&lt;&gt;"OK",$B$6&gt;0,Calendar!I$11=""),0,SUMIFS(rngEngine_V,rngEngine_B,INDEX(Team!$A$11:$A$60,$AO25),rngPMStart,"&lt;="&amp;Calendar!I$11,rngPMEnd,"&gt;="&amp;Calendar!I$11))</ns0:f>
        <ns0:v>0</ns0:v>
      </ns0:c>
      <ns0:c r="BO25" s="0">
        <ns0:f>IF(OR($AO25=0,$B$5&lt;&gt;"OK",$B$6&gt;0,Calendar!J$11=""),0,SUMIFS(rngEngine_U,rngEngine_B,INDEX(Team!$A$11:$A$60,$AO25),rngAMStart,"&lt;="&amp;Calendar!J$11,rngAMEnd,"&gt;="&amp;Calendar!J$11))</ns0:f>
        <ns0:v>0</ns0:v>
      </ns0:c>
      <ns0:c r="BP25" s="0">
        <ns0:f>IF(OR($AO25=0,$B$5&lt;&gt;"OK",$B$6&gt;0,Calendar!J$11=""),0,SUMIFS(rngEngine_V,rngEngine_B,INDEX(Team!$A$11:$A$60,$AO25),rngPMStart,"&lt;="&amp;Calendar!J$11,rngPMEnd,"&gt;="&amp;Calendar!J$11))</ns0:f>
        <ns0:v>0</ns0:v>
      </ns0:c>
      <ns0:c r="BQ25" s="0">
        <ns0:f>IF(OR($AO25=0,$B$5&lt;&gt;"OK",$B$6&gt;0,Calendar!K$11=""),0,SUMIFS(rngEngine_U,rngEngine_B,INDEX(Team!$A$11:$A$60,$AO25),rngAMStart,"&lt;="&amp;Calendar!K$11,rngAMEnd,"&gt;="&amp;Calendar!K$11))</ns0:f>
        <ns0:v>0</ns0:v>
      </ns0:c>
      <ns0:c r="BR25" s="0">
        <ns0:f>IF(OR($AO25=0,$B$5&lt;&gt;"OK",$B$6&gt;0,Calendar!K$11=""),0,SUMIFS(rngEngine_V,rngEngine_B,INDEX(Team!$A$11:$A$60,$AO25),rngPMStart,"&lt;="&amp;Calendar!K$11,rngPMEnd,"&gt;="&amp;Calendar!K$11))</ns0:f>
        <ns0:v>0</ns0:v>
      </ns0:c>
      <ns0:c r="BS25" s="0">
        <ns0:f>IF(OR($AO25=0,$B$5&lt;&gt;"OK",$B$6&gt;0,Calendar!L$11=""),0,SUMIFS(rngEngine_U,rngEngine_B,INDEX(Team!$A$11:$A$60,$AO25),rngAMStart,"&lt;="&amp;Calendar!L$11,rngAMEnd,"&gt;="&amp;Calendar!L$11))</ns0:f>
        <ns0:v>0</ns0:v>
      </ns0:c>
      <ns0:c r="BT25" s="0">
        <ns0:f>IF(OR($AO25=0,$B$5&lt;&gt;"OK",$B$6&gt;0,Calendar!L$11=""),0,SUMIFS(rngEngine_V,rngEngine_B,INDEX(Team!$A$11:$A$60,$AO25),rngPMStart,"&lt;="&amp;Calendar!L$11,rngPMEnd,"&gt;="&amp;Calendar!L$11))</ns0:f>
        <ns0:v>0</ns0:v>
      </ns0:c>
      <ns0:c r="BU25" s="0">
        <ns0:f>IF(OR($AO25=0,$B$5&lt;&gt;"OK",$B$6&gt;0,Calendar!M$11=""),0,SUMIFS(rngEngine_U,rngEngine_B,INDEX(Team!$A$11:$A$60,$AO25),rngAMStart,"&lt;="&amp;Calendar!M$11,rngAMEnd,"&gt;="&amp;Calendar!M$11))</ns0:f>
        <ns0:v>0</ns0:v>
      </ns0:c>
      <ns0:c r="BV25" s="0">
        <ns0:f>IF(OR($AO25=0,$B$5&lt;&gt;"OK",$B$6&gt;0,Calendar!M$11=""),0,SUMIFS(rngEngine_V,rngEngine_B,INDEX(Team!$A$11:$A$60,$AO25),rngPMStart,"&lt;="&amp;Calendar!M$11,rngPMEnd,"&gt;="&amp;Calendar!M$11))</ns0:f>
        <ns0:v>0</ns0:v>
      </ns0:c>
      <ns0:c r="BW25" s="0">
        <ns0:f>IF(OR($AO25=0,$B$5&lt;&gt;"OK",$B$6&gt;0,Calendar!N$11=""),0,SUMIFS(rngEngine_U,rngEngine_B,INDEX(Team!$A$11:$A$60,$AO25),rngAMStart,"&lt;="&amp;Calendar!N$11,rngAMEnd,"&gt;="&amp;Calendar!N$11))</ns0:f>
        <ns0:v>0</ns0:v>
      </ns0:c>
      <ns0:c r="BX25" s="0">
        <ns0:f>IF(OR($AO25=0,$B$5&lt;&gt;"OK",$B$6&gt;0,Calendar!N$11=""),0,SUMIFS(rngEngine_V,rngEngine_B,INDEX(Team!$A$11:$A$60,$AO25),rngPMStart,"&lt;="&amp;Calendar!N$11,rngPMEnd,"&gt;="&amp;Calendar!N$11))</ns0:f>
        <ns0:v>0</ns0:v>
      </ns0:c>
      <ns0:c r="BY25" s="0">
        <ns0:f>IF(OR($AO25=0,$B$5&lt;&gt;"OK",$B$6&gt;0,Calendar!O$11=""),0,SUMIFS(rngEngine_U,rngEngine_B,INDEX(Team!$A$11:$A$60,$AO25),rngAMStart,"&lt;="&amp;Calendar!O$11,rngAMEnd,"&gt;="&amp;Calendar!O$11))</ns0:f>
        <ns0:v>0</ns0:v>
      </ns0:c>
      <ns0:c r="BZ25" s="0">
        <ns0:f>IF(OR($AO25=0,$B$5&lt;&gt;"OK",$B$6&gt;0,Calendar!O$11=""),0,SUMIFS(rngEngine_V,rngEngine_B,INDEX(Team!$A$11:$A$60,$AO25),rngPMStart,"&lt;="&amp;Calendar!O$11,rngPMEnd,"&gt;="&amp;Calendar!O$11))</ns0:f>
        <ns0:v>0</ns0:v>
      </ns0:c>
      <ns0:c r="CA25" s="0">
        <ns0:f>IF(OR($AO25=0,$B$5&lt;&gt;"OK",$B$6&gt;0,Calendar!P$11=""),0,SUMIFS(rngEngine_U,rngEngine_B,INDEX(Team!$A$11:$A$60,$AO25),rngAMStart,"&lt;="&amp;Calendar!P$11,rngAMEnd,"&gt;="&amp;Calendar!P$11))</ns0:f>
        <ns0:v>0</ns0:v>
      </ns0:c>
      <ns0:c r="CB25" s="0">
        <ns0:f>IF(OR($AO25=0,$B$5&lt;&gt;"OK",$B$6&gt;0,Calendar!P$11=""),0,SUMIFS(rngEngine_V,rngEngine_B,INDEX(Team!$A$11:$A$60,$AO25),rngPMStart,"&lt;="&amp;Calendar!P$11,rngPMEnd,"&gt;="&amp;Calendar!P$11))</ns0:f>
        <ns0:v>0</ns0:v>
      </ns0:c>
      <ns0:c r="CC25" s="0">
        <ns0:f>IF(OR($AO25=0,$B$5&lt;&gt;"OK",$B$6&gt;0,Calendar!Q$11=""),0,SUMIFS(rngEngine_U,rngEngine_B,INDEX(Team!$A$11:$A$60,$AO25),rngAMStart,"&lt;="&amp;Calendar!Q$11,rngAMEnd,"&gt;="&amp;Calendar!Q$11))</ns0:f>
        <ns0:v>0</ns0:v>
      </ns0:c>
      <ns0:c r="CD25" s="0">
        <ns0:f>IF(OR($AO25=0,$B$5&lt;&gt;"OK",$B$6&gt;0,Calendar!Q$11=""),0,SUMIFS(rngEngine_V,rngEngine_B,INDEX(Team!$A$11:$A$60,$AO25),rngPMStart,"&lt;="&amp;Calendar!Q$11,rngPMEnd,"&gt;="&amp;Calendar!Q$11))</ns0:f>
        <ns0:v>0</ns0:v>
      </ns0:c>
      <ns0:c r="CE25" s="0">
        <ns0:f>IF(OR($AO25=0,$B$5&lt;&gt;"OK",$B$6&gt;0,Calendar!R$11=""),0,SUMIFS(rngEngine_U,rngEngine_B,INDEX(Team!$A$11:$A$60,$AO25),rngAMStart,"&lt;="&amp;Calendar!R$11,rngAMEnd,"&gt;="&amp;Calendar!R$11))</ns0:f>
        <ns0:v>0</ns0:v>
      </ns0:c>
      <ns0:c r="CF25" s="0">
        <ns0:f>IF(OR($AO25=0,$B$5&lt;&gt;"OK",$B$6&gt;0,Calendar!R$11=""),0,SUMIFS(rngEngine_V,rngEngine_B,INDEX(Team!$A$11:$A$60,$AO25),rngPMStart,"&lt;="&amp;Calendar!R$11,rngPMEnd,"&gt;="&amp;Calendar!R$11))</ns0:f>
        <ns0:v>0</ns0:v>
      </ns0:c>
      <ns0:c r="CG25" s="0">
        <ns0:f>IF(OR($AO25=0,$B$5&lt;&gt;"OK",$B$6&gt;0,Calendar!S$11=""),0,SUMIFS(rngEngine_U,rngEngine_B,INDEX(Team!$A$11:$A$60,$AO25),rngAMStart,"&lt;="&amp;Calendar!S$11,rngAMEnd,"&gt;="&amp;Calendar!S$11))</ns0:f>
        <ns0:v>0</ns0:v>
      </ns0:c>
      <ns0:c r="CH25" s="0">
        <ns0:f>IF(OR($AO25=0,$B$5&lt;&gt;"OK",$B$6&gt;0,Calendar!S$11=""),0,SUMIFS(rngEngine_V,rngEngine_B,INDEX(Team!$A$11:$A$60,$AO25),rngPMStart,"&lt;="&amp;Calendar!S$11,rngPMEnd,"&gt;="&amp;Calendar!S$11))</ns0:f>
        <ns0:v>0</ns0:v>
      </ns0:c>
      <ns0:c r="CI25" s="0">
        <ns0:f>IF(OR($AO25=0,$B$5&lt;&gt;"OK",$B$6&gt;0,Calendar!T$11=""),0,SUMIFS(rngEngine_U,rngEngine_B,INDEX(Team!$A$11:$A$60,$AO25),rngAMStart,"&lt;="&amp;Calendar!T$11,rngAMEnd,"&gt;="&amp;Calendar!T$11))</ns0:f>
        <ns0:v>0</ns0:v>
      </ns0:c>
      <ns0:c r="CJ25" s="0">
        <ns0:f>IF(OR($AO25=0,$B$5&lt;&gt;"OK",$B$6&gt;0,Calendar!T$11=""),0,SUMIFS(rngEngine_V,rngEngine_B,INDEX(Team!$A$11:$A$60,$AO25),rngPMStart,"&lt;="&amp;Calendar!T$11,rngPMEnd,"&gt;="&amp;Calendar!T$11))</ns0:f>
        <ns0:v>0</ns0:v>
      </ns0:c>
      <ns0:c r="CK25" s="0">
        <ns0:f>IF(OR($AO25=0,$B$5&lt;&gt;"OK",$B$6&gt;0,Calendar!U$11=""),0,SUMIFS(rngEngine_U,rngEngine_B,INDEX(Team!$A$11:$A$60,$AO25),rngAMStart,"&lt;="&amp;Calendar!U$11,rngAMEnd,"&gt;="&amp;Calendar!U$11))</ns0:f>
        <ns0:v>0</ns0:v>
      </ns0:c>
      <ns0:c r="CL25" s="0">
        <ns0:f>IF(OR($AO25=0,$B$5&lt;&gt;"OK",$B$6&gt;0,Calendar!U$11=""),0,SUMIFS(rngEngine_V,rngEngine_B,INDEX(Team!$A$11:$A$60,$AO25),rngPMStart,"&lt;="&amp;Calendar!U$11,rngPMEnd,"&gt;="&amp;Calendar!U$11))</ns0:f>
        <ns0:v>0</ns0:v>
      </ns0:c>
      <ns0:c r="CM25" s="0">
        <ns0:f>IF(OR($AO25=0,$B$5&lt;&gt;"OK",$B$6&gt;0,Calendar!V$11=""),0,SUMIFS(rngEngine_U,rngEngine_B,INDEX(Team!$A$11:$A$60,$AO25),rngAMStart,"&lt;="&amp;Calendar!V$11,rngAMEnd,"&gt;="&amp;Calendar!V$11))</ns0:f>
        <ns0:v>0</ns0:v>
      </ns0:c>
      <ns0:c r="CN25" s="0">
        <ns0:f>IF(OR($AO25=0,$B$5&lt;&gt;"OK",$B$6&gt;0,Calendar!V$11=""),0,SUMIFS(rngEngine_V,rngEngine_B,INDEX(Team!$A$11:$A$60,$AO25),rngPMStart,"&lt;="&amp;Calendar!V$11,rngPMEnd,"&gt;="&amp;Calendar!V$11))</ns0:f>
        <ns0:v>0</ns0:v>
      </ns0:c>
      <ns0:c r="CO25" s="0">
        <ns0:f>IF(OR($AO25=0,$B$5&lt;&gt;"OK",$B$6&gt;0,Calendar!W$11=""),0,SUMIFS(rngEngine_U,rngEngine_B,INDEX(Team!$A$11:$A$60,$AO25),rngAMStart,"&lt;="&amp;Calendar!W$11,rngAMEnd,"&gt;="&amp;Calendar!W$11))</ns0:f>
        <ns0:v>0</ns0:v>
      </ns0:c>
      <ns0:c r="CP25" s="0">
        <ns0:f>IF(OR($AO25=0,$B$5&lt;&gt;"OK",$B$6&gt;0,Calendar!W$11=""),0,SUMIFS(rngEngine_V,rngEngine_B,INDEX(Team!$A$11:$A$60,$AO25),rngPMStart,"&lt;="&amp;Calendar!W$11,rngPMEnd,"&gt;="&amp;Calendar!W$11))</ns0:f>
        <ns0:v>0</ns0:v>
      </ns0:c>
      <ns0:c r="CQ25" s="0">
        <ns0:f>IF(OR($AO25=0,$B$5&lt;&gt;"OK",$B$6&gt;0,Calendar!X$11=""),0,SUMIFS(rngEngine_U,rngEngine_B,INDEX(Team!$A$11:$A$60,$AO25),rngAMStart,"&lt;="&amp;Calendar!X$11,rngAMEnd,"&gt;="&amp;Calendar!X$11))</ns0:f>
        <ns0:v>0</ns0:v>
      </ns0:c>
      <ns0:c r="CR25" s="0">
        <ns0:f>IF(OR($AO25=0,$B$5&lt;&gt;"OK",$B$6&gt;0,Calendar!X$11=""),0,SUMIFS(rngEngine_V,rngEngine_B,INDEX(Team!$A$11:$A$60,$AO25),rngPMStart,"&lt;="&amp;Calendar!X$11,rngPMEnd,"&gt;="&amp;Calendar!X$11))</ns0:f>
        <ns0:v>0</ns0:v>
      </ns0:c>
      <ns0:c r="CS25" s="0">
        <ns0:f>IF(OR($AO25=0,$B$5&lt;&gt;"OK",$B$6&gt;0,Calendar!Y$11=""),0,SUMIFS(rngEngine_U,rngEngine_B,INDEX(Team!$A$11:$A$60,$AO25),rngAMStart,"&lt;="&amp;Calendar!Y$11,rngAMEnd,"&gt;="&amp;Calendar!Y$11))</ns0:f>
        <ns0:v>0</ns0:v>
      </ns0:c>
      <ns0:c r="CT25" s="0">
        <ns0:f>IF(OR($AO25=0,$B$5&lt;&gt;"OK",$B$6&gt;0,Calendar!Y$11=""),0,SUMIFS(rngEngine_V,rngEngine_B,INDEX(Team!$A$11:$A$60,$AO25),rngPMStart,"&lt;="&amp;Calendar!Y$11,rngPMEnd,"&gt;="&amp;Calendar!Y$11))</ns0:f>
        <ns0:v>0</ns0:v>
      </ns0:c>
      <ns0:c r="CU25" s="0">
        <ns0:f>IF(OR($AO25=0,$B$5&lt;&gt;"OK",$B$6&gt;0,Calendar!Z$11=""),0,SUMIFS(rngEngine_U,rngEngine_B,INDEX(Team!$A$11:$A$60,$AO25),rngAMStart,"&lt;="&amp;Calendar!Z$11,rngAMEnd,"&gt;="&amp;Calendar!Z$11))</ns0:f>
        <ns0:v>0</ns0:v>
      </ns0:c>
      <ns0:c r="CV25" s="0">
        <ns0:f>IF(OR($AO25=0,$B$5&lt;&gt;"OK",$B$6&gt;0,Calendar!Z$11=""),0,SUMIFS(rngEngine_V,rngEngine_B,INDEX(Team!$A$11:$A$60,$AO25),rngPMStart,"&lt;="&amp;Calendar!Z$11,rngPMEnd,"&gt;="&amp;Calendar!Z$11))</ns0:f>
        <ns0:v>0</ns0:v>
      </ns0:c>
      <ns0:c r="CW25" s="0">
        <ns0:f>IF(OR($AO25=0,$B$5&lt;&gt;"OK",$B$6&gt;0,Calendar!AA$11=""),0,SUMIFS(rngEngine_U,rngEngine_B,INDEX(Team!$A$11:$A$60,$AO25),rngAMStart,"&lt;="&amp;Calendar!AA$11,rngAMEnd,"&gt;="&amp;Calendar!AA$11))</ns0:f>
        <ns0:v>0</ns0:v>
      </ns0:c>
      <ns0:c r="CX25" s="0">
        <ns0:f>IF(OR($AO25=0,$B$5&lt;&gt;"OK",$B$6&gt;0,Calendar!AA$11=""),0,SUMIFS(rngEngine_V,rngEngine_B,INDEX(Team!$A$11:$A$60,$AO25),rngPMStart,"&lt;="&amp;Calendar!AA$11,rngPMEnd,"&gt;="&amp;Calendar!AA$11))</ns0:f>
        <ns0:v>0</ns0:v>
      </ns0:c>
      <ns0:c r="CY25" s="0">
        <ns0:f>IF(OR($AO25=0,$B$5&lt;&gt;"OK",$B$6&gt;0,Calendar!AB$11=""),0,SUMIFS(rngEngine_U,rngEngine_B,INDEX(Team!$A$11:$A$60,$AO25),rngAMStart,"&lt;="&amp;Calendar!AB$11,rngAMEnd,"&gt;="&amp;Calendar!AB$11))</ns0:f>
        <ns0:v>0</ns0:v>
      </ns0:c>
      <ns0:c r="CZ25" s="0">
        <ns0:f>IF(OR($AO25=0,$B$5&lt;&gt;"OK",$B$6&gt;0,Calendar!AB$11=""),0,SUMIFS(rngEngine_V,rngEngine_B,INDEX(Team!$A$11:$A$60,$AO25),rngPMStart,"&lt;="&amp;Calendar!AB$11,rngPMEnd,"&gt;="&amp;Calendar!AB$11))</ns0:f>
        <ns0:v>0</ns0:v>
      </ns0:c>
      <ns0:c r="DA25" s="0">
        <ns0:f>IF(OR($AO25=0,$B$5&lt;&gt;"OK",$B$6&gt;0,Calendar!AC$11=""),0,SUMIFS(rngEngine_U,rngEngine_B,INDEX(Team!$A$11:$A$60,$AO25),rngAMStart,"&lt;="&amp;Calendar!AC$11,rngAMEnd,"&gt;="&amp;Calendar!AC$11))</ns0:f>
        <ns0:v>0</ns0:v>
      </ns0:c>
      <ns0:c r="DB25" s="0">
        <ns0:f>IF(OR($AO25=0,$B$5&lt;&gt;"OK",$B$6&gt;0,Calendar!AC$11=""),0,SUMIFS(rngEngine_V,rngEngine_B,INDEX(Team!$A$11:$A$60,$AO25),rngPMStart,"&lt;="&amp;Calendar!AC$11,rngPMEnd,"&gt;="&amp;Calendar!AC$11))</ns0:f>
        <ns0:v>0</ns0:v>
      </ns0:c>
      <ns0:c r="DC25" s="0">
        <ns0:f>IF(OR($AO25=0,$B$5&lt;&gt;"OK",$B$6&gt;0,Calendar!AD$11=""),0,SUMIFS(rngEngine_U,rngEngine_B,INDEX(Team!$A$11:$A$60,$AO25),rngAMStart,"&lt;="&amp;Calendar!AD$11,rngAMEnd,"&gt;="&amp;Calendar!AD$11))</ns0:f>
        <ns0:v>0</ns0:v>
      </ns0:c>
      <ns0:c r="DD25" s="0">
        <ns0:f>IF(OR($AO25=0,$B$5&lt;&gt;"OK",$B$6&gt;0,Calendar!AD$11=""),0,SUMIFS(rngEngine_V,rngEngine_B,INDEX(Team!$A$11:$A$60,$AO25),rngPMStart,"&lt;="&amp;Calendar!AD$11,rngPMEnd,"&gt;="&amp;Calendar!AD$11))</ns0:f>
        <ns0:v>0</ns0:v>
      </ns0:c>
      <ns0:c r="DE25" s="0">
        <ns0:f>IF(OR($AO25=0,$B$5&lt;&gt;"OK",$B$6&gt;0,Calendar!AE$11=""),0,SUMIFS(rngEngine_U,rngEngine_B,INDEX(Team!$A$11:$A$60,$AO25),rngAMStart,"&lt;="&amp;Calendar!AE$11,rngAMEnd,"&gt;="&amp;Calendar!AE$11))</ns0:f>
        <ns0:v>0</ns0:v>
      </ns0:c>
      <ns0:c r="DF25" s="0">
        <ns0:f>IF(OR($AO25=0,$B$5&lt;&gt;"OK",$B$6&gt;0,Calendar!AE$11=""),0,SUMIFS(rngEngine_V,rngEngine_B,INDEX(Team!$A$11:$A$60,$AO25),rngPMStart,"&lt;="&amp;Calendar!AE$11,rngPMEnd,"&gt;="&amp;Calendar!AE$11))</ns0:f>
        <ns0:v>0</ns0:v>
      </ns0:c>
      <ns0:c r="DG25" s="0">
        <ns0:f>IF(OR($AO25=0,$B$5&lt;&gt;"OK",$B$6&gt;0,Calendar!AF$11=""),0,SUMIFS(rngEngine_U,rngEngine_B,INDEX(Team!$A$11:$A$60,$AO25),rngAMStart,"&lt;="&amp;Calendar!AF$11,rngAMEnd,"&gt;="&amp;Calendar!AF$11))</ns0:f>
        <ns0:v>0</ns0:v>
      </ns0:c>
      <ns0:c r="DH25" s="0">
        <ns0:f>IF(OR($AO25=0,$B$5&lt;&gt;"OK",$B$6&gt;0,Calendar!AF$11=""),0,SUMIFS(rngEngine_V,rngEngine_B,INDEX(Team!$A$11:$A$60,$AO25),rngPMStart,"&lt;="&amp;Calendar!AF$11,rngPMEnd,"&gt;="&amp;Calendar!AF$11))</ns0:f>
        <ns0:v>0</ns0:v>
      </ns0:c>
      <ns0:c r="DI25" s="0">
        <ns0:f>IF(OR($AO25=0,$B$5&lt;&gt;"OK",$B$6&gt;0,Calendar!AG$11=""),0,SUMIFS(rngEngine_U,rngEngine_B,INDEX(Team!$A$11:$A$60,$AO25),rngAMStart,"&lt;="&amp;Calendar!AG$11,rngAMEnd,"&gt;="&amp;Calendar!AG$11))</ns0:f>
        <ns0:v>0</ns0:v>
      </ns0:c>
      <ns0:c r="DJ25" s="0">
        <ns0:f>IF(OR($AO25=0,$B$5&lt;&gt;"OK",$B$6&gt;0,Calendar!AG$11=""),0,SUMIFS(rngEngine_V,rngEngine_B,INDEX(Team!$A$11:$A$60,$AO25),rngPMStart,"&lt;="&amp;Calendar!AG$11,rngPMEnd,"&gt;="&amp;Calendar!AG$11))</ns0:f>
        <ns0:v>0</ns0:v>
      </ns0:c>
      <ns0:c r="DK25" s="0">
        <ns0:f>IF(OR($AO25=0,$B$5&lt;&gt;"OK",$B$6&gt;0,Calendar!AH$11=""),0,SUMIFS(rngEngine_U,rngEngine_B,INDEX(Team!$A$11:$A$60,$AO25),rngAMStart,"&lt;="&amp;Calendar!AH$11,rngAMEnd,"&gt;="&amp;Calendar!AH$11))</ns0:f>
        <ns0:v>0</ns0:v>
      </ns0:c>
      <ns0:c r="DL25" s="0">
        <ns0:f>IF(OR($AO25=0,$B$5&lt;&gt;"OK",$B$6&gt;0,Calendar!AH$11=""),0,SUMIFS(rngEngine_V,rngEngine_B,INDEX(Team!$A$11:$A$60,$AO25),rngPMStart,"&lt;="&amp;Calendar!AH$11,rngPMEnd,"&gt;="&amp;Calendar!AH$11))</ns0:f>
        <ns0:v>0</ns0:v>
      </ns0:c>
    </ns0:row>
    <ns0:row r="26" ht="22" customHeight="1">
      <ns0:c r="A26" s="4">
        <ns0:f>IF(COUNTA(Bookings!A26:G26,Bookings!I26)=0,0,1)</ns0:f>
        <ns0:v>1</ns0:v>
      </ns0:c>
      <ns0:c r="B26" s="4" t="str">
        <ns0:f>IFERROR(TRIM(MID(Bookings!A26,FIND(" · ",Bookings!A26)+3,99)),"")</ns0:f>
        <ns0:v>EMP006</ns0:v>
      </ns0:c>
      <ns0:c r="C26" s="4">
        <ns0:f>IF(OR(B26="",LEN(B26)&gt;24,ISNUMBER(FIND(" ",B26)),ISNUMBER(FIND("*",B26)),ISNUMBER(FIND("?",B26)),ISNUMBER(FIND("~",B26))),0,IFERROR(MATCH(B26,Team!$A$11:$A$60,0),0))</ns0:f>
        <ns0:v>6</ns0:v>
      </ns0:c>
      <ns0:c r="D26" s="4" t="str">
        <ns0:f>IFERROR(IF(MID(Bookings!F26,LEN(Bookings!F26)-3,3)=" · ",RIGHT(Bookings!F26,1),""),"")</ns0:f>
        <ns0:v>H</ns0:v>
      </ns0:c>
      <ns0:c r="E26" s="4" t="str">
        <ns0:f>IFERROR(INDEX(Settings!$H$7:$H$11,MATCH(D26,Settings!$G$7:$G$11,0)),"")</ns0:f>
        <ns0:v>Yes</ns0:v>
      </ns0:c>
      <ns0:c r="F26" s="4" t="str">
        <ns0:f>IF(A26=0,"",IFERROR(IF(OR(B26="",C26=0),"CHECK employee selection",IF(INDEX(Team!$O$11:$O$60,C26)&lt;&gt;"OK","CHECK employee setup",IF(OR('_Dates'!J26=0,'_Dates'!T26=0),"CHECK date: use DD.MM.YYYY",IF('_Dates'!T26&lt;'_Dates'!J26,"CHECK end before start",IF(AND($B$6=0,OR('_Dates'!J26&lt;Settings!$B$7,'_Dates'!T26&gt;Settings!$B$8)),"CHECK split across leave years",IF(OR(NOT(OR('_Dates'!U26="Full day",'_Dates'!U26="AM",'_Dates'!U26="PM")),NOT(OR('_Dates'!V26="Full day",'_Dates'!V26="AM",'_Dates'!V26="PM"))),"CHECK Full day / AM / PM",IF(AND('_Dates'!J26='_Dates'!T26,'_Dates'!U26&lt;&gt;"Full day",'_Dates'!V26&lt;&gt;"Full day",'_Dates'!U26&lt;&gt;'_Dates'!V26),"CHECK same-day portions disagree",IF(AND($B$6=0,OR(AND('_Dates'!U26&lt;&gt;"Full day",'_Dates'!AA26=0),AND('_Dates'!V26&lt;&gt;"Full day",'_Dates'!AB26=0))),"CHECK half-day on non-working date",IF(COUNTIF(Settings!$G$7:$G$11,D26)&lt;&gt;1,"CHECK leave type",IF(AND(Bookings!G26&lt;&gt;"Approved",Bookings!G26&lt;&gt;"Pending",Bookings!G26&lt;&gt;"Cancelled"),"CHECK status","OK")))))))))),"CHECK input"))</ns0:f>
        <ns0:v>OK</ns0:v>
      </ns0:c>
      <ns0:c r="G26" s="4">
        <ns0:f>IF(OR(F26&lt;&gt;"OK",$B$6&gt;0),0,0.5*(IF(('_Dates'!X26)&lt;('_Dates'!W26),0,INT((('_Dates'!X26)-('_Dates'!W26)+1)/7)*LEN(SUBSTITUTE(W26,"O",""))+LEN(SUBSTITUTE(MID(W26&amp;W26,WEEKDAY(('_Dates'!W26),2),MOD((('_Dates'!X26)-('_Dates'!W26)+1),7)),"O",""))-COUNTIFS(INDEX(AllClosureRows,C26,0),"&gt;="&amp;('_Dates'!W26),INDEX(AllClosureRows,C26,0),"&lt;="&amp;('_Dates'!X26)))+IF(('_Dates'!Z26)&lt;('_Dates'!Y26),0,INT((('_Dates'!Z26)-('_Dates'!Y26)+1)/7)*LEN(SUBSTITUTE(W26,"O",""))+LEN(SUBSTITUTE(MID(W26&amp;W26,WEEKDAY(('_Dates'!Y26),2),MOD((('_Dates'!Z26)-('_Dates'!Y26)+1),7)),"O",""))-COUNTIFS(INDEX(AllClosureRows,C26,0),"&gt;="&amp;('_Dates'!Y26),INDEX(AllClosureRows,C26,0),"&lt;="&amp;('_Dates'!Z26)))))</ns0:f>
        <ns0:v>0.5</ns0:v>
      </ns0:c>
      <ns0:c r="H26" s="4">
        <ns0:f>IF(OR(F26&lt;&gt;"OK",$B$6&gt;0),0,0.5*(IF((MIN('_Dates'!X26,Settings!$B$9))&lt;('_Dates'!W26),0,INT(((MIN('_Dates'!X26,Settings!$B$9))-('_Dates'!W26)+1)/7)*LEN(SUBSTITUTE(W26,"O",""))+LEN(SUBSTITUTE(MID(W26&amp;W26,WEEKDAY(('_Dates'!W26),2),MOD(((MIN('_Dates'!X26,Settings!$B$9))-('_Dates'!W26)+1),7)),"O",""))-COUNTIFS(INDEX(AllClosureRows,C26,0),"&gt;="&amp;('_Dates'!W26),INDEX(AllClosureRows,C26,0),"&lt;="&amp;(MIN('_Dates'!X26,Settings!$B$9))))+IF((MIN('_Dates'!Z26,Settings!$B$9))&lt;('_Dates'!Y26),0,INT(((MIN('_Dates'!Z26,Settings!$B$9))-('_Dates'!Y26)+1)/7)*LEN(SUBSTITUTE(W26,"O",""))+LEN(SUBSTITUTE(MID(W26&amp;W26,WEEKDAY(('_Dates'!Y26),2),MOD(((MIN('_Dates'!Z26,Settings!$B$9))-('_Dates'!Y26)+1),7)),"O",""))-COUNTIFS(INDEX(AllClosureRows,C26,0),"&gt;="&amp;('_Dates'!Y26),INDEX(AllClosureRows,C26,0),"&lt;="&amp;(MIN('_Dates'!Z26,Settings!$B$9))))))</ns0:f>
        <ns0:v>0</ns0:v>
      </ns0:c>
      <ns0:c r="I26" s="4">
        <ns0:f>MAX(0,G26-H26)</ns0:f>
        <ns0:v>0.5</ns0:v>
      </ns0:c>
      <ns0:c r="J26" s="4">
        <ns0:f>IF(OR(A26=0,F26&lt;&gt;"OK",Bookings!G26="Cancelled",$B$6&gt;0),0,IF('_Dates'!AC26=1,MAX(0,COUNTIFS(rngEngine_B,B26,rngAMStart,"&lt;="&amp;'_Dates'!X26,rngAMEnd,"&gt;="&amp;'_Dates'!W26,rngAMActive,1,rngEngine_F,"OK",rngBookings_F,"&lt;&gt;Cancelled")-1),0)+IF('_Dates'!AD26=1,MAX(0,COUNTIFS(rngEngine_B,B26,rngPMStart,"&lt;="&amp;'_Dates'!Z26,rngPMEnd,"&gt;="&amp;'_Dates'!Y26,rngPMActive,1,rngEngine_F,"OK",rngBookings_F,"&lt;&gt;Cancelled")-1),0))</ns0:f>
        <ns0:v>0</ns0:v>
      </ns0:c>
      <ns0:c r="K26" s="0" t="str">
        <ns0:f>IF(A26=0,"",IF(F26&lt;&gt;"OK",F26,IF(J26&gt;0,"CHECK overlapping entry",IF(AND($B$6=0,G26&lt;=0,Bookings!G26&lt;&gt;"Cancelled"),"CHECK no working days",IF(Bookings!G26="Cancelled","Cancelled","OK")))))</ns0:f>
        <ns0:v>OK</ns0:v>
      </ns0:c>
      <ns0:c r="L26" s="0">
        <ns0:f>IF(LEFT(K26,5)="CHECK",1,0)</ns0:f>
        <ns0:v>0</ns0:v>
      </ns0:c>
      <ns0:c r="M26" s="0">
        <ns0:f>IF(AND(L26=1,OR(C26=0,IFERROR(INDEX($X$11:$X$60,C26),0)=0)),1,0)</ns0:f>
        <ns0:v>0</ns0:v>
      </ns0:c>
      <ns0:c r="N26" s="0">
        <ns0:f>IF(OR(A26=0,L26&gt;0,$B$6&gt;0,Bookings!G26="Cancelled"),0,G26)</ns0:f>
        <ns0:v>0.5</ns0:v>
      </ns0:c>
      <ns0:c r="O26" s="0">
        <ns0:f>IF(AND(Bookings!G26="Approved",E26="Yes"),N26,0)</ns0:f>
        <ns0:v>0</ns0:v>
      </ns0:c>
      <ns0:c r="P26" s="0">
        <ns0:f>IF(AND(Bookings!G26="Approved",E26="Yes",L26=0,$B$6=0),H26,0)</ns0:f>
        <ns0:v>0</ns0:v>
      </ns0:c>
      <ns0:c r="Q26" s="0">
        <ns0:f>IF(AND(Bookings!G26="Approved",E26="Yes",L26=0,$B$6=0),I26,0)</ns0:f>
        <ns0:v>0</ns0:v>
      </ns0:c>
      <ns0:c r="R26" s="0">
        <ns0:f>IF(AND(Bookings!G26="Pending",E26="Yes"),N26,0)</ns0:f>
        <ns0:v>0.5</ns0:v>
      </ns0:c>
      <ns0:c r="S26" s="0">
        <ns0:f>IF(AND(Bookings!G26="Approved",E26="No"),N26,0)</ns0:f>
        <ns0:v>0</ns0:v>
      </ns0:c>
      <ns0:c r="T26" s="0">
        <ns0:f>IFERROR(MATCH(D26,Settings!$G$7:$G$11,0),0)</ns0:f>
        <ns0:v>1</ns0:v>
      </ns0:c>
      <ns0:c r="U26" s="0">
        <ns0:f>IF(N26&gt;0,T26+IF(Bookings!G26="Pending",10,0),0)</ns0:f>
        <ns0:v>11</ns0:v>
      </ns0:c>
      <ns0:c r="V26" s="0">
        <ns0:f>U26</ns0:f>
        <ns0:v>11</ns0:v>
      </ns0:c>
      <ns0:c r="W26" s="0" t="str">
        <ns0:f>IF(C26=0,"",INDEX($AP$11:$AP$60,C26))</ns0:f>
        <ns0:v>WWWWOOO</ns0:v>
      </ns0:c>
      <ns0:c r="X26" s="0">
        <ns0:f>IF(COUNTA(Team!B26:D26)=0,0,1)</ns0:f>
        <ns0:v>0</ns0:v>
      </ns0:c>
      <ns0:c r="Y26" s="0" t="str">
        <ns0:f>IF(X26=0,"",IF(Team!B26="","[Unnamed]",Team!B26)&amp;" · "&amp;Team!A26)</ns0:f>
        <ns0:v/>
      </ns0:c>
      <ns0:c r="Z26" s="0">
        <ns0:f>IF(X26=0,0,COUNTIF(Team!H26:N26,"Work"))</ns0:f>
        <ns0:v>0</ns0:v>
      </ns0:c>
      <ns0:c r="AA26" s="0">
        <ns0:f>IF(LEFT(Team!O26,5)="CHECK",1,0)</ns0:f>
        <ns0:v>0</ns0:v>
      </ns0:c>
      <ns0:c r="AB26" s="0">
        <ns0:f>IF(X26=0,0,SUMIFS(rngEngine_L,rngEngine_B,Team!A26))</ns0:f>
        <ns0:v>0</ns0:v>
      </ns0:c>
      <ns0:c r="AC26" s="0" t="str">
        <ns0:f>IF(AND(X26=1,OR(Calendar!$C$7="All teams",Team!C26=Calendar!$C$7)),MAX($AC$10:AC25)+1,"")</ns0:f>
        <ns0:v/>
      </ns0:c>
      <ns0:c r="AD26" s="0" t="str">
        <ns0:f>IF(OR(X26=0,Team!C26="",COUNTIF(Team!$C$11:C26,Team!C26)&gt;1),"",MAX($AD$10:AD25)+1)</ns0:f>
        <ns0:v/>
      </ns0:c>
      <ns0:c r="AE26" s="0" t="str">
        <ns0:f>IFERROR(INDEX(Team!$C$11:$C$60,MATCH(ROW()-10,$AD$11:$AD$60,0)),"")</ns0:f>
        <ns0:v/>
      </ns0:c>
      <ns0:c r="AF26" s="0" t="str">
        <ns0:f>AE26</ns0:f>
        <ns0:v/>
      </ns0:c>
      <ns0:c r="AG26" s="0">
        <ns0:f>IF(X26=0,0,IFERROR(Team!F26+Team!G26,0))</ns0:f>
        <ns0:v>0</ns0:v>
      </ns0:c>
      <ns0:c r="AH26" s="0">
        <ns0:f>IF(X26=0,0,SUMIFS(rngEngine_P,rngEngine_B,Team!A26))</ns0:f>
        <ns0:v>0</ns0:v>
      </ns0:c>
      <ns0:c r="AI26" s="0">
        <ns0:f>IF(X26=0,0,SUMIFS(rngEngine_Q,rngEngine_B,Team!A26))</ns0:f>
        <ns0:v>0</ns0:v>
      </ns0:c>
      <ns0:c r="AJ26" s="0">
        <ns0:f>IF(X26=0,0,SUMIFS(rngEngine_R,rngEngine_B,Team!A26))</ns0:f>
        <ns0:v>0</ns0:v>
      </ns0:c>
      <ns0:c r="AK26" s="0">
        <ns0:f>IF(X26=0,0,SUMIFS(rngEngine_S,rngEngine_B,Team!A26))</ns0:f>
        <ns0:v>0</ns0:v>
      </ns0:c>
      <ns0:c r="AL26" s="0">
        <ns0:f>AH26+AI26</ns0:f>
        <ns0:v>0</ns0:v>
      </ns0:c>
      <ns0:c r="AM26" s="0" t="str">
        <ns0:f>IF(X26=0,"",IF(AA26&gt;0,"CHECK team setup",IF(AB26&gt;0,"CHECK "&amp;AB26&amp;" booking(s)","OK")))</ns0:f>
        <ns0:v/>
      </ns0:c>
      <ns0:c r="AN26" s="0" t="str">
        <ns0:f>IF(X26=0,"",IF(OR($B$6&gt;0,AM26&lt;&gt;"OK"),"REVIEW",AG26-AL26))</ns0:f>
        <ns0:v/>
      </ns0:c>
      <ns0:c r="AO26" s="0">
        <ns0:f>IFERROR(MATCH(ROW()-11,$AC$11:$AC$60,0),0)</ns0:f>
        <ns0:v>0</ns0:v>
      </ns0:c>
      <ns0:c r="AP26" s="0" t="str">
        <ns0:f>IF(Team!H26="Work","W","O")&amp;IF(Team!I26="Work","W","O")&amp;IF(Team!J26="Work","W","O")&amp;IF(Team!K26="Work","W","O")&amp;IF(Team!L26="Work","W","O")&amp;IF(Team!M26="Work","W","O")&amp;IF(Team!N26="Work","W","O")</ns0:f>
        <ns0:v>WWWWWOO</ns0:v>
      </ns0:c>
      <ns0:c r="AR26" s="0">
        <ns0:f>IFERROR(IF(ISNUMBER(Settings!F26),WEEKDAY(Settings!F26,2),0),0)</ns0:f>
        <ns0:v>0</ns0:v>
      </ns0:c>
      <ns0:c r="BC26" s="0">
        <ns0:f>IF(OR($AO26=0,$B$5&lt;&gt;"OK",$B$6&gt;0,Calendar!D$11=""),0,SUMIFS(rngEngine_U,rngEngine_B,INDEX(Team!$A$11:$A$60,$AO26),rngAMStart,"&lt;="&amp;Calendar!D$11,rngAMEnd,"&gt;="&amp;Calendar!D$11))</ns0:f>
        <ns0:v>0</ns0:v>
      </ns0:c>
      <ns0:c r="BD26" s="0">
        <ns0:f>IF(OR($AO26=0,$B$5&lt;&gt;"OK",$B$6&gt;0,Calendar!D$11=""),0,SUMIFS(rngEngine_V,rngEngine_B,INDEX(Team!$A$11:$A$60,$AO26),rngPMStart,"&lt;="&amp;Calendar!D$11,rngPMEnd,"&gt;="&amp;Calendar!D$11))</ns0:f>
        <ns0:v>0</ns0:v>
      </ns0:c>
      <ns0:c r="BE26" s="0">
        <ns0:f>IF(OR($AO26=0,$B$5&lt;&gt;"OK",$B$6&gt;0,Calendar!E$11=""),0,SUMIFS(rngEngine_U,rngEngine_B,INDEX(Team!$A$11:$A$60,$AO26),rngAMStart,"&lt;="&amp;Calendar!E$11,rngAMEnd,"&gt;="&amp;Calendar!E$11))</ns0:f>
        <ns0:v>0</ns0:v>
      </ns0:c>
      <ns0:c r="BF26" s="0">
        <ns0:f>IF(OR($AO26=0,$B$5&lt;&gt;"OK",$B$6&gt;0,Calendar!E$11=""),0,SUMIFS(rngEngine_V,rngEngine_B,INDEX(Team!$A$11:$A$60,$AO26),rngPMStart,"&lt;="&amp;Calendar!E$11,rngPMEnd,"&gt;="&amp;Calendar!E$11))</ns0:f>
        <ns0:v>0</ns0:v>
      </ns0:c>
      <ns0:c r="BG26" s="0">
        <ns0:f>IF(OR($AO26=0,$B$5&lt;&gt;"OK",$B$6&gt;0,Calendar!F$11=""),0,SUMIFS(rngEngine_U,rngEngine_B,INDEX(Team!$A$11:$A$60,$AO26),rngAMStart,"&lt;="&amp;Calendar!F$11,rngAMEnd,"&gt;="&amp;Calendar!F$11))</ns0:f>
        <ns0:v>0</ns0:v>
      </ns0:c>
      <ns0:c r="BH26" s="0">
        <ns0:f>IF(OR($AO26=0,$B$5&lt;&gt;"OK",$B$6&gt;0,Calendar!F$11=""),0,SUMIFS(rngEngine_V,rngEngine_B,INDEX(Team!$A$11:$A$60,$AO26),rngPMStart,"&lt;="&amp;Calendar!F$11,rngPMEnd,"&gt;="&amp;Calendar!F$11))</ns0:f>
        <ns0:v>0</ns0:v>
      </ns0:c>
      <ns0:c r="BI26" s="0">
        <ns0:f>IF(OR($AO26=0,$B$5&lt;&gt;"OK",$B$6&gt;0,Calendar!G$11=""),0,SUMIFS(rngEngine_U,rngEngine_B,INDEX(Team!$A$11:$A$60,$AO26),rngAMStart,"&lt;="&amp;Calendar!G$11,rngAMEnd,"&gt;="&amp;Calendar!G$11))</ns0:f>
        <ns0:v>0</ns0:v>
      </ns0:c>
      <ns0:c r="BJ26" s="0">
        <ns0:f>IF(OR($AO26=0,$B$5&lt;&gt;"OK",$B$6&gt;0,Calendar!G$11=""),0,SUMIFS(rngEngine_V,rngEngine_B,INDEX(Team!$A$11:$A$60,$AO26),rngPMStart,"&lt;="&amp;Calendar!G$11,rngPMEnd,"&gt;="&amp;Calendar!G$11))</ns0:f>
        <ns0:v>0</ns0:v>
      </ns0:c>
      <ns0:c r="BK26" s="0">
        <ns0:f>IF(OR($AO26=0,$B$5&lt;&gt;"OK",$B$6&gt;0,Calendar!H$11=""),0,SUMIFS(rngEngine_U,rngEngine_B,INDEX(Team!$A$11:$A$60,$AO26),rngAMStart,"&lt;="&amp;Calendar!H$11,rngAMEnd,"&gt;="&amp;Calendar!H$11))</ns0:f>
        <ns0:v>0</ns0:v>
      </ns0:c>
      <ns0:c r="BL26" s="0">
        <ns0:f>IF(OR($AO26=0,$B$5&lt;&gt;"OK",$B$6&gt;0,Calendar!H$11=""),0,SUMIFS(rngEngine_V,rngEngine_B,INDEX(Team!$A$11:$A$60,$AO26),rngPMStart,"&lt;="&amp;Calendar!H$11,rngPMEnd,"&gt;="&amp;Calendar!H$11))</ns0:f>
        <ns0:v>0</ns0:v>
      </ns0:c>
      <ns0:c r="BM26" s="0">
        <ns0:f>IF(OR($AO26=0,$B$5&lt;&gt;"OK",$B$6&gt;0,Calendar!I$11=""),0,SUMIFS(rngEngine_U,rngEngine_B,INDEX(Team!$A$11:$A$60,$AO26),rngAMStart,"&lt;="&amp;Calendar!I$11,rngAMEnd,"&gt;="&amp;Calendar!I$11))</ns0:f>
        <ns0:v>0</ns0:v>
      </ns0:c>
      <ns0:c r="BN26" s="0">
        <ns0:f>IF(OR($AO26=0,$B$5&lt;&gt;"OK",$B$6&gt;0,Calendar!I$11=""),0,SUMIFS(rngEngine_V,rngEngine_B,INDEX(Team!$A$11:$A$60,$AO26),rngPMStart,"&lt;="&amp;Calendar!I$11,rngPMEnd,"&gt;="&amp;Calendar!I$11))</ns0:f>
        <ns0:v>0</ns0:v>
      </ns0:c>
      <ns0:c r="BO26" s="0">
        <ns0:f>IF(OR($AO26=0,$B$5&lt;&gt;"OK",$B$6&gt;0,Calendar!J$11=""),0,SUMIFS(rngEngine_U,rngEngine_B,INDEX(Team!$A$11:$A$60,$AO26),rngAMStart,"&lt;="&amp;Calendar!J$11,rngAMEnd,"&gt;="&amp;Calendar!J$11))</ns0:f>
        <ns0:v>0</ns0:v>
      </ns0:c>
      <ns0:c r="BP26" s="0">
        <ns0:f>IF(OR($AO26=0,$B$5&lt;&gt;"OK",$B$6&gt;0,Calendar!J$11=""),0,SUMIFS(rngEngine_V,rngEngine_B,INDEX(Team!$A$11:$A$60,$AO26),rngPMStart,"&lt;="&amp;Calendar!J$11,rngPMEnd,"&gt;="&amp;Calendar!J$11))</ns0:f>
        <ns0:v>0</ns0:v>
      </ns0:c>
      <ns0:c r="BQ26" s="0">
        <ns0:f>IF(OR($AO26=0,$B$5&lt;&gt;"OK",$B$6&gt;0,Calendar!K$11=""),0,SUMIFS(rngEngine_U,rngEngine_B,INDEX(Team!$A$11:$A$60,$AO26),rngAMStart,"&lt;="&amp;Calendar!K$11,rngAMEnd,"&gt;="&amp;Calendar!K$11))</ns0:f>
        <ns0:v>0</ns0:v>
      </ns0:c>
      <ns0:c r="BR26" s="0">
        <ns0:f>IF(OR($AO26=0,$B$5&lt;&gt;"OK",$B$6&gt;0,Calendar!K$11=""),0,SUMIFS(rngEngine_V,rngEngine_B,INDEX(Team!$A$11:$A$60,$AO26),rngPMStart,"&lt;="&amp;Calendar!K$11,rngPMEnd,"&gt;="&amp;Calendar!K$11))</ns0:f>
        <ns0:v>0</ns0:v>
      </ns0:c>
      <ns0:c r="BS26" s="0">
        <ns0:f>IF(OR($AO26=0,$B$5&lt;&gt;"OK",$B$6&gt;0,Calendar!L$11=""),0,SUMIFS(rngEngine_U,rngEngine_B,INDEX(Team!$A$11:$A$60,$AO26),rngAMStart,"&lt;="&amp;Calendar!L$11,rngAMEnd,"&gt;="&amp;Calendar!L$11))</ns0:f>
        <ns0:v>0</ns0:v>
      </ns0:c>
      <ns0:c r="BT26" s="0">
        <ns0:f>IF(OR($AO26=0,$B$5&lt;&gt;"OK",$B$6&gt;0,Calendar!L$11=""),0,SUMIFS(rngEngine_V,rngEngine_B,INDEX(Team!$A$11:$A$60,$AO26),rngPMStart,"&lt;="&amp;Calendar!L$11,rngPMEnd,"&gt;="&amp;Calendar!L$11))</ns0:f>
        <ns0:v>0</ns0:v>
      </ns0:c>
      <ns0:c r="BU26" s="0">
        <ns0:f>IF(OR($AO26=0,$B$5&lt;&gt;"OK",$B$6&gt;0,Calendar!M$11=""),0,SUMIFS(rngEngine_U,rngEngine_B,INDEX(Team!$A$11:$A$60,$AO26),rngAMStart,"&lt;="&amp;Calendar!M$11,rngAMEnd,"&gt;="&amp;Calendar!M$11))</ns0:f>
        <ns0:v>0</ns0:v>
      </ns0:c>
      <ns0:c r="BV26" s="0">
        <ns0:f>IF(OR($AO26=0,$B$5&lt;&gt;"OK",$B$6&gt;0,Calendar!M$11=""),0,SUMIFS(rngEngine_V,rngEngine_B,INDEX(Team!$A$11:$A$60,$AO26),rngPMStart,"&lt;="&amp;Calendar!M$11,rngPMEnd,"&gt;="&amp;Calendar!M$11))</ns0:f>
        <ns0:v>0</ns0:v>
      </ns0:c>
      <ns0:c r="BW26" s="0">
        <ns0:f>IF(OR($AO26=0,$B$5&lt;&gt;"OK",$B$6&gt;0,Calendar!N$11=""),0,SUMIFS(rngEngine_U,rngEngine_B,INDEX(Team!$A$11:$A$60,$AO26),rngAMStart,"&lt;="&amp;Calendar!N$11,rngAMEnd,"&gt;="&amp;Calendar!N$11))</ns0:f>
        <ns0:v>0</ns0:v>
      </ns0:c>
      <ns0:c r="BX26" s="0">
        <ns0:f>IF(OR($AO26=0,$B$5&lt;&gt;"OK",$B$6&gt;0,Calendar!N$11=""),0,SUMIFS(rngEngine_V,rngEngine_B,INDEX(Team!$A$11:$A$60,$AO26),rngPMStart,"&lt;="&amp;Calendar!N$11,rngPMEnd,"&gt;="&amp;Calendar!N$11))</ns0:f>
        <ns0:v>0</ns0:v>
      </ns0:c>
      <ns0:c r="BY26" s="0">
        <ns0:f>IF(OR($AO26=0,$B$5&lt;&gt;"OK",$B$6&gt;0,Calendar!O$11=""),0,SUMIFS(rngEngine_U,rngEngine_B,INDEX(Team!$A$11:$A$60,$AO26),rngAMStart,"&lt;="&amp;Calendar!O$11,rngAMEnd,"&gt;="&amp;Calendar!O$11))</ns0:f>
        <ns0:v>0</ns0:v>
      </ns0:c>
      <ns0:c r="BZ26" s="0">
        <ns0:f>IF(OR($AO26=0,$B$5&lt;&gt;"OK",$B$6&gt;0,Calendar!O$11=""),0,SUMIFS(rngEngine_V,rngEngine_B,INDEX(Team!$A$11:$A$60,$AO26),rngPMStart,"&lt;="&amp;Calendar!O$11,rngPMEnd,"&gt;="&amp;Calendar!O$11))</ns0:f>
        <ns0:v>0</ns0:v>
      </ns0:c>
      <ns0:c r="CA26" s="0">
        <ns0:f>IF(OR($AO26=0,$B$5&lt;&gt;"OK",$B$6&gt;0,Calendar!P$11=""),0,SUMIFS(rngEngine_U,rngEngine_B,INDEX(Team!$A$11:$A$60,$AO26),rngAMStart,"&lt;="&amp;Calendar!P$11,rngAMEnd,"&gt;="&amp;Calendar!P$11))</ns0:f>
        <ns0:v>0</ns0:v>
      </ns0:c>
      <ns0:c r="CB26" s="0">
        <ns0:f>IF(OR($AO26=0,$B$5&lt;&gt;"OK",$B$6&gt;0,Calendar!P$11=""),0,SUMIFS(rngEngine_V,rngEngine_B,INDEX(Team!$A$11:$A$60,$AO26),rngPMStart,"&lt;="&amp;Calendar!P$11,rngPMEnd,"&gt;="&amp;Calendar!P$11))</ns0:f>
        <ns0:v>0</ns0:v>
      </ns0:c>
      <ns0:c r="CC26" s="0">
        <ns0:f>IF(OR($AO26=0,$B$5&lt;&gt;"OK",$B$6&gt;0,Calendar!Q$11=""),0,SUMIFS(rngEngine_U,rngEngine_B,INDEX(Team!$A$11:$A$60,$AO26),rngAMStart,"&lt;="&amp;Calendar!Q$11,rngAMEnd,"&gt;="&amp;Calendar!Q$11))</ns0:f>
        <ns0:v>0</ns0:v>
      </ns0:c>
      <ns0:c r="CD26" s="0">
        <ns0:f>IF(OR($AO26=0,$B$5&lt;&gt;"OK",$B$6&gt;0,Calendar!Q$11=""),0,SUMIFS(rngEngine_V,rngEngine_B,INDEX(Team!$A$11:$A$60,$AO26),rngPMStart,"&lt;="&amp;Calendar!Q$11,rngPMEnd,"&gt;="&amp;Calendar!Q$11))</ns0:f>
        <ns0:v>0</ns0:v>
      </ns0:c>
      <ns0:c r="CE26" s="0">
        <ns0:f>IF(OR($AO26=0,$B$5&lt;&gt;"OK",$B$6&gt;0,Calendar!R$11=""),0,SUMIFS(rngEngine_U,rngEngine_B,INDEX(Team!$A$11:$A$60,$AO26),rngAMStart,"&lt;="&amp;Calendar!R$11,rngAMEnd,"&gt;="&amp;Calendar!R$11))</ns0:f>
        <ns0:v>0</ns0:v>
      </ns0:c>
      <ns0:c r="CF26" s="0">
        <ns0:f>IF(OR($AO26=0,$B$5&lt;&gt;"OK",$B$6&gt;0,Calendar!R$11=""),0,SUMIFS(rngEngine_V,rngEngine_B,INDEX(Team!$A$11:$A$60,$AO26),rngPMStart,"&lt;="&amp;Calendar!R$11,rngPMEnd,"&gt;="&amp;Calendar!R$11))</ns0:f>
        <ns0:v>0</ns0:v>
      </ns0:c>
      <ns0:c r="CG26" s="0">
        <ns0:f>IF(OR($AO26=0,$B$5&lt;&gt;"OK",$B$6&gt;0,Calendar!S$11=""),0,SUMIFS(rngEngine_U,rngEngine_B,INDEX(Team!$A$11:$A$60,$AO26),rngAMStart,"&lt;="&amp;Calendar!S$11,rngAMEnd,"&gt;="&amp;Calendar!S$11))</ns0:f>
        <ns0:v>0</ns0:v>
      </ns0:c>
      <ns0:c r="CH26" s="0">
        <ns0:f>IF(OR($AO26=0,$B$5&lt;&gt;"OK",$B$6&gt;0,Calendar!S$11=""),0,SUMIFS(rngEngine_V,rngEngine_B,INDEX(Team!$A$11:$A$60,$AO26),rngPMStart,"&lt;="&amp;Calendar!S$11,rngPMEnd,"&gt;="&amp;Calendar!S$11))</ns0:f>
        <ns0:v>0</ns0:v>
      </ns0:c>
      <ns0:c r="CI26" s="0">
        <ns0:f>IF(OR($AO26=0,$B$5&lt;&gt;"OK",$B$6&gt;0,Calendar!T$11=""),0,SUMIFS(rngEngine_U,rngEngine_B,INDEX(Team!$A$11:$A$60,$AO26),rngAMStart,"&lt;="&amp;Calendar!T$11,rngAMEnd,"&gt;="&amp;Calendar!T$11))</ns0:f>
        <ns0:v>0</ns0:v>
      </ns0:c>
      <ns0:c r="CJ26" s="0">
        <ns0:f>IF(OR($AO26=0,$B$5&lt;&gt;"OK",$B$6&gt;0,Calendar!T$11=""),0,SUMIFS(rngEngine_V,rngEngine_B,INDEX(Team!$A$11:$A$60,$AO26),rngPMStart,"&lt;="&amp;Calendar!T$11,rngPMEnd,"&gt;="&amp;Calendar!T$11))</ns0:f>
        <ns0:v>0</ns0:v>
      </ns0:c>
      <ns0:c r="CK26" s="0">
        <ns0:f>IF(OR($AO26=0,$B$5&lt;&gt;"OK",$B$6&gt;0,Calendar!U$11=""),0,SUMIFS(rngEngine_U,rngEngine_B,INDEX(Team!$A$11:$A$60,$AO26),rngAMStart,"&lt;="&amp;Calendar!U$11,rngAMEnd,"&gt;="&amp;Calendar!U$11))</ns0:f>
        <ns0:v>0</ns0:v>
      </ns0:c>
      <ns0:c r="CL26" s="0">
        <ns0:f>IF(OR($AO26=0,$B$5&lt;&gt;"OK",$B$6&gt;0,Calendar!U$11=""),0,SUMIFS(rngEngine_V,rngEngine_B,INDEX(Team!$A$11:$A$60,$AO26),rngPMStart,"&lt;="&amp;Calendar!U$11,rngPMEnd,"&gt;="&amp;Calendar!U$11))</ns0:f>
        <ns0:v>0</ns0:v>
      </ns0:c>
      <ns0:c r="CM26" s="0">
        <ns0:f>IF(OR($AO26=0,$B$5&lt;&gt;"OK",$B$6&gt;0,Calendar!V$11=""),0,SUMIFS(rngEngine_U,rngEngine_B,INDEX(Team!$A$11:$A$60,$AO26),rngAMStart,"&lt;="&amp;Calendar!V$11,rngAMEnd,"&gt;="&amp;Calendar!V$11))</ns0:f>
        <ns0:v>0</ns0:v>
      </ns0:c>
      <ns0:c r="CN26" s="0">
        <ns0:f>IF(OR($AO26=0,$B$5&lt;&gt;"OK",$B$6&gt;0,Calendar!V$11=""),0,SUMIFS(rngEngine_V,rngEngine_B,INDEX(Team!$A$11:$A$60,$AO26),rngPMStart,"&lt;="&amp;Calendar!V$11,rngPMEnd,"&gt;="&amp;Calendar!V$11))</ns0:f>
        <ns0:v>0</ns0:v>
      </ns0:c>
      <ns0:c r="CO26" s="0">
        <ns0:f>IF(OR($AO26=0,$B$5&lt;&gt;"OK",$B$6&gt;0,Calendar!W$11=""),0,SUMIFS(rngEngine_U,rngEngine_B,INDEX(Team!$A$11:$A$60,$AO26),rngAMStart,"&lt;="&amp;Calendar!W$11,rngAMEnd,"&gt;="&amp;Calendar!W$11))</ns0:f>
        <ns0:v>0</ns0:v>
      </ns0:c>
      <ns0:c r="CP26" s="0">
        <ns0:f>IF(OR($AO26=0,$B$5&lt;&gt;"OK",$B$6&gt;0,Calendar!W$11=""),0,SUMIFS(rngEngine_V,rngEngine_B,INDEX(Team!$A$11:$A$60,$AO26),rngPMStart,"&lt;="&amp;Calendar!W$11,rngPMEnd,"&gt;="&amp;Calendar!W$11))</ns0:f>
        <ns0:v>0</ns0:v>
      </ns0:c>
      <ns0:c r="CQ26" s="0">
        <ns0:f>IF(OR($AO26=0,$B$5&lt;&gt;"OK",$B$6&gt;0,Calendar!X$11=""),0,SUMIFS(rngEngine_U,rngEngine_B,INDEX(Team!$A$11:$A$60,$AO26),rngAMStart,"&lt;="&amp;Calendar!X$11,rngAMEnd,"&gt;="&amp;Calendar!X$11))</ns0:f>
        <ns0:v>0</ns0:v>
      </ns0:c>
      <ns0:c r="CR26" s="0">
        <ns0:f>IF(OR($AO26=0,$B$5&lt;&gt;"OK",$B$6&gt;0,Calendar!X$11=""),0,SUMIFS(rngEngine_V,rngEngine_B,INDEX(Team!$A$11:$A$60,$AO26),rngPMStart,"&lt;="&amp;Calendar!X$11,rngPMEnd,"&gt;="&amp;Calendar!X$11))</ns0:f>
        <ns0:v>0</ns0:v>
      </ns0:c>
      <ns0:c r="CS26" s="0">
        <ns0:f>IF(OR($AO26=0,$B$5&lt;&gt;"OK",$B$6&gt;0,Calendar!Y$11=""),0,SUMIFS(rngEngine_U,rngEngine_B,INDEX(Team!$A$11:$A$60,$AO26),rngAMStart,"&lt;="&amp;Calendar!Y$11,rngAMEnd,"&gt;="&amp;Calendar!Y$11))</ns0:f>
        <ns0:v>0</ns0:v>
      </ns0:c>
      <ns0:c r="CT26" s="0">
        <ns0:f>IF(OR($AO26=0,$B$5&lt;&gt;"OK",$B$6&gt;0,Calendar!Y$11=""),0,SUMIFS(rngEngine_V,rngEngine_B,INDEX(Team!$A$11:$A$60,$AO26),rngPMStart,"&lt;="&amp;Calendar!Y$11,rngPMEnd,"&gt;="&amp;Calendar!Y$11))</ns0:f>
        <ns0:v>0</ns0:v>
      </ns0:c>
      <ns0:c r="CU26" s="0">
        <ns0:f>IF(OR($AO26=0,$B$5&lt;&gt;"OK",$B$6&gt;0,Calendar!Z$11=""),0,SUMIFS(rngEngine_U,rngEngine_B,INDEX(Team!$A$11:$A$60,$AO26),rngAMStart,"&lt;="&amp;Calendar!Z$11,rngAMEnd,"&gt;="&amp;Calendar!Z$11))</ns0:f>
        <ns0:v>0</ns0:v>
      </ns0:c>
      <ns0:c r="CV26" s="0">
        <ns0:f>IF(OR($AO26=0,$B$5&lt;&gt;"OK",$B$6&gt;0,Calendar!Z$11=""),0,SUMIFS(rngEngine_V,rngEngine_B,INDEX(Team!$A$11:$A$60,$AO26),rngPMStart,"&lt;="&amp;Calendar!Z$11,rngPMEnd,"&gt;="&amp;Calendar!Z$11))</ns0:f>
        <ns0:v>0</ns0:v>
      </ns0:c>
      <ns0:c r="CW26" s="0">
        <ns0:f>IF(OR($AO26=0,$B$5&lt;&gt;"OK",$B$6&gt;0,Calendar!AA$11=""),0,SUMIFS(rngEngine_U,rngEngine_B,INDEX(Team!$A$11:$A$60,$AO26),rngAMStart,"&lt;="&amp;Calendar!AA$11,rngAMEnd,"&gt;="&amp;Calendar!AA$11))</ns0:f>
        <ns0:v>0</ns0:v>
      </ns0:c>
      <ns0:c r="CX26" s="0">
        <ns0:f>IF(OR($AO26=0,$B$5&lt;&gt;"OK",$B$6&gt;0,Calendar!AA$11=""),0,SUMIFS(rngEngine_V,rngEngine_B,INDEX(Team!$A$11:$A$60,$AO26),rngPMStart,"&lt;="&amp;Calendar!AA$11,rngPMEnd,"&gt;="&amp;Calendar!AA$11))</ns0:f>
        <ns0:v>0</ns0:v>
      </ns0:c>
      <ns0:c r="CY26" s="0">
        <ns0:f>IF(OR($AO26=0,$B$5&lt;&gt;"OK",$B$6&gt;0,Calendar!AB$11=""),0,SUMIFS(rngEngine_U,rngEngine_B,INDEX(Team!$A$11:$A$60,$AO26),rngAMStart,"&lt;="&amp;Calendar!AB$11,rngAMEnd,"&gt;="&amp;Calendar!AB$11))</ns0:f>
        <ns0:v>0</ns0:v>
      </ns0:c>
      <ns0:c r="CZ26" s="0">
        <ns0:f>IF(OR($AO26=0,$B$5&lt;&gt;"OK",$B$6&gt;0,Calendar!AB$11=""),0,SUMIFS(rngEngine_V,rngEngine_B,INDEX(Team!$A$11:$A$60,$AO26),rngPMStart,"&lt;="&amp;Calendar!AB$11,rngPMEnd,"&gt;="&amp;Calendar!AB$11))</ns0:f>
        <ns0:v>0</ns0:v>
      </ns0:c>
      <ns0:c r="DA26" s="0">
        <ns0:f>IF(OR($AO26=0,$B$5&lt;&gt;"OK",$B$6&gt;0,Calendar!AC$11=""),0,SUMIFS(rngEngine_U,rngEngine_B,INDEX(Team!$A$11:$A$60,$AO26),rngAMStart,"&lt;="&amp;Calendar!AC$11,rngAMEnd,"&gt;="&amp;Calendar!AC$11))</ns0:f>
        <ns0:v>0</ns0:v>
      </ns0:c>
      <ns0:c r="DB26" s="0">
        <ns0:f>IF(OR($AO26=0,$B$5&lt;&gt;"OK",$B$6&gt;0,Calendar!AC$11=""),0,SUMIFS(rngEngine_V,rngEngine_B,INDEX(Team!$A$11:$A$60,$AO26),rngPMStart,"&lt;="&amp;Calendar!AC$11,rngPMEnd,"&gt;="&amp;Calendar!AC$11))</ns0:f>
        <ns0:v>0</ns0:v>
      </ns0:c>
      <ns0:c r="DC26" s="0">
        <ns0:f>IF(OR($AO26=0,$B$5&lt;&gt;"OK",$B$6&gt;0,Calendar!AD$11=""),0,SUMIFS(rngEngine_U,rngEngine_B,INDEX(Team!$A$11:$A$60,$AO26),rngAMStart,"&lt;="&amp;Calendar!AD$11,rngAMEnd,"&gt;="&amp;Calendar!AD$11))</ns0:f>
        <ns0:v>0</ns0:v>
      </ns0:c>
      <ns0:c r="DD26" s="0">
        <ns0:f>IF(OR($AO26=0,$B$5&lt;&gt;"OK",$B$6&gt;0,Calendar!AD$11=""),0,SUMIFS(rngEngine_V,rngEngine_B,INDEX(Team!$A$11:$A$60,$AO26),rngPMStart,"&lt;="&amp;Calendar!AD$11,rngPMEnd,"&gt;="&amp;Calendar!AD$11))</ns0:f>
        <ns0:v>0</ns0:v>
      </ns0:c>
      <ns0:c r="DE26" s="0">
        <ns0:f>IF(OR($AO26=0,$B$5&lt;&gt;"OK",$B$6&gt;0,Calendar!AE$11=""),0,SUMIFS(rngEngine_U,rngEngine_B,INDEX(Team!$A$11:$A$60,$AO26),rngAMStart,"&lt;="&amp;Calendar!AE$11,rngAMEnd,"&gt;="&amp;Calendar!AE$11))</ns0:f>
        <ns0:v>0</ns0:v>
      </ns0:c>
      <ns0:c r="DF26" s="0">
        <ns0:f>IF(OR($AO26=0,$B$5&lt;&gt;"OK",$B$6&gt;0,Calendar!AE$11=""),0,SUMIFS(rngEngine_V,rngEngine_B,INDEX(Team!$A$11:$A$60,$AO26),rngPMStart,"&lt;="&amp;Calendar!AE$11,rngPMEnd,"&gt;="&amp;Calendar!AE$11))</ns0:f>
        <ns0:v>0</ns0:v>
      </ns0:c>
      <ns0:c r="DG26" s="0">
        <ns0:f>IF(OR($AO26=0,$B$5&lt;&gt;"OK",$B$6&gt;0,Calendar!AF$11=""),0,SUMIFS(rngEngine_U,rngEngine_B,INDEX(Team!$A$11:$A$60,$AO26),rngAMStart,"&lt;="&amp;Calendar!AF$11,rngAMEnd,"&gt;="&amp;Calendar!AF$11))</ns0:f>
        <ns0:v>0</ns0:v>
      </ns0:c>
      <ns0:c r="DH26" s="0">
        <ns0:f>IF(OR($AO26=0,$B$5&lt;&gt;"OK",$B$6&gt;0,Calendar!AF$11=""),0,SUMIFS(rngEngine_V,rngEngine_B,INDEX(Team!$A$11:$A$60,$AO26),rngPMStart,"&lt;="&amp;Calendar!AF$11,rngPMEnd,"&gt;="&amp;Calendar!AF$11))</ns0:f>
        <ns0:v>0</ns0:v>
      </ns0:c>
      <ns0:c r="DI26" s="0">
        <ns0:f>IF(OR($AO26=0,$B$5&lt;&gt;"OK",$B$6&gt;0,Calendar!AG$11=""),0,SUMIFS(rngEngine_U,rngEngine_B,INDEX(Team!$A$11:$A$60,$AO26),rngAMStart,"&lt;="&amp;Calendar!AG$11,rngAMEnd,"&gt;="&amp;Calendar!AG$11))</ns0:f>
        <ns0:v>0</ns0:v>
      </ns0:c>
      <ns0:c r="DJ26" s="0">
        <ns0:f>IF(OR($AO26=0,$B$5&lt;&gt;"OK",$B$6&gt;0,Calendar!AG$11=""),0,SUMIFS(rngEngine_V,rngEngine_B,INDEX(Team!$A$11:$A$60,$AO26),rngPMStart,"&lt;="&amp;Calendar!AG$11,rngPMEnd,"&gt;="&amp;Calendar!AG$11))</ns0:f>
        <ns0:v>0</ns0:v>
      </ns0:c>
      <ns0:c r="DK26" s="0">
        <ns0:f>IF(OR($AO26=0,$B$5&lt;&gt;"OK",$B$6&gt;0,Calendar!AH$11=""),0,SUMIFS(rngEngine_U,rngEngine_B,INDEX(Team!$A$11:$A$60,$AO26),rngAMStart,"&lt;="&amp;Calendar!AH$11,rngAMEnd,"&gt;="&amp;Calendar!AH$11))</ns0:f>
        <ns0:v>0</ns0:v>
      </ns0:c>
      <ns0:c r="DL26" s="0">
        <ns0:f>IF(OR($AO26=0,$B$5&lt;&gt;"OK",$B$6&gt;0,Calendar!AH$11=""),0,SUMIFS(rngEngine_V,rngEngine_B,INDEX(Team!$A$11:$A$60,$AO26),rngPMStart,"&lt;="&amp;Calendar!AH$11,rngPMEnd,"&gt;="&amp;Calendar!AH$11))</ns0:f>
        <ns0:v>0</ns0:v>
      </ns0:c>
    </ns0:row>
    <ns0:row r="27" ht="22" customHeight="1">
      <ns0:c r="A27" s="4">
        <ns0:f>IF(COUNTA(Bookings!A27:G27,Bookings!I27)=0,0,1)</ns0:f>
        <ns0:v>1</ns0:v>
      </ns0:c>
      <ns0:c r="B27" s="4" t="str">
        <ns0:f>IFERROR(TRIM(MID(Bookings!A27,FIND(" · ",Bookings!A27)+3,99)),"")</ns0:f>
        <ns0:v>EMP004</ns0:v>
      </ns0:c>
      <ns0:c r="C27" s="4">
        <ns0:f>IF(OR(B27="",LEN(B27)&gt;24,ISNUMBER(FIND(" ",B27)),ISNUMBER(FIND("*",B27)),ISNUMBER(FIND("?",B27)),ISNUMBER(FIND("~",B27))),0,IFERROR(MATCH(B27,Team!$A$11:$A$60,0),0))</ns0:f>
        <ns0:v>4</ns0:v>
      </ns0:c>
      <ns0:c r="D27" s="4" t="str">
        <ns0:f>IFERROR(IF(MID(Bookings!F27,LEN(Bookings!F27)-3,3)=" · ",RIGHT(Bookings!F27,1),""),"")</ns0:f>
        <ns0:v>H</ns0:v>
      </ns0:c>
      <ns0:c r="E27" s="4" t="str">
        <ns0:f>IFERROR(INDEX(Settings!$H$7:$H$11,MATCH(D27,Settings!$G$7:$G$11,0)),"")</ns0:f>
        <ns0:v>Yes</ns0:v>
      </ns0:c>
      <ns0:c r="F27" s="4" t="str">
        <ns0:f>IF(A27=0,"",IFERROR(IF(OR(B27="",C27=0),"CHECK employee selection",IF(INDEX(Team!$O$11:$O$60,C27)&lt;&gt;"OK","CHECK employee setup",IF(OR('_Dates'!J27=0,'_Dates'!T27=0),"CHECK date: use DD.MM.YYYY",IF('_Dates'!T27&lt;'_Dates'!J27,"CHECK end before start",IF(AND($B$6=0,OR('_Dates'!J27&lt;Settings!$B$7,'_Dates'!T27&gt;Settings!$B$8)),"CHECK split across leave years",IF(OR(NOT(OR('_Dates'!U27="Full day",'_Dates'!U27="AM",'_Dates'!U27="PM")),NOT(OR('_Dates'!V27="Full day",'_Dates'!V27="AM",'_Dates'!V27="PM"))),"CHECK Full day / AM / PM",IF(AND('_Dates'!J27='_Dates'!T27,'_Dates'!U27&lt;&gt;"Full day",'_Dates'!V27&lt;&gt;"Full day",'_Dates'!U27&lt;&gt;'_Dates'!V27),"CHECK same-day portions disagree",IF(AND($B$6=0,OR(AND('_Dates'!U27&lt;&gt;"Full day",'_Dates'!AA27=0),AND('_Dates'!V27&lt;&gt;"Full day",'_Dates'!AB27=0))),"CHECK half-day on non-working date",IF(COUNTIF(Settings!$G$7:$G$11,D27)&lt;&gt;1,"CHECK leave type",IF(AND(Bookings!G27&lt;&gt;"Approved",Bookings!G27&lt;&gt;"Pending",Bookings!G27&lt;&gt;"Cancelled"),"CHECK status","OK")))))))))),"CHECK input"))</ns0:f>
        <ns0:v>OK</ns0:v>
      </ns0:c>
      <ns0:c r="G27" s="4">
        <ns0:f>IF(OR(F27&lt;&gt;"OK",$B$6&gt;0),0,0.5*(IF(('_Dates'!X27)&lt;('_Dates'!W27),0,INT((('_Dates'!X27)-('_Dates'!W27)+1)/7)*LEN(SUBSTITUTE(W27,"O",""))+LEN(SUBSTITUTE(MID(W27&amp;W27,WEEKDAY(('_Dates'!W27),2),MOD((('_Dates'!X27)-('_Dates'!W27)+1),7)),"O",""))-COUNTIFS(INDEX(AllClosureRows,C27,0),"&gt;="&amp;('_Dates'!W27),INDEX(AllClosureRows,C27,0),"&lt;="&amp;('_Dates'!X27)))+IF(('_Dates'!Z27)&lt;('_Dates'!Y27),0,INT((('_Dates'!Z27)-('_Dates'!Y27)+1)/7)*LEN(SUBSTITUTE(W27,"O",""))+LEN(SUBSTITUTE(MID(W27&amp;W27,WEEKDAY(('_Dates'!Y27),2),MOD((('_Dates'!Z27)-('_Dates'!Y27)+1),7)),"O",""))-COUNTIFS(INDEX(AllClosureRows,C27,0),"&gt;="&amp;('_Dates'!Y27),INDEX(AllClosureRows,C27,0),"&lt;="&amp;('_Dates'!Z27)))))</ns0:f>
        <ns0:v>1.5</ns0:v>
      </ns0:c>
      <ns0:c r="H27" s="4">
        <ns0:f>IF(OR(F27&lt;&gt;"OK",$B$6&gt;0),0,0.5*(IF((MIN('_Dates'!X27,Settings!$B$9))&lt;('_Dates'!W27),0,INT(((MIN('_Dates'!X27,Settings!$B$9))-('_Dates'!W27)+1)/7)*LEN(SUBSTITUTE(W27,"O",""))+LEN(SUBSTITUTE(MID(W27&amp;W27,WEEKDAY(('_Dates'!W27),2),MOD(((MIN('_Dates'!X27,Settings!$B$9))-('_Dates'!W27)+1),7)),"O",""))-COUNTIFS(INDEX(AllClosureRows,C27,0),"&gt;="&amp;('_Dates'!W27),INDEX(AllClosureRows,C27,0),"&lt;="&amp;(MIN('_Dates'!X27,Settings!$B$9))))+IF((MIN('_Dates'!Z27,Settings!$B$9))&lt;('_Dates'!Y27),0,INT(((MIN('_Dates'!Z27,Settings!$B$9))-('_Dates'!Y27)+1)/7)*LEN(SUBSTITUTE(W27,"O",""))+LEN(SUBSTITUTE(MID(W27&amp;W27,WEEKDAY(('_Dates'!Y27),2),MOD(((MIN('_Dates'!Z27,Settings!$B$9))-('_Dates'!Y27)+1),7)),"O",""))-COUNTIFS(INDEX(AllClosureRows,C27,0),"&gt;="&amp;('_Dates'!Y27),INDEX(AllClosureRows,C27,0),"&lt;="&amp;(MIN('_Dates'!Z27,Settings!$B$9))))))</ns0:f>
        <ns0:v>0</ns0:v>
      </ns0:c>
      <ns0:c r="I27" s="4">
        <ns0:f>MAX(0,G27-H27)</ns0:f>
        <ns0:v>1.5</ns0:v>
      </ns0:c>
      <ns0:c r="J27" s="4">
        <ns0:f>IF(OR(A27=0,F27&lt;&gt;"OK",Bookings!G27="Cancelled",$B$6&gt;0),0,IF('_Dates'!AC27=1,MAX(0,COUNTIFS(rngEngine_B,B27,rngAMStart,"&lt;="&amp;'_Dates'!X27,rngAMEnd,"&gt;="&amp;'_Dates'!W27,rngAMActive,1,rngEngine_F,"OK",rngBookings_F,"&lt;&gt;Cancelled")-1),0)+IF('_Dates'!AD27=1,MAX(0,COUNTIFS(rngEngine_B,B27,rngPMStart,"&lt;="&amp;'_Dates'!Z27,rngPMEnd,"&gt;="&amp;'_Dates'!Y27,rngPMActive,1,rngEngine_F,"OK",rngBookings_F,"&lt;&gt;Cancelled")-1),0))</ns0:f>
        <ns0:v>0</ns0:v>
      </ns0:c>
      <ns0:c r="K27" s="0" t="str">
        <ns0:f>IF(A27=0,"",IF(F27&lt;&gt;"OK",F27,IF(J27&gt;0,"CHECK overlapping entry",IF(AND($B$6=0,G27&lt;=0,Bookings!G27&lt;&gt;"Cancelled"),"CHECK no working days",IF(Bookings!G27="Cancelled","Cancelled","OK")))))</ns0:f>
        <ns0:v>OK</ns0:v>
      </ns0:c>
      <ns0:c r="L27" s="0">
        <ns0:f>IF(LEFT(K27,5)="CHECK",1,0)</ns0:f>
        <ns0:v>0</ns0:v>
      </ns0:c>
      <ns0:c r="M27" s="0">
        <ns0:f>IF(AND(L27=1,OR(C27=0,IFERROR(INDEX($X$11:$X$60,C27),0)=0)),1,0)</ns0:f>
        <ns0:v>0</ns0:v>
      </ns0:c>
      <ns0:c r="N27" s="0">
        <ns0:f>IF(OR(A27=0,L27&gt;0,$B$6&gt;0,Bookings!G27="Cancelled"),0,G27)</ns0:f>
        <ns0:v>1.5</ns0:v>
      </ns0:c>
      <ns0:c r="O27" s="0">
        <ns0:f>IF(AND(Bookings!G27="Approved",E27="Yes"),N27,0)</ns0:f>
        <ns0:v>1.5</ns0:v>
      </ns0:c>
      <ns0:c r="P27" s="0">
        <ns0:f>IF(AND(Bookings!G27="Approved",E27="Yes",L27=0,$B$6=0),H27,0)</ns0:f>
        <ns0:v>0</ns0:v>
      </ns0:c>
      <ns0:c r="Q27" s="0">
        <ns0:f>IF(AND(Bookings!G27="Approved",E27="Yes",L27=0,$B$6=0),I27,0)</ns0:f>
        <ns0:v>1.5</ns0:v>
      </ns0:c>
      <ns0:c r="R27" s="0">
        <ns0:f>IF(AND(Bookings!G27="Pending",E27="Yes"),N27,0)</ns0:f>
        <ns0:v>0</ns0:v>
      </ns0:c>
      <ns0:c r="S27" s="0">
        <ns0:f>IF(AND(Bookings!G27="Approved",E27="No"),N27,0)</ns0:f>
        <ns0:v>0</ns0:v>
      </ns0:c>
      <ns0:c r="T27" s="0">
        <ns0:f>IFERROR(MATCH(D27,Settings!$G$7:$G$11,0),0)</ns0:f>
        <ns0:v>1</ns0:v>
      </ns0:c>
      <ns0:c r="U27" s="0">
        <ns0:f>IF(N27&gt;0,T27+IF(Bookings!G27="Pending",10,0),0)</ns0:f>
        <ns0:v>1</ns0:v>
      </ns0:c>
      <ns0:c r="V27" s="0">
        <ns0:f>U27</ns0:f>
        <ns0:v>1</ns0:v>
      </ns0:c>
      <ns0:c r="W27" s="0" t="str">
        <ns0:f>IF(C27=0,"",INDEX($AP$11:$AP$60,C27))</ns0:f>
        <ns0:v>WWWWWOO</ns0:v>
      </ns0:c>
      <ns0:c r="X27" s="0">
        <ns0:f>IF(COUNTA(Team!B27:D27)=0,0,1)</ns0:f>
        <ns0:v>0</ns0:v>
      </ns0:c>
      <ns0:c r="Y27" s="0" t="str">
        <ns0:f>IF(X27=0,"",IF(Team!B27="","[Unnamed]",Team!B27)&amp;" · "&amp;Team!A27)</ns0:f>
        <ns0:v/>
      </ns0:c>
      <ns0:c r="Z27" s="0">
        <ns0:f>IF(X27=0,0,COUNTIF(Team!H27:N27,"Work"))</ns0:f>
        <ns0:v>0</ns0:v>
      </ns0:c>
      <ns0:c r="AA27" s="0">
        <ns0:f>IF(LEFT(Team!O27,5)="CHECK",1,0)</ns0:f>
        <ns0:v>0</ns0:v>
      </ns0:c>
      <ns0:c r="AB27" s="0">
        <ns0:f>IF(X27=0,0,SUMIFS(rngEngine_L,rngEngine_B,Team!A27))</ns0:f>
        <ns0:v>0</ns0:v>
      </ns0:c>
      <ns0:c r="AC27" s="0" t="str">
        <ns0:f>IF(AND(X27=1,OR(Calendar!$C$7="All teams",Team!C27=Calendar!$C$7)),MAX($AC$10:AC26)+1,"")</ns0:f>
        <ns0:v/>
      </ns0:c>
      <ns0:c r="AD27" s="0" t="str">
        <ns0:f>IF(OR(X27=0,Team!C27="",COUNTIF(Team!$C$11:C27,Team!C27)&gt;1),"",MAX($AD$10:AD26)+1)</ns0:f>
        <ns0:v/>
      </ns0:c>
      <ns0:c r="AE27" s="0" t="str">
        <ns0:f>IFERROR(INDEX(Team!$C$11:$C$60,MATCH(ROW()-10,$AD$11:$AD$60,0)),"")</ns0:f>
        <ns0:v/>
      </ns0:c>
      <ns0:c r="AF27" s="0" t="str">
        <ns0:f>AE27</ns0:f>
        <ns0:v/>
      </ns0:c>
      <ns0:c r="AG27" s="0">
        <ns0:f>IF(X27=0,0,IFERROR(Team!F27+Team!G27,0))</ns0:f>
        <ns0:v>0</ns0:v>
      </ns0:c>
      <ns0:c r="AH27" s="0">
        <ns0:f>IF(X27=0,0,SUMIFS(rngEngine_P,rngEngine_B,Team!A27))</ns0:f>
        <ns0:v>0</ns0:v>
      </ns0:c>
      <ns0:c r="AI27" s="0">
        <ns0:f>IF(X27=0,0,SUMIFS(rngEngine_Q,rngEngine_B,Team!A27))</ns0:f>
        <ns0:v>0</ns0:v>
      </ns0:c>
      <ns0:c r="AJ27" s="0">
        <ns0:f>IF(X27=0,0,SUMIFS(rngEngine_R,rngEngine_B,Team!A27))</ns0:f>
        <ns0:v>0</ns0:v>
      </ns0:c>
      <ns0:c r="AK27" s="0">
        <ns0:f>IF(X27=0,0,SUMIFS(rngEngine_S,rngEngine_B,Team!A27))</ns0:f>
        <ns0:v>0</ns0:v>
      </ns0:c>
      <ns0:c r="AL27" s="0">
        <ns0:f>AH27+AI27</ns0:f>
        <ns0:v>0</ns0:v>
      </ns0:c>
      <ns0:c r="AM27" s="0" t="str">
        <ns0:f>IF(X27=0,"",IF(AA27&gt;0,"CHECK team setup",IF(AB27&gt;0,"CHECK "&amp;AB27&amp;" booking(s)","OK")))</ns0:f>
        <ns0:v/>
      </ns0:c>
      <ns0:c r="AN27" s="0" t="str">
        <ns0:f>IF(X27=0,"",IF(OR($B$6&gt;0,AM27&lt;&gt;"OK"),"REVIEW",AG27-AL27))</ns0:f>
        <ns0:v/>
      </ns0:c>
      <ns0:c r="AO27" s="0">
        <ns0:f>IFERROR(MATCH(ROW()-11,$AC$11:$AC$60,0),0)</ns0:f>
        <ns0:v>0</ns0:v>
      </ns0:c>
      <ns0:c r="AP27" s="0" t="str">
        <ns0:f>IF(Team!H27="Work","W","O")&amp;IF(Team!I27="Work","W","O")&amp;IF(Team!J27="Work","W","O")&amp;IF(Team!K27="Work","W","O")&amp;IF(Team!L27="Work","W","O")&amp;IF(Team!M27="Work","W","O")&amp;IF(Team!N27="Work","W","O")</ns0:f>
        <ns0:v>WWWWWOO</ns0:v>
      </ns0:c>
      <ns0:c r="AR27" s="0">
        <ns0:f>IFERROR(IF(ISNUMBER(Settings!F27),WEEKDAY(Settings!F27,2),0),0)</ns0:f>
        <ns0:v>0</ns0:v>
      </ns0:c>
      <ns0:c r="BC27" s="0">
        <ns0:f>IF(OR($AO27=0,$B$5&lt;&gt;"OK",$B$6&gt;0,Calendar!D$11=""),0,SUMIFS(rngEngine_U,rngEngine_B,INDEX(Team!$A$11:$A$60,$AO27),rngAMStart,"&lt;="&amp;Calendar!D$11,rngAMEnd,"&gt;="&amp;Calendar!D$11))</ns0:f>
        <ns0:v>0</ns0:v>
      </ns0:c>
      <ns0:c r="BD27" s="0">
        <ns0:f>IF(OR($AO27=0,$B$5&lt;&gt;"OK",$B$6&gt;0,Calendar!D$11=""),0,SUMIFS(rngEngine_V,rngEngine_B,INDEX(Team!$A$11:$A$60,$AO27),rngPMStart,"&lt;="&amp;Calendar!D$11,rngPMEnd,"&gt;="&amp;Calendar!D$11))</ns0:f>
        <ns0:v>0</ns0:v>
      </ns0:c>
      <ns0:c r="BE27" s="0">
        <ns0:f>IF(OR($AO27=0,$B$5&lt;&gt;"OK",$B$6&gt;0,Calendar!E$11=""),0,SUMIFS(rngEngine_U,rngEngine_B,INDEX(Team!$A$11:$A$60,$AO27),rngAMStart,"&lt;="&amp;Calendar!E$11,rngAMEnd,"&gt;="&amp;Calendar!E$11))</ns0:f>
        <ns0:v>0</ns0:v>
      </ns0:c>
      <ns0:c r="BF27" s="0">
        <ns0:f>IF(OR($AO27=0,$B$5&lt;&gt;"OK",$B$6&gt;0,Calendar!E$11=""),0,SUMIFS(rngEngine_V,rngEngine_B,INDEX(Team!$A$11:$A$60,$AO27),rngPMStart,"&lt;="&amp;Calendar!E$11,rngPMEnd,"&gt;="&amp;Calendar!E$11))</ns0:f>
        <ns0:v>0</ns0:v>
      </ns0:c>
      <ns0:c r="BG27" s="0">
        <ns0:f>IF(OR($AO27=0,$B$5&lt;&gt;"OK",$B$6&gt;0,Calendar!F$11=""),0,SUMIFS(rngEngine_U,rngEngine_B,INDEX(Team!$A$11:$A$60,$AO27),rngAMStart,"&lt;="&amp;Calendar!F$11,rngAMEnd,"&gt;="&amp;Calendar!F$11))</ns0:f>
        <ns0:v>0</ns0:v>
      </ns0:c>
      <ns0:c r="BH27" s="0">
        <ns0:f>IF(OR($AO27=0,$B$5&lt;&gt;"OK",$B$6&gt;0,Calendar!F$11=""),0,SUMIFS(rngEngine_V,rngEngine_B,INDEX(Team!$A$11:$A$60,$AO27),rngPMStart,"&lt;="&amp;Calendar!F$11,rngPMEnd,"&gt;="&amp;Calendar!F$11))</ns0:f>
        <ns0:v>0</ns0:v>
      </ns0:c>
      <ns0:c r="BI27" s="0">
        <ns0:f>IF(OR($AO27=0,$B$5&lt;&gt;"OK",$B$6&gt;0,Calendar!G$11=""),0,SUMIFS(rngEngine_U,rngEngine_B,INDEX(Team!$A$11:$A$60,$AO27),rngAMStart,"&lt;="&amp;Calendar!G$11,rngAMEnd,"&gt;="&amp;Calendar!G$11))</ns0:f>
        <ns0:v>0</ns0:v>
      </ns0:c>
      <ns0:c r="BJ27" s="0">
        <ns0:f>IF(OR($AO27=0,$B$5&lt;&gt;"OK",$B$6&gt;0,Calendar!G$11=""),0,SUMIFS(rngEngine_V,rngEngine_B,INDEX(Team!$A$11:$A$60,$AO27),rngPMStart,"&lt;="&amp;Calendar!G$11,rngPMEnd,"&gt;="&amp;Calendar!G$11))</ns0:f>
        <ns0:v>0</ns0:v>
      </ns0:c>
      <ns0:c r="BK27" s="0">
        <ns0:f>IF(OR($AO27=0,$B$5&lt;&gt;"OK",$B$6&gt;0,Calendar!H$11=""),0,SUMIFS(rngEngine_U,rngEngine_B,INDEX(Team!$A$11:$A$60,$AO27),rngAMStart,"&lt;="&amp;Calendar!H$11,rngAMEnd,"&gt;="&amp;Calendar!H$11))</ns0:f>
        <ns0:v>0</ns0:v>
      </ns0:c>
      <ns0:c r="BL27" s="0">
        <ns0:f>IF(OR($AO27=0,$B$5&lt;&gt;"OK",$B$6&gt;0,Calendar!H$11=""),0,SUMIFS(rngEngine_V,rngEngine_B,INDEX(Team!$A$11:$A$60,$AO27),rngPMStart,"&lt;="&amp;Calendar!H$11,rngPMEnd,"&gt;="&amp;Calendar!H$11))</ns0:f>
        <ns0:v>0</ns0:v>
      </ns0:c>
      <ns0:c r="BM27" s="0">
        <ns0:f>IF(OR($AO27=0,$B$5&lt;&gt;"OK",$B$6&gt;0,Calendar!I$11=""),0,SUMIFS(rngEngine_U,rngEngine_B,INDEX(Team!$A$11:$A$60,$AO27),rngAMStart,"&lt;="&amp;Calendar!I$11,rngAMEnd,"&gt;="&amp;Calendar!I$11))</ns0:f>
        <ns0:v>0</ns0:v>
      </ns0:c>
      <ns0:c r="BN27" s="0">
        <ns0:f>IF(OR($AO27=0,$B$5&lt;&gt;"OK",$B$6&gt;0,Calendar!I$11=""),0,SUMIFS(rngEngine_V,rngEngine_B,INDEX(Team!$A$11:$A$60,$AO27),rngPMStart,"&lt;="&amp;Calendar!I$11,rngPMEnd,"&gt;="&amp;Calendar!I$11))</ns0:f>
        <ns0:v>0</ns0:v>
      </ns0:c>
      <ns0:c r="BO27" s="0">
        <ns0:f>IF(OR($AO27=0,$B$5&lt;&gt;"OK",$B$6&gt;0,Calendar!J$11=""),0,SUMIFS(rngEngine_U,rngEngine_B,INDEX(Team!$A$11:$A$60,$AO27),rngAMStart,"&lt;="&amp;Calendar!J$11,rngAMEnd,"&gt;="&amp;Calendar!J$11))</ns0:f>
        <ns0:v>0</ns0:v>
      </ns0:c>
      <ns0:c r="BP27" s="0">
        <ns0:f>IF(OR($AO27=0,$B$5&lt;&gt;"OK",$B$6&gt;0,Calendar!J$11=""),0,SUMIFS(rngEngine_V,rngEngine_B,INDEX(Team!$A$11:$A$60,$AO27),rngPMStart,"&lt;="&amp;Calendar!J$11,rngPMEnd,"&gt;="&amp;Calendar!J$11))</ns0:f>
        <ns0:v>0</ns0:v>
      </ns0:c>
      <ns0:c r="BQ27" s="0">
        <ns0:f>IF(OR($AO27=0,$B$5&lt;&gt;"OK",$B$6&gt;0,Calendar!K$11=""),0,SUMIFS(rngEngine_U,rngEngine_B,INDEX(Team!$A$11:$A$60,$AO27),rngAMStart,"&lt;="&amp;Calendar!K$11,rngAMEnd,"&gt;="&amp;Calendar!K$11))</ns0:f>
        <ns0:v>0</ns0:v>
      </ns0:c>
      <ns0:c r="BR27" s="0">
        <ns0:f>IF(OR($AO27=0,$B$5&lt;&gt;"OK",$B$6&gt;0,Calendar!K$11=""),0,SUMIFS(rngEngine_V,rngEngine_B,INDEX(Team!$A$11:$A$60,$AO27),rngPMStart,"&lt;="&amp;Calendar!K$11,rngPMEnd,"&gt;="&amp;Calendar!K$11))</ns0:f>
        <ns0:v>0</ns0:v>
      </ns0:c>
      <ns0:c r="BS27" s="0">
        <ns0:f>IF(OR($AO27=0,$B$5&lt;&gt;"OK",$B$6&gt;0,Calendar!L$11=""),0,SUMIFS(rngEngine_U,rngEngine_B,INDEX(Team!$A$11:$A$60,$AO27),rngAMStart,"&lt;="&amp;Calendar!L$11,rngAMEnd,"&gt;="&amp;Calendar!L$11))</ns0:f>
        <ns0:v>0</ns0:v>
      </ns0:c>
      <ns0:c r="BT27" s="0">
        <ns0:f>IF(OR($AO27=0,$B$5&lt;&gt;"OK",$B$6&gt;0,Calendar!L$11=""),0,SUMIFS(rngEngine_V,rngEngine_B,INDEX(Team!$A$11:$A$60,$AO27),rngPMStart,"&lt;="&amp;Calendar!L$11,rngPMEnd,"&gt;="&amp;Calendar!L$11))</ns0:f>
        <ns0:v>0</ns0:v>
      </ns0:c>
      <ns0:c r="BU27" s="0">
        <ns0:f>IF(OR($AO27=0,$B$5&lt;&gt;"OK",$B$6&gt;0,Calendar!M$11=""),0,SUMIFS(rngEngine_U,rngEngine_B,INDEX(Team!$A$11:$A$60,$AO27),rngAMStart,"&lt;="&amp;Calendar!M$11,rngAMEnd,"&gt;="&amp;Calendar!M$11))</ns0:f>
        <ns0:v>0</ns0:v>
      </ns0:c>
      <ns0:c r="BV27" s="0">
        <ns0:f>IF(OR($AO27=0,$B$5&lt;&gt;"OK",$B$6&gt;0,Calendar!M$11=""),0,SUMIFS(rngEngine_V,rngEngine_B,INDEX(Team!$A$11:$A$60,$AO27),rngPMStart,"&lt;="&amp;Calendar!M$11,rngPMEnd,"&gt;="&amp;Calendar!M$11))</ns0:f>
        <ns0:v>0</ns0:v>
      </ns0:c>
      <ns0:c r="BW27" s="0">
        <ns0:f>IF(OR($AO27=0,$B$5&lt;&gt;"OK",$B$6&gt;0,Calendar!N$11=""),0,SUMIFS(rngEngine_U,rngEngine_B,INDEX(Team!$A$11:$A$60,$AO27),rngAMStart,"&lt;="&amp;Calendar!N$11,rngAMEnd,"&gt;="&amp;Calendar!N$11))</ns0:f>
        <ns0:v>0</ns0:v>
      </ns0:c>
      <ns0:c r="BX27" s="0">
        <ns0:f>IF(OR($AO27=0,$B$5&lt;&gt;"OK",$B$6&gt;0,Calendar!N$11=""),0,SUMIFS(rngEngine_V,rngEngine_B,INDEX(Team!$A$11:$A$60,$AO27),rngPMStart,"&lt;="&amp;Calendar!N$11,rngPMEnd,"&gt;="&amp;Calendar!N$11))</ns0:f>
        <ns0:v>0</ns0:v>
      </ns0:c>
      <ns0:c r="BY27" s="0">
        <ns0:f>IF(OR($AO27=0,$B$5&lt;&gt;"OK",$B$6&gt;0,Calendar!O$11=""),0,SUMIFS(rngEngine_U,rngEngine_B,INDEX(Team!$A$11:$A$60,$AO27),rngAMStart,"&lt;="&amp;Calendar!O$11,rngAMEnd,"&gt;="&amp;Calendar!O$11))</ns0:f>
        <ns0:v>0</ns0:v>
      </ns0:c>
      <ns0:c r="BZ27" s="0">
        <ns0:f>IF(OR($AO27=0,$B$5&lt;&gt;"OK",$B$6&gt;0,Calendar!O$11=""),0,SUMIFS(rngEngine_V,rngEngine_B,INDEX(Team!$A$11:$A$60,$AO27),rngPMStart,"&lt;="&amp;Calendar!O$11,rngPMEnd,"&gt;="&amp;Calendar!O$11))</ns0:f>
        <ns0:v>0</ns0:v>
      </ns0:c>
      <ns0:c r="CA27" s="0">
        <ns0:f>IF(OR($AO27=0,$B$5&lt;&gt;"OK",$B$6&gt;0,Calendar!P$11=""),0,SUMIFS(rngEngine_U,rngEngine_B,INDEX(Team!$A$11:$A$60,$AO27),rngAMStart,"&lt;="&amp;Calendar!P$11,rngAMEnd,"&gt;="&amp;Calendar!P$11))</ns0:f>
        <ns0:v>0</ns0:v>
      </ns0:c>
      <ns0:c r="CB27" s="0">
        <ns0:f>IF(OR($AO27=0,$B$5&lt;&gt;"OK",$B$6&gt;0,Calendar!P$11=""),0,SUMIFS(rngEngine_V,rngEngine_B,INDEX(Team!$A$11:$A$60,$AO27),rngPMStart,"&lt;="&amp;Calendar!P$11,rngPMEnd,"&gt;="&amp;Calendar!P$11))</ns0:f>
        <ns0:v>0</ns0:v>
      </ns0:c>
      <ns0:c r="CC27" s="0">
        <ns0:f>IF(OR($AO27=0,$B$5&lt;&gt;"OK",$B$6&gt;0,Calendar!Q$11=""),0,SUMIFS(rngEngine_U,rngEngine_B,INDEX(Team!$A$11:$A$60,$AO27),rngAMStart,"&lt;="&amp;Calendar!Q$11,rngAMEnd,"&gt;="&amp;Calendar!Q$11))</ns0:f>
        <ns0:v>0</ns0:v>
      </ns0:c>
      <ns0:c r="CD27" s="0">
        <ns0:f>IF(OR($AO27=0,$B$5&lt;&gt;"OK",$B$6&gt;0,Calendar!Q$11=""),0,SUMIFS(rngEngine_V,rngEngine_B,INDEX(Team!$A$11:$A$60,$AO27),rngPMStart,"&lt;="&amp;Calendar!Q$11,rngPMEnd,"&gt;="&amp;Calendar!Q$11))</ns0:f>
        <ns0:v>0</ns0:v>
      </ns0:c>
      <ns0:c r="CE27" s="0">
        <ns0:f>IF(OR($AO27=0,$B$5&lt;&gt;"OK",$B$6&gt;0,Calendar!R$11=""),0,SUMIFS(rngEngine_U,rngEngine_B,INDEX(Team!$A$11:$A$60,$AO27),rngAMStart,"&lt;="&amp;Calendar!R$11,rngAMEnd,"&gt;="&amp;Calendar!R$11))</ns0:f>
        <ns0:v>0</ns0:v>
      </ns0:c>
      <ns0:c r="CF27" s="0">
        <ns0:f>IF(OR($AO27=0,$B$5&lt;&gt;"OK",$B$6&gt;0,Calendar!R$11=""),0,SUMIFS(rngEngine_V,rngEngine_B,INDEX(Team!$A$11:$A$60,$AO27),rngPMStart,"&lt;="&amp;Calendar!R$11,rngPMEnd,"&gt;="&amp;Calendar!R$11))</ns0:f>
        <ns0:v>0</ns0:v>
      </ns0:c>
      <ns0:c r="CG27" s="0">
        <ns0:f>IF(OR($AO27=0,$B$5&lt;&gt;"OK",$B$6&gt;0,Calendar!S$11=""),0,SUMIFS(rngEngine_U,rngEngine_B,INDEX(Team!$A$11:$A$60,$AO27),rngAMStart,"&lt;="&amp;Calendar!S$11,rngAMEnd,"&gt;="&amp;Calendar!S$11))</ns0:f>
        <ns0:v>0</ns0:v>
      </ns0:c>
      <ns0:c r="CH27" s="0">
        <ns0:f>IF(OR($AO27=0,$B$5&lt;&gt;"OK",$B$6&gt;0,Calendar!S$11=""),0,SUMIFS(rngEngine_V,rngEngine_B,INDEX(Team!$A$11:$A$60,$AO27),rngPMStart,"&lt;="&amp;Calendar!S$11,rngPMEnd,"&gt;="&amp;Calendar!S$11))</ns0:f>
        <ns0:v>0</ns0:v>
      </ns0:c>
      <ns0:c r="CI27" s="0">
        <ns0:f>IF(OR($AO27=0,$B$5&lt;&gt;"OK",$B$6&gt;0,Calendar!T$11=""),0,SUMIFS(rngEngine_U,rngEngine_B,INDEX(Team!$A$11:$A$60,$AO27),rngAMStart,"&lt;="&amp;Calendar!T$11,rngAMEnd,"&gt;="&amp;Calendar!T$11))</ns0:f>
        <ns0:v>0</ns0:v>
      </ns0:c>
      <ns0:c r="CJ27" s="0">
        <ns0:f>IF(OR($AO27=0,$B$5&lt;&gt;"OK",$B$6&gt;0,Calendar!T$11=""),0,SUMIFS(rngEngine_V,rngEngine_B,INDEX(Team!$A$11:$A$60,$AO27),rngPMStart,"&lt;="&amp;Calendar!T$11,rngPMEnd,"&gt;="&amp;Calendar!T$11))</ns0:f>
        <ns0:v>0</ns0:v>
      </ns0:c>
      <ns0:c r="CK27" s="0">
        <ns0:f>IF(OR($AO27=0,$B$5&lt;&gt;"OK",$B$6&gt;0,Calendar!U$11=""),0,SUMIFS(rngEngine_U,rngEngine_B,INDEX(Team!$A$11:$A$60,$AO27),rngAMStart,"&lt;="&amp;Calendar!U$11,rngAMEnd,"&gt;="&amp;Calendar!U$11))</ns0:f>
        <ns0:v>0</ns0:v>
      </ns0:c>
      <ns0:c r="CL27" s="0">
        <ns0:f>IF(OR($AO27=0,$B$5&lt;&gt;"OK",$B$6&gt;0,Calendar!U$11=""),0,SUMIFS(rngEngine_V,rngEngine_B,INDEX(Team!$A$11:$A$60,$AO27),rngPMStart,"&lt;="&amp;Calendar!U$11,rngPMEnd,"&gt;="&amp;Calendar!U$11))</ns0:f>
        <ns0:v>0</ns0:v>
      </ns0:c>
      <ns0:c r="CM27" s="0">
        <ns0:f>IF(OR($AO27=0,$B$5&lt;&gt;"OK",$B$6&gt;0,Calendar!V$11=""),0,SUMIFS(rngEngine_U,rngEngine_B,INDEX(Team!$A$11:$A$60,$AO27),rngAMStart,"&lt;="&amp;Calendar!V$11,rngAMEnd,"&gt;="&amp;Calendar!V$11))</ns0:f>
        <ns0:v>0</ns0:v>
      </ns0:c>
      <ns0:c r="CN27" s="0">
        <ns0:f>IF(OR($AO27=0,$B$5&lt;&gt;"OK",$B$6&gt;0,Calendar!V$11=""),0,SUMIFS(rngEngine_V,rngEngine_B,INDEX(Team!$A$11:$A$60,$AO27),rngPMStart,"&lt;="&amp;Calendar!V$11,rngPMEnd,"&gt;="&amp;Calendar!V$11))</ns0:f>
        <ns0:v>0</ns0:v>
      </ns0:c>
      <ns0:c r="CO27" s="0">
        <ns0:f>IF(OR($AO27=0,$B$5&lt;&gt;"OK",$B$6&gt;0,Calendar!W$11=""),0,SUMIFS(rngEngine_U,rngEngine_B,INDEX(Team!$A$11:$A$60,$AO27),rngAMStart,"&lt;="&amp;Calendar!W$11,rngAMEnd,"&gt;="&amp;Calendar!W$11))</ns0:f>
        <ns0:v>0</ns0:v>
      </ns0:c>
      <ns0:c r="CP27" s="0">
        <ns0:f>IF(OR($AO27=0,$B$5&lt;&gt;"OK",$B$6&gt;0,Calendar!W$11=""),0,SUMIFS(rngEngine_V,rngEngine_B,INDEX(Team!$A$11:$A$60,$AO27),rngPMStart,"&lt;="&amp;Calendar!W$11,rngPMEnd,"&gt;="&amp;Calendar!W$11))</ns0:f>
        <ns0:v>0</ns0:v>
      </ns0:c>
      <ns0:c r="CQ27" s="0">
        <ns0:f>IF(OR($AO27=0,$B$5&lt;&gt;"OK",$B$6&gt;0,Calendar!X$11=""),0,SUMIFS(rngEngine_U,rngEngine_B,INDEX(Team!$A$11:$A$60,$AO27),rngAMStart,"&lt;="&amp;Calendar!X$11,rngAMEnd,"&gt;="&amp;Calendar!X$11))</ns0:f>
        <ns0:v>0</ns0:v>
      </ns0:c>
      <ns0:c r="CR27" s="0">
        <ns0:f>IF(OR($AO27=0,$B$5&lt;&gt;"OK",$B$6&gt;0,Calendar!X$11=""),0,SUMIFS(rngEngine_V,rngEngine_B,INDEX(Team!$A$11:$A$60,$AO27),rngPMStart,"&lt;="&amp;Calendar!X$11,rngPMEnd,"&gt;="&amp;Calendar!X$11))</ns0:f>
        <ns0:v>0</ns0:v>
      </ns0:c>
      <ns0:c r="CS27" s="0">
        <ns0:f>IF(OR($AO27=0,$B$5&lt;&gt;"OK",$B$6&gt;0,Calendar!Y$11=""),0,SUMIFS(rngEngine_U,rngEngine_B,INDEX(Team!$A$11:$A$60,$AO27),rngAMStart,"&lt;="&amp;Calendar!Y$11,rngAMEnd,"&gt;="&amp;Calendar!Y$11))</ns0:f>
        <ns0:v>0</ns0:v>
      </ns0:c>
      <ns0:c r="CT27" s="0">
        <ns0:f>IF(OR($AO27=0,$B$5&lt;&gt;"OK",$B$6&gt;0,Calendar!Y$11=""),0,SUMIFS(rngEngine_V,rngEngine_B,INDEX(Team!$A$11:$A$60,$AO27),rngPMStart,"&lt;="&amp;Calendar!Y$11,rngPMEnd,"&gt;="&amp;Calendar!Y$11))</ns0:f>
        <ns0:v>0</ns0:v>
      </ns0:c>
      <ns0:c r="CU27" s="0">
        <ns0:f>IF(OR($AO27=0,$B$5&lt;&gt;"OK",$B$6&gt;0,Calendar!Z$11=""),0,SUMIFS(rngEngine_U,rngEngine_B,INDEX(Team!$A$11:$A$60,$AO27),rngAMStart,"&lt;="&amp;Calendar!Z$11,rngAMEnd,"&gt;="&amp;Calendar!Z$11))</ns0:f>
        <ns0:v>0</ns0:v>
      </ns0:c>
      <ns0:c r="CV27" s="0">
        <ns0:f>IF(OR($AO27=0,$B$5&lt;&gt;"OK",$B$6&gt;0,Calendar!Z$11=""),0,SUMIFS(rngEngine_V,rngEngine_B,INDEX(Team!$A$11:$A$60,$AO27),rngPMStart,"&lt;="&amp;Calendar!Z$11,rngPMEnd,"&gt;="&amp;Calendar!Z$11))</ns0:f>
        <ns0:v>0</ns0:v>
      </ns0:c>
      <ns0:c r="CW27" s="0">
        <ns0:f>IF(OR($AO27=0,$B$5&lt;&gt;"OK",$B$6&gt;0,Calendar!AA$11=""),0,SUMIFS(rngEngine_U,rngEngine_B,INDEX(Team!$A$11:$A$60,$AO27),rngAMStart,"&lt;="&amp;Calendar!AA$11,rngAMEnd,"&gt;="&amp;Calendar!AA$11))</ns0:f>
        <ns0:v>0</ns0:v>
      </ns0:c>
      <ns0:c r="CX27" s="0">
        <ns0:f>IF(OR($AO27=0,$B$5&lt;&gt;"OK",$B$6&gt;0,Calendar!AA$11=""),0,SUMIFS(rngEngine_V,rngEngine_B,INDEX(Team!$A$11:$A$60,$AO27),rngPMStart,"&lt;="&amp;Calendar!AA$11,rngPMEnd,"&gt;="&amp;Calendar!AA$11))</ns0:f>
        <ns0:v>0</ns0:v>
      </ns0:c>
      <ns0:c r="CY27" s="0">
        <ns0:f>IF(OR($AO27=0,$B$5&lt;&gt;"OK",$B$6&gt;0,Calendar!AB$11=""),0,SUMIFS(rngEngine_U,rngEngine_B,INDEX(Team!$A$11:$A$60,$AO27),rngAMStart,"&lt;="&amp;Calendar!AB$11,rngAMEnd,"&gt;="&amp;Calendar!AB$11))</ns0:f>
        <ns0:v>0</ns0:v>
      </ns0:c>
      <ns0:c r="CZ27" s="0">
        <ns0:f>IF(OR($AO27=0,$B$5&lt;&gt;"OK",$B$6&gt;0,Calendar!AB$11=""),0,SUMIFS(rngEngine_V,rngEngine_B,INDEX(Team!$A$11:$A$60,$AO27),rngPMStart,"&lt;="&amp;Calendar!AB$11,rngPMEnd,"&gt;="&amp;Calendar!AB$11))</ns0:f>
        <ns0:v>0</ns0:v>
      </ns0:c>
      <ns0:c r="DA27" s="0">
        <ns0:f>IF(OR($AO27=0,$B$5&lt;&gt;"OK",$B$6&gt;0,Calendar!AC$11=""),0,SUMIFS(rngEngine_U,rngEngine_B,INDEX(Team!$A$11:$A$60,$AO27),rngAMStart,"&lt;="&amp;Calendar!AC$11,rngAMEnd,"&gt;="&amp;Calendar!AC$11))</ns0:f>
        <ns0:v>0</ns0:v>
      </ns0:c>
      <ns0:c r="DB27" s="0">
        <ns0:f>IF(OR($AO27=0,$B$5&lt;&gt;"OK",$B$6&gt;0,Calendar!AC$11=""),0,SUMIFS(rngEngine_V,rngEngine_B,INDEX(Team!$A$11:$A$60,$AO27),rngPMStart,"&lt;="&amp;Calendar!AC$11,rngPMEnd,"&gt;="&amp;Calendar!AC$11))</ns0:f>
        <ns0:v>0</ns0:v>
      </ns0:c>
      <ns0:c r="DC27" s="0">
        <ns0:f>IF(OR($AO27=0,$B$5&lt;&gt;"OK",$B$6&gt;0,Calendar!AD$11=""),0,SUMIFS(rngEngine_U,rngEngine_B,INDEX(Team!$A$11:$A$60,$AO27),rngAMStart,"&lt;="&amp;Calendar!AD$11,rngAMEnd,"&gt;="&amp;Calendar!AD$11))</ns0:f>
        <ns0:v>0</ns0:v>
      </ns0:c>
      <ns0:c r="DD27" s="0">
        <ns0:f>IF(OR($AO27=0,$B$5&lt;&gt;"OK",$B$6&gt;0,Calendar!AD$11=""),0,SUMIFS(rngEngine_V,rngEngine_B,INDEX(Team!$A$11:$A$60,$AO27),rngPMStart,"&lt;="&amp;Calendar!AD$11,rngPMEnd,"&gt;="&amp;Calendar!AD$11))</ns0:f>
        <ns0:v>0</ns0:v>
      </ns0:c>
      <ns0:c r="DE27" s="0">
        <ns0:f>IF(OR($AO27=0,$B$5&lt;&gt;"OK",$B$6&gt;0,Calendar!AE$11=""),0,SUMIFS(rngEngine_U,rngEngine_B,INDEX(Team!$A$11:$A$60,$AO27),rngAMStart,"&lt;="&amp;Calendar!AE$11,rngAMEnd,"&gt;="&amp;Calendar!AE$11))</ns0:f>
        <ns0:v>0</ns0:v>
      </ns0:c>
      <ns0:c r="DF27" s="0">
        <ns0:f>IF(OR($AO27=0,$B$5&lt;&gt;"OK",$B$6&gt;0,Calendar!AE$11=""),0,SUMIFS(rngEngine_V,rngEngine_B,INDEX(Team!$A$11:$A$60,$AO27),rngPMStart,"&lt;="&amp;Calendar!AE$11,rngPMEnd,"&gt;="&amp;Calendar!AE$11))</ns0:f>
        <ns0:v>0</ns0:v>
      </ns0:c>
      <ns0:c r="DG27" s="0">
        <ns0:f>IF(OR($AO27=0,$B$5&lt;&gt;"OK",$B$6&gt;0,Calendar!AF$11=""),0,SUMIFS(rngEngine_U,rngEngine_B,INDEX(Team!$A$11:$A$60,$AO27),rngAMStart,"&lt;="&amp;Calendar!AF$11,rngAMEnd,"&gt;="&amp;Calendar!AF$11))</ns0:f>
        <ns0:v>0</ns0:v>
      </ns0:c>
      <ns0:c r="DH27" s="0">
        <ns0:f>IF(OR($AO27=0,$B$5&lt;&gt;"OK",$B$6&gt;0,Calendar!AF$11=""),0,SUMIFS(rngEngine_V,rngEngine_B,INDEX(Team!$A$11:$A$60,$AO27),rngPMStart,"&lt;="&amp;Calendar!AF$11,rngPMEnd,"&gt;="&amp;Calendar!AF$11))</ns0:f>
        <ns0:v>0</ns0:v>
      </ns0:c>
      <ns0:c r="DI27" s="0">
        <ns0:f>IF(OR($AO27=0,$B$5&lt;&gt;"OK",$B$6&gt;0,Calendar!AG$11=""),0,SUMIFS(rngEngine_U,rngEngine_B,INDEX(Team!$A$11:$A$60,$AO27),rngAMStart,"&lt;="&amp;Calendar!AG$11,rngAMEnd,"&gt;="&amp;Calendar!AG$11))</ns0:f>
        <ns0:v>0</ns0:v>
      </ns0:c>
      <ns0:c r="DJ27" s="0">
        <ns0:f>IF(OR($AO27=0,$B$5&lt;&gt;"OK",$B$6&gt;0,Calendar!AG$11=""),0,SUMIFS(rngEngine_V,rngEngine_B,INDEX(Team!$A$11:$A$60,$AO27),rngPMStart,"&lt;="&amp;Calendar!AG$11,rngPMEnd,"&gt;="&amp;Calendar!AG$11))</ns0:f>
        <ns0:v>0</ns0:v>
      </ns0:c>
      <ns0:c r="DK27" s="0">
        <ns0:f>IF(OR($AO27=0,$B$5&lt;&gt;"OK",$B$6&gt;0,Calendar!AH$11=""),0,SUMIFS(rngEngine_U,rngEngine_B,INDEX(Team!$A$11:$A$60,$AO27),rngAMStart,"&lt;="&amp;Calendar!AH$11,rngAMEnd,"&gt;="&amp;Calendar!AH$11))</ns0:f>
        <ns0:v>0</ns0:v>
      </ns0:c>
      <ns0:c r="DL27" s="0">
        <ns0:f>IF(OR($AO27=0,$B$5&lt;&gt;"OK",$B$6&gt;0,Calendar!AH$11=""),0,SUMIFS(rngEngine_V,rngEngine_B,INDEX(Team!$A$11:$A$60,$AO27),rngPMStart,"&lt;="&amp;Calendar!AH$11,rngPMEnd,"&gt;="&amp;Calendar!AH$11))</ns0:f>
        <ns0:v>0</ns0:v>
      </ns0:c>
    </ns0:row>
    <ns0:row r="28" ht="22" customHeight="1">
      <ns0:c r="A28" s="4">
        <ns0:f>IF(COUNTA(Bookings!A28:G28,Bookings!I28)=0,0,1)</ns0:f>
        <ns0:v>1</ns0:v>
      </ns0:c>
      <ns0:c r="B28" s="4" t="str">
        <ns0:f>IFERROR(TRIM(MID(Bookings!A28,FIND(" · ",Bookings!A28)+3,99)),"")</ns0:f>
        <ns0:v>EMP004</ns0:v>
      </ns0:c>
      <ns0:c r="C28" s="4">
        <ns0:f>IF(OR(B28="",LEN(B28)&gt;24,ISNUMBER(FIND(" ",B28)),ISNUMBER(FIND("*",B28)),ISNUMBER(FIND("?",B28)),ISNUMBER(FIND("~",B28))),0,IFERROR(MATCH(B28,Team!$A$11:$A$60,0),0))</ns0:f>
        <ns0:v>4</ns0:v>
      </ns0:c>
      <ns0:c r="D28" s="4" t="str">
        <ns0:f>IFERROR(IF(MID(Bookings!F28,LEN(Bookings!F28)-3,3)=" · ",RIGHT(Bookings!F28,1),""),"")</ns0:f>
        <ns0:v>H</ns0:v>
      </ns0:c>
      <ns0:c r="E28" s="4" t="str">
        <ns0:f>IFERROR(INDEX(Settings!$H$7:$H$11,MATCH(D28,Settings!$G$7:$G$11,0)),"")</ns0:f>
        <ns0:v>Yes</ns0:v>
      </ns0:c>
      <ns0:c r="F28" s="4" t="str">
        <ns0:f>IF(A28=0,"",IFERROR(IF(OR(B28="",C28=0),"CHECK employee selection",IF(INDEX(Team!$O$11:$O$60,C28)&lt;&gt;"OK","CHECK employee setup",IF(OR('_Dates'!J28=0,'_Dates'!T28=0),"CHECK date: use DD.MM.YYYY",IF('_Dates'!T28&lt;'_Dates'!J28,"CHECK end before start",IF(AND($B$6=0,OR('_Dates'!J28&lt;Settings!$B$7,'_Dates'!T28&gt;Settings!$B$8)),"CHECK split across leave years",IF(OR(NOT(OR('_Dates'!U28="Full day",'_Dates'!U28="AM",'_Dates'!U28="PM")),NOT(OR('_Dates'!V28="Full day",'_Dates'!V28="AM",'_Dates'!V28="PM"))),"CHECK Full day / AM / PM",IF(AND('_Dates'!J28='_Dates'!T28,'_Dates'!U28&lt;&gt;"Full day",'_Dates'!V28&lt;&gt;"Full day",'_Dates'!U28&lt;&gt;'_Dates'!V28),"CHECK same-day portions disagree",IF(AND($B$6=0,OR(AND('_Dates'!U28&lt;&gt;"Full day",'_Dates'!AA28=0),AND('_Dates'!V28&lt;&gt;"Full day",'_Dates'!AB28=0))),"CHECK half-day on non-working date",IF(COUNTIF(Settings!$G$7:$G$11,D28)&lt;&gt;1,"CHECK leave type",IF(AND(Bookings!G28&lt;&gt;"Approved",Bookings!G28&lt;&gt;"Pending",Bookings!G28&lt;&gt;"Cancelled"),"CHECK status","OK")))))))))),"CHECK input"))</ns0:f>
        <ns0:v>OK</ns0:v>
      </ns0:c>
      <ns0:c r="G28" s="4">
        <ns0:f>IF(OR(F28&lt;&gt;"OK",$B$6&gt;0),0,0.5*(IF(('_Dates'!X28)&lt;('_Dates'!W28),0,INT((('_Dates'!X28)-('_Dates'!W28)+1)/7)*LEN(SUBSTITUTE(W28,"O",""))+LEN(SUBSTITUTE(MID(W28&amp;W28,WEEKDAY(('_Dates'!W28),2),MOD((('_Dates'!X28)-('_Dates'!W28)+1),7)),"O",""))-COUNTIFS(INDEX(AllClosureRows,C28,0),"&gt;="&amp;('_Dates'!W28),INDEX(AllClosureRows,C28,0),"&lt;="&amp;('_Dates'!X28)))+IF(('_Dates'!Z28)&lt;('_Dates'!Y28),0,INT((('_Dates'!Z28)-('_Dates'!Y28)+1)/7)*LEN(SUBSTITUTE(W28,"O",""))+LEN(SUBSTITUTE(MID(W28&amp;W28,WEEKDAY(('_Dates'!Y28),2),MOD((('_Dates'!Z28)-('_Dates'!Y28)+1),7)),"O",""))-COUNTIFS(INDEX(AllClosureRows,C28,0),"&gt;="&amp;('_Dates'!Y28),INDEX(AllClosureRows,C28,0),"&lt;="&amp;('_Dates'!Z28)))))</ns0:f>
        <ns0:v>1.5</ns0:v>
      </ns0:c>
      <ns0:c r="H28" s="4">
        <ns0:f>IF(OR(F28&lt;&gt;"OK",$B$6&gt;0),0,0.5*(IF((MIN('_Dates'!X28,Settings!$B$9))&lt;('_Dates'!W28),0,INT(((MIN('_Dates'!X28,Settings!$B$9))-('_Dates'!W28)+1)/7)*LEN(SUBSTITUTE(W28,"O",""))+LEN(SUBSTITUTE(MID(W28&amp;W28,WEEKDAY(('_Dates'!W28),2),MOD(((MIN('_Dates'!X28,Settings!$B$9))-('_Dates'!W28)+1),7)),"O",""))-COUNTIFS(INDEX(AllClosureRows,C28,0),"&gt;="&amp;('_Dates'!W28),INDEX(AllClosureRows,C28,0),"&lt;="&amp;(MIN('_Dates'!X28,Settings!$B$9))))+IF((MIN('_Dates'!Z28,Settings!$B$9))&lt;('_Dates'!Y28),0,INT(((MIN('_Dates'!Z28,Settings!$B$9))-('_Dates'!Y28)+1)/7)*LEN(SUBSTITUTE(W28,"O",""))+LEN(SUBSTITUTE(MID(W28&amp;W28,WEEKDAY(('_Dates'!Y28),2),MOD(((MIN('_Dates'!Z28,Settings!$B$9))-('_Dates'!Y28)+1),7)),"O",""))-COUNTIFS(INDEX(AllClosureRows,C28,0),"&gt;="&amp;('_Dates'!Y28),INDEX(AllClosureRows,C28,0),"&lt;="&amp;(MIN('_Dates'!Z28,Settings!$B$9))))))</ns0:f>
        <ns0:v>0</ns0:v>
      </ns0:c>
      <ns0:c r="I28" s="4">
        <ns0:f>MAX(0,G28-H28)</ns0:f>
        <ns0:v>1.5</ns0:v>
      </ns0:c>
      <ns0:c r="J28" s="4">
        <ns0:f>IF(OR(A28=0,F28&lt;&gt;"OK",Bookings!G28="Cancelled",$B$6&gt;0),0,IF('_Dates'!AC28=1,MAX(0,COUNTIFS(rngEngine_B,B28,rngAMStart,"&lt;="&amp;'_Dates'!X28,rngAMEnd,"&gt;="&amp;'_Dates'!W28,rngAMActive,1,rngEngine_F,"OK",rngBookings_F,"&lt;&gt;Cancelled")-1),0)+IF('_Dates'!AD28=1,MAX(0,COUNTIFS(rngEngine_B,B28,rngPMStart,"&lt;="&amp;'_Dates'!Z28,rngPMEnd,"&gt;="&amp;'_Dates'!Y28,rngPMActive,1,rngEngine_F,"OK",rngBookings_F,"&lt;&gt;Cancelled")-1),0))</ns0:f>
        <ns0:v>0</ns0:v>
      </ns0:c>
      <ns0:c r="K28" s="0" t="str">
        <ns0:f>IF(A28=0,"",IF(F28&lt;&gt;"OK",F28,IF(J28&gt;0,"CHECK overlapping entry",IF(AND($B$6=0,G28&lt;=0,Bookings!G28&lt;&gt;"Cancelled"),"CHECK no working days",IF(Bookings!G28="Cancelled","Cancelled","OK")))))</ns0:f>
        <ns0:v>OK</ns0:v>
      </ns0:c>
      <ns0:c r="L28" s="0">
        <ns0:f>IF(LEFT(K28,5)="CHECK",1,0)</ns0:f>
        <ns0:v>0</ns0:v>
      </ns0:c>
      <ns0:c r="M28" s="0">
        <ns0:f>IF(AND(L28=1,OR(C28=0,IFERROR(INDEX($X$11:$X$60,C28),0)=0)),1,0)</ns0:f>
        <ns0:v>0</ns0:v>
      </ns0:c>
      <ns0:c r="N28" s="0">
        <ns0:f>IF(OR(A28=0,L28&gt;0,$B$6&gt;0,Bookings!G28="Cancelled"),0,G28)</ns0:f>
        <ns0:v>1.5</ns0:v>
      </ns0:c>
      <ns0:c r="O28" s="0">
        <ns0:f>IF(AND(Bookings!G28="Approved",E28="Yes"),N28,0)</ns0:f>
        <ns0:v>1.5</ns0:v>
      </ns0:c>
      <ns0:c r="P28" s="0">
        <ns0:f>IF(AND(Bookings!G28="Approved",E28="Yes",L28=0,$B$6=0),H28,0)</ns0:f>
        <ns0:v>0</ns0:v>
      </ns0:c>
      <ns0:c r="Q28" s="0">
        <ns0:f>IF(AND(Bookings!G28="Approved",E28="Yes",L28=0,$B$6=0),I28,0)</ns0:f>
        <ns0:v>1.5</ns0:v>
      </ns0:c>
      <ns0:c r="R28" s="0">
        <ns0:f>IF(AND(Bookings!G28="Pending",E28="Yes"),N28,0)</ns0:f>
        <ns0:v>0</ns0:v>
      </ns0:c>
      <ns0:c r="S28" s="0">
        <ns0:f>IF(AND(Bookings!G28="Approved",E28="No"),N28,0)</ns0:f>
        <ns0:v>0</ns0:v>
      </ns0:c>
      <ns0:c r="T28" s="0">
        <ns0:f>IFERROR(MATCH(D28,Settings!$G$7:$G$11,0),0)</ns0:f>
        <ns0:v>1</ns0:v>
      </ns0:c>
      <ns0:c r="U28" s="0">
        <ns0:f>IF(N28&gt;0,T28+IF(Bookings!G28="Pending",10,0),0)</ns0:f>
        <ns0:v>1</ns0:v>
      </ns0:c>
      <ns0:c r="V28" s="0">
        <ns0:f>U28</ns0:f>
        <ns0:v>1</ns0:v>
      </ns0:c>
      <ns0:c r="W28" s="0" t="str">
        <ns0:f>IF(C28=0,"",INDEX($AP$11:$AP$60,C28))</ns0:f>
        <ns0:v>WWWWWOO</ns0:v>
      </ns0:c>
      <ns0:c r="X28" s="0">
        <ns0:f>IF(COUNTA(Team!B28:D28)=0,0,1)</ns0:f>
        <ns0:v>0</ns0:v>
      </ns0:c>
      <ns0:c r="Y28" s="0" t="str">
        <ns0:f>IF(X28=0,"",IF(Team!B28="","[Unnamed]",Team!B28)&amp;" · "&amp;Team!A28)</ns0:f>
        <ns0:v/>
      </ns0:c>
      <ns0:c r="Z28" s="0">
        <ns0:f>IF(X28=0,0,COUNTIF(Team!H28:N28,"Work"))</ns0:f>
        <ns0:v>0</ns0:v>
      </ns0:c>
      <ns0:c r="AA28" s="0">
        <ns0:f>IF(LEFT(Team!O28,5)="CHECK",1,0)</ns0:f>
        <ns0:v>0</ns0:v>
      </ns0:c>
      <ns0:c r="AB28" s="0">
        <ns0:f>IF(X28=0,0,SUMIFS(rngEngine_L,rngEngine_B,Team!A28))</ns0:f>
        <ns0:v>0</ns0:v>
      </ns0:c>
      <ns0:c r="AC28" s="0" t="str">
        <ns0:f>IF(AND(X28=1,OR(Calendar!$C$7="All teams",Team!C28=Calendar!$C$7)),MAX($AC$10:AC27)+1,"")</ns0:f>
        <ns0:v/>
      </ns0:c>
      <ns0:c r="AD28" s="0" t="str">
        <ns0:f>IF(OR(X28=0,Team!C28="",COUNTIF(Team!$C$11:C28,Team!C28)&gt;1),"",MAX($AD$10:AD27)+1)</ns0:f>
        <ns0:v/>
      </ns0:c>
      <ns0:c r="AE28" s="0" t="str">
        <ns0:f>IFERROR(INDEX(Team!$C$11:$C$60,MATCH(ROW()-10,$AD$11:$AD$60,0)),"")</ns0:f>
        <ns0:v/>
      </ns0:c>
      <ns0:c r="AF28" s="0" t="str">
        <ns0:f>AE28</ns0:f>
        <ns0:v/>
      </ns0:c>
      <ns0:c r="AG28" s="0">
        <ns0:f>IF(X28=0,0,IFERROR(Team!F28+Team!G28,0))</ns0:f>
        <ns0:v>0</ns0:v>
      </ns0:c>
      <ns0:c r="AH28" s="0">
        <ns0:f>IF(X28=0,0,SUMIFS(rngEngine_P,rngEngine_B,Team!A28))</ns0:f>
        <ns0:v>0</ns0:v>
      </ns0:c>
      <ns0:c r="AI28" s="0">
        <ns0:f>IF(X28=0,0,SUMIFS(rngEngine_Q,rngEngine_B,Team!A28))</ns0:f>
        <ns0:v>0</ns0:v>
      </ns0:c>
      <ns0:c r="AJ28" s="0">
        <ns0:f>IF(X28=0,0,SUMIFS(rngEngine_R,rngEngine_B,Team!A28))</ns0:f>
        <ns0:v>0</ns0:v>
      </ns0:c>
      <ns0:c r="AK28" s="0">
        <ns0:f>IF(X28=0,0,SUMIFS(rngEngine_S,rngEngine_B,Team!A28))</ns0:f>
        <ns0:v>0</ns0:v>
      </ns0:c>
      <ns0:c r="AL28" s="0">
        <ns0:f>AH28+AI28</ns0:f>
        <ns0:v>0</ns0:v>
      </ns0:c>
      <ns0:c r="AM28" s="0" t="str">
        <ns0:f>IF(X28=0,"",IF(AA28&gt;0,"CHECK team setup",IF(AB28&gt;0,"CHECK "&amp;AB28&amp;" booking(s)","OK")))</ns0:f>
        <ns0:v/>
      </ns0:c>
      <ns0:c r="AN28" s="0" t="str">
        <ns0:f>IF(X28=0,"",IF(OR($B$6&gt;0,AM28&lt;&gt;"OK"),"REVIEW",AG28-AL28))</ns0:f>
        <ns0:v/>
      </ns0:c>
      <ns0:c r="AO28" s="0">
        <ns0:f>IFERROR(MATCH(ROW()-11,$AC$11:$AC$60,0),0)</ns0:f>
        <ns0:v>0</ns0:v>
      </ns0:c>
      <ns0:c r="AP28" s="0" t="str">
        <ns0:f>IF(Team!H28="Work","W","O")&amp;IF(Team!I28="Work","W","O")&amp;IF(Team!J28="Work","W","O")&amp;IF(Team!K28="Work","W","O")&amp;IF(Team!L28="Work","W","O")&amp;IF(Team!M28="Work","W","O")&amp;IF(Team!N28="Work","W","O")</ns0:f>
        <ns0:v>WWWWWOO</ns0:v>
      </ns0:c>
      <ns0:c r="AR28" s="0">
        <ns0:f>IFERROR(IF(ISNUMBER(Settings!F28),WEEKDAY(Settings!F28,2),0),0)</ns0:f>
        <ns0:v>0</ns0:v>
      </ns0:c>
      <ns0:c r="BC28" s="0">
        <ns0:f>IF(OR($AO28=0,$B$5&lt;&gt;"OK",$B$6&gt;0,Calendar!D$11=""),0,SUMIFS(rngEngine_U,rngEngine_B,INDEX(Team!$A$11:$A$60,$AO28),rngAMStart,"&lt;="&amp;Calendar!D$11,rngAMEnd,"&gt;="&amp;Calendar!D$11))</ns0:f>
        <ns0:v>0</ns0:v>
      </ns0:c>
      <ns0:c r="BD28" s="0">
        <ns0:f>IF(OR($AO28=0,$B$5&lt;&gt;"OK",$B$6&gt;0,Calendar!D$11=""),0,SUMIFS(rngEngine_V,rngEngine_B,INDEX(Team!$A$11:$A$60,$AO28),rngPMStart,"&lt;="&amp;Calendar!D$11,rngPMEnd,"&gt;="&amp;Calendar!D$11))</ns0:f>
        <ns0:v>0</ns0:v>
      </ns0:c>
      <ns0:c r="BE28" s="0">
        <ns0:f>IF(OR($AO28=0,$B$5&lt;&gt;"OK",$B$6&gt;0,Calendar!E$11=""),0,SUMIFS(rngEngine_U,rngEngine_B,INDEX(Team!$A$11:$A$60,$AO28),rngAMStart,"&lt;="&amp;Calendar!E$11,rngAMEnd,"&gt;="&amp;Calendar!E$11))</ns0:f>
        <ns0:v>0</ns0:v>
      </ns0:c>
      <ns0:c r="BF28" s="0">
        <ns0:f>IF(OR($AO28=0,$B$5&lt;&gt;"OK",$B$6&gt;0,Calendar!E$11=""),0,SUMIFS(rngEngine_V,rngEngine_B,INDEX(Team!$A$11:$A$60,$AO28),rngPMStart,"&lt;="&amp;Calendar!E$11,rngPMEnd,"&gt;="&amp;Calendar!E$11))</ns0:f>
        <ns0:v>0</ns0:v>
      </ns0:c>
      <ns0:c r="BG28" s="0">
        <ns0:f>IF(OR($AO28=0,$B$5&lt;&gt;"OK",$B$6&gt;0,Calendar!F$11=""),0,SUMIFS(rngEngine_U,rngEngine_B,INDEX(Team!$A$11:$A$60,$AO28),rngAMStart,"&lt;="&amp;Calendar!F$11,rngAMEnd,"&gt;="&amp;Calendar!F$11))</ns0:f>
        <ns0:v>0</ns0:v>
      </ns0:c>
      <ns0:c r="BH28" s="0">
        <ns0:f>IF(OR($AO28=0,$B$5&lt;&gt;"OK",$B$6&gt;0,Calendar!F$11=""),0,SUMIFS(rngEngine_V,rngEngine_B,INDEX(Team!$A$11:$A$60,$AO28),rngPMStart,"&lt;="&amp;Calendar!F$11,rngPMEnd,"&gt;="&amp;Calendar!F$11))</ns0:f>
        <ns0:v>0</ns0:v>
      </ns0:c>
      <ns0:c r="BI28" s="0">
        <ns0:f>IF(OR($AO28=0,$B$5&lt;&gt;"OK",$B$6&gt;0,Calendar!G$11=""),0,SUMIFS(rngEngine_U,rngEngine_B,INDEX(Team!$A$11:$A$60,$AO28),rngAMStart,"&lt;="&amp;Calendar!G$11,rngAMEnd,"&gt;="&amp;Calendar!G$11))</ns0:f>
        <ns0:v>0</ns0:v>
      </ns0:c>
      <ns0:c r="BJ28" s="0">
        <ns0:f>IF(OR($AO28=0,$B$5&lt;&gt;"OK",$B$6&gt;0,Calendar!G$11=""),0,SUMIFS(rngEngine_V,rngEngine_B,INDEX(Team!$A$11:$A$60,$AO28),rngPMStart,"&lt;="&amp;Calendar!G$11,rngPMEnd,"&gt;="&amp;Calendar!G$11))</ns0:f>
        <ns0:v>0</ns0:v>
      </ns0:c>
      <ns0:c r="BK28" s="0">
        <ns0:f>IF(OR($AO28=0,$B$5&lt;&gt;"OK",$B$6&gt;0,Calendar!H$11=""),0,SUMIFS(rngEngine_U,rngEngine_B,INDEX(Team!$A$11:$A$60,$AO28),rngAMStart,"&lt;="&amp;Calendar!H$11,rngAMEnd,"&gt;="&amp;Calendar!H$11))</ns0:f>
        <ns0:v>0</ns0:v>
      </ns0:c>
      <ns0:c r="BL28" s="0">
        <ns0:f>IF(OR($AO28=0,$B$5&lt;&gt;"OK",$B$6&gt;0,Calendar!H$11=""),0,SUMIFS(rngEngine_V,rngEngine_B,INDEX(Team!$A$11:$A$60,$AO28),rngPMStart,"&lt;="&amp;Calendar!H$11,rngPMEnd,"&gt;="&amp;Calendar!H$11))</ns0:f>
        <ns0:v>0</ns0:v>
      </ns0:c>
      <ns0:c r="BM28" s="0">
        <ns0:f>IF(OR($AO28=0,$B$5&lt;&gt;"OK",$B$6&gt;0,Calendar!I$11=""),0,SUMIFS(rngEngine_U,rngEngine_B,INDEX(Team!$A$11:$A$60,$AO28),rngAMStart,"&lt;="&amp;Calendar!I$11,rngAMEnd,"&gt;="&amp;Calendar!I$11))</ns0:f>
        <ns0:v>0</ns0:v>
      </ns0:c>
      <ns0:c r="BN28" s="0">
        <ns0:f>IF(OR($AO28=0,$B$5&lt;&gt;"OK",$B$6&gt;0,Calendar!I$11=""),0,SUMIFS(rngEngine_V,rngEngine_B,INDEX(Team!$A$11:$A$60,$AO28),rngPMStart,"&lt;="&amp;Calendar!I$11,rngPMEnd,"&gt;="&amp;Calendar!I$11))</ns0:f>
        <ns0:v>0</ns0:v>
      </ns0:c>
      <ns0:c r="BO28" s="0">
        <ns0:f>IF(OR($AO28=0,$B$5&lt;&gt;"OK",$B$6&gt;0,Calendar!J$11=""),0,SUMIFS(rngEngine_U,rngEngine_B,INDEX(Team!$A$11:$A$60,$AO28),rngAMStart,"&lt;="&amp;Calendar!J$11,rngAMEnd,"&gt;="&amp;Calendar!J$11))</ns0:f>
        <ns0:v>0</ns0:v>
      </ns0:c>
      <ns0:c r="BP28" s="0">
        <ns0:f>IF(OR($AO28=0,$B$5&lt;&gt;"OK",$B$6&gt;0,Calendar!J$11=""),0,SUMIFS(rngEngine_V,rngEngine_B,INDEX(Team!$A$11:$A$60,$AO28),rngPMStart,"&lt;="&amp;Calendar!J$11,rngPMEnd,"&gt;="&amp;Calendar!J$11))</ns0:f>
        <ns0:v>0</ns0:v>
      </ns0:c>
      <ns0:c r="BQ28" s="0">
        <ns0:f>IF(OR($AO28=0,$B$5&lt;&gt;"OK",$B$6&gt;0,Calendar!K$11=""),0,SUMIFS(rngEngine_U,rngEngine_B,INDEX(Team!$A$11:$A$60,$AO28),rngAMStart,"&lt;="&amp;Calendar!K$11,rngAMEnd,"&gt;="&amp;Calendar!K$11))</ns0:f>
        <ns0:v>0</ns0:v>
      </ns0:c>
      <ns0:c r="BR28" s="0">
        <ns0:f>IF(OR($AO28=0,$B$5&lt;&gt;"OK",$B$6&gt;0,Calendar!K$11=""),0,SUMIFS(rngEngine_V,rngEngine_B,INDEX(Team!$A$11:$A$60,$AO28),rngPMStart,"&lt;="&amp;Calendar!K$11,rngPMEnd,"&gt;="&amp;Calendar!K$11))</ns0:f>
        <ns0:v>0</ns0:v>
      </ns0:c>
      <ns0:c r="BS28" s="0">
        <ns0:f>IF(OR($AO28=0,$B$5&lt;&gt;"OK",$B$6&gt;0,Calendar!L$11=""),0,SUMIFS(rngEngine_U,rngEngine_B,INDEX(Team!$A$11:$A$60,$AO28),rngAMStart,"&lt;="&amp;Calendar!L$11,rngAMEnd,"&gt;="&amp;Calendar!L$11))</ns0:f>
        <ns0:v>0</ns0:v>
      </ns0:c>
      <ns0:c r="BT28" s="0">
        <ns0:f>IF(OR($AO28=0,$B$5&lt;&gt;"OK",$B$6&gt;0,Calendar!L$11=""),0,SUMIFS(rngEngine_V,rngEngine_B,INDEX(Team!$A$11:$A$60,$AO28),rngPMStart,"&lt;="&amp;Calendar!L$11,rngPMEnd,"&gt;="&amp;Calendar!L$11))</ns0:f>
        <ns0:v>0</ns0:v>
      </ns0:c>
      <ns0:c r="BU28" s="0">
        <ns0:f>IF(OR($AO28=0,$B$5&lt;&gt;"OK",$B$6&gt;0,Calendar!M$11=""),0,SUMIFS(rngEngine_U,rngEngine_B,INDEX(Team!$A$11:$A$60,$AO28),rngAMStart,"&lt;="&amp;Calendar!M$11,rngAMEnd,"&gt;="&amp;Calendar!M$11))</ns0:f>
        <ns0:v>0</ns0:v>
      </ns0:c>
      <ns0:c r="BV28" s="0">
        <ns0:f>IF(OR($AO28=0,$B$5&lt;&gt;"OK",$B$6&gt;0,Calendar!M$11=""),0,SUMIFS(rngEngine_V,rngEngine_B,INDEX(Team!$A$11:$A$60,$AO28),rngPMStart,"&lt;="&amp;Calendar!M$11,rngPMEnd,"&gt;="&amp;Calendar!M$11))</ns0:f>
        <ns0:v>0</ns0:v>
      </ns0:c>
      <ns0:c r="BW28" s="0">
        <ns0:f>IF(OR($AO28=0,$B$5&lt;&gt;"OK",$B$6&gt;0,Calendar!N$11=""),0,SUMIFS(rngEngine_U,rngEngine_B,INDEX(Team!$A$11:$A$60,$AO28),rngAMStart,"&lt;="&amp;Calendar!N$11,rngAMEnd,"&gt;="&amp;Calendar!N$11))</ns0:f>
        <ns0:v>0</ns0:v>
      </ns0:c>
      <ns0:c r="BX28" s="0">
        <ns0:f>IF(OR($AO28=0,$B$5&lt;&gt;"OK",$B$6&gt;0,Calendar!N$11=""),0,SUMIFS(rngEngine_V,rngEngine_B,INDEX(Team!$A$11:$A$60,$AO28),rngPMStart,"&lt;="&amp;Calendar!N$11,rngPMEnd,"&gt;="&amp;Calendar!N$11))</ns0:f>
        <ns0:v>0</ns0:v>
      </ns0:c>
      <ns0:c r="BY28" s="0">
        <ns0:f>IF(OR($AO28=0,$B$5&lt;&gt;"OK",$B$6&gt;0,Calendar!O$11=""),0,SUMIFS(rngEngine_U,rngEngine_B,INDEX(Team!$A$11:$A$60,$AO28),rngAMStart,"&lt;="&amp;Calendar!O$11,rngAMEnd,"&gt;="&amp;Calendar!O$11))</ns0:f>
        <ns0:v>0</ns0:v>
      </ns0:c>
      <ns0:c r="BZ28" s="0">
        <ns0:f>IF(OR($AO28=0,$B$5&lt;&gt;"OK",$B$6&gt;0,Calendar!O$11=""),0,SUMIFS(rngEngine_V,rngEngine_B,INDEX(Team!$A$11:$A$60,$AO28),rngPMStart,"&lt;="&amp;Calendar!O$11,rngPMEnd,"&gt;="&amp;Calendar!O$11))</ns0:f>
        <ns0:v>0</ns0:v>
      </ns0:c>
      <ns0:c r="CA28" s="0">
        <ns0:f>IF(OR($AO28=0,$B$5&lt;&gt;"OK",$B$6&gt;0,Calendar!P$11=""),0,SUMIFS(rngEngine_U,rngEngine_B,INDEX(Team!$A$11:$A$60,$AO28),rngAMStart,"&lt;="&amp;Calendar!P$11,rngAMEnd,"&gt;="&amp;Calendar!P$11))</ns0:f>
        <ns0:v>0</ns0:v>
      </ns0:c>
      <ns0:c r="CB28" s="0">
        <ns0:f>IF(OR($AO28=0,$B$5&lt;&gt;"OK",$B$6&gt;0,Calendar!P$11=""),0,SUMIFS(rngEngine_V,rngEngine_B,INDEX(Team!$A$11:$A$60,$AO28),rngPMStart,"&lt;="&amp;Calendar!P$11,rngPMEnd,"&gt;="&amp;Calendar!P$11))</ns0:f>
        <ns0:v>0</ns0:v>
      </ns0:c>
      <ns0:c r="CC28" s="0">
        <ns0:f>IF(OR($AO28=0,$B$5&lt;&gt;"OK",$B$6&gt;0,Calendar!Q$11=""),0,SUMIFS(rngEngine_U,rngEngine_B,INDEX(Team!$A$11:$A$60,$AO28),rngAMStart,"&lt;="&amp;Calendar!Q$11,rngAMEnd,"&gt;="&amp;Calendar!Q$11))</ns0:f>
        <ns0:v>0</ns0:v>
      </ns0:c>
      <ns0:c r="CD28" s="0">
        <ns0:f>IF(OR($AO28=0,$B$5&lt;&gt;"OK",$B$6&gt;0,Calendar!Q$11=""),0,SUMIFS(rngEngine_V,rngEngine_B,INDEX(Team!$A$11:$A$60,$AO28),rngPMStart,"&lt;="&amp;Calendar!Q$11,rngPMEnd,"&gt;="&amp;Calendar!Q$11))</ns0:f>
        <ns0:v>0</ns0:v>
      </ns0:c>
      <ns0:c r="CE28" s="0">
        <ns0:f>IF(OR($AO28=0,$B$5&lt;&gt;"OK",$B$6&gt;0,Calendar!R$11=""),0,SUMIFS(rngEngine_U,rngEngine_B,INDEX(Team!$A$11:$A$60,$AO28),rngAMStart,"&lt;="&amp;Calendar!R$11,rngAMEnd,"&gt;="&amp;Calendar!R$11))</ns0:f>
        <ns0:v>0</ns0:v>
      </ns0:c>
      <ns0:c r="CF28" s="0">
        <ns0:f>IF(OR($AO28=0,$B$5&lt;&gt;"OK",$B$6&gt;0,Calendar!R$11=""),0,SUMIFS(rngEngine_V,rngEngine_B,INDEX(Team!$A$11:$A$60,$AO28),rngPMStart,"&lt;="&amp;Calendar!R$11,rngPMEnd,"&gt;="&amp;Calendar!R$11))</ns0:f>
        <ns0:v>0</ns0:v>
      </ns0:c>
      <ns0:c r="CG28" s="0">
        <ns0:f>IF(OR($AO28=0,$B$5&lt;&gt;"OK",$B$6&gt;0,Calendar!S$11=""),0,SUMIFS(rngEngine_U,rngEngine_B,INDEX(Team!$A$11:$A$60,$AO28),rngAMStart,"&lt;="&amp;Calendar!S$11,rngAMEnd,"&gt;="&amp;Calendar!S$11))</ns0:f>
        <ns0:v>0</ns0:v>
      </ns0:c>
      <ns0:c r="CH28" s="0">
        <ns0:f>IF(OR($AO28=0,$B$5&lt;&gt;"OK",$B$6&gt;0,Calendar!S$11=""),0,SUMIFS(rngEngine_V,rngEngine_B,INDEX(Team!$A$11:$A$60,$AO28),rngPMStart,"&lt;="&amp;Calendar!S$11,rngPMEnd,"&gt;="&amp;Calendar!S$11))</ns0:f>
        <ns0:v>0</ns0:v>
      </ns0:c>
      <ns0:c r="CI28" s="0">
        <ns0:f>IF(OR($AO28=0,$B$5&lt;&gt;"OK",$B$6&gt;0,Calendar!T$11=""),0,SUMIFS(rngEngine_U,rngEngine_B,INDEX(Team!$A$11:$A$60,$AO28),rngAMStart,"&lt;="&amp;Calendar!T$11,rngAMEnd,"&gt;="&amp;Calendar!T$11))</ns0:f>
        <ns0:v>0</ns0:v>
      </ns0:c>
      <ns0:c r="CJ28" s="0">
        <ns0:f>IF(OR($AO28=0,$B$5&lt;&gt;"OK",$B$6&gt;0,Calendar!T$11=""),0,SUMIFS(rngEngine_V,rngEngine_B,INDEX(Team!$A$11:$A$60,$AO28),rngPMStart,"&lt;="&amp;Calendar!T$11,rngPMEnd,"&gt;="&amp;Calendar!T$11))</ns0:f>
        <ns0:v>0</ns0:v>
      </ns0:c>
      <ns0:c r="CK28" s="0">
        <ns0:f>IF(OR($AO28=0,$B$5&lt;&gt;"OK",$B$6&gt;0,Calendar!U$11=""),0,SUMIFS(rngEngine_U,rngEngine_B,INDEX(Team!$A$11:$A$60,$AO28),rngAMStart,"&lt;="&amp;Calendar!U$11,rngAMEnd,"&gt;="&amp;Calendar!U$11))</ns0:f>
        <ns0:v>0</ns0:v>
      </ns0:c>
      <ns0:c r="CL28" s="0">
        <ns0:f>IF(OR($AO28=0,$B$5&lt;&gt;"OK",$B$6&gt;0,Calendar!U$11=""),0,SUMIFS(rngEngine_V,rngEngine_B,INDEX(Team!$A$11:$A$60,$AO28),rngPMStart,"&lt;="&amp;Calendar!U$11,rngPMEnd,"&gt;="&amp;Calendar!U$11))</ns0:f>
        <ns0:v>0</ns0:v>
      </ns0:c>
      <ns0:c r="CM28" s="0">
        <ns0:f>IF(OR($AO28=0,$B$5&lt;&gt;"OK",$B$6&gt;0,Calendar!V$11=""),0,SUMIFS(rngEngine_U,rngEngine_B,INDEX(Team!$A$11:$A$60,$AO28),rngAMStart,"&lt;="&amp;Calendar!V$11,rngAMEnd,"&gt;="&amp;Calendar!V$11))</ns0:f>
        <ns0:v>0</ns0:v>
      </ns0:c>
      <ns0:c r="CN28" s="0">
        <ns0:f>IF(OR($AO28=0,$B$5&lt;&gt;"OK",$B$6&gt;0,Calendar!V$11=""),0,SUMIFS(rngEngine_V,rngEngine_B,INDEX(Team!$A$11:$A$60,$AO28),rngPMStart,"&lt;="&amp;Calendar!V$11,rngPMEnd,"&gt;="&amp;Calendar!V$11))</ns0:f>
        <ns0:v>0</ns0:v>
      </ns0:c>
      <ns0:c r="CO28" s="0">
        <ns0:f>IF(OR($AO28=0,$B$5&lt;&gt;"OK",$B$6&gt;0,Calendar!W$11=""),0,SUMIFS(rngEngine_U,rngEngine_B,INDEX(Team!$A$11:$A$60,$AO28),rngAMStart,"&lt;="&amp;Calendar!W$11,rngAMEnd,"&gt;="&amp;Calendar!W$11))</ns0:f>
        <ns0:v>0</ns0:v>
      </ns0:c>
      <ns0:c r="CP28" s="0">
        <ns0:f>IF(OR($AO28=0,$B$5&lt;&gt;"OK",$B$6&gt;0,Calendar!W$11=""),0,SUMIFS(rngEngine_V,rngEngine_B,INDEX(Team!$A$11:$A$60,$AO28),rngPMStart,"&lt;="&amp;Calendar!W$11,rngPMEnd,"&gt;="&amp;Calendar!W$11))</ns0:f>
        <ns0:v>0</ns0:v>
      </ns0:c>
      <ns0:c r="CQ28" s="0">
        <ns0:f>IF(OR($AO28=0,$B$5&lt;&gt;"OK",$B$6&gt;0,Calendar!X$11=""),0,SUMIFS(rngEngine_U,rngEngine_B,INDEX(Team!$A$11:$A$60,$AO28),rngAMStart,"&lt;="&amp;Calendar!X$11,rngAMEnd,"&gt;="&amp;Calendar!X$11))</ns0:f>
        <ns0:v>0</ns0:v>
      </ns0:c>
      <ns0:c r="CR28" s="0">
        <ns0:f>IF(OR($AO28=0,$B$5&lt;&gt;"OK",$B$6&gt;0,Calendar!X$11=""),0,SUMIFS(rngEngine_V,rngEngine_B,INDEX(Team!$A$11:$A$60,$AO28),rngPMStart,"&lt;="&amp;Calendar!X$11,rngPMEnd,"&gt;="&amp;Calendar!X$11))</ns0:f>
        <ns0:v>0</ns0:v>
      </ns0:c>
      <ns0:c r="CS28" s="0">
        <ns0:f>IF(OR($AO28=0,$B$5&lt;&gt;"OK",$B$6&gt;0,Calendar!Y$11=""),0,SUMIFS(rngEngine_U,rngEngine_B,INDEX(Team!$A$11:$A$60,$AO28),rngAMStart,"&lt;="&amp;Calendar!Y$11,rngAMEnd,"&gt;="&amp;Calendar!Y$11))</ns0:f>
        <ns0:v>0</ns0:v>
      </ns0:c>
      <ns0:c r="CT28" s="0">
        <ns0:f>IF(OR($AO28=0,$B$5&lt;&gt;"OK",$B$6&gt;0,Calendar!Y$11=""),0,SUMIFS(rngEngine_V,rngEngine_B,INDEX(Team!$A$11:$A$60,$AO28),rngPMStart,"&lt;="&amp;Calendar!Y$11,rngPMEnd,"&gt;="&amp;Calendar!Y$11))</ns0:f>
        <ns0:v>0</ns0:v>
      </ns0:c>
      <ns0:c r="CU28" s="0">
        <ns0:f>IF(OR($AO28=0,$B$5&lt;&gt;"OK",$B$6&gt;0,Calendar!Z$11=""),0,SUMIFS(rngEngine_U,rngEngine_B,INDEX(Team!$A$11:$A$60,$AO28),rngAMStart,"&lt;="&amp;Calendar!Z$11,rngAMEnd,"&gt;="&amp;Calendar!Z$11))</ns0:f>
        <ns0:v>0</ns0:v>
      </ns0:c>
      <ns0:c r="CV28" s="0">
        <ns0:f>IF(OR($AO28=0,$B$5&lt;&gt;"OK",$B$6&gt;0,Calendar!Z$11=""),0,SUMIFS(rngEngine_V,rngEngine_B,INDEX(Team!$A$11:$A$60,$AO28),rngPMStart,"&lt;="&amp;Calendar!Z$11,rngPMEnd,"&gt;="&amp;Calendar!Z$11))</ns0:f>
        <ns0:v>0</ns0:v>
      </ns0:c>
      <ns0:c r="CW28" s="0">
        <ns0:f>IF(OR($AO28=0,$B$5&lt;&gt;"OK",$B$6&gt;0,Calendar!AA$11=""),0,SUMIFS(rngEngine_U,rngEngine_B,INDEX(Team!$A$11:$A$60,$AO28),rngAMStart,"&lt;="&amp;Calendar!AA$11,rngAMEnd,"&gt;="&amp;Calendar!AA$11))</ns0:f>
        <ns0:v>0</ns0:v>
      </ns0:c>
      <ns0:c r="CX28" s="0">
        <ns0:f>IF(OR($AO28=0,$B$5&lt;&gt;"OK",$B$6&gt;0,Calendar!AA$11=""),0,SUMIFS(rngEngine_V,rngEngine_B,INDEX(Team!$A$11:$A$60,$AO28),rngPMStart,"&lt;="&amp;Calendar!AA$11,rngPMEnd,"&gt;="&amp;Calendar!AA$11))</ns0:f>
        <ns0:v>0</ns0:v>
      </ns0:c>
      <ns0:c r="CY28" s="0">
        <ns0:f>IF(OR($AO28=0,$B$5&lt;&gt;"OK",$B$6&gt;0,Calendar!AB$11=""),0,SUMIFS(rngEngine_U,rngEngine_B,INDEX(Team!$A$11:$A$60,$AO28),rngAMStart,"&lt;="&amp;Calendar!AB$11,rngAMEnd,"&gt;="&amp;Calendar!AB$11))</ns0:f>
        <ns0:v>0</ns0:v>
      </ns0:c>
      <ns0:c r="CZ28" s="0">
        <ns0:f>IF(OR($AO28=0,$B$5&lt;&gt;"OK",$B$6&gt;0,Calendar!AB$11=""),0,SUMIFS(rngEngine_V,rngEngine_B,INDEX(Team!$A$11:$A$60,$AO28),rngPMStart,"&lt;="&amp;Calendar!AB$11,rngPMEnd,"&gt;="&amp;Calendar!AB$11))</ns0:f>
        <ns0:v>0</ns0:v>
      </ns0:c>
      <ns0:c r="DA28" s="0">
        <ns0:f>IF(OR($AO28=0,$B$5&lt;&gt;"OK",$B$6&gt;0,Calendar!AC$11=""),0,SUMIFS(rngEngine_U,rngEngine_B,INDEX(Team!$A$11:$A$60,$AO28),rngAMStart,"&lt;="&amp;Calendar!AC$11,rngAMEnd,"&gt;="&amp;Calendar!AC$11))</ns0:f>
        <ns0:v>0</ns0:v>
      </ns0:c>
      <ns0:c r="DB28" s="0">
        <ns0:f>IF(OR($AO28=0,$B$5&lt;&gt;"OK",$B$6&gt;0,Calendar!AC$11=""),0,SUMIFS(rngEngine_V,rngEngine_B,INDEX(Team!$A$11:$A$60,$AO28),rngPMStart,"&lt;="&amp;Calendar!AC$11,rngPMEnd,"&gt;="&amp;Calendar!AC$11))</ns0:f>
        <ns0:v>0</ns0:v>
      </ns0:c>
      <ns0:c r="DC28" s="0">
        <ns0:f>IF(OR($AO28=0,$B$5&lt;&gt;"OK",$B$6&gt;0,Calendar!AD$11=""),0,SUMIFS(rngEngine_U,rngEngine_B,INDEX(Team!$A$11:$A$60,$AO28),rngAMStart,"&lt;="&amp;Calendar!AD$11,rngAMEnd,"&gt;="&amp;Calendar!AD$11))</ns0:f>
        <ns0:v>0</ns0:v>
      </ns0:c>
      <ns0:c r="DD28" s="0">
        <ns0:f>IF(OR($AO28=0,$B$5&lt;&gt;"OK",$B$6&gt;0,Calendar!AD$11=""),0,SUMIFS(rngEngine_V,rngEngine_B,INDEX(Team!$A$11:$A$60,$AO28),rngPMStart,"&lt;="&amp;Calendar!AD$11,rngPMEnd,"&gt;="&amp;Calendar!AD$11))</ns0:f>
        <ns0:v>0</ns0:v>
      </ns0:c>
      <ns0:c r="DE28" s="0">
        <ns0:f>IF(OR($AO28=0,$B$5&lt;&gt;"OK",$B$6&gt;0,Calendar!AE$11=""),0,SUMIFS(rngEngine_U,rngEngine_B,INDEX(Team!$A$11:$A$60,$AO28),rngAMStart,"&lt;="&amp;Calendar!AE$11,rngAMEnd,"&gt;="&amp;Calendar!AE$11))</ns0:f>
        <ns0:v>0</ns0:v>
      </ns0:c>
      <ns0:c r="DF28" s="0">
        <ns0:f>IF(OR($AO28=0,$B$5&lt;&gt;"OK",$B$6&gt;0,Calendar!AE$11=""),0,SUMIFS(rngEngine_V,rngEngine_B,INDEX(Team!$A$11:$A$60,$AO28),rngPMStart,"&lt;="&amp;Calendar!AE$11,rngPMEnd,"&gt;="&amp;Calendar!AE$11))</ns0:f>
        <ns0:v>0</ns0:v>
      </ns0:c>
      <ns0:c r="DG28" s="0">
        <ns0:f>IF(OR($AO28=0,$B$5&lt;&gt;"OK",$B$6&gt;0,Calendar!AF$11=""),0,SUMIFS(rngEngine_U,rngEngine_B,INDEX(Team!$A$11:$A$60,$AO28),rngAMStart,"&lt;="&amp;Calendar!AF$11,rngAMEnd,"&gt;="&amp;Calendar!AF$11))</ns0:f>
        <ns0:v>0</ns0:v>
      </ns0:c>
      <ns0:c r="DH28" s="0">
        <ns0:f>IF(OR($AO28=0,$B$5&lt;&gt;"OK",$B$6&gt;0,Calendar!AF$11=""),0,SUMIFS(rngEngine_V,rngEngine_B,INDEX(Team!$A$11:$A$60,$AO28),rngPMStart,"&lt;="&amp;Calendar!AF$11,rngPMEnd,"&gt;="&amp;Calendar!AF$11))</ns0:f>
        <ns0:v>0</ns0:v>
      </ns0:c>
      <ns0:c r="DI28" s="0">
        <ns0:f>IF(OR($AO28=0,$B$5&lt;&gt;"OK",$B$6&gt;0,Calendar!AG$11=""),0,SUMIFS(rngEngine_U,rngEngine_B,INDEX(Team!$A$11:$A$60,$AO28),rngAMStart,"&lt;="&amp;Calendar!AG$11,rngAMEnd,"&gt;="&amp;Calendar!AG$11))</ns0:f>
        <ns0:v>0</ns0:v>
      </ns0:c>
      <ns0:c r="DJ28" s="0">
        <ns0:f>IF(OR($AO28=0,$B$5&lt;&gt;"OK",$B$6&gt;0,Calendar!AG$11=""),0,SUMIFS(rngEngine_V,rngEngine_B,INDEX(Team!$A$11:$A$60,$AO28),rngPMStart,"&lt;="&amp;Calendar!AG$11,rngPMEnd,"&gt;="&amp;Calendar!AG$11))</ns0:f>
        <ns0:v>0</ns0:v>
      </ns0:c>
      <ns0:c r="DK28" s="0">
        <ns0:f>IF(OR($AO28=0,$B$5&lt;&gt;"OK",$B$6&gt;0,Calendar!AH$11=""),0,SUMIFS(rngEngine_U,rngEngine_B,INDEX(Team!$A$11:$A$60,$AO28),rngAMStart,"&lt;="&amp;Calendar!AH$11,rngAMEnd,"&gt;="&amp;Calendar!AH$11))</ns0:f>
        <ns0:v>0</ns0:v>
      </ns0:c>
      <ns0:c r="DL28" s="0">
        <ns0:f>IF(OR($AO28=0,$B$5&lt;&gt;"OK",$B$6&gt;0,Calendar!AH$11=""),0,SUMIFS(rngEngine_V,rngEngine_B,INDEX(Team!$A$11:$A$60,$AO28),rngPMStart,"&lt;="&amp;Calendar!AH$11,rngPMEnd,"&gt;="&amp;Calendar!AH$11))</ns0:f>
        <ns0:v>0</ns0:v>
      </ns0:c>
    </ns0:row>
    <ns0:row r="29" ht="22" customHeight="1">
      <ns0:c r="A29" s="4">
        <ns0:f>IF(COUNTA(Bookings!A29:G29,Bookings!I29)=0,0,1)</ns0:f>
        <ns0:v>1</ns0:v>
      </ns0:c>
      <ns0:c r="B29" s="4" t="str">
        <ns0:f>IFERROR(TRIM(MID(Bookings!A29,FIND(" · ",Bookings!A29)+3,99)),"")</ns0:f>
        <ns0:v>EMP002</ns0:v>
      </ns0:c>
      <ns0:c r="C29" s="4">
        <ns0:f>IF(OR(B29="",LEN(B29)&gt;24,ISNUMBER(FIND(" ",B29)),ISNUMBER(FIND("*",B29)),ISNUMBER(FIND("?",B29)),ISNUMBER(FIND("~",B29))),0,IFERROR(MATCH(B29,Team!$A$11:$A$60,0),0))</ns0:f>
        <ns0:v>2</ns0:v>
      </ns0:c>
      <ns0:c r="D29" s="4" t="str">
        <ns0:f>IFERROR(IF(MID(Bookings!F29,LEN(Bookings!F29)-3,3)=" · ",RIGHT(Bookings!F29,1),""),"")</ns0:f>
        <ns0:v>H</ns0:v>
      </ns0:c>
      <ns0:c r="E29" s="4" t="str">
        <ns0:f>IFERROR(INDEX(Settings!$H$7:$H$11,MATCH(D29,Settings!$G$7:$G$11,0)),"")</ns0:f>
        <ns0:v>Yes</ns0:v>
      </ns0:c>
      <ns0:c r="F29" s="4" t="str">
        <ns0:f>IF(A29=0,"",IFERROR(IF(OR(B29="",C29=0),"CHECK employee selection",IF(INDEX(Team!$O$11:$O$60,C29)&lt;&gt;"OK","CHECK employee setup",IF(OR('_Dates'!J29=0,'_Dates'!T29=0),"CHECK date: use DD.MM.YYYY",IF('_Dates'!T29&lt;'_Dates'!J29,"CHECK end before start",IF(AND($B$6=0,OR('_Dates'!J29&lt;Settings!$B$7,'_Dates'!T29&gt;Settings!$B$8)),"CHECK split across leave years",IF(OR(NOT(OR('_Dates'!U29="Full day",'_Dates'!U29="AM",'_Dates'!U29="PM")),NOT(OR('_Dates'!V29="Full day",'_Dates'!V29="AM",'_Dates'!V29="PM"))),"CHECK Full day / AM / PM",IF(AND('_Dates'!J29='_Dates'!T29,'_Dates'!U29&lt;&gt;"Full day",'_Dates'!V29&lt;&gt;"Full day",'_Dates'!U29&lt;&gt;'_Dates'!V29),"CHECK same-day portions disagree",IF(AND($B$6=0,OR(AND('_Dates'!U29&lt;&gt;"Full day",'_Dates'!AA29=0),AND('_Dates'!V29&lt;&gt;"Full day",'_Dates'!AB29=0))),"CHECK half-day on non-working date",IF(COUNTIF(Settings!$G$7:$G$11,D29)&lt;&gt;1,"CHECK leave type",IF(AND(Bookings!G29&lt;&gt;"Approved",Bookings!G29&lt;&gt;"Pending",Bookings!G29&lt;&gt;"Cancelled"),"CHECK status","OK")))))))))),"CHECK input"))</ns0:f>
        <ns0:v>OK</ns0:v>
      </ns0:c>
      <ns0:c r="G29" s="4">
        <ns0:f>IF(OR(F29&lt;&gt;"OK",$B$6&gt;0),0,0.5*(IF(('_Dates'!X29)&lt;('_Dates'!W29),0,INT((('_Dates'!X29)-('_Dates'!W29)+1)/7)*LEN(SUBSTITUTE(W29,"O",""))+LEN(SUBSTITUTE(MID(W29&amp;W29,WEEKDAY(('_Dates'!W29),2),MOD((('_Dates'!X29)-('_Dates'!W29)+1),7)),"O",""))-COUNTIFS(INDEX(AllClosureRows,C29,0),"&gt;="&amp;('_Dates'!W29),INDEX(AllClosureRows,C29,0),"&lt;="&amp;('_Dates'!X29)))+IF(('_Dates'!Z29)&lt;('_Dates'!Y29),0,INT((('_Dates'!Z29)-('_Dates'!Y29)+1)/7)*LEN(SUBSTITUTE(W29,"O",""))+LEN(SUBSTITUTE(MID(W29&amp;W29,WEEKDAY(('_Dates'!Y29),2),MOD((('_Dates'!Z29)-('_Dates'!Y29)+1),7)),"O",""))-COUNTIFS(INDEX(AllClosureRows,C29,0),"&gt;="&amp;('_Dates'!Y29),INDEX(AllClosureRows,C29,0),"&lt;="&amp;('_Dates'!Z29)))))</ns0:f>
        <ns0:v>1.5</ns0:v>
      </ns0:c>
      <ns0:c r="H29" s="4">
        <ns0:f>IF(OR(F29&lt;&gt;"OK",$B$6&gt;0),0,0.5*(IF((MIN('_Dates'!X29,Settings!$B$9))&lt;('_Dates'!W29),0,INT(((MIN('_Dates'!X29,Settings!$B$9))-('_Dates'!W29)+1)/7)*LEN(SUBSTITUTE(W29,"O",""))+LEN(SUBSTITUTE(MID(W29&amp;W29,WEEKDAY(('_Dates'!W29),2),MOD(((MIN('_Dates'!X29,Settings!$B$9))-('_Dates'!W29)+1),7)),"O",""))-COUNTIFS(INDEX(AllClosureRows,C29,0),"&gt;="&amp;('_Dates'!W29),INDEX(AllClosureRows,C29,0),"&lt;="&amp;(MIN('_Dates'!X29,Settings!$B$9))))+IF((MIN('_Dates'!Z29,Settings!$B$9))&lt;('_Dates'!Y29),0,INT(((MIN('_Dates'!Z29,Settings!$B$9))-('_Dates'!Y29)+1)/7)*LEN(SUBSTITUTE(W29,"O",""))+LEN(SUBSTITUTE(MID(W29&amp;W29,WEEKDAY(('_Dates'!Y29),2),MOD(((MIN('_Dates'!Z29,Settings!$B$9))-('_Dates'!Y29)+1),7)),"O",""))-COUNTIFS(INDEX(AllClosureRows,C29,0),"&gt;="&amp;('_Dates'!Y29),INDEX(AllClosureRows,C29,0),"&lt;="&amp;(MIN('_Dates'!Z29,Settings!$B$9))))))</ns0:f>
        <ns0:v>0.5</ns0:v>
      </ns0:c>
      <ns0:c r="I29" s="4">
        <ns0:f>MAX(0,G29-H29)</ns0:f>
        <ns0:v>1</ns0:v>
      </ns0:c>
      <ns0:c r="J29" s="4">
        <ns0:f>IF(OR(A29=0,F29&lt;&gt;"OK",Bookings!G29="Cancelled",$B$6&gt;0),0,IF('_Dates'!AC29=1,MAX(0,COUNTIFS(rngEngine_B,B29,rngAMStart,"&lt;="&amp;'_Dates'!X29,rngAMEnd,"&gt;="&amp;'_Dates'!W29,rngAMActive,1,rngEngine_F,"OK",rngBookings_F,"&lt;&gt;Cancelled")-1),0)+IF('_Dates'!AD29=1,MAX(0,COUNTIFS(rngEngine_B,B29,rngPMStart,"&lt;="&amp;'_Dates'!Z29,rngPMEnd,"&gt;="&amp;'_Dates'!Y29,rngPMActive,1,rngEngine_F,"OK",rngBookings_F,"&lt;&gt;Cancelled")-1),0))</ns0:f>
        <ns0:v>0</ns0:v>
      </ns0:c>
      <ns0:c r="K29" s="0" t="str">
        <ns0:f>IF(A29=0,"",IF(F29&lt;&gt;"OK",F29,IF(J29&gt;0,"CHECK overlapping entry",IF(AND($B$6=0,G29&lt;=0,Bookings!G29&lt;&gt;"Cancelled"),"CHECK no working days",IF(Bookings!G29="Cancelled","Cancelled","OK")))))</ns0:f>
        <ns0:v>OK</ns0:v>
      </ns0:c>
      <ns0:c r="L29" s="0">
        <ns0:f>IF(LEFT(K29,5)="CHECK",1,0)</ns0:f>
        <ns0:v>0</ns0:v>
      </ns0:c>
      <ns0:c r="M29" s="0">
        <ns0:f>IF(AND(L29=1,OR(C29=0,IFERROR(INDEX($X$11:$X$60,C29),0)=0)),1,0)</ns0:f>
        <ns0:v>0</ns0:v>
      </ns0:c>
      <ns0:c r="N29" s="0">
        <ns0:f>IF(OR(A29=0,L29&gt;0,$B$6&gt;0,Bookings!G29="Cancelled"),0,G29)</ns0:f>
        <ns0:v>1.5</ns0:v>
      </ns0:c>
      <ns0:c r="O29" s="0">
        <ns0:f>IF(AND(Bookings!G29="Approved",E29="Yes"),N29,0)</ns0:f>
        <ns0:v>1.5</ns0:v>
      </ns0:c>
      <ns0:c r="P29" s="0">
        <ns0:f>IF(AND(Bookings!G29="Approved",E29="Yes",L29=0,$B$6=0),H29,0)</ns0:f>
        <ns0:v>0.5</ns0:v>
      </ns0:c>
      <ns0:c r="Q29" s="0">
        <ns0:f>IF(AND(Bookings!G29="Approved",E29="Yes",L29=0,$B$6=0),I29,0)</ns0:f>
        <ns0:v>1</ns0:v>
      </ns0:c>
      <ns0:c r="R29" s="0">
        <ns0:f>IF(AND(Bookings!G29="Pending",E29="Yes"),N29,0)</ns0:f>
        <ns0:v>0</ns0:v>
      </ns0:c>
      <ns0:c r="S29" s="0">
        <ns0:f>IF(AND(Bookings!G29="Approved",E29="No"),N29,0)</ns0:f>
        <ns0:v>0</ns0:v>
      </ns0:c>
      <ns0:c r="T29" s="0">
        <ns0:f>IFERROR(MATCH(D29,Settings!$G$7:$G$11,0),0)</ns0:f>
        <ns0:v>1</ns0:v>
      </ns0:c>
      <ns0:c r="U29" s="0">
        <ns0:f>IF(N29&gt;0,T29+IF(Bookings!G29="Pending",10,0),0)</ns0:f>
        <ns0:v>1</ns0:v>
      </ns0:c>
      <ns0:c r="V29" s="0">
        <ns0:f>U29</ns0:f>
        <ns0:v>1</ns0:v>
      </ns0:c>
      <ns0:c r="W29" s="0" t="str">
        <ns0:f>IF(C29=0,"",INDEX($AP$11:$AP$60,C29))</ns0:f>
        <ns0:v>WWWWWOO</ns0:v>
      </ns0:c>
      <ns0:c r="X29" s="0">
        <ns0:f>IF(COUNTA(Team!B29:D29)=0,0,1)</ns0:f>
        <ns0:v>0</ns0:v>
      </ns0:c>
      <ns0:c r="Y29" s="0" t="str">
        <ns0:f>IF(X29=0,"",IF(Team!B29="","[Unnamed]",Team!B29)&amp;" · "&amp;Team!A29)</ns0:f>
        <ns0:v/>
      </ns0:c>
      <ns0:c r="Z29" s="0">
        <ns0:f>IF(X29=0,0,COUNTIF(Team!H29:N29,"Work"))</ns0:f>
        <ns0:v>0</ns0:v>
      </ns0:c>
      <ns0:c r="AA29" s="0">
        <ns0:f>IF(LEFT(Team!O29,5)="CHECK",1,0)</ns0:f>
        <ns0:v>0</ns0:v>
      </ns0:c>
      <ns0:c r="AB29" s="0">
        <ns0:f>IF(X29=0,0,SUMIFS(rngEngine_L,rngEngine_B,Team!A29))</ns0:f>
        <ns0:v>0</ns0:v>
      </ns0:c>
      <ns0:c r="AC29" s="0" t="str">
        <ns0:f>IF(AND(X29=1,OR(Calendar!$C$7="All teams",Team!C29=Calendar!$C$7)),MAX($AC$10:AC28)+1,"")</ns0:f>
        <ns0:v/>
      </ns0:c>
      <ns0:c r="AD29" s="0" t="str">
        <ns0:f>IF(OR(X29=0,Team!C29="",COUNTIF(Team!$C$11:C29,Team!C29)&gt;1),"",MAX($AD$10:AD28)+1)</ns0:f>
        <ns0:v/>
      </ns0:c>
      <ns0:c r="AE29" s="0" t="str">
        <ns0:f>IFERROR(INDEX(Team!$C$11:$C$60,MATCH(ROW()-10,$AD$11:$AD$60,0)),"")</ns0:f>
        <ns0:v/>
      </ns0:c>
      <ns0:c r="AF29" s="0" t="str">
        <ns0:f>AE29</ns0:f>
        <ns0:v/>
      </ns0:c>
      <ns0:c r="AG29" s="0">
        <ns0:f>IF(X29=0,0,IFERROR(Team!F29+Team!G29,0))</ns0:f>
        <ns0:v>0</ns0:v>
      </ns0:c>
      <ns0:c r="AH29" s="0">
        <ns0:f>IF(X29=0,0,SUMIFS(rngEngine_P,rngEngine_B,Team!A29))</ns0:f>
        <ns0:v>0</ns0:v>
      </ns0:c>
      <ns0:c r="AI29" s="0">
        <ns0:f>IF(X29=0,0,SUMIFS(rngEngine_Q,rngEngine_B,Team!A29))</ns0:f>
        <ns0:v>0</ns0:v>
      </ns0:c>
      <ns0:c r="AJ29" s="0">
        <ns0:f>IF(X29=0,0,SUMIFS(rngEngine_R,rngEngine_B,Team!A29))</ns0:f>
        <ns0:v>0</ns0:v>
      </ns0:c>
      <ns0:c r="AK29" s="0">
        <ns0:f>IF(X29=0,0,SUMIFS(rngEngine_S,rngEngine_B,Team!A29))</ns0:f>
        <ns0:v>0</ns0:v>
      </ns0:c>
      <ns0:c r="AL29" s="0">
        <ns0:f>AH29+AI29</ns0:f>
        <ns0:v>0</ns0:v>
      </ns0:c>
      <ns0:c r="AM29" s="0" t="str">
        <ns0:f>IF(X29=0,"",IF(AA29&gt;0,"CHECK team setup",IF(AB29&gt;0,"CHECK "&amp;AB29&amp;" booking(s)","OK")))</ns0:f>
        <ns0:v/>
      </ns0:c>
      <ns0:c r="AN29" s="0" t="str">
        <ns0:f>IF(X29=0,"",IF(OR($B$6&gt;0,AM29&lt;&gt;"OK"),"REVIEW",AG29-AL29))</ns0:f>
        <ns0:v/>
      </ns0:c>
      <ns0:c r="AO29" s="0">
        <ns0:f>IFERROR(MATCH(ROW()-11,$AC$11:$AC$60,0),0)</ns0:f>
        <ns0:v>0</ns0:v>
      </ns0:c>
      <ns0:c r="AP29" s="0" t="str">
        <ns0:f>IF(Team!H29="Work","W","O")&amp;IF(Team!I29="Work","W","O")&amp;IF(Team!J29="Work","W","O")&amp;IF(Team!K29="Work","W","O")&amp;IF(Team!L29="Work","W","O")&amp;IF(Team!M29="Work","W","O")&amp;IF(Team!N29="Work","W","O")</ns0:f>
        <ns0:v>WWWWWOO</ns0:v>
      </ns0:c>
      <ns0:c r="AR29" s="0">
        <ns0:f>IFERROR(IF(ISNUMBER(Settings!F29),WEEKDAY(Settings!F29,2),0),0)</ns0:f>
        <ns0:v>0</ns0:v>
      </ns0:c>
      <ns0:c r="BC29" s="0">
        <ns0:f>IF(OR($AO29=0,$B$5&lt;&gt;"OK",$B$6&gt;0,Calendar!D$11=""),0,SUMIFS(rngEngine_U,rngEngine_B,INDEX(Team!$A$11:$A$60,$AO29),rngAMStart,"&lt;="&amp;Calendar!D$11,rngAMEnd,"&gt;="&amp;Calendar!D$11))</ns0:f>
        <ns0:v>0</ns0:v>
      </ns0:c>
      <ns0:c r="BD29" s="0">
        <ns0:f>IF(OR($AO29=0,$B$5&lt;&gt;"OK",$B$6&gt;0,Calendar!D$11=""),0,SUMIFS(rngEngine_V,rngEngine_B,INDEX(Team!$A$11:$A$60,$AO29),rngPMStart,"&lt;="&amp;Calendar!D$11,rngPMEnd,"&gt;="&amp;Calendar!D$11))</ns0:f>
        <ns0:v>0</ns0:v>
      </ns0:c>
      <ns0:c r="BE29" s="0">
        <ns0:f>IF(OR($AO29=0,$B$5&lt;&gt;"OK",$B$6&gt;0,Calendar!E$11=""),0,SUMIFS(rngEngine_U,rngEngine_B,INDEX(Team!$A$11:$A$60,$AO29),rngAMStart,"&lt;="&amp;Calendar!E$11,rngAMEnd,"&gt;="&amp;Calendar!E$11))</ns0:f>
        <ns0:v>0</ns0:v>
      </ns0:c>
      <ns0:c r="BF29" s="0">
        <ns0:f>IF(OR($AO29=0,$B$5&lt;&gt;"OK",$B$6&gt;0,Calendar!E$11=""),0,SUMIFS(rngEngine_V,rngEngine_B,INDEX(Team!$A$11:$A$60,$AO29),rngPMStart,"&lt;="&amp;Calendar!E$11,rngPMEnd,"&gt;="&amp;Calendar!E$11))</ns0:f>
        <ns0:v>0</ns0:v>
      </ns0:c>
      <ns0:c r="BG29" s="0">
        <ns0:f>IF(OR($AO29=0,$B$5&lt;&gt;"OK",$B$6&gt;0,Calendar!F$11=""),0,SUMIFS(rngEngine_U,rngEngine_B,INDEX(Team!$A$11:$A$60,$AO29),rngAMStart,"&lt;="&amp;Calendar!F$11,rngAMEnd,"&gt;="&amp;Calendar!F$11))</ns0:f>
        <ns0:v>0</ns0:v>
      </ns0:c>
      <ns0:c r="BH29" s="0">
        <ns0:f>IF(OR($AO29=0,$B$5&lt;&gt;"OK",$B$6&gt;0,Calendar!F$11=""),0,SUMIFS(rngEngine_V,rngEngine_B,INDEX(Team!$A$11:$A$60,$AO29),rngPMStart,"&lt;="&amp;Calendar!F$11,rngPMEnd,"&gt;="&amp;Calendar!F$11))</ns0:f>
        <ns0:v>0</ns0:v>
      </ns0:c>
      <ns0:c r="BI29" s="0">
        <ns0:f>IF(OR($AO29=0,$B$5&lt;&gt;"OK",$B$6&gt;0,Calendar!G$11=""),0,SUMIFS(rngEngine_U,rngEngine_B,INDEX(Team!$A$11:$A$60,$AO29),rngAMStart,"&lt;="&amp;Calendar!G$11,rngAMEnd,"&gt;="&amp;Calendar!G$11))</ns0:f>
        <ns0:v>0</ns0:v>
      </ns0:c>
      <ns0:c r="BJ29" s="0">
        <ns0:f>IF(OR($AO29=0,$B$5&lt;&gt;"OK",$B$6&gt;0,Calendar!G$11=""),0,SUMIFS(rngEngine_V,rngEngine_B,INDEX(Team!$A$11:$A$60,$AO29),rngPMStart,"&lt;="&amp;Calendar!G$11,rngPMEnd,"&gt;="&amp;Calendar!G$11))</ns0:f>
        <ns0:v>0</ns0:v>
      </ns0:c>
      <ns0:c r="BK29" s="0">
        <ns0:f>IF(OR($AO29=0,$B$5&lt;&gt;"OK",$B$6&gt;0,Calendar!H$11=""),0,SUMIFS(rngEngine_U,rngEngine_B,INDEX(Team!$A$11:$A$60,$AO29),rngAMStart,"&lt;="&amp;Calendar!H$11,rngAMEnd,"&gt;="&amp;Calendar!H$11))</ns0:f>
        <ns0:v>0</ns0:v>
      </ns0:c>
      <ns0:c r="BL29" s="0">
        <ns0:f>IF(OR($AO29=0,$B$5&lt;&gt;"OK",$B$6&gt;0,Calendar!H$11=""),0,SUMIFS(rngEngine_V,rngEngine_B,INDEX(Team!$A$11:$A$60,$AO29),rngPMStart,"&lt;="&amp;Calendar!H$11,rngPMEnd,"&gt;="&amp;Calendar!H$11))</ns0:f>
        <ns0:v>0</ns0:v>
      </ns0:c>
      <ns0:c r="BM29" s="0">
        <ns0:f>IF(OR($AO29=0,$B$5&lt;&gt;"OK",$B$6&gt;0,Calendar!I$11=""),0,SUMIFS(rngEngine_U,rngEngine_B,INDEX(Team!$A$11:$A$60,$AO29),rngAMStart,"&lt;="&amp;Calendar!I$11,rngAMEnd,"&gt;="&amp;Calendar!I$11))</ns0:f>
        <ns0:v>0</ns0:v>
      </ns0:c>
      <ns0:c r="BN29" s="0">
        <ns0:f>IF(OR($AO29=0,$B$5&lt;&gt;"OK",$B$6&gt;0,Calendar!I$11=""),0,SUMIFS(rngEngine_V,rngEngine_B,INDEX(Team!$A$11:$A$60,$AO29),rngPMStart,"&lt;="&amp;Calendar!I$11,rngPMEnd,"&gt;="&amp;Calendar!I$11))</ns0:f>
        <ns0:v>0</ns0:v>
      </ns0:c>
      <ns0:c r="BO29" s="0">
        <ns0:f>IF(OR($AO29=0,$B$5&lt;&gt;"OK",$B$6&gt;0,Calendar!J$11=""),0,SUMIFS(rngEngine_U,rngEngine_B,INDEX(Team!$A$11:$A$60,$AO29),rngAMStart,"&lt;="&amp;Calendar!J$11,rngAMEnd,"&gt;="&amp;Calendar!J$11))</ns0:f>
        <ns0:v>0</ns0:v>
      </ns0:c>
      <ns0:c r="BP29" s="0">
        <ns0:f>IF(OR($AO29=0,$B$5&lt;&gt;"OK",$B$6&gt;0,Calendar!J$11=""),0,SUMIFS(rngEngine_V,rngEngine_B,INDEX(Team!$A$11:$A$60,$AO29),rngPMStart,"&lt;="&amp;Calendar!J$11,rngPMEnd,"&gt;="&amp;Calendar!J$11))</ns0:f>
        <ns0:v>0</ns0:v>
      </ns0:c>
      <ns0:c r="BQ29" s="0">
        <ns0:f>IF(OR($AO29=0,$B$5&lt;&gt;"OK",$B$6&gt;0,Calendar!K$11=""),0,SUMIFS(rngEngine_U,rngEngine_B,INDEX(Team!$A$11:$A$60,$AO29),rngAMStart,"&lt;="&amp;Calendar!K$11,rngAMEnd,"&gt;="&amp;Calendar!K$11))</ns0:f>
        <ns0:v>0</ns0:v>
      </ns0:c>
      <ns0:c r="BR29" s="0">
        <ns0:f>IF(OR($AO29=0,$B$5&lt;&gt;"OK",$B$6&gt;0,Calendar!K$11=""),0,SUMIFS(rngEngine_V,rngEngine_B,INDEX(Team!$A$11:$A$60,$AO29),rngPMStart,"&lt;="&amp;Calendar!K$11,rngPMEnd,"&gt;="&amp;Calendar!K$11))</ns0:f>
        <ns0:v>0</ns0:v>
      </ns0:c>
      <ns0:c r="BS29" s="0">
        <ns0:f>IF(OR($AO29=0,$B$5&lt;&gt;"OK",$B$6&gt;0,Calendar!L$11=""),0,SUMIFS(rngEngine_U,rngEngine_B,INDEX(Team!$A$11:$A$60,$AO29),rngAMStart,"&lt;="&amp;Calendar!L$11,rngAMEnd,"&gt;="&amp;Calendar!L$11))</ns0:f>
        <ns0:v>0</ns0:v>
      </ns0:c>
      <ns0:c r="BT29" s="0">
        <ns0:f>IF(OR($AO29=0,$B$5&lt;&gt;"OK",$B$6&gt;0,Calendar!L$11=""),0,SUMIFS(rngEngine_V,rngEngine_B,INDEX(Team!$A$11:$A$60,$AO29),rngPMStart,"&lt;="&amp;Calendar!L$11,rngPMEnd,"&gt;="&amp;Calendar!L$11))</ns0:f>
        <ns0:v>0</ns0:v>
      </ns0:c>
      <ns0:c r="BU29" s="0">
        <ns0:f>IF(OR($AO29=0,$B$5&lt;&gt;"OK",$B$6&gt;0,Calendar!M$11=""),0,SUMIFS(rngEngine_U,rngEngine_B,INDEX(Team!$A$11:$A$60,$AO29),rngAMStart,"&lt;="&amp;Calendar!M$11,rngAMEnd,"&gt;="&amp;Calendar!M$11))</ns0:f>
        <ns0:v>0</ns0:v>
      </ns0:c>
      <ns0:c r="BV29" s="0">
        <ns0:f>IF(OR($AO29=0,$B$5&lt;&gt;"OK",$B$6&gt;0,Calendar!M$11=""),0,SUMIFS(rngEngine_V,rngEngine_B,INDEX(Team!$A$11:$A$60,$AO29),rngPMStart,"&lt;="&amp;Calendar!M$11,rngPMEnd,"&gt;="&amp;Calendar!M$11))</ns0:f>
        <ns0:v>0</ns0:v>
      </ns0:c>
      <ns0:c r="BW29" s="0">
        <ns0:f>IF(OR($AO29=0,$B$5&lt;&gt;"OK",$B$6&gt;0,Calendar!N$11=""),0,SUMIFS(rngEngine_U,rngEngine_B,INDEX(Team!$A$11:$A$60,$AO29),rngAMStart,"&lt;="&amp;Calendar!N$11,rngAMEnd,"&gt;="&amp;Calendar!N$11))</ns0:f>
        <ns0:v>0</ns0:v>
      </ns0:c>
      <ns0:c r="BX29" s="0">
        <ns0:f>IF(OR($AO29=0,$B$5&lt;&gt;"OK",$B$6&gt;0,Calendar!N$11=""),0,SUMIFS(rngEngine_V,rngEngine_B,INDEX(Team!$A$11:$A$60,$AO29),rngPMStart,"&lt;="&amp;Calendar!N$11,rngPMEnd,"&gt;="&amp;Calendar!N$11))</ns0:f>
        <ns0:v>0</ns0:v>
      </ns0:c>
      <ns0:c r="BY29" s="0">
        <ns0:f>IF(OR($AO29=0,$B$5&lt;&gt;"OK",$B$6&gt;0,Calendar!O$11=""),0,SUMIFS(rngEngine_U,rngEngine_B,INDEX(Team!$A$11:$A$60,$AO29),rngAMStart,"&lt;="&amp;Calendar!O$11,rngAMEnd,"&gt;="&amp;Calendar!O$11))</ns0:f>
        <ns0:v>0</ns0:v>
      </ns0:c>
      <ns0:c r="BZ29" s="0">
        <ns0:f>IF(OR($AO29=0,$B$5&lt;&gt;"OK",$B$6&gt;0,Calendar!O$11=""),0,SUMIFS(rngEngine_V,rngEngine_B,INDEX(Team!$A$11:$A$60,$AO29),rngPMStart,"&lt;="&amp;Calendar!O$11,rngPMEnd,"&gt;="&amp;Calendar!O$11))</ns0:f>
        <ns0:v>0</ns0:v>
      </ns0:c>
      <ns0:c r="CA29" s="0">
        <ns0:f>IF(OR($AO29=0,$B$5&lt;&gt;"OK",$B$6&gt;0,Calendar!P$11=""),0,SUMIFS(rngEngine_U,rngEngine_B,INDEX(Team!$A$11:$A$60,$AO29),rngAMStart,"&lt;="&amp;Calendar!P$11,rngAMEnd,"&gt;="&amp;Calendar!P$11))</ns0:f>
        <ns0:v>0</ns0:v>
      </ns0:c>
      <ns0:c r="CB29" s="0">
        <ns0:f>IF(OR($AO29=0,$B$5&lt;&gt;"OK",$B$6&gt;0,Calendar!P$11=""),0,SUMIFS(rngEngine_V,rngEngine_B,INDEX(Team!$A$11:$A$60,$AO29),rngPMStart,"&lt;="&amp;Calendar!P$11,rngPMEnd,"&gt;="&amp;Calendar!P$11))</ns0:f>
        <ns0:v>0</ns0:v>
      </ns0:c>
      <ns0:c r="CC29" s="0">
        <ns0:f>IF(OR($AO29=0,$B$5&lt;&gt;"OK",$B$6&gt;0,Calendar!Q$11=""),0,SUMIFS(rngEngine_U,rngEngine_B,INDEX(Team!$A$11:$A$60,$AO29),rngAMStart,"&lt;="&amp;Calendar!Q$11,rngAMEnd,"&gt;="&amp;Calendar!Q$11))</ns0:f>
        <ns0:v>0</ns0:v>
      </ns0:c>
      <ns0:c r="CD29" s="0">
        <ns0:f>IF(OR($AO29=0,$B$5&lt;&gt;"OK",$B$6&gt;0,Calendar!Q$11=""),0,SUMIFS(rngEngine_V,rngEngine_B,INDEX(Team!$A$11:$A$60,$AO29),rngPMStart,"&lt;="&amp;Calendar!Q$11,rngPMEnd,"&gt;="&amp;Calendar!Q$11))</ns0:f>
        <ns0:v>0</ns0:v>
      </ns0:c>
      <ns0:c r="CE29" s="0">
        <ns0:f>IF(OR($AO29=0,$B$5&lt;&gt;"OK",$B$6&gt;0,Calendar!R$11=""),0,SUMIFS(rngEngine_U,rngEngine_B,INDEX(Team!$A$11:$A$60,$AO29),rngAMStart,"&lt;="&amp;Calendar!R$11,rngAMEnd,"&gt;="&amp;Calendar!R$11))</ns0:f>
        <ns0:v>0</ns0:v>
      </ns0:c>
      <ns0:c r="CF29" s="0">
        <ns0:f>IF(OR($AO29=0,$B$5&lt;&gt;"OK",$B$6&gt;0,Calendar!R$11=""),0,SUMIFS(rngEngine_V,rngEngine_B,INDEX(Team!$A$11:$A$60,$AO29),rngPMStart,"&lt;="&amp;Calendar!R$11,rngPMEnd,"&gt;="&amp;Calendar!R$11))</ns0:f>
        <ns0:v>0</ns0:v>
      </ns0:c>
      <ns0:c r="CG29" s="0">
        <ns0:f>IF(OR($AO29=0,$B$5&lt;&gt;"OK",$B$6&gt;0,Calendar!S$11=""),0,SUMIFS(rngEngine_U,rngEngine_B,INDEX(Team!$A$11:$A$60,$AO29),rngAMStart,"&lt;="&amp;Calendar!S$11,rngAMEnd,"&gt;="&amp;Calendar!S$11))</ns0:f>
        <ns0:v>0</ns0:v>
      </ns0:c>
      <ns0:c r="CH29" s="0">
        <ns0:f>IF(OR($AO29=0,$B$5&lt;&gt;"OK",$B$6&gt;0,Calendar!S$11=""),0,SUMIFS(rngEngine_V,rngEngine_B,INDEX(Team!$A$11:$A$60,$AO29),rngPMStart,"&lt;="&amp;Calendar!S$11,rngPMEnd,"&gt;="&amp;Calendar!S$11))</ns0:f>
        <ns0:v>0</ns0:v>
      </ns0:c>
      <ns0:c r="CI29" s="0">
        <ns0:f>IF(OR($AO29=0,$B$5&lt;&gt;"OK",$B$6&gt;0,Calendar!T$11=""),0,SUMIFS(rngEngine_U,rngEngine_B,INDEX(Team!$A$11:$A$60,$AO29),rngAMStart,"&lt;="&amp;Calendar!T$11,rngAMEnd,"&gt;="&amp;Calendar!T$11))</ns0:f>
        <ns0:v>0</ns0:v>
      </ns0:c>
      <ns0:c r="CJ29" s="0">
        <ns0:f>IF(OR($AO29=0,$B$5&lt;&gt;"OK",$B$6&gt;0,Calendar!T$11=""),0,SUMIFS(rngEngine_V,rngEngine_B,INDEX(Team!$A$11:$A$60,$AO29),rngPMStart,"&lt;="&amp;Calendar!T$11,rngPMEnd,"&gt;="&amp;Calendar!T$11))</ns0:f>
        <ns0:v>0</ns0:v>
      </ns0:c>
      <ns0:c r="CK29" s="0">
        <ns0:f>IF(OR($AO29=0,$B$5&lt;&gt;"OK",$B$6&gt;0,Calendar!U$11=""),0,SUMIFS(rngEngine_U,rngEngine_B,INDEX(Team!$A$11:$A$60,$AO29),rngAMStart,"&lt;="&amp;Calendar!U$11,rngAMEnd,"&gt;="&amp;Calendar!U$11))</ns0:f>
        <ns0:v>0</ns0:v>
      </ns0:c>
      <ns0:c r="CL29" s="0">
        <ns0:f>IF(OR($AO29=0,$B$5&lt;&gt;"OK",$B$6&gt;0,Calendar!U$11=""),0,SUMIFS(rngEngine_V,rngEngine_B,INDEX(Team!$A$11:$A$60,$AO29),rngPMStart,"&lt;="&amp;Calendar!U$11,rngPMEnd,"&gt;="&amp;Calendar!U$11))</ns0:f>
        <ns0:v>0</ns0:v>
      </ns0:c>
      <ns0:c r="CM29" s="0">
        <ns0:f>IF(OR($AO29=0,$B$5&lt;&gt;"OK",$B$6&gt;0,Calendar!V$11=""),0,SUMIFS(rngEngine_U,rngEngine_B,INDEX(Team!$A$11:$A$60,$AO29),rngAMStart,"&lt;="&amp;Calendar!V$11,rngAMEnd,"&gt;="&amp;Calendar!V$11))</ns0:f>
        <ns0:v>0</ns0:v>
      </ns0:c>
      <ns0:c r="CN29" s="0">
        <ns0:f>IF(OR($AO29=0,$B$5&lt;&gt;"OK",$B$6&gt;0,Calendar!V$11=""),0,SUMIFS(rngEngine_V,rngEngine_B,INDEX(Team!$A$11:$A$60,$AO29),rngPMStart,"&lt;="&amp;Calendar!V$11,rngPMEnd,"&gt;="&amp;Calendar!V$11))</ns0:f>
        <ns0:v>0</ns0:v>
      </ns0:c>
      <ns0:c r="CO29" s="0">
        <ns0:f>IF(OR($AO29=0,$B$5&lt;&gt;"OK",$B$6&gt;0,Calendar!W$11=""),0,SUMIFS(rngEngine_U,rngEngine_B,INDEX(Team!$A$11:$A$60,$AO29),rngAMStart,"&lt;="&amp;Calendar!W$11,rngAMEnd,"&gt;="&amp;Calendar!W$11))</ns0:f>
        <ns0:v>0</ns0:v>
      </ns0:c>
      <ns0:c r="CP29" s="0">
        <ns0:f>IF(OR($AO29=0,$B$5&lt;&gt;"OK",$B$6&gt;0,Calendar!W$11=""),0,SUMIFS(rngEngine_V,rngEngine_B,INDEX(Team!$A$11:$A$60,$AO29),rngPMStart,"&lt;="&amp;Calendar!W$11,rngPMEnd,"&gt;="&amp;Calendar!W$11))</ns0:f>
        <ns0:v>0</ns0:v>
      </ns0:c>
      <ns0:c r="CQ29" s="0">
        <ns0:f>IF(OR($AO29=0,$B$5&lt;&gt;"OK",$B$6&gt;0,Calendar!X$11=""),0,SUMIFS(rngEngine_U,rngEngine_B,INDEX(Team!$A$11:$A$60,$AO29),rngAMStart,"&lt;="&amp;Calendar!X$11,rngAMEnd,"&gt;="&amp;Calendar!X$11))</ns0:f>
        <ns0:v>0</ns0:v>
      </ns0:c>
      <ns0:c r="CR29" s="0">
        <ns0:f>IF(OR($AO29=0,$B$5&lt;&gt;"OK",$B$6&gt;0,Calendar!X$11=""),0,SUMIFS(rngEngine_V,rngEngine_B,INDEX(Team!$A$11:$A$60,$AO29),rngPMStart,"&lt;="&amp;Calendar!X$11,rngPMEnd,"&gt;="&amp;Calendar!X$11))</ns0:f>
        <ns0:v>0</ns0:v>
      </ns0:c>
      <ns0:c r="CS29" s="0">
        <ns0:f>IF(OR($AO29=0,$B$5&lt;&gt;"OK",$B$6&gt;0,Calendar!Y$11=""),0,SUMIFS(rngEngine_U,rngEngine_B,INDEX(Team!$A$11:$A$60,$AO29),rngAMStart,"&lt;="&amp;Calendar!Y$11,rngAMEnd,"&gt;="&amp;Calendar!Y$11))</ns0:f>
        <ns0:v>0</ns0:v>
      </ns0:c>
      <ns0:c r="CT29" s="0">
        <ns0:f>IF(OR($AO29=0,$B$5&lt;&gt;"OK",$B$6&gt;0,Calendar!Y$11=""),0,SUMIFS(rngEngine_V,rngEngine_B,INDEX(Team!$A$11:$A$60,$AO29),rngPMStart,"&lt;="&amp;Calendar!Y$11,rngPMEnd,"&gt;="&amp;Calendar!Y$11))</ns0:f>
        <ns0:v>0</ns0:v>
      </ns0:c>
      <ns0:c r="CU29" s="0">
        <ns0:f>IF(OR($AO29=0,$B$5&lt;&gt;"OK",$B$6&gt;0,Calendar!Z$11=""),0,SUMIFS(rngEngine_U,rngEngine_B,INDEX(Team!$A$11:$A$60,$AO29),rngAMStart,"&lt;="&amp;Calendar!Z$11,rngAMEnd,"&gt;="&amp;Calendar!Z$11))</ns0:f>
        <ns0:v>0</ns0:v>
      </ns0:c>
      <ns0:c r="CV29" s="0">
        <ns0:f>IF(OR($AO29=0,$B$5&lt;&gt;"OK",$B$6&gt;0,Calendar!Z$11=""),0,SUMIFS(rngEngine_V,rngEngine_B,INDEX(Team!$A$11:$A$60,$AO29),rngPMStart,"&lt;="&amp;Calendar!Z$11,rngPMEnd,"&gt;="&amp;Calendar!Z$11))</ns0:f>
        <ns0:v>0</ns0:v>
      </ns0:c>
      <ns0:c r="CW29" s="0">
        <ns0:f>IF(OR($AO29=0,$B$5&lt;&gt;"OK",$B$6&gt;0,Calendar!AA$11=""),0,SUMIFS(rngEngine_U,rngEngine_B,INDEX(Team!$A$11:$A$60,$AO29),rngAMStart,"&lt;="&amp;Calendar!AA$11,rngAMEnd,"&gt;="&amp;Calendar!AA$11))</ns0:f>
        <ns0:v>0</ns0:v>
      </ns0:c>
      <ns0:c r="CX29" s="0">
        <ns0:f>IF(OR($AO29=0,$B$5&lt;&gt;"OK",$B$6&gt;0,Calendar!AA$11=""),0,SUMIFS(rngEngine_V,rngEngine_B,INDEX(Team!$A$11:$A$60,$AO29),rngPMStart,"&lt;="&amp;Calendar!AA$11,rngPMEnd,"&gt;="&amp;Calendar!AA$11))</ns0:f>
        <ns0:v>0</ns0:v>
      </ns0:c>
      <ns0:c r="CY29" s="0">
        <ns0:f>IF(OR($AO29=0,$B$5&lt;&gt;"OK",$B$6&gt;0,Calendar!AB$11=""),0,SUMIFS(rngEngine_U,rngEngine_B,INDEX(Team!$A$11:$A$60,$AO29),rngAMStart,"&lt;="&amp;Calendar!AB$11,rngAMEnd,"&gt;="&amp;Calendar!AB$11))</ns0:f>
        <ns0:v>0</ns0:v>
      </ns0:c>
      <ns0:c r="CZ29" s="0">
        <ns0:f>IF(OR($AO29=0,$B$5&lt;&gt;"OK",$B$6&gt;0,Calendar!AB$11=""),0,SUMIFS(rngEngine_V,rngEngine_B,INDEX(Team!$A$11:$A$60,$AO29),rngPMStart,"&lt;="&amp;Calendar!AB$11,rngPMEnd,"&gt;="&amp;Calendar!AB$11))</ns0:f>
        <ns0:v>0</ns0:v>
      </ns0:c>
      <ns0:c r="DA29" s="0">
        <ns0:f>IF(OR($AO29=0,$B$5&lt;&gt;"OK",$B$6&gt;0,Calendar!AC$11=""),0,SUMIFS(rngEngine_U,rngEngine_B,INDEX(Team!$A$11:$A$60,$AO29),rngAMStart,"&lt;="&amp;Calendar!AC$11,rngAMEnd,"&gt;="&amp;Calendar!AC$11))</ns0:f>
        <ns0:v>0</ns0:v>
      </ns0:c>
      <ns0:c r="DB29" s="0">
        <ns0:f>IF(OR($AO29=0,$B$5&lt;&gt;"OK",$B$6&gt;0,Calendar!AC$11=""),0,SUMIFS(rngEngine_V,rngEngine_B,INDEX(Team!$A$11:$A$60,$AO29),rngPMStart,"&lt;="&amp;Calendar!AC$11,rngPMEnd,"&gt;="&amp;Calendar!AC$11))</ns0:f>
        <ns0:v>0</ns0:v>
      </ns0:c>
      <ns0:c r="DC29" s="0">
        <ns0:f>IF(OR($AO29=0,$B$5&lt;&gt;"OK",$B$6&gt;0,Calendar!AD$11=""),0,SUMIFS(rngEngine_U,rngEngine_B,INDEX(Team!$A$11:$A$60,$AO29),rngAMStart,"&lt;="&amp;Calendar!AD$11,rngAMEnd,"&gt;="&amp;Calendar!AD$11))</ns0:f>
        <ns0:v>0</ns0:v>
      </ns0:c>
      <ns0:c r="DD29" s="0">
        <ns0:f>IF(OR($AO29=0,$B$5&lt;&gt;"OK",$B$6&gt;0,Calendar!AD$11=""),0,SUMIFS(rngEngine_V,rngEngine_B,INDEX(Team!$A$11:$A$60,$AO29),rngPMStart,"&lt;="&amp;Calendar!AD$11,rngPMEnd,"&gt;="&amp;Calendar!AD$11))</ns0:f>
        <ns0:v>0</ns0:v>
      </ns0:c>
      <ns0:c r="DE29" s="0">
        <ns0:f>IF(OR($AO29=0,$B$5&lt;&gt;"OK",$B$6&gt;0,Calendar!AE$11=""),0,SUMIFS(rngEngine_U,rngEngine_B,INDEX(Team!$A$11:$A$60,$AO29),rngAMStart,"&lt;="&amp;Calendar!AE$11,rngAMEnd,"&gt;="&amp;Calendar!AE$11))</ns0:f>
        <ns0:v>0</ns0:v>
      </ns0:c>
      <ns0:c r="DF29" s="0">
        <ns0:f>IF(OR($AO29=0,$B$5&lt;&gt;"OK",$B$6&gt;0,Calendar!AE$11=""),0,SUMIFS(rngEngine_V,rngEngine_B,INDEX(Team!$A$11:$A$60,$AO29),rngPMStart,"&lt;="&amp;Calendar!AE$11,rngPMEnd,"&gt;="&amp;Calendar!AE$11))</ns0:f>
        <ns0:v>0</ns0:v>
      </ns0:c>
      <ns0:c r="DG29" s="0">
        <ns0:f>IF(OR($AO29=0,$B$5&lt;&gt;"OK",$B$6&gt;0,Calendar!AF$11=""),0,SUMIFS(rngEngine_U,rngEngine_B,INDEX(Team!$A$11:$A$60,$AO29),rngAMStart,"&lt;="&amp;Calendar!AF$11,rngAMEnd,"&gt;="&amp;Calendar!AF$11))</ns0:f>
        <ns0:v>0</ns0:v>
      </ns0:c>
      <ns0:c r="DH29" s="0">
        <ns0:f>IF(OR($AO29=0,$B$5&lt;&gt;"OK",$B$6&gt;0,Calendar!AF$11=""),0,SUMIFS(rngEngine_V,rngEngine_B,INDEX(Team!$A$11:$A$60,$AO29),rngPMStart,"&lt;="&amp;Calendar!AF$11,rngPMEnd,"&gt;="&amp;Calendar!AF$11))</ns0:f>
        <ns0:v>0</ns0:v>
      </ns0:c>
      <ns0:c r="DI29" s="0">
        <ns0:f>IF(OR($AO29=0,$B$5&lt;&gt;"OK",$B$6&gt;0,Calendar!AG$11=""),0,SUMIFS(rngEngine_U,rngEngine_B,INDEX(Team!$A$11:$A$60,$AO29),rngAMStart,"&lt;="&amp;Calendar!AG$11,rngAMEnd,"&gt;="&amp;Calendar!AG$11))</ns0:f>
        <ns0:v>0</ns0:v>
      </ns0:c>
      <ns0:c r="DJ29" s="0">
        <ns0:f>IF(OR($AO29=0,$B$5&lt;&gt;"OK",$B$6&gt;0,Calendar!AG$11=""),0,SUMIFS(rngEngine_V,rngEngine_B,INDEX(Team!$A$11:$A$60,$AO29),rngPMStart,"&lt;="&amp;Calendar!AG$11,rngPMEnd,"&gt;="&amp;Calendar!AG$11))</ns0:f>
        <ns0:v>0</ns0:v>
      </ns0:c>
      <ns0:c r="DK29" s="0">
        <ns0:f>IF(OR($AO29=0,$B$5&lt;&gt;"OK",$B$6&gt;0,Calendar!AH$11=""),0,SUMIFS(rngEngine_U,rngEngine_B,INDEX(Team!$A$11:$A$60,$AO29),rngAMStart,"&lt;="&amp;Calendar!AH$11,rngAMEnd,"&gt;="&amp;Calendar!AH$11))</ns0:f>
        <ns0:v>0</ns0:v>
      </ns0:c>
      <ns0:c r="DL29" s="0">
        <ns0:f>IF(OR($AO29=0,$B$5&lt;&gt;"OK",$B$6&gt;0,Calendar!AH$11=""),0,SUMIFS(rngEngine_V,rngEngine_B,INDEX(Team!$A$11:$A$60,$AO29),rngPMStart,"&lt;="&amp;Calendar!AH$11,rngPMEnd,"&gt;="&amp;Calendar!AH$11))</ns0:f>
        <ns0:v>0</ns0:v>
      </ns0:c>
    </ns0:row>
    <ns0:row r="30" ht="22" customHeight="1">
      <ns0:c r="A30" s="4">
        <ns0:f>IF(COUNTA(Bookings!A30:G30,Bookings!I30)=0,0,1)</ns0:f>
        <ns0:v>1</ns0:v>
      </ns0:c>
      <ns0:c r="B30" s="4" t="str">
        <ns0:f>IFERROR(TRIM(MID(Bookings!A30,FIND(" · ",Bookings!A30)+3,99)),"")</ns0:f>
        <ns0:v>EMP002</ns0:v>
      </ns0:c>
      <ns0:c r="C30" s="4">
        <ns0:f>IF(OR(B30="",LEN(B30)&gt;24,ISNUMBER(FIND(" ",B30)),ISNUMBER(FIND("*",B30)),ISNUMBER(FIND("?",B30)),ISNUMBER(FIND("~",B30))),0,IFERROR(MATCH(B30,Team!$A$11:$A$60,0),0))</ns0:f>
        <ns0:v>2</ns0:v>
      </ns0:c>
      <ns0:c r="D30" s="4" t="str">
        <ns0:f>IFERROR(IF(MID(Bookings!F30,LEN(Bookings!F30)-3,3)=" · ",RIGHT(Bookings!F30,1),""),"")</ns0:f>
        <ns0:v>H</ns0:v>
      </ns0:c>
      <ns0:c r="E30" s="4" t="str">
        <ns0:f>IFERROR(INDEX(Settings!$H$7:$H$11,MATCH(D30,Settings!$G$7:$G$11,0)),"")</ns0:f>
        <ns0:v>Yes</ns0:v>
      </ns0:c>
      <ns0:c r="F30" s="4" t="str">
        <ns0:f>IF(A30=0,"",IFERROR(IF(OR(B30="",C30=0),"CHECK employee selection",IF(INDEX(Team!$O$11:$O$60,C30)&lt;&gt;"OK","CHECK employee setup",IF(OR('_Dates'!J30=0,'_Dates'!T30=0),"CHECK date: use DD.MM.YYYY",IF('_Dates'!T30&lt;'_Dates'!J30,"CHECK end before start",IF(AND($B$6=0,OR('_Dates'!J30&lt;Settings!$B$7,'_Dates'!T30&gt;Settings!$B$8)),"CHECK split across leave years",IF(OR(NOT(OR('_Dates'!U30="Full day",'_Dates'!U30="AM",'_Dates'!U30="PM")),NOT(OR('_Dates'!V30="Full day",'_Dates'!V30="AM",'_Dates'!V30="PM"))),"CHECK Full day / AM / PM",IF(AND('_Dates'!J30='_Dates'!T30,'_Dates'!U30&lt;&gt;"Full day",'_Dates'!V30&lt;&gt;"Full day",'_Dates'!U30&lt;&gt;'_Dates'!V30),"CHECK same-day portions disagree",IF(AND($B$6=0,OR(AND('_Dates'!U30&lt;&gt;"Full day",'_Dates'!AA30=0),AND('_Dates'!V30&lt;&gt;"Full day",'_Dates'!AB30=0))),"CHECK half-day on non-working date",IF(COUNTIF(Settings!$G$7:$G$11,D30)&lt;&gt;1,"CHECK leave type",IF(AND(Bookings!G30&lt;&gt;"Approved",Bookings!G30&lt;&gt;"Pending",Bookings!G30&lt;&gt;"Cancelled"),"CHECK status","OK")))))))))),"CHECK input"))</ns0:f>
        <ns0:v>OK</ns0:v>
      </ns0:c>
      <ns0:c r="G30" s="4">
        <ns0:f>IF(OR(F30&lt;&gt;"OK",$B$6&gt;0),0,0.5*(IF(('_Dates'!X30)&lt;('_Dates'!W30),0,INT((('_Dates'!X30)-('_Dates'!W30)+1)/7)*LEN(SUBSTITUTE(W30,"O",""))+LEN(SUBSTITUTE(MID(W30&amp;W30,WEEKDAY(('_Dates'!W30),2),MOD((('_Dates'!X30)-('_Dates'!W30)+1),7)),"O",""))-COUNTIFS(INDEX(AllClosureRows,C30,0),"&gt;="&amp;('_Dates'!W30),INDEX(AllClosureRows,C30,0),"&lt;="&amp;('_Dates'!X30)))+IF(('_Dates'!Z30)&lt;('_Dates'!Y30),0,INT((('_Dates'!Z30)-('_Dates'!Y30)+1)/7)*LEN(SUBSTITUTE(W30,"O",""))+LEN(SUBSTITUTE(MID(W30&amp;W30,WEEKDAY(('_Dates'!Y30),2),MOD((('_Dates'!Z30)-('_Dates'!Y30)+1),7)),"O",""))-COUNTIFS(INDEX(AllClosureRows,C30,0),"&gt;="&amp;('_Dates'!Y30),INDEX(AllClosureRows,C30,0),"&lt;="&amp;('_Dates'!Z30)))))</ns0:f>
        <ns0:v>1</ns0:v>
      </ns0:c>
      <ns0:c r="H30" s="4">
        <ns0:f>IF(OR(F30&lt;&gt;"OK",$B$6&gt;0),0,0.5*(IF((MIN('_Dates'!X30,Settings!$B$9))&lt;('_Dates'!W30),0,INT(((MIN('_Dates'!X30,Settings!$B$9))-('_Dates'!W30)+1)/7)*LEN(SUBSTITUTE(W30,"O",""))+LEN(SUBSTITUTE(MID(W30&amp;W30,WEEKDAY(('_Dates'!W30),2),MOD(((MIN('_Dates'!X30,Settings!$B$9))-('_Dates'!W30)+1),7)),"O",""))-COUNTIFS(INDEX(AllClosureRows,C30,0),"&gt;="&amp;('_Dates'!W30),INDEX(AllClosureRows,C30,0),"&lt;="&amp;(MIN('_Dates'!X30,Settings!$B$9))))+IF((MIN('_Dates'!Z30,Settings!$B$9))&lt;('_Dates'!Y30),0,INT(((MIN('_Dates'!Z30,Settings!$B$9))-('_Dates'!Y30)+1)/7)*LEN(SUBSTITUTE(W30,"O",""))+LEN(SUBSTITUTE(MID(W30&amp;W30,WEEKDAY(('_Dates'!Y30),2),MOD(((MIN('_Dates'!Z30,Settings!$B$9))-('_Dates'!Y30)+1),7)),"O",""))-COUNTIFS(INDEX(AllClosureRows,C30,0),"&gt;="&amp;('_Dates'!Y30),INDEX(AllClosureRows,C30,0),"&lt;="&amp;(MIN('_Dates'!Z30,Settings!$B$9))))))</ns0:f>
        <ns0:v>0.5</ns0:v>
      </ns0:c>
      <ns0:c r="I30" s="4">
        <ns0:f>MAX(0,G30-H30)</ns0:f>
        <ns0:v>0.5</ns0:v>
      </ns0:c>
      <ns0:c r="J30" s="4">
        <ns0:f>IF(OR(A30=0,F30&lt;&gt;"OK",Bookings!G30="Cancelled",$B$6&gt;0),0,IF('_Dates'!AC30=1,MAX(0,COUNTIFS(rngEngine_B,B30,rngAMStart,"&lt;="&amp;'_Dates'!X30,rngAMEnd,"&gt;="&amp;'_Dates'!W30,rngAMActive,1,rngEngine_F,"OK",rngBookings_F,"&lt;&gt;Cancelled")-1),0)+IF('_Dates'!AD30=1,MAX(0,COUNTIFS(rngEngine_B,B30,rngPMStart,"&lt;="&amp;'_Dates'!Z30,rngPMEnd,"&gt;="&amp;'_Dates'!Y30,rngPMActive,1,rngEngine_F,"OK",rngBookings_F,"&lt;&gt;Cancelled")-1),0))</ns0:f>
        <ns0:v>0</ns0:v>
      </ns0:c>
      <ns0:c r="K30" s="0" t="str">
        <ns0:f>IF(A30=0,"",IF(F30&lt;&gt;"OK",F30,IF(J30&gt;0,"CHECK overlapping entry",IF(AND($B$6=0,G30&lt;=0,Bookings!G30&lt;&gt;"Cancelled"),"CHECK no working days",IF(Bookings!G30="Cancelled","Cancelled","OK")))))</ns0:f>
        <ns0:v>Cancelled</ns0:v>
      </ns0:c>
      <ns0:c r="L30" s="0">
        <ns0:f>IF(LEFT(K30,5)="CHECK",1,0)</ns0:f>
        <ns0:v>0</ns0:v>
      </ns0:c>
      <ns0:c r="M30" s="0">
        <ns0:f>IF(AND(L30=1,OR(C30=0,IFERROR(INDEX($X$11:$X$60,C30),0)=0)),1,0)</ns0:f>
        <ns0:v>0</ns0:v>
      </ns0:c>
      <ns0:c r="N30" s="0">
        <ns0:f>IF(OR(A30=0,L30&gt;0,$B$6&gt;0,Bookings!G30="Cancelled"),0,G30)</ns0:f>
        <ns0:v>0</ns0:v>
      </ns0:c>
      <ns0:c r="O30" s="0">
        <ns0:f>IF(AND(Bookings!G30="Approved",E30="Yes"),N30,0)</ns0:f>
        <ns0:v>0</ns0:v>
      </ns0:c>
      <ns0:c r="P30" s="0">
        <ns0:f>IF(AND(Bookings!G30="Approved",E30="Yes",L30=0,$B$6=0),H30,0)</ns0:f>
        <ns0:v>0</ns0:v>
      </ns0:c>
      <ns0:c r="Q30" s="0">
        <ns0:f>IF(AND(Bookings!G30="Approved",E30="Yes",L30=0,$B$6=0),I30,0)</ns0:f>
        <ns0:v>0</ns0:v>
      </ns0:c>
      <ns0:c r="R30" s="0">
        <ns0:f>IF(AND(Bookings!G30="Pending",E30="Yes"),N30,0)</ns0:f>
        <ns0:v>0</ns0:v>
      </ns0:c>
      <ns0:c r="S30" s="0">
        <ns0:f>IF(AND(Bookings!G30="Approved",E30="No"),N30,0)</ns0:f>
        <ns0:v>0</ns0:v>
      </ns0:c>
      <ns0:c r="T30" s="0">
        <ns0:f>IFERROR(MATCH(D30,Settings!$G$7:$G$11,0),0)</ns0:f>
        <ns0:v>1</ns0:v>
      </ns0:c>
      <ns0:c r="U30" s="0">
        <ns0:f>IF(N30&gt;0,T30+IF(Bookings!G30="Pending",10,0),0)</ns0:f>
        <ns0:v>0</ns0:v>
      </ns0:c>
      <ns0:c r="V30" s="0">
        <ns0:f>U30</ns0:f>
        <ns0:v>0</ns0:v>
      </ns0:c>
      <ns0:c r="W30" s="0" t="str">
        <ns0:f>IF(C30=0,"",INDEX($AP$11:$AP$60,C30))</ns0:f>
        <ns0:v>WWWWWOO</ns0:v>
      </ns0:c>
      <ns0:c r="X30" s="0">
        <ns0:f>IF(COUNTA(Team!B30:D30)=0,0,1)</ns0:f>
        <ns0:v>0</ns0:v>
      </ns0:c>
      <ns0:c r="Y30" s="0" t="str">
        <ns0:f>IF(X30=0,"",IF(Team!B30="","[Unnamed]",Team!B30)&amp;" · "&amp;Team!A30)</ns0:f>
        <ns0:v/>
      </ns0:c>
      <ns0:c r="Z30" s="0">
        <ns0:f>IF(X30=0,0,COUNTIF(Team!H30:N30,"Work"))</ns0:f>
        <ns0:v>0</ns0:v>
      </ns0:c>
      <ns0:c r="AA30" s="0">
        <ns0:f>IF(LEFT(Team!O30,5)="CHECK",1,0)</ns0:f>
        <ns0:v>0</ns0:v>
      </ns0:c>
      <ns0:c r="AB30" s="0">
        <ns0:f>IF(X30=0,0,SUMIFS(rngEngine_L,rngEngine_B,Team!A30))</ns0:f>
        <ns0:v>0</ns0:v>
      </ns0:c>
      <ns0:c r="AC30" s="0" t="str">
        <ns0:f>IF(AND(X30=1,OR(Calendar!$C$7="All teams",Team!C30=Calendar!$C$7)),MAX($AC$10:AC29)+1,"")</ns0:f>
        <ns0:v/>
      </ns0:c>
      <ns0:c r="AD30" s="0" t="str">
        <ns0:f>IF(OR(X30=0,Team!C30="",COUNTIF(Team!$C$11:C30,Team!C30)&gt;1),"",MAX($AD$10:AD29)+1)</ns0:f>
        <ns0:v/>
      </ns0:c>
      <ns0:c r="AE30" s="0" t="str">
        <ns0:f>IFERROR(INDEX(Team!$C$11:$C$60,MATCH(ROW()-10,$AD$11:$AD$60,0)),"")</ns0:f>
        <ns0:v/>
      </ns0:c>
      <ns0:c r="AF30" s="0" t="str">
        <ns0:f>AE30</ns0:f>
        <ns0:v/>
      </ns0:c>
      <ns0:c r="AG30" s="0">
        <ns0:f>IF(X30=0,0,IFERROR(Team!F30+Team!G30,0))</ns0:f>
        <ns0:v>0</ns0:v>
      </ns0:c>
      <ns0:c r="AH30" s="0">
        <ns0:f>IF(X30=0,0,SUMIFS(rngEngine_P,rngEngine_B,Team!A30))</ns0:f>
        <ns0:v>0</ns0:v>
      </ns0:c>
      <ns0:c r="AI30" s="0">
        <ns0:f>IF(X30=0,0,SUMIFS(rngEngine_Q,rngEngine_B,Team!A30))</ns0:f>
        <ns0:v>0</ns0:v>
      </ns0:c>
      <ns0:c r="AJ30" s="0">
        <ns0:f>IF(X30=0,0,SUMIFS(rngEngine_R,rngEngine_B,Team!A30))</ns0:f>
        <ns0:v>0</ns0:v>
      </ns0:c>
      <ns0:c r="AK30" s="0">
        <ns0:f>IF(X30=0,0,SUMIFS(rngEngine_S,rngEngine_B,Team!A30))</ns0:f>
        <ns0:v>0</ns0:v>
      </ns0:c>
      <ns0:c r="AL30" s="0">
        <ns0:f>AH30+AI30</ns0:f>
        <ns0:v>0</ns0:v>
      </ns0:c>
      <ns0:c r="AM30" s="0" t="str">
        <ns0:f>IF(X30=0,"",IF(AA30&gt;0,"CHECK team setup",IF(AB30&gt;0,"CHECK "&amp;AB30&amp;" booking(s)","OK")))</ns0:f>
        <ns0:v/>
      </ns0:c>
      <ns0:c r="AN30" s="0" t="str">
        <ns0:f>IF(X30=0,"",IF(OR($B$6&gt;0,AM30&lt;&gt;"OK"),"REVIEW",AG30-AL30))</ns0:f>
        <ns0:v/>
      </ns0:c>
      <ns0:c r="AO30" s="0">
        <ns0:f>IFERROR(MATCH(ROW()-11,$AC$11:$AC$60,0),0)</ns0:f>
        <ns0:v>0</ns0:v>
      </ns0:c>
      <ns0:c r="AP30" s="0" t="str">
        <ns0:f>IF(Team!H30="Work","W","O")&amp;IF(Team!I30="Work","W","O")&amp;IF(Team!J30="Work","W","O")&amp;IF(Team!K30="Work","W","O")&amp;IF(Team!L30="Work","W","O")&amp;IF(Team!M30="Work","W","O")&amp;IF(Team!N30="Work","W","O")</ns0:f>
        <ns0:v>WWWWWOO</ns0:v>
      </ns0:c>
      <ns0:c r="AR30" s="0">
        <ns0:f>IFERROR(IF(ISNUMBER(Settings!F30),WEEKDAY(Settings!F30,2),0),0)</ns0:f>
        <ns0:v>0</ns0:v>
      </ns0:c>
      <ns0:c r="BC30" s="0">
        <ns0:f>IF(OR($AO30=0,$B$5&lt;&gt;"OK",$B$6&gt;0,Calendar!D$11=""),0,SUMIFS(rngEngine_U,rngEngine_B,INDEX(Team!$A$11:$A$60,$AO30),rngAMStart,"&lt;="&amp;Calendar!D$11,rngAMEnd,"&gt;="&amp;Calendar!D$11))</ns0:f>
        <ns0:v>0</ns0:v>
      </ns0:c>
      <ns0:c r="BD30" s="0">
        <ns0:f>IF(OR($AO30=0,$B$5&lt;&gt;"OK",$B$6&gt;0,Calendar!D$11=""),0,SUMIFS(rngEngine_V,rngEngine_B,INDEX(Team!$A$11:$A$60,$AO30),rngPMStart,"&lt;="&amp;Calendar!D$11,rngPMEnd,"&gt;="&amp;Calendar!D$11))</ns0:f>
        <ns0:v>0</ns0:v>
      </ns0:c>
      <ns0:c r="BE30" s="0">
        <ns0:f>IF(OR($AO30=0,$B$5&lt;&gt;"OK",$B$6&gt;0,Calendar!E$11=""),0,SUMIFS(rngEngine_U,rngEngine_B,INDEX(Team!$A$11:$A$60,$AO30),rngAMStart,"&lt;="&amp;Calendar!E$11,rngAMEnd,"&gt;="&amp;Calendar!E$11))</ns0:f>
        <ns0:v>0</ns0:v>
      </ns0:c>
      <ns0:c r="BF30" s="0">
        <ns0:f>IF(OR($AO30=0,$B$5&lt;&gt;"OK",$B$6&gt;0,Calendar!E$11=""),0,SUMIFS(rngEngine_V,rngEngine_B,INDEX(Team!$A$11:$A$60,$AO30),rngPMStart,"&lt;="&amp;Calendar!E$11,rngPMEnd,"&gt;="&amp;Calendar!E$11))</ns0:f>
        <ns0:v>0</ns0:v>
      </ns0:c>
      <ns0:c r="BG30" s="0">
        <ns0:f>IF(OR($AO30=0,$B$5&lt;&gt;"OK",$B$6&gt;0,Calendar!F$11=""),0,SUMIFS(rngEngine_U,rngEngine_B,INDEX(Team!$A$11:$A$60,$AO30),rngAMStart,"&lt;="&amp;Calendar!F$11,rngAMEnd,"&gt;="&amp;Calendar!F$11))</ns0:f>
        <ns0:v>0</ns0:v>
      </ns0:c>
      <ns0:c r="BH30" s="0">
        <ns0:f>IF(OR($AO30=0,$B$5&lt;&gt;"OK",$B$6&gt;0,Calendar!F$11=""),0,SUMIFS(rngEngine_V,rngEngine_B,INDEX(Team!$A$11:$A$60,$AO30),rngPMStart,"&lt;="&amp;Calendar!F$11,rngPMEnd,"&gt;="&amp;Calendar!F$11))</ns0:f>
        <ns0:v>0</ns0:v>
      </ns0:c>
      <ns0:c r="BI30" s="0">
        <ns0:f>IF(OR($AO30=0,$B$5&lt;&gt;"OK",$B$6&gt;0,Calendar!G$11=""),0,SUMIFS(rngEngine_U,rngEngine_B,INDEX(Team!$A$11:$A$60,$AO30),rngAMStart,"&lt;="&amp;Calendar!G$11,rngAMEnd,"&gt;="&amp;Calendar!G$11))</ns0:f>
        <ns0:v>0</ns0:v>
      </ns0:c>
      <ns0:c r="BJ30" s="0">
        <ns0:f>IF(OR($AO30=0,$B$5&lt;&gt;"OK",$B$6&gt;0,Calendar!G$11=""),0,SUMIFS(rngEngine_V,rngEngine_B,INDEX(Team!$A$11:$A$60,$AO30),rngPMStart,"&lt;="&amp;Calendar!G$11,rngPMEnd,"&gt;="&amp;Calendar!G$11))</ns0:f>
        <ns0:v>0</ns0:v>
      </ns0:c>
      <ns0:c r="BK30" s="0">
        <ns0:f>IF(OR($AO30=0,$B$5&lt;&gt;"OK",$B$6&gt;0,Calendar!H$11=""),0,SUMIFS(rngEngine_U,rngEngine_B,INDEX(Team!$A$11:$A$60,$AO30),rngAMStart,"&lt;="&amp;Calendar!H$11,rngAMEnd,"&gt;="&amp;Calendar!H$11))</ns0:f>
        <ns0:v>0</ns0:v>
      </ns0:c>
      <ns0:c r="BL30" s="0">
        <ns0:f>IF(OR($AO30=0,$B$5&lt;&gt;"OK",$B$6&gt;0,Calendar!H$11=""),0,SUMIFS(rngEngine_V,rngEngine_B,INDEX(Team!$A$11:$A$60,$AO30),rngPMStart,"&lt;="&amp;Calendar!H$11,rngPMEnd,"&gt;="&amp;Calendar!H$11))</ns0:f>
        <ns0:v>0</ns0:v>
      </ns0:c>
      <ns0:c r="BM30" s="0">
        <ns0:f>IF(OR($AO30=0,$B$5&lt;&gt;"OK",$B$6&gt;0,Calendar!I$11=""),0,SUMIFS(rngEngine_U,rngEngine_B,INDEX(Team!$A$11:$A$60,$AO30),rngAMStart,"&lt;="&amp;Calendar!I$11,rngAMEnd,"&gt;="&amp;Calendar!I$11))</ns0:f>
        <ns0:v>0</ns0:v>
      </ns0:c>
      <ns0:c r="BN30" s="0">
        <ns0:f>IF(OR($AO30=0,$B$5&lt;&gt;"OK",$B$6&gt;0,Calendar!I$11=""),0,SUMIFS(rngEngine_V,rngEngine_B,INDEX(Team!$A$11:$A$60,$AO30),rngPMStart,"&lt;="&amp;Calendar!I$11,rngPMEnd,"&gt;="&amp;Calendar!I$11))</ns0:f>
        <ns0:v>0</ns0:v>
      </ns0:c>
      <ns0:c r="BO30" s="0">
        <ns0:f>IF(OR($AO30=0,$B$5&lt;&gt;"OK",$B$6&gt;0,Calendar!J$11=""),0,SUMIFS(rngEngine_U,rngEngine_B,INDEX(Team!$A$11:$A$60,$AO30),rngAMStart,"&lt;="&amp;Calendar!J$11,rngAMEnd,"&gt;="&amp;Calendar!J$11))</ns0:f>
        <ns0:v>0</ns0:v>
      </ns0:c>
      <ns0:c r="BP30" s="0">
        <ns0:f>IF(OR($AO30=0,$B$5&lt;&gt;"OK",$B$6&gt;0,Calendar!J$11=""),0,SUMIFS(rngEngine_V,rngEngine_B,INDEX(Team!$A$11:$A$60,$AO30),rngPMStart,"&lt;="&amp;Calendar!J$11,rngPMEnd,"&gt;="&amp;Calendar!J$11))</ns0:f>
        <ns0:v>0</ns0:v>
      </ns0:c>
      <ns0:c r="BQ30" s="0">
        <ns0:f>IF(OR($AO30=0,$B$5&lt;&gt;"OK",$B$6&gt;0,Calendar!K$11=""),0,SUMIFS(rngEngine_U,rngEngine_B,INDEX(Team!$A$11:$A$60,$AO30),rngAMStart,"&lt;="&amp;Calendar!K$11,rngAMEnd,"&gt;="&amp;Calendar!K$11))</ns0:f>
        <ns0:v>0</ns0:v>
      </ns0:c>
      <ns0:c r="BR30" s="0">
        <ns0:f>IF(OR($AO30=0,$B$5&lt;&gt;"OK",$B$6&gt;0,Calendar!K$11=""),0,SUMIFS(rngEngine_V,rngEngine_B,INDEX(Team!$A$11:$A$60,$AO30),rngPMStart,"&lt;="&amp;Calendar!K$11,rngPMEnd,"&gt;="&amp;Calendar!K$11))</ns0:f>
        <ns0:v>0</ns0:v>
      </ns0:c>
      <ns0:c r="BS30" s="0">
        <ns0:f>IF(OR($AO30=0,$B$5&lt;&gt;"OK",$B$6&gt;0,Calendar!L$11=""),0,SUMIFS(rngEngine_U,rngEngine_B,INDEX(Team!$A$11:$A$60,$AO30),rngAMStart,"&lt;="&amp;Calendar!L$11,rngAMEnd,"&gt;="&amp;Calendar!L$11))</ns0:f>
        <ns0:v>0</ns0:v>
      </ns0:c>
      <ns0:c r="BT30" s="0">
        <ns0:f>IF(OR($AO30=0,$B$5&lt;&gt;"OK",$B$6&gt;0,Calendar!L$11=""),0,SUMIFS(rngEngine_V,rngEngine_B,INDEX(Team!$A$11:$A$60,$AO30),rngPMStart,"&lt;="&amp;Calendar!L$11,rngPMEnd,"&gt;="&amp;Calendar!L$11))</ns0:f>
        <ns0:v>0</ns0:v>
      </ns0:c>
      <ns0:c r="BU30" s="0">
        <ns0:f>IF(OR($AO30=0,$B$5&lt;&gt;"OK",$B$6&gt;0,Calendar!M$11=""),0,SUMIFS(rngEngine_U,rngEngine_B,INDEX(Team!$A$11:$A$60,$AO30),rngAMStart,"&lt;="&amp;Calendar!M$11,rngAMEnd,"&gt;="&amp;Calendar!M$11))</ns0:f>
        <ns0:v>0</ns0:v>
      </ns0:c>
      <ns0:c r="BV30" s="0">
        <ns0:f>IF(OR($AO30=0,$B$5&lt;&gt;"OK",$B$6&gt;0,Calendar!M$11=""),0,SUMIFS(rngEngine_V,rngEngine_B,INDEX(Team!$A$11:$A$60,$AO30),rngPMStart,"&lt;="&amp;Calendar!M$11,rngPMEnd,"&gt;="&amp;Calendar!M$11))</ns0:f>
        <ns0:v>0</ns0:v>
      </ns0:c>
      <ns0:c r="BW30" s="0">
        <ns0:f>IF(OR($AO30=0,$B$5&lt;&gt;"OK",$B$6&gt;0,Calendar!N$11=""),0,SUMIFS(rngEngine_U,rngEngine_B,INDEX(Team!$A$11:$A$60,$AO30),rngAMStart,"&lt;="&amp;Calendar!N$11,rngAMEnd,"&gt;="&amp;Calendar!N$11))</ns0:f>
        <ns0:v>0</ns0:v>
      </ns0:c>
      <ns0:c r="BX30" s="0">
        <ns0:f>IF(OR($AO30=0,$B$5&lt;&gt;"OK",$B$6&gt;0,Calendar!N$11=""),0,SUMIFS(rngEngine_V,rngEngine_B,INDEX(Team!$A$11:$A$60,$AO30),rngPMStart,"&lt;="&amp;Calendar!N$11,rngPMEnd,"&gt;="&amp;Calendar!N$11))</ns0:f>
        <ns0:v>0</ns0:v>
      </ns0:c>
      <ns0:c r="BY30" s="0">
        <ns0:f>IF(OR($AO30=0,$B$5&lt;&gt;"OK",$B$6&gt;0,Calendar!O$11=""),0,SUMIFS(rngEngine_U,rngEngine_B,INDEX(Team!$A$11:$A$60,$AO30),rngAMStart,"&lt;="&amp;Calendar!O$11,rngAMEnd,"&gt;="&amp;Calendar!O$11))</ns0:f>
        <ns0:v>0</ns0:v>
      </ns0:c>
      <ns0:c r="BZ30" s="0">
        <ns0:f>IF(OR($AO30=0,$B$5&lt;&gt;"OK",$B$6&gt;0,Calendar!O$11=""),0,SUMIFS(rngEngine_V,rngEngine_B,INDEX(Team!$A$11:$A$60,$AO30),rngPMStart,"&lt;="&amp;Calendar!O$11,rngPMEnd,"&gt;="&amp;Calendar!O$11))</ns0:f>
        <ns0:v>0</ns0:v>
      </ns0:c>
      <ns0:c r="CA30" s="0">
        <ns0:f>IF(OR($AO30=0,$B$5&lt;&gt;"OK",$B$6&gt;0,Calendar!P$11=""),0,SUMIFS(rngEngine_U,rngEngine_B,INDEX(Team!$A$11:$A$60,$AO30),rngAMStart,"&lt;="&amp;Calendar!P$11,rngAMEnd,"&gt;="&amp;Calendar!P$11))</ns0:f>
        <ns0:v>0</ns0:v>
      </ns0:c>
      <ns0:c r="CB30" s="0">
        <ns0:f>IF(OR($AO30=0,$B$5&lt;&gt;"OK",$B$6&gt;0,Calendar!P$11=""),0,SUMIFS(rngEngine_V,rngEngine_B,INDEX(Team!$A$11:$A$60,$AO30),rngPMStart,"&lt;="&amp;Calendar!P$11,rngPMEnd,"&gt;="&amp;Calendar!P$11))</ns0:f>
        <ns0:v>0</ns0:v>
      </ns0:c>
      <ns0:c r="CC30" s="0">
        <ns0:f>IF(OR($AO30=0,$B$5&lt;&gt;"OK",$B$6&gt;0,Calendar!Q$11=""),0,SUMIFS(rngEngine_U,rngEngine_B,INDEX(Team!$A$11:$A$60,$AO30),rngAMStart,"&lt;="&amp;Calendar!Q$11,rngAMEnd,"&gt;="&amp;Calendar!Q$11))</ns0:f>
        <ns0:v>0</ns0:v>
      </ns0:c>
      <ns0:c r="CD30" s="0">
        <ns0:f>IF(OR($AO30=0,$B$5&lt;&gt;"OK",$B$6&gt;0,Calendar!Q$11=""),0,SUMIFS(rngEngine_V,rngEngine_B,INDEX(Team!$A$11:$A$60,$AO30),rngPMStart,"&lt;="&amp;Calendar!Q$11,rngPMEnd,"&gt;="&amp;Calendar!Q$11))</ns0:f>
        <ns0:v>0</ns0:v>
      </ns0:c>
      <ns0:c r="CE30" s="0">
        <ns0:f>IF(OR($AO30=0,$B$5&lt;&gt;"OK",$B$6&gt;0,Calendar!R$11=""),0,SUMIFS(rngEngine_U,rngEngine_B,INDEX(Team!$A$11:$A$60,$AO30),rngAMStart,"&lt;="&amp;Calendar!R$11,rngAMEnd,"&gt;="&amp;Calendar!R$11))</ns0:f>
        <ns0:v>0</ns0:v>
      </ns0:c>
      <ns0:c r="CF30" s="0">
        <ns0:f>IF(OR($AO30=0,$B$5&lt;&gt;"OK",$B$6&gt;0,Calendar!R$11=""),0,SUMIFS(rngEngine_V,rngEngine_B,INDEX(Team!$A$11:$A$60,$AO30),rngPMStart,"&lt;="&amp;Calendar!R$11,rngPMEnd,"&gt;="&amp;Calendar!R$11))</ns0:f>
        <ns0:v>0</ns0:v>
      </ns0:c>
      <ns0:c r="CG30" s="0">
        <ns0:f>IF(OR($AO30=0,$B$5&lt;&gt;"OK",$B$6&gt;0,Calendar!S$11=""),0,SUMIFS(rngEngine_U,rngEngine_B,INDEX(Team!$A$11:$A$60,$AO30),rngAMStart,"&lt;="&amp;Calendar!S$11,rngAMEnd,"&gt;="&amp;Calendar!S$11))</ns0:f>
        <ns0:v>0</ns0:v>
      </ns0:c>
      <ns0:c r="CH30" s="0">
        <ns0:f>IF(OR($AO30=0,$B$5&lt;&gt;"OK",$B$6&gt;0,Calendar!S$11=""),0,SUMIFS(rngEngine_V,rngEngine_B,INDEX(Team!$A$11:$A$60,$AO30),rngPMStart,"&lt;="&amp;Calendar!S$11,rngPMEnd,"&gt;="&amp;Calendar!S$11))</ns0:f>
        <ns0:v>0</ns0:v>
      </ns0:c>
      <ns0:c r="CI30" s="0">
        <ns0:f>IF(OR($AO30=0,$B$5&lt;&gt;"OK",$B$6&gt;0,Calendar!T$11=""),0,SUMIFS(rngEngine_U,rngEngine_B,INDEX(Team!$A$11:$A$60,$AO30),rngAMStart,"&lt;="&amp;Calendar!T$11,rngAMEnd,"&gt;="&amp;Calendar!T$11))</ns0:f>
        <ns0:v>0</ns0:v>
      </ns0:c>
      <ns0:c r="CJ30" s="0">
        <ns0:f>IF(OR($AO30=0,$B$5&lt;&gt;"OK",$B$6&gt;0,Calendar!T$11=""),0,SUMIFS(rngEngine_V,rngEngine_B,INDEX(Team!$A$11:$A$60,$AO30),rngPMStart,"&lt;="&amp;Calendar!T$11,rngPMEnd,"&gt;="&amp;Calendar!T$11))</ns0:f>
        <ns0:v>0</ns0:v>
      </ns0:c>
      <ns0:c r="CK30" s="0">
        <ns0:f>IF(OR($AO30=0,$B$5&lt;&gt;"OK",$B$6&gt;0,Calendar!U$11=""),0,SUMIFS(rngEngine_U,rngEngine_B,INDEX(Team!$A$11:$A$60,$AO30),rngAMStart,"&lt;="&amp;Calendar!U$11,rngAMEnd,"&gt;="&amp;Calendar!U$11))</ns0:f>
        <ns0:v>0</ns0:v>
      </ns0:c>
      <ns0:c r="CL30" s="0">
        <ns0:f>IF(OR($AO30=0,$B$5&lt;&gt;"OK",$B$6&gt;0,Calendar!U$11=""),0,SUMIFS(rngEngine_V,rngEngine_B,INDEX(Team!$A$11:$A$60,$AO30),rngPMStart,"&lt;="&amp;Calendar!U$11,rngPMEnd,"&gt;="&amp;Calendar!U$11))</ns0:f>
        <ns0:v>0</ns0:v>
      </ns0:c>
      <ns0:c r="CM30" s="0">
        <ns0:f>IF(OR($AO30=0,$B$5&lt;&gt;"OK",$B$6&gt;0,Calendar!V$11=""),0,SUMIFS(rngEngine_U,rngEngine_B,INDEX(Team!$A$11:$A$60,$AO30),rngAMStart,"&lt;="&amp;Calendar!V$11,rngAMEnd,"&gt;="&amp;Calendar!V$11))</ns0:f>
        <ns0:v>0</ns0:v>
      </ns0:c>
      <ns0:c r="CN30" s="0">
        <ns0:f>IF(OR($AO30=0,$B$5&lt;&gt;"OK",$B$6&gt;0,Calendar!V$11=""),0,SUMIFS(rngEngine_V,rngEngine_B,INDEX(Team!$A$11:$A$60,$AO30),rngPMStart,"&lt;="&amp;Calendar!V$11,rngPMEnd,"&gt;="&amp;Calendar!V$11))</ns0:f>
        <ns0:v>0</ns0:v>
      </ns0:c>
      <ns0:c r="CO30" s="0">
        <ns0:f>IF(OR($AO30=0,$B$5&lt;&gt;"OK",$B$6&gt;0,Calendar!W$11=""),0,SUMIFS(rngEngine_U,rngEngine_B,INDEX(Team!$A$11:$A$60,$AO30),rngAMStart,"&lt;="&amp;Calendar!W$11,rngAMEnd,"&gt;="&amp;Calendar!W$11))</ns0:f>
        <ns0:v>0</ns0:v>
      </ns0:c>
      <ns0:c r="CP30" s="0">
        <ns0:f>IF(OR($AO30=0,$B$5&lt;&gt;"OK",$B$6&gt;0,Calendar!W$11=""),0,SUMIFS(rngEngine_V,rngEngine_B,INDEX(Team!$A$11:$A$60,$AO30),rngPMStart,"&lt;="&amp;Calendar!W$11,rngPMEnd,"&gt;="&amp;Calendar!W$11))</ns0:f>
        <ns0:v>0</ns0:v>
      </ns0:c>
      <ns0:c r="CQ30" s="0">
        <ns0:f>IF(OR($AO30=0,$B$5&lt;&gt;"OK",$B$6&gt;0,Calendar!X$11=""),0,SUMIFS(rngEngine_U,rngEngine_B,INDEX(Team!$A$11:$A$60,$AO30),rngAMStart,"&lt;="&amp;Calendar!X$11,rngAMEnd,"&gt;="&amp;Calendar!X$11))</ns0:f>
        <ns0:v>0</ns0:v>
      </ns0:c>
      <ns0:c r="CR30" s="0">
        <ns0:f>IF(OR($AO30=0,$B$5&lt;&gt;"OK",$B$6&gt;0,Calendar!X$11=""),0,SUMIFS(rngEngine_V,rngEngine_B,INDEX(Team!$A$11:$A$60,$AO30),rngPMStart,"&lt;="&amp;Calendar!X$11,rngPMEnd,"&gt;="&amp;Calendar!X$11))</ns0:f>
        <ns0:v>0</ns0:v>
      </ns0:c>
      <ns0:c r="CS30" s="0">
        <ns0:f>IF(OR($AO30=0,$B$5&lt;&gt;"OK",$B$6&gt;0,Calendar!Y$11=""),0,SUMIFS(rngEngine_U,rngEngine_B,INDEX(Team!$A$11:$A$60,$AO30),rngAMStart,"&lt;="&amp;Calendar!Y$11,rngAMEnd,"&gt;="&amp;Calendar!Y$11))</ns0:f>
        <ns0:v>0</ns0:v>
      </ns0:c>
      <ns0:c r="CT30" s="0">
        <ns0:f>IF(OR($AO30=0,$B$5&lt;&gt;"OK",$B$6&gt;0,Calendar!Y$11=""),0,SUMIFS(rngEngine_V,rngEngine_B,INDEX(Team!$A$11:$A$60,$AO30),rngPMStart,"&lt;="&amp;Calendar!Y$11,rngPMEnd,"&gt;="&amp;Calendar!Y$11))</ns0:f>
        <ns0:v>0</ns0:v>
      </ns0:c>
      <ns0:c r="CU30" s="0">
        <ns0:f>IF(OR($AO30=0,$B$5&lt;&gt;"OK",$B$6&gt;0,Calendar!Z$11=""),0,SUMIFS(rngEngine_U,rngEngine_B,INDEX(Team!$A$11:$A$60,$AO30),rngAMStart,"&lt;="&amp;Calendar!Z$11,rngAMEnd,"&gt;="&amp;Calendar!Z$11))</ns0:f>
        <ns0:v>0</ns0:v>
      </ns0:c>
      <ns0:c r="CV30" s="0">
        <ns0:f>IF(OR($AO30=0,$B$5&lt;&gt;"OK",$B$6&gt;0,Calendar!Z$11=""),0,SUMIFS(rngEngine_V,rngEngine_B,INDEX(Team!$A$11:$A$60,$AO30),rngPMStart,"&lt;="&amp;Calendar!Z$11,rngPMEnd,"&gt;="&amp;Calendar!Z$11))</ns0:f>
        <ns0:v>0</ns0:v>
      </ns0:c>
      <ns0:c r="CW30" s="0">
        <ns0:f>IF(OR($AO30=0,$B$5&lt;&gt;"OK",$B$6&gt;0,Calendar!AA$11=""),0,SUMIFS(rngEngine_U,rngEngine_B,INDEX(Team!$A$11:$A$60,$AO30),rngAMStart,"&lt;="&amp;Calendar!AA$11,rngAMEnd,"&gt;="&amp;Calendar!AA$11))</ns0:f>
        <ns0:v>0</ns0:v>
      </ns0:c>
      <ns0:c r="CX30" s="0">
        <ns0:f>IF(OR($AO30=0,$B$5&lt;&gt;"OK",$B$6&gt;0,Calendar!AA$11=""),0,SUMIFS(rngEngine_V,rngEngine_B,INDEX(Team!$A$11:$A$60,$AO30),rngPMStart,"&lt;="&amp;Calendar!AA$11,rngPMEnd,"&gt;="&amp;Calendar!AA$11))</ns0:f>
        <ns0:v>0</ns0:v>
      </ns0:c>
      <ns0:c r="CY30" s="0">
        <ns0:f>IF(OR($AO30=0,$B$5&lt;&gt;"OK",$B$6&gt;0,Calendar!AB$11=""),0,SUMIFS(rngEngine_U,rngEngine_B,INDEX(Team!$A$11:$A$60,$AO30),rngAMStart,"&lt;="&amp;Calendar!AB$11,rngAMEnd,"&gt;="&amp;Calendar!AB$11))</ns0:f>
        <ns0:v>0</ns0:v>
      </ns0:c>
      <ns0:c r="CZ30" s="0">
        <ns0:f>IF(OR($AO30=0,$B$5&lt;&gt;"OK",$B$6&gt;0,Calendar!AB$11=""),0,SUMIFS(rngEngine_V,rngEngine_B,INDEX(Team!$A$11:$A$60,$AO30),rngPMStart,"&lt;="&amp;Calendar!AB$11,rngPMEnd,"&gt;="&amp;Calendar!AB$11))</ns0:f>
        <ns0:v>0</ns0:v>
      </ns0:c>
      <ns0:c r="DA30" s="0">
        <ns0:f>IF(OR($AO30=0,$B$5&lt;&gt;"OK",$B$6&gt;0,Calendar!AC$11=""),0,SUMIFS(rngEngine_U,rngEngine_B,INDEX(Team!$A$11:$A$60,$AO30),rngAMStart,"&lt;="&amp;Calendar!AC$11,rngAMEnd,"&gt;="&amp;Calendar!AC$11))</ns0:f>
        <ns0:v>0</ns0:v>
      </ns0:c>
      <ns0:c r="DB30" s="0">
        <ns0:f>IF(OR($AO30=0,$B$5&lt;&gt;"OK",$B$6&gt;0,Calendar!AC$11=""),0,SUMIFS(rngEngine_V,rngEngine_B,INDEX(Team!$A$11:$A$60,$AO30),rngPMStart,"&lt;="&amp;Calendar!AC$11,rngPMEnd,"&gt;="&amp;Calendar!AC$11))</ns0:f>
        <ns0:v>0</ns0:v>
      </ns0:c>
      <ns0:c r="DC30" s="0">
        <ns0:f>IF(OR($AO30=0,$B$5&lt;&gt;"OK",$B$6&gt;0,Calendar!AD$11=""),0,SUMIFS(rngEngine_U,rngEngine_B,INDEX(Team!$A$11:$A$60,$AO30),rngAMStart,"&lt;="&amp;Calendar!AD$11,rngAMEnd,"&gt;="&amp;Calendar!AD$11))</ns0:f>
        <ns0:v>0</ns0:v>
      </ns0:c>
      <ns0:c r="DD30" s="0">
        <ns0:f>IF(OR($AO30=0,$B$5&lt;&gt;"OK",$B$6&gt;0,Calendar!AD$11=""),0,SUMIFS(rngEngine_V,rngEngine_B,INDEX(Team!$A$11:$A$60,$AO30),rngPMStart,"&lt;="&amp;Calendar!AD$11,rngPMEnd,"&gt;="&amp;Calendar!AD$11))</ns0:f>
        <ns0:v>0</ns0:v>
      </ns0:c>
      <ns0:c r="DE30" s="0">
        <ns0:f>IF(OR($AO30=0,$B$5&lt;&gt;"OK",$B$6&gt;0,Calendar!AE$11=""),0,SUMIFS(rngEngine_U,rngEngine_B,INDEX(Team!$A$11:$A$60,$AO30),rngAMStart,"&lt;="&amp;Calendar!AE$11,rngAMEnd,"&gt;="&amp;Calendar!AE$11))</ns0:f>
        <ns0:v>0</ns0:v>
      </ns0:c>
      <ns0:c r="DF30" s="0">
        <ns0:f>IF(OR($AO30=0,$B$5&lt;&gt;"OK",$B$6&gt;0,Calendar!AE$11=""),0,SUMIFS(rngEngine_V,rngEngine_B,INDEX(Team!$A$11:$A$60,$AO30),rngPMStart,"&lt;="&amp;Calendar!AE$11,rngPMEnd,"&gt;="&amp;Calendar!AE$11))</ns0:f>
        <ns0:v>0</ns0:v>
      </ns0:c>
      <ns0:c r="DG30" s="0">
        <ns0:f>IF(OR($AO30=0,$B$5&lt;&gt;"OK",$B$6&gt;0,Calendar!AF$11=""),0,SUMIFS(rngEngine_U,rngEngine_B,INDEX(Team!$A$11:$A$60,$AO30),rngAMStart,"&lt;="&amp;Calendar!AF$11,rngAMEnd,"&gt;="&amp;Calendar!AF$11))</ns0:f>
        <ns0:v>0</ns0:v>
      </ns0:c>
      <ns0:c r="DH30" s="0">
        <ns0:f>IF(OR($AO30=0,$B$5&lt;&gt;"OK",$B$6&gt;0,Calendar!AF$11=""),0,SUMIFS(rngEngine_V,rngEngine_B,INDEX(Team!$A$11:$A$60,$AO30),rngPMStart,"&lt;="&amp;Calendar!AF$11,rngPMEnd,"&gt;="&amp;Calendar!AF$11))</ns0:f>
        <ns0:v>0</ns0:v>
      </ns0:c>
      <ns0:c r="DI30" s="0">
        <ns0:f>IF(OR($AO30=0,$B$5&lt;&gt;"OK",$B$6&gt;0,Calendar!AG$11=""),0,SUMIFS(rngEngine_U,rngEngine_B,INDEX(Team!$A$11:$A$60,$AO30),rngAMStart,"&lt;="&amp;Calendar!AG$11,rngAMEnd,"&gt;="&amp;Calendar!AG$11))</ns0:f>
        <ns0:v>0</ns0:v>
      </ns0:c>
      <ns0:c r="DJ30" s="0">
        <ns0:f>IF(OR($AO30=0,$B$5&lt;&gt;"OK",$B$6&gt;0,Calendar!AG$11=""),0,SUMIFS(rngEngine_V,rngEngine_B,INDEX(Team!$A$11:$A$60,$AO30),rngPMStart,"&lt;="&amp;Calendar!AG$11,rngPMEnd,"&gt;="&amp;Calendar!AG$11))</ns0:f>
        <ns0:v>0</ns0:v>
      </ns0:c>
      <ns0:c r="DK30" s="0">
        <ns0:f>IF(OR($AO30=0,$B$5&lt;&gt;"OK",$B$6&gt;0,Calendar!AH$11=""),0,SUMIFS(rngEngine_U,rngEngine_B,INDEX(Team!$A$11:$A$60,$AO30),rngAMStart,"&lt;="&amp;Calendar!AH$11,rngAMEnd,"&gt;="&amp;Calendar!AH$11))</ns0:f>
        <ns0:v>0</ns0:v>
      </ns0:c>
      <ns0:c r="DL30" s="0">
        <ns0:f>IF(OR($AO30=0,$B$5&lt;&gt;"OK",$B$6&gt;0,Calendar!AH$11=""),0,SUMIFS(rngEngine_V,rngEngine_B,INDEX(Team!$A$11:$A$60,$AO30),rngPMStart,"&lt;="&amp;Calendar!AH$11,rngPMEnd,"&gt;="&amp;Calendar!AH$11))</ns0:f>
        <ns0:v>0</ns0:v>
      </ns0:c>
    </ns0:row>
    <ns0:row r="31" ht="22" customHeight="1">
      <ns0:c r="A31" s="4">
        <ns0:f>IF(COUNTA(Bookings!A31:G31,Bookings!I31)=0,0,1)</ns0:f>
        <ns0:v>0</ns0:v>
      </ns0:c>
      <ns0:c r="B31" s="4">
        <ns0:f>IFERROR(TRIM(MID(Bookings!A31,FIND(" · ",Bookings!A31)+3,99)),"")</ns0:f>
        <ns0:v>99</ns0:v>
      </ns0:c>
      <ns0:c r="C31" s="4">
        <ns0:f>IF(OR(B31="",LEN(B31)&gt;24,ISNUMBER(FIND(" ",B31)),ISNUMBER(FIND("*",B31)),ISNUMBER(FIND("?",B31)),ISNUMBER(FIND("~",B31))),0,IFERROR(MATCH(B31,Team!$A$11:$A$60,0),0))</ns0:f>
        <ns0:v>0</ns0:v>
      </ns0:c>
      <ns0:c r="D31" s="4" t="str">
        <ns0:f>IFERROR(IF(MID(Bookings!F31,LEN(Bookings!F31)-3,3)=" · ",RIGHT(Bookings!F31,1),""),"")</ns0:f>
        <ns0:v/>
      </ns0:c>
      <ns0:c r="E31" s="4" t="str">
        <ns0:f>IFERROR(INDEX(Settings!$H$7:$H$11,MATCH(D31,Settings!$G$7:$G$11,0)),"")</ns0:f>
        <ns0:v/>
      </ns0:c>
      <ns0:c r="F31" s="4" t="str">
        <ns0:f>IF(A31=0,"",IFERROR(IF(OR(B31="",C31=0),"CHECK employee selection",IF(INDEX(Team!$O$11:$O$60,C31)&lt;&gt;"OK","CHECK employee setup",IF(OR('_Dates'!J31=0,'_Dates'!T31=0),"CHECK date: use DD.MM.YYYY",IF('_Dates'!T31&lt;'_Dates'!J31,"CHECK end before start",IF(AND($B$6=0,OR('_Dates'!J31&lt;Settings!$B$7,'_Dates'!T31&gt;Settings!$B$8)),"CHECK split across leave years",IF(OR(NOT(OR('_Dates'!U31="Full day",'_Dates'!U31="AM",'_Dates'!U31="PM")),NOT(OR('_Dates'!V31="Full day",'_Dates'!V31="AM",'_Dates'!V31="PM"))),"CHECK Full day / AM / PM",IF(AND('_Dates'!J31='_Dates'!T31,'_Dates'!U31&lt;&gt;"Full day",'_Dates'!V31&lt;&gt;"Full day",'_Dates'!U31&lt;&gt;'_Dates'!V31),"CHECK same-day portions disagree",IF(AND($B$6=0,OR(AND('_Dates'!U31&lt;&gt;"Full day",'_Dates'!AA31=0),AND('_Dates'!V31&lt;&gt;"Full day",'_Dates'!AB31=0))),"CHECK half-day on non-working date",IF(COUNTIF(Settings!$G$7:$G$11,D31)&lt;&gt;1,"CHECK leave type",IF(AND(Bookings!G31&lt;&gt;"Approved",Bookings!G31&lt;&gt;"Pending",Bookings!G31&lt;&gt;"Cancelled"),"CHECK status","OK")))))))))),"CHECK input"))</ns0:f>
        <ns0:v/>
      </ns0:c>
      <ns0:c r="G31" s="4">
        <ns0:f>IF(OR(F31&lt;&gt;"OK",$B$6&gt;0),0,0.5*(IF(('_Dates'!X31)&lt;('_Dates'!W31),0,INT((('_Dates'!X31)-('_Dates'!W31)+1)/7)*LEN(SUBSTITUTE(W31,"O",""))+LEN(SUBSTITUTE(MID(W31&amp;W31,WEEKDAY(('_Dates'!W31),2),MOD((('_Dates'!X31)-('_Dates'!W31)+1),7)),"O",""))-COUNTIFS(INDEX(AllClosureRows,C31,0),"&gt;="&amp;('_Dates'!W31),INDEX(AllClosureRows,C31,0),"&lt;="&amp;('_Dates'!X31)))+IF(('_Dates'!Z31)&lt;('_Dates'!Y31),0,INT((('_Dates'!Z31)-('_Dates'!Y31)+1)/7)*LEN(SUBSTITUTE(W31,"O",""))+LEN(SUBSTITUTE(MID(W31&amp;W31,WEEKDAY(('_Dates'!Y31),2),MOD((('_Dates'!Z31)-('_Dates'!Y31)+1),7)),"O",""))-COUNTIFS(INDEX(AllClosureRows,C31,0),"&gt;="&amp;('_Dates'!Y31),INDEX(AllClosureRows,C31,0),"&lt;="&amp;('_Dates'!Z31)))))</ns0:f>
        <ns0:v>0</ns0:v>
      </ns0:c>
      <ns0:c r="H31" s="4">
        <ns0:f>IF(OR(F31&lt;&gt;"OK",$B$6&gt;0),0,0.5*(IF((MIN('_Dates'!X31,Settings!$B$9))&lt;('_Dates'!W31),0,INT(((MIN('_Dates'!X31,Settings!$B$9))-('_Dates'!W31)+1)/7)*LEN(SUBSTITUTE(W31,"O",""))+LEN(SUBSTITUTE(MID(W31&amp;W31,WEEKDAY(('_Dates'!W31),2),MOD(((MIN('_Dates'!X31,Settings!$B$9))-('_Dates'!W31)+1),7)),"O",""))-COUNTIFS(INDEX(AllClosureRows,C31,0),"&gt;="&amp;('_Dates'!W31),INDEX(AllClosureRows,C31,0),"&lt;="&amp;(MIN('_Dates'!X31,Settings!$B$9))))+IF((MIN('_Dates'!Z31,Settings!$B$9))&lt;('_Dates'!Y31),0,INT(((MIN('_Dates'!Z31,Settings!$B$9))-('_Dates'!Y31)+1)/7)*LEN(SUBSTITUTE(W31,"O",""))+LEN(SUBSTITUTE(MID(W31&amp;W31,WEEKDAY(('_Dates'!Y31),2),MOD(((MIN('_Dates'!Z31,Settings!$B$9))-('_Dates'!Y31)+1),7)),"O",""))-COUNTIFS(INDEX(AllClosureRows,C31,0),"&gt;="&amp;('_Dates'!Y31),INDEX(AllClosureRows,C31,0),"&lt;="&amp;(MIN('_Dates'!Z31,Settings!$B$9))))))</ns0:f>
        <ns0:v>0</ns0:v>
      </ns0:c>
      <ns0:c r="I31" s="4">
        <ns0:f>MAX(0,G31-H31)</ns0:f>
        <ns0:v>0</ns0:v>
      </ns0:c>
      <ns0:c r="J31" s="4">
        <ns0:f>IF(OR(A31=0,F31&lt;&gt;"OK",Bookings!G31="Cancelled",$B$6&gt;0),0,IF('_Dates'!AC31=1,MAX(0,COUNTIFS(rngEngine_B,B31,rngAMStart,"&lt;="&amp;'_Dates'!X31,rngAMEnd,"&gt;="&amp;'_Dates'!W31,rngAMActive,1,rngEngine_F,"OK",rngBookings_F,"&lt;&gt;Cancelled")-1),0)+IF('_Dates'!AD31=1,MAX(0,COUNTIFS(rngEngine_B,B31,rngPMStart,"&lt;="&amp;'_Dates'!Z31,rngPMEnd,"&gt;="&amp;'_Dates'!Y31,rngPMActive,1,rngEngine_F,"OK",rngBookings_F,"&lt;&gt;Cancelled")-1),0))</ns0:f>
        <ns0:v>0</ns0:v>
      </ns0:c>
      <ns0:c r="K31" s="0" t="str">
        <ns0:f>IF(A31=0,"",IF(F31&lt;&gt;"OK",F31,IF(J31&gt;0,"CHECK overlapping entry",IF(AND($B$6=0,G31&lt;=0,Bookings!G31&lt;&gt;"Cancelled"),"CHECK no working days",IF(Bookings!G31="Cancelled","Cancelled","OK")))))</ns0:f>
        <ns0:v/>
      </ns0:c>
      <ns0:c r="L31" s="0">
        <ns0:f>IF(LEFT(K31,5)="CHECK",1,0)</ns0:f>
        <ns0:v>0</ns0:v>
      </ns0:c>
      <ns0:c r="M31" s="0">
        <ns0:f>IF(AND(L31=1,OR(C31=0,IFERROR(INDEX($X$11:$X$60,C31),0)=0)),1,0)</ns0:f>
        <ns0:v>0</ns0:v>
      </ns0:c>
      <ns0:c r="N31" s="0">
        <ns0:f>IF(OR(A31=0,L31&gt;0,$B$6&gt;0,Bookings!G31="Cancelled"),0,G31)</ns0:f>
        <ns0:v>0</ns0:v>
      </ns0:c>
      <ns0:c r="O31" s="0">
        <ns0:f>IF(AND(Bookings!G31="Approved",E31="Yes"),N31,0)</ns0:f>
        <ns0:v>0</ns0:v>
      </ns0:c>
      <ns0:c r="P31" s="0">
        <ns0:f>IF(AND(Bookings!G31="Approved",E31="Yes",L31=0,$B$6=0),H31,0)</ns0:f>
        <ns0:v>0</ns0:v>
      </ns0:c>
      <ns0:c r="Q31" s="0">
        <ns0:f>IF(AND(Bookings!G31="Approved",E31="Yes",L31=0,$B$6=0),I31,0)</ns0:f>
        <ns0:v>0</ns0:v>
      </ns0:c>
      <ns0:c r="R31" s="0">
        <ns0:f>IF(AND(Bookings!G31="Pending",E31="Yes"),N31,0)</ns0:f>
        <ns0:v>0</ns0:v>
      </ns0:c>
      <ns0:c r="S31" s="0">
        <ns0:f>IF(AND(Bookings!G31="Approved",E31="No"),N31,0)</ns0:f>
        <ns0:v>0</ns0:v>
      </ns0:c>
      <ns0:c r="T31" s="0">
        <ns0:f>IFERROR(MATCH(D31,Settings!$G$7:$G$11,0),0)</ns0:f>
        <ns0:v>0</ns0:v>
      </ns0:c>
      <ns0:c r="U31" s="0">
        <ns0:f>IF(N31&gt;0,T31+IF(Bookings!G31="Pending",10,0),0)</ns0:f>
        <ns0:v>0</ns0:v>
      </ns0:c>
      <ns0:c r="V31" s="0">
        <ns0:f>U31</ns0:f>
        <ns0:v>0</ns0:v>
      </ns0:c>
      <ns0:c r="W31" s="0" t="str">
        <ns0:f>IF(C31=0,"",INDEX($AP$11:$AP$60,C31))</ns0:f>
        <ns0:v/>
      </ns0:c>
      <ns0:c r="X31" s="0">
        <ns0:f>IF(COUNTA(Team!B31:D31)=0,0,1)</ns0:f>
        <ns0:v>0</ns0:v>
      </ns0:c>
      <ns0:c r="Y31" s="0" t="str">
        <ns0:f>IF(X31=0,"",IF(Team!B31="","[Unnamed]",Team!B31)&amp;" · "&amp;Team!A31)</ns0:f>
        <ns0:v/>
      </ns0:c>
      <ns0:c r="Z31" s="0">
        <ns0:f>IF(X31=0,0,COUNTIF(Team!H31:N31,"Work"))</ns0:f>
        <ns0:v>0</ns0:v>
      </ns0:c>
      <ns0:c r="AA31" s="0">
        <ns0:f>IF(LEFT(Team!O31,5)="CHECK",1,0)</ns0:f>
        <ns0:v>0</ns0:v>
      </ns0:c>
      <ns0:c r="AB31" s="0">
        <ns0:f>IF(X31=0,0,SUMIFS(rngEngine_L,rngEngine_B,Team!A31))</ns0:f>
        <ns0:v>0</ns0:v>
      </ns0:c>
      <ns0:c r="AC31" s="0" t="str">
        <ns0:f>IF(AND(X31=1,OR(Calendar!$C$7="All teams",Team!C31=Calendar!$C$7)),MAX($AC$10:AC30)+1,"")</ns0:f>
        <ns0:v/>
      </ns0:c>
      <ns0:c r="AD31" s="0" t="str">
        <ns0:f>IF(OR(X31=0,Team!C31="",COUNTIF(Team!$C$11:C31,Team!C31)&gt;1),"",MAX($AD$10:AD30)+1)</ns0:f>
        <ns0:v/>
      </ns0:c>
      <ns0:c r="AE31" s="0" t="str">
        <ns0:f>IFERROR(INDEX(Team!$C$11:$C$60,MATCH(ROW()-10,$AD$11:$AD$60,0)),"")</ns0:f>
        <ns0:v/>
      </ns0:c>
      <ns0:c r="AF31" s="0" t="str">
        <ns0:f>AE31</ns0:f>
        <ns0:v/>
      </ns0:c>
      <ns0:c r="AG31" s="0">
        <ns0:f>IF(X31=0,0,IFERROR(Team!F31+Team!G31,0))</ns0:f>
        <ns0:v>0</ns0:v>
      </ns0:c>
      <ns0:c r="AH31" s="0">
        <ns0:f>IF(X31=0,0,SUMIFS(rngEngine_P,rngEngine_B,Team!A31))</ns0:f>
        <ns0:v>0</ns0:v>
      </ns0:c>
      <ns0:c r="AI31" s="0">
        <ns0:f>IF(X31=0,0,SUMIFS(rngEngine_Q,rngEngine_B,Team!A31))</ns0:f>
        <ns0:v>0</ns0:v>
      </ns0:c>
      <ns0:c r="AJ31" s="0">
        <ns0:f>IF(X31=0,0,SUMIFS(rngEngine_R,rngEngine_B,Team!A31))</ns0:f>
        <ns0:v>0</ns0:v>
      </ns0:c>
      <ns0:c r="AK31" s="0">
        <ns0:f>IF(X31=0,0,SUMIFS(rngEngine_S,rngEngine_B,Team!A31))</ns0:f>
        <ns0:v>0</ns0:v>
      </ns0:c>
      <ns0:c r="AL31" s="0">
        <ns0:f>AH31+AI31</ns0:f>
        <ns0:v>0</ns0:v>
      </ns0:c>
      <ns0:c r="AM31" s="0" t="str">
        <ns0:f>IF(X31=0,"",IF(AA31&gt;0,"CHECK team setup",IF(AB31&gt;0,"CHECK "&amp;AB31&amp;" booking(s)","OK")))</ns0:f>
        <ns0:v/>
      </ns0:c>
      <ns0:c r="AN31" s="0" t="str">
        <ns0:f>IF(X31=0,"",IF(OR($B$6&gt;0,AM31&lt;&gt;"OK"),"REVIEW",AG31-AL31))</ns0:f>
        <ns0:v/>
      </ns0:c>
      <ns0:c r="AO31" s="0">
        <ns0:f>IFERROR(MATCH(ROW()-11,$AC$11:$AC$60,0),0)</ns0:f>
        <ns0:v>0</ns0:v>
      </ns0:c>
      <ns0:c r="AP31" s="0" t="str">
        <ns0:f>IF(Team!H31="Work","W","O")&amp;IF(Team!I31="Work","W","O")&amp;IF(Team!J31="Work","W","O")&amp;IF(Team!K31="Work","W","O")&amp;IF(Team!L31="Work","W","O")&amp;IF(Team!M31="Work","W","O")&amp;IF(Team!N31="Work","W","O")</ns0:f>
        <ns0:v>WWWWWOO</ns0:v>
      </ns0:c>
      <ns0:c r="AR31" s="0">
        <ns0:f>IFERROR(IF(ISNUMBER(Settings!F31),WEEKDAY(Settings!F31,2),0),0)</ns0:f>
        <ns0:v>0</ns0:v>
      </ns0:c>
      <ns0:c r="BC31" s="0">
        <ns0:f>IF(OR($AO31=0,$B$5&lt;&gt;"OK",$B$6&gt;0,Calendar!D$11=""),0,SUMIFS(rngEngine_U,rngEngine_B,INDEX(Team!$A$11:$A$60,$AO31),rngAMStart,"&lt;="&amp;Calendar!D$11,rngAMEnd,"&gt;="&amp;Calendar!D$11))</ns0:f>
        <ns0:v>0</ns0:v>
      </ns0:c>
      <ns0:c r="BD31" s="0">
        <ns0:f>IF(OR($AO31=0,$B$5&lt;&gt;"OK",$B$6&gt;0,Calendar!D$11=""),0,SUMIFS(rngEngine_V,rngEngine_B,INDEX(Team!$A$11:$A$60,$AO31),rngPMStart,"&lt;="&amp;Calendar!D$11,rngPMEnd,"&gt;="&amp;Calendar!D$11))</ns0:f>
        <ns0:v>0</ns0:v>
      </ns0:c>
      <ns0:c r="BE31" s="0">
        <ns0:f>IF(OR($AO31=0,$B$5&lt;&gt;"OK",$B$6&gt;0,Calendar!E$11=""),0,SUMIFS(rngEngine_U,rngEngine_B,INDEX(Team!$A$11:$A$60,$AO31),rngAMStart,"&lt;="&amp;Calendar!E$11,rngAMEnd,"&gt;="&amp;Calendar!E$11))</ns0:f>
        <ns0:v>0</ns0:v>
      </ns0:c>
      <ns0:c r="BF31" s="0">
        <ns0:f>IF(OR($AO31=0,$B$5&lt;&gt;"OK",$B$6&gt;0,Calendar!E$11=""),0,SUMIFS(rngEngine_V,rngEngine_B,INDEX(Team!$A$11:$A$60,$AO31),rngPMStart,"&lt;="&amp;Calendar!E$11,rngPMEnd,"&gt;="&amp;Calendar!E$11))</ns0:f>
        <ns0:v>0</ns0:v>
      </ns0:c>
      <ns0:c r="BG31" s="0">
        <ns0:f>IF(OR($AO31=0,$B$5&lt;&gt;"OK",$B$6&gt;0,Calendar!F$11=""),0,SUMIFS(rngEngine_U,rngEngine_B,INDEX(Team!$A$11:$A$60,$AO31),rngAMStart,"&lt;="&amp;Calendar!F$11,rngAMEnd,"&gt;="&amp;Calendar!F$11))</ns0:f>
        <ns0:v>0</ns0:v>
      </ns0:c>
      <ns0:c r="BH31" s="0">
        <ns0:f>IF(OR($AO31=0,$B$5&lt;&gt;"OK",$B$6&gt;0,Calendar!F$11=""),0,SUMIFS(rngEngine_V,rngEngine_B,INDEX(Team!$A$11:$A$60,$AO31),rngPMStart,"&lt;="&amp;Calendar!F$11,rngPMEnd,"&gt;="&amp;Calendar!F$11))</ns0:f>
        <ns0:v>0</ns0:v>
      </ns0:c>
      <ns0:c r="BI31" s="0">
        <ns0:f>IF(OR($AO31=0,$B$5&lt;&gt;"OK",$B$6&gt;0,Calendar!G$11=""),0,SUMIFS(rngEngine_U,rngEngine_B,INDEX(Team!$A$11:$A$60,$AO31),rngAMStart,"&lt;="&amp;Calendar!G$11,rngAMEnd,"&gt;="&amp;Calendar!G$11))</ns0:f>
        <ns0:v>0</ns0:v>
      </ns0:c>
      <ns0:c r="BJ31" s="0">
        <ns0:f>IF(OR($AO31=0,$B$5&lt;&gt;"OK",$B$6&gt;0,Calendar!G$11=""),0,SUMIFS(rngEngine_V,rngEngine_B,INDEX(Team!$A$11:$A$60,$AO31),rngPMStart,"&lt;="&amp;Calendar!G$11,rngPMEnd,"&gt;="&amp;Calendar!G$11))</ns0:f>
        <ns0:v>0</ns0:v>
      </ns0:c>
      <ns0:c r="BK31" s="0">
        <ns0:f>IF(OR($AO31=0,$B$5&lt;&gt;"OK",$B$6&gt;0,Calendar!H$11=""),0,SUMIFS(rngEngine_U,rngEngine_B,INDEX(Team!$A$11:$A$60,$AO31),rngAMStart,"&lt;="&amp;Calendar!H$11,rngAMEnd,"&gt;="&amp;Calendar!H$11))</ns0:f>
        <ns0:v>0</ns0:v>
      </ns0:c>
      <ns0:c r="BL31" s="0">
        <ns0:f>IF(OR($AO31=0,$B$5&lt;&gt;"OK",$B$6&gt;0,Calendar!H$11=""),0,SUMIFS(rngEngine_V,rngEngine_B,INDEX(Team!$A$11:$A$60,$AO31),rngPMStart,"&lt;="&amp;Calendar!H$11,rngPMEnd,"&gt;="&amp;Calendar!H$11))</ns0:f>
        <ns0:v>0</ns0:v>
      </ns0:c>
      <ns0:c r="BM31" s="0">
        <ns0:f>IF(OR($AO31=0,$B$5&lt;&gt;"OK",$B$6&gt;0,Calendar!I$11=""),0,SUMIFS(rngEngine_U,rngEngine_B,INDEX(Team!$A$11:$A$60,$AO31),rngAMStart,"&lt;="&amp;Calendar!I$11,rngAMEnd,"&gt;="&amp;Calendar!I$11))</ns0:f>
        <ns0:v>0</ns0:v>
      </ns0:c>
      <ns0:c r="BN31" s="0">
        <ns0:f>IF(OR($AO31=0,$B$5&lt;&gt;"OK",$B$6&gt;0,Calendar!I$11=""),0,SUMIFS(rngEngine_V,rngEngine_B,INDEX(Team!$A$11:$A$60,$AO31),rngPMStart,"&lt;="&amp;Calendar!I$11,rngPMEnd,"&gt;="&amp;Calendar!I$11))</ns0:f>
        <ns0:v>0</ns0:v>
      </ns0:c>
      <ns0:c r="BO31" s="0">
        <ns0:f>IF(OR($AO31=0,$B$5&lt;&gt;"OK",$B$6&gt;0,Calendar!J$11=""),0,SUMIFS(rngEngine_U,rngEngine_B,INDEX(Team!$A$11:$A$60,$AO31),rngAMStart,"&lt;="&amp;Calendar!J$11,rngAMEnd,"&gt;="&amp;Calendar!J$11))</ns0:f>
        <ns0:v>0</ns0:v>
      </ns0:c>
      <ns0:c r="BP31" s="0">
        <ns0:f>IF(OR($AO31=0,$B$5&lt;&gt;"OK",$B$6&gt;0,Calendar!J$11=""),0,SUMIFS(rngEngine_V,rngEngine_B,INDEX(Team!$A$11:$A$60,$AO31),rngPMStart,"&lt;="&amp;Calendar!J$11,rngPMEnd,"&gt;="&amp;Calendar!J$11))</ns0:f>
        <ns0:v>0</ns0:v>
      </ns0:c>
      <ns0:c r="BQ31" s="0">
        <ns0:f>IF(OR($AO31=0,$B$5&lt;&gt;"OK",$B$6&gt;0,Calendar!K$11=""),0,SUMIFS(rngEngine_U,rngEngine_B,INDEX(Team!$A$11:$A$60,$AO31),rngAMStart,"&lt;="&amp;Calendar!K$11,rngAMEnd,"&gt;="&amp;Calendar!K$11))</ns0:f>
        <ns0:v>0</ns0:v>
      </ns0:c>
      <ns0:c r="BR31" s="0">
        <ns0:f>IF(OR($AO31=0,$B$5&lt;&gt;"OK",$B$6&gt;0,Calendar!K$11=""),0,SUMIFS(rngEngine_V,rngEngine_B,INDEX(Team!$A$11:$A$60,$AO31),rngPMStart,"&lt;="&amp;Calendar!K$11,rngPMEnd,"&gt;="&amp;Calendar!K$11))</ns0:f>
        <ns0:v>0</ns0:v>
      </ns0:c>
      <ns0:c r="BS31" s="0">
        <ns0:f>IF(OR($AO31=0,$B$5&lt;&gt;"OK",$B$6&gt;0,Calendar!L$11=""),0,SUMIFS(rngEngine_U,rngEngine_B,INDEX(Team!$A$11:$A$60,$AO31),rngAMStart,"&lt;="&amp;Calendar!L$11,rngAMEnd,"&gt;="&amp;Calendar!L$11))</ns0:f>
        <ns0:v>0</ns0:v>
      </ns0:c>
      <ns0:c r="BT31" s="0">
        <ns0:f>IF(OR($AO31=0,$B$5&lt;&gt;"OK",$B$6&gt;0,Calendar!L$11=""),0,SUMIFS(rngEngine_V,rngEngine_B,INDEX(Team!$A$11:$A$60,$AO31),rngPMStart,"&lt;="&amp;Calendar!L$11,rngPMEnd,"&gt;="&amp;Calendar!L$11))</ns0:f>
        <ns0:v>0</ns0:v>
      </ns0:c>
      <ns0:c r="BU31" s="0">
        <ns0:f>IF(OR($AO31=0,$B$5&lt;&gt;"OK",$B$6&gt;0,Calendar!M$11=""),0,SUMIFS(rngEngine_U,rngEngine_B,INDEX(Team!$A$11:$A$60,$AO31),rngAMStart,"&lt;="&amp;Calendar!M$11,rngAMEnd,"&gt;="&amp;Calendar!M$11))</ns0:f>
        <ns0:v>0</ns0:v>
      </ns0:c>
      <ns0:c r="BV31" s="0">
        <ns0:f>IF(OR($AO31=0,$B$5&lt;&gt;"OK",$B$6&gt;0,Calendar!M$11=""),0,SUMIFS(rngEngine_V,rngEngine_B,INDEX(Team!$A$11:$A$60,$AO31),rngPMStart,"&lt;="&amp;Calendar!M$11,rngPMEnd,"&gt;="&amp;Calendar!M$11))</ns0:f>
        <ns0:v>0</ns0:v>
      </ns0:c>
      <ns0:c r="BW31" s="0">
        <ns0:f>IF(OR($AO31=0,$B$5&lt;&gt;"OK",$B$6&gt;0,Calendar!N$11=""),0,SUMIFS(rngEngine_U,rngEngine_B,INDEX(Team!$A$11:$A$60,$AO31),rngAMStart,"&lt;="&amp;Calendar!N$11,rngAMEnd,"&gt;="&amp;Calendar!N$11))</ns0:f>
        <ns0:v>0</ns0:v>
      </ns0:c>
      <ns0:c r="BX31" s="0">
        <ns0:f>IF(OR($AO31=0,$B$5&lt;&gt;"OK",$B$6&gt;0,Calendar!N$11=""),0,SUMIFS(rngEngine_V,rngEngine_B,INDEX(Team!$A$11:$A$60,$AO31),rngPMStart,"&lt;="&amp;Calendar!N$11,rngPMEnd,"&gt;="&amp;Calendar!N$11))</ns0:f>
        <ns0:v>0</ns0:v>
      </ns0:c>
      <ns0:c r="BY31" s="0">
        <ns0:f>IF(OR($AO31=0,$B$5&lt;&gt;"OK",$B$6&gt;0,Calendar!O$11=""),0,SUMIFS(rngEngine_U,rngEngine_B,INDEX(Team!$A$11:$A$60,$AO31),rngAMStart,"&lt;="&amp;Calendar!O$11,rngAMEnd,"&gt;="&amp;Calendar!O$11))</ns0:f>
        <ns0:v>0</ns0:v>
      </ns0:c>
      <ns0:c r="BZ31" s="0">
        <ns0:f>IF(OR($AO31=0,$B$5&lt;&gt;"OK",$B$6&gt;0,Calendar!O$11=""),0,SUMIFS(rngEngine_V,rngEngine_B,INDEX(Team!$A$11:$A$60,$AO31),rngPMStart,"&lt;="&amp;Calendar!O$11,rngPMEnd,"&gt;="&amp;Calendar!O$11))</ns0:f>
        <ns0:v>0</ns0:v>
      </ns0:c>
      <ns0:c r="CA31" s="0">
        <ns0:f>IF(OR($AO31=0,$B$5&lt;&gt;"OK",$B$6&gt;0,Calendar!P$11=""),0,SUMIFS(rngEngine_U,rngEngine_B,INDEX(Team!$A$11:$A$60,$AO31),rngAMStart,"&lt;="&amp;Calendar!P$11,rngAMEnd,"&gt;="&amp;Calendar!P$11))</ns0:f>
        <ns0:v>0</ns0:v>
      </ns0:c>
      <ns0:c r="CB31" s="0">
        <ns0:f>IF(OR($AO31=0,$B$5&lt;&gt;"OK",$B$6&gt;0,Calendar!P$11=""),0,SUMIFS(rngEngine_V,rngEngine_B,INDEX(Team!$A$11:$A$60,$AO31),rngPMStart,"&lt;="&amp;Calendar!P$11,rngPMEnd,"&gt;="&amp;Calendar!P$11))</ns0:f>
        <ns0:v>0</ns0:v>
      </ns0:c>
      <ns0:c r="CC31" s="0">
        <ns0:f>IF(OR($AO31=0,$B$5&lt;&gt;"OK",$B$6&gt;0,Calendar!Q$11=""),0,SUMIFS(rngEngine_U,rngEngine_B,INDEX(Team!$A$11:$A$60,$AO31),rngAMStart,"&lt;="&amp;Calendar!Q$11,rngAMEnd,"&gt;="&amp;Calendar!Q$11))</ns0:f>
        <ns0:v>0</ns0:v>
      </ns0:c>
      <ns0:c r="CD31" s="0">
        <ns0:f>IF(OR($AO31=0,$B$5&lt;&gt;"OK",$B$6&gt;0,Calendar!Q$11=""),0,SUMIFS(rngEngine_V,rngEngine_B,INDEX(Team!$A$11:$A$60,$AO31),rngPMStart,"&lt;="&amp;Calendar!Q$11,rngPMEnd,"&gt;="&amp;Calendar!Q$11))</ns0:f>
        <ns0:v>0</ns0:v>
      </ns0:c>
      <ns0:c r="CE31" s="0">
        <ns0:f>IF(OR($AO31=0,$B$5&lt;&gt;"OK",$B$6&gt;0,Calendar!R$11=""),0,SUMIFS(rngEngine_U,rngEngine_B,INDEX(Team!$A$11:$A$60,$AO31),rngAMStart,"&lt;="&amp;Calendar!R$11,rngAMEnd,"&gt;="&amp;Calendar!R$11))</ns0:f>
        <ns0:v>0</ns0:v>
      </ns0:c>
      <ns0:c r="CF31" s="0">
        <ns0:f>IF(OR($AO31=0,$B$5&lt;&gt;"OK",$B$6&gt;0,Calendar!R$11=""),0,SUMIFS(rngEngine_V,rngEngine_B,INDEX(Team!$A$11:$A$60,$AO31),rngPMStart,"&lt;="&amp;Calendar!R$11,rngPMEnd,"&gt;="&amp;Calendar!R$11))</ns0:f>
        <ns0:v>0</ns0:v>
      </ns0:c>
      <ns0:c r="CG31" s="0">
        <ns0:f>IF(OR($AO31=0,$B$5&lt;&gt;"OK",$B$6&gt;0,Calendar!S$11=""),0,SUMIFS(rngEngine_U,rngEngine_B,INDEX(Team!$A$11:$A$60,$AO31),rngAMStart,"&lt;="&amp;Calendar!S$11,rngAMEnd,"&gt;="&amp;Calendar!S$11))</ns0:f>
        <ns0:v>0</ns0:v>
      </ns0:c>
      <ns0:c r="CH31" s="0">
        <ns0:f>IF(OR($AO31=0,$B$5&lt;&gt;"OK",$B$6&gt;0,Calendar!S$11=""),0,SUMIFS(rngEngine_V,rngEngine_B,INDEX(Team!$A$11:$A$60,$AO31),rngPMStart,"&lt;="&amp;Calendar!S$11,rngPMEnd,"&gt;="&amp;Calendar!S$11))</ns0:f>
        <ns0:v>0</ns0:v>
      </ns0:c>
      <ns0:c r="CI31" s="0">
        <ns0:f>IF(OR($AO31=0,$B$5&lt;&gt;"OK",$B$6&gt;0,Calendar!T$11=""),0,SUMIFS(rngEngine_U,rngEngine_B,INDEX(Team!$A$11:$A$60,$AO31),rngAMStart,"&lt;="&amp;Calendar!T$11,rngAMEnd,"&gt;="&amp;Calendar!T$11))</ns0:f>
        <ns0:v>0</ns0:v>
      </ns0:c>
      <ns0:c r="CJ31" s="0">
        <ns0:f>IF(OR($AO31=0,$B$5&lt;&gt;"OK",$B$6&gt;0,Calendar!T$11=""),0,SUMIFS(rngEngine_V,rngEngine_B,INDEX(Team!$A$11:$A$60,$AO31),rngPMStart,"&lt;="&amp;Calendar!T$11,rngPMEnd,"&gt;="&amp;Calendar!T$11))</ns0:f>
        <ns0:v>0</ns0:v>
      </ns0:c>
      <ns0:c r="CK31" s="0">
        <ns0:f>IF(OR($AO31=0,$B$5&lt;&gt;"OK",$B$6&gt;0,Calendar!U$11=""),0,SUMIFS(rngEngine_U,rngEngine_B,INDEX(Team!$A$11:$A$60,$AO31),rngAMStart,"&lt;="&amp;Calendar!U$11,rngAMEnd,"&gt;="&amp;Calendar!U$11))</ns0:f>
        <ns0:v>0</ns0:v>
      </ns0:c>
      <ns0:c r="CL31" s="0">
        <ns0:f>IF(OR($AO31=0,$B$5&lt;&gt;"OK",$B$6&gt;0,Calendar!U$11=""),0,SUMIFS(rngEngine_V,rngEngine_B,INDEX(Team!$A$11:$A$60,$AO31),rngPMStart,"&lt;="&amp;Calendar!U$11,rngPMEnd,"&gt;="&amp;Calendar!U$11))</ns0:f>
        <ns0:v>0</ns0:v>
      </ns0:c>
      <ns0:c r="CM31" s="0">
        <ns0:f>IF(OR($AO31=0,$B$5&lt;&gt;"OK",$B$6&gt;0,Calendar!V$11=""),0,SUMIFS(rngEngine_U,rngEngine_B,INDEX(Team!$A$11:$A$60,$AO31),rngAMStart,"&lt;="&amp;Calendar!V$11,rngAMEnd,"&gt;="&amp;Calendar!V$11))</ns0:f>
        <ns0:v>0</ns0:v>
      </ns0:c>
      <ns0:c r="CN31" s="0">
        <ns0:f>IF(OR($AO31=0,$B$5&lt;&gt;"OK",$B$6&gt;0,Calendar!V$11=""),0,SUMIFS(rngEngine_V,rngEngine_B,INDEX(Team!$A$11:$A$60,$AO31),rngPMStart,"&lt;="&amp;Calendar!V$11,rngPMEnd,"&gt;="&amp;Calendar!V$11))</ns0:f>
        <ns0:v>0</ns0:v>
      </ns0:c>
      <ns0:c r="CO31" s="0">
        <ns0:f>IF(OR($AO31=0,$B$5&lt;&gt;"OK",$B$6&gt;0,Calendar!W$11=""),0,SUMIFS(rngEngine_U,rngEngine_B,INDEX(Team!$A$11:$A$60,$AO31),rngAMStart,"&lt;="&amp;Calendar!W$11,rngAMEnd,"&gt;="&amp;Calendar!W$11))</ns0:f>
        <ns0:v>0</ns0:v>
      </ns0:c>
      <ns0:c r="CP31" s="0">
        <ns0:f>IF(OR($AO31=0,$B$5&lt;&gt;"OK",$B$6&gt;0,Calendar!W$11=""),0,SUMIFS(rngEngine_V,rngEngine_B,INDEX(Team!$A$11:$A$60,$AO31),rngPMStart,"&lt;="&amp;Calendar!W$11,rngPMEnd,"&gt;="&amp;Calendar!W$11))</ns0:f>
        <ns0:v>0</ns0:v>
      </ns0:c>
      <ns0:c r="CQ31" s="0">
        <ns0:f>IF(OR($AO31=0,$B$5&lt;&gt;"OK",$B$6&gt;0,Calendar!X$11=""),0,SUMIFS(rngEngine_U,rngEngine_B,INDEX(Team!$A$11:$A$60,$AO31),rngAMStart,"&lt;="&amp;Calendar!X$11,rngAMEnd,"&gt;="&amp;Calendar!X$11))</ns0:f>
        <ns0:v>0</ns0:v>
      </ns0:c>
      <ns0:c r="CR31" s="0">
        <ns0:f>IF(OR($AO31=0,$B$5&lt;&gt;"OK",$B$6&gt;0,Calendar!X$11=""),0,SUMIFS(rngEngine_V,rngEngine_B,INDEX(Team!$A$11:$A$60,$AO31),rngPMStart,"&lt;="&amp;Calendar!X$11,rngPMEnd,"&gt;="&amp;Calendar!X$11))</ns0:f>
        <ns0:v>0</ns0:v>
      </ns0:c>
      <ns0:c r="CS31" s="0">
        <ns0:f>IF(OR($AO31=0,$B$5&lt;&gt;"OK",$B$6&gt;0,Calendar!Y$11=""),0,SUMIFS(rngEngine_U,rngEngine_B,INDEX(Team!$A$11:$A$60,$AO31),rngAMStart,"&lt;="&amp;Calendar!Y$11,rngAMEnd,"&gt;="&amp;Calendar!Y$11))</ns0:f>
        <ns0:v>0</ns0:v>
      </ns0:c>
      <ns0:c r="CT31" s="0">
        <ns0:f>IF(OR($AO31=0,$B$5&lt;&gt;"OK",$B$6&gt;0,Calendar!Y$11=""),0,SUMIFS(rngEngine_V,rngEngine_B,INDEX(Team!$A$11:$A$60,$AO31),rngPMStart,"&lt;="&amp;Calendar!Y$11,rngPMEnd,"&gt;="&amp;Calendar!Y$11))</ns0:f>
        <ns0:v>0</ns0:v>
      </ns0:c>
      <ns0:c r="CU31" s="0">
        <ns0:f>IF(OR($AO31=0,$B$5&lt;&gt;"OK",$B$6&gt;0,Calendar!Z$11=""),0,SUMIFS(rngEngine_U,rngEngine_B,INDEX(Team!$A$11:$A$60,$AO31),rngAMStart,"&lt;="&amp;Calendar!Z$11,rngAMEnd,"&gt;="&amp;Calendar!Z$11))</ns0:f>
        <ns0:v>0</ns0:v>
      </ns0:c>
      <ns0:c r="CV31" s="0">
        <ns0:f>IF(OR($AO31=0,$B$5&lt;&gt;"OK",$B$6&gt;0,Calendar!Z$11=""),0,SUMIFS(rngEngine_V,rngEngine_B,INDEX(Team!$A$11:$A$60,$AO31),rngPMStart,"&lt;="&amp;Calendar!Z$11,rngPMEnd,"&gt;="&amp;Calendar!Z$11))</ns0:f>
        <ns0:v>0</ns0:v>
      </ns0:c>
      <ns0:c r="CW31" s="0">
        <ns0:f>IF(OR($AO31=0,$B$5&lt;&gt;"OK",$B$6&gt;0,Calendar!AA$11=""),0,SUMIFS(rngEngine_U,rngEngine_B,INDEX(Team!$A$11:$A$60,$AO31),rngAMStart,"&lt;="&amp;Calendar!AA$11,rngAMEnd,"&gt;="&amp;Calendar!AA$11))</ns0:f>
        <ns0:v>0</ns0:v>
      </ns0:c>
      <ns0:c r="CX31" s="0">
        <ns0:f>IF(OR($AO31=0,$B$5&lt;&gt;"OK",$B$6&gt;0,Calendar!AA$11=""),0,SUMIFS(rngEngine_V,rngEngine_B,INDEX(Team!$A$11:$A$60,$AO31),rngPMStart,"&lt;="&amp;Calendar!AA$11,rngPMEnd,"&gt;="&amp;Calendar!AA$11))</ns0:f>
        <ns0:v>0</ns0:v>
      </ns0:c>
      <ns0:c r="CY31" s="0">
        <ns0:f>IF(OR($AO31=0,$B$5&lt;&gt;"OK",$B$6&gt;0,Calendar!AB$11=""),0,SUMIFS(rngEngine_U,rngEngine_B,INDEX(Team!$A$11:$A$60,$AO31),rngAMStart,"&lt;="&amp;Calendar!AB$11,rngAMEnd,"&gt;="&amp;Calendar!AB$11))</ns0:f>
        <ns0:v>0</ns0:v>
      </ns0:c>
      <ns0:c r="CZ31" s="0">
        <ns0:f>IF(OR($AO31=0,$B$5&lt;&gt;"OK",$B$6&gt;0,Calendar!AB$11=""),0,SUMIFS(rngEngine_V,rngEngine_B,INDEX(Team!$A$11:$A$60,$AO31),rngPMStart,"&lt;="&amp;Calendar!AB$11,rngPMEnd,"&gt;="&amp;Calendar!AB$11))</ns0:f>
        <ns0:v>0</ns0:v>
      </ns0:c>
      <ns0:c r="DA31" s="0">
        <ns0:f>IF(OR($AO31=0,$B$5&lt;&gt;"OK",$B$6&gt;0,Calendar!AC$11=""),0,SUMIFS(rngEngine_U,rngEngine_B,INDEX(Team!$A$11:$A$60,$AO31),rngAMStart,"&lt;="&amp;Calendar!AC$11,rngAMEnd,"&gt;="&amp;Calendar!AC$11))</ns0:f>
        <ns0:v>0</ns0:v>
      </ns0:c>
      <ns0:c r="DB31" s="0">
        <ns0:f>IF(OR($AO31=0,$B$5&lt;&gt;"OK",$B$6&gt;0,Calendar!AC$11=""),0,SUMIFS(rngEngine_V,rngEngine_B,INDEX(Team!$A$11:$A$60,$AO31),rngPMStart,"&lt;="&amp;Calendar!AC$11,rngPMEnd,"&gt;="&amp;Calendar!AC$11))</ns0:f>
        <ns0:v>0</ns0:v>
      </ns0:c>
      <ns0:c r="DC31" s="0">
        <ns0:f>IF(OR($AO31=0,$B$5&lt;&gt;"OK",$B$6&gt;0,Calendar!AD$11=""),0,SUMIFS(rngEngine_U,rngEngine_B,INDEX(Team!$A$11:$A$60,$AO31),rngAMStart,"&lt;="&amp;Calendar!AD$11,rngAMEnd,"&gt;="&amp;Calendar!AD$11))</ns0:f>
        <ns0:v>0</ns0:v>
      </ns0:c>
      <ns0:c r="DD31" s="0">
        <ns0:f>IF(OR($AO31=0,$B$5&lt;&gt;"OK",$B$6&gt;0,Calendar!AD$11=""),0,SUMIFS(rngEngine_V,rngEngine_B,INDEX(Team!$A$11:$A$60,$AO31),rngPMStart,"&lt;="&amp;Calendar!AD$11,rngPMEnd,"&gt;="&amp;Calendar!AD$11))</ns0:f>
        <ns0:v>0</ns0:v>
      </ns0:c>
      <ns0:c r="DE31" s="0">
        <ns0:f>IF(OR($AO31=0,$B$5&lt;&gt;"OK",$B$6&gt;0,Calendar!AE$11=""),0,SUMIFS(rngEngine_U,rngEngine_B,INDEX(Team!$A$11:$A$60,$AO31),rngAMStart,"&lt;="&amp;Calendar!AE$11,rngAMEnd,"&gt;="&amp;Calendar!AE$11))</ns0:f>
        <ns0:v>0</ns0:v>
      </ns0:c>
      <ns0:c r="DF31" s="0">
        <ns0:f>IF(OR($AO31=0,$B$5&lt;&gt;"OK",$B$6&gt;0,Calendar!AE$11=""),0,SUMIFS(rngEngine_V,rngEngine_B,INDEX(Team!$A$11:$A$60,$AO31),rngPMStart,"&lt;="&amp;Calendar!AE$11,rngPMEnd,"&gt;="&amp;Calendar!AE$11))</ns0:f>
        <ns0:v>0</ns0:v>
      </ns0:c>
      <ns0:c r="DG31" s="0">
        <ns0:f>IF(OR($AO31=0,$B$5&lt;&gt;"OK",$B$6&gt;0,Calendar!AF$11=""),0,SUMIFS(rngEngine_U,rngEngine_B,INDEX(Team!$A$11:$A$60,$AO31),rngAMStart,"&lt;="&amp;Calendar!AF$11,rngAMEnd,"&gt;="&amp;Calendar!AF$11))</ns0:f>
        <ns0:v>0</ns0:v>
      </ns0:c>
      <ns0:c r="DH31" s="0">
        <ns0:f>IF(OR($AO31=0,$B$5&lt;&gt;"OK",$B$6&gt;0,Calendar!AF$11=""),0,SUMIFS(rngEngine_V,rngEngine_B,INDEX(Team!$A$11:$A$60,$AO31),rngPMStart,"&lt;="&amp;Calendar!AF$11,rngPMEnd,"&gt;="&amp;Calendar!AF$11))</ns0:f>
        <ns0:v>0</ns0:v>
      </ns0:c>
      <ns0:c r="DI31" s="0">
        <ns0:f>IF(OR($AO31=0,$B$5&lt;&gt;"OK",$B$6&gt;0,Calendar!AG$11=""),0,SUMIFS(rngEngine_U,rngEngine_B,INDEX(Team!$A$11:$A$60,$AO31),rngAMStart,"&lt;="&amp;Calendar!AG$11,rngAMEnd,"&gt;="&amp;Calendar!AG$11))</ns0:f>
        <ns0:v>0</ns0:v>
      </ns0:c>
      <ns0:c r="DJ31" s="0">
        <ns0:f>IF(OR($AO31=0,$B$5&lt;&gt;"OK",$B$6&gt;0,Calendar!AG$11=""),0,SUMIFS(rngEngine_V,rngEngine_B,INDEX(Team!$A$11:$A$60,$AO31),rngPMStart,"&lt;="&amp;Calendar!AG$11,rngPMEnd,"&gt;="&amp;Calendar!AG$11))</ns0:f>
        <ns0:v>0</ns0:v>
      </ns0:c>
      <ns0:c r="DK31" s="0">
        <ns0:f>IF(OR($AO31=0,$B$5&lt;&gt;"OK",$B$6&gt;0,Calendar!AH$11=""),0,SUMIFS(rngEngine_U,rngEngine_B,INDEX(Team!$A$11:$A$60,$AO31),rngAMStart,"&lt;="&amp;Calendar!AH$11,rngAMEnd,"&gt;="&amp;Calendar!AH$11))</ns0:f>
        <ns0:v>0</ns0:v>
      </ns0:c>
      <ns0:c r="DL31" s="0">
        <ns0:f>IF(OR($AO31=0,$B$5&lt;&gt;"OK",$B$6&gt;0,Calendar!AH$11=""),0,SUMIFS(rngEngine_V,rngEngine_B,INDEX(Team!$A$11:$A$60,$AO31),rngPMStart,"&lt;="&amp;Calendar!AH$11,rngPMEnd,"&gt;="&amp;Calendar!AH$11))</ns0:f>
        <ns0:v>0</ns0:v>
      </ns0:c>
    </ns0:row>
    <ns0:row r="32" ht="22" customHeight="1">
      <ns0:c r="A32" s="4">
        <ns0:f>IF(COUNTA(Bookings!A32:G32,Bookings!I32)=0,0,1)</ns0:f>
        <ns0:v>0</ns0:v>
      </ns0:c>
      <ns0:c r="B32" s="4">
        <ns0:f>IFERROR(TRIM(MID(Bookings!A32,FIND(" · ",Bookings!A32)+3,99)),"")</ns0:f>
        <ns0:v>99</ns0:v>
      </ns0:c>
      <ns0:c r="C32" s="4">
        <ns0:f>IF(OR(B32="",LEN(B32)&gt;24,ISNUMBER(FIND(" ",B32)),ISNUMBER(FIND("*",B32)),ISNUMBER(FIND("?",B32)),ISNUMBER(FIND("~",B32))),0,IFERROR(MATCH(B32,Team!$A$11:$A$60,0),0))</ns0:f>
        <ns0:v>0</ns0:v>
      </ns0:c>
      <ns0:c r="D32" s="4" t="str">
        <ns0:f>IFERROR(IF(MID(Bookings!F32,LEN(Bookings!F32)-3,3)=" · ",RIGHT(Bookings!F32,1),""),"")</ns0:f>
        <ns0:v/>
      </ns0:c>
      <ns0:c r="E32" s="4" t="str">
        <ns0:f>IFERROR(INDEX(Settings!$H$7:$H$11,MATCH(D32,Settings!$G$7:$G$11,0)),"")</ns0:f>
        <ns0:v/>
      </ns0:c>
      <ns0:c r="F32" s="4" t="str">
        <ns0:f>IF(A32=0,"",IFERROR(IF(OR(B32="",C32=0),"CHECK employee selection",IF(INDEX(Team!$O$11:$O$60,C32)&lt;&gt;"OK","CHECK employee setup",IF(OR('_Dates'!J32=0,'_Dates'!T32=0),"CHECK date: use DD.MM.YYYY",IF('_Dates'!T32&lt;'_Dates'!J32,"CHECK end before start",IF(AND($B$6=0,OR('_Dates'!J32&lt;Settings!$B$7,'_Dates'!T32&gt;Settings!$B$8)),"CHECK split across leave years",IF(OR(NOT(OR('_Dates'!U32="Full day",'_Dates'!U32="AM",'_Dates'!U32="PM")),NOT(OR('_Dates'!V32="Full day",'_Dates'!V32="AM",'_Dates'!V32="PM"))),"CHECK Full day / AM / PM",IF(AND('_Dates'!J32='_Dates'!T32,'_Dates'!U32&lt;&gt;"Full day",'_Dates'!V32&lt;&gt;"Full day",'_Dates'!U32&lt;&gt;'_Dates'!V32),"CHECK same-day portions disagree",IF(AND($B$6=0,OR(AND('_Dates'!U32&lt;&gt;"Full day",'_Dates'!AA32=0),AND('_Dates'!V32&lt;&gt;"Full day",'_Dates'!AB32=0))),"CHECK half-day on non-working date",IF(COUNTIF(Settings!$G$7:$G$11,D32)&lt;&gt;1,"CHECK leave type",IF(AND(Bookings!G32&lt;&gt;"Approved",Bookings!G32&lt;&gt;"Pending",Bookings!G32&lt;&gt;"Cancelled"),"CHECK status","OK")))))))))),"CHECK input"))</ns0:f>
        <ns0:v/>
      </ns0:c>
      <ns0:c r="G32" s="4">
        <ns0:f>IF(OR(F32&lt;&gt;"OK",$B$6&gt;0),0,0.5*(IF(('_Dates'!X32)&lt;('_Dates'!W32),0,INT((('_Dates'!X32)-('_Dates'!W32)+1)/7)*LEN(SUBSTITUTE(W32,"O",""))+LEN(SUBSTITUTE(MID(W32&amp;W32,WEEKDAY(('_Dates'!W32),2),MOD((('_Dates'!X32)-('_Dates'!W32)+1),7)),"O",""))-COUNTIFS(INDEX(AllClosureRows,C32,0),"&gt;="&amp;('_Dates'!W32),INDEX(AllClosureRows,C32,0),"&lt;="&amp;('_Dates'!X32)))+IF(('_Dates'!Z32)&lt;('_Dates'!Y32),0,INT((('_Dates'!Z32)-('_Dates'!Y32)+1)/7)*LEN(SUBSTITUTE(W32,"O",""))+LEN(SUBSTITUTE(MID(W32&amp;W32,WEEKDAY(('_Dates'!Y32),2),MOD((('_Dates'!Z32)-('_Dates'!Y32)+1),7)),"O",""))-COUNTIFS(INDEX(AllClosureRows,C32,0),"&gt;="&amp;('_Dates'!Y32),INDEX(AllClosureRows,C32,0),"&lt;="&amp;('_Dates'!Z32)))))</ns0:f>
        <ns0:v>0</ns0:v>
      </ns0:c>
      <ns0:c r="H32" s="4">
        <ns0:f>IF(OR(F32&lt;&gt;"OK",$B$6&gt;0),0,0.5*(IF((MIN('_Dates'!X32,Settings!$B$9))&lt;('_Dates'!W32),0,INT(((MIN('_Dates'!X32,Settings!$B$9))-('_Dates'!W32)+1)/7)*LEN(SUBSTITUTE(W32,"O",""))+LEN(SUBSTITUTE(MID(W32&amp;W32,WEEKDAY(('_Dates'!W32),2),MOD(((MIN('_Dates'!X32,Settings!$B$9))-('_Dates'!W32)+1),7)),"O",""))-COUNTIFS(INDEX(AllClosureRows,C32,0),"&gt;="&amp;('_Dates'!W32),INDEX(AllClosureRows,C32,0),"&lt;="&amp;(MIN('_Dates'!X32,Settings!$B$9))))+IF((MIN('_Dates'!Z32,Settings!$B$9))&lt;('_Dates'!Y32),0,INT(((MIN('_Dates'!Z32,Settings!$B$9))-('_Dates'!Y32)+1)/7)*LEN(SUBSTITUTE(W32,"O",""))+LEN(SUBSTITUTE(MID(W32&amp;W32,WEEKDAY(('_Dates'!Y32),2),MOD(((MIN('_Dates'!Z32,Settings!$B$9))-('_Dates'!Y32)+1),7)),"O",""))-COUNTIFS(INDEX(AllClosureRows,C32,0),"&gt;="&amp;('_Dates'!Y32),INDEX(AllClosureRows,C32,0),"&lt;="&amp;(MIN('_Dates'!Z32,Settings!$B$9))))))</ns0:f>
        <ns0:v>0</ns0:v>
      </ns0:c>
      <ns0:c r="I32" s="4">
        <ns0:f>MAX(0,G32-H32)</ns0:f>
        <ns0:v>0</ns0:v>
      </ns0:c>
      <ns0:c r="J32" s="4">
        <ns0:f>IF(OR(A32=0,F32&lt;&gt;"OK",Bookings!G32="Cancelled",$B$6&gt;0),0,IF('_Dates'!AC32=1,MAX(0,COUNTIFS(rngEngine_B,B32,rngAMStart,"&lt;="&amp;'_Dates'!X32,rngAMEnd,"&gt;="&amp;'_Dates'!W32,rngAMActive,1,rngEngine_F,"OK",rngBookings_F,"&lt;&gt;Cancelled")-1),0)+IF('_Dates'!AD32=1,MAX(0,COUNTIFS(rngEngine_B,B32,rngPMStart,"&lt;="&amp;'_Dates'!Z32,rngPMEnd,"&gt;="&amp;'_Dates'!Y32,rngPMActive,1,rngEngine_F,"OK",rngBookings_F,"&lt;&gt;Cancelled")-1),0))</ns0:f>
        <ns0:v>0</ns0:v>
      </ns0:c>
      <ns0:c r="K32" s="0" t="str">
        <ns0:f>IF(A32=0,"",IF(F32&lt;&gt;"OK",F32,IF(J32&gt;0,"CHECK overlapping entry",IF(AND($B$6=0,G32&lt;=0,Bookings!G32&lt;&gt;"Cancelled"),"CHECK no working days",IF(Bookings!G32="Cancelled","Cancelled","OK")))))</ns0:f>
        <ns0:v/>
      </ns0:c>
      <ns0:c r="L32" s="0">
        <ns0:f>IF(LEFT(K32,5)="CHECK",1,0)</ns0:f>
        <ns0:v>0</ns0:v>
      </ns0:c>
      <ns0:c r="M32" s="0">
        <ns0:f>IF(AND(L32=1,OR(C32=0,IFERROR(INDEX($X$11:$X$60,C32),0)=0)),1,0)</ns0:f>
        <ns0:v>0</ns0:v>
      </ns0:c>
      <ns0:c r="N32" s="0">
        <ns0:f>IF(OR(A32=0,L32&gt;0,$B$6&gt;0,Bookings!G32="Cancelled"),0,G32)</ns0:f>
        <ns0:v>0</ns0:v>
      </ns0:c>
      <ns0:c r="O32" s="0">
        <ns0:f>IF(AND(Bookings!G32="Approved",E32="Yes"),N32,0)</ns0:f>
        <ns0:v>0</ns0:v>
      </ns0:c>
      <ns0:c r="P32" s="0">
        <ns0:f>IF(AND(Bookings!G32="Approved",E32="Yes",L32=0,$B$6=0),H32,0)</ns0:f>
        <ns0:v>0</ns0:v>
      </ns0:c>
      <ns0:c r="Q32" s="0">
        <ns0:f>IF(AND(Bookings!G32="Approved",E32="Yes",L32=0,$B$6=0),I32,0)</ns0:f>
        <ns0:v>0</ns0:v>
      </ns0:c>
      <ns0:c r="R32" s="0">
        <ns0:f>IF(AND(Bookings!G32="Pending",E32="Yes"),N32,0)</ns0:f>
        <ns0:v>0</ns0:v>
      </ns0:c>
      <ns0:c r="S32" s="0">
        <ns0:f>IF(AND(Bookings!G32="Approved",E32="No"),N32,0)</ns0:f>
        <ns0:v>0</ns0:v>
      </ns0:c>
      <ns0:c r="T32" s="0">
        <ns0:f>IFERROR(MATCH(D32,Settings!$G$7:$G$11,0),0)</ns0:f>
        <ns0:v>0</ns0:v>
      </ns0:c>
      <ns0:c r="U32" s="0">
        <ns0:f>IF(N32&gt;0,T32+IF(Bookings!G32="Pending",10,0),0)</ns0:f>
        <ns0:v>0</ns0:v>
      </ns0:c>
      <ns0:c r="V32" s="0">
        <ns0:f>U32</ns0:f>
        <ns0:v>0</ns0:v>
      </ns0:c>
      <ns0:c r="W32" s="0" t="str">
        <ns0:f>IF(C32=0,"",INDEX($AP$11:$AP$60,C32))</ns0:f>
        <ns0:v/>
      </ns0:c>
      <ns0:c r="X32" s="0">
        <ns0:f>IF(COUNTA(Team!B32:D32)=0,0,1)</ns0:f>
        <ns0:v>0</ns0:v>
      </ns0:c>
      <ns0:c r="Y32" s="0" t="str">
        <ns0:f>IF(X32=0,"",IF(Team!B32="","[Unnamed]",Team!B32)&amp;" · "&amp;Team!A32)</ns0:f>
        <ns0:v/>
      </ns0:c>
      <ns0:c r="Z32" s="0">
        <ns0:f>IF(X32=0,0,COUNTIF(Team!H32:N32,"Work"))</ns0:f>
        <ns0:v>0</ns0:v>
      </ns0:c>
      <ns0:c r="AA32" s="0">
        <ns0:f>IF(LEFT(Team!O32,5)="CHECK",1,0)</ns0:f>
        <ns0:v>0</ns0:v>
      </ns0:c>
      <ns0:c r="AB32" s="0">
        <ns0:f>IF(X32=0,0,SUMIFS(rngEngine_L,rngEngine_B,Team!A32))</ns0:f>
        <ns0:v>0</ns0:v>
      </ns0:c>
      <ns0:c r="AC32" s="0" t="str">
        <ns0:f>IF(AND(X32=1,OR(Calendar!$C$7="All teams",Team!C32=Calendar!$C$7)),MAX($AC$10:AC31)+1,"")</ns0:f>
        <ns0:v/>
      </ns0:c>
      <ns0:c r="AD32" s="0" t="str">
        <ns0:f>IF(OR(X32=0,Team!C32="",COUNTIF(Team!$C$11:C32,Team!C32)&gt;1),"",MAX($AD$10:AD31)+1)</ns0:f>
        <ns0:v/>
      </ns0:c>
      <ns0:c r="AE32" s="0" t="str">
        <ns0:f>IFERROR(INDEX(Team!$C$11:$C$60,MATCH(ROW()-10,$AD$11:$AD$60,0)),"")</ns0:f>
        <ns0:v/>
      </ns0:c>
      <ns0:c r="AF32" s="0" t="str">
        <ns0:f>AE32</ns0:f>
        <ns0:v/>
      </ns0:c>
      <ns0:c r="AG32" s="0">
        <ns0:f>IF(X32=0,0,IFERROR(Team!F32+Team!G32,0))</ns0:f>
        <ns0:v>0</ns0:v>
      </ns0:c>
      <ns0:c r="AH32" s="0">
        <ns0:f>IF(X32=0,0,SUMIFS(rngEngine_P,rngEngine_B,Team!A32))</ns0:f>
        <ns0:v>0</ns0:v>
      </ns0:c>
      <ns0:c r="AI32" s="0">
        <ns0:f>IF(X32=0,0,SUMIFS(rngEngine_Q,rngEngine_B,Team!A32))</ns0:f>
        <ns0:v>0</ns0:v>
      </ns0:c>
      <ns0:c r="AJ32" s="0">
        <ns0:f>IF(X32=0,0,SUMIFS(rngEngine_R,rngEngine_B,Team!A32))</ns0:f>
        <ns0:v>0</ns0:v>
      </ns0:c>
      <ns0:c r="AK32" s="0">
        <ns0:f>IF(X32=0,0,SUMIFS(rngEngine_S,rngEngine_B,Team!A32))</ns0:f>
        <ns0:v>0</ns0:v>
      </ns0:c>
      <ns0:c r="AL32" s="0">
        <ns0:f>AH32+AI32</ns0:f>
        <ns0:v>0</ns0:v>
      </ns0:c>
      <ns0:c r="AM32" s="0" t="str">
        <ns0:f>IF(X32=0,"",IF(AA32&gt;0,"CHECK team setup",IF(AB32&gt;0,"CHECK "&amp;AB32&amp;" booking(s)","OK")))</ns0:f>
        <ns0:v/>
      </ns0:c>
      <ns0:c r="AN32" s="0" t="str">
        <ns0:f>IF(X32=0,"",IF(OR($B$6&gt;0,AM32&lt;&gt;"OK"),"REVIEW",AG32-AL32))</ns0:f>
        <ns0:v/>
      </ns0:c>
      <ns0:c r="AO32" s="0">
        <ns0:f>IFERROR(MATCH(ROW()-11,$AC$11:$AC$60,0),0)</ns0:f>
        <ns0:v>0</ns0:v>
      </ns0:c>
      <ns0:c r="AP32" s="0" t="str">
        <ns0:f>IF(Team!H32="Work","W","O")&amp;IF(Team!I32="Work","W","O")&amp;IF(Team!J32="Work","W","O")&amp;IF(Team!K32="Work","W","O")&amp;IF(Team!L32="Work","W","O")&amp;IF(Team!M32="Work","W","O")&amp;IF(Team!N32="Work","W","O")</ns0:f>
        <ns0:v>WWWWWOO</ns0:v>
      </ns0:c>
      <ns0:c r="AR32" s="0">
        <ns0:f>IFERROR(IF(ISNUMBER(Settings!F32),WEEKDAY(Settings!F32,2),0),0)</ns0:f>
        <ns0:v>0</ns0:v>
      </ns0:c>
      <ns0:c r="BC32" s="0">
        <ns0:f>IF(OR($AO32=0,$B$5&lt;&gt;"OK",$B$6&gt;0,Calendar!D$11=""),0,SUMIFS(rngEngine_U,rngEngine_B,INDEX(Team!$A$11:$A$60,$AO32),rngAMStart,"&lt;="&amp;Calendar!D$11,rngAMEnd,"&gt;="&amp;Calendar!D$11))</ns0:f>
        <ns0:v>0</ns0:v>
      </ns0:c>
      <ns0:c r="BD32" s="0">
        <ns0:f>IF(OR($AO32=0,$B$5&lt;&gt;"OK",$B$6&gt;0,Calendar!D$11=""),0,SUMIFS(rngEngine_V,rngEngine_B,INDEX(Team!$A$11:$A$60,$AO32),rngPMStart,"&lt;="&amp;Calendar!D$11,rngPMEnd,"&gt;="&amp;Calendar!D$11))</ns0:f>
        <ns0:v>0</ns0:v>
      </ns0:c>
      <ns0:c r="BE32" s="0">
        <ns0:f>IF(OR($AO32=0,$B$5&lt;&gt;"OK",$B$6&gt;0,Calendar!E$11=""),0,SUMIFS(rngEngine_U,rngEngine_B,INDEX(Team!$A$11:$A$60,$AO32),rngAMStart,"&lt;="&amp;Calendar!E$11,rngAMEnd,"&gt;="&amp;Calendar!E$11))</ns0:f>
        <ns0:v>0</ns0:v>
      </ns0:c>
      <ns0:c r="BF32" s="0">
        <ns0:f>IF(OR($AO32=0,$B$5&lt;&gt;"OK",$B$6&gt;0,Calendar!E$11=""),0,SUMIFS(rngEngine_V,rngEngine_B,INDEX(Team!$A$11:$A$60,$AO32),rngPMStart,"&lt;="&amp;Calendar!E$11,rngPMEnd,"&gt;="&amp;Calendar!E$11))</ns0:f>
        <ns0:v>0</ns0:v>
      </ns0:c>
      <ns0:c r="BG32" s="0">
        <ns0:f>IF(OR($AO32=0,$B$5&lt;&gt;"OK",$B$6&gt;0,Calendar!F$11=""),0,SUMIFS(rngEngine_U,rngEngine_B,INDEX(Team!$A$11:$A$60,$AO32),rngAMStart,"&lt;="&amp;Calendar!F$11,rngAMEnd,"&gt;="&amp;Calendar!F$11))</ns0:f>
        <ns0:v>0</ns0:v>
      </ns0:c>
      <ns0:c r="BH32" s="0">
        <ns0:f>IF(OR($AO32=0,$B$5&lt;&gt;"OK",$B$6&gt;0,Calendar!F$11=""),0,SUMIFS(rngEngine_V,rngEngine_B,INDEX(Team!$A$11:$A$60,$AO32),rngPMStart,"&lt;="&amp;Calendar!F$11,rngPMEnd,"&gt;="&amp;Calendar!F$11))</ns0:f>
        <ns0:v>0</ns0:v>
      </ns0:c>
      <ns0:c r="BI32" s="0">
        <ns0:f>IF(OR($AO32=0,$B$5&lt;&gt;"OK",$B$6&gt;0,Calendar!G$11=""),0,SUMIFS(rngEngine_U,rngEngine_B,INDEX(Team!$A$11:$A$60,$AO32),rngAMStart,"&lt;="&amp;Calendar!G$11,rngAMEnd,"&gt;="&amp;Calendar!G$11))</ns0:f>
        <ns0:v>0</ns0:v>
      </ns0:c>
      <ns0:c r="BJ32" s="0">
        <ns0:f>IF(OR($AO32=0,$B$5&lt;&gt;"OK",$B$6&gt;0,Calendar!G$11=""),0,SUMIFS(rngEngine_V,rngEngine_B,INDEX(Team!$A$11:$A$60,$AO32),rngPMStart,"&lt;="&amp;Calendar!G$11,rngPMEnd,"&gt;="&amp;Calendar!G$11))</ns0:f>
        <ns0:v>0</ns0:v>
      </ns0:c>
      <ns0:c r="BK32" s="0">
        <ns0:f>IF(OR($AO32=0,$B$5&lt;&gt;"OK",$B$6&gt;0,Calendar!H$11=""),0,SUMIFS(rngEngine_U,rngEngine_B,INDEX(Team!$A$11:$A$60,$AO32),rngAMStart,"&lt;="&amp;Calendar!H$11,rngAMEnd,"&gt;="&amp;Calendar!H$11))</ns0:f>
        <ns0:v>0</ns0:v>
      </ns0:c>
      <ns0:c r="BL32" s="0">
        <ns0:f>IF(OR($AO32=0,$B$5&lt;&gt;"OK",$B$6&gt;0,Calendar!H$11=""),0,SUMIFS(rngEngine_V,rngEngine_B,INDEX(Team!$A$11:$A$60,$AO32),rngPMStart,"&lt;="&amp;Calendar!H$11,rngPMEnd,"&gt;="&amp;Calendar!H$11))</ns0:f>
        <ns0:v>0</ns0:v>
      </ns0:c>
      <ns0:c r="BM32" s="0">
        <ns0:f>IF(OR($AO32=0,$B$5&lt;&gt;"OK",$B$6&gt;0,Calendar!I$11=""),0,SUMIFS(rngEngine_U,rngEngine_B,INDEX(Team!$A$11:$A$60,$AO32),rngAMStart,"&lt;="&amp;Calendar!I$11,rngAMEnd,"&gt;="&amp;Calendar!I$11))</ns0:f>
        <ns0:v>0</ns0:v>
      </ns0:c>
      <ns0:c r="BN32" s="0">
        <ns0:f>IF(OR($AO32=0,$B$5&lt;&gt;"OK",$B$6&gt;0,Calendar!I$11=""),0,SUMIFS(rngEngine_V,rngEngine_B,INDEX(Team!$A$11:$A$60,$AO32),rngPMStart,"&lt;="&amp;Calendar!I$11,rngPMEnd,"&gt;="&amp;Calendar!I$11))</ns0:f>
        <ns0:v>0</ns0:v>
      </ns0:c>
      <ns0:c r="BO32" s="0">
        <ns0:f>IF(OR($AO32=0,$B$5&lt;&gt;"OK",$B$6&gt;0,Calendar!J$11=""),0,SUMIFS(rngEngine_U,rngEngine_B,INDEX(Team!$A$11:$A$60,$AO32),rngAMStart,"&lt;="&amp;Calendar!J$11,rngAMEnd,"&gt;="&amp;Calendar!J$11))</ns0:f>
        <ns0:v>0</ns0:v>
      </ns0:c>
      <ns0:c r="BP32" s="0">
        <ns0:f>IF(OR($AO32=0,$B$5&lt;&gt;"OK",$B$6&gt;0,Calendar!J$11=""),0,SUMIFS(rngEngine_V,rngEngine_B,INDEX(Team!$A$11:$A$60,$AO32),rngPMStart,"&lt;="&amp;Calendar!J$11,rngPMEnd,"&gt;="&amp;Calendar!J$11))</ns0:f>
        <ns0:v>0</ns0:v>
      </ns0:c>
      <ns0:c r="BQ32" s="0">
        <ns0:f>IF(OR($AO32=0,$B$5&lt;&gt;"OK",$B$6&gt;0,Calendar!K$11=""),0,SUMIFS(rngEngine_U,rngEngine_B,INDEX(Team!$A$11:$A$60,$AO32),rngAMStart,"&lt;="&amp;Calendar!K$11,rngAMEnd,"&gt;="&amp;Calendar!K$11))</ns0:f>
        <ns0:v>0</ns0:v>
      </ns0:c>
      <ns0:c r="BR32" s="0">
        <ns0:f>IF(OR($AO32=0,$B$5&lt;&gt;"OK",$B$6&gt;0,Calendar!K$11=""),0,SUMIFS(rngEngine_V,rngEngine_B,INDEX(Team!$A$11:$A$60,$AO32),rngPMStart,"&lt;="&amp;Calendar!K$11,rngPMEnd,"&gt;="&amp;Calendar!K$11))</ns0:f>
        <ns0:v>0</ns0:v>
      </ns0:c>
      <ns0:c r="BS32" s="0">
        <ns0:f>IF(OR($AO32=0,$B$5&lt;&gt;"OK",$B$6&gt;0,Calendar!L$11=""),0,SUMIFS(rngEngine_U,rngEngine_B,INDEX(Team!$A$11:$A$60,$AO32),rngAMStart,"&lt;="&amp;Calendar!L$11,rngAMEnd,"&gt;="&amp;Calendar!L$11))</ns0:f>
        <ns0:v>0</ns0:v>
      </ns0:c>
      <ns0:c r="BT32" s="0">
        <ns0:f>IF(OR($AO32=0,$B$5&lt;&gt;"OK",$B$6&gt;0,Calendar!L$11=""),0,SUMIFS(rngEngine_V,rngEngine_B,INDEX(Team!$A$11:$A$60,$AO32),rngPMStart,"&lt;="&amp;Calendar!L$11,rngPMEnd,"&gt;="&amp;Calendar!L$11))</ns0:f>
        <ns0:v>0</ns0:v>
      </ns0:c>
      <ns0:c r="BU32" s="0">
        <ns0:f>IF(OR($AO32=0,$B$5&lt;&gt;"OK",$B$6&gt;0,Calendar!M$11=""),0,SUMIFS(rngEngine_U,rngEngine_B,INDEX(Team!$A$11:$A$60,$AO32),rngAMStart,"&lt;="&amp;Calendar!M$11,rngAMEnd,"&gt;="&amp;Calendar!M$11))</ns0:f>
        <ns0:v>0</ns0:v>
      </ns0:c>
      <ns0:c r="BV32" s="0">
        <ns0:f>IF(OR($AO32=0,$B$5&lt;&gt;"OK",$B$6&gt;0,Calendar!M$11=""),0,SUMIFS(rngEngine_V,rngEngine_B,INDEX(Team!$A$11:$A$60,$AO32),rngPMStart,"&lt;="&amp;Calendar!M$11,rngPMEnd,"&gt;="&amp;Calendar!M$11))</ns0:f>
        <ns0:v>0</ns0:v>
      </ns0:c>
      <ns0:c r="BW32" s="0">
        <ns0:f>IF(OR($AO32=0,$B$5&lt;&gt;"OK",$B$6&gt;0,Calendar!N$11=""),0,SUMIFS(rngEngine_U,rngEngine_B,INDEX(Team!$A$11:$A$60,$AO32),rngAMStart,"&lt;="&amp;Calendar!N$11,rngAMEnd,"&gt;="&amp;Calendar!N$11))</ns0:f>
        <ns0:v>0</ns0:v>
      </ns0:c>
      <ns0:c r="BX32" s="0">
        <ns0:f>IF(OR($AO32=0,$B$5&lt;&gt;"OK",$B$6&gt;0,Calendar!N$11=""),0,SUMIFS(rngEngine_V,rngEngine_B,INDEX(Team!$A$11:$A$60,$AO32),rngPMStart,"&lt;="&amp;Calendar!N$11,rngPMEnd,"&gt;="&amp;Calendar!N$11))</ns0:f>
        <ns0:v>0</ns0:v>
      </ns0:c>
      <ns0:c r="BY32" s="0">
        <ns0:f>IF(OR($AO32=0,$B$5&lt;&gt;"OK",$B$6&gt;0,Calendar!O$11=""),0,SUMIFS(rngEngine_U,rngEngine_B,INDEX(Team!$A$11:$A$60,$AO32),rngAMStart,"&lt;="&amp;Calendar!O$11,rngAMEnd,"&gt;="&amp;Calendar!O$11))</ns0:f>
        <ns0:v>0</ns0:v>
      </ns0:c>
      <ns0:c r="BZ32" s="0">
        <ns0:f>IF(OR($AO32=0,$B$5&lt;&gt;"OK",$B$6&gt;0,Calendar!O$11=""),0,SUMIFS(rngEngine_V,rngEngine_B,INDEX(Team!$A$11:$A$60,$AO32),rngPMStart,"&lt;="&amp;Calendar!O$11,rngPMEnd,"&gt;="&amp;Calendar!O$11))</ns0:f>
        <ns0:v>0</ns0:v>
      </ns0:c>
      <ns0:c r="CA32" s="0">
        <ns0:f>IF(OR($AO32=0,$B$5&lt;&gt;"OK",$B$6&gt;0,Calendar!P$11=""),0,SUMIFS(rngEngine_U,rngEngine_B,INDEX(Team!$A$11:$A$60,$AO32),rngAMStart,"&lt;="&amp;Calendar!P$11,rngAMEnd,"&gt;="&amp;Calendar!P$11))</ns0:f>
        <ns0:v>0</ns0:v>
      </ns0:c>
      <ns0:c r="CB32" s="0">
        <ns0:f>IF(OR($AO32=0,$B$5&lt;&gt;"OK",$B$6&gt;0,Calendar!P$11=""),0,SUMIFS(rngEngine_V,rngEngine_B,INDEX(Team!$A$11:$A$60,$AO32),rngPMStart,"&lt;="&amp;Calendar!P$11,rngPMEnd,"&gt;="&amp;Calendar!P$11))</ns0:f>
        <ns0:v>0</ns0:v>
      </ns0:c>
      <ns0:c r="CC32" s="0">
        <ns0:f>IF(OR($AO32=0,$B$5&lt;&gt;"OK",$B$6&gt;0,Calendar!Q$11=""),0,SUMIFS(rngEngine_U,rngEngine_B,INDEX(Team!$A$11:$A$60,$AO32),rngAMStart,"&lt;="&amp;Calendar!Q$11,rngAMEnd,"&gt;="&amp;Calendar!Q$11))</ns0:f>
        <ns0:v>0</ns0:v>
      </ns0:c>
      <ns0:c r="CD32" s="0">
        <ns0:f>IF(OR($AO32=0,$B$5&lt;&gt;"OK",$B$6&gt;0,Calendar!Q$11=""),0,SUMIFS(rngEngine_V,rngEngine_B,INDEX(Team!$A$11:$A$60,$AO32),rngPMStart,"&lt;="&amp;Calendar!Q$11,rngPMEnd,"&gt;="&amp;Calendar!Q$11))</ns0:f>
        <ns0:v>0</ns0:v>
      </ns0:c>
      <ns0:c r="CE32" s="0">
        <ns0:f>IF(OR($AO32=0,$B$5&lt;&gt;"OK",$B$6&gt;0,Calendar!R$11=""),0,SUMIFS(rngEngine_U,rngEngine_B,INDEX(Team!$A$11:$A$60,$AO32),rngAMStart,"&lt;="&amp;Calendar!R$11,rngAMEnd,"&gt;="&amp;Calendar!R$11))</ns0:f>
        <ns0:v>0</ns0:v>
      </ns0:c>
      <ns0:c r="CF32" s="0">
        <ns0:f>IF(OR($AO32=0,$B$5&lt;&gt;"OK",$B$6&gt;0,Calendar!R$11=""),0,SUMIFS(rngEngine_V,rngEngine_B,INDEX(Team!$A$11:$A$60,$AO32),rngPMStart,"&lt;="&amp;Calendar!R$11,rngPMEnd,"&gt;="&amp;Calendar!R$11))</ns0:f>
        <ns0:v>0</ns0:v>
      </ns0:c>
      <ns0:c r="CG32" s="0">
        <ns0:f>IF(OR($AO32=0,$B$5&lt;&gt;"OK",$B$6&gt;0,Calendar!S$11=""),0,SUMIFS(rngEngine_U,rngEngine_B,INDEX(Team!$A$11:$A$60,$AO32),rngAMStart,"&lt;="&amp;Calendar!S$11,rngAMEnd,"&gt;="&amp;Calendar!S$11))</ns0:f>
        <ns0:v>0</ns0:v>
      </ns0:c>
      <ns0:c r="CH32" s="0">
        <ns0:f>IF(OR($AO32=0,$B$5&lt;&gt;"OK",$B$6&gt;0,Calendar!S$11=""),0,SUMIFS(rngEngine_V,rngEngine_B,INDEX(Team!$A$11:$A$60,$AO32),rngPMStart,"&lt;="&amp;Calendar!S$11,rngPMEnd,"&gt;="&amp;Calendar!S$11))</ns0:f>
        <ns0:v>0</ns0:v>
      </ns0:c>
      <ns0:c r="CI32" s="0">
        <ns0:f>IF(OR($AO32=0,$B$5&lt;&gt;"OK",$B$6&gt;0,Calendar!T$11=""),0,SUMIFS(rngEngine_U,rngEngine_B,INDEX(Team!$A$11:$A$60,$AO32),rngAMStart,"&lt;="&amp;Calendar!T$11,rngAMEnd,"&gt;="&amp;Calendar!T$11))</ns0:f>
        <ns0:v>0</ns0:v>
      </ns0:c>
      <ns0:c r="CJ32" s="0">
        <ns0:f>IF(OR($AO32=0,$B$5&lt;&gt;"OK",$B$6&gt;0,Calendar!T$11=""),0,SUMIFS(rngEngine_V,rngEngine_B,INDEX(Team!$A$11:$A$60,$AO32),rngPMStart,"&lt;="&amp;Calendar!T$11,rngPMEnd,"&gt;="&amp;Calendar!T$11))</ns0:f>
        <ns0:v>0</ns0:v>
      </ns0:c>
      <ns0:c r="CK32" s="0">
        <ns0:f>IF(OR($AO32=0,$B$5&lt;&gt;"OK",$B$6&gt;0,Calendar!U$11=""),0,SUMIFS(rngEngine_U,rngEngine_B,INDEX(Team!$A$11:$A$60,$AO32),rngAMStart,"&lt;="&amp;Calendar!U$11,rngAMEnd,"&gt;="&amp;Calendar!U$11))</ns0:f>
        <ns0:v>0</ns0:v>
      </ns0:c>
      <ns0:c r="CL32" s="0">
        <ns0:f>IF(OR($AO32=0,$B$5&lt;&gt;"OK",$B$6&gt;0,Calendar!U$11=""),0,SUMIFS(rngEngine_V,rngEngine_B,INDEX(Team!$A$11:$A$60,$AO32),rngPMStart,"&lt;="&amp;Calendar!U$11,rngPMEnd,"&gt;="&amp;Calendar!U$11))</ns0:f>
        <ns0:v>0</ns0:v>
      </ns0:c>
      <ns0:c r="CM32" s="0">
        <ns0:f>IF(OR($AO32=0,$B$5&lt;&gt;"OK",$B$6&gt;0,Calendar!V$11=""),0,SUMIFS(rngEngine_U,rngEngine_B,INDEX(Team!$A$11:$A$60,$AO32),rngAMStart,"&lt;="&amp;Calendar!V$11,rngAMEnd,"&gt;="&amp;Calendar!V$11))</ns0:f>
        <ns0:v>0</ns0:v>
      </ns0:c>
      <ns0:c r="CN32" s="0">
        <ns0:f>IF(OR($AO32=0,$B$5&lt;&gt;"OK",$B$6&gt;0,Calendar!V$11=""),0,SUMIFS(rngEngine_V,rngEngine_B,INDEX(Team!$A$11:$A$60,$AO32),rngPMStart,"&lt;="&amp;Calendar!V$11,rngPMEnd,"&gt;="&amp;Calendar!V$11))</ns0:f>
        <ns0:v>0</ns0:v>
      </ns0:c>
      <ns0:c r="CO32" s="0">
        <ns0:f>IF(OR($AO32=0,$B$5&lt;&gt;"OK",$B$6&gt;0,Calendar!W$11=""),0,SUMIFS(rngEngine_U,rngEngine_B,INDEX(Team!$A$11:$A$60,$AO32),rngAMStart,"&lt;="&amp;Calendar!W$11,rngAMEnd,"&gt;="&amp;Calendar!W$11))</ns0:f>
        <ns0:v>0</ns0:v>
      </ns0:c>
      <ns0:c r="CP32" s="0">
        <ns0:f>IF(OR($AO32=0,$B$5&lt;&gt;"OK",$B$6&gt;0,Calendar!W$11=""),0,SUMIFS(rngEngine_V,rngEngine_B,INDEX(Team!$A$11:$A$60,$AO32),rngPMStart,"&lt;="&amp;Calendar!W$11,rngPMEnd,"&gt;="&amp;Calendar!W$11))</ns0:f>
        <ns0:v>0</ns0:v>
      </ns0:c>
      <ns0:c r="CQ32" s="0">
        <ns0:f>IF(OR($AO32=0,$B$5&lt;&gt;"OK",$B$6&gt;0,Calendar!X$11=""),0,SUMIFS(rngEngine_U,rngEngine_B,INDEX(Team!$A$11:$A$60,$AO32),rngAMStart,"&lt;="&amp;Calendar!X$11,rngAMEnd,"&gt;="&amp;Calendar!X$11))</ns0:f>
        <ns0:v>0</ns0:v>
      </ns0:c>
      <ns0:c r="CR32" s="0">
        <ns0:f>IF(OR($AO32=0,$B$5&lt;&gt;"OK",$B$6&gt;0,Calendar!X$11=""),0,SUMIFS(rngEngine_V,rngEngine_B,INDEX(Team!$A$11:$A$60,$AO32),rngPMStart,"&lt;="&amp;Calendar!X$11,rngPMEnd,"&gt;="&amp;Calendar!X$11))</ns0:f>
        <ns0:v>0</ns0:v>
      </ns0:c>
      <ns0:c r="CS32" s="0">
        <ns0:f>IF(OR($AO32=0,$B$5&lt;&gt;"OK",$B$6&gt;0,Calendar!Y$11=""),0,SUMIFS(rngEngine_U,rngEngine_B,INDEX(Team!$A$11:$A$60,$AO32),rngAMStart,"&lt;="&amp;Calendar!Y$11,rngAMEnd,"&gt;="&amp;Calendar!Y$11))</ns0:f>
        <ns0:v>0</ns0:v>
      </ns0:c>
      <ns0:c r="CT32" s="0">
        <ns0:f>IF(OR($AO32=0,$B$5&lt;&gt;"OK",$B$6&gt;0,Calendar!Y$11=""),0,SUMIFS(rngEngine_V,rngEngine_B,INDEX(Team!$A$11:$A$60,$AO32),rngPMStart,"&lt;="&amp;Calendar!Y$11,rngPMEnd,"&gt;="&amp;Calendar!Y$11))</ns0:f>
        <ns0:v>0</ns0:v>
      </ns0:c>
      <ns0:c r="CU32" s="0">
        <ns0:f>IF(OR($AO32=0,$B$5&lt;&gt;"OK",$B$6&gt;0,Calendar!Z$11=""),0,SUMIFS(rngEngine_U,rngEngine_B,INDEX(Team!$A$11:$A$60,$AO32),rngAMStart,"&lt;="&amp;Calendar!Z$11,rngAMEnd,"&gt;="&amp;Calendar!Z$11))</ns0:f>
        <ns0:v>0</ns0:v>
      </ns0:c>
      <ns0:c r="CV32" s="0">
        <ns0:f>IF(OR($AO32=0,$B$5&lt;&gt;"OK",$B$6&gt;0,Calendar!Z$11=""),0,SUMIFS(rngEngine_V,rngEngine_B,INDEX(Team!$A$11:$A$60,$AO32),rngPMStart,"&lt;="&amp;Calendar!Z$11,rngPMEnd,"&gt;="&amp;Calendar!Z$11))</ns0:f>
        <ns0:v>0</ns0:v>
      </ns0:c>
      <ns0:c r="CW32" s="0">
        <ns0:f>IF(OR($AO32=0,$B$5&lt;&gt;"OK",$B$6&gt;0,Calendar!AA$11=""),0,SUMIFS(rngEngine_U,rngEngine_B,INDEX(Team!$A$11:$A$60,$AO32),rngAMStart,"&lt;="&amp;Calendar!AA$11,rngAMEnd,"&gt;="&amp;Calendar!AA$11))</ns0:f>
        <ns0:v>0</ns0:v>
      </ns0:c>
      <ns0:c r="CX32" s="0">
        <ns0:f>IF(OR($AO32=0,$B$5&lt;&gt;"OK",$B$6&gt;0,Calendar!AA$11=""),0,SUMIFS(rngEngine_V,rngEngine_B,INDEX(Team!$A$11:$A$60,$AO32),rngPMStart,"&lt;="&amp;Calendar!AA$11,rngPMEnd,"&gt;="&amp;Calendar!AA$11))</ns0:f>
        <ns0:v>0</ns0:v>
      </ns0:c>
      <ns0:c r="CY32" s="0">
        <ns0:f>IF(OR($AO32=0,$B$5&lt;&gt;"OK",$B$6&gt;0,Calendar!AB$11=""),0,SUMIFS(rngEngine_U,rngEngine_B,INDEX(Team!$A$11:$A$60,$AO32),rngAMStart,"&lt;="&amp;Calendar!AB$11,rngAMEnd,"&gt;="&amp;Calendar!AB$11))</ns0:f>
        <ns0:v>0</ns0:v>
      </ns0:c>
      <ns0:c r="CZ32" s="0">
        <ns0:f>IF(OR($AO32=0,$B$5&lt;&gt;"OK",$B$6&gt;0,Calendar!AB$11=""),0,SUMIFS(rngEngine_V,rngEngine_B,INDEX(Team!$A$11:$A$60,$AO32),rngPMStart,"&lt;="&amp;Calendar!AB$11,rngPMEnd,"&gt;="&amp;Calendar!AB$11))</ns0:f>
        <ns0:v>0</ns0:v>
      </ns0:c>
      <ns0:c r="DA32" s="0">
        <ns0:f>IF(OR($AO32=0,$B$5&lt;&gt;"OK",$B$6&gt;0,Calendar!AC$11=""),0,SUMIFS(rngEngine_U,rngEngine_B,INDEX(Team!$A$11:$A$60,$AO32),rngAMStart,"&lt;="&amp;Calendar!AC$11,rngAMEnd,"&gt;="&amp;Calendar!AC$11))</ns0:f>
        <ns0:v>0</ns0:v>
      </ns0:c>
      <ns0:c r="DB32" s="0">
        <ns0:f>IF(OR($AO32=0,$B$5&lt;&gt;"OK",$B$6&gt;0,Calendar!AC$11=""),0,SUMIFS(rngEngine_V,rngEngine_B,INDEX(Team!$A$11:$A$60,$AO32),rngPMStart,"&lt;="&amp;Calendar!AC$11,rngPMEnd,"&gt;="&amp;Calendar!AC$11))</ns0:f>
        <ns0:v>0</ns0:v>
      </ns0:c>
      <ns0:c r="DC32" s="0">
        <ns0:f>IF(OR($AO32=0,$B$5&lt;&gt;"OK",$B$6&gt;0,Calendar!AD$11=""),0,SUMIFS(rngEngine_U,rngEngine_B,INDEX(Team!$A$11:$A$60,$AO32),rngAMStart,"&lt;="&amp;Calendar!AD$11,rngAMEnd,"&gt;="&amp;Calendar!AD$11))</ns0:f>
        <ns0:v>0</ns0:v>
      </ns0:c>
      <ns0:c r="DD32" s="0">
        <ns0:f>IF(OR($AO32=0,$B$5&lt;&gt;"OK",$B$6&gt;0,Calendar!AD$11=""),0,SUMIFS(rngEngine_V,rngEngine_B,INDEX(Team!$A$11:$A$60,$AO32),rngPMStart,"&lt;="&amp;Calendar!AD$11,rngPMEnd,"&gt;="&amp;Calendar!AD$11))</ns0:f>
        <ns0:v>0</ns0:v>
      </ns0:c>
      <ns0:c r="DE32" s="0">
        <ns0:f>IF(OR($AO32=0,$B$5&lt;&gt;"OK",$B$6&gt;0,Calendar!AE$11=""),0,SUMIFS(rngEngine_U,rngEngine_B,INDEX(Team!$A$11:$A$60,$AO32),rngAMStart,"&lt;="&amp;Calendar!AE$11,rngAMEnd,"&gt;="&amp;Calendar!AE$11))</ns0:f>
        <ns0:v>0</ns0:v>
      </ns0:c>
      <ns0:c r="DF32" s="0">
        <ns0:f>IF(OR($AO32=0,$B$5&lt;&gt;"OK",$B$6&gt;0,Calendar!AE$11=""),0,SUMIFS(rngEngine_V,rngEngine_B,INDEX(Team!$A$11:$A$60,$AO32),rngPMStart,"&lt;="&amp;Calendar!AE$11,rngPMEnd,"&gt;="&amp;Calendar!AE$11))</ns0:f>
        <ns0:v>0</ns0:v>
      </ns0:c>
      <ns0:c r="DG32" s="0">
        <ns0:f>IF(OR($AO32=0,$B$5&lt;&gt;"OK",$B$6&gt;0,Calendar!AF$11=""),0,SUMIFS(rngEngine_U,rngEngine_B,INDEX(Team!$A$11:$A$60,$AO32),rngAMStart,"&lt;="&amp;Calendar!AF$11,rngAMEnd,"&gt;="&amp;Calendar!AF$11))</ns0:f>
        <ns0:v>0</ns0:v>
      </ns0:c>
      <ns0:c r="DH32" s="0">
        <ns0:f>IF(OR($AO32=0,$B$5&lt;&gt;"OK",$B$6&gt;0,Calendar!AF$11=""),0,SUMIFS(rngEngine_V,rngEngine_B,INDEX(Team!$A$11:$A$60,$AO32),rngPMStart,"&lt;="&amp;Calendar!AF$11,rngPMEnd,"&gt;="&amp;Calendar!AF$11))</ns0:f>
        <ns0:v>0</ns0:v>
      </ns0:c>
      <ns0:c r="DI32" s="0">
        <ns0:f>IF(OR($AO32=0,$B$5&lt;&gt;"OK",$B$6&gt;0,Calendar!AG$11=""),0,SUMIFS(rngEngine_U,rngEngine_B,INDEX(Team!$A$11:$A$60,$AO32),rngAMStart,"&lt;="&amp;Calendar!AG$11,rngAMEnd,"&gt;="&amp;Calendar!AG$11))</ns0:f>
        <ns0:v>0</ns0:v>
      </ns0:c>
      <ns0:c r="DJ32" s="0">
        <ns0:f>IF(OR($AO32=0,$B$5&lt;&gt;"OK",$B$6&gt;0,Calendar!AG$11=""),0,SUMIFS(rngEngine_V,rngEngine_B,INDEX(Team!$A$11:$A$60,$AO32),rngPMStart,"&lt;="&amp;Calendar!AG$11,rngPMEnd,"&gt;="&amp;Calendar!AG$11))</ns0:f>
        <ns0:v>0</ns0:v>
      </ns0:c>
      <ns0:c r="DK32" s="0">
        <ns0:f>IF(OR($AO32=0,$B$5&lt;&gt;"OK",$B$6&gt;0,Calendar!AH$11=""),0,SUMIFS(rngEngine_U,rngEngine_B,INDEX(Team!$A$11:$A$60,$AO32),rngAMStart,"&lt;="&amp;Calendar!AH$11,rngAMEnd,"&gt;="&amp;Calendar!AH$11))</ns0:f>
        <ns0:v>0</ns0:v>
      </ns0:c>
      <ns0:c r="DL32" s="0">
        <ns0:f>IF(OR($AO32=0,$B$5&lt;&gt;"OK",$B$6&gt;0,Calendar!AH$11=""),0,SUMIFS(rngEngine_V,rngEngine_B,INDEX(Team!$A$11:$A$60,$AO32),rngPMStart,"&lt;="&amp;Calendar!AH$11,rngPMEnd,"&gt;="&amp;Calendar!AH$11))</ns0:f>
        <ns0:v>0</ns0:v>
      </ns0:c>
    </ns0:row>
    <ns0:row r="33" ht="22" customHeight="1">
      <ns0:c r="A33" s="4">
        <ns0:f>IF(COUNTA(Bookings!A33:G33,Bookings!I33)=0,0,1)</ns0:f>
        <ns0:v>0</ns0:v>
      </ns0:c>
      <ns0:c r="B33" s="4">
        <ns0:f>IFERROR(TRIM(MID(Bookings!A33,FIND(" · ",Bookings!A33)+3,99)),"")</ns0:f>
        <ns0:v>99</ns0:v>
      </ns0:c>
      <ns0:c r="C33" s="4">
        <ns0:f>IF(OR(B33="",LEN(B33)&gt;24,ISNUMBER(FIND(" ",B33)),ISNUMBER(FIND("*",B33)),ISNUMBER(FIND("?",B33)),ISNUMBER(FIND("~",B33))),0,IFERROR(MATCH(B33,Team!$A$11:$A$60,0),0))</ns0:f>
        <ns0:v>0</ns0:v>
      </ns0:c>
      <ns0:c r="D33" s="4" t="str">
        <ns0:f>IFERROR(IF(MID(Bookings!F33,LEN(Bookings!F33)-3,3)=" · ",RIGHT(Bookings!F33,1),""),"")</ns0:f>
        <ns0:v/>
      </ns0:c>
      <ns0:c r="E33" s="4" t="str">
        <ns0:f>IFERROR(INDEX(Settings!$H$7:$H$11,MATCH(D33,Settings!$G$7:$G$11,0)),"")</ns0:f>
        <ns0:v/>
      </ns0:c>
      <ns0:c r="F33" s="4" t="str">
        <ns0:f>IF(A33=0,"",IFERROR(IF(OR(B33="",C33=0),"CHECK employee selection",IF(INDEX(Team!$O$11:$O$60,C33)&lt;&gt;"OK","CHECK employee setup",IF(OR('_Dates'!J33=0,'_Dates'!T33=0),"CHECK date: use DD.MM.YYYY",IF('_Dates'!T33&lt;'_Dates'!J33,"CHECK end before start",IF(AND($B$6=0,OR('_Dates'!J33&lt;Settings!$B$7,'_Dates'!T33&gt;Settings!$B$8)),"CHECK split across leave years",IF(OR(NOT(OR('_Dates'!U33="Full day",'_Dates'!U33="AM",'_Dates'!U33="PM")),NOT(OR('_Dates'!V33="Full day",'_Dates'!V33="AM",'_Dates'!V33="PM"))),"CHECK Full day / AM / PM",IF(AND('_Dates'!J33='_Dates'!T33,'_Dates'!U33&lt;&gt;"Full day",'_Dates'!V33&lt;&gt;"Full day",'_Dates'!U33&lt;&gt;'_Dates'!V33),"CHECK same-day portions disagree",IF(AND($B$6=0,OR(AND('_Dates'!U33&lt;&gt;"Full day",'_Dates'!AA33=0),AND('_Dates'!V33&lt;&gt;"Full day",'_Dates'!AB33=0))),"CHECK half-day on non-working date",IF(COUNTIF(Settings!$G$7:$G$11,D33)&lt;&gt;1,"CHECK leave type",IF(AND(Bookings!G33&lt;&gt;"Approved",Bookings!G33&lt;&gt;"Pending",Bookings!G33&lt;&gt;"Cancelled"),"CHECK status","OK")))))))))),"CHECK input"))</ns0:f>
        <ns0:v/>
      </ns0:c>
      <ns0:c r="G33" s="4">
        <ns0:f>IF(OR(F33&lt;&gt;"OK",$B$6&gt;0),0,0.5*(IF(('_Dates'!X33)&lt;('_Dates'!W33),0,INT((('_Dates'!X33)-('_Dates'!W33)+1)/7)*LEN(SUBSTITUTE(W33,"O",""))+LEN(SUBSTITUTE(MID(W33&amp;W33,WEEKDAY(('_Dates'!W33),2),MOD((('_Dates'!X33)-('_Dates'!W33)+1),7)),"O",""))-COUNTIFS(INDEX(AllClosureRows,C33,0),"&gt;="&amp;('_Dates'!W33),INDEX(AllClosureRows,C33,0),"&lt;="&amp;('_Dates'!X33)))+IF(('_Dates'!Z33)&lt;('_Dates'!Y33),0,INT((('_Dates'!Z33)-('_Dates'!Y33)+1)/7)*LEN(SUBSTITUTE(W33,"O",""))+LEN(SUBSTITUTE(MID(W33&amp;W33,WEEKDAY(('_Dates'!Y33),2),MOD((('_Dates'!Z33)-('_Dates'!Y33)+1),7)),"O",""))-COUNTIFS(INDEX(AllClosureRows,C33,0),"&gt;="&amp;('_Dates'!Y33),INDEX(AllClosureRows,C33,0),"&lt;="&amp;('_Dates'!Z33)))))</ns0:f>
        <ns0:v>0</ns0:v>
      </ns0:c>
      <ns0:c r="H33" s="4">
        <ns0:f>IF(OR(F33&lt;&gt;"OK",$B$6&gt;0),0,0.5*(IF((MIN('_Dates'!X33,Settings!$B$9))&lt;('_Dates'!W33),0,INT(((MIN('_Dates'!X33,Settings!$B$9))-('_Dates'!W33)+1)/7)*LEN(SUBSTITUTE(W33,"O",""))+LEN(SUBSTITUTE(MID(W33&amp;W33,WEEKDAY(('_Dates'!W33),2),MOD(((MIN('_Dates'!X33,Settings!$B$9))-('_Dates'!W33)+1),7)),"O",""))-COUNTIFS(INDEX(AllClosureRows,C33,0),"&gt;="&amp;('_Dates'!W33),INDEX(AllClosureRows,C33,0),"&lt;="&amp;(MIN('_Dates'!X33,Settings!$B$9))))+IF((MIN('_Dates'!Z33,Settings!$B$9))&lt;('_Dates'!Y33),0,INT(((MIN('_Dates'!Z33,Settings!$B$9))-('_Dates'!Y33)+1)/7)*LEN(SUBSTITUTE(W33,"O",""))+LEN(SUBSTITUTE(MID(W33&amp;W33,WEEKDAY(('_Dates'!Y33),2),MOD(((MIN('_Dates'!Z33,Settings!$B$9))-('_Dates'!Y33)+1),7)),"O",""))-COUNTIFS(INDEX(AllClosureRows,C33,0),"&gt;="&amp;('_Dates'!Y33),INDEX(AllClosureRows,C33,0),"&lt;="&amp;(MIN('_Dates'!Z33,Settings!$B$9))))))</ns0:f>
        <ns0:v>0</ns0:v>
      </ns0:c>
      <ns0:c r="I33" s="4">
        <ns0:f>MAX(0,G33-H33)</ns0:f>
        <ns0:v>0</ns0:v>
      </ns0:c>
      <ns0:c r="J33" s="4">
        <ns0:f>IF(OR(A33=0,F33&lt;&gt;"OK",Bookings!G33="Cancelled",$B$6&gt;0),0,IF('_Dates'!AC33=1,MAX(0,COUNTIFS(rngEngine_B,B33,rngAMStart,"&lt;="&amp;'_Dates'!X33,rngAMEnd,"&gt;="&amp;'_Dates'!W33,rngAMActive,1,rngEngine_F,"OK",rngBookings_F,"&lt;&gt;Cancelled")-1),0)+IF('_Dates'!AD33=1,MAX(0,COUNTIFS(rngEngine_B,B33,rngPMStart,"&lt;="&amp;'_Dates'!Z33,rngPMEnd,"&gt;="&amp;'_Dates'!Y33,rngPMActive,1,rngEngine_F,"OK",rngBookings_F,"&lt;&gt;Cancelled")-1),0))</ns0:f>
        <ns0:v>0</ns0:v>
      </ns0:c>
      <ns0:c r="K33" s="0" t="str">
        <ns0:f>IF(A33=0,"",IF(F33&lt;&gt;"OK",F33,IF(J33&gt;0,"CHECK overlapping entry",IF(AND($B$6=0,G33&lt;=0,Bookings!G33&lt;&gt;"Cancelled"),"CHECK no working days",IF(Bookings!G33="Cancelled","Cancelled","OK")))))</ns0:f>
        <ns0:v/>
      </ns0:c>
      <ns0:c r="L33" s="0">
        <ns0:f>IF(LEFT(K33,5)="CHECK",1,0)</ns0:f>
        <ns0:v>0</ns0:v>
      </ns0:c>
      <ns0:c r="M33" s="0">
        <ns0:f>IF(AND(L33=1,OR(C33=0,IFERROR(INDEX($X$11:$X$60,C33),0)=0)),1,0)</ns0:f>
        <ns0:v>0</ns0:v>
      </ns0:c>
      <ns0:c r="N33" s="0">
        <ns0:f>IF(OR(A33=0,L33&gt;0,$B$6&gt;0,Bookings!G33="Cancelled"),0,G33)</ns0:f>
        <ns0:v>0</ns0:v>
      </ns0:c>
      <ns0:c r="O33" s="0">
        <ns0:f>IF(AND(Bookings!G33="Approved",E33="Yes"),N33,0)</ns0:f>
        <ns0:v>0</ns0:v>
      </ns0:c>
      <ns0:c r="P33" s="0">
        <ns0:f>IF(AND(Bookings!G33="Approved",E33="Yes",L33=0,$B$6=0),H33,0)</ns0:f>
        <ns0:v>0</ns0:v>
      </ns0:c>
      <ns0:c r="Q33" s="0">
        <ns0:f>IF(AND(Bookings!G33="Approved",E33="Yes",L33=0,$B$6=0),I33,0)</ns0:f>
        <ns0:v>0</ns0:v>
      </ns0:c>
      <ns0:c r="R33" s="0">
        <ns0:f>IF(AND(Bookings!G33="Pending",E33="Yes"),N33,0)</ns0:f>
        <ns0:v>0</ns0:v>
      </ns0:c>
      <ns0:c r="S33" s="0">
        <ns0:f>IF(AND(Bookings!G33="Approved",E33="No"),N33,0)</ns0:f>
        <ns0:v>0</ns0:v>
      </ns0:c>
      <ns0:c r="T33" s="0">
        <ns0:f>IFERROR(MATCH(D33,Settings!$G$7:$G$11,0),0)</ns0:f>
        <ns0:v>0</ns0:v>
      </ns0:c>
      <ns0:c r="U33" s="0">
        <ns0:f>IF(N33&gt;0,T33+IF(Bookings!G33="Pending",10,0),0)</ns0:f>
        <ns0:v>0</ns0:v>
      </ns0:c>
      <ns0:c r="V33" s="0">
        <ns0:f>U33</ns0:f>
        <ns0:v>0</ns0:v>
      </ns0:c>
      <ns0:c r="W33" s="0" t="str">
        <ns0:f>IF(C33=0,"",INDEX($AP$11:$AP$60,C33))</ns0:f>
        <ns0:v/>
      </ns0:c>
      <ns0:c r="X33" s="0">
        <ns0:f>IF(COUNTA(Team!B33:D33)=0,0,1)</ns0:f>
        <ns0:v>0</ns0:v>
      </ns0:c>
      <ns0:c r="Y33" s="0" t="str">
        <ns0:f>IF(X33=0,"",IF(Team!B33="","[Unnamed]",Team!B33)&amp;" · "&amp;Team!A33)</ns0:f>
        <ns0:v/>
      </ns0:c>
      <ns0:c r="Z33" s="0">
        <ns0:f>IF(X33=0,0,COUNTIF(Team!H33:N33,"Work"))</ns0:f>
        <ns0:v>0</ns0:v>
      </ns0:c>
      <ns0:c r="AA33" s="0">
        <ns0:f>IF(LEFT(Team!O33,5)="CHECK",1,0)</ns0:f>
        <ns0:v>0</ns0:v>
      </ns0:c>
      <ns0:c r="AB33" s="0">
        <ns0:f>IF(X33=0,0,SUMIFS(rngEngine_L,rngEngine_B,Team!A33))</ns0:f>
        <ns0:v>0</ns0:v>
      </ns0:c>
      <ns0:c r="AC33" s="0" t="str">
        <ns0:f>IF(AND(X33=1,OR(Calendar!$C$7="All teams",Team!C33=Calendar!$C$7)),MAX($AC$10:AC32)+1,"")</ns0:f>
        <ns0:v/>
      </ns0:c>
      <ns0:c r="AD33" s="0" t="str">
        <ns0:f>IF(OR(X33=0,Team!C33="",COUNTIF(Team!$C$11:C33,Team!C33)&gt;1),"",MAX($AD$10:AD32)+1)</ns0:f>
        <ns0:v/>
      </ns0:c>
      <ns0:c r="AE33" s="0" t="str">
        <ns0:f>IFERROR(INDEX(Team!$C$11:$C$60,MATCH(ROW()-10,$AD$11:$AD$60,0)),"")</ns0:f>
        <ns0:v/>
      </ns0:c>
      <ns0:c r="AF33" s="0" t="str">
        <ns0:f>AE33</ns0:f>
        <ns0:v/>
      </ns0:c>
      <ns0:c r="AG33" s="0">
        <ns0:f>IF(X33=0,0,IFERROR(Team!F33+Team!G33,0))</ns0:f>
        <ns0:v>0</ns0:v>
      </ns0:c>
      <ns0:c r="AH33" s="0">
        <ns0:f>IF(X33=0,0,SUMIFS(rngEngine_P,rngEngine_B,Team!A33))</ns0:f>
        <ns0:v>0</ns0:v>
      </ns0:c>
      <ns0:c r="AI33" s="0">
        <ns0:f>IF(X33=0,0,SUMIFS(rngEngine_Q,rngEngine_B,Team!A33))</ns0:f>
        <ns0:v>0</ns0:v>
      </ns0:c>
      <ns0:c r="AJ33" s="0">
        <ns0:f>IF(X33=0,0,SUMIFS(rngEngine_R,rngEngine_B,Team!A33))</ns0:f>
        <ns0:v>0</ns0:v>
      </ns0:c>
      <ns0:c r="AK33" s="0">
        <ns0:f>IF(X33=0,0,SUMIFS(rngEngine_S,rngEngine_B,Team!A33))</ns0:f>
        <ns0:v>0</ns0:v>
      </ns0:c>
      <ns0:c r="AL33" s="0">
        <ns0:f>AH33+AI33</ns0:f>
        <ns0:v>0</ns0:v>
      </ns0:c>
      <ns0:c r="AM33" s="0" t="str">
        <ns0:f>IF(X33=0,"",IF(AA33&gt;0,"CHECK team setup",IF(AB33&gt;0,"CHECK "&amp;AB33&amp;" booking(s)","OK")))</ns0:f>
        <ns0:v/>
      </ns0:c>
      <ns0:c r="AN33" s="0" t="str">
        <ns0:f>IF(X33=0,"",IF(OR($B$6&gt;0,AM33&lt;&gt;"OK"),"REVIEW",AG33-AL33))</ns0:f>
        <ns0:v/>
      </ns0:c>
      <ns0:c r="AO33" s="0">
        <ns0:f>IFERROR(MATCH(ROW()-11,$AC$11:$AC$60,0),0)</ns0:f>
        <ns0:v>0</ns0:v>
      </ns0:c>
      <ns0:c r="AP33" s="0" t="str">
        <ns0:f>IF(Team!H33="Work","W","O")&amp;IF(Team!I33="Work","W","O")&amp;IF(Team!J33="Work","W","O")&amp;IF(Team!K33="Work","W","O")&amp;IF(Team!L33="Work","W","O")&amp;IF(Team!M33="Work","W","O")&amp;IF(Team!N33="Work","W","O")</ns0:f>
        <ns0:v>WWWWWOO</ns0:v>
      </ns0:c>
      <ns0:c r="AR33" s="0">
        <ns0:f>IFERROR(IF(ISNUMBER(Settings!F33),WEEKDAY(Settings!F33,2),0),0)</ns0:f>
        <ns0:v>0</ns0:v>
      </ns0:c>
      <ns0:c r="BC33" s="0">
        <ns0:f>IF(OR($AO33=0,$B$5&lt;&gt;"OK",$B$6&gt;0,Calendar!D$11=""),0,SUMIFS(rngEngine_U,rngEngine_B,INDEX(Team!$A$11:$A$60,$AO33),rngAMStart,"&lt;="&amp;Calendar!D$11,rngAMEnd,"&gt;="&amp;Calendar!D$11))</ns0:f>
        <ns0:v>0</ns0:v>
      </ns0:c>
      <ns0:c r="BD33" s="0">
        <ns0:f>IF(OR($AO33=0,$B$5&lt;&gt;"OK",$B$6&gt;0,Calendar!D$11=""),0,SUMIFS(rngEngine_V,rngEngine_B,INDEX(Team!$A$11:$A$60,$AO33),rngPMStart,"&lt;="&amp;Calendar!D$11,rngPMEnd,"&gt;="&amp;Calendar!D$11))</ns0:f>
        <ns0:v>0</ns0:v>
      </ns0:c>
      <ns0:c r="BE33" s="0">
        <ns0:f>IF(OR($AO33=0,$B$5&lt;&gt;"OK",$B$6&gt;0,Calendar!E$11=""),0,SUMIFS(rngEngine_U,rngEngine_B,INDEX(Team!$A$11:$A$60,$AO33),rngAMStart,"&lt;="&amp;Calendar!E$11,rngAMEnd,"&gt;="&amp;Calendar!E$11))</ns0:f>
        <ns0:v>0</ns0:v>
      </ns0:c>
      <ns0:c r="BF33" s="0">
        <ns0:f>IF(OR($AO33=0,$B$5&lt;&gt;"OK",$B$6&gt;0,Calendar!E$11=""),0,SUMIFS(rngEngine_V,rngEngine_B,INDEX(Team!$A$11:$A$60,$AO33),rngPMStart,"&lt;="&amp;Calendar!E$11,rngPMEnd,"&gt;="&amp;Calendar!E$11))</ns0:f>
        <ns0:v>0</ns0:v>
      </ns0:c>
      <ns0:c r="BG33" s="0">
        <ns0:f>IF(OR($AO33=0,$B$5&lt;&gt;"OK",$B$6&gt;0,Calendar!F$11=""),0,SUMIFS(rngEngine_U,rngEngine_B,INDEX(Team!$A$11:$A$60,$AO33),rngAMStart,"&lt;="&amp;Calendar!F$11,rngAMEnd,"&gt;="&amp;Calendar!F$11))</ns0:f>
        <ns0:v>0</ns0:v>
      </ns0:c>
      <ns0:c r="BH33" s="0">
        <ns0:f>IF(OR($AO33=0,$B$5&lt;&gt;"OK",$B$6&gt;0,Calendar!F$11=""),0,SUMIFS(rngEngine_V,rngEngine_B,INDEX(Team!$A$11:$A$60,$AO33),rngPMStart,"&lt;="&amp;Calendar!F$11,rngPMEnd,"&gt;="&amp;Calendar!F$11))</ns0:f>
        <ns0:v>0</ns0:v>
      </ns0:c>
      <ns0:c r="BI33" s="0">
        <ns0:f>IF(OR($AO33=0,$B$5&lt;&gt;"OK",$B$6&gt;0,Calendar!G$11=""),0,SUMIFS(rngEngine_U,rngEngine_B,INDEX(Team!$A$11:$A$60,$AO33),rngAMStart,"&lt;="&amp;Calendar!G$11,rngAMEnd,"&gt;="&amp;Calendar!G$11))</ns0:f>
        <ns0:v>0</ns0:v>
      </ns0:c>
      <ns0:c r="BJ33" s="0">
        <ns0:f>IF(OR($AO33=0,$B$5&lt;&gt;"OK",$B$6&gt;0,Calendar!G$11=""),0,SUMIFS(rngEngine_V,rngEngine_B,INDEX(Team!$A$11:$A$60,$AO33),rngPMStart,"&lt;="&amp;Calendar!G$11,rngPMEnd,"&gt;="&amp;Calendar!G$11))</ns0:f>
        <ns0:v>0</ns0:v>
      </ns0:c>
      <ns0:c r="BK33" s="0">
        <ns0:f>IF(OR($AO33=0,$B$5&lt;&gt;"OK",$B$6&gt;0,Calendar!H$11=""),0,SUMIFS(rngEngine_U,rngEngine_B,INDEX(Team!$A$11:$A$60,$AO33),rngAMStart,"&lt;="&amp;Calendar!H$11,rngAMEnd,"&gt;="&amp;Calendar!H$11))</ns0:f>
        <ns0:v>0</ns0:v>
      </ns0:c>
      <ns0:c r="BL33" s="0">
        <ns0:f>IF(OR($AO33=0,$B$5&lt;&gt;"OK",$B$6&gt;0,Calendar!H$11=""),0,SUMIFS(rngEngine_V,rngEngine_B,INDEX(Team!$A$11:$A$60,$AO33),rngPMStart,"&lt;="&amp;Calendar!H$11,rngPMEnd,"&gt;="&amp;Calendar!H$11))</ns0:f>
        <ns0:v>0</ns0:v>
      </ns0:c>
      <ns0:c r="BM33" s="0">
        <ns0:f>IF(OR($AO33=0,$B$5&lt;&gt;"OK",$B$6&gt;0,Calendar!I$11=""),0,SUMIFS(rngEngine_U,rngEngine_B,INDEX(Team!$A$11:$A$60,$AO33),rngAMStart,"&lt;="&amp;Calendar!I$11,rngAMEnd,"&gt;="&amp;Calendar!I$11))</ns0:f>
        <ns0:v>0</ns0:v>
      </ns0:c>
      <ns0:c r="BN33" s="0">
        <ns0:f>IF(OR($AO33=0,$B$5&lt;&gt;"OK",$B$6&gt;0,Calendar!I$11=""),0,SUMIFS(rngEngine_V,rngEngine_B,INDEX(Team!$A$11:$A$60,$AO33),rngPMStart,"&lt;="&amp;Calendar!I$11,rngPMEnd,"&gt;="&amp;Calendar!I$11))</ns0:f>
        <ns0:v>0</ns0:v>
      </ns0:c>
      <ns0:c r="BO33" s="0">
        <ns0:f>IF(OR($AO33=0,$B$5&lt;&gt;"OK",$B$6&gt;0,Calendar!J$11=""),0,SUMIFS(rngEngine_U,rngEngine_B,INDEX(Team!$A$11:$A$60,$AO33),rngAMStart,"&lt;="&amp;Calendar!J$11,rngAMEnd,"&gt;="&amp;Calendar!J$11))</ns0:f>
        <ns0:v>0</ns0:v>
      </ns0:c>
      <ns0:c r="BP33" s="0">
        <ns0:f>IF(OR($AO33=0,$B$5&lt;&gt;"OK",$B$6&gt;0,Calendar!J$11=""),0,SUMIFS(rngEngine_V,rngEngine_B,INDEX(Team!$A$11:$A$60,$AO33),rngPMStart,"&lt;="&amp;Calendar!J$11,rngPMEnd,"&gt;="&amp;Calendar!J$11))</ns0:f>
        <ns0:v>0</ns0:v>
      </ns0:c>
      <ns0:c r="BQ33" s="0">
        <ns0:f>IF(OR($AO33=0,$B$5&lt;&gt;"OK",$B$6&gt;0,Calendar!K$11=""),0,SUMIFS(rngEngine_U,rngEngine_B,INDEX(Team!$A$11:$A$60,$AO33),rngAMStart,"&lt;="&amp;Calendar!K$11,rngAMEnd,"&gt;="&amp;Calendar!K$11))</ns0:f>
        <ns0:v>0</ns0:v>
      </ns0:c>
      <ns0:c r="BR33" s="0">
        <ns0:f>IF(OR($AO33=0,$B$5&lt;&gt;"OK",$B$6&gt;0,Calendar!K$11=""),0,SUMIFS(rngEngine_V,rngEngine_B,INDEX(Team!$A$11:$A$60,$AO33),rngPMStart,"&lt;="&amp;Calendar!K$11,rngPMEnd,"&gt;="&amp;Calendar!K$11))</ns0:f>
        <ns0:v>0</ns0:v>
      </ns0:c>
      <ns0:c r="BS33" s="0">
        <ns0:f>IF(OR($AO33=0,$B$5&lt;&gt;"OK",$B$6&gt;0,Calendar!L$11=""),0,SUMIFS(rngEngine_U,rngEngine_B,INDEX(Team!$A$11:$A$60,$AO33),rngAMStart,"&lt;="&amp;Calendar!L$11,rngAMEnd,"&gt;="&amp;Calendar!L$11))</ns0:f>
        <ns0:v>0</ns0:v>
      </ns0:c>
      <ns0:c r="BT33" s="0">
        <ns0:f>IF(OR($AO33=0,$B$5&lt;&gt;"OK",$B$6&gt;0,Calendar!L$11=""),0,SUMIFS(rngEngine_V,rngEngine_B,INDEX(Team!$A$11:$A$60,$AO33),rngPMStart,"&lt;="&amp;Calendar!L$11,rngPMEnd,"&gt;="&amp;Calendar!L$11))</ns0:f>
        <ns0:v>0</ns0:v>
      </ns0:c>
      <ns0:c r="BU33" s="0">
        <ns0:f>IF(OR($AO33=0,$B$5&lt;&gt;"OK",$B$6&gt;0,Calendar!M$11=""),0,SUMIFS(rngEngine_U,rngEngine_B,INDEX(Team!$A$11:$A$60,$AO33),rngAMStart,"&lt;="&amp;Calendar!M$11,rngAMEnd,"&gt;="&amp;Calendar!M$11))</ns0:f>
        <ns0:v>0</ns0:v>
      </ns0:c>
      <ns0:c r="BV33" s="0">
        <ns0:f>IF(OR($AO33=0,$B$5&lt;&gt;"OK",$B$6&gt;0,Calendar!M$11=""),0,SUMIFS(rngEngine_V,rngEngine_B,INDEX(Team!$A$11:$A$60,$AO33),rngPMStart,"&lt;="&amp;Calendar!M$11,rngPMEnd,"&gt;="&amp;Calendar!M$11))</ns0:f>
        <ns0:v>0</ns0:v>
      </ns0:c>
      <ns0:c r="BW33" s="0">
        <ns0:f>IF(OR($AO33=0,$B$5&lt;&gt;"OK",$B$6&gt;0,Calendar!N$11=""),0,SUMIFS(rngEngine_U,rngEngine_B,INDEX(Team!$A$11:$A$60,$AO33),rngAMStart,"&lt;="&amp;Calendar!N$11,rngAMEnd,"&gt;="&amp;Calendar!N$11))</ns0:f>
        <ns0:v>0</ns0:v>
      </ns0:c>
      <ns0:c r="BX33" s="0">
        <ns0:f>IF(OR($AO33=0,$B$5&lt;&gt;"OK",$B$6&gt;0,Calendar!N$11=""),0,SUMIFS(rngEngine_V,rngEngine_B,INDEX(Team!$A$11:$A$60,$AO33),rngPMStart,"&lt;="&amp;Calendar!N$11,rngPMEnd,"&gt;="&amp;Calendar!N$11))</ns0:f>
        <ns0:v>0</ns0:v>
      </ns0:c>
      <ns0:c r="BY33" s="0">
        <ns0:f>IF(OR($AO33=0,$B$5&lt;&gt;"OK",$B$6&gt;0,Calendar!O$11=""),0,SUMIFS(rngEngine_U,rngEngine_B,INDEX(Team!$A$11:$A$60,$AO33),rngAMStart,"&lt;="&amp;Calendar!O$11,rngAMEnd,"&gt;="&amp;Calendar!O$11))</ns0:f>
        <ns0:v>0</ns0:v>
      </ns0:c>
      <ns0:c r="BZ33" s="0">
        <ns0:f>IF(OR($AO33=0,$B$5&lt;&gt;"OK",$B$6&gt;0,Calendar!O$11=""),0,SUMIFS(rngEngine_V,rngEngine_B,INDEX(Team!$A$11:$A$60,$AO33),rngPMStart,"&lt;="&amp;Calendar!O$11,rngPMEnd,"&gt;="&amp;Calendar!O$11))</ns0:f>
        <ns0:v>0</ns0:v>
      </ns0:c>
      <ns0:c r="CA33" s="0">
        <ns0:f>IF(OR($AO33=0,$B$5&lt;&gt;"OK",$B$6&gt;0,Calendar!P$11=""),0,SUMIFS(rngEngine_U,rngEngine_B,INDEX(Team!$A$11:$A$60,$AO33),rngAMStart,"&lt;="&amp;Calendar!P$11,rngAMEnd,"&gt;="&amp;Calendar!P$11))</ns0:f>
        <ns0:v>0</ns0:v>
      </ns0:c>
      <ns0:c r="CB33" s="0">
        <ns0:f>IF(OR($AO33=0,$B$5&lt;&gt;"OK",$B$6&gt;0,Calendar!P$11=""),0,SUMIFS(rngEngine_V,rngEngine_B,INDEX(Team!$A$11:$A$60,$AO33),rngPMStart,"&lt;="&amp;Calendar!P$11,rngPMEnd,"&gt;="&amp;Calendar!P$11))</ns0:f>
        <ns0:v>0</ns0:v>
      </ns0:c>
      <ns0:c r="CC33" s="0">
        <ns0:f>IF(OR($AO33=0,$B$5&lt;&gt;"OK",$B$6&gt;0,Calendar!Q$11=""),0,SUMIFS(rngEngine_U,rngEngine_B,INDEX(Team!$A$11:$A$60,$AO33),rngAMStart,"&lt;="&amp;Calendar!Q$11,rngAMEnd,"&gt;="&amp;Calendar!Q$11))</ns0:f>
        <ns0:v>0</ns0:v>
      </ns0:c>
      <ns0:c r="CD33" s="0">
        <ns0:f>IF(OR($AO33=0,$B$5&lt;&gt;"OK",$B$6&gt;0,Calendar!Q$11=""),0,SUMIFS(rngEngine_V,rngEngine_B,INDEX(Team!$A$11:$A$60,$AO33),rngPMStart,"&lt;="&amp;Calendar!Q$11,rngPMEnd,"&gt;="&amp;Calendar!Q$11))</ns0:f>
        <ns0:v>0</ns0:v>
      </ns0:c>
      <ns0:c r="CE33" s="0">
        <ns0:f>IF(OR($AO33=0,$B$5&lt;&gt;"OK",$B$6&gt;0,Calendar!R$11=""),0,SUMIFS(rngEngine_U,rngEngine_B,INDEX(Team!$A$11:$A$60,$AO33),rngAMStart,"&lt;="&amp;Calendar!R$11,rngAMEnd,"&gt;="&amp;Calendar!R$11))</ns0:f>
        <ns0:v>0</ns0:v>
      </ns0:c>
      <ns0:c r="CF33" s="0">
        <ns0:f>IF(OR($AO33=0,$B$5&lt;&gt;"OK",$B$6&gt;0,Calendar!R$11=""),0,SUMIFS(rngEngine_V,rngEngine_B,INDEX(Team!$A$11:$A$60,$AO33),rngPMStart,"&lt;="&amp;Calendar!R$11,rngPMEnd,"&gt;="&amp;Calendar!R$11))</ns0:f>
        <ns0:v>0</ns0:v>
      </ns0:c>
      <ns0:c r="CG33" s="0">
        <ns0:f>IF(OR($AO33=0,$B$5&lt;&gt;"OK",$B$6&gt;0,Calendar!S$11=""),0,SUMIFS(rngEngine_U,rngEngine_B,INDEX(Team!$A$11:$A$60,$AO33),rngAMStart,"&lt;="&amp;Calendar!S$11,rngAMEnd,"&gt;="&amp;Calendar!S$11))</ns0:f>
        <ns0:v>0</ns0:v>
      </ns0:c>
      <ns0:c r="CH33" s="0">
        <ns0:f>IF(OR($AO33=0,$B$5&lt;&gt;"OK",$B$6&gt;0,Calendar!S$11=""),0,SUMIFS(rngEngine_V,rngEngine_B,INDEX(Team!$A$11:$A$60,$AO33),rngPMStart,"&lt;="&amp;Calendar!S$11,rngPMEnd,"&gt;="&amp;Calendar!S$11))</ns0:f>
        <ns0:v>0</ns0:v>
      </ns0:c>
      <ns0:c r="CI33" s="0">
        <ns0:f>IF(OR($AO33=0,$B$5&lt;&gt;"OK",$B$6&gt;0,Calendar!T$11=""),0,SUMIFS(rngEngine_U,rngEngine_B,INDEX(Team!$A$11:$A$60,$AO33),rngAMStart,"&lt;="&amp;Calendar!T$11,rngAMEnd,"&gt;="&amp;Calendar!T$11))</ns0:f>
        <ns0:v>0</ns0:v>
      </ns0:c>
      <ns0:c r="CJ33" s="0">
        <ns0:f>IF(OR($AO33=0,$B$5&lt;&gt;"OK",$B$6&gt;0,Calendar!T$11=""),0,SUMIFS(rngEngine_V,rngEngine_B,INDEX(Team!$A$11:$A$60,$AO33),rngPMStart,"&lt;="&amp;Calendar!T$11,rngPMEnd,"&gt;="&amp;Calendar!T$11))</ns0:f>
        <ns0:v>0</ns0:v>
      </ns0:c>
      <ns0:c r="CK33" s="0">
        <ns0:f>IF(OR($AO33=0,$B$5&lt;&gt;"OK",$B$6&gt;0,Calendar!U$11=""),0,SUMIFS(rngEngine_U,rngEngine_B,INDEX(Team!$A$11:$A$60,$AO33),rngAMStart,"&lt;="&amp;Calendar!U$11,rngAMEnd,"&gt;="&amp;Calendar!U$11))</ns0:f>
        <ns0:v>0</ns0:v>
      </ns0:c>
      <ns0:c r="CL33" s="0">
        <ns0:f>IF(OR($AO33=0,$B$5&lt;&gt;"OK",$B$6&gt;0,Calendar!U$11=""),0,SUMIFS(rngEngine_V,rngEngine_B,INDEX(Team!$A$11:$A$60,$AO33),rngPMStart,"&lt;="&amp;Calendar!U$11,rngPMEnd,"&gt;="&amp;Calendar!U$11))</ns0:f>
        <ns0:v>0</ns0:v>
      </ns0:c>
      <ns0:c r="CM33" s="0">
        <ns0:f>IF(OR($AO33=0,$B$5&lt;&gt;"OK",$B$6&gt;0,Calendar!V$11=""),0,SUMIFS(rngEngine_U,rngEngine_B,INDEX(Team!$A$11:$A$60,$AO33),rngAMStart,"&lt;="&amp;Calendar!V$11,rngAMEnd,"&gt;="&amp;Calendar!V$11))</ns0:f>
        <ns0:v>0</ns0:v>
      </ns0:c>
      <ns0:c r="CN33" s="0">
        <ns0:f>IF(OR($AO33=0,$B$5&lt;&gt;"OK",$B$6&gt;0,Calendar!V$11=""),0,SUMIFS(rngEngine_V,rngEngine_B,INDEX(Team!$A$11:$A$60,$AO33),rngPMStart,"&lt;="&amp;Calendar!V$11,rngPMEnd,"&gt;="&amp;Calendar!V$11))</ns0:f>
        <ns0:v>0</ns0:v>
      </ns0:c>
      <ns0:c r="CO33" s="0">
        <ns0:f>IF(OR($AO33=0,$B$5&lt;&gt;"OK",$B$6&gt;0,Calendar!W$11=""),0,SUMIFS(rngEngine_U,rngEngine_B,INDEX(Team!$A$11:$A$60,$AO33),rngAMStart,"&lt;="&amp;Calendar!W$11,rngAMEnd,"&gt;="&amp;Calendar!W$11))</ns0:f>
        <ns0:v>0</ns0:v>
      </ns0:c>
      <ns0:c r="CP33" s="0">
        <ns0:f>IF(OR($AO33=0,$B$5&lt;&gt;"OK",$B$6&gt;0,Calendar!W$11=""),0,SUMIFS(rngEngine_V,rngEngine_B,INDEX(Team!$A$11:$A$60,$AO33),rngPMStart,"&lt;="&amp;Calendar!W$11,rngPMEnd,"&gt;="&amp;Calendar!W$11))</ns0:f>
        <ns0:v>0</ns0:v>
      </ns0:c>
      <ns0:c r="CQ33" s="0">
        <ns0:f>IF(OR($AO33=0,$B$5&lt;&gt;"OK",$B$6&gt;0,Calendar!X$11=""),0,SUMIFS(rngEngine_U,rngEngine_B,INDEX(Team!$A$11:$A$60,$AO33),rngAMStart,"&lt;="&amp;Calendar!X$11,rngAMEnd,"&gt;="&amp;Calendar!X$11))</ns0:f>
        <ns0:v>0</ns0:v>
      </ns0:c>
      <ns0:c r="CR33" s="0">
        <ns0:f>IF(OR($AO33=0,$B$5&lt;&gt;"OK",$B$6&gt;0,Calendar!X$11=""),0,SUMIFS(rngEngine_V,rngEngine_B,INDEX(Team!$A$11:$A$60,$AO33),rngPMStart,"&lt;="&amp;Calendar!X$11,rngPMEnd,"&gt;="&amp;Calendar!X$11))</ns0:f>
        <ns0:v>0</ns0:v>
      </ns0:c>
      <ns0:c r="CS33" s="0">
        <ns0:f>IF(OR($AO33=0,$B$5&lt;&gt;"OK",$B$6&gt;0,Calendar!Y$11=""),0,SUMIFS(rngEngine_U,rngEngine_B,INDEX(Team!$A$11:$A$60,$AO33),rngAMStart,"&lt;="&amp;Calendar!Y$11,rngAMEnd,"&gt;="&amp;Calendar!Y$11))</ns0:f>
        <ns0:v>0</ns0:v>
      </ns0:c>
      <ns0:c r="CT33" s="0">
        <ns0:f>IF(OR($AO33=0,$B$5&lt;&gt;"OK",$B$6&gt;0,Calendar!Y$11=""),0,SUMIFS(rngEngine_V,rngEngine_B,INDEX(Team!$A$11:$A$60,$AO33),rngPMStart,"&lt;="&amp;Calendar!Y$11,rngPMEnd,"&gt;="&amp;Calendar!Y$11))</ns0:f>
        <ns0:v>0</ns0:v>
      </ns0:c>
      <ns0:c r="CU33" s="0">
        <ns0:f>IF(OR($AO33=0,$B$5&lt;&gt;"OK",$B$6&gt;0,Calendar!Z$11=""),0,SUMIFS(rngEngine_U,rngEngine_B,INDEX(Team!$A$11:$A$60,$AO33),rngAMStart,"&lt;="&amp;Calendar!Z$11,rngAMEnd,"&gt;="&amp;Calendar!Z$11))</ns0:f>
        <ns0:v>0</ns0:v>
      </ns0:c>
      <ns0:c r="CV33" s="0">
        <ns0:f>IF(OR($AO33=0,$B$5&lt;&gt;"OK",$B$6&gt;0,Calendar!Z$11=""),0,SUMIFS(rngEngine_V,rngEngine_B,INDEX(Team!$A$11:$A$60,$AO33),rngPMStart,"&lt;="&amp;Calendar!Z$11,rngPMEnd,"&gt;="&amp;Calendar!Z$11))</ns0:f>
        <ns0:v>0</ns0:v>
      </ns0:c>
      <ns0:c r="CW33" s="0">
        <ns0:f>IF(OR($AO33=0,$B$5&lt;&gt;"OK",$B$6&gt;0,Calendar!AA$11=""),0,SUMIFS(rngEngine_U,rngEngine_B,INDEX(Team!$A$11:$A$60,$AO33),rngAMStart,"&lt;="&amp;Calendar!AA$11,rngAMEnd,"&gt;="&amp;Calendar!AA$11))</ns0:f>
        <ns0:v>0</ns0:v>
      </ns0:c>
      <ns0:c r="CX33" s="0">
        <ns0:f>IF(OR($AO33=0,$B$5&lt;&gt;"OK",$B$6&gt;0,Calendar!AA$11=""),0,SUMIFS(rngEngine_V,rngEngine_B,INDEX(Team!$A$11:$A$60,$AO33),rngPMStart,"&lt;="&amp;Calendar!AA$11,rngPMEnd,"&gt;="&amp;Calendar!AA$11))</ns0:f>
        <ns0:v>0</ns0:v>
      </ns0:c>
      <ns0:c r="CY33" s="0">
        <ns0:f>IF(OR($AO33=0,$B$5&lt;&gt;"OK",$B$6&gt;0,Calendar!AB$11=""),0,SUMIFS(rngEngine_U,rngEngine_B,INDEX(Team!$A$11:$A$60,$AO33),rngAMStart,"&lt;="&amp;Calendar!AB$11,rngAMEnd,"&gt;="&amp;Calendar!AB$11))</ns0:f>
        <ns0:v>0</ns0:v>
      </ns0:c>
      <ns0:c r="CZ33" s="0">
        <ns0:f>IF(OR($AO33=0,$B$5&lt;&gt;"OK",$B$6&gt;0,Calendar!AB$11=""),0,SUMIFS(rngEngine_V,rngEngine_B,INDEX(Team!$A$11:$A$60,$AO33),rngPMStart,"&lt;="&amp;Calendar!AB$11,rngPMEnd,"&gt;="&amp;Calendar!AB$11))</ns0:f>
        <ns0:v>0</ns0:v>
      </ns0:c>
      <ns0:c r="DA33" s="0">
        <ns0:f>IF(OR($AO33=0,$B$5&lt;&gt;"OK",$B$6&gt;0,Calendar!AC$11=""),0,SUMIFS(rngEngine_U,rngEngine_B,INDEX(Team!$A$11:$A$60,$AO33),rngAMStart,"&lt;="&amp;Calendar!AC$11,rngAMEnd,"&gt;="&amp;Calendar!AC$11))</ns0:f>
        <ns0:v>0</ns0:v>
      </ns0:c>
      <ns0:c r="DB33" s="0">
        <ns0:f>IF(OR($AO33=0,$B$5&lt;&gt;"OK",$B$6&gt;0,Calendar!AC$11=""),0,SUMIFS(rngEngine_V,rngEngine_B,INDEX(Team!$A$11:$A$60,$AO33),rngPMStart,"&lt;="&amp;Calendar!AC$11,rngPMEnd,"&gt;="&amp;Calendar!AC$11))</ns0:f>
        <ns0:v>0</ns0:v>
      </ns0:c>
      <ns0:c r="DC33" s="0">
        <ns0:f>IF(OR($AO33=0,$B$5&lt;&gt;"OK",$B$6&gt;0,Calendar!AD$11=""),0,SUMIFS(rngEngine_U,rngEngine_B,INDEX(Team!$A$11:$A$60,$AO33),rngAMStart,"&lt;="&amp;Calendar!AD$11,rngAMEnd,"&gt;="&amp;Calendar!AD$11))</ns0:f>
        <ns0:v>0</ns0:v>
      </ns0:c>
      <ns0:c r="DD33" s="0">
        <ns0:f>IF(OR($AO33=0,$B$5&lt;&gt;"OK",$B$6&gt;0,Calendar!AD$11=""),0,SUMIFS(rngEngine_V,rngEngine_B,INDEX(Team!$A$11:$A$60,$AO33),rngPMStart,"&lt;="&amp;Calendar!AD$11,rngPMEnd,"&gt;="&amp;Calendar!AD$11))</ns0:f>
        <ns0:v>0</ns0:v>
      </ns0:c>
      <ns0:c r="DE33" s="0">
        <ns0:f>IF(OR($AO33=0,$B$5&lt;&gt;"OK",$B$6&gt;0,Calendar!AE$11=""),0,SUMIFS(rngEngine_U,rngEngine_B,INDEX(Team!$A$11:$A$60,$AO33),rngAMStart,"&lt;="&amp;Calendar!AE$11,rngAMEnd,"&gt;="&amp;Calendar!AE$11))</ns0:f>
        <ns0:v>0</ns0:v>
      </ns0:c>
      <ns0:c r="DF33" s="0">
        <ns0:f>IF(OR($AO33=0,$B$5&lt;&gt;"OK",$B$6&gt;0,Calendar!AE$11=""),0,SUMIFS(rngEngine_V,rngEngine_B,INDEX(Team!$A$11:$A$60,$AO33),rngPMStart,"&lt;="&amp;Calendar!AE$11,rngPMEnd,"&gt;="&amp;Calendar!AE$11))</ns0:f>
        <ns0:v>0</ns0:v>
      </ns0:c>
      <ns0:c r="DG33" s="0">
        <ns0:f>IF(OR($AO33=0,$B$5&lt;&gt;"OK",$B$6&gt;0,Calendar!AF$11=""),0,SUMIFS(rngEngine_U,rngEngine_B,INDEX(Team!$A$11:$A$60,$AO33),rngAMStart,"&lt;="&amp;Calendar!AF$11,rngAMEnd,"&gt;="&amp;Calendar!AF$11))</ns0:f>
        <ns0:v>0</ns0:v>
      </ns0:c>
      <ns0:c r="DH33" s="0">
        <ns0:f>IF(OR($AO33=0,$B$5&lt;&gt;"OK",$B$6&gt;0,Calendar!AF$11=""),0,SUMIFS(rngEngine_V,rngEngine_B,INDEX(Team!$A$11:$A$60,$AO33),rngPMStart,"&lt;="&amp;Calendar!AF$11,rngPMEnd,"&gt;="&amp;Calendar!AF$11))</ns0:f>
        <ns0:v>0</ns0:v>
      </ns0:c>
      <ns0:c r="DI33" s="0">
        <ns0:f>IF(OR($AO33=0,$B$5&lt;&gt;"OK",$B$6&gt;0,Calendar!AG$11=""),0,SUMIFS(rngEngine_U,rngEngine_B,INDEX(Team!$A$11:$A$60,$AO33),rngAMStart,"&lt;="&amp;Calendar!AG$11,rngAMEnd,"&gt;="&amp;Calendar!AG$11))</ns0:f>
        <ns0:v>0</ns0:v>
      </ns0:c>
      <ns0:c r="DJ33" s="0">
        <ns0:f>IF(OR($AO33=0,$B$5&lt;&gt;"OK",$B$6&gt;0,Calendar!AG$11=""),0,SUMIFS(rngEngine_V,rngEngine_B,INDEX(Team!$A$11:$A$60,$AO33),rngPMStart,"&lt;="&amp;Calendar!AG$11,rngPMEnd,"&gt;="&amp;Calendar!AG$11))</ns0:f>
        <ns0:v>0</ns0:v>
      </ns0:c>
      <ns0:c r="DK33" s="0">
        <ns0:f>IF(OR($AO33=0,$B$5&lt;&gt;"OK",$B$6&gt;0,Calendar!AH$11=""),0,SUMIFS(rngEngine_U,rngEngine_B,INDEX(Team!$A$11:$A$60,$AO33),rngAMStart,"&lt;="&amp;Calendar!AH$11,rngAMEnd,"&gt;="&amp;Calendar!AH$11))</ns0:f>
        <ns0:v>0</ns0:v>
      </ns0:c>
      <ns0:c r="DL33" s="0">
        <ns0:f>IF(OR($AO33=0,$B$5&lt;&gt;"OK",$B$6&gt;0,Calendar!AH$11=""),0,SUMIFS(rngEngine_V,rngEngine_B,INDEX(Team!$A$11:$A$60,$AO33),rngPMStart,"&lt;="&amp;Calendar!AH$11,rngPMEnd,"&gt;="&amp;Calendar!AH$11))</ns0:f>
        <ns0:v>0</ns0:v>
      </ns0:c>
    </ns0:row>
    <ns0:row r="34" ht="22" customHeight="1">
      <ns0:c r="A34" s="4">
        <ns0:f>IF(COUNTA(Bookings!A34:G34,Bookings!I34)=0,0,1)</ns0:f>
        <ns0:v>0</ns0:v>
      </ns0:c>
      <ns0:c r="B34" s="4">
        <ns0:f>IFERROR(TRIM(MID(Bookings!A34,FIND(" · ",Bookings!A34)+3,99)),"")</ns0:f>
        <ns0:v>99</ns0:v>
      </ns0:c>
      <ns0:c r="C34" s="4">
        <ns0:f>IF(OR(B34="",LEN(B34)&gt;24,ISNUMBER(FIND(" ",B34)),ISNUMBER(FIND("*",B34)),ISNUMBER(FIND("?",B34)),ISNUMBER(FIND("~",B34))),0,IFERROR(MATCH(B34,Team!$A$11:$A$60,0),0))</ns0:f>
        <ns0:v>0</ns0:v>
      </ns0:c>
      <ns0:c r="D34" s="4" t="str">
        <ns0:f>IFERROR(IF(MID(Bookings!F34,LEN(Bookings!F34)-3,3)=" · ",RIGHT(Bookings!F34,1),""),"")</ns0:f>
        <ns0:v/>
      </ns0:c>
      <ns0:c r="E34" s="4" t="str">
        <ns0:f>IFERROR(INDEX(Settings!$H$7:$H$11,MATCH(D34,Settings!$G$7:$G$11,0)),"")</ns0:f>
        <ns0:v/>
      </ns0:c>
      <ns0:c r="F34" s="4" t="str">
        <ns0:f>IF(A34=0,"",IFERROR(IF(OR(B34="",C34=0),"CHECK employee selection",IF(INDEX(Team!$O$11:$O$60,C34)&lt;&gt;"OK","CHECK employee setup",IF(OR('_Dates'!J34=0,'_Dates'!T34=0),"CHECK date: use DD.MM.YYYY",IF('_Dates'!T34&lt;'_Dates'!J34,"CHECK end before start",IF(AND($B$6=0,OR('_Dates'!J34&lt;Settings!$B$7,'_Dates'!T34&gt;Settings!$B$8)),"CHECK split across leave years",IF(OR(NOT(OR('_Dates'!U34="Full day",'_Dates'!U34="AM",'_Dates'!U34="PM")),NOT(OR('_Dates'!V34="Full day",'_Dates'!V34="AM",'_Dates'!V34="PM"))),"CHECK Full day / AM / PM",IF(AND('_Dates'!J34='_Dates'!T34,'_Dates'!U34&lt;&gt;"Full day",'_Dates'!V34&lt;&gt;"Full day",'_Dates'!U34&lt;&gt;'_Dates'!V34),"CHECK same-day portions disagree",IF(AND($B$6=0,OR(AND('_Dates'!U34&lt;&gt;"Full day",'_Dates'!AA34=0),AND('_Dates'!V34&lt;&gt;"Full day",'_Dates'!AB34=0))),"CHECK half-day on non-working date",IF(COUNTIF(Settings!$G$7:$G$11,D34)&lt;&gt;1,"CHECK leave type",IF(AND(Bookings!G34&lt;&gt;"Approved",Bookings!G34&lt;&gt;"Pending",Bookings!G34&lt;&gt;"Cancelled"),"CHECK status","OK")))))))))),"CHECK input"))</ns0:f>
        <ns0:v/>
      </ns0:c>
      <ns0:c r="G34" s="4">
        <ns0:f>IF(OR(F34&lt;&gt;"OK",$B$6&gt;0),0,0.5*(IF(('_Dates'!X34)&lt;('_Dates'!W34),0,INT((('_Dates'!X34)-('_Dates'!W34)+1)/7)*LEN(SUBSTITUTE(W34,"O",""))+LEN(SUBSTITUTE(MID(W34&amp;W34,WEEKDAY(('_Dates'!W34),2),MOD((('_Dates'!X34)-('_Dates'!W34)+1),7)),"O",""))-COUNTIFS(INDEX(AllClosureRows,C34,0),"&gt;="&amp;('_Dates'!W34),INDEX(AllClosureRows,C34,0),"&lt;="&amp;('_Dates'!X34)))+IF(('_Dates'!Z34)&lt;('_Dates'!Y34),0,INT((('_Dates'!Z34)-('_Dates'!Y34)+1)/7)*LEN(SUBSTITUTE(W34,"O",""))+LEN(SUBSTITUTE(MID(W34&amp;W34,WEEKDAY(('_Dates'!Y34),2),MOD((('_Dates'!Z34)-('_Dates'!Y34)+1),7)),"O",""))-COUNTIFS(INDEX(AllClosureRows,C34,0),"&gt;="&amp;('_Dates'!Y34),INDEX(AllClosureRows,C34,0),"&lt;="&amp;('_Dates'!Z34)))))</ns0:f>
        <ns0:v>0</ns0:v>
      </ns0:c>
      <ns0:c r="H34" s="4">
        <ns0:f>IF(OR(F34&lt;&gt;"OK",$B$6&gt;0),0,0.5*(IF((MIN('_Dates'!X34,Settings!$B$9))&lt;('_Dates'!W34),0,INT(((MIN('_Dates'!X34,Settings!$B$9))-('_Dates'!W34)+1)/7)*LEN(SUBSTITUTE(W34,"O",""))+LEN(SUBSTITUTE(MID(W34&amp;W34,WEEKDAY(('_Dates'!W34),2),MOD(((MIN('_Dates'!X34,Settings!$B$9))-('_Dates'!W34)+1),7)),"O",""))-COUNTIFS(INDEX(AllClosureRows,C34,0),"&gt;="&amp;('_Dates'!W34),INDEX(AllClosureRows,C34,0),"&lt;="&amp;(MIN('_Dates'!X34,Settings!$B$9))))+IF((MIN('_Dates'!Z34,Settings!$B$9))&lt;('_Dates'!Y34),0,INT(((MIN('_Dates'!Z34,Settings!$B$9))-('_Dates'!Y34)+1)/7)*LEN(SUBSTITUTE(W34,"O",""))+LEN(SUBSTITUTE(MID(W34&amp;W34,WEEKDAY(('_Dates'!Y34),2),MOD(((MIN('_Dates'!Z34,Settings!$B$9))-('_Dates'!Y34)+1),7)),"O",""))-COUNTIFS(INDEX(AllClosureRows,C34,0),"&gt;="&amp;('_Dates'!Y34),INDEX(AllClosureRows,C34,0),"&lt;="&amp;(MIN('_Dates'!Z34,Settings!$B$9))))))</ns0:f>
        <ns0:v>0</ns0:v>
      </ns0:c>
      <ns0:c r="I34" s="4">
        <ns0:f>MAX(0,G34-H34)</ns0:f>
        <ns0:v>0</ns0:v>
      </ns0:c>
      <ns0:c r="J34" s="4">
        <ns0:f>IF(OR(A34=0,F34&lt;&gt;"OK",Bookings!G34="Cancelled",$B$6&gt;0),0,IF('_Dates'!AC34=1,MAX(0,COUNTIFS(rngEngine_B,B34,rngAMStart,"&lt;="&amp;'_Dates'!X34,rngAMEnd,"&gt;="&amp;'_Dates'!W34,rngAMActive,1,rngEngine_F,"OK",rngBookings_F,"&lt;&gt;Cancelled")-1),0)+IF('_Dates'!AD34=1,MAX(0,COUNTIFS(rngEngine_B,B34,rngPMStart,"&lt;="&amp;'_Dates'!Z34,rngPMEnd,"&gt;="&amp;'_Dates'!Y34,rngPMActive,1,rngEngine_F,"OK",rngBookings_F,"&lt;&gt;Cancelled")-1),0))</ns0:f>
        <ns0:v>0</ns0:v>
      </ns0:c>
      <ns0:c r="K34" s="0" t="str">
        <ns0:f>IF(A34=0,"",IF(F34&lt;&gt;"OK",F34,IF(J34&gt;0,"CHECK overlapping entry",IF(AND($B$6=0,G34&lt;=0,Bookings!G34&lt;&gt;"Cancelled"),"CHECK no working days",IF(Bookings!G34="Cancelled","Cancelled","OK")))))</ns0:f>
        <ns0:v/>
      </ns0:c>
      <ns0:c r="L34" s="0">
        <ns0:f>IF(LEFT(K34,5)="CHECK",1,0)</ns0:f>
        <ns0:v>0</ns0:v>
      </ns0:c>
      <ns0:c r="M34" s="0">
        <ns0:f>IF(AND(L34=1,OR(C34=0,IFERROR(INDEX($X$11:$X$60,C34),0)=0)),1,0)</ns0:f>
        <ns0:v>0</ns0:v>
      </ns0:c>
      <ns0:c r="N34" s="0">
        <ns0:f>IF(OR(A34=0,L34&gt;0,$B$6&gt;0,Bookings!G34="Cancelled"),0,G34)</ns0:f>
        <ns0:v>0</ns0:v>
      </ns0:c>
      <ns0:c r="O34" s="0">
        <ns0:f>IF(AND(Bookings!G34="Approved",E34="Yes"),N34,0)</ns0:f>
        <ns0:v>0</ns0:v>
      </ns0:c>
      <ns0:c r="P34" s="0">
        <ns0:f>IF(AND(Bookings!G34="Approved",E34="Yes",L34=0,$B$6=0),H34,0)</ns0:f>
        <ns0:v>0</ns0:v>
      </ns0:c>
      <ns0:c r="Q34" s="0">
        <ns0:f>IF(AND(Bookings!G34="Approved",E34="Yes",L34=0,$B$6=0),I34,0)</ns0:f>
        <ns0:v>0</ns0:v>
      </ns0:c>
      <ns0:c r="R34" s="0">
        <ns0:f>IF(AND(Bookings!G34="Pending",E34="Yes"),N34,0)</ns0:f>
        <ns0:v>0</ns0:v>
      </ns0:c>
      <ns0:c r="S34" s="0">
        <ns0:f>IF(AND(Bookings!G34="Approved",E34="No"),N34,0)</ns0:f>
        <ns0:v>0</ns0:v>
      </ns0:c>
      <ns0:c r="T34" s="0">
        <ns0:f>IFERROR(MATCH(D34,Settings!$G$7:$G$11,0),0)</ns0:f>
        <ns0:v>0</ns0:v>
      </ns0:c>
      <ns0:c r="U34" s="0">
        <ns0:f>IF(N34&gt;0,T34+IF(Bookings!G34="Pending",10,0),0)</ns0:f>
        <ns0:v>0</ns0:v>
      </ns0:c>
      <ns0:c r="V34" s="0">
        <ns0:f>U34</ns0:f>
        <ns0:v>0</ns0:v>
      </ns0:c>
      <ns0:c r="W34" s="0" t="str">
        <ns0:f>IF(C34=0,"",INDEX($AP$11:$AP$60,C34))</ns0:f>
        <ns0:v/>
      </ns0:c>
      <ns0:c r="X34" s="0">
        <ns0:f>IF(COUNTA(Team!B34:D34)=0,0,1)</ns0:f>
        <ns0:v>0</ns0:v>
      </ns0:c>
      <ns0:c r="Y34" s="0" t="str">
        <ns0:f>IF(X34=0,"",IF(Team!B34="","[Unnamed]",Team!B34)&amp;" · "&amp;Team!A34)</ns0:f>
        <ns0:v/>
      </ns0:c>
      <ns0:c r="Z34" s="0">
        <ns0:f>IF(X34=0,0,COUNTIF(Team!H34:N34,"Work"))</ns0:f>
        <ns0:v>0</ns0:v>
      </ns0:c>
      <ns0:c r="AA34" s="0">
        <ns0:f>IF(LEFT(Team!O34,5)="CHECK",1,0)</ns0:f>
        <ns0:v>0</ns0:v>
      </ns0:c>
      <ns0:c r="AB34" s="0">
        <ns0:f>IF(X34=0,0,SUMIFS(rngEngine_L,rngEngine_B,Team!A34))</ns0:f>
        <ns0:v>0</ns0:v>
      </ns0:c>
      <ns0:c r="AC34" s="0" t="str">
        <ns0:f>IF(AND(X34=1,OR(Calendar!$C$7="All teams",Team!C34=Calendar!$C$7)),MAX($AC$10:AC33)+1,"")</ns0:f>
        <ns0:v/>
      </ns0:c>
      <ns0:c r="AD34" s="0" t="str">
        <ns0:f>IF(OR(X34=0,Team!C34="",COUNTIF(Team!$C$11:C34,Team!C34)&gt;1),"",MAX($AD$10:AD33)+1)</ns0:f>
        <ns0:v/>
      </ns0:c>
      <ns0:c r="AE34" s="0" t="str">
        <ns0:f>IFERROR(INDEX(Team!$C$11:$C$60,MATCH(ROW()-10,$AD$11:$AD$60,0)),"")</ns0:f>
        <ns0:v/>
      </ns0:c>
      <ns0:c r="AF34" s="0" t="str">
        <ns0:f>AE34</ns0:f>
        <ns0:v/>
      </ns0:c>
      <ns0:c r="AG34" s="0">
        <ns0:f>IF(X34=0,0,IFERROR(Team!F34+Team!G34,0))</ns0:f>
        <ns0:v>0</ns0:v>
      </ns0:c>
      <ns0:c r="AH34" s="0">
        <ns0:f>IF(X34=0,0,SUMIFS(rngEngine_P,rngEngine_B,Team!A34))</ns0:f>
        <ns0:v>0</ns0:v>
      </ns0:c>
      <ns0:c r="AI34" s="0">
        <ns0:f>IF(X34=0,0,SUMIFS(rngEngine_Q,rngEngine_B,Team!A34))</ns0:f>
        <ns0:v>0</ns0:v>
      </ns0:c>
      <ns0:c r="AJ34" s="0">
        <ns0:f>IF(X34=0,0,SUMIFS(rngEngine_R,rngEngine_B,Team!A34))</ns0:f>
        <ns0:v>0</ns0:v>
      </ns0:c>
      <ns0:c r="AK34" s="0">
        <ns0:f>IF(X34=0,0,SUMIFS(rngEngine_S,rngEngine_B,Team!A34))</ns0:f>
        <ns0:v>0</ns0:v>
      </ns0:c>
      <ns0:c r="AL34" s="0">
        <ns0:f>AH34+AI34</ns0:f>
        <ns0:v>0</ns0:v>
      </ns0:c>
      <ns0:c r="AM34" s="0" t="str">
        <ns0:f>IF(X34=0,"",IF(AA34&gt;0,"CHECK team setup",IF(AB34&gt;0,"CHECK "&amp;AB34&amp;" booking(s)","OK")))</ns0:f>
        <ns0:v/>
      </ns0:c>
      <ns0:c r="AN34" s="0" t="str">
        <ns0:f>IF(X34=0,"",IF(OR($B$6&gt;0,AM34&lt;&gt;"OK"),"REVIEW",AG34-AL34))</ns0:f>
        <ns0:v/>
      </ns0:c>
      <ns0:c r="AO34" s="0">
        <ns0:f>IFERROR(MATCH(ROW()-11,$AC$11:$AC$60,0),0)</ns0:f>
        <ns0:v>0</ns0:v>
      </ns0:c>
      <ns0:c r="AP34" s="0" t="str">
        <ns0:f>IF(Team!H34="Work","W","O")&amp;IF(Team!I34="Work","W","O")&amp;IF(Team!J34="Work","W","O")&amp;IF(Team!K34="Work","W","O")&amp;IF(Team!L34="Work","W","O")&amp;IF(Team!M34="Work","W","O")&amp;IF(Team!N34="Work","W","O")</ns0:f>
        <ns0:v>WWWWWOO</ns0:v>
      </ns0:c>
      <ns0:c r="AR34" s="0">
        <ns0:f>IFERROR(IF(ISNUMBER(Settings!F34),WEEKDAY(Settings!F34,2),0),0)</ns0:f>
        <ns0:v>0</ns0:v>
      </ns0:c>
      <ns0:c r="BC34" s="0">
        <ns0:f>IF(OR($AO34=0,$B$5&lt;&gt;"OK",$B$6&gt;0,Calendar!D$11=""),0,SUMIFS(rngEngine_U,rngEngine_B,INDEX(Team!$A$11:$A$60,$AO34),rngAMStart,"&lt;="&amp;Calendar!D$11,rngAMEnd,"&gt;="&amp;Calendar!D$11))</ns0:f>
        <ns0:v>0</ns0:v>
      </ns0:c>
      <ns0:c r="BD34" s="0">
        <ns0:f>IF(OR($AO34=0,$B$5&lt;&gt;"OK",$B$6&gt;0,Calendar!D$11=""),0,SUMIFS(rngEngine_V,rngEngine_B,INDEX(Team!$A$11:$A$60,$AO34),rngPMStart,"&lt;="&amp;Calendar!D$11,rngPMEnd,"&gt;="&amp;Calendar!D$11))</ns0:f>
        <ns0:v>0</ns0:v>
      </ns0:c>
      <ns0:c r="BE34" s="0">
        <ns0:f>IF(OR($AO34=0,$B$5&lt;&gt;"OK",$B$6&gt;0,Calendar!E$11=""),0,SUMIFS(rngEngine_U,rngEngine_B,INDEX(Team!$A$11:$A$60,$AO34),rngAMStart,"&lt;="&amp;Calendar!E$11,rngAMEnd,"&gt;="&amp;Calendar!E$11))</ns0:f>
        <ns0:v>0</ns0:v>
      </ns0:c>
      <ns0:c r="BF34" s="0">
        <ns0:f>IF(OR($AO34=0,$B$5&lt;&gt;"OK",$B$6&gt;0,Calendar!E$11=""),0,SUMIFS(rngEngine_V,rngEngine_B,INDEX(Team!$A$11:$A$60,$AO34),rngPMStart,"&lt;="&amp;Calendar!E$11,rngPMEnd,"&gt;="&amp;Calendar!E$11))</ns0:f>
        <ns0:v>0</ns0:v>
      </ns0:c>
      <ns0:c r="BG34" s="0">
        <ns0:f>IF(OR($AO34=0,$B$5&lt;&gt;"OK",$B$6&gt;0,Calendar!F$11=""),0,SUMIFS(rngEngine_U,rngEngine_B,INDEX(Team!$A$11:$A$60,$AO34),rngAMStart,"&lt;="&amp;Calendar!F$11,rngAMEnd,"&gt;="&amp;Calendar!F$11))</ns0:f>
        <ns0:v>0</ns0:v>
      </ns0:c>
      <ns0:c r="BH34" s="0">
        <ns0:f>IF(OR($AO34=0,$B$5&lt;&gt;"OK",$B$6&gt;0,Calendar!F$11=""),0,SUMIFS(rngEngine_V,rngEngine_B,INDEX(Team!$A$11:$A$60,$AO34),rngPMStart,"&lt;="&amp;Calendar!F$11,rngPMEnd,"&gt;="&amp;Calendar!F$11))</ns0:f>
        <ns0:v>0</ns0:v>
      </ns0:c>
      <ns0:c r="BI34" s="0">
        <ns0:f>IF(OR($AO34=0,$B$5&lt;&gt;"OK",$B$6&gt;0,Calendar!G$11=""),0,SUMIFS(rngEngine_U,rngEngine_B,INDEX(Team!$A$11:$A$60,$AO34),rngAMStart,"&lt;="&amp;Calendar!G$11,rngAMEnd,"&gt;="&amp;Calendar!G$11))</ns0:f>
        <ns0:v>0</ns0:v>
      </ns0:c>
      <ns0:c r="BJ34" s="0">
        <ns0:f>IF(OR($AO34=0,$B$5&lt;&gt;"OK",$B$6&gt;0,Calendar!G$11=""),0,SUMIFS(rngEngine_V,rngEngine_B,INDEX(Team!$A$11:$A$60,$AO34),rngPMStart,"&lt;="&amp;Calendar!G$11,rngPMEnd,"&gt;="&amp;Calendar!G$11))</ns0:f>
        <ns0:v>0</ns0:v>
      </ns0:c>
      <ns0:c r="BK34" s="0">
        <ns0:f>IF(OR($AO34=0,$B$5&lt;&gt;"OK",$B$6&gt;0,Calendar!H$11=""),0,SUMIFS(rngEngine_U,rngEngine_B,INDEX(Team!$A$11:$A$60,$AO34),rngAMStart,"&lt;="&amp;Calendar!H$11,rngAMEnd,"&gt;="&amp;Calendar!H$11))</ns0:f>
        <ns0:v>0</ns0:v>
      </ns0:c>
      <ns0:c r="BL34" s="0">
        <ns0:f>IF(OR($AO34=0,$B$5&lt;&gt;"OK",$B$6&gt;0,Calendar!H$11=""),0,SUMIFS(rngEngine_V,rngEngine_B,INDEX(Team!$A$11:$A$60,$AO34),rngPMStart,"&lt;="&amp;Calendar!H$11,rngPMEnd,"&gt;="&amp;Calendar!H$11))</ns0:f>
        <ns0:v>0</ns0:v>
      </ns0:c>
      <ns0:c r="BM34" s="0">
        <ns0:f>IF(OR($AO34=0,$B$5&lt;&gt;"OK",$B$6&gt;0,Calendar!I$11=""),0,SUMIFS(rngEngine_U,rngEngine_B,INDEX(Team!$A$11:$A$60,$AO34),rngAMStart,"&lt;="&amp;Calendar!I$11,rngAMEnd,"&gt;="&amp;Calendar!I$11))</ns0:f>
        <ns0:v>0</ns0:v>
      </ns0:c>
      <ns0:c r="BN34" s="0">
        <ns0:f>IF(OR($AO34=0,$B$5&lt;&gt;"OK",$B$6&gt;0,Calendar!I$11=""),0,SUMIFS(rngEngine_V,rngEngine_B,INDEX(Team!$A$11:$A$60,$AO34),rngPMStart,"&lt;="&amp;Calendar!I$11,rngPMEnd,"&gt;="&amp;Calendar!I$11))</ns0:f>
        <ns0:v>0</ns0:v>
      </ns0:c>
      <ns0:c r="BO34" s="0">
        <ns0:f>IF(OR($AO34=0,$B$5&lt;&gt;"OK",$B$6&gt;0,Calendar!J$11=""),0,SUMIFS(rngEngine_U,rngEngine_B,INDEX(Team!$A$11:$A$60,$AO34),rngAMStart,"&lt;="&amp;Calendar!J$11,rngAMEnd,"&gt;="&amp;Calendar!J$11))</ns0:f>
        <ns0:v>0</ns0:v>
      </ns0:c>
      <ns0:c r="BP34" s="0">
        <ns0:f>IF(OR($AO34=0,$B$5&lt;&gt;"OK",$B$6&gt;0,Calendar!J$11=""),0,SUMIFS(rngEngine_V,rngEngine_B,INDEX(Team!$A$11:$A$60,$AO34),rngPMStart,"&lt;="&amp;Calendar!J$11,rngPMEnd,"&gt;="&amp;Calendar!J$11))</ns0:f>
        <ns0:v>0</ns0:v>
      </ns0:c>
      <ns0:c r="BQ34" s="0">
        <ns0:f>IF(OR($AO34=0,$B$5&lt;&gt;"OK",$B$6&gt;0,Calendar!K$11=""),0,SUMIFS(rngEngine_U,rngEngine_B,INDEX(Team!$A$11:$A$60,$AO34),rngAMStart,"&lt;="&amp;Calendar!K$11,rngAMEnd,"&gt;="&amp;Calendar!K$11))</ns0:f>
        <ns0:v>0</ns0:v>
      </ns0:c>
      <ns0:c r="BR34" s="0">
        <ns0:f>IF(OR($AO34=0,$B$5&lt;&gt;"OK",$B$6&gt;0,Calendar!K$11=""),0,SUMIFS(rngEngine_V,rngEngine_B,INDEX(Team!$A$11:$A$60,$AO34),rngPMStart,"&lt;="&amp;Calendar!K$11,rngPMEnd,"&gt;="&amp;Calendar!K$11))</ns0:f>
        <ns0:v>0</ns0:v>
      </ns0:c>
      <ns0:c r="BS34" s="0">
        <ns0:f>IF(OR($AO34=0,$B$5&lt;&gt;"OK",$B$6&gt;0,Calendar!L$11=""),0,SUMIFS(rngEngine_U,rngEngine_B,INDEX(Team!$A$11:$A$60,$AO34),rngAMStart,"&lt;="&amp;Calendar!L$11,rngAMEnd,"&gt;="&amp;Calendar!L$11))</ns0:f>
        <ns0:v>0</ns0:v>
      </ns0:c>
      <ns0:c r="BT34" s="0">
        <ns0:f>IF(OR($AO34=0,$B$5&lt;&gt;"OK",$B$6&gt;0,Calendar!L$11=""),0,SUMIFS(rngEngine_V,rngEngine_B,INDEX(Team!$A$11:$A$60,$AO34),rngPMStart,"&lt;="&amp;Calendar!L$11,rngPMEnd,"&gt;="&amp;Calendar!L$11))</ns0:f>
        <ns0:v>0</ns0:v>
      </ns0:c>
      <ns0:c r="BU34" s="0">
        <ns0:f>IF(OR($AO34=0,$B$5&lt;&gt;"OK",$B$6&gt;0,Calendar!M$11=""),0,SUMIFS(rngEngine_U,rngEngine_B,INDEX(Team!$A$11:$A$60,$AO34),rngAMStart,"&lt;="&amp;Calendar!M$11,rngAMEnd,"&gt;="&amp;Calendar!M$11))</ns0:f>
        <ns0:v>0</ns0:v>
      </ns0:c>
      <ns0:c r="BV34" s="0">
        <ns0:f>IF(OR($AO34=0,$B$5&lt;&gt;"OK",$B$6&gt;0,Calendar!M$11=""),0,SUMIFS(rngEngine_V,rngEngine_B,INDEX(Team!$A$11:$A$60,$AO34),rngPMStart,"&lt;="&amp;Calendar!M$11,rngPMEnd,"&gt;="&amp;Calendar!M$11))</ns0:f>
        <ns0:v>0</ns0:v>
      </ns0:c>
      <ns0:c r="BW34" s="0">
        <ns0:f>IF(OR($AO34=0,$B$5&lt;&gt;"OK",$B$6&gt;0,Calendar!N$11=""),0,SUMIFS(rngEngine_U,rngEngine_B,INDEX(Team!$A$11:$A$60,$AO34),rngAMStart,"&lt;="&amp;Calendar!N$11,rngAMEnd,"&gt;="&amp;Calendar!N$11))</ns0:f>
        <ns0:v>0</ns0:v>
      </ns0:c>
      <ns0:c r="BX34" s="0">
        <ns0:f>IF(OR($AO34=0,$B$5&lt;&gt;"OK",$B$6&gt;0,Calendar!N$11=""),0,SUMIFS(rngEngine_V,rngEngine_B,INDEX(Team!$A$11:$A$60,$AO34),rngPMStart,"&lt;="&amp;Calendar!N$11,rngPMEnd,"&gt;="&amp;Calendar!N$11))</ns0:f>
        <ns0:v>0</ns0:v>
      </ns0:c>
      <ns0:c r="BY34" s="0">
        <ns0:f>IF(OR($AO34=0,$B$5&lt;&gt;"OK",$B$6&gt;0,Calendar!O$11=""),0,SUMIFS(rngEngine_U,rngEngine_B,INDEX(Team!$A$11:$A$60,$AO34),rngAMStart,"&lt;="&amp;Calendar!O$11,rngAMEnd,"&gt;="&amp;Calendar!O$11))</ns0:f>
        <ns0:v>0</ns0:v>
      </ns0:c>
      <ns0:c r="BZ34" s="0">
        <ns0:f>IF(OR($AO34=0,$B$5&lt;&gt;"OK",$B$6&gt;0,Calendar!O$11=""),0,SUMIFS(rngEngine_V,rngEngine_B,INDEX(Team!$A$11:$A$60,$AO34),rngPMStart,"&lt;="&amp;Calendar!O$11,rngPMEnd,"&gt;="&amp;Calendar!O$11))</ns0:f>
        <ns0:v>0</ns0:v>
      </ns0:c>
      <ns0:c r="CA34" s="0">
        <ns0:f>IF(OR($AO34=0,$B$5&lt;&gt;"OK",$B$6&gt;0,Calendar!P$11=""),0,SUMIFS(rngEngine_U,rngEngine_B,INDEX(Team!$A$11:$A$60,$AO34),rngAMStart,"&lt;="&amp;Calendar!P$11,rngAMEnd,"&gt;="&amp;Calendar!P$11))</ns0:f>
        <ns0:v>0</ns0:v>
      </ns0:c>
      <ns0:c r="CB34" s="0">
        <ns0:f>IF(OR($AO34=0,$B$5&lt;&gt;"OK",$B$6&gt;0,Calendar!P$11=""),0,SUMIFS(rngEngine_V,rngEngine_B,INDEX(Team!$A$11:$A$60,$AO34),rngPMStart,"&lt;="&amp;Calendar!P$11,rngPMEnd,"&gt;="&amp;Calendar!P$11))</ns0:f>
        <ns0:v>0</ns0:v>
      </ns0:c>
      <ns0:c r="CC34" s="0">
        <ns0:f>IF(OR($AO34=0,$B$5&lt;&gt;"OK",$B$6&gt;0,Calendar!Q$11=""),0,SUMIFS(rngEngine_U,rngEngine_B,INDEX(Team!$A$11:$A$60,$AO34),rngAMStart,"&lt;="&amp;Calendar!Q$11,rngAMEnd,"&gt;="&amp;Calendar!Q$11))</ns0:f>
        <ns0:v>0</ns0:v>
      </ns0:c>
      <ns0:c r="CD34" s="0">
        <ns0:f>IF(OR($AO34=0,$B$5&lt;&gt;"OK",$B$6&gt;0,Calendar!Q$11=""),0,SUMIFS(rngEngine_V,rngEngine_B,INDEX(Team!$A$11:$A$60,$AO34),rngPMStart,"&lt;="&amp;Calendar!Q$11,rngPMEnd,"&gt;="&amp;Calendar!Q$11))</ns0:f>
        <ns0:v>0</ns0:v>
      </ns0:c>
      <ns0:c r="CE34" s="0">
        <ns0:f>IF(OR($AO34=0,$B$5&lt;&gt;"OK",$B$6&gt;0,Calendar!R$11=""),0,SUMIFS(rngEngine_U,rngEngine_B,INDEX(Team!$A$11:$A$60,$AO34),rngAMStart,"&lt;="&amp;Calendar!R$11,rngAMEnd,"&gt;="&amp;Calendar!R$11))</ns0:f>
        <ns0:v>0</ns0:v>
      </ns0:c>
      <ns0:c r="CF34" s="0">
        <ns0:f>IF(OR($AO34=0,$B$5&lt;&gt;"OK",$B$6&gt;0,Calendar!R$11=""),0,SUMIFS(rngEngine_V,rngEngine_B,INDEX(Team!$A$11:$A$60,$AO34),rngPMStart,"&lt;="&amp;Calendar!R$11,rngPMEnd,"&gt;="&amp;Calendar!R$11))</ns0:f>
        <ns0:v>0</ns0:v>
      </ns0:c>
      <ns0:c r="CG34" s="0">
        <ns0:f>IF(OR($AO34=0,$B$5&lt;&gt;"OK",$B$6&gt;0,Calendar!S$11=""),0,SUMIFS(rngEngine_U,rngEngine_B,INDEX(Team!$A$11:$A$60,$AO34),rngAMStart,"&lt;="&amp;Calendar!S$11,rngAMEnd,"&gt;="&amp;Calendar!S$11))</ns0:f>
        <ns0:v>0</ns0:v>
      </ns0:c>
      <ns0:c r="CH34" s="0">
        <ns0:f>IF(OR($AO34=0,$B$5&lt;&gt;"OK",$B$6&gt;0,Calendar!S$11=""),0,SUMIFS(rngEngine_V,rngEngine_B,INDEX(Team!$A$11:$A$60,$AO34),rngPMStart,"&lt;="&amp;Calendar!S$11,rngPMEnd,"&gt;="&amp;Calendar!S$11))</ns0:f>
        <ns0:v>0</ns0:v>
      </ns0:c>
      <ns0:c r="CI34" s="0">
        <ns0:f>IF(OR($AO34=0,$B$5&lt;&gt;"OK",$B$6&gt;0,Calendar!T$11=""),0,SUMIFS(rngEngine_U,rngEngine_B,INDEX(Team!$A$11:$A$60,$AO34),rngAMStart,"&lt;="&amp;Calendar!T$11,rngAMEnd,"&gt;="&amp;Calendar!T$11))</ns0:f>
        <ns0:v>0</ns0:v>
      </ns0:c>
      <ns0:c r="CJ34" s="0">
        <ns0:f>IF(OR($AO34=0,$B$5&lt;&gt;"OK",$B$6&gt;0,Calendar!T$11=""),0,SUMIFS(rngEngine_V,rngEngine_B,INDEX(Team!$A$11:$A$60,$AO34),rngPMStart,"&lt;="&amp;Calendar!T$11,rngPMEnd,"&gt;="&amp;Calendar!T$11))</ns0:f>
        <ns0:v>0</ns0:v>
      </ns0:c>
      <ns0:c r="CK34" s="0">
        <ns0:f>IF(OR($AO34=0,$B$5&lt;&gt;"OK",$B$6&gt;0,Calendar!U$11=""),0,SUMIFS(rngEngine_U,rngEngine_B,INDEX(Team!$A$11:$A$60,$AO34),rngAMStart,"&lt;="&amp;Calendar!U$11,rngAMEnd,"&gt;="&amp;Calendar!U$11))</ns0:f>
        <ns0:v>0</ns0:v>
      </ns0:c>
      <ns0:c r="CL34" s="0">
        <ns0:f>IF(OR($AO34=0,$B$5&lt;&gt;"OK",$B$6&gt;0,Calendar!U$11=""),0,SUMIFS(rngEngine_V,rngEngine_B,INDEX(Team!$A$11:$A$60,$AO34),rngPMStart,"&lt;="&amp;Calendar!U$11,rngPMEnd,"&gt;="&amp;Calendar!U$11))</ns0:f>
        <ns0:v>0</ns0:v>
      </ns0:c>
      <ns0:c r="CM34" s="0">
        <ns0:f>IF(OR($AO34=0,$B$5&lt;&gt;"OK",$B$6&gt;0,Calendar!V$11=""),0,SUMIFS(rngEngine_U,rngEngine_B,INDEX(Team!$A$11:$A$60,$AO34),rngAMStart,"&lt;="&amp;Calendar!V$11,rngAMEnd,"&gt;="&amp;Calendar!V$11))</ns0:f>
        <ns0:v>0</ns0:v>
      </ns0:c>
      <ns0:c r="CN34" s="0">
        <ns0:f>IF(OR($AO34=0,$B$5&lt;&gt;"OK",$B$6&gt;0,Calendar!V$11=""),0,SUMIFS(rngEngine_V,rngEngine_B,INDEX(Team!$A$11:$A$60,$AO34),rngPMStart,"&lt;="&amp;Calendar!V$11,rngPMEnd,"&gt;="&amp;Calendar!V$11))</ns0:f>
        <ns0:v>0</ns0:v>
      </ns0:c>
      <ns0:c r="CO34" s="0">
        <ns0:f>IF(OR($AO34=0,$B$5&lt;&gt;"OK",$B$6&gt;0,Calendar!W$11=""),0,SUMIFS(rngEngine_U,rngEngine_B,INDEX(Team!$A$11:$A$60,$AO34),rngAMStart,"&lt;="&amp;Calendar!W$11,rngAMEnd,"&gt;="&amp;Calendar!W$11))</ns0:f>
        <ns0:v>0</ns0:v>
      </ns0:c>
      <ns0:c r="CP34" s="0">
        <ns0:f>IF(OR($AO34=0,$B$5&lt;&gt;"OK",$B$6&gt;0,Calendar!W$11=""),0,SUMIFS(rngEngine_V,rngEngine_B,INDEX(Team!$A$11:$A$60,$AO34),rngPMStart,"&lt;="&amp;Calendar!W$11,rngPMEnd,"&gt;="&amp;Calendar!W$11))</ns0:f>
        <ns0:v>0</ns0:v>
      </ns0:c>
      <ns0:c r="CQ34" s="0">
        <ns0:f>IF(OR($AO34=0,$B$5&lt;&gt;"OK",$B$6&gt;0,Calendar!X$11=""),0,SUMIFS(rngEngine_U,rngEngine_B,INDEX(Team!$A$11:$A$60,$AO34),rngAMStart,"&lt;="&amp;Calendar!X$11,rngAMEnd,"&gt;="&amp;Calendar!X$11))</ns0:f>
        <ns0:v>0</ns0:v>
      </ns0:c>
      <ns0:c r="CR34" s="0">
        <ns0:f>IF(OR($AO34=0,$B$5&lt;&gt;"OK",$B$6&gt;0,Calendar!X$11=""),0,SUMIFS(rngEngine_V,rngEngine_B,INDEX(Team!$A$11:$A$60,$AO34),rngPMStart,"&lt;="&amp;Calendar!X$11,rngPMEnd,"&gt;="&amp;Calendar!X$11))</ns0:f>
        <ns0:v>0</ns0:v>
      </ns0:c>
      <ns0:c r="CS34" s="0">
        <ns0:f>IF(OR($AO34=0,$B$5&lt;&gt;"OK",$B$6&gt;0,Calendar!Y$11=""),0,SUMIFS(rngEngine_U,rngEngine_B,INDEX(Team!$A$11:$A$60,$AO34),rngAMStart,"&lt;="&amp;Calendar!Y$11,rngAMEnd,"&gt;="&amp;Calendar!Y$11))</ns0:f>
        <ns0:v>0</ns0:v>
      </ns0:c>
      <ns0:c r="CT34" s="0">
        <ns0:f>IF(OR($AO34=0,$B$5&lt;&gt;"OK",$B$6&gt;0,Calendar!Y$11=""),0,SUMIFS(rngEngine_V,rngEngine_B,INDEX(Team!$A$11:$A$60,$AO34),rngPMStart,"&lt;="&amp;Calendar!Y$11,rngPMEnd,"&gt;="&amp;Calendar!Y$11))</ns0:f>
        <ns0:v>0</ns0:v>
      </ns0:c>
      <ns0:c r="CU34" s="0">
        <ns0:f>IF(OR($AO34=0,$B$5&lt;&gt;"OK",$B$6&gt;0,Calendar!Z$11=""),0,SUMIFS(rngEngine_U,rngEngine_B,INDEX(Team!$A$11:$A$60,$AO34),rngAMStart,"&lt;="&amp;Calendar!Z$11,rngAMEnd,"&gt;="&amp;Calendar!Z$11))</ns0:f>
        <ns0:v>0</ns0:v>
      </ns0:c>
      <ns0:c r="CV34" s="0">
        <ns0:f>IF(OR($AO34=0,$B$5&lt;&gt;"OK",$B$6&gt;0,Calendar!Z$11=""),0,SUMIFS(rngEngine_V,rngEngine_B,INDEX(Team!$A$11:$A$60,$AO34),rngPMStart,"&lt;="&amp;Calendar!Z$11,rngPMEnd,"&gt;="&amp;Calendar!Z$11))</ns0:f>
        <ns0:v>0</ns0:v>
      </ns0:c>
      <ns0:c r="CW34" s="0">
        <ns0:f>IF(OR($AO34=0,$B$5&lt;&gt;"OK",$B$6&gt;0,Calendar!AA$11=""),0,SUMIFS(rngEngine_U,rngEngine_B,INDEX(Team!$A$11:$A$60,$AO34),rngAMStart,"&lt;="&amp;Calendar!AA$11,rngAMEnd,"&gt;="&amp;Calendar!AA$11))</ns0:f>
        <ns0:v>0</ns0:v>
      </ns0:c>
      <ns0:c r="CX34" s="0">
        <ns0:f>IF(OR($AO34=0,$B$5&lt;&gt;"OK",$B$6&gt;0,Calendar!AA$11=""),0,SUMIFS(rngEngine_V,rngEngine_B,INDEX(Team!$A$11:$A$60,$AO34),rngPMStart,"&lt;="&amp;Calendar!AA$11,rngPMEnd,"&gt;="&amp;Calendar!AA$11))</ns0:f>
        <ns0:v>0</ns0:v>
      </ns0:c>
      <ns0:c r="CY34" s="0">
        <ns0:f>IF(OR($AO34=0,$B$5&lt;&gt;"OK",$B$6&gt;0,Calendar!AB$11=""),0,SUMIFS(rngEngine_U,rngEngine_B,INDEX(Team!$A$11:$A$60,$AO34),rngAMStart,"&lt;="&amp;Calendar!AB$11,rngAMEnd,"&gt;="&amp;Calendar!AB$11))</ns0:f>
        <ns0:v>0</ns0:v>
      </ns0:c>
      <ns0:c r="CZ34" s="0">
        <ns0:f>IF(OR($AO34=0,$B$5&lt;&gt;"OK",$B$6&gt;0,Calendar!AB$11=""),0,SUMIFS(rngEngine_V,rngEngine_B,INDEX(Team!$A$11:$A$60,$AO34),rngPMStart,"&lt;="&amp;Calendar!AB$11,rngPMEnd,"&gt;="&amp;Calendar!AB$11))</ns0:f>
        <ns0:v>0</ns0:v>
      </ns0:c>
      <ns0:c r="DA34" s="0">
        <ns0:f>IF(OR($AO34=0,$B$5&lt;&gt;"OK",$B$6&gt;0,Calendar!AC$11=""),0,SUMIFS(rngEngine_U,rngEngine_B,INDEX(Team!$A$11:$A$60,$AO34),rngAMStart,"&lt;="&amp;Calendar!AC$11,rngAMEnd,"&gt;="&amp;Calendar!AC$11))</ns0:f>
        <ns0:v>0</ns0:v>
      </ns0:c>
      <ns0:c r="DB34" s="0">
        <ns0:f>IF(OR($AO34=0,$B$5&lt;&gt;"OK",$B$6&gt;0,Calendar!AC$11=""),0,SUMIFS(rngEngine_V,rngEngine_B,INDEX(Team!$A$11:$A$60,$AO34),rngPMStart,"&lt;="&amp;Calendar!AC$11,rngPMEnd,"&gt;="&amp;Calendar!AC$11))</ns0:f>
        <ns0:v>0</ns0:v>
      </ns0:c>
      <ns0:c r="DC34" s="0">
        <ns0:f>IF(OR($AO34=0,$B$5&lt;&gt;"OK",$B$6&gt;0,Calendar!AD$11=""),0,SUMIFS(rngEngine_U,rngEngine_B,INDEX(Team!$A$11:$A$60,$AO34),rngAMStart,"&lt;="&amp;Calendar!AD$11,rngAMEnd,"&gt;="&amp;Calendar!AD$11))</ns0:f>
        <ns0:v>0</ns0:v>
      </ns0:c>
      <ns0:c r="DD34" s="0">
        <ns0:f>IF(OR($AO34=0,$B$5&lt;&gt;"OK",$B$6&gt;0,Calendar!AD$11=""),0,SUMIFS(rngEngine_V,rngEngine_B,INDEX(Team!$A$11:$A$60,$AO34),rngPMStart,"&lt;="&amp;Calendar!AD$11,rngPMEnd,"&gt;="&amp;Calendar!AD$11))</ns0:f>
        <ns0:v>0</ns0:v>
      </ns0:c>
      <ns0:c r="DE34" s="0">
        <ns0:f>IF(OR($AO34=0,$B$5&lt;&gt;"OK",$B$6&gt;0,Calendar!AE$11=""),0,SUMIFS(rngEngine_U,rngEngine_B,INDEX(Team!$A$11:$A$60,$AO34),rngAMStart,"&lt;="&amp;Calendar!AE$11,rngAMEnd,"&gt;="&amp;Calendar!AE$11))</ns0:f>
        <ns0:v>0</ns0:v>
      </ns0:c>
      <ns0:c r="DF34" s="0">
        <ns0:f>IF(OR($AO34=0,$B$5&lt;&gt;"OK",$B$6&gt;0,Calendar!AE$11=""),0,SUMIFS(rngEngine_V,rngEngine_B,INDEX(Team!$A$11:$A$60,$AO34),rngPMStart,"&lt;="&amp;Calendar!AE$11,rngPMEnd,"&gt;="&amp;Calendar!AE$11))</ns0:f>
        <ns0:v>0</ns0:v>
      </ns0:c>
      <ns0:c r="DG34" s="0">
        <ns0:f>IF(OR($AO34=0,$B$5&lt;&gt;"OK",$B$6&gt;0,Calendar!AF$11=""),0,SUMIFS(rngEngine_U,rngEngine_B,INDEX(Team!$A$11:$A$60,$AO34),rngAMStart,"&lt;="&amp;Calendar!AF$11,rngAMEnd,"&gt;="&amp;Calendar!AF$11))</ns0:f>
        <ns0:v>0</ns0:v>
      </ns0:c>
      <ns0:c r="DH34" s="0">
        <ns0:f>IF(OR($AO34=0,$B$5&lt;&gt;"OK",$B$6&gt;0,Calendar!AF$11=""),0,SUMIFS(rngEngine_V,rngEngine_B,INDEX(Team!$A$11:$A$60,$AO34),rngPMStart,"&lt;="&amp;Calendar!AF$11,rngPMEnd,"&gt;="&amp;Calendar!AF$11))</ns0:f>
        <ns0:v>0</ns0:v>
      </ns0:c>
      <ns0:c r="DI34" s="0">
        <ns0:f>IF(OR($AO34=0,$B$5&lt;&gt;"OK",$B$6&gt;0,Calendar!AG$11=""),0,SUMIFS(rngEngine_U,rngEngine_B,INDEX(Team!$A$11:$A$60,$AO34),rngAMStart,"&lt;="&amp;Calendar!AG$11,rngAMEnd,"&gt;="&amp;Calendar!AG$11))</ns0:f>
        <ns0:v>0</ns0:v>
      </ns0:c>
      <ns0:c r="DJ34" s="0">
        <ns0:f>IF(OR($AO34=0,$B$5&lt;&gt;"OK",$B$6&gt;0,Calendar!AG$11=""),0,SUMIFS(rngEngine_V,rngEngine_B,INDEX(Team!$A$11:$A$60,$AO34),rngPMStart,"&lt;="&amp;Calendar!AG$11,rngPMEnd,"&gt;="&amp;Calendar!AG$11))</ns0:f>
        <ns0:v>0</ns0:v>
      </ns0:c>
      <ns0:c r="DK34" s="0">
        <ns0:f>IF(OR($AO34=0,$B$5&lt;&gt;"OK",$B$6&gt;0,Calendar!AH$11=""),0,SUMIFS(rngEngine_U,rngEngine_B,INDEX(Team!$A$11:$A$60,$AO34),rngAMStart,"&lt;="&amp;Calendar!AH$11,rngAMEnd,"&gt;="&amp;Calendar!AH$11))</ns0:f>
        <ns0:v>0</ns0:v>
      </ns0:c>
      <ns0:c r="DL34" s="0">
        <ns0:f>IF(OR($AO34=0,$B$5&lt;&gt;"OK",$B$6&gt;0,Calendar!AH$11=""),0,SUMIFS(rngEngine_V,rngEngine_B,INDEX(Team!$A$11:$A$60,$AO34),rngPMStart,"&lt;="&amp;Calendar!AH$11,rngPMEnd,"&gt;="&amp;Calendar!AH$11))</ns0:f>
        <ns0:v>0</ns0:v>
      </ns0:c>
    </ns0:row>
    <ns0:row r="35" ht="22" customHeight="1">
      <ns0:c r="A35" s="4">
        <ns0:f>IF(COUNTA(Bookings!A35:G35,Bookings!I35)=0,0,1)</ns0:f>
        <ns0:v>0</ns0:v>
      </ns0:c>
      <ns0:c r="B35" s="4">
        <ns0:f>IFERROR(TRIM(MID(Bookings!A35,FIND(" · ",Bookings!A35)+3,99)),"")</ns0:f>
        <ns0:v>99</ns0:v>
      </ns0:c>
      <ns0:c r="C35" s="4">
        <ns0:f>IF(OR(B35="",LEN(B35)&gt;24,ISNUMBER(FIND(" ",B35)),ISNUMBER(FIND("*",B35)),ISNUMBER(FIND("?",B35)),ISNUMBER(FIND("~",B35))),0,IFERROR(MATCH(B35,Team!$A$11:$A$60,0),0))</ns0:f>
        <ns0:v>0</ns0:v>
      </ns0:c>
      <ns0:c r="D35" s="4" t="str">
        <ns0:f>IFERROR(IF(MID(Bookings!F35,LEN(Bookings!F35)-3,3)=" · ",RIGHT(Bookings!F35,1),""),"")</ns0:f>
        <ns0:v/>
      </ns0:c>
      <ns0:c r="E35" s="4" t="str">
        <ns0:f>IFERROR(INDEX(Settings!$H$7:$H$11,MATCH(D35,Settings!$G$7:$G$11,0)),"")</ns0:f>
        <ns0:v/>
      </ns0:c>
      <ns0:c r="F35" s="4" t="str">
        <ns0:f>IF(A35=0,"",IFERROR(IF(OR(B35="",C35=0),"CHECK employee selection",IF(INDEX(Team!$O$11:$O$60,C35)&lt;&gt;"OK","CHECK employee setup",IF(OR('_Dates'!J35=0,'_Dates'!T35=0),"CHECK date: use DD.MM.YYYY",IF('_Dates'!T35&lt;'_Dates'!J35,"CHECK end before start",IF(AND($B$6=0,OR('_Dates'!J35&lt;Settings!$B$7,'_Dates'!T35&gt;Settings!$B$8)),"CHECK split across leave years",IF(OR(NOT(OR('_Dates'!U35="Full day",'_Dates'!U35="AM",'_Dates'!U35="PM")),NOT(OR('_Dates'!V35="Full day",'_Dates'!V35="AM",'_Dates'!V35="PM"))),"CHECK Full day / AM / PM",IF(AND('_Dates'!J35='_Dates'!T35,'_Dates'!U35&lt;&gt;"Full day",'_Dates'!V35&lt;&gt;"Full day",'_Dates'!U35&lt;&gt;'_Dates'!V35),"CHECK same-day portions disagree",IF(AND($B$6=0,OR(AND('_Dates'!U35&lt;&gt;"Full day",'_Dates'!AA35=0),AND('_Dates'!V35&lt;&gt;"Full day",'_Dates'!AB35=0))),"CHECK half-day on non-working date",IF(COUNTIF(Settings!$G$7:$G$11,D35)&lt;&gt;1,"CHECK leave type",IF(AND(Bookings!G35&lt;&gt;"Approved",Bookings!G35&lt;&gt;"Pending",Bookings!G35&lt;&gt;"Cancelled"),"CHECK status","OK")))))))))),"CHECK input"))</ns0:f>
        <ns0:v/>
      </ns0:c>
      <ns0:c r="G35" s="4">
        <ns0:f>IF(OR(F35&lt;&gt;"OK",$B$6&gt;0),0,0.5*(IF(('_Dates'!X35)&lt;('_Dates'!W35),0,INT((('_Dates'!X35)-('_Dates'!W35)+1)/7)*LEN(SUBSTITUTE(W35,"O",""))+LEN(SUBSTITUTE(MID(W35&amp;W35,WEEKDAY(('_Dates'!W35),2),MOD((('_Dates'!X35)-('_Dates'!W35)+1),7)),"O",""))-COUNTIFS(INDEX(AllClosureRows,C35,0),"&gt;="&amp;('_Dates'!W35),INDEX(AllClosureRows,C35,0),"&lt;="&amp;('_Dates'!X35)))+IF(('_Dates'!Z35)&lt;('_Dates'!Y35),0,INT((('_Dates'!Z35)-('_Dates'!Y35)+1)/7)*LEN(SUBSTITUTE(W35,"O",""))+LEN(SUBSTITUTE(MID(W35&amp;W35,WEEKDAY(('_Dates'!Y35),2),MOD((('_Dates'!Z35)-('_Dates'!Y35)+1),7)),"O",""))-COUNTIFS(INDEX(AllClosureRows,C35,0),"&gt;="&amp;('_Dates'!Y35),INDEX(AllClosureRows,C35,0),"&lt;="&amp;('_Dates'!Z35)))))</ns0:f>
        <ns0:v>0</ns0:v>
      </ns0:c>
      <ns0:c r="H35" s="4">
        <ns0:f>IF(OR(F35&lt;&gt;"OK",$B$6&gt;0),0,0.5*(IF((MIN('_Dates'!X35,Settings!$B$9))&lt;('_Dates'!W35),0,INT(((MIN('_Dates'!X35,Settings!$B$9))-('_Dates'!W35)+1)/7)*LEN(SUBSTITUTE(W35,"O",""))+LEN(SUBSTITUTE(MID(W35&amp;W35,WEEKDAY(('_Dates'!W35),2),MOD(((MIN('_Dates'!X35,Settings!$B$9))-('_Dates'!W35)+1),7)),"O",""))-COUNTIFS(INDEX(AllClosureRows,C35,0),"&gt;="&amp;('_Dates'!W35),INDEX(AllClosureRows,C35,0),"&lt;="&amp;(MIN('_Dates'!X35,Settings!$B$9))))+IF((MIN('_Dates'!Z35,Settings!$B$9))&lt;('_Dates'!Y35),0,INT(((MIN('_Dates'!Z35,Settings!$B$9))-('_Dates'!Y35)+1)/7)*LEN(SUBSTITUTE(W35,"O",""))+LEN(SUBSTITUTE(MID(W35&amp;W35,WEEKDAY(('_Dates'!Y35),2),MOD(((MIN('_Dates'!Z35,Settings!$B$9))-('_Dates'!Y35)+1),7)),"O",""))-COUNTIFS(INDEX(AllClosureRows,C35,0),"&gt;="&amp;('_Dates'!Y35),INDEX(AllClosureRows,C35,0),"&lt;="&amp;(MIN('_Dates'!Z35,Settings!$B$9))))))</ns0:f>
        <ns0:v>0</ns0:v>
      </ns0:c>
      <ns0:c r="I35" s="4">
        <ns0:f>MAX(0,G35-H35)</ns0:f>
        <ns0:v>0</ns0:v>
      </ns0:c>
      <ns0:c r="J35" s="4">
        <ns0:f>IF(OR(A35=0,F35&lt;&gt;"OK",Bookings!G35="Cancelled",$B$6&gt;0),0,IF('_Dates'!AC35=1,MAX(0,COUNTIFS(rngEngine_B,B35,rngAMStart,"&lt;="&amp;'_Dates'!X35,rngAMEnd,"&gt;="&amp;'_Dates'!W35,rngAMActive,1,rngEngine_F,"OK",rngBookings_F,"&lt;&gt;Cancelled")-1),0)+IF('_Dates'!AD35=1,MAX(0,COUNTIFS(rngEngine_B,B35,rngPMStart,"&lt;="&amp;'_Dates'!Z35,rngPMEnd,"&gt;="&amp;'_Dates'!Y35,rngPMActive,1,rngEngine_F,"OK",rngBookings_F,"&lt;&gt;Cancelled")-1),0))</ns0:f>
        <ns0:v>0</ns0:v>
      </ns0:c>
      <ns0:c r="K35" s="0" t="str">
        <ns0:f>IF(A35=0,"",IF(F35&lt;&gt;"OK",F35,IF(J35&gt;0,"CHECK overlapping entry",IF(AND($B$6=0,G35&lt;=0,Bookings!G35&lt;&gt;"Cancelled"),"CHECK no working days",IF(Bookings!G35="Cancelled","Cancelled","OK")))))</ns0:f>
        <ns0:v/>
      </ns0:c>
      <ns0:c r="L35" s="0">
        <ns0:f>IF(LEFT(K35,5)="CHECK",1,0)</ns0:f>
        <ns0:v>0</ns0:v>
      </ns0:c>
      <ns0:c r="M35" s="0">
        <ns0:f>IF(AND(L35=1,OR(C35=0,IFERROR(INDEX($X$11:$X$60,C35),0)=0)),1,0)</ns0:f>
        <ns0:v>0</ns0:v>
      </ns0:c>
      <ns0:c r="N35" s="0">
        <ns0:f>IF(OR(A35=0,L35&gt;0,$B$6&gt;0,Bookings!G35="Cancelled"),0,G35)</ns0:f>
        <ns0:v>0</ns0:v>
      </ns0:c>
      <ns0:c r="O35" s="0">
        <ns0:f>IF(AND(Bookings!G35="Approved",E35="Yes"),N35,0)</ns0:f>
        <ns0:v>0</ns0:v>
      </ns0:c>
      <ns0:c r="P35" s="0">
        <ns0:f>IF(AND(Bookings!G35="Approved",E35="Yes",L35=0,$B$6=0),H35,0)</ns0:f>
        <ns0:v>0</ns0:v>
      </ns0:c>
      <ns0:c r="Q35" s="0">
        <ns0:f>IF(AND(Bookings!G35="Approved",E35="Yes",L35=0,$B$6=0),I35,0)</ns0:f>
        <ns0:v>0</ns0:v>
      </ns0:c>
      <ns0:c r="R35" s="0">
        <ns0:f>IF(AND(Bookings!G35="Pending",E35="Yes"),N35,0)</ns0:f>
        <ns0:v>0</ns0:v>
      </ns0:c>
      <ns0:c r="S35" s="0">
        <ns0:f>IF(AND(Bookings!G35="Approved",E35="No"),N35,0)</ns0:f>
        <ns0:v>0</ns0:v>
      </ns0:c>
      <ns0:c r="T35" s="0">
        <ns0:f>IFERROR(MATCH(D35,Settings!$G$7:$G$11,0),0)</ns0:f>
        <ns0:v>0</ns0:v>
      </ns0:c>
      <ns0:c r="U35" s="0">
        <ns0:f>IF(N35&gt;0,T35+IF(Bookings!G35="Pending",10,0),0)</ns0:f>
        <ns0:v>0</ns0:v>
      </ns0:c>
      <ns0:c r="V35" s="0">
        <ns0:f>U35</ns0:f>
        <ns0:v>0</ns0:v>
      </ns0:c>
      <ns0:c r="W35" s="0" t="str">
        <ns0:f>IF(C35=0,"",INDEX($AP$11:$AP$60,C35))</ns0:f>
        <ns0:v/>
      </ns0:c>
      <ns0:c r="X35" s="0">
        <ns0:f>IF(COUNTA(Team!B35:D35)=0,0,1)</ns0:f>
        <ns0:v>0</ns0:v>
      </ns0:c>
      <ns0:c r="Y35" s="0" t="str">
        <ns0:f>IF(X35=0,"",IF(Team!B35="","[Unnamed]",Team!B35)&amp;" · "&amp;Team!A35)</ns0:f>
        <ns0:v/>
      </ns0:c>
      <ns0:c r="Z35" s="0">
        <ns0:f>IF(X35=0,0,COUNTIF(Team!H35:N35,"Work"))</ns0:f>
        <ns0:v>0</ns0:v>
      </ns0:c>
      <ns0:c r="AA35" s="0">
        <ns0:f>IF(LEFT(Team!O35,5)="CHECK",1,0)</ns0:f>
        <ns0:v>0</ns0:v>
      </ns0:c>
      <ns0:c r="AB35" s="0">
        <ns0:f>IF(X35=0,0,SUMIFS(rngEngine_L,rngEngine_B,Team!A35))</ns0:f>
        <ns0:v>0</ns0:v>
      </ns0:c>
      <ns0:c r="AC35" s="0" t="str">
        <ns0:f>IF(AND(X35=1,OR(Calendar!$C$7="All teams",Team!C35=Calendar!$C$7)),MAX($AC$10:AC34)+1,"")</ns0:f>
        <ns0:v/>
      </ns0:c>
      <ns0:c r="AD35" s="0" t="str">
        <ns0:f>IF(OR(X35=0,Team!C35="",COUNTIF(Team!$C$11:C35,Team!C35)&gt;1),"",MAX($AD$10:AD34)+1)</ns0:f>
        <ns0:v/>
      </ns0:c>
      <ns0:c r="AE35" s="0" t="str">
        <ns0:f>IFERROR(INDEX(Team!$C$11:$C$60,MATCH(ROW()-10,$AD$11:$AD$60,0)),"")</ns0:f>
        <ns0:v/>
      </ns0:c>
      <ns0:c r="AF35" s="0" t="str">
        <ns0:f>AE35</ns0:f>
        <ns0:v/>
      </ns0:c>
      <ns0:c r="AG35" s="0">
        <ns0:f>IF(X35=0,0,IFERROR(Team!F35+Team!G35,0))</ns0:f>
        <ns0:v>0</ns0:v>
      </ns0:c>
      <ns0:c r="AH35" s="0">
        <ns0:f>IF(X35=0,0,SUMIFS(rngEngine_P,rngEngine_B,Team!A35))</ns0:f>
        <ns0:v>0</ns0:v>
      </ns0:c>
      <ns0:c r="AI35" s="0">
        <ns0:f>IF(X35=0,0,SUMIFS(rngEngine_Q,rngEngine_B,Team!A35))</ns0:f>
        <ns0:v>0</ns0:v>
      </ns0:c>
      <ns0:c r="AJ35" s="0">
        <ns0:f>IF(X35=0,0,SUMIFS(rngEngine_R,rngEngine_B,Team!A35))</ns0:f>
        <ns0:v>0</ns0:v>
      </ns0:c>
      <ns0:c r="AK35" s="0">
        <ns0:f>IF(X35=0,0,SUMIFS(rngEngine_S,rngEngine_B,Team!A35))</ns0:f>
        <ns0:v>0</ns0:v>
      </ns0:c>
      <ns0:c r="AL35" s="0">
        <ns0:f>AH35+AI35</ns0:f>
        <ns0:v>0</ns0:v>
      </ns0:c>
      <ns0:c r="AM35" s="0" t="str">
        <ns0:f>IF(X35=0,"",IF(AA35&gt;0,"CHECK team setup",IF(AB35&gt;0,"CHECK "&amp;AB35&amp;" booking(s)","OK")))</ns0:f>
        <ns0:v/>
      </ns0:c>
      <ns0:c r="AN35" s="0" t="str">
        <ns0:f>IF(X35=0,"",IF(OR($B$6&gt;0,AM35&lt;&gt;"OK"),"REVIEW",AG35-AL35))</ns0:f>
        <ns0:v/>
      </ns0:c>
      <ns0:c r="AO35" s="0">
        <ns0:f>IFERROR(MATCH(ROW()-11,$AC$11:$AC$60,0),0)</ns0:f>
        <ns0:v>0</ns0:v>
      </ns0:c>
      <ns0:c r="AP35" s="0" t="str">
        <ns0:f>IF(Team!H35="Work","W","O")&amp;IF(Team!I35="Work","W","O")&amp;IF(Team!J35="Work","W","O")&amp;IF(Team!K35="Work","W","O")&amp;IF(Team!L35="Work","W","O")&amp;IF(Team!M35="Work","W","O")&amp;IF(Team!N35="Work","W","O")</ns0:f>
        <ns0:v>WWWWWOO</ns0:v>
      </ns0:c>
      <ns0:c r="AR35" s="0">
        <ns0:f>IFERROR(IF(ISNUMBER(Settings!F35),WEEKDAY(Settings!F35,2),0),0)</ns0:f>
        <ns0:v>0</ns0:v>
      </ns0:c>
      <ns0:c r="BC35" s="0">
        <ns0:f>IF(OR($AO35=0,$B$5&lt;&gt;"OK",$B$6&gt;0,Calendar!D$11=""),0,SUMIFS(rngEngine_U,rngEngine_B,INDEX(Team!$A$11:$A$60,$AO35),rngAMStart,"&lt;="&amp;Calendar!D$11,rngAMEnd,"&gt;="&amp;Calendar!D$11))</ns0:f>
        <ns0:v>0</ns0:v>
      </ns0:c>
      <ns0:c r="BD35" s="0">
        <ns0:f>IF(OR($AO35=0,$B$5&lt;&gt;"OK",$B$6&gt;0,Calendar!D$11=""),0,SUMIFS(rngEngine_V,rngEngine_B,INDEX(Team!$A$11:$A$60,$AO35),rngPMStart,"&lt;="&amp;Calendar!D$11,rngPMEnd,"&gt;="&amp;Calendar!D$11))</ns0:f>
        <ns0:v>0</ns0:v>
      </ns0:c>
      <ns0:c r="BE35" s="0">
        <ns0:f>IF(OR($AO35=0,$B$5&lt;&gt;"OK",$B$6&gt;0,Calendar!E$11=""),0,SUMIFS(rngEngine_U,rngEngine_B,INDEX(Team!$A$11:$A$60,$AO35),rngAMStart,"&lt;="&amp;Calendar!E$11,rngAMEnd,"&gt;="&amp;Calendar!E$11))</ns0:f>
        <ns0:v>0</ns0:v>
      </ns0:c>
      <ns0:c r="BF35" s="0">
        <ns0:f>IF(OR($AO35=0,$B$5&lt;&gt;"OK",$B$6&gt;0,Calendar!E$11=""),0,SUMIFS(rngEngine_V,rngEngine_B,INDEX(Team!$A$11:$A$60,$AO35),rngPMStart,"&lt;="&amp;Calendar!E$11,rngPMEnd,"&gt;="&amp;Calendar!E$11))</ns0:f>
        <ns0:v>0</ns0:v>
      </ns0:c>
      <ns0:c r="BG35" s="0">
        <ns0:f>IF(OR($AO35=0,$B$5&lt;&gt;"OK",$B$6&gt;0,Calendar!F$11=""),0,SUMIFS(rngEngine_U,rngEngine_B,INDEX(Team!$A$11:$A$60,$AO35),rngAMStart,"&lt;="&amp;Calendar!F$11,rngAMEnd,"&gt;="&amp;Calendar!F$11))</ns0:f>
        <ns0:v>0</ns0:v>
      </ns0:c>
      <ns0:c r="BH35" s="0">
        <ns0:f>IF(OR($AO35=0,$B$5&lt;&gt;"OK",$B$6&gt;0,Calendar!F$11=""),0,SUMIFS(rngEngine_V,rngEngine_B,INDEX(Team!$A$11:$A$60,$AO35),rngPMStart,"&lt;="&amp;Calendar!F$11,rngPMEnd,"&gt;="&amp;Calendar!F$11))</ns0:f>
        <ns0:v>0</ns0:v>
      </ns0:c>
      <ns0:c r="BI35" s="0">
        <ns0:f>IF(OR($AO35=0,$B$5&lt;&gt;"OK",$B$6&gt;0,Calendar!G$11=""),0,SUMIFS(rngEngine_U,rngEngine_B,INDEX(Team!$A$11:$A$60,$AO35),rngAMStart,"&lt;="&amp;Calendar!G$11,rngAMEnd,"&gt;="&amp;Calendar!G$11))</ns0:f>
        <ns0:v>0</ns0:v>
      </ns0:c>
      <ns0:c r="BJ35" s="0">
        <ns0:f>IF(OR($AO35=0,$B$5&lt;&gt;"OK",$B$6&gt;0,Calendar!G$11=""),0,SUMIFS(rngEngine_V,rngEngine_B,INDEX(Team!$A$11:$A$60,$AO35),rngPMStart,"&lt;="&amp;Calendar!G$11,rngPMEnd,"&gt;="&amp;Calendar!G$11))</ns0:f>
        <ns0:v>0</ns0:v>
      </ns0:c>
      <ns0:c r="BK35" s="0">
        <ns0:f>IF(OR($AO35=0,$B$5&lt;&gt;"OK",$B$6&gt;0,Calendar!H$11=""),0,SUMIFS(rngEngine_U,rngEngine_B,INDEX(Team!$A$11:$A$60,$AO35),rngAMStart,"&lt;="&amp;Calendar!H$11,rngAMEnd,"&gt;="&amp;Calendar!H$11))</ns0:f>
        <ns0:v>0</ns0:v>
      </ns0:c>
      <ns0:c r="BL35" s="0">
        <ns0:f>IF(OR($AO35=0,$B$5&lt;&gt;"OK",$B$6&gt;0,Calendar!H$11=""),0,SUMIFS(rngEngine_V,rngEngine_B,INDEX(Team!$A$11:$A$60,$AO35),rngPMStart,"&lt;="&amp;Calendar!H$11,rngPMEnd,"&gt;="&amp;Calendar!H$11))</ns0:f>
        <ns0:v>0</ns0:v>
      </ns0:c>
      <ns0:c r="BM35" s="0">
        <ns0:f>IF(OR($AO35=0,$B$5&lt;&gt;"OK",$B$6&gt;0,Calendar!I$11=""),0,SUMIFS(rngEngine_U,rngEngine_B,INDEX(Team!$A$11:$A$60,$AO35),rngAMStart,"&lt;="&amp;Calendar!I$11,rngAMEnd,"&gt;="&amp;Calendar!I$11))</ns0:f>
        <ns0:v>0</ns0:v>
      </ns0:c>
      <ns0:c r="BN35" s="0">
        <ns0:f>IF(OR($AO35=0,$B$5&lt;&gt;"OK",$B$6&gt;0,Calendar!I$11=""),0,SUMIFS(rngEngine_V,rngEngine_B,INDEX(Team!$A$11:$A$60,$AO35),rngPMStart,"&lt;="&amp;Calendar!I$11,rngPMEnd,"&gt;="&amp;Calendar!I$11))</ns0:f>
        <ns0:v>0</ns0:v>
      </ns0:c>
      <ns0:c r="BO35" s="0">
        <ns0:f>IF(OR($AO35=0,$B$5&lt;&gt;"OK",$B$6&gt;0,Calendar!J$11=""),0,SUMIFS(rngEngine_U,rngEngine_B,INDEX(Team!$A$11:$A$60,$AO35),rngAMStart,"&lt;="&amp;Calendar!J$11,rngAMEnd,"&gt;="&amp;Calendar!J$11))</ns0:f>
        <ns0:v>0</ns0:v>
      </ns0:c>
      <ns0:c r="BP35" s="0">
        <ns0:f>IF(OR($AO35=0,$B$5&lt;&gt;"OK",$B$6&gt;0,Calendar!J$11=""),0,SUMIFS(rngEngine_V,rngEngine_B,INDEX(Team!$A$11:$A$60,$AO35),rngPMStart,"&lt;="&amp;Calendar!J$11,rngPMEnd,"&gt;="&amp;Calendar!J$11))</ns0:f>
        <ns0:v>0</ns0:v>
      </ns0:c>
      <ns0:c r="BQ35" s="0">
        <ns0:f>IF(OR($AO35=0,$B$5&lt;&gt;"OK",$B$6&gt;0,Calendar!K$11=""),0,SUMIFS(rngEngine_U,rngEngine_B,INDEX(Team!$A$11:$A$60,$AO35),rngAMStart,"&lt;="&amp;Calendar!K$11,rngAMEnd,"&gt;="&amp;Calendar!K$11))</ns0:f>
        <ns0:v>0</ns0:v>
      </ns0:c>
      <ns0:c r="BR35" s="0">
        <ns0:f>IF(OR($AO35=0,$B$5&lt;&gt;"OK",$B$6&gt;0,Calendar!K$11=""),0,SUMIFS(rngEngine_V,rngEngine_B,INDEX(Team!$A$11:$A$60,$AO35),rngPMStart,"&lt;="&amp;Calendar!K$11,rngPMEnd,"&gt;="&amp;Calendar!K$11))</ns0:f>
        <ns0:v>0</ns0:v>
      </ns0:c>
      <ns0:c r="BS35" s="0">
        <ns0:f>IF(OR($AO35=0,$B$5&lt;&gt;"OK",$B$6&gt;0,Calendar!L$11=""),0,SUMIFS(rngEngine_U,rngEngine_B,INDEX(Team!$A$11:$A$60,$AO35),rngAMStart,"&lt;="&amp;Calendar!L$11,rngAMEnd,"&gt;="&amp;Calendar!L$11))</ns0:f>
        <ns0:v>0</ns0:v>
      </ns0:c>
      <ns0:c r="BT35" s="0">
        <ns0:f>IF(OR($AO35=0,$B$5&lt;&gt;"OK",$B$6&gt;0,Calendar!L$11=""),0,SUMIFS(rngEngine_V,rngEngine_B,INDEX(Team!$A$11:$A$60,$AO35),rngPMStart,"&lt;="&amp;Calendar!L$11,rngPMEnd,"&gt;="&amp;Calendar!L$11))</ns0:f>
        <ns0:v>0</ns0:v>
      </ns0:c>
      <ns0:c r="BU35" s="0">
        <ns0:f>IF(OR($AO35=0,$B$5&lt;&gt;"OK",$B$6&gt;0,Calendar!M$11=""),0,SUMIFS(rngEngine_U,rngEngine_B,INDEX(Team!$A$11:$A$60,$AO35),rngAMStart,"&lt;="&amp;Calendar!M$11,rngAMEnd,"&gt;="&amp;Calendar!M$11))</ns0:f>
        <ns0:v>0</ns0:v>
      </ns0:c>
      <ns0:c r="BV35" s="0">
        <ns0:f>IF(OR($AO35=0,$B$5&lt;&gt;"OK",$B$6&gt;0,Calendar!M$11=""),0,SUMIFS(rngEngine_V,rngEngine_B,INDEX(Team!$A$11:$A$60,$AO35),rngPMStart,"&lt;="&amp;Calendar!M$11,rngPMEnd,"&gt;="&amp;Calendar!M$11))</ns0:f>
        <ns0:v>0</ns0:v>
      </ns0:c>
      <ns0:c r="BW35" s="0">
        <ns0:f>IF(OR($AO35=0,$B$5&lt;&gt;"OK",$B$6&gt;0,Calendar!N$11=""),0,SUMIFS(rngEngine_U,rngEngine_B,INDEX(Team!$A$11:$A$60,$AO35),rngAMStart,"&lt;="&amp;Calendar!N$11,rngAMEnd,"&gt;="&amp;Calendar!N$11))</ns0:f>
        <ns0:v>0</ns0:v>
      </ns0:c>
      <ns0:c r="BX35" s="0">
        <ns0:f>IF(OR($AO35=0,$B$5&lt;&gt;"OK",$B$6&gt;0,Calendar!N$11=""),0,SUMIFS(rngEngine_V,rngEngine_B,INDEX(Team!$A$11:$A$60,$AO35),rngPMStart,"&lt;="&amp;Calendar!N$11,rngPMEnd,"&gt;="&amp;Calendar!N$11))</ns0:f>
        <ns0:v>0</ns0:v>
      </ns0:c>
      <ns0:c r="BY35" s="0">
        <ns0:f>IF(OR($AO35=0,$B$5&lt;&gt;"OK",$B$6&gt;0,Calendar!O$11=""),0,SUMIFS(rngEngine_U,rngEngine_B,INDEX(Team!$A$11:$A$60,$AO35),rngAMStart,"&lt;="&amp;Calendar!O$11,rngAMEnd,"&gt;="&amp;Calendar!O$11))</ns0:f>
        <ns0:v>0</ns0:v>
      </ns0:c>
      <ns0:c r="BZ35" s="0">
        <ns0:f>IF(OR($AO35=0,$B$5&lt;&gt;"OK",$B$6&gt;0,Calendar!O$11=""),0,SUMIFS(rngEngine_V,rngEngine_B,INDEX(Team!$A$11:$A$60,$AO35),rngPMStart,"&lt;="&amp;Calendar!O$11,rngPMEnd,"&gt;="&amp;Calendar!O$11))</ns0:f>
        <ns0:v>0</ns0:v>
      </ns0:c>
      <ns0:c r="CA35" s="0">
        <ns0:f>IF(OR($AO35=0,$B$5&lt;&gt;"OK",$B$6&gt;0,Calendar!P$11=""),0,SUMIFS(rngEngine_U,rngEngine_B,INDEX(Team!$A$11:$A$60,$AO35),rngAMStart,"&lt;="&amp;Calendar!P$11,rngAMEnd,"&gt;="&amp;Calendar!P$11))</ns0:f>
        <ns0:v>0</ns0:v>
      </ns0:c>
      <ns0:c r="CB35" s="0">
        <ns0:f>IF(OR($AO35=0,$B$5&lt;&gt;"OK",$B$6&gt;0,Calendar!P$11=""),0,SUMIFS(rngEngine_V,rngEngine_B,INDEX(Team!$A$11:$A$60,$AO35),rngPMStart,"&lt;="&amp;Calendar!P$11,rngPMEnd,"&gt;="&amp;Calendar!P$11))</ns0:f>
        <ns0:v>0</ns0:v>
      </ns0:c>
      <ns0:c r="CC35" s="0">
        <ns0:f>IF(OR($AO35=0,$B$5&lt;&gt;"OK",$B$6&gt;0,Calendar!Q$11=""),0,SUMIFS(rngEngine_U,rngEngine_B,INDEX(Team!$A$11:$A$60,$AO35),rngAMStart,"&lt;="&amp;Calendar!Q$11,rngAMEnd,"&gt;="&amp;Calendar!Q$11))</ns0:f>
        <ns0:v>0</ns0:v>
      </ns0:c>
      <ns0:c r="CD35" s="0">
        <ns0:f>IF(OR($AO35=0,$B$5&lt;&gt;"OK",$B$6&gt;0,Calendar!Q$11=""),0,SUMIFS(rngEngine_V,rngEngine_B,INDEX(Team!$A$11:$A$60,$AO35),rngPMStart,"&lt;="&amp;Calendar!Q$11,rngPMEnd,"&gt;="&amp;Calendar!Q$11))</ns0:f>
        <ns0:v>0</ns0:v>
      </ns0:c>
      <ns0:c r="CE35" s="0">
        <ns0:f>IF(OR($AO35=0,$B$5&lt;&gt;"OK",$B$6&gt;0,Calendar!R$11=""),0,SUMIFS(rngEngine_U,rngEngine_B,INDEX(Team!$A$11:$A$60,$AO35),rngAMStart,"&lt;="&amp;Calendar!R$11,rngAMEnd,"&gt;="&amp;Calendar!R$11))</ns0:f>
        <ns0:v>0</ns0:v>
      </ns0:c>
      <ns0:c r="CF35" s="0">
        <ns0:f>IF(OR($AO35=0,$B$5&lt;&gt;"OK",$B$6&gt;0,Calendar!R$11=""),0,SUMIFS(rngEngine_V,rngEngine_B,INDEX(Team!$A$11:$A$60,$AO35),rngPMStart,"&lt;="&amp;Calendar!R$11,rngPMEnd,"&gt;="&amp;Calendar!R$11))</ns0:f>
        <ns0:v>0</ns0:v>
      </ns0:c>
      <ns0:c r="CG35" s="0">
        <ns0:f>IF(OR($AO35=0,$B$5&lt;&gt;"OK",$B$6&gt;0,Calendar!S$11=""),0,SUMIFS(rngEngine_U,rngEngine_B,INDEX(Team!$A$11:$A$60,$AO35),rngAMStart,"&lt;="&amp;Calendar!S$11,rngAMEnd,"&gt;="&amp;Calendar!S$11))</ns0:f>
        <ns0:v>0</ns0:v>
      </ns0:c>
      <ns0:c r="CH35" s="0">
        <ns0:f>IF(OR($AO35=0,$B$5&lt;&gt;"OK",$B$6&gt;0,Calendar!S$11=""),0,SUMIFS(rngEngine_V,rngEngine_B,INDEX(Team!$A$11:$A$60,$AO35),rngPMStart,"&lt;="&amp;Calendar!S$11,rngPMEnd,"&gt;="&amp;Calendar!S$11))</ns0:f>
        <ns0:v>0</ns0:v>
      </ns0:c>
      <ns0:c r="CI35" s="0">
        <ns0:f>IF(OR($AO35=0,$B$5&lt;&gt;"OK",$B$6&gt;0,Calendar!T$11=""),0,SUMIFS(rngEngine_U,rngEngine_B,INDEX(Team!$A$11:$A$60,$AO35),rngAMStart,"&lt;="&amp;Calendar!T$11,rngAMEnd,"&gt;="&amp;Calendar!T$11))</ns0:f>
        <ns0:v>0</ns0:v>
      </ns0:c>
      <ns0:c r="CJ35" s="0">
        <ns0:f>IF(OR($AO35=0,$B$5&lt;&gt;"OK",$B$6&gt;0,Calendar!T$11=""),0,SUMIFS(rngEngine_V,rngEngine_B,INDEX(Team!$A$11:$A$60,$AO35),rngPMStart,"&lt;="&amp;Calendar!T$11,rngPMEnd,"&gt;="&amp;Calendar!T$11))</ns0:f>
        <ns0:v>0</ns0:v>
      </ns0:c>
      <ns0:c r="CK35" s="0">
        <ns0:f>IF(OR($AO35=0,$B$5&lt;&gt;"OK",$B$6&gt;0,Calendar!U$11=""),0,SUMIFS(rngEngine_U,rngEngine_B,INDEX(Team!$A$11:$A$60,$AO35),rngAMStart,"&lt;="&amp;Calendar!U$11,rngAMEnd,"&gt;="&amp;Calendar!U$11))</ns0:f>
        <ns0:v>0</ns0:v>
      </ns0:c>
      <ns0:c r="CL35" s="0">
        <ns0:f>IF(OR($AO35=0,$B$5&lt;&gt;"OK",$B$6&gt;0,Calendar!U$11=""),0,SUMIFS(rngEngine_V,rngEngine_B,INDEX(Team!$A$11:$A$60,$AO35),rngPMStart,"&lt;="&amp;Calendar!U$11,rngPMEnd,"&gt;="&amp;Calendar!U$11))</ns0:f>
        <ns0:v>0</ns0:v>
      </ns0:c>
      <ns0:c r="CM35" s="0">
        <ns0:f>IF(OR($AO35=0,$B$5&lt;&gt;"OK",$B$6&gt;0,Calendar!V$11=""),0,SUMIFS(rngEngine_U,rngEngine_B,INDEX(Team!$A$11:$A$60,$AO35),rngAMStart,"&lt;="&amp;Calendar!V$11,rngAMEnd,"&gt;="&amp;Calendar!V$11))</ns0:f>
        <ns0:v>0</ns0:v>
      </ns0:c>
      <ns0:c r="CN35" s="0">
        <ns0:f>IF(OR($AO35=0,$B$5&lt;&gt;"OK",$B$6&gt;0,Calendar!V$11=""),0,SUMIFS(rngEngine_V,rngEngine_B,INDEX(Team!$A$11:$A$60,$AO35),rngPMStart,"&lt;="&amp;Calendar!V$11,rngPMEnd,"&gt;="&amp;Calendar!V$11))</ns0:f>
        <ns0:v>0</ns0:v>
      </ns0:c>
      <ns0:c r="CO35" s="0">
        <ns0:f>IF(OR($AO35=0,$B$5&lt;&gt;"OK",$B$6&gt;0,Calendar!W$11=""),0,SUMIFS(rngEngine_U,rngEngine_B,INDEX(Team!$A$11:$A$60,$AO35),rngAMStart,"&lt;="&amp;Calendar!W$11,rngAMEnd,"&gt;="&amp;Calendar!W$11))</ns0:f>
        <ns0:v>0</ns0:v>
      </ns0:c>
      <ns0:c r="CP35" s="0">
        <ns0:f>IF(OR($AO35=0,$B$5&lt;&gt;"OK",$B$6&gt;0,Calendar!W$11=""),0,SUMIFS(rngEngine_V,rngEngine_B,INDEX(Team!$A$11:$A$60,$AO35),rngPMStart,"&lt;="&amp;Calendar!W$11,rngPMEnd,"&gt;="&amp;Calendar!W$11))</ns0:f>
        <ns0:v>0</ns0:v>
      </ns0:c>
      <ns0:c r="CQ35" s="0">
        <ns0:f>IF(OR($AO35=0,$B$5&lt;&gt;"OK",$B$6&gt;0,Calendar!X$11=""),0,SUMIFS(rngEngine_U,rngEngine_B,INDEX(Team!$A$11:$A$60,$AO35),rngAMStart,"&lt;="&amp;Calendar!X$11,rngAMEnd,"&gt;="&amp;Calendar!X$11))</ns0:f>
        <ns0:v>0</ns0:v>
      </ns0:c>
      <ns0:c r="CR35" s="0">
        <ns0:f>IF(OR($AO35=0,$B$5&lt;&gt;"OK",$B$6&gt;0,Calendar!X$11=""),0,SUMIFS(rngEngine_V,rngEngine_B,INDEX(Team!$A$11:$A$60,$AO35),rngPMStart,"&lt;="&amp;Calendar!X$11,rngPMEnd,"&gt;="&amp;Calendar!X$11))</ns0:f>
        <ns0:v>0</ns0:v>
      </ns0:c>
      <ns0:c r="CS35" s="0">
        <ns0:f>IF(OR($AO35=0,$B$5&lt;&gt;"OK",$B$6&gt;0,Calendar!Y$11=""),0,SUMIFS(rngEngine_U,rngEngine_B,INDEX(Team!$A$11:$A$60,$AO35),rngAMStart,"&lt;="&amp;Calendar!Y$11,rngAMEnd,"&gt;="&amp;Calendar!Y$11))</ns0:f>
        <ns0:v>0</ns0:v>
      </ns0:c>
      <ns0:c r="CT35" s="0">
        <ns0:f>IF(OR($AO35=0,$B$5&lt;&gt;"OK",$B$6&gt;0,Calendar!Y$11=""),0,SUMIFS(rngEngine_V,rngEngine_B,INDEX(Team!$A$11:$A$60,$AO35),rngPMStart,"&lt;="&amp;Calendar!Y$11,rngPMEnd,"&gt;="&amp;Calendar!Y$11))</ns0:f>
        <ns0:v>0</ns0:v>
      </ns0:c>
      <ns0:c r="CU35" s="0">
        <ns0:f>IF(OR($AO35=0,$B$5&lt;&gt;"OK",$B$6&gt;0,Calendar!Z$11=""),0,SUMIFS(rngEngine_U,rngEngine_B,INDEX(Team!$A$11:$A$60,$AO35),rngAMStart,"&lt;="&amp;Calendar!Z$11,rngAMEnd,"&gt;="&amp;Calendar!Z$11))</ns0:f>
        <ns0:v>0</ns0:v>
      </ns0:c>
      <ns0:c r="CV35" s="0">
        <ns0:f>IF(OR($AO35=0,$B$5&lt;&gt;"OK",$B$6&gt;0,Calendar!Z$11=""),0,SUMIFS(rngEngine_V,rngEngine_B,INDEX(Team!$A$11:$A$60,$AO35),rngPMStart,"&lt;="&amp;Calendar!Z$11,rngPMEnd,"&gt;="&amp;Calendar!Z$11))</ns0:f>
        <ns0:v>0</ns0:v>
      </ns0:c>
      <ns0:c r="CW35" s="0">
        <ns0:f>IF(OR($AO35=0,$B$5&lt;&gt;"OK",$B$6&gt;0,Calendar!AA$11=""),0,SUMIFS(rngEngine_U,rngEngine_B,INDEX(Team!$A$11:$A$60,$AO35),rngAMStart,"&lt;="&amp;Calendar!AA$11,rngAMEnd,"&gt;="&amp;Calendar!AA$11))</ns0:f>
        <ns0:v>0</ns0:v>
      </ns0:c>
      <ns0:c r="CX35" s="0">
        <ns0:f>IF(OR($AO35=0,$B$5&lt;&gt;"OK",$B$6&gt;0,Calendar!AA$11=""),0,SUMIFS(rngEngine_V,rngEngine_B,INDEX(Team!$A$11:$A$60,$AO35),rngPMStart,"&lt;="&amp;Calendar!AA$11,rngPMEnd,"&gt;="&amp;Calendar!AA$11))</ns0:f>
        <ns0:v>0</ns0:v>
      </ns0:c>
      <ns0:c r="CY35" s="0">
        <ns0:f>IF(OR($AO35=0,$B$5&lt;&gt;"OK",$B$6&gt;0,Calendar!AB$11=""),0,SUMIFS(rngEngine_U,rngEngine_B,INDEX(Team!$A$11:$A$60,$AO35),rngAMStart,"&lt;="&amp;Calendar!AB$11,rngAMEnd,"&gt;="&amp;Calendar!AB$11))</ns0:f>
        <ns0:v>0</ns0:v>
      </ns0:c>
      <ns0:c r="CZ35" s="0">
        <ns0:f>IF(OR($AO35=0,$B$5&lt;&gt;"OK",$B$6&gt;0,Calendar!AB$11=""),0,SUMIFS(rngEngine_V,rngEngine_B,INDEX(Team!$A$11:$A$60,$AO35),rngPMStart,"&lt;="&amp;Calendar!AB$11,rngPMEnd,"&gt;="&amp;Calendar!AB$11))</ns0:f>
        <ns0:v>0</ns0:v>
      </ns0:c>
      <ns0:c r="DA35" s="0">
        <ns0:f>IF(OR($AO35=0,$B$5&lt;&gt;"OK",$B$6&gt;0,Calendar!AC$11=""),0,SUMIFS(rngEngine_U,rngEngine_B,INDEX(Team!$A$11:$A$60,$AO35),rngAMStart,"&lt;="&amp;Calendar!AC$11,rngAMEnd,"&gt;="&amp;Calendar!AC$11))</ns0:f>
        <ns0:v>0</ns0:v>
      </ns0:c>
      <ns0:c r="DB35" s="0">
        <ns0:f>IF(OR($AO35=0,$B$5&lt;&gt;"OK",$B$6&gt;0,Calendar!AC$11=""),0,SUMIFS(rngEngine_V,rngEngine_B,INDEX(Team!$A$11:$A$60,$AO35),rngPMStart,"&lt;="&amp;Calendar!AC$11,rngPMEnd,"&gt;="&amp;Calendar!AC$11))</ns0:f>
        <ns0:v>0</ns0:v>
      </ns0:c>
      <ns0:c r="DC35" s="0">
        <ns0:f>IF(OR($AO35=0,$B$5&lt;&gt;"OK",$B$6&gt;0,Calendar!AD$11=""),0,SUMIFS(rngEngine_U,rngEngine_B,INDEX(Team!$A$11:$A$60,$AO35),rngAMStart,"&lt;="&amp;Calendar!AD$11,rngAMEnd,"&gt;="&amp;Calendar!AD$11))</ns0:f>
        <ns0:v>0</ns0:v>
      </ns0:c>
      <ns0:c r="DD35" s="0">
        <ns0:f>IF(OR($AO35=0,$B$5&lt;&gt;"OK",$B$6&gt;0,Calendar!AD$11=""),0,SUMIFS(rngEngine_V,rngEngine_B,INDEX(Team!$A$11:$A$60,$AO35),rngPMStart,"&lt;="&amp;Calendar!AD$11,rngPMEnd,"&gt;="&amp;Calendar!AD$11))</ns0:f>
        <ns0:v>0</ns0:v>
      </ns0:c>
      <ns0:c r="DE35" s="0">
        <ns0:f>IF(OR($AO35=0,$B$5&lt;&gt;"OK",$B$6&gt;0,Calendar!AE$11=""),0,SUMIFS(rngEngine_U,rngEngine_B,INDEX(Team!$A$11:$A$60,$AO35),rngAMStart,"&lt;="&amp;Calendar!AE$11,rngAMEnd,"&gt;="&amp;Calendar!AE$11))</ns0:f>
        <ns0:v>0</ns0:v>
      </ns0:c>
      <ns0:c r="DF35" s="0">
        <ns0:f>IF(OR($AO35=0,$B$5&lt;&gt;"OK",$B$6&gt;0,Calendar!AE$11=""),0,SUMIFS(rngEngine_V,rngEngine_B,INDEX(Team!$A$11:$A$60,$AO35),rngPMStart,"&lt;="&amp;Calendar!AE$11,rngPMEnd,"&gt;="&amp;Calendar!AE$11))</ns0:f>
        <ns0:v>0</ns0:v>
      </ns0:c>
      <ns0:c r="DG35" s="0">
        <ns0:f>IF(OR($AO35=0,$B$5&lt;&gt;"OK",$B$6&gt;0,Calendar!AF$11=""),0,SUMIFS(rngEngine_U,rngEngine_B,INDEX(Team!$A$11:$A$60,$AO35),rngAMStart,"&lt;="&amp;Calendar!AF$11,rngAMEnd,"&gt;="&amp;Calendar!AF$11))</ns0:f>
        <ns0:v>0</ns0:v>
      </ns0:c>
      <ns0:c r="DH35" s="0">
        <ns0:f>IF(OR($AO35=0,$B$5&lt;&gt;"OK",$B$6&gt;0,Calendar!AF$11=""),0,SUMIFS(rngEngine_V,rngEngine_B,INDEX(Team!$A$11:$A$60,$AO35),rngPMStart,"&lt;="&amp;Calendar!AF$11,rngPMEnd,"&gt;="&amp;Calendar!AF$11))</ns0:f>
        <ns0:v>0</ns0:v>
      </ns0:c>
      <ns0:c r="DI35" s="0">
        <ns0:f>IF(OR($AO35=0,$B$5&lt;&gt;"OK",$B$6&gt;0,Calendar!AG$11=""),0,SUMIFS(rngEngine_U,rngEngine_B,INDEX(Team!$A$11:$A$60,$AO35),rngAMStart,"&lt;="&amp;Calendar!AG$11,rngAMEnd,"&gt;="&amp;Calendar!AG$11))</ns0:f>
        <ns0:v>0</ns0:v>
      </ns0:c>
      <ns0:c r="DJ35" s="0">
        <ns0:f>IF(OR($AO35=0,$B$5&lt;&gt;"OK",$B$6&gt;0,Calendar!AG$11=""),0,SUMIFS(rngEngine_V,rngEngine_B,INDEX(Team!$A$11:$A$60,$AO35),rngPMStart,"&lt;="&amp;Calendar!AG$11,rngPMEnd,"&gt;="&amp;Calendar!AG$11))</ns0:f>
        <ns0:v>0</ns0:v>
      </ns0:c>
      <ns0:c r="DK35" s="0">
        <ns0:f>IF(OR($AO35=0,$B$5&lt;&gt;"OK",$B$6&gt;0,Calendar!AH$11=""),0,SUMIFS(rngEngine_U,rngEngine_B,INDEX(Team!$A$11:$A$60,$AO35),rngAMStart,"&lt;="&amp;Calendar!AH$11,rngAMEnd,"&gt;="&amp;Calendar!AH$11))</ns0:f>
        <ns0:v>0</ns0:v>
      </ns0:c>
      <ns0:c r="DL35" s="0">
        <ns0:f>IF(OR($AO35=0,$B$5&lt;&gt;"OK",$B$6&gt;0,Calendar!AH$11=""),0,SUMIFS(rngEngine_V,rngEngine_B,INDEX(Team!$A$11:$A$60,$AO35),rngPMStart,"&lt;="&amp;Calendar!AH$11,rngPMEnd,"&gt;="&amp;Calendar!AH$11))</ns0:f>
        <ns0:v>0</ns0:v>
      </ns0:c>
    </ns0:row>
    <ns0:row r="36" ht="22" customHeight="1">
      <ns0:c r="A36" s="4">
        <ns0:f>IF(COUNTA(Bookings!A36:G36,Bookings!I36)=0,0,1)</ns0:f>
        <ns0:v>0</ns0:v>
      </ns0:c>
      <ns0:c r="B36" s="4">
        <ns0:f>IFERROR(TRIM(MID(Bookings!A36,FIND(" · ",Bookings!A36)+3,99)),"")</ns0:f>
        <ns0:v>99</ns0:v>
      </ns0:c>
      <ns0:c r="C36" s="4">
        <ns0:f>IF(OR(B36="",LEN(B36)&gt;24,ISNUMBER(FIND(" ",B36)),ISNUMBER(FIND("*",B36)),ISNUMBER(FIND("?",B36)),ISNUMBER(FIND("~",B36))),0,IFERROR(MATCH(B36,Team!$A$11:$A$60,0),0))</ns0:f>
        <ns0:v>0</ns0:v>
      </ns0:c>
      <ns0:c r="D36" s="4" t="str">
        <ns0:f>IFERROR(IF(MID(Bookings!F36,LEN(Bookings!F36)-3,3)=" · ",RIGHT(Bookings!F36,1),""),"")</ns0:f>
        <ns0:v/>
      </ns0:c>
      <ns0:c r="E36" s="4" t="str">
        <ns0:f>IFERROR(INDEX(Settings!$H$7:$H$11,MATCH(D36,Settings!$G$7:$G$11,0)),"")</ns0:f>
        <ns0:v/>
      </ns0:c>
      <ns0:c r="F36" s="4" t="str">
        <ns0:f>IF(A36=0,"",IFERROR(IF(OR(B36="",C36=0),"CHECK employee selection",IF(INDEX(Team!$O$11:$O$60,C36)&lt;&gt;"OK","CHECK employee setup",IF(OR('_Dates'!J36=0,'_Dates'!T36=0),"CHECK date: use DD.MM.YYYY",IF('_Dates'!T36&lt;'_Dates'!J36,"CHECK end before start",IF(AND($B$6=0,OR('_Dates'!J36&lt;Settings!$B$7,'_Dates'!T36&gt;Settings!$B$8)),"CHECK split across leave years",IF(OR(NOT(OR('_Dates'!U36="Full day",'_Dates'!U36="AM",'_Dates'!U36="PM")),NOT(OR('_Dates'!V36="Full day",'_Dates'!V36="AM",'_Dates'!V36="PM"))),"CHECK Full day / AM / PM",IF(AND('_Dates'!J36='_Dates'!T36,'_Dates'!U36&lt;&gt;"Full day",'_Dates'!V36&lt;&gt;"Full day",'_Dates'!U36&lt;&gt;'_Dates'!V36),"CHECK same-day portions disagree",IF(AND($B$6=0,OR(AND('_Dates'!U36&lt;&gt;"Full day",'_Dates'!AA36=0),AND('_Dates'!V36&lt;&gt;"Full day",'_Dates'!AB36=0))),"CHECK half-day on non-working date",IF(COUNTIF(Settings!$G$7:$G$11,D36)&lt;&gt;1,"CHECK leave type",IF(AND(Bookings!G36&lt;&gt;"Approved",Bookings!G36&lt;&gt;"Pending",Bookings!G36&lt;&gt;"Cancelled"),"CHECK status","OK")))))))))),"CHECK input"))</ns0:f>
        <ns0:v/>
      </ns0:c>
      <ns0:c r="G36" s="4">
        <ns0:f>IF(OR(F36&lt;&gt;"OK",$B$6&gt;0),0,0.5*(IF(('_Dates'!X36)&lt;('_Dates'!W36),0,INT((('_Dates'!X36)-('_Dates'!W36)+1)/7)*LEN(SUBSTITUTE(W36,"O",""))+LEN(SUBSTITUTE(MID(W36&amp;W36,WEEKDAY(('_Dates'!W36),2),MOD((('_Dates'!X36)-('_Dates'!W36)+1),7)),"O",""))-COUNTIFS(INDEX(AllClosureRows,C36,0),"&gt;="&amp;('_Dates'!W36),INDEX(AllClosureRows,C36,0),"&lt;="&amp;('_Dates'!X36)))+IF(('_Dates'!Z36)&lt;('_Dates'!Y36),0,INT((('_Dates'!Z36)-('_Dates'!Y36)+1)/7)*LEN(SUBSTITUTE(W36,"O",""))+LEN(SUBSTITUTE(MID(W36&amp;W36,WEEKDAY(('_Dates'!Y36),2),MOD((('_Dates'!Z36)-('_Dates'!Y36)+1),7)),"O",""))-COUNTIFS(INDEX(AllClosureRows,C36,0),"&gt;="&amp;('_Dates'!Y36),INDEX(AllClosureRows,C36,0),"&lt;="&amp;('_Dates'!Z36)))))</ns0:f>
        <ns0:v>0</ns0:v>
      </ns0:c>
      <ns0:c r="H36" s="4">
        <ns0:f>IF(OR(F36&lt;&gt;"OK",$B$6&gt;0),0,0.5*(IF((MIN('_Dates'!X36,Settings!$B$9))&lt;('_Dates'!W36),0,INT(((MIN('_Dates'!X36,Settings!$B$9))-('_Dates'!W36)+1)/7)*LEN(SUBSTITUTE(W36,"O",""))+LEN(SUBSTITUTE(MID(W36&amp;W36,WEEKDAY(('_Dates'!W36),2),MOD(((MIN('_Dates'!X36,Settings!$B$9))-('_Dates'!W36)+1),7)),"O",""))-COUNTIFS(INDEX(AllClosureRows,C36,0),"&gt;="&amp;('_Dates'!W36),INDEX(AllClosureRows,C36,0),"&lt;="&amp;(MIN('_Dates'!X36,Settings!$B$9))))+IF((MIN('_Dates'!Z36,Settings!$B$9))&lt;('_Dates'!Y36),0,INT(((MIN('_Dates'!Z36,Settings!$B$9))-('_Dates'!Y36)+1)/7)*LEN(SUBSTITUTE(W36,"O",""))+LEN(SUBSTITUTE(MID(W36&amp;W36,WEEKDAY(('_Dates'!Y36),2),MOD(((MIN('_Dates'!Z36,Settings!$B$9))-('_Dates'!Y36)+1),7)),"O",""))-COUNTIFS(INDEX(AllClosureRows,C36,0),"&gt;="&amp;('_Dates'!Y36),INDEX(AllClosureRows,C36,0),"&lt;="&amp;(MIN('_Dates'!Z36,Settings!$B$9))))))</ns0:f>
        <ns0:v>0</ns0:v>
      </ns0:c>
      <ns0:c r="I36" s="4">
        <ns0:f>MAX(0,G36-H36)</ns0:f>
        <ns0:v>0</ns0:v>
      </ns0:c>
      <ns0:c r="J36" s="4">
        <ns0:f>IF(OR(A36=0,F36&lt;&gt;"OK",Bookings!G36="Cancelled",$B$6&gt;0),0,IF('_Dates'!AC36=1,MAX(0,COUNTIFS(rngEngine_B,B36,rngAMStart,"&lt;="&amp;'_Dates'!X36,rngAMEnd,"&gt;="&amp;'_Dates'!W36,rngAMActive,1,rngEngine_F,"OK",rngBookings_F,"&lt;&gt;Cancelled")-1),0)+IF('_Dates'!AD36=1,MAX(0,COUNTIFS(rngEngine_B,B36,rngPMStart,"&lt;="&amp;'_Dates'!Z36,rngPMEnd,"&gt;="&amp;'_Dates'!Y36,rngPMActive,1,rngEngine_F,"OK",rngBookings_F,"&lt;&gt;Cancelled")-1),0))</ns0:f>
        <ns0:v>0</ns0:v>
      </ns0:c>
      <ns0:c r="K36" s="0" t="str">
        <ns0:f>IF(A36=0,"",IF(F36&lt;&gt;"OK",F36,IF(J36&gt;0,"CHECK overlapping entry",IF(AND($B$6=0,G36&lt;=0,Bookings!G36&lt;&gt;"Cancelled"),"CHECK no working days",IF(Bookings!G36="Cancelled","Cancelled","OK")))))</ns0:f>
        <ns0:v/>
      </ns0:c>
      <ns0:c r="L36" s="0">
        <ns0:f>IF(LEFT(K36,5)="CHECK",1,0)</ns0:f>
        <ns0:v>0</ns0:v>
      </ns0:c>
      <ns0:c r="M36" s="0">
        <ns0:f>IF(AND(L36=1,OR(C36=0,IFERROR(INDEX($X$11:$X$60,C36),0)=0)),1,0)</ns0:f>
        <ns0:v>0</ns0:v>
      </ns0:c>
      <ns0:c r="N36" s="0">
        <ns0:f>IF(OR(A36=0,L36&gt;0,$B$6&gt;0,Bookings!G36="Cancelled"),0,G36)</ns0:f>
        <ns0:v>0</ns0:v>
      </ns0:c>
      <ns0:c r="O36" s="0">
        <ns0:f>IF(AND(Bookings!G36="Approved",E36="Yes"),N36,0)</ns0:f>
        <ns0:v>0</ns0:v>
      </ns0:c>
      <ns0:c r="P36" s="0">
        <ns0:f>IF(AND(Bookings!G36="Approved",E36="Yes",L36=0,$B$6=0),H36,0)</ns0:f>
        <ns0:v>0</ns0:v>
      </ns0:c>
      <ns0:c r="Q36" s="0">
        <ns0:f>IF(AND(Bookings!G36="Approved",E36="Yes",L36=0,$B$6=0),I36,0)</ns0:f>
        <ns0:v>0</ns0:v>
      </ns0:c>
      <ns0:c r="R36" s="0">
        <ns0:f>IF(AND(Bookings!G36="Pending",E36="Yes"),N36,0)</ns0:f>
        <ns0:v>0</ns0:v>
      </ns0:c>
      <ns0:c r="S36" s="0">
        <ns0:f>IF(AND(Bookings!G36="Approved",E36="No"),N36,0)</ns0:f>
        <ns0:v>0</ns0:v>
      </ns0:c>
      <ns0:c r="T36" s="0">
        <ns0:f>IFERROR(MATCH(D36,Settings!$G$7:$G$11,0),0)</ns0:f>
        <ns0:v>0</ns0:v>
      </ns0:c>
      <ns0:c r="U36" s="0">
        <ns0:f>IF(N36&gt;0,T36+IF(Bookings!G36="Pending",10,0),0)</ns0:f>
        <ns0:v>0</ns0:v>
      </ns0:c>
      <ns0:c r="V36" s="0">
        <ns0:f>U36</ns0:f>
        <ns0:v>0</ns0:v>
      </ns0:c>
      <ns0:c r="W36" s="0" t="str">
        <ns0:f>IF(C36=0,"",INDEX($AP$11:$AP$60,C36))</ns0:f>
        <ns0:v/>
      </ns0:c>
      <ns0:c r="X36" s="0">
        <ns0:f>IF(COUNTA(Team!B36:D36)=0,0,1)</ns0:f>
        <ns0:v>0</ns0:v>
      </ns0:c>
      <ns0:c r="Y36" s="0" t="str">
        <ns0:f>IF(X36=0,"",IF(Team!B36="","[Unnamed]",Team!B36)&amp;" · "&amp;Team!A36)</ns0:f>
        <ns0:v/>
      </ns0:c>
      <ns0:c r="Z36" s="0">
        <ns0:f>IF(X36=0,0,COUNTIF(Team!H36:N36,"Work"))</ns0:f>
        <ns0:v>0</ns0:v>
      </ns0:c>
      <ns0:c r="AA36" s="0">
        <ns0:f>IF(LEFT(Team!O36,5)="CHECK",1,0)</ns0:f>
        <ns0:v>0</ns0:v>
      </ns0:c>
      <ns0:c r="AB36" s="0">
        <ns0:f>IF(X36=0,0,SUMIFS(rngEngine_L,rngEngine_B,Team!A36))</ns0:f>
        <ns0:v>0</ns0:v>
      </ns0:c>
      <ns0:c r="AC36" s="0" t="str">
        <ns0:f>IF(AND(X36=1,OR(Calendar!$C$7="All teams",Team!C36=Calendar!$C$7)),MAX($AC$10:AC35)+1,"")</ns0:f>
        <ns0:v/>
      </ns0:c>
      <ns0:c r="AD36" s="0" t="str">
        <ns0:f>IF(OR(X36=0,Team!C36="",COUNTIF(Team!$C$11:C36,Team!C36)&gt;1),"",MAX($AD$10:AD35)+1)</ns0:f>
        <ns0:v/>
      </ns0:c>
      <ns0:c r="AE36" s="0" t="str">
        <ns0:f>IFERROR(INDEX(Team!$C$11:$C$60,MATCH(ROW()-10,$AD$11:$AD$60,0)),"")</ns0:f>
        <ns0:v/>
      </ns0:c>
      <ns0:c r="AF36" s="0" t="str">
        <ns0:f>AE36</ns0:f>
        <ns0:v/>
      </ns0:c>
      <ns0:c r="AG36" s="0">
        <ns0:f>IF(X36=0,0,IFERROR(Team!F36+Team!G36,0))</ns0:f>
        <ns0:v>0</ns0:v>
      </ns0:c>
      <ns0:c r="AH36" s="0">
        <ns0:f>IF(X36=0,0,SUMIFS(rngEngine_P,rngEngine_B,Team!A36))</ns0:f>
        <ns0:v>0</ns0:v>
      </ns0:c>
      <ns0:c r="AI36" s="0">
        <ns0:f>IF(X36=0,0,SUMIFS(rngEngine_Q,rngEngine_B,Team!A36))</ns0:f>
        <ns0:v>0</ns0:v>
      </ns0:c>
      <ns0:c r="AJ36" s="0">
        <ns0:f>IF(X36=0,0,SUMIFS(rngEngine_R,rngEngine_B,Team!A36))</ns0:f>
        <ns0:v>0</ns0:v>
      </ns0:c>
      <ns0:c r="AK36" s="0">
        <ns0:f>IF(X36=0,0,SUMIFS(rngEngine_S,rngEngine_B,Team!A36))</ns0:f>
        <ns0:v>0</ns0:v>
      </ns0:c>
      <ns0:c r="AL36" s="0">
        <ns0:f>AH36+AI36</ns0:f>
        <ns0:v>0</ns0:v>
      </ns0:c>
      <ns0:c r="AM36" s="0" t="str">
        <ns0:f>IF(X36=0,"",IF(AA36&gt;0,"CHECK team setup",IF(AB36&gt;0,"CHECK "&amp;AB36&amp;" booking(s)","OK")))</ns0:f>
        <ns0:v/>
      </ns0:c>
      <ns0:c r="AN36" s="0" t="str">
        <ns0:f>IF(X36=0,"",IF(OR($B$6&gt;0,AM36&lt;&gt;"OK"),"REVIEW",AG36-AL36))</ns0:f>
        <ns0:v/>
      </ns0:c>
      <ns0:c r="AO36" s="0">
        <ns0:f>IFERROR(MATCH(ROW()-11,$AC$11:$AC$60,0),0)</ns0:f>
        <ns0:v>0</ns0:v>
      </ns0:c>
      <ns0:c r="AP36" s="0" t="str">
        <ns0:f>IF(Team!H36="Work","W","O")&amp;IF(Team!I36="Work","W","O")&amp;IF(Team!J36="Work","W","O")&amp;IF(Team!K36="Work","W","O")&amp;IF(Team!L36="Work","W","O")&amp;IF(Team!M36="Work","W","O")&amp;IF(Team!N36="Work","W","O")</ns0:f>
        <ns0:v>WWWWWOO</ns0:v>
      </ns0:c>
      <ns0:c r="AR36" s="0">
        <ns0:f>IFERROR(IF(ISNUMBER(Settings!F36),WEEKDAY(Settings!F36,2),0),0)</ns0:f>
        <ns0:v>0</ns0:v>
      </ns0:c>
      <ns0:c r="BC36" s="0">
        <ns0:f>IF(OR($AO36=0,$B$5&lt;&gt;"OK",$B$6&gt;0,Calendar!D$11=""),0,SUMIFS(rngEngine_U,rngEngine_B,INDEX(Team!$A$11:$A$60,$AO36),rngAMStart,"&lt;="&amp;Calendar!D$11,rngAMEnd,"&gt;="&amp;Calendar!D$11))</ns0:f>
        <ns0:v>0</ns0:v>
      </ns0:c>
      <ns0:c r="BD36" s="0">
        <ns0:f>IF(OR($AO36=0,$B$5&lt;&gt;"OK",$B$6&gt;0,Calendar!D$11=""),0,SUMIFS(rngEngine_V,rngEngine_B,INDEX(Team!$A$11:$A$60,$AO36),rngPMStart,"&lt;="&amp;Calendar!D$11,rngPMEnd,"&gt;="&amp;Calendar!D$11))</ns0:f>
        <ns0:v>0</ns0:v>
      </ns0:c>
      <ns0:c r="BE36" s="0">
        <ns0:f>IF(OR($AO36=0,$B$5&lt;&gt;"OK",$B$6&gt;0,Calendar!E$11=""),0,SUMIFS(rngEngine_U,rngEngine_B,INDEX(Team!$A$11:$A$60,$AO36),rngAMStart,"&lt;="&amp;Calendar!E$11,rngAMEnd,"&gt;="&amp;Calendar!E$11))</ns0:f>
        <ns0:v>0</ns0:v>
      </ns0:c>
      <ns0:c r="BF36" s="0">
        <ns0:f>IF(OR($AO36=0,$B$5&lt;&gt;"OK",$B$6&gt;0,Calendar!E$11=""),0,SUMIFS(rngEngine_V,rngEngine_B,INDEX(Team!$A$11:$A$60,$AO36),rngPMStart,"&lt;="&amp;Calendar!E$11,rngPMEnd,"&gt;="&amp;Calendar!E$11))</ns0:f>
        <ns0:v>0</ns0:v>
      </ns0:c>
      <ns0:c r="BG36" s="0">
        <ns0:f>IF(OR($AO36=0,$B$5&lt;&gt;"OK",$B$6&gt;0,Calendar!F$11=""),0,SUMIFS(rngEngine_U,rngEngine_B,INDEX(Team!$A$11:$A$60,$AO36),rngAMStart,"&lt;="&amp;Calendar!F$11,rngAMEnd,"&gt;="&amp;Calendar!F$11))</ns0:f>
        <ns0:v>0</ns0:v>
      </ns0:c>
      <ns0:c r="BH36" s="0">
        <ns0:f>IF(OR($AO36=0,$B$5&lt;&gt;"OK",$B$6&gt;0,Calendar!F$11=""),0,SUMIFS(rngEngine_V,rngEngine_B,INDEX(Team!$A$11:$A$60,$AO36),rngPMStart,"&lt;="&amp;Calendar!F$11,rngPMEnd,"&gt;="&amp;Calendar!F$11))</ns0:f>
        <ns0:v>0</ns0:v>
      </ns0:c>
      <ns0:c r="BI36" s="0">
        <ns0:f>IF(OR($AO36=0,$B$5&lt;&gt;"OK",$B$6&gt;0,Calendar!G$11=""),0,SUMIFS(rngEngine_U,rngEngine_B,INDEX(Team!$A$11:$A$60,$AO36),rngAMStart,"&lt;="&amp;Calendar!G$11,rngAMEnd,"&gt;="&amp;Calendar!G$11))</ns0:f>
        <ns0:v>0</ns0:v>
      </ns0:c>
      <ns0:c r="BJ36" s="0">
        <ns0:f>IF(OR($AO36=0,$B$5&lt;&gt;"OK",$B$6&gt;0,Calendar!G$11=""),0,SUMIFS(rngEngine_V,rngEngine_B,INDEX(Team!$A$11:$A$60,$AO36),rngPMStart,"&lt;="&amp;Calendar!G$11,rngPMEnd,"&gt;="&amp;Calendar!G$11))</ns0:f>
        <ns0:v>0</ns0:v>
      </ns0:c>
      <ns0:c r="BK36" s="0">
        <ns0:f>IF(OR($AO36=0,$B$5&lt;&gt;"OK",$B$6&gt;0,Calendar!H$11=""),0,SUMIFS(rngEngine_U,rngEngine_B,INDEX(Team!$A$11:$A$60,$AO36),rngAMStart,"&lt;="&amp;Calendar!H$11,rngAMEnd,"&gt;="&amp;Calendar!H$11))</ns0:f>
        <ns0:v>0</ns0:v>
      </ns0:c>
      <ns0:c r="BL36" s="0">
        <ns0:f>IF(OR($AO36=0,$B$5&lt;&gt;"OK",$B$6&gt;0,Calendar!H$11=""),0,SUMIFS(rngEngine_V,rngEngine_B,INDEX(Team!$A$11:$A$60,$AO36),rngPMStart,"&lt;="&amp;Calendar!H$11,rngPMEnd,"&gt;="&amp;Calendar!H$11))</ns0:f>
        <ns0:v>0</ns0:v>
      </ns0:c>
      <ns0:c r="BM36" s="0">
        <ns0:f>IF(OR($AO36=0,$B$5&lt;&gt;"OK",$B$6&gt;0,Calendar!I$11=""),0,SUMIFS(rngEngine_U,rngEngine_B,INDEX(Team!$A$11:$A$60,$AO36),rngAMStart,"&lt;="&amp;Calendar!I$11,rngAMEnd,"&gt;="&amp;Calendar!I$11))</ns0:f>
        <ns0:v>0</ns0:v>
      </ns0:c>
      <ns0:c r="BN36" s="0">
        <ns0:f>IF(OR($AO36=0,$B$5&lt;&gt;"OK",$B$6&gt;0,Calendar!I$11=""),0,SUMIFS(rngEngine_V,rngEngine_B,INDEX(Team!$A$11:$A$60,$AO36),rngPMStart,"&lt;="&amp;Calendar!I$11,rngPMEnd,"&gt;="&amp;Calendar!I$11))</ns0:f>
        <ns0:v>0</ns0:v>
      </ns0:c>
      <ns0:c r="BO36" s="0">
        <ns0:f>IF(OR($AO36=0,$B$5&lt;&gt;"OK",$B$6&gt;0,Calendar!J$11=""),0,SUMIFS(rngEngine_U,rngEngine_B,INDEX(Team!$A$11:$A$60,$AO36),rngAMStart,"&lt;="&amp;Calendar!J$11,rngAMEnd,"&gt;="&amp;Calendar!J$11))</ns0:f>
        <ns0:v>0</ns0:v>
      </ns0:c>
      <ns0:c r="BP36" s="0">
        <ns0:f>IF(OR($AO36=0,$B$5&lt;&gt;"OK",$B$6&gt;0,Calendar!J$11=""),0,SUMIFS(rngEngine_V,rngEngine_B,INDEX(Team!$A$11:$A$60,$AO36),rngPMStart,"&lt;="&amp;Calendar!J$11,rngPMEnd,"&gt;="&amp;Calendar!J$11))</ns0:f>
        <ns0:v>0</ns0:v>
      </ns0:c>
      <ns0:c r="BQ36" s="0">
        <ns0:f>IF(OR($AO36=0,$B$5&lt;&gt;"OK",$B$6&gt;0,Calendar!K$11=""),0,SUMIFS(rngEngine_U,rngEngine_B,INDEX(Team!$A$11:$A$60,$AO36),rngAMStart,"&lt;="&amp;Calendar!K$11,rngAMEnd,"&gt;="&amp;Calendar!K$11))</ns0:f>
        <ns0:v>0</ns0:v>
      </ns0:c>
      <ns0:c r="BR36" s="0">
        <ns0:f>IF(OR($AO36=0,$B$5&lt;&gt;"OK",$B$6&gt;0,Calendar!K$11=""),0,SUMIFS(rngEngine_V,rngEngine_B,INDEX(Team!$A$11:$A$60,$AO36),rngPMStart,"&lt;="&amp;Calendar!K$11,rngPMEnd,"&gt;="&amp;Calendar!K$11))</ns0:f>
        <ns0:v>0</ns0:v>
      </ns0:c>
      <ns0:c r="BS36" s="0">
        <ns0:f>IF(OR($AO36=0,$B$5&lt;&gt;"OK",$B$6&gt;0,Calendar!L$11=""),0,SUMIFS(rngEngine_U,rngEngine_B,INDEX(Team!$A$11:$A$60,$AO36),rngAMStart,"&lt;="&amp;Calendar!L$11,rngAMEnd,"&gt;="&amp;Calendar!L$11))</ns0:f>
        <ns0:v>0</ns0:v>
      </ns0:c>
      <ns0:c r="BT36" s="0">
        <ns0:f>IF(OR($AO36=0,$B$5&lt;&gt;"OK",$B$6&gt;0,Calendar!L$11=""),0,SUMIFS(rngEngine_V,rngEngine_B,INDEX(Team!$A$11:$A$60,$AO36),rngPMStart,"&lt;="&amp;Calendar!L$11,rngPMEnd,"&gt;="&amp;Calendar!L$11))</ns0:f>
        <ns0:v>0</ns0:v>
      </ns0:c>
      <ns0:c r="BU36" s="0">
        <ns0:f>IF(OR($AO36=0,$B$5&lt;&gt;"OK",$B$6&gt;0,Calendar!M$11=""),0,SUMIFS(rngEngine_U,rngEngine_B,INDEX(Team!$A$11:$A$60,$AO36),rngAMStart,"&lt;="&amp;Calendar!M$11,rngAMEnd,"&gt;="&amp;Calendar!M$11))</ns0:f>
        <ns0:v>0</ns0:v>
      </ns0:c>
      <ns0:c r="BV36" s="0">
        <ns0:f>IF(OR($AO36=0,$B$5&lt;&gt;"OK",$B$6&gt;0,Calendar!M$11=""),0,SUMIFS(rngEngine_V,rngEngine_B,INDEX(Team!$A$11:$A$60,$AO36),rngPMStart,"&lt;="&amp;Calendar!M$11,rngPMEnd,"&gt;="&amp;Calendar!M$11))</ns0:f>
        <ns0:v>0</ns0:v>
      </ns0:c>
      <ns0:c r="BW36" s="0">
        <ns0:f>IF(OR($AO36=0,$B$5&lt;&gt;"OK",$B$6&gt;0,Calendar!N$11=""),0,SUMIFS(rngEngine_U,rngEngine_B,INDEX(Team!$A$11:$A$60,$AO36),rngAMStart,"&lt;="&amp;Calendar!N$11,rngAMEnd,"&gt;="&amp;Calendar!N$11))</ns0:f>
        <ns0:v>0</ns0:v>
      </ns0:c>
      <ns0:c r="BX36" s="0">
        <ns0:f>IF(OR($AO36=0,$B$5&lt;&gt;"OK",$B$6&gt;0,Calendar!N$11=""),0,SUMIFS(rngEngine_V,rngEngine_B,INDEX(Team!$A$11:$A$60,$AO36),rngPMStart,"&lt;="&amp;Calendar!N$11,rngPMEnd,"&gt;="&amp;Calendar!N$11))</ns0:f>
        <ns0:v>0</ns0:v>
      </ns0:c>
      <ns0:c r="BY36" s="0">
        <ns0:f>IF(OR($AO36=0,$B$5&lt;&gt;"OK",$B$6&gt;0,Calendar!O$11=""),0,SUMIFS(rngEngine_U,rngEngine_B,INDEX(Team!$A$11:$A$60,$AO36),rngAMStart,"&lt;="&amp;Calendar!O$11,rngAMEnd,"&gt;="&amp;Calendar!O$11))</ns0:f>
        <ns0:v>0</ns0:v>
      </ns0:c>
      <ns0:c r="BZ36" s="0">
        <ns0:f>IF(OR($AO36=0,$B$5&lt;&gt;"OK",$B$6&gt;0,Calendar!O$11=""),0,SUMIFS(rngEngine_V,rngEngine_B,INDEX(Team!$A$11:$A$60,$AO36),rngPMStart,"&lt;="&amp;Calendar!O$11,rngPMEnd,"&gt;="&amp;Calendar!O$11))</ns0:f>
        <ns0:v>0</ns0:v>
      </ns0:c>
      <ns0:c r="CA36" s="0">
        <ns0:f>IF(OR($AO36=0,$B$5&lt;&gt;"OK",$B$6&gt;0,Calendar!P$11=""),0,SUMIFS(rngEngine_U,rngEngine_B,INDEX(Team!$A$11:$A$60,$AO36),rngAMStart,"&lt;="&amp;Calendar!P$11,rngAMEnd,"&gt;="&amp;Calendar!P$11))</ns0:f>
        <ns0:v>0</ns0:v>
      </ns0:c>
      <ns0:c r="CB36" s="0">
        <ns0:f>IF(OR($AO36=0,$B$5&lt;&gt;"OK",$B$6&gt;0,Calendar!P$11=""),0,SUMIFS(rngEngine_V,rngEngine_B,INDEX(Team!$A$11:$A$60,$AO36),rngPMStart,"&lt;="&amp;Calendar!P$11,rngPMEnd,"&gt;="&amp;Calendar!P$11))</ns0:f>
        <ns0:v>0</ns0:v>
      </ns0:c>
      <ns0:c r="CC36" s="0">
        <ns0:f>IF(OR($AO36=0,$B$5&lt;&gt;"OK",$B$6&gt;0,Calendar!Q$11=""),0,SUMIFS(rngEngine_U,rngEngine_B,INDEX(Team!$A$11:$A$60,$AO36),rngAMStart,"&lt;="&amp;Calendar!Q$11,rngAMEnd,"&gt;="&amp;Calendar!Q$11))</ns0:f>
        <ns0:v>0</ns0:v>
      </ns0:c>
      <ns0:c r="CD36" s="0">
        <ns0:f>IF(OR($AO36=0,$B$5&lt;&gt;"OK",$B$6&gt;0,Calendar!Q$11=""),0,SUMIFS(rngEngine_V,rngEngine_B,INDEX(Team!$A$11:$A$60,$AO36),rngPMStart,"&lt;="&amp;Calendar!Q$11,rngPMEnd,"&gt;="&amp;Calendar!Q$11))</ns0:f>
        <ns0:v>0</ns0:v>
      </ns0:c>
      <ns0:c r="CE36" s="0">
        <ns0:f>IF(OR($AO36=0,$B$5&lt;&gt;"OK",$B$6&gt;0,Calendar!R$11=""),0,SUMIFS(rngEngine_U,rngEngine_B,INDEX(Team!$A$11:$A$60,$AO36),rngAMStart,"&lt;="&amp;Calendar!R$11,rngAMEnd,"&gt;="&amp;Calendar!R$11))</ns0:f>
        <ns0:v>0</ns0:v>
      </ns0:c>
      <ns0:c r="CF36" s="0">
        <ns0:f>IF(OR($AO36=0,$B$5&lt;&gt;"OK",$B$6&gt;0,Calendar!R$11=""),0,SUMIFS(rngEngine_V,rngEngine_B,INDEX(Team!$A$11:$A$60,$AO36),rngPMStart,"&lt;="&amp;Calendar!R$11,rngPMEnd,"&gt;="&amp;Calendar!R$11))</ns0:f>
        <ns0:v>0</ns0:v>
      </ns0:c>
      <ns0:c r="CG36" s="0">
        <ns0:f>IF(OR($AO36=0,$B$5&lt;&gt;"OK",$B$6&gt;0,Calendar!S$11=""),0,SUMIFS(rngEngine_U,rngEngine_B,INDEX(Team!$A$11:$A$60,$AO36),rngAMStart,"&lt;="&amp;Calendar!S$11,rngAMEnd,"&gt;="&amp;Calendar!S$11))</ns0:f>
        <ns0:v>0</ns0:v>
      </ns0:c>
      <ns0:c r="CH36" s="0">
        <ns0:f>IF(OR($AO36=0,$B$5&lt;&gt;"OK",$B$6&gt;0,Calendar!S$11=""),0,SUMIFS(rngEngine_V,rngEngine_B,INDEX(Team!$A$11:$A$60,$AO36),rngPMStart,"&lt;="&amp;Calendar!S$11,rngPMEnd,"&gt;="&amp;Calendar!S$11))</ns0:f>
        <ns0:v>0</ns0:v>
      </ns0:c>
      <ns0:c r="CI36" s="0">
        <ns0:f>IF(OR($AO36=0,$B$5&lt;&gt;"OK",$B$6&gt;0,Calendar!T$11=""),0,SUMIFS(rngEngine_U,rngEngine_B,INDEX(Team!$A$11:$A$60,$AO36),rngAMStart,"&lt;="&amp;Calendar!T$11,rngAMEnd,"&gt;="&amp;Calendar!T$11))</ns0:f>
        <ns0:v>0</ns0:v>
      </ns0:c>
      <ns0:c r="CJ36" s="0">
        <ns0:f>IF(OR($AO36=0,$B$5&lt;&gt;"OK",$B$6&gt;0,Calendar!T$11=""),0,SUMIFS(rngEngine_V,rngEngine_B,INDEX(Team!$A$11:$A$60,$AO36),rngPMStart,"&lt;="&amp;Calendar!T$11,rngPMEnd,"&gt;="&amp;Calendar!T$11))</ns0:f>
        <ns0:v>0</ns0:v>
      </ns0:c>
      <ns0:c r="CK36" s="0">
        <ns0:f>IF(OR($AO36=0,$B$5&lt;&gt;"OK",$B$6&gt;0,Calendar!U$11=""),0,SUMIFS(rngEngine_U,rngEngine_B,INDEX(Team!$A$11:$A$60,$AO36),rngAMStart,"&lt;="&amp;Calendar!U$11,rngAMEnd,"&gt;="&amp;Calendar!U$11))</ns0:f>
        <ns0:v>0</ns0:v>
      </ns0:c>
      <ns0:c r="CL36" s="0">
        <ns0:f>IF(OR($AO36=0,$B$5&lt;&gt;"OK",$B$6&gt;0,Calendar!U$11=""),0,SUMIFS(rngEngine_V,rngEngine_B,INDEX(Team!$A$11:$A$60,$AO36),rngPMStart,"&lt;="&amp;Calendar!U$11,rngPMEnd,"&gt;="&amp;Calendar!U$11))</ns0:f>
        <ns0:v>0</ns0:v>
      </ns0:c>
      <ns0:c r="CM36" s="0">
        <ns0:f>IF(OR($AO36=0,$B$5&lt;&gt;"OK",$B$6&gt;0,Calendar!V$11=""),0,SUMIFS(rngEngine_U,rngEngine_B,INDEX(Team!$A$11:$A$60,$AO36),rngAMStart,"&lt;="&amp;Calendar!V$11,rngAMEnd,"&gt;="&amp;Calendar!V$11))</ns0:f>
        <ns0:v>0</ns0:v>
      </ns0:c>
      <ns0:c r="CN36" s="0">
        <ns0:f>IF(OR($AO36=0,$B$5&lt;&gt;"OK",$B$6&gt;0,Calendar!V$11=""),0,SUMIFS(rngEngine_V,rngEngine_B,INDEX(Team!$A$11:$A$60,$AO36),rngPMStart,"&lt;="&amp;Calendar!V$11,rngPMEnd,"&gt;="&amp;Calendar!V$11))</ns0:f>
        <ns0:v>0</ns0:v>
      </ns0:c>
      <ns0:c r="CO36" s="0">
        <ns0:f>IF(OR($AO36=0,$B$5&lt;&gt;"OK",$B$6&gt;0,Calendar!W$11=""),0,SUMIFS(rngEngine_U,rngEngine_B,INDEX(Team!$A$11:$A$60,$AO36),rngAMStart,"&lt;="&amp;Calendar!W$11,rngAMEnd,"&gt;="&amp;Calendar!W$11))</ns0:f>
        <ns0:v>0</ns0:v>
      </ns0:c>
      <ns0:c r="CP36" s="0">
        <ns0:f>IF(OR($AO36=0,$B$5&lt;&gt;"OK",$B$6&gt;0,Calendar!W$11=""),0,SUMIFS(rngEngine_V,rngEngine_B,INDEX(Team!$A$11:$A$60,$AO36),rngPMStart,"&lt;="&amp;Calendar!W$11,rngPMEnd,"&gt;="&amp;Calendar!W$11))</ns0:f>
        <ns0:v>0</ns0:v>
      </ns0:c>
      <ns0:c r="CQ36" s="0">
        <ns0:f>IF(OR($AO36=0,$B$5&lt;&gt;"OK",$B$6&gt;0,Calendar!X$11=""),0,SUMIFS(rngEngine_U,rngEngine_B,INDEX(Team!$A$11:$A$60,$AO36),rngAMStart,"&lt;="&amp;Calendar!X$11,rngAMEnd,"&gt;="&amp;Calendar!X$11))</ns0:f>
        <ns0:v>0</ns0:v>
      </ns0:c>
      <ns0:c r="CR36" s="0">
        <ns0:f>IF(OR($AO36=0,$B$5&lt;&gt;"OK",$B$6&gt;0,Calendar!X$11=""),0,SUMIFS(rngEngine_V,rngEngine_B,INDEX(Team!$A$11:$A$60,$AO36),rngPMStart,"&lt;="&amp;Calendar!X$11,rngPMEnd,"&gt;="&amp;Calendar!X$11))</ns0:f>
        <ns0:v>0</ns0:v>
      </ns0:c>
      <ns0:c r="CS36" s="0">
        <ns0:f>IF(OR($AO36=0,$B$5&lt;&gt;"OK",$B$6&gt;0,Calendar!Y$11=""),0,SUMIFS(rngEngine_U,rngEngine_B,INDEX(Team!$A$11:$A$60,$AO36),rngAMStart,"&lt;="&amp;Calendar!Y$11,rngAMEnd,"&gt;="&amp;Calendar!Y$11))</ns0:f>
        <ns0:v>0</ns0:v>
      </ns0:c>
      <ns0:c r="CT36" s="0">
        <ns0:f>IF(OR($AO36=0,$B$5&lt;&gt;"OK",$B$6&gt;0,Calendar!Y$11=""),0,SUMIFS(rngEngine_V,rngEngine_B,INDEX(Team!$A$11:$A$60,$AO36),rngPMStart,"&lt;="&amp;Calendar!Y$11,rngPMEnd,"&gt;="&amp;Calendar!Y$11))</ns0:f>
        <ns0:v>0</ns0:v>
      </ns0:c>
      <ns0:c r="CU36" s="0">
        <ns0:f>IF(OR($AO36=0,$B$5&lt;&gt;"OK",$B$6&gt;0,Calendar!Z$11=""),0,SUMIFS(rngEngine_U,rngEngine_B,INDEX(Team!$A$11:$A$60,$AO36),rngAMStart,"&lt;="&amp;Calendar!Z$11,rngAMEnd,"&gt;="&amp;Calendar!Z$11))</ns0:f>
        <ns0:v>0</ns0:v>
      </ns0:c>
      <ns0:c r="CV36" s="0">
        <ns0:f>IF(OR($AO36=0,$B$5&lt;&gt;"OK",$B$6&gt;0,Calendar!Z$11=""),0,SUMIFS(rngEngine_V,rngEngine_B,INDEX(Team!$A$11:$A$60,$AO36),rngPMStart,"&lt;="&amp;Calendar!Z$11,rngPMEnd,"&gt;="&amp;Calendar!Z$11))</ns0:f>
        <ns0:v>0</ns0:v>
      </ns0:c>
      <ns0:c r="CW36" s="0">
        <ns0:f>IF(OR($AO36=0,$B$5&lt;&gt;"OK",$B$6&gt;0,Calendar!AA$11=""),0,SUMIFS(rngEngine_U,rngEngine_B,INDEX(Team!$A$11:$A$60,$AO36),rngAMStart,"&lt;="&amp;Calendar!AA$11,rngAMEnd,"&gt;="&amp;Calendar!AA$11))</ns0:f>
        <ns0:v>0</ns0:v>
      </ns0:c>
      <ns0:c r="CX36" s="0">
        <ns0:f>IF(OR($AO36=0,$B$5&lt;&gt;"OK",$B$6&gt;0,Calendar!AA$11=""),0,SUMIFS(rngEngine_V,rngEngine_B,INDEX(Team!$A$11:$A$60,$AO36),rngPMStart,"&lt;="&amp;Calendar!AA$11,rngPMEnd,"&gt;="&amp;Calendar!AA$11))</ns0:f>
        <ns0:v>0</ns0:v>
      </ns0:c>
      <ns0:c r="CY36" s="0">
        <ns0:f>IF(OR($AO36=0,$B$5&lt;&gt;"OK",$B$6&gt;0,Calendar!AB$11=""),0,SUMIFS(rngEngine_U,rngEngine_B,INDEX(Team!$A$11:$A$60,$AO36),rngAMStart,"&lt;="&amp;Calendar!AB$11,rngAMEnd,"&gt;="&amp;Calendar!AB$11))</ns0:f>
        <ns0:v>0</ns0:v>
      </ns0:c>
      <ns0:c r="CZ36" s="0">
        <ns0:f>IF(OR($AO36=0,$B$5&lt;&gt;"OK",$B$6&gt;0,Calendar!AB$11=""),0,SUMIFS(rngEngine_V,rngEngine_B,INDEX(Team!$A$11:$A$60,$AO36),rngPMStart,"&lt;="&amp;Calendar!AB$11,rngPMEnd,"&gt;="&amp;Calendar!AB$11))</ns0:f>
        <ns0:v>0</ns0:v>
      </ns0:c>
      <ns0:c r="DA36" s="0">
        <ns0:f>IF(OR($AO36=0,$B$5&lt;&gt;"OK",$B$6&gt;0,Calendar!AC$11=""),0,SUMIFS(rngEngine_U,rngEngine_B,INDEX(Team!$A$11:$A$60,$AO36),rngAMStart,"&lt;="&amp;Calendar!AC$11,rngAMEnd,"&gt;="&amp;Calendar!AC$11))</ns0:f>
        <ns0:v>0</ns0:v>
      </ns0:c>
      <ns0:c r="DB36" s="0">
        <ns0:f>IF(OR($AO36=0,$B$5&lt;&gt;"OK",$B$6&gt;0,Calendar!AC$11=""),0,SUMIFS(rngEngine_V,rngEngine_B,INDEX(Team!$A$11:$A$60,$AO36),rngPMStart,"&lt;="&amp;Calendar!AC$11,rngPMEnd,"&gt;="&amp;Calendar!AC$11))</ns0:f>
        <ns0:v>0</ns0:v>
      </ns0:c>
      <ns0:c r="DC36" s="0">
        <ns0:f>IF(OR($AO36=0,$B$5&lt;&gt;"OK",$B$6&gt;0,Calendar!AD$11=""),0,SUMIFS(rngEngine_U,rngEngine_B,INDEX(Team!$A$11:$A$60,$AO36),rngAMStart,"&lt;="&amp;Calendar!AD$11,rngAMEnd,"&gt;="&amp;Calendar!AD$11))</ns0:f>
        <ns0:v>0</ns0:v>
      </ns0:c>
      <ns0:c r="DD36" s="0">
        <ns0:f>IF(OR($AO36=0,$B$5&lt;&gt;"OK",$B$6&gt;0,Calendar!AD$11=""),0,SUMIFS(rngEngine_V,rngEngine_B,INDEX(Team!$A$11:$A$60,$AO36),rngPMStart,"&lt;="&amp;Calendar!AD$11,rngPMEnd,"&gt;="&amp;Calendar!AD$11))</ns0:f>
        <ns0:v>0</ns0:v>
      </ns0:c>
      <ns0:c r="DE36" s="0">
        <ns0:f>IF(OR($AO36=0,$B$5&lt;&gt;"OK",$B$6&gt;0,Calendar!AE$11=""),0,SUMIFS(rngEngine_U,rngEngine_B,INDEX(Team!$A$11:$A$60,$AO36),rngAMStart,"&lt;="&amp;Calendar!AE$11,rngAMEnd,"&gt;="&amp;Calendar!AE$11))</ns0:f>
        <ns0:v>0</ns0:v>
      </ns0:c>
      <ns0:c r="DF36" s="0">
        <ns0:f>IF(OR($AO36=0,$B$5&lt;&gt;"OK",$B$6&gt;0,Calendar!AE$11=""),0,SUMIFS(rngEngine_V,rngEngine_B,INDEX(Team!$A$11:$A$60,$AO36),rngPMStart,"&lt;="&amp;Calendar!AE$11,rngPMEnd,"&gt;="&amp;Calendar!AE$11))</ns0:f>
        <ns0:v>0</ns0:v>
      </ns0:c>
      <ns0:c r="DG36" s="0">
        <ns0:f>IF(OR($AO36=0,$B$5&lt;&gt;"OK",$B$6&gt;0,Calendar!AF$11=""),0,SUMIFS(rngEngine_U,rngEngine_B,INDEX(Team!$A$11:$A$60,$AO36),rngAMStart,"&lt;="&amp;Calendar!AF$11,rngAMEnd,"&gt;="&amp;Calendar!AF$11))</ns0:f>
        <ns0:v>0</ns0:v>
      </ns0:c>
      <ns0:c r="DH36" s="0">
        <ns0:f>IF(OR($AO36=0,$B$5&lt;&gt;"OK",$B$6&gt;0,Calendar!AF$11=""),0,SUMIFS(rngEngine_V,rngEngine_B,INDEX(Team!$A$11:$A$60,$AO36),rngPMStart,"&lt;="&amp;Calendar!AF$11,rngPMEnd,"&gt;="&amp;Calendar!AF$11))</ns0:f>
        <ns0:v>0</ns0:v>
      </ns0:c>
      <ns0:c r="DI36" s="0">
        <ns0:f>IF(OR($AO36=0,$B$5&lt;&gt;"OK",$B$6&gt;0,Calendar!AG$11=""),0,SUMIFS(rngEngine_U,rngEngine_B,INDEX(Team!$A$11:$A$60,$AO36),rngAMStart,"&lt;="&amp;Calendar!AG$11,rngAMEnd,"&gt;="&amp;Calendar!AG$11))</ns0:f>
        <ns0:v>0</ns0:v>
      </ns0:c>
      <ns0:c r="DJ36" s="0">
        <ns0:f>IF(OR($AO36=0,$B$5&lt;&gt;"OK",$B$6&gt;0,Calendar!AG$11=""),0,SUMIFS(rngEngine_V,rngEngine_B,INDEX(Team!$A$11:$A$60,$AO36),rngPMStart,"&lt;="&amp;Calendar!AG$11,rngPMEnd,"&gt;="&amp;Calendar!AG$11))</ns0:f>
        <ns0:v>0</ns0:v>
      </ns0:c>
      <ns0:c r="DK36" s="0">
        <ns0:f>IF(OR($AO36=0,$B$5&lt;&gt;"OK",$B$6&gt;0,Calendar!AH$11=""),0,SUMIFS(rngEngine_U,rngEngine_B,INDEX(Team!$A$11:$A$60,$AO36),rngAMStart,"&lt;="&amp;Calendar!AH$11,rngAMEnd,"&gt;="&amp;Calendar!AH$11))</ns0:f>
        <ns0:v>0</ns0:v>
      </ns0:c>
      <ns0:c r="DL36" s="0">
        <ns0:f>IF(OR($AO36=0,$B$5&lt;&gt;"OK",$B$6&gt;0,Calendar!AH$11=""),0,SUMIFS(rngEngine_V,rngEngine_B,INDEX(Team!$A$11:$A$60,$AO36),rngPMStart,"&lt;="&amp;Calendar!AH$11,rngPMEnd,"&gt;="&amp;Calendar!AH$11))</ns0:f>
        <ns0:v>0</ns0:v>
      </ns0:c>
    </ns0:row>
    <ns0:row r="37" ht="22" customHeight="1">
      <ns0:c r="A37" s="4">
        <ns0:f>IF(COUNTA(Bookings!A37:G37,Bookings!I37)=0,0,1)</ns0:f>
        <ns0:v>0</ns0:v>
      </ns0:c>
      <ns0:c r="B37" s="4">
        <ns0:f>IFERROR(TRIM(MID(Bookings!A37,FIND(" · ",Bookings!A37)+3,99)),"")</ns0:f>
        <ns0:v>99</ns0:v>
      </ns0:c>
      <ns0:c r="C37" s="4">
        <ns0:f>IF(OR(B37="",LEN(B37)&gt;24,ISNUMBER(FIND(" ",B37)),ISNUMBER(FIND("*",B37)),ISNUMBER(FIND("?",B37)),ISNUMBER(FIND("~",B37))),0,IFERROR(MATCH(B37,Team!$A$11:$A$60,0),0))</ns0:f>
        <ns0:v>0</ns0:v>
      </ns0:c>
      <ns0:c r="D37" s="4" t="str">
        <ns0:f>IFERROR(IF(MID(Bookings!F37,LEN(Bookings!F37)-3,3)=" · ",RIGHT(Bookings!F37,1),""),"")</ns0:f>
        <ns0:v/>
      </ns0:c>
      <ns0:c r="E37" s="4" t="str">
        <ns0:f>IFERROR(INDEX(Settings!$H$7:$H$11,MATCH(D37,Settings!$G$7:$G$11,0)),"")</ns0:f>
        <ns0:v/>
      </ns0:c>
      <ns0:c r="F37" s="4" t="str">
        <ns0:f>IF(A37=0,"",IFERROR(IF(OR(B37="",C37=0),"CHECK employee selection",IF(INDEX(Team!$O$11:$O$60,C37)&lt;&gt;"OK","CHECK employee setup",IF(OR('_Dates'!J37=0,'_Dates'!T37=0),"CHECK date: use DD.MM.YYYY",IF('_Dates'!T37&lt;'_Dates'!J37,"CHECK end before start",IF(AND($B$6=0,OR('_Dates'!J37&lt;Settings!$B$7,'_Dates'!T37&gt;Settings!$B$8)),"CHECK split across leave years",IF(OR(NOT(OR('_Dates'!U37="Full day",'_Dates'!U37="AM",'_Dates'!U37="PM")),NOT(OR('_Dates'!V37="Full day",'_Dates'!V37="AM",'_Dates'!V37="PM"))),"CHECK Full day / AM / PM",IF(AND('_Dates'!J37='_Dates'!T37,'_Dates'!U37&lt;&gt;"Full day",'_Dates'!V37&lt;&gt;"Full day",'_Dates'!U37&lt;&gt;'_Dates'!V37),"CHECK same-day portions disagree",IF(AND($B$6=0,OR(AND('_Dates'!U37&lt;&gt;"Full day",'_Dates'!AA37=0),AND('_Dates'!V37&lt;&gt;"Full day",'_Dates'!AB37=0))),"CHECK half-day on non-working date",IF(COUNTIF(Settings!$G$7:$G$11,D37)&lt;&gt;1,"CHECK leave type",IF(AND(Bookings!G37&lt;&gt;"Approved",Bookings!G37&lt;&gt;"Pending",Bookings!G37&lt;&gt;"Cancelled"),"CHECK status","OK")))))))))),"CHECK input"))</ns0:f>
        <ns0:v/>
      </ns0:c>
      <ns0:c r="G37" s="4">
        <ns0:f>IF(OR(F37&lt;&gt;"OK",$B$6&gt;0),0,0.5*(IF(('_Dates'!X37)&lt;('_Dates'!W37),0,INT((('_Dates'!X37)-('_Dates'!W37)+1)/7)*LEN(SUBSTITUTE(W37,"O",""))+LEN(SUBSTITUTE(MID(W37&amp;W37,WEEKDAY(('_Dates'!W37),2),MOD((('_Dates'!X37)-('_Dates'!W37)+1),7)),"O",""))-COUNTIFS(INDEX(AllClosureRows,C37,0),"&gt;="&amp;('_Dates'!W37),INDEX(AllClosureRows,C37,0),"&lt;="&amp;('_Dates'!X37)))+IF(('_Dates'!Z37)&lt;('_Dates'!Y37),0,INT((('_Dates'!Z37)-('_Dates'!Y37)+1)/7)*LEN(SUBSTITUTE(W37,"O",""))+LEN(SUBSTITUTE(MID(W37&amp;W37,WEEKDAY(('_Dates'!Y37),2),MOD((('_Dates'!Z37)-('_Dates'!Y37)+1),7)),"O",""))-COUNTIFS(INDEX(AllClosureRows,C37,0),"&gt;="&amp;('_Dates'!Y37),INDEX(AllClosureRows,C37,0),"&lt;="&amp;('_Dates'!Z37)))))</ns0:f>
        <ns0:v>0</ns0:v>
      </ns0:c>
      <ns0:c r="H37" s="4">
        <ns0:f>IF(OR(F37&lt;&gt;"OK",$B$6&gt;0),0,0.5*(IF((MIN('_Dates'!X37,Settings!$B$9))&lt;('_Dates'!W37),0,INT(((MIN('_Dates'!X37,Settings!$B$9))-('_Dates'!W37)+1)/7)*LEN(SUBSTITUTE(W37,"O",""))+LEN(SUBSTITUTE(MID(W37&amp;W37,WEEKDAY(('_Dates'!W37),2),MOD(((MIN('_Dates'!X37,Settings!$B$9))-('_Dates'!W37)+1),7)),"O",""))-COUNTIFS(INDEX(AllClosureRows,C37,0),"&gt;="&amp;('_Dates'!W37),INDEX(AllClosureRows,C37,0),"&lt;="&amp;(MIN('_Dates'!X37,Settings!$B$9))))+IF((MIN('_Dates'!Z37,Settings!$B$9))&lt;('_Dates'!Y37),0,INT(((MIN('_Dates'!Z37,Settings!$B$9))-('_Dates'!Y37)+1)/7)*LEN(SUBSTITUTE(W37,"O",""))+LEN(SUBSTITUTE(MID(W37&amp;W37,WEEKDAY(('_Dates'!Y37),2),MOD(((MIN('_Dates'!Z37,Settings!$B$9))-('_Dates'!Y37)+1),7)),"O",""))-COUNTIFS(INDEX(AllClosureRows,C37,0),"&gt;="&amp;('_Dates'!Y37),INDEX(AllClosureRows,C37,0),"&lt;="&amp;(MIN('_Dates'!Z37,Settings!$B$9))))))</ns0:f>
        <ns0:v>0</ns0:v>
      </ns0:c>
      <ns0:c r="I37" s="4">
        <ns0:f>MAX(0,G37-H37)</ns0:f>
        <ns0:v>0</ns0:v>
      </ns0:c>
      <ns0:c r="J37" s="4">
        <ns0:f>IF(OR(A37=0,F37&lt;&gt;"OK",Bookings!G37="Cancelled",$B$6&gt;0),0,IF('_Dates'!AC37=1,MAX(0,COUNTIFS(rngEngine_B,B37,rngAMStart,"&lt;="&amp;'_Dates'!X37,rngAMEnd,"&gt;="&amp;'_Dates'!W37,rngAMActive,1,rngEngine_F,"OK",rngBookings_F,"&lt;&gt;Cancelled")-1),0)+IF('_Dates'!AD37=1,MAX(0,COUNTIFS(rngEngine_B,B37,rngPMStart,"&lt;="&amp;'_Dates'!Z37,rngPMEnd,"&gt;="&amp;'_Dates'!Y37,rngPMActive,1,rngEngine_F,"OK",rngBookings_F,"&lt;&gt;Cancelled")-1),0))</ns0:f>
        <ns0:v>0</ns0:v>
      </ns0:c>
      <ns0:c r="K37" s="0" t="str">
        <ns0:f>IF(A37=0,"",IF(F37&lt;&gt;"OK",F37,IF(J37&gt;0,"CHECK overlapping entry",IF(AND($B$6=0,G37&lt;=0,Bookings!G37&lt;&gt;"Cancelled"),"CHECK no working days",IF(Bookings!G37="Cancelled","Cancelled","OK")))))</ns0:f>
        <ns0:v/>
      </ns0:c>
      <ns0:c r="L37" s="0">
        <ns0:f>IF(LEFT(K37,5)="CHECK",1,0)</ns0:f>
        <ns0:v>0</ns0:v>
      </ns0:c>
      <ns0:c r="M37" s="0">
        <ns0:f>IF(AND(L37=1,OR(C37=0,IFERROR(INDEX($X$11:$X$60,C37),0)=0)),1,0)</ns0:f>
        <ns0:v>0</ns0:v>
      </ns0:c>
      <ns0:c r="N37" s="0">
        <ns0:f>IF(OR(A37=0,L37&gt;0,$B$6&gt;0,Bookings!G37="Cancelled"),0,G37)</ns0:f>
        <ns0:v>0</ns0:v>
      </ns0:c>
      <ns0:c r="O37" s="0">
        <ns0:f>IF(AND(Bookings!G37="Approved",E37="Yes"),N37,0)</ns0:f>
        <ns0:v>0</ns0:v>
      </ns0:c>
      <ns0:c r="P37" s="0">
        <ns0:f>IF(AND(Bookings!G37="Approved",E37="Yes",L37=0,$B$6=0),H37,0)</ns0:f>
        <ns0:v>0</ns0:v>
      </ns0:c>
      <ns0:c r="Q37" s="0">
        <ns0:f>IF(AND(Bookings!G37="Approved",E37="Yes",L37=0,$B$6=0),I37,0)</ns0:f>
        <ns0:v>0</ns0:v>
      </ns0:c>
      <ns0:c r="R37" s="0">
        <ns0:f>IF(AND(Bookings!G37="Pending",E37="Yes"),N37,0)</ns0:f>
        <ns0:v>0</ns0:v>
      </ns0:c>
      <ns0:c r="S37" s="0">
        <ns0:f>IF(AND(Bookings!G37="Approved",E37="No"),N37,0)</ns0:f>
        <ns0:v>0</ns0:v>
      </ns0:c>
      <ns0:c r="T37" s="0">
        <ns0:f>IFERROR(MATCH(D37,Settings!$G$7:$G$11,0),0)</ns0:f>
        <ns0:v>0</ns0:v>
      </ns0:c>
      <ns0:c r="U37" s="0">
        <ns0:f>IF(N37&gt;0,T37+IF(Bookings!G37="Pending",10,0),0)</ns0:f>
        <ns0:v>0</ns0:v>
      </ns0:c>
      <ns0:c r="V37" s="0">
        <ns0:f>U37</ns0:f>
        <ns0:v>0</ns0:v>
      </ns0:c>
      <ns0:c r="W37" s="0" t="str">
        <ns0:f>IF(C37=0,"",INDEX($AP$11:$AP$60,C37))</ns0:f>
        <ns0:v/>
      </ns0:c>
      <ns0:c r="X37" s="0">
        <ns0:f>IF(COUNTA(Team!B37:D37)=0,0,1)</ns0:f>
        <ns0:v>0</ns0:v>
      </ns0:c>
      <ns0:c r="Y37" s="0" t="str">
        <ns0:f>IF(X37=0,"",IF(Team!B37="","[Unnamed]",Team!B37)&amp;" · "&amp;Team!A37)</ns0:f>
        <ns0:v/>
      </ns0:c>
      <ns0:c r="Z37" s="0">
        <ns0:f>IF(X37=0,0,COUNTIF(Team!H37:N37,"Work"))</ns0:f>
        <ns0:v>0</ns0:v>
      </ns0:c>
      <ns0:c r="AA37" s="0">
        <ns0:f>IF(LEFT(Team!O37,5)="CHECK",1,0)</ns0:f>
        <ns0:v>0</ns0:v>
      </ns0:c>
      <ns0:c r="AB37" s="0">
        <ns0:f>IF(X37=0,0,SUMIFS(rngEngine_L,rngEngine_B,Team!A37))</ns0:f>
        <ns0:v>0</ns0:v>
      </ns0:c>
      <ns0:c r="AC37" s="0" t="str">
        <ns0:f>IF(AND(X37=1,OR(Calendar!$C$7="All teams",Team!C37=Calendar!$C$7)),MAX($AC$10:AC36)+1,"")</ns0:f>
        <ns0:v/>
      </ns0:c>
      <ns0:c r="AD37" s="0" t="str">
        <ns0:f>IF(OR(X37=0,Team!C37="",COUNTIF(Team!$C$11:C37,Team!C37)&gt;1),"",MAX($AD$10:AD36)+1)</ns0:f>
        <ns0:v/>
      </ns0:c>
      <ns0:c r="AE37" s="0" t="str">
        <ns0:f>IFERROR(INDEX(Team!$C$11:$C$60,MATCH(ROW()-10,$AD$11:$AD$60,0)),"")</ns0:f>
        <ns0:v/>
      </ns0:c>
      <ns0:c r="AF37" s="0" t="str">
        <ns0:f>AE37</ns0:f>
        <ns0:v/>
      </ns0:c>
      <ns0:c r="AG37" s="0">
        <ns0:f>IF(X37=0,0,IFERROR(Team!F37+Team!G37,0))</ns0:f>
        <ns0:v>0</ns0:v>
      </ns0:c>
      <ns0:c r="AH37" s="0">
        <ns0:f>IF(X37=0,0,SUMIFS(rngEngine_P,rngEngine_B,Team!A37))</ns0:f>
        <ns0:v>0</ns0:v>
      </ns0:c>
      <ns0:c r="AI37" s="0">
        <ns0:f>IF(X37=0,0,SUMIFS(rngEngine_Q,rngEngine_B,Team!A37))</ns0:f>
        <ns0:v>0</ns0:v>
      </ns0:c>
      <ns0:c r="AJ37" s="0">
        <ns0:f>IF(X37=0,0,SUMIFS(rngEngine_R,rngEngine_B,Team!A37))</ns0:f>
        <ns0:v>0</ns0:v>
      </ns0:c>
      <ns0:c r="AK37" s="0">
        <ns0:f>IF(X37=0,0,SUMIFS(rngEngine_S,rngEngine_B,Team!A37))</ns0:f>
        <ns0:v>0</ns0:v>
      </ns0:c>
      <ns0:c r="AL37" s="0">
        <ns0:f>AH37+AI37</ns0:f>
        <ns0:v>0</ns0:v>
      </ns0:c>
      <ns0:c r="AM37" s="0" t="str">
        <ns0:f>IF(X37=0,"",IF(AA37&gt;0,"CHECK team setup",IF(AB37&gt;0,"CHECK "&amp;AB37&amp;" booking(s)","OK")))</ns0:f>
        <ns0:v/>
      </ns0:c>
      <ns0:c r="AN37" s="0" t="str">
        <ns0:f>IF(X37=0,"",IF(OR($B$6&gt;0,AM37&lt;&gt;"OK"),"REVIEW",AG37-AL37))</ns0:f>
        <ns0:v/>
      </ns0:c>
      <ns0:c r="AO37" s="0">
        <ns0:f>IFERROR(MATCH(ROW()-11,$AC$11:$AC$60,0),0)</ns0:f>
        <ns0:v>0</ns0:v>
      </ns0:c>
      <ns0:c r="AP37" s="0" t="str">
        <ns0:f>IF(Team!H37="Work","W","O")&amp;IF(Team!I37="Work","W","O")&amp;IF(Team!J37="Work","W","O")&amp;IF(Team!K37="Work","W","O")&amp;IF(Team!L37="Work","W","O")&amp;IF(Team!M37="Work","W","O")&amp;IF(Team!N37="Work","W","O")</ns0:f>
        <ns0:v>WWWWWOO</ns0:v>
      </ns0:c>
      <ns0:c r="AR37" s="0">
        <ns0:f>IFERROR(IF(ISNUMBER(Settings!F37),WEEKDAY(Settings!F37,2),0),0)</ns0:f>
        <ns0:v>0</ns0:v>
      </ns0:c>
      <ns0:c r="BC37" s="0">
        <ns0:f>IF(OR($AO37=0,$B$5&lt;&gt;"OK",$B$6&gt;0,Calendar!D$11=""),0,SUMIFS(rngEngine_U,rngEngine_B,INDEX(Team!$A$11:$A$60,$AO37),rngAMStart,"&lt;="&amp;Calendar!D$11,rngAMEnd,"&gt;="&amp;Calendar!D$11))</ns0:f>
        <ns0:v>0</ns0:v>
      </ns0:c>
      <ns0:c r="BD37" s="0">
        <ns0:f>IF(OR($AO37=0,$B$5&lt;&gt;"OK",$B$6&gt;0,Calendar!D$11=""),0,SUMIFS(rngEngine_V,rngEngine_B,INDEX(Team!$A$11:$A$60,$AO37),rngPMStart,"&lt;="&amp;Calendar!D$11,rngPMEnd,"&gt;="&amp;Calendar!D$11))</ns0:f>
        <ns0:v>0</ns0:v>
      </ns0:c>
      <ns0:c r="BE37" s="0">
        <ns0:f>IF(OR($AO37=0,$B$5&lt;&gt;"OK",$B$6&gt;0,Calendar!E$11=""),0,SUMIFS(rngEngine_U,rngEngine_B,INDEX(Team!$A$11:$A$60,$AO37),rngAMStart,"&lt;="&amp;Calendar!E$11,rngAMEnd,"&gt;="&amp;Calendar!E$11))</ns0:f>
        <ns0:v>0</ns0:v>
      </ns0:c>
      <ns0:c r="BF37" s="0">
        <ns0:f>IF(OR($AO37=0,$B$5&lt;&gt;"OK",$B$6&gt;0,Calendar!E$11=""),0,SUMIFS(rngEngine_V,rngEngine_B,INDEX(Team!$A$11:$A$60,$AO37),rngPMStart,"&lt;="&amp;Calendar!E$11,rngPMEnd,"&gt;="&amp;Calendar!E$11))</ns0:f>
        <ns0:v>0</ns0:v>
      </ns0:c>
      <ns0:c r="BG37" s="0">
        <ns0:f>IF(OR($AO37=0,$B$5&lt;&gt;"OK",$B$6&gt;0,Calendar!F$11=""),0,SUMIFS(rngEngine_U,rngEngine_B,INDEX(Team!$A$11:$A$60,$AO37),rngAMStart,"&lt;="&amp;Calendar!F$11,rngAMEnd,"&gt;="&amp;Calendar!F$11))</ns0:f>
        <ns0:v>0</ns0:v>
      </ns0:c>
      <ns0:c r="BH37" s="0">
        <ns0:f>IF(OR($AO37=0,$B$5&lt;&gt;"OK",$B$6&gt;0,Calendar!F$11=""),0,SUMIFS(rngEngine_V,rngEngine_B,INDEX(Team!$A$11:$A$60,$AO37),rngPMStart,"&lt;="&amp;Calendar!F$11,rngPMEnd,"&gt;="&amp;Calendar!F$11))</ns0:f>
        <ns0:v>0</ns0:v>
      </ns0:c>
      <ns0:c r="BI37" s="0">
        <ns0:f>IF(OR($AO37=0,$B$5&lt;&gt;"OK",$B$6&gt;0,Calendar!G$11=""),0,SUMIFS(rngEngine_U,rngEngine_B,INDEX(Team!$A$11:$A$60,$AO37),rngAMStart,"&lt;="&amp;Calendar!G$11,rngAMEnd,"&gt;="&amp;Calendar!G$11))</ns0:f>
        <ns0:v>0</ns0:v>
      </ns0:c>
      <ns0:c r="BJ37" s="0">
        <ns0:f>IF(OR($AO37=0,$B$5&lt;&gt;"OK",$B$6&gt;0,Calendar!G$11=""),0,SUMIFS(rngEngine_V,rngEngine_B,INDEX(Team!$A$11:$A$60,$AO37),rngPMStart,"&lt;="&amp;Calendar!G$11,rngPMEnd,"&gt;="&amp;Calendar!G$11))</ns0:f>
        <ns0:v>0</ns0:v>
      </ns0:c>
      <ns0:c r="BK37" s="0">
        <ns0:f>IF(OR($AO37=0,$B$5&lt;&gt;"OK",$B$6&gt;0,Calendar!H$11=""),0,SUMIFS(rngEngine_U,rngEngine_B,INDEX(Team!$A$11:$A$60,$AO37),rngAMStart,"&lt;="&amp;Calendar!H$11,rngAMEnd,"&gt;="&amp;Calendar!H$11))</ns0:f>
        <ns0:v>0</ns0:v>
      </ns0:c>
      <ns0:c r="BL37" s="0">
        <ns0:f>IF(OR($AO37=0,$B$5&lt;&gt;"OK",$B$6&gt;0,Calendar!H$11=""),0,SUMIFS(rngEngine_V,rngEngine_B,INDEX(Team!$A$11:$A$60,$AO37),rngPMStart,"&lt;="&amp;Calendar!H$11,rngPMEnd,"&gt;="&amp;Calendar!H$11))</ns0:f>
        <ns0:v>0</ns0:v>
      </ns0:c>
      <ns0:c r="BM37" s="0">
        <ns0:f>IF(OR($AO37=0,$B$5&lt;&gt;"OK",$B$6&gt;0,Calendar!I$11=""),0,SUMIFS(rngEngine_U,rngEngine_B,INDEX(Team!$A$11:$A$60,$AO37),rngAMStart,"&lt;="&amp;Calendar!I$11,rngAMEnd,"&gt;="&amp;Calendar!I$11))</ns0:f>
        <ns0:v>0</ns0:v>
      </ns0:c>
      <ns0:c r="BN37" s="0">
        <ns0:f>IF(OR($AO37=0,$B$5&lt;&gt;"OK",$B$6&gt;0,Calendar!I$11=""),0,SUMIFS(rngEngine_V,rngEngine_B,INDEX(Team!$A$11:$A$60,$AO37),rngPMStart,"&lt;="&amp;Calendar!I$11,rngPMEnd,"&gt;="&amp;Calendar!I$11))</ns0:f>
        <ns0:v>0</ns0:v>
      </ns0:c>
      <ns0:c r="BO37" s="0">
        <ns0:f>IF(OR($AO37=0,$B$5&lt;&gt;"OK",$B$6&gt;0,Calendar!J$11=""),0,SUMIFS(rngEngine_U,rngEngine_B,INDEX(Team!$A$11:$A$60,$AO37),rngAMStart,"&lt;="&amp;Calendar!J$11,rngAMEnd,"&gt;="&amp;Calendar!J$11))</ns0:f>
        <ns0:v>0</ns0:v>
      </ns0:c>
      <ns0:c r="BP37" s="0">
        <ns0:f>IF(OR($AO37=0,$B$5&lt;&gt;"OK",$B$6&gt;0,Calendar!J$11=""),0,SUMIFS(rngEngine_V,rngEngine_B,INDEX(Team!$A$11:$A$60,$AO37),rngPMStart,"&lt;="&amp;Calendar!J$11,rngPMEnd,"&gt;="&amp;Calendar!J$11))</ns0:f>
        <ns0:v>0</ns0:v>
      </ns0:c>
      <ns0:c r="BQ37" s="0">
        <ns0:f>IF(OR($AO37=0,$B$5&lt;&gt;"OK",$B$6&gt;0,Calendar!K$11=""),0,SUMIFS(rngEngine_U,rngEngine_B,INDEX(Team!$A$11:$A$60,$AO37),rngAMStart,"&lt;="&amp;Calendar!K$11,rngAMEnd,"&gt;="&amp;Calendar!K$11))</ns0:f>
        <ns0:v>0</ns0:v>
      </ns0:c>
      <ns0:c r="BR37" s="0">
        <ns0:f>IF(OR($AO37=0,$B$5&lt;&gt;"OK",$B$6&gt;0,Calendar!K$11=""),0,SUMIFS(rngEngine_V,rngEngine_B,INDEX(Team!$A$11:$A$60,$AO37),rngPMStart,"&lt;="&amp;Calendar!K$11,rngPMEnd,"&gt;="&amp;Calendar!K$11))</ns0:f>
        <ns0:v>0</ns0:v>
      </ns0:c>
      <ns0:c r="BS37" s="0">
        <ns0:f>IF(OR($AO37=0,$B$5&lt;&gt;"OK",$B$6&gt;0,Calendar!L$11=""),0,SUMIFS(rngEngine_U,rngEngine_B,INDEX(Team!$A$11:$A$60,$AO37),rngAMStart,"&lt;="&amp;Calendar!L$11,rngAMEnd,"&gt;="&amp;Calendar!L$11))</ns0:f>
        <ns0:v>0</ns0:v>
      </ns0:c>
      <ns0:c r="BT37" s="0">
        <ns0:f>IF(OR($AO37=0,$B$5&lt;&gt;"OK",$B$6&gt;0,Calendar!L$11=""),0,SUMIFS(rngEngine_V,rngEngine_B,INDEX(Team!$A$11:$A$60,$AO37),rngPMStart,"&lt;="&amp;Calendar!L$11,rngPMEnd,"&gt;="&amp;Calendar!L$11))</ns0:f>
        <ns0:v>0</ns0:v>
      </ns0:c>
      <ns0:c r="BU37" s="0">
        <ns0:f>IF(OR($AO37=0,$B$5&lt;&gt;"OK",$B$6&gt;0,Calendar!M$11=""),0,SUMIFS(rngEngine_U,rngEngine_B,INDEX(Team!$A$11:$A$60,$AO37),rngAMStart,"&lt;="&amp;Calendar!M$11,rngAMEnd,"&gt;="&amp;Calendar!M$11))</ns0:f>
        <ns0:v>0</ns0:v>
      </ns0:c>
      <ns0:c r="BV37" s="0">
        <ns0:f>IF(OR($AO37=0,$B$5&lt;&gt;"OK",$B$6&gt;0,Calendar!M$11=""),0,SUMIFS(rngEngine_V,rngEngine_B,INDEX(Team!$A$11:$A$60,$AO37),rngPMStart,"&lt;="&amp;Calendar!M$11,rngPMEnd,"&gt;="&amp;Calendar!M$11))</ns0:f>
        <ns0:v>0</ns0:v>
      </ns0:c>
      <ns0:c r="BW37" s="0">
        <ns0:f>IF(OR($AO37=0,$B$5&lt;&gt;"OK",$B$6&gt;0,Calendar!N$11=""),0,SUMIFS(rngEngine_U,rngEngine_B,INDEX(Team!$A$11:$A$60,$AO37),rngAMStart,"&lt;="&amp;Calendar!N$11,rngAMEnd,"&gt;="&amp;Calendar!N$11))</ns0:f>
        <ns0:v>0</ns0:v>
      </ns0:c>
      <ns0:c r="BX37" s="0">
        <ns0:f>IF(OR($AO37=0,$B$5&lt;&gt;"OK",$B$6&gt;0,Calendar!N$11=""),0,SUMIFS(rngEngine_V,rngEngine_B,INDEX(Team!$A$11:$A$60,$AO37),rngPMStart,"&lt;="&amp;Calendar!N$11,rngPMEnd,"&gt;="&amp;Calendar!N$11))</ns0:f>
        <ns0:v>0</ns0:v>
      </ns0:c>
      <ns0:c r="BY37" s="0">
        <ns0:f>IF(OR($AO37=0,$B$5&lt;&gt;"OK",$B$6&gt;0,Calendar!O$11=""),0,SUMIFS(rngEngine_U,rngEngine_B,INDEX(Team!$A$11:$A$60,$AO37),rngAMStart,"&lt;="&amp;Calendar!O$11,rngAMEnd,"&gt;="&amp;Calendar!O$11))</ns0:f>
        <ns0:v>0</ns0:v>
      </ns0:c>
      <ns0:c r="BZ37" s="0">
        <ns0:f>IF(OR($AO37=0,$B$5&lt;&gt;"OK",$B$6&gt;0,Calendar!O$11=""),0,SUMIFS(rngEngine_V,rngEngine_B,INDEX(Team!$A$11:$A$60,$AO37),rngPMStart,"&lt;="&amp;Calendar!O$11,rngPMEnd,"&gt;="&amp;Calendar!O$11))</ns0:f>
        <ns0:v>0</ns0:v>
      </ns0:c>
      <ns0:c r="CA37" s="0">
        <ns0:f>IF(OR($AO37=0,$B$5&lt;&gt;"OK",$B$6&gt;0,Calendar!P$11=""),0,SUMIFS(rngEngine_U,rngEngine_B,INDEX(Team!$A$11:$A$60,$AO37),rngAMStart,"&lt;="&amp;Calendar!P$11,rngAMEnd,"&gt;="&amp;Calendar!P$11))</ns0:f>
        <ns0:v>0</ns0:v>
      </ns0:c>
      <ns0:c r="CB37" s="0">
        <ns0:f>IF(OR($AO37=0,$B$5&lt;&gt;"OK",$B$6&gt;0,Calendar!P$11=""),0,SUMIFS(rngEngine_V,rngEngine_B,INDEX(Team!$A$11:$A$60,$AO37),rngPMStart,"&lt;="&amp;Calendar!P$11,rngPMEnd,"&gt;="&amp;Calendar!P$11))</ns0:f>
        <ns0:v>0</ns0:v>
      </ns0:c>
      <ns0:c r="CC37" s="0">
        <ns0:f>IF(OR($AO37=0,$B$5&lt;&gt;"OK",$B$6&gt;0,Calendar!Q$11=""),0,SUMIFS(rngEngine_U,rngEngine_B,INDEX(Team!$A$11:$A$60,$AO37),rngAMStart,"&lt;="&amp;Calendar!Q$11,rngAMEnd,"&gt;="&amp;Calendar!Q$11))</ns0:f>
        <ns0:v>0</ns0:v>
      </ns0:c>
      <ns0:c r="CD37" s="0">
        <ns0:f>IF(OR($AO37=0,$B$5&lt;&gt;"OK",$B$6&gt;0,Calendar!Q$11=""),0,SUMIFS(rngEngine_V,rngEngine_B,INDEX(Team!$A$11:$A$60,$AO37),rngPMStart,"&lt;="&amp;Calendar!Q$11,rngPMEnd,"&gt;="&amp;Calendar!Q$11))</ns0:f>
        <ns0:v>0</ns0:v>
      </ns0:c>
      <ns0:c r="CE37" s="0">
        <ns0:f>IF(OR($AO37=0,$B$5&lt;&gt;"OK",$B$6&gt;0,Calendar!R$11=""),0,SUMIFS(rngEngine_U,rngEngine_B,INDEX(Team!$A$11:$A$60,$AO37),rngAMStart,"&lt;="&amp;Calendar!R$11,rngAMEnd,"&gt;="&amp;Calendar!R$11))</ns0:f>
        <ns0:v>0</ns0:v>
      </ns0:c>
      <ns0:c r="CF37" s="0">
        <ns0:f>IF(OR($AO37=0,$B$5&lt;&gt;"OK",$B$6&gt;0,Calendar!R$11=""),0,SUMIFS(rngEngine_V,rngEngine_B,INDEX(Team!$A$11:$A$60,$AO37),rngPMStart,"&lt;="&amp;Calendar!R$11,rngPMEnd,"&gt;="&amp;Calendar!R$11))</ns0:f>
        <ns0:v>0</ns0:v>
      </ns0:c>
      <ns0:c r="CG37" s="0">
        <ns0:f>IF(OR($AO37=0,$B$5&lt;&gt;"OK",$B$6&gt;0,Calendar!S$11=""),0,SUMIFS(rngEngine_U,rngEngine_B,INDEX(Team!$A$11:$A$60,$AO37),rngAMStart,"&lt;="&amp;Calendar!S$11,rngAMEnd,"&gt;="&amp;Calendar!S$11))</ns0:f>
        <ns0:v>0</ns0:v>
      </ns0:c>
      <ns0:c r="CH37" s="0">
        <ns0:f>IF(OR($AO37=0,$B$5&lt;&gt;"OK",$B$6&gt;0,Calendar!S$11=""),0,SUMIFS(rngEngine_V,rngEngine_B,INDEX(Team!$A$11:$A$60,$AO37),rngPMStart,"&lt;="&amp;Calendar!S$11,rngPMEnd,"&gt;="&amp;Calendar!S$11))</ns0:f>
        <ns0:v>0</ns0:v>
      </ns0:c>
      <ns0:c r="CI37" s="0">
        <ns0:f>IF(OR($AO37=0,$B$5&lt;&gt;"OK",$B$6&gt;0,Calendar!T$11=""),0,SUMIFS(rngEngine_U,rngEngine_B,INDEX(Team!$A$11:$A$60,$AO37),rngAMStart,"&lt;="&amp;Calendar!T$11,rngAMEnd,"&gt;="&amp;Calendar!T$11))</ns0:f>
        <ns0:v>0</ns0:v>
      </ns0:c>
      <ns0:c r="CJ37" s="0">
        <ns0:f>IF(OR($AO37=0,$B$5&lt;&gt;"OK",$B$6&gt;0,Calendar!T$11=""),0,SUMIFS(rngEngine_V,rngEngine_B,INDEX(Team!$A$11:$A$60,$AO37),rngPMStart,"&lt;="&amp;Calendar!T$11,rngPMEnd,"&gt;="&amp;Calendar!T$11))</ns0:f>
        <ns0:v>0</ns0:v>
      </ns0:c>
      <ns0:c r="CK37" s="0">
        <ns0:f>IF(OR($AO37=0,$B$5&lt;&gt;"OK",$B$6&gt;0,Calendar!U$11=""),0,SUMIFS(rngEngine_U,rngEngine_B,INDEX(Team!$A$11:$A$60,$AO37),rngAMStart,"&lt;="&amp;Calendar!U$11,rngAMEnd,"&gt;="&amp;Calendar!U$11))</ns0:f>
        <ns0:v>0</ns0:v>
      </ns0:c>
      <ns0:c r="CL37" s="0">
        <ns0:f>IF(OR($AO37=0,$B$5&lt;&gt;"OK",$B$6&gt;0,Calendar!U$11=""),0,SUMIFS(rngEngine_V,rngEngine_B,INDEX(Team!$A$11:$A$60,$AO37),rngPMStart,"&lt;="&amp;Calendar!U$11,rngPMEnd,"&gt;="&amp;Calendar!U$11))</ns0:f>
        <ns0:v>0</ns0:v>
      </ns0:c>
      <ns0:c r="CM37" s="0">
        <ns0:f>IF(OR($AO37=0,$B$5&lt;&gt;"OK",$B$6&gt;0,Calendar!V$11=""),0,SUMIFS(rngEngine_U,rngEngine_B,INDEX(Team!$A$11:$A$60,$AO37),rngAMStart,"&lt;="&amp;Calendar!V$11,rngAMEnd,"&gt;="&amp;Calendar!V$11))</ns0:f>
        <ns0:v>0</ns0:v>
      </ns0:c>
      <ns0:c r="CN37" s="0">
        <ns0:f>IF(OR($AO37=0,$B$5&lt;&gt;"OK",$B$6&gt;0,Calendar!V$11=""),0,SUMIFS(rngEngine_V,rngEngine_B,INDEX(Team!$A$11:$A$60,$AO37),rngPMStart,"&lt;="&amp;Calendar!V$11,rngPMEnd,"&gt;="&amp;Calendar!V$11))</ns0:f>
        <ns0:v>0</ns0:v>
      </ns0:c>
      <ns0:c r="CO37" s="0">
        <ns0:f>IF(OR($AO37=0,$B$5&lt;&gt;"OK",$B$6&gt;0,Calendar!W$11=""),0,SUMIFS(rngEngine_U,rngEngine_B,INDEX(Team!$A$11:$A$60,$AO37),rngAMStart,"&lt;="&amp;Calendar!W$11,rngAMEnd,"&gt;="&amp;Calendar!W$11))</ns0:f>
        <ns0:v>0</ns0:v>
      </ns0:c>
      <ns0:c r="CP37" s="0">
        <ns0:f>IF(OR($AO37=0,$B$5&lt;&gt;"OK",$B$6&gt;0,Calendar!W$11=""),0,SUMIFS(rngEngine_V,rngEngine_B,INDEX(Team!$A$11:$A$60,$AO37),rngPMStart,"&lt;="&amp;Calendar!W$11,rngPMEnd,"&gt;="&amp;Calendar!W$11))</ns0:f>
        <ns0:v>0</ns0:v>
      </ns0:c>
      <ns0:c r="CQ37" s="0">
        <ns0:f>IF(OR($AO37=0,$B$5&lt;&gt;"OK",$B$6&gt;0,Calendar!X$11=""),0,SUMIFS(rngEngine_U,rngEngine_B,INDEX(Team!$A$11:$A$60,$AO37),rngAMStart,"&lt;="&amp;Calendar!X$11,rngAMEnd,"&gt;="&amp;Calendar!X$11))</ns0:f>
        <ns0:v>0</ns0:v>
      </ns0:c>
      <ns0:c r="CR37" s="0">
        <ns0:f>IF(OR($AO37=0,$B$5&lt;&gt;"OK",$B$6&gt;0,Calendar!X$11=""),0,SUMIFS(rngEngine_V,rngEngine_B,INDEX(Team!$A$11:$A$60,$AO37),rngPMStart,"&lt;="&amp;Calendar!X$11,rngPMEnd,"&gt;="&amp;Calendar!X$11))</ns0:f>
        <ns0:v>0</ns0:v>
      </ns0:c>
      <ns0:c r="CS37" s="0">
        <ns0:f>IF(OR($AO37=0,$B$5&lt;&gt;"OK",$B$6&gt;0,Calendar!Y$11=""),0,SUMIFS(rngEngine_U,rngEngine_B,INDEX(Team!$A$11:$A$60,$AO37),rngAMStart,"&lt;="&amp;Calendar!Y$11,rngAMEnd,"&gt;="&amp;Calendar!Y$11))</ns0:f>
        <ns0:v>0</ns0:v>
      </ns0:c>
      <ns0:c r="CT37" s="0">
        <ns0:f>IF(OR($AO37=0,$B$5&lt;&gt;"OK",$B$6&gt;0,Calendar!Y$11=""),0,SUMIFS(rngEngine_V,rngEngine_B,INDEX(Team!$A$11:$A$60,$AO37),rngPMStart,"&lt;="&amp;Calendar!Y$11,rngPMEnd,"&gt;="&amp;Calendar!Y$11))</ns0:f>
        <ns0:v>0</ns0:v>
      </ns0:c>
      <ns0:c r="CU37" s="0">
        <ns0:f>IF(OR($AO37=0,$B$5&lt;&gt;"OK",$B$6&gt;0,Calendar!Z$11=""),0,SUMIFS(rngEngine_U,rngEngine_B,INDEX(Team!$A$11:$A$60,$AO37),rngAMStart,"&lt;="&amp;Calendar!Z$11,rngAMEnd,"&gt;="&amp;Calendar!Z$11))</ns0:f>
        <ns0:v>0</ns0:v>
      </ns0:c>
      <ns0:c r="CV37" s="0">
        <ns0:f>IF(OR($AO37=0,$B$5&lt;&gt;"OK",$B$6&gt;0,Calendar!Z$11=""),0,SUMIFS(rngEngine_V,rngEngine_B,INDEX(Team!$A$11:$A$60,$AO37),rngPMStart,"&lt;="&amp;Calendar!Z$11,rngPMEnd,"&gt;="&amp;Calendar!Z$11))</ns0:f>
        <ns0:v>0</ns0:v>
      </ns0:c>
      <ns0:c r="CW37" s="0">
        <ns0:f>IF(OR($AO37=0,$B$5&lt;&gt;"OK",$B$6&gt;0,Calendar!AA$11=""),0,SUMIFS(rngEngine_U,rngEngine_B,INDEX(Team!$A$11:$A$60,$AO37),rngAMStart,"&lt;="&amp;Calendar!AA$11,rngAMEnd,"&gt;="&amp;Calendar!AA$11))</ns0:f>
        <ns0:v>0</ns0:v>
      </ns0:c>
      <ns0:c r="CX37" s="0">
        <ns0:f>IF(OR($AO37=0,$B$5&lt;&gt;"OK",$B$6&gt;0,Calendar!AA$11=""),0,SUMIFS(rngEngine_V,rngEngine_B,INDEX(Team!$A$11:$A$60,$AO37),rngPMStart,"&lt;="&amp;Calendar!AA$11,rngPMEnd,"&gt;="&amp;Calendar!AA$11))</ns0:f>
        <ns0:v>0</ns0:v>
      </ns0:c>
      <ns0:c r="CY37" s="0">
        <ns0:f>IF(OR($AO37=0,$B$5&lt;&gt;"OK",$B$6&gt;0,Calendar!AB$11=""),0,SUMIFS(rngEngine_U,rngEngine_B,INDEX(Team!$A$11:$A$60,$AO37),rngAMStart,"&lt;="&amp;Calendar!AB$11,rngAMEnd,"&gt;="&amp;Calendar!AB$11))</ns0:f>
        <ns0:v>0</ns0:v>
      </ns0:c>
      <ns0:c r="CZ37" s="0">
        <ns0:f>IF(OR($AO37=0,$B$5&lt;&gt;"OK",$B$6&gt;0,Calendar!AB$11=""),0,SUMIFS(rngEngine_V,rngEngine_B,INDEX(Team!$A$11:$A$60,$AO37),rngPMStart,"&lt;="&amp;Calendar!AB$11,rngPMEnd,"&gt;="&amp;Calendar!AB$11))</ns0:f>
        <ns0:v>0</ns0:v>
      </ns0:c>
      <ns0:c r="DA37" s="0">
        <ns0:f>IF(OR($AO37=0,$B$5&lt;&gt;"OK",$B$6&gt;0,Calendar!AC$11=""),0,SUMIFS(rngEngine_U,rngEngine_B,INDEX(Team!$A$11:$A$60,$AO37),rngAMStart,"&lt;="&amp;Calendar!AC$11,rngAMEnd,"&gt;="&amp;Calendar!AC$11))</ns0:f>
        <ns0:v>0</ns0:v>
      </ns0:c>
      <ns0:c r="DB37" s="0">
        <ns0:f>IF(OR($AO37=0,$B$5&lt;&gt;"OK",$B$6&gt;0,Calendar!AC$11=""),0,SUMIFS(rngEngine_V,rngEngine_B,INDEX(Team!$A$11:$A$60,$AO37),rngPMStart,"&lt;="&amp;Calendar!AC$11,rngPMEnd,"&gt;="&amp;Calendar!AC$11))</ns0:f>
        <ns0:v>0</ns0:v>
      </ns0:c>
      <ns0:c r="DC37" s="0">
        <ns0:f>IF(OR($AO37=0,$B$5&lt;&gt;"OK",$B$6&gt;0,Calendar!AD$11=""),0,SUMIFS(rngEngine_U,rngEngine_B,INDEX(Team!$A$11:$A$60,$AO37),rngAMStart,"&lt;="&amp;Calendar!AD$11,rngAMEnd,"&gt;="&amp;Calendar!AD$11))</ns0:f>
        <ns0:v>0</ns0:v>
      </ns0:c>
      <ns0:c r="DD37" s="0">
        <ns0:f>IF(OR($AO37=0,$B$5&lt;&gt;"OK",$B$6&gt;0,Calendar!AD$11=""),0,SUMIFS(rngEngine_V,rngEngine_B,INDEX(Team!$A$11:$A$60,$AO37),rngPMStart,"&lt;="&amp;Calendar!AD$11,rngPMEnd,"&gt;="&amp;Calendar!AD$11))</ns0:f>
        <ns0:v>0</ns0:v>
      </ns0:c>
      <ns0:c r="DE37" s="0">
        <ns0:f>IF(OR($AO37=0,$B$5&lt;&gt;"OK",$B$6&gt;0,Calendar!AE$11=""),0,SUMIFS(rngEngine_U,rngEngine_B,INDEX(Team!$A$11:$A$60,$AO37),rngAMStart,"&lt;="&amp;Calendar!AE$11,rngAMEnd,"&gt;="&amp;Calendar!AE$11))</ns0:f>
        <ns0:v>0</ns0:v>
      </ns0:c>
      <ns0:c r="DF37" s="0">
        <ns0:f>IF(OR($AO37=0,$B$5&lt;&gt;"OK",$B$6&gt;0,Calendar!AE$11=""),0,SUMIFS(rngEngine_V,rngEngine_B,INDEX(Team!$A$11:$A$60,$AO37),rngPMStart,"&lt;="&amp;Calendar!AE$11,rngPMEnd,"&gt;="&amp;Calendar!AE$11))</ns0:f>
        <ns0:v>0</ns0:v>
      </ns0:c>
      <ns0:c r="DG37" s="0">
        <ns0:f>IF(OR($AO37=0,$B$5&lt;&gt;"OK",$B$6&gt;0,Calendar!AF$11=""),0,SUMIFS(rngEngine_U,rngEngine_B,INDEX(Team!$A$11:$A$60,$AO37),rngAMStart,"&lt;="&amp;Calendar!AF$11,rngAMEnd,"&gt;="&amp;Calendar!AF$11))</ns0:f>
        <ns0:v>0</ns0:v>
      </ns0:c>
      <ns0:c r="DH37" s="0">
        <ns0:f>IF(OR($AO37=0,$B$5&lt;&gt;"OK",$B$6&gt;0,Calendar!AF$11=""),0,SUMIFS(rngEngine_V,rngEngine_B,INDEX(Team!$A$11:$A$60,$AO37),rngPMStart,"&lt;="&amp;Calendar!AF$11,rngPMEnd,"&gt;="&amp;Calendar!AF$11))</ns0:f>
        <ns0:v>0</ns0:v>
      </ns0:c>
      <ns0:c r="DI37" s="0">
        <ns0:f>IF(OR($AO37=0,$B$5&lt;&gt;"OK",$B$6&gt;0,Calendar!AG$11=""),0,SUMIFS(rngEngine_U,rngEngine_B,INDEX(Team!$A$11:$A$60,$AO37),rngAMStart,"&lt;="&amp;Calendar!AG$11,rngAMEnd,"&gt;="&amp;Calendar!AG$11))</ns0:f>
        <ns0:v>0</ns0:v>
      </ns0:c>
      <ns0:c r="DJ37" s="0">
        <ns0:f>IF(OR($AO37=0,$B$5&lt;&gt;"OK",$B$6&gt;0,Calendar!AG$11=""),0,SUMIFS(rngEngine_V,rngEngine_B,INDEX(Team!$A$11:$A$60,$AO37),rngPMStart,"&lt;="&amp;Calendar!AG$11,rngPMEnd,"&gt;="&amp;Calendar!AG$11))</ns0:f>
        <ns0:v>0</ns0:v>
      </ns0:c>
      <ns0:c r="DK37" s="0">
        <ns0:f>IF(OR($AO37=0,$B$5&lt;&gt;"OK",$B$6&gt;0,Calendar!AH$11=""),0,SUMIFS(rngEngine_U,rngEngine_B,INDEX(Team!$A$11:$A$60,$AO37),rngAMStart,"&lt;="&amp;Calendar!AH$11,rngAMEnd,"&gt;="&amp;Calendar!AH$11))</ns0:f>
        <ns0:v>0</ns0:v>
      </ns0:c>
      <ns0:c r="DL37" s="0">
        <ns0:f>IF(OR($AO37=0,$B$5&lt;&gt;"OK",$B$6&gt;0,Calendar!AH$11=""),0,SUMIFS(rngEngine_V,rngEngine_B,INDEX(Team!$A$11:$A$60,$AO37),rngPMStart,"&lt;="&amp;Calendar!AH$11,rngPMEnd,"&gt;="&amp;Calendar!AH$11))</ns0:f>
        <ns0:v>0</ns0:v>
      </ns0:c>
    </ns0:row>
    <ns0:row r="38" ht="22" customHeight="1">
      <ns0:c r="A38" s="4">
        <ns0:f>IF(COUNTA(Bookings!A38:G38,Bookings!I38)=0,0,1)</ns0:f>
        <ns0:v>0</ns0:v>
      </ns0:c>
      <ns0:c r="B38" s="4">
        <ns0:f>IFERROR(TRIM(MID(Bookings!A38,FIND(" · ",Bookings!A38)+3,99)),"")</ns0:f>
        <ns0:v>99</ns0:v>
      </ns0:c>
      <ns0:c r="C38" s="4">
        <ns0:f>IF(OR(B38="",LEN(B38)&gt;24,ISNUMBER(FIND(" ",B38)),ISNUMBER(FIND("*",B38)),ISNUMBER(FIND("?",B38)),ISNUMBER(FIND("~",B38))),0,IFERROR(MATCH(B38,Team!$A$11:$A$60,0),0))</ns0:f>
        <ns0:v>0</ns0:v>
      </ns0:c>
      <ns0:c r="D38" s="4" t="str">
        <ns0:f>IFERROR(IF(MID(Bookings!F38,LEN(Bookings!F38)-3,3)=" · ",RIGHT(Bookings!F38,1),""),"")</ns0:f>
        <ns0:v/>
      </ns0:c>
      <ns0:c r="E38" s="4" t="str">
        <ns0:f>IFERROR(INDEX(Settings!$H$7:$H$11,MATCH(D38,Settings!$G$7:$G$11,0)),"")</ns0:f>
        <ns0:v/>
      </ns0:c>
      <ns0:c r="F38" s="4" t="str">
        <ns0:f>IF(A38=0,"",IFERROR(IF(OR(B38="",C38=0),"CHECK employee selection",IF(INDEX(Team!$O$11:$O$60,C38)&lt;&gt;"OK","CHECK employee setup",IF(OR('_Dates'!J38=0,'_Dates'!T38=0),"CHECK date: use DD.MM.YYYY",IF('_Dates'!T38&lt;'_Dates'!J38,"CHECK end before start",IF(AND($B$6=0,OR('_Dates'!J38&lt;Settings!$B$7,'_Dates'!T38&gt;Settings!$B$8)),"CHECK split across leave years",IF(OR(NOT(OR('_Dates'!U38="Full day",'_Dates'!U38="AM",'_Dates'!U38="PM")),NOT(OR('_Dates'!V38="Full day",'_Dates'!V38="AM",'_Dates'!V38="PM"))),"CHECK Full day / AM / PM",IF(AND('_Dates'!J38='_Dates'!T38,'_Dates'!U38&lt;&gt;"Full day",'_Dates'!V38&lt;&gt;"Full day",'_Dates'!U38&lt;&gt;'_Dates'!V38),"CHECK same-day portions disagree",IF(AND($B$6=0,OR(AND('_Dates'!U38&lt;&gt;"Full day",'_Dates'!AA38=0),AND('_Dates'!V38&lt;&gt;"Full day",'_Dates'!AB38=0))),"CHECK half-day on non-working date",IF(COUNTIF(Settings!$G$7:$G$11,D38)&lt;&gt;1,"CHECK leave type",IF(AND(Bookings!G38&lt;&gt;"Approved",Bookings!G38&lt;&gt;"Pending",Bookings!G38&lt;&gt;"Cancelled"),"CHECK status","OK")))))))))),"CHECK input"))</ns0:f>
        <ns0:v/>
      </ns0:c>
      <ns0:c r="G38" s="4">
        <ns0:f>IF(OR(F38&lt;&gt;"OK",$B$6&gt;0),0,0.5*(IF(('_Dates'!X38)&lt;('_Dates'!W38),0,INT((('_Dates'!X38)-('_Dates'!W38)+1)/7)*LEN(SUBSTITUTE(W38,"O",""))+LEN(SUBSTITUTE(MID(W38&amp;W38,WEEKDAY(('_Dates'!W38),2),MOD((('_Dates'!X38)-('_Dates'!W38)+1),7)),"O",""))-COUNTIFS(INDEX(AllClosureRows,C38,0),"&gt;="&amp;('_Dates'!W38),INDEX(AllClosureRows,C38,0),"&lt;="&amp;('_Dates'!X38)))+IF(('_Dates'!Z38)&lt;('_Dates'!Y38),0,INT((('_Dates'!Z38)-('_Dates'!Y38)+1)/7)*LEN(SUBSTITUTE(W38,"O",""))+LEN(SUBSTITUTE(MID(W38&amp;W38,WEEKDAY(('_Dates'!Y38),2),MOD((('_Dates'!Z38)-('_Dates'!Y38)+1),7)),"O",""))-COUNTIFS(INDEX(AllClosureRows,C38,0),"&gt;="&amp;('_Dates'!Y38),INDEX(AllClosureRows,C38,0),"&lt;="&amp;('_Dates'!Z38)))))</ns0:f>
        <ns0:v>0</ns0:v>
      </ns0:c>
      <ns0:c r="H38" s="4">
        <ns0:f>IF(OR(F38&lt;&gt;"OK",$B$6&gt;0),0,0.5*(IF((MIN('_Dates'!X38,Settings!$B$9))&lt;('_Dates'!W38),0,INT(((MIN('_Dates'!X38,Settings!$B$9))-('_Dates'!W38)+1)/7)*LEN(SUBSTITUTE(W38,"O",""))+LEN(SUBSTITUTE(MID(W38&amp;W38,WEEKDAY(('_Dates'!W38),2),MOD(((MIN('_Dates'!X38,Settings!$B$9))-('_Dates'!W38)+1),7)),"O",""))-COUNTIFS(INDEX(AllClosureRows,C38,0),"&gt;="&amp;('_Dates'!W38),INDEX(AllClosureRows,C38,0),"&lt;="&amp;(MIN('_Dates'!X38,Settings!$B$9))))+IF((MIN('_Dates'!Z38,Settings!$B$9))&lt;('_Dates'!Y38),0,INT(((MIN('_Dates'!Z38,Settings!$B$9))-('_Dates'!Y38)+1)/7)*LEN(SUBSTITUTE(W38,"O",""))+LEN(SUBSTITUTE(MID(W38&amp;W38,WEEKDAY(('_Dates'!Y38),2),MOD(((MIN('_Dates'!Z38,Settings!$B$9))-('_Dates'!Y38)+1),7)),"O",""))-COUNTIFS(INDEX(AllClosureRows,C38,0),"&gt;="&amp;('_Dates'!Y38),INDEX(AllClosureRows,C38,0),"&lt;="&amp;(MIN('_Dates'!Z38,Settings!$B$9))))))</ns0:f>
        <ns0:v>0</ns0:v>
      </ns0:c>
      <ns0:c r="I38" s="4">
        <ns0:f>MAX(0,G38-H38)</ns0:f>
        <ns0:v>0</ns0:v>
      </ns0:c>
      <ns0:c r="J38" s="4">
        <ns0:f>IF(OR(A38=0,F38&lt;&gt;"OK",Bookings!G38="Cancelled",$B$6&gt;0),0,IF('_Dates'!AC38=1,MAX(0,COUNTIFS(rngEngine_B,B38,rngAMStart,"&lt;="&amp;'_Dates'!X38,rngAMEnd,"&gt;="&amp;'_Dates'!W38,rngAMActive,1,rngEngine_F,"OK",rngBookings_F,"&lt;&gt;Cancelled")-1),0)+IF('_Dates'!AD38=1,MAX(0,COUNTIFS(rngEngine_B,B38,rngPMStart,"&lt;="&amp;'_Dates'!Z38,rngPMEnd,"&gt;="&amp;'_Dates'!Y38,rngPMActive,1,rngEngine_F,"OK",rngBookings_F,"&lt;&gt;Cancelled")-1),0))</ns0:f>
        <ns0:v>0</ns0:v>
      </ns0:c>
      <ns0:c r="K38" s="0" t="str">
        <ns0:f>IF(A38=0,"",IF(F38&lt;&gt;"OK",F38,IF(J38&gt;0,"CHECK overlapping entry",IF(AND($B$6=0,G38&lt;=0,Bookings!G38&lt;&gt;"Cancelled"),"CHECK no working days",IF(Bookings!G38="Cancelled","Cancelled","OK")))))</ns0:f>
        <ns0:v/>
      </ns0:c>
      <ns0:c r="L38" s="0">
        <ns0:f>IF(LEFT(K38,5)="CHECK",1,0)</ns0:f>
        <ns0:v>0</ns0:v>
      </ns0:c>
      <ns0:c r="M38" s="0">
        <ns0:f>IF(AND(L38=1,OR(C38=0,IFERROR(INDEX($X$11:$X$60,C38),0)=0)),1,0)</ns0:f>
        <ns0:v>0</ns0:v>
      </ns0:c>
      <ns0:c r="N38" s="0">
        <ns0:f>IF(OR(A38=0,L38&gt;0,$B$6&gt;0,Bookings!G38="Cancelled"),0,G38)</ns0:f>
        <ns0:v>0</ns0:v>
      </ns0:c>
      <ns0:c r="O38" s="0">
        <ns0:f>IF(AND(Bookings!G38="Approved",E38="Yes"),N38,0)</ns0:f>
        <ns0:v>0</ns0:v>
      </ns0:c>
      <ns0:c r="P38" s="0">
        <ns0:f>IF(AND(Bookings!G38="Approved",E38="Yes",L38=0,$B$6=0),H38,0)</ns0:f>
        <ns0:v>0</ns0:v>
      </ns0:c>
      <ns0:c r="Q38" s="0">
        <ns0:f>IF(AND(Bookings!G38="Approved",E38="Yes",L38=0,$B$6=0),I38,0)</ns0:f>
        <ns0:v>0</ns0:v>
      </ns0:c>
      <ns0:c r="R38" s="0">
        <ns0:f>IF(AND(Bookings!G38="Pending",E38="Yes"),N38,0)</ns0:f>
        <ns0:v>0</ns0:v>
      </ns0:c>
      <ns0:c r="S38" s="0">
        <ns0:f>IF(AND(Bookings!G38="Approved",E38="No"),N38,0)</ns0:f>
        <ns0:v>0</ns0:v>
      </ns0:c>
      <ns0:c r="T38" s="0">
        <ns0:f>IFERROR(MATCH(D38,Settings!$G$7:$G$11,0),0)</ns0:f>
        <ns0:v>0</ns0:v>
      </ns0:c>
      <ns0:c r="U38" s="0">
        <ns0:f>IF(N38&gt;0,T38+IF(Bookings!G38="Pending",10,0),0)</ns0:f>
        <ns0:v>0</ns0:v>
      </ns0:c>
      <ns0:c r="V38" s="0">
        <ns0:f>U38</ns0:f>
        <ns0:v>0</ns0:v>
      </ns0:c>
      <ns0:c r="W38" s="0" t="str">
        <ns0:f>IF(C38=0,"",INDEX($AP$11:$AP$60,C38))</ns0:f>
        <ns0:v/>
      </ns0:c>
      <ns0:c r="X38" s="0">
        <ns0:f>IF(COUNTA(Team!B38:D38)=0,0,1)</ns0:f>
        <ns0:v>0</ns0:v>
      </ns0:c>
      <ns0:c r="Y38" s="0" t="str">
        <ns0:f>IF(X38=0,"",IF(Team!B38="","[Unnamed]",Team!B38)&amp;" · "&amp;Team!A38)</ns0:f>
        <ns0:v/>
      </ns0:c>
      <ns0:c r="Z38" s="0">
        <ns0:f>IF(X38=0,0,COUNTIF(Team!H38:N38,"Work"))</ns0:f>
        <ns0:v>0</ns0:v>
      </ns0:c>
      <ns0:c r="AA38" s="0">
        <ns0:f>IF(LEFT(Team!O38,5)="CHECK",1,0)</ns0:f>
        <ns0:v>0</ns0:v>
      </ns0:c>
      <ns0:c r="AB38" s="0">
        <ns0:f>IF(X38=0,0,SUMIFS(rngEngine_L,rngEngine_B,Team!A38))</ns0:f>
        <ns0:v>0</ns0:v>
      </ns0:c>
      <ns0:c r="AC38" s="0" t="str">
        <ns0:f>IF(AND(X38=1,OR(Calendar!$C$7="All teams",Team!C38=Calendar!$C$7)),MAX($AC$10:AC37)+1,"")</ns0:f>
        <ns0:v/>
      </ns0:c>
      <ns0:c r="AD38" s="0" t="str">
        <ns0:f>IF(OR(X38=0,Team!C38="",COUNTIF(Team!$C$11:C38,Team!C38)&gt;1),"",MAX($AD$10:AD37)+1)</ns0:f>
        <ns0:v/>
      </ns0:c>
      <ns0:c r="AE38" s="0" t="str">
        <ns0:f>IFERROR(INDEX(Team!$C$11:$C$60,MATCH(ROW()-10,$AD$11:$AD$60,0)),"")</ns0:f>
        <ns0:v/>
      </ns0:c>
      <ns0:c r="AF38" s="0" t="str">
        <ns0:f>AE38</ns0:f>
        <ns0:v/>
      </ns0:c>
      <ns0:c r="AG38" s="0">
        <ns0:f>IF(X38=0,0,IFERROR(Team!F38+Team!G38,0))</ns0:f>
        <ns0:v>0</ns0:v>
      </ns0:c>
      <ns0:c r="AH38" s="0">
        <ns0:f>IF(X38=0,0,SUMIFS(rngEngine_P,rngEngine_B,Team!A38))</ns0:f>
        <ns0:v>0</ns0:v>
      </ns0:c>
      <ns0:c r="AI38" s="0">
        <ns0:f>IF(X38=0,0,SUMIFS(rngEngine_Q,rngEngine_B,Team!A38))</ns0:f>
        <ns0:v>0</ns0:v>
      </ns0:c>
      <ns0:c r="AJ38" s="0">
        <ns0:f>IF(X38=0,0,SUMIFS(rngEngine_R,rngEngine_B,Team!A38))</ns0:f>
        <ns0:v>0</ns0:v>
      </ns0:c>
      <ns0:c r="AK38" s="0">
        <ns0:f>IF(X38=0,0,SUMIFS(rngEngine_S,rngEngine_B,Team!A38))</ns0:f>
        <ns0:v>0</ns0:v>
      </ns0:c>
      <ns0:c r="AL38" s="0">
        <ns0:f>AH38+AI38</ns0:f>
        <ns0:v>0</ns0:v>
      </ns0:c>
      <ns0:c r="AM38" s="0" t="str">
        <ns0:f>IF(X38=0,"",IF(AA38&gt;0,"CHECK team setup",IF(AB38&gt;0,"CHECK "&amp;AB38&amp;" booking(s)","OK")))</ns0:f>
        <ns0:v/>
      </ns0:c>
      <ns0:c r="AN38" s="0" t="str">
        <ns0:f>IF(X38=0,"",IF(OR($B$6&gt;0,AM38&lt;&gt;"OK"),"REVIEW",AG38-AL38))</ns0:f>
        <ns0:v/>
      </ns0:c>
      <ns0:c r="AO38" s="0">
        <ns0:f>IFERROR(MATCH(ROW()-11,$AC$11:$AC$60,0),0)</ns0:f>
        <ns0:v>0</ns0:v>
      </ns0:c>
      <ns0:c r="AP38" s="0" t="str">
        <ns0:f>IF(Team!H38="Work","W","O")&amp;IF(Team!I38="Work","W","O")&amp;IF(Team!J38="Work","W","O")&amp;IF(Team!K38="Work","W","O")&amp;IF(Team!L38="Work","W","O")&amp;IF(Team!M38="Work","W","O")&amp;IF(Team!N38="Work","W","O")</ns0:f>
        <ns0:v>WWWWWOO</ns0:v>
      </ns0:c>
      <ns0:c r="AR38" s="0">
        <ns0:f>IFERROR(IF(ISNUMBER(Settings!F38),WEEKDAY(Settings!F38,2),0),0)</ns0:f>
        <ns0:v>0</ns0:v>
      </ns0:c>
      <ns0:c r="BC38" s="0">
        <ns0:f>IF(OR($AO38=0,$B$5&lt;&gt;"OK",$B$6&gt;0,Calendar!D$11=""),0,SUMIFS(rngEngine_U,rngEngine_B,INDEX(Team!$A$11:$A$60,$AO38),rngAMStart,"&lt;="&amp;Calendar!D$11,rngAMEnd,"&gt;="&amp;Calendar!D$11))</ns0:f>
        <ns0:v>0</ns0:v>
      </ns0:c>
      <ns0:c r="BD38" s="0">
        <ns0:f>IF(OR($AO38=0,$B$5&lt;&gt;"OK",$B$6&gt;0,Calendar!D$11=""),0,SUMIFS(rngEngine_V,rngEngine_B,INDEX(Team!$A$11:$A$60,$AO38),rngPMStart,"&lt;="&amp;Calendar!D$11,rngPMEnd,"&gt;="&amp;Calendar!D$11))</ns0:f>
        <ns0:v>0</ns0:v>
      </ns0:c>
      <ns0:c r="BE38" s="0">
        <ns0:f>IF(OR($AO38=0,$B$5&lt;&gt;"OK",$B$6&gt;0,Calendar!E$11=""),0,SUMIFS(rngEngine_U,rngEngine_B,INDEX(Team!$A$11:$A$60,$AO38),rngAMStart,"&lt;="&amp;Calendar!E$11,rngAMEnd,"&gt;="&amp;Calendar!E$11))</ns0:f>
        <ns0:v>0</ns0:v>
      </ns0:c>
      <ns0:c r="BF38" s="0">
        <ns0:f>IF(OR($AO38=0,$B$5&lt;&gt;"OK",$B$6&gt;0,Calendar!E$11=""),0,SUMIFS(rngEngine_V,rngEngine_B,INDEX(Team!$A$11:$A$60,$AO38),rngPMStart,"&lt;="&amp;Calendar!E$11,rngPMEnd,"&gt;="&amp;Calendar!E$11))</ns0:f>
        <ns0:v>0</ns0:v>
      </ns0:c>
      <ns0:c r="BG38" s="0">
        <ns0:f>IF(OR($AO38=0,$B$5&lt;&gt;"OK",$B$6&gt;0,Calendar!F$11=""),0,SUMIFS(rngEngine_U,rngEngine_B,INDEX(Team!$A$11:$A$60,$AO38),rngAMStart,"&lt;="&amp;Calendar!F$11,rngAMEnd,"&gt;="&amp;Calendar!F$11))</ns0:f>
        <ns0:v>0</ns0:v>
      </ns0:c>
      <ns0:c r="BH38" s="0">
        <ns0:f>IF(OR($AO38=0,$B$5&lt;&gt;"OK",$B$6&gt;0,Calendar!F$11=""),0,SUMIFS(rngEngine_V,rngEngine_B,INDEX(Team!$A$11:$A$60,$AO38),rngPMStart,"&lt;="&amp;Calendar!F$11,rngPMEnd,"&gt;="&amp;Calendar!F$11))</ns0:f>
        <ns0:v>0</ns0:v>
      </ns0:c>
      <ns0:c r="BI38" s="0">
        <ns0:f>IF(OR($AO38=0,$B$5&lt;&gt;"OK",$B$6&gt;0,Calendar!G$11=""),0,SUMIFS(rngEngine_U,rngEngine_B,INDEX(Team!$A$11:$A$60,$AO38),rngAMStart,"&lt;="&amp;Calendar!G$11,rngAMEnd,"&gt;="&amp;Calendar!G$11))</ns0:f>
        <ns0:v>0</ns0:v>
      </ns0:c>
      <ns0:c r="BJ38" s="0">
        <ns0:f>IF(OR($AO38=0,$B$5&lt;&gt;"OK",$B$6&gt;0,Calendar!G$11=""),0,SUMIFS(rngEngine_V,rngEngine_B,INDEX(Team!$A$11:$A$60,$AO38),rngPMStart,"&lt;="&amp;Calendar!G$11,rngPMEnd,"&gt;="&amp;Calendar!G$11))</ns0:f>
        <ns0:v>0</ns0:v>
      </ns0:c>
      <ns0:c r="BK38" s="0">
        <ns0:f>IF(OR($AO38=0,$B$5&lt;&gt;"OK",$B$6&gt;0,Calendar!H$11=""),0,SUMIFS(rngEngine_U,rngEngine_B,INDEX(Team!$A$11:$A$60,$AO38),rngAMStart,"&lt;="&amp;Calendar!H$11,rngAMEnd,"&gt;="&amp;Calendar!H$11))</ns0:f>
        <ns0:v>0</ns0:v>
      </ns0:c>
      <ns0:c r="BL38" s="0">
        <ns0:f>IF(OR($AO38=0,$B$5&lt;&gt;"OK",$B$6&gt;0,Calendar!H$11=""),0,SUMIFS(rngEngine_V,rngEngine_B,INDEX(Team!$A$11:$A$60,$AO38),rngPMStart,"&lt;="&amp;Calendar!H$11,rngPMEnd,"&gt;="&amp;Calendar!H$11))</ns0:f>
        <ns0:v>0</ns0:v>
      </ns0:c>
      <ns0:c r="BM38" s="0">
        <ns0:f>IF(OR($AO38=0,$B$5&lt;&gt;"OK",$B$6&gt;0,Calendar!I$11=""),0,SUMIFS(rngEngine_U,rngEngine_B,INDEX(Team!$A$11:$A$60,$AO38),rngAMStart,"&lt;="&amp;Calendar!I$11,rngAMEnd,"&gt;="&amp;Calendar!I$11))</ns0:f>
        <ns0:v>0</ns0:v>
      </ns0:c>
      <ns0:c r="BN38" s="0">
        <ns0:f>IF(OR($AO38=0,$B$5&lt;&gt;"OK",$B$6&gt;0,Calendar!I$11=""),0,SUMIFS(rngEngine_V,rngEngine_B,INDEX(Team!$A$11:$A$60,$AO38),rngPMStart,"&lt;="&amp;Calendar!I$11,rngPMEnd,"&gt;="&amp;Calendar!I$11))</ns0:f>
        <ns0:v>0</ns0:v>
      </ns0:c>
      <ns0:c r="BO38" s="0">
        <ns0:f>IF(OR($AO38=0,$B$5&lt;&gt;"OK",$B$6&gt;0,Calendar!J$11=""),0,SUMIFS(rngEngine_U,rngEngine_B,INDEX(Team!$A$11:$A$60,$AO38),rngAMStart,"&lt;="&amp;Calendar!J$11,rngAMEnd,"&gt;="&amp;Calendar!J$11))</ns0:f>
        <ns0:v>0</ns0:v>
      </ns0:c>
      <ns0:c r="BP38" s="0">
        <ns0:f>IF(OR($AO38=0,$B$5&lt;&gt;"OK",$B$6&gt;0,Calendar!J$11=""),0,SUMIFS(rngEngine_V,rngEngine_B,INDEX(Team!$A$11:$A$60,$AO38),rngPMStart,"&lt;="&amp;Calendar!J$11,rngPMEnd,"&gt;="&amp;Calendar!J$11))</ns0:f>
        <ns0:v>0</ns0:v>
      </ns0:c>
      <ns0:c r="BQ38" s="0">
        <ns0:f>IF(OR($AO38=0,$B$5&lt;&gt;"OK",$B$6&gt;0,Calendar!K$11=""),0,SUMIFS(rngEngine_U,rngEngine_B,INDEX(Team!$A$11:$A$60,$AO38),rngAMStart,"&lt;="&amp;Calendar!K$11,rngAMEnd,"&gt;="&amp;Calendar!K$11))</ns0:f>
        <ns0:v>0</ns0:v>
      </ns0:c>
      <ns0:c r="BR38" s="0">
        <ns0:f>IF(OR($AO38=0,$B$5&lt;&gt;"OK",$B$6&gt;0,Calendar!K$11=""),0,SUMIFS(rngEngine_V,rngEngine_B,INDEX(Team!$A$11:$A$60,$AO38),rngPMStart,"&lt;="&amp;Calendar!K$11,rngPMEnd,"&gt;="&amp;Calendar!K$11))</ns0:f>
        <ns0:v>0</ns0:v>
      </ns0:c>
      <ns0:c r="BS38" s="0">
        <ns0:f>IF(OR($AO38=0,$B$5&lt;&gt;"OK",$B$6&gt;0,Calendar!L$11=""),0,SUMIFS(rngEngine_U,rngEngine_B,INDEX(Team!$A$11:$A$60,$AO38),rngAMStart,"&lt;="&amp;Calendar!L$11,rngAMEnd,"&gt;="&amp;Calendar!L$11))</ns0:f>
        <ns0:v>0</ns0:v>
      </ns0:c>
      <ns0:c r="BT38" s="0">
        <ns0:f>IF(OR($AO38=0,$B$5&lt;&gt;"OK",$B$6&gt;0,Calendar!L$11=""),0,SUMIFS(rngEngine_V,rngEngine_B,INDEX(Team!$A$11:$A$60,$AO38),rngPMStart,"&lt;="&amp;Calendar!L$11,rngPMEnd,"&gt;="&amp;Calendar!L$11))</ns0:f>
        <ns0:v>0</ns0:v>
      </ns0:c>
      <ns0:c r="BU38" s="0">
        <ns0:f>IF(OR($AO38=0,$B$5&lt;&gt;"OK",$B$6&gt;0,Calendar!M$11=""),0,SUMIFS(rngEngine_U,rngEngine_B,INDEX(Team!$A$11:$A$60,$AO38),rngAMStart,"&lt;="&amp;Calendar!M$11,rngAMEnd,"&gt;="&amp;Calendar!M$11))</ns0:f>
        <ns0:v>0</ns0:v>
      </ns0:c>
      <ns0:c r="BV38" s="0">
        <ns0:f>IF(OR($AO38=0,$B$5&lt;&gt;"OK",$B$6&gt;0,Calendar!M$11=""),0,SUMIFS(rngEngine_V,rngEngine_B,INDEX(Team!$A$11:$A$60,$AO38),rngPMStart,"&lt;="&amp;Calendar!M$11,rngPMEnd,"&gt;="&amp;Calendar!M$11))</ns0:f>
        <ns0:v>0</ns0:v>
      </ns0:c>
      <ns0:c r="BW38" s="0">
        <ns0:f>IF(OR($AO38=0,$B$5&lt;&gt;"OK",$B$6&gt;0,Calendar!N$11=""),0,SUMIFS(rngEngine_U,rngEngine_B,INDEX(Team!$A$11:$A$60,$AO38),rngAMStart,"&lt;="&amp;Calendar!N$11,rngAMEnd,"&gt;="&amp;Calendar!N$11))</ns0:f>
        <ns0:v>0</ns0:v>
      </ns0:c>
      <ns0:c r="BX38" s="0">
        <ns0:f>IF(OR($AO38=0,$B$5&lt;&gt;"OK",$B$6&gt;0,Calendar!N$11=""),0,SUMIFS(rngEngine_V,rngEngine_B,INDEX(Team!$A$11:$A$60,$AO38),rngPMStart,"&lt;="&amp;Calendar!N$11,rngPMEnd,"&gt;="&amp;Calendar!N$11))</ns0:f>
        <ns0:v>0</ns0:v>
      </ns0:c>
      <ns0:c r="BY38" s="0">
        <ns0:f>IF(OR($AO38=0,$B$5&lt;&gt;"OK",$B$6&gt;0,Calendar!O$11=""),0,SUMIFS(rngEngine_U,rngEngine_B,INDEX(Team!$A$11:$A$60,$AO38),rngAMStart,"&lt;="&amp;Calendar!O$11,rngAMEnd,"&gt;="&amp;Calendar!O$11))</ns0:f>
        <ns0:v>0</ns0:v>
      </ns0:c>
      <ns0:c r="BZ38" s="0">
        <ns0:f>IF(OR($AO38=0,$B$5&lt;&gt;"OK",$B$6&gt;0,Calendar!O$11=""),0,SUMIFS(rngEngine_V,rngEngine_B,INDEX(Team!$A$11:$A$60,$AO38),rngPMStart,"&lt;="&amp;Calendar!O$11,rngPMEnd,"&gt;="&amp;Calendar!O$11))</ns0:f>
        <ns0:v>0</ns0:v>
      </ns0:c>
      <ns0:c r="CA38" s="0">
        <ns0:f>IF(OR($AO38=0,$B$5&lt;&gt;"OK",$B$6&gt;0,Calendar!P$11=""),0,SUMIFS(rngEngine_U,rngEngine_B,INDEX(Team!$A$11:$A$60,$AO38),rngAMStart,"&lt;="&amp;Calendar!P$11,rngAMEnd,"&gt;="&amp;Calendar!P$11))</ns0:f>
        <ns0:v>0</ns0:v>
      </ns0:c>
      <ns0:c r="CB38" s="0">
        <ns0:f>IF(OR($AO38=0,$B$5&lt;&gt;"OK",$B$6&gt;0,Calendar!P$11=""),0,SUMIFS(rngEngine_V,rngEngine_B,INDEX(Team!$A$11:$A$60,$AO38),rngPMStart,"&lt;="&amp;Calendar!P$11,rngPMEnd,"&gt;="&amp;Calendar!P$11))</ns0:f>
        <ns0:v>0</ns0:v>
      </ns0:c>
      <ns0:c r="CC38" s="0">
        <ns0:f>IF(OR($AO38=0,$B$5&lt;&gt;"OK",$B$6&gt;0,Calendar!Q$11=""),0,SUMIFS(rngEngine_U,rngEngine_B,INDEX(Team!$A$11:$A$60,$AO38),rngAMStart,"&lt;="&amp;Calendar!Q$11,rngAMEnd,"&gt;="&amp;Calendar!Q$11))</ns0:f>
        <ns0:v>0</ns0:v>
      </ns0:c>
      <ns0:c r="CD38" s="0">
        <ns0:f>IF(OR($AO38=0,$B$5&lt;&gt;"OK",$B$6&gt;0,Calendar!Q$11=""),0,SUMIFS(rngEngine_V,rngEngine_B,INDEX(Team!$A$11:$A$60,$AO38),rngPMStart,"&lt;="&amp;Calendar!Q$11,rngPMEnd,"&gt;="&amp;Calendar!Q$11))</ns0:f>
        <ns0:v>0</ns0:v>
      </ns0:c>
      <ns0:c r="CE38" s="0">
        <ns0:f>IF(OR($AO38=0,$B$5&lt;&gt;"OK",$B$6&gt;0,Calendar!R$11=""),0,SUMIFS(rngEngine_U,rngEngine_B,INDEX(Team!$A$11:$A$60,$AO38),rngAMStart,"&lt;="&amp;Calendar!R$11,rngAMEnd,"&gt;="&amp;Calendar!R$11))</ns0:f>
        <ns0:v>0</ns0:v>
      </ns0:c>
      <ns0:c r="CF38" s="0">
        <ns0:f>IF(OR($AO38=0,$B$5&lt;&gt;"OK",$B$6&gt;0,Calendar!R$11=""),0,SUMIFS(rngEngine_V,rngEngine_B,INDEX(Team!$A$11:$A$60,$AO38),rngPMStart,"&lt;="&amp;Calendar!R$11,rngPMEnd,"&gt;="&amp;Calendar!R$11))</ns0:f>
        <ns0:v>0</ns0:v>
      </ns0:c>
      <ns0:c r="CG38" s="0">
        <ns0:f>IF(OR($AO38=0,$B$5&lt;&gt;"OK",$B$6&gt;0,Calendar!S$11=""),0,SUMIFS(rngEngine_U,rngEngine_B,INDEX(Team!$A$11:$A$60,$AO38),rngAMStart,"&lt;="&amp;Calendar!S$11,rngAMEnd,"&gt;="&amp;Calendar!S$11))</ns0:f>
        <ns0:v>0</ns0:v>
      </ns0:c>
      <ns0:c r="CH38" s="0">
        <ns0:f>IF(OR($AO38=0,$B$5&lt;&gt;"OK",$B$6&gt;0,Calendar!S$11=""),0,SUMIFS(rngEngine_V,rngEngine_B,INDEX(Team!$A$11:$A$60,$AO38),rngPMStart,"&lt;="&amp;Calendar!S$11,rngPMEnd,"&gt;="&amp;Calendar!S$11))</ns0:f>
        <ns0:v>0</ns0:v>
      </ns0:c>
      <ns0:c r="CI38" s="0">
        <ns0:f>IF(OR($AO38=0,$B$5&lt;&gt;"OK",$B$6&gt;0,Calendar!T$11=""),0,SUMIFS(rngEngine_U,rngEngine_B,INDEX(Team!$A$11:$A$60,$AO38),rngAMStart,"&lt;="&amp;Calendar!T$11,rngAMEnd,"&gt;="&amp;Calendar!T$11))</ns0:f>
        <ns0:v>0</ns0:v>
      </ns0:c>
      <ns0:c r="CJ38" s="0">
        <ns0:f>IF(OR($AO38=0,$B$5&lt;&gt;"OK",$B$6&gt;0,Calendar!T$11=""),0,SUMIFS(rngEngine_V,rngEngine_B,INDEX(Team!$A$11:$A$60,$AO38),rngPMStart,"&lt;="&amp;Calendar!T$11,rngPMEnd,"&gt;="&amp;Calendar!T$11))</ns0:f>
        <ns0:v>0</ns0:v>
      </ns0:c>
      <ns0:c r="CK38" s="0">
        <ns0:f>IF(OR($AO38=0,$B$5&lt;&gt;"OK",$B$6&gt;0,Calendar!U$11=""),0,SUMIFS(rngEngine_U,rngEngine_B,INDEX(Team!$A$11:$A$60,$AO38),rngAMStart,"&lt;="&amp;Calendar!U$11,rngAMEnd,"&gt;="&amp;Calendar!U$11))</ns0:f>
        <ns0:v>0</ns0:v>
      </ns0:c>
      <ns0:c r="CL38" s="0">
        <ns0:f>IF(OR($AO38=0,$B$5&lt;&gt;"OK",$B$6&gt;0,Calendar!U$11=""),0,SUMIFS(rngEngine_V,rngEngine_B,INDEX(Team!$A$11:$A$60,$AO38),rngPMStart,"&lt;="&amp;Calendar!U$11,rngPMEnd,"&gt;="&amp;Calendar!U$11))</ns0:f>
        <ns0:v>0</ns0:v>
      </ns0:c>
      <ns0:c r="CM38" s="0">
        <ns0:f>IF(OR($AO38=0,$B$5&lt;&gt;"OK",$B$6&gt;0,Calendar!V$11=""),0,SUMIFS(rngEngine_U,rngEngine_B,INDEX(Team!$A$11:$A$60,$AO38),rngAMStart,"&lt;="&amp;Calendar!V$11,rngAMEnd,"&gt;="&amp;Calendar!V$11))</ns0:f>
        <ns0:v>0</ns0:v>
      </ns0:c>
      <ns0:c r="CN38" s="0">
        <ns0:f>IF(OR($AO38=0,$B$5&lt;&gt;"OK",$B$6&gt;0,Calendar!V$11=""),0,SUMIFS(rngEngine_V,rngEngine_B,INDEX(Team!$A$11:$A$60,$AO38),rngPMStart,"&lt;="&amp;Calendar!V$11,rngPMEnd,"&gt;="&amp;Calendar!V$11))</ns0:f>
        <ns0:v>0</ns0:v>
      </ns0:c>
      <ns0:c r="CO38" s="0">
        <ns0:f>IF(OR($AO38=0,$B$5&lt;&gt;"OK",$B$6&gt;0,Calendar!W$11=""),0,SUMIFS(rngEngine_U,rngEngine_B,INDEX(Team!$A$11:$A$60,$AO38),rngAMStart,"&lt;="&amp;Calendar!W$11,rngAMEnd,"&gt;="&amp;Calendar!W$11))</ns0:f>
        <ns0:v>0</ns0:v>
      </ns0:c>
      <ns0:c r="CP38" s="0">
        <ns0:f>IF(OR($AO38=0,$B$5&lt;&gt;"OK",$B$6&gt;0,Calendar!W$11=""),0,SUMIFS(rngEngine_V,rngEngine_B,INDEX(Team!$A$11:$A$60,$AO38),rngPMStart,"&lt;="&amp;Calendar!W$11,rngPMEnd,"&gt;="&amp;Calendar!W$11))</ns0:f>
        <ns0:v>0</ns0:v>
      </ns0:c>
      <ns0:c r="CQ38" s="0">
        <ns0:f>IF(OR($AO38=0,$B$5&lt;&gt;"OK",$B$6&gt;0,Calendar!X$11=""),0,SUMIFS(rngEngine_U,rngEngine_B,INDEX(Team!$A$11:$A$60,$AO38),rngAMStart,"&lt;="&amp;Calendar!X$11,rngAMEnd,"&gt;="&amp;Calendar!X$11))</ns0:f>
        <ns0:v>0</ns0:v>
      </ns0:c>
      <ns0:c r="CR38" s="0">
        <ns0:f>IF(OR($AO38=0,$B$5&lt;&gt;"OK",$B$6&gt;0,Calendar!X$11=""),0,SUMIFS(rngEngine_V,rngEngine_B,INDEX(Team!$A$11:$A$60,$AO38),rngPMStart,"&lt;="&amp;Calendar!X$11,rngPMEnd,"&gt;="&amp;Calendar!X$11))</ns0:f>
        <ns0:v>0</ns0:v>
      </ns0:c>
      <ns0:c r="CS38" s="0">
        <ns0:f>IF(OR($AO38=0,$B$5&lt;&gt;"OK",$B$6&gt;0,Calendar!Y$11=""),0,SUMIFS(rngEngine_U,rngEngine_B,INDEX(Team!$A$11:$A$60,$AO38),rngAMStart,"&lt;="&amp;Calendar!Y$11,rngAMEnd,"&gt;="&amp;Calendar!Y$11))</ns0:f>
        <ns0:v>0</ns0:v>
      </ns0:c>
      <ns0:c r="CT38" s="0">
        <ns0:f>IF(OR($AO38=0,$B$5&lt;&gt;"OK",$B$6&gt;0,Calendar!Y$11=""),0,SUMIFS(rngEngine_V,rngEngine_B,INDEX(Team!$A$11:$A$60,$AO38),rngPMStart,"&lt;="&amp;Calendar!Y$11,rngPMEnd,"&gt;="&amp;Calendar!Y$11))</ns0:f>
        <ns0:v>0</ns0:v>
      </ns0:c>
      <ns0:c r="CU38" s="0">
        <ns0:f>IF(OR($AO38=0,$B$5&lt;&gt;"OK",$B$6&gt;0,Calendar!Z$11=""),0,SUMIFS(rngEngine_U,rngEngine_B,INDEX(Team!$A$11:$A$60,$AO38),rngAMStart,"&lt;="&amp;Calendar!Z$11,rngAMEnd,"&gt;="&amp;Calendar!Z$11))</ns0:f>
        <ns0:v>0</ns0:v>
      </ns0:c>
      <ns0:c r="CV38" s="0">
        <ns0:f>IF(OR($AO38=0,$B$5&lt;&gt;"OK",$B$6&gt;0,Calendar!Z$11=""),0,SUMIFS(rngEngine_V,rngEngine_B,INDEX(Team!$A$11:$A$60,$AO38),rngPMStart,"&lt;="&amp;Calendar!Z$11,rngPMEnd,"&gt;="&amp;Calendar!Z$11))</ns0:f>
        <ns0:v>0</ns0:v>
      </ns0:c>
      <ns0:c r="CW38" s="0">
        <ns0:f>IF(OR($AO38=0,$B$5&lt;&gt;"OK",$B$6&gt;0,Calendar!AA$11=""),0,SUMIFS(rngEngine_U,rngEngine_B,INDEX(Team!$A$11:$A$60,$AO38),rngAMStart,"&lt;="&amp;Calendar!AA$11,rngAMEnd,"&gt;="&amp;Calendar!AA$11))</ns0:f>
        <ns0:v>0</ns0:v>
      </ns0:c>
      <ns0:c r="CX38" s="0">
        <ns0:f>IF(OR($AO38=0,$B$5&lt;&gt;"OK",$B$6&gt;0,Calendar!AA$11=""),0,SUMIFS(rngEngine_V,rngEngine_B,INDEX(Team!$A$11:$A$60,$AO38),rngPMStart,"&lt;="&amp;Calendar!AA$11,rngPMEnd,"&gt;="&amp;Calendar!AA$11))</ns0:f>
        <ns0:v>0</ns0:v>
      </ns0:c>
      <ns0:c r="CY38" s="0">
        <ns0:f>IF(OR($AO38=0,$B$5&lt;&gt;"OK",$B$6&gt;0,Calendar!AB$11=""),0,SUMIFS(rngEngine_U,rngEngine_B,INDEX(Team!$A$11:$A$60,$AO38),rngAMStart,"&lt;="&amp;Calendar!AB$11,rngAMEnd,"&gt;="&amp;Calendar!AB$11))</ns0:f>
        <ns0:v>0</ns0:v>
      </ns0:c>
      <ns0:c r="CZ38" s="0">
        <ns0:f>IF(OR($AO38=0,$B$5&lt;&gt;"OK",$B$6&gt;0,Calendar!AB$11=""),0,SUMIFS(rngEngine_V,rngEngine_B,INDEX(Team!$A$11:$A$60,$AO38),rngPMStart,"&lt;="&amp;Calendar!AB$11,rngPMEnd,"&gt;="&amp;Calendar!AB$11))</ns0:f>
        <ns0:v>0</ns0:v>
      </ns0:c>
      <ns0:c r="DA38" s="0">
        <ns0:f>IF(OR($AO38=0,$B$5&lt;&gt;"OK",$B$6&gt;0,Calendar!AC$11=""),0,SUMIFS(rngEngine_U,rngEngine_B,INDEX(Team!$A$11:$A$60,$AO38),rngAMStart,"&lt;="&amp;Calendar!AC$11,rngAMEnd,"&gt;="&amp;Calendar!AC$11))</ns0:f>
        <ns0:v>0</ns0:v>
      </ns0:c>
      <ns0:c r="DB38" s="0">
        <ns0:f>IF(OR($AO38=0,$B$5&lt;&gt;"OK",$B$6&gt;0,Calendar!AC$11=""),0,SUMIFS(rngEngine_V,rngEngine_B,INDEX(Team!$A$11:$A$60,$AO38),rngPMStart,"&lt;="&amp;Calendar!AC$11,rngPMEnd,"&gt;="&amp;Calendar!AC$11))</ns0:f>
        <ns0:v>0</ns0:v>
      </ns0:c>
      <ns0:c r="DC38" s="0">
        <ns0:f>IF(OR($AO38=0,$B$5&lt;&gt;"OK",$B$6&gt;0,Calendar!AD$11=""),0,SUMIFS(rngEngine_U,rngEngine_B,INDEX(Team!$A$11:$A$60,$AO38),rngAMStart,"&lt;="&amp;Calendar!AD$11,rngAMEnd,"&gt;="&amp;Calendar!AD$11))</ns0:f>
        <ns0:v>0</ns0:v>
      </ns0:c>
      <ns0:c r="DD38" s="0">
        <ns0:f>IF(OR($AO38=0,$B$5&lt;&gt;"OK",$B$6&gt;0,Calendar!AD$11=""),0,SUMIFS(rngEngine_V,rngEngine_B,INDEX(Team!$A$11:$A$60,$AO38),rngPMStart,"&lt;="&amp;Calendar!AD$11,rngPMEnd,"&gt;="&amp;Calendar!AD$11))</ns0:f>
        <ns0:v>0</ns0:v>
      </ns0:c>
      <ns0:c r="DE38" s="0">
        <ns0:f>IF(OR($AO38=0,$B$5&lt;&gt;"OK",$B$6&gt;0,Calendar!AE$11=""),0,SUMIFS(rngEngine_U,rngEngine_B,INDEX(Team!$A$11:$A$60,$AO38),rngAMStart,"&lt;="&amp;Calendar!AE$11,rngAMEnd,"&gt;="&amp;Calendar!AE$11))</ns0:f>
        <ns0:v>0</ns0:v>
      </ns0:c>
      <ns0:c r="DF38" s="0">
        <ns0:f>IF(OR($AO38=0,$B$5&lt;&gt;"OK",$B$6&gt;0,Calendar!AE$11=""),0,SUMIFS(rngEngine_V,rngEngine_B,INDEX(Team!$A$11:$A$60,$AO38),rngPMStart,"&lt;="&amp;Calendar!AE$11,rngPMEnd,"&gt;="&amp;Calendar!AE$11))</ns0:f>
        <ns0:v>0</ns0:v>
      </ns0:c>
      <ns0:c r="DG38" s="0">
        <ns0:f>IF(OR($AO38=0,$B$5&lt;&gt;"OK",$B$6&gt;0,Calendar!AF$11=""),0,SUMIFS(rngEngine_U,rngEngine_B,INDEX(Team!$A$11:$A$60,$AO38),rngAMStart,"&lt;="&amp;Calendar!AF$11,rngAMEnd,"&gt;="&amp;Calendar!AF$11))</ns0:f>
        <ns0:v>0</ns0:v>
      </ns0:c>
      <ns0:c r="DH38" s="0">
        <ns0:f>IF(OR($AO38=0,$B$5&lt;&gt;"OK",$B$6&gt;0,Calendar!AF$11=""),0,SUMIFS(rngEngine_V,rngEngine_B,INDEX(Team!$A$11:$A$60,$AO38),rngPMStart,"&lt;="&amp;Calendar!AF$11,rngPMEnd,"&gt;="&amp;Calendar!AF$11))</ns0:f>
        <ns0:v>0</ns0:v>
      </ns0:c>
      <ns0:c r="DI38" s="0">
        <ns0:f>IF(OR($AO38=0,$B$5&lt;&gt;"OK",$B$6&gt;0,Calendar!AG$11=""),0,SUMIFS(rngEngine_U,rngEngine_B,INDEX(Team!$A$11:$A$60,$AO38),rngAMStart,"&lt;="&amp;Calendar!AG$11,rngAMEnd,"&gt;="&amp;Calendar!AG$11))</ns0:f>
        <ns0:v>0</ns0:v>
      </ns0:c>
      <ns0:c r="DJ38" s="0">
        <ns0:f>IF(OR($AO38=0,$B$5&lt;&gt;"OK",$B$6&gt;0,Calendar!AG$11=""),0,SUMIFS(rngEngine_V,rngEngine_B,INDEX(Team!$A$11:$A$60,$AO38),rngPMStart,"&lt;="&amp;Calendar!AG$11,rngPMEnd,"&gt;="&amp;Calendar!AG$11))</ns0:f>
        <ns0:v>0</ns0:v>
      </ns0:c>
      <ns0:c r="DK38" s="0">
        <ns0:f>IF(OR($AO38=0,$B$5&lt;&gt;"OK",$B$6&gt;0,Calendar!AH$11=""),0,SUMIFS(rngEngine_U,rngEngine_B,INDEX(Team!$A$11:$A$60,$AO38),rngAMStart,"&lt;="&amp;Calendar!AH$11,rngAMEnd,"&gt;="&amp;Calendar!AH$11))</ns0:f>
        <ns0:v>0</ns0:v>
      </ns0:c>
      <ns0:c r="DL38" s="0">
        <ns0:f>IF(OR($AO38=0,$B$5&lt;&gt;"OK",$B$6&gt;0,Calendar!AH$11=""),0,SUMIFS(rngEngine_V,rngEngine_B,INDEX(Team!$A$11:$A$60,$AO38),rngPMStart,"&lt;="&amp;Calendar!AH$11,rngPMEnd,"&gt;="&amp;Calendar!AH$11))</ns0:f>
        <ns0:v>0</ns0:v>
      </ns0:c>
    </ns0:row>
    <ns0:row r="39" ht="22" customHeight="1">
      <ns0:c r="A39" s="4">
        <ns0:f>IF(COUNTA(Bookings!A39:G39,Bookings!I39)=0,0,1)</ns0:f>
        <ns0:v>0</ns0:v>
      </ns0:c>
      <ns0:c r="B39" s="4">
        <ns0:f>IFERROR(TRIM(MID(Bookings!A39,FIND(" · ",Bookings!A39)+3,99)),"")</ns0:f>
        <ns0:v>99</ns0:v>
      </ns0:c>
      <ns0:c r="C39" s="4">
        <ns0:f>IF(OR(B39="",LEN(B39)&gt;24,ISNUMBER(FIND(" ",B39)),ISNUMBER(FIND("*",B39)),ISNUMBER(FIND("?",B39)),ISNUMBER(FIND("~",B39))),0,IFERROR(MATCH(B39,Team!$A$11:$A$60,0),0))</ns0:f>
        <ns0:v>0</ns0:v>
      </ns0:c>
      <ns0:c r="D39" s="4" t="str">
        <ns0:f>IFERROR(IF(MID(Bookings!F39,LEN(Bookings!F39)-3,3)=" · ",RIGHT(Bookings!F39,1),""),"")</ns0:f>
        <ns0:v/>
      </ns0:c>
      <ns0:c r="E39" s="4" t="str">
        <ns0:f>IFERROR(INDEX(Settings!$H$7:$H$11,MATCH(D39,Settings!$G$7:$G$11,0)),"")</ns0:f>
        <ns0:v/>
      </ns0:c>
      <ns0:c r="F39" s="4" t="str">
        <ns0:f>IF(A39=0,"",IFERROR(IF(OR(B39="",C39=0),"CHECK employee selection",IF(INDEX(Team!$O$11:$O$60,C39)&lt;&gt;"OK","CHECK employee setup",IF(OR('_Dates'!J39=0,'_Dates'!T39=0),"CHECK date: use DD.MM.YYYY",IF('_Dates'!T39&lt;'_Dates'!J39,"CHECK end before start",IF(AND($B$6=0,OR('_Dates'!J39&lt;Settings!$B$7,'_Dates'!T39&gt;Settings!$B$8)),"CHECK split across leave years",IF(OR(NOT(OR('_Dates'!U39="Full day",'_Dates'!U39="AM",'_Dates'!U39="PM")),NOT(OR('_Dates'!V39="Full day",'_Dates'!V39="AM",'_Dates'!V39="PM"))),"CHECK Full day / AM / PM",IF(AND('_Dates'!J39='_Dates'!T39,'_Dates'!U39&lt;&gt;"Full day",'_Dates'!V39&lt;&gt;"Full day",'_Dates'!U39&lt;&gt;'_Dates'!V39),"CHECK same-day portions disagree",IF(AND($B$6=0,OR(AND('_Dates'!U39&lt;&gt;"Full day",'_Dates'!AA39=0),AND('_Dates'!V39&lt;&gt;"Full day",'_Dates'!AB39=0))),"CHECK half-day on non-working date",IF(COUNTIF(Settings!$G$7:$G$11,D39)&lt;&gt;1,"CHECK leave type",IF(AND(Bookings!G39&lt;&gt;"Approved",Bookings!G39&lt;&gt;"Pending",Bookings!G39&lt;&gt;"Cancelled"),"CHECK status","OK")))))))))),"CHECK input"))</ns0:f>
        <ns0:v/>
      </ns0:c>
      <ns0:c r="G39" s="4">
        <ns0:f>IF(OR(F39&lt;&gt;"OK",$B$6&gt;0),0,0.5*(IF(('_Dates'!X39)&lt;('_Dates'!W39),0,INT((('_Dates'!X39)-('_Dates'!W39)+1)/7)*LEN(SUBSTITUTE(W39,"O",""))+LEN(SUBSTITUTE(MID(W39&amp;W39,WEEKDAY(('_Dates'!W39),2),MOD((('_Dates'!X39)-('_Dates'!W39)+1),7)),"O",""))-COUNTIFS(INDEX(AllClosureRows,C39,0),"&gt;="&amp;('_Dates'!W39),INDEX(AllClosureRows,C39,0),"&lt;="&amp;('_Dates'!X39)))+IF(('_Dates'!Z39)&lt;('_Dates'!Y39),0,INT((('_Dates'!Z39)-('_Dates'!Y39)+1)/7)*LEN(SUBSTITUTE(W39,"O",""))+LEN(SUBSTITUTE(MID(W39&amp;W39,WEEKDAY(('_Dates'!Y39),2),MOD((('_Dates'!Z39)-('_Dates'!Y39)+1),7)),"O",""))-COUNTIFS(INDEX(AllClosureRows,C39,0),"&gt;="&amp;('_Dates'!Y39),INDEX(AllClosureRows,C39,0),"&lt;="&amp;('_Dates'!Z39)))))</ns0:f>
        <ns0:v>0</ns0:v>
      </ns0:c>
      <ns0:c r="H39" s="4">
        <ns0:f>IF(OR(F39&lt;&gt;"OK",$B$6&gt;0),0,0.5*(IF((MIN('_Dates'!X39,Settings!$B$9))&lt;('_Dates'!W39),0,INT(((MIN('_Dates'!X39,Settings!$B$9))-('_Dates'!W39)+1)/7)*LEN(SUBSTITUTE(W39,"O",""))+LEN(SUBSTITUTE(MID(W39&amp;W39,WEEKDAY(('_Dates'!W39),2),MOD(((MIN('_Dates'!X39,Settings!$B$9))-('_Dates'!W39)+1),7)),"O",""))-COUNTIFS(INDEX(AllClosureRows,C39,0),"&gt;="&amp;('_Dates'!W39),INDEX(AllClosureRows,C39,0),"&lt;="&amp;(MIN('_Dates'!X39,Settings!$B$9))))+IF((MIN('_Dates'!Z39,Settings!$B$9))&lt;('_Dates'!Y39),0,INT(((MIN('_Dates'!Z39,Settings!$B$9))-('_Dates'!Y39)+1)/7)*LEN(SUBSTITUTE(W39,"O",""))+LEN(SUBSTITUTE(MID(W39&amp;W39,WEEKDAY(('_Dates'!Y39),2),MOD(((MIN('_Dates'!Z39,Settings!$B$9))-('_Dates'!Y39)+1),7)),"O",""))-COUNTIFS(INDEX(AllClosureRows,C39,0),"&gt;="&amp;('_Dates'!Y39),INDEX(AllClosureRows,C39,0),"&lt;="&amp;(MIN('_Dates'!Z39,Settings!$B$9))))))</ns0:f>
        <ns0:v>0</ns0:v>
      </ns0:c>
      <ns0:c r="I39" s="4">
        <ns0:f>MAX(0,G39-H39)</ns0:f>
        <ns0:v>0</ns0:v>
      </ns0:c>
      <ns0:c r="J39" s="4">
        <ns0:f>IF(OR(A39=0,F39&lt;&gt;"OK",Bookings!G39="Cancelled",$B$6&gt;0),0,IF('_Dates'!AC39=1,MAX(0,COUNTIFS(rngEngine_B,B39,rngAMStart,"&lt;="&amp;'_Dates'!X39,rngAMEnd,"&gt;="&amp;'_Dates'!W39,rngAMActive,1,rngEngine_F,"OK",rngBookings_F,"&lt;&gt;Cancelled")-1),0)+IF('_Dates'!AD39=1,MAX(0,COUNTIFS(rngEngine_B,B39,rngPMStart,"&lt;="&amp;'_Dates'!Z39,rngPMEnd,"&gt;="&amp;'_Dates'!Y39,rngPMActive,1,rngEngine_F,"OK",rngBookings_F,"&lt;&gt;Cancelled")-1),0))</ns0:f>
        <ns0:v>0</ns0:v>
      </ns0:c>
      <ns0:c r="K39" s="0" t="str">
        <ns0:f>IF(A39=0,"",IF(F39&lt;&gt;"OK",F39,IF(J39&gt;0,"CHECK overlapping entry",IF(AND($B$6=0,G39&lt;=0,Bookings!G39&lt;&gt;"Cancelled"),"CHECK no working days",IF(Bookings!G39="Cancelled","Cancelled","OK")))))</ns0:f>
        <ns0:v/>
      </ns0:c>
      <ns0:c r="L39" s="0">
        <ns0:f>IF(LEFT(K39,5)="CHECK",1,0)</ns0:f>
        <ns0:v>0</ns0:v>
      </ns0:c>
      <ns0:c r="M39" s="0">
        <ns0:f>IF(AND(L39=1,OR(C39=0,IFERROR(INDEX($X$11:$X$60,C39),0)=0)),1,0)</ns0:f>
        <ns0:v>0</ns0:v>
      </ns0:c>
      <ns0:c r="N39" s="0">
        <ns0:f>IF(OR(A39=0,L39&gt;0,$B$6&gt;0,Bookings!G39="Cancelled"),0,G39)</ns0:f>
        <ns0:v>0</ns0:v>
      </ns0:c>
      <ns0:c r="O39" s="0">
        <ns0:f>IF(AND(Bookings!G39="Approved",E39="Yes"),N39,0)</ns0:f>
        <ns0:v>0</ns0:v>
      </ns0:c>
      <ns0:c r="P39" s="0">
        <ns0:f>IF(AND(Bookings!G39="Approved",E39="Yes",L39=0,$B$6=0),H39,0)</ns0:f>
        <ns0:v>0</ns0:v>
      </ns0:c>
      <ns0:c r="Q39" s="0">
        <ns0:f>IF(AND(Bookings!G39="Approved",E39="Yes",L39=0,$B$6=0),I39,0)</ns0:f>
        <ns0:v>0</ns0:v>
      </ns0:c>
      <ns0:c r="R39" s="0">
        <ns0:f>IF(AND(Bookings!G39="Pending",E39="Yes"),N39,0)</ns0:f>
        <ns0:v>0</ns0:v>
      </ns0:c>
      <ns0:c r="S39" s="0">
        <ns0:f>IF(AND(Bookings!G39="Approved",E39="No"),N39,0)</ns0:f>
        <ns0:v>0</ns0:v>
      </ns0:c>
      <ns0:c r="T39" s="0">
        <ns0:f>IFERROR(MATCH(D39,Settings!$G$7:$G$11,0),0)</ns0:f>
        <ns0:v>0</ns0:v>
      </ns0:c>
      <ns0:c r="U39" s="0">
        <ns0:f>IF(N39&gt;0,T39+IF(Bookings!G39="Pending",10,0),0)</ns0:f>
        <ns0:v>0</ns0:v>
      </ns0:c>
      <ns0:c r="V39" s="0">
        <ns0:f>U39</ns0:f>
        <ns0:v>0</ns0:v>
      </ns0:c>
      <ns0:c r="W39" s="0" t="str">
        <ns0:f>IF(C39=0,"",INDEX($AP$11:$AP$60,C39))</ns0:f>
        <ns0:v/>
      </ns0:c>
      <ns0:c r="X39" s="0">
        <ns0:f>IF(COUNTA(Team!B39:D39)=0,0,1)</ns0:f>
        <ns0:v>0</ns0:v>
      </ns0:c>
      <ns0:c r="Y39" s="0" t="str">
        <ns0:f>IF(X39=0,"",IF(Team!B39="","[Unnamed]",Team!B39)&amp;" · "&amp;Team!A39)</ns0:f>
        <ns0:v/>
      </ns0:c>
      <ns0:c r="Z39" s="0">
        <ns0:f>IF(X39=0,0,COUNTIF(Team!H39:N39,"Work"))</ns0:f>
        <ns0:v>0</ns0:v>
      </ns0:c>
      <ns0:c r="AA39" s="0">
        <ns0:f>IF(LEFT(Team!O39,5)="CHECK",1,0)</ns0:f>
        <ns0:v>0</ns0:v>
      </ns0:c>
      <ns0:c r="AB39" s="0">
        <ns0:f>IF(X39=0,0,SUMIFS(rngEngine_L,rngEngine_B,Team!A39))</ns0:f>
        <ns0:v>0</ns0:v>
      </ns0:c>
      <ns0:c r="AC39" s="0" t="str">
        <ns0:f>IF(AND(X39=1,OR(Calendar!$C$7="All teams",Team!C39=Calendar!$C$7)),MAX($AC$10:AC38)+1,"")</ns0:f>
        <ns0:v/>
      </ns0:c>
      <ns0:c r="AD39" s="0" t="str">
        <ns0:f>IF(OR(X39=0,Team!C39="",COUNTIF(Team!$C$11:C39,Team!C39)&gt;1),"",MAX($AD$10:AD38)+1)</ns0:f>
        <ns0:v/>
      </ns0:c>
      <ns0:c r="AE39" s="0" t="str">
        <ns0:f>IFERROR(INDEX(Team!$C$11:$C$60,MATCH(ROW()-10,$AD$11:$AD$60,0)),"")</ns0:f>
        <ns0:v/>
      </ns0:c>
      <ns0:c r="AF39" s="0" t="str">
        <ns0:f>AE39</ns0:f>
        <ns0:v/>
      </ns0:c>
      <ns0:c r="AG39" s="0">
        <ns0:f>IF(X39=0,0,IFERROR(Team!F39+Team!G39,0))</ns0:f>
        <ns0:v>0</ns0:v>
      </ns0:c>
      <ns0:c r="AH39" s="0">
        <ns0:f>IF(X39=0,0,SUMIFS(rngEngine_P,rngEngine_B,Team!A39))</ns0:f>
        <ns0:v>0</ns0:v>
      </ns0:c>
      <ns0:c r="AI39" s="0">
        <ns0:f>IF(X39=0,0,SUMIFS(rngEngine_Q,rngEngine_B,Team!A39))</ns0:f>
        <ns0:v>0</ns0:v>
      </ns0:c>
      <ns0:c r="AJ39" s="0">
        <ns0:f>IF(X39=0,0,SUMIFS(rngEngine_R,rngEngine_B,Team!A39))</ns0:f>
        <ns0:v>0</ns0:v>
      </ns0:c>
      <ns0:c r="AK39" s="0">
        <ns0:f>IF(X39=0,0,SUMIFS(rngEngine_S,rngEngine_B,Team!A39))</ns0:f>
        <ns0:v>0</ns0:v>
      </ns0:c>
      <ns0:c r="AL39" s="0">
        <ns0:f>AH39+AI39</ns0:f>
        <ns0:v>0</ns0:v>
      </ns0:c>
      <ns0:c r="AM39" s="0" t="str">
        <ns0:f>IF(X39=0,"",IF(AA39&gt;0,"CHECK team setup",IF(AB39&gt;0,"CHECK "&amp;AB39&amp;" booking(s)","OK")))</ns0:f>
        <ns0:v/>
      </ns0:c>
      <ns0:c r="AN39" s="0" t="str">
        <ns0:f>IF(X39=0,"",IF(OR($B$6&gt;0,AM39&lt;&gt;"OK"),"REVIEW",AG39-AL39))</ns0:f>
        <ns0:v/>
      </ns0:c>
      <ns0:c r="AO39" s="0">
        <ns0:f>IFERROR(MATCH(ROW()-11,$AC$11:$AC$60,0),0)</ns0:f>
        <ns0:v>0</ns0:v>
      </ns0:c>
      <ns0:c r="AP39" s="0" t="str">
        <ns0:f>IF(Team!H39="Work","W","O")&amp;IF(Team!I39="Work","W","O")&amp;IF(Team!J39="Work","W","O")&amp;IF(Team!K39="Work","W","O")&amp;IF(Team!L39="Work","W","O")&amp;IF(Team!M39="Work","W","O")&amp;IF(Team!N39="Work","W","O")</ns0:f>
        <ns0:v>WWWWWOO</ns0:v>
      </ns0:c>
      <ns0:c r="AR39" s="0">
        <ns0:f>IFERROR(IF(ISNUMBER(Settings!F39),WEEKDAY(Settings!F39,2),0),0)</ns0:f>
        <ns0:v>0</ns0:v>
      </ns0:c>
      <ns0:c r="BC39" s="0">
        <ns0:f>IF(OR($AO39=0,$B$5&lt;&gt;"OK",$B$6&gt;0,Calendar!D$11=""),0,SUMIFS(rngEngine_U,rngEngine_B,INDEX(Team!$A$11:$A$60,$AO39),rngAMStart,"&lt;="&amp;Calendar!D$11,rngAMEnd,"&gt;="&amp;Calendar!D$11))</ns0:f>
        <ns0:v>0</ns0:v>
      </ns0:c>
      <ns0:c r="BD39" s="0">
        <ns0:f>IF(OR($AO39=0,$B$5&lt;&gt;"OK",$B$6&gt;0,Calendar!D$11=""),0,SUMIFS(rngEngine_V,rngEngine_B,INDEX(Team!$A$11:$A$60,$AO39),rngPMStart,"&lt;="&amp;Calendar!D$11,rngPMEnd,"&gt;="&amp;Calendar!D$11))</ns0:f>
        <ns0:v>0</ns0:v>
      </ns0:c>
      <ns0:c r="BE39" s="0">
        <ns0:f>IF(OR($AO39=0,$B$5&lt;&gt;"OK",$B$6&gt;0,Calendar!E$11=""),0,SUMIFS(rngEngine_U,rngEngine_B,INDEX(Team!$A$11:$A$60,$AO39),rngAMStart,"&lt;="&amp;Calendar!E$11,rngAMEnd,"&gt;="&amp;Calendar!E$11))</ns0:f>
        <ns0:v>0</ns0:v>
      </ns0:c>
      <ns0:c r="BF39" s="0">
        <ns0:f>IF(OR($AO39=0,$B$5&lt;&gt;"OK",$B$6&gt;0,Calendar!E$11=""),0,SUMIFS(rngEngine_V,rngEngine_B,INDEX(Team!$A$11:$A$60,$AO39),rngPMStart,"&lt;="&amp;Calendar!E$11,rngPMEnd,"&gt;="&amp;Calendar!E$11))</ns0:f>
        <ns0:v>0</ns0:v>
      </ns0:c>
      <ns0:c r="BG39" s="0">
        <ns0:f>IF(OR($AO39=0,$B$5&lt;&gt;"OK",$B$6&gt;0,Calendar!F$11=""),0,SUMIFS(rngEngine_U,rngEngine_B,INDEX(Team!$A$11:$A$60,$AO39),rngAMStart,"&lt;="&amp;Calendar!F$11,rngAMEnd,"&gt;="&amp;Calendar!F$11))</ns0:f>
        <ns0:v>0</ns0:v>
      </ns0:c>
      <ns0:c r="BH39" s="0">
        <ns0:f>IF(OR($AO39=0,$B$5&lt;&gt;"OK",$B$6&gt;0,Calendar!F$11=""),0,SUMIFS(rngEngine_V,rngEngine_B,INDEX(Team!$A$11:$A$60,$AO39),rngPMStart,"&lt;="&amp;Calendar!F$11,rngPMEnd,"&gt;="&amp;Calendar!F$11))</ns0:f>
        <ns0:v>0</ns0:v>
      </ns0:c>
      <ns0:c r="BI39" s="0">
        <ns0:f>IF(OR($AO39=0,$B$5&lt;&gt;"OK",$B$6&gt;0,Calendar!G$11=""),0,SUMIFS(rngEngine_U,rngEngine_B,INDEX(Team!$A$11:$A$60,$AO39),rngAMStart,"&lt;="&amp;Calendar!G$11,rngAMEnd,"&gt;="&amp;Calendar!G$11))</ns0:f>
        <ns0:v>0</ns0:v>
      </ns0:c>
      <ns0:c r="BJ39" s="0">
        <ns0:f>IF(OR($AO39=0,$B$5&lt;&gt;"OK",$B$6&gt;0,Calendar!G$11=""),0,SUMIFS(rngEngine_V,rngEngine_B,INDEX(Team!$A$11:$A$60,$AO39),rngPMStart,"&lt;="&amp;Calendar!G$11,rngPMEnd,"&gt;="&amp;Calendar!G$11))</ns0:f>
        <ns0:v>0</ns0:v>
      </ns0:c>
      <ns0:c r="BK39" s="0">
        <ns0:f>IF(OR($AO39=0,$B$5&lt;&gt;"OK",$B$6&gt;0,Calendar!H$11=""),0,SUMIFS(rngEngine_U,rngEngine_B,INDEX(Team!$A$11:$A$60,$AO39),rngAMStart,"&lt;="&amp;Calendar!H$11,rngAMEnd,"&gt;="&amp;Calendar!H$11))</ns0:f>
        <ns0:v>0</ns0:v>
      </ns0:c>
      <ns0:c r="BL39" s="0">
        <ns0:f>IF(OR($AO39=0,$B$5&lt;&gt;"OK",$B$6&gt;0,Calendar!H$11=""),0,SUMIFS(rngEngine_V,rngEngine_B,INDEX(Team!$A$11:$A$60,$AO39),rngPMStart,"&lt;="&amp;Calendar!H$11,rngPMEnd,"&gt;="&amp;Calendar!H$11))</ns0:f>
        <ns0:v>0</ns0:v>
      </ns0:c>
      <ns0:c r="BM39" s="0">
        <ns0:f>IF(OR($AO39=0,$B$5&lt;&gt;"OK",$B$6&gt;0,Calendar!I$11=""),0,SUMIFS(rngEngine_U,rngEngine_B,INDEX(Team!$A$11:$A$60,$AO39),rngAMStart,"&lt;="&amp;Calendar!I$11,rngAMEnd,"&gt;="&amp;Calendar!I$11))</ns0:f>
        <ns0:v>0</ns0:v>
      </ns0:c>
      <ns0:c r="BN39" s="0">
        <ns0:f>IF(OR($AO39=0,$B$5&lt;&gt;"OK",$B$6&gt;0,Calendar!I$11=""),0,SUMIFS(rngEngine_V,rngEngine_B,INDEX(Team!$A$11:$A$60,$AO39),rngPMStart,"&lt;="&amp;Calendar!I$11,rngPMEnd,"&gt;="&amp;Calendar!I$11))</ns0:f>
        <ns0:v>0</ns0:v>
      </ns0:c>
      <ns0:c r="BO39" s="0">
        <ns0:f>IF(OR($AO39=0,$B$5&lt;&gt;"OK",$B$6&gt;0,Calendar!J$11=""),0,SUMIFS(rngEngine_U,rngEngine_B,INDEX(Team!$A$11:$A$60,$AO39),rngAMStart,"&lt;="&amp;Calendar!J$11,rngAMEnd,"&gt;="&amp;Calendar!J$11))</ns0:f>
        <ns0:v>0</ns0:v>
      </ns0:c>
      <ns0:c r="BP39" s="0">
        <ns0:f>IF(OR($AO39=0,$B$5&lt;&gt;"OK",$B$6&gt;0,Calendar!J$11=""),0,SUMIFS(rngEngine_V,rngEngine_B,INDEX(Team!$A$11:$A$60,$AO39),rngPMStart,"&lt;="&amp;Calendar!J$11,rngPMEnd,"&gt;="&amp;Calendar!J$11))</ns0:f>
        <ns0:v>0</ns0:v>
      </ns0:c>
      <ns0:c r="BQ39" s="0">
        <ns0:f>IF(OR($AO39=0,$B$5&lt;&gt;"OK",$B$6&gt;0,Calendar!K$11=""),0,SUMIFS(rngEngine_U,rngEngine_B,INDEX(Team!$A$11:$A$60,$AO39),rngAMStart,"&lt;="&amp;Calendar!K$11,rngAMEnd,"&gt;="&amp;Calendar!K$11))</ns0:f>
        <ns0:v>0</ns0:v>
      </ns0:c>
      <ns0:c r="BR39" s="0">
        <ns0:f>IF(OR($AO39=0,$B$5&lt;&gt;"OK",$B$6&gt;0,Calendar!K$11=""),0,SUMIFS(rngEngine_V,rngEngine_B,INDEX(Team!$A$11:$A$60,$AO39),rngPMStart,"&lt;="&amp;Calendar!K$11,rngPMEnd,"&gt;="&amp;Calendar!K$11))</ns0:f>
        <ns0:v>0</ns0:v>
      </ns0:c>
      <ns0:c r="BS39" s="0">
        <ns0:f>IF(OR($AO39=0,$B$5&lt;&gt;"OK",$B$6&gt;0,Calendar!L$11=""),0,SUMIFS(rngEngine_U,rngEngine_B,INDEX(Team!$A$11:$A$60,$AO39),rngAMStart,"&lt;="&amp;Calendar!L$11,rngAMEnd,"&gt;="&amp;Calendar!L$11))</ns0:f>
        <ns0:v>0</ns0:v>
      </ns0:c>
      <ns0:c r="BT39" s="0">
        <ns0:f>IF(OR($AO39=0,$B$5&lt;&gt;"OK",$B$6&gt;0,Calendar!L$11=""),0,SUMIFS(rngEngine_V,rngEngine_B,INDEX(Team!$A$11:$A$60,$AO39),rngPMStart,"&lt;="&amp;Calendar!L$11,rngPMEnd,"&gt;="&amp;Calendar!L$11))</ns0:f>
        <ns0:v>0</ns0:v>
      </ns0:c>
      <ns0:c r="BU39" s="0">
        <ns0:f>IF(OR($AO39=0,$B$5&lt;&gt;"OK",$B$6&gt;0,Calendar!M$11=""),0,SUMIFS(rngEngine_U,rngEngine_B,INDEX(Team!$A$11:$A$60,$AO39),rngAMStart,"&lt;="&amp;Calendar!M$11,rngAMEnd,"&gt;="&amp;Calendar!M$11))</ns0:f>
        <ns0:v>0</ns0:v>
      </ns0:c>
      <ns0:c r="BV39" s="0">
        <ns0:f>IF(OR($AO39=0,$B$5&lt;&gt;"OK",$B$6&gt;0,Calendar!M$11=""),0,SUMIFS(rngEngine_V,rngEngine_B,INDEX(Team!$A$11:$A$60,$AO39),rngPMStart,"&lt;="&amp;Calendar!M$11,rngPMEnd,"&gt;="&amp;Calendar!M$11))</ns0:f>
        <ns0:v>0</ns0:v>
      </ns0:c>
      <ns0:c r="BW39" s="0">
        <ns0:f>IF(OR($AO39=0,$B$5&lt;&gt;"OK",$B$6&gt;0,Calendar!N$11=""),0,SUMIFS(rngEngine_U,rngEngine_B,INDEX(Team!$A$11:$A$60,$AO39),rngAMStart,"&lt;="&amp;Calendar!N$11,rngAMEnd,"&gt;="&amp;Calendar!N$11))</ns0:f>
        <ns0:v>0</ns0:v>
      </ns0:c>
      <ns0:c r="BX39" s="0">
        <ns0:f>IF(OR($AO39=0,$B$5&lt;&gt;"OK",$B$6&gt;0,Calendar!N$11=""),0,SUMIFS(rngEngine_V,rngEngine_B,INDEX(Team!$A$11:$A$60,$AO39),rngPMStart,"&lt;="&amp;Calendar!N$11,rngPMEnd,"&gt;="&amp;Calendar!N$11))</ns0:f>
        <ns0:v>0</ns0:v>
      </ns0:c>
      <ns0:c r="BY39" s="0">
        <ns0:f>IF(OR($AO39=0,$B$5&lt;&gt;"OK",$B$6&gt;0,Calendar!O$11=""),0,SUMIFS(rngEngine_U,rngEngine_B,INDEX(Team!$A$11:$A$60,$AO39),rngAMStart,"&lt;="&amp;Calendar!O$11,rngAMEnd,"&gt;="&amp;Calendar!O$11))</ns0:f>
        <ns0:v>0</ns0:v>
      </ns0:c>
      <ns0:c r="BZ39" s="0">
        <ns0:f>IF(OR($AO39=0,$B$5&lt;&gt;"OK",$B$6&gt;0,Calendar!O$11=""),0,SUMIFS(rngEngine_V,rngEngine_B,INDEX(Team!$A$11:$A$60,$AO39),rngPMStart,"&lt;="&amp;Calendar!O$11,rngPMEnd,"&gt;="&amp;Calendar!O$11))</ns0:f>
        <ns0:v>0</ns0:v>
      </ns0:c>
      <ns0:c r="CA39" s="0">
        <ns0:f>IF(OR($AO39=0,$B$5&lt;&gt;"OK",$B$6&gt;0,Calendar!P$11=""),0,SUMIFS(rngEngine_U,rngEngine_B,INDEX(Team!$A$11:$A$60,$AO39),rngAMStart,"&lt;="&amp;Calendar!P$11,rngAMEnd,"&gt;="&amp;Calendar!P$11))</ns0:f>
        <ns0:v>0</ns0:v>
      </ns0:c>
      <ns0:c r="CB39" s="0">
        <ns0:f>IF(OR($AO39=0,$B$5&lt;&gt;"OK",$B$6&gt;0,Calendar!P$11=""),0,SUMIFS(rngEngine_V,rngEngine_B,INDEX(Team!$A$11:$A$60,$AO39),rngPMStart,"&lt;="&amp;Calendar!P$11,rngPMEnd,"&gt;="&amp;Calendar!P$11))</ns0:f>
        <ns0:v>0</ns0:v>
      </ns0:c>
      <ns0:c r="CC39" s="0">
        <ns0:f>IF(OR($AO39=0,$B$5&lt;&gt;"OK",$B$6&gt;0,Calendar!Q$11=""),0,SUMIFS(rngEngine_U,rngEngine_B,INDEX(Team!$A$11:$A$60,$AO39),rngAMStart,"&lt;="&amp;Calendar!Q$11,rngAMEnd,"&gt;="&amp;Calendar!Q$11))</ns0:f>
        <ns0:v>0</ns0:v>
      </ns0:c>
      <ns0:c r="CD39" s="0">
        <ns0:f>IF(OR($AO39=0,$B$5&lt;&gt;"OK",$B$6&gt;0,Calendar!Q$11=""),0,SUMIFS(rngEngine_V,rngEngine_B,INDEX(Team!$A$11:$A$60,$AO39),rngPMStart,"&lt;="&amp;Calendar!Q$11,rngPMEnd,"&gt;="&amp;Calendar!Q$11))</ns0:f>
        <ns0:v>0</ns0:v>
      </ns0:c>
      <ns0:c r="CE39" s="0">
        <ns0:f>IF(OR($AO39=0,$B$5&lt;&gt;"OK",$B$6&gt;0,Calendar!R$11=""),0,SUMIFS(rngEngine_U,rngEngine_B,INDEX(Team!$A$11:$A$60,$AO39),rngAMStart,"&lt;="&amp;Calendar!R$11,rngAMEnd,"&gt;="&amp;Calendar!R$11))</ns0:f>
        <ns0:v>0</ns0:v>
      </ns0:c>
      <ns0:c r="CF39" s="0">
        <ns0:f>IF(OR($AO39=0,$B$5&lt;&gt;"OK",$B$6&gt;0,Calendar!R$11=""),0,SUMIFS(rngEngine_V,rngEngine_B,INDEX(Team!$A$11:$A$60,$AO39),rngPMStart,"&lt;="&amp;Calendar!R$11,rngPMEnd,"&gt;="&amp;Calendar!R$11))</ns0:f>
        <ns0:v>0</ns0:v>
      </ns0:c>
      <ns0:c r="CG39" s="0">
        <ns0:f>IF(OR($AO39=0,$B$5&lt;&gt;"OK",$B$6&gt;0,Calendar!S$11=""),0,SUMIFS(rngEngine_U,rngEngine_B,INDEX(Team!$A$11:$A$60,$AO39),rngAMStart,"&lt;="&amp;Calendar!S$11,rngAMEnd,"&gt;="&amp;Calendar!S$11))</ns0:f>
        <ns0:v>0</ns0:v>
      </ns0:c>
      <ns0:c r="CH39" s="0">
        <ns0:f>IF(OR($AO39=0,$B$5&lt;&gt;"OK",$B$6&gt;0,Calendar!S$11=""),0,SUMIFS(rngEngine_V,rngEngine_B,INDEX(Team!$A$11:$A$60,$AO39),rngPMStart,"&lt;="&amp;Calendar!S$11,rngPMEnd,"&gt;="&amp;Calendar!S$11))</ns0:f>
        <ns0:v>0</ns0:v>
      </ns0:c>
      <ns0:c r="CI39" s="0">
        <ns0:f>IF(OR($AO39=0,$B$5&lt;&gt;"OK",$B$6&gt;0,Calendar!T$11=""),0,SUMIFS(rngEngine_U,rngEngine_B,INDEX(Team!$A$11:$A$60,$AO39),rngAMStart,"&lt;="&amp;Calendar!T$11,rngAMEnd,"&gt;="&amp;Calendar!T$11))</ns0:f>
        <ns0:v>0</ns0:v>
      </ns0:c>
      <ns0:c r="CJ39" s="0">
        <ns0:f>IF(OR($AO39=0,$B$5&lt;&gt;"OK",$B$6&gt;0,Calendar!T$11=""),0,SUMIFS(rngEngine_V,rngEngine_B,INDEX(Team!$A$11:$A$60,$AO39),rngPMStart,"&lt;="&amp;Calendar!T$11,rngPMEnd,"&gt;="&amp;Calendar!T$11))</ns0:f>
        <ns0:v>0</ns0:v>
      </ns0:c>
      <ns0:c r="CK39" s="0">
        <ns0:f>IF(OR($AO39=0,$B$5&lt;&gt;"OK",$B$6&gt;0,Calendar!U$11=""),0,SUMIFS(rngEngine_U,rngEngine_B,INDEX(Team!$A$11:$A$60,$AO39),rngAMStart,"&lt;="&amp;Calendar!U$11,rngAMEnd,"&gt;="&amp;Calendar!U$11))</ns0:f>
        <ns0:v>0</ns0:v>
      </ns0:c>
      <ns0:c r="CL39" s="0">
        <ns0:f>IF(OR($AO39=0,$B$5&lt;&gt;"OK",$B$6&gt;0,Calendar!U$11=""),0,SUMIFS(rngEngine_V,rngEngine_B,INDEX(Team!$A$11:$A$60,$AO39),rngPMStart,"&lt;="&amp;Calendar!U$11,rngPMEnd,"&gt;="&amp;Calendar!U$11))</ns0:f>
        <ns0:v>0</ns0:v>
      </ns0:c>
      <ns0:c r="CM39" s="0">
        <ns0:f>IF(OR($AO39=0,$B$5&lt;&gt;"OK",$B$6&gt;0,Calendar!V$11=""),0,SUMIFS(rngEngine_U,rngEngine_B,INDEX(Team!$A$11:$A$60,$AO39),rngAMStart,"&lt;="&amp;Calendar!V$11,rngAMEnd,"&gt;="&amp;Calendar!V$11))</ns0:f>
        <ns0:v>0</ns0:v>
      </ns0:c>
      <ns0:c r="CN39" s="0">
        <ns0:f>IF(OR($AO39=0,$B$5&lt;&gt;"OK",$B$6&gt;0,Calendar!V$11=""),0,SUMIFS(rngEngine_V,rngEngine_B,INDEX(Team!$A$11:$A$60,$AO39),rngPMStart,"&lt;="&amp;Calendar!V$11,rngPMEnd,"&gt;="&amp;Calendar!V$11))</ns0:f>
        <ns0:v>0</ns0:v>
      </ns0:c>
      <ns0:c r="CO39" s="0">
        <ns0:f>IF(OR($AO39=0,$B$5&lt;&gt;"OK",$B$6&gt;0,Calendar!W$11=""),0,SUMIFS(rngEngine_U,rngEngine_B,INDEX(Team!$A$11:$A$60,$AO39),rngAMStart,"&lt;="&amp;Calendar!W$11,rngAMEnd,"&gt;="&amp;Calendar!W$11))</ns0:f>
        <ns0:v>0</ns0:v>
      </ns0:c>
      <ns0:c r="CP39" s="0">
        <ns0:f>IF(OR($AO39=0,$B$5&lt;&gt;"OK",$B$6&gt;0,Calendar!W$11=""),0,SUMIFS(rngEngine_V,rngEngine_B,INDEX(Team!$A$11:$A$60,$AO39),rngPMStart,"&lt;="&amp;Calendar!W$11,rngPMEnd,"&gt;="&amp;Calendar!W$11))</ns0:f>
        <ns0:v>0</ns0:v>
      </ns0:c>
      <ns0:c r="CQ39" s="0">
        <ns0:f>IF(OR($AO39=0,$B$5&lt;&gt;"OK",$B$6&gt;0,Calendar!X$11=""),0,SUMIFS(rngEngine_U,rngEngine_B,INDEX(Team!$A$11:$A$60,$AO39),rngAMStart,"&lt;="&amp;Calendar!X$11,rngAMEnd,"&gt;="&amp;Calendar!X$11))</ns0:f>
        <ns0:v>0</ns0:v>
      </ns0:c>
      <ns0:c r="CR39" s="0">
        <ns0:f>IF(OR($AO39=0,$B$5&lt;&gt;"OK",$B$6&gt;0,Calendar!X$11=""),0,SUMIFS(rngEngine_V,rngEngine_B,INDEX(Team!$A$11:$A$60,$AO39),rngPMStart,"&lt;="&amp;Calendar!X$11,rngPMEnd,"&gt;="&amp;Calendar!X$11))</ns0:f>
        <ns0:v>0</ns0:v>
      </ns0:c>
      <ns0:c r="CS39" s="0">
        <ns0:f>IF(OR($AO39=0,$B$5&lt;&gt;"OK",$B$6&gt;0,Calendar!Y$11=""),0,SUMIFS(rngEngine_U,rngEngine_B,INDEX(Team!$A$11:$A$60,$AO39),rngAMStart,"&lt;="&amp;Calendar!Y$11,rngAMEnd,"&gt;="&amp;Calendar!Y$11))</ns0:f>
        <ns0:v>0</ns0:v>
      </ns0:c>
      <ns0:c r="CT39" s="0">
        <ns0:f>IF(OR($AO39=0,$B$5&lt;&gt;"OK",$B$6&gt;0,Calendar!Y$11=""),0,SUMIFS(rngEngine_V,rngEngine_B,INDEX(Team!$A$11:$A$60,$AO39),rngPMStart,"&lt;="&amp;Calendar!Y$11,rngPMEnd,"&gt;="&amp;Calendar!Y$11))</ns0:f>
        <ns0:v>0</ns0:v>
      </ns0:c>
      <ns0:c r="CU39" s="0">
        <ns0:f>IF(OR($AO39=0,$B$5&lt;&gt;"OK",$B$6&gt;0,Calendar!Z$11=""),0,SUMIFS(rngEngine_U,rngEngine_B,INDEX(Team!$A$11:$A$60,$AO39),rngAMStart,"&lt;="&amp;Calendar!Z$11,rngAMEnd,"&gt;="&amp;Calendar!Z$11))</ns0:f>
        <ns0:v>0</ns0:v>
      </ns0:c>
      <ns0:c r="CV39" s="0">
        <ns0:f>IF(OR($AO39=0,$B$5&lt;&gt;"OK",$B$6&gt;0,Calendar!Z$11=""),0,SUMIFS(rngEngine_V,rngEngine_B,INDEX(Team!$A$11:$A$60,$AO39),rngPMStart,"&lt;="&amp;Calendar!Z$11,rngPMEnd,"&gt;="&amp;Calendar!Z$11))</ns0:f>
        <ns0:v>0</ns0:v>
      </ns0:c>
      <ns0:c r="CW39" s="0">
        <ns0:f>IF(OR($AO39=0,$B$5&lt;&gt;"OK",$B$6&gt;0,Calendar!AA$11=""),0,SUMIFS(rngEngine_U,rngEngine_B,INDEX(Team!$A$11:$A$60,$AO39),rngAMStart,"&lt;="&amp;Calendar!AA$11,rngAMEnd,"&gt;="&amp;Calendar!AA$11))</ns0:f>
        <ns0:v>0</ns0:v>
      </ns0:c>
      <ns0:c r="CX39" s="0">
        <ns0:f>IF(OR($AO39=0,$B$5&lt;&gt;"OK",$B$6&gt;0,Calendar!AA$11=""),0,SUMIFS(rngEngine_V,rngEngine_B,INDEX(Team!$A$11:$A$60,$AO39),rngPMStart,"&lt;="&amp;Calendar!AA$11,rngPMEnd,"&gt;="&amp;Calendar!AA$11))</ns0:f>
        <ns0:v>0</ns0:v>
      </ns0:c>
      <ns0:c r="CY39" s="0">
        <ns0:f>IF(OR($AO39=0,$B$5&lt;&gt;"OK",$B$6&gt;0,Calendar!AB$11=""),0,SUMIFS(rngEngine_U,rngEngine_B,INDEX(Team!$A$11:$A$60,$AO39),rngAMStart,"&lt;="&amp;Calendar!AB$11,rngAMEnd,"&gt;="&amp;Calendar!AB$11))</ns0:f>
        <ns0:v>0</ns0:v>
      </ns0:c>
      <ns0:c r="CZ39" s="0">
        <ns0:f>IF(OR($AO39=0,$B$5&lt;&gt;"OK",$B$6&gt;0,Calendar!AB$11=""),0,SUMIFS(rngEngine_V,rngEngine_B,INDEX(Team!$A$11:$A$60,$AO39),rngPMStart,"&lt;="&amp;Calendar!AB$11,rngPMEnd,"&gt;="&amp;Calendar!AB$11))</ns0:f>
        <ns0:v>0</ns0:v>
      </ns0:c>
      <ns0:c r="DA39" s="0">
        <ns0:f>IF(OR($AO39=0,$B$5&lt;&gt;"OK",$B$6&gt;0,Calendar!AC$11=""),0,SUMIFS(rngEngine_U,rngEngine_B,INDEX(Team!$A$11:$A$60,$AO39),rngAMStart,"&lt;="&amp;Calendar!AC$11,rngAMEnd,"&gt;="&amp;Calendar!AC$11))</ns0:f>
        <ns0:v>0</ns0:v>
      </ns0:c>
      <ns0:c r="DB39" s="0">
        <ns0:f>IF(OR($AO39=0,$B$5&lt;&gt;"OK",$B$6&gt;0,Calendar!AC$11=""),0,SUMIFS(rngEngine_V,rngEngine_B,INDEX(Team!$A$11:$A$60,$AO39),rngPMStart,"&lt;="&amp;Calendar!AC$11,rngPMEnd,"&gt;="&amp;Calendar!AC$11))</ns0:f>
        <ns0:v>0</ns0:v>
      </ns0:c>
      <ns0:c r="DC39" s="0">
        <ns0:f>IF(OR($AO39=0,$B$5&lt;&gt;"OK",$B$6&gt;0,Calendar!AD$11=""),0,SUMIFS(rngEngine_U,rngEngine_B,INDEX(Team!$A$11:$A$60,$AO39),rngAMStart,"&lt;="&amp;Calendar!AD$11,rngAMEnd,"&gt;="&amp;Calendar!AD$11))</ns0:f>
        <ns0:v>0</ns0:v>
      </ns0:c>
      <ns0:c r="DD39" s="0">
        <ns0:f>IF(OR($AO39=0,$B$5&lt;&gt;"OK",$B$6&gt;0,Calendar!AD$11=""),0,SUMIFS(rngEngine_V,rngEngine_B,INDEX(Team!$A$11:$A$60,$AO39),rngPMStart,"&lt;="&amp;Calendar!AD$11,rngPMEnd,"&gt;="&amp;Calendar!AD$11))</ns0:f>
        <ns0:v>0</ns0:v>
      </ns0:c>
      <ns0:c r="DE39" s="0">
        <ns0:f>IF(OR($AO39=0,$B$5&lt;&gt;"OK",$B$6&gt;0,Calendar!AE$11=""),0,SUMIFS(rngEngine_U,rngEngine_B,INDEX(Team!$A$11:$A$60,$AO39),rngAMStart,"&lt;="&amp;Calendar!AE$11,rngAMEnd,"&gt;="&amp;Calendar!AE$11))</ns0:f>
        <ns0:v>0</ns0:v>
      </ns0:c>
      <ns0:c r="DF39" s="0">
        <ns0:f>IF(OR($AO39=0,$B$5&lt;&gt;"OK",$B$6&gt;0,Calendar!AE$11=""),0,SUMIFS(rngEngine_V,rngEngine_B,INDEX(Team!$A$11:$A$60,$AO39),rngPMStart,"&lt;="&amp;Calendar!AE$11,rngPMEnd,"&gt;="&amp;Calendar!AE$11))</ns0:f>
        <ns0:v>0</ns0:v>
      </ns0:c>
      <ns0:c r="DG39" s="0">
        <ns0:f>IF(OR($AO39=0,$B$5&lt;&gt;"OK",$B$6&gt;0,Calendar!AF$11=""),0,SUMIFS(rngEngine_U,rngEngine_B,INDEX(Team!$A$11:$A$60,$AO39),rngAMStart,"&lt;="&amp;Calendar!AF$11,rngAMEnd,"&gt;="&amp;Calendar!AF$11))</ns0:f>
        <ns0:v>0</ns0:v>
      </ns0:c>
      <ns0:c r="DH39" s="0">
        <ns0:f>IF(OR($AO39=0,$B$5&lt;&gt;"OK",$B$6&gt;0,Calendar!AF$11=""),0,SUMIFS(rngEngine_V,rngEngine_B,INDEX(Team!$A$11:$A$60,$AO39),rngPMStart,"&lt;="&amp;Calendar!AF$11,rngPMEnd,"&gt;="&amp;Calendar!AF$11))</ns0:f>
        <ns0:v>0</ns0:v>
      </ns0:c>
      <ns0:c r="DI39" s="0">
        <ns0:f>IF(OR($AO39=0,$B$5&lt;&gt;"OK",$B$6&gt;0,Calendar!AG$11=""),0,SUMIFS(rngEngine_U,rngEngine_B,INDEX(Team!$A$11:$A$60,$AO39),rngAMStart,"&lt;="&amp;Calendar!AG$11,rngAMEnd,"&gt;="&amp;Calendar!AG$11))</ns0:f>
        <ns0:v>0</ns0:v>
      </ns0:c>
      <ns0:c r="DJ39" s="0">
        <ns0:f>IF(OR($AO39=0,$B$5&lt;&gt;"OK",$B$6&gt;0,Calendar!AG$11=""),0,SUMIFS(rngEngine_V,rngEngine_B,INDEX(Team!$A$11:$A$60,$AO39),rngPMStart,"&lt;="&amp;Calendar!AG$11,rngPMEnd,"&gt;="&amp;Calendar!AG$11))</ns0:f>
        <ns0:v>0</ns0:v>
      </ns0:c>
      <ns0:c r="DK39" s="0">
        <ns0:f>IF(OR($AO39=0,$B$5&lt;&gt;"OK",$B$6&gt;0,Calendar!AH$11=""),0,SUMIFS(rngEngine_U,rngEngine_B,INDEX(Team!$A$11:$A$60,$AO39),rngAMStart,"&lt;="&amp;Calendar!AH$11,rngAMEnd,"&gt;="&amp;Calendar!AH$11))</ns0:f>
        <ns0:v>0</ns0:v>
      </ns0:c>
      <ns0:c r="DL39" s="0">
        <ns0:f>IF(OR($AO39=0,$B$5&lt;&gt;"OK",$B$6&gt;0,Calendar!AH$11=""),0,SUMIFS(rngEngine_V,rngEngine_B,INDEX(Team!$A$11:$A$60,$AO39),rngPMStart,"&lt;="&amp;Calendar!AH$11,rngPMEnd,"&gt;="&amp;Calendar!AH$11))</ns0:f>
        <ns0:v>0</ns0:v>
      </ns0:c>
    </ns0:row>
    <ns0:row r="40" ht="22" customHeight="1">
      <ns0:c r="A40" s="4">
        <ns0:f>IF(COUNTA(Bookings!A40:G40,Bookings!I40)=0,0,1)</ns0:f>
        <ns0:v>0</ns0:v>
      </ns0:c>
      <ns0:c r="B40" s="4">
        <ns0:f>IFERROR(TRIM(MID(Bookings!A40,FIND(" · ",Bookings!A40)+3,99)),"")</ns0:f>
        <ns0:v>99</ns0:v>
      </ns0:c>
      <ns0:c r="C40" s="4">
        <ns0:f>IF(OR(B40="",LEN(B40)&gt;24,ISNUMBER(FIND(" ",B40)),ISNUMBER(FIND("*",B40)),ISNUMBER(FIND("?",B40)),ISNUMBER(FIND("~",B40))),0,IFERROR(MATCH(B40,Team!$A$11:$A$60,0),0))</ns0:f>
        <ns0:v>0</ns0:v>
      </ns0:c>
      <ns0:c r="D40" s="4" t="str">
        <ns0:f>IFERROR(IF(MID(Bookings!F40,LEN(Bookings!F40)-3,3)=" · ",RIGHT(Bookings!F40,1),""),"")</ns0:f>
        <ns0:v/>
      </ns0:c>
      <ns0:c r="E40" s="4" t="str">
        <ns0:f>IFERROR(INDEX(Settings!$H$7:$H$11,MATCH(D40,Settings!$G$7:$G$11,0)),"")</ns0:f>
        <ns0:v/>
      </ns0:c>
      <ns0:c r="F40" s="4" t="str">
        <ns0:f>IF(A40=0,"",IFERROR(IF(OR(B40="",C40=0),"CHECK employee selection",IF(INDEX(Team!$O$11:$O$60,C40)&lt;&gt;"OK","CHECK employee setup",IF(OR('_Dates'!J40=0,'_Dates'!T40=0),"CHECK date: use DD.MM.YYYY",IF('_Dates'!T40&lt;'_Dates'!J40,"CHECK end before start",IF(AND($B$6=0,OR('_Dates'!J40&lt;Settings!$B$7,'_Dates'!T40&gt;Settings!$B$8)),"CHECK split across leave years",IF(OR(NOT(OR('_Dates'!U40="Full day",'_Dates'!U40="AM",'_Dates'!U40="PM")),NOT(OR('_Dates'!V40="Full day",'_Dates'!V40="AM",'_Dates'!V40="PM"))),"CHECK Full day / AM / PM",IF(AND('_Dates'!J40='_Dates'!T40,'_Dates'!U40&lt;&gt;"Full day",'_Dates'!V40&lt;&gt;"Full day",'_Dates'!U40&lt;&gt;'_Dates'!V40),"CHECK same-day portions disagree",IF(AND($B$6=0,OR(AND('_Dates'!U40&lt;&gt;"Full day",'_Dates'!AA40=0),AND('_Dates'!V40&lt;&gt;"Full day",'_Dates'!AB40=0))),"CHECK half-day on non-working date",IF(COUNTIF(Settings!$G$7:$G$11,D40)&lt;&gt;1,"CHECK leave type",IF(AND(Bookings!G40&lt;&gt;"Approved",Bookings!G40&lt;&gt;"Pending",Bookings!G40&lt;&gt;"Cancelled"),"CHECK status","OK")))))))))),"CHECK input"))</ns0:f>
        <ns0:v/>
      </ns0:c>
      <ns0:c r="G40" s="4">
        <ns0:f>IF(OR(F40&lt;&gt;"OK",$B$6&gt;0),0,0.5*(IF(('_Dates'!X40)&lt;('_Dates'!W40),0,INT((('_Dates'!X40)-('_Dates'!W40)+1)/7)*LEN(SUBSTITUTE(W40,"O",""))+LEN(SUBSTITUTE(MID(W40&amp;W40,WEEKDAY(('_Dates'!W40),2),MOD((('_Dates'!X40)-('_Dates'!W40)+1),7)),"O",""))-COUNTIFS(INDEX(AllClosureRows,C40,0),"&gt;="&amp;('_Dates'!W40),INDEX(AllClosureRows,C40,0),"&lt;="&amp;('_Dates'!X40)))+IF(('_Dates'!Z40)&lt;('_Dates'!Y40),0,INT((('_Dates'!Z40)-('_Dates'!Y40)+1)/7)*LEN(SUBSTITUTE(W40,"O",""))+LEN(SUBSTITUTE(MID(W40&amp;W40,WEEKDAY(('_Dates'!Y40),2),MOD((('_Dates'!Z40)-('_Dates'!Y40)+1),7)),"O",""))-COUNTIFS(INDEX(AllClosureRows,C40,0),"&gt;="&amp;('_Dates'!Y40),INDEX(AllClosureRows,C40,0),"&lt;="&amp;('_Dates'!Z40)))))</ns0:f>
        <ns0:v>0</ns0:v>
      </ns0:c>
      <ns0:c r="H40" s="4">
        <ns0:f>IF(OR(F40&lt;&gt;"OK",$B$6&gt;0),0,0.5*(IF((MIN('_Dates'!X40,Settings!$B$9))&lt;('_Dates'!W40),0,INT(((MIN('_Dates'!X40,Settings!$B$9))-('_Dates'!W40)+1)/7)*LEN(SUBSTITUTE(W40,"O",""))+LEN(SUBSTITUTE(MID(W40&amp;W40,WEEKDAY(('_Dates'!W40),2),MOD(((MIN('_Dates'!X40,Settings!$B$9))-('_Dates'!W40)+1),7)),"O",""))-COUNTIFS(INDEX(AllClosureRows,C40,0),"&gt;="&amp;('_Dates'!W40),INDEX(AllClosureRows,C40,0),"&lt;="&amp;(MIN('_Dates'!X40,Settings!$B$9))))+IF((MIN('_Dates'!Z40,Settings!$B$9))&lt;('_Dates'!Y40),0,INT(((MIN('_Dates'!Z40,Settings!$B$9))-('_Dates'!Y40)+1)/7)*LEN(SUBSTITUTE(W40,"O",""))+LEN(SUBSTITUTE(MID(W40&amp;W40,WEEKDAY(('_Dates'!Y40),2),MOD(((MIN('_Dates'!Z40,Settings!$B$9))-('_Dates'!Y40)+1),7)),"O",""))-COUNTIFS(INDEX(AllClosureRows,C40,0),"&gt;="&amp;('_Dates'!Y40),INDEX(AllClosureRows,C40,0),"&lt;="&amp;(MIN('_Dates'!Z40,Settings!$B$9))))))</ns0:f>
        <ns0:v>0</ns0:v>
      </ns0:c>
      <ns0:c r="I40" s="4">
        <ns0:f>MAX(0,G40-H40)</ns0:f>
        <ns0:v>0</ns0:v>
      </ns0:c>
      <ns0:c r="J40" s="4">
        <ns0:f>IF(OR(A40=0,F40&lt;&gt;"OK",Bookings!G40="Cancelled",$B$6&gt;0),0,IF('_Dates'!AC40=1,MAX(0,COUNTIFS(rngEngine_B,B40,rngAMStart,"&lt;="&amp;'_Dates'!X40,rngAMEnd,"&gt;="&amp;'_Dates'!W40,rngAMActive,1,rngEngine_F,"OK",rngBookings_F,"&lt;&gt;Cancelled")-1),0)+IF('_Dates'!AD40=1,MAX(0,COUNTIFS(rngEngine_B,B40,rngPMStart,"&lt;="&amp;'_Dates'!Z40,rngPMEnd,"&gt;="&amp;'_Dates'!Y40,rngPMActive,1,rngEngine_F,"OK",rngBookings_F,"&lt;&gt;Cancelled")-1),0))</ns0:f>
        <ns0:v>0</ns0:v>
      </ns0:c>
      <ns0:c r="K40" s="0" t="str">
        <ns0:f>IF(A40=0,"",IF(F40&lt;&gt;"OK",F40,IF(J40&gt;0,"CHECK overlapping entry",IF(AND($B$6=0,G40&lt;=0,Bookings!G40&lt;&gt;"Cancelled"),"CHECK no working days",IF(Bookings!G40="Cancelled","Cancelled","OK")))))</ns0:f>
        <ns0:v/>
      </ns0:c>
      <ns0:c r="L40" s="0">
        <ns0:f>IF(LEFT(K40,5)="CHECK",1,0)</ns0:f>
        <ns0:v>0</ns0:v>
      </ns0:c>
      <ns0:c r="M40" s="0">
        <ns0:f>IF(AND(L40=1,OR(C40=0,IFERROR(INDEX($X$11:$X$60,C40),0)=0)),1,0)</ns0:f>
        <ns0:v>0</ns0:v>
      </ns0:c>
      <ns0:c r="N40" s="0">
        <ns0:f>IF(OR(A40=0,L40&gt;0,$B$6&gt;0,Bookings!G40="Cancelled"),0,G40)</ns0:f>
        <ns0:v>0</ns0:v>
      </ns0:c>
      <ns0:c r="O40" s="0">
        <ns0:f>IF(AND(Bookings!G40="Approved",E40="Yes"),N40,0)</ns0:f>
        <ns0:v>0</ns0:v>
      </ns0:c>
      <ns0:c r="P40" s="0">
        <ns0:f>IF(AND(Bookings!G40="Approved",E40="Yes",L40=0,$B$6=0),H40,0)</ns0:f>
        <ns0:v>0</ns0:v>
      </ns0:c>
      <ns0:c r="Q40" s="0">
        <ns0:f>IF(AND(Bookings!G40="Approved",E40="Yes",L40=0,$B$6=0),I40,0)</ns0:f>
        <ns0:v>0</ns0:v>
      </ns0:c>
      <ns0:c r="R40" s="0">
        <ns0:f>IF(AND(Bookings!G40="Pending",E40="Yes"),N40,0)</ns0:f>
        <ns0:v>0</ns0:v>
      </ns0:c>
      <ns0:c r="S40" s="0">
        <ns0:f>IF(AND(Bookings!G40="Approved",E40="No"),N40,0)</ns0:f>
        <ns0:v>0</ns0:v>
      </ns0:c>
      <ns0:c r="T40" s="0">
        <ns0:f>IFERROR(MATCH(D40,Settings!$G$7:$G$11,0),0)</ns0:f>
        <ns0:v>0</ns0:v>
      </ns0:c>
      <ns0:c r="U40" s="0">
        <ns0:f>IF(N40&gt;0,T40+IF(Bookings!G40="Pending",10,0),0)</ns0:f>
        <ns0:v>0</ns0:v>
      </ns0:c>
      <ns0:c r="V40" s="0">
        <ns0:f>U40</ns0:f>
        <ns0:v>0</ns0:v>
      </ns0:c>
      <ns0:c r="W40" s="0" t="str">
        <ns0:f>IF(C40=0,"",INDEX($AP$11:$AP$60,C40))</ns0:f>
        <ns0:v/>
      </ns0:c>
      <ns0:c r="X40" s="0">
        <ns0:f>IF(COUNTA(Team!B40:D40)=0,0,1)</ns0:f>
        <ns0:v>0</ns0:v>
      </ns0:c>
      <ns0:c r="Y40" s="0" t="str">
        <ns0:f>IF(X40=0,"",IF(Team!B40="","[Unnamed]",Team!B40)&amp;" · "&amp;Team!A40)</ns0:f>
        <ns0:v/>
      </ns0:c>
      <ns0:c r="Z40" s="0">
        <ns0:f>IF(X40=0,0,COUNTIF(Team!H40:N40,"Work"))</ns0:f>
        <ns0:v>0</ns0:v>
      </ns0:c>
      <ns0:c r="AA40" s="0">
        <ns0:f>IF(LEFT(Team!O40,5)="CHECK",1,0)</ns0:f>
        <ns0:v>0</ns0:v>
      </ns0:c>
      <ns0:c r="AB40" s="0">
        <ns0:f>IF(X40=0,0,SUMIFS(rngEngine_L,rngEngine_B,Team!A40))</ns0:f>
        <ns0:v>0</ns0:v>
      </ns0:c>
      <ns0:c r="AC40" s="0" t="str">
        <ns0:f>IF(AND(X40=1,OR(Calendar!$C$7="All teams",Team!C40=Calendar!$C$7)),MAX($AC$10:AC39)+1,"")</ns0:f>
        <ns0:v/>
      </ns0:c>
      <ns0:c r="AD40" s="0" t="str">
        <ns0:f>IF(OR(X40=0,Team!C40="",COUNTIF(Team!$C$11:C40,Team!C40)&gt;1),"",MAX($AD$10:AD39)+1)</ns0:f>
        <ns0:v/>
      </ns0:c>
      <ns0:c r="AE40" s="0" t="str">
        <ns0:f>IFERROR(INDEX(Team!$C$11:$C$60,MATCH(ROW()-10,$AD$11:$AD$60,0)),"")</ns0:f>
        <ns0:v/>
      </ns0:c>
      <ns0:c r="AF40" s="0" t="str">
        <ns0:f>AE40</ns0:f>
        <ns0:v/>
      </ns0:c>
      <ns0:c r="AG40" s="0">
        <ns0:f>IF(X40=0,0,IFERROR(Team!F40+Team!G40,0))</ns0:f>
        <ns0:v>0</ns0:v>
      </ns0:c>
      <ns0:c r="AH40" s="0">
        <ns0:f>IF(X40=0,0,SUMIFS(rngEngine_P,rngEngine_B,Team!A40))</ns0:f>
        <ns0:v>0</ns0:v>
      </ns0:c>
      <ns0:c r="AI40" s="0">
        <ns0:f>IF(X40=0,0,SUMIFS(rngEngine_Q,rngEngine_B,Team!A40))</ns0:f>
        <ns0:v>0</ns0:v>
      </ns0:c>
      <ns0:c r="AJ40" s="0">
        <ns0:f>IF(X40=0,0,SUMIFS(rngEngine_R,rngEngine_B,Team!A40))</ns0:f>
        <ns0:v>0</ns0:v>
      </ns0:c>
      <ns0:c r="AK40" s="0">
        <ns0:f>IF(X40=0,0,SUMIFS(rngEngine_S,rngEngine_B,Team!A40))</ns0:f>
        <ns0:v>0</ns0:v>
      </ns0:c>
      <ns0:c r="AL40" s="0">
        <ns0:f>AH40+AI40</ns0:f>
        <ns0:v>0</ns0:v>
      </ns0:c>
      <ns0:c r="AM40" s="0" t="str">
        <ns0:f>IF(X40=0,"",IF(AA40&gt;0,"CHECK team setup",IF(AB40&gt;0,"CHECK "&amp;AB40&amp;" booking(s)","OK")))</ns0:f>
        <ns0:v/>
      </ns0:c>
      <ns0:c r="AN40" s="0" t="str">
        <ns0:f>IF(X40=0,"",IF(OR($B$6&gt;0,AM40&lt;&gt;"OK"),"REVIEW",AG40-AL40))</ns0:f>
        <ns0:v/>
      </ns0:c>
      <ns0:c r="AO40" s="0">
        <ns0:f>IFERROR(MATCH(ROW()-11,$AC$11:$AC$60,0),0)</ns0:f>
        <ns0:v>0</ns0:v>
      </ns0:c>
      <ns0:c r="AP40" s="0" t="str">
        <ns0:f>IF(Team!H40="Work","W","O")&amp;IF(Team!I40="Work","W","O")&amp;IF(Team!J40="Work","W","O")&amp;IF(Team!K40="Work","W","O")&amp;IF(Team!L40="Work","W","O")&amp;IF(Team!M40="Work","W","O")&amp;IF(Team!N40="Work","W","O")</ns0:f>
        <ns0:v>WWWWWOO</ns0:v>
      </ns0:c>
      <ns0:c r="AR40" s="0">
        <ns0:f>IFERROR(IF(ISNUMBER(Settings!F40),WEEKDAY(Settings!F40,2),0),0)</ns0:f>
        <ns0:v>0</ns0:v>
      </ns0:c>
      <ns0:c r="BC40" s="0">
        <ns0:f>IF(OR($AO40=0,$B$5&lt;&gt;"OK",$B$6&gt;0,Calendar!D$11=""),0,SUMIFS(rngEngine_U,rngEngine_B,INDEX(Team!$A$11:$A$60,$AO40),rngAMStart,"&lt;="&amp;Calendar!D$11,rngAMEnd,"&gt;="&amp;Calendar!D$11))</ns0:f>
        <ns0:v>0</ns0:v>
      </ns0:c>
      <ns0:c r="BD40" s="0">
        <ns0:f>IF(OR($AO40=0,$B$5&lt;&gt;"OK",$B$6&gt;0,Calendar!D$11=""),0,SUMIFS(rngEngine_V,rngEngine_B,INDEX(Team!$A$11:$A$60,$AO40),rngPMStart,"&lt;="&amp;Calendar!D$11,rngPMEnd,"&gt;="&amp;Calendar!D$11))</ns0:f>
        <ns0:v>0</ns0:v>
      </ns0:c>
      <ns0:c r="BE40" s="0">
        <ns0:f>IF(OR($AO40=0,$B$5&lt;&gt;"OK",$B$6&gt;0,Calendar!E$11=""),0,SUMIFS(rngEngine_U,rngEngine_B,INDEX(Team!$A$11:$A$60,$AO40),rngAMStart,"&lt;="&amp;Calendar!E$11,rngAMEnd,"&gt;="&amp;Calendar!E$11))</ns0:f>
        <ns0:v>0</ns0:v>
      </ns0:c>
      <ns0:c r="BF40" s="0">
        <ns0:f>IF(OR($AO40=0,$B$5&lt;&gt;"OK",$B$6&gt;0,Calendar!E$11=""),0,SUMIFS(rngEngine_V,rngEngine_B,INDEX(Team!$A$11:$A$60,$AO40),rngPMStart,"&lt;="&amp;Calendar!E$11,rngPMEnd,"&gt;="&amp;Calendar!E$11))</ns0:f>
        <ns0:v>0</ns0:v>
      </ns0:c>
      <ns0:c r="BG40" s="0">
        <ns0:f>IF(OR($AO40=0,$B$5&lt;&gt;"OK",$B$6&gt;0,Calendar!F$11=""),0,SUMIFS(rngEngine_U,rngEngine_B,INDEX(Team!$A$11:$A$60,$AO40),rngAMStart,"&lt;="&amp;Calendar!F$11,rngAMEnd,"&gt;="&amp;Calendar!F$11))</ns0:f>
        <ns0:v>0</ns0:v>
      </ns0:c>
      <ns0:c r="BH40" s="0">
        <ns0:f>IF(OR($AO40=0,$B$5&lt;&gt;"OK",$B$6&gt;0,Calendar!F$11=""),0,SUMIFS(rngEngine_V,rngEngine_B,INDEX(Team!$A$11:$A$60,$AO40),rngPMStart,"&lt;="&amp;Calendar!F$11,rngPMEnd,"&gt;="&amp;Calendar!F$11))</ns0:f>
        <ns0:v>0</ns0:v>
      </ns0:c>
      <ns0:c r="BI40" s="0">
        <ns0:f>IF(OR($AO40=0,$B$5&lt;&gt;"OK",$B$6&gt;0,Calendar!G$11=""),0,SUMIFS(rngEngine_U,rngEngine_B,INDEX(Team!$A$11:$A$60,$AO40),rngAMStart,"&lt;="&amp;Calendar!G$11,rngAMEnd,"&gt;="&amp;Calendar!G$11))</ns0:f>
        <ns0:v>0</ns0:v>
      </ns0:c>
      <ns0:c r="BJ40" s="0">
        <ns0:f>IF(OR($AO40=0,$B$5&lt;&gt;"OK",$B$6&gt;0,Calendar!G$11=""),0,SUMIFS(rngEngine_V,rngEngine_B,INDEX(Team!$A$11:$A$60,$AO40),rngPMStart,"&lt;="&amp;Calendar!G$11,rngPMEnd,"&gt;="&amp;Calendar!G$11))</ns0:f>
        <ns0:v>0</ns0:v>
      </ns0:c>
      <ns0:c r="BK40" s="0">
        <ns0:f>IF(OR($AO40=0,$B$5&lt;&gt;"OK",$B$6&gt;0,Calendar!H$11=""),0,SUMIFS(rngEngine_U,rngEngine_B,INDEX(Team!$A$11:$A$60,$AO40),rngAMStart,"&lt;="&amp;Calendar!H$11,rngAMEnd,"&gt;="&amp;Calendar!H$11))</ns0:f>
        <ns0:v>0</ns0:v>
      </ns0:c>
      <ns0:c r="BL40" s="0">
        <ns0:f>IF(OR($AO40=0,$B$5&lt;&gt;"OK",$B$6&gt;0,Calendar!H$11=""),0,SUMIFS(rngEngine_V,rngEngine_B,INDEX(Team!$A$11:$A$60,$AO40),rngPMStart,"&lt;="&amp;Calendar!H$11,rngPMEnd,"&gt;="&amp;Calendar!H$11))</ns0:f>
        <ns0:v>0</ns0:v>
      </ns0:c>
      <ns0:c r="BM40" s="0">
        <ns0:f>IF(OR($AO40=0,$B$5&lt;&gt;"OK",$B$6&gt;0,Calendar!I$11=""),0,SUMIFS(rngEngine_U,rngEngine_B,INDEX(Team!$A$11:$A$60,$AO40),rngAMStart,"&lt;="&amp;Calendar!I$11,rngAMEnd,"&gt;="&amp;Calendar!I$11))</ns0:f>
        <ns0:v>0</ns0:v>
      </ns0:c>
      <ns0:c r="BN40" s="0">
        <ns0:f>IF(OR($AO40=0,$B$5&lt;&gt;"OK",$B$6&gt;0,Calendar!I$11=""),0,SUMIFS(rngEngine_V,rngEngine_B,INDEX(Team!$A$11:$A$60,$AO40),rngPMStart,"&lt;="&amp;Calendar!I$11,rngPMEnd,"&gt;="&amp;Calendar!I$11))</ns0:f>
        <ns0:v>0</ns0:v>
      </ns0:c>
      <ns0:c r="BO40" s="0">
        <ns0:f>IF(OR($AO40=0,$B$5&lt;&gt;"OK",$B$6&gt;0,Calendar!J$11=""),0,SUMIFS(rngEngine_U,rngEngine_B,INDEX(Team!$A$11:$A$60,$AO40),rngAMStart,"&lt;="&amp;Calendar!J$11,rngAMEnd,"&gt;="&amp;Calendar!J$11))</ns0:f>
        <ns0:v>0</ns0:v>
      </ns0:c>
      <ns0:c r="BP40" s="0">
        <ns0:f>IF(OR($AO40=0,$B$5&lt;&gt;"OK",$B$6&gt;0,Calendar!J$11=""),0,SUMIFS(rngEngine_V,rngEngine_B,INDEX(Team!$A$11:$A$60,$AO40),rngPMStart,"&lt;="&amp;Calendar!J$11,rngPMEnd,"&gt;="&amp;Calendar!J$11))</ns0:f>
        <ns0:v>0</ns0:v>
      </ns0:c>
      <ns0:c r="BQ40" s="0">
        <ns0:f>IF(OR($AO40=0,$B$5&lt;&gt;"OK",$B$6&gt;0,Calendar!K$11=""),0,SUMIFS(rngEngine_U,rngEngine_B,INDEX(Team!$A$11:$A$60,$AO40),rngAMStart,"&lt;="&amp;Calendar!K$11,rngAMEnd,"&gt;="&amp;Calendar!K$11))</ns0:f>
        <ns0:v>0</ns0:v>
      </ns0:c>
      <ns0:c r="BR40" s="0">
        <ns0:f>IF(OR($AO40=0,$B$5&lt;&gt;"OK",$B$6&gt;0,Calendar!K$11=""),0,SUMIFS(rngEngine_V,rngEngine_B,INDEX(Team!$A$11:$A$60,$AO40),rngPMStart,"&lt;="&amp;Calendar!K$11,rngPMEnd,"&gt;="&amp;Calendar!K$11))</ns0:f>
        <ns0:v>0</ns0:v>
      </ns0:c>
      <ns0:c r="BS40" s="0">
        <ns0:f>IF(OR($AO40=0,$B$5&lt;&gt;"OK",$B$6&gt;0,Calendar!L$11=""),0,SUMIFS(rngEngine_U,rngEngine_B,INDEX(Team!$A$11:$A$60,$AO40),rngAMStart,"&lt;="&amp;Calendar!L$11,rngAMEnd,"&gt;="&amp;Calendar!L$11))</ns0:f>
        <ns0:v>0</ns0:v>
      </ns0:c>
      <ns0:c r="BT40" s="0">
        <ns0:f>IF(OR($AO40=0,$B$5&lt;&gt;"OK",$B$6&gt;0,Calendar!L$11=""),0,SUMIFS(rngEngine_V,rngEngine_B,INDEX(Team!$A$11:$A$60,$AO40),rngPMStart,"&lt;="&amp;Calendar!L$11,rngPMEnd,"&gt;="&amp;Calendar!L$11))</ns0:f>
        <ns0:v>0</ns0:v>
      </ns0:c>
      <ns0:c r="BU40" s="0">
        <ns0:f>IF(OR($AO40=0,$B$5&lt;&gt;"OK",$B$6&gt;0,Calendar!M$11=""),0,SUMIFS(rngEngine_U,rngEngine_B,INDEX(Team!$A$11:$A$60,$AO40),rngAMStart,"&lt;="&amp;Calendar!M$11,rngAMEnd,"&gt;="&amp;Calendar!M$11))</ns0:f>
        <ns0:v>0</ns0:v>
      </ns0:c>
      <ns0:c r="BV40" s="0">
        <ns0:f>IF(OR($AO40=0,$B$5&lt;&gt;"OK",$B$6&gt;0,Calendar!M$11=""),0,SUMIFS(rngEngine_V,rngEngine_B,INDEX(Team!$A$11:$A$60,$AO40),rngPMStart,"&lt;="&amp;Calendar!M$11,rngPMEnd,"&gt;="&amp;Calendar!M$11))</ns0:f>
        <ns0:v>0</ns0:v>
      </ns0:c>
      <ns0:c r="BW40" s="0">
        <ns0:f>IF(OR($AO40=0,$B$5&lt;&gt;"OK",$B$6&gt;0,Calendar!N$11=""),0,SUMIFS(rngEngine_U,rngEngine_B,INDEX(Team!$A$11:$A$60,$AO40),rngAMStart,"&lt;="&amp;Calendar!N$11,rngAMEnd,"&gt;="&amp;Calendar!N$11))</ns0:f>
        <ns0:v>0</ns0:v>
      </ns0:c>
      <ns0:c r="BX40" s="0">
        <ns0:f>IF(OR($AO40=0,$B$5&lt;&gt;"OK",$B$6&gt;0,Calendar!N$11=""),0,SUMIFS(rngEngine_V,rngEngine_B,INDEX(Team!$A$11:$A$60,$AO40),rngPMStart,"&lt;="&amp;Calendar!N$11,rngPMEnd,"&gt;="&amp;Calendar!N$11))</ns0:f>
        <ns0:v>0</ns0:v>
      </ns0:c>
      <ns0:c r="BY40" s="0">
        <ns0:f>IF(OR($AO40=0,$B$5&lt;&gt;"OK",$B$6&gt;0,Calendar!O$11=""),0,SUMIFS(rngEngine_U,rngEngine_B,INDEX(Team!$A$11:$A$60,$AO40),rngAMStart,"&lt;="&amp;Calendar!O$11,rngAMEnd,"&gt;="&amp;Calendar!O$11))</ns0:f>
        <ns0:v>0</ns0:v>
      </ns0:c>
      <ns0:c r="BZ40" s="0">
        <ns0:f>IF(OR($AO40=0,$B$5&lt;&gt;"OK",$B$6&gt;0,Calendar!O$11=""),0,SUMIFS(rngEngine_V,rngEngine_B,INDEX(Team!$A$11:$A$60,$AO40),rngPMStart,"&lt;="&amp;Calendar!O$11,rngPMEnd,"&gt;="&amp;Calendar!O$11))</ns0:f>
        <ns0:v>0</ns0:v>
      </ns0:c>
      <ns0:c r="CA40" s="0">
        <ns0:f>IF(OR($AO40=0,$B$5&lt;&gt;"OK",$B$6&gt;0,Calendar!P$11=""),0,SUMIFS(rngEngine_U,rngEngine_B,INDEX(Team!$A$11:$A$60,$AO40),rngAMStart,"&lt;="&amp;Calendar!P$11,rngAMEnd,"&gt;="&amp;Calendar!P$11))</ns0:f>
        <ns0:v>0</ns0:v>
      </ns0:c>
      <ns0:c r="CB40" s="0">
        <ns0:f>IF(OR($AO40=0,$B$5&lt;&gt;"OK",$B$6&gt;0,Calendar!P$11=""),0,SUMIFS(rngEngine_V,rngEngine_B,INDEX(Team!$A$11:$A$60,$AO40),rngPMStart,"&lt;="&amp;Calendar!P$11,rngPMEnd,"&gt;="&amp;Calendar!P$11))</ns0:f>
        <ns0:v>0</ns0:v>
      </ns0:c>
      <ns0:c r="CC40" s="0">
        <ns0:f>IF(OR($AO40=0,$B$5&lt;&gt;"OK",$B$6&gt;0,Calendar!Q$11=""),0,SUMIFS(rngEngine_U,rngEngine_B,INDEX(Team!$A$11:$A$60,$AO40),rngAMStart,"&lt;="&amp;Calendar!Q$11,rngAMEnd,"&gt;="&amp;Calendar!Q$11))</ns0:f>
        <ns0:v>0</ns0:v>
      </ns0:c>
      <ns0:c r="CD40" s="0">
        <ns0:f>IF(OR($AO40=0,$B$5&lt;&gt;"OK",$B$6&gt;0,Calendar!Q$11=""),0,SUMIFS(rngEngine_V,rngEngine_B,INDEX(Team!$A$11:$A$60,$AO40),rngPMStart,"&lt;="&amp;Calendar!Q$11,rngPMEnd,"&gt;="&amp;Calendar!Q$11))</ns0:f>
        <ns0:v>0</ns0:v>
      </ns0:c>
      <ns0:c r="CE40" s="0">
        <ns0:f>IF(OR($AO40=0,$B$5&lt;&gt;"OK",$B$6&gt;0,Calendar!R$11=""),0,SUMIFS(rngEngine_U,rngEngine_B,INDEX(Team!$A$11:$A$60,$AO40),rngAMStart,"&lt;="&amp;Calendar!R$11,rngAMEnd,"&gt;="&amp;Calendar!R$11))</ns0:f>
        <ns0:v>0</ns0:v>
      </ns0:c>
      <ns0:c r="CF40" s="0">
        <ns0:f>IF(OR($AO40=0,$B$5&lt;&gt;"OK",$B$6&gt;0,Calendar!R$11=""),0,SUMIFS(rngEngine_V,rngEngine_B,INDEX(Team!$A$11:$A$60,$AO40),rngPMStart,"&lt;="&amp;Calendar!R$11,rngPMEnd,"&gt;="&amp;Calendar!R$11))</ns0:f>
        <ns0:v>0</ns0:v>
      </ns0:c>
      <ns0:c r="CG40" s="0">
        <ns0:f>IF(OR($AO40=0,$B$5&lt;&gt;"OK",$B$6&gt;0,Calendar!S$11=""),0,SUMIFS(rngEngine_U,rngEngine_B,INDEX(Team!$A$11:$A$60,$AO40),rngAMStart,"&lt;="&amp;Calendar!S$11,rngAMEnd,"&gt;="&amp;Calendar!S$11))</ns0:f>
        <ns0:v>0</ns0:v>
      </ns0:c>
      <ns0:c r="CH40" s="0">
        <ns0:f>IF(OR($AO40=0,$B$5&lt;&gt;"OK",$B$6&gt;0,Calendar!S$11=""),0,SUMIFS(rngEngine_V,rngEngine_B,INDEX(Team!$A$11:$A$60,$AO40),rngPMStart,"&lt;="&amp;Calendar!S$11,rngPMEnd,"&gt;="&amp;Calendar!S$11))</ns0:f>
        <ns0:v>0</ns0:v>
      </ns0:c>
      <ns0:c r="CI40" s="0">
        <ns0:f>IF(OR($AO40=0,$B$5&lt;&gt;"OK",$B$6&gt;0,Calendar!T$11=""),0,SUMIFS(rngEngine_U,rngEngine_B,INDEX(Team!$A$11:$A$60,$AO40),rngAMStart,"&lt;="&amp;Calendar!T$11,rngAMEnd,"&gt;="&amp;Calendar!T$11))</ns0:f>
        <ns0:v>0</ns0:v>
      </ns0:c>
      <ns0:c r="CJ40" s="0">
        <ns0:f>IF(OR($AO40=0,$B$5&lt;&gt;"OK",$B$6&gt;0,Calendar!T$11=""),0,SUMIFS(rngEngine_V,rngEngine_B,INDEX(Team!$A$11:$A$60,$AO40),rngPMStart,"&lt;="&amp;Calendar!T$11,rngPMEnd,"&gt;="&amp;Calendar!T$11))</ns0:f>
        <ns0:v>0</ns0:v>
      </ns0:c>
      <ns0:c r="CK40" s="0">
        <ns0:f>IF(OR($AO40=0,$B$5&lt;&gt;"OK",$B$6&gt;0,Calendar!U$11=""),0,SUMIFS(rngEngine_U,rngEngine_B,INDEX(Team!$A$11:$A$60,$AO40),rngAMStart,"&lt;="&amp;Calendar!U$11,rngAMEnd,"&gt;="&amp;Calendar!U$11))</ns0:f>
        <ns0:v>0</ns0:v>
      </ns0:c>
      <ns0:c r="CL40" s="0">
        <ns0:f>IF(OR($AO40=0,$B$5&lt;&gt;"OK",$B$6&gt;0,Calendar!U$11=""),0,SUMIFS(rngEngine_V,rngEngine_B,INDEX(Team!$A$11:$A$60,$AO40),rngPMStart,"&lt;="&amp;Calendar!U$11,rngPMEnd,"&gt;="&amp;Calendar!U$11))</ns0:f>
        <ns0:v>0</ns0:v>
      </ns0:c>
      <ns0:c r="CM40" s="0">
        <ns0:f>IF(OR($AO40=0,$B$5&lt;&gt;"OK",$B$6&gt;0,Calendar!V$11=""),0,SUMIFS(rngEngine_U,rngEngine_B,INDEX(Team!$A$11:$A$60,$AO40),rngAMStart,"&lt;="&amp;Calendar!V$11,rngAMEnd,"&gt;="&amp;Calendar!V$11))</ns0:f>
        <ns0:v>0</ns0:v>
      </ns0:c>
      <ns0:c r="CN40" s="0">
        <ns0:f>IF(OR($AO40=0,$B$5&lt;&gt;"OK",$B$6&gt;0,Calendar!V$11=""),0,SUMIFS(rngEngine_V,rngEngine_B,INDEX(Team!$A$11:$A$60,$AO40),rngPMStart,"&lt;="&amp;Calendar!V$11,rngPMEnd,"&gt;="&amp;Calendar!V$11))</ns0:f>
        <ns0:v>0</ns0:v>
      </ns0:c>
      <ns0:c r="CO40" s="0">
        <ns0:f>IF(OR($AO40=0,$B$5&lt;&gt;"OK",$B$6&gt;0,Calendar!W$11=""),0,SUMIFS(rngEngine_U,rngEngine_B,INDEX(Team!$A$11:$A$60,$AO40),rngAMStart,"&lt;="&amp;Calendar!W$11,rngAMEnd,"&gt;="&amp;Calendar!W$11))</ns0:f>
        <ns0:v>0</ns0:v>
      </ns0:c>
      <ns0:c r="CP40" s="0">
        <ns0:f>IF(OR($AO40=0,$B$5&lt;&gt;"OK",$B$6&gt;0,Calendar!W$11=""),0,SUMIFS(rngEngine_V,rngEngine_B,INDEX(Team!$A$11:$A$60,$AO40),rngPMStart,"&lt;="&amp;Calendar!W$11,rngPMEnd,"&gt;="&amp;Calendar!W$11))</ns0:f>
        <ns0:v>0</ns0:v>
      </ns0:c>
      <ns0:c r="CQ40" s="0">
        <ns0:f>IF(OR($AO40=0,$B$5&lt;&gt;"OK",$B$6&gt;0,Calendar!X$11=""),0,SUMIFS(rngEngine_U,rngEngine_B,INDEX(Team!$A$11:$A$60,$AO40),rngAMStart,"&lt;="&amp;Calendar!X$11,rngAMEnd,"&gt;="&amp;Calendar!X$11))</ns0:f>
        <ns0:v>0</ns0:v>
      </ns0:c>
      <ns0:c r="CR40" s="0">
        <ns0:f>IF(OR($AO40=0,$B$5&lt;&gt;"OK",$B$6&gt;0,Calendar!X$11=""),0,SUMIFS(rngEngine_V,rngEngine_B,INDEX(Team!$A$11:$A$60,$AO40),rngPMStart,"&lt;="&amp;Calendar!X$11,rngPMEnd,"&gt;="&amp;Calendar!X$11))</ns0:f>
        <ns0:v>0</ns0:v>
      </ns0:c>
      <ns0:c r="CS40" s="0">
        <ns0:f>IF(OR($AO40=0,$B$5&lt;&gt;"OK",$B$6&gt;0,Calendar!Y$11=""),0,SUMIFS(rngEngine_U,rngEngine_B,INDEX(Team!$A$11:$A$60,$AO40),rngAMStart,"&lt;="&amp;Calendar!Y$11,rngAMEnd,"&gt;="&amp;Calendar!Y$11))</ns0:f>
        <ns0:v>0</ns0:v>
      </ns0:c>
      <ns0:c r="CT40" s="0">
        <ns0:f>IF(OR($AO40=0,$B$5&lt;&gt;"OK",$B$6&gt;0,Calendar!Y$11=""),0,SUMIFS(rngEngine_V,rngEngine_B,INDEX(Team!$A$11:$A$60,$AO40),rngPMStart,"&lt;="&amp;Calendar!Y$11,rngPMEnd,"&gt;="&amp;Calendar!Y$11))</ns0:f>
        <ns0:v>0</ns0:v>
      </ns0:c>
      <ns0:c r="CU40" s="0">
        <ns0:f>IF(OR($AO40=0,$B$5&lt;&gt;"OK",$B$6&gt;0,Calendar!Z$11=""),0,SUMIFS(rngEngine_U,rngEngine_B,INDEX(Team!$A$11:$A$60,$AO40),rngAMStart,"&lt;="&amp;Calendar!Z$11,rngAMEnd,"&gt;="&amp;Calendar!Z$11))</ns0:f>
        <ns0:v>0</ns0:v>
      </ns0:c>
      <ns0:c r="CV40" s="0">
        <ns0:f>IF(OR($AO40=0,$B$5&lt;&gt;"OK",$B$6&gt;0,Calendar!Z$11=""),0,SUMIFS(rngEngine_V,rngEngine_B,INDEX(Team!$A$11:$A$60,$AO40),rngPMStart,"&lt;="&amp;Calendar!Z$11,rngPMEnd,"&gt;="&amp;Calendar!Z$11))</ns0:f>
        <ns0:v>0</ns0:v>
      </ns0:c>
      <ns0:c r="CW40" s="0">
        <ns0:f>IF(OR($AO40=0,$B$5&lt;&gt;"OK",$B$6&gt;0,Calendar!AA$11=""),0,SUMIFS(rngEngine_U,rngEngine_B,INDEX(Team!$A$11:$A$60,$AO40),rngAMStart,"&lt;="&amp;Calendar!AA$11,rngAMEnd,"&gt;="&amp;Calendar!AA$11))</ns0:f>
        <ns0:v>0</ns0:v>
      </ns0:c>
      <ns0:c r="CX40" s="0">
        <ns0:f>IF(OR($AO40=0,$B$5&lt;&gt;"OK",$B$6&gt;0,Calendar!AA$11=""),0,SUMIFS(rngEngine_V,rngEngine_B,INDEX(Team!$A$11:$A$60,$AO40),rngPMStart,"&lt;="&amp;Calendar!AA$11,rngPMEnd,"&gt;="&amp;Calendar!AA$11))</ns0:f>
        <ns0:v>0</ns0:v>
      </ns0:c>
      <ns0:c r="CY40" s="0">
        <ns0:f>IF(OR($AO40=0,$B$5&lt;&gt;"OK",$B$6&gt;0,Calendar!AB$11=""),0,SUMIFS(rngEngine_U,rngEngine_B,INDEX(Team!$A$11:$A$60,$AO40),rngAMStart,"&lt;="&amp;Calendar!AB$11,rngAMEnd,"&gt;="&amp;Calendar!AB$11))</ns0:f>
        <ns0:v>0</ns0:v>
      </ns0:c>
      <ns0:c r="CZ40" s="0">
        <ns0:f>IF(OR($AO40=0,$B$5&lt;&gt;"OK",$B$6&gt;0,Calendar!AB$11=""),0,SUMIFS(rngEngine_V,rngEngine_B,INDEX(Team!$A$11:$A$60,$AO40),rngPMStart,"&lt;="&amp;Calendar!AB$11,rngPMEnd,"&gt;="&amp;Calendar!AB$11))</ns0:f>
        <ns0:v>0</ns0:v>
      </ns0:c>
      <ns0:c r="DA40" s="0">
        <ns0:f>IF(OR($AO40=0,$B$5&lt;&gt;"OK",$B$6&gt;0,Calendar!AC$11=""),0,SUMIFS(rngEngine_U,rngEngine_B,INDEX(Team!$A$11:$A$60,$AO40),rngAMStart,"&lt;="&amp;Calendar!AC$11,rngAMEnd,"&gt;="&amp;Calendar!AC$11))</ns0:f>
        <ns0:v>0</ns0:v>
      </ns0:c>
      <ns0:c r="DB40" s="0">
        <ns0:f>IF(OR($AO40=0,$B$5&lt;&gt;"OK",$B$6&gt;0,Calendar!AC$11=""),0,SUMIFS(rngEngine_V,rngEngine_B,INDEX(Team!$A$11:$A$60,$AO40),rngPMStart,"&lt;="&amp;Calendar!AC$11,rngPMEnd,"&gt;="&amp;Calendar!AC$11))</ns0:f>
        <ns0:v>0</ns0:v>
      </ns0:c>
      <ns0:c r="DC40" s="0">
        <ns0:f>IF(OR($AO40=0,$B$5&lt;&gt;"OK",$B$6&gt;0,Calendar!AD$11=""),0,SUMIFS(rngEngine_U,rngEngine_B,INDEX(Team!$A$11:$A$60,$AO40),rngAMStart,"&lt;="&amp;Calendar!AD$11,rngAMEnd,"&gt;="&amp;Calendar!AD$11))</ns0:f>
        <ns0:v>0</ns0:v>
      </ns0:c>
      <ns0:c r="DD40" s="0">
        <ns0:f>IF(OR($AO40=0,$B$5&lt;&gt;"OK",$B$6&gt;0,Calendar!AD$11=""),0,SUMIFS(rngEngine_V,rngEngine_B,INDEX(Team!$A$11:$A$60,$AO40),rngPMStart,"&lt;="&amp;Calendar!AD$11,rngPMEnd,"&gt;="&amp;Calendar!AD$11))</ns0:f>
        <ns0:v>0</ns0:v>
      </ns0:c>
      <ns0:c r="DE40" s="0">
        <ns0:f>IF(OR($AO40=0,$B$5&lt;&gt;"OK",$B$6&gt;0,Calendar!AE$11=""),0,SUMIFS(rngEngine_U,rngEngine_B,INDEX(Team!$A$11:$A$60,$AO40),rngAMStart,"&lt;="&amp;Calendar!AE$11,rngAMEnd,"&gt;="&amp;Calendar!AE$11))</ns0:f>
        <ns0:v>0</ns0:v>
      </ns0:c>
      <ns0:c r="DF40" s="0">
        <ns0:f>IF(OR($AO40=0,$B$5&lt;&gt;"OK",$B$6&gt;0,Calendar!AE$11=""),0,SUMIFS(rngEngine_V,rngEngine_B,INDEX(Team!$A$11:$A$60,$AO40),rngPMStart,"&lt;="&amp;Calendar!AE$11,rngPMEnd,"&gt;="&amp;Calendar!AE$11))</ns0:f>
        <ns0:v>0</ns0:v>
      </ns0:c>
      <ns0:c r="DG40" s="0">
        <ns0:f>IF(OR($AO40=0,$B$5&lt;&gt;"OK",$B$6&gt;0,Calendar!AF$11=""),0,SUMIFS(rngEngine_U,rngEngine_B,INDEX(Team!$A$11:$A$60,$AO40),rngAMStart,"&lt;="&amp;Calendar!AF$11,rngAMEnd,"&gt;="&amp;Calendar!AF$11))</ns0:f>
        <ns0:v>0</ns0:v>
      </ns0:c>
      <ns0:c r="DH40" s="0">
        <ns0:f>IF(OR($AO40=0,$B$5&lt;&gt;"OK",$B$6&gt;0,Calendar!AF$11=""),0,SUMIFS(rngEngine_V,rngEngine_B,INDEX(Team!$A$11:$A$60,$AO40),rngPMStart,"&lt;="&amp;Calendar!AF$11,rngPMEnd,"&gt;="&amp;Calendar!AF$11))</ns0:f>
        <ns0:v>0</ns0:v>
      </ns0:c>
      <ns0:c r="DI40" s="0">
        <ns0:f>IF(OR($AO40=0,$B$5&lt;&gt;"OK",$B$6&gt;0,Calendar!AG$11=""),0,SUMIFS(rngEngine_U,rngEngine_B,INDEX(Team!$A$11:$A$60,$AO40),rngAMStart,"&lt;="&amp;Calendar!AG$11,rngAMEnd,"&gt;="&amp;Calendar!AG$11))</ns0:f>
        <ns0:v>0</ns0:v>
      </ns0:c>
      <ns0:c r="DJ40" s="0">
        <ns0:f>IF(OR($AO40=0,$B$5&lt;&gt;"OK",$B$6&gt;0,Calendar!AG$11=""),0,SUMIFS(rngEngine_V,rngEngine_B,INDEX(Team!$A$11:$A$60,$AO40),rngPMStart,"&lt;="&amp;Calendar!AG$11,rngPMEnd,"&gt;="&amp;Calendar!AG$11))</ns0:f>
        <ns0:v>0</ns0:v>
      </ns0:c>
      <ns0:c r="DK40" s="0">
        <ns0:f>IF(OR($AO40=0,$B$5&lt;&gt;"OK",$B$6&gt;0,Calendar!AH$11=""),0,SUMIFS(rngEngine_U,rngEngine_B,INDEX(Team!$A$11:$A$60,$AO40),rngAMStart,"&lt;="&amp;Calendar!AH$11,rngAMEnd,"&gt;="&amp;Calendar!AH$11))</ns0:f>
        <ns0:v>0</ns0:v>
      </ns0:c>
      <ns0:c r="DL40" s="0">
        <ns0:f>IF(OR($AO40=0,$B$5&lt;&gt;"OK",$B$6&gt;0,Calendar!AH$11=""),0,SUMIFS(rngEngine_V,rngEngine_B,INDEX(Team!$A$11:$A$60,$AO40),rngPMStart,"&lt;="&amp;Calendar!AH$11,rngPMEnd,"&gt;="&amp;Calendar!AH$11))</ns0:f>
        <ns0:v>0</ns0:v>
      </ns0:c>
    </ns0:row>
    <ns0:row r="41" ht="22" customHeight="1">
      <ns0:c r="A41" s="4">
        <ns0:f>IF(COUNTA(Bookings!A41:G41,Bookings!I41)=0,0,1)</ns0:f>
        <ns0:v>0</ns0:v>
      </ns0:c>
      <ns0:c r="B41" s="4">
        <ns0:f>IFERROR(TRIM(MID(Bookings!A41,FIND(" · ",Bookings!A41)+3,99)),"")</ns0:f>
        <ns0:v>99</ns0:v>
      </ns0:c>
      <ns0:c r="C41" s="4">
        <ns0:f>IF(OR(B41="",LEN(B41)&gt;24,ISNUMBER(FIND(" ",B41)),ISNUMBER(FIND("*",B41)),ISNUMBER(FIND("?",B41)),ISNUMBER(FIND("~",B41))),0,IFERROR(MATCH(B41,Team!$A$11:$A$60,0),0))</ns0:f>
        <ns0:v>0</ns0:v>
      </ns0:c>
      <ns0:c r="D41" s="4" t="str">
        <ns0:f>IFERROR(IF(MID(Bookings!F41,LEN(Bookings!F41)-3,3)=" · ",RIGHT(Bookings!F41,1),""),"")</ns0:f>
        <ns0:v/>
      </ns0:c>
      <ns0:c r="E41" s="4" t="str">
        <ns0:f>IFERROR(INDEX(Settings!$H$7:$H$11,MATCH(D41,Settings!$G$7:$G$11,0)),"")</ns0:f>
        <ns0:v/>
      </ns0:c>
      <ns0:c r="F41" s="4" t="str">
        <ns0:f>IF(A41=0,"",IFERROR(IF(OR(B41="",C41=0),"CHECK employee selection",IF(INDEX(Team!$O$11:$O$60,C41)&lt;&gt;"OK","CHECK employee setup",IF(OR('_Dates'!J41=0,'_Dates'!T41=0),"CHECK date: use DD.MM.YYYY",IF('_Dates'!T41&lt;'_Dates'!J41,"CHECK end before start",IF(AND($B$6=0,OR('_Dates'!J41&lt;Settings!$B$7,'_Dates'!T41&gt;Settings!$B$8)),"CHECK split across leave years",IF(OR(NOT(OR('_Dates'!U41="Full day",'_Dates'!U41="AM",'_Dates'!U41="PM")),NOT(OR('_Dates'!V41="Full day",'_Dates'!V41="AM",'_Dates'!V41="PM"))),"CHECK Full day / AM / PM",IF(AND('_Dates'!J41='_Dates'!T41,'_Dates'!U41&lt;&gt;"Full day",'_Dates'!V41&lt;&gt;"Full day",'_Dates'!U41&lt;&gt;'_Dates'!V41),"CHECK same-day portions disagree",IF(AND($B$6=0,OR(AND('_Dates'!U41&lt;&gt;"Full day",'_Dates'!AA41=0),AND('_Dates'!V41&lt;&gt;"Full day",'_Dates'!AB41=0))),"CHECK half-day on non-working date",IF(COUNTIF(Settings!$G$7:$G$11,D41)&lt;&gt;1,"CHECK leave type",IF(AND(Bookings!G41&lt;&gt;"Approved",Bookings!G41&lt;&gt;"Pending",Bookings!G41&lt;&gt;"Cancelled"),"CHECK status","OK")))))))))),"CHECK input"))</ns0:f>
        <ns0:v/>
      </ns0:c>
      <ns0:c r="G41" s="4">
        <ns0:f>IF(OR(F41&lt;&gt;"OK",$B$6&gt;0),0,0.5*(IF(('_Dates'!X41)&lt;('_Dates'!W41),0,INT((('_Dates'!X41)-('_Dates'!W41)+1)/7)*LEN(SUBSTITUTE(W41,"O",""))+LEN(SUBSTITUTE(MID(W41&amp;W41,WEEKDAY(('_Dates'!W41),2),MOD((('_Dates'!X41)-('_Dates'!W41)+1),7)),"O",""))-COUNTIFS(INDEX(AllClosureRows,C41,0),"&gt;="&amp;('_Dates'!W41),INDEX(AllClosureRows,C41,0),"&lt;="&amp;('_Dates'!X41)))+IF(('_Dates'!Z41)&lt;('_Dates'!Y41),0,INT((('_Dates'!Z41)-('_Dates'!Y41)+1)/7)*LEN(SUBSTITUTE(W41,"O",""))+LEN(SUBSTITUTE(MID(W41&amp;W41,WEEKDAY(('_Dates'!Y41),2),MOD((('_Dates'!Z41)-('_Dates'!Y41)+1),7)),"O",""))-COUNTIFS(INDEX(AllClosureRows,C41,0),"&gt;="&amp;('_Dates'!Y41),INDEX(AllClosureRows,C41,0),"&lt;="&amp;('_Dates'!Z41)))))</ns0:f>
        <ns0:v>0</ns0:v>
      </ns0:c>
      <ns0:c r="H41" s="4">
        <ns0:f>IF(OR(F41&lt;&gt;"OK",$B$6&gt;0),0,0.5*(IF((MIN('_Dates'!X41,Settings!$B$9))&lt;('_Dates'!W41),0,INT(((MIN('_Dates'!X41,Settings!$B$9))-('_Dates'!W41)+1)/7)*LEN(SUBSTITUTE(W41,"O",""))+LEN(SUBSTITUTE(MID(W41&amp;W41,WEEKDAY(('_Dates'!W41),2),MOD(((MIN('_Dates'!X41,Settings!$B$9))-('_Dates'!W41)+1),7)),"O",""))-COUNTIFS(INDEX(AllClosureRows,C41,0),"&gt;="&amp;('_Dates'!W41),INDEX(AllClosureRows,C41,0),"&lt;="&amp;(MIN('_Dates'!X41,Settings!$B$9))))+IF((MIN('_Dates'!Z41,Settings!$B$9))&lt;('_Dates'!Y41),0,INT(((MIN('_Dates'!Z41,Settings!$B$9))-('_Dates'!Y41)+1)/7)*LEN(SUBSTITUTE(W41,"O",""))+LEN(SUBSTITUTE(MID(W41&amp;W41,WEEKDAY(('_Dates'!Y41),2),MOD(((MIN('_Dates'!Z41,Settings!$B$9))-('_Dates'!Y41)+1),7)),"O",""))-COUNTIFS(INDEX(AllClosureRows,C41,0),"&gt;="&amp;('_Dates'!Y41),INDEX(AllClosureRows,C41,0),"&lt;="&amp;(MIN('_Dates'!Z41,Settings!$B$9))))))</ns0:f>
        <ns0:v>0</ns0:v>
      </ns0:c>
      <ns0:c r="I41" s="4">
        <ns0:f>MAX(0,G41-H41)</ns0:f>
        <ns0:v>0</ns0:v>
      </ns0:c>
      <ns0:c r="J41" s="4">
        <ns0:f>IF(OR(A41=0,F41&lt;&gt;"OK",Bookings!G41="Cancelled",$B$6&gt;0),0,IF('_Dates'!AC41=1,MAX(0,COUNTIFS(rngEngine_B,B41,rngAMStart,"&lt;="&amp;'_Dates'!X41,rngAMEnd,"&gt;="&amp;'_Dates'!W41,rngAMActive,1,rngEngine_F,"OK",rngBookings_F,"&lt;&gt;Cancelled")-1),0)+IF('_Dates'!AD41=1,MAX(0,COUNTIFS(rngEngine_B,B41,rngPMStart,"&lt;="&amp;'_Dates'!Z41,rngPMEnd,"&gt;="&amp;'_Dates'!Y41,rngPMActive,1,rngEngine_F,"OK",rngBookings_F,"&lt;&gt;Cancelled")-1),0))</ns0:f>
        <ns0:v>0</ns0:v>
      </ns0:c>
      <ns0:c r="K41" s="0" t="str">
        <ns0:f>IF(A41=0,"",IF(F41&lt;&gt;"OK",F41,IF(J41&gt;0,"CHECK overlapping entry",IF(AND($B$6=0,G41&lt;=0,Bookings!G41&lt;&gt;"Cancelled"),"CHECK no working days",IF(Bookings!G41="Cancelled","Cancelled","OK")))))</ns0:f>
        <ns0:v/>
      </ns0:c>
      <ns0:c r="L41" s="0">
        <ns0:f>IF(LEFT(K41,5)="CHECK",1,0)</ns0:f>
        <ns0:v>0</ns0:v>
      </ns0:c>
      <ns0:c r="M41" s="0">
        <ns0:f>IF(AND(L41=1,OR(C41=0,IFERROR(INDEX($X$11:$X$60,C41),0)=0)),1,0)</ns0:f>
        <ns0:v>0</ns0:v>
      </ns0:c>
      <ns0:c r="N41" s="0">
        <ns0:f>IF(OR(A41=0,L41&gt;0,$B$6&gt;0,Bookings!G41="Cancelled"),0,G41)</ns0:f>
        <ns0:v>0</ns0:v>
      </ns0:c>
      <ns0:c r="O41" s="0">
        <ns0:f>IF(AND(Bookings!G41="Approved",E41="Yes"),N41,0)</ns0:f>
        <ns0:v>0</ns0:v>
      </ns0:c>
      <ns0:c r="P41" s="0">
        <ns0:f>IF(AND(Bookings!G41="Approved",E41="Yes",L41=0,$B$6=0),H41,0)</ns0:f>
        <ns0:v>0</ns0:v>
      </ns0:c>
      <ns0:c r="Q41" s="0">
        <ns0:f>IF(AND(Bookings!G41="Approved",E41="Yes",L41=0,$B$6=0),I41,0)</ns0:f>
        <ns0:v>0</ns0:v>
      </ns0:c>
      <ns0:c r="R41" s="0">
        <ns0:f>IF(AND(Bookings!G41="Pending",E41="Yes"),N41,0)</ns0:f>
        <ns0:v>0</ns0:v>
      </ns0:c>
      <ns0:c r="S41" s="0">
        <ns0:f>IF(AND(Bookings!G41="Approved",E41="No"),N41,0)</ns0:f>
        <ns0:v>0</ns0:v>
      </ns0:c>
      <ns0:c r="T41" s="0">
        <ns0:f>IFERROR(MATCH(D41,Settings!$G$7:$G$11,0),0)</ns0:f>
        <ns0:v>0</ns0:v>
      </ns0:c>
      <ns0:c r="U41" s="0">
        <ns0:f>IF(N41&gt;0,T41+IF(Bookings!G41="Pending",10,0),0)</ns0:f>
        <ns0:v>0</ns0:v>
      </ns0:c>
      <ns0:c r="V41" s="0">
        <ns0:f>U41</ns0:f>
        <ns0:v>0</ns0:v>
      </ns0:c>
      <ns0:c r="W41" s="0" t="str">
        <ns0:f>IF(C41=0,"",INDEX($AP$11:$AP$60,C41))</ns0:f>
        <ns0:v/>
      </ns0:c>
      <ns0:c r="X41" s="0">
        <ns0:f>IF(COUNTA(Team!B41:D41)=0,0,1)</ns0:f>
        <ns0:v>0</ns0:v>
      </ns0:c>
      <ns0:c r="Y41" s="0" t="str">
        <ns0:f>IF(X41=0,"",IF(Team!B41="","[Unnamed]",Team!B41)&amp;" · "&amp;Team!A41)</ns0:f>
        <ns0:v/>
      </ns0:c>
      <ns0:c r="Z41" s="0">
        <ns0:f>IF(X41=0,0,COUNTIF(Team!H41:N41,"Work"))</ns0:f>
        <ns0:v>0</ns0:v>
      </ns0:c>
      <ns0:c r="AA41" s="0">
        <ns0:f>IF(LEFT(Team!O41,5)="CHECK",1,0)</ns0:f>
        <ns0:v>0</ns0:v>
      </ns0:c>
      <ns0:c r="AB41" s="0">
        <ns0:f>IF(X41=0,0,SUMIFS(rngEngine_L,rngEngine_B,Team!A41))</ns0:f>
        <ns0:v>0</ns0:v>
      </ns0:c>
      <ns0:c r="AC41" s="0" t="str">
        <ns0:f>IF(AND(X41=1,OR(Calendar!$C$7="All teams",Team!C41=Calendar!$C$7)),MAX($AC$10:AC40)+1,"")</ns0:f>
        <ns0:v/>
      </ns0:c>
      <ns0:c r="AD41" s="0" t="str">
        <ns0:f>IF(OR(X41=0,Team!C41="",COUNTIF(Team!$C$11:C41,Team!C41)&gt;1),"",MAX($AD$10:AD40)+1)</ns0:f>
        <ns0:v/>
      </ns0:c>
      <ns0:c r="AE41" s="0" t="str">
        <ns0:f>IFERROR(INDEX(Team!$C$11:$C$60,MATCH(ROW()-10,$AD$11:$AD$60,0)),"")</ns0:f>
        <ns0:v/>
      </ns0:c>
      <ns0:c r="AF41" s="0" t="str">
        <ns0:f>AE41</ns0:f>
        <ns0:v/>
      </ns0:c>
      <ns0:c r="AG41" s="0">
        <ns0:f>IF(X41=0,0,IFERROR(Team!F41+Team!G41,0))</ns0:f>
        <ns0:v>0</ns0:v>
      </ns0:c>
      <ns0:c r="AH41" s="0">
        <ns0:f>IF(X41=0,0,SUMIFS(rngEngine_P,rngEngine_B,Team!A41))</ns0:f>
        <ns0:v>0</ns0:v>
      </ns0:c>
      <ns0:c r="AI41" s="0">
        <ns0:f>IF(X41=0,0,SUMIFS(rngEngine_Q,rngEngine_B,Team!A41))</ns0:f>
        <ns0:v>0</ns0:v>
      </ns0:c>
      <ns0:c r="AJ41" s="0">
        <ns0:f>IF(X41=0,0,SUMIFS(rngEngine_R,rngEngine_B,Team!A41))</ns0:f>
        <ns0:v>0</ns0:v>
      </ns0:c>
      <ns0:c r="AK41" s="0">
        <ns0:f>IF(X41=0,0,SUMIFS(rngEngine_S,rngEngine_B,Team!A41))</ns0:f>
        <ns0:v>0</ns0:v>
      </ns0:c>
      <ns0:c r="AL41" s="0">
        <ns0:f>AH41+AI41</ns0:f>
        <ns0:v>0</ns0:v>
      </ns0:c>
      <ns0:c r="AM41" s="0" t="str">
        <ns0:f>IF(X41=0,"",IF(AA41&gt;0,"CHECK team setup",IF(AB41&gt;0,"CHECK "&amp;AB41&amp;" booking(s)","OK")))</ns0:f>
        <ns0:v/>
      </ns0:c>
      <ns0:c r="AN41" s="0" t="str">
        <ns0:f>IF(X41=0,"",IF(OR($B$6&gt;0,AM41&lt;&gt;"OK"),"REVIEW",AG41-AL41))</ns0:f>
        <ns0:v/>
      </ns0:c>
      <ns0:c r="AO41" s="0">
        <ns0:f>IFERROR(MATCH(ROW()-11,$AC$11:$AC$60,0),0)</ns0:f>
        <ns0:v>0</ns0:v>
      </ns0:c>
      <ns0:c r="AP41" s="0" t="str">
        <ns0:f>IF(Team!H41="Work","W","O")&amp;IF(Team!I41="Work","W","O")&amp;IF(Team!J41="Work","W","O")&amp;IF(Team!K41="Work","W","O")&amp;IF(Team!L41="Work","W","O")&amp;IF(Team!M41="Work","W","O")&amp;IF(Team!N41="Work","W","O")</ns0:f>
        <ns0:v>WWWWWOO</ns0:v>
      </ns0:c>
      <ns0:c r="AR41" s="0">
        <ns0:f>IFERROR(IF(ISNUMBER(Settings!F41),WEEKDAY(Settings!F41,2),0),0)</ns0:f>
        <ns0:v>0</ns0:v>
      </ns0:c>
      <ns0:c r="BC41" s="0">
        <ns0:f>IF(OR($AO41=0,$B$5&lt;&gt;"OK",$B$6&gt;0,Calendar!D$11=""),0,SUMIFS(rngEngine_U,rngEngine_B,INDEX(Team!$A$11:$A$60,$AO41),rngAMStart,"&lt;="&amp;Calendar!D$11,rngAMEnd,"&gt;="&amp;Calendar!D$11))</ns0:f>
        <ns0:v>0</ns0:v>
      </ns0:c>
      <ns0:c r="BD41" s="0">
        <ns0:f>IF(OR($AO41=0,$B$5&lt;&gt;"OK",$B$6&gt;0,Calendar!D$11=""),0,SUMIFS(rngEngine_V,rngEngine_B,INDEX(Team!$A$11:$A$60,$AO41),rngPMStart,"&lt;="&amp;Calendar!D$11,rngPMEnd,"&gt;="&amp;Calendar!D$11))</ns0:f>
        <ns0:v>0</ns0:v>
      </ns0:c>
      <ns0:c r="BE41" s="0">
        <ns0:f>IF(OR($AO41=0,$B$5&lt;&gt;"OK",$B$6&gt;0,Calendar!E$11=""),0,SUMIFS(rngEngine_U,rngEngine_B,INDEX(Team!$A$11:$A$60,$AO41),rngAMStart,"&lt;="&amp;Calendar!E$11,rngAMEnd,"&gt;="&amp;Calendar!E$11))</ns0:f>
        <ns0:v>0</ns0:v>
      </ns0:c>
      <ns0:c r="BF41" s="0">
        <ns0:f>IF(OR($AO41=0,$B$5&lt;&gt;"OK",$B$6&gt;0,Calendar!E$11=""),0,SUMIFS(rngEngine_V,rngEngine_B,INDEX(Team!$A$11:$A$60,$AO41),rngPMStart,"&lt;="&amp;Calendar!E$11,rngPMEnd,"&gt;="&amp;Calendar!E$11))</ns0:f>
        <ns0:v>0</ns0:v>
      </ns0:c>
      <ns0:c r="BG41" s="0">
        <ns0:f>IF(OR($AO41=0,$B$5&lt;&gt;"OK",$B$6&gt;0,Calendar!F$11=""),0,SUMIFS(rngEngine_U,rngEngine_B,INDEX(Team!$A$11:$A$60,$AO41),rngAMStart,"&lt;="&amp;Calendar!F$11,rngAMEnd,"&gt;="&amp;Calendar!F$11))</ns0:f>
        <ns0:v>0</ns0:v>
      </ns0:c>
      <ns0:c r="BH41" s="0">
        <ns0:f>IF(OR($AO41=0,$B$5&lt;&gt;"OK",$B$6&gt;0,Calendar!F$11=""),0,SUMIFS(rngEngine_V,rngEngine_B,INDEX(Team!$A$11:$A$60,$AO41),rngPMStart,"&lt;="&amp;Calendar!F$11,rngPMEnd,"&gt;="&amp;Calendar!F$11))</ns0:f>
        <ns0:v>0</ns0:v>
      </ns0:c>
      <ns0:c r="BI41" s="0">
        <ns0:f>IF(OR($AO41=0,$B$5&lt;&gt;"OK",$B$6&gt;0,Calendar!G$11=""),0,SUMIFS(rngEngine_U,rngEngine_B,INDEX(Team!$A$11:$A$60,$AO41),rngAMStart,"&lt;="&amp;Calendar!G$11,rngAMEnd,"&gt;="&amp;Calendar!G$11))</ns0:f>
        <ns0:v>0</ns0:v>
      </ns0:c>
      <ns0:c r="BJ41" s="0">
        <ns0:f>IF(OR($AO41=0,$B$5&lt;&gt;"OK",$B$6&gt;0,Calendar!G$11=""),0,SUMIFS(rngEngine_V,rngEngine_B,INDEX(Team!$A$11:$A$60,$AO41),rngPMStart,"&lt;="&amp;Calendar!G$11,rngPMEnd,"&gt;="&amp;Calendar!G$11))</ns0:f>
        <ns0:v>0</ns0:v>
      </ns0:c>
      <ns0:c r="BK41" s="0">
        <ns0:f>IF(OR($AO41=0,$B$5&lt;&gt;"OK",$B$6&gt;0,Calendar!H$11=""),0,SUMIFS(rngEngine_U,rngEngine_B,INDEX(Team!$A$11:$A$60,$AO41),rngAMStart,"&lt;="&amp;Calendar!H$11,rngAMEnd,"&gt;="&amp;Calendar!H$11))</ns0:f>
        <ns0:v>0</ns0:v>
      </ns0:c>
      <ns0:c r="BL41" s="0">
        <ns0:f>IF(OR($AO41=0,$B$5&lt;&gt;"OK",$B$6&gt;0,Calendar!H$11=""),0,SUMIFS(rngEngine_V,rngEngine_B,INDEX(Team!$A$11:$A$60,$AO41),rngPMStart,"&lt;="&amp;Calendar!H$11,rngPMEnd,"&gt;="&amp;Calendar!H$11))</ns0:f>
        <ns0:v>0</ns0:v>
      </ns0:c>
      <ns0:c r="BM41" s="0">
        <ns0:f>IF(OR($AO41=0,$B$5&lt;&gt;"OK",$B$6&gt;0,Calendar!I$11=""),0,SUMIFS(rngEngine_U,rngEngine_B,INDEX(Team!$A$11:$A$60,$AO41),rngAMStart,"&lt;="&amp;Calendar!I$11,rngAMEnd,"&gt;="&amp;Calendar!I$11))</ns0:f>
        <ns0:v>0</ns0:v>
      </ns0:c>
      <ns0:c r="BN41" s="0">
        <ns0:f>IF(OR($AO41=0,$B$5&lt;&gt;"OK",$B$6&gt;0,Calendar!I$11=""),0,SUMIFS(rngEngine_V,rngEngine_B,INDEX(Team!$A$11:$A$60,$AO41),rngPMStart,"&lt;="&amp;Calendar!I$11,rngPMEnd,"&gt;="&amp;Calendar!I$11))</ns0:f>
        <ns0:v>0</ns0:v>
      </ns0:c>
      <ns0:c r="BO41" s="0">
        <ns0:f>IF(OR($AO41=0,$B$5&lt;&gt;"OK",$B$6&gt;0,Calendar!J$11=""),0,SUMIFS(rngEngine_U,rngEngine_B,INDEX(Team!$A$11:$A$60,$AO41),rngAMStart,"&lt;="&amp;Calendar!J$11,rngAMEnd,"&gt;="&amp;Calendar!J$11))</ns0:f>
        <ns0:v>0</ns0:v>
      </ns0:c>
      <ns0:c r="BP41" s="0">
        <ns0:f>IF(OR($AO41=0,$B$5&lt;&gt;"OK",$B$6&gt;0,Calendar!J$11=""),0,SUMIFS(rngEngine_V,rngEngine_B,INDEX(Team!$A$11:$A$60,$AO41),rngPMStart,"&lt;="&amp;Calendar!J$11,rngPMEnd,"&gt;="&amp;Calendar!J$11))</ns0:f>
        <ns0:v>0</ns0:v>
      </ns0:c>
      <ns0:c r="BQ41" s="0">
        <ns0:f>IF(OR($AO41=0,$B$5&lt;&gt;"OK",$B$6&gt;0,Calendar!K$11=""),0,SUMIFS(rngEngine_U,rngEngine_B,INDEX(Team!$A$11:$A$60,$AO41),rngAMStart,"&lt;="&amp;Calendar!K$11,rngAMEnd,"&gt;="&amp;Calendar!K$11))</ns0:f>
        <ns0:v>0</ns0:v>
      </ns0:c>
      <ns0:c r="BR41" s="0">
        <ns0:f>IF(OR($AO41=0,$B$5&lt;&gt;"OK",$B$6&gt;0,Calendar!K$11=""),0,SUMIFS(rngEngine_V,rngEngine_B,INDEX(Team!$A$11:$A$60,$AO41),rngPMStart,"&lt;="&amp;Calendar!K$11,rngPMEnd,"&gt;="&amp;Calendar!K$11))</ns0:f>
        <ns0:v>0</ns0:v>
      </ns0:c>
      <ns0:c r="BS41" s="0">
        <ns0:f>IF(OR($AO41=0,$B$5&lt;&gt;"OK",$B$6&gt;0,Calendar!L$11=""),0,SUMIFS(rngEngine_U,rngEngine_B,INDEX(Team!$A$11:$A$60,$AO41),rngAMStart,"&lt;="&amp;Calendar!L$11,rngAMEnd,"&gt;="&amp;Calendar!L$11))</ns0:f>
        <ns0:v>0</ns0:v>
      </ns0:c>
      <ns0:c r="BT41" s="0">
        <ns0:f>IF(OR($AO41=0,$B$5&lt;&gt;"OK",$B$6&gt;0,Calendar!L$11=""),0,SUMIFS(rngEngine_V,rngEngine_B,INDEX(Team!$A$11:$A$60,$AO41),rngPMStart,"&lt;="&amp;Calendar!L$11,rngPMEnd,"&gt;="&amp;Calendar!L$11))</ns0:f>
        <ns0:v>0</ns0:v>
      </ns0:c>
      <ns0:c r="BU41" s="0">
        <ns0:f>IF(OR($AO41=0,$B$5&lt;&gt;"OK",$B$6&gt;0,Calendar!M$11=""),0,SUMIFS(rngEngine_U,rngEngine_B,INDEX(Team!$A$11:$A$60,$AO41),rngAMStart,"&lt;="&amp;Calendar!M$11,rngAMEnd,"&gt;="&amp;Calendar!M$11))</ns0:f>
        <ns0:v>0</ns0:v>
      </ns0:c>
      <ns0:c r="BV41" s="0">
        <ns0:f>IF(OR($AO41=0,$B$5&lt;&gt;"OK",$B$6&gt;0,Calendar!M$11=""),0,SUMIFS(rngEngine_V,rngEngine_B,INDEX(Team!$A$11:$A$60,$AO41),rngPMStart,"&lt;="&amp;Calendar!M$11,rngPMEnd,"&gt;="&amp;Calendar!M$11))</ns0:f>
        <ns0:v>0</ns0:v>
      </ns0:c>
      <ns0:c r="BW41" s="0">
        <ns0:f>IF(OR($AO41=0,$B$5&lt;&gt;"OK",$B$6&gt;0,Calendar!N$11=""),0,SUMIFS(rngEngine_U,rngEngine_B,INDEX(Team!$A$11:$A$60,$AO41),rngAMStart,"&lt;="&amp;Calendar!N$11,rngAMEnd,"&gt;="&amp;Calendar!N$11))</ns0:f>
        <ns0:v>0</ns0:v>
      </ns0:c>
      <ns0:c r="BX41" s="0">
        <ns0:f>IF(OR($AO41=0,$B$5&lt;&gt;"OK",$B$6&gt;0,Calendar!N$11=""),0,SUMIFS(rngEngine_V,rngEngine_B,INDEX(Team!$A$11:$A$60,$AO41),rngPMStart,"&lt;="&amp;Calendar!N$11,rngPMEnd,"&gt;="&amp;Calendar!N$11))</ns0:f>
        <ns0:v>0</ns0:v>
      </ns0:c>
      <ns0:c r="BY41" s="0">
        <ns0:f>IF(OR($AO41=0,$B$5&lt;&gt;"OK",$B$6&gt;0,Calendar!O$11=""),0,SUMIFS(rngEngine_U,rngEngine_B,INDEX(Team!$A$11:$A$60,$AO41),rngAMStart,"&lt;="&amp;Calendar!O$11,rngAMEnd,"&gt;="&amp;Calendar!O$11))</ns0:f>
        <ns0:v>0</ns0:v>
      </ns0:c>
      <ns0:c r="BZ41" s="0">
        <ns0:f>IF(OR($AO41=0,$B$5&lt;&gt;"OK",$B$6&gt;0,Calendar!O$11=""),0,SUMIFS(rngEngine_V,rngEngine_B,INDEX(Team!$A$11:$A$60,$AO41),rngPMStart,"&lt;="&amp;Calendar!O$11,rngPMEnd,"&gt;="&amp;Calendar!O$11))</ns0:f>
        <ns0:v>0</ns0:v>
      </ns0:c>
      <ns0:c r="CA41" s="0">
        <ns0:f>IF(OR($AO41=0,$B$5&lt;&gt;"OK",$B$6&gt;0,Calendar!P$11=""),0,SUMIFS(rngEngine_U,rngEngine_B,INDEX(Team!$A$11:$A$60,$AO41),rngAMStart,"&lt;="&amp;Calendar!P$11,rngAMEnd,"&gt;="&amp;Calendar!P$11))</ns0:f>
        <ns0:v>0</ns0:v>
      </ns0:c>
      <ns0:c r="CB41" s="0">
        <ns0:f>IF(OR($AO41=0,$B$5&lt;&gt;"OK",$B$6&gt;0,Calendar!P$11=""),0,SUMIFS(rngEngine_V,rngEngine_B,INDEX(Team!$A$11:$A$60,$AO41),rngPMStart,"&lt;="&amp;Calendar!P$11,rngPMEnd,"&gt;="&amp;Calendar!P$11))</ns0:f>
        <ns0:v>0</ns0:v>
      </ns0:c>
      <ns0:c r="CC41" s="0">
        <ns0:f>IF(OR($AO41=0,$B$5&lt;&gt;"OK",$B$6&gt;0,Calendar!Q$11=""),0,SUMIFS(rngEngine_U,rngEngine_B,INDEX(Team!$A$11:$A$60,$AO41),rngAMStart,"&lt;="&amp;Calendar!Q$11,rngAMEnd,"&gt;="&amp;Calendar!Q$11))</ns0:f>
        <ns0:v>0</ns0:v>
      </ns0:c>
      <ns0:c r="CD41" s="0">
        <ns0:f>IF(OR($AO41=0,$B$5&lt;&gt;"OK",$B$6&gt;0,Calendar!Q$11=""),0,SUMIFS(rngEngine_V,rngEngine_B,INDEX(Team!$A$11:$A$60,$AO41),rngPMStart,"&lt;="&amp;Calendar!Q$11,rngPMEnd,"&gt;="&amp;Calendar!Q$11))</ns0:f>
        <ns0:v>0</ns0:v>
      </ns0:c>
      <ns0:c r="CE41" s="0">
        <ns0:f>IF(OR($AO41=0,$B$5&lt;&gt;"OK",$B$6&gt;0,Calendar!R$11=""),0,SUMIFS(rngEngine_U,rngEngine_B,INDEX(Team!$A$11:$A$60,$AO41),rngAMStart,"&lt;="&amp;Calendar!R$11,rngAMEnd,"&gt;="&amp;Calendar!R$11))</ns0:f>
        <ns0:v>0</ns0:v>
      </ns0:c>
      <ns0:c r="CF41" s="0">
        <ns0:f>IF(OR($AO41=0,$B$5&lt;&gt;"OK",$B$6&gt;0,Calendar!R$11=""),0,SUMIFS(rngEngine_V,rngEngine_B,INDEX(Team!$A$11:$A$60,$AO41),rngPMStart,"&lt;="&amp;Calendar!R$11,rngPMEnd,"&gt;="&amp;Calendar!R$11))</ns0:f>
        <ns0:v>0</ns0:v>
      </ns0:c>
      <ns0:c r="CG41" s="0">
        <ns0:f>IF(OR($AO41=0,$B$5&lt;&gt;"OK",$B$6&gt;0,Calendar!S$11=""),0,SUMIFS(rngEngine_U,rngEngine_B,INDEX(Team!$A$11:$A$60,$AO41),rngAMStart,"&lt;="&amp;Calendar!S$11,rngAMEnd,"&gt;="&amp;Calendar!S$11))</ns0:f>
        <ns0:v>0</ns0:v>
      </ns0:c>
      <ns0:c r="CH41" s="0">
        <ns0:f>IF(OR($AO41=0,$B$5&lt;&gt;"OK",$B$6&gt;0,Calendar!S$11=""),0,SUMIFS(rngEngine_V,rngEngine_B,INDEX(Team!$A$11:$A$60,$AO41),rngPMStart,"&lt;="&amp;Calendar!S$11,rngPMEnd,"&gt;="&amp;Calendar!S$11))</ns0:f>
        <ns0:v>0</ns0:v>
      </ns0:c>
      <ns0:c r="CI41" s="0">
        <ns0:f>IF(OR($AO41=0,$B$5&lt;&gt;"OK",$B$6&gt;0,Calendar!T$11=""),0,SUMIFS(rngEngine_U,rngEngine_B,INDEX(Team!$A$11:$A$60,$AO41),rngAMStart,"&lt;="&amp;Calendar!T$11,rngAMEnd,"&gt;="&amp;Calendar!T$11))</ns0:f>
        <ns0:v>0</ns0:v>
      </ns0:c>
      <ns0:c r="CJ41" s="0">
        <ns0:f>IF(OR($AO41=0,$B$5&lt;&gt;"OK",$B$6&gt;0,Calendar!T$11=""),0,SUMIFS(rngEngine_V,rngEngine_B,INDEX(Team!$A$11:$A$60,$AO41),rngPMStart,"&lt;="&amp;Calendar!T$11,rngPMEnd,"&gt;="&amp;Calendar!T$11))</ns0:f>
        <ns0:v>0</ns0:v>
      </ns0:c>
      <ns0:c r="CK41" s="0">
        <ns0:f>IF(OR($AO41=0,$B$5&lt;&gt;"OK",$B$6&gt;0,Calendar!U$11=""),0,SUMIFS(rngEngine_U,rngEngine_B,INDEX(Team!$A$11:$A$60,$AO41),rngAMStart,"&lt;="&amp;Calendar!U$11,rngAMEnd,"&gt;="&amp;Calendar!U$11))</ns0:f>
        <ns0:v>0</ns0:v>
      </ns0:c>
      <ns0:c r="CL41" s="0">
        <ns0:f>IF(OR($AO41=0,$B$5&lt;&gt;"OK",$B$6&gt;0,Calendar!U$11=""),0,SUMIFS(rngEngine_V,rngEngine_B,INDEX(Team!$A$11:$A$60,$AO41),rngPMStart,"&lt;="&amp;Calendar!U$11,rngPMEnd,"&gt;="&amp;Calendar!U$11))</ns0:f>
        <ns0:v>0</ns0:v>
      </ns0:c>
      <ns0:c r="CM41" s="0">
        <ns0:f>IF(OR($AO41=0,$B$5&lt;&gt;"OK",$B$6&gt;0,Calendar!V$11=""),0,SUMIFS(rngEngine_U,rngEngine_B,INDEX(Team!$A$11:$A$60,$AO41),rngAMStart,"&lt;="&amp;Calendar!V$11,rngAMEnd,"&gt;="&amp;Calendar!V$11))</ns0:f>
        <ns0:v>0</ns0:v>
      </ns0:c>
      <ns0:c r="CN41" s="0">
        <ns0:f>IF(OR($AO41=0,$B$5&lt;&gt;"OK",$B$6&gt;0,Calendar!V$11=""),0,SUMIFS(rngEngine_V,rngEngine_B,INDEX(Team!$A$11:$A$60,$AO41),rngPMStart,"&lt;="&amp;Calendar!V$11,rngPMEnd,"&gt;="&amp;Calendar!V$11))</ns0:f>
        <ns0:v>0</ns0:v>
      </ns0:c>
      <ns0:c r="CO41" s="0">
        <ns0:f>IF(OR($AO41=0,$B$5&lt;&gt;"OK",$B$6&gt;0,Calendar!W$11=""),0,SUMIFS(rngEngine_U,rngEngine_B,INDEX(Team!$A$11:$A$60,$AO41),rngAMStart,"&lt;="&amp;Calendar!W$11,rngAMEnd,"&gt;="&amp;Calendar!W$11))</ns0:f>
        <ns0:v>0</ns0:v>
      </ns0:c>
      <ns0:c r="CP41" s="0">
        <ns0:f>IF(OR($AO41=0,$B$5&lt;&gt;"OK",$B$6&gt;0,Calendar!W$11=""),0,SUMIFS(rngEngine_V,rngEngine_B,INDEX(Team!$A$11:$A$60,$AO41),rngPMStart,"&lt;="&amp;Calendar!W$11,rngPMEnd,"&gt;="&amp;Calendar!W$11))</ns0:f>
        <ns0:v>0</ns0:v>
      </ns0:c>
      <ns0:c r="CQ41" s="0">
        <ns0:f>IF(OR($AO41=0,$B$5&lt;&gt;"OK",$B$6&gt;0,Calendar!X$11=""),0,SUMIFS(rngEngine_U,rngEngine_B,INDEX(Team!$A$11:$A$60,$AO41),rngAMStart,"&lt;="&amp;Calendar!X$11,rngAMEnd,"&gt;="&amp;Calendar!X$11))</ns0:f>
        <ns0:v>0</ns0:v>
      </ns0:c>
      <ns0:c r="CR41" s="0">
        <ns0:f>IF(OR($AO41=0,$B$5&lt;&gt;"OK",$B$6&gt;0,Calendar!X$11=""),0,SUMIFS(rngEngine_V,rngEngine_B,INDEX(Team!$A$11:$A$60,$AO41),rngPMStart,"&lt;="&amp;Calendar!X$11,rngPMEnd,"&gt;="&amp;Calendar!X$11))</ns0:f>
        <ns0:v>0</ns0:v>
      </ns0:c>
      <ns0:c r="CS41" s="0">
        <ns0:f>IF(OR($AO41=0,$B$5&lt;&gt;"OK",$B$6&gt;0,Calendar!Y$11=""),0,SUMIFS(rngEngine_U,rngEngine_B,INDEX(Team!$A$11:$A$60,$AO41),rngAMStart,"&lt;="&amp;Calendar!Y$11,rngAMEnd,"&gt;="&amp;Calendar!Y$11))</ns0:f>
        <ns0:v>0</ns0:v>
      </ns0:c>
      <ns0:c r="CT41" s="0">
        <ns0:f>IF(OR($AO41=0,$B$5&lt;&gt;"OK",$B$6&gt;0,Calendar!Y$11=""),0,SUMIFS(rngEngine_V,rngEngine_B,INDEX(Team!$A$11:$A$60,$AO41),rngPMStart,"&lt;="&amp;Calendar!Y$11,rngPMEnd,"&gt;="&amp;Calendar!Y$11))</ns0:f>
        <ns0:v>0</ns0:v>
      </ns0:c>
      <ns0:c r="CU41" s="0">
        <ns0:f>IF(OR($AO41=0,$B$5&lt;&gt;"OK",$B$6&gt;0,Calendar!Z$11=""),0,SUMIFS(rngEngine_U,rngEngine_B,INDEX(Team!$A$11:$A$60,$AO41),rngAMStart,"&lt;="&amp;Calendar!Z$11,rngAMEnd,"&gt;="&amp;Calendar!Z$11))</ns0:f>
        <ns0:v>0</ns0:v>
      </ns0:c>
      <ns0:c r="CV41" s="0">
        <ns0:f>IF(OR($AO41=0,$B$5&lt;&gt;"OK",$B$6&gt;0,Calendar!Z$11=""),0,SUMIFS(rngEngine_V,rngEngine_B,INDEX(Team!$A$11:$A$60,$AO41),rngPMStart,"&lt;="&amp;Calendar!Z$11,rngPMEnd,"&gt;="&amp;Calendar!Z$11))</ns0:f>
        <ns0:v>0</ns0:v>
      </ns0:c>
      <ns0:c r="CW41" s="0">
        <ns0:f>IF(OR($AO41=0,$B$5&lt;&gt;"OK",$B$6&gt;0,Calendar!AA$11=""),0,SUMIFS(rngEngine_U,rngEngine_B,INDEX(Team!$A$11:$A$60,$AO41),rngAMStart,"&lt;="&amp;Calendar!AA$11,rngAMEnd,"&gt;="&amp;Calendar!AA$11))</ns0:f>
        <ns0:v>0</ns0:v>
      </ns0:c>
      <ns0:c r="CX41" s="0">
        <ns0:f>IF(OR($AO41=0,$B$5&lt;&gt;"OK",$B$6&gt;0,Calendar!AA$11=""),0,SUMIFS(rngEngine_V,rngEngine_B,INDEX(Team!$A$11:$A$60,$AO41),rngPMStart,"&lt;="&amp;Calendar!AA$11,rngPMEnd,"&gt;="&amp;Calendar!AA$11))</ns0:f>
        <ns0:v>0</ns0:v>
      </ns0:c>
      <ns0:c r="CY41" s="0">
        <ns0:f>IF(OR($AO41=0,$B$5&lt;&gt;"OK",$B$6&gt;0,Calendar!AB$11=""),0,SUMIFS(rngEngine_U,rngEngine_B,INDEX(Team!$A$11:$A$60,$AO41),rngAMStart,"&lt;="&amp;Calendar!AB$11,rngAMEnd,"&gt;="&amp;Calendar!AB$11))</ns0:f>
        <ns0:v>0</ns0:v>
      </ns0:c>
      <ns0:c r="CZ41" s="0">
        <ns0:f>IF(OR($AO41=0,$B$5&lt;&gt;"OK",$B$6&gt;0,Calendar!AB$11=""),0,SUMIFS(rngEngine_V,rngEngine_B,INDEX(Team!$A$11:$A$60,$AO41),rngPMStart,"&lt;="&amp;Calendar!AB$11,rngPMEnd,"&gt;="&amp;Calendar!AB$11))</ns0:f>
        <ns0:v>0</ns0:v>
      </ns0:c>
      <ns0:c r="DA41" s="0">
        <ns0:f>IF(OR($AO41=0,$B$5&lt;&gt;"OK",$B$6&gt;0,Calendar!AC$11=""),0,SUMIFS(rngEngine_U,rngEngine_B,INDEX(Team!$A$11:$A$60,$AO41),rngAMStart,"&lt;="&amp;Calendar!AC$11,rngAMEnd,"&gt;="&amp;Calendar!AC$11))</ns0:f>
        <ns0:v>0</ns0:v>
      </ns0:c>
      <ns0:c r="DB41" s="0">
        <ns0:f>IF(OR($AO41=0,$B$5&lt;&gt;"OK",$B$6&gt;0,Calendar!AC$11=""),0,SUMIFS(rngEngine_V,rngEngine_B,INDEX(Team!$A$11:$A$60,$AO41),rngPMStart,"&lt;="&amp;Calendar!AC$11,rngPMEnd,"&gt;="&amp;Calendar!AC$11))</ns0:f>
        <ns0:v>0</ns0:v>
      </ns0:c>
      <ns0:c r="DC41" s="0">
        <ns0:f>IF(OR($AO41=0,$B$5&lt;&gt;"OK",$B$6&gt;0,Calendar!AD$11=""),0,SUMIFS(rngEngine_U,rngEngine_B,INDEX(Team!$A$11:$A$60,$AO41),rngAMStart,"&lt;="&amp;Calendar!AD$11,rngAMEnd,"&gt;="&amp;Calendar!AD$11))</ns0:f>
        <ns0:v>0</ns0:v>
      </ns0:c>
      <ns0:c r="DD41" s="0">
        <ns0:f>IF(OR($AO41=0,$B$5&lt;&gt;"OK",$B$6&gt;0,Calendar!AD$11=""),0,SUMIFS(rngEngine_V,rngEngine_B,INDEX(Team!$A$11:$A$60,$AO41),rngPMStart,"&lt;="&amp;Calendar!AD$11,rngPMEnd,"&gt;="&amp;Calendar!AD$11))</ns0:f>
        <ns0:v>0</ns0:v>
      </ns0:c>
      <ns0:c r="DE41" s="0">
        <ns0:f>IF(OR($AO41=0,$B$5&lt;&gt;"OK",$B$6&gt;0,Calendar!AE$11=""),0,SUMIFS(rngEngine_U,rngEngine_B,INDEX(Team!$A$11:$A$60,$AO41),rngAMStart,"&lt;="&amp;Calendar!AE$11,rngAMEnd,"&gt;="&amp;Calendar!AE$11))</ns0:f>
        <ns0:v>0</ns0:v>
      </ns0:c>
      <ns0:c r="DF41" s="0">
        <ns0:f>IF(OR($AO41=0,$B$5&lt;&gt;"OK",$B$6&gt;0,Calendar!AE$11=""),0,SUMIFS(rngEngine_V,rngEngine_B,INDEX(Team!$A$11:$A$60,$AO41),rngPMStart,"&lt;="&amp;Calendar!AE$11,rngPMEnd,"&gt;="&amp;Calendar!AE$11))</ns0:f>
        <ns0:v>0</ns0:v>
      </ns0:c>
      <ns0:c r="DG41" s="0">
        <ns0:f>IF(OR($AO41=0,$B$5&lt;&gt;"OK",$B$6&gt;0,Calendar!AF$11=""),0,SUMIFS(rngEngine_U,rngEngine_B,INDEX(Team!$A$11:$A$60,$AO41),rngAMStart,"&lt;="&amp;Calendar!AF$11,rngAMEnd,"&gt;="&amp;Calendar!AF$11))</ns0:f>
        <ns0:v>0</ns0:v>
      </ns0:c>
      <ns0:c r="DH41" s="0">
        <ns0:f>IF(OR($AO41=0,$B$5&lt;&gt;"OK",$B$6&gt;0,Calendar!AF$11=""),0,SUMIFS(rngEngine_V,rngEngine_B,INDEX(Team!$A$11:$A$60,$AO41),rngPMStart,"&lt;="&amp;Calendar!AF$11,rngPMEnd,"&gt;="&amp;Calendar!AF$11))</ns0:f>
        <ns0:v>0</ns0:v>
      </ns0:c>
      <ns0:c r="DI41" s="0">
        <ns0:f>IF(OR($AO41=0,$B$5&lt;&gt;"OK",$B$6&gt;0,Calendar!AG$11=""),0,SUMIFS(rngEngine_U,rngEngine_B,INDEX(Team!$A$11:$A$60,$AO41),rngAMStart,"&lt;="&amp;Calendar!AG$11,rngAMEnd,"&gt;="&amp;Calendar!AG$11))</ns0:f>
        <ns0:v>0</ns0:v>
      </ns0:c>
      <ns0:c r="DJ41" s="0">
        <ns0:f>IF(OR($AO41=0,$B$5&lt;&gt;"OK",$B$6&gt;0,Calendar!AG$11=""),0,SUMIFS(rngEngine_V,rngEngine_B,INDEX(Team!$A$11:$A$60,$AO41),rngPMStart,"&lt;="&amp;Calendar!AG$11,rngPMEnd,"&gt;="&amp;Calendar!AG$11))</ns0:f>
        <ns0:v>0</ns0:v>
      </ns0:c>
      <ns0:c r="DK41" s="0">
        <ns0:f>IF(OR($AO41=0,$B$5&lt;&gt;"OK",$B$6&gt;0,Calendar!AH$11=""),0,SUMIFS(rngEngine_U,rngEngine_B,INDEX(Team!$A$11:$A$60,$AO41),rngAMStart,"&lt;="&amp;Calendar!AH$11,rngAMEnd,"&gt;="&amp;Calendar!AH$11))</ns0:f>
        <ns0:v>0</ns0:v>
      </ns0:c>
      <ns0:c r="DL41" s="0">
        <ns0:f>IF(OR($AO41=0,$B$5&lt;&gt;"OK",$B$6&gt;0,Calendar!AH$11=""),0,SUMIFS(rngEngine_V,rngEngine_B,INDEX(Team!$A$11:$A$60,$AO41),rngPMStart,"&lt;="&amp;Calendar!AH$11,rngPMEnd,"&gt;="&amp;Calendar!AH$11))</ns0:f>
        <ns0:v>0</ns0:v>
      </ns0:c>
    </ns0:row>
    <ns0:row r="42" ht="22" customHeight="1">
      <ns0:c r="A42" s="4">
        <ns0:f>IF(COUNTA(Bookings!A42:G42,Bookings!I42)=0,0,1)</ns0:f>
        <ns0:v>0</ns0:v>
      </ns0:c>
      <ns0:c r="B42" s="4">
        <ns0:f>IFERROR(TRIM(MID(Bookings!A42,FIND(" · ",Bookings!A42)+3,99)),"")</ns0:f>
        <ns0:v>99</ns0:v>
      </ns0:c>
      <ns0:c r="C42" s="4">
        <ns0:f>IF(OR(B42="",LEN(B42)&gt;24,ISNUMBER(FIND(" ",B42)),ISNUMBER(FIND("*",B42)),ISNUMBER(FIND("?",B42)),ISNUMBER(FIND("~",B42))),0,IFERROR(MATCH(B42,Team!$A$11:$A$60,0),0))</ns0:f>
        <ns0:v>0</ns0:v>
      </ns0:c>
      <ns0:c r="D42" s="4" t="str">
        <ns0:f>IFERROR(IF(MID(Bookings!F42,LEN(Bookings!F42)-3,3)=" · ",RIGHT(Bookings!F42,1),""),"")</ns0:f>
        <ns0:v/>
      </ns0:c>
      <ns0:c r="E42" s="4" t="str">
        <ns0:f>IFERROR(INDEX(Settings!$H$7:$H$11,MATCH(D42,Settings!$G$7:$G$11,0)),"")</ns0:f>
        <ns0:v/>
      </ns0:c>
      <ns0:c r="F42" s="4" t="str">
        <ns0:f>IF(A42=0,"",IFERROR(IF(OR(B42="",C42=0),"CHECK employee selection",IF(INDEX(Team!$O$11:$O$60,C42)&lt;&gt;"OK","CHECK employee setup",IF(OR('_Dates'!J42=0,'_Dates'!T42=0),"CHECK date: use DD.MM.YYYY",IF('_Dates'!T42&lt;'_Dates'!J42,"CHECK end before start",IF(AND($B$6=0,OR('_Dates'!J42&lt;Settings!$B$7,'_Dates'!T42&gt;Settings!$B$8)),"CHECK split across leave years",IF(OR(NOT(OR('_Dates'!U42="Full day",'_Dates'!U42="AM",'_Dates'!U42="PM")),NOT(OR('_Dates'!V42="Full day",'_Dates'!V42="AM",'_Dates'!V42="PM"))),"CHECK Full day / AM / PM",IF(AND('_Dates'!J42='_Dates'!T42,'_Dates'!U42&lt;&gt;"Full day",'_Dates'!V42&lt;&gt;"Full day",'_Dates'!U42&lt;&gt;'_Dates'!V42),"CHECK same-day portions disagree",IF(AND($B$6=0,OR(AND('_Dates'!U42&lt;&gt;"Full day",'_Dates'!AA42=0),AND('_Dates'!V42&lt;&gt;"Full day",'_Dates'!AB42=0))),"CHECK half-day on non-working date",IF(COUNTIF(Settings!$G$7:$G$11,D42)&lt;&gt;1,"CHECK leave type",IF(AND(Bookings!G42&lt;&gt;"Approved",Bookings!G42&lt;&gt;"Pending",Bookings!G42&lt;&gt;"Cancelled"),"CHECK status","OK")))))))))),"CHECK input"))</ns0:f>
        <ns0:v/>
      </ns0:c>
      <ns0:c r="G42" s="4">
        <ns0:f>IF(OR(F42&lt;&gt;"OK",$B$6&gt;0),0,0.5*(IF(('_Dates'!X42)&lt;('_Dates'!W42),0,INT((('_Dates'!X42)-('_Dates'!W42)+1)/7)*LEN(SUBSTITUTE(W42,"O",""))+LEN(SUBSTITUTE(MID(W42&amp;W42,WEEKDAY(('_Dates'!W42),2),MOD((('_Dates'!X42)-('_Dates'!W42)+1),7)),"O",""))-COUNTIFS(INDEX(AllClosureRows,C42,0),"&gt;="&amp;('_Dates'!W42),INDEX(AllClosureRows,C42,0),"&lt;="&amp;('_Dates'!X42)))+IF(('_Dates'!Z42)&lt;('_Dates'!Y42),0,INT((('_Dates'!Z42)-('_Dates'!Y42)+1)/7)*LEN(SUBSTITUTE(W42,"O",""))+LEN(SUBSTITUTE(MID(W42&amp;W42,WEEKDAY(('_Dates'!Y42),2),MOD((('_Dates'!Z42)-('_Dates'!Y42)+1),7)),"O",""))-COUNTIFS(INDEX(AllClosureRows,C42,0),"&gt;="&amp;('_Dates'!Y42),INDEX(AllClosureRows,C42,0),"&lt;="&amp;('_Dates'!Z42)))))</ns0:f>
        <ns0:v>0</ns0:v>
      </ns0:c>
      <ns0:c r="H42" s="4">
        <ns0:f>IF(OR(F42&lt;&gt;"OK",$B$6&gt;0),0,0.5*(IF((MIN('_Dates'!X42,Settings!$B$9))&lt;('_Dates'!W42),0,INT(((MIN('_Dates'!X42,Settings!$B$9))-('_Dates'!W42)+1)/7)*LEN(SUBSTITUTE(W42,"O",""))+LEN(SUBSTITUTE(MID(W42&amp;W42,WEEKDAY(('_Dates'!W42),2),MOD(((MIN('_Dates'!X42,Settings!$B$9))-('_Dates'!W42)+1),7)),"O",""))-COUNTIFS(INDEX(AllClosureRows,C42,0),"&gt;="&amp;('_Dates'!W42),INDEX(AllClosureRows,C42,0),"&lt;="&amp;(MIN('_Dates'!X42,Settings!$B$9))))+IF((MIN('_Dates'!Z42,Settings!$B$9))&lt;('_Dates'!Y42),0,INT(((MIN('_Dates'!Z42,Settings!$B$9))-('_Dates'!Y42)+1)/7)*LEN(SUBSTITUTE(W42,"O",""))+LEN(SUBSTITUTE(MID(W42&amp;W42,WEEKDAY(('_Dates'!Y42),2),MOD(((MIN('_Dates'!Z42,Settings!$B$9))-('_Dates'!Y42)+1),7)),"O",""))-COUNTIFS(INDEX(AllClosureRows,C42,0),"&gt;="&amp;('_Dates'!Y42),INDEX(AllClosureRows,C42,0),"&lt;="&amp;(MIN('_Dates'!Z42,Settings!$B$9))))))</ns0:f>
        <ns0:v>0</ns0:v>
      </ns0:c>
      <ns0:c r="I42" s="4">
        <ns0:f>MAX(0,G42-H42)</ns0:f>
        <ns0:v>0</ns0:v>
      </ns0:c>
      <ns0:c r="J42" s="4">
        <ns0:f>IF(OR(A42=0,F42&lt;&gt;"OK",Bookings!G42="Cancelled",$B$6&gt;0),0,IF('_Dates'!AC42=1,MAX(0,COUNTIFS(rngEngine_B,B42,rngAMStart,"&lt;="&amp;'_Dates'!X42,rngAMEnd,"&gt;="&amp;'_Dates'!W42,rngAMActive,1,rngEngine_F,"OK",rngBookings_F,"&lt;&gt;Cancelled")-1),0)+IF('_Dates'!AD42=1,MAX(0,COUNTIFS(rngEngine_B,B42,rngPMStart,"&lt;="&amp;'_Dates'!Z42,rngPMEnd,"&gt;="&amp;'_Dates'!Y42,rngPMActive,1,rngEngine_F,"OK",rngBookings_F,"&lt;&gt;Cancelled")-1),0))</ns0:f>
        <ns0:v>0</ns0:v>
      </ns0:c>
      <ns0:c r="K42" s="0" t="str">
        <ns0:f>IF(A42=0,"",IF(F42&lt;&gt;"OK",F42,IF(J42&gt;0,"CHECK overlapping entry",IF(AND($B$6=0,G42&lt;=0,Bookings!G42&lt;&gt;"Cancelled"),"CHECK no working days",IF(Bookings!G42="Cancelled","Cancelled","OK")))))</ns0:f>
        <ns0:v/>
      </ns0:c>
      <ns0:c r="L42" s="0">
        <ns0:f>IF(LEFT(K42,5)="CHECK",1,0)</ns0:f>
        <ns0:v>0</ns0:v>
      </ns0:c>
      <ns0:c r="M42" s="0">
        <ns0:f>IF(AND(L42=1,OR(C42=0,IFERROR(INDEX($X$11:$X$60,C42),0)=0)),1,0)</ns0:f>
        <ns0:v>0</ns0:v>
      </ns0:c>
      <ns0:c r="N42" s="0">
        <ns0:f>IF(OR(A42=0,L42&gt;0,$B$6&gt;0,Bookings!G42="Cancelled"),0,G42)</ns0:f>
        <ns0:v>0</ns0:v>
      </ns0:c>
      <ns0:c r="O42" s="0">
        <ns0:f>IF(AND(Bookings!G42="Approved",E42="Yes"),N42,0)</ns0:f>
        <ns0:v>0</ns0:v>
      </ns0:c>
      <ns0:c r="P42" s="0">
        <ns0:f>IF(AND(Bookings!G42="Approved",E42="Yes",L42=0,$B$6=0),H42,0)</ns0:f>
        <ns0:v>0</ns0:v>
      </ns0:c>
      <ns0:c r="Q42" s="0">
        <ns0:f>IF(AND(Bookings!G42="Approved",E42="Yes",L42=0,$B$6=0),I42,0)</ns0:f>
        <ns0:v>0</ns0:v>
      </ns0:c>
      <ns0:c r="R42" s="0">
        <ns0:f>IF(AND(Bookings!G42="Pending",E42="Yes"),N42,0)</ns0:f>
        <ns0:v>0</ns0:v>
      </ns0:c>
      <ns0:c r="S42" s="0">
        <ns0:f>IF(AND(Bookings!G42="Approved",E42="No"),N42,0)</ns0:f>
        <ns0:v>0</ns0:v>
      </ns0:c>
      <ns0:c r="T42" s="0">
        <ns0:f>IFERROR(MATCH(D42,Settings!$G$7:$G$11,0),0)</ns0:f>
        <ns0:v>0</ns0:v>
      </ns0:c>
      <ns0:c r="U42" s="0">
        <ns0:f>IF(N42&gt;0,T42+IF(Bookings!G42="Pending",10,0),0)</ns0:f>
        <ns0:v>0</ns0:v>
      </ns0:c>
      <ns0:c r="V42" s="0">
        <ns0:f>U42</ns0:f>
        <ns0:v>0</ns0:v>
      </ns0:c>
      <ns0:c r="W42" s="0" t="str">
        <ns0:f>IF(C42=0,"",INDEX($AP$11:$AP$60,C42))</ns0:f>
        <ns0:v/>
      </ns0:c>
      <ns0:c r="X42" s="0">
        <ns0:f>IF(COUNTA(Team!B42:D42)=0,0,1)</ns0:f>
        <ns0:v>0</ns0:v>
      </ns0:c>
      <ns0:c r="Y42" s="0" t="str">
        <ns0:f>IF(X42=0,"",IF(Team!B42="","[Unnamed]",Team!B42)&amp;" · "&amp;Team!A42)</ns0:f>
        <ns0:v/>
      </ns0:c>
      <ns0:c r="Z42" s="0">
        <ns0:f>IF(X42=0,0,COUNTIF(Team!H42:N42,"Work"))</ns0:f>
        <ns0:v>0</ns0:v>
      </ns0:c>
      <ns0:c r="AA42" s="0">
        <ns0:f>IF(LEFT(Team!O42,5)="CHECK",1,0)</ns0:f>
        <ns0:v>0</ns0:v>
      </ns0:c>
      <ns0:c r="AB42" s="0">
        <ns0:f>IF(X42=0,0,SUMIFS(rngEngine_L,rngEngine_B,Team!A42))</ns0:f>
        <ns0:v>0</ns0:v>
      </ns0:c>
      <ns0:c r="AC42" s="0" t="str">
        <ns0:f>IF(AND(X42=1,OR(Calendar!$C$7="All teams",Team!C42=Calendar!$C$7)),MAX($AC$10:AC41)+1,"")</ns0:f>
        <ns0:v/>
      </ns0:c>
      <ns0:c r="AD42" s="0" t="str">
        <ns0:f>IF(OR(X42=0,Team!C42="",COUNTIF(Team!$C$11:C42,Team!C42)&gt;1),"",MAX($AD$10:AD41)+1)</ns0:f>
        <ns0:v/>
      </ns0:c>
      <ns0:c r="AE42" s="0" t="str">
        <ns0:f>IFERROR(INDEX(Team!$C$11:$C$60,MATCH(ROW()-10,$AD$11:$AD$60,0)),"")</ns0:f>
        <ns0:v/>
      </ns0:c>
      <ns0:c r="AF42" s="0" t="str">
        <ns0:f>AE42</ns0:f>
        <ns0:v/>
      </ns0:c>
      <ns0:c r="AG42" s="0">
        <ns0:f>IF(X42=0,0,IFERROR(Team!F42+Team!G42,0))</ns0:f>
        <ns0:v>0</ns0:v>
      </ns0:c>
      <ns0:c r="AH42" s="0">
        <ns0:f>IF(X42=0,0,SUMIFS(rngEngine_P,rngEngine_B,Team!A42))</ns0:f>
        <ns0:v>0</ns0:v>
      </ns0:c>
      <ns0:c r="AI42" s="0">
        <ns0:f>IF(X42=0,0,SUMIFS(rngEngine_Q,rngEngine_B,Team!A42))</ns0:f>
        <ns0:v>0</ns0:v>
      </ns0:c>
      <ns0:c r="AJ42" s="0">
        <ns0:f>IF(X42=0,0,SUMIFS(rngEngine_R,rngEngine_B,Team!A42))</ns0:f>
        <ns0:v>0</ns0:v>
      </ns0:c>
      <ns0:c r="AK42" s="0">
        <ns0:f>IF(X42=0,0,SUMIFS(rngEngine_S,rngEngine_B,Team!A42))</ns0:f>
        <ns0:v>0</ns0:v>
      </ns0:c>
      <ns0:c r="AL42" s="0">
        <ns0:f>AH42+AI42</ns0:f>
        <ns0:v>0</ns0:v>
      </ns0:c>
      <ns0:c r="AM42" s="0" t="str">
        <ns0:f>IF(X42=0,"",IF(AA42&gt;0,"CHECK team setup",IF(AB42&gt;0,"CHECK "&amp;AB42&amp;" booking(s)","OK")))</ns0:f>
        <ns0:v/>
      </ns0:c>
      <ns0:c r="AN42" s="0" t="str">
        <ns0:f>IF(X42=0,"",IF(OR($B$6&gt;0,AM42&lt;&gt;"OK"),"REVIEW",AG42-AL42))</ns0:f>
        <ns0:v/>
      </ns0:c>
      <ns0:c r="AO42" s="0">
        <ns0:f>IFERROR(MATCH(ROW()-11,$AC$11:$AC$60,0),0)</ns0:f>
        <ns0:v>0</ns0:v>
      </ns0:c>
      <ns0:c r="AP42" s="0" t="str">
        <ns0:f>IF(Team!H42="Work","W","O")&amp;IF(Team!I42="Work","W","O")&amp;IF(Team!J42="Work","W","O")&amp;IF(Team!K42="Work","W","O")&amp;IF(Team!L42="Work","W","O")&amp;IF(Team!M42="Work","W","O")&amp;IF(Team!N42="Work","W","O")</ns0:f>
        <ns0:v>WWWWWOO</ns0:v>
      </ns0:c>
      <ns0:c r="AR42" s="0">
        <ns0:f>IFERROR(IF(ISNUMBER(Settings!F42),WEEKDAY(Settings!F42,2),0),0)</ns0:f>
        <ns0:v>0</ns0:v>
      </ns0:c>
      <ns0:c r="BC42" s="0">
        <ns0:f>IF(OR($AO42=0,$B$5&lt;&gt;"OK",$B$6&gt;0,Calendar!D$11=""),0,SUMIFS(rngEngine_U,rngEngine_B,INDEX(Team!$A$11:$A$60,$AO42),rngAMStart,"&lt;="&amp;Calendar!D$11,rngAMEnd,"&gt;="&amp;Calendar!D$11))</ns0:f>
        <ns0:v>0</ns0:v>
      </ns0:c>
      <ns0:c r="BD42" s="0">
        <ns0:f>IF(OR($AO42=0,$B$5&lt;&gt;"OK",$B$6&gt;0,Calendar!D$11=""),0,SUMIFS(rngEngine_V,rngEngine_B,INDEX(Team!$A$11:$A$60,$AO42),rngPMStart,"&lt;="&amp;Calendar!D$11,rngPMEnd,"&gt;="&amp;Calendar!D$11))</ns0:f>
        <ns0:v>0</ns0:v>
      </ns0:c>
      <ns0:c r="BE42" s="0">
        <ns0:f>IF(OR($AO42=0,$B$5&lt;&gt;"OK",$B$6&gt;0,Calendar!E$11=""),0,SUMIFS(rngEngine_U,rngEngine_B,INDEX(Team!$A$11:$A$60,$AO42),rngAMStart,"&lt;="&amp;Calendar!E$11,rngAMEnd,"&gt;="&amp;Calendar!E$11))</ns0:f>
        <ns0:v>0</ns0:v>
      </ns0:c>
      <ns0:c r="BF42" s="0">
        <ns0:f>IF(OR($AO42=0,$B$5&lt;&gt;"OK",$B$6&gt;0,Calendar!E$11=""),0,SUMIFS(rngEngine_V,rngEngine_B,INDEX(Team!$A$11:$A$60,$AO42),rngPMStart,"&lt;="&amp;Calendar!E$11,rngPMEnd,"&gt;="&amp;Calendar!E$11))</ns0:f>
        <ns0:v>0</ns0:v>
      </ns0:c>
      <ns0:c r="BG42" s="0">
        <ns0:f>IF(OR($AO42=0,$B$5&lt;&gt;"OK",$B$6&gt;0,Calendar!F$11=""),0,SUMIFS(rngEngine_U,rngEngine_B,INDEX(Team!$A$11:$A$60,$AO42),rngAMStart,"&lt;="&amp;Calendar!F$11,rngAMEnd,"&gt;="&amp;Calendar!F$11))</ns0:f>
        <ns0:v>0</ns0:v>
      </ns0:c>
      <ns0:c r="BH42" s="0">
        <ns0:f>IF(OR($AO42=0,$B$5&lt;&gt;"OK",$B$6&gt;0,Calendar!F$11=""),0,SUMIFS(rngEngine_V,rngEngine_B,INDEX(Team!$A$11:$A$60,$AO42),rngPMStart,"&lt;="&amp;Calendar!F$11,rngPMEnd,"&gt;="&amp;Calendar!F$11))</ns0:f>
        <ns0:v>0</ns0:v>
      </ns0:c>
      <ns0:c r="BI42" s="0">
        <ns0:f>IF(OR($AO42=0,$B$5&lt;&gt;"OK",$B$6&gt;0,Calendar!G$11=""),0,SUMIFS(rngEngine_U,rngEngine_B,INDEX(Team!$A$11:$A$60,$AO42),rngAMStart,"&lt;="&amp;Calendar!G$11,rngAMEnd,"&gt;="&amp;Calendar!G$11))</ns0:f>
        <ns0:v>0</ns0:v>
      </ns0:c>
      <ns0:c r="BJ42" s="0">
        <ns0:f>IF(OR($AO42=0,$B$5&lt;&gt;"OK",$B$6&gt;0,Calendar!G$11=""),0,SUMIFS(rngEngine_V,rngEngine_B,INDEX(Team!$A$11:$A$60,$AO42),rngPMStart,"&lt;="&amp;Calendar!G$11,rngPMEnd,"&gt;="&amp;Calendar!G$11))</ns0:f>
        <ns0:v>0</ns0:v>
      </ns0:c>
      <ns0:c r="BK42" s="0">
        <ns0:f>IF(OR($AO42=0,$B$5&lt;&gt;"OK",$B$6&gt;0,Calendar!H$11=""),0,SUMIFS(rngEngine_U,rngEngine_B,INDEX(Team!$A$11:$A$60,$AO42),rngAMStart,"&lt;="&amp;Calendar!H$11,rngAMEnd,"&gt;="&amp;Calendar!H$11))</ns0:f>
        <ns0:v>0</ns0:v>
      </ns0:c>
      <ns0:c r="BL42" s="0">
        <ns0:f>IF(OR($AO42=0,$B$5&lt;&gt;"OK",$B$6&gt;0,Calendar!H$11=""),0,SUMIFS(rngEngine_V,rngEngine_B,INDEX(Team!$A$11:$A$60,$AO42),rngPMStart,"&lt;="&amp;Calendar!H$11,rngPMEnd,"&gt;="&amp;Calendar!H$11))</ns0:f>
        <ns0:v>0</ns0:v>
      </ns0:c>
      <ns0:c r="BM42" s="0">
        <ns0:f>IF(OR($AO42=0,$B$5&lt;&gt;"OK",$B$6&gt;0,Calendar!I$11=""),0,SUMIFS(rngEngine_U,rngEngine_B,INDEX(Team!$A$11:$A$60,$AO42),rngAMStart,"&lt;="&amp;Calendar!I$11,rngAMEnd,"&gt;="&amp;Calendar!I$11))</ns0:f>
        <ns0:v>0</ns0:v>
      </ns0:c>
      <ns0:c r="BN42" s="0">
        <ns0:f>IF(OR($AO42=0,$B$5&lt;&gt;"OK",$B$6&gt;0,Calendar!I$11=""),0,SUMIFS(rngEngine_V,rngEngine_B,INDEX(Team!$A$11:$A$60,$AO42),rngPMStart,"&lt;="&amp;Calendar!I$11,rngPMEnd,"&gt;="&amp;Calendar!I$11))</ns0:f>
        <ns0:v>0</ns0:v>
      </ns0:c>
      <ns0:c r="BO42" s="0">
        <ns0:f>IF(OR($AO42=0,$B$5&lt;&gt;"OK",$B$6&gt;0,Calendar!J$11=""),0,SUMIFS(rngEngine_U,rngEngine_B,INDEX(Team!$A$11:$A$60,$AO42),rngAMStart,"&lt;="&amp;Calendar!J$11,rngAMEnd,"&gt;="&amp;Calendar!J$11))</ns0:f>
        <ns0:v>0</ns0:v>
      </ns0:c>
      <ns0:c r="BP42" s="0">
        <ns0:f>IF(OR($AO42=0,$B$5&lt;&gt;"OK",$B$6&gt;0,Calendar!J$11=""),0,SUMIFS(rngEngine_V,rngEngine_B,INDEX(Team!$A$11:$A$60,$AO42),rngPMStart,"&lt;="&amp;Calendar!J$11,rngPMEnd,"&gt;="&amp;Calendar!J$11))</ns0:f>
        <ns0:v>0</ns0:v>
      </ns0:c>
      <ns0:c r="BQ42" s="0">
        <ns0:f>IF(OR($AO42=0,$B$5&lt;&gt;"OK",$B$6&gt;0,Calendar!K$11=""),0,SUMIFS(rngEngine_U,rngEngine_B,INDEX(Team!$A$11:$A$60,$AO42),rngAMStart,"&lt;="&amp;Calendar!K$11,rngAMEnd,"&gt;="&amp;Calendar!K$11))</ns0:f>
        <ns0:v>0</ns0:v>
      </ns0:c>
      <ns0:c r="BR42" s="0">
        <ns0:f>IF(OR($AO42=0,$B$5&lt;&gt;"OK",$B$6&gt;0,Calendar!K$11=""),0,SUMIFS(rngEngine_V,rngEngine_B,INDEX(Team!$A$11:$A$60,$AO42),rngPMStart,"&lt;="&amp;Calendar!K$11,rngPMEnd,"&gt;="&amp;Calendar!K$11))</ns0:f>
        <ns0:v>0</ns0:v>
      </ns0:c>
      <ns0:c r="BS42" s="0">
        <ns0:f>IF(OR($AO42=0,$B$5&lt;&gt;"OK",$B$6&gt;0,Calendar!L$11=""),0,SUMIFS(rngEngine_U,rngEngine_B,INDEX(Team!$A$11:$A$60,$AO42),rngAMStart,"&lt;="&amp;Calendar!L$11,rngAMEnd,"&gt;="&amp;Calendar!L$11))</ns0:f>
        <ns0:v>0</ns0:v>
      </ns0:c>
      <ns0:c r="BT42" s="0">
        <ns0:f>IF(OR($AO42=0,$B$5&lt;&gt;"OK",$B$6&gt;0,Calendar!L$11=""),0,SUMIFS(rngEngine_V,rngEngine_B,INDEX(Team!$A$11:$A$60,$AO42),rngPMStart,"&lt;="&amp;Calendar!L$11,rngPMEnd,"&gt;="&amp;Calendar!L$11))</ns0:f>
        <ns0:v>0</ns0:v>
      </ns0:c>
      <ns0:c r="BU42" s="0">
        <ns0:f>IF(OR($AO42=0,$B$5&lt;&gt;"OK",$B$6&gt;0,Calendar!M$11=""),0,SUMIFS(rngEngine_U,rngEngine_B,INDEX(Team!$A$11:$A$60,$AO42),rngAMStart,"&lt;="&amp;Calendar!M$11,rngAMEnd,"&gt;="&amp;Calendar!M$11))</ns0:f>
        <ns0:v>0</ns0:v>
      </ns0:c>
      <ns0:c r="BV42" s="0">
        <ns0:f>IF(OR($AO42=0,$B$5&lt;&gt;"OK",$B$6&gt;0,Calendar!M$11=""),0,SUMIFS(rngEngine_V,rngEngine_B,INDEX(Team!$A$11:$A$60,$AO42),rngPMStart,"&lt;="&amp;Calendar!M$11,rngPMEnd,"&gt;="&amp;Calendar!M$11))</ns0:f>
        <ns0:v>0</ns0:v>
      </ns0:c>
      <ns0:c r="BW42" s="0">
        <ns0:f>IF(OR($AO42=0,$B$5&lt;&gt;"OK",$B$6&gt;0,Calendar!N$11=""),0,SUMIFS(rngEngine_U,rngEngine_B,INDEX(Team!$A$11:$A$60,$AO42),rngAMStart,"&lt;="&amp;Calendar!N$11,rngAMEnd,"&gt;="&amp;Calendar!N$11))</ns0:f>
        <ns0:v>0</ns0:v>
      </ns0:c>
      <ns0:c r="BX42" s="0">
        <ns0:f>IF(OR($AO42=0,$B$5&lt;&gt;"OK",$B$6&gt;0,Calendar!N$11=""),0,SUMIFS(rngEngine_V,rngEngine_B,INDEX(Team!$A$11:$A$60,$AO42),rngPMStart,"&lt;="&amp;Calendar!N$11,rngPMEnd,"&gt;="&amp;Calendar!N$11))</ns0:f>
        <ns0:v>0</ns0:v>
      </ns0:c>
      <ns0:c r="BY42" s="0">
        <ns0:f>IF(OR($AO42=0,$B$5&lt;&gt;"OK",$B$6&gt;0,Calendar!O$11=""),0,SUMIFS(rngEngine_U,rngEngine_B,INDEX(Team!$A$11:$A$60,$AO42),rngAMStart,"&lt;="&amp;Calendar!O$11,rngAMEnd,"&gt;="&amp;Calendar!O$11))</ns0:f>
        <ns0:v>0</ns0:v>
      </ns0:c>
      <ns0:c r="BZ42" s="0">
        <ns0:f>IF(OR($AO42=0,$B$5&lt;&gt;"OK",$B$6&gt;0,Calendar!O$11=""),0,SUMIFS(rngEngine_V,rngEngine_B,INDEX(Team!$A$11:$A$60,$AO42),rngPMStart,"&lt;="&amp;Calendar!O$11,rngPMEnd,"&gt;="&amp;Calendar!O$11))</ns0:f>
        <ns0:v>0</ns0:v>
      </ns0:c>
      <ns0:c r="CA42" s="0">
        <ns0:f>IF(OR($AO42=0,$B$5&lt;&gt;"OK",$B$6&gt;0,Calendar!P$11=""),0,SUMIFS(rngEngine_U,rngEngine_B,INDEX(Team!$A$11:$A$60,$AO42),rngAMStart,"&lt;="&amp;Calendar!P$11,rngAMEnd,"&gt;="&amp;Calendar!P$11))</ns0:f>
        <ns0:v>0</ns0:v>
      </ns0:c>
      <ns0:c r="CB42" s="0">
        <ns0:f>IF(OR($AO42=0,$B$5&lt;&gt;"OK",$B$6&gt;0,Calendar!P$11=""),0,SUMIFS(rngEngine_V,rngEngine_B,INDEX(Team!$A$11:$A$60,$AO42),rngPMStart,"&lt;="&amp;Calendar!P$11,rngPMEnd,"&gt;="&amp;Calendar!P$11))</ns0:f>
        <ns0:v>0</ns0:v>
      </ns0:c>
      <ns0:c r="CC42" s="0">
        <ns0:f>IF(OR($AO42=0,$B$5&lt;&gt;"OK",$B$6&gt;0,Calendar!Q$11=""),0,SUMIFS(rngEngine_U,rngEngine_B,INDEX(Team!$A$11:$A$60,$AO42),rngAMStart,"&lt;="&amp;Calendar!Q$11,rngAMEnd,"&gt;="&amp;Calendar!Q$11))</ns0:f>
        <ns0:v>0</ns0:v>
      </ns0:c>
      <ns0:c r="CD42" s="0">
        <ns0:f>IF(OR($AO42=0,$B$5&lt;&gt;"OK",$B$6&gt;0,Calendar!Q$11=""),0,SUMIFS(rngEngine_V,rngEngine_B,INDEX(Team!$A$11:$A$60,$AO42),rngPMStart,"&lt;="&amp;Calendar!Q$11,rngPMEnd,"&gt;="&amp;Calendar!Q$11))</ns0:f>
        <ns0:v>0</ns0:v>
      </ns0:c>
      <ns0:c r="CE42" s="0">
        <ns0:f>IF(OR($AO42=0,$B$5&lt;&gt;"OK",$B$6&gt;0,Calendar!R$11=""),0,SUMIFS(rngEngine_U,rngEngine_B,INDEX(Team!$A$11:$A$60,$AO42),rngAMStart,"&lt;="&amp;Calendar!R$11,rngAMEnd,"&gt;="&amp;Calendar!R$11))</ns0:f>
        <ns0:v>0</ns0:v>
      </ns0:c>
      <ns0:c r="CF42" s="0">
        <ns0:f>IF(OR($AO42=0,$B$5&lt;&gt;"OK",$B$6&gt;0,Calendar!R$11=""),0,SUMIFS(rngEngine_V,rngEngine_B,INDEX(Team!$A$11:$A$60,$AO42),rngPMStart,"&lt;="&amp;Calendar!R$11,rngPMEnd,"&gt;="&amp;Calendar!R$11))</ns0:f>
        <ns0:v>0</ns0:v>
      </ns0:c>
      <ns0:c r="CG42" s="0">
        <ns0:f>IF(OR($AO42=0,$B$5&lt;&gt;"OK",$B$6&gt;0,Calendar!S$11=""),0,SUMIFS(rngEngine_U,rngEngine_B,INDEX(Team!$A$11:$A$60,$AO42),rngAMStart,"&lt;="&amp;Calendar!S$11,rngAMEnd,"&gt;="&amp;Calendar!S$11))</ns0:f>
        <ns0:v>0</ns0:v>
      </ns0:c>
      <ns0:c r="CH42" s="0">
        <ns0:f>IF(OR($AO42=0,$B$5&lt;&gt;"OK",$B$6&gt;0,Calendar!S$11=""),0,SUMIFS(rngEngine_V,rngEngine_B,INDEX(Team!$A$11:$A$60,$AO42),rngPMStart,"&lt;="&amp;Calendar!S$11,rngPMEnd,"&gt;="&amp;Calendar!S$11))</ns0:f>
        <ns0:v>0</ns0:v>
      </ns0:c>
      <ns0:c r="CI42" s="0">
        <ns0:f>IF(OR($AO42=0,$B$5&lt;&gt;"OK",$B$6&gt;0,Calendar!T$11=""),0,SUMIFS(rngEngine_U,rngEngine_B,INDEX(Team!$A$11:$A$60,$AO42),rngAMStart,"&lt;="&amp;Calendar!T$11,rngAMEnd,"&gt;="&amp;Calendar!T$11))</ns0:f>
        <ns0:v>0</ns0:v>
      </ns0:c>
      <ns0:c r="CJ42" s="0">
        <ns0:f>IF(OR($AO42=0,$B$5&lt;&gt;"OK",$B$6&gt;0,Calendar!T$11=""),0,SUMIFS(rngEngine_V,rngEngine_B,INDEX(Team!$A$11:$A$60,$AO42),rngPMStart,"&lt;="&amp;Calendar!T$11,rngPMEnd,"&gt;="&amp;Calendar!T$11))</ns0:f>
        <ns0:v>0</ns0:v>
      </ns0:c>
      <ns0:c r="CK42" s="0">
        <ns0:f>IF(OR($AO42=0,$B$5&lt;&gt;"OK",$B$6&gt;0,Calendar!U$11=""),0,SUMIFS(rngEngine_U,rngEngine_B,INDEX(Team!$A$11:$A$60,$AO42),rngAMStart,"&lt;="&amp;Calendar!U$11,rngAMEnd,"&gt;="&amp;Calendar!U$11))</ns0:f>
        <ns0:v>0</ns0:v>
      </ns0:c>
      <ns0:c r="CL42" s="0">
        <ns0:f>IF(OR($AO42=0,$B$5&lt;&gt;"OK",$B$6&gt;0,Calendar!U$11=""),0,SUMIFS(rngEngine_V,rngEngine_B,INDEX(Team!$A$11:$A$60,$AO42),rngPMStart,"&lt;="&amp;Calendar!U$11,rngPMEnd,"&gt;="&amp;Calendar!U$11))</ns0:f>
        <ns0:v>0</ns0:v>
      </ns0:c>
      <ns0:c r="CM42" s="0">
        <ns0:f>IF(OR($AO42=0,$B$5&lt;&gt;"OK",$B$6&gt;0,Calendar!V$11=""),0,SUMIFS(rngEngine_U,rngEngine_B,INDEX(Team!$A$11:$A$60,$AO42),rngAMStart,"&lt;="&amp;Calendar!V$11,rngAMEnd,"&gt;="&amp;Calendar!V$11))</ns0:f>
        <ns0:v>0</ns0:v>
      </ns0:c>
      <ns0:c r="CN42" s="0">
        <ns0:f>IF(OR($AO42=0,$B$5&lt;&gt;"OK",$B$6&gt;0,Calendar!V$11=""),0,SUMIFS(rngEngine_V,rngEngine_B,INDEX(Team!$A$11:$A$60,$AO42),rngPMStart,"&lt;="&amp;Calendar!V$11,rngPMEnd,"&gt;="&amp;Calendar!V$11))</ns0:f>
        <ns0:v>0</ns0:v>
      </ns0:c>
      <ns0:c r="CO42" s="0">
        <ns0:f>IF(OR($AO42=0,$B$5&lt;&gt;"OK",$B$6&gt;0,Calendar!W$11=""),0,SUMIFS(rngEngine_U,rngEngine_B,INDEX(Team!$A$11:$A$60,$AO42),rngAMStart,"&lt;="&amp;Calendar!W$11,rngAMEnd,"&gt;="&amp;Calendar!W$11))</ns0:f>
        <ns0:v>0</ns0:v>
      </ns0:c>
      <ns0:c r="CP42" s="0">
        <ns0:f>IF(OR($AO42=0,$B$5&lt;&gt;"OK",$B$6&gt;0,Calendar!W$11=""),0,SUMIFS(rngEngine_V,rngEngine_B,INDEX(Team!$A$11:$A$60,$AO42),rngPMStart,"&lt;="&amp;Calendar!W$11,rngPMEnd,"&gt;="&amp;Calendar!W$11))</ns0:f>
        <ns0:v>0</ns0:v>
      </ns0:c>
      <ns0:c r="CQ42" s="0">
        <ns0:f>IF(OR($AO42=0,$B$5&lt;&gt;"OK",$B$6&gt;0,Calendar!X$11=""),0,SUMIFS(rngEngine_U,rngEngine_B,INDEX(Team!$A$11:$A$60,$AO42),rngAMStart,"&lt;="&amp;Calendar!X$11,rngAMEnd,"&gt;="&amp;Calendar!X$11))</ns0:f>
        <ns0:v>0</ns0:v>
      </ns0:c>
      <ns0:c r="CR42" s="0">
        <ns0:f>IF(OR($AO42=0,$B$5&lt;&gt;"OK",$B$6&gt;0,Calendar!X$11=""),0,SUMIFS(rngEngine_V,rngEngine_B,INDEX(Team!$A$11:$A$60,$AO42),rngPMStart,"&lt;="&amp;Calendar!X$11,rngPMEnd,"&gt;="&amp;Calendar!X$11))</ns0:f>
        <ns0:v>0</ns0:v>
      </ns0:c>
      <ns0:c r="CS42" s="0">
        <ns0:f>IF(OR($AO42=0,$B$5&lt;&gt;"OK",$B$6&gt;0,Calendar!Y$11=""),0,SUMIFS(rngEngine_U,rngEngine_B,INDEX(Team!$A$11:$A$60,$AO42),rngAMStart,"&lt;="&amp;Calendar!Y$11,rngAMEnd,"&gt;="&amp;Calendar!Y$11))</ns0:f>
        <ns0:v>0</ns0:v>
      </ns0:c>
      <ns0:c r="CT42" s="0">
        <ns0:f>IF(OR($AO42=0,$B$5&lt;&gt;"OK",$B$6&gt;0,Calendar!Y$11=""),0,SUMIFS(rngEngine_V,rngEngine_B,INDEX(Team!$A$11:$A$60,$AO42),rngPMStart,"&lt;="&amp;Calendar!Y$11,rngPMEnd,"&gt;="&amp;Calendar!Y$11))</ns0:f>
        <ns0:v>0</ns0:v>
      </ns0:c>
      <ns0:c r="CU42" s="0">
        <ns0:f>IF(OR($AO42=0,$B$5&lt;&gt;"OK",$B$6&gt;0,Calendar!Z$11=""),0,SUMIFS(rngEngine_U,rngEngine_B,INDEX(Team!$A$11:$A$60,$AO42),rngAMStart,"&lt;="&amp;Calendar!Z$11,rngAMEnd,"&gt;="&amp;Calendar!Z$11))</ns0:f>
        <ns0:v>0</ns0:v>
      </ns0:c>
      <ns0:c r="CV42" s="0">
        <ns0:f>IF(OR($AO42=0,$B$5&lt;&gt;"OK",$B$6&gt;0,Calendar!Z$11=""),0,SUMIFS(rngEngine_V,rngEngine_B,INDEX(Team!$A$11:$A$60,$AO42),rngPMStart,"&lt;="&amp;Calendar!Z$11,rngPMEnd,"&gt;="&amp;Calendar!Z$11))</ns0:f>
        <ns0:v>0</ns0:v>
      </ns0:c>
      <ns0:c r="CW42" s="0">
        <ns0:f>IF(OR($AO42=0,$B$5&lt;&gt;"OK",$B$6&gt;0,Calendar!AA$11=""),0,SUMIFS(rngEngine_U,rngEngine_B,INDEX(Team!$A$11:$A$60,$AO42),rngAMStart,"&lt;="&amp;Calendar!AA$11,rngAMEnd,"&gt;="&amp;Calendar!AA$11))</ns0:f>
        <ns0:v>0</ns0:v>
      </ns0:c>
      <ns0:c r="CX42" s="0">
        <ns0:f>IF(OR($AO42=0,$B$5&lt;&gt;"OK",$B$6&gt;0,Calendar!AA$11=""),0,SUMIFS(rngEngine_V,rngEngine_B,INDEX(Team!$A$11:$A$60,$AO42),rngPMStart,"&lt;="&amp;Calendar!AA$11,rngPMEnd,"&gt;="&amp;Calendar!AA$11))</ns0:f>
        <ns0:v>0</ns0:v>
      </ns0:c>
      <ns0:c r="CY42" s="0">
        <ns0:f>IF(OR($AO42=0,$B$5&lt;&gt;"OK",$B$6&gt;0,Calendar!AB$11=""),0,SUMIFS(rngEngine_U,rngEngine_B,INDEX(Team!$A$11:$A$60,$AO42),rngAMStart,"&lt;="&amp;Calendar!AB$11,rngAMEnd,"&gt;="&amp;Calendar!AB$11))</ns0:f>
        <ns0:v>0</ns0:v>
      </ns0:c>
      <ns0:c r="CZ42" s="0">
        <ns0:f>IF(OR($AO42=0,$B$5&lt;&gt;"OK",$B$6&gt;0,Calendar!AB$11=""),0,SUMIFS(rngEngine_V,rngEngine_B,INDEX(Team!$A$11:$A$60,$AO42),rngPMStart,"&lt;="&amp;Calendar!AB$11,rngPMEnd,"&gt;="&amp;Calendar!AB$11))</ns0:f>
        <ns0:v>0</ns0:v>
      </ns0:c>
      <ns0:c r="DA42" s="0">
        <ns0:f>IF(OR($AO42=0,$B$5&lt;&gt;"OK",$B$6&gt;0,Calendar!AC$11=""),0,SUMIFS(rngEngine_U,rngEngine_B,INDEX(Team!$A$11:$A$60,$AO42),rngAMStart,"&lt;="&amp;Calendar!AC$11,rngAMEnd,"&gt;="&amp;Calendar!AC$11))</ns0:f>
        <ns0:v>0</ns0:v>
      </ns0:c>
      <ns0:c r="DB42" s="0">
        <ns0:f>IF(OR($AO42=0,$B$5&lt;&gt;"OK",$B$6&gt;0,Calendar!AC$11=""),0,SUMIFS(rngEngine_V,rngEngine_B,INDEX(Team!$A$11:$A$60,$AO42),rngPMStart,"&lt;="&amp;Calendar!AC$11,rngPMEnd,"&gt;="&amp;Calendar!AC$11))</ns0:f>
        <ns0:v>0</ns0:v>
      </ns0:c>
      <ns0:c r="DC42" s="0">
        <ns0:f>IF(OR($AO42=0,$B$5&lt;&gt;"OK",$B$6&gt;0,Calendar!AD$11=""),0,SUMIFS(rngEngine_U,rngEngine_B,INDEX(Team!$A$11:$A$60,$AO42),rngAMStart,"&lt;="&amp;Calendar!AD$11,rngAMEnd,"&gt;="&amp;Calendar!AD$11))</ns0:f>
        <ns0:v>0</ns0:v>
      </ns0:c>
      <ns0:c r="DD42" s="0">
        <ns0:f>IF(OR($AO42=0,$B$5&lt;&gt;"OK",$B$6&gt;0,Calendar!AD$11=""),0,SUMIFS(rngEngine_V,rngEngine_B,INDEX(Team!$A$11:$A$60,$AO42),rngPMStart,"&lt;="&amp;Calendar!AD$11,rngPMEnd,"&gt;="&amp;Calendar!AD$11))</ns0:f>
        <ns0:v>0</ns0:v>
      </ns0:c>
      <ns0:c r="DE42" s="0">
        <ns0:f>IF(OR($AO42=0,$B$5&lt;&gt;"OK",$B$6&gt;0,Calendar!AE$11=""),0,SUMIFS(rngEngine_U,rngEngine_B,INDEX(Team!$A$11:$A$60,$AO42),rngAMStart,"&lt;="&amp;Calendar!AE$11,rngAMEnd,"&gt;="&amp;Calendar!AE$11))</ns0:f>
        <ns0:v>0</ns0:v>
      </ns0:c>
      <ns0:c r="DF42" s="0">
        <ns0:f>IF(OR($AO42=0,$B$5&lt;&gt;"OK",$B$6&gt;0,Calendar!AE$11=""),0,SUMIFS(rngEngine_V,rngEngine_B,INDEX(Team!$A$11:$A$60,$AO42),rngPMStart,"&lt;="&amp;Calendar!AE$11,rngPMEnd,"&gt;="&amp;Calendar!AE$11))</ns0:f>
        <ns0:v>0</ns0:v>
      </ns0:c>
      <ns0:c r="DG42" s="0">
        <ns0:f>IF(OR($AO42=0,$B$5&lt;&gt;"OK",$B$6&gt;0,Calendar!AF$11=""),0,SUMIFS(rngEngine_U,rngEngine_B,INDEX(Team!$A$11:$A$60,$AO42),rngAMStart,"&lt;="&amp;Calendar!AF$11,rngAMEnd,"&gt;="&amp;Calendar!AF$11))</ns0:f>
        <ns0:v>0</ns0:v>
      </ns0:c>
      <ns0:c r="DH42" s="0">
        <ns0:f>IF(OR($AO42=0,$B$5&lt;&gt;"OK",$B$6&gt;0,Calendar!AF$11=""),0,SUMIFS(rngEngine_V,rngEngine_B,INDEX(Team!$A$11:$A$60,$AO42),rngPMStart,"&lt;="&amp;Calendar!AF$11,rngPMEnd,"&gt;="&amp;Calendar!AF$11))</ns0:f>
        <ns0:v>0</ns0:v>
      </ns0:c>
      <ns0:c r="DI42" s="0">
        <ns0:f>IF(OR($AO42=0,$B$5&lt;&gt;"OK",$B$6&gt;0,Calendar!AG$11=""),0,SUMIFS(rngEngine_U,rngEngine_B,INDEX(Team!$A$11:$A$60,$AO42),rngAMStart,"&lt;="&amp;Calendar!AG$11,rngAMEnd,"&gt;="&amp;Calendar!AG$11))</ns0:f>
        <ns0:v>0</ns0:v>
      </ns0:c>
      <ns0:c r="DJ42" s="0">
        <ns0:f>IF(OR($AO42=0,$B$5&lt;&gt;"OK",$B$6&gt;0,Calendar!AG$11=""),0,SUMIFS(rngEngine_V,rngEngine_B,INDEX(Team!$A$11:$A$60,$AO42),rngPMStart,"&lt;="&amp;Calendar!AG$11,rngPMEnd,"&gt;="&amp;Calendar!AG$11))</ns0:f>
        <ns0:v>0</ns0:v>
      </ns0:c>
      <ns0:c r="DK42" s="0">
        <ns0:f>IF(OR($AO42=0,$B$5&lt;&gt;"OK",$B$6&gt;0,Calendar!AH$11=""),0,SUMIFS(rngEngine_U,rngEngine_B,INDEX(Team!$A$11:$A$60,$AO42),rngAMStart,"&lt;="&amp;Calendar!AH$11,rngAMEnd,"&gt;="&amp;Calendar!AH$11))</ns0:f>
        <ns0:v>0</ns0:v>
      </ns0:c>
      <ns0:c r="DL42" s="0">
        <ns0:f>IF(OR($AO42=0,$B$5&lt;&gt;"OK",$B$6&gt;0,Calendar!AH$11=""),0,SUMIFS(rngEngine_V,rngEngine_B,INDEX(Team!$A$11:$A$60,$AO42),rngPMStart,"&lt;="&amp;Calendar!AH$11,rngPMEnd,"&gt;="&amp;Calendar!AH$11))</ns0:f>
        <ns0:v>0</ns0:v>
      </ns0:c>
    </ns0:row>
    <ns0:row r="43" ht="22" customHeight="1">
      <ns0:c r="A43" s="4">
        <ns0:f>IF(COUNTA(Bookings!A43:G43,Bookings!I43)=0,0,1)</ns0:f>
        <ns0:v>0</ns0:v>
      </ns0:c>
      <ns0:c r="B43" s="4" t="str">
        <ns0:f>IFERROR(TRIM(MID(Bookings!A43,FIND(" · ",Bookings!A43)+3,99)),"")</ns0:f>
        <ns0:v/>
      </ns0:c>
      <ns0:c r="C43" s="4">
        <ns0:f>IF(OR(B43="",LEN(B43)&gt;24,ISNUMBER(FIND(" ",B43)),ISNUMBER(FIND("*",B43)),ISNUMBER(FIND("?",B43)),ISNUMBER(FIND("~",B43))),0,IFERROR(MATCH(B43,Team!$A$11:$A$60,0),0))</ns0:f>
        <ns0:v>0</ns0:v>
      </ns0:c>
      <ns0:c r="D43" s="4" t="str">
        <ns0:f>IFERROR(IF(MID(Bookings!F43,LEN(Bookings!F43)-3,3)=" · ",RIGHT(Bookings!F43,1),""),"")</ns0:f>
        <ns0:v/>
      </ns0:c>
      <ns0:c r="E43" s="4" t="str">
        <ns0:f>IFERROR(INDEX(Settings!$H$7:$H$11,MATCH(D43,Settings!$G$7:$G$11,0)),"")</ns0:f>
        <ns0:v/>
      </ns0:c>
      <ns0:c r="F43" s="4" t="str">
        <ns0:f>IF(A43=0,"",IFERROR(IF(OR(B43="",C43=0),"CHECK employee selection",IF(INDEX(Team!$O$11:$O$60,C43)&lt;&gt;"OK","CHECK employee setup",IF(OR('_Dates'!J43=0,'_Dates'!T43=0),"CHECK date: use DD.MM.YYYY",IF('_Dates'!T43&lt;'_Dates'!J43,"CHECK end before start",IF(AND($B$6=0,OR('_Dates'!J43&lt;Settings!$B$7,'_Dates'!T43&gt;Settings!$B$8)),"CHECK split across leave years",IF(OR(NOT(OR('_Dates'!U43="Full day",'_Dates'!U43="AM",'_Dates'!U43="PM")),NOT(OR('_Dates'!V43="Full day",'_Dates'!V43="AM",'_Dates'!V43="PM"))),"CHECK Full day / AM / PM",IF(AND('_Dates'!J43='_Dates'!T43,'_Dates'!U43&lt;&gt;"Full day",'_Dates'!V43&lt;&gt;"Full day",'_Dates'!U43&lt;&gt;'_Dates'!V43),"CHECK same-day portions disagree",IF(AND($B$6=0,OR(AND('_Dates'!U43&lt;&gt;"Full day",'_Dates'!AA43=0),AND('_Dates'!V43&lt;&gt;"Full day",'_Dates'!AB43=0))),"CHECK half-day on non-working date",IF(COUNTIF(Settings!$G$7:$G$11,D43)&lt;&gt;1,"CHECK leave type",IF(AND(Bookings!G43&lt;&gt;"Approved",Bookings!G43&lt;&gt;"Pending",Bookings!G43&lt;&gt;"Cancelled"),"CHECK status","OK")))))))))),"CHECK input"))</ns0:f>
        <ns0:v/>
      </ns0:c>
      <ns0:c r="G43" s="4">
        <ns0:f>IF(OR(F43&lt;&gt;"OK",$B$6&gt;0),0,0.5*(IF(('_Dates'!X43)&lt;('_Dates'!W43),0,INT((('_Dates'!X43)-('_Dates'!W43)+1)/7)*LEN(SUBSTITUTE(W43,"O",""))+LEN(SUBSTITUTE(MID(W43&amp;W43,WEEKDAY(('_Dates'!W43),2),MOD((('_Dates'!X43)-('_Dates'!W43)+1),7)),"O",""))-COUNTIFS(INDEX(AllClosureRows,C43,0),"&gt;="&amp;('_Dates'!W43),INDEX(AllClosureRows,C43,0),"&lt;="&amp;('_Dates'!X43)))+IF(('_Dates'!Z43)&lt;('_Dates'!Y43),0,INT((('_Dates'!Z43)-('_Dates'!Y43)+1)/7)*LEN(SUBSTITUTE(W43,"O",""))+LEN(SUBSTITUTE(MID(W43&amp;W43,WEEKDAY(('_Dates'!Y43),2),MOD((('_Dates'!Z43)-('_Dates'!Y43)+1),7)),"O",""))-COUNTIFS(INDEX(AllClosureRows,C43,0),"&gt;="&amp;('_Dates'!Y43),INDEX(AllClosureRows,C43,0),"&lt;="&amp;('_Dates'!Z43)))))</ns0:f>
        <ns0:v>0</ns0:v>
      </ns0:c>
      <ns0:c r="H43" s="4">
        <ns0:f>IF(OR(F43&lt;&gt;"OK",$B$6&gt;0),0,0.5*(IF((MIN('_Dates'!X43,Settings!$B$9))&lt;('_Dates'!W43),0,INT(((MIN('_Dates'!X43,Settings!$B$9))-('_Dates'!W43)+1)/7)*LEN(SUBSTITUTE(W43,"O",""))+LEN(SUBSTITUTE(MID(W43&amp;W43,WEEKDAY(('_Dates'!W43),2),MOD(((MIN('_Dates'!X43,Settings!$B$9))-('_Dates'!W43)+1),7)),"O",""))-COUNTIFS(INDEX(AllClosureRows,C43,0),"&gt;="&amp;('_Dates'!W43),INDEX(AllClosureRows,C43,0),"&lt;="&amp;(MIN('_Dates'!X43,Settings!$B$9))))+IF((MIN('_Dates'!Z43,Settings!$B$9))&lt;('_Dates'!Y43),0,INT(((MIN('_Dates'!Z43,Settings!$B$9))-('_Dates'!Y43)+1)/7)*LEN(SUBSTITUTE(W43,"O",""))+LEN(SUBSTITUTE(MID(W43&amp;W43,WEEKDAY(('_Dates'!Y43),2),MOD(((MIN('_Dates'!Z43,Settings!$B$9))-('_Dates'!Y43)+1),7)),"O",""))-COUNTIFS(INDEX(AllClosureRows,C43,0),"&gt;="&amp;('_Dates'!Y43),INDEX(AllClosureRows,C43,0),"&lt;="&amp;(MIN('_Dates'!Z43,Settings!$B$9))))))</ns0:f>
        <ns0:v>0</ns0:v>
      </ns0:c>
      <ns0:c r="I43" s="4">
        <ns0:f>MAX(0,G43-H43)</ns0:f>
        <ns0:v>0</ns0:v>
      </ns0:c>
      <ns0:c r="J43" s="4">
        <ns0:f>IF(OR(A43=0,F43&lt;&gt;"OK",Bookings!G43="Cancelled",$B$6&gt;0),0,IF('_Dates'!AC43=1,MAX(0,COUNTIFS(rngEngine_B,B43,rngAMStart,"&lt;="&amp;'_Dates'!X43,rngAMEnd,"&gt;="&amp;'_Dates'!W43,rngAMActive,1,rngEngine_F,"OK",rngBookings_F,"&lt;&gt;Cancelled")-1),0)+IF('_Dates'!AD43=1,MAX(0,COUNTIFS(rngEngine_B,B43,rngPMStart,"&lt;="&amp;'_Dates'!Z43,rngPMEnd,"&gt;="&amp;'_Dates'!Y43,rngPMActive,1,rngEngine_F,"OK",rngBookings_F,"&lt;&gt;Cancelled")-1),0))</ns0:f>
        <ns0:v>0</ns0:v>
      </ns0:c>
      <ns0:c r="K43" s="0" t="str">
        <ns0:f>IF(A43=0,"",IF(F43&lt;&gt;"OK",F43,IF(J43&gt;0,"CHECK overlapping entry",IF(AND($B$6=0,G43&lt;=0,Bookings!G43&lt;&gt;"Cancelled"),"CHECK no working days",IF(Bookings!G43="Cancelled","Cancelled","OK")))))</ns0:f>
        <ns0:v/>
      </ns0:c>
      <ns0:c r="L43" s="0">
        <ns0:f>IF(LEFT(K43,5)="CHECK",1,0)</ns0:f>
        <ns0:v>0</ns0:v>
      </ns0:c>
      <ns0:c r="M43" s="0">
        <ns0:f>IF(AND(L43=1,OR(C43=0,IFERROR(INDEX($X$11:$X$60,C43),0)=0)),1,0)</ns0:f>
        <ns0:v>0</ns0:v>
      </ns0:c>
      <ns0:c r="N43" s="0">
        <ns0:f>IF(OR(A43=0,L43&gt;0,$B$6&gt;0,Bookings!G43="Cancelled"),0,G43)</ns0:f>
        <ns0:v>0</ns0:v>
      </ns0:c>
      <ns0:c r="O43" s="0">
        <ns0:f>IF(AND(Bookings!G43="Approved",E43="Yes"),N43,0)</ns0:f>
        <ns0:v>0</ns0:v>
      </ns0:c>
      <ns0:c r="P43" s="0">
        <ns0:f>IF(AND(Bookings!G43="Approved",E43="Yes",L43=0,$B$6=0),H43,0)</ns0:f>
        <ns0:v>0</ns0:v>
      </ns0:c>
      <ns0:c r="Q43" s="0">
        <ns0:f>IF(AND(Bookings!G43="Approved",E43="Yes",L43=0,$B$6=0),I43,0)</ns0:f>
        <ns0:v>0</ns0:v>
      </ns0:c>
      <ns0:c r="R43" s="0">
        <ns0:f>IF(AND(Bookings!G43="Pending",E43="Yes"),N43,0)</ns0:f>
        <ns0:v>0</ns0:v>
      </ns0:c>
      <ns0:c r="S43" s="0">
        <ns0:f>IF(AND(Bookings!G43="Approved",E43="No"),N43,0)</ns0:f>
        <ns0:v>0</ns0:v>
      </ns0:c>
      <ns0:c r="T43" s="0">
        <ns0:f>IFERROR(MATCH(D43,Settings!$G$7:$G$11,0),0)</ns0:f>
        <ns0:v>0</ns0:v>
      </ns0:c>
      <ns0:c r="U43" s="0">
        <ns0:f>IF(N43&gt;0,T43+IF(Bookings!G43="Pending",10,0),0)</ns0:f>
        <ns0:v>0</ns0:v>
      </ns0:c>
      <ns0:c r="V43" s="0">
        <ns0:f>U43</ns0:f>
        <ns0:v>0</ns0:v>
      </ns0:c>
      <ns0:c r="W43" s="0" t="str">
        <ns0:f>IF(C43=0,"",INDEX($AP$11:$AP$60,C43))</ns0:f>
        <ns0:v/>
      </ns0:c>
      <ns0:c r="X43" s="0">
        <ns0:f>IF(COUNTA(Team!B43:D43)=0,0,1)</ns0:f>
        <ns0:v>0</ns0:v>
      </ns0:c>
      <ns0:c r="Y43" s="0" t="str">
        <ns0:f>IF(X43=0,"",IF(Team!B43="","[Unnamed]",Team!B43)&amp;" · "&amp;Team!A43)</ns0:f>
        <ns0:v/>
      </ns0:c>
      <ns0:c r="Z43" s="0">
        <ns0:f>IF(X43=0,0,COUNTIF(Team!H43:N43,"Work"))</ns0:f>
        <ns0:v>0</ns0:v>
      </ns0:c>
      <ns0:c r="AA43" s="0">
        <ns0:f>IF(LEFT(Team!O43,5)="CHECK",1,0)</ns0:f>
        <ns0:v>0</ns0:v>
      </ns0:c>
      <ns0:c r="AB43" s="0">
        <ns0:f>IF(X43=0,0,SUMIFS(rngEngine_L,rngEngine_B,Team!A43))</ns0:f>
        <ns0:v>0</ns0:v>
      </ns0:c>
      <ns0:c r="AC43" s="0" t="str">
        <ns0:f>IF(AND(X43=1,OR(Calendar!$C$7="All teams",Team!C43=Calendar!$C$7)),MAX($AC$10:AC42)+1,"")</ns0:f>
        <ns0:v/>
      </ns0:c>
      <ns0:c r="AD43" s="0" t="str">
        <ns0:f>IF(OR(X43=0,Team!C43="",COUNTIF(Team!$C$11:C43,Team!C43)&gt;1),"",MAX($AD$10:AD42)+1)</ns0:f>
        <ns0:v/>
      </ns0:c>
      <ns0:c r="AE43" s="0" t="str">
        <ns0:f>IFERROR(INDEX(Team!$C$11:$C$60,MATCH(ROW()-10,$AD$11:$AD$60,0)),"")</ns0:f>
        <ns0:v/>
      </ns0:c>
      <ns0:c r="AF43" s="0" t="str">
        <ns0:f>AE43</ns0:f>
        <ns0:v/>
      </ns0:c>
      <ns0:c r="AG43" s="0">
        <ns0:f>IF(X43=0,0,IFERROR(Team!F43+Team!G43,0))</ns0:f>
        <ns0:v>0</ns0:v>
      </ns0:c>
      <ns0:c r="AH43" s="0">
        <ns0:f>IF(X43=0,0,SUMIFS(rngEngine_P,rngEngine_B,Team!A43))</ns0:f>
        <ns0:v>0</ns0:v>
      </ns0:c>
      <ns0:c r="AI43" s="0">
        <ns0:f>IF(X43=0,0,SUMIFS(rngEngine_Q,rngEngine_B,Team!A43))</ns0:f>
        <ns0:v>0</ns0:v>
      </ns0:c>
      <ns0:c r="AJ43" s="0">
        <ns0:f>IF(X43=0,0,SUMIFS(rngEngine_R,rngEngine_B,Team!A43))</ns0:f>
        <ns0:v>0</ns0:v>
      </ns0:c>
      <ns0:c r="AK43" s="0">
        <ns0:f>IF(X43=0,0,SUMIFS(rngEngine_S,rngEngine_B,Team!A43))</ns0:f>
        <ns0:v>0</ns0:v>
      </ns0:c>
      <ns0:c r="AL43" s="0">
        <ns0:f>AH43+AI43</ns0:f>
        <ns0:v>0</ns0:v>
      </ns0:c>
      <ns0:c r="AM43" s="0" t="str">
        <ns0:f>IF(X43=0,"",IF(AA43&gt;0,"CHECK team setup",IF(AB43&gt;0,"CHECK "&amp;AB43&amp;" booking(s)","OK")))</ns0:f>
        <ns0:v/>
      </ns0:c>
      <ns0:c r="AN43" s="0" t="str">
        <ns0:f>IF(X43=0,"",IF(OR($B$6&gt;0,AM43&lt;&gt;"OK"),"REVIEW",AG43-AL43))</ns0:f>
        <ns0:v/>
      </ns0:c>
      <ns0:c r="AO43" s="0">
        <ns0:f>IFERROR(MATCH(ROW()-11,$AC$11:$AC$60,0),0)</ns0:f>
        <ns0:v>0</ns0:v>
      </ns0:c>
      <ns0:c r="AP43" s="0" t="str">
        <ns0:f>IF(Team!H43="Work","W","O")&amp;IF(Team!I43="Work","W","O")&amp;IF(Team!J43="Work","W","O")&amp;IF(Team!K43="Work","W","O")&amp;IF(Team!L43="Work","W","O")&amp;IF(Team!M43="Work","W","O")&amp;IF(Team!N43="Work","W","O")</ns0:f>
        <ns0:v>WWWWWOO</ns0:v>
      </ns0:c>
      <ns0:c r="AR43" s="0">
        <ns0:f>IFERROR(IF(ISNUMBER(Settings!F43),WEEKDAY(Settings!F43,2),0),0)</ns0:f>
        <ns0:v>0</ns0:v>
      </ns0:c>
      <ns0:c r="BC43" s="0">
        <ns0:f>IF(OR($AO43=0,$B$5&lt;&gt;"OK",$B$6&gt;0,Calendar!D$11=""),0,SUMIFS(rngEngine_U,rngEngine_B,INDEX(Team!$A$11:$A$60,$AO43),rngAMStart,"&lt;="&amp;Calendar!D$11,rngAMEnd,"&gt;="&amp;Calendar!D$11))</ns0:f>
        <ns0:v>0</ns0:v>
      </ns0:c>
      <ns0:c r="BD43" s="0">
        <ns0:f>IF(OR($AO43=0,$B$5&lt;&gt;"OK",$B$6&gt;0,Calendar!D$11=""),0,SUMIFS(rngEngine_V,rngEngine_B,INDEX(Team!$A$11:$A$60,$AO43),rngPMStart,"&lt;="&amp;Calendar!D$11,rngPMEnd,"&gt;="&amp;Calendar!D$11))</ns0:f>
        <ns0:v>0</ns0:v>
      </ns0:c>
      <ns0:c r="BE43" s="0">
        <ns0:f>IF(OR($AO43=0,$B$5&lt;&gt;"OK",$B$6&gt;0,Calendar!E$11=""),0,SUMIFS(rngEngine_U,rngEngine_B,INDEX(Team!$A$11:$A$60,$AO43),rngAMStart,"&lt;="&amp;Calendar!E$11,rngAMEnd,"&gt;="&amp;Calendar!E$11))</ns0:f>
        <ns0:v>0</ns0:v>
      </ns0:c>
      <ns0:c r="BF43" s="0">
        <ns0:f>IF(OR($AO43=0,$B$5&lt;&gt;"OK",$B$6&gt;0,Calendar!E$11=""),0,SUMIFS(rngEngine_V,rngEngine_B,INDEX(Team!$A$11:$A$60,$AO43),rngPMStart,"&lt;="&amp;Calendar!E$11,rngPMEnd,"&gt;="&amp;Calendar!E$11))</ns0:f>
        <ns0:v>0</ns0:v>
      </ns0:c>
      <ns0:c r="BG43" s="0">
        <ns0:f>IF(OR($AO43=0,$B$5&lt;&gt;"OK",$B$6&gt;0,Calendar!F$11=""),0,SUMIFS(rngEngine_U,rngEngine_B,INDEX(Team!$A$11:$A$60,$AO43),rngAMStart,"&lt;="&amp;Calendar!F$11,rngAMEnd,"&gt;="&amp;Calendar!F$11))</ns0:f>
        <ns0:v>0</ns0:v>
      </ns0:c>
      <ns0:c r="BH43" s="0">
        <ns0:f>IF(OR($AO43=0,$B$5&lt;&gt;"OK",$B$6&gt;0,Calendar!F$11=""),0,SUMIFS(rngEngine_V,rngEngine_B,INDEX(Team!$A$11:$A$60,$AO43),rngPMStart,"&lt;="&amp;Calendar!F$11,rngPMEnd,"&gt;="&amp;Calendar!F$11))</ns0:f>
        <ns0:v>0</ns0:v>
      </ns0:c>
      <ns0:c r="BI43" s="0">
        <ns0:f>IF(OR($AO43=0,$B$5&lt;&gt;"OK",$B$6&gt;0,Calendar!G$11=""),0,SUMIFS(rngEngine_U,rngEngine_B,INDEX(Team!$A$11:$A$60,$AO43),rngAMStart,"&lt;="&amp;Calendar!G$11,rngAMEnd,"&gt;="&amp;Calendar!G$11))</ns0:f>
        <ns0:v>0</ns0:v>
      </ns0:c>
      <ns0:c r="BJ43" s="0">
        <ns0:f>IF(OR($AO43=0,$B$5&lt;&gt;"OK",$B$6&gt;0,Calendar!G$11=""),0,SUMIFS(rngEngine_V,rngEngine_B,INDEX(Team!$A$11:$A$60,$AO43),rngPMStart,"&lt;="&amp;Calendar!G$11,rngPMEnd,"&gt;="&amp;Calendar!G$11))</ns0:f>
        <ns0:v>0</ns0:v>
      </ns0:c>
      <ns0:c r="BK43" s="0">
        <ns0:f>IF(OR($AO43=0,$B$5&lt;&gt;"OK",$B$6&gt;0,Calendar!H$11=""),0,SUMIFS(rngEngine_U,rngEngine_B,INDEX(Team!$A$11:$A$60,$AO43),rngAMStart,"&lt;="&amp;Calendar!H$11,rngAMEnd,"&gt;="&amp;Calendar!H$11))</ns0:f>
        <ns0:v>0</ns0:v>
      </ns0:c>
      <ns0:c r="BL43" s="0">
        <ns0:f>IF(OR($AO43=0,$B$5&lt;&gt;"OK",$B$6&gt;0,Calendar!H$11=""),0,SUMIFS(rngEngine_V,rngEngine_B,INDEX(Team!$A$11:$A$60,$AO43),rngPMStart,"&lt;="&amp;Calendar!H$11,rngPMEnd,"&gt;="&amp;Calendar!H$11))</ns0:f>
        <ns0:v>0</ns0:v>
      </ns0:c>
      <ns0:c r="BM43" s="0">
        <ns0:f>IF(OR($AO43=0,$B$5&lt;&gt;"OK",$B$6&gt;0,Calendar!I$11=""),0,SUMIFS(rngEngine_U,rngEngine_B,INDEX(Team!$A$11:$A$60,$AO43),rngAMStart,"&lt;="&amp;Calendar!I$11,rngAMEnd,"&gt;="&amp;Calendar!I$11))</ns0:f>
        <ns0:v>0</ns0:v>
      </ns0:c>
      <ns0:c r="BN43" s="0">
        <ns0:f>IF(OR($AO43=0,$B$5&lt;&gt;"OK",$B$6&gt;0,Calendar!I$11=""),0,SUMIFS(rngEngine_V,rngEngine_B,INDEX(Team!$A$11:$A$60,$AO43),rngPMStart,"&lt;="&amp;Calendar!I$11,rngPMEnd,"&gt;="&amp;Calendar!I$11))</ns0:f>
        <ns0:v>0</ns0:v>
      </ns0:c>
      <ns0:c r="BO43" s="0">
        <ns0:f>IF(OR($AO43=0,$B$5&lt;&gt;"OK",$B$6&gt;0,Calendar!J$11=""),0,SUMIFS(rngEngine_U,rngEngine_B,INDEX(Team!$A$11:$A$60,$AO43),rngAMStart,"&lt;="&amp;Calendar!J$11,rngAMEnd,"&gt;="&amp;Calendar!J$11))</ns0:f>
        <ns0:v>0</ns0:v>
      </ns0:c>
      <ns0:c r="BP43" s="0">
        <ns0:f>IF(OR($AO43=0,$B$5&lt;&gt;"OK",$B$6&gt;0,Calendar!J$11=""),0,SUMIFS(rngEngine_V,rngEngine_B,INDEX(Team!$A$11:$A$60,$AO43),rngPMStart,"&lt;="&amp;Calendar!J$11,rngPMEnd,"&gt;="&amp;Calendar!J$11))</ns0:f>
        <ns0:v>0</ns0:v>
      </ns0:c>
      <ns0:c r="BQ43" s="0">
        <ns0:f>IF(OR($AO43=0,$B$5&lt;&gt;"OK",$B$6&gt;0,Calendar!K$11=""),0,SUMIFS(rngEngine_U,rngEngine_B,INDEX(Team!$A$11:$A$60,$AO43),rngAMStart,"&lt;="&amp;Calendar!K$11,rngAMEnd,"&gt;="&amp;Calendar!K$11))</ns0:f>
        <ns0:v>0</ns0:v>
      </ns0:c>
      <ns0:c r="BR43" s="0">
        <ns0:f>IF(OR($AO43=0,$B$5&lt;&gt;"OK",$B$6&gt;0,Calendar!K$11=""),0,SUMIFS(rngEngine_V,rngEngine_B,INDEX(Team!$A$11:$A$60,$AO43),rngPMStart,"&lt;="&amp;Calendar!K$11,rngPMEnd,"&gt;="&amp;Calendar!K$11))</ns0:f>
        <ns0:v>0</ns0:v>
      </ns0:c>
      <ns0:c r="BS43" s="0">
        <ns0:f>IF(OR($AO43=0,$B$5&lt;&gt;"OK",$B$6&gt;0,Calendar!L$11=""),0,SUMIFS(rngEngine_U,rngEngine_B,INDEX(Team!$A$11:$A$60,$AO43),rngAMStart,"&lt;="&amp;Calendar!L$11,rngAMEnd,"&gt;="&amp;Calendar!L$11))</ns0:f>
        <ns0:v>0</ns0:v>
      </ns0:c>
      <ns0:c r="BT43" s="0">
        <ns0:f>IF(OR($AO43=0,$B$5&lt;&gt;"OK",$B$6&gt;0,Calendar!L$11=""),0,SUMIFS(rngEngine_V,rngEngine_B,INDEX(Team!$A$11:$A$60,$AO43),rngPMStart,"&lt;="&amp;Calendar!L$11,rngPMEnd,"&gt;="&amp;Calendar!L$11))</ns0:f>
        <ns0:v>0</ns0:v>
      </ns0:c>
      <ns0:c r="BU43" s="0">
        <ns0:f>IF(OR($AO43=0,$B$5&lt;&gt;"OK",$B$6&gt;0,Calendar!M$11=""),0,SUMIFS(rngEngine_U,rngEngine_B,INDEX(Team!$A$11:$A$60,$AO43),rngAMStart,"&lt;="&amp;Calendar!M$11,rngAMEnd,"&gt;="&amp;Calendar!M$11))</ns0:f>
        <ns0:v>0</ns0:v>
      </ns0:c>
      <ns0:c r="BV43" s="0">
        <ns0:f>IF(OR($AO43=0,$B$5&lt;&gt;"OK",$B$6&gt;0,Calendar!M$11=""),0,SUMIFS(rngEngine_V,rngEngine_B,INDEX(Team!$A$11:$A$60,$AO43),rngPMStart,"&lt;="&amp;Calendar!M$11,rngPMEnd,"&gt;="&amp;Calendar!M$11))</ns0:f>
        <ns0:v>0</ns0:v>
      </ns0:c>
      <ns0:c r="BW43" s="0">
        <ns0:f>IF(OR($AO43=0,$B$5&lt;&gt;"OK",$B$6&gt;0,Calendar!N$11=""),0,SUMIFS(rngEngine_U,rngEngine_B,INDEX(Team!$A$11:$A$60,$AO43),rngAMStart,"&lt;="&amp;Calendar!N$11,rngAMEnd,"&gt;="&amp;Calendar!N$11))</ns0:f>
        <ns0:v>0</ns0:v>
      </ns0:c>
      <ns0:c r="BX43" s="0">
        <ns0:f>IF(OR($AO43=0,$B$5&lt;&gt;"OK",$B$6&gt;0,Calendar!N$11=""),0,SUMIFS(rngEngine_V,rngEngine_B,INDEX(Team!$A$11:$A$60,$AO43),rngPMStart,"&lt;="&amp;Calendar!N$11,rngPMEnd,"&gt;="&amp;Calendar!N$11))</ns0:f>
        <ns0:v>0</ns0:v>
      </ns0:c>
      <ns0:c r="BY43" s="0">
        <ns0:f>IF(OR($AO43=0,$B$5&lt;&gt;"OK",$B$6&gt;0,Calendar!O$11=""),0,SUMIFS(rngEngine_U,rngEngine_B,INDEX(Team!$A$11:$A$60,$AO43),rngAMStart,"&lt;="&amp;Calendar!O$11,rngAMEnd,"&gt;="&amp;Calendar!O$11))</ns0:f>
        <ns0:v>0</ns0:v>
      </ns0:c>
      <ns0:c r="BZ43" s="0">
        <ns0:f>IF(OR($AO43=0,$B$5&lt;&gt;"OK",$B$6&gt;0,Calendar!O$11=""),0,SUMIFS(rngEngine_V,rngEngine_B,INDEX(Team!$A$11:$A$60,$AO43),rngPMStart,"&lt;="&amp;Calendar!O$11,rngPMEnd,"&gt;="&amp;Calendar!O$11))</ns0:f>
        <ns0:v>0</ns0:v>
      </ns0:c>
      <ns0:c r="CA43" s="0">
        <ns0:f>IF(OR($AO43=0,$B$5&lt;&gt;"OK",$B$6&gt;0,Calendar!P$11=""),0,SUMIFS(rngEngine_U,rngEngine_B,INDEX(Team!$A$11:$A$60,$AO43),rngAMStart,"&lt;="&amp;Calendar!P$11,rngAMEnd,"&gt;="&amp;Calendar!P$11))</ns0:f>
        <ns0:v>0</ns0:v>
      </ns0:c>
      <ns0:c r="CB43" s="0">
        <ns0:f>IF(OR($AO43=0,$B$5&lt;&gt;"OK",$B$6&gt;0,Calendar!P$11=""),0,SUMIFS(rngEngine_V,rngEngine_B,INDEX(Team!$A$11:$A$60,$AO43),rngPMStart,"&lt;="&amp;Calendar!P$11,rngPMEnd,"&gt;="&amp;Calendar!P$11))</ns0:f>
        <ns0:v>0</ns0:v>
      </ns0:c>
      <ns0:c r="CC43" s="0">
        <ns0:f>IF(OR($AO43=0,$B$5&lt;&gt;"OK",$B$6&gt;0,Calendar!Q$11=""),0,SUMIFS(rngEngine_U,rngEngine_B,INDEX(Team!$A$11:$A$60,$AO43),rngAMStart,"&lt;="&amp;Calendar!Q$11,rngAMEnd,"&gt;="&amp;Calendar!Q$11))</ns0:f>
        <ns0:v>0</ns0:v>
      </ns0:c>
      <ns0:c r="CD43" s="0">
        <ns0:f>IF(OR($AO43=0,$B$5&lt;&gt;"OK",$B$6&gt;0,Calendar!Q$11=""),0,SUMIFS(rngEngine_V,rngEngine_B,INDEX(Team!$A$11:$A$60,$AO43),rngPMStart,"&lt;="&amp;Calendar!Q$11,rngPMEnd,"&gt;="&amp;Calendar!Q$11))</ns0:f>
        <ns0:v>0</ns0:v>
      </ns0:c>
      <ns0:c r="CE43" s="0">
        <ns0:f>IF(OR($AO43=0,$B$5&lt;&gt;"OK",$B$6&gt;0,Calendar!R$11=""),0,SUMIFS(rngEngine_U,rngEngine_B,INDEX(Team!$A$11:$A$60,$AO43),rngAMStart,"&lt;="&amp;Calendar!R$11,rngAMEnd,"&gt;="&amp;Calendar!R$11))</ns0:f>
        <ns0:v>0</ns0:v>
      </ns0:c>
      <ns0:c r="CF43" s="0">
        <ns0:f>IF(OR($AO43=0,$B$5&lt;&gt;"OK",$B$6&gt;0,Calendar!R$11=""),0,SUMIFS(rngEngine_V,rngEngine_B,INDEX(Team!$A$11:$A$60,$AO43),rngPMStart,"&lt;="&amp;Calendar!R$11,rngPMEnd,"&gt;="&amp;Calendar!R$11))</ns0:f>
        <ns0:v>0</ns0:v>
      </ns0:c>
      <ns0:c r="CG43" s="0">
        <ns0:f>IF(OR($AO43=0,$B$5&lt;&gt;"OK",$B$6&gt;0,Calendar!S$11=""),0,SUMIFS(rngEngine_U,rngEngine_B,INDEX(Team!$A$11:$A$60,$AO43),rngAMStart,"&lt;="&amp;Calendar!S$11,rngAMEnd,"&gt;="&amp;Calendar!S$11))</ns0:f>
        <ns0:v>0</ns0:v>
      </ns0:c>
      <ns0:c r="CH43" s="0">
        <ns0:f>IF(OR($AO43=0,$B$5&lt;&gt;"OK",$B$6&gt;0,Calendar!S$11=""),0,SUMIFS(rngEngine_V,rngEngine_B,INDEX(Team!$A$11:$A$60,$AO43),rngPMStart,"&lt;="&amp;Calendar!S$11,rngPMEnd,"&gt;="&amp;Calendar!S$11))</ns0:f>
        <ns0:v>0</ns0:v>
      </ns0:c>
      <ns0:c r="CI43" s="0">
        <ns0:f>IF(OR($AO43=0,$B$5&lt;&gt;"OK",$B$6&gt;0,Calendar!T$11=""),0,SUMIFS(rngEngine_U,rngEngine_B,INDEX(Team!$A$11:$A$60,$AO43),rngAMStart,"&lt;="&amp;Calendar!T$11,rngAMEnd,"&gt;="&amp;Calendar!T$11))</ns0:f>
        <ns0:v>0</ns0:v>
      </ns0:c>
      <ns0:c r="CJ43" s="0">
        <ns0:f>IF(OR($AO43=0,$B$5&lt;&gt;"OK",$B$6&gt;0,Calendar!T$11=""),0,SUMIFS(rngEngine_V,rngEngine_B,INDEX(Team!$A$11:$A$60,$AO43),rngPMStart,"&lt;="&amp;Calendar!T$11,rngPMEnd,"&gt;="&amp;Calendar!T$11))</ns0:f>
        <ns0:v>0</ns0:v>
      </ns0:c>
      <ns0:c r="CK43" s="0">
        <ns0:f>IF(OR($AO43=0,$B$5&lt;&gt;"OK",$B$6&gt;0,Calendar!U$11=""),0,SUMIFS(rngEngine_U,rngEngine_B,INDEX(Team!$A$11:$A$60,$AO43),rngAMStart,"&lt;="&amp;Calendar!U$11,rngAMEnd,"&gt;="&amp;Calendar!U$11))</ns0:f>
        <ns0:v>0</ns0:v>
      </ns0:c>
      <ns0:c r="CL43" s="0">
        <ns0:f>IF(OR($AO43=0,$B$5&lt;&gt;"OK",$B$6&gt;0,Calendar!U$11=""),0,SUMIFS(rngEngine_V,rngEngine_B,INDEX(Team!$A$11:$A$60,$AO43),rngPMStart,"&lt;="&amp;Calendar!U$11,rngPMEnd,"&gt;="&amp;Calendar!U$11))</ns0:f>
        <ns0:v>0</ns0:v>
      </ns0:c>
      <ns0:c r="CM43" s="0">
        <ns0:f>IF(OR($AO43=0,$B$5&lt;&gt;"OK",$B$6&gt;0,Calendar!V$11=""),0,SUMIFS(rngEngine_U,rngEngine_B,INDEX(Team!$A$11:$A$60,$AO43),rngAMStart,"&lt;="&amp;Calendar!V$11,rngAMEnd,"&gt;="&amp;Calendar!V$11))</ns0:f>
        <ns0:v>0</ns0:v>
      </ns0:c>
      <ns0:c r="CN43" s="0">
        <ns0:f>IF(OR($AO43=0,$B$5&lt;&gt;"OK",$B$6&gt;0,Calendar!V$11=""),0,SUMIFS(rngEngine_V,rngEngine_B,INDEX(Team!$A$11:$A$60,$AO43),rngPMStart,"&lt;="&amp;Calendar!V$11,rngPMEnd,"&gt;="&amp;Calendar!V$11))</ns0:f>
        <ns0:v>0</ns0:v>
      </ns0:c>
      <ns0:c r="CO43" s="0">
        <ns0:f>IF(OR($AO43=0,$B$5&lt;&gt;"OK",$B$6&gt;0,Calendar!W$11=""),0,SUMIFS(rngEngine_U,rngEngine_B,INDEX(Team!$A$11:$A$60,$AO43),rngAMStart,"&lt;="&amp;Calendar!W$11,rngAMEnd,"&gt;="&amp;Calendar!W$11))</ns0:f>
        <ns0:v>0</ns0:v>
      </ns0:c>
      <ns0:c r="CP43" s="0">
        <ns0:f>IF(OR($AO43=0,$B$5&lt;&gt;"OK",$B$6&gt;0,Calendar!W$11=""),0,SUMIFS(rngEngine_V,rngEngine_B,INDEX(Team!$A$11:$A$60,$AO43),rngPMStart,"&lt;="&amp;Calendar!W$11,rngPMEnd,"&gt;="&amp;Calendar!W$11))</ns0:f>
        <ns0:v>0</ns0:v>
      </ns0:c>
      <ns0:c r="CQ43" s="0">
        <ns0:f>IF(OR($AO43=0,$B$5&lt;&gt;"OK",$B$6&gt;0,Calendar!X$11=""),0,SUMIFS(rngEngine_U,rngEngine_B,INDEX(Team!$A$11:$A$60,$AO43),rngAMStart,"&lt;="&amp;Calendar!X$11,rngAMEnd,"&gt;="&amp;Calendar!X$11))</ns0:f>
        <ns0:v>0</ns0:v>
      </ns0:c>
      <ns0:c r="CR43" s="0">
        <ns0:f>IF(OR($AO43=0,$B$5&lt;&gt;"OK",$B$6&gt;0,Calendar!X$11=""),0,SUMIFS(rngEngine_V,rngEngine_B,INDEX(Team!$A$11:$A$60,$AO43),rngPMStart,"&lt;="&amp;Calendar!X$11,rngPMEnd,"&gt;="&amp;Calendar!X$11))</ns0:f>
        <ns0:v>0</ns0:v>
      </ns0:c>
      <ns0:c r="CS43" s="0">
        <ns0:f>IF(OR($AO43=0,$B$5&lt;&gt;"OK",$B$6&gt;0,Calendar!Y$11=""),0,SUMIFS(rngEngine_U,rngEngine_B,INDEX(Team!$A$11:$A$60,$AO43),rngAMStart,"&lt;="&amp;Calendar!Y$11,rngAMEnd,"&gt;="&amp;Calendar!Y$11))</ns0:f>
        <ns0:v>0</ns0:v>
      </ns0:c>
      <ns0:c r="CT43" s="0">
        <ns0:f>IF(OR($AO43=0,$B$5&lt;&gt;"OK",$B$6&gt;0,Calendar!Y$11=""),0,SUMIFS(rngEngine_V,rngEngine_B,INDEX(Team!$A$11:$A$60,$AO43),rngPMStart,"&lt;="&amp;Calendar!Y$11,rngPMEnd,"&gt;="&amp;Calendar!Y$11))</ns0:f>
        <ns0:v>0</ns0:v>
      </ns0:c>
      <ns0:c r="CU43" s="0">
        <ns0:f>IF(OR($AO43=0,$B$5&lt;&gt;"OK",$B$6&gt;0,Calendar!Z$11=""),0,SUMIFS(rngEngine_U,rngEngine_B,INDEX(Team!$A$11:$A$60,$AO43),rngAMStart,"&lt;="&amp;Calendar!Z$11,rngAMEnd,"&gt;="&amp;Calendar!Z$11))</ns0:f>
        <ns0:v>0</ns0:v>
      </ns0:c>
      <ns0:c r="CV43" s="0">
        <ns0:f>IF(OR($AO43=0,$B$5&lt;&gt;"OK",$B$6&gt;0,Calendar!Z$11=""),0,SUMIFS(rngEngine_V,rngEngine_B,INDEX(Team!$A$11:$A$60,$AO43),rngPMStart,"&lt;="&amp;Calendar!Z$11,rngPMEnd,"&gt;="&amp;Calendar!Z$11))</ns0:f>
        <ns0:v>0</ns0:v>
      </ns0:c>
      <ns0:c r="CW43" s="0">
        <ns0:f>IF(OR($AO43=0,$B$5&lt;&gt;"OK",$B$6&gt;0,Calendar!AA$11=""),0,SUMIFS(rngEngine_U,rngEngine_B,INDEX(Team!$A$11:$A$60,$AO43),rngAMStart,"&lt;="&amp;Calendar!AA$11,rngAMEnd,"&gt;="&amp;Calendar!AA$11))</ns0:f>
        <ns0:v>0</ns0:v>
      </ns0:c>
      <ns0:c r="CX43" s="0">
        <ns0:f>IF(OR($AO43=0,$B$5&lt;&gt;"OK",$B$6&gt;0,Calendar!AA$11=""),0,SUMIFS(rngEngine_V,rngEngine_B,INDEX(Team!$A$11:$A$60,$AO43),rngPMStart,"&lt;="&amp;Calendar!AA$11,rngPMEnd,"&gt;="&amp;Calendar!AA$11))</ns0:f>
        <ns0:v>0</ns0:v>
      </ns0:c>
      <ns0:c r="CY43" s="0">
        <ns0:f>IF(OR($AO43=0,$B$5&lt;&gt;"OK",$B$6&gt;0,Calendar!AB$11=""),0,SUMIFS(rngEngine_U,rngEngine_B,INDEX(Team!$A$11:$A$60,$AO43),rngAMStart,"&lt;="&amp;Calendar!AB$11,rngAMEnd,"&gt;="&amp;Calendar!AB$11))</ns0:f>
        <ns0:v>0</ns0:v>
      </ns0:c>
      <ns0:c r="CZ43" s="0">
        <ns0:f>IF(OR($AO43=0,$B$5&lt;&gt;"OK",$B$6&gt;0,Calendar!AB$11=""),0,SUMIFS(rngEngine_V,rngEngine_B,INDEX(Team!$A$11:$A$60,$AO43),rngPMStart,"&lt;="&amp;Calendar!AB$11,rngPMEnd,"&gt;="&amp;Calendar!AB$11))</ns0:f>
        <ns0:v>0</ns0:v>
      </ns0:c>
      <ns0:c r="DA43" s="0">
        <ns0:f>IF(OR($AO43=0,$B$5&lt;&gt;"OK",$B$6&gt;0,Calendar!AC$11=""),0,SUMIFS(rngEngine_U,rngEngine_B,INDEX(Team!$A$11:$A$60,$AO43),rngAMStart,"&lt;="&amp;Calendar!AC$11,rngAMEnd,"&gt;="&amp;Calendar!AC$11))</ns0:f>
        <ns0:v>0</ns0:v>
      </ns0:c>
      <ns0:c r="DB43" s="0">
        <ns0:f>IF(OR($AO43=0,$B$5&lt;&gt;"OK",$B$6&gt;0,Calendar!AC$11=""),0,SUMIFS(rngEngine_V,rngEngine_B,INDEX(Team!$A$11:$A$60,$AO43),rngPMStart,"&lt;="&amp;Calendar!AC$11,rngPMEnd,"&gt;="&amp;Calendar!AC$11))</ns0:f>
        <ns0:v>0</ns0:v>
      </ns0:c>
      <ns0:c r="DC43" s="0">
        <ns0:f>IF(OR($AO43=0,$B$5&lt;&gt;"OK",$B$6&gt;0,Calendar!AD$11=""),0,SUMIFS(rngEngine_U,rngEngine_B,INDEX(Team!$A$11:$A$60,$AO43),rngAMStart,"&lt;="&amp;Calendar!AD$11,rngAMEnd,"&gt;="&amp;Calendar!AD$11))</ns0:f>
        <ns0:v>0</ns0:v>
      </ns0:c>
      <ns0:c r="DD43" s="0">
        <ns0:f>IF(OR($AO43=0,$B$5&lt;&gt;"OK",$B$6&gt;0,Calendar!AD$11=""),0,SUMIFS(rngEngine_V,rngEngine_B,INDEX(Team!$A$11:$A$60,$AO43),rngPMStart,"&lt;="&amp;Calendar!AD$11,rngPMEnd,"&gt;="&amp;Calendar!AD$11))</ns0:f>
        <ns0:v>0</ns0:v>
      </ns0:c>
      <ns0:c r="DE43" s="0">
        <ns0:f>IF(OR($AO43=0,$B$5&lt;&gt;"OK",$B$6&gt;0,Calendar!AE$11=""),0,SUMIFS(rngEngine_U,rngEngine_B,INDEX(Team!$A$11:$A$60,$AO43),rngAMStart,"&lt;="&amp;Calendar!AE$11,rngAMEnd,"&gt;="&amp;Calendar!AE$11))</ns0:f>
        <ns0:v>0</ns0:v>
      </ns0:c>
      <ns0:c r="DF43" s="0">
        <ns0:f>IF(OR($AO43=0,$B$5&lt;&gt;"OK",$B$6&gt;0,Calendar!AE$11=""),0,SUMIFS(rngEngine_V,rngEngine_B,INDEX(Team!$A$11:$A$60,$AO43),rngPMStart,"&lt;="&amp;Calendar!AE$11,rngPMEnd,"&gt;="&amp;Calendar!AE$11))</ns0:f>
        <ns0:v>0</ns0:v>
      </ns0:c>
      <ns0:c r="DG43" s="0">
        <ns0:f>IF(OR($AO43=0,$B$5&lt;&gt;"OK",$B$6&gt;0,Calendar!AF$11=""),0,SUMIFS(rngEngine_U,rngEngine_B,INDEX(Team!$A$11:$A$60,$AO43),rngAMStart,"&lt;="&amp;Calendar!AF$11,rngAMEnd,"&gt;="&amp;Calendar!AF$11))</ns0:f>
        <ns0:v>0</ns0:v>
      </ns0:c>
      <ns0:c r="DH43" s="0">
        <ns0:f>IF(OR($AO43=0,$B$5&lt;&gt;"OK",$B$6&gt;0,Calendar!AF$11=""),0,SUMIFS(rngEngine_V,rngEngine_B,INDEX(Team!$A$11:$A$60,$AO43),rngPMStart,"&lt;="&amp;Calendar!AF$11,rngPMEnd,"&gt;="&amp;Calendar!AF$11))</ns0:f>
        <ns0:v>0</ns0:v>
      </ns0:c>
      <ns0:c r="DI43" s="0">
        <ns0:f>IF(OR($AO43=0,$B$5&lt;&gt;"OK",$B$6&gt;0,Calendar!AG$11=""),0,SUMIFS(rngEngine_U,rngEngine_B,INDEX(Team!$A$11:$A$60,$AO43),rngAMStart,"&lt;="&amp;Calendar!AG$11,rngAMEnd,"&gt;="&amp;Calendar!AG$11))</ns0:f>
        <ns0:v>0</ns0:v>
      </ns0:c>
      <ns0:c r="DJ43" s="0">
        <ns0:f>IF(OR($AO43=0,$B$5&lt;&gt;"OK",$B$6&gt;0,Calendar!AG$11=""),0,SUMIFS(rngEngine_V,rngEngine_B,INDEX(Team!$A$11:$A$60,$AO43),rngPMStart,"&lt;="&amp;Calendar!AG$11,rngPMEnd,"&gt;="&amp;Calendar!AG$11))</ns0:f>
        <ns0:v>0</ns0:v>
      </ns0:c>
      <ns0:c r="DK43" s="0">
        <ns0:f>IF(OR($AO43=0,$B$5&lt;&gt;"OK",$B$6&gt;0,Calendar!AH$11=""),0,SUMIFS(rngEngine_U,rngEngine_B,INDEX(Team!$A$11:$A$60,$AO43),rngAMStart,"&lt;="&amp;Calendar!AH$11,rngAMEnd,"&gt;="&amp;Calendar!AH$11))</ns0:f>
        <ns0:v>0</ns0:v>
      </ns0:c>
      <ns0:c r="DL43" s="0">
        <ns0:f>IF(OR($AO43=0,$B$5&lt;&gt;"OK",$B$6&gt;0,Calendar!AH$11=""),0,SUMIFS(rngEngine_V,rngEngine_B,INDEX(Team!$A$11:$A$60,$AO43),rngPMStart,"&lt;="&amp;Calendar!AH$11,rngPMEnd,"&gt;="&amp;Calendar!AH$11))</ns0:f>
        <ns0:v>0</ns0:v>
      </ns0:c>
    </ns0:row>
    <ns0:row r="44" ht="22" customHeight="1">
      <ns0:c r="A44" s="4">
        <ns0:f>IF(COUNTA(Bookings!A44:G44,Bookings!I44)=0,0,1)</ns0:f>
        <ns0:v>0</ns0:v>
      </ns0:c>
      <ns0:c r="B44" s="4" t="str">
        <ns0:f>IFERROR(TRIM(MID(Bookings!A44,FIND(" · ",Bookings!A44)+3,99)),"")</ns0:f>
        <ns0:v/>
      </ns0:c>
      <ns0:c r="C44" s="4">
        <ns0:f>IF(OR(B44="",LEN(B44)&gt;24,ISNUMBER(FIND(" ",B44)),ISNUMBER(FIND("*",B44)),ISNUMBER(FIND("?",B44)),ISNUMBER(FIND("~",B44))),0,IFERROR(MATCH(B44,Team!$A$11:$A$60,0),0))</ns0:f>
        <ns0:v>0</ns0:v>
      </ns0:c>
      <ns0:c r="D44" s="4" t="str">
        <ns0:f>IFERROR(IF(MID(Bookings!F44,LEN(Bookings!F44)-3,3)=" · ",RIGHT(Bookings!F44,1),""),"")</ns0:f>
        <ns0:v/>
      </ns0:c>
      <ns0:c r="E44" s="4" t="str">
        <ns0:f>IFERROR(INDEX(Settings!$H$7:$H$11,MATCH(D44,Settings!$G$7:$G$11,0)),"")</ns0:f>
        <ns0:v/>
      </ns0:c>
      <ns0:c r="F44" s="4" t="str">
        <ns0:f>IF(A44=0,"",IFERROR(IF(OR(B44="",C44=0),"CHECK employee selection",IF(INDEX(Team!$O$11:$O$60,C44)&lt;&gt;"OK","CHECK employee setup",IF(OR('_Dates'!J44=0,'_Dates'!T44=0),"CHECK date: use DD.MM.YYYY",IF('_Dates'!T44&lt;'_Dates'!J44,"CHECK end before start",IF(AND($B$6=0,OR('_Dates'!J44&lt;Settings!$B$7,'_Dates'!T44&gt;Settings!$B$8)),"CHECK split across leave years",IF(OR(NOT(OR('_Dates'!U44="Full day",'_Dates'!U44="AM",'_Dates'!U44="PM")),NOT(OR('_Dates'!V44="Full day",'_Dates'!V44="AM",'_Dates'!V44="PM"))),"CHECK Full day / AM / PM",IF(AND('_Dates'!J44='_Dates'!T44,'_Dates'!U44&lt;&gt;"Full day",'_Dates'!V44&lt;&gt;"Full day",'_Dates'!U44&lt;&gt;'_Dates'!V44),"CHECK same-day portions disagree",IF(AND($B$6=0,OR(AND('_Dates'!U44&lt;&gt;"Full day",'_Dates'!AA44=0),AND('_Dates'!V44&lt;&gt;"Full day",'_Dates'!AB44=0))),"CHECK half-day on non-working date",IF(COUNTIF(Settings!$G$7:$G$11,D44)&lt;&gt;1,"CHECK leave type",IF(AND(Bookings!G44&lt;&gt;"Approved",Bookings!G44&lt;&gt;"Pending",Bookings!G44&lt;&gt;"Cancelled"),"CHECK status","OK")))))))))),"CHECK input"))</ns0:f>
        <ns0:v/>
      </ns0:c>
      <ns0:c r="G44" s="4">
        <ns0:f>IF(OR(F44&lt;&gt;"OK",$B$6&gt;0),0,0.5*(IF(('_Dates'!X44)&lt;('_Dates'!W44),0,INT((('_Dates'!X44)-('_Dates'!W44)+1)/7)*LEN(SUBSTITUTE(W44,"O",""))+LEN(SUBSTITUTE(MID(W44&amp;W44,WEEKDAY(('_Dates'!W44),2),MOD((('_Dates'!X44)-('_Dates'!W44)+1),7)),"O",""))-COUNTIFS(INDEX(AllClosureRows,C44,0),"&gt;="&amp;('_Dates'!W44),INDEX(AllClosureRows,C44,0),"&lt;="&amp;('_Dates'!X44)))+IF(('_Dates'!Z44)&lt;('_Dates'!Y44),0,INT((('_Dates'!Z44)-('_Dates'!Y44)+1)/7)*LEN(SUBSTITUTE(W44,"O",""))+LEN(SUBSTITUTE(MID(W44&amp;W44,WEEKDAY(('_Dates'!Y44),2),MOD((('_Dates'!Z44)-('_Dates'!Y44)+1),7)),"O",""))-COUNTIFS(INDEX(AllClosureRows,C44,0),"&gt;="&amp;('_Dates'!Y44),INDEX(AllClosureRows,C44,0),"&lt;="&amp;('_Dates'!Z44)))))</ns0:f>
        <ns0:v>0</ns0:v>
      </ns0:c>
      <ns0:c r="H44" s="4">
        <ns0:f>IF(OR(F44&lt;&gt;"OK",$B$6&gt;0),0,0.5*(IF((MIN('_Dates'!X44,Settings!$B$9))&lt;('_Dates'!W44),0,INT(((MIN('_Dates'!X44,Settings!$B$9))-('_Dates'!W44)+1)/7)*LEN(SUBSTITUTE(W44,"O",""))+LEN(SUBSTITUTE(MID(W44&amp;W44,WEEKDAY(('_Dates'!W44),2),MOD(((MIN('_Dates'!X44,Settings!$B$9))-('_Dates'!W44)+1),7)),"O",""))-COUNTIFS(INDEX(AllClosureRows,C44,0),"&gt;="&amp;('_Dates'!W44),INDEX(AllClosureRows,C44,0),"&lt;="&amp;(MIN('_Dates'!X44,Settings!$B$9))))+IF((MIN('_Dates'!Z44,Settings!$B$9))&lt;('_Dates'!Y44),0,INT(((MIN('_Dates'!Z44,Settings!$B$9))-('_Dates'!Y44)+1)/7)*LEN(SUBSTITUTE(W44,"O",""))+LEN(SUBSTITUTE(MID(W44&amp;W44,WEEKDAY(('_Dates'!Y44),2),MOD(((MIN('_Dates'!Z44,Settings!$B$9))-('_Dates'!Y44)+1),7)),"O",""))-COUNTIFS(INDEX(AllClosureRows,C44,0),"&gt;="&amp;('_Dates'!Y44),INDEX(AllClosureRows,C44,0),"&lt;="&amp;(MIN('_Dates'!Z44,Settings!$B$9))))))</ns0:f>
        <ns0:v>0</ns0:v>
      </ns0:c>
      <ns0:c r="I44" s="4">
        <ns0:f>MAX(0,G44-H44)</ns0:f>
        <ns0:v>0</ns0:v>
      </ns0:c>
      <ns0:c r="J44" s="4">
        <ns0:f>IF(OR(A44=0,F44&lt;&gt;"OK",Bookings!G44="Cancelled",$B$6&gt;0),0,IF('_Dates'!AC44=1,MAX(0,COUNTIFS(rngEngine_B,B44,rngAMStart,"&lt;="&amp;'_Dates'!X44,rngAMEnd,"&gt;="&amp;'_Dates'!W44,rngAMActive,1,rngEngine_F,"OK",rngBookings_F,"&lt;&gt;Cancelled")-1),0)+IF('_Dates'!AD44=1,MAX(0,COUNTIFS(rngEngine_B,B44,rngPMStart,"&lt;="&amp;'_Dates'!Z44,rngPMEnd,"&gt;="&amp;'_Dates'!Y44,rngPMActive,1,rngEngine_F,"OK",rngBookings_F,"&lt;&gt;Cancelled")-1),0))</ns0:f>
        <ns0:v>0</ns0:v>
      </ns0:c>
      <ns0:c r="K44" s="0" t="str">
        <ns0:f>IF(A44=0,"",IF(F44&lt;&gt;"OK",F44,IF(J44&gt;0,"CHECK overlapping entry",IF(AND($B$6=0,G44&lt;=0,Bookings!G44&lt;&gt;"Cancelled"),"CHECK no working days",IF(Bookings!G44="Cancelled","Cancelled","OK")))))</ns0:f>
        <ns0:v/>
      </ns0:c>
      <ns0:c r="L44" s="0">
        <ns0:f>IF(LEFT(K44,5)="CHECK",1,0)</ns0:f>
        <ns0:v>0</ns0:v>
      </ns0:c>
      <ns0:c r="M44" s="0">
        <ns0:f>IF(AND(L44=1,OR(C44=0,IFERROR(INDEX($X$11:$X$60,C44),0)=0)),1,0)</ns0:f>
        <ns0:v>0</ns0:v>
      </ns0:c>
      <ns0:c r="N44" s="0">
        <ns0:f>IF(OR(A44=0,L44&gt;0,$B$6&gt;0,Bookings!G44="Cancelled"),0,G44)</ns0:f>
        <ns0:v>0</ns0:v>
      </ns0:c>
      <ns0:c r="O44" s="0">
        <ns0:f>IF(AND(Bookings!G44="Approved",E44="Yes"),N44,0)</ns0:f>
        <ns0:v>0</ns0:v>
      </ns0:c>
      <ns0:c r="P44" s="0">
        <ns0:f>IF(AND(Bookings!G44="Approved",E44="Yes",L44=0,$B$6=0),H44,0)</ns0:f>
        <ns0:v>0</ns0:v>
      </ns0:c>
      <ns0:c r="Q44" s="0">
        <ns0:f>IF(AND(Bookings!G44="Approved",E44="Yes",L44=0,$B$6=0),I44,0)</ns0:f>
        <ns0:v>0</ns0:v>
      </ns0:c>
      <ns0:c r="R44" s="0">
        <ns0:f>IF(AND(Bookings!G44="Pending",E44="Yes"),N44,0)</ns0:f>
        <ns0:v>0</ns0:v>
      </ns0:c>
      <ns0:c r="S44" s="0">
        <ns0:f>IF(AND(Bookings!G44="Approved",E44="No"),N44,0)</ns0:f>
        <ns0:v>0</ns0:v>
      </ns0:c>
      <ns0:c r="T44" s="0">
        <ns0:f>IFERROR(MATCH(D44,Settings!$G$7:$G$11,0),0)</ns0:f>
        <ns0:v>0</ns0:v>
      </ns0:c>
      <ns0:c r="U44" s="0">
        <ns0:f>IF(N44&gt;0,T44+IF(Bookings!G44="Pending",10,0),0)</ns0:f>
        <ns0:v>0</ns0:v>
      </ns0:c>
      <ns0:c r="V44" s="0">
        <ns0:f>U44</ns0:f>
        <ns0:v>0</ns0:v>
      </ns0:c>
      <ns0:c r="W44" s="0" t="str">
        <ns0:f>IF(C44=0,"",INDEX($AP$11:$AP$60,C44))</ns0:f>
        <ns0:v/>
      </ns0:c>
      <ns0:c r="X44" s="0">
        <ns0:f>IF(COUNTA(Team!B44:D44)=0,0,1)</ns0:f>
        <ns0:v>0</ns0:v>
      </ns0:c>
      <ns0:c r="Y44" s="0" t="str">
        <ns0:f>IF(X44=0,"",IF(Team!B44="","[Unnamed]",Team!B44)&amp;" · "&amp;Team!A44)</ns0:f>
        <ns0:v/>
      </ns0:c>
      <ns0:c r="Z44" s="0">
        <ns0:f>IF(X44=0,0,COUNTIF(Team!H44:N44,"Work"))</ns0:f>
        <ns0:v>0</ns0:v>
      </ns0:c>
      <ns0:c r="AA44" s="0">
        <ns0:f>IF(LEFT(Team!O44,5)="CHECK",1,0)</ns0:f>
        <ns0:v>0</ns0:v>
      </ns0:c>
      <ns0:c r="AB44" s="0">
        <ns0:f>IF(X44=0,0,SUMIFS(rngEngine_L,rngEngine_B,Team!A44))</ns0:f>
        <ns0:v>0</ns0:v>
      </ns0:c>
      <ns0:c r="AC44" s="0" t="str">
        <ns0:f>IF(AND(X44=1,OR(Calendar!$C$7="All teams",Team!C44=Calendar!$C$7)),MAX($AC$10:AC43)+1,"")</ns0:f>
        <ns0:v/>
      </ns0:c>
      <ns0:c r="AD44" s="0" t="str">
        <ns0:f>IF(OR(X44=0,Team!C44="",COUNTIF(Team!$C$11:C44,Team!C44)&gt;1),"",MAX($AD$10:AD43)+1)</ns0:f>
        <ns0:v/>
      </ns0:c>
      <ns0:c r="AE44" s="0" t="str">
        <ns0:f>IFERROR(INDEX(Team!$C$11:$C$60,MATCH(ROW()-10,$AD$11:$AD$60,0)),"")</ns0:f>
        <ns0:v/>
      </ns0:c>
      <ns0:c r="AF44" s="0" t="str">
        <ns0:f>AE44</ns0:f>
        <ns0:v/>
      </ns0:c>
      <ns0:c r="AG44" s="0">
        <ns0:f>IF(X44=0,0,IFERROR(Team!F44+Team!G44,0))</ns0:f>
        <ns0:v>0</ns0:v>
      </ns0:c>
      <ns0:c r="AH44" s="0">
        <ns0:f>IF(X44=0,0,SUMIFS(rngEngine_P,rngEngine_B,Team!A44))</ns0:f>
        <ns0:v>0</ns0:v>
      </ns0:c>
      <ns0:c r="AI44" s="0">
        <ns0:f>IF(X44=0,0,SUMIFS(rngEngine_Q,rngEngine_B,Team!A44))</ns0:f>
        <ns0:v>0</ns0:v>
      </ns0:c>
      <ns0:c r="AJ44" s="0">
        <ns0:f>IF(X44=0,0,SUMIFS(rngEngine_R,rngEngine_B,Team!A44))</ns0:f>
        <ns0:v>0</ns0:v>
      </ns0:c>
      <ns0:c r="AK44" s="0">
        <ns0:f>IF(X44=0,0,SUMIFS(rngEngine_S,rngEngine_B,Team!A44))</ns0:f>
        <ns0:v>0</ns0:v>
      </ns0:c>
      <ns0:c r="AL44" s="0">
        <ns0:f>AH44+AI44</ns0:f>
        <ns0:v>0</ns0:v>
      </ns0:c>
      <ns0:c r="AM44" s="0" t="str">
        <ns0:f>IF(X44=0,"",IF(AA44&gt;0,"CHECK team setup",IF(AB44&gt;0,"CHECK "&amp;AB44&amp;" booking(s)","OK")))</ns0:f>
        <ns0:v/>
      </ns0:c>
      <ns0:c r="AN44" s="0" t="str">
        <ns0:f>IF(X44=0,"",IF(OR($B$6&gt;0,AM44&lt;&gt;"OK"),"REVIEW",AG44-AL44))</ns0:f>
        <ns0:v/>
      </ns0:c>
      <ns0:c r="AO44" s="0">
        <ns0:f>IFERROR(MATCH(ROW()-11,$AC$11:$AC$60,0),0)</ns0:f>
        <ns0:v>0</ns0:v>
      </ns0:c>
      <ns0:c r="AP44" s="0" t="str">
        <ns0:f>IF(Team!H44="Work","W","O")&amp;IF(Team!I44="Work","W","O")&amp;IF(Team!J44="Work","W","O")&amp;IF(Team!K44="Work","W","O")&amp;IF(Team!L44="Work","W","O")&amp;IF(Team!M44="Work","W","O")&amp;IF(Team!N44="Work","W","O")</ns0:f>
        <ns0:v>WWWWWOO</ns0:v>
      </ns0:c>
      <ns0:c r="AR44" s="0">
        <ns0:f>IFERROR(IF(ISNUMBER(Settings!F44),WEEKDAY(Settings!F44,2),0),0)</ns0:f>
        <ns0:v>0</ns0:v>
      </ns0:c>
      <ns0:c r="BC44" s="0">
        <ns0:f>IF(OR($AO44=0,$B$5&lt;&gt;"OK",$B$6&gt;0,Calendar!D$11=""),0,SUMIFS(rngEngine_U,rngEngine_B,INDEX(Team!$A$11:$A$60,$AO44),rngAMStart,"&lt;="&amp;Calendar!D$11,rngAMEnd,"&gt;="&amp;Calendar!D$11))</ns0:f>
        <ns0:v>0</ns0:v>
      </ns0:c>
      <ns0:c r="BD44" s="0">
        <ns0:f>IF(OR($AO44=0,$B$5&lt;&gt;"OK",$B$6&gt;0,Calendar!D$11=""),0,SUMIFS(rngEngine_V,rngEngine_B,INDEX(Team!$A$11:$A$60,$AO44),rngPMStart,"&lt;="&amp;Calendar!D$11,rngPMEnd,"&gt;="&amp;Calendar!D$11))</ns0:f>
        <ns0:v>0</ns0:v>
      </ns0:c>
      <ns0:c r="BE44" s="0">
        <ns0:f>IF(OR($AO44=0,$B$5&lt;&gt;"OK",$B$6&gt;0,Calendar!E$11=""),0,SUMIFS(rngEngine_U,rngEngine_B,INDEX(Team!$A$11:$A$60,$AO44),rngAMStart,"&lt;="&amp;Calendar!E$11,rngAMEnd,"&gt;="&amp;Calendar!E$11))</ns0:f>
        <ns0:v>0</ns0:v>
      </ns0:c>
      <ns0:c r="BF44" s="0">
        <ns0:f>IF(OR($AO44=0,$B$5&lt;&gt;"OK",$B$6&gt;0,Calendar!E$11=""),0,SUMIFS(rngEngine_V,rngEngine_B,INDEX(Team!$A$11:$A$60,$AO44),rngPMStart,"&lt;="&amp;Calendar!E$11,rngPMEnd,"&gt;="&amp;Calendar!E$11))</ns0:f>
        <ns0:v>0</ns0:v>
      </ns0:c>
      <ns0:c r="BG44" s="0">
        <ns0:f>IF(OR($AO44=0,$B$5&lt;&gt;"OK",$B$6&gt;0,Calendar!F$11=""),0,SUMIFS(rngEngine_U,rngEngine_B,INDEX(Team!$A$11:$A$60,$AO44),rngAMStart,"&lt;="&amp;Calendar!F$11,rngAMEnd,"&gt;="&amp;Calendar!F$11))</ns0:f>
        <ns0:v>0</ns0:v>
      </ns0:c>
      <ns0:c r="BH44" s="0">
        <ns0:f>IF(OR($AO44=0,$B$5&lt;&gt;"OK",$B$6&gt;0,Calendar!F$11=""),0,SUMIFS(rngEngine_V,rngEngine_B,INDEX(Team!$A$11:$A$60,$AO44),rngPMStart,"&lt;="&amp;Calendar!F$11,rngPMEnd,"&gt;="&amp;Calendar!F$11))</ns0:f>
        <ns0:v>0</ns0:v>
      </ns0:c>
      <ns0:c r="BI44" s="0">
        <ns0:f>IF(OR($AO44=0,$B$5&lt;&gt;"OK",$B$6&gt;0,Calendar!G$11=""),0,SUMIFS(rngEngine_U,rngEngine_B,INDEX(Team!$A$11:$A$60,$AO44),rngAMStart,"&lt;="&amp;Calendar!G$11,rngAMEnd,"&gt;="&amp;Calendar!G$11))</ns0:f>
        <ns0:v>0</ns0:v>
      </ns0:c>
      <ns0:c r="BJ44" s="0">
        <ns0:f>IF(OR($AO44=0,$B$5&lt;&gt;"OK",$B$6&gt;0,Calendar!G$11=""),0,SUMIFS(rngEngine_V,rngEngine_B,INDEX(Team!$A$11:$A$60,$AO44),rngPMStart,"&lt;="&amp;Calendar!G$11,rngPMEnd,"&gt;="&amp;Calendar!G$11))</ns0:f>
        <ns0:v>0</ns0:v>
      </ns0:c>
      <ns0:c r="BK44" s="0">
        <ns0:f>IF(OR($AO44=0,$B$5&lt;&gt;"OK",$B$6&gt;0,Calendar!H$11=""),0,SUMIFS(rngEngine_U,rngEngine_B,INDEX(Team!$A$11:$A$60,$AO44),rngAMStart,"&lt;="&amp;Calendar!H$11,rngAMEnd,"&gt;="&amp;Calendar!H$11))</ns0:f>
        <ns0:v>0</ns0:v>
      </ns0:c>
      <ns0:c r="BL44" s="0">
        <ns0:f>IF(OR($AO44=0,$B$5&lt;&gt;"OK",$B$6&gt;0,Calendar!H$11=""),0,SUMIFS(rngEngine_V,rngEngine_B,INDEX(Team!$A$11:$A$60,$AO44),rngPMStart,"&lt;="&amp;Calendar!H$11,rngPMEnd,"&gt;="&amp;Calendar!H$11))</ns0:f>
        <ns0:v>0</ns0:v>
      </ns0:c>
      <ns0:c r="BM44" s="0">
        <ns0:f>IF(OR($AO44=0,$B$5&lt;&gt;"OK",$B$6&gt;0,Calendar!I$11=""),0,SUMIFS(rngEngine_U,rngEngine_B,INDEX(Team!$A$11:$A$60,$AO44),rngAMStart,"&lt;="&amp;Calendar!I$11,rngAMEnd,"&gt;="&amp;Calendar!I$11))</ns0:f>
        <ns0:v>0</ns0:v>
      </ns0:c>
      <ns0:c r="BN44" s="0">
        <ns0:f>IF(OR($AO44=0,$B$5&lt;&gt;"OK",$B$6&gt;0,Calendar!I$11=""),0,SUMIFS(rngEngine_V,rngEngine_B,INDEX(Team!$A$11:$A$60,$AO44),rngPMStart,"&lt;="&amp;Calendar!I$11,rngPMEnd,"&gt;="&amp;Calendar!I$11))</ns0:f>
        <ns0:v>0</ns0:v>
      </ns0:c>
      <ns0:c r="BO44" s="0">
        <ns0:f>IF(OR($AO44=0,$B$5&lt;&gt;"OK",$B$6&gt;0,Calendar!J$11=""),0,SUMIFS(rngEngine_U,rngEngine_B,INDEX(Team!$A$11:$A$60,$AO44),rngAMStart,"&lt;="&amp;Calendar!J$11,rngAMEnd,"&gt;="&amp;Calendar!J$11))</ns0:f>
        <ns0:v>0</ns0:v>
      </ns0:c>
      <ns0:c r="BP44" s="0">
        <ns0:f>IF(OR($AO44=0,$B$5&lt;&gt;"OK",$B$6&gt;0,Calendar!J$11=""),0,SUMIFS(rngEngine_V,rngEngine_B,INDEX(Team!$A$11:$A$60,$AO44),rngPMStart,"&lt;="&amp;Calendar!J$11,rngPMEnd,"&gt;="&amp;Calendar!J$11))</ns0:f>
        <ns0:v>0</ns0:v>
      </ns0:c>
      <ns0:c r="BQ44" s="0">
        <ns0:f>IF(OR($AO44=0,$B$5&lt;&gt;"OK",$B$6&gt;0,Calendar!K$11=""),0,SUMIFS(rngEngine_U,rngEngine_B,INDEX(Team!$A$11:$A$60,$AO44),rngAMStart,"&lt;="&amp;Calendar!K$11,rngAMEnd,"&gt;="&amp;Calendar!K$11))</ns0:f>
        <ns0:v>0</ns0:v>
      </ns0:c>
      <ns0:c r="BR44" s="0">
        <ns0:f>IF(OR($AO44=0,$B$5&lt;&gt;"OK",$B$6&gt;0,Calendar!K$11=""),0,SUMIFS(rngEngine_V,rngEngine_B,INDEX(Team!$A$11:$A$60,$AO44),rngPMStart,"&lt;="&amp;Calendar!K$11,rngPMEnd,"&gt;="&amp;Calendar!K$11))</ns0:f>
        <ns0:v>0</ns0:v>
      </ns0:c>
      <ns0:c r="BS44" s="0">
        <ns0:f>IF(OR($AO44=0,$B$5&lt;&gt;"OK",$B$6&gt;0,Calendar!L$11=""),0,SUMIFS(rngEngine_U,rngEngine_B,INDEX(Team!$A$11:$A$60,$AO44),rngAMStart,"&lt;="&amp;Calendar!L$11,rngAMEnd,"&gt;="&amp;Calendar!L$11))</ns0:f>
        <ns0:v>0</ns0:v>
      </ns0:c>
      <ns0:c r="BT44" s="0">
        <ns0:f>IF(OR($AO44=0,$B$5&lt;&gt;"OK",$B$6&gt;0,Calendar!L$11=""),0,SUMIFS(rngEngine_V,rngEngine_B,INDEX(Team!$A$11:$A$60,$AO44),rngPMStart,"&lt;="&amp;Calendar!L$11,rngPMEnd,"&gt;="&amp;Calendar!L$11))</ns0:f>
        <ns0:v>0</ns0:v>
      </ns0:c>
      <ns0:c r="BU44" s="0">
        <ns0:f>IF(OR($AO44=0,$B$5&lt;&gt;"OK",$B$6&gt;0,Calendar!M$11=""),0,SUMIFS(rngEngine_U,rngEngine_B,INDEX(Team!$A$11:$A$60,$AO44),rngAMStart,"&lt;="&amp;Calendar!M$11,rngAMEnd,"&gt;="&amp;Calendar!M$11))</ns0:f>
        <ns0:v>0</ns0:v>
      </ns0:c>
      <ns0:c r="BV44" s="0">
        <ns0:f>IF(OR($AO44=0,$B$5&lt;&gt;"OK",$B$6&gt;0,Calendar!M$11=""),0,SUMIFS(rngEngine_V,rngEngine_B,INDEX(Team!$A$11:$A$60,$AO44),rngPMStart,"&lt;="&amp;Calendar!M$11,rngPMEnd,"&gt;="&amp;Calendar!M$11))</ns0:f>
        <ns0:v>0</ns0:v>
      </ns0:c>
      <ns0:c r="BW44" s="0">
        <ns0:f>IF(OR($AO44=0,$B$5&lt;&gt;"OK",$B$6&gt;0,Calendar!N$11=""),0,SUMIFS(rngEngine_U,rngEngine_B,INDEX(Team!$A$11:$A$60,$AO44),rngAMStart,"&lt;="&amp;Calendar!N$11,rngAMEnd,"&gt;="&amp;Calendar!N$11))</ns0:f>
        <ns0:v>0</ns0:v>
      </ns0:c>
      <ns0:c r="BX44" s="0">
        <ns0:f>IF(OR($AO44=0,$B$5&lt;&gt;"OK",$B$6&gt;0,Calendar!N$11=""),0,SUMIFS(rngEngine_V,rngEngine_B,INDEX(Team!$A$11:$A$60,$AO44),rngPMStart,"&lt;="&amp;Calendar!N$11,rngPMEnd,"&gt;="&amp;Calendar!N$11))</ns0:f>
        <ns0:v>0</ns0:v>
      </ns0:c>
      <ns0:c r="BY44" s="0">
        <ns0:f>IF(OR($AO44=0,$B$5&lt;&gt;"OK",$B$6&gt;0,Calendar!O$11=""),0,SUMIFS(rngEngine_U,rngEngine_B,INDEX(Team!$A$11:$A$60,$AO44),rngAMStart,"&lt;="&amp;Calendar!O$11,rngAMEnd,"&gt;="&amp;Calendar!O$11))</ns0:f>
        <ns0:v>0</ns0:v>
      </ns0:c>
      <ns0:c r="BZ44" s="0">
        <ns0:f>IF(OR($AO44=0,$B$5&lt;&gt;"OK",$B$6&gt;0,Calendar!O$11=""),0,SUMIFS(rngEngine_V,rngEngine_B,INDEX(Team!$A$11:$A$60,$AO44),rngPMStart,"&lt;="&amp;Calendar!O$11,rngPMEnd,"&gt;="&amp;Calendar!O$11))</ns0:f>
        <ns0:v>0</ns0:v>
      </ns0:c>
      <ns0:c r="CA44" s="0">
        <ns0:f>IF(OR($AO44=0,$B$5&lt;&gt;"OK",$B$6&gt;0,Calendar!P$11=""),0,SUMIFS(rngEngine_U,rngEngine_B,INDEX(Team!$A$11:$A$60,$AO44),rngAMStart,"&lt;="&amp;Calendar!P$11,rngAMEnd,"&gt;="&amp;Calendar!P$11))</ns0:f>
        <ns0:v>0</ns0:v>
      </ns0:c>
      <ns0:c r="CB44" s="0">
        <ns0:f>IF(OR($AO44=0,$B$5&lt;&gt;"OK",$B$6&gt;0,Calendar!P$11=""),0,SUMIFS(rngEngine_V,rngEngine_B,INDEX(Team!$A$11:$A$60,$AO44),rngPMStart,"&lt;="&amp;Calendar!P$11,rngPMEnd,"&gt;="&amp;Calendar!P$11))</ns0:f>
        <ns0:v>0</ns0:v>
      </ns0:c>
      <ns0:c r="CC44" s="0">
        <ns0:f>IF(OR($AO44=0,$B$5&lt;&gt;"OK",$B$6&gt;0,Calendar!Q$11=""),0,SUMIFS(rngEngine_U,rngEngine_B,INDEX(Team!$A$11:$A$60,$AO44),rngAMStart,"&lt;="&amp;Calendar!Q$11,rngAMEnd,"&gt;="&amp;Calendar!Q$11))</ns0:f>
        <ns0:v>0</ns0:v>
      </ns0:c>
      <ns0:c r="CD44" s="0">
        <ns0:f>IF(OR($AO44=0,$B$5&lt;&gt;"OK",$B$6&gt;0,Calendar!Q$11=""),0,SUMIFS(rngEngine_V,rngEngine_B,INDEX(Team!$A$11:$A$60,$AO44),rngPMStart,"&lt;="&amp;Calendar!Q$11,rngPMEnd,"&gt;="&amp;Calendar!Q$11))</ns0:f>
        <ns0:v>0</ns0:v>
      </ns0:c>
      <ns0:c r="CE44" s="0">
        <ns0:f>IF(OR($AO44=0,$B$5&lt;&gt;"OK",$B$6&gt;0,Calendar!R$11=""),0,SUMIFS(rngEngine_U,rngEngine_B,INDEX(Team!$A$11:$A$60,$AO44),rngAMStart,"&lt;="&amp;Calendar!R$11,rngAMEnd,"&gt;="&amp;Calendar!R$11))</ns0:f>
        <ns0:v>0</ns0:v>
      </ns0:c>
      <ns0:c r="CF44" s="0">
        <ns0:f>IF(OR($AO44=0,$B$5&lt;&gt;"OK",$B$6&gt;0,Calendar!R$11=""),0,SUMIFS(rngEngine_V,rngEngine_B,INDEX(Team!$A$11:$A$60,$AO44),rngPMStart,"&lt;="&amp;Calendar!R$11,rngPMEnd,"&gt;="&amp;Calendar!R$11))</ns0:f>
        <ns0:v>0</ns0:v>
      </ns0:c>
      <ns0:c r="CG44" s="0">
        <ns0:f>IF(OR($AO44=0,$B$5&lt;&gt;"OK",$B$6&gt;0,Calendar!S$11=""),0,SUMIFS(rngEngine_U,rngEngine_B,INDEX(Team!$A$11:$A$60,$AO44),rngAMStart,"&lt;="&amp;Calendar!S$11,rngAMEnd,"&gt;="&amp;Calendar!S$11))</ns0:f>
        <ns0:v>0</ns0:v>
      </ns0:c>
      <ns0:c r="CH44" s="0">
        <ns0:f>IF(OR($AO44=0,$B$5&lt;&gt;"OK",$B$6&gt;0,Calendar!S$11=""),0,SUMIFS(rngEngine_V,rngEngine_B,INDEX(Team!$A$11:$A$60,$AO44),rngPMStart,"&lt;="&amp;Calendar!S$11,rngPMEnd,"&gt;="&amp;Calendar!S$11))</ns0:f>
        <ns0:v>0</ns0:v>
      </ns0:c>
      <ns0:c r="CI44" s="0">
        <ns0:f>IF(OR($AO44=0,$B$5&lt;&gt;"OK",$B$6&gt;0,Calendar!T$11=""),0,SUMIFS(rngEngine_U,rngEngine_B,INDEX(Team!$A$11:$A$60,$AO44),rngAMStart,"&lt;="&amp;Calendar!T$11,rngAMEnd,"&gt;="&amp;Calendar!T$11))</ns0:f>
        <ns0:v>0</ns0:v>
      </ns0:c>
      <ns0:c r="CJ44" s="0">
        <ns0:f>IF(OR($AO44=0,$B$5&lt;&gt;"OK",$B$6&gt;0,Calendar!T$11=""),0,SUMIFS(rngEngine_V,rngEngine_B,INDEX(Team!$A$11:$A$60,$AO44),rngPMStart,"&lt;="&amp;Calendar!T$11,rngPMEnd,"&gt;="&amp;Calendar!T$11))</ns0:f>
        <ns0:v>0</ns0:v>
      </ns0:c>
      <ns0:c r="CK44" s="0">
        <ns0:f>IF(OR($AO44=0,$B$5&lt;&gt;"OK",$B$6&gt;0,Calendar!U$11=""),0,SUMIFS(rngEngine_U,rngEngine_B,INDEX(Team!$A$11:$A$60,$AO44),rngAMStart,"&lt;="&amp;Calendar!U$11,rngAMEnd,"&gt;="&amp;Calendar!U$11))</ns0:f>
        <ns0:v>0</ns0:v>
      </ns0:c>
      <ns0:c r="CL44" s="0">
        <ns0:f>IF(OR($AO44=0,$B$5&lt;&gt;"OK",$B$6&gt;0,Calendar!U$11=""),0,SUMIFS(rngEngine_V,rngEngine_B,INDEX(Team!$A$11:$A$60,$AO44),rngPMStart,"&lt;="&amp;Calendar!U$11,rngPMEnd,"&gt;="&amp;Calendar!U$11))</ns0:f>
        <ns0:v>0</ns0:v>
      </ns0:c>
      <ns0:c r="CM44" s="0">
        <ns0:f>IF(OR($AO44=0,$B$5&lt;&gt;"OK",$B$6&gt;0,Calendar!V$11=""),0,SUMIFS(rngEngine_U,rngEngine_B,INDEX(Team!$A$11:$A$60,$AO44),rngAMStart,"&lt;="&amp;Calendar!V$11,rngAMEnd,"&gt;="&amp;Calendar!V$11))</ns0:f>
        <ns0:v>0</ns0:v>
      </ns0:c>
      <ns0:c r="CN44" s="0">
        <ns0:f>IF(OR($AO44=0,$B$5&lt;&gt;"OK",$B$6&gt;0,Calendar!V$11=""),0,SUMIFS(rngEngine_V,rngEngine_B,INDEX(Team!$A$11:$A$60,$AO44),rngPMStart,"&lt;="&amp;Calendar!V$11,rngPMEnd,"&gt;="&amp;Calendar!V$11))</ns0:f>
        <ns0:v>0</ns0:v>
      </ns0:c>
      <ns0:c r="CO44" s="0">
        <ns0:f>IF(OR($AO44=0,$B$5&lt;&gt;"OK",$B$6&gt;0,Calendar!W$11=""),0,SUMIFS(rngEngine_U,rngEngine_B,INDEX(Team!$A$11:$A$60,$AO44),rngAMStart,"&lt;="&amp;Calendar!W$11,rngAMEnd,"&gt;="&amp;Calendar!W$11))</ns0:f>
        <ns0:v>0</ns0:v>
      </ns0:c>
      <ns0:c r="CP44" s="0">
        <ns0:f>IF(OR($AO44=0,$B$5&lt;&gt;"OK",$B$6&gt;0,Calendar!W$11=""),0,SUMIFS(rngEngine_V,rngEngine_B,INDEX(Team!$A$11:$A$60,$AO44),rngPMStart,"&lt;="&amp;Calendar!W$11,rngPMEnd,"&gt;="&amp;Calendar!W$11))</ns0:f>
        <ns0:v>0</ns0:v>
      </ns0:c>
      <ns0:c r="CQ44" s="0">
        <ns0:f>IF(OR($AO44=0,$B$5&lt;&gt;"OK",$B$6&gt;0,Calendar!X$11=""),0,SUMIFS(rngEngine_U,rngEngine_B,INDEX(Team!$A$11:$A$60,$AO44),rngAMStart,"&lt;="&amp;Calendar!X$11,rngAMEnd,"&gt;="&amp;Calendar!X$11))</ns0:f>
        <ns0:v>0</ns0:v>
      </ns0:c>
      <ns0:c r="CR44" s="0">
        <ns0:f>IF(OR($AO44=0,$B$5&lt;&gt;"OK",$B$6&gt;0,Calendar!X$11=""),0,SUMIFS(rngEngine_V,rngEngine_B,INDEX(Team!$A$11:$A$60,$AO44),rngPMStart,"&lt;="&amp;Calendar!X$11,rngPMEnd,"&gt;="&amp;Calendar!X$11))</ns0:f>
        <ns0:v>0</ns0:v>
      </ns0:c>
      <ns0:c r="CS44" s="0">
        <ns0:f>IF(OR($AO44=0,$B$5&lt;&gt;"OK",$B$6&gt;0,Calendar!Y$11=""),0,SUMIFS(rngEngine_U,rngEngine_B,INDEX(Team!$A$11:$A$60,$AO44),rngAMStart,"&lt;="&amp;Calendar!Y$11,rngAMEnd,"&gt;="&amp;Calendar!Y$11))</ns0:f>
        <ns0:v>0</ns0:v>
      </ns0:c>
      <ns0:c r="CT44" s="0">
        <ns0:f>IF(OR($AO44=0,$B$5&lt;&gt;"OK",$B$6&gt;0,Calendar!Y$11=""),0,SUMIFS(rngEngine_V,rngEngine_B,INDEX(Team!$A$11:$A$60,$AO44),rngPMStart,"&lt;="&amp;Calendar!Y$11,rngPMEnd,"&gt;="&amp;Calendar!Y$11))</ns0:f>
        <ns0:v>0</ns0:v>
      </ns0:c>
      <ns0:c r="CU44" s="0">
        <ns0:f>IF(OR($AO44=0,$B$5&lt;&gt;"OK",$B$6&gt;0,Calendar!Z$11=""),0,SUMIFS(rngEngine_U,rngEngine_B,INDEX(Team!$A$11:$A$60,$AO44),rngAMStart,"&lt;="&amp;Calendar!Z$11,rngAMEnd,"&gt;="&amp;Calendar!Z$11))</ns0:f>
        <ns0:v>0</ns0:v>
      </ns0:c>
      <ns0:c r="CV44" s="0">
        <ns0:f>IF(OR($AO44=0,$B$5&lt;&gt;"OK",$B$6&gt;0,Calendar!Z$11=""),0,SUMIFS(rngEngine_V,rngEngine_B,INDEX(Team!$A$11:$A$60,$AO44),rngPMStart,"&lt;="&amp;Calendar!Z$11,rngPMEnd,"&gt;="&amp;Calendar!Z$11))</ns0:f>
        <ns0:v>0</ns0:v>
      </ns0:c>
      <ns0:c r="CW44" s="0">
        <ns0:f>IF(OR($AO44=0,$B$5&lt;&gt;"OK",$B$6&gt;0,Calendar!AA$11=""),0,SUMIFS(rngEngine_U,rngEngine_B,INDEX(Team!$A$11:$A$60,$AO44),rngAMStart,"&lt;="&amp;Calendar!AA$11,rngAMEnd,"&gt;="&amp;Calendar!AA$11))</ns0:f>
        <ns0:v>0</ns0:v>
      </ns0:c>
      <ns0:c r="CX44" s="0">
        <ns0:f>IF(OR($AO44=0,$B$5&lt;&gt;"OK",$B$6&gt;0,Calendar!AA$11=""),0,SUMIFS(rngEngine_V,rngEngine_B,INDEX(Team!$A$11:$A$60,$AO44),rngPMStart,"&lt;="&amp;Calendar!AA$11,rngPMEnd,"&gt;="&amp;Calendar!AA$11))</ns0:f>
        <ns0:v>0</ns0:v>
      </ns0:c>
      <ns0:c r="CY44" s="0">
        <ns0:f>IF(OR($AO44=0,$B$5&lt;&gt;"OK",$B$6&gt;0,Calendar!AB$11=""),0,SUMIFS(rngEngine_U,rngEngine_B,INDEX(Team!$A$11:$A$60,$AO44),rngAMStart,"&lt;="&amp;Calendar!AB$11,rngAMEnd,"&gt;="&amp;Calendar!AB$11))</ns0:f>
        <ns0:v>0</ns0:v>
      </ns0:c>
      <ns0:c r="CZ44" s="0">
        <ns0:f>IF(OR($AO44=0,$B$5&lt;&gt;"OK",$B$6&gt;0,Calendar!AB$11=""),0,SUMIFS(rngEngine_V,rngEngine_B,INDEX(Team!$A$11:$A$60,$AO44),rngPMStart,"&lt;="&amp;Calendar!AB$11,rngPMEnd,"&gt;="&amp;Calendar!AB$11))</ns0:f>
        <ns0:v>0</ns0:v>
      </ns0:c>
      <ns0:c r="DA44" s="0">
        <ns0:f>IF(OR($AO44=0,$B$5&lt;&gt;"OK",$B$6&gt;0,Calendar!AC$11=""),0,SUMIFS(rngEngine_U,rngEngine_B,INDEX(Team!$A$11:$A$60,$AO44),rngAMStart,"&lt;="&amp;Calendar!AC$11,rngAMEnd,"&gt;="&amp;Calendar!AC$11))</ns0:f>
        <ns0:v>0</ns0:v>
      </ns0:c>
      <ns0:c r="DB44" s="0">
        <ns0:f>IF(OR($AO44=0,$B$5&lt;&gt;"OK",$B$6&gt;0,Calendar!AC$11=""),0,SUMIFS(rngEngine_V,rngEngine_B,INDEX(Team!$A$11:$A$60,$AO44),rngPMStart,"&lt;="&amp;Calendar!AC$11,rngPMEnd,"&gt;="&amp;Calendar!AC$11))</ns0:f>
        <ns0:v>0</ns0:v>
      </ns0:c>
      <ns0:c r="DC44" s="0">
        <ns0:f>IF(OR($AO44=0,$B$5&lt;&gt;"OK",$B$6&gt;0,Calendar!AD$11=""),0,SUMIFS(rngEngine_U,rngEngine_B,INDEX(Team!$A$11:$A$60,$AO44),rngAMStart,"&lt;="&amp;Calendar!AD$11,rngAMEnd,"&gt;="&amp;Calendar!AD$11))</ns0:f>
        <ns0:v>0</ns0:v>
      </ns0:c>
      <ns0:c r="DD44" s="0">
        <ns0:f>IF(OR($AO44=0,$B$5&lt;&gt;"OK",$B$6&gt;0,Calendar!AD$11=""),0,SUMIFS(rngEngine_V,rngEngine_B,INDEX(Team!$A$11:$A$60,$AO44),rngPMStart,"&lt;="&amp;Calendar!AD$11,rngPMEnd,"&gt;="&amp;Calendar!AD$11))</ns0:f>
        <ns0:v>0</ns0:v>
      </ns0:c>
      <ns0:c r="DE44" s="0">
        <ns0:f>IF(OR($AO44=0,$B$5&lt;&gt;"OK",$B$6&gt;0,Calendar!AE$11=""),0,SUMIFS(rngEngine_U,rngEngine_B,INDEX(Team!$A$11:$A$60,$AO44),rngAMStart,"&lt;="&amp;Calendar!AE$11,rngAMEnd,"&gt;="&amp;Calendar!AE$11))</ns0:f>
        <ns0:v>0</ns0:v>
      </ns0:c>
      <ns0:c r="DF44" s="0">
        <ns0:f>IF(OR($AO44=0,$B$5&lt;&gt;"OK",$B$6&gt;0,Calendar!AE$11=""),0,SUMIFS(rngEngine_V,rngEngine_B,INDEX(Team!$A$11:$A$60,$AO44),rngPMStart,"&lt;="&amp;Calendar!AE$11,rngPMEnd,"&gt;="&amp;Calendar!AE$11))</ns0:f>
        <ns0:v>0</ns0:v>
      </ns0:c>
      <ns0:c r="DG44" s="0">
        <ns0:f>IF(OR($AO44=0,$B$5&lt;&gt;"OK",$B$6&gt;0,Calendar!AF$11=""),0,SUMIFS(rngEngine_U,rngEngine_B,INDEX(Team!$A$11:$A$60,$AO44),rngAMStart,"&lt;="&amp;Calendar!AF$11,rngAMEnd,"&gt;="&amp;Calendar!AF$11))</ns0:f>
        <ns0:v>0</ns0:v>
      </ns0:c>
      <ns0:c r="DH44" s="0">
        <ns0:f>IF(OR($AO44=0,$B$5&lt;&gt;"OK",$B$6&gt;0,Calendar!AF$11=""),0,SUMIFS(rngEngine_V,rngEngine_B,INDEX(Team!$A$11:$A$60,$AO44),rngPMStart,"&lt;="&amp;Calendar!AF$11,rngPMEnd,"&gt;="&amp;Calendar!AF$11))</ns0:f>
        <ns0:v>0</ns0:v>
      </ns0:c>
      <ns0:c r="DI44" s="0">
        <ns0:f>IF(OR($AO44=0,$B$5&lt;&gt;"OK",$B$6&gt;0,Calendar!AG$11=""),0,SUMIFS(rngEngine_U,rngEngine_B,INDEX(Team!$A$11:$A$60,$AO44),rngAMStart,"&lt;="&amp;Calendar!AG$11,rngAMEnd,"&gt;="&amp;Calendar!AG$11))</ns0:f>
        <ns0:v>0</ns0:v>
      </ns0:c>
      <ns0:c r="DJ44" s="0">
        <ns0:f>IF(OR($AO44=0,$B$5&lt;&gt;"OK",$B$6&gt;0,Calendar!AG$11=""),0,SUMIFS(rngEngine_V,rngEngine_B,INDEX(Team!$A$11:$A$60,$AO44),rngPMStart,"&lt;="&amp;Calendar!AG$11,rngPMEnd,"&gt;="&amp;Calendar!AG$11))</ns0:f>
        <ns0:v>0</ns0:v>
      </ns0:c>
      <ns0:c r="DK44" s="0">
        <ns0:f>IF(OR($AO44=0,$B$5&lt;&gt;"OK",$B$6&gt;0,Calendar!AH$11=""),0,SUMIFS(rngEngine_U,rngEngine_B,INDEX(Team!$A$11:$A$60,$AO44),rngAMStart,"&lt;="&amp;Calendar!AH$11,rngAMEnd,"&gt;="&amp;Calendar!AH$11))</ns0:f>
        <ns0:v>0</ns0:v>
      </ns0:c>
      <ns0:c r="DL44" s="0">
        <ns0:f>IF(OR($AO44=0,$B$5&lt;&gt;"OK",$B$6&gt;0,Calendar!AH$11=""),0,SUMIFS(rngEngine_V,rngEngine_B,INDEX(Team!$A$11:$A$60,$AO44),rngPMStart,"&lt;="&amp;Calendar!AH$11,rngPMEnd,"&gt;="&amp;Calendar!AH$11))</ns0:f>
        <ns0:v>0</ns0:v>
      </ns0:c>
    </ns0:row>
    <ns0:row r="45" ht="22" customHeight="1">
      <ns0:c r="A45" s="4">
        <ns0:f>IF(COUNTA(Bookings!A45:G45,Bookings!I45)=0,0,1)</ns0:f>
        <ns0:v>0</ns0:v>
      </ns0:c>
      <ns0:c r="B45" s="4" t="str">
        <ns0:f>IFERROR(TRIM(MID(Bookings!A45,FIND(" · ",Bookings!A45)+3,99)),"")</ns0:f>
        <ns0:v/>
      </ns0:c>
      <ns0:c r="C45" s="4">
        <ns0:f>IF(OR(B45="",LEN(B45)&gt;24,ISNUMBER(FIND(" ",B45)),ISNUMBER(FIND("*",B45)),ISNUMBER(FIND("?",B45)),ISNUMBER(FIND("~",B45))),0,IFERROR(MATCH(B45,Team!$A$11:$A$60,0),0))</ns0:f>
        <ns0:v>0</ns0:v>
      </ns0:c>
      <ns0:c r="D45" s="4" t="str">
        <ns0:f>IFERROR(IF(MID(Bookings!F45,LEN(Bookings!F45)-3,3)=" · ",RIGHT(Bookings!F45,1),""),"")</ns0:f>
        <ns0:v/>
      </ns0:c>
      <ns0:c r="E45" s="4" t="str">
        <ns0:f>IFERROR(INDEX(Settings!$H$7:$H$11,MATCH(D45,Settings!$G$7:$G$11,0)),"")</ns0:f>
        <ns0:v/>
      </ns0:c>
      <ns0:c r="F45" s="4" t="str">
        <ns0:f>IF(A45=0,"",IFERROR(IF(OR(B45="",C45=0),"CHECK employee selection",IF(INDEX(Team!$O$11:$O$60,C45)&lt;&gt;"OK","CHECK employee setup",IF(OR('_Dates'!J45=0,'_Dates'!T45=0),"CHECK date: use DD.MM.YYYY",IF('_Dates'!T45&lt;'_Dates'!J45,"CHECK end before start",IF(AND($B$6=0,OR('_Dates'!J45&lt;Settings!$B$7,'_Dates'!T45&gt;Settings!$B$8)),"CHECK split across leave years",IF(OR(NOT(OR('_Dates'!U45="Full day",'_Dates'!U45="AM",'_Dates'!U45="PM")),NOT(OR('_Dates'!V45="Full day",'_Dates'!V45="AM",'_Dates'!V45="PM"))),"CHECK Full day / AM / PM",IF(AND('_Dates'!J45='_Dates'!T45,'_Dates'!U45&lt;&gt;"Full day",'_Dates'!V45&lt;&gt;"Full day",'_Dates'!U45&lt;&gt;'_Dates'!V45),"CHECK same-day portions disagree",IF(AND($B$6=0,OR(AND('_Dates'!U45&lt;&gt;"Full day",'_Dates'!AA45=0),AND('_Dates'!V45&lt;&gt;"Full day",'_Dates'!AB45=0))),"CHECK half-day on non-working date",IF(COUNTIF(Settings!$G$7:$G$11,D45)&lt;&gt;1,"CHECK leave type",IF(AND(Bookings!G45&lt;&gt;"Approved",Bookings!G45&lt;&gt;"Pending",Bookings!G45&lt;&gt;"Cancelled"),"CHECK status","OK")))))))))),"CHECK input"))</ns0:f>
        <ns0:v/>
      </ns0:c>
      <ns0:c r="G45" s="4">
        <ns0:f>IF(OR(F45&lt;&gt;"OK",$B$6&gt;0),0,0.5*(IF(('_Dates'!X45)&lt;('_Dates'!W45),0,INT((('_Dates'!X45)-('_Dates'!W45)+1)/7)*LEN(SUBSTITUTE(W45,"O",""))+LEN(SUBSTITUTE(MID(W45&amp;W45,WEEKDAY(('_Dates'!W45),2),MOD((('_Dates'!X45)-('_Dates'!W45)+1),7)),"O",""))-COUNTIFS(INDEX(AllClosureRows,C45,0),"&gt;="&amp;('_Dates'!W45),INDEX(AllClosureRows,C45,0),"&lt;="&amp;('_Dates'!X45)))+IF(('_Dates'!Z45)&lt;('_Dates'!Y45),0,INT((('_Dates'!Z45)-('_Dates'!Y45)+1)/7)*LEN(SUBSTITUTE(W45,"O",""))+LEN(SUBSTITUTE(MID(W45&amp;W45,WEEKDAY(('_Dates'!Y45),2),MOD((('_Dates'!Z45)-('_Dates'!Y45)+1),7)),"O",""))-COUNTIFS(INDEX(AllClosureRows,C45,0),"&gt;="&amp;('_Dates'!Y45),INDEX(AllClosureRows,C45,0),"&lt;="&amp;('_Dates'!Z45)))))</ns0:f>
        <ns0:v>0</ns0:v>
      </ns0:c>
      <ns0:c r="H45" s="4">
        <ns0:f>IF(OR(F45&lt;&gt;"OK",$B$6&gt;0),0,0.5*(IF((MIN('_Dates'!X45,Settings!$B$9))&lt;('_Dates'!W45),0,INT(((MIN('_Dates'!X45,Settings!$B$9))-('_Dates'!W45)+1)/7)*LEN(SUBSTITUTE(W45,"O",""))+LEN(SUBSTITUTE(MID(W45&amp;W45,WEEKDAY(('_Dates'!W45),2),MOD(((MIN('_Dates'!X45,Settings!$B$9))-('_Dates'!W45)+1),7)),"O",""))-COUNTIFS(INDEX(AllClosureRows,C45,0),"&gt;="&amp;('_Dates'!W45),INDEX(AllClosureRows,C45,0),"&lt;="&amp;(MIN('_Dates'!X45,Settings!$B$9))))+IF((MIN('_Dates'!Z45,Settings!$B$9))&lt;('_Dates'!Y45),0,INT(((MIN('_Dates'!Z45,Settings!$B$9))-('_Dates'!Y45)+1)/7)*LEN(SUBSTITUTE(W45,"O",""))+LEN(SUBSTITUTE(MID(W45&amp;W45,WEEKDAY(('_Dates'!Y45),2),MOD(((MIN('_Dates'!Z45,Settings!$B$9))-('_Dates'!Y45)+1),7)),"O",""))-COUNTIFS(INDEX(AllClosureRows,C45,0),"&gt;="&amp;('_Dates'!Y45),INDEX(AllClosureRows,C45,0),"&lt;="&amp;(MIN('_Dates'!Z45,Settings!$B$9))))))</ns0:f>
        <ns0:v>0</ns0:v>
      </ns0:c>
      <ns0:c r="I45" s="4">
        <ns0:f>MAX(0,G45-H45)</ns0:f>
        <ns0:v>0</ns0:v>
      </ns0:c>
      <ns0:c r="J45" s="4">
        <ns0:f>IF(OR(A45=0,F45&lt;&gt;"OK",Bookings!G45="Cancelled",$B$6&gt;0),0,IF('_Dates'!AC45=1,MAX(0,COUNTIFS(rngEngine_B,B45,rngAMStart,"&lt;="&amp;'_Dates'!X45,rngAMEnd,"&gt;="&amp;'_Dates'!W45,rngAMActive,1,rngEngine_F,"OK",rngBookings_F,"&lt;&gt;Cancelled")-1),0)+IF('_Dates'!AD45=1,MAX(0,COUNTIFS(rngEngine_B,B45,rngPMStart,"&lt;="&amp;'_Dates'!Z45,rngPMEnd,"&gt;="&amp;'_Dates'!Y45,rngPMActive,1,rngEngine_F,"OK",rngBookings_F,"&lt;&gt;Cancelled")-1),0))</ns0:f>
        <ns0:v>0</ns0:v>
      </ns0:c>
      <ns0:c r="K45" s="0" t="str">
        <ns0:f>IF(A45=0,"",IF(F45&lt;&gt;"OK",F45,IF(J45&gt;0,"CHECK overlapping entry",IF(AND($B$6=0,G45&lt;=0,Bookings!G45&lt;&gt;"Cancelled"),"CHECK no working days",IF(Bookings!G45="Cancelled","Cancelled","OK")))))</ns0:f>
        <ns0:v/>
      </ns0:c>
      <ns0:c r="L45" s="0">
        <ns0:f>IF(LEFT(K45,5)="CHECK",1,0)</ns0:f>
        <ns0:v>0</ns0:v>
      </ns0:c>
      <ns0:c r="M45" s="0">
        <ns0:f>IF(AND(L45=1,OR(C45=0,IFERROR(INDEX($X$11:$X$60,C45),0)=0)),1,0)</ns0:f>
        <ns0:v>0</ns0:v>
      </ns0:c>
      <ns0:c r="N45" s="0">
        <ns0:f>IF(OR(A45=0,L45&gt;0,$B$6&gt;0,Bookings!G45="Cancelled"),0,G45)</ns0:f>
        <ns0:v>0</ns0:v>
      </ns0:c>
      <ns0:c r="O45" s="0">
        <ns0:f>IF(AND(Bookings!G45="Approved",E45="Yes"),N45,0)</ns0:f>
        <ns0:v>0</ns0:v>
      </ns0:c>
      <ns0:c r="P45" s="0">
        <ns0:f>IF(AND(Bookings!G45="Approved",E45="Yes",L45=0,$B$6=0),H45,0)</ns0:f>
        <ns0:v>0</ns0:v>
      </ns0:c>
      <ns0:c r="Q45" s="0">
        <ns0:f>IF(AND(Bookings!G45="Approved",E45="Yes",L45=0,$B$6=0),I45,0)</ns0:f>
        <ns0:v>0</ns0:v>
      </ns0:c>
      <ns0:c r="R45" s="0">
        <ns0:f>IF(AND(Bookings!G45="Pending",E45="Yes"),N45,0)</ns0:f>
        <ns0:v>0</ns0:v>
      </ns0:c>
      <ns0:c r="S45" s="0">
        <ns0:f>IF(AND(Bookings!G45="Approved",E45="No"),N45,0)</ns0:f>
        <ns0:v>0</ns0:v>
      </ns0:c>
      <ns0:c r="T45" s="0">
        <ns0:f>IFERROR(MATCH(D45,Settings!$G$7:$G$11,0),0)</ns0:f>
        <ns0:v>0</ns0:v>
      </ns0:c>
      <ns0:c r="U45" s="0">
        <ns0:f>IF(N45&gt;0,T45+IF(Bookings!G45="Pending",10,0),0)</ns0:f>
        <ns0:v>0</ns0:v>
      </ns0:c>
      <ns0:c r="V45" s="0">
        <ns0:f>U45</ns0:f>
        <ns0:v>0</ns0:v>
      </ns0:c>
      <ns0:c r="W45" s="0" t="str">
        <ns0:f>IF(C45=0,"",INDEX($AP$11:$AP$60,C45))</ns0:f>
        <ns0:v/>
      </ns0:c>
      <ns0:c r="X45" s="0">
        <ns0:f>IF(COUNTA(Team!B45:D45)=0,0,1)</ns0:f>
        <ns0:v>0</ns0:v>
      </ns0:c>
      <ns0:c r="Y45" s="0" t="str">
        <ns0:f>IF(X45=0,"",IF(Team!B45="","[Unnamed]",Team!B45)&amp;" · "&amp;Team!A45)</ns0:f>
        <ns0:v/>
      </ns0:c>
      <ns0:c r="Z45" s="0">
        <ns0:f>IF(X45=0,0,COUNTIF(Team!H45:N45,"Work"))</ns0:f>
        <ns0:v>0</ns0:v>
      </ns0:c>
      <ns0:c r="AA45" s="0">
        <ns0:f>IF(LEFT(Team!O45,5)="CHECK",1,0)</ns0:f>
        <ns0:v>0</ns0:v>
      </ns0:c>
      <ns0:c r="AB45" s="0">
        <ns0:f>IF(X45=0,0,SUMIFS(rngEngine_L,rngEngine_B,Team!A45))</ns0:f>
        <ns0:v>0</ns0:v>
      </ns0:c>
      <ns0:c r="AC45" s="0" t="str">
        <ns0:f>IF(AND(X45=1,OR(Calendar!$C$7="All teams",Team!C45=Calendar!$C$7)),MAX($AC$10:AC44)+1,"")</ns0:f>
        <ns0:v/>
      </ns0:c>
      <ns0:c r="AD45" s="0" t="str">
        <ns0:f>IF(OR(X45=0,Team!C45="",COUNTIF(Team!$C$11:C45,Team!C45)&gt;1),"",MAX($AD$10:AD44)+1)</ns0:f>
        <ns0:v/>
      </ns0:c>
      <ns0:c r="AE45" s="0" t="str">
        <ns0:f>IFERROR(INDEX(Team!$C$11:$C$60,MATCH(ROW()-10,$AD$11:$AD$60,0)),"")</ns0:f>
        <ns0:v/>
      </ns0:c>
      <ns0:c r="AF45" s="0" t="str">
        <ns0:f>AE45</ns0:f>
        <ns0:v/>
      </ns0:c>
      <ns0:c r="AG45" s="0">
        <ns0:f>IF(X45=0,0,IFERROR(Team!F45+Team!G45,0))</ns0:f>
        <ns0:v>0</ns0:v>
      </ns0:c>
      <ns0:c r="AH45" s="0">
        <ns0:f>IF(X45=0,0,SUMIFS(rngEngine_P,rngEngine_B,Team!A45))</ns0:f>
        <ns0:v>0</ns0:v>
      </ns0:c>
      <ns0:c r="AI45" s="0">
        <ns0:f>IF(X45=0,0,SUMIFS(rngEngine_Q,rngEngine_B,Team!A45))</ns0:f>
        <ns0:v>0</ns0:v>
      </ns0:c>
      <ns0:c r="AJ45" s="0">
        <ns0:f>IF(X45=0,0,SUMIFS(rngEngine_R,rngEngine_B,Team!A45))</ns0:f>
        <ns0:v>0</ns0:v>
      </ns0:c>
      <ns0:c r="AK45" s="0">
        <ns0:f>IF(X45=0,0,SUMIFS(rngEngine_S,rngEngine_B,Team!A45))</ns0:f>
        <ns0:v>0</ns0:v>
      </ns0:c>
      <ns0:c r="AL45" s="0">
        <ns0:f>AH45+AI45</ns0:f>
        <ns0:v>0</ns0:v>
      </ns0:c>
      <ns0:c r="AM45" s="0" t="str">
        <ns0:f>IF(X45=0,"",IF(AA45&gt;0,"CHECK team setup",IF(AB45&gt;0,"CHECK "&amp;AB45&amp;" booking(s)","OK")))</ns0:f>
        <ns0:v/>
      </ns0:c>
      <ns0:c r="AN45" s="0" t="str">
        <ns0:f>IF(X45=0,"",IF(OR($B$6&gt;0,AM45&lt;&gt;"OK"),"REVIEW",AG45-AL45))</ns0:f>
        <ns0:v/>
      </ns0:c>
      <ns0:c r="AO45" s="0">
        <ns0:f>IFERROR(MATCH(ROW()-11,$AC$11:$AC$60,0),0)</ns0:f>
        <ns0:v>0</ns0:v>
      </ns0:c>
      <ns0:c r="AP45" s="0" t="str">
        <ns0:f>IF(Team!H45="Work","W","O")&amp;IF(Team!I45="Work","W","O")&amp;IF(Team!J45="Work","W","O")&amp;IF(Team!K45="Work","W","O")&amp;IF(Team!L45="Work","W","O")&amp;IF(Team!M45="Work","W","O")&amp;IF(Team!N45="Work","W","O")</ns0:f>
        <ns0:v>WWWWWOO</ns0:v>
      </ns0:c>
      <ns0:c r="AR45" s="0">
        <ns0:f>IFERROR(IF(ISNUMBER(Settings!F45),WEEKDAY(Settings!F45,2),0),0)</ns0:f>
        <ns0:v>0</ns0:v>
      </ns0:c>
      <ns0:c r="BC45" s="0">
        <ns0:f>IF(OR($AO45=0,$B$5&lt;&gt;"OK",$B$6&gt;0,Calendar!D$11=""),0,SUMIFS(rngEngine_U,rngEngine_B,INDEX(Team!$A$11:$A$60,$AO45),rngAMStart,"&lt;="&amp;Calendar!D$11,rngAMEnd,"&gt;="&amp;Calendar!D$11))</ns0:f>
        <ns0:v>0</ns0:v>
      </ns0:c>
      <ns0:c r="BD45" s="0">
        <ns0:f>IF(OR($AO45=0,$B$5&lt;&gt;"OK",$B$6&gt;0,Calendar!D$11=""),0,SUMIFS(rngEngine_V,rngEngine_B,INDEX(Team!$A$11:$A$60,$AO45),rngPMStart,"&lt;="&amp;Calendar!D$11,rngPMEnd,"&gt;="&amp;Calendar!D$11))</ns0:f>
        <ns0:v>0</ns0:v>
      </ns0:c>
      <ns0:c r="BE45" s="0">
        <ns0:f>IF(OR($AO45=0,$B$5&lt;&gt;"OK",$B$6&gt;0,Calendar!E$11=""),0,SUMIFS(rngEngine_U,rngEngine_B,INDEX(Team!$A$11:$A$60,$AO45),rngAMStart,"&lt;="&amp;Calendar!E$11,rngAMEnd,"&gt;="&amp;Calendar!E$11))</ns0:f>
        <ns0:v>0</ns0:v>
      </ns0:c>
      <ns0:c r="BF45" s="0">
        <ns0:f>IF(OR($AO45=0,$B$5&lt;&gt;"OK",$B$6&gt;0,Calendar!E$11=""),0,SUMIFS(rngEngine_V,rngEngine_B,INDEX(Team!$A$11:$A$60,$AO45),rngPMStart,"&lt;="&amp;Calendar!E$11,rngPMEnd,"&gt;="&amp;Calendar!E$11))</ns0:f>
        <ns0:v>0</ns0:v>
      </ns0:c>
      <ns0:c r="BG45" s="0">
        <ns0:f>IF(OR($AO45=0,$B$5&lt;&gt;"OK",$B$6&gt;0,Calendar!F$11=""),0,SUMIFS(rngEngine_U,rngEngine_B,INDEX(Team!$A$11:$A$60,$AO45),rngAMStart,"&lt;="&amp;Calendar!F$11,rngAMEnd,"&gt;="&amp;Calendar!F$11))</ns0:f>
        <ns0:v>0</ns0:v>
      </ns0:c>
      <ns0:c r="BH45" s="0">
        <ns0:f>IF(OR($AO45=0,$B$5&lt;&gt;"OK",$B$6&gt;0,Calendar!F$11=""),0,SUMIFS(rngEngine_V,rngEngine_B,INDEX(Team!$A$11:$A$60,$AO45),rngPMStart,"&lt;="&amp;Calendar!F$11,rngPMEnd,"&gt;="&amp;Calendar!F$11))</ns0:f>
        <ns0:v>0</ns0:v>
      </ns0:c>
      <ns0:c r="BI45" s="0">
        <ns0:f>IF(OR($AO45=0,$B$5&lt;&gt;"OK",$B$6&gt;0,Calendar!G$11=""),0,SUMIFS(rngEngine_U,rngEngine_B,INDEX(Team!$A$11:$A$60,$AO45),rngAMStart,"&lt;="&amp;Calendar!G$11,rngAMEnd,"&gt;="&amp;Calendar!G$11))</ns0:f>
        <ns0:v>0</ns0:v>
      </ns0:c>
      <ns0:c r="BJ45" s="0">
        <ns0:f>IF(OR($AO45=0,$B$5&lt;&gt;"OK",$B$6&gt;0,Calendar!G$11=""),0,SUMIFS(rngEngine_V,rngEngine_B,INDEX(Team!$A$11:$A$60,$AO45),rngPMStart,"&lt;="&amp;Calendar!G$11,rngPMEnd,"&gt;="&amp;Calendar!G$11))</ns0:f>
        <ns0:v>0</ns0:v>
      </ns0:c>
      <ns0:c r="BK45" s="0">
        <ns0:f>IF(OR($AO45=0,$B$5&lt;&gt;"OK",$B$6&gt;0,Calendar!H$11=""),0,SUMIFS(rngEngine_U,rngEngine_B,INDEX(Team!$A$11:$A$60,$AO45),rngAMStart,"&lt;="&amp;Calendar!H$11,rngAMEnd,"&gt;="&amp;Calendar!H$11))</ns0:f>
        <ns0:v>0</ns0:v>
      </ns0:c>
      <ns0:c r="BL45" s="0">
        <ns0:f>IF(OR($AO45=0,$B$5&lt;&gt;"OK",$B$6&gt;0,Calendar!H$11=""),0,SUMIFS(rngEngine_V,rngEngine_B,INDEX(Team!$A$11:$A$60,$AO45),rngPMStart,"&lt;="&amp;Calendar!H$11,rngPMEnd,"&gt;="&amp;Calendar!H$11))</ns0:f>
        <ns0:v>0</ns0:v>
      </ns0:c>
      <ns0:c r="BM45" s="0">
        <ns0:f>IF(OR($AO45=0,$B$5&lt;&gt;"OK",$B$6&gt;0,Calendar!I$11=""),0,SUMIFS(rngEngine_U,rngEngine_B,INDEX(Team!$A$11:$A$60,$AO45),rngAMStart,"&lt;="&amp;Calendar!I$11,rngAMEnd,"&gt;="&amp;Calendar!I$11))</ns0:f>
        <ns0:v>0</ns0:v>
      </ns0:c>
      <ns0:c r="BN45" s="0">
        <ns0:f>IF(OR($AO45=0,$B$5&lt;&gt;"OK",$B$6&gt;0,Calendar!I$11=""),0,SUMIFS(rngEngine_V,rngEngine_B,INDEX(Team!$A$11:$A$60,$AO45),rngPMStart,"&lt;="&amp;Calendar!I$11,rngPMEnd,"&gt;="&amp;Calendar!I$11))</ns0:f>
        <ns0:v>0</ns0:v>
      </ns0:c>
      <ns0:c r="BO45" s="0">
        <ns0:f>IF(OR($AO45=0,$B$5&lt;&gt;"OK",$B$6&gt;0,Calendar!J$11=""),0,SUMIFS(rngEngine_U,rngEngine_B,INDEX(Team!$A$11:$A$60,$AO45),rngAMStart,"&lt;="&amp;Calendar!J$11,rngAMEnd,"&gt;="&amp;Calendar!J$11))</ns0:f>
        <ns0:v>0</ns0:v>
      </ns0:c>
      <ns0:c r="BP45" s="0">
        <ns0:f>IF(OR($AO45=0,$B$5&lt;&gt;"OK",$B$6&gt;0,Calendar!J$11=""),0,SUMIFS(rngEngine_V,rngEngine_B,INDEX(Team!$A$11:$A$60,$AO45),rngPMStart,"&lt;="&amp;Calendar!J$11,rngPMEnd,"&gt;="&amp;Calendar!J$11))</ns0:f>
        <ns0:v>0</ns0:v>
      </ns0:c>
      <ns0:c r="BQ45" s="0">
        <ns0:f>IF(OR($AO45=0,$B$5&lt;&gt;"OK",$B$6&gt;0,Calendar!K$11=""),0,SUMIFS(rngEngine_U,rngEngine_B,INDEX(Team!$A$11:$A$60,$AO45),rngAMStart,"&lt;="&amp;Calendar!K$11,rngAMEnd,"&gt;="&amp;Calendar!K$11))</ns0:f>
        <ns0:v>0</ns0:v>
      </ns0:c>
      <ns0:c r="BR45" s="0">
        <ns0:f>IF(OR($AO45=0,$B$5&lt;&gt;"OK",$B$6&gt;0,Calendar!K$11=""),0,SUMIFS(rngEngine_V,rngEngine_B,INDEX(Team!$A$11:$A$60,$AO45),rngPMStart,"&lt;="&amp;Calendar!K$11,rngPMEnd,"&gt;="&amp;Calendar!K$11))</ns0:f>
        <ns0:v>0</ns0:v>
      </ns0:c>
      <ns0:c r="BS45" s="0">
        <ns0:f>IF(OR($AO45=0,$B$5&lt;&gt;"OK",$B$6&gt;0,Calendar!L$11=""),0,SUMIFS(rngEngine_U,rngEngine_B,INDEX(Team!$A$11:$A$60,$AO45),rngAMStart,"&lt;="&amp;Calendar!L$11,rngAMEnd,"&gt;="&amp;Calendar!L$11))</ns0:f>
        <ns0:v>0</ns0:v>
      </ns0:c>
      <ns0:c r="BT45" s="0">
        <ns0:f>IF(OR($AO45=0,$B$5&lt;&gt;"OK",$B$6&gt;0,Calendar!L$11=""),0,SUMIFS(rngEngine_V,rngEngine_B,INDEX(Team!$A$11:$A$60,$AO45),rngPMStart,"&lt;="&amp;Calendar!L$11,rngPMEnd,"&gt;="&amp;Calendar!L$11))</ns0:f>
        <ns0:v>0</ns0:v>
      </ns0:c>
      <ns0:c r="BU45" s="0">
        <ns0:f>IF(OR($AO45=0,$B$5&lt;&gt;"OK",$B$6&gt;0,Calendar!M$11=""),0,SUMIFS(rngEngine_U,rngEngine_B,INDEX(Team!$A$11:$A$60,$AO45),rngAMStart,"&lt;="&amp;Calendar!M$11,rngAMEnd,"&gt;="&amp;Calendar!M$11))</ns0:f>
        <ns0:v>0</ns0:v>
      </ns0:c>
      <ns0:c r="BV45" s="0">
        <ns0:f>IF(OR($AO45=0,$B$5&lt;&gt;"OK",$B$6&gt;0,Calendar!M$11=""),0,SUMIFS(rngEngine_V,rngEngine_B,INDEX(Team!$A$11:$A$60,$AO45),rngPMStart,"&lt;="&amp;Calendar!M$11,rngPMEnd,"&gt;="&amp;Calendar!M$11))</ns0:f>
        <ns0:v>0</ns0:v>
      </ns0:c>
      <ns0:c r="BW45" s="0">
        <ns0:f>IF(OR($AO45=0,$B$5&lt;&gt;"OK",$B$6&gt;0,Calendar!N$11=""),0,SUMIFS(rngEngine_U,rngEngine_B,INDEX(Team!$A$11:$A$60,$AO45),rngAMStart,"&lt;="&amp;Calendar!N$11,rngAMEnd,"&gt;="&amp;Calendar!N$11))</ns0:f>
        <ns0:v>0</ns0:v>
      </ns0:c>
      <ns0:c r="BX45" s="0">
        <ns0:f>IF(OR($AO45=0,$B$5&lt;&gt;"OK",$B$6&gt;0,Calendar!N$11=""),0,SUMIFS(rngEngine_V,rngEngine_B,INDEX(Team!$A$11:$A$60,$AO45),rngPMStart,"&lt;="&amp;Calendar!N$11,rngPMEnd,"&gt;="&amp;Calendar!N$11))</ns0:f>
        <ns0:v>0</ns0:v>
      </ns0:c>
      <ns0:c r="BY45" s="0">
        <ns0:f>IF(OR($AO45=0,$B$5&lt;&gt;"OK",$B$6&gt;0,Calendar!O$11=""),0,SUMIFS(rngEngine_U,rngEngine_B,INDEX(Team!$A$11:$A$60,$AO45),rngAMStart,"&lt;="&amp;Calendar!O$11,rngAMEnd,"&gt;="&amp;Calendar!O$11))</ns0:f>
        <ns0:v>0</ns0:v>
      </ns0:c>
      <ns0:c r="BZ45" s="0">
        <ns0:f>IF(OR($AO45=0,$B$5&lt;&gt;"OK",$B$6&gt;0,Calendar!O$11=""),0,SUMIFS(rngEngine_V,rngEngine_B,INDEX(Team!$A$11:$A$60,$AO45),rngPMStart,"&lt;="&amp;Calendar!O$11,rngPMEnd,"&gt;="&amp;Calendar!O$11))</ns0:f>
        <ns0:v>0</ns0:v>
      </ns0:c>
      <ns0:c r="CA45" s="0">
        <ns0:f>IF(OR($AO45=0,$B$5&lt;&gt;"OK",$B$6&gt;0,Calendar!P$11=""),0,SUMIFS(rngEngine_U,rngEngine_B,INDEX(Team!$A$11:$A$60,$AO45),rngAMStart,"&lt;="&amp;Calendar!P$11,rngAMEnd,"&gt;="&amp;Calendar!P$11))</ns0:f>
        <ns0:v>0</ns0:v>
      </ns0:c>
      <ns0:c r="CB45" s="0">
        <ns0:f>IF(OR($AO45=0,$B$5&lt;&gt;"OK",$B$6&gt;0,Calendar!P$11=""),0,SUMIFS(rngEngine_V,rngEngine_B,INDEX(Team!$A$11:$A$60,$AO45),rngPMStart,"&lt;="&amp;Calendar!P$11,rngPMEnd,"&gt;="&amp;Calendar!P$11))</ns0:f>
        <ns0:v>0</ns0:v>
      </ns0:c>
      <ns0:c r="CC45" s="0">
        <ns0:f>IF(OR($AO45=0,$B$5&lt;&gt;"OK",$B$6&gt;0,Calendar!Q$11=""),0,SUMIFS(rngEngine_U,rngEngine_B,INDEX(Team!$A$11:$A$60,$AO45),rngAMStart,"&lt;="&amp;Calendar!Q$11,rngAMEnd,"&gt;="&amp;Calendar!Q$11))</ns0:f>
        <ns0:v>0</ns0:v>
      </ns0:c>
      <ns0:c r="CD45" s="0">
        <ns0:f>IF(OR($AO45=0,$B$5&lt;&gt;"OK",$B$6&gt;0,Calendar!Q$11=""),0,SUMIFS(rngEngine_V,rngEngine_B,INDEX(Team!$A$11:$A$60,$AO45),rngPMStart,"&lt;="&amp;Calendar!Q$11,rngPMEnd,"&gt;="&amp;Calendar!Q$11))</ns0:f>
        <ns0:v>0</ns0:v>
      </ns0:c>
      <ns0:c r="CE45" s="0">
        <ns0:f>IF(OR($AO45=0,$B$5&lt;&gt;"OK",$B$6&gt;0,Calendar!R$11=""),0,SUMIFS(rngEngine_U,rngEngine_B,INDEX(Team!$A$11:$A$60,$AO45),rngAMStart,"&lt;="&amp;Calendar!R$11,rngAMEnd,"&gt;="&amp;Calendar!R$11))</ns0:f>
        <ns0:v>0</ns0:v>
      </ns0:c>
      <ns0:c r="CF45" s="0">
        <ns0:f>IF(OR($AO45=0,$B$5&lt;&gt;"OK",$B$6&gt;0,Calendar!R$11=""),0,SUMIFS(rngEngine_V,rngEngine_B,INDEX(Team!$A$11:$A$60,$AO45),rngPMStart,"&lt;="&amp;Calendar!R$11,rngPMEnd,"&gt;="&amp;Calendar!R$11))</ns0:f>
        <ns0:v>0</ns0:v>
      </ns0:c>
      <ns0:c r="CG45" s="0">
        <ns0:f>IF(OR($AO45=0,$B$5&lt;&gt;"OK",$B$6&gt;0,Calendar!S$11=""),0,SUMIFS(rngEngine_U,rngEngine_B,INDEX(Team!$A$11:$A$60,$AO45),rngAMStart,"&lt;="&amp;Calendar!S$11,rngAMEnd,"&gt;="&amp;Calendar!S$11))</ns0:f>
        <ns0:v>0</ns0:v>
      </ns0:c>
      <ns0:c r="CH45" s="0">
        <ns0:f>IF(OR($AO45=0,$B$5&lt;&gt;"OK",$B$6&gt;0,Calendar!S$11=""),0,SUMIFS(rngEngine_V,rngEngine_B,INDEX(Team!$A$11:$A$60,$AO45),rngPMStart,"&lt;="&amp;Calendar!S$11,rngPMEnd,"&gt;="&amp;Calendar!S$11))</ns0:f>
        <ns0:v>0</ns0:v>
      </ns0:c>
      <ns0:c r="CI45" s="0">
        <ns0:f>IF(OR($AO45=0,$B$5&lt;&gt;"OK",$B$6&gt;0,Calendar!T$11=""),0,SUMIFS(rngEngine_U,rngEngine_B,INDEX(Team!$A$11:$A$60,$AO45),rngAMStart,"&lt;="&amp;Calendar!T$11,rngAMEnd,"&gt;="&amp;Calendar!T$11))</ns0:f>
        <ns0:v>0</ns0:v>
      </ns0:c>
      <ns0:c r="CJ45" s="0">
        <ns0:f>IF(OR($AO45=0,$B$5&lt;&gt;"OK",$B$6&gt;0,Calendar!T$11=""),0,SUMIFS(rngEngine_V,rngEngine_B,INDEX(Team!$A$11:$A$60,$AO45),rngPMStart,"&lt;="&amp;Calendar!T$11,rngPMEnd,"&gt;="&amp;Calendar!T$11))</ns0:f>
        <ns0:v>0</ns0:v>
      </ns0:c>
      <ns0:c r="CK45" s="0">
        <ns0:f>IF(OR($AO45=0,$B$5&lt;&gt;"OK",$B$6&gt;0,Calendar!U$11=""),0,SUMIFS(rngEngine_U,rngEngine_B,INDEX(Team!$A$11:$A$60,$AO45),rngAMStart,"&lt;="&amp;Calendar!U$11,rngAMEnd,"&gt;="&amp;Calendar!U$11))</ns0:f>
        <ns0:v>0</ns0:v>
      </ns0:c>
      <ns0:c r="CL45" s="0">
        <ns0:f>IF(OR($AO45=0,$B$5&lt;&gt;"OK",$B$6&gt;0,Calendar!U$11=""),0,SUMIFS(rngEngine_V,rngEngine_B,INDEX(Team!$A$11:$A$60,$AO45),rngPMStart,"&lt;="&amp;Calendar!U$11,rngPMEnd,"&gt;="&amp;Calendar!U$11))</ns0:f>
        <ns0:v>0</ns0:v>
      </ns0:c>
      <ns0:c r="CM45" s="0">
        <ns0:f>IF(OR($AO45=0,$B$5&lt;&gt;"OK",$B$6&gt;0,Calendar!V$11=""),0,SUMIFS(rngEngine_U,rngEngine_B,INDEX(Team!$A$11:$A$60,$AO45),rngAMStart,"&lt;="&amp;Calendar!V$11,rngAMEnd,"&gt;="&amp;Calendar!V$11))</ns0:f>
        <ns0:v>0</ns0:v>
      </ns0:c>
      <ns0:c r="CN45" s="0">
        <ns0:f>IF(OR($AO45=0,$B$5&lt;&gt;"OK",$B$6&gt;0,Calendar!V$11=""),0,SUMIFS(rngEngine_V,rngEngine_B,INDEX(Team!$A$11:$A$60,$AO45),rngPMStart,"&lt;="&amp;Calendar!V$11,rngPMEnd,"&gt;="&amp;Calendar!V$11))</ns0:f>
        <ns0:v>0</ns0:v>
      </ns0:c>
      <ns0:c r="CO45" s="0">
        <ns0:f>IF(OR($AO45=0,$B$5&lt;&gt;"OK",$B$6&gt;0,Calendar!W$11=""),0,SUMIFS(rngEngine_U,rngEngine_B,INDEX(Team!$A$11:$A$60,$AO45),rngAMStart,"&lt;="&amp;Calendar!W$11,rngAMEnd,"&gt;="&amp;Calendar!W$11))</ns0:f>
        <ns0:v>0</ns0:v>
      </ns0:c>
      <ns0:c r="CP45" s="0">
        <ns0:f>IF(OR($AO45=0,$B$5&lt;&gt;"OK",$B$6&gt;0,Calendar!W$11=""),0,SUMIFS(rngEngine_V,rngEngine_B,INDEX(Team!$A$11:$A$60,$AO45),rngPMStart,"&lt;="&amp;Calendar!W$11,rngPMEnd,"&gt;="&amp;Calendar!W$11))</ns0:f>
        <ns0:v>0</ns0:v>
      </ns0:c>
      <ns0:c r="CQ45" s="0">
        <ns0:f>IF(OR($AO45=0,$B$5&lt;&gt;"OK",$B$6&gt;0,Calendar!X$11=""),0,SUMIFS(rngEngine_U,rngEngine_B,INDEX(Team!$A$11:$A$60,$AO45),rngAMStart,"&lt;="&amp;Calendar!X$11,rngAMEnd,"&gt;="&amp;Calendar!X$11))</ns0:f>
        <ns0:v>0</ns0:v>
      </ns0:c>
      <ns0:c r="CR45" s="0">
        <ns0:f>IF(OR($AO45=0,$B$5&lt;&gt;"OK",$B$6&gt;0,Calendar!X$11=""),0,SUMIFS(rngEngine_V,rngEngine_B,INDEX(Team!$A$11:$A$60,$AO45),rngPMStart,"&lt;="&amp;Calendar!X$11,rngPMEnd,"&gt;="&amp;Calendar!X$11))</ns0:f>
        <ns0:v>0</ns0:v>
      </ns0:c>
      <ns0:c r="CS45" s="0">
        <ns0:f>IF(OR($AO45=0,$B$5&lt;&gt;"OK",$B$6&gt;0,Calendar!Y$11=""),0,SUMIFS(rngEngine_U,rngEngine_B,INDEX(Team!$A$11:$A$60,$AO45),rngAMStart,"&lt;="&amp;Calendar!Y$11,rngAMEnd,"&gt;="&amp;Calendar!Y$11))</ns0:f>
        <ns0:v>0</ns0:v>
      </ns0:c>
      <ns0:c r="CT45" s="0">
        <ns0:f>IF(OR($AO45=0,$B$5&lt;&gt;"OK",$B$6&gt;0,Calendar!Y$11=""),0,SUMIFS(rngEngine_V,rngEngine_B,INDEX(Team!$A$11:$A$60,$AO45),rngPMStart,"&lt;="&amp;Calendar!Y$11,rngPMEnd,"&gt;="&amp;Calendar!Y$11))</ns0:f>
        <ns0:v>0</ns0:v>
      </ns0:c>
      <ns0:c r="CU45" s="0">
        <ns0:f>IF(OR($AO45=0,$B$5&lt;&gt;"OK",$B$6&gt;0,Calendar!Z$11=""),0,SUMIFS(rngEngine_U,rngEngine_B,INDEX(Team!$A$11:$A$60,$AO45),rngAMStart,"&lt;="&amp;Calendar!Z$11,rngAMEnd,"&gt;="&amp;Calendar!Z$11))</ns0:f>
        <ns0:v>0</ns0:v>
      </ns0:c>
      <ns0:c r="CV45" s="0">
        <ns0:f>IF(OR($AO45=0,$B$5&lt;&gt;"OK",$B$6&gt;0,Calendar!Z$11=""),0,SUMIFS(rngEngine_V,rngEngine_B,INDEX(Team!$A$11:$A$60,$AO45),rngPMStart,"&lt;="&amp;Calendar!Z$11,rngPMEnd,"&gt;="&amp;Calendar!Z$11))</ns0:f>
        <ns0:v>0</ns0:v>
      </ns0:c>
      <ns0:c r="CW45" s="0">
        <ns0:f>IF(OR($AO45=0,$B$5&lt;&gt;"OK",$B$6&gt;0,Calendar!AA$11=""),0,SUMIFS(rngEngine_U,rngEngine_B,INDEX(Team!$A$11:$A$60,$AO45),rngAMStart,"&lt;="&amp;Calendar!AA$11,rngAMEnd,"&gt;="&amp;Calendar!AA$11))</ns0:f>
        <ns0:v>0</ns0:v>
      </ns0:c>
      <ns0:c r="CX45" s="0">
        <ns0:f>IF(OR($AO45=0,$B$5&lt;&gt;"OK",$B$6&gt;0,Calendar!AA$11=""),0,SUMIFS(rngEngine_V,rngEngine_B,INDEX(Team!$A$11:$A$60,$AO45),rngPMStart,"&lt;="&amp;Calendar!AA$11,rngPMEnd,"&gt;="&amp;Calendar!AA$11))</ns0:f>
        <ns0:v>0</ns0:v>
      </ns0:c>
      <ns0:c r="CY45" s="0">
        <ns0:f>IF(OR($AO45=0,$B$5&lt;&gt;"OK",$B$6&gt;0,Calendar!AB$11=""),0,SUMIFS(rngEngine_U,rngEngine_B,INDEX(Team!$A$11:$A$60,$AO45),rngAMStart,"&lt;="&amp;Calendar!AB$11,rngAMEnd,"&gt;="&amp;Calendar!AB$11))</ns0:f>
        <ns0:v>0</ns0:v>
      </ns0:c>
      <ns0:c r="CZ45" s="0">
        <ns0:f>IF(OR($AO45=0,$B$5&lt;&gt;"OK",$B$6&gt;0,Calendar!AB$11=""),0,SUMIFS(rngEngine_V,rngEngine_B,INDEX(Team!$A$11:$A$60,$AO45),rngPMStart,"&lt;="&amp;Calendar!AB$11,rngPMEnd,"&gt;="&amp;Calendar!AB$11))</ns0:f>
        <ns0:v>0</ns0:v>
      </ns0:c>
      <ns0:c r="DA45" s="0">
        <ns0:f>IF(OR($AO45=0,$B$5&lt;&gt;"OK",$B$6&gt;0,Calendar!AC$11=""),0,SUMIFS(rngEngine_U,rngEngine_B,INDEX(Team!$A$11:$A$60,$AO45),rngAMStart,"&lt;="&amp;Calendar!AC$11,rngAMEnd,"&gt;="&amp;Calendar!AC$11))</ns0:f>
        <ns0:v>0</ns0:v>
      </ns0:c>
      <ns0:c r="DB45" s="0">
        <ns0:f>IF(OR($AO45=0,$B$5&lt;&gt;"OK",$B$6&gt;0,Calendar!AC$11=""),0,SUMIFS(rngEngine_V,rngEngine_B,INDEX(Team!$A$11:$A$60,$AO45),rngPMStart,"&lt;="&amp;Calendar!AC$11,rngPMEnd,"&gt;="&amp;Calendar!AC$11))</ns0:f>
        <ns0:v>0</ns0:v>
      </ns0:c>
      <ns0:c r="DC45" s="0">
        <ns0:f>IF(OR($AO45=0,$B$5&lt;&gt;"OK",$B$6&gt;0,Calendar!AD$11=""),0,SUMIFS(rngEngine_U,rngEngine_B,INDEX(Team!$A$11:$A$60,$AO45),rngAMStart,"&lt;="&amp;Calendar!AD$11,rngAMEnd,"&gt;="&amp;Calendar!AD$11))</ns0:f>
        <ns0:v>0</ns0:v>
      </ns0:c>
      <ns0:c r="DD45" s="0">
        <ns0:f>IF(OR($AO45=0,$B$5&lt;&gt;"OK",$B$6&gt;0,Calendar!AD$11=""),0,SUMIFS(rngEngine_V,rngEngine_B,INDEX(Team!$A$11:$A$60,$AO45),rngPMStart,"&lt;="&amp;Calendar!AD$11,rngPMEnd,"&gt;="&amp;Calendar!AD$11))</ns0:f>
        <ns0:v>0</ns0:v>
      </ns0:c>
      <ns0:c r="DE45" s="0">
        <ns0:f>IF(OR($AO45=0,$B$5&lt;&gt;"OK",$B$6&gt;0,Calendar!AE$11=""),0,SUMIFS(rngEngine_U,rngEngine_B,INDEX(Team!$A$11:$A$60,$AO45),rngAMStart,"&lt;="&amp;Calendar!AE$11,rngAMEnd,"&gt;="&amp;Calendar!AE$11))</ns0:f>
        <ns0:v>0</ns0:v>
      </ns0:c>
      <ns0:c r="DF45" s="0">
        <ns0:f>IF(OR($AO45=0,$B$5&lt;&gt;"OK",$B$6&gt;0,Calendar!AE$11=""),0,SUMIFS(rngEngine_V,rngEngine_B,INDEX(Team!$A$11:$A$60,$AO45),rngPMStart,"&lt;="&amp;Calendar!AE$11,rngPMEnd,"&gt;="&amp;Calendar!AE$11))</ns0:f>
        <ns0:v>0</ns0:v>
      </ns0:c>
      <ns0:c r="DG45" s="0">
        <ns0:f>IF(OR($AO45=0,$B$5&lt;&gt;"OK",$B$6&gt;0,Calendar!AF$11=""),0,SUMIFS(rngEngine_U,rngEngine_B,INDEX(Team!$A$11:$A$60,$AO45),rngAMStart,"&lt;="&amp;Calendar!AF$11,rngAMEnd,"&gt;="&amp;Calendar!AF$11))</ns0:f>
        <ns0:v>0</ns0:v>
      </ns0:c>
      <ns0:c r="DH45" s="0">
        <ns0:f>IF(OR($AO45=0,$B$5&lt;&gt;"OK",$B$6&gt;0,Calendar!AF$11=""),0,SUMIFS(rngEngine_V,rngEngine_B,INDEX(Team!$A$11:$A$60,$AO45),rngPMStart,"&lt;="&amp;Calendar!AF$11,rngPMEnd,"&gt;="&amp;Calendar!AF$11))</ns0:f>
        <ns0:v>0</ns0:v>
      </ns0:c>
      <ns0:c r="DI45" s="0">
        <ns0:f>IF(OR($AO45=0,$B$5&lt;&gt;"OK",$B$6&gt;0,Calendar!AG$11=""),0,SUMIFS(rngEngine_U,rngEngine_B,INDEX(Team!$A$11:$A$60,$AO45),rngAMStart,"&lt;="&amp;Calendar!AG$11,rngAMEnd,"&gt;="&amp;Calendar!AG$11))</ns0:f>
        <ns0:v>0</ns0:v>
      </ns0:c>
      <ns0:c r="DJ45" s="0">
        <ns0:f>IF(OR($AO45=0,$B$5&lt;&gt;"OK",$B$6&gt;0,Calendar!AG$11=""),0,SUMIFS(rngEngine_V,rngEngine_B,INDEX(Team!$A$11:$A$60,$AO45),rngPMStart,"&lt;="&amp;Calendar!AG$11,rngPMEnd,"&gt;="&amp;Calendar!AG$11))</ns0:f>
        <ns0:v>0</ns0:v>
      </ns0:c>
      <ns0:c r="DK45" s="0">
        <ns0:f>IF(OR($AO45=0,$B$5&lt;&gt;"OK",$B$6&gt;0,Calendar!AH$11=""),0,SUMIFS(rngEngine_U,rngEngine_B,INDEX(Team!$A$11:$A$60,$AO45),rngAMStart,"&lt;="&amp;Calendar!AH$11,rngAMEnd,"&gt;="&amp;Calendar!AH$11))</ns0:f>
        <ns0:v>0</ns0:v>
      </ns0:c>
      <ns0:c r="DL45" s="0">
        <ns0:f>IF(OR($AO45=0,$B$5&lt;&gt;"OK",$B$6&gt;0,Calendar!AH$11=""),0,SUMIFS(rngEngine_V,rngEngine_B,INDEX(Team!$A$11:$A$60,$AO45),rngPMStart,"&lt;="&amp;Calendar!AH$11,rngPMEnd,"&gt;="&amp;Calendar!AH$11))</ns0:f>
        <ns0:v>0</ns0:v>
      </ns0:c>
    </ns0:row>
    <ns0:row r="46" ht="22" customHeight="1">
      <ns0:c r="A46" s="4">
        <ns0:f>IF(COUNTA(Bookings!A46:G46,Bookings!I46)=0,0,1)</ns0:f>
        <ns0:v>0</ns0:v>
      </ns0:c>
      <ns0:c r="B46" s="4" t="str">
        <ns0:f>IFERROR(TRIM(MID(Bookings!A46,FIND(" · ",Bookings!A46)+3,99)),"")</ns0:f>
        <ns0:v/>
      </ns0:c>
      <ns0:c r="C46" s="4">
        <ns0:f>IF(OR(B46="",LEN(B46)&gt;24,ISNUMBER(FIND(" ",B46)),ISNUMBER(FIND("*",B46)),ISNUMBER(FIND("?",B46)),ISNUMBER(FIND("~",B46))),0,IFERROR(MATCH(B46,Team!$A$11:$A$60,0),0))</ns0:f>
        <ns0:v>0</ns0:v>
      </ns0:c>
      <ns0:c r="D46" s="4" t="str">
        <ns0:f>IFERROR(IF(MID(Bookings!F46,LEN(Bookings!F46)-3,3)=" · ",RIGHT(Bookings!F46,1),""),"")</ns0:f>
        <ns0:v/>
      </ns0:c>
      <ns0:c r="E46" s="4" t="str">
        <ns0:f>IFERROR(INDEX(Settings!$H$7:$H$11,MATCH(D46,Settings!$G$7:$G$11,0)),"")</ns0:f>
        <ns0:v/>
      </ns0:c>
      <ns0:c r="F46" s="4" t="str">
        <ns0:f>IF(A46=0,"",IFERROR(IF(OR(B46="",C46=0),"CHECK employee selection",IF(INDEX(Team!$O$11:$O$60,C46)&lt;&gt;"OK","CHECK employee setup",IF(OR('_Dates'!J46=0,'_Dates'!T46=0),"CHECK date: use DD.MM.YYYY",IF('_Dates'!T46&lt;'_Dates'!J46,"CHECK end before start",IF(AND($B$6=0,OR('_Dates'!J46&lt;Settings!$B$7,'_Dates'!T46&gt;Settings!$B$8)),"CHECK split across leave years",IF(OR(NOT(OR('_Dates'!U46="Full day",'_Dates'!U46="AM",'_Dates'!U46="PM")),NOT(OR('_Dates'!V46="Full day",'_Dates'!V46="AM",'_Dates'!V46="PM"))),"CHECK Full day / AM / PM",IF(AND('_Dates'!J46='_Dates'!T46,'_Dates'!U46&lt;&gt;"Full day",'_Dates'!V46&lt;&gt;"Full day",'_Dates'!U46&lt;&gt;'_Dates'!V46),"CHECK same-day portions disagree",IF(AND($B$6=0,OR(AND('_Dates'!U46&lt;&gt;"Full day",'_Dates'!AA46=0),AND('_Dates'!V46&lt;&gt;"Full day",'_Dates'!AB46=0))),"CHECK half-day on non-working date",IF(COUNTIF(Settings!$G$7:$G$11,D46)&lt;&gt;1,"CHECK leave type",IF(AND(Bookings!G46&lt;&gt;"Approved",Bookings!G46&lt;&gt;"Pending",Bookings!G46&lt;&gt;"Cancelled"),"CHECK status","OK")))))))))),"CHECK input"))</ns0:f>
        <ns0:v/>
      </ns0:c>
      <ns0:c r="G46" s="4">
        <ns0:f>IF(OR(F46&lt;&gt;"OK",$B$6&gt;0),0,0.5*(IF(('_Dates'!X46)&lt;('_Dates'!W46),0,INT((('_Dates'!X46)-('_Dates'!W46)+1)/7)*LEN(SUBSTITUTE(W46,"O",""))+LEN(SUBSTITUTE(MID(W46&amp;W46,WEEKDAY(('_Dates'!W46),2),MOD((('_Dates'!X46)-('_Dates'!W46)+1),7)),"O",""))-COUNTIFS(INDEX(AllClosureRows,C46,0),"&gt;="&amp;('_Dates'!W46),INDEX(AllClosureRows,C46,0),"&lt;="&amp;('_Dates'!X46)))+IF(('_Dates'!Z46)&lt;('_Dates'!Y46),0,INT((('_Dates'!Z46)-('_Dates'!Y46)+1)/7)*LEN(SUBSTITUTE(W46,"O",""))+LEN(SUBSTITUTE(MID(W46&amp;W46,WEEKDAY(('_Dates'!Y46),2),MOD((('_Dates'!Z46)-('_Dates'!Y46)+1),7)),"O",""))-COUNTIFS(INDEX(AllClosureRows,C46,0),"&gt;="&amp;('_Dates'!Y46),INDEX(AllClosureRows,C46,0),"&lt;="&amp;('_Dates'!Z46)))))</ns0:f>
        <ns0:v>0</ns0:v>
      </ns0:c>
      <ns0:c r="H46" s="4">
        <ns0:f>IF(OR(F46&lt;&gt;"OK",$B$6&gt;0),0,0.5*(IF((MIN('_Dates'!X46,Settings!$B$9))&lt;('_Dates'!W46),0,INT(((MIN('_Dates'!X46,Settings!$B$9))-('_Dates'!W46)+1)/7)*LEN(SUBSTITUTE(W46,"O",""))+LEN(SUBSTITUTE(MID(W46&amp;W46,WEEKDAY(('_Dates'!W46),2),MOD(((MIN('_Dates'!X46,Settings!$B$9))-('_Dates'!W46)+1),7)),"O",""))-COUNTIFS(INDEX(AllClosureRows,C46,0),"&gt;="&amp;('_Dates'!W46),INDEX(AllClosureRows,C46,0),"&lt;="&amp;(MIN('_Dates'!X46,Settings!$B$9))))+IF((MIN('_Dates'!Z46,Settings!$B$9))&lt;('_Dates'!Y46),0,INT(((MIN('_Dates'!Z46,Settings!$B$9))-('_Dates'!Y46)+1)/7)*LEN(SUBSTITUTE(W46,"O",""))+LEN(SUBSTITUTE(MID(W46&amp;W46,WEEKDAY(('_Dates'!Y46),2),MOD(((MIN('_Dates'!Z46,Settings!$B$9))-('_Dates'!Y46)+1),7)),"O",""))-COUNTIFS(INDEX(AllClosureRows,C46,0),"&gt;="&amp;('_Dates'!Y46),INDEX(AllClosureRows,C46,0),"&lt;="&amp;(MIN('_Dates'!Z46,Settings!$B$9))))))</ns0:f>
        <ns0:v>0</ns0:v>
      </ns0:c>
      <ns0:c r="I46" s="4">
        <ns0:f>MAX(0,G46-H46)</ns0:f>
        <ns0:v>0</ns0:v>
      </ns0:c>
      <ns0:c r="J46" s="4">
        <ns0:f>IF(OR(A46=0,F46&lt;&gt;"OK",Bookings!G46="Cancelled",$B$6&gt;0),0,IF('_Dates'!AC46=1,MAX(0,COUNTIFS(rngEngine_B,B46,rngAMStart,"&lt;="&amp;'_Dates'!X46,rngAMEnd,"&gt;="&amp;'_Dates'!W46,rngAMActive,1,rngEngine_F,"OK",rngBookings_F,"&lt;&gt;Cancelled")-1),0)+IF('_Dates'!AD46=1,MAX(0,COUNTIFS(rngEngine_B,B46,rngPMStart,"&lt;="&amp;'_Dates'!Z46,rngPMEnd,"&gt;="&amp;'_Dates'!Y46,rngPMActive,1,rngEngine_F,"OK",rngBookings_F,"&lt;&gt;Cancelled")-1),0))</ns0:f>
        <ns0:v>0</ns0:v>
      </ns0:c>
      <ns0:c r="K46" s="0" t="str">
        <ns0:f>IF(A46=0,"",IF(F46&lt;&gt;"OK",F46,IF(J46&gt;0,"CHECK overlapping entry",IF(AND($B$6=0,G46&lt;=0,Bookings!G46&lt;&gt;"Cancelled"),"CHECK no working days",IF(Bookings!G46="Cancelled","Cancelled","OK")))))</ns0:f>
        <ns0:v/>
      </ns0:c>
      <ns0:c r="L46" s="0">
        <ns0:f>IF(LEFT(K46,5)="CHECK",1,0)</ns0:f>
        <ns0:v>0</ns0:v>
      </ns0:c>
      <ns0:c r="M46" s="0">
        <ns0:f>IF(AND(L46=1,OR(C46=0,IFERROR(INDEX($X$11:$X$60,C46),0)=0)),1,0)</ns0:f>
        <ns0:v>0</ns0:v>
      </ns0:c>
      <ns0:c r="N46" s="0">
        <ns0:f>IF(OR(A46=0,L46&gt;0,$B$6&gt;0,Bookings!G46="Cancelled"),0,G46)</ns0:f>
        <ns0:v>0</ns0:v>
      </ns0:c>
      <ns0:c r="O46" s="0">
        <ns0:f>IF(AND(Bookings!G46="Approved",E46="Yes"),N46,0)</ns0:f>
        <ns0:v>0</ns0:v>
      </ns0:c>
      <ns0:c r="P46" s="0">
        <ns0:f>IF(AND(Bookings!G46="Approved",E46="Yes",L46=0,$B$6=0),H46,0)</ns0:f>
        <ns0:v>0</ns0:v>
      </ns0:c>
      <ns0:c r="Q46" s="0">
        <ns0:f>IF(AND(Bookings!G46="Approved",E46="Yes",L46=0,$B$6=0),I46,0)</ns0:f>
        <ns0:v>0</ns0:v>
      </ns0:c>
      <ns0:c r="R46" s="0">
        <ns0:f>IF(AND(Bookings!G46="Pending",E46="Yes"),N46,0)</ns0:f>
        <ns0:v>0</ns0:v>
      </ns0:c>
      <ns0:c r="S46" s="0">
        <ns0:f>IF(AND(Bookings!G46="Approved",E46="No"),N46,0)</ns0:f>
        <ns0:v>0</ns0:v>
      </ns0:c>
      <ns0:c r="T46" s="0">
        <ns0:f>IFERROR(MATCH(D46,Settings!$G$7:$G$11,0),0)</ns0:f>
        <ns0:v>0</ns0:v>
      </ns0:c>
      <ns0:c r="U46" s="0">
        <ns0:f>IF(N46&gt;0,T46+IF(Bookings!G46="Pending",10,0),0)</ns0:f>
        <ns0:v>0</ns0:v>
      </ns0:c>
      <ns0:c r="V46" s="0">
        <ns0:f>U46</ns0:f>
        <ns0:v>0</ns0:v>
      </ns0:c>
      <ns0:c r="W46" s="0" t="str">
        <ns0:f>IF(C46=0,"",INDEX($AP$11:$AP$60,C46))</ns0:f>
        <ns0:v/>
      </ns0:c>
      <ns0:c r="X46" s="0">
        <ns0:f>IF(COUNTA(Team!B46:D46)=0,0,1)</ns0:f>
        <ns0:v>0</ns0:v>
      </ns0:c>
      <ns0:c r="Y46" s="0" t="str">
        <ns0:f>IF(X46=0,"",IF(Team!B46="","[Unnamed]",Team!B46)&amp;" · "&amp;Team!A46)</ns0:f>
        <ns0:v/>
      </ns0:c>
      <ns0:c r="Z46" s="0">
        <ns0:f>IF(X46=0,0,COUNTIF(Team!H46:N46,"Work"))</ns0:f>
        <ns0:v>0</ns0:v>
      </ns0:c>
      <ns0:c r="AA46" s="0">
        <ns0:f>IF(LEFT(Team!O46,5)="CHECK",1,0)</ns0:f>
        <ns0:v>0</ns0:v>
      </ns0:c>
      <ns0:c r="AB46" s="0">
        <ns0:f>IF(X46=0,0,SUMIFS(rngEngine_L,rngEngine_B,Team!A46))</ns0:f>
        <ns0:v>0</ns0:v>
      </ns0:c>
      <ns0:c r="AC46" s="0" t="str">
        <ns0:f>IF(AND(X46=1,OR(Calendar!$C$7="All teams",Team!C46=Calendar!$C$7)),MAX($AC$10:AC45)+1,"")</ns0:f>
        <ns0:v/>
      </ns0:c>
      <ns0:c r="AD46" s="0" t="str">
        <ns0:f>IF(OR(X46=0,Team!C46="",COUNTIF(Team!$C$11:C46,Team!C46)&gt;1),"",MAX($AD$10:AD45)+1)</ns0:f>
        <ns0:v/>
      </ns0:c>
      <ns0:c r="AE46" s="0" t="str">
        <ns0:f>IFERROR(INDEX(Team!$C$11:$C$60,MATCH(ROW()-10,$AD$11:$AD$60,0)),"")</ns0:f>
        <ns0:v/>
      </ns0:c>
      <ns0:c r="AF46" s="0" t="str">
        <ns0:f>AE46</ns0:f>
        <ns0:v/>
      </ns0:c>
      <ns0:c r="AG46" s="0">
        <ns0:f>IF(X46=0,0,IFERROR(Team!F46+Team!G46,0))</ns0:f>
        <ns0:v>0</ns0:v>
      </ns0:c>
      <ns0:c r="AH46" s="0">
        <ns0:f>IF(X46=0,0,SUMIFS(rngEngine_P,rngEngine_B,Team!A46))</ns0:f>
        <ns0:v>0</ns0:v>
      </ns0:c>
      <ns0:c r="AI46" s="0">
        <ns0:f>IF(X46=0,0,SUMIFS(rngEngine_Q,rngEngine_B,Team!A46))</ns0:f>
        <ns0:v>0</ns0:v>
      </ns0:c>
      <ns0:c r="AJ46" s="0">
        <ns0:f>IF(X46=0,0,SUMIFS(rngEngine_R,rngEngine_B,Team!A46))</ns0:f>
        <ns0:v>0</ns0:v>
      </ns0:c>
      <ns0:c r="AK46" s="0">
        <ns0:f>IF(X46=0,0,SUMIFS(rngEngine_S,rngEngine_B,Team!A46))</ns0:f>
        <ns0:v>0</ns0:v>
      </ns0:c>
      <ns0:c r="AL46" s="0">
        <ns0:f>AH46+AI46</ns0:f>
        <ns0:v>0</ns0:v>
      </ns0:c>
      <ns0:c r="AM46" s="0" t="str">
        <ns0:f>IF(X46=0,"",IF(AA46&gt;0,"CHECK team setup",IF(AB46&gt;0,"CHECK "&amp;AB46&amp;" booking(s)","OK")))</ns0:f>
        <ns0:v/>
      </ns0:c>
      <ns0:c r="AN46" s="0" t="str">
        <ns0:f>IF(X46=0,"",IF(OR($B$6&gt;0,AM46&lt;&gt;"OK"),"REVIEW",AG46-AL46))</ns0:f>
        <ns0:v/>
      </ns0:c>
      <ns0:c r="AO46" s="0">
        <ns0:f>IFERROR(MATCH(ROW()-11,$AC$11:$AC$60,0),0)</ns0:f>
        <ns0:v>0</ns0:v>
      </ns0:c>
      <ns0:c r="AP46" s="0" t="str">
        <ns0:f>IF(Team!H46="Work","W","O")&amp;IF(Team!I46="Work","W","O")&amp;IF(Team!J46="Work","W","O")&amp;IF(Team!K46="Work","W","O")&amp;IF(Team!L46="Work","W","O")&amp;IF(Team!M46="Work","W","O")&amp;IF(Team!N46="Work","W","O")</ns0:f>
        <ns0:v>WWWWWOO</ns0:v>
      </ns0:c>
      <ns0:c r="AR46" s="0">
        <ns0:f>IFERROR(IF(ISNUMBER(Settings!F46),WEEKDAY(Settings!F46,2),0),0)</ns0:f>
        <ns0:v>0</ns0:v>
      </ns0:c>
      <ns0:c r="BC46" s="0">
        <ns0:f>IF(OR($AO46=0,$B$5&lt;&gt;"OK",$B$6&gt;0,Calendar!D$11=""),0,SUMIFS(rngEngine_U,rngEngine_B,INDEX(Team!$A$11:$A$60,$AO46),rngAMStart,"&lt;="&amp;Calendar!D$11,rngAMEnd,"&gt;="&amp;Calendar!D$11))</ns0:f>
        <ns0:v>0</ns0:v>
      </ns0:c>
      <ns0:c r="BD46" s="0">
        <ns0:f>IF(OR($AO46=0,$B$5&lt;&gt;"OK",$B$6&gt;0,Calendar!D$11=""),0,SUMIFS(rngEngine_V,rngEngine_B,INDEX(Team!$A$11:$A$60,$AO46),rngPMStart,"&lt;="&amp;Calendar!D$11,rngPMEnd,"&gt;="&amp;Calendar!D$11))</ns0:f>
        <ns0:v>0</ns0:v>
      </ns0:c>
      <ns0:c r="BE46" s="0">
        <ns0:f>IF(OR($AO46=0,$B$5&lt;&gt;"OK",$B$6&gt;0,Calendar!E$11=""),0,SUMIFS(rngEngine_U,rngEngine_B,INDEX(Team!$A$11:$A$60,$AO46),rngAMStart,"&lt;="&amp;Calendar!E$11,rngAMEnd,"&gt;="&amp;Calendar!E$11))</ns0:f>
        <ns0:v>0</ns0:v>
      </ns0:c>
      <ns0:c r="BF46" s="0">
        <ns0:f>IF(OR($AO46=0,$B$5&lt;&gt;"OK",$B$6&gt;0,Calendar!E$11=""),0,SUMIFS(rngEngine_V,rngEngine_B,INDEX(Team!$A$11:$A$60,$AO46),rngPMStart,"&lt;="&amp;Calendar!E$11,rngPMEnd,"&gt;="&amp;Calendar!E$11))</ns0:f>
        <ns0:v>0</ns0:v>
      </ns0:c>
      <ns0:c r="BG46" s="0">
        <ns0:f>IF(OR($AO46=0,$B$5&lt;&gt;"OK",$B$6&gt;0,Calendar!F$11=""),0,SUMIFS(rngEngine_U,rngEngine_B,INDEX(Team!$A$11:$A$60,$AO46),rngAMStart,"&lt;="&amp;Calendar!F$11,rngAMEnd,"&gt;="&amp;Calendar!F$11))</ns0:f>
        <ns0:v>0</ns0:v>
      </ns0:c>
      <ns0:c r="BH46" s="0">
        <ns0:f>IF(OR($AO46=0,$B$5&lt;&gt;"OK",$B$6&gt;0,Calendar!F$11=""),0,SUMIFS(rngEngine_V,rngEngine_B,INDEX(Team!$A$11:$A$60,$AO46),rngPMStart,"&lt;="&amp;Calendar!F$11,rngPMEnd,"&gt;="&amp;Calendar!F$11))</ns0:f>
        <ns0:v>0</ns0:v>
      </ns0:c>
      <ns0:c r="BI46" s="0">
        <ns0:f>IF(OR($AO46=0,$B$5&lt;&gt;"OK",$B$6&gt;0,Calendar!G$11=""),0,SUMIFS(rngEngine_U,rngEngine_B,INDEX(Team!$A$11:$A$60,$AO46),rngAMStart,"&lt;="&amp;Calendar!G$11,rngAMEnd,"&gt;="&amp;Calendar!G$11))</ns0:f>
        <ns0:v>0</ns0:v>
      </ns0:c>
      <ns0:c r="BJ46" s="0">
        <ns0:f>IF(OR($AO46=0,$B$5&lt;&gt;"OK",$B$6&gt;0,Calendar!G$11=""),0,SUMIFS(rngEngine_V,rngEngine_B,INDEX(Team!$A$11:$A$60,$AO46),rngPMStart,"&lt;="&amp;Calendar!G$11,rngPMEnd,"&gt;="&amp;Calendar!G$11))</ns0:f>
        <ns0:v>0</ns0:v>
      </ns0:c>
      <ns0:c r="BK46" s="0">
        <ns0:f>IF(OR($AO46=0,$B$5&lt;&gt;"OK",$B$6&gt;0,Calendar!H$11=""),0,SUMIFS(rngEngine_U,rngEngine_B,INDEX(Team!$A$11:$A$60,$AO46),rngAMStart,"&lt;="&amp;Calendar!H$11,rngAMEnd,"&gt;="&amp;Calendar!H$11))</ns0:f>
        <ns0:v>0</ns0:v>
      </ns0:c>
      <ns0:c r="BL46" s="0">
        <ns0:f>IF(OR($AO46=0,$B$5&lt;&gt;"OK",$B$6&gt;0,Calendar!H$11=""),0,SUMIFS(rngEngine_V,rngEngine_B,INDEX(Team!$A$11:$A$60,$AO46),rngPMStart,"&lt;="&amp;Calendar!H$11,rngPMEnd,"&gt;="&amp;Calendar!H$11))</ns0:f>
        <ns0:v>0</ns0:v>
      </ns0:c>
      <ns0:c r="BM46" s="0">
        <ns0:f>IF(OR($AO46=0,$B$5&lt;&gt;"OK",$B$6&gt;0,Calendar!I$11=""),0,SUMIFS(rngEngine_U,rngEngine_B,INDEX(Team!$A$11:$A$60,$AO46),rngAMStart,"&lt;="&amp;Calendar!I$11,rngAMEnd,"&gt;="&amp;Calendar!I$11))</ns0:f>
        <ns0:v>0</ns0:v>
      </ns0:c>
      <ns0:c r="BN46" s="0">
        <ns0:f>IF(OR($AO46=0,$B$5&lt;&gt;"OK",$B$6&gt;0,Calendar!I$11=""),0,SUMIFS(rngEngine_V,rngEngine_B,INDEX(Team!$A$11:$A$60,$AO46),rngPMStart,"&lt;="&amp;Calendar!I$11,rngPMEnd,"&gt;="&amp;Calendar!I$11))</ns0:f>
        <ns0:v>0</ns0:v>
      </ns0:c>
      <ns0:c r="BO46" s="0">
        <ns0:f>IF(OR($AO46=0,$B$5&lt;&gt;"OK",$B$6&gt;0,Calendar!J$11=""),0,SUMIFS(rngEngine_U,rngEngine_B,INDEX(Team!$A$11:$A$60,$AO46),rngAMStart,"&lt;="&amp;Calendar!J$11,rngAMEnd,"&gt;="&amp;Calendar!J$11))</ns0:f>
        <ns0:v>0</ns0:v>
      </ns0:c>
      <ns0:c r="BP46" s="0">
        <ns0:f>IF(OR($AO46=0,$B$5&lt;&gt;"OK",$B$6&gt;0,Calendar!J$11=""),0,SUMIFS(rngEngine_V,rngEngine_B,INDEX(Team!$A$11:$A$60,$AO46),rngPMStart,"&lt;="&amp;Calendar!J$11,rngPMEnd,"&gt;="&amp;Calendar!J$11))</ns0:f>
        <ns0:v>0</ns0:v>
      </ns0:c>
      <ns0:c r="BQ46" s="0">
        <ns0:f>IF(OR($AO46=0,$B$5&lt;&gt;"OK",$B$6&gt;0,Calendar!K$11=""),0,SUMIFS(rngEngine_U,rngEngine_B,INDEX(Team!$A$11:$A$60,$AO46),rngAMStart,"&lt;="&amp;Calendar!K$11,rngAMEnd,"&gt;="&amp;Calendar!K$11))</ns0:f>
        <ns0:v>0</ns0:v>
      </ns0:c>
      <ns0:c r="BR46" s="0">
        <ns0:f>IF(OR($AO46=0,$B$5&lt;&gt;"OK",$B$6&gt;0,Calendar!K$11=""),0,SUMIFS(rngEngine_V,rngEngine_B,INDEX(Team!$A$11:$A$60,$AO46),rngPMStart,"&lt;="&amp;Calendar!K$11,rngPMEnd,"&gt;="&amp;Calendar!K$11))</ns0:f>
        <ns0:v>0</ns0:v>
      </ns0:c>
      <ns0:c r="BS46" s="0">
        <ns0:f>IF(OR($AO46=0,$B$5&lt;&gt;"OK",$B$6&gt;0,Calendar!L$11=""),0,SUMIFS(rngEngine_U,rngEngine_B,INDEX(Team!$A$11:$A$60,$AO46),rngAMStart,"&lt;="&amp;Calendar!L$11,rngAMEnd,"&gt;="&amp;Calendar!L$11))</ns0:f>
        <ns0:v>0</ns0:v>
      </ns0:c>
      <ns0:c r="BT46" s="0">
        <ns0:f>IF(OR($AO46=0,$B$5&lt;&gt;"OK",$B$6&gt;0,Calendar!L$11=""),0,SUMIFS(rngEngine_V,rngEngine_B,INDEX(Team!$A$11:$A$60,$AO46),rngPMStart,"&lt;="&amp;Calendar!L$11,rngPMEnd,"&gt;="&amp;Calendar!L$11))</ns0:f>
        <ns0:v>0</ns0:v>
      </ns0:c>
      <ns0:c r="BU46" s="0">
        <ns0:f>IF(OR($AO46=0,$B$5&lt;&gt;"OK",$B$6&gt;0,Calendar!M$11=""),0,SUMIFS(rngEngine_U,rngEngine_B,INDEX(Team!$A$11:$A$60,$AO46),rngAMStart,"&lt;="&amp;Calendar!M$11,rngAMEnd,"&gt;="&amp;Calendar!M$11))</ns0:f>
        <ns0:v>0</ns0:v>
      </ns0:c>
      <ns0:c r="BV46" s="0">
        <ns0:f>IF(OR($AO46=0,$B$5&lt;&gt;"OK",$B$6&gt;0,Calendar!M$11=""),0,SUMIFS(rngEngine_V,rngEngine_B,INDEX(Team!$A$11:$A$60,$AO46),rngPMStart,"&lt;="&amp;Calendar!M$11,rngPMEnd,"&gt;="&amp;Calendar!M$11))</ns0:f>
        <ns0:v>0</ns0:v>
      </ns0:c>
      <ns0:c r="BW46" s="0">
        <ns0:f>IF(OR($AO46=0,$B$5&lt;&gt;"OK",$B$6&gt;0,Calendar!N$11=""),0,SUMIFS(rngEngine_U,rngEngine_B,INDEX(Team!$A$11:$A$60,$AO46),rngAMStart,"&lt;="&amp;Calendar!N$11,rngAMEnd,"&gt;="&amp;Calendar!N$11))</ns0:f>
        <ns0:v>0</ns0:v>
      </ns0:c>
      <ns0:c r="BX46" s="0">
        <ns0:f>IF(OR($AO46=0,$B$5&lt;&gt;"OK",$B$6&gt;0,Calendar!N$11=""),0,SUMIFS(rngEngine_V,rngEngine_B,INDEX(Team!$A$11:$A$60,$AO46),rngPMStart,"&lt;="&amp;Calendar!N$11,rngPMEnd,"&gt;="&amp;Calendar!N$11))</ns0:f>
        <ns0:v>0</ns0:v>
      </ns0:c>
      <ns0:c r="BY46" s="0">
        <ns0:f>IF(OR($AO46=0,$B$5&lt;&gt;"OK",$B$6&gt;0,Calendar!O$11=""),0,SUMIFS(rngEngine_U,rngEngine_B,INDEX(Team!$A$11:$A$60,$AO46),rngAMStart,"&lt;="&amp;Calendar!O$11,rngAMEnd,"&gt;="&amp;Calendar!O$11))</ns0:f>
        <ns0:v>0</ns0:v>
      </ns0:c>
      <ns0:c r="BZ46" s="0">
        <ns0:f>IF(OR($AO46=0,$B$5&lt;&gt;"OK",$B$6&gt;0,Calendar!O$11=""),0,SUMIFS(rngEngine_V,rngEngine_B,INDEX(Team!$A$11:$A$60,$AO46),rngPMStart,"&lt;="&amp;Calendar!O$11,rngPMEnd,"&gt;="&amp;Calendar!O$11))</ns0:f>
        <ns0:v>0</ns0:v>
      </ns0:c>
      <ns0:c r="CA46" s="0">
        <ns0:f>IF(OR($AO46=0,$B$5&lt;&gt;"OK",$B$6&gt;0,Calendar!P$11=""),0,SUMIFS(rngEngine_U,rngEngine_B,INDEX(Team!$A$11:$A$60,$AO46),rngAMStart,"&lt;="&amp;Calendar!P$11,rngAMEnd,"&gt;="&amp;Calendar!P$11))</ns0:f>
        <ns0:v>0</ns0:v>
      </ns0:c>
      <ns0:c r="CB46" s="0">
        <ns0:f>IF(OR($AO46=0,$B$5&lt;&gt;"OK",$B$6&gt;0,Calendar!P$11=""),0,SUMIFS(rngEngine_V,rngEngine_B,INDEX(Team!$A$11:$A$60,$AO46),rngPMStart,"&lt;="&amp;Calendar!P$11,rngPMEnd,"&gt;="&amp;Calendar!P$11))</ns0:f>
        <ns0:v>0</ns0:v>
      </ns0:c>
      <ns0:c r="CC46" s="0">
        <ns0:f>IF(OR($AO46=0,$B$5&lt;&gt;"OK",$B$6&gt;0,Calendar!Q$11=""),0,SUMIFS(rngEngine_U,rngEngine_B,INDEX(Team!$A$11:$A$60,$AO46),rngAMStart,"&lt;="&amp;Calendar!Q$11,rngAMEnd,"&gt;="&amp;Calendar!Q$11))</ns0:f>
        <ns0:v>0</ns0:v>
      </ns0:c>
      <ns0:c r="CD46" s="0">
        <ns0:f>IF(OR($AO46=0,$B$5&lt;&gt;"OK",$B$6&gt;0,Calendar!Q$11=""),0,SUMIFS(rngEngine_V,rngEngine_B,INDEX(Team!$A$11:$A$60,$AO46),rngPMStart,"&lt;="&amp;Calendar!Q$11,rngPMEnd,"&gt;="&amp;Calendar!Q$11))</ns0:f>
        <ns0:v>0</ns0:v>
      </ns0:c>
      <ns0:c r="CE46" s="0">
        <ns0:f>IF(OR($AO46=0,$B$5&lt;&gt;"OK",$B$6&gt;0,Calendar!R$11=""),0,SUMIFS(rngEngine_U,rngEngine_B,INDEX(Team!$A$11:$A$60,$AO46),rngAMStart,"&lt;="&amp;Calendar!R$11,rngAMEnd,"&gt;="&amp;Calendar!R$11))</ns0:f>
        <ns0:v>0</ns0:v>
      </ns0:c>
      <ns0:c r="CF46" s="0">
        <ns0:f>IF(OR($AO46=0,$B$5&lt;&gt;"OK",$B$6&gt;0,Calendar!R$11=""),0,SUMIFS(rngEngine_V,rngEngine_B,INDEX(Team!$A$11:$A$60,$AO46),rngPMStart,"&lt;="&amp;Calendar!R$11,rngPMEnd,"&gt;="&amp;Calendar!R$11))</ns0:f>
        <ns0:v>0</ns0:v>
      </ns0:c>
      <ns0:c r="CG46" s="0">
        <ns0:f>IF(OR($AO46=0,$B$5&lt;&gt;"OK",$B$6&gt;0,Calendar!S$11=""),0,SUMIFS(rngEngine_U,rngEngine_B,INDEX(Team!$A$11:$A$60,$AO46),rngAMStart,"&lt;="&amp;Calendar!S$11,rngAMEnd,"&gt;="&amp;Calendar!S$11))</ns0:f>
        <ns0:v>0</ns0:v>
      </ns0:c>
      <ns0:c r="CH46" s="0">
        <ns0:f>IF(OR($AO46=0,$B$5&lt;&gt;"OK",$B$6&gt;0,Calendar!S$11=""),0,SUMIFS(rngEngine_V,rngEngine_B,INDEX(Team!$A$11:$A$60,$AO46),rngPMStart,"&lt;="&amp;Calendar!S$11,rngPMEnd,"&gt;="&amp;Calendar!S$11))</ns0:f>
        <ns0:v>0</ns0:v>
      </ns0:c>
      <ns0:c r="CI46" s="0">
        <ns0:f>IF(OR($AO46=0,$B$5&lt;&gt;"OK",$B$6&gt;0,Calendar!T$11=""),0,SUMIFS(rngEngine_U,rngEngine_B,INDEX(Team!$A$11:$A$60,$AO46),rngAMStart,"&lt;="&amp;Calendar!T$11,rngAMEnd,"&gt;="&amp;Calendar!T$11))</ns0:f>
        <ns0:v>0</ns0:v>
      </ns0:c>
      <ns0:c r="CJ46" s="0">
        <ns0:f>IF(OR($AO46=0,$B$5&lt;&gt;"OK",$B$6&gt;0,Calendar!T$11=""),0,SUMIFS(rngEngine_V,rngEngine_B,INDEX(Team!$A$11:$A$60,$AO46),rngPMStart,"&lt;="&amp;Calendar!T$11,rngPMEnd,"&gt;="&amp;Calendar!T$11))</ns0:f>
        <ns0:v>0</ns0:v>
      </ns0:c>
      <ns0:c r="CK46" s="0">
        <ns0:f>IF(OR($AO46=0,$B$5&lt;&gt;"OK",$B$6&gt;0,Calendar!U$11=""),0,SUMIFS(rngEngine_U,rngEngine_B,INDEX(Team!$A$11:$A$60,$AO46),rngAMStart,"&lt;="&amp;Calendar!U$11,rngAMEnd,"&gt;="&amp;Calendar!U$11))</ns0:f>
        <ns0:v>0</ns0:v>
      </ns0:c>
      <ns0:c r="CL46" s="0">
        <ns0:f>IF(OR($AO46=0,$B$5&lt;&gt;"OK",$B$6&gt;0,Calendar!U$11=""),0,SUMIFS(rngEngine_V,rngEngine_B,INDEX(Team!$A$11:$A$60,$AO46),rngPMStart,"&lt;="&amp;Calendar!U$11,rngPMEnd,"&gt;="&amp;Calendar!U$11))</ns0:f>
        <ns0:v>0</ns0:v>
      </ns0:c>
      <ns0:c r="CM46" s="0">
        <ns0:f>IF(OR($AO46=0,$B$5&lt;&gt;"OK",$B$6&gt;0,Calendar!V$11=""),0,SUMIFS(rngEngine_U,rngEngine_B,INDEX(Team!$A$11:$A$60,$AO46),rngAMStart,"&lt;="&amp;Calendar!V$11,rngAMEnd,"&gt;="&amp;Calendar!V$11))</ns0:f>
        <ns0:v>0</ns0:v>
      </ns0:c>
      <ns0:c r="CN46" s="0">
        <ns0:f>IF(OR($AO46=0,$B$5&lt;&gt;"OK",$B$6&gt;0,Calendar!V$11=""),0,SUMIFS(rngEngine_V,rngEngine_B,INDEX(Team!$A$11:$A$60,$AO46),rngPMStart,"&lt;="&amp;Calendar!V$11,rngPMEnd,"&gt;="&amp;Calendar!V$11))</ns0:f>
        <ns0:v>0</ns0:v>
      </ns0:c>
      <ns0:c r="CO46" s="0">
        <ns0:f>IF(OR($AO46=0,$B$5&lt;&gt;"OK",$B$6&gt;0,Calendar!W$11=""),0,SUMIFS(rngEngine_U,rngEngine_B,INDEX(Team!$A$11:$A$60,$AO46),rngAMStart,"&lt;="&amp;Calendar!W$11,rngAMEnd,"&gt;="&amp;Calendar!W$11))</ns0:f>
        <ns0:v>0</ns0:v>
      </ns0:c>
      <ns0:c r="CP46" s="0">
        <ns0:f>IF(OR($AO46=0,$B$5&lt;&gt;"OK",$B$6&gt;0,Calendar!W$11=""),0,SUMIFS(rngEngine_V,rngEngine_B,INDEX(Team!$A$11:$A$60,$AO46),rngPMStart,"&lt;="&amp;Calendar!W$11,rngPMEnd,"&gt;="&amp;Calendar!W$11))</ns0:f>
        <ns0:v>0</ns0:v>
      </ns0:c>
      <ns0:c r="CQ46" s="0">
        <ns0:f>IF(OR($AO46=0,$B$5&lt;&gt;"OK",$B$6&gt;0,Calendar!X$11=""),0,SUMIFS(rngEngine_U,rngEngine_B,INDEX(Team!$A$11:$A$60,$AO46),rngAMStart,"&lt;="&amp;Calendar!X$11,rngAMEnd,"&gt;="&amp;Calendar!X$11))</ns0:f>
        <ns0:v>0</ns0:v>
      </ns0:c>
      <ns0:c r="CR46" s="0">
        <ns0:f>IF(OR($AO46=0,$B$5&lt;&gt;"OK",$B$6&gt;0,Calendar!X$11=""),0,SUMIFS(rngEngine_V,rngEngine_B,INDEX(Team!$A$11:$A$60,$AO46),rngPMStart,"&lt;="&amp;Calendar!X$11,rngPMEnd,"&gt;="&amp;Calendar!X$11))</ns0:f>
        <ns0:v>0</ns0:v>
      </ns0:c>
      <ns0:c r="CS46" s="0">
        <ns0:f>IF(OR($AO46=0,$B$5&lt;&gt;"OK",$B$6&gt;0,Calendar!Y$11=""),0,SUMIFS(rngEngine_U,rngEngine_B,INDEX(Team!$A$11:$A$60,$AO46),rngAMStart,"&lt;="&amp;Calendar!Y$11,rngAMEnd,"&gt;="&amp;Calendar!Y$11))</ns0:f>
        <ns0:v>0</ns0:v>
      </ns0:c>
      <ns0:c r="CT46" s="0">
        <ns0:f>IF(OR($AO46=0,$B$5&lt;&gt;"OK",$B$6&gt;0,Calendar!Y$11=""),0,SUMIFS(rngEngine_V,rngEngine_B,INDEX(Team!$A$11:$A$60,$AO46),rngPMStart,"&lt;="&amp;Calendar!Y$11,rngPMEnd,"&gt;="&amp;Calendar!Y$11))</ns0:f>
        <ns0:v>0</ns0:v>
      </ns0:c>
      <ns0:c r="CU46" s="0">
        <ns0:f>IF(OR($AO46=0,$B$5&lt;&gt;"OK",$B$6&gt;0,Calendar!Z$11=""),0,SUMIFS(rngEngine_U,rngEngine_B,INDEX(Team!$A$11:$A$60,$AO46),rngAMStart,"&lt;="&amp;Calendar!Z$11,rngAMEnd,"&gt;="&amp;Calendar!Z$11))</ns0:f>
        <ns0:v>0</ns0:v>
      </ns0:c>
      <ns0:c r="CV46" s="0">
        <ns0:f>IF(OR($AO46=0,$B$5&lt;&gt;"OK",$B$6&gt;0,Calendar!Z$11=""),0,SUMIFS(rngEngine_V,rngEngine_B,INDEX(Team!$A$11:$A$60,$AO46),rngPMStart,"&lt;="&amp;Calendar!Z$11,rngPMEnd,"&gt;="&amp;Calendar!Z$11))</ns0:f>
        <ns0:v>0</ns0:v>
      </ns0:c>
      <ns0:c r="CW46" s="0">
        <ns0:f>IF(OR($AO46=0,$B$5&lt;&gt;"OK",$B$6&gt;0,Calendar!AA$11=""),0,SUMIFS(rngEngine_U,rngEngine_B,INDEX(Team!$A$11:$A$60,$AO46),rngAMStart,"&lt;="&amp;Calendar!AA$11,rngAMEnd,"&gt;="&amp;Calendar!AA$11))</ns0:f>
        <ns0:v>0</ns0:v>
      </ns0:c>
      <ns0:c r="CX46" s="0">
        <ns0:f>IF(OR($AO46=0,$B$5&lt;&gt;"OK",$B$6&gt;0,Calendar!AA$11=""),0,SUMIFS(rngEngine_V,rngEngine_B,INDEX(Team!$A$11:$A$60,$AO46),rngPMStart,"&lt;="&amp;Calendar!AA$11,rngPMEnd,"&gt;="&amp;Calendar!AA$11))</ns0:f>
        <ns0:v>0</ns0:v>
      </ns0:c>
      <ns0:c r="CY46" s="0">
        <ns0:f>IF(OR($AO46=0,$B$5&lt;&gt;"OK",$B$6&gt;0,Calendar!AB$11=""),0,SUMIFS(rngEngine_U,rngEngine_B,INDEX(Team!$A$11:$A$60,$AO46),rngAMStart,"&lt;="&amp;Calendar!AB$11,rngAMEnd,"&gt;="&amp;Calendar!AB$11))</ns0:f>
        <ns0:v>0</ns0:v>
      </ns0:c>
      <ns0:c r="CZ46" s="0">
        <ns0:f>IF(OR($AO46=0,$B$5&lt;&gt;"OK",$B$6&gt;0,Calendar!AB$11=""),0,SUMIFS(rngEngine_V,rngEngine_B,INDEX(Team!$A$11:$A$60,$AO46),rngPMStart,"&lt;="&amp;Calendar!AB$11,rngPMEnd,"&gt;="&amp;Calendar!AB$11))</ns0:f>
        <ns0:v>0</ns0:v>
      </ns0:c>
      <ns0:c r="DA46" s="0">
        <ns0:f>IF(OR($AO46=0,$B$5&lt;&gt;"OK",$B$6&gt;0,Calendar!AC$11=""),0,SUMIFS(rngEngine_U,rngEngine_B,INDEX(Team!$A$11:$A$60,$AO46),rngAMStart,"&lt;="&amp;Calendar!AC$11,rngAMEnd,"&gt;="&amp;Calendar!AC$11))</ns0:f>
        <ns0:v>0</ns0:v>
      </ns0:c>
      <ns0:c r="DB46" s="0">
        <ns0:f>IF(OR($AO46=0,$B$5&lt;&gt;"OK",$B$6&gt;0,Calendar!AC$11=""),0,SUMIFS(rngEngine_V,rngEngine_B,INDEX(Team!$A$11:$A$60,$AO46),rngPMStart,"&lt;="&amp;Calendar!AC$11,rngPMEnd,"&gt;="&amp;Calendar!AC$11))</ns0:f>
        <ns0:v>0</ns0:v>
      </ns0:c>
      <ns0:c r="DC46" s="0">
        <ns0:f>IF(OR($AO46=0,$B$5&lt;&gt;"OK",$B$6&gt;0,Calendar!AD$11=""),0,SUMIFS(rngEngine_U,rngEngine_B,INDEX(Team!$A$11:$A$60,$AO46),rngAMStart,"&lt;="&amp;Calendar!AD$11,rngAMEnd,"&gt;="&amp;Calendar!AD$11))</ns0:f>
        <ns0:v>0</ns0:v>
      </ns0:c>
      <ns0:c r="DD46" s="0">
        <ns0:f>IF(OR($AO46=0,$B$5&lt;&gt;"OK",$B$6&gt;0,Calendar!AD$11=""),0,SUMIFS(rngEngine_V,rngEngine_B,INDEX(Team!$A$11:$A$60,$AO46),rngPMStart,"&lt;="&amp;Calendar!AD$11,rngPMEnd,"&gt;="&amp;Calendar!AD$11))</ns0:f>
        <ns0:v>0</ns0:v>
      </ns0:c>
      <ns0:c r="DE46" s="0">
        <ns0:f>IF(OR($AO46=0,$B$5&lt;&gt;"OK",$B$6&gt;0,Calendar!AE$11=""),0,SUMIFS(rngEngine_U,rngEngine_B,INDEX(Team!$A$11:$A$60,$AO46),rngAMStart,"&lt;="&amp;Calendar!AE$11,rngAMEnd,"&gt;="&amp;Calendar!AE$11))</ns0:f>
        <ns0:v>0</ns0:v>
      </ns0:c>
      <ns0:c r="DF46" s="0">
        <ns0:f>IF(OR($AO46=0,$B$5&lt;&gt;"OK",$B$6&gt;0,Calendar!AE$11=""),0,SUMIFS(rngEngine_V,rngEngine_B,INDEX(Team!$A$11:$A$60,$AO46),rngPMStart,"&lt;="&amp;Calendar!AE$11,rngPMEnd,"&gt;="&amp;Calendar!AE$11))</ns0:f>
        <ns0:v>0</ns0:v>
      </ns0:c>
      <ns0:c r="DG46" s="0">
        <ns0:f>IF(OR($AO46=0,$B$5&lt;&gt;"OK",$B$6&gt;0,Calendar!AF$11=""),0,SUMIFS(rngEngine_U,rngEngine_B,INDEX(Team!$A$11:$A$60,$AO46),rngAMStart,"&lt;="&amp;Calendar!AF$11,rngAMEnd,"&gt;="&amp;Calendar!AF$11))</ns0:f>
        <ns0:v>0</ns0:v>
      </ns0:c>
      <ns0:c r="DH46" s="0">
        <ns0:f>IF(OR($AO46=0,$B$5&lt;&gt;"OK",$B$6&gt;0,Calendar!AF$11=""),0,SUMIFS(rngEngine_V,rngEngine_B,INDEX(Team!$A$11:$A$60,$AO46),rngPMStart,"&lt;="&amp;Calendar!AF$11,rngPMEnd,"&gt;="&amp;Calendar!AF$11))</ns0:f>
        <ns0:v>0</ns0:v>
      </ns0:c>
      <ns0:c r="DI46" s="0">
        <ns0:f>IF(OR($AO46=0,$B$5&lt;&gt;"OK",$B$6&gt;0,Calendar!AG$11=""),0,SUMIFS(rngEngine_U,rngEngine_B,INDEX(Team!$A$11:$A$60,$AO46),rngAMStart,"&lt;="&amp;Calendar!AG$11,rngAMEnd,"&gt;="&amp;Calendar!AG$11))</ns0:f>
        <ns0:v>0</ns0:v>
      </ns0:c>
      <ns0:c r="DJ46" s="0">
        <ns0:f>IF(OR($AO46=0,$B$5&lt;&gt;"OK",$B$6&gt;0,Calendar!AG$11=""),0,SUMIFS(rngEngine_V,rngEngine_B,INDEX(Team!$A$11:$A$60,$AO46),rngPMStart,"&lt;="&amp;Calendar!AG$11,rngPMEnd,"&gt;="&amp;Calendar!AG$11))</ns0:f>
        <ns0:v>0</ns0:v>
      </ns0:c>
      <ns0:c r="DK46" s="0">
        <ns0:f>IF(OR($AO46=0,$B$5&lt;&gt;"OK",$B$6&gt;0,Calendar!AH$11=""),0,SUMIFS(rngEngine_U,rngEngine_B,INDEX(Team!$A$11:$A$60,$AO46),rngAMStart,"&lt;="&amp;Calendar!AH$11,rngAMEnd,"&gt;="&amp;Calendar!AH$11))</ns0:f>
        <ns0:v>0</ns0:v>
      </ns0:c>
      <ns0:c r="DL46" s="0">
        <ns0:f>IF(OR($AO46=0,$B$5&lt;&gt;"OK",$B$6&gt;0,Calendar!AH$11=""),0,SUMIFS(rngEngine_V,rngEngine_B,INDEX(Team!$A$11:$A$60,$AO46),rngPMStart,"&lt;="&amp;Calendar!AH$11,rngPMEnd,"&gt;="&amp;Calendar!AH$11))</ns0:f>
        <ns0:v>0</ns0:v>
      </ns0:c>
    </ns0:row>
    <ns0:row r="47" ht="22" customHeight="1">
      <ns0:c r="A47" s="4">
        <ns0:f>IF(COUNTA(Bookings!A47:G47,Bookings!I47)=0,0,1)</ns0:f>
        <ns0:v>0</ns0:v>
      </ns0:c>
      <ns0:c r="B47" s="4" t="str">
        <ns0:f>IFERROR(TRIM(MID(Bookings!A47,FIND(" · ",Bookings!A47)+3,99)),"")</ns0:f>
        <ns0:v/>
      </ns0:c>
      <ns0:c r="C47" s="4">
        <ns0:f>IF(OR(B47="",LEN(B47)&gt;24,ISNUMBER(FIND(" ",B47)),ISNUMBER(FIND("*",B47)),ISNUMBER(FIND("?",B47)),ISNUMBER(FIND("~",B47))),0,IFERROR(MATCH(B47,Team!$A$11:$A$60,0),0))</ns0:f>
        <ns0:v>0</ns0:v>
      </ns0:c>
      <ns0:c r="D47" s="4" t="str">
        <ns0:f>IFERROR(IF(MID(Bookings!F47,LEN(Bookings!F47)-3,3)=" · ",RIGHT(Bookings!F47,1),""),"")</ns0:f>
        <ns0:v/>
      </ns0:c>
      <ns0:c r="E47" s="4" t="str">
        <ns0:f>IFERROR(INDEX(Settings!$H$7:$H$11,MATCH(D47,Settings!$G$7:$G$11,0)),"")</ns0:f>
        <ns0:v/>
      </ns0:c>
      <ns0:c r="F47" s="4" t="str">
        <ns0:f>IF(A47=0,"",IFERROR(IF(OR(B47="",C47=0),"CHECK employee selection",IF(INDEX(Team!$O$11:$O$60,C47)&lt;&gt;"OK","CHECK employee setup",IF(OR('_Dates'!J47=0,'_Dates'!T47=0),"CHECK date: use DD.MM.YYYY",IF('_Dates'!T47&lt;'_Dates'!J47,"CHECK end before start",IF(AND($B$6=0,OR('_Dates'!J47&lt;Settings!$B$7,'_Dates'!T47&gt;Settings!$B$8)),"CHECK split across leave years",IF(OR(NOT(OR('_Dates'!U47="Full day",'_Dates'!U47="AM",'_Dates'!U47="PM")),NOT(OR('_Dates'!V47="Full day",'_Dates'!V47="AM",'_Dates'!V47="PM"))),"CHECK Full day / AM / PM",IF(AND('_Dates'!J47='_Dates'!T47,'_Dates'!U47&lt;&gt;"Full day",'_Dates'!V47&lt;&gt;"Full day",'_Dates'!U47&lt;&gt;'_Dates'!V47),"CHECK same-day portions disagree",IF(AND($B$6=0,OR(AND('_Dates'!U47&lt;&gt;"Full day",'_Dates'!AA47=0),AND('_Dates'!V47&lt;&gt;"Full day",'_Dates'!AB47=0))),"CHECK half-day on non-working date",IF(COUNTIF(Settings!$G$7:$G$11,D47)&lt;&gt;1,"CHECK leave type",IF(AND(Bookings!G47&lt;&gt;"Approved",Bookings!G47&lt;&gt;"Pending",Bookings!G47&lt;&gt;"Cancelled"),"CHECK status","OK")))))))))),"CHECK input"))</ns0:f>
        <ns0:v/>
      </ns0:c>
      <ns0:c r="G47" s="4">
        <ns0:f>IF(OR(F47&lt;&gt;"OK",$B$6&gt;0),0,0.5*(IF(('_Dates'!X47)&lt;('_Dates'!W47),0,INT((('_Dates'!X47)-('_Dates'!W47)+1)/7)*LEN(SUBSTITUTE(W47,"O",""))+LEN(SUBSTITUTE(MID(W47&amp;W47,WEEKDAY(('_Dates'!W47),2),MOD((('_Dates'!X47)-('_Dates'!W47)+1),7)),"O",""))-COUNTIFS(INDEX(AllClosureRows,C47,0),"&gt;="&amp;('_Dates'!W47),INDEX(AllClosureRows,C47,0),"&lt;="&amp;('_Dates'!X47)))+IF(('_Dates'!Z47)&lt;('_Dates'!Y47),0,INT((('_Dates'!Z47)-('_Dates'!Y47)+1)/7)*LEN(SUBSTITUTE(W47,"O",""))+LEN(SUBSTITUTE(MID(W47&amp;W47,WEEKDAY(('_Dates'!Y47),2),MOD((('_Dates'!Z47)-('_Dates'!Y47)+1),7)),"O",""))-COUNTIFS(INDEX(AllClosureRows,C47,0),"&gt;="&amp;('_Dates'!Y47),INDEX(AllClosureRows,C47,0),"&lt;="&amp;('_Dates'!Z47)))))</ns0:f>
        <ns0:v>0</ns0:v>
      </ns0:c>
      <ns0:c r="H47" s="4">
        <ns0:f>IF(OR(F47&lt;&gt;"OK",$B$6&gt;0),0,0.5*(IF((MIN('_Dates'!X47,Settings!$B$9))&lt;('_Dates'!W47),0,INT(((MIN('_Dates'!X47,Settings!$B$9))-('_Dates'!W47)+1)/7)*LEN(SUBSTITUTE(W47,"O",""))+LEN(SUBSTITUTE(MID(W47&amp;W47,WEEKDAY(('_Dates'!W47),2),MOD(((MIN('_Dates'!X47,Settings!$B$9))-('_Dates'!W47)+1),7)),"O",""))-COUNTIFS(INDEX(AllClosureRows,C47,0),"&gt;="&amp;('_Dates'!W47),INDEX(AllClosureRows,C47,0),"&lt;="&amp;(MIN('_Dates'!X47,Settings!$B$9))))+IF((MIN('_Dates'!Z47,Settings!$B$9))&lt;('_Dates'!Y47),0,INT(((MIN('_Dates'!Z47,Settings!$B$9))-('_Dates'!Y47)+1)/7)*LEN(SUBSTITUTE(W47,"O",""))+LEN(SUBSTITUTE(MID(W47&amp;W47,WEEKDAY(('_Dates'!Y47),2),MOD(((MIN('_Dates'!Z47,Settings!$B$9))-('_Dates'!Y47)+1),7)),"O",""))-COUNTIFS(INDEX(AllClosureRows,C47,0),"&gt;="&amp;('_Dates'!Y47),INDEX(AllClosureRows,C47,0),"&lt;="&amp;(MIN('_Dates'!Z47,Settings!$B$9))))))</ns0:f>
        <ns0:v>0</ns0:v>
      </ns0:c>
      <ns0:c r="I47" s="4">
        <ns0:f>MAX(0,G47-H47)</ns0:f>
        <ns0:v>0</ns0:v>
      </ns0:c>
      <ns0:c r="J47" s="4">
        <ns0:f>IF(OR(A47=0,F47&lt;&gt;"OK",Bookings!G47="Cancelled",$B$6&gt;0),0,IF('_Dates'!AC47=1,MAX(0,COUNTIFS(rngEngine_B,B47,rngAMStart,"&lt;="&amp;'_Dates'!X47,rngAMEnd,"&gt;="&amp;'_Dates'!W47,rngAMActive,1,rngEngine_F,"OK",rngBookings_F,"&lt;&gt;Cancelled")-1),0)+IF('_Dates'!AD47=1,MAX(0,COUNTIFS(rngEngine_B,B47,rngPMStart,"&lt;="&amp;'_Dates'!Z47,rngPMEnd,"&gt;="&amp;'_Dates'!Y47,rngPMActive,1,rngEngine_F,"OK",rngBookings_F,"&lt;&gt;Cancelled")-1),0))</ns0:f>
        <ns0:v>0</ns0:v>
      </ns0:c>
      <ns0:c r="K47" s="0" t="str">
        <ns0:f>IF(A47=0,"",IF(F47&lt;&gt;"OK",F47,IF(J47&gt;0,"CHECK overlapping entry",IF(AND($B$6=0,G47&lt;=0,Bookings!G47&lt;&gt;"Cancelled"),"CHECK no working days",IF(Bookings!G47="Cancelled","Cancelled","OK")))))</ns0:f>
        <ns0:v/>
      </ns0:c>
      <ns0:c r="L47" s="0">
        <ns0:f>IF(LEFT(K47,5)="CHECK",1,0)</ns0:f>
        <ns0:v>0</ns0:v>
      </ns0:c>
      <ns0:c r="M47" s="0">
        <ns0:f>IF(AND(L47=1,OR(C47=0,IFERROR(INDEX($X$11:$X$60,C47),0)=0)),1,0)</ns0:f>
        <ns0:v>0</ns0:v>
      </ns0:c>
      <ns0:c r="N47" s="0">
        <ns0:f>IF(OR(A47=0,L47&gt;0,$B$6&gt;0,Bookings!G47="Cancelled"),0,G47)</ns0:f>
        <ns0:v>0</ns0:v>
      </ns0:c>
      <ns0:c r="O47" s="0">
        <ns0:f>IF(AND(Bookings!G47="Approved",E47="Yes"),N47,0)</ns0:f>
        <ns0:v>0</ns0:v>
      </ns0:c>
      <ns0:c r="P47" s="0">
        <ns0:f>IF(AND(Bookings!G47="Approved",E47="Yes",L47=0,$B$6=0),H47,0)</ns0:f>
        <ns0:v>0</ns0:v>
      </ns0:c>
      <ns0:c r="Q47" s="0">
        <ns0:f>IF(AND(Bookings!G47="Approved",E47="Yes",L47=0,$B$6=0),I47,0)</ns0:f>
        <ns0:v>0</ns0:v>
      </ns0:c>
      <ns0:c r="R47" s="0">
        <ns0:f>IF(AND(Bookings!G47="Pending",E47="Yes"),N47,0)</ns0:f>
        <ns0:v>0</ns0:v>
      </ns0:c>
      <ns0:c r="S47" s="0">
        <ns0:f>IF(AND(Bookings!G47="Approved",E47="No"),N47,0)</ns0:f>
        <ns0:v>0</ns0:v>
      </ns0:c>
      <ns0:c r="T47" s="0">
        <ns0:f>IFERROR(MATCH(D47,Settings!$G$7:$G$11,0),0)</ns0:f>
        <ns0:v>0</ns0:v>
      </ns0:c>
      <ns0:c r="U47" s="0">
        <ns0:f>IF(N47&gt;0,T47+IF(Bookings!G47="Pending",10,0),0)</ns0:f>
        <ns0:v>0</ns0:v>
      </ns0:c>
      <ns0:c r="V47" s="0">
        <ns0:f>U47</ns0:f>
        <ns0:v>0</ns0:v>
      </ns0:c>
      <ns0:c r="W47" s="0" t="str">
        <ns0:f>IF(C47=0,"",INDEX($AP$11:$AP$60,C47))</ns0:f>
        <ns0:v/>
      </ns0:c>
      <ns0:c r="X47" s="0">
        <ns0:f>IF(COUNTA(Team!B47:D47)=0,0,1)</ns0:f>
        <ns0:v>0</ns0:v>
      </ns0:c>
      <ns0:c r="Y47" s="0" t="str">
        <ns0:f>IF(X47=0,"",IF(Team!B47="","[Unnamed]",Team!B47)&amp;" · "&amp;Team!A47)</ns0:f>
        <ns0:v/>
      </ns0:c>
      <ns0:c r="Z47" s="0">
        <ns0:f>IF(X47=0,0,COUNTIF(Team!H47:N47,"Work"))</ns0:f>
        <ns0:v>0</ns0:v>
      </ns0:c>
      <ns0:c r="AA47" s="0">
        <ns0:f>IF(LEFT(Team!O47,5)="CHECK",1,0)</ns0:f>
        <ns0:v>0</ns0:v>
      </ns0:c>
      <ns0:c r="AB47" s="0">
        <ns0:f>IF(X47=0,0,SUMIFS(rngEngine_L,rngEngine_B,Team!A47))</ns0:f>
        <ns0:v>0</ns0:v>
      </ns0:c>
      <ns0:c r="AC47" s="0" t="str">
        <ns0:f>IF(AND(X47=1,OR(Calendar!$C$7="All teams",Team!C47=Calendar!$C$7)),MAX($AC$10:AC46)+1,"")</ns0:f>
        <ns0:v/>
      </ns0:c>
      <ns0:c r="AD47" s="0" t="str">
        <ns0:f>IF(OR(X47=0,Team!C47="",COUNTIF(Team!$C$11:C47,Team!C47)&gt;1),"",MAX($AD$10:AD46)+1)</ns0:f>
        <ns0:v/>
      </ns0:c>
      <ns0:c r="AE47" s="0" t="str">
        <ns0:f>IFERROR(INDEX(Team!$C$11:$C$60,MATCH(ROW()-10,$AD$11:$AD$60,0)),"")</ns0:f>
        <ns0:v/>
      </ns0:c>
      <ns0:c r="AF47" s="0" t="str">
        <ns0:f>AE47</ns0:f>
        <ns0:v/>
      </ns0:c>
      <ns0:c r="AG47" s="0">
        <ns0:f>IF(X47=0,0,IFERROR(Team!F47+Team!G47,0))</ns0:f>
        <ns0:v>0</ns0:v>
      </ns0:c>
      <ns0:c r="AH47" s="0">
        <ns0:f>IF(X47=0,0,SUMIFS(rngEngine_P,rngEngine_B,Team!A47))</ns0:f>
        <ns0:v>0</ns0:v>
      </ns0:c>
      <ns0:c r="AI47" s="0">
        <ns0:f>IF(X47=0,0,SUMIFS(rngEngine_Q,rngEngine_B,Team!A47))</ns0:f>
        <ns0:v>0</ns0:v>
      </ns0:c>
      <ns0:c r="AJ47" s="0">
        <ns0:f>IF(X47=0,0,SUMIFS(rngEngine_R,rngEngine_B,Team!A47))</ns0:f>
        <ns0:v>0</ns0:v>
      </ns0:c>
      <ns0:c r="AK47" s="0">
        <ns0:f>IF(X47=0,0,SUMIFS(rngEngine_S,rngEngine_B,Team!A47))</ns0:f>
        <ns0:v>0</ns0:v>
      </ns0:c>
      <ns0:c r="AL47" s="0">
        <ns0:f>AH47+AI47</ns0:f>
        <ns0:v>0</ns0:v>
      </ns0:c>
      <ns0:c r="AM47" s="0" t="str">
        <ns0:f>IF(X47=0,"",IF(AA47&gt;0,"CHECK team setup",IF(AB47&gt;0,"CHECK "&amp;AB47&amp;" booking(s)","OK")))</ns0:f>
        <ns0:v/>
      </ns0:c>
      <ns0:c r="AN47" s="0" t="str">
        <ns0:f>IF(X47=0,"",IF(OR($B$6&gt;0,AM47&lt;&gt;"OK"),"REVIEW",AG47-AL47))</ns0:f>
        <ns0:v/>
      </ns0:c>
      <ns0:c r="AO47" s="0">
        <ns0:f>IFERROR(MATCH(ROW()-11,$AC$11:$AC$60,0),0)</ns0:f>
        <ns0:v>0</ns0:v>
      </ns0:c>
      <ns0:c r="AP47" s="0" t="str">
        <ns0:f>IF(Team!H47="Work","W","O")&amp;IF(Team!I47="Work","W","O")&amp;IF(Team!J47="Work","W","O")&amp;IF(Team!K47="Work","W","O")&amp;IF(Team!L47="Work","W","O")&amp;IF(Team!M47="Work","W","O")&amp;IF(Team!N47="Work","W","O")</ns0:f>
        <ns0:v>WWWWWOO</ns0:v>
      </ns0:c>
      <ns0:c r="AR47" s="0">
        <ns0:f>IFERROR(IF(ISNUMBER(Settings!F47),WEEKDAY(Settings!F47,2),0),0)</ns0:f>
        <ns0:v>0</ns0:v>
      </ns0:c>
      <ns0:c r="BC47" s="0">
        <ns0:f>IF(OR($AO47=0,$B$5&lt;&gt;"OK",$B$6&gt;0,Calendar!D$11=""),0,SUMIFS(rngEngine_U,rngEngine_B,INDEX(Team!$A$11:$A$60,$AO47),rngAMStart,"&lt;="&amp;Calendar!D$11,rngAMEnd,"&gt;="&amp;Calendar!D$11))</ns0:f>
        <ns0:v>0</ns0:v>
      </ns0:c>
      <ns0:c r="BD47" s="0">
        <ns0:f>IF(OR($AO47=0,$B$5&lt;&gt;"OK",$B$6&gt;0,Calendar!D$11=""),0,SUMIFS(rngEngine_V,rngEngine_B,INDEX(Team!$A$11:$A$60,$AO47),rngPMStart,"&lt;="&amp;Calendar!D$11,rngPMEnd,"&gt;="&amp;Calendar!D$11))</ns0:f>
        <ns0:v>0</ns0:v>
      </ns0:c>
      <ns0:c r="BE47" s="0">
        <ns0:f>IF(OR($AO47=0,$B$5&lt;&gt;"OK",$B$6&gt;0,Calendar!E$11=""),0,SUMIFS(rngEngine_U,rngEngine_B,INDEX(Team!$A$11:$A$60,$AO47),rngAMStart,"&lt;="&amp;Calendar!E$11,rngAMEnd,"&gt;="&amp;Calendar!E$11))</ns0:f>
        <ns0:v>0</ns0:v>
      </ns0:c>
      <ns0:c r="BF47" s="0">
        <ns0:f>IF(OR($AO47=0,$B$5&lt;&gt;"OK",$B$6&gt;0,Calendar!E$11=""),0,SUMIFS(rngEngine_V,rngEngine_B,INDEX(Team!$A$11:$A$60,$AO47),rngPMStart,"&lt;="&amp;Calendar!E$11,rngPMEnd,"&gt;="&amp;Calendar!E$11))</ns0:f>
        <ns0:v>0</ns0:v>
      </ns0:c>
      <ns0:c r="BG47" s="0">
        <ns0:f>IF(OR($AO47=0,$B$5&lt;&gt;"OK",$B$6&gt;0,Calendar!F$11=""),0,SUMIFS(rngEngine_U,rngEngine_B,INDEX(Team!$A$11:$A$60,$AO47),rngAMStart,"&lt;="&amp;Calendar!F$11,rngAMEnd,"&gt;="&amp;Calendar!F$11))</ns0:f>
        <ns0:v>0</ns0:v>
      </ns0:c>
      <ns0:c r="BH47" s="0">
        <ns0:f>IF(OR($AO47=0,$B$5&lt;&gt;"OK",$B$6&gt;0,Calendar!F$11=""),0,SUMIFS(rngEngine_V,rngEngine_B,INDEX(Team!$A$11:$A$60,$AO47),rngPMStart,"&lt;="&amp;Calendar!F$11,rngPMEnd,"&gt;="&amp;Calendar!F$11))</ns0:f>
        <ns0:v>0</ns0:v>
      </ns0:c>
      <ns0:c r="BI47" s="0">
        <ns0:f>IF(OR($AO47=0,$B$5&lt;&gt;"OK",$B$6&gt;0,Calendar!G$11=""),0,SUMIFS(rngEngine_U,rngEngine_B,INDEX(Team!$A$11:$A$60,$AO47),rngAMStart,"&lt;="&amp;Calendar!G$11,rngAMEnd,"&gt;="&amp;Calendar!G$11))</ns0:f>
        <ns0:v>0</ns0:v>
      </ns0:c>
      <ns0:c r="BJ47" s="0">
        <ns0:f>IF(OR($AO47=0,$B$5&lt;&gt;"OK",$B$6&gt;0,Calendar!G$11=""),0,SUMIFS(rngEngine_V,rngEngine_B,INDEX(Team!$A$11:$A$60,$AO47),rngPMStart,"&lt;="&amp;Calendar!G$11,rngPMEnd,"&gt;="&amp;Calendar!G$11))</ns0:f>
        <ns0:v>0</ns0:v>
      </ns0:c>
      <ns0:c r="BK47" s="0">
        <ns0:f>IF(OR($AO47=0,$B$5&lt;&gt;"OK",$B$6&gt;0,Calendar!H$11=""),0,SUMIFS(rngEngine_U,rngEngine_B,INDEX(Team!$A$11:$A$60,$AO47),rngAMStart,"&lt;="&amp;Calendar!H$11,rngAMEnd,"&gt;="&amp;Calendar!H$11))</ns0:f>
        <ns0:v>0</ns0:v>
      </ns0:c>
      <ns0:c r="BL47" s="0">
        <ns0:f>IF(OR($AO47=0,$B$5&lt;&gt;"OK",$B$6&gt;0,Calendar!H$11=""),0,SUMIFS(rngEngine_V,rngEngine_B,INDEX(Team!$A$11:$A$60,$AO47),rngPMStart,"&lt;="&amp;Calendar!H$11,rngPMEnd,"&gt;="&amp;Calendar!H$11))</ns0:f>
        <ns0:v>0</ns0:v>
      </ns0:c>
      <ns0:c r="BM47" s="0">
        <ns0:f>IF(OR($AO47=0,$B$5&lt;&gt;"OK",$B$6&gt;0,Calendar!I$11=""),0,SUMIFS(rngEngine_U,rngEngine_B,INDEX(Team!$A$11:$A$60,$AO47),rngAMStart,"&lt;="&amp;Calendar!I$11,rngAMEnd,"&gt;="&amp;Calendar!I$11))</ns0:f>
        <ns0:v>0</ns0:v>
      </ns0:c>
      <ns0:c r="BN47" s="0">
        <ns0:f>IF(OR($AO47=0,$B$5&lt;&gt;"OK",$B$6&gt;0,Calendar!I$11=""),0,SUMIFS(rngEngine_V,rngEngine_B,INDEX(Team!$A$11:$A$60,$AO47),rngPMStart,"&lt;="&amp;Calendar!I$11,rngPMEnd,"&gt;="&amp;Calendar!I$11))</ns0:f>
        <ns0:v>0</ns0:v>
      </ns0:c>
      <ns0:c r="BO47" s="0">
        <ns0:f>IF(OR($AO47=0,$B$5&lt;&gt;"OK",$B$6&gt;0,Calendar!J$11=""),0,SUMIFS(rngEngine_U,rngEngine_B,INDEX(Team!$A$11:$A$60,$AO47),rngAMStart,"&lt;="&amp;Calendar!J$11,rngAMEnd,"&gt;="&amp;Calendar!J$11))</ns0:f>
        <ns0:v>0</ns0:v>
      </ns0:c>
      <ns0:c r="BP47" s="0">
        <ns0:f>IF(OR($AO47=0,$B$5&lt;&gt;"OK",$B$6&gt;0,Calendar!J$11=""),0,SUMIFS(rngEngine_V,rngEngine_B,INDEX(Team!$A$11:$A$60,$AO47),rngPMStart,"&lt;="&amp;Calendar!J$11,rngPMEnd,"&gt;="&amp;Calendar!J$11))</ns0:f>
        <ns0:v>0</ns0:v>
      </ns0:c>
      <ns0:c r="BQ47" s="0">
        <ns0:f>IF(OR($AO47=0,$B$5&lt;&gt;"OK",$B$6&gt;0,Calendar!K$11=""),0,SUMIFS(rngEngine_U,rngEngine_B,INDEX(Team!$A$11:$A$60,$AO47),rngAMStart,"&lt;="&amp;Calendar!K$11,rngAMEnd,"&gt;="&amp;Calendar!K$11))</ns0:f>
        <ns0:v>0</ns0:v>
      </ns0:c>
      <ns0:c r="BR47" s="0">
        <ns0:f>IF(OR($AO47=0,$B$5&lt;&gt;"OK",$B$6&gt;0,Calendar!K$11=""),0,SUMIFS(rngEngine_V,rngEngine_B,INDEX(Team!$A$11:$A$60,$AO47),rngPMStart,"&lt;="&amp;Calendar!K$11,rngPMEnd,"&gt;="&amp;Calendar!K$11))</ns0:f>
        <ns0:v>0</ns0:v>
      </ns0:c>
      <ns0:c r="BS47" s="0">
        <ns0:f>IF(OR($AO47=0,$B$5&lt;&gt;"OK",$B$6&gt;0,Calendar!L$11=""),0,SUMIFS(rngEngine_U,rngEngine_B,INDEX(Team!$A$11:$A$60,$AO47),rngAMStart,"&lt;="&amp;Calendar!L$11,rngAMEnd,"&gt;="&amp;Calendar!L$11))</ns0:f>
        <ns0:v>0</ns0:v>
      </ns0:c>
      <ns0:c r="BT47" s="0">
        <ns0:f>IF(OR($AO47=0,$B$5&lt;&gt;"OK",$B$6&gt;0,Calendar!L$11=""),0,SUMIFS(rngEngine_V,rngEngine_B,INDEX(Team!$A$11:$A$60,$AO47),rngPMStart,"&lt;="&amp;Calendar!L$11,rngPMEnd,"&gt;="&amp;Calendar!L$11))</ns0:f>
        <ns0:v>0</ns0:v>
      </ns0:c>
      <ns0:c r="BU47" s="0">
        <ns0:f>IF(OR($AO47=0,$B$5&lt;&gt;"OK",$B$6&gt;0,Calendar!M$11=""),0,SUMIFS(rngEngine_U,rngEngine_B,INDEX(Team!$A$11:$A$60,$AO47),rngAMStart,"&lt;="&amp;Calendar!M$11,rngAMEnd,"&gt;="&amp;Calendar!M$11))</ns0:f>
        <ns0:v>0</ns0:v>
      </ns0:c>
      <ns0:c r="BV47" s="0">
        <ns0:f>IF(OR($AO47=0,$B$5&lt;&gt;"OK",$B$6&gt;0,Calendar!M$11=""),0,SUMIFS(rngEngine_V,rngEngine_B,INDEX(Team!$A$11:$A$60,$AO47),rngPMStart,"&lt;="&amp;Calendar!M$11,rngPMEnd,"&gt;="&amp;Calendar!M$11))</ns0:f>
        <ns0:v>0</ns0:v>
      </ns0:c>
      <ns0:c r="BW47" s="0">
        <ns0:f>IF(OR($AO47=0,$B$5&lt;&gt;"OK",$B$6&gt;0,Calendar!N$11=""),0,SUMIFS(rngEngine_U,rngEngine_B,INDEX(Team!$A$11:$A$60,$AO47),rngAMStart,"&lt;="&amp;Calendar!N$11,rngAMEnd,"&gt;="&amp;Calendar!N$11))</ns0:f>
        <ns0:v>0</ns0:v>
      </ns0:c>
      <ns0:c r="BX47" s="0">
        <ns0:f>IF(OR($AO47=0,$B$5&lt;&gt;"OK",$B$6&gt;0,Calendar!N$11=""),0,SUMIFS(rngEngine_V,rngEngine_B,INDEX(Team!$A$11:$A$60,$AO47),rngPMStart,"&lt;="&amp;Calendar!N$11,rngPMEnd,"&gt;="&amp;Calendar!N$11))</ns0:f>
        <ns0:v>0</ns0:v>
      </ns0:c>
      <ns0:c r="BY47" s="0">
        <ns0:f>IF(OR($AO47=0,$B$5&lt;&gt;"OK",$B$6&gt;0,Calendar!O$11=""),0,SUMIFS(rngEngine_U,rngEngine_B,INDEX(Team!$A$11:$A$60,$AO47),rngAMStart,"&lt;="&amp;Calendar!O$11,rngAMEnd,"&gt;="&amp;Calendar!O$11))</ns0:f>
        <ns0:v>0</ns0:v>
      </ns0:c>
      <ns0:c r="BZ47" s="0">
        <ns0:f>IF(OR($AO47=0,$B$5&lt;&gt;"OK",$B$6&gt;0,Calendar!O$11=""),0,SUMIFS(rngEngine_V,rngEngine_B,INDEX(Team!$A$11:$A$60,$AO47),rngPMStart,"&lt;="&amp;Calendar!O$11,rngPMEnd,"&gt;="&amp;Calendar!O$11))</ns0:f>
        <ns0:v>0</ns0:v>
      </ns0:c>
      <ns0:c r="CA47" s="0">
        <ns0:f>IF(OR($AO47=0,$B$5&lt;&gt;"OK",$B$6&gt;0,Calendar!P$11=""),0,SUMIFS(rngEngine_U,rngEngine_B,INDEX(Team!$A$11:$A$60,$AO47),rngAMStart,"&lt;="&amp;Calendar!P$11,rngAMEnd,"&gt;="&amp;Calendar!P$11))</ns0:f>
        <ns0:v>0</ns0:v>
      </ns0:c>
      <ns0:c r="CB47" s="0">
        <ns0:f>IF(OR($AO47=0,$B$5&lt;&gt;"OK",$B$6&gt;0,Calendar!P$11=""),0,SUMIFS(rngEngine_V,rngEngine_B,INDEX(Team!$A$11:$A$60,$AO47),rngPMStart,"&lt;="&amp;Calendar!P$11,rngPMEnd,"&gt;="&amp;Calendar!P$11))</ns0:f>
        <ns0:v>0</ns0:v>
      </ns0:c>
      <ns0:c r="CC47" s="0">
        <ns0:f>IF(OR($AO47=0,$B$5&lt;&gt;"OK",$B$6&gt;0,Calendar!Q$11=""),0,SUMIFS(rngEngine_U,rngEngine_B,INDEX(Team!$A$11:$A$60,$AO47),rngAMStart,"&lt;="&amp;Calendar!Q$11,rngAMEnd,"&gt;="&amp;Calendar!Q$11))</ns0:f>
        <ns0:v>0</ns0:v>
      </ns0:c>
      <ns0:c r="CD47" s="0">
        <ns0:f>IF(OR($AO47=0,$B$5&lt;&gt;"OK",$B$6&gt;0,Calendar!Q$11=""),0,SUMIFS(rngEngine_V,rngEngine_B,INDEX(Team!$A$11:$A$60,$AO47),rngPMStart,"&lt;="&amp;Calendar!Q$11,rngPMEnd,"&gt;="&amp;Calendar!Q$11))</ns0:f>
        <ns0:v>0</ns0:v>
      </ns0:c>
      <ns0:c r="CE47" s="0">
        <ns0:f>IF(OR($AO47=0,$B$5&lt;&gt;"OK",$B$6&gt;0,Calendar!R$11=""),0,SUMIFS(rngEngine_U,rngEngine_B,INDEX(Team!$A$11:$A$60,$AO47),rngAMStart,"&lt;="&amp;Calendar!R$11,rngAMEnd,"&gt;="&amp;Calendar!R$11))</ns0:f>
        <ns0:v>0</ns0:v>
      </ns0:c>
      <ns0:c r="CF47" s="0">
        <ns0:f>IF(OR($AO47=0,$B$5&lt;&gt;"OK",$B$6&gt;0,Calendar!R$11=""),0,SUMIFS(rngEngine_V,rngEngine_B,INDEX(Team!$A$11:$A$60,$AO47),rngPMStart,"&lt;="&amp;Calendar!R$11,rngPMEnd,"&gt;="&amp;Calendar!R$11))</ns0:f>
        <ns0:v>0</ns0:v>
      </ns0:c>
      <ns0:c r="CG47" s="0">
        <ns0:f>IF(OR($AO47=0,$B$5&lt;&gt;"OK",$B$6&gt;0,Calendar!S$11=""),0,SUMIFS(rngEngine_U,rngEngine_B,INDEX(Team!$A$11:$A$60,$AO47),rngAMStart,"&lt;="&amp;Calendar!S$11,rngAMEnd,"&gt;="&amp;Calendar!S$11))</ns0:f>
        <ns0:v>0</ns0:v>
      </ns0:c>
      <ns0:c r="CH47" s="0">
        <ns0:f>IF(OR($AO47=0,$B$5&lt;&gt;"OK",$B$6&gt;0,Calendar!S$11=""),0,SUMIFS(rngEngine_V,rngEngine_B,INDEX(Team!$A$11:$A$60,$AO47),rngPMStart,"&lt;="&amp;Calendar!S$11,rngPMEnd,"&gt;="&amp;Calendar!S$11))</ns0:f>
        <ns0:v>0</ns0:v>
      </ns0:c>
      <ns0:c r="CI47" s="0">
        <ns0:f>IF(OR($AO47=0,$B$5&lt;&gt;"OK",$B$6&gt;0,Calendar!T$11=""),0,SUMIFS(rngEngine_U,rngEngine_B,INDEX(Team!$A$11:$A$60,$AO47),rngAMStart,"&lt;="&amp;Calendar!T$11,rngAMEnd,"&gt;="&amp;Calendar!T$11))</ns0:f>
        <ns0:v>0</ns0:v>
      </ns0:c>
      <ns0:c r="CJ47" s="0">
        <ns0:f>IF(OR($AO47=0,$B$5&lt;&gt;"OK",$B$6&gt;0,Calendar!T$11=""),0,SUMIFS(rngEngine_V,rngEngine_B,INDEX(Team!$A$11:$A$60,$AO47),rngPMStart,"&lt;="&amp;Calendar!T$11,rngPMEnd,"&gt;="&amp;Calendar!T$11))</ns0:f>
        <ns0:v>0</ns0:v>
      </ns0:c>
      <ns0:c r="CK47" s="0">
        <ns0:f>IF(OR($AO47=0,$B$5&lt;&gt;"OK",$B$6&gt;0,Calendar!U$11=""),0,SUMIFS(rngEngine_U,rngEngine_B,INDEX(Team!$A$11:$A$60,$AO47),rngAMStart,"&lt;="&amp;Calendar!U$11,rngAMEnd,"&gt;="&amp;Calendar!U$11))</ns0:f>
        <ns0:v>0</ns0:v>
      </ns0:c>
      <ns0:c r="CL47" s="0">
        <ns0:f>IF(OR($AO47=0,$B$5&lt;&gt;"OK",$B$6&gt;0,Calendar!U$11=""),0,SUMIFS(rngEngine_V,rngEngine_B,INDEX(Team!$A$11:$A$60,$AO47),rngPMStart,"&lt;="&amp;Calendar!U$11,rngPMEnd,"&gt;="&amp;Calendar!U$11))</ns0:f>
        <ns0:v>0</ns0:v>
      </ns0:c>
      <ns0:c r="CM47" s="0">
        <ns0:f>IF(OR($AO47=0,$B$5&lt;&gt;"OK",$B$6&gt;0,Calendar!V$11=""),0,SUMIFS(rngEngine_U,rngEngine_B,INDEX(Team!$A$11:$A$60,$AO47),rngAMStart,"&lt;="&amp;Calendar!V$11,rngAMEnd,"&gt;="&amp;Calendar!V$11))</ns0:f>
        <ns0:v>0</ns0:v>
      </ns0:c>
      <ns0:c r="CN47" s="0">
        <ns0:f>IF(OR($AO47=0,$B$5&lt;&gt;"OK",$B$6&gt;0,Calendar!V$11=""),0,SUMIFS(rngEngine_V,rngEngine_B,INDEX(Team!$A$11:$A$60,$AO47),rngPMStart,"&lt;="&amp;Calendar!V$11,rngPMEnd,"&gt;="&amp;Calendar!V$11))</ns0:f>
        <ns0:v>0</ns0:v>
      </ns0:c>
      <ns0:c r="CO47" s="0">
        <ns0:f>IF(OR($AO47=0,$B$5&lt;&gt;"OK",$B$6&gt;0,Calendar!W$11=""),0,SUMIFS(rngEngine_U,rngEngine_B,INDEX(Team!$A$11:$A$60,$AO47),rngAMStart,"&lt;="&amp;Calendar!W$11,rngAMEnd,"&gt;="&amp;Calendar!W$11))</ns0:f>
        <ns0:v>0</ns0:v>
      </ns0:c>
      <ns0:c r="CP47" s="0">
        <ns0:f>IF(OR($AO47=0,$B$5&lt;&gt;"OK",$B$6&gt;0,Calendar!W$11=""),0,SUMIFS(rngEngine_V,rngEngine_B,INDEX(Team!$A$11:$A$60,$AO47),rngPMStart,"&lt;="&amp;Calendar!W$11,rngPMEnd,"&gt;="&amp;Calendar!W$11))</ns0:f>
        <ns0:v>0</ns0:v>
      </ns0:c>
      <ns0:c r="CQ47" s="0">
        <ns0:f>IF(OR($AO47=0,$B$5&lt;&gt;"OK",$B$6&gt;0,Calendar!X$11=""),0,SUMIFS(rngEngine_U,rngEngine_B,INDEX(Team!$A$11:$A$60,$AO47),rngAMStart,"&lt;="&amp;Calendar!X$11,rngAMEnd,"&gt;="&amp;Calendar!X$11))</ns0:f>
        <ns0:v>0</ns0:v>
      </ns0:c>
      <ns0:c r="CR47" s="0">
        <ns0:f>IF(OR($AO47=0,$B$5&lt;&gt;"OK",$B$6&gt;0,Calendar!X$11=""),0,SUMIFS(rngEngine_V,rngEngine_B,INDEX(Team!$A$11:$A$60,$AO47),rngPMStart,"&lt;="&amp;Calendar!X$11,rngPMEnd,"&gt;="&amp;Calendar!X$11))</ns0:f>
        <ns0:v>0</ns0:v>
      </ns0:c>
      <ns0:c r="CS47" s="0">
        <ns0:f>IF(OR($AO47=0,$B$5&lt;&gt;"OK",$B$6&gt;0,Calendar!Y$11=""),0,SUMIFS(rngEngine_U,rngEngine_B,INDEX(Team!$A$11:$A$60,$AO47),rngAMStart,"&lt;="&amp;Calendar!Y$11,rngAMEnd,"&gt;="&amp;Calendar!Y$11))</ns0:f>
        <ns0:v>0</ns0:v>
      </ns0:c>
      <ns0:c r="CT47" s="0">
        <ns0:f>IF(OR($AO47=0,$B$5&lt;&gt;"OK",$B$6&gt;0,Calendar!Y$11=""),0,SUMIFS(rngEngine_V,rngEngine_B,INDEX(Team!$A$11:$A$60,$AO47),rngPMStart,"&lt;="&amp;Calendar!Y$11,rngPMEnd,"&gt;="&amp;Calendar!Y$11))</ns0:f>
        <ns0:v>0</ns0:v>
      </ns0:c>
      <ns0:c r="CU47" s="0">
        <ns0:f>IF(OR($AO47=0,$B$5&lt;&gt;"OK",$B$6&gt;0,Calendar!Z$11=""),0,SUMIFS(rngEngine_U,rngEngine_B,INDEX(Team!$A$11:$A$60,$AO47),rngAMStart,"&lt;="&amp;Calendar!Z$11,rngAMEnd,"&gt;="&amp;Calendar!Z$11))</ns0:f>
        <ns0:v>0</ns0:v>
      </ns0:c>
      <ns0:c r="CV47" s="0">
        <ns0:f>IF(OR($AO47=0,$B$5&lt;&gt;"OK",$B$6&gt;0,Calendar!Z$11=""),0,SUMIFS(rngEngine_V,rngEngine_B,INDEX(Team!$A$11:$A$60,$AO47),rngPMStart,"&lt;="&amp;Calendar!Z$11,rngPMEnd,"&gt;="&amp;Calendar!Z$11))</ns0:f>
        <ns0:v>0</ns0:v>
      </ns0:c>
      <ns0:c r="CW47" s="0">
        <ns0:f>IF(OR($AO47=0,$B$5&lt;&gt;"OK",$B$6&gt;0,Calendar!AA$11=""),0,SUMIFS(rngEngine_U,rngEngine_B,INDEX(Team!$A$11:$A$60,$AO47),rngAMStart,"&lt;="&amp;Calendar!AA$11,rngAMEnd,"&gt;="&amp;Calendar!AA$11))</ns0:f>
        <ns0:v>0</ns0:v>
      </ns0:c>
      <ns0:c r="CX47" s="0">
        <ns0:f>IF(OR($AO47=0,$B$5&lt;&gt;"OK",$B$6&gt;0,Calendar!AA$11=""),0,SUMIFS(rngEngine_V,rngEngine_B,INDEX(Team!$A$11:$A$60,$AO47),rngPMStart,"&lt;="&amp;Calendar!AA$11,rngPMEnd,"&gt;="&amp;Calendar!AA$11))</ns0:f>
        <ns0:v>0</ns0:v>
      </ns0:c>
      <ns0:c r="CY47" s="0">
        <ns0:f>IF(OR($AO47=0,$B$5&lt;&gt;"OK",$B$6&gt;0,Calendar!AB$11=""),0,SUMIFS(rngEngine_U,rngEngine_B,INDEX(Team!$A$11:$A$60,$AO47),rngAMStart,"&lt;="&amp;Calendar!AB$11,rngAMEnd,"&gt;="&amp;Calendar!AB$11))</ns0:f>
        <ns0:v>0</ns0:v>
      </ns0:c>
      <ns0:c r="CZ47" s="0">
        <ns0:f>IF(OR($AO47=0,$B$5&lt;&gt;"OK",$B$6&gt;0,Calendar!AB$11=""),0,SUMIFS(rngEngine_V,rngEngine_B,INDEX(Team!$A$11:$A$60,$AO47),rngPMStart,"&lt;="&amp;Calendar!AB$11,rngPMEnd,"&gt;="&amp;Calendar!AB$11))</ns0:f>
        <ns0:v>0</ns0:v>
      </ns0:c>
      <ns0:c r="DA47" s="0">
        <ns0:f>IF(OR($AO47=0,$B$5&lt;&gt;"OK",$B$6&gt;0,Calendar!AC$11=""),0,SUMIFS(rngEngine_U,rngEngine_B,INDEX(Team!$A$11:$A$60,$AO47),rngAMStart,"&lt;="&amp;Calendar!AC$11,rngAMEnd,"&gt;="&amp;Calendar!AC$11))</ns0:f>
        <ns0:v>0</ns0:v>
      </ns0:c>
      <ns0:c r="DB47" s="0">
        <ns0:f>IF(OR($AO47=0,$B$5&lt;&gt;"OK",$B$6&gt;0,Calendar!AC$11=""),0,SUMIFS(rngEngine_V,rngEngine_B,INDEX(Team!$A$11:$A$60,$AO47),rngPMStart,"&lt;="&amp;Calendar!AC$11,rngPMEnd,"&gt;="&amp;Calendar!AC$11))</ns0:f>
        <ns0:v>0</ns0:v>
      </ns0:c>
      <ns0:c r="DC47" s="0">
        <ns0:f>IF(OR($AO47=0,$B$5&lt;&gt;"OK",$B$6&gt;0,Calendar!AD$11=""),0,SUMIFS(rngEngine_U,rngEngine_B,INDEX(Team!$A$11:$A$60,$AO47),rngAMStart,"&lt;="&amp;Calendar!AD$11,rngAMEnd,"&gt;="&amp;Calendar!AD$11))</ns0:f>
        <ns0:v>0</ns0:v>
      </ns0:c>
      <ns0:c r="DD47" s="0">
        <ns0:f>IF(OR($AO47=0,$B$5&lt;&gt;"OK",$B$6&gt;0,Calendar!AD$11=""),0,SUMIFS(rngEngine_V,rngEngine_B,INDEX(Team!$A$11:$A$60,$AO47),rngPMStart,"&lt;="&amp;Calendar!AD$11,rngPMEnd,"&gt;="&amp;Calendar!AD$11))</ns0:f>
        <ns0:v>0</ns0:v>
      </ns0:c>
      <ns0:c r="DE47" s="0">
        <ns0:f>IF(OR($AO47=0,$B$5&lt;&gt;"OK",$B$6&gt;0,Calendar!AE$11=""),0,SUMIFS(rngEngine_U,rngEngine_B,INDEX(Team!$A$11:$A$60,$AO47),rngAMStart,"&lt;="&amp;Calendar!AE$11,rngAMEnd,"&gt;="&amp;Calendar!AE$11))</ns0:f>
        <ns0:v>0</ns0:v>
      </ns0:c>
      <ns0:c r="DF47" s="0">
        <ns0:f>IF(OR($AO47=0,$B$5&lt;&gt;"OK",$B$6&gt;0,Calendar!AE$11=""),0,SUMIFS(rngEngine_V,rngEngine_B,INDEX(Team!$A$11:$A$60,$AO47),rngPMStart,"&lt;="&amp;Calendar!AE$11,rngPMEnd,"&gt;="&amp;Calendar!AE$11))</ns0:f>
        <ns0:v>0</ns0:v>
      </ns0:c>
      <ns0:c r="DG47" s="0">
        <ns0:f>IF(OR($AO47=0,$B$5&lt;&gt;"OK",$B$6&gt;0,Calendar!AF$11=""),0,SUMIFS(rngEngine_U,rngEngine_B,INDEX(Team!$A$11:$A$60,$AO47),rngAMStart,"&lt;="&amp;Calendar!AF$11,rngAMEnd,"&gt;="&amp;Calendar!AF$11))</ns0:f>
        <ns0:v>0</ns0:v>
      </ns0:c>
      <ns0:c r="DH47" s="0">
        <ns0:f>IF(OR($AO47=0,$B$5&lt;&gt;"OK",$B$6&gt;0,Calendar!AF$11=""),0,SUMIFS(rngEngine_V,rngEngine_B,INDEX(Team!$A$11:$A$60,$AO47),rngPMStart,"&lt;="&amp;Calendar!AF$11,rngPMEnd,"&gt;="&amp;Calendar!AF$11))</ns0:f>
        <ns0:v>0</ns0:v>
      </ns0:c>
      <ns0:c r="DI47" s="0">
        <ns0:f>IF(OR($AO47=0,$B$5&lt;&gt;"OK",$B$6&gt;0,Calendar!AG$11=""),0,SUMIFS(rngEngine_U,rngEngine_B,INDEX(Team!$A$11:$A$60,$AO47),rngAMStart,"&lt;="&amp;Calendar!AG$11,rngAMEnd,"&gt;="&amp;Calendar!AG$11))</ns0:f>
        <ns0:v>0</ns0:v>
      </ns0:c>
      <ns0:c r="DJ47" s="0">
        <ns0:f>IF(OR($AO47=0,$B$5&lt;&gt;"OK",$B$6&gt;0,Calendar!AG$11=""),0,SUMIFS(rngEngine_V,rngEngine_B,INDEX(Team!$A$11:$A$60,$AO47),rngPMStart,"&lt;="&amp;Calendar!AG$11,rngPMEnd,"&gt;="&amp;Calendar!AG$11))</ns0:f>
        <ns0:v>0</ns0:v>
      </ns0:c>
      <ns0:c r="DK47" s="0">
        <ns0:f>IF(OR($AO47=0,$B$5&lt;&gt;"OK",$B$6&gt;0,Calendar!AH$11=""),0,SUMIFS(rngEngine_U,rngEngine_B,INDEX(Team!$A$11:$A$60,$AO47),rngAMStart,"&lt;="&amp;Calendar!AH$11,rngAMEnd,"&gt;="&amp;Calendar!AH$11))</ns0:f>
        <ns0:v>0</ns0:v>
      </ns0:c>
      <ns0:c r="DL47" s="0">
        <ns0:f>IF(OR($AO47=0,$B$5&lt;&gt;"OK",$B$6&gt;0,Calendar!AH$11=""),0,SUMIFS(rngEngine_V,rngEngine_B,INDEX(Team!$A$11:$A$60,$AO47),rngPMStart,"&lt;="&amp;Calendar!AH$11,rngPMEnd,"&gt;="&amp;Calendar!AH$11))</ns0:f>
        <ns0:v>0</ns0:v>
      </ns0:c>
    </ns0:row>
    <ns0:row r="48" ht="22" customHeight="1">
      <ns0:c r="A48" s="4">
        <ns0:f>IF(COUNTA(Bookings!A48:G48,Bookings!I48)=0,0,1)</ns0:f>
        <ns0:v>0</ns0:v>
      </ns0:c>
      <ns0:c r="B48" s="4" t="str">
        <ns0:f>IFERROR(TRIM(MID(Bookings!A48,FIND(" · ",Bookings!A48)+3,99)),"")</ns0:f>
        <ns0:v/>
      </ns0:c>
      <ns0:c r="C48" s="4">
        <ns0:f>IF(OR(B48="",LEN(B48)&gt;24,ISNUMBER(FIND(" ",B48)),ISNUMBER(FIND("*",B48)),ISNUMBER(FIND("?",B48)),ISNUMBER(FIND("~",B48))),0,IFERROR(MATCH(B48,Team!$A$11:$A$60,0),0))</ns0:f>
        <ns0:v>0</ns0:v>
      </ns0:c>
      <ns0:c r="D48" s="4" t="str">
        <ns0:f>IFERROR(IF(MID(Bookings!F48,LEN(Bookings!F48)-3,3)=" · ",RIGHT(Bookings!F48,1),""),"")</ns0:f>
        <ns0:v/>
      </ns0:c>
      <ns0:c r="E48" s="4" t="str">
        <ns0:f>IFERROR(INDEX(Settings!$H$7:$H$11,MATCH(D48,Settings!$G$7:$G$11,0)),"")</ns0:f>
        <ns0:v/>
      </ns0:c>
      <ns0:c r="F48" s="4" t="str">
        <ns0:f>IF(A48=0,"",IFERROR(IF(OR(B48="",C48=0),"CHECK employee selection",IF(INDEX(Team!$O$11:$O$60,C48)&lt;&gt;"OK","CHECK employee setup",IF(OR('_Dates'!J48=0,'_Dates'!T48=0),"CHECK date: use DD.MM.YYYY",IF('_Dates'!T48&lt;'_Dates'!J48,"CHECK end before start",IF(AND($B$6=0,OR('_Dates'!J48&lt;Settings!$B$7,'_Dates'!T48&gt;Settings!$B$8)),"CHECK split across leave years",IF(OR(NOT(OR('_Dates'!U48="Full day",'_Dates'!U48="AM",'_Dates'!U48="PM")),NOT(OR('_Dates'!V48="Full day",'_Dates'!V48="AM",'_Dates'!V48="PM"))),"CHECK Full day / AM / PM",IF(AND('_Dates'!J48='_Dates'!T48,'_Dates'!U48&lt;&gt;"Full day",'_Dates'!V48&lt;&gt;"Full day",'_Dates'!U48&lt;&gt;'_Dates'!V48),"CHECK same-day portions disagree",IF(AND($B$6=0,OR(AND('_Dates'!U48&lt;&gt;"Full day",'_Dates'!AA48=0),AND('_Dates'!V48&lt;&gt;"Full day",'_Dates'!AB48=0))),"CHECK half-day on non-working date",IF(COUNTIF(Settings!$G$7:$G$11,D48)&lt;&gt;1,"CHECK leave type",IF(AND(Bookings!G48&lt;&gt;"Approved",Bookings!G48&lt;&gt;"Pending",Bookings!G48&lt;&gt;"Cancelled"),"CHECK status","OK")))))))))),"CHECK input"))</ns0:f>
        <ns0:v/>
      </ns0:c>
      <ns0:c r="G48" s="4">
        <ns0:f>IF(OR(F48&lt;&gt;"OK",$B$6&gt;0),0,0.5*(IF(('_Dates'!X48)&lt;('_Dates'!W48),0,INT((('_Dates'!X48)-('_Dates'!W48)+1)/7)*LEN(SUBSTITUTE(W48,"O",""))+LEN(SUBSTITUTE(MID(W48&amp;W48,WEEKDAY(('_Dates'!W48),2),MOD((('_Dates'!X48)-('_Dates'!W48)+1),7)),"O",""))-COUNTIFS(INDEX(AllClosureRows,C48,0),"&gt;="&amp;('_Dates'!W48),INDEX(AllClosureRows,C48,0),"&lt;="&amp;('_Dates'!X48)))+IF(('_Dates'!Z48)&lt;('_Dates'!Y48),0,INT((('_Dates'!Z48)-('_Dates'!Y48)+1)/7)*LEN(SUBSTITUTE(W48,"O",""))+LEN(SUBSTITUTE(MID(W48&amp;W48,WEEKDAY(('_Dates'!Y48),2),MOD((('_Dates'!Z48)-('_Dates'!Y48)+1),7)),"O",""))-COUNTIFS(INDEX(AllClosureRows,C48,0),"&gt;="&amp;('_Dates'!Y48),INDEX(AllClosureRows,C48,0),"&lt;="&amp;('_Dates'!Z48)))))</ns0:f>
        <ns0:v>0</ns0:v>
      </ns0:c>
      <ns0:c r="H48" s="4">
        <ns0:f>IF(OR(F48&lt;&gt;"OK",$B$6&gt;0),0,0.5*(IF((MIN('_Dates'!X48,Settings!$B$9))&lt;('_Dates'!W48),0,INT(((MIN('_Dates'!X48,Settings!$B$9))-('_Dates'!W48)+1)/7)*LEN(SUBSTITUTE(W48,"O",""))+LEN(SUBSTITUTE(MID(W48&amp;W48,WEEKDAY(('_Dates'!W48),2),MOD(((MIN('_Dates'!X48,Settings!$B$9))-('_Dates'!W48)+1),7)),"O",""))-COUNTIFS(INDEX(AllClosureRows,C48,0),"&gt;="&amp;('_Dates'!W48),INDEX(AllClosureRows,C48,0),"&lt;="&amp;(MIN('_Dates'!X48,Settings!$B$9))))+IF((MIN('_Dates'!Z48,Settings!$B$9))&lt;('_Dates'!Y48),0,INT(((MIN('_Dates'!Z48,Settings!$B$9))-('_Dates'!Y48)+1)/7)*LEN(SUBSTITUTE(W48,"O",""))+LEN(SUBSTITUTE(MID(W48&amp;W48,WEEKDAY(('_Dates'!Y48),2),MOD(((MIN('_Dates'!Z48,Settings!$B$9))-('_Dates'!Y48)+1),7)),"O",""))-COUNTIFS(INDEX(AllClosureRows,C48,0),"&gt;="&amp;('_Dates'!Y48),INDEX(AllClosureRows,C48,0),"&lt;="&amp;(MIN('_Dates'!Z48,Settings!$B$9))))))</ns0:f>
        <ns0:v>0</ns0:v>
      </ns0:c>
      <ns0:c r="I48" s="4">
        <ns0:f>MAX(0,G48-H48)</ns0:f>
        <ns0:v>0</ns0:v>
      </ns0:c>
      <ns0:c r="J48" s="4">
        <ns0:f>IF(OR(A48=0,F48&lt;&gt;"OK",Bookings!G48="Cancelled",$B$6&gt;0),0,IF('_Dates'!AC48=1,MAX(0,COUNTIFS(rngEngine_B,B48,rngAMStart,"&lt;="&amp;'_Dates'!X48,rngAMEnd,"&gt;="&amp;'_Dates'!W48,rngAMActive,1,rngEngine_F,"OK",rngBookings_F,"&lt;&gt;Cancelled")-1),0)+IF('_Dates'!AD48=1,MAX(0,COUNTIFS(rngEngine_B,B48,rngPMStart,"&lt;="&amp;'_Dates'!Z48,rngPMEnd,"&gt;="&amp;'_Dates'!Y48,rngPMActive,1,rngEngine_F,"OK",rngBookings_F,"&lt;&gt;Cancelled")-1),0))</ns0:f>
        <ns0:v>0</ns0:v>
      </ns0:c>
      <ns0:c r="K48" s="0" t="str">
        <ns0:f>IF(A48=0,"",IF(F48&lt;&gt;"OK",F48,IF(J48&gt;0,"CHECK overlapping entry",IF(AND($B$6=0,G48&lt;=0,Bookings!G48&lt;&gt;"Cancelled"),"CHECK no working days",IF(Bookings!G48="Cancelled","Cancelled","OK")))))</ns0:f>
        <ns0:v/>
      </ns0:c>
      <ns0:c r="L48" s="0">
        <ns0:f>IF(LEFT(K48,5)="CHECK",1,0)</ns0:f>
        <ns0:v>0</ns0:v>
      </ns0:c>
      <ns0:c r="M48" s="0">
        <ns0:f>IF(AND(L48=1,OR(C48=0,IFERROR(INDEX($X$11:$X$60,C48),0)=0)),1,0)</ns0:f>
        <ns0:v>0</ns0:v>
      </ns0:c>
      <ns0:c r="N48" s="0">
        <ns0:f>IF(OR(A48=0,L48&gt;0,$B$6&gt;0,Bookings!G48="Cancelled"),0,G48)</ns0:f>
        <ns0:v>0</ns0:v>
      </ns0:c>
      <ns0:c r="O48" s="0">
        <ns0:f>IF(AND(Bookings!G48="Approved",E48="Yes"),N48,0)</ns0:f>
        <ns0:v>0</ns0:v>
      </ns0:c>
      <ns0:c r="P48" s="0">
        <ns0:f>IF(AND(Bookings!G48="Approved",E48="Yes",L48=0,$B$6=0),H48,0)</ns0:f>
        <ns0:v>0</ns0:v>
      </ns0:c>
      <ns0:c r="Q48" s="0">
        <ns0:f>IF(AND(Bookings!G48="Approved",E48="Yes",L48=0,$B$6=0),I48,0)</ns0:f>
        <ns0:v>0</ns0:v>
      </ns0:c>
      <ns0:c r="R48" s="0">
        <ns0:f>IF(AND(Bookings!G48="Pending",E48="Yes"),N48,0)</ns0:f>
        <ns0:v>0</ns0:v>
      </ns0:c>
      <ns0:c r="S48" s="0">
        <ns0:f>IF(AND(Bookings!G48="Approved",E48="No"),N48,0)</ns0:f>
        <ns0:v>0</ns0:v>
      </ns0:c>
      <ns0:c r="T48" s="0">
        <ns0:f>IFERROR(MATCH(D48,Settings!$G$7:$G$11,0),0)</ns0:f>
        <ns0:v>0</ns0:v>
      </ns0:c>
      <ns0:c r="U48" s="0">
        <ns0:f>IF(N48&gt;0,T48+IF(Bookings!G48="Pending",10,0),0)</ns0:f>
        <ns0:v>0</ns0:v>
      </ns0:c>
      <ns0:c r="V48" s="0">
        <ns0:f>U48</ns0:f>
        <ns0:v>0</ns0:v>
      </ns0:c>
      <ns0:c r="W48" s="0" t="str">
        <ns0:f>IF(C48=0,"",INDEX($AP$11:$AP$60,C48))</ns0:f>
        <ns0:v/>
      </ns0:c>
      <ns0:c r="X48" s="0">
        <ns0:f>IF(COUNTA(Team!B48:D48)=0,0,1)</ns0:f>
        <ns0:v>0</ns0:v>
      </ns0:c>
      <ns0:c r="Y48" s="0" t="str">
        <ns0:f>IF(X48=0,"",IF(Team!B48="","[Unnamed]",Team!B48)&amp;" · "&amp;Team!A48)</ns0:f>
        <ns0:v/>
      </ns0:c>
      <ns0:c r="Z48" s="0">
        <ns0:f>IF(X48=0,0,COUNTIF(Team!H48:N48,"Work"))</ns0:f>
        <ns0:v>0</ns0:v>
      </ns0:c>
      <ns0:c r="AA48" s="0">
        <ns0:f>IF(LEFT(Team!O48,5)="CHECK",1,0)</ns0:f>
        <ns0:v>0</ns0:v>
      </ns0:c>
      <ns0:c r="AB48" s="0">
        <ns0:f>IF(X48=0,0,SUMIFS(rngEngine_L,rngEngine_B,Team!A48))</ns0:f>
        <ns0:v>0</ns0:v>
      </ns0:c>
      <ns0:c r="AC48" s="0" t="str">
        <ns0:f>IF(AND(X48=1,OR(Calendar!$C$7="All teams",Team!C48=Calendar!$C$7)),MAX($AC$10:AC47)+1,"")</ns0:f>
        <ns0:v/>
      </ns0:c>
      <ns0:c r="AD48" s="0" t="str">
        <ns0:f>IF(OR(X48=0,Team!C48="",COUNTIF(Team!$C$11:C48,Team!C48)&gt;1),"",MAX($AD$10:AD47)+1)</ns0:f>
        <ns0:v/>
      </ns0:c>
      <ns0:c r="AE48" s="0" t="str">
        <ns0:f>IFERROR(INDEX(Team!$C$11:$C$60,MATCH(ROW()-10,$AD$11:$AD$60,0)),"")</ns0:f>
        <ns0:v/>
      </ns0:c>
      <ns0:c r="AF48" s="0" t="str">
        <ns0:f>AE48</ns0:f>
        <ns0:v/>
      </ns0:c>
      <ns0:c r="AG48" s="0">
        <ns0:f>IF(X48=0,0,IFERROR(Team!F48+Team!G48,0))</ns0:f>
        <ns0:v>0</ns0:v>
      </ns0:c>
      <ns0:c r="AH48" s="0">
        <ns0:f>IF(X48=0,0,SUMIFS(rngEngine_P,rngEngine_B,Team!A48))</ns0:f>
        <ns0:v>0</ns0:v>
      </ns0:c>
      <ns0:c r="AI48" s="0">
        <ns0:f>IF(X48=0,0,SUMIFS(rngEngine_Q,rngEngine_B,Team!A48))</ns0:f>
        <ns0:v>0</ns0:v>
      </ns0:c>
      <ns0:c r="AJ48" s="0">
        <ns0:f>IF(X48=0,0,SUMIFS(rngEngine_R,rngEngine_B,Team!A48))</ns0:f>
        <ns0:v>0</ns0:v>
      </ns0:c>
      <ns0:c r="AK48" s="0">
        <ns0:f>IF(X48=0,0,SUMIFS(rngEngine_S,rngEngine_B,Team!A48))</ns0:f>
        <ns0:v>0</ns0:v>
      </ns0:c>
      <ns0:c r="AL48" s="0">
        <ns0:f>AH48+AI48</ns0:f>
        <ns0:v>0</ns0:v>
      </ns0:c>
      <ns0:c r="AM48" s="0" t="str">
        <ns0:f>IF(X48=0,"",IF(AA48&gt;0,"CHECK team setup",IF(AB48&gt;0,"CHECK "&amp;AB48&amp;" booking(s)","OK")))</ns0:f>
        <ns0:v/>
      </ns0:c>
      <ns0:c r="AN48" s="0" t="str">
        <ns0:f>IF(X48=0,"",IF(OR($B$6&gt;0,AM48&lt;&gt;"OK"),"REVIEW",AG48-AL48))</ns0:f>
        <ns0:v/>
      </ns0:c>
      <ns0:c r="AO48" s="0">
        <ns0:f>IFERROR(MATCH(ROW()-11,$AC$11:$AC$60,0),0)</ns0:f>
        <ns0:v>0</ns0:v>
      </ns0:c>
      <ns0:c r="AP48" s="0" t="str">
        <ns0:f>IF(Team!H48="Work","W","O")&amp;IF(Team!I48="Work","W","O")&amp;IF(Team!J48="Work","W","O")&amp;IF(Team!K48="Work","W","O")&amp;IF(Team!L48="Work","W","O")&amp;IF(Team!M48="Work","W","O")&amp;IF(Team!N48="Work","W","O")</ns0:f>
        <ns0:v>WWWWWOO</ns0:v>
      </ns0:c>
      <ns0:c r="AR48" s="0">
        <ns0:f>IFERROR(IF(ISNUMBER(Settings!F48),WEEKDAY(Settings!F48,2),0),0)</ns0:f>
        <ns0:v>0</ns0:v>
      </ns0:c>
      <ns0:c r="BC48" s="0">
        <ns0:f>IF(OR($AO48=0,$B$5&lt;&gt;"OK",$B$6&gt;0,Calendar!D$11=""),0,SUMIFS(rngEngine_U,rngEngine_B,INDEX(Team!$A$11:$A$60,$AO48),rngAMStart,"&lt;="&amp;Calendar!D$11,rngAMEnd,"&gt;="&amp;Calendar!D$11))</ns0:f>
        <ns0:v>0</ns0:v>
      </ns0:c>
      <ns0:c r="BD48" s="0">
        <ns0:f>IF(OR($AO48=0,$B$5&lt;&gt;"OK",$B$6&gt;0,Calendar!D$11=""),0,SUMIFS(rngEngine_V,rngEngine_B,INDEX(Team!$A$11:$A$60,$AO48),rngPMStart,"&lt;="&amp;Calendar!D$11,rngPMEnd,"&gt;="&amp;Calendar!D$11))</ns0:f>
        <ns0:v>0</ns0:v>
      </ns0:c>
      <ns0:c r="BE48" s="0">
        <ns0:f>IF(OR($AO48=0,$B$5&lt;&gt;"OK",$B$6&gt;0,Calendar!E$11=""),0,SUMIFS(rngEngine_U,rngEngine_B,INDEX(Team!$A$11:$A$60,$AO48),rngAMStart,"&lt;="&amp;Calendar!E$11,rngAMEnd,"&gt;="&amp;Calendar!E$11))</ns0:f>
        <ns0:v>0</ns0:v>
      </ns0:c>
      <ns0:c r="BF48" s="0">
        <ns0:f>IF(OR($AO48=0,$B$5&lt;&gt;"OK",$B$6&gt;0,Calendar!E$11=""),0,SUMIFS(rngEngine_V,rngEngine_B,INDEX(Team!$A$11:$A$60,$AO48),rngPMStart,"&lt;="&amp;Calendar!E$11,rngPMEnd,"&gt;="&amp;Calendar!E$11))</ns0:f>
        <ns0:v>0</ns0:v>
      </ns0:c>
      <ns0:c r="BG48" s="0">
        <ns0:f>IF(OR($AO48=0,$B$5&lt;&gt;"OK",$B$6&gt;0,Calendar!F$11=""),0,SUMIFS(rngEngine_U,rngEngine_B,INDEX(Team!$A$11:$A$60,$AO48),rngAMStart,"&lt;="&amp;Calendar!F$11,rngAMEnd,"&gt;="&amp;Calendar!F$11))</ns0:f>
        <ns0:v>0</ns0:v>
      </ns0:c>
      <ns0:c r="BH48" s="0">
        <ns0:f>IF(OR($AO48=0,$B$5&lt;&gt;"OK",$B$6&gt;0,Calendar!F$11=""),0,SUMIFS(rngEngine_V,rngEngine_B,INDEX(Team!$A$11:$A$60,$AO48),rngPMStart,"&lt;="&amp;Calendar!F$11,rngPMEnd,"&gt;="&amp;Calendar!F$11))</ns0:f>
        <ns0:v>0</ns0:v>
      </ns0:c>
      <ns0:c r="BI48" s="0">
        <ns0:f>IF(OR($AO48=0,$B$5&lt;&gt;"OK",$B$6&gt;0,Calendar!G$11=""),0,SUMIFS(rngEngine_U,rngEngine_B,INDEX(Team!$A$11:$A$60,$AO48),rngAMStart,"&lt;="&amp;Calendar!G$11,rngAMEnd,"&gt;="&amp;Calendar!G$11))</ns0:f>
        <ns0:v>0</ns0:v>
      </ns0:c>
      <ns0:c r="BJ48" s="0">
        <ns0:f>IF(OR($AO48=0,$B$5&lt;&gt;"OK",$B$6&gt;0,Calendar!G$11=""),0,SUMIFS(rngEngine_V,rngEngine_B,INDEX(Team!$A$11:$A$60,$AO48),rngPMStart,"&lt;="&amp;Calendar!G$11,rngPMEnd,"&gt;="&amp;Calendar!G$11))</ns0:f>
        <ns0:v>0</ns0:v>
      </ns0:c>
      <ns0:c r="BK48" s="0">
        <ns0:f>IF(OR($AO48=0,$B$5&lt;&gt;"OK",$B$6&gt;0,Calendar!H$11=""),0,SUMIFS(rngEngine_U,rngEngine_B,INDEX(Team!$A$11:$A$60,$AO48),rngAMStart,"&lt;="&amp;Calendar!H$11,rngAMEnd,"&gt;="&amp;Calendar!H$11))</ns0:f>
        <ns0:v>0</ns0:v>
      </ns0:c>
      <ns0:c r="BL48" s="0">
        <ns0:f>IF(OR($AO48=0,$B$5&lt;&gt;"OK",$B$6&gt;0,Calendar!H$11=""),0,SUMIFS(rngEngine_V,rngEngine_B,INDEX(Team!$A$11:$A$60,$AO48),rngPMStart,"&lt;="&amp;Calendar!H$11,rngPMEnd,"&gt;="&amp;Calendar!H$11))</ns0:f>
        <ns0:v>0</ns0:v>
      </ns0:c>
      <ns0:c r="BM48" s="0">
        <ns0:f>IF(OR($AO48=0,$B$5&lt;&gt;"OK",$B$6&gt;0,Calendar!I$11=""),0,SUMIFS(rngEngine_U,rngEngine_B,INDEX(Team!$A$11:$A$60,$AO48),rngAMStart,"&lt;="&amp;Calendar!I$11,rngAMEnd,"&gt;="&amp;Calendar!I$11))</ns0:f>
        <ns0:v>0</ns0:v>
      </ns0:c>
      <ns0:c r="BN48" s="0">
        <ns0:f>IF(OR($AO48=0,$B$5&lt;&gt;"OK",$B$6&gt;0,Calendar!I$11=""),0,SUMIFS(rngEngine_V,rngEngine_B,INDEX(Team!$A$11:$A$60,$AO48),rngPMStart,"&lt;="&amp;Calendar!I$11,rngPMEnd,"&gt;="&amp;Calendar!I$11))</ns0:f>
        <ns0:v>0</ns0:v>
      </ns0:c>
      <ns0:c r="BO48" s="0">
        <ns0:f>IF(OR($AO48=0,$B$5&lt;&gt;"OK",$B$6&gt;0,Calendar!J$11=""),0,SUMIFS(rngEngine_U,rngEngine_B,INDEX(Team!$A$11:$A$60,$AO48),rngAMStart,"&lt;="&amp;Calendar!J$11,rngAMEnd,"&gt;="&amp;Calendar!J$11))</ns0:f>
        <ns0:v>0</ns0:v>
      </ns0:c>
      <ns0:c r="BP48" s="0">
        <ns0:f>IF(OR($AO48=0,$B$5&lt;&gt;"OK",$B$6&gt;0,Calendar!J$11=""),0,SUMIFS(rngEngine_V,rngEngine_B,INDEX(Team!$A$11:$A$60,$AO48),rngPMStart,"&lt;="&amp;Calendar!J$11,rngPMEnd,"&gt;="&amp;Calendar!J$11))</ns0:f>
        <ns0:v>0</ns0:v>
      </ns0:c>
      <ns0:c r="BQ48" s="0">
        <ns0:f>IF(OR($AO48=0,$B$5&lt;&gt;"OK",$B$6&gt;0,Calendar!K$11=""),0,SUMIFS(rngEngine_U,rngEngine_B,INDEX(Team!$A$11:$A$60,$AO48),rngAMStart,"&lt;="&amp;Calendar!K$11,rngAMEnd,"&gt;="&amp;Calendar!K$11))</ns0:f>
        <ns0:v>0</ns0:v>
      </ns0:c>
      <ns0:c r="BR48" s="0">
        <ns0:f>IF(OR($AO48=0,$B$5&lt;&gt;"OK",$B$6&gt;0,Calendar!K$11=""),0,SUMIFS(rngEngine_V,rngEngine_B,INDEX(Team!$A$11:$A$60,$AO48),rngPMStart,"&lt;="&amp;Calendar!K$11,rngPMEnd,"&gt;="&amp;Calendar!K$11))</ns0:f>
        <ns0:v>0</ns0:v>
      </ns0:c>
      <ns0:c r="BS48" s="0">
        <ns0:f>IF(OR($AO48=0,$B$5&lt;&gt;"OK",$B$6&gt;0,Calendar!L$11=""),0,SUMIFS(rngEngine_U,rngEngine_B,INDEX(Team!$A$11:$A$60,$AO48),rngAMStart,"&lt;="&amp;Calendar!L$11,rngAMEnd,"&gt;="&amp;Calendar!L$11))</ns0:f>
        <ns0:v>0</ns0:v>
      </ns0:c>
      <ns0:c r="BT48" s="0">
        <ns0:f>IF(OR($AO48=0,$B$5&lt;&gt;"OK",$B$6&gt;0,Calendar!L$11=""),0,SUMIFS(rngEngine_V,rngEngine_B,INDEX(Team!$A$11:$A$60,$AO48),rngPMStart,"&lt;="&amp;Calendar!L$11,rngPMEnd,"&gt;="&amp;Calendar!L$11))</ns0:f>
        <ns0:v>0</ns0:v>
      </ns0:c>
      <ns0:c r="BU48" s="0">
        <ns0:f>IF(OR($AO48=0,$B$5&lt;&gt;"OK",$B$6&gt;0,Calendar!M$11=""),0,SUMIFS(rngEngine_U,rngEngine_B,INDEX(Team!$A$11:$A$60,$AO48),rngAMStart,"&lt;="&amp;Calendar!M$11,rngAMEnd,"&gt;="&amp;Calendar!M$11))</ns0:f>
        <ns0:v>0</ns0:v>
      </ns0:c>
      <ns0:c r="BV48" s="0">
        <ns0:f>IF(OR($AO48=0,$B$5&lt;&gt;"OK",$B$6&gt;0,Calendar!M$11=""),0,SUMIFS(rngEngine_V,rngEngine_B,INDEX(Team!$A$11:$A$60,$AO48),rngPMStart,"&lt;="&amp;Calendar!M$11,rngPMEnd,"&gt;="&amp;Calendar!M$11))</ns0:f>
        <ns0:v>0</ns0:v>
      </ns0:c>
      <ns0:c r="BW48" s="0">
        <ns0:f>IF(OR($AO48=0,$B$5&lt;&gt;"OK",$B$6&gt;0,Calendar!N$11=""),0,SUMIFS(rngEngine_U,rngEngine_B,INDEX(Team!$A$11:$A$60,$AO48),rngAMStart,"&lt;="&amp;Calendar!N$11,rngAMEnd,"&gt;="&amp;Calendar!N$11))</ns0:f>
        <ns0:v>0</ns0:v>
      </ns0:c>
      <ns0:c r="BX48" s="0">
        <ns0:f>IF(OR($AO48=0,$B$5&lt;&gt;"OK",$B$6&gt;0,Calendar!N$11=""),0,SUMIFS(rngEngine_V,rngEngine_B,INDEX(Team!$A$11:$A$60,$AO48),rngPMStart,"&lt;="&amp;Calendar!N$11,rngPMEnd,"&gt;="&amp;Calendar!N$11))</ns0:f>
        <ns0:v>0</ns0:v>
      </ns0:c>
      <ns0:c r="BY48" s="0">
        <ns0:f>IF(OR($AO48=0,$B$5&lt;&gt;"OK",$B$6&gt;0,Calendar!O$11=""),0,SUMIFS(rngEngine_U,rngEngine_B,INDEX(Team!$A$11:$A$60,$AO48),rngAMStart,"&lt;="&amp;Calendar!O$11,rngAMEnd,"&gt;="&amp;Calendar!O$11))</ns0:f>
        <ns0:v>0</ns0:v>
      </ns0:c>
      <ns0:c r="BZ48" s="0">
        <ns0:f>IF(OR($AO48=0,$B$5&lt;&gt;"OK",$B$6&gt;0,Calendar!O$11=""),0,SUMIFS(rngEngine_V,rngEngine_B,INDEX(Team!$A$11:$A$60,$AO48),rngPMStart,"&lt;="&amp;Calendar!O$11,rngPMEnd,"&gt;="&amp;Calendar!O$11))</ns0:f>
        <ns0:v>0</ns0:v>
      </ns0:c>
      <ns0:c r="CA48" s="0">
        <ns0:f>IF(OR($AO48=0,$B$5&lt;&gt;"OK",$B$6&gt;0,Calendar!P$11=""),0,SUMIFS(rngEngine_U,rngEngine_B,INDEX(Team!$A$11:$A$60,$AO48),rngAMStart,"&lt;="&amp;Calendar!P$11,rngAMEnd,"&gt;="&amp;Calendar!P$11))</ns0:f>
        <ns0:v>0</ns0:v>
      </ns0:c>
      <ns0:c r="CB48" s="0">
        <ns0:f>IF(OR($AO48=0,$B$5&lt;&gt;"OK",$B$6&gt;0,Calendar!P$11=""),0,SUMIFS(rngEngine_V,rngEngine_B,INDEX(Team!$A$11:$A$60,$AO48),rngPMStart,"&lt;="&amp;Calendar!P$11,rngPMEnd,"&gt;="&amp;Calendar!P$11))</ns0:f>
        <ns0:v>0</ns0:v>
      </ns0:c>
      <ns0:c r="CC48" s="0">
        <ns0:f>IF(OR($AO48=0,$B$5&lt;&gt;"OK",$B$6&gt;0,Calendar!Q$11=""),0,SUMIFS(rngEngine_U,rngEngine_B,INDEX(Team!$A$11:$A$60,$AO48),rngAMStart,"&lt;="&amp;Calendar!Q$11,rngAMEnd,"&gt;="&amp;Calendar!Q$11))</ns0:f>
        <ns0:v>0</ns0:v>
      </ns0:c>
      <ns0:c r="CD48" s="0">
        <ns0:f>IF(OR($AO48=0,$B$5&lt;&gt;"OK",$B$6&gt;0,Calendar!Q$11=""),0,SUMIFS(rngEngine_V,rngEngine_B,INDEX(Team!$A$11:$A$60,$AO48),rngPMStart,"&lt;="&amp;Calendar!Q$11,rngPMEnd,"&gt;="&amp;Calendar!Q$11))</ns0:f>
        <ns0:v>0</ns0:v>
      </ns0:c>
      <ns0:c r="CE48" s="0">
        <ns0:f>IF(OR($AO48=0,$B$5&lt;&gt;"OK",$B$6&gt;0,Calendar!R$11=""),0,SUMIFS(rngEngine_U,rngEngine_B,INDEX(Team!$A$11:$A$60,$AO48),rngAMStart,"&lt;="&amp;Calendar!R$11,rngAMEnd,"&gt;="&amp;Calendar!R$11))</ns0:f>
        <ns0:v>0</ns0:v>
      </ns0:c>
      <ns0:c r="CF48" s="0">
        <ns0:f>IF(OR($AO48=0,$B$5&lt;&gt;"OK",$B$6&gt;0,Calendar!R$11=""),0,SUMIFS(rngEngine_V,rngEngine_B,INDEX(Team!$A$11:$A$60,$AO48),rngPMStart,"&lt;="&amp;Calendar!R$11,rngPMEnd,"&gt;="&amp;Calendar!R$11))</ns0:f>
        <ns0:v>0</ns0:v>
      </ns0:c>
      <ns0:c r="CG48" s="0">
        <ns0:f>IF(OR($AO48=0,$B$5&lt;&gt;"OK",$B$6&gt;0,Calendar!S$11=""),0,SUMIFS(rngEngine_U,rngEngine_B,INDEX(Team!$A$11:$A$60,$AO48),rngAMStart,"&lt;="&amp;Calendar!S$11,rngAMEnd,"&gt;="&amp;Calendar!S$11))</ns0:f>
        <ns0:v>0</ns0:v>
      </ns0:c>
      <ns0:c r="CH48" s="0">
        <ns0:f>IF(OR($AO48=0,$B$5&lt;&gt;"OK",$B$6&gt;0,Calendar!S$11=""),0,SUMIFS(rngEngine_V,rngEngine_B,INDEX(Team!$A$11:$A$60,$AO48),rngPMStart,"&lt;="&amp;Calendar!S$11,rngPMEnd,"&gt;="&amp;Calendar!S$11))</ns0:f>
        <ns0:v>0</ns0:v>
      </ns0:c>
      <ns0:c r="CI48" s="0">
        <ns0:f>IF(OR($AO48=0,$B$5&lt;&gt;"OK",$B$6&gt;0,Calendar!T$11=""),0,SUMIFS(rngEngine_U,rngEngine_B,INDEX(Team!$A$11:$A$60,$AO48),rngAMStart,"&lt;="&amp;Calendar!T$11,rngAMEnd,"&gt;="&amp;Calendar!T$11))</ns0:f>
        <ns0:v>0</ns0:v>
      </ns0:c>
      <ns0:c r="CJ48" s="0">
        <ns0:f>IF(OR($AO48=0,$B$5&lt;&gt;"OK",$B$6&gt;0,Calendar!T$11=""),0,SUMIFS(rngEngine_V,rngEngine_B,INDEX(Team!$A$11:$A$60,$AO48),rngPMStart,"&lt;="&amp;Calendar!T$11,rngPMEnd,"&gt;="&amp;Calendar!T$11))</ns0:f>
        <ns0:v>0</ns0:v>
      </ns0:c>
      <ns0:c r="CK48" s="0">
        <ns0:f>IF(OR($AO48=0,$B$5&lt;&gt;"OK",$B$6&gt;0,Calendar!U$11=""),0,SUMIFS(rngEngine_U,rngEngine_B,INDEX(Team!$A$11:$A$60,$AO48),rngAMStart,"&lt;="&amp;Calendar!U$11,rngAMEnd,"&gt;="&amp;Calendar!U$11))</ns0:f>
        <ns0:v>0</ns0:v>
      </ns0:c>
      <ns0:c r="CL48" s="0">
        <ns0:f>IF(OR($AO48=0,$B$5&lt;&gt;"OK",$B$6&gt;0,Calendar!U$11=""),0,SUMIFS(rngEngine_V,rngEngine_B,INDEX(Team!$A$11:$A$60,$AO48),rngPMStart,"&lt;="&amp;Calendar!U$11,rngPMEnd,"&gt;="&amp;Calendar!U$11))</ns0:f>
        <ns0:v>0</ns0:v>
      </ns0:c>
      <ns0:c r="CM48" s="0">
        <ns0:f>IF(OR($AO48=0,$B$5&lt;&gt;"OK",$B$6&gt;0,Calendar!V$11=""),0,SUMIFS(rngEngine_U,rngEngine_B,INDEX(Team!$A$11:$A$60,$AO48),rngAMStart,"&lt;="&amp;Calendar!V$11,rngAMEnd,"&gt;="&amp;Calendar!V$11))</ns0:f>
        <ns0:v>0</ns0:v>
      </ns0:c>
      <ns0:c r="CN48" s="0">
        <ns0:f>IF(OR($AO48=0,$B$5&lt;&gt;"OK",$B$6&gt;0,Calendar!V$11=""),0,SUMIFS(rngEngine_V,rngEngine_B,INDEX(Team!$A$11:$A$60,$AO48),rngPMStart,"&lt;="&amp;Calendar!V$11,rngPMEnd,"&gt;="&amp;Calendar!V$11))</ns0:f>
        <ns0:v>0</ns0:v>
      </ns0:c>
      <ns0:c r="CO48" s="0">
        <ns0:f>IF(OR($AO48=0,$B$5&lt;&gt;"OK",$B$6&gt;0,Calendar!W$11=""),0,SUMIFS(rngEngine_U,rngEngine_B,INDEX(Team!$A$11:$A$60,$AO48),rngAMStart,"&lt;="&amp;Calendar!W$11,rngAMEnd,"&gt;="&amp;Calendar!W$11))</ns0:f>
        <ns0:v>0</ns0:v>
      </ns0:c>
      <ns0:c r="CP48" s="0">
        <ns0:f>IF(OR($AO48=0,$B$5&lt;&gt;"OK",$B$6&gt;0,Calendar!W$11=""),0,SUMIFS(rngEngine_V,rngEngine_B,INDEX(Team!$A$11:$A$60,$AO48),rngPMStart,"&lt;="&amp;Calendar!W$11,rngPMEnd,"&gt;="&amp;Calendar!W$11))</ns0:f>
        <ns0:v>0</ns0:v>
      </ns0:c>
      <ns0:c r="CQ48" s="0">
        <ns0:f>IF(OR($AO48=0,$B$5&lt;&gt;"OK",$B$6&gt;0,Calendar!X$11=""),0,SUMIFS(rngEngine_U,rngEngine_B,INDEX(Team!$A$11:$A$60,$AO48),rngAMStart,"&lt;="&amp;Calendar!X$11,rngAMEnd,"&gt;="&amp;Calendar!X$11))</ns0:f>
        <ns0:v>0</ns0:v>
      </ns0:c>
      <ns0:c r="CR48" s="0">
        <ns0:f>IF(OR($AO48=0,$B$5&lt;&gt;"OK",$B$6&gt;0,Calendar!X$11=""),0,SUMIFS(rngEngine_V,rngEngine_B,INDEX(Team!$A$11:$A$60,$AO48),rngPMStart,"&lt;="&amp;Calendar!X$11,rngPMEnd,"&gt;="&amp;Calendar!X$11))</ns0:f>
        <ns0:v>0</ns0:v>
      </ns0:c>
      <ns0:c r="CS48" s="0">
        <ns0:f>IF(OR($AO48=0,$B$5&lt;&gt;"OK",$B$6&gt;0,Calendar!Y$11=""),0,SUMIFS(rngEngine_U,rngEngine_B,INDEX(Team!$A$11:$A$60,$AO48),rngAMStart,"&lt;="&amp;Calendar!Y$11,rngAMEnd,"&gt;="&amp;Calendar!Y$11))</ns0:f>
        <ns0:v>0</ns0:v>
      </ns0:c>
      <ns0:c r="CT48" s="0">
        <ns0:f>IF(OR($AO48=0,$B$5&lt;&gt;"OK",$B$6&gt;0,Calendar!Y$11=""),0,SUMIFS(rngEngine_V,rngEngine_B,INDEX(Team!$A$11:$A$60,$AO48),rngPMStart,"&lt;="&amp;Calendar!Y$11,rngPMEnd,"&gt;="&amp;Calendar!Y$11))</ns0:f>
        <ns0:v>0</ns0:v>
      </ns0:c>
      <ns0:c r="CU48" s="0">
        <ns0:f>IF(OR($AO48=0,$B$5&lt;&gt;"OK",$B$6&gt;0,Calendar!Z$11=""),0,SUMIFS(rngEngine_U,rngEngine_B,INDEX(Team!$A$11:$A$60,$AO48),rngAMStart,"&lt;="&amp;Calendar!Z$11,rngAMEnd,"&gt;="&amp;Calendar!Z$11))</ns0:f>
        <ns0:v>0</ns0:v>
      </ns0:c>
      <ns0:c r="CV48" s="0">
        <ns0:f>IF(OR($AO48=0,$B$5&lt;&gt;"OK",$B$6&gt;0,Calendar!Z$11=""),0,SUMIFS(rngEngine_V,rngEngine_B,INDEX(Team!$A$11:$A$60,$AO48),rngPMStart,"&lt;="&amp;Calendar!Z$11,rngPMEnd,"&gt;="&amp;Calendar!Z$11))</ns0:f>
        <ns0:v>0</ns0:v>
      </ns0:c>
      <ns0:c r="CW48" s="0">
        <ns0:f>IF(OR($AO48=0,$B$5&lt;&gt;"OK",$B$6&gt;0,Calendar!AA$11=""),0,SUMIFS(rngEngine_U,rngEngine_B,INDEX(Team!$A$11:$A$60,$AO48),rngAMStart,"&lt;="&amp;Calendar!AA$11,rngAMEnd,"&gt;="&amp;Calendar!AA$11))</ns0:f>
        <ns0:v>0</ns0:v>
      </ns0:c>
      <ns0:c r="CX48" s="0">
        <ns0:f>IF(OR($AO48=0,$B$5&lt;&gt;"OK",$B$6&gt;0,Calendar!AA$11=""),0,SUMIFS(rngEngine_V,rngEngine_B,INDEX(Team!$A$11:$A$60,$AO48),rngPMStart,"&lt;="&amp;Calendar!AA$11,rngPMEnd,"&gt;="&amp;Calendar!AA$11))</ns0:f>
        <ns0:v>0</ns0:v>
      </ns0:c>
      <ns0:c r="CY48" s="0">
        <ns0:f>IF(OR($AO48=0,$B$5&lt;&gt;"OK",$B$6&gt;0,Calendar!AB$11=""),0,SUMIFS(rngEngine_U,rngEngine_B,INDEX(Team!$A$11:$A$60,$AO48),rngAMStart,"&lt;="&amp;Calendar!AB$11,rngAMEnd,"&gt;="&amp;Calendar!AB$11))</ns0:f>
        <ns0:v>0</ns0:v>
      </ns0:c>
      <ns0:c r="CZ48" s="0">
        <ns0:f>IF(OR($AO48=0,$B$5&lt;&gt;"OK",$B$6&gt;0,Calendar!AB$11=""),0,SUMIFS(rngEngine_V,rngEngine_B,INDEX(Team!$A$11:$A$60,$AO48),rngPMStart,"&lt;="&amp;Calendar!AB$11,rngPMEnd,"&gt;="&amp;Calendar!AB$11))</ns0:f>
        <ns0:v>0</ns0:v>
      </ns0:c>
      <ns0:c r="DA48" s="0">
        <ns0:f>IF(OR($AO48=0,$B$5&lt;&gt;"OK",$B$6&gt;0,Calendar!AC$11=""),0,SUMIFS(rngEngine_U,rngEngine_B,INDEX(Team!$A$11:$A$60,$AO48),rngAMStart,"&lt;="&amp;Calendar!AC$11,rngAMEnd,"&gt;="&amp;Calendar!AC$11))</ns0:f>
        <ns0:v>0</ns0:v>
      </ns0:c>
      <ns0:c r="DB48" s="0">
        <ns0:f>IF(OR($AO48=0,$B$5&lt;&gt;"OK",$B$6&gt;0,Calendar!AC$11=""),0,SUMIFS(rngEngine_V,rngEngine_B,INDEX(Team!$A$11:$A$60,$AO48),rngPMStart,"&lt;="&amp;Calendar!AC$11,rngPMEnd,"&gt;="&amp;Calendar!AC$11))</ns0:f>
        <ns0:v>0</ns0:v>
      </ns0:c>
      <ns0:c r="DC48" s="0">
        <ns0:f>IF(OR($AO48=0,$B$5&lt;&gt;"OK",$B$6&gt;0,Calendar!AD$11=""),0,SUMIFS(rngEngine_U,rngEngine_B,INDEX(Team!$A$11:$A$60,$AO48),rngAMStart,"&lt;="&amp;Calendar!AD$11,rngAMEnd,"&gt;="&amp;Calendar!AD$11))</ns0:f>
        <ns0:v>0</ns0:v>
      </ns0:c>
      <ns0:c r="DD48" s="0">
        <ns0:f>IF(OR($AO48=0,$B$5&lt;&gt;"OK",$B$6&gt;0,Calendar!AD$11=""),0,SUMIFS(rngEngine_V,rngEngine_B,INDEX(Team!$A$11:$A$60,$AO48),rngPMStart,"&lt;="&amp;Calendar!AD$11,rngPMEnd,"&gt;="&amp;Calendar!AD$11))</ns0:f>
        <ns0:v>0</ns0:v>
      </ns0:c>
      <ns0:c r="DE48" s="0">
        <ns0:f>IF(OR($AO48=0,$B$5&lt;&gt;"OK",$B$6&gt;0,Calendar!AE$11=""),0,SUMIFS(rngEngine_U,rngEngine_B,INDEX(Team!$A$11:$A$60,$AO48),rngAMStart,"&lt;="&amp;Calendar!AE$11,rngAMEnd,"&gt;="&amp;Calendar!AE$11))</ns0:f>
        <ns0:v>0</ns0:v>
      </ns0:c>
      <ns0:c r="DF48" s="0">
        <ns0:f>IF(OR($AO48=0,$B$5&lt;&gt;"OK",$B$6&gt;0,Calendar!AE$11=""),0,SUMIFS(rngEngine_V,rngEngine_B,INDEX(Team!$A$11:$A$60,$AO48),rngPMStart,"&lt;="&amp;Calendar!AE$11,rngPMEnd,"&gt;="&amp;Calendar!AE$11))</ns0:f>
        <ns0:v>0</ns0:v>
      </ns0:c>
      <ns0:c r="DG48" s="0">
        <ns0:f>IF(OR($AO48=0,$B$5&lt;&gt;"OK",$B$6&gt;0,Calendar!AF$11=""),0,SUMIFS(rngEngine_U,rngEngine_B,INDEX(Team!$A$11:$A$60,$AO48),rngAMStart,"&lt;="&amp;Calendar!AF$11,rngAMEnd,"&gt;="&amp;Calendar!AF$11))</ns0:f>
        <ns0:v>0</ns0:v>
      </ns0:c>
      <ns0:c r="DH48" s="0">
        <ns0:f>IF(OR($AO48=0,$B$5&lt;&gt;"OK",$B$6&gt;0,Calendar!AF$11=""),0,SUMIFS(rngEngine_V,rngEngine_B,INDEX(Team!$A$11:$A$60,$AO48),rngPMStart,"&lt;="&amp;Calendar!AF$11,rngPMEnd,"&gt;="&amp;Calendar!AF$11))</ns0:f>
        <ns0:v>0</ns0:v>
      </ns0:c>
      <ns0:c r="DI48" s="0">
        <ns0:f>IF(OR($AO48=0,$B$5&lt;&gt;"OK",$B$6&gt;0,Calendar!AG$11=""),0,SUMIFS(rngEngine_U,rngEngine_B,INDEX(Team!$A$11:$A$60,$AO48),rngAMStart,"&lt;="&amp;Calendar!AG$11,rngAMEnd,"&gt;="&amp;Calendar!AG$11))</ns0:f>
        <ns0:v>0</ns0:v>
      </ns0:c>
      <ns0:c r="DJ48" s="0">
        <ns0:f>IF(OR($AO48=0,$B$5&lt;&gt;"OK",$B$6&gt;0,Calendar!AG$11=""),0,SUMIFS(rngEngine_V,rngEngine_B,INDEX(Team!$A$11:$A$60,$AO48),rngPMStart,"&lt;="&amp;Calendar!AG$11,rngPMEnd,"&gt;="&amp;Calendar!AG$11))</ns0:f>
        <ns0:v>0</ns0:v>
      </ns0:c>
      <ns0:c r="DK48" s="0">
        <ns0:f>IF(OR($AO48=0,$B$5&lt;&gt;"OK",$B$6&gt;0,Calendar!AH$11=""),0,SUMIFS(rngEngine_U,rngEngine_B,INDEX(Team!$A$11:$A$60,$AO48),rngAMStart,"&lt;="&amp;Calendar!AH$11,rngAMEnd,"&gt;="&amp;Calendar!AH$11))</ns0:f>
        <ns0:v>0</ns0:v>
      </ns0:c>
      <ns0:c r="DL48" s="0">
        <ns0:f>IF(OR($AO48=0,$B$5&lt;&gt;"OK",$B$6&gt;0,Calendar!AH$11=""),0,SUMIFS(rngEngine_V,rngEngine_B,INDEX(Team!$A$11:$A$60,$AO48),rngPMStart,"&lt;="&amp;Calendar!AH$11,rngPMEnd,"&gt;="&amp;Calendar!AH$11))</ns0:f>
        <ns0:v>0</ns0:v>
      </ns0:c>
    </ns0:row>
    <ns0:row r="49" ht="22" customHeight="1">
      <ns0:c r="A49" s="4">
        <ns0:f>IF(COUNTA(Bookings!A49:G49,Bookings!I49)=0,0,1)</ns0:f>
        <ns0:v>0</ns0:v>
      </ns0:c>
      <ns0:c r="B49" s="4" t="str">
        <ns0:f>IFERROR(TRIM(MID(Bookings!A49,FIND(" · ",Bookings!A49)+3,99)),"")</ns0:f>
        <ns0:v/>
      </ns0:c>
      <ns0:c r="C49" s="4">
        <ns0:f>IF(OR(B49="",LEN(B49)&gt;24,ISNUMBER(FIND(" ",B49)),ISNUMBER(FIND("*",B49)),ISNUMBER(FIND("?",B49)),ISNUMBER(FIND("~",B49))),0,IFERROR(MATCH(B49,Team!$A$11:$A$60,0),0))</ns0:f>
        <ns0:v>0</ns0:v>
      </ns0:c>
      <ns0:c r="D49" s="4" t="str">
        <ns0:f>IFERROR(IF(MID(Bookings!F49,LEN(Bookings!F49)-3,3)=" · ",RIGHT(Bookings!F49,1),""),"")</ns0:f>
        <ns0:v/>
      </ns0:c>
      <ns0:c r="E49" s="4" t="str">
        <ns0:f>IFERROR(INDEX(Settings!$H$7:$H$11,MATCH(D49,Settings!$G$7:$G$11,0)),"")</ns0:f>
        <ns0:v/>
      </ns0:c>
      <ns0:c r="F49" s="4" t="str">
        <ns0:f>IF(A49=0,"",IFERROR(IF(OR(B49="",C49=0),"CHECK employee selection",IF(INDEX(Team!$O$11:$O$60,C49)&lt;&gt;"OK","CHECK employee setup",IF(OR('_Dates'!J49=0,'_Dates'!T49=0),"CHECK date: use DD.MM.YYYY",IF('_Dates'!T49&lt;'_Dates'!J49,"CHECK end before start",IF(AND($B$6=0,OR('_Dates'!J49&lt;Settings!$B$7,'_Dates'!T49&gt;Settings!$B$8)),"CHECK split across leave years",IF(OR(NOT(OR('_Dates'!U49="Full day",'_Dates'!U49="AM",'_Dates'!U49="PM")),NOT(OR('_Dates'!V49="Full day",'_Dates'!V49="AM",'_Dates'!V49="PM"))),"CHECK Full day / AM / PM",IF(AND('_Dates'!J49='_Dates'!T49,'_Dates'!U49&lt;&gt;"Full day",'_Dates'!V49&lt;&gt;"Full day",'_Dates'!U49&lt;&gt;'_Dates'!V49),"CHECK same-day portions disagree",IF(AND($B$6=0,OR(AND('_Dates'!U49&lt;&gt;"Full day",'_Dates'!AA49=0),AND('_Dates'!V49&lt;&gt;"Full day",'_Dates'!AB49=0))),"CHECK half-day on non-working date",IF(COUNTIF(Settings!$G$7:$G$11,D49)&lt;&gt;1,"CHECK leave type",IF(AND(Bookings!G49&lt;&gt;"Approved",Bookings!G49&lt;&gt;"Pending",Bookings!G49&lt;&gt;"Cancelled"),"CHECK status","OK")))))))))),"CHECK input"))</ns0:f>
        <ns0:v/>
      </ns0:c>
      <ns0:c r="G49" s="4">
        <ns0:f>IF(OR(F49&lt;&gt;"OK",$B$6&gt;0),0,0.5*(IF(('_Dates'!X49)&lt;('_Dates'!W49),0,INT((('_Dates'!X49)-('_Dates'!W49)+1)/7)*LEN(SUBSTITUTE(W49,"O",""))+LEN(SUBSTITUTE(MID(W49&amp;W49,WEEKDAY(('_Dates'!W49),2),MOD((('_Dates'!X49)-('_Dates'!W49)+1),7)),"O",""))-COUNTIFS(INDEX(AllClosureRows,C49,0),"&gt;="&amp;('_Dates'!W49),INDEX(AllClosureRows,C49,0),"&lt;="&amp;('_Dates'!X49)))+IF(('_Dates'!Z49)&lt;('_Dates'!Y49),0,INT((('_Dates'!Z49)-('_Dates'!Y49)+1)/7)*LEN(SUBSTITUTE(W49,"O",""))+LEN(SUBSTITUTE(MID(W49&amp;W49,WEEKDAY(('_Dates'!Y49),2),MOD((('_Dates'!Z49)-('_Dates'!Y49)+1),7)),"O",""))-COUNTIFS(INDEX(AllClosureRows,C49,0),"&gt;="&amp;('_Dates'!Y49),INDEX(AllClosureRows,C49,0),"&lt;="&amp;('_Dates'!Z49)))))</ns0:f>
        <ns0:v>0</ns0:v>
      </ns0:c>
      <ns0:c r="H49" s="4">
        <ns0:f>IF(OR(F49&lt;&gt;"OK",$B$6&gt;0),0,0.5*(IF((MIN('_Dates'!X49,Settings!$B$9))&lt;('_Dates'!W49),0,INT(((MIN('_Dates'!X49,Settings!$B$9))-('_Dates'!W49)+1)/7)*LEN(SUBSTITUTE(W49,"O",""))+LEN(SUBSTITUTE(MID(W49&amp;W49,WEEKDAY(('_Dates'!W49),2),MOD(((MIN('_Dates'!X49,Settings!$B$9))-('_Dates'!W49)+1),7)),"O",""))-COUNTIFS(INDEX(AllClosureRows,C49,0),"&gt;="&amp;('_Dates'!W49),INDEX(AllClosureRows,C49,0),"&lt;="&amp;(MIN('_Dates'!X49,Settings!$B$9))))+IF((MIN('_Dates'!Z49,Settings!$B$9))&lt;('_Dates'!Y49),0,INT(((MIN('_Dates'!Z49,Settings!$B$9))-('_Dates'!Y49)+1)/7)*LEN(SUBSTITUTE(W49,"O",""))+LEN(SUBSTITUTE(MID(W49&amp;W49,WEEKDAY(('_Dates'!Y49),2),MOD(((MIN('_Dates'!Z49,Settings!$B$9))-('_Dates'!Y49)+1),7)),"O",""))-COUNTIFS(INDEX(AllClosureRows,C49,0),"&gt;="&amp;('_Dates'!Y49),INDEX(AllClosureRows,C49,0),"&lt;="&amp;(MIN('_Dates'!Z49,Settings!$B$9))))))</ns0:f>
        <ns0:v>0</ns0:v>
      </ns0:c>
      <ns0:c r="I49" s="4">
        <ns0:f>MAX(0,G49-H49)</ns0:f>
        <ns0:v>0</ns0:v>
      </ns0:c>
      <ns0:c r="J49" s="4">
        <ns0:f>IF(OR(A49=0,F49&lt;&gt;"OK",Bookings!G49="Cancelled",$B$6&gt;0),0,IF('_Dates'!AC49=1,MAX(0,COUNTIFS(rngEngine_B,B49,rngAMStart,"&lt;="&amp;'_Dates'!X49,rngAMEnd,"&gt;="&amp;'_Dates'!W49,rngAMActive,1,rngEngine_F,"OK",rngBookings_F,"&lt;&gt;Cancelled")-1),0)+IF('_Dates'!AD49=1,MAX(0,COUNTIFS(rngEngine_B,B49,rngPMStart,"&lt;="&amp;'_Dates'!Z49,rngPMEnd,"&gt;="&amp;'_Dates'!Y49,rngPMActive,1,rngEngine_F,"OK",rngBookings_F,"&lt;&gt;Cancelled")-1),0))</ns0:f>
        <ns0:v>0</ns0:v>
      </ns0:c>
      <ns0:c r="K49" s="0" t="str">
        <ns0:f>IF(A49=0,"",IF(F49&lt;&gt;"OK",F49,IF(J49&gt;0,"CHECK overlapping entry",IF(AND($B$6=0,G49&lt;=0,Bookings!G49&lt;&gt;"Cancelled"),"CHECK no working days",IF(Bookings!G49="Cancelled","Cancelled","OK")))))</ns0:f>
        <ns0:v/>
      </ns0:c>
      <ns0:c r="L49" s="0">
        <ns0:f>IF(LEFT(K49,5)="CHECK",1,0)</ns0:f>
        <ns0:v>0</ns0:v>
      </ns0:c>
      <ns0:c r="M49" s="0">
        <ns0:f>IF(AND(L49=1,OR(C49=0,IFERROR(INDEX($X$11:$X$60,C49),0)=0)),1,0)</ns0:f>
        <ns0:v>0</ns0:v>
      </ns0:c>
      <ns0:c r="N49" s="0">
        <ns0:f>IF(OR(A49=0,L49&gt;0,$B$6&gt;0,Bookings!G49="Cancelled"),0,G49)</ns0:f>
        <ns0:v>0</ns0:v>
      </ns0:c>
      <ns0:c r="O49" s="0">
        <ns0:f>IF(AND(Bookings!G49="Approved",E49="Yes"),N49,0)</ns0:f>
        <ns0:v>0</ns0:v>
      </ns0:c>
      <ns0:c r="P49" s="0">
        <ns0:f>IF(AND(Bookings!G49="Approved",E49="Yes",L49=0,$B$6=0),H49,0)</ns0:f>
        <ns0:v>0</ns0:v>
      </ns0:c>
      <ns0:c r="Q49" s="0">
        <ns0:f>IF(AND(Bookings!G49="Approved",E49="Yes",L49=0,$B$6=0),I49,0)</ns0:f>
        <ns0:v>0</ns0:v>
      </ns0:c>
      <ns0:c r="R49" s="0">
        <ns0:f>IF(AND(Bookings!G49="Pending",E49="Yes"),N49,0)</ns0:f>
        <ns0:v>0</ns0:v>
      </ns0:c>
      <ns0:c r="S49" s="0">
        <ns0:f>IF(AND(Bookings!G49="Approved",E49="No"),N49,0)</ns0:f>
        <ns0:v>0</ns0:v>
      </ns0:c>
      <ns0:c r="T49" s="0">
        <ns0:f>IFERROR(MATCH(D49,Settings!$G$7:$G$11,0),0)</ns0:f>
        <ns0:v>0</ns0:v>
      </ns0:c>
      <ns0:c r="U49" s="0">
        <ns0:f>IF(N49&gt;0,T49+IF(Bookings!G49="Pending",10,0),0)</ns0:f>
        <ns0:v>0</ns0:v>
      </ns0:c>
      <ns0:c r="V49" s="0">
        <ns0:f>U49</ns0:f>
        <ns0:v>0</ns0:v>
      </ns0:c>
      <ns0:c r="W49" s="0" t="str">
        <ns0:f>IF(C49=0,"",INDEX($AP$11:$AP$60,C49))</ns0:f>
        <ns0:v/>
      </ns0:c>
      <ns0:c r="X49" s="0">
        <ns0:f>IF(COUNTA(Team!B49:D49)=0,0,1)</ns0:f>
        <ns0:v>0</ns0:v>
      </ns0:c>
      <ns0:c r="Y49" s="0" t="str">
        <ns0:f>IF(X49=0,"",IF(Team!B49="","[Unnamed]",Team!B49)&amp;" · "&amp;Team!A49)</ns0:f>
        <ns0:v/>
      </ns0:c>
      <ns0:c r="Z49" s="0">
        <ns0:f>IF(X49=0,0,COUNTIF(Team!H49:N49,"Work"))</ns0:f>
        <ns0:v>0</ns0:v>
      </ns0:c>
      <ns0:c r="AA49" s="0">
        <ns0:f>IF(LEFT(Team!O49,5)="CHECK",1,0)</ns0:f>
        <ns0:v>0</ns0:v>
      </ns0:c>
      <ns0:c r="AB49" s="0">
        <ns0:f>IF(X49=0,0,SUMIFS(rngEngine_L,rngEngine_B,Team!A49))</ns0:f>
        <ns0:v>0</ns0:v>
      </ns0:c>
      <ns0:c r="AC49" s="0" t="str">
        <ns0:f>IF(AND(X49=1,OR(Calendar!$C$7="All teams",Team!C49=Calendar!$C$7)),MAX($AC$10:AC48)+1,"")</ns0:f>
        <ns0:v/>
      </ns0:c>
      <ns0:c r="AD49" s="0" t="str">
        <ns0:f>IF(OR(X49=0,Team!C49="",COUNTIF(Team!$C$11:C49,Team!C49)&gt;1),"",MAX($AD$10:AD48)+1)</ns0:f>
        <ns0:v/>
      </ns0:c>
      <ns0:c r="AE49" s="0" t="str">
        <ns0:f>IFERROR(INDEX(Team!$C$11:$C$60,MATCH(ROW()-10,$AD$11:$AD$60,0)),"")</ns0:f>
        <ns0:v/>
      </ns0:c>
      <ns0:c r="AF49" s="0" t="str">
        <ns0:f>AE49</ns0:f>
        <ns0:v/>
      </ns0:c>
      <ns0:c r="AG49" s="0">
        <ns0:f>IF(X49=0,0,IFERROR(Team!F49+Team!G49,0))</ns0:f>
        <ns0:v>0</ns0:v>
      </ns0:c>
      <ns0:c r="AH49" s="0">
        <ns0:f>IF(X49=0,0,SUMIFS(rngEngine_P,rngEngine_B,Team!A49))</ns0:f>
        <ns0:v>0</ns0:v>
      </ns0:c>
      <ns0:c r="AI49" s="0">
        <ns0:f>IF(X49=0,0,SUMIFS(rngEngine_Q,rngEngine_B,Team!A49))</ns0:f>
        <ns0:v>0</ns0:v>
      </ns0:c>
      <ns0:c r="AJ49" s="0">
        <ns0:f>IF(X49=0,0,SUMIFS(rngEngine_R,rngEngine_B,Team!A49))</ns0:f>
        <ns0:v>0</ns0:v>
      </ns0:c>
      <ns0:c r="AK49" s="0">
        <ns0:f>IF(X49=0,0,SUMIFS(rngEngine_S,rngEngine_B,Team!A49))</ns0:f>
        <ns0:v>0</ns0:v>
      </ns0:c>
      <ns0:c r="AL49" s="0">
        <ns0:f>AH49+AI49</ns0:f>
        <ns0:v>0</ns0:v>
      </ns0:c>
      <ns0:c r="AM49" s="0" t="str">
        <ns0:f>IF(X49=0,"",IF(AA49&gt;0,"CHECK team setup",IF(AB49&gt;0,"CHECK "&amp;AB49&amp;" booking(s)","OK")))</ns0:f>
        <ns0:v/>
      </ns0:c>
      <ns0:c r="AN49" s="0" t="str">
        <ns0:f>IF(X49=0,"",IF(OR($B$6&gt;0,AM49&lt;&gt;"OK"),"REVIEW",AG49-AL49))</ns0:f>
        <ns0:v/>
      </ns0:c>
      <ns0:c r="AO49" s="0">
        <ns0:f>IFERROR(MATCH(ROW()-11,$AC$11:$AC$60,0),0)</ns0:f>
        <ns0:v>0</ns0:v>
      </ns0:c>
      <ns0:c r="AP49" s="0" t="str">
        <ns0:f>IF(Team!H49="Work","W","O")&amp;IF(Team!I49="Work","W","O")&amp;IF(Team!J49="Work","W","O")&amp;IF(Team!K49="Work","W","O")&amp;IF(Team!L49="Work","W","O")&amp;IF(Team!M49="Work","W","O")&amp;IF(Team!N49="Work","W","O")</ns0:f>
        <ns0:v>WWWWWOO</ns0:v>
      </ns0:c>
      <ns0:c r="AR49" s="0">
        <ns0:f>IFERROR(IF(ISNUMBER(Settings!F49),WEEKDAY(Settings!F49,2),0),0)</ns0:f>
        <ns0:v>0</ns0:v>
      </ns0:c>
      <ns0:c r="BC49" s="0">
        <ns0:f>IF(OR($AO49=0,$B$5&lt;&gt;"OK",$B$6&gt;0,Calendar!D$11=""),0,SUMIFS(rngEngine_U,rngEngine_B,INDEX(Team!$A$11:$A$60,$AO49),rngAMStart,"&lt;="&amp;Calendar!D$11,rngAMEnd,"&gt;="&amp;Calendar!D$11))</ns0:f>
        <ns0:v>0</ns0:v>
      </ns0:c>
      <ns0:c r="BD49" s="0">
        <ns0:f>IF(OR($AO49=0,$B$5&lt;&gt;"OK",$B$6&gt;0,Calendar!D$11=""),0,SUMIFS(rngEngine_V,rngEngine_B,INDEX(Team!$A$11:$A$60,$AO49),rngPMStart,"&lt;="&amp;Calendar!D$11,rngPMEnd,"&gt;="&amp;Calendar!D$11))</ns0:f>
        <ns0:v>0</ns0:v>
      </ns0:c>
      <ns0:c r="BE49" s="0">
        <ns0:f>IF(OR($AO49=0,$B$5&lt;&gt;"OK",$B$6&gt;0,Calendar!E$11=""),0,SUMIFS(rngEngine_U,rngEngine_B,INDEX(Team!$A$11:$A$60,$AO49),rngAMStart,"&lt;="&amp;Calendar!E$11,rngAMEnd,"&gt;="&amp;Calendar!E$11))</ns0:f>
        <ns0:v>0</ns0:v>
      </ns0:c>
      <ns0:c r="BF49" s="0">
        <ns0:f>IF(OR($AO49=0,$B$5&lt;&gt;"OK",$B$6&gt;0,Calendar!E$11=""),0,SUMIFS(rngEngine_V,rngEngine_B,INDEX(Team!$A$11:$A$60,$AO49),rngPMStart,"&lt;="&amp;Calendar!E$11,rngPMEnd,"&gt;="&amp;Calendar!E$11))</ns0:f>
        <ns0:v>0</ns0:v>
      </ns0:c>
      <ns0:c r="BG49" s="0">
        <ns0:f>IF(OR($AO49=0,$B$5&lt;&gt;"OK",$B$6&gt;0,Calendar!F$11=""),0,SUMIFS(rngEngine_U,rngEngine_B,INDEX(Team!$A$11:$A$60,$AO49),rngAMStart,"&lt;="&amp;Calendar!F$11,rngAMEnd,"&gt;="&amp;Calendar!F$11))</ns0:f>
        <ns0:v>0</ns0:v>
      </ns0:c>
      <ns0:c r="BH49" s="0">
        <ns0:f>IF(OR($AO49=0,$B$5&lt;&gt;"OK",$B$6&gt;0,Calendar!F$11=""),0,SUMIFS(rngEngine_V,rngEngine_B,INDEX(Team!$A$11:$A$60,$AO49),rngPMStart,"&lt;="&amp;Calendar!F$11,rngPMEnd,"&gt;="&amp;Calendar!F$11))</ns0:f>
        <ns0:v>0</ns0:v>
      </ns0:c>
      <ns0:c r="BI49" s="0">
        <ns0:f>IF(OR($AO49=0,$B$5&lt;&gt;"OK",$B$6&gt;0,Calendar!G$11=""),0,SUMIFS(rngEngine_U,rngEngine_B,INDEX(Team!$A$11:$A$60,$AO49),rngAMStart,"&lt;="&amp;Calendar!G$11,rngAMEnd,"&gt;="&amp;Calendar!G$11))</ns0:f>
        <ns0:v>0</ns0:v>
      </ns0:c>
      <ns0:c r="BJ49" s="0">
        <ns0:f>IF(OR($AO49=0,$B$5&lt;&gt;"OK",$B$6&gt;0,Calendar!G$11=""),0,SUMIFS(rngEngine_V,rngEngine_B,INDEX(Team!$A$11:$A$60,$AO49),rngPMStart,"&lt;="&amp;Calendar!G$11,rngPMEnd,"&gt;="&amp;Calendar!G$11))</ns0:f>
        <ns0:v>0</ns0:v>
      </ns0:c>
      <ns0:c r="BK49" s="0">
        <ns0:f>IF(OR($AO49=0,$B$5&lt;&gt;"OK",$B$6&gt;0,Calendar!H$11=""),0,SUMIFS(rngEngine_U,rngEngine_B,INDEX(Team!$A$11:$A$60,$AO49),rngAMStart,"&lt;="&amp;Calendar!H$11,rngAMEnd,"&gt;="&amp;Calendar!H$11))</ns0:f>
        <ns0:v>0</ns0:v>
      </ns0:c>
      <ns0:c r="BL49" s="0">
        <ns0:f>IF(OR($AO49=0,$B$5&lt;&gt;"OK",$B$6&gt;0,Calendar!H$11=""),0,SUMIFS(rngEngine_V,rngEngine_B,INDEX(Team!$A$11:$A$60,$AO49),rngPMStart,"&lt;="&amp;Calendar!H$11,rngPMEnd,"&gt;="&amp;Calendar!H$11))</ns0:f>
        <ns0:v>0</ns0:v>
      </ns0:c>
      <ns0:c r="BM49" s="0">
        <ns0:f>IF(OR($AO49=0,$B$5&lt;&gt;"OK",$B$6&gt;0,Calendar!I$11=""),0,SUMIFS(rngEngine_U,rngEngine_B,INDEX(Team!$A$11:$A$60,$AO49),rngAMStart,"&lt;="&amp;Calendar!I$11,rngAMEnd,"&gt;="&amp;Calendar!I$11))</ns0:f>
        <ns0:v>0</ns0:v>
      </ns0:c>
      <ns0:c r="BN49" s="0">
        <ns0:f>IF(OR($AO49=0,$B$5&lt;&gt;"OK",$B$6&gt;0,Calendar!I$11=""),0,SUMIFS(rngEngine_V,rngEngine_B,INDEX(Team!$A$11:$A$60,$AO49),rngPMStart,"&lt;="&amp;Calendar!I$11,rngPMEnd,"&gt;="&amp;Calendar!I$11))</ns0:f>
        <ns0:v>0</ns0:v>
      </ns0:c>
      <ns0:c r="BO49" s="0">
        <ns0:f>IF(OR($AO49=0,$B$5&lt;&gt;"OK",$B$6&gt;0,Calendar!J$11=""),0,SUMIFS(rngEngine_U,rngEngine_B,INDEX(Team!$A$11:$A$60,$AO49),rngAMStart,"&lt;="&amp;Calendar!J$11,rngAMEnd,"&gt;="&amp;Calendar!J$11))</ns0:f>
        <ns0:v>0</ns0:v>
      </ns0:c>
      <ns0:c r="BP49" s="0">
        <ns0:f>IF(OR($AO49=0,$B$5&lt;&gt;"OK",$B$6&gt;0,Calendar!J$11=""),0,SUMIFS(rngEngine_V,rngEngine_B,INDEX(Team!$A$11:$A$60,$AO49),rngPMStart,"&lt;="&amp;Calendar!J$11,rngPMEnd,"&gt;="&amp;Calendar!J$11))</ns0:f>
        <ns0:v>0</ns0:v>
      </ns0:c>
      <ns0:c r="BQ49" s="0">
        <ns0:f>IF(OR($AO49=0,$B$5&lt;&gt;"OK",$B$6&gt;0,Calendar!K$11=""),0,SUMIFS(rngEngine_U,rngEngine_B,INDEX(Team!$A$11:$A$60,$AO49),rngAMStart,"&lt;="&amp;Calendar!K$11,rngAMEnd,"&gt;="&amp;Calendar!K$11))</ns0:f>
        <ns0:v>0</ns0:v>
      </ns0:c>
      <ns0:c r="BR49" s="0">
        <ns0:f>IF(OR($AO49=0,$B$5&lt;&gt;"OK",$B$6&gt;0,Calendar!K$11=""),0,SUMIFS(rngEngine_V,rngEngine_B,INDEX(Team!$A$11:$A$60,$AO49),rngPMStart,"&lt;="&amp;Calendar!K$11,rngPMEnd,"&gt;="&amp;Calendar!K$11))</ns0:f>
        <ns0:v>0</ns0:v>
      </ns0:c>
      <ns0:c r="BS49" s="0">
        <ns0:f>IF(OR($AO49=0,$B$5&lt;&gt;"OK",$B$6&gt;0,Calendar!L$11=""),0,SUMIFS(rngEngine_U,rngEngine_B,INDEX(Team!$A$11:$A$60,$AO49),rngAMStart,"&lt;="&amp;Calendar!L$11,rngAMEnd,"&gt;="&amp;Calendar!L$11))</ns0:f>
        <ns0:v>0</ns0:v>
      </ns0:c>
      <ns0:c r="BT49" s="0">
        <ns0:f>IF(OR($AO49=0,$B$5&lt;&gt;"OK",$B$6&gt;0,Calendar!L$11=""),0,SUMIFS(rngEngine_V,rngEngine_B,INDEX(Team!$A$11:$A$60,$AO49),rngPMStart,"&lt;="&amp;Calendar!L$11,rngPMEnd,"&gt;="&amp;Calendar!L$11))</ns0:f>
        <ns0:v>0</ns0:v>
      </ns0:c>
      <ns0:c r="BU49" s="0">
        <ns0:f>IF(OR($AO49=0,$B$5&lt;&gt;"OK",$B$6&gt;0,Calendar!M$11=""),0,SUMIFS(rngEngine_U,rngEngine_B,INDEX(Team!$A$11:$A$60,$AO49),rngAMStart,"&lt;="&amp;Calendar!M$11,rngAMEnd,"&gt;="&amp;Calendar!M$11))</ns0:f>
        <ns0:v>0</ns0:v>
      </ns0:c>
      <ns0:c r="BV49" s="0">
        <ns0:f>IF(OR($AO49=0,$B$5&lt;&gt;"OK",$B$6&gt;0,Calendar!M$11=""),0,SUMIFS(rngEngine_V,rngEngine_B,INDEX(Team!$A$11:$A$60,$AO49),rngPMStart,"&lt;="&amp;Calendar!M$11,rngPMEnd,"&gt;="&amp;Calendar!M$11))</ns0:f>
        <ns0:v>0</ns0:v>
      </ns0:c>
      <ns0:c r="BW49" s="0">
        <ns0:f>IF(OR($AO49=0,$B$5&lt;&gt;"OK",$B$6&gt;0,Calendar!N$11=""),0,SUMIFS(rngEngine_U,rngEngine_B,INDEX(Team!$A$11:$A$60,$AO49),rngAMStart,"&lt;="&amp;Calendar!N$11,rngAMEnd,"&gt;="&amp;Calendar!N$11))</ns0:f>
        <ns0:v>0</ns0:v>
      </ns0:c>
      <ns0:c r="BX49" s="0">
        <ns0:f>IF(OR($AO49=0,$B$5&lt;&gt;"OK",$B$6&gt;0,Calendar!N$11=""),0,SUMIFS(rngEngine_V,rngEngine_B,INDEX(Team!$A$11:$A$60,$AO49),rngPMStart,"&lt;="&amp;Calendar!N$11,rngPMEnd,"&gt;="&amp;Calendar!N$11))</ns0:f>
        <ns0:v>0</ns0:v>
      </ns0:c>
      <ns0:c r="BY49" s="0">
        <ns0:f>IF(OR($AO49=0,$B$5&lt;&gt;"OK",$B$6&gt;0,Calendar!O$11=""),0,SUMIFS(rngEngine_U,rngEngine_B,INDEX(Team!$A$11:$A$60,$AO49),rngAMStart,"&lt;="&amp;Calendar!O$11,rngAMEnd,"&gt;="&amp;Calendar!O$11))</ns0:f>
        <ns0:v>0</ns0:v>
      </ns0:c>
      <ns0:c r="BZ49" s="0">
        <ns0:f>IF(OR($AO49=0,$B$5&lt;&gt;"OK",$B$6&gt;0,Calendar!O$11=""),0,SUMIFS(rngEngine_V,rngEngine_B,INDEX(Team!$A$11:$A$60,$AO49),rngPMStart,"&lt;="&amp;Calendar!O$11,rngPMEnd,"&gt;="&amp;Calendar!O$11))</ns0:f>
        <ns0:v>0</ns0:v>
      </ns0:c>
      <ns0:c r="CA49" s="0">
        <ns0:f>IF(OR($AO49=0,$B$5&lt;&gt;"OK",$B$6&gt;0,Calendar!P$11=""),0,SUMIFS(rngEngine_U,rngEngine_B,INDEX(Team!$A$11:$A$60,$AO49),rngAMStart,"&lt;="&amp;Calendar!P$11,rngAMEnd,"&gt;="&amp;Calendar!P$11))</ns0:f>
        <ns0:v>0</ns0:v>
      </ns0:c>
      <ns0:c r="CB49" s="0">
        <ns0:f>IF(OR($AO49=0,$B$5&lt;&gt;"OK",$B$6&gt;0,Calendar!P$11=""),0,SUMIFS(rngEngine_V,rngEngine_B,INDEX(Team!$A$11:$A$60,$AO49),rngPMStart,"&lt;="&amp;Calendar!P$11,rngPMEnd,"&gt;="&amp;Calendar!P$11))</ns0:f>
        <ns0:v>0</ns0:v>
      </ns0:c>
      <ns0:c r="CC49" s="0">
        <ns0:f>IF(OR($AO49=0,$B$5&lt;&gt;"OK",$B$6&gt;0,Calendar!Q$11=""),0,SUMIFS(rngEngine_U,rngEngine_B,INDEX(Team!$A$11:$A$60,$AO49),rngAMStart,"&lt;="&amp;Calendar!Q$11,rngAMEnd,"&gt;="&amp;Calendar!Q$11))</ns0:f>
        <ns0:v>0</ns0:v>
      </ns0:c>
      <ns0:c r="CD49" s="0">
        <ns0:f>IF(OR($AO49=0,$B$5&lt;&gt;"OK",$B$6&gt;0,Calendar!Q$11=""),0,SUMIFS(rngEngine_V,rngEngine_B,INDEX(Team!$A$11:$A$60,$AO49),rngPMStart,"&lt;="&amp;Calendar!Q$11,rngPMEnd,"&gt;="&amp;Calendar!Q$11))</ns0:f>
        <ns0:v>0</ns0:v>
      </ns0:c>
      <ns0:c r="CE49" s="0">
        <ns0:f>IF(OR($AO49=0,$B$5&lt;&gt;"OK",$B$6&gt;0,Calendar!R$11=""),0,SUMIFS(rngEngine_U,rngEngine_B,INDEX(Team!$A$11:$A$60,$AO49),rngAMStart,"&lt;="&amp;Calendar!R$11,rngAMEnd,"&gt;="&amp;Calendar!R$11))</ns0:f>
        <ns0:v>0</ns0:v>
      </ns0:c>
      <ns0:c r="CF49" s="0">
        <ns0:f>IF(OR($AO49=0,$B$5&lt;&gt;"OK",$B$6&gt;0,Calendar!R$11=""),0,SUMIFS(rngEngine_V,rngEngine_B,INDEX(Team!$A$11:$A$60,$AO49),rngPMStart,"&lt;="&amp;Calendar!R$11,rngPMEnd,"&gt;="&amp;Calendar!R$11))</ns0:f>
        <ns0:v>0</ns0:v>
      </ns0:c>
      <ns0:c r="CG49" s="0">
        <ns0:f>IF(OR($AO49=0,$B$5&lt;&gt;"OK",$B$6&gt;0,Calendar!S$11=""),0,SUMIFS(rngEngine_U,rngEngine_B,INDEX(Team!$A$11:$A$60,$AO49),rngAMStart,"&lt;="&amp;Calendar!S$11,rngAMEnd,"&gt;="&amp;Calendar!S$11))</ns0:f>
        <ns0:v>0</ns0:v>
      </ns0:c>
      <ns0:c r="CH49" s="0">
        <ns0:f>IF(OR($AO49=0,$B$5&lt;&gt;"OK",$B$6&gt;0,Calendar!S$11=""),0,SUMIFS(rngEngine_V,rngEngine_B,INDEX(Team!$A$11:$A$60,$AO49),rngPMStart,"&lt;="&amp;Calendar!S$11,rngPMEnd,"&gt;="&amp;Calendar!S$11))</ns0:f>
        <ns0:v>0</ns0:v>
      </ns0:c>
      <ns0:c r="CI49" s="0">
        <ns0:f>IF(OR($AO49=0,$B$5&lt;&gt;"OK",$B$6&gt;0,Calendar!T$11=""),0,SUMIFS(rngEngine_U,rngEngine_B,INDEX(Team!$A$11:$A$60,$AO49),rngAMStart,"&lt;="&amp;Calendar!T$11,rngAMEnd,"&gt;="&amp;Calendar!T$11))</ns0:f>
        <ns0:v>0</ns0:v>
      </ns0:c>
      <ns0:c r="CJ49" s="0">
        <ns0:f>IF(OR($AO49=0,$B$5&lt;&gt;"OK",$B$6&gt;0,Calendar!T$11=""),0,SUMIFS(rngEngine_V,rngEngine_B,INDEX(Team!$A$11:$A$60,$AO49),rngPMStart,"&lt;="&amp;Calendar!T$11,rngPMEnd,"&gt;="&amp;Calendar!T$11))</ns0:f>
        <ns0:v>0</ns0:v>
      </ns0:c>
      <ns0:c r="CK49" s="0">
        <ns0:f>IF(OR($AO49=0,$B$5&lt;&gt;"OK",$B$6&gt;0,Calendar!U$11=""),0,SUMIFS(rngEngine_U,rngEngine_B,INDEX(Team!$A$11:$A$60,$AO49),rngAMStart,"&lt;="&amp;Calendar!U$11,rngAMEnd,"&gt;="&amp;Calendar!U$11))</ns0:f>
        <ns0:v>0</ns0:v>
      </ns0:c>
      <ns0:c r="CL49" s="0">
        <ns0:f>IF(OR($AO49=0,$B$5&lt;&gt;"OK",$B$6&gt;0,Calendar!U$11=""),0,SUMIFS(rngEngine_V,rngEngine_B,INDEX(Team!$A$11:$A$60,$AO49),rngPMStart,"&lt;="&amp;Calendar!U$11,rngPMEnd,"&gt;="&amp;Calendar!U$11))</ns0:f>
        <ns0:v>0</ns0:v>
      </ns0:c>
      <ns0:c r="CM49" s="0">
        <ns0:f>IF(OR($AO49=0,$B$5&lt;&gt;"OK",$B$6&gt;0,Calendar!V$11=""),0,SUMIFS(rngEngine_U,rngEngine_B,INDEX(Team!$A$11:$A$60,$AO49),rngAMStart,"&lt;="&amp;Calendar!V$11,rngAMEnd,"&gt;="&amp;Calendar!V$11))</ns0:f>
        <ns0:v>0</ns0:v>
      </ns0:c>
      <ns0:c r="CN49" s="0">
        <ns0:f>IF(OR($AO49=0,$B$5&lt;&gt;"OK",$B$6&gt;0,Calendar!V$11=""),0,SUMIFS(rngEngine_V,rngEngine_B,INDEX(Team!$A$11:$A$60,$AO49),rngPMStart,"&lt;="&amp;Calendar!V$11,rngPMEnd,"&gt;="&amp;Calendar!V$11))</ns0:f>
        <ns0:v>0</ns0:v>
      </ns0:c>
      <ns0:c r="CO49" s="0">
        <ns0:f>IF(OR($AO49=0,$B$5&lt;&gt;"OK",$B$6&gt;0,Calendar!W$11=""),0,SUMIFS(rngEngine_U,rngEngine_B,INDEX(Team!$A$11:$A$60,$AO49),rngAMStart,"&lt;="&amp;Calendar!W$11,rngAMEnd,"&gt;="&amp;Calendar!W$11))</ns0:f>
        <ns0:v>0</ns0:v>
      </ns0:c>
      <ns0:c r="CP49" s="0">
        <ns0:f>IF(OR($AO49=0,$B$5&lt;&gt;"OK",$B$6&gt;0,Calendar!W$11=""),0,SUMIFS(rngEngine_V,rngEngine_B,INDEX(Team!$A$11:$A$60,$AO49),rngPMStart,"&lt;="&amp;Calendar!W$11,rngPMEnd,"&gt;="&amp;Calendar!W$11))</ns0:f>
        <ns0:v>0</ns0:v>
      </ns0:c>
      <ns0:c r="CQ49" s="0">
        <ns0:f>IF(OR($AO49=0,$B$5&lt;&gt;"OK",$B$6&gt;0,Calendar!X$11=""),0,SUMIFS(rngEngine_U,rngEngine_B,INDEX(Team!$A$11:$A$60,$AO49),rngAMStart,"&lt;="&amp;Calendar!X$11,rngAMEnd,"&gt;="&amp;Calendar!X$11))</ns0:f>
        <ns0:v>0</ns0:v>
      </ns0:c>
      <ns0:c r="CR49" s="0">
        <ns0:f>IF(OR($AO49=0,$B$5&lt;&gt;"OK",$B$6&gt;0,Calendar!X$11=""),0,SUMIFS(rngEngine_V,rngEngine_B,INDEX(Team!$A$11:$A$60,$AO49),rngPMStart,"&lt;="&amp;Calendar!X$11,rngPMEnd,"&gt;="&amp;Calendar!X$11))</ns0:f>
        <ns0:v>0</ns0:v>
      </ns0:c>
      <ns0:c r="CS49" s="0">
        <ns0:f>IF(OR($AO49=0,$B$5&lt;&gt;"OK",$B$6&gt;0,Calendar!Y$11=""),0,SUMIFS(rngEngine_U,rngEngine_B,INDEX(Team!$A$11:$A$60,$AO49),rngAMStart,"&lt;="&amp;Calendar!Y$11,rngAMEnd,"&gt;="&amp;Calendar!Y$11))</ns0:f>
        <ns0:v>0</ns0:v>
      </ns0:c>
      <ns0:c r="CT49" s="0">
        <ns0:f>IF(OR($AO49=0,$B$5&lt;&gt;"OK",$B$6&gt;0,Calendar!Y$11=""),0,SUMIFS(rngEngine_V,rngEngine_B,INDEX(Team!$A$11:$A$60,$AO49),rngPMStart,"&lt;="&amp;Calendar!Y$11,rngPMEnd,"&gt;="&amp;Calendar!Y$11))</ns0:f>
        <ns0:v>0</ns0:v>
      </ns0:c>
      <ns0:c r="CU49" s="0">
        <ns0:f>IF(OR($AO49=0,$B$5&lt;&gt;"OK",$B$6&gt;0,Calendar!Z$11=""),0,SUMIFS(rngEngine_U,rngEngine_B,INDEX(Team!$A$11:$A$60,$AO49),rngAMStart,"&lt;="&amp;Calendar!Z$11,rngAMEnd,"&gt;="&amp;Calendar!Z$11))</ns0:f>
        <ns0:v>0</ns0:v>
      </ns0:c>
      <ns0:c r="CV49" s="0">
        <ns0:f>IF(OR($AO49=0,$B$5&lt;&gt;"OK",$B$6&gt;0,Calendar!Z$11=""),0,SUMIFS(rngEngine_V,rngEngine_B,INDEX(Team!$A$11:$A$60,$AO49),rngPMStart,"&lt;="&amp;Calendar!Z$11,rngPMEnd,"&gt;="&amp;Calendar!Z$11))</ns0:f>
        <ns0:v>0</ns0:v>
      </ns0:c>
      <ns0:c r="CW49" s="0">
        <ns0:f>IF(OR($AO49=0,$B$5&lt;&gt;"OK",$B$6&gt;0,Calendar!AA$11=""),0,SUMIFS(rngEngine_U,rngEngine_B,INDEX(Team!$A$11:$A$60,$AO49),rngAMStart,"&lt;="&amp;Calendar!AA$11,rngAMEnd,"&gt;="&amp;Calendar!AA$11))</ns0:f>
        <ns0:v>0</ns0:v>
      </ns0:c>
      <ns0:c r="CX49" s="0">
        <ns0:f>IF(OR($AO49=0,$B$5&lt;&gt;"OK",$B$6&gt;0,Calendar!AA$11=""),0,SUMIFS(rngEngine_V,rngEngine_B,INDEX(Team!$A$11:$A$60,$AO49),rngPMStart,"&lt;="&amp;Calendar!AA$11,rngPMEnd,"&gt;="&amp;Calendar!AA$11))</ns0:f>
        <ns0:v>0</ns0:v>
      </ns0:c>
      <ns0:c r="CY49" s="0">
        <ns0:f>IF(OR($AO49=0,$B$5&lt;&gt;"OK",$B$6&gt;0,Calendar!AB$11=""),0,SUMIFS(rngEngine_U,rngEngine_B,INDEX(Team!$A$11:$A$60,$AO49),rngAMStart,"&lt;="&amp;Calendar!AB$11,rngAMEnd,"&gt;="&amp;Calendar!AB$11))</ns0:f>
        <ns0:v>0</ns0:v>
      </ns0:c>
      <ns0:c r="CZ49" s="0">
        <ns0:f>IF(OR($AO49=0,$B$5&lt;&gt;"OK",$B$6&gt;0,Calendar!AB$11=""),0,SUMIFS(rngEngine_V,rngEngine_B,INDEX(Team!$A$11:$A$60,$AO49),rngPMStart,"&lt;="&amp;Calendar!AB$11,rngPMEnd,"&gt;="&amp;Calendar!AB$11))</ns0:f>
        <ns0:v>0</ns0:v>
      </ns0:c>
      <ns0:c r="DA49" s="0">
        <ns0:f>IF(OR($AO49=0,$B$5&lt;&gt;"OK",$B$6&gt;0,Calendar!AC$11=""),0,SUMIFS(rngEngine_U,rngEngine_B,INDEX(Team!$A$11:$A$60,$AO49),rngAMStart,"&lt;="&amp;Calendar!AC$11,rngAMEnd,"&gt;="&amp;Calendar!AC$11))</ns0:f>
        <ns0:v>0</ns0:v>
      </ns0:c>
      <ns0:c r="DB49" s="0">
        <ns0:f>IF(OR($AO49=0,$B$5&lt;&gt;"OK",$B$6&gt;0,Calendar!AC$11=""),0,SUMIFS(rngEngine_V,rngEngine_B,INDEX(Team!$A$11:$A$60,$AO49),rngPMStart,"&lt;="&amp;Calendar!AC$11,rngPMEnd,"&gt;="&amp;Calendar!AC$11))</ns0:f>
        <ns0:v>0</ns0:v>
      </ns0:c>
      <ns0:c r="DC49" s="0">
        <ns0:f>IF(OR($AO49=0,$B$5&lt;&gt;"OK",$B$6&gt;0,Calendar!AD$11=""),0,SUMIFS(rngEngine_U,rngEngine_B,INDEX(Team!$A$11:$A$60,$AO49),rngAMStart,"&lt;="&amp;Calendar!AD$11,rngAMEnd,"&gt;="&amp;Calendar!AD$11))</ns0:f>
        <ns0:v>0</ns0:v>
      </ns0:c>
      <ns0:c r="DD49" s="0">
        <ns0:f>IF(OR($AO49=0,$B$5&lt;&gt;"OK",$B$6&gt;0,Calendar!AD$11=""),0,SUMIFS(rngEngine_V,rngEngine_B,INDEX(Team!$A$11:$A$60,$AO49),rngPMStart,"&lt;="&amp;Calendar!AD$11,rngPMEnd,"&gt;="&amp;Calendar!AD$11))</ns0:f>
        <ns0:v>0</ns0:v>
      </ns0:c>
      <ns0:c r="DE49" s="0">
        <ns0:f>IF(OR($AO49=0,$B$5&lt;&gt;"OK",$B$6&gt;0,Calendar!AE$11=""),0,SUMIFS(rngEngine_U,rngEngine_B,INDEX(Team!$A$11:$A$60,$AO49),rngAMStart,"&lt;="&amp;Calendar!AE$11,rngAMEnd,"&gt;="&amp;Calendar!AE$11))</ns0:f>
        <ns0:v>0</ns0:v>
      </ns0:c>
      <ns0:c r="DF49" s="0">
        <ns0:f>IF(OR($AO49=0,$B$5&lt;&gt;"OK",$B$6&gt;0,Calendar!AE$11=""),0,SUMIFS(rngEngine_V,rngEngine_B,INDEX(Team!$A$11:$A$60,$AO49),rngPMStart,"&lt;="&amp;Calendar!AE$11,rngPMEnd,"&gt;="&amp;Calendar!AE$11))</ns0:f>
        <ns0:v>0</ns0:v>
      </ns0:c>
      <ns0:c r="DG49" s="0">
        <ns0:f>IF(OR($AO49=0,$B$5&lt;&gt;"OK",$B$6&gt;0,Calendar!AF$11=""),0,SUMIFS(rngEngine_U,rngEngine_B,INDEX(Team!$A$11:$A$60,$AO49),rngAMStart,"&lt;="&amp;Calendar!AF$11,rngAMEnd,"&gt;="&amp;Calendar!AF$11))</ns0:f>
        <ns0:v>0</ns0:v>
      </ns0:c>
      <ns0:c r="DH49" s="0">
        <ns0:f>IF(OR($AO49=0,$B$5&lt;&gt;"OK",$B$6&gt;0,Calendar!AF$11=""),0,SUMIFS(rngEngine_V,rngEngine_B,INDEX(Team!$A$11:$A$60,$AO49),rngPMStart,"&lt;="&amp;Calendar!AF$11,rngPMEnd,"&gt;="&amp;Calendar!AF$11))</ns0:f>
        <ns0:v>0</ns0:v>
      </ns0:c>
      <ns0:c r="DI49" s="0">
        <ns0:f>IF(OR($AO49=0,$B$5&lt;&gt;"OK",$B$6&gt;0,Calendar!AG$11=""),0,SUMIFS(rngEngine_U,rngEngine_B,INDEX(Team!$A$11:$A$60,$AO49),rngAMStart,"&lt;="&amp;Calendar!AG$11,rngAMEnd,"&gt;="&amp;Calendar!AG$11))</ns0:f>
        <ns0:v>0</ns0:v>
      </ns0:c>
      <ns0:c r="DJ49" s="0">
        <ns0:f>IF(OR($AO49=0,$B$5&lt;&gt;"OK",$B$6&gt;0,Calendar!AG$11=""),0,SUMIFS(rngEngine_V,rngEngine_B,INDEX(Team!$A$11:$A$60,$AO49),rngPMStart,"&lt;="&amp;Calendar!AG$11,rngPMEnd,"&gt;="&amp;Calendar!AG$11))</ns0:f>
        <ns0:v>0</ns0:v>
      </ns0:c>
      <ns0:c r="DK49" s="0">
        <ns0:f>IF(OR($AO49=0,$B$5&lt;&gt;"OK",$B$6&gt;0,Calendar!AH$11=""),0,SUMIFS(rngEngine_U,rngEngine_B,INDEX(Team!$A$11:$A$60,$AO49),rngAMStart,"&lt;="&amp;Calendar!AH$11,rngAMEnd,"&gt;="&amp;Calendar!AH$11))</ns0:f>
        <ns0:v>0</ns0:v>
      </ns0:c>
      <ns0:c r="DL49" s="0">
        <ns0:f>IF(OR($AO49=0,$B$5&lt;&gt;"OK",$B$6&gt;0,Calendar!AH$11=""),0,SUMIFS(rngEngine_V,rngEngine_B,INDEX(Team!$A$11:$A$60,$AO49),rngPMStart,"&lt;="&amp;Calendar!AH$11,rngPMEnd,"&gt;="&amp;Calendar!AH$11))</ns0:f>
        <ns0:v>0</ns0:v>
      </ns0:c>
    </ns0:row>
    <ns0:row r="50" ht="22" customHeight="1">
      <ns0:c r="A50" s="4">
        <ns0:f>IF(COUNTA(Bookings!A50:G50,Bookings!I50)=0,0,1)</ns0:f>
        <ns0:v>0</ns0:v>
      </ns0:c>
      <ns0:c r="B50" s="4" t="str">
        <ns0:f>IFERROR(TRIM(MID(Bookings!A50,FIND(" · ",Bookings!A50)+3,99)),"")</ns0:f>
        <ns0:v/>
      </ns0:c>
      <ns0:c r="C50" s="4">
        <ns0:f>IF(OR(B50="",LEN(B50)&gt;24,ISNUMBER(FIND(" ",B50)),ISNUMBER(FIND("*",B50)),ISNUMBER(FIND("?",B50)),ISNUMBER(FIND("~",B50))),0,IFERROR(MATCH(B50,Team!$A$11:$A$60,0),0))</ns0:f>
        <ns0:v>0</ns0:v>
      </ns0:c>
      <ns0:c r="D50" s="4" t="str">
        <ns0:f>IFERROR(IF(MID(Bookings!F50,LEN(Bookings!F50)-3,3)=" · ",RIGHT(Bookings!F50,1),""),"")</ns0:f>
        <ns0:v/>
      </ns0:c>
      <ns0:c r="E50" s="4" t="str">
        <ns0:f>IFERROR(INDEX(Settings!$H$7:$H$11,MATCH(D50,Settings!$G$7:$G$11,0)),"")</ns0:f>
        <ns0:v/>
      </ns0:c>
      <ns0:c r="F50" s="4" t="str">
        <ns0:f>IF(A50=0,"",IFERROR(IF(OR(B50="",C50=0),"CHECK employee selection",IF(INDEX(Team!$O$11:$O$60,C50)&lt;&gt;"OK","CHECK employee setup",IF(OR('_Dates'!J50=0,'_Dates'!T50=0),"CHECK date: use DD.MM.YYYY",IF('_Dates'!T50&lt;'_Dates'!J50,"CHECK end before start",IF(AND($B$6=0,OR('_Dates'!J50&lt;Settings!$B$7,'_Dates'!T50&gt;Settings!$B$8)),"CHECK split across leave years",IF(OR(NOT(OR('_Dates'!U50="Full day",'_Dates'!U50="AM",'_Dates'!U50="PM")),NOT(OR('_Dates'!V50="Full day",'_Dates'!V50="AM",'_Dates'!V50="PM"))),"CHECK Full day / AM / PM",IF(AND('_Dates'!J50='_Dates'!T50,'_Dates'!U50&lt;&gt;"Full day",'_Dates'!V50&lt;&gt;"Full day",'_Dates'!U50&lt;&gt;'_Dates'!V50),"CHECK same-day portions disagree",IF(AND($B$6=0,OR(AND('_Dates'!U50&lt;&gt;"Full day",'_Dates'!AA50=0),AND('_Dates'!V50&lt;&gt;"Full day",'_Dates'!AB50=0))),"CHECK half-day on non-working date",IF(COUNTIF(Settings!$G$7:$G$11,D50)&lt;&gt;1,"CHECK leave type",IF(AND(Bookings!G50&lt;&gt;"Approved",Bookings!G50&lt;&gt;"Pending",Bookings!G50&lt;&gt;"Cancelled"),"CHECK status","OK")))))))))),"CHECK input"))</ns0:f>
        <ns0:v/>
      </ns0:c>
      <ns0:c r="G50" s="4">
        <ns0:f>IF(OR(F50&lt;&gt;"OK",$B$6&gt;0),0,0.5*(IF(('_Dates'!X50)&lt;('_Dates'!W50),0,INT((('_Dates'!X50)-('_Dates'!W50)+1)/7)*LEN(SUBSTITUTE(W50,"O",""))+LEN(SUBSTITUTE(MID(W50&amp;W50,WEEKDAY(('_Dates'!W50),2),MOD((('_Dates'!X50)-('_Dates'!W50)+1),7)),"O",""))-COUNTIFS(INDEX(AllClosureRows,C50,0),"&gt;="&amp;('_Dates'!W50),INDEX(AllClosureRows,C50,0),"&lt;="&amp;('_Dates'!X50)))+IF(('_Dates'!Z50)&lt;('_Dates'!Y50),0,INT((('_Dates'!Z50)-('_Dates'!Y50)+1)/7)*LEN(SUBSTITUTE(W50,"O",""))+LEN(SUBSTITUTE(MID(W50&amp;W50,WEEKDAY(('_Dates'!Y50),2),MOD((('_Dates'!Z50)-('_Dates'!Y50)+1),7)),"O",""))-COUNTIFS(INDEX(AllClosureRows,C50,0),"&gt;="&amp;('_Dates'!Y50),INDEX(AllClosureRows,C50,0),"&lt;="&amp;('_Dates'!Z50)))))</ns0:f>
        <ns0:v>0</ns0:v>
      </ns0:c>
      <ns0:c r="H50" s="4">
        <ns0:f>IF(OR(F50&lt;&gt;"OK",$B$6&gt;0),0,0.5*(IF((MIN('_Dates'!X50,Settings!$B$9))&lt;('_Dates'!W50),0,INT(((MIN('_Dates'!X50,Settings!$B$9))-('_Dates'!W50)+1)/7)*LEN(SUBSTITUTE(W50,"O",""))+LEN(SUBSTITUTE(MID(W50&amp;W50,WEEKDAY(('_Dates'!W50),2),MOD(((MIN('_Dates'!X50,Settings!$B$9))-('_Dates'!W50)+1),7)),"O",""))-COUNTIFS(INDEX(AllClosureRows,C50,0),"&gt;="&amp;('_Dates'!W50),INDEX(AllClosureRows,C50,0),"&lt;="&amp;(MIN('_Dates'!X50,Settings!$B$9))))+IF((MIN('_Dates'!Z50,Settings!$B$9))&lt;('_Dates'!Y50),0,INT(((MIN('_Dates'!Z50,Settings!$B$9))-('_Dates'!Y50)+1)/7)*LEN(SUBSTITUTE(W50,"O",""))+LEN(SUBSTITUTE(MID(W50&amp;W50,WEEKDAY(('_Dates'!Y50),2),MOD(((MIN('_Dates'!Z50,Settings!$B$9))-('_Dates'!Y50)+1),7)),"O",""))-COUNTIFS(INDEX(AllClosureRows,C50,0),"&gt;="&amp;('_Dates'!Y50),INDEX(AllClosureRows,C50,0),"&lt;="&amp;(MIN('_Dates'!Z50,Settings!$B$9))))))</ns0:f>
        <ns0:v>0</ns0:v>
      </ns0:c>
      <ns0:c r="I50" s="4">
        <ns0:f>MAX(0,G50-H50)</ns0:f>
        <ns0:v>0</ns0:v>
      </ns0:c>
      <ns0:c r="J50" s="4">
        <ns0:f>IF(OR(A50=0,F50&lt;&gt;"OK",Bookings!G50="Cancelled",$B$6&gt;0),0,IF('_Dates'!AC50=1,MAX(0,COUNTIFS(rngEngine_B,B50,rngAMStart,"&lt;="&amp;'_Dates'!X50,rngAMEnd,"&gt;="&amp;'_Dates'!W50,rngAMActive,1,rngEngine_F,"OK",rngBookings_F,"&lt;&gt;Cancelled")-1),0)+IF('_Dates'!AD50=1,MAX(0,COUNTIFS(rngEngine_B,B50,rngPMStart,"&lt;="&amp;'_Dates'!Z50,rngPMEnd,"&gt;="&amp;'_Dates'!Y50,rngPMActive,1,rngEngine_F,"OK",rngBookings_F,"&lt;&gt;Cancelled")-1),0))</ns0:f>
        <ns0:v>0</ns0:v>
      </ns0:c>
      <ns0:c r="K50" s="0" t="str">
        <ns0:f>IF(A50=0,"",IF(F50&lt;&gt;"OK",F50,IF(J50&gt;0,"CHECK overlapping entry",IF(AND($B$6=0,G50&lt;=0,Bookings!G50&lt;&gt;"Cancelled"),"CHECK no working days",IF(Bookings!G50="Cancelled","Cancelled","OK")))))</ns0:f>
        <ns0:v/>
      </ns0:c>
      <ns0:c r="L50" s="0">
        <ns0:f>IF(LEFT(K50,5)="CHECK",1,0)</ns0:f>
        <ns0:v>0</ns0:v>
      </ns0:c>
      <ns0:c r="M50" s="0">
        <ns0:f>IF(AND(L50=1,OR(C50=0,IFERROR(INDEX($X$11:$X$60,C50),0)=0)),1,0)</ns0:f>
        <ns0:v>0</ns0:v>
      </ns0:c>
      <ns0:c r="N50" s="0">
        <ns0:f>IF(OR(A50=0,L50&gt;0,$B$6&gt;0,Bookings!G50="Cancelled"),0,G50)</ns0:f>
        <ns0:v>0</ns0:v>
      </ns0:c>
      <ns0:c r="O50" s="0">
        <ns0:f>IF(AND(Bookings!G50="Approved",E50="Yes"),N50,0)</ns0:f>
        <ns0:v>0</ns0:v>
      </ns0:c>
      <ns0:c r="P50" s="0">
        <ns0:f>IF(AND(Bookings!G50="Approved",E50="Yes",L50=0,$B$6=0),H50,0)</ns0:f>
        <ns0:v>0</ns0:v>
      </ns0:c>
      <ns0:c r="Q50" s="0">
        <ns0:f>IF(AND(Bookings!G50="Approved",E50="Yes",L50=0,$B$6=0),I50,0)</ns0:f>
        <ns0:v>0</ns0:v>
      </ns0:c>
      <ns0:c r="R50" s="0">
        <ns0:f>IF(AND(Bookings!G50="Pending",E50="Yes"),N50,0)</ns0:f>
        <ns0:v>0</ns0:v>
      </ns0:c>
      <ns0:c r="S50" s="0">
        <ns0:f>IF(AND(Bookings!G50="Approved",E50="No"),N50,0)</ns0:f>
        <ns0:v>0</ns0:v>
      </ns0:c>
      <ns0:c r="T50" s="0">
        <ns0:f>IFERROR(MATCH(D50,Settings!$G$7:$G$11,0),0)</ns0:f>
        <ns0:v>0</ns0:v>
      </ns0:c>
      <ns0:c r="U50" s="0">
        <ns0:f>IF(N50&gt;0,T50+IF(Bookings!G50="Pending",10,0),0)</ns0:f>
        <ns0:v>0</ns0:v>
      </ns0:c>
      <ns0:c r="V50" s="0">
        <ns0:f>U50</ns0:f>
        <ns0:v>0</ns0:v>
      </ns0:c>
      <ns0:c r="W50" s="0" t="str">
        <ns0:f>IF(C50=0,"",INDEX($AP$11:$AP$60,C50))</ns0:f>
        <ns0:v/>
      </ns0:c>
      <ns0:c r="X50" s="0">
        <ns0:f>IF(COUNTA(Team!B50:D50)=0,0,1)</ns0:f>
        <ns0:v>0</ns0:v>
      </ns0:c>
      <ns0:c r="Y50" s="0" t="str">
        <ns0:f>IF(X50=0,"",IF(Team!B50="","[Unnamed]",Team!B50)&amp;" · "&amp;Team!A50)</ns0:f>
        <ns0:v/>
      </ns0:c>
      <ns0:c r="Z50" s="0">
        <ns0:f>IF(X50=0,0,COUNTIF(Team!H50:N50,"Work"))</ns0:f>
        <ns0:v>0</ns0:v>
      </ns0:c>
      <ns0:c r="AA50" s="0">
        <ns0:f>IF(LEFT(Team!O50,5)="CHECK",1,0)</ns0:f>
        <ns0:v>0</ns0:v>
      </ns0:c>
      <ns0:c r="AB50" s="0">
        <ns0:f>IF(X50=0,0,SUMIFS(rngEngine_L,rngEngine_B,Team!A50))</ns0:f>
        <ns0:v>0</ns0:v>
      </ns0:c>
      <ns0:c r="AC50" s="0" t="str">
        <ns0:f>IF(AND(X50=1,OR(Calendar!$C$7="All teams",Team!C50=Calendar!$C$7)),MAX($AC$10:AC49)+1,"")</ns0:f>
        <ns0:v/>
      </ns0:c>
      <ns0:c r="AD50" s="0" t="str">
        <ns0:f>IF(OR(X50=0,Team!C50="",COUNTIF(Team!$C$11:C50,Team!C50)&gt;1),"",MAX($AD$10:AD49)+1)</ns0:f>
        <ns0:v/>
      </ns0:c>
      <ns0:c r="AE50" s="0" t="str">
        <ns0:f>IFERROR(INDEX(Team!$C$11:$C$60,MATCH(ROW()-10,$AD$11:$AD$60,0)),"")</ns0:f>
        <ns0:v/>
      </ns0:c>
      <ns0:c r="AF50" s="0" t="str">
        <ns0:f>AE50</ns0:f>
        <ns0:v/>
      </ns0:c>
      <ns0:c r="AG50" s="0">
        <ns0:f>IF(X50=0,0,IFERROR(Team!F50+Team!G50,0))</ns0:f>
        <ns0:v>0</ns0:v>
      </ns0:c>
      <ns0:c r="AH50" s="0">
        <ns0:f>IF(X50=0,0,SUMIFS(rngEngine_P,rngEngine_B,Team!A50))</ns0:f>
        <ns0:v>0</ns0:v>
      </ns0:c>
      <ns0:c r="AI50" s="0">
        <ns0:f>IF(X50=0,0,SUMIFS(rngEngine_Q,rngEngine_B,Team!A50))</ns0:f>
        <ns0:v>0</ns0:v>
      </ns0:c>
      <ns0:c r="AJ50" s="0">
        <ns0:f>IF(X50=0,0,SUMIFS(rngEngine_R,rngEngine_B,Team!A50))</ns0:f>
        <ns0:v>0</ns0:v>
      </ns0:c>
      <ns0:c r="AK50" s="0">
        <ns0:f>IF(X50=0,0,SUMIFS(rngEngine_S,rngEngine_B,Team!A50))</ns0:f>
        <ns0:v>0</ns0:v>
      </ns0:c>
      <ns0:c r="AL50" s="0">
        <ns0:f>AH50+AI50</ns0:f>
        <ns0:v>0</ns0:v>
      </ns0:c>
      <ns0:c r="AM50" s="0" t="str">
        <ns0:f>IF(X50=0,"",IF(AA50&gt;0,"CHECK team setup",IF(AB50&gt;0,"CHECK "&amp;AB50&amp;" booking(s)","OK")))</ns0:f>
        <ns0:v/>
      </ns0:c>
      <ns0:c r="AN50" s="0" t="str">
        <ns0:f>IF(X50=0,"",IF(OR($B$6&gt;0,AM50&lt;&gt;"OK"),"REVIEW",AG50-AL50))</ns0:f>
        <ns0:v/>
      </ns0:c>
      <ns0:c r="AO50" s="0">
        <ns0:f>IFERROR(MATCH(ROW()-11,$AC$11:$AC$60,0),0)</ns0:f>
        <ns0:v>0</ns0:v>
      </ns0:c>
      <ns0:c r="AP50" s="0" t="str">
        <ns0:f>IF(Team!H50="Work","W","O")&amp;IF(Team!I50="Work","W","O")&amp;IF(Team!J50="Work","W","O")&amp;IF(Team!K50="Work","W","O")&amp;IF(Team!L50="Work","W","O")&amp;IF(Team!M50="Work","W","O")&amp;IF(Team!N50="Work","W","O")</ns0:f>
        <ns0:v>WWWWWOO</ns0:v>
      </ns0:c>
      <ns0:c r="AR50" s="0">
        <ns0:f>IFERROR(IF(ISNUMBER(Settings!F50),WEEKDAY(Settings!F50,2),0),0)</ns0:f>
        <ns0:v>0</ns0:v>
      </ns0:c>
      <ns0:c r="BC50" s="0">
        <ns0:f>IF(OR($AO50=0,$B$5&lt;&gt;"OK",$B$6&gt;0,Calendar!D$11=""),0,SUMIFS(rngEngine_U,rngEngine_B,INDEX(Team!$A$11:$A$60,$AO50),rngAMStart,"&lt;="&amp;Calendar!D$11,rngAMEnd,"&gt;="&amp;Calendar!D$11))</ns0:f>
        <ns0:v>0</ns0:v>
      </ns0:c>
      <ns0:c r="BD50" s="0">
        <ns0:f>IF(OR($AO50=0,$B$5&lt;&gt;"OK",$B$6&gt;0,Calendar!D$11=""),0,SUMIFS(rngEngine_V,rngEngine_B,INDEX(Team!$A$11:$A$60,$AO50),rngPMStart,"&lt;="&amp;Calendar!D$11,rngPMEnd,"&gt;="&amp;Calendar!D$11))</ns0:f>
        <ns0:v>0</ns0:v>
      </ns0:c>
      <ns0:c r="BE50" s="0">
        <ns0:f>IF(OR($AO50=0,$B$5&lt;&gt;"OK",$B$6&gt;0,Calendar!E$11=""),0,SUMIFS(rngEngine_U,rngEngine_B,INDEX(Team!$A$11:$A$60,$AO50),rngAMStart,"&lt;="&amp;Calendar!E$11,rngAMEnd,"&gt;="&amp;Calendar!E$11))</ns0:f>
        <ns0:v>0</ns0:v>
      </ns0:c>
      <ns0:c r="BF50" s="0">
        <ns0:f>IF(OR($AO50=0,$B$5&lt;&gt;"OK",$B$6&gt;0,Calendar!E$11=""),0,SUMIFS(rngEngine_V,rngEngine_B,INDEX(Team!$A$11:$A$60,$AO50),rngPMStart,"&lt;="&amp;Calendar!E$11,rngPMEnd,"&gt;="&amp;Calendar!E$11))</ns0:f>
        <ns0:v>0</ns0:v>
      </ns0:c>
      <ns0:c r="BG50" s="0">
        <ns0:f>IF(OR($AO50=0,$B$5&lt;&gt;"OK",$B$6&gt;0,Calendar!F$11=""),0,SUMIFS(rngEngine_U,rngEngine_B,INDEX(Team!$A$11:$A$60,$AO50),rngAMStart,"&lt;="&amp;Calendar!F$11,rngAMEnd,"&gt;="&amp;Calendar!F$11))</ns0:f>
        <ns0:v>0</ns0:v>
      </ns0:c>
      <ns0:c r="BH50" s="0">
        <ns0:f>IF(OR($AO50=0,$B$5&lt;&gt;"OK",$B$6&gt;0,Calendar!F$11=""),0,SUMIFS(rngEngine_V,rngEngine_B,INDEX(Team!$A$11:$A$60,$AO50),rngPMStart,"&lt;="&amp;Calendar!F$11,rngPMEnd,"&gt;="&amp;Calendar!F$11))</ns0:f>
        <ns0:v>0</ns0:v>
      </ns0:c>
      <ns0:c r="BI50" s="0">
        <ns0:f>IF(OR($AO50=0,$B$5&lt;&gt;"OK",$B$6&gt;0,Calendar!G$11=""),0,SUMIFS(rngEngine_U,rngEngine_B,INDEX(Team!$A$11:$A$60,$AO50),rngAMStart,"&lt;="&amp;Calendar!G$11,rngAMEnd,"&gt;="&amp;Calendar!G$11))</ns0:f>
        <ns0:v>0</ns0:v>
      </ns0:c>
      <ns0:c r="BJ50" s="0">
        <ns0:f>IF(OR($AO50=0,$B$5&lt;&gt;"OK",$B$6&gt;0,Calendar!G$11=""),0,SUMIFS(rngEngine_V,rngEngine_B,INDEX(Team!$A$11:$A$60,$AO50),rngPMStart,"&lt;="&amp;Calendar!G$11,rngPMEnd,"&gt;="&amp;Calendar!G$11))</ns0:f>
        <ns0:v>0</ns0:v>
      </ns0:c>
      <ns0:c r="BK50" s="0">
        <ns0:f>IF(OR($AO50=0,$B$5&lt;&gt;"OK",$B$6&gt;0,Calendar!H$11=""),0,SUMIFS(rngEngine_U,rngEngine_B,INDEX(Team!$A$11:$A$60,$AO50),rngAMStart,"&lt;="&amp;Calendar!H$11,rngAMEnd,"&gt;="&amp;Calendar!H$11))</ns0:f>
        <ns0:v>0</ns0:v>
      </ns0:c>
      <ns0:c r="BL50" s="0">
        <ns0:f>IF(OR($AO50=0,$B$5&lt;&gt;"OK",$B$6&gt;0,Calendar!H$11=""),0,SUMIFS(rngEngine_V,rngEngine_B,INDEX(Team!$A$11:$A$60,$AO50),rngPMStart,"&lt;="&amp;Calendar!H$11,rngPMEnd,"&gt;="&amp;Calendar!H$11))</ns0:f>
        <ns0:v>0</ns0:v>
      </ns0:c>
      <ns0:c r="BM50" s="0">
        <ns0:f>IF(OR($AO50=0,$B$5&lt;&gt;"OK",$B$6&gt;0,Calendar!I$11=""),0,SUMIFS(rngEngine_U,rngEngine_B,INDEX(Team!$A$11:$A$60,$AO50),rngAMStart,"&lt;="&amp;Calendar!I$11,rngAMEnd,"&gt;="&amp;Calendar!I$11))</ns0:f>
        <ns0:v>0</ns0:v>
      </ns0:c>
      <ns0:c r="BN50" s="0">
        <ns0:f>IF(OR($AO50=0,$B$5&lt;&gt;"OK",$B$6&gt;0,Calendar!I$11=""),0,SUMIFS(rngEngine_V,rngEngine_B,INDEX(Team!$A$11:$A$60,$AO50),rngPMStart,"&lt;="&amp;Calendar!I$11,rngPMEnd,"&gt;="&amp;Calendar!I$11))</ns0:f>
        <ns0:v>0</ns0:v>
      </ns0:c>
      <ns0:c r="BO50" s="0">
        <ns0:f>IF(OR($AO50=0,$B$5&lt;&gt;"OK",$B$6&gt;0,Calendar!J$11=""),0,SUMIFS(rngEngine_U,rngEngine_B,INDEX(Team!$A$11:$A$60,$AO50),rngAMStart,"&lt;="&amp;Calendar!J$11,rngAMEnd,"&gt;="&amp;Calendar!J$11))</ns0:f>
        <ns0:v>0</ns0:v>
      </ns0:c>
      <ns0:c r="BP50" s="0">
        <ns0:f>IF(OR($AO50=0,$B$5&lt;&gt;"OK",$B$6&gt;0,Calendar!J$11=""),0,SUMIFS(rngEngine_V,rngEngine_B,INDEX(Team!$A$11:$A$60,$AO50),rngPMStart,"&lt;="&amp;Calendar!J$11,rngPMEnd,"&gt;="&amp;Calendar!J$11))</ns0:f>
        <ns0:v>0</ns0:v>
      </ns0:c>
      <ns0:c r="BQ50" s="0">
        <ns0:f>IF(OR($AO50=0,$B$5&lt;&gt;"OK",$B$6&gt;0,Calendar!K$11=""),0,SUMIFS(rngEngine_U,rngEngine_B,INDEX(Team!$A$11:$A$60,$AO50),rngAMStart,"&lt;="&amp;Calendar!K$11,rngAMEnd,"&gt;="&amp;Calendar!K$11))</ns0:f>
        <ns0:v>0</ns0:v>
      </ns0:c>
      <ns0:c r="BR50" s="0">
        <ns0:f>IF(OR($AO50=0,$B$5&lt;&gt;"OK",$B$6&gt;0,Calendar!K$11=""),0,SUMIFS(rngEngine_V,rngEngine_B,INDEX(Team!$A$11:$A$60,$AO50),rngPMStart,"&lt;="&amp;Calendar!K$11,rngPMEnd,"&gt;="&amp;Calendar!K$11))</ns0:f>
        <ns0:v>0</ns0:v>
      </ns0:c>
      <ns0:c r="BS50" s="0">
        <ns0:f>IF(OR($AO50=0,$B$5&lt;&gt;"OK",$B$6&gt;0,Calendar!L$11=""),0,SUMIFS(rngEngine_U,rngEngine_B,INDEX(Team!$A$11:$A$60,$AO50),rngAMStart,"&lt;="&amp;Calendar!L$11,rngAMEnd,"&gt;="&amp;Calendar!L$11))</ns0:f>
        <ns0:v>0</ns0:v>
      </ns0:c>
      <ns0:c r="BT50" s="0">
        <ns0:f>IF(OR($AO50=0,$B$5&lt;&gt;"OK",$B$6&gt;0,Calendar!L$11=""),0,SUMIFS(rngEngine_V,rngEngine_B,INDEX(Team!$A$11:$A$60,$AO50),rngPMStart,"&lt;="&amp;Calendar!L$11,rngPMEnd,"&gt;="&amp;Calendar!L$11))</ns0:f>
        <ns0:v>0</ns0:v>
      </ns0:c>
      <ns0:c r="BU50" s="0">
        <ns0:f>IF(OR($AO50=0,$B$5&lt;&gt;"OK",$B$6&gt;0,Calendar!M$11=""),0,SUMIFS(rngEngine_U,rngEngine_B,INDEX(Team!$A$11:$A$60,$AO50),rngAMStart,"&lt;="&amp;Calendar!M$11,rngAMEnd,"&gt;="&amp;Calendar!M$11))</ns0:f>
        <ns0:v>0</ns0:v>
      </ns0:c>
      <ns0:c r="BV50" s="0">
        <ns0:f>IF(OR($AO50=0,$B$5&lt;&gt;"OK",$B$6&gt;0,Calendar!M$11=""),0,SUMIFS(rngEngine_V,rngEngine_B,INDEX(Team!$A$11:$A$60,$AO50),rngPMStart,"&lt;="&amp;Calendar!M$11,rngPMEnd,"&gt;="&amp;Calendar!M$11))</ns0:f>
        <ns0:v>0</ns0:v>
      </ns0:c>
      <ns0:c r="BW50" s="0">
        <ns0:f>IF(OR($AO50=0,$B$5&lt;&gt;"OK",$B$6&gt;0,Calendar!N$11=""),0,SUMIFS(rngEngine_U,rngEngine_B,INDEX(Team!$A$11:$A$60,$AO50),rngAMStart,"&lt;="&amp;Calendar!N$11,rngAMEnd,"&gt;="&amp;Calendar!N$11))</ns0:f>
        <ns0:v>0</ns0:v>
      </ns0:c>
      <ns0:c r="BX50" s="0">
        <ns0:f>IF(OR($AO50=0,$B$5&lt;&gt;"OK",$B$6&gt;0,Calendar!N$11=""),0,SUMIFS(rngEngine_V,rngEngine_B,INDEX(Team!$A$11:$A$60,$AO50),rngPMStart,"&lt;="&amp;Calendar!N$11,rngPMEnd,"&gt;="&amp;Calendar!N$11))</ns0:f>
        <ns0:v>0</ns0:v>
      </ns0:c>
      <ns0:c r="BY50" s="0">
        <ns0:f>IF(OR($AO50=0,$B$5&lt;&gt;"OK",$B$6&gt;0,Calendar!O$11=""),0,SUMIFS(rngEngine_U,rngEngine_B,INDEX(Team!$A$11:$A$60,$AO50),rngAMStart,"&lt;="&amp;Calendar!O$11,rngAMEnd,"&gt;="&amp;Calendar!O$11))</ns0:f>
        <ns0:v>0</ns0:v>
      </ns0:c>
      <ns0:c r="BZ50" s="0">
        <ns0:f>IF(OR($AO50=0,$B$5&lt;&gt;"OK",$B$6&gt;0,Calendar!O$11=""),0,SUMIFS(rngEngine_V,rngEngine_B,INDEX(Team!$A$11:$A$60,$AO50),rngPMStart,"&lt;="&amp;Calendar!O$11,rngPMEnd,"&gt;="&amp;Calendar!O$11))</ns0:f>
        <ns0:v>0</ns0:v>
      </ns0:c>
      <ns0:c r="CA50" s="0">
        <ns0:f>IF(OR($AO50=0,$B$5&lt;&gt;"OK",$B$6&gt;0,Calendar!P$11=""),0,SUMIFS(rngEngine_U,rngEngine_B,INDEX(Team!$A$11:$A$60,$AO50),rngAMStart,"&lt;="&amp;Calendar!P$11,rngAMEnd,"&gt;="&amp;Calendar!P$11))</ns0:f>
        <ns0:v>0</ns0:v>
      </ns0:c>
      <ns0:c r="CB50" s="0">
        <ns0:f>IF(OR($AO50=0,$B$5&lt;&gt;"OK",$B$6&gt;0,Calendar!P$11=""),0,SUMIFS(rngEngine_V,rngEngine_B,INDEX(Team!$A$11:$A$60,$AO50),rngPMStart,"&lt;="&amp;Calendar!P$11,rngPMEnd,"&gt;="&amp;Calendar!P$11))</ns0:f>
        <ns0:v>0</ns0:v>
      </ns0:c>
      <ns0:c r="CC50" s="0">
        <ns0:f>IF(OR($AO50=0,$B$5&lt;&gt;"OK",$B$6&gt;0,Calendar!Q$11=""),0,SUMIFS(rngEngine_U,rngEngine_B,INDEX(Team!$A$11:$A$60,$AO50),rngAMStart,"&lt;="&amp;Calendar!Q$11,rngAMEnd,"&gt;="&amp;Calendar!Q$11))</ns0:f>
        <ns0:v>0</ns0:v>
      </ns0:c>
      <ns0:c r="CD50" s="0">
        <ns0:f>IF(OR($AO50=0,$B$5&lt;&gt;"OK",$B$6&gt;0,Calendar!Q$11=""),0,SUMIFS(rngEngine_V,rngEngine_B,INDEX(Team!$A$11:$A$60,$AO50),rngPMStart,"&lt;="&amp;Calendar!Q$11,rngPMEnd,"&gt;="&amp;Calendar!Q$11))</ns0:f>
        <ns0:v>0</ns0:v>
      </ns0:c>
      <ns0:c r="CE50" s="0">
        <ns0:f>IF(OR($AO50=0,$B$5&lt;&gt;"OK",$B$6&gt;0,Calendar!R$11=""),0,SUMIFS(rngEngine_U,rngEngine_B,INDEX(Team!$A$11:$A$60,$AO50),rngAMStart,"&lt;="&amp;Calendar!R$11,rngAMEnd,"&gt;="&amp;Calendar!R$11))</ns0:f>
        <ns0:v>0</ns0:v>
      </ns0:c>
      <ns0:c r="CF50" s="0">
        <ns0:f>IF(OR($AO50=0,$B$5&lt;&gt;"OK",$B$6&gt;0,Calendar!R$11=""),0,SUMIFS(rngEngine_V,rngEngine_B,INDEX(Team!$A$11:$A$60,$AO50),rngPMStart,"&lt;="&amp;Calendar!R$11,rngPMEnd,"&gt;="&amp;Calendar!R$11))</ns0:f>
        <ns0:v>0</ns0:v>
      </ns0:c>
      <ns0:c r="CG50" s="0">
        <ns0:f>IF(OR($AO50=0,$B$5&lt;&gt;"OK",$B$6&gt;0,Calendar!S$11=""),0,SUMIFS(rngEngine_U,rngEngine_B,INDEX(Team!$A$11:$A$60,$AO50),rngAMStart,"&lt;="&amp;Calendar!S$11,rngAMEnd,"&gt;="&amp;Calendar!S$11))</ns0:f>
        <ns0:v>0</ns0:v>
      </ns0:c>
      <ns0:c r="CH50" s="0">
        <ns0:f>IF(OR($AO50=0,$B$5&lt;&gt;"OK",$B$6&gt;0,Calendar!S$11=""),0,SUMIFS(rngEngine_V,rngEngine_B,INDEX(Team!$A$11:$A$60,$AO50),rngPMStart,"&lt;="&amp;Calendar!S$11,rngPMEnd,"&gt;="&amp;Calendar!S$11))</ns0:f>
        <ns0:v>0</ns0:v>
      </ns0:c>
      <ns0:c r="CI50" s="0">
        <ns0:f>IF(OR($AO50=0,$B$5&lt;&gt;"OK",$B$6&gt;0,Calendar!T$11=""),0,SUMIFS(rngEngine_U,rngEngine_B,INDEX(Team!$A$11:$A$60,$AO50),rngAMStart,"&lt;="&amp;Calendar!T$11,rngAMEnd,"&gt;="&amp;Calendar!T$11))</ns0:f>
        <ns0:v>0</ns0:v>
      </ns0:c>
      <ns0:c r="CJ50" s="0">
        <ns0:f>IF(OR($AO50=0,$B$5&lt;&gt;"OK",$B$6&gt;0,Calendar!T$11=""),0,SUMIFS(rngEngine_V,rngEngine_B,INDEX(Team!$A$11:$A$60,$AO50),rngPMStart,"&lt;="&amp;Calendar!T$11,rngPMEnd,"&gt;="&amp;Calendar!T$11))</ns0:f>
        <ns0:v>0</ns0:v>
      </ns0:c>
      <ns0:c r="CK50" s="0">
        <ns0:f>IF(OR($AO50=0,$B$5&lt;&gt;"OK",$B$6&gt;0,Calendar!U$11=""),0,SUMIFS(rngEngine_U,rngEngine_B,INDEX(Team!$A$11:$A$60,$AO50),rngAMStart,"&lt;="&amp;Calendar!U$11,rngAMEnd,"&gt;="&amp;Calendar!U$11))</ns0:f>
        <ns0:v>0</ns0:v>
      </ns0:c>
      <ns0:c r="CL50" s="0">
        <ns0:f>IF(OR($AO50=0,$B$5&lt;&gt;"OK",$B$6&gt;0,Calendar!U$11=""),0,SUMIFS(rngEngine_V,rngEngine_B,INDEX(Team!$A$11:$A$60,$AO50),rngPMStart,"&lt;="&amp;Calendar!U$11,rngPMEnd,"&gt;="&amp;Calendar!U$11))</ns0:f>
        <ns0:v>0</ns0:v>
      </ns0:c>
      <ns0:c r="CM50" s="0">
        <ns0:f>IF(OR($AO50=0,$B$5&lt;&gt;"OK",$B$6&gt;0,Calendar!V$11=""),0,SUMIFS(rngEngine_U,rngEngine_B,INDEX(Team!$A$11:$A$60,$AO50),rngAMStart,"&lt;="&amp;Calendar!V$11,rngAMEnd,"&gt;="&amp;Calendar!V$11))</ns0:f>
        <ns0:v>0</ns0:v>
      </ns0:c>
      <ns0:c r="CN50" s="0">
        <ns0:f>IF(OR($AO50=0,$B$5&lt;&gt;"OK",$B$6&gt;0,Calendar!V$11=""),0,SUMIFS(rngEngine_V,rngEngine_B,INDEX(Team!$A$11:$A$60,$AO50),rngPMStart,"&lt;="&amp;Calendar!V$11,rngPMEnd,"&gt;="&amp;Calendar!V$11))</ns0:f>
        <ns0:v>0</ns0:v>
      </ns0:c>
      <ns0:c r="CO50" s="0">
        <ns0:f>IF(OR($AO50=0,$B$5&lt;&gt;"OK",$B$6&gt;0,Calendar!W$11=""),0,SUMIFS(rngEngine_U,rngEngine_B,INDEX(Team!$A$11:$A$60,$AO50),rngAMStart,"&lt;="&amp;Calendar!W$11,rngAMEnd,"&gt;="&amp;Calendar!W$11))</ns0:f>
        <ns0:v>0</ns0:v>
      </ns0:c>
      <ns0:c r="CP50" s="0">
        <ns0:f>IF(OR($AO50=0,$B$5&lt;&gt;"OK",$B$6&gt;0,Calendar!W$11=""),0,SUMIFS(rngEngine_V,rngEngine_B,INDEX(Team!$A$11:$A$60,$AO50),rngPMStart,"&lt;="&amp;Calendar!W$11,rngPMEnd,"&gt;="&amp;Calendar!W$11))</ns0:f>
        <ns0:v>0</ns0:v>
      </ns0:c>
      <ns0:c r="CQ50" s="0">
        <ns0:f>IF(OR($AO50=0,$B$5&lt;&gt;"OK",$B$6&gt;0,Calendar!X$11=""),0,SUMIFS(rngEngine_U,rngEngine_B,INDEX(Team!$A$11:$A$60,$AO50),rngAMStart,"&lt;="&amp;Calendar!X$11,rngAMEnd,"&gt;="&amp;Calendar!X$11))</ns0:f>
        <ns0:v>0</ns0:v>
      </ns0:c>
      <ns0:c r="CR50" s="0">
        <ns0:f>IF(OR($AO50=0,$B$5&lt;&gt;"OK",$B$6&gt;0,Calendar!X$11=""),0,SUMIFS(rngEngine_V,rngEngine_B,INDEX(Team!$A$11:$A$60,$AO50),rngPMStart,"&lt;="&amp;Calendar!X$11,rngPMEnd,"&gt;="&amp;Calendar!X$11))</ns0:f>
        <ns0:v>0</ns0:v>
      </ns0:c>
      <ns0:c r="CS50" s="0">
        <ns0:f>IF(OR($AO50=0,$B$5&lt;&gt;"OK",$B$6&gt;0,Calendar!Y$11=""),0,SUMIFS(rngEngine_U,rngEngine_B,INDEX(Team!$A$11:$A$60,$AO50),rngAMStart,"&lt;="&amp;Calendar!Y$11,rngAMEnd,"&gt;="&amp;Calendar!Y$11))</ns0:f>
        <ns0:v>0</ns0:v>
      </ns0:c>
      <ns0:c r="CT50" s="0">
        <ns0:f>IF(OR($AO50=0,$B$5&lt;&gt;"OK",$B$6&gt;0,Calendar!Y$11=""),0,SUMIFS(rngEngine_V,rngEngine_B,INDEX(Team!$A$11:$A$60,$AO50),rngPMStart,"&lt;="&amp;Calendar!Y$11,rngPMEnd,"&gt;="&amp;Calendar!Y$11))</ns0:f>
        <ns0:v>0</ns0:v>
      </ns0:c>
      <ns0:c r="CU50" s="0">
        <ns0:f>IF(OR($AO50=0,$B$5&lt;&gt;"OK",$B$6&gt;0,Calendar!Z$11=""),0,SUMIFS(rngEngine_U,rngEngine_B,INDEX(Team!$A$11:$A$60,$AO50),rngAMStart,"&lt;="&amp;Calendar!Z$11,rngAMEnd,"&gt;="&amp;Calendar!Z$11))</ns0:f>
        <ns0:v>0</ns0:v>
      </ns0:c>
      <ns0:c r="CV50" s="0">
        <ns0:f>IF(OR($AO50=0,$B$5&lt;&gt;"OK",$B$6&gt;0,Calendar!Z$11=""),0,SUMIFS(rngEngine_V,rngEngine_B,INDEX(Team!$A$11:$A$60,$AO50),rngPMStart,"&lt;="&amp;Calendar!Z$11,rngPMEnd,"&gt;="&amp;Calendar!Z$11))</ns0:f>
        <ns0:v>0</ns0:v>
      </ns0:c>
      <ns0:c r="CW50" s="0">
        <ns0:f>IF(OR($AO50=0,$B$5&lt;&gt;"OK",$B$6&gt;0,Calendar!AA$11=""),0,SUMIFS(rngEngine_U,rngEngine_B,INDEX(Team!$A$11:$A$60,$AO50),rngAMStart,"&lt;="&amp;Calendar!AA$11,rngAMEnd,"&gt;="&amp;Calendar!AA$11))</ns0:f>
        <ns0:v>0</ns0:v>
      </ns0:c>
      <ns0:c r="CX50" s="0">
        <ns0:f>IF(OR($AO50=0,$B$5&lt;&gt;"OK",$B$6&gt;0,Calendar!AA$11=""),0,SUMIFS(rngEngine_V,rngEngine_B,INDEX(Team!$A$11:$A$60,$AO50),rngPMStart,"&lt;="&amp;Calendar!AA$11,rngPMEnd,"&gt;="&amp;Calendar!AA$11))</ns0:f>
        <ns0:v>0</ns0:v>
      </ns0:c>
      <ns0:c r="CY50" s="0">
        <ns0:f>IF(OR($AO50=0,$B$5&lt;&gt;"OK",$B$6&gt;0,Calendar!AB$11=""),0,SUMIFS(rngEngine_U,rngEngine_B,INDEX(Team!$A$11:$A$60,$AO50),rngAMStart,"&lt;="&amp;Calendar!AB$11,rngAMEnd,"&gt;="&amp;Calendar!AB$11))</ns0:f>
        <ns0:v>0</ns0:v>
      </ns0:c>
      <ns0:c r="CZ50" s="0">
        <ns0:f>IF(OR($AO50=0,$B$5&lt;&gt;"OK",$B$6&gt;0,Calendar!AB$11=""),0,SUMIFS(rngEngine_V,rngEngine_B,INDEX(Team!$A$11:$A$60,$AO50),rngPMStart,"&lt;="&amp;Calendar!AB$11,rngPMEnd,"&gt;="&amp;Calendar!AB$11))</ns0:f>
        <ns0:v>0</ns0:v>
      </ns0:c>
      <ns0:c r="DA50" s="0">
        <ns0:f>IF(OR($AO50=0,$B$5&lt;&gt;"OK",$B$6&gt;0,Calendar!AC$11=""),0,SUMIFS(rngEngine_U,rngEngine_B,INDEX(Team!$A$11:$A$60,$AO50),rngAMStart,"&lt;="&amp;Calendar!AC$11,rngAMEnd,"&gt;="&amp;Calendar!AC$11))</ns0:f>
        <ns0:v>0</ns0:v>
      </ns0:c>
      <ns0:c r="DB50" s="0">
        <ns0:f>IF(OR($AO50=0,$B$5&lt;&gt;"OK",$B$6&gt;0,Calendar!AC$11=""),0,SUMIFS(rngEngine_V,rngEngine_B,INDEX(Team!$A$11:$A$60,$AO50),rngPMStart,"&lt;="&amp;Calendar!AC$11,rngPMEnd,"&gt;="&amp;Calendar!AC$11))</ns0:f>
        <ns0:v>0</ns0:v>
      </ns0:c>
      <ns0:c r="DC50" s="0">
        <ns0:f>IF(OR($AO50=0,$B$5&lt;&gt;"OK",$B$6&gt;0,Calendar!AD$11=""),0,SUMIFS(rngEngine_U,rngEngine_B,INDEX(Team!$A$11:$A$60,$AO50),rngAMStart,"&lt;="&amp;Calendar!AD$11,rngAMEnd,"&gt;="&amp;Calendar!AD$11))</ns0:f>
        <ns0:v>0</ns0:v>
      </ns0:c>
      <ns0:c r="DD50" s="0">
        <ns0:f>IF(OR($AO50=0,$B$5&lt;&gt;"OK",$B$6&gt;0,Calendar!AD$11=""),0,SUMIFS(rngEngine_V,rngEngine_B,INDEX(Team!$A$11:$A$60,$AO50),rngPMStart,"&lt;="&amp;Calendar!AD$11,rngPMEnd,"&gt;="&amp;Calendar!AD$11))</ns0:f>
        <ns0:v>0</ns0:v>
      </ns0:c>
      <ns0:c r="DE50" s="0">
        <ns0:f>IF(OR($AO50=0,$B$5&lt;&gt;"OK",$B$6&gt;0,Calendar!AE$11=""),0,SUMIFS(rngEngine_U,rngEngine_B,INDEX(Team!$A$11:$A$60,$AO50),rngAMStart,"&lt;="&amp;Calendar!AE$11,rngAMEnd,"&gt;="&amp;Calendar!AE$11))</ns0:f>
        <ns0:v>0</ns0:v>
      </ns0:c>
      <ns0:c r="DF50" s="0">
        <ns0:f>IF(OR($AO50=0,$B$5&lt;&gt;"OK",$B$6&gt;0,Calendar!AE$11=""),0,SUMIFS(rngEngine_V,rngEngine_B,INDEX(Team!$A$11:$A$60,$AO50),rngPMStart,"&lt;="&amp;Calendar!AE$11,rngPMEnd,"&gt;="&amp;Calendar!AE$11))</ns0:f>
        <ns0:v>0</ns0:v>
      </ns0:c>
      <ns0:c r="DG50" s="0">
        <ns0:f>IF(OR($AO50=0,$B$5&lt;&gt;"OK",$B$6&gt;0,Calendar!AF$11=""),0,SUMIFS(rngEngine_U,rngEngine_B,INDEX(Team!$A$11:$A$60,$AO50),rngAMStart,"&lt;="&amp;Calendar!AF$11,rngAMEnd,"&gt;="&amp;Calendar!AF$11))</ns0:f>
        <ns0:v>0</ns0:v>
      </ns0:c>
      <ns0:c r="DH50" s="0">
        <ns0:f>IF(OR($AO50=0,$B$5&lt;&gt;"OK",$B$6&gt;0,Calendar!AF$11=""),0,SUMIFS(rngEngine_V,rngEngine_B,INDEX(Team!$A$11:$A$60,$AO50),rngPMStart,"&lt;="&amp;Calendar!AF$11,rngPMEnd,"&gt;="&amp;Calendar!AF$11))</ns0:f>
        <ns0:v>0</ns0:v>
      </ns0:c>
      <ns0:c r="DI50" s="0">
        <ns0:f>IF(OR($AO50=0,$B$5&lt;&gt;"OK",$B$6&gt;0,Calendar!AG$11=""),0,SUMIFS(rngEngine_U,rngEngine_B,INDEX(Team!$A$11:$A$60,$AO50),rngAMStart,"&lt;="&amp;Calendar!AG$11,rngAMEnd,"&gt;="&amp;Calendar!AG$11))</ns0:f>
        <ns0:v>0</ns0:v>
      </ns0:c>
      <ns0:c r="DJ50" s="0">
        <ns0:f>IF(OR($AO50=0,$B$5&lt;&gt;"OK",$B$6&gt;0,Calendar!AG$11=""),0,SUMIFS(rngEngine_V,rngEngine_B,INDEX(Team!$A$11:$A$60,$AO50),rngPMStart,"&lt;="&amp;Calendar!AG$11,rngPMEnd,"&gt;="&amp;Calendar!AG$11))</ns0:f>
        <ns0:v>0</ns0:v>
      </ns0:c>
      <ns0:c r="DK50" s="0">
        <ns0:f>IF(OR($AO50=0,$B$5&lt;&gt;"OK",$B$6&gt;0,Calendar!AH$11=""),0,SUMIFS(rngEngine_U,rngEngine_B,INDEX(Team!$A$11:$A$60,$AO50),rngAMStart,"&lt;="&amp;Calendar!AH$11,rngAMEnd,"&gt;="&amp;Calendar!AH$11))</ns0:f>
        <ns0:v>0</ns0:v>
      </ns0:c>
      <ns0:c r="DL50" s="0">
        <ns0:f>IF(OR($AO50=0,$B$5&lt;&gt;"OK",$B$6&gt;0,Calendar!AH$11=""),0,SUMIFS(rngEngine_V,rngEngine_B,INDEX(Team!$A$11:$A$60,$AO50),rngPMStart,"&lt;="&amp;Calendar!AH$11,rngPMEnd,"&gt;="&amp;Calendar!AH$11))</ns0:f>
        <ns0:v>0</ns0:v>
      </ns0:c>
    </ns0:row>
    <ns0:row r="51" ht="22" customHeight="1">
      <ns0:c r="A51" s="4">
        <ns0:f>IF(COUNTA(Bookings!A51:G51,Bookings!I51)=0,0,1)</ns0:f>
        <ns0:v>0</ns0:v>
      </ns0:c>
      <ns0:c r="B51" s="4" t="str">
        <ns0:f>IFERROR(TRIM(MID(Bookings!A51,FIND(" · ",Bookings!A51)+3,99)),"")</ns0:f>
        <ns0:v/>
      </ns0:c>
      <ns0:c r="C51" s="4">
        <ns0:f>IF(OR(B51="",LEN(B51)&gt;24,ISNUMBER(FIND(" ",B51)),ISNUMBER(FIND("*",B51)),ISNUMBER(FIND("?",B51)),ISNUMBER(FIND("~",B51))),0,IFERROR(MATCH(B51,Team!$A$11:$A$60,0),0))</ns0:f>
        <ns0:v>0</ns0:v>
      </ns0:c>
      <ns0:c r="D51" s="4" t="str">
        <ns0:f>IFERROR(IF(MID(Bookings!F51,LEN(Bookings!F51)-3,3)=" · ",RIGHT(Bookings!F51,1),""),"")</ns0:f>
        <ns0:v/>
      </ns0:c>
      <ns0:c r="E51" s="4" t="str">
        <ns0:f>IFERROR(INDEX(Settings!$H$7:$H$11,MATCH(D51,Settings!$G$7:$G$11,0)),"")</ns0:f>
        <ns0:v/>
      </ns0:c>
      <ns0:c r="F51" s="4" t="str">
        <ns0:f>IF(A51=0,"",IFERROR(IF(OR(B51="",C51=0),"CHECK employee selection",IF(INDEX(Team!$O$11:$O$60,C51)&lt;&gt;"OK","CHECK employee setup",IF(OR('_Dates'!J51=0,'_Dates'!T51=0),"CHECK date: use DD.MM.YYYY",IF('_Dates'!T51&lt;'_Dates'!J51,"CHECK end before start",IF(AND($B$6=0,OR('_Dates'!J51&lt;Settings!$B$7,'_Dates'!T51&gt;Settings!$B$8)),"CHECK split across leave years",IF(OR(NOT(OR('_Dates'!U51="Full day",'_Dates'!U51="AM",'_Dates'!U51="PM")),NOT(OR('_Dates'!V51="Full day",'_Dates'!V51="AM",'_Dates'!V51="PM"))),"CHECK Full day / AM / PM",IF(AND('_Dates'!J51='_Dates'!T51,'_Dates'!U51&lt;&gt;"Full day",'_Dates'!V51&lt;&gt;"Full day",'_Dates'!U51&lt;&gt;'_Dates'!V51),"CHECK same-day portions disagree",IF(AND($B$6=0,OR(AND('_Dates'!U51&lt;&gt;"Full day",'_Dates'!AA51=0),AND('_Dates'!V51&lt;&gt;"Full day",'_Dates'!AB51=0))),"CHECK half-day on non-working date",IF(COUNTIF(Settings!$G$7:$G$11,D51)&lt;&gt;1,"CHECK leave type",IF(AND(Bookings!G51&lt;&gt;"Approved",Bookings!G51&lt;&gt;"Pending",Bookings!G51&lt;&gt;"Cancelled"),"CHECK status","OK")))))))))),"CHECK input"))</ns0:f>
        <ns0:v/>
      </ns0:c>
      <ns0:c r="G51" s="4">
        <ns0:f>IF(OR(F51&lt;&gt;"OK",$B$6&gt;0),0,0.5*(IF(('_Dates'!X51)&lt;('_Dates'!W51),0,INT((('_Dates'!X51)-('_Dates'!W51)+1)/7)*LEN(SUBSTITUTE(W51,"O",""))+LEN(SUBSTITUTE(MID(W51&amp;W51,WEEKDAY(('_Dates'!W51),2),MOD((('_Dates'!X51)-('_Dates'!W51)+1),7)),"O",""))-COUNTIFS(INDEX(AllClosureRows,C51,0),"&gt;="&amp;('_Dates'!W51),INDEX(AllClosureRows,C51,0),"&lt;="&amp;('_Dates'!X51)))+IF(('_Dates'!Z51)&lt;('_Dates'!Y51),0,INT((('_Dates'!Z51)-('_Dates'!Y51)+1)/7)*LEN(SUBSTITUTE(W51,"O",""))+LEN(SUBSTITUTE(MID(W51&amp;W51,WEEKDAY(('_Dates'!Y51),2),MOD((('_Dates'!Z51)-('_Dates'!Y51)+1),7)),"O",""))-COUNTIFS(INDEX(AllClosureRows,C51,0),"&gt;="&amp;('_Dates'!Y51),INDEX(AllClosureRows,C51,0),"&lt;="&amp;('_Dates'!Z51)))))</ns0:f>
        <ns0:v>0</ns0:v>
      </ns0:c>
      <ns0:c r="H51" s="4">
        <ns0:f>IF(OR(F51&lt;&gt;"OK",$B$6&gt;0),0,0.5*(IF((MIN('_Dates'!X51,Settings!$B$9))&lt;('_Dates'!W51),0,INT(((MIN('_Dates'!X51,Settings!$B$9))-('_Dates'!W51)+1)/7)*LEN(SUBSTITUTE(W51,"O",""))+LEN(SUBSTITUTE(MID(W51&amp;W51,WEEKDAY(('_Dates'!W51),2),MOD(((MIN('_Dates'!X51,Settings!$B$9))-('_Dates'!W51)+1),7)),"O",""))-COUNTIFS(INDEX(AllClosureRows,C51,0),"&gt;="&amp;('_Dates'!W51),INDEX(AllClosureRows,C51,0),"&lt;="&amp;(MIN('_Dates'!X51,Settings!$B$9))))+IF((MIN('_Dates'!Z51,Settings!$B$9))&lt;('_Dates'!Y51),0,INT(((MIN('_Dates'!Z51,Settings!$B$9))-('_Dates'!Y51)+1)/7)*LEN(SUBSTITUTE(W51,"O",""))+LEN(SUBSTITUTE(MID(W51&amp;W51,WEEKDAY(('_Dates'!Y51),2),MOD(((MIN('_Dates'!Z51,Settings!$B$9))-('_Dates'!Y51)+1),7)),"O",""))-COUNTIFS(INDEX(AllClosureRows,C51,0),"&gt;="&amp;('_Dates'!Y51),INDEX(AllClosureRows,C51,0),"&lt;="&amp;(MIN('_Dates'!Z51,Settings!$B$9))))))</ns0:f>
        <ns0:v>0</ns0:v>
      </ns0:c>
      <ns0:c r="I51" s="4">
        <ns0:f>MAX(0,G51-H51)</ns0:f>
        <ns0:v>0</ns0:v>
      </ns0:c>
      <ns0:c r="J51" s="4">
        <ns0:f>IF(OR(A51=0,F51&lt;&gt;"OK",Bookings!G51="Cancelled",$B$6&gt;0),0,IF('_Dates'!AC51=1,MAX(0,COUNTIFS(rngEngine_B,B51,rngAMStart,"&lt;="&amp;'_Dates'!X51,rngAMEnd,"&gt;="&amp;'_Dates'!W51,rngAMActive,1,rngEngine_F,"OK",rngBookings_F,"&lt;&gt;Cancelled")-1),0)+IF('_Dates'!AD51=1,MAX(0,COUNTIFS(rngEngine_B,B51,rngPMStart,"&lt;="&amp;'_Dates'!Z51,rngPMEnd,"&gt;="&amp;'_Dates'!Y51,rngPMActive,1,rngEngine_F,"OK",rngBookings_F,"&lt;&gt;Cancelled")-1),0))</ns0:f>
        <ns0:v>0</ns0:v>
      </ns0:c>
      <ns0:c r="K51" s="0" t="str">
        <ns0:f>IF(A51=0,"",IF(F51&lt;&gt;"OK",F51,IF(J51&gt;0,"CHECK overlapping entry",IF(AND($B$6=0,G51&lt;=0,Bookings!G51&lt;&gt;"Cancelled"),"CHECK no working days",IF(Bookings!G51="Cancelled","Cancelled","OK")))))</ns0:f>
        <ns0:v/>
      </ns0:c>
      <ns0:c r="L51" s="0">
        <ns0:f>IF(LEFT(K51,5)="CHECK",1,0)</ns0:f>
        <ns0:v>0</ns0:v>
      </ns0:c>
      <ns0:c r="M51" s="0">
        <ns0:f>IF(AND(L51=1,OR(C51=0,IFERROR(INDEX($X$11:$X$60,C51),0)=0)),1,0)</ns0:f>
        <ns0:v>0</ns0:v>
      </ns0:c>
      <ns0:c r="N51" s="0">
        <ns0:f>IF(OR(A51=0,L51&gt;0,$B$6&gt;0,Bookings!G51="Cancelled"),0,G51)</ns0:f>
        <ns0:v>0</ns0:v>
      </ns0:c>
      <ns0:c r="O51" s="0">
        <ns0:f>IF(AND(Bookings!G51="Approved",E51="Yes"),N51,0)</ns0:f>
        <ns0:v>0</ns0:v>
      </ns0:c>
      <ns0:c r="P51" s="0">
        <ns0:f>IF(AND(Bookings!G51="Approved",E51="Yes",L51=0,$B$6=0),H51,0)</ns0:f>
        <ns0:v>0</ns0:v>
      </ns0:c>
      <ns0:c r="Q51" s="0">
        <ns0:f>IF(AND(Bookings!G51="Approved",E51="Yes",L51=0,$B$6=0),I51,0)</ns0:f>
        <ns0:v>0</ns0:v>
      </ns0:c>
      <ns0:c r="R51" s="0">
        <ns0:f>IF(AND(Bookings!G51="Pending",E51="Yes"),N51,0)</ns0:f>
        <ns0:v>0</ns0:v>
      </ns0:c>
      <ns0:c r="S51" s="0">
        <ns0:f>IF(AND(Bookings!G51="Approved",E51="No"),N51,0)</ns0:f>
        <ns0:v>0</ns0:v>
      </ns0:c>
      <ns0:c r="T51" s="0">
        <ns0:f>IFERROR(MATCH(D51,Settings!$G$7:$G$11,0),0)</ns0:f>
        <ns0:v>0</ns0:v>
      </ns0:c>
      <ns0:c r="U51" s="0">
        <ns0:f>IF(N51&gt;0,T51+IF(Bookings!G51="Pending",10,0),0)</ns0:f>
        <ns0:v>0</ns0:v>
      </ns0:c>
      <ns0:c r="V51" s="0">
        <ns0:f>U51</ns0:f>
        <ns0:v>0</ns0:v>
      </ns0:c>
      <ns0:c r="W51" s="0" t="str">
        <ns0:f>IF(C51=0,"",INDEX($AP$11:$AP$60,C51))</ns0:f>
        <ns0:v/>
      </ns0:c>
      <ns0:c r="X51" s="0">
        <ns0:f>IF(COUNTA(Team!B51:D51)=0,0,1)</ns0:f>
        <ns0:v>0</ns0:v>
      </ns0:c>
      <ns0:c r="Y51" s="0" t="str">
        <ns0:f>IF(X51=0,"",IF(Team!B51="","[Unnamed]",Team!B51)&amp;" · "&amp;Team!A51)</ns0:f>
        <ns0:v/>
      </ns0:c>
      <ns0:c r="Z51" s="0">
        <ns0:f>IF(X51=0,0,COUNTIF(Team!H51:N51,"Work"))</ns0:f>
        <ns0:v>0</ns0:v>
      </ns0:c>
      <ns0:c r="AA51" s="0">
        <ns0:f>IF(LEFT(Team!O51,5)="CHECK",1,0)</ns0:f>
        <ns0:v>0</ns0:v>
      </ns0:c>
      <ns0:c r="AB51" s="0">
        <ns0:f>IF(X51=0,0,SUMIFS(rngEngine_L,rngEngine_B,Team!A51))</ns0:f>
        <ns0:v>0</ns0:v>
      </ns0:c>
      <ns0:c r="AC51" s="0" t="str">
        <ns0:f>IF(AND(X51=1,OR(Calendar!$C$7="All teams",Team!C51=Calendar!$C$7)),MAX($AC$10:AC50)+1,"")</ns0:f>
        <ns0:v/>
      </ns0:c>
      <ns0:c r="AD51" s="0" t="str">
        <ns0:f>IF(OR(X51=0,Team!C51="",COUNTIF(Team!$C$11:C51,Team!C51)&gt;1),"",MAX($AD$10:AD50)+1)</ns0:f>
        <ns0:v/>
      </ns0:c>
      <ns0:c r="AE51" s="0" t="str">
        <ns0:f>IFERROR(INDEX(Team!$C$11:$C$60,MATCH(ROW()-10,$AD$11:$AD$60,0)),"")</ns0:f>
        <ns0:v/>
      </ns0:c>
      <ns0:c r="AF51" s="0" t="str">
        <ns0:f>AE51</ns0:f>
        <ns0:v/>
      </ns0:c>
      <ns0:c r="AG51" s="0">
        <ns0:f>IF(X51=0,0,IFERROR(Team!F51+Team!G51,0))</ns0:f>
        <ns0:v>0</ns0:v>
      </ns0:c>
      <ns0:c r="AH51" s="0">
        <ns0:f>IF(X51=0,0,SUMIFS(rngEngine_P,rngEngine_B,Team!A51))</ns0:f>
        <ns0:v>0</ns0:v>
      </ns0:c>
      <ns0:c r="AI51" s="0">
        <ns0:f>IF(X51=0,0,SUMIFS(rngEngine_Q,rngEngine_B,Team!A51))</ns0:f>
        <ns0:v>0</ns0:v>
      </ns0:c>
      <ns0:c r="AJ51" s="0">
        <ns0:f>IF(X51=0,0,SUMIFS(rngEngine_R,rngEngine_B,Team!A51))</ns0:f>
        <ns0:v>0</ns0:v>
      </ns0:c>
      <ns0:c r="AK51" s="0">
        <ns0:f>IF(X51=0,0,SUMIFS(rngEngine_S,rngEngine_B,Team!A51))</ns0:f>
        <ns0:v>0</ns0:v>
      </ns0:c>
      <ns0:c r="AL51" s="0">
        <ns0:f>AH51+AI51</ns0:f>
        <ns0:v>0</ns0:v>
      </ns0:c>
      <ns0:c r="AM51" s="0" t="str">
        <ns0:f>IF(X51=0,"",IF(AA51&gt;0,"CHECK team setup",IF(AB51&gt;0,"CHECK "&amp;AB51&amp;" booking(s)","OK")))</ns0:f>
        <ns0:v/>
      </ns0:c>
      <ns0:c r="AN51" s="0" t="str">
        <ns0:f>IF(X51=0,"",IF(OR($B$6&gt;0,AM51&lt;&gt;"OK"),"REVIEW",AG51-AL51))</ns0:f>
        <ns0:v/>
      </ns0:c>
      <ns0:c r="AO51" s="0">
        <ns0:f>IFERROR(MATCH(ROW()-11,$AC$11:$AC$60,0),0)</ns0:f>
        <ns0:v>0</ns0:v>
      </ns0:c>
      <ns0:c r="AP51" s="0" t="str">
        <ns0:f>IF(Team!H51="Work","W","O")&amp;IF(Team!I51="Work","W","O")&amp;IF(Team!J51="Work","W","O")&amp;IF(Team!K51="Work","W","O")&amp;IF(Team!L51="Work","W","O")&amp;IF(Team!M51="Work","W","O")&amp;IF(Team!N51="Work","W","O")</ns0:f>
        <ns0:v>WWWWWOO</ns0:v>
      </ns0:c>
      <ns0:c r="AR51" s="0">
        <ns0:f>IFERROR(IF(ISNUMBER(Settings!F51),WEEKDAY(Settings!F51,2),0),0)</ns0:f>
        <ns0:v>0</ns0:v>
      </ns0:c>
      <ns0:c r="BC51" s="0">
        <ns0:f>IF(OR($AO51=0,$B$5&lt;&gt;"OK",$B$6&gt;0,Calendar!D$11=""),0,SUMIFS(rngEngine_U,rngEngine_B,INDEX(Team!$A$11:$A$60,$AO51),rngAMStart,"&lt;="&amp;Calendar!D$11,rngAMEnd,"&gt;="&amp;Calendar!D$11))</ns0:f>
        <ns0:v>0</ns0:v>
      </ns0:c>
      <ns0:c r="BD51" s="0">
        <ns0:f>IF(OR($AO51=0,$B$5&lt;&gt;"OK",$B$6&gt;0,Calendar!D$11=""),0,SUMIFS(rngEngine_V,rngEngine_B,INDEX(Team!$A$11:$A$60,$AO51),rngPMStart,"&lt;="&amp;Calendar!D$11,rngPMEnd,"&gt;="&amp;Calendar!D$11))</ns0:f>
        <ns0:v>0</ns0:v>
      </ns0:c>
      <ns0:c r="BE51" s="0">
        <ns0:f>IF(OR($AO51=0,$B$5&lt;&gt;"OK",$B$6&gt;0,Calendar!E$11=""),0,SUMIFS(rngEngine_U,rngEngine_B,INDEX(Team!$A$11:$A$60,$AO51),rngAMStart,"&lt;="&amp;Calendar!E$11,rngAMEnd,"&gt;="&amp;Calendar!E$11))</ns0:f>
        <ns0:v>0</ns0:v>
      </ns0:c>
      <ns0:c r="BF51" s="0">
        <ns0:f>IF(OR($AO51=0,$B$5&lt;&gt;"OK",$B$6&gt;0,Calendar!E$11=""),0,SUMIFS(rngEngine_V,rngEngine_B,INDEX(Team!$A$11:$A$60,$AO51),rngPMStart,"&lt;="&amp;Calendar!E$11,rngPMEnd,"&gt;="&amp;Calendar!E$11))</ns0:f>
        <ns0:v>0</ns0:v>
      </ns0:c>
      <ns0:c r="BG51" s="0">
        <ns0:f>IF(OR($AO51=0,$B$5&lt;&gt;"OK",$B$6&gt;0,Calendar!F$11=""),0,SUMIFS(rngEngine_U,rngEngine_B,INDEX(Team!$A$11:$A$60,$AO51),rngAMStart,"&lt;="&amp;Calendar!F$11,rngAMEnd,"&gt;="&amp;Calendar!F$11))</ns0:f>
        <ns0:v>0</ns0:v>
      </ns0:c>
      <ns0:c r="BH51" s="0">
        <ns0:f>IF(OR($AO51=0,$B$5&lt;&gt;"OK",$B$6&gt;0,Calendar!F$11=""),0,SUMIFS(rngEngine_V,rngEngine_B,INDEX(Team!$A$11:$A$60,$AO51),rngPMStart,"&lt;="&amp;Calendar!F$11,rngPMEnd,"&gt;="&amp;Calendar!F$11))</ns0:f>
        <ns0:v>0</ns0:v>
      </ns0:c>
      <ns0:c r="BI51" s="0">
        <ns0:f>IF(OR($AO51=0,$B$5&lt;&gt;"OK",$B$6&gt;0,Calendar!G$11=""),0,SUMIFS(rngEngine_U,rngEngine_B,INDEX(Team!$A$11:$A$60,$AO51),rngAMStart,"&lt;="&amp;Calendar!G$11,rngAMEnd,"&gt;="&amp;Calendar!G$11))</ns0:f>
        <ns0:v>0</ns0:v>
      </ns0:c>
      <ns0:c r="BJ51" s="0">
        <ns0:f>IF(OR($AO51=0,$B$5&lt;&gt;"OK",$B$6&gt;0,Calendar!G$11=""),0,SUMIFS(rngEngine_V,rngEngine_B,INDEX(Team!$A$11:$A$60,$AO51),rngPMStart,"&lt;="&amp;Calendar!G$11,rngPMEnd,"&gt;="&amp;Calendar!G$11))</ns0:f>
        <ns0:v>0</ns0:v>
      </ns0:c>
      <ns0:c r="BK51" s="0">
        <ns0:f>IF(OR($AO51=0,$B$5&lt;&gt;"OK",$B$6&gt;0,Calendar!H$11=""),0,SUMIFS(rngEngine_U,rngEngine_B,INDEX(Team!$A$11:$A$60,$AO51),rngAMStart,"&lt;="&amp;Calendar!H$11,rngAMEnd,"&gt;="&amp;Calendar!H$11))</ns0:f>
        <ns0:v>0</ns0:v>
      </ns0:c>
      <ns0:c r="BL51" s="0">
        <ns0:f>IF(OR($AO51=0,$B$5&lt;&gt;"OK",$B$6&gt;0,Calendar!H$11=""),0,SUMIFS(rngEngine_V,rngEngine_B,INDEX(Team!$A$11:$A$60,$AO51),rngPMStart,"&lt;="&amp;Calendar!H$11,rngPMEnd,"&gt;="&amp;Calendar!H$11))</ns0:f>
        <ns0:v>0</ns0:v>
      </ns0:c>
      <ns0:c r="BM51" s="0">
        <ns0:f>IF(OR($AO51=0,$B$5&lt;&gt;"OK",$B$6&gt;0,Calendar!I$11=""),0,SUMIFS(rngEngine_U,rngEngine_B,INDEX(Team!$A$11:$A$60,$AO51),rngAMStart,"&lt;="&amp;Calendar!I$11,rngAMEnd,"&gt;="&amp;Calendar!I$11))</ns0:f>
        <ns0:v>0</ns0:v>
      </ns0:c>
      <ns0:c r="BN51" s="0">
        <ns0:f>IF(OR($AO51=0,$B$5&lt;&gt;"OK",$B$6&gt;0,Calendar!I$11=""),0,SUMIFS(rngEngine_V,rngEngine_B,INDEX(Team!$A$11:$A$60,$AO51),rngPMStart,"&lt;="&amp;Calendar!I$11,rngPMEnd,"&gt;="&amp;Calendar!I$11))</ns0:f>
        <ns0:v>0</ns0:v>
      </ns0:c>
      <ns0:c r="BO51" s="0">
        <ns0:f>IF(OR($AO51=0,$B$5&lt;&gt;"OK",$B$6&gt;0,Calendar!J$11=""),0,SUMIFS(rngEngine_U,rngEngine_B,INDEX(Team!$A$11:$A$60,$AO51),rngAMStart,"&lt;="&amp;Calendar!J$11,rngAMEnd,"&gt;="&amp;Calendar!J$11))</ns0:f>
        <ns0:v>0</ns0:v>
      </ns0:c>
      <ns0:c r="BP51" s="0">
        <ns0:f>IF(OR($AO51=0,$B$5&lt;&gt;"OK",$B$6&gt;0,Calendar!J$11=""),0,SUMIFS(rngEngine_V,rngEngine_B,INDEX(Team!$A$11:$A$60,$AO51),rngPMStart,"&lt;="&amp;Calendar!J$11,rngPMEnd,"&gt;="&amp;Calendar!J$11))</ns0:f>
        <ns0:v>0</ns0:v>
      </ns0:c>
      <ns0:c r="BQ51" s="0">
        <ns0:f>IF(OR($AO51=0,$B$5&lt;&gt;"OK",$B$6&gt;0,Calendar!K$11=""),0,SUMIFS(rngEngine_U,rngEngine_B,INDEX(Team!$A$11:$A$60,$AO51),rngAMStart,"&lt;="&amp;Calendar!K$11,rngAMEnd,"&gt;="&amp;Calendar!K$11))</ns0:f>
        <ns0:v>0</ns0:v>
      </ns0:c>
      <ns0:c r="BR51" s="0">
        <ns0:f>IF(OR($AO51=0,$B$5&lt;&gt;"OK",$B$6&gt;0,Calendar!K$11=""),0,SUMIFS(rngEngine_V,rngEngine_B,INDEX(Team!$A$11:$A$60,$AO51),rngPMStart,"&lt;="&amp;Calendar!K$11,rngPMEnd,"&gt;="&amp;Calendar!K$11))</ns0:f>
        <ns0:v>0</ns0:v>
      </ns0:c>
      <ns0:c r="BS51" s="0">
        <ns0:f>IF(OR($AO51=0,$B$5&lt;&gt;"OK",$B$6&gt;0,Calendar!L$11=""),0,SUMIFS(rngEngine_U,rngEngine_B,INDEX(Team!$A$11:$A$60,$AO51),rngAMStart,"&lt;="&amp;Calendar!L$11,rngAMEnd,"&gt;="&amp;Calendar!L$11))</ns0:f>
        <ns0:v>0</ns0:v>
      </ns0:c>
      <ns0:c r="BT51" s="0">
        <ns0:f>IF(OR($AO51=0,$B$5&lt;&gt;"OK",$B$6&gt;0,Calendar!L$11=""),0,SUMIFS(rngEngine_V,rngEngine_B,INDEX(Team!$A$11:$A$60,$AO51),rngPMStart,"&lt;="&amp;Calendar!L$11,rngPMEnd,"&gt;="&amp;Calendar!L$11))</ns0:f>
        <ns0:v>0</ns0:v>
      </ns0:c>
      <ns0:c r="BU51" s="0">
        <ns0:f>IF(OR($AO51=0,$B$5&lt;&gt;"OK",$B$6&gt;0,Calendar!M$11=""),0,SUMIFS(rngEngine_U,rngEngine_B,INDEX(Team!$A$11:$A$60,$AO51),rngAMStart,"&lt;="&amp;Calendar!M$11,rngAMEnd,"&gt;="&amp;Calendar!M$11))</ns0:f>
        <ns0:v>0</ns0:v>
      </ns0:c>
      <ns0:c r="BV51" s="0">
        <ns0:f>IF(OR($AO51=0,$B$5&lt;&gt;"OK",$B$6&gt;0,Calendar!M$11=""),0,SUMIFS(rngEngine_V,rngEngine_B,INDEX(Team!$A$11:$A$60,$AO51),rngPMStart,"&lt;="&amp;Calendar!M$11,rngPMEnd,"&gt;="&amp;Calendar!M$11))</ns0:f>
        <ns0:v>0</ns0:v>
      </ns0:c>
      <ns0:c r="BW51" s="0">
        <ns0:f>IF(OR($AO51=0,$B$5&lt;&gt;"OK",$B$6&gt;0,Calendar!N$11=""),0,SUMIFS(rngEngine_U,rngEngine_B,INDEX(Team!$A$11:$A$60,$AO51),rngAMStart,"&lt;="&amp;Calendar!N$11,rngAMEnd,"&gt;="&amp;Calendar!N$11))</ns0:f>
        <ns0:v>0</ns0:v>
      </ns0:c>
      <ns0:c r="BX51" s="0">
        <ns0:f>IF(OR($AO51=0,$B$5&lt;&gt;"OK",$B$6&gt;0,Calendar!N$11=""),0,SUMIFS(rngEngine_V,rngEngine_B,INDEX(Team!$A$11:$A$60,$AO51),rngPMStart,"&lt;="&amp;Calendar!N$11,rngPMEnd,"&gt;="&amp;Calendar!N$11))</ns0:f>
        <ns0:v>0</ns0:v>
      </ns0:c>
      <ns0:c r="BY51" s="0">
        <ns0:f>IF(OR($AO51=0,$B$5&lt;&gt;"OK",$B$6&gt;0,Calendar!O$11=""),0,SUMIFS(rngEngine_U,rngEngine_B,INDEX(Team!$A$11:$A$60,$AO51),rngAMStart,"&lt;="&amp;Calendar!O$11,rngAMEnd,"&gt;="&amp;Calendar!O$11))</ns0:f>
        <ns0:v>0</ns0:v>
      </ns0:c>
      <ns0:c r="BZ51" s="0">
        <ns0:f>IF(OR($AO51=0,$B$5&lt;&gt;"OK",$B$6&gt;0,Calendar!O$11=""),0,SUMIFS(rngEngine_V,rngEngine_B,INDEX(Team!$A$11:$A$60,$AO51),rngPMStart,"&lt;="&amp;Calendar!O$11,rngPMEnd,"&gt;="&amp;Calendar!O$11))</ns0:f>
        <ns0:v>0</ns0:v>
      </ns0:c>
      <ns0:c r="CA51" s="0">
        <ns0:f>IF(OR($AO51=0,$B$5&lt;&gt;"OK",$B$6&gt;0,Calendar!P$11=""),0,SUMIFS(rngEngine_U,rngEngine_B,INDEX(Team!$A$11:$A$60,$AO51),rngAMStart,"&lt;="&amp;Calendar!P$11,rngAMEnd,"&gt;="&amp;Calendar!P$11))</ns0:f>
        <ns0:v>0</ns0:v>
      </ns0:c>
      <ns0:c r="CB51" s="0">
        <ns0:f>IF(OR($AO51=0,$B$5&lt;&gt;"OK",$B$6&gt;0,Calendar!P$11=""),0,SUMIFS(rngEngine_V,rngEngine_B,INDEX(Team!$A$11:$A$60,$AO51),rngPMStart,"&lt;="&amp;Calendar!P$11,rngPMEnd,"&gt;="&amp;Calendar!P$11))</ns0:f>
        <ns0:v>0</ns0:v>
      </ns0:c>
      <ns0:c r="CC51" s="0">
        <ns0:f>IF(OR($AO51=0,$B$5&lt;&gt;"OK",$B$6&gt;0,Calendar!Q$11=""),0,SUMIFS(rngEngine_U,rngEngine_B,INDEX(Team!$A$11:$A$60,$AO51),rngAMStart,"&lt;="&amp;Calendar!Q$11,rngAMEnd,"&gt;="&amp;Calendar!Q$11))</ns0:f>
        <ns0:v>0</ns0:v>
      </ns0:c>
      <ns0:c r="CD51" s="0">
        <ns0:f>IF(OR($AO51=0,$B$5&lt;&gt;"OK",$B$6&gt;0,Calendar!Q$11=""),0,SUMIFS(rngEngine_V,rngEngine_B,INDEX(Team!$A$11:$A$60,$AO51),rngPMStart,"&lt;="&amp;Calendar!Q$11,rngPMEnd,"&gt;="&amp;Calendar!Q$11))</ns0:f>
        <ns0:v>0</ns0:v>
      </ns0:c>
      <ns0:c r="CE51" s="0">
        <ns0:f>IF(OR($AO51=0,$B$5&lt;&gt;"OK",$B$6&gt;0,Calendar!R$11=""),0,SUMIFS(rngEngine_U,rngEngine_B,INDEX(Team!$A$11:$A$60,$AO51),rngAMStart,"&lt;="&amp;Calendar!R$11,rngAMEnd,"&gt;="&amp;Calendar!R$11))</ns0:f>
        <ns0:v>0</ns0:v>
      </ns0:c>
      <ns0:c r="CF51" s="0">
        <ns0:f>IF(OR($AO51=0,$B$5&lt;&gt;"OK",$B$6&gt;0,Calendar!R$11=""),0,SUMIFS(rngEngine_V,rngEngine_B,INDEX(Team!$A$11:$A$60,$AO51),rngPMStart,"&lt;="&amp;Calendar!R$11,rngPMEnd,"&gt;="&amp;Calendar!R$11))</ns0:f>
        <ns0:v>0</ns0:v>
      </ns0:c>
      <ns0:c r="CG51" s="0">
        <ns0:f>IF(OR($AO51=0,$B$5&lt;&gt;"OK",$B$6&gt;0,Calendar!S$11=""),0,SUMIFS(rngEngine_U,rngEngine_B,INDEX(Team!$A$11:$A$60,$AO51),rngAMStart,"&lt;="&amp;Calendar!S$11,rngAMEnd,"&gt;="&amp;Calendar!S$11))</ns0:f>
        <ns0:v>0</ns0:v>
      </ns0:c>
      <ns0:c r="CH51" s="0">
        <ns0:f>IF(OR($AO51=0,$B$5&lt;&gt;"OK",$B$6&gt;0,Calendar!S$11=""),0,SUMIFS(rngEngine_V,rngEngine_B,INDEX(Team!$A$11:$A$60,$AO51),rngPMStart,"&lt;="&amp;Calendar!S$11,rngPMEnd,"&gt;="&amp;Calendar!S$11))</ns0:f>
        <ns0:v>0</ns0:v>
      </ns0:c>
      <ns0:c r="CI51" s="0">
        <ns0:f>IF(OR($AO51=0,$B$5&lt;&gt;"OK",$B$6&gt;0,Calendar!T$11=""),0,SUMIFS(rngEngine_U,rngEngine_B,INDEX(Team!$A$11:$A$60,$AO51),rngAMStart,"&lt;="&amp;Calendar!T$11,rngAMEnd,"&gt;="&amp;Calendar!T$11))</ns0:f>
        <ns0:v>0</ns0:v>
      </ns0:c>
      <ns0:c r="CJ51" s="0">
        <ns0:f>IF(OR($AO51=0,$B$5&lt;&gt;"OK",$B$6&gt;0,Calendar!T$11=""),0,SUMIFS(rngEngine_V,rngEngine_B,INDEX(Team!$A$11:$A$60,$AO51),rngPMStart,"&lt;="&amp;Calendar!T$11,rngPMEnd,"&gt;="&amp;Calendar!T$11))</ns0:f>
        <ns0:v>0</ns0:v>
      </ns0:c>
      <ns0:c r="CK51" s="0">
        <ns0:f>IF(OR($AO51=0,$B$5&lt;&gt;"OK",$B$6&gt;0,Calendar!U$11=""),0,SUMIFS(rngEngine_U,rngEngine_B,INDEX(Team!$A$11:$A$60,$AO51),rngAMStart,"&lt;="&amp;Calendar!U$11,rngAMEnd,"&gt;="&amp;Calendar!U$11))</ns0:f>
        <ns0:v>0</ns0:v>
      </ns0:c>
      <ns0:c r="CL51" s="0">
        <ns0:f>IF(OR($AO51=0,$B$5&lt;&gt;"OK",$B$6&gt;0,Calendar!U$11=""),0,SUMIFS(rngEngine_V,rngEngine_B,INDEX(Team!$A$11:$A$60,$AO51),rngPMStart,"&lt;="&amp;Calendar!U$11,rngPMEnd,"&gt;="&amp;Calendar!U$11))</ns0:f>
        <ns0:v>0</ns0:v>
      </ns0:c>
      <ns0:c r="CM51" s="0">
        <ns0:f>IF(OR($AO51=0,$B$5&lt;&gt;"OK",$B$6&gt;0,Calendar!V$11=""),0,SUMIFS(rngEngine_U,rngEngine_B,INDEX(Team!$A$11:$A$60,$AO51),rngAMStart,"&lt;="&amp;Calendar!V$11,rngAMEnd,"&gt;="&amp;Calendar!V$11))</ns0:f>
        <ns0:v>0</ns0:v>
      </ns0:c>
      <ns0:c r="CN51" s="0">
        <ns0:f>IF(OR($AO51=0,$B$5&lt;&gt;"OK",$B$6&gt;0,Calendar!V$11=""),0,SUMIFS(rngEngine_V,rngEngine_B,INDEX(Team!$A$11:$A$60,$AO51),rngPMStart,"&lt;="&amp;Calendar!V$11,rngPMEnd,"&gt;="&amp;Calendar!V$11))</ns0:f>
        <ns0:v>0</ns0:v>
      </ns0:c>
      <ns0:c r="CO51" s="0">
        <ns0:f>IF(OR($AO51=0,$B$5&lt;&gt;"OK",$B$6&gt;0,Calendar!W$11=""),0,SUMIFS(rngEngine_U,rngEngine_B,INDEX(Team!$A$11:$A$60,$AO51),rngAMStart,"&lt;="&amp;Calendar!W$11,rngAMEnd,"&gt;="&amp;Calendar!W$11))</ns0:f>
        <ns0:v>0</ns0:v>
      </ns0:c>
      <ns0:c r="CP51" s="0">
        <ns0:f>IF(OR($AO51=0,$B$5&lt;&gt;"OK",$B$6&gt;0,Calendar!W$11=""),0,SUMIFS(rngEngine_V,rngEngine_B,INDEX(Team!$A$11:$A$60,$AO51),rngPMStart,"&lt;="&amp;Calendar!W$11,rngPMEnd,"&gt;="&amp;Calendar!W$11))</ns0:f>
        <ns0:v>0</ns0:v>
      </ns0:c>
      <ns0:c r="CQ51" s="0">
        <ns0:f>IF(OR($AO51=0,$B$5&lt;&gt;"OK",$B$6&gt;0,Calendar!X$11=""),0,SUMIFS(rngEngine_U,rngEngine_B,INDEX(Team!$A$11:$A$60,$AO51),rngAMStart,"&lt;="&amp;Calendar!X$11,rngAMEnd,"&gt;="&amp;Calendar!X$11))</ns0:f>
        <ns0:v>0</ns0:v>
      </ns0:c>
      <ns0:c r="CR51" s="0">
        <ns0:f>IF(OR($AO51=0,$B$5&lt;&gt;"OK",$B$6&gt;0,Calendar!X$11=""),0,SUMIFS(rngEngine_V,rngEngine_B,INDEX(Team!$A$11:$A$60,$AO51),rngPMStart,"&lt;="&amp;Calendar!X$11,rngPMEnd,"&gt;="&amp;Calendar!X$11))</ns0:f>
        <ns0:v>0</ns0:v>
      </ns0:c>
      <ns0:c r="CS51" s="0">
        <ns0:f>IF(OR($AO51=0,$B$5&lt;&gt;"OK",$B$6&gt;0,Calendar!Y$11=""),0,SUMIFS(rngEngine_U,rngEngine_B,INDEX(Team!$A$11:$A$60,$AO51),rngAMStart,"&lt;="&amp;Calendar!Y$11,rngAMEnd,"&gt;="&amp;Calendar!Y$11))</ns0:f>
        <ns0:v>0</ns0:v>
      </ns0:c>
      <ns0:c r="CT51" s="0">
        <ns0:f>IF(OR($AO51=0,$B$5&lt;&gt;"OK",$B$6&gt;0,Calendar!Y$11=""),0,SUMIFS(rngEngine_V,rngEngine_B,INDEX(Team!$A$11:$A$60,$AO51),rngPMStart,"&lt;="&amp;Calendar!Y$11,rngPMEnd,"&gt;="&amp;Calendar!Y$11))</ns0:f>
        <ns0:v>0</ns0:v>
      </ns0:c>
      <ns0:c r="CU51" s="0">
        <ns0:f>IF(OR($AO51=0,$B$5&lt;&gt;"OK",$B$6&gt;0,Calendar!Z$11=""),0,SUMIFS(rngEngine_U,rngEngine_B,INDEX(Team!$A$11:$A$60,$AO51),rngAMStart,"&lt;="&amp;Calendar!Z$11,rngAMEnd,"&gt;="&amp;Calendar!Z$11))</ns0:f>
        <ns0:v>0</ns0:v>
      </ns0:c>
      <ns0:c r="CV51" s="0">
        <ns0:f>IF(OR($AO51=0,$B$5&lt;&gt;"OK",$B$6&gt;0,Calendar!Z$11=""),0,SUMIFS(rngEngine_V,rngEngine_B,INDEX(Team!$A$11:$A$60,$AO51),rngPMStart,"&lt;="&amp;Calendar!Z$11,rngPMEnd,"&gt;="&amp;Calendar!Z$11))</ns0:f>
        <ns0:v>0</ns0:v>
      </ns0:c>
      <ns0:c r="CW51" s="0">
        <ns0:f>IF(OR($AO51=0,$B$5&lt;&gt;"OK",$B$6&gt;0,Calendar!AA$11=""),0,SUMIFS(rngEngine_U,rngEngine_B,INDEX(Team!$A$11:$A$60,$AO51),rngAMStart,"&lt;="&amp;Calendar!AA$11,rngAMEnd,"&gt;="&amp;Calendar!AA$11))</ns0:f>
        <ns0:v>0</ns0:v>
      </ns0:c>
      <ns0:c r="CX51" s="0">
        <ns0:f>IF(OR($AO51=0,$B$5&lt;&gt;"OK",$B$6&gt;0,Calendar!AA$11=""),0,SUMIFS(rngEngine_V,rngEngine_B,INDEX(Team!$A$11:$A$60,$AO51),rngPMStart,"&lt;="&amp;Calendar!AA$11,rngPMEnd,"&gt;="&amp;Calendar!AA$11))</ns0:f>
        <ns0:v>0</ns0:v>
      </ns0:c>
      <ns0:c r="CY51" s="0">
        <ns0:f>IF(OR($AO51=0,$B$5&lt;&gt;"OK",$B$6&gt;0,Calendar!AB$11=""),0,SUMIFS(rngEngine_U,rngEngine_B,INDEX(Team!$A$11:$A$60,$AO51),rngAMStart,"&lt;="&amp;Calendar!AB$11,rngAMEnd,"&gt;="&amp;Calendar!AB$11))</ns0:f>
        <ns0:v>0</ns0:v>
      </ns0:c>
      <ns0:c r="CZ51" s="0">
        <ns0:f>IF(OR($AO51=0,$B$5&lt;&gt;"OK",$B$6&gt;0,Calendar!AB$11=""),0,SUMIFS(rngEngine_V,rngEngine_B,INDEX(Team!$A$11:$A$60,$AO51),rngPMStart,"&lt;="&amp;Calendar!AB$11,rngPMEnd,"&gt;="&amp;Calendar!AB$11))</ns0:f>
        <ns0:v>0</ns0:v>
      </ns0:c>
      <ns0:c r="DA51" s="0">
        <ns0:f>IF(OR($AO51=0,$B$5&lt;&gt;"OK",$B$6&gt;0,Calendar!AC$11=""),0,SUMIFS(rngEngine_U,rngEngine_B,INDEX(Team!$A$11:$A$60,$AO51),rngAMStart,"&lt;="&amp;Calendar!AC$11,rngAMEnd,"&gt;="&amp;Calendar!AC$11))</ns0:f>
        <ns0:v>0</ns0:v>
      </ns0:c>
      <ns0:c r="DB51" s="0">
        <ns0:f>IF(OR($AO51=0,$B$5&lt;&gt;"OK",$B$6&gt;0,Calendar!AC$11=""),0,SUMIFS(rngEngine_V,rngEngine_B,INDEX(Team!$A$11:$A$60,$AO51),rngPMStart,"&lt;="&amp;Calendar!AC$11,rngPMEnd,"&gt;="&amp;Calendar!AC$11))</ns0:f>
        <ns0:v>0</ns0:v>
      </ns0:c>
      <ns0:c r="DC51" s="0">
        <ns0:f>IF(OR($AO51=0,$B$5&lt;&gt;"OK",$B$6&gt;0,Calendar!AD$11=""),0,SUMIFS(rngEngine_U,rngEngine_B,INDEX(Team!$A$11:$A$60,$AO51),rngAMStart,"&lt;="&amp;Calendar!AD$11,rngAMEnd,"&gt;="&amp;Calendar!AD$11))</ns0:f>
        <ns0:v>0</ns0:v>
      </ns0:c>
      <ns0:c r="DD51" s="0">
        <ns0:f>IF(OR($AO51=0,$B$5&lt;&gt;"OK",$B$6&gt;0,Calendar!AD$11=""),0,SUMIFS(rngEngine_V,rngEngine_B,INDEX(Team!$A$11:$A$60,$AO51),rngPMStart,"&lt;="&amp;Calendar!AD$11,rngPMEnd,"&gt;="&amp;Calendar!AD$11))</ns0:f>
        <ns0:v>0</ns0:v>
      </ns0:c>
      <ns0:c r="DE51" s="0">
        <ns0:f>IF(OR($AO51=0,$B$5&lt;&gt;"OK",$B$6&gt;0,Calendar!AE$11=""),0,SUMIFS(rngEngine_U,rngEngine_B,INDEX(Team!$A$11:$A$60,$AO51),rngAMStart,"&lt;="&amp;Calendar!AE$11,rngAMEnd,"&gt;="&amp;Calendar!AE$11))</ns0:f>
        <ns0:v>0</ns0:v>
      </ns0:c>
      <ns0:c r="DF51" s="0">
        <ns0:f>IF(OR($AO51=0,$B$5&lt;&gt;"OK",$B$6&gt;0,Calendar!AE$11=""),0,SUMIFS(rngEngine_V,rngEngine_B,INDEX(Team!$A$11:$A$60,$AO51),rngPMStart,"&lt;="&amp;Calendar!AE$11,rngPMEnd,"&gt;="&amp;Calendar!AE$11))</ns0:f>
        <ns0:v>0</ns0:v>
      </ns0:c>
      <ns0:c r="DG51" s="0">
        <ns0:f>IF(OR($AO51=0,$B$5&lt;&gt;"OK",$B$6&gt;0,Calendar!AF$11=""),0,SUMIFS(rngEngine_U,rngEngine_B,INDEX(Team!$A$11:$A$60,$AO51),rngAMStart,"&lt;="&amp;Calendar!AF$11,rngAMEnd,"&gt;="&amp;Calendar!AF$11))</ns0:f>
        <ns0:v>0</ns0:v>
      </ns0:c>
      <ns0:c r="DH51" s="0">
        <ns0:f>IF(OR($AO51=0,$B$5&lt;&gt;"OK",$B$6&gt;0,Calendar!AF$11=""),0,SUMIFS(rngEngine_V,rngEngine_B,INDEX(Team!$A$11:$A$60,$AO51),rngPMStart,"&lt;="&amp;Calendar!AF$11,rngPMEnd,"&gt;="&amp;Calendar!AF$11))</ns0:f>
        <ns0:v>0</ns0:v>
      </ns0:c>
      <ns0:c r="DI51" s="0">
        <ns0:f>IF(OR($AO51=0,$B$5&lt;&gt;"OK",$B$6&gt;0,Calendar!AG$11=""),0,SUMIFS(rngEngine_U,rngEngine_B,INDEX(Team!$A$11:$A$60,$AO51),rngAMStart,"&lt;="&amp;Calendar!AG$11,rngAMEnd,"&gt;="&amp;Calendar!AG$11))</ns0:f>
        <ns0:v>0</ns0:v>
      </ns0:c>
      <ns0:c r="DJ51" s="0">
        <ns0:f>IF(OR($AO51=0,$B$5&lt;&gt;"OK",$B$6&gt;0,Calendar!AG$11=""),0,SUMIFS(rngEngine_V,rngEngine_B,INDEX(Team!$A$11:$A$60,$AO51),rngPMStart,"&lt;="&amp;Calendar!AG$11,rngPMEnd,"&gt;="&amp;Calendar!AG$11))</ns0:f>
        <ns0:v>0</ns0:v>
      </ns0:c>
      <ns0:c r="DK51" s="0">
        <ns0:f>IF(OR($AO51=0,$B$5&lt;&gt;"OK",$B$6&gt;0,Calendar!AH$11=""),0,SUMIFS(rngEngine_U,rngEngine_B,INDEX(Team!$A$11:$A$60,$AO51),rngAMStart,"&lt;="&amp;Calendar!AH$11,rngAMEnd,"&gt;="&amp;Calendar!AH$11))</ns0:f>
        <ns0:v>0</ns0:v>
      </ns0:c>
      <ns0:c r="DL51" s="0">
        <ns0:f>IF(OR($AO51=0,$B$5&lt;&gt;"OK",$B$6&gt;0,Calendar!AH$11=""),0,SUMIFS(rngEngine_V,rngEngine_B,INDEX(Team!$A$11:$A$60,$AO51),rngPMStart,"&lt;="&amp;Calendar!AH$11,rngPMEnd,"&gt;="&amp;Calendar!AH$11))</ns0:f>
        <ns0:v>0</ns0:v>
      </ns0:c>
    </ns0:row>
    <ns0:row r="52" ht="22" customHeight="1">
      <ns0:c r="A52" s="4">
        <ns0:f>IF(COUNTA(Bookings!A52:G52,Bookings!I52)=0,0,1)</ns0:f>
        <ns0:v>0</ns0:v>
      </ns0:c>
      <ns0:c r="B52" s="4" t="str">
        <ns0:f>IFERROR(TRIM(MID(Bookings!A52,FIND(" · ",Bookings!A52)+3,99)),"")</ns0:f>
        <ns0:v/>
      </ns0:c>
      <ns0:c r="C52" s="4">
        <ns0:f>IF(OR(B52="",LEN(B52)&gt;24,ISNUMBER(FIND(" ",B52)),ISNUMBER(FIND("*",B52)),ISNUMBER(FIND("?",B52)),ISNUMBER(FIND("~",B52))),0,IFERROR(MATCH(B52,Team!$A$11:$A$60,0),0))</ns0:f>
        <ns0:v>0</ns0:v>
      </ns0:c>
      <ns0:c r="D52" s="4" t="str">
        <ns0:f>IFERROR(IF(MID(Bookings!F52,LEN(Bookings!F52)-3,3)=" · ",RIGHT(Bookings!F52,1),""),"")</ns0:f>
        <ns0:v/>
      </ns0:c>
      <ns0:c r="E52" s="4" t="str">
        <ns0:f>IFERROR(INDEX(Settings!$H$7:$H$11,MATCH(D52,Settings!$G$7:$G$11,0)),"")</ns0:f>
        <ns0:v/>
      </ns0:c>
      <ns0:c r="F52" s="4" t="str">
        <ns0:f>IF(A52=0,"",IFERROR(IF(OR(B52="",C52=0),"CHECK employee selection",IF(INDEX(Team!$O$11:$O$60,C52)&lt;&gt;"OK","CHECK employee setup",IF(OR('_Dates'!J52=0,'_Dates'!T52=0),"CHECK date: use DD.MM.YYYY",IF('_Dates'!T52&lt;'_Dates'!J52,"CHECK end before start",IF(AND($B$6=0,OR('_Dates'!J52&lt;Settings!$B$7,'_Dates'!T52&gt;Settings!$B$8)),"CHECK split across leave years",IF(OR(NOT(OR('_Dates'!U52="Full day",'_Dates'!U52="AM",'_Dates'!U52="PM")),NOT(OR('_Dates'!V52="Full day",'_Dates'!V52="AM",'_Dates'!V52="PM"))),"CHECK Full day / AM / PM",IF(AND('_Dates'!J52='_Dates'!T52,'_Dates'!U52&lt;&gt;"Full day",'_Dates'!V52&lt;&gt;"Full day",'_Dates'!U52&lt;&gt;'_Dates'!V52),"CHECK same-day portions disagree",IF(AND($B$6=0,OR(AND('_Dates'!U52&lt;&gt;"Full day",'_Dates'!AA52=0),AND('_Dates'!V52&lt;&gt;"Full day",'_Dates'!AB52=0))),"CHECK half-day on non-working date",IF(COUNTIF(Settings!$G$7:$G$11,D52)&lt;&gt;1,"CHECK leave type",IF(AND(Bookings!G52&lt;&gt;"Approved",Bookings!G52&lt;&gt;"Pending",Bookings!G52&lt;&gt;"Cancelled"),"CHECK status","OK")))))))))),"CHECK input"))</ns0:f>
        <ns0:v/>
      </ns0:c>
      <ns0:c r="G52" s="4">
        <ns0:f>IF(OR(F52&lt;&gt;"OK",$B$6&gt;0),0,0.5*(IF(('_Dates'!X52)&lt;('_Dates'!W52),0,INT((('_Dates'!X52)-('_Dates'!W52)+1)/7)*LEN(SUBSTITUTE(W52,"O",""))+LEN(SUBSTITUTE(MID(W52&amp;W52,WEEKDAY(('_Dates'!W52),2),MOD((('_Dates'!X52)-('_Dates'!W52)+1),7)),"O",""))-COUNTIFS(INDEX(AllClosureRows,C52,0),"&gt;="&amp;('_Dates'!W52),INDEX(AllClosureRows,C52,0),"&lt;="&amp;('_Dates'!X52)))+IF(('_Dates'!Z52)&lt;('_Dates'!Y52),0,INT((('_Dates'!Z52)-('_Dates'!Y52)+1)/7)*LEN(SUBSTITUTE(W52,"O",""))+LEN(SUBSTITUTE(MID(W52&amp;W52,WEEKDAY(('_Dates'!Y52),2),MOD((('_Dates'!Z52)-('_Dates'!Y52)+1),7)),"O",""))-COUNTIFS(INDEX(AllClosureRows,C52,0),"&gt;="&amp;('_Dates'!Y52),INDEX(AllClosureRows,C52,0),"&lt;="&amp;('_Dates'!Z52)))))</ns0:f>
        <ns0:v>0</ns0:v>
      </ns0:c>
      <ns0:c r="H52" s="4">
        <ns0:f>IF(OR(F52&lt;&gt;"OK",$B$6&gt;0),0,0.5*(IF((MIN('_Dates'!X52,Settings!$B$9))&lt;('_Dates'!W52),0,INT(((MIN('_Dates'!X52,Settings!$B$9))-('_Dates'!W52)+1)/7)*LEN(SUBSTITUTE(W52,"O",""))+LEN(SUBSTITUTE(MID(W52&amp;W52,WEEKDAY(('_Dates'!W52),2),MOD(((MIN('_Dates'!X52,Settings!$B$9))-('_Dates'!W52)+1),7)),"O",""))-COUNTIFS(INDEX(AllClosureRows,C52,0),"&gt;="&amp;('_Dates'!W52),INDEX(AllClosureRows,C52,0),"&lt;="&amp;(MIN('_Dates'!X52,Settings!$B$9))))+IF((MIN('_Dates'!Z52,Settings!$B$9))&lt;('_Dates'!Y52),0,INT(((MIN('_Dates'!Z52,Settings!$B$9))-('_Dates'!Y52)+1)/7)*LEN(SUBSTITUTE(W52,"O",""))+LEN(SUBSTITUTE(MID(W52&amp;W52,WEEKDAY(('_Dates'!Y52),2),MOD(((MIN('_Dates'!Z52,Settings!$B$9))-('_Dates'!Y52)+1),7)),"O",""))-COUNTIFS(INDEX(AllClosureRows,C52,0),"&gt;="&amp;('_Dates'!Y52),INDEX(AllClosureRows,C52,0),"&lt;="&amp;(MIN('_Dates'!Z52,Settings!$B$9))))))</ns0:f>
        <ns0:v>0</ns0:v>
      </ns0:c>
      <ns0:c r="I52" s="4">
        <ns0:f>MAX(0,G52-H52)</ns0:f>
        <ns0:v>0</ns0:v>
      </ns0:c>
      <ns0:c r="J52" s="4">
        <ns0:f>IF(OR(A52=0,F52&lt;&gt;"OK",Bookings!G52="Cancelled",$B$6&gt;0),0,IF('_Dates'!AC52=1,MAX(0,COUNTIFS(rngEngine_B,B52,rngAMStart,"&lt;="&amp;'_Dates'!X52,rngAMEnd,"&gt;="&amp;'_Dates'!W52,rngAMActive,1,rngEngine_F,"OK",rngBookings_F,"&lt;&gt;Cancelled")-1),0)+IF('_Dates'!AD52=1,MAX(0,COUNTIFS(rngEngine_B,B52,rngPMStart,"&lt;="&amp;'_Dates'!Z52,rngPMEnd,"&gt;="&amp;'_Dates'!Y52,rngPMActive,1,rngEngine_F,"OK",rngBookings_F,"&lt;&gt;Cancelled")-1),0))</ns0:f>
        <ns0:v>0</ns0:v>
      </ns0:c>
      <ns0:c r="K52" s="0" t="str">
        <ns0:f>IF(A52=0,"",IF(F52&lt;&gt;"OK",F52,IF(J52&gt;0,"CHECK overlapping entry",IF(AND($B$6=0,G52&lt;=0,Bookings!G52&lt;&gt;"Cancelled"),"CHECK no working days",IF(Bookings!G52="Cancelled","Cancelled","OK")))))</ns0:f>
        <ns0:v/>
      </ns0:c>
      <ns0:c r="L52" s="0">
        <ns0:f>IF(LEFT(K52,5)="CHECK",1,0)</ns0:f>
        <ns0:v>0</ns0:v>
      </ns0:c>
      <ns0:c r="M52" s="0">
        <ns0:f>IF(AND(L52=1,OR(C52=0,IFERROR(INDEX($X$11:$X$60,C52),0)=0)),1,0)</ns0:f>
        <ns0:v>0</ns0:v>
      </ns0:c>
      <ns0:c r="N52" s="0">
        <ns0:f>IF(OR(A52=0,L52&gt;0,$B$6&gt;0,Bookings!G52="Cancelled"),0,G52)</ns0:f>
        <ns0:v>0</ns0:v>
      </ns0:c>
      <ns0:c r="O52" s="0">
        <ns0:f>IF(AND(Bookings!G52="Approved",E52="Yes"),N52,0)</ns0:f>
        <ns0:v>0</ns0:v>
      </ns0:c>
      <ns0:c r="P52" s="0">
        <ns0:f>IF(AND(Bookings!G52="Approved",E52="Yes",L52=0,$B$6=0),H52,0)</ns0:f>
        <ns0:v>0</ns0:v>
      </ns0:c>
      <ns0:c r="Q52" s="0">
        <ns0:f>IF(AND(Bookings!G52="Approved",E52="Yes",L52=0,$B$6=0),I52,0)</ns0:f>
        <ns0:v>0</ns0:v>
      </ns0:c>
      <ns0:c r="R52" s="0">
        <ns0:f>IF(AND(Bookings!G52="Pending",E52="Yes"),N52,0)</ns0:f>
        <ns0:v>0</ns0:v>
      </ns0:c>
      <ns0:c r="S52" s="0">
        <ns0:f>IF(AND(Bookings!G52="Approved",E52="No"),N52,0)</ns0:f>
        <ns0:v>0</ns0:v>
      </ns0:c>
      <ns0:c r="T52" s="0">
        <ns0:f>IFERROR(MATCH(D52,Settings!$G$7:$G$11,0),0)</ns0:f>
        <ns0:v>0</ns0:v>
      </ns0:c>
      <ns0:c r="U52" s="0">
        <ns0:f>IF(N52&gt;0,T52+IF(Bookings!G52="Pending",10,0),0)</ns0:f>
        <ns0:v>0</ns0:v>
      </ns0:c>
      <ns0:c r="V52" s="0">
        <ns0:f>U52</ns0:f>
        <ns0:v>0</ns0:v>
      </ns0:c>
      <ns0:c r="W52" s="0" t="str">
        <ns0:f>IF(C52=0,"",INDEX($AP$11:$AP$60,C52))</ns0:f>
        <ns0:v/>
      </ns0:c>
      <ns0:c r="X52" s="0">
        <ns0:f>IF(COUNTA(Team!B52:D52)=0,0,1)</ns0:f>
        <ns0:v>0</ns0:v>
      </ns0:c>
      <ns0:c r="Y52" s="0" t="str">
        <ns0:f>IF(X52=0,"",IF(Team!B52="","[Unnamed]",Team!B52)&amp;" · "&amp;Team!A52)</ns0:f>
        <ns0:v/>
      </ns0:c>
      <ns0:c r="Z52" s="0">
        <ns0:f>IF(X52=0,0,COUNTIF(Team!H52:N52,"Work"))</ns0:f>
        <ns0:v>0</ns0:v>
      </ns0:c>
      <ns0:c r="AA52" s="0">
        <ns0:f>IF(LEFT(Team!O52,5)="CHECK",1,0)</ns0:f>
        <ns0:v>0</ns0:v>
      </ns0:c>
      <ns0:c r="AB52" s="0">
        <ns0:f>IF(X52=0,0,SUMIFS(rngEngine_L,rngEngine_B,Team!A52))</ns0:f>
        <ns0:v>0</ns0:v>
      </ns0:c>
      <ns0:c r="AC52" s="0" t="str">
        <ns0:f>IF(AND(X52=1,OR(Calendar!$C$7="All teams",Team!C52=Calendar!$C$7)),MAX($AC$10:AC51)+1,"")</ns0:f>
        <ns0:v/>
      </ns0:c>
      <ns0:c r="AD52" s="0" t="str">
        <ns0:f>IF(OR(X52=0,Team!C52="",COUNTIF(Team!$C$11:C52,Team!C52)&gt;1),"",MAX($AD$10:AD51)+1)</ns0:f>
        <ns0:v/>
      </ns0:c>
      <ns0:c r="AE52" s="0" t="str">
        <ns0:f>IFERROR(INDEX(Team!$C$11:$C$60,MATCH(ROW()-10,$AD$11:$AD$60,0)),"")</ns0:f>
        <ns0:v/>
      </ns0:c>
      <ns0:c r="AF52" s="0" t="str">
        <ns0:f>AE52</ns0:f>
        <ns0:v/>
      </ns0:c>
      <ns0:c r="AG52" s="0">
        <ns0:f>IF(X52=0,0,IFERROR(Team!F52+Team!G52,0))</ns0:f>
        <ns0:v>0</ns0:v>
      </ns0:c>
      <ns0:c r="AH52" s="0">
        <ns0:f>IF(X52=0,0,SUMIFS(rngEngine_P,rngEngine_B,Team!A52))</ns0:f>
        <ns0:v>0</ns0:v>
      </ns0:c>
      <ns0:c r="AI52" s="0">
        <ns0:f>IF(X52=0,0,SUMIFS(rngEngine_Q,rngEngine_B,Team!A52))</ns0:f>
        <ns0:v>0</ns0:v>
      </ns0:c>
      <ns0:c r="AJ52" s="0">
        <ns0:f>IF(X52=0,0,SUMIFS(rngEngine_R,rngEngine_B,Team!A52))</ns0:f>
        <ns0:v>0</ns0:v>
      </ns0:c>
      <ns0:c r="AK52" s="0">
        <ns0:f>IF(X52=0,0,SUMIFS(rngEngine_S,rngEngine_B,Team!A52))</ns0:f>
        <ns0:v>0</ns0:v>
      </ns0:c>
      <ns0:c r="AL52" s="0">
        <ns0:f>AH52+AI52</ns0:f>
        <ns0:v>0</ns0:v>
      </ns0:c>
      <ns0:c r="AM52" s="0" t="str">
        <ns0:f>IF(X52=0,"",IF(AA52&gt;0,"CHECK team setup",IF(AB52&gt;0,"CHECK "&amp;AB52&amp;" booking(s)","OK")))</ns0:f>
        <ns0:v/>
      </ns0:c>
      <ns0:c r="AN52" s="0" t="str">
        <ns0:f>IF(X52=0,"",IF(OR($B$6&gt;0,AM52&lt;&gt;"OK"),"REVIEW",AG52-AL52))</ns0:f>
        <ns0:v/>
      </ns0:c>
      <ns0:c r="AO52" s="0">
        <ns0:f>IFERROR(MATCH(ROW()-11,$AC$11:$AC$60,0),0)</ns0:f>
        <ns0:v>0</ns0:v>
      </ns0:c>
      <ns0:c r="AP52" s="0" t="str">
        <ns0:f>IF(Team!H52="Work","W","O")&amp;IF(Team!I52="Work","W","O")&amp;IF(Team!J52="Work","W","O")&amp;IF(Team!K52="Work","W","O")&amp;IF(Team!L52="Work","W","O")&amp;IF(Team!M52="Work","W","O")&amp;IF(Team!N52="Work","W","O")</ns0:f>
        <ns0:v>WWWWWOO</ns0:v>
      </ns0:c>
      <ns0:c r="AR52" s="0">
        <ns0:f>IFERROR(IF(ISNUMBER(Settings!F52),WEEKDAY(Settings!F52,2),0),0)</ns0:f>
        <ns0:v>0</ns0:v>
      </ns0:c>
      <ns0:c r="BC52" s="0">
        <ns0:f>IF(OR($AO52=0,$B$5&lt;&gt;"OK",$B$6&gt;0,Calendar!D$11=""),0,SUMIFS(rngEngine_U,rngEngine_B,INDEX(Team!$A$11:$A$60,$AO52),rngAMStart,"&lt;="&amp;Calendar!D$11,rngAMEnd,"&gt;="&amp;Calendar!D$11))</ns0:f>
        <ns0:v>0</ns0:v>
      </ns0:c>
      <ns0:c r="BD52" s="0">
        <ns0:f>IF(OR($AO52=0,$B$5&lt;&gt;"OK",$B$6&gt;0,Calendar!D$11=""),0,SUMIFS(rngEngine_V,rngEngine_B,INDEX(Team!$A$11:$A$60,$AO52),rngPMStart,"&lt;="&amp;Calendar!D$11,rngPMEnd,"&gt;="&amp;Calendar!D$11))</ns0:f>
        <ns0:v>0</ns0:v>
      </ns0:c>
      <ns0:c r="BE52" s="0">
        <ns0:f>IF(OR($AO52=0,$B$5&lt;&gt;"OK",$B$6&gt;0,Calendar!E$11=""),0,SUMIFS(rngEngine_U,rngEngine_B,INDEX(Team!$A$11:$A$60,$AO52),rngAMStart,"&lt;="&amp;Calendar!E$11,rngAMEnd,"&gt;="&amp;Calendar!E$11))</ns0:f>
        <ns0:v>0</ns0:v>
      </ns0:c>
      <ns0:c r="BF52" s="0">
        <ns0:f>IF(OR($AO52=0,$B$5&lt;&gt;"OK",$B$6&gt;0,Calendar!E$11=""),0,SUMIFS(rngEngine_V,rngEngine_B,INDEX(Team!$A$11:$A$60,$AO52),rngPMStart,"&lt;="&amp;Calendar!E$11,rngPMEnd,"&gt;="&amp;Calendar!E$11))</ns0:f>
        <ns0:v>0</ns0:v>
      </ns0:c>
      <ns0:c r="BG52" s="0">
        <ns0:f>IF(OR($AO52=0,$B$5&lt;&gt;"OK",$B$6&gt;0,Calendar!F$11=""),0,SUMIFS(rngEngine_U,rngEngine_B,INDEX(Team!$A$11:$A$60,$AO52),rngAMStart,"&lt;="&amp;Calendar!F$11,rngAMEnd,"&gt;="&amp;Calendar!F$11))</ns0:f>
        <ns0:v>0</ns0:v>
      </ns0:c>
      <ns0:c r="BH52" s="0">
        <ns0:f>IF(OR($AO52=0,$B$5&lt;&gt;"OK",$B$6&gt;0,Calendar!F$11=""),0,SUMIFS(rngEngine_V,rngEngine_B,INDEX(Team!$A$11:$A$60,$AO52),rngPMStart,"&lt;="&amp;Calendar!F$11,rngPMEnd,"&gt;="&amp;Calendar!F$11))</ns0:f>
        <ns0:v>0</ns0:v>
      </ns0:c>
      <ns0:c r="BI52" s="0">
        <ns0:f>IF(OR($AO52=0,$B$5&lt;&gt;"OK",$B$6&gt;0,Calendar!G$11=""),0,SUMIFS(rngEngine_U,rngEngine_B,INDEX(Team!$A$11:$A$60,$AO52),rngAMStart,"&lt;="&amp;Calendar!G$11,rngAMEnd,"&gt;="&amp;Calendar!G$11))</ns0:f>
        <ns0:v>0</ns0:v>
      </ns0:c>
      <ns0:c r="BJ52" s="0">
        <ns0:f>IF(OR($AO52=0,$B$5&lt;&gt;"OK",$B$6&gt;0,Calendar!G$11=""),0,SUMIFS(rngEngine_V,rngEngine_B,INDEX(Team!$A$11:$A$60,$AO52),rngPMStart,"&lt;="&amp;Calendar!G$11,rngPMEnd,"&gt;="&amp;Calendar!G$11))</ns0:f>
        <ns0:v>0</ns0:v>
      </ns0:c>
      <ns0:c r="BK52" s="0">
        <ns0:f>IF(OR($AO52=0,$B$5&lt;&gt;"OK",$B$6&gt;0,Calendar!H$11=""),0,SUMIFS(rngEngine_U,rngEngine_B,INDEX(Team!$A$11:$A$60,$AO52),rngAMStart,"&lt;="&amp;Calendar!H$11,rngAMEnd,"&gt;="&amp;Calendar!H$11))</ns0:f>
        <ns0:v>0</ns0:v>
      </ns0:c>
      <ns0:c r="BL52" s="0">
        <ns0:f>IF(OR($AO52=0,$B$5&lt;&gt;"OK",$B$6&gt;0,Calendar!H$11=""),0,SUMIFS(rngEngine_V,rngEngine_B,INDEX(Team!$A$11:$A$60,$AO52),rngPMStart,"&lt;="&amp;Calendar!H$11,rngPMEnd,"&gt;="&amp;Calendar!H$11))</ns0:f>
        <ns0:v>0</ns0:v>
      </ns0:c>
      <ns0:c r="BM52" s="0">
        <ns0:f>IF(OR($AO52=0,$B$5&lt;&gt;"OK",$B$6&gt;0,Calendar!I$11=""),0,SUMIFS(rngEngine_U,rngEngine_B,INDEX(Team!$A$11:$A$60,$AO52),rngAMStart,"&lt;="&amp;Calendar!I$11,rngAMEnd,"&gt;="&amp;Calendar!I$11))</ns0:f>
        <ns0:v>0</ns0:v>
      </ns0:c>
      <ns0:c r="BN52" s="0">
        <ns0:f>IF(OR($AO52=0,$B$5&lt;&gt;"OK",$B$6&gt;0,Calendar!I$11=""),0,SUMIFS(rngEngine_V,rngEngine_B,INDEX(Team!$A$11:$A$60,$AO52),rngPMStart,"&lt;="&amp;Calendar!I$11,rngPMEnd,"&gt;="&amp;Calendar!I$11))</ns0:f>
        <ns0:v>0</ns0:v>
      </ns0:c>
      <ns0:c r="BO52" s="0">
        <ns0:f>IF(OR($AO52=0,$B$5&lt;&gt;"OK",$B$6&gt;0,Calendar!J$11=""),0,SUMIFS(rngEngine_U,rngEngine_B,INDEX(Team!$A$11:$A$60,$AO52),rngAMStart,"&lt;="&amp;Calendar!J$11,rngAMEnd,"&gt;="&amp;Calendar!J$11))</ns0:f>
        <ns0:v>0</ns0:v>
      </ns0:c>
      <ns0:c r="BP52" s="0">
        <ns0:f>IF(OR($AO52=0,$B$5&lt;&gt;"OK",$B$6&gt;0,Calendar!J$11=""),0,SUMIFS(rngEngine_V,rngEngine_B,INDEX(Team!$A$11:$A$60,$AO52),rngPMStart,"&lt;="&amp;Calendar!J$11,rngPMEnd,"&gt;="&amp;Calendar!J$11))</ns0:f>
        <ns0:v>0</ns0:v>
      </ns0:c>
      <ns0:c r="BQ52" s="0">
        <ns0:f>IF(OR($AO52=0,$B$5&lt;&gt;"OK",$B$6&gt;0,Calendar!K$11=""),0,SUMIFS(rngEngine_U,rngEngine_B,INDEX(Team!$A$11:$A$60,$AO52),rngAMStart,"&lt;="&amp;Calendar!K$11,rngAMEnd,"&gt;="&amp;Calendar!K$11))</ns0:f>
        <ns0:v>0</ns0:v>
      </ns0:c>
      <ns0:c r="BR52" s="0">
        <ns0:f>IF(OR($AO52=0,$B$5&lt;&gt;"OK",$B$6&gt;0,Calendar!K$11=""),0,SUMIFS(rngEngine_V,rngEngine_B,INDEX(Team!$A$11:$A$60,$AO52),rngPMStart,"&lt;="&amp;Calendar!K$11,rngPMEnd,"&gt;="&amp;Calendar!K$11))</ns0:f>
        <ns0:v>0</ns0:v>
      </ns0:c>
      <ns0:c r="BS52" s="0">
        <ns0:f>IF(OR($AO52=0,$B$5&lt;&gt;"OK",$B$6&gt;0,Calendar!L$11=""),0,SUMIFS(rngEngine_U,rngEngine_B,INDEX(Team!$A$11:$A$60,$AO52),rngAMStart,"&lt;="&amp;Calendar!L$11,rngAMEnd,"&gt;="&amp;Calendar!L$11))</ns0:f>
        <ns0:v>0</ns0:v>
      </ns0:c>
      <ns0:c r="BT52" s="0">
        <ns0:f>IF(OR($AO52=0,$B$5&lt;&gt;"OK",$B$6&gt;0,Calendar!L$11=""),0,SUMIFS(rngEngine_V,rngEngine_B,INDEX(Team!$A$11:$A$60,$AO52),rngPMStart,"&lt;="&amp;Calendar!L$11,rngPMEnd,"&gt;="&amp;Calendar!L$11))</ns0:f>
        <ns0:v>0</ns0:v>
      </ns0:c>
      <ns0:c r="BU52" s="0">
        <ns0:f>IF(OR($AO52=0,$B$5&lt;&gt;"OK",$B$6&gt;0,Calendar!M$11=""),0,SUMIFS(rngEngine_U,rngEngine_B,INDEX(Team!$A$11:$A$60,$AO52),rngAMStart,"&lt;="&amp;Calendar!M$11,rngAMEnd,"&gt;="&amp;Calendar!M$11))</ns0:f>
        <ns0:v>0</ns0:v>
      </ns0:c>
      <ns0:c r="BV52" s="0">
        <ns0:f>IF(OR($AO52=0,$B$5&lt;&gt;"OK",$B$6&gt;0,Calendar!M$11=""),0,SUMIFS(rngEngine_V,rngEngine_B,INDEX(Team!$A$11:$A$60,$AO52),rngPMStart,"&lt;="&amp;Calendar!M$11,rngPMEnd,"&gt;="&amp;Calendar!M$11))</ns0:f>
        <ns0:v>0</ns0:v>
      </ns0:c>
      <ns0:c r="BW52" s="0">
        <ns0:f>IF(OR($AO52=0,$B$5&lt;&gt;"OK",$B$6&gt;0,Calendar!N$11=""),0,SUMIFS(rngEngine_U,rngEngine_B,INDEX(Team!$A$11:$A$60,$AO52),rngAMStart,"&lt;="&amp;Calendar!N$11,rngAMEnd,"&gt;="&amp;Calendar!N$11))</ns0:f>
        <ns0:v>0</ns0:v>
      </ns0:c>
      <ns0:c r="BX52" s="0">
        <ns0:f>IF(OR($AO52=0,$B$5&lt;&gt;"OK",$B$6&gt;0,Calendar!N$11=""),0,SUMIFS(rngEngine_V,rngEngine_B,INDEX(Team!$A$11:$A$60,$AO52),rngPMStart,"&lt;="&amp;Calendar!N$11,rngPMEnd,"&gt;="&amp;Calendar!N$11))</ns0:f>
        <ns0:v>0</ns0:v>
      </ns0:c>
      <ns0:c r="BY52" s="0">
        <ns0:f>IF(OR($AO52=0,$B$5&lt;&gt;"OK",$B$6&gt;0,Calendar!O$11=""),0,SUMIFS(rngEngine_U,rngEngine_B,INDEX(Team!$A$11:$A$60,$AO52),rngAMStart,"&lt;="&amp;Calendar!O$11,rngAMEnd,"&gt;="&amp;Calendar!O$11))</ns0:f>
        <ns0:v>0</ns0:v>
      </ns0:c>
      <ns0:c r="BZ52" s="0">
        <ns0:f>IF(OR($AO52=0,$B$5&lt;&gt;"OK",$B$6&gt;0,Calendar!O$11=""),0,SUMIFS(rngEngine_V,rngEngine_B,INDEX(Team!$A$11:$A$60,$AO52),rngPMStart,"&lt;="&amp;Calendar!O$11,rngPMEnd,"&gt;="&amp;Calendar!O$11))</ns0:f>
        <ns0:v>0</ns0:v>
      </ns0:c>
      <ns0:c r="CA52" s="0">
        <ns0:f>IF(OR($AO52=0,$B$5&lt;&gt;"OK",$B$6&gt;0,Calendar!P$11=""),0,SUMIFS(rngEngine_U,rngEngine_B,INDEX(Team!$A$11:$A$60,$AO52),rngAMStart,"&lt;="&amp;Calendar!P$11,rngAMEnd,"&gt;="&amp;Calendar!P$11))</ns0:f>
        <ns0:v>0</ns0:v>
      </ns0:c>
      <ns0:c r="CB52" s="0">
        <ns0:f>IF(OR($AO52=0,$B$5&lt;&gt;"OK",$B$6&gt;0,Calendar!P$11=""),0,SUMIFS(rngEngine_V,rngEngine_B,INDEX(Team!$A$11:$A$60,$AO52),rngPMStart,"&lt;="&amp;Calendar!P$11,rngPMEnd,"&gt;="&amp;Calendar!P$11))</ns0:f>
        <ns0:v>0</ns0:v>
      </ns0:c>
      <ns0:c r="CC52" s="0">
        <ns0:f>IF(OR($AO52=0,$B$5&lt;&gt;"OK",$B$6&gt;0,Calendar!Q$11=""),0,SUMIFS(rngEngine_U,rngEngine_B,INDEX(Team!$A$11:$A$60,$AO52),rngAMStart,"&lt;="&amp;Calendar!Q$11,rngAMEnd,"&gt;="&amp;Calendar!Q$11))</ns0:f>
        <ns0:v>0</ns0:v>
      </ns0:c>
      <ns0:c r="CD52" s="0">
        <ns0:f>IF(OR($AO52=0,$B$5&lt;&gt;"OK",$B$6&gt;0,Calendar!Q$11=""),0,SUMIFS(rngEngine_V,rngEngine_B,INDEX(Team!$A$11:$A$60,$AO52),rngPMStart,"&lt;="&amp;Calendar!Q$11,rngPMEnd,"&gt;="&amp;Calendar!Q$11))</ns0:f>
        <ns0:v>0</ns0:v>
      </ns0:c>
      <ns0:c r="CE52" s="0">
        <ns0:f>IF(OR($AO52=0,$B$5&lt;&gt;"OK",$B$6&gt;0,Calendar!R$11=""),0,SUMIFS(rngEngine_U,rngEngine_B,INDEX(Team!$A$11:$A$60,$AO52),rngAMStart,"&lt;="&amp;Calendar!R$11,rngAMEnd,"&gt;="&amp;Calendar!R$11))</ns0:f>
        <ns0:v>0</ns0:v>
      </ns0:c>
      <ns0:c r="CF52" s="0">
        <ns0:f>IF(OR($AO52=0,$B$5&lt;&gt;"OK",$B$6&gt;0,Calendar!R$11=""),0,SUMIFS(rngEngine_V,rngEngine_B,INDEX(Team!$A$11:$A$60,$AO52),rngPMStart,"&lt;="&amp;Calendar!R$11,rngPMEnd,"&gt;="&amp;Calendar!R$11))</ns0:f>
        <ns0:v>0</ns0:v>
      </ns0:c>
      <ns0:c r="CG52" s="0">
        <ns0:f>IF(OR($AO52=0,$B$5&lt;&gt;"OK",$B$6&gt;0,Calendar!S$11=""),0,SUMIFS(rngEngine_U,rngEngine_B,INDEX(Team!$A$11:$A$60,$AO52),rngAMStart,"&lt;="&amp;Calendar!S$11,rngAMEnd,"&gt;="&amp;Calendar!S$11))</ns0:f>
        <ns0:v>0</ns0:v>
      </ns0:c>
      <ns0:c r="CH52" s="0">
        <ns0:f>IF(OR($AO52=0,$B$5&lt;&gt;"OK",$B$6&gt;0,Calendar!S$11=""),0,SUMIFS(rngEngine_V,rngEngine_B,INDEX(Team!$A$11:$A$60,$AO52),rngPMStart,"&lt;="&amp;Calendar!S$11,rngPMEnd,"&gt;="&amp;Calendar!S$11))</ns0:f>
        <ns0:v>0</ns0:v>
      </ns0:c>
      <ns0:c r="CI52" s="0">
        <ns0:f>IF(OR($AO52=0,$B$5&lt;&gt;"OK",$B$6&gt;0,Calendar!T$11=""),0,SUMIFS(rngEngine_U,rngEngine_B,INDEX(Team!$A$11:$A$60,$AO52),rngAMStart,"&lt;="&amp;Calendar!T$11,rngAMEnd,"&gt;="&amp;Calendar!T$11))</ns0:f>
        <ns0:v>0</ns0:v>
      </ns0:c>
      <ns0:c r="CJ52" s="0">
        <ns0:f>IF(OR($AO52=0,$B$5&lt;&gt;"OK",$B$6&gt;0,Calendar!T$11=""),0,SUMIFS(rngEngine_V,rngEngine_B,INDEX(Team!$A$11:$A$60,$AO52),rngPMStart,"&lt;="&amp;Calendar!T$11,rngPMEnd,"&gt;="&amp;Calendar!T$11))</ns0:f>
        <ns0:v>0</ns0:v>
      </ns0:c>
      <ns0:c r="CK52" s="0">
        <ns0:f>IF(OR($AO52=0,$B$5&lt;&gt;"OK",$B$6&gt;0,Calendar!U$11=""),0,SUMIFS(rngEngine_U,rngEngine_B,INDEX(Team!$A$11:$A$60,$AO52),rngAMStart,"&lt;="&amp;Calendar!U$11,rngAMEnd,"&gt;="&amp;Calendar!U$11))</ns0:f>
        <ns0:v>0</ns0:v>
      </ns0:c>
      <ns0:c r="CL52" s="0">
        <ns0:f>IF(OR($AO52=0,$B$5&lt;&gt;"OK",$B$6&gt;0,Calendar!U$11=""),0,SUMIFS(rngEngine_V,rngEngine_B,INDEX(Team!$A$11:$A$60,$AO52),rngPMStart,"&lt;="&amp;Calendar!U$11,rngPMEnd,"&gt;="&amp;Calendar!U$11))</ns0:f>
        <ns0:v>0</ns0:v>
      </ns0:c>
      <ns0:c r="CM52" s="0">
        <ns0:f>IF(OR($AO52=0,$B$5&lt;&gt;"OK",$B$6&gt;0,Calendar!V$11=""),0,SUMIFS(rngEngine_U,rngEngine_B,INDEX(Team!$A$11:$A$60,$AO52),rngAMStart,"&lt;="&amp;Calendar!V$11,rngAMEnd,"&gt;="&amp;Calendar!V$11))</ns0:f>
        <ns0:v>0</ns0:v>
      </ns0:c>
      <ns0:c r="CN52" s="0">
        <ns0:f>IF(OR($AO52=0,$B$5&lt;&gt;"OK",$B$6&gt;0,Calendar!V$11=""),0,SUMIFS(rngEngine_V,rngEngine_B,INDEX(Team!$A$11:$A$60,$AO52),rngPMStart,"&lt;="&amp;Calendar!V$11,rngPMEnd,"&gt;="&amp;Calendar!V$11))</ns0:f>
        <ns0:v>0</ns0:v>
      </ns0:c>
      <ns0:c r="CO52" s="0">
        <ns0:f>IF(OR($AO52=0,$B$5&lt;&gt;"OK",$B$6&gt;0,Calendar!W$11=""),0,SUMIFS(rngEngine_U,rngEngine_B,INDEX(Team!$A$11:$A$60,$AO52),rngAMStart,"&lt;="&amp;Calendar!W$11,rngAMEnd,"&gt;="&amp;Calendar!W$11))</ns0:f>
        <ns0:v>0</ns0:v>
      </ns0:c>
      <ns0:c r="CP52" s="0">
        <ns0:f>IF(OR($AO52=0,$B$5&lt;&gt;"OK",$B$6&gt;0,Calendar!W$11=""),0,SUMIFS(rngEngine_V,rngEngine_B,INDEX(Team!$A$11:$A$60,$AO52),rngPMStart,"&lt;="&amp;Calendar!W$11,rngPMEnd,"&gt;="&amp;Calendar!W$11))</ns0:f>
        <ns0:v>0</ns0:v>
      </ns0:c>
      <ns0:c r="CQ52" s="0">
        <ns0:f>IF(OR($AO52=0,$B$5&lt;&gt;"OK",$B$6&gt;0,Calendar!X$11=""),0,SUMIFS(rngEngine_U,rngEngine_B,INDEX(Team!$A$11:$A$60,$AO52),rngAMStart,"&lt;="&amp;Calendar!X$11,rngAMEnd,"&gt;="&amp;Calendar!X$11))</ns0:f>
        <ns0:v>0</ns0:v>
      </ns0:c>
      <ns0:c r="CR52" s="0">
        <ns0:f>IF(OR($AO52=0,$B$5&lt;&gt;"OK",$B$6&gt;0,Calendar!X$11=""),0,SUMIFS(rngEngine_V,rngEngine_B,INDEX(Team!$A$11:$A$60,$AO52),rngPMStart,"&lt;="&amp;Calendar!X$11,rngPMEnd,"&gt;="&amp;Calendar!X$11))</ns0:f>
        <ns0:v>0</ns0:v>
      </ns0:c>
      <ns0:c r="CS52" s="0">
        <ns0:f>IF(OR($AO52=0,$B$5&lt;&gt;"OK",$B$6&gt;0,Calendar!Y$11=""),0,SUMIFS(rngEngine_U,rngEngine_B,INDEX(Team!$A$11:$A$60,$AO52),rngAMStart,"&lt;="&amp;Calendar!Y$11,rngAMEnd,"&gt;="&amp;Calendar!Y$11))</ns0:f>
        <ns0:v>0</ns0:v>
      </ns0:c>
      <ns0:c r="CT52" s="0">
        <ns0:f>IF(OR($AO52=0,$B$5&lt;&gt;"OK",$B$6&gt;0,Calendar!Y$11=""),0,SUMIFS(rngEngine_V,rngEngine_B,INDEX(Team!$A$11:$A$60,$AO52),rngPMStart,"&lt;="&amp;Calendar!Y$11,rngPMEnd,"&gt;="&amp;Calendar!Y$11))</ns0:f>
        <ns0:v>0</ns0:v>
      </ns0:c>
      <ns0:c r="CU52" s="0">
        <ns0:f>IF(OR($AO52=0,$B$5&lt;&gt;"OK",$B$6&gt;0,Calendar!Z$11=""),0,SUMIFS(rngEngine_U,rngEngine_B,INDEX(Team!$A$11:$A$60,$AO52),rngAMStart,"&lt;="&amp;Calendar!Z$11,rngAMEnd,"&gt;="&amp;Calendar!Z$11))</ns0:f>
        <ns0:v>0</ns0:v>
      </ns0:c>
      <ns0:c r="CV52" s="0">
        <ns0:f>IF(OR($AO52=0,$B$5&lt;&gt;"OK",$B$6&gt;0,Calendar!Z$11=""),0,SUMIFS(rngEngine_V,rngEngine_B,INDEX(Team!$A$11:$A$60,$AO52),rngPMStart,"&lt;="&amp;Calendar!Z$11,rngPMEnd,"&gt;="&amp;Calendar!Z$11))</ns0:f>
        <ns0:v>0</ns0:v>
      </ns0:c>
      <ns0:c r="CW52" s="0">
        <ns0:f>IF(OR($AO52=0,$B$5&lt;&gt;"OK",$B$6&gt;0,Calendar!AA$11=""),0,SUMIFS(rngEngine_U,rngEngine_B,INDEX(Team!$A$11:$A$60,$AO52),rngAMStart,"&lt;="&amp;Calendar!AA$11,rngAMEnd,"&gt;="&amp;Calendar!AA$11))</ns0:f>
        <ns0:v>0</ns0:v>
      </ns0:c>
      <ns0:c r="CX52" s="0">
        <ns0:f>IF(OR($AO52=0,$B$5&lt;&gt;"OK",$B$6&gt;0,Calendar!AA$11=""),0,SUMIFS(rngEngine_V,rngEngine_B,INDEX(Team!$A$11:$A$60,$AO52),rngPMStart,"&lt;="&amp;Calendar!AA$11,rngPMEnd,"&gt;="&amp;Calendar!AA$11))</ns0:f>
        <ns0:v>0</ns0:v>
      </ns0:c>
      <ns0:c r="CY52" s="0">
        <ns0:f>IF(OR($AO52=0,$B$5&lt;&gt;"OK",$B$6&gt;0,Calendar!AB$11=""),0,SUMIFS(rngEngine_U,rngEngine_B,INDEX(Team!$A$11:$A$60,$AO52),rngAMStart,"&lt;="&amp;Calendar!AB$11,rngAMEnd,"&gt;="&amp;Calendar!AB$11))</ns0:f>
        <ns0:v>0</ns0:v>
      </ns0:c>
      <ns0:c r="CZ52" s="0">
        <ns0:f>IF(OR($AO52=0,$B$5&lt;&gt;"OK",$B$6&gt;0,Calendar!AB$11=""),0,SUMIFS(rngEngine_V,rngEngine_B,INDEX(Team!$A$11:$A$60,$AO52),rngPMStart,"&lt;="&amp;Calendar!AB$11,rngPMEnd,"&gt;="&amp;Calendar!AB$11))</ns0:f>
        <ns0:v>0</ns0:v>
      </ns0:c>
      <ns0:c r="DA52" s="0">
        <ns0:f>IF(OR($AO52=0,$B$5&lt;&gt;"OK",$B$6&gt;0,Calendar!AC$11=""),0,SUMIFS(rngEngine_U,rngEngine_B,INDEX(Team!$A$11:$A$60,$AO52),rngAMStart,"&lt;="&amp;Calendar!AC$11,rngAMEnd,"&gt;="&amp;Calendar!AC$11))</ns0:f>
        <ns0:v>0</ns0:v>
      </ns0:c>
      <ns0:c r="DB52" s="0">
        <ns0:f>IF(OR($AO52=0,$B$5&lt;&gt;"OK",$B$6&gt;0,Calendar!AC$11=""),0,SUMIFS(rngEngine_V,rngEngine_B,INDEX(Team!$A$11:$A$60,$AO52),rngPMStart,"&lt;="&amp;Calendar!AC$11,rngPMEnd,"&gt;="&amp;Calendar!AC$11))</ns0:f>
        <ns0:v>0</ns0:v>
      </ns0:c>
      <ns0:c r="DC52" s="0">
        <ns0:f>IF(OR($AO52=0,$B$5&lt;&gt;"OK",$B$6&gt;0,Calendar!AD$11=""),0,SUMIFS(rngEngine_U,rngEngine_B,INDEX(Team!$A$11:$A$60,$AO52),rngAMStart,"&lt;="&amp;Calendar!AD$11,rngAMEnd,"&gt;="&amp;Calendar!AD$11))</ns0:f>
        <ns0:v>0</ns0:v>
      </ns0:c>
      <ns0:c r="DD52" s="0">
        <ns0:f>IF(OR($AO52=0,$B$5&lt;&gt;"OK",$B$6&gt;0,Calendar!AD$11=""),0,SUMIFS(rngEngine_V,rngEngine_B,INDEX(Team!$A$11:$A$60,$AO52),rngPMStart,"&lt;="&amp;Calendar!AD$11,rngPMEnd,"&gt;="&amp;Calendar!AD$11))</ns0:f>
        <ns0:v>0</ns0:v>
      </ns0:c>
      <ns0:c r="DE52" s="0">
        <ns0:f>IF(OR($AO52=0,$B$5&lt;&gt;"OK",$B$6&gt;0,Calendar!AE$11=""),0,SUMIFS(rngEngine_U,rngEngine_B,INDEX(Team!$A$11:$A$60,$AO52),rngAMStart,"&lt;="&amp;Calendar!AE$11,rngAMEnd,"&gt;="&amp;Calendar!AE$11))</ns0:f>
        <ns0:v>0</ns0:v>
      </ns0:c>
      <ns0:c r="DF52" s="0">
        <ns0:f>IF(OR($AO52=0,$B$5&lt;&gt;"OK",$B$6&gt;0,Calendar!AE$11=""),0,SUMIFS(rngEngine_V,rngEngine_B,INDEX(Team!$A$11:$A$60,$AO52),rngPMStart,"&lt;="&amp;Calendar!AE$11,rngPMEnd,"&gt;="&amp;Calendar!AE$11))</ns0:f>
        <ns0:v>0</ns0:v>
      </ns0:c>
      <ns0:c r="DG52" s="0">
        <ns0:f>IF(OR($AO52=0,$B$5&lt;&gt;"OK",$B$6&gt;0,Calendar!AF$11=""),0,SUMIFS(rngEngine_U,rngEngine_B,INDEX(Team!$A$11:$A$60,$AO52),rngAMStart,"&lt;="&amp;Calendar!AF$11,rngAMEnd,"&gt;="&amp;Calendar!AF$11))</ns0:f>
        <ns0:v>0</ns0:v>
      </ns0:c>
      <ns0:c r="DH52" s="0">
        <ns0:f>IF(OR($AO52=0,$B$5&lt;&gt;"OK",$B$6&gt;0,Calendar!AF$11=""),0,SUMIFS(rngEngine_V,rngEngine_B,INDEX(Team!$A$11:$A$60,$AO52),rngPMStart,"&lt;="&amp;Calendar!AF$11,rngPMEnd,"&gt;="&amp;Calendar!AF$11))</ns0:f>
        <ns0:v>0</ns0:v>
      </ns0:c>
      <ns0:c r="DI52" s="0">
        <ns0:f>IF(OR($AO52=0,$B$5&lt;&gt;"OK",$B$6&gt;0,Calendar!AG$11=""),0,SUMIFS(rngEngine_U,rngEngine_B,INDEX(Team!$A$11:$A$60,$AO52),rngAMStart,"&lt;="&amp;Calendar!AG$11,rngAMEnd,"&gt;="&amp;Calendar!AG$11))</ns0:f>
        <ns0:v>0</ns0:v>
      </ns0:c>
      <ns0:c r="DJ52" s="0">
        <ns0:f>IF(OR($AO52=0,$B$5&lt;&gt;"OK",$B$6&gt;0,Calendar!AG$11=""),0,SUMIFS(rngEngine_V,rngEngine_B,INDEX(Team!$A$11:$A$60,$AO52),rngPMStart,"&lt;="&amp;Calendar!AG$11,rngPMEnd,"&gt;="&amp;Calendar!AG$11))</ns0:f>
        <ns0:v>0</ns0:v>
      </ns0:c>
      <ns0:c r="DK52" s="0">
        <ns0:f>IF(OR($AO52=0,$B$5&lt;&gt;"OK",$B$6&gt;0,Calendar!AH$11=""),0,SUMIFS(rngEngine_U,rngEngine_B,INDEX(Team!$A$11:$A$60,$AO52),rngAMStart,"&lt;="&amp;Calendar!AH$11,rngAMEnd,"&gt;="&amp;Calendar!AH$11))</ns0:f>
        <ns0:v>0</ns0:v>
      </ns0:c>
      <ns0:c r="DL52" s="0">
        <ns0:f>IF(OR($AO52=0,$B$5&lt;&gt;"OK",$B$6&gt;0,Calendar!AH$11=""),0,SUMIFS(rngEngine_V,rngEngine_B,INDEX(Team!$A$11:$A$60,$AO52),rngPMStart,"&lt;="&amp;Calendar!AH$11,rngPMEnd,"&gt;="&amp;Calendar!AH$11))</ns0:f>
        <ns0:v>0</ns0:v>
      </ns0:c>
    </ns0:row>
    <ns0:row r="53" ht="22" customHeight="1">
      <ns0:c r="A53" s="4">
        <ns0:f>IF(COUNTA(Bookings!A53:G53,Bookings!I53)=0,0,1)</ns0:f>
        <ns0:v>0</ns0:v>
      </ns0:c>
      <ns0:c r="B53" s="4" t="str">
        <ns0:f>IFERROR(TRIM(MID(Bookings!A53,FIND(" · ",Bookings!A53)+3,99)),"")</ns0:f>
        <ns0:v/>
      </ns0:c>
      <ns0:c r="C53" s="4">
        <ns0:f>IF(OR(B53="",LEN(B53)&gt;24,ISNUMBER(FIND(" ",B53)),ISNUMBER(FIND("*",B53)),ISNUMBER(FIND("?",B53)),ISNUMBER(FIND("~",B53))),0,IFERROR(MATCH(B53,Team!$A$11:$A$60,0),0))</ns0:f>
        <ns0:v>0</ns0:v>
      </ns0:c>
      <ns0:c r="D53" s="4" t="str">
        <ns0:f>IFERROR(IF(MID(Bookings!F53,LEN(Bookings!F53)-3,3)=" · ",RIGHT(Bookings!F53,1),""),"")</ns0:f>
        <ns0:v/>
      </ns0:c>
      <ns0:c r="E53" s="4" t="str">
        <ns0:f>IFERROR(INDEX(Settings!$H$7:$H$11,MATCH(D53,Settings!$G$7:$G$11,0)),"")</ns0:f>
        <ns0:v/>
      </ns0:c>
      <ns0:c r="F53" s="4" t="str">
        <ns0:f>IF(A53=0,"",IFERROR(IF(OR(B53="",C53=0),"CHECK employee selection",IF(INDEX(Team!$O$11:$O$60,C53)&lt;&gt;"OK","CHECK employee setup",IF(OR('_Dates'!J53=0,'_Dates'!T53=0),"CHECK date: use DD.MM.YYYY",IF('_Dates'!T53&lt;'_Dates'!J53,"CHECK end before start",IF(AND($B$6=0,OR('_Dates'!J53&lt;Settings!$B$7,'_Dates'!T53&gt;Settings!$B$8)),"CHECK split across leave years",IF(OR(NOT(OR('_Dates'!U53="Full day",'_Dates'!U53="AM",'_Dates'!U53="PM")),NOT(OR('_Dates'!V53="Full day",'_Dates'!V53="AM",'_Dates'!V53="PM"))),"CHECK Full day / AM / PM",IF(AND('_Dates'!J53='_Dates'!T53,'_Dates'!U53&lt;&gt;"Full day",'_Dates'!V53&lt;&gt;"Full day",'_Dates'!U53&lt;&gt;'_Dates'!V53),"CHECK same-day portions disagree",IF(AND($B$6=0,OR(AND('_Dates'!U53&lt;&gt;"Full day",'_Dates'!AA53=0),AND('_Dates'!V53&lt;&gt;"Full day",'_Dates'!AB53=0))),"CHECK half-day on non-working date",IF(COUNTIF(Settings!$G$7:$G$11,D53)&lt;&gt;1,"CHECK leave type",IF(AND(Bookings!G53&lt;&gt;"Approved",Bookings!G53&lt;&gt;"Pending",Bookings!G53&lt;&gt;"Cancelled"),"CHECK status","OK")))))))))),"CHECK input"))</ns0:f>
        <ns0:v/>
      </ns0:c>
      <ns0:c r="G53" s="4">
        <ns0:f>IF(OR(F53&lt;&gt;"OK",$B$6&gt;0),0,0.5*(IF(('_Dates'!X53)&lt;('_Dates'!W53),0,INT((('_Dates'!X53)-('_Dates'!W53)+1)/7)*LEN(SUBSTITUTE(W53,"O",""))+LEN(SUBSTITUTE(MID(W53&amp;W53,WEEKDAY(('_Dates'!W53),2),MOD((('_Dates'!X53)-('_Dates'!W53)+1),7)),"O",""))-COUNTIFS(INDEX(AllClosureRows,C53,0),"&gt;="&amp;('_Dates'!W53),INDEX(AllClosureRows,C53,0),"&lt;="&amp;('_Dates'!X53)))+IF(('_Dates'!Z53)&lt;('_Dates'!Y53),0,INT((('_Dates'!Z53)-('_Dates'!Y53)+1)/7)*LEN(SUBSTITUTE(W53,"O",""))+LEN(SUBSTITUTE(MID(W53&amp;W53,WEEKDAY(('_Dates'!Y53),2),MOD((('_Dates'!Z53)-('_Dates'!Y53)+1),7)),"O",""))-COUNTIFS(INDEX(AllClosureRows,C53,0),"&gt;="&amp;('_Dates'!Y53),INDEX(AllClosureRows,C53,0),"&lt;="&amp;('_Dates'!Z53)))))</ns0:f>
        <ns0:v>0</ns0:v>
      </ns0:c>
      <ns0:c r="H53" s="4">
        <ns0:f>IF(OR(F53&lt;&gt;"OK",$B$6&gt;0),0,0.5*(IF((MIN('_Dates'!X53,Settings!$B$9))&lt;('_Dates'!W53),0,INT(((MIN('_Dates'!X53,Settings!$B$9))-('_Dates'!W53)+1)/7)*LEN(SUBSTITUTE(W53,"O",""))+LEN(SUBSTITUTE(MID(W53&amp;W53,WEEKDAY(('_Dates'!W53),2),MOD(((MIN('_Dates'!X53,Settings!$B$9))-('_Dates'!W53)+1),7)),"O",""))-COUNTIFS(INDEX(AllClosureRows,C53,0),"&gt;="&amp;('_Dates'!W53),INDEX(AllClosureRows,C53,0),"&lt;="&amp;(MIN('_Dates'!X53,Settings!$B$9))))+IF((MIN('_Dates'!Z53,Settings!$B$9))&lt;('_Dates'!Y53),0,INT(((MIN('_Dates'!Z53,Settings!$B$9))-('_Dates'!Y53)+1)/7)*LEN(SUBSTITUTE(W53,"O",""))+LEN(SUBSTITUTE(MID(W53&amp;W53,WEEKDAY(('_Dates'!Y53),2),MOD(((MIN('_Dates'!Z53,Settings!$B$9))-('_Dates'!Y53)+1),7)),"O",""))-COUNTIFS(INDEX(AllClosureRows,C53,0),"&gt;="&amp;('_Dates'!Y53),INDEX(AllClosureRows,C53,0),"&lt;="&amp;(MIN('_Dates'!Z53,Settings!$B$9))))))</ns0:f>
        <ns0:v>0</ns0:v>
      </ns0:c>
      <ns0:c r="I53" s="4">
        <ns0:f>MAX(0,G53-H53)</ns0:f>
        <ns0:v>0</ns0:v>
      </ns0:c>
      <ns0:c r="J53" s="4">
        <ns0:f>IF(OR(A53=0,F53&lt;&gt;"OK",Bookings!G53="Cancelled",$B$6&gt;0),0,IF('_Dates'!AC53=1,MAX(0,COUNTIFS(rngEngine_B,B53,rngAMStart,"&lt;="&amp;'_Dates'!X53,rngAMEnd,"&gt;="&amp;'_Dates'!W53,rngAMActive,1,rngEngine_F,"OK",rngBookings_F,"&lt;&gt;Cancelled")-1),0)+IF('_Dates'!AD53=1,MAX(0,COUNTIFS(rngEngine_B,B53,rngPMStart,"&lt;="&amp;'_Dates'!Z53,rngPMEnd,"&gt;="&amp;'_Dates'!Y53,rngPMActive,1,rngEngine_F,"OK",rngBookings_F,"&lt;&gt;Cancelled")-1),0))</ns0:f>
        <ns0:v>0</ns0:v>
      </ns0:c>
      <ns0:c r="K53" s="0" t="str">
        <ns0:f>IF(A53=0,"",IF(F53&lt;&gt;"OK",F53,IF(J53&gt;0,"CHECK overlapping entry",IF(AND($B$6=0,G53&lt;=0,Bookings!G53&lt;&gt;"Cancelled"),"CHECK no working days",IF(Bookings!G53="Cancelled","Cancelled","OK")))))</ns0:f>
        <ns0:v/>
      </ns0:c>
      <ns0:c r="L53" s="0">
        <ns0:f>IF(LEFT(K53,5)="CHECK",1,0)</ns0:f>
        <ns0:v>0</ns0:v>
      </ns0:c>
      <ns0:c r="M53" s="0">
        <ns0:f>IF(AND(L53=1,OR(C53=0,IFERROR(INDEX($X$11:$X$60,C53),0)=0)),1,0)</ns0:f>
        <ns0:v>0</ns0:v>
      </ns0:c>
      <ns0:c r="N53" s="0">
        <ns0:f>IF(OR(A53=0,L53&gt;0,$B$6&gt;0,Bookings!G53="Cancelled"),0,G53)</ns0:f>
        <ns0:v>0</ns0:v>
      </ns0:c>
      <ns0:c r="O53" s="0">
        <ns0:f>IF(AND(Bookings!G53="Approved",E53="Yes"),N53,0)</ns0:f>
        <ns0:v>0</ns0:v>
      </ns0:c>
      <ns0:c r="P53" s="0">
        <ns0:f>IF(AND(Bookings!G53="Approved",E53="Yes",L53=0,$B$6=0),H53,0)</ns0:f>
        <ns0:v>0</ns0:v>
      </ns0:c>
      <ns0:c r="Q53" s="0">
        <ns0:f>IF(AND(Bookings!G53="Approved",E53="Yes",L53=0,$B$6=0),I53,0)</ns0:f>
        <ns0:v>0</ns0:v>
      </ns0:c>
      <ns0:c r="R53" s="0">
        <ns0:f>IF(AND(Bookings!G53="Pending",E53="Yes"),N53,0)</ns0:f>
        <ns0:v>0</ns0:v>
      </ns0:c>
      <ns0:c r="S53" s="0">
        <ns0:f>IF(AND(Bookings!G53="Approved",E53="No"),N53,0)</ns0:f>
        <ns0:v>0</ns0:v>
      </ns0:c>
      <ns0:c r="T53" s="0">
        <ns0:f>IFERROR(MATCH(D53,Settings!$G$7:$G$11,0),0)</ns0:f>
        <ns0:v>0</ns0:v>
      </ns0:c>
      <ns0:c r="U53" s="0">
        <ns0:f>IF(N53&gt;0,T53+IF(Bookings!G53="Pending",10,0),0)</ns0:f>
        <ns0:v>0</ns0:v>
      </ns0:c>
      <ns0:c r="V53" s="0">
        <ns0:f>U53</ns0:f>
        <ns0:v>0</ns0:v>
      </ns0:c>
      <ns0:c r="W53" s="0" t="str">
        <ns0:f>IF(C53=0,"",INDEX($AP$11:$AP$60,C53))</ns0:f>
        <ns0:v/>
      </ns0:c>
      <ns0:c r="X53" s="0">
        <ns0:f>IF(COUNTA(Team!B53:D53)=0,0,1)</ns0:f>
        <ns0:v>0</ns0:v>
      </ns0:c>
      <ns0:c r="Y53" s="0" t="str">
        <ns0:f>IF(X53=0,"",IF(Team!B53="","[Unnamed]",Team!B53)&amp;" · "&amp;Team!A53)</ns0:f>
        <ns0:v/>
      </ns0:c>
      <ns0:c r="Z53" s="0">
        <ns0:f>IF(X53=0,0,COUNTIF(Team!H53:N53,"Work"))</ns0:f>
        <ns0:v>0</ns0:v>
      </ns0:c>
      <ns0:c r="AA53" s="0">
        <ns0:f>IF(LEFT(Team!O53,5)="CHECK",1,0)</ns0:f>
        <ns0:v>0</ns0:v>
      </ns0:c>
      <ns0:c r="AB53" s="0">
        <ns0:f>IF(X53=0,0,SUMIFS(rngEngine_L,rngEngine_B,Team!A53))</ns0:f>
        <ns0:v>0</ns0:v>
      </ns0:c>
      <ns0:c r="AC53" s="0" t="str">
        <ns0:f>IF(AND(X53=1,OR(Calendar!$C$7="All teams",Team!C53=Calendar!$C$7)),MAX($AC$10:AC52)+1,"")</ns0:f>
        <ns0:v/>
      </ns0:c>
      <ns0:c r="AD53" s="0" t="str">
        <ns0:f>IF(OR(X53=0,Team!C53="",COUNTIF(Team!$C$11:C53,Team!C53)&gt;1),"",MAX($AD$10:AD52)+1)</ns0:f>
        <ns0:v/>
      </ns0:c>
      <ns0:c r="AE53" s="0" t="str">
        <ns0:f>IFERROR(INDEX(Team!$C$11:$C$60,MATCH(ROW()-10,$AD$11:$AD$60,0)),"")</ns0:f>
        <ns0:v/>
      </ns0:c>
      <ns0:c r="AF53" s="0" t="str">
        <ns0:f>AE53</ns0:f>
        <ns0:v/>
      </ns0:c>
      <ns0:c r="AG53" s="0">
        <ns0:f>IF(X53=0,0,IFERROR(Team!F53+Team!G53,0))</ns0:f>
        <ns0:v>0</ns0:v>
      </ns0:c>
      <ns0:c r="AH53" s="0">
        <ns0:f>IF(X53=0,0,SUMIFS(rngEngine_P,rngEngine_B,Team!A53))</ns0:f>
        <ns0:v>0</ns0:v>
      </ns0:c>
      <ns0:c r="AI53" s="0">
        <ns0:f>IF(X53=0,0,SUMIFS(rngEngine_Q,rngEngine_B,Team!A53))</ns0:f>
        <ns0:v>0</ns0:v>
      </ns0:c>
      <ns0:c r="AJ53" s="0">
        <ns0:f>IF(X53=0,0,SUMIFS(rngEngine_R,rngEngine_B,Team!A53))</ns0:f>
        <ns0:v>0</ns0:v>
      </ns0:c>
      <ns0:c r="AK53" s="0">
        <ns0:f>IF(X53=0,0,SUMIFS(rngEngine_S,rngEngine_B,Team!A53))</ns0:f>
        <ns0:v>0</ns0:v>
      </ns0:c>
      <ns0:c r="AL53" s="0">
        <ns0:f>AH53+AI53</ns0:f>
        <ns0:v>0</ns0:v>
      </ns0:c>
      <ns0:c r="AM53" s="0" t="str">
        <ns0:f>IF(X53=0,"",IF(AA53&gt;0,"CHECK team setup",IF(AB53&gt;0,"CHECK "&amp;AB53&amp;" booking(s)","OK")))</ns0:f>
        <ns0:v/>
      </ns0:c>
      <ns0:c r="AN53" s="0" t="str">
        <ns0:f>IF(X53=0,"",IF(OR($B$6&gt;0,AM53&lt;&gt;"OK"),"REVIEW",AG53-AL53))</ns0:f>
        <ns0:v/>
      </ns0:c>
      <ns0:c r="AO53" s="0">
        <ns0:f>IFERROR(MATCH(ROW()-11,$AC$11:$AC$60,0),0)</ns0:f>
        <ns0:v>0</ns0:v>
      </ns0:c>
      <ns0:c r="AP53" s="0" t="str">
        <ns0:f>IF(Team!H53="Work","W","O")&amp;IF(Team!I53="Work","W","O")&amp;IF(Team!J53="Work","W","O")&amp;IF(Team!K53="Work","W","O")&amp;IF(Team!L53="Work","W","O")&amp;IF(Team!M53="Work","W","O")&amp;IF(Team!N53="Work","W","O")</ns0:f>
        <ns0:v>WWWWWOO</ns0:v>
      </ns0:c>
      <ns0:c r="AR53" s="0">
        <ns0:f>IFERROR(IF(ISNUMBER(Settings!F53),WEEKDAY(Settings!F53,2),0),0)</ns0:f>
        <ns0:v>0</ns0:v>
      </ns0:c>
      <ns0:c r="BC53" s="0">
        <ns0:f>IF(OR($AO53=0,$B$5&lt;&gt;"OK",$B$6&gt;0,Calendar!D$11=""),0,SUMIFS(rngEngine_U,rngEngine_B,INDEX(Team!$A$11:$A$60,$AO53),rngAMStart,"&lt;="&amp;Calendar!D$11,rngAMEnd,"&gt;="&amp;Calendar!D$11))</ns0:f>
        <ns0:v>0</ns0:v>
      </ns0:c>
      <ns0:c r="BD53" s="0">
        <ns0:f>IF(OR($AO53=0,$B$5&lt;&gt;"OK",$B$6&gt;0,Calendar!D$11=""),0,SUMIFS(rngEngine_V,rngEngine_B,INDEX(Team!$A$11:$A$60,$AO53),rngPMStart,"&lt;="&amp;Calendar!D$11,rngPMEnd,"&gt;="&amp;Calendar!D$11))</ns0:f>
        <ns0:v>0</ns0:v>
      </ns0:c>
      <ns0:c r="BE53" s="0">
        <ns0:f>IF(OR($AO53=0,$B$5&lt;&gt;"OK",$B$6&gt;0,Calendar!E$11=""),0,SUMIFS(rngEngine_U,rngEngine_B,INDEX(Team!$A$11:$A$60,$AO53),rngAMStart,"&lt;="&amp;Calendar!E$11,rngAMEnd,"&gt;="&amp;Calendar!E$11))</ns0:f>
        <ns0:v>0</ns0:v>
      </ns0:c>
      <ns0:c r="BF53" s="0">
        <ns0:f>IF(OR($AO53=0,$B$5&lt;&gt;"OK",$B$6&gt;0,Calendar!E$11=""),0,SUMIFS(rngEngine_V,rngEngine_B,INDEX(Team!$A$11:$A$60,$AO53),rngPMStart,"&lt;="&amp;Calendar!E$11,rngPMEnd,"&gt;="&amp;Calendar!E$11))</ns0:f>
        <ns0:v>0</ns0:v>
      </ns0:c>
      <ns0:c r="BG53" s="0">
        <ns0:f>IF(OR($AO53=0,$B$5&lt;&gt;"OK",$B$6&gt;0,Calendar!F$11=""),0,SUMIFS(rngEngine_U,rngEngine_B,INDEX(Team!$A$11:$A$60,$AO53),rngAMStart,"&lt;="&amp;Calendar!F$11,rngAMEnd,"&gt;="&amp;Calendar!F$11))</ns0:f>
        <ns0:v>0</ns0:v>
      </ns0:c>
      <ns0:c r="BH53" s="0">
        <ns0:f>IF(OR($AO53=0,$B$5&lt;&gt;"OK",$B$6&gt;0,Calendar!F$11=""),0,SUMIFS(rngEngine_V,rngEngine_B,INDEX(Team!$A$11:$A$60,$AO53),rngPMStart,"&lt;="&amp;Calendar!F$11,rngPMEnd,"&gt;="&amp;Calendar!F$11))</ns0:f>
        <ns0:v>0</ns0:v>
      </ns0:c>
      <ns0:c r="BI53" s="0">
        <ns0:f>IF(OR($AO53=0,$B$5&lt;&gt;"OK",$B$6&gt;0,Calendar!G$11=""),0,SUMIFS(rngEngine_U,rngEngine_B,INDEX(Team!$A$11:$A$60,$AO53),rngAMStart,"&lt;="&amp;Calendar!G$11,rngAMEnd,"&gt;="&amp;Calendar!G$11))</ns0:f>
        <ns0:v>0</ns0:v>
      </ns0:c>
      <ns0:c r="BJ53" s="0">
        <ns0:f>IF(OR($AO53=0,$B$5&lt;&gt;"OK",$B$6&gt;0,Calendar!G$11=""),0,SUMIFS(rngEngine_V,rngEngine_B,INDEX(Team!$A$11:$A$60,$AO53),rngPMStart,"&lt;="&amp;Calendar!G$11,rngPMEnd,"&gt;="&amp;Calendar!G$11))</ns0:f>
        <ns0:v>0</ns0:v>
      </ns0:c>
      <ns0:c r="BK53" s="0">
        <ns0:f>IF(OR($AO53=0,$B$5&lt;&gt;"OK",$B$6&gt;0,Calendar!H$11=""),0,SUMIFS(rngEngine_U,rngEngine_B,INDEX(Team!$A$11:$A$60,$AO53),rngAMStart,"&lt;="&amp;Calendar!H$11,rngAMEnd,"&gt;="&amp;Calendar!H$11))</ns0:f>
        <ns0:v>0</ns0:v>
      </ns0:c>
      <ns0:c r="BL53" s="0">
        <ns0:f>IF(OR($AO53=0,$B$5&lt;&gt;"OK",$B$6&gt;0,Calendar!H$11=""),0,SUMIFS(rngEngine_V,rngEngine_B,INDEX(Team!$A$11:$A$60,$AO53),rngPMStart,"&lt;="&amp;Calendar!H$11,rngPMEnd,"&gt;="&amp;Calendar!H$11))</ns0:f>
        <ns0:v>0</ns0:v>
      </ns0:c>
      <ns0:c r="BM53" s="0">
        <ns0:f>IF(OR($AO53=0,$B$5&lt;&gt;"OK",$B$6&gt;0,Calendar!I$11=""),0,SUMIFS(rngEngine_U,rngEngine_B,INDEX(Team!$A$11:$A$60,$AO53),rngAMStart,"&lt;="&amp;Calendar!I$11,rngAMEnd,"&gt;="&amp;Calendar!I$11))</ns0:f>
        <ns0:v>0</ns0:v>
      </ns0:c>
      <ns0:c r="BN53" s="0">
        <ns0:f>IF(OR($AO53=0,$B$5&lt;&gt;"OK",$B$6&gt;0,Calendar!I$11=""),0,SUMIFS(rngEngine_V,rngEngine_B,INDEX(Team!$A$11:$A$60,$AO53),rngPMStart,"&lt;="&amp;Calendar!I$11,rngPMEnd,"&gt;="&amp;Calendar!I$11))</ns0:f>
        <ns0:v>0</ns0:v>
      </ns0:c>
      <ns0:c r="BO53" s="0">
        <ns0:f>IF(OR($AO53=0,$B$5&lt;&gt;"OK",$B$6&gt;0,Calendar!J$11=""),0,SUMIFS(rngEngine_U,rngEngine_B,INDEX(Team!$A$11:$A$60,$AO53),rngAMStart,"&lt;="&amp;Calendar!J$11,rngAMEnd,"&gt;="&amp;Calendar!J$11))</ns0:f>
        <ns0:v>0</ns0:v>
      </ns0:c>
      <ns0:c r="BP53" s="0">
        <ns0:f>IF(OR($AO53=0,$B$5&lt;&gt;"OK",$B$6&gt;0,Calendar!J$11=""),0,SUMIFS(rngEngine_V,rngEngine_B,INDEX(Team!$A$11:$A$60,$AO53),rngPMStart,"&lt;="&amp;Calendar!J$11,rngPMEnd,"&gt;="&amp;Calendar!J$11))</ns0:f>
        <ns0:v>0</ns0:v>
      </ns0:c>
      <ns0:c r="BQ53" s="0">
        <ns0:f>IF(OR($AO53=0,$B$5&lt;&gt;"OK",$B$6&gt;0,Calendar!K$11=""),0,SUMIFS(rngEngine_U,rngEngine_B,INDEX(Team!$A$11:$A$60,$AO53),rngAMStart,"&lt;="&amp;Calendar!K$11,rngAMEnd,"&gt;="&amp;Calendar!K$11))</ns0:f>
        <ns0:v>0</ns0:v>
      </ns0:c>
      <ns0:c r="BR53" s="0">
        <ns0:f>IF(OR($AO53=0,$B$5&lt;&gt;"OK",$B$6&gt;0,Calendar!K$11=""),0,SUMIFS(rngEngine_V,rngEngine_B,INDEX(Team!$A$11:$A$60,$AO53),rngPMStart,"&lt;="&amp;Calendar!K$11,rngPMEnd,"&gt;="&amp;Calendar!K$11))</ns0:f>
        <ns0:v>0</ns0:v>
      </ns0:c>
      <ns0:c r="BS53" s="0">
        <ns0:f>IF(OR($AO53=0,$B$5&lt;&gt;"OK",$B$6&gt;0,Calendar!L$11=""),0,SUMIFS(rngEngine_U,rngEngine_B,INDEX(Team!$A$11:$A$60,$AO53),rngAMStart,"&lt;="&amp;Calendar!L$11,rngAMEnd,"&gt;="&amp;Calendar!L$11))</ns0:f>
        <ns0:v>0</ns0:v>
      </ns0:c>
      <ns0:c r="BT53" s="0">
        <ns0:f>IF(OR($AO53=0,$B$5&lt;&gt;"OK",$B$6&gt;0,Calendar!L$11=""),0,SUMIFS(rngEngine_V,rngEngine_B,INDEX(Team!$A$11:$A$60,$AO53),rngPMStart,"&lt;="&amp;Calendar!L$11,rngPMEnd,"&gt;="&amp;Calendar!L$11))</ns0:f>
        <ns0:v>0</ns0:v>
      </ns0:c>
      <ns0:c r="BU53" s="0">
        <ns0:f>IF(OR($AO53=0,$B$5&lt;&gt;"OK",$B$6&gt;0,Calendar!M$11=""),0,SUMIFS(rngEngine_U,rngEngine_B,INDEX(Team!$A$11:$A$60,$AO53),rngAMStart,"&lt;="&amp;Calendar!M$11,rngAMEnd,"&gt;="&amp;Calendar!M$11))</ns0:f>
        <ns0:v>0</ns0:v>
      </ns0:c>
      <ns0:c r="BV53" s="0">
        <ns0:f>IF(OR($AO53=0,$B$5&lt;&gt;"OK",$B$6&gt;0,Calendar!M$11=""),0,SUMIFS(rngEngine_V,rngEngine_B,INDEX(Team!$A$11:$A$60,$AO53),rngPMStart,"&lt;="&amp;Calendar!M$11,rngPMEnd,"&gt;="&amp;Calendar!M$11))</ns0:f>
        <ns0:v>0</ns0:v>
      </ns0:c>
      <ns0:c r="BW53" s="0">
        <ns0:f>IF(OR($AO53=0,$B$5&lt;&gt;"OK",$B$6&gt;0,Calendar!N$11=""),0,SUMIFS(rngEngine_U,rngEngine_B,INDEX(Team!$A$11:$A$60,$AO53),rngAMStart,"&lt;="&amp;Calendar!N$11,rngAMEnd,"&gt;="&amp;Calendar!N$11))</ns0:f>
        <ns0:v>0</ns0:v>
      </ns0:c>
      <ns0:c r="BX53" s="0">
        <ns0:f>IF(OR($AO53=0,$B$5&lt;&gt;"OK",$B$6&gt;0,Calendar!N$11=""),0,SUMIFS(rngEngine_V,rngEngine_B,INDEX(Team!$A$11:$A$60,$AO53),rngPMStart,"&lt;="&amp;Calendar!N$11,rngPMEnd,"&gt;="&amp;Calendar!N$11))</ns0:f>
        <ns0:v>0</ns0:v>
      </ns0:c>
      <ns0:c r="BY53" s="0">
        <ns0:f>IF(OR($AO53=0,$B$5&lt;&gt;"OK",$B$6&gt;0,Calendar!O$11=""),0,SUMIFS(rngEngine_U,rngEngine_B,INDEX(Team!$A$11:$A$60,$AO53),rngAMStart,"&lt;="&amp;Calendar!O$11,rngAMEnd,"&gt;="&amp;Calendar!O$11))</ns0:f>
        <ns0:v>0</ns0:v>
      </ns0:c>
      <ns0:c r="BZ53" s="0">
        <ns0:f>IF(OR($AO53=0,$B$5&lt;&gt;"OK",$B$6&gt;0,Calendar!O$11=""),0,SUMIFS(rngEngine_V,rngEngine_B,INDEX(Team!$A$11:$A$60,$AO53),rngPMStart,"&lt;="&amp;Calendar!O$11,rngPMEnd,"&gt;="&amp;Calendar!O$11))</ns0:f>
        <ns0:v>0</ns0:v>
      </ns0:c>
      <ns0:c r="CA53" s="0">
        <ns0:f>IF(OR($AO53=0,$B$5&lt;&gt;"OK",$B$6&gt;0,Calendar!P$11=""),0,SUMIFS(rngEngine_U,rngEngine_B,INDEX(Team!$A$11:$A$60,$AO53),rngAMStart,"&lt;="&amp;Calendar!P$11,rngAMEnd,"&gt;="&amp;Calendar!P$11))</ns0:f>
        <ns0:v>0</ns0:v>
      </ns0:c>
      <ns0:c r="CB53" s="0">
        <ns0:f>IF(OR($AO53=0,$B$5&lt;&gt;"OK",$B$6&gt;0,Calendar!P$11=""),0,SUMIFS(rngEngine_V,rngEngine_B,INDEX(Team!$A$11:$A$60,$AO53),rngPMStart,"&lt;="&amp;Calendar!P$11,rngPMEnd,"&gt;="&amp;Calendar!P$11))</ns0:f>
        <ns0:v>0</ns0:v>
      </ns0:c>
      <ns0:c r="CC53" s="0">
        <ns0:f>IF(OR($AO53=0,$B$5&lt;&gt;"OK",$B$6&gt;0,Calendar!Q$11=""),0,SUMIFS(rngEngine_U,rngEngine_B,INDEX(Team!$A$11:$A$60,$AO53),rngAMStart,"&lt;="&amp;Calendar!Q$11,rngAMEnd,"&gt;="&amp;Calendar!Q$11))</ns0:f>
        <ns0:v>0</ns0:v>
      </ns0:c>
      <ns0:c r="CD53" s="0">
        <ns0:f>IF(OR($AO53=0,$B$5&lt;&gt;"OK",$B$6&gt;0,Calendar!Q$11=""),0,SUMIFS(rngEngine_V,rngEngine_B,INDEX(Team!$A$11:$A$60,$AO53),rngPMStart,"&lt;="&amp;Calendar!Q$11,rngPMEnd,"&gt;="&amp;Calendar!Q$11))</ns0:f>
        <ns0:v>0</ns0:v>
      </ns0:c>
      <ns0:c r="CE53" s="0">
        <ns0:f>IF(OR($AO53=0,$B$5&lt;&gt;"OK",$B$6&gt;0,Calendar!R$11=""),0,SUMIFS(rngEngine_U,rngEngine_B,INDEX(Team!$A$11:$A$60,$AO53),rngAMStart,"&lt;="&amp;Calendar!R$11,rngAMEnd,"&gt;="&amp;Calendar!R$11))</ns0:f>
        <ns0:v>0</ns0:v>
      </ns0:c>
      <ns0:c r="CF53" s="0">
        <ns0:f>IF(OR($AO53=0,$B$5&lt;&gt;"OK",$B$6&gt;0,Calendar!R$11=""),0,SUMIFS(rngEngine_V,rngEngine_B,INDEX(Team!$A$11:$A$60,$AO53),rngPMStart,"&lt;="&amp;Calendar!R$11,rngPMEnd,"&gt;="&amp;Calendar!R$11))</ns0:f>
        <ns0:v>0</ns0:v>
      </ns0:c>
      <ns0:c r="CG53" s="0">
        <ns0:f>IF(OR($AO53=0,$B$5&lt;&gt;"OK",$B$6&gt;0,Calendar!S$11=""),0,SUMIFS(rngEngine_U,rngEngine_B,INDEX(Team!$A$11:$A$60,$AO53),rngAMStart,"&lt;="&amp;Calendar!S$11,rngAMEnd,"&gt;="&amp;Calendar!S$11))</ns0:f>
        <ns0:v>0</ns0:v>
      </ns0:c>
      <ns0:c r="CH53" s="0">
        <ns0:f>IF(OR($AO53=0,$B$5&lt;&gt;"OK",$B$6&gt;0,Calendar!S$11=""),0,SUMIFS(rngEngine_V,rngEngine_B,INDEX(Team!$A$11:$A$60,$AO53),rngPMStart,"&lt;="&amp;Calendar!S$11,rngPMEnd,"&gt;="&amp;Calendar!S$11))</ns0:f>
        <ns0:v>0</ns0:v>
      </ns0:c>
      <ns0:c r="CI53" s="0">
        <ns0:f>IF(OR($AO53=0,$B$5&lt;&gt;"OK",$B$6&gt;0,Calendar!T$11=""),0,SUMIFS(rngEngine_U,rngEngine_B,INDEX(Team!$A$11:$A$60,$AO53),rngAMStart,"&lt;="&amp;Calendar!T$11,rngAMEnd,"&gt;="&amp;Calendar!T$11))</ns0:f>
        <ns0:v>0</ns0:v>
      </ns0:c>
      <ns0:c r="CJ53" s="0">
        <ns0:f>IF(OR($AO53=0,$B$5&lt;&gt;"OK",$B$6&gt;0,Calendar!T$11=""),0,SUMIFS(rngEngine_V,rngEngine_B,INDEX(Team!$A$11:$A$60,$AO53),rngPMStart,"&lt;="&amp;Calendar!T$11,rngPMEnd,"&gt;="&amp;Calendar!T$11))</ns0:f>
        <ns0:v>0</ns0:v>
      </ns0:c>
      <ns0:c r="CK53" s="0">
        <ns0:f>IF(OR($AO53=0,$B$5&lt;&gt;"OK",$B$6&gt;0,Calendar!U$11=""),0,SUMIFS(rngEngine_U,rngEngine_B,INDEX(Team!$A$11:$A$60,$AO53),rngAMStart,"&lt;="&amp;Calendar!U$11,rngAMEnd,"&gt;="&amp;Calendar!U$11))</ns0:f>
        <ns0:v>0</ns0:v>
      </ns0:c>
      <ns0:c r="CL53" s="0">
        <ns0:f>IF(OR($AO53=0,$B$5&lt;&gt;"OK",$B$6&gt;0,Calendar!U$11=""),0,SUMIFS(rngEngine_V,rngEngine_B,INDEX(Team!$A$11:$A$60,$AO53),rngPMStart,"&lt;="&amp;Calendar!U$11,rngPMEnd,"&gt;="&amp;Calendar!U$11))</ns0:f>
        <ns0:v>0</ns0:v>
      </ns0:c>
      <ns0:c r="CM53" s="0">
        <ns0:f>IF(OR($AO53=0,$B$5&lt;&gt;"OK",$B$6&gt;0,Calendar!V$11=""),0,SUMIFS(rngEngine_U,rngEngine_B,INDEX(Team!$A$11:$A$60,$AO53),rngAMStart,"&lt;="&amp;Calendar!V$11,rngAMEnd,"&gt;="&amp;Calendar!V$11))</ns0:f>
        <ns0:v>0</ns0:v>
      </ns0:c>
      <ns0:c r="CN53" s="0">
        <ns0:f>IF(OR($AO53=0,$B$5&lt;&gt;"OK",$B$6&gt;0,Calendar!V$11=""),0,SUMIFS(rngEngine_V,rngEngine_B,INDEX(Team!$A$11:$A$60,$AO53),rngPMStart,"&lt;="&amp;Calendar!V$11,rngPMEnd,"&gt;="&amp;Calendar!V$11))</ns0:f>
        <ns0:v>0</ns0:v>
      </ns0:c>
      <ns0:c r="CO53" s="0">
        <ns0:f>IF(OR($AO53=0,$B$5&lt;&gt;"OK",$B$6&gt;0,Calendar!W$11=""),0,SUMIFS(rngEngine_U,rngEngine_B,INDEX(Team!$A$11:$A$60,$AO53),rngAMStart,"&lt;="&amp;Calendar!W$11,rngAMEnd,"&gt;="&amp;Calendar!W$11))</ns0:f>
        <ns0:v>0</ns0:v>
      </ns0:c>
      <ns0:c r="CP53" s="0">
        <ns0:f>IF(OR($AO53=0,$B$5&lt;&gt;"OK",$B$6&gt;0,Calendar!W$11=""),0,SUMIFS(rngEngine_V,rngEngine_B,INDEX(Team!$A$11:$A$60,$AO53),rngPMStart,"&lt;="&amp;Calendar!W$11,rngPMEnd,"&gt;="&amp;Calendar!W$11))</ns0:f>
        <ns0:v>0</ns0:v>
      </ns0:c>
      <ns0:c r="CQ53" s="0">
        <ns0:f>IF(OR($AO53=0,$B$5&lt;&gt;"OK",$B$6&gt;0,Calendar!X$11=""),0,SUMIFS(rngEngine_U,rngEngine_B,INDEX(Team!$A$11:$A$60,$AO53),rngAMStart,"&lt;="&amp;Calendar!X$11,rngAMEnd,"&gt;="&amp;Calendar!X$11))</ns0:f>
        <ns0:v>0</ns0:v>
      </ns0:c>
      <ns0:c r="CR53" s="0">
        <ns0:f>IF(OR($AO53=0,$B$5&lt;&gt;"OK",$B$6&gt;0,Calendar!X$11=""),0,SUMIFS(rngEngine_V,rngEngine_B,INDEX(Team!$A$11:$A$60,$AO53),rngPMStart,"&lt;="&amp;Calendar!X$11,rngPMEnd,"&gt;="&amp;Calendar!X$11))</ns0:f>
        <ns0:v>0</ns0:v>
      </ns0:c>
      <ns0:c r="CS53" s="0">
        <ns0:f>IF(OR($AO53=0,$B$5&lt;&gt;"OK",$B$6&gt;0,Calendar!Y$11=""),0,SUMIFS(rngEngine_U,rngEngine_B,INDEX(Team!$A$11:$A$60,$AO53),rngAMStart,"&lt;="&amp;Calendar!Y$11,rngAMEnd,"&gt;="&amp;Calendar!Y$11))</ns0:f>
        <ns0:v>0</ns0:v>
      </ns0:c>
      <ns0:c r="CT53" s="0">
        <ns0:f>IF(OR($AO53=0,$B$5&lt;&gt;"OK",$B$6&gt;0,Calendar!Y$11=""),0,SUMIFS(rngEngine_V,rngEngine_B,INDEX(Team!$A$11:$A$60,$AO53),rngPMStart,"&lt;="&amp;Calendar!Y$11,rngPMEnd,"&gt;="&amp;Calendar!Y$11))</ns0:f>
        <ns0:v>0</ns0:v>
      </ns0:c>
      <ns0:c r="CU53" s="0">
        <ns0:f>IF(OR($AO53=0,$B$5&lt;&gt;"OK",$B$6&gt;0,Calendar!Z$11=""),0,SUMIFS(rngEngine_U,rngEngine_B,INDEX(Team!$A$11:$A$60,$AO53),rngAMStart,"&lt;="&amp;Calendar!Z$11,rngAMEnd,"&gt;="&amp;Calendar!Z$11))</ns0:f>
        <ns0:v>0</ns0:v>
      </ns0:c>
      <ns0:c r="CV53" s="0">
        <ns0:f>IF(OR($AO53=0,$B$5&lt;&gt;"OK",$B$6&gt;0,Calendar!Z$11=""),0,SUMIFS(rngEngine_V,rngEngine_B,INDEX(Team!$A$11:$A$60,$AO53),rngPMStart,"&lt;="&amp;Calendar!Z$11,rngPMEnd,"&gt;="&amp;Calendar!Z$11))</ns0:f>
        <ns0:v>0</ns0:v>
      </ns0:c>
      <ns0:c r="CW53" s="0">
        <ns0:f>IF(OR($AO53=0,$B$5&lt;&gt;"OK",$B$6&gt;0,Calendar!AA$11=""),0,SUMIFS(rngEngine_U,rngEngine_B,INDEX(Team!$A$11:$A$60,$AO53),rngAMStart,"&lt;="&amp;Calendar!AA$11,rngAMEnd,"&gt;="&amp;Calendar!AA$11))</ns0:f>
        <ns0:v>0</ns0:v>
      </ns0:c>
      <ns0:c r="CX53" s="0">
        <ns0:f>IF(OR($AO53=0,$B$5&lt;&gt;"OK",$B$6&gt;0,Calendar!AA$11=""),0,SUMIFS(rngEngine_V,rngEngine_B,INDEX(Team!$A$11:$A$60,$AO53),rngPMStart,"&lt;="&amp;Calendar!AA$11,rngPMEnd,"&gt;="&amp;Calendar!AA$11))</ns0:f>
        <ns0:v>0</ns0:v>
      </ns0:c>
      <ns0:c r="CY53" s="0">
        <ns0:f>IF(OR($AO53=0,$B$5&lt;&gt;"OK",$B$6&gt;0,Calendar!AB$11=""),0,SUMIFS(rngEngine_U,rngEngine_B,INDEX(Team!$A$11:$A$60,$AO53),rngAMStart,"&lt;="&amp;Calendar!AB$11,rngAMEnd,"&gt;="&amp;Calendar!AB$11))</ns0:f>
        <ns0:v>0</ns0:v>
      </ns0:c>
      <ns0:c r="CZ53" s="0">
        <ns0:f>IF(OR($AO53=0,$B$5&lt;&gt;"OK",$B$6&gt;0,Calendar!AB$11=""),0,SUMIFS(rngEngine_V,rngEngine_B,INDEX(Team!$A$11:$A$60,$AO53),rngPMStart,"&lt;="&amp;Calendar!AB$11,rngPMEnd,"&gt;="&amp;Calendar!AB$11))</ns0:f>
        <ns0:v>0</ns0:v>
      </ns0:c>
      <ns0:c r="DA53" s="0">
        <ns0:f>IF(OR($AO53=0,$B$5&lt;&gt;"OK",$B$6&gt;0,Calendar!AC$11=""),0,SUMIFS(rngEngine_U,rngEngine_B,INDEX(Team!$A$11:$A$60,$AO53),rngAMStart,"&lt;="&amp;Calendar!AC$11,rngAMEnd,"&gt;="&amp;Calendar!AC$11))</ns0:f>
        <ns0:v>0</ns0:v>
      </ns0:c>
      <ns0:c r="DB53" s="0">
        <ns0:f>IF(OR($AO53=0,$B$5&lt;&gt;"OK",$B$6&gt;0,Calendar!AC$11=""),0,SUMIFS(rngEngine_V,rngEngine_B,INDEX(Team!$A$11:$A$60,$AO53),rngPMStart,"&lt;="&amp;Calendar!AC$11,rngPMEnd,"&gt;="&amp;Calendar!AC$11))</ns0:f>
        <ns0:v>0</ns0:v>
      </ns0:c>
      <ns0:c r="DC53" s="0">
        <ns0:f>IF(OR($AO53=0,$B$5&lt;&gt;"OK",$B$6&gt;0,Calendar!AD$11=""),0,SUMIFS(rngEngine_U,rngEngine_B,INDEX(Team!$A$11:$A$60,$AO53),rngAMStart,"&lt;="&amp;Calendar!AD$11,rngAMEnd,"&gt;="&amp;Calendar!AD$11))</ns0:f>
        <ns0:v>0</ns0:v>
      </ns0:c>
      <ns0:c r="DD53" s="0">
        <ns0:f>IF(OR($AO53=0,$B$5&lt;&gt;"OK",$B$6&gt;0,Calendar!AD$11=""),0,SUMIFS(rngEngine_V,rngEngine_B,INDEX(Team!$A$11:$A$60,$AO53),rngPMStart,"&lt;="&amp;Calendar!AD$11,rngPMEnd,"&gt;="&amp;Calendar!AD$11))</ns0:f>
        <ns0:v>0</ns0:v>
      </ns0:c>
      <ns0:c r="DE53" s="0">
        <ns0:f>IF(OR($AO53=0,$B$5&lt;&gt;"OK",$B$6&gt;0,Calendar!AE$11=""),0,SUMIFS(rngEngine_U,rngEngine_B,INDEX(Team!$A$11:$A$60,$AO53),rngAMStart,"&lt;="&amp;Calendar!AE$11,rngAMEnd,"&gt;="&amp;Calendar!AE$11))</ns0:f>
        <ns0:v>0</ns0:v>
      </ns0:c>
      <ns0:c r="DF53" s="0">
        <ns0:f>IF(OR($AO53=0,$B$5&lt;&gt;"OK",$B$6&gt;0,Calendar!AE$11=""),0,SUMIFS(rngEngine_V,rngEngine_B,INDEX(Team!$A$11:$A$60,$AO53),rngPMStart,"&lt;="&amp;Calendar!AE$11,rngPMEnd,"&gt;="&amp;Calendar!AE$11))</ns0:f>
        <ns0:v>0</ns0:v>
      </ns0:c>
      <ns0:c r="DG53" s="0">
        <ns0:f>IF(OR($AO53=0,$B$5&lt;&gt;"OK",$B$6&gt;0,Calendar!AF$11=""),0,SUMIFS(rngEngine_U,rngEngine_B,INDEX(Team!$A$11:$A$60,$AO53),rngAMStart,"&lt;="&amp;Calendar!AF$11,rngAMEnd,"&gt;="&amp;Calendar!AF$11))</ns0:f>
        <ns0:v>0</ns0:v>
      </ns0:c>
      <ns0:c r="DH53" s="0">
        <ns0:f>IF(OR($AO53=0,$B$5&lt;&gt;"OK",$B$6&gt;0,Calendar!AF$11=""),0,SUMIFS(rngEngine_V,rngEngine_B,INDEX(Team!$A$11:$A$60,$AO53),rngPMStart,"&lt;="&amp;Calendar!AF$11,rngPMEnd,"&gt;="&amp;Calendar!AF$11))</ns0:f>
        <ns0:v>0</ns0:v>
      </ns0:c>
      <ns0:c r="DI53" s="0">
        <ns0:f>IF(OR($AO53=0,$B$5&lt;&gt;"OK",$B$6&gt;0,Calendar!AG$11=""),0,SUMIFS(rngEngine_U,rngEngine_B,INDEX(Team!$A$11:$A$60,$AO53),rngAMStart,"&lt;="&amp;Calendar!AG$11,rngAMEnd,"&gt;="&amp;Calendar!AG$11))</ns0:f>
        <ns0:v>0</ns0:v>
      </ns0:c>
      <ns0:c r="DJ53" s="0">
        <ns0:f>IF(OR($AO53=0,$B$5&lt;&gt;"OK",$B$6&gt;0,Calendar!AG$11=""),0,SUMIFS(rngEngine_V,rngEngine_B,INDEX(Team!$A$11:$A$60,$AO53),rngPMStart,"&lt;="&amp;Calendar!AG$11,rngPMEnd,"&gt;="&amp;Calendar!AG$11))</ns0:f>
        <ns0:v>0</ns0:v>
      </ns0:c>
      <ns0:c r="DK53" s="0">
        <ns0:f>IF(OR($AO53=0,$B$5&lt;&gt;"OK",$B$6&gt;0,Calendar!AH$11=""),0,SUMIFS(rngEngine_U,rngEngine_B,INDEX(Team!$A$11:$A$60,$AO53),rngAMStart,"&lt;="&amp;Calendar!AH$11,rngAMEnd,"&gt;="&amp;Calendar!AH$11))</ns0:f>
        <ns0:v>0</ns0:v>
      </ns0:c>
      <ns0:c r="DL53" s="0">
        <ns0:f>IF(OR($AO53=0,$B$5&lt;&gt;"OK",$B$6&gt;0,Calendar!AH$11=""),0,SUMIFS(rngEngine_V,rngEngine_B,INDEX(Team!$A$11:$A$60,$AO53),rngPMStart,"&lt;="&amp;Calendar!AH$11,rngPMEnd,"&gt;="&amp;Calendar!AH$11))</ns0:f>
        <ns0:v>0</ns0:v>
      </ns0:c>
    </ns0:row>
    <ns0:row r="54" ht="22" customHeight="1">
      <ns0:c r="A54" s="4">
        <ns0:f>IF(COUNTA(Bookings!A54:G54,Bookings!I54)=0,0,1)</ns0:f>
        <ns0:v>0</ns0:v>
      </ns0:c>
      <ns0:c r="B54" s="4" t="str">
        <ns0:f>IFERROR(TRIM(MID(Bookings!A54,FIND(" · ",Bookings!A54)+3,99)),"")</ns0:f>
        <ns0:v/>
      </ns0:c>
      <ns0:c r="C54" s="4">
        <ns0:f>IF(OR(B54="",LEN(B54)&gt;24,ISNUMBER(FIND(" ",B54)),ISNUMBER(FIND("*",B54)),ISNUMBER(FIND("?",B54)),ISNUMBER(FIND("~",B54))),0,IFERROR(MATCH(B54,Team!$A$11:$A$60,0),0))</ns0:f>
        <ns0:v>0</ns0:v>
      </ns0:c>
      <ns0:c r="D54" s="4" t="str">
        <ns0:f>IFERROR(IF(MID(Bookings!F54,LEN(Bookings!F54)-3,3)=" · ",RIGHT(Bookings!F54,1),""),"")</ns0:f>
        <ns0:v/>
      </ns0:c>
      <ns0:c r="E54" s="4" t="str">
        <ns0:f>IFERROR(INDEX(Settings!$H$7:$H$11,MATCH(D54,Settings!$G$7:$G$11,0)),"")</ns0:f>
        <ns0:v/>
      </ns0:c>
      <ns0:c r="F54" s="4" t="str">
        <ns0:f>IF(A54=0,"",IFERROR(IF(OR(B54="",C54=0),"CHECK employee selection",IF(INDEX(Team!$O$11:$O$60,C54)&lt;&gt;"OK","CHECK employee setup",IF(OR('_Dates'!J54=0,'_Dates'!T54=0),"CHECK date: use DD.MM.YYYY",IF('_Dates'!T54&lt;'_Dates'!J54,"CHECK end before start",IF(AND($B$6=0,OR('_Dates'!J54&lt;Settings!$B$7,'_Dates'!T54&gt;Settings!$B$8)),"CHECK split across leave years",IF(OR(NOT(OR('_Dates'!U54="Full day",'_Dates'!U54="AM",'_Dates'!U54="PM")),NOT(OR('_Dates'!V54="Full day",'_Dates'!V54="AM",'_Dates'!V54="PM"))),"CHECK Full day / AM / PM",IF(AND('_Dates'!J54='_Dates'!T54,'_Dates'!U54&lt;&gt;"Full day",'_Dates'!V54&lt;&gt;"Full day",'_Dates'!U54&lt;&gt;'_Dates'!V54),"CHECK same-day portions disagree",IF(AND($B$6=0,OR(AND('_Dates'!U54&lt;&gt;"Full day",'_Dates'!AA54=0),AND('_Dates'!V54&lt;&gt;"Full day",'_Dates'!AB54=0))),"CHECK half-day on non-working date",IF(COUNTIF(Settings!$G$7:$G$11,D54)&lt;&gt;1,"CHECK leave type",IF(AND(Bookings!G54&lt;&gt;"Approved",Bookings!G54&lt;&gt;"Pending",Bookings!G54&lt;&gt;"Cancelled"),"CHECK status","OK")))))))))),"CHECK input"))</ns0:f>
        <ns0:v/>
      </ns0:c>
      <ns0:c r="G54" s="4">
        <ns0:f>IF(OR(F54&lt;&gt;"OK",$B$6&gt;0),0,0.5*(IF(('_Dates'!X54)&lt;('_Dates'!W54),0,INT((('_Dates'!X54)-('_Dates'!W54)+1)/7)*LEN(SUBSTITUTE(W54,"O",""))+LEN(SUBSTITUTE(MID(W54&amp;W54,WEEKDAY(('_Dates'!W54),2),MOD((('_Dates'!X54)-('_Dates'!W54)+1),7)),"O",""))-COUNTIFS(INDEX(AllClosureRows,C54,0),"&gt;="&amp;('_Dates'!W54),INDEX(AllClosureRows,C54,0),"&lt;="&amp;('_Dates'!X54)))+IF(('_Dates'!Z54)&lt;('_Dates'!Y54),0,INT((('_Dates'!Z54)-('_Dates'!Y54)+1)/7)*LEN(SUBSTITUTE(W54,"O",""))+LEN(SUBSTITUTE(MID(W54&amp;W54,WEEKDAY(('_Dates'!Y54),2),MOD((('_Dates'!Z54)-('_Dates'!Y54)+1),7)),"O",""))-COUNTIFS(INDEX(AllClosureRows,C54,0),"&gt;="&amp;('_Dates'!Y54),INDEX(AllClosureRows,C54,0),"&lt;="&amp;('_Dates'!Z54)))))</ns0:f>
        <ns0:v>0</ns0:v>
      </ns0:c>
      <ns0:c r="H54" s="4">
        <ns0:f>IF(OR(F54&lt;&gt;"OK",$B$6&gt;0),0,0.5*(IF((MIN('_Dates'!X54,Settings!$B$9))&lt;('_Dates'!W54),0,INT(((MIN('_Dates'!X54,Settings!$B$9))-('_Dates'!W54)+1)/7)*LEN(SUBSTITUTE(W54,"O",""))+LEN(SUBSTITUTE(MID(W54&amp;W54,WEEKDAY(('_Dates'!W54),2),MOD(((MIN('_Dates'!X54,Settings!$B$9))-('_Dates'!W54)+1),7)),"O",""))-COUNTIFS(INDEX(AllClosureRows,C54,0),"&gt;="&amp;('_Dates'!W54),INDEX(AllClosureRows,C54,0),"&lt;="&amp;(MIN('_Dates'!X54,Settings!$B$9))))+IF((MIN('_Dates'!Z54,Settings!$B$9))&lt;('_Dates'!Y54),0,INT(((MIN('_Dates'!Z54,Settings!$B$9))-('_Dates'!Y54)+1)/7)*LEN(SUBSTITUTE(W54,"O",""))+LEN(SUBSTITUTE(MID(W54&amp;W54,WEEKDAY(('_Dates'!Y54),2),MOD(((MIN('_Dates'!Z54,Settings!$B$9))-('_Dates'!Y54)+1),7)),"O",""))-COUNTIFS(INDEX(AllClosureRows,C54,0),"&gt;="&amp;('_Dates'!Y54),INDEX(AllClosureRows,C54,0),"&lt;="&amp;(MIN('_Dates'!Z54,Settings!$B$9))))))</ns0:f>
        <ns0:v>0</ns0:v>
      </ns0:c>
      <ns0:c r="I54" s="4">
        <ns0:f>MAX(0,G54-H54)</ns0:f>
        <ns0:v>0</ns0:v>
      </ns0:c>
      <ns0:c r="J54" s="4">
        <ns0:f>IF(OR(A54=0,F54&lt;&gt;"OK",Bookings!G54="Cancelled",$B$6&gt;0),0,IF('_Dates'!AC54=1,MAX(0,COUNTIFS(rngEngine_B,B54,rngAMStart,"&lt;="&amp;'_Dates'!X54,rngAMEnd,"&gt;="&amp;'_Dates'!W54,rngAMActive,1,rngEngine_F,"OK",rngBookings_F,"&lt;&gt;Cancelled")-1),0)+IF('_Dates'!AD54=1,MAX(0,COUNTIFS(rngEngine_B,B54,rngPMStart,"&lt;="&amp;'_Dates'!Z54,rngPMEnd,"&gt;="&amp;'_Dates'!Y54,rngPMActive,1,rngEngine_F,"OK",rngBookings_F,"&lt;&gt;Cancelled")-1),0))</ns0:f>
        <ns0:v>0</ns0:v>
      </ns0:c>
      <ns0:c r="K54" s="0" t="str">
        <ns0:f>IF(A54=0,"",IF(F54&lt;&gt;"OK",F54,IF(J54&gt;0,"CHECK overlapping entry",IF(AND($B$6=0,G54&lt;=0,Bookings!G54&lt;&gt;"Cancelled"),"CHECK no working days",IF(Bookings!G54="Cancelled","Cancelled","OK")))))</ns0:f>
        <ns0:v/>
      </ns0:c>
      <ns0:c r="L54" s="0">
        <ns0:f>IF(LEFT(K54,5)="CHECK",1,0)</ns0:f>
        <ns0:v>0</ns0:v>
      </ns0:c>
      <ns0:c r="M54" s="0">
        <ns0:f>IF(AND(L54=1,OR(C54=0,IFERROR(INDEX($X$11:$X$60,C54),0)=0)),1,0)</ns0:f>
        <ns0:v>0</ns0:v>
      </ns0:c>
      <ns0:c r="N54" s="0">
        <ns0:f>IF(OR(A54=0,L54&gt;0,$B$6&gt;0,Bookings!G54="Cancelled"),0,G54)</ns0:f>
        <ns0:v>0</ns0:v>
      </ns0:c>
      <ns0:c r="O54" s="0">
        <ns0:f>IF(AND(Bookings!G54="Approved",E54="Yes"),N54,0)</ns0:f>
        <ns0:v>0</ns0:v>
      </ns0:c>
      <ns0:c r="P54" s="0">
        <ns0:f>IF(AND(Bookings!G54="Approved",E54="Yes",L54=0,$B$6=0),H54,0)</ns0:f>
        <ns0:v>0</ns0:v>
      </ns0:c>
      <ns0:c r="Q54" s="0">
        <ns0:f>IF(AND(Bookings!G54="Approved",E54="Yes",L54=0,$B$6=0),I54,0)</ns0:f>
        <ns0:v>0</ns0:v>
      </ns0:c>
      <ns0:c r="R54" s="0">
        <ns0:f>IF(AND(Bookings!G54="Pending",E54="Yes"),N54,0)</ns0:f>
        <ns0:v>0</ns0:v>
      </ns0:c>
      <ns0:c r="S54" s="0">
        <ns0:f>IF(AND(Bookings!G54="Approved",E54="No"),N54,0)</ns0:f>
        <ns0:v>0</ns0:v>
      </ns0:c>
      <ns0:c r="T54" s="0">
        <ns0:f>IFERROR(MATCH(D54,Settings!$G$7:$G$11,0),0)</ns0:f>
        <ns0:v>0</ns0:v>
      </ns0:c>
      <ns0:c r="U54" s="0">
        <ns0:f>IF(N54&gt;0,T54+IF(Bookings!G54="Pending",10,0),0)</ns0:f>
        <ns0:v>0</ns0:v>
      </ns0:c>
      <ns0:c r="V54" s="0">
        <ns0:f>U54</ns0:f>
        <ns0:v>0</ns0:v>
      </ns0:c>
      <ns0:c r="W54" s="0" t="str">
        <ns0:f>IF(C54=0,"",INDEX($AP$11:$AP$60,C54))</ns0:f>
        <ns0:v/>
      </ns0:c>
      <ns0:c r="X54" s="0">
        <ns0:f>IF(COUNTA(Team!B54:D54)=0,0,1)</ns0:f>
        <ns0:v>0</ns0:v>
      </ns0:c>
      <ns0:c r="Y54" s="0" t="str">
        <ns0:f>IF(X54=0,"",IF(Team!B54="","[Unnamed]",Team!B54)&amp;" · "&amp;Team!A54)</ns0:f>
        <ns0:v/>
      </ns0:c>
      <ns0:c r="Z54" s="0">
        <ns0:f>IF(X54=0,0,COUNTIF(Team!H54:N54,"Work"))</ns0:f>
        <ns0:v>0</ns0:v>
      </ns0:c>
      <ns0:c r="AA54" s="0">
        <ns0:f>IF(LEFT(Team!O54,5)="CHECK",1,0)</ns0:f>
        <ns0:v>0</ns0:v>
      </ns0:c>
      <ns0:c r="AB54" s="0">
        <ns0:f>IF(X54=0,0,SUMIFS(rngEngine_L,rngEngine_B,Team!A54))</ns0:f>
        <ns0:v>0</ns0:v>
      </ns0:c>
      <ns0:c r="AC54" s="0" t="str">
        <ns0:f>IF(AND(X54=1,OR(Calendar!$C$7="All teams",Team!C54=Calendar!$C$7)),MAX($AC$10:AC53)+1,"")</ns0:f>
        <ns0:v/>
      </ns0:c>
      <ns0:c r="AD54" s="0" t="str">
        <ns0:f>IF(OR(X54=0,Team!C54="",COUNTIF(Team!$C$11:C54,Team!C54)&gt;1),"",MAX($AD$10:AD53)+1)</ns0:f>
        <ns0:v/>
      </ns0:c>
      <ns0:c r="AE54" s="0" t="str">
        <ns0:f>IFERROR(INDEX(Team!$C$11:$C$60,MATCH(ROW()-10,$AD$11:$AD$60,0)),"")</ns0:f>
        <ns0:v/>
      </ns0:c>
      <ns0:c r="AF54" s="0" t="str">
        <ns0:f>AE54</ns0:f>
        <ns0:v/>
      </ns0:c>
      <ns0:c r="AG54" s="0">
        <ns0:f>IF(X54=0,0,IFERROR(Team!F54+Team!G54,0))</ns0:f>
        <ns0:v>0</ns0:v>
      </ns0:c>
      <ns0:c r="AH54" s="0">
        <ns0:f>IF(X54=0,0,SUMIFS(rngEngine_P,rngEngine_B,Team!A54))</ns0:f>
        <ns0:v>0</ns0:v>
      </ns0:c>
      <ns0:c r="AI54" s="0">
        <ns0:f>IF(X54=0,0,SUMIFS(rngEngine_Q,rngEngine_B,Team!A54))</ns0:f>
        <ns0:v>0</ns0:v>
      </ns0:c>
      <ns0:c r="AJ54" s="0">
        <ns0:f>IF(X54=0,0,SUMIFS(rngEngine_R,rngEngine_B,Team!A54))</ns0:f>
        <ns0:v>0</ns0:v>
      </ns0:c>
      <ns0:c r="AK54" s="0">
        <ns0:f>IF(X54=0,0,SUMIFS(rngEngine_S,rngEngine_B,Team!A54))</ns0:f>
        <ns0:v>0</ns0:v>
      </ns0:c>
      <ns0:c r="AL54" s="0">
        <ns0:f>AH54+AI54</ns0:f>
        <ns0:v>0</ns0:v>
      </ns0:c>
      <ns0:c r="AM54" s="0" t="str">
        <ns0:f>IF(X54=0,"",IF(AA54&gt;0,"CHECK team setup",IF(AB54&gt;0,"CHECK "&amp;AB54&amp;" booking(s)","OK")))</ns0:f>
        <ns0:v/>
      </ns0:c>
      <ns0:c r="AN54" s="0" t="str">
        <ns0:f>IF(X54=0,"",IF(OR($B$6&gt;0,AM54&lt;&gt;"OK"),"REVIEW",AG54-AL54))</ns0:f>
        <ns0:v/>
      </ns0:c>
      <ns0:c r="AO54" s="0">
        <ns0:f>IFERROR(MATCH(ROW()-11,$AC$11:$AC$60,0),0)</ns0:f>
        <ns0:v>0</ns0:v>
      </ns0:c>
      <ns0:c r="AP54" s="0" t="str">
        <ns0:f>IF(Team!H54="Work","W","O")&amp;IF(Team!I54="Work","W","O")&amp;IF(Team!J54="Work","W","O")&amp;IF(Team!K54="Work","W","O")&amp;IF(Team!L54="Work","W","O")&amp;IF(Team!M54="Work","W","O")&amp;IF(Team!N54="Work","W","O")</ns0:f>
        <ns0:v>WWWWWOO</ns0:v>
      </ns0:c>
      <ns0:c r="AR54" s="0">
        <ns0:f>IFERROR(IF(ISNUMBER(Settings!F54),WEEKDAY(Settings!F54,2),0),0)</ns0:f>
        <ns0:v>0</ns0:v>
      </ns0:c>
      <ns0:c r="BC54" s="0">
        <ns0:f>IF(OR($AO54=0,$B$5&lt;&gt;"OK",$B$6&gt;0,Calendar!D$11=""),0,SUMIFS(rngEngine_U,rngEngine_B,INDEX(Team!$A$11:$A$60,$AO54),rngAMStart,"&lt;="&amp;Calendar!D$11,rngAMEnd,"&gt;="&amp;Calendar!D$11))</ns0:f>
        <ns0:v>0</ns0:v>
      </ns0:c>
      <ns0:c r="BD54" s="0">
        <ns0:f>IF(OR($AO54=0,$B$5&lt;&gt;"OK",$B$6&gt;0,Calendar!D$11=""),0,SUMIFS(rngEngine_V,rngEngine_B,INDEX(Team!$A$11:$A$60,$AO54),rngPMStart,"&lt;="&amp;Calendar!D$11,rngPMEnd,"&gt;="&amp;Calendar!D$11))</ns0:f>
        <ns0:v>0</ns0:v>
      </ns0:c>
      <ns0:c r="BE54" s="0">
        <ns0:f>IF(OR($AO54=0,$B$5&lt;&gt;"OK",$B$6&gt;0,Calendar!E$11=""),0,SUMIFS(rngEngine_U,rngEngine_B,INDEX(Team!$A$11:$A$60,$AO54),rngAMStart,"&lt;="&amp;Calendar!E$11,rngAMEnd,"&gt;="&amp;Calendar!E$11))</ns0:f>
        <ns0:v>0</ns0:v>
      </ns0:c>
      <ns0:c r="BF54" s="0">
        <ns0:f>IF(OR($AO54=0,$B$5&lt;&gt;"OK",$B$6&gt;0,Calendar!E$11=""),0,SUMIFS(rngEngine_V,rngEngine_B,INDEX(Team!$A$11:$A$60,$AO54),rngPMStart,"&lt;="&amp;Calendar!E$11,rngPMEnd,"&gt;="&amp;Calendar!E$11))</ns0:f>
        <ns0:v>0</ns0:v>
      </ns0:c>
      <ns0:c r="BG54" s="0">
        <ns0:f>IF(OR($AO54=0,$B$5&lt;&gt;"OK",$B$6&gt;0,Calendar!F$11=""),0,SUMIFS(rngEngine_U,rngEngine_B,INDEX(Team!$A$11:$A$60,$AO54),rngAMStart,"&lt;="&amp;Calendar!F$11,rngAMEnd,"&gt;="&amp;Calendar!F$11))</ns0:f>
        <ns0:v>0</ns0:v>
      </ns0:c>
      <ns0:c r="BH54" s="0">
        <ns0:f>IF(OR($AO54=0,$B$5&lt;&gt;"OK",$B$6&gt;0,Calendar!F$11=""),0,SUMIFS(rngEngine_V,rngEngine_B,INDEX(Team!$A$11:$A$60,$AO54),rngPMStart,"&lt;="&amp;Calendar!F$11,rngPMEnd,"&gt;="&amp;Calendar!F$11))</ns0:f>
        <ns0:v>0</ns0:v>
      </ns0:c>
      <ns0:c r="BI54" s="0">
        <ns0:f>IF(OR($AO54=0,$B$5&lt;&gt;"OK",$B$6&gt;0,Calendar!G$11=""),0,SUMIFS(rngEngine_U,rngEngine_B,INDEX(Team!$A$11:$A$60,$AO54),rngAMStart,"&lt;="&amp;Calendar!G$11,rngAMEnd,"&gt;="&amp;Calendar!G$11))</ns0:f>
        <ns0:v>0</ns0:v>
      </ns0:c>
      <ns0:c r="BJ54" s="0">
        <ns0:f>IF(OR($AO54=0,$B$5&lt;&gt;"OK",$B$6&gt;0,Calendar!G$11=""),0,SUMIFS(rngEngine_V,rngEngine_B,INDEX(Team!$A$11:$A$60,$AO54),rngPMStart,"&lt;="&amp;Calendar!G$11,rngPMEnd,"&gt;="&amp;Calendar!G$11))</ns0:f>
        <ns0:v>0</ns0:v>
      </ns0:c>
      <ns0:c r="BK54" s="0">
        <ns0:f>IF(OR($AO54=0,$B$5&lt;&gt;"OK",$B$6&gt;0,Calendar!H$11=""),0,SUMIFS(rngEngine_U,rngEngine_B,INDEX(Team!$A$11:$A$60,$AO54),rngAMStart,"&lt;="&amp;Calendar!H$11,rngAMEnd,"&gt;="&amp;Calendar!H$11))</ns0:f>
        <ns0:v>0</ns0:v>
      </ns0:c>
      <ns0:c r="BL54" s="0">
        <ns0:f>IF(OR($AO54=0,$B$5&lt;&gt;"OK",$B$6&gt;0,Calendar!H$11=""),0,SUMIFS(rngEngine_V,rngEngine_B,INDEX(Team!$A$11:$A$60,$AO54),rngPMStart,"&lt;="&amp;Calendar!H$11,rngPMEnd,"&gt;="&amp;Calendar!H$11))</ns0:f>
        <ns0:v>0</ns0:v>
      </ns0:c>
      <ns0:c r="BM54" s="0">
        <ns0:f>IF(OR($AO54=0,$B$5&lt;&gt;"OK",$B$6&gt;0,Calendar!I$11=""),0,SUMIFS(rngEngine_U,rngEngine_B,INDEX(Team!$A$11:$A$60,$AO54),rngAMStart,"&lt;="&amp;Calendar!I$11,rngAMEnd,"&gt;="&amp;Calendar!I$11))</ns0:f>
        <ns0:v>0</ns0:v>
      </ns0:c>
      <ns0:c r="BN54" s="0">
        <ns0:f>IF(OR($AO54=0,$B$5&lt;&gt;"OK",$B$6&gt;0,Calendar!I$11=""),0,SUMIFS(rngEngine_V,rngEngine_B,INDEX(Team!$A$11:$A$60,$AO54),rngPMStart,"&lt;="&amp;Calendar!I$11,rngPMEnd,"&gt;="&amp;Calendar!I$11))</ns0:f>
        <ns0:v>0</ns0:v>
      </ns0:c>
      <ns0:c r="BO54" s="0">
        <ns0:f>IF(OR($AO54=0,$B$5&lt;&gt;"OK",$B$6&gt;0,Calendar!J$11=""),0,SUMIFS(rngEngine_U,rngEngine_B,INDEX(Team!$A$11:$A$60,$AO54),rngAMStart,"&lt;="&amp;Calendar!J$11,rngAMEnd,"&gt;="&amp;Calendar!J$11))</ns0:f>
        <ns0:v>0</ns0:v>
      </ns0:c>
      <ns0:c r="BP54" s="0">
        <ns0:f>IF(OR($AO54=0,$B$5&lt;&gt;"OK",$B$6&gt;0,Calendar!J$11=""),0,SUMIFS(rngEngine_V,rngEngine_B,INDEX(Team!$A$11:$A$60,$AO54),rngPMStart,"&lt;="&amp;Calendar!J$11,rngPMEnd,"&gt;="&amp;Calendar!J$11))</ns0:f>
        <ns0:v>0</ns0:v>
      </ns0:c>
      <ns0:c r="BQ54" s="0">
        <ns0:f>IF(OR($AO54=0,$B$5&lt;&gt;"OK",$B$6&gt;0,Calendar!K$11=""),0,SUMIFS(rngEngine_U,rngEngine_B,INDEX(Team!$A$11:$A$60,$AO54),rngAMStart,"&lt;="&amp;Calendar!K$11,rngAMEnd,"&gt;="&amp;Calendar!K$11))</ns0:f>
        <ns0:v>0</ns0:v>
      </ns0:c>
      <ns0:c r="BR54" s="0">
        <ns0:f>IF(OR($AO54=0,$B$5&lt;&gt;"OK",$B$6&gt;0,Calendar!K$11=""),0,SUMIFS(rngEngine_V,rngEngine_B,INDEX(Team!$A$11:$A$60,$AO54),rngPMStart,"&lt;="&amp;Calendar!K$11,rngPMEnd,"&gt;="&amp;Calendar!K$11))</ns0:f>
        <ns0:v>0</ns0:v>
      </ns0:c>
      <ns0:c r="BS54" s="0">
        <ns0:f>IF(OR($AO54=0,$B$5&lt;&gt;"OK",$B$6&gt;0,Calendar!L$11=""),0,SUMIFS(rngEngine_U,rngEngine_B,INDEX(Team!$A$11:$A$60,$AO54),rngAMStart,"&lt;="&amp;Calendar!L$11,rngAMEnd,"&gt;="&amp;Calendar!L$11))</ns0:f>
        <ns0:v>0</ns0:v>
      </ns0:c>
      <ns0:c r="BT54" s="0">
        <ns0:f>IF(OR($AO54=0,$B$5&lt;&gt;"OK",$B$6&gt;0,Calendar!L$11=""),0,SUMIFS(rngEngine_V,rngEngine_B,INDEX(Team!$A$11:$A$60,$AO54),rngPMStart,"&lt;="&amp;Calendar!L$11,rngPMEnd,"&gt;="&amp;Calendar!L$11))</ns0:f>
        <ns0:v>0</ns0:v>
      </ns0:c>
      <ns0:c r="BU54" s="0">
        <ns0:f>IF(OR($AO54=0,$B$5&lt;&gt;"OK",$B$6&gt;0,Calendar!M$11=""),0,SUMIFS(rngEngine_U,rngEngine_B,INDEX(Team!$A$11:$A$60,$AO54),rngAMStart,"&lt;="&amp;Calendar!M$11,rngAMEnd,"&gt;="&amp;Calendar!M$11))</ns0:f>
        <ns0:v>0</ns0:v>
      </ns0:c>
      <ns0:c r="BV54" s="0">
        <ns0:f>IF(OR($AO54=0,$B$5&lt;&gt;"OK",$B$6&gt;0,Calendar!M$11=""),0,SUMIFS(rngEngine_V,rngEngine_B,INDEX(Team!$A$11:$A$60,$AO54),rngPMStart,"&lt;="&amp;Calendar!M$11,rngPMEnd,"&gt;="&amp;Calendar!M$11))</ns0:f>
        <ns0:v>0</ns0:v>
      </ns0:c>
      <ns0:c r="BW54" s="0">
        <ns0:f>IF(OR($AO54=0,$B$5&lt;&gt;"OK",$B$6&gt;0,Calendar!N$11=""),0,SUMIFS(rngEngine_U,rngEngine_B,INDEX(Team!$A$11:$A$60,$AO54),rngAMStart,"&lt;="&amp;Calendar!N$11,rngAMEnd,"&gt;="&amp;Calendar!N$11))</ns0:f>
        <ns0:v>0</ns0:v>
      </ns0:c>
      <ns0:c r="BX54" s="0">
        <ns0:f>IF(OR($AO54=0,$B$5&lt;&gt;"OK",$B$6&gt;0,Calendar!N$11=""),0,SUMIFS(rngEngine_V,rngEngine_B,INDEX(Team!$A$11:$A$60,$AO54),rngPMStart,"&lt;="&amp;Calendar!N$11,rngPMEnd,"&gt;="&amp;Calendar!N$11))</ns0:f>
        <ns0:v>0</ns0:v>
      </ns0:c>
      <ns0:c r="BY54" s="0">
        <ns0:f>IF(OR($AO54=0,$B$5&lt;&gt;"OK",$B$6&gt;0,Calendar!O$11=""),0,SUMIFS(rngEngine_U,rngEngine_B,INDEX(Team!$A$11:$A$60,$AO54),rngAMStart,"&lt;="&amp;Calendar!O$11,rngAMEnd,"&gt;="&amp;Calendar!O$11))</ns0:f>
        <ns0:v>0</ns0:v>
      </ns0:c>
      <ns0:c r="BZ54" s="0">
        <ns0:f>IF(OR($AO54=0,$B$5&lt;&gt;"OK",$B$6&gt;0,Calendar!O$11=""),0,SUMIFS(rngEngine_V,rngEngine_B,INDEX(Team!$A$11:$A$60,$AO54),rngPMStart,"&lt;="&amp;Calendar!O$11,rngPMEnd,"&gt;="&amp;Calendar!O$11))</ns0:f>
        <ns0:v>0</ns0:v>
      </ns0:c>
      <ns0:c r="CA54" s="0">
        <ns0:f>IF(OR($AO54=0,$B$5&lt;&gt;"OK",$B$6&gt;0,Calendar!P$11=""),0,SUMIFS(rngEngine_U,rngEngine_B,INDEX(Team!$A$11:$A$60,$AO54),rngAMStart,"&lt;="&amp;Calendar!P$11,rngAMEnd,"&gt;="&amp;Calendar!P$11))</ns0:f>
        <ns0:v>0</ns0:v>
      </ns0:c>
      <ns0:c r="CB54" s="0">
        <ns0:f>IF(OR($AO54=0,$B$5&lt;&gt;"OK",$B$6&gt;0,Calendar!P$11=""),0,SUMIFS(rngEngine_V,rngEngine_B,INDEX(Team!$A$11:$A$60,$AO54),rngPMStart,"&lt;="&amp;Calendar!P$11,rngPMEnd,"&gt;="&amp;Calendar!P$11))</ns0:f>
        <ns0:v>0</ns0:v>
      </ns0:c>
      <ns0:c r="CC54" s="0">
        <ns0:f>IF(OR($AO54=0,$B$5&lt;&gt;"OK",$B$6&gt;0,Calendar!Q$11=""),0,SUMIFS(rngEngine_U,rngEngine_B,INDEX(Team!$A$11:$A$60,$AO54),rngAMStart,"&lt;="&amp;Calendar!Q$11,rngAMEnd,"&gt;="&amp;Calendar!Q$11))</ns0:f>
        <ns0:v>0</ns0:v>
      </ns0:c>
      <ns0:c r="CD54" s="0">
        <ns0:f>IF(OR($AO54=0,$B$5&lt;&gt;"OK",$B$6&gt;0,Calendar!Q$11=""),0,SUMIFS(rngEngine_V,rngEngine_B,INDEX(Team!$A$11:$A$60,$AO54),rngPMStart,"&lt;="&amp;Calendar!Q$11,rngPMEnd,"&gt;="&amp;Calendar!Q$11))</ns0:f>
        <ns0:v>0</ns0:v>
      </ns0:c>
      <ns0:c r="CE54" s="0">
        <ns0:f>IF(OR($AO54=0,$B$5&lt;&gt;"OK",$B$6&gt;0,Calendar!R$11=""),0,SUMIFS(rngEngine_U,rngEngine_B,INDEX(Team!$A$11:$A$60,$AO54),rngAMStart,"&lt;="&amp;Calendar!R$11,rngAMEnd,"&gt;="&amp;Calendar!R$11))</ns0:f>
        <ns0:v>0</ns0:v>
      </ns0:c>
      <ns0:c r="CF54" s="0">
        <ns0:f>IF(OR($AO54=0,$B$5&lt;&gt;"OK",$B$6&gt;0,Calendar!R$11=""),0,SUMIFS(rngEngine_V,rngEngine_B,INDEX(Team!$A$11:$A$60,$AO54),rngPMStart,"&lt;="&amp;Calendar!R$11,rngPMEnd,"&gt;="&amp;Calendar!R$11))</ns0:f>
        <ns0:v>0</ns0:v>
      </ns0:c>
      <ns0:c r="CG54" s="0">
        <ns0:f>IF(OR($AO54=0,$B$5&lt;&gt;"OK",$B$6&gt;0,Calendar!S$11=""),0,SUMIFS(rngEngine_U,rngEngine_B,INDEX(Team!$A$11:$A$60,$AO54),rngAMStart,"&lt;="&amp;Calendar!S$11,rngAMEnd,"&gt;="&amp;Calendar!S$11))</ns0:f>
        <ns0:v>0</ns0:v>
      </ns0:c>
      <ns0:c r="CH54" s="0">
        <ns0:f>IF(OR($AO54=0,$B$5&lt;&gt;"OK",$B$6&gt;0,Calendar!S$11=""),0,SUMIFS(rngEngine_V,rngEngine_B,INDEX(Team!$A$11:$A$60,$AO54),rngPMStart,"&lt;="&amp;Calendar!S$11,rngPMEnd,"&gt;="&amp;Calendar!S$11))</ns0:f>
        <ns0:v>0</ns0:v>
      </ns0:c>
      <ns0:c r="CI54" s="0">
        <ns0:f>IF(OR($AO54=0,$B$5&lt;&gt;"OK",$B$6&gt;0,Calendar!T$11=""),0,SUMIFS(rngEngine_U,rngEngine_B,INDEX(Team!$A$11:$A$60,$AO54),rngAMStart,"&lt;="&amp;Calendar!T$11,rngAMEnd,"&gt;="&amp;Calendar!T$11))</ns0:f>
        <ns0:v>0</ns0:v>
      </ns0:c>
      <ns0:c r="CJ54" s="0">
        <ns0:f>IF(OR($AO54=0,$B$5&lt;&gt;"OK",$B$6&gt;0,Calendar!T$11=""),0,SUMIFS(rngEngine_V,rngEngine_B,INDEX(Team!$A$11:$A$60,$AO54),rngPMStart,"&lt;="&amp;Calendar!T$11,rngPMEnd,"&gt;="&amp;Calendar!T$11))</ns0:f>
        <ns0:v>0</ns0:v>
      </ns0:c>
      <ns0:c r="CK54" s="0">
        <ns0:f>IF(OR($AO54=0,$B$5&lt;&gt;"OK",$B$6&gt;0,Calendar!U$11=""),0,SUMIFS(rngEngine_U,rngEngine_B,INDEX(Team!$A$11:$A$60,$AO54),rngAMStart,"&lt;="&amp;Calendar!U$11,rngAMEnd,"&gt;="&amp;Calendar!U$11))</ns0:f>
        <ns0:v>0</ns0:v>
      </ns0:c>
      <ns0:c r="CL54" s="0">
        <ns0:f>IF(OR($AO54=0,$B$5&lt;&gt;"OK",$B$6&gt;0,Calendar!U$11=""),0,SUMIFS(rngEngine_V,rngEngine_B,INDEX(Team!$A$11:$A$60,$AO54),rngPMStart,"&lt;="&amp;Calendar!U$11,rngPMEnd,"&gt;="&amp;Calendar!U$11))</ns0:f>
        <ns0:v>0</ns0:v>
      </ns0:c>
      <ns0:c r="CM54" s="0">
        <ns0:f>IF(OR($AO54=0,$B$5&lt;&gt;"OK",$B$6&gt;0,Calendar!V$11=""),0,SUMIFS(rngEngine_U,rngEngine_B,INDEX(Team!$A$11:$A$60,$AO54),rngAMStart,"&lt;="&amp;Calendar!V$11,rngAMEnd,"&gt;="&amp;Calendar!V$11))</ns0:f>
        <ns0:v>0</ns0:v>
      </ns0:c>
      <ns0:c r="CN54" s="0">
        <ns0:f>IF(OR($AO54=0,$B$5&lt;&gt;"OK",$B$6&gt;0,Calendar!V$11=""),0,SUMIFS(rngEngine_V,rngEngine_B,INDEX(Team!$A$11:$A$60,$AO54),rngPMStart,"&lt;="&amp;Calendar!V$11,rngPMEnd,"&gt;="&amp;Calendar!V$11))</ns0:f>
        <ns0:v>0</ns0:v>
      </ns0:c>
      <ns0:c r="CO54" s="0">
        <ns0:f>IF(OR($AO54=0,$B$5&lt;&gt;"OK",$B$6&gt;0,Calendar!W$11=""),0,SUMIFS(rngEngine_U,rngEngine_B,INDEX(Team!$A$11:$A$60,$AO54),rngAMStart,"&lt;="&amp;Calendar!W$11,rngAMEnd,"&gt;="&amp;Calendar!W$11))</ns0:f>
        <ns0:v>0</ns0:v>
      </ns0:c>
      <ns0:c r="CP54" s="0">
        <ns0:f>IF(OR($AO54=0,$B$5&lt;&gt;"OK",$B$6&gt;0,Calendar!W$11=""),0,SUMIFS(rngEngine_V,rngEngine_B,INDEX(Team!$A$11:$A$60,$AO54),rngPMStart,"&lt;="&amp;Calendar!W$11,rngPMEnd,"&gt;="&amp;Calendar!W$11))</ns0:f>
        <ns0:v>0</ns0:v>
      </ns0:c>
      <ns0:c r="CQ54" s="0">
        <ns0:f>IF(OR($AO54=0,$B$5&lt;&gt;"OK",$B$6&gt;0,Calendar!X$11=""),0,SUMIFS(rngEngine_U,rngEngine_B,INDEX(Team!$A$11:$A$60,$AO54),rngAMStart,"&lt;="&amp;Calendar!X$11,rngAMEnd,"&gt;="&amp;Calendar!X$11))</ns0:f>
        <ns0:v>0</ns0:v>
      </ns0:c>
      <ns0:c r="CR54" s="0">
        <ns0:f>IF(OR($AO54=0,$B$5&lt;&gt;"OK",$B$6&gt;0,Calendar!X$11=""),0,SUMIFS(rngEngine_V,rngEngine_B,INDEX(Team!$A$11:$A$60,$AO54),rngPMStart,"&lt;="&amp;Calendar!X$11,rngPMEnd,"&gt;="&amp;Calendar!X$11))</ns0:f>
        <ns0:v>0</ns0:v>
      </ns0:c>
      <ns0:c r="CS54" s="0">
        <ns0:f>IF(OR($AO54=0,$B$5&lt;&gt;"OK",$B$6&gt;0,Calendar!Y$11=""),0,SUMIFS(rngEngine_U,rngEngine_B,INDEX(Team!$A$11:$A$60,$AO54),rngAMStart,"&lt;="&amp;Calendar!Y$11,rngAMEnd,"&gt;="&amp;Calendar!Y$11))</ns0:f>
        <ns0:v>0</ns0:v>
      </ns0:c>
      <ns0:c r="CT54" s="0">
        <ns0:f>IF(OR($AO54=0,$B$5&lt;&gt;"OK",$B$6&gt;0,Calendar!Y$11=""),0,SUMIFS(rngEngine_V,rngEngine_B,INDEX(Team!$A$11:$A$60,$AO54),rngPMStart,"&lt;="&amp;Calendar!Y$11,rngPMEnd,"&gt;="&amp;Calendar!Y$11))</ns0:f>
        <ns0:v>0</ns0:v>
      </ns0:c>
      <ns0:c r="CU54" s="0">
        <ns0:f>IF(OR($AO54=0,$B$5&lt;&gt;"OK",$B$6&gt;0,Calendar!Z$11=""),0,SUMIFS(rngEngine_U,rngEngine_B,INDEX(Team!$A$11:$A$60,$AO54),rngAMStart,"&lt;="&amp;Calendar!Z$11,rngAMEnd,"&gt;="&amp;Calendar!Z$11))</ns0:f>
        <ns0:v>0</ns0:v>
      </ns0:c>
      <ns0:c r="CV54" s="0">
        <ns0:f>IF(OR($AO54=0,$B$5&lt;&gt;"OK",$B$6&gt;0,Calendar!Z$11=""),0,SUMIFS(rngEngine_V,rngEngine_B,INDEX(Team!$A$11:$A$60,$AO54),rngPMStart,"&lt;="&amp;Calendar!Z$11,rngPMEnd,"&gt;="&amp;Calendar!Z$11))</ns0:f>
        <ns0:v>0</ns0:v>
      </ns0:c>
      <ns0:c r="CW54" s="0">
        <ns0:f>IF(OR($AO54=0,$B$5&lt;&gt;"OK",$B$6&gt;0,Calendar!AA$11=""),0,SUMIFS(rngEngine_U,rngEngine_B,INDEX(Team!$A$11:$A$60,$AO54),rngAMStart,"&lt;="&amp;Calendar!AA$11,rngAMEnd,"&gt;="&amp;Calendar!AA$11))</ns0:f>
        <ns0:v>0</ns0:v>
      </ns0:c>
      <ns0:c r="CX54" s="0">
        <ns0:f>IF(OR($AO54=0,$B$5&lt;&gt;"OK",$B$6&gt;0,Calendar!AA$11=""),0,SUMIFS(rngEngine_V,rngEngine_B,INDEX(Team!$A$11:$A$60,$AO54),rngPMStart,"&lt;="&amp;Calendar!AA$11,rngPMEnd,"&gt;="&amp;Calendar!AA$11))</ns0:f>
        <ns0:v>0</ns0:v>
      </ns0:c>
      <ns0:c r="CY54" s="0">
        <ns0:f>IF(OR($AO54=0,$B$5&lt;&gt;"OK",$B$6&gt;0,Calendar!AB$11=""),0,SUMIFS(rngEngine_U,rngEngine_B,INDEX(Team!$A$11:$A$60,$AO54),rngAMStart,"&lt;="&amp;Calendar!AB$11,rngAMEnd,"&gt;="&amp;Calendar!AB$11))</ns0:f>
        <ns0:v>0</ns0:v>
      </ns0:c>
      <ns0:c r="CZ54" s="0">
        <ns0:f>IF(OR($AO54=0,$B$5&lt;&gt;"OK",$B$6&gt;0,Calendar!AB$11=""),0,SUMIFS(rngEngine_V,rngEngine_B,INDEX(Team!$A$11:$A$60,$AO54),rngPMStart,"&lt;="&amp;Calendar!AB$11,rngPMEnd,"&gt;="&amp;Calendar!AB$11))</ns0:f>
        <ns0:v>0</ns0:v>
      </ns0:c>
      <ns0:c r="DA54" s="0">
        <ns0:f>IF(OR($AO54=0,$B$5&lt;&gt;"OK",$B$6&gt;0,Calendar!AC$11=""),0,SUMIFS(rngEngine_U,rngEngine_B,INDEX(Team!$A$11:$A$60,$AO54),rngAMStart,"&lt;="&amp;Calendar!AC$11,rngAMEnd,"&gt;="&amp;Calendar!AC$11))</ns0:f>
        <ns0:v>0</ns0:v>
      </ns0:c>
      <ns0:c r="DB54" s="0">
        <ns0:f>IF(OR($AO54=0,$B$5&lt;&gt;"OK",$B$6&gt;0,Calendar!AC$11=""),0,SUMIFS(rngEngine_V,rngEngine_B,INDEX(Team!$A$11:$A$60,$AO54),rngPMStart,"&lt;="&amp;Calendar!AC$11,rngPMEnd,"&gt;="&amp;Calendar!AC$11))</ns0:f>
        <ns0:v>0</ns0:v>
      </ns0:c>
      <ns0:c r="DC54" s="0">
        <ns0:f>IF(OR($AO54=0,$B$5&lt;&gt;"OK",$B$6&gt;0,Calendar!AD$11=""),0,SUMIFS(rngEngine_U,rngEngine_B,INDEX(Team!$A$11:$A$60,$AO54),rngAMStart,"&lt;="&amp;Calendar!AD$11,rngAMEnd,"&gt;="&amp;Calendar!AD$11))</ns0:f>
        <ns0:v>0</ns0:v>
      </ns0:c>
      <ns0:c r="DD54" s="0">
        <ns0:f>IF(OR($AO54=0,$B$5&lt;&gt;"OK",$B$6&gt;0,Calendar!AD$11=""),0,SUMIFS(rngEngine_V,rngEngine_B,INDEX(Team!$A$11:$A$60,$AO54),rngPMStart,"&lt;="&amp;Calendar!AD$11,rngPMEnd,"&gt;="&amp;Calendar!AD$11))</ns0:f>
        <ns0:v>0</ns0:v>
      </ns0:c>
      <ns0:c r="DE54" s="0">
        <ns0:f>IF(OR($AO54=0,$B$5&lt;&gt;"OK",$B$6&gt;0,Calendar!AE$11=""),0,SUMIFS(rngEngine_U,rngEngine_B,INDEX(Team!$A$11:$A$60,$AO54),rngAMStart,"&lt;="&amp;Calendar!AE$11,rngAMEnd,"&gt;="&amp;Calendar!AE$11))</ns0:f>
        <ns0:v>0</ns0:v>
      </ns0:c>
      <ns0:c r="DF54" s="0">
        <ns0:f>IF(OR($AO54=0,$B$5&lt;&gt;"OK",$B$6&gt;0,Calendar!AE$11=""),0,SUMIFS(rngEngine_V,rngEngine_B,INDEX(Team!$A$11:$A$60,$AO54),rngPMStart,"&lt;="&amp;Calendar!AE$11,rngPMEnd,"&gt;="&amp;Calendar!AE$11))</ns0:f>
        <ns0:v>0</ns0:v>
      </ns0:c>
      <ns0:c r="DG54" s="0">
        <ns0:f>IF(OR($AO54=0,$B$5&lt;&gt;"OK",$B$6&gt;0,Calendar!AF$11=""),0,SUMIFS(rngEngine_U,rngEngine_B,INDEX(Team!$A$11:$A$60,$AO54),rngAMStart,"&lt;="&amp;Calendar!AF$11,rngAMEnd,"&gt;="&amp;Calendar!AF$11))</ns0:f>
        <ns0:v>0</ns0:v>
      </ns0:c>
      <ns0:c r="DH54" s="0">
        <ns0:f>IF(OR($AO54=0,$B$5&lt;&gt;"OK",$B$6&gt;0,Calendar!AF$11=""),0,SUMIFS(rngEngine_V,rngEngine_B,INDEX(Team!$A$11:$A$60,$AO54),rngPMStart,"&lt;="&amp;Calendar!AF$11,rngPMEnd,"&gt;="&amp;Calendar!AF$11))</ns0:f>
        <ns0:v>0</ns0:v>
      </ns0:c>
      <ns0:c r="DI54" s="0">
        <ns0:f>IF(OR($AO54=0,$B$5&lt;&gt;"OK",$B$6&gt;0,Calendar!AG$11=""),0,SUMIFS(rngEngine_U,rngEngine_B,INDEX(Team!$A$11:$A$60,$AO54),rngAMStart,"&lt;="&amp;Calendar!AG$11,rngAMEnd,"&gt;="&amp;Calendar!AG$11))</ns0:f>
        <ns0:v>0</ns0:v>
      </ns0:c>
      <ns0:c r="DJ54" s="0">
        <ns0:f>IF(OR($AO54=0,$B$5&lt;&gt;"OK",$B$6&gt;0,Calendar!AG$11=""),0,SUMIFS(rngEngine_V,rngEngine_B,INDEX(Team!$A$11:$A$60,$AO54),rngPMStart,"&lt;="&amp;Calendar!AG$11,rngPMEnd,"&gt;="&amp;Calendar!AG$11))</ns0:f>
        <ns0:v>0</ns0:v>
      </ns0:c>
      <ns0:c r="DK54" s="0">
        <ns0:f>IF(OR($AO54=0,$B$5&lt;&gt;"OK",$B$6&gt;0,Calendar!AH$11=""),0,SUMIFS(rngEngine_U,rngEngine_B,INDEX(Team!$A$11:$A$60,$AO54),rngAMStart,"&lt;="&amp;Calendar!AH$11,rngAMEnd,"&gt;="&amp;Calendar!AH$11))</ns0:f>
        <ns0:v>0</ns0:v>
      </ns0:c>
      <ns0:c r="DL54" s="0">
        <ns0:f>IF(OR($AO54=0,$B$5&lt;&gt;"OK",$B$6&gt;0,Calendar!AH$11=""),0,SUMIFS(rngEngine_V,rngEngine_B,INDEX(Team!$A$11:$A$60,$AO54),rngPMStart,"&lt;="&amp;Calendar!AH$11,rngPMEnd,"&gt;="&amp;Calendar!AH$11))</ns0:f>
        <ns0:v>0</ns0:v>
      </ns0:c>
    </ns0:row>
    <ns0:row r="55" ht="22" customHeight="1">
      <ns0:c r="A55" s="4">
        <ns0:f>IF(COUNTA(Bookings!A55:G55,Bookings!I55)=0,0,1)</ns0:f>
        <ns0:v>0</ns0:v>
      </ns0:c>
      <ns0:c r="B55" s="4" t="str">
        <ns0:f>IFERROR(TRIM(MID(Bookings!A55,FIND(" · ",Bookings!A55)+3,99)),"")</ns0:f>
        <ns0:v/>
      </ns0:c>
      <ns0:c r="C55" s="4">
        <ns0:f>IF(OR(B55="",LEN(B55)&gt;24,ISNUMBER(FIND(" ",B55)),ISNUMBER(FIND("*",B55)),ISNUMBER(FIND("?",B55)),ISNUMBER(FIND("~",B55))),0,IFERROR(MATCH(B55,Team!$A$11:$A$60,0),0))</ns0:f>
        <ns0:v>0</ns0:v>
      </ns0:c>
      <ns0:c r="D55" s="4" t="str">
        <ns0:f>IFERROR(IF(MID(Bookings!F55,LEN(Bookings!F55)-3,3)=" · ",RIGHT(Bookings!F55,1),""),"")</ns0:f>
        <ns0:v/>
      </ns0:c>
      <ns0:c r="E55" s="4" t="str">
        <ns0:f>IFERROR(INDEX(Settings!$H$7:$H$11,MATCH(D55,Settings!$G$7:$G$11,0)),"")</ns0:f>
        <ns0:v/>
      </ns0:c>
      <ns0:c r="F55" s="4" t="str">
        <ns0:f>IF(A55=0,"",IFERROR(IF(OR(B55="",C55=0),"CHECK employee selection",IF(INDEX(Team!$O$11:$O$60,C55)&lt;&gt;"OK","CHECK employee setup",IF(OR('_Dates'!J55=0,'_Dates'!T55=0),"CHECK date: use DD.MM.YYYY",IF('_Dates'!T55&lt;'_Dates'!J55,"CHECK end before start",IF(AND($B$6=0,OR('_Dates'!J55&lt;Settings!$B$7,'_Dates'!T55&gt;Settings!$B$8)),"CHECK split across leave years",IF(OR(NOT(OR('_Dates'!U55="Full day",'_Dates'!U55="AM",'_Dates'!U55="PM")),NOT(OR('_Dates'!V55="Full day",'_Dates'!V55="AM",'_Dates'!V55="PM"))),"CHECK Full day / AM / PM",IF(AND('_Dates'!J55='_Dates'!T55,'_Dates'!U55&lt;&gt;"Full day",'_Dates'!V55&lt;&gt;"Full day",'_Dates'!U55&lt;&gt;'_Dates'!V55),"CHECK same-day portions disagree",IF(AND($B$6=0,OR(AND('_Dates'!U55&lt;&gt;"Full day",'_Dates'!AA55=0),AND('_Dates'!V55&lt;&gt;"Full day",'_Dates'!AB55=0))),"CHECK half-day on non-working date",IF(COUNTIF(Settings!$G$7:$G$11,D55)&lt;&gt;1,"CHECK leave type",IF(AND(Bookings!G55&lt;&gt;"Approved",Bookings!G55&lt;&gt;"Pending",Bookings!G55&lt;&gt;"Cancelled"),"CHECK status","OK")))))))))),"CHECK input"))</ns0:f>
        <ns0:v/>
      </ns0:c>
      <ns0:c r="G55" s="4">
        <ns0:f>IF(OR(F55&lt;&gt;"OK",$B$6&gt;0),0,0.5*(IF(('_Dates'!X55)&lt;('_Dates'!W55),0,INT((('_Dates'!X55)-('_Dates'!W55)+1)/7)*LEN(SUBSTITUTE(W55,"O",""))+LEN(SUBSTITUTE(MID(W55&amp;W55,WEEKDAY(('_Dates'!W55),2),MOD((('_Dates'!X55)-('_Dates'!W55)+1),7)),"O",""))-COUNTIFS(INDEX(AllClosureRows,C55,0),"&gt;="&amp;('_Dates'!W55),INDEX(AllClosureRows,C55,0),"&lt;="&amp;('_Dates'!X55)))+IF(('_Dates'!Z55)&lt;('_Dates'!Y55),0,INT((('_Dates'!Z55)-('_Dates'!Y55)+1)/7)*LEN(SUBSTITUTE(W55,"O",""))+LEN(SUBSTITUTE(MID(W55&amp;W55,WEEKDAY(('_Dates'!Y55),2),MOD((('_Dates'!Z55)-('_Dates'!Y55)+1),7)),"O",""))-COUNTIFS(INDEX(AllClosureRows,C55,0),"&gt;="&amp;('_Dates'!Y55),INDEX(AllClosureRows,C55,0),"&lt;="&amp;('_Dates'!Z55)))))</ns0:f>
        <ns0:v>0</ns0:v>
      </ns0:c>
      <ns0:c r="H55" s="4">
        <ns0:f>IF(OR(F55&lt;&gt;"OK",$B$6&gt;0),0,0.5*(IF((MIN('_Dates'!X55,Settings!$B$9))&lt;('_Dates'!W55),0,INT(((MIN('_Dates'!X55,Settings!$B$9))-('_Dates'!W55)+1)/7)*LEN(SUBSTITUTE(W55,"O",""))+LEN(SUBSTITUTE(MID(W55&amp;W55,WEEKDAY(('_Dates'!W55),2),MOD(((MIN('_Dates'!X55,Settings!$B$9))-('_Dates'!W55)+1),7)),"O",""))-COUNTIFS(INDEX(AllClosureRows,C55,0),"&gt;="&amp;('_Dates'!W55),INDEX(AllClosureRows,C55,0),"&lt;="&amp;(MIN('_Dates'!X55,Settings!$B$9))))+IF((MIN('_Dates'!Z55,Settings!$B$9))&lt;('_Dates'!Y55),0,INT(((MIN('_Dates'!Z55,Settings!$B$9))-('_Dates'!Y55)+1)/7)*LEN(SUBSTITUTE(W55,"O",""))+LEN(SUBSTITUTE(MID(W55&amp;W55,WEEKDAY(('_Dates'!Y55),2),MOD(((MIN('_Dates'!Z55,Settings!$B$9))-('_Dates'!Y55)+1),7)),"O",""))-COUNTIFS(INDEX(AllClosureRows,C55,0),"&gt;="&amp;('_Dates'!Y55),INDEX(AllClosureRows,C55,0),"&lt;="&amp;(MIN('_Dates'!Z55,Settings!$B$9))))))</ns0:f>
        <ns0:v>0</ns0:v>
      </ns0:c>
      <ns0:c r="I55" s="4">
        <ns0:f>MAX(0,G55-H55)</ns0:f>
        <ns0:v>0</ns0:v>
      </ns0:c>
      <ns0:c r="J55" s="4">
        <ns0:f>IF(OR(A55=0,F55&lt;&gt;"OK",Bookings!G55="Cancelled",$B$6&gt;0),0,IF('_Dates'!AC55=1,MAX(0,COUNTIFS(rngEngine_B,B55,rngAMStart,"&lt;="&amp;'_Dates'!X55,rngAMEnd,"&gt;="&amp;'_Dates'!W55,rngAMActive,1,rngEngine_F,"OK",rngBookings_F,"&lt;&gt;Cancelled")-1),0)+IF('_Dates'!AD55=1,MAX(0,COUNTIFS(rngEngine_B,B55,rngPMStart,"&lt;="&amp;'_Dates'!Z55,rngPMEnd,"&gt;="&amp;'_Dates'!Y55,rngPMActive,1,rngEngine_F,"OK",rngBookings_F,"&lt;&gt;Cancelled")-1),0))</ns0:f>
        <ns0:v>0</ns0:v>
      </ns0:c>
      <ns0:c r="K55" s="0" t="str">
        <ns0:f>IF(A55=0,"",IF(F55&lt;&gt;"OK",F55,IF(J55&gt;0,"CHECK overlapping entry",IF(AND($B$6=0,G55&lt;=0,Bookings!G55&lt;&gt;"Cancelled"),"CHECK no working days",IF(Bookings!G55="Cancelled","Cancelled","OK")))))</ns0:f>
        <ns0:v/>
      </ns0:c>
      <ns0:c r="L55" s="0">
        <ns0:f>IF(LEFT(K55,5)="CHECK",1,0)</ns0:f>
        <ns0:v>0</ns0:v>
      </ns0:c>
      <ns0:c r="M55" s="0">
        <ns0:f>IF(AND(L55=1,OR(C55=0,IFERROR(INDEX($X$11:$X$60,C55),0)=0)),1,0)</ns0:f>
        <ns0:v>0</ns0:v>
      </ns0:c>
      <ns0:c r="N55" s="0">
        <ns0:f>IF(OR(A55=0,L55&gt;0,$B$6&gt;0,Bookings!G55="Cancelled"),0,G55)</ns0:f>
        <ns0:v>0</ns0:v>
      </ns0:c>
      <ns0:c r="O55" s="0">
        <ns0:f>IF(AND(Bookings!G55="Approved",E55="Yes"),N55,0)</ns0:f>
        <ns0:v>0</ns0:v>
      </ns0:c>
      <ns0:c r="P55" s="0">
        <ns0:f>IF(AND(Bookings!G55="Approved",E55="Yes",L55=0,$B$6=0),H55,0)</ns0:f>
        <ns0:v>0</ns0:v>
      </ns0:c>
      <ns0:c r="Q55" s="0">
        <ns0:f>IF(AND(Bookings!G55="Approved",E55="Yes",L55=0,$B$6=0),I55,0)</ns0:f>
        <ns0:v>0</ns0:v>
      </ns0:c>
      <ns0:c r="R55" s="0">
        <ns0:f>IF(AND(Bookings!G55="Pending",E55="Yes"),N55,0)</ns0:f>
        <ns0:v>0</ns0:v>
      </ns0:c>
      <ns0:c r="S55" s="0">
        <ns0:f>IF(AND(Bookings!G55="Approved",E55="No"),N55,0)</ns0:f>
        <ns0:v>0</ns0:v>
      </ns0:c>
      <ns0:c r="T55" s="0">
        <ns0:f>IFERROR(MATCH(D55,Settings!$G$7:$G$11,0),0)</ns0:f>
        <ns0:v>0</ns0:v>
      </ns0:c>
      <ns0:c r="U55" s="0">
        <ns0:f>IF(N55&gt;0,T55+IF(Bookings!G55="Pending",10,0),0)</ns0:f>
        <ns0:v>0</ns0:v>
      </ns0:c>
      <ns0:c r="V55" s="0">
        <ns0:f>U55</ns0:f>
        <ns0:v>0</ns0:v>
      </ns0:c>
      <ns0:c r="W55" s="0" t="str">
        <ns0:f>IF(C55=0,"",INDEX($AP$11:$AP$60,C55))</ns0:f>
        <ns0:v/>
      </ns0:c>
      <ns0:c r="X55" s="0">
        <ns0:f>IF(COUNTA(Team!B55:D55)=0,0,1)</ns0:f>
        <ns0:v>0</ns0:v>
      </ns0:c>
      <ns0:c r="Y55" s="0" t="str">
        <ns0:f>IF(X55=0,"",IF(Team!B55="","[Unnamed]",Team!B55)&amp;" · "&amp;Team!A55)</ns0:f>
        <ns0:v/>
      </ns0:c>
      <ns0:c r="Z55" s="0">
        <ns0:f>IF(X55=0,0,COUNTIF(Team!H55:N55,"Work"))</ns0:f>
        <ns0:v>0</ns0:v>
      </ns0:c>
      <ns0:c r="AA55" s="0">
        <ns0:f>IF(LEFT(Team!O55,5)="CHECK",1,0)</ns0:f>
        <ns0:v>0</ns0:v>
      </ns0:c>
      <ns0:c r="AB55" s="0">
        <ns0:f>IF(X55=0,0,SUMIFS(rngEngine_L,rngEngine_B,Team!A55))</ns0:f>
        <ns0:v>0</ns0:v>
      </ns0:c>
      <ns0:c r="AC55" s="0" t="str">
        <ns0:f>IF(AND(X55=1,OR(Calendar!$C$7="All teams",Team!C55=Calendar!$C$7)),MAX($AC$10:AC54)+1,"")</ns0:f>
        <ns0:v/>
      </ns0:c>
      <ns0:c r="AD55" s="0" t="str">
        <ns0:f>IF(OR(X55=0,Team!C55="",COUNTIF(Team!$C$11:C55,Team!C55)&gt;1),"",MAX($AD$10:AD54)+1)</ns0:f>
        <ns0:v/>
      </ns0:c>
      <ns0:c r="AE55" s="0" t="str">
        <ns0:f>IFERROR(INDEX(Team!$C$11:$C$60,MATCH(ROW()-10,$AD$11:$AD$60,0)),"")</ns0:f>
        <ns0:v/>
      </ns0:c>
      <ns0:c r="AF55" s="0" t="str">
        <ns0:f>AE55</ns0:f>
        <ns0:v/>
      </ns0:c>
      <ns0:c r="AG55" s="0">
        <ns0:f>IF(X55=0,0,IFERROR(Team!F55+Team!G55,0))</ns0:f>
        <ns0:v>0</ns0:v>
      </ns0:c>
      <ns0:c r="AH55" s="0">
        <ns0:f>IF(X55=0,0,SUMIFS(rngEngine_P,rngEngine_B,Team!A55))</ns0:f>
        <ns0:v>0</ns0:v>
      </ns0:c>
      <ns0:c r="AI55" s="0">
        <ns0:f>IF(X55=0,0,SUMIFS(rngEngine_Q,rngEngine_B,Team!A55))</ns0:f>
        <ns0:v>0</ns0:v>
      </ns0:c>
      <ns0:c r="AJ55" s="0">
        <ns0:f>IF(X55=0,0,SUMIFS(rngEngine_R,rngEngine_B,Team!A55))</ns0:f>
        <ns0:v>0</ns0:v>
      </ns0:c>
      <ns0:c r="AK55" s="0">
        <ns0:f>IF(X55=0,0,SUMIFS(rngEngine_S,rngEngine_B,Team!A55))</ns0:f>
        <ns0:v>0</ns0:v>
      </ns0:c>
      <ns0:c r="AL55" s="0">
        <ns0:f>AH55+AI55</ns0:f>
        <ns0:v>0</ns0:v>
      </ns0:c>
      <ns0:c r="AM55" s="0" t="str">
        <ns0:f>IF(X55=0,"",IF(AA55&gt;0,"CHECK team setup",IF(AB55&gt;0,"CHECK "&amp;AB55&amp;" booking(s)","OK")))</ns0:f>
        <ns0:v/>
      </ns0:c>
      <ns0:c r="AN55" s="0" t="str">
        <ns0:f>IF(X55=0,"",IF(OR($B$6&gt;0,AM55&lt;&gt;"OK"),"REVIEW",AG55-AL55))</ns0:f>
        <ns0:v/>
      </ns0:c>
      <ns0:c r="AO55" s="0">
        <ns0:f>IFERROR(MATCH(ROW()-11,$AC$11:$AC$60,0),0)</ns0:f>
        <ns0:v>0</ns0:v>
      </ns0:c>
      <ns0:c r="AP55" s="0" t="str">
        <ns0:f>IF(Team!H55="Work","W","O")&amp;IF(Team!I55="Work","W","O")&amp;IF(Team!J55="Work","W","O")&amp;IF(Team!K55="Work","W","O")&amp;IF(Team!L55="Work","W","O")&amp;IF(Team!M55="Work","W","O")&amp;IF(Team!N55="Work","W","O")</ns0:f>
        <ns0:v>WWWWWOO</ns0:v>
      </ns0:c>
      <ns0:c r="AR55" s="0">
        <ns0:f>IFERROR(IF(ISNUMBER(Settings!F55),WEEKDAY(Settings!F55,2),0),0)</ns0:f>
        <ns0:v>0</ns0:v>
      </ns0:c>
      <ns0:c r="BC55" s="0">
        <ns0:f>IF(OR($AO55=0,$B$5&lt;&gt;"OK",$B$6&gt;0,Calendar!D$11=""),0,SUMIFS(rngEngine_U,rngEngine_B,INDEX(Team!$A$11:$A$60,$AO55),rngAMStart,"&lt;="&amp;Calendar!D$11,rngAMEnd,"&gt;="&amp;Calendar!D$11))</ns0:f>
        <ns0:v>0</ns0:v>
      </ns0:c>
      <ns0:c r="BD55" s="0">
        <ns0:f>IF(OR($AO55=0,$B$5&lt;&gt;"OK",$B$6&gt;0,Calendar!D$11=""),0,SUMIFS(rngEngine_V,rngEngine_B,INDEX(Team!$A$11:$A$60,$AO55),rngPMStart,"&lt;="&amp;Calendar!D$11,rngPMEnd,"&gt;="&amp;Calendar!D$11))</ns0:f>
        <ns0:v>0</ns0:v>
      </ns0:c>
      <ns0:c r="BE55" s="0">
        <ns0:f>IF(OR($AO55=0,$B$5&lt;&gt;"OK",$B$6&gt;0,Calendar!E$11=""),0,SUMIFS(rngEngine_U,rngEngine_B,INDEX(Team!$A$11:$A$60,$AO55),rngAMStart,"&lt;="&amp;Calendar!E$11,rngAMEnd,"&gt;="&amp;Calendar!E$11))</ns0:f>
        <ns0:v>0</ns0:v>
      </ns0:c>
      <ns0:c r="BF55" s="0">
        <ns0:f>IF(OR($AO55=0,$B$5&lt;&gt;"OK",$B$6&gt;0,Calendar!E$11=""),0,SUMIFS(rngEngine_V,rngEngine_B,INDEX(Team!$A$11:$A$60,$AO55),rngPMStart,"&lt;="&amp;Calendar!E$11,rngPMEnd,"&gt;="&amp;Calendar!E$11))</ns0:f>
        <ns0:v>0</ns0:v>
      </ns0:c>
      <ns0:c r="BG55" s="0">
        <ns0:f>IF(OR($AO55=0,$B$5&lt;&gt;"OK",$B$6&gt;0,Calendar!F$11=""),0,SUMIFS(rngEngine_U,rngEngine_B,INDEX(Team!$A$11:$A$60,$AO55),rngAMStart,"&lt;="&amp;Calendar!F$11,rngAMEnd,"&gt;="&amp;Calendar!F$11))</ns0:f>
        <ns0:v>0</ns0:v>
      </ns0:c>
      <ns0:c r="BH55" s="0">
        <ns0:f>IF(OR($AO55=0,$B$5&lt;&gt;"OK",$B$6&gt;0,Calendar!F$11=""),0,SUMIFS(rngEngine_V,rngEngine_B,INDEX(Team!$A$11:$A$60,$AO55),rngPMStart,"&lt;="&amp;Calendar!F$11,rngPMEnd,"&gt;="&amp;Calendar!F$11))</ns0:f>
        <ns0:v>0</ns0:v>
      </ns0:c>
      <ns0:c r="BI55" s="0">
        <ns0:f>IF(OR($AO55=0,$B$5&lt;&gt;"OK",$B$6&gt;0,Calendar!G$11=""),0,SUMIFS(rngEngine_U,rngEngine_B,INDEX(Team!$A$11:$A$60,$AO55),rngAMStart,"&lt;="&amp;Calendar!G$11,rngAMEnd,"&gt;="&amp;Calendar!G$11))</ns0:f>
        <ns0:v>0</ns0:v>
      </ns0:c>
      <ns0:c r="BJ55" s="0">
        <ns0:f>IF(OR($AO55=0,$B$5&lt;&gt;"OK",$B$6&gt;0,Calendar!G$11=""),0,SUMIFS(rngEngine_V,rngEngine_B,INDEX(Team!$A$11:$A$60,$AO55),rngPMStart,"&lt;="&amp;Calendar!G$11,rngPMEnd,"&gt;="&amp;Calendar!G$11))</ns0:f>
        <ns0:v>0</ns0:v>
      </ns0:c>
      <ns0:c r="BK55" s="0">
        <ns0:f>IF(OR($AO55=0,$B$5&lt;&gt;"OK",$B$6&gt;0,Calendar!H$11=""),0,SUMIFS(rngEngine_U,rngEngine_B,INDEX(Team!$A$11:$A$60,$AO55),rngAMStart,"&lt;="&amp;Calendar!H$11,rngAMEnd,"&gt;="&amp;Calendar!H$11))</ns0:f>
        <ns0:v>0</ns0:v>
      </ns0:c>
      <ns0:c r="BL55" s="0">
        <ns0:f>IF(OR($AO55=0,$B$5&lt;&gt;"OK",$B$6&gt;0,Calendar!H$11=""),0,SUMIFS(rngEngine_V,rngEngine_B,INDEX(Team!$A$11:$A$60,$AO55),rngPMStart,"&lt;="&amp;Calendar!H$11,rngPMEnd,"&gt;="&amp;Calendar!H$11))</ns0:f>
        <ns0:v>0</ns0:v>
      </ns0:c>
      <ns0:c r="BM55" s="0">
        <ns0:f>IF(OR($AO55=0,$B$5&lt;&gt;"OK",$B$6&gt;0,Calendar!I$11=""),0,SUMIFS(rngEngine_U,rngEngine_B,INDEX(Team!$A$11:$A$60,$AO55),rngAMStart,"&lt;="&amp;Calendar!I$11,rngAMEnd,"&gt;="&amp;Calendar!I$11))</ns0:f>
        <ns0:v>0</ns0:v>
      </ns0:c>
      <ns0:c r="BN55" s="0">
        <ns0:f>IF(OR($AO55=0,$B$5&lt;&gt;"OK",$B$6&gt;0,Calendar!I$11=""),0,SUMIFS(rngEngine_V,rngEngine_B,INDEX(Team!$A$11:$A$60,$AO55),rngPMStart,"&lt;="&amp;Calendar!I$11,rngPMEnd,"&gt;="&amp;Calendar!I$11))</ns0:f>
        <ns0:v>0</ns0:v>
      </ns0:c>
      <ns0:c r="BO55" s="0">
        <ns0:f>IF(OR($AO55=0,$B$5&lt;&gt;"OK",$B$6&gt;0,Calendar!J$11=""),0,SUMIFS(rngEngine_U,rngEngine_B,INDEX(Team!$A$11:$A$60,$AO55),rngAMStart,"&lt;="&amp;Calendar!J$11,rngAMEnd,"&gt;="&amp;Calendar!J$11))</ns0:f>
        <ns0:v>0</ns0:v>
      </ns0:c>
      <ns0:c r="BP55" s="0">
        <ns0:f>IF(OR($AO55=0,$B$5&lt;&gt;"OK",$B$6&gt;0,Calendar!J$11=""),0,SUMIFS(rngEngine_V,rngEngine_B,INDEX(Team!$A$11:$A$60,$AO55),rngPMStart,"&lt;="&amp;Calendar!J$11,rngPMEnd,"&gt;="&amp;Calendar!J$11))</ns0:f>
        <ns0:v>0</ns0:v>
      </ns0:c>
      <ns0:c r="BQ55" s="0">
        <ns0:f>IF(OR($AO55=0,$B$5&lt;&gt;"OK",$B$6&gt;0,Calendar!K$11=""),0,SUMIFS(rngEngine_U,rngEngine_B,INDEX(Team!$A$11:$A$60,$AO55),rngAMStart,"&lt;="&amp;Calendar!K$11,rngAMEnd,"&gt;="&amp;Calendar!K$11))</ns0:f>
        <ns0:v>0</ns0:v>
      </ns0:c>
      <ns0:c r="BR55" s="0">
        <ns0:f>IF(OR($AO55=0,$B$5&lt;&gt;"OK",$B$6&gt;0,Calendar!K$11=""),0,SUMIFS(rngEngine_V,rngEngine_B,INDEX(Team!$A$11:$A$60,$AO55),rngPMStart,"&lt;="&amp;Calendar!K$11,rngPMEnd,"&gt;="&amp;Calendar!K$11))</ns0:f>
        <ns0:v>0</ns0:v>
      </ns0:c>
      <ns0:c r="BS55" s="0">
        <ns0:f>IF(OR($AO55=0,$B$5&lt;&gt;"OK",$B$6&gt;0,Calendar!L$11=""),0,SUMIFS(rngEngine_U,rngEngine_B,INDEX(Team!$A$11:$A$60,$AO55),rngAMStart,"&lt;="&amp;Calendar!L$11,rngAMEnd,"&gt;="&amp;Calendar!L$11))</ns0:f>
        <ns0:v>0</ns0:v>
      </ns0:c>
      <ns0:c r="BT55" s="0">
        <ns0:f>IF(OR($AO55=0,$B$5&lt;&gt;"OK",$B$6&gt;0,Calendar!L$11=""),0,SUMIFS(rngEngine_V,rngEngine_B,INDEX(Team!$A$11:$A$60,$AO55),rngPMStart,"&lt;="&amp;Calendar!L$11,rngPMEnd,"&gt;="&amp;Calendar!L$11))</ns0:f>
        <ns0:v>0</ns0:v>
      </ns0:c>
      <ns0:c r="BU55" s="0">
        <ns0:f>IF(OR($AO55=0,$B$5&lt;&gt;"OK",$B$6&gt;0,Calendar!M$11=""),0,SUMIFS(rngEngine_U,rngEngine_B,INDEX(Team!$A$11:$A$60,$AO55),rngAMStart,"&lt;="&amp;Calendar!M$11,rngAMEnd,"&gt;="&amp;Calendar!M$11))</ns0:f>
        <ns0:v>0</ns0:v>
      </ns0:c>
      <ns0:c r="BV55" s="0">
        <ns0:f>IF(OR($AO55=0,$B$5&lt;&gt;"OK",$B$6&gt;0,Calendar!M$11=""),0,SUMIFS(rngEngine_V,rngEngine_B,INDEX(Team!$A$11:$A$60,$AO55),rngPMStart,"&lt;="&amp;Calendar!M$11,rngPMEnd,"&gt;="&amp;Calendar!M$11))</ns0:f>
        <ns0:v>0</ns0:v>
      </ns0:c>
      <ns0:c r="BW55" s="0">
        <ns0:f>IF(OR($AO55=0,$B$5&lt;&gt;"OK",$B$6&gt;0,Calendar!N$11=""),0,SUMIFS(rngEngine_U,rngEngine_B,INDEX(Team!$A$11:$A$60,$AO55),rngAMStart,"&lt;="&amp;Calendar!N$11,rngAMEnd,"&gt;="&amp;Calendar!N$11))</ns0:f>
        <ns0:v>0</ns0:v>
      </ns0:c>
      <ns0:c r="BX55" s="0">
        <ns0:f>IF(OR($AO55=0,$B$5&lt;&gt;"OK",$B$6&gt;0,Calendar!N$11=""),0,SUMIFS(rngEngine_V,rngEngine_B,INDEX(Team!$A$11:$A$60,$AO55),rngPMStart,"&lt;="&amp;Calendar!N$11,rngPMEnd,"&gt;="&amp;Calendar!N$11))</ns0:f>
        <ns0:v>0</ns0:v>
      </ns0:c>
      <ns0:c r="BY55" s="0">
        <ns0:f>IF(OR($AO55=0,$B$5&lt;&gt;"OK",$B$6&gt;0,Calendar!O$11=""),0,SUMIFS(rngEngine_U,rngEngine_B,INDEX(Team!$A$11:$A$60,$AO55),rngAMStart,"&lt;="&amp;Calendar!O$11,rngAMEnd,"&gt;="&amp;Calendar!O$11))</ns0:f>
        <ns0:v>0</ns0:v>
      </ns0:c>
      <ns0:c r="BZ55" s="0">
        <ns0:f>IF(OR($AO55=0,$B$5&lt;&gt;"OK",$B$6&gt;0,Calendar!O$11=""),0,SUMIFS(rngEngine_V,rngEngine_B,INDEX(Team!$A$11:$A$60,$AO55),rngPMStart,"&lt;="&amp;Calendar!O$11,rngPMEnd,"&gt;="&amp;Calendar!O$11))</ns0:f>
        <ns0:v>0</ns0:v>
      </ns0:c>
      <ns0:c r="CA55" s="0">
        <ns0:f>IF(OR($AO55=0,$B$5&lt;&gt;"OK",$B$6&gt;0,Calendar!P$11=""),0,SUMIFS(rngEngine_U,rngEngine_B,INDEX(Team!$A$11:$A$60,$AO55),rngAMStart,"&lt;="&amp;Calendar!P$11,rngAMEnd,"&gt;="&amp;Calendar!P$11))</ns0:f>
        <ns0:v>0</ns0:v>
      </ns0:c>
      <ns0:c r="CB55" s="0">
        <ns0:f>IF(OR($AO55=0,$B$5&lt;&gt;"OK",$B$6&gt;0,Calendar!P$11=""),0,SUMIFS(rngEngine_V,rngEngine_B,INDEX(Team!$A$11:$A$60,$AO55),rngPMStart,"&lt;="&amp;Calendar!P$11,rngPMEnd,"&gt;="&amp;Calendar!P$11))</ns0:f>
        <ns0:v>0</ns0:v>
      </ns0:c>
      <ns0:c r="CC55" s="0">
        <ns0:f>IF(OR($AO55=0,$B$5&lt;&gt;"OK",$B$6&gt;0,Calendar!Q$11=""),0,SUMIFS(rngEngine_U,rngEngine_B,INDEX(Team!$A$11:$A$60,$AO55),rngAMStart,"&lt;="&amp;Calendar!Q$11,rngAMEnd,"&gt;="&amp;Calendar!Q$11))</ns0:f>
        <ns0:v>0</ns0:v>
      </ns0:c>
      <ns0:c r="CD55" s="0">
        <ns0:f>IF(OR($AO55=0,$B$5&lt;&gt;"OK",$B$6&gt;0,Calendar!Q$11=""),0,SUMIFS(rngEngine_V,rngEngine_B,INDEX(Team!$A$11:$A$60,$AO55),rngPMStart,"&lt;="&amp;Calendar!Q$11,rngPMEnd,"&gt;="&amp;Calendar!Q$11))</ns0:f>
        <ns0:v>0</ns0:v>
      </ns0:c>
      <ns0:c r="CE55" s="0">
        <ns0:f>IF(OR($AO55=0,$B$5&lt;&gt;"OK",$B$6&gt;0,Calendar!R$11=""),0,SUMIFS(rngEngine_U,rngEngine_B,INDEX(Team!$A$11:$A$60,$AO55),rngAMStart,"&lt;="&amp;Calendar!R$11,rngAMEnd,"&gt;="&amp;Calendar!R$11))</ns0:f>
        <ns0:v>0</ns0:v>
      </ns0:c>
      <ns0:c r="CF55" s="0">
        <ns0:f>IF(OR($AO55=0,$B$5&lt;&gt;"OK",$B$6&gt;0,Calendar!R$11=""),0,SUMIFS(rngEngine_V,rngEngine_B,INDEX(Team!$A$11:$A$60,$AO55),rngPMStart,"&lt;="&amp;Calendar!R$11,rngPMEnd,"&gt;="&amp;Calendar!R$11))</ns0:f>
        <ns0:v>0</ns0:v>
      </ns0:c>
      <ns0:c r="CG55" s="0">
        <ns0:f>IF(OR($AO55=0,$B$5&lt;&gt;"OK",$B$6&gt;0,Calendar!S$11=""),0,SUMIFS(rngEngine_U,rngEngine_B,INDEX(Team!$A$11:$A$60,$AO55),rngAMStart,"&lt;="&amp;Calendar!S$11,rngAMEnd,"&gt;="&amp;Calendar!S$11))</ns0:f>
        <ns0:v>0</ns0:v>
      </ns0:c>
      <ns0:c r="CH55" s="0">
        <ns0:f>IF(OR($AO55=0,$B$5&lt;&gt;"OK",$B$6&gt;0,Calendar!S$11=""),0,SUMIFS(rngEngine_V,rngEngine_B,INDEX(Team!$A$11:$A$60,$AO55),rngPMStart,"&lt;="&amp;Calendar!S$11,rngPMEnd,"&gt;="&amp;Calendar!S$11))</ns0:f>
        <ns0:v>0</ns0:v>
      </ns0:c>
      <ns0:c r="CI55" s="0">
        <ns0:f>IF(OR($AO55=0,$B$5&lt;&gt;"OK",$B$6&gt;0,Calendar!T$11=""),0,SUMIFS(rngEngine_U,rngEngine_B,INDEX(Team!$A$11:$A$60,$AO55),rngAMStart,"&lt;="&amp;Calendar!T$11,rngAMEnd,"&gt;="&amp;Calendar!T$11))</ns0:f>
        <ns0:v>0</ns0:v>
      </ns0:c>
      <ns0:c r="CJ55" s="0">
        <ns0:f>IF(OR($AO55=0,$B$5&lt;&gt;"OK",$B$6&gt;0,Calendar!T$11=""),0,SUMIFS(rngEngine_V,rngEngine_B,INDEX(Team!$A$11:$A$60,$AO55),rngPMStart,"&lt;="&amp;Calendar!T$11,rngPMEnd,"&gt;="&amp;Calendar!T$11))</ns0:f>
        <ns0:v>0</ns0:v>
      </ns0:c>
      <ns0:c r="CK55" s="0">
        <ns0:f>IF(OR($AO55=0,$B$5&lt;&gt;"OK",$B$6&gt;0,Calendar!U$11=""),0,SUMIFS(rngEngine_U,rngEngine_B,INDEX(Team!$A$11:$A$60,$AO55),rngAMStart,"&lt;="&amp;Calendar!U$11,rngAMEnd,"&gt;="&amp;Calendar!U$11))</ns0:f>
        <ns0:v>0</ns0:v>
      </ns0:c>
      <ns0:c r="CL55" s="0">
        <ns0:f>IF(OR($AO55=0,$B$5&lt;&gt;"OK",$B$6&gt;0,Calendar!U$11=""),0,SUMIFS(rngEngine_V,rngEngine_B,INDEX(Team!$A$11:$A$60,$AO55),rngPMStart,"&lt;="&amp;Calendar!U$11,rngPMEnd,"&gt;="&amp;Calendar!U$11))</ns0:f>
        <ns0:v>0</ns0:v>
      </ns0:c>
      <ns0:c r="CM55" s="0">
        <ns0:f>IF(OR($AO55=0,$B$5&lt;&gt;"OK",$B$6&gt;0,Calendar!V$11=""),0,SUMIFS(rngEngine_U,rngEngine_B,INDEX(Team!$A$11:$A$60,$AO55),rngAMStart,"&lt;="&amp;Calendar!V$11,rngAMEnd,"&gt;="&amp;Calendar!V$11))</ns0:f>
        <ns0:v>0</ns0:v>
      </ns0:c>
      <ns0:c r="CN55" s="0">
        <ns0:f>IF(OR($AO55=0,$B$5&lt;&gt;"OK",$B$6&gt;0,Calendar!V$11=""),0,SUMIFS(rngEngine_V,rngEngine_B,INDEX(Team!$A$11:$A$60,$AO55),rngPMStart,"&lt;="&amp;Calendar!V$11,rngPMEnd,"&gt;="&amp;Calendar!V$11))</ns0:f>
        <ns0:v>0</ns0:v>
      </ns0:c>
      <ns0:c r="CO55" s="0">
        <ns0:f>IF(OR($AO55=0,$B$5&lt;&gt;"OK",$B$6&gt;0,Calendar!W$11=""),0,SUMIFS(rngEngine_U,rngEngine_B,INDEX(Team!$A$11:$A$60,$AO55),rngAMStart,"&lt;="&amp;Calendar!W$11,rngAMEnd,"&gt;="&amp;Calendar!W$11))</ns0:f>
        <ns0:v>0</ns0:v>
      </ns0:c>
      <ns0:c r="CP55" s="0">
        <ns0:f>IF(OR($AO55=0,$B$5&lt;&gt;"OK",$B$6&gt;0,Calendar!W$11=""),0,SUMIFS(rngEngine_V,rngEngine_B,INDEX(Team!$A$11:$A$60,$AO55),rngPMStart,"&lt;="&amp;Calendar!W$11,rngPMEnd,"&gt;="&amp;Calendar!W$11))</ns0:f>
        <ns0:v>0</ns0:v>
      </ns0:c>
      <ns0:c r="CQ55" s="0">
        <ns0:f>IF(OR($AO55=0,$B$5&lt;&gt;"OK",$B$6&gt;0,Calendar!X$11=""),0,SUMIFS(rngEngine_U,rngEngine_B,INDEX(Team!$A$11:$A$60,$AO55),rngAMStart,"&lt;="&amp;Calendar!X$11,rngAMEnd,"&gt;="&amp;Calendar!X$11))</ns0:f>
        <ns0:v>0</ns0:v>
      </ns0:c>
      <ns0:c r="CR55" s="0">
        <ns0:f>IF(OR($AO55=0,$B$5&lt;&gt;"OK",$B$6&gt;0,Calendar!X$11=""),0,SUMIFS(rngEngine_V,rngEngine_B,INDEX(Team!$A$11:$A$60,$AO55),rngPMStart,"&lt;="&amp;Calendar!X$11,rngPMEnd,"&gt;="&amp;Calendar!X$11))</ns0:f>
        <ns0:v>0</ns0:v>
      </ns0:c>
      <ns0:c r="CS55" s="0">
        <ns0:f>IF(OR($AO55=0,$B$5&lt;&gt;"OK",$B$6&gt;0,Calendar!Y$11=""),0,SUMIFS(rngEngine_U,rngEngine_B,INDEX(Team!$A$11:$A$60,$AO55),rngAMStart,"&lt;="&amp;Calendar!Y$11,rngAMEnd,"&gt;="&amp;Calendar!Y$11))</ns0:f>
        <ns0:v>0</ns0:v>
      </ns0:c>
      <ns0:c r="CT55" s="0">
        <ns0:f>IF(OR($AO55=0,$B$5&lt;&gt;"OK",$B$6&gt;0,Calendar!Y$11=""),0,SUMIFS(rngEngine_V,rngEngine_B,INDEX(Team!$A$11:$A$60,$AO55),rngPMStart,"&lt;="&amp;Calendar!Y$11,rngPMEnd,"&gt;="&amp;Calendar!Y$11))</ns0:f>
        <ns0:v>0</ns0:v>
      </ns0:c>
      <ns0:c r="CU55" s="0">
        <ns0:f>IF(OR($AO55=0,$B$5&lt;&gt;"OK",$B$6&gt;0,Calendar!Z$11=""),0,SUMIFS(rngEngine_U,rngEngine_B,INDEX(Team!$A$11:$A$60,$AO55),rngAMStart,"&lt;="&amp;Calendar!Z$11,rngAMEnd,"&gt;="&amp;Calendar!Z$11))</ns0:f>
        <ns0:v>0</ns0:v>
      </ns0:c>
      <ns0:c r="CV55" s="0">
        <ns0:f>IF(OR($AO55=0,$B$5&lt;&gt;"OK",$B$6&gt;0,Calendar!Z$11=""),0,SUMIFS(rngEngine_V,rngEngine_B,INDEX(Team!$A$11:$A$60,$AO55),rngPMStart,"&lt;="&amp;Calendar!Z$11,rngPMEnd,"&gt;="&amp;Calendar!Z$11))</ns0:f>
        <ns0:v>0</ns0:v>
      </ns0:c>
      <ns0:c r="CW55" s="0">
        <ns0:f>IF(OR($AO55=0,$B$5&lt;&gt;"OK",$B$6&gt;0,Calendar!AA$11=""),0,SUMIFS(rngEngine_U,rngEngine_B,INDEX(Team!$A$11:$A$60,$AO55),rngAMStart,"&lt;="&amp;Calendar!AA$11,rngAMEnd,"&gt;="&amp;Calendar!AA$11))</ns0:f>
        <ns0:v>0</ns0:v>
      </ns0:c>
      <ns0:c r="CX55" s="0">
        <ns0:f>IF(OR($AO55=0,$B$5&lt;&gt;"OK",$B$6&gt;0,Calendar!AA$11=""),0,SUMIFS(rngEngine_V,rngEngine_B,INDEX(Team!$A$11:$A$60,$AO55),rngPMStart,"&lt;="&amp;Calendar!AA$11,rngPMEnd,"&gt;="&amp;Calendar!AA$11))</ns0:f>
        <ns0:v>0</ns0:v>
      </ns0:c>
      <ns0:c r="CY55" s="0">
        <ns0:f>IF(OR($AO55=0,$B$5&lt;&gt;"OK",$B$6&gt;0,Calendar!AB$11=""),0,SUMIFS(rngEngine_U,rngEngine_B,INDEX(Team!$A$11:$A$60,$AO55),rngAMStart,"&lt;="&amp;Calendar!AB$11,rngAMEnd,"&gt;="&amp;Calendar!AB$11))</ns0:f>
        <ns0:v>0</ns0:v>
      </ns0:c>
      <ns0:c r="CZ55" s="0">
        <ns0:f>IF(OR($AO55=0,$B$5&lt;&gt;"OK",$B$6&gt;0,Calendar!AB$11=""),0,SUMIFS(rngEngine_V,rngEngine_B,INDEX(Team!$A$11:$A$60,$AO55),rngPMStart,"&lt;="&amp;Calendar!AB$11,rngPMEnd,"&gt;="&amp;Calendar!AB$11))</ns0:f>
        <ns0:v>0</ns0:v>
      </ns0:c>
      <ns0:c r="DA55" s="0">
        <ns0:f>IF(OR($AO55=0,$B$5&lt;&gt;"OK",$B$6&gt;0,Calendar!AC$11=""),0,SUMIFS(rngEngine_U,rngEngine_B,INDEX(Team!$A$11:$A$60,$AO55),rngAMStart,"&lt;="&amp;Calendar!AC$11,rngAMEnd,"&gt;="&amp;Calendar!AC$11))</ns0:f>
        <ns0:v>0</ns0:v>
      </ns0:c>
      <ns0:c r="DB55" s="0">
        <ns0:f>IF(OR($AO55=0,$B$5&lt;&gt;"OK",$B$6&gt;0,Calendar!AC$11=""),0,SUMIFS(rngEngine_V,rngEngine_B,INDEX(Team!$A$11:$A$60,$AO55),rngPMStart,"&lt;="&amp;Calendar!AC$11,rngPMEnd,"&gt;="&amp;Calendar!AC$11))</ns0:f>
        <ns0:v>0</ns0:v>
      </ns0:c>
      <ns0:c r="DC55" s="0">
        <ns0:f>IF(OR($AO55=0,$B$5&lt;&gt;"OK",$B$6&gt;0,Calendar!AD$11=""),0,SUMIFS(rngEngine_U,rngEngine_B,INDEX(Team!$A$11:$A$60,$AO55),rngAMStart,"&lt;="&amp;Calendar!AD$11,rngAMEnd,"&gt;="&amp;Calendar!AD$11))</ns0:f>
        <ns0:v>0</ns0:v>
      </ns0:c>
      <ns0:c r="DD55" s="0">
        <ns0:f>IF(OR($AO55=0,$B$5&lt;&gt;"OK",$B$6&gt;0,Calendar!AD$11=""),0,SUMIFS(rngEngine_V,rngEngine_B,INDEX(Team!$A$11:$A$60,$AO55),rngPMStart,"&lt;="&amp;Calendar!AD$11,rngPMEnd,"&gt;="&amp;Calendar!AD$11))</ns0:f>
        <ns0:v>0</ns0:v>
      </ns0:c>
      <ns0:c r="DE55" s="0">
        <ns0:f>IF(OR($AO55=0,$B$5&lt;&gt;"OK",$B$6&gt;0,Calendar!AE$11=""),0,SUMIFS(rngEngine_U,rngEngine_B,INDEX(Team!$A$11:$A$60,$AO55),rngAMStart,"&lt;="&amp;Calendar!AE$11,rngAMEnd,"&gt;="&amp;Calendar!AE$11))</ns0:f>
        <ns0:v>0</ns0:v>
      </ns0:c>
      <ns0:c r="DF55" s="0">
        <ns0:f>IF(OR($AO55=0,$B$5&lt;&gt;"OK",$B$6&gt;0,Calendar!AE$11=""),0,SUMIFS(rngEngine_V,rngEngine_B,INDEX(Team!$A$11:$A$60,$AO55),rngPMStart,"&lt;="&amp;Calendar!AE$11,rngPMEnd,"&gt;="&amp;Calendar!AE$11))</ns0:f>
        <ns0:v>0</ns0:v>
      </ns0:c>
      <ns0:c r="DG55" s="0">
        <ns0:f>IF(OR($AO55=0,$B$5&lt;&gt;"OK",$B$6&gt;0,Calendar!AF$11=""),0,SUMIFS(rngEngine_U,rngEngine_B,INDEX(Team!$A$11:$A$60,$AO55),rngAMStart,"&lt;="&amp;Calendar!AF$11,rngAMEnd,"&gt;="&amp;Calendar!AF$11))</ns0:f>
        <ns0:v>0</ns0:v>
      </ns0:c>
      <ns0:c r="DH55" s="0">
        <ns0:f>IF(OR($AO55=0,$B$5&lt;&gt;"OK",$B$6&gt;0,Calendar!AF$11=""),0,SUMIFS(rngEngine_V,rngEngine_B,INDEX(Team!$A$11:$A$60,$AO55),rngPMStart,"&lt;="&amp;Calendar!AF$11,rngPMEnd,"&gt;="&amp;Calendar!AF$11))</ns0:f>
        <ns0:v>0</ns0:v>
      </ns0:c>
      <ns0:c r="DI55" s="0">
        <ns0:f>IF(OR($AO55=0,$B$5&lt;&gt;"OK",$B$6&gt;0,Calendar!AG$11=""),0,SUMIFS(rngEngine_U,rngEngine_B,INDEX(Team!$A$11:$A$60,$AO55),rngAMStart,"&lt;="&amp;Calendar!AG$11,rngAMEnd,"&gt;="&amp;Calendar!AG$11))</ns0:f>
        <ns0:v>0</ns0:v>
      </ns0:c>
      <ns0:c r="DJ55" s="0">
        <ns0:f>IF(OR($AO55=0,$B$5&lt;&gt;"OK",$B$6&gt;0,Calendar!AG$11=""),0,SUMIFS(rngEngine_V,rngEngine_B,INDEX(Team!$A$11:$A$60,$AO55),rngPMStart,"&lt;="&amp;Calendar!AG$11,rngPMEnd,"&gt;="&amp;Calendar!AG$11))</ns0:f>
        <ns0:v>0</ns0:v>
      </ns0:c>
      <ns0:c r="DK55" s="0">
        <ns0:f>IF(OR($AO55=0,$B$5&lt;&gt;"OK",$B$6&gt;0,Calendar!AH$11=""),0,SUMIFS(rngEngine_U,rngEngine_B,INDEX(Team!$A$11:$A$60,$AO55),rngAMStart,"&lt;="&amp;Calendar!AH$11,rngAMEnd,"&gt;="&amp;Calendar!AH$11))</ns0:f>
        <ns0:v>0</ns0:v>
      </ns0:c>
      <ns0:c r="DL55" s="0">
        <ns0:f>IF(OR($AO55=0,$B$5&lt;&gt;"OK",$B$6&gt;0,Calendar!AH$11=""),0,SUMIFS(rngEngine_V,rngEngine_B,INDEX(Team!$A$11:$A$60,$AO55),rngPMStart,"&lt;="&amp;Calendar!AH$11,rngPMEnd,"&gt;="&amp;Calendar!AH$11))</ns0:f>
        <ns0:v>0</ns0:v>
      </ns0:c>
    </ns0:row>
    <ns0:row r="56" ht="22" customHeight="1">
      <ns0:c r="A56" s="4">
        <ns0:f>IF(COUNTA(Bookings!A56:G56,Bookings!I56)=0,0,1)</ns0:f>
        <ns0:v>0</ns0:v>
      </ns0:c>
      <ns0:c r="B56" s="4" t="str">
        <ns0:f>IFERROR(TRIM(MID(Bookings!A56,FIND(" · ",Bookings!A56)+3,99)),"")</ns0:f>
        <ns0:v/>
      </ns0:c>
      <ns0:c r="C56" s="4">
        <ns0:f>IF(OR(B56="",LEN(B56)&gt;24,ISNUMBER(FIND(" ",B56)),ISNUMBER(FIND("*",B56)),ISNUMBER(FIND("?",B56)),ISNUMBER(FIND("~",B56))),0,IFERROR(MATCH(B56,Team!$A$11:$A$60,0),0))</ns0:f>
        <ns0:v>0</ns0:v>
      </ns0:c>
      <ns0:c r="D56" s="4" t="str">
        <ns0:f>IFERROR(IF(MID(Bookings!F56,LEN(Bookings!F56)-3,3)=" · ",RIGHT(Bookings!F56,1),""),"")</ns0:f>
        <ns0:v/>
      </ns0:c>
      <ns0:c r="E56" s="4" t="str">
        <ns0:f>IFERROR(INDEX(Settings!$H$7:$H$11,MATCH(D56,Settings!$G$7:$G$11,0)),"")</ns0:f>
        <ns0:v/>
      </ns0:c>
      <ns0:c r="F56" s="4" t="str">
        <ns0:f>IF(A56=0,"",IFERROR(IF(OR(B56="",C56=0),"CHECK employee selection",IF(INDEX(Team!$O$11:$O$60,C56)&lt;&gt;"OK","CHECK employee setup",IF(OR('_Dates'!J56=0,'_Dates'!T56=0),"CHECK date: use DD.MM.YYYY",IF('_Dates'!T56&lt;'_Dates'!J56,"CHECK end before start",IF(AND($B$6=0,OR('_Dates'!J56&lt;Settings!$B$7,'_Dates'!T56&gt;Settings!$B$8)),"CHECK split across leave years",IF(OR(NOT(OR('_Dates'!U56="Full day",'_Dates'!U56="AM",'_Dates'!U56="PM")),NOT(OR('_Dates'!V56="Full day",'_Dates'!V56="AM",'_Dates'!V56="PM"))),"CHECK Full day / AM / PM",IF(AND('_Dates'!J56='_Dates'!T56,'_Dates'!U56&lt;&gt;"Full day",'_Dates'!V56&lt;&gt;"Full day",'_Dates'!U56&lt;&gt;'_Dates'!V56),"CHECK same-day portions disagree",IF(AND($B$6=0,OR(AND('_Dates'!U56&lt;&gt;"Full day",'_Dates'!AA56=0),AND('_Dates'!V56&lt;&gt;"Full day",'_Dates'!AB56=0))),"CHECK half-day on non-working date",IF(COUNTIF(Settings!$G$7:$G$11,D56)&lt;&gt;1,"CHECK leave type",IF(AND(Bookings!G56&lt;&gt;"Approved",Bookings!G56&lt;&gt;"Pending",Bookings!G56&lt;&gt;"Cancelled"),"CHECK status","OK")))))))))),"CHECK input"))</ns0:f>
        <ns0:v/>
      </ns0:c>
      <ns0:c r="G56" s="4">
        <ns0:f>IF(OR(F56&lt;&gt;"OK",$B$6&gt;0),0,0.5*(IF(('_Dates'!X56)&lt;('_Dates'!W56),0,INT((('_Dates'!X56)-('_Dates'!W56)+1)/7)*LEN(SUBSTITUTE(W56,"O",""))+LEN(SUBSTITUTE(MID(W56&amp;W56,WEEKDAY(('_Dates'!W56),2),MOD((('_Dates'!X56)-('_Dates'!W56)+1),7)),"O",""))-COUNTIFS(INDEX(AllClosureRows,C56,0),"&gt;="&amp;('_Dates'!W56),INDEX(AllClosureRows,C56,0),"&lt;="&amp;('_Dates'!X56)))+IF(('_Dates'!Z56)&lt;('_Dates'!Y56),0,INT((('_Dates'!Z56)-('_Dates'!Y56)+1)/7)*LEN(SUBSTITUTE(W56,"O",""))+LEN(SUBSTITUTE(MID(W56&amp;W56,WEEKDAY(('_Dates'!Y56),2),MOD((('_Dates'!Z56)-('_Dates'!Y56)+1),7)),"O",""))-COUNTIFS(INDEX(AllClosureRows,C56,0),"&gt;="&amp;('_Dates'!Y56),INDEX(AllClosureRows,C56,0),"&lt;="&amp;('_Dates'!Z56)))))</ns0:f>
        <ns0:v>0</ns0:v>
      </ns0:c>
      <ns0:c r="H56" s="4">
        <ns0:f>IF(OR(F56&lt;&gt;"OK",$B$6&gt;0),0,0.5*(IF((MIN('_Dates'!X56,Settings!$B$9))&lt;('_Dates'!W56),0,INT(((MIN('_Dates'!X56,Settings!$B$9))-('_Dates'!W56)+1)/7)*LEN(SUBSTITUTE(W56,"O",""))+LEN(SUBSTITUTE(MID(W56&amp;W56,WEEKDAY(('_Dates'!W56),2),MOD(((MIN('_Dates'!X56,Settings!$B$9))-('_Dates'!W56)+1),7)),"O",""))-COUNTIFS(INDEX(AllClosureRows,C56,0),"&gt;="&amp;('_Dates'!W56),INDEX(AllClosureRows,C56,0),"&lt;="&amp;(MIN('_Dates'!X56,Settings!$B$9))))+IF((MIN('_Dates'!Z56,Settings!$B$9))&lt;('_Dates'!Y56),0,INT(((MIN('_Dates'!Z56,Settings!$B$9))-('_Dates'!Y56)+1)/7)*LEN(SUBSTITUTE(W56,"O",""))+LEN(SUBSTITUTE(MID(W56&amp;W56,WEEKDAY(('_Dates'!Y56),2),MOD(((MIN('_Dates'!Z56,Settings!$B$9))-('_Dates'!Y56)+1),7)),"O",""))-COUNTIFS(INDEX(AllClosureRows,C56,0),"&gt;="&amp;('_Dates'!Y56),INDEX(AllClosureRows,C56,0),"&lt;="&amp;(MIN('_Dates'!Z56,Settings!$B$9))))))</ns0:f>
        <ns0:v>0</ns0:v>
      </ns0:c>
      <ns0:c r="I56" s="4">
        <ns0:f>MAX(0,G56-H56)</ns0:f>
        <ns0:v>0</ns0:v>
      </ns0:c>
      <ns0:c r="J56" s="4">
        <ns0:f>IF(OR(A56=0,F56&lt;&gt;"OK",Bookings!G56="Cancelled",$B$6&gt;0),0,IF('_Dates'!AC56=1,MAX(0,COUNTIFS(rngEngine_B,B56,rngAMStart,"&lt;="&amp;'_Dates'!X56,rngAMEnd,"&gt;="&amp;'_Dates'!W56,rngAMActive,1,rngEngine_F,"OK",rngBookings_F,"&lt;&gt;Cancelled")-1),0)+IF('_Dates'!AD56=1,MAX(0,COUNTIFS(rngEngine_B,B56,rngPMStart,"&lt;="&amp;'_Dates'!Z56,rngPMEnd,"&gt;="&amp;'_Dates'!Y56,rngPMActive,1,rngEngine_F,"OK",rngBookings_F,"&lt;&gt;Cancelled")-1),0))</ns0:f>
        <ns0:v>0</ns0:v>
      </ns0:c>
      <ns0:c r="K56" s="0" t="str">
        <ns0:f>IF(A56=0,"",IF(F56&lt;&gt;"OK",F56,IF(J56&gt;0,"CHECK overlapping entry",IF(AND($B$6=0,G56&lt;=0,Bookings!G56&lt;&gt;"Cancelled"),"CHECK no working days",IF(Bookings!G56="Cancelled","Cancelled","OK")))))</ns0:f>
        <ns0:v/>
      </ns0:c>
      <ns0:c r="L56" s="0">
        <ns0:f>IF(LEFT(K56,5)="CHECK",1,0)</ns0:f>
        <ns0:v>0</ns0:v>
      </ns0:c>
      <ns0:c r="M56" s="0">
        <ns0:f>IF(AND(L56=1,OR(C56=0,IFERROR(INDEX($X$11:$X$60,C56),0)=0)),1,0)</ns0:f>
        <ns0:v>0</ns0:v>
      </ns0:c>
      <ns0:c r="N56" s="0">
        <ns0:f>IF(OR(A56=0,L56&gt;0,$B$6&gt;0,Bookings!G56="Cancelled"),0,G56)</ns0:f>
        <ns0:v>0</ns0:v>
      </ns0:c>
      <ns0:c r="O56" s="0">
        <ns0:f>IF(AND(Bookings!G56="Approved",E56="Yes"),N56,0)</ns0:f>
        <ns0:v>0</ns0:v>
      </ns0:c>
      <ns0:c r="P56" s="0">
        <ns0:f>IF(AND(Bookings!G56="Approved",E56="Yes",L56=0,$B$6=0),H56,0)</ns0:f>
        <ns0:v>0</ns0:v>
      </ns0:c>
      <ns0:c r="Q56" s="0">
        <ns0:f>IF(AND(Bookings!G56="Approved",E56="Yes",L56=0,$B$6=0),I56,0)</ns0:f>
        <ns0:v>0</ns0:v>
      </ns0:c>
      <ns0:c r="R56" s="0">
        <ns0:f>IF(AND(Bookings!G56="Pending",E56="Yes"),N56,0)</ns0:f>
        <ns0:v>0</ns0:v>
      </ns0:c>
      <ns0:c r="S56" s="0">
        <ns0:f>IF(AND(Bookings!G56="Approved",E56="No"),N56,0)</ns0:f>
        <ns0:v>0</ns0:v>
      </ns0:c>
      <ns0:c r="T56" s="0">
        <ns0:f>IFERROR(MATCH(D56,Settings!$G$7:$G$11,0),0)</ns0:f>
        <ns0:v>0</ns0:v>
      </ns0:c>
      <ns0:c r="U56" s="0">
        <ns0:f>IF(N56&gt;0,T56+IF(Bookings!G56="Pending",10,0),0)</ns0:f>
        <ns0:v>0</ns0:v>
      </ns0:c>
      <ns0:c r="V56" s="0">
        <ns0:f>U56</ns0:f>
        <ns0:v>0</ns0:v>
      </ns0:c>
      <ns0:c r="W56" s="0" t="str">
        <ns0:f>IF(C56=0,"",INDEX($AP$11:$AP$60,C56))</ns0:f>
        <ns0:v/>
      </ns0:c>
      <ns0:c r="X56" s="0">
        <ns0:f>IF(COUNTA(Team!B56:D56)=0,0,1)</ns0:f>
        <ns0:v>0</ns0:v>
      </ns0:c>
      <ns0:c r="Y56" s="0" t="str">
        <ns0:f>IF(X56=0,"",IF(Team!B56="","[Unnamed]",Team!B56)&amp;" · "&amp;Team!A56)</ns0:f>
        <ns0:v/>
      </ns0:c>
      <ns0:c r="Z56" s="0">
        <ns0:f>IF(X56=0,0,COUNTIF(Team!H56:N56,"Work"))</ns0:f>
        <ns0:v>0</ns0:v>
      </ns0:c>
      <ns0:c r="AA56" s="0">
        <ns0:f>IF(LEFT(Team!O56,5)="CHECK",1,0)</ns0:f>
        <ns0:v>0</ns0:v>
      </ns0:c>
      <ns0:c r="AB56" s="0">
        <ns0:f>IF(X56=0,0,SUMIFS(rngEngine_L,rngEngine_B,Team!A56))</ns0:f>
        <ns0:v>0</ns0:v>
      </ns0:c>
      <ns0:c r="AC56" s="0" t="str">
        <ns0:f>IF(AND(X56=1,OR(Calendar!$C$7="All teams",Team!C56=Calendar!$C$7)),MAX($AC$10:AC55)+1,"")</ns0:f>
        <ns0:v/>
      </ns0:c>
      <ns0:c r="AD56" s="0" t="str">
        <ns0:f>IF(OR(X56=0,Team!C56="",COUNTIF(Team!$C$11:C56,Team!C56)&gt;1),"",MAX($AD$10:AD55)+1)</ns0:f>
        <ns0:v/>
      </ns0:c>
      <ns0:c r="AE56" s="0" t="str">
        <ns0:f>IFERROR(INDEX(Team!$C$11:$C$60,MATCH(ROW()-10,$AD$11:$AD$60,0)),"")</ns0:f>
        <ns0:v/>
      </ns0:c>
      <ns0:c r="AF56" s="0" t="str">
        <ns0:f>AE56</ns0:f>
        <ns0:v/>
      </ns0:c>
      <ns0:c r="AG56" s="0">
        <ns0:f>IF(X56=0,0,IFERROR(Team!F56+Team!G56,0))</ns0:f>
        <ns0:v>0</ns0:v>
      </ns0:c>
      <ns0:c r="AH56" s="0">
        <ns0:f>IF(X56=0,0,SUMIFS(rngEngine_P,rngEngine_B,Team!A56))</ns0:f>
        <ns0:v>0</ns0:v>
      </ns0:c>
      <ns0:c r="AI56" s="0">
        <ns0:f>IF(X56=0,0,SUMIFS(rngEngine_Q,rngEngine_B,Team!A56))</ns0:f>
        <ns0:v>0</ns0:v>
      </ns0:c>
      <ns0:c r="AJ56" s="0">
        <ns0:f>IF(X56=0,0,SUMIFS(rngEngine_R,rngEngine_B,Team!A56))</ns0:f>
        <ns0:v>0</ns0:v>
      </ns0:c>
      <ns0:c r="AK56" s="0">
        <ns0:f>IF(X56=0,0,SUMIFS(rngEngine_S,rngEngine_B,Team!A56))</ns0:f>
        <ns0:v>0</ns0:v>
      </ns0:c>
      <ns0:c r="AL56" s="0">
        <ns0:f>AH56+AI56</ns0:f>
        <ns0:v>0</ns0:v>
      </ns0:c>
      <ns0:c r="AM56" s="0" t="str">
        <ns0:f>IF(X56=0,"",IF(AA56&gt;0,"CHECK team setup",IF(AB56&gt;0,"CHECK "&amp;AB56&amp;" booking(s)","OK")))</ns0:f>
        <ns0:v/>
      </ns0:c>
      <ns0:c r="AN56" s="0" t="str">
        <ns0:f>IF(X56=0,"",IF(OR($B$6&gt;0,AM56&lt;&gt;"OK"),"REVIEW",AG56-AL56))</ns0:f>
        <ns0:v/>
      </ns0:c>
      <ns0:c r="AO56" s="0">
        <ns0:f>IFERROR(MATCH(ROW()-11,$AC$11:$AC$60,0),0)</ns0:f>
        <ns0:v>0</ns0:v>
      </ns0:c>
      <ns0:c r="AP56" s="0" t="str">
        <ns0:f>IF(Team!H56="Work","W","O")&amp;IF(Team!I56="Work","W","O")&amp;IF(Team!J56="Work","W","O")&amp;IF(Team!K56="Work","W","O")&amp;IF(Team!L56="Work","W","O")&amp;IF(Team!M56="Work","W","O")&amp;IF(Team!N56="Work","W","O")</ns0:f>
        <ns0:v>WWWWWOO</ns0:v>
      </ns0:c>
      <ns0:c r="AR56" s="0">
        <ns0:f>IFERROR(IF(ISNUMBER(Settings!F56),WEEKDAY(Settings!F56,2),0),0)</ns0:f>
        <ns0:v>0</ns0:v>
      </ns0:c>
      <ns0:c r="BC56" s="0">
        <ns0:f>IF(OR($AO56=0,$B$5&lt;&gt;"OK",$B$6&gt;0,Calendar!D$11=""),0,SUMIFS(rngEngine_U,rngEngine_B,INDEX(Team!$A$11:$A$60,$AO56),rngAMStart,"&lt;="&amp;Calendar!D$11,rngAMEnd,"&gt;="&amp;Calendar!D$11))</ns0:f>
        <ns0:v>0</ns0:v>
      </ns0:c>
      <ns0:c r="BD56" s="0">
        <ns0:f>IF(OR($AO56=0,$B$5&lt;&gt;"OK",$B$6&gt;0,Calendar!D$11=""),0,SUMIFS(rngEngine_V,rngEngine_B,INDEX(Team!$A$11:$A$60,$AO56),rngPMStart,"&lt;="&amp;Calendar!D$11,rngPMEnd,"&gt;="&amp;Calendar!D$11))</ns0:f>
        <ns0:v>0</ns0:v>
      </ns0:c>
      <ns0:c r="BE56" s="0">
        <ns0:f>IF(OR($AO56=0,$B$5&lt;&gt;"OK",$B$6&gt;0,Calendar!E$11=""),0,SUMIFS(rngEngine_U,rngEngine_B,INDEX(Team!$A$11:$A$60,$AO56),rngAMStart,"&lt;="&amp;Calendar!E$11,rngAMEnd,"&gt;="&amp;Calendar!E$11))</ns0:f>
        <ns0:v>0</ns0:v>
      </ns0:c>
      <ns0:c r="BF56" s="0">
        <ns0:f>IF(OR($AO56=0,$B$5&lt;&gt;"OK",$B$6&gt;0,Calendar!E$11=""),0,SUMIFS(rngEngine_V,rngEngine_B,INDEX(Team!$A$11:$A$60,$AO56),rngPMStart,"&lt;="&amp;Calendar!E$11,rngPMEnd,"&gt;="&amp;Calendar!E$11))</ns0:f>
        <ns0:v>0</ns0:v>
      </ns0:c>
      <ns0:c r="BG56" s="0">
        <ns0:f>IF(OR($AO56=0,$B$5&lt;&gt;"OK",$B$6&gt;0,Calendar!F$11=""),0,SUMIFS(rngEngine_U,rngEngine_B,INDEX(Team!$A$11:$A$60,$AO56),rngAMStart,"&lt;="&amp;Calendar!F$11,rngAMEnd,"&gt;="&amp;Calendar!F$11))</ns0:f>
        <ns0:v>0</ns0:v>
      </ns0:c>
      <ns0:c r="BH56" s="0">
        <ns0:f>IF(OR($AO56=0,$B$5&lt;&gt;"OK",$B$6&gt;0,Calendar!F$11=""),0,SUMIFS(rngEngine_V,rngEngine_B,INDEX(Team!$A$11:$A$60,$AO56),rngPMStart,"&lt;="&amp;Calendar!F$11,rngPMEnd,"&gt;="&amp;Calendar!F$11))</ns0:f>
        <ns0:v>0</ns0:v>
      </ns0:c>
      <ns0:c r="BI56" s="0">
        <ns0:f>IF(OR($AO56=0,$B$5&lt;&gt;"OK",$B$6&gt;0,Calendar!G$11=""),0,SUMIFS(rngEngine_U,rngEngine_B,INDEX(Team!$A$11:$A$60,$AO56),rngAMStart,"&lt;="&amp;Calendar!G$11,rngAMEnd,"&gt;="&amp;Calendar!G$11))</ns0:f>
        <ns0:v>0</ns0:v>
      </ns0:c>
      <ns0:c r="BJ56" s="0">
        <ns0:f>IF(OR($AO56=0,$B$5&lt;&gt;"OK",$B$6&gt;0,Calendar!G$11=""),0,SUMIFS(rngEngine_V,rngEngine_B,INDEX(Team!$A$11:$A$60,$AO56),rngPMStart,"&lt;="&amp;Calendar!G$11,rngPMEnd,"&gt;="&amp;Calendar!G$11))</ns0:f>
        <ns0:v>0</ns0:v>
      </ns0:c>
      <ns0:c r="BK56" s="0">
        <ns0:f>IF(OR($AO56=0,$B$5&lt;&gt;"OK",$B$6&gt;0,Calendar!H$11=""),0,SUMIFS(rngEngine_U,rngEngine_B,INDEX(Team!$A$11:$A$60,$AO56),rngAMStart,"&lt;="&amp;Calendar!H$11,rngAMEnd,"&gt;="&amp;Calendar!H$11))</ns0:f>
        <ns0:v>0</ns0:v>
      </ns0:c>
      <ns0:c r="BL56" s="0">
        <ns0:f>IF(OR($AO56=0,$B$5&lt;&gt;"OK",$B$6&gt;0,Calendar!H$11=""),0,SUMIFS(rngEngine_V,rngEngine_B,INDEX(Team!$A$11:$A$60,$AO56),rngPMStart,"&lt;="&amp;Calendar!H$11,rngPMEnd,"&gt;="&amp;Calendar!H$11))</ns0:f>
        <ns0:v>0</ns0:v>
      </ns0:c>
      <ns0:c r="BM56" s="0">
        <ns0:f>IF(OR($AO56=0,$B$5&lt;&gt;"OK",$B$6&gt;0,Calendar!I$11=""),0,SUMIFS(rngEngine_U,rngEngine_B,INDEX(Team!$A$11:$A$60,$AO56),rngAMStart,"&lt;="&amp;Calendar!I$11,rngAMEnd,"&gt;="&amp;Calendar!I$11))</ns0:f>
        <ns0:v>0</ns0:v>
      </ns0:c>
      <ns0:c r="BN56" s="0">
        <ns0:f>IF(OR($AO56=0,$B$5&lt;&gt;"OK",$B$6&gt;0,Calendar!I$11=""),0,SUMIFS(rngEngine_V,rngEngine_B,INDEX(Team!$A$11:$A$60,$AO56),rngPMStart,"&lt;="&amp;Calendar!I$11,rngPMEnd,"&gt;="&amp;Calendar!I$11))</ns0:f>
        <ns0:v>0</ns0:v>
      </ns0:c>
      <ns0:c r="BO56" s="0">
        <ns0:f>IF(OR($AO56=0,$B$5&lt;&gt;"OK",$B$6&gt;0,Calendar!J$11=""),0,SUMIFS(rngEngine_U,rngEngine_B,INDEX(Team!$A$11:$A$60,$AO56),rngAMStart,"&lt;="&amp;Calendar!J$11,rngAMEnd,"&gt;="&amp;Calendar!J$11))</ns0:f>
        <ns0:v>0</ns0:v>
      </ns0:c>
      <ns0:c r="BP56" s="0">
        <ns0:f>IF(OR($AO56=0,$B$5&lt;&gt;"OK",$B$6&gt;0,Calendar!J$11=""),0,SUMIFS(rngEngine_V,rngEngine_B,INDEX(Team!$A$11:$A$60,$AO56),rngPMStart,"&lt;="&amp;Calendar!J$11,rngPMEnd,"&gt;="&amp;Calendar!J$11))</ns0:f>
        <ns0:v>0</ns0:v>
      </ns0:c>
      <ns0:c r="BQ56" s="0">
        <ns0:f>IF(OR($AO56=0,$B$5&lt;&gt;"OK",$B$6&gt;0,Calendar!K$11=""),0,SUMIFS(rngEngine_U,rngEngine_B,INDEX(Team!$A$11:$A$60,$AO56),rngAMStart,"&lt;="&amp;Calendar!K$11,rngAMEnd,"&gt;="&amp;Calendar!K$11))</ns0:f>
        <ns0:v>0</ns0:v>
      </ns0:c>
      <ns0:c r="BR56" s="0">
        <ns0:f>IF(OR($AO56=0,$B$5&lt;&gt;"OK",$B$6&gt;0,Calendar!K$11=""),0,SUMIFS(rngEngine_V,rngEngine_B,INDEX(Team!$A$11:$A$60,$AO56),rngPMStart,"&lt;="&amp;Calendar!K$11,rngPMEnd,"&gt;="&amp;Calendar!K$11))</ns0:f>
        <ns0:v>0</ns0:v>
      </ns0:c>
      <ns0:c r="BS56" s="0">
        <ns0:f>IF(OR($AO56=0,$B$5&lt;&gt;"OK",$B$6&gt;0,Calendar!L$11=""),0,SUMIFS(rngEngine_U,rngEngine_B,INDEX(Team!$A$11:$A$60,$AO56),rngAMStart,"&lt;="&amp;Calendar!L$11,rngAMEnd,"&gt;="&amp;Calendar!L$11))</ns0:f>
        <ns0:v>0</ns0:v>
      </ns0:c>
      <ns0:c r="BT56" s="0">
        <ns0:f>IF(OR($AO56=0,$B$5&lt;&gt;"OK",$B$6&gt;0,Calendar!L$11=""),0,SUMIFS(rngEngine_V,rngEngine_B,INDEX(Team!$A$11:$A$60,$AO56),rngPMStart,"&lt;="&amp;Calendar!L$11,rngPMEnd,"&gt;="&amp;Calendar!L$11))</ns0:f>
        <ns0:v>0</ns0:v>
      </ns0:c>
      <ns0:c r="BU56" s="0">
        <ns0:f>IF(OR($AO56=0,$B$5&lt;&gt;"OK",$B$6&gt;0,Calendar!M$11=""),0,SUMIFS(rngEngine_U,rngEngine_B,INDEX(Team!$A$11:$A$60,$AO56),rngAMStart,"&lt;="&amp;Calendar!M$11,rngAMEnd,"&gt;="&amp;Calendar!M$11))</ns0:f>
        <ns0:v>0</ns0:v>
      </ns0:c>
      <ns0:c r="BV56" s="0">
        <ns0:f>IF(OR($AO56=0,$B$5&lt;&gt;"OK",$B$6&gt;0,Calendar!M$11=""),0,SUMIFS(rngEngine_V,rngEngine_B,INDEX(Team!$A$11:$A$60,$AO56),rngPMStart,"&lt;="&amp;Calendar!M$11,rngPMEnd,"&gt;="&amp;Calendar!M$11))</ns0:f>
        <ns0:v>0</ns0:v>
      </ns0:c>
      <ns0:c r="BW56" s="0">
        <ns0:f>IF(OR($AO56=0,$B$5&lt;&gt;"OK",$B$6&gt;0,Calendar!N$11=""),0,SUMIFS(rngEngine_U,rngEngine_B,INDEX(Team!$A$11:$A$60,$AO56),rngAMStart,"&lt;="&amp;Calendar!N$11,rngAMEnd,"&gt;="&amp;Calendar!N$11))</ns0:f>
        <ns0:v>0</ns0:v>
      </ns0:c>
      <ns0:c r="BX56" s="0">
        <ns0:f>IF(OR($AO56=0,$B$5&lt;&gt;"OK",$B$6&gt;0,Calendar!N$11=""),0,SUMIFS(rngEngine_V,rngEngine_B,INDEX(Team!$A$11:$A$60,$AO56),rngPMStart,"&lt;="&amp;Calendar!N$11,rngPMEnd,"&gt;="&amp;Calendar!N$11))</ns0:f>
        <ns0:v>0</ns0:v>
      </ns0:c>
      <ns0:c r="BY56" s="0">
        <ns0:f>IF(OR($AO56=0,$B$5&lt;&gt;"OK",$B$6&gt;0,Calendar!O$11=""),0,SUMIFS(rngEngine_U,rngEngine_B,INDEX(Team!$A$11:$A$60,$AO56),rngAMStart,"&lt;="&amp;Calendar!O$11,rngAMEnd,"&gt;="&amp;Calendar!O$11))</ns0:f>
        <ns0:v>0</ns0:v>
      </ns0:c>
      <ns0:c r="BZ56" s="0">
        <ns0:f>IF(OR($AO56=0,$B$5&lt;&gt;"OK",$B$6&gt;0,Calendar!O$11=""),0,SUMIFS(rngEngine_V,rngEngine_B,INDEX(Team!$A$11:$A$60,$AO56),rngPMStart,"&lt;="&amp;Calendar!O$11,rngPMEnd,"&gt;="&amp;Calendar!O$11))</ns0:f>
        <ns0:v>0</ns0:v>
      </ns0:c>
      <ns0:c r="CA56" s="0">
        <ns0:f>IF(OR($AO56=0,$B$5&lt;&gt;"OK",$B$6&gt;0,Calendar!P$11=""),0,SUMIFS(rngEngine_U,rngEngine_B,INDEX(Team!$A$11:$A$60,$AO56),rngAMStart,"&lt;="&amp;Calendar!P$11,rngAMEnd,"&gt;="&amp;Calendar!P$11))</ns0:f>
        <ns0:v>0</ns0:v>
      </ns0:c>
      <ns0:c r="CB56" s="0">
        <ns0:f>IF(OR($AO56=0,$B$5&lt;&gt;"OK",$B$6&gt;0,Calendar!P$11=""),0,SUMIFS(rngEngine_V,rngEngine_B,INDEX(Team!$A$11:$A$60,$AO56),rngPMStart,"&lt;="&amp;Calendar!P$11,rngPMEnd,"&gt;="&amp;Calendar!P$11))</ns0:f>
        <ns0:v>0</ns0:v>
      </ns0:c>
      <ns0:c r="CC56" s="0">
        <ns0:f>IF(OR($AO56=0,$B$5&lt;&gt;"OK",$B$6&gt;0,Calendar!Q$11=""),0,SUMIFS(rngEngine_U,rngEngine_B,INDEX(Team!$A$11:$A$60,$AO56),rngAMStart,"&lt;="&amp;Calendar!Q$11,rngAMEnd,"&gt;="&amp;Calendar!Q$11))</ns0:f>
        <ns0:v>0</ns0:v>
      </ns0:c>
      <ns0:c r="CD56" s="0">
        <ns0:f>IF(OR($AO56=0,$B$5&lt;&gt;"OK",$B$6&gt;0,Calendar!Q$11=""),0,SUMIFS(rngEngine_V,rngEngine_B,INDEX(Team!$A$11:$A$60,$AO56),rngPMStart,"&lt;="&amp;Calendar!Q$11,rngPMEnd,"&gt;="&amp;Calendar!Q$11))</ns0:f>
        <ns0:v>0</ns0:v>
      </ns0:c>
      <ns0:c r="CE56" s="0">
        <ns0:f>IF(OR($AO56=0,$B$5&lt;&gt;"OK",$B$6&gt;0,Calendar!R$11=""),0,SUMIFS(rngEngine_U,rngEngine_B,INDEX(Team!$A$11:$A$60,$AO56),rngAMStart,"&lt;="&amp;Calendar!R$11,rngAMEnd,"&gt;="&amp;Calendar!R$11))</ns0:f>
        <ns0:v>0</ns0:v>
      </ns0:c>
      <ns0:c r="CF56" s="0">
        <ns0:f>IF(OR($AO56=0,$B$5&lt;&gt;"OK",$B$6&gt;0,Calendar!R$11=""),0,SUMIFS(rngEngine_V,rngEngine_B,INDEX(Team!$A$11:$A$60,$AO56),rngPMStart,"&lt;="&amp;Calendar!R$11,rngPMEnd,"&gt;="&amp;Calendar!R$11))</ns0:f>
        <ns0:v>0</ns0:v>
      </ns0:c>
      <ns0:c r="CG56" s="0">
        <ns0:f>IF(OR($AO56=0,$B$5&lt;&gt;"OK",$B$6&gt;0,Calendar!S$11=""),0,SUMIFS(rngEngine_U,rngEngine_B,INDEX(Team!$A$11:$A$60,$AO56),rngAMStart,"&lt;="&amp;Calendar!S$11,rngAMEnd,"&gt;="&amp;Calendar!S$11))</ns0:f>
        <ns0:v>0</ns0:v>
      </ns0:c>
      <ns0:c r="CH56" s="0">
        <ns0:f>IF(OR($AO56=0,$B$5&lt;&gt;"OK",$B$6&gt;0,Calendar!S$11=""),0,SUMIFS(rngEngine_V,rngEngine_B,INDEX(Team!$A$11:$A$60,$AO56),rngPMStart,"&lt;="&amp;Calendar!S$11,rngPMEnd,"&gt;="&amp;Calendar!S$11))</ns0:f>
        <ns0:v>0</ns0:v>
      </ns0:c>
      <ns0:c r="CI56" s="0">
        <ns0:f>IF(OR($AO56=0,$B$5&lt;&gt;"OK",$B$6&gt;0,Calendar!T$11=""),0,SUMIFS(rngEngine_U,rngEngine_B,INDEX(Team!$A$11:$A$60,$AO56),rngAMStart,"&lt;="&amp;Calendar!T$11,rngAMEnd,"&gt;="&amp;Calendar!T$11))</ns0:f>
        <ns0:v>0</ns0:v>
      </ns0:c>
      <ns0:c r="CJ56" s="0">
        <ns0:f>IF(OR($AO56=0,$B$5&lt;&gt;"OK",$B$6&gt;0,Calendar!T$11=""),0,SUMIFS(rngEngine_V,rngEngine_B,INDEX(Team!$A$11:$A$60,$AO56),rngPMStart,"&lt;="&amp;Calendar!T$11,rngPMEnd,"&gt;="&amp;Calendar!T$11))</ns0:f>
        <ns0:v>0</ns0:v>
      </ns0:c>
      <ns0:c r="CK56" s="0">
        <ns0:f>IF(OR($AO56=0,$B$5&lt;&gt;"OK",$B$6&gt;0,Calendar!U$11=""),0,SUMIFS(rngEngine_U,rngEngine_B,INDEX(Team!$A$11:$A$60,$AO56),rngAMStart,"&lt;="&amp;Calendar!U$11,rngAMEnd,"&gt;="&amp;Calendar!U$11))</ns0:f>
        <ns0:v>0</ns0:v>
      </ns0:c>
      <ns0:c r="CL56" s="0">
        <ns0:f>IF(OR($AO56=0,$B$5&lt;&gt;"OK",$B$6&gt;0,Calendar!U$11=""),0,SUMIFS(rngEngine_V,rngEngine_B,INDEX(Team!$A$11:$A$60,$AO56),rngPMStart,"&lt;="&amp;Calendar!U$11,rngPMEnd,"&gt;="&amp;Calendar!U$11))</ns0:f>
        <ns0:v>0</ns0:v>
      </ns0:c>
      <ns0:c r="CM56" s="0">
        <ns0:f>IF(OR($AO56=0,$B$5&lt;&gt;"OK",$B$6&gt;0,Calendar!V$11=""),0,SUMIFS(rngEngine_U,rngEngine_B,INDEX(Team!$A$11:$A$60,$AO56),rngAMStart,"&lt;="&amp;Calendar!V$11,rngAMEnd,"&gt;="&amp;Calendar!V$11))</ns0:f>
        <ns0:v>0</ns0:v>
      </ns0:c>
      <ns0:c r="CN56" s="0">
        <ns0:f>IF(OR($AO56=0,$B$5&lt;&gt;"OK",$B$6&gt;0,Calendar!V$11=""),0,SUMIFS(rngEngine_V,rngEngine_B,INDEX(Team!$A$11:$A$60,$AO56),rngPMStart,"&lt;="&amp;Calendar!V$11,rngPMEnd,"&gt;="&amp;Calendar!V$11))</ns0:f>
        <ns0:v>0</ns0:v>
      </ns0:c>
      <ns0:c r="CO56" s="0">
        <ns0:f>IF(OR($AO56=0,$B$5&lt;&gt;"OK",$B$6&gt;0,Calendar!W$11=""),0,SUMIFS(rngEngine_U,rngEngine_B,INDEX(Team!$A$11:$A$60,$AO56),rngAMStart,"&lt;="&amp;Calendar!W$11,rngAMEnd,"&gt;="&amp;Calendar!W$11))</ns0:f>
        <ns0:v>0</ns0:v>
      </ns0:c>
      <ns0:c r="CP56" s="0">
        <ns0:f>IF(OR($AO56=0,$B$5&lt;&gt;"OK",$B$6&gt;0,Calendar!W$11=""),0,SUMIFS(rngEngine_V,rngEngine_B,INDEX(Team!$A$11:$A$60,$AO56),rngPMStart,"&lt;="&amp;Calendar!W$11,rngPMEnd,"&gt;="&amp;Calendar!W$11))</ns0:f>
        <ns0:v>0</ns0:v>
      </ns0:c>
      <ns0:c r="CQ56" s="0">
        <ns0:f>IF(OR($AO56=0,$B$5&lt;&gt;"OK",$B$6&gt;0,Calendar!X$11=""),0,SUMIFS(rngEngine_U,rngEngine_B,INDEX(Team!$A$11:$A$60,$AO56),rngAMStart,"&lt;="&amp;Calendar!X$11,rngAMEnd,"&gt;="&amp;Calendar!X$11))</ns0:f>
        <ns0:v>0</ns0:v>
      </ns0:c>
      <ns0:c r="CR56" s="0">
        <ns0:f>IF(OR($AO56=0,$B$5&lt;&gt;"OK",$B$6&gt;0,Calendar!X$11=""),0,SUMIFS(rngEngine_V,rngEngine_B,INDEX(Team!$A$11:$A$60,$AO56),rngPMStart,"&lt;="&amp;Calendar!X$11,rngPMEnd,"&gt;="&amp;Calendar!X$11))</ns0:f>
        <ns0:v>0</ns0:v>
      </ns0:c>
      <ns0:c r="CS56" s="0">
        <ns0:f>IF(OR($AO56=0,$B$5&lt;&gt;"OK",$B$6&gt;0,Calendar!Y$11=""),0,SUMIFS(rngEngine_U,rngEngine_B,INDEX(Team!$A$11:$A$60,$AO56),rngAMStart,"&lt;="&amp;Calendar!Y$11,rngAMEnd,"&gt;="&amp;Calendar!Y$11))</ns0:f>
        <ns0:v>0</ns0:v>
      </ns0:c>
      <ns0:c r="CT56" s="0">
        <ns0:f>IF(OR($AO56=0,$B$5&lt;&gt;"OK",$B$6&gt;0,Calendar!Y$11=""),0,SUMIFS(rngEngine_V,rngEngine_B,INDEX(Team!$A$11:$A$60,$AO56),rngPMStart,"&lt;="&amp;Calendar!Y$11,rngPMEnd,"&gt;="&amp;Calendar!Y$11))</ns0:f>
        <ns0:v>0</ns0:v>
      </ns0:c>
      <ns0:c r="CU56" s="0">
        <ns0:f>IF(OR($AO56=0,$B$5&lt;&gt;"OK",$B$6&gt;0,Calendar!Z$11=""),0,SUMIFS(rngEngine_U,rngEngine_B,INDEX(Team!$A$11:$A$60,$AO56),rngAMStart,"&lt;="&amp;Calendar!Z$11,rngAMEnd,"&gt;="&amp;Calendar!Z$11))</ns0:f>
        <ns0:v>0</ns0:v>
      </ns0:c>
      <ns0:c r="CV56" s="0">
        <ns0:f>IF(OR($AO56=0,$B$5&lt;&gt;"OK",$B$6&gt;0,Calendar!Z$11=""),0,SUMIFS(rngEngine_V,rngEngine_B,INDEX(Team!$A$11:$A$60,$AO56),rngPMStart,"&lt;="&amp;Calendar!Z$11,rngPMEnd,"&gt;="&amp;Calendar!Z$11))</ns0:f>
        <ns0:v>0</ns0:v>
      </ns0:c>
      <ns0:c r="CW56" s="0">
        <ns0:f>IF(OR($AO56=0,$B$5&lt;&gt;"OK",$B$6&gt;0,Calendar!AA$11=""),0,SUMIFS(rngEngine_U,rngEngine_B,INDEX(Team!$A$11:$A$60,$AO56),rngAMStart,"&lt;="&amp;Calendar!AA$11,rngAMEnd,"&gt;="&amp;Calendar!AA$11))</ns0:f>
        <ns0:v>0</ns0:v>
      </ns0:c>
      <ns0:c r="CX56" s="0">
        <ns0:f>IF(OR($AO56=0,$B$5&lt;&gt;"OK",$B$6&gt;0,Calendar!AA$11=""),0,SUMIFS(rngEngine_V,rngEngine_B,INDEX(Team!$A$11:$A$60,$AO56),rngPMStart,"&lt;="&amp;Calendar!AA$11,rngPMEnd,"&gt;="&amp;Calendar!AA$11))</ns0:f>
        <ns0:v>0</ns0:v>
      </ns0:c>
      <ns0:c r="CY56" s="0">
        <ns0:f>IF(OR($AO56=0,$B$5&lt;&gt;"OK",$B$6&gt;0,Calendar!AB$11=""),0,SUMIFS(rngEngine_U,rngEngine_B,INDEX(Team!$A$11:$A$60,$AO56),rngAMStart,"&lt;="&amp;Calendar!AB$11,rngAMEnd,"&gt;="&amp;Calendar!AB$11))</ns0:f>
        <ns0:v>0</ns0:v>
      </ns0:c>
      <ns0:c r="CZ56" s="0">
        <ns0:f>IF(OR($AO56=0,$B$5&lt;&gt;"OK",$B$6&gt;0,Calendar!AB$11=""),0,SUMIFS(rngEngine_V,rngEngine_B,INDEX(Team!$A$11:$A$60,$AO56),rngPMStart,"&lt;="&amp;Calendar!AB$11,rngPMEnd,"&gt;="&amp;Calendar!AB$11))</ns0:f>
        <ns0:v>0</ns0:v>
      </ns0:c>
      <ns0:c r="DA56" s="0">
        <ns0:f>IF(OR($AO56=0,$B$5&lt;&gt;"OK",$B$6&gt;0,Calendar!AC$11=""),0,SUMIFS(rngEngine_U,rngEngine_B,INDEX(Team!$A$11:$A$60,$AO56),rngAMStart,"&lt;="&amp;Calendar!AC$11,rngAMEnd,"&gt;="&amp;Calendar!AC$11))</ns0:f>
        <ns0:v>0</ns0:v>
      </ns0:c>
      <ns0:c r="DB56" s="0">
        <ns0:f>IF(OR($AO56=0,$B$5&lt;&gt;"OK",$B$6&gt;0,Calendar!AC$11=""),0,SUMIFS(rngEngine_V,rngEngine_B,INDEX(Team!$A$11:$A$60,$AO56),rngPMStart,"&lt;="&amp;Calendar!AC$11,rngPMEnd,"&gt;="&amp;Calendar!AC$11))</ns0:f>
        <ns0:v>0</ns0:v>
      </ns0:c>
      <ns0:c r="DC56" s="0">
        <ns0:f>IF(OR($AO56=0,$B$5&lt;&gt;"OK",$B$6&gt;0,Calendar!AD$11=""),0,SUMIFS(rngEngine_U,rngEngine_B,INDEX(Team!$A$11:$A$60,$AO56),rngAMStart,"&lt;="&amp;Calendar!AD$11,rngAMEnd,"&gt;="&amp;Calendar!AD$11))</ns0:f>
        <ns0:v>0</ns0:v>
      </ns0:c>
      <ns0:c r="DD56" s="0">
        <ns0:f>IF(OR($AO56=0,$B$5&lt;&gt;"OK",$B$6&gt;0,Calendar!AD$11=""),0,SUMIFS(rngEngine_V,rngEngine_B,INDEX(Team!$A$11:$A$60,$AO56),rngPMStart,"&lt;="&amp;Calendar!AD$11,rngPMEnd,"&gt;="&amp;Calendar!AD$11))</ns0:f>
        <ns0:v>0</ns0:v>
      </ns0:c>
      <ns0:c r="DE56" s="0">
        <ns0:f>IF(OR($AO56=0,$B$5&lt;&gt;"OK",$B$6&gt;0,Calendar!AE$11=""),0,SUMIFS(rngEngine_U,rngEngine_B,INDEX(Team!$A$11:$A$60,$AO56),rngAMStart,"&lt;="&amp;Calendar!AE$11,rngAMEnd,"&gt;="&amp;Calendar!AE$11))</ns0:f>
        <ns0:v>0</ns0:v>
      </ns0:c>
      <ns0:c r="DF56" s="0">
        <ns0:f>IF(OR($AO56=0,$B$5&lt;&gt;"OK",$B$6&gt;0,Calendar!AE$11=""),0,SUMIFS(rngEngine_V,rngEngine_B,INDEX(Team!$A$11:$A$60,$AO56),rngPMStart,"&lt;="&amp;Calendar!AE$11,rngPMEnd,"&gt;="&amp;Calendar!AE$11))</ns0:f>
        <ns0:v>0</ns0:v>
      </ns0:c>
      <ns0:c r="DG56" s="0">
        <ns0:f>IF(OR($AO56=0,$B$5&lt;&gt;"OK",$B$6&gt;0,Calendar!AF$11=""),0,SUMIFS(rngEngine_U,rngEngine_B,INDEX(Team!$A$11:$A$60,$AO56),rngAMStart,"&lt;="&amp;Calendar!AF$11,rngAMEnd,"&gt;="&amp;Calendar!AF$11))</ns0:f>
        <ns0:v>0</ns0:v>
      </ns0:c>
      <ns0:c r="DH56" s="0">
        <ns0:f>IF(OR($AO56=0,$B$5&lt;&gt;"OK",$B$6&gt;0,Calendar!AF$11=""),0,SUMIFS(rngEngine_V,rngEngine_B,INDEX(Team!$A$11:$A$60,$AO56),rngPMStart,"&lt;="&amp;Calendar!AF$11,rngPMEnd,"&gt;="&amp;Calendar!AF$11))</ns0:f>
        <ns0:v>0</ns0:v>
      </ns0:c>
      <ns0:c r="DI56" s="0">
        <ns0:f>IF(OR($AO56=0,$B$5&lt;&gt;"OK",$B$6&gt;0,Calendar!AG$11=""),0,SUMIFS(rngEngine_U,rngEngine_B,INDEX(Team!$A$11:$A$60,$AO56),rngAMStart,"&lt;="&amp;Calendar!AG$11,rngAMEnd,"&gt;="&amp;Calendar!AG$11))</ns0:f>
        <ns0:v>0</ns0:v>
      </ns0:c>
      <ns0:c r="DJ56" s="0">
        <ns0:f>IF(OR($AO56=0,$B$5&lt;&gt;"OK",$B$6&gt;0,Calendar!AG$11=""),0,SUMIFS(rngEngine_V,rngEngine_B,INDEX(Team!$A$11:$A$60,$AO56),rngPMStart,"&lt;="&amp;Calendar!AG$11,rngPMEnd,"&gt;="&amp;Calendar!AG$11))</ns0:f>
        <ns0:v>0</ns0:v>
      </ns0:c>
      <ns0:c r="DK56" s="0">
        <ns0:f>IF(OR($AO56=0,$B$5&lt;&gt;"OK",$B$6&gt;0,Calendar!AH$11=""),0,SUMIFS(rngEngine_U,rngEngine_B,INDEX(Team!$A$11:$A$60,$AO56),rngAMStart,"&lt;="&amp;Calendar!AH$11,rngAMEnd,"&gt;="&amp;Calendar!AH$11))</ns0:f>
        <ns0:v>0</ns0:v>
      </ns0:c>
      <ns0:c r="DL56" s="0">
        <ns0:f>IF(OR($AO56=0,$B$5&lt;&gt;"OK",$B$6&gt;0,Calendar!AH$11=""),0,SUMIFS(rngEngine_V,rngEngine_B,INDEX(Team!$A$11:$A$60,$AO56),rngPMStart,"&lt;="&amp;Calendar!AH$11,rngPMEnd,"&gt;="&amp;Calendar!AH$11))</ns0:f>
        <ns0:v>0</ns0:v>
      </ns0:c>
    </ns0:row>
    <ns0:row r="57" ht="22" customHeight="1">
      <ns0:c r="A57" s="4">
        <ns0:f>IF(COUNTA(Bookings!A57:G57,Bookings!I57)=0,0,1)</ns0:f>
        <ns0:v>0</ns0:v>
      </ns0:c>
      <ns0:c r="B57" s="4" t="str">
        <ns0:f>IFERROR(TRIM(MID(Bookings!A57,FIND(" · ",Bookings!A57)+3,99)),"")</ns0:f>
        <ns0:v/>
      </ns0:c>
      <ns0:c r="C57" s="4">
        <ns0:f>IF(OR(B57="",LEN(B57)&gt;24,ISNUMBER(FIND(" ",B57)),ISNUMBER(FIND("*",B57)),ISNUMBER(FIND("?",B57)),ISNUMBER(FIND("~",B57))),0,IFERROR(MATCH(B57,Team!$A$11:$A$60,0),0))</ns0:f>
        <ns0:v>0</ns0:v>
      </ns0:c>
      <ns0:c r="D57" s="4" t="str">
        <ns0:f>IFERROR(IF(MID(Bookings!F57,LEN(Bookings!F57)-3,3)=" · ",RIGHT(Bookings!F57,1),""),"")</ns0:f>
        <ns0:v/>
      </ns0:c>
      <ns0:c r="E57" s="4" t="str">
        <ns0:f>IFERROR(INDEX(Settings!$H$7:$H$11,MATCH(D57,Settings!$G$7:$G$11,0)),"")</ns0:f>
        <ns0:v/>
      </ns0:c>
      <ns0:c r="F57" s="4" t="str">
        <ns0:f>IF(A57=0,"",IFERROR(IF(OR(B57="",C57=0),"CHECK employee selection",IF(INDEX(Team!$O$11:$O$60,C57)&lt;&gt;"OK","CHECK employee setup",IF(OR('_Dates'!J57=0,'_Dates'!T57=0),"CHECK date: use DD.MM.YYYY",IF('_Dates'!T57&lt;'_Dates'!J57,"CHECK end before start",IF(AND($B$6=0,OR('_Dates'!J57&lt;Settings!$B$7,'_Dates'!T57&gt;Settings!$B$8)),"CHECK split across leave years",IF(OR(NOT(OR('_Dates'!U57="Full day",'_Dates'!U57="AM",'_Dates'!U57="PM")),NOT(OR('_Dates'!V57="Full day",'_Dates'!V57="AM",'_Dates'!V57="PM"))),"CHECK Full day / AM / PM",IF(AND('_Dates'!J57='_Dates'!T57,'_Dates'!U57&lt;&gt;"Full day",'_Dates'!V57&lt;&gt;"Full day",'_Dates'!U57&lt;&gt;'_Dates'!V57),"CHECK same-day portions disagree",IF(AND($B$6=0,OR(AND('_Dates'!U57&lt;&gt;"Full day",'_Dates'!AA57=0),AND('_Dates'!V57&lt;&gt;"Full day",'_Dates'!AB57=0))),"CHECK half-day on non-working date",IF(COUNTIF(Settings!$G$7:$G$11,D57)&lt;&gt;1,"CHECK leave type",IF(AND(Bookings!G57&lt;&gt;"Approved",Bookings!G57&lt;&gt;"Pending",Bookings!G57&lt;&gt;"Cancelled"),"CHECK status","OK")))))))))),"CHECK input"))</ns0:f>
        <ns0:v/>
      </ns0:c>
      <ns0:c r="G57" s="4">
        <ns0:f>IF(OR(F57&lt;&gt;"OK",$B$6&gt;0),0,0.5*(IF(('_Dates'!X57)&lt;('_Dates'!W57),0,INT((('_Dates'!X57)-('_Dates'!W57)+1)/7)*LEN(SUBSTITUTE(W57,"O",""))+LEN(SUBSTITUTE(MID(W57&amp;W57,WEEKDAY(('_Dates'!W57),2),MOD((('_Dates'!X57)-('_Dates'!W57)+1),7)),"O",""))-COUNTIFS(INDEX(AllClosureRows,C57,0),"&gt;="&amp;('_Dates'!W57),INDEX(AllClosureRows,C57,0),"&lt;="&amp;('_Dates'!X57)))+IF(('_Dates'!Z57)&lt;('_Dates'!Y57),0,INT((('_Dates'!Z57)-('_Dates'!Y57)+1)/7)*LEN(SUBSTITUTE(W57,"O",""))+LEN(SUBSTITUTE(MID(W57&amp;W57,WEEKDAY(('_Dates'!Y57),2),MOD((('_Dates'!Z57)-('_Dates'!Y57)+1),7)),"O",""))-COUNTIFS(INDEX(AllClosureRows,C57,0),"&gt;="&amp;('_Dates'!Y57),INDEX(AllClosureRows,C57,0),"&lt;="&amp;('_Dates'!Z57)))))</ns0:f>
        <ns0:v>0</ns0:v>
      </ns0:c>
      <ns0:c r="H57" s="4">
        <ns0:f>IF(OR(F57&lt;&gt;"OK",$B$6&gt;0),0,0.5*(IF((MIN('_Dates'!X57,Settings!$B$9))&lt;('_Dates'!W57),0,INT(((MIN('_Dates'!X57,Settings!$B$9))-('_Dates'!W57)+1)/7)*LEN(SUBSTITUTE(W57,"O",""))+LEN(SUBSTITUTE(MID(W57&amp;W57,WEEKDAY(('_Dates'!W57),2),MOD(((MIN('_Dates'!X57,Settings!$B$9))-('_Dates'!W57)+1),7)),"O",""))-COUNTIFS(INDEX(AllClosureRows,C57,0),"&gt;="&amp;('_Dates'!W57),INDEX(AllClosureRows,C57,0),"&lt;="&amp;(MIN('_Dates'!X57,Settings!$B$9))))+IF((MIN('_Dates'!Z57,Settings!$B$9))&lt;('_Dates'!Y57),0,INT(((MIN('_Dates'!Z57,Settings!$B$9))-('_Dates'!Y57)+1)/7)*LEN(SUBSTITUTE(W57,"O",""))+LEN(SUBSTITUTE(MID(W57&amp;W57,WEEKDAY(('_Dates'!Y57),2),MOD(((MIN('_Dates'!Z57,Settings!$B$9))-('_Dates'!Y57)+1),7)),"O",""))-COUNTIFS(INDEX(AllClosureRows,C57,0),"&gt;="&amp;('_Dates'!Y57),INDEX(AllClosureRows,C57,0),"&lt;="&amp;(MIN('_Dates'!Z57,Settings!$B$9))))))</ns0:f>
        <ns0:v>0</ns0:v>
      </ns0:c>
      <ns0:c r="I57" s="4">
        <ns0:f>MAX(0,G57-H57)</ns0:f>
        <ns0:v>0</ns0:v>
      </ns0:c>
      <ns0:c r="J57" s="4">
        <ns0:f>IF(OR(A57=0,F57&lt;&gt;"OK",Bookings!G57="Cancelled",$B$6&gt;0),0,IF('_Dates'!AC57=1,MAX(0,COUNTIFS(rngEngine_B,B57,rngAMStart,"&lt;="&amp;'_Dates'!X57,rngAMEnd,"&gt;="&amp;'_Dates'!W57,rngAMActive,1,rngEngine_F,"OK",rngBookings_F,"&lt;&gt;Cancelled")-1),0)+IF('_Dates'!AD57=1,MAX(0,COUNTIFS(rngEngine_B,B57,rngPMStart,"&lt;="&amp;'_Dates'!Z57,rngPMEnd,"&gt;="&amp;'_Dates'!Y57,rngPMActive,1,rngEngine_F,"OK",rngBookings_F,"&lt;&gt;Cancelled")-1),0))</ns0:f>
        <ns0:v>0</ns0:v>
      </ns0:c>
      <ns0:c r="K57" s="0" t="str">
        <ns0:f>IF(A57=0,"",IF(F57&lt;&gt;"OK",F57,IF(J57&gt;0,"CHECK overlapping entry",IF(AND($B$6=0,G57&lt;=0,Bookings!G57&lt;&gt;"Cancelled"),"CHECK no working days",IF(Bookings!G57="Cancelled","Cancelled","OK")))))</ns0:f>
        <ns0:v/>
      </ns0:c>
      <ns0:c r="L57" s="0">
        <ns0:f>IF(LEFT(K57,5)="CHECK",1,0)</ns0:f>
        <ns0:v>0</ns0:v>
      </ns0:c>
      <ns0:c r="M57" s="0">
        <ns0:f>IF(AND(L57=1,OR(C57=0,IFERROR(INDEX($X$11:$X$60,C57),0)=0)),1,0)</ns0:f>
        <ns0:v>0</ns0:v>
      </ns0:c>
      <ns0:c r="N57" s="0">
        <ns0:f>IF(OR(A57=0,L57&gt;0,$B$6&gt;0,Bookings!G57="Cancelled"),0,G57)</ns0:f>
        <ns0:v>0</ns0:v>
      </ns0:c>
      <ns0:c r="O57" s="0">
        <ns0:f>IF(AND(Bookings!G57="Approved",E57="Yes"),N57,0)</ns0:f>
        <ns0:v>0</ns0:v>
      </ns0:c>
      <ns0:c r="P57" s="0">
        <ns0:f>IF(AND(Bookings!G57="Approved",E57="Yes",L57=0,$B$6=0),H57,0)</ns0:f>
        <ns0:v>0</ns0:v>
      </ns0:c>
      <ns0:c r="Q57" s="0">
        <ns0:f>IF(AND(Bookings!G57="Approved",E57="Yes",L57=0,$B$6=0),I57,0)</ns0:f>
        <ns0:v>0</ns0:v>
      </ns0:c>
      <ns0:c r="R57" s="0">
        <ns0:f>IF(AND(Bookings!G57="Pending",E57="Yes"),N57,0)</ns0:f>
        <ns0:v>0</ns0:v>
      </ns0:c>
      <ns0:c r="S57" s="0">
        <ns0:f>IF(AND(Bookings!G57="Approved",E57="No"),N57,0)</ns0:f>
        <ns0:v>0</ns0:v>
      </ns0:c>
      <ns0:c r="T57" s="0">
        <ns0:f>IFERROR(MATCH(D57,Settings!$G$7:$G$11,0),0)</ns0:f>
        <ns0:v>0</ns0:v>
      </ns0:c>
      <ns0:c r="U57" s="0">
        <ns0:f>IF(N57&gt;0,T57+IF(Bookings!G57="Pending",10,0),0)</ns0:f>
        <ns0:v>0</ns0:v>
      </ns0:c>
      <ns0:c r="V57" s="0">
        <ns0:f>U57</ns0:f>
        <ns0:v>0</ns0:v>
      </ns0:c>
      <ns0:c r="W57" s="0" t="str">
        <ns0:f>IF(C57=0,"",INDEX($AP$11:$AP$60,C57))</ns0:f>
        <ns0:v/>
      </ns0:c>
      <ns0:c r="X57" s="0">
        <ns0:f>IF(COUNTA(Team!B57:D57)=0,0,1)</ns0:f>
        <ns0:v>0</ns0:v>
      </ns0:c>
      <ns0:c r="Y57" s="0" t="str">
        <ns0:f>IF(X57=0,"",IF(Team!B57="","[Unnamed]",Team!B57)&amp;" · "&amp;Team!A57)</ns0:f>
        <ns0:v/>
      </ns0:c>
      <ns0:c r="Z57" s="0">
        <ns0:f>IF(X57=0,0,COUNTIF(Team!H57:N57,"Work"))</ns0:f>
        <ns0:v>0</ns0:v>
      </ns0:c>
      <ns0:c r="AA57" s="0">
        <ns0:f>IF(LEFT(Team!O57,5)="CHECK",1,0)</ns0:f>
        <ns0:v>0</ns0:v>
      </ns0:c>
      <ns0:c r="AB57" s="0">
        <ns0:f>IF(X57=0,0,SUMIFS(rngEngine_L,rngEngine_B,Team!A57))</ns0:f>
        <ns0:v>0</ns0:v>
      </ns0:c>
      <ns0:c r="AC57" s="0" t="str">
        <ns0:f>IF(AND(X57=1,OR(Calendar!$C$7="All teams",Team!C57=Calendar!$C$7)),MAX($AC$10:AC56)+1,"")</ns0:f>
        <ns0:v/>
      </ns0:c>
      <ns0:c r="AD57" s="0" t="str">
        <ns0:f>IF(OR(X57=0,Team!C57="",COUNTIF(Team!$C$11:C57,Team!C57)&gt;1),"",MAX($AD$10:AD56)+1)</ns0:f>
        <ns0:v/>
      </ns0:c>
      <ns0:c r="AE57" s="0" t="str">
        <ns0:f>IFERROR(INDEX(Team!$C$11:$C$60,MATCH(ROW()-10,$AD$11:$AD$60,0)),"")</ns0:f>
        <ns0:v/>
      </ns0:c>
      <ns0:c r="AF57" s="0" t="str">
        <ns0:f>AE57</ns0:f>
        <ns0:v/>
      </ns0:c>
      <ns0:c r="AG57" s="0">
        <ns0:f>IF(X57=0,0,IFERROR(Team!F57+Team!G57,0))</ns0:f>
        <ns0:v>0</ns0:v>
      </ns0:c>
      <ns0:c r="AH57" s="0">
        <ns0:f>IF(X57=0,0,SUMIFS(rngEngine_P,rngEngine_B,Team!A57))</ns0:f>
        <ns0:v>0</ns0:v>
      </ns0:c>
      <ns0:c r="AI57" s="0">
        <ns0:f>IF(X57=0,0,SUMIFS(rngEngine_Q,rngEngine_B,Team!A57))</ns0:f>
        <ns0:v>0</ns0:v>
      </ns0:c>
      <ns0:c r="AJ57" s="0">
        <ns0:f>IF(X57=0,0,SUMIFS(rngEngine_R,rngEngine_B,Team!A57))</ns0:f>
        <ns0:v>0</ns0:v>
      </ns0:c>
      <ns0:c r="AK57" s="0">
        <ns0:f>IF(X57=0,0,SUMIFS(rngEngine_S,rngEngine_B,Team!A57))</ns0:f>
        <ns0:v>0</ns0:v>
      </ns0:c>
      <ns0:c r="AL57" s="0">
        <ns0:f>AH57+AI57</ns0:f>
        <ns0:v>0</ns0:v>
      </ns0:c>
      <ns0:c r="AM57" s="0" t="str">
        <ns0:f>IF(X57=0,"",IF(AA57&gt;0,"CHECK team setup",IF(AB57&gt;0,"CHECK "&amp;AB57&amp;" booking(s)","OK")))</ns0:f>
        <ns0:v/>
      </ns0:c>
      <ns0:c r="AN57" s="0" t="str">
        <ns0:f>IF(X57=0,"",IF(OR($B$6&gt;0,AM57&lt;&gt;"OK"),"REVIEW",AG57-AL57))</ns0:f>
        <ns0:v/>
      </ns0:c>
      <ns0:c r="AO57" s="0">
        <ns0:f>IFERROR(MATCH(ROW()-11,$AC$11:$AC$60,0),0)</ns0:f>
        <ns0:v>0</ns0:v>
      </ns0:c>
      <ns0:c r="AP57" s="0" t="str">
        <ns0:f>IF(Team!H57="Work","W","O")&amp;IF(Team!I57="Work","W","O")&amp;IF(Team!J57="Work","W","O")&amp;IF(Team!K57="Work","W","O")&amp;IF(Team!L57="Work","W","O")&amp;IF(Team!M57="Work","W","O")&amp;IF(Team!N57="Work","W","O")</ns0:f>
        <ns0:v>WWWWWOO</ns0:v>
      </ns0:c>
      <ns0:c r="AR57" s="0">
        <ns0:f>IFERROR(IF(ISNUMBER(Settings!F57),WEEKDAY(Settings!F57,2),0),0)</ns0:f>
        <ns0:v>0</ns0:v>
      </ns0:c>
      <ns0:c r="BC57" s="0">
        <ns0:f>IF(OR($AO57=0,$B$5&lt;&gt;"OK",$B$6&gt;0,Calendar!D$11=""),0,SUMIFS(rngEngine_U,rngEngine_B,INDEX(Team!$A$11:$A$60,$AO57),rngAMStart,"&lt;="&amp;Calendar!D$11,rngAMEnd,"&gt;="&amp;Calendar!D$11))</ns0:f>
        <ns0:v>0</ns0:v>
      </ns0:c>
      <ns0:c r="BD57" s="0">
        <ns0:f>IF(OR($AO57=0,$B$5&lt;&gt;"OK",$B$6&gt;0,Calendar!D$11=""),0,SUMIFS(rngEngine_V,rngEngine_B,INDEX(Team!$A$11:$A$60,$AO57),rngPMStart,"&lt;="&amp;Calendar!D$11,rngPMEnd,"&gt;="&amp;Calendar!D$11))</ns0:f>
        <ns0:v>0</ns0:v>
      </ns0:c>
      <ns0:c r="BE57" s="0">
        <ns0:f>IF(OR($AO57=0,$B$5&lt;&gt;"OK",$B$6&gt;0,Calendar!E$11=""),0,SUMIFS(rngEngine_U,rngEngine_B,INDEX(Team!$A$11:$A$60,$AO57),rngAMStart,"&lt;="&amp;Calendar!E$11,rngAMEnd,"&gt;="&amp;Calendar!E$11))</ns0:f>
        <ns0:v>0</ns0:v>
      </ns0:c>
      <ns0:c r="BF57" s="0">
        <ns0:f>IF(OR($AO57=0,$B$5&lt;&gt;"OK",$B$6&gt;0,Calendar!E$11=""),0,SUMIFS(rngEngine_V,rngEngine_B,INDEX(Team!$A$11:$A$60,$AO57),rngPMStart,"&lt;="&amp;Calendar!E$11,rngPMEnd,"&gt;="&amp;Calendar!E$11))</ns0:f>
        <ns0:v>0</ns0:v>
      </ns0:c>
      <ns0:c r="BG57" s="0">
        <ns0:f>IF(OR($AO57=0,$B$5&lt;&gt;"OK",$B$6&gt;0,Calendar!F$11=""),0,SUMIFS(rngEngine_U,rngEngine_B,INDEX(Team!$A$11:$A$60,$AO57),rngAMStart,"&lt;="&amp;Calendar!F$11,rngAMEnd,"&gt;="&amp;Calendar!F$11))</ns0:f>
        <ns0:v>0</ns0:v>
      </ns0:c>
      <ns0:c r="BH57" s="0">
        <ns0:f>IF(OR($AO57=0,$B$5&lt;&gt;"OK",$B$6&gt;0,Calendar!F$11=""),0,SUMIFS(rngEngine_V,rngEngine_B,INDEX(Team!$A$11:$A$60,$AO57),rngPMStart,"&lt;="&amp;Calendar!F$11,rngPMEnd,"&gt;="&amp;Calendar!F$11))</ns0:f>
        <ns0:v>0</ns0:v>
      </ns0:c>
      <ns0:c r="BI57" s="0">
        <ns0:f>IF(OR($AO57=0,$B$5&lt;&gt;"OK",$B$6&gt;0,Calendar!G$11=""),0,SUMIFS(rngEngine_U,rngEngine_B,INDEX(Team!$A$11:$A$60,$AO57),rngAMStart,"&lt;="&amp;Calendar!G$11,rngAMEnd,"&gt;="&amp;Calendar!G$11))</ns0:f>
        <ns0:v>0</ns0:v>
      </ns0:c>
      <ns0:c r="BJ57" s="0">
        <ns0:f>IF(OR($AO57=0,$B$5&lt;&gt;"OK",$B$6&gt;0,Calendar!G$11=""),0,SUMIFS(rngEngine_V,rngEngine_B,INDEX(Team!$A$11:$A$60,$AO57),rngPMStart,"&lt;="&amp;Calendar!G$11,rngPMEnd,"&gt;="&amp;Calendar!G$11))</ns0:f>
        <ns0:v>0</ns0:v>
      </ns0:c>
      <ns0:c r="BK57" s="0">
        <ns0:f>IF(OR($AO57=0,$B$5&lt;&gt;"OK",$B$6&gt;0,Calendar!H$11=""),0,SUMIFS(rngEngine_U,rngEngine_B,INDEX(Team!$A$11:$A$60,$AO57),rngAMStart,"&lt;="&amp;Calendar!H$11,rngAMEnd,"&gt;="&amp;Calendar!H$11))</ns0:f>
        <ns0:v>0</ns0:v>
      </ns0:c>
      <ns0:c r="BL57" s="0">
        <ns0:f>IF(OR($AO57=0,$B$5&lt;&gt;"OK",$B$6&gt;0,Calendar!H$11=""),0,SUMIFS(rngEngine_V,rngEngine_B,INDEX(Team!$A$11:$A$60,$AO57),rngPMStart,"&lt;="&amp;Calendar!H$11,rngPMEnd,"&gt;="&amp;Calendar!H$11))</ns0:f>
        <ns0:v>0</ns0:v>
      </ns0:c>
      <ns0:c r="BM57" s="0">
        <ns0:f>IF(OR($AO57=0,$B$5&lt;&gt;"OK",$B$6&gt;0,Calendar!I$11=""),0,SUMIFS(rngEngine_U,rngEngine_B,INDEX(Team!$A$11:$A$60,$AO57),rngAMStart,"&lt;="&amp;Calendar!I$11,rngAMEnd,"&gt;="&amp;Calendar!I$11))</ns0:f>
        <ns0:v>0</ns0:v>
      </ns0:c>
      <ns0:c r="BN57" s="0">
        <ns0:f>IF(OR($AO57=0,$B$5&lt;&gt;"OK",$B$6&gt;0,Calendar!I$11=""),0,SUMIFS(rngEngine_V,rngEngine_B,INDEX(Team!$A$11:$A$60,$AO57),rngPMStart,"&lt;="&amp;Calendar!I$11,rngPMEnd,"&gt;="&amp;Calendar!I$11))</ns0:f>
        <ns0:v>0</ns0:v>
      </ns0:c>
      <ns0:c r="BO57" s="0">
        <ns0:f>IF(OR($AO57=0,$B$5&lt;&gt;"OK",$B$6&gt;0,Calendar!J$11=""),0,SUMIFS(rngEngine_U,rngEngine_B,INDEX(Team!$A$11:$A$60,$AO57),rngAMStart,"&lt;="&amp;Calendar!J$11,rngAMEnd,"&gt;="&amp;Calendar!J$11))</ns0:f>
        <ns0:v>0</ns0:v>
      </ns0:c>
      <ns0:c r="BP57" s="0">
        <ns0:f>IF(OR($AO57=0,$B$5&lt;&gt;"OK",$B$6&gt;0,Calendar!J$11=""),0,SUMIFS(rngEngine_V,rngEngine_B,INDEX(Team!$A$11:$A$60,$AO57),rngPMStart,"&lt;="&amp;Calendar!J$11,rngPMEnd,"&gt;="&amp;Calendar!J$11))</ns0:f>
        <ns0:v>0</ns0:v>
      </ns0:c>
      <ns0:c r="BQ57" s="0">
        <ns0:f>IF(OR($AO57=0,$B$5&lt;&gt;"OK",$B$6&gt;0,Calendar!K$11=""),0,SUMIFS(rngEngine_U,rngEngine_B,INDEX(Team!$A$11:$A$60,$AO57),rngAMStart,"&lt;="&amp;Calendar!K$11,rngAMEnd,"&gt;="&amp;Calendar!K$11))</ns0:f>
        <ns0:v>0</ns0:v>
      </ns0:c>
      <ns0:c r="BR57" s="0">
        <ns0:f>IF(OR($AO57=0,$B$5&lt;&gt;"OK",$B$6&gt;0,Calendar!K$11=""),0,SUMIFS(rngEngine_V,rngEngine_B,INDEX(Team!$A$11:$A$60,$AO57),rngPMStart,"&lt;="&amp;Calendar!K$11,rngPMEnd,"&gt;="&amp;Calendar!K$11))</ns0:f>
        <ns0:v>0</ns0:v>
      </ns0:c>
      <ns0:c r="BS57" s="0">
        <ns0:f>IF(OR($AO57=0,$B$5&lt;&gt;"OK",$B$6&gt;0,Calendar!L$11=""),0,SUMIFS(rngEngine_U,rngEngine_B,INDEX(Team!$A$11:$A$60,$AO57),rngAMStart,"&lt;="&amp;Calendar!L$11,rngAMEnd,"&gt;="&amp;Calendar!L$11))</ns0:f>
        <ns0:v>0</ns0:v>
      </ns0:c>
      <ns0:c r="BT57" s="0">
        <ns0:f>IF(OR($AO57=0,$B$5&lt;&gt;"OK",$B$6&gt;0,Calendar!L$11=""),0,SUMIFS(rngEngine_V,rngEngine_B,INDEX(Team!$A$11:$A$60,$AO57),rngPMStart,"&lt;="&amp;Calendar!L$11,rngPMEnd,"&gt;="&amp;Calendar!L$11))</ns0:f>
        <ns0:v>0</ns0:v>
      </ns0:c>
      <ns0:c r="BU57" s="0">
        <ns0:f>IF(OR($AO57=0,$B$5&lt;&gt;"OK",$B$6&gt;0,Calendar!M$11=""),0,SUMIFS(rngEngine_U,rngEngine_B,INDEX(Team!$A$11:$A$60,$AO57),rngAMStart,"&lt;="&amp;Calendar!M$11,rngAMEnd,"&gt;="&amp;Calendar!M$11))</ns0:f>
        <ns0:v>0</ns0:v>
      </ns0:c>
      <ns0:c r="BV57" s="0">
        <ns0:f>IF(OR($AO57=0,$B$5&lt;&gt;"OK",$B$6&gt;0,Calendar!M$11=""),0,SUMIFS(rngEngine_V,rngEngine_B,INDEX(Team!$A$11:$A$60,$AO57),rngPMStart,"&lt;="&amp;Calendar!M$11,rngPMEnd,"&gt;="&amp;Calendar!M$11))</ns0:f>
        <ns0:v>0</ns0:v>
      </ns0:c>
      <ns0:c r="BW57" s="0">
        <ns0:f>IF(OR($AO57=0,$B$5&lt;&gt;"OK",$B$6&gt;0,Calendar!N$11=""),0,SUMIFS(rngEngine_U,rngEngine_B,INDEX(Team!$A$11:$A$60,$AO57),rngAMStart,"&lt;="&amp;Calendar!N$11,rngAMEnd,"&gt;="&amp;Calendar!N$11))</ns0:f>
        <ns0:v>0</ns0:v>
      </ns0:c>
      <ns0:c r="BX57" s="0">
        <ns0:f>IF(OR($AO57=0,$B$5&lt;&gt;"OK",$B$6&gt;0,Calendar!N$11=""),0,SUMIFS(rngEngine_V,rngEngine_B,INDEX(Team!$A$11:$A$60,$AO57),rngPMStart,"&lt;="&amp;Calendar!N$11,rngPMEnd,"&gt;="&amp;Calendar!N$11))</ns0:f>
        <ns0:v>0</ns0:v>
      </ns0:c>
      <ns0:c r="BY57" s="0">
        <ns0:f>IF(OR($AO57=0,$B$5&lt;&gt;"OK",$B$6&gt;0,Calendar!O$11=""),0,SUMIFS(rngEngine_U,rngEngine_B,INDEX(Team!$A$11:$A$60,$AO57),rngAMStart,"&lt;="&amp;Calendar!O$11,rngAMEnd,"&gt;="&amp;Calendar!O$11))</ns0:f>
        <ns0:v>0</ns0:v>
      </ns0:c>
      <ns0:c r="BZ57" s="0">
        <ns0:f>IF(OR($AO57=0,$B$5&lt;&gt;"OK",$B$6&gt;0,Calendar!O$11=""),0,SUMIFS(rngEngine_V,rngEngine_B,INDEX(Team!$A$11:$A$60,$AO57),rngPMStart,"&lt;="&amp;Calendar!O$11,rngPMEnd,"&gt;="&amp;Calendar!O$11))</ns0:f>
        <ns0:v>0</ns0:v>
      </ns0:c>
      <ns0:c r="CA57" s="0">
        <ns0:f>IF(OR($AO57=0,$B$5&lt;&gt;"OK",$B$6&gt;0,Calendar!P$11=""),0,SUMIFS(rngEngine_U,rngEngine_B,INDEX(Team!$A$11:$A$60,$AO57),rngAMStart,"&lt;="&amp;Calendar!P$11,rngAMEnd,"&gt;="&amp;Calendar!P$11))</ns0:f>
        <ns0:v>0</ns0:v>
      </ns0:c>
      <ns0:c r="CB57" s="0">
        <ns0:f>IF(OR($AO57=0,$B$5&lt;&gt;"OK",$B$6&gt;0,Calendar!P$11=""),0,SUMIFS(rngEngine_V,rngEngine_B,INDEX(Team!$A$11:$A$60,$AO57),rngPMStart,"&lt;="&amp;Calendar!P$11,rngPMEnd,"&gt;="&amp;Calendar!P$11))</ns0:f>
        <ns0:v>0</ns0:v>
      </ns0:c>
      <ns0:c r="CC57" s="0">
        <ns0:f>IF(OR($AO57=0,$B$5&lt;&gt;"OK",$B$6&gt;0,Calendar!Q$11=""),0,SUMIFS(rngEngine_U,rngEngine_B,INDEX(Team!$A$11:$A$60,$AO57),rngAMStart,"&lt;="&amp;Calendar!Q$11,rngAMEnd,"&gt;="&amp;Calendar!Q$11))</ns0:f>
        <ns0:v>0</ns0:v>
      </ns0:c>
      <ns0:c r="CD57" s="0">
        <ns0:f>IF(OR($AO57=0,$B$5&lt;&gt;"OK",$B$6&gt;0,Calendar!Q$11=""),0,SUMIFS(rngEngine_V,rngEngine_B,INDEX(Team!$A$11:$A$60,$AO57),rngPMStart,"&lt;="&amp;Calendar!Q$11,rngPMEnd,"&gt;="&amp;Calendar!Q$11))</ns0:f>
        <ns0:v>0</ns0:v>
      </ns0:c>
      <ns0:c r="CE57" s="0">
        <ns0:f>IF(OR($AO57=0,$B$5&lt;&gt;"OK",$B$6&gt;0,Calendar!R$11=""),0,SUMIFS(rngEngine_U,rngEngine_B,INDEX(Team!$A$11:$A$60,$AO57),rngAMStart,"&lt;="&amp;Calendar!R$11,rngAMEnd,"&gt;="&amp;Calendar!R$11))</ns0:f>
        <ns0:v>0</ns0:v>
      </ns0:c>
      <ns0:c r="CF57" s="0">
        <ns0:f>IF(OR($AO57=0,$B$5&lt;&gt;"OK",$B$6&gt;0,Calendar!R$11=""),0,SUMIFS(rngEngine_V,rngEngine_B,INDEX(Team!$A$11:$A$60,$AO57),rngPMStart,"&lt;="&amp;Calendar!R$11,rngPMEnd,"&gt;="&amp;Calendar!R$11))</ns0:f>
        <ns0:v>0</ns0:v>
      </ns0:c>
      <ns0:c r="CG57" s="0">
        <ns0:f>IF(OR($AO57=0,$B$5&lt;&gt;"OK",$B$6&gt;0,Calendar!S$11=""),0,SUMIFS(rngEngine_U,rngEngine_B,INDEX(Team!$A$11:$A$60,$AO57),rngAMStart,"&lt;="&amp;Calendar!S$11,rngAMEnd,"&gt;="&amp;Calendar!S$11))</ns0:f>
        <ns0:v>0</ns0:v>
      </ns0:c>
      <ns0:c r="CH57" s="0">
        <ns0:f>IF(OR($AO57=0,$B$5&lt;&gt;"OK",$B$6&gt;0,Calendar!S$11=""),0,SUMIFS(rngEngine_V,rngEngine_B,INDEX(Team!$A$11:$A$60,$AO57),rngPMStart,"&lt;="&amp;Calendar!S$11,rngPMEnd,"&gt;="&amp;Calendar!S$11))</ns0:f>
        <ns0:v>0</ns0:v>
      </ns0:c>
      <ns0:c r="CI57" s="0">
        <ns0:f>IF(OR($AO57=0,$B$5&lt;&gt;"OK",$B$6&gt;0,Calendar!T$11=""),0,SUMIFS(rngEngine_U,rngEngine_B,INDEX(Team!$A$11:$A$60,$AO57),rngAMStart,"&lt;="&amp;Calendar!T$11,rngAMEnd,"&gt;="&amp;Calendar!T$11))</ns0:f>
        <ns0:v>0</ns0:v>
      </ns0:c>
      <ns0:c r="CJ57" s="0">
        <ns0:f>IF(OR($AO57=0,$B$5&lt;&gt;"OK",$B$6&gt;0,Calendar!T$11=""),0,SUMIFS(rngEngine_V,rngEngine_B,INDEX(Team!$A$11:$A$60,$AO57),rngPMStart,"&lt;="&amp;Calendar!T$11,rngPMEnd,"&gt;="&amp;Calendar!T$11))</ns0:f>
        <ns0:v>0</ns0:v>
      </ns0:c>
      <ns0:c r="CK57" s="0">
        <ns0:f>IF(OR($AO57=0,$B$5&lt;&gt;"OK",$B$6&gt;0,Calendar!U$11=""),0,SUMIFS(rngEngine_U,rngEngine_B,INDEX(Team!$A$11:$A$60,$AO57),rngAMStart,"&lt;="&amp;Calendar!U$11,rngAMEnd,"&gt;="&amp;Calendar!U$11))</ns0:f>
        <ns0:v>0</ns0:v>
      </ns0:c>
      <ns0:c r="CL57" s="0">
        <ns0:f>IF(OR($AO57=0,$B$5&lt;&gt;"OK",$B$6&gt;0,Calendar!U$11=""),0,SUMIFS(rngEngine_V,rngEngine_B,INDEX(Team!$A$11:$A$60,$AO57),rngPMStart,"&lt;="&amp;Calendar!U$11,rngPMEnd,"&gt;="&amp;Calendar!U$11))</ns0:f>
        <ns0:v>0</ns0:v>
      </ns0:c>
      <ns0:c r="CM57" s="0">
        <ns0:f>IF(OR($AO57=0,$B$5&lt;&gt;"OK",$B$6&gt;0,Calendar!V$11=""),0,SUMIFS(rngEngine_U,rngEngine_B,INDEX(Team!$A$11:$A$60,$AO57),rngAMStart,"&lt;="&amp;Calendar!V$11,rngAMEnd,"&gt;="&amp;Calendar!V$11))</ns0:f>
        <ns0:v>0</ns0:v>
      </ns0:c>
      <ns0:c r="CN57" s="0">
        <ns0:f>IF(OR($AO57=0,$B$5&lt;&gt;"OK",$B$6&gt;0,Calendar!V$11=""),0,SUMIFS(rngEngine_V,rngEngine_B,INDEX(Team!$A$11:$A$60,$AO57),rngPMStart,"&lt;="&amp;Calendar!V$11,rngPMEnd,"&gt;="&amp;Calendar!V$11))</ns0:f>
        <ns0:v>0</ns0:v>
      </ns0:c>
      <ns0:c r="CO57" s="0">
        <ns0:f>IF(OR($AO57=0,$B$5&lt;&gt;"OK",$B$6&gt;0,Calendar!W$11=""),0,SUMIFS(rngEngine_U,rngEngine_B,INDEX(Team!$A$11:$A$60,$AO57),rngAMStart,"&lt;="&amp;Calendar!W$11,rngAMEnd,"&gt;="&amp;Calendar!W$11))</ns0:f>
        <ns0:v>0</ns0:v>
      </ns0:c>
      <ns0:c r="CP57" s="0">
        <ns0:f>IF(OR($AO57=0,$B$5&lt;&gt;"OK",$B$6&gt;0,Calendar!W$11=""),0,SUMIFS(rngEngine_V,rngEngine_B,INDEX(Team!$A$11:$A$60,$AO57),rngPMStart,"&lt;="&amp;Calendar!W$11,rngPMEnd,"&gt;="&amp;Calendar!W$11))</ns0:f>
        <ns0:v>0</ns0:v>
      </ns0:c>
      <ns0:c r="CQ57" s="0">
        <ns0:f>IF(OR($AO57=0,$B$5&lt;&gt;"OK",$B$6&gt;0,Calendar!X$11=""),0,SUMIFS(rngEngine_U,rngEngine_B,INDEX(Team!$A$11:$A$60,$AO57),rngAMStart,"&lt;="&amp;Calendar!X$11,rngAMEnd,"&gt;="&amp;Calendar!X$11))</ns0:f>
        <ns0:v>0</ns0:v>
      </ns0:c>
      <ns0:c r="CR57" s="0">
        <ns0:f>IF(OR($AO57=0,$B$5&lt;&gt;"OK",$B$6&gt;0,Calendar!X$11=""),0,SUMIFS(rngEngine_V,rngEngine_B,INDEX(Team!$A$11:$A$60,$AO57),rngPMStart,"&lt;="&amp;Calendar!X$11,rngPMEnd,"&gt;="&amp;Calendar!X$11))</ns0:f>
        <ns0:v>0</ns0:v>
      </ns0:c>
      <ns0:c r="CS57" s="0">
        <ns0:f>IF(OR($AO57=0,$B$5&lt;&gt;"OK",$B$6&gt;0,Calendar!Y$11=""),0,SUMIFS(rngEngine_U,rngEngine_B,INDEX(Team!$A$11:$A$60,$AO57),rngAMStart,"&lt;="&amp;Calendar!Y$11,rngAMEnd,"&gt;="&amp;Calendar!Y$11))</ns0:f>
        <ns0:v>0</ns0:v>
      </ns0:c>
      <ns0:c r="CT57" s="0">
        <ns0:f>IF(OR($AO57=0,$B$5&lt;&gt;"OK",$B$6&gt;0,Calendar!Y$11=""),0,SUMIFS(rngEngine_V,rngEngine_B,INDEX(Team!$A$11:$A$60,$AO57),rngPMStart,"&lt;="&amp;Calendar!Y$11,rngPMEnd,"&gt;="&amp;Calendar!Y$11))</ns0:f>
        <ns0:v>0</ns0:v>
      </ns0:c>
      <ns0:c r="CU57" s="0">
        <ns0:f>IF(OR($AO57=0,$B$5&lt;&gt;"OK",$B$6&gt;0,Calendar!Z$11=""),0,SUMIFS(rngEngine_U,rngEngine_B,INDEX(Team!$A$11:$A$60,$AO57),rngAMStart,"&lt;="&amp;Calendar!Z$11,rngAMEnd,"&gt;="&amp;Calendar!Z$11))</ns0:f>
        <ns0:v>0</ns0:v>
      </ns0:c>
      <ns0:c r="CV57" s="0">
        <ns0:f>IF(OR($AO57=0,$B$5&lt;&gt;"OK",$B$6&gt;0,Calendar!Z$11=""),0,SUMIFS(rngEngine_V,rngEngine_B,INDEX(Team!$A$11:$A$60,$AO57),rngPMStart,"&lt;="&amp;Calendar!Z$11,rngPMEnd,"&gt;="&amp;Calendar!Z$11))</ns0:f>
        <ns0:v>0</ns0:v>
      </ns0:c>
      <ns0:c r="CW57" s="0">
        <ns0:f>IF(OR($AO57=0,$B$5&lt;&gt;"OK",$B$6&gt;0,Calendar!AA$11=""),0,SUMIFS(rngEngine_U,rngEngine_B,INDEX(Team!$A$11:$A$60,$AO57),rngAMStart,"&lt;="&amp;Calendar!AA$11,rngAMEnd,"&gt;="&amp;Calendar!AA$11))</ns0:f>
        <ns0:v>0</ns0:v>
      </ns0:c>
      <ns0:c r="CX57" s="0">
        <ns0:f>IF(OR($AO57=0,$B$5&lt;&gt;"OK",$B$6&gt;0,Calendar!AA$11=""),0,SUMIFS(rngEngine_V,rngEngine_B,INDEX(Team!$A$11:$A$60,$AO57),rngPMStart,"&lt;="&amp;Calendar!AA$11,rngPMEnd,"&gt;="&amp;Calendar!AA$11))</ns0:f>
        <ns0:v>0</ns0:v>
      </ns0:c>
      <ns0:c r="CY57" s="0">
        <ns0:f>IF(OR($AO57=0,$B$5&lt;&gt;"OK",$B$6&gt;0,Calendar!AB$11=""),0,SUMIFS(rngEngine_U,rngEngine_B,INDEX(Team!$A$11:$A$60,$AO57),rngAMStart,"&lt;="&amp;Calendar!AB$11,rngAMEnd,"&gt;="&amp;Calendar!AB$11))</ns0:f>
        <ns0:v>0</ns0:v>
      </ns0:c>
      <ns0:c r="CZ57" s="0">
        <ns0:f>IF(OR($AO57=0,$B$5&lt;&gt;"OK",$B$6&gt;0,Calendar!AB$11=""),0,SUMIFS(rngEngine_V,rngEngine_B,INDEX(Team!$A$11:$A$60,$AO57),rngPMStart,"&lt;="&amp;Calendar!AB$11,rngPMEnd,"&gt;="&amp;Calendar!AB$11))</ns0:f>
        <ns0:v>0</ns0:v>
      </ns0:c>
      <ns0:c r="DA57" s="0">
        <ns0:f>IF(OR($AO57=0,$B$5&lt;&gt;"OK",$B$6&gt;0,Calendar!AC$11=""),0,SUMIFS(rngEngine_U,rngEngine_B,INDEX(Team!$A$11:$A$60,$AO57),rngAMStart,"&lt;="&amp;Calendar!AC$11,rngAMEnd,"&gt;="&amp;Calendar!AC$11))</ns0:f>
        <ns0:v>0</ns0:v>
      </ns0:c>
      <ns0:c r="DB57" s="0">
        <ns0:f>IF(OR($AO57=0,$B$5&lt;&gt;"OK",$B$6&gt;0,Calendar!AC$11=""),0,SUMIFS(rngEngine_V,rngEngine_B,INDEX(Team!$A$11:$A$60,$AO57),rngPMStart,"&lt;="&amp;Calendar!AC$11,rngPMEnd,"&gt;="&amp;Calendar!AC$11))</ns0:f>
        <ns0:v>0</ns0:v>
      </ns0:c>
      <ns0:c r="DC57" s="0">
        <ns0:f>IF(OR($AO57=0,$B$5&lt;&gt;"OK",$B$6&gt;0,Calendar!AD$11=""),0,SUMIFS(rngEngine_U,rngEngine_B,INDEX(Team!$A$11:$A$60,$AO57),rngAMStart,"&lt;="&amp;Calendar!AD$11,rngAMEnd,"&gt;="&amp;Calendar!AD$11))</ns0:f>
        <ns0:v>0</ns0:v>
      </ns0:c>
      <ns0:c r="DD57" s="0">
        <ns0:f>IF(OR($AO57=0,$B$5&lt;&gt;"OK",$B$6&gt;0,Calendar!AD$11=""),0,SUMIFS(rngEngine_V,rngEngine_B,INDEX(Team!$A$11:$A$60,$AO57),rngPMStart,"&lt;="&amp;Calendar!AD$11,rngPMEnd,"&gt;="&amp;Calendar!AD$11))</ns0:f>
        <ns0:v>0</ns0:v>
      </ns0:c>
      <ns0:c r="DE57" s="0">
        <ns0:f>IF(OR($AO57=0,$B$5&lt;&gt;"OK",$B$6&gt;0,Calendar!AE$11=""),0,SUMIFS(rngEngine_U,rngEngine_B,INDEX(Team!$A$11:$A$60,$AO57),rngAMStart,"&lt;="&amp;Calendar!AE$11,rngAMEnd,"&gt;="&amp;Calendar!AE$11))</ns0:f>
        <ns0:v>0</ns0:v>
      </ns0:c>
      <ns0:c r="DF57" s="0">
        <ns0:f>IF(OR($AO57=0,$B$5&lt;&gt;"OK",$B$6&gt;0,Calendar!AE$11=""),0,SUMIFS(rngEngine_V,rngEngine_B,INDEX(Team!$A$11:$A$60,$AO57),rngPMStart,"&lt;="&amp;Calendar!AE$11,rngPMEnd,"&gt;="&amp;Calendar!AE$11))</ns0:f>
        <ns0:v>0</ns0:v>
      </ns0:c>
      <ns0:c r="DG57" s="0">
        <ns0:f>IF(OR($AO57=0,$B$5&lt;&gt;"OK",$B$6&gt;0,Calendar!AF$11=""),0,SUMIFS(rngEngine_U,rngEngine_B,INDEX(Team!$A$11:$A$60,$AO57),rngAMStart,"&lt;="&amp;Calendar!AF$11,rngAMEnd,"&gt;="&amp;Calendar!AF$11))</ns0:f>
        <ns0:v>0</ns0:v>
      </ns0:c>
      <ns0:c r="DH57" s="0">
        <ns0:f>IF(OR($AO57=0,$B$5&lt;&gt;"OK",$B$6&gt;0,Calendar!AF$11=""),0,SUMIFS(rngEngine_V,rngEngine_B,INDEX(Team!$A$11:$A$60,$AO57),rngPMStart,"&lt;="&amp;Calendar!AF$11,rngPMEnd,"&gt;="&amp;Calendar!AF$11))</ns0:f>
        <ns0:v>0</ns0:v>
      </ns0:c>
      <ns0:c r="DI57" s="0">
        <ns0:f>IF(OR($AO57=0,$B$5&lt;&gt;"OK",$B$6&gt;0,Calendar!AG$11=""),0,SUMIFS(rngEngine_U,rngEngine_B,INDEX(Team!$A$11:$A$60,$AO57),rngAMStart,"&lt;="&amp;Calendar!AG$11,rngAMEnd,"&gt;="&amp;Calendar!AG$11))</ns0:f>
        <ns0:v>0</ns0:v>
      </ns0:c>
      <ns0:c r="DJ57" s="0">
        <ns0:f>IF(OR($AO57=0,$B$5&lt;&gt;"OK",$B$6&gt;0,Calendar!AG$11=""),0,SUMIFS(rngEngine_V,rngEngine_B,INDEX(Team!$A$11:$A$60,$AO57),rngPMStart,"&lt;="&amp;Calendar!AG$11,rngPMEnd,"&gt;="&amp;Calendar!AG$11))</ns0:f>
        <ns0:v>0</ns0:v>
      </ns0:c>
      <ns0:c r="DK57" s="0">
        <ns0:f>IF(OR($AO57=0,$B$5&lt;&gt;"OK",$B$6&gt;0,Calendar!AH$11=""),0,SUMIFS(rngEngine_U,rngEngine_B,INDEX(Team!$A$11:$A$60,$AO57),rngAMStart,"&lt;="&amp;Calendar!AH$11,rngAMEnd,"&gt;="&amp;Calendar!AH$11))</ns0:f>
        <ns0:v>0</ns0:v>
      </ns0:c>
      <ns0:c r="DL57" s="0">
        <ns0:f>IF(OR($AO57=0,$B$5&lt;&gt;"OK",$B$6&gt;0,Calendar!AH$11=""),0,SUMIFS(rngEngine_V,rngEngine_B,INDEX(Team!$A$11:$A$60,$AO57),rngPMStart,"&lt;="&amp;Calendar!AH$11,rngPMEnd,"&gt;="&amp;Calendar!AH$11))</ns0:f>
        <ns0:v>0</ns0:v>
      </ns0:c>
    </ns0:row>
    <ns0:row r="58" ht="22" customHeight="1">
      <ns0:c r="A58" s="4">
        <ns0:f>IF(COUNTA(Bookings!A58:G58,Bookings!I58)=0,0,1)</ns0:f>
        <ns0:v>0</ns0:v>
      </ns0:c>
      <ns0:c r="B58" s="4" t="str">
        <ns0:f>IFERROR(TRIM(MID(Bookings!A58,FIND(" · ",Bookings!A58)+3,99)),"")</ns0:f>
        <ns0:v/>
      </ns0:c>
      <ns0:c r="C58" s="4">
        <ns0:f>IF(OR(B58="",LEN(B58)&gt;24,ISNUMBER(FIND(" ",B58)),ISNUMBER(FIND("*",B58)),ISNUMBER(FIND("?",B58)),ISNUMBER(FIND("~",B58))),0,IFERROR(MATCH(B58,Team!$A$11:$A$60,0),0))</ns0:f>
        <ns0:v>0</ns0:v>
      </ns0:c>
      <ns0:c r="D58" s="4" t="str">
        <ns0:f>IFERROR(IF(MID(Bookings!F58,LEN(Bookings!F58)-3,3)=" · ",RIGHT(Bookings!F58,1),""),"")</ns0:f>
        <ns0:v/>
      </ns0:c>
      <ns0:c r="E58" s="4" t="str">
        <ns0:f>IFERROR(INDEX(Settings!$H$7:$H$11,MATCH(D58,Settings!$G$7:$G$11,0)),"")</ns0:f>
        <ns0:v/>
      </ns0:c>
      <ns0:c r="F58" s="4" t="str">
        <ns0:f>IF(A58=0,"",IFERROR(IF(OR(B58="",C58=0),"CHECK employee selection",IF(INDEX(Team!$O$11:$O$60,C58)&lt;&gt;"OK","CHECK employee setup",IF(OR('_Dates'!J58=0,'_Dates'!T58=0),"CHECK date: use DD.MM.YYYY",IF('_Dates'!T58&lt;'_Dates'!J58,"CHECK end before start",IF(AND($B$6=0,OR('_Dates'!J58&lt;Settings!$B$7,'_Dates'!T58&gt;Settings!$B$8)),"CHECK split across leave years",IF(OR(NOT(OR('_Dates'!U58="Full day",'_Dates'!U58="AM",'_Dates'!U58="PM")),NOT(OR('_Dates'!V58="Full day",'_Dates'!V58="AM",'_Dates'!V58="PM"))),"CHECK Full day / AM / PM",IF(AND('_Dates'!J58='_Dates'!T58,'_Dates'!U58&lt;&gt;"Full day",'_Dates'!V58&lt;&gt;"Full day",'_Dates'!U58&lt;&gt;'_Dates'!V58),"CHECK same-day portions disagree",IF(AND($B$6=0,OR(AND('_Dates'!U58&lt;&gt;"Full day",'_Dates'!AA58=0),AND('_Dates'!V58&lt;&gt;"Full day",'_Dates'!AB58=0))),"CHECK half-day on non-working date",IF(COUNTIF(Settings!$G$7:$G$11,D58)&lt;&gt;1,"CHECK leave type",IF(AND(Bookings!G58&lt;&gt;"Approved",Bookings!G58&lt;&gt;"Pending",Bookings!G58&lt;&gt;"Cancelled"),"CHECK status","OK")))))))))),"CHECK input"))</ns0:f>
        <ns0:v/>
      </ns0:c>
      <ns0:c r="G58" s="4">
        <ns0:f>IF(OR(F58&lt;&gt;"OK",$B$6&gt;0),0,0.5*(IF(('_Dates'!X58)&lt;('_Dates'!W58),0,INT((('_Dates'!X58)-('_Dates'!W58)+1)/7)*LEN(SUBSTITUTE(W58,"O",""))+LEN(SUBSTITUTE(MID(W58&amp;W58,WEEKDAY(('_Dates'!W58),2),MOD((('_Dates'!X58)-('_Dates'!W58)+1),7)),"O",""))-COUNTIFS(INDEX(AllClosureRows,C58,0),"&gt;="&amp;('_Dates'!W58),INDEX(AllClosureRows,C58,0),"&lt;="&amp;('_Dates'!X58)))+IF(('_Dates'!Z58)&lt;('_Dates'!Y58),0,INT((('_Dates'!Z58)-('_Dates'!Y58)+1)/7)*LEN(SUBSTITUTE(W58,"O",""))+LEN(SUBSTITUTE(MID(W58&amp;W58,WEEKDAY(('_Dates'!Y58),2),MOD((('_Dates'!Z58)-('_Dates'!Y58)+1),7)),"O",""))-COUNTIFS(INDEX(AllClosureRows,C58,0),"&gt;="&amp;('_Dates'!Y58),INDEX(AllClosureRows,C58,0),"&lt;="&amp;('_Dates'!Z58)))))</ns0:f>
        <ns0:v>0</ns0:v>
      </ns0:c>
      <ns0:c r="H58" s="4">
        <ns0:f>IF(OR(F58&lt;&gt;"OK",$B$6&gt;0),0,0.5*(IF((MIN('_Dates'!X58,Settings!$B$9))&lt;('_Dates'!W58),0,INT(((MIN('_Dates'!X58,Settings!$B$9))-('_Dates'!W58)+1)/7)*LEN(SUBSTITUTE(W58,"O",""))+LEN(SUBSTITUTE(MID(W58&amp;W58,WEEKDAY(('_Dates'!W58),2),MOD(((MIN('_Dates'!X58,Settings!$B$9))-('_Dates'!W58)+1),7)),"O",""))-COUNTIFS(INDEX(AllClosureRows,C58,0),"&gt;="&amp;('_Dates'!W58),INDEX(AllClosureRows,C58,0),"&lt;="&amp;(MIN('_Dates'!X58,Settings!$B$9))))+IF((MIN('_Dates'!Z58,Settings!$B$9))&lt;('_Dates'!Y58),0,INT(((MIN('_Dates'!Z58,Settings!$B$9))-('_Dates'!Y58)+1)/7)*LEN(SUBSTITUTE(W58,"O",""))+LEN(SUBSTITUTE(MID(W58&amp;W58,WEEKDAY(('_Dates'!Y58),2),MOD(((MIN('_Dates'!Z58,Settings!$B$9))-('_Dates'!Y58)+1),7)),"O",""))-COUNTIFS(INDEX(AllClosureRows,C58,0),"&gt;="&amp;('_Dates'!Y58),INDEX(AllClosureRows,C58,0),"&lt;="&amp;(MIN('_Dates'!Z58,Settings!$B$9))))))</ns0:f>
        <ns0:v>0</ns0:v>
      </ns0:c>
      <ns0:c r="I58" s="4">
        <ns0:f>MAX(0,G58-H58)</ns0:f>
        <ns0:v>0</ns0:v>
      </ns0:c>
      <ns0:c r="J58" s="4">
        <ns0:f>IF(OR(A58=0,F58&lt;&gt;"OK",Bookings!G58="Cancelled",$B$6&gt;0),0,IF('_Dates'!AC58=1,MAX(0,COUNTIFS(rngEngine_B,B58,rngAMStart,"&lt;="&amp;'_Dates'!X58,rngAMEnd,"&gt;="&amp;'_Dates'!W58,rngAMActive,1,rngEngine_F,"OK",rngBookings_F,"&lt;&gt;Cancelled")-1),0)+IF('_Dates'!AD58=1,MAX(0,COUNTIFS(rngEngine_B,B58,rngPMStart,"&lt;="&amp;'_Dates'!Z58,rngPMEnd,"&gt;="&amp;'_Dates'!Y58,rngPMActive,1,rngEngine_F,"OK",rngBookings_F,"&lt;&gt;Cancelled")-1),0))</ns0:f>
        <ns0:v>0</ns0:v>
      </ns0:c>
      <ns0:c r="K58" s="0" t="str">
        <ns0:f>IF(A58=0,"",IF(F58&lt;&gt;"OK",F58,IF(J58&gt;0,"CHECK overlapping entry",IF(AND($B$6=0,G58&lt;=0,Bookings!G58&lt;&gt;"Cancelled"),"CHECK no working days",IF(Bookings!G58="Cancelled","Cancelled","OK")))))</ns0:f>
        <ns0:v/>
      </ns0:c>
      <ns0:c r="L58" s="0">
        <ns0:f>IF(LEFT(K58,5)="CHECK",1,0)</ns0:f>
        <ns0:v>0</ns0:v>
      </ns0:c>
      <ns0:c r="M58" s="0">
        <ns0:f>IF(AND(L58=1,OR(C58=0,IFERROR(INDEX($X$11:$X$60,C58),0)=0)),1,0)</ns0:f>
        <ns0:v>0</ns0:v>
      </ns0:c>
      <ns0:c r="N58" s="0">
        <ns0:f>IF(OR(A58=0,L58&gt;0,$B$6&gt;0,Bookings!G58="Cancelled"),0,G58)</ns0:f>
        <ns0:v>0</ns0:v>
      </ns0:c>
      <ns0:c r="O58" s="0">
        <ns0:f>IF(AND(Bookings!G58="Approved",E58="Yes"),N58,0)</ns0:f>
        <ns0:v>0</ns0:v>
      </ns0:c>
      <ns0:c r="P58" s="0">
        <ns0:f>IF(AND(Bookings!G58="Approved",E58="Yes",L58=0,$B$6=0),H58,0)</ns0:f>
        <ns0:v>0</ns0:v>
      </ns0:c>
      <ns0:c r="Q58" s="0">
        <ns0:f>IF(AND(Bookings!G58="Approved",E58="Yes",L58=0,$B$6=0),I58,0)</ns0:f>
        <ns0:v>0</ns0:v>
      </ns0:c>
      <ns0:c r="R58" s="0">
        <ns0:f>IF(AND(Bookings!G58="Pending",E58="Yes"),N58,0)</ns0:f>
        <ns0:v>0</ns0:v>
      </ns0:c>
      <ns0:c r="S58" s="0">
        <ns0:f>IF(AND(Bookings!G58="Approved",E58="No"),N58,0)</ns0:f>
        <ns0:v>0</ns0:v>
      </ns0:c>
      <ns0:c r="T58" s="0">
        <ns0:f>IFERROR(MATCH(D58,Settings!$G$7:$G$11,0),0)</ns0:f>
        <ns0:v>0</ns0:v>
      </ns0:c>
      <ns0:c r="U58" s="0">
        <ns0:f>IF(N58&gt;0,T58+IF(Bookings!G58="Pending",10,0),0)</ns0:f>
        <ns0:v>0</ns0:v>
      </ns0:c>
      <ns0:c r="V58" s="0">
        <ns0:f>U58</ns0:f>
        <ns0:v>0</ns0:v>
      </ns0:c>
      <ns0:c r="W58" s="0" t="str">
        <ns0:f>IF(C58=0,"",INDEX($AP$11:$AP$60,C58))</ns0:f>
        <ns0:v/>
      </ns0:c>
      <ns0:c r="X58" s="0">
        <ns0:f>IF(COUNTA(Team!B58:D58)=0,0,1)</ns0:f>
        <ns0:v>0</ns0:v>
      </ns0:c>
      <ns0:c r="Y58" s="0" t="str">
        <ns0:f>IF(X58=0,"",IF(Team!B58="","[Unnamed]",Team!B58)&amp;" · "&amp;Team!A58)</ns0:f>
        <ns0:v/>
      </ns0:c>
      <ns0:c r="Z58" s="0">
        <ns0:f>IF(X58=0,0,COUNTIF(Team!H58:N58,"Work"))</ns0:f>
        <ns0:v>0</ns0:v>
      </ns0:c>
      <ns0:c r="AA58" s="0">
        <ns0:f>IF(LEFT(Team!O58,5)="CHECK",1,0)</ns0:f>
        <ns0:v>0</ns0:v>
      </ns0:c>
      <ns0:c r="AB58" s="0">
        <ns0:f>IF(X58=0,0,SUMIFS(rngEngine_L,rngEngine_B,Team!A58))</ns0:f>
        <ns0:v>0</ns0:v>
      </ns0:c>
      <ns0:c r="AC58" s="0" t="str">
        <ns0:f>IF(AND(X58=1,OR(Calendar!$C$7="All teams",Team!C58=Calendar!$C$7)),MAX($AC$10:AC57)+1,"")</ns0:f>
        <ns0:v/>
      </ns0:c>
      <ns0:c r="AD58" s="0" t="str">
        <ns0:f>IF(OR(X58=0,Team!C58="",COUNTIF(Team!$C$11:C58,Team!C58)&gt;1),"",MAX($AD$10:AD57)+1)</ns0:f>
        <ns0:v/>
      </ns0:c>
      <ns0:c r="AE58" s="0" t="str">
        <ns0:f>IFERROR(INDEX(Team!$C$11:$C$60,MATCH(ROW()-10,$AD$11:$AD$60,0)),"")</ns0:f>
        <ns0:v/>
      </ns0:c>
      <ns0:c r="AF58" s="0" t="str">
        <ns0:f>AE58</ns0:f>
        <ns0:v/>
      </ns0:c>
      <ns0:c r="AG58" s="0">
        <ns0:f>IF(X58=0,0,IFERROR(Team!F58+Team!G58,0))</ns0:f>
        <ns0:v>0</ns0:v>
      </ns0:c>
      <ns0:c r="AH58" s="0">
        <ns0:f>IF(X58=0,0,SUMIFS(rngEngine_P,rngEngine_B,Team!A58))</ns0:f>
        <ns0:v>0</ns0:v>
      </ns0:c>
      <ns0:c r="AI58" s="0">
        <ns0:f>IF(X58=0,0,SUMIFS(rngEngine_Q,rngEngine_B,Team!A58))</ns0:f>
        <ns0:v>0</ns0:v>
      </ns0:c>
      <ns0:c r="AJ58" s="0">
        <ns0:f>IF(X58=0,0,SUMIFS(rngEngine_R,rngEngine_B,Team!A58))</ns0:f>
        <ns0:v>0</ns0:v>
      </ns0:c>
      <ns0:c r="AK58" s="0">
        <ns0:f>IF(X58=0,0,SUMIFS(rngEngine_S,rngEngine_B,Team!A58))</ns0:f>
        <ns0:v>0</ns0:v>
      </ns0:c>
      <ns0:c r="AL58" s="0">
        <ns0:f>AH58+AI58</ns0:f>
        <ns0:v>0</ns0:v>
      </ns0:c>
      <ns0:c r="AM58" s="0" t="str">
        <ns0:f>IF(X58=0,"",IF(AA58&gt;0,"CHECK team setup",IF(AB58&gt;0,"CHECK "&amp;AB58&amp;" booking(s)","OK")))</ns0:f>
        <ns0:v/>
      </ns0:c>
      <ns0:c r="AN58" s="0" t="str">
        <ns0:f>IF(X58=0,"",IF(OR($B$6&gt;0,AM58&lt;&gt;"OK"),"REVIEW",AG58-AL58))</ns0:f>
        <ns0:v/>
      </ns0:c>
      <ns0:c r="AO58" s="0">
        <ns0:f>IFERROR(MATCH(ROW()-11,$AC$11:$AC$60,0),0)</ns0:f>
        <ns0:v>0</ns0:v>
      </ns0:c>
      <ns0:c r="AP58" s="0" t="str">
        <ns0:f>IF(Team!H58="Work","W","O")&amp;IF(Team!I58="Work","W","O")&amp;IF(Team!J58="Work","W","O")&amp;IF(Team!K58="Work","W","O")&amp;IF(Team!L58="Work","W","O")&amp;IF(Team!M58="Work","W","O")&amp;IF(Team!N58="Work","W","O")</ns0:f>
        <ns0:v>WWWWWOO</ns0:v>
      </ns0:c>
      <ns0:c r="AR58" s="0">
        <ns0:f>IFERROR(IF(ISNUMBER(Settings!F58),WEEKDAY(Settings!F58,2),0),0)</ns0:f>
        <ns0:v>0</ns0:v>
      </ns0:c>
      <ns0:c r="BC58" s="0">
        <ns0:f>IF(OR($AO58=0,$B$5&lt;&gt;"OK",$B$6&gt;0,Calendar!D$11=""),0,SUMIFS(rngEngine_U,rngEngine_B,INDEX(Team!$A$11:$A$60,$AO58),rngAMStart,"&lt;="&amp;Calendar!D$11,rngAMEnd,"&gt;="&amp;Calendar!D$11))</ns0:f>
        <ns0:v>0</ns0:v>
      </ns0:c>
      <ns0:c r="BD58" s="0">
        <ns0:f>IF(OR($AO58=0,$B$5&lt;&gt;"OK",$B$6&gt;0,Calendar!D$11=""),0,SUMIFS(rngEngine_V,rngEngine_B,INDEX(Team!$A$11:$A$60,$AO58),rngPMStart,"&lt;="&amp;Calendar!D$11,rngPMEnd,"&gt;="&amp;Calendar!D$11))</ns0:f>
        <ns0:v>0</ns0:v>
      </ns0:c>
      <ns0:c r="BE58" s="0">
        <ns0:f>IF(OR($AO58=0,$B$5&lt;&gt;"OK",$B$6&gt;0,Calendar!E$11=""),0,SUMIFS(rngEngine_U,rngEngine_B,INDEX(Team!$A$11:$A$60,$AO58),rngAMStart,"&lt;="&amp;Calendar!E$11,rngAMEnd,"&gt;="&amp;Calendar!E$11))</ns0:f>
        <ns0:v>0</ns0:v>
      </ns0:c>
      <ns0:c r="BF58" s="0">
        <ns0:f>IF(OR($AO58=0,$B$5&lt;&gt;"OK",$B$6&gt;0,Calendar!E$11=""),0,SUMIFS(rngEngine_V,rngEngine_B,INDEX(Team!$A$11:$A$60,$AO58),rngPMStart,"&lt;="&amp;Calendar!E$11,rngPMEnd,"&gt;="&amp;Calendar!E$11))</ns0:f>
        <ns0:v>0</ns0:v>
      </ns0:c>
      <ns0:c r="BG58" s="0">
        <ns0:f>IF(OR($AO58=0,$B$5&lt;&gt;"OK",$B$6&gt;0,Calendar!F$11=""),0,SUMIFS(rngEngine_U,rngEngine_B,INDEX(Team!$A$11:$A$60,$AO58),rngAMStart,"&lt;="&amp;Calendar!F$11,rngAMEnd,"&gt;="&amp;Calendar!F$11))</ns0:f>
        <ns0:v>0</ns0:v>
      </ns0:c>
      <ns0:c r="BH58" s="0">
        <ns0:f>IF(OR($AO58=0,$B$5&lt;&gt;"OK",$B$6&gt;0,Calendar!F$11=""),0,SUMIFS(rngEngine_V,rngEngine_B,INDEX(Team!$A$11:$A$60,$AO58),rngPMStart,"&lt;="&amp;Calendar!F$11,rngPMEnd,"&gt;="&amp;Calendar!F$11))</ns0:f>
        <ns0:v>0</ns0:v>
      </ns0:c>
      <ns0:c r="BI58" s="0">
        <ns0:f>IF(OR($AO58=0,$B$5&lt;&gt;"OK",$B$6&gt;0,Calendar!G$11=""),0,SUMIFS(rngEngine_U,rngEngine_B,INDEX(Team!$A$11:$A$60,$AO58),rngAMStart,"&lt;="&amp;Calendar!G$11,rngAMEnd,"&gt;="&amp;Calendar!G$11))</ns0:f>
        <ns0:v>0</ns0:v>
      </ns0:c>
      <ns0:c r="BJ58" s="0">
        <ns0:f>IF(OR($AO58=0,$B$5&lt;&gt;"OK",$B$6&gt;0,Calendar!G$11=""),0,SUMIFS(rngEngine_V,rngEngine_B,INDEX(Team!$A$11:$A$60,$AO58),rngPMStart,"&lt;="&amp;Calendar!G$11,rngPMEnd,"&gt;="&amp;Calendar!G$11))</ns0:f>
        <ns0:v>0</ns0:v>
      </ns0:c>
      <ns0:c r="BK58" s="0">
        <ns0:f>IF(OR($AO58=0,$B$5&lt;&gt;"OK",$B$6&gt;0,Calendar!H$11=""),0,SUMIFS(rngEngine_U,rngEngine_B,INDEX(Team!$A$11:$A$60,$AO58),rngAMStart,"&lt;="&amp;Calendar!H$11,rngAMEnd,"&gt;="&amp;Calendar!H$11))</ns0:f>
        <ns0:v>0</ns0:v>
      </ns0:c>
      <ns0:c r="BL58" s="0">
        <ns0:f>IF(OR($AO58=0,$B$5&lt;&gt;"OK",$B$6&gt;0,Calendar!H$11=""),0,SUMIFS(rngEngine_V,rngEngine_B,INDEX(Team!$A$11:$A$60,$AO58),rngPMStart,"&lt;="&amp;Calendar!H$11,rngPMEnd,"&gt;="&amp;Calendar!H$11))</ns0:f>
        <ns0:v>0</ns0:v>
      </ns0:c>
      <ns0:c r="BM58" s="0">
        <ns0:f>IF(OR($AO58=0,$B$5&lt;&gt;"OK",$B$6&gt;0,Calendar!I$11=""),0,SUMIFS(rngEngine_U,rngEngine_B,INDEX(Team!$A$11:$A$60,$AO58),rngAMStart,"&lt;="&amp;Calendar!I$11,rngAMEnd,"&gt;="&amp;Calendar!I$11))</ns0:f>
        <ns0:v>0</ns0:v>
      </ns0:c>
      <ns0:c r="BN58" s="0">
        <ns0:f>IF(OR($AO58=0,$B$5&lt;&gt;"OK",$B$6&gt;0,Calendar!I$11=""),0,SUMIFS(rngEngine_V,rngEngine_B,INDEX(Team!$A$11:$A$60,$AO58),rngPMStart,"&lt;="&amp;Calendar!I$11,rngPMEnd,"&gt;="&amp;Calendar!I$11))</ns0:f>
        <ns0:v>0</ns0:v>
      </ns0:c>
      <ns0:c r="BO58" s="0">
        <ns0:f>IF(OR($AO58=0,$B$5&lt;&gt;"OK",$B$6&gt;0,Calendar!J$11=""),0,SUMIFS(rngEngine_U,rngEngine_B,INDEX(Team!$A$11:$A$60,$AO58),rngAMStart,"&lt;="&amp;Calendar!J$11,rngAMEnd,"&gt;="&amp;Calendar!J$11))</ns0:f>
        <ns0:v>0</ns0:v>
      </ns0:c>
      <ns0:c r="BP58" s="0">
        <ns0:f>IF(OR($AO58=0,$B$5&lt;&gt;"OK",$B$6&gt;0,Calendar!J$11=""),0,SUMIFS(rngEngine_V,rngEngine_B,INDEX(Team!$A$11:$A$60,$AO58),rngPMStart,"&lt;="&amp;Calendar!J$11,rngPMEnd,"&gt;="&amp;Calendar!J$11))</ns0:f>
        <ns0:v>0</ns0:v>
      </ns0:c>
      <ns0:c r="BQ58" s="0">
        <ns0:f>IF(OR($AO58=0,$B$5&lt;&gt;"OK",$B$6&gt;0,Calendar!K$11=""),0,SUMIFS(rngEngine_U,rngEngine_B,INDEX(Team!$A$11:$A$60,$AO58),rngAMStart,"&lt;="&amp;Calendar!K$11,rngAMEnd,"&gt;="&amp;Calendar!K$11))</ns0:f>
        <ns0:v>0</ns0:v>
      </ns0:c>
      <ns0:c r="BR58" s="0">
        <ns0:f>IF(OR($AO58=0,$B$5&lt;&gt;"OK",$B$6&gt;0,Calendar!K$11=""),0,SUMIFS(rngEngine_V,rngEngine_B,INDEX(Team!$A$11:$A$60,$AO58),rngPMStart,"&lt;="&amp;Calendar!K$11,rngPMEnd,"&gt;="&amp;Calendar!K$11))</ns0:f>
        <ns0:v>0</ns0:v>
      </ns0:c>
      <ns0:c r="BS58" s="0">
        <ns0:f>IF(OR($AO58=0,$B$5&lt;&gt;"OK",$B$6&gt;0,Calendar!L$11=""),0,SUMIFS(rngEngine_U,rngEngine_B,INDEX(Team!$A$11:$A$60,$AO58),rngAMStart,"&lt;="&amp;Calendar!L$11,rngAMEnd,"&gt;="&amp;Calendar!L$11))</ns0:f>
        <ns0:v>0</ns0:v>
      </ns0:c>
      <ns0:c r="BT58" s="0">
        <ns0:f>IF(OR($AO58=0,$B$5&lt;&gt;"OK",$B$6&gt;0,Calendar!L$11=""),0,SUMIFS(rngEngine_V,rngEngine_B,INDEX(Team!$A$11:$A$60,$AO58),rngPMStart,"&lt;="&amp;Calendar!L$11,rngPMEnd,"&gt;="&amp;Calendar!L$11))</ns0:f>
        <ns0:v>0</ns0:v>
      </ns0:c>
      <ns0:c r="BU58" s="0">
        <ns0:f>IF(OR($AO58=0,$B$5&lt;&gt;"OK",$B$6&gt;0,Calendar!M$11=""),0,SUMIFS(rngEngine_U,rngEngine_B,INDEX(Team!$A$11:$A$60,$AO58),rngAMStart,"&lt;="&amp;Calendar!M$11,rngAMEnd,"&gt;="&amp;Calendar!M$11))</ns0:f>
        <ns0:v>0</ns0:v>
      </ns0:c>
      <ns0:c r="BV58" s="0">
        <ns0:f>IF(OR($AO58=0,$B$5&lt;&gt;"OK",$B$6&gt;0,Calendar!M$11=""),0,SUMIFS(rngEngine_V,rngEngine_B,INDEX(Team!$A$11:$A$60,$AO58),rngPMStart,"&lt;="&amp;Calendar!M$11,rngPMEnd,"&gt;="&amp;Calendar!M$11))</ns0:f>
        <ns0:v>0</ns0:v>
      </ns0:c>
      <ns0:c r="BW58" s="0">
        <ns0:f>IF(OR($AO58=0,$B$5&lt;&gt;"OK",$B$6&gt;0,Calendar!N$11=""),0,SUMIFS(rngEngine_U,rngEngine_B,INDEX(Team!$A$11:$A$60,$AO58),rngAMStart,"&lt;="&amp;Calendar!N$11,rngAMEnd,"&gt;="&amp;Calendar!N$11))</ns0:f>
        <ns0:v>0</ns0:v>
      </ns0:c>
      <ns0:c r="BX58" s="0">
        <ns0:f>IF(OR($AO58=0,$B$5&lt;&gt;"OK",$B$6&gt;0,Calendar!N$11=""),0,SUMIFS(rngEngine_V,rngEngine_B,INDEX(Team!$A$11:$A$60,$AO58),rngPMStart,"&lt;="&amp;Calendar!N$11,rngPMEnd,"&gt;="&amp;Calendar!N$11))</ns0:f>
        <ns0:v>0</ns0:v>
      </ns0:c>
      <ns0:c r="BY58" s="0">
        <ns0:f>IF(OR($AO58=0,$B$5&lt;&gt;"OK",$B$6&gt;0,Calendar!O$11=""),0,SUMIFS(rngEngine_U,rngEngine_B,INDEX(Team!$A$11:$A$60,$AO58),rngAMStart,"&lt;="&amp;Calendar!O$11,rngAMEnd,"&gt;="&amp;Calendar!O$11))</ns0:f>
        <ns0:v>0</ns0:v>
      </ns0:c>
      <ns0:c r="BZ58" s="0">
        <ns0:f>IF(OR($AO58=0,$B$5&lt;&gt;"OK",$B$6&gt;0,Calendar!O$11=""),0,SUMIFS(rngEngine_V,rngEngine_B,INDEX(Team!$A$11:$A$60,$AO58),rngPMStart,"&lt;="&amp;Calendar!O$11,rngPMEnd,"&gt;="&amp;Calendar!O$11))</ns0:f>
        <ns0:v>0</ns0:v>
      </ns0:c>
      <ns0:c r="CA58" s="0">
        <ns0:f>IF(OR($AO58=0,$B$5&lt;&gt;"OK",$B$6&gt;0,Calendar!P$11=""),0,SUMIFS(rngEngine_U,rngEngine_B,INDEX(Team!$A$11:$A$60,$AO58),rngAMStart,"&lt;="&amp;Calendar!P$11,rngAMEnd,"&gt;="&amp;Calendar!P$11))</ns0:f>
        <ns0:v>0</ns0:v>
      </ns0:c>
      <ns0:c r="CB58" s="0">
        <ns0:f>IF(OR($AO58=0,$B$5&lt;&gt;"OK",$B$6&gt;0,Calendar!P$11=""),0,SUMIFS(rngEngine_V,rngEngine_B,INDEX(Team!$A$11:$A$60,$AO58),rngPMStart,"&lt;="&amp;Calendar!P$11,rngPMEnd,"&gt;="&amp;Calendar!P$11))</ns0:f>
        <ns0:v>0</ns0:v>
      </ns0:c>
      <ns0:c r="CC58" s="0">
        <ns0:f>IF(OR($AO58=0,$B$5&lt;&gt;"OK",$B$6&gt;0,Calendar!Q$11=""),0,SUMIFS(rngEngine_U,rngEngine_B,INDEX(Team!$A$11:$A$60,$AO58),rngAMStart,"&lt;="&amp;Calendar!Q$11,rngAMEnd,"&gt;="&amp;Calendar!Q$11))</ns0:f>
        <ns0:v>0</ns0:v>
      </ns0:c>
      <ns0:c r="CD58" s="0">
        <ns0:f>IF(OR($AO58=0,$B$5&lt;&gt;"OK",$B$6&gt;0,Calendar!Q$11=""),0,SUMIFS(rngEngine_V,rngEngine_B,INDEX(Team!$A$11:$A$60,$AO58),rngPMStart,"&lt;="&amp;Calendar!Q$11,rngPMEnd,"&gt;="&amp;Calendar!Q$11))</ns0:f>
        <ns0:v>0</ns0:v>
      </ns0:c>
      <ns0:c r="CE58" s="0">
        <ns0:f>IF(OR($AO58=0,$B$5&lt;&gt;"OK",$B$6&gt;0,Calendar!R$11=""),0,SUMIFS(rngEngine_U,rngEngine_B,INDEX(Team!$A$11:$A$60,$AO58),rngAMStart,"&lt;="&amp;Calendar!R$11,rngAMEnd,"&gt;="&amp;Calendar!R$11))</ns0:f>
        <ns0:v>0</ns0:v>
      </ns0:c>
      <ns0:c r="CF58" s="0">
        <ns0:f>IF(OR($AO58=0,$B$5&lt;&gt;"OK",$B$6&gt;0,Calendar!R$11=""),0,SUMIFS(rngEngine_V,rngEngine_B,INDEX(Team!$A$11:$A$60,$AO58),rngPMStart,"&lt;="&amp;Calendar!R$11,rngPMEnd,"&gt;="&amp;Calendar!R$11))</ns0:f>
        <ns0:v>0</ns0:v>
      </ns0:c>
      <ns0:c r="CG58" s="0">
        <ns0:f>IF(OR($AO58=0,$B$5&lt;&gt;"OK",$B$6&gt;0,Calendar!S$11=""),0,SUMIFS(rngEngine_U,rngEngine_B,INDEX(Team!$A$11:$A$60,$AO58),rngAMStart,"&lt;="&amp;Calendar!S$11,rngAMEnd,"&gt;="&amp;Calendar!S$11))</ns0:f>
        <ns0:v>0</ns0:v>
      </ns0:c>
      <ns0:c r="CH58" s="0">
        <ns0:f>IF(OR($AO58=0,$B$5&lt;&gt;"OK",$B$6&gt;0,Calendar!S$11=""),0,SUMIFS(rngEngine_V,rngEngine_B,INDEX(Team!$A$11:$A$60,$AO58),rngPMStart,"&lt;="&amp;Calendar!S$11,rngPMEnd,"&gt;="&amp;Calendar!S$11))</ns0:f>
        <ns0:v>0</ns0:v>
      </ns0:c>
      <ns0:c r="CI58" s="0">
        <ns0:f>IF(OR($AO58=0,$B$5&lt;&gt;"OK",$B$6&gt;0,Calendar!T$11=""),0,SUMIFS(rngEngine_U,rngEngine_B,INDEX(Team!$A$11:$A$60,$AO58),rngAMStart,"&lt;="&amp;Calendar!T$11,rngAMEnd,"&gt;="&amp;Calendar!T$11))</ns0:f>
        <ns0:v>0</ns0:v>
      </ns0:c>
      <ns0:c r="CJ58" s="0">
        <ns0:f>IF(OR($AO58=0,$B$5&lt;&gt;"OK",$B$6&gt;0,Calendar!T$11=""),0,SUMIFS(rngEngine_V,rngEngine_B,INDEX(Team!$A$11:$A$60,$AO58),rngPMStart,"&lt;="&amp;Calendar!T$11,rngPMEnd,"&gt;="&amp;Calendar!T$11))</ns0:f>
        <ns0:v>0</ns0:v>
      </ns0:c>
      <ns0:c r="CK58" s="0">
        <ns0:f>IF(OR($AO58=0,$B$5&lt;&gt;"OK",$B$6&gt;0,Calendar!U$11=""),0,SUMIFS(rngEngine_U,rngEngine_B,INDEX(Team!$A$11:$A$60,$AO58),rngAMStart,"&lt;="&amp;Calendar!U$11,rngAMEnd,"&gt;="&amp;Calendar!U$11))</ns0:f>
        <ns0:v>0</ns0:v>
      </ns0:c>
      <ns0:c r="CL58" s="0">
        <ns0:f>IF(OR($AO58=0,$B$5&lt;&gt;"OK",$B$6&gt;0,Calendar!U$11=""),0,SUMIFS(rngEngine_V,rngEngine_B,INDEX(Team!$A$11:$A$60,$AO58),rngPMStart,"&lt;="&amp;Calendar!U$11,rngPMEnd,"&gt;="&amp;Calendar!U$11))</ns0:f>
        <ns0:v>0</ns0:v>
      </ns0:c>
      <ns0:c r="CM58" s="0">
        <ns0:f>IF(OR($AO58=0,$B$5&lt;&gt;"OK",$B$6&gt;0,Calendar!V$11=""),0,SUMIFS(rngEngine_U,rngEngine_B,INDEX(Team!$A$11:$A$60,$AO58),rngAMStart,"&lt;="&amp;Calendar!V$11,rngAMEnd,"&gt;="&amp;Calendar!V$11))</ns0:f>
        <ns0:v>0</ns0:v>
      </ns0:c>
      <ns0:c r="CN58" s="0">
        <ns0:f>IF(OR($AO58=0,$B$5&lt;&gt;"OK",$B$6&gt;0,Calendar!V$11=""),0,SUMIFS(rngEngine_V,rngEngine_B,INDEX(Team!$A$11:$A$60,$AO58),rngPMStart,"&lt;="&amp;Calendar!V$11,rngPMEnd,"&gt;="&amp;Calendar!V$11))</ns0:f>
        <ns0:v>0</ns0:v>
      </ns0:c>
      <ns0:c r="CO58" s="0">
        <ns0:f>IF(OR($AO58=0,$B$5&lt;&gt;"OK",$B$6&gt;0,Calendar!W$11=""),0,SUMIFS(rngEngine_U,rngEngine_B,INDEX(Team!$A$11:$A$60,$AO58),rngAMStart,"&lt;="&amp;Calendar!W$11,rngAMEnd,"&gt;="&amp;Calendar!W$11))</ns0:f>
        <ns0:v>0</ns0:v>
      </ns0:c>
      <ns0:c r="CP58" s="0">
        <ns0:f>IF(OR($AO58=0,$B$5&lt;&gt;"OK",$B$6&gt;0,Calendar!W$11=""),0,SUMIFS(rngEngine_V,rngEngine_B,INDEX(Team!$A$11:$A$60,$AO58),rngPMStart,"&lt;="&amp;Calendar!W$11,rngPMEnd,"&gt;="&amp;Calendar!W$11))</ns0:f>
        <ns0:v>0</ns0:v>
      </ns0:c>
      <ns0:c r="CQ58" s="0">
        <ns0:f>IF(OR($AO58=0,$B$5&lt;&gt;"OK",$B$6&gt;0,Calendar!X$11=""),0,SUMIFS(rngEngine_U,rngEngine_B,INDEX(Team!$A$11:$A$60,$AO58),rngAMStart,"&lt;="&amp;Calendar!X$11,rngAMEnd,"&gt;="&amp;Calendar!X$11))</ns0:f>
        <ns0:v>0</ns0:v>
      </ns0:c>
      <ns0:c r="CR58" s="0">
        <ns0:f>IF(OR($AO58=0,$B$5&lt;&gt;"OK",$B$6&gt;0,Calendar!X$11=""),0,SUMIFS(rngEngine_V,rngEngine_B,INDEX(Team!$A$11:$A$60,$AO58),rngPMStart,"&lt;="&amp;Calendar!X$11,rngPMEnd,"&gt;="&amp;Calendar!X$11))</ns0:f>
        <ns0:v>0</ns0:v>
      </ns0:c>
      <ns0:c r="CS58" s="0">
        <ns0:f>IF(OR($AO58=0,$B$5&lt;&gt;"OK",$B$6&gt;0,Calendar!Y$11=""),0,SUMIFS(rngEngine_U,rngEngine_B,INDEX(Team!$A$11:$A$60,$AO58),rngAMStart,"&lt;="&amp;Calendar!Y$11,rngAMEnd,"&gt;="&amp;Calendar!Y$11))</ns0:f>
        <ns0:v>0</ns0:v>
      </ns0:c>
      <ns0:c r="CT58" s="0">
        <ns0:f>IF(OR($AO58=0,$B$5&lt;&gt;"OK",$B$6&gt;0,Calendar!Y$11=""),0,SUMIFS(rngEngine_V,rngEngine_B,INDEX(Team!$A$11:$A$60,$AO58),rngPMStart,"&lt;="&amp;Calendar!Y$11,rngPMEnd,"&gt;="&amp;Calendar!Y$11))</ns0:f>
        <ns0:v>0</ns0:v>
      </ns0:c>
      <ns0:c r="CU58" s="0">
        <ns0:f>IF(OR($AO58=0,$B$5&lt;&gt;"OK",$B$6&gt;0,Calendar!Z$11=""),0,SUMIFS(rngEngine_U,rngEngine_B,INDEX(Team!$A$11:$A$60,$AO58),rngAMStart,"&lt;="&amp;Calendar!Z$11,rngAMEnd,"&gt;="&amp;Calendar!Z$11))</ns0:f>
        <ns0:v>0</ns0:v>
      </ns0:c>
      <ns0:c r="CV58" s="0">
        <ns0:f>IF(OR($AO58=0,$B$5&lt;&gt;"OK",$B$6&gt;0,Calendar!Z$11=""),0,SUMIFS(rngEngine_V,rngEngine_B,INDEX(Team!$A$11:$A$60,$AO58),rngPMStart,"&lt;="&amp;Calendar!Z$11,rngPMEnd,"&gt;="&amp;Calendar!Z$11))</ns0:f>
        <ns0:v>0</ns0:v>
      </ns0:c>
      <ns0:c r="CW58" s="0">
        <ns0:f>IF(OR($AO58=0,$B$5&lt;&gt;"OK",$B$6&gt;0,Calendar!AA$11=""),0,SUMIFS(rngEngine_U,rngEngine_B,INDEX(Team!$A$11:$A$60,$AO58),rngAMStart,"&lt;="&amp;Calendar!AA$11,rngAMEnd,"&gt;="&amp;Calendar!AA$11))</ns0:f>
        <ns0:v>0</ns0:v>
      </ns0:c>
      <ns0:c r="CX58" s="0">
        <ns0:f>IF(OR($AO58=0,$B$5&lt;&gt;"OK",$B$6&gt;0,Calendar!AA$11=""),0,SUMIFS(rngEngine_V,rngEngine_B,INDEX(Team!$A$11:$A$60,$AO58),rngPMStart,"&lt;="&amp;Calendar!AA$11,rngPMEnd,"&gt;="&amp;Calendar!AA$11))</ns0:f>
        <ns0:v>0</ns0:v>
      </ns0:c>
      <ns0:c r="CY58" s="0">
        <ns0:f>IF(OR($AO58=0,$B$5&lt;&gt;"OK",$B$6&gt;0,Calendar!AB$11=""),0,SUMIFS(rngEngine_U,rngEngine_B,INDEX(Team!$A$11:$A$60,$AO58),rngAMStart,"&lt;="&amp;Calendar!AB$11,rngAMEnd,"&gt;="&amp;Calendar!AB$11))</ns0:f>
        <ns0:v>0</ns0:v>
      </ns0:c>
      <ns0:c r="CZ58" s="0">
        <ns0:f>IF(OR($AO58=0,$B$5&lt;&gt;"OK",$B$6&gt;0,Calendar!AB$11=""),0,SUMIFS(rngEngine_V,rngEngine_B,INDEX(Team!$A$11:$A$60,$AO58),rngPMStart,"&lt;="&amp;Calendar!AB$11,rngPMEnd,"&gt;="&amp;Calendar!AB$11))</ns0:f>
        <ns0:v>0</ns0:v>
      </ns0:c>
      <ns0:c r="DA58" s="0">
        <ns0:f>IF(OR($AO58=0,$B$5&lt;&gt;"OK",$B$6&gt;0,Calendar!AC$11=""),0,SUMIFS(rngEngine_U,rngEngine_B,INDEX(Team!$A$11:$A$60,$AO58),rngAMStart,"&lt;="&amp;Calendar!AC$11,rngAMEnd,"&gt;="&amp;Calendar!AC$11))</ns0:f>
        <ns0:v>0</ns0:v>
      </ns0:c>
      <ns0:c r="DB58" s="0">
        <ns0:f>IF(OR($AO58=0,$B$5&lt;&gt;"OK",$B$6&gt;0,Calendar!AC$11=""),0,SUMIFS(rngEngine_V,rngEngine_B,INDEX(Team!$A$11:$A$60,$AO58),rngPMStart,"&lt;="&amp;Calendar!AC$11,rngPMEnd,"&gt;="&amp;Calendar!AC$11))</ns0:f>
        <ns0:v>0</ns0:v>
      </ns0:c>
      <ns0:c r="DC58" s="0">
        <ns0:f>IF(OR($AO58=0,$B$5&lt;&gt;"OK",$B$6&gt;0,Calendar!AD$11=""),0,SUMIFS(rngEngine_U,rngEngine_B,INDEX(Team!$A$11:$A$60,$AO58),rngAMStart,"&lt;="&amp;Calendar!AD$11,rngAMEnd,"&gt;="&amp;Calendar!AD$11))</ns0:f>
        <ns0:v>0</ns0:v>
      </ns0:c>
      <ns0:c r="DD58" s="0">
        <ns0:f>IF(OR($AO58=0,$B$5&lt;&gt;"OK",$B$6&gt;0,Calendar!AD$11=""),0,SUMIFS(rngEngine_V,rngEngine_B,INDEX(Team!$A$11:$A$60,$AO58),rngPMStart,"&lt;="&amp;Calendar!AD$11,rngPMEnd,"&gt;="&amp;Calendar!AD$11))</ns0:f>
        <ns0:v>0</ns0:v>
      </ns0:c>
      <ns0:c r="DE58" s="0">
        <ns0:f>IF(OR($AO58=0,$B$5&lt;&gt;"OK",$B$6&gt;0,Calendar!AE$11=""),0,SUMIFS(rngEngine_U,rngEngine_B,INDEX(Team!$A$11:$A$60,$AO58),rngAMStart,"&lt;="&amp;Calendar!AE$11,rngAMEnd,"&gt;="&amp;Calendar!AE$11))</ns0:f>
        <ns0:v>0</ns0:v>
      </ns0:c>
      <ns0:c r="DF58" s="0">
        <ns0:f>IF(OR($AO58=0,$B$5&lt;&gt;"OK",$B$6&gt;0,Calendar!AE$11=""),0,SUMIFS(rngEngine_V,rngEngine_B,INDEX(Team!$A$11:$A$60,$AO58),rngPMStart,"&lt;="&amp;Calendar!AE$11,rngPMEnd,"&gt;="&amp;Calendar!AE$11))</ns0:f>
        <ns0:v>0</ns0:v>
      </ns0:c>
      <ns0:c r="DG58" s="0">
        <ns0:f>IF(OR($AO58=0,$B$5&lt;&gt;"OK",$B$6&gt;0,Calendar!AF$11=""),0,SUMIFS(rngEngine_U,rngEngine_B,INDEX(Team!$A$11:$A$60,$AO58),rngAMStart,"&lt;="&amp;Calendar!AF$11,rngAMEnd,"&gt;="&amp;Calendar!AF$11))</ns0:f>
        <ns0:v>0</ns0:v>
      </ns0:c>
      <ns0:c r="DH58" s="0">
        <ns0:f>IF(OR($AO58=0,$B$5&lt;&gt;"OK",$B$6&gt;0,Calendar!AF$11=""),0,SUMIFS(rngEngine_V,rngEngine_B,INDEX(Team!$A$11:$A$60,$AO58),rngPMStart,"&lt;="&amp;Calendar!AF$11,rngPMEnd,"&gt;="&amp;Calendar!AF$11))</ns0:f>
        <ns0:v>0</ns0:v>
      </ns0:c>
      <ns0:c r="DI58" s="0">
        <ns0:f>IF(OR($AO58=0,$B$5&lt;&gt;"OK",$B$6&gt;0,Calendar!AG$11=""),0,SUMIFS(rngEngine_U,rngEngine_B,INDEX(Team!$A$11:$A$60,$AO58),rngAMStart,"&lt;="&amp;Calendar!AG$11,rngAMEnd,"&gt;="&amp;Calendar!AG$11))</ns0:f>
        <ns0:v>0</ns0:v>
      </ns0:c>
      <ns0:c r="DJ58" s="0">
        <ns0:f>IF(OR($AO58=0,$B$5&lt;&gt;"OK",$B$6&gt;0,Calendar!AG$11=""),0,SUMIFS(rngEngine_V,rngEngine_B,INDEX(Team!$A$11:$A$60,$AO58),rngPMStart,"&lt;="&amp;Calendar!AG$11,rngPMEnd,"&gt;="&amp;Calendar!AG$11))</ns0:f>
        <ns0:v>0</ns0:v>
      </ns0:c>
      <ns0:c r="DK58" s="0">
        <ns0:f>IF(OR($AO58=0,$B$5&lt;&gt;"OK",$B$6&gt;0,Calendar!AH$11=""),0,SUMIFS(rngEngine_U,rngEngine_B,INDEX(Team!$A$11:$A$60,$AO58),rngAMStart,"&lt;="&amp;Calendar!AH$11,rngAMEnd,"&gt;="&amp;Calendar!AH$11))</ns0:f>
        <ns0:v>0</ns0:v>
      </ns0:c>
      <ns0:c r="DL58" s="0">
        <ns0:f>IF(OR($AO58=0,$B$5&lt;&gt;"OK",$B$6&gt;0,Calendar!AH$11=""),0,SUMIFS(rngEngine_V,rngEngine_B,INDEX(Team!$A$11:$A$60,$AO58),rngPMStart,"&lt;="&amp;Calendar!AH$11,rngPMEnd,"&gt;="&amp;Calendar!AH$11))</ns0:f>
        <ns0:v>0</ns0:v>
      </ns0:c>
    </ns0:row>
    <ns0:row r="59" ht="22" customHeight="1">
      <ns0:c r="A59" s="4">
        <ns0:f>IF(COUNTA(Bookings!A59:G59,Bookings!I59)=0,0,1)</ns0:f>
        <ns0:v>0</ns0:v>
      </ns0:c>
      <ns0:c r="B59" s="4" t="str">
        <ns0:f>IFERROR(TRIM(MID(Bookings!A59,FIND(" · ",Bookings!A59)+3,99)),"")</ns0:f>
        <ns0:v/>
      </ns0:c>
      <ns0:c r="C59" s="4">
        <ns0:f>IF(OR(B59="",LEN(B59)&gt;24,ISNUMBER(FIND(" ",B59)),ISNUMBER(FIND("*",B59)),ISNUMBER(FIND("?",B59)),ISNUMBER(FIND("~",B59))),0,IFERROR(MATCH(B59,Team!$A$11:$A$60,0),0))</ns0:f>
        <ns0:v>0</ns0:v>
      </ns0:c>
      <ns0:c r="D59" s="4" t="str">
        <ns0:f>IFERROR(IF(MID(Bookings!F59,LEN(Bookings!F59)-3,3)=" · ",RIGHT(Bookings!F59,1),""),"")</ns0:f>
        <ns0:v/>
      </ns0:c>
      <ns0:c r="E59" s="4" t="str">
        <ns0:f>IFERROR(INDEX(Settings!$H$7:$H$11,MATCH(D59,Settings!$G$7:$G$11,0)),"")</ns0:f>
        <ns0:v/>
      </ns0:c>
      <ns0:c r="F59" s="4" t="str">
        <ns0:f>IF(A59=0,"",IFERROR(IF(OR(B59="",C59=0),"CHECK employee selection",IF(INDEX(Team!$O$11:$O$60,C59)&lt;&gt;"OK","CHECK employee setup",IF(OR('_Dates'!J59=0,'_Dates'!T59=0),"CHECK date: use DD.MM.YYYY",IF('_Dates'!T59&lt;'_Dates'!J59,"CHECK end before start",IF(AND($B$6=0,OR('_Dates'!J59&lt;Settings!$B$7,'_Dates'!T59&gt;Settings!$B$8)),"CHECK split across leave years",IF(OR(NOT(OR('_Dates'!U59="Full day",'_Dates'!U59="AM",'_Dates'!U59="PM")),NOT(OR('_Dates'!V59="Full day",'_Dates'!V59="AM",'_Dates'!V59="PM"))),"CHECK Full day / AM / PM",IF(AND('_Dates'!J59='_Dates'!T59,'_Dates'!U59&lt;&gt;"Full day",'_Dates'!V59&lt;&gt;"Full day",'_Dates'!U59&lt;&gt;'_Dates'!V59),"CHECK same-day portions disagree",IF(AND($B$6=0,OR(AND('_Dates'!U59&lt;&gt;"Full day",'_Dates'!AA59=0),AND('_Dates'!V59&lt;&gt;"Full day",'_Dates'!AB59=0))),"CHECK half-day on non-working date",IF(COUNTIF(Settings!$G$7:$G$11,D59)&lt;&gt;1,"CHECK leave type",IF(AND(Bookings!G59&lt;&gt;"Approved",Bookings!G59&lt;&gt;"Pending",Bookings!G59&lt;&gt;"Cancelled"),"CHECK status","OK")))))))))),"CHECK input"))</ns0:f>
        <ns0:v/>
      </ns0:c>
      <ns0:c r="G59" s="4">
        <ns0:f>IF(OR(F59&lt;&gt;"OK",$B$6&gt;0),0,0.5*(IF(('_Dates'!X59)&lt;('_Dates'!W59),0,INT((('_Dates'!X59)-('_Dates'!W59)+1)/7)*LEN(SUBSTITUTE(W59,"O",""))+LEN(SUBSTITUTE(MID(W59&amp;W59,WEEKDAY(('_Dates'!W59),2),MOD((('_Dates'!X59)-('_Dates'!W59)+1),7)),"O",""))-COUNTIFS(INDEX(AllClosureRows,C59,0),"&gt;="&amp;('_Dates'!W59),INDEX(AllClosureRows,C59,0),"&lt;="&amp;('_Dates'!X59)))+IF(('_Dates'!Z59)&lt;('_Dates'!Y59),0,INT((('_Dates'!Z59)-('_Dates'!Y59)+1)/7)*LEN(SUBSTITUTE(W59,"O",""))+LEN(SUBSTITUTE(MID(W59&amp;W59,WEEKDAY(('_Dates'!Y59),2),MOD((('_Dates'!Z59)-('_Dates'!Y59)+1),7)),"O",""))-COUNTIFS(INDEX(AllClosureRows,C59,0),"&gt;="&amp;('_Dates'!Y59),INDEX(AllClosureRows,C59,0),"&lt;="&amp;('_Dates'!Z59)))))</ns0:f>
        <ns0:v>0</ns0:v>
      </ns0:c>
      <ns0:c r="H59" s="4">
        <ns0:f>IF(OR(F59&lt;&gt;"OK",$B$6&gt;0),0,0.5*(IF((MIN('_Dates'!X59,Settings!$B$9))&lt;('_Dates'!W59),0,INT(((MIN('_Dates'!X59,Settings!$B$9))-('_Dates'!W59)+1)/7)*LEN(SUBSTITUTE(W59,"O",""))+LEN(SUBSTITUTE(MID(W59&amp;W59,WEEKDAY(('_Dates'!W59),2),MOD(((MIN('_Dates'!X59,Settings!$B$9))-('_Dates'!W59)+1),7)),"O",""))-COUNTIFS(INDEX(AllClosureRows,C59,0),"&gt;="&amp;('_Dates'!W59),INDEX(AllClosureRows,C59,0),"&lt;="&amp;(MIN('_Dates'!X59,Settings!$B$9))))+IF((MIN('_Dates'!Z59,Settings!$B$9))&lt;('_Dates'!Y59),0,INT(((MIN('_Dates'!Z59,Settings!$B$9))-('_Dates'!Y59)+1)/7)*LEN(SUBSTITUTE(W59,"O",""))+LEN(SUBSTITUTE(MID(W59&amp;W59,WEEKDAY(('_Dates'!Y59),2),MOD(((MIN('_Dates'!Z59,Settings!$B$9))-('_Dates'!Y59)+1),7)),"O",""))-COUNTIFS(INDEX(AllClosureRows,C59,0),"&gt;="&amp;('_Dates'!Y59),INDEX(AllClosureRows,C59,0),"&lt;="&amp;(MIN('_Dates'!Z59,Settings!$B$9))))))</ns0:f>
        <ns0:v>0</ns0:v>
      </ns0:c>
      <ns0:c r="I59" s="4">
        <ns0:f>MAX(0,G59-H59)</ns0:f>
        <ns0:v>0</ns0:v>
      </ns0:c>
      <ns0:c r="J59" s="4">
        <ns0:f>IF(OR(A59=0,F59&lt;&gt;"OK",Bookings!G59="Cancelled",$B$6&gt;0),0,IF('_Dates'!AC59=1,MAX(0,COUNTIFS(rngEngine_B,B59,rngAMStart,"&lt;="&amp;'_Dates'!X59,rngAMEnd,"&gt;="&amp;'_Dates'!W59,rngAMActive,1,rngEngine_F,"OK",rngBookings_F,"&lt;&gt;Cancelled")-1),0)+IF('_Dates'!AD59=1,MAX(0,COUNTIFS(rngEngine_B,B59,rngPMStart,"&lt;="&amp;'_Dates'!Z59,rngPMEnd,"&gt;="&amp;'_Dates'!Y59,rngPMActive,1,rngEngine_F,"OK",rngBookings_F,"&lt;&gt;Cancelled")-1),0))</ns0:f>
        <ns0:v>0</ns0:v>
      </ns0:c>
      <ns0:c r="K59" s="0" t="str">
        <ns0:f>IF(A59=0,"",IF(F59&lt;&gt;"OK",F59,IF(J59&gt;0,"CHECK overlapping entry",IF(AND($B$6=0,G59&lt;=0,Bookings!G59&lt;&gt;"Cancelled"),"CHECK no working days",IF(Bookings!G59="Cancelled","Cancelled","OK")))))</ns0:f>
        <ns0:v/>
      </ns0:c>
      <ns0:c r="L59" s="0">
        <ns0:f>IF(LEFT(K59,5)="CHECK",1,0)</ns0:f>
        <ns0:v>0</ns0:v>
      </ns0:c>
      <ns0:c r="M59" s="0">
        <ns0:f>IF(AND(L59=1,OR(C59=0,IFERROR(INDEX($X$11:$X$60,C59),0)=0)),1,0)</ns0:f>
        <ns0:v>0</ns0:v>
      </ns0:c>
      <ns0:c r="N59" s="0">
        <ns0:f>IF(OR(A59=0,L59&gt;0,$B$6&gt;0,Bookings!G59="Cancelled"),0,G59)</ns0:f>
        <ns0:v>0</ns0:v>
      </ns0:c>
      <ns0:c r="O59" s="0">
        <ns0:f>IF(AND(Bookings!G59="Approved",E59="Yes"),N59,0)</ns0:f>
        <ns0:v>0</ns0:v>
      </ns0:c>
      <ns0:c r="P59" s="0">
        <ns0:f>IF(AND(Bookings!G59="Approved",E59="Yes",L59=0,$B$6=0),H59,0)</ns0:f>
        <ns0:v>0</ns0:v>
      </ns0:c>
      <ns0:c r="Q59" s="0">
        <ns0:f>IF(AND(Bookings!G59="Approved",E59="Yes",L59=0,$B$6=0),I59,0)</ns0:f>
        <ns0:v>0</ns0:v>
      </ns0:c>
      <ns0:c r="R59" s="0">
        <ns0:f>IF(AND(Bookings!G59="Pending",E59="Yes"),N59,0)</ns0:f>
        <ns0:v>0</ns0:v>
      </ns0:c>
      <ns0:c r="S59" s="0">
        <ns0:f>IF(AND(Bookings!G59="Approved",E59="No"),N59,0)</ns0:f>
        <ns0:v>0</ns0:v>
      </ns0:c>
      <ns0:c r="T59" s="0">
        <ns0:f>IFERROR(MATCH(D59,Settings!$G$7:$G$11,0),0)</ns0:f>
        <ns0:v>0</ns0:v>
      </ns0:c>
      <ns0:c r="U59" s="0">
        <ns0:f>IF(N59&gt;0,T59+IF(Bookings!G59="Pending",10,0),0)</ns0:f>
        <ns0:v>0</ns0:v>
      </ns0:c>
      <ns0:c r="V59" s="0">
        <ns0:f>U59</ns0:f>
        <ns0:v>0</ns0:v>
      </ns0:c>
      <ns0:c r="W59" s="0" t="str">
        <ns0:f>IF(C59=0,"",INDEX($AP$11:$AP$60,C59))</ns0:f>
        <ns0:v/>
      </ns0:c>
      <ns0:c r="X59" s="0">
        <ns0:f>IF(COUNTA(Team!B59:D59)=0,0,1)</ns0:f>
        <ns0:v>0</ns0:v>
      </ns0:c>
      <ns0:c r="Y59" s="0" t="str">
        <ns0:f>IF(X59=0,"",IF(Team!B59="","[Unnamed]",Team!B59)&amp;" · "&amp;Team!A59)</ns0:f>
        <ns0:v/>
      </ns0:c>
      <ns0:c r="Z59" s="0">
        <ns0:f>IF(X59=0,0,COUNTIF(Team!H59:N59,"Work"))</ns0:f>
        <ns0:v>0</ns0:v>
      </ns0:c>
      <ns0:c r="AA59" s="0">
        <ns0:f>IF(LEFT(Team!O59,5)="CHECK",1,0)</ns0:f>
        <ns0:v>0</ns0:v>
      </ns0:c>
      <ns0:c r="AB59" s="0">
        <ns0:f>IF(X59=0,0,SUMIFS(rngEngine_L,rngEngine_B,Team!A59))</ns0:f>
        <ns0:v>0</ns0:v>
      </ns0:c>
      <ns0:c r="AC59" s="0" t="str">
        <ns0:f>IF(AND(X59=1,OR(Calendar!$C$7="All teams",Team!C59=Calendar!$C$7)),MAX($AC$10:AC58)+1,"")</ns0:f>
        <ns0:v/>
      </ns0:c>
      <ns0:c r="AD59" s="0" t="str">
        <ns0:f>IF(OR(X59=0,Team!C59="",COUNTIF(Team!$C$11:C59,Team!C59)&gt;1),"",MAX($AD$10:AD58)+1)</ns0:f>
        <ns0:v/>
      </ns0:c>
      <ns0:c r="AE59" s="0" t="str">
        <ns0:f>IFERROR(INDEX(Team!$C$11:$C$60,MATCH(ROW()-10,$AD$11:$AD$60,0)),"")</ns0:f>
        <ns0:v/>
      </ns0:c>
      <ns0:c r="AF59" s="0" t="str">
        <ns0:f>AE59</ns0:f>
        <ns0:v/>
      </ns0:c>
      <ns0:c r="AG59" s="0">
        <ns0:f>IF(X59=0,0,IFERROR(Team!F59+Team!G59,0))</ns0:f>
        <ns0:v>0</ns0:v>
      </ns0:c>
      <ns0:c r="AH59" s="0">
        <ns0:f>IF(X59=0,0,SUMIFS(rngEngine_P,rngEngine_B,Team!A59))</ns0:f>
        <ns0:v>0</ns0:v>
      </ns0:c>
      <ns0:c r="AI59" s="0">
        <ns0:f>IF(X59=0,0,SUMIFS(rngEngine_Q,rngEngine_B,Team!A59))</ns0:f>
        <ns0:v>0</ns0:v>
      </ns0:c>
      <ns0:c r="AJ59" s="0">
        <ns0:f>IF(X59=0,0,SUMIFS(rngEngine_R,rngEngine_B,Team!A59))</ns0:f>
        <ns0:v>0</ns0:v>
      </ns0:c>
      <ns0:c r="AK59" s="0">
        <ns0:f>IF(X59=0,0,SUMIFS(rngEngine_S,rngEngine_B,Team!A59))</ns0:f>
        <ns0:v>0</ns0:v>
      </ns0:c>
      <ns0:c r="AL59" s="0">
        <ns0:f>AH59+AI59</ns0:f>
        <ns0:v>0</ns0:v>
      </ns0:c>
      <ns0:c r="AM59" s="0" t="str">
        <ns0:f>IF(X59=0,"",IF(AA59&gt;0,"CHECK team setup",IF(AB59&gt;0,"CHECK "&amp;AB59&amp;" booking(s)","OK")))</ns0:f>
        <ns0:v/>
      </ns0:c>
      <ns0:c r="AN59" s="0" t="str">
        <ns0:f>IF(X59=0,"",IF(OR($B$6&gt;0,AM59&lt;&gt;"OK"),"REVIEW",AG59-AL59))</ns0:f>
        <ns0:v/>
      </ns0:c>
      <ns0:c r="AO59" s="0">
        <ns0:f>IFERROR(MATCH(ROW()-11,$AC$11:$AC$60,0),0)</ns0:f>
        <ns0:v>0</ns0:v>
      </ns0:c>
      <ns0:c r="AP59" s="0" t="str">
        <ns0:f>IF(Team!H59="Work","W","O")&amp;IF(Team!I59="Work","W","O")&amp;IF(Team!J59="Work","W","O")&amp;IF(Team!K59="Work","W","O")&amp;IF(Team!L59="Work","W","O")&amp;IF(Team!M59="Work","W","O")&amp;IF(Team!N59="Work","W","O")</ns0:f>
        <ns0:v>WWWWWOO</ns0:v>
      </ns0:c>
      <ns0:c r="AR59" s="0">
        <ns0:f>IFERROR(IF(ISNUMBER(Settings!F59),WEEKDAY(Settings!F59,2),0),0)</ns0:f>
        <ns0:v>0</ns0:v>
      </ns0:c>
      <ns0:c r="BC59" s="0">
        <ns0:f>IF(OR($AO59=0,$B$5&lt;&gt;"OK",$B$6&gt;0,Calendar!D$11=""),0,SUMIFS(rngEngine_U,rngEngine_B,INDEX(Team!$A$11:$A$60,$AO59),rngAMStart,"&lt;="&amp;Calendar!D$11,rngAMEnd,"&gt;="&amp;Calendar!D$11))</ns0:f>
        <ns0:v>0</ns0:v>
      </ns0:c>
      <ns0:c r="BD59" s="0">
        <ns0:f>IF(OR($AO59=0,$B$5&lt;&gt;"OK",$B$6&gt;0,Calendar!D$11=""),0,SUMIFS(rngEngine_V,rngEngine_B,INDEX(Team!$A$11:$A$60,$AO59),rngPMStart,"&lt;="&amp;Calendar!D$11,rngPMEnd,"&gt;="&amp;Calendar!D$11))</ns0:f>
        <ns0:v>0</ns0:v>
      </ns0:c>
      <ns0:c r="BE59" s="0">
        <ns0:f>IF(OR($AO59=0,$B$5&lt;&gt;"OK",$B$6&gt;0,Calendar!E$11=""),0,SUMIFS(rngEngine_U,rngEngine_B,INDEX(Team!$A$11:$A$60,$AO59),rngAMStart,"&lt;="&amp;Calendar!E$11,rngAMEnd,"&gt;="&amp;Calendar!E$11))</ns0:f>
        <ns0:v>0</ns0:v>
      </ns0:c>
      <ns0:c r="BF59" s="0">
        <ns0:f>IF(OR($AO59=0,$B$5&lt;&gt;"OK",$B$6&gt;0,Calendar!E$11=""),0,SUMIFS(rngEngine_V,rngEngine_B,INDEX(Team!$A$11:$A$60,$AO59),rngPMStart,"&lt;="&amp;Calendar!E$11,rngPMEnd,"&gt;="&amp;Calendar!E$11))</ns0:f>
        <ns0:v>0</ns0:v>
      </ns0:c>
      <ns0:c r="BG59" s="0">
        <ns0:f>IF(OR($AO59=0,$B$5&lt;&gt;"OK",$B$6&gt;0,Calendar!F$11=""),0,SUMIFS(rngEngine_U,rngEngine_B,INDEX(Team!$A$11:$A$60,$AO59),rngAMStart,"&lt;="&amp;Calendar!F$11,rngAMEnd,"&gt;="&amp;Calendar!F$11))</ns0:f>
        <ns0:v>0</ns0:v>
      </ns0:c>
      <ns0:c r="BH59" s="0">
        <ns0:f>IF(OR($AO59=0,$B$5&lt;&gt;"OK",$B$6&gt;0,Calendar!F$11=""),0,SUMIFS(rngEngine_V,rngEngine_B,INDEX(Team!$A$11:$A$60,$AO59),rngPMStart,"&lt;="&amp;Calendar!F$11,rngPMEnd,"&gt;="&amp;Calendar!F$11))</ns0:f>
        <ns0:v>0</ns0:v>
      </ns0:c>
      <ns0:c r="BI59" s="0">
        <ns0:f>IF(OR($AO59=0,$B$5&lt;&gt;"OK",$B$6&gt;0,Calendar!G$11=""),0,SUMIFS(rngEngine_U,rngEngine_B,INDEX(Team!$A$11:$A$60,$AO59),rngAMStart,"&lt;="&amp;Calendar!G$11,rngAMEnd,"&gt;="&amp;Calendar!G$11))</ns0:f>
        <ns0:v>0</ns0:v>
      </ns0:c>
      <ns0:c r="BJ59" s="0">
        <ns0:f>IF(OR($AO59=0,$B$5&lt;&gt;"OK",$B$6&gt;0,Calendar!G$11=""),0,SUMIFS(rngEngine_V,rngEngine_B,INDEX(Team!$A$11:$A$60,$AO59),rngPMStart,"&lt;="&amp;Calendar!G$11,rngPMEnd,"&gt;="&amp;Calendar!G$11))</ns0:f>
        <ns0:v>0</ns0:v>
      </ns0:c>
      <ns0:c r="BK59" s="0">
        <ns0:f>IF(OR($AO59=0,$B$5&lt;&gt;"OK",$B$6&gt;0,Calendar!H$11=""),0,SUMIFS(rngEngine_U,rngEngine_B,INDEX(Team!$A$11:$A$60,$AO59),rngAMStart,"&lt;="&amp;Calendar!H$11,rngAMEnd,"&gt;="&amp;Calendar!H$11))</ns0:f>
        <ns0:v>0</ns0:v>
      </ns0:c>
      <ns0:c r="BL59" s="0">
        <ns0:f>IF(OR($AO59=0,$B$5&lt;&gt;"OK",$B$6&gt;0,Calendar!H$11=""),0,SUMIFS(rngEngine_V,rngEngine_B,INDEX(Team!$A$11:$A$60,$AO59),rngPMStart,"&lt;="&amp;Calendar!H$11,rngPMEnd,"&gt;="&amp;Calendar!H$11))</ns0:f>
        <ns0:v>0</ns0:v>
      </ns0:c>
      <ns0:c r="BM59" s="0">
        <ns0:f>IF(OR($AO59=0,$B$5&lt;&gt;"OK",$B$6&gt;0,Calendar!I$11=""),0,SUMIFS(rngEngine_U,rngEngine_B,INDEX(Team!$A$11:$A$60,$AO59),rngAMStart,"&lt;="&amp;Calendar!I$11,rngAMEnd,"&gt;="&amp;Calendar!I$11))</ns0:f>
        <ns0:v>0</ns0:v>
      </ns0:c>
      <ns0:c r="BN59" s="0">
        <ns0:f>IF(OR($AO59=0,$B$5&lt;&gt;"OK",$B$6&gt;0,Calendar!I$11=""),0,SUMIFS(rngEngine_V,rngEngine_B,INDEX(Team!$A$11:$A$60,$AO59),rngPMStart,"&lt;="&amp;Calendar!I$11,rngPMEnd,"&gt;="&amp;Calendar!I$11))</ns0:f>
        <ns0:v>0</ns0:v>
      </ns0:c>
      <ns0:c r="BO59" s="0">
        <ns0:f>IF(OR($AO59=0,$B$5&lt;&gt;"OK",$B$6&gt;0,Calendar!J$11=""),0,SUMIFS(rngEngine_U,rngEngine_B,INDEX(Team!$A$11:$A$60,$AO59),rngAMStart,"&lt;="&amp;Calendar!J$11,rngAMEnd,"&gt;="&amp;Calendar!J$11))</ns0:f>
        <ns0:v>0</ns0:v>
      </ns0:c>
      <ns0:c r="BP59" s="0">
        <ns0:f>IF(OR($AO59=0,$B$5&lt;&gt;"OK",$B$6&gt;0,Calendar!J$11=""),0,SUMIFS(rngEngine_V,rngEngine_B,INDEX(Team!$A$11:$A$60,$AO59),rngPMStart,"&lt;="&amp;Calendar!J$11,rngPMEnd,"&gt;="&amp;Calendar!J$11))</ns0:f>
        <ns0:v>0</ns0:v>
      </ns0:c>
      <ns0:c r="BQ59" s="0">
        <ns0:f>IF(OR($AO59=0,$B$5&lt;&gt;"OK",$B$6&gt;0,Calendar!K$11=""),0,SUMIFS(rngEngine_U,rngEngine_B,INDEX(Team!$A$11:$A$60,$AO59),rngAMStart,"&lt;="&amp;Calendar!K$11,rngAMEnd,"&gt;="&amp;Calendar!K$11))</ns0:f>
        <ns0:v>0</ns0:v>
      </ns0:c>
      <ns0:c r="BR59" s="0">
        <ns0:f>IF(OR($AO59=0,$B$5&lt;&gt;"OK",$B$6&gt;0,Calendar!K$11=""),0,SUMIFS(rngEngine_V,rngEngine_B,INDEX(Team!$A$11:$A$60,$AO59),rngPMStart,"&lt;="&amp;Calendar!K$11,rngPMEnd,"&gt;="&amp;Calendar!K$11))</ns0:f>
        <ns0:v>0</ns0:v>
      </ns0:c>
      <ns0:c r="BS59" s="0">
        <ns0:f>IF(OR($AO59=0,$B$5&lt;&gt;"OK",$B$6&gt;0,Calendar!L$11=""),0,SUMIFS(rngEngine_U,rngEngine_B,INDEX(Team!$A$11:$A$60,$AO59),rngAMStart,"&lt;="&amp;Calendar!L$11,rngAMEnd,"&gt;="&amp;Calendar!L$11))</ns0:f>
        <ns0:v>0</ns0:v>
      </ns0:c>
      <ns0:c r="BT59" s="0">
        <ns0:f>IF(OR($AO59=0,$B$5&lt;&gt;"OK",$B$6&gt;0,Calendar!L$11=""),0,SUMIFS(rngEngine_V,rngEngine_B,INDEX(Team!$A$11:$A$60,$AO59),rngPMStart,"&lt;="&amp;Calendar!L$11,rngPMEnd,"&gt;="&amp;Calendar!L$11))</ns0:f>
        <ns0:v>0</ns0:v>
      </ns0:c>
      <ns0:c r="BU59" s="0">
        <ns0:f>IF(OR($AO59=0,$B$5&lt;&gt;"OK",$B$6&gt;0,Calendar!M$11=""),0,SUMIFS(rngEngine_U,rngEngine_B,INDEX(Team!$A$11:$A$60,$AO59),rngAMStart,"&lt;="&amp;Calendar!M$11,rngAMEnd,"&gt;="&amp;Calendar!M$11))</ns0:f>
        <ns0:v>0</ns0:v>
      </ns0:c>
      <ns0:c r="BV59" s="0">
        <ns0:f>IF(OR($AO59=0,$B$5&lt;&gt;"OK",$B$6&gt;0,Calendar!M$11=""),0,SUMIFS(rngEngine_V,rngEngine_B,INDEX(Team!$A$11:$A$60,$AO59),rngPMStart,"&lt;="&amp;Calendar!M$11,rngPMEnd,"&gt;="&amp;Calendar!M$11))</ns0:f>
        <ns0:v>0</ns0:v>
      </ns0:c>
      <ns0:c r="BW59" s="0">
        <ns0:f>IF(OR($AO59=0,$B$5&lt;&gt;"OK",$B$6&gt;0,Calendar!N$11=""),0,SUMIFS(rngEngine_U,rngEngine_B,INDEX(Team!$A$11:$A$60,$AO59),rngAMStart,"&lt;="&amp;Calendar!N$11,rngAMEnd,"&gt;="&amp;Calendar!N$11))</ns0:f>
        <ns0:v>0</ns0:v>
      </ns0:c>
      <ns0:c r="BX59" s="0">
        <ns0:f>IF(OR($AO59=0,$B$5&lt;&gt;"OK",$B$6&gt;0,Calendar!N$11=""),0,SUMIFS(rngEngine_V,rngEngine_B,INDEX(Team!$A$11:$A$60,$AO59),rngPMStart,"&lt;="&amp;Calendar!N$11,rngPMEnd,"&gt;="&amp;Calendar!N$11))</ns0:f>
        <ns0:v>0</ns0:v>
      </ns0:c>
      <ns0:c r="BY59" s="0">
        <ns0:f>IF(OR($AO59=0,$B$5&lt;&gt;"OK",$B$6&gt;0,Calendar!O$11=""),0,SUMIFS(rngEngine_U,rngEngine_B,INDEX(Team!$A$11:$A$60,$AO59),rngAMStart,"&lt;="&amp;Calendar!O$11,rngAMEnd,"&gt;="&amp;Calendar!O$11))</ns0:f>
        <ns0:v>0</ns0:v>
      </ns0:c>
      <ns0:c r="BZ59" s="0">
        <ns0:f>IF(OR($AO59=0,$B$5&lt;&gt;"OK",$B$6&gt;0,Calendar!O$11=""),0,SUMIFS(rngEngine_V,rngEngine_B,INDEX(Team!$A$11:$A$60,$AO59),rngPMStart,"&lt;="&amp;Calendar!O$11,rngPMEnd,"&gt;="&amp;Calendar!O$11))</ns0:f>
        <ns0:v>0</ns0:v>
      </ns0:c>
      <ns0:c r="CA59" s="0">
        <ns0:f>IF(OR($AO59=0,$B$5&lt;&gt;"OK",$B$6&gt;0,Calendar!P$11=""),0,SUMIFS(rngEngine_U,rngEngine_B,INDEX(Team!$A$11:$A$60,$AO59),rngAMStart,"&lt;="&amp;Calendar!P$11,rngAMEnd,"&gt;="&amp;Calendar!P$11))</ns0:f>
        <ns0:v>0</ns0:v>
      </ns0:c>
      <ns0:c r="CB59" s="0">
        <ns0:f>IF(OR($AO59=0,$B$5&lt;&gt;"OK",$B$6&gt;0,Calendar!P$11=""),0,SUMIFS(rngEngine_V,rngEngine_B,INDEX(Team!$A$11:$A$60,$AO59),rngPMStart,"&lt;="&amp;Calendar!P$11,rngPMEnd,"&gt;="&amp;Calendar!P$11))</ns0:f>
        <ns0:v>0</ns0:v>
      </ns0:c>
      <ns0:c r="CC59" s="0">
        <ns0:f>IF(OR($AO59=0,$B$5&lt;&gt;"OK",$B$6&gt;0,Calendar!Q$11=""),0,SUMIFS(rngEngine_U,rngEngine_B,INDEX(Team!$A$11:$A$60,$AO59),rngAMStart,"&lt;="&amp;Calendar!Q$11,rngAMEnd,"&gt;="&amp;Calendar!Q$11))</ns0:f>
        <ns0:v>0</ns0:v>
      </ns0:c>
      <ns0:c r="CD59" s="0">
        <ns0:f>IF(OR($AO59=0,$B$5&lt;&gt;"OK",$B$6&gt;0,Calendar!Q$11=""),0,SUMIFS(rngEngine_V,rngEngine_B,INDEX(Team!$A$11:$A$60,$AO59),rngPMStart,"&lt;="&amp;Calendar!Q$11,rngPMEnd,"&gt;="&amp;Calendar!Q$11))</ns0:f>
        <ns0:v>0</ns0:v>
      </ns0:c>
      <ns0:c r="CE59" s="0">
        <ns0:f>IF(OR($AO59=0,$B$5&lt;&gt;"OK",$B$6&gt;0,Calendar!R$11=""),0,SUMIFS(rngEngine_U,rngEngine_B,INDEX(Team!$A$11:$A$60,$AO59),rngAMStart,"&lt;="&amp;Calendar!R$11,rngAMEnd,"&gt;="&amp;Calendar!R$11))</ns0:f>
        <ns0:v>0</ns0:v>
      </ns0:c>
      <ns0:c r="CF59" s="0">
        <ns0:f>IF(OR($AO59=0,$B$5&lt;&gt;"OK",$B$6&gt;0,Calendar!R$11=""),0,SUMIFS(rngEngine_V,rngEngine_B,INDEX(Team!$A$11:$A$60,$AO59),rngPMStart,"&lt;="&amp;Calendar!R$11,rngPMEnd,"&gt;="&amp;Calendar!R$11))</ns0:f>
        <ns0:v>0</ns0:v>
      </ns0:c>
      <ns0:c r="CG59" s="0">
        <ns0:f>IF(OR($AO59=0,$B$5&lt;&gt;"OK",$B$6&gt;0,Calendar!S$11=""),0,SUMIFS(rngEngine_U,rngEngine_B,INDEX(Team!$A$11:$A$60,$AO59),rngAMStart,"&lt;="&amp;Calendar!S$11,rngAMEnd,"&gt;="&amp;Calendar!S$11))</ns0:f>
        <ns0:v>0</ns0:v>
      </ns0:c>
      <ns0:c r="CH59" s="0">
        <ns0:f>IF(OR($AO59=0,$B$5&lt;&gt;"OK",$B$6&gt;0,Calendar!S$11=""),0,SUMIFS(rngEngine_V,rngEngine_B,INDEX(Team!$A$11:$A$60,$AO59),rngPMStart,"&lt;="&amp;Calendar!S$11,rngPMEnd,"&gt;="&amp;Calendar!S$11))</ns0:f>
        <ns0:v>0</ns0:v>
      </ns0:c>
      <ns0:c r="CI59" s="0">
        <ns0:f>IF(OR($AO59=0,$B$5&lt;&gt;"OK",$B$6&gt;0,Calendar!T$11=""),0,SUMIFS(rngEngine_U,rngEngine_B,INDEX(Team!$A$11:$A$60,$AO59),rngAMStart,"&lt;="&amp;Calendar!T$11,rngAMEnd,"&gt;="&amp;Calendar!T$11))</ns0:f>
        <ns0:v>0</ns0:v>
      </ns0:c>
      <ns0:c r="CJ59" s="0">
        <ns0:f>IF(OR($AO59=0,$B$5&lt;&gt;"OK",$B$6&gt;0,Calendar!T$11=""),0,SUMIFS(rngEngine_V,rngEngine_B,INDEX(Team!$A$11:$A$60,$AO59),rngPMStart,"&lt;="&amp;Calendar!T$11,rngPMEnd,"&gt;="&amp;Calendar!T$11))</ns0:f>
        <ns0:v>0</ns0:v>
      </ns0:c>
      <ns0:c r="CK59" s="0">
        <ns0:f>IF(OR($AO59=0,$B$5&lt;&gt;"OK",$B$6&gt;0,Calendar!U$11=""),0,SUMIFS(rngEngine_U,rngEngine_B,INDEX(Team!$A$11:$A$60,$AO59),rngAMStart,"&lt;="&amp;Calendar!U$11,rngAMEnd,"&gt;="&amp;Calendar!U$11))</ns0:f>
        <ns0:v>0</ns0:v>
      </ns0:c>
      <ns0:c r="CL59" s="0">
        <ns0:f>IF(OR($AO59=0,$B$5&lt;&gt;"OK",$B$6&gt;0,Calendar!U$11=""),0,SUMIFS(rngEngine_V,rngEngine_B,INDEX(Team!$A$11:$A$60,$AO59),rngPMStart,"&lt;="&amp;Calendar!U$11,rngPMEnd,"&gt;="&amp;Calendar!U$11))</ns0:f>
        <ns0:v>0</ns0:v>
      </ns0:c>
      <ns0:c r="CM59" s="0">
        <ns0:f>IF(OR($AO59=0,$B$5&lt;&gt;"OK",$B$6&gt;0,Calendar!V$11=""),0,SUMIFS(rngEngine_U,rngEngine_B,INDEX(Team!$A$11:$A$60,$AO59),rngAMStart,"&lt;="&amp;Calendar!V$11,rngAMEnd,"&gt;="&amp;Calendar!V$11))</ns0:f>
        <ns0:v>0</ns0:v>
      </ns0:c>
      <ns0:c r="CN59" s="0">
        <ns0:f>IF(OR($AO59=0,$B$5&lt;&gt;"OK",$B$6&gt;0,Calendar!V$11=""),0,SUMIFS(rngEngine_V,rngEngine_B,INDEX(Team!$A$11:$A$60,$AO59),rngPMStart,"&lt;="&amp;Calendar!V$11,rngPMEnd,"&gt;="&amp;Calendar!V$11))</ns0:f>
        <ns0:v>0</ns0:v>
      </ns0:c>
      <ns0:c r="CO59" s="0">
        <ns0:f>IF(OR($AO59=0,$B$5&lt;&gt;"OK",$B$6&gt;0,Calendar!W$11=""),0,SUMIFS(rngEngine_U,rngEngine_B,INDEX(Team!$A$11:$A$60,$AO59),rngAMStart,"&lt;="&amp;Calendar!W$11,rngAMEnd,"&gt;="&amp;Calendar!W$11))</ns0:f>
        <ns0:v>0</ns0:v>
      </ns0:c>
      <ns0:c r="CP59" s="0">
        <ns0:f>IF(OR($AO59=0,$B$5&lt;&gt;"OK",$B$6&gt;0,Calendar!W$11=""),0,SUMIFS(rngEngine_V,rngEngine_B,INDEX(Team!$A$11:$A$60,$AO59),rngPMStart,"&lt;="&amp;Calendar!W$11,rngPMEnd,"&gt;="&amp;Calendar!W$11))</ns0:f>
        <ns0:v>0</ns0:v>
      </ns0:c>
      <ns0:c r="CQ59" s="0">
        <ns0:f>IF(OR($AO59=0,$B$5&lt;&gt;"OK",$B$6&gt;0,Calendar!X$11=""),0,SUMIFS(rngEngine_U,rngEngine_B,INDEX(Team!$A$11:$A$60,$AO59),rngAMStart,"&lt;="&amp;Calendar!X$11,rngAMEnd,"&gt;="&amp;Calendar!X$11))</ns0:f>
        <ns0:v>0</ns0:v>
      </ns0:c>
      <ns0:c r="CR59" s="0">
        <ns0:f>IF(OR($AO59=0,$B$5&lt;&gt;"OK",$B$6&gt;0,Calendar!X$11=""),0,SUMIFS(rngEngine_V,rngEngine_B,INDEX(Team!$A$11:$A$60,$AO59),rngPMStart,"&lt;="&amp;Calendar!X$11,rngPMEnd,"&gt;="&amp;Calendar!X$11))</ns0:f>
        <ns0:v>0</ns0:v>
      </ns0:c>
      <ns0:c r="CS59" s="0">
        <ns0:f>IF(OR($AO59=0,$B$5&lt;&gt;"OK",$B$6&gt;0,Calendar!Y$11=""),0,SUMIFS(rngEngine_U,rngEngine_B,INDEX(Team!$A$11:$A$60,$AO59),rngAMStart,"&lt;="&amp;Calendar!Y$11,rngAMEnd,"&gt;="&amp;Calendar!Y$11))</ns0:f>
        <ns0:v>0</ns0:v>
      </ns0:c>
      <ns0:c r="CT59" s="0">
        <ns0:f>IF(OR($AO59=0,$B$5&lt;&gt;"OK",$B$6&gt;0,Calendar!Y$11=""),0,SUMIFS(rngEngine_V,rngEngine_B,INDEX(Team!$A$11:$A$60,$AO59),rngPMStart,"&lt;="&amp;Calendar!Y$11,rngPMEnd,"&gt;="&amp;Calendar!Y$11))</ns0:f>
        <ns0:v>0</ns0:v>
      </ns0:c>
      <ns0:c r="CU59" s="0">
        <ns0:f>IF(OR($AO59=0,$B$5&lt;&gt;"OK",$B$6&gt;0,Calendar!Z$11=""),0,SUMIFS(rngEngine_U,rngEngine_B,INDEX(Team!$A$11:$A$60,$AO59),rngAMStart,"&lt;="&amp;Calendar!Z$11,rngAMEnd,"&gt;="&amp;Calendar!Z$11))</ns0:f>
        <ns0:v>0</ns0:v>
      </ns0:c>
      <ns0:c r="CV59" s="0">
        <ns0:f>IF(OR($AO59=0,$B$5&lt;&gt;"OK",$B$6&gt;0,Calendar!Z$11=""),0,SUMIFS(rngEngine_V,rngEngine_B,INDEX(Team!$A$11:$A$60,$AO59),rngPMStart,"&lt;="&amp;Calendar!Z$11,rngPMEnd,"&gt;="&amp;Calendar!Z$11))</ns0:f>
        <ns0:v>0</ns0:v>
      </ns0:c>
      <ns0:c r="CW59" s="0">
        <ns0:f>IF(OR($AO59=0,$B$5&lt;&gt;"OK",$B$6&gt;0,Calendar!AA$11=""),0,SUMIFS(rngEngine_U,rngEngine_B,INDEX(Team!$A$11:$A$60,$AO59),rngAMStart,"&lt;="&amp;Calendar!AA$11,rngAMEnd,"&gt;="&amp;Calendar!AA$11))</ns0:f>
        <ns0:v>0</ns0:v>
      </ns0:c>
      <ns0:c r="CX59" s="0">
        <ns0:f>IF(OR($AO59=0,$B$5&lt;&gt;"OK",$B$6&gt;0,Calendar!AA$11=""),0,SUMIFS(rngEngine_V,rngEngine_B,INDEX(Team!$A$11:$A$60,$AO59),rngPMStart,"&lt;="&amp;Calendar!AA$11,rngPMEnd,"&gt;="&amp;Calendar!AA$11))</ns0:f>
        <ns0:v>0</ns0:v>
      </ns0:c>
      <ns0:c r="CY59" s="0">
        <ns0:f>IF(OR($AO59=0,$B$5&lt;&gt;"OK",$B$6&gt;0,Calendar!AB$11=""),0,SUMIFS(rngEngine_U,rngEngine_B,INDEX(Team!$A$11:$A$60,$AO59),rngAMStart,"&lt;="&amp;Calendar!AB$11,rngAMEnd,"&gt;="&amp;Calendar!AB$11))</ns0:f>
        <ns0:v>0</ns0:v>
      </ns0:c>
      <ns0:c r="CZ59" s="0">
        <ns0:f>IF(OR($AO59=0,$B$5&lt;&gt;"OK",$B$6&gt;0,Calendar!AB$11=""),0,SUMIFS(rngEngine_V,rngEngine_B,INDEX(Team!$A$11:$A$60,$AO59),rngPMStart,"&lt;="&amp;Calendar!AB$11,rngPMEnd,"&gt;="&amp;Calendar!AB$11))</ns0:f>
        <ns0:v>0</ns0:v>
      </ns0:c>
      <ns0:c r="DA59" s="0">
        <ns0:f>IF(OR($AO59=0,$B$5&lt;&gt;"OK",$B$6&gt;0,Calendar!AC$11=""),0,SUMIFS(rngEngine_U,rngEngine_B,INDEX(Team!$A$11:$A$60,$AO59),rngAMStart,"&lt;="&amp;Calendar!AC$11,rngAMEnd,"&gt;="&amp;Calendar!AC$11))</ns0:f>
        <ns0:v>0</ns0:v>
      </ns0:c>
      <ns0:c r="DB59" s="0">
        <ns0:f>IF(OR($AO59=0,$B$5&lt;&gt;"OK",$B$6&gt;0,Calendar!AC$11=""),0,SUMIFS(rngEngine_V,rngEngine_B,INDEX(Team!$A$11:$A$60,$AO59),rngPMStart,"&lt;="&amp;Calendar!AC$11,rngPMEnd,"&gt;="&amp;Calendar!AC$11))</ns0:f>
        <ns0:v>0</ns0:v>
      </ns0:c>
      <ns0:c r="DC59" s="0">
        <ns0:f>IF(OR($AO59=0,$B$5&lt;&gt;"OK",$B$6&gt;0,Calendar!AD$11=""),0,SUMIFS(rngEngine_U,rngEngine_B,INDEX(Team!$A$11:$A$60,$AO59),rngAMStart,"&lt;="&amp;Calendar!AD$11,rngAMEnd,"&gt;="&amp;Calendar!AD$11))</ns0:f>
        <ns0:v>0</ns0:v>
      </ns0:c>
      <ns0:c r="DD59" s="0">
        <ns0:f>IF(OR($AO59=0,$B$5&lt;&gt;"OK",$B$6&gt;0,Calendar!AD$11=""),0,SUMIFS(rngEngine_V,rngEngine_B,INDEX(Team!$A$11:$A$60,$AO59),rngPMStart,"&lt;="&amp;Calendar!AD$11,rngPMEnd,"&gt;="&amp;Calendar!AD$11))</ns0:f>
        <ns0:v>0</ns0:v>
      </ns0:c>
      <ns0:c r="DE59" s="0">
        <ns0:f>IF(OR($AO59=0,$B$5&lt;&gt;"OK",$B$6&gt;0,Calendar!AE$11=""),0,SUMIFS(rngEngine_U,rngEngine_B,INDEX(Team!$A$11:$A$60,$AO59),rngAMStart,"&lt;="&amp;Calendar!AE$11,rngAMEnd,"&gt;="&amp;Calendar!AE$11))</ns0:f>
        <ns0:v>0</ns0:v>
      </ns0:c>
      <ns0:c r="DF59" s="0">
        <ns0:f>IF(OR($AO59=0,$B$5&lt;&gt;"OK",$B$6&gt;0,Calendar!AE$11=""),0,SUMIFS(rngEngine_V,rngEngine_B,INDEX(Team!$A$11:$A$60,$AO59),rngPMStart,"&lt;="&amp;Calendar!AE$11,rngPMEnd,"&gt;="&amp;Calendar!AE$11))</ns0:f>
        <ns0:v>0</ns0:v>
      </ns0:c>
      <ns0:c r="DG59" s="0">
        <ns0:f>IF(OR($AO59=0,$B$5&lt;&gt;"OK",$B$6&gt;0,Calendar!AF$11=""),0,SUMIFS(rngEngine_U,rngEngine_B,INDEX(Team!$A$11:$A$60,$AO59),rngAMStart,"&lt;="&amp;Calendar!AF$11,rngAMEnd,"&gt;="&amp;Calendar!AF$11))</ns0:f>
        <ns0:v>0</ns0:v>
      </ns0:c>
      <ns0:c r="DH59" s="0">
        <ns0:f>IF(OR($AO59=0,$B$5&lt;&gt;"OK",$B$6&gt;0,Calendar!AF$11=""),0,SUMIFS(rngEngine_V,rngEngine_B,INDEX(Team!$A$11:$A$60,$AO59),rngPMStart,"&lt;="&amp;Calendar!AF$11,rngPMEnd,"&gt;="&amp;Calendar!AF$11))</ns0:f>
        <ns0:v>0</ns0:v>
      </ns0:c>
      <ns0:c r="DI59" s="0">
        <ns0:f>IF(OR($AO59=0,$B$5&lt;&gt;"OK",$B$6&gt;0,Calendar!AG$11=""),0,SUMIFS(rngEngine_U,rngEngine_B,INDEX(Team!$A$11:$A$60,$AO59),rngAMStart,"&lt;="&amp;Calendar!AG$11,rngAMEnd,"&gt;="&amp;Calendar!AG$11))</ns0:f>
        <ns0:v>0</ns0:v>
      </ns0:c>
      <ns0:c r="DJ59" s="0">
        <ns0:f>IF(OR($AO59=0,$B$5&lt;&gt;"OK",$B$6&gt;0,Calendar!AG$11=""),0,SUMIFS(rngEngine_V,rngEngine_B,INDEX(Team!$A$11:$A$60,$AO59),rngPMStart,"&lt;="&amp;Calendar!AG$11,rngPMEnd,"&gt;="&amp;Calendar!AG$11))</ns0:f>
        <ns0:v>0</ns0:v>
      </ns0:c>
      <ns0:c r="DK59" s="0">
        <ns0:f>IF(OR($AO59=0,$B$5&lt;&gt;"OK",$B$6&gt;0,Calendar!AH$11=""),0,SUMIFS(rngEngine_U,rngEngine_B,INDEX(Team!$A$11:$A$60,$AO59),rngAMStart,"&lt;="&amp;Calendar!AH$11,rngAMEnd,"&gt;="&amp;Calendar!AH$11))</ns0:f>
        <ns0:v>0</ns0:v>
      </ns0:c>
      <ns0:c r="DL59" s="0">
        <ns0:f>IF(OR($AO59=0,$B$5&lt;&gt;"OK",$B$6&gt;0,Calendar!AH$11=""),0,SUMIFS(rngEngine_V,rngEngine_B,INDEX(Team!$A$11:$A$60,$AO59),rngPMStart,"&lt;="&amp;Calendar!AH$11,rngPMEnd,"&gt;="&amp;Calendar!AH$11))</ns0:f>
        <ns0:v>0</ns0:v>
      </ns0:c>
    </ns0:row>
    <ns0:row r="60" ht="22" customHeight="1">
      <ns0:c r="A60" s="4">
        <ns0:f>IF(COUNTA(Bookings!A60:G60,Bookings!I60)=0,0,1)</ns0:f>
        <ns0:v>0</ns0:v>
      </ns0:c>
      <ns0:c r="B60" s="4" t="str">
        <ns0:f>IFERROR(TRIM(MID(Bookings!A60,FIND(" · ",Bookings!A60)+3,99)),"")</ns0:f>
        <ns0:v/>
      </ns0:c>
      <ns0:c r="C60" s="4">
        <ns0:f>IF(OR(B60="",LEN(B60)&gt;24,ISNUMBER(FIND(" ",B60)),ISNUMBER(FIND("*",B60)),ISNUMBER(FIND("?",B60)),ISNUMBER(FIND("~",B60))),0,IFERROR(MATCH(B60,Team!$A$11:$A$60,0),0))</ns0:f>
        <ns0:v>0</ns0:v>
      </ns0:c>
      <ns0:c r="D60" s="4" t="str">
        <ns0:f>IFERROR(IF(MID(Bookings!F60,LEN(Bookings!F60)-3,3)=" · ",RIGHT(Bookings!F60,1),""),"")</ns0:f>
        <ns0:v/>
      </ns0:c>
      <ns0:c r="E60" s="4" t="str">
        <ns0:f>IFERROR(INDEX(Settings!$H$7:$H$11,MATCH(D60,Settings!$G$7:$G$11,0)),"")</ns0:f>
        <ns0:v/>
      </ns0:c>
      <ns0:c r="F60" s="4" t="str">
        <ns0:f>IF(A60=0,"",IFERROR(IF(OR(B60="",C60=0),"CHECK employee selection",IF(INDEX(Team!$O$11:$O$60,C60)&lt;&gt;"OK","CHECK employee setup",IF(OR('_Dates'!J60=0,'_Dates'!T60=0),"CHECK date: use DD.MM.YYYY",IF('_Dates'!T60&lt;'_Dates'!J60,"CHECK end before start",IF(AND($B$6=0,OR('_Dates'!J60&lt;Settings!$B$7,'_Dates'!T60&gt;Settings!$B$8)),"CHECK split across leave years",IF(OR(NOT(OR('_Dates'!U60="Full day",'_Dates'!U60="AM",'_Dates'!U60="PM")),NOT(OR('_Dates'!V60="Full day",'_Dates'!V60="AM",'_Dates'!V60="PM"))),"CHECK Full day / AM / PM",IF(AND('_Dates'!J60='_Dates'!T60,'_Dates'!U60&lt;&gt;"Full day",'_Dates'!V60&lt;&gt;"Full day",'_Dates'!U60&lt;&gt;'_Dates'!V60),"CHECK same-day portions disagree",IF(AND($B$6=0,OR(AND('_Dates'!U60&lt;&gt;"Full day",'_Dates'!AA60=0),AND('_Dates'!V60&lt;&gt;"Full day",'_Dates'!AB60=0))),"CHECK half-day on non-working date",IF(COUNTIF(Settings!$G$7:$G$11,D60)&lt;&gt;1,"CHECK leave type",IF(AND(Bookings!G60&lt;&gt;"Approved",Bookings!G60&lt;&gt;"Pending",Bookings!G60&lt;&gt;"Cancelled"),"CHECK status","OK")))))))))),"CHECK input"))</ns0:f>
        <ns0:v/>
      </ns0:c>
      <ns0:c r="G60" s="4">
        <ns0:f>IF(OR(F60&lt;&gt;"OK",$B$6&gt;0),0,0.5*(IF(('_Dates'!X60)&lt;('_Dates'!W60),0,INT((('_Dates'!X60)-('_Dates'!W60)+1)/7)*LEN(SUBSTITUTE(W60,"O",""))+LEN(SUBSTITUTE(MID(W60&amp;W60,WEEKDAY(('_Dates'!W60),2),MOD((('_Dates'!X60)-('_Dates'!W60)+1),7)),"O",""))-COUNTIFS(INDEX(AllClosureRows,C60,0),"&gt;="&amp;('_Dates'!W60),INDEX(AllClosureRows,C60,0),"&lt;="&amp;('_Dates'!X60)))+IF(('_Dates'!Z60)&lt;('_Dates'!Y60),0,INT((('_Dates'!Z60)-('_Dates'!Y60)+1)/7)*LEN(SUBSTITUTE(W60,"O",""))+LEN(SUBSTITUTE(MID(W60&amp;W60,WEEKDAY(('_Dates'!Y60),2),MOD((('_Dates'!Z60)-('_Dates'!Y60)+1),7)),"O",""))-COUNTIFS(INDEX(AllClosureRows,C60,0),"&gt;="&amp;('_Dates'!Y60),INDEX(AllClosureRows,C60,0),"&lt;="&amp;('_Dates'!Z60)))))</ns0:f>
        <ns0:v>0</ns0:v>
      </ns0:c>
      <ns0:c r="H60" s="4">
        <ns0:f>IF(OR(F60&lt;&gt;"OK",$B$6&gt;0),0,0.5*(IF((MIN('_Dates'!X60,Settings!$B$9))&lt;('_Dates'!W60),0,INT(((MIN('_Dates'!X60,Settings!$B$9))-('_Dates'!W60)+1)/7)*LEN(SUBSTITUTE(W60,"O",""))+LEN(SUBSTITUTE(MID(W60&amp;W60,WEEKDAY(('_Dates'!W60),2),MOD(((MIN('_Dates'!X60,Settings!$B$9))-('_Dates'!W60)+1),7)),"O",""))-COUNTIFS(INDEX(AllClosureRows,C60,0),"&gt;="&amp;('_Dates'!W60),INDEX(AllClosureRows,C60,0),"&lt;="&amp;(MIN('_Dates'!X60,Settings!$B$9))))+IF((MIN('_Dates'!Z60,Settings!$B$9))&lt;('_Dates'!Y60),0,INT(((MIN('_Dates'!Z60,Settings!$B$9))-('_Dates'!Y60)+1)/7)*LEN(SUBSTITUTE(W60,"O",""))+LEN(SUBSTITUTE(MID(W60&amp;W60,WEEKDAY(('_Dates'!Y60),2),MOD(((MIN('_Dates'!Z60,Settings!$B$9))-('_Dates'!Y60)+1),7)),"O",""))-COUNTIFS(INDEX(AllClosureRows,C60,0),"&gt;="&amp;('_Dates'!Y60),INDEX(AllClosureRows,C60,0),"&lt;="&amp;(MIN('_Dates'!Z60,Settings!$B$9))))))</ns0:f>
        <ns0:v>0</ns0:v>
      </ns0:c>
      <ns0:c r="I60" s="4">
        <ns0:f>MAX(0,G60-H60)</ns0:f>
        <ns0:v>0</ns0:v>
      </ns0:c>
      <ns0:c r="J60" s="4">
        <ns0:f>IF(OR(A60=0,F60&lt;&gt;"OK",Bookings!G60="Cancelled",$B$6&gt;0),0,IF('_Dates'!AC60=1,MAX(0,COUNTIFS(rngEngine_B,B60,rngAMStart,"&lt;="&amp;'_Dates'!X60,rngAMEnd,"&gt;="&amp;'_Dates'!W60,rngAMActive,1,rngEngine_F,"OK",rngBookings_F,"&lt;&gt;Cancelled")-1),0)+IF('_Dates'!AD60=1,MAX(0,COUNTIFS(rngEngine_B,B60,rngPMStart,"&lt;="&amp;'_Dates'!Z60,rngPMEnd,"&gt;="&amp;'_Dates'!Y60,rngPMActive,1,rngEngine_F,"OK",rngBookings_F,"&lt;&gt;Cancelled")-1),0))</ns0:f>
        <ns0:v>0</ns0:v>
      </ns0:c>
      <ns0:c r="K60" s="0" t="str">
        <ns0:f>IF(A60=0,"",IF(F60&lt;&gt;"OK",F60,IF(J60&gt;0,"CHECK overlapping entry",IF(AND($B$6=0,G60&lt;=0,Bookings!G60&lt;&gt;"Cancelled"),"CHECK no working days",IF(Bookings!G60="Cancelled","Cancelled","OK")))))</ns0:f>
        <ns0:v/>
      </ns0:c>
      <ns0:c r="L60" s="0">
        <ns0:f>IF(LEFT(K60,5)="CHECK",1,0)</ns0:f>
        <ns0:v>0</ns0:v>
      </ns0:c>
      <ns0:c r="M60" s="0">
        <ns0:f>IF(AND(L60=1,OR(C60=0,IFERROR(INDEX($X$11:$X$60,C60),0)=0)),1,0)</ns0:f>
        <ns0:v>0</ns0:v>
      </ns0:c>
      <ns0:c r="N60" s="0">
        <ns0:f>IF(OR(A60=0,L60&gt;0,$B$6&gt;0,Bookings!G60="Cancelled"),0,G60)</ns0:f>
        <ns0:v>0</ns0:v>
      </ns0:c>
      <ns0:c r="O60" s="0">
        <ns0:f>IF(AND(Bookings!G60="Approved",E60="Yes"),N60,0)</ns0:f>
        <ns0:v>0</ns0:v>
      </ns0:c>
      <ns0:c r="P60" s="0">
        <ns0:f>IF(AND(Bookings!G60="Approved",E60="Yes",L60=0,$B$6=0),H60,0)</ns0:f>
        <ns0:v>0</ns0:v>
      </ns0:c>
      <ns0:c r="Q60" s="0">
        <ns0:f>IF(AND(Bookings!G60="Approved",E60="Yes",L60=0,$B$6=0),I60,0)</ns0:f>
        <ns0:v>0</ns0:v>
      </ns0:c>
      <ns0:c r="R60" s="0">
        <ns0:f>IF(AND(Bookings!G60="Pending",E60="Yes"),N60,0)</ns0:f>
        <ns0:v>0</ns0:v>
      </ns0:c>
      <ns0:c r="S60" s="0">
        <ns0:f>IF(AND(Bookings!G60="Approved",E60="No"),N60,0)</ns0:f>
        <ns0:v>0</ns0:v>
      </ns0:c>
      <ns0:c r="T60" s="0">
        <ns0:f>IFERROR(MATCH(D60,Settings!$G$7:$G$11,0),0)</ns0:f>
        <ns0:v>0</ns0:v>
      </ns0:c>
      <ns0:c r="U60" s="0">
        <ns0:f>IF(N60&gt;0,T60+IF(Bookings!G60="Pending",10,0),0)</ns0:f>
        <ns0:v>0</ns0:v>
      </ns0:c>
      <ns0:c r="V60" s="0">
        <ns0:f>U60</ns0:f>
        <ns0:v>0</ns0:v>
      </ns0:c>
      <ns0:c r="W60" s="0" t="str">
        <ns0:f>IF(C60=0,"",INDEX($AP$11:$AP$60,C60))</ns0:f>
        <ns0:v/>
      </ns0:c>
      <ns0:c r="X60" s="0">
        <ns0:f>IF(COUNTA(Team!B60:D60)=0,0,1)</ns0:f>
        <ns0:v>0</ns0:v>
      </ns0:c>
      <ns0:c r="Y60" s="0" t="str">
        <ns0:f>IF(X60=0,"",IF(Team!B60="","[Unnamed]",Team!B60)&amp;" · "&amp;Team!A60)</ns0:f>
        <ns0:v/>
      </ns0:c>
      <ns0:c r="Z60" s="0">
        <ns0:f>IF(X60=0,0,COUNTIF(Team!H60:N60,"Work"))</ns0:f>
        <ns0:v>0</ns0:v>
      </ns0:c>
      <ns0:c r="AA60" s="0">
        <ns0:f>IF(LEFT(Team!O60,5)="CHECK",1,0)</ns0:f>
        <ns0:v>0</ns0:v>
      </ns0:c>
      <ns0:c r="AB60" s="0">
        <ns0:f>IF(X60=0,0,SUMIFS(rngEngine_L,rngEngine_B,Team!A60))</ns0:f>
        <ns0:v>0</ns0:v>
      </ns0:c>
      <ns0:c r="AC60" s="0" t="str">
        <ns0:f>IF(AND(X60=1,OR(Calendar!$C$7="All teams",Team!C60=Calendar!$C$7)),MAX($AC$10:AC59)+1,"")</ns0:f>
        <ns0:v/>
      </ns0:c>
      <ns0:c r="AD60" s="0" t="str">
        <ns0:f>IF(OR(X60=0,Team!C60="",COUNTIF(Team!$C$11:C60,Team!C60)&gt;1),"",MAX($AD$10:AD59)+1)</ns0:f>
        <ns0:v/>
      </ns0:c>
      <ns0:c r="AE60" s="0" t="str">
        <ns0:f>IFERROR(INDEX(Team!$C$11:$C$60,MATCH(ROW()-10,$AD$11:$AD$60,0)),"")</ns0:f>
        <ns0:v/>
      </ns0:c>
      <ns0:c r="AF60" s="0">
        <ns0:f>AE60</ns0:f>
        <ns0:v>0</ns0:v>
      </ns0:c>
      <ns0:c r="AG60" s="0">
        <ns0:f>IF(X60=0,0,IFERROR(Team!F60+Team!G60,0))</ns0:f>
        <ns0:v>0</ns0:v>
      </ns0:c>
      <ns0:c r="AH60" s="0">
        <ns0:f>IF(X60=0,0,SUMIFS(rngEngine_P,rngEngine_B,Team!A60))</ns0:f>
        <ns0:v>0</ns0:v>
      </ns0:c>
      <ns0:c r="AI60" s="0">
        <ns0:f>IF(X60=0,0,SUMIFS(rngEngine_Q,rngEngine_B,Team!A60))</ns0:f>
        <ns0:v>0</ns0:v>
      </ns0:c>
      <ns0:c r="AJ60" s="0">
        <ns0:f>IF(X60=0,0,SUMIFS(rngEngine_R,rngEngine_B,Team!A60))</ns0:f>
        <ns0:v>0</ns0:v>
      </ns0:c>
      <ns0:c r="AK60" s="0">
        <ns0:f>IF(X60=0,0,SUMIFS(rngEngine_S,rngEngine_B,Team!A60))</ns0:f>
        <ns0:v>0</ns0:v>
      </ns0:c>
      <ns0:c r="AL60" s="0">
        <ns0:f>AH60+AI60</ns0:f>
        <ns0:v>0</ns0:v>
      </ns0:c>
      <ns0:c r="AM60" s="0" t="str">
        <ns0:f>IF(X60=0,"",IF(AA60&gt;0,"CHECK team setup",IF(AB60&gt;0,"CHECK "&amp;AB60&amp;" booking(s)","OK")))</ns0:f>
        <ns0:v/>
      </ns0:c>
      <ns0:c r="AN60" s="0" t="str">
        <ns0:f>IF(X60=0,"",IF(OR($B$6&gt;0,AM60&lt;&gt;"OK"),"REVIEW",AG60-AL60))</ns0:f>
        <ns0:v/>
      </ns0:c>
      <ns0:c r="AO60" s="0">
        <ns0:f>IFERROR(MATCH(ROW()-11,$AC$11:$AC$60,0),0)</ns0:f>
        <ns0:v>0</ns0:v>
      </ns0:c>
      <ns0:c r="AP60" s="0" t="str">
        <ns0:f>IF(Team!H60="Work","W","O")&amp;IF(Team!I60="Work","W","O")&amp;IF(Team!J60="Work","W","O")&amp;IF(Team!K60="Work","W","O")&amp;IF(Team!L60="Work","W","O")&amp;IF(Team!M60="Work","W","O")&amp;IF(Team!N60="Work","W","O")</ns0:f>
        <ns0:v>WWWWWOO</ns0:v>
      </ns0:c>
      <ns0:c r="AR60" s="0">
        <ns0:f>IFERROR(IF(ISNUMBER(Settings!F60),WEEKDAY(Settings!F60,2),0),0)</ns0:f>
        <ns0:v>0</ns0:v>
      </ns0:c>
      <ns0:c r="BC60" s="0">
        <ns0:f>IF(OR($AO60=0,$B$5&lt;&gt;"OK",$B$6&gt;0,Calendar!D$11=""),0,SUMIFS(rngEngine_U,rngEngine_B,INDEX(Team!$A$11:$A$60,$AO60),rngAMStart,"&lt;="&amp;Calendar!D$11,rngAMEnd,"&gt;="&amp;Calendar!D$11))</ns0:f>
        <ns0:v>0</ns0:v>
      </ns0:c>
      <ns0:c r="BD60" s="0">
        <ns0:f>IF(OR($AO60=0,$B$5&lt;&gt;"OK",$B$6&gt;0,Calendar!D$11=""),0,SUMIFS(rngEngine_V,rngEngine_B,INDEX(Team!$A$11:$A$60,$AO60),rngPMStart,"&lt;="&amp;Calendar!D$11,rngPMEnd,"&gt;="&amp;Calendar!D$11))</ns0:f>
        <ns0:v>0</ns0:v>
      </ns0:c>
      <ns0:c r="BE60" s="0">
        <ns0:f>IF(OR($AO60=0,$B$5&lt;&gt;"OK",$B$6&gt;0,Calendar!E$11=""),0,SUMIFS(rngEngine_U,rngEngine_B,INDEX(Team!$A$11:$A$60,$AO60),rngAMStart,"&lt;="&amp;Calendar!E$11,rngAMEnd,"&gt;="&amp;Calendar!E$11))</ns0:f>
        <ns0:v>0</ns0:v>
      </ns0:c>
      <ns0:c r="BF60" s="0">
        <ns0:f>IF(OR($AO60=0,$B$5&lt;&gt;"OK",$B$6&gt;0,Calendar!E$11=""),0,SUMIFS(rngEngine_V,rngEngine_B,INDEX(Team!$A$11:$A$60,$AO60),rngPMStart,"&lt;="&amp;Calendar!E$11,rngPMEnd,"&gt;="&amp;Calendar!E$11))</ns0:f>
        <ns0:v>0</ns0:v>
      </ns0:c>
      <ns0:c r="BG60" s="0">
        <ns0:f>IF(OR($AO60=0,$B$5&lt;&gt;"OK",$B$6&gt;0,Calendar!F$11=""),0,SUMIFS(rngEngine_U,rngEngine_B,INDEX(Team!$A$11:$A$60,$AO60),rngAMStart,"&lt;="&amp;Calendar!F$11,rngAMEnd,"&gt;="&amp;Calendar!F$11))</ns0:f>
        <ns0:v>0</ns0:v>
      </ns0:c>
      <ns0:c r="BH60" s="0">
        <ns0:f>IF(OR($AO60=0,$B$5&lt;&gt;"OK",$B$6&gt;0,Calendar!F$11=""),0,SUMIFS(rngEngine_V,rngEngine_B,INDEX(Team!$A$11:$A$60,$AO60),rngPMStart,"&lt;="&amp;Calendar!F$11,rngPMEnd,"&gt;="&amp;Calendar!F$11))</ns0:f>
        <ns0:v>0</ns0:v>
      </ns0:c>
      <ns0:c r="BI60" s="0">
        <ns0:f>IF(OR($AO60=0,$B$5&lt;&gt;"OK",$B$6&gt;0,Calendar!G$11=""),0,SUMIFS(rngEngine_U,rngEngine_B,INDEX(Team!$A$11:$A$60,$AO60),rngAMStart,"&lt;="&amp;Calendar!G$11,rngAMEnd,"&gt;="&amp;Calendar!G$11))</ns0:f>
        <ns0:v>0</ns0:v>
      </ns0:c>
      <ns0:c r="BJ60" s="0">
        <ns0:f>IF(OR($AO60=0,$B$5&lt;&gt;"OK",$B$6&gt;0,Calendar!G$11=""),0,SUMIFS(rngEngine_V,rngEngine_B,INDEX(Team!$A$11:$A$60,$AO60),rngPMStart,"&lt;="&amp;Calendar!G$11,rngPMEnd,"&gt;="&amp;Calendar!G$11))</ns0:f>
        <ns0:v>0</ns0:v>
      </ns0:c>
      <ns0:c r="BK60" s="0">
        <ns0:f>IF(OR($AO60=0,$B$5&lt;&gt;"OK",$B$6&gt;0,Calendar!H$11=""),0,SUMIFS(rngEngine_U,rngEngine_B,INDEX(Team!$A$11:$A$60,$AO60),rngAMStart,"&lt;="&amp;Calendar!H$11,rngAMEnd,"&gt;="&amp;Calendar!H$11))</ns0:f>
        <ns0:v>0</ns0:v>
      </ns0:c>
      <ns0:c r="BL60" s="0">
        <ns0:f>IF(OR($AO60=0,$B$5&lt;&gt;"OK",$B$6&gt;0,Calendar!H$11=""),0,SUMIFS(rngEngine_V,rngEngine_B,INDEX(Team!$A$11:$A$60,$AO60),rngPMStart,"&lt;="&amp;Calendar!H$11,rngPMEnd,"&gt;="&amp;Calendar!H$11))</ns0:f>
        <ns0:v>0</ns0:v>
      </ns0:c>
      <ns0:c r="BM60" s="0">
        <ns0:f>IF(OR($AO60=0,$B$5&lt;&gt;"OK",$B$6&gt;0,Calendar!I$11=""),0,SUMIFS(rngEngine_U,rngEngine_B,INDEX(Team!$A$11:$A$60,$AO60),rngAMStart,"&lt;="&amp;Calendar!I$11,rngAMEnd,"&gt;="&amp;Calendar!I$11))</ns0:f>
        <ns0:v>0</ns0:v>
      </ns0:c>
      <ns0:c r="BN60" s="0">
        <ns0:f>IF(OR($AO60=0,$B$5&lt;&gt;"OK",$B$6&gt;0,Calendar!I$11=""),0,SUMIFS(rngEngine_V,rngEngine_B,INDEX(Team!$A$11:$A$60,$AO60),rngPMStart,"&lt;="&amp;Calendar!I$11,rngPMEnd,"&gt;="&amp;Calendar!I$11))</ns0:f>
        <ns0:v>0</ns0:v>
      </ns0:c>
      <ns0:c r="BO60" s="0">
        <ns0:f>IF(OR($AO60=0,$B$5&lt;&gt;"OK",$B$6&gt;0,Calendar!J$11=""),0,SUMIFS(rngEngine_U,rngEngine_B,INDEX(Team!$A$11:$A$60,$AO60),rngAMStart,"&lt;="&amp;Calendar!J$11,rngAMEnd,"&gt;="&amp;Calendar!J$11))</ns0:f>
        <ns0:v>0</ns0:v>
      </ns0:c>
      <ns0:c r="BP60" s="0">
        <ns0:f>IF(OR($AO60=0,$B$5&lt;&gt;"OK",$B$6&gt;0,Calendar!J$11=""),0,SUMIFS(rngEngine_V,rngEngine_B,INDEX(Team!$A$11:$A$60,$AO60),rngPMStart,"&lt;="&amp;Calendar!J$11,rngPMEnd,"&gt;="&amp;Calendar!J$11))</ns0:f>
        <ns0:v>0</ns0:v>
      </ns0:c>
      <ns0:c r="BQ60" s="0">
        <ns0:f>IF(OR($AO60=0,$B$5&lt;&gt;"OK",$B$6&gt;0,Calendar!K$11=""),0,SUMIFS(rngEngine_U,rngEngine_B,INDEX(Team!$A$11:$A$60,$AO60),rngAMStart,"&lt;="&amp;Calendar!K$11,rngAMEnd,"&gt;="&amp;Calendar!K$11))</ns0:f>
        <ns0:v>0</ns0:v>
      </ns0:c>
      <ns0:c r="BR60" s="0">
        <ns0:f>IF(OR($AO60=0,$B$5&lt;&gt;"OK",$B$6&gt;0,Calendar!K$11=""),0,SUMIFS(rngEngine_V,rngEngine_B,INDEX(Team!$A$11:$A$60,$AO60),rngPMStart,"&lt;="&amp;Calendar!K$11,rngPMEnd,"&gt;="&amp;Calendar!K$11))</ns0:f>
        <ns0:v>0</ns0:v>
      </ns0:c>
      <ns0:c r="BS60" s="0">
        <ns0:f>IF(OR($AO60=0,$B$5&lt;&gt;"OK",$B$6&gt;0,Calendar!L$11=""),0,SUMIFS(rngEngine_U,rngEngine_B,INDEX(Team!$A$11:$A$60,$AO60),rngAMStart,"&lt;="&amp;Calendar!L$11,rngAMEnd,"&gt;="&amp;Calendar!L$11))</ns0:f>
        <ns0:v>0</ns0:v>
      </ns0:c>
      <ns0:c r="BT60" s="0">
        <ns0:f>IF(OR($AO60=0,$B$5&lt;&gt;"OK",$B$6&gt;0,Calendar!L$11=""),0,SUMIFS(rngEngine_V,rngEngine_B,INDEX(Team!$A$11:$A$60,$AO60),rngPMStart,"&lt;="&amp;Calendar!L$11,rngPMEnd,"&gt;="&amp;Calendar!L$11))</ns0:f>
        <ns0:v>0</ns0:v>
      </ns0:c>
      <ns0:c r="BU60" s="0">
        <ns0:f>IF(OR($AO60=0,$B$5&lt;&gt;"OK",$B$6&gt;0,Calendar!M$11=""),0,SUMIFS(rngEngine_U,rngEngine_B,INDEX(Team!$A$11:$A$60,$AO60),rngAMStart,"&lt;="&amp;Calendar!M$11,rngAMEnd,"&gt;="&amp;Calendar!M$11))</ns0:f>
        <ns0:v>0</ns0:v>
      </ns0:c>
      <ns0:c r="BV60" s="0">
        <ns0:f>IF(OR($AO60=0,$B$5&lt;&gt;"OK",$B$6&gt;0,Calendar!M$11=""),0,SUMIFS(rngEngine_V,rngEngine_B,INDEX(Team!$A$11:$A$60,$AO60),rngPMStart,"&lt;="&amp;Calendar!M$11,rngPMEnd,"&gt;="&amp;Calendar!M$11))</ns0:f>
        <ns0:v>0</ns0:v>
      </ns0:c>
      <ns0:c r="BW60" s="0">
        <ns0:f>IF(OR($AO60=0,$B$5&lt;&gt;"OK",$B$6&gt;0,Calendar!N$11=""),0,SUMIFS(rngEngine_U,rngEngine_B,INDEX(Team!$A$11:$A$60,$AO60),rngAMStart,"&lt;="&amp;Calendar!N$11,rngAMEnd,"&gt;="&amp;Calendar!N$11))</ns0:f>
        <ns0:v>0</ns0:v>
      </ns0:c>
      <ns0:c r="BX60" s="0">
        <ns0:f>IF(OR($AO60=0,$B$5&lt;&gt;"OK",$B$6&gt;0,Calendar!N$11=""),0,SUMIFS(rngEngine_V,rngEngine_B,INDEX(Team!$A$11:$A$60,$AO60),rngPMStart,"&lt;="&amp;Calendar!N$11,rngPMEnd,"&gt;="&amp;Calendar!N$11))</ns0:f>
        <ns0:v>0</ns0:v>
      </ns0:c>
      <ns0:c r="BY60" s="0">
        <ns0:f>IF(OR($AO60=0,$B$5&lt;&gt;"OK",$B$6&gt;0,Calendar!O$11=""),0,SUMIFS(rngEngine_U,rngEngine_B,INDEX(Team!$A$11:$A$60,$AO60),rngAMStart,"&lt;="&amp;Calendar!O$11,rngAMEnd,"&gt;="&amp;Calendar!O$11))</ns0:f>
        <ns0:v>0</ns0:v>
      </ns0:c>
      <ns0:c r="BZ60" s="0">
        <ns0:f>IF(OR($AO60=0,$B$5&lt;&gt;"OK",$B$6&gt;0,Calendar!O$11=""),0,SUMIFS(rngEngine_V,rngEngine_B,INDEX(Team!$A$11:$A$60,$AO60),rngPMStart,"&lt;="&amp;Calendar!O$11,rngPMEnd,"&gt;="&amp;Calendar!O$11))</ns0:f>
        <ns0:v>0</ns0:v>
      </ns0:c>
      <ns0:c r="CA60" s="0">
        <ns0:f>IF(OR($AO60=0,$B$5&lt;&gt;"OK",$B$6&gt;0,Calendar!P$11=""),0,SUMIFS(rngEngine_U,rngEngine_B,INDEX(Team!$A$11:$A$60,$AO60),rngAMStart,"&lt;="&amp;Calendar!P$11,rngAMEnd,"&gt;="&amp;Calendar!P$11))</ns0:f>
        <ns0:v>0</ns0:v>
      </ns0:c>
      <ns0:c r="CB60" s="0">
        <ns0:f>IF(OR($AO60=0,$B$5&lt;&gt;"OK",$B$6&gt;0,Calendar!P$11=""),0,SUMIFS(rngEngine_V,rngEngine_B,INDEX(Team!$A$11:$A$60,$AO60),rngPMStart,"&lt;="&amp;Calendar!P$11,rngPMEnd,"&gt;="&amp;Calendar!P$11))</ns0:f>
        <ns0:v>0</ns0:v>
      </ns0:c>
      <ns0:c r="CC60" s="0">
        <ns0:f>IF(OR($AO60=0,$B$5&lt;&gt;"OK",$B$6&gt;0,Calendar!Q$11=""),0,SUMIFS(rngEngine_U,rngEngine_B,INDEX(Team!$A$11:$A$60,$AO60),rngAMStart,"&lt;="&amp;Calendar!Q$11,rngAMEnd,"&gt;="&amp;Calendar!Q$11))</ns0:f>
        <ns0:v>0</ns0:v>
      </ns0:c>
      <ns0:c r="CD60" s="0">
        <ns0:f>IF(OR($AO60=0,$B$5&lt;&gt;"OK",$B$6&gt;0,Calendar!Q$11=""),0,SUMIFS(rngEngine_V,rngEngine_B,INDEX(Team!$A$11:$A$60,$AO60),rngPMStart,"&lt;="&amp;Calendar!Q$11,rngPMEnd,"&gt;="&amp;Calendar!Q$11))</ns0:f>
        <ns0:v>0</ns0:v>
      </ns0:c>
      <ns0:c r="CE60" s="0">
        <ns0:f>IF(OR($AO60=0,$B$5&lt;&gt;"OK",$B$6&gt;0,Calendar!R$11=""),0,SUMIFS(rngEngine_U,rngEngine_B,INDEX(Team!$A$11:$A$60,$AO60),rngAMStart,"&lt;="&amp;Calendar!R$11,rngAMEnd,"&gt;="&amp;Calendar!R$11))</ns0:f>
        <ns0:v>0</ns0:v>
      </ns0:c>
      <ns0:c r="CF60" s="0">
        <ns0:f>IF(OR($AO60=0,$B$5&lt;&gt;"OK",$B$6&gt;0,Calendar!R$11=""),0,SUMIFS(rngEngine_V,rngEngine_B,INDEX(Team!$A$11:$A$60,$AO60),rngPMStart,"&lt;="&amp;Calendar!R$11,rngPMEnd,"&gt;="&amp;Calendar!R$11))</ns0:f>
        <ns0:v>0</ns0:v>
      </ns0:c>
      <ns0:c r="CG60" s="0">
        <ns0:f>IF(OR($AO60=0,$B$5&lt;&gt;"OK",$B$6&gt;0,Calendar!S$11=""),0,SUMIFS(rngEngine_U,rngEngine_B,INDEX(Team!$A$11:$A$60,$AO60),rngAMStart,"&lt;="&amp;Calendar!S$11,rngAMEnd,"&gt;="&amp;Calendar!S$11))</ns0:f>
        <ns0:v>0</ns0:v>
      </ns0:c>
      <ns0:c r="CH60" s="0">
        <ns0:f>IF(OR($AO60=0,$B$5&lt;&gt;"OK",$B$6&gt;0,Calendar!S$11=""),0,SUMIFS(rngEngine_V,rngEngine_B,INDEX(Team!$A$11:$A$60,$AO60),rngPMStart,"&lt;="&amp;Calendar!S$11,rngPMEnd,"&gt;="&amp;Calendar!S$11))</ns0:f>
        <ns0:v>0</ns0:v>
      </ns0:c>
      <ns0:c r="CI60" s="0">
        <ns0:f>IF(OR($AO60=0,$B$5&lt;&gt;"OK",$B$6&gt;0,Calendar!T$11=""),0,SUMIFS(rngEngine_U,rngEngine_B,INDEX(Team!$A$11:$A$60,$AO60),rngAMStart,"&lt;="&amp;Calendar!T$11,rngAMEnd,"&gt;="&amp;Calendar!T$11))</ns0:f>
        <ns0:v>0</ns0:v>
      </ns0:c>
      <ns0:c r="CJ60" s="0">
        <ns0:f>IF(OR($AO60=0,$B$5&lt;&gt;"OK",$B$6&gt;0,Calendar!T$11=""),0,SUMIFS(rngEngine_V,rngEngine_B,INDEX(Team!$A$11:$A$60,$AO60),rngPMStart,"&lt;="&amp;Calendar!T$11,rngPMEnd,"&gt;="&amp;Calendar!T$11))</ns0:f>
        <ns0:v>0</ns0:v>
      </ns0:c>
      <ns0:c r="CK60" s="0">
        <ns0:f>IF(OR($AO60=0,$B$5&lt;&gt;"OK",$B$6&gt;0,Calendar!U$11=""),0,SUMIFS(rngEngine_U,rngEngine_B,INDEX(Team!$A$11:$A$60,$AO60),rngAMStart,"&lt;="&amp;Calendar!U$11,rngAMEnd,"&gt;="&amp;Calendar!U$11))</ns0:f>
        <ns0:v>0</ns0:v>
      </ns0:c>
      <ns0:c r="CL60" s="0">
        <ns0:f>IF(OR($AO60=0,$B$5&lt;&gt;"OK",$B$6&gt;0,Calendar!U$11=""),0,SUMIFS(rngEngine_V,rngEngine_B,INDEX(Team!$A$11:$A$60,$AO60),rngPMStart,"&lt;="&amp;Calendar!U$11,rngPMEnd,"&gt;="&amp;Calendar!U$11))</ns0:f>
        <ns0:v>0</ns0:v>
      </ns0:c>
      <ns0:c r="CM60" s="0">
        <ns0:f>IF(OR($AO60=0,$B$5&lt;&gt;"OK",$B$6&gt;0,Calendar!V$11=""),0,SUMIFS(rngEngine_U,rngEngine_B,INDEX(Team!$A$11:$A$60,$AO60),rngAMStart,"&lt;="&amp;Calendar!V$11,rngAMEnd,"&gt;="&amp;Calendar!V$11))</ns0:f>
        <ns0:v>0</ns0:v>
      </ns0:c>
      <ns0:c r="CN60" s="0">
        <ns0:f>IF(OR($AO60=0,$B$5&lt;&gt;"OK",$B$6&gt;0,Calendar!V$11=""),0,SUMIFS(rngEngine_V,rngEngine_B,INDEX(Team!$A$11:$A$60,$AO60),rngPMStart,"&lt;="&amp;Calendar!V$11,rngPMEnd,"&gt;="&amp;Calendar!V$11))</ns0:f>
        <ns0:v>0</ns0:v>
      </ns0:c>
      <ns0:c r="CO60" s="0">
        <ns0:f>IF(OR($AO60=0,$B$5&lt;&gt;"OK",$B$6&gt;0,Calendar!W$11=""),0,SUMIFS(rngEngine_U,rngEngine_B,INDEX(Team!$A$11:$A$60,$AO60),rngAMStart,"&lt;="&amp;Calendar!W$11,rngAMEnd,"&gt;="&amp;Calendar!W$11))</ns0:f>
        <ns0:v>0</ns0:v>
      </ns0:c>
      <ns0:c r="CP60" s="0">
        <ns0:f>IF(OR($AO60=0,$B$5&lt;&gt;"OK",$B$6&gt;0,Calendar!W$11=""),0,SUMIFS(rngEngine_V,rngEngine_B,INDEX(Team!$A$11:$A$60,$AO60),rngPMStart,"&lt;="&amp;Calendar!W$11,rngPMEnd,"&gt;="&amp;Calendar!W$11))</ns0:f>
        <ns0:v>0</ns0:v>
      </ns0:c>
      <ns0:c r="CQ60" s="0">
        <ns0:f>IF(OR($AO60=0,$B$5&lt;&gt;"OK",$B$6&gt;0,Calendar!X$11=""),0,SUMIFS(rngEngine_U,rngEngine_B,INDEX(Team!$A$11:$A$60,$AO60),rngAMStart,"&lt;="&amp;Calendar!X$11,rngAMEnd,"&gt;="&amp;Calendar!X$11))</ns0:f>
        <ns0:v>0</ns0:v>
      </ns0:c>
      <ns0:c r="CR60" s="0">
        <ns0:f>IF(OR($AO60=0,$B$5&lt;&gt;"OK",$B$6&gt;0,Calendar!X$11=""),0,SUMIFS(rngEngine_V,rngEngine_B,INDEX(Team!$A$11:$A$60,$AO60),rngPMStart,"&lt;="&amp;Calendar!X$11,rngPMEnd,"&gt;="&amp;Calendar!X$11))</ns0:f>
        <ns0:v>0</ns0:v>
      </ns0:c>
      <ns0:c r="CS60" s="0">
        <ns0:f>IF(OR($AO60=0,$B$5&lt;&gt;"OK",$B$6&gt;0,Calendar!Y$11=""),0,SUMIFS(rngEngine_U,rngEngine_B,INDEX(Team!$A$11:$A$60,$AO60),rngAMStart,"&lt;="&amp;Calendar!Y$11,rngAMEnd,"&gt;="&amp;Calendar!Y$11))</ns0:f>
        <ns0:v>0</ns0:v>
      </ns0:c>
      <ns0:c r="CT60" s="0">
        <ns0:f>IF(OR($AO60=0,$B$5&lt;&gt;"OK",$B$6&gt;0,Calendar!Y$11=""),0,SUMIFS(rngEngine_V,rngEngine_B,INDEX(Team!$A$11:$A$60,$AO60),rngPMStart,"&lt;="&amp;Calendar!Y$11,rngPMEnd,"&gt;="&amp;Calendar!Y$11))</ns0:f>
        <ns0:v>0</ns0:v>
      </ns0:c>
      <ns0:c r="CU60" s="0">
        <ns0:f>IF(OR($AO60=0,$B$5&lt;&gt;"OK",$B$6&gt;0,Calendar!Z$11=""),0,SUMIFS(rngEngine_U,rngEngine_B,INDEX(Team!$A$11:$A$60,$AO60),rngAMStart,"&lt;="&amp;Calendar!Z$11,rngAMEnd,"&gt;="&amp;Calendar!Z$11))</ns0:f>
        <ns0:v>0</ns0:v>
      </ns0:c>
      <ns0:c r="CV60" s="0">
        <ns0:f>IF(OR($AO60=0,$B$5&lt;&gt;"OK",$B$6&gt;0,Calendar!Z$11=""),0,SUMIFS(rngEngine_V,rngEngine_B,INDEX(Team!$A$11:$A$60,$AO60),rngPMStart,"&lt;="&amp;Calendar!Z$11,rngPMEnd,"&gt;="&amp;Calendar!Z$11))</ns0:f>
        <ns0:v>0</ns0:v>
      </ns0:c>
      <ns0:c r="CW60" s="0">
        <ns0:f>IF(OR($AO60=0,$B$5&lt;&gt;"OK",$B$6&gt;0,Calendar!AA$11=""),0,SUMIFS(rngEngine_U,rngEngine_B,INDEX(Team!$A$11:$A$60,$AO60),rngAMStart,"&lt;="&amp;Calendar!AA$11,rngAMEnd,"&gt;="&amp;Calendar!AA$11))</ns0:f>
        <ns0:v>0</ns0:v>
      </ns0:c>
      <ns0:c r="CX60" s="0">
        <ns0:f>IF(OR($AO60=0,$B$5&lt;&gt;"OK",$B$6&gt;0,Calendar!AA$11=""),0,SUMIFS(rngEngine_V,rngEngine_B,INDEX(Team!$A$11:$A$60,$AO60),rngPMStart,"&lt;="&amp;Calendar!AA$11,rngPMEnd,"&gt;="&amp;Calendar!AA$11))</ns0:f>
        <ns0:v>0</ns0:v>
      </ns0:c>
      <ns0:c r="CY60" s="0">
        <ns0:f>IF(OR($AO60=0,$B$5&lt;&gt;"OK",$B$6&gt;0,Calendar!AB$11=""),0,SUMIFS(rngEngine_U,rngEngine_B,INDEX(Team!$A$11:$A$60,$AO60),rngAMStart,"&lt;="&amp;Calendar!AB$11,rngAMEnd,"&gt;="&amp;Calendar!AB$11))</ns0:f>
        <ns0:v>0</ns0:v>
      </ns0:c>
      <ns0:c r="CZ60" s="0">
        <ns0:f>IF(OR($AO60=0,$B$5&lt;&gt;"OK",$B$6&gt;0,Calendar!AB$11=""),0,SUMIFS(rngEngine_V,rngEngine_B,INDEX(Team!$A$11:$A$60,$AO60),rngPMStart,"&lt;="&amp;Calendar!AB$11,rngPMEnd,"&gt;="&amp;Calendar!AB$11))</ns0:f>
        <ns0:v>0</ns0:v>
      </ns0:c>
      <ns0:c r="DA60" s="0">
        <ns0:f>IF(OR($AO60=0,$B$5&lt;&gt;"OK",$B$6&gt;0,Calendar!AC$11=""),0,SUMIFS(rngEngine_U,rngEngine_B,INDEX(Team!$A$11:$A$60,$AO60),rngAMStart,"&lt;="&amp;Calendar!AC$11,rngAMEnd,"&gt;="&amp;Calendar!AC$11))</ns0:f>
        <ns0:v>0</ns0:v>
      </ns0:c>
      <ns0:c r="DB60" s="0">
        <ns0:f>IF(OR($AO60=0,$B$5&lt;&gt;"OK",$B$6&gt;0,Calendar!AC$11=""),0,SUMIFS(rngEngine_V,rngEngine_B,INDEX(Team!$A$11:$A$60,$AO60),rngPMStart,"&lt;="&amp;Calendar!AC$11,rngPMEnd,"&gt;="&amp;Calendar!AC$11))</ns0:f>
        <ns0:v>0</ns0:v>
      </ns0:c>
      <ns0:c r="DC60" s="0">
        <ns0:f>IF(OR($AO60=0,$B$5&lt;&gt;"OK",$B$6&gt;0,Calendar!AD$11=""),0,SUMIFS(rngEngine_U,rngEngine_B,INDEX(Team!$A$11:$A$60,$AO60),rngAMStart,"&lt;="&amp;Calendar!AD$11,rngAMEnd,"&gt;="&amp;Calendar!AD$11))</ns0:f>
        <ns0:v>0</ns0:v>
      </ns0:c>
      <ns0:c r="DD60" s="0">
        <ns0:f>IF(OR($AO60=0,$B$5&lt;&gt;"OK",$B$6&gt;0,Calendar!AD$11=""),0,SUMIFS(rngEngine_V,rngEngine_B,INDEX(Team!$A$11:$A$60,$AO60),rngPMStart,"&lt;="&amp;Calendar!AD$11,rngPMEnd,"&gt;="&amp;Calendar!AD$11))</ns0:f>
        <ns0:v>0</ns0:v>
      </ns0:c>
      <ns0:c r="DE60" s="0">
        <ns0:f>IF(OR($AO60=0,$B$5&lt;&gt;"OK",$B$6&gt;0,Calendar!AE$11=""),0,SUMIFS(rngEngine_U,rngEngine_B,INDEX(Team!$A$11:$A$60,$AO60),rngAMStart,"&lt;="&amp;Calendar!AE$11,rngAMEnd,"&gt;="&amp;Calendar!AE$11))</ns0:f>
        <ns0:v>0</ns0:v>
      </ns0:c>
      <ns0:c r="DF60" s="0">
        <ns0:f>IF(OR($AO60=0,$B$5&lt;&gt;"OK",$B$6&gt;0,Calendar!AE$11=""),0,SUMIFS(rngEngine_V,rngEngine_B,INDEX(Team!$A$11:$A$60,$AO60),rngPMStart,"&lt;="&amp;Calendar!AE$11,rngPMEnd,"&gt;="&amp;Calendar!AE$11))</ns0:f>
        <ns0:v>0</ns0:v>
      </ns0:c>
      <ns0:c r="DG60" s="0">
        <ns0:f>IF(OR($AO60=0,$B$5&lt;&gt;"OK",$B$6&gt;0,Calendar!AF$11=""),0,SUMIFS(rngEngine_U,rngEngine_B,INDEX(Team!$A$11:$A$60,$AO60),rngAMStart,"&lt;="&amp;Calendar!AF$11,rngAMEnd,"&gt;="&amp;Calendar!AF$11))</ns0:f>
        <ns0:v>0</ns0:v>
      </ns0:c>
      <ns0:c r="DH60" s="0">
        <ns0:f>IF(OR($AO60=0,$B$5&lt;&gt;"OK",$B$6&gt;0,Calendar!AF$11=""),0,SUMIFS(rngEngine_V,rngEngine_B,INDEX(Team!$A$11:$A$60,$AO60),rngPMStart,"&lt;="&amp;Calendar!AF$11,rngPMEnd,"&gt;="&amp;Calendar!AF$11))</ns0:f>
        <ns0:v>0</ns0:v>
      </ns0:c>
      <ns0:c r="DI60" s="0">
        <ns0:f>IF(OR($AO60=0,$B$5&lt;&gt;"OK",$B$6&gt;0,Calendar!AG$11=""),0,SUMIFS(rngEngine_U,rngEngine_B,INDEX(Team!$A$11:$A$60,$AO60),rngAMStart,"&lt;="&amp;Calendar!AG$11,rngAMEnd,"&gt;="&amp;Calendar!AG$11))</ns0:f>
        <ns0:v>0</ns0:v>
      </ns0:c>
      <ns0:c r="DJ60" s="0">
        <ns0:f>IF(OR($AO60=0,$B$5&lt;&gt;"OK",$B$6&gt;0,Calendar!AG$11=""),0,SUMIFS(rngEngine_V,rngEngine_B,INDEX(Team!$A$11:$A$60,$AO60),rngPMStart,"&lt;="&amp;Calendar!AG$11,rngPMEnd,"&gt;="&amp;Calendar!AG$11))</ns0:f>
        <ns0:v>0</ns0:v>
      </ns0:c>
      <ns0:c r="DK60" s="0">
        <ns0:f>IF(OR($AO60=0,$B$5&lt;&gt;"OK",$B$6&gt;0,Calendar!AH$11=""),0,SUMIFS(rngEngine_U,rngEngine_B,INDEX(Team!$A$11:$A$60,$AO60),rngAMStart,"&lt;="&amp;Calendar!AH$11,rngAMEnd,"&gt;="&amp;Calendar!AH$11))</ns0:f>
        <ns0:v>0</ns0:v>
      </ns0:c>
      <ns0:c r="DL60" s="0">
        <ns0:f>IF(OR($AO60=0,$B$5&lt;&gt;"OK",$B$6&gt;0,Calendar!AH$11=""),0,SUMIFS(rngEngine_V,rngEngine_B,INDEX(Team!$A$11:$A$60,$AO60),rngPMStart,"&lt;="&amp;Calendar!AH$11,rngPMEnd,"&gt;="&amp;Calendar!AH$11))</ns0:f>
        <ns0:v>0</ns0:v>
      </ns0:c>
    </ns0:row>
    <ns0:row r="61" ht="22" customHeight="1">
      <ns0:c r="A61" s="4">
        <ns0:f>IF(COUNTA(Bookings!A61:G61,Bookings!I61)=0,0,1)</ns0:f>
        <ns0:v>0</ns0:v>
      </ns0:c>
      <ns0:c r="B61" s="4" t="str">
        <ns0:f>IFERROR(TRIM(MID(Bookings!A61,FIND(" · ",Bookings!A61)+3,99)),"")</ns0:f>
        <ns0:v/>
      </ns0:c>
      <ns0:c r="C61" s="4">
        <ns0:f>IF(OR(B61="",LEN(B61)&gt;24,ISNUMBER(FIND(" ",B61)),ISNUMBER(FIND("*",B61)),ISNUMBER(FIND("?",B61)),ISNUMBER(FIND("~",B61))),0,IFERROR(MATCH(B61,Team!$A$11:$A$60,0),0))</ns0:f>
        <ns0:v>0</ns0:v>
      </ns0:c>
      <ns0:c r="D61" s="4" t="str">
        <ns0:f>IFERROR(IF(MID(Bookings!F61,LEN(Bookings!F61)-3,3)=" · ",RIGHT(Bookings!F61,1),""),"")</ns0:f>
        <ns0:v/>
      </ns0:c>
      <ns0:c r="E61" s="4" t="str">
        <ns0:f>IFERROR(INDEX(Settings!$H$7:$H$11,MATCH(D61,Settings!$G$7:$G$11,0)),"")</ns0:f>
        <ns0:v/>
      </ns0:c>
      <ns0:c r="F61" s="4" t="str">
        <ns0:f>IF(A61=0,"",IFERROR(IF(OR(B61="",C61=0),"CHECK employee selection",IF(INDEX(Team!$O$11:$O$60,C61)&lt;&gt;"OK","CHECK employee setup",IF(OR('_Dates'!J61=0,'_Dates'!T61=0),"CHECK date: use DD.MM.YYYY",IF('_Dates'!T61&lt;'_Dates'!J61,"CHECK end before start",IF(AND($B$6=0,OR('_Dates'!J61&lt;Settings!$B$7,'_Dates'!T61&gt;Settings!$B$8)),"CHECK split across leave years",IF(OR(NOT(OR('_Dates'!U61="Full day",'_Dates'!U61="AM",'_Dates'!U61="PM")),NOT(OR('_Dates'!V61="Full day",'_Dates'!V61="AM",'_Dates'!V61="PM"))),"CHECK Full day / AM / PM",IF(AND('_Dates'!J61='_Dates'!T61,'_Dates'!U61&lt;&gt;"Full day",'_Dates'!V61&lt;&gt;"Full day",'_Dates'!U61&lt;&gt;'_Dates'!V61),"CHECK same-day portions disagree",IF(AND($B$6=0,OR(AND('_Dates'!U61&lt;&gt;"Full day",'_Dates'!AA61=0),AND('_Dates'!V61&lt;&gt;"Full day",'_Dates'!AB61=0))),"CHECK half-day on non-working date",IF(COUNTIF(Settings!$G$7:$G$11,D61)&lt;&gt;1,"CHECK leave type",IF(AND(Bookings!G61&lt;&gt;"Approved",Bookings!G61&lt;&gt;"Pending",Bookings!G61&lt;&gt;"Cancelled"),"CHECK status","OK")))))))))),"CHECK input"))</ns0:f>
        <ns0:v/>
      </ns0:c>
      <ns0:c r="G61" s="4">
        <ns0:f>IF(OR(F61&lt;&gt;"OK",$B$6&gt;0),0,0.5*(IF(('_Dates'!X61)&lt;('_Dates'!W61),0,INT((('_Dates'!X61)-('_Dates'!W61)+1)/7)*LEN(SUBSTITUTE(W61,"O",""))+LEN(SUBSTITUTE(MID(W61&amp;W61,WEEKDAY(('_Dates'!W61),2),MOD((('_Dates'!X61)-('_Dates'!W61)+1),7)),"O",""))-COUNTIFS(INDEX(AllClosureRows,C61,0),"&gt;="&amp;('_Dates'!W61),INDEX(AllClosureRows,C61,0),"&lt;="&amp;('_Dates'!X61)))+IF(('_Dates'!Z61)&lt;('_Dates'!Y61),0,INT((('_Dates'!Z61)-('_Dates'!Y61)+1)/7)*LEN(SUBSTITUTE(W61,"O",""))+LEN(SUBSTITUTE(MID(W61&amp;W61,WEEKDAY(('_Dates'!Y61),2),MOD((('_Dates'!Z61)-('_Dates'!Y61)+1),7)),"O",""))-COUNTIFS(INDEX(AllClosureRows,C61,0),"&gt;="&amp;('_Dates'!Y61),INDEX(AllClosureRows,C61,0),"&lt;="&amp;('_Dates'!Z61)))))</ns0:f>
        <ns0:v>0</ns0:v>
      </ns0:c>
      <ns0:c r="H61" s="4">
        <ns0:f>IF(OR(F61&lt;&gt;"OK",$B$6&gt;0),0,0.5*(IF((MIN('_Dates'!X61,Settings!$B$9))&lt;('_Dates'!W61),0,INT(((MIN('_Dates'!X61,Settings!$B$9))-('_Dates'!W61)+1)/7)*LEN(SUBSTITUTE(W61,"O",""))+LEN(SUBSTITUTE(MID(W61&amp;W61,WEEKDAY(('_Dates'!W61),2),MOD(((MIN('_Dates'!X61,Settings!$B$9))-('_Dates'!W61)+1),7)),"O",""))-COUNTIFS(INDEX(AllClosureRows,C61,0),"&gt;="&amp;('_Dates'!W61),INDEX(AllClosureRows,C61,0),"&lt;="&amp;(MIN('_Dates'!X61,Settings!$B$9))))+IF((MIN('_Dates'!Z61,Settings!$B$9))&lt;('_Dates'!Y61),0,INT(((MIN('_Dates'!Z61,Settings!$B$9))-('_Dates'!Y61)+1)/7)*LEN(SUBSTITUTE(W61,"O",""))+LEN(SUBSTITUTE(MID(W61&amp;W61,WEEKDAY(('_Dates'!Y61),2),MOD(((MIN('_Dates'!Z61,Settings!$B$9))-('_Dates'!Y61)+1),7)),"O",""))-COUNTIFS(INDEX(AllClosureRows,C61,0),"&gt;="&amp;('_Dates'!Y61),INDEX(AllClosureRows,C61,0),"&lt;="&amp;(MIN('_Dates'!Z61,Settings!$B$9))))))</ns0:f>
        <ns0:v>0</ns0:v>
      </ns0:c>
      <ns0:c r="I61" s="4">
        <ns0:f>MAX(0,G61-H61)</ns0:f>
        <ns0:v>0</ns0:v>
      </ns0:c>
      <ns0:c r="J61" s="4">
        <ns0:f>IF(OR(A61=0,F61&lt;&gt;"OK",Bookings!G61="Cancelled",$B$6&gt;0),0,IF('_Dates'!AC61=1,MAX(0,COUNTIFS(rngEngine_B,B61,rngAMStart,"&lt;="&amp;'_Dates'!X61,rngAMEnd,"&gt;="&amp;'_Dates'!W61,rngAMActive,1,rngEngine_F,"OK",rngBookings_F,"&lt;&gt;Cancelled")-1),0)+IF('_Dates'!AD61=1,MAX(0,COUNTIFS(rngEngine_B,B61,rngPMStart,"&lt;="&amp;'_Dates'!Z61,rngPMEnd,"&gt;="&amp;'_Dates'!Y61,rngPMActive,1,rngEngine_F,"OK",rngBookings_F,"&lt;&gt;Cancelled")-1),0))</ns0:f>
        <ns0:v>0</ns0:v>
      </ns0:c>
      <ns0:c r="K61" s="0" t="str">
        <ns0:f>IF(A61=0,"",IF(F61&lt;&gt;"OK",F61,IF(J61&gt;0,"CHECK overlapping entry",IF(AND($B$6=0,G61&lt;=0,Bookings!G61&lt;&gt;"Cancelled"),"CHECK no working days",IF(Bookings!G61="Cancelled","Cancelled","OK")))))</ns0:f>
        <ns0:v/>
      </ns0:c>
      <ns0:c r="L61" s="0">
        <ns0:f>IF(LEFT(K61,5)="CHECK",1,0)</ns0:f>
        <ns0:v>0</ns0:v>
      </ns0:c>
      <ns0:c r="M61" s="0">
        <ns0:f>IF(AND(L61=1,OR(C61=0,IFERROR(INDEX($X$11:$X$60,C61),0)=0)),1,0)</ns0:f>
        <ns0:v>0</ns0:v>
      </ns0:c>
      <ns0:c r="N61" s="0">
        <ns0:f>IF(OR(A61=0,L61&gt;0,$B$6&gt;0,Bookings!G61="Cancelled"),0,G61)</ns0:f>
        <ns0:v>0</ns0:v>
      </ns0:c>
      <ns0:c r="O61" s="0">
        <ns0:f>IF(AND(Bookings!G61="Approved",E61="Yes"),N61,0)</ns0:f>
        <ns0:v>0</ns0:v>
      </ns0:c>
      <ns0:c r="P61" s="0">
        <ns0:f>IF(AND(Bookings!G61="Approved",E61="Yes",L61=0,$B$6=0),H61,0)</ns0:f>
        <ns0:v>0</ns0:v>
      </ns0:c>
      <ns0:c r="Q61" s="0">
        <ns0:f>IF(AND(Bookings!G61="Approved",E61="Yes",L61=0,$B$6=0),I61,0)</ns0:f>
        <ns0:v>0</ns0:v>
      </ns0:c>
      <ns0:c r="R61" s="0">
        <ns0:f>IF(AND(Bookings!G61="Pending",E61="Yes"),N61,0)</ns0:f>
        <ns0:v>0</ns0:v>
      </ns0:c>
      <ns0:c r="S61" s="0">
        <ns0:f>IF(AND(Bookings!G61="Approved",E61="No"),N61,0)</ns0:f>
        <ns0:v>0</ns0:v>
      </ns0:c>
      <ns0:c r="T61" s="0">
        <ns0:f>IFERROR(MATCH(D61,Settings!$G$7:$G$11,0),0)</ns0:f>
        <ns0:v>0</ns0:v>
      </ns0:c>
      <ns0:c r="U61" s="0">
        <ns0:f>IF(N61&gt;0,T61+IF(Bookings!G61="Pending",10,0),0)</ns0:f>
        <ns0:v>0</ns0:v>
      </ns0:c>
      <ns0:c r="V61" s="0">
        <ns0:f>U61</ns0:f>
        <ns0:v>0</ns0:v>
      </ns0:c>
      <ns0:c r="W61" s="0" t="str">
        <ns0:f>IF(C61=0,"",INDEX($AP$11:$AP$60,C61))</ns0:f>
        <ns0:v/>
      </ns0:c>
      <ns0:c r="AO61" s="0">
        <ns0:f>IFERROR(MATCH(ROW()-11,$AC$11:$AC$60,0),0)</ns0:f>
        <ns0:v>0</ns0:v>
      </ns0:c>
      <ns0:c r="AR61" s="0">
        <ns0:f>IFERROR(IF(ISNUMBER(Settings!F61),WEEKDAY(Settings!F61,2),0),0)</ns0:f>
        <ns0:v>0</ns0:v>
      </ns0:c>
      <ns0:c r="BC61" s="0">
        <ns0:f>IF(OR($AO61=0,$B$5&lt;&gt;"OK",$B$6&gt;0,Calendar!D$11=""),0,SUMIFS(rngEngine_U,rngEngine_B,INDEX(Team!$A$11:$A$60,$AO61),rngAMStart,"&lt;="&amp;Calendar!D$11,rngAMEnd,"&gt;="&amp;Calendar!D$11))</ns0:f>
        <ns0:v>0</ns0:v>
      </ns0:c>
      <ns0:c r="BD61" s="0">
        <ns0:f>IF(OR($AO61=0,$B$5&lt;&gt;"OK",$B$6&gt;0,Calendar!D$11=""),0,SUMIFS(rngEngine_V,rngEngine_B,INDEX(Team!$A$11:$A$60,$AO61),rngPMStart,"&lt;="&amp;Calendar!D$11,rngPMEnd,"&gt;="&amp;Calendar!D$11))</ns0:f>
        <ns0:v>0</ns0:v>
      </ns0:c>
      <ns0:c r="BE61" s="0">
        <ns0:f>IF(OR($AO61=0,$B$5&lt;&gt;"OK",$B$6&gt;0,Calendar!E$11=""),0,SUMIFS(rngEngine_U,rngEngine_B,INDEX(Team!$A$11:$A$60,$AO61),rngAMStart,"&lt;="&amp;Calendar!E$11,rngAMEnd,"&gt;="&amp;Calendar!E$11))</ns0:f>
        <ns0:v>0</ns0:v>
      </ns0:c>
      <ns0:c r="BF61" s="0">
        <ns0:f>IF(OR($AO61=0,$B$5&lt;&gt;"OK",$B$6&gt;0,Calendar!E$11=""),0,SUMIFS(rngEngine_V,rngEngine_B,INDEX(Team!$A$11:$A$60,$AO61),rngPMStart,"&lt;="&amp;Calendar!E$11,rngPMEnd,"&gt;="&amp;Calendar!E$11))</ns0:f>
        <ns0:v>0</ns0:v>
      </ns0:c>
      <ns0:c r="BG61" s="0">
        <ns0:f>IF(OR($AO61=0,$B$5&lt;&gt;"OK",$B$6&gt;0,Calendar!F$11=""),0,SUMIFS(rngEngine_U,rngEngine_B,INDEX(Team!$A$11:$A$60,$AO61),rngAMStart,"&lt;="&amp;Calendar!F$11,rngAMEnd,"&gt;="&amp;Calendar!F$11))</ns0:f>
        <ns0:v>0</ns0:v>
      </ns0:c>
      <ns0:c r="BH61" s="0">
        <ns0:f>IF(OR($AO61=0,$B$5&lt;&gt;"OK",$B$6&gt;0,Calendar!F$11=""),0,SUMIFS(rngEngine_V,rngEngine_B,INDEX(Team!$A$11:$A$60,$AO61),rngPMStart,"&lt;="&amp;Calendar!F$11,rngPMEnd,"&gt;="&amp;Calendar!F$11))</ns0:f>
        <ns0:v>0</ns0:v>
      </ns0:c>
      <ns0:c r="BI61" s="0">
        <ns0:f>IF(OR($AO61=0,$B$5&lt;&gt;"OK",$B$6&gt;0,Calendar!G$11=""),0,SUMIFS(rngEngine_U,rngEngine_B,INDEX(Team!$A$11:$A$60,$AO61),rngAMStart,"&lt;="&amp;Calendar!G$11,rngAMEnd,"&gt;="&amp;Calendar!G$11))</ns0:f>
        <ns0:v>0</ns0:v>
      </ns0:c>
      <ns0:c r="BJ61" s="0">
        <ns0:f>IF(OR($AO61=0,$B$5&lt;&gt;"OK",$B$6&gt;0,Calendar!G$11=""),0,SUMIFS(rngEngine_V,rngEngine_B,INDEX(Team!$A$11:$A$60,$AO61),rngPMStart,"&lt;="&amp;Calendar!G$11,rngPMEnd,"&gt;="&amp;Calendar!G$11))</ns0:f>
        <ns0:v>0</ns0:v>
      </ns0:c>
      <ns0:c r="BK61" s="0">
        <ns0:f>IF(OR($AO61=0,$B$5&lt;&gt;"OK",$B$6&gt;0,Calendar!H$11=""),0,SUMIFS(rngEngine_U,rngEngine_B,INDEX(Team!$A$11:$A$60,$AO61),rngAMStart,"&lt;="&amp;Calendar!H$11,rngAMEnd,"&gt;="&amp;Calendar!H$11))</ns0:f>
        <ns0:v>0</ns0:v>
      </ns0:c>
      <ns0:c r="BL61" s="0">
        <ns0:f>IF(OR($AO61=0,$B$5&lt;&gt;"OK",$B$6&gt;0,Calendar!H$11=""),0,SUMIFS(rngEngine_V,rngEngine_B,INDEX(Team!$A$11:$A$60,$AO61),rngPMStart,"&lt;="&amp;Calendar!H$11,rngPMEnd,"&gt;="&amp;Calendar!H$11))</ns0:f>
        <ns0:v>0</ns0:v>
      </ns0:c>
      <ns0:c r="BM61" s="0">
        <ns0:f>IF(OR($AO61=0,$B$5&lt;&gt;"OK",$B$6&gt;0,Calendar!I$11=""),0,SUMIFS(rngEngine_U,rngEngine_B,INDEX(Team!$A$11:$A$60,$AO61),rngAMStart,"&lt;="&amp;Calendar!I$11,rngAMEnd,"&gt;="&amp;Calendar!I$11))</ns0:f>
        <ns0:v>0</ns0:v>
      </ns0:c>
      <ns0:c r="BN61" s="0">
        <ns0:f>IF(OR($AO61=0,$B$5&lt;&gt;"OK",$B$6&gt;0,Calendar!I$11=""),0,SUMIFS(rngEngine_V,rngEngine_B,INDEX(Team!$A$11:$A$60,$AO61),rngPMStart,"&lt;="&amp;Calendar!I$11,rngPMEnd,"&gt;="&amp;Calendar!I$11))</ns0:f>
        <ns0:v>0</ns0:v>
      </ns0:c>
      <ns0:c r="BO61" s="0">
        <ns0:f>IF(OR($AO61=0,$B$5&lt;&gt;"OK",$B$6&gt;0,Calendar!J$11=""),0,SUMIFS(rngEngine_U,rngEngine_B,INDEX(Team!$A$11:$A$60,$AO61),rngAMStart,"&lt;="&amp;Calendar!J$11,rngAMEnd,"&gt;="&amp;Calendar!J$11))</ns0:f>
        <ns0:v>0</ns0:v>
      </ns0:c>
      <ns0:c r="BP61" s="0">
        <ns0:f>IF(OR($AO61=0,$B$5&lt;&gt;"OK",$B$6&gt;0,Calendar!J$11=""),0,SUMIFS(rngEngine_V,rngEngine_B,INDEX(Team!$A$11:$A$60,$AO61),rngPMStart,"&lt;="&amp;Calendar!J$11,rngPMEnd,"&gt;="&amp;Calendar!J$11))</ns0:f>
        <ns0:v>0</ns0:v>
      </ns0:c>
      <ns0:c r="BQ61" s="0">
        <ns0:f>IF(OR($AO61=0,$B$5&lt;&gt;"OK",$B$6&gt;0,Calendar!K$11=""),0,SUMIFS(rngEngine_U,rngEngine_B,INDEX(Team!$A$11:$A$60,$AO61),rngAMStart,"&lt;="&amp;Calendar!K$11,rngAMEnd,"&gt;="&amp;Calendar!K$11))</ns0:f>
        <ns0:v>0</ns0:v>
      </ns0:c>
      <ns0:c r="BR61" s="0">
        <ns0:f>IF(OR($AO61=0,$B$5&lt;&gt;"OK",$B$6&gt;0,Calendar!K$11=""),0,SUMIFS(rngEngine_V,rngEngine_B,INDEX(Team!$A$11:$A$60,$AO61),rngPMStart,"&lt;="&amp;Calendar!K$11,rngPMEnd,"&gt;="&amp;Calendar!K$11))</ns0:f>
        <ns0:v>0</ns0:v>
      </ns0:c>
      <ns0:c r="BS61" s="0">
        <ns0:f>IF(OR($AO61=0,$B$5&lt;&gt;"OK",$B$6&gt;0,Calendar!L$11=""),0,SUMIFS(rngEngine_U,rngEngine_B,INDEX(Team!$A$11:$A$60,$AO61),rngAMStart,"&lt;="&amp;Calendar!L$11,rngAMEnd,"&gt;="&amp;Calendar!L$11))</ns0:f>
        <ns0:v>0</ns0:v>
      </ns0:c>
      <ns0:c r="BT61" s="0">
        <ns0:f>IF(OR($AO61=0,$B$5&lt;&gt;"OK",$B$6&gt;0,Calendar!L$11=""),0,SUMIFS(rngEngine_V,rngEngine_B,INDEX(Team!$A$11:$A$60,$AO61),rngPMStart,"&lt;="&amp;Calendar!L$11,rngPMEnd,"&gt;="&amp;Calendar!L$11))</ns0:f>
        <ns0:v>0</ns0:v>
      </ns0:c>
      <ns0:c r="BU61" s="0">
        <ns0:f>IF(OR($AO61=0,$B$5&lt;&gt;"OK",$B$6&gt;0,Calendar!M$11=""),0,SUMIFS(rngEngine_U,rngEngine_B,INDEX(Team!$A$11:$A$60,$AO61),rngAMStart,"&lt;="&amp;Calendar!M$11,rngAMEnd,"&gt;="&amp;Calendar!M$11))</ns0:f>
        <ns0:v>0</ns0:v>
      </ns0:c>
      <ns0:c r="BV61" s="0">
        <ns0:f>IF(OR($AO61=0,$B$5&lt;&gt;"OK",$B$6&gt;0,Calendar!M$11=""),0,SUMIFS(rngEngine_V,rngEngine_B,INDEX(Team!$A$11:$A$60,$AO61),rngPMStart,"&lt;="&amp;Calendar!M$11,rngPMEnd,"&gt;="&amp;Calendar!M$11))</ns0:f>
        <ns0:v>0</ns0:v>
      </ns0:c>
      <ns0:c r="BW61" s="0">
        <ns0:f>IF(OR($AO61=0,$B$5&lt;&gt;"OK",$B$6&gt;0,Calendar!N$11=""),0,SUMIFS(rngEngine_U,rngEngine_B,INDEX(Team!$A$11:$A$60,$AO61),rngAMStart,"&lt;="&amp;Calendar!N$11,rngAMEnd,"&gt;="&amp;Calendar!N$11))</ns0:f>
        <ns0:v>0</ns0:v>
      </ns0:c>
      <ns0:c r="BX61" s="0">
        <ns0:f>IF(OR($AO61=0,$B$5&lt;&gt;"OK",$B$6&gt;0,Calendar!N$11=""),0,SUMIFS(rngEngine_V,rngEngine_B,INDEX(Team!$A$11:$A$60,$AO61),rngPMStart,"&lt;="&amp;Calendar!N$11,rngPMEnd,"&gt;="&amp;Calendar!N$11))</ns0:f>
        <ns0:v>0</ns0:v>
      </ns0:c>
      <ns0:c r="BY61" s="0">
        <ns0:f>IF(OR($AO61=0,$B$5&lt;&gt;"OK",$B$6&gt;0,Calendar!O$11=""),0,SUMIFS(rngEngine_U,rngEngine_B,INDEX(Team!$A$11:$A$60,$AO61),rngAMStart,"&lt;="&amp;Calendar!O$11,rngAMEnd,"&gt;="&amp;Calendar!O$11))</ns0:f>
        <ns0:v>0</ns0:v>
      </ns0:c>
      <ns0:c r="BZ61" s="0">
        <ns0:f>IF(OR($AO61=0,$B$5&lt;&gt;"OK",$B$6&gt;0,Calendar!O$11=""),0,SUMIFS(rngEngine_V,rngEngine_B,INDEX(Team!$A$11:$A$60,$AO61),rngPMStart,"&lt;="&amp;Calendar!O$11,rngPMEnd,"&gt;="&amp;Calendar!O$11))</ns0:f>
        <ns0:v>0</ns0:v>
      </ns0:c>
      <ns0:c r="CA61" s="0">
        <ns0:f>IF(OR($AO61=0,$B$5&lt;&gt;"OK",$B$6&gt;0,Calendar!P$11=""),0,SUMIFS(rngEngine_U,rngEngine_B,INDEX(Team!$A$11:$A$60,$AO61),rngAMStart,"&lt;="&amp;Calendar!P$11,rngAMEnd,"&gt;="&amp;Calendar!P$11))</ns0:f>
        <ns0:v>0</ns0:v>
      </ns0:c>
      <ns0:c r="CB61" s="0">
        <ns0:f>IF(OR($AO61=0,$B$5&lt;&gt;"OK",$B$6&gt;0,Calendar!P$11=""),0,SUMIFS(rngEngine_V,rngEngine_B,INDEX(Team!$A$11:$A$60,$AO61),rngPMStart,"&lt;="&amp;Calendar!P$11,rngPMEnd,"&gt;="&amp;Calendar!P$11))</ns0:f>
        <ns0:v>0</ns0:v>
      </ns0:c>
      <ns0:c r="CC61" s="0">
        <ns0:f>IF(OR($AO61=0,$B$5&lt;&gt;"OK",$B$6&gt;0,Calendar!Q$11=""),0,SUMIFS(rngEngine_U,rngEngine_B,INDEX(Team!$A$11:$A$60,$AO61),rngAMStart,"&lt;="&amp;Calendar!Q$11,rngAMEnd,"&gt;="&amp;Calendar!Q$11))</ns0:f>
        <ns0:v>0</ns0:v>
      </ns0:c>
      <ns0:c r="CD61" s="0">
        <ns0:f>IF(OR($AO61=0,$B$5&lt;&gt;"OK",$B$6&gt;0,Calendar!Q$11=""),0,SUMIFS(rngEngine_V,rngEngine_B,INDEX(Team!$A$11:$A$60,$AO61),rngPMStart,"&lt;="&amp;Calendar!Q$11,rngPMEnd,"&gt;="&amp;Calendar!Q$11))</ns0:f>
        <ns0:v>0</ns0:v>
      </ns0:c>
      <ns0:c r="CE61" s="0">
        <ns0:f>IF(OR($AO61=0,$B$5&lt;&gt;"OK",$B$6&gt;0,Calendar!R$11=""),0,SUMIFS(rngEngine_U,rngEngine_B,INDEX(Team!$A$11:$A$60,$AO61),rngAMStart,"&lt;="&amp;Calendar!R$11,rngAMEnd,"&gt;="&amp;Calendar!R$11))</ns0:f>
        <ns0:v>0</ns0:v>
      </ns0:c>
      <ns0:c r="CF61" s="0">
        <ns0:f>IF(OR($AO61=0,$B$5&lt;&gt;"OK",$B$6&gt;0,Calendar!R$11=""),0,SUMIFS(rngEngine_V,rngEngine_B,INDEX(Team!$A$11:$A$60,$AO61),rngPMStart,"&lt;="&amp;Calendar!R$11,rngPMEnd,"&gt;="&amp;Calendar!R$11))</ns0:f>
        <ns0:v>0</ns0:v>
      </ns0:c>
      <ns0:c r="CG61" s="0">
        <ns0:f>IF(OR($AO61=0,$B$5&lt;&gt;"OK",$B$6&gt;0,Calendar!S$11=""),0,SUMIFS(rngEngine_U,rngEngine_B,INDEX(Team!$A$11:$A$60,$AO61),rngAMStart,"&lt;="&amp;Calendar!S$11,rngAMEnd,"&gt;="&amp;Calendar!S$11))</ns0:f>
        <ns0:v>0</ns0:v>
      </ns0:c>
      <ns0:c r="CH61" s="0">
        <ns0:f>IF(OR($AO61=0,$B$5&lt;&gt;"OK",$B$6&gt;0,Calendar!S$11=""),0,SUMIFS(rngEngine_V,rngEngine_B,INDEX(Team!$A$11:$A$60,$AO61),rngPMStart,"&lt;="&amp;Calendar!S$11,rngPMEnd,"&gt;="&amp;Calendar!S$11))</ns0:f>
        <ns0:v>0</ns0:v>
      </ns0:c>
      <ns0:c r="CI61" s="0">
        <ns0:f>IF(OR($AO61=0,$B$5&lt;&gt;"OK",$B$6&gt;0,Calendar!T$11=""),0,SUMIFS(rngEngine_U,rngEngine_B,INDEX(Team!$A$11:$A$60,$AO61),rngAMStart,"&lt;="&amp;Calendar!T$11,rngAMEnd,"&gt;="&amp;Calendar!T$11))</ns0:f>
        <ns0:v>0</ns0:v>
      </ns0:c>
      <ns0:c r="CJ61" s="0">
        <ns0:f>IF(OR($AO61=0,$B$5&lt;&gt;"OK",$B$6&gt;0,Calendar!T$11=""),0,SUMIFS(rngEngine_V,rngEngine_B,INDEX(Team!$A$11:$A$60,$AO61),rngPMStart,"&lt;="&amp;Calendar!T$11,rngPMEnd,"&gt;="&amp;Calendar!T$11))</ns0:f>
        <ns0:v>0</ns0:v>
      </ns0:c>
      <ns0:c r="CK61" s="0">
        <ns0:f>IF(OR($AO61=0,$B$5&lt;&gt;"OK",$B$6&gt;0,Calendar!U$11=""),0,SUMIFS(rngEngine_U,rngEngine_B,INDEX(Team!$A$11:$A$60,$AO61),rngAMStart,"&lt;="&amp;Calendar!U$11,rngAMEnd,"&gt;="&amp;Calendar!U$11))</ns0:f>
        <ns0:v>0</ns0:v>
      </ns0:c>
      <ns0:c r="CL61" s="0">
        <ns0:f>IF(OR($AO61=0,$B$5&lt;&gt;"OK",$B$6&gt;0,Calendar!U$11=""),0,SUMIFS(rngEngine_V,rngEngine_B,INDEX(Team!$A$11:$A$60,$AO61),rngPMStart,"&lt;="&amp;Calendar!U$11,rngPMEnd,"&gt;="&amp;Calendar!U$11))</ns0:f>
        <ns0:v>0</ns0:v>
      </ns0:c>
      <ns0:c r="CM61" s="0">
        <ns0:f>IF(OR($AO61=0,$B$5&lt;&gt;"OK",$B$6&gt;0,Calendar!V$11=""),0,SUMIFS(rngEngine_U,rngEngine_B,INDEX(Team!$A$11:$A$60,$AO61),rngAMStart,"&lt;="&amp;Calendar!V$11,rngAMEnd,"&gt;="&amp;Calendar!V$11))</ns0:f>
        <ns0:v>0</ns0:v>
      </ns0:c>
      <ns0:c r="CN61" s="0">
        <ns0:f>IF(OR($AO61=0,$B$5&lt;&gt;"OK",$B$6&gt;0,Calendar!V$11=""),0,SUMIFS(rngEngine_V,rngEngine_B,INDEX(Team!$A$11:$A$60,$AO61),rngPMStart,"&lt;="&amp;Calendar!V$11,rngPMEnd,"&gt;="&amp;Calendar!V$11))</ns0:f>
        <ns0:v>0</ns0:v>
      </ns0:c>
      <ns0:c r="CO61" s="0">
        <ns0:f>IF(OR($AO61=0,$B$5&lt;&gt;"OK",$B$6&gt;0,Calendar!W$11=""),0,SUMIFS(rngEngine_U,rngEngine_B,INDEX(Team!$A$11:$A$60,$AO61),rngAMStart,"&lt;="&amp;Calendar!W$11,rngAMEnd,"&gt;="&amp;Calendar!W$11))</ns0:f>
        <ns0:v>0</ns0:v>
      </ns0:c>
      <ns0:c r="CP61" s="0">
        <ns0:f>IF(OR($AO61=0,$B$5&lt;&gt;"OK",$B$6&gt;0,Calendar!W$11=""),0,SUMIFS(rngEngine_V,rngEngine_B,INDEX(Team!$A$11:$A$60,$AO61),rngPMStart,"&lt;="&amp;Calendar!W$11,rngPMEnd,"&gt;="&amp;Calendar!W$11))</ns0:f>
        <ns0:v>0</ns0:v>
      </ns0:c>
      <ns0:c r="CQ61" s="0">
        <ns0:f>IF(OR($AO61=0,$B$5&lt;&gt;"OK",$B$6&gt;0,Calendar!X$11=""),0,SUMIFS(rngEngine_U,rngEngine_B,INDEX(Team!$A$11:$A$60,$AO61),rngAMStart,"&lt;="&amp;Calendar!X$11,rngAMEnd,"&gt;="&amp;Calendar!X$11))</ns0:f>
        <ns0:v>0</ns0:v>
      </ns0:c>
      <ns0:c r="CR61" s="0">
        <ns0:f>IF(OR($AO61=0,$B$5&lt;&gt;"OK",$B$6&gt;0,Calendar!X$11=""),0,SUMIFS(rngEngine_V,rngEngine_B,INDEX(Team!$A$11:$A$60,$AO61),rngPMStart,"&lt;="&amp;Calendar!X$11,rngPMEnd,"&gt;="&amp;Calendar!X$11))</ns0:f>
        <ns0:v>0</ns0:v>
      </ns0:c>
      <ns0:c r="CS61" s="0">
        <ns0:f>IF(OR($AO61=0,$B$5&lt;&gt;"OK",$B$6&gt;0,Calendar!Y$11=""),0,SUMIFS(rngEngine_U,rngEngine_B,INDEX(Team!$A$11:$A$60,$AO61),rngAMStart,"&lt;="&amp;Calendar!Y$11,rngAMEnd,"&gt;="&amp;Calendar!Y$11))</ns0:f>
        <ns0:v>0</ns0:v>
      </ns0:c>
      <ns0:c r="CT61" s="0">
        <ns0:f>IF(OR($AO61=0,$B$5&lt;&gt;"OK",$B$6&gt;0,Calendar!Y$11=""),0,SUMIFS(rngEngine_V,rngEngine_B,INDEX(Team!$A$11:$A$60,$AO61),rngPMStart,"&lt;="&amp;Calendar!Y$11,rngPMEnd,"&gt;="&amp;Calendar!Y$11))</ns0:f>
        <ns0:v>0</ns0:v>
      </ns0:c>
      <ns0:c r="CU61" s="0">
        <ns0:f>IF(OR($AO61=0,$B$5&lt;&gt;"OK",$B$6&gt;0,Calendar!Z$11=""),0,SUMIFS(rngEngine_U,rngEngine_B,INDEX(Team!$A$11:$A$60,$AO61),rngAMStart,"&lt;="&amp;Calendar!Z$11,rngAMEnd,"&gt;="&amp;Calendar!Z$11))</ns0:f>
        <ns0:v>0</ns0:v>
      </ns0:c>
      <ns0:c r="CV61" s="0">
        <ns0:f>IF(OR($AO61=0,$B$5&lt;&gt;"OK",$B$6&gt;0,Calendar!Z$11=""),0,SUMIFS(rngEngine_V,rngEngine_B,INDEX(Team!$A$11:$A$60,$AO61),rngPMStart,"&lt;="&amp;Calendar!Z$11,rngPMEnd,"&gt;="&amp;Calendar!Z$11))</ns0:f>
        <ns0:v>0</ns0:v>
      </ns0:c>
      <ns0:c r="CW61" s="0">
        <ns0:f>IF(OR($AO61=0,$B$5&lt;&gt;"OK",$B$6&gt;0,Calendar!AA$11=""),0,SUMIFS(rngEngine_U,rngEngine_B,INDEX(Team!$A$11:$A$60,$AO61),rngAMStart,"&lt;="&amp;Calendar!AA$11,rngAMEnd,"&gt;="&amp;Calendar!AA$11))</ns0:f>
        <ns0:v>0</ns0:v>
      </ns0:c>
      <ns0:c r="CX61" s="0">
        <ns0:f>IF(OR($AO61=0,$B$5&lt;&gt;"OK",$B$6&gt;0,Calendar!AA$11=""),0,SUMIFS(rngEngine_V,rngEngine_B,INDEX(Team!$A$11:$A$60,$AO61),rngPMStart,"&lt;="&amp;Calendar!AA$11,rngPMEnd,"&gt;="&amp;Calendar!AA$11))</ns0:f>
        <ns0:v>0</ns0:v>
      </ns0:c>
      <ns0:c r="CY61" s="0">
        <ns0:f>IF(OR($AO61=0,$B$5&lt;&gt;"OK",$B$6&gt;0,Calendar!AB$11=""),0,SUMIFS(rngEngine_U,rngEngine_B,INDEX(Team!$A$11:$A$60,$AO61),rngAMStart,"&lt;="&amp;Calendar!AB$11,rngAMEnd,"&gt;="&amp;Calendar!AB$11))</ns0:f>
        <ns0:v>0</ns0:v>
      </ns0:c>
      <ns0:c r="CZ61" s="0">
        <ns0:f>IF(OR($AO61=0,$B$5&lt;&gt;"OK",$B$6&gt;0,Calendar!AB$11=""),0,SUMIFS(rngEngine_V,rngEngine_B,INDEX(Team!$A$11:$A$60,$AO61),rngPMStart,"&lt;="&amp;Calendar!AB$11,rngPMEnd,"&gt;="&amp;Calendar!AB$11))</ns0:f>
        <ns0:v>0</ns0:v>
      </ns0:c>
      <ns0:c r="DA61" s="0">
        <ns0:f>IF(OR($AO61=0,$B$5&lt;&gt;"OK",$B$6&gt;0,Calendar!AC$11=""),0,SUMIFS(rngEngine_U,rngEngine_B,INDEX(Team!$A$11:$A$60,$AO61),rngAMStart,"&lt;="&amp;Calendar!AC$11,rngAMEnd,"&gt;="&amp;Calendar!AC$11))</ns0:f>
        <ns0:v>0</ns0:v>
      </ns0:c>
      <ns0:c r="DB61" s="0">
        <ns0:f>IF(OR($AO61=0,$B$5&lt;&gt;"OK",$B$6&gt;0,Calendar!AC$11=""),0,SUMIFS(rngEngine_V,rngEngine_B,INDEX(Team!$A$11:$A$60,$AO61),rngPMStart,"&lt;="&amp;Calendar!AC$11,rngPMEnd,"&gt;="&amp;Calendar!AC$11))</ns0:f>
        <ns0:v>0</ns0:v>
      </ns0:c>
      <ns0:c r="DC61" s="0">
        <ns0:f>IF(OR($AO61=0,$B$5&lt;&gt;"OK",$B$6&gt;0,Calendar!AD$11=""),0,SUMIFS(rngEngine_U,rngEngine_B,INDEX(Team!$A$11:$A$60,$AO61),rngAMStart,"&lt;="&amp;Calendar!AD$11,rngAMEnd,"&gt;="&amp;Calendar!AD$11))</ns0:f>
        <ns0:v>0</ns0:v>
      </ns0:c>
      <ns0:c r="DD61" s="0">
        <ns0:f>IF(OR($AO61=0,$B$5&lt;&gt;"OK",$B$6&gt;0,Calendar!AD$11=""),0,SUMIFS(rngEngine_V,rngEngine_B,INDEX(Team!$A$11:$A$60,$AO61),rngPMStart,"&lt;="&amp;Calendar!AD$11,rngPMEnd,"&gt;="&amp;Calendar!AD$11))</ns0:f>
        <ns0:v>0</ns0:v>
      </ns0:c>
      <ns0:c r="DE61" s="0">
        <ns0:f>IF(OR($AO61=0,$B$5&lt;&gt;"OK",$B$6&gt;0,Calendar!AE$11=""),0,SUMIFS(rngEngine_U,rngEngine_B,INDEX(Team!$A$11:$A$60,$AO61),rngAMStart,"&lt;="&amp;Calendar!AE$11,rngAMEnd,"&gt;="&amp;Calendar!AE$11))</ns0:f>
        <ns0:v>0</ns0:v>
      </ns0:c>
      <ns0:c r="DF61" s="0">
        <ns0:f>IF(OR($AO61=0,$B$5&lt;&gt;"OK",$B$6&gt;0,Calendar!AE$11=""),0,SUMIFS(rngEngine_V,rngEngine_B,INDEX(Team!$A$11:$A$60,$AO61),rngPMStart,"&lt;="&amp;Calendar!AE$11,rngPMEnd,"&gt;="&amp;Calendar!AE$11))</ns0:f>
        <ns0:v>0</ns0:v>
      </ns0:c>
      <ns0:c r="DG61" s="0">
        <ns0:f>IF(OR($AO61=0,$B$5&lt;&gt;"OK",$B$6&gt;0,Calendar!AF$11=""),0,SUMIFS(rngEngine_U,rngEngine_B,INDEX(Team!$A$11:$A$60,$AO61),rngAMStart,"&lt;="&amp;Calendar!AF$11,rngAMEnd,"&gt;="&amp;Calendar!AF$11))</ns0:f>
        <ns0:v>0</ns0:v>
      </ns0:c>
      <ns0:c r="DH61" s="0">
        <ns0:f>IF(OR($AO61=0,$B$5&lt;&gt;"OK",$B$6&gt;0,Calendar!AF$11=""),0,SUMIFS(rngEngine_V,rngEngine_B,INDEX(Team!$A$11:$A$60,$AO61),rngPMStart,"&lt;="&amp;Calendar!AF$11,rngPMEnd,"&gt;="&amp;Calendar!AF$11))</ns0:f>
        <ns0:v>0</ns0:v>
      </ns0:c>
      <ns0:c r="DI61" s="0">
        <ns0:f>IF(OR($AO61=0,$B$5&lt;&gt;"OK",$B$6&gt;0,Calendar!AG$11=""),0,SUMIFS(rngEngine_U,rngEngine_B,INDEX(Team!$A$11:$A$60,$AO61),rngAMStart,"&lt;="&amp;Calendar!AG$11,rngAMEnd,"&gt;="&amp;Calendar!AG$11))</ns0:f>
        <ns0:v>0</ns0:v>
      </ns0:c>
      <ns0:c r="DJ61" s="0">
        <ns0:f>IF(OR($AO61=0,$B$5&lt;&gt;"OK",$B$6&gt;0,Calendar!AG$11=""),0,SUMIFS(rngEngine_V,rngEngine_B,INDEX(Team!$A$11:$A$60,$AO61),rngPMStart,"&lt;="&amp;Calendar!AG$11,rngPMEnd,"&gt;="&amp;Calendar!AG$11))</ns0:f>
        <ns0:v>0</ns0:v>
      </ns0:c>
      <ns0:c r="DK61" s="0">
        <ns0:f>IF(OR($AO61=0,$B$5&lt;&gt;"OK",$B$6&gt;0,Calendar!AH$11=""),0,SUMIFS(rngEngine_U,rngEngine_B,INDEX(Team!$A$11:$A$60,$AO61),rngAMStart,"&lt;="&amp;Calendar!AH$11,rngAMEnd,"&gt;="&amp;Calendar!AH$11))</ns0:f>
        <ns0:v>0</ns0:v>
      </ns0:c>
      <ns0:c r="DL61" s="0">
        <ns0:f>IF(OR($AO61=0,$B$5&lt;&gt;"OK",$B$6&gt;0,Calendar!AH$11=""),0,SUMIFS(rngEngine_V,rngEngine_B,INDEX(Team!$A$11:$A$60,$AO61),rngPMStart,"&lt;="&amp;Calendar!AH$11,rngPMEnd,"&gt;="&amp;Calendar!AH$11))</ns0:f>
        <ns0:v>0</ns0:v>
      </ns0:c>
    </ns0:row>
    <ns0:row r="62" ht="22" customHeight="1">
      <ns0:c r="A62" s="4">
        <ns0:f>IF(COUNTA(Bookings!A62:G62,Bookings!I62)=0,0,1)</ns0:f>
        <ns0:v>0</ns0:v>
      </ns0:c>
      <ns0:c r="B62" s="4" t="str">
        <ns0:f>IFERROR(TRIM(MID(Bookings!A62,FIND(" · ",Bookings!A62)+3,99)),"")</ns0:f>
        <ns0:v/>
      </ns0:c>
      <ns0:c r="C62" s="4">
        <ns0:f>IF(OR(B62="",LEN(B62)&gt;24,ISNUMBER(FIND(" ",B62)),ISNUMBER(FIND("*",B62)),ISNUMBER(FIND("?",B62)),ISNUMBER(FIND("~",B62))),0,IFERROR(MATCH(B62,Team!$A$11:$A$60,0),0))</ns0:f>
        <ns0:v>0</ns0:v>
      </ns0:c>
      <ns0:c r="D62" s="4" t="str">
        <ns0:f>IFERROR(IF(MID(Bookings!F62,LEN(Bookings!F62)-3,3)=" · ",RIGHT(Bookings!F62,1),""),"")</ns0:f>
        <ns0:v/>
      </ns0:c>
      <ns0:c r="E62" s="4" t="str">
        <ns0:f>IFERROR(INDEX(Settings!$H$7:$H$11,MATCH(D62,Settings!$G$7:$G$11,0)),"")</ns0:f>
        <ns0:v/>
      </ns0:c>
      <ns0:c r="F62" s="4" t="str">
        <ns0:f>IF(A62=0,"",IFERROR(IF(OR(B62="",C62=0),"CHECK employee selection",IF(INDEX(Team!$O$11:$O$60,C62)&lt;&gt;"OK","CHECK employee setup",IF(OR('_Dates'!J62=0,'_Dates'!T62=0),"CHECK date: use DD.MM.YYYY",IF('_Dates'!T62&lt;'_Dates'!J62,"CHECK end before start",IF(AND($B$6=0,OR('_Dates'!J62&lt;Settings!$B$7,'_Dates'!T62&gt;Settings!$B$8)),"CHECK split across leave years",IF(OR(NOT(OR('_Dates'!U62="Full day",'_Dates'!U62="AM",'_Dates'!U62="PM")),NOT(OR('_Dates'!V62="Full day",'_Dates'!V62="AM",'_Dates'!V62="PM"))),"CHECK Full day / AM / PM",IF(AND('_Dates'!J62='_Dates'!T62,'_Dates'!U62&lt;&gt;"Full day",'_Dates'!V62&lt;&gt;"Full day",'_Dates'!U62&lt;&gt;'_Dates'!V62),"CHECK same-day portions disagree",IF(AND($B$6=0,OR(AND('_Dates'!U62&lt;&gt;"Full day",'_Dates'!AA62=0),AND('_Dates'!V62&lt;&gt;"Full day",'_Dates'!AB62=0))),"CHECK half-day on non-working date",IF(COUNTIF(Settings!$G$7:$G$11,D62)&lt;&gt;1,"CHECK leave type",IF(AND(Bookings!G62&lt;&gt;"Approved",Bookings!G62&lt;&gt;"Pending",Bookings!G62&lt;&gt;"Cancelled"),"CHECK status","OK")))))))))),"CHECK input"))</ns0:f>
        <ns0:v/>
      </ns0:c>
      <ns0:c r="G62" s="4">
        <ns0:f>IF(OR(F62&lt;&gt;"OK",$B$6&gt;0),0,0.5*(IF(('_Dates'!X62)&lt;('_Dates'!W62),0,INT((('_Dates'!X62)-('_Dates'!W62)+1)/7)*LEN(SUBSTITUTE(W62,"O",""))+LEN(SUBSTITUTE(MID(W62&amp;W62,WEEKDAY(('_Dates'!W62),2),MOD((('_Dates'!X62)-('_Dates'!W62)+1),7)),"O",""))-COUNTIFS(INDEX(AllClosureRows,C62,0),"&gt;="&amp;('_Dates'!W62),INDEX(AllClosureRows,C62,0),"&lt;="&amp;('_Dates'!X62)))+IF(('_Dates'!Z62)&lt;('_Dates'!Y62),0,INT((('_Dates'!Z62)-('_Dates'!Y62)+1)/7)*LEN(SUBSTITUTE(W62,"O",""))+LEN(SUBSTITUTE(MID(W62&amp;W62,WEEKDAY(('_Dates'!Y62),2),MOD((('_Dates'!Z62)-('_Dates'!Y62)+1),7)),"O",""))-COUNTIFS(INDEX(AllClosureRows,C62,0),"&gt;="&amp;('_Dates'!Y62),INDEX(AllClosureRows,C62,0),"&lt;="&amp;('_Dates'!Z62)))))</ns0:f>
        <ns0:v>0</ns0:v>
      </ns0:c>
      <ns0:c r="H62" s="4">
        <ns0:f>IF(OR(F62&lt;&gt;"OK",$B$6&gt;0),0,0.5*(IF((MIN('_Dates'!X62,Settings!$B$9))&lt;('_Dates'!W62),0,INT(((MIN('_Dates'!X62,Settings!$B$9))-('_Dates'!W62)+1)/7)*LEN(SUBSTITUTE(W62,"O",""))+LEN(SUBSTITUTE(MID(W62&amp;W62,WEEKDAY(('_Dates'!W62),2),MOD(((MIN('_Dates'!X62,Settings!$B$9))-('_Dates'!W62)+1),7)),"O",""))-COUNTIFS(INDEX(AllClosureRows,C62,0),"&gt;="&amp;('_Dates'!W62),INDEX(AllClosureRows,C62,0),"&lt;="&amp;(MIN('_Dates'!X62,Settings!$B$9))))+IF((MIN('_Dates'!Z62,Settings!$B$9))&lt;('_Dates'!Y62),0,INT(((MIN('_Dates'!Z62,Settings!$B$9))-('_Dates'!Y62)+1)/7)*LEN(SUBSTITUTE(W62,"O",""))+LEN(SUBSTITUTE(MID(W62&amp;W62,WEEKDAY(('_Dates'!Y62),2),MOD(((MIN('_Dates'!Z62,Settings!$B$9))-('_Dates'!Y62)+1),7)),"O",""))-COUNTIFS(INDEX(AllClosureRows,C62,0),"&gt;="&amp;('_Dates'!Y62),INDEX(AllClosureRows,C62,0),"&lt;="&amp;(MIN('_Dates'!Z62,Settings!$B$9))))))</ns0:f>
        <ns0:v>0</ns0:v>
      </ns0:c>
      <ns0:c r="I62" s="4">
        <ns0:f>MAX(0,G62-H62)</ns0:f>
        <ns0:v>0</ns0:v>
      </ns0:c>
      <ns0:c r="J62" s="4">
        <ns0:f>IF(OR(A62=0,F62&lt;&gt;"OK",Bookings!G62="Cancelled",$B$6&gt;0),0,IF('_Dates'!AC62=1,MAX(0,COUNTIFS(rngEngine_B,B62,rngAMStart,"&lt;="&amp;'_Dates'!X62,rngAMEnd,"&gt;="&amp;'_Dates'!W62,rngAMActive,1,rngEngine_F,"OK",rngBookings_F,"&lt;&gt;Cancelled")-1),0)+IF('_Dates'!AD62=1,MAX(0,COUNTIFS(rngEngine_B,B62,rngPMStart,"&lt;="&amp;'_Dates'!Z62,rngPMEnd,"&gt;="&amp;'_Dates'!Y62,rngPMActive,1,rngEngine_F,"OK",rngBookings_F,"&lt;&gt;Cancelled")-1),0))</ns0:f>
        <ns0:v>0</ns0:v>
      </ns0:c>
      <ns0:c r="K62" s="0" t="str">
        <ns0:f>IF(A62=0,"",IF(F62&lt;&gt;"OK",F62,IF(J62&gt;0,"CHECK overlapping entry",IF(AND($B$6=0,G62&lt;=0,Bookings!G62&lt;&gt;"Cancelled"),"CHECK no working days",IF(Bookings!G62="Cancelled","Cancelled","OK")))))</ns0:f>
        <ns0:v/>
      </ns0:c>
      <ns0:c r="L62" s="0">
        <ns0:f>IF(LEFT(K62,5)="CHECK",1,0)</ns0:f>
        <ns0:v>0</ns0:v>
      </ns0:c>
      <ns0:c r="M62" s="0">
        <ns0:f>IF(AND(L62=1,OR(C62=0,IFERROR(INDEX($X$11:$X$60,C62),0)=0)),1,0)</ns0:f>
        <ns0:v>0</ns0:v>
      </ns0:c>
      <ns0:c r="N62" s="0">
        <ns0:f>IF(OR(A62=0,L62&gt;0,$B$6&gt;0,Bookings!G62="Cancelled"),0,G62)</ns0:f>
        <ns0:v>0</ns0:v>
      </ns0:c>
      <ns0:c r="O62" s="0">
        <ns0:f>IF(AND(Bookings!G62="Approved",E62="Yes"),N62,0)</ns0:f>
        <ns0:v>0</ns0:v>
      </ns0:c>
      <ns0:c r="P62" s="0">
        <ns0:f>IF(AND(Bookings!G62="Approved",E62="Yes",L62=0,$B$6=0),H62,0)</ns0:f>
        <ns0:v>0</ns0:v>
      </ns0:c>
      <ns0:c r="Q62" s="0">
        <ns0:f>IF(AND(Bookings!G62="Approved",E62="Yes",L62=0,$B$6=0),I62,0)</ns0:f>
        <ns0:v>0</ns0:v>
      </ns0:c>
      <ns0:c r="R62" s="0">
        <ns0:f>IF(AND(Bookings!G62="Pending",E62="Yes"),N62,0)</ns0:f>
        <ns0:v>0</ns0:v>
      </ns0:c>
      <ns0:c r="S62" s="0">
        <ns0:f>IF(AND(Bookings!G62="Approved",E62="No"),N62,0)</ns0:f>
        <ns0:v>0</ns0:v>
      </ns0:c>
      <ns0:c r="T62" s="0">
        <ns0:f>IFERROR(MATCH(D62,Settings!$G$7:$G$11,0),0)</ns0:f>
        <ns0:v>0</ns0:v>
      </ns0:c>
      <ns0:c r="U62" s="0">
        <ns0:f>IF(N62&gt;0,T62+IF(Bookings!G62="Pending",10,0),0)</ns0:f>
        <ns0:v>0</ns0:v>
      </ns0:c>
      <ns0:c r="V62" s="0">
        <ns0:f>U62</ns0:f>
        <ns0:v>0</ns0:v>
      </ns0:c>
      <ns0:c r="W62" s="0" t="str">
        <ns0:f>IF(C62=0,"",INDEX($AP$11:$AP$60,C62))</ns0:f>
        <ns0:v/>
      </ns0:c>
      <ns0:c r="AR62" s="0">
        <ns0:f>IFERROR(IF(ISNUMBER(Settings!F62),WEEKDAY(Settings!F62,2),0),0)</ns0:f>
        <ns0:v>0</ns0:v>
      </ns0:c>
    </ns0:row>
    <ns0:row r="63" ht="22" customHeight="1">
      <ns0:c r="A63" s="4">
        <ns0:f>IF(COUNTA(Bookings!A63:G63,Bookings!I63)=0,0,1)</ns0:f>
        <ns0:v>0</ns0:v>
      </ns0:c>
      <ns0:c r="B63" s="4" t="str">
        <ns0:f>IFERROR(TRIM(MID(Bookings!A63,FIND(" · ",Bookings!A63)+3,99)),"")</ns0:f>
        <ns0:v/>
      </ns0:c>
      <ns0:c r="C63" s="4">
        <ns0:f>IF(OR(B63="",LEN(B63)&gt;24,ISNUMBER(FIND(" ",B63)),ISNUMBER(FIND("*",B63)),ISNUMBER(FIND("?",B63)),ISNUMBER(FIND("~",B63))),0,IFERROR(MATCH(B63,Team!$A$11:$A$60,0),0))</ns0:f>
        <ns0:v>0</ns0:v>
      </ns0:c>
      <ns0:c r="D63" s="4" t="str">
        <ns0:f>IFERROR(IF(MID(Bookings!F63,LEN(Bookings!F63)-3,3)=" · ",RIGHT(Bookings!F63,1),""),"")</ns0:f>
        <ns0:v/>
      </ns0:c>
      <ns0:c r="E63" s="4" t="str">
        <ns0:f>IFERROR(INDEX(Settings!$H$7:$H$11,MATCH(D63,Settings!$G$7:$G$11,0)),"")</ns0:f>
        <ns0:v/>
      </ns0:c>
      <ns0:c r="F63" s="4" t="str">
        <ns0:f>IF(A63=0,"",IFERROR(IF(OR(B63="",C63=0),"CHECK employee selection",IF(INDEX(Team!$O$11:$O$60,C63)&lt;&gt;"OK","CHECK employee setup",IF(OR('_Dates'!J63=0,'_Dates'!T63=0),"CHECK date: use DD.MM.YYYY",IF('_Dates'!T63&lt;'_Dates'!J63,"CHECK end before start",IF(AND($B$6=0,OR('_Dates'!J63&lt;Settings!$B$7,'_Dates'!T63&gt;Settings!$B$8)),"CHECK split across leave years",IF(OR(NOT(OR('_Dates'!U63="Full day",'_Dates'!U63="AM",'_Dates'!U63="PM")),NOT(OR('_Dates'!V63="Full day",'_Dates'!V63="AM",'_Dates'!V63="PM"))),"CHECK Full day / AM / PM",IF(AND('_Dates'!J63='_Dates'!T63,'_Dates'!U63&lt;&gt;"Full day",'_Dates'!V63&lt;&gt;"Full day",'_Dates'!U63&lt;&gt;'_Dates'!V63),"CHECK same-day portions disagree",IF(AND($B$6=0,OR(AND('_Dates'!U63&lt;&gt;"Full day",'_Dates'!AA63=0),AND('_Dates'!V63&lt;&gt;"Full day",'_Dates'!AB63=0))),"CHECK half-day on non-working date",IF(COUNTIF(Settings!$G$7:$G$11,D63)&lt;&gt;1,"CHECK leave type",IF(AND(Bookings!G63&lt;&gt;"Approved",Bookings!G63&lt;&gt;"Pending",Bookings!G63&lt;&gt;"Cancelled"),"CHECK status","OK")))))))))),"CHECK input"))</ns0:f>
        <ns0:v/>
      </ns0:c>
      <ns0:c r="G63" s="4">
        <ns0:f>IF(OR(F63&lt;&gt;"OK",$B$6&gt;0),0,0.5*(IF(('_Dates'!X63)&lt;('_Dates'!W63),0,INT((('_Dates'!X63)-('_Dates'!W63)+1)/7)*LEN(SUBSTITUTE(W63,"O",""))+LEN(SUBSTITUTE(MID(W63&amp;W63,WEEKDAY(('_Dates'!W63),2),MOD((('_Dates'!X63)-('_Dates'!W63)+1),7)),"O",""))-COUNTIFS(INDEX(AllClosureRows,C63,0),"&gt;="&amp;('_Dates'!W63),INDEX(AllClosureRows,C63,0),"&lt;="&amp;('_Dates'!X63)))+IF(('_Dates'!Z63)&lt;('_Dates'!Y63),0,INT((('_Dates'!Z63)-('_Dates'!Y63)+1)/7)*LEN(SUBSTITUTE(W63,"O",""))+LEN(SUBSTITUTE(MID(W63&amp;W63,WEEKDAY(('_Dates'!Y63),2),MOD((('_Dates'!Z63)-('_Dates'!Y63)+1),7)),"O",""))-COUNTIFS(INDEX(AllClosureRows,C63,0),"&gt;="&amp;('_Dates'!Y63),INDEX(AllClosureRows,C63,0),"&lt;="&amp;('_Dates'!Z63)))))</ns0:f>
        <ns0:v>0</ns0:v>
      </ns0:c>
      <ns0:c r="H63" s="4">
        <ns0:f>IF(OR(F63&lt;&gt;"OK",$B$6&gt;0),0,0.5*(IF((MIN('_Dates'!X63,Settings!$B$9))&lt;('_Dates'!W63),0,INT(((MIN('_Dates'!X63,Settings!$B$9))-('_Dates'!W63)+1)/7)*LEN(SUBSTITUTE(W63,"O",""))+LEN(SUBSTITUTE(MID(W63&amp;W63,WEEKDAY(('_Dates'!W63),2),MOD(((MIN('_Dates'!X63,Settings!$B$9))-('_Dates'!W63)+1),7)),"O",""))-COUNTIFS(INDEX(AllClosureRows,C63,0),"&gt;="&amp;('_Dates'!W63),INDEX(AllClosureRows,C63,0),"&lt;="&amp;(MIN('_Dates'!X63,Settings!$B$9))))+IF((MIN('_Dates'!Z63,Settings!$B$9))&lt;('_Dates'!Y63),0,INT(((MIN('_Dates'!Z63,Settings!$B$9))-('_Dates'!Y63)+1)/7)*LEN(SUBSTITUTE(W63,"O",""))+LEN(SUBSTITUTE(MID(W63&amp;W63,WEEKDAY(('_Dates'!Y63),2),MOD(((MIN('_Dates'!Z63,Settings!$B$9))-('_Dates'!Y63)+1),7)),"O",""))-COUNTIFS(INDEX(AllClosureRows,C63,0),"&gt;="&amp;('_Dates'!Y63),INDEX(AllClosureRows,C63,0),"&lt;="&amp;(MIN('_Dates'!Z63,Settings!$B$9))))))</ns0:f>
        <ns0:v>0</ns0:v>
      </ns0:c>
      <ns0:c r="I63" s="4">
        <ns0:f>MAX(0,G63-H63)</ns0:f>
        <ns0:v>0</ns0:v>
      </ns0:c>
      <ns0:c r="J63" s="4">
        <ns0:f>IF(OR(A63=0,F63&lt;&gt;"OK",Bookings!G63="Cancelled",$B$6&gt;0),0,IF('_Dates'!AC63=1,MAX(0,COUNTIFS(rngEngine_B,B63,rngAMStart,"&lt;="&amp;'_Dates'!X63,rngAMEnd,"&gt;="&amp;'_Dates'!W63,rngAMActive,1,rngEngine_F,"OK",rngBookings_F,"&lt;&gt;Cancelled")-1),0)+IF('_Dates'!AD63=1,MAX(0,COUNTIFS(rngEngine_B,B63,rngPMStart,"&lt;="&amp;'_Dates'!Z63,rngPMEnd,"&gt;="&amp;'_Dates'!Y63,rngPMActive,1,rngEngine_F,"OK",rngBookings_F,"&lt;&gt;Cancelled")-1),0))</ns0:f>
        <ns0:v>0</ns0:v>
      </ns0:c>
      <ns0:c r="K63" s="0" t="str">
        <ns0:f>IF(A63=0,"",IF(F63&lt;&gt;"OK",F63,IF(J63&gt;0,"CHECK overlapping entry",IF(AND($B$6=0,G63&lt;=0,Bookings!G63&lt;&gt;"Cancelled"),"CHECK no working days",IF(Bookings!G63="Cancelled","Cancelled","OK")))))</ns0:f>
        <ns0:v/>
      </ns0:c>
      <ns0:c r="L63" s="0">
        <ns0:f>IF(LEFT(K63,5)="CHECK",1,0)</ns0:f>
        <ns0:v>0</ns0:v>
      </ns0:c>
      <ns0:c r="M63" s="0">
        <ns0:f>IF(AND(L63=1,OR(C63=0,IFERROR(INDEX($X$11:$X$60,C63),0)=0)),1,0)</ns0:f>
        <ns0:v>0</ns0:v>
      </ns0:c>
      <ns0:c r="N63" s="0">
        <ns0:f>IF(OR(A63=0,L63&gt;0,$B$6&gt;0,Bookings!G63="Cancelled"),0,G63)</ns0:f>
        <ns0:v>0</ns0:v>
      </ns0:c>
      <ns0:c r="O63" s="0">
        <ns0:f>IF(AND(Bookings!G63="Approved",E63="Yes"),N63,0)</ns0:f>
        <ns0:v>0</ns0:v>
      </ns0:c>
      <ns0:c r="P63" s="0">
        <ns0:f>IF(AND(Bookings!G63="Approved",E63="Yes",L63=0,$B$6=0),H63,0)</ns0:f>
        <ns0:v>0</ns0:v>
      </ns0:c>
      <ns0:c r="Q63" s="0">
        <ns0:f>IF(AND(Bookings!G63="Approved",E63="Yes",L63=0,$B$6=0),I63,0)</ns0:f>
        <ns0:v>0</ns0:v>
      </ns0:c>
      <ns0:c r="R63" s="0">
        <ns0:f>IF(AND(Bookings!G63="Pending",E63="Yes"),N63,0)</ns0:f>
        <ns0:v>0</ns0:v>
      </ns0:c>
      <ns0:c r="S63" s="0">
        <ns0:f>IF(AND(Bookings!G63="Approved",E63="No"),N63,0)</ns0:f>
        <ns0:v>0</ns0:v>
      </ns0:c>
      <ns0:c r="T63" s="0">
        <ns0:f>IFERROR(MATCH(D63,Settings!$G$7:$G$11,0),0)</ns0:f>
        <ns0:v>0</ns0:v>
      </ns0:c>
      <ns0:c r="U63" s="0">
        <ns0:f>IF(N63&gt;0,T63+IF(Bookings!G63="Pending",10,0),0)</ns0:f>
        <ns0:v>0</ns0:v>
      </ns0:c>
      <ns0:c r="V63" s="0">
        <ns0:f>U63</ns0:f>
        <ns0:v>0</ns0:v>
      </ns0:c>
      <ns0:c r="W63" s="0" t="str">
        <ns0:f>IF(C63=0,"",INDEX($AP$11:$AP$60,C63))</ns0:f>
        <ns0:v/>
      </ns0:c>
      <ns0:c r="AR63" s="0">
        <ns0:f>IFERROR(IF(ISNUMBER(Settings!F63),WEEKDAY(Settings!F63,2),0),0)</ns0:f>
        <ns0:v>0</ns0:v>
      </ns0:c>
    </ns0:row>
    <ns0:row r="64" ht="22" customHeight="1">
      <ns0:c r="A64" s="4">
        <ns0:f>IF(COUNTA(Bookings!A64:G64,Bookings!I64)=0,0,1)</ns0:f>
        <ns0:v>0</ns0:v>
      </ns0:c>
      <ns0:c r="B64" s="4" t="str">
        <ns0:f>IFERROR(TRIM(MID(Bookings!A64,FIND(" · ",Bookings!A64)+3,99)),"")</ns0:f>
        <ns0:v/>
      </ns0:c>
      <ns0:c r="C64" s="4">
        <ns0:f>IF(OR(B64="",LEN(B64)&gt;24,ISNUMBER(FIND(" ",B64)),ISNUMBER(FIND("*",B64)),ISNUMBER(FIND("?",B64)),ISNUMBER(FIND("~",B64))),0,IFERROR(MATCH(B64,Team!$A$11:$A$60,0),0))</ns0:f>
        <ns0:v>0</ns0:v>
      </ns0:c>
      <ns0:c r="D64" s="4" t="str">
        <ns0:f>IFERROR(IF(MID(Bookings!F64,LEN(Bookings!F64)-3,3)=" · ",RIGHT(Bookings!F64,1),""),"")</ns0:f>
        <ns0:v/>
      </ns0:c>
      <ns0:c r="E64" s="4" t="str">
        <ns0:f>IFERROR(INDEX(Settings!$H$7:$H$11,MATCH(D64,Settings!$G$7:$G$11,0)),"")</ns0:f>
        <ns0:v/>
      </ns0:c>
      <ns0:c r="F64" s="4" t="str">
        <ns0:f>IF(A64=0,"",IFERROR(IF(OR(B64="",C64=0),"CHECK employee selection",IF(INDEX(Team!$O$11:$O$60,C64)&lt;&gt;"OK","CHECK employee setup",IF(OR('_Dates'!J64=0,'_Dates'!T64=0),"CHECK date: use DD.MM.YYYY",IF('_Dates'!T64&lt;'_Dates'!J64,"CHECK end before start",IF(AND($B$6=0,OR('_Dates'!J64&lt;Settings!$B$7,'_Dates'!T64&gt;Settings!$B$8)),"CHECK split across leave years",IF(OR(NOT(OR('_Dates'!U64="Full day",'_Dates'!U64="AM",'_Dates'!U64="PM")),NOT(OR('_Dates'!V64="Full day",'_Dates'!V64="AM",'_Dates'!V64="PM"))),"CHECK Full day / AM / PM",IF(AND('_Dates'!J64='_Dates'!T64,'_Dates'!U64&lt;&gt;"Full day",'_Dates'!V64&lt;&gt;"Full day",'_Dates'!U64&lt;&gt;'_Dates'!V64),"CHECK same-day portions disagree",IF(AND($B$6=0,OR(AND('_Dates'!U64&lt;&gt;"Full day",'_Dates'!AA64=0),AND('_Dates'!V64&lt;&gt;"Full day",'_Dates'!AB64=0))),"CHECK half-day on non-working date",IF(COUNTIF(Settings!$G$7:$G$11,D64)&lt;&gt;1,"CHECK leave type",IF(AND(Bookings!G64&lt;&gt;"Approved",Bookings!G64&lt;&gt;"Pending",Bookings!G64&lt;&gt;"Cancelled"),"CHECK status","OK")))))))))),"CHECK input"))</ns0:f>
        <ns0:v/>
      </ns0:c>
      <ns0:c r="G64" s="4">
        <ns0:f>IF(OR(F64&lt;&gt;"OK",$B$6&gt;0),0,0.5*(IF(('_Dates'!X64)&lt;('_Dates'!W64),0,INT((('_Dates'!X64)-('_Dates'!W64)+1)/7)*LEN(SUBSTITUTE(W64,"O",""))+LEN(SUBSTITUTE(MID(W64&amp;W64,WEEKDAY(('_Dates'!W64),2),MOD((('_Dates'!X64)-('_Dates'!W64)+1),7)),"O",""))-COUNTIFS(INDEX(AllClosureRows,C64,0),"&gt;="&amp;('_Dates'!W64),INDEX(AllClosureRows,C64,0),"&lt;="&amp;('_Dates'!X64)))+IF(('_Dates'!Z64)&lt;('_Dates'!Y64),0,INT((('_Dates'!Z64)-('_Dates'!Y64)+1)/7)*LEN(SUBSTITUTE(W64,"O",""))+LEN(SUBSTITUTE(MID(W64&amp;W64,WEEKDAY(('_Dates'!Y64),2),MOD((('_Dates'!Z64)-('_Dates'!Y64)+1),7)),"O",""))-COUNTIFS(INDEX(AllClosureRows,C64,0),"&gt;="&amp;('_Dates'!Y64),INDEX(AllClosureRows,C64,0),"&lt;="&amp;('_Dates'!Z64)))))</ns0:f>
        <ns0:v>0</ns0:v>
      </ns0:c>
      <ns0:c r="H64" s="4">
        <ns0:f>IF(OR(F64&lt;&gt;"OK",$B$6&gt;0),0,0.5*(IF((MIN('_Dates'!X64,Settings!$B$9))&lt;('_Dates'!W64),0,INT(((MIN('_Dates'!X64,Settings!$B$9))-('_Dates'!W64)+1)/7)*LEN(SUBSTITUTE(W64,"O",""))+LEN(SUBSTITUTE(MID(W64&amp;W64,WEEKDAY(('_Dates'!W64),2),MOD(((MIN('_Dates'!X64,Settings!$B$9))-('_Dates'!W64)+1),7)),"O",""))-COUNTIFS(INDEX(AllClosureRows,C64,0),"&gt;="&amp;('_Dates'!W64),INDEX(AllClosureRows,C64,0),"&lt;="&amp;(MIN('_Dates'!X64,Settings!$B$9))))+IF((MIN('_Dates'!Z64,Settings!$B$9))&lt;('_Dates'!Y64),0,INT(((MIN('_Dates'!Z64,Settings!$B$9))-('_Dates'!Y64)+1)/7)*LEN(SUBSTITUTE(W64,"O",""))+LEN(SUBSTITUTE(MID(W64&amp;W64,WEEKDAY(('_Dates'!Y64),2),MOD(((MIN('_Dates'!Z64,Settings!$B$9))-('_Dates'!Y64)+1),7)),"O",""))-COUNTIFS(INDEX(AllClosureRows,C64,0),"&gt;="&amp;('_Dates'!Y64),INDEX(AllClosureRows,C64,0),"&lt;="&amp;(MIN('_Dates'!Z64,Settings!$B$9))))))</ns0:f>
        <ns0:v>0</ns0:v>
      </ns0:c>
      <ns0:c r="I64" s="4">
        <ns0:f>MAX(0,G64-H64)</ns0:f>
        <ns0:v>0</ns0:v>
      </ns0:c>
      <ns0:c r="J64" s="4">
        <ns0:f>IF(OR(A64=0,F64&lt;&gt;"OK",Bookings!G64="Cancelled",$B$6&gt;0),0,IF('_Dates'!AC64=1,MAX(0,COUNTIFS(rngEngine_B,B64,rngAMStart,"&lt;="&amp;'_Dates'!X64,rngAMEnd,"&gt;="&amp;'_Dates'!W64,rngAMActive,1,rngEngine_F,"OK",rngBookings_F,"&lt;&gt;Cancelled")-1),0)+IF('_Dates'!AD64=1,MAX(0,COUNTIFS(rngEngine_B,B64,rngPMStart,"&lt;="&amp;'_Dates'!Z64,rngPMEnd,"&gt;="&amp;'_Dates'!Y64,rngPMActive,1,rngEngine_F,"OK",rngBookings_F,"&lt;&gt;Cancelled")-1),0))</ns0:f>
        <ns0:v>0</ns0:v>
      </ns0:c>
      <ns0:c r="K64" s="0" t="str">
        <ns0:f>IF(A64=0,"",IF(F64&lt;&gt;"OK",F64,IF(J64&gt;0,"CHECK overlapping entry",IF(AND($B$6=0,G64&lt;=0,Bookings!G64&lt;&gt;"Cancelled"),"CHECK no working days",IF(Bookings!G64="Cancelled","Cancelled","OK")))))</ns0:f>
        <ns0:v/>
      </ns0:c>
      <ns0:c r="L64" s="0">
        <ns0:f>IF(LEFT(K64,5)="CHECK",1,0)</ns0:f>
        <ns0:v>0</ns0:v>
      </ns0:c>
      <ns0:c r="M64" s="0">
        <ns0:f>IF(AND(L64=1,OR(C64=0,IFERROR(INDEX($X$11:$X$60,C64),0)=0)),1,0)</ns0:f>
        <ns0:v>0</ns0:v>
      </ns0:c>
      <ns0:c r="N64" s="0">
        <ns0:f>IF(OR(A64=0,L64&gt;0,$B$6&gt;0,Bookings!G64="Cancelled"),0,G64)</ns0:f>
        <ns0:v>0</ns0:v>
      </ns0:c>
      <ns0:c r="O64" s="0">
        <ns0:f>IF(AND(Bookings!G64="Approved",E64="Yes"),N64,0)</ns0:f>
        <ns0:v>0</ns0:v>
      </ns0:c>
      <ns0:c r="P64" s="0">
        <ns0:f>IF(AND(Bookings!G64="Approved",E64="Yes",L64=0,$B$6=0),H64,0)</ns0:f>
        <ns0:v>0</ns0:v>
      </ns0:c>
      <ns0:c r="Q64" s="0">
        <ns0:f>IF(AND(Bookings!G64="Approved",E64="Yes",L64=0,$B$6=0),I64,0)</ns0:f>
        <ns0:v>0</ns0:v>
      </ns0:c>
      <ns0:c r="R64" s="0">
        <ns0:f>IF(AND(Bookings!G64="Pending",E64="Yes"),N64,0)</ns0:f>
        <ns0:v>0</ns0:v>
      </ns0:c>
      <ns0:c r="S64" s="0">
        <ns0:f>IF(AND(Bookings!G64="Approved",E64="No"),N64,0)</ns0:f>
        <ns0:v>0</ns0:v>
      </ns0:c>
      <ns0:c r="T64" s="0">
        <ns0:f>IFERROR(MATCH(D64,Settings!$G$7:$G$11,0),0)</ns0:f>
        <ns0:v>0</ns0:v>
      </ns0:c>
      <ns0:c r="U64" s="0">
        <ns0:f>IF(N64&gt;0,T64+IF(Bookings!G64="Pending",10,0),0)</ns0:f>
        <ns0:v>0</ns0:v>
      </ns0:c>
      <ns0:c r="V64" s="0">
        <ns0:f>U64</ns0:f>
        <ns0:v>0</ns0:v>
      </ns0:c>
      <ns0:c r="W64" s="0" t="str">
        <ns0:f>IF(C64=0,"",INDEX($AP$11:$AP$60,C64))</ns0:f>
        <ns0:v/>
      </ns0:c>
      <ns0:c r="AR64" s="0">
        <ns0:f>IFERROR(IF(ISNUMBER(Settings!F64),WEEKDAY(Settings!F64,2),0),0)</ns0:f>
        <ns0:v>0</ns0:v>
      </ns0:c>
    </ns0:row>
    <ns0:row r="65" ht="22" customHeight="1">
      <ns0:c r="A65" s="4">
        <ns0:f>IF(COUNTA(Bookings!A65:G65,Bookings!I65)=0,0,1)</ns0:f>
        <ns0:v>0</ns0:v>
      </ns0:c>
      <ns0:c r="B65" s="4" t="str">
        <ns0:f>IFERROR(TRIM(MID(Bookings!A65,FIND(" · ",Bookings!A65)+3,99)),"")</ns0:f>
        <ns0:v/>
      </ns0:c>
      <ns0:c r="C65" s="4">
        <ns0:f>IF(OR(B65="",LEN(B65)&gt;24,ISNUMBER(FIND(" ",B65)),ISNUMBER(FIND("*",B65)),ISNUMBER(FIND("?",B65)),ISNUMBER(FIND("~",B65))),0,IFERROR(MATCH(B65,Team!$A$11:$A$60,0),0))</ns0:f>
        <ns0:v>0</ns0:v>
      </ns0:c>
      <ns0:c r="D65" s="4" t="str">
        <ns0:f>IFERROR(IF(MID(Bookings!F65,LEN(Bookings!F65)-3,3)=" · ",RIGHT(Bookings!F65,1),""),"")</ns0:f>
        <ns0:v/>
      </ns0:c>
      <ns0:c r="E65" s="4" t="str">
        <ns0:f>IFERROR(INDEX(Settings!$H$7:$H$11,MATCH(D65,Settings!$G$7:$G$11,0)),"")</ns0:f>
        <ns0:v/>
      </ns0:c>
      <ns0:c r="F65" s="4" t="str">
        <ns0:f>IF(A65=0,"",IFERROR(IF(OR(B65="",C65=0),"CHECK employee selection",IF(INDEX(Team!$O$11:$O$60,C65)&lt;&gt;"OK","CHECK employee setup",IF(OR('_Dates'!J65=0,'_Dates'!T65=0),"CHECK date: use DD.MM.YYYY",IF('_Dates'!T65&lt;'_Dates'!J65,"CHECK end before start",IF(AND($B$6=0,OR('_Dates'!J65&lt;Settings!$B$7,'_Dates'!T65&gt;Settings!$B$8)),"CHECK split across leave years",IF(OR(NOT(OR('_Dates'!U65="Full day",'_Dates'!U65="AM",'_Dates'!U65="PM")),NOT(OR('_Dates'!V65="Full day",'_Dates'!V65="AM",'_Dates'!V65="PM"))),"CHECK Full day / AM / PM",IF(AND('_Dates'!J65='_Dates'!T65,'_Dates'!U65&lt;&gt;"Full day",'_Dates'!V65&lt;&gt;"Full day",'_Dates'!U65&lt;&gt;'_Dates'!V65),"CHECK same-day portions disagree",IF(AND($B$6=0,OR(AND('_Dates'!U65&lt;&gt;"Full day",'_Dates'!AA65=0),AND('_Dates'!V65&lt;&gt;"Full day",'_Dates'!AB65=0))),"CHECK half-day on non-working date",IF(COUNTIF(Settings!$G$7:$G$11,D65)&lt;&gt;1,"CHECK leave type",IF(AND(Bookings!G65&lt;&gt;"Approved",Bookings!G65&lt;&gt;"Pending",Bookings!G65&lt;&gt;"Cancelled"),"CHECK status","OK")))))))))),"CHECK input"))</ns0:f>
        <ns0:v/>
      </ns0:c>
      <ns0:c r="G65" s="4">
        <ns0:f>IF(OR(F65&lt;&gt;"OK",$B$6&gt;0),0,0.5*(IF(('_Dates'!X65)&lt;('_Dates'!W65),0,INT((('_Dates'!X65)-('_Dates'!W65)+1)/7)*LEN(SUBSTITUTE(W65,"O",""))+LEN(SUBSTITUTE(MID(W65&amp;W65,WEEKDAY(('_Dates'!W65),2),MOD((('_Dates'!X65)-('_Dates'!W65)+1),7)),"O",""))-COUNTIFS(INDEX(AllClosureRows,C65,0),"&gt;="&amp;('_Dates'!W65),INDEX(AllClosureRows,C65,0),"&lt;="&amp;('_Dates'!X65)))+IF(('_Dates'!Z65)&lt;('_Dates'!Y65),0,INT((('_Dates'!Z65)-('_Dates'!Y65)+1)/7)*LEN(SUBSTITUTE(W65,"O",""))+LEN(SUBSTITUTE(MID(W65&amp;W65,WEEKDAY(('_Dates'!Y65),2),MOD((('_Dates'!Z65)-('_Dates'!Y65)+1),7)),"O",""))-COUNTIFS(INDEX(AllClosureRows,C65,0),"&gt;="&amp;('_Dates'!Y65),INDEX(AllClosureRows,C65,0),"&lt;="&amp;('_Dates'!Z65)))))</ns0:f>
        <ns0:v>0</ns0:v>
      </ns0:c>
      <ns0:c r="H65" s="4">
        <ns0:f>IF(OR(F65&lt;&gt;"OK",$B$6&gt;0),0,0.5*(IF((MIN('_Dates'!X65,Settings!$B$9))&lt;('_Dates'!W65),0,INT(((MIN('_Dates'!X65,Settings!$B$9))-('_Dates'!W65)+1)/7)*LEN(SUBSTITUTE(W65,"O",""))+LEN(SUBSTITUTE(MID(W65&amp;W65,WEEKDAY(('_Dates'!W65),2),MOD(((MIN('_Dates'!X65,Settings!$B$9))-('_Dates'!W65)+1),7)),"O",""))-COUNTIFS(INDEX(AllClosureRows,C65,0),"&gt;="&amp;('_Dates'!W65),INDEX(AllClosureRows,C65,0),"&lt;="&amp;(MIN('_Dates'!X65,Settings!$B$9))))+IF((MIN('_Dates'!Z65,Settings!$B$9))&lt;('_Dates'!Y65),0,INT(((MIN('_Dates'!Z65,Settings!$B$9))-('_Dates'!Y65)+1)/7)*LEN(SUBSTITUTE(W65,"O",""))+LEN(SUBSTITUTE(MID(W65&amp;W65,WEEKDAY(('_Dates'!Y65),2),MOD(((MIN('_Dates'!Z65,Settings!$B$9))-('_Dates'!Y65)+1),7)),"O",""))-COUNTIFS(INDEX(AllClosureRows,C65,0),"&gt;="&amp;('_Dates'!Y65),INDEX(AllClosureRows,C65,0),"&lt;="&amp;(MIN('_Dates'!Z65,Settings!$B$9))))))</ns0:f>
        <ns0:v>0</ns0:v>
      </ns0:c>
      <ns0:c r="I65" s="4">
        <ns0:f>MAX(0,G65-H65)</ns0:f>
        <ns0:v>0</ns0:v>
      </ns0:c>
      <ns0:c r="J65" s="4">
        <ns0:f>IF(OR(A65=0,F65&lt;&gt;"OK",Bookings!G65="Cancelled",$B$6&gt;0),0,IF('_Dates'!AC65=1,MAX(0,COUNTIFS(rngEngine_B,B65,rngAMStart,"&lt;="&amp;'_Dates'!X65,rngAMEnd,"&gt;="&amp;'_Dates'!W65,rngAMActive,1,rngEngine_F,"OK",rngBookings_F,"&lt;&gt;Cancelled")-1),0)+IF('_Dates'!AD65=1,MAX(0,COUNTIFS(rngEngine_B,B65,rngPMStart,"&lt;="&amp;'_Dates'!Z65,rngPMEnd,"&gt;="&amp;'_Dates'!Y65,rngPMActive,1,rngEngine_F,"OK",rngBookings_F,"&lt;&gt;Cancelled")-1),0))</ns0:f>
        <ns0:v>0</ns0:v>
      </ns0:c>
      <ns0:c r="K65" s="0" t="str">
        <ns0:f>IF(A65=0,"",IF(F65&lt;&gt;"OK",F65,IF(J65&gt;0,"CHECK overlapping entry",IF(AND($B$6=0,G65&lt;=0,Bookings!G65&lt;&gt;"Cancelled"),"CHECK no working days",IF(Bookings!G65="Cancelled","Cancelled","OK")))))</ns0:f>
        <ns0:v/>
      </ns0:c>
      <ns0:c r="L65" s="0">
        <ns0:f>IF(LEFT(K65,5)="CHECK",1,0)</ns0:f>
        <ns0:v>0</ns0:v>
      </ns0:c>
      <ns0:c r="M65" s="0">
        <ns0:f>IF(AND(L65=1,OR(C65=0,IFERROR(INDEX($X$11:$X$60,C65),0)=0)),1,0)</ns0:f>
        <ns0:v>0</ns0:v>
      </ns0:c>
      <ns0:c r="N65" s="0">
        <ns0:f>IF(OR(A65=0,L65&gt;0,$B$6&gt;0,Bookings!G65="Cancelled"),0,G65)</ns0:f>
        <ns0:v>0</ns0:v>
      </ns0:c>
      <ns0:c r="O65" s="0">
        <ns0:f>IF(AND(Bookings!G65="Approved",E65="Yes"),N65,0)</ns0:f>
        <ns0:v>0</ns0:v>
      </ns0:c>
      <ns0:c r="P65" s="0">
        <ns0:f>IF(AND(Bookings!G65="Approved",E65="Yes",L65=0,$B$6=0),H65,0)</ns0:f>
        <ns0:v>0</ns0:v>
      </ns0:c>
      <ns0:c r="Q65" s="0">
        <ns0:f>IF(AND(Bookings!G65="Approved",E65="Yes",L65=0,$B$6=0),I65,0)</ns0:f>
        <ns0:v>0</ns0:v>
      </ns0:c>
      <ns0:c r="R65" s="0">
        <ns0:f>IF(AND(Bookings!G65="Pending",E65="Yes"),N65,0)</ns0:f>
        <ns0:v>0</ns0:v>
      </ns0:c>
      <ns0:c r="S65" s="0">
        <ns0:f>IF(AND(Bookings!G65="Approved",E65="No"),N65,0)</ns0:f>
        <ns0:v>0</ns0:v>
      </ns0:c>
      <ns0:c r="T65" s="0">
        <ns0:f>IFERROR(MATCH(D65,Settings!$G$7:$G$11,0),0)</ns0:f>
        <ns0:v>0</ns0:v>
      </ns0:c>
      <ns0:c r="U65" s="0">
        <ns0:f>IF(N65&gt;0,T65+IF(Bookings!G65="Pending",10,0),0)</ns0:f>
        <ns0:v>0</ns0:v>
      </ns0:c>
      <ns0:c r="V65" s="0">
        <ns0:f>U65</ns0:f>
        <ns0:v>0</ns0:v>
      </ns0:c>
      <ns0:c r="W65" s="0" t="str">
        <ns0:f>IF(C65=0,"",INDEX($AP$11:$AP$60,C65))</ns0:f>
        <ns0:v/>
      </ns0:c>
      <ns0:c r="AR65" s="0">
        <ns0:f>IFERROR(IF(ISNUMBER(Settings!F65),WEEKDAY(Settings!F65,2),0),0)</ns0:f>
        <ns0:v>0</ns0:v>
      </ns0:c>
    </ns0:row>
    <ns0:row r="66" ht="22" customHeight="1">
      <ns0:c r="A66" s="4">
        <ns0:f>IF(COUNTA(Bookings!A66:G66,Bookings!I66)=0,0,1)</ns0:f>
        <ns0:v>0</ns0:v>
      </ns0:c>
      <ns0:c r="B66" s="4" t="str">
        <ns0:f>IFERROR(TRIM(MID(Bookings!A66,FIND(" · ",Bookings!A66)+3,99)),"")</ns0:f>
        <ns0:v/>
      </ns0:c>
      <ns0:c r="C66" s="4">
        <ns0:f>IF(OR(B66="",LEN(B66)&gt;24,ISNUMBER(FIND(" ",B66)),ISNUMBER(FIND("*",B66)),ISNUMBER(FIND("?",B66)),ISNUMBER(FIND("~",B66))),0,IFERROR(MATCH(B66,Team!$A$11:$A$60,0),0))</ns0:f>
        <ns0:v>0</ns0:v>
      </ns0:c>
      <ns0:c r="D66" s="4" t="str">
        <ns0:f>IFERROR(IF(MID(Bookings!F66,LEN(Bookings!F66)-3,3)=" · ",RIGHT(Bookings!F66,1),""),"")</ns0:f>
        <ns0:v/>
      </ns0:c>
      <ns0:c r="E66" s="4" t="str">
        <ns0:f>IFERROR(INDEX(Settings!$H$7:$H$11,MATCH(D66,Settings!$G$7:$G$11,0)),"")</ns0:f>
        <ns0:v/>
      </ns0:c>
      <ns0:c r="F66" s="4" t="str">
        <ns0:f>IF(A66=0,"",IFERROR(IF(OR(B66="",C66=0),"CHECK employee selection",IF(INDEX(Team!$O$11:$O$60,C66)&lt;&gt;"OK","CHECK employee setup",IF(OR('_Dates'!J66=0,'_Dates'!T66=0),"CHECK date: use DD.MM.YYYY",IF('_Dates'!T66&lt;'_Dates'!J66,"CHECK end before start",IF(AND($B$6=0,OR('_Dates'!J66&lt;Settings!$B$7,'_Dates'!T66&gt;Settings!$B$8)),"CHECK split across leave years",IF(OR(NOT(OR('_Dates'!U66="Full day",'_Dates'!U66="AM",'_Dates'!U66="PM")),NOT(OR('_Dates'!V66="Full day",'_Dates'!V66="AM",'_Dates'!V66="PM"))),"CHECK Full day / AM / PM",IF(AND('_Dates'!J66='_Dates'!T66,'_Dates'!U66&lt;&gt;"Full day",'_Dates'!V66&lt;&gt;"Full day",'_Dates'!U66&lt;&gt;'_Dates'!V66),"CHECK same-day portions disagree",IF(AND($B$6=0,OR(AND('_Dates'!U66&lt;&gt;"Full day",'_Dates'!AA66=0),AND('_Dates'!V66&lt;&gt;"Full day",'_Dates'!AB66=0))),"CHECK half-day on non-working date",IF(COUNTIF(Settings!$G$7:$G$11,D66)&lt;&gt;1,"CHECK leave type",IF(AND(Bookings!G66&lt;&gt;"Approved",Bookings!G66&lt;&gt;"Pending",Bookings!G66&lt;&gt;"Cancelled"),"CHECK status","OK")))))))))),"CHECK input"))</ns0:f>
        <ns0:v/>
      </ns0:c>
      <ns0:c r="G66" s="4">
        <ns0:f>IF(OR(F66&lt;&gt;"OK",$B$6&gt;0),0,0.5*(IF(('_Dates'!X66)&lt;('_Dates'!W66),0,INT((('_Dates'!X66)-('_Dates'!W66)+1)/7)*LEN(SUBSTITUTE(W66,"O",""))+LEN(SUBSTITUTE(MID(W66&amp;W66,WEEKDAY(('_Dates'!W66),2),MOD((('_Dates'!X66)-('_Dates'!W66)+1),7)),"O",""))-COUNTIFS(INDEX(AllClosureRows,C66,0),"&gt;="&amp;('_Dates'!W66),INDEX(AllClosureRows,C66,0),"&lt;="&amp;('_Dates'!X66)))+IF(('_Dates'!Z66)&lt;('_Dates'!Y66),0,INT((('_Dates'!Z66)-('_Dates'!Y66)+1)/7)*LEN(SUBSTITUTE(W66,"O",""))+LEN(SUBSTITUTE(MID(W66&amp;W66,WEEKDAY(('_Dates'!Y66),2),MOD((('_Dates'!Z66)-('_Dates'!Y66)+1),7)),"O",""))-COUNTIFS(INDEX(AllClosureRows,C66,0),"&gt;="&amp;('_Dates'!Y66),INDEX(AllClosureRows,C66,0),"&lt;="&amp;('_Dates'!Z66)))))</ns0:f>
        <ns0:v>0</ns0:v>
      </ns0:c>
      <ns0:c r="H66" s="4">
        <ns0:f>IF(OR(F66&lt;&gt;"OK",$B$6&gt;0),0,0.5*(IF((MIN('_Dates'!X66,Settings!$B$9))&lt;('_Dates'!W66),0,INT(((MIN('_Dates'!X66,Settings!$B$9))-('_Dates'!W66)+1)/7)*LEN(SUBSTITUTE(W66,"O",""))+LEN(SUBSTITUTE(MID(W66&amp;W66,WEEKDAY(('_Dates'!W66),2),MOD(((MIN('_Dates'!X66,Settings!$B$9))-('_Dates'!W66)+1),7)),"O",""))-COUNTIFS(INDEX(AllClosureRows,C66,0),"&gt;="&amp;('_Dates'!W66),INDEX(AllClosureRows,C66,0),"&lt;="&amp;(MIN('_Dates'!X66,Settings!$B$9))))+IF((MIN('_Dates'!Z66,Settings!$B$9))&lt;('_Dates'!Y66),0,INT(((MIN('_Dates'!Z66,Settings!$B$9))-('_Dates'!Y66)+1)/7)*LEN(SUBSTITUTE(W66,"O",""))+LEN(SUBSTITUTE(MID(W66&amp;W66,WEEKDAY(('_Dates'!Y66),2),MOD(((MIN('_Dates'!Z66,Settings!$B$9))-('_Dates'!Y66)+1),7)),"O",""))-COUNTIFS(INDEX(AllClosureRows,C66,0),"&gt;="&amp;('_Dates'!Y66),INDEX(AllClosureRows,C66,0),"&lt;="&amp;(MIN('_Dates'!Z66,Settings!$B$9))))))</ns0:f>
        <ns0:v>0</ns0:v>
      </ns0:c>
      <ns0:c r="I66" s="4">
        <ns0:f>MAX(0,G66-H66)</ns0:f>
        <ns0:v>0</ns0:v>
      </ns0:c>
      <ns0:c r="J66" s="4">
        <ns0:f>IF(OR(A66=0,F66&lt;&gt;"OK",Bookings!G66="Cancelled",$B$6&gt;0),0,IF('_Dates'!AC66=1,MAX(0,COUNTIFS(rngEngine_B,B66,rngAMStart,"&lt;="&amp;'_Dates'!X66,rngAMEnd,"&gt;="&amp;'_Dates'!W66,rngAMActive,1,rngEngine_F,"OK",rngBookings_F,"&lt;&gt;Cancelled")-1),0)+IF('_Dates'!AD66=1,MAX(0,COUNTIFS(rngEngine_B,B66,rngPMStart,"&lt;="&amp;'_Dates'!Z66,rngPMEnd,"&gt;="&amp;'_Dates'!Y66,rngPMActive,1,rngEngine_F,"OK",rngBookings_F,"&lt;&gt;Cancelled")-1),0))</ns0:f>
        <ns0:v>0</ns0:v>
      </ns0:c>
      <ns0:c r="K66" s="0" t="str">
        <ns0:f>IF(A66=0,"",IF(F66&lt;&gt;"OK",F66,IF(J66&gt;0,"CHECK overlapping entry",IF(AND($B$6=0,G66&lt;=0,Bookings!G66&lt;&gt;"Cancelled"),"CHECK no working days",IF(Bookings!G66="Cancelled","Cancelled","OK")))))</ns0:f>
        <ns0:v/>
      </ns0:c>
      <ns0:c r="L66" s="0">
        <ns0:f>IF(LEFT(K66,5)="CHECK",1,0)</ns0:f>
        <ns0:v>0</ns0:v>
      </ns0:c>
      <ns0:c r="M66" s="0">
        <ns0:f>IF(AND(L66=1,OR(C66=0,IFERROR(INDEX($X$11:$X$60,C66),0)=0)),1,0)</ns0:f>
        <ns0:v>0</ns0:v>
      </ns0:c>
      <ns0:c r="N66" s="0">
        <ns0:f>IF(OR(A66=0,L66&gt;0,$B$6&gt;0,Bookings!G66="Cancelled"),0,G66)</ns0:f>
        <ns0:v>0</ns0:v>
      </ns0:c>
      <ns0:c r="O66" s="0">
        <ns0:f>IF(AND(Bookings!G66="Approved",E66="Yes"),N66,0)</ns0:f>
        <ns0:v>0</ns0:v>
      </ns0:c>
      <ns0:c r="P66" s="0">
        <ns0:f>IF(AND(Bookings!G66="Approved",E66="Yes",L66=0,$B$6=0),H66,0)</ns0:f>
        <ns0:v>0</ns0:v>
      </ns0:c>
      <ns0:c r="Q66" s="0">
        <ns0:f>IF(AND(Bookings!G66="Approved",E66="Yes",L66=0,$B$6=0),I66,0)</ns0:f>
        <ns0:v>0</ns0:v>
      </ns0:c>
      <ns0:c r="R66" s="0">
        <ns0:f>IF(AND(Bookings!G66="Pending",E66="Yes"),N66,0)</ns0:f>
        <ns0:v>0</ns0:v>
      </ns0:c>
      <ns0:c r="S66" s="0">
        <ns0:f>IF(AND(Bookings!G66="Approved",E66="No"),N66,0)</ns0:f>
        <ns0:v>0</ns0:v>
      </ns0:c>
      <ns0:c r="T66" s="0">
        <ns0:f>IFERROR(MATCH(D66,Settings!$G$7:$G$11,0),0)</ns0:f>
        <ns0:v>0</ns0:v>
      </ns0:c>
      <ns0:c r="U66" s="0">
        <ns0:f>IF(N66&gt;0,T66+IF(Bookings!G66="Pending",10,0),0)</ns0:f>
        <ns0:v>0</ns0:v>
      </ns0:c>
      <ns0:c r="V66" s="0">
        <ns0:f>U66</ns0:f>
        <ns0:v>0</ns0:v>
      </ns0:c>
      <ns0:c r="W66" s="0" t="str">
        <ns0:f>IF(C66=0,"",INDEX($AP$11:$AP$60,C66))</ns0:f>
        <ns0:v/>
      </ns0:c>
      <ns0:c r="AR66" s="0">
        <ns0:f>IFERROR(IF(ISNUMBER(Settings!F66),WEEKDAY(Settings!F66,2),0),0)</ns0:f>
        <ns0:v>0</ns0:v>
      </ns0:c>
    </ns0:row>
    <ns0:row r="67" ht="22" customHeight="1">
      <ns0:c r="A67" s="4">
        <ns0:f>IF(COUNTA(Bookings!A67:G67,Bookings!I67)=0,0,1)</ns0:f>
        <ns0:v>0</ns0:v>
      </ns0:c>
      <ns0:c r="B67" s="4" t="str">
        <ns0:f>IFERROR(TRIM(MID(Bookings!A67,FIND(" · ",Bookings!A67)+3,99)),"")</ns0:f>
        <ns0:v/>
      </ns0:c>
      <ns0:c r="C67" s="4">
        <ns0:f>IF(OR(B67="",LEN(B67)&gt;24,ISNUMBER(FIND(" ",B67)),ISNUMBER(FIND("*",B67)),ISNUMBER(FIND("?",B67)),ISNUMBER(FIND("~",B67))),0,IFERROR(MATCH(B67,Team!$A$11:$A$60,0),0))</ns0:f>
        <ns0:v>0</ns0:v>
      </ns0:c>
      <ns0:c r="D67" s="4" t="str">
        <ns0:f>IFERROR(IF(MID(Bookings!F67,LEN(Bookings!F67)-3,3)=" · ",RIGHT(Bookings!F67,1),""),"")</ns0:f>
        <ns0:v/>
      </ns0:c>
      <ns0:c r="E67" s="4" t="str">
        <ns0:f>IFERROR(INDEX(Settings!$H$7:$H$11,MATCH(D67,Settings!$G$7:$G$11,0)),"")</ns0:f>
        <ns0:v/>
      </ns0:c>
      <ns0:c r="F67" s="4" t="str">
        <ns0:f>IF(A67=0,"",IFERROR(IF(OR(B67="",C67=0),"CHECK employee selection",IF(INDEX(Team!$O$11:$O$60,C67)&lt;&gt;"OK","CHECK employee setup",IF(OR('_Dates'!J67=0,'_Dates'!T67=0),"CHECK date: use DD.MM.YYYY",IF('_Dates'!T67&lt;'_Dates'!J67,"CHECK end before start",IF(AND($B$6=0,OR('_Dates'!J67&lt;Settings!$B$7,'_Dates'!T67&gt;Settings!$B$8)),"CHECK split across leave years",IF(OR(NOT(OR('_Dates'!U67="Full day",'_Dates'!U67="AM",'_Dates'!U67="PM")),NOT(OR('_Dates'!V67="Full day",'_Dates'!V67="AM",'_Dates'!V67="PM"))),"CHECK Full day / AM / PM",IF(AND('_Dates'!J67='_Dates'!T67,'_Dates'!U67&lt;&gt;"Full day",'_Dates'!V67&lt;&gt;"Full day",'_Dates'!U67&lt;&gt;'_Dates'!V67),"CHECK same-day portions disagree",IF(AND($B$6=0,OR(AND('_Dates'!U67&lt;&gt;"Full day",'_Dates'!AA67=0),AND('_Dates'!V67&lt;&gt;"Full day",'_Dates'!AB67=0))),"CHECK half-day on non-working date",IF(COUNTIF(Settings!$G$7:$G$11,D67)&lt;&gt;1,"CHECK leave type",IF(AND(Bookings!G67&lt;&gt;"Approved",Bookings!G67&lt;&gt;"Pending",Bookings!G67&lt;&gt;"Cancelled"),"CHECK status","OK")))))))))),"CHECK input"))</ns0:f>
        <ns0:v/>
      </ns0:c>
      <ns0:c r="G67" s="4">
        <ns0:f>IF(OR(F67&lt;&gt;"OK",$B$6&gt;0),0,0.5*(IF(('_Dates'!X67)&lt;('_Dates'!W67),0,INT((('_Dates'!X67)-('_Dates'!W67)+1)/7)*LEN(SUBSTITUTE(W67,"O",""))+LEN(SUBSTITUTE(MID(W67&amp;W67,WEEKDAY(('_Dates'!W67),2),MOD((('_Dates'!X67)-('_Dates'!W67)+1),7)),"O",""))-COUNTIFS(INDEX(AllClosureRows,C67,0),"&gt;="&amp;('_Dates'!W67),INDEX(AllClosureRows,C67,0),"&lt;="&amp;('_Dates'!X67)))+IF(('_Dates'!Z67)&lt;('_Dates'!Y67),0,INT((('_Dates'!Z67)-('_Dates'!Y67)+1)/7)*LEN(SUBSTITUTE(W67,"O",""))+LEN(SUBSTITUTE(MID(W67&amp;W67,WEEKDAY(('_Dates'!Y67),2),MOD((('_Dates'!Z67)-('_Dates'!Y67)+1),7)),"O",""))-COUNTIFS(INDEX(AllClosureRows,C67,0),"&gt;="&amp;('_Dates'!Y67),INDEX(AllClosureRows,C67,0),"&lt;="&amp;('_Dates'!Z67)))))</ns0:f>
        <ns0:v>0</ns0:v>
      </ns0:c>
      <ns0:c r="H67" s="4">
        <ns0:f>IF(OR(F67&lt;&gt;"OK",$B$6&gt;0),0,0.5*(IF((MIN('_Dates'!X67,Settings!$B$9))&lt;('_Dates'!W67),0,INT(((MIN('_Dates'!X67,Settings!$B$9))-('_Dates'!W67)+1)/7)*LEN(SUBSTITUTE(W67,"O",""))+LEN(SUBSTITUTE(MID(W67&amp;W67,WEEKDAY(('_Dates'!W67),2),MOD(((MIN('_Dates'!X67,Settings!$B$9))-('_Dates'!W67)+1),7)),"O",""))-COUNTIFS(INDEX(AllClosureRows,C67,0),"&gt;="&amp;('_Dates'!W67),INDEX(AllClosureRows,C67,0),"&lt;="&amp;(MIN('_Dates'!X67,Settings!$B$9))))+IF((MIN('_Dates'!Z67,Settings!$B$9))&lt;('_Dates'!Y67),0,INT(((MIN('_Dates'!Z67,Settings!$B$9))-('_Dates'!Y67)+1)/7)*LEN(SUBSTITUTE(W67,"O",""))+LEN(SUBSTITUTE(MID(W67&amp;W67,WEEKDAY(('_Dates'!Y67),2),MOD(((MIN('_Dates'!Z67,Settings!$B$9))-('_Dates'!Y67)+1),7)),"O",""))-COUNTIFS(INDEX(AllClosureRows,C67,0),"&gt;="&amp;('_Dates'!Y67),INDEX(AllClosureRows,C67,0),"&lt;="&amp;(MIN('_Dates'!Z67,Settings!$B$9))))))</ns0:f>
        <ns0:v>0</ns0:v>
      </ns0:c>
      <ns0:c r="I67" s="4">
        <ns0:f>MAX(0,G67-H67)</ns0:f>
        <ns0:v>0</ns0:v>
      </ns0:c>
      <ns0:c r="J67" s="4">
        <ns0:f>IF(OR(A67=0,F67&lt;&gt;"OK",Bookings!G67="Cancelled",$B$6&gt;0),0,IF('_Dates'!AC67=1,MAX(0,COUNTIFS(rngEngine_B,B67,rngAMStart,"&lt;="&amp;'_Dates'!X67,rngAMEnd,"&gt;="&amp;'_Dates'!W67,rngAMActive,1,rngEngine_F,"OK",rngBookings_F,"&lt;&gt;Cancelled")-1),0)+IF('_Dates'!AD67=1,MAX(0,COUNTIFS(rngEngine_B,B67,rngPMStart,"&lt;="&amp;'_Dates'!Z67,rngPMEnd,"&gt;="&amp;'_Dates'!Y67,rngPMActive,1,rngEngine_F,"OK",rngBookings_F,"&lt;&gt;Cancelled")-1),0))</ns0:f>
        <ns0:v>0</ns0:v>
      </ns0:c>
      <ns0:c r="K67" s="0" t="str">
        <ns0:f>IF(A67=0,"",IF(F67&lt;&gt;"OK",F67,IF(J67&gt;0,"CHECK overlapping entry",IF(AND($B$6=0,G67&lt;=0,Bookings!G67&lt;&gt;"Cancelled"),"CHECK no working days",IF(Bookings!G67="Cancelled","Cancelled","OK")))))</ns0:f>
        <ns0:v/>
      </ns0:c>
      <ns0:c r="L67" s="0">
        <ns0:f>IF(LEFT(K67,5)="CHECK",1,0)</ns0:f>
        <ns0:v>0</ns0:v>
      </ns0:c>
      <ns0:c r="M67" s="0">
        <ns0:f>IF(AND(L67=1,OR(C67=0,IFERROR(INDEX($X$11:$X$60,C67),0)=0)),1,0)</ns0:f>
        <ns0:v>0</ns0:v>
      </ns0:c>
      <ns0:c r="N67" s="0">
        <ns0:f>IF(OR(A67=0,L67&gt;0,$B$6&gt;0,Bookings!G67="Cancelled"),0,G67)</ns0:f>
        <ns0:v>0</ns0:v>
      </ns0:c>
      <ns0:c r="O67" s="0">
        <ns0:f>IF(AND(Bookings!G67="Approved",E67="Yes"),N67,0)</ns0:f>
        <ns0:v>0</ns0:v>
      </ns0:c>
      <ns0:c r="P67" s="0">
        <ns0:f>IF(AND(Bookings!G67="Approved",E67="Yes",L67=0,$B$6=0),H67,0)</ns0:f>
        <ns0:v>0</ns0:v>
      </ns0:c>
      <ns0:c r="Q67" s="0">
        <ns0:f>IF(AND(Bookings!G67="Approved",E67="Yes",L67=0,$B$6=0),I67,0)</ns0:f>
        <ns0:v>0</ns0:v>
      </ns0:c>
      <ns0:c r="R67" s="0">
        <ns0:f>IF(AND(Bookings!G67="Pending",E67="Yes"),N67,0)</ns0:f>
        <ns0:v>0</ns0:v>
      </ns0:c>
      <ns0:c r="S67" s="0">
        <ns0:f>IF(AND(Bookings!G67="Approved",E67="No"),N67,0)</ns0:f>
        <ns0:v>0</ns0:v>
      </ns0:c>
      <ns0:c r="T67" s="0">
        <ns0:f>IFERROR(MATCH(D67,Settings!$G$7:$G$11,0),0)</ns0:f>
        <ns0:v>0</ns0:v>
      </ns0:c>
      <ns0:c r="U67" s="0">
        <ns0:f>IF(N67&gt;0,T67+IF(Bookings!G67="Pending",10,0),0)</ns0:f>
        <ns0:v>0</ns0:v>
      </ns0:c>
      <ns0:c r="V67" s="0">
        <ns0:f>U67</ns0:f>
        <ns0:v>0</ns0:v>
      </ns0:c>
      <ns0:c r="W67" s="0" t="str">
        <ns0:f>IF(C67=0,"",INDEX($AP$11:$AP$60,C67))</ns0:f>
        <ns0:v/>
      </ns0:c>
      <ns0:c r="AR67" s="0">
        <ns0:f>IFERROR(IF(ISNUMBER(Settings!F67),WEEKDAY(Settings!F67,2),0),0)</ns0:f>
        <ns0:v>0</ns0:v>
      </ns0:c>
    </ns0:row>
    <ns0:row r="68" ht="22" customHeight="1">
      <ns0:c r="A68" s="4">
        <ns0:f>IF(COUNTA(Bookings!A68:G68,Bookings!I68)=0,0,1)</ns0:f>
        <ns0:v>0</ns0:v>
      </ns0:c>
      <ns0:c r="B68" s="4" t="str">
        <ns0:f>IFERROR(TRIM(MID(Bookings!A68,FIND(" · ",Bookings!A68)+3,99)),"")</ns0:f>
        <ns0:v/>
      </ns0:c>
      <ns0:c r="C68" s="4">
        <ns0:f>IF(OR(B68="",LEN(B68)&gt;24,ISNUMBER(FIND(" ",B68)),ISNUMBER(FIND("*",B68)),ISNUMBER(FIND("?",B68)),ISNUMBER(FIND("~",B68))),0,IFERROR(MATCH(B68,Team!$A$11:$A$60,0),0))</ns0:f>
        <ns0:v>0</ns0:v>
      </ns0:c>
      <ns0:c r="D68" s="4" t="str">
        <ns0:f>IFERROR(IF(MID(Bookings!F68,LEN(Bookings!F68)-3,3)=" · ",RIGHT(Bookings!F68,1),""),"")</ns0:f>
        <ns0:v/>
      </ns0:c>
      <ns0:c r="E68" s="4" t="str">
        <ns0:f>IFERROR(INDEX(Settings!$H$7:$H$11,MATCH(D68,Settings!$G$7:$G$11,0)),"")</ns0:f>
        <ns0:v/>
      </ns0:c>
      <ns0:c r="F68" s="4" t="str">
        <ns0:f>IF(A68=0,"",IFERROR(IF(OR(B68="",C68=0),"CHECK employee selection",IF(INDEX(Team!$O$11:$O$60,C68)&lt;&gt;"OK","CHECK employee setup",IF(OR('_Dates'!J68=0,'_Dates'!T68=0),"CHECK date: use DD.MM.YYYY",IF('_Dates'!T68&lt;'_Dates'!J68,"CHECK end before start",IF(AND($B$6=0,OR('_Dates'!J68&lt;Settings!$B$7,'_Dates'!T68&gt;Settings!$B$8)),"CHECK split across leave years",IF(OR(NOT(OR('_Dates'!U68="Full day",'_Dates'!U68="AM",'_Dates'!U68="PM")),NOT(OR('_Dates'!V68="Full day",'_Dates'!V68="AM",'_Dates'!V68="PM"))),"CHECK Full day / AM / PM",IF(AND('_Dates'!J68='_Dates'!T68,'_Dates'!U68&lt;&gt;"Full day",'_Dates'!V68&lt;&gt;"Full day",'_Dates'!U68&lt;&gt;'_Dates'!V68),"CHECK same-day portions disagree",IF(AND($B$6=0,OR(AND('_Dates'!U68&lt;&gt;"Full day",'_Dates'!AA68=0),AND('_Dates'!V68&lt;&gt;"Full day",'_Dates'!AB68=0))),"CHECK half-day on non-working date",IF(COUNTIF(Settings!$G$7:$G$11,D68)&lt;&gt;1,"CHECK leave type",IF(AND(Bookings!G68&lt;&gt;"Approved",Bookings!G68&lt;&gt;"Pending",Bookings!G68&lt;&gt;"Cancelled"),"CHECK status","OK")))))))))),"CHECK input"))</ns0:f>
        <ns0:v/>
      </ns0:c>
      <ns0:c r="G68" s="4">
        <ns0:f>IF(OR(F68&lt;&gt;"OK",$B$6&gt;0),0,0.5*(IF(('_Dates'!X68)&lt;('_Dates'!W68),0,INT((('_Dates'!X68)-('_Dates'!W68)+1)/7)*LEN(SUBSTITUTE(W68,"O",""))+LEN(SUBSTITUTE(MID(W68&amp;W68,WEEKDAY(('_Dates'!W68),2),MOD((('_Dates'!X68)-('_Dates'!W68)+1),7)),"O",""))-COUNTIFS(INDEX(AllClosureRows,C68,0),"&gt;="&amp;('_Dates'!W68),INDEX(AllClosureRows,C68,0),"&lt;="&amp;('_Dates'!X68)))+IF(('_Dates'!Z68)&lt;('_Dates'!Y68),0,INT((('_Dates'!Z68)-('_Dates'!Y68)+1)/7)*LEN(SUBSTITUTE(W68,"O",""))+LEN(SUBSTITUTE(MID(W68&amp;W68,WEEKDAY(('_Dates'!Y68),2),MOD((('_Dates'!Z68)-('_Dates'!Y68)+1),7)),"O",""))-COUNTIFS(INDEX(AllClosureRows,C68,0),"&gt;="&amp;('_Dates'!Y68),INDEX(AllClosureRows,C68,0),"&lt;="&amp;('_Dates'!Z68)))))</ns0:f>
        <ns0:v>0</ns0:v>
      </ns0:c>
      <ns0:c r="H68" s="4">
        <ns0:f>IF(OR(F68&lt;&gt;"OK",$B$6&gt;0),0,0.5*(IF((MIN('_Dates'!X68,Settings!$B$9))&lt;('_Dates'!W68),0,INT(((MIN('_Dates'!X68,Settings!$B$9))-('_Dates'!W68)+1)/7)*LEN(SUBSTITUTE(W68,"O",""))+LEN(SUBSTITUTE(MID(W68&amp;W68,WEEKDAY(('_Dates'!W68),2),MOD(((MIN('_Dates'!X68,Settings!$B$9))-('_Dates'!W68)+1),7)),"O",""))-COUNTIFS(INDEX(AllClosureRows,C68,0),"&gt;="&amp;('_Dates'!W68),INDEX(AllClosureRows,C68,0),"&lt;="&amp;(MIN('_Dates'!X68,Settings!$B$9))))+IF((MIN('_Dates'!Z68,Settings!$B$9))&lt;('_Dates'!Y68),0,INT(((MIN('_Dates'!Z68,Settings!$B$9))-('_Dates'!Y68)+1)/7)*LEN(SUBSTITUTE(W68,"O",""))+LEN(SUBSTITUTE(MID(W68&amp;W68,WEEKDAY(('_Dates'!Y68),2),MOD(((MIN('_Dates'!Z68,Settings!$B$9))-('_Dates'!Y68)+1),7)),"O",""))-COUNTIFS(INDEX(AllClosureRows,C68,0),"&gt;="&amp;('_Dates'!Y68),INDEX(AllClosureRows,C68,0),"&lt;="&amp;(MIN('_Dates'!Z68,Settings!$B$9))))))</ns0:f>
        <ns0:v>0</ns0:v>
      </ns0:c>
      <ns0:c r="I68" s="4">
        <ns0:f>MAX(0,G68-H68)</ns0:f>
        <ns0:v>0</ns0:v>
      </ns0:c>
      <ns0:c r="J68" s="4">
        <ns0:f>IF(OR(A68=0,F68&lt;&gt;"OK",Bookings!G68="Cancelled",$B$6&gt;0),0,IF('_Dates'!AC68=1,MAX(0,COUNTIFS(rngEngine_B,B68,rngAMStart,"&lt;="&amp;'_Dates'!X68,rngAMEnd,"&gt;="&amp;'_Dates'!W68,rngAMActive,1,rngEngine_F,"OK",rngBookings_F,"&lt;&gt;Cancelled")-1),0)+IF('_Dates'!AD68=1,MAX(0,COUNTIFS(rngEngine_B,B68,rngPMStart,"&lt;="&amp;'_Dates'!Z68,rngPMEnd,"&gt;="&amp;'_Dates'!Y68,rngPMActive,1,rngEngine_F,"OK",rngBookings_F,"&lt;&gt;Cancelled")-1),0))</ns0:f>
        <ns0:v>0</ns0:v>
      </ns0:c>
      <ns0:c r="K68" s="0" t="str">
        <ns0:f>IF(A68=0,"",IF(F68&lt;&gt;"OK",F68,IF(J68&gt;0,"CHECK overlapping entry",IF(AND($B$6=0,G68&lt;=0,Bookings!G68&lt;&gt;"Cancelled"),"CHECK no working days",IF(Bookings!G68="Cancelled","Cancelled","OK")))))</ns0:f>
        <ns0:v/>
      </ns0:c>
      <ns0:c r="L68" s="0">
        <ns0:f>IF(LEFT(K68,5)="CHECK",1,0)</ns0:f>
        <ns0:v>0</ns0:v>
      </ns0:c>
      <ns0:c r="M68" s="0">
        <ns0:f>IF(AND(L68=1,OR(C68=0,IFERROR(INDEX($X$11:$X$60,C68),0)=0)),1,0)</ns0:f>
        <ns0:v>0</ns0:v>
      </ns0:c>
      <ns0:c r="N68" s="0">
        <ns0:f>IF(OR(A68=0,L68&gt;0,$B$6&gt;0,Bookings!G68="Cancelled"),0,G68)</ns0:f>
        <ns0:v>0</ns0:v>
      </ns0:c>
      <ns0:c r="O68" s="0">
        <ns0:f>IF(AND(Bookings!G68="Approved",E68="Yes"),N68,0)</ns0:f>
        <ns0:v>0</ns0:v>
      </ns0:c>
      <ns0:c r="P68" s="0">
        <ns0:f>IF(AND(Bookings!G68="Approved",E68="Yes",L68=0,$B$6=0),H68,0)</ns0:f>
        <ns0:v>0</ns0:v>
      </ns0:c>
      <ns0:c r="Q68" s="0">
        <ns0:f>IF(AND(Bookings!G68="Approved",E68="Yes",L68=0,$B$6=0),I68,0)</ns0:f>
        <ns0:v>0</ns0:v>
      </ns0:c>
      <ns0:c r="R68" s="0">
        <ns0:f>IF(AND(Bookings!G68="Pending",E68="Yes"),N68,0)</ns0:f>
        <ns0:v>0</ns0:v>
      </ns0:c>
      <ns0:c r="S68" s="0">
        <ns0:f>IF(AND(Bookings!G68="Approved",E68="No"),N68,0)</ns0:f>
        <ns0:v>0</ns0:v>
      </ns0:c>
      <ns0:c r="T68" s="0">
        <ns0:f>IFERROR(MATCH(D68,Settings!$G$7:$G$11,0),0)</ns0:f>
        <ns0:v>0</ns0:v>
      </ns0:c>
      <ns0:c r="U68" s="0">
        <ns0:f>IF(N68&gt;0,T68+IF(Bookings!G68="Pending",10,0),0)</ns0:f>
        <ns0:v>0</ns0:v>
      </ns0:c>
      <ns0:c r="V68" s="0">
        <ns0:f>U68</ns0:f>
        <ns0:v>0</ns0:v>
      </ns0:c>
      <ns0:c r="W68" s="0" t="str">
        <ns0:f>IF(C68=0,"",INDEX($AP$11:$AP$60,C68))</ns0:f>
        <ns0:v/>
      </ns0:c>
    </ns0:row>
    <ns0:row r="69" ht="22" customHeight="1">
      <ns0:c r="A69" s="4">
        <ns0:f>IF(COUNTA(Bookings!A69:G69,Bookings!I69)=0,0,1)</ns0:f>
        <ns0:v>0</ns0:v>
      </ns0:c>
      <ns0:c r="B69" s="4" t="str">
        <ns0:f>IFERROR(TRIM(MID(Bookings!A69,FIND(" · ",Bookings!A69)+3,99)),"")</ns0:f>
        <ns0:v/>
      </ns0:c>
      <ns0:c r="C69" s="4">
        <ns0:f>IF(OR(B69="",LEN(B69)&gt;24,ISNUMBER(FIND(" ",B69)),ISNUMBER(FIND("*",B69)),ISNUMBER(FIND("?",B69)),ISNUMBER(FIND("~",B69))),0,IFERROR(MATCH(B69,Team!$A$11:$A$60,0),0))</ns0:f>
        <ns0:v>0</ns0:v>
      </ns0:c>
      <ns0:c r="D69" s="4" t="str">
        <ns0:f>IFERROR(IF(MID(Bookings!F69,LEN(Bookings!F69)-3,3)=" · ",RIGHT(Bookings!F69,1),""),"")</ns0:f>
        <ns0:v/>
      </ns0:c>
      <ns0:c r="E69" s="4" t="str">
        <ns0:f>IFERROR(INDEX(Settings!$H$7:$H$11,MATCH(D69,Settings!$G$7:$G$11,0)),"")</ns0:f>
        <ns0:v/>
      </ns0:c>
      <ns0:c r="F69" s="4" t="str">
        <ns0:f>IF(A69=0,"",IFERROR(IF(OR(B69="",C69=0),"CHECK employee selection",IF(INDEX(Team!$O$11:$O$60,C69)&lt;&gt;"OK","CHECK employee setup",IF(OR('_Dates'!J69=0,'_Dates'!T69=0),"CHECK date: use DD.MM.YYYY",IF('_Dates'!T69&lt;'_Dates'!J69,"CHECK end before start",IF(AND($B$6=0,OR('_Dates'!J69&lt;Settings!$B$7,'_Dates'!T69&gt;Settings!$B$8)),"CHECK split across leave years",IF(OR(NOT(OR('_Dates'!U69="Full day",'_Dates'!U69="AM",'_Dates'!U69="PM")),NOT(OR('_Dates'!V69="Full day",'_Dates'!V69="AM",'_Dates'!V69="PM"))),"CHECK Full day / AM / PM",IF(AND('_Dates'!J69='_Dates'!T69,'_Dates'!U69&lt;&gt;"Full day",'_Dates'!V69&lt;&gt;"Full day",'_Dates'!U69&lt;&gt;'_Dates'!V69),"CHECK same-day portions disagree",IF(AND($B$6=0,OR(AND('_Dates'!U69&lt;&gt;"Full day",'_Dates'!AA69=0),AND('_Dates'!V69&lt;&gt;"Full day",'_Dates'!AB69=0))),"CHECK half-day on non-working date",IF(COUNTIF(Settings!$G$7:$G$11,D69)&lt;&gt;1,"CHECK leave type",IF(AND(Bookings!G69&lt;&gt;"Approved",Bookings!G69&lt;&gt;"Pending",Bookings!G69&lt;&gt;"Cancelled"),"CHECK status","OK")))))))))),"CHECK input"))</ns0:f>
        <ns0:v/>
      </ns0:c>
      <ns0:c r="G69" s="4">
        <ns0:f>IF(OR(F69&lt;&gt;"OK",$B$6&gt;0),0,0.5*(IF(('_Dates'!X69)&lt;('_Dates'!W69),0,INT((('_Dates'!X69)-('_Dates'!W69)+1)/7)*LEN(SUBSTITUTE(W69,"O",""))+LEN(SUBSTITUTE(MID(W69&amp;W69,WEEKDAY(('_Dates'!W69),2),MOD((('_Dates'!X69)-('_Dates'!W69)+1),7)),"O",""))-COUNTIFS(INDEX(AllClosureRows,C69,0),"&gt;="&amp;('_Dates'!W69),INDEX(AllClosureRows,C69,0),"&lt;="&amp;('_Dates'!X69)))+IF(('_Dates'!Z69)&lt;('_Dates'!Y69),0,INT((('_Dates'!Z69)-('_Dates'!Y69)+1)/7)*LEN(SUBSTITUTE(W69,"O",""))+LEN(SUBSTITUTE(MID(W69&amp;W69,WEEKDAY(('_Dates'!Y69),2),MOD((('_Dates'!Z69)-('_Dates'!Y69)+1),7)),"O",""))-COUNTIFS(INDEX(AllClosureRows,C69,0),"&gt;="&amp;('_Dates'!Y69),INDEX(AllClosureRows,C69,0),"&lt;="&amp;('_Dates'!Z69)))))</ns0:f>
        <ns0:v>0</ns0:v>
      </ns0:c>
      <ns0:c r="H69" s="4">
        <ns0:f>IF(OR(F69&lt;&gt;"OK",$B$6&gt;0),0,0.5*(IF((MIN('_Dates'!X69,Settings!$B$9))&lt;('_Dates'!W69),0,INT(((MIN('_Dates'!X69,Settings!$B$9))-('_Dates'!W69)+1)/7)*LEN(SUBSTITUTE(W69,"O",""))+LEN(SUBSTITUTE(MID(W69&amp;W69,WEEKDAY(('_Dates'!W69),2),MOD(((MIN('_Dates'!X69,Settings!$B$9))-('_Dates'!W69)+1),7)),"O",""))-COUNTIFS(INDEX(AllClosureRows,C69,0),"&gt;="&amp;('_Dates'!W69),INDEX(AllClosureRows,C69,0),"&lt;="&amp;(MIN('_Dates'!X69,Settings!$B$9))))+IF((MIN('_Dates'!Z69,Settings!$B$9))&lt;('_Dates'!Y69),0,INT(((MIN('_Dates'!Z69,Settings!$B$9))-('_Dates'!Y69)+1)/7)*LEN(SUBSTITUTE(W69,"O",""))+LEN(SUBSTITUTE(MID(W69&amp;W69,WEEKDAY(('_Dates'!Y69),2),MOD(((MIN('_Dates'!Z69,Settings!$B$9))-('_Dates'!Y69)+1),7)),"O",""))-COUNTIFS(INDEX(AllClosureRows,C69,0),"&gt;="&amp;('_Dates'!Y69),INDEX(AllClosureRows,C69,0),"&lt;="&amp;(MIN('_Dates'!Z69,Settings!$B$9))))))</ns0:f>
        <ns0:v>0</ns0:v>
      </ns0:c>
      <ns0:c r="I69" s="4">
        <ns0:f>MAX(0,G69-H69)</ns0:f>
        <ns0:v>0</ns0:v>
      </ns0:c>
      <ns0:c r="J69" s="4">
        <ns0:f>IF(OR(A69=0,F69&lt;&gt;"OK",Bookings!G69="Cancelled",$B$6&gt;0),0,IF('_Dates'!AC69=1,MAX(0,COUNTIFS(rngEngine_B,B69,rngAMStart,"&lt;="&amp;'_Dates'!X69,rngAMEnd,"&gt;="&amp;'_Dates'!W69,rngAMActive,1,rngEngine_F,"OK",rngBookings_F,"&lt;&gt;Cancelled")-1),0)+IF('_Dates'!AD69=1,MAX(0,COUNTIFS(rngEngine_B,B69,rngPMStart,"&lt;="&amp;'_Dates'!Z69,rngPMEnd,"&gt;="&amp;'_Dates'!Y69,rngPMActive,1,rngEngine_F,"OK",rngBookings_F,"&lt;&gt;Cancelled")-1),0))</ns0:f>
        <ns0:v>0</ns0:v>
      </ns0:c>
      <ns0:c r="K69" s="0" t="str">
        <ns0:f>IF(A69=0,"",IF(F69&lt;&gt;"OK",F69,IF(J69&gt;0,"CHECK overlapping entry",IF(AND($B$6=0,G69&lt;=0,Bookings!G69&lt;&gt;"Cancelled"),"CHECK no working days",IF(Bookings!G69="Cancelled","Cancelled","OK")))))</ns0:f>
        <ns0:v/>
      </ns0:c>
      <ns0:c r="L69" s="0">
        <ns0:f>IF(LEFT(K69,5)="CHECK",1,0)</ns0:f>
        <ns0:v>0</ns0:v>
      </ns0:c>
      <ns0:c r="M69" s="0">
        <ns0:f>IF(AND(L69=1,OR(C69=0,IFERROR(INDEX($X$11:$X$60,C69),0)=0)),1,0)</ns0:f>
        <ns0:v>0</ns0:v>
      </ns0:c>
      <ns0:c r="N69" s="0">
        <ns0:f>IF(OR(A69=0,L69&gt;0,$B$6&gt;0,Bookings!G69="Cancelled"),0,G69)</ns0:f>
        <ns0:v>0</ns0:v>
      </ns0:c>
      <ns0:c r="O69" s="0">
        <ns0:f>IF(AND(Bookings!G69="Approved",E69="Yes"),N69,0)</ns0:f>
        <ns0:v>0</ns0:v>
      </ns0:c>
      <ns0:c r="P69" s="0">
        <ns0:f>IF(AND(Bookings!G69="Approved",E69="Yes",L69=0,$B$6=0),H69,0)</ns0:f>
        <ns0:v>0</ns0:v>
      </ns0:c>
      <ns0:c r="Q69" s="0">
        <ns0:f>IF(AND(Bookings!G69="Approved",E69="Yes",L69=0,$B$6=0),I69,0)</ns0:f>
        <ns0:v>0</ns0:v>
      </ns0:c>
      <ns0:c r="R69" s="0">
        <ns0:f>IF(AND(Bookings!G69="Pending",E69="Yes"),N69,0)</ns0:f>
        <ns0:v>0</ns0:v>
      </ns0:c>
      <ns0:c r="S69" s="0">
        <ns0:f>IF(AND(Bookings!G69="Approved",E69="No"),N69,0)</ns0:f>
        <ns0:v>0</ns0:v>
      </ns0:c>
      <ns0:c r="T69" s="0">
        <ns0:f>IFERROR(MATCH(D69,Settings!$G$7:$G$11,0),0)</ns0:f>
        <ns0:v>0</ns0:v>
      </ns0:c>
      <ns0:c r="U69" s="0">
        <ns0:f>IF(N69&gt;0,T69+IF(Bookings!G69="Pending",10,0),0)</ns0:f>
        <ns0:v>0</ns0:v>
      </ns0:c>
      <ns0:c r="V69" s="0">
        <ns0:f>U69</ns0:f>
        <ns0:v>0</ns0:v>
      </ns0:c>
      <ns0:c r="W69" s="0" t="str">
        <ns0:f>IF(C69=0,"",INDEX($AP$11:$AP$60,C69))</ns0:f>
        <ns0:v/>
      </ns0:c>
    </ns0:row>
    <ns0:row r="70" ht="22" customHeight="1">
      <ns0:c r="A70" s="4">
        <ns0:f>IF(COUNTA(Bookings!A70:G70,Bookings!I70)=0,0,1)</ns0:f>
        <ns0:v>0</ns0:v>
      </ns0:c>
      <ns0:c r="B70" s="4" t="str">
        <ns0:f>IFERROR(TRIM(MID(Bookings!A70,FIND(" · ",Bookings!A70)+3,99)),"")</ns0:f>
        <ns0:v/>
      </ns0:c>
      <ns0:c r="C70" s="4">
        <ns0:f>IF(OR(B70="",LEN(B70)&gt;24,ISNUMBER(FIND(" ",B70)),ISNUMBER(FIND("*",B70)),ISNUMBER(FIND("?",B70)),ISNUMBER(FIND("~",B70))),0,IFERROR(MATCH(B70,Team!$A$11:$A$60,0),0))</ns0:f>
        <ns0:v>0</ns0:v>
      </ns0:c>
      <ns0:c r="D70" s="4" t="str">
        <ns0:f>IFERROR(IF(MID(Bookings!F70,LEN(Bookings!F70)-3,3)=" · ",RIGHT(Bookings!F70,1),""),"")</ns0:f>
        <ns0:v/>
      </ns0:c>
      <ns0:c r="E70" s="4" t="str">
        <ns0:f>IFERROR(INDEX(Settings!$H$7:$H$11,MATCH(D70,Settings!$G$7:$G$11,0)),"")</ns0:f>
        <ns0:v/>
      </ns0:c>
      <ns0:c r="F70" s="4" t="str">
        <ns0:f>IF(A70=0,"",IFERROR(IF(OR(B70="",C70=0),"CHECK employee selection",IF(INDEX(Team!$O$11:$O$60,C70)&lt;&gt;"OK","CHECK employee setup",IF(OR('_Dates'!J70=0,'_Dates'!T70=0),"CHECK date: use DD.MM.YYYY",IF('_Dates'!T70&lt;'_Dates'!J70,"CHECK end before start",IF(AND($B$6=0,OR('_Dates'!J70&lt;Settings!$B$7,'_Dates'!T70&gt;Settings!$B$8)),"CHECK split across leave years",IF(OR(NOT(OR('_Dates'!U70="Full day",'_Dates'!U70="AM",'_Dates'!U70="PM")),NOT(OR('_Dates'!V70="Full day",'_Dates'!V70="AM",'_Dates'!V70="PM"))),"CHECK Full day / AM / PM",IF(AND('_Dates'!J70='_Dates'!T70,'_Dates'!U70&lt;&gt;"Full day",'_Dates'!V70&lt;&gt;"Full day",'_Dates'!U70&lt;&gt;'_Dates'!V70),"CHECK same-day portions disagree",IF(AND($B$6=0,OR(AND('_Dates'!U70&lt;&gt;"Full day",'_Dates'!AA70=0),AND('_Dates'!V70&lt;&gt;"Full day",'_Dates'!AB70=0))),"CHECK half-day on non-working date",IF(COUNTIF(Settings!$G$7:$G$11,D70)&lt;&gt;1,"CHECK leave type",IF(AND(Bookings!G70&lt;&gt;"Approved",Bookings!G70&lt;&gt;"Pending",Bookings!G70&lt;&gt;"Cancelled"),"CHECK status","OK")))))))))),"CHECK input"))</ns0:f>
        <ns0:v/>
      </ns0:c>
      <ns0:c r="G70" s="4">
        <ns0:f>IF(OR(F70&lt;&gt;"OK",$B$6&gt;0),0,0.5*(IF(('_Dates'!X70)&lt;('_Dates'!W70),0,INT((('_Dates'!X70)-('_Dates'!W70)+1)/7)*LEN(SUBSTITUTE(W70,"O",""))+LEN(SUBSTITUTE(MID(W70&amp;W70,WEEKDAY(('_Dates'!W70),2),MOD((('_Dates'!X70)-('_Dates'!W70)+1),7)),"O",""))-COUNTIFS(INDEX(AllClosureRows,C70,0),"&gt;="&amp;('_Dates'!W70),INDEX(AllClosureRows,C70,0),"&lt;="&amp;('_Dates'!X70)))+IF(('_Dates'!Z70)&lt;('_Dates'!Y70),0,INT((('_Dates'!Z70)-('_Dates'!Y70)+1)/7)*LEN(SUBSTITUTE(W70,"O",""))+LEN(SUBSTITUTE(MID(W70&amp;W70,WEEKDAY(('_Dates'!Y70),2),MOD((('_Dates'!Z70)-('_Dates'!Y70)+1),7)),"O",""))-COUNTIFS(INDEX(AllClosureRows,C70,0),"&gt;="&amp;('_Dates'!Y70),INDEX(AllClosureRows,C70,0),"&lt;="&amp;('_Dates'!Z70)))))</ns0:f>
        <ns0:v>0</ns0:v>
      </ns0:c>
      <ns0:c r="H70" s="4">
        <ns0:f>IF(OR(F70&lt;&gt;"OK",$B$6&gt;0),0,0.5*(IF((MIN('_Dates'!X70,Settings!$B$9))&lt;('_Dates'!W70),0,INT(((MIN('_Dates'!X70,Settings!$B$9))-('_Dates'!W70)+1)/7)*LEN(SUBSTITUTE(W70,"O",""))+LEN(SUBSTITUTE(MID(W70&amp;W70,WEEKDAY(('_Dates'!W70),2),MOD(((MIN('_Dates'!X70,Settings!$B$9))-('_Dates'!W70)+1),7)),"O",""))-COUNTIFS(INDEX(AllClosureRows,C70,0),"&gt;="&amp;('_Dates'!W70),INDEX(AllClosureRows,C70,0),"&lt;="&amp;(MIN('_Dates'!X70,Settings!$B$9))))+IF((MIN('_Dates'!Z70,Settings!$B$9))&lt;('_Dates'!Y70),0,INT(((MIN('_Dates'!Z70,Settings!$B$9))-('_Dates'!Y70)+1)/7)*LEN(SUBSTITUTE(W70,"O",""))+LEN(SUBSTITUTE(MID(W70&amp;W70,WEEKDAY(('_Dates'!Y70),2),MOD(((MIN('_Dates'!Z70,Settings!$B$9))-('_Dates'!Y70)+1),7)),"O",""))-COUNTIFS(INDEX(AllClosureRows,C70,0),"&gt;="&amp;('_Dates'!Y70),INDEX(AllClosureRows,C70,0),"&lt;="&amp;(MIN('_Dates'!Z70,Settings!$B$9))))))</ns0:f>
        <ns0:v>0</ns0:v>
      </ns0:c>
      <ns0:c r="I70" s="4">
        <ns0:f>MAX(0,G70-H70)</ns0:f>
        <ns0:v>0</ns0:v>
      </ns0:c>
      <ns0:c r="J70" s="4">
        <ns0:f>IF(OR(A70=0,F70&lt;&gt;"OK",Bookings!G70="Cancelled",$B$6&gt;0),0,IF('_Dates'!AC70=1,MAX(0,COUNTIFS(rngEngine_B,B70,rngAMStart,"&lt;="&amp;'_Dates'!X70,rngAMEnd,"&gt;="&amp;'_Dates'!W70,rngAMActive,1,rngEngine_F,"OK",rngBookings_F,"&lt;&gt;Cancelled")-1),0)+IF('_Dates'!AD70=1,MAX(0,COUNTIFS(rngEngine_B,B70,rngPMStart,"&lt;="&amp;'_Dates'!Z70,rngPMEnd,"&gt;="&amp;'_Dates'!Y70,rngPMActive,1,rngEngine_F,"OK",rngBookings_F,"&lt;&gt;Cancelled")-1),0))</ns0:f>
        <ns0:v>0</ns0:v>
      </ns0:c>
      <ns0:c r="K70" s="0" t="str">
        <ns0:f>IF(A70=0,"",IF(F70&lt;&gt;"OK",F70,IF(J70&gt;0,"CHECK overlapping entry",IF(AND($B$6=0,G70&lt;=0,Bookings!G70&lt;&gt;"Cancelled"),"CHECK no working days",IF(Bookings!G70="Cancelled","Cancelled","OK")))))</ns0:f>
        <ns0:v/>
      </ns0:c>
      <ns0:c r="L70" s="0">
        <ns0:f>IF(LEFT(K70,5)="CHECK",1,0)</ns0:f>
        <ns0:v>0</ns0:v>
      </ns0:c>
      <ns0:c r="M70" s="0">
        <ns0:f>IF(AND(L70=1,OR(C70=0,IFERROR(INDEX($X$11:$X$60,C70),0)=0)),1,0)</ns0:f>
        <ns0:v>0</ns0:v>
      </ns0:c>
      <ns0:c r="N70" s="0">
        <ns0:f>IF(OR(A70=0,L70&gt;0,$B$6&gt;0,Bookings!G70="Cancelled"),0,G70)</ns0:f>
        <ns0:v>0</ns0:v>
      </ns0:c>
      <ns0:c r="O70" s="0">
        <ns0:f>IF(AND(Bookings!G70="Approved",E70="Yes"),N70,0)</ns0:f>
        <ns0:v>0</ns0:v>
      </ns0:c>
      <ns0:c r="P70" s="0">
        <ns0:f>IF(AND(Bookings!G70="Approved",E70="Yes",L70=0,$B$6=0),H70,0)</ns0:f>
        <ns0:v>0</ns0:v>
      </ns0:c>
      <ns0:c r="Q70" s="0">
        <ns0:f>IF(AND(Bookings!G70="Approved",E70="Yes",L70=0,$B$6=0),I70,0)</ns0:f>
        <ns0:v>0</ns0:v>
      </ns0:c>
      <ns0:c r="R70" s="0">
        <ns0:f>IF(AND(Bookings!G70="Pending",E70="Yes"),N70,0)</ns0:f>
        <ns0:v>0</ns0:v>
      </ns0:c>
      <ns0:c r="S70" s="0">
        <ns0:f>IF(AND(Bookings!G70="Approved",E70="No"),N70,0)</ns0:f>
        <ns0:v>0</ns0:v>
      </ns0:c>
      <ns0:c r="T70" s="0">
        <ns0:f>IFERROR(MATCH(D70,Settings!$G$7:$G$11,0),0)</ns0:f>
        <ns0:v>0</ns0:v>
      </ns0:c>
      <ns0:c r="U70" s="0">
        <ns0:f>IF(N70&gt;0,T70+IF(Bookings!G70="Pending",10,0),0)</ns0:f>
        <ns0:v>0</ns0:v>
      </ns0:c>
      <ns0:c r="V70" s="0">
        <ns0:f>U70</ns0:f>
        <ns0:v>0</ns0:v>
      </ns0:c>
      <ns0:c r="W70" s="0" t="str">
        <ns0:f>IF(C70=0,"",INDEX($AP$11:$AP$60,C70))</ns0:f>
        <ns0:v/>
      </ns0:c>
    </ns0:row>
    <ns0:row r="71" ht="22" customHeight="1">
      <ns0:c r="A71" s="4">
        <ns0:f>IF(COUNTA(Bookings!A71:G71,Bookings!I71)=0,0,1)</ns0:f>
        <ns0:v>0</ns0:v>
      </ns0:c>
      <ns0:c r="B71" s="4" t="str">
        <ns0:f>IFERROR(TRIM(MID(Bookings!A71,FIND(" · ",Bookings!A71)+3,99)),"")</ns0:f>
        <ns0:v/>
      </ns0:c>
      <ns0:c r="C71" s="4">
        <ns0:f>IF(OR(B71="",LEN(B71)&gt;24,ISNUMBER(FIND(" ",B71)),ISNUMBER(FIND("*",B71)),ISNUMBER(FIND("?",B71)),ISNUMBER(FIND("~",B71))),0,IFERROR(MATCH(B71,Team!$A$11:$A$60,0),0))</ns0:f>
        <ns0:v>0</ns0:v>
      </ns0:c>
      <ns0:c r="D71" s="4" t="str">
        <ns0:f>IFERROR(IF(MID(Bookings!F71,LEN(Bookings!F71)-3,3)=" · ",RIGHT(Bookings!F71,1),""),"")</ns0:f>
        <ns0:v/>
      </ns0:c>
      <ns0:c r="E71" s="4" t="str">
        <ns0:f>IFERROR(INDEX(Settings!$H$7:$H$11,MATCH(D71,Settings!$G$7:$G$11,0)),"")</ns0:f>
        <ns0:v/>
      </ns0:c>
      <ns0:c r="F71" s="4" t="str">
        <ns0:f>IF(A71=0,"",IFERROR(IF(OR(B71="",C71=0),"CHECK employee selection",IF(INDEX(Team!$O$11:$O$60,C71)&lt;&gt;"OK","CHECK employee setup",IF(OR('_Dates'!J71=0,'_Dates'!T71=0),"CHECK date: use DD.MM.YYYY",IF('_Dates'!T71&lt;'_Dates'!J71,"CHECK end before start",IF(AND($B$6=0,OR('_Dates'!J71&lt;Settings!$B$7,'_Dates'!T71&gt;Settings!$B$8)),"CHECK split across leave years",IF(OR(NOT(OR('_Dates'!U71="Full day",'_Dates'!U71="AM",'_Dates'!U71="PM")),NOT(OR('_Dates'!V71="Full day",'_Dates'!V71="AM",'_Dates'!V71="PM"))),"CHECK Full day / AM / PM",IF(AND('_Dates'!J71='_Dates'!T71,'_Dates'!U71&lt;&gt;"Full day",'_Dates'!V71&lt;&gt;"Full day",'_Dates'!U71&lt;&gt;'_Dates'!V71),"CHECK same-day portions disagree",IF(AND($B$6=0,OR(AND('_Dates'!U71&lt;&gt;"Full day",'_Dates'!AA71=0),AND('_Dates'!V71&lt;&gt;"Full day",'_Dates'!AB71=0))),"CHECK half-day on non-working date",IF(COUNTIF(Settings!$G$7:$G$11,D71)&lt;&gt;1,"CHECK leave type",IF(AND(Bookings!G71&lt;&gt;"Approved",Bookings!G71&lt;&gt;"Pending",Bookings!G71&lt;&gt;"Cancelled"),"CHECK status","OK")))))))))),"CHECK input"))</ns0:f>
        <ns0:v/>
      </ns0:c>
      <ns0:c r="G71" s="4">
        <ns0:f>IF(OR(F71&lt;&gt;"OK",$B$6&gt;0),0,0.5*(IF(('_Dates'!X71)&lt;('_Dates'!W71),0,INT((('_Dates'!X71)-('_Dates'!W71)+1)/7)*LEN(SUBSTITUTE(W71,"O",""))+LEN(SUBSTITUTE(MID(W71&amp;W71,WEEKDAY(('_Dates'!W71),2),MOD((('_Dates'!X71)-('_Dates'!W71)+1),7)),"O",""))-COUNTIFS(INDEX(AllClosureRows,C71,0),"&gt;="&amp;('_Dates'!W71),INDEX(AllClosureRows,C71,0),"&lt;="&amp;('_Dates'!X71)))+IF(('_Dates'!Z71)&lt;('_Dates'!Y71),0,INT((('_Dates'!Z71)-('_Dates'!Y71)+1)/7)*LEN(SUBSTITUTE(W71,"O",""))+LEN(SUBSTITUTE(MID(W71&amp;W71,WEEKDAY(('_Dates'!Y71),2),MOD((('_Dates'!Z71)-('_Dates'!Y71)+1),7)),"O",""))-COUNTIFS(INDEX(AllClosureRows,C71,0),"&gt;="&amp;('_Dates'!Y71),INDEX(AllClosureRows,C71,0),"&lt;="&amp;('_Dates'!Z71)))))</ns0:f>
        <ns0:v>0</ns0:v>
      </ns0:c>
      <ns0:c r="H71" s="4">
        <ns0:f>IF(OR(F71&lt;&gt;"OK",$B$6&gt;0),0,0.5*(IF((MIN('_Dates'!X71,Settings!$B$9))&lt;('_Dates'!W71),0,INT(((MIN('_Dates'!X71,Settings!$B$9))-('_Dates'!W71)+1)/7)*LEN(SUBSTITUTE(W71,"O",""))+LEN(SUBSTITUTE(MID(W71&amp;W71,WEEKDAY(('_Dates'!W71),2),MOD(((MIN('_Dates'!X71,Settings!$B$9))-('_Dates'!W71)+1),7)),"O",""))-COUNTIFS(INDEX(AllClosureRows,C71,0),"&gt;="&amp;('_Dates'!W71),INDEX(AllClosureRows,C71,0),"&lt;="&amp;(MIN('_Dates'!X71,Settings!$B$9))))+IF((MIN('_Dates'!Z71,Settings!$B$9))&lt;('_Dates'!Y71),0,INT(((MIN('_Dates'!Z71,Settings!$B$9))-('_Dates'!Y71)+1)/7)*LEN(SUBSTITUTE(W71,"O",""))+LEN(SUBSTITUTE(MID(W71&amp;W71,WEEKDAY(('_Dates'!Y71),2),MOD(((MIN('_Dates'!Z71,Settings!$B$9))-('_Dates'!Y71)+1),7)),"O",""))-COUNTIFS(INDEX(AllClosureRows,C71,0),"&gt;="&amp;('_Dates'!Y71),INDEX(AllClosureRows,C71,0),"&lt;="&amp;(MIN('_Dates'!Z71,Settings!$B$9))))))</ns0:f>
        <ns0:v>0</ns0:v>
      </ns0:c>
      <ns0:c r="I71" s="4">
        <ns0:f>MAX(0,G71-H71)</ns0:f>
        <ns0:v>0</ns0:v>
      </ns0:c>
      <ns0:c r="J71" s="4">
        <ns0:f>IF(OR(A71=0,F71&lt;&gt;"OK",Bookings!G71="Cancelled",$B$6&gt;0),0,IF('_Dates'!AC71=1,MAX(0,COUNTIFS(rngEngine_B,B71,rngAMStart,"&lt;="&amp;'_Dates'!X71,rngAMEnd,"&gt;="&amp;'_Dates'!W71,rngAMActive,1,rngEngine_F,"OK",rngBookings_F,"&lt;&gt;Cancelled")-1),0)+IF('_Dates'!AD71=1,MAX(0,COUNTIFS(rngEngine_B,B71,rngPMStart,"&lt;="&amp;'_Dates'!Z71,rngPMEnd,"&gt;="&amp;'_Dates'!Y71,rngPMActive,1,rngEngine_F,"OK",rngBookings_F,"&lt;&gt;Cancelled")-1),0))</ns0:f>
        <ns0:v>0</ns0:v>
      </ns0:c>
      <ns0:c r="K71" s="0" t="str">
        <ns0:f>IF(A71=0,"",IF(F71&lt;&gt;"OK",F71,IF(J71&gt;0,"CHECK overlapping entry",IF(AND($B$6=0,G71&lt;=0,Bookings!G71&lt;&gt;"Cancelled"),"CHECK no working days",IF(Bookings!G71="Cancelled","Cancelled","OK")))))</ns0:f>
        <ns0:v/>
      </ns0:c>
      <ns0:c r="L71" s="0">
        <ns0:f>IF(LEFT(K71,5)="CHECK",1,0)</ns0:f>
        <ns0:v>0</ns0:v>
      </ns0:c>
      <ns0:c r="M71" s="0">
        <ns0:f>IF(AND(L71=1,OR(C71=0,IFERROR(INDEX($X$11:$X$60,C71),0)=0)),1,0)</ns0:f>
        <ns0:v>0</ns0:v>
      </ns0:c>
      <ns0:c r="N71" s="0">
        <ns0:f>IF(OR(A71=0,L71&gt;0,$B$6&gt;0,Bookings!G71="Cancelled"),0,G71)</ns0:f>
        <ns0:v>0</ns0:v>
      </ns0:c>
      <ns0:c r="O71" s="0">
        <ns0:f>IF(AND(Bookings!G71="Approved",E71="Yes"),N71,0)</ns0:f>
        <ns0:v>0</ns0:v>
      </ns0:c>
      <ns0:c r="P71" s="0">
        <ns0:f>IF(AND(Bookings!G71="Approved",E71="Yes",L71=0,$B$6=0),H71,0)</ns0:f>
        <ns0:v>0</ns0:v>
      </ns0:c>
      <ns0:c r="Q71" s="0">
        <ns0:f>IF(AND(Bookings!G71="Approved",E71="Yes",L71=0,$B$6=0),I71,0)</ns0:f>
        <ns0:v>0</ns0:v>
      </ns0:c>
      <ns0:c r="R71" s="0">
        <ns0:f>IF(AND(Bookings!G71="Pending",E71="Yes"),N71,0)</ns0:f>
        <ns0:v>0</ns0:v>
      </ns0:c>
      <ns0:c r="S71" s="0">
        <ns0:f>IF(AND(Bookings!G71="Approved",E71="No"),N71,0)</ns0:f>
        <ns0:v>0</ns0:v>
      </ns0:c>
      <ns0:c r="T71" s="0">
        <ns0:f>IFERROR(MATCH(D71,Settings!$G$7:$G$11,0),0)</ns0:f>
        <ns0:v>0</ns0:v>
      </ns0:c>
      <ns0:c r="U71" s="0">
        <ns0:f>IF(N71&gt;0,T71+IF(Bookings!G71="Pending",10,0),0)</ns0:f>
        <ns0:v>0</ns0:v>
      </ns0:c>
      <ns0:c r="V71" s="0">
        <ns0:f>U71</ns0:f>
        <ns0:v>0</ns0:v>
      </ns0:c>
      <ns0:c r="W71" s="0" t="str">
        <ns0:f>IF(C71=0,"",INDEX($AP$11:$AP$60,C71))</ns0:f>
        <ns0:v/>
      </ns0:c>
    </ns0:row>
    <ns0:row r="72" ht="22" customHeight="1">
      <ns0:c r="A72" s="4">
        <ns0:f>IF(COUNTA(Bookings!A72:G72,Bookings!I72)=0,0,1)</ns0:f>
        <ns0:v>0</ns0:v>
      </ns0:c>
      <ns0:c r="B72" s="4" t="str">
        <ns0:f>IFERROR(TRIM(MID(Bookings!A72,FIND(" · ",Bookings!A72)+3,99)),"")</ns0:f>
        <ns0:v/>
      </ns0:c>
      <ns0:c r="C72" s="4">
        <ns0:f>IF(OR(B72="",LEN(B72)&gt;24,ISNUMBER(FIND(" ",B72)),ISNUMBER(FIND("*",B72)),ISNUMBER(FIND("?",B72)),ISNUMBER(FIND("~",B72))),0,IFERROR(MATCH(B72,Team!$A$11:$A$60,0),0))</ns0:f>
        <ns0:v>0</ns0:v>
      </ns0:c>
      <ns0:c r="D72" s="4" t="str">
        <ns0:f>IFERROR(IF(MID(Bookings!F72,LEN(Bookings!F72)-3,3)=" · ",RIGHT(Bookings!F72,1),""),"")</ns0:f>
        <ns0:v/>
      </ns0:c>
      <ns0:c r="E72" s="4" t="str">
        <ns0:f>IFERROR(INDEX(Settings!$H$7:$H$11,MATCH(D72,Settings!$G$7:$G$11,0)),"")</ns0:f>
        <ns0:v/>
      </ns0:c>
      <ns0:c r="F72" s="4" t="str">
        <ns0:f>IF(A72=0,"",IFERROR(IF(OR(B72="",C72=0),"CHECK employee selection",IF(INDEX(Team!$O$11:$O$60,C72)&lt;&gt;"OK","CHECK employee setup",IF(OR('_Dates'!J72=0,'_Dates'!T72=0),"CHECK date: use DD.MM.YYYY",IF('_Dates'!T72&lt;'_Dates'!J72,"CHECK end before start",IF(AND($B$6=0,OR('_Dates'!J72&lt;Settings!$B$7,'_Dates'!T72&gt;Settings!$B$8)),"CHECK split across leave years",IF(OR(NOT(OR('_Dates'!U72="Full day",'_Dates'!U72="AM",'_Dates'!U72="PM")),NOT(OR('_Dates'!V72="Full day",'_Dates'!V72="AM",'_Dates'!V72="PM"))),"CHECK Full day / AM / PM",IF(AND('_Dates'!J72='_Dates'!T72,'_Dates'!U72&lt;&gt;"Full day",'_Dates'!V72&lt;&gt;"Full day",'_Dates'!U72&lt;&gt;'_Dates'!V72),"CHECK same-day portions disagree",IF(AND($B$6=0,OR(AND('_Dates'!U72&lt;&gt;"Full day",'_Dates'!AA72=0),AND('_Dates'!V72&lt;&gt;"Full day",'_Dates'!AB72=0))),"CHECK half-day on non-working date",IF(COUNTIF(Settings!$G$7:$G$11,D72)&lt;&gt;1,"CHECK leave type",IF(AND(Bookings!G72&lt;&gt;"Approved",Bookings!G72&lt;&gt;"Pending",Bookings!G72&lt;&gt;"Cancelled"),"CHECK status","OK")))))))))),"CHECK input"))</ns0:f>
        <ns0:v/>
      </ns0:c>
      <ns0:c r="G72" s="4">
        <ns0:f>IF(OR(F72&lt;&gt;"OK",$B$6&gt;0),0,0.5*(IF(('_Dates'!X72)&lt;('_Dates'!W72),0,INT((('_Dates'!X72)-('_Dates'!W72)+1)/7)*LEN(SUBSTITUTE(W72,"O",""))+LEN(SUBSTITUTE(MID(W72&amp;W72,WEEKDAY(('_Dates'!W72),2),MOD((('_Dates'!X72)-('_Dates'!W72)+1),7)),"O",""))-COUNTIFS(INDEX(AllClosureRows,C72,0),"&gt;="&amp;('_Dates'!W72),INDEX(AllClosureRows,C72,0),"&lt;="&amp;('_Dates'!X72)))+IF(('_Dates'!Z72)&lt;('_Dates'!Y72),0,INT((('_Dates'!Z72)-('_Dates'!Y72)+1)/7)*LEN(SUBSTITUTE(W72,"O",""))+LEN(SUBSTITUTE(MID(W72&amp;W72,WEEKDAY(('_Dates'!Y72),2),MOD((('_Dates'!Z72)-('_Dates'!Y72)+1),7)),"O",""))-COUNTIFS(INDEX(AllClosureRows,C72,0),"&gt;="&amp;('_Dates'!Y72),INDEX(AllClosureRows,C72,0),"&lt;="&amp;('_Dates'!Z72)))))</ns0:f>
        <ns0:v>0</ns0:v>
      </ns0:c>
      <ns0:c r="H72" s="4">
        <ns0:f>IF(OR(F72&lt;&gt;"OK",$B$6&gt;0),0,0.5*(IF((MIN('_Dates'!X72,Settings!$B$9))&lt;('_Dates'!W72),0,INT(((MIN('_Dates'!X72,Settings!$B$9))-('_Dates'!W72)+1)/7)*LEN(SUBSTITUTE(W72,"O",""))+LEN(SUBSTITUTE(MID(W72&amp;W72,WEEKDAY(('_Dates'!W72),2),MOD(((MIN('_Dates'!X72,Settings!$B$9))-('_Dates'!W72)+1),7)),"O",""))-COUNTIFS(INDEX(AllClosureRows,C72,0),"&gt;="&amp;('_Dates'!W72),INDEX(AllClosureRows,C72,0),"&lt;="&amp;(MIN('_Dates'!X72,Settings!$B$9))))+IF((MIN('_Dates'!Z72,Settings!$B$9))&lt;('_Dates'!Y72),0,INT(((MIN('_Dates'!Z72,Settings!$B$9))-('_Dates'!Y72)+1)/7)*LEN(SUBSTITUTE(W72,"O",""))+LEN(SUBSTITUTE(MID(W72&amp;W72,WEEKDAY(('_Dates'!Y72),2),MOD(((MIN('_Dates'!Z72,Settings!$B$9))-('_Dates'!Y72)+1),7)),"O",""))-COUNTIFS(INDEX(AllClosureRows,C72,0),"&gt;="&amp;('_Dates'!Y72),INDEX(AllClosureRows,C72,0),"&lt;="&amp;(MIN('_Dates'!Z72,Settings!$B$9))))))</ns0:f>
        <ns0:v>0</ns0:v>
      </ns0:c>
      <ns0:c r="I72" s="4">
        <ns0:f>MAX(0,G72-H72)</ns0:f>
        <ns0:v>0</ns0:v>
      </ns0:c>
      <ns0:c r="J72" s="4">
        <ns0:f>IF(OR(A72=0,F72&lt;&gt;"OK",Bookings!G72="Cancelled",$B$6&gt;0),0,IF('_Dates'!AC72=1,MAX(0,COUNTIFS(rngEngine_B,B72,rngAMStart,"&lt;="&amp;'_Dates'!X72,rngAMEnd,"&gt;="&amp;'_Dates'!W72,rngAMActive,1,rngEngine_F,"OK",rngBookings_F,"&lt;&gt;Cancelled")-1),0)+IF('_Dates'!AD72=1,MAX(0,COUNTIFS(rngEngine_B,B72,rngPMStart,"&lt;="&amp;'_Dates'!Z72,rngPMEnd,"&gt;="&amp;'_Dates'!Y72,rngPMActive,1,rngEngine_F,"OK",rngBookings_F,"&lt;&gt;Cancelled")-1),0))</ns0:f>
        <ns0:v>0</ns0:v>
      </ns0:c>
      <ns0:c r="K72" s="0" t="str">
        <ns0:f>IF(A72=0,"",IF(F72&lt;&gt;"OK",F72,IF(J72&gt;0,"CHECK overlapping entry",IF(AND($B$6=0,G72&lt;=0,Bookings!G72&lt;&gt;"Cancelled"),"CHECK no working days",IF(Bookings!G72="Cancelled","Cancelled","OK")))))</ns0:f>
        <ns0:v/>
      </ns0:c>
      <ns0:c r="L72" s="0">
        <ns0:f>IF(LEFT(K72,5)="CHECK",1,0)</ns0:f>
        <ns0:v>0</ns0:v>
      </ns0:c>
      <ns0:c r="M72" s="0">
        <ns0:f>IF(AND(L72=1,OR(C72=0,IFERROR(INDEX($X$11:$X$60,C72),0)=0)),1,0)</ns0:f>
        <ns0:v>0</ns0:v>
      </ns0:c>
      <ns0:c r="N72" s="0">
        <ns0:f>IF(OR(A72=0,L72&gt;0,$B$6&gt;0,Bookings!G72="Cancelled"),0,G72)</ns0:f>
        <ns0:v>0</ns0:v>
      </ns0:c>
      <ns0:c r="O72" s="0">
        <ns0:f>IF(AND(Bookings!G72="Approved",E72="Yes"),N72,0)</ns0:f>
        <ns0:v>0</ns0:v>
      </ns0:c>
      <ns0:c r="P72" s="0">
        <ns0:f>IF(AND(Bookings!G72="Approved",E72="Yes",L72=0,$B$6=0),H72,0)</ns0:f>
        <ns0:v>0</ns0:v>
      </ns0:c>
      <ns0:c r="Q72" s="0">
        <ns0:f>IF(AND(Bookings!G72="Approved",E72="Yes",L72=0,$B$6=0),I72,0)</ns0:f>
        <ns0:v>0</ns0:v>
      </ns0:c>
      <ns0:c r="R72" s="0">
        <ns0:f>IF(AND(Bookings!G72="Pending",E72="Yes"),N72,0)</ns0:f>
        <ns0:v>0</ns0:v>
      </ns0:c>
      <ns0:c r="S72" s="0">
        <ns0:f>IF(AND(Bookings!G72="Approved",E72="No"),N72,0)</ns0:f>
        <ns0:v>0</ns0:v>
      </ns0:c>
      <ns0:c r="T72" s="0">
        <ns0:f>IFERROR(MATCH(D72,Settings!$G$7:$G$11,0),0)</ns0:f>
        <ns0:v>0</ns0:v>
      </ns0:c>
      <ns0:c r="U72" s="0">
        <ns0:f>IF(N72&gt;0,T72+IF(Bookings!G72="Pending",10,0),0)</ns0:f>
        <ns0:v>0</ns0:v>
      </ns0:c>
      <ns0:c r="V72" s="0">
        <ns0:f>U72</ns0:f>
        <ns0:v>0</ns0:v>
      </ns0:c>
      <ns0:c r="W72" s="0" t="str">
        <ns0:f>IF(C72=0,"",INDEX($AP$11:$AP$60,C72))</ns0:f>
        <ns0:v/>
      </ns0:c>
    </ns0:row>
    <ns0:row r="73" ht="22" customHeight="1">
      <ns0:c r="A73" s="4">
        <ns0:f>IF(COUNTA(Bookings!A73:G73,Bookings!I73)=0,0,1)</ns0:f>
        <ns0:v>0</ns0:v>
      </ns0:c>
      <ns0:c r="B73" s="4" t="str">
        <ns0:f>IFERROR(TRIM(MID(Bookings!A73,FIND(" · ",Bookings!A73)+3,99)),"")</ns0:f>
        <ns0:v/>
      </ns0:c>
      <ns0:c r="C73" s="4">
        <ns0:f>IF(OR(B73="",LEN(B73)&gt;24,ISNUMBER(FIND(" ",B73)),ISNUMBER(FIND("*",B73)),ISNUMBER(FIND("?",B73)),ISNUMBER(FIND("~",B73))),0,IFERROR(MATCH(B73,Team!$A$11:$A$60,0),0))</ns0:f>
        <ns0:v>0</ns0:v>
      </ns0:c>
      <ns0:c r="D73" s="4" t="str">
        <ns0:f>IFERROR(IF(MID(Bookings!F73,LEN(Bookings!F73)-3,3)=" · ",RIGHT(Bookings!F73,1),""),"")</ns0:f>
        <ns0:v/>
      </ns0:c>
      <ns0:c r="E73" s="4" t="str">
        <ns0:f>IFERROR(INDEX(Settings!$H$7:$H$11,MATCH(D73,Settings!$G$7:$G$11,0)),"")</ns0:f>
        <ns0:v/>
      </ns0:c>
      <ns0:c r="F73" s="4" t="str">
        <ns0:f>IF(A73=0,"",IFERROR(IF(OR(B73="",C73=0),"CHECK employee selection",IF(INDEX(Team!$O$11:$O$60,C73)&lt;&gt;"OK","CHECK employee setup",IF(OR('_Dates'!J73=0,'_Dates'!T73=0),"CHECK date: use DD.MM.YYYY",IF('_Dates'!T73&lt;'_Dates'!J73,"CHECK end before start",IF(AND($B$6=0,OR('_Dates'!J73&lt;Settings!$B$7,'_Dates'!T73&gt;Settings!$B$8)),"CHECK split across leave years",IF(OR(NOT(OR('_Dates'!U73="Full day",'_Dates'!U73="AM",'_Dates'!U73="PM")),NOT(OR('_Dates'!V73="Full day",'_Dates'!V73="AM",'_Dates'!V73="PM"))),"CHECK Full day / AM / PM",IF(AND('_Dates'!J73='_Dates'!T73,'_Dates'!U73&lt;&gt;"Full day",'_Dates'!V73&lt;&gt;"Full day",'_Dates'!U73&lt;&gt;'_Dates'!V73),"CHECK same-day portions disagree",IF(AND($B$6=0,OR(AND('_Dates'!U73&lt;&gt;"Full day",'_Dates'!AA73=0),AND('_Dates'!V73&lt;&gt;"Full day",'_Dates'!AB73=0))),"CHECK half-day on non-working date",IF(COUNTIF(Settings!$G$7:$G$11,D73)&lt;&gt;1,"CHECK leave type",IF(AND(Bookings!G73&lt;&gt;"Approved",Bookings!G73&lt;&gt;"Pending",Bookings!G73&lt;&gt;"Cancelled"),"CHECK status","OK")))))))))),"CHECK input"))</ns0:f>
        <ns0:v/>
      </ns0:c>
      <ns0:c r="G73" s="4">
        <ns0:f>IF(OR(F73&lt;&gt;"OK",$B$6&gt;0),0,0.5*(IF(('_Dates'!X73)&lt;('_Dates'!W73),0,INT((('_Dates'!X73)-('_Dates'!W73)+1)/7)*LEN(SUBSTITUTE(W73,"O",""))+LEN(SUBSTITUTE(MID(W73&amp;W73,WEEKDAY(('_Dates'!W73),2),MOD((('_Dates'!X73)-('_Dates'!W73)+1),7)),"O",""))-COUNTIFS(INDEX(AllClosureRows,C73,0),"&gt;="&amp;('_Dates'!W73),INDEX(AllClosureRows,C73,0),"&lt;="&amp;('_Dates'!X73)))+IF(('_Dates'!Z73)&lt;('_Dates'!Y73),0,INT((('_Dates'!Z73)-('_Dates'!Y73)+1)/7)*LEN(SUBSTITUTE(W73,"O",""))+LEN(SUBSTITUTE(MID(W73&amp;W73,WEEKDAY(('_Dates'!Y73),2),MOD((('_Dates'!Z73)-('_Dates'!Y73)+1),7)),"O",""))-COUNTIFS(INDEX(AllClosureRows,C73,0),"&gt;="&amp;('_Dates'!Y73),INDEX(AllClosureRows,C73,0),"&lt;="&amp;('_Dates'!Z73)))))</ns0:f>
        <ns0:v>0</ns0:v>
      </ns0:c>
      <ns0:c r="H73" s="4">
        <ns0:f>IF(OR(F73&lt;&gt;"OK",$B$6&gt;0),0,0.5*(IF((MIN('_Dates'!X73,Settings!$B$9))&lt;('_Dates'!W73),0,INT(((MIN('_Dates'!X73,Settings!$B$9))-('_Dates'!W73)+1)/7)*LEN(SUBSTITUTE(W73,"O",""))+LEN(SUBSTITUTE(MID(W73&amp;W73,WEEKDAY(('_Dates'!W73),2),MOD(((MIN('_Dates'!X73,Settings!$B$9))-('_Dates'!W73)+1),7)),"O",""))-COUNTIFS(INDEX(AllClosureRows,C73,0),"&gt;="&amp;('_Dates'!W73),INDEX(AllClosureRows,C73,0),"&lt;="&amp;(MIN('_Dates'!X73,Settings!$B$9))))+IF((MIN('_Dates'!Z73,Settings!$B$9))&lt;('_Dates'!Y73),0,INT(((MIN('_Dates'!Z73,Settings!$B$9))-('_Dates'!Y73)+1)/7)*LEN(SUBSTITUTE(W73,"O",""))+LEN(SUBSTITUTE(MID(W73&amp;W73,WEEKDAY(('_Dates'!Y73),2),MOD(((MIN('_Dates'!Z73,Settings!$B$9))-('_Dates'!Y73)+1),7)),"O",""))-COUNTIFS(INDEX(AllClosureRows,C73,0),"&gt;="&amp;('_Dates'!Y73),INDEX(AllClosureRows,C73,0),"&lt;="&amp;(MIN('_Dates'!Z73,Settings!$B$9))))))</ns0:f>
        <ns0:v>0</ns0:v>
      </ns0:c>
      <ns0:c r="I73" s="4">
        <ns0:f>MAX(0,G73-H73)</ns0:f>
        <ns0:v>0</ns0:v>
      </ns0:c>
      <ns0:c r="J73" s="4">
        <ns0:f>IF(OR(A73=0,F73&lt;&gt;"OK",Bookings!G73="Cancelled",$B$6&gt;0),0,IF('_Dates'!AC73=1,MAX(0,COUNTIFS(rngEngine_B,B73,rngAMStart,"&lt;="&amp;'_Dates'!X73,rngAMEnd,"&gt;="&amp;'_Dates'!W73,rngAMActive,1,rngEngine_F,"OK",rngBookings_F,"&lt;&gt;Cancelled")-1),0)+IF('_Dates'!AD73=1,MAX(0,COUNTIFS(rngEngine_B,B73,rngPMStart,"&lt;="&amp;'_Dates'!Z73,rngPMEnd,"&gt;="&amp;'_Dates'!Y73,rngPMActive,1,rngEngine_F,"OK",rngBookings_F,"&lt;&gt;Cancelled")-1),0))</ns0:f>
        <ns0:v>0</ns0:v>
      </ns0:c>
      <ns0:c r="K73" s="0" t="str">
        <ns0:f>IF(A73=0,"",IF(F73&lt;&gt;"OK",F73,IF(J73&gt;0,"CHECK overlapping entry",IF(AND($B$6=0,G73&lt;=0,Bookings!G73&lt;&gt;"Cancelled"),"CHECK no working days",IF(Bookings!G73="Cancelled","Cancelled","OK")))))</ns0:f>
        <ns0:v/>
      </ns0:c>
      <ns0:c r="L73" s="0">
        <ns0:f>IF(LEFT(K73,5)="CHECK",1,0)</ns0:f>
        <ns0:v>0</ns0:v>
      </ns0:c>
      <ns0:c r="M73" s="0">
        <ns0:f>IF(AND(L73=1,OR(C73=0,IFERROR(INDEX($X$11:$X$60,C73),0)=0)),1,0)</ns0:f>
        <ns0:v>0</ns0:v>
      </ns0:c>
      <ns0:c r="N73" s="0">
        <ns0:f>IF(OR(A73=0,L73&gt;0,$B$6&gt;0,Bookings!G73="Cancelled"),0,G73)</ns0:f>
        <ns0:v>0</ns0:v>
      </ns0:c>
      <ns0:c r="O73" s="0">
        <ns0:f>IF(AND(Bookings!G73="Approved",E73="Yes"),N73,0)</ns0:f>
        <ns0:v>0</ns0:v>
      </ns0:c>
      <ns0:c r="P73" s="0">
        <ns0:f>IF(AND(Bookings!G73="Approved",E73="Yes",L73=0,$B$6=0),H73,0)</ns0:f>
        <ns0:v>0</ns0:v>
      </ns0:c>
      <ns0:c r="Q73" s="0">
        <ns0:f>IF(AND(Bookings!G73="Approved",E73="Yes",L73=0,$B$6=0),I73,0)</ns0:f>
        <ns0:v>0</ns0:v>
      </ns0:c>
      <ns0:c r="R73" s="0">
        <ns0:f>IF(AND(Bookings!G73="Pending",E73="Yes"),N73,0)</ns0:f>
        <ns0:v>0</ns0:v>
      </ns0:c>
      <ns0:c r="S73" s="0">
        <ns0:f>IF(AND(Bookings!G73="Approved",E73="No"),N73,0)</ns0:f>
        <ns0:v>0</ns0:v>
      </ns0:c>
      <ns0:c r="T73" s="0">
        <ns0:f>IFERROR(MATCH(D73,Settings!$G$7:$G$11,0),0)</ns0:f>
        <ns0:v>0</ns0:v>
      </ns0:c>
      <ns0:c r="U73" s="0">
        <ns0:f>IF(N73&gt;0,T73+IF(Bookings!G73="Pending",10,0),0)</ns0:f>
        <ns0:v>0</ns0:v>
      </ns0:c>
      <ns0:c r="V73" s="0">
        <ns0:f>U73</ns0:f>
        <ns0:v>0</ns0:v>
      </ns0:c>
      <ns0:c r="W73" s="0" t="str">
        <ns0:f>IF(C73=0,"",INDEX($AP$11:$AP$60,C73))</ns0:f>
        <ns0:v/>
      </ns0:c>
    </ns0:row>
    <ns0:row r="74" ht="22" customHeight="1">
      <ns0:c r="A74" s="4">
        <ns0:f>IF(COUNTA(Bookings!A74:G74,Bookings!I74)=0,0,1)</ns0:f>
        <ns0:v>0</ns0:v>
      </ns0:c>
      <ns0:c r="B74" s="4" t="str">
        <ns0:f>IFERROR(TRIM(MID(Bookings!A74,FIND(" · ",Bookings!A74)+3,99)),"")</ns0:f>
        <ns0:v/>
      </ns0:c>
      <ns0:c r="C74" s="4">
        <ns0:f>IF(OR(B74="",LEN(B74)&gt;24,ISNUMBER(FIND(" ",B74)),ISNUMBER(FIND("*",B74)),ISNUMBER(FIND("?",B74)),ISNUMBER(FIND("~",B74))),0,IFERROR(MATCH(B74,Team!$A$11:$A$60,0),0))</ns0:f>
        <ns0:v>0</ns0:v>
      </ns0:c>
      <ns0:c r="D74" s="4" t="str">
        <ns0:f>IFERROR(IF(MID(Bookings!F74,LEN(Bookings!F74)-3,3)=" · ",RIGHT(Bookings!F74,1),""),"")</ns0:f>
        <ns0:v/>
      </ns0:c>
      <ns0:c r="E74" s="4" t="str">
        <ns0:f>IFERROR(INDEX(Settings!$H$7:$H$11,MATCH(D74,Settings!$G$7:$G$11,0)),"")</ns0:f>
        <ns0:v/>
      </ns0:c>
      <ns0:c r="F74" s="4" t="str">
        <ns0:f>IF(A74=0,"",IFERROR(IF(OR(B74="",C74=0),"CHECK employee selection",IF(INDEX(Team!$O$11:$O$60,C74)&lt;&gt;"OK","CHECK employee setup",IF(OR('_Dates'!J74=0,'_Dates'!T74=0),"CHECK date: use DD.MM.YYYY",IF('_Dates'!T74&lt;'_Dates'!J74,"CHECK end before start",IF(AND($B$6=0,OR('_Dates'!J74&lt;Settings!$B$7,'_Dates'!T74&gt;Settings!$B$8)),"CHECK split across leave years",IF(OR(NOT(OR('_Dates'!U74="Full day",'_Dates'!U74="AM",'_Dates'!U74="PM")),NOT(OR('_Dates'!V74="Full day",'_Dates'!V74="AM",'_Dates'!V74="PM"))),"CHECK Full day / AM / PM",IF(AND('_Dates'!J74='_Dates'!T74,'_Dates'!U74&lt;&gt;"Full day",'_Dates'!V74&lt;&gt;"Full day",'_Dates'!U74&lt;&gt;'_Dates'!V74),"CHECK same-day portions disagree",IF(AND($B$6=0,OR(AND('_Dates'!U74&lt;&gt;"Full day",'_Dates'!AA74=0),AND('_Dates'!V74&lt;&gt;"Full day",'_Dates'!AB74=0))),"CHECK half-day on non-working date",IF(COUNTIF(Settings!$G$7:$G$11,D74)&lt;&gt;1,"CHECK leave type",IF(AND(Bookings!G74&lt;&gt;"Approved",Bookings!G74&lt;&gt;"Pending",Bookings!G74&lt;&gt;"Cancelled"),"CHECK status","OK")))))))))),"CHECK input"))</ns0:f>
        <ns0:v/>
      </ns0:c>
      <ns0:c r="G74" s="4">
        <ns0:f>IF(OR(F74&lt;&gt;"OK",$B$6&gt;0),0,0.5*(IF(('_Dates'!X74)&lt;('_Dates'!W74),0,INT((('_Dates'!X74)-('_Dates'!W74)+1)/7)*LEN(SUBSTITUTE(W74,"O",""))+LEN(SUBSTITUTE(MID(W74&amp;W74,WEEKDAY(('_Dates'!W74),2),MOD((('_Dates'!X74)-('_Dates'!W74)+1),7)),"O",""))-COUNTIFS(INDEX(AllClosureRows,C74,0),"&gt;="&amp;('_Dates'!W74),INDEX(AllClosureRows,C74,0),"&lt;="&amp;('_Dates'!X74)))+IF(('_Dates'!Z74)&lt;('_Dates'!Y74),0,INT((('_Dates'!Z74)-('_Dates'!Y74)+1)/7)*LEN(SUBSTITUTE(W74,"O",""))+LEN(SUBSTITUTE(MID(W74&amp;W74,WEEKDAY(('_Dates'!Y74),2),MOD((('_Dates'!Z74)-('_Dates'!Y74)+1),7)),"O",""))-COUNTIFS(INDEX(AllClosureRows,C74,0),"&gt;="&amp;('_Dates'!Y74),INDEX(AllClosureRows,C74,0),"&lt;="&amp;('_Dates'!Z74)))))</ns0:f>
        <ns0:v>0</ns0:v>
      </ns0:c>
      <ns0:c r="H74" s="4">
        <ns0:f>IF(OR(F74&lt;&gt;"OK",$B$6&gt;0),0,0.5*(IF((MIN('_Dates'!X74,Settings!$B$9))&lt;('_Dates'!W74),0,INT(((MIN('_Dates'!X74,Settings!$B$9))-('_Dates'!W74)+1)/7)*LEN(SUBSTITUTE(W74,"O",""))+LEN(SUBSTITUTE(MID(W74&amp;W74,WEEKDAY(('_Dates'!W74),2),MOD(((MIN('_Dates'!X74,Settings!$B$9))-('_Dates'!W74)+1),7)),"O",""))-COUNTIFS(INDEX(AllClosureRows,C74,0),"&gt;="&amp;('_Dates'!W74),INDEX(AllClosureRows,C74,0),"&lt;="&amp;(MIN('_Dates'!X74,Settings!$B$9))))+IF((MIN('_Dates'!Z74,Settings!$B$9))&lt;('_Dates'!Y74),0,INT(((MIN('_Dates'!Z74,Settings!$B$9))-('_Dates'!Y74)+1)/7)*LEN(SUBSTITUTE(W74,"O",""))+LEN(SUBSTITUTE(MID(W74&amp;W74,WEEKDAY(('_Dates'!Y74),2),MOD(((MIN('_Dates'!Z74,Settings!$B$9))-('_Dates'!Y74)+1),7)),"O",""))-COUNTIFS(INDEX(AllClosureRows,C74,0),"&gt;="&amp;('_Dates'!Y74),INDEX(AllClosureRows,C74,0),"&lt;="&amp;(MIN('_Dates'!Z74,Settings!$B$9))))))</ns0:f>
        <ns0:v>0</ns0:v>
      </ns0:c>
      <ns0:c r="I74" s="4">
        <ns0:f>MAX(0,G74-H74)</ns0:f>
        <ns0:v>0</ns0:v>
      </ns0:c>
      <ns0:c r="J74" s="4">
        <ns0:f>IF(OR(A74=0,F74&lt;&gt;"OK",Bookings!G74="Cancelled",$B$6&gt;0),0,IF('_Dates'!AC74=1,MAX(0,COUNTIFS(rngEngine_B,B74,rngAMStart,"&lt;="&amp;'_Dates'!X74,rngAMEnd,"&gt;="&amp;'_Dates'!W74,rngAMActive,1,rngEngine_F,"OK",rngBookings_F,"&lt;&gt;Cancelled")-1),0)+IF('_Dates'!AD74=1,MAX(0,COUNTIFS(rngEngine_B,B74,rngPMStart,"&lt;="&amp;'_Dates'!Z74,rngPMEnd,"&gt;="&amp;'_Dates'!Y74,rngPMActive,1,rngEngine_F,"OK",rngBookings_F,"&lt;&gt;Cancelled")-1),0))</ns0:f>
        <ns0:v>0</ns0:v>
      </ns0:c>
      <ns0:c r="K74" s="0" t="str">
        <ns0:f>IF(A74=0,"",IF(F74&lt;&gt;"OK",F74,IF(J74&gt;0,"CHECK overlapping entry",IF(AND($B$6=0,G74&lt;=0,Bookings!G74&lt;&gt;"Cancelled"),"CHECK no working days",IF(Bookings!G74="Cancelled","Cancelled","OK")))))</ns0:f>
        <ns0:v/>
      </ns0:c>
      <ns0:c r="L74" s="0">
        <ns0:f>IF(LEFT(K74,5)="CHECK",1,0)</ns0:f>
        <ns0:v>0</ns0:v>
      </ns0:c>
      <ns0:c r="M74" s="0">
        <ns0:f>IF(AND(L74=1,OR(C74=0,IFERROR(INDEX($X$11:$X$60,C74),0)=0)),1,0)</ns0:f>
        <ns0:v>0</ns0:v>
      </ns0:c>
      <ns0:c r="N74" s="0">
        <ns0:f>IF(OR(A74=0,L74&gt;0,$B$6&gt;0,Bookings!G74="Cancelled"),0,G74)</ns0:f>
        <ns0:v>0</ns0:v>
      </ns0:c>
      <ns0:c r="O74" s="0">
        <ns0:f>IF(AND(Bookings!G74="Approved",E74="Yes"),N74,0)</ns0:f>
        <ns0:v>0</ns0:v>
      </ns0:c>
      <ns0:c r="P74" s="0">
        <ns0:f>IF(AND(Bookings!G74="Approved",E74="Yes",L74=0,$B$6=0),H74,0)</ns0:f>
        <ns0:v>0</ns0:v>
      </ns0:c>
      <ns0:c r="Q74" s="0">
        <ns0:f>IF(AND(Bookings!G74="Approved",E74="Yes",L74=0,$B$6=0),I74,0)</ns0:f>
        <ns0:v>0</ns0:v>
      </ns0:c>
      <ns0:c r="R74" s="0">
        <ns0:f>IF(AND(Bookings!G74="Pending",E74="Yes"),N74,0)</ns0:f>
        <ns0:v>0</ns0:v>
      </ns0:c>
      <ns0:c r="S74" s="0">
        <ns0:f>IF(AND(Bookings!G74="Approved",E74="No"),N74,0)</ns0:f>
        <ns0:v>0</ns0:v>
      </ns0:c>
      <ns0:c r="T74" s="0">
        <ns0:f>IFERROR(MATCH(D74,Settings!$G$7:$G$11,0),0)</ns0:f>
        <ns0:v>0</ns0:v>
      </ns0:c>
      <ns0:c r="U74" s="0">
        <ns0:f>IF(N74&gt;0,T74+IF(Bookings!G74="Pending",10,0),0)</ns0:f>
        <ns0:v>0</ns0:v>
      </ns0:c>
      <ns0:c r="V74" s="0">
        <ns0:f>U74</ns0:f>
        <ns0:v>0</ns0:v>
      </ns0:c>
      <ns0:c r="W74" s="0" t="str">
        <ns0:f>IF(C74=0,"",INDEX($AP$11:$AP$60,C74))</ns0:f>
        <ns0:v/>
      </ns0:c>
    </ns0:row>
    <ns0:row r="75" ht="22" customHeight="1">
      <ns0:c r="A75" s="4">
        <ns0:f>IF(COUNTA(Bookings!A75:G75,Bookings!I75)=0,0,1)</ns0:f>
        <ns0:v>0</ns0:v>
      </ns0:c>
      <ns0:c r="B75" s="4" t="str">
        <ns0:f>IFERROR(TRIM(MID(Bookings!A75,FIND(" · ",Bookings!A75)+3,99)),"")</ns0:f>
        <ns0:v/>
      </ns0:c>
      <ns0:c r="C75" s="4">
        <ns0:f>IF(OR(B75="",LEN(B75)&gt;24,ISNUMBER(FIND(" ",B75)),ISNUMBER(FIND("*",B75)),ISNUMBER(FIND("?",B75)),ISNUMBER(FIND("~",B75))),0,IFERROR(MATCH(B75,Team!$A$11:$A$60,0),0))</ns0:f>
        <ns0:v>0</ns0:v>
      </ns0:c>
      <ns0:c r="D75" s="4" t="str">
        <ns0:f>IFERROR(IF(MID(Bookings!F75,LEN(Bookings!F75)-3,3)=" · ",RIGHT(Bookings!F75,1),""),"")</ns0:f>
        <ns0:v/>
      </ns0:c>
      <ns0:c r="E75" s="4" t="str">
        <ns0:f>IFERROR(INDEX(Settings!$H$7:$H$11,MATCH(D75,Settings!$G$7:$G$11,0)),"")</ns0:f>
        <ns0:v/>
      </ns0:c>
      <ns0:c r="F75" s="4" t="str">
        <ns0:f>IF(A75=0,"",IFERROR(IF(OR(B75="",C75=0),"CHECK employee selection",IF(INDEX(Team!$O$11:$O$60,C75)&lt;&gt;"OK","CHECK employee setup",IF(OR('_Dates'!J75=0,'_Dates'!T75=0),"CHECK date: use DD.MM.YYYY",IF('_Dates'!T75&lt;'_Dates'!J75,"CHECK end before start",IF(AND($B$6=0,OR('_Dates'!J75&lt;Settings!$B$7,'_Dates'!T75&gt;Settings!$B$8)),"CHECK split across leave years",IF(OR(NOT(OR('_Dates'!U75="Full day",'_Dates'!U75="AM",'_Dates'!U75="PM")),NOT(OR('_Dates'!V75="Full day",'_Dates'!V75="AM",'_Dates'!V75="PM"))),"CHECK Full day / AM / PM",IF(AND('_Dates'!J75='_Dates'!T75,'_Dates'!U75&lt;&gt;"Full day",'_Dates'!V75&lt;&gt;"Full day",'_Dates'!U75&lt;&gt;'_Dates'!V75),"CHECK same-day portions disagree",IF(AND($B$6=0,OR(AND('_Dates'!U75&lt;&gt;"Full day",'_Dates'!AA75=0),AND('_Dates'!V75&lt;&gt;"Full day",'_Dates'!AB75=0))),"CHECK half-day on non-working date",IF(COUNTIF(Settings!$G$7:$G$11,D75)&lt;&gt;1,"CHECK leave type",IF(AND(Bookings!G75&lt;&gt;"Approved",Bookings!G75&lt;&gt;"Pending",Bookings!G75&lt;&gt;"Cancelled"),"CHECK status","OK")))))))))),"CHECK input"))</ns0:f>
        <ns0:v/>
      </ns0:c>
      <ns0:c r="G75" s="4">
        <ns0:f>IF(OR(F75&lt;&gt;"OK",$B$6&gt;0),0,0.5*(IF(('_Dates'!X75)&lt;('_Dates'!W75),0,INT((('_Dates'!X75)-('_Dates'!W75)+1)/7)*LEN(SUBSTITUTE(W75,"O",""))+LEN(SUBSTITUTE(MID(W75&amp;W75,WEEKDAY(('_Dates'!W75),2),MOD((('_Dates'!X75)-('_Dates'!W75)+1),7)),"O",""))-COUNTIFS(INDEX(AllClosureRows,C75,0),"&gt;="&amp;('_Dates'!W75),INDEX(AllClosureRows,C75,0),"&lt;="&amp;('_Dates'!X75)))+IF(('_Dates'!Z75)&lt;('_Dates'!Y75),0,INT((('_Dates'!Z75)-('_Dates'!Y75)+1)/7)*LEN(SUBSTITUTE(W75,"O",""))+LEN(SUBSTITUTE(MID(W75&amp;W75,WEEKDAY(('_Dates'!Y75),2),MOD((('_Dates'!Z75)-('_Dates'!Y75)+1),7)),"O",""))-COUNTIFS(INDEX(AllClosureRows,C75,0),"&gt;="&amp;('_Dates'!Y75),INDEX(AllClosureRows,C75,0),"&lt;="&amp;('_Dates'!Z75)))))</ns0:f>
        <ns0:v>0</ns0:v>
      </ns0:c>
      <ns0:c r="H75" s="4">
        <ns0:f>IF(OR(F75&lt;&gt;"OK",$B$6&gt;0),0,0.5*(IF((MIN('_Dates'!X75,Settings!$B$9))&lt;('_Dates'!W75),0,INT(((MIN('_Dates'!X75,Settings!$B$9))-('_Dates'!W75)+1)/7)*LEN(SUBSTITUTE(W75,"O",""))+LEN(SUBSTITUTE(MID(W75&amp;W75,WEEKDAY(('_Dates'!W75),2),MOD(((MIN('_Dates'!X75,Settings!$B$9))-('_Dates'!W75)+1),7)),"O",""))-COUNTIFS(INDEX(AllClosureRows,C75,0),"&gt;="&amp;('_Dates'!W75),INDEX(AllClosureRows,C75,0),"&lt;="&amp;(MIN('_Dates'!X75,Settings!$B$9))))+IF((MIN('_Dates'!Z75,Settings!$B$9))&lt;('_Dates'!Y75),0,INT(((MIN('_Dates'!Z75,Settings!$B$9))-('_Dates'!Y75)+1)/7)*LEN(SUBSTITUTE(W75,"O",""))+LEN(SUBSTITUTE(MID(W75&amp;W75,WEEKDAY(('_Dates'!Y75),2),MOD(((MIN('_Dates'!Z75,Settings!$B$9))-('_Dates'!Y75)+1),7)),"O",""))-COUNTIFS(INDEX(AllClosureRows,C75,0),"&gt;="&amp;('_Dates'!Y75),INDEX(AllClosureRows,C75,0),"&lt;="&amp;(MIN('_Dates'!Z75,Settings!$B$9))))))</ns0:f>
        <ns0:v>0</ns0:v>
      </ns0:c>
      <ns0:c r="I75" s="4">
        <ns0:f>MAX(0,G75-H75)</ns0:f>
        <ns0:v>0</ns0:v>
      </ns0:c>
      <ns0:c r="J75" s="4">
        <ns0:f>IF(OR(A75=0,F75&lt;&gt;"OK",Bookings!G75="Cancelled",$B$6&gt;0),0,IF('_Dates'!AC75=1,MAX(0,COUNTIFS(rngEngine_B,B75,rngAMStart,"&lt;="&amp;'_Dates'!X75,rngAMEnd,"&gt;="&amp;'_Dates'!W75,rngAMActive,1,rngEngine_F,"OK",rngBookings_F,"&lt;&gt;Cancelled")-1),0)+IF('_Dates'!AD75=1,MAX(0,COUNTIFS(rngEngine_B,B75,rngPMStart,"&lt;="&amp;'_Dates'!Z75,rngPMEnd,"&gt;="&amp;'_Dates'!Y75,rngPMActive,1,rngEngine_F,"OK",rngBookings_F,"&lt;&gt;Cancelled")-1),0))</ns0:f>
        <ns0:v>0</ns0:v>
      </ns0:c>
      <ns0:c r="K75" s="0" t="str">
        <ns0:f>IF(A75=0,"",IF(F75&lt;&gt;"OK",F75,IF(J75&gt;0,"CHECK overlapping entry",IF(AND($B$6=0,G75&lt;=0,Bookings!G75&lt;&gt;"Cancelled"),"CHECK no working days",IF(Bookings!G75="Cancelled","Cancelled","OK")))))</ns0:f>
        <ns0:v/>
      </ns0:c>
      <ns0:c r="L75" s="0">
        <ns0:f>IF(LEFT(K75,5)="CHECK",1,0)</ns0:f>
        <ns0:v>0</ns0:v>
      </ns0:c>
      <ns0:c r="M75" s="0">
        <ns0:f>IF(AND(L75=1,OR(C75=0,IFERROR(INDEX($X$11:$X$60,C75),0)=0)),1,0)</ns0:f>
        <ns0:v>0</ns0:v>
      </ns0:c>
      <ns0:c r="N75" s="0">
        <ns0:f>IF(OR(A75=0,L75&gt;0,$B$6&gt;0,Bookings!G75="Cancelled"),0,G75)</ns0:f>
        <ns0:v>0</ns0:v>
      </ns0:c>
      <ns0:c r="O75" s="0">
        <ns0:f>IF(AND(Bookings!G75="Approved",E75="Yes"),N75,0)</ns0:f>
        <ns0:v>0</ns0:v>
      </ns0:c>
      <ns0:c r="P75" s="0">
        <ns0:f>IF(AND(Bookings!G75="Approved",E75="Yes",L75=0,$B$6=0),H75,0)</ns0:f>
        <ns0:v>0</ns0:v>
      </ns0:c>
      <ns0:c r="Q75" s="0">
        <ns0:f>IF(AND(Bookings!G75="Approved",E75="Yes",L75=0,$B$6=0),I75,0)</ns0:f>
        <ns0:v>0</ns0:v>
      </ns0:c>
      <ns0:c r="R75" s="0">
        <ns0:f>IF(AND(Bookings!G75="Pending",E75="Yes"),N75,0)</ns0:f>
        <ns0:v>0</ns0:v>
      </ns0:c>
      <ns0:c r="S75" s="0">
        <ns0:f>IF(AND(Bookings!G75="Approved",E75="No"),N75,0)</ns0:f>
        <ns0:v>0</ns0:v>
      </ns0:c>
      <ns0:c r="T75" s="0">
        <ns0:f>IFERROR(MATCH(D75,Settings!$G$7:$G$11,0),0)</ns0:f>
        <ns0:v>0</ns0:v>
      </ns0:c>
      <ns0:c r="U75" s="0">
        <ns0:f>IF(N75&gt;0,T75+IF(Bookings!G75="Pending",10,0),0)</ns0:f>
        <ns0:v>0</ns0:v>
      </ns0:c>
      <ns0:c r="V75" s="0">
        <ns0:f>U75</ns0:f>
        <ns0:v>0</ns0:v>
      </ns0:c>
      <ns0:c r="W75" s="0" t="str">
        <ns0:f>IF(C75=0,"",INDEX($AP$11:$AP$60,C75))</ns0:f>
        <ns0:v/>
      </ns0:c>
    </ns0:row>
    <ns0:row r="76" ht="22" customHeight="1">
      <ns0:c r="A76" s="4">
        <ns0:f>IF(COUNTA(Bookings!A76:G76,Bookings!I76)=0,0,1)</ns0:f>
        <ns0:v>0</ns0:v>
      </ns0:c>
      <ns0:c r="B76" s="4" t="str">
        <ns0:f>IFERROR(TRIM(MID(Bookings!A76,FIND(" · ",Bookings!A76)+3,99)),"")</ns0:f>
        <ns0:v/>
      </ns0:c>
      <ns0:c r="C76" s="4">
        <ns0:f>IF(OR(B76="",LEN(B76)&gt;24,ISNUMBER(FIND(" ",B76)),ISNUMBER(FIND("*",B76)),ISNUMBER(FIND("?",B76)),ISNUMBER(FIND("~",B76))),0,IFERROR(MATCH(B76,Team!$A$11:$A$60,0),0))</ns0:f>
        <ns0:v>0</ns0:v>
      </ns0:c>
      <ns0:c r="D76" s="4" t="str">
        <ns0:f>IFERROR(IF(MID(Bookings!F76,LEN(Bookings!F76)-3,3)=" · ",RIGHT(Bookings!F76,1),""),"")</ns0:f>
        <ns0:v/>
      </ns0:c>
      <ns0:c r="E76" s="4" t="str">
        <ns0:f>IFERROR(INDEX(Settings!$H$7:$H$11,MATCH(D76,Settings!$G$7:$G$11,0)),"")</ns0:f>
        <ns0:v/>
      </ns0:c>
      <ns0:c r="F76" s="4" t="str">
        <ns0:f>IF(A76=0,"",IFERROR(IF(OR(B76="",C76=0),"CHECK employee selection",IF(INDEX(Team!$O$11:$O$60,C76)&lt;&gt;"OK","CHECK employee setup",IF(OR('_Dates'!J76=0,'_Dates'!T76=0),"CHECK date: use DD.MM.YYYY",IF('_Dates'!T76&lt;'_Dates'!J76,"CHECK end before start",IF(AND($B$6=0,OR('_Dates'!J76&lt;Settings!$B$7,'_Dates'!T76&gt;Settings!$B$8)),"CHECK split across leave years",IF(OR(NOT(OR('_Dates'!U76="Full day",'_Dates'!U76="AM",'_Dates'!U76="PM")),NOT(OR('_Dates'!V76="Full day",'_Dates'!V76="AM",'_Dates'!V76="PM"))),"CHECK Full day / AM / PM",IF(AND('_Dates'!J76='_Dates'!T76,'_Dates'!U76&lt;&gt;"Full day",'_Dates'!V76&lt;&gt;"Full day",'_Dates'!U76&lt;&gt;'_Dates'!V76),"CHECK same-day portions disagree",IF(AND($B$6=0,OR(AND('_Dates'!U76&lt;&gt;"Full day",'_Dates'!AA76=0),AND('_Dates'!V76&lt;&gt;"Full day",'_Dates'!AB76=0))),"CHECK half-day on non-working date",IF(COUNTIF(Settings!$G$7:$G$11,D76)&lt;&gt;1,"CHECK leave type",IF(AND(Bookings!G76&lt;&gt;"Approved",Bookings!G76&lt;&gt;"Pending",Bookings!G76&lt;&gt;"Cancelled"),"CHECK status","OK")))))))))),"CHECK input"))</ns0:f>
        <ns0:v/>
      </ns0:c>
      <ns0:c r="G76" s="4">
        <ns0:f>IF(OR(F76&lt;&gt;"OK",$B$6&gt;0),0,0.5*(IF(('_Dates'!X76)&lt;('_Dates'!W76),0,INT((('_Dates'!X76)-('_Dates'!W76)+1)/7)*LEN(SUBSTITUTE(W76,"O",""))+LEN(SUBSTITUTE(MID(W76&amp;W76,WEEKDAY(('_Dates'!W76),2),MOD((('_Dates'!X76)-('_Dates'!W76)+1),7)),"O",""))-COUNTIFS(INDEX(AllClosureRows,C76,0),"&gt;="&amp;('_Dates'!W76),INDEX(AllClosureRows,C76,0),"&lt;="&amp;('_Dates'!X76)))+IF(('_Dates'!Z76)&lt;('_Dates'!Y76),0,INT((('_Dates'!Z76)-('_Dates'!Y76)+1)/7)*LEN(SUBSTITUTE(W76,"O",""))+LEN(SUBSTITUTE(MID(W76&amp;W76,WEEKDAY(('_Dates'!Y76),2),MOD((('_Dates'!Z76)-('_Dates'!Y76)+1),7)),"O",""))-COUNTIFS(INDEX(AllClosureRows,C76,0),"&gt;="&amp;('_Dates'!Y76),INDEX(AllClosureRows,C76,0),"&lt;="&amp;('_Dates'!Z76)))))</ns0:f>
        <ns0:v>0</ns0:v>
      </ns0:c>
      <ns0:c r="H76" s="4">
        <ns0:f>IF(OR(F76&lt;&gt;"OK",$B$6&gt;0),0,0.5*(IF((MIN('_Dates'!X76,Settings!$B$9))&lt;('_Dates'!W76),0,INT(((MIN('_Dates'!X76,Settings!$B$9))-('_Dates'!W76)+1)/7)*LEN(SUBSTITUTE(W76,"O",""))+LEN(SUBSTITUTE(MID(W76&amp;W76,WEEKDAY(('_Dates'!W76),2),MOD(((MIN('_Dates'!X76,Settings!$B$9))-('_Dates'!W76)+1),7)),"O",""))-COUNTIFS(INDEX(AllClosureRows,C76,0),"&gt;="&amp;('_Dates'!W76),INDEX(AllClosureRows,C76,0),"&lt;="&amp;(MIN('_Dates'!X76,Settings!$B$9))))+IF((MIN('_Dates'!Z76,Settings!$B$9))&lt;('_Dates'!Y76),0,INT(((MIN('_Dates'!Z76,Settings!$B$9))-('_Dates'!Y76)+1)/7)*LEN(SUBSTITUTE(W76,"O",""))+LEN(SUBSTITUTE(MID(W76&amp;W76,WEEKDAY(('_Dates'!Y76),2),MOD(((MIN('_Dates'!Z76,Settings!$B$9))-('_Dates'!Y76)+1),7)),"O",""))-COUNTIFS(INDEX(AllClosureRows,C76,0),"&gt;="&amp;('_Dates'!Y76),INDEX(AllClosureRows,C76,0),"&lt;="&amp;(MIN('_Dates'!Z76,Settings!$B$9))))))</ns0:f>
        <ns0:v>0</ns0:v>
      </ns0:c>
      <ns0:c r="I76" s="4">
        <ns0:f>MAX(0,G76-H76)</ns0:f>
        <ns0:v>0</ns0:v>
      </ns0:c>
      <ns0:c r="J76" s="4">
        <ns0:f>IF(OR(A76=0,F76&lt;&gt;"OK",Bookings!G76="Cancelled",$B$6&gt;0),0,IF('_Dates'!AC76=1,MAX(0,COUNTIFS(rngEngine_B,B76,rngAMStart,"&lt;="&amp;'_Dates'!X76,rngAMEnd,"&gt;="&amp;'_Dates'!W76,rngAMActive,1,rngEngine_F,"OK",rngBookings_F,"&lt;&gt;Cancelled")-1),0)+IF('_Dates'!AD76=1,MAX(0,COUNTIFS(rngEngine_B,B76,rngPMStart,"&lt;="&amp;'_Dates'!Z76,rngPMEnd,"&gt;="&amp;'_Dates'!Y76,rngPMActive,1,rngEngine_F,"OK",rngBookings_F,"&lt;&gt;Cancelled")-1),0))</ns0:f>
        <ns0:v>0</ns0:v>
      </ns0:c>
      <ns0:c r="K76" s="0" t="str">
        <ns0:f>IF(A76=0,"",IF(F76&lt;&gt;"OK",F76,IF(J76&gt;0,"CHECK overlapping entry",IF(AND($B$6=0,G76&lt;=0,Bookings!G76&lt;&gt;"Cancelled"),"CHECK no working days",IF(Bookings!G76="Cancelled","Cancelled","OK")))))</ns0:f>
        <ns0:v/>
      </ns0:c>
      <ns0:c r="L76" s="0">
        <ns0:f>IF(LEFT(K76,5)="CHECK",1,0)</ns0:f>
        <ns0:v>0</ns0:v>
      </ns0:c>
      <ns0:c r="M76" s="0">
        <ns0:f>IF(AND(L76=1,OR(C76=0,IFERROR(INDEX($X$11:$X$60,C76),0)=0)),1,0)</ns0:f>
        <ns0:v>0</ns0:v>
      </ns0:c>
      <ns0:c r="N76" s="0">
        <ns0:f>IF(OR(A76=0,L76&gt;0,$B$6&gt;0,Bookings!G76="Cancelled"),0,G76)</ns0:f>
        <ns0:v>0</ns0:v>
      </ns0:c>
      <ns0:c r="O76" s="0">
        <ns0:f>IF(AND(Bookings!G76="Approved",E76="Yes"),N76,0)</ns0:f>
        <ns0:v>0</ns0:v>
      </ns0:c>
      <ns0:c r="P76" s="0">
        <ns0:f>IF(AND(Bookings!G76="Approved",E76="Yes",L76=0,$B$6=0),H76,0)</ns0:f>
        <ns0:v>0</ns0:v>
      </ns0:c>
      <ns0:c r="Q76" s="0">
        <ns0:f>IF(AND(Bookings!G76="Approved",E76="Yes",L76=0,$B$6=0),I76,0)</ns0:f>
        <ns0:v>0</ns0:v>
      </ns0:c>
      <ns0:c r="R76" s="0">
        <ns0:f>IF(AND(Bookings!G76="Pending",E76="Yes"),N76,0)</ns0:f>
        <ns0:v>0</ns0:v>
      </ns0:c>
      <ns0:c r="S76" s="0">
        <ns0:f>IF(AND(Bookings!G76="Approved",E76="No"),N76,0)</ns0:f>
        <ns0:v>0</ns0:v>
      </ns0:c>
      <ns0:c r="T76" s="0">
        <ns0:f>IFERROR(MATCH(D76,Settings!$G$7:$G$11,0),0)</ns0:f>
        <ns0:v>0</ns0:v>
      </ns0:c>
      <ns0:c r="U76" s="0">
        <ns0:f>IF(N76&gt;0,T76+IF(Bookings!G76="Pending",10,0),0)</ns0:f>
        <ns0:v>0</ns0:v>
      </ns0:c>
      <ns0:c r="V76" s="0">
        <ns0:f>U76</ns0:f>
        <ns0:v>0</ns0:v>
      </ns0:c>
      <ns0:c r="W76" s="0" t="str">
        <ns0:f>IF(C76=0,"",INDEX($AP$11:$AP$60,C76))</ns0:f>
        <ns0:v/>
      </ns0:c>
    </ns0:row>
    <ns0:row r="77" ht="22" customHeight="1">
      <ns0:c r="A77" s="4">
        <ns0:f>IF(COUNTA(Bookings!A77:G77,Bookings!I77)=0,0,1)</ns0:f>
        <ns0:v>0</ns0:v>
      </ns0:c>
      <ns0:c r="B77" s="4" t="str">
        <ns0:f>IFERROR(TRIM(MID(Bookings!A77,FIND(" · ",Bookings!A77)+3,99)),"")</ns0:f>
        <ns0:v/>
      </ns0:c>
      <ns0:c r="C77" s="4">
        <ns0:f>IF(OR(B77="",LEN(B77)&gt;24,ISNUMBER(FIND(" ",B77)),ISNUMBER(FIND("*",B77)),ISNUMBER(FIND("?",B77)),ISNUMBER(FIND("~",B77))),0,IFERROR(MATCH(B77,Team!$A$11:$A$60,0),0))</ns0:f>
        <ns0:v>0</ns0:v>
      </ns0:c>
      <ns0:c r="D77" s="4" t="str">
        <ns0:f>IFERROR(IF(MID(Bookings!F77,LEN(Bookings!F77)-3,3)=" · ",RIGHT(Bookings!F77,1),""),"")</ns0:f>
        <ns0:v/>
      </ns0:c>
      <ns0:c r="E77" s="4" t="str">
        <ns0:f>IFERROR(INDEX(Settings!$H$7:$H$11,MATCH(D77,Settings!$G$7:$G$11,0)),"")</ns0:f>
        <ns0:v/>
      </ns0:c>
      <ns0:c r="F77" s="4" t="str">
        <ns0:f>IF(A77=0,"",IFERROR(IF(OR(B77="",C77=0),"CHECK employee selection",IF(INDEX(Team!$O$11:$O$60,C77)&lt;&gt;"OK","CHECK employee setup",IF(OR('_Dates'!J77=0,'_Dates'!T77=0),"CHECK date: use DD.MM.YYYY",IF('_Dates'!T77&lt;'_Dates'!J77,"CHECK end before start",IF(AND($B$6=0,OR('_Dates'!J77&lt;Settings!$B$7,'_Dates'!T77&gt;Settings!$B$8)),"CHECK split across leave years",IF(OR(NOT(OR('_Dates'!U77="Full day",'_Dates'!U77="AM",'_Dates'!U77="PM")),NOT(OR('_Dates'!V77="Full day",'_Dates'!V77="AM",'_Dates'!V77="PM"))),"CHECK Full day / AM / PM",IF(AND('_Dates'!J77='_Dates'!T77,'_Dates'!U77&lt;&gt;"Full day",'_Dates'!V77&lt;&gt;"Full day",'_Dates'!U77&lt;&gt;'_Dates'!V77),"CHECK same-day portions disagree",IF(AND($B$6=0,OR(AND('_Dates'!U77&lt;&gt;"Full day",'_Dates'!AA77=0),AND('_Dates'!V77&lt;&gt;"Full day",'_Dates'!AB77=0))),"CHECK half-day on non-working date",IF(COUNTIF(Settings!$G$7:$G$11,D77)&lt;&gt;1,"CHECK leave type",IF(AND(Bookings!G77&lt;&gt;"Approved",Bookings!G77&lt;&gt;"Pending",Bookings!G77&lt;&gt;"Cancelled"),"CHECK status","OK")))))))))),"CHECK input"))</ns0:f>
        <ns0:v/>
      </ns0:c>
      <ns0:c r="G77" s="4">
        <ns0:f>IF(OR(F77&lt;&gt;"OK",$B$6&gt;0),0,0.5*(IF(('_Dates'!X77)&lt;('_Dates'!W77),0,INT((('_Dates'!X77)-('_Dates'!W77)+1)/7)*LEN(SUBSTITUTE(W77,"O",""))+LEN(SUBSTITUTE(MID(W77&amp;W77,WEEKDAY(('_Dates'!W77),2),MOD((('_Dates'!X77)-('_Dates'!W77)+1),7)),"O",""))-COUNTIFS(INDEX(AllClosureRows,C77,0),"&gt;="&amp;('_Dates'!W77),INDEX(AllClosureRows,C77,0),"&lt;="&amp;('_Dates'!X77)))+IF(('_Dates'!Z77)&lt;('_Dates'!Y77),0,INT((('_Dates'!Z77)-('_Dates'!Y77)+1)/7)*LEN(SUBSTITUTE(W77,"O",""))+LEN(SUBSTITUTE(MID(W77&amp;W77,WEEKDAY(('_Dates'!Y77),2),MOD((('_Dates'!Z77)-('_Dates'!Y77)+1),7)),"O",""))-COUNTIFS(INDEX(AllClosureRows,C77,0),"&gt;="&amp;('_Dates'!Y77),INDEX(AllClosureRows,C77,0),"&lt;="&amp;('_Dates'!Z77)))))</ns0:f>
        <ns0:v>0</ns0:v>
      </ns0:c>
      <ns0:c r="H77" s="4">
        <ns0:f>IF(OR(F77&lt;&gt;"OK",$B$6&gt;0),0,0.5*(IF((MIN('_Dates'!X77,Settings!$B$9))&lt;('_Dates'!W77),0,INT(((MIN('_Dates'!X77,Settings!$B$9))-('_Dates'!W77)+1)/7)*LEN(SUBSTITUTE(W77,"O",""))+LEN(SUBSTITUTE(MID(W77&amp;W77,WEEKDAY(('_Dates'!W77),2),MOD(((MIN('_Dates'!X77,Settings!$B$9))-('_Dates'!W77)+1),7)),"O",""))-COUNTIFS(INDEX(AllClosureRows,C77,0),"&gt;="&amp;('_Dates'!W77),INDEX(AllClosureRows,C77,0),"&lt;="&amp;(MIN('_Dates'!X77,Settings!$B$9))))+IF((MIN('_Dates'!Z77,Settings!$B$9))&lt;('_Dates'!Y77),0,INT(((MIN('_Dates'!Z77,Settings!$B$9))-('_Dates'!Y77)+1)/7)*LEN(SUBSTITUTE(W77,"O",""))+LEN(SUBSTITUTE(MID(W77&amp;W77,WEEKDAY(('_Dates'!Y77),2),MOD(((MIN('_Dates'!Z77,Settings!$B$9))-('_Dates'!Y77)+1),7)),"O",""))-COUNTIFS(INDEX(AllClosureRows,C77,0),"&gt;="&amp;('_Dates'!Y77),INDEX(AllClosureRows,C77,0),"&lt;="&amp;(MIN('_Dates'!Z77,Settings!$B$9))))))</ns0:f>
        <ns0:v>0</ns0:v>
      </ns0:c>
      <ns0:c r="I77" s="4">
        <ns0:f>MAX(0,G77-H77)</ns0:f>
        <ns0:v>0</ns0:v>
      </ns0:c>
      <ns0:c r="J77" s="4">
        <ns0:f>IF(OR(A77=0,F77&lt;&gt;"OK",Bookings!G77="Cancelled",$B$6&gt;0),0,IF('_Dates'!AC77=1,MAX(0,COUNTIFS(rngEngine_B,B77,rngAMStart,"&lt;="&amp;'_Dates'!X77,rngAMEnd,"&gt;="&amp;'_Dates'!W77,rngAMActive,1,rngEngine_F,"OK",rngBookings_F,"&lt;&gt;Cancelled")-1),0)+IF('_Dates'!AD77=1,MAX(0,COUNTIFS(rngEngine_B,B77,rngPMStart,"&lt;="&amp;'_Dates'!Z77,rngPMEnd,"&gt;="&amp;'_Dates'!Y77,rngPMActive,1,rngEngine_F,"OK",rngBookings_F,"&lt;&gt;Cancelled")-1),0))</ns0:f>
        <ns0:v>0</ns0:v>
      </ns0:c>
      <ns0:c r="K77" s="0" t="str">
        <ns0:f>IF(A77=0,"",IF(F77&lt;&gt;"OK",F77,IF(J77&gt;0,"CHECK overlapping entry",IF(AND($B$6=0,G77&lt;=0,Bookings!G77&lt;&gt;"Cancelled"),"CHECK no working days",IF(Bookings!G77="Cancelled","Cancelled","OK")))))</ns0:f>
        <ns0:v/>
      </ns0:c>
      <ns0:c r="L77" s="0">
        <ns0:f>IF(LEFT(K77,5)="CHECK",1,0)</ns0:f>
        <ns0:v>0</ns0:v>
      </ns0:c>
      <ns0:c r="M77" s="0">
        <ns0:f>IF(AND(L77=1,OR(C77=0,IFERROR(INDEX($X$11:$X$60,C77),0)=0)),1,0)</ns0:f>
        <ns0:v>0</ns0:v>
      </ns0:c>
      <ns0:c r="N77" s="0">
        <ns0:f>IF(OR(A77=0,L77&gt;0,$B$6&gt;0,Bookings!G77="Cancelled"),0,G77)</ns0:f>
        <ns0:v>0</ns0:v>
      </ns0:c>
      <ns0:c r="O77" s="0">
        <ns0:f>IF(AND(Bookings!G77="Approved",E77="Yes"),N77,0)</ns0:f>
        <ns0:v>0</ns0:v>
      </ns0:c>
      <ns0:c r="P77" s="0">
        <ns0:f>IF(AND(Bookings!G77="Approved",E77="Yes",L77=0,$B$6=0),H77,0)</ns0:f>
        <ns0:v>0</ns0:v>
      </ns0:c>
      <ns0:c r="Q77" s="0">
        <ns0:f>IF(AND(Bookings!G77="Approved",E77="Yes",L77=0,$B$6=0),I77,0)</ns0:f>
        <ns0:v>0</ns0:v>
      </ns0:c>
      <ns0:c r="R77" s="0">
        <ns0:f>IF(AND(Bookings!G77="Pending",E77="Yes"),N77,0)</ns0:f>
        <ns0:v>0</ns0:v>
      </ns0:c>
      <ns0:c r="S77" s="0">
        <ns0:f>IF(AND(Bookings!G77="Approved",E77="No"),N77,0)</ns0:f>
        <ns0:v>0</ns0:v>
      </ns0:c>
      <ns0:c r="T77" s="0">
        <ns0:f>IFERROR(MATCH(D77,Settings!$G$7:$G$11,0),0)</ns0:f>
        <ns0:v>0</ns0:v>
      </ns0:c>
      <ns0:c r="U77" s="0">
        <ns0:f>IF(N77&gt;0,T77+IF(Bookings!G77="Pending",10,0),0)</ns0:f>
        <ns0:v>0</ns0:v>
      </ns0:c>
      <ns0:c r="V77" s="0">
        <ns0:f>U77</ns0:f>
        <ns0:v>0</ns0:v>
      </ns0:c>
      <ns0:c r="W77" s="0" t="str">
        <ns0:f>IF(C77=0,"",INDEX($AP$11:$AP$60,C77))</ns0:f>
        <ns0:v/>
      </ns0:c>
    </ns0:row>
    <ns0:row r="78" ht="22" customHeight="1">
      <ns0:c r="A78" s="4">
        <ns0:f>IF(COUNTA(Bookings!A78:G78,Bookings!I78)=0,0,1)</ns0:f>
        <ns0:v>0</ns0:v>
      </ns0:c>
      <ns0:c r="B78" s="4" t="str">
        <ns0:f>IFERROR(TRIM(MID(Bookings!A78,FIND(" · ",Bookings!A78)+3,99)),"")</ns0:f>
        <ns0:v/>
      </ns0:c>
      <ns0:c r="C78" s="4">
        <ns0:f>IF(OR(B78="",LEN(B78)&gt;24,ISNUMBER(FIND(" ",B78)),ISNUMBER(FIND("*",B78)),ISNUMBER(FIND("?",B78)),ISNUMBER(FIND("~",B78))),0,IFERROR(MATCH(B78,Team!$A$11:$A$60,0),0))</ns0:f>
        <ns0:v>0</ns0:v>
      </ns0:c>
      <ns0:c r="D78" s="4" t="str">
        <ns0:f>IFERROR(IF(MID(Bookings!F78,LEN(Bookings!F78)-3,3)=" · ",RIGHT(Bookings!F78,1),""),"")</ns0:f>
        <ns0:v/>
      </ns0:c>
      <ns0:c r="E78" s="4" t="str">
        <ns0:f>IFERROR(INDEX(Settings!$H$7:$H$11,MATCH(D78,Settings!$G$7:$G$11,0)),"")</ns0:f>
        <ns0:v/>
      </ns0:c>
      <ns0:c r="F78" s="4" t="str">
        <ns0:f>IF(A78=0,"",IFERROR(IF(OR(B78="",C78=0),"CHECK employee selection",IF(INDEX(Team!$O$11:$O$60,C78)&lt;&gt;"OK","CHECK employee setup",IF(OR('_Dates'!J78=0,'_Dates'!T78=0),"CHECK date: use DD.MM.YYYY",IF('_Dates'!T78&lt;'_Dates'!J78,"CHECK end before start",IF(AND($B$6=0,OR('_Dates'!J78&lt;Settings!$B$7,'_Dates'!T78&gt;Settings!$B$8)),"CHECK split across leave years",IF(OR(NOT(OR('_Dates'!U78="Full day",'_Dates'!U78="AM",'_Dates'!U78="PM")),NOT(OR('_Dates'!V78="Full day",'_Dates'!V78="AM",'_Dates'!V78="PM"))),"CHECK Full day / AM / PM",IF(AND('_Dates'!J78='_Dates'!T78,'_Dates'!U78&lt;&gt;"Full day",'_Dates'!V78&lt;&gt;"Full day",'_Dates'!U78&lt;&gt;'_Dates'!V78),"CHECK same-day portions disagree",IF(AND($B$6=0,OR(AND('_Dates'!U78&lt;&gt;"Full day",'_Dates'!AA78=0),AND('_Dates'!V78&lt;&gt;"Full day",'_Dates'!AB78=0))),"CHECK half-day on non-working date",IF(COUNTIF(Settings!$G$7:$G$11,D78)&lt;&gt;1,"CHECK leave type",IF(AND(Bookings!G78&lt;&gt;"Approved",Bookings!G78&lt;&gt;"Pending",Bookings!G78&lt;&gt;"Cancelled"),"CHECK status","OK")))))))))),"CHECK input"))</ns0:f>
        <ns0:v/>
      </ns0:c>
      <ns0:c r="G78" s="4">
        <ns0:f>IF(OR(F78&lt;&gt;"OK",$B$6&gt;0),0,0.5*(IF(('_Dates'!X78)&lt;('_Dates'!W78),0,INT((('_Dates'!X78)-('_Dates'!W78)+1)/7)*LEN(SUBSTITUTE(W78,"O",""))+LEN(SUBSTITUTE(MID(W78&amp;W78,WEEKDAY(('_Dates'!W78),2),MOD((('_Dates'!X78)-('_Dates'!W78)+1),7)),"O",""))-COUNTIFS(INDEX(AllClosureRows,C78,0),"&gt;="&amp;('_Dates'!W78),INDEX(AllClosureRows,C78,0),"&lt;="&amp;('_Dates'!X78)))+IF(('_Dates'!Z78)&lt;('_Dates'!Y78),0,INT((('_Dates'!Z78)-('_Dates'!Y78)+1)/7)*LEN(SUBSTITUTE(W78,"O",""))+LEN(SUBSTITUTE(MID(W78&amp;W78,WEEKDAY(('_Dates'!Y78),2),MOD((('_Dates'!Z78)-('_Dates'!Y78)+1),7)),"O",""))-COUNTIFS(INDEX(AllClosureRows,C78,0),"&gt;="&amp;('_Dates'!Y78),INDEX(AllClosureRows,C78,0),"&lt;="&amp;('_Dates'!Z78)))))</ns0:f>
        <ns0:v>0</ns0:v>
      </ns0:c>
      <ns0:c r="H78" s="4">
        <ns0:f>IF(OR(F78&lt;&gt;"OK",$B$6&gt;0),0,0.5*(IF((MIN('_Dates'!X78,Settings!$B$9))&lt;('_Dates'!W78),0,INT(((MIN('_Dates'!X78,Settings!$B$9))-('_Dates'!W78)+1)/7)*LEN(SUBSTITUTE(W78,"O",""))+LEN(SUBSTITUTE(MID(W78&amp;W78,WEEKDAY(('_Dates'!W78),2),MOD(((MIN('_Dates'!X78,Settings!$B$9))-('_Dates'!W78)+1),7)),"O",""))-COUNTIFS(INDEX(AllClosureRows,C78,0),"&gt;="&amp;('_Dates'!W78),INDEX(AllClosureRows,C78,0),"&lt;="&amp;(MIN('_Dates'!X78,Settings!$B$9))))+IF((MIN('_Dates'!Z78,Settings!$B$9))&lt;('_Dates'!Y78),0,INT(((MIN('_Dates'!Z78,Settings!$B$9))-('_Dates'!Y78)+1)/7)*LEN(SUBSTITUTE(W78,"O",""))+LEN(SUBSTITUTE(MID(W78&amp;W78,WEEKDAY(('_Dates'!Y78),2),MOD(((MIN('_Dates'!Z78,Settings!$B$9))-('_Dates'!Y78)+1),7)),"O",""))-COUNTIFS(INDEX(AllClosureRows,C78,0),"&gt;="&amp;('_Dates'!Y78),INDEX(AllClosureRows,C78,0),"&lt;="&amp;(MIN('_Dates'!Z78,Settings!$B$9))))))</ns0:f>
        <ns0:v>0</ns0:v>
      </ns0:c>
      <ns0:c r="I78" s="4">
        <ns0:f>MAX(0,G78-H78)</ns0:f>
        <ns0:v>0</ns0:v>
      </ns0:c>
      <ns0:c r="J78" s="4">
        <ns0:f>IF(OR(A78=0,F78&lt;&gt;"OK",Bookings!G78="Cancelled",$B$6&gt;0),0,IF('_Dates'!AC78=1,MAX(0,COUNTIFS(rngEngine_B,B78,rngAMStart,"&lt;="&amp;'_Dates'!X78,rngAMEnd,"&gt;="&amp;'_Dates'!W78,rngAMActive,1,rngEngine_F,"OK",rngBookings_F,"&lt;&gt;Cancelled")-1),0)+IF('_Dates'!AD78=1,MAX(0,COUNTIFS(rngEngine_B,B78,rngPMStart,"&lt;="&amp;'_Dates'!Z78,rngPMEnd,"&gt;="&amp;'_Dates'!Y78,rngPMActive,1,rngEngine_F,"OK",rngBookings_F,"&lt;&gt;Cancelled")-1),0))</ns0:f>
        <ns0:v>0</ns0:v>
      </ns0:c>
      <ns0:c r="K78" s="0" t="str">
        <ns0:f>IF(A78=0,"",IF(F78&lt;&gt;"OK",F78,IF(J78&gt;0,"CHECK overlapping entry",IF(AND($B$6=0,G78&lt;=0,Bookings!G78&lt;&gt;"Cancelled"),"CHECK no working days",IF(Bookings!G78="Cancelled","Cancelled","OK")))))</ns0:f>
        <ns0:v/>
      </ns0:c>
      <ns0:c r="L78" s="0">
        <ns0:f>IF(LEFT(K78,5)="CHECK",1,0)</ns0:f>
        <ns0:v>0</ns0:v>
      </ns0:c>
      <ns0:c r="M78" s="0">
        <ns0:f>IF(AND(L78=1,OR(C78=0,IFERROR(INDEX($X$11:$X$60,C78),0)=0)),1,0)</ns0:f>
        <ns0:v>0</ns0:v>
      </ns0:c>
      <ns0:c r="N78" s="0">
        <ns0:f>IF(OR(A78=0,L78&gt;0,$B$6&gt;0,Bookings!G78="Cancelled"),0,G78)</ns0:f>
        <ns0:v>0</ns0:v>
      </ns0:c>
      <ns0:c r="O78" s="0">
        <ns0:f>IF(AND(Bookings!G78="Approved",E78="Yes"),N78,0)</ns0:f>
        <ns0:v>0</ns0:v>
      </ns0:c>
      <ns0:c r="P78" s="0">
        <ns0:f>IF(AND(Bookings!G78="Approved",E78="Yes",L78=0,$B$6=0),H78,0)</ns0:f>
        <ns0:v>0</ns0:v>
      </ns0:c>
      <ns0:c r="Q78" s="0">
        <ns0:f>IF(AND(Bookings!G78="Approved",E78="Yes",L78=0,$B$6=0),I78,0)</ns0:f>
        <ns0:v>0</ns0:v>
      </ns0:c>
      <ns0:c r="R78" s="0">
        <ns0:f>IF(AND(Bookings!G78="Pending",E78="Yes"),N78,0)</ns0:f>
        <ns0:v>0</ns0:v>
      </ns0:c>
      <ns0:c r="S78" s="0">
        <ns0:f>IF(AND(Bookings!G78="Approved",E78="No"),N78,0)</ns0:f>
        <ns0:v>0</ns0:v>
      </ns0:c>
      <ns0:c r="T78" s="0">
        <ns0:f>IFERROR(MATCH(D78,Settings!$G$7:$G$11,0),0)</ns0:f>
        <ns0:v>0</ns0:v>
      </ns0:c>
      <ns0:c r="U78" s="0">
        <ns0:f>IF(N78&gt;0,T78+IF(Bookings!G78="Pending",10,0),0)</ns0:f>
        <ns0:v>0</ns0:v>
      </ns0:c>
      <ns0:c r="V78" s="0">
        <ns0:f>U78</ns0:f>
        <ns0:v>0</ns0:v>
      </ns0:c>
      <ns0:c r="W78" s="0" t="str">
        <ns0:f>IF(C78=0,"",INDEX($AP$11:$AP$60,C78))</ns0:f>
        <ns0:v/>
      </ns0:c>
    </ns0:row>
    <ns0:row r="79" ht="22" customHeight="1">
      <ns0:c r="A79" s="4">
        <ns0:f>IF(COUNTA(Bookings!A79:G79,Bookings!I79)=0,0,1)</ns0:f>
        <ns0:v>0</ns0:v>
      </ns0:c>
      <ns0:c r="B79" s="4" t="str">
        <ns0:f>IFERROR(TRIM(MID(Bookings!A79,FIND(" · ",Bookings!A79)+3,99)),"")</ns0:f>
        <ns0:v/>
      </ns0:c>
      <ns0:c r="C79" s="4">
        <ns0:f>IF(OR(B79="",LEN(B79)&gt;24,ISNUMBER(FIND(" ",B79)),ISNUMBER(FIND("*",B79)),ISNUMBER(FIND("?",B79)),ISNUMBER(FIND("~",B79))),0,IFERROR(MATCH(B79,Team!$A$11:$A$60,0),0))</ns0:f>
        <ns0:v>0</ns0:v>
      </ns0:c>
      <ns0:c r="D79" s="4" t="str">
        <ns0:f>IFERROR(IF(MID(Bookings!F79,LEN(Bookings!F79)-3,3)=" · ",RIGHT(Bookings!F79,1),""),"")</ns0:f>
        <ns0:v/>
      </ns0:c>
      <ns0:c r="E79" s="4" t="str">
        <ns0:f>IFERROR(INDEX(Settings!$H$7:$H$11,MATCH(D79,Settings!$G$7:$G$11,0)),"")</ns0:f>
        <ns0:v/>
      </ns0:c>
      <ns0:c r="F79" s="4" t="str">
        <ns0:f>IF(A79=0,"",IFERROR(IF(OR(B79="",C79=0),"CHECK employee selection",IF(INDEX(Team!$O$11:$O$60,C79)&lt;&gt;"OK","CHECK employee setup",IF(OR('_Dates'!J79=0,'_Dates'!T79=0),"CHECK date: use DD.MM.YYYY",IF('_Dates'!T79&lt;'_Dates'!J79,"CHECK end before start",IF(AND($B$6=0,OR('_Dates'!J79&lt;Settings!$B$7,'_Dates'!T79&gt;Settings!$B$8)),"CHECK split across leave years",IF(OR(NOT(OR('_Dates'!U79="Full day",'_Dates'!U79="AM",'_Dates'!U79="PM")),NOT(OR('_Dates'!V79="Full day",'_Dates'!V79="AM",'_Dates'!V79="PM"))),"CHECK Full day / AM / PM",IF(AND('_Dates'!J79='_Dates'!T79,'_Dates'!U79&lt;&gt;"Full day",'_Dates'!V79&lt;&gt;"Full day",'_Dates'!U79&lt;&gt;'_Dates'!V79),"CHECK same-day portions disagree",IF(AND($B$6=0,OR(AND('_Dates'!U79&lt;&gt;"Full day",'_Dates'!AA79=0),AND('_Dates'!V79&lt;&gt;"Full day",'_Dates'!AB79=0))),"CHECK half-day on non-working date",IF(COUNTIF(Settings!$G$7:$G$11,D79)&lt;&gt;1,"CHECK leave type",IF(AND(Bookings!G79&lt;&gt;"Approved",Bookings!G79&lt;&gt;"Pending",Bookings!G79&lt;&gt;"Cancelled"),"CHECK status","OK")))))))))),"CHECK input"))</ns0:f>
        <ns0:v/>
      </ns0:c>
      <ns0:c r="G79" s="4">
        <ns0:f>IF(OR(F79&lt;&gt;"OK",$B$6&gt;0),0,0.5*(IF(('_Dates'!X79)&lt;('_Dates'!W79),0,INT((('_Dates'!X79)-('_Dates'!W79)+1)/7)*LEN(SUBSTITUTE(W79,"O",""))+LEN(SUBSTITUTE(MID(W79&amp;W79,WEEKDAY(('_Dates'!W79),2),MOD((('_Dates'!X79)-('_Dates'!W79)+1),7)),"O",""))-COUNTIFS(INDEX(AllClosureRows,C79,0),"&gt;="&amp;('_Dates'!W79),INDEX(AllClosureRows,C79,0),"&lt;="&amp;('_Dates'!X79)))+IF(('_Dates'!Z79)&lt;('_Dates'!Y79),0,INT((('_Dates'!Z79)-('_Dates'!Y79)+1)/7)*LEN(SUBSTITUTE(W79,"O",""))+LEN(SUBSTITUTE(MID(W79&amp;W79,WEEKDAY(('_Dates'!Y79),2),MOD((('_Dates'!Z79)-('_Dates'!Y79)+1),7)),"O",""))-COUNTIFS(INDEX(AllClosureRows,C79,0),"&gt;="&amp;('_Dates'!Y79),INDEX(AllClosureRows,C79,0),"&lt;="&amp;('_Dates'!Z79)))))</ns0:f>
        <ns0:v>0</ns0:v>
      </ns0:c>
      <ns0:c r="H79" s="4">
        <ns0:f>IF(OR(F79&lt;&gt;"OK",$B$6&gt;0),0,0.5*(IF((MIN('_Dates'!X79,Settings!$B$9))&lt;('_Dates'!W79),0,INT(((MIN('_Dates'!X79,Settings!$B$9))-('_Dates'!W79)+1)/7)*LEN(SUBSTITUTE(W79,"O",""))+LEN(SUBSTITUTE(MID(W79&amp;W79,WEEKDAY(('_Dates'!W79),2),MOD(((MIN('_Dates'!X79,Settings!$B$9))-('_Dates'!W79)+1),7)),"O",""))-COUNTIFS(INDEX(AllClosureRows,C79,0),"&gt;="&amp;('_Dates'!W79),INDEX(AllClosureRows,C79,0),"&lt;="&amp;(MIN('_Dates'!X79,Settings!$B$9))))+IF((MIN('_Dates'!Z79,Settings!$B$9))&lt;('_Dates'!Y79),0,INT(((MIN('_Dates'!Z79,Settings!$B$9))-('_Dates'!Y79)+1)/7)*LEN(SUBSTITUTE(W79,"O",""))+LEN(SUBSTITUTE(MID(W79&amp;W79,WEEKDAY(('_Dates'!Y79),2),MOD(((MIN('_Dates'!Z79,Settings!$B$9))-('_Dates'!Y79)+1),7)),"O",""))-COUNTIFS(INDEX(AllClosureRows,C79,0),"&gt;="&amp;('_Dates'!Y79),INDEX(AllClosureRows,C79,0),"&lt;="&amp;(MIN('_Dates'!Z79,Settings!$B$9))))))</ns0:f>
        <ns0:v>0</ns0:v>
      </ns0:c>
      <ns0:c r="I79" s="4">
        <ns0:f>MAX(0,G79-H79)</ns0:f>
        <ns0:v>0</ns0:v>
      </ns0:c>
      <ns0:c r="J79" s="4">
        <ns0:f>IF(OR(A79=0,F79&lt;&gt;"OK",Bookings!G79="Cancelled",$B$6&gt;0),0,IF('_Dates'!AC79=1,MAX(0,COUNTIFS(rngEngine_B,B79,rngAMStart,"&lt;="&amp;'_Dates'!X79,rngAMEnd,"&gt;="&amp;'_Dates'!W79,rngAMActive,1,rngEngine_F,"OK",rngBookings_F,"&lt;&gt;Cancelled")-1),0)+IF('_Dates'!AD79=1,MAX(0,COUNTIFS(rngEngine_B,B79,rngPMStart,"&lt;="&amp;'_Dates'!Z79,rngPMEnd,"&gt;="&amp;'_Dates'!Y79,rngPMActive,1,rngEngine_F,"OK",rngBookings_F,"&lt;&gt;Cancelled")-1),0))</ns0:f>
        <ns0:v>0</ns0:v>
      </ns0:c>
      <ns0:c r="K79" s="0" t="str">
        <ns0:f>IF(A79=0,"",IF(F79&lt;&gt;"OK",F79,IF(J79&gt;0,"CHECK overlapping entry",IF(AND($B$6=0,G79&lt;=0,Bookings!G79&lt;&gt;"Cancelled"),"CHECK no working days",IF(Bookings!G79="Cancelled","Cancelled","OK")))))</ns0:f>
        <ns0:v/>
      </ns0:c>
      <ns0:c r="L79" s="0">
        <ns0:f>IF(LEFT(K79,5)="CHECK",1,0)</ns0:f>
        <ns0:v>0</ns0:v>
      </ns0:c>
      <ns0:c r="M79" s="0">
        <ns0:f>IF(AND(L79=1,OR(C79=0,IFERROR(INDEX($X$11:$X$60,C79),0)=0)),1,0)</ns0:f>
        <ns0:v>0</ns0:v>
      </ns0:c>
      <ns0:c r="N79" s="0">
        <ns0:f>IF(OR(A79=0,L79&gt;0,$B$6&gt;0,Bookings!G79="Cancelled"),0,G79)</ns0:f>
        <ns0:v>0</ns0:v>
      </ns0:c>
      <ns0:c r="O79" s="0">
        <ns0:f>IF(AND(Bookings!G79="Approved",E79="Yes"),N79,0)</ns0:f>
        <ns0:v>0</ns0:v>
      </ns0:c>
      <ns0:c r="P79" s="0">
        <ns0:f>IF(AND(Bookings!G79="Approved",E79="Yes",L79=0,$B$6=0),H79,0)</ns0:f>
        <ns0:v>0</ns0:v>
      </ns0:c>
      <ns0:c r="Q79" s="0">
        <ns0:f>IF(AND(Bookings!G79="Approved",E79="Yes",L79=0,$B$6=0),I79,0)</ns0:f>
        <ns0:v>0</ns0:v>
      </ns0:c>
      <ns0:c r="R79" s="0">
        <ns0:f>IF(AND(Bookings!G79="Pending",E79="Yes"),N79,0)</ns0:f>
        <ns0:v>0</ns0:v>
      </ns0:c>
      <ns0:c r="S79" s="0">
        <ns0:f>IF(AND(Bookings!G79="Approved",E79="No"),N79,0)</ns0:f>
        <ns0:v>0</ns0:v>
      </ns0:c>
      <ns0:c r="T79" s="0">
        <ns0:f>IFERROR(MATCH(D79,Settings!$G$7:$G$11,0),0)</ns0:f>
        <ns0:v>0</ns0:v>
      </ns0:c>
      <ns0:c r="U79" s="0">
        <ns0:f>IF(N79&gt;0,T79+IF(Bookings!G79="Pending",10,0),0)</ns0:f>
        <ns0:v>0</ns0:v>
      </ns0:c>
      <ns0:c r="V79" s="0">
        <ns0:f>U79</ns0:f>
        <ns0:v>0</ns0:v>
      </ns0:c>
      <ns0:c r="W79" s="0" t="str">
        <ns0:f>IF(C79=0,"",INDEX($AP$11:$AP$60,C79))</ns0:f>
        <ns0:v/>
      </ns0:c>
    </ns0:row>
    <ns0:row r="80" ht="22" customHeight="1">
      <ns0:c r="A80" s="4">
        <ns0:f>IF(COUNTA(Bookings!A80:G80,Bookings!I80)=0,0,1)</ns0:f>
        <ns0:v>0</ns0:v>
      </ns0:c>
      <ns0:c r="B80" s="4" t="str">
        <ns0:f>IFERROR(TRIM(MID(Bookings!A80,FIND(" · ",Bookings!A80)+3,99)),"")</ns0:f>
        <ns0:v/>
      </ns0:c>
      <ns0:c r="C80" s="4">
        <ns0:f>IF(OR(B80="",LEN(B80)&gt;24,ISNUMBER(FIND(" ",B80)),ISNUMBER(FIND("*",B80)),ISNUMBER(FIND("?",B80)),ISNUMBER(FIND("~",B80))),0,IFERROR(MATCH(B80,Team!$A$11:$A$60,0),0))</ns0:f>
        <ns0:v>0</ns0:v>
      </ns0:c>
      <ns0:c r="D80" s="4" t="str">
        <ns0:f>IFERROR(IF(MID(Bookings!F80,LEN(Bookings!F80)-3,3)=" · ",RIGHT(Bookings!F80,1),""),"")</ns0:f>
        <ns0:v/>
      </ns0:c>
      <ns0:c r="E80" s="4" t="str">
        <ns0:f>IFERROR(INDEX(Settings!$H$7:$H$11,MATCH(D80,Settings!$G$7:$G$11,0)),"")</ns0:f>
        <ns0:v/>
      </ns0:c>
      <ns0:c r="F80" s="4" t="str">
        <ns0:f>IF(A80=0,"",IFERROR(IF(OR(B80="",C80=0),"CHECK employee selection",IF(INDEX(Team!$O$11:$O$60,C80)&lt;&gt;"OK","CHECK employee setup",IF(OR('_Dates'!J80=0,'_Dates'!T80=0),"CHECK date: use DD.MM.YYYY",IF('_Dates'!T80&lt;'_Dates'!J80,"CHECK end before start",IF(AND($B$6=0,OR('_Dates'!J80&lt;Settings!$B$7,'_Dates'!T80&gt;Settings!$B$8)),"CHECK split across leave years",IF(OR(NOT(OR('_Dates'!U80="Full day",'_Dates'!U80="AM",'_Dates'!U80="PM")),NOT(OR('_Dates'!V80="Full day",'_Dates'!V80="AM",'_Dates'!V80="PM"))),"CHECK Full day / AM / PM",IF(AND('_Dates'!J80='_Dates'!T80,'_Dates'!U80&lt;&gt;"Full day",'_Dates'!V80&lt;&gt;"Full day",'_Dates'!U80&lt;&gt;'_Dates'!V80),"CHECK same-day portions disagree",IF(AND($B$6=0,OR(AND('_Dates'!U80&lt;&gt;"Full day",'_Dates'!AA80=0),AND('_Dates'!V80&lt;&gt;"Full day",'_Dates'!AB80=0))),"CHECK half-day on non-working date",IF(COUNTIF(Settings!$G$7:$G$11,D80)&lt;&gt;1,"CHECK leave type",IF(AND(Bookings!G80&lt;&gt;"Approved",Bookings!G80&lt;&gt;"Pending",Bookings!G80&lt;&gt;"Cancelled"),"CHECK status","OK")))))))))),"CHECK input"))</ns0:f>
        <ns0:v/>
      </ns0:c>
      <ns0:c r="G80" s="4">
        <ns0:f>IF(OR(F80&lt;&gt;"OK",$B$6&gt;0),0,0.5*(IF(('_Dates'!X80)&lt;('_Dates'!W80),0,INT((('_Dates'!X80)-('_Dates'!W80)+1)/7)*LEN(SUBSTITUTE(W80,"O",""))+LEN(SUBSTITUTE(MID(W80&amp;W80,WEEKDAY(('_Dates'!W80),2),MOD((('_Dates'!X80)-('_Dates'!W80)+1),7)),"O",""))-COUNTIFS(INDEX(AllClosureRows,C80,0),"&gt;="&amp;('_Dates'!W80),INDEX(AllClosureRows,C80,0),"&lt;="&amp;('_Dates'!X80)))+IF(('_Dates'!Z80)&lt;('_Dates'!Y80),0,INT((('_Dates'!Z80)-('_Dates'!Y80)+1)/7)*LEN(SUBSTITUTE(W80,"O",""))+LEN(SUBSTITUTE(MID(W80&amp;W80,WEEKDAY(('_Dates'!Y80),2),MOD((('_Dates'!Z80)-('_Dates'!Y80)+1),7)),"O",""))-COUNTIFS(INDEX(AllClosureRows,C80,0),"&gt;="&amp;('_Dates'!Y80),INDEX(AllClosureRows,C80,0),"&lt;="&amp;('_Dates'!Z80)))))</ns0:f>
        <ns0:v>0</ns0:v>
      </ns0:c>
      <ns0:c r="H80" s="4">
        <ns0:f>IF(OR(F80&lt;&gt;"OK",$B$6&gt;0),0,0.5*(IF((MIN('_Dates'!X80,Settings!$B$9))&lt;('_Dates'!W80),0,INT(((MIN('_Dates'!X80,Settings!$B$9))-('_Dates'!W80)+1)/7)*LEN(SUBSTITUTE(W80,"O",""))+LEN(SUBSTITUTE(MID(W80&amp;W80,WEEKDAY(('_Dates'!W80),2),MOD(((MIN('_Dates'!X80,Settings!$B$9))-('_Dates'!W80)+1),7)),"O",""))-COUNTIFS(INDEX(AllClosureRows,C80,0),"&gt;="&amp;('_Dates'!W80),INDEX(AllClosureRows,C80,0),"&lt;="&amp;(MIN('_Dates'!X80,Settings!$B$9))))+IF((MIN('_Dates'!Z80,Settings!$B$9))&lt;('_Dates'!Y80),0,INT(((MIN('_Dates'!Z80,Settings!$B$9))-('_Dates'!Y80)+1)/7)*LEN(SUBSTITUTE(W80,"O",""))+LEN(SUBSTITUTE(MID(W80&amp;W80,WEEKDAY(('_Dates'!Y80),2),MOD(((MIN('_Dates'!Z80,Settings!$B$9))-('_Dates'!Y80)+1),7)),"O",""))-COUNTIFS(INDEX(AllClosureRows,C80,0),"&gt;="&amp;('_Dates'!Y80),INDEX(AllClosureRows,C80,0),"&lt;="&amp;(MIN('_Dates'!Z80,Settings!$B$9))))))</ns0:f>
        <ns0:v>0</ns0:v>
      </ns0:c>
      <ns0:c r="I80" s="4">
        <ns0:f>MAX(0,G80-H80)</ns0:f>
        <ns0:v>0</ns0:v>
      </ns0:c>
      <ns0:c r="J80" s="4">
        <ns0:f>IF(OR(A80=0,F80&lt;&gt;"OK",Bookings!G80="Cancelled",$B$6&gt;0),0,IF('_Dates'!AC80=1,MAX(0,COUNTIFS(rngEngine_B,B80,rngAMStart,"&lt;="&amp;'_Dates'!X80,rngAMEnd,"&gt;="&amp;'_Dates'!W80,rngAMActive,1,rngEngine_F,"OK",rngBookings_F,"&lt;&gt;Cancelled")-1),0)+IF('_Dates'!AD80=1,MAX(0,COUNTIFS(rngEngine_B,B80,rngPMStart,"&lt;="&amp;'_Dates'!Z80,rngPMEnd,"&gt;="&amp;'_Dates'!Y80,rngPMActive,1,rngEngine_F,"OK",rngBookings_F,"&lt;&gt;Cancelled")-1),0))</ns0:f>
        <ns0:v>0</ns0:v>
      </ns0:c>
      <ns0:c r="K80" s="0" t="str">
        <ns0:f>IF(A80=0,"",IF(F80&lt;&gt;"OK",F80,IF(J80&gt;0,"CHECK overlapping entry",IF(AND($B$6=0,G80&lt;=0,Bookings!G80&lt;&gt;"Cancelled"),"CHECK no working days",IF(Bookings!G80="Cancelled","Cancelled","OK")))))</ns0:f>
        <ns0:v/>
      </ns0:c>
      <ns0:c r="L80" s="0">
        <ns0:f>IF(LEFT(K80,5)="CHECK",1,0)</ns0:f>
        <ns0:v>0</ns0:v>
      </ns0:c>
      <ns0:c r="M80" s="0">
        <ns0:f>IF(AND(L80=1,OR(C80=0,IFERROR(INDEX($X$11:$X$60,C80),0)=0)),1,0)</ns0:f>
        <ns0:v>0</ns0:v>
      </ns0:c>
      <ns0:c r="N80" s="0">
        <ns0:f>IF(OR(A80=0,L80&gt;0,$B$6&gt;0,Bookings!G80="Cancelled"),0,G80)</ns0:f>
        <ns0:v>0</ns0:v>
      </ns0:c>
      <ns0:c r="O80" s="0">
        <ns0:f>IF(AND(Bookings!G80="Approved",E80="Yes"),N80,0)</ns0:f>
        <ns0:v>0</ns0:v>
      </ns0:c>
      <ns0:c r="P80" s="0">
        <ns0:f>IF(AND(Bookings!G80="Approved",E80="Yes",L80=0,$B$6=0),H80,0)</ns0:f>
        <ns0:v>0</ns0:v>
      </ns0:c>
      <ns0:c r="Q80" s="0">
        <ns0:f>IF(AND(Bookings!G80="Approved",E80="Yes",L80=0,$B$6=0),I80,0)</ns0:f>
        <ns0:v>0</ns0:v>
      </ns0:c>
      <ns0:c r="R80" s="0">
        <ns0:f>IF(AND(Bookings!G80="Pending",E80="Yes"),N80,0)</ns0:f>
        <ns0:v>0</ns0:v>
      </ns0:c>
      <ns0:c r="S80" s="0">
        <ns0:f>IF(AND(Bookings!G80="Approved",E80="No"),N80,0)</ns0:f>
        <ns0:v>0</ns0:v>
      </ns0:c>
      <ns0:c r="T80" s="0">
        <ns0:f>IFERROR(MATCH(D80,Settings!$G$7:$G$11,0),0)</ns0:f>
        <ns0:v>0</ns0:v>
      </ns0:c>
      <ns0:c r="U80" s="0">
        <ns0:f>IF(N80&gt;0,T80+IF(Bookings!G80="Pending",10,0),0)</ns0:f>
        <ns0:v>0</ns0:v>
      </ns0:c>
      <ns0:c r="V80" s="0">
        <ns0:f>U80</ns0:f>
        <ns0:v>0</ns0:v>
      </ns0:c>
      <ns0:c r="W80" s="0" t="str">
        <ns0:f>IF(C80=0,"",INDEX($AP$11:$AP$60,C80))</ns0:f>
        <ns0:v/>
      </ns0:c>
    </ns0:row>
    <ns0:row r="81">
      <ns0:c r="A81" s="0">
        <ns0:f>IF(COUNTA(Bookings!A81:G81,Bookings!I81)=0,0,1)</ns0:f>
        <ns0:v>0</ns0:v>
      </ns0:c>
      <ns0:c r="B81" s="0" t="str">
        <ns0:f>IFERROR(TRIM(MID(Bookings!A81,FIND(" · ",Bookings!A81)+3,99)),"")</ns0:f>
        <ns0:v/>
      </ns0:c>
      <ns0:c r="C81" s="0">
        <ns0:f>IF(OR(B81="",LEN(B81)&gt;24,ISNUMBER(FIND(" ",B81)),ISNUMBER(FIND("*",B81)),ISNUMBER(FIND("?",B81)),ISNUMBER(FIND("~",B81))),0,IFERROR(MATCH(B81,Team!$A$11:$A$60,0),0))</ns0:f>
        <ns0:v>0</ns0:v>
      </ns0:c>
      <ns0:c r="D81" s="0" t="str">
        <ns0:f>IFERROR(IF(MID(Bookings!F81,LEN(Bookings!F81)-3,3)=" · ",RIGHT(Bookings!F81,1),""),"")</ns0:f>
        <ns0:v/>
      </ns0:c>
      <ns0:c r="E81" s="0" t="str">
        <ns0:f>IFERROR(INDEX(Settings!$H$7:$H$11,MATCH(D81,Settings!$G$7:$G$11,0)),"")</ns0:f>
        <ns0:v/>
      </ns0:c>
      <ns0:c r="F81" s="0" t="str">
        <ns0:f>IF(A81=0,"",IFERROR(IF(OR(B81="",C81=0),"CHECK employee selection",IF(INDEX(Team!$O$11:$O$60,C81)&lt;&gt;"OK","CHECK employee setup",IF(OR('_Dates'!J81=0,'_Dates'!T81=0),"CHECK date: use DD.MM.YYYY",IF('_Dates'!T81&lt;'_Dates'!J81,"CHECK end before start",IF(AND($B$6=0,OR('_Dates'!J81&lt;Settings!$B$7,'_Dates'!T81&gt;Settings!$B$8)),"CHECK split across leave years",IF(OR(NOT(OR('_Dates'!U81="Full day",'_Dates'!U81="AM",'_Dates'!U81="PM")),NOT(OR('_Dates'!V81="Full day",'_Dates'!V81="AM",'_Dates'!V81="PM"))),"CHECK Full day / AM / PM",IF(AND('_Dates'!J81='_Dates'!T81,'_Dates'!U81&lt;&gt;"Full day",'_Dates'!V81&lt;&gt;"Full day",'_Dates'!U81&lt;&gt;'_Dates'!V81),"CHECK same-day portions disagree",IF(AND($B$6=0,OR(AND('_Dates'!U81&lt;&gt;"Full day",'_Dates'!AA81=0),AND('_Dates'!V81&lt;&gt;"Full day",'_Dates'!AB81=0))),"CHECK half-day on non-working date",IF(COUNTIF(Settings!$G$7:$G$11,D81)&lt;&gt;1,"CHECK leave type",IF(AND(Bookings!G81&lt;&gt;"Approved",Bookings!G81&lt;&gt;"Pending",Bookings!G81&lt;&gt;"Cancelled"),"CHECK status","OK")))))))))),"CHECK input"))</ns0:f>
        <ns0:v/>
      </ns0:c>
      <ns0:c r="G81" s="0">
        <ns0:f>IF(OR(F81&lt;&gt;"OK",$B$6&gt;0),0,0.5*(IF(('_Dates'!X81)&lt;('_Dates'!W81),0,INT((('_Dates'!X81)-('_Dates'!W81)+1)/7)*LEN(SUBSTITUTE(W81,"O",""))+LEN(SUBSTITUTE(MID(W81&amp;W81,WEEKDAY(('_Dates'!W81),2),MOD((('_Dates'!X81)-('_Dates'!W81)+1),7)),"O",""))-COUNTIFS(INDEX(AllClosureRows,C81,0),"&gt;="&amp;('_Dates'!W81),INDEX(AllClosureRows,C81,0),"&lt;="&amp;('_Dates'!X81)))+IF(('_Dates'!Z81)&lt;('_Dates'!Y81),0,INT((('_Dates'!Z81)-('_Dates'!Y81)+1)/7)*LEN(SUBSTITUTE(W81,"O",""))+LEN(SUBSTITUTE(MID(W81&amp;W81,WEEKDAY(('_Dates'!Y81),2),MOD((('_Dates'!Z81)-('_Dates'!Y81)+1),7)),"O",""))-COUNTIFS(INDEX(AllClosureRows,C81,0),"&gt;="&amp;('_Dates'!Y81),INDEX(AllClosureRows,C81,0),"&lt;="&amp;('_Dates'!Z81)))))</ns0:f>
        <ns0:v>0</ns0:v>
      </ns0:c>
      <ns0:c r="H81" s="0">
        <ns0:f>IF(OR(F81&lt;&gt;"OK",$B$6&gt;0),0,0.5*(IF((MIN('_Dates'!X81,Settings!$B$9))&lt;('_Dates'!W81),0,INT(((MIN('_Dates'!X81,Settings!$B$9))-('_Dates'!W81)+1)/7)*LEN(SUBSTITUTE(W81,"O",""))+LEN(SUBSTITUTE(MID(W81&amp;W81,WEEKDAY(('_Dates'!W81),2),MOD(((MIN('_Dates'!X81,Settings!$B$9))-('_Dates'!W81)+1),7)),"O",""))-COUNTIFS(INDEX(AllClosureRows,C81,0),"&gt;="&amp;('_Dates'!W81),INDEX(AllClosureRows,C81,0),"&lt;="&amp;(MIN('_Dates'!X81,Settings!$B$9))))+IF((MIN('_Dates'!Z81,Settings!$B$9))&lt;('_Dates'!Y81),0,INT(((MIN('_Dates'!Z81,Settings!$B$9))-('_Dates'!Y81)+1)/7)*LEN(SUBSTITUTE(W81,"O",""))+LEN(SUBSTITUTE(MID(W81&amp;W81,WEEKDAY(('_Dates'!Y81),2),MOD(((MIN('_Dates'!Z81,Settings!$B$9))-('_Dates'!Y81)+1),7)),"O",""))-COUNTIFS(INDEX(AllClosureRows,C81,0),"&gt;="&amp;('_Dates'!Y81),INDEX(AllClosureRows,C81,0),"&lt;="&amp;(MIN('_Dates'!Z81,Settings!$B$9))))))</ns0:f>
        <ns0:v>0</ns0:v>
      </ns0:c>
      <ns0:c r="I81" s="0">
        <ns0:f>MAX(0,G81-H81)</ns0:f>
        <ns0:v>0</ns0:v>
      </ns0:c>
      <ns0:c r="J81" s="0">
        <ns0:f>IF(OR(A81=0,F81&lt;&gt;"OK",Bookings!G81="Cancelled",$B$6&gt;0),0,IF('_Dates'!AC81=1,MAX(0,COUNTIFS(rngEngine_B,B81,rngAMStart,"&lt;="&amp;'_Dates'!X81,rngAMEnd,"&gt;="&amp;'_Dates'!W81,rngAMActive,1,rngEngine_F,"OK",rngBookings_F,"&lt;&gt;Cancelled")-1),0)+IF('_Dates'!AD81=1,MAX(0,COUNTIFS(rngEngine_B,B81,rngPMStart,"&lt;="&amp;'_Dates'!Z81,rngPMEnd,"&gt;="&amp;'_Dates'!Y81,rngPMActive,1,rngEngine_F,"OK",rngBookings_F,"&lt;&gt;Cancelled")-1),0))</ns0:f>
        <ns0:v>0</ns0:v>
      </ns0:c>
      <ns0:c r="K81" s="0" t="str">
        <ns0:f>IF(A81=0,"",IF(F81&lt;&gt;"OK",F81,IF(J81&gt;0,"CHECK overlapping entry",IF(AND($B$6=0,G81&lt;=0,Bookings!G81&lt;&gt;"Cancelled"),"CHECK no working days",IF(Bookings!G81="Cancelled","Cancelled","OK")))))</ns0:f>
        <ns0:v/>
      </ns0:c>
      <ns0:c r="L81" s="0">
        <ns0:f>IF(LEFT(K81,5)="CHECK",1,0)</ns0:f>
        <ns0:v>0</ns0:v>
      </ns0:c>
      <ns0:c r="M81" s="0">
        <ns0:f>IF(AND(L81=1,OR(C81=0,IFERROR(INDEX($X$11:$X$60,C81),0)=0)),1,0)</ns0:f>
        <ns0:v>0</ns0:v>
      </ns0:c>
      <ns0:c r="N81" s="0">
        <ns0:f>IF(OR(A81=0,L81&gt;0,$B$6&gt;0,Bookings!G81="Cancelled"),0,G81)</ns0:f>
        <ns0:v>0</ns0:v>
      </ns0:c>
      <ns0:c r="O81" s="0">
        <ns0:f>IF(AND(Bookings!G81="Approved",E81="Yes"),N81,0)</ns0:f>
        <ns0:v>0</ns0:v>
      </ns0:c>
      <ns0:c r="P81" s="0">
        <ns0:f>IF(AND(Bookings!G81="Approved",E81="Yes",L81=0,$B$6=0),H81,0)</ns0:f>
        <ns0:v>0</ns0:v>
      </ns0:c>
      <ns0:c r="Q81" s="0">
        <ns0:f>IF(AND(Bookings!G81="Approved",E81="Yes",L81=0,$B$6=0),I81,0)</ns0:f>
        <ns0:v>0</ns0:v>
      </ns0:c>
      <ns0:c r="R81" s="0">
        <ns0:f>IF(AND(Bookings!G81="Pending",E81="Yes"),N81,0)</ns0:f>
        <ns0:v>0</ns0:v>
      </ns0:c>
      <ns0:c r="S81" s="0">
        <ns0:f>IF(AND(Bookings!G81="Approved",E81="No"),N81,0)</ns0:f>
        <ns0:v>0</ns0:v>
      </ns0:c>
      <ns0:c r="T81" s="0">
        <ns0:f>IFERROR(MATCH(D81,Settings!$G$7:$G$11,0),0)</ns0:f>
        <ns0:v>0</ns0:v>
      </ns0:c>
      <ns0:c r="U81" s="0">
        <ns0:f>IF(N81&gt;0,T81+IF(Bookings!G81="Pending",10,0),0)</ns0:f>
        <ns0:v>0</ns0:v>
      </ns0:c>
      <ns0:c r="V81" s="0">
        <ns0:f>U81</ns0:f>
        <ns0:v>0</ns0:v>
      </ns0:c>
      <ns0:c r="W81" s="0" t="str">
        <ns0:f>IF(C81=0,"",INDEX($AP$11:$AP$60,C81))</ns0:f>
        <ns0:v/>
      </ns0:c>
    </ns0:row>
    <ns0:row r="82">
      <ns0:c r="A82" s="0">
        <ns0:f>IF(COUNTA(Bookings!A82:G82,Bookings!I82)=0,0,1)</ns0:f>
        <ns0:v>0</ns0:v>
      </ns0:c>
      <ns0:c r="B82" s="0" t="str">
        <ns0:f>IFERROR(TRIM(MID(Bookings!A82,FIND(" · ",Bookings!A82)+3,99)),"")</ns0:f>
        <ns0:v/>
      </ns0:c>
      <ns0:c r="C82" s="0">
        <ns0:f>IF(OR(B82="",LEN(B82)&gt;24,ISNUMBER(FIND(" ",B82)),ISNUMBER(FIND("*",B82)),ISNUMBER(FIND("?",B82)),ISNUMBER(FIND("~",B82))),0,IFERROR(MATCH(B82,Team!$A$11:$A$60,0),0))</ns0:f>
        <ns0:v>0</ns0:v>
      </ns0:c>
      <ns0:c r="D82" s="0" t="str">
        <ns0:f>IFERROR(IF(MID(Bookings!F82,LEN(Bookings!F82)-3,3)=" · ",RIGHT(Bookings!F82,1),""),"")</ns0:f>
        <ns0:v/>
      </ns0:c>
      <ns0:c r="E82" s="0" t="str">
        <ns0:f>IFERROR(INDEX(Settings!$H$7:$H$11,MATCH(D82,Settings!$G$7:$G$11,0)),"")</ns0:f>
        <ns0:v/>
      </ns0:c>
      <ns0:c r="F82" s="0" t="str">
        <ns0:f>IF(A82=0,"",IFERROR(IF(OR(B82="",C82=0),"CHECK employee selection",IF(INDEX(Team!$O$11:$O$60,C82)&lt;&gt;"OK","CHECK employee setup",IF(OR('_Dates'!J82=0,'_Dates'!T82=0),"CHECK date: use DD.MM.YYYY",IF('_Dates'!T82&lt;'_Dates'!J82,"CHECK end before start",IF(AND($B$6=0,OR('_Dates'!J82&lt;Settings!$B$7,'_Dates'!T82&gt;Settings!$B$8)),"CHECK split across leave years",IF(OR(NOT(OR('_Dates'!U82="Full day",'_Dates'!U82="AM",'_Dates'!U82="PM")),NOT(OR('_Dates'!V82="Full day",'_Dates'!V82="AM",'_Dates'!V82="PM"))),"CHECK Full day / AM / PM",IF(AND('_Dates'!J82='_Dates'!T82,'_Dates'!U82&lt;&gt;"Full day",'_Dates'!V82&lt;&gt;"Full day",'_Dates'!U82&lt;&gt;'_Dates'!V82),"CHECK same-day portions disagree",IF(AND($B$6=0,OR(AND('_Dates'!U82&lt;&gt;"Full day",'_Dates'!AA82=0),AND('_Dates'!V82&lt;&gt;"Full day",'_Dates'!AB82=0))),"CHECK half-day on non-working date",IF(COUNTIF(Settings!$G$7:$G$11,D82)&lt;&gt;1,"CHECK leave type",IF(AND(Bookings!G82&lt;&gt;"Approved",Bookings!G82&lt;&gt;"Pending",Bookings!G82&lt;&gt;"Cancelled"),"CHECK status","OK")))))))))),"CHECK input"))</ns0:f>
        <ns0:v/>
      </ns0:c>
      <ns0:c r="G82" s="0">
        <ns0:f>IF(OR(F82&lt;&gt;"OK",$B$6&gt;0),0,0.5*(IF(('_Dates'!X82)&lt;('_Dates'!W82),0,INT((('_Dates'!X82)-('_Dates'!W82)+1)/7)*LEN(SUBSTITUTE(W82,"O",""))+LEN(SUBSTITUTE(MID(W82&amp;W82,WEEKDAY(('_Dates'!W82),2),MOD((('_Dates'!X82)-('_Dates'!W82)+1),7)),"O",""))-COUNTIFS(INDEX(AllClosureRows,C82,0),"&gt;="&amp;('_Dates'!W82),INDEX(AllClosureRows,C82,0),"&lt;="&amp;('_Dates'!X82)))+IF(('_Dates'!Z82)&lt;('_Dates'!Y82),0,INT((('_Dates'!Z82)-('_Dates'!Y82)+1)/7)*LEN(SUBSTITUTE(W82,"O",""))+LEN(SUBSTITUTE(MID(W82&amp;W82,WEEKDAY(('_Dates'!Y82),2),MOD((('_Dates'!Z82)-('_Dates'!Y82)+1),7)),"O",""))-COUNTIFS(INDEX(AllClosureRows,C82,0),"&gt;="&amp;('_Dates'!Y82),INDEX(AllClosureRows,C82,0),"&lt;="&amp;('_Dates'!Z82)))))</ns0:f>
        <ns0:v>0</ns0:v>
      </ns0:c>
      <ns0:c r="H82" s="0">
        <ns0:f>IF(OR(F82&lt;&gt;"OK",$B$6&gt;0),0,0.5*(IF((MIN('_Dates'!X82,Settings!$B$9))&lt;('_Dates'!W82),0,INT(((MIN('_Dates'!X82,Settings!$B$9))-('_Dates'!W82)+1)/7)*LEN(SUBSTITUTE(W82,"O",""))+LEN(SUBSTITUTE(MID(W82&amp;W82,WEEKDAY(('_Dates'!W82),2),MOD(((MIN('_Dates'!X82,Settings!$B$9))-('_Dates'!W82)+1),7)),"O",""))-COUNTIFS(INDEX(AllClosureRows,C82,0),"&gt;="&amp;('_Dates'!W82),INDEX(AllClosureRows,C82,0),"&lt;="&amp;(MIN('_Dates'!X82,Settings!$B$9))))+IF((MIN('_Dates'!Z82,Settings!$B$9))&lt;('_Dates'!Y82),0,INT(((MIN('_Dates'!Z82,Settings!$B$9))-('_Dates'!Y82)+1)/7)*LEN(SUBSTITUTE(W82,"O",""))+LEN(SUBSTITUTE(MID(W82&amp;W82,WEEKDAY(('_Dates'!Y82),2),MOD(((MIN('_Dates'!Z82,Settings!$B$9))-('_Dates'!Y82)+1),7)),"O",""))-COUNTIFS(INDEX(AllClosureRows,C82,0),"&gt;="&amp;('_Dates'!Y82),INDEX(AllClosureRows,C82,0),"&lt;="&amp;(MIN('_Dates'!Z82,Settings!$B$9))))))</ns0:f>
        <ns0:v>0</ns0:v>
      </ns0:c>
      <ns0:c r="I82" s="0">
        <ns0:f>MAX(0,G82-H82)</ns0:f>
        <ns0:v>0</ns0:v>
      </ns0:c>
      <ns0:c r="J82" s="0">
        <ns0:f>IF(OR(A82=0,F82&lt;&gt;"OK",Bookings!G82="Cancelled",$B$6&gt;0),0,IF('_Dates'!AC82=1,MAX(0,COUNTIFS(rngEngine_B,B82,rngAMStart,"&lt;="&amp;'_Dates'!X82,rngAMEnd,"&gt;="&amp;'_Dates'!W82,rngAMActive,1,rngEngine_F,"OK",rngBookings_F,"&lt;&gt;Cancelled")-1),0)+IF('_Dates'!AD82=1,MAX(0,COUNTIFS(rngEngine_B,B82,rngPMStart,"&lt;="&amp;'_Dates'!Z82,rngPMEnd,"&gt;="&amp;'_Dates'!Y82,rngPMActive,1,rngEngine_F,"OK",rngBookings_F,"&lt;&gt;Cancelled")-1),0))</ns0:f>
        <ns0:v>0</ns0:v>
      </ns0:c>
      <ns0:c r="K82" s="0" t="str">
        <ns0:f>IF(A82=0,"",IF(F82&lt;&gt;"OK",F82,IF(J82&gt;0,"CHECK overlapping entry",IF(AND($B$6=0,G82&lt;=0,Bookings!G82&lt;&gt;"Cancelled"),"CHECK no working days",IF(Bookings!G82="Cancelled","Cancelled","OK")))))</ns0:f>
        <ns0:v/>
      </ns0:c>
      <ns0:c r="L82" s="0">
        <ns0:f>IF(LEFT(K82,5)="CHECK",1,0)</ns0:f>
        <ns0:v>0</ns0:v>
      </ns0:c>
      <ns0:c r="M82" s="0">
        <ns0:f>IF(AND(L82=1,OR(C82=0,IFERROR(INDEX($X$11:$X$60,C82),0)=0)),1,0)</ns0:f>
        <ns0:v>0</ns0:v>
      </ns0:c>
      <ns0:c r="N82" s="0">
        <ns0:f>IF(OR(A82=0,L82&gt;0,$B$6&gt;0,Bookings!G82="Cancelled"),0,G82)</ns0:f>
        <ns0:v>0</ns0:v>
      </ns0:c>
      <ns0:c r="O82" s="0">
        <ns0:f>IF(AND(Bookings!G82="Approved",E82="Yes"),N82,0)</ns0:f>
        <ns0:v>0</ns0:v>
      </ns0:c>
      <ns0:c r="P82" s="0">
        <ns0:f>IF(AND(Bookings!G82="Approved",E82="Yes",L82=0,$B$6=0),H82,0)</ns0:f>
        <ns0:v>0</ns0:v>
      </ns0:c>
      <ns0:c r="Q82" s="0">
        <ns0:f>IF(AND(Bookings!G82="Approved",E82="Yes",L82=0,$B$6=0),I82,0)</ns0:f>
        <ns0:v>0</ns0:v>
      </ns0:c>
      <ns0:c r="R82" s="0">
        <ns0:f>IF(AND(Bookings!G82="Pending",E82="Yes"),N82,0)</ns0:f>
        <ns0:v>0</ns0:v>
      </ns0:c>
      <ns0:c r="S82" s="0">
        <ns0:f>IF(AND(Bookings!G82="Approved",E82="No"),N82,0)</ns0:f>
        <ns0:v>0</ns0:v>
      </ns0:c>
      <ns0:c r="T82" s="0">
        <ns0:f>IFERROR(MATCH(D82,Settings!$G$7:$G$11,0),0)</ns0:f>
        <ns0:v>0</ns0:v>
      </ns0:c>
      <ns0:c r="U82" s="0">
        <ns0:f>IF(N82&gt;0,T82+IF(Bookings!G82="Pending",10,0),0)</ns0:f>
        <ns0:v>0</ns0:v>
      </ns0:c>
      <ns0:c r="V82" s="0">
        <ns0:f>U82</ns0:f>
        <ns0:v>0</ns0:v>
      </ns0:c>
      <ns0:c r="W82" s="0" t="str">
        <ns0:f>IF(C82=0,"",INDEX($AP$11:$AP$60,C82))</ns0:f>
        <ns0:v/>
      </ns0:c>
    </ns0:row>
    <ns0:row r="83">
      <ns0:c r="A83" s="0">
        <ns0:f>IF(COUNTA(Bookings!A83:G83,Bookings!I83)=0,0,1)</ns0:f>
        <ns0:v>0</ns0:v>
      </ns0:c>
      <ns0:c r="B83" s="0" t="str">
        <ns0:f>IFERROR(TRIM(MID(Bookings!A83,FIND(" · ",Bookings!A83)+3,99)),"")</ns0:f>
        <ns0:v/>
      </ns0:c>
      <ns0:c r="C83" s="0">
        <ns0:f>IF(OR(B83="",LEN(B83)&gt;24,ISNUMBER(FIND(" ",B83)),ISNUMBER(FIND("*",B83)),ISNUMBER(FIND("?",B83)),ISNUMBER(FIND("~",B83))),0,IFERROR(MATCH(B83,Team!$A$11:$A$60,0),0))</ns0:f>
        <ns0:v>0</ns0:v>
      </ns0:c>
      <ns0:c r="D83" s="0" t="str">
        <ns0:f>IFERROR(IF(MID(Bookings!F83,LEN(Bookings!F83)-3,3)=" · ",RIGHT(Bookings!F83,1),""),"")</ns0:f>
        <ns0:v/>
      </ns0:c>
      <ns0:c r="E83" s="0" t="str">
        <ns0:f>IFERROR(INDEX(Settings!$H$7:$H$11,MATCH(D83,Settings!$G$7:$G$11,0)),"")</ns0:f>
        <ns0:v/>
      </ns0:c>
      <ns0:c r="F83" s="0" t="str">
        <ns0:f>IF(A83=0,"",IFERROR(IF(OR(B83="",C83=0),"CHECK employee selection",IF(INDEX(Team!$O$11:$O$60,C83)&lt;&gt;"OK","CHECK employee setup",IF(OR('_Dates'!J83=0,'_Dates'!T83=0),"CHECK date: use DD.MM.YYYY",IF('_Dates'!T83&lt;'_Dates'!J83,"CHECK end before start",IF(AND($B$6=0,OR('_Dates'!J83&lt;Settings!$B$7,'_Dates'!T83&gt;Settings!$B$8)),"CHECK split across leave years",IF(OR(NOT(OR('_Dates'!U83="Full day",'_Dates'!U83="AM",'_Dates'!U83="PM")),NOT(OR('_Dates'!V83="Full day",'_Dates'!V83="AM",'_Dates'!V83="PM"))),"CHECK Full day / AM / PM",IF(AND('_Dates'!J83='_Dates'!T83,'_Dates'!U83&lt;&gt;"Full day",'_Dates'!V83&lt;&gt;"Full day",'_Dates'!U83&lt;&gt;'_Dates'!V83),"CHECK same-day portions disagree",IF(AND($B$6=0,OR(AND('_Dates'!U83&lt;&gt;"Full day",'_Dates'!AA83=0),AND('_Dates'!V83&lt;&gt;"Full day",'_Dates'!AB83=0))),"CHECK half-day on non-working date",IF(COUNTIF(Settings!$G$7:$G$11,D83)&lt;&gt;1,"CHECK leave type",IF(AND(Bookings!G83&lt;&gt;"Approved",Bookings!G83&lt;&gt;"Pending",Bookings!G83&lt;&gt;"Cancelled"),"CHECK status","OK")))))))))),"CHECK input"))</ns0:f>
        <ns0:v/>
      </ns0:c>
      <ns0:c r="G83" s="0">
        <ns0:f>IF(OR(F83&lt;&gt;"OK",$B$6&gt;0),0,0.5*(IF(('_Dates'!X83)&lt;('_Dates'!W83),0,INT((('_Dates'!X83)-('_Dates'!W83)+1)/7)*LEN(SUBSTITUTE(W83,"O",""))+LEN(SUBSTITUTE(MID(W83&amp;W83,WEEKDAY(('_Dates'!W83),2),MOD((('_Dates'!X83)-('_Dates'!W83)+1),7)),"O",""))-COUNTIFS(INDEX(AllClosureRows,C83,0),"&gt;="&amp;('_Dates'!W83),INDEX(AllClosureRows,C83,0),"&lt;="&amp;('_Dates'!X83)))+IF(('_Dates'!Z83)&lt;('_Dates'!Y83),0,INT((('_Dates'!Z83)-('_Dates'!Y83)+1)/7)*LEN(SUBSTITUTE(W83,"O",""))+LEN(SUBSTITUTE(MID(W83&amp;W83,WEEKDAY(('_Dates'!Y83),2),MOD((('_Dates'!Z83)-('_Dates'!Y83)+1),7)),"O",""))-COUNTIFS(INDEX(AllClosureRows,C83,0),"&gt;="&amp;('_Dates'!Y83),INDEX(AllClosureRows,C83,0),"&lt;="&amp;('_Dates'!Z83)))))</ns0:f>
        <ns0:v>0</ns0:v>
      </ns0:c>
      <ns0:c r="H83" s="0">
        <ns0:f>IF(OR(F83&lt;&gt;"OK",$B$6&gt;0),0,0.5*(IF((MIN('_Dates'!X83,Settings!$B$9))&lt;('_Dates'!W83),0,INT(((MIN('_Dates'!X83,Settings!$B$9))-('_Dates'!W83)+1)/7)*LEN(SUBSTITUTE(W83,"O",""))+LEN(SUBSTITUTE(MID(W83&amp;W83,WEEKDAY(('_Dates'!W83),2),MOD(((MIN('_Dates'!X83,Settings!$B$9))-('_Dates'!W83)+1),7)),"O",""))-COUNTIFS(INDEX(AllClosureRows,C83,0),"&gt;="&amp;('_Dates'!W83),INDEX(AllClosureRows,C83,0),"&lt;="&amp;(MIN('_Dates'!X83,Settings!$B$9))))+IF((MIN('_Dates'!Z83,Settings!$B$9))&lt;('_Dates'!Y83),0,INT(((MIN('_Dates'!Z83,Settings!$B$9))-('_Dates'!Y83)+1)/7)*LEN(SUBSTITUTE(W83,"O",""))+LEN(SUBSTITUTE(MID(W83&amp;W83,WEEKDAY(('_Dates'!Y83),2),MOD(((MIN('_Dates'!Z83,Settings!$B$9))-('_Dates'!Y83)+1),7)),"O",""))-COUNTIFS(INDEX(AllClosureRows,C83,0),"&gt;="&amp;('_Dates'!Y83),INDEX(AllClosureRows,C83,0),"&lt;="&amp;(MIN('_Dates'!Z83,Settings!$B$9))))))</ns0:f>
        <ns0:v>0</ns0:v>
      </ns0:c>
      <ns0:c r="I83" s="0">
        <ns0:f>MAX(0,G83-H83)</ns0:f>
        <ns0:v>0</ns0:v>
      </ns0:c>
      <ns0:c r="J83" s="0">
        <ns0:f>IF(OR(A83=0,F83&lt;&gt;"OK",Bookings!G83="Cancelled",$B$6&gt;0),0,IF('_Dates'!AC83=1,MAX(0,COUNTIFS(rngEngine_B,B83,rngAMStart,"&lt;="&amp;'_Dates'!X83,rngAMEnd,"&gt;="&amp;'_Dates'!W83,rngAMActive,1,rngEngine_F,"OK",rngBookings_F,"&lt;&gt;Cancelled")-1),0)+IF('_Dates'!AD83=1,MAX(0,COUNTIFS(rngEngine_B,B83,rngPMStart,"&lt;="&amp;'_Dates'!Z83,rngPMEnd,"&gt;="&amp;'_Dates'!Y83,rngPMActive,1,rngEngine_F,"OK",rngBookings_F,"&lt;&gt;Cancelled")-1),0))</ns0:f>
        <ns0:v>0</ns0:v>
      </ns0:c>
      <ns0:c r="K83" s="0" t="str">
        <ns0:f>IF(A83=0,"",IF(F83&lt;&gt;"OK",F83,IF(J83&gt;0,"CHECK overlapping entry",IF(AND($B$6=0,G83&lt;=0,Bookings!G83&lt;&gt;"Cancelled"),"CHECK no working days",IF(Bookings!G83="Cancelled","Cancelled","OK")))))</ns0:f>
        <ns0:v/>
      </ns0:c>
      <ns0:c r="L83" s="0">
        <ns0:f>IF(LEFT(K83,5)="CHECK",1,0)</ns0:f>
        <ns0:v>0</ns0:v>
      </ns0:c>
      <ns0:c r="M83" s="0">
        <ns0:f>IF(AND(L83=1,OR(C83=0,IFERROR(INDEX($X$11:$X$60,C83),0)=0)),1,0)</ns0:f>
        <ns0:v>0</ns0:v>
      </ns0:c>
      <ns0:c r="N83" s="0">
        <ns0:f>IF(OR(A83=0,L83&gt;0,$B$6&gt;0,Bookings!G83="Cancelled"),0,G83)</ns0:f>
        <ns0:v>0</ns0:v>
      </ns0:c>
      <ns0:c r="O83" s="0">
        <ns0:f>IF(AND(Bookings!G83="Approved",E83="Yes"),N83,0)</ns0:f>
        <ns0:v>0</ns0:v>
      </ns0:c>
      <ns0:c r="P83" s="0">
        <ns0:f>IF(AND(Bookings!G83="Approved",E83="Yes",L83=0,$B$6=0),H83,0)</ns0:f>
        <ns0:v>0</ns0:v>
      </ns0:c>
      <ns0:c r="Q83" s="0">
        <ns0:f>IF(AND(Bookings!G83="Approved",E83="Yes",L83=0,$B$6=0),I83,0)</ns0:f>
        <ns0:v>0</ns0:v>
      </ns0:c>
      <ns0:c r="R83" s="0">
        <ns0:f>IF(AND(Bookings!G83="Pending",E83="Yes"),N83,0)</ns0:f>
        <ns0:v>0</ns0:v>
      </ns0:c>
      <ns0:c r="S83" s="0">
        <ns0:f>IF(AND(Bookings!G83="Approved",E83="No"),N83,0)</ns0:f>
        <ns0:v>0</ns0:v>
      </ns0:c>
      <ns0:c r="T83" s="0">
        <ns0:f>IFERROR(MATCH(D83,Settings!$G$7:$G$11,0),0)</ns0:f>
        <ns0:v>0</ns0:v>
      </ns0:c>
      <ns0:c r="U83" s="0">
        <ns0:f>IF(N83&gt;0,T83+IF(Bookings!G83="Pending",10,0),0)</ns0:f>
        <ns0:v>0</ns0:v>
      </ns0:c>
      <ns0:c r="V83" s="0">
        <ns0:f>U83</ns0:f>
        <ns0:v>0</ns0:v>
      </ns0:c>
      <ns0:c r="W83" s="0" t="str">
        <ns0:f>IF(C83=0,"",INDEX($AP$11:$AP$60,C83))</ns0:f>
        <ns0:v/>
      </ns0:c>
    </ns0:row>
    <ns0:row r="84">
      <ns0:c r="A84" s="0">
        <ns0:f>IF(COUNTA(Bookings!A84:G84,Bookings!I84)=0,0,1)</ns0:f>
        <ns0:v>0</ns0:v>
      </ns0:c>
      <ns0:c r="B84" s="0" t="str">
        <ns0:f>IFERROR(TRIM(MID(Bookings!A84,FIND(" · ",Bookings!A84)+3,99)),"")</ns0:f>
        <ns0:v/>
      </ns0:c>
      <ns0:c r="C84" s="0">
        <ns0:f>IF(OR(B84="",LEN(B84)&gt;24,ISNUMBER(FIND(" ",B84)),ISNUMBER(FIND("*",B84)),ISNUMBER(FIND("?",B84)),ISNUMBER(FIND("~",B84))),0,IFERROR(MATCH(B84,Team!$A$11:$A$60,0),0))</ns0:f>
        <ns0:v>0</ns0:v>
      </ns0:c>
      <ns0:c r="D84" s="0" t="str">
        <ns0:f>IFERROR(IF(MID(Bookings!F84,LEN(Bookings!F84)-3,3)=" · ",RIGHT(Bookings!F84,1),""),"")</ns0:f>
        <ns0:v/>
      </ns0:c>
      <ns0:c r="E84" s="0" t="str">
        <ns0:f>IFERROR(INDEX(Settings!$H$7:$H$11,MATCH(D84,Settings!$G$7:$G$11,0)),"")</ns0:f>
        <ns0:v/>
      </ns0:c>
      <ns0:c r="F84" s="0" t="str">
        <ns0:f>IF(A84=0,"",IFERROR(IF(OR(B84="",C84=0),"CHECK employee selection",IF(INDEX(Team!$O$11:$O$60,C84)&lt;&gt;"OK","CHECK employee setup",IF(OR('_Dates'!J84=0,'_Dates'!T84=0),"CHECK date: use DD.MM.YYYY",IF('_Dates'!T84&lt;'_Dates'!J84,"CHECK end before start",IF(AND($B$6=0,OR('_Dates'!J84&lt;Settings!$B$7,'_Dates'!T84&gt;Settings!$B$8)),"CHECK split across leave years",IF(OR(NOT(OR('_Dates'!U84="Full day",'_Dates'!U84="AM",'_Dates'!U84="PM")),NOT(OR('_Dates'!V84="Full day",'_Dates'!V84="AM",'_Dates'!V84="PM"))),"CHECK Full day / AM / PM",IF(AND('_Dates'!J84='_Dates'!T84,'_Dates'!U84&lt;&gt;"Full day",'_Dates'!V84&lt;&gt;"Full day",'_Dates'!U84&lt;&gt;'_Dates'!V84),"CHECK same-day portions disagree",IF(AND($B$6=0,OR(AND('_Dates'!U84&lt;&gt;"Full day",'_Dates'!AA84=0),AND('_Dates'!V84&lt;&gt;"Full day",'_Dates'!AB84=0))),"CHECK half-day on non-working date",IF(COUNTIF(Settings!$G$7:$G$11,D84)&lt;&gt;1,"CHECK leave type",IF(AND(Bookings!G84&lt;&gt;"Approved",Bookings!G84&lt;&gt;"Pending",Bookings!G84&lt;&gt;"Cancelled"),"CHECK status","OK")))))))))),"CHECK input"))</ns0:f>
        <ns0:v/>
      </ns0:c>
      <ns0:c r="G84" s="0">
        <ns0:f>IF(OR(F84&lt;&gt;"OK",$B$6&gt;0),0,0.5*(IF(('_Dates'!X84)&lt;('_Dates'!W84),0,INT((('_Dates'!X84)-('_Dates'!W84)+1)/7)*LEN(SUBSTITUTE(W84,"O",""))+LEN(SUBSTITUTE(MID(W84&amp;W84,WEEKDAY(('_Dates'!W84),2),MOD((('_Dates'!X84)-('_Dates'!W84)+1),7)),"O",""))-COUNTIFS(INDEX(AllClosureRows,C84,0),"&gt;="&amp;('_Dates'!W84),INDEX(AllClosureRows,C84,0),"&lt;="&amp;('_Dates'!X84)))+IF(('_Dates'!Z84)&lt;('_Dates'!Y84),0,INT((('_Dates'!Z84)-('_Dates'!Y84)+1)/7)*LEN(SUBSTITUTE(W84,"O",""))+LEN(SUBSTITUTE(MID(W84&amp;W84,WEEKDAY(('_Dates'!Y84),2),MOD((('_Dates'!Z84)-('_Dates'!Y84)+1),7)),"O",""))-COUNTIFS(INDEX(AllClosureRows,C84,0),"&gt;="&amp;('_Dates'!Y84),INDEX(AllClosureRows,C84,0),"&lt;="&amp;('_Dates'!Z84)))))</ns0:f>
        <ns0:v>0</ns0:v>
      </ns0:c>
      <ns0:c r="H84" s="0">
        <ns0:f>IF(OR(F84&lt;&gt;"OK",$B$6&gt;0),0,0.5*(IF((MIN('_Dates'!X84,Settings!$B$9))&lt;('_Dates'!W84),0,INT(((MIN('_Dates'!X84,Settings!$B$9))-('_Dates'!W84)+1)/7)*LEN(SUBSTITUTE(W84,"O",""))+LEN(SUBSTITUTE(MID(W84&amp;W84,WEEKDAY(('_Dates'!W84),2),MOD(((MIN('_Dates'!X84,Settings!$B$9))-('_Dates'!W84)+1),7)),"O",""))-COUNTIFS(INDEX(AllClosureRows,C84,0),"&gt;="&amp;('_Dates'!W84),INDEX(AllClosureRows,C84,0),"&lt;="&amp;(MIN('_Dates'!X84,Settings!$B$9))))+IF((MIN('_Dates'!Z84,Settings!$B$9))&lt;('_Dates'!Y84),0,INT(((MIN('_Dates'!Z84,Settings!$B$9))-('_Dates'!Y84)+1)/7)*LEN(SUBSTITUTE(W84,"O",""))+LEN(SUBSTITUTE(MID(W84&amp;W84,WEEKDAY(('_Dates'!Y84),2),MOD(((MIN('_Dates'!Z84,Settings!$B$9))-('_Dates'!Y84)+1),7)),"O",""))-COUNTIFS(INDEX(AllClosureRows,C84,0),"&gt;="&amp;('_Dates'!Y84),INDEX(AllClosureRows,C84,0),"&lt;="&amp;(MIN('_Dates'!Z84,Settings!$B$9))))))</ns0:f>
        <ns0:v>0</ns0:v>
      </ns0:c>
      <ns0:c r="I84" s="0">
        <ns0:f>MAX(0,G84-H84)</ns0:f>
        <ns0:v>0</ns0:v>
      </ns0:c>
      <ns0:c r="J84" s="0">
        <ns0:f>IF(OR(A84=0,F84&lt;&gt;"OK",Bookings!G84="Cancelled",$B$6&gt;0),0,IF('_Dates'!AC84=1,MAX(0,COUNTIFS(rngEngine_B,B84,rngAMStart,"&lt;="&amp;'_Dates'!X84,rngAMEnd,"&gt;="&amp;'_Dates'!W84,rngAMActive,1,rngEngine_F,"OK",rngBookings_F,"&lt;&gt;Cancelled")-1),0)+IF('_Dates'!AD84=1,MAX(0,COUNTIFS(rngEngine_B,B84,rngPMStart,"&lt;="&amp;'_Dates'!Z84,rngPMEnd,"&gt;="&amp;'_Dates'!Y84,rngPMActive,1,rngEngine_F,"OK",rngBookings_F,"&lt;&gt;Cancelled")-1),0))</ns0:f>
        <ns0:v>0</ns0:v>
      </ns0:c>
      <ns0:c r="K84" s="0" t="str">
        <ns0:f>IF(A84=0,"",IF(F84&lt;&gt;"OK",F84,IF(J84&gt;0,"CHECK overlapping entry",IF(AND($B$6=0,G84&lt;=0,Bookings!G84&lt;&gt;"Cancelled"),"CHECK no working days",IF(Bookings!G84="Cancelled","Cancelled","OK")))))</ns0:f>
        <ns0:v/>
      </ns0:c>
      <ns0:c r="L84" s="0">
        <ns0:f>IF(LEFT(K84,5)="CHECK",1,0)</ns0:f>
        <ns0:v>0</ns0:v>
      </ns0:c>
      <ns0:c r="M84" s="0">
        <ns0:f>IF(AND(L84=1,OR(C84=0,IFERROR(INDEX($X$11:$X$60,C84),0)=0)),1,0)</ns0:f>
        <ns0:v>0</ns0:v>
      </ns0:c>
      <ns0:c r="N84" s="0">
        <ns0:f>IF(OR(A84=0,L84&gt;0,$B$6&gt;0,Bookings!G84="Cancelled"),0,G84)</ns0:f>
        <ns0:v>0</ns0:v>
      </ns0:c>
      <ns0:c r="O84" s="0">
        <ns0:f>IF(AND(Bookings!G84="Approved",E84="Yes"),N84,0)</ns0:f>
        <ns0:v>0</ns0:v>
      </ns0:c>
      <ns0:c r="P84" s="0">
        <ns0:f>IF(AND(Bookings!G84="Approved",E84="Yes",L84=0,$B$6=0),H84,0)</ns0:f>
        <ns0:v>0</ns0:v>
      </ns0:c>
      <ns0:c r="Q84" s="0">
        <ns0:f>IF(AND(Bookings!G84="Approved",E84="Yes",L84=0,$B$6=0),I84,0)</ns0:f>
        <ns0:v>0</ns0:v>
      </ns0:c>
      <ns0:c r="R84" s="0">
        <ns0:f>IF(AND(Bookings!G84="Pending",E84="Yes"),N84,0)</ns0:f>
        <ns0:v>0</ns0:v>
      </ns0:c>
      <ns0:c r="S84" s="0">
        <ns0:f>IF(AND(Bookings!G84="Approved",E84="No"),N84,0)</ns0:f>
        <ns0:v>0</ns0:v>
      </ns0:c>
      <ns0:c r="T84" s="0">
        <ns0:f>IFERROR(MATCH(D84,Settings!$G$7:$G$11,0),0)</ns0:f>
        <ns0:v>0</ns0:v>
      </ns0:c>
      <ns0:c r="U84" s="0">
        <ns0:f>IF(N84&gt;0,T84+IF(Bookings!G84="Pending",10,0),0)</ns0:f>
        <ns0:v>0</ns0:v>
      </ns0:c>
      <ns0:c r="V84" s="0">
        <ns0:f>U84</ns0:f>
        <ns0:v>0</ns0:v>
      </ns0:c>
      <ns0:c r="W84" s="0" t="str">
        <ns0:f>IF(C84=0,"",INDEX($AP$11:$AP$60,C84))</ns0:f>
        <ns0:v/>
      </ns0:c>
    </ns0:row>
    <ns0:row r="85">
      <ns0:c r="A85" s="0">
        <ns0:f>IF(COUNTA(Bookings!A85:G85,Bookings!I85)=0,0,1)</ns0:f>
        <ns0:v>0</ns0:v>
      </ns0:c>
      <ns0:c r="B85" s="0" t="str">
        <ns0:f>IFERROR(TRIM(MID(Bookings!A85,FIND(" · ",Bookings!A85)+3,99)),"")</ns0:f>
        <ns0:v/>
      </ns0:c>
      <ns0:c r="C85" s="0">
        <ns0:f>IF(OR(B85="",LEN(B85)&gt;24,ISNUMBER(FIND(" ",B85)),ISNUMBER(FIND("*",B85)),ISNUMBER(FIND("?",B85)),ISNUMBER(FIND("~",B85))),0,IFERROR(MATCH(B85,Team!$A$11:$A$60,0),0))</ns0:f>
        <ns0:v>0</ns0:v>
      </ns0:c>
      <ns0:c r="D85" s="0" t="str">
        <ns0:f>IFERROR(IF(MID(Bookings!F85,LEN(Bookings!F85)-3,3)=" · ",RIGHT(Bookings!F85,1),""),"")</ns0:f>
        <ns0:v/>
      </ns0:c>
      <ns0:c r="E85" s="0" t="str">
        <ns0:f>IFERROR(INDEX(Settings!$H$7:$H$11,MATCH(D85,Settings!$G$7:$G$11,0)),"")</ns0:f>
        <ns0:v/>
      </ns0:c>
      <ns0:c r="F85" s="0" t="str">
        <ns0:f>IF(A85=0,"",IFERROR(IF(OR(B85="",C85=0),"CHECK employee selection",IF(INDEX(Team!$O$11:$O$60,C85)&lt;&gt;"OK","CHECK employee setup",IF(OR('_Dates'!J85=0,'_Dates'!T85=0),"CHECK date: use DD.MM.YYYY",IF('_Dates'!T85&lt;'_Dates'!J85,"CHECK end before start",IF(AND($B$6=0,OR('_Dates'!J85&lt;Settings!$B$7,'_Dates'!T85&gt;Settings!$B$8)),"CHECK split across leave years",IF(OR(NOT(OR('_Dates'!U85="Full day",'_Dates'!U85="AM",'_Dates'!U85="PM")),NOT(OR('_Dates'!V85="Full day",'_Dates'!V85="AM",'_Dates'!V85="PM"))),"CHECK Full day / AM / PM",IF(AND('_Dates'!J85='_Dates'!T85,'_Dates'!U85&lt;&gt;"Full day",'_Dates'!V85&lt;&gt;"Full day",'_Dates'!U85&lt;&gt;'_Dates'!V85),"CHECK same-day portions disagree",IF(AND($B$6=0,OR(AND('_Dates'!U85&lt;&gt;"Full day",'_Dates'!AA85=0),AND('_Dates'!V85&lt;&gt;"Full day",'_Dates'!AB85=0))),"CHECK half-day on non-working date",IF(COUNTIF(Settings!$G$7:$G$11,D85)&lt;&gt;1,"CHECK leave type",IF(AND(Bookings!G85&lt;&gt;"Approved",Bookings!G85&lt;&gt;"Pending",Bookings!G85&lt;&gt;"Cancelled"),"CHECK status","OK")))))))))),"CHECK input"))</ns0:f>
        <ns0:v/>
      </ns0:c>
      <ns0:c r="G85" s="0">
        <ns0:f>IF(OR(F85&lt;&gt;"OK",$B$6&gt;0),0,0.5*(IF(('_Dates'!X85)&lt;('_Dates'!W85),0,INT((('_Dates'!X85)-('_Dates'!W85)+1)/7)*LEN(SUBSTITUTE(W85,"O",""))+LEN(SUBSTITUTE(MID(W85&amp;W85,WEEKDAY(('_Dates'!W85),2),MOD((('_Dates'!X85)-('_Dates'!W85)+1),7)),"O",""))-COUNTIFS(INDEX(AllClosureRows,C85,0),"&gt;="&amp;('_Dates'!W85),INDEX(AllClosureRows,C85,0),"&lt;="&amp;('_Dates'!X85)))+IF(('_Dates'!Z85)&lt;('_Dates'!Y85),0,INT((('_Dates'!Z85)-('_Dates'!Y85)+1)/7)*LEN(SUBSTITUTE(W85,"O",""))+LEN(SUBSTITUTE(MID(W85&amp;W85,WEEKDAY(('_Dates'!Y85),2),MOD((('_Dates'!Z85)-('_Dates'!Y85)+1),7)),"O",""))-COUNTIFS(INDEX(AllClosureRows,C85,0),"&gt;="&amp;('_Dates'!Y85),INDEX(AllClosureRows,C85,0),"&lt;="&amp;('_Dates'!Z85)))))</ns0:f>
        <ns0:v>0</ns0:v>
      </ns0:c>
      <ns0:c r="H85" s="0">
        <ns0:f>IF(OR(F85&lt;&gt;"OK",$B$6&gt;0),0,0.5*(IF((MIN('_Dates'!X85,Settings!$B$9))&lt;('_Dates'!W85),0,INT(((MIN('_Dates'!X85,Settings!$B$9))-('_Dates'!W85)+1)/7)*LEN(SUBSTITUTE(W85,"O",""))+LEN(SUBSTITUTE(MID(W85&amp;W85,WEEKDAY(('_Dates'!W85),2),MOD(((MIN('_Dates'!X85,Settings!$B$9))-('_Dates'!W85)+1),7)),"O",""))-COUNTIFS(INDEX(AllClosureRows,C85,0),"&gt;="&amp;('_Dates'!W85),INDEX(AllClosureRows,C85,0),"&lt;="&amp;(MIN('_Dates'!X85,Settings!$B$9))))+IF((MIN('_Dates'!Z85,Settings!$B$9))&lt;('_Dates'!Y85),0,INT(((MIN('_Dates'!Z85,Settings!$B$9))-('_Dates'!Y85)+1)/7)*LEN(SUBSTITUTE(W85,"O",""))+LEN(SUBSTITUTE(MID(W85&amp;W85,WEEKDAY(('_Dates'!Y85),2),MOD(((MIN('_Dates'!Z85,Settings!$B$9))-('_Dates'!Y85)+1),7)),"O",""))-COUNTIFS(INDEX(AllClosureRows,C85,0),"&gt;="&amp;('_Dates'!Y85),INDEX(AllClosureRows,C85,0),"&lt;="&amp;(MIN('_Dates'!Z85,Settings!$B$9))))))</ns0:f>
        <ns0:v>0</ns0:v>
      </ns0:c>
      <ns0:c r="I85" s="0">
        <ns0:f>MAX(0,G85-H85)</ns0:f>
        <ns0:v>0</ns0:v>
      </ns0:c>
      <ns0:c r="J85" s="0">
        <ns0:f>IF(OR(A85=0,F85&lt;&gt;"OK",Bookings!G85="Cancelled",$B$6&gt;0),0,IF('_Dates'!AC85=1,MAX(0,COUNTIFS(rngEngine_B,B85,rngAMStart,"&lt;="&amp;'_Dates'!X85,rngAMEnd,"&gt;="&amp;'_Dates'!W85,rngAMActive,1,rngEngine_F,"OK",rngBookings_F,"&lt;&gt;Cancelled")-1),0)+IF('_Dates'!AD85=1,MAX(0,COUNTIFS(rngEngine_B,B85,rngPMStart,"&lt;="&amp;'_Dates'!Z85,rngPMEnd,"&gt;="&amp;'_Dates'!Y85,rngPMActive,1,rngEngine_F,"OK",rngBookings_F,"&lt;&gt;Cancelled")-1),0))</ns0:f>
        <ns0:v>0</ns0:v>
      </ns0:c>
      <ns0:c r="K85" s="0" t="str">
        <ns0:f>IF(A85=0,"",IF(F85&lt;&gt;"OK",F85,IF(J85&gt;0,"CHECK overlapping entry",IF(AND($B$6=0,G85&lt;=0,Bookings!G85&lt;&gt;"Cancelled"),"CHECK no working days",IF(Bookings!G85="Cancelled","Cancelled","OK")))))</ns0:f>
        <ns0:v/>
      </ns0:c>
      <ns0:c r="L85" s="0">
        <ns0:f>IF(LEFT(K85,5)="CHECK",1,0)</ns0:f>
        <ns0:v>0</ns0:v>
      </ns0:c>
      <ns0:c r="M85" s="0">
        <ns0:f>IF(AND(L85=1,OR(C85=0,IFERROR(INDEX($X$11:$X$60,C85),0)=0)),1,0)</ns0:f>
        <ns0:v>0</ns0:v>
      </ns0:c>
      <ns0:c r="N85" s="0">
        <ns0:f>IF(OR(A85=0,L85&gt;0,$B$6&gt;0,Bookings!G85="Cancelled"),0,G85)</ns0:f>
        <ns0:v>0</ns0:v>
      </ns0:c>
      <ns0:c r="O85" s="0">
        <ns0:f>IF(AND(Bookings!G85="Approved",E85="Yes"),N85,0)</ns0:f>
        <ns0:v>0</ns0:v>
      </ns0:c>
      <ns0:c r="P85" s="0">
        <ns0:f>IF(AND(Bookings!G85="Approved",E85="Yes",L85=0,$B$6=0),H85,0)</ns0:f>
        <ns0:v>0</ns0:v>
      </ns0:c>
      <ns0:c r="Q85" s="0">
        <ns0:f>IF(AND(Bookings!G85="Approved",E85="Yes",L85=0,$B$6=0),I85,0)</ns0:f>
        <ns0:v>0</ns0:v>
      </ns0:c>
      <ns0:c r="R85" s="0">
        <ns0:f>IF(AND(Bookings!G85="Pending",E85="Yes"),N85,0)</ns0:f>
        <ns0:v>0</ns0:v>
      </ns0:c>
      <ns0:c r="S85" s="0">
        <ns0:f>IF(AND(Bookings!G85="Approved",E85="No"),N85,0)</ns0:f>
        <ns0:v>0</ns0:v>
      </ns0:c>
      <ns0:c r="T85" s="0">
        <ns0:f>IFERROR(MATCH(D85,Settings!$G$7:$G$11,0),0)</ns0:f>
        <ns0:v>0</ns0:v>
      </ns0:c>
      <ns0:c r="U85" s="0">
        <ns0:f>IF(N85&gt;0,T85+IF(Bookings!G85="Pending",10,0),0)</ns0:f>
        <ns0:v>0</ns0:v>
      </ns0:c>
      <ns0:c r="V85" s="0">
        <ns0:f>U85</ns0:f>
        <ns0:v>0</ns0:v>
      </ns0:c>
      <ns0:c r="W85" s="0" t="str">
        <ns0:f>IF(C85=0,"",INDEX($AP$11:$AP$60,C85))</ns0:f>
        <ns0:v/>
      </ns0:c>
    </ns0:row>
    <ns0:row r="86">
      <ns0:c r="A86" s="0">
        <ns0:f>IF(COUNTA(Bookings!A86:G86,Bookings!I86)=0,0,1)</ns0:f>
        <ns0:v>0</ns0:v>
      </ns0:c>
      <ns0:c r="B86" s="0" t="str">
        <ns0:f>IFERROR(TRIM(MID(Bookings!A86,FIND(" · ",Bookings!A86)+3,99)),"")</ns0:f>
        <ns0:v/>
      </ns0:c>
      <ns0:c r="C86" s="0">
        <ns0:f>IF(OR(B86="",LEN(B86)&gt;24,ISNUMBER(FIND(" ",B86)),ISNUMBER(FIND("*",B86)),ISNUMBER(FIND("?",B86)),ISNUMBER(FIND("~",B86))),0,IFERROR(MATCH(B86,Team!$A$11:$A$60,0),0))</ns0:f>
        <ns0:v>0</ns0:v>
      </ns0:c>
      <ns0:c r="D86" s="0" t="str">
        <ns0:f>IFERROR(IF(MID(Bookings!F86,LEN(Bookings!F86)-3,3)=" · ",RIGHT(Bookings!F86,1),""),"")</ns0:f>
        <ns0:v/>
      </ns0:c>
      <ns0:c r="E86" s="0" t="str">
        <ns0:f>IFERROR(INDEX(Settings!$H$7:$H$11,MATCH(D86,Settings!$G$7:$G$11,0)),"")</ns0:f>
        <ns0:v/>
      </ns0:c>
      <ns0:c r="F86" s="0" t="str">
        <ns0:f>IF(A86=0,"",IFERROR(IF(OR(B86="",C86=0),"CHECK employee selection",IF(INDEX(Team!$O$11:$O$60,C86)&lt;&gt;"OK","CHECK employee setup",IF(OR('_Dates'!J86=0,'_Dates'!T86=0),"CHECK date: use DD.MM.YYYY",IF('_Dates'!T86&lt;'_Dates'!J86,"CHECK end before start",IF(AND($B$6=0,OR('_Dates'!J86&lt;Settings!$B$7,'_Dates'!T86&gt;Settings!$B$8)),"CHECK split across leave years",IF(OR(NOT(OR('_Dates'!U86="Full day",'_Dates'!U86="AM",'_Dates'!U86="PM")),NOT(OR('_Dates'!V86="Full day",'_Dates'!V86="AM",'_Dates'!V86="PM"))),"CHECK Full day / AM / PM",IF(AND('_Dates'!J86='_Dates'!T86,'_Dates'!U86&lt;&gt;"Full day",'_Dates'!V86&lt;&gt;"Full day",'_Dates'!U86&lt;&gt;'_Dates'!V86),"CHECK same-day portions disagree",IF(AND($B$6=0,OR(AND('_Dates'!U86&lt;&gt;"Full day",'_Dates'!AA86=0),AND('_Dates'!V86&lt;&gt;"Full day",'_Dates'!AB86=0))),"CHECK half-day on non-working date",IF(COUNTIF(Settings!$G$7:$G$11,D86)&lt;&gt;1,"CHECK leave type",IF(AND(Bookings!G86&lt;&gt;"Approved",Bookings!G86&lt;&gt;"Pending",Bookings!G86&lt;&gt;"Cancelled"),"CHECK status","OK")))))))))),"CHECK input"))</ns0:f>
        <ns0:v/>
      </ns0:c>
      <ns0:c r="G86" s="0">
        <ns0:f>IF(OR(F86&lt;&gt;"OK",$B$6&gt;0),0,0.5*(IF(('_Dates'!X86)&lt;('_Dates'!W86),0,INT((('_Dates'!X86)-('_Dates'!W86)+1)/7)*LEN(SUBSTITUTE(W86,"O",""))+LEN(SUBSTITUTE(MID(W86&amp;W86,WEEKDAY(('_Dates'!W86),2),MOD((('_Dates'!X86)-('_Dates'!W86)+1),7)),"O",""))-COUNTIFS(INDEX(AllClosureRows,C86,0),"&gt;="&amp;('_Dates'!W86),INDEX(AllClosureRows,C86,0),"&lt;="&amp;('_Dates'!X86)))+IF(('_Dates'!Z86)&lt;('_Dates'!Y86),0,INT((('_Dates'!Z86)-('_Dates'!Y86)+1)/7)*LEN(SUBSTITUTE(W86,"O",""))+LEN(SUBSTITUTE(MID(W86&amp;W86,WEEKDAY(('_Dates'!Y86),2),MOD((('_Dates'!Z86)-('_Dates'!Y86)+1),7)),"O",""))-COUNTIFS(INDEX(AllClosureRows,C86,0),"&gt;="&amp;('_Dates'!Y86),INDEX(AllClosureRows,C86,0),"&lt;="&amp;('_Dates'!Z86)))))</ns0:f>
        <ns0:v>0</ns0:v>
      </ns0:c>
      <ns0:c r="H86" s="0">
        <ns0:f>IF(OR(F86&lt;&gt;"OK",$B$6&gt;0),0,0.5*(IF((MIN('_Dates'!X86,Settings!$B$9))&lt;('_Dates'!W86),0,INT(((MIN('_Dates'!X86,Settings!$B$9))-('_Dates'!W86)+1)/7)*LEN(SUBSTITUTE(W86,"O",""))+LEN(SUBSTITUTE(MID(W86&amp;W86,WEEKDAY(('_Dates'!W86),2),MOD(((MIN('_Dates'!X86,Settings!$B$9))-('_Dates'!W86)+1),7)),"O",""))-COUNTIFS(INDEX(AllClosureRows,C86,0),"&gt;="&amp;('_Dates'!W86),INDEX(AllClosureRows,C86,0),"&lt;="&amp;(MIN('_Dates'!X86,Settings!$B$9))))+IF((MIN('_Dates'!Z86,Settings!$B$9))&lt;('_Dates'!Y86),0,INT(((MIN('_Dates'!Z86,Settings!$B$9))-('_Dates'!Y86)+1)/7)*LEN(SUBSTITUTE(W86,"O",""))+LEN(SUBSTITUTE(MID(W86&amp;W86,WEEKDAY(('_Dates'!Y86),2),MOD(((MIN('_Dates'!Z86,Settings!$B$9))-('_Dates'!Y86)+1),7)),"O",""))-COUNTIFS(INDEX(AllClosureRows,C86,0),"&gt;="&amp;('_Dates'!Y86),INDEX(AllClosureRows,C86,0),"&lt;="&amp;(MIN('_Dates'!Z86,Settings!$B$9))))))</ns0:f>
        <ns0:v>0</ns0:v>
      </ns0:c>
      <ns0:c r="I86" s="0">
        <ns0:f>MAX(0,G86-H86)</ns0:f>
        <ns0:v>0</ns0:v>
      </ns0:c>
      <ns0:c r="J86" s="0">
        <ns0:f>IF(OR(A86=0,F86&lt;&gt;"OK",Bookings!G86="Cancelled",$B$6&gt;0),0,IF('_Dates'!AC86=1,MAX(0,COUNTIFS(rngEngine_B,B86,rngAMStart,"&lt;="&amp;'_Dates'!X86,rngAMEnd,"&gt;="&amp;'_Dates'!W86,rngAMActive,1,rngEngine_F,"OK",rngBookings_F,"&lt;&gt;Cancelled")-1),0)+IF('_Dates'!AD86=1,MAX(0,COUNTIFS(rngEngine_B,B86,rngPMStart,"&lt;="&amp;'_Dates'!Z86,rngPMEnd,"&gt;="&amp;'_Dates'!Y86,rngPMActive,1,rngEngine_F,"OK",rngBookings_F,"&lt;&gt;Cancelled")-1),0))</ns0:f>
        <ns0:v>0</ns0:v>
      </ns0:c>
      <ns0:c r="K86" s="0" t="str">
        <ns0:f>IF(A86=0,"",IF(F86&lt;&gt;"OK",F86,IF(J86&gt;0,"CHECK overlapping entry",IF(AND($B$6=0,G86&lt;=0,Bookings!G86&lt;&gt;"Cancelled"),"CHECK no working days",IF(Bookings!G86="Cancelled","Cancelled","OK")))))</ns0:f>
        <ns0:v/>
      </ns0:c>
      <ns0:c r="L86" s="0">
        <ns0:f>IF(LEFT(K86,5)="CHECK",1,0)</ns0:f>
        <ns0:v>0</ns0:v>
      </ns0:c>
      <ns0:c r="M86" s="0">
        <ns0:f>IF(AND(L86=1,OR(C86=0,IFERROR(INDEX($X$11:$X$60,C86),0)=0)),1,0)</ns0:f>
        <ns0:v>0</ns0:v>
      </ns0:c>
      <ns0:c r="N86" s="0">
        <ns0:f>IF(OR(A86=0,L86&gt;0,$B$6&gt;0,Bookings!G86="Cancelled"),0,G86)</ns0:f>
        <ns0:v>0</ns0:v>
      </ns0:c>
      <ns0:c r="O86" s="0">
        <ns0:f>IF(AND(Bookings!G86="Approved",E86="Yes"),N86,0)</ns0:f>
        <ns0:v>0</ns0:v>
      </ns0:c>
      <ns0:c r="P86" s="0">
        <ns0:f>IF(AND(Bookings!G86="Approved",E86="Yes",L86=0,$B$6=0),H86,0)</ns0:f>
        <ns0:v>0</ns0:v>
      </ns0:c>
      <ns0:c r="Q86" s="0">
        <ns0:f>IF(AND(Bookings!G86="Approved",E86="Yes",L86=0,$B$6=0),I86,0)</ns0:f>
        <ns0:v>0</ns0:v>
      </ns0:c>
      <ns0:c r="R86" s="0">
        <ns0:f>IF(AND(Bookings!G86="Pending",E86="Yes"),N86,0)</ns0:f>
        <ns0:v>0</ns0:v>
      </ns0:c>
      <ns0:c r="S86" s="0">
        <ns0:f>IF(AND(Bookings!G86="Approved",E86="No"),N86,0)</ns0:f>
        <ns0:v>0</ns0:v>
      </ns0:c>
      <ns0:c r="T86" s="0">
        <ns0:f>IFERROR(MATCH(D86,Settings!$G$7:$G$11,0),0)</ns0:f>
        <ns0:v>0</ns0:v>
      </ns0:c>
      <ns0:c r="U86" s="0">
        <ns0:f>IF(N86&gt;0,T86+IF(Bookings!G86="Pending",10,0),0)</ns0:f>
        <ns0:v>0</ns0:v>
      </ns0:c>
      <ns0:c r="V86" s="0">
        <ns0:f>U86</ns0:f>
        <ns0:v>0</ns0:v>
      </ns0:c>
      <ns0:c r="W86" s="0" t="str">
        <ns0:f>IF(C86=0,"",INDEX($AP$11:$AP$60,C86))</ns0:f>
        <ns0:v/>
      </ns0:c>
    </ns0:row>
    <ns0:row r="87">
      <ns0:c r="A87" s="0">
        <ns0:f>IF(COUNTA(Bookings!A87:G87,Bookings!I87)=0,0,1)</ns0:f>
        <ns0:v>0</ns0:v>
      </ns0:c>
      <ns0:c r="B87" s="0" t="str">
        <ns0:f>IFERROR(TRIM(MID(Bookings!A87,FIND(" · ",Bookings!A87)+3,99)),"")</ns0:f>
        <ns0:v/>
      </ns0:c>
      <ns0:c r="C87" s="0">
        <ns0:f>IF(OR(B87="",LEN(B87)&gt;24,ISNUMBER(FIND(" ",B87)),ISNUMBER(FIND("*",B87)),ISNUMBER(FIND("?",B87)),ISNUMBER(FIND("~",B87))),0,IFERROR(MATCH(B87,Team!$A$11:$A$60,0),0))</ns0:f>
        <ns0:v>0</ns0:v>
      </ns0:c>
      <ns0:c r="D87" s="0" t="str">
        <ns0:f>IFERROR(IF(MID(Bookings!F87,LEN(Bookings!F87)-3,3)=" · ",RIGHT(Bookings!F87,1),""),"")</ns0:f>
        <ns0:v/>
      </ns0:c>
      <ns0:c r="E87" s="0" t="str">
        <ns0:f>IFERROR(INDEX(Settings!$H$7:$H$11,MATCH(D87,Settings!$G$7:$G$11,0)),"")</ns0:f>
        <ns0:v/>
      </ns0:c>
      <ns0:c r="F87" s="0" t="str">
        <ns0:f>IF(A87=0,"",IFERROR(IF(OR(B87="",C87=0),"CHECK employee selection",IF(INDEX(Team!$O$11:$O$60,C87)&lt;&gt;"OK","CHECK employee setup",IF(OR('_Dates'!J87=0,'_Dates'!T87=0),"CHECK date: use DD.MM.YYYY",IF('_Dates'!T87&lt;'_Dates'!J87,"CHECK end before start",IF(AND($B$6=0,OR('_Dates'!J87&lt;Settings!$B$7,'_Dates'!T87&gt;Settings!$B$8)),"CHECK split across leave years",IF(OR(NOT(OR('_Dates'!U87="Full day",'_Dates'!U87="AM",'_Dates'!U87="PM")),NOT(OR('_Dates'!V87="Full day",'_Dates'!V87="AM",'_Dates'!V87="PM"))),"CHECK Full day / AM / PM",IF(AND('_Dates'!J87='_Dates'!T87,'_Dates'!U87&lt;&gt;"Full day",'_Dates'!V87&lt;&gt;"Full day",'_Dates'!U87&lt;&gt;'_Dates'!V87),"CHECK same-day portions disagree",IF(AND($B$6=0,OR(AND('_Dates'!U87&lt;&gt;"Full day",'_Dates'!AA87=0),AND('_Dates'!V87&lt;&gt;"Full day",'_Dates'!AB87=0))),"CHECK half-day on non-working date",IF(COUNTIF(Settings!$G$7:$G$11,D87)&lt;&gt;1,"CHECK leave type",IF(AND(Bookings!G87&lt;&gt;"Approved",Bookings!G87&lt;&gt;"Pending",Bookings!G87&lt;&gt;"Cancelled"),"CHECK status","OK")))))))))),"CHECK input"))</ns0:f>
        <ns0:v/>
      </ns0:c>
      <ns0:c r="G87" s="0">
        <ns0:f>IF(OR(F87&lt;&gt;"OK",$B$6&gt;0),0,0.5*(IF(('_Dates'!X87)&lt;('_Dates'!W87),0,INT((('_Dates'!X87)-('_Dates'!W87)+1)/7)*LEN(SUBSTITUTE(W87,"O",""))+LEN(SUBSTITUTE(MID(W87&amp;W87,WEEKDAY(('_Dates'!W87),2),MOD((('_Dates'!X87)-('_Dates'!W87)+1),7)),"O",""))-COUNTIFS(INDEX(AllClosureRows,C87,0),"&gt;="&amp;('_Dates'!W87),INDEX(AllClosureRows,C87,0),"&lt;="&amp;('_Dates'!X87)))+IF(('_Dates'!Z87)&lt;('_Dates'!Y87),0,INT((('_Dates'!Z87)-('_Dates'!Y87)+1)/7)*LEN(SUBSTITUTE(W87,"O",""))+LEN(SUBSTITUTE(MID(W87&amp;W87,WEEKDAY(('_Dates'!Y87),2),MOD((('_Dates'!Z87)-('_Dates'!Y87)+1),7)),"O",""))-COUNTIFS(INDEX(AllClosureRows,C87,0),"&gt;="&amp;('_Dates'!Y87),INDEX(AllClosureRows,C87,0),"&lt;="&amp;('_Dates'!Z87)))))</ns0:f>
        <ns0:v>0</ns0:v>
      </ns0:c>
      <ns0:c r="H87" s="0">
        <ns0:f>IF(OR(F87&lt;&gt;"OK",$B$6&gt;0),0,0.5*(IF((MIN('_Dates'!X87,Settings!$B$9))&lt;('_Dates'!W87),0,INT(((MIN('_Dates'!X87,Settings!$B$9))-('_Dates'!W87)+1)/7)*LEN(SUBSTITUTE(W87,"O",""))+LEN(SUBSTITUTE(MID(W87&amp;W87,WEEKDAY(('_Dates'!W87),2),MOD(((MIN('_Dates'!X87,Settings!$B$9))-('_Dates'!W87)+1),7)),"O",""))-COUNTIFS(INDEX(AllClosureRows,C87,0),"&gt;="&amp;('_Dates'!W87),INDEX(AllClosureRows,C87,0),"&lt;="&amp;(MIN('_Dates'!X87,Settings!$B$9))))+IF((MIN('_Dates'!Z87,Settings!$B$9))&lt;('_Dates'!Y87),0,INT(((MIN('_Dates'!Z87,Settings!$B$9))-('_Dates'!Y87)+1)/7)*LEN(SUBSTITUTE(W87,"O",""))+LEN(SUBSTITUTE(MID(W87&amp;W87,WEEKDAY(('_Dates'!Y87),2),MOD(((MIN('_Dates'!Z87,Settings!$B$9))-('_Dates'!Y87)+1),7)),"O",""))-COUNTIFS(INDEX(AllClosureRows,C87,0),"&gt;="&amp;('_Dates'!Y87),INDEX(AllClosureRows,C87,0),"&lt;="&amp;(MIN('_Dates'!Z87,Settings!$B$9))))))</ns0:f>
        <ns0:v>0</ns0:v>
      </ns0:c>
      <ns0:c r="I87" s="0">
        <ns0:f>MAX(0,G87-H87)</ns0:f>
        <ns0:v>0</ns0:v>
      </ns0:c>
      <ns0:c r="J87" s="0">
        <ns0:f>IF(OR(A87=0,F87&lt;&gt;"OK",Bookings!G87="Cancelled",$B$6&gt;0),0,IF('_Dates'!AC87=1,MAX(0,COUNTIFS(rngEngine_B,B87,rngAMStart,"&lt;="&amp;'_Dates'!X87,rngAMEnd,"&gt;="&amp;'_Dates'!W87,rngAMActive,1,rngEngine_F,"OK",rngBookings_F,"&lt;&gt;Cancelled")-1),0)+IF('_Dates'!AD87=1,MAX(0,COUNTIFS(rngEngine_B,B87,rngPMStart,"&lt;="&amp;'_Dates'!Z87,rngPMEnd,"&gt;="&amp;'_Dates'!Y87,rngPMActive,1,rngEngine_F,"OK",rngBookings_F,"&lt;&gt;Cancelled")-1),0))</ns0:f>
        <ns0:v>0</ns0:v>
      </ns0:c>
      <ns0:c r="K87" s="0" t="str">
        <ns0:f>IF(A87=0,"",IF(F87&lt;&gt;"OK",F87,IF(J87&gt;0,"CHECK overlapping entry",IF(AND($B$6=0,G87&lt;=0,Bookings!G87&lt;&gt;"Cancelled"),"CHECK no working days",IF(Bookings!G87="Cancelled","Cancelled","OK")))))</ns0:f>
        <ns0:v/>
      </ns0:c>
      <ns0:c r="L87" s="0">
        <ns0:f>IF(LEFT(K87,5)="CHECK",1,0)</ns0:f>
        <ns0:v>0</ns0:v>
      </ns0:c>
      <ns0:c r="M87" s="0">
        <ns0:f>IF(AND(L87=1,OR(C87=0,IFERROR(INDEX($X$11:$X$60,C87),0)=0)),1,0)</ns0:f>
        <ns0:v>0</ns0:v>
      </ns0:c>
      <ns0:c r="N87" s="0">
        <ns0:f>IF(OR(A87=0,L87&gt;0,$B$6&gt;0,Bookings!G87="Cancelled"),0,G87)</ns0:f>
        <ns0:v>0</ns0:v>
      </ns0:c>
      <ns0:c r="O87" s="0">
        <ns0:f>IF(AND(Bookings!G87="Approved",E87="Yes"),N87,0)</ns0:f>
        <ns0:v>0</ns0:v>
      </ns0:c>
      <ns0:c r="P87" s="0">
        <ns0:f>IF(AND(Bookings!G87="Approved",E87="Yes",L87=0,$B$6=0),H87,0)</ns0:f>
        <ns0:v>0</ns0:v>
      </ns0:c>
      <ns0:c r="Q87" s="0">
        <ns0:f>IF(AND(Bookings!G87="Approved",E87="Yes",L87=0,$B$6=0),I87,0)</ns0:f>
        <ns0:v>0</ns0:v>
      </ns0:c>
      <ns0:c r="R87" s="0">
        <ns0:f>IF(AND(Bookings!G87="Pending",E87="Yes"),N87,0)</ns0:f>
        <ns0:v>0</ns0:v>
      </ns0:c>
      <ns0:c r="S87" s="0">
        <ns0:f>IF(AND(Bookings!G87="Approved",E87="No"),N87,0)</ns0:f>
        <ns0:v>0</ns0:v>
      </ns0:c>
      <ns0:c r="T87" s="0">
        <ns0:f>IFERROR(MATCH(D87,Settings!$G$7:$G$11,0),0)</ns0:f>
        <ns0:v>0</ns0:v>
      </ns0:c>
      <ns0:c r="U87" s="0">
        <ns0:f>IF(N87&gt;0,T87+IF(Bookings!G87="Pending",10,0),0)</ns0:f>
        <ns0:v>0</ns0:v>
      </ns0:c>
      <ns0:c r="V87" s="0">
        <ns0:f>U87</ns0:f>
        <ns0:v>0</ns0:v>
      </ns0:c>
      <ns0:c r="W87" s="0" t="str">
        <ns0:f>IF(C87=0,"",INDEX($AP$11:$AP$60,C87))</ns0:f>
        <ns0:v/>
      </ns0:c>
    </ns0:row>
    <ns0:row r="88">
      <ns0:c r="A88" s="0">
        <ns0:f>IF(COUNTA(Bookings!A88:G88,Bookings!I88)=0,0,1)</ns0:f>
        <ns0:v>0</ns0:v>
      </ns0:c>
      <ns0:c r="B88" s="0" t="str">
        <ns0:f>IFERROR(TRIM(MID(Bookings!A88,FIND(" · ",Bookings!A88)+3,99)),"")</ns0:f>
        <ns0:v/>
      </ns0:c>
      <ns0:c r="C88" s="0">
        <ns0:f>IF(OR(B88="",LEN(B88)&gt;24,ISNUMBER(FIND(" ",B88)),ISNUMBER(FIND("*",B88)),ISNUMBER(FIND("?",B88)),ISNUMBER(FIND("~",B88))),0,IFERROR(MATCH(B88,Team!$A$11:$A$60,0),0))</ns0:f>
        <ns0:v>0</ns0:v>
      </ns0:c>
      <ns0:c r="D88" s="0" t="str">
        <ns0:f>IFERROR(IF(MID(Bookings!F88,LEN(Bookings!F88)-3,3)=" · ",RIGHT(Bookings!F88,1),""),"")</ns0:f>
        <ns0:v/>
      </ns0:c>
      <ns0:c r="E88" s="0" t="str">
        <ns0:f>IFERROR(INDEX(Settings!$H$7:$H$11,MATCH(D88,Settings!$G$7:$G$11,0)),"")</ns0:f>
        <ns0:v/>
      </ns0:c>
      <ns0:c r="F88" s="0" t="str">
        <ns0:f>IF(A88=0,"",IFERROR(IF(OR(B88="",C88=0),"CHECK employee selection",IF(INDEX(Team!$O$11:$O$60,C88)&lt;&gt;"OK","CHECK employee setup",IF(OR('_Dates'!J88=0,'_Dates'!T88=0),"CHECK date: use DD.MM.YYYY",IF('_Dates'!T88&lt;'_Dates'!J88,"CHECK end before start",IF(AND($B$6=0,OR('_Dates'!J88&lt;Settings!$B$7,'_Dates'!T88&gt;Settings!$B$8)),"CHECK split across leave years",IF(OR(NOT(OR('_Dates'!U88="Full day",'_Dates'!U88="AM",'_Dates'!U88="PM")),NOT(OR('_Dates'!V88="Full day",'_Dates'!V88="AM",'_Dates'!V88="PM"))),"CHECK Full day / AM / PM",IF(AND('_Dates'!J88='_Dates'!T88,'_Dates'!U88&lt;&gt;"Full day",'_Dates'!V88&lt;&gt;"Full day",'_Dates'!U88&lt;&gt;'_Dates'!V88),"CHECK same-day portions disagree",IF(AND($B$6=0,OR(AND('_Dates'!U88&lt;&gt;"Full day",'_Dates'!AA88=0),AND('_Dates'!V88&lt;&gt;"Full day",'_Dates'!AB88=0))),"CHECK half-day on non-working date",IF(COUNTIF(Settings!$G$7:$G$11,D88)&lt;&gt;1,"CHECK leave type",IF(AND(Bookings!G88&lt;&gt;"Approved",Bookings!G88&lt;&gt;"Pending",Bookings!G88&lt;&gt;"Cancelled"),"CHECK status","OK")))))))))),"CHECK input"))</ns0:f>
        <ns0:v/>
      </ns0:c>
      <ns0:c r="G88" s="0">
        <ns0:f>IF(OR(F88&lt;&gt;"OK",$B$6&gt;0),0,0.5*(IF(('_Dates'!X88)&lt;('_Dates'!W88),0,INT((('_Dates'!X88)-('_Dates'!W88)+1)/7)*LEN(SUBSTITUTE(W88,"O",""))+LEN(SUBSTITUTE(MID(W88&amp;W88,WEEKDAY(('_Dates'!W88),2),MOD((('_Dates'!X88)-('_Dates'!W88)+1),7)),"O",""))-COUNTIFS(INDEX(AllClosureRows,C88,0),"&gt;="&amp;('_Dates'!W88),INDEX(AllClosureRows,C88,0),"&lt;="&amp;('_Dates'!X88)))+IF(('_Dates'!Z88)&lt;('_Dates'!Y88),0,INT((('_Dates'!Z88)-('_Dates'!Y88)+1)/7)*LEN(SUBSTITUTE(W88,"O",""))+LEN(SUBSTITUTE(MID(W88&amp;W88,WEEKDAY(('_Dates'!Y88),2),MOD((('_Dates'!Z88)-('_Dates'!Y88)+1),7)),"O",""))-COUNTIFS(INDEX(AllClosureRows,C88,0),"&gt;="&amp;('_Dates'!Y88),INDEX(AllClosureRows,C88,0),"&lt;="&amp;('_Dates'!Z88)))))</ns0:f>
        <ns0:v>0</ns0:v>
      </ns0:c>
      <ns0:c r="H88" s="0">
        <ns0:f>IF(OR(F88&lt;&gt;"OK",$B$6&gt;0),0,0.5*(IF((MIN('_Dates'!X88,Settings!$B$9))&lt;('_Dates'!W88),0,INT(((MIN('_Dates'!X88,Settings!$B$9))-('_Dates'!W88)+1)/7)*LEN(SUBSTITUTE(W88,"O",""))+LEN(SUBSTITUTE(MID(W88&amp;W88,WEEKDAY(('_Dates'!W88),2),MOD(((MIN('_Dates'!X88,Settings!$B$9))-('_Dates'!W88)+1),7)),"O",""))-COUNTIFS(INDEX(AllClosureRows,C88,0),"&gt;="&amp;('_Dates'!W88),INDEX(AllClosureRows,C88,0),"&lt;="&amp;(MIN('_Dates'!X88,Settings!$B$9))))+IF((MIN('_Dates'!Z88,Settings!$B$9))&lt;('_Dates'!Y88),0,INT(((MIN('_Dates'!Z88,Settings!$B$9))-('_Dates'!Y88)+1)/7)*LEN(SUBSTITUTE(W88,"O",""))+LEN(SUBSTITUTE(MID(W88&amp;W88,WEEKDAY(('_Dates'!Y88),2),MOD(((MIN('_Dates'!Z88,Settings!$B$9))-('_Dates'!Y88)+1),7)),"O",""))-COUNTIFS(INDEX(AllClosureRows,C88,0),"&gt;="&amp;('_Dates'!Y88),INDEX(AllClosureRows,C88,0),"&lt;="&amp;(MIN('_Dates'!Z88,Settings!$B$9))))))</ns0:f>
        <ns0:v>0</ns0:v>
      </ns0:c>
      <ns0:c r="I88" s="0">
        <ns0:f>MAX(0,G88-H88)</ns0:f>
        <ns0:v>0</ns0:v>
      </ns0:c>
      <ns0:c r="J88" s="0">
        <ns0:f>IF(OR(A88=0,F88&lt;&gt;"OK",Bookings!G88="Cancelled",$B$6&gt;0),0,IF('_Dates'!AC88=1,MAX(0,COUNTIFS(rngEngine_B,B88,rngAMStart,"&lt;="&amp;'_Dates'!X88,rngAMEnd,"&gt;="&amp;'_Dates'!W88,rngAMActive,1,rngEngine_F,"OK",rngBookings_F,"&lt;&gt;Cancelled")-1),0)+IF('_Dates'!AD88=1,MAX(0,COUNTIFS(rngEngine_B,B88,rngPMStart,"&lt;="&amp;'_Dates'!Z88,rngPMEnd,"&gt;="&amp;'_Dates'!Y88,rngPMActive,1,rngEngine_F,"OK",rngBookings_F,"&lt;&gt;Cancelled")-1),0))</ns0:f>
        <ns0:v>0</ns0:v>
      </ns0:c>
      <ns0:c r="K88" s="0" t="str">
        <ns0:f>IF(A88=0,"",IF(F88&lt;&gt;"OK",F88,IF(J88&gt;0,"CHECK overlapping entry",IF(AND($B$6=0,G88&lt;=0,Bookings!G88&lt;&gt;"Cancelled"),"CHECK no working days",IF(Bookings!G88="Cancelled","Cancelled","OK")))))</ns0:f>
        <ns0:v/>
      </ns0:c>
      <ns0:c r="L88" s="0">
        <ns0:f>IF(LEFT(K88,5)="CHECK",1,0)</ns0:f>
        <ns0:v>0</ns0:v>
      </ns0:c>
      <ns0:c r="M88" s="0">
        <ns0:f>IF(AND(L88=1,OR(C88=0,IFERROR(INDEX($X$11:$X$60,C88),0)=0)),1,0)</ns0:f>
        <ns0:v>0</ns0:v>
      </ns0:c>
      <ns0:c r="N88" s="0">
        <ns0:f>IF(OR(A88=0,L88&gt;0,$B$6&gt;0,Bookings!G88="Cancelled"),0,G88)</ns0:f>
        <ns0:v>0</ns0:v>
      </ns0:c>
      <ns0:c r="O88" s="0">
        <ns0:f>IF(AND(Bookings!G88="Approved",E88="Yes"),N88,0)</ns0:f>
        <ns0:v>0</ns0:v>
      </ns0:c>
      <ns0:c r="P88" s="0">
        <ns0:f>IF(AND(Bookings!G88="Approved",E88="Yes",L88=0,$B$6=0),H88,0)</ns0:f>
        <ns0:v>0</ns0:v>
      </ns0:c>
      <ns0:c r="Q88" s="0">
        <ns0:f>IF(AND(Bookings!G88="Approved",E88="Yes",L88=0,$B$6=0),I88,0)</ns0:f>
        <ns0:v>0</ns0:v>
      </ns0:c>
      <ns0:c r="R88" s="0">
        <ns0:f>IF(AND(Bookings!G88="Pending",E88="Yes"),N88,0)</ns0:f>
        <ns0:v>0</ns0:v>
      </ns0:c>
      <ns0:c r="S88" s="0">
        <ns0:f>IF(AND(Bookings!G88="Approved",E88="No"),N88,0)</ns0:f>
        <ns0:v>0</ns0:v>
      </ns0:c>
      <ns0:c r="T88" s="0">
        <ns0:f>IFERROR(MATCH(D88,Settings!$G$7:$G$11,0),0)</ns0:f>
        <ns0:v>0</ns0:v>
      </ns0:c>
      <ns0:c r="U88" s="0">
        <ns0:f>IF(N88&gt;0,T88+IF(Bookings!G88="Pending",10,0),0)</ns0:f>
        <ns0:v>0</ns0:v>
      </ns0:c>
      <ns0:c r="V88" s="0">
        <ns0:f>U88</ns0:f>
        <ns0:v>0</ns0:v>
      </ns0:c>
      <ns0:c r="W88" s="0" t="str">
        <ns0:f>IF(C88=0,"",INDEX($AP$11:$AP$60,C88))</ns0:f>
        <ns0:v/>
      </ns0:c>
    </ns0:row>
    <ns0:row r="89">
      <ns0:c r="A89" s="0">
        <ns0:f>IF(COUNTA(Bookings!A89:G89,Bookings!I89)=0,0,1)</ns0:f>
        <ns0:v>0</ns0:v>
      </ns0:c>
      <ns0:c r="B89" s="0" t="str">
        <ns0:f>IFERROR(TRIM(MID(Bookings!A89,FIND(" · ",Bookings!A89)+3,99)),"")</ns0:f>
        <ns0:v/>
      </ns0:c>
      <ns0:c r="C89" s="0">
        <ns0:f>IF(OR(B89="",LEN(B89)&gt;24,ISNUMBER(FIND(" ",B89)),ISNUMBER(FIND("*",B89)),ISNUMBER(FIND("?",B89)),ISNUMBER(FIND("~",B89))),0,IFERROR(MATCH(B89,Team!$A$11:$A$60,0),0))</ns0:f>
        <ns0:v>0</ns0:v>
      </ns0:c>
      <ns0:c r="D89" s="0" t="str">
        <ns0:f>IFERROR(IF(MID(Bookings!F89,LEN(Bookings!F89)-3,3)=" · ",RIGHT(Bookings!F89,1),""),"")</ns0:f>
        <ns0:v/>
      </ns0:c>
      <ns0:c r="E89" s="0" t="str">
        <ns0:f>IFERROR(INDEX(Settings!$H$7:$H$11,MATCH(D89,Settings!$G$7:$G$11,0)),"")</ns0:f>
        <ns0:v/>
      </ns0:c>
      <ns0:c r="F89" s="0" t="str">
        <ns0:f>IF(A89=0,"",IFERROR(IF(OR(B89="",C89=0),"CHECK employee selection",IF(INDEX(Team!$O$11:$O$60,C89)&lt;&gt;"OK","CHECK employee setup",IF(OR('_Dates'!J89=0,'_Dates'!T89=0),"CHECK date: use DD.MM.YYYY",IF('_Dates'!T89&lt;'_Dates'!J89,"CHECK end before start",IF(AND($B$6=0,OR('_Dates'!J89&lt;Settings!$B$7,'_Dates'!T89&gt;Settings!$B$8)),"CHECK split across leave years",IF(OR(NOT(OR('_Dates'!U89="Full day",'_Dates'!U89="AM",'_Dates'!U89="PM")),NOT(OR('_Dates'!V89="Full day",'_Dates'!V89="AM",'_Dates'!V89="PM"))),"CHECK Full day / AM / PM",IF(AND('_Dates'!J89='_Dates'!T89,'_Dates'!U89&lt;&gt;"Full day",'_Dates'!V89&lt;&gt;"Full day",'_Dates'!U89&lt;&gt;'_Dates'!V89),"CHECK same-day portions disagree",IF(AND($B$6=0,OR(AND('_Dates'!U89&lt;&gt;"Full day",'_Dates'!AA89=0),AND('_Dates'!V89&lt;&gt;"Full day",'_Dates'!AB89=0))),"CHECK half-day on non-working date",IF(COUNTIF(Settings!$G$7:$G$11,D89)&lt;&gt;1,"CHECK leave type",IF(AND(Bookings!G89&lt;&gt;"Approved",Bookings!G89&lt;&gt;"Pending",Bookings!G89&lt;&gt;"Cancelled"),"CHECK status","OK")))))))))),"CHECK input"))</ns0:f>
        <ns0:v/>
      </ns0:c>
      <ns0:c r="G89" s="0">
        <ns0:f>IF(OR(F89&lt;&gt;"OK",$B$6&gt;0),0,0.5*(IF(('_Dates'!X89)&lt;('_Dates'!W89),0,INT((('_Dates'!X89)-('_Dates'!W89)+1)/7)*LEN(SUBSTITUTE(W89,"O",""))+LEN(SUBSTITUTE(MID(W89&amp;W89,WEEKDAY(('_Dates'!W89),2),MOD((('_Dates'!X89)-('_Dates'!W89)+1),7)),"O",""))-COUNTIFS(INDEX(AllClosureRows,C89,0),"&gt;="&amp;('_Dates'!W89),INDEX(AllClosureRows,C89,0),"&lt;="&amp;('_Dates'!X89)))+IF(('_Dates'!Z89)&lt;('_Dates'!Y89),0,INT((('_Dates'!Z89)-('_Dates'!Y89)+1)/7)*LEN(SUBSTITUTE(W89,"O",""))+LEN(SUBSTITUTE(MID(W89&amp;W89,WEEKDAY(('_Dates'!Y89),2),MOD((('_Dates'!Z89)-('_Dates'!Y89)+1),7)),"O",""))-COUNTIFS(INDEX(AllClosureRows,C89,0),"&gt;="&amp;('_Dates'!Y89),INDEX(AllClosureRows,C89,0),"&lt;="&amp;('_Dates'!Z89)))))</ns0:f>
        <ns0:v>0</ns0:v>
      </ns0:c>
      <ns0:c r="H89" s="0">
        <ns0:f>IF(OR(F89&lt;&gt;"OK",$B$6&gt;0),0,0.5*(IF((MIN('_Dates'!X89,Settings!$B$9))&lt;('_Dates'!W89),0,INT(((MIN('_Dates'!X89,Settings!$B$9))-('_Dates'!W89)+1)/7)*LEN(SUBSTITUTE(W89,"O",""))+LEN(SUBSTITUTE(MID(W89&amp;W89,WEEKDAY(('_Dates'!W89),2),MOD(((MIN('_Dates'!X89,Settings!$B$9))-('_Dates'!W89)+1),7)),"O",""))-COUNTIFS(INDEX(AllClosureRows,C89,0),"&gt;="&amp;('_Dates'!W89),INDEX(AllClosureRows,C89,0),"&lt;="&amp;(MIN('_Dates'!X89,Settings!$B$9))))+IF((MIN('_Dates'!Z89,Settings!$B$9))&lt;('_Dates'!Y89),0,INT(((MIN('_Dates'!Z89,Settings!$B$9))-('_Dates'!Y89)+1)/7)*LEN(SUBSTITUTE(W89,"O",""))+LEN(SUBSTITUTE(MID(W89&amp;W89,WEEKDAY(('_Dates'!Y89),2),MOD(((MIN('_Dates'!Z89,Settings!$B$9))-('_Dates'!Y89)+1),7)),"O",""))-COUNTIFS(INDEX(AllClosureRows,C89,0),"&gt;="&amp;('_Dates'!Y89),INDEX(AllClosureRows,C89,0),"&lt;="&amp;(MIN('_Dates'!Z89,Settings!$B$9))))))</ns0:f>
        <ns0:v>0</ns0:v>
      </ns0:c>
      <ns0:c r="I89" s="0">
        <ns0:f>MAX(0,G89-H89)</ns0:f>
        <ns0:v>0</ns0:v>
      </ns0:c>
      <ns0:c r="J89" s="0">
        <ns0:f>IF(OR(A89=0,F89&lt;&gt;"OK",Bookings!G89="Cancelled",$B$6&gt;0),0,IF('_Dates'!AC89=1,MAX(0,COUNTIFS(rngEngine_B,B89,rngAMStart,"&lt;="&amp;'_Dates'!X89,rngAMEnd,"&gt;="&amp;'_Dates'!W89,rngAMActive,1,rngEngine_F,"OK",rngBookings_F,"&lt;&gt;Cancelled")-1),0)+IF('_Dates'!AD89=1,MAX(0,COUNTIFS(rngEngine_B,B89,rngPMStart,"&lt;="&amp;'_Dates'!Z89,rngPMEnd,"&gt;="&amp;'_Dates'!Y89,rngPMActive,1,rngEngine_F,"OK",rngBookings_F,"&lt;&gt;Cancelled")-1),0))</ns0:f>
        <ns0:v>0</ns0:v>
      </ns0:c>
      <ns0:c r="K89" s="0" t="str">
        <ns0:f>IF(A89=0,"",IF(F89&lt;&gt;"OK",F89,IF(J89&gt;0,"CHECK overlapping entry",IF(AND($B$6=0,G89&lt;=0,Bookings!G89&lt;&gt;"Cancelled"),"CHECK no working days",IF(Bookings!G89="Cancelled","Cancelled","OK")))))</ns0:f>
        <ns0:v/>
      </ns0:c>
      <ns0:c r="L89" s="0">
        <ns0:f>IF(LEFT(K89,5)="CHECK",1,0)</ns0:f>
        <ns0:v>0</ns0:v>
      </ns0:c>
      <ns0:c r="M89" s="0">
        <ns0:f>IF(AND(L89=1,OR(C89=0,IFERROR(INDEX($X$11:$X$60,C89),0)=0)),1,0)</ns0:f>
        <ns0:v>0</ns0:v>
      </ns0:c>
      <ns0:c r="N89" s="0">
        <ns0:f>IF(OR(A89=0,L89&gt;0,$B$6&gt;0,Bookings!G89="Cancelled"),0,G89)</ns0:f>
        <ns0:v>0</ns0:v>
      </ns0:c>
      <ns0:c r="O89" s="0">
        <ns0:f>IF(AND(Bookings!G89="Approved",E89="Yes"),N89,0)</ns0:f>
        <ns0:v>0</ns0:v>
      </ns0:c>
      <ns0:c r="P89" s="0">
        <ns0:f>IF(AND(Bookings!G89="Approved",E89="Yes",L89=0,$B$6=0),H89,0)</ns0:f>
        <ns0:v>0</ns0:v>
      </ns0:c>
      <ns0:c r="Q89" s="0">
        <ns0:f>IF(AND(Bookings!G89="Approved",E89="Yes",L89=0,$B$6=0),I89,0)</ns0:f>
        <ns0:v>0</ns0:v>
      </ns0:c>
      <ns0:c r="R89" s="0">
        <ns0:f>IF(AND(Bookings!G89="Pending",E89="Yes"),N89,0)</ns0:f>
        <ns0:v>0</ns0:v>
      </ns0:c>
      <ns0:c r="S89" s="0">
        <ns0:f>IF(AND(Bookings!G89="Approved",E89="No"),N89,0)</ns0:f>
        <ns0:v>0</ns0:v>
      </ns0:c>
      <ns0:c r="T89" s="0">
        <ns0:f>IFERROR(MATCH(D89,Settings!$G$7:$G$11,0),0)</ns0:f>
        <ns0:v>0</ns0:v>
      </ns0:c>
      <ns0:c r="U89" s="0">
        <ns0:f>IF(N89&gt;0,T89+IF(Bookings!G89="Pending",10,0),0)</ns0:f>
        <ns0:v>0</ns0:v>
      </ns0:c>
      <ns0:c r="V89" s="0">
        <ns0:f>U89</ns0:f>
        <ns0:v>0</ns0:v>
      </ns0:c>
      <ns0:c r="W89" s="0" t="str">
        <ns0:f>IF(C89=0,"",INDEX($AP$11:$AP$60,C89))</ns0:f>
        <ns0:v/>
      </ns0:c>
    </ns0:row>
    <ns0:row r="90">
      <ns0:c r="A90" s="0">
        <ns0:f>IF(COUNTA(Bookings!A90:G90,Bookings!I90)=0,0,1)</ns0:f>
        <ns0:v>0</ns0:v>
      </ns0:c>
      <ns0:c r="B90" s="0" t="str">
        <ns0:f>IFERROR(TRIM(MID(Bookings!A90,FIND(" · ",Bookings!A90)+3,99)),"")</ns0:f>
        <ns0:v/>
      </ns0:c>
      <ns0:c r="C90" s="0">
        <ns0:f>IF(OR(B90="",LEN(B90)&gt;24,ISNUMBER(FIND(" ",B90)),ISNUMBER(FIND("*",B90)),ISNUMBER(FIND("?",B90)),ISNUMBER(FIND("~",B90))),0,IFERROR(MATCH(B90,Team!$A$11:$A$60,0),0))</ns0:f>
        <ns0:v>0</ns0:v>
      </ns0:c>
      <ns0:c r="D90" s="0" t="str">
        <ns0:f>IFERROR(IF(MID(Bookings!F90,LEN(Bookings!F90)-3,3)=" · ",RIGHT(Bookings!F90,1),""),"")</ns0:f>
        <ns0:v/>
      </ns0:c>
      <ns0:c r="E90" s="0" t="str">
        <ns0:f>IFERROR(INDEX(Settings!$H$7:$H$11,MATCH(D90,Settings!$G$7:$G$11,0)),"")</ns0:f>
        <ns0:v/>
      </ns0:c>
      <ns0:c r="F90" s="0" t="str">
        <ns0:f>IF(A90=0,"",IFERROR(IF(OR(B90="",C90=0),"CHECK employee selection",IF(INDEX(Team!$O$11:$O$60,C90)&lt;&gt;"OK","CHECK employee setup",IF(OR('_Dates'!J90=0,'_Dates'!T90=0),"CHECK date: use DD.MM.YYYY",IF('_Dates'!T90&lt;'_Dates'!J90,"CHECK end before start",IF(AND($B$6=0,OR('_Dates'!J90&lt;Settings!$B$7,'_Dates'!T90&gt;Settings!$B$8)),"CHECK split across leave years",IF(OR(NOT(OR('_Dates'!U90="Full day",'_Dates'!U90="AM",'_Dates'!U90="PM")),NOT(OR('_Dates'!V90="Full day",'_Dates'!V90="AM",'_Dates'!V90="PM"))),"CHECK Full day / AM / PM",IF(AND('_Dates'!J90='_Dates'!T90,'_Dates'!U90&lt;&gt;"Full day",'_Dates'!V90&lt;&gt;"Full day",'_Dates'!U90&lt;&gt;'_Dates'!V90),"CHECK same-day portions disagree",IF(AND($B$6=0,OR(AND('_Dates'!U90&lt;&gt;"Full day",'_Dates'!AA90=0),AND('_Dates'!V90&lt;&gt;"Full day",'_Dates'!AB90=0))),"CHECK half-day on non-working date",IF(COUNTIF(Settings!$G$7:$G$11,D90)&lt;&gt;1,"CHECK leave type",IF(AND(Bookings!G90&lt;&gt;"Approved",Bookings!G90&lt;&gt;"Pending",Bookings!G90&lt;&gt;"Cancelled"),"CHECK status","OK")))))))))),"CHECK input"))</ns0:f>
        <ns0:v/>
      </ns0:c>
      <ns0:c r="G90" s="0">
        <ns0:f>IF(OR(F90&lt;&gt;"OK",$B$6&gt;0),0,0.5*(IF(('_Dates'!X90)&lt;('_Dates'!W90),0,INT((('_Dates'!X90)-('_Dates'!W90)+1)/7)*LEN(SUBSTITUTE(W90,"O",""))+LEN(SUBSTITUTE(MID(W90&amp;W90,WEEKDAY(('_Dates'!W90),2),MOD((('_Dates'!X90)-('_Dates'!W90)+1),7)),"O",""))-COUNTIFS(INDEX(AllClosureRows,C90,0),"&gt;="&amp;('_Dates'!W90),INDEX(AllClosureRows,C90,0),"&lt;="&amp;('_Dates'!X90)))+IF(('_Dates'!Z90)&lt;('_Dates'!Y90),0,INT((('_Dates'!Z90)-('_Dates'!Y90)+1)/7)*LEN(SUBSTITUTE(W90,"O",""))+LEN(SUBSTITUTE(MID(W90&amp;W90,WEEKDAY(('_Dates'!Y90),2),MOD((('_Dates'!Z90)-('_Dates'!Y90)+1),7)),"O",""))-COUNTIFS(INDEX(AllClosureRows,C90,0),"&gt;="&amp;('_Dates'!Y90),INDEX(AllClosureRows,C90,0),"&lt;="&amp;('_Dates'!Z90)))))</ns0:f>
        <ns0:v>0</ns0:v>
      </ns0:c>
      <ns0:c r="H90" s="0">
        <ns0:f>IF(OR(F90&lt;&gt;"OK",$B$6&gt;0),0,0.5*(IF((MIN('_Dates'!X90,Settings!$B$9))&lt;('_Dates'!W90),0,INT(((MIN('_Dates'!X90,Settings!$B$9))-('_Dates'!W90)+1)/7)*LEN(SUBSTITUTE(W90,"O",""))+LEN(SUBSTITUTE(MID(W90&amp;W90,WEEKDAY(('_Dates'!W90),2),MOD(((MIN('_Dates'!X90,Settings!$B$9))-('_Dates'!W90)+1),7)),"O",""))-COUNTIFS(INDEX(AllClosureRows,C90,0),"&gt;="&amp;('_Dates'!W90),INDEX(AllClosureRows,C90,0),"&lt;="&amp;(MIN('_Dates'!X90,Settings!$B$9))))+IF((MIN('_Dates'!Z90,Settings!$B$9))&lt;('_Dates'!Y90),0,INT(((MIN('_Dates'!Z90,Settings!$B$9))-('_Dates'!Y90)+1)/7)*LEN(SUBSTITUTE(W90,"O",""))+LEN(SUBSTITUTE(MID(W90&amp;W90,WEEKDAY(('_Dates'!Y90),2),MOD(((MIN('_Dates'!Z90,Settings!$B$9))-('_Dates'!Y90)+1),7)),"O",""))-COUNTIFS(INDEX(AllClosureRows,C90,0),"&gt;="&amp;('_Dates'!Y90),INDEX(AllClosureRows,C90,0),"&lt;="&amp;(MIN('_Dates'!Z90,Settings!$B$9))))))</ns0:f>
        <ns0:v>0</ns0:v>
      </ns0:c>
      <ns0:c r="I90" s="0">
        <ns0:f>MAX(0,G90-H90)</ns0:f>
        <ns0:v>0</ns0:v>
      </ns0:c>
      <ns0:c r="J90" s="0">
        <ns0:f>IF(OR(A90=0,F90&lt;&gt;"OK",Bookings!G90="Cancelled",$B$6&gt;0),0,IF('_Dates'!AC90=1,MAX(0,COUNTIFS(rngEngine_B,B90,rngAMStart,"&lt;="&amp;'_Dates'!X90,rngAMEnd,"&gt;="&amp;'_Dates'!W90,rngAMActive,1,rngEngine_F,"OK",rngBookings_F,"&lt;&gt;Cancelled")-1),0)+IF('_Dates'!AD90=1,MAX(0,COUNTIFS(rngEngine_B,B90,rngPMStart,"&lt;="&amp;'_Dates'!Z90,rngPMEnd,"&gt;="&amp;'_Dates'!Y90,rngPMActive,1,rngEngine_F,"OK",rngBookings_F,"&lt;&gt;Cancelled")-1),0))</ns0:f>
        <ns0:v>0</ns0:v>
      </ns0:c>
      <ns0:c r="K90" s="0" t="str">
        <ns0:f>IF(A90=0,"",IF(F90&lt;&gt;"OK",F90,IF(J90&gt;0,"CHECK overlapping entry",IF(AND($B$6=0,G90&lt;=0,Bookings!G90&lt;&gt;"Cancelled"),"CHECK no working days",IF(Bookings!G90="Cancelled","Cancelled","OK")))))</ns0:f>
        <ns0:v/>
      </ns0:c>
      <ns0:c r="L90" s="0">
        <ns0:f>IF(LEFT(K90,5)="CHECK",1,0)</ns0:f>
        <ns0:v>0</ns0:v>
      </ns0:c>
      <ns0:c r="M90" s="0">
        <ns0:f>IF(AND(L90=1,OR(C90=0,IFERROR(INDEX($X$11:$X$60,C90),0)=0)),1,0)</ns0:f>
        <ns0:v>0</ns0:v>
      </ns0:c>
      <ns0:c r="N90" s="0">
        <ns0:f>IF(OR(A90=0,L90&gt;0,$B$6&gt;0,Bookings!G90="Cancelled"),0,G90)</ns0:f>
        <ns0:v>0</ns0:v>
      </ns0:c>
      <ns0:c r="O90" s="0">
        <ns0:f>IF(AND(Bookings!G90="Approved",E90="Yes"),N90,0)</ns0:f>
        <ns0:v>0</ns0:v>
      </ns0:c>
      <ns0:c r="P90" s="0">
        <ns0:f>IF(AND(Bookings!G90="Approved",E90="Yes",L90=0,$B$6=0),H90,0)</ns0:f>
        <ns0:v>0</ns0:v>
      </ns0:c>
      <ns0:c r="Q90" s="0">
        <ns0:f>IF(AND(Bookings!G90="Approved",E90="Yes",L90=0,$B$6=0),I90,0)</ns0:f>
        <ns0:v>0</ns0:v>
      </ns0:c>
      <ns0:c r="R90" s="0">
        <ns0:f>IF(AND(Bookings!G90="Pending",E90="Yes"),N90,0)</ns0:f>
        <ns0:v>0</ns0:v>
      </ns0:c>
      <ns0:c r="S90" s="0">
        <ns0:f>IF(AND(Bookings!G90="Approved",E90="No"),N90,0)</ns0:f>
        <ns0:v>0</ns0:v>
      </ns0:c>
      <ns0:c r="T90" s="0">
        <ns0:f>IFERROR(MATCH(D90,Settings!$G$7:$G$11,0),0)</ns0:f>
        <ns0:v>0</ns0:v>
      </ns0:c>
      <ns0:c r="U90" s="0">
        <ns0:f>IF(N90&gt;0,T90+IF(Bookings!G90="Pending",10,0),0)</ns0:f>
        <ns0:v>0</ns0:v>
      </ns0:c>
      <ns0:c r="V90" s="0">
        <ns0:f>U90</ns0:f>
        <ns0:v>0</ns0:v>
      </ns0:c>
      <ns0:c r="W90" s="0" t="str">
        <ns0:f>IF(C90=0,"",INDEX($AP$11:$AP$60,C90))</ns0:f>
        <ns0:v/>
      </ns0:c>
    </ns0:row>
    <ns0:row r="91">
      <ns0:c r="A91" s="0">
        <ns0:f>IF(COUNTA(Bookings!A91:G91,Bookings!I91)=0,0,1)</ns0:f>
        <ns0:v>0</ns0:v>
      </ns0:c>
      <ns0:c r="B91" s="0" t="str">
        <ns0:f>IFERROR(TRIM(MID(Bookings!A91,FIND(" · ",Bookings!A91)+3,99)),"")</ns0:f>
        <ns0:v/>
      </ns0:c>
      <ns0:c r="C91" s="0">
        <ns0:f>IF(OR(B91="",LEN(B91)&gt;24,ISNUMBER(FIND(" ",B91)),ISNUMBER(FIND("*",B91)),ISNUMBER(FIND("?",B91)),ISNUMBER(FIND("~",B91))),0,IFERROR(MATCH(B91,Team!$A$11:$A$60,0),0))</ns0:f>
        <ns0:v>0</ns0:v>
      </ns0:c>
      <ns0:c r="D91" s="0" t="str">
        <ns0:f>IFERROR(IF(MID(Bookings!F91,LEN(Bookings!F91)-3,3)=" · ",RIGHT(Bookings!F91,1),""),"")</ns0:f>
        <ns0:v/>
      </ns0:c>
      <ns0:c r="E91" s="0" t="str">
        <ns0:f>IFERROR(INDEX(Settings!$H$7:$H$11,MATCH(D91,Settings!$G$7:$G$11,0)),"")</ns0:f>
        <ns0:v/>
      </ns0:c>
      <ns0:c r="F91" s="0" t="str">
        <ns0:f>IF(A91=0,"",IFERROR(IF(OR(B91="",C91=0),"CHECK employee selection",IF(INDEX(Team!$O$11:$O$60,C91)&lt;&gt;"OK","CHECK employee setup",IF(OR('_Dates'!J91=0,'_Dates'!T91=0),"CHECK date: use DD.MM.YYYY",IF('_Dates'!T91&lt;'_Dates'!J91,"CHECK end before start",IF(AND($B$6=0,OR('_Dates'!J91&lt;Settings!$B$7,'_Dates'!T91&gt;Settings!$B$8)),"CHECK split across leave years",IF(OR(NOT(OR('_Dates'!U91="Full day",'_Dates'!U91="AM",'_Dates'!U91="PM")),NOT(OR('_Dates'!V91="Full day",'_Dates'!V91="AM",'_Dates'!V91="PM"))),"CHECK Full day / AM / PM",IF(AND('_Dates'!J91='_Dates'!T91,'_Dates'!U91&lt;&gt;"Full day",'_Dates'!V91&lt;&gt;"Full day",'_Dates'!U91&lt;&gt;'_Dates'!V91),"CHECK same-day portions disagree",IF(AND($B$6=0,OR(AND('_Dates'!U91&lt;&gt;"Full day",'_Dates'!AA91=0),AND('_Dates'!V91&lt;&gt;"Full day",'_Dates'!AB91=0))),"CHECK half-day on non-working date",IF(COUNTIF(Settings!$G$7:$G$11,D91)&lt;&gt;1,"CHECK leave type",IF(AND(Bookings!G91&lt;&gt;"Approved",Bookings!G91&lt;&gt;"Pending",Bookings!G91&lt;&gt;"Cancelled"),"CHECK status","OK")))))))))),"CHECK input"))</ns0:f>
        <ns0:v/>
      </ns0:c>
      <ns0:c r="G91" s="0">
        <ns0:f>IF(OR(F91&lt;&gt;"OK",$B$6&gt;0),0,0.5*(IF(('_Dates'!X91)&lt;('_Dates'!W91),0,INT((('_Dates'!X91)-('_Dates'!W91)+1)/7)*LEN(SUBSTITUTE(W91,"O",""))+LEN(SUBSTITUTE(MID(W91&amp;W91,WEEKDAY(('_Dates'!W91),2),MOD((('_Dates'!X91)-('_Dates'!W91)+1),7)),"O",""))-COUNTIFS(INDEX(AllClosureRows,C91,0),"&gt;="&amp;('_Dates'!W91),INDEX(AllClosureRows,C91,0),"&lt;="&amp;('_Dates'!X91)))+IF(('_Dates'!Z91)&lt;('_Dates'!Y91),0,INT((('_Dates'!Z91)-('_Dates'!Y91)+1)/7)*LEN(SUBSTITUTE(W91,"O",""))+LEN(SUBSTITUTE(MID(W91&amp;W91,WEEKDAY(('_Dates'!Y91),2),MOD((('_Dates'!Z91)-('_Dates'!Y91)+1),7)),"O",""))-COUNTIFS(INDEX(AllClosureRows,C91,0),"&gt;="&amp;('_Dates'!Y91),INDEX(AllClosureRows,C91,0),"&lt;="&amp;('_Dates'!Z91)))))</ns0:f>
        <ns0:v>0</ns0:v>
      </ns0:c>
      <ns0:c r="H91" s="0">
        <ns0:f>IF(OR(F91&lt;&gt;"OK",$B$6&gt;0),0,0.5*(IF((MIN('_Dates'!X91,Settings!$B$9))&lt;('_Dates'!W91),0,INT(((MIN('_Dates'!X91,Settings!$B$9))-('_Dates'!W91)+1)/7)*LEN(SUBSTITUTE(W91,"O",""))+LEN(SUBSTITUTE(MID(W91&amp;W91,WEEKDAY(('_Dates'!W91),2),MOD(((MIN('_Dates'!X91,Settings!$B$9))-('_Dates'!W91)+1),7)),"O",""))-COUNTIFS(INDEX(AllClosureRows,C91,0),"&gt;="&amp;('_Dates'!W91),INDEX(AllClosureRows,C91,0),"&lt;="&amp;(MIN('_Dates'!X91,Settings!$B$9))))+IF((MIN('_Dates'!Z91,Settings!$B$9))&lt;('_Dates'!Y91),0,INT(((MIN('_Dates'!Z91,Settings!$B$9))-('_Dates'!Y91)+1)/7)*LEN(SUBSTITUTE(W91,"O",""))+LEN(SUBSTITUTE(MID(W91&amp;W91,WEEKDAY(('_Dates'!Y91),2),MOD(((MIN('_Dates'!Z91,Settings!$B$9))-('_Dates'!Y91)+1),7)),"O",""))-COUNTIFS(INDEX(AllClosureRows,C91,0),"&gt;="&amp;('_Dates'!Y91),INDEX(AllClosureRows,C91,0),"&lt;="&amp;(MIN('_Dates'!Z91,Settings!$B$9))))))</ns0:f>
        <ns0:v>0</ns0:v>
      </ns0:c>
      <ns0:c r="I91" s="0">
        <ns0:f>MAX(0,G91-H91)</ns0:f>
        <ns0:v>0</ns0:v>
      </ns0:c>
      <ns0:c r="J91" s="0">
        <ns0:f>IF(OR(A91=0,F91&lt;&gt;"OK",Bookings!G91="Cancelled",$B$6&gt;0),0,IF('_Dates'!AC91=1,MAX(0,COUNTIFS(rngEngine_B,B91,rngAMStart,"&lt;="&amp;'_Dates'!X91,rngAMEnd,"&gt;="&amp;'_Dates'!W91,rngAMActive,1,rngEngine_F,"OK",rngBookings_F,"&lt;&gt;Cancelled")-1),0)+IF('_Dates'!AD91=1,MAX(0,COUNTIFS(rngEngine_B,B91,rngPMStart,"&lt;="&amp;'_Dates'!Z91,rngPMEnd,"&gt;="&amp;'_Dates'!Y91,rngPMActive,1,rngEngine_F,"OK",rngBookings_F,"&lt;&gt;Cancelled")-1),0))</ns0:f>
        <ns0:v>0</ns0:v>
      </ns0:c>
      <ns0:c r="K91" s="0" t="str">
        <ns0:f>IF(A91=0,"",IF(F91&lt;&gt;"OK",F91,IF(J91&gt;0,"CHECK overlapping entry",IF(AND($B$6=0,G91&lt;=0,Bookings!G91&lt;&gt;"Cancelled"),"CHECK no working days",IF(Bookings!G91="Cancelled","Cancelled","OK")))))</ns0:f>
        <ns0:v/>
      </ns0:c>
      <ns0:c r="L91" s="0">
        <ns0:f>IF(LEFT(K91,5)="CHECK",1,0)</ns0:f>
        <ns0:v>0</ns0:v>
      </ns0:c>
      <ns0:c r="M91" s="0">
        <ns0:f>IF(AND(L91=1,OR(C91=0,IFERROR(INDEX($X$11:$X$60,C91),0)=0)),1,0)</ns0:f>
        <ns0:v>0</ns0:v>
      </ns0:c>
      <ns0:c r="N91" s="0">
        <ns0:f>IF(OR(A91=0,L91&gt;0,$B$6&gt;0,Bookings!G91="Cancelled"),0,G91)</ns0:f>
        <ns0:v>0</ns0:v>
      </ns0:c>
      <ns0:c r="O91" s="0">
        <ns0:f>IF(AND(Bookings!G91="Approved",E91="Yes"),N91,0)</ns0:f>
        <ns0:v>0</ns0:v>
      </ns0:c>
      <ns0:c r="P91" s="0">
        <ns0:f>IF(AND(Bookings!G91="Approved",E91="Yes",L91=0,$B$6=0),H91,0)</ns0:f>
        <ns0:v>0</ns0:v>
      </ns0:c>
      <ns0:c r="Q91" s="0">
        <ns0:f>IF(AND(Bookings!G91="Approved",E91="Yes",L91=0,$B$6=0),I91,0)</ns0:f>
        <ns0:v>0</ns0:v>
      </ns0:c>
      <ns0:c r="R91" s="0">
        <ns0:f>IF(AND(Bookings!G91="Pending",E91="Yes"),N91,0)</ns0:f>
        <ns0:v>0</ns0:v>
      </ns0:c>
      <ns0:c r="S91" s="0">
        <ns0:f>IF(AND(Bookings!G91="Approved",E91="No"),N91,0)</ns0:f>
        <ns0:v>0</ns0:v>
      </ns0:c>
      <ns0:c r="T91" s="0">
        <ns0:f>IFERROR(MATCH(D91,Settings!$G$7:$G$11,0),0)</ns0:f>
        <ns0:v>0</ns0:v>
      </ns0:c>
      <ns0:c r="U91" s="0">
        <ns0:f>IF(N91&gt;0,T91+IF(Bookings!G91="Pending",10,0),0)</ns0:f>
        <ns0:v>0</ns0:v>
      </ns0:c>
      <ns0:c r="V91" s="0">
        <ns0:f>U91</ns0:f>
        <ns0:v>0</ns0:v>
      </ns0:c>
      <ns0:c r="W91" s="0" t="str">
        <ns0:f>IF(C91=0,"",INDEX($AP$11:$AP$60,C91))</ns0:f>
        <ns0:v/>
      </ns0:c>
    </ns0:row>
    <ns0:row r="92">
      <ns0:c r="A92" s="0">
        <ns0:f>IF(COUNTA(Bookings!A92:G92,Bookings!I92)=0,0,1)</ns0:f>
        <ns0:v>0</ns0:v>
      </ns0:c>
      <ns0:c r="B92" s="0" t="str">
        <ns0:f>IFERROR(TRIM(MID(Bookings!A92,FIND(" · ",Bookings!A92)+3,99)),"")</ns0:f>
        <ns0:v/>
      </ns0:c>
      <ns0:c r="C92" s="0">
        <ns0:f>IF(OR(B92="",LEN(B92)&gt;24,ISNUMBER(FIND(" ",B92)),ISNUMBER(FIND("*",B92)),ISNUMBER(FIND("?",B92)),ISNUMBER(FIND("~",B92))),0,IFERROR(MATCH(B92,Team!$A$11:$A$60,0),0))</ns0:f>
        <ns0:v>0</ns0:v>
      </ns0:c>
      <ns0:c r="D92" s="0" t="str">
        <ns0:f>IFERROR(IF(MID(Bookings!F92,LEN(Bookings!F92)-3,3)=" · ",RIGHT(Bookings!F92,1),""),"")</ns0:f>
        <ns0:v/>
      </ns0:c>
      <ns0:c r="E92" s="0" t="str">
        <ns0:f>IFERROR(INDEX(Settings!$H$7:$H$11,MATCH(D92,Settings!$G$7:$G$11,0)),"")</ns0:f>
        <ns0:v/>
      </ns0:c>
      <ns0:c r="F92" s="0" t="str">
        <ns0:f>IF(A92=0,"",IFERROR(IF(OR(B92="",C92=0),"CHECK employee selection",IF(INDEX(Team!$O$11:$O$60,C92)&lt;&gt;"OK","CHECK employee setup",IF(OR('_Dates'!J92=0,'_Dates'!T92=0),"CHECK date: use DD.MM.YYYY",IF('_Dates'!T92&lt;'_Dates'!J92,"CHECK end before start",IF(AND($B$6=0,OR('_Dates'!J92&lt;Settings!$B$7,'_Dates'!T92&gt;Settings!$B$8)),"CHECK split across leave years",IF(OR(NOT(OR('_Dates'!U92="Full day",'_Dates'!U92="AM",'_Dates'!U92="PM")),NOT(OR('_Dates'!V92="Full day",'_Dates'!V92="AM",'_Dates'!V92="PM"))),"CHECK Full day / AM / PM",IF(AND('_Dates'!J92='_Dates'!T92,'_Dates'!U92&lt;&gt;"Full day",'_Dates'!V92&lt;&gt;"Full day",'_Dates'!U92&lt;&gt;'_Dates'!V92),"CHECK same-day portions disagree",IF(AND($B$6=0,OR(AND('_Dates'!U92&lt;&gt;"Full day",'_Dates'!AA92=0),AND('_Dates'!V92&lt;&gt;"Full day",'_Dates'!AB92=0))),"CHECK half-day on non-working date",IF(COUNTIF(Settings!$G$7:$G$11,D92)&lt;&gt;1,"CHECK leave type",IF(AND(Bookings!G92&lt;&gt;"Approved",Bookings!G92&lt;&gt;"Pending",Bookings!G92&lt;&gt;"Cancelled"),"CHECK status","OK")))))))))),"CHECK input"))</ns0:f>
        <ns0:v/>
      </ns0:c>
      <ns0:c r="G92" s="0">
        <ns0:f>IF(OR(F92&lt;&gt;"OK",$B$6&gt;0),0,0.5*(IF(('_Dates'!X92)&lt;('_Dates'!W92),0,INT((('_Dates'!X92)-('_Dates'!W92)+1)/7)*LEN(SUBSTITUTE(W92,"O",""))+LEN(SUBSTITUTE(MID(W92&amp;W92,WEEKDAY(('_Dates'!W92),2),MOD((('_Dates'!X92)-('_Dates'!W92)+1),7)),"O",""))-COUNTIFS(INDEX(AllClosureRows,C92,0),"&gt;="&amp;('_Dates'!W92),INDEX(AllClosureRows,C92,0),"&lt;="&amp;('_Dates'!X92)))+IF(('_Dates'!Z92)&lt;('_Dates'!Y92),0,INT((('_Dates'!Z92)-('_Dates'!Y92)+1)/7)*LEN(SUBSTITUTE(W92,"O",""))+LEN(SUBSTITUTE(MID(W92&amp;W92,WEEKDAY(('_Dates'!Y92),2),MOD((('_Dates'!Z92)-('_Dates'!Y92)+1),7)),"O",""))-COUNTIFS(INDEX(AllClosureRows,C92,0),"&gt;="&amp;('_Dates'!Y92),INDEX(AllClosureRows,C92,0),"&lt;="&amp;('_Dates'!Z92)))))</ns0:f>
        <ns0:v>0</ns0:v>
      </ns0:c>
      <ns0:c r="H92" s="0">
        <ns0:f>IF(OR(F92&lt;&gt;"OK",$B$6&gt;0),0,0.5*(IF((MIN('_Dates'!X92,Settings!$B$9))&lt;('_Dates'!W92),0,INT(((MIN('_Dates'!X92,Settings!$B$9))-('_Dates'!W92)+1)/7)*LEN(SUBSTITUTE(W92,"O",""))+LEN(SUBSTITUTE(MID(W92&amp;W92,WEEKDAY(('_Dates'!W92),2),MOD(((MIN('_Dates'!X92,Settings!$B$9))-('_Dates'!W92)+1),7)),"O",""))-COUNTIFS(INDEX(AllClosureRows,C92,0),"&gt;="&amp;('_Dates'!W92),INDEX(AllClosureRows,C92,0),"&lt;="&amp;(MIN('_Dates'!X92,Settings!$B$9))))+IF((MIN('_Dates'!Z92,Settings!$B$9))&lt;('_Dates'!Y92),0,INT(((MIN('_Dates'!Z92,Settings!$B$9))-('_Dates'!Y92)+1)/7)*LEN(SUBSTITUTE(W92,"O",""))+LEN(SUBSTITUTE(MID(W92&amp;W92,WEEKDAY(('_Dates'!Y92),2),MOD(((MIN('_Dates'!Z92,Settings!$B$9))-('_Dates'!Y92)+1),7)),"O",""))-COUNTIFS(INDEX(AllClosureRows,C92,0),"&gt;="&amp;('_Dates'!Y92),INDEX(AllClosureRows,C92,0),"&lt;="&amp;(MIN('_Dates'!Z92,Settings!$B$9))))))</ns0:f>
        <ns0:v>0</ns0:v>
      </ns0:c>
      <ns0:c r="I92" s="0">
        <ns0:f>MAX(0,G92-H92)</ns0:f>
        <ns0:v>0</ns0:v>
      </ns0:c>
      <ns0:c r="J92" s="0">
        <ns0:f>IF(OR(A92=0,F92&lt;&gt;"OK",Bookings!G92="Cancelled",$B$6&gt;0),0,IF('_Dates'!AC92=1,MAX(0,COUNTIFS(rngEngine_B,B92,rngAMStart,"&lt;="&amp;'_Dates'!X92,rngAMEnd,"&gt;="&amp;'_Dates'!W92,rngAMActive,1,rngEngine_F,"OK",rngBookings_F,"&lt;&gt;Cancelled")-1),0)+IF('_Dates'!AD92=1,MAX(0,COUNTIFS(rngEngine_B,B92,rngPMStart,"&lt;="&amp;'_Dates'!Z92,rngPMEnd,"&gt;="&amp;'_Dates'!Y92,rngPMActive,1,rngEngine_F,"OK",rngBookings_F,"&lt;&gt;Cancelled")-1),0))</ns0:f>
        <ns0:v>0</ns0:v>
      </ns0:c>
      <ns0:c r="K92" s="0" t="str">
        <ns0:f>IF(A92=0,"",IF(F92&lt;&gt;"OK",F92,IF(J92&gt;0,"CHECK overlapping entry",IF(AND($B$6=0,G92&lt;=0,Bookings!G92&lt;&gt;"Cancelled"),"CHECK no working days",IF(Bookings!G92="Cancelled","Cancelled","OK")))))</ns0:f>
        <ns0:v/>
      </ns0:c>
      <ns0:c r="L92" s="0">
        <ns0:f>IF(LEFT(K92,5)="CHECK",1,0)</ns0:f>
        <ns0:v>0</ns0:v>
      </ns0:c>
      <ns0:c r="M92" s="0">
        <ns0:f>IF(AND(L92=1,OR(C92=0,IFERROR(INDEX($X$11:$X$60,C92),0)=0)),1,0)</ns0:f>
        <ns0:v>0</ns0:v>
      </ns0:c>
      <ns0:c r="N92" s="0">
        <ns0:f>IF(OR(A92=0,L92&gt;0,$B$6&gt;0,Bookings!G92="Cancelled"),0,G92)</ns0:f>
        <ns0:v>0</ns0:v>
      </ns0:c>
      <ns0:c r="O92" s="0">
        <ns0:f>IF(AND(Bookings!G92="Approved",E92="Yes"),N92,0)</ns0:f>
        <ns0:v>0</ns0:v>
      </ns0:c>
      <ns0:c r="P92" s="0">
        <ns0:f>IF(AND(Bookings!G92="Approved",E92="Yes",L92=0,$B$6=0),H92,0)</ns0:f>
        <ns0:v>0</ns0:v>
      </ns0:c>
      <ns0:c r="Q92" s="0">
        <ns0:f>IF(AND(Bookings!G92="Approved",E92="Yes",L92=0,$B$6=0),I92,0)</ns0:f>
        <ns0:v>0</ns0:v>
      </ns0:c>
      <ns0:c r="R92" s="0">
        <ns0:f>IF(AND(Bookings!G92="Pending",E92="Yes"),N92,0)</ns0:f>
        <ns0:v>0</ns0:v>
      </ns0:c>
      <ns0:c r="S92" s="0">
        <ns0:f>IF(AND(Bookings!G92="Approved",E92="No"),N92,0)</ns0:f>
        <ns0:v>0</ns0:v>
      </ns0:c>
      <ns0:c r="T92" s="0">
        <ns0:f>IFERROR(MATCH(D92,Settings!$G$7:$G$11,0),0)</ns0:f>
        <ns0:v>0</ns0:v>
      </ns0:c>
      <ns0:c r="U92" s="0">
        <ns0:f>IF(N92&gt;0,T92+IF(Bookings!G92="Pending",10,0),0)</ns0:f>
        <ns0:v>0</ns0:v>
      </ns0:c>
      <ns0:c r="V92" s="0">
        <ns0:f>U92</ns0:f>
        <ns0:v>0</ns0:v>
      </ns0:c>
      <ns0:c r="W92" s="0" t="str">
        <ns0:f>IF(C92=0,"",INDEX($AP$11:$AP$60,C92))</ns0:f>
        <ns0:v/>
      </ns0:c>
    </ns0:row>
    <ns0:row r="93">
      <ns0:c r="A93" s="0">
        <ns0:f>IF(COUNTA(Bookings!A93:G93,Bookings!I93)=0,0,1)</ns0:f>
        <ns0:v>0</ns0:v>
      </ns0:c>
      <ns0:c r="B93" s="0" t="str">
        <ns0:f>IFERROR(TRIM(MID(Bookings!A93,FIND(" · ",Bookings!A93)+3,99)),"")</ns0:f>
        <ns0:v/>
      </ns0:c>
      <ns0:c r="C93" s="0">
        <ns0:f>IF(OR(B93="",LEN(B93)&gt;24,ISNUMBER(FIND(" ",B93)),ISNUMBER(FIND("*",B93)),ISNUMBER(FIND("?",B93)),ISNUMBER(FIND("~",B93))),0,IFERROR(MATCH(B93,Team!$A$11:$A$60,0),0))</ns0:f>
        <ns0:v>0</ns0:v>
      </ns0:c>
      <ns0:c r="D93" s="0" t="str">
        <ns0:f>IFERROR(IF(MID(Bookings!F93,LEN(Bookings!F93)-3,3)=" · ",RIGHT(Bookings!F93,1),""),"")</ns0:f>
        <ns0:v/>
      </ns0:c>
      <ns0:c r="E93" s="0" t="str">
        <ns0:f>IFERROR(INDEX(Settings!$H$7:$H$11,MATCH(D93,Settings!$G$7:$G$11,0)),"")</ns0:f>
        <ns0:v/>
      </ns0:c>
      <ns0:c r="F93" s="0" t="str">
        <ns0:f>IF(A93=0,"",IFERROR(IF(OR(B93="",C93=0),"CHECK employee selection",IF(INDEX(Team!$O$11:$O$60,C93)&lt;&gt;"OK","CHECK employee setup",IF(OR('_Dates'!J93=0,'_Dates'!T93=0),"CHECK date: use DD.MM.YYYY",IF('_Dates'!T93&lt;'_Dates'!J93,"CHECK end before start",IF(AND($B$6=0,OR('_Dates'!J93&lt;Settings!$B$7,'_Dates'!T93&gt;Settings!$B$8)),"CHECK split across leave years",IF(OR(NOT(OR('_Dates'!U93="Full day",'_Dates'!U93="AM",'_Dates'!U93="PM")),NOT(OR('_Dates'!V93="Full day",'_Dates'!V93="AM",'_Dates'!V93="PM"))),"CHECK Full day / AM / PM",IF(AND('_Dates'!J93='_Dates'!T93,'_Dates'!U93&lt;&gt;"Full day",'_Dates'!V93&lt;&gt;"Full day",'_Dates'!U93&lt;&gt;'_Dates'!V93),"CHECK same-day portions disagree",IF(AND($B$6=0,OR(AND('_Dates'!U93&lt;&gt;"Full day",'_Dates'!AA93=0),AND('_Dates'!V93&lt;&gt;"Full day",'_Dates'!AB93=0))),"CHECK half-day on non-working date",IF(COUNTIF(Settings!$G$7:$G$11,D93)&lt;&gt;1,"CHECK leave type",IF(AND(Bookings!G93&lt;&gt;"Approved",Bookings!G93&lt;&gt;"Pending",Bookings!G93&lt;&gt;"Cancelled"),"CHECK status","OK")))))))))),"CHECK input"))</ns0:f>
        <ns0:v/>
      </ns0:c>
      <ns0:c r="G93" s="0">
        <ns0:f>IF(OR(F93&lt;&gt;"OK",$B$6&gt;0),0,0.5*(IF(('_Dates'!X93)&lt;('_Dates'!W93),0,INT((('_Dates'!X93)-('_Dates'!W93)+1)/7)*LEN(SUBSTITUTE(W93,"O",""))+LEN(SUBSTITUTE(MID(W93&amp;W93,WEEKDAY(('_Dates'!W93),2),MOD((('_Dates'!X93)-('_Dates'!W93)+1),7)),"O",""))-COUNTIFS(INDEX(AllClosureRows,C93,0),"&gt;="&amp;('_Dates'!W93),INDEX(AllClosureRows,C93,0),"&lt;="&amp;('_Dates'!X93)))+IF(('_Dates'!Z93)&lt;('_Dates'!Y93),0,INT((('_Dates'!Z93)-('_Dates'!Y93)+1)/7)*LEN(SUBSTITUTE(W93,"O",""))+LEN(SUBSTITUTE(MID(W93&amp;W93,WEEKDAY(('_Dates'!Y93),2),MOD((('_Dates'!Z93)-('_Dates'!Y93)+1),7)),"O",""))-COUNTIFS(INDEX(AllClosureRows,C93,0),"&gt;="&amp;('_Dates'!Y93),INDEX(AllClosureRows,C93,0),"&lt;="&amp;('_Dates'!Z93)))))</ns0:f>
        <ns0:v>0</ns0:v>
      </ns0:c>
      <ns0:c r="H93" s="0">
        <ns0:f>IF(OR(F93&lt;&gt;"OK",$B$6&gt;0),0,0.5*(IF((MIN('_Dates'!X93,Settings!$B$9))&lt;('_Dates'!W93),0,INT(((MIN('_Dates'!X93,Settings!$B$9))-('_Dates'!W93)+1)/7)*LEN(SUBSTITUTE(W93,"O",""))+LEN(SUBSTITUTE(MID(W93&amp;W93,WEEKDAY(('_Dates'!W93),2),MOD(((MIN('_Dates'!X93,Settings!$B$9))-('_Dates'!W93)+1),7)),"O",""))-COUNTIFS(INDEX(AllClosureRows,C93,0),"&gt;="&amp;('_Dates'!W93),INDEX(AllClosureRows,C93,0),"&lt;="&amp;(MIN('_Dates'!X93,Settings!$B$9))))+IF((MIN('_Dates'!Z93,Settings!$B$9))&lt;('_Dates'!Y93),0,INT(((MIN('_Dates'!Z93,Settings!$B$9))-('_Dates'!Y93)+1)/7)*LEN(SUBSTITUTE(W93,"O",""))+LEN(SUBSTITUTE(MID(W93&amp;W93,WEEKDAY(('_Dates'!Y93),2),MOD(((MIN('_Dates'!Z93,Settings!$B$9))-('_Dates'!Y93)+1),7)),"O",""))-COUNTIFS(INDEX(AllClosureRows,C93,0),"&gt;="&amp;('_Dates'!Y93),INDEX(AllClosureRows,C93,0),"&lt;="&amp;(MIN('_Dates'!Z93,Settings!$B$9))))))</ns0:f>
        <ns0:v>0</ns0:v>
      </ns0:c>
      <ns0:c r="I93" s="0">
        <ns0:f>MAX(0,G93-H93)</ns0:f>
        <ns0:v>0</ns0:v>
      </ns0:c>
      <ns0:c r="J93" s="0">
        <ns0:f>IF(OR(A93=0,F93&lt;&gt;"OK",Bookings!G93="Cancelled",$B$6&gt;0),0,IF('_Dates'!AC93=1,MAX(0,COUNTIFS(rngEngine_B,B93,rngAMStart,"&lt;="&amp;'_Dates'!X93,rngAMEnd,"&gt;="&amp;'_Dates'!W93,rngAMActive,1,rngEngine_F,"OK",rngBookings_F,"&lt;&gt;Cancelled")-1),0)+IF('_Dates'!AD93=1,MAX(0,COUNTIFS(rngEngine_B,B93,rngPMStart,"&lt;="&amp;'_Dates'!Z93,rngPMEnd,"&gt;="&amp;'_Dates'!Y93,rngPMActive,1,rngEngine_F,"OK",rngBookings_F,"&lt;&gt;Cancelled")-1),0))</ns0:f>
        <ns0:v>0</ns0:v>
      </ns0:c>
      <ns0:c r="K93" s="0" t="str">
        <ns0:f>IF(A93=0,"",IF(F93&lt;&gt;"OK",F93,IF(J93&gt;0,"CHECK overlapping entry",IF(AND($B$6=0,G93&lt;=0,Bookings!G93&lt;&gt;"Cancelled"),"CHECK no working days",IF(Bookings!G93="Cancelled","Cancelled","OK")))))</ns0:f>
        <ns0:v/>
      </ns0:c>
      <ns0:c r="L93" s="0">
        <ns0:f>IF(LEFT(K93,5)="CHECK",1,0)</ns0:f>
        <ns0:v>0</ns0:v>
      </ns0:c>
      <ns0:c r="M93" s="0">
        <ns0:f>IF(AND(L93=1,OR(C93=0,IFERROR(INDEX($X$11:$X$60,C93),0)=0)),1,0)</ns0:f>
        <ns0:v>0</ns0:v>
      </ns0:c>
      <ns0:c r="N93" s="0">
        <ns0:f>IF(OR(A93=0,L93&gt;0,$B$6&gt;0,Bookings!G93="Cancelled"),0,G93)</ns0:f>
        <ns0:v>0</ns0:v>
      </ns0:c>
      <ns0:c r="O93" s="0">
        <ns0:f>IF(AND(Bookings!G93="Approved",E93="Yes"),N93,0)</ns0:f>
        <ns0:v>0</ns0:v>
      </ns0:c>
      <ns0:c r="P93" s="0">
        <ns0:f>IF(AND(Bookings!G93="Approved",E93="Yes",L93=0,$B$6=0),H93,0)</ns0:f>
        <ns0:v>0</ns0:v>
      </ns0:c>
      <ns0:c r="Q93" s="0">
        <ns0:f>IF(AND(Bookings!G93="Approved",E93="Yes",L93=0,$B$6=0),I93,0)</ns0:f>
        <ns0:v>0</ns0:v>
      </ns0:c>
      <ns0:c r="R93" s="0">
        <ns0:f>IF(AND(Bookings!G93="Pending",E93="Yes"),N93,0)</ns0:f>
        <ns0:v>0</ns0:v>
      </ns0:c>
      <ns0:c r="S93" s="0">
        <ns0:f>IF(AND(Bookings!G93="Approved",E93="No"),N93,0)</ns0:f>
        <ns0:v>0</ns0:v>
      </ns0:c>
      <ns0:c r="T93" s="0">
        <ns0:f>IFERROR(MATCH(D93,Settings!$G$7:$G$11,0),0)</ns0:f>
        <ns0:v>0</ns0:v>
      </ns0:c>
      <ns0:c r="U93" s="0">
        <ns0:f>IF(N93&gt;0,T93+IF(Bookings!G93="Pending",10,0),0)</ns0:f>
        <ns0:v>0</ns0:v>
      </ns0:c>
      <ns0:c r="V93" s="0">
        <ns0:f>U93</ns0:f>
        <ns0:v>0</ns0:v>
      </ns0:c>
      <ns0:c r="W93" s="0" t="str">
        <ns0:f>IF(C93=0,"",INDEX($AP$11:$AP$60,C93))</ns0:f>
        <ns0:v/>
      </ns0:c>
    </ns0:row>
    <ns0:row r="94">
      <ns0:c r="A94" s="0">
        <ns0:f>IF(COUNTA(Bookings!A94:G94,Bookings!I94)=0,0,1)</ns0:f>
        <ns0:v>0</ns0:v>
      </ns0:c>
      <ns0:c r="B94" s="0" t="str">
        <ns0:f>IFERROR(TRIM(MID(Bookings!A94,FIND(" · ",Bookings!A94)+3,99)),"")</ns0:f>
        <ns0:v/>
      </ns0:c>
      <ns0:c r="C94" s="0">
        <ns0:f>IF(OR(B94="",LEN(B94)&gt;24,ISNUMBER(FIND(" ",B94)),ISNUMBER(FIND("*",B94)),ISNUMBER(FIND("?",B94)),ISNUMBER(FIND("~",B94))),0,IFERROR(MATCH(B94,Team!$A$11:$A$60,0),0))</ns0:f>
        <ns0:v>0</ns0:v>
      </ns0:c>
      <ns0:c r="D94" s="0" t="str">
        <ns0:f>IFERROR(IF(MID(Bookings!F94,LEN(Bookings!F94)-3,3)=" · ",RIGHT(Bookings!F94,1),""),"")</ns0:f>
        <ns0:v/>
      </ns0:c>
      <ns0:c r="E94" s="0" t="str">
        <ns0:f>IFERROR(INDEX(Settings!$H$7:$H$11,MATCH(D94,Settings!$G$7:$G$11,0)),"")</ns0:f>
        <ns0:v/>
      </ns0:c>
      <ns0:c r="F94" s="0" t="str">
        <ns0:f>IF(A94=0,"",IFERROR(IF(OR(B94="",C94=0),"CHECK employee selection",IF(INDEX(Team!$O$11:$O$60,C94)&lt;&gt;"OK","CHECK employee setup",IF(OR('_Dates'!J94=0,'_Dates'!T94=0),"CHECK date: use DD.MM.YYYY",IF('_Dates'!T94&lt;'_Dates'!J94,"CHECK end before start",IF(AND($B$6=0,OR('_Dates'!J94&lt;Settings!$B$7,'_Dates'!T94&gt;Settings!$B$8)),"CHECK split across leave years",IF(OR(NOT(OR('_Dates'!U94="Full day",'_Dates'!U94="AM",'_Dates'!U94="PM")),NOT(OR('_Dates'!V94="Full day",'_Dates'!V94="AM",'_Dates'!V94="PM"))),"CHECK Full day / AM / PM",IF(AND('_Dates'!J94='_Dates'!T94,'_Dates'!U94&lt;&gt;"Full day",'_Dates'!V94&lt;&gt;"Full day",'_Dates'!U94&lt;&gt;'_Dates'!V94),"CHECK same-day portions disagree",IF(AND($B$6=0,OR(AND('_Dates'!U94&lt;&gt;"Full day",'_Dates'!AA94=0),AND('_Dates'!V94&lt;&gt;"Full day",'_Dates'!AB94=0))),"CHECK half-day on non-working date",IF(COUNTIF(Settings!$G$7:$G$11,D94)&lt;&gt;1,"CHECK leave type",IF(AND(Bookings!G94&lt;&gt;"Approved",Bookings!G94&lt;&gt;"Pending",Bookings!G94&lt;&gt;"Cancelled"),"CHECK status","OK")))))))))),"CHECK input"))</ns0:f>
        <ns0:v/>
      </ns0:c>
      <ns0:c r="G94" s="0">
        <ns0:f>IF(OR(F94&lt;&gt;"OK",$B$6&gt;0),0,0.5*(IF(('_Dates'!X94)&lt;('_Dates'!W94),0,INT((('_Dates'!X94)-('_Dates'!W94)+1)/7)*LEN(SUBSTITUTE(W94,"O",""))+LEN(SUBSTITUTE(MID(W94&amp;W94,WEEKDAY(('_Dates'!W94),2),MOD((('_Dates'!X94)-('_Dates'!W94)+1),7)),"O",""))-COUNTIFS(INDEX(AllClosureRows,C94,0),"&gt;="&amp;('_Dates'!W94),INDEX(AllClosureRows,C94,0),"&lt;="&amp;('_Dates'!X94)))+IF(('_Dates'!Z94)&lt;('_Dates'!Y94),0,INT((('_Dates'!Z94)-('_Dates'!Y94)+1)/7)*LEN(SUBSTITUTE(W94,"O",""))+LEN(SUBSTITUTE(MID(W94&amp;W94,WEEKDAY(('_Dates'!Y94),2),MOD((('_Dates'!Z94)-('_Dates'!Y94)+1),7)),"O",""))-COUNTIFS(INDEX(AllClosureRows,C94,0),"&gt;="&amp;('_Dates'!Y94),INDEX(AllClosureRows,C94,0),"&lt;="&amp;('_Dates'!Z94)))))</ns0:f>
        <ns0:v>0</ns0:v>
      </ns0:c>
      <ns0:c r="H94" s="0">
        <ns0:f>IF(OR(F94&lt;&gt;"OK",$B$6&gt;0),0,0.5*(IF((MIN('_Dates'!X94,Settings!$B$9))&lt;('_Dates'!W94),0,INT(((MIN('_Dates'!X94,Settings!$B$9))-('_Dates'!W94)+1)/7)*LEN(SUBSTITUTE(W94,"O",""))+LEN(SUBSTITUTE(MID(W94&amp;W94,WEEKDAY(('_Dates'!W94),2),MOD(((MIN('_Dates'!X94,Settings!$B$9))-('_Dates'!W94)+1),7)),"O",""))-COUNTIFS(INDEX(AllClosureRows,C94,0),"&gt;="&amp;('_Dates'!W94),INDEX(AllClosureRows,C94,0),"&lt;="&amp;(MIN('_Dates'!X94,Settings!$B$9))))+IF((MIN('_Dates'!Z94,Settings!$B$9))&lt;('_Dates'!Y94),0,INT(((MIN('_Dates'!Z94,Settings!$B$9))-('_Dates'!Y94)+1)/7)*LEN(SUBSTITUTE(W94,"O",""))+LEN(SUBSTITUTE(MID(W94&amp;W94,WEEKDAY(('_Dates'!Y94),2),MOD(((MIN('_Dates'!Z94,Settings!$B$9))-('_Dates'!Y94)+1),7)),"O",""))-COUNTIFS(INDEX(AllClosureRows,C94,0),"&gt;="&amp;('_Dates'!Y94),INDEX(AllClosureRows,C94,0),"&lt;="&amp;(MIN('_Dates'!Z94,Settings!$B$9))))))</ns0:f>
        <ns0:v>0</ns0:v>
      </ns0:c>
      <ns0:c r="I94" s="0">
        <ns0:f>MAX(0,G94-H94)</ns0:f>
        <ns0:v>0</ns0:v>
      </ns0:c>
      <ns0:c r="J94" s="0">
        <ns0:f>IF(OR(A94=0,F94&lt;&gt;"OK",Bookings!G94="Cancelled",$B$6&gt;0),0,IF('_Dates'!AC94=1,MAX(0,COUNTIFS(rngEngine_B,B94,rngAMStart,"&lt;="&amp;'_Dates'!X94,rngAMEnd,"&gt;="&amp;'_Dates'!W94,rngAMActive,1,rngEngine_F,"OK",rngBookings_F,"&lt;&gt;Cancelled")-1),0)+IF('_Dates'!AD94=1,MAX(0,COUNTIFS(rngEngine_B,B94,rngPMStart,"&lt;="&amp;'_Dates'!Z94,rngPMEnd,"&gt;="&amp;'_Dates'!Y94,rngPMActive,1,rngEngine_F,"OK",rngBookings_F,"&lt;&gt;Cancelled")-1),0))</ns0:f>
        <ns0:v>0</ns0:v>
      </ns0:c>
      <ns0:c r="K94" s="0" t="str">
        <ns0:f>IF(A94=0,"",IF(F94&lt;&gt;"OK",F94,IF(J94&gt;0,"CHECK overlapping entry",IF(AND($B$6=0,G94&lt;=0,Bookings!G94&lt;&gt;"Cancelled"),"CHECK no working days",IF(Bookings!G94="Cancelled","Cancelled","OK")))))</ns0:f>
        <ns0:v/>
      </ns0:c>
      <ns0:c r="L94" s="0">
        <ns0:f>IF(LEFT(K94,5)="CHECK",1,0)</ns0:f>
        <ns0:v>0</ns0:v>
      </ns0:c>
      <ns0:c r="M94" s="0">
        <ns0:f>IF(AND(L94=1,OR(C94=0,IFERROR(INDEX($X$11:$X$60,C94),0)=0)),1,0)</ns0:f>
        <ns0:v>0</ns0:v>
      </ns0:c>
      <ns0:c r="N94" s="0">
        <ns0:f>IF(OR(A94=0,L94&gt;0,$B$6&gt;0,Bookings!G94="Cancelled"),0,G94)</ns0:f>
        <ns0:v>0</ns0:v>
      </ns0:c>
      <ns0:c r="O94" s="0">
        <ns0:f>IF(AND(Bookings!G94="Approved",E94="Yes"),N94,0)</ns0:f>
        <ns0:v>0</ns0:v>
      </ns0:c>
      <ns0:c r="P94" s="0">
        <ns0:f>IF(AND(Bookings!G94="Approved",E94="Yes",L94=0,$B$6=0),H94,0)</ns0:f>
        <ns0:v>0</ns0:v>
      </ns0:c>
      <ns0:c r="Q94" s="0">
        <ns0:f>IF(AND(Bookings!G94="Approved",E94="Yes",L94=0,$B$6=0),I94,0)</ns0:f>
        <ns0:v>0</ns0:v>
      </ns0:c>
      <ns0:c r="R94" s="0">
        <ns0:f>IF(AND(Bookings!G94="Pending",E94="Yes"),N94,0)</ns0:f>
        <ns0:v>0</ns0:v>
      </ns0:c>
      <ns0:c r="S94" s="0">
        <ns0:f>IF(AND(Bookings!G94="Approved",E94="No"),N94,0)</ns0:f>
        <ns0:v>0</ns0:v>
      </ns0:c>
      <ns0:c r="T94" s="0">
        <ns0:f>IFERROR(MATCH(D94,Settings!$G$7:$G$11,0),0)</ns0:f>
        <ns0:v>0</ns0:v>
      </ns0:c>
      <ns0:c r="U94" s="0">
        <ns0:f>IF(N94&gt;0,T94+IF(Bookings!G94="Pending",10,0),0)</ns0:f>
        <ns0:v>0</ns0:v>
      </ns0:c>
      <ns0:c r="V94" s="0">
        <ns0:f>U94</ns0:f>
        <ns0:v>0</ns0:v>
      </ns0:c>
      <ns0:c r="W94" s="0" t="str">
        <ns0:f>IF(C94=0,"",INDEX($AP$11:$AP$60,C94))</ns0:f>
        <ns0:v/>
      </ns0:c>
    </ns0:row>
    <ns0:row r="95">
      <ns0:c r="A95" s="0">
        <ns0:f>IF(COUNTA(Bookings!A95:G95,Bookings!I95)=0,0,1)</ns0:f>
        <ns0:v>0</ns0:v>
      </ns0:c>
      <ns0:c r="B95" s="0" t="str">
        <ns0:f>IFERROR(TRIM(MID(Bookings!A95,FIND(" · ",Bookings!A95)+3,99)),"")</ns0:f>
        <ns0:v/>
      </ns0:c>
      <ns0:c r="C95" s="0">
        <ns0:f>IF(OR(B95="",LEN(B95)&gt;24,ISNUMBER(FIND(" ",B95)),ISNUMBER(FIND("*",B95)),ISNUMBER(FIND("?",B95)),ISNUMBER(FIND("~",B95))),0,IFERROR(MATCH(B95,Team!$A$11:$A$60,0),0))</ns0:f>
        <ns0:v>0</ns0:v>
      </ns0:c>
      <ns0:c r="D95" s="0" t="str">
        <ns0:f>IFERROR(IF(MID(Bookings!F95,LEN(Bookings!F95)-3,3)=" · ",RIGHT(Bookings!F95,1),""),"")</ns0:f>
        <ns0:v/>
      </ns0:c>
      <ns0:c r="E95" s="0" t="str">
        <ns0:f>IFERROR(INDEX(Settings!$H$7:$H$11,MATCH(D95,Settings!$G$7:$G$11,0)),"")</ns0:f>
        <ns0:v/>
      </ns0:c>
      <ns0:c r="F95" s="0" t="str">
        <ns0:f>IF(A95=0,"",IFERROR(IF(OR(B95="",C95=0),"CHECK employee selection",IF(INDEX(Team!$O$11:$O$60,C95)&lt;&gt;"OK","CHECK employee setup",IF(OR('_Dates'!J95=0,'_Dates'!T95=0),"CHECK date: use DD.MM.YYYY",IF('_Dates'!T95&lt;'_Dates'!J95,"CHECK end before start",IF(AND($B$6=0,OR('_Dates'!J95&lt;Settings!$B$7,'_Dates'!T95&gt;Settings!$B$8)),"CHECK split across leave years",IF(OR(NOT(OR('_Dates'!U95="Full day",'_Dates'!U95="AM",'_Dates'!U95="PM")),NOT(OR('_Dates'!V95="Full day",'_Dates'!V95="AM",'_Dates'!V95="PM"))),"CHECK Full day / AM / PM",IF(AND('_Dates'!J95='_Dates'!T95,'_Dates'!U95&lt;&gt;"Full day",'_Dates'!V95&lt;&gt;"Full day",'_Dates'!U95&lt;&gt;'_Dates'!V95),"CHECK same-day portions disagree",IF(AND($B$6=0,OR(AND('_Dates'!U95&lt;&gt;"Full day",'_Dates'!AA95=0),AND('_Dates'!V95&lt;&gt;"Full day",'_Dates'!AB95=0))),"CHECK half-day on non-working date",IF(COUNTIF(Settings!$G$7:$G$11,D95)&lt;&gt;1,"CHECK leave type",IF(AND(Bookings!G95&lt;&gt;"Approved",Bookings!G95&lt;&gt;"Pending",Bookings!G95&lt;&gt;"Cancelled"),"CHECK status","OK")))))))))),"CHECK input"))</ns0:f>
        <ns0:v/>
      </ns0:c>
      <ns0:c r="G95" s="0">
        <ns0:f>IF(OR(F95&lt;&gt;"OK",$B$6&gt;0),0,0.5*(IF(('_Dates'!X95)&lt;('_Dates'!W95),0,INT((('_Dates'!X95)-('_Dates'!W95)+1)/7)*LEN(SUBSTITUTE(W95,"O",""))+LEN(SUBSTITUTE(MID(W95&amp;W95,WEEKDAY(('_Dates'!W95),2),MOD((('_Dates'!X95)-('_Dates'!W95)+1),7)),"O",""))-COUNTIFS(INDEX(AllClosureRows,C95,0),"&gt;="&amp;('_Dates'!W95),INDEX(AllClosureRows,C95,0),"&lt;="&amp;('_Dates'!X95)))+IF(('_Dates'!Z95)&lt;('_Dates'!Y95),0,INT((('_Dates'!Z95)-('_Dates'!Y95)+1)/7)*LEN(SUBSTITUTE(W95,"O",""))+LEN(SUBSTITUTE(MID(W95&amp;W95,WEEKDAY(('_Dates'!Y95),2),MOD((('_Dates'!Z95)-('_Dates'!Y95)+1),7)),"O",""))-COUNTIFS(INDEX(AllClosureRows,C95,0),"&gt;="&amp;('_Dates'!Y95),INDEX(AllClosureRows,C95,0),"&lt;="&amp;('_Dates'!Z95)))))</ns0:f>
        <ns0:v>0</ns0:v>
      </ns0:c>
      <ns0:c r="H95" s="0">
        <ns0:f>IF(OR(F95&lt;&gt;"OK",$B$6&gt;0),0,0.5*(IF((MIN('_Dates'!X95,Settings!$B$9))&lt;('_Dates'!W95),0,INT(((MIN('_Dates'!X95,Settings!$B$9))-('_Dates'!W95)+1)/7)*LEN(SUBSTITUTE(W95,"O",""))+LEN(SUBSTITUTE(MID(W95&amp;W95,WEEKDAY(('_Dates'!W95),2),MOD(((MIN('_Dates'!X95,Settings!$B$9))-('_Dates'!W95)+1),7)),"O",""))-COUNTIFS(INDEX(AllClosureRows,C95,0),"&gt;="&amp;('_Dates'!W95),INDEX(AllClosureRows,C95,0),"&lt;="&amp;(MIN('_Dates'!X95,Settings!$B$9))))+IF((MIN('_Dates'!Z95,Settings!$B$9))&lt;('_Dates'!Y95),0,INT(((MIN('_Dates'!Z95,Settings!$B$9))-('_Dates'!Y95)+1)/7)*LEN(SUBSTITUTE(W95,"O",""))+LEN(SUBSTITUTE(MID(W95&amp;W95,WEEKDAY(('_Dates'!Y95),2),MOD(((MIN('_Dates'!Z95,Settings!$B$9))-('_Dates'!Y95)+1),7)),"O",""))-COUNTIFS(INDEX(AllClosureRows,C95,0),"&gt;="&amp;('_Dates'!Y95),INDEX(AllClosureRows,C95,0),"&lt;="&amp;(MIN('_Dates'!Z95,Settings!$B$9))))))</ns0:f>
        <ns0:v>0</ns0:v>
      </ns0:c>
      <ns0:c r="I95" s="0">
        <ns0:f>MAX(0,G95-H95)</ns0:f>
        <ns0:v>0</ns0:v>
      </ns0:c>
      <ns0:c r="J95" s="0">
        <ns0:f>IF(OR(A95=0,F95&lt;&gt;"OK",Bookings!G95="Cancelled",$B$6&gt;0),0,IF('_Dates'!AC95=1,MAX(0,COUNTIFS(rngEngine_B,B95,rngAMStart,"&lt;="&amp;'_Dates'!X95,rngAMEnd,"&gt;="&amp;'_Dates'!W95,rngAMActive,1,rngEngine_F,"OK",rngBookings_F,"&lt;&gt;Cancelled")-1),0)+IF('_Dates'!AD95=1,MAX(0,COUNTIFS(rngEngine_B,B95,rngPMStart,"&lt;="&amp;'_Dates'!Z95,rngPMEnd,"&gt;="&amp;'_Dates'!Y95,rngPMActive,1,rngEngine_F,"OK",rngBookings_F,"&lt;&gt;Cancelled")-1),0))</ns0:f>
        <ns0:v>0</ns0:v>
      </ns0:c>
      <ns0:c r="K95" s="0" t="str">
        <ns0:f>IF(A95=0,"",IF(F95&lt;&gt;"OK",F95,IF(J95&gt;0,"CHECK overlapping entry",IF(AND($B$6=0,G95&lt;=0,Bookings!G95&lt;&gt;"Cancelled"),"CHECK no working days",IF(Bookings!G95="Cancelled","Cancelled","OK")))))</ns0:f>
        <ns0:v/>
      </ns0:c>
      <ns0:c r="L95" s="0">
        <ns0:f>IF(LEFT(K95,5)="CHECK",1,0)</ns0:f>
        <ns0:v>0</ns0:v>
      </ns0:c>
      <ns0:c r="M95" s="0">
        <ns0:f>IF(AND(L95=1,OR(C95=0,IFERROR(INDEX($X$11:$X$60,C95),0)=0)),1,0)</ns0:f>
        <ns0:v>0</ns0:v>
      </ns0:c>
      <ns0:c r="N95" s="0">
        <ns0:f>IF(OR(A95=0,L95&gt;0,$B$6&gt;0,Bookings!G95="Cancelled"),0,G95)</ns0:f>
        <ns0:v>0</ns0:v>
      </ns0:c>
      <ns0:c r="O95" s="0">
        <ns0:f>IF(AND(Bookings!G95="Approved",E95="Yes"),N95,0)</ns0:f>
        <ns0:v>0</ns0:v>
      </ns0:c>
      <ns0:c r="P95" s="0">
        <ns0:f>IF(AND(Bookings!G95="Approved",E95="Yes",L95=0,$B$6=0),H95,0)</ns0:f>
        <ns0:v>0</ns0:v>
      </ns0:c>
      <ns0:c r="Q95" s="0">
        <ns0:f>IF(AND(Bookings!G95="Approved",E95="Yes",L95=0,$B$6=0),I95,0)</ns0:f>
        <ns0:v>0</ns0:v>
      </ns0:c>
      <ns0:c r="R95" s="0">
        <ns0:f>IF(AND(Bookings!G95="Pending",E95="Yes"),N95,0)</ns0:f>
        <ns0:v>0</ns0:v>
      </ns0:c>
      <ns0:c r="S95" s="0">
        <ns0:f>IF(AND(Bookings!G95="Approved",E95="No"),N95,0)</ns0:f>
        <ns0:v>0</ns0:v>
      </ns0:c>
      <ns0:c r="T95" s="0">
        <ns0:f>IFERROR(MATCH(D95,Settings!$G$7:$G$11,0),0)</ns0:f>
        <ns0:v>0</ns0:v>
      </ns0:c>
      <ns0:c r="U95" s="0">
        <ns0:f>IF(N95&gt;0,T95+IF(Bookings!G95="Pending",10,0),0)</ns0:f>
        <ns0:v>0</ns0:v>
      </ns0:c>
      <ns0:c r="V95" s="0">
        <ns0:f>U95</ns0:f>
        <ns0:v>0</ns0:v>
      </ns0:c>
      <ns0:c r="W95" s="0" t="str">
        <ns0:f>IF(C95=0,"",INDEX($AP$11:$AP$60,C95))</ns0:f>
        <ns0:v/>
      </ns0:c>
    </ns0:row>
    <ns0:row r="96">
      <ns0:c r="A96" s="0">
        <ns0:f>IF(COUNTA(Bookings!A96:G96,Bookings!I96)=0,0,1)</ns0:f>
        <ns0:v>0</ns0:v>
      </ns0:c>
      <ns0:c r="B96" s="0" t="str">
        <ns0:f>IFERROR(TRIM(MID(Bookings!A96,FIND(" · ",Bookings!A96)+3,99)),"")</ns0:f>
        <ns0:v/>
      </ns0:c>
      <ns0:c r="C96" s="0">
        <ns0:f>IF(OR(B96="",LEN(B96)&gt;24,ISNUMBER(FIND(" ",B96)),ISNUMBER(FIND("*",B96)),ISNUMBER(FIND("?",B96)),ISNUMBER(FIND("~",B96))),0,IFERROR(MATCH(B96,Team!$A$11:$A$60,0),0))</ns0:f>
        <ns0:v>0</ns0:v>
      </ns0:c>
      <ns0:c r="D96" s="0" t="str">
        <ns0:f>IFERROR(IF(MID(Bookings!F96,LEN(Bookings!F96)-3,3)=" · ",RIGHT(Bookings!F96,1),""),"")</ns0:f>
        <ns0:v/>
      </ns0:c>
      <ns0:c r="E96" s="0" t="str">
        <ns0:f>IFERROR(INDEX(Settings!$H$7:$H$11,MATCH(D96,Settings!$G$7:$G$11,0)),"")</ns0:f>
        <ns0:v/>
      </ns0:c>
      <ns0:c r="F96" s="0" t="str">
        <ns0:f>IF(A96=0,"",IFERROR(IF(OR(B96="",C96=0),"CHECK employee selection",IF(INDEX(Team!$O$11:$O$60,C96)&lt;&gt;"OK","CHECK employee setup",IF(OR('_Dates'!J96=0,'_Dates'!T96=0),"CHECK date: use DD.MM.YYYY",IF('_Dates'!T96&lt;'_Dates'!J96,"CHECK end before start",IF(AND($B$6=0,OR('_Dates'!J96&lt;Settings!$B$7,'_Dates'!T96&gt;Settings!$B$8)),"CHECK split across leave years",IF(OR(NOT(OR('_Dates'!U96="Full day",'_Dates'!U96="AM",'_Dates'!U96="PM")),NOT(OR('_Dates'!V96="Full day",'_Dates'!V96="AM",'_Dates'!V96="PM"))),"CHECK Full day / AM / PM",IF(AND('_Dates'!J96='_Dates'!T96,'_Dates'!U96&lt;&gt;"Full day",'_Dates'!V96&lt;&gt;"Full day",'_Dates'!U96&lt;&gt;'_Dates'!V96),"CHECK same-day portions disagree",IF(AND($B$6=0,OR(AND('_Dates'!U96&lt;&gt;"Full day",'_Dates'!AA96=0),AND('_Dates'!V96&lt;&gt;"Full day",'_Dates'!AB96=0))),"CHECK half-day on non-working date",IF(COUNTIF(Settings!$G$7:$G$11,D96)&lt;&gt;1,"CHECK leave type",IF(AND(Bookings!G96&lt;&gt;"Approved",Bookings!G96&lt;&gt;"Pending",Bookings!G96&lt;&gt;"Cancelled"),"CHECK status","OK")))))))))),"CHECK input"))</ns0:f>
        <ns0:v/>
      </ns0:c>
      <ns0:c r="G96" s="0">
        <ns0:f>IF(OR(F96&lt;&gt;"OK",$B$6&gt;0),0,0.5*(IF(('_Dates'!X96)&lt;('_Dates'!W96),0,INT((('_Dates'!X96)-('_Dates'!W96)+1)/7)*LEN(SUBSTITUTE(W96,"O",""))+LEN(SUBSTITUTE(MID(W96&amp;W96,WEEKDAY(('_Dates'!W96),2),MOD((('_Dates'!X96)-('_Dates'!W96)+1),7)),"O",""))-COUNTIFS(INDEX(AllClosureRows,C96,0),"&gt;="&amp;('_Dates'!W96),INDEX(AllClosureRows,C96,0),"&lt;="&amp;('_Dates'!X96)))+IF(('_Dates'!Z96)&lt;('_Dates'!Y96),0,INT((('_Dates'!Z96)-('_Dates'!Y96)+1)/7)*LEN(SUBSTITUTE(W96,"O",""))+LEN(SUBSTITUTE(MID(W96&amp;W96,WEEKDAY(('_Dates'!Y96),2),MOD((('_Dates'!Z96)-('_Dates'!Y96)+1),7)),"O",""))-COUNTIFS(INDEX(AllClosureRows,C96,0),"&gt;="&amp;('_Dates'!Y96),INDEX(AllClosureRows,C96,0),"&lt;="&amp;('_Dates'!Z96)))))</ns0:f>
        <ns0:v>0</ns0:v>
      </ns0:c>
      <ns0:c r="H96" s="0">
        <ns0:f>IF(OR(F96&lt;&gt;"OK",$B$6&gt;0),0,0.5*(IF((MIN('_Dates'!X96,Settings!$B$9))&lt;('_Dates'!W96),0,INT(((MIN('_Dates'!X96,Settings!$B$9))-('_Dates'!W96)+1)/7)*LEN(SUBSTITUTE(W96,"O",""))+LEN(SUBSTITUTE(MID(W96&amp;W96,WEEKDAY(('_Dates'!W96),2),MOD(((MIN('_Dates'!X96,Settings!$B$9))-('_Dates'!W96)+1),7)),"O",""))-COUNTIFS(INDEX(AllClosureRows,C96,0),"&gt;="&amp;('_Dates'!W96),INDEX(AllClosureRows,C96,0),"&lt;="&amp;(MIN('_Dates'!X96,Settings!$B$9))))+IF((MIN('_Dates'!Z96,Settings!$B$9))&lt;('_Dates'!Y96),0,INT(((MIN('_Dates'!Z96,Settings!$B$9))-('_Dates'!Y96)+1)/7)*LEN(SUBSTITUTE(W96,"O",""))+LEN(SUBSTITUTE(MID(W96&amp;W96,WEEKDAY(('_Dates'!Y96),2),MOD(((MIN('_Dates'!Z96,Settings!$B$9))-('_Dates'!Y96)+1),7)),"O",""))-COUNTIFS(INDEX(AllClosureRows,C96,0),"&gt;="&amp;('_Dates'!Y96),INDEX(AllClosureRows,C96,0),"&lt;="&amp;(MIN('_Dates'!Z96,Settings!$B$9))))))</ns0:f>
        <ns0:v>0</ns0:v>
      </ns0:c>
      <ns0:c r="I96" s="0">
        <ns0:f>MAX(0,G96-H96)</ns0:f>
        <ns0:v>0</ns0:v>
      </ns0:c>
      <ns0:c r="J96" s="0">
        <ns0:f>IF(OR(A96=0,F96&lt;&gt;"OK",Bookings!G96="Cancelled",$B$6&gt;0),0,IF('_Dates'!AC96=1,MAX(0,COUNTIFS(rngEngine_B,B96,rngAMStart,"&lt;="&amp;'_Dates'!X96,rngAMEnd,"&gt;="&amp;'_Dates'!W96,rngAMActive,1,rngEngine_F,"OK",rngBookings_F,"&lt;&gt;Cancelled")-1),0)+IF('_Dates'!AD96=1,MAX(0,COUNTIFS(rngEngine_B,B96,rngPMStart,"&lt;="&amp;'_Dates'!Z96,rngPMEnd,"&gt;="&amp;'_Dates'!Y96,rngPMActive,1,rngEngine_F,"OK",rngBookings_F,"&lt;&gt;Cancelled")-1),0))</ns0:f>
        <ns0:v>0</ns0:v>
      </ns0:c>
      <ns0:c r="K96" s="0" t="str">
        <ns0:f>IF(A96=0,"",IF(F96&lt;&gt;"OK",F96,IF(J96&gt;0,"CHECK overlapping entry",IF(AND($B$6=0,G96&lt;=0,Bookings!G96&lt;&gt;"Cancelled"),"CHECK no working days",IF(Bookings!G96="Cancelled","Cancelled","OK")))))</ns0:f>
        <ns0:v/>
      </ns0:c>
      <ns0:c r="L96" s="0">
        <ns0:f>IF(LEFT(K96,5)="CHECK",1,0)</ns0:f>
        <ns0:v>0</ns0:v>
      </ns0:c>
      <ns0:c r="M96" s="0">
        <ns0:f>IF(AND(L96=1,OR(C96=0,IFERROR(INDEX($X$11:$X$60,C96),0)=0)),1,0)</ns0:f>
        <ns0:v>0</ns0:v>
      </ns0:c>
      <ns0:c r="N96" s="0">
        <ns0:f>IF(OR(A96=0,L96&gt;0,$B$6&gt;0,Bookings!G96="Cancelled"),0,G96)</ns0:f>
        <ns0:v>0</ns0:v>
      </ns0:c>
      <ns0:c r="O96" s="0">
        <ns0:f>IF(AND(Bookings!G96="Approved",E96="Yes"),N96,0)</ns0:f>
        <ns0:v>0</ns0:v>
      </ns0:c>
      <ns0:c r="P96" s="0">
        <ns0:f>IF(AND(Bookings!G96="Approved",E96="Yes",L96=0,$B$6=0),H96,0)</ns0:f>
        <ns0:v>0</ns0:v>
      </ns0:c>
      <ns0:c r="Q96" s="0">
        <ns0:f>IF(AND(Bookings!G96="Approved",E96="Yes",L96=0,$B$6=0),I96,0)</ns0:f>
        <ns0:v>0</ns0:v>
      </ns0:c>
      <ns0:c r="R96" s="0">
        <ns0:f>IF(AND(Bookings!G96="Pending",E96="Yes"),N96,0)</ns0:f>
        <ns0:v>0</ns0:v>
      </ns0:c>
      <ns0:c r="S96" s="0">
        <ns0:f>IF(AND(Bookings!G96="Approved",E96="No"),N96,0)</ns0:f>
        <ns0:v>0</ns0:v>
      </ns0:c>
      <ns0:c r="T96" s="0">
        <ns0:f>IFERROR(MATCH(D96,Settings!$G$7:$G$11,0),0)</ns0:f>
        <ns0:v>0</ns0:v>
      </ns0:c>
      <ns0:c r="U96" s="0">
        <ns0:f>IF(N96&gt;0,T96+IF(Bookings!G96="Pending",10,0),0)</ns0:f>
        <ns0:v>0</ns0:v>
      </ns0:c>
      <ns0:c r="V96" s="0">
        <ns0:f>U96</ns0:f>
        <ns0:v>0</ns0:v>
      </ns0:c>
      <ns0:c r="W96" s="0" t="str">
        <ns0:f>IF(C96=0,"",INDEX($AP$11:$AP$60,C96))</ns0:f>
        <ns0:v/>
      </ns0:c>
    </ns0:row>
    <ns0:row r="97">
      <ns0:c r="A97" s="0">
        <ns0:f>IF(COUNTA(Bookings!A97:G97,Bookings!I97)=0,0,1)</ns0:f>
        <ns0:v>0</ns0:v>
      </ns0:c>
      <ns0:c r="B97" s="0" t="str">
        <ns0:f>IFERROR(TRIM(MID(Bookings!A97,FIND(" · ",Bookings!A97)+3,99)),"")</ns0:f>
        <ns0:v/>
      </ns0:c>
      <ns0:c r="C97" s="0">
        <ns0:f>IF(OR(B97="",LEN(B97)&gt;24,ISNUMBER(FIND(" ",B97)),ISNUMBER(FIND("*",B97)),ISNUMBER(FIND("?",B97)),ISNUMBER(FIND("~",B97))),0,IFERROR(MATCH(B97,Team!$A$11:$A$60,0),0))</ns0:f>
        <ns0:v>0</ns0:v>
      </ns0:c>
      <ns0:c r="D97" s="0" t="str">
        <ns0:f>IFERROR(IF(MID(Bookings!F97,LEN(Bookings!F97)-3,3)=" · ",RIGHT(Bookings!F97,1),""),"")</ns0:f>
        <ns0:v/>
      </ns0:c>
      <ns0:c r="E97" s="0" t="str">
        <ns0:f>IFERROR(INDEX(Settings!$H$7:$H$11,MATCH(D97,Settings!$G$7:$G$11,0)),"")</ns0:f>
        <ns0:v/>
      </ns0:c>
      <ns0:c r="F97" s="0" t="str">
        <ns0:f>IF(A97=0,"",IFERROR(IF(OR(B97="",C97=0),"CHECK employee selection",IF(INDEX(Team!$O$11:$O$60,C97)&lt;&gt;"OK","CHECK employee setup",IF(OR('_Dates'!J97=0,'_Dates'!T97=0),"CHECK date: use DD.MM.YYYY",IF('_Dates'!T97&lt;'_Dates'!J97,"CHECK end before start",IF(AND($B$6=0,OR('_Dates'!J97&lt;Settings!$B$7,'_Dates'!T97&gt;Settings!$B$8)),"CHECK split across leave years",IF(OR(NOT(OR('_Dates'!U97="Full day",'_Dates'!U97="AM",'_Dates'!U97="PM")),NOT(OR('_Dates'!V97="Full day",'_Dates'!V97="AM",'_Dates'!V97="PM"))),"CHECK Full day / AM / PM",IF(AND('_Dates'!J97='_Dates'!T97,'_Dates'!U97&lt;&gt;"Full day",'_Dates'!V97&lt;&gt;"Full day",'_Dates'!U97&lt;&gt;'_Dates'!V97),"CHECK same-day portions disagree",IF(AND($B$6=0,OR(AND('_Dates'!U97&lt;&gt;"Full day",'_Dates'!AA97=0),AND('_Dates'!V97&lt;&gt;"Full day",'_Dates'!AB97=0))),"CHECK half-day on non-working date",IF(COUNTIF(Settings!$G$7:$G$11,D97)&lt;&gt;1,"CHECK leave type",IF(AND(Bookings!G97&lt;&gt;"Approved",Bookings!G97&lt;&gt;"Pending",Bookings!G97&lt;&gt;"Cancelled"),"CHECK status","OK")))))))))),"CHECK input"))</ns0:f>
        <ns0:v/>
      </ns0:c>
      <ns0:c r="G97" s="0">
        <ns0:f>IF(OR(F97&lt;&gt;"OK",$B$6&gt;0),0,0.5*(IF(('_Dates'!X97)&lt;('_Dates'!W97),0,INT((('_Dates'!X97)-('_Dates'!W97)+1)/7)*LEN(SUBSTITUTE(W97,"O",""))+LEN(SUBSTITUTE(MID(W97&amp;W97,WEEKDAY(('_Dates'!W97),2),MOD((('_Dates'!X97)-('_Dates'!W97)+1),7)),"O",""))-COUNTIFS(INDEX(AllClosureRows,C97,0),"&gt;="&amp;('_Dates'!W97),INDEX(AllClosureRows,C97,0),"&lt;="&amp;('_Dates'!X97)))+IF(('_Dates'!Z97)&lt;('_Dates'!Y97),0,INT((('_Dates'!Z97)-('_Dates'!Y97)+1)/7)*LEN(SUBSTITUTE(W97,"O",""))+LEN(SUBSTITUTE(MID(W97&amp;W97,WEEKDAY(('_Dates'!Y97),2),MOD((('_Dates'!Z97)-('_Dates'!Y97)+1),7)),"O",""))-COUNTIFS(INDEX(AllClosureRows,C97,0),"&gt;="&amp;('_Dates'!Y97),INDEX(AllClosureRows,C97,0),"&lt;="&amp;('_Dates'!Z97)))))</ns0:f>
        <ns0:v>0</ns0:v>
      </ns0:c>
      <ns0:c r="H97" s="0">
        <ns0:f>IF(OR(F97&lt;&gt;"OK",$B$6&gt;0),0,0.5*(IF((MIN('_Dates'!X97,Settings!$B$9))&lt;('_Dates'!W97),0,INT(((MIN('_Dates'!X97,Settings!$B$9))-('_Dates'!W97)+1)/7)*LEN(SUBSTITUTE(W97,"O",""))+LEN(SUBSTITUTE(MID(W97&amp;W97,WEEKDAY(('_Dates'!W97),2),MOD(((MIN('_Dates'!X97,Settings!$B$9))-('_Dates'!W97)+1),7)),"O",""))-COUNTIFS(INDEX(AllClosureRows,C97,0),"&gt;="&amp;('_Dates'!W97),INDEX(AllClosureRows,C97,0),"&lt;="&amp;(MIN('_Dates'!X97,Settings!$B$9))))+IF((MIN('_Dates'!Z97,Settings!$B$9))&lt;('_Dates'!Y97),0,INT(((MIN('_Dates'!Z97,Settings!$B$9))-('_Dates'!Y97)+1)/7)*LEN(SUBSTITUTE(W97,"O",""))+LEN(SUBSTITUTE(MID(W97&amp;W97,WEEKDAY(('_Dates'!Y97),2),MOD(((MIN('_Dates'!Z97,Settings!$B$9))-('_Dates'!Y97)+1),7)),"O",""))-COUNTIFS(INDEX(AllClosureRows,C97,0),"&gt;="&amp;('_Dates'!Y97),INDEX(AllClosureRows,C97,0),"&lt;="&amp;(MIN('_Dates'!Z97,Settings!$B$9))))))</ns0:f>
        <ns0:v>0</ns0:v>
      </ns0:c>
      <ns0:c r="I97" s="0">
        <ns0:f>MAX(0,G97-H97)</ns0:f>
        <ns0:v>0</ns0:v>
      </ns0:c>
      <ns0:c r="J97" s="0">
        <ns0:f>IF(OR(A97=0,F97&lt;&gt;"OK",Bookings!G97="Cancelled",$B$6&gt;0),0,IF('_Dates'!AC97=1,MAX(0,COUNTIFS(rngEngine_B,B97,rngAMStart,"&lt;="&amp;'_Dates'!X97,rngAMEnd,"&gt;="&amp;'_Dates'!W97,rngAMActive,1,rngEngine_F,"OK",rngBookings_F,"&lt;&gt;Cancelled")-1),0)+IF('_Dates'!AD97=1,MAX(0,COUNTIFS(rngEngine_B,B97,rngPMStart,"&lt;="&amp;'_Dates'!Z97,rngPMEnd,"&gt;="&amp;'_Dates'!Y97,rngPMActive,1,rngEngine_F,"OK",rngBookings_F,"&lt;&gt;Cancelled")-1),0))</ns0:f>
        <ns0:v>0</ns0:v>
      </ns0:c>
      <ns0:c r="K97" s="0" t="str">
        <ns0:f>IF(A97=0,"",IF(F97&lt;&gt;"OK",F97,IF(J97&gt;0,"CHECK overlapping entry",IF(AND($B$6=0,G97&lt;=0,Bookings!G97&lt;&gt;"Cancelled"),"CHECK no working days",IF(Bookings!G97="Cancelled","Cancelled","OK")))))</ns0:f>
        <ns0:v/>
      </ns0:c>
      <ns0:c r="L97" s="0">
        <ns0:f>IF(LEFT(K97,5)="CHECK",1,0)</ns0:f>
        <ns0:v>0</ns0:v>
      </ns0:c>
      <ns0:c r="M97" s="0">
        <ns0:f>IF(AND(L97=1,OR(C97=0,IFERROR(INDEX($X$11:$X$60,C97),0)=0)),1,0)</ns0:f>
        <ns0:v>0</ns0:v>
      </ns0:c>
      <ns0:c r="N97" s="0">
        <ns0:f>IF(OR(A97=0,L97&gt;0,$B$6&gt;0,Bookings!G97="Cancelled"),0,G97)</ns0:f>
        <ns0:v>0</ns0:v>
      </ns0:c>
      <ns0:c r="O97" s="0">
        <ns0:f>IF(AND(Bookings!G97="Approved",E97="Yes"),N97,0)</ns0:f>
        <ns0:v>0</ns0:v>
      </ns0:c>
      <ns0:c r="P97" s="0">
        <ns0:f>IF(AND(Bookings!G97="Approved",E97="Yes",L97=0,$B$6=0),H97,0)</ns0:f>
        <ns0:v>0</ns0:v>
      </ns0:c>
      <ns0:c r="Q97" s="0">
        <ns0:f>IF(AND(Bookings!G97="Approved",E97="Yes",L97=0,$B$6=0),I97,0)</ns0:f>
        <ns0:v>0</ns0:v>
      </ns0:c>
      <ns0:c r="R97" s="0">
        <ns0:f>IF(AND(Bookings!G97="Pending",E97="Yes"),N97,0)</ns0:f>
        <ns0:v>0</ns0:v>
      </ns0:c>
      <ns0:c r="S97" s="0">
        <ns0:f>IF(AND(Bookings!G97="Approved",E97="No"),N97,0)</ns0:f>
        <ns0:v>0</ns0:v>
      </ns0:c>
      <ns0:c r="T97" s="0">
        <ns0:f>IFERROR(MATCH(D97,Settings!$G$7:$G$11,0),0)</ns0:f>
        <ns0:v>0</ns0:v>
      </ns0:c>
      <ns0:c r="U97" s="0">
        <ns0:f>IF(N97&gt;0,T97+IF(Bookings!G97="Pending",10,0),0)</ns0:f>
        <ns0:v>0</ns0:v>
      </ns0:c>
      <ns0:c r="V97" s="0">
        <ns0:f>U97</ns0:f>
        <ns0:v>0</ns0:v>
      </ns0:c>
      <ns0:c r="W97" s="0" t="str">
        <ns0:f>IF(C97=0,"",INDEX($AP$11:$AP$60,C97))</ns0:f>
        <ns0:v/>
      </ns0:c>
    </ns0:row>
    <ns0:row r="98">
      <ns0:c r="A98" s="0">
        <ns0:f>IF(COUNTA(Bookings!A98:G98,Bookings!I98)=0,0,1)</ns0:f>
        <ns0:v>0</ns0:v>
      </ns0:c>
      <ns0:c r="B98" s="0" t="str">
        <ns0:f>IFERROR(TRIM(MID(Bookings!A98,FIND(" · ",Bookings!A98)+3,99)),"")</ns0:f>
        <ns0:v/>
      </ns0:c>
      <ns0:c r="C98" s="0">
        <ns0:f>IF(OR(B98="",LEN(B98)&gt;24,ISNUMBER(FIND(" ",B98)),ISNUMBER(FIND("*",B98)),ISNUMBER(FIND("?",B98)),ISNUMBER(FIND("~",B98))),0,IFERROR(MATCH(B98,Team!$A$11:$A$60,0),0))</ns0:f>
        <ns0:v>0</ns0:v>
      </ns0:c>
      <ns0:c r="D98" s="0" t="str">
        <ns0:f>IFERROR(IF(MID(Bookings!F98,LEN(Bookings!F98)-3,3)=" · ",RIGHT(Bookings!F98,1),""),"")</ns0:f>
        <ns0:v/>
      </ns0:c>
      <ns0:c r="E98" s="0" t="str">
        <ns0:f>IFERROR(INDEX(Settings!$H$7:$H$11,MATCH(D98,Settings!$G$7:$G$11,0)),"")</ns0:f>
        <ns0:v/>
      </ns0:c>
      <ns0:c r="F98" s="0" t="str">
        <ns0:f>IF(A98=0,"",IFERROR(IF(OR(B98="",C98=0),"CHECK employee selection",IF(INDEX(Team!$O$11:$O$60,C98)&lt;&gt;"OK","CHECK employee setup",IF(OR('_Dates'!J98=0,'_Dates'!T98=0),"CHECK date: use DD.MM.YYYY",IF('_Dates'!T98&lt;'_Dates'!J98,"CHECK end before start",IF(AND($B$6=0,OR('_Dates'!J98&lt;Settings!$B$7,'_Dates'!T98&gt;Settings!$B$8)),"CHECK split across leave years",IF(OR(NOT(OR('_Dates'!U98="Full day",'_Dates'!U98="AM",'_Dates'!U98="PM")),NOT(OR('_Dates'!V98="Full day",'_Dates'!V98="AM",'_Dates'!V98="PM"))),"CHECK Full day / AM / PM",IF(AND('_Dates'!J98='_Dates'!T98,'_Dates'!U98&lt;&gt;"Full day",'_Dates'!V98&lt;&gt;"Full day",'_Dates'!U98&lt;&gt;'_Dates'!V98),"CHECK same-day portions disagree",IF(AND($B$6=0,OR(AND('_Dates'!U98&lt;&gt;"Full day",'_Dates'!AA98=0),AND('_Dates'!V98&lt;&gt;"Full day",'_Dates'!AB98=0))),"CHECK half-day on non-working date",IF(COUNTIF(Settings!$G$7:$G$11,D98)&lt;&gt;1,"CHECK leave type",IF(AND(Bookings!G98&lt;&gt;"Approved",Bookings!G98&lt;&gt;"Pending",Bookings!G98&lt;&gt;"Cancelled"),"CHECK status","OK")))))))))),"CHECK input"))</ns0:f>
        <ns0:v/>
      </ns0:c>
      <ns0:c r="G98" s="0">
        <ns0:f>IF(OR(F98&lt;&gt;"OK",$B$6&gt;0),0,0.5*(IF(('_Dates'!X98)&lt;('_Dates'!W98),0,INT((('_Dates'!X98)-('_Dates'!W98)+1)/7)*LEN(SUBSTITUTE(W98,"O",""))+LEN(SUBSTITUTE(MID(W98&amp;W98,WEEKDAY(('_Dates'!W98),2),MOD((('_Dates'!X98)-('_Dates'!W98)+1),7)),"O",""))-COUNTIFS(INDEX(AllClosureRows,C98,0),"&gt;="&amp;('_Dates'!W98),INDEX(AllClosureRows,C98,0),"&lt;="&amp;('_Dates'!X98)))+IF(('_Dates'!Z98)&lt;('_Dates'!Y98),0,INT((('_Dates'!Z98)-('_Dates'!Y98)+1)/7)*LEN(SUBSTITUTE(W98,"O",""))+LEN(SUBSTITUTE(MID(W98&amp;W98,WEEKDAY(('_Dates'!Y98),2),MOD((('_Dates'!Z98)-('_Dates'!Y98)+1),7)),"O",""))-COUNTIFS(INDEX(AllClosureRows,C98,0),"&gt;="&amp;('_Dates'!Y98),INDEX(AllClosureRows,C98,0),"&lt;="&amp;('_Dates'!Z98)))))</ns0:f>
        <ns0:v>0</ns0:v>
      </ns0:c>
      <ns0:c r="H98" s="0">
        <ns0:f>IF(OR(F98&lt;&gt;"OK",$B$6&gt;0),0,0.5*(IF((MIN('_Dates'!X98,Settings!$B$9))&lt;('_Dates'!W98),0,INT(((MIN('_Dates'!X98,Settings!$B$9))-('_Dates'!W98)+1)/7)*LEN(SUBSTITUTE(W98,"O",""))+LEN(SUBSTITUTE(MID(W98&amp;W98,WEEKDAY(('_Dates'!W98),2),MOD(((MIN('_Dates'!X98,Settings!$B$9))-('_Dates'!W98)+1),7)),"O",""))-COUNTIFS(INDEX(AllClosureRows,C98,0),"&gt;="&amp;('_Dates'!W98),INDEX(AllClosureRows,C98,0),"&lt;="&amp;(MIN('_Dates'!X98,Settings!$B$9))))+IF((MIN('_Dates'!Z98,Settings!$B$9))&lt;('_Dates'!Y98),0,INT(((MIN('_Dates'!Z98,Settings!$B$9))-('_Dates'!Y98)+1)/7)*LEN(SUBSTITUTE(W98,"O",""))+LEN(SUBSTITUTE(MID(W98&amp;W98,WEEKDAY(('_Dates'!Y98),2),MOD(((MIN('_Dates'!Z98,Settings!$B$9))-('_Dates'!Y98)+1),7)),"O",""))-COUNTIFS(INDEX(AllClosureRows,C98,0),"&gt;="&amp;('_Dates'!Y98),INDEX(AllClosureRows,C98,0),"&lt;="&amp;(MIN('_Dates'!Z98,Settings!$B$9))))))</ns0:f>
        <ns0:v>0</ns0:v>
      </ns0:c>
      <ns0:c r="I98" s="0">
        <ns0:f>MAX(0,G98-H98)</ns0:f>
        <ns0:v>0</ns0:v>
      </ns0:c>
      <ns0:c r="J98" s="0">
        <ns0:f>IF(OR(A98=0,F98&lt;&gt;"OK",Bookings!G98="Cancelled",$B$6&gt;0),0,IF('_Dates'!AC98=1,MAX(0,COUNTIFS(rngEngine_B,B98,rngAMStart,"&lt;="&amp;'_Dates'!X98,rngAMEnd,"&gt;="&amp;'_Dates'!W98,rngAMActive,1,rngEngine_F,"OK",rngBookings_F,"&lt;&gt;Cancelled")-1),0)+IF('_Dates'!AD98=1,MAX(0,COUNTIFS(rngEngine_B,B98,rngPMStart,"&lt;="&amp;'_Dates'!Z98,rngPMEnd,"&gt;="&amp;'_Dates'!Y98,rngPMActive,1,rngEngine_F,"OK",rngBookings_F,"&lt;&gt;Cancelled")-1),0))</ns0:f>
        <ns0:v>0</ns0:v>
      </ns0:c>
      <ns0:c r="K98" s="0" t="str">
        <ns0:f>IF(A98=0,"",IF(F98&lt;&gt;"OK",F98,IF(J98&gt;0,"CHECK overlapping entry",IF(AND($B$6=0,G98&lt;=0,Bookings!G98&lt;&gt;"Cancelled"),"CHECK no working days",IF(Bookings!G98="Cancelled","Cancelled","OK")))))</ns0:f>
        <ns0:v/>
      </ns0:c>
      <ns0:c r="L98" s="0">
        <ns0:f>IF(LEFT(K98,5)="CHECK",1,0)</ns0:f>
        <ns0:v>0</ns0:v>
      </ns0:c>
      <ns0:c r="M98" s="0">
        <ns0:f>IF(AND(L98=1,OR(C98=0,IFERROR(INDEX($X$11:$X$60,C98),0)=0)),1,0)</ns0:f>
        <ns0:v>0</ns0:v>
      </ns0:c>
      <ns0:c r="N98" s="0">
        <ns0:f>IF(OR(A98=0,L98&gt;0,$B$6&gt;0,Bookings!G98="Cancelled"),0,G98)</ns0:f>
        <ns0:v>0</ns0:v>
      </ns0:c>
      <ns0:c r="O98" s="0">
        <ns0:f>IF(AND(Bookings!G98="Approved",E98="Yes"),N98,0)</ns0:f>
        <ns0:v>0</ns0:v>
      </ns0:c>
      <ns0:c r="P98" s="0">
        <ns0:f>IF(AND(Bookings!G98="Approved",E98="Yes",L98=0,$B$6=0),H98,0)</ns0:f>
        <ns0:v>0</ns0:v>
      </ns0:c>
      <ns0:c r="Q98" s="0">
        <ns0:f>IF(AND(Bookings!G98="Approved",E98="Yes",L98=0,$B$6=0),I98,0)</ns0:f>
        <ns0:v>0</ns0:v>
      </ns0:c>
      <ns0:c r="R98" s="0">
        <ns0:f>IF(AND(Bookings!G98="Pending",E98="Yes"),N98,0)</ns0:f>
        <ns0:v>0</ns0:v>
      </ns0:c>
      <ns0:c r="S98" s="0">
        <ns0:f>IF(AND(Bookings!G98="Approved",E98="No"),N98,0)</ns0:f>
        <ns0:v>0</ns0:v>
      </ns0:c>
      <ns0:c r="T98" s="0">
        <ns0:f>IFERROR(MATCH(D98,Settings!$G$7:$G$11,0),0)</ns0:f>
        <ns0:v>0</ns0:v>
      </ns0:c>
      <ns0:c r="U98" s="0">
        <ns0:f>IF(N98&gt;0,T98+IF(Bookings!G98="Pending",10,0),0)</ns0:f>
        <ns0:v>0</ns0:v>
      </ns0:c>
      <ns0:c r="V98" s="0">
        <ns0:f>U98</ns0:f>
        <ns0:v>0</ns0:v>
      </ns0:c>
      <ns0:c r="W98" s="0" t="str">
        <ns0:f>IF(C98=0,"",INDEX($AP$11:$AP$60,C98))</ns0:f>
        <ns0:v/>
      </ns0:c>
    </ns0:row>
    <ns0:row r="99">
      <ns0:c r="A99" s="0">
        <ns0:f>IF(COUNTA(Bookings!A99:G99,Bookings!I99)=0,0,1)</ns0:f>
        <ns0:v>0</ns0:v>
      </ns0:c>
      <ns0:c r="B99" s="0" t="str">
        <ns0:f>IFERROR(TRIM(MID(Bookings!A99,FIND(" · ",Bookings!A99)+3,99)),"")</ns0:f>
        <ns0:v/>
      </ns0:c>
      <ns0:c r="C99" s="0">
        <ns0:f>IF(OR(B99="",LEN(B99)&gt;24,ISNUMBER(FIND(" ",B99)),ISNUMBER(FIND("*",B99)),ISNUMBER(FIND("?",B99)),ISNUMBER(FIND("~",B99))),0,IFERROR(MATCH(B99,Team!$A$11:$A$60,0),0))</ns0:f>
        <ns0:v>0</ns0:v>
      </ns0:c>
      <ns0:c r="D99" s="0" t="str">
        <ns0:f>IFERROR(IF(MID(Bookings!F99,LEN(Bookings!F99)-3,3)=" · ",RIGHT(Bookings!F99,1),""),"")</ns0:f>
        <ns0:v/>
      </ns0:c>
      <ns0:c r="E99" s="0" t="str">
        <ns0:f>IFERROR(INDEX(Settings!$H$7:$H$11,MATCH(D99,Settings!$G$7:$G$11,0)),"")</ns0:f>
        <ns0:v/>
      </ns0:c>
      <ns0:c r="F99" s="0" t="str">
        <ns0:f>IF(A99=0,"",IFERROR(IF(OR(B99="",C99=0),"CHECK employee selection",IF(INDEX(Team!$O$11:$O$60,C99)&lt;&gt;"OK","CHECK employee setup",IF(OR('_Dates'!J99=0,'_Dates'!T99=0),"CHECK date: use DD.MM.YYYY",IF('_Dates'!T99&lt;'_Dates'!J99,"CHECK end before start",IF(AND($B$6=0,OR('_Dates'!J99&lt;Settings!$B$7,'_Dates'!T99&gt;Settings!$B$8)),"CHECK split across leave years",IF(OR(NOT(OR('_Dates'!U99="Full day",'_Dates'!U99="AM",'_Dates'!U99="PM")),NOT(OR('_Dates'!V99="Full day",'_Dates'!V99="AM",'_Dates'!V99="PM"))),"CHECK Full day / AM / PM",IF(AND('_Dates'!J99='_Dates'!T99,'_Dates'!U99&lt;&gt;"Full day",'_Dates'!V99&lt;&gt;"Full day",'_Dates'!U99&lt;&gt;'_Dates'!V99),"CHECK same-day portions disagree",IF(AND($B$6=0,OR(AND('_Dates'!U99&lt;&gt;"Full day",'_Dates'!AA99=0),AND('_Dates'!V99&lt;&gt;"Full day",'_Dates'!AB99=0))),"CHECK half-day on non-working date",IF(COUNTIF(Settings!$G$7:$G$11,D99)&lt;&gt;1,"CHECK leave type",IF(AND(Bookings!G99&lt;&gt;"Approved",Bookings!G99&lt;&gt;"Pending",Bookings!G99&lt;&gt;"Cancelled"),"CHECK status","OK")))))))))),"CHECK input"))</ns0:f>
        <ns0:v/>
      </ns0:c>
      <ns0:c r="G99" s="0">
        <ns0:f>IF(OR(F99&lt;&gt;"OK",$B$6&gt;0),0,0.5*(IF(('_Dates'!X99)&lt;('_Dates'!W99),0,INT((('_Dates'!X99)-('_Dates'!W99)+1)/7)*LEN(SUBSTITUTE(W99,"O",""))+LEN(SUBSTITUTE(MID(W99&amp;W99,WEEKDAY(('_Dates'!W99),2),MOD((('_Dates'!X99)-('_Dates'!W99)+1),7)),"O",""))-COUNTIFS(INDEX(AllClosureRows,C99,0),"&gt;="&amp;('_Dates'!W99),INDEX(AllClosureRows,C99,0),"&lt;="&amp;('_Dates'!X99)))+IF(('_Dates'!Z99)&lt;('_Dates'!Y99),0,INT((('_Dates'!Z99)-('_Dates'!Y99)+1)/7)*LEN(SUBSTITUTE(W99,"O",""))+LEN(SUBSTITUTE(MID(W99&amp;W99,WEEKDAY(('_Dates'!Y99),2),MOD((('_Dates'!Z99)-('_Dates'!Y99)+1),7)),"O",""))-COUNTIFS(INDEX(AllClosureRows,C99,0),"&gt;="&amp;('_Dates'!Y99),INDEX(AllClosureRows,C99,0),"&lt;="&amp;('_Dates'!Z99)))))</ns0:f>
        <ns0:v>0</ns0:v>
      </ns0:c>
      <ns0:c r="H99" s="0">
        <ns0:f>IF(OR(F99&lt;&gt;"OK",$B$6&gt;0),0,0.5*(IF((MIN('_Dates'!X99,Settings!$B$9))&lt;('_Dates'!W99),0,INT(((MIN('_Dates'!X99,Settings!$B$9))-('_Dates'!W99)+1)/7)*LEN(SUBSTITUTE(W99,"O",""))+LEN(SUBSTITUTE(MID(W99&amp;W99,WEEKDAY(('_Dates'!W99),2),MOD(((MIN('_Dates'!X99,Settings!$B$9))-('_Dates'!W99)+1),7)),"O",""))-COUNTIFS(INDEX(AllClosureRows,C99,0),"&gt;="&amp;('_Dates'!W99),INDEX(AllClosureRows,C99,0),"&lt;="&amp;(MIN('_Dates'!X99,Settings!$B$9))))+IF((MIN('_Dates'!Z99,Settings!$B$9))&lt;('_Dates'!Y99),0,INT(((MIN('_Dates'!Z99,Settings!$B$9))-('_Dates'!Y99)+1)/7)*LEN(SUBSTITUTE(W99,"O",""))+LEN(SUBSTITUTE(MID(W99&amp;W99,WEEKDAY(('_Dates'!Y99),2),MOD(((MIN('_Dates'!Z99,Settings!$B$9))-('_Dates'!Y99)+1),7)),"O",""))-COUNTIFS(INDEX(AllClosureRows,C99,0),"&gt;="&amp;('_Dates'!Y99),INDEX(AllClosureRows,C99,0),"&lt;="&amp;(MIN('_Dates'!Z99,Settings!$B$9))))))</ns0:f>
        <ns0:v>0</ns0:v>
      </ns0:c>
      <ns0:c r="I99" s="0">
        <ns0:f>MAX(0,G99-H99)</ns0:f>
        <ns0:v>0</ns0:v>
      </ns0:c>
      <ns0:c r="J99" s="0">
        <ns0:f>IF(OR(A99=0,F99&lt;&gt;"OK",Bookings!G99="Cancelled",$B$6&gt;0),0,IF('_Dates'!AC99=1,MAX(0,COUNTIFS(rngEngine_B,B99,rngAMStart,"&lt;="&amp;'_Dates'!X99,rngAMEnd,"&gt;="&amp;'_Dates'!W99,rngAMActive,1,rngEngine_F,"OK",rngBookings_F,"&lt;&gt;Cancelled")-1),0)+IF('_Dates'!AD99=1,MAX(0,COUNTIFS(rngEngine_B,B99,rngPMStart,"&lt;="&amp;'_Dates'!Z99,rngPMEnd,"&gt;="&amp;'_Dates'!Y99,rngPMActive,1,rngEngine_F,"OK",rngBookings_F,"&lt;&gt;Cancelled")-1),0))</ns0:f>
        <ns0:v>0</ns0:v>
      </ns0:c>
      <ns0:c r="K99" s="0" t="str">
        <ns0:f>IF(A99=0,"",IF(F99&lt;&gt;"OK",F99,IF(J99&gt;0,"CHECK overlapping entry",IF(AND($B$6=0,G99&lt;=0,Bookings!G99&lt;&gt;"Cancelled"),"CHECK no working days",IF(Bookings!G99="Cancelled","Cancelled","OK")))))</ns0:f>
        <ns0:v/>
      </ns0:c>
      <ns0:c r="L99" s="0">
        <ns0:f>IF(LEFT(K99,5)="CHECK",1,0)</ns0:f>
        <ns0:v>0</ns0:v>
      </ns0:c>
      <ns0:c r="M99" s="0">
        <ns0:f>IF(AND(L99=1,OR(C99=0,IFERROR(INDEX($X$11:$X$60,C99),0)=0)),1,0)</ns0:f>
        <ns0:v>0</ns0:v>
      </ns0:c>
      <ns0:c r="N99" s="0">
        <ns0:f>IF(OR(A99=0,L99&gt;0,$B$6&gt;0,Bookings!G99="Cancelled"),0,G99)</ns0:f>
        <ns0:v>0</ns0:v>
      </ns0:c>
      <ns0:c r="O99" s="0">
        <ns0:f>IF(AND(Bookings!G99="Approved",E99="Yes"),N99,0)</ns0:f>
        <ns0:v>0</ns0:v>
      </ns0:c>
      <ns0:c r="P99" s="0">
        <ns0:f>IF(AND(Bookings!G99="Approved",E99="Yes",L99=0,$B$6=0),H99,0)</ns0:f>
        <ns0:v>0</ns0:v>
      </ns0:c>
      <ns0:c r="Q99" s="0">
        <ns0:f>IF(AND(Bookings!G99="Approved",E99="Yes",L99=0,$B$6=0),I99,0)</ns0:f>
        <ns0:v>0</ns0:v>
      </ns0:c>
      <ns0:c r="R99" s="0">
        <ns0:f>IF(AND(Bookings!G99="Pending",E99="Yes"),N99,0)</ns0:f>
        <ns0:v>0</ns0:v>
      </ns0:c>
      <ns0:c r="S99" s="0">
        <ns0:f>IF(AND(Bookings!G99="Approved",E99="No"),N99,0)</ns0:f>
        <ns0:v>0</ns0:v>
      </ns0:c>
      <ns0:c r="T99" s="0">
        <ns0:f>IFERROR(MATCH(D99,Settings!$G$7:$G$11,0),0)</ns0:f>
        <ns0:v>0</ns0:v>
      </ns0:c>
      <ns0:c r="U99" s="0">
        <ns0:f>IF(N99&gt;0,T99+IF(Bookings!G99="Pending",10,0),0)</ns0:f>
        <ns0:v>0</ns0:v>
      </ns0:c>
      <ns0:c r="V99" s="0">
        <ns0:f>U99</ns0:f>
        <ns0:v>0</ns0:v>
      </ns0:c>
      <ns0:c r="W99" s="0" t="str">
        <ns0:f>IF(C99=0,"",INDEX($AP$11:$AP$60,C99))</ns0:f>
        <ns0:v/>
      </ns0:c>
    </ns0:row>
    <ns0:row r="100">
      <ns0:c r="A100" s="0">
        <ns0:f>IF(COUNTA(Bookings!A100:G100,Bookings!I100)=0,0,1)</ns0:f>
        <ns0:v>0</ns0:v>
      </ns0:c>
      <ns0:c r="B100" s="0" t="str">
        <ns0:f>IFERROR(TRIM(MID(Bookings!A100,FIND(" · ",Bookings!A100)+3,99)),"")</ns0:f>
        <ns0:v/>
      </ns0:c>
      <ns0:c r="C100" s="0">
        <ns0:f>IF(OR(B100="",LEN(B100)&gt;24,ISNUMBER(FIND(" ",B100)),ISNUMBER(FIND("*",B100)),ISNUMBER(FIND("?",B100)),ISNUMBER(FIND("~",B100))),0,IFERROR(MATCH(B100,Team!$A$11:$A$60,0),0))</ns0:f>
        <ns0:v>0</ns0:v>
      </ns0:c>
      <ns0:c r="D100" s="0" t="str">
        <ns0:f>IFERROR(IF(MID(Bookings!F100,LEN(Bookings!F100)-3,3)=" · ",RIGHT(Bookings!F100,1),""),"")</ns0:f>
        <ns0:v/>
      </ns0:c>
      <ns0:c r="E100" s="0" t="str">
        <ns0:f>IFERROR(INDEX(Settings!$H$7:$H$11,MATCH(D100,Settings!$G$7:$G$11,0)),"")</ns0:f>
        <ns0:v/>
      </ns0:c>
      <ns0:c r="F100" s="0" t="str">
        <ns0:f>IF(A100=0,"",IFERROR(IF(OR(B100="",C100=0),"CHECK employee selection",IF(INDEX(Team!$O$11:$O$60,C100)&lt;&gt;"OK","CHECK employee setup",IF(OR('_Dates'!J100=0,'_Dates'!T100=0),"CHECK date: use DD.MM.YYYY",IF('_Dates'!T100&lt;'_Dates'!J100,"CHECK end before start",IF(AND($B$6=0,OR('_Dates'!J100&lt;Settings!$B$7,'_Dates'!T100&gt;Settings!$B$8)),"CHECK split across leave years",IF(OR(NOT(OR('_Dates'!U100="Full day",'_Dates'!U100="AM",'_Dates'!U100="PM")),NOT(OR('_Dates'!V100="Full day",'_Dates'!V100="AM",'_Dates'!V100="PM"))),"CHECK Full day / AM / PM",IF(AND('_Dates'!J100='_Dates'!T100,'_Dates'!U100&lt;&gt;"Full day",'_Dates'!V100&lt;&gt;"Full day",'_Dates'!U100&lt;&gt;'_Dates'!V100),"CHECK same-day portions disagree",IF(AND($B$6=0,OR(AND('_Dates'!U100&lt;&gt;"Full day",'_Dates'!AA100=0),AND('_Dates'!V100&lt;&gt;"Full day",'_Dates'!AB100=0))),"CHECK half-day on non-working date",IF(COUNTIF(Settings!$G$7:$G$11,D100)&lt;&gt;1,"CHECK leave type",IF(AND(Bookings!G100&lt;&gt;"Approved",Bookings!G100&lt;&gt;"Pending",Bookings!G100&lt;&gt;"Cancelled"),"CHECK status","OK")))))))))),"CHECK input"))</ns0:f>
        <ns0:v/>
      </ns0:c>
      <ns0:c r="G100" s="0">
        <ns0:f>IF(OR(F100&lt;&gt;"OK",$B$6&gt;0),0,0.5*(IF(('_Dates'!X100)&lt;('_Dates'!W100),0,INT((('_Dates'!X100)-('_Dates'!W100)+1)/7)*LEN(SUBSTITUTE(W100,"O",""))+LEN(SUBSTITUTE(MID(W100&amp;W100,WEEKDAY(('_Dates'!W100),2),MOD((('_Dates'!X100)-('_Dates'!W100)+1),7)),"O",""))-COUNTIFS(INDEX(AllClosureRows,C100,0),"&gt;="&amp;('_Dates'!W100),INDEX(AllClosureRows,C100,0),"&lt;="&amp;('_Dates'!X100)))+IF(('_Dates'!Z100)&lt;('_Dates'!Y100),0,INT((('_Dates'!Z100)-('_Dates'!Y100)+1)/7)*LEN(SUBSTITUTE(W100,"O",""))+LEN(SUBSTITUTE(MID(W100&amp;W100,WEEKDAY(('_Dates'!Y100),2),MOD((('_Dates'!Z100)-('_Dates'!Y100)+1),7)),"O",""))-COUNTIFS(INDEX(AllClosureRows,C100,0),"&gt;="&amp;('_Dates'!Y100),INDEX(AllClosureRows,C100,0),"&lt;="&amp;('_Dates'!Z100)))))</ns0:f>
        <ns0:v>0</ns0:v>
      </ns0:c>
      <ns0:c r="H100" s="0">
        <ns0:f>IF(OR(F100&lt;&gt;"OK",$B$6&gt;0),0,0.5*(IF((MIN('_Dates'!X100,Settings!$B$9))&lt;('_Dates'!W100),0,INT(((MIN('_Dates'!X100,Settings!$B$9))-('_Dates'!W100)+1)/7)*LEN(SUBSTITUTE(W100,"O",""))+LEN(SUBSTITUTE(MID(W100&amp;W100,WEEKDAY(('_Dates'!W100),2),MOD(((MIN('_Dates'!X100,Settings!$B$9))-('_Dates'!W100)+1),7)),"O",""))-COUNTIFS(INDEX(AllClosureRows,C100,0),"&gt;="&amp;('_Dates'!W100),INDEX(AllClosureRows,C100,0),"&lt;="&amp;(MIN('_Dates'!X100,Settings!$B$9))))+IF((MIN('_Dates'!Z100,Settings!$B$9))&lt;('_Dates'!Y100),0,INT(((MIN('_Dates'!Z100,Settings!$B$9))-('_Dates'!Y100)+1)/7)*LEN(SUBSTITUTE(W100,"O",""))+LEN(SUBSTITUTE(MID(W100&amp;W100,WEEKDAY(('_Dates'!Y100),2),MOD(((MIN('_Dates'!Z100,Settings!$B$9))-('_Dates'!Y100)+1),7)),"O",""))-COUNTIFS(INDEX(AllClosureRows,C100,0),"&gt;="&amp;('_Dates'!Y100),INDEX(AllClosureRows,C100,0),"&lt;="&amp;(MIN('_Dates'!Z100,Settings!$B$9))))))</ns0:f>
        <ns0:v>0</ns0:v>
      </ns0:c>
      <ns0:c r="I100" s="0">
        <ns0:f>MAX(0,G100-H100)</ns0:f>
        <ns0:v>0</ns0:v>
      </ns0:c>
      <ns0:c r="J100" s="0">
        <ns0:f>IF(OR(A100=0,F100&lt;&gt;"OK",Bookings!G100="Cancelled",$B$6&gt;0),0,IF('_Dates'!AC100=1,MAX(0,COUNTIFS(rngEngine_B,B100,rngAMStart,"&lt;="&amp;'_Dates'!X100,rngAMEnd,"&gt;="&amp;'_Dates'!W100,rngAMActive,1,rngEngine_F,"OK",rngBookings_F,"&lt;&gt;Cancelled")-1),0)+IF('_Dates'!AD100=1,MAX(0,COUNTIFS(rngEngine_B,B100,rngPMStart,"&lt;="&amp;'_Dates'!Z100,rngPMEnd,"&gt;="&amp;'_Dates'!Y100,rngPMActive,1,rngEngine_F,"OK",rngBookings_F,"&lt;&gt;Cancelled")-1),0))</ns0:f>
        <ns0:v>0</ns0:v>
      </ns0:c>
      <ns0:c r="K100" s="0" t="str">
        <ns0:f>IF(A100=0,"",IF(F100&lt;&gt;"OK",F100,IF(J100&gt;0,"CHECK overlapping entry",IF(AND($B$6=0,G100&lt;=0,Bookings!G100&lt;&gt;"Cancelled"),"CHECK no working days",IF(Bookings!G100="Cancelled","Cancelled","OK")))))</ns0:f>
        <ns0:v/>
      </ns0:c>
      <ns0:c r="L100" s="0">
        <ns0:f>IF(LEFT(K100,5)="CHECK",1,0)</ns0:f>
        <ns0:v>0</ns0:v>
      </ns0:c>
      <ns0:c r="M100" s="0">
        <ns0:f>IF(AND(L100=1,OR(C100=0,IFERROR(INDEX($X$11:$X$60,C100),0)=0)),1,0)</ns0:f>
        <ns0:v>0</ns0:v>
      </ns0:c>
      <ns0:c r="N100" s="0">
        <ns0:f>IF(OR(A100=0,L100&gt;0,$B$6&gt;0,Bookings!G100="Cancelled"),0,G100)</ns0:f>
        <ns0:v>0</ns0:v>
      </ns0:c>
      <ns0:c r="O100" s="0">
        <ns0:f>IF(AND(Bookings!G100="Approved",E100="Yes"),N100,0)</ns0:f>
        <ns0:v>0</ns0:v>
      </ns0:c>
      <ns0:c r="P100" s="0">
        <ns0:f>IF(AND(Bookings!G100="Approved",E100="Yes",L100=0,$B$6=0),H100,0)</ns0:f>
        <ns0:v>0</ns0:v>
      </ns0:c>
      <ns0:c r="Q100" s="0">
        <ns0:f>IF(AND(Bookings!G100="Approved",E100="Yes",L100=0,$B$6=0),I100,0)</ns0:f>
        <ns0:v>0</ns0:v>
      </ns0:c>
      <ns0:c r="R100" s="0">
        <ns0:f>IF(AND(Bookings!G100="Pending",E100="Yes"),N100,0)</ns0:f>
        <ns0:v>0</ns0:v>
      </ns0:c>
      <ns0:c r="S100" s="0">
        <ns0:f>IF(AND(Bookings!G100="Approved",E100="No"),N100,0)</ns0:f>
        <ns0:v>0</ns0:v>
      </ns0:c>
      <ns0:c r="T100" s="0">
        <ns0:f>IFERROR(MATCH(D100,Settings!$G$7:$G$11,0),0)</ns0:f>
        <ns0:v>0</ns0:v>
      </ns0:c>
      <ns0:c r="U100" s="0">
        <ns0:f>IF(N100&gt;0,T100+IF(Bookings!G100="Pending",10,0),0)</ns0:f>
        <ns0:v>0</ns0:v>
      </ns0:c>
      <ns0:c r="V100" s="0">
        <ns0:f>U100</ns0:f>
        <ns0:v>0</ns0:v>
      </ns0:c>
      <ns0:c r="W100" s="0" t="str">
        <ns0:f>IF(C100=0,"",INDEX($AP$11:$AP$60,C100))</ns0:f>
        <ns0:v/>
      </ns0:c>
    </ns0:row>
    <ns0:row r="101">
      <ns0:c r="A101" s="0">
        <ns0:f>IF(COUNTA(Bookings!A101:G101,Bookings!I101)=0,0,1)</ns0:f>
        <ns0:v>0</ns0:v>
      </ns0:c>
      <ns0:c r="B101" s="0" t="str">
        <ns0:f>IFERROR(TRIM(MID(Bookings!A101,FIND(" · ",Bookings!A101)+3,99)),"")</ns0:f>
        <ns0:v/>
      </ns0:c>
      <ns0:c r="C101" s="0">
        <ns0:f>IF(OR(B101="",LEN(B101)&gt;24,ISNUMBER(FIND(" ",B101)),ISNUMBER(FIND("*",B101)),ISNUMBER(FIND("?",B101)),ISNUMBER(FIND("~",B101))),0,IFERROR(MATCH(B101,Team!$A$11:$A$60,0),0))</ns0:f>
        <ns0:v>0</ns0:v>
      </ns0:c>
      <ns0:c r="D101" s="0" t="str">
        <ns0:f>IFERROR(IF(MID(Bookings!F101,LEN(Bookings!F101)-3,3)=" · ",RIGHT(Bookings!F101,1),""),"")</ns0:f>
        <ns0:v/>
      </ns0:c>
      <ns0:c r="E101" s="0" t="str">
        <ns0:f>IFERROR(INDEX(Settings!$H$7:$H$11,MATCH(D101,Settings!$G$7:$G$11,0)),"")</ns0:f>
        <ns0:v/>
      </ns0:c>
      <ns0:c r="F101" s="0" t="str">
        <ns0:f>IF(A101=0,"",IFERROR(IF(OR(B101="",C101=0),"CHECK employee selection",IF(INDEX(Team!$O$11:$O$60,C101)&lt;&gt;"OK","CHECK employee setup",IF(OR('_Dates'!J101=0,'_Dates'!T101=0),"CHECK date: use DD.MM.YYYY",IF('_Dates'!T101&lt;'_Dates'!J101,"CHECK end before start",IF(AND($B$6=0,OR('_Dates'!J101&lt;Settings!$B$7,'_Dates'!T101&gt;Settings!$B$8)),"CHECK split across leave years",IF(OR(NOT(OR('_Dates'!U101="Full day",'_Dates'!U101="AM",'_Dates'!U101="PM")),NOT(OR('_Dates'!V101="Full day",'_Dates'!V101="AM",'_Dates'!V101="PM"))),"CHECK Full day / AM / PM",IF(AND('_Dates'!J101='_Dates'!T101,'_Dates'!U101&lt;&gt;"Full day",'_Dates'!V101&lt;&gt;"Full day",'_Dates'!U101&lt;&gt;'_Dates'!V101),"CHECK same-day portions disagree",IF(AND($B$6=0,OR(AND('_Dates'!U101&lt;&gt;"Full day",'_Dates'!AA101=0),AND('_Dates'!V101&lt;&gt;"Full day",'_Dates'!AB101=0))),"CHECK half-day on non-working date",IF(COUNTIF(Settings!$G$7:$G$11,D101)&lt;&gt;1,"CHECK leave type",IF(AND(Bookings!G101&lt;&gt;"Approved",Bookings!G101&lt;&gt;"Pending",Bookings!G101&lt;&gt;"Cancelled"),"CHECK status","OK")))))))))),"CHECK input"))</ns0:f>
        <ns0:v/>
      </ns0:c>
      <ns0:c r="G101" s="0">
        <ns0:f>IF(OR(F101&lt;&gt;"OK",$B$6&gt;0),0,0.5*(IF(('_Dates'!X101)&lt;('_Dates'!W101),0,INT((('_Dates'!X101)-('_Dates'!W101)+1)/7)*LEN(SUBSTITUTE(W101,"O",""))+LEN(SUBSTITUTE(MID(W101&amp;W101,WEEKDAY(('_Dates'!W101),2),MOD((('_Dates'!X101)-('_Dates'!W101)+1),7)),"O",""))-COUNTIFS(INDEX(AllClosureRows,C101,0),"&gt;="&amp;('_Dates'!W101),INDEX(AllClosureRows,C101,0),"&lt;="&amp;('_Dates'!X101)))+IF(('_Dates'!Z101)&lt;('_Dates'!Y101),0,INT((('_Dates'!Z101)-('_Dates'!Y101)+1)/7)*LEN(SUBSTITUTE(W101,"O",""))+LEN(SUBSTITUTE(MID(W101&amp;W101,WEEKDAY(('_Dates'!Y101),2),MOD((('_Dates'!Z101)-('_Dates'!Y101)+1),7)),"O",""))-COUNTIFS(INDEX(AllClosureRows,C101,0),"&gt;="&amp;('_Dates'!Y101),INDEX(AllClosureRows,C101,0),"&lt;="&amp;('_Dates'!Z101)))))</ns0:f>
        <ns0:v>0</ns0:v>
      </ns0:c>
      <ns0:c r="H101" s="0">
        <ns0:f>IF(OR(F101&lt;&gt;"OK",$B$6&gt;0),0,0.5*(IF((MIN('_Dates'!X101,Settings!$B$9))&lt;('_Dates'!W101),0,INT(((MIN('_Dates'!X101,Settings!$B$9))-('_Dates'!W101)+1)/7)*LEN(SUBSTITUTE(W101,"O",""))+LEN(SUBSTITUTE(MID(W101&amp;W101,WEEKDAY(('_Dates'!W101),2),MOD(((MIN('_Dates'!X101,Settings!$B$9))-('_Dates'!W101)+1),7)),"O",""))-COUNTIFS(INDEX(AllClosureRows,C101,0),"&gt;="&amp;('_Dates'!W101),INDEX(AllClosureRows,C101,0),"&lt;="&amp;(MIN('_Dates'!X101,Settings!$B$9))))+IF((MIN('_Dates'!Z101,Settings!$B$9))&lt;('_Dates'!Y101),0,INT(((MIN('_Dates'!Z101,Settings!$B$9))-('_Dates'!Y101)+1)/7)*LEN(SUBSTITUTE(W101,"O",""))+LEN(SUBSTITUTE(MID(W101&amp;W101,WEEKDAY(('_Dates'!Y101),2),MOD(((MIN('_Dates'!Z101,Settings!$B$9))-('_Dates'!Y101)+1),7)),"O",""))-COUNTIFS(INDEX(AllClosureRows,C101,0),"&gt;="&amp;('_Dates'!Y101),INDEX(AllClosureRows,C101,0),"&lt;="&amp;(MIN('_Dates'!Z101,Settings!$B$9))))))</ns0:f>
        <ns0:v>0</ns0:v>
      </ns0:c>
      <ns0:c r="I101" s="0">
        <ns0:f>MAX(0,G101-H101)</ns0:f>
        <ns0:v>0</ns0:v>
      </ns0:c>
      <ns0:c r="J101" s="0">
        <ns0:f>IF(OR(A101=0,F101&lt;&gt;"OK",Bookings!G101="Cancelled",$B$6&gt;0),0,IF('_Dates'!AC101=1,MAX(0,COUNTIFS(rngEngine_B,B101,rngAMStart,"&lt;="&amp;'_Dates'!X101,rngAMEnd,"&gt;="&amp;'_Dates'!W101,rngAMActive,1,rngEngine_F,"OK",rngBookings_F,"&lt;&gt;Cancelled")-1),0)+IF('_Dates'!AD101=1,MAX(0,COUNTIFS(rngEngine_B,B101,rngPMStart,"&lt;="&amp;'_Dates'!Z101,rngPMEnd,"&gt;="&amp;'_Dates'!Y101,rngPMActive,1,rngEngine_F,"OK",rngBookings_F,"&lt;&gt;Cancelled")-1),0))</ns0:f>
        <ns0:v>0</ns0:v>
      </ns0:c>
      <ns0:c r="K101" s="0" t="str">
        <ns0:f>IF(A101=0,"",IF(F101&lt;&gt;"OK",F101,IF(J101&gt;0,"CHECK overlapping entry",IF(AND($B$6=0,G101&lt;=0,Bookings!G101&lt;&gt;"Cancelled"),"CHECK no working days",IF(Bookings!G101="Cancelled","Cancelled","OK")))))</ns0:f>
        <ns0:v/>
      </ns0:c>
      <ns0:c r="L101" s="0">
        <ns0:f>IF(LEFT(K101,5)="CHECK",1,0)</ns0:f>
        <ns0:v>0</ns0:v>
      </ns0:c>
      <ns0:c r="M101" s="0">
        <ns0:f>IF(AND(L101=1,OR(C101=0,IFERROR(INDEX($X$11:$X$60,C101),0)=0)),1,0)</ns0:f>
        <ns0:v>0</ns0:v>
      </ns0:c>
      <ns0:c r="N101" s="0">
        <ns0:f>IF(OR(A101=0,L101&gt;0,$B$6&gt;0,Bookings!G101="Cancelled"),0,G101)</ns0:f>
        <ns0:v>0</ns0:v>
      </ns0:c>
      <ns0:c r="O101" s="0">
        <ns0:f>IF(AND(Bookings!G101="Approved",E101="Yes"),N101,0)</ns0:f>
        <ns0:v>0</ns0:v>
      </ns0:c>
      <ns0:c r="P101" s="0">
        <ns0:f>IF(AND(Bookings!G101="Approved",E101="Yes",L101=0,$B$6=0),H101,0)</ns0:f>
        <ns0:v>0</ns0:v>
      </ns0:c>
      <ns0:c r="Q101" s="0">
        <ns0:f>IF(AND(Bookings!G101="Approved",E101="Yes",L101=0,$B$6=0),I101,0)</ns0:f>
        <ns0:v>0</ns0:v>
      </ns0:c>
      <ns0:c r="R101" s="0">
        <ns0:f>IF(AND(Bookings!G101="Pending",E101="Yes"),N101,0)</ns0:f>
        <ns0:v>0</ns0:v>
      </ns0:c>
      <ns0:c r="S101" s="0">
        <ns0:f>IF(AND(Bookings!G101="Approved",E101="No"),N101,0)</ns0:f>
        <ns0:v>0</ns0:v>
      </ns0:c>
      <ns0:c r="T101" s="0">
        <ns0:f>IFERROR(MATCH(D101,Settings!$G$7:$G$11,0),0)</ns0:f>
        <ns0:v>0</ns0:v>
      </ns0:c>
      <ns0:c r="U101" s="0">
        <ns0:f>IF(N101&gt;0,T101+IF(Bookings!G101="Pending",10,0),0)</ns0:f>
        <ns0:v>0</ns0:v>
      </ns0:c>
      <ns0:c r="V101" s="0">
        <ns0:f>U101</ns0:f>
        <ns0:v>0</ns0:v>
      </ns0:c>
      <ns0:c r="W101" s="0" t="str">
        <ns0:f>IF(C101=0,"",INDEX($AP$11:$AP$60,C101))</ns0:f>
        <ns0:v/>
      </ns0:c>
    </ns0:row>
    <ns0:row r="102">
      <ns0:c r="A102" s="0">
        <ns0:f>IF(COUNTA(Bookings!A102:G102,Bookings!I102)=0,0,1)</ns0:f>
        <ns0:v>0</ns0:v>
      </ns0:c>
      <ns0:c r="B102" s="0" t="str">
        <ns0:f>IFERROR(TRIM(MID(Bookings!A102,FIND(" · ",Bookings!A102)+3,99)),"")</ns0:f>
        <ns0:v/>
      </ns0:c>
      <ns0:c r="C102" s="0">
        <ns0:f>IF(OR(B102="",LEN(B102)&gt;24,ISNUMBER(FIND(" ",B102)),ISNUMBER(FIND("*",B102)),ISNUMBER(FIND("?",B102)),ISNUMBER(FIND("~",B102))),0,IFERROR(MATCH(B102,Team!$A$11:$A$60,0),0))</ns0:f>
        <ns0:v>0</ns0:v>
      </ns0:c>
      <ns0:c r="D102" s="0" t="str">
        <ns0:f>IFERROR(IF(MID(Bookings!F102,LEN(Bookings!F102)-3,3)=" · ",RIGHT(Bookings!F102,1),""),"")</ns0:f>
        <ns0:v/>
      </ns0:c>
      <ns0:c r="E102" s="0" t="str">
        <ns0:f>IFERROR(INDEX(Settings!$H$7:$H$11,MATCH(D102,Settings!$G$7:$G$11,0)),"")</ns0:f>
        <ns0:v/>
      </ns0:c>
      <ns0:c r="F102" s="0" t="str">
        <ns0:f>IF(A102=0,"",IFERROR(IF(OR(B102="",C102=0),"CHECK employee selection",IF(INDEX(Team!$O$11:$O$60,C102)&lt;&gt;"OK","CHECK employee setup",IF(OR('_Dates'!J102=0,'_Dates'!T102=0),"CHECK date: use DD.MM.YYYY",IF('_Dates'!T102&lt;'_Dates'!J102,"CHECK end before start",IF(AND($B$6=0,OR('_Dates'!J102&lt;Settings!$B$7,'_Dates'!T102&gt;Settings!$B$8)),"CHECK split across leave years",IF(OR(NOT(OR('_Dates'!U102="Full day",'_Dates'!U102="AM",'_Dates'!U102="PM")),NOT(OR('_Dates'!V102="Full day",'_Dates'!V102="AM",'_Dates'!V102="PM"))),"CHECK Full day / AM / PM",IF(AND('_Dates'!J102='_Dates'!T102,'_Dates'!U102&lt;&gt;"Full day",'_Dates'!V102&lt;&gt;"Full day",'_Dates'!U102&lt;&gt;'_Dates'!V102),"CHECK same-day portions disagree",IF(AND($B$6=0,OR(AND('_Dates'!U102&lt;&gt;"Full day",'_Dates'!AA102=0),AND('_Dates'!V102&lt;&gt;"Full day",'_Dates'!AB102=0))),"CHECK half-day on non-working date",IF(COUNTIF(Settings!$G$7:$G$11,D102)&lt;&gt;1,"CHECK leave type",IF(AND(Bookings!G102&lt;&gt;"Approved",Bookings!G102&lt;&gt;"Pending",Bookings!G102&lt;&gt;"Cancelled"),"CHECK status","OK")))))))))),"CHECK input"))</ns0:f>
        <ns0:v/>
      </ns0:c>
      <ns0:c r="G102" s="0">
        <ns0:f>IF(OR(F102&lt;&gt;"OK",$B$6&gt;0),0,0.5*(IF(('_Dates'!X102)&lt;('_Dates'!W102),0,INT((('_Dates'!X102)-('_Dates'!W102)+1)/7)*LEN(SUBSTITUTE(W102,"O",""))+LEN(SUBSTITUTE(MID(W102&amp;W102,WEEKDAY(('_Dates'!W102),2),MOD((('_Dates'!X102)-('_Dates'!W102)+1),7)),"O",""))-COUNTIFS(INDEX(AllClosureRows,C102,0),"&gt;="&amp;('_Dates'!W102),INDEX(AllClosureRows,C102,0),"&lt;="&amp;('_Dates'!X102)))+IF(('_Dates'!Z102)&lt;('_Dates'!Y102),0,INT((('_Dates'!Z102)-('_Dates'!Y102)+1)/7)*LEN(SUBSTITUTE(W102,"O",""))+LEN(SUBSTITUTE(MID(W102&amp;W102,WEEKDAY(('_Dates'!Y102),2),MOD((('_Dates'!Z102)-('_Dates'!Y102)+1),7)),"O",""))-COUNTIFS(INDEX(AllClosureRows,C102,0),"&gt;="&amp;('_Dates'!Y102),INDEX(AllClosureRows,C102,0),"&lt;="&amp;('_Dates'!Z102)))))</ns0:f>
        <ns0:v>0</ns0:v>
      </ns0:c>
      <ns0:c r="H102" s="0">
        <ns0:f>IF(OR(F102&lt;&gt;"OK",$B$6&gt;0),0,0.5*(IF((MIN('_Dates'!X102,Settings!$B$9))&lt;('_Dates'!W102),0,INT(((MIN('_Dates'!X102,Settings!$B$9))-('_Dates'!W102)+1)/7)*LEN(SUBSTITUTE(W102,"O",""))+LEN(SUBSTITUTE(MID(W102&amp;W102,WEEKDAY(('_Dates'!W102),2),MOD(((MIN('_Dates'!X102,Settings!$B$9))-('_Dates'!W102)+1),7)),"O",""))-COUNTIFS(INDEX(AllClosureRows,C102,0),"&gt;="&amp;('_Dates'!W102),INDEX(AllClosureRows,C102,0),"&lt;="&amp;(MIN('_Dates'!X102,Settings!$B$9))))+IF((MIN('_Dates'!Z102,Settings!$B$9))&lt;('_Dates'!Y102),0,INT(((MIN('_Dates'!Z102,Settings!$B$9))-('_Dates'!Y102)+1)/7)*LEN(SUBSTITUTE(W102,"O",""))+LEN(SUBSTITUTE(MID(W102&amp;W102,WEEKDAY(('_Dates'!Y102),2),MOD(((MIN('_Dates'!Z102,Settings!$B$9))-('_Dates'!Y102)+1),7)),"O",""))-COUNTIFS(INDEX(AllClosureRows,C102,0),"&gt;="&amp;('_Dates'!Y102),INDEX(AllClosureRows,C102,0),"&lt;="&amp;(MIN('_Dates'!Z102,Settings!$B$9))))))</ns0:f>
        <ns0:v>0</ns0:v>
      </ns0:c>
      <ns0:c r="I102" s="0">
        <ns0:f>MAX(0,G102-H102)</ns0:f>
        <ns0:v>0</ns0:v>
      </ns0:c>
      <ns0:c r="J102" s="0">
        <ns0:f>IF(OR(A102=0,F102&lt;&gt;"OK",Bookings!G102="Cancelled",$B$6&gt;0),0,IF('_Dates'!AC102=1,MAX(0,COUNTIFS(rngEngine_B,B102,rngAMStart,"&lt;="&amp;'_Dates'!X102,rngAMEnd,"&gt;="&amp;'_Dates'!W102,rngAMActive,1,rngEngine_F,"OK",rngBookings_F,"&lt;&gt;Cancelled")-1),0)+IF('_Dates'!AD102=1,MAX(0,COUNTIFS(rngEngine_B,B102,rngPMStart,"&lt;="&amp;'_Dates'!Z102,rngPMEnd,"&gt;="&amp;'_Dates'!Y102,rngPMActive,1,rngEngine_F,"OK",rngBookings_F,"&lt;&gt;Cancelled")-1),0))</ns0:f>
        <ns0:v>0</ns0:v>
      </ns0:c>
      <ns0:c r="K102" s="0" t="str">
        <ns0:f>IF(A102=0,"",IF(F102&lt;&gt;"OK",F102,IF(J102&gt;0,"CHECK overlapping entry",IF(AND($B$6=0,G102&lt;=0,Bookings!G102&lt;&gt;"Cancelled"),"CHECK no working days",IF(Bookings!G102="Cancelled","Cancelled","OK")))))</ns0:f>
        <ns0:v/>
      </ns0:c>
      <ns0:c r="L102" s="0">
        <ns0:f>IF(LEFT(K102,5)="CHECK",1,0)</ns0:f>
        <ns0:v>0</ns0:v>
      </ns0:c>
      <ns0:c r="M102" s="0">
        <ns0:f>IF(AND(L102=1,OR(C102=0,IFERROR(INDEX($X$11:$X$60,C102),0)=0)),1,0)</ns0:f>
        <ns0:v>0</ns0:v>
      </ns0:c>
      <ns0:c r="N102" s="0">
        <ns0:f>IF(OR(A102=0,L102&gt;0,$B$6&gt;0,Bookings!G102="Cancelled"),0,G102)</ns0:f>
        <ns0:v>0</ns0:v>
      </ns0:c>
      <ns0:c r="O102" s="0">
        <ns0:f>IF(AND(Bookings!G102="Approved",E102="Yes"),N102,0)</ns0:f>
        <ns0:v>0</ns0:v>
      </ns0:c>
      <ns0:c r="P102" s="0">
        <ns0:f>IF(AND(Bookings!G102="Approved",E102="Yes",L102=0,$B$6=0),H102,0)</ns0:f>
        <ns0:v>0</ns0:v>
      </ns0:c>
      <ns0:c r="Q102" s="0">
        <ns0:f>IF(AND(Bookings!G102="Approved",E102="Yes",L102=0,$B$6=0),I102,0)</ns0:f>
        <ns0:v>0</ns0:v>
      </ns0:c>
      <ns0:c r="R102" s="0">
        <ns0:f>IF(AND(Bookings!G102="Pending",E102="Yes"),N102,0)</ns0:f>
        <ns0:v>0</ns0:v>
      </ns0:c>
      <ns0:c r="S102" s="0">
        <ns0:f>IF(AND(Bookings!G102="Approved",E102="No"),N102,0)</ns0:f>
        <ns0:v>0</ns0:v>
      </ns0:c>
      <ns0:c r="T102" s="0">
        <ns0:f>IFERROR(MATCH(D102,Settings!$G$7:$G$11,0),0)</ns0:f>
        <ns0:v>0</ns0:v>
      </ns0:c>
      <ns0:c r="U102" s="0">
        <ns0:f>IF(N102&gt;0,T102+IF(Bookings!G102="Pending",10,0),0)</ns0:f>
        <ns0:v>0</ns0:v>
      </ns0:c>
      <ns0:c r="V102" s="0">
        <ns0:f>U102</ns0:f>
        <ns0:v>0</ns0:v>
      </ns0:c>
      <ns0:c r="W102" s="0" t="str">
        <ns0:f>IF(C102=0,"",INDEX($AP$11:$AP$60,C102))</ns0:f>
        <ns0:v/>
      </ns0:c>
    </ns0:row>
    <ns0:row r="103">
      <ns0:c r="A103" s="0">
        <ns0:f>IF(COUNTA(Bookings!A103:G103,Bookings!I103)=0,0,1)</ns0:f>
        <ns0:v>0</ns0:v>
      </ns0:c>
      <ns0:c r="B103" s="0" t="str">
        <ns0:f>IFERROR(TRIM(MID(Bookings!A103,FIND(" · ",Bookings!A103)+3,99)),"")</ns0:f>
        <ns0:v/>
      </ns0:c>
      <ns0:c r="C103" s="0">
        <ns0:f>IF(OR(B103="",LEN(B103)&gt;24,ISNUMBER(FIND(" ",B103)),ISNUMBER(FIND("*",B103)),ISNUMBER(FIND("?",B103)),ISNUMBER(FIND("~",B103))),0,IFERROR(MATCH(B103,Team!$A$11:$A$60,0),0))</ns0:f>
        <ns0:v>0</ns0:v>
      </ns0:c>
      <ns0:c r="D103" s="0" t="str">
        <ns0:f>IFERROR(IF(MID(Bookings!F103,LEN(Bookings!F103)-3,3)=" · ",RIGHT(Bookings!F103,1),""),"")</ns0:f>
        <ns0:v/>
      </ns0:c>
      <ns0:c r="E103" s="0" t="str">
        <ns0:f>IFERROR(INDEX(Settings!$H$7:$H$11,MATCH(D103,Settings!$G$7:$G$11,0)),"")</ns0:f>
        <ns0:v/>
      </ns0:c>
      <ns0:c r="F103" s="0" t="str">
        <ns0:f>IF(A103=0,"",IFERROR(IF(OR(B103="",C103=0),"CHECK employee selection",IF(INDEX(Team!$O$11:$O$60,C103)&lt;&gt;"OK","CHECK employee setup",IF(OR('_Dates'!J103=0,'_Dates'!T103=0),"CHECK date: use DD.MM.YYYY",IF('_Dates'!T103&lt;'_Dates'!J103,"CHECK end before start",IF(AND($B$6=0,OR('_Dates'!J103&lt;Settings!$B$7,'_Dates'!T103&gt;Settings!$B$8)),"CHECK split across leave years",IF(OR(NOT(OR('_Dates'!U103="Full day",'_Dates'!U103="AM",'_Dates'!U103="PM")),NOT(OR('_Dates'!V103="Full day",'_Dates'!V103="AM",'_Dates'!V103="PM"))),"CHECK Full day / AM / PM",IF(AND('_Dates'!J103='_Dates'!T103,'_Dates'!U103&lt;&gt;"Full day",'_Dates'!V103&lt;&gt;"Full day",'_Dates'!U103&lt;&gt;'_Dates'!V103),"CHECK same-day portions disagree",IF(AND($B$6=0,OR(AND('_Dates'!U103&lt;&gt;"Full day",'_Dates'!AA103=0),AND('_Dates'!V103&lt;&gt;"Full day",'_Dates'!AB103=0))),"CHECK half-day on non-working date",IF(COUNTIF(Settings!$G$7:$G$11,D103)&lt;&gt;1,"CHECK leave type",IF(AND(Bookings!G103&lt;&gt;"Approved",Bookings!G103&lt;&gt;"Pending",Bookings!G103&lt;&gt;"Cancelled"),"CHECK status","OK")))))))))),"CHECK input"))</ns0:f>
        <ns0:v/>
      </ns0:c>
      <ns0:c r="G103" s="0">
        <ns0:f>IF(OR(F103&lt;&gt;"OK",$B$6&gt;0),0,0.5*(IF(('_Dates'!X103)&lt;('_Dates'!W103),0,INT((('_Dates'!X103)-('_Dates'!W103)+1)/7)*LEN(SUBSTITUTE(W103,"O",""))+LEN(SUBSTITUTE(MID(W103&amp;W103,WEEKDAY(('_Dates'!W103),2),MOD((('_Dates'!X103)-('_Dates'!W103)+1),7)),"O",""))-COUNTIFS(INDEX(AllClosureRows,C103,0),"&gt;="&amp;('_Dates'!W103),INDEX(AllClosureRows,C103,0),"&lt;="&amp;('_Dates'!X103)))+IF(('_Dates'!Z103)&lt;('_Dates'!Y103),0,INT((('_Dates'!Z103)-('_Dates'!Y103)+1)/7)*LEN(SUBSTITUTE(W103,"O",""))+LEN(SUBSTITUTE(MID(W103&amp;W103,WEEKDAY(('_Dates'!Y103),2),MOD((('_Dates'!Z103)-('_Dates'!Y103)+1),7)),"O",""))-COUNTIFS(INDEX(AllClosureRows,C103,0),"&gt;="&amp;('_Dates'!Y103),INDEX(AllClosureRows,C103,0),"&lt;="&amp;('_Dates'!Z103)))))</ns0:f>
        <ns0:v>0</ns0:v>
      </ns0:c>
      <ns0:c r="H103" s="0">
        <ns0:f>IF(OR(F103&lt;&gt;"OK",$B$6&gt;0),0,0.5*(IF((MIN('_Dates'!X103,Settings!$B$9))&lt;('_Dates'!W103),0,INT(((MIN('_Dates'!X103,Settings!$B$9))-('_Dates'!W103)+1)/7)*LEN(SUBSTITUTE(W103,"O",""))+LEN(SUBSTITUTE(MID(W103&amp;W103,WEEKDAY(('_Dates'!W103),2),MOD(((MIN('_Dates'!X103,Settings!$B$9))-('_Dates'!W103)+1),7)),"O",""))-COUNTIFS(INDEX(AllClosureRows,C103,0),"&gt;="&amp;('_Dates'!W103),INDEX(AllClosureRows,C103,0),"&lt;="&amp;(MIN('_Dates'!X103,Settings!$B$9))))+IF((MIN('_Dates'!Z103,Settings!$B$9))&lt;('_Dates'!Y103),0,INT(((MIN('_Dates'!Z103,Settings!$B$9))-('_Dates'!Y103)+1)/7)*LEN(SUBSTITUTE(W103,"O",""))+LEN(SUBSTITUTE(MID(W103&amp;W103,WEEKDAY(('_Dates'!Y103),2),MOD(((MIN('_Dates'!Z103,Settings!$B$9))-('_Dates'!Y103)+1),7)),"O",""))-COUNTIFS(INDEX(AllClosureRows,C103,0),"&gt;="&amp;('_Dates'!Y103),INDEX(AllClosureRows,C103,0),"&lt;="&amp;(MIN('_Dates'!Z103,Settings!$B$9))))))</ns0:f>
        <ns0:v>0</ns0:v>
      </ns0:c>
      <ns0:c r="I103" s="0">
        <ns0:f>MAX(0,G103-H103)</ns0:f>
        <ns0:v>0</ns0:v>
      </ns0:c>
      <ns0:c r="J103" s="0">
        <ns0:f>IF(OR(A103=0,F103&lt;&gt;"OK",Bookings!G103="Cancelled",$B$6&gt;0),0,IF('_Dates'!AC103=1,MAX(0,COUNTIFS(rngEngine_B,B103,rngAMStart,"&lt;="&amp;'_Dates'!X103,rngAMEnd,"&gt;="&amp;'_Dates'!W103,rngAMActive,1,rngEngine_F,"OK",rngBookings_F,"&lt;&gt;Cancelled")-1),0)+IF('_Dates'!AD103=1,MAX(0,COUNTIFS(rngEngine_B,B103,rngPMStart,"&lt;="&amp;'_Dates'!Z103,rngPMEnd,"&gt;="&amp;'_Dates'!Y103,rngPMActive,1,rngEngine_F,"OK",rngBookings_F,"&lt;&gt;Cancelled")-1),0))</ns0:f>
        <ns0:v>0</ns0:v>
      </ns0:c>
      <ns0:c r="K103" s="0" t="str">
        <ns0:f>IF(A103=0,"",IF(F103&lt;&gt;"OK",F103,IF(J103&gt;0,"CHECK overlapping entry",IF(AND($B$6=0,G103&lt;=0,Bookings!G103&lt;&gt;"Cancelled"),"CHECK no working days",IF(Bookings!G103="Cancelled","Cancelled","OK")))))</ns0:f>
        <ns0:v/>
      </ns0:c>
      <ns0:c r="L103" s="0">
        <ns0:f>IF(LEFT(K103,5)="CHECK",1,0)</ns0:f>
        <ns0:v>0</ns0:v>
      </ns0:c>
      <ns0:c r="M103" s="0">
        <ns0:f>IF(AND(L103=1,OR(C103=0,IFERROR(INDEX($X$11:$X$60,C103),0)=0)),1,0)</ns0:f>
        <ns0:v>0</ns0:v>
      </ns0:c>
      <ns0:c r="N103" s="0">
        <ns0:f>IF(OR(A103=0,L103&gt;0,$B$6&gt;0,Bookings!G103="Cancelled"),0,G103)</ns0:f>
        <ns0:v>0</ns0:v>
      </ns0:c>
      <ns0:c r="O103" s="0">
        <ns0:f>IF(AND(Bookings!G103="Approved",E103="Yes"),N103,0)</ns0:f>
        <ns0:v>0</ns0:v>
      </ns0:c>
      <ns0:c r="P103" s="0">
        <ns0:f>IF(AND(Bookings!G103="Approved",E103="Yes",L103=0,$B$6=0),H103,0)</ns0:f>
        <ns0:v>0</ns0:v>
      </ns0:c>
      <ns0:c r="Q103" s="0">
        <ns0:f>IF(AND(Bookings!G103="Approved",E103="Yes",L103=0,$B$6=0),I103,0)</ns0:f>
        <ns0:v>0</ns0:v>
      </ns0:c>
      <ns0:c r="R103" s="0">
        <ns0:f>IF(AND(Bookings!G103="Pending",E103="Yes"),N103,0)</ns0:f>
        <ns0:v>0</ns0:v>
      </ns0:c>
      <ns0:c r="S103" s="0">
        <ns0:f>IF(AND(Bookings!G103="Approved",E103="No"),N103,0)</ns0:f>
        <ns0:v>0</ns0:v>
      </ns0:c>
      <ns0:c r="T103" s="0">
        <ns0:f>IFERROR(MATCH(D103,Settings!$G$7:$G$11,0),0)</ns0:f>
        <ns0:v>0</ns0:v>
      </ns0:c>
      <ns0:c r="U103" s="0">
        <ns0:f>IF(N103&gt;0,T103+IF(Bookings!G103="Pending",10,0),0)</ns0:f>
        <ns0:v>0</ns0:v>
      </ns0:c>
      <ns0:c r="V103" s="0">
        <ns0:f>U103</ns0:f>
        <ns0:v>0</ns0:v>
      </ns0:c>
      <ns0:c r="W103" s="0" t="str">
        <ns0:f>IF(C103=0,"",INDEX($AP$11:$AP$60,C103))</ns0:f>
        <ns0:v/>
      </ns0:c>
    </ns0:row>
    <ns0:row r="104">
      <ns0:c r="A104" s="0">
        <ns0:f>IF(COUNTA(Bookings!A104:G104,Bookings!I104)=0,0,1)</ns0:f>
        <ns0:v>0</ns0:v>
      </ns0:c>
      <ns0:c r="B104" s="0" t="str">
        <ns0:f>IFERROR(TRIM(MID(Bookings!A104,FIND(" · ",Bookings!A104)+3,99)),"")</ns0:f>
        <ns0:v/>
      </ns0:c>
      <ns0:c r="C104" s="0">
        <ns0:f>IF(OR(B104="",LEN(B104)&gt;24,ISNUMBER(FIND(" ",B104)),ISNUMBER(FIND("*",B104)),ISNUMBER(FIND("?",B104)),ISNUMBER(FIND("~",B104))),0,IFERROR(MATCH(B104,Team!$A$11:$A$60,0),0))</ns0:f>
        <ns0:v>0</ns0:v>
      </ns0:c>
      <ns0:c r="D104" s="0" t="str">
        <ns0:f>IFERROR(IF(MID(Bookings!F104,LEN(Bookings!F104)-3,3)=" · ",RIGHT(Bookings!F104,1),""),"")</ns0:f>
        <ns0:v/>
      </ns0:c>
      <ns0:c r="E104" s="0" t="str">
        <ns0:f>IFERROR(INDEX(Settings!$H$7:$H$11,MATCH(D104,Settings!$G$7:$G$11,0)),"")</ns0:f>
        <ns0:v/>
      </ns0:c>
      <ns0:c r="F104" s="0" t="str">
        <ns0:f>IF(A104=0,"",IFERROR(IF(OR(B104="",C104=0),"CHECK employee selection",IF(INDEX(Team!$O$11:$O$60,C104)&lt;&gt;"OK","CHECK employee setup",IF(OR('_Dates'!J104=0,'_Dates'!T104=0),"CHECK date: use DD.MM.YYYY",IF('_Dates'!T104&lt;'_Dates'!J104,"CHECK end before start",IF(AND($B$6=0,OR('_Dates'!J104&lt;Settings!$B$7,'_Dates'!T104&gt;Settings!$B$8)),"CHECK split across leave years",IF(OR(NOT(OR('_Dates'!U104="Full day",'_Dates'!U104="AM",'_Dates'!U104="PM")),NOT(OR('_Dates'!V104="Full day",'_Dates'!V104="AM",'_Dates'!V104="PM"))),"CHECK Full day / AM / PM",IF(AND('_Dates'!J104='_Dates'!T104,'_Dates'!U104&lt;&gt;"Full day",'_Dates'!V104&lt;&gt;"Full day",'_Dates'!U104&lt;&gt;'_Dates'!V104),"CHECK same-day portions disagree",IF(AND($B$6=0,OR(AND('_Dates'!U104&lt;&gt;"Full day",'_Dates'!AA104=0),AND('_Dates'!V104&lt;&gt;"Full day",'_Dates'!AB104=0))),"CHECK half-day on non-working date",IF(COUNTIF(Settings!$G$7:$G$11,D104)&lt;&gt;1,"CHECK leave type",IF(AND(Bookings!G104&lt;&gt;"Approved",Bookings!G104&lt;&gt;"Pending",Bookings!G104&lt;&gt;"Cancelled"),"CHECK status","OK")))))))))),"CHECK input"))</ns0:f>
        <ns0:v/>
      </ns0:c>
      <ns0:c r="G104" s="0">
        <ns0:f>IF(OR(F104&lt;&gt;"OK",$B$6&gt;0),0,0.5*(IF(('_Dates'!X104)&lt;('_Dates'!W104),0,INT((('_Dates'!X104)-('_Dates'!W104)+1)/7)*LEN(SUBSTITUTE(W104,"O",""))+LEN(SUBSTITUTE(MID(W104&amp;W104,WEEKDAY(('_Dates'!W104),2),MOD((('_Dates'!X104)-('_Dates'!W104)+1),7)),"O",""))-COUNTIFS(INDEX(AllClosureRows,C104,0),"&gt;="&amp;('_Dates'!W104),INDEX(AllClosureRows,C104,0),"&lt;="&amp;('_Dates'!X104)))+IF(('_Dates'!Z104)&lt;('_Dates'!Y104),0,INT((('_Dates'!Z104)-('_Dates'!Y104)+1)/7)*LEN(SUBSTITUTE(W104,"O",""))+LEN(SUBSTITUTE(MID(W104&amp;W104,WEEKDAY(('_Dates'!Y104),2),MOD((('_Dates'!Z104)-('_Dates'!Y104)+1),7)),"O",""))-COUNTIFS(INDEX(AllClosureRows,C104,0),"&gt;="&amp;('_Dates'!Y104),INDEX(AllClosureRows,C104,0),"&lt;="&amp;('_Dates'!Z104)))))</ns0:f>
        <ns0:v>0</ns0:v>
      </ns0:c>
      <ns0:c r="H104" s="0">
        <ns0:f>IF(OR(F104&lt;&gt;"OK",$B$6&gt;0),0,0.5*(IF((MIN('_Dates'!X104,Settings!$B$9))&lt;('_Dates'!W104),0,INT(((MIN('_Dates'!X104,Settings!$B$9))-('_Dates'!W104)+1)/7)*LEN(SUBSTITUTE(W104,"O",""))+LEN(SUBSTITUTE(MID(W104&amp;W104,WEEKDAY(('_Dates'!W104),2),MOD(((MIN('_Dates'!X104,Settings!$B$9))-('_Dates'!W104)+1),7)),"O",""))-COUNTIFS(INDEX(AllClosureRows,C104,0),"&gt;="&amp;('_Dates'!W104),INDEX(AllClosureRows,C104,0),"&lt;="&amp;(MIN('_Dates'!X104,Settings!$B$9))))+IF((MIN('_Dates'!Z104,Settings!$B$9))&lt;('_Dates'!Y104),0,INT(((MIN('_Dates'!Z104,Settings!$B$9))-('_Dates'!Y104)+1)/7)*LEN(SUBSTITUTE(W104,"O",""))+LEN(SUBSTITUTE(MID(W104&amp;W104,WEEKDAY(('_Dates'!Y104),2),MOD(((MIN('_Dates'!Z104,Settings!$B$9))-('_Dates'!Y104)+1),7)),"O",""))-COUNTIFS(INDEX(AllClosureRows,C104,0),"&gt;="&amp;('_Dates'!Y104),INDEX(AllClosureRows,C104,0),"&lt;="&amp;(MIN('_Dates'!Z104,Settings!$B$9))))))</ns0:f>
        <ns0:v>0</ns0:v>
      </ns0:c>
      <ns0:c r="I104" s="0">
        <ns0:f>MAX(0,G104-H104)</ns0:f>
        <ns0:v>0</ns0:v>
      </ns0:c>
      <ns0:c r="J104" s="0">
        <ns0:f>IF(OR(A104=0,F104&lt;&gt;"OK",Bookings!G104="Cancelled",$B$6&gt;0),0,IF('_Dates'!AC104=1,MAX(0,COUNTIFS(rngEngine_B,B104,rngAMStart,"&lt;="&amp;'_Dates'!X104,rngAMEnd,"&gt;="&amp;'_Dates'!W104,rngAMActive,1,rngEngine_F,"OK",rngBookings_F,"&lt;&gt;Cancelled")-1),0)+IF('_Dates'!AD104=1,MAX(0,COUNTIFS(rngEngine_B,B104,rngPMStart,"&lt;="&amp;'_Dates'!Z104,rngPMEnd,"&gt;="&amp;'_Dates'!Y104,rngPMActive,1,rngEngine_F,"OK",rngBookings_F,"&lt;&gt;Cancelled")-1),0))</ns0:f>
        <ns0:v>0</ns0:v>
      </ns0:c>
      <ns0:c r="K104" s="0" t="str">
        <ns0:f>IF(A104=0,"",IF(F104&lt;&gt;"OK",F104,IF(J104&gt;0,"CHECK overlapping entry",IF(AND($B$6=0,G104&lt;=0,Bookings!G104&lt;&gt;"Cancelled"),"CHECK no working days",IF(Bookings!G104="Cancelled","Cancelled","OK")))))</ns0:f>
        <ns0:v/>
      </ns0:c>
      <ns0:c r="L104" s="0">
        <ns0:f>IF(LEFT(K104,5)="CHECK",1,0)</ns0:f>
        <ns0:v>0</ns0:v>
      </ns0:c>
      <ns0:c r="M104" s="0">
        <ns0:f>IF(AND(L104=1,OR(C104=0,IFERROR(INDEX($X$11:$X$60,C104),0)=0)),1,0)</ns0:f>
        <ns0:v>0</ns0:v>
      </ns0:c>
      <ns0:c r="N104" s="0">
        <ns0:f>IF(OR(A104=0,L104&gt;0,$B$6&gt;0,Bookings!G104="Cancelled"),0,G104)</ns0:f>
        <ns0:v>0</ns0:v>
      </ns0:c>
      <ns0:c r="O104" s="0">
        <ns0:f>IF(AND(Bookings!G104="Approved",E104="Yes"),N104,0)</ns0:f>
        <ns0:v>0</ns0:v>
      </ns0:c>
      <ns0:c r="P104" s="0">
        <ns0:f>IF(AND(Bookings!G104="Approved",E104="Yes",L104=0,$B$6=0),H104,0)</ns0:f>
        <ns0:v>0</ns0:v>
      </ns0:c>
      <ns0:c r="Q104" s="0">
        <ns0:f>IF(AND(Bookings!G104="Approved",E104="Yes",L104=0,$B$6=0),I104,0)</ns0:f>
        <ns0:v>0</ns0:v>
      </ns0:c>
      <ns0:c r="R104" s="0">
        <ns0:f>IF(AND(Bookings!G104="Pending",E104="Yes"),N104,0)</ns0:f>
        <ns0:v>0</ns0:v>
      </ns0:c>
      <ns0:c r="S104" s="0">
        <ns0:f>IF(AND(Bookings!G104="Approved",E104="No"),N104,0)</ns0:f>
        <ns0:v>0</ns0:v>
      </ns0:c>
      <ns0:c r="T104" s="0">
        <ns0:f>IFERROR(MATCH(D104,Settings!$G$7:$G$11,0),0)</ns0:f>
        <ns0:v>0</ns0:v>
      </ns0:c>
      <ns0:c r="U104" s="0">
        <ns0:f>IF(N104&gt;0,T104+IF(Bookings!G104="Pending",10,0),0)</ns0:f>
        <ns0:v>0</ns0:v>
      </ns0:c>
      <ns0:c r="V104" s="0">
        <ns0:f>U104</ns0:f>
        <ns0:v>0</ns0:v>
      </ns0:c>
      <ns0:c r="W104" s="0" t="str">
        <ns0:f>IF(C104=0,"",INDEX($AP$11:$AP$60,C104))</ns0:f>
        <ns0:v/>
      </ns0:c>
    </ns0:row>
    <ns0:row r="105">
      <ns0:c r="A105" s="0">
        <ns0:f>IF(COUNTA(Bookings!A105:G105,Bookings!I105)=0,0,1)</ns0:f>
        <ns0:v>0</ns0:v>
      </ns0:c>
      <ns0:c r="B105" s="0" t="str">
        <ns0:f>IFERROR(TRIM(MID(Bookings!A105,FIND(" · ",Bookings!A105)+3,99)),"")</ns0:f>
        <ns0:v/>
      </ns0:c>
      <ns0:c r="C105" s="0">
        <ns0:f>IF(OR(B105="",LEN(B105)&gt;24,ISNUMBER(FIND(" ",B105)),ISNUMBER(FIND("*",B105)),ISNUMBER(FIND("?",B105)),ISNUMBER(FIND("~",B105))),0,IFERROR(MATCH(B105,Team!$A$11:$A$60,0),0))</ns0:f>
        <ns0:v>0</ns0:v>
      </ns0:c>
      <ns0:c r="D105" s="0" t="str">
        <ns0:f>IFERROR(IF(MID(Bookings!F105,LEN(Bookings!F105)-3,3)=" · ",RIGHT(Bookings!F105,1),""),"")</ns0:f>
        <ns0:v/>
      </ns0:c>
      <ns0:c r="E105" s="0" t="str">
        <ns0:f>IFERROR(INDEX(Settings!$H$7:$H$11,MATCH(D105,Settings!$G$7:$G$11,0)),"")</ns0:f>
        <ns0:v/>
      </ns0:c>
      <ns0:c r="F105" s="0" t="str">
        <ns0:f>IF(A105=0,"",IFERROR(IF(OR(B105="",C105=0),"CHECK employee selection",IF(INDEX(Team!$O$11:$O$60,C105)&lt;&gt;"OK","CHECK employee setup",IF(OR('_Dates'!J105=0,'_Dates'!T105=0),"CHECK date: use DD.MM.YYYY",IF('_Dates'!T105&lt;'_Dates'!J105,"CHECK end before start",IF(AND($B$6=0,OR('_Dates'!J105&lt;Settings!$B$7,'_Dates'!T105&gt;Settings!$B$8)),"CHECK split across leave years",IF(OR(NOT(OR('_Dates'!U105="Full day",'_Dates'!U105="AM",'_Dates'!U105="PM")),NOT(OR('_Dates'!V105="Full day",'_Dates'!V105="AM",'_Dates'!V105="PM"))),"CHECK Full day / AM / PM",IF(AND('_Dates'!J105='_Dates'!T105,'_Dates'!U105&lt;&gt;"Full day",'_Dates'!V105&lt;&gt;"Full day",'_Dates'!U105&lt;&gt;'_Dates'!V105),"CHECK same-day portions disagree",IF(AND($B$6=0,OR(AND('_Dates'!U105&lt;&gt;"Full day",'_Dates'!AA105=0),AND('_Dates'!V105&lt;&gt;"Full day",'_Dates'!AB105=0))),"CHECK half-day on non-working date",IF(COUNTIF(Settings!$G$7:$G$11,D105)&lt;&gt;1,"CHECK leave type",IF(AND(Bookings!G105&lt;&gt;"Approved",Bookings!G105&lt;&gt;"Pending",Bookings!G105&lt;&gt;"Cancelled"),"CHECK status","OK")))))))))),"CHECK input"))</ns0:f>
        <ns0:v/>
      </ns0:c>
      <ns0:c r="G105" s="0">
        <ns0:f>IF(OR(F105&lt;&gt;"OK",$B$6&gt;0),0,0.5*(IF(('_Dates'!X105)&lt;('_Dates'!W105),0,INT((('_Dates'!X105)-('_Dates'!W105)+1)/7)*LEN(SUBSTITUTE(W105,"O",""))+LEN(SUBSTITUTE(MID(W105&amp;W105,WEEKDAY(('_Dates'!W105),2),MOD((('_Dates'!X105)-('_Dates'!W105)+1),7)),"O",""))-COUNTIFS(INDEX(AllClosureRows,C105,0),"&gt;="&amp;('_Dates'!W105),INDEX(AllClosureRows,C105,0),"&lt;="&amp;('_Dates'!X105)))+IF(('_Dates'!Z105)&lt;('_Dates'!Y105),0,INT((('_Dates'!Z105)-('_Dates'!Y105)+1)/7)*LEN(SUBSTITUTE(W105,"O",""))+LEN(SUBSTITUTE(MID(W105&amp;W105,WEEKDAY(('_Dates'!Y105),2),MOD((('_Dates'!Z105)-('_Dates'!Y105)+1),7)),"O",""))-COUNTIFS(INDEX(AllClosureRows,C105,0),"&gt;="&amp;('_Dates'!Y105),INDEX(AllClosureRows,C105,0),"&lt;="&amp;('_Dates'!Z105)))))</ns0:f>
        <ns0:v>0</ns0:v>
      </ns0:c>
      <ns0:c r="H105" s="0">
        <ns0:f>IF(OR(F105&lt;&gt;"OK",$B$6&gt;0),0,0.5*(IF((MIN('_Dates'!X105,Settings!$B$9))&lt;('_Dates'!W105),0,INT(((MIN('_Dates'!X105,Settings!$B$9))-('_Dates'!W105)+1)/7)*LEN(SUBSTITUTE(W105,"O",""))+LEN(SUBSTITUTE(MID(W105&amp;W105,WEEKDAY(('_Dates'!W105),2),MOD(((MIN('_Dates'!X105,Settings!$B$9))-('_Dates'!W105)+1),7)),"O",""))-COUNTIFS(INDEX(AllClosureRows,C105,0),"&gt;="&amp;('_Dates'!W105),INDEX(AllClosureRows,C105,0),"&lt;="&amp;(MIN('_Dates'!X105,Settings!$B$9))))+IF((MIN('_Dates'!Z105,Settings!$B$9))&lt;('_Dates'!Y105),0,INT(((MIN('_Dates'!Z105,Settings!$B$9))-('_Dates'!Y105)+1)/7)*LEN(SUBSTITUTE(W105,"O",""))+LEN(SUBSTITUTE(MID(W105&amp;W105,WEEKDAY(('_Dates'!Y105),2),MOD(((MIN('_Dates'!Z105,Settings!$B$9))-('_Dates'!Y105)+1),7)),"O",""))-COUNTIFS(INDEX(AllClosureRows,C105,0),"&gt;="&amp;('_Dates'!Y105),INDEX(AllClosureRows,C105,0),"&lt;="&amp;(MIN('_Dates'!Z105,Settings!$B$9))))))</ns0:f>
        <ns0:v>0</ns0:v>
      </ns0:c>
      <ns0:c r="I105" s="0">
        <ns0:f>MAX(0,G105-H105)</ns0:f>
        <ns0:v>0</ns0:v>
      </ns0:c>
      <ns0:c r="J105" s="0">
        <ns0:f>IF(OR(A105=0,F105&lt;&gt;"OK",Bookings!G105="Cancelled",$B$6&gt;0),0,IF('_Dates'!AC105=1,MAX(0,COUNTIFS(rngEngine_B,B105,rngAMStart,"&lt;="&amp;'_Dates'!X105,rngAMEnd,"&gt;="&amp;'_Dates'!W105,rngAMActive,1,rngEngine_F,"OK",rngBookings_F,"&lt;&gt;Cancelled")-1),0)+IF('_Dates'!AD105=1,MAX(0,COUNTIFS(rngEngine_B,B105,rngPMStart,"&lt;="&amp;'_Dates'!Z105,rngPMEnd,"&gt;="&amp;'_Dates'!Y105,rngPMActive,1,rngEngine_F,"OK",rngBookings_F,"&lt;&gt;Cancelled")-1),0))</ns0:f>
        <ns0:v>0</ns0:v>
      </ns0:c>
      <ns0:c r="K105" s="0" t="str">
        <ns0:f>IF(A105=0,"",IF(F105&lt;&gt;"OK",F105,IF(J105&gt;0,"CHECK overlapping entry",IF(AND($B$6=0,G105&lt;=0,Bookings!G105&lt;&gt;"Cancelled"),"CHECK no working days",IF(Bookings!G105="Cancelled","Cancelled","OK")))))</ns0:f>
        <ns0:v/>
      </ns0:c>
      <ns0:c r="L105" s="0">
        <ns0:f>IF(LEFT(K105,5)="CHECK",1,0)</ns0:f>
        <ns0:v>0</ns0:v>
      </ns0:c>
      <ns0:c r="M105" s="0">
        <ns0:f>IF(AND(L105=1,OR(C105=0,IFERROR(INDEX($X$11:$X$60,C105),0)=0)),1,0)</ns0:f>
        <ns0:v>0</ns0:v>
      </ns0:c>
      <ns0:c r="N105" s="0">
        <ns0:f>IF(OR(A105=0,L105&gt;0,$B$6&gt;0,Bookings!G105="Cancelled"),0,G105)</ns0:f>
        <ns0:v>0</ns0:v>
      </ns0:c>
      <ns0:c r="O105" s="0">
        <ns0:f>IF(AND(Bookings!G105="Approved",E105="Yes"),N105,0)</ns0:f>
        <ns0:v>0</ns0:v>
      </ns0:c>
      <ns0:c r="P105" s="0">
        <ns0:f>IF(AND(Bookings!G105="Approved",E105="Yes",L105=0,$B$6=0),H105,0)</ns0:f>
        <ns0:v>0</ns0:v>
      </ns0:c>
      <ns0:c r="Q105" s="0">
        <ns0:f>IF(AND(Bookings!G105="Approved",E105="Yes",L105=0,$B$6=0),I105,0)</ns0:f>
        <ns0:v>0</ns0:v>
      </ns0:c>
      <ns0:c r="R105" s="0">
        <ns0:f>IF(AND(Bookings!G105="Pending",E105="Yes"),N105,0)</ns0:f>
        <ns0:v>0</ns0:v>
      </ns0:c>
      <ns0:c r="S105" s="0">
        <ns0:f>IF(AND(Bookings!G105="Approved",E105="No"),N105,0)</ns0:f>
        <ns0:v>0</ns0:v>
      </ns0:c>
      <ns0:c r="T105" s="0">
        <ns0:f>IFERROR(MATCH(D105,Settings!$G$7:$G$11,0),0)</ns0:f>
        <ns0:v>0</ns0:v>
      </ns0:c>
      <ns0:c r="U105" s="0">
        <ns0:f>IF(N105&gt;0,T105+IF(Bookings!G105="Pending",10,0),0)</ns0:f>
        <ns0:v>0</ns0:v>
      </ns0:c>
      <ns0:c r="V105" s="0">
        <ns0:f>U105</ns0:f>
        <ns0:v>0</ns0:v>
      </ns0:c>
      <ns0:c r="W105" s="0" t="str">
        <ns0:f>IF(C105=0,"",INDEX($AP$11:$AP$60,C105))</ns0:f>
        <ns0:v/>
      </ns0:c>
    </ns0:row>
    <ns0:row r="106">
      <ns0:c r="A106" s="0">
        <ns0:f>IF(COUNTA(Bookings!A106:G106,Bookings!I106)=0,0,1)</ns0:f>
        <ns0:v>0</ns0:v>
      </ns0:c>
      <ns0:c r="B106" s="0" t="str">
        <ns0:f>IFERROR(TRIM(MID(Bookings!A106,FIND(" · ",Bookings!A106)+3,99)),"")</ns0:f>
        <ns0:v/>
      </ns0:c>
      <ns0:c r="C106" s="0">
        <ns0:f>IF(OR(B106="",LEN(B106)&gt;24,ISNUMBER(FIND(" ",B106)),ISNUMBER(FIND("*",B106)),ISNUMBER(FIND("?",B106)),ISNUMBER(FIND("~",B106))),0,IFERROR(MATCH(B106,Team!$A$11:$A$60,0),0))</ns0:f>
        <ns0:v>0</ns0:v>
      </ns0:c>
      <ns0:c r="D106" s="0" t="str">
        <ns0:f>IFERROR(IF(MID(Bookings!F106,LEN(Bookings!F106)-3,3)=" · ",RIGHT(Bookings!F106,1),""),"")</ns0:f>
        <ns0:v/>
      </ns0:c>
      <ns0:c r="E106" s="0" t="str">
        <ns0:f>IFERROR(INDEX(Settings!$H$7:$H$11,MATCH(D106,Settings!$G$7:$G$11,0)),"")</ns0:f>
        <ns0:v/>
      </ns0:c>
      <ns0:c r="F106" s="0" t="str">
        <ns0:f>IF(A106=0,"",IFERROR(IF(OR(B106="",C106=0),"CHECK employee selection",IF(INDEX(Team!$O$11:$O$60,C106)&lt;&gt;"OK","CHECK employee setup",IF(OR('_Dates'!J106=0,'_Dates'!T106=0),"CHECK date: use DD.MM.YYYY",IF('_Dates'!T106&lt;'_Dates'!J106,"CHECK end before start",IF(AND($B$6=0,OR('_Dates'!J106&lt;Settings!$B$7,'_Dates'!T106&gt;Settings!$B$8)),"CHECK split across leave years",IF(OR(NOT(OR('_Dates'!U106="Full day",'_Dates'!U106="AM",'_Dates'!U106="PM")),NOT(OR('_Dates'!V106="Full day",'_Dates'!V106="AM",'_Dates'!V106="PM"))),"CHECK Full day / AM / PM",IF(AND('_Dates'!J106='_Dates'!T106,'_Dates'!U106&lt;&gt;"Full day",'_Dates'!V106&lt;&gt;"Full day",'_Dates'!U106&lt;&gt;'_Dates'!V106),"CHECK same-day portions disagree",IF(AND($B$6=0,OR(AND('_Dates'!U106&lt;&gt;"Full day",'_Dates'!AA106=0),AND('_Dates'!V106&lt;&gt;"Full day",'_Dates'!AB106=0))),"CHECK half-day on non-working date",IF(COUNTIF(Settings!$G$7:$G$11,D106)&lt;&gt;1,"CHECK leave type",IF(AND(Bookings!G106&lt;&gt;"Approved",Bookings!G106&lt;&gt;"Pending",Bookings!G106&lt;&gt;"Cancelled"),"CHECK status","OK")))))))))),"CHECK input"))</ns0:f>
        <ns0:v/>
      </ns0:c>
      <ns0:c r="G106" s="0">
        <ns0:f>IF(OR(F106&lt;&gt;"OK",$B$6&gt;0),0,0.5*(IF(('_Dates'!X106)&lt;('_Dates'!W106),0,INT((('_Dates'!X106)-('_Dates'!W106)+1)/7)*LEN(SUBSTITUTE(W106,"O",""))+LEN(SUBSTITUTE(MID(W106&amp;W106,WEEKDAY(('_Dates'!W106),2),MOD((('_Dates'!X106)-('_Dates'!W106)+1),7)),"O",""))-COUNTIFS(INDEX(AllClosureRows,C106,0),"&gt;="&amp;('_Dates'!W106),INDEX(AllClosureRows,C106,0),"&lt;="&amp;('_Dates'!X106)))+IF(('_Dates'!Z106)&lt;('_Dates'!Y106),0,INT((('_Dates'!Z106)-('_Dates'!Y106)+1)/7)*LEN(SUBSTITUTE(W106,"O",""))+LEN(SUBSTITUTE(MID(W106&amp;W106,WEEKDAY(('_Dates'!Y106),2),MOD((('_Dates'!Z106)-('_Dates'!Y106)+1),7)),"O",""))-COUNTIFS(INDEX(AllClosureRows,C106,0),"&gt;="&amp;('_Dates'!Y106),INDEX(AllClosureRows,C106,0),"&lt;="&amp;('_Dates'!Z106)))))</ns0:f>
        <ns0:v>0</ns0:v>
      </ns0:c>
      <ns0:c r="H106" s="0">
        <ns0:f>IF(OR(F106&lt;&gt;"OK",$B$6&gt;0),0,0.5*(IF((MIN('_Dates'!X106,Settings!$B$9))&lt;('_Dates'!W106),0,INT(((MIN('_Dates'!X106,Settings!$B$9))-('_Dates'!W106)+1)/7)*LEN(SUBSTITUTE(W106,"O",""))+LEN(SUBSTITUTE(MID(W106&amp;W106,WEEKDAY(('_Dates'!W106),2),MOD(((MIN('_Dates'!X106,Settings!$B$9))-('_Dates'!W106)+1),7)),"O",""))-COUNTIFS(INDEX(AllClosureRows,C106,0),"&gt;="&amp;('_Dates'!W106),INDEX(AllClosureRows,C106,0),"&lt;="&amp;(MIN('_Dates'!X106,Settings!$B$9))))+IF((MIN('_Dates'!Z106,Settings!$B$9))&lt;('_Dates'!Y106),0,INT(((MIN('_Dates'!Z106,Settings!$B$9))-('_Dates'!Y106)+1)/7)*LEN(SUBSTITUTE(W106,"O",""))+LEN(SUBSTITUTE(MID(W106&amp;W106,WEEKDAY(('_Dates'!Y106),2),MOD(((MIN('_Dates'!Z106,Settings!$B$9))-('_Dates'!Y106)+1),7)),"O",""))-COUNTIFS(INDEX(AllClosureRows,C106,0),"&gt;="&amp;('_Dates'!Y106),INDEX(AllClosureRows,C106,0),"&lt;="&amp;(MIN('_Dates'!Z106,Settings!$B$9))))))</ns0:f>
        <ns0:v>0</ns0:v>
      </ns0:c>
      <ns0:c r="I106" s="0">
        <ns0:f>MAX(0,G106-H106)</ns0:f>
        <ns0:v>0</ns0:v>
      </ns0:c>
      <ns0:c r="J106" s="0">
        <ns0:f>IF(OR(A106=0,F106&lt;&gt;"OK",Bookings!G106="Cancelled",$B$6&gt;0),0,IF('_Dates'!AC106=1,MAX(0,COUNTIFS(rngEngine_B,B106,rngAMStart,"&lt;="&amp;'_Dates'!X106,rngAMEnd,"&gt;="&amp;'_Dates'!W106,rngAMActive,1,rngEngine_F,"OK",rngBookings_F,"&lt;&gt;Cancelled")-1),0)+IF('_Dates'!AD106=1,MAX(0,COUNTIFS(rngEngine_B,B106,rngPMStart,"&lt;="&amp;'_Dates'!Z106,rngPMEnd,"&gt;="&amp;'_Dates'!Y106,rngPMActive,1,rngEngine_F,"OK",rngBookings_F,"&lt;&gt;Cancelled")-1),0))</ns0:f>
        <ns0:v>0</ns0:v>
      </ns0:c>
      <ns0:c r="K106" s="0" t="str">
        <ns0:f>IF(A106=0,"",IF(F106&lt;&gt;"OK",F106,IF(J106&gt;0,"CHECK overlapping entry",IF(AND($B$6=0,G106&lt;=0,Bookings!G106&lt;&gt;"Cancelled"),"CHECK no working days",IF(Bookings!G106="Cancelled","Cancelled","OK")))))</ns0:f>
        <ns0:v/>
      </ns0:c>
      <ns0:c r="L106" s="0">
        <ns0:f>IF(LEFT(K106,5)="CHECK",1,0)</ns0:f>
        <ns0:v>0</ns0:v>
      </ns0:c>
      <ns0:c r="M106" s="0">
        <ns0:f>IF(AND(L106=1,OR(C106=0,IFERROR(INDEX($X$11:$X$60,C106),0)=0)),1,0)</ns0:f>
        <ns0:v>0</ns0:v>
      </ns0:c>
      <ns0:c r="N106" s="0">
        <ns0:f>IF(OR(A106=0,L106&gt;0,$B$6&gt;0,Bookings!G106="Cancelled"),0,G106)</ns0:f>
        <ns0:v>0</ns0:v>
      </ns0:c>
      <ns0:c r="O106" s="0">
        <ns0:f>IF(AND(Bookings!G106="Approved",E106="Yes"),N106,0)</ns0:f>
        <ns0:v>0</ns0:v>
      </ns0:c>
      <ns0:c r="P106" s="0">
        <ns0:f>IF(AND(Bookings!G106="Approved",E106="Yes",L106=0,$B$6=0),H106,0)</ns0:f>
        <ns0:v>0</ns0:v>
      </ns0:c>
      <ns0:c r="Q106" s="0">
        <ns0:f>IF(AND(Bookings!G106="Approved",E106="Yes",L106=0,$B$6=0),I106,0)</ns0:f>
        <ns0:v>0</ns0:v>
      </ns0:c>
      <ns0:c r="R106" s="0">
        <ns0:f>IF(AND(Bookings!G106="Pending",E106="Yes"),N106,0)</ns0:f>
        <ns0:v>0</ns0:v>
      </ns0:c>
      <ns0:c r="S106" s="0">
        <ns0:f>IF(AND(Bookings!G106="Approved",E106="No"),N106,0)</ns0:f>
        <ns0:v>0</ns0:v>
      </ns0:c>
      <ns0:c r="T106" s="0">
        <ns0:f>IFERROR(MATCH(D106,Settings!$G$7:$G$11,0),0)</ns0:f>
        <ns0:v>0</ns0:v>
      </ns0:c>
      <ns0:c r="U106" s="0">
        <ns0:f>IF(N106&gt;0,T106+IF(Bookings!G106="Pending",10,0),0)</ns0:f>
        <ns0:v>0</ns0:v>
      </ns0:c>
      <ns0:c r="V106" s="0">
        <ns0:f>U106</ns0:f>
        <ns0:v>0</ns0:v>
      </ns0:c>
      <ns0:c r="W106" s="0" t="str">
        <ns0:f>IF(C106=0,"",INDEX($AP$11:$AP$60,C106))</ns0:f>
        <ns0:v/>
      </ns0:c>
    </ns0:row>
    <ns0:row r="107">
      <ns0:c r="A107" s="0">
        <ns0:f>IF(COUNTA(Bookings!A107:G107,Bookings!I107)=0,0,1)</ns0:f>
        <ns0:v>0</ns0:v>
      </ns0:c>
      <ns0:c r="B107" s="0" t="str">
        <ns0:f>IFERROR(TRIM(MID(Bookings!A107,FIND(" · ",Bookings!A107)+3,99)),"")</ns0:f>
        <ns0:v/>
      </ns0:c>
      <ns0:c r="C107" s="0">
        <ns0:f>IF(OR(B107="",LEN(B107)&gt;24,ISNUMBER(FIND(" ",B107)),ISNUMBER(FIND("*",B107)),ISNUMBER(FIND("?",B107)),ISNUMBER(FIND("~",B107))),0,IFERROR(MATCH(B107,Team!$A$11:$A$60,0),0))</ns0:f>
        <ns0:v>0</ns0:v>
      </ns0:c>
      <ns0:c r="D107" s="0" t="str">
        <ns0:f>IFERROR(IF(MID(Bookings!F107,LEN(Bookings!F107)-3,3)=" · ",RIGHT(Bookings!F107,1),""),"")</ns0:f>
        <ns0:v/>
      </ns0:c>
      <ns0:c r="E107" s="0" t="str">
        <ns0:f>IFERROR(INDEX(Settings!$H$7:$H$11,MATCH(D107,Settings!$G$7:$G$11,0)),"")</ns0:f>
        <ns0:v/>
      </ns0:c>
      <ns0:c r="F107" s="0" t="str">
        <ns0:f>IF(A107=0,"",IFERROR(IF(OR(B107="",C107=0),"CHECK employee selection",IF(INDEX(Team!$O$11:$O$60,C107)&lt;&gt;"OK","CHECK employee setup",IF(OR('_Dates'!J107=0,'_Dates'!T107=0),"CHECK date: use DD.MM.YYYY",IF('_Dates'!T107&lt;'_Dates'!J107,"CHECK end before start",IF(AND($B$6=0,OR('_Dates'!J107&lt;Settings!$B$7,'_Dates'!T107&gt;Settings!$B$8)),"CHECK split across leave years",IF(OR(NOT(OR('_Dates'!U107="Full day",'_Dates'!U107="AM",'_Dates'!U107="PM")),NOT(OR('_Dates'!V107="Full day",'_Dates'!V107="AM",'_Dates'!V107="PM"))),"CHECK Full day / AM / PM",IF(AND('_Dates'!J107='_Dates'!T107,'_Dates'!U107&lt;&gt;"Full day",'_Dates'!V107&lt;&gt;"Full day",'_Dates'!U107&lt;&gt;'_Dates'!V107),"CHECK same-day portions disagree",IF(AND($B$6=0,OR(AND('_Dates'!U107&lt;&gt;"Full day",'_Dates'!AA107=0),AND('_Dates'!V107&lt;&gt;"Full day",'_Dates'!AB107=0))),"CHECK half-day on non-working date",IF(COUNTIF(Settings!$G$7:$G$11,D107)&lt;&gt;1,"CHECK leave type",IF(AND(Bookings!G107&lt;&gt;"Approved",Bookings!G107&lt;&gt;"Pending",Bookings!G107&lt;&gt;"Cancelled"),"CHECK status","OK")))))))))),"CHECK input"))</ns0:f>
        <ns0:v/>
      </ns0:c>
      <ns0:c r="G107" s="0">
        <ns0:f>IF(OR(F107&lt;&gt;"OK",$B$6&gt;0),0,0.5*(IF(('_Dates'!X107)&lt;('_Dates'!W107),0,INT((('_Dates'!X107)-('_Dates'!W107)+1)/7)*LEN(SUBSTITUTE(W107,"O",""))+LEN(SUBSTITUTE(MID(W107&amp;W107,WEEKDAY(('_Dates'!W107),2),MOD((('_Dates'!X107)-('_Dates'!W107)+1),7)),"O",""))-COUNTIFS(INDEX(AllClosureRows,C107,0),"&gt;="&amp;('_Dates'!W107),INDEX(AllClosureRows,C107,0),"&lt;="&amp;('_Dates'!X107)))+IF(('_Dates'!Z107)&lt;('_Dates'!Y107),0,INT((('_Dates'!Z107)-('_Dates'!Y107)+1)/7)*LEN(SUBSTITUTE(W107,"O",""))+LEN(SUBSTITUTE(MID(W107&amp;W107,WEEKDAY(('_Dates'!Y107),2),MOD((('_Dates'!Z107)-('_Dates'!Y107)+1),7)),"O",""))-COUNTIFS(INDEX(AllClosureRows,C107,0),"&gt;="&amp;('_Dates'!Y107),INDEX(AllClosureRows,C107,0),"&lt;="&amp;('_Dates'!Z107)))))</ns0:f>
        <ns0:v>0</ns0:v>
      </ns0:c>
      <ns0:c r="H107" s="0">
        <ns0:f>IF(OR(F107&lt;&gt;"OK",$B$6&gt;0),0,0.5*(IF((MIN('_Dates'!X107,Settings!$B$9))&lt;('_Dates'!W107),0,INT(((MIN('_Dates'!X107,Settings!$B$9))-('_Dates'!W107)+1)/7)*LEN(SUBSTITUTE(W107,"O",""))+LEN(SUBSTITUTE(MID(W107&amp;W107,WEEKDAY(('_Dates'!W107),2),MOD(((MIN('_Dates'!X107,Settings!$B$9))-('_Dates'!W107)+1),7)),"O",""))-COUNTIFS(INDEX(AllClosureRows,C107,0),"&gt;="&amp;('_Dates'!W107),INDEX(AllClosureRows,C107,0),"&lt;="&amp;(MIN('_Dates'!X107,Settings!$B$9))))+IF((MIN('_Dates'!Z107,Settings!$B$9))&lt;('_Dates'!Y107),0,INT(((MIN('_Dates'!Z107,Settings!$B$9))-('_Dates'!Y107)+1)/7)*LEN(SUBSTITUTE(W107,"O",""))+LEN(SUBSTITUTE(MID(W107&amp;W107,WEEKDAY(('_Dates'!Y107),2),MOD(((MIN('_Dates'!Z107,Settings!$B$9))-('_Dates'!Y107)+1),7)),"O",""))-COUNTIFS(INDEX(AllClosureRows,C107,0),"&gt;="&amp;('_Dates'!Y107),INDEX(AllClosureRows,C107,0),"&lt;="&amp;(MIN('_Dates'!Z107,Settings!$B$9))))))</ns0:f>
        <ns0:v>0</ns0:v>
      </ns0:c>
      <ns0:c r="I107" s="0">
        <ns0:f>MAX(0,G107-H107)</ns0:f>
        <ns0:v>0</ns0:v>
      </ns0:c>
      <ns0:c r="J107" s="0">
        <ns0:f>IF(OR(A107=0,F107&lt;&gt;"OK",Bookings!G107="Cancelled",$B$6&gt;0),0,IF('_Dates'!AC107=1,MAX(0,COUNTIFS(rngEngine_B,B107,rngAMStart,"&lt;="&amp;'_Dates'!X107,rngAMEnd,"&gt;="&amp;'_Dates'!W107,rngAMActive,1,rngEngine_F,"OK",rngBookings_F,"&lt;&gt;Cancelled")-1),0)+IF('_Dates'!AD107=1,MAX(0,COUNTIFS(rngEngine_B,B107,rngPMStart,"&lt;="&amp;'_Dates'!Z107,rngPMEnd,"&gt;="&amp;'_Dates'!Y107,rngPMActive,1,rngEngine_F,"OK",rngBookings_F,"&lt;&gt;Cancelled")-1),0))</ns0:f>
        <ns0:v>0</ns0:v>
      </ns0:c>
      <ns0:c r="K107" s="0" t="str">
        <ns0:f>IF(A107=0,"",IF(F107&lt;&gt;"OK",F107,IF(J107&gt;0,"CHECK overlapping entry",IF(AND($B$6=0,G107&lt;=0,Bookings!G107&lt;&gt;"Cancelled"),"CHECK no working days",IF(Bookings!G107="Cancelled","Cancelled","OK")))))</ns0:f>
        <ns0:v/>
      </ns0:c>
      <ns0:c r="L107" s="0">
        <ns0:f>IF(LEFT(K107,5)="CHECK",1,0)</ns0:f>
        <ns0:v>0</ns0:v>
      </ns0:c>
      <ns0:c r="M107" s="0">
        <ns0:f>IF(AND(L107=1,OR(C107=0,IFERROR(INDEX($X$11:$X$60,C107),0)=0)),1,0)</ns0:f>
        <ns0:v>0</ns0:v>
      </ns0:c>
      <ns0:c r="N107" s="0">
        <ns0:f>IF(OR(A107=0,L107&gt;0,$B$6&gt;0,Bookings!G107="Cancelled"),0,G107)</ns0:f>
        <ns0:v>0</ns0:v>
      </ns0:c>
      <ns0:c r="O107" s="0">
        <ns0:f>IF(AND(Bookings!G107="Approved",E107="Yes"),N107,0)</ns0:f>
        <ns0:v>0</ns0:v>
      </ns0:c>
      <ns0:c r="P107" s="0">
        <ns0:f>IF(AND(Bookings!G107="Approved",E107="Yes",L107=0,$B$6=0),H107,0)</ns0:f>
        <ns0:v>0</ns0:v>
      </ns0:c>
      <ns0:c r="Q107" s="0">
        <ns0:f>IF(AND(Bookings!G107="Approved",E107="Yes",L107=0,$B$6=0),I107,0)</ns0:f>
        <ns0:v>0</ns0:v>
      </ns0:c>
      <ns0:c r="R107" s="0">
        <ns0:f>IF(AND(Bookings!G107="Pending",E107="Yes"),N107,0)</ns0:f>
        <ns0:v>0</ns0:v>
      </ns0:c>
      <ns0:c r="S107" s="0">
        <ns0:f>IF(AND(Bookings!G107="Approved",E107="No"),N107,0)</ns0:f>
        <ns0:v>0</ns0:v>
      </ns0:c>
      <ns0:c r="T107" s="0">
        <ns0:f>IFERROR(MATCH(D107,Settings!$G$7:$G$11,0),0)</ns0:f>
        <ns0:v>0</ns0:v>
      </ns0:c>
      <ns0:c r="U107" s="0">
        <ns0:f>IF(N107&gt;0,T107+IF(Bookings!G107="Pending",10,0),0)</ns0:f>
        <ns0:v>0</ns0:v>
      </ns0:c>
      <ns0:c r="V107" s="0">
        <ns0:f>U107</ns0:f>
        <ns0:v>0</ns0:v>
      </ns0:c>
      <ns0:c r="W107" s="0" t="str">
        <ns0:f>IF(C107=0,"",INDEX($AP$11:$AP$60,C107))</ns0:f>
        <ns0:v/>
      </ns0:c>
    </ns0:row>
    <ns0:row r="108">
      <ns0:c r="A108" s="0">
        <ns0:f>IF(COUNTA(Bookings!A108:G108,Bookings!I108)=0,0,1)</ns0:f>
        <ns0:v>0</ns0:v>
      </ns0:c>
      <ns0:c r="B108" s="0" t="str">
        <ns0:f>IFERROR(TRIM(MID(Bookings!A108,FIND(" · ",Bookings!A108)+3,99)),"")</ns0:f>
        <ns0:v/>
      </ns0:c>
      <ns0:c r="C108" s="0">
        <ns0:f>IF(OR(B108="",LEN(B108)&gt;24,ISNUMBER(FIND(" ",B108)),ISNUMBER(FIND("*",B108)),ISNUMBER(FIND("?",B108)),ISNUMBER(FIND("~",B108))),0,IFERROR(MATCH(B108,Team!$A$11:$A$60,0),0))</ns0:f>
        <ns0:v>0</ns0:v>
      </ns0:c>
      <ns0:c r="D108" s="0" t="str">
        <ns0:f>IFERROR(IF(MID(Bookings!F108,LEN(Bookings!F108)-3,3)=" · ",RIGHT(Bookings!F108,1),""),"")</ns0:f>
        <ns0:v/>
      </ns0:c>
      <ns0:c r="E108" s="0" t="str">
        <ns0:f>IFERROR(INDEX(Settings!$H$7:$H$11,MATCH(D108,Settings!$G$7:$G$11,0)),"")</ns0:f>
        <ns0:v/>
      </ns0:c>
      <ns0:c r="F108" s="0" t="str">
        <ns0:f>IF(A108=0,"",IFERROR(IF(OR(B108="",C108=0),"CHECK employee selection",IF(INDEX(Team!$O$11:$O$60,C108)&lt;&gt;"OK","CHECK employee setup",IF(OR('_Dates'!J108=0,'_Dates'!T108=0),"CHECK date: use DD.MM.YYYY",IF('_Dates'!T108&lt;'_Dates'!J108,"CHECK end before start",IF(AND($B$6=0,OR('_Dates'!J108&lt;Settings!$B$7,'_Dates'!T108&gt;Settings!$B$8)),"CHECK split across leave years",IF(OR(NOT(OR('_Dates'!U108="Full day",'_Dates'!U108="AM",'_Dates'!U108="PM")),NOT(OR('_Dates'!V108="Full day",'_Dates'!V108="AM",'_Dates'!V108="PM"))),"CHECK Full day / AM / PM",IF(AND('_Dates'!J108='_Dates'!T108,'_Dates'!U108&lt;&gt;"Full day",'_Dates'!V108&lt;&gt;"Full day",'_Dates'!U108&lt;&gt;'_Dates'!V108),"CHECK same-day portions disagree",IF(AND($B$6=0,OR(AND('_Dates'!U108&lt;&gt;"Full day",'_Dates'!AA108=0),AND('_Dates'!V108&lt;&gt;"Full day",'_Dates'!AB108=0))),"CHECK half-day on non-working date",IF(COUNTIF(Settings!$G$7:$G$11,D108)&lt;&gt;1,"CHECK leave type",IF(AND(Bookings!G108&lt;&gt;"Approved",Bookings!G108&lt;&gt;"Pending",Bookings!G108&lt;&gt;"Cancelled"),"CHECK status","OK")))))))))),"CHECK input"))</ns0:f>
        <ns0:v/>
      </ns0:c>
      <ns0:c r="G108" s="0">
        <ns0:f>IF(OR(F108&lt;&gt;"OK",$B$6&gt;0),0,0.5*(IF(('_Dates'!X108)&lt;('_Dates'!W108),0,INT((('_Dates'!X108)-('_Dates'!W108)+1)/7)*LEN(SUBSTITUTE(W108,"O",""))+LEN(SUBSTITUTE(MID(W108&amp;W108,WEEKDAY(('_Dates'!W108),2),MOD((('_Dates'!X108)-('_Dates'!W108)+1),7)),"O",""))-COUNTIFS(INDEX(AllClosureRows,C108,0),"&gt;="&amp;('_Dates'!W108),INDEX(AllClosureRows,C108,0),"&lt;="&amp;('_Dates'!X108)))+IF(('_Dates'!Z108)&lt;('_Dates'!Y108),0,INT((('_Dates'!Z108)-('_Dates'!Y108)+1)/7)*LEN(SUBSTITUTE(W108,"O",""))+LEN(SUBSTITUTE(MID(W108&amp;W108,WEEKDAY(('_Dates'!Y108),2),MOD((('_Dates'!Z108)-('_Dates'!Y108)+1),7)),"O",""))-COUNTIFS(INDEX(AllClosureRows,C108,0),"&gt;="&amp;('_Dates'!Y108),INDEX(AllClosureRows,C108,0),"&lt;="&amp;('_Dates'!Z108)))))</ns0:f>
        <ns0:v>0</ns0:v>
      </ns0:c>
      <ns0:c r="H108" s="0">
        <ns0:f>IF(OR(F108&lt;&gt;"OK",$B$6&gt;0),0,0.5*(IF((MIN('_Dates'!X108,Settings!$B$9))&lt;('_Dates'!W108),0,INT(((MIN('_Dates'!X108,Settings!$B$9))-('_Dates'!W108)+1)/7)*LEN(SUBSTITUTE(W108,"O",""))+LEN(SUBSTITUTE(MID(W108&amp;W108,WEEKDAY(('_Dates'!W108),2),MOD(((MIN('_Dates'!X108,Settings!$B$9))-('_Dates'!W108)+1),7)),"O",""))-COUNTIFS(INDEX(AllClosureRows,C108,0),"&gt;="&amp;('_Dates'!W108),INDEX(AllClosureRows,C108,0),"&lt;="&amp;(MIN('_Dates'!X108,Settings!$B$9))))+IF((MIN('_Dates'!Z108,Settings!$B$9))&lt;('_Dates'!Y108),0,INT(((MIN('_Dates'!Z108,Settings!$B$9))-('_Dates'!Y108)+1)/7)*LEN(SUBSTITUTE(W108,"O",""))+LEN(SUBSTITUTE(MID(W108&amp;W108,WEEKDAY(('_Dates'!Y108),2),MOD(((MIN('_Dates'!Z108,Settings!$B$9))-('_Dates'!Y108)+1),7)),"O",""))-COUNTIFS(INDEX(AllClosureRows,C108,0),"&gt;="&amp;('_Dates'!Y108),INDEX(AllClosureRows,C108,0),"&lt;="&amp;(MIN('_Dates'!Z108,Settings!$B$9))))))</ns0:f>
        <ns0:v>0</ns0:v>
      </ns0:c>
      <ns0:c r="I108" s="0">
        <ns0:f>MAX(0,G108-H108)</ns0:f>
        <ns0:v>0</ns0:v>
      </ns0:c>
      <ns0:c r="J108" s="0">
        <ns0:f>IF(OR(A108=0,F108&lt;&gt;"OK",Bookings!G108="Cancelled",$B$6&gt;0),0,IF('_Dates'!AC108=1,MAX(0,COUNTIFS(rngEngine_B,B108,rngAMStart,"&lt;="&amp;'_Dates'!X108,rngAMEnd,"&gt;="&amp;'_Dates'!W108,rngAMActive,1,rngEngine_F,"OK",rngBookings_F,"&lt;&gt;Cancelled")-1),0)+IF('_Dates'!AD108=1,MAX(0,COUNTIFS(rngEngine_B,B108,rngPMStart,"&lt;="&amp;'_Dates'!Z108,rngPMEnd,"&gt;="&amp;'_Dates'!Y108,rngPMActive,1,rngEngine_F,"OK",rngBookings_F,"&lt;&gt;Cancelled")-1),0))</ns0:f>
        <ns0:v>0</ns0:v>
      </ns0:c>
      <ns0:c r="K108" s="0" t="str">
        <ns0:f>IF(A108=0,"",IF(F108&lt;&gt;"OK",F108,IF(J108&gt;0,"CHECK overlapping entry",IF(AND($B$6=0,G108&lt;=0,Bookings!G108&lt;&gt;"Cancelled"),"CHECK no working days",IF(Bookings!G108="Cancelled","Cancelled","OK")))))</ns0:f>
        <ns0:v/>
      </ns0:c>
      <ns0:c r="L108" s="0">
        <ns0:f>IF(LEFT(K108,5)="CHECK",1,0)</ns0:f>
        <ns0:v>0</ns0:v>
      </ns0:c>
      <ns0:c r="M108" s="0">
        <ns0:f>IF(AND(L108=1,OR(C108=0,IFERROR(INDEX($X$11:$X$60,C108),0)=0)),1,0)</ns0:f>
        <ns0:v>0</ns0:v>
      </ns0:c>
      <ns0:c r="N108" s="0">
        <ns0:f>IF(OR(A108=0,L108&gt;0,$B$6&gt;0,Bookings!G108="Cancelled"),0,G108)</ns0:f>
        <ns0:v>0</ns0:v>
      </ns0:c>
      <ns0:c r="O108" s="0">
        <ns0:f>IF(AND(Bookings!G108="Approved",E108="Yes"),N108,0)</ns0:f>
        <ns0:v>0</ns0:v>
      </ns0:c>
      <ns0:c r="P108" s="0">
        <ns0:f>IF(AND(Bookings!G108="Approved",E108="Yes",L108=0,$B$6=0),H108,0)</ns0:f>
        <ns0:v>0</ns0:v>
      </ns0:c>
      <ns0:c r="Q108" s="0">
        <ns0:f>IF(AND(Bookings!G108="Approved",E108="Yes",L108=0,$B$6=0),I108,0)</ns0:f>
        <ns0:v>0</ns0:v>
      </ns0:c>
      <ns0:c r="R108" s="0">
        <ns0:f>IF(AND(Bookings!G108="Pending",E108="Yes"),N108,0)</ns0:f>
        <ns0:v>0</ns0:v>
      </ns0:c>
      <ns0:c r="S108" s="0">
        <ns0:f>IF(AND(Bookings!G108="Approved",E108="No"),N108,0)</ns0:f>
        <ns0:v>0</ns0:v>
      </ns0:c>
      <ns0:c r="T108" s="0">
        <ns0:f>IFERROR(MATCH(D108,Settings!$G$7:$G$11,0),0)</ns0:f>
        <ns0:v>0</ns0:v>
      </ns0:c>
      <ns0:c r="U108" s="0">
        <ns0:f>IF(N108&gt;0,T108+IF(Bookings!G108="Pending",10,0),0)</ns0:f>
        <ns0:v>0</ns0:v>
      </ns0:c>
      <ns0:c r="V108" s="0">
        <ns0:f>U108</ns0:f>
        <ns0:v>0</ns0:v>
      </ns0:c>
      <ns0:c r="W108" s="0" t="str">
        <ns0:f>IF(C108=0,"",INDEX($AP$11:$AP$60,C108))</ns0:f>
        <ns0:v/>
      </ns0:c>
    </ns0:row>
    <ns0:row r="109">
      <ns0:c r="A109" s="0">
        <ns0:f>IF(COUNTA(Bookings!A109:G109,Bookings!I109)=0,0,1)</ns0:f>
        <ns0:v>0</ns0:v>
      </ns0:c>
      <ns0:c r="B109" s="0" t="str">
        <ns0:f>IFERROR(TRIM(MID(Bookings!A109,FIND(" · ",Bookings!A109)+3,99)),"")</ns0:f>
        <ns0:v/>
      </ns0:c>
      <ns0:c r="C109" s="0">
        <ns0:f>IF(OR(B109="",LEN(B109)&gt;24,ISNUMBER(FIND(" ",B109)),ISNUMBER(FIND("*",B109)),ISNUMBER(FIND("?",B109)),ISNUMBER(FIND("~",B109))),0,IFERROR(MATCH(B109,Team!$A$11:$A$60,0),0))</ns0:f>
        <ns0:v>0</ns0:v>
      </ns0:c>
      <ns0:c r="D109" s="0" t="str">
        <ns0:f>IFERROR(IF(MID(Bookings!F109,LEN(Bookings!F109)-3,3)=" · ",RIGHT(Bookings!F109,1),""),"")</ns0:f>
        <ns0:v/>
      </ns0:c>
      <ns0:c r="E109" s="0" t="str">
        <ns0:f>IFERROR(INDEX(Settings!$H$7:$H$11,MATCH(D109,Settings!$G$7:$G$11,0)),"")</ns0:f>
        <ns0:v/>
      </ns0:c>
      <ns0:c r="F109" s="0" t="str">
        <ns0:f>IF(A109=0,"",IFERROR(IF(OR(B109="",C109=0),"CHECK employee selection",IF(INDEX(Team!$O$11:$O$60,C109)&lt;&gt;"OK","CHECK employee setup",IF(OR('_Dates'!J109=0,'_Dates'!T109=0),"CHECK date: use DD.MM.YYYY",IF('_Dates'!T109&lt;'_Dates'!J109,"CHECK end before start",IF(AND($B$6=0,OR('_Dates'!J109&lt;Settings!$B$7,'_Dates'!T109&gt;Settings!$B$8)),"CHECK split across leave years",IF(OR(NOT(OR('_Dates'!U109="Full day",'_Dates'!U109="AM",'_Dates'!U109="PM")),NOT(OR('_Dates'!V109="Full day",'_Dates'!V109="AM",'_Dates'!V109="PM"))),"CHECK Full day / AM / PM",IF(AND('_Dates'!J109='_Dates'!T109,'_Dates'!U109&lt;&gt;"Full day",'_Dates'!V109&lt;&gt;"Full day",'_Dates'!U109&lt;&gt;'_Dates'!V109),"CHECK same-day portions disagree",IF(AND($B$6=0,OR(AND('_Dates'!U109&lt;&gt;"Full day",'_Dates'!AA109=0),AND('_Dates'!V109&lt;&gt;"Full day",'_Dates'!AB109=0))),"CHECK half-day on non-working date",IF(COUNTIF(Settings!$G$7:$G$11,D109)&lt;&gt;1,"CHECK leave type",IF(AND(Bookings!G109&lt;&gt;"Approved",Bookings!G109&lt;&gt;"Pending",Bookings!G109&lt;&gt;"Cancelled"),"CHECK status","OK")))))))))),"CHECK input"))</ns0:f>
        <ns0:v/>
      </ns0:c>
      <ns0:c r="G109" s="0">
        <ns0:f>IF(OR(F109&lt;&gt;"OK",$B$6&gt;0),0,0.5*(IF(('_Dates'!X109)&lt;('_Dates'!W109),0,INT((('_Dates'!X109)-('_Dates'!W109)+1)/7)*LEN(SUBSTITUTE(W109,"O",""))+LEN(SUBSTITUTE(MID(W109&amp;W109,WEEKDAY(('_Dates'!W109),2),MOD((('_Dates'!X109)-('_Dates'!W109)+1),7)),"O",""))-COUNTIFS(INDEX(AllClosureRows,C109,0),"&gt;="&amp;('_Dates'!W109),INDEX(AllClosureRows,C109,0),"&lt;="&amp;('_Dates'!X109)))+IF(('_Dates'!Z109)&lt;('_Dates'!Y109),0,INT((('_Dates'!Z109)-('_Dates'!Y109)+1)/7)*LEN(SUBSTITUTE(W109,"O",""))+LEN(SUBSTITUTE(MID(W109&amp;W109,WEEKDAY(('_Dates'!Y109),2),MOD((('_Dates'!Z109)-('_Dates'!Y109)+1),7)),"O",""))-COUNTIFS(INDEX(AllClosureRows,C109,0),"&gt;="&amp;('_Dates'!Y109),INDEX(AllClosureRows,C109,0),"&lt;="&amp;('_Dates'!Z109)))))</ns0:f>
        <ns0:v>0</ns0:v>
      </ns0:c>
      <ns0:c r="H109" s="0">
        <ns0:f>IF(OR(F109&lt;&gt;"OK",$B$6&gt;0),0,0.5*(IF((MIN('_Dates'!X109,Settings!$B$9))&lt;('_Dates'!W109),0,INT(((MIN('_Dates'!X109,Settings!$B$9))-('_Dates'!W109)+1)/7)*LEN(SUBSTITUTE(W109,"O",""))+LEN(SUBSTITUTE(MID(W109&amp;W109,WEEKDAY(('_Dates'!W109),2),MOD(((MIN('_Dates'!X109,Settings!$B$9))-('_Dates'!W109)+1),7)),"O",""))-COUNTIFS(INDEX(AllClosureRows,C109,0),"&gt;="&amp;('_Dates'!W109),INDEX(AllClosureRows,C109,0),"&lt;="&amp;(MIN('_Dates'!X109,Settings!$B$9))))+IF((MIN('_Dates'!Z109,Settings!$B$9))&lt;('_Dates'!Y109),0,INT(((MIN('_Dates'!Z109,Settings!$B$9))-('_Dates'!Y109)+1)/7)*LEN(SUBSTITUTE(W109,"O",""))+LEN(SUBSTITUTE(MID(W109&amp;W109,WEEKDAY(('_Dates'!Y109),2),MOD(((MIN('_Dates'!Z109,Settings!$B$9))-('_Dates'!Y109)+1),7)),"O",""))-COUNTIFS(INDEX(AllClosureRows,C109,0),"&gt;="&amp;('_Dates'!Y109),INDEX(AllClosureRows,C109,0),"&lt;="&amp;(MIN('_Dates'!Z109,Settings!$B$9))))))</ns0:f>
        <ns0:v>0</ns0:v>
      </ns0:c>
      <ns0:c r="I109" s="0">
        <ns0:f>MAX(0,G109-H109)</ns0:f>
        <ns0:v>0</ns0:v>
      </ns0:c>
      <ns0:c r="J109" s="0">
        <ns0:f>IF(OR(A109=0,F109&lt;&gt;"OK",Bookings!G109="Cancelled",$B$6&gt;0),0,IF('_Dates'!AC109=1,MAX(0,COUNTIFS(rngEngine_B,B109,rngAMStart,"&lt;="&amp;'_Dates'!X109,rngAMEnd,"&gt;="&amp;'_Dates'!W109,rngAMActive,1,rngEngine_F,"OK",rngBookings_F,"&lt;&gt;Cancelled")-1),0)+IF('_Dates'!AD109=1,MAX(0,COUNTIFS(rngEngine_B,B109,rngPMStart,"&lt;="&amp;'_Dates'!Z109,rngPMEnd,"&gt;="&amp;'_Dates'!Y109,rngPMActive,1,rngEngine_F,"OK",rngBookings_F,"&lt;&gt;Cancelled")-1),0))</ns0:f>
        <ns0:v>0</ns0:v>
      </ns0:c>
      <ns0:c r="K109" s="0" t="str">
        <ns0:f>IF(A109=0,"",IF(F109&lt;&gt;"OK",F109,IF(J109&gt;0,"CHECK overlapping entry",IF(AND($B$6=0,G109&lt;=0,Bookings!G109&lt;&gt;"Cancelled"),"CHECK no working days",IF(Bookings!G109="Cancelled","Cancelled","OK")))))</ns0:f>
        <ns0:v/>
      </ns0:c>
      <ns0:c r="L109" s="0">
        <ns0:f>IF(LEFT(K109,5)="CHECK",1,0)</ns0:f>
        <ns0:v>0</ns0:v>
      </ns0:c>
      <ns0:c r="M109" s="0">
        <ns0:f>IF(AND(L109=1,OR(C109=0,IFERROR(INDEX($X$11:$X$60,C109),0)=0)),1,0)</ns0:f>
        <ns0:v>0</ns0:v>
      </ns0:c>
      <ns0:c r="N109" s="0">
        <ns0:f>IF(OR(A109=0,L109&gt;0,$B$6&gt;0,Bookings!G109="Cancelled"),0,G109)</ns0:f>
        <ns0:v>0</ns0:v>
      </ns0:c>
      <ns0:c r="O109" s="0">
        <ns0:f>IF(AND(Bookings!G109="Approved",E109="Yes"),N109,0)</ns0:f>
        <ns0:v>0</ns0:v>
      </ns0:c>
      <ns0:c r="P109" s="0">
        <ns0:f>IF(AND(Bookings!G109="Approved",E109="Yes",L109=0,$B$6=0),H109,0)</ns0:f>
        <ns0:v>0</ns0:v>
      </ns0:c>
      <ns0:c r="Q109" s="0">
        <ns0:f>IF(AND(Bookings!G109="Approved",E109="Yes",L109=0,$B$6=0),I109,0)</ns0:f>
        <ns0:v>0</ns0:v>
      </ns0:c>
      <ns0:c r="R109" s="0">
        <ns0:f>IF(AND(Bookings!G109="Pending",E109="Yes"),N109,0)</ns0:f>
        <ns0:v>0</ns0:v>
      </ns0:c>
      <ns0:c r="S109" s="0">
        <ns0:f>IF(AND(Bookings!G109="Approved",E109="No"),N109,0)</ns0:f>
        <ns0:v>0</ns0:v>
      </ns0:c>
      <ns0:c r="T109" s="0">
        <ns0:f>IFERROR(MATCH(D109,Settings!$G$7:$G$11,0),0)</ns0:f>
        <ns0:v>0</ns0:v>
      </ns0:c>
      <ns0:c r="U109" s="0">
        <ns0:f>IF(N109&gt;0,T109+IF(Bookings!G109="Pending",10,0),0)</ns0:f>
        <ns0:v>0</ns0:v>
      </ns0:c>
      <ns0:c r="V109" s="0">
        <ns0:f>U109</ns0:f>
        <ns0:v>0</ns0:v>
      </ns0:c>
      <ns0:c r="W109" s="0" t="str">
        <ns0:f>IF(C109=0,"",INDEX($AP$11:$AP$60,C109))</ns0:f>
        <ns0:v/>
      </ns0:c>
    </ns0:row>
    <ns0:row r="110">
      <ns0:c r="A110" s="0">
        <ns0:f>IF(COUNTA(Bookings!A110:G110,Bookings!I110)=0,0,1)</ns0:f>
        <ns0:v>0</ns0:v>
      </ns0:c>
      <ns0:c r="B110" s="0" t="str">
        <ns0:f>IFERROR(TRIM(MID(Bookings!A110,FIND(" · ",Bookings!A110)+3,99)),"")</ns0:f>
        <ns0:v/>
      </ns0:c>
      <ns0:c r="C110" s="0">
        <ns0:f>IF(OR(B110="",LEN(B110)&gt;24,ISNUMBER(FIND(" ",B110)),ISNUMBER(FIND("*",B110)),ISNUMBER(FIND("?",B110)),ISNUMBER(FIND("~",B110))),0,IFERROR(MATCH(B110,Team!$A$11:$A$60,0),0))</ns0:f>
        <ns0:v>0</ns0:v>
      </ns0:c>
      <ns0:c r="D110" s="0" t="str">
        <ns0:f>IFERROR(IF(MID(Bookings!F110,LEN(Bookings!F110)-3,3)=" · ",RIGHT(Bookings!F110,1),""),"")</ns0:f>
        <ns0:v/>
      </ns0:c>
      <ns0:c r="E110" s="0" t="str">
        <ns0:f>IFERROR(INDEX(Settings!$H$7:$H$11,MATCH(D110,Settings!$G$7:$G$11,0)),"")</ns0:f>
        <ns0:v/>
      </ns0:c>
      <ns0:c r="F110" s="0" t="str">
        <ns0:f>IF(A110=0,"",IFERROR(IF(OR(B110="",C110=0),"CHECK employee selection",IF(INDEX(Team!$O$11:$O$60,C110)&lt;&gt;"OK","CHECK employee setup",IF(OR('_Dates'!J110=0,'_Dates'!T110=0),"CHECK date: use DD.MM.YYYY",IF('_Dates'!T110&lt;'_Dates'!J110,"CHECK end before start",IF(AND($B$6=0,OR('_Dates'!J110&lt;Settings!$B$7,'_Dates'!T110&gt;Settings!$B$8)),"CHECK split across leave years",IF(OR(NOT(OR('_Dates'!U110="Full day",'_Dates'!U110="AM",'_Dates'!U110="PM")),NOT(OR('_Dates'!V110="Full day",'_Dates'!V110="AM",'_Dates'!V110="PM"))),"CHECK Full day / AM / PM",IF(AND('_Dates'!J110='_Dates'!T110,'_Dates'!U110&lt;&gt;"Full day",'_Dates'!V110&lt;&gt;"Full day",'_Dates'!U110&lt;&gt;'_Dates'!V110),"CHECK same-day portions disagree",IF(AND($B$6=0,OR(AND('_Dates'!U110&lt;&gt;"Full day",'_Dates'!AA110=0),AND('_Dates'!V110&lt;&gt;"Full day",'_Dates'!AB110=0))),"CHECK half-day on non-working date",IF(COUNTIF(Settings!$G$7:$G$11,D110)&lt;&gt;1,"CHECK leave type",IF(AND(Bookings!G110&lt;&gt;"Approved",Bookings!G110&lt;&gt;"Pending",Bookings!G110&lt;&gt;"Cancelled"),"CHECK status","OK")))))))))),"CHECK input"))</ns0:f>
        <ns0:v/>
      </ns0:c>
      <ns0:c r="G110" s="0">
        <ns0:f>IF(OR(F110&lt;&gt;"OK",$B$6&gt;0),0,0.5*(IF(('_Dates'!X110)&lt;('_Dates'!W110),0,INT((('_Dates'!X110)-('_Dates'!W110)+1)/7)*LEN(SUBSTITUTE(W110,"O",""))+LEN(SUBSTITUTE(MID(W110&amp;W110,WEEKDAY(('_Dates'!W110),2),MOD((('_Dates'!X110)-('_Dates'!W110)+1),7)),"O",""))-COUNTIFS(INDEX(AllClosureRows,C110,0),"&gt;="&amp;('_Dates'!W110),INDEX(AllClosureRows,C110,0),"&lt;="&amp;('_Dates'!X110)))+IF(('_Dates'!Z110)&lt;('_Dates'!Y110),0,INT((('_Dates'!Z110)-('_Dates'!Y110)+1)/7)*LEN(SUBSTITUTE(W110,"O",""))+LEN(SUBSTITUTE(MID(W110&amp;W110,WEEKDAY(('_Dates'!Y110),2),MOD((('_Dates'!Z110)-('_Dates'!Y110)+1),7)),"O",""))-COUNTIFS(INDEX(AllClosureRows,C110,0),"&gt;="&amp;('_Dates'!Y110),INDEX(AllClosureRows,C110,0),"&lt;="&amp;('_Dates'!Z110)))))</ns0:f>
        <ns0:v>0</ns0:v>
      </ns0:c>
      <ns0:c r="H110" s="0">
        <ns0:f>IF(OR(F110&lt;&gt;"OK",$B$6&gt;0),0,0.5*(IF((MIN('_Dates'!X110,Settings!$B$9))&lt;('_Dates'!W110),0,INT(((MIN('_Dates'!X110,Settings!$B$9))-('_Dates'!W110)+1)/7)*LEN(SUBSTITUTE(W110,"O",""))+LEN(SUBSTITUTE(MID(W110&amp;W110,WEEKDAY(('_Dates'!W110),2),MOD(((MIN('_Dates'!X110,Settings!$B$9))-('_Dates'!W110)+1),7)),"O",""))-COUNTIFS(INDEX(AllClosureRows,C110,0),"&gt;="&amp;('_Dates'!W110),INDEX(AllClosureRows,C110,0),"&lt;="&amp;(MIN('_Dates'!X110,Settings!$B$9))))+IF((MIN('_Dates'!Z110,Settings!$B$9))&lt;('_Dates'!Y110),0,INT(((MIN('_Dates'!Z110,Settings!$B$9))-('_Dates'!Y110)+1)/7)*LEN(SUBSTITUTE(W110,"O",""))+LEN(SUBSTITUTE(MID(W110&amp;W110,WEEKDAY(('_Dates'!Y110),2),MOD(((MIN('_Dates'!Z110,Settings!$B$9))-('_Dates'!Y110)+1),7)),"O",""))-COUNTIFS(INDEX(AllClosureRows,C110,0),"&gt;="&amp;('_Dates'!Y110),INDEX(AllClosureRows,C110,0),"&lt;="&amp;(MIN('_Dates'!Z110,Settings!$B$9))))))</ns0:f>
        <ns0:v>0</ns0:v>
      </ns0:c>
      <ns0:c r="I110" s="0">
        <ns0:f>MAX(0,G110-H110)</ns0:f>
        <ns0:v>0</ns0:v>
      </ns0:c>
      <ns0:c r="J110" s="0">
        <ns0:f>IF(OR(A110=0,F110&lt;&gt;"OK",Bookings!G110="Cancelled",$B$6&gt;0),0,IF('_Dates'!AC110=1,MAX(0,COUNTIFS(rngEngine_B,B110,rngAMStart,"&lt;="&amp;'_Dates'!X110,rngAMEnd,"&gt;="&amp;'_Dates'!W110,rngAMActive,1,rngEngine_F,"OK",rngBookings_F,"&lt;&gt;Cancelled")-1),0)+IF('_Dates'!AD110=1,MAX(0,COUNTIFS(rngEngine_B,B110,rngPMStart,"&lt;="&amp;'_Dates'!Z110,rngPMEnd,"&gt;="&amp;'_Dates'!Y110,rngPMActive,1,rngEngine_F,"OK",rngBookings_F,"&lt;&gt;Cancelled")-1),0))</ns0:f>
        <ns0:v>0</ns0:v>
      </ns0:c>
      <ns0:c r="K110" s="0" t="str">
        <ns0:f>IF(A110=0,"",IF(F110&lt;&gt;"OK",F110,IF(J110&gt;0,"CHECK overlapping entry",IF(AND($B$6=0,G110&lt;=0,Bookings!G110&lt;&gt;"Cancelled"),"CHECK no working days",IF(Bookings!G110="Cancelled","Cancelled","OK")))))</ns0:f>
        <ns0:v/>
      </ns0:c>
      <ns0:c r="L110" s="0">
        <ns0:f>IF(LEFT(K110,5)="CHECK",1,0)</ns0:f>
        <ns0:v>0</ns0:v>
      </ns0:c>
      <ns0:c r="M110" s="0">
        <ns0:f>IF(AND(L110=1,OR(C110=0,IFERROR(INDEX($X$11:$X$60,C110),0)=0)),1,0)</ns0:f>
        <ns0:v>0</ns0:v>
      </ns0:c>
      <ns0:c r="N110" s="0">
        <ns0:f>IF(OR(A110=0,L110&gt;0,$B$6&gt;0,Bookings!G110="Cancelled"),0,G110)</ns0:f>
        <ns0:v>0</ns0:v>
      </ns0:c>
      <ns0:c r="O110" s="0">
        <ns0:f>IF(AND(Bookings!G110="Approved",E110="Yes"),N110,0)</ns0:f>
        <ns0:v>0</ns0:v>
      </ns0:c>
      <ns0:c r="P110" s="0">
        <ns0:f>IF(AND(Bookings!G110="Approved",E110="Yes",L110=0,$B$6=0),H110,0)</ns0:f>
        <ns0:v>0</ns0:v>
      </ns0:c>
      <ns0:c r="Q110" s="0">
        <ns0:f>IF(AND(Bookings!G110="Approved",E110="Yes",L110=0,$B$6=0),I110,0)</ns0:f>
        <ns0:v>0</ns0:v>
      </ns0:c>
      <ns0:c r="R110" s="0">
        <ns0:f>IF(AND(Bookings!G110="Pending",E110="Yes"),N110,0)</ns0:f>
        <ns0:v>0</ns0:v>
      </ns0:c>
      <ns0:c r="S110" s="0">
        <ns0:f>IF(AND(Bookings!G110="Approved",E110="No"),N110,0)</ns0:f>
        <ns0:v>0</ns0:v>
      </ns0:c>
      <ns0:c r="T110" s="0">
        <ns0:f>IFERROR(MATCH(D110,Settings!$G$7:$G$11,0),0)</ns0:f>
        <ns0:v>0</ns0:v>
      </ns0:c>
      <ns0:c r="U110" s="0">
        <ns0:f>IF(N110&gt;0,T110+IF(Bookings!G110="Pending",10,0),0)</ns0:f>
        <ns0:v>0</ns0:v>
      </ns0:c>
      <ns0:c r="V110" s="0">
        <ns0:f>U110</ns0:f>
        <ns0:v>0</ns0:v>
      </ns0:c>
      <ns0:c r="W110" s="0" t="str">
        <ns0:f>IF(C110=0,"",INDEX($AP$11:$AP$60,C110))</ns0:f>
        <ns0:v/>
      </ns0:c>
    </ns0:row>
    <ns0:row r="111">
      <ns0:c r="A111" s="0">
        <ns0:f>IF(COUNTA(Bookings!A111:G111,Bookings!I111)=0,0,1)</ns0:f>
        <ns0:v>0</ns0:v>
      </ns0:c>
      <ns0:c r="B111" s="0" t="str">
        <ns0:f>IFERROR(TRIM(MID(Bookings!A111,FIND(" · ",Bookings!A111)+3,99)),"")</ns0:f>
        <ns0:v/>
      </ns0:c>
      <ns0:c r="C111" s="0">
        <ns0:f>IF(OR(B111="",LEN(B111)&gt;24,ISNUMBER(FIND(" ",B111)),ISNUMBER(FIND("*",B111)),ISNUMBER(FIND("?",B111)),ISNUMBER(FIND("~",B111))),0,IFERROR(MATCH(B111,Team!$A$11:$A$60,0),0))</ns0:f>
        <ns0:v>0</ns0:v>
      </ns0:c>
      <ns0:c r="D111" s="0" t="str">
        <ns0:f>IFERROR(IF(MID(Bookings!F111,LEN(Bookings!F111)-3,3)=" · ",RIGHT(Bookings!F111,1),""),"")</ns0:f>
        <ns0:v/>
      </ns0:c>
      <ns0:c r="E111" s="0" t="str">
        <ns0:f>IFERROR(INDEX(Settings!$H$7:$H$11,MATCH(D111,Settings!$G$7:$G$11,0)),"")</ns0:f>
        <ns0:v/>
      </ns0:c>
      <ns0:c r="F111" s="0" t="str">
        <ns0:f>IF(A111=0,"",IFERROR(IF(OR(B111="",C111=0),"CHECK employee selection",IF(INDEX(Team!$O$11:$O$60,C111)&lt;&gt;"OK","CHECK employee setup",IF(OR('_Dates'!J111=0,'_Dates'!T111=0),"CHECK date: use DD.MM.YYYY",IF('_Dates'!T111&lt;'_Dates'!J111,"CHECK end before start",IF(AND($B$6=0,OR('_Dates'!J111&lt;Settings!$B$7,'_Dates'!T111&gt;Settings!$B$8)),"CHECK split across leave years",IF(OR(NOT(OR('_Dates'!U111="Full day",'_Dates'!U111="AM",'_Dates'!U111="PM")),NOT(OR('_Dates'!V111="Full day",'_Dates'!V111="AM",'_Dates'!V111="PM"))),"CHECK Full day / AM / PM",IF(AND('_Dates'!J111='_Dates'!T111,'_Dates'!U111&lt;&gt;"Full day",'_Dates'!V111&lt;&gt;"Full day",'_Dates'!U111&lt;&gt;'_Dates'!V111),"CHECK same-day portions disagree",IF(AND($B$6=0,OR(AND('_Dates'!U111&lt;&gt;"Full day",'_Dates'!AA111=0),AND('_Dates'!V111&lt;&gt;"Full day",'_Dates'!AB111=0))),"CHECK half-day on non-working date",IF(COUNTIF(Settings!$G$7:$G$11,D111)&lt;&gt;1,"CHECK leave type",IF(AND(Bookings!G111&lt;&gt;"Approved",Bookings!G111&lt;&gt;"Pending",Bookings!G111&lt;&gt;"Cancelled"),"CHECK status","OK")))))))))),"CHECK input"))</ns0:f>
        <ns0:v/>
      </ns0:c>
      <ns0:c r="G111" s="0">
        <ns0:f>IF(OR(F111&lt;&gt;"OK",$B$6&gt;0),0,0.5*(IF(('_Dates'!X111)&lt;('_Dates'!W111),0,INT((('_Dates'!X111)-('_Dates'!W111)+1)/7)*LEN(SUBSTITUTE(W111,"O",""))+LEN(SUBSTITUTE(MID(W111&amp;W111,WEEKDAY(('_Dates'!W111),2),MOD((('_Dates'!X111)-('_Dates'!W111)+1),7)),"O",""))-COUNTIFS(INDEX(AllClosureRows,C111,0),"&gt;="&amp;('_Dates'!W111),INDEX(AllClosureRows,C111,0),"&lt;="&amp;('_Dates'!X111)))+IF(('_Dates'!Z111)&lt;('_Dates'!Y111),0,INT((('_Dates'!Z111)-('_Dates'!Y111)+1)/7)*LEN(SUBSTITUTE(W111,"O",""))+LEN(SUBSTITUTE(MID(W111&amp;W111,WEEKDAY(('_Dates'!Y111),2),MOD((('_Dates'!Z111)-('_Dates'!Y111)+1),7)),"O",""))-COUNTIFS(INDEX(AllClosureRows,C111,0),"&gt;="&amp;('_Dates'!Y111),INDEX(AllClosureRows,C111,0),"&lt;="&amp;('_Dates'!Z111)))))</ns0:f>
        <ns0:v>0</ns0:v>
      </ns0:c>
      <ns0:c r="H111" s="0">
        <ns0:f>IF(OR(F111&lt;&gt;"OK",$B$6&gt;0),0,0.5*(IF((MIN('_Dates'!X111,Settings!$B$9))&lt;('_Dates'!W111),0,INT(((MIN('_Dates'!X111,Settings!$B$9))-('_Dates'!W111)+1)/7)*LEN(SUBSTITUTE(W111,"O",""))+LEN(SUBSTITUTE(MID(W111&amp;W111,WEEKDAY(('_Dates'!W111),2),MOD(((MIN('_Dates'!X111,Settings!$B$9))-('_Dates'!W111)+1),7)),"O",""))-COUNTIFS(INDEX(AllClosureRows,C111,0),"&gt;="&amp;('_Dates'!W111),INDEX(AllClosureRows,C111,0),"&lt;="&amp;(MIN('_Dates'!X111,Settings!$B$9))))+IF((MIN('_Dates'!Z111,Settings!$B$9))&lt;('_Dates'!Y111),0,INT(((MIN('_Dates'!Z111,Settings!$B$9))-('_Dates'!Y111)+1)/7)*LEN(SUBSTITUTE(W111,"O",""))+LEN(SUBSTITUTE(MID(W111&amp;W111,WEEKDAY(('_Dates'!Y111),2),MOD(((MIN('_Dates'!Z111,Settings!$B$9))-('_Dates'!Y111)+1),7)),"O",""))-COUNTIFS(INDEX(AllClosureRows,C111,0),"&gt;="&amp;('_Dates'!Y111),INDEX(AllClosureRows,C111,0),"&lt;="&amp;(MIN('_Dates'!Z111,Settings!$B$9))))))</ns0:f>
        <ns0:v>0</ns0:v>
      </ns0:c>
      <ns0:c r="I111" s="0">
        <ns0:f>MAX(0,G111-H111)</ns0:f>
        <ns0:v>0</ns0:v>
      </ns0:c>
      <ns0:c r="J111" s="0">
        <ns0:f>IF(OR(A111=0,F111&lt;&gt;"OK",Bookings!G111="Cancelled",$B$6&gt;0),0,IF('_Dates'!AC111=1,MAX(0,COUNTIFS(rngEngine_B,B111,rngAMStart,"&lt;="&amp;'_Dates'!X111,rngAMEnd,"&gt;="&amp;'_Dates'!W111,rngAMActive,1,rngEngine_F,"OK",rngBookings_F,"&lt;&gt;Cancelled")-1),0)+IF('_Dates'!AD111=1,MAX(0,COUNTIFS(rngEngine_B,B111,rngPMStart,"&lt;="&amp;'_Dates'!Z111,rngPMEnd,"&gt;="&amp;'_Dates'!Y111,rngPMActive,1,rngEngine_F,"OK",rngBookings_F,"&lt;&gt;Cancelled")-1),0))</ns0:f>
        <ns0:v>0</ns0:v>
      </ns0:c>
      <ns0:c r="K111" s="0" t="str">
        <ns0:f>IF(A111=0,"",IF(F111&lt;&gt;"OK",F111,IF(J111&gt;0,"CHECK overlapping entry",IF(AND($B$6=0,G111&lt;=0,Bookings!G111&lt;&gt;"Cancelled"),"CHECK no working days",IF(Bookings!G111="Cancelled","Cancelled","OK")))))</ns0:f>
        <ns0:v/>
      </ns0:c>
      <ns0:c r="L111" s="0">
        <ns0:f>IF(LEFT(K111,5)="CHECK",1,0)</ns0:f>
        <ns0:v>0</ns0:v>
      </ns0:c>
      <ns0:c r="M111" s="0">
        <ns0:f>IF(AND(L111=1,OR(C111=0,IFERROR(INDEX($X$11:$X$60,C111),0)=0)),1,0)</ns0:f>
        <ns0:v>0</ns0:v>
      </ns0:c>
      <ns0:c r="N111" s="0">
        <ns0:f>IF(OR(A111=0,L111&gt;0,$B$6&gt;0,Bookings!G111="Cancelled"),0,G111)</ns0:f>
        <ns0:v>0</ns0:v>
      </ns0:c>
      <ns0:c r="O111" s="0">
        <ns0:f>IF(AND(Bookings!G111="Approved",E111="Yes"),N111,0)</ns0:f>
        <ns0:v>0</ns0:v>
      </ns0:c>
      <ns0:c r="P111" s="0">
        <ns0:f>IF(AND(Bookings!G111="Approved",E111="Yes",L111=0,$B$6=0),H111,0)</ns0:f>
        <ns0:v>0</ns0:v>
      </ns0:c>
      <ns0:c r="Q111" s="0">
        <ns0:f>IF(AND(Bookings!G111="Approved",E111="Yes",L111=0,$B$6=0),I111,0)</ns0:f>
        <ns0:v>0</ns0:v>
      </ns0:c>
      <ns0:c r="R111" s="0">
        <ns0:f>IF(AND(Bookings!G111="Pending",E111="Yes"),N111,0)</ns0:f>
        <ns0:v>0</ns0:v>
      </ns0:c>
      <ns0:c r="S111" s="0">
        <ns0:f>IF(AND(Bookings!G111="Approved",E111="No"),N111,0)</ns0:f>
        <ns0:v>0</ns0:v>
      </ns0:c>
      <ns0:c r="T111" s="0">
        <ns0:f>IFERROR(MATCH(D111,Settings!$G$7:$G$11,0),0)</ns0:f>
        <ns0:v>0</ns0:v>
      </ns0:c>
      <ns0:c r="U111" s="0">
        <ns0:f>IF(N111&gt;0,T111+IF(Bookings!G111="Pending",10,0),0)</ns0:f>
        <ns0:v>0</ns0:v>
      </ns0:c>
      <ns0:c r="V111" s="0">
        <ns0:f>U111</ns0:f>
        <ns0:v>0</ns0:v>
      </ns0:c>
      <ns0:c r="W111" s="0" t="str">
        <ns0:f>IF(C111=0,"",INDEX($AP$11:$AP$60,C111))</ns0:f>
        <ns0:v/>
      </ns0:c>
    </ns0:row>
    <ns0:row r="112">
      <ns0:c r="A112" s="0">
        <ns0:f>IF(COUNTA(Bookings!A112:G112,Bookings!I112)=0,0,1)</ns0:f>
        <ns0:v>0</ns0:v>
      </ns0:c>
      <ns0:c r="B112" s="0" t="str">
        <ns0:f>IFERROR(TRIM(MID(Bookings!A112,FIND(" · ",Bookings!A112)+3,99)),"")</ns0:f>
        <ns0:v/>
      </ns0:c>
      <ns0:c r="C112" s="0">
        <ns0:f>IF(OR(B112="",LEN(B112)&gt;24,ISNUMBER(FIND(" ",B112)),ISNUMBER(FIND("*",B112)),ISNUMBER(FIND("?",B112)),ISNUMBER(FIND("~",B112))),0,IFERROR(MATCH(B112,Team!$A$11:$A$60,0),0))</ns0:f>
        <ns0:v>0</ns0:v>
      </ns0:c>
      <ns0:c r="D112" s="0" t="str">
        <ns0:f>IFERROR(IF(MID(Bookings!F112,LEN(Bookings!F112)-3,3)=" · ",RIGHT(Bookings!F112,1),""),"")</ns0:f>
        <ns0:v/>
      </ns0:c>
      <ns0:c r="E112" s="0" t="str">
        <ns0:f>IFERROR(INDEX(Settings!$H$7:$H$11,MATCH(D112,Settings!$G$7:$G$11,0)),"")</ns0:f>
        <ns0:v/>
      </ns0:c>
      <ns0:c r="F112" s="0" t="str">
        <ns0:f>IF(A112=0,"",IFERROR(IF(OR(B112="",C112=0),"CHECK employee selection",IF(INDEX(Team!$O$11:$O$60,C112)&lt;&gt;"OK","CHECK employee setup",IF(OR('_Dates'!J112=0,'_Dates'!T112=0),"CHECK date: use DD.MM.YYYY",IF('_Dates'!T112&lt;'_Dates'!J112,"CHECK end before start",IF(AND($B$6=0,OR('_Dates'!J112&lt;Settings!$B$7,'_Dates'!T112&gt;Settings!$B$8)),"CHECK split across leave years",IF(OR(NOT(OR('_Dates'!U112="Full day",'_Dates'!U112="AM",'_Dates'!U112="PM")),NOT(OR('_Dates'!V112="Full day",'_Dates'!V112="AM",'_Dates'!V112="PM"))),"CHECK Full day / AM / PM",IF(AND('_Dates'!J112='_Dates'!T112,'_Dates'!U112&lt;&gt;"Full day",'_Dates'!V112&lt;&gt;"Full day",'_Dates'!U112&lt;&gt;'_Dates'!V112),"CHECK same-day portions disagree",IF(AND($B$6=0,OR(AND('_Dates'!U112&lt;&gt;"Full day",'_Dates'!AA112=0),AND('_Dates'!V112&lt;&gt;"Full day",'_Dates'!AB112=0))),"CHECK half-day on non-working date",IF(COUNTIF(Settings!$G$7:$G$11,D112)&lt;&gt;1,"CHECK leave type",IF(AND(Bookings!G112&lt;&gt;"Approved",Bookings!G112&lt;&gt;"Pending",Bookings!G112&lt;&gt;"Cancelled"),"CHECK status","OK")))))))))),"CHECK input"))</ns0:f>
        <ns0:v/>
      </ns0:c>
      <ns0:c r="G112" s="0">
        <ns0:f>IF(OR(F112&lt;&gt;"OK",$B$6&gt;0),0,0.5*(IF(('_Dates'!X112)&lt;('_Dates'!W112),0,INT((('_Dates'!X112)-('_Dates'!W112)+1)/7)*LEN(SUBSTITUTE(W112,"O",""))+LEN(SUBSTITUTE(MID(W112&amp;W112,WEEKDAY(('_Dates'!W112),2),MOD((('_Dates'!X112)-('_Dates'!W112)+1),7)),"O",""))-COUNTIFS(INDEX(AllClosureRows,C112,0),"&gt;="&amp;('_Dates'!W112),INDEX(AllClosureRows,C112,0),"&lt;="&amp;('_Dates'!X112)))+IF(('_Dates'!Z112)&lt;('_Dates'!Y112),0,INT((('_Dates'!Z112)-('_Dates'!Y112)+1)/7)*LEN(SUBSTITUTE(W112,"O",""))+LEN(SUBSTITUTE(MID(W112&amp;W112,WEEKDAY(('_Dates'!Y112),2),MOD((('_Dates'!Z112)-('_Dates'!Y112)+1),7)),"O",""))-COUNTIFS(INDEX(AllClosureRows,C112,0),"&gt;="&amp;('_Dates'!Y112),INDEX(AllClosureRows,C112,0),"&lt;="&amp;('_Dates'!Z112)))))</ns0:f>
        <ns0:v>0</ns0:v>
      </ns0:c>
      <ns0:c r="H112" s="0">
        <ns0:f>IF(OR(F112&lt;&gt;"OK",$B$6&gt;0),0,0.5*(IF((MIN('_Dates'!X112,Settings!$B$9))&lt;('_Dates'!W112),0,INT(((MIN('_Dates'!X112,Settings!$B$9))-('_Dates'!W112)+1)/7)*LEN(SUBSTITUTE(W112,"O",""))+LEN(SUBSTITUTE(MID(W112&amp;W112,WEEKDAY(('_Dates'!W112),2),MOD(((MIN('_Dates'!X112,Settings!$B$9))-('_Dates'!W112)+1),7)),"O",""))-COUNTIFS(INDEX(AllClosureRows,C112,0),"&gt;="&amp;('_Dates'!W112),INDEX(AllClosureRows,C112,0),"&lt;="&amp;(MIN('_Dates'!X112,Settings!$B$9))))+IF((MIN('_Dates'!Z112,Settings!$B$9))&lt;('_Dates'!Y112),0,INT(((MIN('_Dates'!Z112,Settings!$B$9))-('_Dates'!Y112)+1)/7)*LEN(SUBSTITUTE(W112,"O",""))+LEN(SUBSTITUTE(MID(W112&amp;W112,WEEKDAY(('_Dates'!Y112),2),MOD(((MIN('_Dates'!Z112,Settings!$B$9))-('_Dates'!Y112)+1),7)),"O",""))-COUNTIFS(INDEX(AllClosureRows,C112,0),"&gt;="&amp;('_Dates'!Y112),INDEX(AllClosureRows,C112,0),"&lt;="&amp;(MIN('_Dates'!Z112,Settings!$B$9))))))</ns0:f>
        <ns0:v>0</ns0:v>
      </ns0:c>
      <ns0:c r="I112" s="0">
        <ns0:f>MAX(0,G112-H112)</ns0:f>
        <ns0:v>0</ns0:v>
      </ns0:c>
      <ns0:c r="J112" s="0">
        <ns0:f>IF(OR(A112=0,F112&lt;&gt;"OK",Bookings!G112="Cancelled",$B$6&gt;0),0,IF('_Dates'!AC112=1,MAX(0,COUNTIFS(rngEngine_B,B112,rngAMStart,"&lt;="&amp;'_Dates'!X112,rngAMEnd,"&gt;="&amp;'_Dates'!W112,rngAMActive,1,rngEngine_F,"OK",rngBookings_F,"&lt;&gt;Cancelled")-1),0)+IF('_Dates'!AD112=1,MAX(0,COUNTIFS(rngEngine_B,B112,rngPMStart,"&lt;="&amp;'_Dates'!Z112,rngPMEnd,"&gt;="&amp;'_Dates'!Y112,rngPMActive,1,rngEngine_F,"OK",rngBookings_F,"&lt;&gt;Cancelled")-1),0))</ns0:f>
        <ns0:v>0</ns0:v>
      </ns0:c>
      <ns0:c r="K112" s="0" t="str">
        <ns0:f>IF(A112=0,"",IF(F112&lt;&gt;"OK",F112,IF(J112&gt;0,"CHECK overlapping entry",IF(AND($B$6=0,G112&lt;=0,Bookings!G112&lt;&gt;"Cancelled"),"CHECK no working days",IF(Bookings!G112="Cancelled","Cancelled","OK")))))</ns0:f>
        <ns0:v/>
      </ns0:c>
      <ns0:c r="L112" s="0">
        <ns0:f>IF(LEFT(K112,5)="CHECK",1,0)</ns0:f>
        <ns0:v>0</ns0:v>
      </ns0:c>
      <ns0:c r="M112" s="0">
        <ns0:f>IF(AND(L112=1,OR(C112=0,IFERROR(INDEX($X$11:$X$60,C112),0)=0)),1,0)</ns0:f>
        <ns0:v>0</ns0:v>
      </ns0:c>
      <ns0:c r="N112" s="0">
        <ns0:f>IF(OR(A112=0,L112&gt;0,$B$6&gt;0,Bookings!G112="Cancelled"),0,G112)</ns0:f>
        <ns0:v>0</ns0:v>
      </ns0:c>
      <ns0:c r="O112" s="0">
        <ns0:f>IF(AND(Bookings!G112="Approved",E112="Yes"),N112,0)</ns0:f>
        <ns0:v>0</ns0:v>
      </ns0:c>
      <ns0:c r="P112" s="0">
        <ns0:f>IF(AND(Bookings!G112="Approved",E112="Yes",L112=0,$B$6=0),H112,0)</ns0:f>
        <ns0:v>0</ns0:v>
      </ns0:c>
      <ns0:c r="Q112" s="0">
        <ns0:f>IF(AND(Bookings!G112="Approved",E112="Yes",L112=0,$B$6=0),I112,0)</ns0:f>
        <ns0:v>0</ns0:v>
      </ns0:c>
      <ns0:c r="R112" s="0">
        <ns0:f>IF(AND(Bookings!G112="Pending",E112="Yes"),N112,0)</ns0:f>
        <ns0:v>0</ns0:v>
      </ns0:c>
      <ns0:c r="S112" s="0">
        <ns0:f>IF(AND(Bookings!G112="Approved",E112="No"),N112,0)</ns0:f>
        <ns0:v>0</ns0:v>
      </ns0:c>
      <ns0:c r="T112" s="0">
        <ns0:f>IFERROR(MATCH(D112,Settings!$G$7:$G$11,0),0)</ns0:f>
        <ns0:v>0</ns0:v>
      </ns0:c>
      <ns0:c r="U112" s="0">
        <ns0:f>IF(N112&gt;0,T112+IF(Bookings!G112="Pending",10,0),0)</ns0:f>
        <ns0:v>0</ns0:v>
      </ns0:c>
      <ns0:c r="V112" s="0">
        <ns0:f>U112</ns0:f>
        <ns0:v>0</ns0:v>
      </ns0:c>
      <ns0:c r="W112" s="0" t="str">
        <ns0:f>IF(C112=0,"",INDEX($AP$11:$AP$60,C112))</ns0:f>
        <ns0:v/>
      </ns0:c>
    </ns0:row>
    <ns0:row r="113">
      <ns0:c r="A113" s="0">
        <ns0:f>IF(COUNTA(Bookings!A113:G113,Bookings!I113)=0,0,1)</ns0:f>
        <ns0:v>0</ns0:v>
      </ns0:c>
      <ns0:c r="B113" s="0" t="str">
        <ns0:f>IFERROR(TRIM(MID(Bookings!A113,FIND(" · ",Bookings!A113)+3,99)),"")</ns0:f>
        <ns0:v/>
      </ns0:c>
      <ns0:c r="C113" s="0">
        <ns0:f>IF(OR(B113="",LEN(B113)&gt;24,ISNUMBER(FIND(" ",B113)),ISNUMBER(FIND("*",B113)),ISNUMBER(FIND("?",B113)),ISNUMBER(FIND("~",B113))),0,IFERROR(MATCH(B113,Team!$A$11:$A$60,0),0))</ns0:f>
        <ns0:v>0</ns0:v>
      </ns0:c>
      <ns0:c r="D113" s="0" t="str">
        <ns0:f>IFERROR(IF(MID(Bookings!F113,LEN(Bookings!F113)-3,3)=" · ",RIGHT(Bookings!F113,1),""),"")</ns0:f>
        <ns0:v/>
      </ns0:c>
      <ns0:c r="E113" s="0" t="str">
        <ns0:f>IFERROR(INDEX(Settings!$H$7:$H$11,MATCH(D113,Settings!$G$7:$G$11,0)),"")</ns0:f>
        <ns0:v/>
      </ns0:c>
      <ns0:c r="F113" s="0" t="str">
        <ns0:f>IF(A113=0,"",IFERROR(IF(OR(B113="",C113=0),"CHECK employee selection",IF(INDEX(Team!$O$11:$O$60,C113)&lt;&gt;"OK","CHECK employee setup",IF(OR('_Dates'!J113=0,'_Dates'!T113=0),"CHECK date: use DD.MM.YYYY",IF('_Dates'!T113&lt;'_Dates'!J113,"CHECK end before start",IF(AND($B$6=0,OR('_Dates'!J113&lt;Settings!$B$7,'_Dates'!T113&gt;Settings!$B$8)),"CHECK split across leave years",IF(OR(NOT(OR('_Dates'!U113="Full day",'_Dates'!U113="AM",'_Dates'!U113="PM")),NOT(OR('_Dates'!V113="Full day",'_Dates'!V113="AM",'_Dates'!V113="PM"))),"CHECK Full day / AM / PM",IF(AND('_Dates'!J113='_Dates'!T113,'_Dates'!U113&lt;&gt;"Full day",'_Dates'!V113&lt;&gt;"Full day",'_Dates'!U113&lt;&gt;'_Dates'!V113),"CHECK same-day portions disagree",IF(AND($B$6=0,OR(AND('_Dates'!U113&lt;&gt;"Full day",'_Dates'!AA113=0),AND('_Dates'!V113&lt;&gt;"Full day",'_Dates'!AB113=0))),"CHECK half-day on non-working date",IF(COUNTIF(Settings!$G$7:$G$11,D113)&lt;&gt;1,"CHECK leave type",IF(AND(Bookings!G113&lt;&gt;"Approved",Bookings!G113&lt;&gt;"Pending",Bookings!G113&lt;&gt;"Cancelled"),"CHECK status","OK")))))))))),"CHECK input"))</ns0:f>
        <ns0:v/>
      </ns0:c>
      <ns0:c r="G113" s="0">
        <ns0:f>IF(OR(F113&lt;&gt;"OK",$B$6&gt;0),0,0.5*(IF(('_Dates'!X113)&lt;('_Dates'!W113),0,INT((('_Dates'!X113)-('_Dates'!W113)+1)/7)*LEN(SUBSTITUTE(W113,"O",""))+LEN(SUBSTITUTE(MID(W113&amp;W113,WEEKDAY(('_Dates'!W113),2),MOD((('_Dates'!X113)-('_Dates'!W113)+1),7)),"O",""))-COUNTIFS(INDEX(AllClosureRows,C113,0),"&gt;="&amp;('_Dates'!W113),INDEX(AllClosureRows,C113,0),"&lt;="&amp;('_Dates'!X113)))+IF(('_Dates'!Z113)&lt;('_Dates'!Y113),0,INT((('_Dates'!Z113)-('_Dates'!Y113)+1)/7)*LEN(SUBSTITUTE(W113,"O",""))+LEN(SUBSTITUTE(MID(W113&amp;W113,WEEKDAY(('_Dates'!Y113),2),MOD((('_Dates'!Z113)-('_Dates'!Y113)+1),7)),"O",""))-COUNTIFS(INDEX(AllClosureRows,C113,0),"&gt;="&amp;('_Dates'!Y113),INDEX(AllClosureRows,C113,0),"&lt;="&amp;('_Dates'!Z113)))))</ns0:f>
        <ns0:v>0</ns0:v>
      </ns0:c>
      <ns0:c r="H113" s="0">
        <ns0:f>IF(OR(F113&lt;&gt;"OK",$B$6&gt;0),0,0.5*(IF((MIN('_Dates'!X113,Settings!$B$9))&lt;('_Dates'!W113),0,INT(((MIN('_Dates'!X113,Settings!$B$9))-('_Dates'!W113)+1)/7)*LEN(SUBSTITUTE(W113,"O",""))+LEN(SUBSTITUTE(MID(W113&amp;W113,WEEKDAY(('_Dates'!W113),2),MOD(((MIN('_Dates'!X113,Settings!$B$9))-('_Dates'!W113)+1),7)),"O",""))-COUNTIFS(INDEX(AllClosureRows,C113,0),"&gt;="&amp;('_Dates'!W113),INDEX(AllClosureRows,C113,0),"&lt;="&amp;(MIN('_Dates'!X113,Settings!$B$9))))+IF((MIN('_Dates'!Z113,Settings!$B$9))&lt;('_Dates'!Y113),0,INT(((MIN('_Dates'!Z113,Settings!$B$9))-('_Dates'!Y113)+1)/7)*LEN(SUBSTITUTE(W113,"O",""))+LEN(SUBSTITUTE(MID(W113&amp;W113,WEEKDAY(('_Dates'!Y113),2),MOD(((MIN('_Dates'!Z113,Settings!$B$9))-('_Dates'!Y113)+1),7)),"O",""))-COUNTIFS(INDEX(AllClosureRows,C113,0),"&gt;="&amp;('_Dates'!Y113),INDEX(AllClosureRows,C113,0),"&lt;="&amp;(MIN('_Dates'!Z113,Settings!$B$9))))))</ns0:f>
        <ns0:v>0</ns0:v>
      </ns0:c>
      <ns0:c r="I113" s="0">
        <ns0:f>MAX(0,G113-H113)</ns0:f>
        <ns0:v>0</ns0:v>
      </ns0:c>
      <ns0:c r="J113" s="0">
        <ns0:f>IF(OR(A113=0,F113&lt;&gt;"OK",Bookings!G113="Cancelled",$B$6&gt;0),0,IF('_Dates'!AC113=1,MAX(0,COUNTIFS(rngEngine_B,B113,rngAMStart,"&lt;="&amp;'_Dates'!X113,rngAMEnd,"&gt;="&amp;'_Dates'!W113,rngAMActive,1,rngEngine_F,"OK",rngBookings_F,"&lt;&gt;Cancelled")-1),0)+IF('_Dates'!AD113=1,MAX(0,COUNTIFS(rngEngine_B,B113,rngPMStart,"&lt;="&amp;'_Dates'!Z113,rngPMEnd,"&gt;="&amp;'_Dates'!Y113,rngPMActive,1,rngEngine_F,"OK",rngBookings_F,"&lt;&gt;Cancelled")-1),0))</ns0:f>
        <ns0:v>0</ns0:v>
      </ns0:c>
      <ns0:c r="K113" s="0" t="str">
        <ns0:f>IF(A113=0,"",IF(F113&lt;&gt;"OK",F113,IF(J113&gt;0,"CHECK overlapping entry",IF(AND($B$6=0,G113&lt;=0,Bookings!G113&lt;&gt;"Cancelled"),"CHECK no working days",IF(Bookings!G113="Cancelled","Cancelled","OK")))))</ns0:f>
        <ns0:v/>
      </ns0:c>
      <ns0:c r="L113" s="0">
        <ns0:f>IF(LEFT(K113,5)="CHECK",1,0)</ns0:f>
        <ns0:v>0</ns0:v>
      </ns0:c>
      <ns0:c r="M113" s="0">
        <ns0:f>IF(AND(L113=1,OR(C113=0,IFERROR(INDEX($X$11:$X$60,C113),0)=0)),1,0)</ns0:f>
        <ns0:v>0</ns0:v>
      </ns0:c>
      <ns0:c r="N113" s="0">
        <ns0:f>IF(OR(A113=0,L113&gt;0,$B$6&gt;0,Bookings!G113="Cancelled"),0,G113)</ns0:f>
        <ns0:v>0</ns0:v>
      </ns0:c>
      <ns0:c r="O113" s="0">
        <ns0:f>IF(AND(Bookings!G113="Approved",E113="Yes"),N113,0)</ns0:f>
        <ns0:v>0</ns0:v>
      </ns0:c>
      <ns0:c r="P113" s="0">
        <ns0:f>IF(AND(Bookings!G113="Approved",E113="Yes",L113=0,$B$6=0),H113,0)</ns0:f>
        <ns0:v>0</ns0:v>
      </ns0:c>
      <ns0:c r="Q113" s="0">
        <ns0:f>IF(AND(Bookings!G113="Approved",E113="Yes",L113=0,$B$6=0),I113,0)</ns0:f>
        <ns0:v>0</ns0:v>
      </ns0:c>
      <ns0:c r="R113" s="0">
        <ns0:f>IF(AND(Bookings!G113="Pending",E113="Yes"),N113,0)</ns0:f>
        <ns0:v>0</ns0:v>
      </ns0:c>
      <ns0:c r="S113" s="0">
        <ns0:f>IF(AND(Bookings!G113="Approved",E113="No"),N113,0)</ns0:f>
        <ns0:v>0</ns0:v>
      </ns0:c>
      <ns0:c r="T113" s="0">
        <ns0:f>IFERROR(MATCH(D113,Settings!$G$7:$G$11,0),0)</ns0:f>
        <ns0:v>0</ns0:v>
      </ns0:c>
      <ns0:c r="U113" s="0">
        <ns0:f>IF(N113&gt;0,T113+IF(Bookings!G113="Pending",10,0),0)</ns0:f>
        <ns0:v>0</ns0:v>
      </ns0:c>
      <ns0:c r="V113" s="0">
        <ns0:f>U113</ns0:f>
        <ns0:v>0</ns0:v>
      </ns0:c>
      <ns0:c r="W113" s="0" t="str">
        <ns0:f>IF(C113=0,"",INDEX($AP$11:$AP$60,C113))</ns0:f>
        <ns0:v/>
      </ns0:c>
    </ns0:row>
    <ns0:row r="114">
      <ns0:c r="A114" s="0">
        <ns0:f>IF(COUNTA(Bookings!A114:G114,Bookings!I114)=0,0,1)</ns0:f>
        <ns0:v>0</ns0:v>
      </ns0:c>
      <ns0:c r="B114" s="0" t="str">
        <ns0:f>IFERROR(TRIM(MID(Bookings!A114,FIND(" · ",Bookings!A114)+3,99)),"")</ns0:f>
        <ns0:v/>
      </ns0:c>
      <ns0:c r="C114" s="0">
        <ns0:f>IF(OR(B114="",LEN(B114)&gt;24,ISNUMBER(FIND(" ",B114)),ISNUMBER(FIND("*",B114)),ISNUMBER(FIND("?",B114)),ISNUMBER(FIND("~",B114))),0,IFERROR(MATCH(B114,Team!$A$11:$A$60,0),0))</ns0:f>
        <ns0:v>0</ns0:v>
      </ns0:c>
      <ns0:c r="D114" s="0" t="str">
        <ns0:f>IFERROR(IF(MID(Bookings!F114,LEN(Bookings!F114)-3,3)=" · ",RIGHT(Bookings!F114,1),""),"")</ns0:f>
        <ns0:v/>
      </ns0:c>
      <ns0:c r="E114" s="0" t="str">
        <ns0:f>IFERROR(INDEX(Settings!$H$7:$H$11,MATCH(D114,Settings!$G$7:$G$11,0)),"")</ns0:f>
        <ns0:v/>
      </ns0:c>
      <ns0:c r="F114" s="0" t="str">
        <ns0:f>IF(A114=0,"",IFERROR(IF(OR(B114="",C114=0),"CHECK employee selection",IF(INDEX(Team!$O$11:$O$60,C114)&lt;&gt;"OK","CHECK employee setup",IF(OR('_Dates'!J114=0,'_Dates'!T114=0),"CHECK date: use DD.MM.YYYY",IF('_Dates'!T114&lt;'_Dates'!J114,"CHECK end before start",IF(AND($B$6=0,OR('_Dates'!J114&lt;Settings!$B$7,'_Dates'!T114&gt;Settings!$B$8)),"CHECK split across leave years",IF(OR(NOT(OR('_Dates'!U114="Full day",'_Dates'!U114="AM",'_Dates'!U114="PM")),NOT(OR('_Dates'!V114="Full day",'_Dates'!V114="AM",'_Dates'!V114="PM"))),"CHECK Full day / AM / PM",IF(AND('_Dates'!J114='_Dates'!T114,'_Dates'!U114&lt;&gt;"Full day",'_Dates'!V114&lt;&gt;"Full day",'_Dates'!U114&lt;&gt;'_Dates'!V114),"CHECK same-day portions disagree",IF(AND($B$6=0,OR(AND('_Dates'!U114&lt;&gt;"Full day",'_Dates'!AA114=0),AND('_Dates'!V114&lt;&gt;"Full day",'_Dates'!AB114=0))),"CHECK half-day on non-working date",IF(COUNTIF(Settings!$G$7:$G$11,D114)&lt;&gt;1,"CHECK leave type",IF(AND(Bookings!G114&lt;&gt;"Approved",Bookings!G114&lt;&gt;"Pending",Bookings!G114&lt;&gt;"Cancelled"),"CHECK status","OK")))))))))),"CHECK input"))</ns0:f>
        <ns0:v/>
      </ns0:c>
      <ns0:c r="G114" s="0">
        <ns0:f>IF(OR(F114&lt;&gt;"OK",$B$6&gt;0),0,0.5*(IF(('_Dates'!X114)&lt;('_Dates'!W114),0,INT((('_Dates'!X114)-('_Dates'!W114)+1)/7)*LEN(SUBSTITUTE(W114,"O",""))+LEN(SUBSTITUTE(MID(W114&amp;W114,WEEKDAY(('_Dates'!W114),2),MOD((('_Dates'!X114)-('_Dates'!W114)+1),7)),"O",""))-COUNTIFS(INDEX(AllClosureRows,C114,0),"&gt;="&amp;('_Dates'!W114),INDEX(AllClosureRows,C114,0),"&lt;="&amp;('_Dates'!X114)))+IF(('_Dates'!Z114)&lt;('_Dates'!Y114),0,INT((('_Dates'!Z114)-('_Dates'!Y114)+1)/7)*LEN(SUBSTITUTE(W114,"O",""))+LEN(SUBSTITUTE(MID(W114&amp;W114,WEEKDAY(('_Dates'!Y114),2),MOD((('_Dates'!Z114)-('_Dates'!Y114)+1),7)),"O",""))-COUNTIFS(INDEX(AllClosureRows,C114,0),"&gt;="&amp;('_Dates'!Y114),INDEX(AllClosureRows,C114,0),"&lt;="&amp;('_Dates'!Z114)))))</ns0:f>
        <ns0:v>0</ns0:v>
      </ns0:c>
      <ns0:c r="H114" s="0">
        <ns0:f>IF(OR(F114&lt;&gt;"OK",$B$6&gt;0),0,0.5*(IF((MIN('_Dates'!X114,Settings!$B$9))&lt;('_Dates'!W114),0,INT(((MIN('_Dates'!X114,Settings!$B$9))-('_Dates'!W114)+1)/7)*LEN(SUBSTITUTE(W114,"O",""))+LEN(SUBSTITUTE(MID(W114&amp;W114,WEEKDAY(('_Dates'!W114),2),MOD(((MIN('_Dates'!X114,Settings!$B$9))-('_Dates'!W114)+1),7)),"O",""))-COUNTIFS(INDEX(AllClosureRows,C114,0),"&gt;="&amp;('_Dates'!W114),INDEX(AllClosureRows,C114,0),"&lt;="&amp;(MIN('_Dates'!X114,Settings!$B$9))))+IF((MIN('_Dates'!Z114,Settings!$B$9))&lt;('_Dates'!Y114),0,INT(((MIN('_Dates'!Z114,Settings!$B$9))-('_Dates'!Y114)+1)/7)*LEN(SUBSTITUTE(W114,"O",""))+LEN(SUBSTITUTE(MID(W114&amp;W114,WEEKDAY(('_Dates'!Y114),2),MOD(((MIN('_Dates'!Z114,Settings!$B$9))-('_Dates'!Y114)+1),7)),"O",""))-COUNTIFS(INDEX(AllClosureRows,C114,0),"&gt;="&amp;('_Dates'!Y114),INDEX(AllClosureRows,C114,0),"&lt;="&amp;(MIN('_Dates'!Z114,Settings!$B$9))))))</ns0:f>
        <ns0:v>0</ns0:v>
      </ns0:c>
      <ns0:c r="I114" s="0">
        <ns0:f>MAX(0,G114-H114)</ns0:f>
        <ns0:v>0</ns0:v>
      </ns0:c>
      <ns0:c r="J114" s="0">
        <ns0:f>IF(OR(A114=0,F114&lt;&gt;"OK",Bookings!G114="Cancelled",$B$6&gt;0),0,IF('_Dates'!AC114=1,MAX(0,COUNTIFS(rngEngine_B,B114,rngAMStart,"&lt;="&amp;'_Dates'!X114,rngAMEnd,"&gt;="&amp;'_Dates'!W114,rngAMActive,1,rngEngine_F,"OK",rngBookings_F,"&lt;&gt;Cancelled")-1),0)+IF('_Dates'!AD114=1,MAX(0,COUNTIFS(rngEngine_B,B114,rngPMStart,"&lt;="&amp;'_Dates'!Z114,rngPMEnd,"&gt;="&amp;'_Dates'!Y114,rngPMActive,1,rngEngine_F,"OK",rngBookings_F,"&lt;&gt;Cancelled")-1),0))</ns0:f>
        <ns0:v>0</ns0:v>
      </ns0:c>
      <ns0:c r="K114" s="0" t="str">
        <ns0:f>IF(A114=0,"",IF(F114&lt;&gt;"OK",F114,IF(J114&gt;0,"CHECK overlapping entry",IF(AND($B$6=0,G114&lt;=0,Bookings!G114&lt;&gt;"Cancelled"),"CHECK no working days",IF(Bookings!G114="Cancelled","Cancelled","OK")))))</ns0:f>
        <ns0:v/>
      </ns0:c>
      <ns0:c r="L114" s="0">
        <ns0:f>IF(LEFT(K114,5)="CHECK",1,0)</ns0:f>
        <ns0:v>0</ns0:v>
      </ns0:c>
      <ns0:c r="M114" s="0">
        <ns0:f>IF(AND(L114=1,OR(C114=0,IFERROR(INDEX($X$11:$X$60,C114),0)=0)),1,0)</ns0:f>
        <ns0:v>0</ns0:v>
      </ns0:c>
      <ns0:c r="N114" s="0">
        <ns0:f>IF(OR(A114=0,L114&gt;0,$B$6&gt;0,Bookings!G114="Cancelled"),0,G114)</ns0:f>
        <ns0:v>0</ns0:v>
      </ns0:c>
      <ns0:c r="O114" s="0">
        <ns0:f>IF(AND(Bookings!G114="Approved",E114="Yes"),N114,0)</ns0:f>
        <ns0:v>0</ns0:v>
      </ns0:c>
      <ns0:c r="P114" s="0">
        <ns0:f>IF(AND(Bookings!G114="Approved",E114="Yes",L114=0,$B$6=0),H114,0)</ns0:f>
        <ns0:v>0</ns0:v>
      </ns0:c>
      <ns0:c r="Q114" s="0">
        <ns0:f>IF(AND(Bookings!G114="Approved",E114="Yes",L114=0,$B$6=0),I114,0)</ns0:f>
        <ns0:v>0</ns0:v>
      </ns0:c>
      <ns0:c r="R114" s="0">
        <ns0:f>IF(AND(Bookings!G114="Pending",E114="Yes"),N114,0)</ns0:f>
        <ns0:v>0</ns0:v>
      </ns0:c>
      <ns0:c r="S114" s="0">
        <ns0:f>IF(AND(Bookings!G114="Approved",E114="No"),N114,0)</ns0:f>
        <ns0:v>0</ns0:v>
      </ns0:c>
      <ns0:c r="T114" s="0">
        <ns0:f>IFERROR(MATCH(D114,Settings!$G$7:$G$11,0),0)</ns0:f>
        <ns0:v>0</ns0:v>
      </ns0:c>
      <ns0:c r="U114" s="0">
        <ns0:f>IF(N114&gt;0,T114+IF(Bookings!G114="Pending",10,0),0)</ns0:f>
        <ns0:v>0</ns0:v>
      </ns0:c>
      <ns0:c r="V114" s="0">
        <ns0:f>U114</ns0:f>
        <ns0:v>0</ns0:v>
      </ns0:c>
      <ns0:c r="W114" s="0" t="str">
        <ns0:f>IF(C114=0,"",INDEX($AP$11:$AP$60,C114))</ns0:f>
        <ns0:v/>
      </ns0:c>
    </ns0:row>
    <ns0:row r="115">
      <ns0:c r="A115" s="0">
        <ns0:f>IF(COUNTA(Bookings!A115:G115,Bookings!I115)=0,0,1)</ns0:f>
        <ns0:v>0</ns0:v>
      </ns0:c>
      <ns0:c r="B115" s="0" t="str">
        <ns0:f>IFERROR(TRIM(MID(Bookings!A115,FIND(" · ",Bookings!A115)+3,99)),"")</ns0:f>
        <ns0:v/>
      </ns0:c>
      <ns0:c r="C115" s="0">
        <ns0:f>IF(OR(B115="",LEN(B115)&gt;24,ISNUMBER(FIND(" ",B115)),ISNUMBER(FIND("*",B115)),ISNUMBER(FIND("?",B115)),ISNUMBER(FIND("~",B115))),0,IFERROR(MATCH(B115,Team!$A$11:$A$60,0),0))</ns0:f>
        <ns0:v>0</ns0:v>
      </ns0:c>
      <ns0:c r="D115" s="0" t="str">
        <ns0:f>IFERROR(IF(MID(Bookings!F115,LEN(Bookings!F115)-3,3)=" · ",RIGHT(Bookings!F115,1),""),"")</ns0:f>
        <ns0:v/>
      </ns0:c>
      <ns0:c r="E115" s="0" t="str">
        <ns0:f>IFERROR(INDEX(Settings!$H$7:$H$11,MATCH(D115,Settings!$G$7:$G$11,0)),"")</ns0:f>
        <ns0:v/>
      </ns0:c>
      <ns0:c r="F115" s="0" t="str">
        <ns0:f>IF(A115=0,"",IFERROR(IF(OR(B115="",C115=0),"CHECK employee selection",IF(INDEX(Team!$O$11:$O$60,C115)&lt;&gt;"OK","CHECK employee setup",IF(OR('_Dates'!J115=0,'_Dates'!T115=0),"CHECK date: use DD.MM.YYYY",IF('_Dates'!T115&lt;'_Dates'!J115,"CHECK end before start",IF(AND($B$6=0,OR('_Dates'!J115&lt;Settings!$B$7,'_Dates'!T115&gt;Settings!$B$8)),"CHECK split across leave years",IF(OR(NOT(OR('_Dates'!U115="Full day",'_Dates'!U115="AM",'_Dates'!U115="PM")),NOT(OR('_Dates'!V115="Full day",'_Dates'!V115="AM",'_Dates'!V115="PM"))),"CHECK Full day / AM / PM",IF(AND('_Dates'!J115='_Dates'!T115,'_Dates'!U115&lt;&gt;"Full day",'_Dates'!V115&lt;&gt;"Full day",'_Dates'!U115&lt;&gt;'_Dates'!V115),"CHECK same-day portions disagree",IF(AND($B$6=0,OR(AND('_Dates'!U115&lt;&gt;"Full day",'_Dates'!AA115=0),AND('_Dates'!V115&lt;&gt;"Full day",'_Dates'!AB115=0))),"CHECK half-day on non-working date",IF(COUNTIF(Settings!$G$7:$G$11,D115)&lt;&gt;1,"CHECK leave type",IF(AND(Bookings!G115&lt;&gt;"Approved",Bookings!G115&lt;&gt;"Pending",Bookings!G115&lt;&gt;"Cancelled"),"CHECK status","OK")))))))))),"CHECK input"))</ns0:f>
        <ns0:v/>
      </ns0:c>
      <ns0:c r="G115" s="0">
        <ns0:f>IF(OR(F115&lt;&gt;"OK",$B$6&gt;0),0,0.5*(IF(('_Dates'!X115)&lt;('_Dates'!W115),0,INT((('_Dates'!X115)-('_Dates'!W115)+1)/7)*LEN(SUBSTITUTE(W115,"O",""))+LEN(SUBSTITUTE(MID(W115&amp;W115,WEEKDAY(('_Dates'!W115),2),MOD((('_Dates'!X115)-('_Dates'!W115)+1),7)),"O",""))-COUNTIFS(INDEX(AllClosureRows,C115,0),"&gt;="&amp;('_Dates'!W115),INDEX(AllClosureRows,C115,0),"&lt;="&amp;('_Dates'!X115)))+IF(('_Dates'!Z115)&lt;('_Dates'!Y115),0,INT((('_Dates'!Z115)-('_Dates'!Y115)+1)/7)*LEN(SUBSTITUTE(W115,"O",""))+LEN(SUBSTITUTE(MID(W115&amp;W115,WEEKDAY(('_Dates'!Y115),2),MOD((('_Dates'!Z115)-('_Dates'!Y115)+1),7)),"O",""))-COUNTIFS(INDEX(AllClosureRows,C115,0),"&gt;="&amp;('_Dates'!Y115),INDEX(AllClosureRows,C115,0),"&lt;="&amp;('_Dates'!Z115)))))</ns0:f>
        <ns0:v>0</ns0:v>
      </ns0:c>
      <ns0:c r="H115" s="0">
        <ns0:f>IF(OR(F115&lt;&gt;"OK",$B$6&gt;0),0,0.5*(IF((MIN('_Dates'!X115,Settings!$B$9))&lt;('_Dates'!W115),0,INT(((MIN('_Dates'!X115,Settings!$B$9))-('_Dates'!W115)+1)/7)*LEN(SUBSTITUTE(W115,"O",""))+LEN(SUBSTITUTE(MID(W115&amp;W115,WEEKDAY(('_Dates'!W115),2),MOD(((MIN('_Dates'!X115,Settings!$B$9))-('_Dates'!W115)+1),7)),"O",""))-COUNTIFS(INDEX(AllClosureRows,C115,0),"&gt;="&amp;('_Dates'!W115),INDEX(AllClosureRows,C115,0),"&lt;="&amp;(MIN('_Dates'!X115,Settings!$B$9))))+IF((MIN('_Dates'!Z115,Settings!$B$9))&lt;('_Dates'!Y115),0,INT(((MIN('_Dates'!Z115,Settings!$B$9))-('_Dates'!Y115)+1)/7)*LEN(SUBSTITUTE(W115,"O",""))+LEN(SUBSTITUTE(MID(W115&amp;W115,WEEKDAY(('_Dates'!Y115),2),MOD(((MIN('_Dates'!Z115,Settings!$B$9))-('_Dates'!Y115)+1),7)),"O",""))-COUNTIFS(INDEX(AllClosureRows,C115,0),"&gt;="&amp;('_Dates'!Y115),INDEX(AllClosureRows,C115,0),"&lt;="&amp;(MIN('_Dates'!Z115,Settings!$B$9))))))</ns0:f>
        <ns0:v>0</ns0:v>
      </ns0:c>
      <ns0:c r="I115" s="0">
        <ns0:f>MAX(0,G115-H115)</ns0:f>
        <ns0:v>0</ns0:v>
      </ns0:c>
      <ns0:c r="J115" s="0">
        <ns0:f>IF(OR(A115=0,F115&lt;&gt;"OK",Bookings!G115="Cancelled",$B$6&gt;0),0,IF('_Dates'!AC115=1,MAX(0,COUNTIFS(rngEngine_B,B115,rngAMStart,"&lt;="&amp;'_Dates'!X115,rngAMEnd,"&gt;="&amp;'_Dates'!W115,rngAMActive,1,rngEngine_F,"OK",rngBookings_F,"&lt;&gt;Cancelled")-1),0)+IF('_Dates'!AD115=1,MAX(0,COUNTIFS(rngEngine_B,B115,rngPMStart,"&lt;="&amp;'_Dates'!Z115,rngPMEnd,"&gt;="&amp;'_Dates'!Y115,rngPMActive,1,rngEngine_F,"OK",rngBookings_F,"&lt;&gt;Cancelled")-1),0))</ns0:f>
        <ns0:v>0</ns0:v>
      </ns0:c>
      <ns0:c r="K115" s="0" t="str">
        <ns0:f>IF(A115=0,"",IF(F115&lt;&gt;"OK",F115,IF(J115&gt;0,"CHECK overlapping entry",IF(AND($B$6=0,G115&lt;=0,Bookings!G115&lt;&gt;"Cancelled"),"CHECK no working days",IF(Bookings!G115="Cancelled","Cancelled","OK")))))</ns0:f>
        <ns0:v/>
      </ns0:c>
      <ns0:c r="L115" s="0">
        <ns0:f>IF(LEFT(K115,5)="CHECK",1,0)</ns0:f>
        <ns0:v>0</ns0:v>
      </ns0:c>
      <ns0:c r="M115" s="0">
        <ns0:f>IF(AND(L115=1,OR(C115=0,IFERROR(INDEX($X$11:$X$60,C115),0)=0)),1,0)</ns0:f>
        <ns0:v>0</ns0:v>
      </ns0:c>
      <ns0:c r="N115" s="0">
        <ns0:f>IF(OR(A115=0,L115&gt;0,$B$6&gt;0,Bookings!G115="Cancelled"),0,G115)</ns0:f>
        <ns0:v>0</ns0:v>
      </ns0:c>
      <ns0:c r="O115" s="0">
        <ns0:f>IF(AND(Bookings!G115="Approved",E115="Yes"),N115,0)</ns0:f>
        <ns0:v>0</ns0:v>
      </ns0:c>
      <ns0:c r="P115" s="0">
        <ns0:f>IF(AND(Bookings!G115="Approved",E115="Yes",L115=0,$B$6=0),H115,0)</ns0:f>
        <ns0:v>0</ns0:v>
      </ns0:c>
      <ns0:c r="Q115" s="0">
        <ns0:f>IF(AND(Bookings!G115="Approved",E115="Yes",L115=0,$B$6=0),I115,0)</ns0:f>
        <ns0:v>0</ns0:v>
      </ns0:c>
      <ns0:c r="R115" s="0">
        <ns0:f>IF(AND(Bookings!G115="Pending",E115="Yes"),N115,0)</ns0:f>
        <ns0:v>0</ns0:v>
      </ns0:c>
      <ns0:c r="S115" s="0">
        <ns0:f>IF(AND(Bookings!G115="Approved",E115="No"),N115,0)</ns0:f>
        <ns0:v>0</ns0:v>
      </ns0:c>
      <ns0:c r="T115" s="0">
        <ns0:f>IFERROR(MATCH(D115,Settings!$G$7:$G$11,0),0)</ns0:f>
        <ns0:v>0</ns0:v>
      </ns0:c>
      <ns0:c r="U115" s="0">
        <ns0:f>IF(N115&gt;0,T115+IF(Bookings!G115="Pending",10,0),0)</ns0:f>
        <ns0:v>0</ns0:v>
      </ns0:c>
      <ns0:c r="V115" s="0">
        <ns0:f>U115</ns0:f>
        <ns0:v>0</ns0:v>
      </ns0:c>
      <ns0:c r="W115" s="0" t="str">
        <ns0:f>IF(C115=0,"",INDEX($AP$11:$AP$60,C115))</ns0:f>
        <ns0:v/>
      </ns0:c>
    </ns0:row>
    <ns0:row r="116">
      <ns0:c r="A116" s="0">
        <ns0:f>IF(COUNTA(Bookings!A116:G116,Bookings!I116)=0,0,1)</ns0:f>
        <ns0:v>0</ns0:v>
      </ns0:c>
      <ns0:c r="B116" s="0" t="str">
        <ns0:f>IFERROR(TRIM(MID(Bookings!A116,FIND(" · ",Bookings!A116)+3,99)),"")</ns0:f>
        <ns0:v/>
      </ns0:c>
      <ns0:c r="C116" s="0">
        <ns0:f>IF(OR(B116="",LEN(B116)&gt;24,ISNUMBER(FIND(" ",B116)),ISNUMBER(FIND("*",B116)),ISNUMBER(FIND("?",B116)),ISNUMBER(FIND("~",B116))),0,IFERROR(MATCH(B116,Team!$A$11:$A$60,0),0))</ns0:f>
        <ns0:v>0</ns0:v>
      </ns0:c>
      <ns0:c r="D116" s="0" t="str">
        <ns0:f>IFERROR(IF(MID(Bookings!F116,LEN(Bookings!F116)-3,3)=" · ",RIGHT(Bookings!F116,1),""),"")</ns0:f>
        <ns0:v/>
      </ns0:c>
      <ns0:c r="E116" s="0" t="str">
        <ns0:f>IFERROR(INDEX(Settings!$H$7:$H$11,MATCH(D116,Settings!$G$7:$G$11,0)),"")</ns0:f>
        <ns0:v/>
      </ns0:c>
      <ns0:c r="F116" s="0" t="str">
        <ns0:f>IF(A116=0,"",IFERROR(IF(OR(B116="",C116=0),"CHECK employee selection",IF(INDEX(Team!$O$11:$O$60,C116)&lt;&gt;"OK","CHECK employee setup",IF(OR('_Dates'!J116=0,'_Dates'!T116=0),"CHECK date: use DD.MM.YYYY",IF('_Dates'!T116&lt;'_Dates'!J116,"CHECK end before start",IF(AND($B$6=0,OR('_Dates'!J116&lt;Settings!$B$7,'_Dates'!T116&gt;Settings!$B$8)),"CHECK split across leave years",IF(OR(NOT(OR('_Dates'!U116="Full day",'_Dates'!U116="AM",'_Dates'!U116="PM")),NOT(OR('_Dates'!V116="Full day",'_Dates'!V116="AM",'_Dates'!V116="PM"))),"CHECK Full day / AM / PM",IF(AND('_Dates'!J116='_Dates'!T116,'_Dates'!U116&lt;&gt;"Full day",'_Dates'!V116&lt;&gt;"Full day",'_Dates'!U116&lt;&gt;'_Dates'!V116),"CHECK same-day portions disagree",IF(AND($B$6=0,OR(AND('_Dates'!U116&lt;&gt;"Full day",'_Dates'!AA116=0),AND('_Dates'!V116&lt;&gt;"Full day",'_Dates'!AB116=0))),"CHECK half-day on non-working date",IF(COUNTIF(Settings!$G$7:$G$11,D116)&lt;&gt;1,"CHECK leave type",IF(AND(Bookings!G116&lt;&gt;"Approved",Bookings!G116&lt;&gt;"Pending",Bookings!G116&lt;&gt;"Cancelled"),"CHECK status","OK")))))))))),"CHECK input"))</ns0:f>
        <ns0:v/>
      </ns0:c>
      <ns0:c r="G116" s="0">
        <ns0:f>IF(OR(F116&lt;&gt;"OK",$B$6&gt;0),0,0.5*(IF(('_Dates'!X116)&lt;('_Dates'!W116),0,INT((('_Dates'!X116)-('_Dates'!W116)+1)/7)*LEN(SUBSTITUTE(W116,"O",""))+LEN(SUBSTITUTE(MID(W116&amp;W116,WEEKDAY(('_Dates'!W116),2),MOD((('_Dates'!X116)-('_Dates'!W116)+1),7)),"O",""))-COUNTIFS(INDEX(AllClosureRows,C116,0),"&gt;="&amp;('_Dates'!W116),INDEX(AllClosureRows,C116,0),"&lt;="&amp;('_Dates'!X116)))+IF(('_Dates'!Z116)&lt;('_Dates'!Y116),0,INT((('_Dates'!Z116)-('_Dates'!Y116)+1)/7)*LEN(SUBSTITUTE(W116,"O",""))+LEN(SUBSTITUTE(MID(W116&amp;W116,WEEKDAY(('_Dates'!Y116),2),MOD((('_Dates'!Z116)-('_Dates'!Y116)+1),7)),"O",""))-COUNTIFS(INDEX(AllClosureRows,C116,0),"&gt;="&amp;('_Dates'!Y116),INDEX(AllClosureRows,C116,0),"&lt;="&amp;('_Dates'!Z116)))))</ns0:f>
        <ns0:v>0</ns0:v>
      </ns0:c>
      <ns0:c r="H116" s="0">
        <ns0:f>IF(OR(F116&lt;&gt;"OK",$B$6&gt;0),0,0.5*(IF((MIN('_Dates'!X116,Settings!$B$9))&lt;('_Dates'!W116),0,INT(((MIN('_Dates'!X116,Settings!$B$9))-('_Dates'!W116)+1)/7)*LEN(SUBSTITUTE(W116,"O",""))+LEN(SUBSTITUTE(MID(W116&amp;W116,WEEKDAY(('_Dates'!W116),2),MOD(((MIN('_Dates'!X116,Settings!$B$9))-('_Dates'!W116)+1),7)),"O",""))-COUNTIFS(INDEX(AllClosureRows,C116,0),"&gt;="&amp;('_Dates'!W116),INDEX(AllClosureRows,C116,0),"&lt;="&amp;(MIN('_Dates'!X116,Settings!$B$9))))+IF((MIN('_Dates'!Z116,Settings!$B$9))&lt;('_Dates'!Y116),0,INT(((MIN('_Dates'!Z116,Settings!$B$9))-('_Dates'!Y116)+1)/7)*LEN(SUBSTITUTE(W116,"O",""))+LEN(SUBSTITUTE(MID(W116&amp;W116,WEEKDAY(('_Dates'!Y116),2),MOD(((MIN('_Dates'!Z116,Settings!$B$9))-('_Dates'!Y116)+1),7)),"O",""))-COUNTIFS(INDEX(AllClosureRows,C116,0),"&gt;="&amp;('_Dates'!Y116),INDEX(AllClosureRows,C116,0),"&lt;="&amp;(MIN('_Dates'!Z116,Settings!$B$9))))))</ns0:f>
        <ns0:v>0</ns0:v>
      </ns0:c>
      <ns0:c r="I116" s="0">
        <ns0:f>MAX(0,G116-H116)</ns0:f>
        <ns0:v>0</ns0:v>
      </ns0:c>
      <ns0:c r="J116" s="0">
        <ns0:f>IF(OR(A116=0,F116&lt;&gt;"OK",Bookings!G116="Cancelled",$B$6&gt;0),0,IF('_Dates'!AC116=1,MAX(0,COUNTIFS(rngEngine_B,B116,rngAMStart,"&lt;="&amp;'_Dates'!X116,rngAMEnd,"&gt;="&amp;'_Dates'!W116,rngAMActive,1,rngEngine_F,"OK",rngBookings_F,"&lt;&gt;Cancelled")-1),0)+IF('_Dates'!AD116=1,MAX(0,COUNTIFS(rngEngine_B,B116,rngPMStart,"&lt;="&amp;'_Dates'!Z116,rngPMEnd,"&gt;="&amp;'_Dates'!Y116,rngPMActive,1,rngEngine_F,"OK",rngBookings_F,"&lt;&gt;Cancelled")-1),0))</ns0:f>
        <ns0:v>0</ns0:v>
      </ns0:c>
      <ns0:c r="K116" s="0" t="str">
        <ns0:f>IF(A116=0,"",IF(F116&lt;&gt;"OK",F116,IF(J116&gt;0,"CHECK overlapping entry",IF(AND($B$6=0,G116&lt;=0,Bookings!G116&lt;&gt;"Cancelled"),"CHECK no working days",IF(Bookings!G116="Cancelled","Cancelled","OK")))))</ns0:f>
        <ns0:v/>
      </ns0:c>
      <ns0:c r="L116" s="0">
        <ns0:f>IF(LEFT(K116,5)="CHECK",1,0)</ns0:f>
        <ns0:v>0</ns0:v>
      </ns0:c>
      <ns0:c r="M116" s="0">
        <ns0:f>IF(AND(L116=1,OR(C116=0,IFERROR(INDEX($X$11:$X$60,C116),0)=0)),1,0)</ns0:f>
        <ns0:v>0</ns0:v>
      </ns0:c>
      <ns0:c r="N116" s="0">
        <ns0:f>IF(OR(A116=0,L116&gt;0,$B$6&gt;0,Bookings!G116="Cancelled"),0,G116)</ns0:f>
        <ns0:v>0</ns0:v>
      </ns0:c>
      <ns0:c r="O116" s="0">
        <ns0:f>IF(AND(Bookings!G116="Approved",E116="Yes"),N116,0)</ns0:f>
        <ns0:v>0</ns0:v>
      </ns0:c>
      <ns0:c r="P116" s="0">
        <ns0:f>IF(AND(Bookings!G116="Approved",E116="Yes",L116=0,$B$6=0),H116,0)</ns0:f>
        <ns0:v>0</ns0:v>
      </ns0:c>
      <ns0:c r="Q116" s="0">
        <ns0:f>IF(AND(Bookings!G116="Approved",E116="Yes",L116=0,$B$6=0),I116,0)</ns0:f>
        <ns0:v>0</ns0:v>
      </ns0:c>
      <ns0:c r="R116" s="0">
        <ns0:f>IF(AND(Bookings!G116="Pending",E116="Yes"),N116,0)</ns0:f>
        <ns0:v>0</ns0:v>
      </ns0:c>
      <ns0:c r="S116" s="0">
        <ns0:f>IF(AND(Bookings!G116="Approved",E116="No"),N116,0)</ns0:f>
        <ns0:v>0</ns0:v>
      </ns0:c>
      <ns0:c r="T116" s="0">
        <ns0:f>IFERROR(MATCH(D116,Settings!$G$7:$G$11,0),0)</ns0:f>
        <ns0:v>0</ns0:v>
      </ns0:c>
      <ns0:c r="U116" s="0">
        <ns0:f>IF(N116&gt;0,T116+IF(Bookings!G116="Pending",10,0),0)</ns0:f>
        <ns0:v>0</ns0:v>
      </ns0:c>
      <ns0:c r="V116" s="0">
        <ns0:f>U116</ns0:f>
        <ns0:v>0</ns0:v>
      </ns0:c>
      <ns0:c r="W116" s="0" t="str">
        <ns0:f>IF(C116=0,"",INDEX($AP$11:$AP$60,C116))</ns0:f>
        <ns0:v/>
      </ns0:c>
    </ns0:row>
    <ns0:row r="117">
      <ns0:c r="A117" s="0">
        <ns0:f>IF(COUNTA(Bookings!A117:G117,Bookings!I117)=0,0,1)</ns0:f>
        <ns0:v>0</ns0:v>
      </ns0:c>
      <ns0:c r="B117" s="0" t="str">
        <ns0:f>IFERROR(TRIM(MID(Bookings!A117,FIND(" · ",Bookings!A117)+3,99)),"")</ns0:f>
        <ns0:v/>
      </ns0:c>
      <ns0:c r="C117" s="0">
        <ns0:f>IF(OR(B117="",LEN(B117)&gt;24,ISNUMBER(FIND(" ",B117)),ISNUMBER(FIND("*",B117)),ISNUMBER(FIND("?",B117)),ISNUMBER(FIND("~",B117))),0,IFERROR(MATCH(B117,Team!$A$11:$A$60,0),0))</ns0:f>
        <ns0:v>0</ns0:v>
      </ns0:c>
      <ns0:c r="D117" s="0" t="str">
        <ns0:f>IFERROR(IF(MID(Bookings!F117,LEN(Bookings!F117)-3,3)=" · ",RIGHT(Bookings!F117,1),""),"")</ns0:f>
        <ns0:v/>
      </ns0:c>
      <ns0:c r="E117" s="0" t="str">
        <ns0:f>IFERROR(INDEX(Settings!$H$7:$H$11,MATCH(D117,Settings!$G$7:$G$11,0)),"")</ns0:f>
        <ns0:v/>
      </ns0:c>
      <ns0:c r="F117" s="0" t="str">
        <ns0:f>IF(A117=0,"",IFERROR(IF(OR(B117="",C117=0),"CHECK employee selection",IF(INDEX(Team!$O$11:$O$60,C117)&lt;&gt;"OK","CHECK employee setup",IF(OR('_Dates'!J117=0,'_Dates'!T117=0),"CHECK date: use DD.MM.YYYY",IF('_Dates'!T117&lt;'_Dates'!J117,"CHECK end before start",IF(AND($B$6=0,OR('_Dates'!J117&lt;Settings!$B$7,'_Dates'!T117&gt;Settings!$B$8)),"CHECK split across leave years",IF(OR(NOT(OR('_Dates'!U117="Full day",'_Dates'!U117="AM",'_Dates'!U117="PM")),NOT(OR('_Dates'!V117="Full day",'_Dates'!V117="AM",'_Dates'!V117="PM"))),"CHECK Full day / AM / PM",IF(AND('_Dates'!J117='_Dates'!T117,'_Dates'!U117&lt;&gt;"Full day",'_Dates'!V117&lt;&gt;"Full day",'_Dates'!U117&lt;&gt;'_Dates'!V117),"CHECK same-day portions disagree",IF(AND($B$6=0,OR(AND('_Dates'!U117&lt;&gt;"Full day",'_Dates'!AA117=0),AND('_Dates'!V117&lt;&gt;"Full day",'_Dates'!AB117=0))),"CHECK half-day on non-working date",IF(COUNTIF(Settings!$G$7:$G$11,D117)&lt;&gt;1,"CHECK leave type",IF(AND(Bookings!G117&lt;&gt;"Approved",Bookings!G117&lt;&gt;"Pending",Bookings!G117&lt;&gt;"Cancelled"),"CHECK status","OK")))))))))),"CHECK input"))</ns0:f>
        <ns0:v/>
      </ns0:c>
      <ns0:c r="G117" s="0">
        <ns0:f>IF(OR(F117&lt;&gt;"OK",$B$6&gt;0),0,0.5*(IF(('_Dates'!X117)&lt;('_Dates'!W117),0,INT((('_Dates'!X117)-('_Dates'!W117)+1)/7)*LEN(SUBSTITUTE(W117,"O",""))+LEN(SUBSTITUTE(MID(W117&amp;W117,WEEKDAY(('_Dates'!W117),2),MOD((('_Dates'!X117)-('_Dates'!W117)+1),7)),"O",""))-COUNTIFS(INDEX(AllClosureRows,C117,0),"&gt;="&amp;('_Dates'!W117),INDEX(AllClosureRows,C117,0),"&lt;="&amp;('_Dates'!X117)))+IF(('_Dates'!Z117)&lt;('_Dates'!Y117),0,INT((('_Dates'!Z117)-('_Dates'!Y117)+1)/7)*LEN(SUBSTITUTE(W117,"O",""))+LEN(SUBSTITUTE(MID(W117&amp;W117,WEEKDAY(('_Dates'!Y117),2),MOD((('_Dates'!Z117)-('_Dates'!Y117)+1),7)),"O",""))-COUNTIFS(INDEX(AllClosureRows,C117,0),"&gt;="&amp;('_Dates'!Y117),INDEX(AllClosureRows,C117,0),"&lt;="&amp;('_Dates'!Z117)))))</ns0:f>
        <ns0:v>0</ns0:v>
      </ns0:c>
      <ns0:c r="H117" s="0">
        <ns0:f>IF(OR(F117&lt;&gt;"OK",$B$6&gt;0),0,0.5*(IF((MIN('_Dates'!X117,Settings!$B$9))&lt;('_Dates'!W117),0,INT(((MIN('_Dates'!X117,Settings!$B$9))-('_Dates'!W117)+1)/7)*LEN(SUBSTITUTE(W117,"O",""))+LEN(SUBSTITUTE(MID(W117&amp;W117,WEEKDAY(('_Dates'!W117),2),MOD(((MIN('_Dates'!X117,Settings!$B$9))-('_Dates'!W117)+1),7)),"O",""))-COUNTIFS(INDEX(AllClosureRows,C117,0),"&gt;="&amp;('_Dates'!W117),INDEX(AllClosureRows,C117,0),"&lt;="&amp;(MIN('_Dates'!X117,Settings!$B$9))))+IF((MIN('_Dates'!Z117,Settings!$B$9))&lt;('_Dates'!Y117),0,INT(((MIN('_Dates'!Z117,Settings!$B$9))-('_Dates'!Y117)+1)/7)*LEN(SUBSTITUTE(W117,"O",""))+LEN(SUBSTITUTE(MID(W117&amp;W117,WEEKDAY(('_Dates'!Y117),2),MOD(((MIN('_Dates'!Z117,Settings!$B$9))-('_Dates'!Y117)+1),7)),"O",""))-COUNTIFS(INDEX(AllClosureRows,C117,0),"&gt;="&amp;('_Dates'!Y117),INDEX(AllClosureRows,C117,0),"&lt;="&amp;(MIN('_Dates'!Z117,Settings!$B$9))))))</ns0:f>
        <ns0:v>0</ns0:v>
      </ns0:c>
      <ns0:c r="I117" s="0">
        <ns0:f>MAX(0,G117-H117)</ns0:f>
        <ns0:v>0</ns0:v>
      </ns0:c>
      <ns0:c r="J117" s="0">
        <ns0:f>IF(OR(A117=0,F117&lt;&gt;"OK",Bookings!G117="Cancelled",$B$6&gt;0),0,IF('_Dates'!AC117=1,MAX(0,COUNTIFS(rngEngine_B,B117,rngAMStart,"&lt;="&amp;'_Dates'!X117,rngAMEnd,"&gt;="&amp;'_Dates'!W117,rngAMActive,1,rngEngine_F,"OK",rngBookings_F,"&lt;&gt;Cancelled")-1),0)+IF('_Dates'!AD117=1,MAX(0,COUNTIFS(rngEngine_B,B117,rngPMStart,"&lt;="&amp;'_Dates'!Z117,rngPMEnd,"&gt;="&amp;'_Dates'!Y117,rngPMActive,1,rngEngine_F,"OK",rngBookings_F,"&lt;&gt;Cancelled")-1),0))</ns0:f>
        <ns0:v>0</ns0:v>
      </ns0:c>
      <ns0:c r="K117" s="0" t="str">
        <ns0:f>IF(A117=0,"",IF(F117&lt;&gt;"OK",F117,IF(J117&gt;0,"CHECK overlapping entry",IF(AND($B$6=0,G117&lt;=0,Bookings!G117&lt;&gt;"Cancelled"),"CHECK no working days",IF(Bookings!G117="Cancelled","Cancelled","OK")))))</ns0:f>
        <ns0:v/>
      </ns0:c>
      <ns0:c r="L117" s="0">
        <ns0:f>IF(LEFT(K117,5)="CHECK",1,0)</ns0:f>
        <ns0:v>0</ns0:v>
      </ns0:c>
      <ns0:c r="M117" s="0">
        <ns0:f>IF(AND(L117=1,OR(C117=0,IFERROR(INDEX($X$11:$X$60,C117),0)=0)),1,0)</ns0:f>
        <ns0:v>0</ns0:v>
      </ns0:c>
      <ns0:c r="N117" s="0">
        <ns0:f>IF(OR(A117=0,L117&gt;0,$B$6&gt;0,Bookings!G117="Cancelled"),0,G117)</ns0:f>
        <ns0:v>0</ns0:v>
      </ns0:c>
      <ns0:c r="O117" s="0">
        <ns0:f>IF(AND(Bookings!G117="Approved",E117="Yes"),N117,0)</ns0:f>
        <ns0:v>0</ns0:v>
      </ns0:c>
      <ns0:c r="P117" s="0">
        <ns0:f>IF(AND(Bookings!G117="Approved",E117="Yes",L117=0,$B$6=0),H117,0)</ns0:f>
        <ns0:v>0</ns0:v>
      </ns0:c>
      <ns0:c r="Q117" s="0">
        <ns0:f>IF(AND(Bookings!G117="Approved",E117="Yes",L117=0,$B$6=0),I117,0)</ns0:f>
        <ns0:v>0</ns0:v>
      </ns0:c>
      <ns0:c r="R117" s="0">
        <ns0:f>IF(AND(Bookings!G117="Pending",E117="Yes"),N117,0)</ns0:f>
        <ns0:v>0</ns0:v>
      </ns0:c>
      <ns0:c r="S117" s="0">
        <ns0:f>IF(AND(Bookings!G117="Approved",E117="No"),N117,0)</ns0:f>
        <ns0:v>0</ns0:v>
      </ns0:c>
      <ns0:c r="T117" s="0">
        <ns0:f>IFERROR(MATCH(D117,Settings!$G$7:$G$11,0),0)</ns0:f>
        <ns0:v>0</ns0:v>
      </ns0:c>
      <ns0:c r="U117" s="0">
        <ns0:f>IF(N117&gt;0,T117+IF(Bookings!G117="Pending",10,0),0)</ns0:f>
        <ns0:v>0</ns0:v>
      </ns0:c>
      <ns0:c r="V117" s="0">
        <ns0:f>U117</ns0:f>
        <ns0:v>0</ns0:v>
      </ns0:c>
      <ns0:c r="W117" s="0" t="str">
        <ns0:f>IF(C117=0,"",INDEX($AP$11:$AP$60,C117))</ns0:f>
        <ns0:v/>
      </ns0:c>
    </ns0:row>
    <ns0:row r="118">
      <ns0:c r="A118" s="0">
        <ns0:f>IF(COUNTA(Bookings!A118:G118,Bookings!I118)=0,0,1)</ns0:f>
        <ns0:v>0</ns0:v>
      </ns0:c>
      <ns0:c r="B118" s="0" t="str">
        <ns0:f>IFERROR(TRIM(MID(Bookings!A118,FIND(" · ",Bookings!A118)+3,99)),"")</ns0:f>
        <ns0:v/>
      </ns0:c>
      <ns0:c r="C118" s="0">
        <ns0:f>IF(OR(B118="",LEN(B118)&gt;24,ISNUMBER(FIND(" ",B118)),ISNUMBER(FIND("*",B118)),ISNUMBER(FIND("?",B118)),ISNUMBER(FIND("~",B118))),0,IFERROR(MATCH(B118,Team!$A$11:$A$60,0),0))</ns0:f>
        <ns0:v>0</ns0:v>
      </ns0:c>
      <ns0:c r="D118" s="0" t="str">
        <ns0:f>IFERROR(IF(MID(Bookings!F118,LEN(Bookings!F118)-3,3)=" · ",RIGHT(Bookings!F118,1),""),"")</ns0:f>
        <ns0:v/>
      </ns0:c>
      <ns0:c r="E118" s="0" t="str">
        <ns0:f>IFERROR(INDEX(Settings!$H$7:$H$11,MATCH(D118,Settings!$G$7:$G$11,0)),"")</ns0:f>
        <ns0:v/>
      </ns0:c>
      <ns0:c r="F118" s="0" t="str">
        <ns0:f>IF(A118=0,"",IFERROR(IF(OR(B118="",C118=0),"CHECK employee selection",IF(INDEX(Team!$O$11:$O$60,C118)&lt;&gt;"OK","CHECK employee setup",IF(OR('_Dates'!J118=0,'_Dates'!T118=0),"CHECK date: use DD.MM.YYYY",IF('_Dates'!T118&lt;'_Dates'!J118,"CHECK end before start",IF(AND($B$6=0,OR('_Dates'!J118&lt;Settings!$B$7,'_Dates'!T118&gt;Settings!$B$8)),"CHECK split across leave years",IF(OR(NOT(OR('_Dates'!U118="Full day",'_Dates'!U118="AM",'_Dates'!U118="PM")),NOT(OR('_Dates'!V118="Full day",'_Dates'!V118="AM",'_Dates'!V118="PM"))),"CHECK Full day / AM / PM",IF(AND('_Dates'!J118='_Dates'!T118,'_Dates'!U118&lt;&gt;"Full day",'_Dates'!V118&lt;&gt;"Full day",'_Dates'!U118&lt;&gt;'_Dates'!V118),"CHECK same-day portions disagree",IF(AND($B$6=0,OR(AND('_Dates'!U118&lt;&gt;"Full day",'_Dates'!AA118=0),AND('_Dates'!V118&lt;&gt;"Full day",'_Dates'!AB118=0))),"CHECK half-day on non-working date",IF(COUNTIF(Settings!$G$7:$G$11,D118)&lt;&gt;1,"CHECK leave type",IF(AND(Bookings!G118&lt;&gt;"Approved",Bookings!G118&lt;&gt;"Pending",Bookings!G118&lt;&gt;"Cancelled"),"CHECK status","OK")))))))))),"CHECK input"))</ns0:f>
        <ns0:v/>
      </ns0:c>
      <ns0:c r="G118" s="0">
        <ns0:f>IF(OR(F118&lt;&gt;"OK",$B$6&gt;0),0,0.5*(IF(('_Dates'!X118)&lt;('_Dates'!W118),0,INT((('_Dates'!X118)-('_Dates'!W118)+1)/7)*LEN(SUBSTITUTE(W118,"O",""))+LEN(SUBSTITUTE(MID(W118&amp;W118,WEEKDAY(('_Dates'!W118),2),MOD((('_Dates'!X118)-('_Dates'!W118)+1),7)),"O",""))-COUNTIFS(INDEX(AllClosureRows,C118,0),"&gt;="&amp;('_Dates'!W118),INDEX(AllClosureRows,C118,0),"&lt;="&amp;('_Dates'!X118)))+IF(('_Dates'!Z118)&lt;('_Dates'!Y118),0,INT((('_Dates'!Z118)-('_Dates'!Y118)+1)/7)*LEN(SUBSTITUTE(W118,"O",""))+LEN(SUBSTITUTE(MID(W118&amp;W118,WEEKDAY(('_Dates'!Y118),2),MOD((('_Dates'!Z118)-('_Dates'!Y118)+1),7)),"O",""))-COUNTIFS(INDEX(AllClosureRows,C118,0),"&gt;="&amp;('_Dates'!Y118),INDEX(AllClosureRows,C118,0),"&lt;="&amp;('_Dates'!Z118)))))</ns0:f>
        <ns0:v>0</ns0:v>
      </ns0:c>
      <ns0:c r="H118" s="0">
        <ns0:f>IF(OR(F118&lt;&gt;"OK",$B$6&gt;0),0,0.5*(IF((MIN('_Dates'!X118,Settings!$B$9))&lt;('_Dates'!W118),0,INT(((MIN('_Dates'!X118,Settings!$B$9))-('_Dates'!W118)+1)/7)*LEN(SUBSTITUTE(W118,"O",""))+LEN(SUBSTITUTE(MID(W118&amp;W118,WEEKDAY(('_Dates'!W118),2),MOD(((MIN('_Dates'!X118,Settings!$B$9))-('_Dates'!W118)+1),7)),"O",""))-COUNTIFS(INDEX(AllClosureRows,C118,0),"&gt;="&amp;('_Dates'!W118),INDEX(AllClosureRows,C118,0),"&lt;="&amp;(MIN('_Dates'!X118,Settings!$B$9))))+IF((MIN('_Dates'!Z118,Settings!$B$9))&lt;('_Dates'!Y118),0,INT(((MIN('_Dates'!Z118,Settings!$B$9))-('_Dates'!Y118)+1)/7)*LEN(SUBSTITUTE(W118,"O",""))+LEN(SUBSTITUTE(MID(W118&amp;W118,WEEKDAY(('_Dates'!Y118),2),MOD(((MIN('_Dates'!Z118,Settings!$B$9))-('_Dates'!Y118)+1),7)),"O",""))-COUNTIFS(INDEX(AllClosureRows,C118,0),"&gt;="&amp;('_Dates'!Y118),INDEX(AllClosureRows,C118,0),"&lt;="&amp;(MIN('_Dates'!Z118,Settings!$B$9))))))</ns0:f>
        <ns0:v>0</ns0:v>
      </ns0:c>
      <ns0:c r="I118" s="0">
        <ns0:f>MAX(0,G118-H118)</ns0:f>
        <ns0:v>0</ns0:v>
      </ns0:c>
      <ns0:c r="J118" s="0">
        <ns0:f>IF(OR(A118=0,F118&lt;&gt;"OK",Bookings!G118="Cancelled",$B$6&gt;0),0,IF('_Dates'!AC118=1,MAX(0,COUNTIFS(rngEngine_B,B118,rngAMStart,"&lt;="&amp;'_Dates'!X118,rngAMEnd,"&gt;="&amp;'_Dates'!W118,rngAMActive,1,rngEngine_F,"OK",rngBookings_F,"&lt;&gt;Cancelled")-1),0)+IF('_Dates'!AD118=1,MAX(0,COUNTIFS(rngEngine_B,B118,rngPMStart,"&lt;="&amp;'_Dates'!Z118,rngPMEnd,"&gt;="&amp;'_Dates'!Y118,rngPMActive,1,rngEngine_F,"OK",rngBookings_F,"&lt;&gt;Cancelled")-1),0))</ns0:f>
        <ns0:v>0</ns0:v>
      </ns0:c>
      <ns0:c r="K118" s="0" t="str">
        <ns0:f>IF(A118=0,"",IF(F118&lt;&gt;"OK",F118,IF(J118&gt;0,"CHECK overlapping entry",IF(AND($B$6=0,G118&lt;=0,Bookings!G118&lt;&gt;"Cancelled"),"CHECK no working days",IF(Bookings!G118="Cancelled","Cancelled","OK")))))</ns0:f>
        <ns0:v/>
      </ns0:c>
      <ns0:c r="L118" s="0">
        <ns0:f>IF(LEFT(K118,5)="CHECK",1,0)</ns0:f>
        <ns0:v>0</ns0:v>
      </ns0:c>
      <ns0:c r="M118" s="0">
        <ns0:f>IF(AND(L118=1,OR(C118=0,IFERROR(INDEX($X$11:$X$60,C118),0)=0)),1,0)</ns0:f>
        <ns0:v>0</ns0:v>
      </ns0:c>
      <ns0:c r="N118" s="0">
        <ns0:f>IF(OR(A118=0,L118&gt;0,$B$6&gt;0,Bookings!G118="Cancelled"),0,G118)</ns0:f>
        <ns0:v>0</ns0:v>
      </ns0:c>
      <ns0:c r="O118" s="0">
        <ns0:f>IF(AND(Bookings!G118="Approved",E118="Yes"),N118,0)</ns0:f>
        <ns0:v>0</ns0:v>
      </ns0:c>
      <ns0:c r="P118" s="0">
        <ns0:f>IF(AND(Bookings!G118="Approved",E118="Yes",L118=0,$B$6=0),H118,0)</ns0:f>
        <ns0:v>0</ns0:v>
      </ns0:c>
      <ns0:c r="Q118" s="0">
        <ns0:f>IF(AND(Bookings!G118="Approved",E118="Yes",L118=0,$B$6=0),I118,0)</ns0:f>
        <ns0:v>0</ns0:v>
      </ns0:c>
      <ns0:c r="R118" s="0">
        <ns0:f>IF(AND(Bookings!G118="Pending",E118="Yes"),N118,0)</ns0:f>
        <ns0:v>0</ns0:v>
      </ns0:c>
      <ns0:c r="S118" s="0">
        <ns0:f>IF(AND(Bookings!G118="Approved",E118="No"),N118,0)</ns0:f>
        <ns0:v>0</ns0:v>
      </ns0:c>
      <ns0:c r="T118" s="0">
        <ns0:f>IFERROR(MATCH(D118,Settings!$G$7:$G$11,0),0)</ns0:f>
        <ns0:v>0</ns0:v>
      </ns0:c>
      <ns0:c r="U118" s="0">
        <ns0:f>IF(N118&gt;0,T118+IF(Bookings!G118="Pending",10,0),0)</ns0:f>
        <ns0:v>0</ns0:v>
      </ns0:c>
      <ns0:c r="V118" s="0">
        <ns0:f>U118</ns0:f>
        <ns0:v>0</ns0:v>
      </ns0:c>
      <ns0:c r="W118" s="0" t="str">
        <ns0:f>IF(C118=0,"",INDEX($AP$11:$AP$60,C118))</ns0:f>
        <ns0:v/>
      </ns0:c>
    </ns0:row>
    <ns0:row r="119">
      <ns0:c r="A119" s="0">
        <ns0:f>IF(COUNTA(Bookings!A119:G119,Bookings!I119)=0,0,1)</ns0:f>
        <ns0:v>0</ns0:v>
      </ns0:c>
      <ns0:c r="B119" s="0" t="str">
        <ns0:f>IFERROR(TRIM(MID(Bookings!A119,FIND(" · ",Bookings!A119)+3,99)),"")</ns0:f>
        <ns0:v/>
      </ns0:c>
      <ns0:c r="C119" s="0">
        <ns0:f>IF(OR(B119="",LEN(B119)&gt;24,ISNUMBER(FIND(" ",B119)),ISNUMBER(FIND("*",B119)),ISNUMBER(FIND("?",B119)),ISNUMBER(FIND("~",B119))),0,IFERROR(MATCH(B119,Team!$A$11:$A$60,0),0))</ns0:f>
        <ns0:v>0</ns0:v>
      </ns0:c>
      <ns0:c r="D119" s="0" t="str">
        <ns0:f>IFERROR(IF(MID(Bookings!F119,LEN(Bookings!F119)-3,3)=" · ",RIGHT(Bookings!F119,1),""),"")</ns0:f>
        <ns0:v/>
      </ns0:c>
      <ns0:c r="E119" s="0" t="str">
        <ns0:f>IFERROR(INDEX(Settings!$H$7:$H$11,MATCH(D119,Settings!$G$7:$G$11,0)),"")</ns0:f>
        <ns0:v/>
      </ns0:c>
      <ns0:c r="F119" s="0" t="str">
        <ns0:f>IF(A119=0,"",IFERROR(IF(OR(B119="",C119=0),"CHECK employee selection",IF(INDEX(Team!$O$11:$O$60,C119)&lt;&gt;"OK","CHECK employee setup",IF(OR('_Dates'!J119=0,'_Dates'!T119=0),"CHECK date: use DD.MM.YYYY",IF('_Dates'!T119&lt;'_Dates'!J119,"CHECK end before start",IF(AND($B$6=0,OR('_Dates'!J119&lt;Settings!$B$7,'_Dates'!T119&gt;Settings!$B$8)),"CHECK split across leave years",IF(OR(NOT(OR('_Dates'!U119="Full day",'_Dates'!U119="AM",'_Dates'!U119="PM")),NOT(OR('_Dates'!V119="Full day",'_Dates'!V119="AM",'_Dates'!V119="PM"))),"CHECK Full day / AM / PM",IF(AND('_Dates'!J119='_Dates'!T119,'_Dates'!U119&lt;&gt;"Full day",'_Dates'!V119&lt;&gt;"Full day",'_Dates'!U119&lt;&gt;'_Dates'!V119),"CHECK same-day portions disagree",IF(AND($B$6=0,OR(AND('_Dates'!U119&lt;&gt;"Full day",'_Dates'!AA119=0),AND('_Dates'!V119&lt;&gt;"Full day",'_Dates'!AB119=0))),"CHECK half-day on non-working date",IF(COUNTIF(Settings!$G$7:$G$11,D119)&lt;&gt;1,"CHECK leave type",IF(AND(Bookings!G119&lt;&gt;"Approved",Bookings!G119&lt;&gt;"Pending",Bookings!G119&lt;&gt;"Cancelled"),"CHECK status","OK")))))))))),"CHECK input"))</ns0:f>
        <ns0:v/>
      </ns0:c>
      <ns0:c r="G119" s="0">
        <ns0:f>IF(OR(F119&lt;&gt;"OK",$B$6&gt;0),0,0.5*(IF(('_Dates'!X119)&lt;('_Dates'!W119),0,INT((('_Dates'!X119)-('_Dates'!W119)+1)/7)*LEN(SUBSTITUTE(W119,"O",""))+LEN(SUBSTITUTE(MID(W119&amp;W119,WEEKDAY(('_Dates'!W119),2),MOD((('_Dates'!X119)-('_Dates'!W119)+1),7)),"O",""))-COUNTIFS(INDEX(AllClosureRows,C119,0),"&gt;="&amp;('_Dates'!W119),INDEX(AllClosureRows,C119,0),"&lt;="&amp;('_Dates'!X119)))+IF(('_Dates'!Z119)&lt;('_Dates'!Y119),0,INT((('_Dates'!Z119)-('_Dates'!Y119)+1)/7)*LEN(SUBSTITUTE(W119,"O",""))+LEN(SUBSTITUTE(MID(W119&amp;W119,WEEKDAY(('_Dates'!Y119),2),MOD((('_Dates'!Z119)-('_Dates'!Y119)+1),7)),"O",""))-COUNTIFS(INDEX(AllClosureRows,C119,0),"&gt;="&amp;('_Dates'!Y119),INDEX(AllClosureRows,C119,0),"&lt;="&amp;('_Dates'!Z119)))))</ns0:f>
        <ns0:v>0</ns0:v>
      </ns0:c>
      <ns0:c r="H119" s="0">
        <ns0:f>IF(OR(F119&lt;&gt;"OK",$B$6&gt;0),0,0.5*(IF((MIN('_Dates'!X119,Settings!$B$9))&lt;('_Dates'!W119),0,INT(((MIN('_Dates'!X119,Settings!$B$9))-('_Dates'!W119)+1)/7)*LEN(SUBSTITUTE(W119,"O",""))+LEN(SUBSTITUTE(MID(W119&amp;W119,WEEKDAY(('_Dates'!W119),2),MOD(((MIN('_Dates'!X119,Settings!$B$9))-('_Dates'!W119)+1),7)),"O",""))-COUNTIFS(INDEX(AllClosureRows,C119,0),"&gt;="&amp;('_Dates'!W119),INDEX(AllClosureRows,C119,0),"&lt;="&amp;(MIN('_Dates'!X119,Settings!$B$9))))+IF((MIN('_Dates'!Z119,Settings!$B$9))&lt;('_Dates'!Y119),0,INT(((MIN('_Dates'!Z119,Settings!$B$9))-('_Dates'!Y119)+1)/7)*LEN(SUBSTITUTE(W119,"O",""))+LEN(SUBSTITUTE(MID(W119&amp;W119,WEEKDAY(('_Dates'!Y119),2),MOD(((MIN('_Dates'!Z119,Settings!$B$9))-('_Dates'!Y119)+1),7)),"O",""))-COUNTIFS(INDEX(AllClosureRows,C119,0),"&gt;="&amp;('_Dates'!Y119),INDEX(AllClosureRows,C119,0),"&lt;="&amp;(MIN('_Dates'!Z119,Settings!$B$9))))))</ns0:f>
        <ns0:v>0</ns0:v>
      </ns0:c>
      <ns0:c r="I119" s="0">
        <ns0:f>MAX(0,G119-H119)</ns0:f>
        <ns0:v>0</ns0:v>
      </ns0:c>
      <ns0:c r="J119" s="0">
        <ns0:f>IF(OR(A119=0,F119&lt;&gt;"OK",Bookings!G119="Cancelled",$B$6&gt;0),0,IF('_Dates'!AC119=1,MAX(0,COUNTIFS(rngEngine_B,B119,rngAMStart,"&lt;="&amp;'_Dates'!X119,rngAMEnd,"&gt;="&amp;'_Dates'!W119,rngAMActive,1,rngEngine_F,"OK",rngBookings_F,"&lt;&gt;Cancelled")-1),0)+IF('_Dates'!AD119=1,MAX(0,COUNTIFS(rngEngine_B,B119,rngPMStart,"&lt;="&amp;'_Dates'!Z119,rngPMEnd,"&gt;="&amp;'_Dates'!Y119,rngPMActive,1,rngEngine_F,"OK",rngBookings_F,"&lt;&gt;Cancelled")-1),0))</ns0:f>
        <ns0:v>0</ns0:v>
      </ns0:c>
      <ns0:c r="K119" s="0" t="str">
        <ns0:f>IF(A119=0,"",IF(F119&lt;&gt;"OK",F119,IF(J119&gt;0,"CHECK overlapping entry",IF(AND($B$6=0,G119&lt;=0,Bookings!G119&lt;&gt;"Cancelled"),"CHECK no working days",IF(Bookings!G119="Cancelled","Cancelled","OK")))))</ns0:f>
        <ns0:v/>
      </ns0:c>
      <ns0:c r="L119" s="0">
        <ns0:f>IF(LEFT(K119,5)="CHECK",1,0)</ns0:f>
        <ns0:v>0</ns0:v>
      </ns0:c>
      <ns0:c r="M119" s="0">
        <ns0:f>IF(AND(L119=1,OR(C119=0,IFERROR(INDEX($X$11:$X$60,C119),0)=0)),1,0)</ns0:f>
        <ns0:v>0</ns0:v>
      </ns0:c>
      <ns0:c r="N119" s="0">
        <ns0:f>IF(OR(A119=0,L119&gt;0,$B$6&gt;0,Bookings!G119="Cancelled"),0,G119)</ns0:f>
        <ns0:v>0</ns0:v>
      </ns0:c>
      <ns0:c r="O119" s="0">
        <ns0:f>IF(AND(Bookings!G119="Approved",E119="Yes"),N119,0)</ns0:f>
        <ns0:v>0</ns0:v>
      </ns0:c>
      <ns0:c r="P119" s="0">
        <ns0:f>IF(AND(Bookings!G119="Approved",E119="Yes",L119=0,$B$6=0),H119,0)</ns0:f>
        <ns0:v>0</ns0:v>
      </ns0:c>
      <ns0:c r="Q119" s="0">
        <ns0:f>IF(AND(Bookings!G119="Approved",E119="Yes",L119=0,$B$6=0),I119,0)</ns0:f>
        <ns0:v>0</ns0:v>
      </ns0:c>
      <ns0:c r="R119" s="0">
        <ns0:f>IF(AND(Bookings!G119="Pending",E119="Yes"),N119,0)</ns0:f>
        <ns0:v>0</ns0:v>
      </ns0:c>
      <ns0:c r="S119" s="0">
        <ns0:f>IF(AND(Bookings!G119="Approved",E119="No"),N119,0)</ns0:f>
        <ns0:v>0</ns0:v>
      </ns0:c>
      <ns0:c r="T119" s="0">
        <ns0:f>IFERROR(MATCH(D119,Settings!$G$7:$G$11,0),0)</ns0:f>
        <ns0:v>0</ns0:v>
      </ns0:c>
      <ns0:c r="U119" s="0">
        <ns0:f>IF(N119&gt;0,T119+IF(Bookings!G119="Pending",10,0),0)</ns0:f>
        <ns0:v>0</ns0:v>
      </ns0:c>
      <ns0:c r="V119" s="0">
        <ns0:f>U119</ns0:f>
        <ns0:v>0</ns0:v>
      </ns0:c>
      <ns0:c r="W119" s="0" t="str">
        <ns0:f>IF(C119=0,"",INDEX($AP$11:$AP$60,C119))</ns0:f>
        <ns0:v/>
      </ns0:c>
    </ns0:row>
    <ns0:row r="120">
      <ns0:c r="A120" s="0">
        <ns0:f>IF(COUNTA(Bookings!A120:G120,Bookings!I120)=0,0,1)</ns0:f>
        <ns0:v>0</ns0:v>
      </ns0:c>
      <ns0:c r="B120" s="0" t="str">
        <ns0:f>IFERROR(TRIM(MID(Bookings!A120,FIND(" · ",Bookings!A120)+3,99)),"")</ns0:f>
        <ns0:v/>
      </ns0:c>
      <ns0:c r="C120" s="0">
        <ns0:f>IF(OR(B120="",LEN(B120)&gt;24,ISNUMBER(FIND(" ",B120)),ISNUMBER(FIND("*",B120)),ISNUMBER(FIND("?",B120)),ISNUMBER(FIND("~",B120))),0,IFERROR(MATCH(B120,Team!$A$11:$A$60,0),0))</ns0:f>
        <ns0:v>0</ns0:v>
      </ns0:c>
      <ns0:c r="D120" s="0" t="str">
        <ns0:f>IFERROR(IF(MID(Bookings!F120,LEN(Bookings!F120)-3,3)=" · ",RIGHT(Bookings!F120,1),""),"")</ns0:f>
        <ns0:v/>
      </ns0:c>
      <ns0:c r="E120" s="0" t="str">
        <ns0:f>IFERROR(INDEX(Settings!$H$7:$H$11,MATCH(D120,Settings!$G$7:$G$11,0)),"")</ns0:f>
        <ns0:v/>
      </ns0:c>
      <ns0:c r="F120" s="0" t="str">
        <ns0:f>IF(A120=0,"",IFERROR(IF(OR(B120="",C120=0),"CHECK employee selection",IF(INDEX(Team!$O$11:$O$60,C120)&lt;&gt;"OK","CHECK employee setup",IF(OR('_Dates'!J120=0,'_Dates'!T120=0),"CHECK date: use DD.MM.YYYY",IF('_Dates'!T120&lt;'_Dates'!J120,"CHECK end before start",IF(AND($B$6=0,OR('_Dates'!J120&lt;Settings!$B$7,'_Dates'!T120&gt;Settings!$B$8)),"CHECK split across leave years",IF(OR(NOT(OR('_Dates'!U120="Full day",'_Dates'!U120="AM",'_Dates'!U120="PM")),NOT(OR('_Dates'!V120="Full day",'_Dates'!V120="AM",'_Dates'!V120="PM"))),"CHECK Full day / AM / PM",IF(AND('_Dates'!J120='_Dates'!T120,'_Dates'!U120&lt;&gt;"Full day",'_Dates'!V120&lt;&gt;"Full day",'_Dates'!U120&lt;&gt;'_Dates'!V120),"CHECK same-day portions disagree",IF(AND($B$6=0,OR(AND('_Dates'!U120&lt;&gt;"Full day",'_Dates'!AA120=0),AND('_Dates'!V120&lt;&gt;"Full day",'_Dates'!AB120=0))),"CHECK half-day on non-working date",IF(COUNTIF(Settings!$G$7:$G$11,D120)&lt;&gt;1,"CHECK leave type",IF(AND(Bookings!G120&lt;&gt;"Approved",Bookings!G120&lt;&gt;"Pending",Bookings!G120&lt;&gt;"Cancelled"),"CHECK status","OK")))))))))),"CHECK input"))</ns0:f>
        <ns0:v/>
      </ns0:c>
      <ns0:c r="G120" s="0">
        <ns0:f>IF(OR(F120&lt;&gt;"OK",$B$6&gt;0),0,0.5*(IF(('_Dates'!X120)&lt;('_Dates'!W120),0,INT((('_Dates'!X120)-('_Dates'!W120)+1)/7)*LEN(SUBSTITUTE(W120,"O",""))+LEN(SUBSTITUTE(MID(W120&amp;W120,WEEKDAY(('_Dates'!W120),2),MOD((('_Dates'!X120)-('_Dates'!W120)+1),7)),"O",""))-COUNTIFS(INDEX(AllClosureRows,C120,0),"&gt;="&amp;('_Dates'!W120),INDEX(AllClosureRows,C120,0),"&lt;="&amp;('_Dates'!X120)))+IF(('_Dates'!Z120)&lt;('_Dates'!Y120),0,INT((('_Dates'!Z120)-('_Dates'!Y120)+1)/7)*LEN(SUBSTITUTE(W120,"O",""))+LEN(SUBSTITUTE(MID(W120&amp;W120,WEEKDAY(('_Dates'!Y120),2),MOD((('_Dates'!Z120)-('_Dates'!Y120)+1),7)),"O",""))-COUNTIFS(INDEX(AllClosureRows,C120,0),"&gt;="&amp;('_Dates'!Y120),INDEX(AllClosureRows,C120,0),"&lt;="&amp;('_Dates'!Z120)))))</ns0:f>
        <ns0:v>0</ns0:v>
      </ns0:c>
      <ns0:c r="H120" s="0">
        <ns0:f>IF(OR(F120&lt;&gt;"OK",$B$6&gt;0),0,0.5*(IF((MIN('_Dates'!X120,Settings!$B$9))&lt;('_Dates'!W120),0,INT(((MIN('_Dates'!X120,Settings!$B$9))-('_Dates'!W120)+1)/7)*LEN(SUBSTITUTE(W120,"O",""))+LEN(SUBSTITUTE(MID(W120&amp;W120,WEEKDAY(('_Dates'!W120),2),MOD(((MIN('_Dates'!X120,Settings!$B$9))-('_Dates'!W120)+1),7)),"O",""))-COUNTIFS(INDEX(AllClosureRows,C120,0),"&gt;="&amp;('_Dates'!W120),INDEX(AllClosureRows,C120,0),"&lt;="&amp;(MIN('_Dates'!X120,Settings!$B$9))))+IF((MIN('_Dates'!Z120,Settings!$B$9))&lt;('_Dates'!Y120),0,INT(((MIN('_Dates'!Z120,Settings!$B$9))-('_Dates'!Y120)+1)/7)*LEN(SUBSTITUTE(W120,"O",""))+LEN(SUBSTITUTE(MID(W120&amp;W120,WEEKDAY(('_Dates'!Y120),2),MOD(((MIN('_Dates'!Z120,Settings!$B$9))-('_Dates'!Y120)+1),7)),"O",""))-COUNTIFS(INDEX(AllClosureRows,C120,0),"&gt;="&amp;('_Dates'!Y120),INDEX(AllClosureRows,C120,0),"&lt;="&amp;(MIN('_Dates'!Z120,Settings!$B$9))))))</ns0:f>
        <ns0:v>0</ns0:v>
      </ns0:c>
      <ns0:c r="I120" s="0">
        <ns0:f>MAX(0,G120-H120)</ns0:f>
        <ns0:v>0</ns0:v>
      </ns0:c>
      <ns0:c r="J120" s="0">
        <ns0:f>IF(OR(A120=0,F120&lt;&gt;"OK",Bookings!G120="Cancelled",$B$6&gt;0),0,IF('_Dates'!AC120=1,MAX(0,COUNTIFS(rngEngine_B,B120,rngAMStart,"&lt;="&amp;'_Dates'!X120,rngAMEnd,"&gt;="&amp;'_Dates'!W120,rngAMActive,1,rngEngine_F,"OK",rngBookings_F,"&lt;&gt;Cancelled")-1),0)+IF('_Dates'!AD120=1,MAX(0,COUNTIFS(rngEngine_B,B120,rngPMStart,"&lt;="&amp;'_Dates'!Z120,rngPMEnd,"&gt;="&amp;'_Dates'!Y120,rngPMActive,1,rngEngine_F,"OK",rngBookings_F,"&lt;&gt;Cancelled")-1),0))</ns0:f>
        <ns0:v>0</ns0:v>
      </ns0:c>
      <ns0:c r="K120" s="0" t="str">
        <ns0:f>IF(A120=0,"",IF(F120&lt;&gt;"OK",F120,IF(J120&gt;0,"CHECK overlapping entry",IF(AND($B$6=0,G120&lt;=0,Bookings!G120&lt;&gt;"Cancelled"),"CHECK no working days",IF(Bookings!G120="Cancelled","Cancelled","OK")))))</ns0:f>
        <ns0:v/>
      </ns0:c>
      <ns0:c r="L120" s="0">
        <ns0:f>IF(LEFT(K120,5)="CHECK",1,0)</ns0:f>
        <ns0:v>0</ns0:v>
      </ns0:c>
      <ns0:c r="M120" s="0">
        <ns0:f>IF(AND(L120=1,OR(C120=0,IFERROR(INDEX($X$11:$X$60,C120),0)=0)),1,0)</ns0:f>
        <ns0:v>0</ns0:v>
      </ns0:c>
      <ns0:c r="N120" s="0">
        <ns0:f>IF(OR(A120=0,L120&gt;0,$B$6&gt;0,Bookings!G120="Cancelled"),0,G120)</ns0:f>
        <ns0:v>0</ns0:v>
      </ns0:c>
      <ns0:c r="O120" s="0">
        <ns0:f>IF(AND(Bookings!G120="Approved",E120="Yes"),N120,0)</ns0:f>
        <ns0:v>0</ns0:v>
      </ns0:c>
      <ns0:c r="P120" s="0">
        <ns0:f>IF(AND(Bookings!G120="Approved",E120="Yes",L120=0,$B$6=0),H120,0)</ns0:f>
        <ns0:v>0</ns0:v>
      </ns0:c>
      <ns0:c r="Q120" s="0">
        <ns0:f>IF(AND(Bookings!G120="Approved",E120="Yes",L120=0,$B$6=0),I120,0)</ns0:f>
        <ns0:v>0</ns0:v>
      </ns0:c>
      <ns0:c r="R120" s="0">
        <ns0:f>IF(AND(Bookings!G120="Pending",E120="Yes"),N120,0)</ns0:f>
        <ns0:v>0</ns0:v>
      </ns0:c>
      <ns0:c r="S120" s="0">
        <ns0:f>IF(AND(Bookings!G120="Approved",E120="No"),N120,0)</ns0:f>
        <ns0:v>0</ns0:v>
      </ns0:c>
      <ns0:c r="T120" s="0">
        <ns0:f>IFERROR(MATCH(D120,Settings!$G$7:$G$11,0),0)</ns0:f>
        <ns0:v>0</ns0:v>
      </ns0:c>
      <ns0:c r="U120" s="0">
        <ns0:f>IF(N120&gt;0,T120+IF(Bookings!G120="Pending",10,0),0)</ns0:f>
        <ns0:v>0</ns0:v>
      </ns0:c>
      <ns0:c r="V120" s="0">
        <ns0:f>U120</ns0:f>
        <ns0:v>0</ns0:v>
      </ns0:c>
      <ns0:c r="W120" s="0" t="str">
        <ns0:f>IF(C120=0,"",INDEX($AP$11:$AP$60,C120))</ns0:f>
        <ns0:v/>
      </ns0:c>
    </ns0:row>
    <ns0:row r="121">
      <ns0:c r="A121" s="0">
        <ns0:f>IF(COUNTA(Bookings!A121:G121,Bookings!I121)=0,0,1)</ns0:f>
        <ns0:v>0</ns0:v>
      </ns0:c>
      <ns0:c r="B121" s="0" t="str">
        <ns0:f>IFERROR(TRIM(MID(Bookings!A121,FIND(" · ",Bookings!A121)+3,99)),"")</ns0:f>
        <ns0:v/>
      </ns0:c>
      <ns0:c r="C121" s="0">
        <ns0:f>IF(OR(B121="",LEN(B121)&gt;24,ISNUMBER(FIND(" ",B121)),ISNUMBER(FIND("*",B121)),ISNUMBER(FIND("?",B121)),ISNUMBER(FIND("~",B121))),0,IFERROR(MATCH(B121,Team!$A$11:$A$60,0),0))</ns0:f>
        <ns0:v>0</ns0:v>
      </ns0:c>
      <ns0:c r="D121" s="0" t="str">
        <ns0:f>IFERROR(IF(MID(Bookings!F121,LEN(Bookings!F121)-3,3)=" · ",RIGHT(Bookings!F121,1),""),"")</ns0:f>
        <ns0:v/>
      </ns0:c>
      <ns0:c r="E121" s="0" t="str">
        <ns0:f>IFERROR(INDEX(Settings!$H$7:$H$11,MATCH(D121,Settings!$G$7:$G$11,0)),"")</ns0:f>
        <ns0:v/>
      </ns0:c>
      <ns0:c r="F121" s="0" t="str">
        <ns0:f>IF(A121=0,"",IFERROR(IF(OR(B121="",C121=0),"CHECK employee selection",IF(INDEX(Team!$O$11:$O$60,C121)&lt;&gt;"OK","CHECK employee setup",IF(OR('_Dates'!J121=0,'_Dates'!T121=0),"CHECK date: use DD.MM.YYYY",IF('_Dates'!T121&lt;'_Dates'!J121,"CHECK end before start",IF(AND($B$6=0,OR('_Dates'!J121&lt;Settings!$B$7,'_Dates'!T121&gt;Settings!$B$8)),"CHECK split across leave years",IF(OR(NOT(OR('_Dates'!U121="Full day",'_Dates'!U121="AM",'_Dates'!U121="PM")),NOT(OR('_Dates'!V121="Full day",'_Dates'!V121="AM",'_Dates'!V121="PM"))),"CHECK Full day / AM / PM",IF(AND('_Dates'!J121='_Dates'!T121,'_Dates'!U121&lt;&gt;"Full day",'_Dates'!V121&lt;&gt;"Full day",'_Dates'!U121&lt;&gt;'_Dates'!V121),"CHECK same-day portions disagree",IF(AND($B$6=0,OR(AND('_Dates'!U121&lt;&gt;"Full day",'_Dates'!AA121=0),AND('_Dates'!V121&lt;&gt;"Full day",'_Dates'!AB121=0))),"CHECK half-day on non-working date",IF(COUNTIF(Settings!$G$7:$G$11,D121)&lt;&gt;1,"CHECK leave type",IF(AND(Bookings!G121&lt;&gt;"Approved",Bookings!G121&lt;&gt;"Pending",Bookings!G121&lt;&gt;"Cancelled"),"CHECK status","OK")))))))))),"CHECK input"))</ns0:f>
        <ns0:v/>
      </ns0:c>
      <ns0:c r="G121" s="0">
        <ns0:f>IF(OR(F121&lt;&gt;"OK",$B$6&gt;0),0,0.5*(IF(('_Dates'!X121)&lt;('_Dates'!W121),0,INT((('_Dates'!X121)-('_Dates'!W121)+1)/7)*LEN(SUBSTITUTE(W121,"O",""))+LEN(SUBSTITUTE(MID(W121&amp;W121,WEEKDAY(('_Dates'!W121),2),MOD((('_Dates'!X121)-('_Dates'!W121)+1),7)),"O",""))-COUNTIFS(INDEX(AllClosureRows,C121,0),"&gt;="&amp;('_Dates'!W121),INDEX(AllClosureRows,C121,0),"&lt;="&amp;('_Dates'!X121)))+IF(('_Dates'!Z121)&lt;('_Dates'!Y121),0,INT((('_Dates'!Z121)-('_Dates'!Y121)+1)/7)*LEN(SUBSTITUTE(W121,"O",""))+LEN(SUBSTITUTE(MID(W121&amp;W121,WEEKDAY(('_Dates'!Y121),2),MOD((('_Dates'!Z121)-('_Dates'!Y121)+1),7)),"O",""))-COUNTIFS(INDEX(AllClosureRows,C121,0),"&gt;="&amp;('_Dates'!Y121),INDEX(AllClosureRows,C121,0),"&lt;="&amp;('_Dates'!Z121)))))</ns0:f>
        <ns0:v>0</ns0:v>
      </ns0:c>
      <ns0:c r="H121" s="0">
        <ns0:f>IF(OR(F121&lt;&gt;"OK",$B$6&gt;0),0,0.5*(IF((MIN('_Dates'!X121,Settings!$B$9))&lt;('_Dates'!W121),0,INT(((MIN('_Dates'!X121,Settings!$B$9))-('_Dates'!W121)+1)/7)*LEN(SUBSTITUTE(W121,"O",""))+LEN(SUBSTITUTE(MID(W121&amp;W121,WEEKDAY(('_Dates'!W121),2),MOD(((MIN('_Dates'!X121,Settings!$B$9))-('_Dates'!W121)+1),7)),"O",""))-COUNTIFS(INDEX(AllClosureRows,C121,0),"&gt;="&amp;('_Dates'!W121),INDEX(AllClosureRows,C121,0),"&lt;="&amp;(MIN('_Dates'!X121,Settings!$B$9))))+IF((MIN('_Dates'!Z121,Settings!$B$9))&lt;('_Dates'!Y121),0,INT(((MIN('_Dates'!Z121,Settings!$B$9))-('_Dates'!Y121)+1)/7)*LEN(SUBSTITUTE(W121,"O",""))+LEN(SUBSTITUTE(MID(W121&amp;W121,WEEKDAY(('_Dates'!Y121),2),MOD(((MIN('_Dates'!Z121,Settings!$B$9))-('_Dates'!Y121)+1),7)),"O",""))-COUNTIFS(INDEX(AllClosureRows,C121,0),"&gt;="&amp;('_Dates'!Y121),INDEX(AllClosureRows,C121,0),"&lt;="&amp;(MIN('_Dates'!Z121,Settings!$B$9))))))</ns0:f>
        <ns0:v>0</ns0:v>
      </ns0:c>
      <ns0:c r="I121" s="0">
        <ns0:f>MAX(0,G121-H121)</ns0:f>
        <ns0:v>0</ns0:v>
      </ns0:c>
      <ns0:c r="J121" s="0">
        <ns0:f>IF(OR(A121=0,F121&lt;&gt;"OK",Bookings!G121="Cancelled",$B$6&gt;0),0,IF('_Dates'!AC121=1,MAX(0,COUNTIFS(rngEngine_B,B121,rngAMStart,"&lt;="&amp;'_Dates'!X121,rngAMEnd,"&gt;="&amp;'_Dates'!W121,rngAMActive,1,rngEngine_F,"OK",rngBookings_F,"&lt;&gt;Cancelled")-1),0)+IF('_Dates'!AD121=1,MAX(0,COUNTIFS(rngEngine_B,B121,rngPMStart,"&lt;="&amp;'_Dates'!Z121,rngPMEnd,"&gt;="&amp;'_Dates'!Y121,rngPMActive,1,rngEngine_F,"OK",rngBookings_F,"&lt;&gt;Cancelled")-1),0))</ns0:f>
        <ns0:v>0</ns0:v>
      </ns0:c>
      <ns0:c r="K121" s="0" t="str">
        <ns0:f>IF(A121=0,"",IF(F121&lt;&gt;"OK",F121,IF(J121&gt;0,"CHECK overlapping entry",IF(AND($B$6=0,G121&lt;=0,Bookings!G121&lt;&gt;"Cancelled"),"CHECK no working days",IF(Bookings!G121="Cancelled","Cancelled","OK")))))</ns0:f>
        <ns0:v/>
      </ns0:c>
      <ns0:c r="L121" s="0">
        <ns0:f>IF(LEFT(K121,5)="CHECK",1,0)</ns0:f>
        <ns0:v>0</ns0:v>
      </ns0:c>
      <ns0:c r="M121" s="0">
        <ns0:f>IF(AND(L121=1,OR(C121=0,IFERROR(INDEX($X$11:$X$60,C121),0)=0)),1,0)</ns0:f>
        <ns0:v>0</ns0:v>
      </ns0:c>
      <ns0:c r="N121" s="0">
        <ns0:f>IF(OR(A121=0,L121&gt;0,$B$6&gt;0,Bookings!G121="Cancelled"),0,G121)</ns0:f>
        <ns0:v>0</ns0:v>
      </ns0:c>
      <ns0:c r="O121" s="0">
        <ns0:f>IF(AND(Bookings!G121="Approved",E121="Yes"),N121,0)</ns0:f>
        <ns0:v>0</ns0:v>
      </ns0:c>
      <ns0:c r="P121" s="0">
        <ns0:f>IF(AND(Bookings!G121="Approved",E121="Yes",L121=0,$B$6=0),H121,0)</ns0:f>
        <ns0:v>0</ns0:v>
      </ns0:c>
      <ns0:c r="Q121" s="0">
        <ns0:f>IF(AND(Bookings!G121="Approved",E121="Yes",L121=0,$B$6=0),I121,0)</ns0:f>
        <ns0:v>0</ns0:v>
      </ns0:c>
      <ns0:c r="R121" s="0">
        <ns0:f>IF(AND(Bookings!G121="Pending",E121="Yes"),N121,0)</ns0:f>
        <ns0:v>0</ns0:v>
      </ns0:c>
      <ns0:c r="S121" s="0">
        <ns0:f>IF(AND(Bookings!G121="Approved",E121="No"),N121,0)</ns0:f>
        <ns0:v>0</ns0:v>
      </ns0:c>
      <ns0:c r="T121" s="0">
        <ns0:f>IFERROR(MATCH(D121,Settings!$G$7:$G$11,0),0)</ns0:f>
        <ns0:v>0</ns0:v>
      </ns0:c>
      <ns0:c r="U121" s="0">
        <ns0:f>IF(N121&gt;0,T121+IF(Bookings!G121="Pending",10,0),0)</ns0:f>
        <ns0:v>0</ns0:v>
      </ns0:c>
      <ns0:c r="V121" s="0">
        <ns0:f>U121</ns0:f>
        <ns0:v>0</ns0:v>
      </ns0:c>
      <ns0:c r="W121" s="0" t="str">
        <ns0:f>IF(C121=0,"",INDEX($AP$11:$AP$60,C121))</ns0:f>
        <ns0:v/>
      </ns0:c>
    </ns0:row>
    <ns0:row r="122">
      <ns0:c r="A122" s="0">
        <ns0:f>IF(COUNTA(Bookings!A122:G122,Bookings!I122)=0,0,1)</ns0:f>
        <ns0:v>0</ns0:v>
      </ns0:c>
      <ns0:c r="B122" s="0" t="str">
        <ns0:f>IFERROR(TRIM(MID(Bookings!A122,FIND(" · ",Bookings!A122)+3,99)),"")</ns0:f>
        <ns0:v/>
      </ns0:c>
      <ns0:c r="C122" s="0">
        <ns0:f>IF(OR(B122="",LEN(B122)&gt;24,ISNUMBER(FIND(" ",B122)),ISNUMBER(FIND("*",B122)),ISNUMBER(FIND("?",B122)),ISNUMBER(FIND("~",B122))),0,IFERROR(MATCH(B122,Team!$A$11:$A$60,0),0))</ns0:f>
        <ns0:v>0</ns0:v>
      </ns0:c>
      <ns0:c r="D122" s="0" t="str">
        <ns0:f>IFERROR(IF(MID(Bookings!F122,LEN(Bookings!F122)-3,3)=" · ",RIGHT(Bookings!F122,1),""),"")</ns0:f>
        <ns0:v/>
      </ns0:c>
      <ns0:c r="E122" s="0" t="str">
        <ns0:f>IFERROR(INDEX(Settings!$H$7:$H$11,MATCH(D122,Settings!$G$7:$G$11,0)),"")</ns0:f>
        <ns0:v/>
      </ns0:c>
      <ns0:c r="F122" s="0" t="str">
        <ns0:f>IF(A122=0,"",IFERROR(IF(OR(B122="",C122=0),"CHECK employee selection",IF(INDEX(Team!$O$11:$O$60,C122)&lt;&gt;"OK","CHECK employee setup",IF(OR('_Dates'!J122=0,'_Dates'!T122=0),"CHECK date: use DD.MM.YYYY",IF('_Dates'!T122&lt;'_Dates'!J122,"CHECK end before start",IF(AND($B$6=0,OR('_Dates'!J122&lt;Settings!$B$7,'_Dates'!T122&gt;Settings!$B$8)),"CHECK split across leave years",IF(OR(NOT(OR('_Dates'!U122="Full day",'_Dates'!U122="AM",'_Dates'!U122="PM")),NOT(OR('_Dates'!V122="Full day",'_Dates'!V122="AM",'_Dates'!V122="PM"))),"CHECK Full day / AM / PM",IF(AND('_Dates'!J122='_Dates'!T122,'_Dates'!U122&lt;&gt;"Full day",'_Dates'!V122&lt;&gt;"Full day",'_Dates'!U122&lt;&gt;'_Dates'!V122),"CHECK same-day portions disagree",IF(AND($B$6=0,OR(AND('_Dates'!U122&lt;&gt;"Full day",'_Dates'!AA122=0),AND('_Dates'!V122&lt;&gt;"Full day",'_Dates'!AB122=0))),"CHECK half-day on non-working date",IF(COUNTIF(Settings!$G$7:$G$11,D122)&lt;&gt;1,"CHECK leave type",IF(AND(Bookings!G122&lt;&gt;"Approved",Bookings!G122&lt;&gt;"Pending",Bookings!G122&lt;&gt;"Cancelled"),"CHECK status","OK")))))))))),"CHECK input"))</ns0:f>
        <ns0:v/>
      </ns0:c>
      <ns0:c r="G122" s="0">
        <ns0:f>IF(OR(F122&lt;&gt;"OK",$B$6&gt;0),0,0.5*(IF(('_Dates'!X122)&lt;('_Dates'!W122),0,INT((('_Dates'!X122)-('_Dates'!W122)+1)/7)*LEN(SUBSTITUTE(W122,"O",""))+LEN(SUBSTITUTE(MID(W122&amp;W122,WEEKDAY(('_Dates'!W122),2),MOD((('_Dates'!X122)-('_Dates'!W122)+1),7)),"O",""))-COUNTIFS(INDEX(AllClosureRows,C122,0),"&gt;="&amp;('_Dates'!W122),INDEX(AllClosureRows,C122,0),"&lt;="&amp;('_Dates'!X122)))+IF(('_Dates'!Z122)&lt;('_Dates'!Y122),0,INT((('_Dates'!Z122)-('_Dates'!Y122)+1)/7)*LEN(SUBSTITUTE(W122,"O",""))+LEN(SUBSTITUTE(MID(W122&amp;W122,WEEKDAY(('_Dates'!Y122),2),MOD((('_Dates'!Z122)-('_Dates'!Y122)+1),7)),"O",""))-COUNTIFS(INDEX(AllClosureRows,C122,0),"&gt;="&amp;('_Dates'!Y122),INDEX(AllClosureRows,C122,0),"&lt;="&amp;('_Dates'!Z122)))))</ns0:f>
        <ns0:v>0</ns0:v>
      </ns0:c>
      <ns0:c r="H122" s="0">
        <ns0:f>IF(OR(F122&lt;&gt;"OK",$B$6&gt;0),0,0.5*(IF((MIN('_Dates'!X122,Settings!$B$9))&lt;('_Dates'!W122),0,INT(((MIN('_Dates'!X122,Settings!$B$9))-('_Dates'!W122)+1)/7)*LEN(SUBSTITUTE(W122,"O",""))+LEN(SUBSTITUTE(MID(W122&amp;W122,WEEKDAY(('_Dates'!W122),2),MOD(((MIN('_Dates'!X122,Settings!$B$9))-('_Dates'!W122)+1),7)),"O",""))-COUNTIFS(INDEX(AllClosureRows,C122,0),"&gt;="&amp;('_Dates'!W122),INDEX(AllClosureRows,C122,0),"&lt;="&amp;(MIN('_Dates'!X122,Settings!$B$9))))+IF((MIN('_Dates'!Z122,Settings!$B$9))&lt;('_Dates'!Y122),0,INT(((MIN('_Dates'!Z122,Settings!$B$9))-('_Dates'!Y122)+1)/7)*LEN(SUBSTITUTE(W122,"O",""))+LEN(SUBSTITUTE(MID(W122&amp;W122,WEEKDAY(('_Dates'!Y122),2),MOD(((MIN('_Dates'!Z122,Settings!$B$9))-('_Dates'!Y122)+1),7)),"O",""))-COUNTIFS(INDEX(AllClosureRows,C122,0),"&gt;="&amp;('_Dates'!Y122),INDEX(AllClosureRows,C122,0),"&lt;="&amp;(MIN('_Dates'!Z122,Settings!$B$9))))))</ns0:f>
        <ns0:v>0</ns0:v>
      </ns0:c>
      <ns0:c r="I122" s="0">
        <ns0:f>MAX(0,G122-H122)</ns0:f>
        <ns0:v>0</ns0:v>
      </ns0:c>
      <ns0:c r="J122" s="0">
        <ns0:f>IF(OR(A122=0,F122&lt;&gt;"OK",Bookings!G122="Cancelled",$B$6&gt;0),0,IF('_Dates'!AC122=1,MAX(0,COUNTIFS(rngEngine_B,B122,rngAMStart,"&lt;="&amp;'_Dates'!X122,rngAMEnd,"&gt;="&amp;'_Dates'!W122,rngAMActive,1,rngEngine_F,"OK",rngBookings_F,"&lt;&gt;Cancelled")-1),0)+IF('_Dates'!AD122=1,MAX(0,COUNTIFS(rngEngine_B,B122,rngPMStart,"&lt;="&amp;'_Dates'!Z122,rngPMEnd,"&gt;="&amp;'_Dates'!Y122,rngPMActive,1,rngEngine_F,"OK",rngBookings_F,"&lt;&gt;Cancelled")-1),0))</ns0:f>
        <ns0:v>0</ns0:v>
      </ns0:c>
      <ns0:c r="K122" s="0" t="str">
        <ns0:f>IF(A122=0,"",IF(F122&lt;&gt;"OK",F122,IF(J122&gt;0,"CHECK overlapping entry",IF(AND($B$6=0,G122&lt;=0,Bookings!G122&lt;&gt;"Cancelled"),"CHECK no working days",IF(Bookings!G122="Cancelled","Cancelled","OK")))))</ns0:f>
        <ns0:v/>
      </ns0:c>
      <ns0:c r="L122" s="0">
        <ns0:f>IF(LEFT(K122,5)="CHECK",1,0)</ns0:f>
        <ns0:v>0</ns0:v>
      </ns0:c>
      <ns0:c r="M122" s="0">
        <ns0:f>IF(AND(L122=1,OR(C122=0,IFERROR(INDEX($X$11:$X$60,C122),0)=0)),1,0)</ns0:f>
        <ns0:v>0</ns0:v>
      </ns0:c>
      <ns0:c r="N122" s="0">
        <ns0:f>IF(OR(A122=0,L122&gt;0,$B$6&gt;0,Bookings!G122="Cancelled"),0,G122)</ns0:f>
        <ns0:v>0</ns0:v>
      </ns0:c>
      <ns0:c r="O122" s="0">
        <ns0:f>IF(AND(Bookings!G122="Approved",E122="Yes"),N122,0)</ns0:f>
        <ns0:v>0</ns0:v>
      </ns0:c>
      <ns0:c r="P122" s="0">
        <ns0:f>IF(AND(Bookings!G122="Approved",E122="Yes",L122=0,$B$6=0),H122,0)</ns0:f>
        <ns0:v>0</ns0:v>
      </ns0:c>
      <ns0:c r="Q122" s="0">
        <ns0:f>IF(AND(Bookings!G122="Approved",E122="Yes",L122=0,$B$6=0),I122,0)</ns0:f>
        <ns0:v>0</ns0:v>
      </ns0:c>
      <ns0:c r="R122" s="0">
        <ns0:f>IF(AND(Bookings!G122="Pending",E122="Yes"),N122,0)</ns0:f>
        <ns0:v>0</ns0:v>
      </ns0:c>
      <ns0:c r="S122" s="0">
        <ns0:f>IF(AND(Bookings!G122="Approved",E122="No"),N122,0)</ns0:f>
        <ns0:v>0</ns0:v>
      </ns0:c>
      <ns0:c r="T122" s="0">
        <ns0:f>IFERROR(MATCH(D122,Settings!$G$7:$G$11,0),0)</ns0:f>
        <ns0:v>0</ns0:v>
      </ns0:c>
      <ns0:c r="U122" s="0">
        <ns0:f>IF(N122&gt;0,T122+IF(Bookings!G122="Pending",10,0),0)</ns0:f>
        <ns0:v>0</ns0:v>
      </ns0:c>
      <ns0:c r="V122" s="0">
        <ns0:f>U122</ns0:f>
        <ns0:v>0</ns0:v>
      </ns0:c>
      <ns0:c r="W122" s="0" t="str">
        <ns0:f>IF(C122=0,"",INDEX($AP$11:$AP$60,C122))</ns0:f>
        <ns0:v/>
      </ns0:c>
    </ns0:row>
    <ns0:row r="123">
      <ns0:c r="A123" s="0">
        <ns0:f>IF(COUNTA(Bookings!A123:G123,Bookings!I123)=0,0,1)</ns0:f>
        <ns0:v>0</ns0:v>
      </ns0:c>
      <ns0:c r="B123" s="0" t="str">
        <ns0:f>IFERROR(TRIM(MID(Bookings!A123,FIND(" · ",Bookings!A123)+3,99)),"")</ns0:f>
        <ns0:v/>
      </ns0:c>
      <ns0:c r="C123" s="0">
        <ns0:f>IF(OR(B123="",LEN(B123)&gt;24,ISNUMBER(FIND(" ",B123)),ISNUMBER(FIND("*",B123)),ISNUMBER(FIND("?",B123)),ISNUMBER(FIND("~",B123))),0,IFERROR(MATCH(B123,Team!$A$11:$A$60,0),0))</ns0:f>
        <ns0:v>0</ns0:v>
      </ns0:c>
      <ns0:c r="D123" s="0" t="str">
        <ns0:f>IFERROR(IF(MID(Bookings!F123,LEN(Bookings!F123)-3,3)=" · ",RIGHT(Bookings!F123,1),""),"")</ns0:f>
        <ns0:v/>
      </ns0:c>
      <ns0:c r="E123" s="0" t="str">
        <ns0:f>IFERROR(INDEX(Settings!$H$7:$H$11,MATCH(D123,Settings!$G$7:$G$11,0)),"")</ns0:f>
        <ns0:v/>
      </ns0:c>
      <ns0:c r="F123" s="0" t="str">
        <ns0:f>IF(A123=0,"",IFERROR(IF(OR(B123="",C123=0),"CHECK employee selection",IF(INDEX(Team!$O$11:$O$60,C123)&lt;&gt;"OK","CHECK employee setup",IF(OR('_Dates'!J123=0,'_Dates'!T123=0),"CHECK date: use DD.MM.YYYY",IF('_Dates'!T123&lt;'_Dates'!J123,"CHECK end before start",IF(AND($B$6=0,OR('_Dates'!J123&lt;Settings!$B$7,'_Dates'!T123&gt;Settings!$B$8)),"CHECK split across leave years",IF(OR(NOT(OR('_Dates'!U123="Full day",'_Dates'!U123="AM",'_Dates'!U123="PM")),NOT(OR('_Dates'!V123="Full day",'_Dates'!V123="AM",'_Dates'!V123="PM"))),"CHECK Full day / AM / PM",IF(AND('_Dates'!J123='_Dates'!T123,'_Dates'!U123&lt;&gt;"Full day",'_Dates'!V123&lt;&gt;"Full day",'_Dates'!U123&lt;&gt;'_Dates'!V123),"CHECK same-day portions disagree",IF(AND($B$6=0,OR(AND('_Dates'!U123&lt;&gt;"Full day",'_Dates'!AA123=0),AND('_Dates'!V123&lt;&gt;"Full day",'_Dates'!AB123=0))),"CHECK half-day on non-working date",IF(COUNTIF(Settings!$G$7:$G$11,D123)&lt;&gt;1,"CHECK leave type",IF(AND(Bookings!G123&lt;&gt;"Approved",Bookings!G123&lt;&gt;"Pending",Bookings!G123&lt;&gt;"Cancelled"),"CHECK status","OK")))))))))),"CHECK input"))</ns0:f>
        <ns0:v/>
      </ns0:c>
      <ns0:c r="G123" s="0">
        <ns0:f>IF(OR(F123&lt;&gt;"OK",$B$6&gt;0),0,0.5*(IF(('_Dates'!X123)&lt;('_Dates'!W123),0,INT((('_Dates'!X123)-('_Dates'!W123)+1)/7)*LEN(SUBSTITUTE(W123,"O",""))+LEN(SUBSTITUTE(MID(W123&amp;W123,WEEKDAY(('_Dates'!W123),2),MOD((('_Dates'!X123)-('_Dates'!W123)+1),7)),"O",""))-COUNTIFS(INDEX(AllClosureRows,C123,0),"&gt;="&amp;('_Dates'!W123),INDEX(AllClosureRows,C123,0),"&lt;="&amp;('_Dates'!X123)))+IF(('_Dates'!Z123)&lt;('_Dates'!Y123),0,INT((('_Dates'!Z123)-('_Dates'!Y123)+1)/7)*LEN(SUBSTITUTE(W123,"O",""))+LEN(SUBSTITUTE(MID(W123&amp;W123,WEEKDAY(('_Dates'!Y123),2),MOD((('_Dates'!Z123)-('_Dates'!Y123)+1),7)),"O",""))-COUNTIFS(INDEX(AllClosureRows,C123,0),"&gt;="&amp;('_Dates'!Y123),INDEX(AllClosureRows,C123,0),"&lt;="&amp;('_Dates'!Z123)))))</ns0:f>
        <ns0:v>0</ns0:v>
      </ns0:c>
      <ns0:c r="H123" s="0">
        <ns0:f>IF(OR(F123&lt;&gt;"OK",$B$6&gt;0),0,0.5*(IF((MIN('_Dates'!X123,Settings!$B$9))&lt;('_Dates'!W123),0,INT(((MIN('_Dates'!X123,Settings!$B$9))-('_Dates'!W123)+1)/7)*LEN(SUBSTITUTE(W123,"O",""))+LEN(SUBSTITUTE(MID(W123&amp;W123,WEEKDAY(('_Dates'!W123),2),MOD(((MIN('_Dates'!X123,Settings!$B$9))-('_Dates'!W123)+1),7)),"O",""))-COUNTIFS(INDEX(AllClosureRows,C123,0),"&gt;="&amp;('_Dates'!W123),INDEX(AllClosureRows,C123,0),"&lt;="&amp;(MIN('_Dates'!X123,Settings!$B$9))))+IF((MIN('_Dates'!Z123,Settings!$B$9))&lt;('_Dates'!Y123),0,INT(((MIN('_Dates'!Z123,Settings!$B$9))-('_Dates'!Y123)+1)/7)*LEN(SUBSTITUTE(W123,"O",""))+LEN(SUBSTITUTE(MID(W123&amp;W123,WEEKDAY(('_Dates'!Y123),2),MOD(((MIN('_Dates'!Z123,Settings!$B$9))-('_Dates'!Y123)+1),7)),"O",""))-COUNTIFS(INDEX(AllClosureRows,C123,0),"&gt;="&amp;('_Dates'!Y123),INDEX(AllClosureRows,C123,0),"&lt;="&amp;(MIN('_Dates'!Z123,Settings!$B$9))))))</ns0:f>
        <ns0:v>0</ns0:v>
      </ns0:c>
      <ns0:c r="I123" s="0">
        <ns0:f>MAX(0,G123-H123)</ns0:f>
        <ns0:v>0</ns0:v>
      </ns0:c>
      <ns0:c r="J123" s="0">
        <ns0:f>IF(OR(A123=0,F123&lt;&gt;"OK",Bookings!G123="Cancelled",$B$6&gt;0),0,IF('_Dates'!AC123=1,MAX(0,COUNTIFS(rngEngine_B,B123,rngAMStart,"&lt;="&amp;'_Dates'!X123,rngAMEnd,"&gt;="&amp;'_Dates'!W123,rngAMActive,1,rngEngine_F,"OK",rngBookings_F,"&lt;&gt;Cancelled")-1),0)+IF('_Dates'!AD123=1,MAX(0,COUNTIFS(rngEngine_B,B123,rngPMStart,"&lt;="&amp;'_Dates'!Z123,rngPMEnd,"&gt;="&amp;'_Dates'!Y123,rngPMActive,1,rngEngine_F,"OK",rngBookings_F,"&lt;&gt;Cancelled")-1),0))</ns0:f>
        <ns0:v>0</ns0:v>
      </ns0:c>
      <ns0:c r="K123" s="0" t="str">
        <ns0:f>IF(A123=0,"",IF(F123&lt;&gt;"OK",F123,IF(J123&gt;0,"CHECK overlapping entry",IF(AND($B$6=0,G123&lt;=0,Bookings!G123&lt;&gt;"Cancelled"),"CHECK no working days",IF(Bookings!G123="Cancelled","Cancelled","OK")))))</ns0:f>
        <ns0:v/>
      </ns0:c>
      <ns0:c r="L123" s="0">
        <ns0:f>IF(LEFT(K123,5)="CHECK",1,0)</ns0:f>
        <ns0:v>0</ns0:v>
      </ns0:c>
      <ns0:c r="M123" s="0">
        <ns0:f>IF(AND(L123=1,OR(C123=0,IFERROR(INDEX($X$11:$X$60,C123),0)=0)),1,0)</ns0:f>
        <ns0:v>0</ns0:v>
      </ns0:c>
      <ns0:c r="N123" s="0">
        <ns0:f>IF(OR(A123=0,L123&gt;0,$B$6&gt;0,Bookings!G123="Cancelled"),0,G123)</ns0:f>
        <ns0:v>0</ns0:v>
      </ns0:c>
      <ns0:c r="O123" s="0">
        <ns0:f>IF(AND(Bookings!G123="Approved",E123="Yes"),N123,0)</ns0:f>
        <ns0:v>0</ns0:v>
      </ns0:c>
      <ns0:c r="P123" s="0">
        <ns0:f>IF(AND(Bookings!G123="Approved",E123="Yes",L123=0,$B$6=0),H123,0)</ns0:f>
        <ns0:v>0</ns0:v>
      </ns0:c>
      <ns0:c r="Q123" s="0">
        <ns0:f>IF(AND(Bookings!G123="Approved",E123="Yes",L123=0,$B$6=0),I123,0)</ns0:f>
        <ns0:v>0</ns0:v>
      </ns0:c>
      <ns0:c r="R123" s="0">
        <ns0:f>IF(AND(Bookings!G123="Pending",E123="Yes"),N123,0)</ns0:f>
        <ns0:v>0</ns0:v>
      </ns0:c>
      <ns0:c r="S123" s="0">
        <ns0:f>IF(AND(Bookings!G123="Approved",E123="No"),N123,0)</ns0:f>
        <ns0:v>0</ns0:v>
      </ns0:c>
      <ns0:c r="T123" s="0">
        <ns0:f>IFERROR(MATCH(D123,Settings!$G$7:$G$11,0),0)</ns0:f>
        <ns0:v>0</ns0:v>
      </ns0:c>
      <ns0:c r="U123" s="0">
        <ns0:f>IF(N123&gt;0,T123+IF(Bookings!G123="Pending",10,0),0)</ns0:f>
        <ns0:v>0</ns0:v>
      </ns0:c>
      <ns0:c r="V123" s="0">
        <ns0:f>U123</ns0:f>
        <ns0:v>0</ns0:v>
      </ns0:c>
      <ns0:c r="W123" s="0" t="str">
        <ns0:f>IF(C123=0,"",INDEX($AP$11:$AP$60,C123))</ns0:f>
        <ns0:v/>
      </ns0:c>
    </ns0:row>
    <ns0:row r="124">
      <ns0:c r="A124" s="0">
        <ns0:f>IF(COUNTA(Bookings!A124:G124,Bookings!I124)=0,0,1)</ns0:f>
        <ns0:v>0</ns0:v>
      </ns0:c>
      <ns0:c r="B124" s="0" t="str">
        <ns0:f>IFERROR(TRIM(MID(Bookings!A124,FIND(" · ",Bookings!A124)+3,99)),"")</ns0:f>
        <ns0:v/>
      </ns0:c>
      <ns0:c r="C124" s="0">
        <ns0:f>IF(OR(B124="",LEN(B124)&gt;24,ISNUMBER(FIND(" ",B124)),ISNUMBER(FIND("*",B124)),ISNUMBER(FIND("?",B124)),ISNUMBER(FIND("~",B124))),0,IFERROR(MATCH(B124,Team!$A$11:$A$60,0),0))</ns0:f>
        <ns0:v>0</ns0:v>
      </ns0:c>
      <ns0:c r="D124" s="0" t="str">
        <ns0:f>IFERROR(IF(MID(Bookings!F124,LEN(Bookings!F124)-3,3)=" · ",RIGHT(Bookings!F124,1),""),"")</ns0:f>
        <ns0:v/>
      </ns0:c>
      <ns0:c r="E124" s="0" t="str">
        <ns0:f>IFERROR(INDEX(Settings!$H$7:$H$11,MATCH(D124,Settings!$G$7:$G$11,0)),"")</ns0:f>
        <ns0:v/>
      </ns0:c>
      <ns0:c r="F124" s="0" t="str">
        <ns0:f>IF(A124=0,"",IFERROR(IF(OR(B124="",C124=0),"CHECK employee selection",IF(INDEX(Team!$O$11:$O$60,C124)&lt;&gt;"OK","CHECK employee setup",IF(OR('_Dates'!J124=0,'_Dates'!T124=0),"CHECK date: use DD.MM.YYYY",IF('_Dates'!T124&lt;'_Dates'!J124,"CHECK end before start",IF(AND($B$6=0,OR('_Dates'!J124&lt;Settings!$B$7,'_Dates'!T124&gt;Settings!$B$8)),"CHECK split across leave years",IF(OR(NOT(OR('_Dates'!U124="Full day",'_Dates'!U124="AM",'_Dates'!U124="PM")),NOT(OR('_Dates'!V124="Full day",'_Dates'!V124="AM",'_Dates'!V124="PM"))),"CHECK Full day / AM / PM",IF(AND('_Dates'!J124='_Dates'!T124,'_Dates'!U124&lt;&gt;"Full day",'_Dates'!V124&lt;&gt;"Full day",'_Dates'!U124&lt;&gt;'_Dates'!V124),"CHECK same-day portions disagree",IF(AND($B$6=0,OR(AND('_Dates'!U124&lt;&gt;"Full day",'_Dates'!AA124=0),AND('_Dates'!V124&lt;&gt;"Full day",'_Dates'!AB124=0))),"CHECK half-day on non-working date",IF(COUNTIF(Settings!$G$7:$G$11,D124)&lt;&gt;1,"CHECK leave type",IF(AND(Bookings!G124&lt;&gt;"Approved",Bookings!G124&lt;&gt;"Pending",Bookings!G124&lt;&gt;"Cancelled"),"CHECK status","OK")))))))))),"CHECK input"))</ns0:f>
        <ns0:v/>
      </ns0:c>
      <ns0:c r="G124" s="0">
        <ns0:f>IF(OR(F124&lt;&gt;"OK",$B$6&gt;0),0,0.5*(IF(('_Dates'!X124)&lt;('_Dates'!W124),0,INT((('_Dates'!X124)-('_Dates'!W124)+1)/7)*LEN(SUBSTITUTE(W124,"O",""))+LEN(SUBSTITUTE(MID(W124&amp;W124,WEEKDAY(('_Dates'!W124),2),MOD((('_Dates'!X124)-('_Dates'!W124)+1),7)),"O",""))-COUNTIFS(INDEX(AllClosureRows,C124,0),"&gt;="&amp;('_Dates'!W124),INDEX(AllClosureRows,C124,0),"&lt;="&amp;('_Dates'!X124)))+IF(('_Dates'!Z124)&lt;('_Dates'!Y124),0,INT((('_Dates'!Z124)-('_Dates'!Y124)+1)/7)*LEN(SUBSTITUTE(W124,"O",""))+LEN(SUBSTITUTE(MID(W124&amp;W124,WEEKDAY(('_Dates'!Y124),2),MOD((('_Dates'!Z124)-('_Dates'!Y124)+1),7)),"O",""))-COUNTIFS(INDEX(AllClosureRows,C124,0),"&gt;="&amp;('_Dates'!Y124),INDEX(AllClosureRows,C124,0),"&lt;="&amp;('_Dates'!Z124)))))</ns0:f>
        <ns0:v>0</ns0:v>
      </ns0:c>
      <ns0:c r="H124" s="0">
        <ns0:f>IF(OR(F124&lt;&gt;"OK",$B$6&gt;0),0,0.5*(IF((MIN('_Dates'!X124,Settings!$B$9))&lt;('_Dates'!W124),0,INT(((MIN('_Dates'!X124,Settings!$B$9))-('_Dates'!W124)+1)/7)*LEN(SUBSTITUTE(W124,"O",""))+LEN(SUBSTITUTE(MID(W124&amp;W124,WEEKDAY(('_Dates'!W124),2),MOD(((MIN('_Dates'!X124,Settings!$B$9))-('_Dates'!W124)+1),7)),"O",""))-COUNTIFS(INDEX(AllClosureRows,C124,0),"&gt;="&amp;('_Dates'!W124),INDEX(AllClosureRows,C124,0),"&lt;="&amp;(MIN('_Dates'!X124,Settings!$B$9))))+IF((MIN('_Dates'!Z124,Settings!$B$9))&lt;('_Dates'!Y124),0,INT(((MIN('_Dates'!Z124,Settings!$B$9))-('_Dates'!Y124)+1)/7)*LEN(SUBSTITUTE(W124,"O",""))+LEN(SUBSTITUTE(MID(W124&amp;W124,WEEKDAY(('_Dates'!Y124),2),MOD(((MIN('_Dates'!Z124,Settings!$B$9))-('_Dates'!Y124)+1),7)),"O",""))-COUNTIFS(INDEX(AllClosureRows,C124,0),"&gt;="&amp;('_Dates'!Y124),INDEX(AllClosureRows,C124,0),"&lt;="&amp;(MIN('_Dates'!Z124,Settings!$B$9))))))</ns0:f>
        <ns0:v>0</ns0:v>
      </ns0:c>
      <ns0:c r="I124" s="0">
        <ns0:f>MAX(0,G124-H124)</ns0:f>
        <ns0:v>0</ns0:v>
      </ns0:c>
      <ns0:c r="J124" s="0">
        <ns0:f>IF(OR(A124=0,F124&lt;&gt;"OK",Bookings!G124="Cancelled",$B$6&gt;0),0,IF('_Dates'!AC124=1,MAX(0,COUNTIFS(rngEngine_B,B124,rngAMStart,"&lt;="&amp;'_Dates'!X124,rngAMEnd,"&gt;="&amp;'_Dates'!W124,rngAMActive,1,rngEngine_F,"OK",rngBookings_F,"&lt;&gt;Cancelled")-1),0)+IF('_Dates'!AD124=1,MAX(0,COUNTIFS(rngEngine_B,B124,rngPMStart,"&lt;="&amp;'_Dates'!Z124,rngPMEnd,"&gt;="&amp;'_Dates'!Y124,rngPMActive,1,rngEngine_F,"OK",rngBookings_F,"&lt;&gt;Cancelled")-1),0))</ns0:f>
        <ns0:v>0</ns0:v>
      </ns0:c>
      <ns0:c r="K124" s="0" t="str">
        <ns0:f>IF(A124=0,"",IF(F124&lt;&gt;"OK",F124,IF(J124&gt;0,"CHECK overlapping entry",IF(AND($B$6=0,G124&lt;=0,Bookings!G124&lt;&gt;"Cancelled"),"CHECK no working days",IF(Bookings!G124="Cancelled","Cancelled","OK")))))</ns0:f>
        <ns0:v/>
      </ns0:c>
      <ns0:c r="L124" s="0">
        <ns0:f>IF(LEFT(K124,5)="CHECK",1,0)</ns0:f>
        <ns0:v>0</ns0:v>
      </ns0:c>
      <ns0:c r="M124" s="0">
        <ns0:f>IF(AND(L124=1,OR(C124=0,IFERROR(INDEX($X$11:$X$60,C124),0)=0)),1,0)</ns0:f>
        <ns0:v>0</ns0:v>
      </ns0:c>
      <ns0:c r="N124" s="0">
        <ns0:f>IF(OR(A124=0,L124&gt;0,$B$6&gt;0,Bookings!G124="Cancelled"),0,G124)</ns0:f>
        <ns0:v>0</ns0:v>
      </ns0:c>
      <ns0:c r="O124" s="0">
        <ns0:f>IF(AND(Bookings!G124="Approved",E124="Yes"),N124,0)</ns0:f>
        <ns0:v>0</ns0:v>
      </ns0:c>
      <ns0:c r="P124" s="0">
        <ns0:f>IF(AND(Bookings!G124="Approved",E124="Yes",L124=0,$B$6=0),H124,0)</ns0:f>
        <ns0:v>0</ns0:v>
      </ns0:c>
      <ns0:c r="Q124" s="0">
        <ns0:f>IF(AND(Bookings!G124="Approved",E124="Yes",L124=0,$B$6=0),I124,0)</ns0:f>
        <ns0:v>0</ns0:v>
      </ns0:c>
      <ns0:c r="R124" s="0">
        <ns0:f>IF(AND(Bookings!G124="Pending",E124="Yes"),N124,0)</ns0:f>
        <ns0:v>0</ns0:v>
      </ns0:c>
      <ns0:c r="S124" s="0">
        <ns0:f>IF(AND(Bookings!G124="Approved",E124="No"),N124,0)</ns0:f>
        <ns0:v>0</ns0:v>
      </ns0:c>
      <ns0:c r="T124" s="0">
        <ns0:f>IFERROR(MATCH(D124,Settings!$G$7:$G$11,0),0)</ns0:f>
        <ns0:v>0</ns0:v>
      </ns0:c>
      <ns0:c r="U124" s="0">
        <ns0:f>IF(N124&gt;0,T124+IF(Bookings!G124="Pending",10,0),0)</ns0:f>
        <ns0:v>0</ns0:v>
      </ns0:c>
      <ns0:c r="V124" s="0">
        <ns0:f>U124</ns0:f>
        <ns0:v>0</ns0:v>
      </ns0:c>
      <ns0:c r="W124" s="0" t="str">
        <ns0:f>IF(C124=0,"",INDEX($AP$11:$AP$60,C124))</ns0:f>
        <ns0:v/>
      </ns0:c>
    </ns0:row>
    <ns0:row r="125">
      <ns0:c r="A125" s="0">
        <ns0:f>IF(COUNTA(Bookings!A125:G125,Bookings!I125)=0,0,1)</ns0:f>
        <ns0:v>0</ns0:v>
      </ns0:c>
      <ns0:c r="B125" s="0" t="str">
        <ns0:f>IFERROR(TRIM(MID(Bookings!A125,FIND(" · ",Bookings!A125)+3,99)),"")</ns0:f>
        <ns0:v/>
      </ns0:c>
      <ns0:c r="C125" s="0">
        <ns0:f>IF(OR(B125="",LEN(B125)&gt;24,ISNUMBER(FIND(" ",B125)),ISNUMBER(FIND("*",B125)),ISNUMBER(FIND("?",B125)),ISNUMBER(FIND("~",B125))),0,IFERROR(MATCH(B125,Team!$A$11:$A$60,0),0))</ns0:f>
        <ns0:v>0</ns0:v>
      </ns0:c>
      <ns0:c r="D125" s="0" t="str">
        <ns0:f>IFERROR(IF(MID(Bookings!F125,LEN(Bookings!F125)-3,3)=" · ",RIGHT(Bookings!F125,1),""),"")</ns0:f>
        <ns0:v/>
      </ns0:c>
      <ns0:c r="E125" s="0" t="str">
        <ns0:f>IFERROR(INDEX(Settings!$H$7:$H$11,MATCH(D125,Settings!$G$7:$G$11,0)),"")</ns0:f>
        <ns0:v/>
      </ns0:c>
      <ns0:c r="F125" s="0" t="str">
        <ns0:f>IF(A125=0,"",IFERROR(IF(OR(B125="",C125=0),"CHECK employee selection",IF(INDEX(Team!$O$11:$O$60,C125)&lt;&gt;"OK","CHECK employee setup",IF(OR('_Dates'!J125=0,'_Dates'!T125=0),"CHECK date: use DD.MM.YYYY",IF('_Dates'!T125&lt;'_Dates'!J125,"CHECK end before start",IF(AND($B$6=0,OR('_Dates'!J125&lt;Settings!$B$7,'_Dates'!T125&gt;Settings!$B$8)),"CHECK split across leave years",IF(OR(NOT(OR('_Dates'!U125="Full day",'_Dates'!U125="AM",'_Dates'!U125="PM")),NOT(OR('_Dates'!V125="Full day",'_Dates'!V125="AM",'_Dates'!V125="PM"))),"CHECK Full day / AM / PM",IF(AND('_Dates'!J125='_Dates'!T125,'_Dates'!U125&lt;&gt;"Full day",'_Dates'!V125&lt;&gt;"Full day",'_Dates'!U125&lt;&gt;'_Dates'!V125),"CHECK same-day portions disagree",IF(AND($B$6=0,OR(AND('_Dates'!U125&lt;&gt;"Full day",'_Dates'!AA125=0),AND('_Dates'!V125&lt;&gt;"Full day",'_Dates'!AB125=0))),"CHECK half-day on non-working date",IF(COUNTIF(Settings!$G$7:$G$11,D125)&lt;&gt;1,"CHECK leave type",IF(AND(Bookings!G125&lt;&gt;"Approved",Bookings!G125&lt;&gt;"Pending",Bookings!G125&lt;&gt;"Cancelled"),"CHECK status","OK")))))))))),"CHECK input"))</ns0:f>
        <ns0:v/>
      </ns0:c>
      <ns0:c r="G125" s="0">
        <ns0:f>IF(OR(F125&lt;&gt;"OK",$B$6&gt;0),0,0.5*(IF(('_Dates'!X125)&lt;('_Dates'!W125),0,INT((('_Dates'!X125)-('_Dates'!W125)+1)/7)*LEN(SUBSTITUTE(W125,"O",""))+LEN(SUBSTITUTE(MID(W125&amp;W125,WEEKDAY(('_Dates'!W125),2),MOD((('_Dates'!X125)-('_Dates'!W125)+1),7)),"O",""))-COUNTIFS(INDEX(AllClosureRows,C125,0),"&gt;="&amp;('_Dates'!W125),INDEX(AllClosureRows,C125,0),"&lt;="&amp;('_Dates'!X125)))+IF(('_Dates'!Z125)&lt;('_Dates'!Y125),0,INT((('_Dates'!Z125)-('_Dates'!Y125)+1)/7)*LEN(SUBSTITUTE(W125,"O",""))+LEN(SUBSTITUTE(MID(W125&amp;W125,WEEKDAY(('_Dates'!Y125),2),MOD((('_Dates'!Z125)-('_Dates'!Y125)+1),7)),"O",""))-COUNTIFS(INDEX(AllClosureRows,C125,0),"&gt;="&amp;('_Dates'!Y125),INDEX(AllClosureRows,C125,0),"&lt;="&amp;('_Dates'!Z125)))))</ns0:f>
        <ns0:v>0</ns0:v>
      </ns0:c>
      <ns0:c r="H125" s="0">
        <ns0:f>IF(OR(F125&lt;&gt;"OK",$B$6&gt;0),0,0.5*(IF((MIN('_Dates'!X125,Settings!$B$9))&lt;('_Dates'!W125),0,INT(((MIN('_Dates'!X125,Settings!$B$9))-('_Dates'!W125)+1)/7)*LEN(SUBSTITUTE(W125,"O",""))+LEN(SUBSTITUTE(MID(W125&amp;W125,WEEKDAY(('_Dates'!W125),2),MOD(((MIN('_Dates'!X125,Settings!$B$9))-('_Dates'!W125)+1),7)),"O",""))-COUNTIFS(INDEX(AllClosureRows,C125,0),"&gt;="&amp;('_Dates'!W125),INDEX(AllClosureRows,C125,0),"&lt;="&amp;(MIN('_Dates'!X125,Settings!$B$9))))+IF((MIN('_Dates'!Z125,Settings!$B$9))&lt;('_Dates'!Y125),0,INT(((MIN('_Dates'!Z125,Settings!$B$9))-('_Dates'!Y125)+1)/7)*LEN(SUBSTITUTE(W125,"O",""))+LEN(SUBSTITUTE(MID(W125&amp;W125,WEEKDAY(('_Dates'!Y125),2),MOD(((MIN('_Dates'!Z125,Settings!$B$9))-('_Dates'!Y125)+1),7)),"O",""))-COUNTIFS(INDEX(AllClosureRows,C125,0),"&gt;="&amp;('_Dates'!Y125),INDEX(AllClosureRows,C125,0),"&lt;="&amp;(MIN('_Dates'!Z125,Settings!$B$9))))))</ns0:f>
        <ns0:v>0</ns0:v>
      </ns0:c>
      <ns0:c r="I125" s="0">
        <ns0:f>MAX(0,G125-H125)</ns0:f>
        <ns0:v>0</ns0:v>
      </ns0:c>
      <ns0:c r="J125" s="0">
        <ns0:f>IF(OR(A125=0,F125&lt;&gt;"OK",Bookings!G125="Cancelled",$B$6&gt;0),0,IF('_Dates'!AC125=1,MAX(0,COUNTIFS(rngEngine_B,B125,rngAMStart,"&lt;="&amp;'_Dates'!X125,rngAMEnd,"&gt;="&amp;'_Dates'!W125,rngAMActive,1,rngEngine_F,"OK",rngBookings_F,"&lt;&gt;Cancelled")-1),0)+IF('_Dates'!AD125=1,MAX(0,COUNTIFS(rngEngine_B,B125,rngPMStart,"&lt;="&amp;'_Dates'!Z125,rngPMEnd,"&gt;="&amp;'_Dates'!Y125,rngPMActive,1,rngEngine_F,"OK",rngBookings_F,"&lt;&gt;Cancelled")-1),0))</ns0:f>
        <ns0:v>0</ns0:v>
      </ns0:c>
      <ns0:c r="K125" s="0" t="str">
        <ns0:f>IF(A125=0,"",IF(F125&lt;&gt;"OK",F125,IF(J125&gt;0,"CHECK overlapping entry",IF(AND($B$6=0,G125&lt;=0,Bookings!G125&lt;&gt;"Cancelled"),"CHECK no working days",IF(Bookings!G125="Cancelled","Cancelled","OK")))))</ns0:f>
        <ns0:v/>
      </ns0:c>
      <ns0:c r="L125" s="0">
        <ns0:f>IF(LEFT(K125,5)="CHECK",1,0)</ns0:f>
        <ns0:v>0</ns0:v>
      </ns0:c>
      <ns0:c r="M125" s="0">
        <ns0:f>IF(AND(L125=1,OR(C125=0,IFERROR(INDEX($X$11:$X$60,C125),0)=0)),1,0)</ns0:f>
        <ns0:v>0</ns0:v>
      </ns0:c>
      <ns0:c r="N125" s="0">
        <ns0:f>IF(OR(A125=0,L125&gt;0,$B$6&gt;0,Bookings!G125="Cancelled"),0,G125)</ns0:f>
        <ns0:v>0</ns0:v>
      </ns0:c>
      <ns0:c r="O125" s="0">
        <ns0:f>IF(AND(Bookings!G125="Approved",E125="Yes"),N125,0)</ns0:f>
        <ns0:v>0</ns0:v>
      </ns0:c>
      <ns0:c r="P125" s="0">
        <ns0:f>IF(AND(Bookings!G125="Approved",E125="Yes",L125=0,$B$6=0),H125,0)</ns0:f>
        <ns0:v>0</ns0:v>
      </ns0:c>
      <ns0:c r="Q125" s="0">
        <ns0:f>IF(AND(Bookings!G125="Approved",E125="Yes",L125=0,$B$6=0),I125,0)</ns0:f>
        <ns0:v>0</ns0:v>
      </ns0:c>
      <ns0:c r="R125" s="0">
        <ns0:f>IF(AND(Bookings!G125="Pending",E125="Yes"),N125,0)</ns0:f>
        <ns0:v>0</ns0:v>
      </ns0:c>
      <ns0:c r="S125" s="0">
        <ns0:f>IF(AND(Bookings!G125="Approved",E125="No"),N125,0)</ns0:f>
        <ns0:v>0</ns0:v>
      </ns0:c>
      <ns0:c r="T125" s="0">
        <ns0:f>IFERROR(MATCH(D125,Settings!$G$7:$G$11,0),0)</ns0:f>
        <ns0:v>0</ns0:v>
      </ns0:c>
      <ns0:c r="U125" s="0">
        <ns0:f>IF(N125&gt;0,T125+IF(Bookings!G125="Pending",10,0),0)</ns0:f>
        <ns0:v>0</ns0:v>
      </ns0:c>
      <ns0:c r="V125" s="0">
        <ns0:f>U125</ns0:f>
        <ns0:v>0</ns0:v>
      </ns0:c>
      <ns0:c r="W125" s="0" t="str">
        <ns0:f>IF(C125=0,"",INDEX($AP$11:$AP$60,C125))</ns0:f>
        <ns0:v/>
      </ns0:c>
    </ns0:row>
    <ns0:row r="126">
      <ns0:c r="A126" s="0">
        <ns0:f>IF(COUNTA(Bookings!A126:G126,Bookings!I126)=0,0,1)</ns0:f>
        <ns0:v>0</ns0:v>
      </ns0:c>
      <ns0:c r="B126" s="0" t="str">
        <ns0:f>IFERROR(TRIM(MID(Bookings!A126,FIND(" · ",Bookings!A126)+3,99)),"")</ns0:f>
        <ns0:v/>
      </ns0:c>
      <ns0:c r="C126" s="0">
        <ns0:f>IF(OR(B126="",LEN(B126)&gt;24,ISNUMBER(FIND(" ",B126)),ISNUMBER(FIND("*",B126)),ISNUMBER(FIND("?",B126)),ISNUMBER(FIND("~",B126))),0,IFERROR(MATCH(B126,Team!$A$11:$A$60,0),0))</ns0:f>
        <ns0:v>0</ns0:v>
      </ns0:c>
      <ns0:c r="D126" s="0" t="str">
        <ns0:f>IFERROR(IF(MID(Bookings!F126,LEN(Bookings!F126)-3,3)=" · ",RIGHT(Bookings!F126,1),""),"")</ns0:f>
        <ns0:v/>
      </ns0:c>
      <ns0:c r="E126" s="0" t="str">
        <ns0:f>IFERROR(INDEX(Settings!$H$7:$H$11,MATCH(D126,Settings!$G$7:$G$11,0)),"")</ns0:f>
        <ns0:v/>
      </ns0:c>
      <ns0:c r="F126" s="0" t="str">
        <ns0:f>IF(A126=0,"",IFERROR(IF(OR(B126="",C126=0),"CHECK employee selection",IF(INDEX(Team!$O$11:$O$60,C126)&lt;&gt;"OK","CHECK employee setup",IF(OR('_Dates'!J126=0,'_Dates'!T126=0),"CHECK date: use DD.MM.YYYY",IF('_Dates'!T126&lt;'_Dates'!J126,"CHECK end before start",IF(AND($B$6=0,OR('_Dates'!J126&lt;Settings!$B$7,'_Dates'!T126&gt;Settings!$B$8)),"CHECK split across leave years",IF(OR(NOT(OR('_Dates'!U126="Full day",'_Dates'!U126="AM",'_Dates'!U126="PM")),NOT(OR('_Dates'!V126="Full day",'_Dates'!V126="AM",'_Dates'!V126="PM"))),"CHECK Full day / AM / PM",IF(AND('_Dates'!J126='_Dates'!T126,'_Dates'!U126&lt;&gt;"Full day",'_Dates'!V126&lt;&gt;"Full day",'_Dates'!U126&lt;&gt;'_Dates'!V126),"CHECK same-day portions disagree",IF(AND($B$6=0,OR(AND('_Dates'!U126&lt;&gt;"Full day",'_Dates'!AA126=0),AND('_Dates'!V126&lt;&gt;"Full day",'_Dates'!AB126=0))),"CHECK half-day on non-working date",IF(COUNTIF(Settings!$G$7:$G$11,D126)&lt;&gt;1,"CHECK leave type",IF(AND(Bookings!G126&lt;&gt;"Approved",Bookings!G126&lt;&gt;"Pending",Bookings!G126&lt;&gt;"Cancelled"),"CHECK status","OK")))))))))),"CHECK input"))</ns0:f>
        <ns0:v/>
      </ns0:c>
      <ns0:c r="G126" s="0">
        <ns0:f>IF(OR(F126&lt;&gt;"OK",$B$6&gt;0),0,0.5*(IF(('_Dates'!X126)&lt;('_Dates'!W126),0,INT((('_Dates'!X126)-('_Dates'!W126)+1)/7)*LEN(SUBSTITUTE(W126,"O",""))+LEN(SUBSTITUTE(MID(W126&amp;W126,WEEKDAY(('_Dates'!W126),2),MOD((('_Dates'!X126)-('_Dates'!W126)+1),7)),"O",""))-COUNTIFS(INDEX(AllClosureRows,C126,0),"&gt;="&amp;('_Dates'!W126),INDEX(AllClosureRows,C126,0),"&lt;="&amp;('_Dates'!X126)))+IF(('_Dates'!Z126)&lt;('_Dates'!Y126),0,INT((('_Dates'!Z126)-('_Dates'!Y126)+1)/7)*LEN(SUBSTITUTE(W126,"O",""))+LEN(SUBSTITUTE(MID(W126&amp;W126,WEEKDAY(('_Dates'!Y126),2),MOD((('_Dates'!Z126)-('_Dates'!Y126)+1),7)),"O",""))-COUNTIFS(INDEX(AllClosureRows,C126,0),"&gt;="&amp;('_Dates'!Y126),INDEX(AllClosureRows,C126,0),"&lt;="&amp;('_Dates'!Z126)))))</ns0:f>
        <ns0:v>0</ns0:v>
      </ns0:c>
      <ns0:c r="H126" s="0">
        <ns0:f>IF(OR(F126&lt;&gt;"OK",$B$6&gt;0),0,0.5*(IF((MIN('_Dates'!X126,Settings!$B$9))&lt;('_Dates'!W126),0,INT(((MIN('_Dates'!X126,Settings!$B$9))-('_Dates'!W126)+1)/7)*LEN(SUBSTITUTE(W126,"O",""))+LEN(SUBSTITUTE(MID(W126&amp;W126,WEEKDAY(('_Dates'!W126),2),MOD(((MIN('_Dates'!X126,Settings!$B$9))-('_Dates'!W126)+1),7)),"O",""))-COUNTIFS(INDEX(AllClosureRows,C126,0),"&gt;="&amp;('_Dates'!W126),INDEX(AllClosureRows,C126,0),"&lt;="&amp;(MIN('_Dates'!X126,Settings!$B$9))))+IF((MIN('_Dates'!Z126,Settings!$B$9))&lt;('_Dates'!Y126),0,INT(((MIN('_Dates'!Z126,Settings!$B$9))-('_Dates'!Y126)+1)/7)*LEN(SUBSTITUTE(W126,"O",""))+LEN(SUBSTITUTE(MID(W126&amp;W126,WEEKDAY(('_Dates'!Y126),2),MOD(((MIN('_Dates'!Z126,Settings!$B$9))-('_Dates'!Y126)+1),7)),"O",""))-COUNTIFS(INDEX(AllClosureRows,C126,0),"&gt;="&amp;('_Dates'!Y126),INDEX(AllClosureRows,C126,0),"&lt;="&amp;(MIN('_Dates'!Z126,Settings!$B$9))))))</ns0:f>
        <ns0:v>0</ns0:v>
      </ns0:c>
      <ns0:c r="I126" s="0">
        <ns0:f>MAX(0,G126-H126)</ns0:f>
        <ns0:v>0</ns0:v>
      </ns0:c>
      <ns0:c r="J126" s="0">
        <ns0:f>IF(OR(A126=0,F126&lt;&gt;"OK",Bookings!G126="Cancelled",$B$6&gt;0),0,IF('_Dates'!AC126=1,MAX(0,COUNTIFS(rngEngine_B,B126,rngAMStart,"&lt;="&amp;'_Dates'!X126,rngAMEnd,"&gt;="&amp;'_Dates'!W126,rngAMActive,1,rngEngine_F,"OK",rngBookings_F,"&lt;&gt;Cancelled")-1),0)+IF('_Dates'!AD126=1,MAX(0,COUNTIFS(rngEngine_B,B126,rngPMStart,"&lt;="&amp;'_Dates'!Z126,rngPMEnd,"&gt;="&amp;'_Dates'!Y126,rngPMActive,1,rngEngine_F,"OK",rngBookings_F,"&lt;&gt;Cancelled")-1),0))</ns0:f>
        <ns0:v>0</ns0:v>
      </ns0:c>
      <ns0:c r="K126" s="0" t="str">
        <ns0:f>IF(A126=0,"",IF(F126&lt;&gt;"OK",F126,IF(J126&gt;0,"CHECK overlapping entry",IF(AND($B$6=0,G126&lt;=0,Bookings!G126&lt;&gt;"Cancelled"),"CHECK no working days",IF(Bookings!G126="Cancelled","Cancelled","OK")))))</ns0:f>
        <ns0:v/>
      </ns0:c>
      <ns0:c r="L126" s="0">
        <ns0:f>IF(LEFT(K126,5)="CHECK",1,0)</ns0:f>
        <ns0:v>0</ns0:v>
      </ns0:c>
      <ns0:c r="M126" s="0">
        <ns0:f>IF(AND(L126=1,OR(C126=0,IFERROR(INDEX($X$11:$X$60,C126),0)=0)),1,0)</ns0:f>
        <ns0:v>0</ns0:v>
      </ns0:c>
      <ns0:c r="N126" s="0">
        <ns0:f>IF(OR(A126=0,L126&gt;0,$B$6&gt;0,Bookings!G126="Cancelled"),0,G126)</ns0:f>
        <ns0:v>0</ns0:v>
      </ns0:c>
      <ns0:c r="O126" s="0">
        <ns0:f>IF(AND(Bookings!G126="Approved",E126="Yes"),N126,0)</ns0:f>
        <ns0:v>0</ns0:v>
      </ns0:c>
      <ns0:c r="P126" s="0">
        <ns0:f>IF(AND(Bookings!G126="Approved",E126="Yes",L126=0,$B$6=0),H126,0)</ns0:f>
        <ns0:v>0</ns0:v>
      </ns0:c>
      <ns0:c r="Q126" s="0">
        <ns0:f>IF(AND(Bookings!G126="Approved",E126="Yes",L126=0,$B$6=0),I126,0)</ns0:f>
        <ns0:v>0</ns0:v>
      </ns0:c>
      <ns0:c r="R126" s="0">
        <ns0:f>IF(AND(Bookings!G126="Pending",E126="Yes"),N126,0)</ns0:f>
        <ns0:v>0</ns0:v>
      </ns0:c>
      <ns0:c r="S126" s="0">
        <ns0:f>IF(AND(Bookings!G126="Approved",E126="No"),N126,0)</ns0:f>
        <ns0:v>0</ns0:v>
      </ns0:c>
      <ns0:c r="T126" s="0">
        <ns0:f>IFERROR(MATCH(D126,Settings!$G$7:$G$11,0),0)</ns0:f>
        <ns0:v>0</ns0:v>
      </ns0:c>
      <ns0:c r="U126" s="0">
        <ns0:f>IF(N126&gt;0,T126+IF(Bookings!G126="Pending",10,0),0)</ns0:f>
        <ns0:v>0</ns0:v>
      </ns0:c>
      <ns0:c r="V126" s="0">
        <ns0:f>U126</ns0:f>
        <ns0:v>0</ns0:v>
      </ns0:c>
      <ns0:c r="W126" s="0" t="str">
        <ns0:f>IF(C126=0,"",INDEX($AP$11:$AP$60,C126))</ns0:f>
        <ns0:v/>
      </ns0:c>
    </ns0:row>
    <ns0:row r="127">
      <ns0:c r="A127" s="0">
        <ns0:f>IF(COUNTA(Bookings!A127:G127,Bookings!I127)=0,0,1)</ns0:f>
        <ns0:v>0</ns0:v>
      </ns0:c>
      <ns0:c r="B127" s="0" t="str">
        <ns0:f>IFERROR(TRIM(MID(Bookings!A127,FIND(" · ",Bookings!A127)+3,99)),"")</ns0:f>
        <ns0:v/>
      </ns0:c>
      <ns0:c r="C127" s="0">
        <ns0:f>IF(OR(B127="",LEN(B127)&gt;24,ISNUMBER(FIND(" ",B127)),ISNUMBER(FIND("*",B127)),ISNUMBER(FIND("?",B127)),ISNUMBER(FIND("~",B127))),0,IFERROR(MATCH(B127,Team!$A$11:$A$60,0),0))</ns0:f>
        <ns0:v>0</ns0:v>
      </ns0:c>
      <ns0:c r="D127" s="0" t="str">
        <ns0:f>IFERROR(IF(MID(Bookings!F127,LEN(Bookings!F127)-3,3)=" · ",RIGHT(Bookings!F127,1),""),"")</ns0:f>
        <ns0:v/>
      </ns0:c>
      <ns0:c r="E127" s="0" t="str">
        <ns0:f>IFERROR(INDEX(Settings!$H$7:$H$11,MATCH(D127,Settings!$G$7:$G$11,0)),"")</ns0:f>
        <ns0:v/>
      </ns0:c>
      <ns0:c r="F127" s="0" t="str">
        <ns0:f>IF(A127=0,"",IFERROR(IF(OR(B127="",C127=0),"CHECK employee selection",IF(INDEX(Team!$O$11:$O$60,C127)&lt;&gt;"OK","CHECK employee setup",IF(OR('_Dates'!J127=0,'_Dates'!T127=0),"CHECK date: use DD.MM.YYYY",IF('_Dates'!T127&lt;'_Dates'!J127,"CHECK end before start",IF(AND($B$6=0,OR('_Dates'!J127&lt;Settings!$B$7,'_Dates'!T127&gt;Settings!$B$8)),"CHECK split across leave years",IF(OR(NOT(OR('_Dates'!U127="Full day",'_Dates'!U127="AM",'_Dates'!U127="PM")),NOT(OR('_Dates'!V127="Full day",'_Dates'!V127="AM",'_Dates'!V127="PM"))),"CHECK Full day / AM / PM",IF(AND('_Dates'!J127='_Dates'!T127,'_Dates'!U127&lt;&gt;"Full day",'_Dates'!V127&lt;&gt;"Full day",'_Dates'!U127&lt;&gt;'_Dates'!V127),"CHECK same-day portions disagree",IF(AND($B$6=0,OR(AND('_Dates'!U127&lt;&gt;"Full day",'_Dates'!AA127=0),AND('_Dates'!V127&lt;&gt;"Full day",'_Dates'!AB127=0))),"CHECK half-day on non-working date",IF(COUNTIF(Settings!$G$7:$G$11,D127)&lt;&gt;1,"CHECK leave type",IF(AND(Bookings!G127&lt;&gt;"Approved",Bookings!G127&lt;&gt;"Pending",Bookings!G127&lt;&gt;"Cancelled"),"CHECK status","OK")))))))))),"CHECK input"))</ns0:f>
        <ns0:v/>
      </ns0:c>
      <ns0:c r="G127" s="0">
        <ns0:f>IF(OR(F127&lt;&gt;"OK",$B$6&gt;0),0,0.5*(IF(('_Dates'!X127)&lt;('_Dates'!W127),0,INT((('_Dates'!X127)-('_Dates'!W127)+1)/7)*LEN(SUBSTITUTE(W127,"O",""))+LEN(SUBSTITUTE(MID(W127&amp;W127,WEEKDAY(('_Dates'!W127),2),MOD((('_Dates'!X127)-('_Dates'!W127)+1),7)),"O",""))-COUNTIFS(INDEX(AllClosureRows,C127,0),"&gt;="&amp;('_Dates'!W127),INDEX(AllClosureRows,C127,0),"&lt;="&amp;('_Dates'!X127)))+IF(('_Dates'!Z127)&lt;('_Dates'!Y127),0,INT((('_Dates'!Z127)-('_Dates'!Y127)+1)/7)*LEN(SUBSTITUTE(W127,"O",""))+LEN(SUBSTITUTE(MID(W127&amp;W127,WEEKDAY(('_Dates'!Y127),2),MOD((('_Dates'!Z127)-('_Dates'!Y127)+1),7)),"O",""))-COUNTIFS(INDEX(AllClosureRows,C127,0),"&gt;="&amp;('_Dates'!Y127),INDEX(AllClosureRows,C127,0),"&lt;="&amp;('_Dates'!Z127)))))</ns0:f>
        <ns0:v>0</ns0:v>
      </ns0:c>
      <ns0:c r="H127" s="0">
        <ns0:f>IF(OR(F127&lt;&gt;"OK",$B$6&gt;0),0,0.5*(IF((MIN('_Dates'!X127,Settings!$B$9))&lt;('_Dates'!W127),0,INT(((MIN('_Dates'!X127,Settings!$B$9))-('_Dates'!W127)+1)/7)*LEN(SUBSTITUTE(W127,"O",""))+LEN(SUBSTITUTE(MID(W127&amp;W127,WEEKDAY(('_Dates'!W127),2),MOD(((MIN('_Dates'!X127,Settings!$B$9))-('_Dates'!W127)+1),7)),"O",""))-COUNTIFS(INDEX(AllClosureRows,C127,0),"&gt;="&amp;('_Dates'!W127),INDEX(AllClosureRows,C127,0),"&lt;="&amp;(MIN('_Dates'!X127,Settings!$B$9))))+IF((MIN('_Dates'!Z127,Settings!$B$9))&lt;('_Dates'!Y127),0,INT(((MIN('_Dates'!Z127,Settings!$B$9))-('_Dates'!Y127)+1)/7)*LEN(SUBSTITUTE(W127,"O",""))+LEN(SUBSTITUTE(MID(W127&amp;W127,WEEKDAY(('_Dates'!Y127),2),MOD(((MIN('_Dates'!Z127,Settings!$B$9))-('_Dates'!Y127)+1),7)),"O",""))-COUNTIFS(INDEX(AllClosureRows,C127,0),"&gt;="&amp;('_Dates'!Y127),INDEX(AllClosureRows,C127,0),"&lt;="&amp;(MIN('_Dates'!Z127,Settings!$B$9))))))</ns0:f>
        <ns0:v>0</ns0:v>
      </ns0:c>
      <ns0:c r="I127" s="0">
        <ns0:f>MAX(0,G127-H127)</ns0:f>
        <ns0:v>0</ns0:v>
      </ns0:c>
      <ns0:c r="J127" s="0">
        <ns0:f>IF(OR(A127=0,F127&lt;&gt;"OK",Bookings!G127="Cancelled",$B$6&gt;0),0,IF('_Dates'!AC127=1,MAX(0,COUNTIFS(rngEngine_B,B127,rngAMStart,"&lt;="&amp;'_Dates'!X127,rngAMEnd,"&gt;="&amp;'_Dates'!W127,rngAMActive,1,rngEngine_F,"OK",rngBookings_F,"&lt;&gt;Cancelled")-1),0)+IF('_Dates'!AD127=1,MAX(0,COUNTIFS(rngEngine_B,B127,rngPMStart,"&lt;="&amp;'_Dates'!Z127,rngPMEnd,"&gt;="&amp;'_Dates'!Y127,rngPMActive,1,rngEngine_F,"OK",rngBookings_F,"&lt;&gt;Cancelled")-1),0))</ns0:f>
        <ns0:v>0</ns0:v>
      </ns0:c>
      <ns0:c r="K127" s="0" t="str">
        <ns0:f>IF(A127=0,"",IF(F127&lt;&gt;"OK",F127,IF(J127&gt;0,"CHECK overlapping entry",IF(AND($B$6=0,G127&lt;=0,Bookings!G127&lt;&gt;"Cancelled"),"CHECK no working days",IF(Bookings!G127="Cancelled","Cancelled","OK")))))</ns0:f>
        <ns0:v/>
      </ns0:c>
      <ns0:c r="L127" s="0">
        <ns0:f>IF(LEFT(K127,5)="CHECK",1,0)</ns0:f>
        <ns0:v>0</ns0:v>
      </ns0:c>
      <ns0:c r="M127" s="0">
        <ns0:f>IF(AND(L127=1,OR(C127=0,IFERROR(INDEX($X$11:$X$60,C127),0)=0)),1,0)</ns0:f>
        <ns0:v>0</ns0:v>
      </ns0:c>
      <ns0:c r="N127" s="0">
        <ns0:f>IF(OR(A127=0,L127&gt;0,$B$6&gt;0,Bookings!G127="Cancelled"),0,G127)</ns0:f>
        <ns0:v>0</ns0:v>
      </ns0:c>
      <ns0:c r="O127" s="0">
        <ns0:f>IF(AND(Bookings!G127="Approved",E127="Yes"),N127,0)</ns0:f>
        <ns0:v>0</ns0:v>
      </ns0:c>
      <ns0:c r="P127" s="0">
        <ns0:f>IF(AND(Bookings!G127="Approved",E127="Yes",L127=0,$B$6=0),H127,0)</ns0:f>
        <ns0:v>0</ns0:v>
      </ns0:c>
      <ns0:c r="Q127" s="0">
        <ns0:f>IF(AND(Bookings!G127="Approved",E127="Yes",L127=0,$B$6=0),I127,0)</ns0:f>
        <ns0:v>0</ns0:v>
      </ns0:c>
      <ns0:c r="R127" s="0">
        <ns0:f>IF(AND(Bookings!G127="Pending",E127="Yes"),N127,0)</ns0:f>
        <ns0:v>0</ns0:v>
      </ns0:c>
      <ns0:c r="S127" s="0">
        <ns0:f>IF(AND(Bookings!G127="Approved",E127="No"),N127,0)</ns0:f>
        <ns0:v>0</ns0:v>
      </ns0:c>
      <ns0:c r="T127" s="0">
        <ns0:f>IFERROR(MATCH(D127,Settings!$G$7:$G$11,0),0)</ns0:f>
        <ns0:v>0</ns0:v>
      </ns0:c>
      <ns0:c r="U127" s="0">
        <ns0:f>IF(N127&gt;0,T127+IF(Bookings!G127="Pending",10,0),0)</ns0:f>
        <ns0:v>0</ns0:v>
      </ns0:c>
      <ns0:c r="V127" s="0">
        <ns0:f>U127</ns0:f>
        <ns0:v>0</ns0:v>
      </ns0:c>
      <ns0:c r="W127" s="0" t="str">
        <ns0:f>IF(C127=0,"",INDEX($AP$11:$AP$60,C127))</ns0:f>
        <ns0:v/>
      </ns0:c>
    </ns0:row>
    <ns0:row r="128">
      <ns0:c r="A128" s="0">
        <ns0:f>IF(COUNTA(Bookings!A128:G128,Bookings!I128)=0,0,1)</ns0:f>
        <ns0:v>0</ns0:v>
      </ns0:c>
      <ns0:c r="B128" s="0" t="str">
        <ns0:f>IFERROR(TRIM(MID(Bookings!A128,FIND(" · ",Bookings!A128)+3,99)),"")</ns0:f>
        <ns0:v/>
      </ns0:c>
      <ns0:c r="C128" s="0">
        <ns0:f>IF(OR(B128="",LEN(B128)&gt;24,ISNUMBER(FIND(" ",B128)),ISNUMBER(FIND("*",B128)),ISNUMBER(FIND("?",B128)),ISNUMBER(FIND("~",B128))),0,IFERROR(MATCH(B128,Team!$A$11:$A$60,0),0))</ns0:f>
        <ns0:v>0</ns0:v>
      </ns0:c>
      <ns0:c r="D128" s="0" t="str">
        <ns0:f>IFERROR(IF(MID(Bookings!F128,LEN(Bookings!F128)-3,3)=" · ",RIGHT(Bookings!F128,1),""),"")</ns0:f>
        <ns0:v/>
      </ns0:c>
      <ns0:c r="E128" s="0" t="str">
        <ns0:f>IFERROR(INDEX(Settings!$H$7:$H$11,MATCH(D128,Settings!$G$7:$G$11,0)),"")</ns0:f>
        <ns0:v/>
      </ns0:c>
      <ns0:c r="F128" s="0" t="str">
        <ns0:f>IF(A128=0,"",IFERROR(IF(OR(B128="",C128=0),"CHECK employee selection",IF(INDEX(Team!$O$11:$O$60,C128)&lt;&gt;"OK","CHECK employee setup",IF(OR('_Dates'!J128=0,'_Dates'!T128=0),"CHECK date: use DD.MM.YYYY",IF('_Dates'!T128&lt;'_Dates'!J128,"CHECK end before start",IF(AND($B$6=0,OR('_Dates'!J128&lt;Settings!$B$7,'_Dates'!T128&gt;Settings!$B$8)),"CHECK split across leave years",IF(OR(NOT(OR('_Dates'!U128="Full day",'_Dates'!U128="AM",'_Dates'!U128="PM")),NOT(OR('_Dates'!V128="Full day",'_Dates'!V128="AM",'_Dates'!V128="PM"))),"CHECK Full day / AM / PM",IF(AND('_Dates'!J128='_Dates'!T128,'_Dates'!U128&lt;&gt;"Full day",'_Dates'!V128&lt;&gt;"Full day",'_Dates'!U128&lt;&gt;'_Dates'!V128),"CHECK same-day portions disagree",IF(AND($B$6=0,OR(AND('_Dates'!U128&lt;&gt;"Full day",'_Dates'!AA128=0),AND('_Dates'!V128&lt;&gt;"Full day",'_Dates'!AB128=0))),"CHECK half-day on non-working date",IF(COUNTIF(Settings!$G$7:$G$11,D128)&lt;&gt;1,"CHECK leave type",IF(AND(Bookings!G128&lt;&gt;"Approved",Bookings!G128&lt;&gt;"Pending",Bookings!G128&lt;&gt;"Cancelled"),"CHECK status","OK")))))))))),"CHECK input"))</ns0:f>
        <ns0:v/>
      </ns0:c>
      <ns0:c r="G128" s="0">
        <ns0:f>IF(OR(F128&lt;&gt;"OK",$B$6&gt;0),0,0.5*(IF(('_Dates'!X128)&lt;('_Dates'!W128),0,INT((('_Dates'!X128)-('_Dates'!W128)+1)/7)*LEN(SUBSTITUTE(W128,"O",""))+LEN(SUBSTITUTE(MID(W128&amp;W128,WEEKDAY(('_Dates'!W128),2),MOD((('_Dates'!X128)-('_Dates'!W128)+1),7)),"O",""))-COUNTIFS(INDEX(AllClosureRows,C128,0),"&gt;="&amp;('_Dates'!W128),INDEX(AllClosureRows,C128,0),"&lt;="&amp;('_Dates'!X128)))+IF(('_Dates'!Z128)&lt;('_Dates'!Y128),0,INT((('_Dates'!Z128)-('_Dates'!Y128)+1)/7)*LEN(SUBSTITUTE(W128,"O",""))+LEN(SUBSTITUTE(MID(W128&amp;W128,WEEKDAY(('_Dates'!Y128),2),MOD((('_Dates'!Z128)-('_Dates'!Y128)+1),7)),"O",""))-COUNTIFS(INDEX(AllClosureRows,C128,0),"&gt;="&amp;('_Dates'!Y128),INDEX(AllClosureRows,C128,0),"&lt;="&amp;('_Dates'!Z128)))))</ns0:f>
        <ns0:v>0</ns0:v>
      </ns0:c>
      <ns0:c r="H128" s="0">
        <ns0:f>IF(OR(F128&lt;&gt;"OK",$B$6&gt;0),0,0.5*(IF((MIN('_Dates'!X128,Settings!$B$9))&lt;('_Dates'!W128),0,INT(((MIN('_Dates'!X128,Settings!$B$9))-('_Dates'!W128)+1)/7)*LEN(SUBSTITUTE(W128,"O",""))+LEN(SUBSTITUTE(MID(W128&amp;W128,WEEKDAY(('_Dates'!W128),2),MOD(((MIN('_Dates'!X128,Settings!$B$9))-('_Dates'!W128)+1),7)),"O",""))-COUNTIFS(INDEX(AllClosureRows,C128,0),"&gt;="&amp;('_Dates'!W128),INDEX(AllClosureRows,C128,0),"&lt;="&amp;(MIN('_Dates'!X128,Settings!$B$9))))+IF((MIN('_Dates'!Z128,Settings!$B$9))&lt;('_Dates'!Y128),0,INT(((MIN('_Dates'!Z128,Settings!$B$9))-('_Dates'!Y128)+1)/7)*LEN(SUBSTITUTE(W128,"O",""))+LEN(SUBSTITUTE(MID(W128&amp;W128,WEEKDAY(('_Dates'!Y128),2),MOD(((MIN('_Dates'!Z128,Settings!$B$9))-('_Dates'!Y128)+1),7)),"O",""))-COUNTIFS(INDEX(AllClosureRows,C128,0),"&gt;="&amp;('_Dates'!Y128),INDEX(AllClosureRows,C128,0),"&lt;="&amp;(MIN('_Dates'!Z128,Settings!$B$9))))))</ns0:f>
        <ns0:v>0</ns0:v>
      </ns0:c>
      <ns0:c r="I128" s="0">
        <ns0:f>MAX(0,G128-H128)</ns0:f>
        <ns0:v>0</ns0:v>
      </ns0:c>
      <ns0:c r="J128" s="0">
        <ns0:f>IF(OR(A128=0,F128&lt;&gt;"OK",Bookings!G128="Cancelled",$B$6&gt;0),0,IF('_Dates'!AC128=1,MAX(0,COUNTIFS(rngEngine_B,B128,rngAMStart,"&lt;="&amp;'_Dates'!X128,rngAMEnd,"&gt;="&amp;'_Dates'!W128,rngAMActive,1,rngEngine_F,"OK",rngBookings_F,"&lt;&gt;Cancelled")-1),0)+IF('_Dates'!AD128=1,MAX(0,COUNTIFS(rngEngine_B,B128,rngPMStart,"&lt;="&amp;'_Dates'!Z128,rngPMEnd,"&gt;="&amp;'_Dates'!Y128,rngPMActive,1,rngEngine_F,"OK",rngBookings_F,"&lt;&gt;Cancelled")-1),0))</ns0:f>
        <ns0:v>0</ns0:v>
      </ns0:c>
      <ns0:c r="K128" s="0" t="str">
        <ns0:f>IF(A128=0,"",IF(F128&lt;&gt;"OK",F128,IF(J128&gt;0,"CHECK overlapping entry",IF(AND($B$6=0,G128&lt;=0,Bookings!G128&lt;&gt;"Cancelled"),"CHECK no working days",IF(Bookings!G128="Cancelled","Cancelled","OK")))))</ns0:f>
        <ns0:v/>
      </ns0:c>
      <ns0:c r="L128" s="0">
        <ns0:f>IF(LEFT(K128,5)="CHECK",1,0)</ns0:f>
        <ns0:v>0</ns0:v>
      </ns0:c>
      <ns0:c r="M128" s="0">
        <ns0:f>IF(AND(L128=1,OR(C128=0,IFERROR(INDEX($X$11:$X$60,C128),0)=0)),1,0)</ns0:f>
        <ns0:v>0</ns0:v>
      </ns0:c>
      <ns0:c r="N128" s="0">
        <ns0:f>IF(OR(A128=0,L128&gt;0,$B$6&gt;0,Bookings!G128="Cancelled"),0,G128)</ns0:f>
        <ns0:v>0</ns0:v>
      </ns0:c>
      <ns0:c r="O128" s="0">
        <ns0:f>IF(AND(Bookings!G128="Approved",E128="Yes"),N128,0)</ns0:f>
        <ns0:v>0</ns0:v>
      </ns0:c>
      <ns0:c r="P128" s="0">
        <ns0:f>IF(AND(Bookings!G128="Approved",E128="Yes",L128=0,$B$6=0),H128,0)</ns0:f>
        <ns0:v>0</ns0:v>
      </ns0:c>
      <ns0:c r="Q128" s="0">
        <ns0:f>IF(AND(Bookings!G128="Approved",E128="Yes",L128=0,$B$6=0),I128,0)</ns0:f>
        <ns0:v>0</ns0:v>
      </ns0:c>
      <ns0:c r="R128" s="0">
        <ns0:f>IF(AND(Bookings!G128="Pending",E128="Yes"),N128,0)</ns0:f>
        <ns0:v>0</ns0:v>
      </ns0:c>
      <ns0:c r="S128" s="0">
        <ns0:f>IF(AND(Bookings!G128="Approved",E128="No"),N128,0)</ns0:f>
        <ns0:v>0</ns0:v>
      </ns0:c>
      <ns0:c r="T128" s="0">
        <ns0:f>IFERROR(MATCH(D128,Settings!$G$7:$G$11,0),0)</ns0:f>
        <ns0:v>0</ns0:v>
      </ns0:c>
      <ns0:c r="U128" s="0">
        <ns0:f>IF(N128&gt;0,T128+IF(Bookings!G128="Pending",10,0),0)</ns0:f>
        <ns0:v>0</ns0:v>
      </ns0:c>
      <ns0:c r="V128" s="0">
        <ns0:f>U128</ns0:f>
        <ns0:v>0</ns0:v>
      </ns0:c>
      <ns0:c r="W128" s="0" t="str">
        <ns0:f>IF(C128=0,"",INDEX($AP$11:$AP$60,C128))</ns0:f>
        <ns0:v/>
      </ns0:c>
    </ns0:row>
    <ns0:row r="129">
      <ns0:c r="A129" s="0">
        <ns0:f>IF(COUNTA(Bookings!A129:G129,Bookings!I129)=0,0,1)</ns0:f>
        <ns0:v>0</ns0:v>
      </ns0:c>
      <ns0:c r="B129" s="0" t="str">
        <ns0:f>IFERROR(TRIM(MID(Bookings!A129,FIND(" · ",Bookings!A129)+3,99)),"")</ns0:f>
        <ns0:v/>
      </ns0:c>
      <ns0:c r="C129" s="0">
        <ns0:f>IF(OR(B129="",LEN(B129)&gt;24,ISNUMBER(FIND(" ",B129)),ISNUMBER(FIND("*",B129)),ISNUMBER(FIND("?",B129)),ISNUMBER(FIND("~",B129))),0,IFERROR(MATCH(B129,Team!$A$11:$A$60,0),0))</ns0:f>
        <ns0:v>0</ns0:v>
      </ns0:c>
      <ns0:c r="D129" s="0" t="str">
        <ns0:f>IFERROR(IF(MID(Bookings!F129,LEN(Bookings!F129)-3,3)=" · ",RIGHT(Bookings!F129,1),""),"")</ns0:f>
        <ns0:v/>
      </ns0:c>
      <ns0:c r="E129" s="0" t="str">
        <ns0:f>IFERROR(INDEX(Settings!$H$7:$H$11,MATCH(D129,Settings!$G$7:$G$11,0)),"")</ns0:f>
        <ns0:v/>
      </ns0:c>
      <ns0:c r="F129" s="0" t="str">
        <ns0:f>IF(A129=0,"",IFERROR(IF(OR(B129="",C129=0),"CHECK employee selection",IF(INDEX(Team!$O$11:$O$60,C129)&lt;&gt;"OK","CHECK employee setup",IF(OR('_Dates'!J129=0,'_Dates'!T129=0),"CHECK date: use DD.MM.YYYY",IF('_Dates'!T129&lt;'_Dates'!J129,"CHECK end before start",IF(AND($B$6=0,OR('_Dates'!J129&lt;Settings!$B$7,'_Dates'!T129&gt;Settings!$B$8)),"CHECK split across leave years",IF(OR(NOT(OR('_Dates'!U129="Full day",'_Dates'!U129="AM",'_Dates'!U129="PM")),NOT(OR('_Dates'!V129="Full day",'_Dates'!V129="AM",'_Dates'!V129="PM"))),"CHECK Full day / AM / PM",IF(AND('_Dates'!J129='_Dates'!T129,'_Dates'!U129&lt;&gt;"Full day",'_Dates'!V129&lt;&gt;"Full day",'_Dates'!U129&lt;&gt;'_Dates'!V129),"CHECK same-day portions disagree",IF(AND($B$6=0,OR(AND('_Dates'!U129&lt;&gt;"Full day",'_Dates'!AA129=0),AND('_Dates'!V129&lt;&gt;"Full day",'_Dates'!AB129=0))),"CHECK half-day on non-working date",IF(COUNTIF(Settings!$G$7:$G$11,D129)&lt;&gt;1,"CHECK leave type",IF(AND(Bookings!G129&lt;&gt;"Approved",Bookings!G129&lt;&gt;"Pending",Bookings!G129&lt;&gt;"Cancelled"),"CHECK status","OK")))))))))),"CHECK input"))</ns0:f>
        <ns0:v/>
      </ns0:c>
      <ns0:c r="G129" s="0">
        <ns0:f>IF(OR(F129&lt;&gt;"OK",$B$6&gt;0),0,0.5*(IF(('_Dates'!X129)&lt;('_Dates'!W129),0,INT((('_Dates'!X129)-('_Dates'!W129)+1)/7)*LEN(SUBSTITUTE(W129,"O",""))+LEN(SUBSTITUTE(MID(W129&amp;W129,WEEKDAY(('_Dates'!W129),2),MOD((('_Dates'!X129)-('_Dates'!W129)+1),7)),"O",""))-COUNTIFS(INDEX(AllClosureRows,C129,0),"&gt;="&amp;('_Dates'!W129),INDEX(AllClosureRows,C129,0),"&lt;="&amp;('_Dates'!X129)))+IF(('_Dates'!Z129)&lt;('_Dates'!Y129),0,INT((('_Dates'!Z129)-('_Dates'!Y129)+1)/7)*LEN(SUBSTITUTE(W129,"O",""))+LEN(SUBSTITUTE(MID(W129&amp;W129,WEEKDAY(('_Dates'!Y129),2),MOD((('_Dates'!Z129)-('_Dates'!Y129)+1),7)),"O",""))-COUNTIFS(INDEX(AllClosureRows,C129,0),"&gt;="&amp;('_Dates'!Y129),INDEX(AllClosureRows,C129,0),"&lt;="&amp;('_Dates'!Z129)))))</ns0:f>
        <ns0:v>0</ns0:v>
      </ns0:c>
      <ns0:c r="H129" s="0">
        <ns0:f>IF(OR(F129&lt;&gt;"OK",$B$6&gt;0),0,0.5*(IF((MIN('_Dates'!X129,Settings!$B$9))&lt;('_Dates'!W129),0,INT(((MIN('_Dates'!X129,Settings!$B$9))-('_Dates'!W129)+1)/7)*LEN(SUBSTITUTE(W129,"O",""))+LEN(SUBSTITUTE(MID(W129&amp;W129,WEEKDAY(('_Dates'!W129),2),MOD(((MIN('_Dates'!X129,Settings!$B$9))-('_Dates'!W129)+1),7)),"O",""))-COUNTIFS(INDEX(AllClosureRows,C129,0),"&gt;="&amp;('_Dates'!W129),INDEX(AllClosureRows,C129,0),"&lt;="&amp;(MIN('_Dates'!X129,Settings!$B$9))))+IF((MIN('_Dates'!Z129,Settings!$B$9))&lt;('_Dates'!Y129),0,INT(((MIN('_Dates'!Z129,Settings!$B$9))-('_Dates'!Y129)+1)/7)*LEN(SUBSTITUTE(W129,"O",""))+LEN(SUBSTITUTE(MID(W129&amp;W129,WEEKDAY(('_Dates'!Y129),2),MOD(((MIN('_Dates'!Z129,Settings!$B$9))-('_Dates'!Y129)+1),7)),"O",""))-COUNTIFS(INDEX(AllClosureRows,C129,0),"&gt;="&amp;('_Dates'!Y129),INDEX(AllClosureRows,C129,0),"&lt;="&amp;(MIN('_Dates'!Z129,Settings!$B$9))))))</ns0:f>
        <ns0:v>0</ns0:v>
      </ns0:c>
      <ns0:c r="I129" s="0">
        <ns0:f>MAX(0,G129-H129)</ns0:f>
        <ns0:v>0</ns0:v>
      </ns0:c>
      <ns0:c r="J129" s="0">
        <ns0:f>IF(OR(A129=0,F129&lt;&gt;"OK",Bookings!G129="Cancelled",$B$6&gt;0),0,IF('_Dates'!AC129=1,MAX(0,COUNTIFS(rngEngine_B,B129,rngAMStart,"&lt;="&amp;'_Dates'!X129,rngAMEnd,"&gt;="&amp;'_Dates'!W129,rngAMActive,1,rngEngine_F,"OK",rngBookings_F,"&lt;&gt;Cancelled")-1),0)+IF('_Dates'!AD129=1,MAX(0,COUNTIFS(rngEngine_B,B129,rngPMStart,"&lt;="&amp;'_Dates'!Z129,rngPMEnd,"&gt;="&amp;'_Dates'!Y129,rngPMActive,1,rngEngine_F,"OK",rngBookings_F,"&lt;&gt;Cancelled")-1),0))</ns0:f>
        <ns0:v>0</ns0:v>
      </ns0:c>
      <ns0:c r="K129" s="0" t="str">
        <ns0:f>IF(A129=0,"",IF(F129&lt;&gt;"OK",F129,IF(J129&gt;0,"CHECK overlapping entry",IF(AND($B$6=0,G129&lt;=0,Bookings!G129&lt;&gt;"Cancelled"),"CHECK no working days",IF(Bookings!G129="Cancelled","Cancelled","OK")))))</ns0:f>
        <ns0:v/>
      </ns0:c>
      <ns0:c r="L129" s="0">
        <ns0:f>IF(LEFT(K129,5)="CHECK",1,0)</ns0:f>
        <ns0:v>0</ns0:v>
      </ns0:c>
      <ns0:c r="M129" s="0">
        <ns0:f>IF(AND(L129=1,OR(C129=0,IFERROR(INDEX($X$11:$X$60,C129),0)=0)),1,0)</ns0:f>
        <ns0:v>0</ns0:v>
      </ns0:c>
      <ns0:c r="N129" s="0">
        <ns0:f>IF(OR(A129=0,L129&gt;0,$B$6&gt;0,Bookings!G129="Cancelled"),0,G129)</ns0:f>
        <ns0:v>0</ns0:v>
      </ns0:c>
      <ns0:c r="O129" s="0">
        <ns0:f>IF(AND(Bookings!G129="Approved",E129="Yes"),N129,0)</ns0:f>
        <ns0:v>0</ns0:v>
      </ns0:c>
      <ns0:c r="P129" s="0">
        <ns0:f>IF(AND(Bookings!G129="Approved",E129="Yes",L129=0,$B$6=0),H129,0)</ns0:f>
        <ns0:v>0</ns0:v>
      </ns0:c>
      <ns0:c r="Q129" s="0">
        <ns0:f>IF(AND(Bookings!G129="Approved",E129="Yes",L129=0,$B$6=0),I129,0)</ns0:f>
        <ns0:v>0</ns0:v>
      </ns0:c>
      <ns0:c r="R129" s="0">
        <ns0:f>IF(AND(Bookings!G129="Pending",E129="Yes"),N129,0)</ns0:f>
        <ns0:v>0</ns0:v>
      </ns0:c>
      <ns0:c r="S129" s="0">
        <ns0:f>IF(AND(Bookings!G129="Approved",E129="No"),N129,0)</ns0:f>
        <ns0:v>0</ns0:v>
      </ns0:c>
      <ns0:c r="T129" s="0">
        <ns0:f>IFERROR(MATCH(D129,Settings!$G$7:$G$11,0),0)</ns0:f>
        <ns0:v>0</ns0:v>
      </ns0:c>
      <ns0:c r="U129" s="0">
        <ns0:f>IF(N129&gt;0,T129+IF(Bookings!G129="Pending",10,0),0)</ns0:f>
        <ns0:v>0</ns0:v>
      </ns0:c>
      <ns0:c r="V129" s="0">
        <ns0:f>U129</ns0:f>
        <ns0:v>0</ns0:v>
      </ns0:c>
      <ns0:c r="W129" s="0" t="str">
        <ns0:f>IF(C129=0,"",INDEX($AP$11:$AP$60,C129))</ns0:f>
        <ns0:v/>
      </ns0:c>
    </ns0:row>
    <ns0:row r="130">
      <ns0:c r="A130" s="0">
        <ns0:f>IF(COUNTA(Bookings!A130:G130,Bookings!I130)=0,0,1)</ns0:f>
        <ns0:v>0</ns0:v>
      </ns0:c>
      <ns0:c r="B130" s="0" t="str">
        <ns0:f>IFERROR(TRIM(MID(Bookings!A130,FIND(" · ",Bookings!A130)+3,99)),"")</ns0:f>
        <ns0:v/>
      </ns0:c>
      <ns0:c r="C130" s="0">
        <ns0:f>IF(OR(B130="",LEN(B130)&gt;24,ISNUMBER(FIND(" ",B130)),ISNUMBER(FIND("*",B130)),ISNUMBER(FIND("?",B130)),ISNUMBER(FIND("~",B130))),0,IFERROR(MATCH(B130,Team!$A$11:$A$60,0),0))</ns0:f>
        <ns0:v>0</ns0:v>
      </ns0:c>
      <ns0:c r="D130" s="0" t="str">
        <ns0:f>IFERROR(IF(MID(Bookings!F130,LEN(Bookings!F130)-3,3)=" · ",RIGHT(Bookings!F130,1),""),"")</ns0:f>
        <ns0:v/>
      </ns0:c>
      <ns0:c r="E130" s="0" t="str">
        <ns0:f>IFERROR(INDEX(Settings!$H$7:$H$11,MATCH(D130,Settings!$G$7:$G$11,0)),"")</ns0:f>
        <ns0:v/>
      </ns0:c>
      <ns0:c r="F130" s="0" t="str">
        <ns0:f>IF(A130=0,"",IFERROR(IF(OR(B130="",C130=0),"CHECK employee selection",IF(INDEX(Team!$O$11:$O$60,C130)&lt;&gt;"OK","CHECK employee setup",IF(OR('_Dates'!J130=0,'_Dates'!T130=0),"CHECK date: use DD.MM.YYYY",IF('_Dates'!T130&lt;'_Dates'!J130,"CHECK end before start",IF(AND($B$6=0,OR('_Dates'!J130&lt;Settings!$B$7,'_Dates'!T130&gt;Settings!$B$8)),"CHECK split across leave years",IF(OR(NOT(OR('_Dates'!U130="Full day",'_Dates'!U130="AM",'_Dates'!U130="PM")),NOT(OR('_Dates'!V130="Full day",'_Dates'!V130="AM",'_Dates'!V130="PM"))),"CHECK Full day / AM / PM",IF(AND('_Dates'!J130='_Dates'!T130,'_Dates'!U130&lt;&gt;"Full day",'_Dates'!V130&lt;&gt;"Full day",'_Dates'!U130&lt;&gt;'_Dates'!V130),"CHECK same-day portions disagree",IF(AND($B$6=0,OR(AND('_Dates'!U130&lt;&gt;"Full day",'_Dates'!AA130=0),AND('_Dates'!V130&lt;&gt;"Full day",'_Dates'!AB130=0))),"CHECK half-day on non-working date",IF(COUNTIF(Settings!$G$7:$G$11,D130)&lt;&gt;1,"CHECK leave type",IF(AND(Bookings!G130&lt;&gt;"Approved",Bookings!G130&lt;&gt;"Pending",Bookings!G130&lt;&gt;"Cancelled"),"CHECK status","OK")))))))))),"CHECK input"))</ns0:f>
        <ns0:v/>
      </ns0:c>
      <ns0:c r="G130" s="0">
        <ns0:f>IF(OR(F130&lt;&gt;"OK",$B$6&gt;0),0,0.5*(IF(('_Dates'!X130)&lt;('_Dates'!W130),0,INT((('_Dates'!X130)-('_Dates'!W130)+1)/7)*LEN(SUBSTITUTE(W130,"O",""))+LEN(SUBSTITUTE(MID(W130&amp;W130,WEEKDAY(('_Dates'!W130),2),MOD((('_Dates'!X130)-('_Dates'!W130)+1),7)),"O",""))-COUNTIFS(INDEX(AllClosureRows,C130,0),"&gt;="&amp;('_Dates'!W130),INDEX(AllClosureRows,C130,0),"&lt;="&amp;('_Dates'!X130)))+IF(('_Dates'!Z130)&lt;('_Dates'!Y130),0,INT((('_Dates'!Z130)-('_Dates'!Y130)+1)/7)*LEN(SUBSTITUTE(W130,"O",""))+LEN(SUBSTITUTE(MID(W130&amp;W130,WEEKDAY(('_Dates'!Y130),2),MOD((('_Dates'!Z130)-('_Dates'!Y130)+1),7)),"O",""))-COUNTIFS(INDEX(AllClosureRows,C130,0),"&gt;="&amp;('_Dates'!Y130),INDEX(AllClosureRows,C130,0),"&lt;="&amp;('_Dates'!Z130)))))</ns0:f>
        <ns0:v>0</ns0:v>
      </ns0:c>
      <ns0:c r="H130" s="0">
        <ns0:f>IF(OR(F130&lt;&gt;"OK",$B$6&gt;0),0,0.5*(IF((MIN('_Dates'!X130,Settings!$B$9))&lt;('_Dates'!W130),0,INT(((MIN('_Dates'!X130,Settings!$B$9))-('_Dates'!W130)+1)/7)*LEN(SUBSTITUTE(W130,"O",""))+LEN(SUBSTITUTE(MID(W130&amp;W130,WEEKDAY(('_Dates'!W130),2),MOD(((MIN('_Dates'!X130,Settings!$B$9))-('_Dates'!W130)+1),7)),"O",""))-COUNTIFS(INDEX(AllClosureRows,C130,0),"&gt;="&amp;('_Dates'!W130),INDEX(AllClosureRows,C130,0),"&lt;="&amp;(MIN('_Dates'!X130,Settings!$B$9))))+IF((MIN('_Dates'!Z130,Settings!$B$9))&lt;('_Dates'!Y130),0,INT(((MIN('_Dates'!Z130,Settings!$B$9))-('_Dates'!Y130)+1)/7)*LEN(SUBSTITUTE(W130,"O",""))+LEN(SUBSTITUTE(MID(W130&amp;W130,WEEKDAY(('_Dates'!Y130),2),MOD(((MIN('_Dates'!Z130,Settings!$B$9))-('_Dates'!Y130)+1),7)),"O",""))-COUNTIFS(INDEX(AllClosureRows,C130,0),"&gt;="&amp;('_Dates'!Y130),INDEX(AllClosureRows,C130,0),"&lt;="&amp;(MIN('_Dates'!Z130,Settings!$B$9))))))</ns0:f>
        <ns0:v>0</ns0:v>
      </ns0:c>
      <ns0:c r="I130" s="0">
        <ns0:f>MAX(0,G130-H130)</ns0:f>
        <ns0:v>0</ns0:v>
      </ns0:c>
      <ns0:c r="J130" s="0">
        <ns0:f>IF(OR(A130=0,F130&lt;&gt;"OK",Bookings!G130="Cancelled",$B$6&gt;0),0,IF('_Dates'!AC130=1,MAX(0,COUNTIFS(rngEngine_B,B130,rngAMStart,"&lt;="&amp;'_Dates'!X130,rngAMEnd,"&gt;="&amp;'_Dates'!W130,rngAMActive,1,rngEngine_F,"OK",rngBookings_F,"&lt;&gt;Cancelled")-1),0)+IF('_Dates'!AD130=1,MAX(0,COUNTIFS(rngEngine_B,B130,rngPMStart,"&lt;="&amp;'_Dates'!Z130,rngPMEnd,"&gt;="&amp;'_Dates'!Y130,rngPMActive,1,rngEngine_F,"OK",rngBookings_F,"&lt;&gt;Cancelled")-1),0))</ns0:f>
        <ns0:v>0</ns0:v>
      </ns0:c>
      <ns0:c r="K130" s="0" t="str">
        <ns0:f>IF(A130=0,"",IF(F130&lt;&gt;"OK",F130,IF(J130&gt;0,"CHECK overlapping entry",IF(AND($B$6=0,G130&lt;=0,Bookings!G130&lt;&gt;"Cancelled"),"CHECK no working days",IF(Bookings!G130="Cancelled","Cancelled","OK")))))</ns0:f>
        <ns0:v/>
      </ns0:c>
      <ns0:c r="L130" s="0">
        <ns0:f>IF(LEFT(K130,5)="CHECK",1,0)</ns0:f>
        <ns0:v>0</ns0:v>
      </ns0:c>
      <ns0:c r="M130" s="0">
        <ns0:f>IF(AND(L130=1,OR(C130=0,IFERROR(INDEX($X$11:$X$60,C130),0)=0)),1,0)</ns0:f>
        <ns0:v>0</ns0:v>
      </ns0:c>
      <ns0:c r="N130" s="0">
        <ns0:f>IF(OR(A130=0,L130&gt;0,$B$6&gt;0,Bookings!G130="Cancelled"),0,G130)</ns0:f>
        <ns0:v>0</ns0:v>
      </ns0:c>
      <ns0:c r="O130" s="0">
        <ns0:f>IF(AND(Bookings!G130="Approved",E130="Yes"),N130,0)</ns0:f>
        <ns0:v>0</ns0:v>
      </ns0:c>
      <ns0:c r="P130" s="0">
        <ns0:f>IF(AND(Bookings!G130="Approved",E130="Yes",L130=0,$B$6=0),H130,0)</ns0:f>
        <ns0:v>0</ns0:v>
      </ns0:c>
      <ns0:c r="Q130" s="0">
        <ns0:f>IF(AND(Bookings!G130="Approved",E130="Yes",L130=0,$B$6=0),I130,0)</ns0:f>
        <ns0:v>0</ns0:v>
      </ns0:c>
      <ns0:c r="R130" s="0">
        <ns0:f>IF(AND(Bookings!G130="Pending",E130="Yes"),N130,0)</ns0:f>
        <ns0:v>0</ns0:v>
      </ns0:c>
      <ns0:c r="S130" s="0">
        <ns0:f>IF(AND(Bookings!G130="Approved",E130="No"),N130,0)</ns0:f>
        <ns0:v>0</ns0:v>
      </ns0:c>
      <ns0:c r="T130" s="0">
        <ns0:f>IFERROR(MATCH(D130,Settings!$G$7:$G$11,0),0)</ns0:f>
        <ns0:v>0</ns0:v>
      </ns0:c>
      <ns0:c r="U130" s="0">
        <ns0:f>IF(N130&gt;0,T130+IF(Bookings!G130="Pending",10,0),0)</ns0:f>
        <ns0:v>0</ns0:v>
      </ns0:c>
      <ns0:c r="V130" s="0">
        <ns0:f>U130</ns0:f>
        <ns0:v>0</ns0:v>
      </ns0:c>
      <ns0:c r="W130" s="0" t="str">
        <ns0:f>IF(C130=0,"",INDEX($AP$11:$AP$60,C130))</ns0:f>
        <ns0:v/>
      </ns0:c>
    </ns0:row>
    <ns0:row r="131">
      <ns0:c r="A131" s="0">
        <ns0:f>IF(COUNTA(Bookings!A131:G131,Bookings!I131)=0,0,1)</ns0:f>
        <ns0:v>0</ns0:v>
      </ns0:c>
      <ns0:c r="B131" s="0" t="str">
        <ns0:f>IFERROR(TRIM(MID(Bookings!A131,FIND(" · ",Bookings!A131)+3,99)),"")</ns0:f>
        <ns0:v/>
      </ns0:c>
      <ns0:c r="C131" s="0">
        <ns0:f>IF(OR(B131="",LEN(B131)&gt;24,ISNUMBER(FIND(" ",B131)),ISNUMBER(FIND("*",B131)),ISNUMBER(FIND("?",B131)),ISNUMBER(FIND("~",B131))),0,IFERROR(MATCH(B131,Team!$A$11:$A$60,0),0))</ns0:f>
        <ns0:v>0</ns0:v>
      </ns0:c>
      <ns0:c r="D131" s="0" t="str">
        <ns0:f>IFERROR(IF(MID(Bookings!F131,LEN(Bookings!F131)-3,3)=" · ",RIGHT(Bookings!F131,1),""),"")</ns0:f>
        <ns0:v/>
      </ns0:c>
      <ns0:c r="E131" s="0" t="str">
        <ns0:f>IFERROR(INDEX(Settings!$H$7:$H$11,MATCH(D131,Settings!$G$7:$G$11,0)),"")</ns0:f>
        <ns0:v/>
      </ns0:c>
      <ns0:c r="F131" s="0" t="str">
        <ns0:f>IF(A131=0,"",IFERROR(IF(OR(B131="",C131=0),"CHECK employee selection",IF(INDEX(Team!$O$11:$O$60,C131)&lt;&gt;"OK","CHECK employee setup",IF(OR('_Dates'!J131=0,'_Dates'!T131=0),"CHECK date: use DD.MM.YYYY",IF('_Dates'!T131&lt;'_Dates'!J131,"CHECK end before start",IF(AND($B$6=0,OR('_Dates'!J131&lt;Settings!$B$7,'_Dates'!T131&gt;Settings!$B$8)),"CHECK split across leave years",IF(OR(NOT(OR('_Dates'!U131="Full day",'_Dates'!U131="AM",'_Dates'!U131="PM")),NOT(OR('_Dates'!V131="Full day",'_Dates'!V131="AM",'_Dates'!V131="PM"))),"CHECK Full day / AM / PM",IF(AND('_Dates'!J131='_Dates'!T131,'_Dates'!U131&lt;&gt;"Full day",'_Dates'!V131&lt;&gt;"Full day",'_Dates'!U131&lt;&gt;'_Dates'!V131),"CHECK same-day portions disagree",IF(AND($B$6=0,OR(AND('_Dates'!U131&lt;&gt;"Full day",'_Dates'!AA131=0),AND('_Dates'!V131&lt;&gt;"Full day",'_Dates'!AB131=0))),"CHECK half-day on non-working date",IF(COUNTIF(Settings!$G$7:$G$11,D131)&lt;&gt;1,"CHECK leave type",IF(AND(Bookings!G131&lt;&gt;"Approved",Bookings!G131&lt;&gt;"Pending",Bookings!G131&lt;&gt;"Cancelled"),"CHECK status","OK")))))))))),"CHECK input"))</ns0:f>
        <ns0:v/>
      </ns0:c>
      <ns0:c r="G131" s="0">
        <ns0:f>IF(OR(F131&lt;&gt;"OK",$B$6&gt;0),0,0.5*(IF(('_Dates'!X131)&lt;('_Dates'!W131),0,INT((('_Dates'!X131)-('_Dates'!W131)+1)/7)*LEN(SUBSTITUTE(W131,"O",""))+LEN(SUBSTITUTE(MID(W131&amp;W131,WEEKDAY(('_Dates'!W131),2),MOD((('_Dates'!X131)-('_Dates'!W131)+1),7)),"O",""))-COUNTIFS(INDEX(AllClosureRows,C131,0),"&gt;="&amp;('_Dates'!W131),INDEX(AllClosureRows,C131,0),"&lt;="&amp;('_Dates'!X131)))+IF(('_Dates'!Z131)&lt;('_Dates'!Y131),0,INT((('_Dates'!Z131)-('_Dates'!Y131)+1)/7)*LEN(SUBSTITUTE(W131,"O",""))+LEN(SUBSTITUTE(MID(W131&amp;W131,WEEKDAY(('_Dates'!Y131),2),MOD((('_Dates'!Z131)-('_Dates'!Y131)+1),7)),"O",""))-COUNTIFS(INDEX(AllClosureRows,C131,0),"&gt;="&amp;('_Dates'!Y131),INDEX(AllClosureRows,C131,0),"&lt;="&amp;('_Dates'!Z131)))))</ns0:f>
        <ns0:v>0</ns0:v>
      </ns0:c>
      <ns0:c r="H131" s="0">
        <ns0:f>IF(OR(F131&lt;&gt;"OK",$B$6&gt;0),0,0.5*(IF((MIN('_Dates'!X131,Settings!$B$9))&lt;('_Dates'!W131),0,INT(((MIN('_Dates'!X131,Settings!$B$9))-('_Dates'!W131)+1)/7)*LEN(SUBSTITUTE(W131,"O",""))+LEN(SUBSTITUTE(MID(W131&amp;W131,WEEKDAY(('_Dates'!W131),2),MOD(((MIN('_Dates'!X131,Settings!$B$9))-('_Dates'!W131)+1),7)),"O",""))-COUNTIFS(INDEX(AllClosureRows,C131,0),"&gt;="&amp;('_Dates'!W131),INDEX(AllClosureRows,C131,0),"&lt;="&amp;(MIN('_Dates'!X131,Settings!$B$9))))+IF((MIN('_Dates'!Z131,Settings!$B$9))&lt;('_Dates'!Y131),0,INT(((MIN('_Dates'!Z131,Settings!$B$9))-('_Dates'!Y131)+1)/7)*LEN(SUBSTITUTE(W131,"O",""))+LEN(SUBSTITUTE(MID(W131&amp;W131,WEEKDAY(('_Dates'!Y131),2),MOD(((MIN('_Dates'!Z131,Settings!$B$9))-('_Dates'!Y131)+1),7)),"O",""))-COUNTIFS(INDEX(AllClosureRows,C131,0),"&gt;="&amp;('_Dates'!Y131),INDEX(AllClosureRows,C131,0),"&lt;="&amp;(MIN('_Dates'!Z131,Settings!$B$9))))))</ns0:f>
        <ns0:v>0</ns0:v>
      </ns0:c>
      <ns0:c r="I131" s="0">
        <ns0:f>MAX(0,G131-H131)</ns0:f>
        <ns0:v>0</ns0:v>
      </ns0:c>
      <ns0:c r="J131" s="0">
        <ns0:f>IF(OR(A131=0,F131&lt;&gt;"OK",Bookings!G131="Cancelled",$B$6&gt;0),0,IF('_Dates'!AC131=1,MAX(0,COUNTIFS(rngEngine_B,B131,rngAMStart,"&lt;="&amp;'_Dates'!X131,rngAMEnd,"&gt;="&amp;'_Dates'!W131,rngAMActive,1,rngEngine_F,"OK",rngBookings_F,"&lt;&gt;Cancelled")-1),0)+IF('_Dates'!AD131=1,MAX(0,COUNTIFS(rngEngine_B,B131,rngPMStart,"&lt;="&amp;'_Dates'!Z131,rngPMEnd,"&gt;="&amp;'_Dates'!Y131,rngPMActive,1,rngEngine_F,"OK",rngBookings_F,"&lt;&gt;Cancelled")-1),0))</ns0:f>
        <ns0:v>0</ns0:v>
      </ns0:c>
      <ns0:c r="K131" s="0" t="str">
        <ns0:f>IF(A131=0,"",IF(F131&lt;&gt;"OK",F131,IF(J131&gt;0,"CHECK overlapping entry",IF(AND($B$6=0,G131&lt;=0,Bookings!G131&lt;&gt;"Cancelled"),"CHECK no working days",IF(Bookings!G131="Cancelled","Cancelled","OK")))))</ns0:f>
        <ns0:v/>
      </ns0:c>
      <ns0:c r="L131" s="0">
        <ns0:f>IF(LEFT(K131,5)="CHECK",1,0)</ns0:f>
        <ns0:v>0</ns0:v>
      </ns0:c>
      <ns0:c r="M131" s="0">
        <ns0:f>IF(AND(L131=1,OR(C131=0,IFERROR(INDEX($X$11:$X$60,C131),0)=0)),1,0)</ns0:f>
        <ns0:v>0</ns0:v>
      </ns0:c>
      <ns0:c r="N131" s="0">
        <ns0:f>IF(OR(A131=0,L131&gt;0,$B$6&gt;0,Bookings!G131="Cancelled"),0,G131)</ns0:f>
        <ns0:v>0</ns0:v>
      </ns0:c>
      <ns0:c r="O131" s="0">
        <ns0:f>IF(AND(Bookings!G131="Approved",E131="Yes"),N131,0)</ns0:f>
        <ns0:v>0</ns0:v>
      </ns0:c>
      <ns0:c r="P131" s="0">
        <ns0:f>IF(AND(Bookings!G131="Approved",E131="Yes",L131=0,$B$6=0),H131,0)</ns0:f>
        <ns0:v>0</ns0:v>
      </ns0:c>
      <ns0:c r="Q131" s="0">
        <ns0:f>IF(AND(Bookings!G131="Approved",E131="Yes",L131=0,$B$6=0),I131,0)</ns0:f>
        <ns0:v>0</ns0:v>
      </ns0:c>
      <ns0:c r="R131" s="0">
        <ns0:f>IF(AND(Bookings!G131="Pending",E131="Yes"),N131,0)</ns0:f>
        <ns0:v>0</ns0:v>
      </ns0:c>
      <ns0:c r="S131" s="0">
        <ns0:f>IF(AND(Bookings!G131="Approved",E131="No"),N131,0)</ns0:f>
        <ns0:v>0</ns0:v>
      </ns0:c>
      <ns0:c r="T131" s="0">
        <ns0:f>IFERROR(MATCH(D131,Settings!$G$7:$G$11,0),0)</ns0:f>
        <ns0:v>0</ns0:v>
      </ns0:c>
      <ns0:c r="U131" s="0">
        <ns0:f>IF(N131&gt;0,T131+IF(Bookings!G131="Pending",10,0),0)</ns0:f>
        <ns0:v>0</ns0:v>
      </ns0:c>
      <ns0:c r="V131" s="0">
        <ns0:f>U131</ns0:f>
        <ns0:v>0</ns0:v>
      </ns0:c>
      <ns0:c r="W131" s="0" t="str">
        <ns0:f>IF(C131=0,"",INDEX($AP$11:$AP$60,C131))</ns0:f>
        <ns0:v/>
      </ns0:c>
    </ns0:row>
    <ns0:row r="132">
      <ns0:c r="A132" s="0">
        <ns0:f>IF(COUNTA(Bookings!A132:G132,Bookings!I132)=0,0,1)</ns0:f>
        <ns0:v>0</ns0:v>
      </ns0:c>
      <ns0:c r="B132" s="0" t="str">
        <ns0:f>IFERROR(TRIM(MID(Bookings!A132,FIND(" · ",Bookings!A132)+3,99)),"")</ns0:f>
        <ns0:v/>
      </ns0:c>
      <ns0:c r="C132" s="0">
        <ns0:f>IF(OR(B132="",LEN(B132)&gt;24,ISNUMBER(FIND(" ",B132)),ISNUMBER(FIND("*",B132)),ISNUMBER(FIND("?",B132)),ISNUMBER(FIND("~",B132))),0,IFERROR(MATCH(B132,Team!$A$11:$A$60,0),0))</ns0:f>
        <ns0:v>0</ns0:v>
      </ns0:c>
      <ns0:c r="D132" s="0" t="str">
        <ns0:f>IFERROR(IF(MID(Bookings!F132,LEN(Bookings!F132)-3,3)=" · ",RIGHT(Bookings!F132,1),""),"")</ns0:f>
        <ns0:v/>
      </ns0:c>
      <ns0:c r="E132" s="0" t="str">
        <ns0:f>IFERROR(INDEX(Settings!$H$7:$H$11,MATCH(D132,Settings!$G$7:$G$11,0)),"")</ns0:f>
        <ns0:v/>
      </ns0:c>
      <ns0:c r="F132" s="0" t="str">
        <ns0:f>IF(A132=0,"",IFERROR(IF(OR(B132="",C132=0),"CHECK employee selection",IF(INDEX(Team!$O$11:$O$60,C132)&lt;&gt;"OK","CHECK employee setup",IF(OR('_Dates'!J132=0,'_Dates'!T132=0),"CHECK date: use DD.MM.YYYY",IF('_Dates'!T132&lt;'_Dates'!J132,"CHECK end before start",IF(AND($B$6=0,OR('_Dates'!J132&lt;Settings!$B$7,'_Dates'!T132&gt;Settings!$B$8)),"CHECK split across leave years",IF(OR(NOT(OR('_Dates'!U132="Full day",'_Dates'!U132="AM",'_Dates'!U132="PM")),NOT(OR('_Dates'!V132="Full day",'_Dates'!V132="AM",'_Dates'!V132="PM"))),"CHECK Full day / AM / PM",IF(AND('_Dates'!J132='_Dates'!T132,'_Dates'!U132&lt;&gt;"Full day",'_Dates'!V132&lt;&gt;"Full day",'_Dates'!U132&lt;&gt;'_Dates'!V132),"CHECK same-day portions disagree",IF(AND($B$6=0,OR(AND('_Dates'!U132&lt;&gt;"Full day",'_Dates'!AA132=0),AND('_Dates'!V132&lt;&gt;"Full day",'_Dates'!AB132=0))),"CHECK half-day on non-working date",IF(COUNTIF(Settings!$G$7:$G$11,D132)&lt;&gt;1,"CHECK leave type",IF(AND(Bookings!G132&lt;&gt;"Approved",Bookings!G132&lt;&gt;"Pending",Bookings!G132&lt;&gt;"Cancelled"),"CHECK status","OK")))))))))),"CHECK input"))</ns0:f>
        <ns0:v/>
      </ns0:c>
      <ns0:c r="G132" s="0">
        <ns0:f>IF(OR(F132&lt;&gt;"OK",$B$6&gt;0),0,0.5*(IF(('_Dates'!X132)&lt;('_Dates'!W132),0,INT((('_Dates'!X132)-('_Dates'!W132)+1)/7)*LEN(SUBSTITUTE(W132,"O",""))+LEN(SUBSTITUTE(MID(W132&amp;W132,WEEKDAY(('_Dates'!W132),2),MOD((('_Dates'!X132)-('_Dates'!W132)+1),7)),"O",""))-COUNTIFS(INDEX(AllClosureRows,C132,0),"&gt;="&amp;('_Dates'!W132),INDEX(AllClosureRows,C132,0),"&lt;="&amp;('_Dates'!X132)))+IF(('_Dates'!Z132)&lt;('_Dates'!Y132),0,INT((('_Dates'!Z132)-('_Dates'!Y132)+1)/7)*LEN(SUBSTITUTE(W132,"O",""))+LEN(SUBSTITUTE(MID(W132&amp;W132,WEEKDAY(('_Dates'!Y132),2),MOD((('_Dates'!Z132)-('_Dates'!Y132)+1),7)),"O",""))-COUNTIFS(INDEX(AllClosureRows,C132,0),"&gt;="&amp;('_Dates'!Y132),INDEX(AllClosureRows,C132,0),"&lt;="&amp;('_Dates'!Z132)))))</ns0:f>
        <ns0:v>0</ns0:v>
      </ns0:c>
      <ns0:c r="H132" s="0">
        <ns0:f>IF(OR(F132&lt;&gt;"OK",$B$6&gt;0),0,0.5*(IF((MIN('_Dates'!X132,Settings!$B$9))&lt;('_Dates'!W132),0,INT(((MIN('_Dates'!X132,Settings!$B$9))-('_Dates'!W132)+1)/7)*LEN(SUBSTITUTE(W132,"O",""))+LEN(SUBSTITUTE(MID(W132&amp;W132,WEEKDAY(('_Dates'!W132),2),MOD(((MIN('_Dates'!X132,Settings!$B$9))-('_Dates'!W132)+1),7)),"O",""))-COUNTIFS(INDEX(AllClosureRows,C132,0),"&gt;="&amp;('_Dates'!W132),INDEX(AllClosureRows,C132,0),"&lt;="&amp;(MIN('_Dates'!X132,Settings!$B$9))))+IF((MIN('_Dates'!Z132,Settings!$B$9))&lt;('_Dates'!Y132),0,INT(((MIN('_Dates'!Z132,Settings!$B$9))-('_Dates'!Y132)+1)/7)*LEN(SUBSTITUTE(W132,"O",""))+LEN(SUBSTITUTE(MID(W132&amp;W132,WEEKDAY(('_Dates'!Y132),2),MOD(((MIN('_Dates'!Z132,Settings!$B$9))-('_Dates'!Y132)+1),7)),"O",""))-COUNTIFS(INDEX(AllClosureRows,C132,0),"&gt;="&amp;('_Dates'!Y132),INDEX(AllClosureRows,C132,0),"&lt;="&amp;(MIN('_Dates'!Z132,Settings!$B$9))))))</ns0:f>
        <ns0:v>0</ns0:v>
      </ns0:c>
      <ns0:c r="I132" s="0">
        <ns0:f>MAX(0,G132-H132)</ns0:f>
        <ns0:v>0</ns0:v>
      </ns0:c>
      <ns0:c r="J132" s="0">
        <ns0:f>IF(OR(A132=0,F132&lt;&gt;"OK",Bookings!G132="Cancelled",$B$6&gt;0),0,IF('_Dates'!AC132=1,MAX(0,COUNTIFS(rngEngine_B,B132,rngAMStart,"&lt;="&amp;'_Dates'!X132,rngAMEnd,"&gt;="&amp;'_Dates'!W132,rngAMActive,1,rngEngine_F,"OK",rngBookings_F,"&lt;&gt;Cancelled")-1),0)+IF('_Dates'!AD132=1,MAX(0,COUNTIFS(rngEngine_B,B132,rngPMStart,"&lt;="&amp;'_Dates'!Z132,rngPMEnd,"&gt;="&amp;'_Dates'!Y132,rngPMActive,1,rngEngine_F,"OK",rngBookings_F,"&lt;&gt;Cancelled")-1),0))</ns0:f>
        <ns0:v>0</ns0:v>
      </ns0:c>
      <ns0:c r="K132" s="0" t="str">
        <ns0:f>IF(A132=0,"",IF(F132&lt;&gt;"OK",F132,IF(J132&gt;0,"CHECK overlapping entry",IF(AND($B$6=0,G132&lt;=0,Bookings!G132&lt;&gt;"Cancelled"),"CHECK no working days",IF(Bookings!G132="Cancelled","Cancelled","OK")))))</ns0:f>
        <ns0:v/>
      </ns0:c>
      <ns0:c r="L132" s="0">
        <ns0:f>IF(LEFT(K132,5)="CHECK",1,0)</ns0:f>
        <ns0:v>0</ns0:v>
      </ns0:c>
      <ns0:c r="M132" s="0">
        <ns0:f>IF(AND(L132=1,OR(C132=0,IFERROR(INDEX($X$11:$X$60,C132),0)=0)),1,0)</ns0:f>
        <ns0:v>0</ns0:v>
      </ns0:c>
      <ns0:c r="N132" s="0">
        <ns0:f>IF(OR(A132=0,L132&gt;0,$B$6&gt;0,Bookings!G132="Cancelled"),0,G132)</ns0:f>
        <ns0:v>0</ns0:v>
      </ns0:c>
      <ns0:c r="O132" s="0">
        <ns0:f>IF(AND(Bookings!G132="Approved",E132="Yes"),N132,0)</ns0:f>
        <ns0:v>0</ns0:v>
      </ns0:c>
      <ns0:c r="P132" s="0">
        <ns0:f>IF(AND(Bookings!G132="Approved",E132="Yes",L132=0,$B$6=0),H132,0)</ns0:f>
        <ns0:v>0</ns0:v>
      </ns0:c>
      <ns0:c r="Q132" s="0">
        <ns0:f>IF(AND(Bookings!G132="Approved",E132="Yes",L132=0,$B$6=0),I132,0)</ns0:f>
        <ns0:v>0</ns0:v>
      </ns0:c>
      <ns0:c r="R132" s="0">
        <ns0:f>IF(AND(Bookings!G132="Pending",E132="Yes"),N132,0)</ns0:f>
        <ns0:v>0</ns0:v>
      </ns0:c>
      <ns0:c r="S132" s="0">
        <ns0:f>IF(AND(Bookings!G132="Approved",E132="No"),N132,0)</ns0:f>
        <ns0:v>0</ns0:v>
      </ns0:c>
      <ns0:c r="T132" s="0">
        <ns0:f>IFERROR(MATCH(D132,Settings!$G$7:$G$11,0),0)</ns0:f>
        <ns0:v>0</ns0:v>
      </ns0:c>
      <ns0:c r="U132" s="0">
        <ns0:f>IF(N132&gt;0,T132+IF(Bookings!G132="Pending",10,0),0)</ns0:f>
        <ns0:v>0</ns0:v>
      </ns0:c>
      <ns0:c r="V132" s="0">
        <ns0:f>U132</ns0:f>
        <ns0:v>0</ns0:v>
      </ns0:c>
      <ns0:c r="W132" s="0" t="str">
        <ns0:f>IF(C132=0,"",INDEX($AP$11:$AP$60,C132))</ns0:f>
        <ns0:v/>
      </ns0:c>
    </ns0:row>
    <ns0:row r="133">
      <ns0:c r="A133" s="0">
        <ns0:f>IF(COUNTA(Bookings!A133:G133,Bookings!I133)=0,0,1)</ns0:f>
        <ns0:v>0</ns0:v>
      </ns0:c>
      <ns0:c r="B133" s="0" t="str">
        <ns0:f>IFERROR(TRIM(MID(Bookings!A133,FIND(" · ",Bookings!A133)+3,99)),"")</ns0:f>
        <ns0:v/>
      </ns0:c>
      <ns0:c r="C133" s="0">
        <ns0:f>IF(OR(B133="",LEN(B133)&gt;24,ISNUMBER(FIND(" ",B133)),ISNUMBER(FIND("*",B133)),ISNUMBER(FIND("?",B133)),ISNUMBER(FIND("~",B133))),0,IFERROR(MATCH(B133,Team!$A$11:$A$60,0),0))</ns0:f>
        <ns0:v>0</ns0:v>
      </ns0:c>
      <ns0:c r="D133" s="0" t="str">
        <ns0:f>IFERROR(IF(MID(Bookings!F133,LEN(Bookings!F133)-3,3)=" · ",RIGHT(Bookings!F133,1),""),"")</ns0:f>
        <ns0:v/>
      </ns0:c>
      <ns0:c r="E133" s="0" t="str">
        <ns0:f>IFERROR(INDEX(Settings!$H$7:$H$11,MATCH(D133,Settings!$G$7:$G$11,0)),"")</ns0:f>
        <ns0:v/>
      </ns0:c>
      <ns0:c r="F133" s="0" t="str">
        <ns0:f>IF(A133=0,"",IFERROR(IF(OR(B133="",C133=0),"CHECK employee selection",IF(INDEX(Team!$O$11:$O$60,C133)&lt;&gt;"OK","CHECK employee setup",IF(OR('_Dates'!J133=0,'_Dates'!T133=0),"CHECK date: use DD.MM.YYYY",IF('_Dates'!T133&lt;'_Dates'!J133,"CHECK end before start",IF(AND($B$6=0,OR('_Dates'!J133&lt;Settings!$B$7,'_Dates'!T133&gt;Settings!$B$8)),"CHECK split across leave years",IF(OR(NOT(OR('_Dates'!U133="Full day",'_Dates'!U133="AM",'_Dates'!U133="PM")),NOT(OR('_Dates'!V133="Full day",'_Dates'!V133="AM",'_Dates'!V133="PM"))),"CHECK Full day / AM / PM",IF(AND('_Dates'!J133='_Dates'!T133,'_Dates'!U133&lt;&gt;"Full day",'_Dates'!V133&lt;&gt;"Full day",'_Dates'!U133&lt;&gt;'_Dates'!V133),"CHECK same-day portions disagree",IF(AND($B$6=0,OR(AND('_Dates'!U133&lt;&gt;"Full day",'_Dates'!AA133=0),AND('_Dates'!V133&lt;&gt;"Full day",'_Dates'!AB133=0))),"CHECK half-day on non-working date",IF(COUNTIF(Settings!$G$7:$G$11,D133)&lt;&gt;1,"CHECK leave type",IF(AND(Bookings!G133&lt;&gt;"Approved",Bookings!G133&lt;&gt;"Pending",Bookings!G133&lt;&gt;"Cancelled"),"CHECK status","OK")))))))))),"CHECK input"))</ns0:f>
        <ns0:v/>
      </ns0:c>
      <ns0:c r="G133" s="0">
        <ns0:f>IF(OR(F133&lt;&gt;"OK",$B$6&gt;0),0,0.5*(IF(('_Dates'!X133)&lt;('_Dates'!W133),0,INT((('_Dates'!X133)-('_Dates'!W133)+1)/7)*LEN(SUBSTITUTE(W133,"O",""))+LEN(SUBSTITUTE(MID(W133&amp;W133,WEEKDAY(('_Dates'!W133),2),MOD((('_Dates'!X133)-('_Dates'!W133)+1),7)),"O",""))-COUNTIFS(INDEX(AllClosureRows,C133,0),"&gt;="&amp;('_Dates'!W133),INDEX(AllClosureRows,C133,0),"&lt;="&amp;('_Dates'!X133)))+IF(('_Dates'!Z133)&lt;('_Dates'!Y133),0,INT((('_Dates'!Z133)-('_Dates'!Y133)+1)/7)*LEN(SUBSTITUTE(W133,"O",""))+LEN(SUBSTITUTE(MID(W133&amp;W133,WEEKDAY(('_Dates'!Y133),2),MOD((('_Dates'!Z133)-('_Dates'!Y133)+1),7)),"O",""))-COUNTIFS(INDEX(AllClosureRows,C133,0),"&gt;="&amp;('_Dates'!Y133),INDEX(AllClosureRows,C133,0),"&lt;="&amp;('_Dates'!Z133)))))</ns0:f>
        <ns0:v>0</ns0:v>
      </ns0:c>
      <ns0:c r="H133" s="0">
        <ns0:f>IF(OR(F133&lt;&gt;"OK",$B$6&gt;0),0,0.5*(IF((MIN('_Dates'!X133,Settings!$B$9))&lt;('_Dates'!W133),0,INT(((MIN('_Dates'!X133,Settings!$B$9))-('_Dates'!W133)+1)/7)*LEN(SUBSTITUTE(W133,"O",""))+LEN(SUBSTITUTE(MID(W133&amp;W133,WEEKDAY(('_Dates'!W133),2),MOD(((MIN('_Dates'!X133,Settings!$B$9))-('_Dates'!W133)+1),7)),"O",""))-COUNTIFS(INDEX(AllClosureRows,C133,0),"&gt;="&amp;('_Dates'!W133),INDEX(AllClosureRows,C133,0),"&lt;="&amp;(MIN('_Dates'!X133,Settings!$B$9))))+IF((MIN('_Dates'!Z133,Settings!$B$9))&lt;('_Dates'!Y133),0,INT(((MIN('_Dates'!Z133,Settings!$B$9))-('_Dates'!Y133)+1)/7)*LEN(SUBSTITUTE(W133,"O",""))+LEN(SUBSTITUTE(MID(W133&amp;W133,WEEKDAY(('_Dates'!Y133),2),MOD(((MIN('_Dates'!Z133,Settings!$B$9))-('_Dates'!Y133)+1),7)),"O",""))-COUNTIFS(INDEX(AllClosureRows,C133,0),"&gt;="&amp;('_Dates'!Y133),INDEX(AllClosureRows,C133,0),"&lt;="&amp;(MIN('_Dates'!Z133,Settings!$B$9))))))</ns0:f>
        <ns0:v>0</ns0:v>
      </ns0:c>
      <ns0:c r="I133" s="0">
        <ns0:f>MAX(0,G133-H133)</ns0:f>
        <ns0:v>0</ns0:v>
      </ns0:c>
      <ns0:c r="J133" s="0">
        <ns0:f>IF(OR(A133=0,F133&lt;&gt;"OK",Bookings!G133="Cancelled",$B$6&gt;0),0,IF('_Dates'!AC133=1,MAX(0,COUNTIFS(rngEngine_B,B133,rngAMStart,"&lt;="&amp;'_Dates'!X133,rngAMEnd,"&gt;="&amp;'_Dates'!W133,rngAMActive,1,rngEngine_F,"OK",rngBookings_F,"&lt;&gt;Cancelled")-1),0)+IF('_Dates'!AD133=1,MAX(0,COUNTIFS(rngEngine_B,B133,rngPMStart,"&lt;="&amp;'_Dates'!Z133,rngPMEnd,"&gt;="&amp;'_Dates'!Y133,rngPMActive,1,rngEngine_F,"OK",rngBookings_F,"&lt;&gt;Cancelled")-1),0))</ns0:f>
        <ns0:v>0</ns0:v>
      </ns0:c>
      <ns0:c r="K133" s="0" t="str">
        <ns0:f>IF(A133=0,"",IF(F133&lt;&gt;"OK",F133,IF(J133&gt;0,"CHECK overlapping entry",IF(AND($B$6=0,G133&lt;=0,Bookings!G133&lt;&gt;"Cancelled"),"CHECK no working days",IF(Bookings!G133="Cancelled","Cancelled","OK")))))</ns0:f>
        <ns0:v/>
      </ns0:c>
      <ns0:c r="L133" s="0">
        <ns0:f>IF(LEFT(K133,5)="CHECK",1,0)</ns0:f>
        <ns0:v>0</ns0:v>
      </ns0:c>
      <ns0:c r="M133" s="0">
        <ns0:f>IF(AND(L133=1,OR(C133=0,IFERROR(INDEX($X$11:$X$60,C133),0)=0)),1,0)</ns0:f>
        <ns0:v>0</ns0:v>
      </ns0:c>
      <ns0:c r="N133" s="0">
        <ns0:f>IF(OR(A133=0,L133&gt;0,$B$6&gt;0,Bookings!G133="Cancelled"),0,G133)</ns0:f>
        <ns0:v>0</ns0:v>
      </ns0:c>
      <ns0:c r="O133" s="0">
        <ns0:f>IF(AND(Bookings!G133="Approved",E133="Yes"),N133,0)</ns0:f>
        <ns0:v>0</ns0:v>
      </ns0:c>
      <ns0:c r="P133" s="0">
        <ns0:f>IF(AND(Bookings!G133="Approved",E133="Yes",L133=0,$B$6=0),H133,0)</ns0:f>
        <ns0:v>0</ns0:v>
      </ns0:c>
      <ns0:c r="Q133" s="0">
        <ns0:f>IF(AND(Bookings!G133="Approved",E133="Yes",L133=0,$B$6=0),I133,0)</ns0:f>
        <ns0:v>0</ns0:v>
      </ns0:c>
      <ns0:c r="R133" s="0">
        <ns0:f>IF(AND(Bookings!G133="Pending",E133="Yes"),N133,0)</ns0:f>
        <ns0:v>0</ns0:v>
      </ns0:c>
      <ns0:c r="S133" s="0">
        <ns0:f>IF(AND(Bookings!G133="Approved",E133="No"),N133,0)</ns0:f>
        <ns0:v>0</ns0:v>
      </ns0:c>
      <ns0:c r="T133" s="0">
        <ns0:f>IFERROR(MATCH(D133,Settings!$G$7:$G$11,0),0)</ns0:f>
        <ns0:v>0</ns0:v>
      </ns0:c>
      <ns0:c r="U133" s="0">
        <ns0:f>IF(N133&gt;0,T133+IF(Bookings!G133="Pending",10,0),0)</ns0:f>
        <ns0:v>0</ns0:v>
      </ns0:c>
      <ns0:c r="V133" s="0">
        <ns0:f>U133</ns0:f>
        <ns0:v>0</ns0:v>
      </ns0:c>
      <ns0:c r="W133" s="0" t="str">
        <ns0:f>IF(C133=0,"",INDEX($AP$11:$AP$60,C133))</ns0:f>
        <ns0:v/>
      </ns0:c>
    </ns0:row>
    <ns0:row r="134">
      <ns0:c r="A134" s="0">
        <ns0:f>IF(COUNTA(Bookings!A134:G134,Bookings!I134)=0,0,1)</ns0:f>
        <ns0:v>0</ns0:v>
      </ns0:c>
      <ns0:c r="B134" s="0" t="str">
        <ns0:f>IFERROR(TRIM(MID(Bookings!A134,FIND(" · ",Bookings!A134)+3,99)),"")</ns0:f>
        <ns0:v/>
      </ns0:c>
      <ns0:c r="C134" s="0">
        <ns0:f>IF(OR(B134="",LEN(B134)&gt;24,ISNUMBER(FIND(" ",B134)),ISNUMBER(FIND("*",B134)),ISNUMBER(FIND("?",B134)),ISNUMBER(FIND("~",B134))),0,IFERROR(MATCH(B134,Team!$A$11:$A$60,0),0))</ns0:f>
        <ns0:v>0</ns0:v>
      </ns0:c>
      <ns0:c r="D134" s="0" t="str">
        <ns0:f>IFERROR(IF(MID(Bookings!F134,LEN(Bookings!F134)-3,3)=" · ",RIGHT(Bookings!F134,1),""),"")</ns0:f>
        <ns0:v/>
      </ns0:c>
      <ns0:c r="E134" s="0" t="str">
        <ns0:f>IFERROR(INDEX(Settings!$H$7:$H$11,MATCH(D134,Settings!$G$7:$G$11,0)),"")</ns0:f>
        <ns0:v/>
      </ns0:c>
      <ns0:c r="F134" s="0" t="str">
        <ns0:f>IF(A134=0,"",IFERROR(IF(OR(B134="",C134=0),"CHECK employee selection",IF(INDEX(Team!$O$11:$O$60,C134)&lt;&gt;"OK","CHECK employee setup",IF(OR('_Dates'!J134=0,'_Dates'!T134=0),"CHECK date: use DD.MM.YYYY",IF('_Dates'!T134&lt;'_Dates'!J134,"CHECK end before start",IF(AND($B$6=0,OR('_Dates'!J134&lt;Settings!$B$7,'_Dates'!T134&gt;Settings!$B$8)),"CHECK split across leave years",IF(OR(NOT(OR('_Dates'!U134="Full day",'_Dates'!U134="AM",'_Dates'!U134="PM")),NOT(OR('_Dates'!V134="Full day",'_Dates'!V134="AM",'_Dates'!V134="PM"))),"CHECK Full day / AM / PM",IF(AND('_Dates'!J134='_Dates'!T134,'_Dates'!U134&lt;&gt;"Full day",'_Dates'!V134&lt;&gt;"Full day",'_Dates'!U134&lt;&gt;'_Dates'!V134),"CHECK same-day portions disagree",IF(AND($B$6=0,OR(AND('_Dates'!U134&lt;&gt;"Full day",'_Dates'!AA134=0),AND('_Dates'!V134&lt;&gt;"Full day",'_Dates'!AB134=0))),"CHECK half-day on non-working date",IF(COUNTIF(Settings!$G$7:$G$11,D134)&lt;&gt;1,"CHECK leave type",IF(AND(Bookings!G134&lt;&gt;"Approved",Bookings!G134&lt;&gt;"Pending",Bookings!G134&lt;&gt;"Cancelled"),"CHECK status","OK")))))))))),"CHECK input"))</ns0:f>
        <ns0:v/>
      </ns0:c>
      <ns0:c r="G134" s="0">
        <ns0:f>IF(OR(F134&lt;&gt;"OK",$B$6&gt;0),0,0.5*(IF(('_Dates'!X134)&lt;('_Dates'!W134),0,INT((('_Dates'!X134)-('_Dates'!W134)+1)/7)*LEN(SUBSTITUTE(W134,"O",""))+LEN(SUBSTITUTE(MID(W134&amp;W134,WEEKDAY(('_Dates'!W134),2),MOD((('_Dates'!X134)-('_Dates'!W134)+1),7)),"O",""))-COUNTIFS(INDEX(AllClosureRows,C134,0),"&gt;="&amp;('_Dates'!W134),INDEX(AllClosureRows,C134,0),"&lt;="&amp;('_Dates'!X134)))+IF(('_Dates'!Z134)&lt;('_Dates'!Y134),0,INT((('_Dates'!Z134)-('_Dates'!Y134)+1)/7)*LEN(SUBSTITUTE(W134,"O",""))+LEN(SUBSTITUTE(MID(W134&amp;W134,WEEKDAY(('_Dates'!Y134),2),MOD((('_Dates'!Z134)-('_Dates'!Y134)+1),7)),"O",""))-COUNTIFS(INDEX(AllClosureRows,C134,0),"&gt;="&amp;('_Dates'!Y134),INDEX(AllClosureRows,C134,0),"&lt;="&amp;('_Dates'!Z134)))))</ns0:f>
        <ns0:v>0</ns0:v>
      </ns0:c>
      <ns0:c r="H134" s="0">
        <ns0:f>IF(OR(F134&lt;&gt;"OK",$B$6&gt;0),0,0.5*(IF((MIN('_Dates'!X134,Settings!$B$9))&lt;('_Dates'!W134),0,INT(((MIN('_Dates'!X134,Settings!$B$9))-('_Dates'!W134)+1)/7)*LEN(SUBSTITUTE(W134,"O",""))+LEN(SUBSTITUTE(MID(W134&amp;W134,WEEKDAY(('_Dates'!W134),2),MOD(((MIN('_Dates'!X134,Settings!$B$9))-('_Dates'!W134)+1),7)),"O",""))-COUNTIFS(INDEX(AllClosureRows,C134,0),"&gt;="&amp;('_Dates'!W134),INDEX(AllClosureRows,C134,0),"&lt;="&amp;(MIN('_Dates'!X134,Settings!$B$9))))+IF((MIN('_Dates'!Z134,Settings!$B$9))&lt;('_Dates'!Y134),0,INT(((MIN('_Dates'!Z134,Settings!$B$9))-('_Dates'!Y134)+1)/7)*LEN(SUBSTITUTE(W134,"O",""))+LEN(SUBSTITUTE(MID(W134&amp;W134,WEEKDAY(('_Dates'!Y134),2),MOD(((MIN('_Dates'!Z134,Settings!$B$9))-('_Dates'!Y134)+1),7)),"O",""))-COUNTIFS(INDEX(AllClosureRows,C134,0),"&gt;="&amp;('_Dates'!Y134),INDEX(AllClosureRows,C134,0),"&lt;="&amp;(MIN('_Dates'!Z134,Settings!$B$9))))))</ns0:f>
        <ns0:v>0</ns0:v>
      </ns0:c>
      <ns0:c r="I134" s="0">
        <ns0:f>MAX(0,G134-H134)</ns0:f>
        <ns0:v>0</ns0:v>
      </ns0:c>
      <ns0:c r="J134" s="0">
        <ns0:f>IF(OR(A134=0,F134&lt;&gt;"OK",Bookings!G134="Cancelled",$B$6&gt;0),0,IF('_Dates'!AC134=1,MAX(0,COUNTIFS(rngEngine_B,B134,rngAMStart,"&lt;="&amp;'_Dates'!X134,rngAMEnd,"&gt;="&amp;'_Dates'!W134,rngAMActive,1,rngEngine_F,"OK",rngBookings_F,"&lt;&gt;Cancelled")-1),0)+IF('_Dates'!AD134=1,MAX(0,COUNTIFS(rngEngine_B,B134,rngPMStart,"&lt;="&amp;'_Dates'!Z134,rngPMEnd,"&gt;="&amp;'_Dates'!Y134,rngPMActive,1,rngEngine_F,"OK",rngBookings_F,"&lt;&gt;Cancelled")-1),0))</ns0:f>
        <ns0:v>0</ns0:v>
      </ns0:c>
      <ns0:c r="K134" s="0" t="str">
        <ns0:f>IF(A134=0,"",IF(F134&lt;&gt;"OK",F134,IF(J134&gt;0,"CHECK overlapping entry",IF(AND($B$6=0,G134&lt;=0,Bookings!G134&lt;&gt;"Cancelled"),"CHECK no working days",IF(Bookings!G134="Cancelled","Cancelled","OK")))))</ns0:f>
        <ns0:v/>
      </ns0:c>
      <ns0:c r="L134" s="0">
        <ns0:f>IF(LEFT(K134,5)="CHECK",1,0)</ns0:f>
        <ns0:v>0</ns0:v>
      </ns0:c>
      <ns0:c r="M134" s="0">
        <ns0:f>IF(AND(L134=1,OR(C134=0,IFERROR(INDEX($X$11:$X$60,C134),0)=0)),1,0)</ns0:f>
        <ns0:v>0</ns0:v>
      </ns0:c>
      <ns0:c r="N134" s="0">
        <ns0:f>IF(OR(A134=0,L134&gt;0,$B$6&gt;0,Bookings!G134="Cancelled"),0,G134)</ns0:f>
        <ns0:v>0</ns0:v>
      </ns0:c>
      <ns0:c r="O134" s="0">
        <ns0:f>IF(AND(Bookings!G134="Approved",E134="Yes"),N134,0)</ns0:f>
        <ns0:v>0</ns0:v>
      </ns0:c>
      <ns0:c r="P134" s="0">
        <ns0:f>IF(AND(Bookings!G134="Approved",E134="Yes",L134=0,$B$6=0),H134,0)</ns0:f>
        <ns0:v>0</ns0:v>
      </ns0:c>
      <ns0:c r="Q134" s="0">
        <ns0:f>IF(AND(Bookings!G134="Approved",E134="Yes",L134=0,$B$6=0),I134,0)</ns0:f>
        <ns0:v>0</ns0:v>
      </ns0:c>
      <ns0:c r="R134" s="0">
        <ns0:f>IF(AND(Bookings!G134="Pending",E134="Yes"),N134,0)</ns0:f>
        <ns0:v>0</ns0:v>
      </ns0:c>
      <ns0:c r="S134" s="0">
        <ns0:f>IF(AND(Bookings!G134="Approved",E134="No"),N134,0)</ns0:f>
        <ns0:v>0</ns0:v>
      </ns0:c>
      <ns0:c r="T134" s="0">
        <ns0:f>IFERROR(MATCH(D134,Settings!$G$7:$G$11,0),0)</ns0:f>
        <ns0:v>0</ns0:v>
      </ns0:c>
      <ns0:c r="U134" s="0">
        <ns0:f>IF(N134&gt;0,T134+IF(Bookings!G134="Pending",10,0),0)</ns0:f>
        <ns0:v>0</ns0:v>
      </ns0:c>
      <ns0:c r="V134" s="0">
        <ns0:f>U134</ns0:f>
        <ns0:v>0</ns0:v>
      </ns0:c>
      <ns0:c r="W134" s="0" t="str">
        <ns0:f>IF(C134=0,"",INDEX($AP$11:$AP$60,C134))</ns0:f>
        <ns0:v/>
      </ns0:c>
    </ns0:row>
    <ns0:row r="135">
      <ns0:c r="A135" s="0">
        <ns0:f>IF(COUNTA(Bookings!A135:G135,Bookings!I135)=0,0,1)</ns0:f>
        <ns0:v>0</ns0:v>
      </ns0:c>
      <ns0:c r="B135" s="0" t="str">
        <ns0:f>IFERROR(TRIM(MID(Bookings!A135,FIND(" · ",Bookings!A135)+3,99)),"")</ns0:f>
        <ns0:v/>
      </ns0:c>
      <ns0:c r="C135" s="0">
        <ns0:f>IF(OR(B135="",LEN(B135)&gt;24,ISNUMBER(FIND(" ",B135)),ISNUMBER(FIND("*",B135)),ISNUMBER(FIND("?",B135)),ISNUMBER(FIND("~",B135))),0,IFERROR(MATCH(B135,Team!$A$11:$A$60,0),0))</ns0:f>
        <ns0:v>0</ns0:v>
      </ns0:c>
      <ns0:c r="D135" s="0" t="str">
        <ns0:f>IFERROR(IF(MID(Bookings!F135,LEN(Bookings!F135)-3,3)=" · ",RIGHT(Bookings!F135,1),""),"")</ns0:f>
        <ns0:v/>
      </ns0:c>
      <ns0:c r="E135" s="0" t="str">
        <ns0:f>IFERROR(INDEX(Settings!$H$7:$H$11,MATCH(D135,Settings!$G$7:$G$11,0)),"")</ns0:f>
        <ns0:v/>
      </ns0:c>
      <ns0:c r="F135" s="0" t="str">
        <ns0:f>IF(A135=0,"",IFERROR(IF(OR(B135="",C135=0),"CHECK employee selection",IF(INDEX(Team!$O$11:$O$60,C135)&lt;&gt;"OK","CHECK employee setup",IF(OR('_Dates'!J135=0,'_Dates'!T135=0),"CHECK date: use DD.MM.YYYY",IF('_Dates'!T135&lt;'_Dates'!J135,"CHECK end before start",IF(AND($B$6=0,OR('_Dates'!J135&lt;Settings!$B$7,'_Dates'!T135&gt;Settings!$B$8)),"CHECK split across leave years",IF(OR(NOT(OR('_Dates'!U135="Full day",'_Dates'!U135="AM",'_Dates'!U135="PM")),NOT(OR('_Dates'!V135="Full day",'_Dates'!V135="AM",'_Dates'!V135="PM"))),"CHECK Full day / AM / PM",IF(AND('_Dates'!J135='_Dates'!T135,'_Dates'!U135&lt;&gt;"Full day",'_Dates'!V135&lt;&gt;"Full day",'_Dates'!U135&lt;&gt;'_Dates'!V135),"CHECK same-day portions disagree",IF(AND($B$6=0,OR(AND('_Dates'!U135&lt;&gt;"Full day",'_Dates'!AA135=0),AND('_Dates'!V135&lt;&gt;"Full day",'_Dates'!AB135=0))),"CHECK half-day on non-working date",IF(COUNTIF(Settings!$G$7:$G$11,D135)&lt;&gt;1,"CHECK leave type",IF(AND(Bookings!G135&lt;&gt;"Approved",Bookings!G135&lt;&gt;"Pending",Bookings!G135&lt;&gt;"Cancelled"),"CHECK status","OK")))))))))),"CHECK input"))</ns0:f>
        <ns0:v/>
      </ns0:c>
      <ns0:c r="G135" s="0">
        <ns0:f>IF(OR(F135&lt;&gt;"OK",$B$6&gt;0),0,0.5*(IF(('_Dates'!X135)&lt;('_Dates'!W135),0,INT((('_Dates'!X135)-('_Dates'!W135)+1)/7)*LEN(SUBSTITUTE(W135,"O",""))+LEN(SUBSTITUTE(MID(W135&amp;W135,WEEKDAY(('_Dates'!W135),2),MOD((('_Dates'!X135)-('_Dates'!W135)+1),7)),"O",""))-COUNTIFS(INDEX(AllClosureRows,C135,0),"&gt;="&amp;('_Dates'!W135),INDEX(AllClosureRows,C135,0),"&lt;="&amp;('_Dates'!X135)))+IF(('_Dates'!Z135)&lt;('_Dates'!Y135),0,INT((('_Dates'!Z135)-('_Dates'!Y135)+1)/7)*LEN(SUBSTITUTE(W135,"O",""))+LEN(SUBSTITUTE(MID(W135&amp;W135,WEEKDAY(('_Dates'!Y135),2),MOD((('_Dates'!Z135)-('_Dates'!Y135)+1),7)),"O",""))-COUNTIFS(INDEX(AllClosureRows,C135,0),"&gt;="&amp;('_Dates'!Y135),INDEX(AllClosureRows,C135,0),"&lt;="&amp;('_Dates'!Z135)))))</ns0:f>
        <ns0:v>0</ns0:v>
      </ns0:c>
      <ns0:c r="H135" s="0">
        <ns0:f>IF(OR(F135&lt;&gt;"OK",$B$6&gt;0),0,0.5*(IF((MIN('_Dates'!X135,Settings!$B$9))&lt;('_Dates'!W135),0,INT(((MIN('_Dates'!X135,Settings!$B$9))-('_Dates'!W135)+1)/7)*LEN(SUBSTITUTE(W135,"O",""))+LEN(SUBSTITUTE(MID(W135&amp;W135,WEEKDAY(('_Dates'!W135),2),MOD(((MIN('_Dates'!X135,Settings!$B$9))-('_Dates'!W135)+1),7)),"O",""))-COUNTIFS(INDEX(AllClosureRows,C135,0),"&gt;="&amp;('_Dates'!W135),INDEX(AllClosureRows,C135,0),"&lt;="&amp;(MIN('_Dates'!X135,Settings!$B$9))))+IF((MIN('_Dates'!Z135,Settings!$B$9))&lt;('_Dates'!Y135),0,INT(((MIN('_Dates'!Z135,Settings!$B$9))-('_Dates'!Y135)+1)/7)*LEN(SUBSTITUTE(W135,"O",""))+LEN(SUBSTITUTE(MID(W135&amp;W135,WEEKDAY(('_Dates'!Y135),2),MOD(((MIN('_Dates'!Z135,Settings!$B$9))-('_Dates'!Y135)+1),7)),"O",""))-COUNTIFS(INDEX(AllClosureRows,C135,0),"&gt;="&amp;('_Dates'!Y135),INDEX(AllClosureRows,C135,0),"&lt;="&amp;(MIN('_Dates'!Z135,Settings!$B$9))))))</ns0:f>
        <ns0:v>0</ns0:v>
      </ns0:c>
      <ns0:c r="I135" s="0">
        <ns0:f>MAX(0,G135-H135)</ns0:f>
        <ns0:v>0</ns0:v>
      </ns0:c>
      <ns0:c r="J135" s="0">
        <ns0:f>IF(OR(A135=0,F135&lt;&gt;"OK",Bookings!G135="Cancelled",$B$6&gt;0),0,IF('_Dates'!AC135=1,MAX(0,COUNTIFS(rngEngine_B,B135,rngAMStart,"&lt;="&amp;'_Dates'!X135,rngAMEnd,"&gt;="&amp;'_Dates'!W135,rngAMActive,1,rngEngine_F,"OK",rngBookings_F,"&lt;&gt;Cancelled")-1),0)+IF('_Dates'!AD135=1,MAX(0,COUNTIFS(rngEngine_B,B135,rngPMStart,"&lt;="&amp;'_Dates'!Z135,rngPMEnd,"&gt;="&amp;'_Dates'!Y135,rngPMActive,1,rngEngine_F,"OK",rngBookings_F,"&lt;&gt;Cancelled")-1),0))</ns0:f>
        <ns0:v>0</ns0:v>
      </ns0:c>
      <ns0:c r="K135" s="0" t="str">
        <ns0:f>IF(A135=0,"",IF(F135&lt;&gt;"OK",F135,IF(J135&gt;0,"CHECK overlapping entry",IF(AND($B$6=0,G135&lt;=0,Bookings!G135&lt;&gt;"Cancelled"),"CHECK no working days",IF(Bookings!G135="Cancelled","Cancelled","OK")))))</ns0:f>
        <ns0:v/>
      </ns0:c>
      <ns0:c r="L135" s="0">
        <ns0:f>IF(LEFT(K135,5)="CHECK",1,0)</ns0:f>
        <ns0:v>0</ns0:v>
      </ns0:c>
      <ns0:c r="M135" s="0">
        <ns0:f>IF(AND(L135=1,OR(C135=0,IFERROR(INDEX($X$11:$X$60,C135),0)=0)),1,0)</ns0:f>
        <ns0:v>0</ns0:v>
      </ns0:c>
      <ns0:c r="N135" s="0">
        <ns0:f>IF(OR(A135=0,L135&gt;0,$B$6&gt;0,Bookings!G135="Cancelled"),0,G135)</ns0:f>
        <ns0:v>0</ns0:v>
      </ns0:c>
      <ns0:c r="O135" s="0">
        <ns0:f>IF(AND(Bookings!G135="Approved",E135="Yes"),N135,0)</ns0:f>
        <ns0:v>0</ns0:v>
      </ns0:c>
      <ns0:c r="P135" s="0">
        <ns0:f>IF(AND(Bookings!G135="Approved",E135="Yes",L135=0,$B$6=0),H135,0)</ns0:f>
        <ns0:v>0</ns0:v>
      </ns0:c>
      <ns0:c r="Q135" s="0">
        <ns0:f>IF(AND(Bookings!G135="Approved",E135="Yes",L135=0,$B$6=0),I135,0)</ns0:f>
        <ns0:v>0</ns0:v>
      </ns0:c>
      <ns0:c r="R135" s="0">
        <ns0:f>IF(AND(Bookings!G135="Pending",E135="Yes"),N135,0)</ns0:f>
        <ns0:v>0</ns0:v>
      </ns0:c>
      <ns0:c r="S135" s="0">
        <ns0:f>IF(AND(Bookings!G135="Approved",E135="No"),N135,0)</ns0:f>
        <ns0:v>0</ns0:v>
      </ns0:c>
      <ns0:c r="T135" s="0">
        <ns0:f>IFERROR(MATCH(D135,Settings!$G$7:$G$11,0),0)</ns0:f>
        <ns0:v>0</ns0:v>
      </ns0:c>
      <ns0:c r="U135" s="0">
        <ns0:f>IF(N135&gt;0,T135+IF(Bookings!G135="Pending",10,0),0)</ns0:f>
        <ns0:v>0</ns0:v>
      </ns0:c>
      <ns0:c r="V135" s="0">
        <ns0:f>U135</ns0:f>
        <ns0:v>0</ns0:v>
      </ns0:c>
      <ns0:c r="W135" s="0" t="str">
        <ns0:f>IF(C135=0,"",INDEX($AP$11:$AP$60,C135))</ns0:f>
        <ns0:v/>
      </ns0:c>
    </ns0:row>
    <ns0:row r="136">
      <ns0:c r="A136" s="0">
        <ns0:f>IF(COUNTA(Bookings!A136:G136,Bookings!I136)=0,0,1)</ns0:f>
        <ns0:v>0</ns0:v>
      </ns0:c>
      <ns0:c r="B136" s="0" t="str">
        <ns0:f>IFERROR(TRIM(MID(Bookings!A136,FIND(" · ",Bookings!A136)+3,99)),"")</ns0:f>
        <ns0:v/>
      </ns0:c>
      <ns0:c r="C136" s="0">
        <ns0:f>IF(OR(B136="",LEN(B136)&gt;24,ISNUMBER(FIND(" ",B136)),ISNUMBER(FIND("*",B136)),ISNUMBER(FIND("?",B136)),ISNUMBER(FIND("~",B136))),0,IFERROR(MATCH(B136,Team!$A$11:$A$60,0),0))</ns0:f>
        <ns0:v>0</ns0:v>
      </ns0:c>
      <ns0:c r="D136" s="0" t="str">
        <ns0:f>IFERROR(IF(MID(Bookings!F136,LEN(Bookings!F136)-3,3)=" · ",RIGHT(Bookings!F136,1),""),"")</ns0:f>
        <ns0:v/>
      </ns0:c>
      <ns0:c r="E136" s="0" t="str">
        <ns0:f>IFERROR(INDEX(Settings!$H$7:$H$11,MATCH(D136,Settings!$G$7:$G$11,0)),"")</ns0:f>
        <ns0:v/>
      </ns0:c>
      <ns0:c r="F136" s="0" t="str">
        <ns0:f>IF(A136=0,"",IFERROR(IF(OR(B136="",C136=0),"CHECK employee selection",IF(INDEX(Team!$O$11:$O$60,C136)&lt;&gt;"OK","CHECK employee setup",IF(OR('_Dates'!J136=0,'_Dates'!T136=0),"CHECK date: use DD.MM.YYYY",IF('_Dates'!T136&lt;'_Dates'!J136,"CHECK end before start",IF(AND($B$6=0,OR('_Dates'!J136&lt;Settings!$B$7,'_Dates'!T136&gt;Settings!$B$8)),"CHECK split across leave years",IF(OR(NOT(OR('_Dates'!U136="Full day",'_Dates'!U136="AM",'_Dates'!U136="PM")),NOT(OR('_Dates'!V136="Full day",'_Dates'!V136="AM",'_Dates'!V136="PM"))),"CHECK Full day / AM / PM",IF(AND('_Dates'!J136='_Dates'!T136,'_Dates'!U136&lt;&gt;"Full day",'_Dates'!V136&lt;&gt;"Full day",'_Dates'!U136&lt;&gt;'_Dates'!V136),"CHECK same-day portions disagree",IF(AND($B$6=0,OR(AND('_Dates'!U136&lt;&gt;"Full day",'_Dates'!AA136=0),AND('_Dates'!V136&lt;&gt;"Full day",'_Dates'!AB136=0))),"CHECK half-day on non-working date",IF(COUNTIF(Settings!$G$7:$G$11,D136)&lt;&gt;1,"CHECK leave type",IF(AND(Bookings!G136&lt;&gt;"Approved",Bookings!G136&lt;&gt;"Pending",Bookings!G136&lt;&gt;"Cancelled"),"CHECK status","OK")))))))))),"CHECK input"))</ns0:f>
        <ns0:v/>
      </ns0:c>
      <ns0:c r="G136" s="0">
        <ns0:f>IF(OR(F136&lt;&gt;"OK",$B$6&gt;0),0,0.5*(IF(('_Dates'!X136)&lt;('_Dates'!W136),0,INT((('_Dates'!X136)-('_Dates'!W136)+1)/7)*LEN(SUBSTITUTE(W136,"O",""))+LEN(SUBSTITUTE(MID(W136&amp;W136,WEEKDAY(('_Dates'!W136),2),MOD((('_Dates'!X136)-('_Dates'!W136)+1),7)),"O",""))-COUNTIFS(INDEX(AllClosureRows,C136,0),"&gt;="&amp;('_Dates'!W136),INDEX(AllClosureRows,C136,0),"&lt;="&amp;('_Dates'!X136)))+IF(('_Dates'!Z136)&lt;('_Dates'!Y136),0,INT((('_Dates'!Z136)-('_Dates'!Y136)+1)/7)*LEN(SUBSTITUTE(W136,"O",""))+LEN(SUBSTITUTE(MID(W136&amp;W136,WEEKDAY(('_Dates'!Y136),2),MOD((('_Dates'!Z136)-('_Dates'!Y136)+1),7)),"O",""))-COUNTIFS(INDEX(AllClosureRows,C136,0),"&gt;="&amp;('_Dates'!Y136),INDEX(AllClosureRows,C136,0),"&lt;="&amp;('_Dates'!Z136)))))</ns0:f>
        <ns0:v>0</ns0:v>
      </ns0:c>
      <ns0:c r="H136" s="0">
        <ns0:f>IF(OR(F136&lt;&gt;"OK",$B$6&gt;0),0,0.5*(IF((MIN('_Dates'!X136,Settings!$B$9))&lt;('_Dates'!W136),0,INT(((MIN('_Dates'!X136,Settings!$B$9))-('_Dates'!W136)+1)/7)*LEN(SUBSTITUTE(W136,"O",""))+LEN(SUBSTITUTE(MID(W136&amp;W136,WEEKDAY(('_Dates'!W136),2),MOD(((MIN('_Dates'!X136,Settings!$B$9))-('_Dates'!W136)+1),7)),"O",""))-COUNTIFS(INDEX(AllClosureRows,C136,0),"&gt;="&amp;('_Dates'!W136),INDEX(AllClosureRows,C136,0),"&lt;="&amp;(MIN('_Dates'!X136,Settings!$B$9))))+IF((MIN('_Dates'!Z136,Settings!$B$9))&lt;('_Dates'!Y136),0,INT(((MIN('_Dates'!Z136,Settings!$B$9))-('_Dates'!Y136)+1)/7)*LEN(SUBSTITUTE(W136,"O",""))+LEN(SUBSTITUTE(MID(W136&amp;W136,WEEKDAY(('_Dates'!Y136),2),MOD(((MIN('_Dates'!Z136,Settings!$B$9))-('_Dates'!Y136)+1),7)),"O",""))-COUNTIFS(INDEX(AllClosureRows,C136,0),"&gt;="&amp;('_Dates'!Y136),INDEX(AllClosureRows,C136,0),"&lt;="&amp;(MIN('_Dates'!Z136,Settings!$B$9))))))</ns0:f>
        <ns0:v>0</ns0:v>
      </ns0:c>
      <ns0:c r="I136" s="0">
        <ns0:f>MAX(0,G136-H136)</ns0:f>
        <ns0:v>0</ns0:v>
      </ns0:c>
      <ns0:c r="J136" s="0">
        <ns0:f>IF(OR(A136=0,F136&lt;&gt;"OK",Bookings!G136="Cancelled",$B$6&gt;0),0,IF('_Dates'!AC136=1,MAX(0,COUNTIFS(rngEngine_B,B136,rngAMStart,"&lt;="&amp;'_Dates'!X136,rngAMEnd,"&gt;="&amp;'_Dates'!W136,rngAMActive,1,rngEngine_F,"OK",rngBookings_F,"&lt;&gt;Cancelled")-1),0)+IF('_Dates'!AD136=1,MAX(0,COUNTIFS(rngEngine_B,B136,rngPMStart,"&lt;="&amp;'_Dates'!Z136,rngPMEnd,"&gt;="&amp;'_Dates'!Y136,rngPMActive,1,rngEngine_F,"OK",rngBookings_F,"&lt;&gt;Cancelled")-1),0))</ns0:f>
        <ns0:v>0</ns0:v>
      </ns0:c>
      <ns0:c r="K136" s="0" t="str">
        <ns0:f>IF(A136=0,"",IF(F136&lt;&gt;"OK",F136,IF(J136&gt;0,"CHECK overlapping entry",IF(AND($B$6=0,G136&lt;=0,Bookings!G136&lt;&gt;"Cancelled"),"CHECK no working days",IF(Bookings!G136="Cancelled","Cancelled","OK")))))</ns0:f>
        <ns0:v/>
      </ns0:c>
      <ns0:c r="L136" s="0">
        <ns0:f>IF(LEFT(K136,5)="CHECK",1,0)</ns0:f>
        <ns0:v>0</ns0:v>
      </ns0:c>
      <ns0:c r="M136" s="0">
        <ns0:f>IF(AND(L136=1,OR(C136=0,IFERROR(INDEX($X$11:$X$60,C136),0)=0)),1,0)</ns0:f>
        <ns0:v>0</ns0:v>
      </ns0:c>
      <ns0:c r="N136" s="0">
        <ns0:f>IF(OR(A136=0,L136&gt;0,$B$6&gt;0,Bookings!G136="Cancelled"),0,G136)</ns0:f>
        <ns0:v>0</ns0:v>
      </ns0:c>
      <ns0:c r="O136" s="0">
        <ns0:f>IF(AND(Bookings!G136="Approved",E136="Yes"),N136,0)</ns0:f>
        <ns0:v>0</ns0:v>
      </ns0:c>
      <ns0:c r="P136" s="0">
        <ns0:f>IF(AND(Bookings!G136="Approved",E136="Yes",L136=0,$B$6=0),H136,0)</ns0:f>
        <ns0:v>0</ns0:v>
      </ns0:c>
      <ns0:c r="Q136" s="0">
        <ns0:f>IF(AND(Bookings!G136="Approved",E136="Yes",L136=0,$B$6=0),I136,0)</ns0:f>
        <ns0:v>0</ns0:v>
      </ns0:c>
      <ns0:c r="R136" s="0">
        <ns0:f>IF(AND(Bookings!G136="Pending",E136="Yes"),N136,0)</ns0:f>
        <ns0:v>0</ns0:v>
      </ns0:c>
      <ns0:c r="S136" s="0">
        <ns0:f>IF(AND(Bookings!G136="Approved",E136="No"),N136,0)</ns0:f>
        <ns0:v>0</ns0:v>
      </ns0:c>
      <ns0:c r="T136" s="0">
        <ns0:f>IFERROR(MATCH(D136,Settings!$G$7:$G$11,0),0)</ns0:f>
        <ns0:v>0</ns0:v>
      </ns0:c>
      <ns0:c r="U136" s="0">
        <ns0:f>IF(N136&gt;0,T136+IF(Bookings!G136="Pending",10,0),0)</ns0:f>
        <ns0:v>0</ns0:v>
      </ns0:c>
      <ns0:c r="V136" s="0">
        <ns0:f>U136</ns0:f>
        <ns0:v>0</ns0:v>
      </ns0:c>
      <ns0:c r="W136" s="0" t="str">
        <ns0:f>IF(C136=0,"",INDEX($AP$11:$AP$60,C136))</ns0:f>
        <ns0:v/>
      </ns0:c>
    </ns0:row>
    <ns0:row r="137">
      <ns0:c r="A137" s="0">
        <ns0:f>IF(COUNTA(Bookings!A137:G137,Bookings!I137)=0,0,1)</ns0:f>
        <ns0:v>0</ns0:v>
      </ns0:c>
      <ns0:c r="B137" s="0" t="str">
        <ns0:f>IFERROR(TRIM(MID(Bookings!A137,FIND(" · ",Bookings!A137)+3,99)),"")</ns0:f>
        <ns0:v/>
      </ns0:c>
      <ns0:c r="C137" s="0">
        <ns0:f>IF(OR(B137="",LEN(B137)&gt;24,ISNUMBER(FIND(" ",B137)),ISNUMBER(FIND("*",B137)),ISNUMBER(FIND("?",B137)),ISNUMBER(FIND("~",B137))),0,IFERROR(MATCH(B137,Team!$A$11:$A$60,0),0))</ns0:f>
        <ns0:v>0</ns0:v>
      </ns0:c>
      <ns0:c r="D137" s="0" t="str">
        <ns0:f>IFERROR(IF(MID(Bookings!F137,LEN(Bookings!F137)-3,3)=" · ",RIGHT(Bookings!F137,1),""),"")</ns0:f>
        <ns0:v/>
      </ns0:c>
      <ns0:c r="E137" s="0" t="str">
        <ns0:f>IFERROR(INDEX(Settings!$H$7:$H$11,MATCH(D137,Settings!$G$7:$G$11,0)),"")</ns0:f>
        <ns0:v/>
      </ns0:c>
      <ns0:c r="F137" s="0" t="str">
        <ns0:f>IF(A137=0,"",IFERROR(IF(OR(B137="",C137=0),"CHECK employee selection",IF(INDEX(Team!$O$11:$O$60,C137)&lt;&gt;"OK","CHECK employee setup",IF(OR('_Dates'!J137=0,'_Dates'!T137=0),"CHECK date: use DD.MM.YYYY",IF('_Dates'!T137&lt;'_Dates'!J137,"CHECK end before start",IF(AND($B$6=0,OR('_Dates'!J137&lt;Settings!$B$7,'_Dates'!T137&gt;Settings!$B$8)),"CHECK split across leave years",IF(OR(NOT(OR('_Dates'!U137="Full day",'_Dates'!U137="AM",'_Dates'!U137="PM")),NOT(OR('_Dates'!V137="Full day",'_Dates'!V137="AM",'_Dates'!V137="PM"))),"CHECK Full day / AM / PM",IF(AND('_Dates'!J137='_Dates'!T137,'_Dates'!U137&lt;&gt;"Full day",'_Dates'!V137&lt;&gt;"Full day",'_Dates'!U137&lt;&gt;'_Dates'!V137),"CHECK same-day portions disagree",IF(AND($B$6=0,OR(AND('_Dates'!U137&lt;&gt;"Full day",'_Dates'!AA137=0),AND('_Dates'!V137&lt;&gt;"Full day",'_Dates'!AB137=0))),"CHECK half-day on non-working date",IF(COUNTIF(Settings!$G$7:$G$11,D137)&lt;&gt;1,"CHECK leave type",IF(AND(Bookings!G137&lt;&gt;"Approved",Bookings!G137&lt;&gt;"Pending",Bookings!G137&lt;&gt;"Cancelled"),"CHECK status","OK")))))))))),"CHECK input"))</ns0:f>
        <ns0:v/>
      </ns0:c>
      <ns0:c r="G137" s="0">
        <ns0:f>IF(OR(F137&lt;&gt;"OK",$B$6&gt;0),0,0.5*(IF(('_Dates'!X137)&lt;('_Dates'!W137),0,INT((('_Dates'!X137)-('_Dates'!W137)+1)/7)*LEN(SUBSTITUTE(W137,"O",""))+LEN(SUBSTITUTE(MID(W137&amp;W137,WEEKDAY(('_Dates'!W137),2),MOD((('_Dates'!X137)-('_Dates'!W137)+1),7)),"O",""))-COUNTIFS(INDEX(AllClosureRows,C137,0),"&gt;="&amp;('_Dates'!W137),INDEX(AllClosureRows,C137,0),"&lt;="&amp;('_Dates'!X137)))+IF(('_Dates'!Z137)&lt;('_Dates'!Y137),0,INT((('_Dates'!Z137)-('_Dates'!Y137)+1)/7)*LEN(SUBSTITUTE(W137,"O",""))+LEN(SUBSTITUTE(MID(W137&amp;W137,WEEKDAY(('_Dates'!Y137),2),MOD((('_Dates'!Z137)-('_Dates'!Y137)+1),7)),"O",""))-COUNTIFS(INDEX(AllClosureRows,C137,0),"&gt;="&amp;('_Dates'!Y137),INDEX(AllClosureRows,C137,0),"&lt;="&amp;('_Dates'!Z137)))))</ns0:f>
        <ns0:v>0</ns0:v>
      </ns0:c>
      <ns0:c r="H137" s="0">
        <ns0:f>IF(OR(F137&lt;&gt;"OK",$B$6&gt;0),0,0.5*(IF((MIN('_Dates'!X137,Settings!$B$9))&lt;('_Dates'!W137),0,INT(((MIN('_Dates'!X137,Settings!$B$9))-('_Dates'!W137)+1)/7)*LEN(SUBSTITUTE(W137,"O",""))+LEN(SUBSTITUTE(MID(W137&amp;W137,WEEKDAY(('_Dates'!W137),2),MOD(((MIN('_Dates'!X137,Settings!$B$9))-('_Dates'!W137)+1),7)),"O",""))-COUNTIFS(INDEX(AllClosureRows,C137,0),"&gt;="&amp;('_Dates'!W137),INDEX(AllClosureRows,C137,0),"&lt;="&amp;(MIN('_Dates'!X137,Settings!$B$9))))+IF((MIN('_Dates'!Z137,Settings!$B$9))&lt;('_Dates'!Y137),0,INT(((MIN('_Dates'!Z137,Settings!$B$9))-('_Dates'!Y137)+1)/7)*LEN(SUBSTITUTE(W137,"O",""))+LEN(SUBSTITUTE(MID(W137&amp;W137,WEEKDAY(('_Dates'!Y137),2),MOD(((MIN('_Dates'!Z137,Settings!$B$9))-('_Dates'!Y137)+1),7)),"O",""))-COUNTIFS(INDEX(AllClosureRows,C137,0),"&gt;="&amp;('_Dates'!Y137),INDEX(AllClosureRows,C137,0),"&lt;="&amp;(MIN('_Dates'!Z137,Settings!$B$9))))))</ns0:f>
        <ns0:v>0</ns0:v>
      </ns0:c>
      <ns0:c r="I137" s="0">
        <ns0:f>MAX(0,G137-H137)</ns0:f>
        <ns0:v>0</ns0:v>
      </ns0:c>
      <ns0:c r="J137" s="0">
        <ns0:f>IF(OR(A137=0,F137&lt;&gt;"OK",Bookings!G137="Cancelled",$B$6&gt;0),0,IF('_Dates'!AC137=1,MAX(0,COUNTIFS(rngEngine_B,B137,rngAMStart,"&lt;="&amp;'_Dates'!X137,rngAMEnd,"&gt;="&amp;'_Dates'!W137,rngAMActive,1,rngEngine_F,"OK",rngBookings_F,"&lt;&gt;Cancelled")-1),0)+IF('_Dates'!AD137=1,MAX(0,COUNTIFS(rngEngine_B,B137,rngPMStart,"&lt;="&amp;'_Dates'!Z137,rngPMEnd,"&gt;="&amp;'_Dates'!Y137,rngPMActive,1,rngEngine_F,"OK",rngBookings_F,"&lt;&gt;Cancelled")-1),0))</ns0:f>
        <ns0:v>0</ns0:v>
      </ns0:c>
      <ns0:c r="K137" s="0" t="str">
        <ns0:f>IF(A137=0,"",IF(F137&lt;&gt;"OK",F137,IF(J137&gt;0,"CHECK overlapping entry",IF(AND($B$6=0,G137&lt;=0,Bookings!G137&lt;&gt;"Cancelled"),"CHECK no working days",IF(Bookings!G137="Cancelled","Cancelled","OK")))))</ns0:f>
        <ns0:v/>
      </ns0:c>
      <ns0:c r="L137" s="0">
        <ns0:f>IF(LEFT(K137,5)="CHECK",1,0)</ns0:f>
        <ns0:v>0</ns0:v>
      </ns0:c>
      <ns0:c r="M137" s="0">
        <ns0:f>IF(AND(L137=1,OR(C137=0,IFERROR(INDEX($X$11:$X$60,C137),0)=0)),1,0)</ns0:f>
        <ns0:v>0</ns0:v>
      </ns0:c>
      <ns0:c r="N137" s="0">
        <ns0:f>IF(OR(A137=0,L137&gt;0,$B$6&gt;0,Bookings!G137="Cancelled"),0,G137)</ns0:f>
        <ns0:v>0</ns0:v>
      </ns0:c>
      <ns0:c r="O137" s="0">
        <ns0:f>IF(AND(Bookings!G137="Approved",E137="Yes"),N137,0)</ns0:f>
        <ns0:v>0</ns0:v>
      </ns0:c>
      <ns0:c r="P137" s="0">
        <ns0:f>IF(AND(Bookings!G137="Approved",E137="Yes",L137=0,$B$6=0),H137,0)</ns0:f>
        <ns0:v>0</ns0:v>
      </ns0:c>
      <ns0:c r="Q137" s="0">
        <ns0:f>IF(AND(Bookings!G137="Approved",E137="Yes",L137=0,$B$6=0),I137,0)</ns0:f>
        <ns0:v>0</ns0:v>
      </ns0:c>
      <ns0:c r="R137" s="0">
        <ns0:f>IF(AND(Bookings!G137="Pending",E137="Yes"),N137,0)</ns0:f>
        <ns0:v>0</ns0:v>
      </ns0:c>
      <ns0:c r="S137" s="0">
        <ns0:f>IF(AND(Bookings!G137="Approved",E137="No"),N137,0)</ns0:f>
        <ns0:v>0</ns0:v>
      </ns0:c>
      <ns0:c r="T137" s="0">
        <ns0:f>IFERROR(MATCH(D137,Settings!$G$7:$G$11,0),0)</ns0:f>
        <ns0:v>0</ns0:v>
      </ns0:c>
      <ns0:c r="U137" s="0">
        <ns0:f>IF(N137&gt;0,T137+IF(Bookings!G137="Pending",10,0),0)</ns0:f>
        <ns0:v>0</ns0:v>
      </ns0:c>
      <ns0:c r="V137" s="0">
        <ns0:f>U137</ns0:f>
        <ns0:v>0</ns0:v>
      </ns0:c>
      <ns0:c r="W137" s="0" t="str">
        <ns0:f>IF(C137=0,"",INDEX($AP$11:$AP$60,C137))</ns0:f>
        <ns0:v/>
      </ns0:c>
    </ns0:row>
    <ns0:row r="138">
      <ns0:c r="A138" s="0">
        <ns0:f>IF(COUNTA(Bookings!A138:G138,Bookings!I138)=0,0,1)</ns0:f>
        <ns0:v>0</ns0:v>
      </ns0:c>
      <ns0:c r="B138" s="0" t="str">
        <ns0:f>IFERROR(TRIM(MID(Bookings!A138,FIND(" · ",Bookings!A138)+3,99)),"")</ns0:f>
        <ns0:v/>
      </ns0:c>
      <ns0:c r="C138" s="0">
        <ns0:f>IF(OR(B138="",LEN(B138)&gt;24,ISNUMBER(FIND(" ",B138)),ISNUMBER(FIND("*",B138)),ISNUMBER(FIND("?",B138)),ISNUMBER(FIND("~",B138))),0,IFERROR(MATCH(B138,Team!$A$11:$A$60,0),0))</ns0:f>
        <ns0:v>0</ns0:v>
      </ns0:c>
      <ns0:c r="D138" s="0" t="str">
        <ns0:f>IFERROR(IF(MID(Bookings!F138,LEN(Bookings!F138)-3,3)=" · ",RIGHT(Bookings!F138,1),""),"")</ns0:f>
        <ns0:v/>
      </ns0:c>
      <ns0:c r="E138" s="0" t="str">
        <ns0:f>IFERROR(INDEX(Settings!$H$7:$H$11,MATCH(D138,Settings!$G$7:$G$11,0)),"")</ns0:f>
        <ns0:v/>
      </ns0:c>
      <ns0:c r="F138" s="0" t="str">
        <ns0:f>IF(A138=0,"",IFERROR(IF(OR(B138="",C138=0),"CHECK employee selection",IF(INDEX(Team!$O$11:$O$60,C138)&lt;&gt;"OK","CHECK employee setup",IF(OR('_Dates'!J138=0,'_Dates'!T138=0),"CHECK date: use DD.MM.YYYY",IF('_Dates'!T138&lt;'_Dates'!J138,"CHECK end before start",IF(AND($B$6=0,OR('_Dates'!J138&lt;Settings!$B$7,'_Dates'!T138&gt;Settings!$B$8)),"CHECK split across leave years",IF(OR(NOT(OR('_Dates'!U138="Full day",'_Dates'!U138="AM",'_Dates'!U138="PM")),NOT(OR('_Dates'!V138="Full day",'_Dates'!V138="AM",'_Dates'!V138="PM"))),"CHECK Full day / AM / PM",IF(AND('_Dates'!J138='_Dates'!T138,'_Dates'!U138&lt;&gt;"Full day",'_Dates'!V138&lt;&gt;"Full day",'_Dates'!U138&lt;&gt;'_Dates'!V138),"CHECK same-day portions disagree",IF(AND($B$6=0,OR(AND('_Dates'!U138&lt;&gt;"Full day",'_Dates'!AA138=0),AND('_Dates'!V138&lt;&gt;"Full day",'_Dates'!AB138=0))),"CHECK half-day on non-working date",IF(COUNTIF(Settings!$G$7:$G$11,D138)&lt;&gt;1,"CHECK leave type",IF(AND(Bookings!G138&lt;&gt;"Approved",Bookings!G138&lt;&gt;"Pending",Bookings!G138&lt;&gt;"Cancelled"),"CHECK status","OK")))))))))),"CHECK input"))</ns0:f>
        <ns0:v/>
      </ns0:c>
      <ns0:c r="G138" s="0">
        <ns0:f>IF(OR(F138&lt;&gt;"OK",$B$6&gt;0),0,0.5*(IF(('_Dates'!X138)&lt;('_Dates'!W138),0,INT((('_Dates'!X138)-('_Dates'!W138)+1)/7)*LEN(SUBSTITUTE(W138,"O",""))+LEN(SUBSTITUTE(MID(W138&amp;W138,WEEKDAY(('_Dates'!W138),2),MOD((('_Dates'!X138)-('_Dates'!W138)+1),7)),"O",""))-COUNTIFS(INDEX(AllClosureRows,C138,0),"&gt;="&amp;('_Dates'!W138),INDEX(AllClosureRows,C138,0),"&lt;="&amp;('_Dates'!X138)))+IF(('_Dates'!Z138)&lt;('_Dates'!Y138),0,INT((('_Dates'!Z138)-('_Dates'!Y138)+1)/7)*LEN(SUBSTITUTE(W138,"O",""))+LEN(SUBSTITUTE(MID(W138&amp;W138,WEEKDAY(('_Dates'!Y138),2),MOD((('_Dates'!Z138)-('_Dates'!Y138)+1),7)),"O",""))-COUNTIFS(INDEX(AllClosureRows,C138,0),"&gt;="&amp;('_Dates'!Y138),INDEX(AllClosureRows,C138,0),"&lt;="&amp;('_Dates'!Z138)))))</ns0:f>
        <ns0:v>0</ns0:v>
      </ns0:c>
      <ns0:c r="H138" s="0">
        <ns0:f>IF(OR(F138&lt;&gt;"OK",$B$6&gt;0),0,0.5*(IF((MIN('_Dates'!X138,Settings!$B$9))&lt;('_Dates'!W138),0,INT(((MIN('_Dates'!X138,Settings!$B$9))-('_Dates'!W138)+1)/7)*LEN(SUBSTITUTE(W138,"O",""))+LEN(SUBSTITUTE(MID(W138&amp;W138,WEEKDAY(('_Dates'!W138),2),MOD(((MIN('_Dates'!X138,Settings!$B$9))-('_Dates'!W138)+1),7)),"O",""))-COUNTIFS(INDEX(AllClosureRows,C138,0),"&gt;="&amp;('_Dates'!W138),INDEX(AllClosureRows,C138,0),"&lt;="&amp;(MIN('_Dates'!X138,Settings!$B$9))))+IF((MIN('_Dates'!Z138,Settings!$B$9))&lt;('_Dates'!Y138),0,INT(((MIN('_Dates'!Z138,Settings!$B$9))-('_Dates'!Y138)+1)/7)*LEN(SUBSTITUTE(W138,"O",""))+LEN(SUBSTITUTE(MID(W138&amp;W138,WEEKDAY(('_Dates'!Y138),2),MOD(((MIN('_Dates'!Z138,Settings!$B$9))-('_Dates'!Y138)+1),7)),"O",""))-COUNTIFS(INDEX(AllClosureRows,C138,0),"&gt;="&amp;('_Dates'!Y138),INDEX(AllClosureRows,C138,0),"&lt;="&amp;(MIN('_Dates'!Z138,Settings!$B$9))))))</ns0:f>
        <ns0:v>0</ns0:v>
      </ns0:c>
      <ns0:c r="I138" s="0">
        <ns0:f>MAX(0,G138-H138)</ns0:f>
        <ns0:v>0</ns0:v>
      </ns0:c>
      <ns0:c r="J138" s="0">
        <ns0:f>IF(OR(A138=0,F138&lt;&gt;"OK",Bookings!G138="Cancelled",$B$6&gt;0),0,IF('_Dates'!AC138=1,MAX(0,COUNTIFS(rngEngine_B,B138,rngAMStart,"&lt;="&amp;'_Dates'!X138,rngAMEnd,"&gt;="&amp;'_Dates'!W138,rngAMActive,1,rngEngine_F,"OK",rngBookings_F,"&lt;&gt;Cancelled")-1),0)+IF('_Dates'!AD138=1,MAX(0,COUNTIFS(rngEngine_B,B138,rngPMStart,"&lt;="&amp;'_Dates'!Z138,rngPMEnd,"&gt;="&amp;'_Dates'!Y138,rngPMActive,1,rngEngine_F,"OK",rngBookings_F,"&lt;&gt;Cancelled")-1),0))</ns0:f>
        <ns0:v>0</ns0:v>
      </ns0:c>
      <ns0:c r="K138" s="0" t="str">
        <ns0:f>IF(A138=0,"",IF(F138&lt;&gt;"OK",F138,IF(J138&gt;0,"CHECK overlapping entry",IF(AND($B$6=0,G138&lt;=0,Bookings!G138&lt;&gt;"Cancelled"),"CHECK no working days",IF(Bookings!G138="Cancelled","Cancelled","OK")))))</ns0:f>
        <ns0:v/>
      </ns0:c>
      <ns0:c r="L138" s="0">
        <ns0:f>IF(LEFT(K138,5)="CHECK",1,0)</ns0:f>
        <ns0:v>0</ns0:v>
      </ns0:c>
      <ns0:c r="M138" s="0">
        <ns0:f>IF(AND(L138=1,OR(C138=0,IFERROR(INDEX($X$11:$X$60,C138),0)=0)),1,0)</ns0:f>
        <ns0:v>0</ns0:v>
      </ns0:c>
      <ns0:c r="N138" s="0">
        <ns0:f>IF(OR(A138=0,L138&gt;0,$B$6&gt;0,Bookings!G138="Cancelled"),0,G138)</ns0:f>
        <ns0:v>0</ns0:v>
      </ns0:c>
      <ns0:c r="O138" s="0">
        <ns0:f>IF(AND(Bookings!G138="Approved",E138="Yes"),N138,0)</ns0:f>
        <ns0:v>0</ns0:v>
      </ns0:c>
      <ns0:c r="P138" s="0">
        <ns0:f>IF(AND(Bookings!G138="Approved",E138="Yes",L138=0,$B$6=0),H138,0)</ns0:f>
        <ns0:v>0</ns0:v>
      </ns0:c>
      <ns0:c r="Q138" s="0">
        <ns0:f>IF(AND(Bookings!G138="Approved",E138="Yes",L138=0,$B$6=0),I138,0)</ns0:f>
        <ns0:v>0</ns0:v>
      </ns0:c>
      <ns0:c r="R138" s="0">
        <ns0:f>IF(AND(Bookings!G138="Pending",E138="Yes"),N138,0)</ns0:f>
        <ns0:v>0</ns0:v>
      </ns0:c>
      <ns0:c r="S138" s="0">
        <ns0:f>IF(AND(Bookings!G138="Approved",E138="No"),N138,0)</ns0:f>
        <ns0:v>0</ns0:v>
      </ns0:c>
      <ns0:c r="T138" s="0">
        <ns0:f>IFERROR(MATCH(D138,Settings!$G$7:$G$11,0),0)</ns0:f>
        <ns0:v>0</ns0:v>
      </ns0:c>
      <ns0:c r="U138" s="0">
        <ns0:f>IF(N138&gt;0,T138+IF(Bookings!G138="Pending",10,0),0)</ns0:f>
        <ns0:v>0</ns0:v>
      </ns0:c>
      <ns0:c r="V138" s="0">
        <ns0:f>U138</ns0:f>
        <ns0:v>0</ns0:v>
      </ns0:c>
      <ns0:c r="W138" s="0" t="str">
        <ns0:f>IF(C138=0,"",INDEX($AP$11:$AP$60,C138))</ns0:f>
        <ns0:v/>
      </ns0:c>
    </ns0:row>
    <ns0:row r="139">
      <ns0:c r="A139" s="0">
        <ns0:f>IF(COUNTA(Bookings!A139:G139,Bookings!I139)=0,0,1)</ns0:f>
        <ns0:v>0</ns0:v>
      </ns0:c>
      <ns0:c r="B139" s="0" t="str">
        <ns0:f>IFERROR(TRIM(MID(Bookings!A139,FIND(" · ",Bookings!A139)+3,99)),"")</ns0:f>
        <ns0:v/>
      </ns0:c>
      <ns0:c r="C139" s="0">
        <ns0:f>IF(OR(B139="",LEN(B139)&gt;24,ISNUMBER(FIND(" ",B139)),ISNUMBER(FIND("*",B139)),ISNUMBER(FIND("?",B139)),ISNUMBER(FIND("~",B139))),0,IFERROR(MATCH(B139,Team!$A$11:$A$60,0),0))</ns0:f>
        <ns0:v>0</ns0:v>
      </ns0:c>
      <ns0:c r="D139" s="0" t="str">
        <ns0:f>IFERROR(IF(MID(Bookings!F139,LEN(Bookings!F139)-3,3)=" · ",RIGHT(Bookings!F139,1),""),"")</ns0:f>
        <ns0:v/>
      </ns0:c>
      <ns0:c r="E139" s="0" t="str">
        <ns0:f>IFERROR(INDEX(Settings!$H$7:$H$11,MATCH(D139,Settings!$G$7:$G$11,0)),"")</ns0:f>
        <ns0:v/>
      </ns0:c>
      <ns0:c r="F139" s="0" t="str">
        <ns0:f>IF(A139=0,"",IFERROR(IF(OR(B139="",C139=0),"CHECK employee selection",IF(INDEX(Team!$O$11:$O$60,C139)&lt;&gt;"OK","CHECK employee setup",IF(OR('_Dates'!J139=0,'_Dates'!T139=0),"CHECK date: use DD.MM.YYYY",IF('_Dates'!T139&lt;'_Dates'!J139,"CHECK end before start",IF(AND($B$6=0,OR('_Dates'!J139&lt;Settings!$B$7,'_Dates'!T139&gt;Settings!$B$8)),"CHECK split across leave years",IF(OR(NOT(OR('_Dates'!U139="Full day",'_Dates'!U139="AM",'_Dates'!U139="PM")),NOT(OR('_Dates'!V139="Full day",'_Dates'!V139="AM",'_Dates'!V139="PM"))),"CHECK Full day / AM / PM",IF(AND('_Dates'!J139='_Dates'!T139,'_Dates'!U139&lt;&gt;"Full day",'_Dates'!V139&lt;&gt;"Full day",'_Dates'!U139&lt;&gt;'_Dates'!V139),"CHECK same-day portions disagree",IF(AND($B$6=0,OR(AND('_Dates'!U139&lt;&gt;"Full day",'_Dates'!AA139=0),AND('_Dates'!V139&lt;&gt;"Full day",'_Dates'!AB139=0))),"CHECK half-day on non-working date",IF(COUNTIF(Settings!$G$7:$G$11,D139)&lt;&gt;1,"CHECK leave type",IF(AND(Bookings!G139&lt;&gt;"Approved",Bookings!G139&lt;&gt;"Pending",Bookings!G139&lt;&gt;"Cancelled"),"CHECK status","OK")))))))))),"CHECK input"))</ns0:f>
        <ns0:v/>
      </ns0:c>
      <ns0:c r="G139" s="0">
        <ns0:f>IF(OR(F139&lt;&gt;"OK",$B$6&gt;0),0,0.5*(IF(('_Dates'!X139)&lt;('_Dates'!W139),0,INT((('_Dates'!X139)-('_Dates'!W139)+1)/7)*LEN(SUBSTITUTE(W139,"O",""))+LEN(SUBSTITUTE(MID(W139&amp;W139,WEEKDAY(('_Dates'!W139),2),MOD((('_Dates'!X139)-('_Dates'!W139)+1),7)),"O",""))-COUNTIFS(INDEX(AllClosureRows,C139,0),"&gt;="&amp;('_Dates'!W139),INDEX(AllClosureRows,C139,0),"&lt;="&amp;('_Dates'!X139)))+IF(('_Dates'!Z139)&lt;('_Dates'!Y139),0,INT((('_Dates'!Z139)-('_Dates'!Y139)+1)/7)*LEN(SUBSTITUTE(W139,"O",""))+LEN(SUBSTITUTE(MID(W139&amp;W139,WEEKDAY(('_Dates'!Y139),2),MOD((('_Dates'!Z139)-('_Dates'!Y139)+1),7)),"O",""))-COUNTIFS(INDEX(AllClosureRows,C139,0),"&gt;="&amp;('_Dates'!Y139),INDEX(AllClosureRows,C139,0),"&lt;="&amp;('_Dates'!Z139)))))</ns0:f>
        <ns0:v>0</ns0:v>
      </ns0:c>
      <ns0:c r="H139" s="0">
        <ns0:f>IF(OR(F139&lt;&gt;"OK",$B$6&gt;0),0,0.5*(IF((MIN('_Dates'!X139,Settings!$B$9))&lt;('_Dates'!W139),0,INT(((MIN('_Dates'!X139,Settings!$B$9))-('_Dates'!W139)+1)/7)*LEN(SUBSTITUTE(W139,"O",""))+LEN(SUBSTITUTE(MID(W139&amp;W139,WEEKDAY(('_Dates'!W139),2),MOD(((MIN('_Dates'!X139,Settings!$B$9))-('_Dates'!W139)+1),7)),"O",""))-COUNTIFS(INDEX(AllClosureRows,C139,0),"&gt;="&amp;('_Dates'!W139),INDEX(AllClosureRows,C139,0),"&lt;="&amp;(MIN('_Dates'!X139,Settings!$B$9))))+IF((MIN('_Dates'!Z139,Settings!$B$9))&lt;('_Dates'!Y139),0,INT(((MIN('_Dates'!Z139,Settings!$B$9))-('_Dates'!Y139)+1)/7)*LEN(SUBSTITUTE(W139,"O",""))+LEN(SUBSTITUTE(MID(W139&amp;W139,WEEKDAY(('_Dates'!Y139),2),MOD(((MIN('_Dates'!Z139,Settings!$B$9))-('_Dates'!Y139)+1),7)),"O",""))-COUNTIFS(INDEX(AllClosureRows,C139,0),"&gt;="&amp;('_Dates'!Y139),INDEX(AllClosureRows,C139,0),"&lt;="&amp;(MIN('_Dates'!Z139,Settings!$B$9))))))</ns0:f>
        <ns0:v>0</ns0:v>
      </ns0:c>
      <ns0:c r="I139" s="0">
        <ns0:f>MAX(0,G139-H139)</ns0:f>
        <ns0:v>0</ns0:v>
      </ns0:c>
      <ns0:c r="J139" s="0">
        <ns0:f>IF(OR(A139=0,F139&lt;&gt;"OK",Bookings!G139="Cancelled",$B$6&gt;0),0,IF('_Dates'!AC139=1,MAX(0,COUNTIFS(rngEngine_B,B139,rngAMStart,"&lt;="&amp;'_Dates'!X139,rngAMEnd,"&gt;="&amp;'_Dates'!W139,rngAMActive,1,rngEngine_F,"OK",rngBookings_F,"&lt;&gt;Cancelled")-1),0)+IF('_Dates'!AD139=1,MAX(0,COUNTIFS(rngEngine_B,B139,rngPMStart,"&lt;="&amp;'_Dates'!Z139,rngPMEnd,"&gt;="&amp;'_Dates'!Y139,rngPMActive,1,rngEngine_F,"OK",rngBookings_F,"&lt;&gt;Cancelled")-1),0))</ns0:f>
        <ns0:v>0</ns0:v>
      </ns0:c>
      <ns0:c r="K139" s="0" t="str">
        <ns0:f>IF(A139=0,"",IF(F139&lt;&gt;"OK",F139,IF(J139&gt;0,"CHECK overlapping entry",IF(AND($B$6=0,G139&lt;=0,Bookings!G139&lt;&gt;"Cancelled"),"CHECK no working days",IF(Bookings!G139="Cancelled","Cancelled","OK")))))</ns0:f>
        <ns0:v/>
      </ns0:c>
      <ns0:c r="L139" s="0">
        <ns0:f>IF(LEFT(K139,5)="CHECK",1,0)</ns0:f>
        <ns0:v>0</ns0:v>
      </ns0:c>
      <ns0:c r="M139" s="0">
        <ns0:f>IF(AND(L139=1,OR(C139=0,IFERROR(INDEX($X$11:$X$60,C139),0)=0)),1,0)</ns0:f>
        <ns0:v>0</ns0:v>
      </ns0:c>
      <ns0:c r="N139" s="0">
        <ns0:f>IF(OR(A139=0,L139&gt;0,$B$6&gt;0,Bookings!G139="Cancelled"),0,G139)</ns0:f>
        <ns0:v>0</ns0:v>
      </ns0:c>
      <ns0:c r="O139" s="0">
        <ns0:f>IF(AND(Bookings!G139="Approved",E139="Yes"),N139,0)</ns0:f>
        <ns0:v>0</ns0:v>
      </ns0:c>
      <ns0:c r="P139" s="0">
        <ns0:f>IF(AND(Bookings!G139="Approved",E139="Yes",L139=0,$B$6=0),H139,0)</ns0:f>
        <ns0:v>0</ns0:v>
      </ns0:c>
      <ns0:c r="Q139" s="0">
        <ns0:f>IF(AND(Bookings!G139="Approved",E139="Yes",L139=0,$B$6=0),I139,0)</ns0:f>
        <ns0:v>0</ns0:v>
      </ns0:c>
      <ns0:c r="R139" s="0">
        <ns0:f>IF(AND(Bookings!G139="Pending",E139="Yes"),N139,0)</ns0:f>
        <ns0:v>0</ns0:v>
      </ns0:c>
      <ns0:c r="S139" s="0">
        <ns0:f>IF(AND(Bookings!G139="Approved",E139="No"),N139,0)</ns0:f>
        <ns0:v>0</ns0:v>
      </ns0:c>
      <ns0:c r="T139" s="0">
        <ns0:f>IFERROR(MATCH(D139,Settings!$G$7:$G$11,0),0)</ns0:f>
        <ns0:v>0</ns0:v>
      </ns0:c>
      <ns0:c r="U139" s="0">
        <ns0:f>IF(N139&gt;0,T139+IF(Bookings!G139="Pending",10,0),0)</ns0:f>
        <ns0:v>0</ns0:v>
      </ns0:c>
      <ns0:c r="V139" s="0">
        <ns0:f>U139</ns0:f>
        <ns0:v>0</ns0:v>
      </ns0:c>
      <ns0:c r="W139" s="0" t="str">
        <ns0:f>IF(C139=0,"",INDEX($AP$11:$AP$60,C139))</ns0:f>
        <ns0:v/>
      </ns0:c>
    </ns0:row>
    <ns0:row r="140">
      <ns0:c r="A140" s="0">
        <ns0:f>IF(COUNTA(Bookings!A140:G140,Bookings!I140)=0,0,1)</ns0:f>
        <ns0:v>0</ns0:v>
      </ns0:c>
      <ns0:c r="B140" s="0" t="str">
        <ns0:f>IFERROR(TRIM(MID(Bookings!A140,FIND(" · ",Bookings!A140)+3,99)),"")</ns0:f>
        <ns0:v/>
      </ns0:c>
      <ns0:c r="C140" s="0">
        <ns0:f>IF(OR(B140="",LEN(B140)&gt;24,ISNUMBER(FIND(" ",B140)),ISNUMBER(FIND("*",B140)),ISNUMBER(FIND("?",B140)),ISNUMBER(FIND("~",B140))),0,IFERROR(MATCH(B140,Team!$A$11:$A$60,0),0))</ns0:f>
        <ns0:v>0</ns0:v>
      </ns0:c>
      <ns0:c r="D140" s="0" t="str">
        <ns0:f>IFERROR(IF(MID(Bookings!F140,LEN(Bookings!F140)-3,3)=" · ",RIGHT(Bookings!F140,1),""),"")</ns0:f>
        <ns0:v/>
      </ns0:c>
      <ns0:c r="E140" s="0" t="str">
        <ns0:f>IFERROR(INDEX(Settings!$H$7:$H$11,MATCH(D140,Settings!$G$7:$G$11,0)),"")</ns0:f>
        <ns0:v/>
      </ns0:c>
      <ns0:c r="F140" s="0" t="str">
        <ns0:f>IF(A140=0,"",IFERROR(IF(OR(B140="",C140=0),"CHECK employee selection",IF(INDEX(Team!$O$11:$O$60,C140)&lt;&gt;"OK","CHECK employee setup",IF(OR('_Dates'!J140=0,'_Dates'!T140=0),"CHECK date: use DD.MM.YYYY",IF('_Dates'!T140&lt;'_Dates'!J140,"CHECK end before start",IF(AND($B$6=0,OR('_Dates'!J140&lt;Settings!$B$7,'_Dates'!T140&gt;Settings!$B$8)),"CHECK split across leave years",IF(OR(NOT(OR('_Dates'!U140="Full day",'_Dates'!U140="AM",'_Dates'!U140="PM")),NOT(OR('_Dates'!V140="Full day",'_Dates'!V140="AM",'_Dates'!V140="PM"))),"CHECK Full day / AM / PM",IF(AND('_Dates'!J140='_Dates'!T140,'_Dates'!U140&lt;&gt;"Full day",'_Dates'!V140&lt;&gt;"Full day",'_Dates'!U140&lt;&gt;'_Dates'!V140),"CHECK same-day portions disagree",IF(AND($B$6=0,OR(AND('_Dates'!U140&lt;&gt;"Full day",'_Dates'!AA140=0),AND('_Dates'!V140&lt;&gt;"Full day",'_Dates'!AB140=0))),"CHECK half-day on non-working date",IF(COUNTIF(Settings!$G$7:$G$11,D140)&lt;&gt;1,"CHECK leave type",IF(AND(Bookings!G140&lt;&gt;"Approved",Bookings!G140&lt;&gt;"Pending",Bookings!G140&lt;&gt;"Cancelled"),"CHECK status","OK")))))))))),"CHECK input"))</ns0:f>
        <ns0:v/>
      </ns0:c>
      <ns0:c r="G140" s="0">
        <ns0:f>IF(OR(F140&lt;&gt;"OK",$B$6&gt;0),0,0.5*(IF(('_Dates'!X140)&lt;('_Dates'!W140),0,INT((('_Dates'!X140)-('_Dates'!W140)+1)/7)*LEN(SUBSTITUTE(W140,"O",""))+LEN(SUBSTITUTE(MID(W140&amp;W140,WEEKDAY(('_Dates'!W140),2),MOD((('_Dates'!X140)-('_Dates'!W140)+1),7)),"O",""))-COUNTIFS(INDEX(AllClosureRows,C140,0),"&gt;="&amp;('_Dates'!W140),INDEX(AllClosureRows,C140,0),"&lt;="&amp;('_Dates'!X140)))+IF(('_Dates'!Z140)&lt;('_Dates'!Y140),0,INT((('_Dates'!Z140)-('_Dates'!Y140)+1)/7)*LEN(SUBSTITUTE(W140,"O",""))+LEN(SUBSTITUTE(MID(W140&amp;W140,WEEKDAY(('_Dates'!Y140),2),MOD((('_Dates'!Z140)-('_Dates'!Y140)+1),7)),"O",""))-COUNTIFS(INDEX(AllClosureRows,C140,0),"&gt;="&amp;('_Dates'!Y140),INDEX(AllClosureRows,C140,0),"&lt;="&amp;('_Dates'!Z140)))))</ns0:f>
        <ns0:v>0</ns0:v>
      </ns0:c>
      <ns0:c r="H140" s="0">
        <ns0:f>IF(OR(F140&lt;&gt;"OK",$B$6&gt;0),0,0.5*(IF((MIN('_Dates'!X140,Settings!$B$9))&lt;('_Dates'!W140),0,INT(((MIN('_Dates'!X140,Settings!$B$9))-('_Dates'!W140)+1)/7)*LEN(SUBSTITUTE(W140,"O",""))+LEN(SUBSTITUTE(MID(W140&amp;W140,WEEKDAY(('_Dates'!W140),2),MOD(((MIN('_Dates'!X140,Settings!$B$9))-('_Dates'!W140)+1),7)),"O",""))-COUNTIFS(INDEX(AllClosureRows,C140,0),"&gt;="&amp;('_Dates'!W140),INDEX(AllClosureRows,C140,0),"&lt;="&amp;(MIN('_Dates'!X140,Settings!$B$9))))+IF((MIN('_Dates'!Z140,Settings!$B$9))&lt;('_Dates'!Y140),0,INT(((MIN('_Dates'!Z140,Settings!$B$9))-('_Dates'!Y140)+1)/7)*LEN(SUBSTITUTE(W140,"O",""))+LEN(SUBSTITUTE(MID(W140&amp;W140,WEEKDAY(('_Dates'!Y140),2),MOD(((MIN('_Dates'!Z140,Settings!$B$9))-('_Dates'!Y140)+1),7)),"O",""))-COUNTIFS(INDEX(AllClosureRows,C140,0),"&gt;="&amp;('_Dates'!Y140),INDEX(AllClosureRows,C140,0),"&lt;="&amp;(MIN('_Dates'!Z140,Settings!$B$9))))))</ns0:f>
        <ns0:v>0</ns0:v>
      </ns0:c>
      <ns0:c r="I140" s="0">
        <ns0:f>MAX(0,G140-H140)</ns0:f>
        <ns0:v>0</ns0:v>
      </ns0:c>
      <ns0:c r="J140" s="0">
        <ns0:f>IF(OR(A140=0,F140&lt;&gt;"OK",Bookings!G140="Cancelled",$B$6&gt;0),0,IF('_Dates'!AC140=1,MAX(0,COUNTIFS(rngEngine_B,B140,rngAMStart,"&lt;="&amp;'_Dates'!X140,rngAMEnd,"&gt;="&amp;'_Dates'!W140,rngAMActive,1,rngEngine_F,"OK",rngBookings_F,"&lt;&gt;Cancelled")-1),0)+IF('_Dates'!AD140=1,MAX(0,COUNTIFS(rngEngine_B,B140,rngPMStart,"&lt;="&amp;'_Dates'!Z140,rngPMEnd,"&gt;="&amp;'_Dates'!Y140,rngPMActive,1,rngEngine_F,"OK",rngBookings_F,"&lt;&gt;Cancelled")-1),0))</ns0:f>
        <ns0:v>0</ns0:v>
      </ns0:c>
      <ns0:c r="K140" s="0" t="str">
        <ns0:f>IF(A140=0,"",IF(F140&lt;&gt;"OK",F140,IF(J140&gt;0,"CHECK overlapping entry",IF(AND($B$6=0,G140&lt;=0,Bookings!G140&lt;&gt;"Cancelled"),"CHECK no working days",IF(Bookings!G140="Cancelled","Cancelled","OK")))))</ns0:f>
        <ns0:v/>
      </ns0:c>
      <ns0:c r="L140" s="0">
        <ns0:f>IF(LEFT(K140,5)="CHECK",1,0)</ns0:f>
        <ns0:v>0</ns0:v>
      </ns0:c>
      <ns0:c r="M140" s="0">
        <ns0:f>IF(AND(L140=1,OR(C140=0,IFERROR(INDEX($X$11:$X$60,C140),0)=0)),1,0)</ns0:f>
        <ns0:v>0</ns0:v>
      </ns0:c>
      <ns0:c r="N140" s="0">
        <ns0:f>IF(OR(A140=0,L140&gt;0,$B$6&gt;0,Bookings!G140="Cancelled"),0,G140)</ns0:f>
        <ns0:v>0</ns0:v>
      </ns0:c>
      <ns0:c r="O140" s="0">
        <ns0:f>IF(AND(Bookings!G140="Approved",E140="Yes"),N140,0)</ns0:f>
        <ns0:v>0</ns0:v>
      </ns0:c>
      <ns0:c r="P140" s="0">
        <ns0:f>IF(AND(Bookings!G140="Approved",E140="Yes",L140=0,$B$6=0),H140,0)</ns0:f>
        <ns0:v>0</ns0:v>
      </ns0:c>
      <ns0:c r="Q140" s="0">
        <ns0:f>IF(AND(Bookings!G140="Approved",E140="Yes",L140=0,$B$6=0),I140,0)</ns0:f>
        <ns0:v>0</ns0:v>
      </ns0:c>
      <ns0:c r="R140" s="0">
        <ns0:f>IF(AND(Bookings!G140="Pending",E140="Yes"),N140,0)</ns0:f>
        <ns0:v>0</ns0:v>
      </ns0:c>
      <ns0:c r="S140" s="0">
        <ns0:f>IF(AND(Bookings!G140="Approved",E140="No"),N140,0)</ns0:f>
        <ns0:v>0</ns0:v>
      </ns0:c>
      <ns0:c r="T140" s="0">
        <ns0:f>IFERROR(MATCH(D140,Settings!$G$7:$G$11,0),0)</ns0:f>
        <ns0:v>0</ns0:v>
      </ns0:c>
      <ns0:c r="U140" s="0">
        <ns0:f>IF(N140&gt;0,T140+IF(Bookings!G140="Pending",10,0),0)</ns0:f>
        <ns0:v>0</ns0:v>
      </ns0:c>
      <ns0:c r="V140" s="0">
        <ns0:f>U140</ns0:f>
        <ns0:v>0</ns0:v>
      </ns0:c>
      <ns0:c r="W140" s="0" t="str">
        <ns0:f>IF(C140=0,"",INDEX($AP$11:$AP$60,C140))</ns0:f>
        <ns0:v/>
      </ns0:c>
    </ns0:row>
    <ns0:row r="141">
      <ns0:c r="A141" s="0">
        <ns0:f>IF(COUNTA(Bookings!A141:G141,Bookings!I141)=0,0,1)</ns0:f>
        <ns0:v>0</ns0:v>
      </ns0:c>
      <ns0:c r="B141" s="0" t="str">
        <ns0:f>IFERROR(TRIM(MID(Bookings!A141,FIND(" · ",Bookings!A141)+3,99)),"")</ns0:f>
        <ns0:v/>
      </ns0:c>
      <ns0:c r="C141" s="0">
        <ns0:f>IF(OR(B141="",LEN(B141)&gt;24,ISNUMBER(FIND(" ",B141)),ISNUMBER(FIND("*",B141)),ISNUMBER(FIND("?",B141)),ISNUMBER(FIND("~",B141))),0,IFERROR(MATCH(B141,Team!$A$11:$A$60,0),0))</ns0:f>
        <ns0:v>0</ns0:v>
      </ns0:c>
      <ns0:c r="D141" s="0" t="str">
        <ns0:f>IFERROR(IF(MID(Bookings!F141,LEN(Bookings!F141)-3,3)=" · ",RIGHT(Bookings!F141,1),""),"")</ns0:f>
        <ns0:v/>
      </ns0:c>
      <ns0:c r="E141" s="0" t="str">
        <ns0:f>IFERROR(INDEX(Settings!$H$7:$H$11,MATCH(D141,Settings!$G$7:$G$11,0)),"")</ns0:f>
        <ns0:v/>
      </ns0:c>
      <ns0:c r="F141" s="0" t="str">
        <ns0:f>IF(A141=0,"",IFERROR(IF(OR(B141="",C141=0),"CHECK employee selection",IF(INDEX(Team!$O$11:$O$60,C141)&lt;&gt;"OK","CHECK employee setup",IF(OR('_Dates'!J141=0,'_Dates'!T141=0),"CHECK date: use DD.MM.YYYY",IF('_Dates'!T141&lt;'_Dates'!J141,"CHECK end before start",IF(AND($B$6=0,OR('_Dates'!J141&lt;Settings!$B$7,'_Dates'!T141&gt;Settings!$B$8)),"CHECK split across leave years",IF(OR(NOT(OR('_Dates'!U141="Full day",'_Dates'!U141="AM",'_Dates'!U141="PM")),NOT(OR('_Dates'!V141="Full day",'_Dates'!V141="AM",'_Dates'!V141="PM"))),"CHECK Full day / AM / PM",IF(AND('_Dates'!J141='_Dates'!T141,'_Dates'!U141&lt;&gt;"Full day",'_Dates'!V141&lt;&gt;"Full day",'_Dates'!U141&lt;&gt;'_Dates'!V141),"CHECK same-day portions disagree",IF(AND($B$6=0,OR(AND('_Dates'!U141&lt;&gt;"Full day",'_Dates'!AA141=0),AND('_Dates'!V141&lt;&gt;"Full day",'_Dates'!AB141=0))),"CHECK half-day on non-working date",IF(COUNTIF(Settings!$G$7:$G$11,D141)&lt;&gt;1,"CHECK leave type",IF(AND(Bookings!G141&lt;&gt;"Approved",Bookings!G141&lt;&gt;"Pending",Bookings!G141&lt;&gt;"Cancelled"),"CHECK status","OK")))))))))),"CHECK input"))</ns0:f>
        <ns0:v/>
      </ns0:c>
      <ns0:c r="G141" s="0">
        <ns0:f>IF(OR(F141&lt;&gt;"OK",$B$6&gt;0),0,0.5*(IF(('_Dates'!X141)&lt;('_Dates'!W141),0,INT((('_Dates'!X141)-('_Dates'!W141)+1)/7)*LEN(SUBSTITUTE(W141,"O",""))+LEN(SUBSTITUTE(MID(W141&amp;W141,WEEKDAY(('_Dates'!W141),2),MOD((('_Dates'!X141)-('_Dates'!W141)+1),7)),"O",""))-COUNTIFS(INDEX(AllClosureRows,C141,0),"&gt;="&amp;('_Dates'!W141),INDEX(AllClosureRows,C141,0),"&lt;="&amp;('_Dates'!X141)))+IF(('_Dates'!Z141)&lt;('_Dates'!Y141),0,INT((('_Dates'!Z141)-('_Dates'!Y141)+1)/7)*LEN(SUBSTITUTE(W141,"O",""))+LEN(SUBSTITUTE(MID(W141&amp;W141,WEEKDAY(('_Dates'!Y141),2),MOD((('_Dates'!Z141)-('_Dates'!Y141)+1),7)),"O",""))-COUNTIFS(INDEX(AllClosureRows,C141,0),"&gt;="&amp;('_Dates'!Y141),INDEX(AllClosureRows,C141,0),"&lt;="&amp;('_Dates'!Z141)))))</ns0:f>
        <ns0:v>0</ns0:v>
      </ns0:c>
      <ns0:c r="H141" s="0">
        <ns0:f>IF(OR(F141&lt;&gt;"OK",$B$6&gt;0),0,0.5*(IF((MIN('_Dates'!X141,Settings!$B$9))&lt;('_Dates'!W141),0,INT(((MIN('_Dates'!X141,Settings!$B$9))-('_Dates'!W141)+1)/7)*LEN(SUBSTITUTE(W141,"O",""))+LEN(SUBSTITUTE(MID(W141&amp;W141,WEEKDAY(('_Dates'!W141),2),MOD(((MIN('_Dates'!X141,Settings!$B$9))-('_Dates'!W141)+1),7)),"O",""))-COUNTIFS(INDEX(AllClosureRows,C141,0),"&gt;="&amp;('_Dates'!W141),INDEX(AllClosureRows,C141,0),"&lt;="&amp;(MIN('_Dates'!X141,Settings!$B$9))))+IF((MIN('_Dates'!Z141,Settings!$B$9))&lt;('_Dates'!Y141),0,INT(((MIN('_Dates'!Z141,Settings!$B$9))-('_Dates'!Y141)+1)/7)*LEN(SUBSTITUTE(W141,"O",""))+LEN(SUBSTITUTE(MID(W141&amp;W141,WEEKDAY(('_Dates'!Y141),2),MOD(((MIN('_Dates'!Z141,Settings!$B$9))-('_Dates'!Y141)+1),7)),"O",""))-COUNTIFS(INDEX(AllClosureRows,C141,0),"&gt;="&amp;('_Dates'!Y141),INDEX(AllClosureRows,C141,0),"&lt;="&amp;(MIN('_Dates'!Z141,Settings!$B$9))))))</ns0:f>
        <ns0:v>0</ns0:v>
      </ns0:c>
      <ns0:c r="I141" s="0">
        <ns0:f>MAX(0,G141-H141)</ns0:f>
        <ns0:v>0</ns0:v>
      </ns0:c>
      <ns0:c r="J141" s="0">
        <ns0:f>IF(OR(A141=0,F141&lt;&gt;"OK",Bookings!G141="Cancelled",$B$6&gt;0),0,IF('_Dates'!AC141=1,MAX(0,COUNTIFS(rngEngine_B,B141,rngAMStart,"&lt;="&amp;'_Dates'!X141,rngAMEnd,"&gt;="&amp;'_Dates'!W141,rngAMActive,1,rngEngine_F,"OK",rngBookings_F,"&lt;&gt;Cancelled")-1),0)+IF('_Dates'!AD141=1,MAX(0,COUNTIFS(rngEngine_B,B141,rngPMStart,"&lt;="&amp;'_Dates'!Z141,rngPMEnd,"&gt;="&amp;'_Dates'!Y141,rngPMActive,1,rngEngine_F,"OK",rngBookings_F,"&lt;&gt;Cancelled")-1),0))</ns0:f>
        <ns0:v>0</ns0:v>
      </ns0:c>
      <ns0:c r="K141" s="0" t="str">
        <ns0:f>IF(A141=0,"",IF(F141&lt;&gt;"OK",F141,IF(J141&gt;0,"CHECK overlapping entry",IF(AND($B$6=0,G141&lt;=0,Bookings!G141&lt;&gt;"Cancelled"),"CHECK no working days",IF(Bookings!G141="Cancelled","Cancelled","OK")))))</ns0:f>
        <ns0:v/>
      </ns0:c>
      <ns0:c r="L141" s="0">
        <ns0:f>IF(LEFT(K141,5)="CHECK",1,0)</ns0:f>
        <ns0:v>0</ns0:v>
      </ns0:c>
      <ns0:c r="M141" s="0">
        <ns0:f>IF(AND(L141=1,OR(C141=0,IFERROR(INDEX($X$11:$X$60,C141),0)=0)),1,0)</ns0:f>
        <ns0:v>0</ns0:v>
      </ns0:c>
      <ns0:c r="N141" s="0">
        <ns0:f>IF(OR(A141=0,L141&gt;0,$B$6&gt;0,Bookings!G141="Cancelled"),0,G141)</ns0:f>
        <ns0:v>0</ns0:v>
      </ns0:c>
      <ns0:c r="O141" s="0">
        <ns0:f>IF(AND(Bookings!G141="Approved",E141="Yes"),N141,0)</ns0:f>
        <ns0:v>0</ns0:v>
      </ns0:c>
      <ns0:c r="P141" s="0">
        <ns0:f>IF(AND(Bookings!G141="Approved",E141="Yes",L141=0,$B$6=0),H141,0)</ns0:f>
        <ns0:v>0</ns0:v>
      </ns0:c>
      <ns0:c r="Q141" s="0">
        <ns0:f>IF(AND(Bookings!G141="Approved",E141="Yes",L141=0,$B$6=0),I141,0)</ns0:f>
        <ns0:v>0</ns0:v>
      </ns0:c>
      <ns0:c r="R141" s="0">
        <ns0:f>IF(AND(Bookings!G141="Pending",E141="Yes"),N141,0)</ns0:f>
        <ns0:v>0</ns0:v>
      </ns0:c>
      <ns0:c r="S141" s="0">
        <ns0:f>IF(AND(Bookings!G141="Approved",E141="No"),N141,0)</ns0:f>
        <ns0:v>0</ns0:v>
      </ns0:c>
      <ns0:c r="T141" s="0">
        <ns0:f>IFERROR(MATCH(D141,Settings!$G$7:$G$11,0),0)</ns0:f>
        <ns0:v>0</ns0:v>
      </ns0:c>
      <ns0:c r="U141" s="0">
        <ns0:f>IF(N141&gt;0,T141+IF(Bookings!G141="Pending",10,0),0)</ns0:f>
        <ns0:v>0</ns0:v>
      </ns0:c>
      <ns0:c r="V141" s="0">
        <ns0:f>U141</ns0:f>
        <ns0:v>0</ns0:v>
      </ns0:c>
      <ns0:c r="W141" s="0" t="str">
        <ns0:f>IF(C141=0,"",INDEX($AP$11:$AP$60,C141))</ns0:f>
        <ns0:v/>
      </ns0:c>
    </ns0:row>
    <ns0:row r="142">
      <ns0:c r="A142" s="0">
        <ns0:f>IF(COUNTA(Bookings!A142:G142,Bookings!I142)=0,0,1)</ns0:f>
        <ns0:v>0</ns0:v>
      </ns0:c>
      <ns0:c r="B142" s="0" t="str">
        <ns0:f>IFERROR(TRIM(MID(Bookings!A142,FIND(" · ",Bookings!A142)+3,99)),"")</ns0:f>
        <ns0:v/>
      </ns0:c>
      <ns0:c r="C142" s="0">
        <ns0:f>IF(OR(B142="",LEN(B142)&gt;24,ISNUMBER(FIND(" ",B142)),ISNUMBER(FIND("*",B142)),ISNUMBER(FIND("?",B142)),ISNUMBER(FIND("~",B142))),0,IFERROR(MATCH(B142,Team!$A$11:$A$60,0),0))</ns0:f>
        <ns0:v>0</ns0:v>
      </ns0:c>
      <ns0:c r="D142" s="0" t="str">
        <ns0:f>IFERROR(IF(MID(Bookings!F142,LEN(Bookings!F142)-3,3)=" · ",RIGHT(Bookings!F142,1),""),"")</ns0:f>
        <ns0:v/>
      </ns0:c>
      <ns0:c r="E142" s="0" t="str">
        <ns0:f>IFERROR(INDEX(Settings!$H$7:$H$11,MATCH(D142,Settings!$G$7:$G$11,0)),"")</ns0:f>
        <ns0:v/>
      </ns0:c>
      <ns0:c r="F142" s="0" t="str">
        <ns0:f>IF(A142=0,"",IFERROR(IF(OR(B142="",C142=0),"CHECK employee selection",IF(INDEX(Team!$O$11:$O$60,C142)&lt;&gt;"OK","CHECK employee setup",IF(OR('_Dates'!J142=0,'_Dates'!T142=0),"CHECK date: use DD.MM.YYYY",IF('_Dates'!T142&lt;'_Dates'!J142,"CHECK end before start",IF(AND($B$6=0,OR('_Dates'!J142&lt;Settings!$B$7,'_Dates'!T142&gt;Settings!$B$8)),"CHECK split across leave years",IF(OR(NOT(OR('_Dates'!U142="Full day",'_Dates'!U142="AM",'_Dates'!U142="PM")),NOT(OR('_Dates'!V142="Full day",'_Dates'!V142="AM",'_Dates'!V142="PM"))),"CHECK Full day / AM / PM",IF(AND('_Dates'!J142='_Dates'!T142,'_Dates'!U142&lt;&gt;"Full day",'_Dates'!V142&lt;&gt;"Full day",'_Dates'!U142&lt;&gt;'_Dates'!V142),"CHECK same-day portions disagree",IF(AND($B$6=0,OR(AND('_Dates'!U142&lt;&gt;"Full day",'_Dates'!AA142=0),AND('_Dates'!V142&lt;&gt;"Full day",'_Dates'!AB142=0))),"CHECK half-day on non-working date",IF(COUNTIF(Settings!$G$7:$G$11,D142)&lt;&gt;1,"CHECK leave type",IF(AND(Bookings!G142&lt;&gt;"Approved",Bookings!G142&lt;&gt;"Pending",Bookings!G142&lt;&gt;"Cancelled"),"CHECK status","OK")))))))))),"CHECK input"))</ns0:f>
        <ns0:v/>
      </ns0:c>
      <ns0:c r="G142" s="0">
        <ns0:f>IF(OR(F142&lt;&gt;"OK",$B$6&gt;0),0,0.5*(IF(('_Dates'!X142)&lt;('_Dates'!W142),0,INT((('_Dates'!X142)-('_Dates'!W142)+1)/7)*LEN(SUBSTITUTE(W142,"O",""))+LEN(SUBSTITUTE(MID(W142&amp;W142,WEEKDAY(('_Dates'!W142),2),MOD((('_Dates'!X142)-('_Dates'!W142)+1),7)),"O",""))-COUNTIFS(INDEX(AllClosureRows,C142,0),"&gt;="&amp;('_Dates'!W142),INDEX(AllClosureRows,C142,0),"&lt;="&amp;('_Dates'!X142)))+IF(('_Dates'!Z142)&lt;('_Dates'!Y142),0,INT((('_Dates'!Z142)-('_Dates'!Y142)+1)/7)*LEN(SUBSTITUTE(W142,"O",""))+LEN(SUBSTITUTE(MID(W142&amp;W142,WEEKDAY(('_Dates'!Y142),2),MOD((('_Dates'!Z142)-('_Dates'!Y142)+1),7)),"O",""))-COUNTIFS(INDEX(AllClosureRows,C142,0),"&gt;="&amp;('_Dates'!Y142),INDEX(AllClosureRows,C142,0),"&lt;="&amp;('_Dates'!Z142)))))</ns0:f>
        <ns0:v>0</ns0:v>
      </ns0:c>
      <ns0:c r="H142" s="0">
        <ns0:f>IF(OR(F142&lt;&gt;"OK",$B$6&gt;0),0,0.5*(IF((MIN('_Dates'!X142,Settings!$B$9))&lt;('_Dates'!W142),0,INT(((MIN('_Dates'!X142,Settings!$B$9))-('_Dates'!W142)+1)/7)*LEN(SUBSTITUTE(W142,"O",""))+LEN(SUBSTITUTE(MID(W142&amp;W142,WEEKDAY(('_Dates'!W142),2),MOD(((MIN('_Dates'!X142,Settings!$B$9))-('_Dates'!W142)+1),7)),"O",""))-COUNTIFS(INDEX(AllClosureRows,C142,0),"&gt;="&amp;('_Dates'!W142),INDEX(AllClosureRows,C142,0),"&lt;="&amp;(MIN('_Dates'!X142,Settings!$B$9))))+IF((MIN('_Dates'!Z142,Settings!$B$9))&lt;('_Dates'!Y142),0,INT(((MIN('_Dates'!Z142,Settings!$B$9))-('_Dates'!Y142)+1)/7)*LEN(SUBSTITUTE(W142,"O",""))+LEN(SUBSTITUTE(MID(W142&amp;W142,WEEKDAY(('_Dates'!Y142),2),MOD(((MIN('_Dates'!Z142,Settings!$B$9))-('_Dates'!Y142)+1),7)),"O",""))-COUNTIFS(INDEX(AllClosureRows,C142,0),"&gt;="&amp;('_Dates'!Y142),INDEX(AllClosureRows,C142,0),"&lt;="&amp;(MIN('_Dates'!Z142,Settings!$B$9))))))</ns0:f>
        <ns0:v>0</ns0:v>
      </ns0:c>
      <ns0:c r="I142" s="0">
        <ns0:f>MAX(0,G142-H142)</ns0:f>
        <ns0:v>0</ns0:v>
      </ns0:c>
      <ns0:c r="J142" s="0">
        <ns0:f>IF(OR(A142=0,F142&lt;&gt;"OK",Bookings!G142="Cancelled",$B$6&gt;0),0,IF('_Dates'!AC142=1,MAX(0,COUNTIFS(rngEngine_B,B142,rngAMStart,"&lt;="&amp;'_Dates'!X142,rngAMEnd,"&gt;="&amp;'_Dates'!W142,rngAMActive,1,rngEngine_F,"OK",rngBookings_F,"&lt;&gt;Cancelled")-1),0)+IF('_Dates'!AD142=1,MAX(0,COUNTIFS(rngEngine_B,B142,rngPMStart,"&lt;="&amp;'_Dates'!Z142,rngPMEnd,"&gt;="&amp;'_Dates'!Y142,rngPMActive,1,rngEngine_F,"OK",rngBookings_F,"&lt;&gt;Cancelled")-1),0))</ns0:f>
        <ns0:v>0</ns0:v>
      </ns0:c>
      <ns0:c r="K142" s="0" t="str">
        <ns0:f>IF(A142=0,"",IF(F142&lt;&gt;"OK",F142,IF(J142&gt;0,"CHECK overlapping entry",IF(AND($B$6=0,G142&lt;=0,Bookings!G142&lt;&gt;"Cancelled"),"CHECK no working days",IF(Bookings!G142="Cancelled","Cancelled","OK")))))</ns0:f>
        <ns0:v/>
      </ns0:c>
      <ns0:c r="L142" s="0">
        <ns0:f>IF(LEFT(K142,5)="CHECK",1,0)</ns0:f>
        <ns0:v>0</ns0:v>
      </ns0:c>
      <ns0:c r="M142" s="0">
        <ns0:f>IF(AND(L142=1,OR(C142=0,IFERROR(INDEX($X$11:$X$60,C142),0)=0)),1,0)</ns0:f>
        <ns0:v>0</ns0:v>
      </ns0:c>
      <ns0:c r="N142" s="0">
        <ns0:f>IF(OR(A142=0,L142&gt;0,$B$6&gt;0,Bookings!G142="Cancelled"),0,G142)</ns0:f>
        <ns0:v>0</ns0:v>
      </ns0:c>
      <ns0:c r="O142" s="0">
        <ns0:f>IF(AND(Bookings!G142="Approved",E142="Yes"),N142,0)</ns0:f>
        <ns0:v>0</ns0:v>
      </ns0:c>
      <ns0:c r="P142" s="0">
        <ns0:f>IF(AND(Bookings!G142="Approved",E142="Yes",L142=0,$B$6=0),H142,0)</ns0:f>
        <ns0:v>0</ns0:v>
      </ns0:c>
      <ns0:c r="Q142" s="0">
        <ns0:f>IF(AND(Bookings!G142="Approved",E142="Yes",L142=0,$B$6=0),I142,0)</ns0:f>
        <ns0:v>0</ns0:v>
      </ns0:c>
      <ns0:c r="R142" s="0">
        <ns0:f>IF(AND(Bookings!G142="Pending",E142="Yes"),N142,0)</ns0:f>
        <ns0:v>0</ns0:v>
      </ns0:c>
      <ns0:c r="S142" s="0">
        <ns0:f>IF(AND(Bookings!G142="Approved",E142="No"),N142,0)</ns0:f>
        <ns0:v>0</ns0:v>
      </ns0:c>
      <ns0:c r="T142" s="0">
        <ns0:f>IFERROR(MATCH(D142,Settings!$G$7:$G$11,0),0)</ns0:f>
        <ns0:v>0</ns0:v>
      </ns0:c>
      <ns0:c r="U142" s="0">
        <ns0:f>IF(N142&gt;0,T142+IF(Bookings!G142="Pending",10,0),0)</ns0:f>
        <ns0:v>0</ns0:v>
      </ns0:c>
      <ns0:c r="V142" s="0">
        <ns0:f>U142</ns0:f>
        <ns0:v>0</ns0:v>
      </ns0:c>
      <ns0:c r="W142" s="0" t="str">
        <ns0:f>IF(C142=0,"",INDEX($AP$11:$AP$60,C142))</ns0:f>
        <ns0:v/>
      </ns0:c>
    </ns0:row>
    <ns0:row r="143">
      <ns0:c r="A143" s="0">
        <ns0:f>IF(COUNTA(Bookings!A143:G143,Bookings!I143)=0,0,1)</ns0:f>
        <ns0:v>0</ns0:v>
      </ns0:c>
      <ns0:c r="B143" s="0" t="str">
        <ns0:f>IFERROR(TRIM(MID(Bookings!A143,FIND(" · ",Bookings!A143)+3,99)),"")</ns0:f>
        <ns0:v/>
      </ns0:c>
      <ns0:c r="C143" s="0">
        <ns0:f>IF(OR(B143="",LEN(B143)&gt;24,ISNUMBER(FIND(" ",B143)),ISNUMBER(FIND("*",B143)),ISNUMBER(FIND("?",B143)),ISNUMBER(FIND("~",B143))),0,IFERROR(MATCH(B143,Team!$A$11:$A$60,0),0))</ns0:f>
        <ns0:v>0</ns0:v>
      </ns0:c>
      <ns0:c r="D143" s="0" t="str">
        <ns0:f>IFERROR(IF(MID(Bookings!F143,LEN(Bookings!F143)-3,3)=" · ",RIGHT(Bookings!F143,1),""),"")</ns0:f>
        <ns0:v/>
      </ns0:c>
      <ns0:c r="E143" s="0" t="str">
        <ns0:f>IFERROR(INDEX(Settings!$H$7:$H$11,MATCH(D143,Settings!$G$7:$G$11,0)),"")</ns0:f>
        <ns0:v/>
      </ns0:c>
      <ns0:c r="F143" s="0" t="str">
        <ns0:f>IF(A143=0,"",IFERROR(IF(OR(B143="",C143=0),"CHECK employee selection",IF(INDEX(Team!$O$11:$O$60,C143)&lt;&gt;"OK","CHECK employee setup",IF(OR('_Dates'!J143=0,'_Dates'!T143=0),"CHECK date: use DD.MM.YYYY",IF('_Dates'!T143&lt;'_Dates'!J143,"CHECK end before start",IF(AND($B$6=0,OR('_Dates'!J143&lt;Settings!$B$7,'_Dates'!T143&gt;Settings!$B$8)),"CHECK split across leave years",IF(OR(NOT(OR('_Dates'!U143="Full day",'_Dates'!U143="AM",'_Dates'!U143="PM")),NOT(OR('_Dates'!V143="Full day",'_Dates'!V143="AM",'_Dates'!V143="PM"))),"CHECK Full day / AM / PM",IF(AND('_Dates'!J143='_Dates'!T143,'_Dates'!U143&lt;&gt;"Full day",'_Dates'!V143&lt;&gt;"Full day",'_Dates'!U143&lt;&gt;'_Dates'!V143),"CHECK same-day portions disagree",IF(AND($B$6=0,OR(AND('_Dates'!U143&lt;&gt;"Full day",'_Dates'!AA143=0),AND('_Dates'!V143&lt;&gt;"Full day",'_Dates'!AB143=0))),"CHECK half-day on non-working date",IF(COUNTIF(Settings!$G$7:$G$11,D143)&lt;&gt;1,"CHECK leave type",IF(AND(Bookings!G143&lt;&gt;"Approved",Bookings!G143&lt;&gt;"Pending",Bookings!G143&lt;&gt;"Cancelled"),"CHECK status","OK")))))))))),"CHECK input"))</ns0:f>
        <ns0:v/>
      </ns0:c>
      <ns0:c r="G143" s="0">
        <ns0:f>IF(OR(F143&lt;&gt;"OK",$B$6&gt;0),0,0.5*(IF(('_Dates'!X143)&lt;('_Dates'!W143),0,INT((('_Dates'!X143)-('_Dates'!W143)+1)/7)*LEN(SUBSTITUTE(W143,"O",""))+LEN(SUBSTITUTE(MID(W143&amp;W143,WEEKDAY(('_Dates'!W143),2),MOD((('_Dates'!X143)-('_Dates'!W143)+1),7)),"O",""))-COUNTIFS(INDEX(AllClosureRows,C143,0),"&gt;="&amp;('_Dates'!W143),INDEX(AllClosureRows,C143,0),"&lt;="&amp;('_Dates'!X143)))+IF(('_Dates'!Z143)&lt;('_Dates'!Y143),0,INT((('_Dates'!Z143)-('_Dates'!Y143)+1)/7)*LEN(SUBSTITUTE(W143,"O",""))+LEN(SUBSTITUTE(MID(W143&amp;W143,WEEKDAY(('_Dates'!Y143),2),MOD((('_Dates'!Z143)-('_Dates'!Y143)+1),7)),"O",""))-COUNTIFS(INDEX(AllClosureRows,C143,0),"&gt;="&amp;('_Dates'!Y143),INDEX(AllClosureRows,C143,0),"&lt;="&amp;('_Dates'!Z143)))))</ns0:f>
        <ns0:v>0</ns0:v>
      </ns0:c>
      <ns0:c r="H143" s="0">
        <ns0:f>IF(OR(F143&lt;&gt;"OK",$B$6&gt;0),0,0.5*(IF((MIN('_Dates'!X143,Settings!$B$9))&lt;('_Dates'!W143),0,INT(((MIN('_Dates'!X143,Settings!$B$9))-('_Dates'!W143)+1)/7)*LEN(SUBSTITUTE(W143,"O",""))+LEN(SUBSTITUTE(MID(W143&amp;W143,WEEKDAY(('_Dates'!W143),2),MOD(((MIN('_Dates'!X143,Settings!$B$9))-('_Dates'!W143)+1),7)),"O",""))-COUNTIFS(INDEX(AllClosureRows,C143,0),"&gt;="&amp;('_Dates'!W143),INDEX(AllClosureRows,C143,0),"&lt;="&amp;(MIN('_Dates'!X143,Settings!$B$9))))+IF((MIN('_Dates'!Z143,Settings!$B$9))&lt;('_Dates'!Y143),0,INT(((MIN('_Dates'!Z143,Settings!$B$9))-('_Dates'!Y143)+1)/7)*LEN(SUBSTITUTE(W143,"O",""))+LEN(SUBSTITUTE(MID(W143&amp;W143,WEEKDAY(('_Dates'!Y143),2),MOD(((MIN('_Dates'!Z143,Settings!$B$9))-('_Dates'!Y143)+1),7)),"O",""))-COUNTIFS(INDEX(AllClosureRows,C143,0),"&gt;="&amp;('_Dates'!Y143),INDEX(AllClosureRows,C143,0),"&lt;="&amp;(MIN('_Dates'!Z143,Settings!$B$9))))))</ns0:f>
        <ns0:v>0</ns0:v>
      </ns0:c>
      <ns0:c r="I143" s="0">
        <ns0:f>MAX(0,G143-H143)</ns0:f>
        <ns0:v>0</ns0:v>
      </ns0:c>
      <ns0:c r="J143" s="0">
        <ns0:f>IF(OR(A143=0,F143&lt;&gt;"OK",Bookings!G143="Cancelled",$B$6&gt;0),0,IF('_Dates'!AC143=1,MAX(0,COUNTIFS(rngEngine_B,B143,rngAMStart,"&lt;="&amp;'_Dates'!X143,rngAMEnd,"&gt;="&amp;'_Dates'!W143,rngAMActive,1,rngEngine_F,"OK",rngBookings_F,"&lt;&gt;Cancelled")-1),0)+IF('_Dates'!AD143=1,MAX(0,COUNTIFS(rngEngine_B,B143,rngPMStart,"&lt;="&amp;'_Dates'!Z143,rngPMEnd,"&gt;="&amp;'_Dates'!Y143,rngPMActive,1,rngEngine_F,"OK",rngBookings_F,"&lt;&gt;Cancelled")-1),0))</ns0:f>
        <ns0:v>0</ns0:v>
      </ns0:c>
      <ns0:c r="K143" s="0" t="str">
        <ns0:f>IF(A143=0,"",IF(F143&lt;&gt;"OK",F143,IF(J143&gt;0,"CHECK overlapping entry",IF(AND($B$6=0,G143&lt;=0,Bookings!G143&lt;&gt;"Cancelled"),"CHECK no working days",IF(Bookings!G143="Cancelled","Cancelled","OK")))))</ns0:f>
        <ns0:v/>
      </ns0:c>
      <ns0:c r="L143" s="0">
        <ns0:f>IF(LEFT(K143,5)="CHECK",1,0)</ns0:f>
        <ns0:v>0</ns0:v>
      </ns0:c>
      <ns0:c r="M143" s="0">
        <ns0:f>IF(AND(L143=1,OR(C143=0,IFERROR(INDEX($X$11:$X$60,C143),0)=0)),1,0)</ns0:f>
        <ns0:v>0</ns0:v>
      </ns0:c>
      <ns0:c r="N143" s="0">
        <ns0:f>IF(OR(A143=0,L143&gt;0,$B$6&gt;0,Bookings!G143="Cancelled"),0,G143)</ns0:f>
        <ns0:v>0</ns0:v>
      </ns0:c>
      <ns0:c r="O143" s="0">
        <ns0:f>IF(AND(Bookings!G143="Approved",E143="Yes"),N143,0)</ns0:f>
        <ns0:v>0</ns0:v>
      </ns0:c>
      <ns0:c r="P143" s="0">
        <ns0:f>IF(AND(Bookings!G143="Approved",E143="Yes",L143=0,$B$6=0),H143,0)</ns0:f>
        <ns0:v>0</ns0:v>
      </ns0:c>
      <ns0:c r="Q143" s="0">
        <ns0:f>IF(AND(Bookings!G143="Approved",E143="Yes",L143=0,$B$6=0),I143,0)</ns0:f>
        <ns0:v>0</ns0:v>
      </ns0:c>
      <ns0:c r="R143" s="0">
        <ns0:f>IF(AND(Bookings!G143="Pending",E143="Yes"),N143,0)</ns0:f>
        <ns0:v>0</ns0:v>
      </ns0:c>
      <ns0:c r="S143" s="0">
        <ns0:f>IF(AND(Bookings!G143="Approved",E143="No"),N143,0)</ns0:f>
        <ns0:v>0</ns0:v>
      </ns0:c>
      <ns0:c r="T143" s="0">
        <ns0:f>IFERROR(MATCH(D143,Settings!$G$7:$G$11,0),0)</ns0:f>
        <ns0:v>0</ns0:v>
      </ns0:c>
      <ns0:c r="U143" s="0">
        <ns0:f>IF(N143&gt;0,T143+IF(Bookings!G143="Pending",10,0),0)</ns0:f>
        <ns0:v>0</ns0:v>
      </ns0:c>
      <ns0:c r="V143" s="0">
        <ns0:f>U143</ns0:f>
        <ns0:v>0</ns0:v>
      </ns0:c>
      <ns0:c r="W143" s="0" t="str">
        <ns0:f>IF(C143=0,"",INDEX($AP$11:$AP$60,C143))</ns0:f>
        <ns0:v/>
      </ns0:c>
    </ns0:row>
    <ns0:row r="144">
      <ns0:c r="A144" s="0">
        <ns0:f>IF(COUNTA(Bookings!A144:G144,Bookings!I144)=0,0,1)</ns0:f>
        <ns0:v>0</ns0:v>
      </ns0:c>
      <ns0:c r="B144" s="0" t="str">
        <ns0:f>IFERROR(TRIM(MID(Bookings!A144,FIND(" · ",Bookings!A144)+3,99)),"")</ns0:f>
        <ns0:v/>
      </ns0:c>
      <ns0:c r="C144" s="0">
        <ns0:f>IF(OR(B144="",LEN(B144)&gt;24,ISNUMBER(FIND(" ",B144)),ISNUMBER(FIND("*",B144)),ISNUMBER(FIND("?",B144)),ISNUMBER(FIND("~",B144))),0,IFERROR(MATCH(B144,Team!$A$11:$A$60,0),0))</ns0:f>
        <ns0:v>0</ns0:v>
      </ns0:c>
      <ns0:c r="D144" s="0" t="str">
        <ns0:f>IFERROR(IF(MID(Bookings!F144,LEN(Bookings!F144)-3,3)=" · ",RIGHT(Bookings!F144,1),""),"")</ns0:f>
        <ns0:v/>
      </ns0:c>
      <ns0:c r="E144" s="0" t="str">
        <ns0:f>IFERROR(INDEX(Settings!$H$7:$H$11,MATCH(D144,Settings!$G$7:$G$11,0)),"")</ns0:f>
        <ns0:v/>
      </ns0:c>
      <ns0:c r="F144" s="0" t="str">
        <ns0:f>IF(A144=0,"",IFERROR(IF(OR(B144="",C144=0),"CHECK employee selection",IF(INDEX(Team!$O$11:$O$60,C144)&lt;&gt;"OK","CHECK employee setup",IF(OR('_Dates'!J144=0,'_Dates'!T144=0),"CHECK date: use DD.MM.YYYY",IF('_Dates'!T144&lt;'_Dates'!J144,"CHECK end before start",IF(AND($B$6=0,OR('_Dates'!J144&lt;Settings!$B$7,'_Dates'!T144&gt;Settings!$B$8)),"CHECK split across leave years",IF(OR(NOT(OR('_Dates'!U144="Full day",'_Dates'!U144="AM",'_Dates'!U144="PM")),NOT(OR('_Dates'!V144="Full day",'_Dates'!V144="AM",'_Dates'!V144="PM"))),"CHECK Full day / AM / PM",IF(AND('_Dates'!J144='_Dates'!T144,'_Dates'!U144&lt;&gt;"Full day",'_Dates'!V144&lt;&gt;"Full day",'_Dates'!U144&lt;&gt;'_Dates'!V144),"CHECK same-day portions disagree",IF(AND($B$6=0,OR(AND('_Dates'!U144&lt;&gt;"Full day",'_Dates'!AA144=0),AND('_Dates'!V144&lt;&gt;"Full day",'_Dates'!AB144=0))),"CHECK half-day on non-working date",IF(COUNTIF(Settings!$G$7:$G$11,D144)&lt;&gt;1,"CHECK leave type",IF(AND(Bookings!G144&lt;&gt;"Approved",Bookings!G144&lt;&gt;"Pending",Bookings!G144&lt;&gt;"Cancelled"),"CHECK status","OK")))))))))),"CHECK input"))</ns0:f>
        <ns0:v/>
      </ns0:c>
      <ns0:c r="G144" s="0">
        <ns0:f>IF(OR(F144&lt;&gt;"OK",$B$6&gt;0),0,0.5*(IF(('_Dates'!X144)&lt;('_Dates'!W144),0,INT((('_Dates'!X144)-('_Dates'!W144)+1)/7)*LEN(SUBSTITUTE(W144,"O",""))+LEN(SUBSTITUTE(MID(W144&amp;W144,WEEKDAY(('_Dates'!W144),2),MOD((('_Dates'!X144)-('_Dates'!W144)+1),7)),"O",""))-COUNTIFS(INDEX(AllClosureRows,C144,0),"&gt;="&amp;('_Dates'!W144),INDEX(AllClosureRows,C144,0),"&lt;="&amp;('_Dates'!X144)))+IF(('_Dates'!Z144)&lt;('_Dates'!Y144),0,INT((('_Dates'!Z144)-('_Dates'!Y144)+1)/7)*LEN(SUBSTITUTE(W144,"O",""))+LEN(SUBSTITUTE(MID(W144&amp;W144,WEEKDAY(('_Dates'!Y144),2),MOD((('_Dates'!Z144)-('_Dates'!Y144)+1),7)),"O",""))-COUNTIFS(INDEX(AllClosureRows,C144,0),"&gt;="&amp;('_Dates'!Y144),INDEX(AllClosureRows,C144,0),"&lt;="&amp;('_Dates'!Z144)))))</ns0:f>
        <ns0:v>0</ns0:v>
      </ns0:c>
      <ns0:c r="H144" s="0">
        <ns0:f>IF(OR(F144&lt;&gt;"OK",$B$6&gt;0),0,0.5*(IF((MIN('_Dates'!X144,Settings!$B$9))&lt;('_Dates'!W144),0,INT(((MIN('_Dates'!X144,Settings!$B$9))-('_Dates'!W144)+1)/7)*LEN(SUBSTITUTE(W144,"O",""))+LEN(SUBSTITUTE(MID(W144&amp;W144,WEEKDAY(('_Dates'!W144),2),MOD(((MIN('_Dates'!X144,Settings!$B$9))-('_Dates'!W144)+1),7)),"O",""))-COUNTIFS(INDEX(AllClosureRows,C144,0),"&gt;="&amp;('_Dates'!W144),INDEX(AllClosureRows,C144,0),"&lt;="&amp;(MIN('_Dates'!X144,Settings!$B$9))))+IF((MIN('_Dates'!Z144,Settings!$B$9))&lt;('_Dates'!Y144),0,INT(((MIN('_Dates'!Z144,Settings!$B$9))-('_Dates'!Y144)+1)/7)*LEN(SUBSTITUTE(W144,"O",""))+LEN(SUBSTITUTE(MID(W144&amp;W144,WEEKDAY(('_Dates'!Y144),2),MOD(((MIN('_Dates'!Z144,Settings!$B$9))-('_Dates'!Y144)+1),7)),"O",""))-COUNTIFS(INDEX(AllClosureRows,C144,0),"&gt;="&amp;('_Dates'!Y144),INDEX(AllClosureRows,C144,0),"&lt;="&amp;(MIN('_Dates'!Z144,Settings!$B$9))))))</ns0:f>
        <ns0:v>0</ns0:v>
      </ns0:c>
      <ns0:c r="I144" s="0">
        <ns0:f>MAX(0,G144-H144)</ns0:f>
        <ns0:v>0</ns0:v>
      </ns0:c>
      <ns0:c r="J144" s="0">
        <ns0:f>IF(OR(A144=0,F144&lt;&gt;"OK",Bookings!G144="Cancelled",$B$6&gt;0),0,IF('_Dates'!AC144=1,MAX(0,COUNTIFS(rngEngine_B,B144,rngAMStart,"&lt;="&amp;'_Dates'!X144,rngAMEnd,"&gt;="&amp;'_Dates'!W144,rngAMActive,1,rngEngine_F,"OK",rngBookings_F,"&lt;&gt;Cancelled")-1),0)+IF('_Dates'!AD144=1,MAX(0,COUNTIFS(rngEngine_B,B144,rngPMStart,"&lt;="&amp;'_Dates'!Z144,rngPMEnd,"&gt;="&amp;'_Dates'!Y144,rngPMActive,1,rngEngine_F,"OK",rngBookings_F,"&lt;&gt;Cancelled")-1),0))</ns0:f>
        <ns0:v>0</ns0:v>
      </ns0:c>
      <ns0:c r="K144" s="0" t="str">
        <ns0:f>IF(A144=0,"",IF(F144&lt;&gt;"OK",F144,IF(J144&gt;0,"CHECK overlapping entry",IF(AND($B$6=0,G144&lt;=0,Bookings!G144&lt;&gt;"Cancelled"),"CHECK no working days",IF(Bookings!G144="Cancelled","Cancelled","OK")))))</ns0:f>
        <ns0:v/>
      </ns0:c>
      <ns0:c r="L144" s="0">
        <ns0:f>IF(LEFT(K144,5)="CHECK",1,0)</ns0:f>
        <ns0:v>0</ns0:v>
      </ns0:c>
      <ns0:c r="M144" s="0">
        <ns0:f>IF(AND(L144=1,OR(C144=0,IFERROR(INDEX($X$11:$X$60,C144),0)=0)),1,0)</ns0:f>
        <ns0:v>0</ns0:v>
      </ns0:c>
      <ns0:c r="N144" s="0">
        <ns0:f>IF(OR(A144=0,L144&gt;0,$B$6&gt;0,Bookings!G144="Cancelled"),0,G144)</ns0:f>
        <ns0:v>0</ns0:v>
      </ns0:c>
      <ns0:c r="O144" s="0">
        <ns0:f>IF(AND(Bookings!G144="Approved",E144="Yes"),N144,0)</ns0:f>
        <ns0:v>0</ns0:v>
      </ns0:c>
      <ns0:c r="P144" s="0">
        <ns0:f>IF(AND(Bookings!G144="Approved",E144="Yes",L144=0,$B$6=0),H144,0)</ns0:f>
        <ns0:v>0</ns0:v>
      </ns0:c>
      <ns0:c r="Q144" s="0">
        <ns0:f>IF(AND(Bookings!G144="Approved",E144="Yes",L144=0,$B$6=0),I144,0)</ns0:f>
        <ns0:v>0</ns0:v>
      </ns0:c>
      <ns0:c r="R144" s="0">
        <ns0:f>IF(AND(Bookings!G144="Pending",E144="Yes"),N144,0)</ns0:f>
        <ns0:v>0</ns0:v>
      </ns0:c>
      <ns0:c r="S144" s="0">
        <ns0:f>IF(AND(Bookings!G144="Approved",E144="No"),N144,0)</ns0:f>
        <ns0:v>0</ns0:v>
      </ns0:c>
      <ns0:c r="T144" s="0">
        <ns0:f>IFERROR(MATCH(D144,Settings!$G$7:$G$11,0),0)</ns0:f>
        <ns0:v>0</ns0:v>
      </ns0:c>
      <ns0:c r="U144" s="0">
        <ns0:f>IF(N144&gt;0,T144+IF(Bookings!G144="Pending",10,0),0)</ns0:f>
        <ns0:v>0</ns0:v>
      </ns0:c>
      <ns0:c r="V144" s="0">
        <ns0:f>U144</ns0:f>
        <ns0:v>0</ns0:v>
      </ns0:c>
      <ns0:c r="W144" s="0" t="str">
        <ns0:f>IF(C144=0,"",INDEX($AP$11:$AP$60,C144))</ns0:f>
        <ns0:v/>
      </ns0:c>
    </ns0:row>
    <ns0:row r="145">
      <ns0:c r="A145" s="0">
        <ns0:f>IF(COUNTA(Bookings!A145:G145,Bookings!I145)=0,0,1)</ns0:f>
        <ns0:v>0</ns0:v>
      </ns0:c>
      <ns0:c r="B145" s="0" t="str">
        <ns0:f>IFERROR(TRIM(MID(Bookings!A145,FIND(" · ",Bookings!A145)+3,99)),"")</ns0:f>
        <ns0:v/>
      </ns0:c>
      <ns0:c r="C145" s="0">
        <ns0:f>IF(OR(B145="",LEN(B145)&gt;24,ISNUMBER(FIND(" ",B145)),ISNUMBER(FIND("*",B145)),ISNUMBER(FIND("?",B145)),ISNUMBER(FIND("~",B145))),0,IFERROR(MATCH(B145,Team!$A$11:$A$60,0),0))</ns0:f>
        <ns0:v>0</ns0:v>
      </ns0:c>
      <ns0:c r="D145" s="0" t="str">
        <ns0:f>IFERROR(IF(MID(Bookings!F145,LEN(Bookings!F145)-3,3)=" · ",RIGHT(Bookings!F145,1),""),"")</ns0:f>
        <ns0:v/>
      </ns0:c>
      <ns0:c r="E145" s="0" t="str">
        <ns0:f>IFERROR(INDEX(Settings!$H$7:$H$11,MATCH(D145,Settings!$G$7:$G$11,0)),"")</ns0:f>
        <ns0:v/>
      </ns0:c>
      <ns0:c r="F145" s="0" t="str">
        <ns0:f>IF(A145=0,"",IFERROR(IF(OR(B145="",C145=0),"CHECK employee selection",IF(INDEX(Team!$O$11:$O$60,C145)&lt;&gt;"OK","CHECK employee setup",IF(OR('_Dates'!J145=0,'_Dates'!T145=0),"CHECK date: use DD.MM.YYYY",IF('_Dates'!T145&lt;'_Dates'!J145,"CHECK end before start",IF(AND($B$6=0,OR('_Dates'!J145&lt;Settings!$B$7,'_Dates'!T145&gt;Settings!$B$8)),"CHECK split across leave years",IF(OR(NOT(OR('_Dates'!U145="Full day",'_Dates'!U145="AM",'_Dates'!U145="PM")),NOT(OR('_Dates'!V145="Full day",'_Dates'!V145="AM",'_Dates'!V145="PM"))),"CHECK Full day / AM / PM",IF(AND('_Dates'!J145='_Dates'!T145,'_Dates'!U145&lt;&gt;"Full day",'_Dates'!V145&lt;&gt;"Full day",'_Dates'!U145&lt;&gt;'_Dates'!V145),"CHECK same-day portions disagree",IF(AND($B$6=0,OR(AND('_Dates'!U145&lt;&gt;"Full day",'_Dates'!AA145=0),AND('_Dates'!V145&lt;&gt;"Full day",'_Dates'!AB145=0))),"CHECK half-day on non-working date",IF(COUNTIF(Settings!$G$7:$G$11,D145)&lt;&gt;1,"CHECK leave type",IF(AND(Bookings!G145&lt;&gt;"Approved",Bookings!G145&lt;&gt;"Pending",Bookings!G145&lt;&gt;"Cancelled"),"CHECK status","OK")))))))))),"CHECK input"))</ns0:f>
        <ns0:v/>
      </ns0:c>
      <ns0:c r="G145" s="0">
        <ns0:f>IF(OR(F145&lt;&gt;"OK",$B$6&gt;0),0,0.5*(IF(('_Dates'!X145)&lt;('_Dates'!W145),0,INT((('_Dates'!X145)-('_Dates'!W145)+1)/7)*LEN(SUBSTITUTE(W145,"O",""))+LEN(SUBSTITUTE(MID(W145&amp;W145,WEEKDAY(('_Dates'!W145),2),MOD((('_Dates'!X145)-('_Dates'!W145)+1),7)),"O",""))-COUNTIFS(INDEX(AllClosureRows,C145,0),"&gt;="&amp;('_Dates'!W145),INDEX(AllClosureRows,C145,0),"&lt;="&amp;('_Dates'!X145)))+IF(('_Dates'!Z145)&lt;('_Dates'!Y145),0,INT((('_Dates'!Z145)-('_Dates'!Y145)+1)/7)*LEN(SUBSTITUTE(W145,"O",""))+LEN(SUBSTITUTE(MID(W145&amp;W145,WEEKDAY(('_Dates'!Y145),2),MOD((('_Dates'!Z145)-('_Dates'!Y145)+1),7)),"O",""))-COUNTIFS(INDEX(AllClosureRows,C145,0),"&gt;="&amp;('_Dates'!Y145),INDEX(AllClosureRows,C145,0),"&lt;="&amp;('_Dates'!Z145)))))</ns0:f>
        <ns0:v>0</ns0:v>
      </ns0:c>
      <ns0:c r="H145" s="0">
        <ns0:f>IF(OR(F145&lt;&gt;"OK",$B$6&gt;0),0,0.5*(IF((MIN('_Dates'!X145,Settings!$B$9))&lt;('_Dates'!W145),0,INT(((MIN('_Dates'!X145,Settings!$B$9))-('_Dates'!W145)+1)/7)*LEN(SUBSTITUTE(W145,"O",""))+LEN(SUBSTITUTE(MID(W145&amp;W145,WEEKDAY(('_Dates'!W145),2),MOD(((MIN('_Dates'!X145,Settings!$B$9))-('_Dates'!W145)+1),7)),"O",""))-COUNTIFS(INDEX(AllClosureRows,C145,0),"&gt;="&amp;('_Dates'!W145),INDEX(AllClosureRows,C145,0),"&lt;="&amp;(MIN('_Dates'!X145,Settings!$B$9))))+IF((MIN('_Dates'!Z145,Settings!$B$9))&lt;('_Dates'!Y145),0,INT(((MIN('_Dates'!Z145,Settings!$B$9))-('_Dates'!Y145)+1)/7)*LEN(SUBSTITUTE(W145,"O",""))+LEN(SUBSTITUTE(MID(W145&amp;W145,WEEKDAY(('_Dates'!Y145),2),MOD(((MIN('_Dates'!Z145,Settings!$B$9))-('_Dates'!Y145)+1),7)),"O",""))-COUNTIFS(INDEX(AllClosureRows,C145,0),"&gt;="&amp;('_Dates'!Y145),INDEX(AllClosureRows,C145,0),"&lt;="&amp;(MIN('_Dates'!Z145,Settings!$B$9))))))</ns0:f>
        <ns0:v>0</ns0:v>
      </ns0:c>
      <ns0:c r="I145" s="0">
        <ns0:f>MAX(0,G145-H145)</ns0:f>
        <ns0:v>0</ns0:v>
      </ns0:c>
      <ns0:c r="J145" s="0">
        <ns0:f>IF(OR(A145=0,F145&lt;&gt;"OK",Bookings!G145="Cancelled",$B$6&gt;0),0,IF('_Dates'!AC145=1,MAX(0,COUNTIFS(rngEngine_B,B145,rngAMStart,"&lt;="&amp;'_Dates'!X145,rngAMEnd,"&gt;="&amp;'_Dates'!W145,rngAMActive,1,rngEngine_F,"OK",rngBookings_F,"&lt;&gt;Cancelled")-1),0)+IF('_Dates'!AD145=1,MAX(0,COUNTIFS(rngEngine_B,B145,rngPMStart,"&lt;="&amp;'_Dates'!Z145,rngPMEnd,"&gt;="&amp;'_Dates'!Y145,rngPMActive,1,rngEngine_F,"OK",rngBookings_F,"&lt;&gt;Cancelled")-1),0))</ns0:f>
        <ns0:v>0</ns0:v>
      </ns0:c>
      <ns0:c r="K145" s="0" t="str">
        <ns0:f>IF(A145=0,"",IF(F145&lt;&gt;"OK",F145,IF(J145&gt;0,"CHECK overlapping entry",IF(AND($B$6=0,G145&lt;=0,Bookings!G145&lt;&gt;"Cancelled"),"CHECK no working days",IF(Bookings!G145="Cancelled","Cancelled","OK")))))</ns0:f>
        <ns0:v/>
      </ns0:c>
      <ns0:c r="L145" s="0">
        <ns0:f>IF(LEFT(K145,5)="CHECK",1,0)</ns0:f>
        <ns0:v>0</ns0:v>
      </ns0:c>
      <ns0:c r="M145" s="0">
        <ns0:f>IF(AND(L145=1,OR(C145=0,IFERROR(INDEX($X$11:$X$60,C145),0)=0)),1,0)</ns0:f>
        <ns0:v>0</ns0:v>
      </ns0:c>
      <ns0:c r="N145" s="0">
        <ns0:f>IF(OR(A145=0,L145&gt;0,$B$6&gt;0,Bookings!G145="Cancelled"),0,G145)</ns0:f>
        <ns0:v>0</ns0:v>
      </ns0:c>
      <ns0:c r="O145" s="0">
        <ns0:f>IF(AND(Bookings!G145="Approved",E145="Yes"),N145,0)</ns0:f>
        <ns0:v>0</ns0:v>
      </ns0:c>
      <ns0:c r="P145" s="0">
        <ns0:f>IF(AND(Bookings!G145="Approved",E145="Yes",L145=0,$B$6=0),H145,0)</ns0:f>
        <ns0:v>0</ns0:v>
      </ns0:c>
      <ns0:c r="Q145" s="0">
        <ns0:f>IF(AND(Bookings!G145="Approved",E145="Yes",L145=0,$B$6=0),I145,0)</ns0:f>
        <ns0:v>0</ns0:v>
      </ns0:c>
      <ns0:c r="R145" s="0">
        <ns0:f>IF(AND(Bookings!G145="Pending",E145="Yes"),N145,0)</ns0:f>
        <ns0:v>0</ns0:v>
      </ns0:c>
      <ns0:c r="S145" s="0">
        <ns0:f>IF(AND(Bookings!G145="Approved",E145="No"),N145,0)</ns0:f>
        <ns0:v>0</ns0:v>
      </ns0:c>
      <ns0:c r="T145" s="0">
        <ns0:f>IFERROR(MATCH(D145,Settings!$G$7:$G$11,0),0)</ns0:f>
        <ns0:v>0</ns0:v>
      </ns0:c>
      <ns0:c r="U145" s="0">
        <ns0:f>IF(N145&gt;0,T145+IF(Bookings!G145="Pending",10,0),0)</ns0:f>
        <ns0:v>0</ns0:v>
      </ns0:c>
      <ns0:c r="V145" s="0">
        <ns0:f>U145</ns0:f>
        <ns0:v>0</ns0:v>
      </ns0:c>
      <ns0:c r="W145" s="0" t="str">
        <ns0:f>IF(C145=0,"",INDEX($AP$11:$AP$60,C145))</ns0:f>
        <ns0:v/>
      </ns0:c>
    </ns0:row>
    <ns0:row r="146">
      <ns0:c r="A146" s="0">
        <ns0:f>IF(COUNTA(Bookings!A146:G146,Bookings!I146)=0,0,1)</ns0:f>
        <ns0:v>0</ns0:v>
      </ns0:c>
      <ns0:c r="B146" s="0" t="str">
        <ns0:f>IFERROR(TRIM(MID(Bookings!A146,FIND(" · ",Bookings!A146)+3,99)),"")</ns0:f>
        <ns0:v/>
      </ns0:c>
      <ns0:c r="C146" s="0">
        <ns0:f>IF(OR(B146="",LEN(B146)&gt;24,ISNUMBER(FIND(" ",B146)),ISNUMBER(FIND("*",B146)),ISNUMBER(FIND("?",B146)),ISNUMBER(FIND("~",B146))),0,IFERROR(MATCH(B146,Team!$A$11:$A$60,0),0))</ns0:f>
        <ns0:v>0</ns0:v>
      </ns0:c>
      <ns0:c r="D146" s="0" t="str">
        <ns0:f>IFERROR(IF(MID(Bookings!F146,LEN(Bookings!F146)-3,3)=" · ",RIGHT(Bookings!F146,1),""),"")</ns0:f>
        <ns0:v/>
      </ns0:c>
      <ns0:c r="E146" s="0" t="str">
        <ns0:f>IFERROR(INDEX(Settings!$H$7:$H$11,MATCH(D146,Settings!$G$7:$G$11,0)),"")</ns0:f>
        <ns0:v/>
      </ns0:c>
      <ns0:c r="F146" s="0" t="str">
        <ns0:f>IF(A146=0,"",IFERROR(IF(OR(B146="",C146=0),"CHECK employee selection",IF(INDEX(Team!$O$11:$O$60,C146)&lt;&gt;"OK","CHECK employee setup",IF(OR('_Dates'!J146=0,'_Dates'!T146=0),"CHECK date: use DD.MM.YYYY",IF('_Dates'!T146&lt;'_Dates'!J146,"CHECK end before start",IF(AND($B$6=0,OR('_Dates'!J146&lt;Settings!$B$7,'_Dates'!T146&gt;Settings!$B$8)),"CHECK split across leave years",IF(OR(NOT(OR('_Dates'!U146="Full day",'_Dates'!U146="AM",'_Dates'!U146="PM")),NOT(OR('_Dates'!V146="Full day",'_Dates'!V146="AM",'_Dates'!V146="PM"))),"CHECK Full day / AM / PM",IF(AND('_Dates'!J146='_Dates'!T146,'_Dates'!U146&lt;&gt;"Full day",'_Dates'!V146&lt;&gt;"Full day",'_Dates'!U146&lt;&gt;'_Dates'!V146),"CHECK same-day portions disagree",IF(AND($B$6=0,OR(AND('_Dates'!U146&lt;&gt;"Full day",'_Dates'!AA146=0),AND('_Dates'!V146&lt;&gt;"Full day",'_Dates'!AB146=0))),"CHECK half-day on non-working date",IF(COUNTIF(Settings!$G$7:$G$11,D146)&lt;&gt;1,"CHECK leave type",IF(AND(Bookings!G146&lt;&gt;"Approved",Bookings!G146&lt;&gt;"Pending",Bookings!G146&lt;&gt;"Cancelled"),"CHECK status","OK")))))))))),"CHECK input"))</ns0:f>
        <ns0:v/>
      </ns0:c>
      <ns0:c r="G146" s="0">
        <ns0:f>IF(OR(F146&lt;&gt;"OK",$B$6&gt;0),0,0.5*(IF(('_Dates'!X146)&lt;('_Dates'!W146),0,INT((('_Dates'!X146)-('_Dates'!W146)+1)/7)*LEN(SUBSTITUTE(W146,"O",""))+LEN(SUBSTITUTE(MID(W146&amp;W146,WEEKDAY(('_Dates'!W146),2),MOD((('_Dates'!X146)-('_Dates'!W146)+1),7)),"O",""))-COUNTIFS(INDEX(AllClosureRows,C146,0),"&gt;="&amp;('_Dates'!W146),INDEX(AllClosureRows,C146,0),"&lt;="&amp;('_Dates'!X146)))+IF(('_Dates'!Z146)&lt;('_Dates'!Y146),0,INT((('_Dates'!Z146)-('_Dates'!Y146)+1)/7)*LEN(SUBSTITUTE(W146,"O",""))+LEN(SUBSTITUTE(MID(W146&amp;W146,WEEKDAY(('_Dates'!Y146),2),MOD((('_Dates'!Z146)-('_Dates'!Y146)+1),7)),"O",""))-COUNTIFS(INDEX(AllClosureRows,C146,0),"&gt;="&amp;('_Dates'!Y146),INDEX(AllClosureRows,C146,0),"&lt;="&amp;('_Dates'!Z146)))))</ns0:f>
        <ns0:v>0</ns0:v>
      </ns0:c>
      <ns0:c r="H146" s="0">
        <ns0:f>IF(OR(F146&lt;&gt;"OK",$B$6&gt;0),0,0.5*(IF((MIN('_Dates'!X146,Settings!$B$9))&lt;('_Dates'!W146),0,INT(((MIN('_Dates'!X146,Settings!$B$9))-('_Dates'!W146)+1)/7)*LEN(SUBSTITUTE(W146,"O",""))+LEN(SUBSTITUTE(MID(W146&amp;W146,WEEKDAY(('_Dates'!W146),2),MOD(((MIN('_Dates'!X146,Settings!$B$9))-('_Dates'!W146)+1),7)),"O",""))-COUNTIFS(INDEX(AllClosureRows,C146,0),"&gt;="&amp;('_Dates'!W146),INDEX(AllClosureRows,C146,0),"&lt;="&amp;(MIN('_Dates'!X146,Settings!$B$9))))+IF((MIN('_Dates'!Z146,Settings!$B$9))&lt;('_Dates'!Y146),0,INT(((MIN('_Dates'!Z146,Settings!$B$9))-('_Dates'!Y146)+1)/7)*LEN(SUBSTITUTE(W146,"O",""))+LEN(SUBSTITUTE(MID(W146&amp;W146,WEEKDAY(('_Dates'!Y146),2),MOD(((MIN('_Dates'!Z146,Settings!$B$9))-('_Dates'!Y146)+1),7)),"O",""))-COUNTIFS(INDEX(AllClosureRows,C146,0),"&gt;="&amp;('_Dates'!Y146),INDEX(AllClosureRows,C146,0),"&lt;="&amp;(MIN('_Dates'!Z146,Settings!$B$9))))))</ns0:f>
        <ns0:v>0</ns0:v>
      </ns0:c>
      <ns0:c r="I146" s="0">
        <ns0:f>MAX(0,G146-H146)</ns0:f>
        <ns0:v>0</ns0:v>
      </ns0:c>
      <ns0:c r="J146" s="0">
        <ns0:f>IF(OR(A146=0,F146&lt;&gt;"OK",Bookings!G146="Cancelled",$B$6&gt;0),0,IF('_Dates'!AC146=1,MAX(0,COUNTIFS(rngEngine_B,B146,rngAMStart,"&lt;="&amp;'_Dates'!X146,rngAMEnd,"&gt;="&amp;'_Dates'!W146,rngAMActive,1,rngEngine_F,"OK",rngBookings_F,"&lt;&gt;Cancelled")-1),0)+IF('_Dates'!AD146=1,MAX(0,COUNTIFS(rngEngine_B,B146,rngPMStart,"&lt;="&amp;'_Dates'!Z146,rngPMEnd,"&gt;="&amp;'_Dates'!Y146,rngPMActive,1,rngEngine_F,"OK",rngBookings_F,"&lt;&gt;Cancelled")-1),0))</ns0:f>
        <ns0:v>0</ns0:v>
      </ns0:c>
      <ns0:c r="K146" s="0" t="str">
        <ns0:f>IF(A146=0,"",IF(F146&lt;&gt;"OK",F146,IF(J146&gt;0,"CHECK overlapping entry",IF(AND($B$6=0,G146&lt;=0,Bookings!G146&lt;&gt;"Cancelled"),"CHECK no working days",IF(Bookings!G146="Cancelled","Cancelled","OK")))))</ns0:f>
        <ns0:v/>
      </ns0:c>
      <ns0:c r="L146" s="0">
        <ns0:f>IF(LEFT(K146,5)="CHECK",1,0)</ns0:f>
        <ns0:v>0</ns0:v>
      </ns0:c>
      <ns0:c r="M146" s="0">
        <ns0:f>IF(AND(L146=1,OR(C146=0,IFERROR(INDEX($X$11:$X$60,C146),0)=0)),1,0)</ns0:f>
        <ns0:v>0</ns0:v>
      </ns0:c>
      <ns0:c r="N146" s="0">
        <ns0:f>IF(OR(A146=0,L146&gt;0,$B$6&gt;0,Bookings!G146="Cancelled"),0,G146)</ns0:f>
        <ns0:v>0</ns0:v>
      </ns0:c>
      <ns0:c r="O146" s="0">
        <ns0:f>IF(AND(Bookings!G146="Approved",E146="Yes"),N146,0)</ns0:f>
        <ns0:v>0</ns0:v>
      </ns0:c>
      <ns0:c r="P146" s="0">
        <ns0:f>IF(AND(Bookings!G146="Approved",E146="Yes",L146=0,$B$6=0),H146,0)</ns0:f>
        <ns0:v>0</ns0:v>
      </ns0:c>
      <ns0:c r="Q146" s="0">
        <ns0:f>IF(AND(Bookings!G146="Approved",E146="Yes",L146=0,$B$6=0),I146,0)</ns0:f>
        <ns0:v>0</ns0:v>
      </ns0:c>
      <ns0:c r="R146" s="0">
        <ns0:f>IF(AND(Bookings!G146="Pending",E146="Yes"),N146,0)</ns0:f>
        <ns0:v>0</ns0:v>
      </ns0:c>
      <ns0:c r="S146" s="0">
        <ns0:f>IF(AND(Bookings!G146="Approved",E146="No"),N146,0)</ns0:f>
        <ns0:v>0</ns0:v>
      </ns0:c>
      <ns0:c r="T146" s="0">
        <ns0:f>IFERROR(MATCH(D146,Settings!$G$7:$G$11,0),0)</ns0:f>
        <ns0:v>0</ns0:v>
      </ns0:c>
      <ns0:c r="U146" s="0">
        <ns0:f>IF(N146&gt;0,T146+IF(Bookings!G146="Pending",10,0),0)</ns0:f>
        <ns0:v>0</ns0:v>
      </ns0:c>
      <ns0:c r="V146" s="0">
        <ns0:f>U146</ns0:f>
        <ns0:v>0</ns0:v>
      </ns0:c>
      <ns0:c r="W146" s="0" t="str">
        <ns0:f>IF(C146=0,"",INDEX($AP$11:$AP$60,C146))</ns0:f>
        <ns0:v/>
      </ns0:c>
    </ns0:row>
    <ns0:row r="147">
      <ns0:c r="A147" s="0">
        <ns0:f>IF(COUNTA(Bookings!A147:G147,Bookings!I147)=0,0,1)</ns0:f>
        <ns0:v>0</ns0:v>
      </ns0:c>
      <ns0:c r="B147" s="0" t="str">
        <ns0:f>IFERROR(TRIM(MID(Bookings!A147,FIND(" · ",Bookings!A147)+3,99)),"")</ns0:f>
        <ns0:v/>
      </ns0:c>
      <ns0:c r="C147" s="0">
        <ns0:f>IF(OR(B147="",LEN(B147)&gt;24,ISNUMBER(FIND(" ",B147)),ISNUMBER(FIND("*",B147)),ISNUMBER(FIND("?",B147)),ISNUMBER(FIND("~",B147))),0,IFERROR(MATCH(B147,Team!$A$11:$A$60,0),0))</ns0:f>
        <ns0:v>0</ns0:v>
      </ns0:c>
      <ns0:c r="D147" s="0" t="str">
        <ns0:f>IFERROR(IF(MID(Bookings!F147,LEN(Bookings!F147)-3,3)=" · ",RIGHT(Bookings!F147,1),""),"")</ns0:f>
        <ns0:v/>
      </ns0:c>
      <ns0:c r="E147" s="0" t="str">
        <ns0:f>IFERROR(INDEX(Settings!$H$7:$H$11,MATCH(D147,Settings!$G$7:$G$11,0)),"")</ns0:f>
        <ns0:v/>
      </ns0:c>
      <ns0:c r="F147" s="0" t="str">
        <ns0:f>IF(A147=0,"",IFERROR(IF(OR(B147="",C147=0),"CHECK employee selection",IF(INDEX(Team!$O$11:$O$60,C147)&lt;&gt;"OK","CHECK employee setup",IF(OR('_Dates'!J147=0,'_Dates'!T147=0),"CHECK date: use DD.MM.YYYY",IF('_Dates'!T147&lt;'_Dates'!J147,"CHECK end before start",IF(AND($B$6=0,OR('_Dates'!J147&lt;Settings!$B$7,'_Dates'!T147&gt;Settings!$B$8)),"CHECK split across leave years",IF(OR(NOT(OR('_Dates'!U147="Full day",'_Dates'!U147="AM",'_Dates'!U147="PM")),NOT(OR('_Dates'!V147="Full day",'_Dates'!V147="AM",'_Dates'!V147="PM"))),"CHECK Full day / AM / PM",IF(AND('_Dates'!J147='_Dates'!T147,'_Dates'!U147&lt;&gt;"Full day",'_Dates'!V147&lt;&gt;"Full day",'_Dates'!U147&lt;&gt;'_Dates'!V147),"CHECK same-day portions disagree",IF(AND($B$6=0,OR(AND('_Dates'!U147&lt;&gt;"Full day",'_Dates'!AA147=0),AND('_Dates'!V147&lt;&gt;"Full day",'_Dates'!AB147=0))),"CHECK half-day on non-working date",IF(COUNTIF(Settings!$G$7:$G$11,D147)&lt;&gt;1,"CHECK leave type",IF(AND(Bookings!G147&lt;&gt;"Approved",Bookings!G147&lt;&gt;"Pending",Bookings!G147&lt;&gt;"Cancelled"),"CHECK status","OK")))))))))),"CHECK input"))</ns0:f>
        <ns0:v/>
      </ns0:c>
      <ns0:c r="G147" s="0">
        <ns0:f>IF(OR(F147&lt;&gt;"OK",$B$6&gt;0),0,0.5*(IF(('_Dates'!X147)&lt;('_Dates'!W147),0,INT((('_Dates'!X147)-('_Dates'!W147)+1)/7)*LEN(SUBSTITUTE(W147,"O",""))+LEN(SUBSTITUTE(MID(W147&amp;W147,WEEKDAY(('_Dates'!W147),2),MOD((('_Dates'!X147)-('_Dates'!W147)+1),7)),"O",""))-COUNTIFS(INDEX(AllClosureRows,C147,0),"&gt;="&amp;('_Dates'!W147),INDEX(AllClosureRows,C147,0),"&lt;="&amp;('_Dates'!X147)))+IF(('_Dates'!Z147)&lt;('_Dates'!Y147),0,INT((('_Dates'!Z147)-('_Dates'!Y147)+1)/7)*LEN(SUBSTITUTE(W147,"O",""))+LEN(SUBSTITUTE(MID(W147&amp;W147,WEEKDAY(('_Dates'!Y147),2),MOD((('_Dates'!Z147)-('_Dates'!Y147)+1),7)),"O",""))-COUNTIFS(INDEX(AllClosureRows,C147,0),"&gt;="&amp;('_Dates'!Y147),INDEX(AllClosureRows,C147,0),"&lt;="&amp;('_Dates'!Z147)))))</ns0:f>
        <ns0:v>0</ns0:v>
      </ns0:c>
      <ns0:c r="H147" s="0">
        <ns0:f>IF(OR(F147&lt;&gt;"OK",$B$6&gt;0),0,0.5*(IF((MIN('_Dates'!X147,Settings!$B$9))&lt;('_Dates'!W147),0,INT(((MIN('_Dates'!X147,Settings!$B$9))-('_Dates'!W147)+1)/7)*LEN(SUBSTITUTE(W147,"O",""))+LEN(SUBSTITUTE(MID(W147&amp;W147,WEEKDAY(('_Dates'!W147),2),MOD(((MIN('_Dates'!X147,Settings!$B$9))-('_Dates'!W147)+1),7)),"O",""))-COUNTIFS(INDEX(AllClosureRows,C147,0),"&gt;="&amp;('_Dates'!W147),INDEX(AllClosureRows,C147,0),"&lt;="&amp;(MIN('_Dates'!X147,Settings!$B$9))))+IF((MIN('_Dates'!Z147,Settings!$B$9))&lt;('_Dates'!Y147),0,INT(((MIN('_Dates'!Z147,Settings!$B$9))-('_Dates'!Y147)+1)/7)*LEN(SUBSTITUTE(W147,"O",""))+LEN(SUBSTITUTE(MID(W147&amp;W147,WEEKDAY(('_Dates'!Y147),2),MOD(((MIN('_Dates'!Z147,Settings!$B$9))-('_Dates'!Y147)+1),7)),"O",""))-COUNTIFS(INDEX(AllClosureRows,C147,0),"&gt;="&amp;('_Dates'!Y147),INDEX(AllClosureRows,C147,0),"&lt;="&amp;(MIN('_Dates'!Z147,Settings!$B$9))))))</ns0:f>
        <ns0:v>0</ns0:v>
      </ns0:c>
      <ns0:c r="I147" s="0">
        <ns0:f>MAX(0,G147-H147)</ns0:f>
        <ns0:v>0</ns0:v>
      </ns0:c>
      <ns0:c r="J147" s="0">
        <ns0:f>IF(OR(A147=0,F147&lt;&gt;"OK",Bookings!G147="Cancelled",$B$6&gt;0),0,IF('_Dates'!AC147=1,MAX(0,COUNTIFS(rngEngine_B,B147,rngAMStart,"&lt;="&amp;'_Dates'!X147,rngAMEnd,"&gt;="&amp;'_Dates'!W147,rngAMActive,1,rngEngine_F,"OK",rngBookings_F,"&lt;&gt;Cancelled")-1),0)+IF('_Dates'!AD147=1,MAX(0,COUNTIFS(rngEngine_B,B147,rngPMStart,"&lt;="&amp;'_Dates'!Z147,rngPMEnd,"&gt;="&amp;'_Dates'!Y147,rngPMActive,1,rngEngine_F,"OK",rngBookings_F,"&lt;&gt;Cancelled")-1),0))</ns0:f>
        <ns0:v>0</ns0:v>
      </ns0:c>
      <ns0:c r="K147" s="0" t="str">
        <ns0:f>IF(A147=0,"",IF(F147&lt;&gt;"OK",F147,IF(J147&gt;0,"CHECK overlapping entry",IF(AND($B$6=0,G147&lt;=0,Bookings!G147&lt;&gt;"Cancelled"),"CHECK no working days",IF(Bookings!G147="Cancelled","Cancelled","OK")))))</ns0:f>
        <ns0:v/>
      </ns0:c>
      <ns0:c r="L147" s="0">
        <ns0:f>IF(LEFT(K147,5)="CHECK",1,0)</ns0:f>
        <ns0:v>0</ns0:v>
      </ns0:c>
      <ns0:c r="M147" s="0">
        <ns0:f>IF(AND(L147=1,OR(C147=0,IFERROR(INDEX($X$11:$X$60,C147),0)=0)),1,0)</ns0:f>
        <ns0:v>0</ns0:v>
      </ns0:c>
      <ns0:c r="N147" s="0">
        <ns0:f>IF(OR(A147=0,L147&gt;0,$B$6&gt;0,Bookings!G147="Cancelled"),0,G147)</ns0:f>
        <ns0:v>0</ns0:v>
      </ns0:c>
      <ns0:c r="O147" s="0">
        <ns0:f>IF(AND(Bookings!G147="Approved",E147="Yes"),N147,0)</ns0:f>
        <ns0:v>0</ns0:v>
      </ns0:c>
      <ns0:c r="P147" s="0">
        <ns0:f>IF(AND(Bookings!G147="Approved",E147="Yes",L147=0,$B$6=0),H147,0)</ns0:f>
        <ns0:v>0</ns0:v>
      </ns0:c>
      <ns0:c r="Q147" s="0">
        <ns0:f>IF(AND(Bookings!G147="Approved",E147="Yes",L147=0,$B$6=0),I147,0)</ns0:f>
        <ns0:v>0</ns0:v>
      </ns0:c>
      <ns0:c r="R147" s="0">
        <ns0:f>IF(AND(Bookings!G147="Pending",E147="Yes"),N147,0)</ns0:f>
        <ns0:v>0</ns0:v>
      </ns0:c>
      <ns0:c r="S147" s="0">
        <ns0:f>IF(AND(Bookings!G147="Approved",E147="No"),N147,0)</ns0:f>
        <ns0:v>0</ns0:v>
      </ns0:c>
      <ns0:c r="T147" s="0">
        <ns0:f>IFERROR(MATCH(D147,Settings!$G$7:$G$11,0),0)</ns0:f>
        <ns0:v>0</ns0:v>
      </ns0:c>
      <ns0:c r="U147" s="0">
        <ns0:f>IF(N147&gt;0,T147+IF(Bookings!G147="Pending",10,0),0)</ns0:f>
        <ns0:v>0</ns0:v>
      </ns0:c>
      <ns0:c r="V147" s="0">
        <ns0:f>U147</ns0:f>
        <ns0:v>0</ns0:v>
      </ns0:c>
      <ns0:c r="W147" s="0" t="str">
        <ns0:f>IF(C147=0,"",INDEX($AP$11:$AP$60,C147))</ns0:f>
        <ns0:v/>
      </ns0:c>
    </ns0:row>
    <ns0:row r="148">
      <ns0:c r="A148" s="0">
        <ns0:f>IF(COUNTA(Bookings!A148:G148,Bookings!I148)=0,0,1)</ns0:f>
        <ns0:v>0</ns0:v>
      </ns0:c>
      <ns0:c r="B148" s="0" t="str">
        <ns0:f>IFERROR(TRIM(MID(Bookings!A148,FIND(" · ",Bookings!A148)+3,99)),"")</ns0:f>
        <ns0:v/>
      </ns0:c>
      <ns0:c r="C148" s="0">
        <ns0:f>IF(OR(B148="",LEN(B148)&gt;24,ISNUMBER(FIND(" ",B148)),ISNUMBER(FIND("*",B148)),ISNUMBER(FIND("?",B148)),ISNUMBER(FIND("~",B148))),0,IFERROR(MATCH(B148,Team!$A$11:$A$60,0),0))</ns0:f>
        <ns0:v>0</ns0:v>
      </ns0:c>
      <ns0:c r="D148" s="0" t="str">
        <ns0:f>IFERROR(IF(MID(Bookings!F148,LEN(Bookings!F148)-3,3)=" · ",RIGHT(Bookings!F148,1),""),"")</ns0:f>
        <ns0:v/>
      </ns0:c>
      <ns0:c r="E148" s="0" t="str">
        <ns0:f>IFERROR(INDEX(Settings!$H$7:$H$11,MATCH(D148,Settings!$G$7:$G$11,0)),"")</ns0:f>
        <ns0:v/>
      </ns0:c>
      <ns0:c r="F148" s="0" t="str">
        <ns0:f>IF(A148=0,"",IFERROR(IF(OR(B148="",C148=0),"CHECK employee selection",IF(INDEX(Team!$O$11:$O$60,C148)&lt;&gt;"OK","CHECK employee setup",IF(OR('_Dates'!J148=0,'_Dates'!T148=0),"CHECK date: use DD.MM.YYYY",IF('_Dates'!T148&lt;'_Dates'!J148,"CHECK end before start",IF(AND($B$6=0,OR('_Dates'!J148&lt;Settings!$B$7,'_Dates'!T148&gt;Settings!$B$8)),"CHECK split across leave years",IF(OR(NOT(OR('_Dates'!U148="Full day",'_Dates'!U148="AM",'_Dates'!U148="PM")),NOT(OR('_Dates'!V148="Full day",'_Dates'!V148="AM",'_Dates'!V148="PM"))),"CHECK Full day / AM / PM",IF(AND('_Dates'!J148='_Dates'!T148,'_Dates'!U148&lt;&gt;"Full day",'_Dates'!V148&lt;&gt;"Full day",'_Dates'!U148&lt;&gt;'_Dates'!V148),"CHECK same-day portions disagree",IF(AND($B$6=0,OR(AND('_Dates'!U148&lt;&gt;"Full day",'_Dates'!AA148=0),AND('_Dates'!V148&lt;&gt;"Full day",'_Dates'!AB148=0))),"CHECK half-day on non-working date",IF(COUNTIF(Settings!$G$7:$G$11,D148)&lt;&gt;1,"CHECK leave type",IF(AND(Bookings!G148&lt;&gt;"Approved",Bookings!G148&lt;&gt;"Pending",Bookings!G148&lt;&gt;"Cancelled"),"CHECK status","OK")))))))))),"CHECK input"))</ns0:f>
        <ns0:v/>
      </ns0:c>
      <ns0:c r="G148" s="0">
        <ns0:f>IF(OR(F148&lt;&gt;"OK",$B$6&gt;0),0,0.5*(IF(('_Dates'!X148)&lt;('_Dates'!W148),0,INT((('_Dates'!X148)-('_Dates'!W148)+1)/7)*LEN(SUBSTITUTE(W148,"O",""))+LEN(SUBSTITUTE(MID(W148&amp;W148,WEEKDAY(('_Dates'!W148),2),MOD((('_Dates'!X148)-('_Dates'!W148)+1),7)),"O",""))-COUNTIFS(INDEX(AllClosureRows,C148,0),"&gt;="&amp;('_Dates'!W148),INDEX(AllClosureRows,C148,0),"&lt;="&amp;('_Dates'!X148)))+IF(('_Dates'!Z148)&lt;('_Dates'!Y148),0,INT((('_Dates'!Z148)-('_Dates'!Y148)+1)/7)*LEN(SUBSTITUTE(W148,"O",""))+LEN(SUBSTITUTE(MID(W148&amp;W148,WEEKDAY(('_Dates'!Y148),2),MOD((('_Dates'!Z148)-('_Dates'!Y148)+1),7)),"O",""))-COUNTIFS(INDEX(AllClosureRows,C148,0),"&gt;="&amp;('_Dates'!Y148),INDEX(AllClosureRows,C148,0),"&lt;="&amp;('_Dates'!Z148)))))</ns0:f>
        <ns0:v>0</ns0:v>
      </ns0:c>
      <ns0:c r="H148" s="0">
        <ns0:f>IF(OR(F148&lt;&gt;"OK",$B$6&gt;0),0,0.5*(IF((MIN('_Dates'!X148,Settings!$B$9))&lt;('_Dates'!W148),0,INT(((MIN('_Dates'!X148,Settings!$B$9))-('_Dates'!W148)+1)/7)*LEN(SUBSTITUTE(W148,"O",""))+LEN(SUBSTITUTE(MID(W148&amp;W148,WEEKDAY(('_Dates'!W148),2),MOD(((MIN('_Dates'!X148,Settings!$B$9))-('_Dates'!W148)+1),7)),"O",""))-COUNTIFS(INDEX(AllClosureRows,C148,0),"&gt;="&amp;('_Dates'!W148),INDEX(AllClosureRows,C148,0),"&lt;="&amp;(MIN('_Dates'!X148,Settings!$B$9))))+IF((MIN('_Dates'!Z148,Settings!$B$9))&lt;('_Dates'!Y148),0,INT(((MIN('_Dates'!Z148,Settings!$B$9))-('_Dates'!Y148)+1)/7)*LEN(SUBSTITUTE(W148,"O",""))+LEN(SUBSTITUTE(MID(W148&amp;W148,WEEKDAY(('_Dates'!Y148),2),MOD(((MIN('_Dates'!Z148,Settings!$B$9))-('_Dates'!Y148)+1),7)),"O",""))-COUNTIFS(INDEX(AllClosureRows,C148,0),"&gt;="&amp;('_Dates'!Y148),INDEX(AllClosureRows,C148,0),"&lt;="&amp;(MIN('_Dates'!Z148,Settings!$B$9))))))</ns0:f>
        <ns0:v>0</ns0:v>
      </ns0:c>
      <ns0:c r="I148" s="0">
        <ns0:f>MAX(0,G148-H148)</ns0:f>
        <ns0:v>0</ns0:v>
      </ns0:c>
      <ns0:c r="J148" s="0">
        <ns0:f>IF(OR(A148=0,F148&lt;&gt;"OK",Bookings!G148="Cancelled",$B$6&gt;0),0,IF('_Dates'!AC148=1,MAX(0,COUNTIFS(rngEngine_B,B148,rngAMStart,"&lt;="&amp;'_Dates'!X148,rngAMEnd,"&gt;="&amp;'_Dates'!W148,rngAMActive,1,rngEngine_F,"OK",rngBookings_F,"&lt;&gt;Cancelled")-1),0)+IF('_Dates'!AD148=1,MAX(0,COUNTIFS(rngEngine_B,B148,rngPMStart,"&lt;="&amp;'_Dates'!Z148,rngPMEnd,"&gt;="&amp;'_Dates'!Y148,rngPMActive,1,rngEngine_F,"OK",rngBookings_F,"&lt;&gt;Cancelled")-1),0))</ns0:f>
        <ns0:v>0</ns0:v>
      </ns0:c>
      <ns0:c r="K148" s="0" t="str">
        <ns0:f>IF(A148=0,"",IF(F148&lt;&gt;"OK",F148,IF(J148&gt;0,"CHECK overlapping entry",IF(AND($B$6=0,G148&lt;=0,Bookings!G148&lt;&gt;"Cancelled"),"CHECK no working days",IF(Bookings!G148="Cancelled","Cancelled","OK")))))</ns0:f>
        <ns0:v/>
      </ns0:c>
      <ns0:c r="L148" s="0">
        <ns0:f>IF(LEFT(K148,5)="CHECK",1,0)</ns0:f>
        <ns0:v>0</ns0:v>
      </ns0:c>
      <ns0:c r="M148" s="0">
        <ns0:f>IF(AND(L148=1,OR(C148=0,IFERROR(INDEX($X$11:$X$60,C148),0)=0)),1,0)</ns0:f>
        <ns0:v>0</ns0:v>
      </ns0:c>
      <ns0:c r="N148" s="0">
        <ns0:f>IF(OR(A148=0,L148&gt;0,$B$6&gt;0,Bookings!G148="Cancelled"),0,G148)</ns0:f>
        <ns0:v>0</ns0:v>
      </ns0:c>
      <ns0:c r="O148" s="0">
        <ns0:f>IF(AND(Bookings!G148="Approved",E148="Yes"),N148,0)</ns0:f>
        <ns0:v>0</ns0:v>
      </ns0:c>
      <ns0:c r="P148" s="0">
        <ns0:f>IF(AND(Bookings!G148="Approved",E148="Yes",L148=0,$B$6=0),H148,0)</ns0:f>
        <ns0:v>0</ns0:v>
      </ns0:c>
      <ns0:c r="Q148" s="0">
        <ns0:f>IF(AND(Bookings!G148="Approved",E148="Yes",L148=0,$B$6=0),I148,0)</ns0:f>
        <ns0:v>0</ns0:v>
      </ns0:c>
      <ns0:c r="R148" s="0">
        <ns0:f>IF(AND(Bookings!G148="Pending",E148="Yes"),N148,0)</ns0:f>
        <ns0:v>0</ns0:v>
      </ns0:c>
      <ns0:c r="S148" s="0">
        <ns0:f>IF(AND(Bookings!G148="Approved",E148="No"),N148,0)</ns0:f>
        <ns0:v>0</ns0:v>
      </ns0:c>
      <ns0:c r="T148" s="0">
        <ns0:f>IFERROR(MATCH(D148,Settings!$G$7:$G$11,0),0)</ns0:f>
        <ns0:v>0</ns0:v>
      </ns0:c>
      <ns0:c r="U148" s="0">
        <ns0:f>IF(N148&gt;0,T148+IF(Bookings!G148="Pending",10,0),0)</ns0:f>
        <ns0:v>0</ns0:v>
      </ns0:c>
      <ns0:c r="V148" s="0">
        <ns0:f>U148</ns0:f>
        <ns0:v>0</ns0:v>
      </ns0:c>
      <ns0:c r="W148" s="0" t="str">
        <ns0:f>IF(C148=0,"",INDEX($AP$11:$AP$60,C148))</ns0:f>
        <ns0:v/>
      </ns0:c>
    </ns0:row>
    <ns0:row r="149">
      <ns0:c r="A149" s="0">
        <ns0:f>IF(COUNTA(Bookings!A149:G149,Bookings!I149)=0,0,1)</ns0:f>
        <ns0:v>0</ns0:v>
      </ns0:c>
      <ns0:c r="B149" s="0" t="str">
        <ns0:f>IFERROR(TRIM(MID(Bookings!A149,FIND(" · ",Bookings!A149)+3,99)),"")</ns0:f>
        <ns0:v/>
      </ns0:c>
      <ns0:c r="C149" s="0">
        <ns0:f>IF(OR(B149="",LEN(B149)&gt;24,ISNUMBER(FIND(" ",B149)),ISNUMBER(FIND("*",B149)),ISNUMBER(FIND("?",B149)),ISNUMBER(FIND("~",B149))),0,IFERROR(MATCH(B149,Team!$A$11:$A$60,0),0))</ns0:f>
        <ns0:v>0</ns0:v>
      </ns0:c>
      <ns0:c r="D149" s="0" t="str">
        <ns0:f>IFERROR(IF(MID(Bookings!F149,LEN(Bookings!F149)-3,3)=" · ",RIGHT(Bookings!F149,1),""),"")</ns0:f>
        <ns0:v/>
      </ns0:c>
      <ns0:c r="E149" s="0" t="str">
        <ns0:f>IFERROR(INDEX(Settings!$H$7:$H$11,MATCH(D149,Settings!$G$7:$G$11,0)),"")</ns0:f>
        <ns0:v/>
      </ns0:c>
      <ns0:c r="F149" s="0" t="str">
        <ns0:f>IF(A149=0,"",IFERROR(IF(OR(B149="",C149=0),"CHECK employee selection",IF(INDEX(Team!$O$11:$O$60,C149)&lt;&gt;"OK","CHECK employee setup",IF(OR('_Dates'!J149=0,'_Dates'!T149=0),"CHECK date: use DD.MM.YYYY",IF('_Dates'!T149&lt;'_Dates'!J149,"CHECK end before start",IF(AND($B$6=0,OR('_Dates'!J149&lt;Settings!$B$7,'_Dates'!T149&gt;Settings!$B$8)),"CHECK split across leave years",IF(OR(NOT(OR('_Dates'!U149="Full day",'_Dates'!U149="AM",'_Dates'!U149="PM")),NOT(OR('_Dates'!V149="Full day",'_Dates'!V149="AM",'_Dates'!V149="PM"))),"CHECK Full day / AM / PM",IF(AND('_Dates'!J149='_Dates'!T149,'_Dates'!U149&lt;&gt;"Full day",'_Dates'!V149&lt;&gt;"Full day",'_Dates'!U149&lt;&gt;'_Dates'!V149),"CHECK same-day portions disagree",IF(AND($B$6=0,OR(AND('_Dates'!U149&lt;&gt;"Full day",'_Dates'!AA149=0),AND('_Dates'!V149&lt;&gt;"Full day",'_Dates'!AB149=0))),"CHECK half-day on non-working date",IF(COUNTIF(Settings!$G$7:$G$11,D149)&lt;&gt;1,"CHECK leave type",IF(AND(Bookings!G149&lt;&gt;"Approved",Bookings!G149&lt;&gt;"Pending",Bookings!G149&lt;&gt;"Cancelled"),"CHECK status","OK")))))))))),"CHECK input"))</ns0:f>
        <ns0:v/>
      </ns0:c>
      <ns0:c r="G149" s="0">
        <ns0:f>IF(OR(F149&lt;&gt;"OK",$B$6&gt;0),0,0.5*(IF(('_Dates'!X149)&lt;('_Dates'!W149),0,INT((('_Dates'!X149)-('_Dates'!W149)+1)/7)*LEN(SUBSTITUTE(W149,"O",""))+LEN(SUBSTITUTE(MID(W149&amp;W149,WEEKDAY(('_Dates'!W149),2),MOD((('_Dates'!X149)-('_Dates'!W149)+1),7)),"O",""))-COUNTIFS(INDEX(AllClosureRows,C149,0),"&gt;="&amp;('_Dates'!W149),INDEX(AllClosureRows,C149,0),"&lt;="&amp;('_Dates'!X149)))+IF(('_Dates'!Z149)&lt;('_Dates'!Y149),0,INT((('_Dates'!Z149)-('_Dates'!Y149)+1)/7)*LEN(SUBSTITUTE(W149,"O",""))+LEN(SUBSTITUTE(MID(W149&amp;W149,WEEKDAY(('_Dates'!Y149),2),MOD((('_Dates'!Z149)-('_Dates'!Y149)+1),7)),"O",""))-COUNTIFS(INDEX(AllClosureRows,C149,0),"&gt;="&amp;('_Dates'!Y149),INDEX(AllClosureRows,C149,0),"&lt;="&amp;('_Dates'!Z149)))))</ns0:f>
        <ns0:v>0</ns0:v>
      </ns0:c>
      <ns0:c r="H149" s="0">
        <ns0:f>IF(OR(F149&lt;&gt;"OK",$B$6&gt;0),0,0.5*(IF((MIN('_Dates'!X149,Settings!$B$9))&lt;('_Dates'!W149),0,INT(((MIN('_Dates'!X149,Settings!$B$9))-('_Dates'!W149)+1)/7)*LEN(SUBSTITUTE(W149,"O",""))+LEN(SUBSTITUTE(MID(W149&amp;W149,WEEKDAY(('_Dates'!W149),2),MOD(((MIN('_Dates'!X149,Settings!$B$9))-('_Dates'!W149)+1),7)),"O",""))-COUNTIFS(INDEX(AllClosureRows,C149,0),"&gt;="&amp;('_Dates'!W149),INDEX(AllClosureRows,C149,0),"&lt;="&amp;(MIN('_Dates'!X149,Settings!$B$9))))+IF((MIN('_Dates'!Z149,Settings!$B$9))&lt;('_Dates'!Y149),0,INT(((MIN('_Dates'!Z149,Settings!$B$9))-('_Dates'!Y149)+1)/7)*LEN(SUBSTITUTE(W149,"O",""))+LEN(SUBSTITUTE(MID(W149&amp;W149,WEEKDAY(('_Dates'!Y149),2),MOD(((MIN('_Dates'!Z149,Settings!$B$9))-('_Dates'!Y149)+1),7)),"O",""))-COUNTIFS(INDEX(AllClosureRows,C149,0),"&gt;="&amp;('_Dates'!Y149),INDEX(AllClosureRows,C149,0),"&lt;="&amp;(MIN('_Dates'!Z149,Settings!$B$9))))))</ns0:f>
        <ns0:v>0</ns0:v>
      </ns0:c>
      <ns0:c r="I149" s="0">
        <ns0:f>MAX(0,G149-H149)</ns0:f>
        <ns0:v>0</ns0:v>
      </ns0:c>
      <ns0:c r="J149" s="0">
        <ns0:f>IF(OR(A149=0,F149&lt;&gt;"OK",Bookings!G149="Cancelled",$B$6&gt;0),0,IF('_Dates'!AC149=1,MAX(0,COUNTIFS(rngEngine_B,B149,rngAMStart,"&lt;="&amp;'_Dates'!X149,rngAMEnd,"&gt;="&amp;'_Dates'!W149,rngAMActive,1,rngEngine_F,"OK",rngBookings_F,"&lt;&gt;Cancelled")-1),0)+IF('_Dates'!AD149=1,MAX(0,COUNTIFS(rngEngine_B,B149,rngPMStart,"&lt;="&amp;'_Dates'!Z149,rngPMEnd,"&gt;="&amp;'_Dates'!Y149,rngPMActive,1,rngEngine_F,"OK",rngBookings_F,"&lt;&gt;Cancelled")-1),0))</ns0:f>
        <ns0:v>0</ns0:v>
      </ns0:c>
      <ns0:c r="K149" s="0" t="str">
        <ns0:f>IF(A149=0,"",IF(F149&lt;&gt;"OK",F149,IF(J149&gt;0,"CHECK overlapping entry",IF(AND($B$6=0,G149&lt;=0,Bookings!G149&lt;&gt;"Cancelled"),"CHECK no working days",IF(Bookings!G149="Cancelled","Cancelled","OK")))))</ns0:f>
        <ns0:v/>
      </ns0:c>
      <ns0:c r="L149" s="0">
        <ns0:f>IF(LEFT(K149,5)="CHECK",1,0)</ns0:f>
        <ns0:v>0</ns0:v>
      </ns0:c>
      <ns0:c r="M149" s="0">
        <ns0:f>IF(AND(L149=1,OR(C149=0,IFERROR(INDEX($X$11:$X$60,C149),0)=0)),1,0)</ns0:f>
        <ns0:v>0</ns0:v>
      </ns0:c>
      <ns0:c r="N149" s="0">
        <ns0:f>IF(OR(A149=0,L149&gt;0,$B$6&gt;0,Bookings!G149="Cancelled"),0,G149)</ns0:f>
        <ns0:v>0</ns0:v>
      </ns0:c>
      <ns0:c r="O149" s="0">
        <ns0:f>IF(AND(Bookings!G149="Approved",E149="Yes"),N149,0)</ns0:f>
        <ns0:v>0</ns0:v>
      </ns0:c>
      <ns0:c r="P149" s="0">
        <ns0:f>IF(AND(Bookings!G149="Approved",E149="Yes",L149=0,$B$6=0),H149,0)</ns0:f>
        <ns0:v>0</ns0:v>
      </ns0:c>
      <ns0:c r="Q149" s="0">
        <ns0:f>IF(AND(Bookings!G149="Approved",E149="Yes",L149=0,$B$6=0),I149,0)</ns0:f>
        <ns0:v>0</ns0:v>
      </ns0:c>
      <ns0:c r="R149" s="0">
        <ns0:f>IF(AND(Bookings!G149="Pending",E149="Yes"),N149,0)</ns0:f>
        <ns0:v>0</ns0:v>
      </ns0:c>
      <ns0:c r="S149" s="0">
        <ns0:f>IF(AND(Bookings!G149="Approved",E149="No"),N149,0)</ns0:f>
        <ns0:v>0</ns0:v>
      </ns0:c>
      <ns0:c r="T149" s="0">
        <ns0:f>IFERROR(MATCH(D149,Settings!$G$7:$G$11,0),0)</ns0:f>
        <ns0:v>0</ns0:v>
      </ns0:c>
      <ns0:c r="U149" s="0">
        <ns0:f>IF(N149&gt;0,T149+IF(Bookings!G149="Pending",10,0),0)</ns0:f>
        <ns0:v>0</ns0:v>
      </ns0:c>
      <ns0:c r="V149" s="0">
        <ns0:f>U149</ns0:f>
        <ns0:v>0</ns0:v>
      </ns0:c>
      <ns0:c r="W149" s="0" t="str">
        <ns0:f>IF(C149=0,"",INDEX($AP$11:$AP$60,C149))</ns0:f>
        <ns0:v/>
      </ns0:c>
    </ns0:row>
    <ns0:row r="150">
      <ns0:c r="A150" s="0">
        <ns0:f>IF(COUNTA(Bookings!A150:G150,Bookings!I150)=0,0,1)</ns0:f>
        <ns0:v>0</ns0:v>
      </ns0:c>
      <ns0:c r="B150" s="0" t="str">
        <ns0:f>IFERROR(TRIM(MID(Bookings!A150,FIND(" · ",Bookings!A150)+3,99)),"")</ns0:f>
        <ns0:v/>
      </ns0:c>
      <ns0:c r="C150" s="0">
        <ns0:f>IF(OR(B150="",LEN(B150)&gt;24,ISNUMBER(FIND(" ",B150)),ISNUMBER(FIND("*",B150)),ISNUMBER(FIND("?",B150)),ISNUMBER(FIND("~",B150))),0,IFERROR(MATCH(B150,Team!$A$11:$A$60,0),0))</ns0:f>
        <ns0:v>0</ns0:v>
      </ns0:c>
      <ns0:c r="D150" s="0" t="str">
        <ns0:f>IFERROR(IF(MID(Bookings!F150,LEN(Bookings!F150)-3,3)=" · ",RIGHT(Bookings!F150,1),""),"")</ns0:f>
        <ns0:v/>
      </ns0:c>
      <ns0:c r="E150" s="0" t="str">
        <ns0:f>IFERROR(INDEX(Settings!$H$7:$H$11,MATCH(D150,Settings!$G$7:$G$11,0)),"")</ns0:f>
        <ns0:v/>
      </ns0:c>
      <ns0:c r="F150" s="0" t="str">
        <ns0:f>IF(A150=0,"",IFERROR(IF(OR(B150="",C150=0),"CHECK employee selection",IF(INDEX(Team!$O$11:$O$60,C150)&lt;&gt;"OK","CHECK employee setup",IF(OR('_Dates'!J150=0,'_Dates'!T150=0),"CHECK date: use DD.MM.YYYY",IF('_Dates'!T150&lt;'_Dates'!J150,"CHECK end before start",IF(AND($B$6=0,OR('_Dates'!J150&lt;Settings!$B$7,'_Dates'!T150&gt;Settings!$B$8)),"CHECK split across leave years",IF(OR(NOT(OR('_Dates'!U150="Full day",'_Dates'!U150="AM",'_Dates'!U150="PM")),NOT(OR('_Dates'!V150="Full day",'_Dates'!V150="AM",'_Dates'!V150="PM"))),"CHECK Full day / AM / PM",IF(AND('_Dates'!J150='_Dates'!T150,'_Dates'!U150&lt;&gt;"Full day",'_Dates'!V150&lt;&gt;"Full day",'_Dates'!U150&lt;&gt;'_Dates'!V150),"CHECK same-day portions disagree",IF(AND($B$6=0,OR(AND('_Dates'!U150&lt;&gt;"Full day",'_Dates'!AA150=0),AND('_Dates'!V150&lt;&gt;"Full day",'_Dates'!AB150=0))),"CHECK half-day on non-working date",IF(COUNTIF(Settings!$G$7:$G$11,D150)&lt;&gt;1,"CHECK leave type",IF(AND(Bookings!G150&lt;&gt;"Approved",Bookings!G150&lt;&gt;"Pending",Bookings!G150&lt;&gt;"Cancelled"),"CHECK status","OK")))))))))),"CHECK input"))</ns0:f>
        <ns0:v/>
      </ns0:c>
      <ns0:c r="G150" s="0">
        <ns0:f>IF(OR(F150&lt;&gt;"OK",$B$6&gt;0),0,0.5*(IF(('_Dates'!X150)&lt;('_Dates'!W150),0,INT((('_Dates'!X150)-('_Dates'!W150)+1)/7)*LEN(SUBSTITUTE(W150,"O",""))+LEN(SUBSTITUTE(MID(W150&amp;W150,WEEKDAY(('_Dates'!W150),2),MOD((('_Dates'!X150)-('_Dates'!W150)+1),7)),"O",""))-COUNTIFS(INDEX(AllClosureRows,C150,0),"&gt;="&amp;('_Dates'!W150),INDEX(AllClosureRows,C150,0),"&lt;="&amp;('_Dates'!X150)))+IF(('_Dates'!Z150)&lt;('_Dates'!Y150),0,INT((('_Dates'!Z150)-('_Dates'!Y150)+1)/7)*LEN(SUBSTITUTE(W150,"O",""))+LEN(SUBSTITUTE(MID(W150&amp;W150,WEEKDAY(('_Dates'!Y150),2),MOD((('_Dates'!Z150)-('_Dates'!Y150)+1),7)),"O",""))-COUNTIFS(INDEX(AllClosureRows,C150,0),"&gt;="&amp;('_Dates'!Y150),INDEX(AllClosureRows,C150,0),"&lt;="&amp;('_Dates'!Z150)))))</ns0:f>
        <ns0:v>0</ns0:v>
      </ns0:c>
      <ns0:c r="H150" s="0">
        <ns0:f>IF(OR(F150&lt;&gt;"OK",$B$6&gt;0),0,0.5*(IF((MIN('_Dates'!X150,Settings!$B$9))&lt;('_Dates'!W150),0,INT(((MIN('_Dates'!X150,Settings!$B$9))-('_Dates'!W150)+1)/7)*LEN(SUBSTITUTE(W150,"O",""))+LEN(SUBSTITUTE(MID(W150&amp;W150,WEEKDAY(('_Dates'!W150),2),MOD(((MIN('_Dates'!X150,Settings!$B$9))-('_Dates'!W150)+1),7)),"O",""))-COUNTIFS(INDEX(AllClosureRows,C150,0),"&gt;="&amp;('_Dates'!W150),INDEX(AllClosureRows,C150,0),"&lt;="&amp;(MIN('_Dates'!X150,Settings!$B$9))))+IF((MIN('_Dates'!Z150,Settings!$B$9))&lt;('_Dates'!Y150),0,INT(((MIN('_Dates'!Z150,Settings!$B$9))-('_Dates'!Y150)+1)/7)*LEN(SUBSTITUTE(W150,"O",""))+LEN(SUBSTITUTE(MID(W150&amp;W150,WEEKDAY(('_Dates'!Y150),2),MOD(((MIN('_Dates'!Z150,Settings!$B$9))-('_Dates'!Y150)+1),7)),"O",""))-COUNTIFS(INDEX(AllClosureRows,C150,0),"&gt;="&amp;('_Dates'!Y150),INDEX(AllClosureRows,C150,0),"&lt;="&amp;(MIN('_Dates'!Z150,Settings!$B$9))))))</ns0:f>
        <ns0:v>0</ns0:v>
      </ns0:c>
      <ns0:c r="I150" s="0">
        <ns0:f>MAX(0,G150-H150)</ns0:f>
        <ns0:v>0</ns0:v>
      </ns0:c>
      <ns0:c r="J150" s="0">
        <ns0:f>IF(OR(A150=0,F150&lt;&gt;"OK",Bookings!G150="Cancelled",$B$6&gt;0),0,IF('_Dates'!AC150=1,MAX(0,COUNTIFS(rngEngine_B,B150,rngAMStart,"&lt;="&amp;'_Dates'!X150,rngAMEnd,"&gt;="&amp;'_Dates'!W150,rngAMActive,1,rngEngine_F,"OK",rngBookings_F,"&lt;&gt;Cancelled")-1),0)+IF('_Dates'!AD150=1,MAX(0,COUNTIFS(rngEngine_B,B150,rngPMStart,"&lt;="&amp;'_Dates'!Z150,rngPMEnd,"&gt;="&amp;'_Dates'!Y150,rngPMActive,1,rngEngine_F,"OK",rngBookings_F,"&lt;&gt;Cancelled")-1),0))</ns0:f>
        <ns0:v>0</ns0:v>
      </ns0:c>
      <ns0:c r="K150" s="0" t="str">
        <ns0:f>IF(A150=0,"",IF(F150&lt;&gt;"OK",F150,IF(J150&gt;0,"CHECK overlapping entry",IF(AND($B$6=0,G150&lt;=0,Bookings!G150&lt;&gt;"Cancelled"),"CHECK no working days",IF(Bookings!G150="Cancelled","Cancelled","OK")))))</ns0:f>
        <ns0:v/>
      </ns0:c>
      <ns0:c r="L150" s="0">
        <ns0:f>IF(LEFT(K150,5)="CHECK",1,0)</ns0:f>
        <ns0:v>0</ns0:v>
      </ns0:c>
      <ns0:c r="M150" s="0">
        <ns0:f>IF(AND(L150=1,OR(C150=0,IFERROR(INDEX($X$11:$X$60,C150),0)=0)),1,0)</ns0:f>
        <ns0:v>0</ns0:v>
      </ns0:c>
      <ns0:c r="N150" s="0">
        <ns0:f>IF(OR(A150=0,L150&gt;0,$B$6&gt;0,Bookings!G150="Cancelled"),0,G150)</ns0:f>
        <ns0:v>0</ns0:v>
      </ns0:c>
      <ns0:c r="O150" s="0">
        <ns0:f>IF(AND(Bookings!G150="Approved",E150="Yes"),N150,0)</ns0:f>
        <ns0:v>0</ns0:v>
      </ns0:c>
      <ns0:c r="P150" s="0">
        <ns0:f>IF(AND(Bookings!G150="Approved",E150="Yes",L150=0,$B$6=0),H150,0)</ns0:f>
        <ns0:v>0</ns0:v>
      </ns0:c>
      <ns0:c r="Q150" s="0">
        <ns0:f>IF(AND(Bookings!G150="Approved",E150="Yes",L150=0,$B$6=0),I150,0)</ns0:f>
        <ns0:v>0</ns0:v>
      </ns0:c>
      <ns0:c r="R150" s="0">
        <ns0:f>IF(AND(Bookings!G150="Pending",E150="Yes"),N150,0)</ns0:f>
        <ns0:v>0</ns0:v>
      </ns0:c>
      <ns0:c r="S150" s="0">
        <ns0:f>IF(AND(Bookings!G150="Approved",E150="No"),N150,0)</ns0:f>
        <ns0:v>0</ns0:v>
      </ns0:c>
      <ns0:c r="T150" s="0">
        <ns0:f>IFERROR(MATCH(D150,Settings!$G$7:$G$11,0),0)</ns0:f>
        <ns0:v>0</ns0:v>
      </ns0:c>
      <ns0:c r="U150" s="0">
        <ns0:f>IF(N150&gt;0,T150+IF(Bookings!G150="Pending",10,0),0)</ns0:f>
        <ns0:v>0</ns0:v>
      </ns0:c>
      <ns0:c r="V150" s="0">
        <ns0:f>U150</ns0:f>
        <ns0:v>0</ns0:v>
      </ns0:c>
      <ns0:c r="W150" s="0" t="str">
        <ns0:f>IF(C150=0,"",INDEX($AP$11:$AP$60,C150))</ns0:f>
        <ns0:v/>
      </ns0:c>
    </ns0:row>
    <ns0:row r="151">
      <ns0:c r="A151" s="0">
        <ns0:f>IF(COUNTA(Bookings!A151:G151,Bookings!I151)=0,0,1)</ns0:f>
        <ns0:v>0</ns0:v>
      </ns0:c>
      <ns0:c r="B151" s="0" t="str">
        <ns0:f>IFERROR(TRIM(MID(Bookings!A151,FIND(" · ",Bookings!A151)+3,99)),"")</ns0:f>
        <ns0:v/>
      </ns0:c>
      <ns0:c r="C151" s="0">
        <ns0:f>IF(OR(B151="",LEN(B151)&gt;24,ISNUMBER(FIND(" ",B151)),ISNUMBER(FIND("*",B151)),ISNUMBER(FIND("?",B151)),ISNUMBER(FIND("~",B151))),0,IFERROR(MATCH(B151,Team!$A$11:$A$60,0),0))</ns0:f>
        <ns0:v>0</ns0:v>
      </ns0:c>
      <ns0:c r="D151" s="0" t="str">
        <ns0:f>IFERROR(IF(MID(Bookings!F151,LEN(Bookings!F151)-3,3)=" · ",RIGHT(Bookings!F151,1),""),"")</ns0:f>
        <ns0:v/>
      </ns0:c>
      <ns0:c r="E151" s="0" t="str">
        <ns0:f>IFERROR(INDEX(Settings!$H$7:$H$11,MATCH(D151,Settings!$G$7:$G$11,0)),"")</ns0:f>
        <ns0:v/>
      </ns0:c>
      <ns0:c r="F151" s="0" t="str">
        <ns0:f>IF(A151=0,"",IFERROR(IF(OR(B151="",C151=0),"CHECK employee selection",IF(INDEX(Team!$O$11:$O$60,C151)&lt;&gt;"OK","CHECK employee setup",IF(OR('_Dates'!J151=0,'_Dates'!T151=0),"CHECK date: use DD.MM.YYYY",IF('_Dates'!T151&lt;'_Dates'!J151,"CHECK end before start",IF(AND($B$6=0,OR('_Dates'!J151&lt;Settings!$B$7,'_Dates'!T151&gt;Settings!$B$8)),"CHECK split across leave years",IF(OR(NOT(OR('_Dates'!U151="Full day",'_Dates'!U151="AM",'_Dates'!U151="PM")),NOT(OR('_Dates'!V151="Full day",'_Dates'!V151="AM",'_Dates'!V151="PM"))),"CHECK Full day / AM / PM",IF(AND('_Dates'!J151='_Dates'!T151,'_Dates'!U151&lt;&gt;"Full day",'_Dates'!V151&lt;&gt;"Full day",'_Dates'!U151&lt;&gt;'_Dates'!V151),"CHECK same-day portions disagree",IF(AND($B$6=0,OR(AND('_Dates'!U151&lt;&gt;"Full day",'_Dates'!AA151=0),AND('_Dates'!V151&lt;&gt;"Full day",'_Dates'!AB151=0))),"CHECK half-day on non-working date",IF(COUNTIF(Settings!$G$7:$G$11,D151)&lt;&gt;1,"CHECK leave type",IF(AND(Bookings!G151&lt;&gt;"Approved",Bookings!G151&lt;&gt;"Pending",Bookings!G151&lt;&gt;"Cancelled"),"CHECK status","OK")))))))))),"CHECK input"))</ns0:f>
        <ns0:v/>
      </ns0:c>
      <ns0:c r="G151" s="0">
        <ns0:f>IF(OR(F151&lt;&gt;"OK",$B$6&gt;0),0,0.5*(IF(('_Dates'!X151)&lt;('_Dates'!W151),0,INT((('_Dates'!X151)-('_Dates'!W151)+1)/7)*LEN(SUBSTITUTE(W151,"O",""))+LEN(SUBSTITUTE(MID(W151&amp;W151,WEEKDAY(('_Dates'!W151),2),MOD((('_Dates'!X151)-('_Dates'!W151)+1),7)),"O",""))-COUNTIFS(INDEX(AllClosureRows,C151,0),"&gt;="&amp;('_Dates'!W151),INDEX(AllClosureRows,C151,0),"&lt;="&amp;('_Dates'!X151)))+IF(('_Dates'!Z151)&lt;('_Dates'!Y151),0,INT((('_Dates'!Z151)-('_Dates'!Y151)+1)/7)*LEN(SUBSTITUTE(W151,"O",""))+LEN(SUBSTITUTE(MID(W151&amp;W151,WEEKDAY(('_Dates'!Y151),2),MOD((('_Dates'!Z151)-('_Dates'!Y151)+1),7)),"O",""))-COUNTIFS(INDEX(AllClosureRows,C151,0),"&gt;="&amp;('_Dates'!Y151),INDEX(AllClosureRows,C151,0),"&lt;="&amp;('_Dates'!Z151)))))</ns0:f>
        <ns0:v>0</ns0:v>
      </ns0:c>
      <ns0:c r="H151" s="0">
        <ns0:f>IF(OR(F151&lt;&gt;"OK",$B$6&gt;0),0,0.5*(IF((MIN('_Dates'!X151,Settings!$B$9))&lt;('_Dates'!W151),0,INT(((MIN('_Dates'!X151,Settings!$B$9))-('_Dates'!W151)+1)/7)*LEN(SUBSTITUTE(W151,"O",""))+LEN(SUBSTITUTE(MID(W151&amp;W151,WEEKDAY(('_Dates'!W151),2),MOD(((MIN('_Dates'!X151,Settings!$B$9))-('_Dates'!W151)+1),7)),"O",""))-COUNTIFS(INDEX(AllClosureRows,C151,0),"&gt;="&amp;('_Dates'!W151),INDEX(AllClosureRows,C151,0),"&lt;="&amp;(MIN('_Dates'!X151,Settings!$B$9))))+IF((MIN('_Dates'!Z151,Settings!$B$9))&lt;('_Dates'!Y151),0,INT(((MIN('_Dates'!Z151,Settings!$B$9))-('_Dates'!Y151)+1)/7)*LEN(SUBSTITUTE(W151,"O",""))+LEN(SUBSTITUTE(MID(W151&amp;W151,WEEKDAY(('_Dates'!Y151),2),MOD(((MIN('_Dates'!Z151,Settings!$B$9))-('_Dates'!Y151)+1),7)),"O",""))-COUNTIFS(INDEX(AllClosureRows,C151,0),"&gt;="&amp;('_Dates'!Y151),INDEX(AllClosureRows,C151,0),"&lt;="&amp;(MIN('_Dates'!Z151,Settings!$B$9))))))</ns0:f>
        <ns0:v>0</ns0:v>
      </ns0:c>
      <ns0:c r="I151" s="0">
        <ns0:f>MAX(0,G151-H151)</ns0:f>
        <ns0:v>0</ns0:v>
      </ns0:c>
      <ns0:c r="J151" s="0">
        <ns0:f>IF(OR(A151=0,F151&lt;&gt;"OK",Bookings!G151="Cancelled",$B$6&gt;0),0,IF('_Dates'!AC151=1,MAX(0,COUNTIFS(rngEngine_B,B151,rngAMStart,"&lt;="&amp;'_Dates'!X151,rngAMEnd,"&gt;="&amp;'_Dates'!W151,rngAMActive,1,rngEngine_F,"OK",rngBookings_F,"&lt;&gt;Cancelled")-1),0)+IF('_Dates'!AD151=1,MAX(0,COUNTIFS(rngEngine_B,B151,rngPMStart,"&lt;="&amp;'_Dates'!Z151,rngPMEnd,"&gt;="&amp;'_Dates'!Y151,rngPMActive,1,rngEngine_F,"OK",rngBookings_F,"&lt;&gt;Cancelled")-1),0))</ns0:f>
        <ns0:v>0</ns0:v>
      </ns0:c>
      <ns0:c r="K151" s="0" t="str">
        <ns0:f>IF(A151=0,"",IF(F151&lt;&gt;"OK",F151,IF(J151&gt;0,"CHECK overlapping entry",IF(AND($B$6=0,G151&lt;=0,Bookings!G151&lt;&gt;"Cancelled"),"CHECK no working days",IF(Bookings!G151="Cancelled","Cancelled","OK")))))</ns0:f>
        <ns0:v/>
      </ns0:c>
      <ns0:c r="L151" s="0">
        <ns0:f>IF(LEFT(K151,5)="CHECK",1,0)</ns0:f>
        <ns0:v>0</ns0:v>
      </ns0:c>
      <ns0:c r="M151" s="0">
        <ns0:f>IF(AND(L151=1,OR(C151=0,IFERROR(INDEX($X$11:$X$60,C151),0)=0)),1,0)</ns0:f>
        <ns0:v>0</ns0:v>
      </ns0:c>
      <ns0:c r="N151" s="0">
        <ns0:f>IF(OR(A151=0,L151&gt;0,$B$6&gt;0,Bookings!G151="Cancelled"),0,G151)</ns0:f>
        <ns0:v>0</ns0:v>
      </ns0:c>
      <ns0:c r="O151" s="0">
        <ns0:f>IF(AND(Bookings!G151="Approved",E151="Yes"),N151,0)</ns0:f>
        <ns0:v>0</ns0:v>
      </ns0:c>
      <ns0:c r="P151" s="0">
        <ns0:f>IF(AND(Bookings!G151="Approved",E151="Yes",L151=0,$B$6=0),H151,0)</ns0:f>
        <ns0:v>0</ns0:v>
      </ns0:c>
      <ns0:c r="Q151" s="0">
        <ns0:f>IF(AND(Bookings!G151="Approved",E151="Yes",L151=0,$B$6=0),I151,0)</ns0:f>
        <ns0:v>0</ns0:v>
      </ns0:c>
      <ns0:c r="R151" s="0">
        <ns0:f>IF(AND(Bookings!G151="Pending",E151="Yes"),N151,0)</ns0:f>
        <ns0:v>0</ns0:v>
      </ns0:c>
      <ns0:c r="S151" s="0">
        <ns0:f>IF(AND(Bookings!G151="Approved",E151="No"),N151,0)</ns0:f>
        <ns0:v>0</ns0:v>
      </ns0:c>
      <ns0:c r="T151" s="0">
        <ns0:f>IFERROR(MATCH(D151,Settings!$G$7:$G$11,0),0)</ns0:f>
        <ns0:v>0</ns0:v>
      </ns0:c>
      <ns0:c r="U151" s="0">
        <ns0:f>IF(N151&gt;0,T151+IF(Bookings!G151="Pending",10,0),0)</ns0:f>
        <ns0:v>0</ns0:v>
      </ns0:c>
      <ns0:c r="V151" s="0">
        <ns0:f>U151</ns0:f>
        <ns0:v>0</ns0:v>
      </ns0:c>
      <ns0:c r="W151" s="0" t="str">
        <ns0:f>IF(C151=0,"",INDEX($AP$11:$AP$60,C151))</ns0:f>
        <ns0:v/>
      </ns0:c>
    </ns0:row>
    <ns0:row r="152">
      <ns0:c r="A152" s="0">
        <ns0:f>IF(COUNTA(Bookings!A152:G152,Bookings!I152)=0,0,1)</ns0:f>
        <ns0:v>0</ns0:v>
      </ns0:c>
      <ns0:c r="B152" s="0" t="str">
        <ns0:f>IFERROR(TRIM(MID(Bookings!A152,FIND(" · ",Bookings!A152)+3,99)),"")</ns0:f>
        <ns0:v/>
      </ns0:c>
      <ns0:c r="C152" s="0">
        <ns0:f>IF(OR(B152="",LEN(B152)&gt;24,ISNUMBER(FIND(" ",B152)),ISNUMBER(FIND("*",B152)),ISNUMBER(FIND("?",B152)),ISNUMBER(FIND("~",B152))),0,IFERROR(MATCH(B152,Team!$A$11:$A$60,0),0))</ns0:f>
        <ns0:v>0</ns0:v>
      </ns0:c>
      <ns0:c r="D152" s="0" t="str">
        <ns0:f>IFERROR(IF(MID(Bookings!F152,LEN(Bookings!F152)-3,3)=" · ",RIGHT(Bookings!F152,1),""),"")</ns0:f>
        <ns0:v/>
      </ns0:c>
      <ns0:c r="E152" s="0" t="str">
        <ns0:f>IFERROR(INDEX(Settings!$H$7:$H$11,MATCH(D152,Settings!$G$7:$G$11,0)),"")</ns0:f>
        <ns0:v/>
      </ns0:c>
      <ns0:c r="F152" s="0" t="str">
        <ns0:f>IF(A152=0,"",IFERROR(IF(OR(B152="",C152=0),"CHECK employee selection",IF(INDEX(Team!$O$11:$O$60,C152)&lt;&gt;"OK","CHECK employee setup",IF(OR('_Dates'!J152=0,'_Dates'!T152=0),"CHECK date: use DD.MM.YYYY",IF('_Dates'!T152&lt;'_Dates'!J152,"CHECK end before start",IF(AND($B$6=0,OR('_Dates'!J152&lt;Settings!$B$7,'_Dates'!T152&gt;Settings!$B$8)),"CHECK split across leave years",IF(OR(NOT(OR('_Dates'!U152="Full day",'_Dates'!U152="AM",'_Dates'!U152="PM")),NOT(OR('_Dates'!V152="Full day",'_Dates'!V152="AM",'_Dates'!V152="PM"))),"CHECK Full day / AM / PM",IF(AND('_Dates'!J152='_Dates'!T152,'_Dates'!U152&lt;&gt;"Full day",'_Dates'!V152&lt;&gt;"Full day",'_Dates'!U152&lt;&gt;'_Dates'!V152),"CHECK same-day portions disagree",IF(AND($B$6=0,OR(AND('_Dates'!U152&lt;&gt;"Full day",'_Dates'!AA152=0),AND('_Dates'!V152&lt;&gt;"Full day",'_Dates'!AB152=0))),"CHECK half-day on non-working date",IF(COUNTIF(Settings!$G$7:$G$11,D152)&lt;&gt;1,"CHECK leave type",IF(AND(Bookings!G152&lt;&gt;"Approved",Bookings!G152&lt;&gt;"Pending",Bookings!G152&lt;&gt;"Cancelled"),"CHECK status","OK")))))))))),"CHECK input"))</ns0:f>
        <ns0:v/>
      </ns0:c>
      <ns0:c r="G152" s="0">
        <ns0:f>IF(OR(F152&lt;&gt;"OK",$B$6&gt;0),0,0.5*(IF(('_Dates'!X152)&lt;('_Dates'!W152),0,INT((('_Dates'!X152)-('_Dates'!W152)+1)/7)*LEN(SUBSTITUTE(W152,"O",""))+LEN(SUBSTITUTE(MID(W152&amp;W152,WEEKDAY(('_Dates'!W152),2),MOD((('_Dates'!X152)-('_Dates'!W152)+1),7)),"O",""))-COUNTIFS(INDEX(AllClosureRows,C152,0),"&gt;="&amp;('_Dates'!W152),INDEX(AllClosureRows,C152,0),"&lt;="&amp;('_Dates'!X152)))+IF(('_Dates'!Z152)&lt;('_Dates'!Y152),0,INT((('_Dates'!Z152)-('_Dates'!Y152)+1)/7)*LEN(SUBSTITUTE(W152,"O",""))+LEN(SUBSTITUTE(MID(W152&amp;W152,WEEKDAY(('_Dates'!Y152),2),MOD((('_Dates'!Z152)-('_Dates'!Y152)+1),7)),"O",""))-COUNTIFS(INDEX(AllClosureRows,C152,0),"&gt;="&amp;('_Dates'!Y152),INDEX(AllClosureRows,C152,0),"&lt;="&amp;('_Dates'!Z152)))))</ns0:f>
        <ns0:v>0</ns0:v>
      </ns0:c>
      <ns0:c r="H152" s="0">
        <ns0:f>IF(OR(F152&lt;&gt;"OK",$B$6&gt;0),0,0.5*(IF((MIN('_Dates'!X152,Settings!$B$9))&lt;('_Dates'!W152),0,INT(((MIN('_Dates'!X152,Settings!$B$9))-('_Dates'!W152)+1)/7)*LEN(SUBSTITUTE(W152,"O",""))+LEN(SUBSTITUTE(MID(W152&amp;W152,WEEKDAY(('_Dates'!W152),2),MOD(((MIN('_Dates'!X152,Settings!$B$9))-('_Dates'!W152)+1),7)),"O",""))-COUNTIFS(INDEX(AllClosureRows,C152,0),"&gt;="&amp;('_Dates'!W152),INDEX(AllClosureRows,C152,0),"&lt;="&amp;(MIN('_Dates'!X152,Settings!$B$9))))+IF((MIN('_Dates'!Z152,Settings!$B$9))&lt;('_Dates'!Y152),0,INT(((MIN('_Dates'!Z152,Settings!$B$9))-('_Dates'!Y152)+1)/7)*LEN(SUBSTITUTE(W152,"O",""))+LEN(SUBSTITUTE(MID(W152&amp;W152,WEEKDAY(('_Dates'!Y152),2),MOD(((MIN('_Dates'!Z152,Settings!$B$9))-('_Dates'!Y152)+1),7)),"O",""))-COUNTIFS(INDEX(AllClosureRows,C152,0),"&gt;="&amp;('_Dates'!Y152),INDEX(AllClosureRows,C152,0),"&lt;="&amp;(MIN('_Dates'!Z152,Settings!$B$9))))))</ns0:f>
        <ns0:v>0</ns0:v>
      </ns0:c>
      <ns0:c r="I152" s="0">
        <ns0:f>MAX(0,G152-H152)</ns0:f>
        <ns0:v>0</ns0:v>
      </ns0:c>
      <ns0:c r="J152" s="0">
        <ns0:f>IF(OR(A152=0,F152&lt;&gt;"OK",Bookings!G152="Cancelled",$B$6&gt;0),0,IF('_Dates'!AC152=1,MAX(0,COUNTIFS(rngEngine_B,B152,rngAMStart,"&lt;="&amp;'_Dates'!X152,rngAMEnd,"&gt;="&amp;'_Dates'!W152,rngAMActive,1,rngEngine_F,"OK",rngBookings_F,"&lt;&gt;Cancelled")-1),0)+IF('_Dates'!AD152=1,MAX(0,COUNTIFS(rngEngine_B,B152,rngPMStart,"&lt;="&amp;'_Dates'!Z152,rngPMEnd,"&gt;="&amp;'_Dates'!Y152,rngPMActive,1,rngEngine_F,"OK",rngBookings_F,"&lt;&gt;Cancelled")-1),0))</ns0:f>
        <ns0:v>0</ns0:v>
      </ns0:c>
      <ns0:c r="K152" s="0" t="str">
        <ns0:f>IF(A152=0,"",IF(F152&lt;&gt;"OK",F152,IF(J152&gt;0,"CHECK overlapping entry",IF(AND($B$6=0,G152&lt;=0,Bookings!G152&lt;&gt;"Cancelled"),"CHECK no working days",IF(Bookings!G152="Cancelled","Cancelled","OK")))))</ns0:f>
        <ns0:v/>
      </ns0:c>
      <ns0:c r="L152" s="0">
        <ns0:f>IF(LEFT(K152,5)="CHECK",1,0)</ns0:f>
        <ns0:v>0</ns0:v>
      </ns0:c>
      <ns0:c r="M152" s="0">
        <ns0:f>IF(AND(L152=1,OR(C152=0,IFERROR(INDEX($X$11:$X$60,C152),0)=0)),1,0)</ns0:f>
        <ns0:v>0</ns0:v>
      </ns0:c>
      <ns0:c r="N152" s="0">
        <ns0:f>IF(OR(A152=0,L152&gt;0,$B$6&gt;0,Bookings!G152="Cancelled"),0,G152)</ns0:f>
        <ns0:v>0</ns0:v>
      </ns0:c>
      <ns0:c r="O152" s="0">
        <ns0:f>IF(AND(Bookings!G152="Approved",E152="Yes"),N152,0)</ns0:f>
        <ns0:v>0</ns0:v>
      </ns0:c>
      <ns0:c r="P152" s="0">
        <ns0:f>IF(AND(Bookings!G152="Approved",E152="Yes",L152=0,$B$6=0),H152,0)</ns0:f>
        <ns0:v>0</ns0:v>
      </ns0:c>
      <ns0:c r="Q152" s="0">
        <ns0:f>IF(AND(Bookings!G152="Approved",E152="Yes",L152=0,$B$6=0),I152,0)</ns0:f>
        <ns0:v>0</ns0:v>
      </ns0:c>
      <ns0:c r="R152" s="0">
        <ns0:f>IF(AND(Bookings!G152="Pending",E152="Yes"),N152,0)</ns0:f>
        <ns0:v>0</ns0:v>
      </ns0:c>
      <ns0:c r="S152" s="0">
        <ns0:f>IF(AND(Bookings!G152="Approved",E152="No"),N152,0)</ns0:f>
        <ns0:v>0</ns0:v>
      </ns0:c>
      <ns0:c r="T152" s="0">
        <ns0:f>IFERROR(MATCH(D152,Settings!$G$7:$G$11,0),0)</ns0:f>
        <ns0:v>0</ns0:v>
      </ns0:c>
      <ns0:c r="U152" s="0">
        <ns0:f>IF(N152&gt;0,T152+IF(Bookings!G152="Pending",10,0),0)</ns0:f>
        <ns0:v>0</ns0:v>
      </ns0:c>
      <ns0:c r="V152" s="0">
        <ns0:f>U152</ns0:f>
        <ns0:v>0</ns0:v>
      </ns0:c>
      <ns0:c r="W152" s="0" t="str">
        <ns0:f>IF(C152=0,"",INDEX($AP$11:$AP$60,C152))</ns0:f>
        <ns0:v/>
      </ns0:c>
    </ns0:row>
    <ns0:row r="153">
      <ns0:c r="A153" s="0">
        <ns0:f>IF(COUNTA(Bookings!A153:G153,Bookings!I153)=0,0,1)</ns0:f>
        <ns0:v>0</ns0:v>
      </ns0:c>
      <ns0:c r="B153" s="0" t="str">
        <ns0:f>IFERROR(TRIM(MID(Bookings!A153,FIND(" · ",Bookings!A153)+3,99)),"")</ns0:f>
        <ns0:v/>
      </ns0:c>
      <ns0:c r="C153" s="0">
        <ns0:f>IF(OR(B153="",LEN(B153)&gt;24,ISNUMBER(FIND(" ",B153)),ISNUMBER(FIND("*",B153)),ISNUMBER(FIND("?",B153)),ISNUMBER(FIND("~",B153))),0,IFERROR(MATCH(B153,Team!$A$11:$A$60,0),0))</ns0:f>
        <ns0:v>0</ns0:v>
      </ns0:c>
      <ns0:c r="D153" s="0" t="str">
        <ns0:f>IFERROR(IF(MID(Bookings!F153,LEN(Bookings!F153)-3,3)=" · ",RIGHT(Bookings!F153,1),""),"")</ns0:f>
        <ns0:v/>
      </ns0:c>
      <ns0:c r="E153" s="0" t="str">
        <ns0:f>IFERROR(INDEX(Settings!$H$7:$H$11,MATCH(D153,Settings!$G$7:$G$11,0)),"")</ns0:f>
        <ns0:v/>
      </ns0:c>
      <ns0:c r="F153" s="0" t="str">
        <ns0:f>IF(A153=0,"",IFERROR(IF(OR(B153="",C153=0),"CHECK employee selection",IF(INDEX(Team!$O$11:$O$60,C153)&lt;&gt;"OK","CHECK employee setup",IF(OR('_Dates'!J153=0,'_Dates'!T153=0),"CHECK date: use DD.MM.YYYY",IF('_Dates'!T153&lt;'_Dates'!J153,"CHECK end before start",IF(AND($B$6=0,OR('_Dates'!J153&lt;Settings!$B$7,'_Dates'!T153&gt;Settings!$B$8)),"CHECK split across leave years",IF(OR(NOT(OR('_Dates'!U153="Full day",'_Dates'!U153="AM",'_Dates'!U153="PM")),NOT(OR('_Dates'!V153="Full day",'_Dates'!V153="AM",'_Dates'!V153="PM"))),"CHECK Full day / AM / PM",IF(AND('_Dates'!J153='_Dates'!T153,'_Dates'!U153&lt;&gt;"Full day",'_Dates'!V153&lt;&gt;"Full day",'_Dates'!U153&lt;&gt;'_Dates'!V153),"CHECK same-day portions disagree",IF(AND($B$6=0,OR(AND('_Dates'!U153&lt;&gt;"Full day",'_Dates'!AA153=0),AND('_Dates'!V153&lt;&gt;"Full day",'_Dates'!AB153=0))),"CHECK half-day on non-working date",IF(COUNTIF(Settings!$G$7:$G$11,D153)&lt;&gt;1,"CHECK leave type",IF(AND(Bookings!G153&lt;&gt;"Approved",Bookings!G153&lt;&gt;"Pending",Bookings!G153&lt;&gt;"Cancelled"),"CHECK status","OK")))))))))),"CHECK input"))</ns0:f>
        <ns0:v/>
      </ns0:c>
      <ns0:c r="G153" s="0">
        <ns0:f>IF(OR(F153&lt;&gt;"OK",$B$6&gt;0),0,0.5*(IF(('_Dates'!X153)&lt;('_Dates'!W153),0,INT((('_Dates'!X153)-('_Dates'!W153)+1)/7)*LEN(SUBSTITUTE(W153,"O",""))+LEN(SUBSTITUTE(MID(W153&amp;W153,WEEKDAY(('_Dates'!W153),2),MOD((('_Dates'!X153)-('_Dates'!W153)+1),7)),"O",""))-COUNTIFS(INDEX(AllClosureRows,C153,0),"&gt;="&amp;('_Dates'!W153),INDEX(AllClosureRows,C153,0),"&lt;="&amp;('_Dates'!X153)))+IF(('_Dates'!Z153)&lt;('_Dates'!Y153),0,INT((('_Dates'!Z153)-('_Dates'!Y153)+1)/7)*LEN(SUBSTITUTE(W153,"O",""))+LEN(SUBSTITUTE(MID(W153&amp;W153,WEEKDAY(('_Dates'!Y153),2),MOD((('_Dates'!Z153)-('_Dates'!Y153)+1),7)),"O",""))-COUNTIFS(INDEX(AllClosureRows,C153,0),"&gt;="&amp;('_Dates'!Y153),INDEX(AllClosureRows,C153,0),"&lt;="&amp;('_Dates'!Z153)))))</ns0:f>
        <ns0:v>0</ns0:v>
      </ns0:c>
      <ns0:c r="H153" s="0">
        <ns0:f>IF(OR(F153&lt;&gt;"OK",$B$6&gt;0),0,0.5*(IF((MIN('_Dates'!X153,Settings!$B$9))&lt;('_Dates'!W153),0,INT(((MIN('_Dates'!X153,Settings!$B$9))-('_Dates'!W153)+1)/7)*LEN(SUBSTITUTE(W153,"O",""))+LEN(SUBSTITUTE(MID(W153&amp;W153,WEEKDAY(('_Dates'!W153),2),MOD(((MIN('_Dates'!X153,Settings!$B$9))-('_Dates'!W153)+1),7)),"O",""))-COUNTIFS(INDEX(AllClosureRows,C153,0),"&gt;="&amp;('_Dates'!W153),INDEX(AllClosureRows,C153,0),"&lt;="&amp;(MIN('_Dates'!X153,Settings!$B$9))))+IF((MIN('_Dates'!Z153,Settings!$B$9))&lt;('_Dates'!Y153),0,INT(((MIN('_Dates'!Z153,Settings!$B$9))-('_Dates'!Y153)+1)/7)*LEN(SUBSTITUTE(W153,"O",""))+LEN(SUBSTITUTE(MID(W153&amp;W153,WEEKDAY(('_Dates'!Y153),2),MOD(((MIN('_Dates'!Z153,Settings!$B$9))-('_Dates'!Y153)+1),7)),"O",""))-COUNTIFS(INDEX(AllClosureRows,C153,0),"&gt;="&amp;('_Dates'!Y153),INDEX(AllClosureRows,C153,0),"&lt;="&amp;(MIN('_Dates'!Z153,Settings!$B$9))))))</ns0:f>
        <ns0:v>0</ns0:v>
      </ns0:c>
      <ns0:c r="I153" s="0">
        <ns0:f>MAX(0,G153-H153)</ns0:f>
        <ns0:v>0</ns0:v>
      </ns0:c>
      <ns0:c r="J153" s="0">
        <ns0:f>IF(OR(A153=0,F153&lt;&gt;"OK",Bookings!G153="Cancelled",$B$6&gt;0),0,IF('_Dates'!AC153=1,MAX(0,COUNTIFS(rngEngine_B,B153,rngAMStart,"&lt;="&amp;'_Dates'!X153,rngAMEnd,"&gt;="&amp;'_Dates'!W153,rngAMActive,1,rngEngine_F,"OK",rngBookings_F,"&lt;&gt;Cancelled")-1),0)+IF('_Dates'!AD153=1,MAX(0,COUNTIFS(rngEngine_B,B153,rngPMStart,"&lt;="&amp;'_Dates'!Z153,rngPMEnd,"&gt;="&amp;'_Dates'!Y153,rngPMActive,1,rngEngine_F,"OK",rngBookings_F,"&lt;&gt;Cancelled")-1),0))</ns0:f>
        <ns0:v>0</ns0:v>
      </ns0:c>
      <ns0:c r="K153" s="0" t="str">
        <ns0:f>IF(A153=0,"",IF(F153&lt;&gt;"OK",F153,IF(J153&gt;0,"CHECK overlapping entry",IF(AND($B$6=0,G153&lt;=0,Bookings!G153&lt;&gt;"Cancelled"),"CHECK no working days",IF(Bookings!G153="Cancelled","Cancelled","OK")))))</ns0:f>
        <ns0:v/>
      </ns0:c>
      <ns0:c r="L153" s="0">
        <ns0:f>IF(LEFT(K153,5)="CHECK",1,0)</ns0:f>
        <ns0:v>0</ns0:v>
      </ns0:c>
      <ns0:c r="M153" s="0">
        <ns0:f>IF(AND(L153=1,OR(C153=0,IFERROR(INDEX($X$11:$X$60,C153),0)=0)),1,0)</ns0:f>
        <ns0:v>0</ns0:v>
      </ns0:c>
      <ns0:c r="N153" s="0">
        <ns0:f>IF(OR(A153=0,L153&gt;0,$B$6&gt;0,Bookings!G153="Cancelled"),0,G153)</ns0:f>
        <ns0:v>0</ns0:v>
      </ns0:c>
      <ns0:c r="O153" s="0">
        <ns0:f>IF(AND(Bookings!G153="Approved",E153="Yes"),N153,0)</ns0:f>
        <ns0:v>0</ns0:v>
      </ns0:c>
      <ns0:c r="P153" s="0">
        <ns0:f>IF(AND(Bookings!G153="Approved",E153="Yes",L153=0,$B$6=0),H153,0)</ns0:f>
        <ns0:v>0</ns0:v>
      </ns0:c>
      <ns0:c r="Q153" s="0">
        <ns0:f>IF(AND(Bookings!G153="Approved",E153="Yes",L153=0,$B$6=0),I153,0)</ns0:f>
        <ns0:v>0</ns0:v>
      </ns0:c>
      <ns0:c r="R153" s="0">
        <ns0:f>IF(AND(Bookings!G153="Pending",E153="Yes"),N153,0)</ns0:f>
        <ns0:v>0</ns0:v>
      </ns0:c>
      <ns0:c r="S153" s="0">
        <ns0:f>IF(AND(Bookings!G153="Approved",E153="No"),N153,0)</ns0:f>
        <ns0:v>0</ns0:v>
      </ns0:c>
      <ns0:c r="T153" s="0">
        <ns0:f>IFERROR(MATCH(D153,Settings!$G$7:$G$11,0),0)</ns0:f>
        <ns0:v>0</ns0:v>
      </ns0:c>
      <ns0:c r="U153" s="0">
        <ns0:f>IF(N153&gt;0,T153+IF(Bookings!G153="Pending",10,0),0)</ns0:f>
        <ns0:v>0</ns0:v>
      </ns0:c>
      <ns0:c r="V153" s="0">
        <ns0:f>U153</ns0:f>
        <ns0:v>0</ns0:v>
      </ns0:c>
      <ns0:c r="W153" s="0" t="str">
        <ns0:f>IF(C153=0,"",INDEX($AP$11:$AP$60,C153))</ns0:f>
        <ns0:v/>
      </ns0:c>
    </ns0:row>
    <ns0:row r="154">
      <ns0:c r="A154" s="0">
        <ns0:f>IF(COUNTA(Bookings!A154:G154,Bookings!I154)=0,0,1)</ns0:f>
        <ns0:v>0</ns0:v>
      </ns0:c>
      <ns0:c r="B154" s="0" t="str">
        <ns0:f>IFERROR(TRIM(MID(Bookings!A154,FIND(" · ",Bookings!A154)+3,99)),"")</ns0:f>
        <ns0:v/>
      </ns0:c>
      <ns0:c r="C154" s="0">
        <ns0:f>IF(OR(B154="",LEN(B154)&gt;24,ISNUMBER(FIND(" ",B154)),ISNUMBER(FIND("*",B154)),ISNUMBER(FIND("?",B154)),ISNUMBER(FIND("~",B154))),0,IFERROR(MATCH(B154,Team!$A$11:$A$60,0),0))</ns0:f>
        <ns0:v>0</ns0:v>
      </ns0:c>
      <ns0:c r="D154" s="0" t="str">
        <ns0:f>IFERROR(IF(MID(Bookings!F154,LEN(Bookings!F154)-3,3)=" · ",RIGHT(Bookings!F154,1),""),"")</ns0:f>
        <ns0:v/>
      </ns0:c>
      <ns0:c r="E154" s="0" t="str">
        <ns0:f>IFERROR(INDEX(Settings!$H$7:$H$11,MATCH(D154,Settings!$G$7:$G$11,0)),"")</ns0:f>
        <ns0:v/>
      </ns0:c>
      <ns0:c r="F154" s="0" t="str">
        <ns0:f>IF(A154=0,"",IFERROR(IF(OR(B154="",C154=0),"CHECK employee selection",IF(INDEX(Team!$O$11:$O$60,C154)&lt;&gt;"OK","CHECK employee setup",IF(OR('_Dates'!J154=0,'_Dates'!T154=0),"CHECK date: use DD.MM.YYYY",IF('_Dates'!T154&lt;'_Dates'!J154,"CHECK end before start",IF(AND($B$6=0,OR('_Dates'!J154&lt;Settings!$B$7,'_Dates'!T154&gt;Settings!$B$8)),"CHECK split across leave years",IF(OR(NOT(OR('_Dates'!U154="Full day",'_Dates'!U154="AM",'_Dates'!U154="PM")),NOT(OR('_Dates'!V154="Full day",'_Dates'!V154="AM",'_Dates'!V154="PM"))),"CHECK Full day / AM / PM",IF(AND('_Dates'!J154='_Dates'!T154,'_Dates'!U154&lt;&gt;"Full day",'_Dates'!V154&lt;&gt;"Full day",'_Dates'!U154&lt;&gt;'_Dates'!V154),"CHECK same-day portions disagree",IF(AND($B$6=0,OR(AND('_Dates'!U154&lt;&gt;"Full day",'_Dates'!AA154=0),AND('_Dates'!V154&lt;&gt;"Full day",'_Dates'!AB154=0))),"CHECK half-day on non-working date",IF(COUNTIF(Settings!$G$7:$G$11,D154)&lt;&gt;1,"CHECK leave type",IF(AND(Bookings!G154&lt;&gt;"Approved",Bookings!G154&lt;&gt;"Pending",Bookings!G154&lt;&gt;"Cancelled"),"CHECK status","OK")))))))))),"CHECK input"))</ns0:f>
        <ns0:v/>
      </ns0:c>
      <ns0:c r="G154" s="0">
        <ns0:f>IF(OR(F154&lt;&gt;"OK",$B$6&gt;0),0,0.5*(IF(('_Dates'!X154)&lt;('_Dates'!W154),0,INT((('_Dates'!X154)-('_Dates'!W154)+1)/7)*LEN(SUBSTITUTE(W154,"O",""))+LEN(SUBSTITUTE(MID(W154&amp;W154,WEEKDAY(('_Dates'!W154),2),MOD((('_Dates'!X154)-('_Dates'!W154)+1),7)),"O",""))-COUNTIFS(INDEX(AllClosureRows,C154,0),"&gt;="&amp;('_Dates'!W154),INDEX(AllClosureRows,C154,0),"&lt;="&amp;('_Dates'!X154)))+IF(('_Dates'!Z154)&lt;('_Dates'!Y154),0,INT((('_Dates'!Z154)-('_Dates'!Y154)+1)/7)*LEN(SUBSTITUTE(W154,"O",""))+LEN(SUBSTITUTE(MID(W154&amp;W154,WEEKDAY(('_Dates'!Y154),2),MOD((('_Dates'!Z154)-('_Dates'!Y154)+1),7)),"O",""))-COUNTIFS(INDEX(AllClosureRows,C154,0),"&gt;="&amp;('_Dates'!Y154),INDEX(AllClosureRows,C154,0),"&lt;="&amp;('_Dates'!Z154)))))</ns0:f>
        <ns0:v>0</ns0:v>
      </ns0:c>
      <ns0:c r="H154" s="0">
        <ns0:f>IF(OR(F154&lt;&gt;"OK",$B$6&gt;0),0,0.5*(IF((MIN('_Dates'!X154,Settings!$B$9))&lt;('_Dates'!W154),0,INT(((MIN('_Dates'!X154,Settings!$B$9))-('_Dates'!W154)+1)/7)*LEN(SUBSTITUTE(W154,"O",""))+LEN(SUBSTITUTE(MID(W154&amp;W154,WEEKDAY(('_Dates'!W154),2),MOD(((MIN('_Dates'!X154,Settings!$B$9))-('_Dates'!W154)+1),7)),"O",""))-COUNTIFS(INDEX(AllClosureRows,C154,0),"&gt;="&amp;('_Dates'!W154),INDEX(AllClosureRows,C154,0),"&lt;="&amp;(MIN('_Dates'!X154,Settings!$B$9))))+IF((MIN('_Dates'!Z154,Settings!$B$9))&lt;('_Dates'!Y154),0,INT(((MIN('_Dates'!Z154,Settings!$B$9))-('_Dates'!Y154)+1)/7)*LEN(SUBSTITUTE(W154,"O",""))+LEN(SUBSTITUTE(MID(W154&amp;W154,WEEKDAY(('_Dates'!Y154),2),MOD(((MIN('_Dates'!Z154,Settings!$B$9))-('_Dates'!Y154)+1),7)),"O",""))-COUNTIFS(INDEX(AllClosureRows,C154,0),"&gt;="&amp;('_Dates'!Y154),INDEX(AllClosureRows,C154,0),"&lt;="&amp;(MIN('_Dates'!Z154,Settings!$B$9))))))</ns0:f>
        <ns0:v>0</ns0:v>
      </ns0:c>
      <ns0:c r="I154" s="0">
        <ns0:f>MAX(0,G154-H154)</ns0:f>
        <ns0:v>0</ns0:v>
      </ns0:c>
      <ns0:c r="J154" s="0">
        <ns0:f>IF(OR(A154=0,F154&lt;&gt;"OK",Bookings!G154="Cancelled",$B$6&gt;0),0,IF('_Dates'!AC154=1,MAX(0,COUNTIFS(rngEngine_B,B154,rngAMStart,"&lt;="&amp;'_Dates'!X154,rngAMEnd,"&gt;="&amp;'_Dates'!W154,rngAMActive,1,rngEngine_F,"OK",rngBookings_F,"&lt;&gt;Cancelled")-1),0)+IF('_Dates'!AD154=1,MAX(0,COUNTIFS(rngEngine_B,B154,rngPMStart,"&lt;="&amp;'_Dates'!Z154,rngPMEnd,"&gt;="&amp;'_Dates'!Y154,rngPMActive,1,rngEngine_F,"OK",rngBookings_F,"&lt;&gt;Cancelled")-1),0))</ns0:f>
        <ns0:v>0</ns0:v>
      </ns0:c>
      <ns0:c r="K154" s="0" t="str">
        <ns0:f>IF(A154=0,"",IF(F154&lt;&gt;"OK",F154,IF(J154&gt;0,"CHECK overlapping entry",IF(AND($B$6=0,G154&lt;=0,Bookings!G154&lt;&gt;"Cancelled"),"CHECK no working days",IF(Bookings!G154="Cancelled","Cancelled","OK")))))</ns0:f>
        <ns0:v/>
      </ns0:c>
      <ns0:c r="L154" s="0">
        <ns0:f>IF(LEFT(K154,5)="CHECK",1,0)</ns0:f>
        <ns0:v>0</ns0:v>
      </ns0:c>
      <ns0:c r="M154" s="0">
        <ns0:f>IF(AND(L154=1,OR(C154=0,IFERROR(INDEX($X$11:$X$60,C154),0)=0)),1,0)</ns0:f>
        <ns0:v>0</ns0:v>
      </ns0:c>
      <ns0:c r="N154" s="0">
        <ns0:f>IF(OR(A154=0,L154&gt;0,$B$6&gt;0,Bookings!G154="Cancelled"),0,G154)</ns0:f>
        <ns0:v>0</ns0:v>
      </ns0:c>
      <ns0:c r="O154" s="0">
        <ns0:f>IF(AND(Bookings!G154="Approved",E154="Yes"),N154,0)</ns0:f>
        <ns0:v>0</ns0:v>
      </ns0:c>
      <ns0:c r="P154" s="0">
        <ns0:f>IF(AND(Bookings!G154="Approved",E154="Yes",L154=0,$B$6=0),H154,0)</ns0:f>
        <ns0:v>0</ns0:v>
      </ns0:c>
      <ns0:c r="Q154" s="0">
        <ns0:f>IF(AND(Bookings!G154="Approved",E154="Yes",L154=0,$B$6=0),I154,0)</ns0:f>
        <ns0:v>0</ns0:v>
      </ns0:c>
      <ns0:c r="R154" s="0">
        <ns0:f>IF(AND(Bookings!G154="Pending",E154="Yes"),N154,0)</ns0:f>
        <ns0:v>0</ns0:v>
      </ns0:c>
      <ns0:c r="S154" s="0">
        <ns0:f>IF(AND(Bookings!G154="Approved",E154="No"),N154,0)</ns0:f>
        <ns0:v>0</ns0:v>
      </ns0:c>
      <ns0:c r="T154" s="0">
        <ns0:f>IFERROR(MATCH(D154,Settings!$G$7:$G$11,0),0)</ns0:f>
        <ns0:v>0</ns0:v>
      </ns0:c>
      <ns0:c r="U154" s="0">
        <ns0:f>IF(N154&gt;0,T154+IF(Bookings!G154="Pending",10,0),0)</ns0:f>
        <ns0:v>0</ns0:v>
      </ns0:c>
      <ns0:c r="V154" s="0">
        <ns0:f>U154</ns0:f>
        <ns0:v>0</ns0:v>
      </ns0:c>
      <ns0:c r="W154" s="0" t="str">
        <ns0:f>IF(C154=0,"",INDEX($AP$11:$AP$60,C154))</ns0:f>
        <ns0:v/>
      </ns0:c>
    </ns0:row>
    <ns0:row r="155">
      <ns0:c r="A155" s="0">
        <ns0:f>IF(COUNTA(Bookings!A155:G155,Bookings!I155)=0,0,1)</ns0:f>
        <ns0:v>0</ns0:v>
      </ns0:c>
      <ns0:c r="B155" s="0" t="str">
        <ns0:f>IFERROR(TRIM(MID(Bookings!A155,FIND(" · ",Bookings!A155)+3,99)),"")</ns0:f>
        <ns0:v/>
      </ns0:c>
      <ns0:c r="C155" s="0">
        <ns0:f>IF(OR(B155="",LEN(B155)&gt;24,ISNUMBER(FIND(" ",B155)),ISNUMBER(FIND("*",B155)),ISNUMBER(FIND("?",B155)),ISNUMBER(FIND("~",B155))),0,IFERROR(MATCH(B155,Team!$A$11:$A$60,0),0))</ns0:f>
        <ns0:v>0</ns0:v>
      </ns0:c>
      <ns0:c r="D155" s="0" t="str">
        <ns0:f>IFERROR(IF(MID(Bookings!F155,LEN(Bookings!F155)-3,3)=" · ",RIGHT(Bookings!F155,1),""),"")</ns0:f>
        <ns0:v/>
      </ns0:c>
      <ns0:c r="E155" s="0" t="str">
        <ns0:f>IFERROR(INDEX(Settings!$H$7:$H$11,MATCH(D155,Settings!$G$7:$G$11,0)),"")</ns0:f>
        <ns0:v/>
      </ns0:c>
      <ns0:c r="F155" s="0" t="str">
        <ns0:f>IF(A155=0,"",IFERROR(IF(OR(B155="",C155=0),"CHECK employee selection",IF(INDEX(Team!$O$11:$O$60,C155)&lt;&gt;"OK","CHECK employee setup",IF(OR('_Dates'!J155=0,'_Dates'!T155=0),"CHECK date: use DD.MM.YYYY",IF('_Dates'!T155&lt;'_Dates'!J155,"CHECK end before start",IF(AND($B$6=0,OR('_Dates'!J155&lt;Settings!$B$7,'_Dates'!T155&gt;Settings!$B$8)),"CHECK split across leave years",IF(OR(NOT(OR('_Dates'!U155="Full day",'_Dates'!U155="AM",'_Dates'!U155="PM")),NOT(OR('_Dates'!V155="Full day",'_Dates'!V155="AM",'_Dates'!V155="PM"))),"CHECK Full day / AM / PM",IF(AND('_Dates'!J155='_Dates'!T155,'_Dates'!U155&lt;&gt;"Full day",'_Dates'!V155&lt;&gt;"Full day",'_Dates'!U155&lt;&gt;'_Dates'!V155),"CHECK same-day portions disagree",IF(AND($B$6=0,OR(AND('_Dates'!U155&lt;&gt;"Full day",'_Dates'!AA155=0),AND('_Dates'!V155&lt;&gt;"Full day",'_Dates'!AB155=0))),"CHECK half-day on non-working date",IF(COUNTIF(Settings!$G$7:$G$11,D155)&lt;&gt;1,"CHECK leave type",IF(AND(Bookings!G155&lt;&gt;"Approved",Bookings!G155&lt;&gt;"Pending",Bookings!G155&lt;&gt;"Cancelled"),"CHECK status","OK")))))))))),"CHECK input"))</ns0:f>
        <ns0:v/>
      </ns0:c>
      <ns0:c r="G155" s="0">
        <ns0:f>IF(OR(F155&lt;&gt;"OK",$B$6&gt;0),0,0.5*(IF(('_Dates'!X155)&lt;('_Dates'!W155),0,INT((('_Dates'!X155)-('_Dates'!W155)+1)/7)*LEN(SUBSTITUTE(W155,"O",""))+LEN(SUBSTITUTE(MID(W155&amp;W155,WEEKDAY(('_Dates'!W155),2),MOD((('_Dates'!X155)-('_Dates'!W155)+1),7)),"O",""))-COUNTIFS(INDEX(AllClosureRows,C155,0),"&gt;="&amp;('_Dates'!W155),INDEX(AllClosureRows,C155,0),"&lt;="&amp;('_Dates'!X155)))+IF(('_Dates'!Z155)&lt;('_Dates'!Y155),0,INT((('_Dates'!Z155)-('_Dates'!Y155)+1)/7)*LEN(SUBSTITUTE(W155,"O",""))+LEN(SUBSTITUTE(MID(W155&amp;W155,WEEKDAY(('_Dates'!Y155),2),MOD((('_Dates'!Z155)-('_Dates'!Y155)+1),7)),"O",""))-COUNTIFS(INDEX(AllClosureRows,C155,0),"&gt;="&amp;('_Dates'!Y155),INDEX(AllClosureRows,C155,0),"&lt;="&amp;('_Dates'!Z155)))))</ns0:f>
        <ns0:v>0</ns0:v>
      </ns0:c>
      <ns0:c r="H155" s="0">
        <ns0:f>IF(OR(F155&lt;&gt;"OK",$B$6&gt;0),0,0.5*(IF((MIN('_Dates'!X155,Settings!$B$9))&lt;('_Dates'!W155),0,INT(((MIN('_Dates'!X155,Settings!$B$9))-('_Dates'!W155)+1)/7)*LEN(SUBSTITUTE(W155,"O",""))+LEN(SUBSTITUTE(MID(W155&amp;W155,WEEKDAY(('_Dates'!W155),2),MOD(((MIN('_Dates'!X155,Settings!$B$9))-('_Dates'!W155)+1),7)),"O",""))-COUNTIFS(INDEX(AllClosureRows,C155,0),"&gt;="&amp;('_Dates'!W155),INDEX(AllClosureRows,C155,0),"&lt;="&amp;(MIN('_Dates'!X155,Settings!$B$9))))+IF((MIN('_Dates'!Z155,Settings!$B$9))&lt;('_Dates'!Y155),0,INT(((MIN('_Dates'!Z155,Settings!$B$9))-('_Dates'!Y155)+1)/7)*LEN(SUBSTITUTE(W155,"O",""))+LEN(SUBSTITUTE(MID(W155&amp;W155,WEEKDAY(('_Dates'!Y155),2),MOD(((MIN('_Dates'!Z155,Settings!$B$9))-('_Dates'!Y155)+1),7)),"O",""))-COUNTIFS(INDEX(AllClosureRows,C155,0),"&gt;="&amp;('_Dates'!Y155),INDEX(AllClosureRows,C155,0),"&lt;="&amp;(MIN('_Dates'!Z155,Settings!$B$9))))))</ns0:f>
        <ns0:v>0</ns0:v>
      </ns0:c>
      <ns0:c r="I155" s="0">
        <ns0:f>MAX(0,G155-H155)</ns0:f>
        <ns0:v>0</ns0:v>
      </ns0:c>
      <ns0:c r="J155" s="0">
        <ns0:f>IF(OR(A155=0,F155&lt;&gt;"OK",Bookings!G155="Cancelled",$B$6&gt;0),0,IF('_Dates'!AC155=1,MAX(0,COUNTIFS(rngEngine_B,B155,rngAMStart,"&lt;="&amp;'_Dates'!X155,rngAMEnd,"&gt;="&amp;'_Dates'!W155,rngAMActive,1,rngEngine_F,"OK",rngBookings_F,"&lt;&gt;Cancelled")-1),0)+IF('_Dates'!AD155=1,MAX(0,COUNTIFS(rngEngine_B,B155,rngPMStart,"&lt;="&amp;'_Dates'!Z155,rngPMEnd,"&gt;="&amp;'_Dates'!Y155,rngPMActive,1,rngEngine_F,"OK",rngBookings_F,"&lt;&gt;Cancelled")-1),0))</ns0:f>
        <ns0:v>0</ns0:v>
      </ns0:c>
      <ns0:c r="K155" s="0" t="str">
        <ns0:f>IF(A155=0,"",IF(F155&lt;&gt;"OK",F155,IF(J155&gt;0,"CHECK overlapping entry",IF(AND($B$6=0,G155&lt;=0,Bookings!G155&lt;&gt;"Cancelled"),"CHECK no working days",IF(Bookings!G155="Cancelled","Cancelled","OK")))))</ns0:f>
        <ns0:v/>
      </ns0:c>
      <ns0:c r="L155" s="0">
        <ns0:f>IF(LEFT(K155,5)="CHECK",1,0)</ns0:f>
        <ns0:v>0</ns0:v>
      </ns0:c>
      <ns0:c r="M155" s="0">
        <ns0:f>IF(AND(L155=1,OR(C155=0,IFERROR(INDEX($X$11:$X$60,C155),0)=0)),1,0)</ns0:f>
        <ns0:v>0</ns0:v>
      </ns0:c>
      <ns0:c r="N155" s="0">
        <ns0:f>IF(OR(A155=0,L155&gt;0,$B$6&gt;0,Bookings!G155="Cancelled"),0,G155)</ns0:f>
        <ns0:v>0</ns0:v>
      </ns0:c>
      <ns0:c r="O155" s="0">
        <ns0:f>IF(AND(Bookings!G155="Approved",E155="Yes"),N155,0)</ns0:f>
        <ns0:v>0</ns0:v>
      </ns0:c>
      <ns0:c r="P155" s="0">
        <ns0:f>IF(AND(Bookings!G155="Approved",E155="Yes",L155=0,$B$6=0),H155,0)</ns0:f>
        <ns0:v>0</ns0:v>
      </ns0:c>
      <ns0:c r="Q155" s="0">
        <ns0:f>IF(AND(Bookings!G155="Approved",E155="Yes",L155=0,$B$6=0),I155,0)</ns0:f>
        <ns0:v>0</ns0:v>
      </ns0:c>
      <ns0:c r="R155" s="0">
        <ns0:f>IF(AND(Bookings!G155="Pending",E155="Yes"),N155,0)</ns0:f>
        <ns0:v>0</ns0:v>
      </ns0:c>
      <ns0:c r="S155" s="0">
        <ns0:f>IF(AND(Bookings!G155="Approved",E155="No"),N155,0)</ns0:f>
        <ns0:v>0</ns0:v>
      </ns0:c>
      <ns0:c r="T155" s="0">
        <ns0:f>IFERROR(MATCH(D155,Settings!$G$7:$G$11,0),0)</ns0:f>
        <ns0:v>0</ns0:v>
      </ns0:c>
      <ns0:c r="U155" s="0">
        <ns0:f>IF(N155&gt;0,T155+IF(Bookings!G155="Pending",10,0),0)</ns0:f>
        <ns0:v>0</ns0:v>
      </ns0:c>
      <ns0:c r="V155" s="0">
        <ns0:f>U155</ns0:f>
        <ns0:v>0</ns0:v>
      </ns0:c>
      <ns0:c r="W155" s="0" t="str">
        <ns0:f>IF(C155=0,"",INDEX($AP$11:$AP$60,C155))</ns0:f>
        <ns0:v/>
      </ns0:c>
    </ns0:row>
    <ns0:row r="156">
      <ns0:c r="A156" s="0">
        <ns0:f>IF(COUNTA(Bookings!A156:G156,Bookings!I156)=0,0,1)</ns0:f>
        <ns0:v>0</ns0:v>
      </ns0:c>
      <ns0:c r="B156" s="0" t="str">
        <ns0:f>IFERROR(TRIM(MID(Bookings!A156,FIND(" · ",Bookings!A156)+3,99)),"")</ns0:f>
        <ns0:v/>
      </ns0:c>
      <ns0:c r="C156" s="0">
        <ns0:f>IF(OR(B156="",LEN(B156)&gt;24,ISNUMBER(FIND(" ",B156)),ISNUMBER(FIND("*",B156)),ISNUMBER(FIND("?",B156)),ISNUMBER(FIND("~",B156))),0,IFERROR(MATCH(B156,Team!$A$11:$A$60,0),0))</ns0:f>
        <ns0:v>0</ns0:v>
      </ns0:c>
      <ns0:c r="D156" s="0" t="str">
        <ns0:f>IFERROR(IF(MID(Bookings!F156,LEN(Bookings!F156)-3,3)=" · ",RIGHT(Bookings!F156,1),""),"")</ns0:f>
        <ns0:v/>
      </ns0:c>
      <ns0:c r="E156" s="0" t="str">
        <ns0:f>IFERROR(INDEX(Settings!$H$7:$H$11,MATCH(D156,Settings!$G$7:$G$11,0)),"")</ns0:f>
        <ns0:v/>
      </ns0:c>
      <ns0:c r="F156" s="0" t="str">
        <ns0:f>IF(A156=0,"",IFERROR(IF(OR(B156="",C156=0),"CHECK employee selection",IF(INDEX(Team!$O$11:$O$60,C156)&lt;&gt;"OK","CHECK employee setup",IF(OR('_Dates'!J156=0,'_Dates'!T156=0),"CHECK date: use DD.MM.YYYY",IF('_Dates'!T156&lt;'_Dates'!J156,"CHECK end before start",IF(AND($B$6=0,OR('_Dates'!J156&lt;Settings!$B$7,'_Dates'!T156&gt;Settings!$B$8)),"CHECK split across leave years",IF(OR(NOT(OR('_Dates'!U156="Full day",'_Dates'!U156="AM",'_Dates'!U156="PM")),NOT(OR('_Dates'!V156="Full day",'_Dates'!V156="AM",'_Dates'!V156="PM"))),"CHECK Full day / AM / PM",IF(AND('_Dates'!J156='_Dates'!T156,'_Dates'!U156&lt;&gt;"Full day",'_Dates'!V156&lt;&gt;"Full day",'_Dates'!U156&lt;&gt;'_Dates'!V156),"CHECK same-day portions disagree",IF(AND($B$6=0,OR(AND('_Dates'!U156&lt;&gt;"Full day",'_Dates'!AA156=0),AND('_Dates'!V156&lt;&gt;"Full day",'_Dates'!AB156=0))),"CHECK half-day on non-working date",IF(COUNTIF(Settings!$G$7:$G$11,D156)&lt;&gt;1,"CHECK leave type",IF(AND(Bookings!G156&lt;&gt;"Approved",Bookings!G156&lt;&gt;"Pending",Bookings!G156&lt;&gt;"Cancelled"),"CHECK status","OK")))))))))),"CHECK input"))</ns0:f>
        <ns0:v/>
      </ns0:c>
      <ns0:c r="G156" s="0">
        <ns0:f>IF(OR(F156&lt;&gt;"OK",$B$6&gt;0),0,0.5*(IF(('_Dates'!X156)&lt;('_Dates'!W156),0,INT((('_Dates'!X156)-('_Dates'!W156)+1)/7)*LEN(SUBSTITUTE(W156,"O",""))+LEN(SUBSTITUTE(MID(W156&amp;W156,WEEKDAY(('_Dates'!W156),2),MOD((('_Dates'!X156)-('_Dates'!W156)+1),7)),"O",""))-COUNTIFS(INDEX(AllClosureRows,C156,0),"&gt;="&amp;('_Dates'!W156),INDEX(AllClosureRows,C156,0),"&lt;="&amp;('_Dates'!X156)))+IF(('_Dates'!Z156)&lt;('_Dates'!Y156),0,INT((('_Dates'!Z156)-('_Dates'!Y156)+1)/7)*LEN(SUBSTITUTE(W156,"O",""))+LEN(SUBSTITUTE(MID(W156&amp;W156,WEEKDAY(('_Dates'!Y156),2),MOD((('_Dates'!Z156)-('_Dates'!Y156)+1),7)),"O",""))-COUNTIFS(INDEX(AllClosureRows,C156,0),"&gt;="&amp;('_Dates'!Y156),INDEX(AllClosureRows,C156,0),"&lt;="&amp;('_Dates'!Z156)))))</ns0:f>
        <ns0:v>0</ns0:v>
      </ns0:c>
      <ns0:c r="H156" s="0">
        <ns0:f>IF(OR(F156&lt;&gt;"OK",$B$6&gt;0),0,0.5*(IF((MIN('_Dates'!X156,Settings!$B$9))&lt;('_Dates'!W156),0,INT(((MIN('_Dates'!X156,Settings!$B$9))-('_Dates'!W156)+1)/7)*LEN(SUBSTITUTE(W156,"O",""))+LEN(SUBSTITUTE(MID(W156&amp;W156,WEEKDAY(('_Dates'!W156),2),MOD(((MIN('_Dates'!X156,Settings!$B$9))-('_Dates'!W156)+1),7)),"O",""))-COUNTIFS(INDEX(AllClosureRows,C156,0),"&gt;="&amp;('_Dates'!W156),INDEX(AllClosureRows,C156,0),"&lt;="&amp;(MIN('_Dates'!X156,Settings!$B$9))))+IF((MIN('_Dates'!Z156,Settings!$B$9))&lt;('_Dates'!Y156),0,INT(((MIN('_Dates'!Z156,Settings!$B$9))-('_Dates'!Y156)+1)/7)*LEN(SUBSTITUTE(W156,"O",""))+LEN(SUBSTITUTE(MID(W156&amp;W156,WEEKDAY(('_Dates'!Y156),2),MOD(((MIN('_Dates'!Z156,Settings!$B$9))-('_Dates'!Y156)+1),7)),"O",""))-COUNTIFS(INDEX(AllClosureRows,C156,0),"&gt;="&amp;('_Dates'!Y156),INDEX(AllClosureRows,C156,0),"&lt;="&amp;(MIN('_Dates'!Z156,Settings!$B$9))))))</ns0:f>
        <ns0:v>0</ns0:v>
      </ns0:c>
      <ns0:c r="I156" s="0">
        <ns0:f>MAX(0,G156-H156)</ns0:f>
        <ns0:v>0</ns0:v>
      </ns0:c>
      <ns0:c r="J156" s="0">
        <ns0:f>IF(OR(A156=0,F156&lt;&gt;"OK",Bookings!G156="Cancelled",$B$6&gt;0),0,IF('_Dates'!AC156=1,MAX(0,COUNTIFS(rngEngine_B,B156,rngAMStart,"&lt;="&amp;'_Dates'!X156,rngAMEnd,"&gt;="&amp;'_Dates'!W156,rngAMActive,1,rngEngine_F,"OK",rngBookings_F,"&lt;&gt;Cancelled")-1),0)+IF('_Dates'!AD156=1,MAX(0,COUNTIFS(rngEngine_B,B156,rngPMStart,"&lt;="&amp;'_Dates'!Z156,rngPMEnd,"&gt;="&amp;'_Dates'!Y156,rngPMActive,1,rngEngine_F,"OK",rngBookings_F,"&lt;&gt;Cancelled")-1),0))</ns0:f>
        <ns0:v>0</ns0:v>
      </ns0:c>
      <ns0:c r="K156" s="0" t="str">
        <ns0:f>IF(A156=0,"",IF(F156&lt;&gt;"OK",F156,IF(J156&gt;0,"CHECK overlapping entry",IF(AND($B$6=0,G156&lt;=0,Bookings!G156&lt;&gt;"Cancelled"),"CHECK no working days",IF(Bookings!G156="Cancelled","Cancelled","OK")))))</ns0:f>
        <ns0:v/>
      </ns0:c>
      <ns0:c r="L156" s="0">
        <ns0:f>IF(LEFT(K156,5)="CHECK",1,0)</ns0:f>
        <ns0:v>0</ns0:v>
      </ns0:c>
      <ns0:c r="M156" s="0">
        <ns0:f>IF(AND(L156=1,OR(C156=0,IFERROR(INDEX($X$11:$X$60,C156),0)=0)),1,0)</ns0:f>
        <ns0:v>0</ns0:v>
      </ns0:c>
      <ns0:c r="N156" s="0">
        <ns0:f>IF(OR(A156=0,L156&gt;0,$B$6&gt;0,Bookings!G156="Cancelled"),0,G156)</ns0:f>
        <ns0:v>0</ns0:v>
      </ns0:c>
      <ns0:c r="O156" s="0">
        <ns0:f>IF(AND(Bookings!G156="Approved",E156="Yes"),N156,0)</ns0:f>
        <ns0:v>0</ns0:v>
      </ns0:c>
      <ns0:c r="P156" s="0">
        <ns0:f>IF(AND(Bookings!G156="Approved",E156="Yes",L156=0,$B$6=0),H156,0)</ns0:f>
        <ns0:v>0</ns0:v>
      </ns0:c>
      <ns0:c r="Q156" s="0">
        <ns0:f>IF(AND(Bookings!G156="Approved",E156="Yes",L156=0,$B$6=0),I156,0)</ns0:f>
        <ns0:v>0</ns0:v>
      </ns0:c>
      <ns0:c r="R156" s="0">
        <ns0:f>IF(AND(Bookings!G156="Pending",E156="Yes"),N156,0)</ns0:f>
        <ns0:v>0</ns0:v>
      </ns0:c>
      <ns0:c r="S156" s="0">
        <ns0:f>IF(AND(Bookings!G156="Approved",E156="No"),N156,0)</ns0:f>
        <ns0:v>0</ns0:v>
      </ns0:c>
      <ns0:c r="T156" s="0">
        <ns0:f>IFERROR(MATCH(D156,Settings!$G$7:$G$11,0),0)</ns0:f>
        <ns0:v>0</ns0:v>
      </ns0:c>
      <ns0:c r="U156" s="0">
        <ns0:f>IF(N156&gt;0,T156+IF(Bookings!G156="Pending",10,0),0)</ns0:f>
        <ns0:v>0</ns0:v>
      </ns0:c>
      <ns0:c r="V156" s="0">
        <ns0:f>U156</ns0:f>
        <ns0:v>0</ns0:v>
      </ns0:c>
      <ns0:c r="W156" s="0" t="str">
        <ns0:f>IF(C156=0,"",INDEX($AP$11:$AP$60,C156))</ns0:f>
        <ns0:v/>
      </ns0:c>
    </ns0:row>
    <ns0:row r="157">
      <ns0:c r="A157" s="0">
        <ns0:f>IF(COUNTA(Bookings!A157:G157,Bookings!I157)=0,0,1)</ns0:f>
        <ns0:v>0</ns0:v>
      </ns0:c>
      <ns0:c r="B157" s="0" t="str">
        <ns0:f>IFERROR(TRIM(MID(Bookings!A157,FIND(" · ",Bookings!A157)+3,99)),"")</ns0:f>
        <ns0:v/>
      </ns0:c>
      <ns0:c r="C157" s="0">
        <ns0:f>IF(OR(B157="",LEN(B157)&gt;24,ISNUMBER(FIND(" ",B157)),ISNUMBER(FIND("*",B157)),ISNUMBER(FIND("?",B157)),ISNUMBER(FIND("~",B157))),0,IFERROR(MATCH(B157,Team!$A$11:$A$60,0),0))</ns0:f>
        <ns0:v>0</ns0:v>
      </ns0:c>
      <ns0:c r="D157" s="0" t="str">
        <ns0:f>IFERROR(IF(MID(Bookings!F157,LEN(Bookings!F157)-3,3)=" · ",RIGHT(Bookings!F157,1),""),"")</ns0:f>
        <ns0:v/>
      </ns0:c>
      <ns0:c r="E157" s="0" t="str">
        <ns0:f>IFERROR(INDEX(Settings!$H$7:$H$11,MATCH(D157,Settings!$G$7:$G$11,0)),"")</ns0:f>
        <ns0:v/>
      </ns0:c>
      <ns0:c r="F157" s="0" t="str">
        <ns0:f>IF(A157=0,"",IFERROR(IF(OR(B157="",C157=0),"CHECK employee selection",IF(INDEX(Team!$O$11:$O$60,C157)&lt;&gt;"OK","CHECK employee setup",IF(OR('_Dates'!J157=0,'_Dates'!T157=0),"CHECK date: use DD.MM.YYYY",IF('_Dates'!T157&lt;'_Dates'!J157,"CHECK end before start",IF(AND($B$6=0,OR('_Dates'!J157&lt;Settings!$B$7,'_Dates'!T157&gt;Settings!$B$8)),"CHECK split across leave years",IF(OR(NOT(OR('_Dates'!U157="Full day",'_Dates'!U157="AM",'_Dates'!U157="PM")),NOT(OR('_Dates'!V157="Full day",'_Dates'!V157="AM",'_Dates'!V157="PM"))),"CHECK Full day / AM / PM",IF(AND('_Dates'!J157='_Dates'!T157,'_Dates'!U157&lt;&gt;"Full day",'_Dates'!V157&lt;&gt;"Full day",'_Dates'!U157&lt;&gt;'_Dates'!V157),"CHECK same-day portions disagree",IF(AND($B$6=0,OR(AND('_Dates'!U157&lt;&gt;"Full day",'_Dates'!AA157=0),AND('_Dates'!V157&lt;&gt;"Full day",'_Dates'!AB157=0))),"CHECK half-day on non-working date",IF(COUNTIF(Settings!$G$7:$G$11,D157)&lt;&gt;1,"CHECK leave type",IF(AND(Bookings!G157&lt;&gt;"Approved",Bookings!G157&lt;&gt;"Pending",Bookings!G157&lt;&gt;"Cancelled"),"CHECK status","OK")))))))))),"CHECK input"))</ns0:f>
        <ns0:v/>
      </ns0:c>
      <ns0:c r="G157" s="0">
        <ns0:f>IF(OR(F157&lt;&gt;"OK",$B$6&gt;0),0,0.5*(IF(('_Dates'!X157)&lt;('_Dates'!W157),0,INT((('_Dates'!X157)-('_Dates'!W157)+1)/7)*LEN(SUBSTITUTE(W157,"O",""))+LEN(SUBSTITUTE(MID(W157&amp;W157,WEEKDAY(('_Dates'!W157),2),MOD((('_Dates'!X157)-('_Dates'!W157)+1),7)),"O",""))-COUNTIFS(INDEX(AllClosureRows,C157,0),"&gt;="&amp;('_Dates'!W157),INDEX(AllClosureRows,C157,0),"&lt;="&amp;('_Dates'!X157)))+IF(('_Dates'!Z157)&lt;('_Dates'!Y157),0,INT((('_Dates'!Z157)-('_Dates'!Y157)+1)/7)*LEN(SUBSTITUTE(W157,"O",""))+LEN(SUBSTITUTE(MID(W157&amp;W157,WEEKDAY(('_Dates'!Y157),2),MOD((('_Dates'!Z157)-('_Dates'!Y157)+1),7)),"O",""))-COUNTIFS(INDEX(AllClosureRows,C157,0),"&gt;="&amp;('_Dates'!Y157),INDEX(AllClosureRows,C157,0),"&lt;="&amp;('_Dates'!Z157)))))</ns0:f>
        <ns0:v>0</ns0:v>
      </ns0:c>
      <ns0:c r="H157" s="0">
        <ns0:f>IF(OR(F157&lt;&gt;"OK",$B$6&gt;0),0,0.5*(IF((MIN('_Dates'!X157,Settings!$B$9))&lt;('_Dates'!W157),0,INT(((MIN('_Dates'!X157,Settings!$B$9))-('_Dates'!W157)+1)/7)*LEN(SUBSTITUTE(W157,"O",""))+LEN(SUBSTITUTE(MID(W157&amp;W157,WEEKDAY(('_Dates'!W157),2),MOD(((MIN('_Dates'!X157,Settings!$B$9))-('_Dates'!W157)+1),7)),"O",""))-COUNTIFS(INDEX(AllClosureRows,C157,0),"&gt;="&amp;('_Dates'!W157),INDEX(AllClosureRows,C157,0),"&lt;="&amp;(MIN('_Dates'!X157,Settings!$B$9))))+IF((MIN('_Dates'!Z157,Settings!$B$9))&lt;('_Dates'!Y157),0,INT(((MIN('_Dates'!Z157,Settings!$B$9))-('_Dates'!Y157)+1)/7)*LEN(SUBSTITUTE(W157,"O",""))+LEN(SUBSTITUTE(MID(W157&amp;W157,WEEKDAY(('_Dates'!Y157),2),MOD(((MIN('_Dates'!Z157,Settings!$B$9))-('_Dates'!Y157)+1),7)),"O",""))-COUNTIFS(INDEX(AllClosureRows,C157,0),"&gt;="&amp;('_Dates'!Y157),INDEX(AllClosureRows,C157,0),"&lt;="&amp;(MIN('_Dates'!Z157,Settings!$B$9))))))</ns0:f>
        <ns0:v>0</ns0:v>
      </ns0:c>
      <ns0:c r="I157" s="0">
        <ns0:f>MAX(0,G157-H157)</ns0:f>
        <ns0:v>0</ns0:v>
      </ns0:c>
      <ns0:c r="J157" s="0">
        <ns0:f>IF(OR(A157=0,F157&lt;&gt;"OK",Bookings!G157="Cancelled",$B$6&gt;0),0,IF('_Dates'!AC157=1,MAX(0,COUNTIFS(rngEngine_B,B157,rngAMStart,"&lt;="&amp;'_Dates'!X157,rngAMEnd,"&gt;="&amp;'_Dates'!W157,rngAMActive,1,rngEngine_F,"OK",rngBookings_F,"&lt;&gt;Cancelled")-1),0)+IF('_Dates'!AD157=1,MAX(0,COUNTIFS(rngEngine_B,B157,rngPMStart,"&lt;="&amp;'_Dates'!Z157,rngPMEnd,"&gt;="&amp;'_Dates'!Y157,rngPMActive,1,rngEngine_F,"OK",rngBookings_F,"&lt;&gt;Cancelled")-1),0))</ns0:f>
        <ns0:v>0</ns0:v>
      </ns0:c>
      <ns0:c r="K157" s="0" t="str">
        <ns0:f>IF(A157=0,"",IF(F157&lt;&gt;"OK",F157,IF(J157&gt;0,"CHECK overlapping entry",IF(AND($B$6=0,G157&lt;=0,Bookings!G157&lt;&gt;"Cancelled"),"CHECK no working days",IF(Bookings!G157="Cancelled","Cancelled","OK")))))</ns0:f>
        <ns0:v/>
      </ns0:c>
      <ns0:c r="L157" s="0">
        <ns0:f>IF(LEFT(K157,5)="CHECK",1,0)</ns0:f>
        <ns0:v>0</ns0:v>
      </ns0:c>
      <ns0:c r="M157" s="0">
        <ns0:f>IF(AND(L157=1,OR(C157=0,IFERROR(INDEX($X$11:$X$60,C157),0)=0)),1,0)</ns0:f>
        <ns0:v>0</ns0:v>
      </ns0:c>
      <ns0:c r="N157" s="0">
        <ns0:f>IF(OR(A157=0,L157&gt;0,$B$6&gt;0,Bookings!G157="Cancelled"),0,G157)</ns0:f>
        <ns0:v>0</ns0:v>
      </ns0:c>
      <ns0:c r="O157" s="0">
        <ns0:f>IF(AND(Bookings!G157="Approved",E157="Yes"),N157,0)</ns0:f>
        <ns0:v>0</ns0:v>
      </ns0:c>
      <ns0:c r="P157" s="0">
        <ns0:f>IF(AND(Bookings!G157="Approved",E157="Yes",L157=0,$B$6=0),H157,0)</ns0:f>
        <ns0:v>0</ns0:v>
      </ns0:c>
      <ns0:c r="Q157" s="0">
        <ns0:f>IF(AND(Bookings!G157="Approved",E157="Yes",L157=0,$B$6=0),I157,0)</ns0:f>
        <ns0:v>0</ns0:v>
      </ns0:c>
      <ns0:c r="R157" s="0">
        <ns0:f>IF(AND(Bookings!G157="Pending",E157="Yes"),N157,0)</ns0:f>
        <ns0:v>0</ns0:v>
      </ns0:c>
      <ns0:c r="S157" s="0">
        <ns0:f>IF(AND(Bookings!G157="Approved",E157="No"),N157,0)</ns0:f>
        <ns0:v>0</ns0:v>
      </ns0:c>
      <ns0:c r="T157" s="0">
        <ns0:f>IFERROR(MATCH(D157,Settings!$G$7:$G$11,0),0)</ns0:f>
        <ns0:v>0</ns0:v>
      </ns0:c>
      <ns0:c r="U157" s="0">
        <ns0:f>IF(N157&gt;0,T157+IF(Bookings!G157="Pending",10,0),0)</ns0:f>
        <ns0:v>0</ns0:v>
      </ns0:c>
      <ns0:c r="V157" s="0">
        <ns0:f>U157</ns0:f>
        <ns0:v>0</ns0:v>
      </ns0:c>
      <ns0:c r="W157" s="0" t="str">
        <ns0:f>IF(C157=0,"",INDEX($AP$11:$AP$60,C157))</ns0:f>
        <ns0:v/>
      </ns0:c>
    </ns0:row>
    <ns0:row r="158">
      <ns0:c r="A158" s="0">
        <ns0:f>IF(COUNTA(Bookings!A158:G158,Bookings!I158)=0,0,1)</ns0:f>
        <ns0:v>0</ns0:v>
      </ns0:c>
      <ns0:c r="B158" s="0" t="str">
        <ns0:f>IFERROR(TRIM(MID(Bookings!A158,FIND(" · ",Bookings!A158)+3,99)),"")</ns0:f>
        <ns0:v/>
      </ns0:c>
      <ns0:c r="C158" s="0">
        <ns0:f>IF(OR(B158="",LEN(B158)&gt;24,ISNUMBER(FIND(" ",B158)),ISNUMBER(FIND("*",B158)),ISNUMBER(FIND("?",B158)),ISNUMBER(FIND("~",B158))),0,IFERROR(MATCH(B158,Team!$A$11:$A$60,0),0))</ns0:f>
        <ns0:v>0</ns0:v>
      </ns0:c>
      <ns0:c r="D158" s="0" t="str">
        <ns0:f>IFERROR(IF(MID(Bookings!F158,LEN(Bookings!F158)-3,3)=" · ",RIGHT(Bookings!F158,1),""),"")</ns0:f>
        <ns0:v/>
      </ns0:c>
      <ns0:c r="E158" s="0" t="str">
        <ns0:f>IFERROR(INDEX(Settings!$H$7:$H$11,MATCH(D158,Settings!$G$7:$G$11,0)),"")</ns0:f>
        <ns0:v/>
      </ns0:c>
      <ns0:c r="F158" s="0" t="str">
        <ns0:f>IF(A158=0,"",IFERROR(IF(OR(B158="",C158=0),"CHECK employee selection",IF(INDEX(Team!$O$11:$O$60,C158)&lt;&gt;"OK","CHECK employee setup",IF(OR('_Dates'!J158=0,'_Dates'!T158=0),"CHECK date: use DD.MM.YYYY",IF('_Dates'!T158&lt;'_Dates'!J158,"CHECK end before start",IF(AND($B$6=0,OR('_Dates'!J158&lt;Settings!$B$7,'_Dates'!T158&gt;Settings!$B$8)),"CHECK split across leave years",IF(OR(NOT(OR('_Dates'!U158="Full day",'_Dates'!U158="AM",'_Dates'!U158="PM")),NOT(OR('_Dates'!V158="Full day",'_Dates'!V158="AM",'_Dates'!V158="PM"))),"CHECK Full day / AM / PM",IF(AND('_Dates'!J158='_Dates'!T158,'_Dates'!U158&lt;&gt;"Full day",'_Dates'!V158&lt;&gt;"Full day",'_Dates'!U158&lt;&gt;'_Dates'!V158),"CHECK same-day portions disagree",IF(AND($B$6=0,OR(AND('_Dates'!U158&lt;&gt;"Full day",'_Dates'!AA158=0),AND('_Dates'!V158&lt;&gt;"Full day",'_Dates'!AB158=0))),"CHECK half-day on non-working date",IF(COUNTIF(Settings!$G$7:$G$11,D158)&lt;&gt;1,"CHECK leave type",IF(AND(Bookings!G158&lt;&gt;"Approved",Bookings!G158&lt;&gt;"Pending",Bookings!G158&lt;&gt;"Cancelled"),"CHECK status","OK")))))))))),"CHECK input"))</ns0:f>
        <ns0:v/>
      </ns0:c>
      <ns0:c r="G158" s="0">
        <ns0:f>IF(OR(F158&lt;&gt;"OK",$B$6&gt;0),0,0.5*(IF(('_Dates'!X158)&lt;('_Dates'!W158),0,INT((('_Dates'!X158)-('_Dates'!W158)+1)/7)*LEN(SUBSTITUTE(W158,"O",""))+LEN(SUBSTITUTE(MID(W158&amp;W158,WEEKDAY(('_Dates'!W158),2),MOD((('_Dates'!X158)-('_Dates'!W158)+1),7)),"O",""))-COUNTIFS(INDEX(AllClosureRows,C158,0),"&gt;="&amp;('_Dates'!W158),INDEX(AllClosureRows,C158,0),"&lt;="&amp;('_Dates'!X158)))+IF(('_Dates'!Z158)&lt;('_Dates'!Y158),0,INT((('_Dates'!Z158)-('_Dates'!Y158)+1)/7)*LEN(SUBSTITUTE(W158,"O",""))+LEN(SUBSTITUTE(MID(W158&amp;W158,WEEKDAY(('_Dates'!Y158),2),MOD((('_Dates'!Z158)-('_Dates'!Y158)+1),7)),"O",""))-COUNTIFS(INDEX(AllClosureRows,C158,0),"&gt;="&amp;('_Dates'!Y158),INDEX(AllClosureRows,C158,0),"&lt;="&amp;('_Dates'!Z158)))))</ns0:f>
        <ns0:v>0</ns0:v>
      </ns0:c>
      <ns0:c r="H158" s="0">
        <ns0:f>IF(OR(F158&lt;&gt;"OK",$B$6&gt;0),0,0.5*(IF((MIN('_Dates'!X158,Settings!$B$9))&lt;('_Dates'!W158),0,INT(((MIN('_Dates'!X158,Settings!$B$9))-('_Dates'!W158)+1)/7)*LEN(SUBSTITUTE(W158,"O",""))+LEN(SUBSTITUTE(MID(W158&amp;W158,WEEKDAY(('_Dates'!W158),2),MOD(((MIN('_Dates'!X158,Settings!$B$9))-('_Dates'!W158)+1),7)),"O",""))-COUNTIFS(INDEX(AllClosureRows,C158,0),"&gt;="&amp;('_Dates'!W158),INDEX(AllClosureRows,C158,0),"&lt;="&amp;(MIN('_Dates'!X158,Settings!$B$9))))+IF((MIN('_Dates'!Z158,Settings!$B$9))&lt;('_Dates'!Y158),0,INT(((MIN('_Dates'!Z158,Settings!$B$9))-('_Dates'!Y158)+1)/7)*LEN(SUBSTITUTE(W158,"O",""))+LEN(SUBSTITUTE(MID(W158&amp;W158,WEEKDAY(('_Dates'!Y158),2),MOD(((MIN('_Dates'!Z158,Settings!$B$9))-('_Dates'!Y158)+1),7)),"O",""))-COUNTIFS(INDEX(AllClosureRows,C158,0),"&gt;="&amp;('_Dates'!Y158),INDEX(AllClosureRows,C158,0),"&lt;="&amp;(MIN('_Dates'!Z158,Settings!$B$9))))))</ns0:f>
        <ns0:v>0</ns0:v>
      </ns0:c>
      <ns0:c r="I158" s="0">
        <ns0:f>MAX(0,G158-H158)</ns0:f>
        <ns0:v>0</ns0:v>
      </ns0:c>
      <ns0:c r="J158" s="0">
        <ns0:f>IF(OR(A158=0,F158&lt;&gt;"OK",Bookings!G158="Cancelled",$B$6&gt;0),0,IF('_Dates'!AC158=1,MAX(0,COUNTIFS(rngEngine_B,B158,rngAMStart,"&lt;="&amp;'_Dates'!X158,rngAMEnd,"&gt;="&amp;'_Dates'!W158,rngAMActive,1,rngEngine_F,"OK",rngBookings_F,"&lt;&gt;Cancelled")-1),0)+IF('_Dates'!AD158=1,MAX(0,COUNTIFS(rngEngine_B,B158,rngPMStart,"&lt;="&amp;'_Dates'!Z158,rngPMEnd,"&gt;="&amp;'_Dates'!Y158,rngPMActive,1,rngEngine_F,"OK",rngBookings_F,"&lt;&gt;Cancelled")-1),0))</ns0:f>
        <ns0:v>0</ns0:v>
      </ns0:c>
      <ns0:c r="K158" s="0" t="str">
        <ns0:f>IF(A158=0,"",IF(F158&lt;&gt;"OK",F158,IF(J158&gt;0,"CHECK overlapping entry",IF(AND($B$6=0,G158&lt;=0,Bookings!G158&lt;&gt;"Cancelled"),"CHECK no working days",IF(Bookings!G158="Cancelled","Cancelled","OK")))))</ns0:f>
        <ns0:v/>
      </ns0:c>
      <ns0:c r="L158" s="0">
        <ns0:f>IF(LEFT(K158,5)="CHECK",1,0)</ns0:f>
        <ns0:v>0</ns0:v>
      </ns0:c>
      <ns0:c r="M158" s="0">
        <ns0:f>IF(AND(L158=1,OR(C158=0,IFERROR(INDEX($X$11:$X$60,C158),0)=0)),1,0)</ns0:f>
        <ns0:v>0</ns0:v>
      </ns0:c>
      <ns0:c r="N158" s="0">
        <ns0:f>IF(OR(A158=0,L158&gt;0,$B$6&gt;0,Bookings!G158="Cancelled"),0,G158)</ns0:f>
        <ns0:v>0</ns0:v>
      </ns0:c>
      <ns0:c r="O158" s="0">
        <ns0:f>IF(AND(Bookings!G158="Approved",E158="Yes"),N158,0)</ns0:f>
        <ns0:v>0</ns0:v>
      </ns0:c>
      <ns0:c r="P158" s="0">
        <ns0:f>IF(AND(Bookings!G158="Approved",E158="Yes",L158=0,$B$6=0),H158,0)</ns0:f>
        <ns0:v>0</ns0:v>
      </ns0:c>
      <ns0:c r="Q158" s="0">
        <ns0:f>IF(AND(Bookings!G158="Approved",E158="Yes",L158=0,$B$6=0),I158,0)</ns0:f>
        <ns0:v>0</ns0:v>
      </ns0:c>
      <ns0:c r="R158" s="0">
        <ns0:f>IF(AND(Bookings!G158="Pending",E158="Yes"),N158,0)</ns0:f>
        <ns0:v>0</ns0:v>
      </ns0:c>
      <ns0:c r="S158" s="0">
        <ns0:f>IF(AND(Bookings!G158="Approved",E158="No"),N158,0)</ns0:f>
        <ns0:v>0</ns0:v>
      </ns0:c>
      <ns0:c r="T158" s="0">
        <ns0:f>IFERROR(MATCH(D158,Settings!$G$7:$G$11,0),0)</ns0:f>
        <ns0:v>0</ns0:v>
      </ns0:c>
      <ns0:c r="U158" s="0">
        <ns0:f>IF(N158&gt;0,T158+IF(Bookings!G158="Pending",10,0),0)</ns0:f>
        <ns0:v>0</ns0:v>
      </ns0:c>
      <ns0:c r="V158" s="0">
        <ns0:f>U158</ns0:f>
        <ns0:v>0</ns0:v>
      </ns0:c>
      <ns0:c r="W158" s="0" t="str">
        <ns0:f>IF(C158=0,"",INDEX($AP$11:$AP$60,C158))</ns0:f>
        <ns0:v/>
      </ns0:c>
    </ns0:row>
    <ns0:row r="159">
      <ns0:c r="A159" s="0">
        <ns0:f>IF(COUNTA(Bookings!A159:G159,Bookings!I159)=0,0,1)</ns0:f>
        <ns0:v>0</ns0:v>
      </ns0:c>
      <ns0:c r="B159" s="0" t="str">
        <ns0:f>IFERROR(TRIM(MID(Bookings!A159,FIND(" · ",Bookings!A159)+3,99)),"")</ns0:f>
        <ns0:v/>
      </ns0:c>
      <ns0:c r="C159" s="0">
        <ns0:f>IF(OR(B159="",LEN(B159)&gt;24,ISNUMBER(FIND(" ",B159)),ISNUMBER(FIND("*",B159)),ISNUMBER(FIND("?",B159)),ISNUMBER(FIND("~",B159))),0,IFERROR(MATCH(B159,Team!$A$11:$A$60,0),0))</ns0:f>
        <ns0:v>0</ns0:v>
      </ns0:c>
      <ns0:c r="D159" s="0" t="str">
        <ns0:f>IFERROR(IF(MID(Bookings!F159,LEN(Bookings!F159)-3,3)=" · ",RIGHT(Bookings!F159,1),""),"")</ns0:f>
        <ns0:v/>
      </ns0:c>
      <ns0:c r="E159" s="0" t="str">
        <ns0:f>IFERROR(INDEX(Settings!$H$7:$H$11,MATCH(D159,Settings!$G$7:$G$11,0)),"")</ns0:f>
        <ns0:v/>
      </ns0:c>
      <ns0:c r="F159" s="0" t="str">
        <ns0:f>IF(A159=0,"",IFERROR(IF(OR(B159="",C159=0),"CHECK employee selection",IF(INDEX(Team!$O$11:$O$60,C159)&lt;&gt;"OK","CHECK employee setup",IF(OR('_Dates'!J159=0,'_Dates'!T159=0),"CHECK date: use DD.MM.YYYY",IF('_Dates'!T159&lt;'_Dates'!J159,"CHECK end before start",IF(AND($B$6=0,OR('_Dates'!J159&lt;Settings!$B$7,'_Dates'!T159&gt;Settings!$B$8)),"CHECK split across leave years",IF(OR(NOT(OR('_Dates'!U159="Full day",'_Dates'!U159="AM",'_Dates'!U159="PM")),NOT(OR('_Dates'!V159="Full day",'_Dates'!V159="AM",'_Dates'!V159="PM"))),"CHECK Full day / AM / PM",IF(AND('_Dates'!J159='_Dates'!T159,'_Dates'!U159&lt;&gt;"Full day",'_Dates'!V159&lt;&gt;"Full day",'_Dates'!U159&lt;&gt;'_Dates'!V159),"CHECK same-day portions disagree",IF(AND($B$6=0,OR(AND('_Dates'!U159&lt;&gt;"Full day",'_Dates'!AA159=0),AND('_Dates'!V159&lt;&gt;"Full day",'_Dates'!AB159=0))),"CHECK half-day on non-working date",IF(COUNTIF(Settings!$G$7:$G$11,D159)&lt;&gt;1,"CHECK leave type",IF(AND(Bookings!G159&lt;&gt;"Approved",Bookings!G159&lt;&gt;"Pending",Bookings!G159&lt;&gt;"Cancelled"),"CHECK status","OK")))))))))),"CHECK input"))</ns0:f>
        <ns0:v/>
      </ns0:c>
      <ns0:c r="G159" s="0">
        <ns0:f>IF(OR(F159&lt;&gt;"OK",$B$6&gt;0),0,0.5*(IF(('_Dates'!X159)&lt;('_Dates'!W159),0,INT((('_Dates'!X159)-('_Dates'!W159)+1)/7)*LEN(SUBSTITUTE(W159,"O",""))+LEN(SUBSTITUTE(MID(W159&amp;W159,WEEKDAY(('_Dates'!W159),2),MOD((('_Dates'!X159)-('_Dates'!W159)+1),7)),"O",""))-COUNTIFS(INDEX(AllClosureRows,C159,0),"&gt;="&amp;('_Dates'!W159),INDEX(AllClosureRows,C159,0),"&lt;="&amp;('_Dates'!X159)))+IF(('_Dates'!Z159)&lt;('_Dates'!Y159),0,INT((('_Dates'!Z159)-('_Dates'!Y159)+1)/7)*LEN(SUBSTITUTE(W159,"O",""))+LEN(SUBSTITUTE(MID(W159&amp;W159,WEEKDAY(('_Dates'!Y159),2),MOD((('_Dates'!Z159)-('_Dates'!Y159)+1),7)),"O",""))-COUNTIFS(INDEX(AllClosureRows,C159,0),"&gt;="&amp;('_Dates'!Y159),INDEX(AllClosureRows,C159,0),"&lt;="&amp;('_Dates'!Z159)))))</ns0:f>
        <ns0:v>0</ns0:v>
      </ns0:c>
      <ns0:c r="H159" s="0">
        <ns0:f>IF(OR(F159&lt;&gt;"OK",$B$6&gt;0),0,0.5*(IF((MIN('_Dates'!X159,Settings!$B$9))&lt;('_Dates'!W159),0,INT(((MIN('_Dates'!X159,Settings!$B$9))-('_Dates'!W159)+1)/7)*LEN(SUBSTITUTE(W159,"O",""))+LEN(SUBSTITUTE(MID(W159&amp;W159,WEEKDAY(('_Dates'!W159),2),MOD(((MIN('_Dates'!X159,Settings!$B$9))-('_Dates'!W159)+1),7)),"O",""))-COUNTIFS(INDEX(AllClosureRows,C159,0),"&gt;="&amp;('_Dates'!W159),INDEX(AllClosureRows,C159,0),"&lt;="&amp;(MIN('_Dates'!X159,Settings!$B$9))))+IF((MIN('_Dates'!Z159,Settings!$B$9))&lt;('_Dates'!Y159),0,INT(((MIN('_Dates'!Z159,Settings!$B$9))-('_Dates'!Y159)+1)/7)*LEN(SUBSTITUTE(W159,"O",""))+LEN(SUBSTITUTE(MID(W159&amp;W159,WEEKDAY(('_Dates'!Y159),2),MOD(((MIN('_Dates'!Z159,Settings!$B$9))-('_Dates'!Y159)+1),7)),"O",""))-COUNTIFS(INDEX(AllClosureRows,C159,0),"&gt;="&amp;('_Dates'!Y159),INDEX(AllClosureRows,C159,0),"&lt;="&amp;(MIN('_Dates'!Z159,Settings!$B$9))))))</ns0:f>
        <ns0:v>0</ns0:v>
      </ns0:c>
      <ns0:c r="I159" s="0">
        <ns0:f>MAX(0,G159-H159)</ns0:f>
        <ns0:v>0</ns0:v>
      </ns0:c>
      <ns0:c r="J159" s="0">
        <ns0:f>IF(OR(A159=0,F159&lt;&gt;"OK",Bookings!G159="Cancelled",$B$6&gt;0),0,IF('_Dates'!AC159=1,MAX(0,COUNTIFS(rngEngine_B,B159,rngAMStart,"&lt;="&amp;'_Dates'!X159,rngAMEnd,"&gt;="&amp;'_Dates'!W159,rngAMActive,1,rngEngine_F,"OK",rngBookings_F,"&lt;&gt;Cancelled")-1),0)+IF('_Dates'!AD159=1,MAX(0,COUNTIFS(rngEngine_B,B159,rngPMStart,"&lt;="&amp;'_Dates'!Z159,rngPMEnd,"&gt;="&amp;'_Dates'!Y159,rngPMActive,1,rngEngine_F,"OK",rngBookings_F,"&lt;&gt;Cancelled")-1),0))</ns0:f>
        <ns0:v>0</ns0:v>
      </ns0:c>
      <ns0:c r="K159" s="0" t="str">
        <ns0:f>IF(A159=0,"",IF(F159&lt;&gt;"OK",F159,IF(J159&gt;0,"CHECK overlapping entry",IF(AND($B$6=0,G159&lt;=0,Bookings!G159&lt;&gt;"Cancelled"),"CHECK no working days",IF(Bookings!G159="Cancelled","Cancelled","OK")))))</ns0:f>
        <ns0:v/>
      </ns0:c>
      <ns0:c r="L159" s="0">
        <ns0:f>IF(LEFT(K159,5)="CHECK",1,0)</ns0:f>
        <ns0:v>0</ns0:v>
      </ns0:c>
      <ns0:c r="M159" s="0">
        <ns0:f>IF(AND(L159=1,OR(C159=0,IFERROR(INDEX($X$11:$X$60,C159),0)=0)),1,0)</ns0:f>
        <ns0:v>0</ns0:v>
      </ns0:c>
      <ns0:c r="N159" s="0">
        <ns0:f>IF(OR(A159=0,L159&gt;0,$B$6&gt;0,Bookings!G159="Cancelled"),0,G159)</ns0:f>
        <ns0:v>0</ns0:v>
      </ns0:c>
      <ns0:c r="O159" s="0">
        <ns0:f>IF(AND(Bookings!G159="Approved",E159="Yes"),N159,0)</ns0:f>
        <ns0:v>0</ns0:v>
      </ns0:c>
      <ns0:c r="P159" s="0">
        <ns0:f>IF(AND(Bookings!G159="Approved",E159="Yes",L159=0,$B$6=0),H159,0)</ns0:f>
        <ns0:v>0</ns0:v>
      </ns0:c>
      <ns0:c r="Q159" s="0">
        <ns0:f>IF(AND(Bookings!G159="Approved",E159="Yes",L159=0,$B$6=0),I159,0)</ns0:f>
        <ns0:v>0</ns0:v>
      </ns0:c>
      <ns0:c r="R159" s="0">
        <ns0:f>IF(AND(Bookings!G159="Pending",E159="Yes"),N159,0)</ns0:f>
        <ns0:v>0</ns0:v>
      </ns0:c>
      <ns0:c r="S159" s="0">
        <ns0:f>IF(AND(Bookings!G159="Approved",E159="No"),N159,0)</ns0:f>
        <ns0:v>0</ns0:v>
      </ns0:c>
      <ns0:c r="T159" s="0">
        <ns0:f>IFERROR(MATCH(D159,Settings!$G$7:$G$11,0),0)</ns0:f>
        <ns0:v>0</ns0:v>
      </ns0:c>
      <ns0:c r="U159" s="0">
        <ns0:f>IF(N159&gt;0,T159+IF(Bookings!G159="Pending",10,0),0)</ns0:f>
        <ns0:v>0</ns0:v>
      </ns0:c>
      <ns0:c r="V159" s="0">
        <ns0:f>U159</ns0:f>
        <ns0:v>0</ns0:v>
      </ns0:c>
      <ns0:c r="W159" s="0" t="str">
        <ns0:f>IF(C159=0,"",INDEX($AP$11:$AP$60,C159))</ns0:f>
        <ns0:v/>
      </ns0:c>
    </ns0:row>
    <ns0:row r="160">
      <ns0:c r="A160" s="0">
        <ns0:f>IF(COUNTA(Bookings!A160:G160,Bookings!I160)=0,0,1)</ns0:f>
        <ns0:v>0</ns0:v>
      </ns0:c>
      <ns0:c r="B160" s="0" t="str">
        <ns0:f>IFERROR(TRIM(MID(Bookings!A160,FIND(" · ",Bookings!A160)+3,99)),"")</ns0:f>
        <ns0:v/>
      </ns0:c>
      <ns0:c r="C160" s="0">
        <ns0:f>IF(OR(B160="",LEN(B160)&gt;24,ISNUMBER(FIND(" ",B160)),ISNUMBER(FIND("*",B160)),ISNUMBER(FIND("?",B160)),ISNUMBER(FIND("~",B160))),0,IFERROR(MATCH(B160,Team!$A$11:$A$60,0),0))</ns0:f>
        <ns0:v>0</ns0:v>
      </ns0:c>
      <ns0:c r="D160" s="0" t="str">
        <ns0:f>IFERROR(IF(MID(Bookings!F160,LEN(Bookings!F160)-3,3)=" · ",RIGHT(Bookings!F160,1),""),"")</ns0:f>
        <ns0:v/>
      </ns0:c>
      <ns0:c r="E160" s="0" t="str">
        <ns0:f>IFERROR(INDEX(Settings!$H$7:$H$11,MATCH(D160,Settings!$G$7:$G$11,0)),"")</ns0:f>
        <ns0:v/>
      </ns0:c>
      <ns0:c r="F160" s="0" t="str">
        <ns0:f>IF(A160=0,"",IFERROR(IF(OR(B160="",C160=0),"CHECK employee selection",IF(INDEX(Team!$O$11:$O$60,C160)&lt;&gt;"OK","CHECK employee setup",IF(OR('_Dates'!J160=0,'_Dates'!T160=0),"CHECK date: use DD.MM.YYYY",IF('_Dates'!T160&lt;'_Dates'!J160,"CHECK end before start",IF(AND($B$6=0,OR('_Dates'!J160&lt;Settings!$B$7,'_Dates'!T160&gt;Settings!$B$8)),"CHECK split across leave years",IF(OR(NOT(OR('_Dates'!U160="Full day",'_Dates'!U160="AM",'_Dates'!U160="PM")),NOT(OR('_Dates'!V160="Full day",'_Dates'!V160="AM",'_Dates'!V160="PM"))),"CHECK Full day / AM / PM",IF(AND('_Dates'!J160='_Dates'!T160,'_Dates'!U160&lt;&gt;"Full day",'_Dates'!V160&lt;&gt;"Full day",'_Dates'!U160&lt;&gt;'_Dates'!V160),"CHECK same-day portions disagree",IF(AND($B$6=0,OR(AND('_Dates'!U160&lt;&gt;"Full day",'_Dates'!AA160=0),AND('_Dates'!V160&lt;&gt;"Full day",'_Dates'!AB160=0))),"CHECK half-day on non-working date",IF(COUNTIF(Settings!$G$7:$G$11,D160)&lt;&gt;1,"CHECK leave type",IF(AND(Bookings!G160&lt;&gt;"Approved",Bookings!G160&lt;&gt;"Pending",Bookings!G160&lt;&gt;"Cancelled"),"CHECK status","OK")))))))))),"CHECK input"))</ns0:f>
        <ns0:v/>
      </ns0:c>
      <ns0:c r="G160" s="0">
        <ns0:f>IF(OR(F160&lt;&gt;"OK",$B$6&gt;0),0,0.5*(IF(('_Dates'!X160)&lt;('_Dates'!W160),0,INT((('_Dates'!X160)-('_Dates'!W160)+1)/7)*LEN(SUBSTITUTE(W160,"O",""))+LEN(SUBSTITUTE(MID(W160&amp;W160,WEEKDAY(('_Dates'!W160),2),MOD((('_Dates'!X160)-('_Dates'!W160)+1),7)),"O",""))-COUNTIFS(INDEX(AllClosureRows,C160,0),"&gt;="&amp;('_Dates'!W160),INDEX(AllClosureRows,C160,0),"&lt;="&amp;('_Dates'!X160)))+IF(('_Dates'!Z160)&lt;('_Dates'!Y160),0,INT((('_Dates'!Z160)-('_Dates'!Y160)+1)/7)*LEN(SUBSTITUTE(W160,"O",""))+LEN(SUBSTITUTE(MID(W160&amp;W160,WEEKDAY(('_Dates'!Y160),2),MOD((('_Dates'!Z160)-('_Dates'!Y160)+1),7)),"O",""))-COUNTIFS(INDEX(AllClosureRows,C160,0),"&gt;="&amp;('_Dates'!Y160),INDEX(AllClosureRows,C160,0),"&lt;="&amp;('_Dates'!Z160)))))</ns0:f>
        <ns0:v>0</ns0:v>
      </ns0:c>
      <ns0:c r="H160" s="0">
        <ns0:f>IF(OR(F160&lt;&gt;"OK",$B$6&gt;0),0,0.5*(IF((MIN('_Dates'!X160,Settings!$B$9))&lt;('_Dates'!W160),0,INT(((MIN('_Dates'!X160,Settings!$B$9))-('_Dates'!W160)+1)/7)*LEN(SUBSTITUTE(W160,"O",""))+LEN(SUBSTITUTE(MID(W160&amp;W160,WEEKDAY(('_Dates'!W160),2),MOD(((MIN('_Dates'!X160,Settings!$B$9))-('_Dates'!W160)+1),7)),"O",""))-COUNTIFS(INDEX(AllClosureRows,C160,0),"&gt;="&amp;('_Dates'!W160),INDEX(AllClosureRows,C160,0),"&lt;="&amp;(MIN('_Dates'!X160,Settings!$B$9))))+IF((MIN('_Dates'!Z160,Settings!$B$9))&lt;('_Dates'!Y160),0,INT(((MIN('_Dates'!Z160,Settings!$B$9))-('_Dates'!Y160)+1)/7)*LEN(SUBSTITUTE(W160,"O",""))+LEN(SUBSTITUTE(MID(W160&amp;W160,WEEKDAY(('_Dates'!Y160),2),MOD(((MIN('_Dates'!Z160,Settings!$B$9))-('_Dates'!Y160)+1),7)),"O",""))-COUNTIFS(INDEX(AllClosureRows,C160,0),"&gt;="&amp;('_Dates'!Y160),INDEX(AllClosureRows,C160,0),"&lt;="&amp;(MIN('_Dates'!Z160,Settings!$B$9))))))</ns0:f>
        <ns0:v>0</ns0:v>
      </ns0:c>
      <ns0:c r="I160" s="0">
        <ns0:f>MAX(0,G160-H160)</ns0:f>
        <ns0:v>0</ns0:v>
      </ns0:c>
      <ns0:c r="J160" s="0">
        <ns0:f>IF(OR(A160=0,F160&lt;&gt;"OK",Bookings!G160="Cancelled",$B$6&gt;0),0,IF('_Dates'!AC160=1,MAX(0,COUNTIFS(rngEngine_B,B160,rngAMStart,"&lt;="&amp;'_Dates'!X160,rngAMEnd,"&gt;="&amp;'_Dates'!W160,rngAMActive,1,rngEngine_F,"OK",rngBookings_F,"&lt;&gt;Cancelled")-1),0)+IF('_Dates'!AD160=1,MAX(0,COUNTIFS(rngEngine_B,B160,rngPMStart,"&lt;="&amp;'_Dates'!Z160,rngPMEnd,"&gt;="&amp;'_Dates'!Y160,rngPMActive,1,rngEngine_F,"OK",rngBookings_F,"&lt;&gt;Cancelled")-1),0))</ns0:f>
        <ns0:v>0</ns0:v>
      </ns0:c>
      <ns0:c r="K160" s="0" t="str">
        <ns0:f>IF(A160=0,"",IF(F160&lt;&gt;"OK",F160,IF(J160&gt;0,"CHECK overlapping entry",IF(AND($B$6=0,G160&lt;=0,Bookings!G160&lt;&gt;"Cancelled"),"CHECK no working days",IF(Bookings!G160="Cancelled","Cancelled","OK")))))</ns0:f>
        <ns0:v/>
      </ns0:c>
      <ns0:c r="L160" s="0">
        <ns0:f>IF(LEFT(K160,5)="CHECK",1,0)</ns0:f>
        <ns0:v>0</ns0:v>
      </ns0:c>
      <ns0:c r="M160" s="0">
        <ns0:f>IF(AND(L160=1,OR(C160=0,IFERROR(INDEX($X$11:$X$60,C160),0)=0)),1,0)</ns0:f>
        <ns0:v>0</ns0:v>
      </ns0:c>
      <ns0:c r="N160" s="0">
        <ns0:f>IF(OR(A160=0,L160&gt;0,$B$6&gt;0,Bookings!G160="Cancelled"),0,G160)</ns0:f>
        <ns0:v>0</ns0:v>
      </ns0:c>
      <ns0:c r="O160" s="0">
        <ns0:f>IF(AND(Bookings!G160="Approved",E160="Yes"),N160,0)</ns0:f>
        <ns0:v>0</ns0:v>
      </ns0:c>
      <ns0:c r="P160" s="0">
        <ns0:f>IF(AND(Bookings!G160="Approved",E160="Yes",L160=0,$B$6=0),H160,0)</ns0:f>
        <ns0:v>0</ns0:v>
      </ns0:c>
      <ns0:c r="Q160" s="0">
        <ns0:f>IF(AND(Bookings!G160="Approved",E160="Yes",L160=0,$B$6=0),I160,0)</ns0:f>
        <ns0:v>0</ns0:v>
      </ns0:c>
      <ns0:c r="R160" s="0">
        <ns0:f>IF(AND(Bookings!G160="Pending",E160="Yes"),N160,0)</ns0:f>
        <ns0:v>0</ns0:v>
      </ns0:c>
      <ns0:c r="S160" s="0">
        <ns0:f>IF(AND(Bookings!G160="Approved",E160="No"),N160,0)</ns0:f>
        <ns0:v>0</ns0:v>
      </ns0:c>
      <ns0:c r="T160" s="0">
        <ns0:f>IFERROR(MATCH(D160,Settings!$G$7:$G$11,0),0)</ns0:f>
        <ns0:v>0</ns0:v>
      </ns0:c>
      <ns0:c r="U160" s="0">
        <ns0:f>IF(N160&gt;0,T160+IF(Bookings!G160="Pending",10,0),0)</ns0:f>
        <ns0:v>0</ns0:v>
      </ns0:c>
      <ns0:c r="V160" s="0">
        <ns0:f>U160</ns0:f>
        <ns0:v>0</ns0:v>
      </ns0:c>
      <ns0:c r="W160" s="0" t="str">
        <ns0:f>IF(C160=0,"",INDEX($AP$11:$AP$60,C160))</ns0:f>
        <ns0:v/>
      </ns0:c>
    </ns0:row>
    <ns0:row r="161">
      <ns0:c r="A161" s="0">
        <ns0:f>IF(COUNTA(Bookings!A161:G161,Bookings!I161)=0,0,1)</ns0:f>
        <ns0:v>0</ns0:v>
      </ns0:c>
      <ns0:c r="B161" s="0" t="str">
        <ns0:f>IFERROR(TRIM(MID(Bookings!A161,FIND(" · ",Bookings!A161)+3,99)),"")</ns0:f>
        <ns0:v/>
      </ns0:c>
      <ns0:c r="C161" s="0">
        <ns0:f>IF(OR(B161="",LEN(B161)&gt;24,ISNUMBER(FIND(" ",B161)),ISNUMBER(FIND("*",B161)),ISNUMBER(FIND("?",B161)),ISNUMBER(FIND("~",B161))),0,IFERROR(MATCH(B161,Team!$A$11:$A$60,0),0))</ns0:f>
        <ns0:v>0</ns0:v>
      </ns0:c>
      <ns0:c r="D161" s="0" t="str">
        <ns0:f>IFERROR(IF(MID(Bookings!F161,LEN(Bookings!F161)-3,3)=" · ",RIGHT(Bookings!F161,1),""),"")</ns0:f>
        <ns0:v/>
      </ns0:c>
      <ns0:c r="E161" s="0" t="str">
        <ns0:f>IFERROR(INDEX(Settings!$H$7:$H$11,MATCH(D161,Settings!$G$7:$G$11,0)),"")</ns0:f>
        <ns0:v/>
      </ns0:c>
      <ns0:c r="F161" s="0" t="str">
        <ns0:f>IF(A161=0,"",IFERROR(IF(OR(B161="",C161=0),"CHECK employee selection",IF(INDEX(Team!$O$11:$O$60,C161)&lt;&gt;"OK","CHECK employee setup",IF(OR('_Dates'!J161=0,'_Dates'!T161=0),"CHECK date: use DD.MM.YYYY",IF('_Dates'!T161&lt;'_Dates'!J161,"CHECK end before start",IF(AND($B$6=0,OR('_Dates'!J161&lt;Settings!$B$7,'_Dates'!T161&gt;Settings!$B$8)),"CHECK split across leave years",IF(OR(NOT(OR('_Dates'!U161="Full day",'_Dates'!U161="AM",'_Dates'!U161="PM")),NOT(OR('_Dates'!V161="Full day",'_Dates'!V161="AM",'_Dates'!V161="PM"))),"CHECK Full day / AM / PM",IF(AND('_Dates'!J161='_Dates'!T161,'_Dates'!U161&lt;&gt;"Full day",'_Dates'!V161&lt;&gt;"Full day",'_Dates'!U161&lt;&gt;'_Dates'!V161),"CHECK same-day portions disagree",IF(AND($B$6=0,OR(AND('_Dates'!U161&lt;&gt;"Full day",'_Dates'!AA161=0),AND('_Dates'!V161&lt;&gt;"Full day",'_Dates'!AB161=0))),"CHECK half-day on non-working date",IF(COUNTIF(Settings!$G$7:$G$11,D161)&lt;&gt;1,"CHECK leave type",IF(AND(Bookings!G161&lt;&gt;"Approved",Bookings!G161&lt;&gt;"Pending",Bookings!G161&lt;&gt;"Cancelled"),"CHECK status","OK")))))))))),"CHECK input"))</ns0:f>
        <ns0:v/>
      </ns0:c>
      <ns0:c r="G161" s="0">
        <ns0:f>IF(OR(F161&lt;&gt;"OK",$B$6&gt;0),0,0.5*(IF(('_Dates'!X161)&lt;('_Dates'!W161),0,INT((('_Dates'!X161)-('_Dates'!W161)+1)/7)*LEN(SUBSTITUTE(W161,"O",""))+LEN(SUBSTITUTE(MID(W161&amp;W161,WEEKDAY(('_Dates'!W161),2),MOD((('_Dates'!X161)-('_Dates'!W161)+1),7)),"O",""))-COUNTIFS(INDEX(AllClosureRows,C161,0),"&gt;="&amp;('_Dates'!W161),INDEX(AllClosureRows,C161,0),"&lt;="&amp;('_Dates'!X161)))+IF(('_Dates'!Z161)&lt;('_Dates'!Y161),0,INT((('_Dates'!Z161)-('_Dates'!Y161)+1)/7)*LEN(SUBSTITUTE(W161,"O",""))+LEN(SUBSTITUTE(MID(W161&amp;W161,WEEKDAY(('_Dates'!Y161),2),MOD((('_Dates'!Z161)-('_Dates'!Y161)+1),7)),"O",""))-COUNTIFS(INDEX(AllClosureRows,C161,0),"&gt;="&amp;('_Dates'!Y161),INDEX(AllClosureRows,C161,0),"&lt;="&amp;('_Dates'!Z161)))))</ns0:f>
        <ns0:v>0</ns0:v>
      </ns0:c>
      <ns0:c r="H161" s="0">
        <ns0:f>IF(OR(F161&lt;&gt;"OK",$B$6&gt;0),0,0.5*(IF((MIN('_Dates'!X161,Settings!$B$9))&lt;('_Dates'!W161),0,INT(((MIN('_Dates'!X161,Settings!$B$9))-('_Dates'!W161)+1)/7)*LEN(SUBSTITUTE(W161,"O",""))+LEN(SUBSTITUTE(MID(W161&amp;W161,WEEKDAY(('_Dates'!W161),2),MOD(((MIN('_Dates'!X161,Settings!$B$9))-('_Dates'!W161)+1),7)),"O",""))-COUNTIFS(INDEX(AllClosureRows,C161,0),"&gt;="&amp;('_Dates'!W161),INDEX(AllClosureRows,C161,0),"&lt;="&amp;(MIN('_Dates'!X161,Settings!$B$9))))+IF((MIN('_Dates'!Z161,Settings!$B$9))&lt;('_Dates'!Y161),0,INT(((MIN('_Dates'!Z161,Settings!$B$9))-('_Dates'!Y161)+1)/7)*LEN(SUBSTITUTE(W161,"O",""))+LEN(SUBSTITUTE(MID(W161&amp;W161,WEEKDAY(('_Dates'!Y161),2),MOD(((MIN('_Dates'!Z161,Settings!$B$9))-('_Dates'!Y161)+1),7)),"O",""))-COUNTIFS(INDEX(AllClosureRows,C161,0),"&gt;="&amp;('_Dates'!Y161),INDEX(AllClosureRows,C161,0),"&lt;="&amp;(MIN('_Dates'!Z161,Settings!$B$9))))))</ns0:f>
        <ns0:v>0</ns0:v>
      </ns0:c>
      <ns0:c r="I161" s="0">
        <ns0:f>MAX(0,G161-H161)</ns0:f>
        <ns0:v>0</ns0:v>
      </ns0:c>
      <ns0:c r="J161" s="0">
        <ns0:f>IF(OR(A161=0,F161&lt;&gt;"OK",Bookings!G161="Cancelled",$B$6&gt;0),0,IF('_Dates'!AC161=1,MAX(0,COUNTIFS(rngEngine_B,B161,rngAMStart,"&lt;="&amp;'_Dates'!X161,rngAMEnd,"&gt;="&amp;'_Dates'!W161,rngAMActive,1,rngEngine_F,"OK",rngBookings_F,"&lt;&gt;Cancelled")-1),0)+IF('_Dates'!AD161=1,MAX(0,COUNTIFS(rngEngine_B,B161,rngPMStart,"&lt;="&amp;'_Dates'!Z161,rngPMEnd,"&gt;="&amp;'_Dates'!Y161,rngPMActive,1,rngEngine_F,"OK",rngBookings_F,"&lt;&gt;Cancelled")-1),0))</ns0:f>
        <ns0:v>0</ns0:v>
      </ns0:c>
      <ns0:c r="K161" s="0" t="str">
        <ns0:f>IF(A161=0,"",IF(F161&lt;&gt;"OK",F161,IF(J161&gt;0,"CHECK overlapping entry",IF(AND($B$6=0,G161&lt;=0,Bookings!G161&lt;&gt;"Cancelled"),"CHECK no working days",IF(Bookings!G161="Cancelled","Cancelled","OK")))))</ns0:f>
        <ns0:v/>
      </ns0:c>
      <ns0:c r="L161" s="0">
        <ns0:f>IF(LEFT(K161,5)="CHECK",1,0)</ns0:f>
        <ns0:v>0</ns0:v>
      </ns0:c>
      <ns0:c r="M161" s="0">
        <ns0:f>IF(AND(L161=1,OR(C161=0,IFERROR(INDEX($X$11:$X$60,C161),0)=0)),1,0)</ns0:f>
        <ns0:v>0</ns0:v>
      </ns0:c>
      <ns0:c r="N161" s="0">
        <ns0:f>IF(OR(A161=0,L161&gt;0,$B$6&gt;0,Bookings!G161="Cancelled"),0,G161)</ns0:f>
        <ns0:v>0</ns0:v>
      </ns0:c>
      <ns0:c r="O161" s="0">
        <ns0:f>IF(AND(Bookings!G161="Approved",E161="Yes"),N161,0)</ns0:f>
        <ns0:v>0</ns0:v>
      </ns0:c>
      <ns0:c r="P161" s="0">
        <ns0:f>IF(AND(Bookings!G161="Approved",E161="Yes",L161=0,$B$6=0),H161,0)</ns0:f>
        <ns0:v>0</ns0:v>
      </ns0:c>
      <ns0:c r="Q161" s="0">
        <ns0:f>IF(AND(Bookings!G161="Approved",E161="Yes",L161=0,$B$6=0),I161,0)</ns0:f>
        <ns0:v>0</ns0:v>
      </ns0:c>
      <ns0:c r="R161" s="0">
        <ns0:f>IF(AND(Bookings!G161="Pending",E161="Yes"),N161,0)</ns0:f>
        <ns0:v>0</ns0:v>
      </ns0:c>
      <ns0:c r="S161" s="0">
        <ns0:f>IF(AND(Bookings!G161="Approved",E161="No"),N161,0)</ns0:f>
        <ns0:v>0</ns0:v>
      </ns0:c>
      <ns0:c r="T161" s="0">
        <ns0:f>IFERROR(MATCH(D161,Settings!$G$7:$G$11,0),0)</ns0:f>
        <ns0:v>0</ns0:v>
      </ns0:c>
      <ns0:c r="U161" s="0">
        <ns0:f>IF(N161&gt;0,T161+IF(Bookings!G161="Pending",10,0),0)</ns0:f>
        <ns0:v>0</ns0:v>
      </ns0:c>
      <ns0:c r="V161" s="0">
        <ns0:f>U161</ns0:f>
        <ns0:v>0</ns0:v>
      </ns0:c>
      <ns0:c r="W161" s="0" t="str">
        <ns0:f>IF(C161=0,"",INDEX($AP$11:$AP$60,C161))</ns0:f>
        <ns0:v/>
      </ns0:c>
    </ns0:row>
    <ns0:row r="162">
      <ns0:c r="A162" s="0">
        <ns0:f>IF(COUNTA(Bookings!A162:G162,Bookings!I162)=0,0,1)</ns0:f>
        <ns0:v>0</ns0:v>
      </ns0:c>
      <ns0:c r="B162" s="0" t="str">
        <ns0:f>IFERROR(TRIM(MID(Bookings!A162,FIND(" · ",Bookings!A162)+3,99)),"")</ns0:f>
        <ns0:v/>
      </ns0:c>
      <ns0:c r="C162" s="0">
        <ns0:f>IF(OR(B162="",LEN(B162)&gt;24,ISNUMBER(FIND(" ",B162)),ISNUMBER(FIND("*",B162)),ISNUMBER(FIND("?",B162)),ISNUMBER(FIND("~",B162))),0,IFERROR(MATCH(B162,Team!$A$11:$A$60,0),0))</ns0:f>
        <ns0:v>0</ns0:v>
      </ns0:c>
      <ns0:c r="D162" s="0" t="str">
        <ns0:f>IFERROR(IF(MID(Bookings!F162,LEN(Bookings!F162)-3,3)=" · ",RIGHT(Bookings!F162,1),""),"")</ns0:f>
        <ns0:v/>
      </ns0:c>
      <ns0:c r="E162" s="0" t="str">
        <ns0:f>IFERROR(INDEX(Settings!$H$7:$H$11,MATCH(D162,Settings!$G$7:$G$11,0)),"")</ns0:f>
        <ns0:v/>
      </ns0:c>
      <ns0:c r="F162" s="0" t="str">
        <ns0:f>IF(A162=0,"",IFERROR(IF(OR(B162="",C162=0),"CHECK employee selection",IF(INDEX(Team!$O$11:$O$60,C162)&lt;&gt;"OK","CHECK employee setup",IF(OR('_Dates'!J162=0,'_Dates'!T162=0),"CHECK date: use DD.MM.YYYY",IF('_Dates'!T162&lt;'_Dates'!J162,"CHECK end before start",IF(AND($B$6=0,OR('_Dates'!J162&lt;Settings!$B$7,'_Dates'!T162&gt;Settings!$B$8)),"CHECK split across leave years",IF(OR(NOT(OR('_Dates'!U162="Full day",'_Dates'!U162="AM",'_Dates'!U162="PM")),NOT(OR('_Dates'!V162="Full day",'_Dates'!V162="AM",'_Dates'!V162="PM"))),"CHECK Full day / AM / PM",IF(AND('_Dates'!J162='_Dates'!T162,'_Dates'!U162&lt;&gt;"Full day",'_Dates'!V162&lt;&gt;"Full day",'_Dates'!U162&lt;&gt;'_Dates'!V162),"CHECK same-day portions disagree",IF(AND($B$6=0,OR(AND('_Dates'!U162&lt;&gt;"Full day",'_Dates'!AA162=0),AND('_Dates'!V162&lt;&gt;"Full day",'_Dates'!AB162=0))),"CHECK half-day on non-working date",IF(COUNTIF(Settings!$G$7:$G$11,D162)&lt;&gt;1,"CHECK leave type",IF(AND(Bookings!G162&lt;&gt;"Approved",Bookings!G162&lt;&gt;"Pending",Bookings!G162&lt;&gt;"Cancelled"),"CHECK status","OK")))))))))),"CHECK input"))</ns0:f>
        <ns0:v/>
      </ns0:c>
      <ns0:c r="G162" s="0">
        <ns0:f>IF(OR(F162&lt;&gt;"OK",$B$6&gt;0),0,0.5*(IF(('_Dates'!X162)&lt;('_Dates'!W162),0,INT((('_Dates'!X162)-('_Dates'!W162)+1)/7)*LEN(SUBSTITUTE(W162,"O",""))+LEN(SUBSTITUTE(MID(W162&amp;W162,WEEKDAY(('_Dates'!W162),2),MOD((('_Dates'!X162)-('_Dates'!W162)+1),7)),"O",""))-COUNTIFS(INDEX(AllClosureRows,C162,0),"&gt;="&amp;('_Dates'!W162),INDEX(AllClosureRows,C162,0),"&lt;="&amp;('_Dates'!X162)))+IF(('_Dates'!Z162)&lt;('_Dates'!Y162),0,INT((('_Dates'!Z162)-('_Dates'!Y162)+1)/7)*LEN(SUBSTITUTE(W162,"O",""))+LEN(SUBSTITUTE(MID(W162&amp;W162,WEEKDAY(('_Dates'!Y162),2),MOD((('_Dates'!Z162)-('_Dates'!Y162)+1),7)),"O",""))-COUNTIFS(INDEX(AllClosureRows,C162,0),"&gt;="&amp;('_Dates'!Y162),INDEX(AllClosureRows,C162,0),"&lt;="&amp;('_Dates'!Z162)))))</ns0:f>
        <ns0:v>0</ns0:v>
      </ns0:c>
      <ns0:c r="H162" s="0">
        <ns0:f>IF(OR(F162&lt;&gt;"OK",$B$6&gt;0),0,0.5*(IF((MIN('_Dates'!X162,Settings!$B$9))&lt;('_Dates'!W162),0,INT(((MIN('_Dates'!X162,Settings!$B$9))-('_Dates'!W162)+1)/7)*LEN(SUBSTITUTE(W162,"O",""))+LEN(SUBSTITUTE(MID(W162&amp;W162,WEEKDAY(('_Dates'!W162),2),MOD(((MIN('_Dates'!X162,Settings!$B$9))-('_Dates'!W162)+1),7)),"O",""))-COUNTIFS(INDEX(AllClosureRows,C162,0),"&gt;="&amp;('_Dates'!W162),INDEX(AllClosureRows,C162,0),"&lt;="&amp;(MIN('_Dates'!X162,Settings!$B$9))))+IF((MIN('_Dates'!Z162,Settings!$B$9))&lt;('_Dates'!Y162),0,INT(((MIN('_Dates'!Z162,Settings!$B$9))-('_Dates'!Y162)+1)/7)*LEN(SUBSTITUTE(W162,"O",""))+LEN(SUBSTITUTE(MID(W162&amp;W162,WEEKDAY(('_Dates'!Y162),2),MOD(((MIN('_Dates'!Z162,Settings!$B$9))-('_Dates'!Y162)+1),7)),"O",""))-COUNTIFS(INDEX(AllClosureRows,C162,0),"&gt;="&amp;('_Dates'!Y162),INDEX(AllClosureRows,C162,0),"&lt;="&amp;(MIN('_Dates'!Z162,Settings!$B$9))))))</ns0:f>
        <ns0:v>0</ns0:v>
      </ns0:c>
      <ns0:c r="I162" s="0">
        <ns0:f>MAX(0,G162-H162)</ns0:f>
        <ns0:v>0</ns0:v>
      </ns0:c>
      <ns0:c r="J162" s="0">
        <ns0:f>IF(OR(A162=0,F162&lt;&gt;"OK",Bookings!G162="Cancelled",$B$6&gt;0),0,IF('_Dates'!AC162=1,MAX(0,COUNTIFS(rngEngine_B,B162,rngAMStart,"&lt;="&amp;'_Dates'!X162,rngAMEnd,"&gt;="&amp;'_Dates'!W162,rngAMActive,1,rngEngine_F,"OK",rngBookings_F,"&lt;&gt;Cancelled")-1),0)+IF('_Dates'!AD162=1,MAX(0,COUNTIFS(rngEngine_B,B162,rngPMStart,"&lt;="&amp;'_Dates'!Z162,rngPMEnd,"&gt;="&amp;'_Dates'!Y162,rngPMActive,1,rngEngine_F,"OK",rngBookings_F,"&lt;&gt;Cancelled")-1),0))</ns0:f>
        <ns0:v>0</ns0:v>
      </ns0:c>
      <ns0:c r="K162" s="0" t="str">
        <ns0:f>IF(A162=0,"",IF(F162&lt;&gt;"OK",F162,IF(J162&gt;0,"CHECK overlapping entry",IF(AND($B$6=0,G162&lt;=0,Bookings!G162&lt;&gt;"Cancelled"),"CHECK no working days",IF(Bookings!G162="Cancelled","Cancelled","OK")))))</ns0:f>
        <ns0:v/>
      </ns0:c>
      <ns0:c r="L162" s="0">
        <ns0:f>IF(LEFT(K162,5)="CHECK",1,0)</ns0:f>
        <ns0:v>0</ns0:v>
      </ns0:c>
      <ns0:c r="M162" s="0">
        <ns0:f>IF(AND(L162=1,OR(C162=0,IFERROR(INDEX($X$11:$X$60,C162),0)=0)),1,0)</ns0:f>
        <ns0:v>0</ns0:v>
      </ns0:c>
      <ns0:c r="N162" s="0">
        <ns0:f>IF(OR(A162=0,L162&gt;0,$B$6&gt;0,Bookings!G162="Cancelled"),0,G162)</ns0:f>
        <ns0:v>0</ns0:v>
      </ns0:c>
      <ns0:c r="O162" s="0">
        <ns0:f>IF(AND(Bookings!G162="Approved",E162="Yes"),N162,0)</ns0:f>
        <ns0:v>0</ns0:v>
      </ns0:c>
      <ns0:c r="P162" s="0">
        <ns0:f>IF(AND(Bookings!G162="Approved",E162="Yes",L162=0,$B$6=0),H162,0)</ns0:f>
        <ns0:v>0</ns0:v>
      </ns0:c>
      <ns0:c r="Q162" s="0">
        <ns0:f>IF(AND(Bookings!G162="Approved",E162="Yes",L162=0,$B$6=0),I162,0)</ns0:f>
        <ns0:v>0</ns0:v>
      </ns0:c>
      <ns0:c r="R162" s="0">
        <ns0:f>IF(AND(Bookings!G162="Pending",E162="Yes"),N162,0)</ns0:f>
        <ns0:v>0</ns0:v>
      </ns0:c>
      <ns0:c r="S162" s="0">
        <ns0:f>IF(AND(Bookings!G162="Approved",E162="No"),N162,0)</ns0:f>
        <ns0:v>0</ns0:v>
      </ns0:c>
      <ns0:c r="T162" s="0">
        <ns0:f>IFERROR(MATCH(D162,Settings!$G$7:$G$11,0),0)</ns0:f>
        <ns0:v>0</ns0:v>
      </ns0:c>
      <ns0:c r="U162" s="0">
        <ns0:f>IF(N162&gt;0,T162+IF(Bookings!G162="Pending",10,0),0)</ns0:f>
        <ns0:v>0</ns0:v>
      </ns0:c>
      <ns0:c r="V162" s="0">
        <ns0:f>U162</ns0:f>
        <ns0:v>0</ns0:v>
      </ns0:c>
      <ns0:c r="W162" s="0" t="str">
        <ns0:f>IF(C162=0,"",INDEX($AP$11:$AP$60,C162))</ns0:f>
        <ns0:v/>
      </ns0:c>
    </ns0:row>
    <ns0:row r="163">
      <ns0:c r="A163" s="0">
        <ns0:f>IF(COUNTA(Bookings!A163:G163,Bookings!I163)=0,0,1)</ns0:f>
        <ns0:v>0</ns0:v>
      </ns0:c>
      <ns0:c r="B163" s="0" t="str">
        <ns0:f>IFERROR(TRIM(MID(Bookings!A163,FIND(" · ",Bookings!A163)+3,99)),"")</ns0:f>
        <ns0:v/>
      </ns0:c>
      <ns0:c r="C163" s="0">
        <ns0:f>IF(OR(B163="",LEN(B163)&gt;24,ISNUMBER(FIND(" ",B163)),ISNUMBER(FIND("*",B163)),ISNUMBER(FIND("?",B163)),ISNUMBER(FIND("~",B163))),0,IFERROR(MATCH(B163,Team!$A$11:$A$60,0),0))</ns0:f>
        <ns0:v>0</ns0:v>
      </ns0:c>
      <ns0:c r="D163" s="0" t="str">
        <ns0:f>IFERROR(IF(MID(Bookings!F163,LEN(Bookings!F163)-3,3)=" · ",RIGHT(Bookings!F163,1),""),"")</ns0:f>
        <ns0:v/>
      </ns0:c>
      <ns0:c r="E163" s="0" t="str">
        <ns0:f>IFERROR(INDEX(Settings!$H$7:$H$11,MATCH(D163,Settings!$G$7:$G$11,0)),"")</ns0:f>
        <ns0:v/>
      </ns0:c>
      <ns0:c r="F163" s="0" t="str">
        <ns0:f>IF(A163=0,"",IFERROR(IF(OR(B163="",C163=0),"CHECK employee selection",IF(INDEX(Team!$O$11:$O$60,C163)&lt;&gt;"OK","CHECK employee setup",IF(OR('_Dates'!J163=0,'_Dates'!T163=0),"CHECK date: use DD.MM.YYYY",IF('_Dates'!T163&lt;'_Dates'!J163,"CHECK end before start",IF(AND($B$6=0,OR('_Dates'!J163&lt;Settings!$B$7,'_Dates'!T163&gt;Settings!$B$8)),"CHECK split across leave years",IF(OR(NOT(OR('_Dates'!U163="Full day",'_Dates'!U163="AM",'_Dates'!U163="PM")),NOT(OR('_Dates'!V163="Full day",'_Dates'!V163="AM",'_Dates'!V163="PM"))),"CHECK Full day / AM / PM",IF(AND('_Dates'!J163='_Dates'!T163,'_Dates'!U163&lt;&gt;"Full day",'_Dates'!V163&lt;&gt;"Full day",'_Dates'!U163&lt;&gt;'_Dates'!V163),"CHECK same-day portions disagree",IF(AND($B$6=0,OR(AND('_Dates'!U163&lt;&gt;"Full day",'_Dates'!AA163=0),AND('_Dates'!V163&lt;&gt;"Full day",'_Dates'!AB163=0))),"CHECK half-day on non-working date",IF(COUNTIF(Settings!$G$7:$G$11,D163)&lt;&gt;1,"CHECK leave type",IF(AND(Bookings!G163&lt;&gt;"Approved",Bookings!G163&lt;&gt;"Pending",Bookings!G163&lt;&gt;"Cancelled"),"CHECK status","OK")))))))))),"CHECK input"))</ns0:f>
        <ns0:v/>
      </ns0:c>
      <ns0:c r="G163" s="0">
        <ns0:f>IF(OR(F163&lt;&gt;"OK",$B$6&gt;0),0,0.5*(IF(('_Dates'!X163)&lt;('_Dates'!W163),0,INT((('_Dates'!X163)-('_Dates'!W163)+1)/7)*LEN(SUBSTITUTE(W163,"O",""))+LEN(SUBSTITUTE(MID(W163&amp;W163,WEEKDAY(('_Dates'!W163),2),MOD((('_Dates'!X163)-('_Dates'!W163)+1),7)),"O",""))-COUNTIFS(INDEX(AllClosureRows,C163,0),"&gt;="&amp;('_Dates'!W163),INDEX(AllClosureRows,C163,0),"&lt;="&amp;('_Dates'!X163)))+IF(('_Dates'!Z163)&lt;('_Dates'!Y163),0,INT((('_Dates'!Z163)-('_Dates'!Y163)+1)/7)*LEN(SUBSTITUTE(W163,"O",""))+LEN(SUBSTITUTE(MID(W163&amp;W163,WEEKDAY(('_Dates'!Y163),2),MOD((('_Dates'!Z163)-('_Dates'!Y163)+1),7)),"O",""))-COUNTIFS(INDEX(AllClosureRows,C163,0),"&gt;="&amp;('_Dates'!Y163),INDEX(AllClosureRows,C163,0),"&lt;="&amp;('_Dates'!Z163)))))</ns0:f>
        <ns0:v>0</ns0:v>
      </ns0:c>
      <ns0:c r="H163" s="0">
        <ns0:f>IF(OR(F163&lt;&gt;"OK",$B$6&gt;0),0,0.5*(IF((MIN('_Dates'!X163,Settings!$B$9))&lt;('_Dates'!W163),0,INT(((MIN('_Dates'!X163,Settings!$B$9))-('_Dates'!W163)+1)/7)*LEN(SUBSTITUTE(W163,"O",""))+LEN(SUBSTITUTE(MID(W163&amp;W163,WEEKDAY(('_Dates'!W163),2),MOD(((MIN('_Dates'!X163,Settings!$B$9))-('_Dates'!W163)+1),7)),"O",""))-COUNTIFS(INDEX(AllClosureRows,C163,0),"&gt;="&amp;('_Dates'!W163),INDEX(AllClosureRows,C163,0),"&lt;="&amp;(MIN('_Dates'!X163,Settings!$B$9))))+IF((MIN('_Dates'!Z163,Settings!$B$9))&lt;('_Dates'!Y163),0,INT(((MIN('_Dates'!Z163,Settings!$B$9))-('_Dates'!Y163)+1)/7)*LEN(SUBSTITUTE(W163,"O",""))+LEN(SUBSTITUTE(MID(W163&amp;W163,WEEKDAY(('_Dates'!Y163),2),MOD(((MIN('_Dates'!Z163,Settings!$B$9))-('_Dates'!Y163)+1),7)),"O",""))-COUNTIFS(INDEX(AllClosureRows,C163,0),"&gt;="&amp;('_Dates'!Y163),INDEX(AllClosureRows,C163,0),"&lt;="&amp;(MIN('_Dates'!Z163,Settings!$B$9))))))</ns0:f>
        <ns0:v>0</ns0:v>
      </ns0:c>
      <ns0:c r="I163" s="0">
        <ns0:f>MAX(0,G163-H163)</ns0:f>
        <ns0:v>0</ns0:v>
      </ns0:c>
      <ns0:c r="J163" s="0">
        <ns0:f>IF(OR(A163=0,F163&lt;&gt;"OK",Bookings!G163="Cancelled",$B$6&gt;0),0,IF('_Dates'!AC163=1,MAX(0,COUNTIFS(rngEngine_B,B163,rngAMStart,"&lt;="&amp;'_Dates'!X163,rngAMEnd,"&gt;="&amp;'_Dates'!W163,rngAMActive,1,rngEngine_F,"OK",rngBookings_F,"&lt;&gt;Cancelled")-1),0)+IF('_Dates'!AD163=1,MAX(0,COUNTIFS(rngEngine_B,B163,rngPMStart,"&lt;="&amp;'_Dates'!Z163,rngPMEnd,"&gt;="&amp;'_Dates'!Y163,rngPMActive,1,rngEngine_F,"OK",rngBookings_F,"&lt;&gt;Cancelled")-1),0))</ns0:f>
        <ns0:v>0</ns0:v>
      </ns0:c>
      <ns0:c r="K163" s="0" t="str">
        <ns0:f>IF(A163=0,"",IF(F163&lt;&gt;"OK",F163,IF(J163&gt;0,"CHECK overlapping entry",IF(AND($B$6=0,G163&lt;=0,Bookings!G163&lt;&gt;"Cancelled"),"CHECK no working days",IF(Bookings!G163="Cancelled","Cancelled","OK")))))</ns0:f>
        <ns0:v/>
      </ns0:c>
      <ns0:c r="L163" s="0">
        <ns0:f>IF(LEFT(K163,5)="CHECK",1,0)</ns0:f>
        <ns0:v>0</ns0:v>
      </ns0:c>
      <ns0:c r="M163" s="0">
        <ns0:f>IF(AND(L163=1,OR(C163=0,IFERROR(INDEX($X$11:$X$60,C163),0)=0)),1,0)</ns0:f>
        <ns0:v>0</ns0:v>
      </ns0:c>
      <ns0:c r="N163" s="0">
        <ns0:f>IF(OR(A163=0,L163&gt;0,$B$6&gt;0,Bookings!G163="Cancelled"),0,G163)</ns0:f>
        <ns0:v>0</ns0:v>
      </ns0:c>
      <ns0:c r="O163" s="0">
        <ns0:f>IF(AND(Bookings!G163="Approved",E163="Yes"),N163,0)</ns0:f>
        <ns0:v>0</ns0:v>
      </ns0:c>
      <ns0:c r="P163" s="0">
        <ns0:f>IF(AND(Bookings!G163="Approved",E163="Yes",L163=0,$B$6=0),H163,0)</ns0:f>
        <ns0:v>0</ns0:v>
      </ns0:c>
      <ns0:c r="Q163" s="0">
        <ns0:f>IF(AND(Bookings!G163="Approved",E163="Yes",L163=0,$B$6=0),I163,0)</ns0:f>
        <ns0:v>0</ns0:v>
      </ns0:c>
      <ns0:c r="R163" s="0">
        <ns0:f>IF(AND(Bookings!G163="Pending",E163="Yes"),N163,0)</ns0:f>
        <ns0:v>0</ns0:v>
      </ns0:c>
      <ns0:c r="S163" s="0">
        <ns0:f>IF(AND(Bookings!G163="Approved",E163="No"),N163,0)</ns0:f>
        <ns0:v>0</ns0:v>
      </ns0:c>
      <ns0:c r="T163" s="0">
        <ns0:f>IFERROR(MATCH(D163,Settings!$G$7:$G$11,0),0)</ns0:f>
        <ns0:v>0</ns0:v>
      </ns0:c>
      <ns0:c r="U163" s="0">
        <ns0:f>IF(N163&gt;0,T163+IF(Bookings!G163="Pending",10,0),0)</ns0:f>
        <ns0:v>0</ns0:v>
      </ns0:c>
      <ns0:c r="V163" s="0">
        <ns0:f>U163</ns0:f>
        <ns0:v>0</ns0:v>
      </ns0:c>
      <ns0:c r="W163" s="0" t="str">
        <ns0:f>IF(C163=0,"",INDEX($AP$11:$AP$60,C163))</ns0:f>
        <ns0:v/>
      </ns0:c>
    </ns0:row>
    <ns0:row r="164">
      <ns0:c r="A164" s="0">
        <ns0:f>IF(COUNTA(Bookings!A164:G164,Bookings!I164)=0,0,1)</ns0:f>
        <ns0:v>0</ns0:v>
      </ns0:c>
      <ns0:c r="B164" s="0" t="str">
        <ns0:f>IFERROR(TRIM(MID(Bookings!A164,FIND(" · ",Bookings!A164)+3,99)),"")</ns0:f>
        <ns0:v/>
      </ns0:c>
      <ns0:c r="C164" s="0">
        <ns0:f>IF(OR(B164="",LEN(B164)&gt;24,ISNUMBER(FIND(" ",B164)),ISNUMBER(FIND("*",B164)),ISNUMBER(FIND("?",B164)),ISNUMBER(FIND("~",B164))),0,IFERROR(MATCH(B164,Team!$A$11:$A$60,0),0))</ns0:f>
        <ns0:v>0</ns0:v>
      </ns0:c>
      <ns0:c r="D164" s="0" t="str">
        <ns0:f>IFERROR(IF(MID(Bookings!F164,LEN(Bookings!F164)-3,3)=" · ",RIGHT(Bookings!F164,1),""),"")</ns0:f>
        <ns0:v/>
      </ns0:c>
      <ns0:c r="E164" s="0" t="str">
        <ns0:f>IFERROR(INDEX(Settings!$H$7:$H$11,MATCH(D164,Settings!$G$7:$G$11,0)),"")</ns0:f>
        <ns0:v/>
      </ns0:c>
      <ns0:c r="F164" s="0" t="str">
        <ns0:f>IF(A164=0,"",IFERROR(IF(OR(B164="",C164=0),"CHECK employee selection",IF(INDEX(Team!$O$11:$O$60,C164)&lt;&gt;"OK","CHECK employee setup",IF(OR('_Dates'!J164=0,'_Dates'!T164=0),"CHECK date: use DD.MM.YYYY",IF('_Dates'!T164&lt;'_Dates'!J164,"CHECK end before start",IF(AND($B$6=0,OR('_Dates'!J164&lt;Settings!$B$7,'_Dates'!T164&gt;Settings!$B$8)),"CHECK split across leave years",IF(OR(NOT(OR('_Dates'!U164="Full day",'_Dates'!U164="AM",'_Dates'!U164="PM")),NOT(OR('_Dates'!V164="Full day",'_Dates'!V164="AM",'_Dates'!V164="PM"))),"CHECK Full day / AM / PM",IF(AND('_Dates'!J164='_Dates'!T164,'_Dates'!U164&lt;&gt;"Full day",'_Dates'!V164&lt;&gt;"Full day",'_Dates'!U164&lt;&gt;'_Dates'!V164),"CHECK same-day portions disagree",IF(AND($B$6=0,OR(AND('_Dates'!U164&lt;&gt;"Full day",'_Dates'!AA164=0),AND('_Dates'!V164&lt;&gt;"Full day",'_Dates'!AB164=0))),"CHECK half-day on non-working date",IF(COUNTIF(Settings!$G$7:$G$11,D164)&lt;&gt;1,"CHECK leave type",IF(AND(Bookings!G164&lt;&gt;"Approved",Bookings!G164&lt;&gt;"Pending",Bookings!G164&lt;&gt;"Cancelled"),"CHECK status","OK")))))))))),"CHECK input"))</ns0:f>
        <ns0:v/>
      </ns0:c>
      <ns0:c r="G164" s="0">
        <ns0:f>IF(OR(F164&lt;&gt;"OK",$B$6&gt;0),0,0.5*(IF(('_Dates'!X164)&lt;('_Dates'!W164),0,INT((('_Dates'!X164)-('_Dates'!W164)+1)/7)*LEN(SUBSTITUTE(W164,"O",""))+LEN(SUBSTITUTE(MID(W164&amp;W164,WEEKDAY(('_Dates'!W164),2),MOD((('_Dates'!X164)-('_Dates'!W164)+1),7)),"O",""))-COUNTIFS(INDEX(AllClosureRows,C164,0),"&gt;="&amp;('_Dates'!W164),INDEX(AllClosureRows,C164,0),"&lt;="&amp;('_Dates'!X164)))+IF(('_Dates'!Z164)&lt;('_Dates'!Y164),0,INT((('_Dates'!Z164)-('_Dates'!Y164)+1)/7)*LEN(SUBSTITUTE(W164,"O",""))+LEN(SUBSTITUTE(MID(W164&amp;W164,WEEKDAY(('_Dates'!Y164),2),MOD((('_Dates'!Z164)-('_Dates'!Y164)+1),7)),"O",""))-COUNTIFS(INDEX(AllClosureRows,C164,0),"&gt;="&amp;('_Dates'!Y164),INDEX(AllClosureRows,C164,0),"&lt;="&amp;('_Dates'!Z164)))))</ns0:f>
        <ns0:v>0</ns0:v>
      </ns0:c>
      <ns0:c r="H164" s="0">
        <ns0:f>IF(OR(F164&lt;&gt;"OK",$B$6&gt;0),0,0.5*(IF((MIN('_Dates'!X164,Settings!$B$9))&lt;('_Dates'!W164),0,INT(((MIN('_Dates'!X164,Settings!$B$9))-('_Dates'!W164)+1)/7)*LEN(SUBSTITUTE(W164,"O",""))+LEN(SUBSTITUTE(MID(W164&amp;W164,WEEKDAY(('_Dates'!W164),2),MOD(((MIN('_Dates'!X164,Settings!$B$9))-('_Dates'!W164)+1),7)),"O",""))-COUNTIFS(INDEX(AllClosureRows,C164,0),"&gt;="&amp;('_Dates'!W164),INDEX(AllClosureRows,C164,0),"&lt;="&amp;(MIN('_Dates'!X164,Settings!$B$9))))+IF((MIN('_Dates'!Z164,Settings!$B$9))&lt;('_Dates'!Y164),0,INT(((MIN('_Dates'!Z164,Settings!$B$9))-('_Dates'!Y164)+1)/7)*LEN(SUBSTITUTE(W164,"O",""))+LEN(SUBSTITUTE(MID(W164&amp;W164,WEEKDAY(('_Dates'!Y164),2),MOD(((MIN('_Dates'!Z164,Settings!$B$9))-('_Dates'!Y164)+1),7)),"O",""))-COUNTIFS(INDEX(AllClosureRows,C164,0),"&gt;="&amp;('_Dates'!Y164),INDEX(AllClosureRows,C164,0),"&lt;="&amp;(MIN('_Dates'!Z164,Settings!$B$9))))))</ns0:f>
        <ns0:v>0</ns0:v>
      </ns0:c>
      <ns0:c r="I164" s="0">
        <ns0:f>MAX(0,G164-H164)</ns0:f>
        <ns0:v>0</ns0:v>
      </ns0:c>
      <ns0:c r="J164" s="0">
        <ns0:f>IF(OR(A164=0,F164&lt;&gt;"OK",Bookings!G164="Cancelled",$B$6&gt;0),0,IF('_Dates'!AC164=1,MAX(0,COUNTIFS(rngEngine_B,B164,rngAMStart,"&lt;="&amp;'_Dates'!X164,rngAMEnd,"&gt;="&amp;'_Dates'!W164,rngAMActive,1,rngEngine_F,"OK",rngBookings_F,"&lt;&gt;Cancelled")-1),0)+IF('_Dates'!AD164=1,MAX(0,COUNTIFS(rngEngine_B,B164,rngPMStart,"&lt;="&amp;'_Dates'!Z164,rngPMEnd,"&gt;="&amp;'_Dates'!Y164,rngPMActive,1,rngEngine_F,"OK",rngBookings_F,"&lt;&gt;Cancelled")-1),0))</ns0:f>
        <ns0:v>0</ns0:v>
      </ns0:c>
      <ns0:c r="K164" s="0" t="str">
        <ns0:f>IF(A164=0,"",IF(F164&lt;&gt;"OK",F164,IF(J164&gt;0,"CHECK overlapping entry",IF(AND($B$6=0,G164&lt;=0,Bookings!G164&lt;&gt;"Cancelled"),"CHECK no working days",IF(Bookings!G164="Cancelled","Cancelled","OK")))))</ns0:f>
        <ns0:v/>
      </ns0:c>
      <ns0:c r="L164" s="0">
        <ns0:f>IF(LEFT(K164,5)="CHECK",1,0)</ns0:f>
        <ns0:v>0</ns0:v>
      </ns0:c>
      <ns0:c r="M164" s="0">
        <ns0:f>IF(AND(L164=1,OR(C164=0,IFERROR(INDEX($X$11:$X$60,C164),0)=0)),1,0)</ns0:f>
        <ns0:v>0</ns0:v>
      </ns0:c>
      <ns0:c r="N164" s="0">
        <ns0:f>IF(OR(A164=0,L164&gt;0,$B$6&gt;0,Bookings!G164="Cancelled"),0,G164)</ns0:f>
        <ns0:v>0</ns0:v>
      </ns0:c>
      <ns0:c r="O164" s="0">
        <ns0:f>IF(AND(Bookings!G164="Approved",E164="Yes"),N164,0)</ns0:f>
        <ns0:v>0</ns0:v>
      </ns0:c>
      <ns0:c r="P164" s="0">
        <ns0:f>IF(AND(Bookings!G164="Approved",E164="Yes",L164=0,$B$6=0),H164,0)</ns0:f>
        <ns0:v>0</ns0:v>
      </ns0:c>
      <ns0:c r="Q164" s="0">
        <ns0:f>IF(AND(Bookings!G164="Approved",E164="Yes",L164=0,$B$6=0),I164,0)</ns0:f>
        <ns0:v>0</ns0:v>
      </ns0:c>
      <ns0:c r="R164" s="0">
        <ns0:f>IF(AND(Bookings!G164="Pending",E164="Yes"),N164,0)</ns0:f>
        <ns0:v>0</ns0:v>
      </ns0:c>
      <ns0:c r="S164" s="0">
        <ns0:f>IF(AND(Bookings!G164="Approved",E164="No"),N164,0)</ns0:f>
        <ns0:v>0</ns0:v>
      </ns0:c>
      <ns0:c r="T164" s="0">
        <ns0:f>IFERROR(MATCH(D164,Settings!$G$7:$G$11,0),0)</ns0:f>
        <ns0:v>0</ns0:v>
      </ns0:c>
      <ns0:c r="U164" s="0">
        <ns0:f>IF(N164&gt;0,T164+IF(Bookings!G164="Pending",10,0),0)</ns0:f>
        <ns0:v>0</ns0:v>
      </ns0:c>
      <ns0:c r="V164" s="0">
        <ns0:f>U164</ns0:f>
        <ns0:v>0</ns0:v>
      </ns0:c>
      <ns0:c r="W164" s="0" t="str">
        <ns0:f>IF(C164=0,"",INDEX($AP$11:$AP$60,C164))</ns0:f>
        <ns0:v/>
      </ns0:c>
    </ns0:row>
    <ns0:row r="165">
      <ns0:c r="A165" s="0">
        <ns0:f>IF(COUNTA(Bookings!A165:G165,Bookings!I165)=0,0,1)</ns0:f>
        <ns0:v>0</ns0:v>
      </ns0:c>
      <ns0:c r="B165" s="0" t="str">
        <ns0:f>IFERROR(TRIM(MID(Bookings!A165,FIND(" · ",Bookings!A165)+3,99)),"")</ns0:f>
        <ns0:v/>
      </ns0:c>
      <ns0:c r="C165" s="0">
        <ns0:f>IF(OR(B165="",LEN(B165)&gt;24,ISNUMBER(FIND(" ",B165)),ISNUMBER(FIND("*",B165)),ISNUMBER(FIND("?",B165)),ISNUMBER(FIND("~",B165))),0,IFERROR(MATCH(B165,Team!$A$11:$A$60,0),0))</ns0:f>
        <ns0:v>0</ns0:v>
      </ns0:c>
      <ns0:c r="D165" s="0" t="str">
        <ns0:f>IFERROR(IF(MID(Bookings!F165,LEN(Bookings!F165)-3,3)=" · ",RIGHT(Bookings!F165,1),""),"")</ns0:f>
        <ns0:v/>
      </ns0:c>
      <ns0:c r="E165" s="0" t="str">
        <ns0:f>IFERROR(INDEX(Settings!$H$7:$H$11,MATCH(D165,Settings!$G$7:$G$11,0)),"")</ns0:f>
        <ns0:v/>
      </ns0:c>
      <ns0:c r="F165" s="0" t="str">
        <ns0:f>IF(A165=0,"",IFERROR(IF(OR(B165="",C165=0),"CHECK employee selection",IF(INDEX(Team!$O$11:$O$60,C165)&lt;&gt;"OK","CHECK employee setup",IF(OR('_Dates'!J165=0,'_Dates'!T165=0),"CHECK date: use DD.MM.YYYY",IF('_Dates'!T165&lt;'_Dates'!J165,"CHECK end before start",IF(AND($B$6=0,OR('_Dates'!J165&lt;Settings!$B$7,'_Dates'!T165&gt;Settings!$B$8)),"CHECK split across leave years",IF(OR(NOT(OR('_Dates'!U165="Full day",'_Dates'!U165="AM",'_Dates'!U165="PM")),NOT(OR('_Dates'!V165="Full day",'_Dates'!V165="AM",'_Dates'!V165="PM"))),"CHECK Full day / AM / PM",IF(AND('_Dates'!J165='_Dates'!T165,'_Dates'!U165&lt;&gt;"Full day",'_Dates'!V165&lt;&gt;"Full day",'_Dates'!U165&lt;&gt;'_Dates'!V165),"CHECK same-day portions disagree",IF(AND($B$6=0,OR(AND('_Dates'!U165&lt;&gt;"Full day",'_Dates'!AA165=0),AND('_Dates'!V165&lt;&gt;"Full day",'_Dates'!AB165=0))),"CHECK half-day on non-working date",IF(COUNTIF(Settings!$G$7:$G$11,D165)&lt;&gt;1,"CHECK leave type",IF(AND(Bookings!G165&lt;&gt;"Approved",Bookings!G165&lt;&gt;"Pending",Bookings!G165&lt;&gt;"Cancelled"),"CHECK status","OK")))))))))),"CHECK input"))</ns0:f>
        <ns0:v/>
      </ns0:c>
      <ns0:c r="G165" s="0">
        <ns0:f>IF(OR(F165&lt;&gt;"OK",$B$6&gt;0),0,0.5*(IF(('_Dates'!X165)&lt;('_Dates'!W165),0,INT((('_Dates'!X165)-('_Dates'!W165)+1)/7)*LEN(SUBSTITUTE(W165,"O",""))+LEN(SUBSTITUTE(MID(W165&amp;W165,WEEKDAY(('_Dates'!W165),2),MOD((('_Dates'!X165)-('_Dates'!W165)+1),7)),"O",""))-COUNTIFS(INDEX(AllClosureRows,C165,0),"&gt;="&amp;('_Dates'!W165),INDEX(AllClosureRows,C165,0),"&lt;="&amp;('_Dates'!X165)))+IF(('_Dates'!Z165)&lt;('_Dates'!Y165),0,INT((('_Dates'!Z165)-('_Dates'!Y165)+1)/7)*LEN(SUBSTITUTE(W165,"O",""))+LEN(SUBSTITUTE(MID(W165&amp;W165,WEEKDAY(('_Dates'!Y165),2),MOD((('_Dates'!Z165)-('_Dates'!Y165)+1),7)),"O",""))-COUNTIFS(INDEX(AllClosureRows,C165,0),"&gt;="&amp;('_Dates'!Y165),INDEX(AllClosureRows,C165,0),"&lt;="&amp;('_Dates'!Z165)))))</ns0:f>
        <ns0:v>0</ns0:v>
      </ns0:c>
      <ns0:c r="H165" s="0">
        <ns0:f>IF(OR(F165&lt;&gt;"OK",$B$6&gt;0),0,0.5*(IF((MIN('_Dates'!X165,Settings!$B$9))&lt;('_Dates'!W165),0,INT(((MIN('_Dates'!X165,Settings!$B$9))-('_Dates'!W165)+1)/7)*LEN(SUBSTITUTE(W165,"O",""))+LEN(SUBSTITUTE(MID(W165&amp;W165,WEEKDAY(('_Dates'!W165),2),MOD(((MIN('_Dates'!X165,Settings!$B$9))-('_Dates'!W165)+1),7)),"O",""))-COUNTIFS(INDEX(AllClosureRows,C165,0),"&gt;="&amp;('_Dates'!W165),INDEX(AllClosureRows,C165,0),"&lt;="&amp;(MIN('_Dates'!X165,Settings!$B$9))))+IF((MIN('_Dates'!Z165,Settings!$B$9))&lt;('_Dates'!Y165),0,INT(((MIN('_Dates'!Z165,Settings!$B$9))-('_Dates'!Y165)+1)/7)*LEN(SUBSTITUTE(W165,"O",""))+LEN(SUBSTITUTE(MID(W165&amp;W165,WEEKDAY(('_Dates'!Y165),2),MOD(((MIN('_Dates'!Z165,Settings!$B$9))-('_Dates'!Y165)+1),7)),"O",""))-COUNTIFS(INDEX(AllClosureRows,C165,0),"&gt;="&amp;('_Dates'!Y165),INDEX(AllClosureRows,C165,0),"&lt;="&amp;(MIN('_Dates'!Z165,Settings!$B$9))))))</ns0:f>
        <ns0:v>0</ns0:v>
      </ns0:c>
      <ns0:c r="I165" s="0">
        <ns0:f>MAX(0,G165-H165)</ns0:f>
        <ns0:v>0</ns0:v>
      </ns0:c>
      <ns0:c r="J165" s="0">
        <ns0:f>IF(OR(A165=0,F165&lt;&gt;"OK",Bookings!G165="Cancelled",$B$6&gt;0),0,IF('_Dates'!AC165=1,MAX(0,COUNTIFS(rngEngine_B,B165,rngAMStart,"&lt;="&amp;'_Dates'!X165,rngAMEnd,"&gt;="&amp;'_Dates'!W165,rngAMActive,1,rngEngine_F,"OK",rngBookings_F,"&lt;&gt;Cancelled")-1),0)+IF('_Dates'!AD165=1,MAX(0,COUNTIFS(rngEngine_B,B165,rngPMStart,"&lt;="&amp;'_Dates'!Z165,rngPMEnd,"&gt;="&amp;'_Dates'!Y165,rngPMActive,1,rngEngine_F,"OK",rngBookings_F,"&lt;&gt;Cancelled")-1),0))</ns0:f>
        <ns0:v>0</ns0:v>
      </ns0:c>
      <ns0:c r="K165" s="0" t="str">
        <ns0:f>IF(A165=0,"",IF(F165&lt;&gt;"OK",F165,IF(J165&gt;0,"CHECK overlapping entry",IF(AND($B$6=0,G165&lt;=0,Bookings!G165&lt;&gt;"Cancelled"),"CHECK no working days",IF(Bookings!G165="Cancelled","Cancelled","OK")))))</ns0:f>
        <ns0:v/>
      </ns0:c>
      <ns0:c r="L165" s="0">
        <ns0:f>IF(LEFT(K165,5)="CHECK",1,0)</ns0:f>
        <ns0:v>0</ns0:v>
      </ns0:c>
      <ns0:c r="M165" s="0">
        <ns0:f>IF(AND(L165=1,OR(C165=0,IFERROR(INDEX($X$11:$X$60,C165),0)=0)),1,0)</ns0:f>
        <ns0:v>0</ns0:v>
      </ns0:c>
      <ns0:c r="N165" s="0">
        <ns0:f>IF(OR(A165=0,L165&gt;0,$B$6&gt;0,Bookings!G165="Cancelled"),0,G165)</ns0:f>
        <ns0:v>0</ns0:v>
      </ns0:c>
      <ns0:c r="O165" s="0">
        <ns0:f>IF(AND(Bookings!G165="Approved",E165="Yes"),N165,0)</ns0:f>
        <ns0:v>0</ns0:v>
      </ns0:c>
      <ns0:c r="P165" s="0">
        <ns0:f>IF(AND(Bookings!G165="Approved",E165="Yes",L165=0,$B$6=0),H165,0)</ns0:f>
        <ns0:v>0</ns0:v>
      </ns0:c>
      <ns0:c r="Q165" s="0">
        <ns0:f>IF(AND(Bookings!G165="Approved",E165="Yes",L165=0,$B$6=0),I165,0)</ns0:f>
        <ns0:v>0</ns0:v>
      </ns0:c>
      <ns0:c r="R165" s="0">
        <ns0:f>IF(AND(Bookings!G165="Pending",E165="Yes"),N165,0)</ns0:f>
        <ns0:v>0</ns0:v>
      </ns0:c>
      <ns0:c r="S165" s="0">
        <ns0:f>IF(AND(Bookings!G165="Approved",E165="No"),N165,0)</ns0:f>
        <ns0:v>0</ns0:v>
      </ns0:c>
      <ns0:c r="T165" s="0">
        <ns0:f>IFERROR(MATCH(D165,Settings!$G$7:$G$11,0),0)</ns0:f>
        <ns0:v>0</ns0:v>
      </ns0:c>
      <ns0:c r="U165" s="0">
        <ns0:f>IF(N165&gt;0,T165+IF(Bookings!G165="Pending",10,0),0)</ns0:f>
        <ns0:v>0</ns0:v>
      </ns0:c>
      <ns0:c r="V165" s="0">
        <ns0:f>U165</ns0:f>
        <ns0:v>0</ns0:v>
      </ns0:c>
      <ns0:c r="W165" s="0" t="str">
        <ns0:f>IF(C165=0,"",INDEX($AP$11:$AP$60,C165))</ns0:f>
        <ns0:v/>
      </ns0:c>
    </ns0:row>
    <ns0:row r="166">
      <ns0:c r="A166" s="0">
        <ns0:f>IF(COUNTA(Bookings!A166:G166,Bookings!I166)=0,0,1)</ns0:f>
        <ns0:v>0</ns0:v>
      </ns0:c>
      <ns0:c r="B166" s="0" t="str">
        <ns0:f>IFERROR(TRIM(MID(Bookings!A166,FIND(" · ",Bookings!A166)+3,99)),"")</ns0:f>
        <ns0:v/>
      </ns0:c>
      <ns0:c r="C166" s="0">
        <ns0:f>IF(OR(B166="",LEN(B166)&gt;24,ISNUMBER(FIND(" ",B166)),ISNUMBER(FIND("*",B166)),ISNUMBER(FIND("?",B166)),ISNUMBER(FIND("~",B166))),0,IFERROR(MATCH(B166,Team!$A$11:$A$60,0),0))</ns0:f>
        <ns0:v>0</ns0:v>
      </ns0:c>
      <ns0:c r="D166" s="0" t="str">
        <ns0:f>IFERROR(IF(MID(Bookings!F166,LEN(Bookings!F166)-3,3)=" · ",RIGHT(Bookings!F166,1),""),"")</ns0:f>
        <ns0:v/>
      </ns0:c>
      <ns0:c r="E166" s="0" t="str">
        <ns0:f>IFERROR(INDEX(Settings!$H$7:$H$11,MATCH(D166,Settings!$G$7:$G$11,0)),"")</ns0:f>
        <ns0:v/>
      </ns0:c>
      <ns0:c r="F166" s="0" t="str">
        <ns0:f>IF(A166=0,"",IFERROR(IF(OR(B166="",C166=0),"CHECK employee selection",IF(INDEX(Team!$O$11:$O$60,C166)&lt;&gt;"OK","CHECK employee setup",IF(OR('_Dates'!J166=0,'_Dates'!T166=0),"CHECK date: use DD.MM.YYYY",IF('_Dates'!T166&lt;'_Dates'!J166,"CHECK end before start",IF(AND($B$6=0,OR('_Dates'!J166&lt;Settings!$B$7,'_Dates'!T166&gt;Settings!$B$8)),"CHECK split across leave years",IF(OR(NOT(OR('_Dates'!U166="Full day",'_Dates'!U166="AM",'_Dates'!U166="PM")),NOT(OR('_Dates'!V166="Full day",'_Dates'!V166="AM",'_Dates'!V166="PM"))),"CHECK Full day / AM / PM",IF(AND('_Dates'!J166='_Dates'!T166,'_Dates'!U166&lt;&gt;"Full day",'_Dates'!V166&lt;&gt;"Full day",'_Dates'!U166&lt;&gt;'_Dates'!V166),"CHECK same-day portions disagree",IF(AND($B$6=0,OR(AND('_Dates'!U166&lt;&gt;"Full day",'_Dates'!AA166=0),AND('_Dates'!V166&lt;&gt;"Full day",'_Dates'!AB166=0))),"CHECK half-day on non-working date",IF(COUNTIF(Settings!$G$7:$G$11,D166)&lt;&gt;1,"CHECK leave type",IF(AND(Bookings!G166&lt;&gt;"Approved",Bookings!G166&lt;&gt;"Pending",Bookings!G166&lt;&gt;"Cancelled"),"CHECK status","OK")))))))))),"CHECK input"))</ns0:f>
        <ns0:v/>
      </ns0:c>
      <ns0:c r="G166" s="0">
        <ns0:f>IF(OR(F166&lt;&gt;"OK",$B$6&gt;0),0,0.5*(IF(('_Dates'!X166)&lt;('_Dates'!W166),0,INT((('_Dates'!X166)-('_Dates'!W166)+1)/7)*LEN(SUBSTITUTE(W166,"O",""))+LEN(SUBSTITUTE(MID(W166&amp;W166,WEEKDAY(('_Dates'!W166),2),MOD((('_Dates'!X166)-('_Dates'!W166)+1),7)),"O",""))-COUNTIFS(INDEX(AllClosureRows,C166,0),"&gt;="&amp;('_Dates'!W166),INDEX(AllClosureRows,C166,0),"&lt;="&amp;('_Dates'!X166)))+IF(('_Dates'!Z166)&lt;('_Dates'!Y166),0,INT((('_Dates'!Z166)-('_Dates'!Y166)+1)/7)*LEN(SUBSTITUTE(W166,"O",""))+LEN(SUBSTITUTE(MID(W166&amp;W166,WEEKDAY(('_Dates'!Y166),2),MOD((('_Dates'!Z166)-('_Dates'!Y166)+1),7)),"O",""))-COUNTIFS(INDEX(AllClosureRows,C166,0),"&gt;="&amp;('_Dates'!Y166),INDEX(AllClosureRows,C166,0),"&lt;="&amp;('_Dates'!Z166)))))</ns0:f>
        <ns0:v>0</ns0:v>
      </ns0:c>
      <ns0:c r="H166" s="0">
        <ns0:f>IF(OR(F166&lt;&gt;"OK",$B$6&gt;0),0,0.5*(IF((MIN('_Dates'!X166,Settings!$B$9))&lt;('_Dates'!W166),0,INT(((MIN('_Dates'!X166,Settings!$B$9))-('_Dates'!W166)+1)/7)*LEN(SUBSTITUTE(W166,"O",""))+LEN(SUBSTITUTE(MID(W166&amp;W166,WEEKDAY(('_Dates'!W166),2),MOD(((MIN('_Dates'!X166,Settings!$B$9))-('_Dates'!W166)+1),7)),"O",""))-COUNTIFS(INDEX(AllClosureRows,C166,0),"&gt;="&amp;('_Dates'!W166),INDEX(AllClosureRows,C166,0),"&lt;="&amp;(MIN('_Dates'!X166,Settings!$B$9))))+IF((MIN('_Dates'!Z166,Settings!$B$9))&lt;('_Dates'!Y166),0,INT(((MIN('_Dates'!Z166,Settings!$B$9))-('_Dates'!Y166)+1)/7)*LEN(SUBSTITUTE(W166,"O",""))+LEN(SUBSTITUTE(MID(W166&amp;W166,WEEKDAY(('_Dates'!Y166),2),MOD(((MIN('_Dates'!Z166,Settings!$B$9))-('_Dates'!Y166)+1),7)),"O",""))-COUNTIFS(INDEX(AllClosureRows,C166,0),"&gt;="&amp;('_Dates'!Y166),INDEX(AllClosureRows,C166,0),"&lt;="&amp;(MIN('_Dates'!Z166,Settings!$B$9))))))</ns0:f>
        <ns0:v>0</ns0:v>
      </ns0:c>
      <ns0:c r="I166" s="0">
        <ns0:f>MAX(0,G166-H166)</ns0:f>
        <ns0:v>0</ns0:v>
      </ns0:c>
      <ns0:c r="J166" s="0">
        <ns0:f>IF(OR(A166=0,F166&lt;&gt;"OK",Bookings!G166="Cancelled",$B$6&gt;0),0,IF('_Dates'!AC166=1,MAX(0,COUNTIFS(rngEngine_B,B166,rngAMStart,"&lt;="&amp;'_Dates'!X166,rngAMEnd,"&gt;="&amp;'_Dates'!W166,rngAMActive,1,rngEngine_F,"OK",rngBookings_F,"&lt;&gt;Cancelled")-1),0)+IF('_Dates'!AD166=1,MAX(0,COUNTIFS(rngEngine_B,B166,rngPMStart,"&lt;="&amp;'_Dates'!Z166,rngPMEnd,"&gt;="&amp;'_Dates'!Y166,rngPMActive,1,rngEngine_F,"OK",rngBookings_F,"&lt;&gt;Cancelled")-1),0))</ns0:f>
        <ns0:v>0</ns0:v>
      </ns0:c>
      <ns0:c r="K166" s="0" t="str">
        <ns0:f>IF(A166=0,"",IF(F166&lt;&gt;"OK",F166,IF(J166&gt;0,"CHECK overlapping entry",IF(AND($B$6=0,G166&lt;=0,Bookings!G166&lt;&gt;"Cancelled"),"CHECK no working days",IF(Bookings!G166="Cancelled","Cancelled","OK")))))</ns0:f>
        <ns0:v/>
      </ns0:c>
      <ns0:c r="L166" s="0">
        <ns0:f>IF(LEFT(K166,5)="CHECK",1,0)</ns0:f>
        <ns0:v>0</ns0:v>
      </ns0:c>
      <ns0:c r="M166" s="0">
        <ns0:f>IF(AND(L166=1,OR(C166=0,IFERROR(INDEX($X$11:$X$60,C166),0)=0)),1,0)</ns0:f>
        <ns0:v>0</ns0:v>
      </ns0:c>
      <ns0:c r="N166" s="0">
        <ns0:f>IF(OR(A166=0,L166&gt;0,$B$6&gt;0,Bookings!G166="Cancelled"),0,G166)</ns0:f>
        <ns0:v>0</ns0:v>
      </ns0:c>
      <ns0:c r="O166" s="0">
        <ns0:f>IF(AND(Bookings!G166="Approved",E166="Yes"),N166,0)</ns0:f>
        <ns0:v>0</ns0:v>
      </ns0:c>
      <ns0:c r="P166" s="0">
        <ns0:f>IF(AND(Bookings!G166="Approved",E166="Yes",L166=0,$B$6=0),H166,0)</ns0:f>
        <ns0:v>0</ns0:v>
      </ns0:c>
      <ns0:c r="Q166" s="0">
        <ns0:f>IF(AND(Bookings!G166="Approved",E166="Yes",L166=0,$B$6=0),I166,0)</ns0:f>
        <ns0:v>0</ns0:v>
      </ns0:c>
      <ns0:c r="R166" s="0">
        <ns0:f>IF(AND(Bookings!G166="Pending",E166="Yes"),N166,0)</ns0:f>
        <ns0:v>0</ns0:v>
      </ns0:c>
      <ns0:c r="S166" s="0">
        <ns0:f>IF(AND(Bookings!G166="Approved",E166="No"),N166,0)</ns0:f>
        <ns0:v>0</ns0:v>
      </ns0:c>
      <ns0:c r="T166" s="0">
        <ns0:f>IFERROR(MATCH(D166,Settings!$G$7:$G$11,0),0)</ns0:f>
        <ns0:v>0</ns0:v>
      </ns0:c>
      <ns0:c r="U166" s="0">
        <ns0:f>IF(N166&gt;0,T166+IF(Bookings!G166="Pending",10,0),0)</ns0:f>
        <ns0:v>0</ns0:v>
      </ns0:c>
      <ns0:c r="V166" s="0">
        <ns0:f>U166</ns0:f>
        <ns0:v>0</ns0:v>
      </ns0:c>
      <ns0:c r="W166" s="0" t="str">
        <ns0:f>IF(C166=0,"",INDEX($AP$11:$AP$60,C166))</ns0:f>
        <ns0:v/>
      </ns0:c>
    </ns0:row>
    <ns0:row r="167">
      <ns0:c r="A167" s="0">
        <ns0:f>IF(COUNTA(Bookings!A167:G167,Bookings!I167)=0,0,1)</ns0:f>
        <ns0:v>0</ns0:v>
      </ns0:c>
      <ns0:c r="B167" s="0" t="str">
        <ns0:f>IFERROR(TRIM(MID(Bookings!A167,FIND(" · ",Bookings!A167)+3,99)),"")</ns0:f>
        <ns0:v/>
      </ns0:c>
      <ns0:c r="C167" s="0">
        <ns0:f>IF(OR(B167="",LEN(B167)&gt;24,ISNUMBER(FIND(" ",B167)),ISNUMBER(FIND("*",B167)),ISNUMBER(FIND("?",B167)),ISNUMBER(FIND("~",B167))),0,IFERROR(MATCH(B167,Team!$A$11:$A$60,0),0))</ns0:f>
        <ns0:v>0</ns0:v>
      </ns0:c>
      <ns0:c r="D167" s="0" t="str">
        <ns0:f>IFERROR(IF(MID(Bookings!F167,LEN(Bookings!F167)-3,3)=" · ",RIGHT(Bookings!F167,1),""),"")</ns0:f>
        <ns0:v/>
      </ns0:c>
      <ns0:c r="E167" s="0" t="str">
        <ns0:f>IFERROR(INDEX(Settings!$H$7:$H$11,MATCH(D167,Settings!$G$7:$G$11,0)),"")</ns0:f>
        <ns0:v/>
      </ns0:c>
      <ns0:c r="F167" s="0" t="str">
        <ns0:f>IF(A167=0,"",IFERROR(IF(OR(B167="",C167=0),"CHECK employee selection",IF(INDEX(Team!$O$11:$O$60,C167)&lt;&gt;"OK","CHECK employee setup",IF(OR('_Dates'!J167=0,'_Dates'!T167=0),"CHECK date: use DD.MM.YYYY",IF('_Dates'!T167&lt;'_Dates'!J167,"CHECK end before start",IF(AND($B$6=0,OR('_Dates'!J167&lt;Settings!$B$7,'_Dates'!T167&gt;Settings!$B$8)),"CHECK split across leave years",IF(OR(NOT(OR('_Dates'!U167="Full day",'_Dates'!U167="AM",'_Dates'!U167="PM")),NOT(OR('_Dates'!V167="Full day",'_Dates'!V167="AM",'_Dates'!V167="PM"))),"CHECK Full day / AM / PM",IF(AND('_Dates'!J167='_Dates'!T167,'_Dates'!U167&lt;&gt;"Full day",'_Dates'!V167&lt;&gt;"Full day",'_Dates'!U167&lt;&gt;'_Dates'!V167),"CHECK same-day portions disagree",IF(AND($B$6=0,OR(AND('_Dates'!U167&lt;&gt;"Full day",'_Dates'!AA167=0),AND('_Dates'!V167&lt;&gt;"Full day",'_Dates'!AB167=0))),"CHECK half-day on non-working date",IF(COUNTIF(Settings!$G$7:$G$11,D167)&lt;&gt;1,"CHECK leave type",IF(AND(Bookings!G167&lt;&gt;"Approved",Bookings!G167&lt;&gt;"Pending",Bookings!G167&lt;&gt;"Cancelled"),"CHECK status","OK")))))))))),"CHECK input"))</ns0:f>
        <ns0:v/>
      </ns0:c>
      <ns0:c r="G167" s="0">
        <ns0:f>IF(OR(F167&lt;&gt;"OK",$B$6&gt;0),0,0.5*(IF(('_Dates'!X167)&lt;('_Dates'!W167),0,INT((('_Dates'!X167)-('_Dates'!W167)+1)/7)*LEN(SUBSTITUTE(W167,"O",""))+LEN(SUBSTITUTE(MID(W167&amp;W167,WEEKDAY(('_Dates'!W167),2),MOD((('_Dates'!X167)-('_Dates'!W167)+1),7)),"O",""))-COUNTIFS(INDEX(AllClosureRows,C167,0),"&gt;="&amp;('_Dates'!W167),INDEX(AllClosureRows,C167,0),"&lt;="&amp;('_Dates'!X167)))+IF(('_Dates'!Z167)&lt;('_Dates'!Y167),0,INT((('_Dates'!Z167)-('_Dates'!Y167)+1)/7)*LEN(SUBSTITUTE(W167,"O",""))+LEN(SUBSTITUTE(MID(W167&amp;W167,WEEKDAY(('_Dates'!Y167),2),MOD((('_Dates'!Z167)-('_Dates'!Y167)+1),7)),"O",""))-COUNTIFS(INDEX(AllClosureRows,C167,0),"&gt;="&amp;('_Dates'!Y167),INDEX(AllClosureRows,C167,0),"&lt;="&amp;('_Dates'!Z167)))))</ns0:f>
        <ns0:v>0</ns0:v>
      </ns0:c>
      <ns0:c r="H167" s="0">
        <ns0:f>IF(OR(F167&lt;&gt;"OK",$B$6&gt;0),0,0.5*(IF((MIN('_Dates'!X167,Settings!$B$9))&lt;('_Dates'!W167),0,INT(((MIN('_Dates'!X167,Settings!$B$9))-('_Dates'!W167)+1)/7)*LEN(SUBSTITUTE(W167,"O",""))+LEN(SUBSTITUTE(MID(W167&amp;W167,WEEKDAY(('_Dates'!W167),2),MOD(((MIN('_Dates'!X167,Settings!$B$9))-('_Dates'!W167)+1),7)),"O",""))-COUNTIFS(INDEX(AllClosureRows,C167,0),"&gt;="&amp;('_Dates'!W167),INDEX(AllClosureRows,C167,0),"&lt;="&amp;(MIN('_Dates'!X167,Settings!$B$9))))+IF((MIN('_Dates'!Z167,Settings!$B$9))&lt;('_Dates'!Y167),0,INT(((MIN('_Dates'!Z167,Settings!$B$9))-('_Dates'!Y167)+1)/7)*LEN(SUBSTITUTE(W167,"O",""))+LEN(SUBSTITUTE(MID(W167&amp;W167,WEEKDAY(('_Dates'!Y167),2),MOD(((MIN('_Dates'!Z167,Settings!$B$9))-('_Dates'!Y167)+1),7)),"O",""))-COUNTIFS(INDEX(AllClosureRows,C167,0),"&gt;="&amp;('_Dates'!Y167),INDEX(AllClosureRows,C167,0),"&lt;="&amp;(MIN('_Dates'!Z167,Settings!$B$9))))))</ns0:f>
        <ns0:v>0</ns0:v>
      </ns0:c>
      <ns0:c r="I167" s="0">
        <ns0:f>MAX(0,G167-H167)</ns0:f>
        <ns0:v>0</ns0:v>
      </ns0:c>
      <ns0:c r="J167" s="0">
        <ns0:f>IF(OR(A167=0,F167&lt;&gt;"OK",Bookings!G167="Cancelled",$B$6&gt;0),0,IF('_Dates'!AC167=1,MAX(0,COUNTIFS(rngEngine_B,B167,rngAMStart,"&lt;="&amp;'_Dates'!X167,rngAMEnd,"&gt;="&amp;'_Dates'!W167,rngAMActive,1,rngEngine_F,"OK",rngBookings_F,"&lt;&gt;Cancelled")-1),0)+IF('_Dates'!AD167=1,MAX(0,COUNTIFS(rngEngine_B,B167,rngPMStart,"&lt;="&amp;'_Dates'!Z167,rngPMEnd,"&gt;="&amp;'_Dates'!Y167,rngPMActive,1,rngEngine_F,"OK",rngBookings_F,"&lt;&gt;Cancelled")-1),0))</ns0:f>
        <ns0:v>0</ns0:v>
      </ns0:c>
      <ns0:c r="K167" s="0" t="str">
        <ns0:f>IF(A167=0,"",IF(F167&lt;&gt;"OK",F167,IF(J167&gt;0,"CHECK overlapping entry",IF(AND($B$6=0,G167&lt;=0,Bookings!G167&lt;&gt;"Cancelled"),"CHECK no working days",IF(Bookings!G167="Cancelled","Cancelled","OK")))))</ns0:f>
        <ns0:v/>
      </ns0:c>
      <ns0:c r="L167" s="0">
        <ns0:f>IF(LEFT(K167,5)="CHECK",1,0)</ns0:f>
        <ns0:v>0</ns0:v>
      </ns0:c>
      <ns0:c r="M167" s="0">
        <ns0:f>IF(AND(L167=1,OR(C167=0,IFERROR(INDEX($X$11:$X$60,C167),0)=0)),1,0)</ns0:f>
        <ns0:v>0</ns0:v>
      </ns0:c>
      <ns0:c r="N167" s="0">
        <ns0:f>IF(OR(A167=0,L167&gt;0,$B$6&gt;0,Bookings!G167="Cancelled"),0,G167)</ns0:f>
        <ns0:v>0</ns0:v>
      </ns0:c>
      <ns0:c r="O167" s="0">
        <ns0:f>IF(AND(Bookings!G167="Approved",E167="Yes"),N167,0)</ns0:f>
        <ns0:v>0</ns0:v>
      </ns0:c>
      <ns0:c r="P167" s="0">
        <ns0:f>IF(AND(Bookings!G167="Approved",E167="Yes",L167=0,$B$6=0),H167,0)</ns0:f>
        <ns0:v>0</ns0:v>
      </ns0:c>
      <ns0:c r="Q167" s="0">
        <ns0:f>IF(AND(Bookings!G167="Approved",E167="Yes",L167=0,$B$6=0),I167,0)</ns0:f>
        <ns0:v>0</ns0:v>
      </ns0:c>
      <ns0:c r="R167" s="0">
        <ns0:f>IF(AND(Bookings!G167="Pending",E167="Yes"),N167,0)</ns0:f>
        <ns0:v>0</ns0:v>
      </ns0:c>
      <ns0:c r="S167" s="0">
        <ns0:f>IF(AND(Bookings!G167="Approved",E167="No"),N167,0)</ns0:f>
        <ns0:v>0</ns0:v>
      </ns0:c>
      <ns0:c r="T167" s="0">
        <ns0:f>IFERROR(MATCH(D167,Settings!$G$7:$G$11,0),0)</ns0:f>
        <ns0:v>0</ns0:v>
      </ns0:c>
      <ns0:c r="U167" s="0">
        <ns0:f>IF(N167&gt;0,T167+IF(Bookings!G167="Pending",10,0),0)</ns0:f>
        <ns0:v>0</ns0:v>
      </ns0:c>
      <ns0:c r="V167" s="0">
        <ns0:f>U167</ns0:f>
        <ns0:v>0</ns0:v>
      </ns0:c>
      <ns0:c r="W167" s="0" t="str">
        <ns0:f>IF(C167=0,"",INDEX($AP$11:$AP$60,C167))</ns0:f>
        <ns0:v/>
      </ns0:c>
    </ns0:row>
    <ns0:row r="168">
      <ns0:c r="A168" s="0">
        <ns0:f>IF(COUNTA(Bookings!A168:G168,Bookings!I168)=0,0,1)</ns0:f>
        <ns0:v>0</ns0:v>
      </ns0:c>
      <ns0:c r="B168" s="0" t="str">
        <ns0:f>IFERROR(TRIM(MID(Bookings!A168,FIND(" · ",Bookings!A168)+3,99)),"")</ns0:f>
        <ns0:v/>
      </ns0:c>
      <ns0:c r="C168" s="0">
        <ns0:f>IF(OR(B168="",LEN(B168)&gt;24,ISNUMBER(FIND(" ",B168)),ISNUMBER(FIND("*",B168)),ISNUMBER(FIND("?",B168)),ISNUMBER(FIND("~",B168))),0,IFERROR(MATCH(B168,Team!$A$11:$A$60,0),0))</ns0:f>
        <ns0:v>0</ns0:v>
      </ns0:c>
      <ns0:c r="D168" s="0" t="str">
        <ns0:f>IFERROR(IF(MID(Bookings!F168,LEN(Bookings!F168)-3,3)=" · ",RIGHT(Bookings!F168,1),""),"")</ns0:f>
        <ns0:v/>
      </ns0:c>
      <ns0:c r="E168" s="0" t="str">
        <ns0:f>IFERROR(INDEX(Settings!$H$7:$H$11,MATCH(D168,Settings!$G$7:$G$11,0)),"")</ns0:f>
        <ns0:v/>
      </ns0:c>
      <ns0:c r="F168" s="0" t="str">
        <ns0:f>IF(A168=0,"",IFERROR(IF(OR(B168="",C168=0),"CHECK employee selection",IF(INDEX(Team!$O$11:$O$60,C168)&lt;&gt;"OK","CHECK employee setup",IF(OR('_Dates'!J168=0,'_Dates'!T168=0),"CHECK date: use DD.MM.YYYY",IF('_Dates'!T168&lt;'_Dates'!J168,"CHECK end before start",IF(AND($B$6=0,OR('_Dates'!J168&lt;Settings!$B$7,'_Dates'!T168&gt;Settings!$B$8)),"CHECK split across leave years",IF(OR(NOT(OR('_Dates'!U168="Full day",'_Dates'!U168="AM",'_Dates'!U168="PM")),NOT(OR('_Dates'!V168="Full day",'_Dates'!V168="AM",'_Dates'!V168="PM"))),"CHECK Full day / AM / PM",IF(AND('_Dates'!J168='_Dates'!T168,'_Dates'!U168&lt;&gt;"Full day",'_Dates'!V168&lt;&gt;"Full day",'_Dates'!U168&lt;&gt;'_Dates'!V168),"CHECK same-day portions disagree",IF(AND($B$6=0,OR(AND('_Dates'!U168&lt;&gt;"Full day",'_Dates'!AA168=0),AND('_Dates'!V168&lt;&gt;"Full day",'_Dates'!AB168=0))),"CHECK half-day on non-working date",IF(COUNTIF(Settings!$G$7:$G$11,D168)&lt;&gt;1,"CHECK leave type",IF(AND(Bookings!G168&lt;&gt;"Approved",Bookings!G168&lt;&gt;"Pending",Bookings!G168&lt;&gt;"Cancelled"),"CHECK status","OK")))))))))),"CHECK input"))</ns0:f>
        <ns0:v/>
      </ns0:c>
      <ns0:c r="G168" s="0">
        <ns0:f>IF(OR(F168&lt;&gt;"OK",$B$6&gt;0),0,0.5*(IF(('_Dates'!X168)&lt;('_Dates'!W168),0,INT((('_Dates'!X168)-('_Dates'!W168)+1)/7)*LEN(SUBSTITUTE(W168,"O",""))+LEN(SUBSTITUTE(MID(W168&amp;W168,WEEKDAY(('_Dates'!W168),2),MOD((('_Dates'!X168)-('_Dates'!W168)+1),7)),"O",""))-COUNTIFS(INDEX(AllClosureRows,C168,0),"&gt;="&amp;('_Dates'!W168),INDEX(AllClosureRows,C168,0),"&lt;="&amp;('_Dates'!X168)))+IF(('_Dates'!Z168)&lt;('_Dates'!Y168),0,INT((('_Dates'!Z168)-('_Dates'!Y168)+1)/7)*LEN(SUBSTITUTE(W168,"O",""))+LEN(SUBSTITUTE(MID(W168&amp;W168,WEEKDAY(('_Dates'!Y168),2),MOD((('_Dates'!Z168)-('_Dates'!Y168)+1),7)),"O",""))-COUNTIFS(INDEX(AllClosureRows,C168,0),"&gt;="&amp;('_Dates'!Y168),INDEX(AllClosureRows,C168,0),"&lt;="&amp;('_Dates'!Z168)))))</ns0:f>
        <ns0:v>0</ns0:v>
      </ns0:c>
      <ns0:c r="H168" s="0">
        <ns0:f>IF(OR(F168&lt;&gt;"OK",$B$6&gt;0),0,0.5*(IF((MIN('_Dates'!X168,Settings!$B$9))&lt;('_Dates'!W168),0,INT(((MIN('_Dates'!X168,Settings!$B$9))-('_Dates'!W168)+1)/7)*LEN(SUBSTITUTE(W168,"O",""))+LEN(SUBSTITUTE(MID(W168&amp;W168,WEEKDAY(('_Dates'!W168),2),MOD(((MIN('_Dates'!X168,Settings!$B$9))-('_Dates'!W168)+1),7)),"O",""))-COUNTIFS(INDEX(AllClosureRows,C168,0),"&gt;="&amp;('_Dates'!W168),INDEX(AllClosureRows,C168,0),"&lt;="&amp;(MIN('_Dates'!X168,Settings!$B$9))))+IF((MIN('_Dates'!Z168,Settings!$B$9))&lt;('_Dates'!Y168),0,INT(((MIN('_Dates'!Z168,Settings!$B$9))-('_Dates'!Y168)+1)/7)*LEN(SUBSTITUTE(W168,"O",""))+LEN(SUBSTITUTE(MID(W168&amp;W168,WEEKDAY(('_Dates'!Y168),2),MOD(((MIN('_Dates'!Z168,Settings!$B$9))-('_Dates'!Y168)+1),7)),"O",""))-COUNTIFS(INDEX(AllClosureRows,C168,0),"&gt;="&amp;('_Dates'!Y168),INDEX(AllClosureRows,C168,0),"&lt;="&amp;(MIN('_Dates'!Z168,Settings!$B$9))))))</ns0:f>
        <ns0:v>0</ns0:v>
      </ns0:c>
      <ns0:c r="I168" s="0">
        <ns0:f>MAX(0,G168-H168)</ns0:f>
        <ns0:v>0</ns0:v>
      </ns0:c>
      <ns0:c r="J168" s="0">
        <ns0:f>IF(OR(A168=0,F168&lt;&gt;"OK",Bookings!G168="Cancelled",$B$6&gt;0),0,IF('_Dates'!AC168=1,MAX(0,COUNTIFS(rngEngine_B,B168,rngAMStart,"&lt;="&amp;'_Dates'!X168,rngAMEnd,"&gt;="&amp;'_Dates'!W168,rngAMActive,1,rngEngine_F,"OK",rngBookings_F,"&lt;&gt;Cancelled")-1),0)+IF('_Dates'!AD168=1,MAX(0,COUNTIFS(rngEngine_B,B168,rngPMStart,"&lt;="&amp;'_Dates'!Z168,rngPMEnd,"&gt;="&amp;'_Dates'!Y168,rngPMActive,1,rngEngine_F,"OK",rngBookings_F,"&lt;&gt;Cancelled")-1),0))</ns0:f>
        <ns0:v>0</ns0:v>
      </ns0:c>
      <ns0:c r="K168" s="0" t="str">
        <ns0:f>IF(A168=0,"",IF(F168&lt;&gt;"OK",F168,IF(J168&gt;0,"CHECK overlapping entry",IF(AND($B$6=0,G168&lt;=0,Bookings!G168&lt;&gt;"Cancelled"),"CHECK no working days",IF(Bookings!G168="Cancelled","Cancelled","OK")))))</ns0:f>
        <ns0:v/>
      </ns0:c>
      <ns0:c r="L168" s="0">
        <ns0:f>IF(LEFT(K168,5)="CHECK",1,0)</ns0:f>
        <ns0:v>0</ns0:v>
      </ns0:c>
      <ns0:c r="M168" s="0">
        <ns0:f>IF(AND(L168=1,OR(C168=0,IFERROR(INDEX($X$11:$X$60,C168),0)=0)),1,0)</ns0:f>
        <ns0:v>0</ns0:v>
      </ns0:c>
      <ns0:c r="N168" s="0">
        <ns0:f>IF(OR(A168=0,L168&gt;0,$B$6&gt;0,Bookings!G168="Cancelled"),0,G168)</ns0:f>
        <ns0:v>0</ns0:v>
      </ns0:c>
      <ns0:c r="O168" s="0">
        <ns0:f>IF(AND(Bookings!G168="Approved",E168="Yes"),N168,0)</ns0:f>
        <ns0:v>0</ns0:v>
      </ns0:c>
      <ns0:c r="P168" s="0">
        <ns0:f>IF(AND(Bookings!G168="Approved",E168="Yes",L168=0,$B$6=0),H168,0)</ns0:f>
        <ns0:v>0</ns0:v>
      </ns0:c>
      <ns0:c r="Q168" s="0">
        <ns0:f>IF(AND(Bookings!G168="Approved",E168="Yes",L168=0,$B$6=0),I168,0)</ns0:f>
        <ns0:v>0</ns0:v>
      </ns0:c>
      <ns0:c r="R168" s="0">
        <ns0:f>IF(AND(Bookings!G168="Pending",E168="Yes"),N168,0)</ns0:f>
        <ns0:v>0</ns0:v>
      </ns0:c>
      <ns0:c r="S168" s="0">
        <ns0:f>IF(AND(Bookings!G168="Approved",E168="No"),N168,0)</ns0:f>
        <ns0:v>0</ns0:v>
      </ns0:c>
      <ns0:c r="T168" s="0">
        <ns0:f>IFERROR(MATCH(D168,Settings!$G$7:$G$11,0),0)</ns0:f>
        <ns0:v>0</ns0:v>
      </ns0:c>
      <ns0:c r="U168" s="0">
        <ns0:f>IF(N168&gt;0,T168+IF(Bookings!G168="Pending",10,0),0)</ns0:f>
        <ns0:v>0</ns0:v>
      </ns0:c>
      <ns0:c r="V168" s="0">
        <ns0:f>U168</ns0:f>
        <ns0:v>0</ns0:v>
      </ns0:c>
      <ns0:c r="W168" s="0" t="str">
        <ns0:f>IF(C168=0,"",INDEX($AP$11:$AP$60,C168))</ns0:f>
        <ns0:v/>
      </ns0:c>
    </ns0:row>
    <ns0:row r="169">
      <ns0:c r="A169" s="0">
        <ns0:f>IF(COUNTA(Bookings!A169:G169,Bookings!I169)=0,0,1)</ns0:f>
        <ns0:v>0</ns0:v>
      </ns0:c>
      <ns0:c r="B169" s="0" t="str">
        <ns0:f>IFERROR(TRIM(MID(Bookings!A169,FIND(" · ",Bookings!A169)+3,99)),"")</ns0:f>
        <ns0:v/>
      </ns0:c>
      <ns0:c r="C169" s="0">
        <ns0:f>IF(OR(B169="",LEN(B169)&gt;24,ISNUMBER(FIND(" ",B169)),ISNUMBER(FIND("*",B169)),ISNUMBER(FIND("?",B169)),ISNUMBER(FIND("~",B169))),0,IFERROR(MATCH(B169,Team!$A$11:$A$60,0),0))</ns0:f>
        <ns0:v>0</ns0:v>
      </ns0:c>
      <ns0:c r="D169" s="0" t="str">
        <ns0:f>IFERROR(IF(MID(Bookings!F169,LEN(Bookings!F169)-3,3)=" · ",RIGHT(Bookings!F169,1),""),"")</ns0:f>
        <ns0:v/>
      </ns0:c>
      <ns0:c r="E169" s="0" t="str">
        <ns0:f>IFERROR(INDEX(Settings!$H$7:$H$11,MATCH(D169,Settings!$G$7:$G$11,0)),"")</ns0:f>
        <ns0:v/>
      </ns0:c>
      <ns0:c r="F169" s="0" t="str">
        <ns0:f>IF(A169=0,"",IFERROR(IF(OR(B169="",C169=0),"CHECK employee selection",IF(INDEX(Team!$O$11:$O$60,C169)&lt;&gt;"OK","CHECK employee setup",IF(OR('_Dates'!J169=0,'_Dates'!T169=0),"CHECK date: use DD.MM.YYYY",IF('_Dates'!T169&lt;'_Dates'!J169,"CHECK end before start",IF(AND($B$6=0,OR('_Dates'!J169&lt;Settings!$B$7,'_Dates'!T169&gt;Settings!$B$8)),"CHECK split across leave years",IF(OR(NOT(OR('_Dates'!U169="Full day",'_Dates'!U169="AM",'_Dates'!U169="PM")),NOT(OR('_Dates'!V169="Full day",'_Dates'!V169="AM",'_Dates'!V169="PM"))),"CHECK Full day / AM / PM",IF(AND('_Dates'!J169='_Dates'!T169,'_Dates'!U169&lt;&gt;"Full day",'_Dates'!V169&lt;&gt;"Full day",'_Dates'!U169&lt;&gt;'_Dates'!V169),"CHECK same-day portions disagree",IF(AND($B$6=0,OR(AND('_Dates'!U169&lt;&gt;"Full day",'_Dates'!AA169=0),AND('_Dates'!V169&lt;&gt;"Full day",'_Dates'!AB169=0))),"CHECK half-day on non-working date",IF(COUNTIF(Settings!$G$7:$G$11,D169)&lt;&gt;1,"CHECK leave type",IF(AND(Bookings!G169&lt;&gt;"Approved",Bookings!G169&lt;&gt;"Pending",Bookings!G169&lt;&gt;"Cancelled"),"CHECK status","OK")))))))))),"CHECK input"))</ns0:f>
        <ns0:v/>
      </ns0:c>
      <ns0:c r="G169" s="0">
        <ns0:f>IF(OR(F169&lt;&gt;"OK",$B$6&gt;0),0,0.5*(IF(('_Dates'!X169)&lt;('_Dates'!W169),0,INT((('_Dates'!X169)-('_Dates'!W169)+1)/7)*LEN(SUBSTITUTE(W169,"O",""))+LEN(SUBSTITUTE(MID(W169&amp;W169,WEEKDAY(('_Dates'!W169),2),MOD((('_Dates'!X169)-('_Dates'!W169)+1),7)),"O",""))-COUNTIFS(INDEX(AllClosureRows,C169,0),"&gt;="&amp;('_Dates'!W169),INDEX(AllClosureRows,C169,0),"&lt;="&amp;('_Dates'!X169)))+IF(('_Dates'!Z169)&lt;('_Dates'!Y169),0,INT((('_Dates'!Z169)-('_Dates'!Y169)+1)/7)*LEN(SUBSTITUTE(W169,"O",""))+LEN(SUBSTITUTE(MID(W169&amp;W169,WEEKDAY(('_Dates'!Y169),2),MOD((('_Dates'!Z169)-('_Dates'!Y169)+1),7)),"O",""))-COUNTIFS(INDEX(AllClosureRows,C169,0),"&gt;="&amp;('_Dates'!Y169),INDEX(AllClosureRows,C169,0),"&lt;="&amp;('_Dates'!Z169)))))</ns0:f>
        <ns0:v>0</ns0:v>
      </ns0:c>
      <ns0:c r="H169" s="0">
        <ns0:f>IF(OR(F169&lt;&gt;"OK",$B$6&gt;0),0,0.5*(IF((MIN('_Dates'!X169,Settings!$B$9))&lt;('_Dates'!W169),0,INT(((MIN('_Dates'!X169,Settings!$B$9))-('_Dates'!W169)+1)/7)*LEN(SUBSTITUTE(W169,"O",""))+LEN(SUBSTITUTE(MID(W169&amp;W169,WEEKDAY(('_Dates'!W169),2),MOD(((MIN('_Dates'!X169,Settings!$B$9))-('_Dates'!W169)+1),7)),"O",""))-COUNTIFS(INDEX(AllClosureRows,C169,0),"&gt;="&amp;('_Dates'!W169),INDEX(AllClosureRows,C169,0),"&lt;="&amp;(MIN('_Dates'!X169,Settings!$B$9))))+IF((MIN('_Dates'!Z169,Settings!$B$9))&lt;('_Dates'!Y169),0,INT(((MIN('_Dates'!Z169,Settings!$B$9))-('_Dates'!Y169)+1)/7)*LEN(SUBSTITUTE(W169,"O",""))+LEN(SUBSTITUTE(MID(W169&amp;W169,WEEKDAY(('_Dates'!Y169),2),MOD(((MIN('_Dates'!Z169,Settings!$B$9))-('_Dates'!Y169)+1),7)),"O",""))-COUNTIFS(INDEX(AllClosureRows,C169,0),"&gt;="&amp;('_Dates'!Y169),INDEX(AllClosureRows,C169,0),"&lt;="&amp;(MIN('_Dates'!Z169,Settings!$B$9))))))</ns0:f>
        <ns0:v>0</ns0:v>
      </ns0:c>
      <ns0:c r="I169" s="0">
        <ns0:f>MAX(0,G169-H169)</ns0:f>
        <ns0:v>0</ns0:v>
      </ns0:c>
      <ns0:c r="J169" s="0">
        <ns0:f>IF(OR(A169=0,F169&lt;&gt;"OK",Bookings!G169="Cancelled",$B$6&gt;0),0,IF('_Dates'!AC169=1,MAX(0,COUNTIFS(rngEngine_B,B169,rngAMStart,"&lt;="&amp;'_Dates'!X169,rngAMEnd,"&gt;="&amp;'_Dates'!W169,rngAMActive,1,rngEngine_F,"OK",rngBookings_F,"&lt;&gt;Cancelled")-1),0)+IF('_Dates'!AD169=1,MAX(0,COUNTIFS(rngEngine_B,B169,rngPMStart,"&lt;="&amp;'_Dates'!Z169,rngPMEnd,"&gt;="&amp;'_Dates'!Y169,rngPMActive,1,rngEngine_F,"OK",rngBookings_F,"&lt;&gt;Cancelled")-1),0))</ns0:f>
        <ns0:v>0</ns0:v>
      </ns0:c>
      <ns0:c r="K169" s="0" t="str">
        <ns0:f>IF(A169=0,"",IF(F169&lt;&gt;"OK",F169,IF(J169&gt;0,"CHECK overlapping entry",IF(AND($B$6=0,G169&lt;=0,Bookings!G169&lt;&gt;"Cancelled"),"CHECK no working days",IF(Bookings!G169="Cancelled","Cancelled","OK")))))</ns0:f>
        <ns0:v/>
      </ns0:c>
      <ns0:c r="L169" s="0">
        <ns0:f>IF(LEFT(K169,5)="CHECK",1,0)</ns0:f>
        <ns0:v>0</ns0:v>
      </ns0:c>
      <ns0:c r="M169" s="0">
        <ns0:f>IF(AND(L169=1,OR(C169=0,IFERROR(INDEX($X$11:$X$60,C169),0)=0)),1,0)</ns0:f>
        <ns0:v>0</ns0:v>
      </ns0:c>
      <ns0:c r="N169" s="0">
        <ns0:f>IF(OR(A169=0,L169&gt;0,$B$6&gt;0,Bookings!G169="Cancelled"),0,G169)</ns0:f>
        <ns0:v>0</ns0:v>
      </ns0:c>
      <ns0:c r="O169" s="0">
        <ns0:f>IF(AND(Bookings!G169="Approved",E169="Yes"),N169,0)</ns0:f>
        <ns0:v>0</ns0:v>
      </ns0:c>
      <ns0:c r="P169" s="0">
        <ns0:f>IF(AND(Bookings!G169="Approved",E169="Yes",L169=0,$B$6=0),H169,0)</ns0:f>
        <ns0:v>0</ns0:v>
      </ns0:c>
      <ns0:c r="Q169" s="0">
        <ns0:f>IF(AND(Bookings!G169="Approved",E169="Yes",L169=0,$B$6=0),I169,0)</ns0:f>
        <ns0:v>0</ns0:v>
      </ns0:c>
      <ns0:c r="R169" s="0">
        <ns0:f>IF(AND(Bookings!G169="Pending",E169="Yes"),N169,0)</ns0:f>
        <ns0:v>0</ns0:v>
      </ns0:c>
      <ns0:c r="S169" s="0">
        <ns0:f>IF(AND(Bookings!G169="Approved",E169="No"),N169,0)</ns0:f>
        <ns0:v>0</ns0:v>
      </ns0:c>
      <ns0:c r="T169" s="0">
        <ns0:f>IFERROR(MATCH(D169,Settings!$G$7:$G$11,0),0)</ns0:f>
        <ns0:v>0</ns0:v>
      </ns0:c>
      <ns0:c r="U169" s="0">
        <ns0:f>IF(N169&gt;0,T169+IF(Bookings!G169="Pending",10,0),0)</ns0:f>
        <ns0:v>0</ns0:v>
      </ns0:c>
      <ns0:c r="V169" s="0">
        <ns0:f>U169</ns0:f>
        <ns0:v>0</ns0:v>
      </ns0:c>
      <ns0:c r="W169" s="0" t="str">
        <ns0:f>IF(C169=0,"",INDEX($AP$11:$AP$60,C169))</ns0:f>
        <ns0:v/>
      </ns0:c>
    </ns0:row>
    <ns0:row r="170">
      <ns0:c r="A170" s="0">
        <ns0:f>IF(COUNTA(Bookings!A170:G170,Bookings!I170)=0,0,1)</ns0:f>
        <ns0:v>0</ns0:v>
      </ns0:c>
      <ns0:c r="B170" s="0" t="str">
        <ns0:f>IFERROR(TRIM(MID(Bookings!A170,FIND(" · ",Bookings!A170)+3,99)),"")</ns0:f>
        <ns0:v/>
      </ns0:c>
      <ns0:c r="C170" s="0">
        <ns0:f>IF(OR(B170="",LEN(B170)&gt;24,ISNUMBER(FIND(" ",B170)),ISNUMBER(FIND("*",B170)),ISNUMBER(FIND("?",B170)),ISNUMBER(FIND("~",B170))),0,IFERROR(MATCH(B170,Team!$A$11:$A$60,0),0))</ns0:f>
        <ns0:v>0</ns0:v>
      </ns0:c>
      <ns0:c r="D170" s="0" t="str">
        <ns0:f>IFERROR(IF(MID(Bookings!F170,LEN(Bookings!F170)-3,3)=" · ",RIGHT(Bookings!F170,1),""),"")</ns0:f>
        <ns0:v/>
      </ns0:c>
      <ns0:c r="E170" s="0" t="str">
        <ns0:f>IFERROR(INDEX(Settings!$H$7:$H$11,MATCH(D170,Settings!$G$7:$G$11,0)),"")</ns0:f>
        <ns0:v/>
      </ns0:c>
      <ns0:c r="F170" s="0" t="str">
        <ns0:f>IF(A170=0,"",IFERROR(IF(OR(B170="",C170=0),"CHECK employee selection",IF(INDEX(Team!$O$11:$O$60,C170)&lt;&gt;"OK","CHECK employee setup",IF(OR('_Dates'!J170=0,'_Dates'!T170=0),"CHECK date: use DD.MM.YYYY",IF('_Dates'!T170&lt;'_Dates'!J170,"CHECK end before start",IF(AND($B$6=0,OR('_Dates'!J170&lt;Settings!$B$7,'_Dates'!T170&gt;Settings!$B$8)),"CHECK split across leave years",IF(OR(NOT(OR('_Dates'!U170="Full day",'_Dates'!U170="AM",'_Dates'!U170="PM")),NOT(OR('_Dates'!V170="Full day",'_Dates'!V170="AM",'_Dates'!V170="PM"))),"CHECK Full day / AM / PM",IF(AND('_Dates'!J170='_Dates'!T170,'_Dates'!U170&lt;&gt;"Full day",'_Dates'!V170&lt;&gt;"Full day",'_Dates'!U170&lt;&gt;'_Dates'!V170),"CHECK same-day portions disagree",IF(AND($B$6=0,OR(AND('_Dates'!U170&lt;&gt;"Full day",'_Dates'!AA170=0),AND('_Dates'!V170&lt;&gt;"Full day",'_Dates'!AB170=0))),"CHECK half-day on non-working date",IF(COUNTIF(Settings!$G$7:$G$11,D170)&lt;&gt;1,"CHECK leave type",IF(AND(Bookings!G170&lt;&gt;"Approved",Bookings!G170&lt;&gt;"Pending",Bookings!G170&lt;&gt;"Cancelled"),"CHECK status","OK")))))))))),"CHECK input"))</ns0:f>
        <ns0:v/>
      </ns0:c>
      <ns0:c r="G170" s="0">
        <ns0:f>IF(OR(F170&lt;&gt;"OK",$B$6&gt;0),0,0.5*(IF(('_Dates'!X170)&lt;('_Dates'!W170),0,INT((('_Dates'!X170)-('_Dates'!W170)+1)/7)*LEN(SUBSTITUTE(W170,"O",""))+LEN(SUBSTITUTE(MID(W170&amp;W170,WEEKDAY(('_Dates'!W170),2),MOD((('_Dates'!X170)-('_Dates'!W170)+1),7)),"O",""))-COUNTIFS(INDEX(AllClosureRows,C170,0),"&gt;="&amp;('_Dates'!W170),INDEX(AllClosureRows,C170,0),"&lt;="&amp;('_Dates'!X170)))+IF(('_Dates'!Z170)&lt;('_Dates'!Y170),0,INT((('_Dates'!Z170)-('_Dates'!Y170)+1)/7)*LEN(SUBSTITUTE(W170,"O",""))+LEN(SUBSTITUTE(MID(W170&amp;W170,WEEKDAY(('_Dates'!Y170),2),MOD((('_Dates'!Z170)-('_Dates'!Y170)+1),7)),"O",""))-COUNTIFS(INDEX(AllClosureRows,C170,0),"&gt;="&amp;('_Dates'!Y170),INDEX(AllClosureRows,C170,0),"&lt;="&amp;('_Dates'!Z170)))))</ns0:f>
        <ns0:v>0</ns0:v>
      </ns0:c>
      <ns0:c r="H170" s="0">
        <ns0:f>IF(OR(F170&lt;&gt;"OK",$B$6&gt;0),0,0.5*(IF((MIN('_Dates'!X170,Settings!$B$9))&lt;('_Dates'!W170),0,INT(((MIN('_Dates'!X170,Settings!$B$9))-('_Dates'!W170)+1)/7)*LEN(SUBSTITUTE(W170,"O",""))+LEN(SUBSTITUTE(MID(W170&amp;W170,WEEKDAY(('_Dates'!W170),2),MOD(((MIN('_Dates'!X170,Settings!$B$9))-('_Dates'!W170)+1),7)),"O",""))-COUNTIFS(INDEX(AllClosureRows,C170,0),"&gt;="&amp;('_Dates'!W170),INDEX(AllClosureRows,C170,0),"&lt;="&amp;(MIN('_Dates'!X170,Settings!$B$9))))+IF((MIN('_Dates'!Z170,Settings!$B$9))&lt;('_Dates'!Y170),0,INT(((MIN('_Dates'!Z170,Settings!$B$9))-('_Dates'!Y170)+1)/7)*LEN(SUBSTITUTE(W170,"O",""))+LEN(SUBSTITUTE(MID(W170&amp;W170,WEEKDAY(('_Dates'!Y170),2),MOD(((MIN('_Dates'!Z170,Settings!$B$9))-('_Dates'!Y170)+1),7)),"O",""))-COUNTIFS(INDEX(AllClosureRows,C170,0),"&gt;="&amp;('_Dates'!Y170),INDEX(AllClosureRows,C170,0),"&lt;="&amp;(MIN('_Dates'!Z170,Settings!$B$9))))))</ns0:f>
        <ns0:v>0</ns0:v>
      </ns0:c>
      <ns0:c r="I170" s="0">
        <ns0:f>MAX(0,G170-H170)</ns0:f>
        <ns0:v>0</ns0:v>
      </ns0:c>
      <ns0:c r="J170" s="0">
        <ns0:f>IF(OR(A170=0,F170&lt;&gt;"OK",Bookings!G170="Cancelled",$B$6&gt;0),0,IF('_Dates'!AC170=1,MAX(0,COUNTIFS(rngEngine_B,B170,rngAMStart,"&lt;="&amp;'_Dates'!X170,rngAMEnd,"&gt;="&amp;'_Dates'!W170,rngAMActive,1,rngEngine_F,"OK",rngBookings_F,"&lt;&gt;Cancelled")-1),0)+IF('_Dates'!AD170=1,MAX(0,COUNTIFS(rngEngine_B,B170,rngPMStart,"&lt;="&amp;'_Dates'!Z170,rngPMEnd,"&gt;="&amp;'_Dates'!Y170,rngPMActive,1,rngEngine_F,"OK",rngBookings_F,"&lt;&gt;Cancelled")-1),0))</ns0:f>
        <ns0:v>0</ns0:v>
      </ns0:c>
      <ns0:c r="K170" s="0" t="str">
        <ns0:f>IF(A170=0,"",IF(F170&lt;&gt;"OK",F170,IF(J170&gt;0,"CHECK overlapping entry",IF(AND($B$6=0,G170&lt;=0,Bookings!G170&lt;&gt;"Cancelled"),"CHECK no working days",IF(Bookings!G170="Cancelled","Cancelled","OK")))))</ns0:f>
        <ns0:v/>
      </ns0:c>
      <ns0:c r="L170" s="0">
        <ns0:f>IF(LEFT(K170,5)="CHECK",1,0)</ns0:f>
        <ns0:v>0</ns0:v>
      </ns0:c>
      <ns0:c r="M170" s="0">
        <ns0:f>IF(AND(L170=1,OR(C170=0,IFERROR(INDEX($X$11:$X$60,C170),0)=0)),1,0)</ns0:f>
        <ns0:v>0</ns0:v>
      </ns0:c>
      <ns0:c r="N170" s="0">
        <ns0:f>IF(OR(A170=0,L170&gt;0,$B$6&gt;0,Bookings!G170="Cancelled"),0,G170)</ns0:f>
        <ns0:v>0</ns0:v>
      </ns0:c>
      <ns0:c r="O170" s="0">
        <ns0:f>IF(AND(Bookings!G170="Approved",E170="Yes"),N170,0)</ns0:f>
        <ns0:v>0</ns0:v>
      </ns0:c>
      <ns0:c r="P170" s="0">
        <ns0:f>IF(AND(Bookings!G170="Approved",E170="Yes",L170=0,$B$6=0),H170,0)</ns0:f>
        <ns0:v>0</ns0:v>
      </ns0:c>
      <ns0:c r="Q170" s="0">
        <ns0:f>IF(AND(Bookings!G170="Approved",E170="Yes",L170=0,$B$6=0),I170,0)</ns0:f>
        <ns0:v>0</ns0:v>
      </ns0:c>
      <ns0:c r="R170" s="0">
        <ns0:f>IF(AND(Bookings!G170="Pending",E170="Yes"),N170,0)</ns0:f>
        <ns0:v>0</ns0:v>
      </ns0:c>
      <ns0:c r="S170" s="0">
        <ns0:f>IF(AND(Bookings!G170="Approved",E170="No"),N170,0)</ns0:f>
        <ns0:v>0</ns0:v>
      </ns0:c>
      <ns0:c r="T170" s="0">
        <ns0:f>IFERROR(MATCH(D170,Settings!$G$7:$G$11,0),0)</ns0:f>
        <ns0:v>0</ns0:v>
      </ns0:c>
      <ns0:c r="U170" s="0">
        <ns0:f>IF(N170&gt;0,T170+IF(Bookings!G170="Pending",10,0),0)</ns0:f>
        <ns0:v>0</ns0:v>
      </ns0:c>
      <ns0:c r="V170" s="0">
        <ns0:f>U170</ns0:f>
        <ns0:v>0</ns0:v>
      </ns0:c>
      <ns0:c r="W170" s="0" t="str">
        <ns0:f>IF(C170=0,"",INDEX($AP$11:$AP$60,C170))</ns0:f>
        <ns0:v/>
      </ns0:c>
    </ns0:row>
    <ns0:row r="171">
      <ns0:c r="A171" s="0">
        <ns0:f>IF(COUNTA(Bookings!A171:G171,Bookings!I171)=0,0,1)</ns0:f>
        <ns0:v>0</ns0:v>
      </ns0:c>
      <ns0:c r="B171" s="0" t="str">
        <ns0:f>IFERROR(TRIM(MID(Bookings!A171,FIND(" · ",Bookings!A171)+3,99)),"")</ns0:f>
        <ns0:v/>
      </ns0:c>
      <ns0:c r="C171" s="0">
        <ns0:f>IF(OR(B171="",LEN(B171)&gt;24,ISNUMBER(FIND(" ",B171)),ISNUMBER(FIND("*",B171)),ISNUMBER(FIND("?",B171)),ISNUMBER(FIND("~",B171))),0,IFERROR(MATCH(B171,Team!$A$11:$A$60,0),0))</ns0:f>
        <ns0:v>0</ns0:v>
      </ns0:c>
      <ns0:c r="D171" s="0" t="str">
        <ns0:f>IFERROR(IF(MID(Bookings!F171,LEN(Bookings!F171)-3,3)=" · ",RIGHT(Bookings!F171,1),""),"")</ns0:f>
        <ns0:v/>
      </ns0:c>
      <ns0:c r="E171" s="0" t="str">
        <ns0:f>IFERROR(INDEX(Settings!$H$7:$H$11,MATCH(D171,Settings!$G$7:$G$11,0)),"")</ns0:f>
        <ns0:v/>
      </ns0:c>
      <ns0:c r="F171" s="0" t="str">
        <ns0:f>IF(A171=0,"",IFERROR(IF(OR(B171="",C171=0),"CHECK employee selection",IF(INDEX(Team!$O$11:$O$60,C171)&lt;&gt;"OK","CHECK employee setup",IF(OR('_Dates'!J171=0,'_Dates'!T171=0),"CHECK date: use DD.MM.YYYY",IF('_Dates'!T171&lt;'_Dates'!J171,"CHECK end before start",IF(AND($B$6=0,OR('_Dates'!J171&lt;Settings!$B$7,'_Dates'!T171&gt;Settings!$B$8)),"CHECK split across leave years",IF(OR(NOT(OR('_Dates'!U171="Full day",'_Dates'!U171="AM",'_Dates'!U171="PM")),NOT(OR('_Dates'!V171="Full day",'_Dates'!V171="AM",'_Dates'!V171="PM"))),"CHECK Full day / AM / PM",IF(AND('_Dates'!J171='_Dates'!T171,'_Dates'!U171&lt;&gt;"Full day",'_Dates'!V171&lt;&gt;"Full day",'_Dates'!U171&lt;&gt;'_Dates'!V171),"CHECK same-day portions disagree",IF(AND($B$6=0,OR(AND('_Dates'!U171&lt;&gt;"Full day",'_Dates'!AA171=0),AND('_Dates'!V171&lt;&gt;"Full day",'_Dates'!AB171=0))),"CHECK half-day on non-working date",IF(COUNTIF(Settings!$G$7:$G$11,D171)&lt;&gt;1,"CHECK leave type",IF(AND(Bookings!G171&lt;&gt;"Approved",Bookings!G171&lt;&gt;"Pending",Bookings!G171&lt;&gt;"Cancelled"),"CHECK status","OK")))))))))),"CHECK input"))</ns0:f>
        <ns0:v/>
      </ns0:c>
      <ns0:c r="G171" s="0">
        <ns0:f>IF(OR(F171&lt;&gt;"OK",$B$6&gt;0),0,0.5*(IF(('_Dates'!X171)&lt;('_Dates'!W171),0,INT((('_Dates'!X171)-('_Dates'!W171)+1)/7)*LEN(SUBSTITUTE(W171,"O",""))+LEN(SUBSTITUTE(MID(W171&amp;W171,WEEKDAY(('_Dates'!W171),2),MOD((('_Dates'!X171)-('_Dates'!W171)+1),7)),"O",""))-COUNTIFS(INDEX(AllClosureRows,C171,0),"&gt;="&amp;('_Dates'!W171),INDEX(AllClosureRows,C171,0),"&lt;="&amp;('_Dates'!X171)))+IF(('_Dates'!Z171)&lt;('_Dates'!Y171),0,INT((('_Dates'!Z171)-('_Dates'!Y171)+1)/7)*LEN(SUBSTITUTE(W171,"O",""))+LEN(SUBSTITUTE(MID(W171&amp;W171,WEEKDAY(('_Dates'!Y171),2),MOD((('_Dates'!Z171)-('_Dates'!Y171)+1),7)),"O",""))-COUNTIFS(INDEX(AllClosureRows,C171,0),"&gt;="&amp;('_Dates'!Y171),INDEX(AllClosureRows,C171,0),"&lt;="&amp;('_Dates'!Z171)))))</ns0:f>
        <ns0:v>0</ns0:v>
      </ns0:c>
      <ns0:c r="H171" s="0">
        <ns0:f>IF(OR(F171&lt;&gt;"OK",$B$6&gt;0),0,0.5*(IF((MIN('_Dates'!X171,Settings!$B$9))&lt;('_Dates'!W171),0,INT(((MIN('_Dates'!X171,Settings!$B$9))-('_Dates'!W171)+1)/7)*LEN(SUBSTITUTE(W171,"O",""))+LEN(SUBSTITUTE(MID(W171&amp;W171,WEEKDAY(('_Dates'!W171),2),MOD(((MIN('_Dates'!X171,Settings!$B$9))-('_Dates'!W171)+1),7)),"O",""))-COUNTIFS(INDEX(AllClosureRows,C171,0),"&gt;="&amp;('_Dates'!W171),INDEX(AllClosureRows,C171,0),"&lt;="&amp;(MIN('_Dates'!X171,Settings!$B$9))))+IF((MIN('_Dates'!Z171,Settings!$B$9))&lt;('_Dates'!Y171),0,INT(((MIN('_Dates'!Z171,Settings!$B$9))-('_Dates'!Y171)+1)/7)*LEN(SUBSTITUTE(W171,"O",""))+LEN(SUBSTITUTE(MID(W171&amp;W171,WEEKDAY(('_Dates'!Y171),2),MOD(((MIN('_Dates'!Z171,Settings!$B$9))-('_Dates'!Y171)+1),7)),"O",""))-COUNTIFS(INDEX(AllClosureRows,C171,0),"&gt;="&amp;('_Dates'!Y171),INDEX(AllClosureRows,C171,0),"&lt;="&amp;(MIN('_Dates'!Z171,Settings!$B$9))))))</ns0:f>
        <ns0:v>0</ns0:v>
      </ns0:c>
      <ns0:c r="I171" s="0">
        <ns0:f>MAX(0,G171-H171)</ns0:f>
        <ns0:v>0</ns0:v>
      </ns0:c>
      <ns0:c r="J171" s="0">
        <ns0:f>IF(OR(A171=0,F171&lt;&gt;"OK",Bookings!G171="Cancelled",$B$6&gt;0),0,IF('_Dates'!AC171=1,MAX(0,COUNTIFS(rngEngine_B,B171,rngAMStart,"&lt;="&amp;'_Dates'!X171,rngAMEnd,"&gt;="&amp;'_Dates'!W171,rngAMActive,1,rngEngine_F,"OK",rngBookings_F,"&lt;&gt;Cancelled")-1),0)+IF('_Dates'!AD171=1,MAX(0,COUNTIFS(rngEngine_B,B171,rngPMStart,"&lt;="&amp;'_Dates'!Z171,rngPMEnd,"&gt;="&amp;'_Dates'!Y171,rngPMActive,1,rngEngine_F,"OK",rngBookings_F,"&lt;&gt;Cancelled")-1),0))</ns0:f>
        <ns0:v>0</ns0:v>
      </ns0:c>
      <ns0:c r="K171" s="0" t="str">
        <ns0:f>IF(A171=0,"",IF(F171&lt;&gt;"OK",F171,IF(J171&gt;0,"CHECK overlapping entry",IF(AND($B$6=0,G171&lt;=0,Bookings!G171&lt;&gt;"Cancelled"),"CHECK no working days",IF(Bookings!G171="Cancelled","Cancelled","OK")))))</ns0:f>
        <ns0:v/>
      </ns0:c>
      <ns0:c r="L171" s="0">
        <ns0:f>IF(LEFT(K171,5)="CHECK",1,0)</ns0:f>
        <ns0:v>0</ns0:v>
      </ns0:c>
      <ns0:c r="M171" s="0">
        <ns0:f>IF(AND(L171=1,OR(C171=0,IFERROR(INDEX($X$11:$X$60,C171),0)=0)),1,0)</ns0:f>
        <ns0:v>0</ns0:v>
      </ns0:c>
      <ns0:c r="N171" s="0">
        <ns0:f>IF(OR(A171=0,L171&gt;0,$B$6&gt;0,Bookings!G171="Cancelled"),0,G171)</ns0:f>
        <ns0:v>0</ns0:v>
      </ns0:c>
      <ns0:c r="O171" s="0">
        <ns0:f>IF(AND(Bookings!G171="Approved",E171="Yes"),N171,0)</ns0:f>
        <ns0:v>0</ns0:v>
      </ns0:c>
      <ns0:c r="P171" s="0">
        <ns0:f>IF(AND(Bookings!G171="Approved",E171="Yes",L171=0,$B$6=0),H171,0)</ns0:f>
        <ns0:v>0</ns0:v>
      </ns0:c>
      <ns0:c r="Q171" s="0">
        <ns0:f>IF(AND(Bookings!G171="Approved",E171="Yes",L171=0,$B$6=0),I171,0)</ns0:f>
        <ns0:v>0</ns0:v>
      </ns0:c>
      <ns0:c r="R171" s="0">
        <ns0:f>IF(AND(Bookings!G171="Pending",E171="Yes"),N171,0)</ns0:f>
        <ns0:v>0</ns0:v>
      </ns0:c>
      <ns0:c r="S171" s="0">
        <ns0:f>IF(AND(Bookings!G171="Approved",E171="No"),N171,0)</ns0:f>
        <ns0:v>0</ns0:v>
      </ns0:c>
      <ns0:c r="T171" s="0">
        <ns0:f>IFERROR(MATCH(D171,Settings!$G$7:$G$11,0),0)</ns0:f>
        <ns0:v>0</ns0:v>
      </ns0:c>
      <ns0:c r="U171" s="0">
        <ns0:f>IF(N171&gt;0,T171+IF(Bookings!G171="Pending",10,0),0)</ns0:f>
        <ns0:v>0</ns0:v>
      </ns0:c>
      <ns0:c r="V171" s="0">
        <ns0:f>U171</ns0:f>
        <ns0:v>0</ns0:v>
      </ns0:c>
      <ns0:c r="W171" s="0" t="str">
        <ns0:f>IF(C171=0,"",INDEX($AP$11:$AP$60,C171))</ns0:f>
        <ns0:v/>
      </ns0:c>
    </ns0:row>
    <ns0:row r="172">
      <ns0:c r="A172" s="0">
        <ns0:f>IF(COUNTA(Bookings!A172:G172,Bookings!I172)=0,0,1)</ns0:f>
        <ns0:v>0</ns0:v>
      </ns0:c>
      <ns0:c r="B172" s="0" t="str">
        <ns0:f>IFERROR(TRIM(MID(Bookings!A172,FIND(" · ",Bookings!A172)+3,99)),"")</ns0:f>
        <ns0:v/>
      </ns0:c>
      <ns0:c r="C172" s="0">
        <ns0:f>IF(OR(B172="",LEN(B172)&gt;24,ISNUMBER(FIND(" ",B172)),ISNUMBER(FIND("*",B172)),ISNUMBER(FIND("?",B172)),ISNUMBER(FIND("~",B172))),0,IFERROR(MATCH(B172,Team!$A$11:$A$60,0),0))</ns0:f>
        <ns0:v>0</ns0:v>
      </ns0:c>
      <ns0:c r="D172" s="0" t="str">
        <ns0:f>IFERROR(IF(MID(Bookings!F172,LEN(Bookings!F172)-3,3)=" · ",RIGHT(Bookings!F172,1),""),"")</ns0:f>
        <ns0:v/>
      </ns0:c>
      <ns0:c r="E172" s="0" t="str">
        <ns0:f>IFERROR(INDEX(Settings!$H$7:$H$11,MATCH(D172,Settings!$G$7:$G$11,0)),"")</ns0:f>
        <ns0:v/>
      </ns0:c>
      <ns0:c r="F172" s="0" t="str">
        <ns0:f>IF(A172=0,"",IFERROR(IF(OR(B172="",C172=0),"CHECK employee selection",IF(INDEX(Team!$O$11:$O$60,C172)&lt;&gt;"OK","CHECK employee setup",IF(OR('_Dates'!J172=0,'_Dates'!T172=0),"CHECK date: use DD.MM.YYYY",IF('_Dates'!T172&lt;'_Dates'!J172,"CHECK end before start",IF(AND($B$6=0,OR('_Dates'!J172&lt;Settings!$B$7,'_Dates'!T172&gt;Settings!$B$8)),"CHECK split across leave years",IF(OR(NOT(OR('_Dates'!U172="Full day",'_Dates'!U172="AM",'_Dates'!U172="PM")),NOT(OR('_Dates'!V172="Full day",'_Dates'!V172="AM",'_Dates'!V172="PM"))),"CHECK Full day / AM / PM",IF(AND('_Dates'!J172='_Dates'!T172,'_Dates'!U172&lt;&gt;"Full day",'_Dates'!V172&lt;&gt;"Full day",'_Dates'!U172&lt;&gt;'_Dates'!V172),"CHECK same-day portions disagree",IF(AND($B$6=0,OR(AND('_Dates'!U172&lt;&gt;"Full day",'_Dates'!AA172=0),AND('_Dates'!V172&lt;&gt;"Full day",'_Dates'!AB172=0))),"CHECK half-day on non-working date",IF(COUNTIF(Settings!$G$7:$G$11,D172)&lt;&gt;1,"CHECK leave type",IF(AND(Bookings!G172&lt;&gt;"Approved",Bookings!G172&lt;&gt;"Pending",Bookings!G172&lt;&gt;"Cancelled"),"CHECK status","OK")))))))))),"CHECK input"))</ns0:f>
        <ns0:v/>
      </ns0:c>
      <ns0:c r="G172" s="0">
        <ns0:f>IF(OR(F172&lt;&gt;"OK",$B$6&gt;0),0,0.5*(IF(('_Dates'!X172)&lt;('_Dates'!W172),0,INT((('_Dates'!X172)-('_Dates'!W172)+1)/7)*LEN(SUBSTITUTE(W172,"O",""))+LEN(SUBSTITUTE(MID(W172&amp;W172,WEEKDAY(('_Dates'!W172),2),MOD((('_Dates'!X172)-('_Dates'!W172)+1),7)),"O",""))-COUNTIFS(INDEX(AllClosureRows,C172,0),"&gt;="&amp;('_Dates'!W172),INDEX(AllClosureRows,C172,0),"&lt;="&amp;('_Dates'!X172)))+IF(('_Dates'!Z172)&lt;('_Dates'!Y172),0,INT((('_Dates'!Z172)-('_Dates'!Y172)+1)/7)*LEN(SUBSTITUTE(W172,"O",""))+LEN(SUBSTITUTE(MID(W172&amp;W172,WEEKDAY(('_Dates'!Y172),2),MOD((('_Dates'!Z172)-('_Dates'!Y172)+1),7)),"O",""))-COUNTIFS(INDEX(AllClosureRows,C172,0),"&gt;="&amp;('_Dates'!Y172),INDEX(AllClosureRows,C172,0),"&lt;="&amp;('_Dates'!Z172)))))</ns0:f>
        <ns0:v>0</ns0:v>
      </ns0:c>
      <ns0:c r="H172" s="0">
        <ns0:f>IF(OR(F172&lt;&gt;"OK",$B$6&gt;0),0,0.5*(IF((MIN('_Dates'!X172,Settings!$B$9))&lt;('_Dates'!W172),0,INT(((MIN('_Dates'!X172,Settings!$B$9))-('_Dates'!W172)+1)/7)*LEN(SUBSTITUTE(W172,"O",""))+LEN(SUBSTITUTE(MID(W172&amp;W172,WEEKDAY(('_Dates'!W172),2),MOD(((MIN('_Dates'!X172,Settings!$B$9))-('_Dates'!W172)+1),7)),"O",""))-COUNTIFS(INDEX(AllClosureRows,C172,0),"&gt;="&amp;('_Dates'!W172),INDEX(AllClosureRows,C172,0),"&lt;="&amp;(MIN('_Dates'!X172,Settings!$B$9))))+IF((MIN('_Dates'!Z172,Settings!$B$9))&lt;('_Dates'!Y172),0,INT(((MIN('_Dates'!Z172,Settings!$B$9))-('_Dates'!Y172)+1)/7)*LEN(SUBSTITUTE(W172,"O",""))+LEN(SUBSTITUTE(MID(W172&amp;W172,WEEKDAY(('_Dates'!Y172),2),MOD(((MIN('_Dates'!Z172,Settings!$B$9))-('_Dates'!Y172)+1),7)),"O",""))-COUNTIFS(INDEX(AllClosureRows,C172,0),"&gt;="&amp;('_Dates'!Y172),INDEX(AllClosureRows,C172,0),"&lt;="&amp;(MIN('_Dates'!Z172,Settings!$B$9))))))</ns0:f>
        <ns0:v>0</ns0:v>
      </ns0:c>
      <ns0:c r="I172" s="0">
        <ns0:f>MAX(0,G172-H172)</ns0:f>
        <ns0:v>0</ns0:v>
      </ns0:c>
      <ns0:c r="J172" s="0">
        <ns0:f>IF(OR(A172=0,F172&lt;&gt;"OK",Bookings!G172="Cancelled",$B$6&gt;0),0,IF('_Dates'!AC172=1,MAX(0,COUNTIFS(rngEngine_B,B172,rngAMStart,"&lt;="&amp;'_Dates'!X172,rngAMEnd,"&gt;="&amp;'_Dates'!W172,rngAMActive,1,rngEngine_F,"OK",rngBookings_F,"&lt;&gt;Cancelled")-1),0)+IF('_Dates'!AD172=1,MAX(0,COUNTIFS(rngEngine_B,B172,rngPMStart,"&lt;="&amp;'_Dates'!Z172,rngPMEnd,"&gt;="&amp;'_Dates'!Y172,rngPMActive,1,rngEngine_F,"OK",rngBookings_F,"&lt;&gt;Cancelled")-1),0))</ns0:f>
        <ns0:v>0</ns0:v>
      </ns0:c>
      <ns0:c r="K172" s="0" t="str">
        <ns0:f>IF(A172=0,"",IF(F172&lt;&gt;"OK",F172,IF(J172&gt;0,"CHECK overlapping entry",IF(AND($B$6=0,G172&lt;=0,Bookings!G172&lt;&gt;"Cancelled"),"CHECK no working days",IF(Bookings!G172="Cancelled","Cancelled","OK")))))</ns0:f>
        <ns0:v/>
      </ns0:c>
      <ns0:c r="L172" s="0">
        <ns0:f>IF(LEFT(K172,5)="CHECK",1,0)</ns0:f>
        <ns0:v>0</ns0:v>
      </ns0:c>
      <ns0:c r="M172" s="0">
        <ns0:f>IF(AND(L172=1,OR(C172=0,IFERROR(INDEX($X$11:$X$60,C172),0)=0)),1,0)</ns0:f>
        <ns0:v>0</ns0:v>
      </ns0:c>
      <ns0:c r="N172" s="0">
        <ns0:f>IF(OR(A172=0,L172&gt;0,$B$6&gt;0,Bookings!G172="Cancelled"),0,G172)</ns0:f>
        <ns0:v>0</ns0:v>
      </ns0:c>
      <ns0:c r="O172" s="0">
        <ns0:f>IF(AND(Bookings!G172="Approved",E172="Yes"),N172,0)</ns0:f>
        <ns0:v>0</ns0:v>
      </ns0:c>
      <ns0:c r="P172" s="0">
        <ns0:f>IF(AND(Bookings!G172="Approved",E172="Yes",L172=0,$B$6=0),H172,0)</ns0:f>
        <ns0:v>0</ns0:v>
      </ns0:c>
      <ns0:c r="Q172" s="0">
        <ns0:f>IF(AND(Bookings!G172="Approved",E172="Yes",L172=0,$B$6=0),I172,0)</ns0:f>
        <ns0:v>0</ns0:v>
      </ns0:c>
      <ns0:c r="R172" s="0">
        <ns0:f>IF(AND(Bookings!G172="Pending",E172="Yes"),N172,0)</ns0:f>
        <ns0:v>0</ns0:v>
      </ns0:c>
      <ns0:c r="S172" s="0">
        <ns0:f>IF(AND(Bookings!G172="Approved",E172="No"),N172,0)</ns0:f>
        <ns0:v>0</ns0:v>
      </ns0:c>
      <ns0:c r="T172" s="0">
        <ns0:f>IFERROR(MATCH(D172,Settings!$G$7:$G$11,0),0)</ns0:f>
        <ns0:v>0</ns0:v>
      </ns0:c>
      <ns0:c r="U172" s="0">
        <ns0:f>IF(N172&gt;0,T172+IF(Bookings!G172="Pending",10,0),0)</ns0:f>
        <ns0:v>0</ns0:v>
      </ns0:c>
      <ns0:c r="V172" s="0">
        <ns0:f>U172</ns0:f>
        <ns0:v>0</ns0:v>
      </ns0:c>
      <ns0:c r="W172" s="0" t="str">
        <ns0:f>IF(C172=0,"",INDEX($AP$11:$AP$60,C172))</ns0:f>
        <ns0:v/>
      </ns0:c>
    </ns0:row>
    <ns0:row r="173">
      <ns0:c r="A173" s="0">
        <ns0:f>IF(COUNTA(Bookings!A173:G173,Bookings!I173)=0,0,1)</ns0:f>
        <ns0:v>0</ns0:v>
      </ns0:c>
      <ns0:c r="B173" s="0" t="str">
        <ns0:f>IFERROR(TRIM(MID(Bookings!A173,FIND(" · ",Bookings!A173)+3,99)),"")</ns0:f>
        <ns0:v/>
      </ns0:c>
      <ns0:c r="C173" s="0">
        <ns0:f>IF(OR(B173="",LEN(B173)&gt;24,ISNUMBER(FIND(" ",B173)),ISNUMBER(FIND("*",B173)),ISNUMBER(FIND("?",B173)),ISNUMBER(FIND("~",B173))),0,IFERROR(MATCH(B173,Team!$A$11:$A$60,0),0))</ns0:f>
        <ns0:v>0</ns0:v>
      </ns0:c>
      <ns0:c r="D173" s="0" t="str">
        <ns0:f>IFERROR(IF(MID(Bookings!F173,LEN(Bookings!F173)-3,3)=" · ",RIGHT(Bookings!F173,1),""),"")</ns0:f>
        <ns0:v/>
      </ns0:c>
      <ns0:c r="E173" s="0" t="str">
        <ns0:f>IFERROR(INDEX(Settings!$H$7:$H$11,MATCH(D173,Settings!$G$7:$G$11,0)),"")</ns0:f>
        <ns0:v/>
      </ns0:c>
      <ns0:c r="F173" s="0" t="str">
        <ns0:f>IF(A173=0,"",IFERROR(IF(OR(B173="",C173=0),"CHECK employee selection",IF(INDEX(Team!$O$11:$O$60,C173)&lt;&gt;"OK","CHECK employee setup",IF(OR('_Dates'!J173=0,'_Dates'!T173=0),"CHECK date: use DD.MM.YYYY",IF('_Dates'!T173&lt;'_Dates'!J173,"CHECK end before start",IF(AND($B$6=0,OR('_Dates'!J173&lt;Settings!$B$7,'_Dates'!T173&gt;Settings!$B$8)),"CHECK split across leave years",IF(OR(NOT(OR('_Dates'!U173="Full day",'_Dates'!U173="AM",'_Dates'!U173="PM")),NOT(OR('_Dates'!V173="Full day",'_Dates'!V173="AM",'_Dates'!V173="PM"))),"CHECK Full day / AM / PM",IF(AND('_Dates'!J173='_Dates'!T173,'_Dates'!U173&lt;&gt;"Full day",'_Dates'!V173&lt;&gt;"Full day",'_Dates'!U173&lt;&gt;'_Dates'!V173),"CHECK same-day portions disagree",IF(AND($B$6=0,OR(AND('_Dates'!U173&lt;&gt;"Full day",'_Dates'!AA173=0),AND('_Dates'!V173&lt;&gt;"Full day",'_Dates'!AB173=0))),"CHECK half-day on non-working date",IF(COUNTIF(Settings!$G$7:$G$11,D173)&lt;&gt;1,"CHECK leave type",IF(AND(Bookings!G173&lt;&gt;"Approved",Bookings!G173&lt;&gt;"Pending",Bookings!G173&lt;&gt;"Cancelled"),"CHECK status","OK")))))))))),"CHECK input"))</ns0:f>
        <ns0:v/>
      </ns0:c>
      <ns0:c r="G173" s="0">
        <ns0:f>IF(OR(F173&lt;&gt;"OK",$B$6&gt;0),0,0.5*(IF(('_Dates'!X173)&lt;('_Dates'!W173),0,INT((('_Dates'!X173)-('_Dates'!W173)+1)/7)*LEN(SUBSTITUTE(W173,"O",""))+LEN(SUBSTITUTE(MID(W173&amp;W173,WEEKDAY(('_Dates'!W173),2),MOD((('_Dates'!X173)-('_Dates'!W173)+1),7)),"O",""))-COUNTIFS(INDEX(AllClosureRows,C173,0),"&gt;="&amp;('_Dates'!W173),INDEX(AllClosureRows,C173,0),"&lt;="&amp;('_Dates'!X173)))+IF(('_Dates'!Z173)&lt;('_Dates'!Y173),0,INT((('_Dates'!Z173)-('_Dates'!Y173)+1)/7)*LEN(SUBSTITUTE(W173,"O",""))+LEN(SUBSTITUTE(MID(W173&amp;W173,WEEKDAY(('_Dates'!Y173),2),MOD((('_Dates'!Z173)-('_Dates'!Y173)+1),7)),"O",""))-COUNTIFS(INDEX(AllClosureRows,C173,0),"&gt;="&amp;('_Dates'!Y173),INDEX(AllClosureRows,C173,0),"&lt;="&amp;('_Dates'!Z173)))))</ns0:f>
        <ns0:v>0</ns0:v>
      </ns0:c>
      <ns0:c r="H173" s="0">
        <ns0:f>IF(OR(F173&lt;&gt;"OK",$B$6&gt;0),0,0.5*(IF((MIN('_Dates'!X173,Settings!$B$9))&lt;('_Dates'!W173),0,INT(((MIN('_Dates'!X173,Settings!$B$9))-('_Dates'!W173)+1)/7)*LEN(SUBSTITUTE(W173,"O",""))+LEN(SUBSTITUTE(MID(W173&amp;W173,WEEKDAY(('_Dates'!W173),2),MOD(((MIN('_Dates'!X173,Settings!$B$9))-('_Dates'!W173)+1),7)),"O",""))-COUNTIFS(INDEX(AllClosureRows,C173,0),"&gt;="&amp;('_Dates'!W173),INDEX(AllClosureRows,C173,0),"&lt;="&amp;(MIN('_Dates'!X173,Settings!$B$9))))+IF((MIN('_Dates'!Z173,Settings!$B$9))&lt;('_Dates'!Y173),0,INT(((MIN('_Dates'!Z173,Settings!$B$9))-('_Dates'!Y173)+1)/7)*LEN(SUBSTITUTE(W173,"O",""))+LEN(SUBSTITUTE(MID(W173&amp;W173,WEEKDAY(('_Dates'!Y173),2),MOD(((MIN('_Dates'!Z173,Settings!$B$9))-('_Dates'!Y173)+1),7)),"O",""))-COUNTIFS(INDEX(AllClosureRows,C173,0),"&gt;="&amp;('_Dates'!Y173),INDEX(AllClosureRows,C173,0),"&lt;="&amp;(MIN('_Dates'!Z173,Settings!$B$9))))))</ns0:f>
        <ns0:v>0</ns0:v>
      </ns0:c>
      <ns0:c r="I173" s="0">
        <ns0:f>MAX(0,G173-H173)</ns0:f>
        <ns0:v>0</ns0:v>
      </ns0:c>
      <ns0:c r="J173" s="0">
        <ns0:f>IF(OR(A173=0,F173&lt;&gt;"OK",Bookings!G173="Cancelled",$B$6&gt;0),0,IF('_Dates'!AC173=1,MAX(0,COUNTIFS(rngEngine_B,B173,rngAMStart,"&lt;="&amp;'_Dates'!X173,rngAMEnd,"&gt;="&amp;'_Dates'!W173,rngAMActive,1,rngEngine_F,"OK",rngBookings_F,"&lt;&gt;Cancelled")-1),0)+IF('_Dates'!AD173=1,MAX(0,COUNTIFS(rngEngine_B,B173,rngPMStart,"&lt;="&amp;'_Dates'!Z173,rngPMEnd,"&gt;="&amp;'_Dates'!Y173,rngPMActive,1,rngEngine_F,"OK",rngBookings_F,"&lt;&gt;Cancelled")-1),0))</ns0:f>
        <ns0:v>0</ns0:v>
      </ns0:c>
      <ns0:c r="K173" s="0" t="str">
        <ns0:f>IF(A173=0,"",IF(F173&lt;&gt;"OK",F173,IF(J173&gt;0,"CHECK overlapping entry",IF(AND($B$6=0,G173&lt;=0,Bookings!G173&lt;&gt;"Cancelled"),"CHECK no working days",IF(Bookings!G173="Cancelled","Cancelled","OK")))))</ns0:f>
        <ns0:v/>
      </ns0:c>
      <ns0:c r="L173" s="0">
        <ns0:f>IF(LEFT(K173,5)="CHECK",1,0)</ns0:f>
        <ns0:v>0</ns0:v>
      </ns0:c>
      <ns0:c r="M173" s="0">
        <ns0:f>IF(AND(L173=1,OR(C173=0,IFERROR(INDEX($X$11:$X$60,C173),0)=0)),1,0)</ns0:f>
        <ns0:v>0</ns0:v>
      </ns0:c>
      <ns0:c r="N173" s="0">
        <ns0:f>IF(OR(A173=0,L173&gt;0,$B$6&gt;0,Bookings!G173="Cancelled"),0,G173)</ns0:f>
        <ns0:v>0</ns0:v>
      </ns0:c>
      <ns0:c r="O173" s="0">
        <ns0:f>IF(AND(Bookings!G173="Approved",E173="Yes"),N173,0)</ns0:f>
        <ns0:v>0</ns0:v>
      </ns0:c>
      <ns0:c r="P173" s="0">
        <ns0:f>IF(AND(Bookings!G173="Approved",E173="Yes",L173=0,$B$6=0),H173,0)</ns0:f>
        <ns0:v>0</ns0:v>
      </ns0:c>
      <ns0:c r="Q173" s="0">
        <ns0:f>IF(AND(Bookings!G173="Approved",E173="Yes",L173=0,$B$6=0),I173,0)</ns0:f>
        <ns0:v>0</ns0:v>
      </ns0:c>
      <ns0:c r="R173" s="0">
        <ns0:f>IF(AND(Bookings!G173="Pending",E173="Yes"),N173,0)</ns0:f>
        <ns0:v>0</ns0:v>
      </ns0:c>
      <ns0:c r="S173" s="0">
        <ns0:f>IF(AND(Bookings!G173="Approved",E173="No"),N173,0)</ns0:f>
        <ns0:v>0</ns0:v>
      </ns0:c>
      <ns0:c r="T173" s="0">
        <ns0:f>IFERROR(MATCH(D173,Settings!$G$7:$G$11,0),0)</ns0:f>
        <ns0:v>0</ns0:v>
      </ns0:c>
      <ns0:c r="U173" s="0">
        <ns0:f>IF(N173&gt;0,T173+IF(Bookings!G173="Pending",10,0),0)</ns0:f>
        <ns0:v>0</ns0:v>
      </ns0:c>
      <ns0:c r="V173" s="0">
        <ns0:f>U173</ns0:f>
        <ns0:v>0</ns0:v>
      </ns0:c>
      <ns0:c r="W173" s="0" t="str">
        <ns0:f>IF(C173=0,"",INDEX($AP$11:$AP$60,C173))</ns0:f>
        <ns0:v/>
      </ns0:c>
    </ns0:row>
    <ns0:row r="174">
      <ns0:c r="A174" s="0">
        <ns0:f>IF(COUNTA(Bookings!A174:G174,Bookings!I174)=0,0,1)</ns0:f>
        <ns0:v>0</ns0:v>
      </ns0:c>
      <ns0:c r="B174" s="0" t="str">
        <ns0:f>IFERROR(TRIM(MID(Bookings!A174,FIND(" · ",Bookings!A174)+3,99)),"")</ns0:f>
        <ns0:v/>
      </ns0:c>
      <ns0:c r="C174" s="0">
        <ns0:f>IF(OR(B174="",LEN(B174)&gt;24,ISNUMBER(FIND(" ",B174)),ISNUMBER(FIND("*",B174)),ISNUMBER(FIND("?",B174)),ISNUMBER(FIND("~",B174))),0,IFERROR(MATCH(B174,Team!$A$11:$A$60,0),0))</ns0:f>
        <ns0:v>0</ns0:v>
      </ns0:c>
      <ns0:c r="D174" s="0" t="str">
        <ns0:f>IFERROR(IF(MID(Bookings!F174,LEN(Bookings!F174)-3,3)=" · ",RIGHT(Bookings!F174,1),""),"")</ns0:f>
        <ns0:v/>
      </ns0:c>
      <ns0:c r="E174" s="0" t="str">
        <ns0:f>IFERROR(INDEX(Settings!$H$7:$H$11,MATCH(D174,Settings!$G$7:$G$11,0)),"")</ns0:f>
        <ns0:v/>
      </ns0:c>
      <ns0:c r="F174" s="0" t="str">
        <ns0:f>IF(A174=0,"",IFERROR(IF(OR(B174="",C174=0),"CHECK employee selection",IF(INDEX(Team!$O$11:$O$60,C174)&lt;&gt;"OK","CHECK employee setup",IF(OR('_Dates'!J174=0,'_Dates'!T174=0),"CHECK date: use DD.MM.YYYY",IF('_Dates'!T174&lt;'_Dates'!J174,"CHECK end before start",IF(AND($B$6=0,OR('_Dates'!J174&lt;Settings!$B$7,'_Dates'!T174&gt;Settings!$B$8)),"CHECK split across leave years",IF(OR(NOT(OR('_Dates'!U174="Full day",'_Dates'!U174="AM",'_Dates'!U174="PM")),NOT(OR('_Dates'!V174="Full day",'_Dates'!V174="AM",'_Dates'!V174="PM"))),"CHECK Full day / AM / PM",IF(AND('_Dates'!J174='_Dates'!T174,'_Dates'!U174&lt;&gt;"Full day",'_Dates'!V174&lt;&gt;"Full day",'_Dates'!U174&lt;&gt;'_Dates'!V174),"CHECK same-day portions disagree",IF(AND($B$6=0,OR(AND('_Dates'!U174&lt;&gt;"Full day",'_Dates'!AA174=0),AND('_Dates'!V174&lt;&gt;"Full day",'_Dates'!AB174=0))),"CHECK half-day on non-working date",IF(COUNTIF(Settings!$G$7:$G$11,D174)&lt;&gt;1,"CHECK leave type",IF(AND(Bookings!G174&lt;&gt;"Approved",Bookings!G174&lt;&gt;"Pending",Bookings!G174&lt;&gt;"Cancelled"),"CHECK status","OK")))))))))),"CHECK input"))</ns0:f>
        <ns0:v/>
      </ns0:c>
      <ns0:c r="G174" s="0">
        <ns0:f>IF(OR(F174&lt;&gt;"OK",$B$6&gt;0),0,0.5*(IF(('_Dates'!X174)&lt;('_Dates'!W174),0,INT((('_Dates'!X174)-('_Dates'!W174)+1)/7)*LEN(SUBSTITUTE(W174,"O",""))+LEN(SUBSTITUTE(MID(W174&amp;W174,WEEKDAY(('_Dates'!W174),2),MOD((('_Dates'!X174)-('_Dates'!W174)+1),7)),"O",""))-COUNTIFS(INDEX(AllClosureRows,C174,0),"&gt;="&amp;('_Dates'!W174),INDEX(AllClosureRows,C174,0),"&lt;="&amp;('_Dates'!X174)))+IF(('_Dates'!Z174)&lt;('_Dates'!Y174),0,INT((('_Dates'!Z174)-('_Dates'!Y174)+1)/7)*LEN(SUBSTITUTE(W174,"O",""))+LEN(SUBSTITUTE(MID(W174&amp;W174,WEEKDAY(('_Dates'!Y174),2),MOD((('_Dates'!Z174)-('_Dates'!Y174)+1),7)),"O",""))-COUNTIFS(INDEX(AllClosureRows,C174,0),"&gt;="&amp;('_Dates'!Y174),INDEX(AllClosureRows,C174,0),"&lt;="&amp;('_Dates'!Z174)))))</ns0:f>
        <ns0:v>0</ns0:v>
      </ns0:c>
      <ns0:c r="H174" s="0">
        <ns0:f>IF(OR(F174&lt;&gt;"OK",$B$6&gt;0),0,0.5*(IF((MIN('_Dates'!X174,Settings!$B$9))&lt;('_Dates'!W174),0,INT(((MIN('_Dates'!X174,Settings!$B$9))-('_Dates'!W174)+1)/7)*LEN(SUBSTITUTE(W174,"O",""))+LEN(SUBSTITUTE(MID(W174&amp;W174,WEEKDAY(('_Dates'!W174),2),MOD(((MIN('_Dates'!X174,Settings!$B$9))-('_Dates'!W174)+1),7)),"O",""))-COUNTIFS(INDEX(AllClosureRows,C174,0),"&gt;="&amp;('_Dates'!W174),INDEX(AllClosureRows,C174,0),"&lt;="&amp;(MIN('_Dates'!X174,Settings!$B$9))))+IF((MIN('_Dates'!Z174,Settings!$B$9))&lt;('_Dates'!Y174),0,INT(((MIN('_Dates'!Z174,Settings!$B$9))-('_Dates'!Y174)+1)/7)*LEN(SUBSTITUTE(W174,"O",""))+LEN(SUBSTITUTE(MID(W174&amp;W174,WEEKDAY(('_Dates'!Y174),2),MOD(((MIN('_Dates'!Z174,Settings!$B$9))-('_Dates'!Y174)+1),7)),"O",""))-COUNTIFS(INDEX(AllClosureRows,C174,0),"&gt;="&amp;('_Dates'!Y174),INDEX(AllClosureRows,C174,0),"&lt;="&amp;(MIN('_Dates'!Z174,Settings!$B$9))))))</ns0:f>
        <ns0:v>0</ns0:v>
      </ns0:c>
      <ns0:c r="I174" s="0">
        <ns0:f>MAX(0,G174-H174)</ns0:f>
        <ns0:v>0</ns0:v>
      </ns0:c>
      <ns0:c r="J174" s="0">
        <ns0:f>IF(OR(A174=0,F174&lt;&gt;"OK",Bookings!G174="Cancelled",$B$6&gt;0),0,IF('_Dates'!AC174=1,MAX(0,COUNTIFS(rngEngine_B,B174,rngAMStart,"&lt;="&amp;'_Dates'!X174,rngAMEnd,"&gt;="&amp;'_Dates'!W174,rngAMActive,1,rngEngine_F,"OK",rngBookings_F,"&lt;&gt;Cancelled")-1),0)+IF('_Dates'!AD174=1,MAX(0,COUNTIFS(rngEngine_B,B174,rngPMStart,"&lt;="&amp;'_Dates'!Z174,rngPMEnd,"&gt;="&amp;'_Dates'!Y174,rngPMActive,1,rngEngine_F,"OK",rngBookings_F,"&lt;&gt;Cancelled")-1),0))</ns0:f>
        <ns0:v>0</ns0:v>
      </ns0:c>
      <ns0:c r="K174" s="0" t="str">
        <ns0:f>IF(A174=0,"",IF(F174&lt;&gt;"OK",F174,IF(J174&gt;0,"CHECK overlapping entry",IF(AND($B$6=0,G174&lt;=0,Bookings!G174&lt;&gt;"Cancelled"),"CHECK no working days",IF(Bookings!G174="Cancelled","Cancelled","OK")))))</ns0:f>
        <ns0:v/>
      </ns0:c>
      <ns0:c r="L174" s="0">
        <ns0:f>IF(LEFT(K174,5)="CHECK",1,0)</ns0:f>
        <ns0:v>0</ns0:v>
      </ns0:c>
      <ns0:c r="M174" s="0">
        <ns0:f>IF(AND(L174=1,OR(C174=0,IFERROR(INDEX($X$11:$X$60,C174),0)=0)),1,0)</ns0:f>
        <ns0:v>0</ns0:v>
      </ns0:c>
      <ns0:c r="N174" s="0">
        <ns0:f>IF(OR(A174=0,L174&gt;0,$B$6&gt;0,Bookings!G174="Cancelled"),0,G174)</ns0:f>
        <ns0:v>0</ns0:v>
      </ns0:c>
      <ns0:c r="O174" s="0">
        <ns0:f>IF(AND(Bookings!G174="Approved",E174="Yes"),N174,0)</ns0:f>
        <ns0:v>0</ns0:v>
      </ns0:c>
      <ns0:c r="P174" s="0">
        <ns0:f>IF(AND(Bookings!G174="Approved",E174="Yes",L174=0,$B$6=0),H174,0)</ns0:f>
        <ns0:v>0</ns0:v>
      </ns0:c>
      <ns0:c r="Q174" s="0">
        <ns0:f>IF(AND(Bookings!G174="Approved",E174="Yes",L174=0,$B$6=0),I174,0)</ns0:f>
        <ns0:v>0</ns0:v>
      </ns0:c>
      <ns0:c r="R174" s="0">
        <ns0:f>IF(AND(Bookings!G174="Pending",E174="Yes"),N174,0)</ns0:f>
        <ns0:v>0</ns0:v>
      </ns0:c>
      <ns0:c r="S174" s="0">
        <ns0:f>IF(AND(Bookings!G174="Approved",E174="No"),N174,0)</ns0:f>
        <ns0:v>0</ns0:v>
      </ns0:c>
      <ns0:c r="T174" s="0">
        <ns0:f>IFERROR(MATCH(D174,Settings!$G$7:$G$11,0),0)</ns0:f>
        <ns0:v>0</ns0:v>
      </ns0:c>
      <ns0:c r="U174" s="0">
        <ns0:f>IF(N174&gt;0,T174+IF(Bookings!G174="Pending",10,0),0)</ns0:f>
        <ns0:v>0</ns0:v>
      </ns0:c>
      <ns0:c r="V174" s="0">
        <ns0:f>U174</ns0:f>
        <ns0:v>0</ns0:v>
      </ns0:c>
      <ns0:c r="W174" s="0" t="str">
        <ns0:f>IF(C174=0,"",INDEX($AP$11:$AP$60,C174))</ns0:f>
        <ns0:v/>
      </ns0:c>
    </ns0:row>
    <ns0:row r="175">
      <ns0:c r="A175" s="0">
        <ns0:f>IF(COUNTA(Bookings!A175:G175,Bookings!I175)=0,0,1)</ns0:f>
        <ns0:v>0</ns0:v>
      </ns0:c>
      <ns0:c r="B175" s="0" t="str">
        <ns0:f>IFERROR(TRIM(MID(Bookings!A175,FIND(" · ",Bookings!A175)+3,99)),"")</ns0:f>
        <ns0:v/>
      </ns0:c>
      <ns0:c r="C175" s="0">
        <ns0:f>IF(OR(B175="",LEN(B175)&gt;24,ISNUMBER(FIND(" ",B175)),ISNUMBER(FIND("*",B175)),ISNUMBER(FIND("?",B175)),ISNUMBER(FIND("~",B175))),0,IFERROR(MATCH(B175,Team!$A$11:$A$60,0),0))</ns0:f>
        <ns0:v>0</ns0:v>
      </ns0:c>
      <ns0:c r="D175" s="0" t="str">
        <ns0:f>IFERROR(IF(MID(Bookings!F175,LEN(Bookings!F175)-3,3)=" · ",RIGHT(Bookings!F175,1),""),"")</ns0:f>
        <ns0:v/>
      </ns0:c>
      <ns0:c r="E175" s="0" t="str">
        <ns0:f>IFERROR(INDEX(Settings!$H$7:$H$11,MATCH(D175,Settings!$G$7:$G$11,0)),"")</ns0:f>
        <ns0:v/>
      </ns0:c>
      <ns0:c r="F175" s="0" t="str">
        <ns0:f>IF(A175=0,"",IFERROR(IF(OR(B175="",C175=0),"CHECK employee selection",IF(INDEX(Team!$O$11:$O$60,C175)&lt;&gt;"OK","CHECK employee setup",IF(OR('_Dates'!J175=0,'_Dates'!T175=0),"CHECK date: use DD.MM.YYYY",IF('_Dates'!T175&lt;'_Dates'!J175,"CHECK end before start",IF(AND($B$6=0,OR('_Dates'!J175&lt;Settings!$B$7,'_Dates'!T175&gt;Settings!$B$8)),"CHECK split across leave years",IF(OR(NOT(OR('_Dates'!U175="Full day",'_Dates'!U175="AM",'_Dates'!U175="PM")),NOT(OR('_Dates'!V175="Full day",'_Dates'!V175="AM",'_Dates'!V175="PM"))),"CHECK Full day / AM / PM",IF(AND('_Dates'!J175='_Dates'!T175,'_Dates'!U175&lt;&gt;"Full day",'_Dates'!V175&lt;&gt;"Full day",'_Dates'!U175&lt;&gt;'_Dates'!V175),"CHECK same-day portions disagree",IF(AND($B$6=0,OR(AND('_Dates'!U175&lt;&gt;"Full day",'_Dates'!AA175=0),AND('_Dates'!V175&lt;&gt;"Full day",'_Dates'!AB175=0))),"CHECK half-day on non-working date",IF(COUNTIF(Settings!$G$7:$G$11,D175)&lt;&gt;1,"CHECK leave type",IF(AND(Bookings!G175&lt;&gt;"Approved",Bookings!G175&lt;&gt;"Pending",Bookings!G175&lt;&gt;"Cancelled"),"CHECK status","OK")))))))))),"CHECK input"))</ns0:f>
        <ns0:v/>
      </ns0:c>
      <ns0:c r="G175" s="0">
        <ns0:f>IF(OR(F175&lt;&gt;"OK",$B$6&gt;0),0,0.5*(IF(('_Dates'!X175)&lt;('_Dates'!W175),0,INT((('_Dates'!X175)-('_Dates'!W175)+1)/7)*LEN(SUBSTITUTE(W175,"O",""))+LEN(SUBSTITUTE(MID(W175&amp;W175,WEEKDAY(('_Dates'!W175),2),MOD((('_Dates'!X175)-('_Dates'!W175)+1),7)),"O",""))-COUNTIFS(INDEX(AllClosureRows,C175,0),"&gt;="&amp;('_Dates'!W175),INDEX(AllClosureRows,C175,0),"&lt;="&amp;('_Dates'!X175)))+IF(('_Dates'!Z175)&lt;('_Dates'!Y175),0,INT((('_Dates'!Z175)-('_Dates'!Y175)+1)/7)*LEN(SUBSTITUTE(W175,"O",""))+LEN(SUBSTITUTE(MID(W175&amp;W175,WEEKDAY(('_Dates'!Y175),2),MOD((('_Dates'!Z175)-('_Dates'!Y175)+1),7)),"O",""))-COUNTIFS(INDEX(AllClosureRows,C175,0),"&gt;="&amp;('_Dates'!Y175),INDEX(AllClosureRows,C175,0),"&lt;="&amp;('_Dates'!Z175)))))</ns0:f>
        <ns0:v>0</ns0:v>
      </ns0:c>
      <ns0:c r="H175" s="0">
        <ns0:f>IF(OR(F175&lt;&gt;"OK",$B$6&gt;0),0,0.5*(IF((MIN('_Dates'!X175,Settings!$B$9))&lt;('_Dates'!W175),0,INT(((MIN('_Dates'!X175,Settings!$B$9))-('_Dates'!W175)+1)/7)*LEN(SUBSTITUTE(W175,"O",""))+LEN(SUBSTITUTE(MID(W175&amp;W175,WEEKDAY(('_Dates'!W175),2),MOD(((MIN('_Dates'!X175,Settings!$B$9))-('_Dates'!W175)+1),7)),"O",""))-COUNTIFS(INDEX(AllClosureRows,C175,0),"&gt;="&amp;('_Dates'!W175),INDEX(AllClosureRows,C175,0),"&lt;="&amp;(MIN('_Dates'!X175,Settings!$B$9))))+IF((MIN('_Dates'!Z175,Settings!$B$9))&lt;('_Dates'!Y175),0,INT(((MIN('_Dates'!Z175,Settings!$B$9))-('_Dates'!Y175)+1)/7)*LEN(SUBSTITUTE(W175,"O",""))+LEN(SUBSTITUTE(MID(W175&amp;W175,WEEKDAY(('_Dates'!Y175),2),MOD(((MIN('_Dates'!Z175,Settings!$B$9))-('_Dates'!Y175)+1),7)),"O",""))-COUNTIFS(INDEX(AllClosureRows,C175,0),"&gt;="&amp;('_Dates'!Y175),INDEX(AllClosureRows,C175,0),"&lt;="&amp;(MIN('_Dates'!Z175,Settings!$B$9))))))</ns0:f>
        <ns0:v>0</ns0:v>
      </ns0:c>
      <ns0:c r="I175" s="0">
        <ns0:f>MAX(0,G175-H175)</ns0:f>
        <ns0:v>0</ns0:v>
      </ns0:c>
      <ns0:c r="J175" s="0">
        <ns0:f>IF(OR(A175=0,F175&lt;&gt;"OK",Bookings!G175="Cancelled",$B$6&gt;0),0,IF('_Dates'!AC175=1,MAX(0,COUNTIFS(rngEngine_B,B175,rngAMStart,"&lt;="&amp;'_Dates'!X175,rngAMEnd,"&gt;="&amp;'_Dates'!W175,rngAMActive,1,rngEngine_F,"OK",rngBookings_F,"&lt;&gt;Cancelled")-1),0)+IF('_Dates'!AD175=1,MAX(0,COUNTIFS(rngEngine_B,B175,rngPMStart,"&lt;="&amp;'_Dates'!Z175,rngPMEnd,"&gt;="&amp;'_Dates'!Y175,rngPMActive,1,rngEngine_F,"OK",rngBookings_F,"&lt;&gt;Cancelled")-1),0))</ns0:f>
        <ns0:v>0</ns0:v>
      </ns0:c>
      <ns0:c r="K175" s="0" t="str">
        <ns0:f>IF(A175=0,"",IF(F175&lt;&gt;"OK",F175,IF(J175&gt;0,"CHECK overlapping entry",IF(AND($B$6=0,G175&lt;=0,Bookings!G175&lt;&gt;"Cancelled"),"CHECK no working days",IF(Bookings!G175="Cancelled","Cancelled","OK")))))</ns0:f>
        <ns0:v/>
      </ns0:c>
      <ns0:c r="L175" s="0">
        <ns0:f>IF(LEFT(K175,5)="CHECK",1,0)</ns0:f>
        <ns0:v>0</ns0:v>
      </ns0:c>
      <ns0:c r="M175" s="0">
        <ns0:f>IF(AND(L175=1,OR(C175=0,IFERROR(INDEX($X$11:$X$60,C175),0)=0)),1,0)</ns0:f>
        <ns0:v>0</ns0:v>
      </ns0:c>
      <ns0:c r="N175" s="0">
        <ns0:f>IF(OR(A175=0,L175&gt;0,$B$6&gt;0,Bookings!G175="Cancelled"),0,G175)</ns0:f>
        <ns0:v>0</ns0:v>
      </ns0:c>
      <ns0:c r="O175" s="0">
        <ns0:f>IF(AND(Bookings!G175="Approved",E175="Yes"),N175,0)</ns0:f>
        <ns0:v>0</ns0:v>
      </ns0:c>
      <ns0:c r="P175" s="0">
        <ns0:f>IF(AND(Bookings!G175="Approved",E175="Yes",L175=0,$B$6=0),H175,0)</ns0:f>
        <ns0:v>0</ns0:v>
      </ns0:c>
      <ns0:c r="Q175" s="0">
        <ns0:f>IF(AND(Bookings!G175="Approved",E175="Yes",L175=0,$B$6=0),I175,0)</ns0:f>
        <ns0:v>0</ns0:v>
      </ns0:c>
      <ns0:c r="R175" s="0">
        <ns0:f>IF(AND(Bookings!G175="Pending",E175="Yes"),N175,0)</ns0:f>
        <ns0:v>0</ns0:v>
      </ns0:c>
      <ns0:c r="S175" s="0">
        <ns0:f>IF(AND(Bookings!G175="Approved",E175="No"),N175,0)</ns0:f>
        <ns0:v>0</ns0:v>
      </ns0:c>
      <ns0:c r="T175" s="0">
        <ns0:f>IFERROR(MATCH(D175,Settings!$G$7:$G$11,0),0)</ns0:f>
        <ns0:v>0</ns0:v>
      </ns0:c>
      <ns0:c r="U175" s="0">
        <ns0:f>IF(N175&gt;0,T175+IF(Bookings!G175="Pending",10,0),0)</ns0:f>
        <ns0:v>0</ns0:v>
      </ns0:c>
      <ns0:c r="V175" s="0">
        <ns0:f>U175</ns0:f>
        <ns0:v>0</ns0:v>
      </ns0:c>
      <ns0:c r="W175" s="0" t="str">
        <ns0:f>IF(C175=0,"",INDEX($AP$11:$AP$60,C175))</ns0:f>
        <ns0:v/>
      </ns0:c>
    </ns0:row>
    <ns0:row r="176">
      <ns0:c r="A176" s="0">
        <ns0:f>IF(COUNTA(Bookings!A176:G176,Bookings!I176)=0,0,1)</ns0:f>
        <ns0:v>0</ns0:v>
      </ns0:c>
      <ns0:c r="B176" s="0" t="str">
        <ns0:f>IFERROR(TRIM(MID(Bookings!A176,FIND(" · ",Bookings!A176)+3,99)),"")</ns0:f>
        <ns0:v/>
      </ns0:c>
      <ns0:c r="C176" s="0">
        <ns0:f>IF(OR(B176="",LEN(B176)&gt;24,ISNUMBER(FIND(" ",B176)),ISNUMBER(FIND("*",B176)),ISNUMBER(FIND("?",B176)),ISNUMBER(FIND("~",B176))),0,IFERROR(MATCH(B176,Team!$A$11:$A$60,0),0))</ns0:f>
        <ns0:v>0</ns0:v>
      </ns0:c>
      <ns0:c r="D176" s="0" t="str">
        <ns0:f>IFERROR(IF(MID(Bookings!F176,LEN(Bookings!F176)-3,3)=" · ",RIGHT(Bookings!F176,1),""),"")</ns0:f>
        <ns0:v/>
      </ns0:c>
      <ns0:c r="E176" s="0" t="str">
        <ns0:f>IFERROR(INDEX(Settings!$H$7:$H$11,MATCH(D176,Settings!$G$7:$G$11,0)),"")</ns0:f>
        <ns0:v/>
      </ns0:c>
      <ns0:c r="F176" s="0" t="str">
        <ns0:f>IF(A176=0,"",IFERROR(IF(OR(B176="",C176=0),"CHECK employee selection",IF(INDEX(Team!$O$11:$O$60,C176)&lt;&gt;"OK","CHECK employee setup",IF(OR('_Dates'!J176=0,'_Dates'!T176=0),"CHECK date: use DD.MM.YYYY",IF('_Dates'!T176&lt;'_Dates'!J176,"CHECK end before start",IF(AND($B$6=0,OR('_Dates'!J176&lt;Settings!$B$7,'_Dates'!T176&gt;Settings!$B$8)),"CHECK split across leave years",IF(OR(NOT(OR('_Dates'!U176="Full day",'_Dates'!U176="AM",'_Dates'!U176="PM")),NOT(OR('_Dates'!V176="Full day",'_Dates'!V176="AM",'_Dates'!V176="PM"))),"CHECK Full day / AM / PM",IF(AND('_Dates'!J176='_Dates'!T176,'_Dates'!U176&lt;&gt;"Full day",'_Dates'!V176&lt;&gt;"Full day",'_Dates'!U176&lt;&gt;'_Dates'!V176),"CHECK same-day portions disagree",IF(AND($B$6=0,OR(AND('_Dates'!U176&lt;&gt;"Full day",'_Dates'!AA176=0),AND('_Dates'!V176&lt;&gt;"Full day",'_Dates'!AB176=0))),"CHECK half-day on non-working date",IF(COUNTIF(Settings!$G$7:$G$11,D176)&lt;&gt;1,"CHECK leave type",IF(AND(Bookings!G176&lt;&gt;"Approved",Bookings!G176&lt;&gt;"Pending",Bookings!G176&lt;&gt;"Cancelled"),"CHECK status","OK")))))))))),"CHECK input"))</ns0:f>
        <ns0:v/>
      </ns0:c>
      <ns0:c r="G176" s="0">
        <ns0:f>IF(OR(F176&lt;&gt;"OK",$B$6&gt;0),0,0.5*(IF(('_Dates'!X176)&lt;('_Dates'!W176),0,INT((('_Dates'!X176)-('_Dates'!W176)+1)/7)*LEN(SUBSTITUTE(W176,"O",""))+LEN(SUBSTITUTE(MID(W176&amp;W176,WEEKDAY(('_Dates'!W176),2),MOD((('_Dates'!X176)-('_Dates'!W176)+1),7)),"O",""))-COUNTIFS(INDEX(AllClosureRows,C176,0),"&gt;="&amp;('_Dates'!W176),INDEX(AllClosureRows,C176,0),"&lt;="&amp;('_Dates'!X176)))+IF(('_Dates'!Z176)&lt;('_Dates'!Y176),0,INT((('_Dates'!Z176)-('_Dates'!Y176)+1)/7)*LEN(SUBSTITUTE(W176,"O",""))+LEN(SUBSTITUTE(MID(W176&amp;W176,WEEKDAY(('_Dates'!Y176),2),MOD((('_Dates'!Z176)-('_Dates'!Y176)+1),7)),"O",""))-COUNTIFS(INDEX(AllClosureRows,C176,0),"&gt;="&amp;('_Dates'!Y176),INDEX(AllClosureRows,C176,0),"&lt;="&amp;('_Dates'!Z176)))))</ns0:f>
        <ns0:v>0</ns0:v>
      </ns0:c>
      <ns0:c r="H176" s="0">
        <ns0:f>IF(OR(F176&lt;&gt;"OK",$B$6&gt;0),0,0.5*(IF((MIN('_Dates'!X176,Settings!$B$9))&lt;('_Dates'!W176),0,INT(((MIN('_Dates'!X176,Settings!$B$9))-('_Dates'!W176)+1)/7)*LEN(SUBSTITUTE(W176,"O",""))+LEN(SUBSTITUTE(MID(W176&amp;W176,WEEKDAY(('_Dates'!W176),2),MOD(((MIN('_Dates'!X176,Settings!$B$9))-('_Dates'!W176)+1),7)),"O",""))-COUNTIFS(INDEX(AllClosureRows,C176,0),"&gt;="&amp;('_Dates'!W176),INDEX(AllClosureRows,C176,0),"&lt;="&amp;(MIN('_Dates'!X176,Settings!$B$9))))+IF((MIN('_Dates'!Z176,Settings!$B$9))&lt;('_Dates'!Y176),0,INT(((MIN('_Dates'!Z176,Settings!$B$9))-('_Dates'!Y176)+1)/7)*LEN(SUBSTITUTE(W176,"O",""))+LEN(SUBSTITUTE(MID(W176&amp;W176,WEEKDAY(('_Dates'!Y176),2),MOD(((MIN('_Dates'!Z176,Settings!$B$9))-('_Dates'!Y176)+1),7)),"O",""))-COUNTIFS(INDEX(AllClosureRows,C176,0),"&gt;="&amp;('_Dates'!Y176),INDEX(AllClosureRows,C176,0),"&lt;="&amp;(MIN('_Dates'!Z176,Settings!$B$9))))))</ns0:f>
        <ns0:v>0</ns0:v>
      </ns0:c>
      <ns0:c r="I176" s="0">
        <ns0:f>MAX(0,G176-H176)</ns0:f>
        <ns0:v>0</ns0:v>
      </ns0:c>
      <ns0:c r="J176" s="0">
        <ns0:f>IF(OR(A176=0,F176&lt;&gt;"OK",Bookings!G176="Cancelled",$B$6&gt;0),0,IF('_Dates'!AC176=1,MAX(0,COUNTIFS(rngEngine_B,B176,rngAMStart,"&lt;="&amp;'_Dates'!X176,rngAMEnd,"&gt;="&amp;'_Dates'!W176,rngAMActive,1,rngEngine_F,"OK",rngBookings_F,"&lt;&gt;Cancelled")-1),0)+IF('_Dates'!AD176=1,MAX(0,COUNTIFS(rngEngine_B,B176,rngPMStart,"&lt;="&amp;'_Dates'!Z176,rngPMEnd,"&gt;="&amp;'_Dates'!Y176,rngPMActive,1,rngEngine_F,"OK",rngBookings_F,"&lt;&gt;Cancelled")-1),0))</ns0:f>
        <ns0:v>0</ns0:v>
      </ns0:c>
      <ns0:c r="K176" s="0" t="str">
        <ns0:f>IF(A176=0,"",IF(F176&lt;&gt;"OK",F176,IF(J176&gt;0,"CHECK overlapping entry",IF(AND($B$6=0,G176&lt;=0,Bookings!G176&lt;&gt;"Cancelled"),"CHECK no working days",IF(Bookings!G176="Cancelled","Cancelled","OK")))))</ns0:f>
        <ns0:v/>
      </ns0:c>
      <ns0:c r="L176" s="0">
        <ns0:f>IF(LEFT(K176,5)="CHECK",1,0)</ns0:f>
        <ns0:v>0</ns0:v>
      </ns0:c>
      <ns0:c r="M176" s="0">
        <ns0:f>IF(AND(L176=1,OR(C176=0,IFERROR(INDEX($X$11:$X$60,C176),0)=0)),1,0)</ns0:f>
        <ns0:v>0</ns0:v>
      </ns0:c>
      <ns0:c r="N176" s="0">
        <ns0:f>IF(OR(A176=0,L176&gt;0,$B$6&gt;0,Bookings!G176="Cancelled"),0,G176)</ns0:f>
        <ns0:v>0</ns0:v>
      </ns0:c>
      <ns0:c r="O176" s="0">
        <ns0:f>IF(AND(Bookings!G176="Approved",E176="Yes"),N176,0)</ns0:f>
        <ns0:v>0</ns0:v>
      </ns0:c>
      <ns0:c r="P176" s="0">
        <ns0:f>IF(AND(Bookings!G176="Approved",E176="Yes",L176=0,$B$6=0),H176,0)</ns0:f>
        <ns0:v>0</ns0:v>
      </ns0:c>
      <ns0:c r="Q176" s="0">
        <ns0:f>IF(AND(Bookings!G176="Approved",E176="Yes",L176=0,$B$6=0),I176,0)</ns0:f>
        <ns0:v>0</ns0:v>
      </ns0:c>
      <ns0:c r="R176" s="0">
        <ns0:f>IF(AND(Bookings!G176="Pending",E176="Yes"),N176,0)</ns0:f>
        <ns0:v>0</ns0:v>
      </ns0:c>
      <ns0:c r="S176" s="0">
        <ns0:f>IF(AND(Bookings!G176="Approved",E176="No"),N176,0)</ns0:f>
        <ns0:v>0</ns0:v>
      </ns0:c>
      <ns0:c r="T176" s="0">
        <ns0:f>IFERROR(MATCH(D176,Settings!$G$7:$G$11,0),0)</ns0:f>
        <ns0:v>0</ns0:v>
      </ns0:c>
      <ns0:c r="U176" s="0">
        <ns0:f>IF(N176&gt;0,T176+IF(Bookings!G176="Pending",10,0),0)</ns0:f>
        <ns0:v>0</ns0:v>
      </ns0:c>
      <ns0:c r="V176" s="0">
        <ns0:f>U176</ns0:f>
        <ns0:v>0</ns0:v>
      </ns0:c>
      <ns0:c r="W176" s="0" t="str">
        <ns0:f>IF(C176=0,"",INDEX($AP$11:$AP$60,C176))</ns0:f>
        <ns0:v/>
      </ns0:c>
    </ns0:row>
    <ns0:row r="177">
      <ns0:c r="A177" s="0">
        <ns0:f>IF(COUNTA(Bookings!A177:G177,Bookings!I177)=0,0,1)</ns0:f>
        <ns0:v>0</ns0:v>
      </ns0:c>
      <ns0:c r="B177" s="0" t="str">
        <ns0:f>IFERROR(TRIM(MID(Bookings!A177,FIND(" · ",Bookings!A177)+3,99)),"")</ns0:f>
        <ns0:v/>
      </ns0:c>
      <ns0:c r="C177" s="0">
        <ns0:f>IF(OR(B177="",LEN(B177)&gt;24,ISNUMBER(FIND(" ",B177)),ISNUMBER(FIND("*",B177)),ISNUMBER(FIND("?",B177)),ISNUMBER(FIND("~",B177))),0,IFERROR(MATCH(B177,Team!$A$11:$A$60,0),0))</ns0:f>
        <ns0:v>0</ns0:v>
      </ns0:c>
      <ns0:c r="D177" s="0" t="str">
        <ns0:f>IFERROR(IF(MID(Bookings!F177,LEN(Bookings!F177)-3,3)=" · ",RIGHT(Bookings!F177,1),""),"")</ns0:f>
        <ns0:v/>
      </ns0:c>
      <ns0:c r="E177" s="0" t="str">
        <ns0:f>IFERROR(INDEX(Settings!$H$7:$H$11,MATCH(D177,Settings!$G$7:$G$11,0)),"")</ns0:f>
        <ns0:v/>
      </ns0:c>
      <ns0:c r="F177" s="0" t="str">
        <ns0:f>IF(A177=0,"",IFERROR(IF(OR(B177="",C177=0),"CHECK employee selection",IF(INDEX(Team!$O$11:$O$60,C177)&lt;&gt;"OK","CHECK employee setup",IF(OR('_Dates'!J177=0,'_Dates'!T177=0),"CHECK date: use DD.MM.YYYY",IF('_Dates'!T177&lt;'_Dates'!J177,"CHECK end before start",IF(AND($B$6=0,OR('_Dates'!J177&lt;Settings!$B$7,'_Dates'!T177&gt;Settings!$B$8)),"CHECK split across leave years",IF(OR(NOT(OR('_Dates'!U177="Full day",'_Dates'!U177="AM",'_Dates'!U177="PM")),NOT(OR('_Dates'!V177="Full day",'_Dates'!V177="AM",'_Dates'!V177="PM"))),"CHECK Full day / AM / PM",IF(AND('_Dates'!J177='_Dates'!T177,'_Dates'!U177&lt;&gt;"Full day",'_Dates'!V177&lt;&gt;"Full day",'_Dates'!U177&lt;&gt;'_Dates'!V177),"CHECK same-day portions disagree",IF(AND($B$6=0,OR(AND('_Dates'!U177&lt;&gt;"Full day",'_Dates'!AA177=0),AND('_Dates'!V177&lt;&gt;"Full day",'_Dates'!AB177=0))),"CHECK half-day on non-working date",IF(COUNTIF(Settings!$G$7:$G$11,D177)&lt;&gt;1,"CHECK leave type",IF(AND(Bookings!G177&lt;&gt;"Approved",Bookings!G177&lt;&gt;"Pending",Bookings!G177&lt;&gt;"Cancelled"),"CHECK status","OK")))))))))),"CHECK input"))</ns0:f>
        <ns0:v/>
      </ns0:c>
      <ns0:c r="G177" s="0">
        <ns0:f>IF(OR(F177&lt;&gt;"OK",$B$6&gt;0),0,0.5*(IF(('_Dates'!X177)&lt;('_Dates'!W177),0,INT((('_Dates'!X177)-('_Dates'!W177)+1)/7)*LEN(SUBSTITUTE(W177,"O",""))+LEN(SUBSTITUTE(MID(W177&amp;W177,WEEKDAY(('_Dates'!W177),2),MOD((('_Dates'!X177)-('_Dates'!W177)+1),7)),"O",""))-COUNTIFS(INDEX(AllClosureRows,C177,0),"&gt;="&amp;('_Dates'!W177),INDEX(AllClosureRows,C177,0),"&lt;="&amp;('_Dates'!X177)))+IF(('_Dates'!Z177)&lt;('_Dates'!Y177),0,INT((('_Dates'!Z177)-('_Dates'!Y177)+1)/7)*LEN(SUBSTITUTE(W177,"O",""))+LEN(SUBSTITUTE(MID(W177&amp;W177,WEEKDAY(('_Dates'!Y177),2),MOD((('_Dates'!Z177)-('_Dates'!Y177)+1),7)),"O",""))-COUNTIFS(INDEX(AllClosureRows,C177,0),"&gt;="&amp;('_Dates'!Y177),INDEX(AllClosureRows,C177,0),"&lt;="&amp;('_Dates'!Z177)))))</ns0:f>
        <ns0:v>0</ns0:v>
      </ns0:c>
      <ns0:c r="H177" s="0">
        <ns0:f>IF(OR(F177&lt;&gt;"OK",$B$6&gt;0),0,0.5*(IF((MIN('_Dates'!X177,Settings!$B$9))&lt;('_Dates'!W177),0,INT(((MIN('_Dates'!X177,Settings!$B$9))-('_Dates'!W177)+1)/7)*LEN(SUBSTITUTE(W177,"O",""))+LEN(SUBSTITUTE(MID(W177&amp;W177,WEEKDAY(('_Dates'!W177),2),MOD(((MIN('_Dates'!X177,Settings!$B$9))-('_Dates'!W177)+1),7)),"O",""))-COUNTIFS(INDEX(AllClosureRows,C177,0),"&gt;="&amp;('_Dates'!W177),INDEX(AllClosureRows,C177,0),"&lt;="&amp;(MIN('_Dates'!X177,Settings!$B$9))))+IF((MIN('_Dates'!Z177,Settings!$B$9))&lt;('_Dates'!Y177),0,INT(((MIN('_Dates'!Z177,Settings!$B$9))-('_Dates'!Y177)+1)/7)*LEN(SUBSTITUTE(W177,"O",""))+LEN(SUBSTITUTE(MID(W177&amp;W177,WEEKDAY(('_Dates'!Y177),2),MOD(((MIN('_Dates'!Z177,Settings!$B$9))-('_Dates'!Y177)+1),7)),"O",""))-COUNTIFS(INDEX(AllClosureRows,C177,0),"&gt;="&amp;('_Dates'!Y177),INDEX(AllClosureRows,C177,0),"&lt;="&amp;(MIN('_Dates'!Z177,Settings!$B$9))))))</ns0:f>
        <ns0:v>0</ns0:v>
      </ns0:c>
      <ns0:c r="I177" s="0">
        <ns0:f>MAX(0,G177-H177)</ns0:f>
        <ns0:v>0</ns0:v>
      </ns0:c>
      <ns0:c r="J177" s="0">
        <ns0:f>IF(OR(A177=0,F177&lt;&gt;"OK",Bookings!G177="Cancelled",$B$6&gt;0),0,IF('_Dates'!AC177=1,MAX(0,COUNTIFS(rngEngine_B,B177,rngAMStart,"&lt;="&amp;'_Dates'!X177,rngAMEnd,"&gt;="&amp;'_Dates'!W177,rngAMActive,1,rngEngine_F,"OK",rngBookings_F,"&lt;&gt;Cancelled")-1),0)+IF('_Dates'!AD177=1,MAX(0,COUNTIFS(rngEngine_B,B177,rngPMStart,"&lt;="&amp;'_Dates'!Z177,rngPMEnd,"&gt;="&amp;'_Dates'!Y177,rngPMActive,1,rngEngine_F,"OK",rngBookings_F,"&lt;&gt;Cancelled")-1),0))</ns0:f>
        <ns0:v>0</ns0:v>
      </ns0:c>
      <ns0:c r="K177" s="0" t="str">
        <ns0:f>IF(A177=0,"",IF(F177&lt;&gt;"OK",F177,IF(J177&gt;0,"CHECK overlapping entry",IF(AND($B$6=0,G177&lt;=0,Bookings!G177&lt;&gt;"Cancelled"),"CHECK no working days",IF(Bookings!G177="Cancelled","Cancelled","OK")))))</ns0:f>
        <ns0:v/>
      </ns0:c>
      <ns0:c r="L177" s="0">
        <ns0:f>IF(LEFT(K177,5)="CHECK",1,0)</ns0:f>
        <ns0:v>0</ns0:v>
      </ns0:c>
      <ns0:c r="M177" s="0">
        <ns0:f>IF(AND(L177=1,OR(C177=0,IFERROR(INDEX($X$11:$X$60,C177),0)=0)),1,0)</ns0:f>
        <ns0:v>0</ns0:v>
      </ns0:c>
      <ns0:c r="N177" s="0">
        <ns0:f>IF(OR(A177=0,L177&gt;0,$B$6&gt;0,Bookings!G177="Cancelled"),0,G177)</ns0:f>
        <ns0:v>0</ns0:v>
      </ns0:c>
      <ns0:c r="O177" s="0">
        <ns0:f>IF(AND(Bookings!G177="Approved",E177="Yes"),N177,0)</ns0:f>
        <ns0:v>0</ns0:v>
      </ns0:c>
      <ns0:c r="P177" s="0">
        <ns0:f>IF(AND(Bookings!G177="Approved",E177="Yes",L177=0,$B$6=0),H177,0)</ns0:f>
        <ns0:v>0</ns0:v>
      </ns0:c>
      <ns0:c r="Q177" s="0">
        <ns0:f>IF(AND(Bookings!G177="Approved",E177="Yes",L177=0,$B$6=0),I177,0)</ns0:f>
        <ns0:v>0</ns0:v>
      </ns0:c>
      <ns0:c r="R177" s="0">
        <ns0:f>IF(AND(Bookings!G177="Pending",E177="Yes"),N177,0)</ns0:f>
        <ns0:v>0</ns0:v>
      </ns0:c>
      <ns0:c r="S177" s="0">
        <ns0:f>IF(AND(Bookings!G177="Approved",E177="No"),N177,0)</ns0:f>
        <ns0:v>0</ns0:v>
      </ns0:c>
      <ns0:c r="T177" s="0">
        <ns0:f>IFERROR(MATCH(D177,Settings!$G$7:$G$11,0),0)</ns0:f>
        <ns0:v>0</ns0:v>
      </ns0:c>
      <ns0:c r="U177" s="0">
        <ns0:f>IF(N177&gt;0,T177+IF(Bookings!G177="Pending",10,0),0)</ns0:f>
        <ns0:v>0</ns0:v>
      </ns0:c>
      <ns0:c r="V177" s="0">
        <ns0:f>U177</ns0:f>
        <ns0:v>0</ns0:v>
      </ns0:c>
      <ns0:c r="W177" s="0" t="str">
        <ns0:f>IF(C177=0,"",INDEX($AP$11:$AP$60,C177))</ns0:f>
        <ns0:v/>
      </ns0:c>
    </ns0:row>
    <ns0:row r="178">
      <ns0:c r="A178" s="0">
        <ns0:f>IF(COUNTA(Bookings!A178:G178,Bookings!I178)=0,0,1)</ns0:f>
        <ns0:v>0</ns0:v>
      </ns0:c>
      <ns0:c r="B178" s="0" t="str">
        <ns0:f>IFERROR(TRIM(MID(Bookings!A178,FIND(" · ",Bookings!A178)+3,99)),"")</ns0:f>
        <ns0:v/>
      </ns0:c>
      <ns0:c r="C178" s="0">
        <ns0:f>IF(OR(B178="",LEN(B178)&gt;24,ISNUMBER(FIND(" ",B178)),ISNUMBER(FIND("*",B178)),ISNUMBER(FIND("?",B178)),ISNUMBER(FIND("~",B178))),0,IFERROR(MATCH(B178,Team!$A$11:$A$60,0),0))</ns0:f>
        <ns0:v>0</ns0:v>
      </ns0:c>
      <ns0:c r="D178" s="0" t="str">
        <ns0:f>IFERROR(IF(MID(Bookings!F178,LEN(Bookings!F178)-3,3)=" · ",RIGHT(Bookings!F178,1),""),"")</ns0:f>
        <ns0:v/>
      </ns0:c>
      <ns0:c r="E178" s="0" t="str">
        <ns0:f>IFERROR(INDEX(Settings!$H$7:$H$11,MATCH(D178,Settings!$G$7:$G$11,0)),"")</ns0:f>
        <ns0:v/>
      </ns0:c>
      <ns0:c r="F178" s="0" t="str">
        <ns0:f>IF(A178=0,"",IFERROR(IF(OR(B178="",C178=0),"CHECK employee selection",IF(INDEX(Team!$O$11:$O$60,C178)&lt;&gt;"OK","CHECK employee setup",IF(OR('_Dates'!J178=0,'_Dates'!T178=0),"CHECK date: use DD.MM.YYYY",IF('_Dates'!T178&lt;'_Dates'!J178,"CHECK end before start",IF(AND($B$6=0,OR('_Dates'!J178&lt;Settings!$B$7,'_Dates'!T178&gt;Settings!$B$8)),"CHECK split across leave years",IF(OR(NOT(OR('_Dates'!U178="Full day",'_Dates'!U178="AM",'_Dates'!U178="PM")),NOT(OR('_Dates'!V178="Full day",'_Dates'!V178="AM",'_Dates'!V178="PM"))),"CHECK Full day / AM / PM",IF(AND('_Dates'!J178='_Dates'!T178,'_Dates'!U178&lt;&gt;"Full day",'_Dates'!V178&lt;&gt;"Full day",'_Dates'!U178&lt;&gt;'_Dates'!V178),"CHECK same-day portions disagree",IF(AND($B$6=0,OR(AND('_Dates'!U178&lt;&gt;"Full day",'_Dates'!AA178=0),AND('_Dates'!V178&lt;&gt;"Full day",'_Dates'!AB178=0))),"CHECK half-day on non-working date",IF(COUNTIF(Settings!$G$7:$G$11,D178)&lt;&gt;1,"CHECK leave type",IF(AND(Bookings!G178&lt;&gt;"Approved",Bookings!G178&lt;&gt;"Pending",Bookings!G178&lt;&gt;"Cancelled"),"CHECK status","OK")))))))))),"CHECK input"))</ns0:f>
        <ns0:v/>
      </ns0:c>
      <ns0:c r="G178" s="0">
        <ns0:f>IF(OR(F178&lt;&gt;"OK",$B$6&gt;0),0,0.5*(IF(('_Dates'!X178)&lt;('_Dates'!W178),0,INT((('_Dates'!X178)-('_Dates'!W178)+1)/7)*LEN(SUBSTITUTE(W178,"O",""))+LEN(SUBSTITUTE(MID(W178&amp;W178,WEEKDAY(('_Dates'!W178),2),MOD((('_Dates'!X178)-('_Dates'!W178)+1),7)),"O",""))-COUNTIFS(INDEX(AllClosureRows,C178,0),"&gt;="&amp;('_Dates'!W178),INDEX(AllClosureRows,C178,0),"&lt;="&amp;('_Dates'!X178)))+IF(('_Dates'!Z178)&lt;('_Dates'!Y178),0,INT((('_Dates'!Z178)-('_Dates'!Y178)+1)/7)*LEN(SUBSTITUTE(W178,"O",""))+LEN(SUBSTITUTE(MID(W178&amp;W178,WEEKDAY(('_Dates'!Y178),2),MOD((('_Dates'!Z178)-('_Dates'!Y178)+1),7)),"O",""))-COUNTIFS(INDEX(AllClosureRows,C178,0),"&gt;="&amp;('_Dates'!Y178),INDEX(AllClosureRows,C178,0),"&lt;="&amp;('_Dates'!Z178)))))</ns0:f>
        <ns0:v>0</ns0:v>
      </ns0:c>
      <ns0:c r="H178" s="0">
        <ns0:f>IF(OR(F178&lt;&gt;"OK",$B$6&gt;0),0,0.5*(IF((MIN('_Dates'!X178,Settings!$B$9))&lt;('_Dates'!W178),0,INT(((MIN('_Dates'!X178,Settings!$B$9))-('_Dates'!W178)+1)/7)*LEN(SUBSTITUTE(W178,"O",""))+LEN(SUBSTITUTE(MID(W178&amp;W178,WEEKDAY(('_Dates'!W178),2),MOD(((MIN('_Dates'!X178,Settings!$B$9))-('_Dates'!W178)+1),7)),"O",""))-COUNTIFS(INDEX(AllClosureRows,C178,0),"&gt;="&amp;('_Dates'!W178),INDEX(AllClosureRows,C178,0),"&lt;="&amp;(MIN('_Dates'!X178,Settings!$B$9))))+IF((MIN('_Dates'!Z178,Settings!$B$9))&lt;('_Dates'!Y178),0,INT(((MIN('_Dates'!Z178,Settings!$B$9))-('_Dates'!Y178)+1)/7)*LEN(SUBSTITUTE(W178,"O",""))+LEN(SUBSTITUTE(MID(W178&amp;W178,WEEKDAY(('_Dates'!Y178),2),MOD(((MIN('_Dates'!Z178,Settings!$B$9))-('_Dates'!Y178)+1),7)),"O",""))-COUNTIFS(INDEX(AllClosureRows,C178,0),"&gt;="&amp;('_Dates'!Y178),INDEX(AllClosureRows,C178,0),"&lt;="&amp;(MIN('_Dates'!Z178,Settings!$B$9))))))</ns0:f>
        <ns0:v>0</ns0:v>
      </ns0:c>
      <ns0:c r="I178" s="0">
        <ns0:f>MAX(0,G178-H178)</ns0:f>
        <ns0:v>0</ns0:v>
      </ns0:c>
      <ns0:c r="J178" s="0">
        <ns0:f>IF(OR(A178=0,F178&lt;&gt;"OK",Bookings!G178="Cancelled",$B$6&gt;0),0,IF('_Dates'!AC178=1,MAX(0,COUNTIFS(rngEngine_B,B178,rngAMStart,"&lt;="&amp;'_Dates'!X178,rngAMEnd,"&gt;="&amp;'_Dates'!W178,rngAMActive,1,rngEngine_F,"OK",rngBookings_F,"&lt;&gt;Cancelled")-1),0)+IF('_Dates'!AD178=1,MAX(0,COUNTIFS(rngEngine_B,B178,rngPMStart,"&lt;="&amp;'_Dates'!Z178,rngPMEnd,"&gt;="&amp;'_Dates'!Y178,rngPMActive,1,rngEngine_F,"OK",rngBookings_F,"&lt;&gt;Cancelled")-1),0))</ns0:f>
        <ns0:v>0</ns0:v>
      </ns0:c>
      <ns0:c r="K178" s="0" t="str">
        <ns0:f>IF(A178=0,"",IF(F178&lt;&gt;"OK",F178,IF(J178&gt;0,"CHECK overlapping entry",IF(AND($B$6=0,G178&lt;=0,Bookings!G178&lt;&gt;"Cancelled"),"CHECK no working days",IF(Bookings!G178="Cancelled","Cancelled","OK")))))</ns0:f>
        <ns0:v/>
      </ns0:c>
      <ns0:c r="L178" s="0">
        <ns0:f>IF(LEFT(K178,5)="CHECK",1,0)</ns0:f>
        <ns0:v>0</ns0:v>
      </ns0:c>
      <ns0:c r="M178" s="0">
        <ns0:f>IF(AND(L178=1,OR(C178=0,IFERROR(INDEX($X$11:$X$60,C178),0)=0)),1,0)</ns0:f>
        <ns0:v>0</ns0:v>
      </ns0:c>
      <ns0:c r="N178" s="0">
        <ns0:f>IF(OR(A178=0,L178&gt;0,$B$6&gt;0,Bookings!G178="Cancelled"),0,G178)</ns0:f>
        <ns0:v>0</ns0:v>
      </ns0:c>
      <ns0:c r="O178" s="0">
        <ns0:f>IF(AND(Bookings!G178="Approved",E178="Yes"),N178,0)</ns0:f>
        <ns0:v>0</ns0:v>
      </ns0:c>
      <ns0:c r="P178" s="0">
        <ns0:f>IF(AND(Bookings!G178="Approved",E178="Yes",L178=0,$B$6=0),H178,0)</ns0:f>
        <ns0:v>0</ns0:v>
      </ns0:c>
      <ns0:c r="Q178" s="0">
        <ns0:f>IF(AND(Bookings!G178="Approved",E178="Yes",L178=0,$B$6=0),I178,0)</ns0:f>
        <ns0:v>0</ns0:v>
      </ns0:c>
      <ns0:c r="R178" s="0">
        <ns0:f>IF(AND(Bookings!G178="Pending",E178="Yes"),N178,0)</ns0:f>
        <ns0:v>0</ns0:v>
      </ns0:c>
      <ns0:c r="S178" s="0">
        <ns0:f>IF(AND(Bookings!G178="Approved",E178="No"),N178,0)</ns0:f>
        <ns0:v>0</ns0:v>
      </ns0:c>
      <ns0:c r="T178" s="0">
        <ns0:f>IFERROR(MATCH(D178,Settings!$G$7:$G$11,0),0)</ns0:f>
        <ns0:v>0</ns0:v>
      </ns0:c>
      <ns0:c r="U178" s="0">
        <ns0:f>IF(N178&gt;0,T178+IF(Bookings!G178="Pending",10,0),0)</ns0:f>
        <ns0:v>0</ns0:v>
      </ns0:c>
      <ns0:c r="V178" s="0">
        <ns0:f>U178</ns0:f>
        <ns0:v>0</ns0:v>
      </ns0:c>
      <ns0:c r="W178" s="0" t="str">
        <ns0:f>IF(C178=0,"",INDEX($AP$11:$AP$60,C178))</ns0:f>
        <ns0:v/>
      </ns0:c>
    </ns0:row>
    <ns0:row r="179">
      <ns0:c r="A179" s="0">
        <ns0:f>IF(COUNTA(Bookings!A179:G179,Bookings!I179)=0,0,1)</ns0:f>
        <ns0:v>0</ns0:v>
      </ns0:c>
      <ns0:c r="B179" s="0" t="str">
        <ns0:f>IFERROR(TRIM(MID(Bookings!A179,FIND(" · ",Bookings!A179)+3,99)),"")</ns0:f>
        <ns0:v/>
      </ns0:c>
      <ns0:c r="C179" s="0">
        <ns0:f>IF(OR(B179="",LEN(B179)&gt;24,ISNUMBER(FIND(" ",B179)),ISNUMBER(FIND("*",B179)),ISNUMBER(FIND("?",B179)),ISNUMBER(FIND("~",B179))),0,IFERROR(MATCH(B179,Team!$A$11:$A$60,0),0))</ns0:f>
        <ns0:v>0</ns0:v>
      </ns0:c>
      <ns0:c r="D179" s="0" t="str">
        <ns0:f>IFERROR(IF(MID(Bookings!F179,LEN(Bookings!F179)-3,3)=" · ",RIGHT(Bookings!F179,1),""),"")</ns0:f>
        <ns0:v/>
      </ns0:c>
      <ns0:c r="E179" s="0" t="str">
        <ns0:f>IFERROR(INDEX(Settings!$H$7:$H$11,MATCH(D179,Settings!$G$7:$G$11,0)),"")</ns0:f>
        <ns0:v/>
      </ns0:c>
      <ns0:c r="F179" s="0" t="str">
        <ns0:f>IF(A179=0,"",IFERROR(IF(OR(B179="",C179=0),"CHECK employee selection",IF(INDEX(Team!$O$11:$O$60,C179)&lt;&gt;"OK","CHECK employee setup",IF(OR('_Dates'!J179=0,'_Dates'!T179=0),"CHECK date: use DD.MM.YYYY",IF('_Dates'!T179&lt;'_Dates'!J179,"CHECK end before start",IF(AND($B$6=0,OR('_Dates'!J179&lt;Settings!$B$7,'_Dates'!T179&gt;Settings!$B$8)),"CHECK split across leave years",IF(OR(NOT(OR('_Dates'!U179="Full day",'_Dates'!U179="AM",'_Dates'!U179="PM")),NOT(OR('_Dates'!V179="Full day",'_Dates'!V179="AM",'_Dates'!V179="PM"))),"CHECK Full day / AM / PM",IF(AND('_Dates'!J179='_Dates'!T179,'_Dates'!U179&lt;&gt;"Full day",'_Dates'!V179&lt;&gt;"Full day",'_Dates'!U179&lt;&gt;'_Dates'!V179),"CHECK same-day portions disagree",IF(AND($B$6=0,OR(AND('_Dates'!U179&lt;&gt;"Full day",'_Dates'!AA179=0),AND('_Dates'!V179&lt;&gt;"Full day",'_Dates'!AB179=0))),"CHECK half-day on non-working date",IF(COUNTIF(Settings!$G$7:$G$11,D179)&lt;&gt;1,"CHECK leave type",IF(AND(Bookings!G179&lt;&gt;"Approved",Bookings!G179&lt;&gt;"Pending",Bookings!G179&lt;&gt;"Cancelled"),"CHECK status","OK")))))))))),"CHECK input"))</ns0:f>
        <ns0:v/>
      </ns0:c>
      <ns0:c r="G179" s="0">
        <ns0:f>IF(OR(F179&lt;&gt;"OK",$B$6&gt;0),0,0.5*(IF(('_Dates'!X179)&lt;('_Dates'!W179),0,INT((('_Dates'!X179)-('_Dates'!W179)+1)/7)*LEN(SUBSTITUTE(W179,"O",""))+LEN(SUBSTITUTE(MID(W179&amp;W179,WEEKDAY(('_Dates'!W179),2),MOD((('_Dates'!X179)-('_Dates'!W179)+1),7)),"O",""))-COUNTIFS(INDEX(AllClosureRows,C179,0),"&gt;="&amp;('_Dates'!W179),INDEX(AllClosureRows,C179,0),"&lt;="&amp;('_Dates'!X179)))+IF(('_Dates'!Z179)&lt;('_Dates'!Y179),0,INT((('_Dates'!Z179)-('_Dates'!Y179)+1)/7)*LEN(SUBSTITUTE(W179,"O",""))+LEN(SUBSTITUTE(MID(W179&amp;W179,WEEKDAY(('_Dates'!Y179),2),MOD((('_Dates'!Z179)-('_Dates'!Y179)+1),7)),"O",""))-COUNTIFS(INDEX(AllClosureRows,C179,0),"&gt;="&amp;('_Dates'!Y179),INDEX(AllClosureRows,C179,0),"&lt;="&amp;('_Dates'!Z179)))))</ns0:f>
        <ns0:v>0</ns0:v>
      </ns0:c>
      <ns0:c r="H179" s="0">
        <ns0:f>IF(OR(F179&lt;&gt;"OK",$B$6&gt;0),0,0.5*(IF((MIN('_Dates'!X179,Settings!$B$9))&lt;('_Dates'!W179),0,INT(((MIN('_Dates'!X179,Settings!$B$9))-('_Dates'!W179)+1)/7)*LEN(SUBSTITUTE(W179,"O",""))+LEN(SUBSTITUTE(MID(W179&amp;W179,WEEKDAY(('_Dates'!W179),2),MOD(((MIN('_Dates'!X179,Settings!$B$9))-('_Dates'!W179)+1),7)),"O",""))-COUNTIFS(INDEX(AllClosureRows,C179,0),"&gt;="&amp;('_Dates'!W179),INDEX(AllClosureRows,C179,0),"&lt;="&amp;(MIN('_Dates'!X179,Settings!$B$9))))+IF((MIN('_Dates'!Z179,Settings!$B$9))&lt;('_Dates'!Y179),0,INT(((MIN('_Dates'!Z179,Settings!$B$9))-('_Dates'!Y179)+1)/7)*LEN(SUBSTITUTE(W179,"O",""))+LEN(SUBSTITUTE(MID(W179&amp;W179,WEEKDAY(('_Dates'!Y179),2),MOD(((MIN('_Dates'!Z179,Settings!$B$9))-('_Dates'!Y179)+1),7)),"O",""))-COUNTIFS(INDEX(AllClosureRows,C179,0),"&gt;="&amp;('_Dates'!Y179),INDEX(AllClosureRows,C179,0),"&lt;="&amp;(MIN('_Dates'!Z179,Settings!$B$9))))))</ns0:f>
        <ns0:v>0</ns0:v>
      </ns0:c>
      <ns0:c r="I179" s="0">
        <ns0:f>MAX(0,G179-H179)</ns0:f>
        <ns0:v>0</ns0:v>
      </ns0:c>
      <ns0:c r="J179" s="0">
        <ns0:f>IF(OR(A179=0,F179&lt;&gt;"OK",Bookings!G179="Cancelled",$B$6&gt;0),0,IF('_Dates'!AC179=1,MAX(0,COUNTIFS(rngEngine_B,B179,rngAMStart,"&lt;="&amp;'_Dates'!X179,rngAMEnd,"&gt;="&amp;'_Dates'!W179,rngAMActive,1,rngEngine_F,"OK",rngBookings_F,"&lt;&gt;Cancelled")-1),0)+IF('_Dates'!AD179=1,MAX(0,COUNTIFS(rngEngine_B,B179,rngPMStart,"&lt;="&amp;'_Dates'!Z179,rngPMEnd,"&gt;="&amp;'_Dates'!Y179,rngPMActive,1,rngEngine_F,"OK",rngBookings_F,"&lt;&gt;Cancelled")-1),0))</ns0:f>
        <ns0:v>0</ns0:v>
      </ns0:c>
      <ns0:c r="K179" s="0" t="str">
        <ns0:f>IF(A179=0,"",IF(F179&lt;&gt;"OK",F179,IF(J179&gt;0,"CHECK overlapping entry",IF(AND($B$6=0,G179&lt;=0,Bookings!G179&lt;&gt;"Cancelled"),"CHECK no working days",IF(Bookings!G179="Cancelled","Cancelled","OK")))))</ns0:f>
        <ns0:v/>
      </ns0:c>
      <ns0:c r="L179" s="0">
        <ns0:f>IF(LEFT(K179,5)="CHECK",1,0)</ns0:f>
        <ns0:v>0</ns0:v>
      </ns0:c>
      <ns0:c r="M179" s="0">
        <ns0:f>IF(AND(L179=1,OR(C179=0,IFERROR(INDEX($X$11:$X$60,C179),0)=0)),1,0)</ns0:f>
        <ns0:v>0</ns0:v>
      </ns0:c>
      <ns0:c r="N179" s="0">
        <ns0:f>IF(OR(A179=0,L179&gt;0,$B$6&gt;0,Bookings!G179="Cancelled"),0,G179)</ns0:f>
        <ns0:v>0</ns0:v>
      </ns0:c>
      <ns0:c r="O179" s="0">
        <ns0:f>IF(AND(Bookings!G179="Approved",E179="Yes"),N179,0)</ns0:f>
        <ns0:v>0</ns0:v>
      </ns0:c>
      <ns0:c r="P179" s="0">
        <ns0:f>IF(AND(Bookings!G179="Approved",E179="Yes",L179=0,$B$6=0),H179,0)</ns0:f>
        <ns0:v>0</ns0:v>
      </ns0:c>
      <ns0:c r="Q179" s="0">
        <ns0:f>IF(AND(Bookings!G179="Approved",E179="Yes",L179=0,$B$6=0),I179,0)</ns0:f>
        <ns0:v>0</ns0:v>
      </ns0:c>
      <ns0:c r="R179" s="0">
        <ns0:f>IF(AND(Bookings!G179="Pending",E179="Yes"),N179,0)</ns0:f>
        <ns0:v>0</ns0:v>
      </ns0:c>
      <ns0:c r="S179" s="0">
        <ns0:f>IF(AND(Bookings!G179="Approved",E179="No"),N179,0)</ns0:f>
        <ns0:v>0</ns0:v>
      </ns0:c>
      <ns0:c r="T179" s="0">
        <ns0:f>IFERROR(MATCH(D179,Settings!$G$7:$G$11,0),0)</ns0:f>
        <ns0:v>0</ns0:v>
      </ns0:c>
      <ns0:c r="U179" s="0">
        <ns0:f>IF(N179&gt;0,T179+IF(Bookings!G179="Pending",10,0),0)</ns0:f>
        <ns0:v>0</ns0:v>
      </ns0:c>
      <ns0:c r="V179" s="0">
        <ns0:f>U179</ns0:f>
        <ns0:v>0</ns0:v>
      </ns0:c>
      <ns0:c r="W179" s="0" t="str">
        <ns0:f>IF(C179=0,"",INDEX($AP$11:$AP$60,C179))</ns0:f>
        <ns0:v/>
      </ns0:c>
    </ns0:row>
    <ns0:row r="180">
      <ns0:c r="A180" s="0">
        <ns0:f>IF(COUNTA(Bookings!A180:G180,Bookings!I180)=0,0,1)</ns0:f>
        <ns0:v>0</ns0:v>
      </ns0:c>
      <ns0:c r="B180" s="0" t="str">
        <ns0:f>IFERROR(TRIM(MID(Bookings!A180,FIND(" · ",Bookings!A180)+3,99)),"")</ns0:f>
        <ns0:v/>
      </ns0:c>
      <ns0:c r="C180" s="0">
        <ns0:f>IF(OR(B180="",LEN(B180)&gt;24,ISNUMBER(FIND(" ",B180)),ISNUMBER(FIND("*",B180)),ISNUMBER(FIND("?",B180)),ISNUMBER(FIND("~",B180))),0,IFERROR(MATCH(B180,Team!$A$11:$A$60,0),0))</ns0:f>
        <ns0:v>0</ns0:v>
      </ns0:c>
      <ns0:c r="D180" s="0" t="str">
        <ns0:f>IFERROR(IF(MID(Bookings!F180,LEN(Bookings!F180)-3,3)=" · ",RIGHT(Bookings!F180,1),""),"")</ns0:f>
        <ns0:v/>
      </ns0:c>
      <ns0:c r="E180" s="0" t="str">
        <ns0:f>IFERROR(INDEX(Settings!$H$7:$H$11,MATCH(D180,Settings!$G$7:$G$11,0)),"")</ns0:f>
        <ns0:v/>
      </ns0:c>
      <ns0:c r="F180" s="0" t="str">
        <ns0:f>IF(A180=0,"",IFERROR(IF(OR(B180="",C180=0),"CHECK employee selection",IF(INDEX(Team!$O$11:$O$60,C180)&lt;&gt;"OK","CHECK employee setup",IF(OR('_Dates'!J180=0,'_Dates'!T180=0),"CHECK date: use DD.MM.YYYY",IF('_Dates'!T180&lt;'_Dates'!J180,"CHECK end before start",IF(AND($B$6=0,OR('_Dates'!J180&lt;Settings!$B$7,'_Dates'!T180&gt;Settings!$B$8)),"CHECK split across leave years",IF(OR(NOT(OR('_Dates'!U180="Full day",'_Dates'!U180="AM",'_Dates'!U180="PM")),NOT(OR('_Dates'!V180="Full day",'_Dates'!V180="AM",'_Dates'!V180="PM"))),"CHECK Full day / AM / PM",IF(AND('_Dates'!J180='_Dates'!T180,'_Dates'!U180&lt;&gt;"Full day",'_Dates'!V180&lt;&gt;"Full day",'_Dates'!U180&lt;&gt;'_Dates'!V180),"CHECK same-day portions disagree",IF(AND($B$6=0,OR(AND('_Dates'!U180&lt;&gt;"Full day",'_Dates'!AA180=0),AND('_Dates'!V180&lt;&gt;"Full day",'_Dates'!AB180=0))),"CHECK half-day on non-working date",IF(COUNTIF(Settings!$G$7:$G$11,D180)&lt;&gt;1,"CHECK leave type",IF(AND(Bookings!G180&lt;&gt;"Approved",Bookings!G180&lt;&gt;"Pending",Bookings!G180&lt;&gt;"Cancelled"),"CHECK status","OK")))))))))),"CHECK input"))</ns0:f>
        <ns0:v/>
      </ns0:c>
      <ns0:c r="G180" s="0">
        <ns0:f>IF(OR(F180&lt;&gt;"OK",$B$6&gt;0),0,0.5*(IF(('_Dates'!X180)&lt;('_Dates'!W180),0,INT((('_Dates'!X180)-('_Dates'!W180)+1)/7)*LEN(SUBSTITUTE(W180,"O",""))+LEN(SUBSTITUTE(MID(W180&amp;W180,WEEKDAY(('_Dates'!W180),2),MOD((('_Dates'!X180)-('_Dates'!W180)+1),7)),"O",""))-COUNTIFS(INDEX(AllClosureRows,C180,0),"&gt;="&amp;('_Dates'!W180),INDEX(AllClosureRows,C180,0),"&lt;="&amp;('_Dates'!X180)))+IF(('_Dates'!Z180)&lt;('_Dates'!Y180),0,INT((('_Dates'!Z180)-('_Dates'!Y180)+1)/7)*LEN(SUBSTITUTE(W180,"O",""))+LEN(SUBSTITUTE(MID(W180&amp;W180,WEEKDAY(('_Dates'!Y180),2),MOD((('_Dates'!Z180)-('_Dates'!Y180)+1),7)),"O",""))-COUNTIFS(INDEX(AllClosureRows,C180,0),"&gt;="&amp;('_Dates'!Y180),INDEX(AllClosureRows,C180,0),"&lt;="&amp;('_Dates'!Z180)))))</ns0:f>
        <ns0:v>0</ns0:v>
      </ns0:c>
      <ns0:c r="H180" s="0">
        <ns0:f>IF(OR(F180&lt;&gt;"OK",$B$6&gt;0),0,0.5*(IF((MIN('_Dates'!X180,Settings!$B$9))&lt;('_Dates'!W180),0,INT(((MIN('_Dates'!X180,Settings!$B$9))-('_Dates'!W180)+1)/7)*LEN(SUBSTITUTE(W180,"O",""))+LEN(SUBSTITUTE(MID(W180&amp;W180,WEEKDAY(('_Dates'!W180),2),MOD(((MIN('_Dates'!X180,Settings!$B$9))-('_Dates'!W180)+1),7)),"O",""))-COUNTIFS(INDEX(AllClosureRows,C180,0),"&gt;="&amp;('_Dates'!W180),INDEX(AllClosureRows,C180,0),"&lt;="&amp;(MIN('_Dates'!X180,Settings!$B$9))))+IF((MIN('_Dates'!Z180,Settings!$B$9))&lt;('_Dates'!Y180),0,INT(((MIN('_Dates'!Z180,Settings!$B$9))-('_Dates'!Y180)+1)/7)*LEN(SUBSTITUTE(W180,"O",""))+LEN(SUBSTITUTE(MID(W180&amp;W180,WEEKDAY(('_Dates'!Y180),2),MOD(((MIN('_Dates'!Z180,Settings!$B$9))-('_Dates'!Y180)+1),7)),"O",""))-COUNTIFS(INDEX(AllClosureRows,C180,0),"&gt;="&amp;('_Dates'!Y180),INDEX(AllClosureRows,C180,0),"&lt;="&amp;(MIN('_Dates'!Z180,Settings!$B$9))))))</ns0:f>
        <ns0:v>0</ns0:v>
      </ns0:c>
      <ns0:c r="I180" s="0">
        <ns0:f>MAX(0,G180-H180)</ns0:f>
        <ns0:v>0</ns0:v>
      </ns0:c>
      <ns0:c r="J180" s="0">
        <ns0:f>IF(OR(A180=0,F180&lt;&gt;"OK",Bookings!G180="Cancelled",$B$6&gt;0),0,IF('_Dates'!AC180=1,MAX(0,COUNTIFS(rngEngine_B,B180,rngAMStart,"&lt;="&amp;'_Dates'!X180,rngAMEnd,"&gt;="&amp;'_Dates'!W180,rngAMActive,1,rngEngine_F,"OK",rngBookings_F,"&lt;&gt;Cancelled")-1),0)+IF('_Dates'!AD180=1,MAX(0,COUNTIFS(rngEngine_B,B180,rngPMStart,"&lt;="&amp;'_Dates'!Z180,rngPMEnd,"&gt;="&amp;'_Dates'!Y180,rngPMActive,1,rngEngine_F,"OK",rngBookings_F,"&lt;&gt;Cancelled")-1),0))</ns0:f>
        <ns0:v>0</ns0:v>
      </ns0:c>
      <ns0:c r="K180" s="0" t="str">
        <ns0:f>IF(A180=0,"",IF(F180&lt;&gt;"OK",F180,IF(J180&gt;0,"CHECK overlapping entry",IF(AND($B$6=0,G180&lt;=0,Bookings!G180&lt;&gt;"Cancelled"),"CHECK no working days",IF(Bookings!G180="Cancelled","Cancelled","OK")))))</ns0:f>
        <ns0:v/>
      </ns0:c>
      <ns0:c r="L180" s="0">
        <ns0:f>IF(LEFT(K180,5)="CHECK",1,0)</ns0:f>
        <ns0:v>0</ns0:v>
      </ns0:c>
      <ns0:c r="M180" s="0">
        <ns0:f>IF(AND(L180=1,OR(C180=0,IFERROR(INDEX($X$11:$X$60,C180),0)=0)),1,0)</ns0:f>
        <ns0:v>0</ns0:v>
      </ns0:c>
      <ns0:c r="N180" s="0">
        <ns0:f>IF(OR(A180=0,L180&gt;0,$B$6&gt;0,Bookings!G180="Cancelled"),0,G180)</ns0:f>
        <ns0:v>0</ns0:v>
      </ns0:c>
      <ns0:c r="O180" s="0">
        <ns0:f>IF(AND(Bookings!G180="Approved",E180="Yes"),N180,0)</ns0:f>
        <ns0:v>0</ns0:v>
      </ns0:c>
      <ns0:c r="P180" s="0">
        <ns0:f>IF(AND(Bookings!G180="Approved",E180="Yes",L180=0,$B$6=0),H180,0)</ns0:f>
        <ns0:v>0</ns0:v>
      </ns0:c>
      <ns0:c r="Q180" s="0">
        <ns0:f>IF(AND(Bookings!G180="Approved",E180="Yes",L180=0,$B$6=0),I180,0)</ns0:f>
        <ns0:v>0</ns0:v>
      </ns0:c>
      <ns0:c r="R180" s="0">
        <ns0:f>IF(AND(Bookings!G180="Pending",E180="Yes"),N180,0)</ns0:f>
        <ns0:v>0</ns0:v>
      </ns0:c>
      <ns0:c r="S180" s="0">
        <ns0:f>IF(AND(Bookings!G180="Approved",E180="No"),N180,0)</ns0:f>
        <ns0:v>0</ns0:v>
      </ns0:c>
      <ns0:c r="T180" s="0">
        <ns0:f>IFERROR(MATCH(D180,Settings!$G$7:$G$11,0),0)</ns0:f>
        <ns0:v>0</ns0:v>
      </ns0:c>
      <ns0:c r="U180" s="0">
        <ns0:f>IF(N180&gt;0,T180+IF(Bookings!G180="Pending",10,0),0)</ns0:f>
        <ns0:v>0</ns0:v>
      </ns0:c>
      <ns0:c r="V180" s="0">
        <ns0:f>U180</ns0:f>
        <ns0:v>0</ns0:v>
      </ns0:c>
      <ns0:c r="W180" s="0" t="str">
        <ns0:f>IF(C180=0,"",INDEX($AP$11:$AP$60,C180))</ns0:f>
        <ns0:v/>
      </ns0:c>
    </ns0:row>
    <ns0:row r="181">
      <ns0:c r="A181" s="0">
        <ns0:f>IF(COUNTA(Bookings!A181:G181,Bookings!I181)=0,0,1)</ns0:f>
        <ns0:v>0</ns0:v>
      </ns0:c>
      <ns0:c r="B181" s="0" t="str">
        <ns0:f>IFERROR(TRIM(MID(Bookings!A181,FIND(" · ",Bookings!A181)+3,99)),"")</ns0:f>
        <ns0:v/>
      </ns0:c>
      <ns0:c r="C181" s="0">
        <ns0:f>IF(OR(B181="",LEN(B181)&gt;24,ISNUMBER(FIND(" ",B181)),ISNUMBER(FIND("*",B181)),ISNUMBER(FIND("?",B181)),ISNUMBER(FIND("~",B181))),0,IFERROR(MATCH(B181,Team!$A$11:$A$60,0),0))</ns0:f>
        <ns0:v>0</ns0:v>
      </ns0:c>
      <ns0:c r="D181" s="0" t="str">
        <ns0:f>IFERROR(IF(MID(Bookings!F181,LEN(Bookings!F181)-3,3)=" · ",RIGHT(Bookings!F181,1),""),"")</ns0:f>
        <ns0:v/>
      </ns0:c>
      <ns0:c r="E181" s="0" t="str">
        <ns0:f>IFERROR(INDEX(Settings!$H$7:$H$11,MATCH(D181,Settings!$G$7:$G$11,0)),"")</ns0:f>
        <ns0:v/>
      </ns0:c>
      <ns0:c r="F181" s="0" t="str">
        <ns0:f>IF(A181=0,"",IFERROR(IF(OR(B181="",C181=0),"CHECK employee selection",IF(INDEX(Team!$O$11:$O$60,C181)&lt;&gt;"OK","CHECK employee setup",IF(OR('_Dates'!J181=0,'_Dates'!T181=0),"CHECK date: use DD.MM.YYYY",IF('_Dates'!T181&lt;'_Dates'!J181,"CHECK end before start",IF(AND($B$6=0,OR('_Dates'!J181&lt;Settings!$B$7,'_Dates'!T181&gt;Settings!$B$8)),"CHECK split across leave years",IF(OR(NOT(OR('_Dates'!U181="Full day",'_Dates'!U181="AM",'_Dates'!U181="PM")),NOT(OR('_Dates'!V181="Full day",'_Dates'!V181="AM",'_Dates'!V181="PM"))),"CHECK Full day / AM / PM",IF(AND('_Dates'!J181='_Dates'!T181,'_Dates'!U181&lt;&gt;"Full day",'_Dates'!V181&lt;&gt;"Full day",'_Dates'!U181&lt;&gt;'_Dates'!V181),"CHECK same-day portions disagree",IF(AND($B$6=0,OR(AND('_Dates'!U181&lt;&gt;"Full day",'_Dates'!AA181=0),AND('_Dates'!V181&lt;&gt;"Full day",'_Dates'!AB181=0))),"CHECK half-day on non-working date",IF(COUNTIF(Settings!$G$7:$G$11,D181)&lt;&gt;1,"CHECK leave type",IF(AND(Bookings!G181&lt;&gt;"Approved",Bookings!G181&lt;&gt;"Pending",Bookings!G181&lt;&gt;"Cancelled"),"CHECK status","OK")))))))))),"CHECK input"))</ns0:f>
        <ns0:v/>
      </ns0:c>
      <ns0:c r="G181" s="0">
        <ns0:f>IF(OR(F181&lt;&gt;"OK",$B$6&gt;0),0,0.5*(IF(('_Dates'!X181)&lt;('_Dates'!W181),0,INT((('_Dates'!X181)-('_Dates'!W181)+1)/7)*LEN(SUBSTITUTE(W181,"O",""))+LEN(SUBSTITUTE(MID(W181&amp;W181,WEEKDAY(('_Dates'!W181),2),MOD((('_Dates'!X181)-('_Dates'!W181)+1),7)),"O",""))-COUNTIFS(INDEX(AllClosureRows,C181,0),"&gt;="&amp;('_Dates'!W181),INDEX(AllClosureRows,C181,0),"&lt;="&amp;('_Dates'!X181)))+IF(('_Dates'!Z181)&lt;('_Dates'!Y181),0,INT((('_Dates'!Z181)-('_Dates'!Y181)+1)/7)*LEN(SUBSTITUTE(W181,"O",""))+LEN(SUBSTITUTE(MID(W181&amp;W181,WEEKDAY(('_Dates'!Y181),2),MOD((('_Dates'!Z181)-('_Dates'!Y181)+1),7)),"O",""))-COUNTIFS(INDEX(AllClosureRows,C181,0),"&gt;="&amp;('_Dates'!Y181),INDEX(AllClosureRows,C181,0),"&lt;="&amp;('_Dates'!Z181)))))</ns0:f>
        <ns0:v>0</ns0:v>
      </ns0:c>
      <ns0:c r="H181" s="0">
        <ns0:f>IF(OR(F181&lt;&gt;"OK",$B$6&gt;0),0,0.5*(IF((MIN('_Dates'!X181,Settings!$B$9))&lt;('_Dates'!W181),0,INT(((MIN('_Dates'!X181,Settings!$B$9))-('_Dates'!W181)+1)/7)*LEN(SUBSTITUTE(W181,"O",""))+LEN(SUBSTITUTE(MID(W181&amp;W181,WEEKDAY(('_Dates'!W181),2),MOD(((MIN('_Dates'!X181,Settings!$B$9))-('_Dates'!W181)+1),7)),"O",""))-COUNTIFS(INDEX(AllClosureRows,C181,0),"&gt;="&amp;('_Dates'!W181),INDEX(AllClosureRows,C181,0),"&lt;="&amp;(MIN('_Dates'!X181,Settings!$B$9))))+IF((MIN('_Dates'!Z181,Settings!$B$9))&lt;('_Dates'!Y181),0,INT(((MIN('_Dates'!Z181,Settings!$B$9))-('_Dates'!Y181)+1)/7)*LEN(SUBSTITUTE(W181,"O",""))+LEN(SUBSTITUTE(MID(W181&amp;W181,WEEKDAY(('_Dates'!Y181),2),MOD(((MIN('_Dates'!Z181,Settings!$B$9))-('_Dates'!Y181)+1),7)),"O",""))-COUNTIFS(INDEX(AllClosureRows,C181,0),"&gt;="&amp;('_Dates'!Y181),INDEX(AllClosureRows,C181,0),"&lt;="&amp;(MIN('_Dates'!Z181,Settings!$B$9))))))</ns0:f>
        <ns0:v>0</ns0:v>
      </ns0:c>
      <ns0:c r="I181" s="0">
        <ns0:f>MAX(0,G181-H181)</ns0:f>
        <ns0:v>0</ns0:v>
      </ns0:c>
      <ns0:c r="J181" s="0">
        <ns0:f>IF(OR(A181=0,F181&lt;&gt;"OK",Bookings!G181="Cancelled",$B$6&gt;0),0,IF('_Dates'!AC181=1,MAX(0,COUNTIFS(rngEngine_B,B181,rngAMStart,"&lt;="&amp;'_Dates'!X181,rngAMEnd,"&gt;="&amp;'_Dates'!W181,rngAMActive,1,rngEngine_F,"OK",rngBookings_F,"&lt;&gt;Cancelled")-1),0)+IF('_Dates'!AD181=1,MAX(0,COUNTIFS(rngEngine_B,B181,rngPMStart,"&lt;="&amp;'_Dates'!Z181,rngPMEnd,"&gt;="&amp;'_Dates'!Y181,rngPMActive,1,rngEngine_F,"OK",rngBookings_F,"&lt;&gt;Cancelled")-1),0))</ns0:f>
        <ns0:v>0</ns0:v>
      </ns0:c>
      <ns0:c r="K181" s="0" t="str">
        <ns0:f>IF(A181=0,"",IF(F181&lt;&gt;"OK",F181,IF(J181&gt;0,"CHECK overlapping entry",IF(AND($B$6=0,G181&lt;=0,Bookings!G181&lt;&gt;"Cancelled"),"CHECK no working days",IF(Bookings!G181="Cancelled","Cancelled","OK")))))</ns0:f>
        <ns0:v/>
      </ns0:c>
      <ns0:c r="L181" s="0">
        <ns0:f>IF(LEFT(K181,5)="CHECK",1,0)</ns0:f>
        <ns0:v>0</ns0:v>
      </ns0:c>
      <ns0:c r="M181" s="0">
        <ns0:f>IF(AND(L181=1,OR(C181=0,IFERROR(INDEX($X$11:$X$60,C181),0)=0)),1,0)</ns0:f>
        <ns0:v>0</ns0:v>
      </ns0:c>
      <ns0:c r="N181" s="0">
        <ns0:f>IF(OR(A181=0,L181&gt;0,$B$6&gt;0,Bookings!G181="Cancelled"),0,G181)</ns0:f>
        <ns0:v>0</ns0:v>
      </ns0:c>
      <ns0:c r="O181" s="0">
        <ns0:f>IF(AND(Bookings!G181="Approved",E181="Yes"),N181,0)</ns0:f>
        <ns0:v>0</ns0:v>
      </ns0:c>
      <ns0:c r="P181" s="0">
        <ns0:f>IF(AND(Bookings!G181="Approved",E181="Yes",L181=0,$B$6=0),H181,0)</ns0:f>
        <ns0:v>0</ns0:v>
      </ns0:c>
      <ns0:c r="Q181" s="0">
        <ns0:f>IF(AND(Bookings!G181="Approved",E181="Yes",L181=0,$B$6=0),I181,0)</ns0:f>
        <ns0:v>0</ns0:v>
      </ns0:c>
      <ns0:c r="R181" s="0">
        <ns0:f>IF(AND(Bookings!G181="Pending",E181="Yes"),N181,0)</ns0:f>
        <ns0:v>0</ns0:v>
      </ns0:c>
      <ns0:c r="S181" s="0">
        <ns0:f>IF(AND(Bookings!G181="Approved",E181="No"),N181,0)</ns0:f>
        <ns0:v>0</ns0:v>
      </ns0:c>
      <ns0:c r="T181" s="0">
        <ns0:f>IFERROR(MATCH(D181,Settings!$G$7:$G$11,0),0)</ns0:f>
        <ns0:v>0</ns0:v>
      </ns0:c>
      <ns0:c r="U181" s="0">
        <ns0:f>IF(N181&gt;0,T181+IF(Bookings!G181="Pending",10,0),0)</ns0:f>
        <ns0:v>0</ns0:v>
      </ns0:c>
      <ns0:c r="V181" s="0">
        <ns0:f>U181</ns0:f>
        <ns0:v>0</ns0:v>
      </ns0:c>
      <ns0:c r="W181" s="0" t="str">
        <ns0:f>IF(C181=0,"",INDEX($AP$11:$AP$60,C181))</ns0:f>
        <ns0:v/>
      </ns0:c>
    </ns0:row>
    <ns0:row r="182">
      <ns0:c r="A182" s="0">
        <ns0:f>IF(COUNTA(Bookings!A182:G182,Bookings!I182)=0,0,1)</ns0:f>
        <ns0:v>0</ns0:v>
      </ns0:c>
      <ns0:c r="B182" s="0" t="str">
        <ns0:f>IFERROR(TRIM(MID(Bookings!A182,FIND(" · ",Bookings!A182)+3,99)),"")</ns0:f>
        <ns0:v/>
      </ns0:c>
      <ns0:c r="C182" s="0">
        <ns0:f>IF(OR(B182="",LEN(B182)&gt;24,ISNUMBER(FIND(" ",B182)),ISNUMBER(FIND("*",B182)),ISNUMBER(FIND("?",B182)),ISNUMBER(FIND("~",B182))),0,IFERROR(MATCH(B182,Team!$A$11:$A$60,0),0))</ns0:f>
        <ns0:v>0</ns0:v>
      </ns0:c>
      <ns0:c r="D182" s="0" t="str">
        <ns0:f>IFERROR(IF(MID(Bookings!F182,LEN(Bookings!F182)-3,3)=" · ",RIGHT(Bookings!F182,1),""),"")</ns0:f>
        <ns0:v/>
      </ns0:c>
      <ns0:c r="E182" s="0" t="str">
        <ns0:f>IFERROR(INDEX(Settings!$H$7:$H$11,MATCH(D182,Settings!$G$7:$G$11,0)),"")</ns0:f>
        <ns0:v/>
      </ns0:c>
      <ns0:c r="F182" s="0" t="str">
        <ns0:f>IF(A182=0,"",IFERROR(IF(OR(B182="",C182=0),"CHECK employee selection",IF(INDEX(Team!$O$11:$O$60,C182)&lt;&gt;"OK","CHECK employee setup",IF(OR('_Dates'!J182=0,'_Dates'!T182=0),"CHECK date: use DD.MM.YYYY",IF('_Dates'!T182&lt;'_Dates'!J182,"CHECK end before start",IF(AND($B$6=0,OR('_Dates'!J182&lt;Settings!$B$7,'_Dates'!T182&gt;Settings!$B$8)),"CHECK split across leave years",IF(OR(NOT(OR('_Dates'!U182="Full day",'_Dates'!U182="AM",'_Dates'!U182="PM")),NOT(OR('_Dates'!V182="Full day",'_Dates'!V182="AM",'_Dates'!V182="PM"))),"CHECK Full day / AM / PM",IF(AND('_Dates'!J182='_Dates'!T182,'_Dates'!U182&lt;&gt;"Full day",'_Dates'!V182&lt;&gt;"Full day",'_Dates'!U182&lt;&gt;'_Dates'!V182),"CHECK same-day portions disagree",IF(AND($B$6=0,OR(AND('_Dates'!U182&lt;&gt;"Full day",'_Dates'!AA182=0),AND('_Dates'!V182&lt;&gt;"Full day",'_Dates'!AB182=0))),"CHECK half-day on non-working date",IF(COUNTIF(Settings!$G$7:$G$11,D182)&lt;&gt;1,"CHECK leave type",IF(AND(Bookings!G182&lt;&gt;"Approved",Bookings!G182&lt;&gt;"Pending",Bookings!G182&lt;&gt;"Cancelled"),"CHECK status","OK")))))))))),"CHECK input"))</ns0:f>
        <ns0:v/>
      </ns0:c>
      <ns0:c r="G182" s="0">
        <ns0:f>IF(OR(F182&lt;&gt;"OK",$B$6&gt;0),0,0.5*(IF(('_Dates'!X182)&lt;('_Dates'!W182),0,INT((('_Dates'!X182)-('_Dates'!W182)+1)/7)*LEN(SUBSTITUTE(W182,"O",""))+LEN(SUBSTITUTE(MID(W182&amp;W182,WEEKDAY(('_Dates'!W182),2),MOD((('_Dates'!X182)-('_Dates'!W182)+1),7)),"O",""))-COUNTIFS(INDEX(AllClosureRows,C182,0),"&gt;="&amp;('_Dates'!W182),INDEX(AllClosureRows,C182,0),"&lt;="&amp;('_Dates'!X182)))+IF(('_Dates'!Z182)&lt;('_Dates'!Y182),0,INT((('_Dates'!Z182)-('_Dates'!Y182)+1)/7)*LEN(SUBSTITUTE(W182,"O",""))+LEN(SUBSTITUTE(MID(W182&amp;W182,WEEKDAY(('_Dates'!Y182),2),MOD((('_Dates'!Z182)-('_Dates'!Y182)+1),7)),"O",""))-COUNTIFS(INDEX(AllClosureRows,C182,0),"&gt;="&amp;('_Dates'!Y182),INDEX(AllClosureRows,C182,0),"&lt;="&amp;('_Dates'!Z182)))))</ns0:f>
        <ns0:v>0</ns0:v>
      </ns0:c>
      <ns0:c r="H182" s="0">
        <ns0:f>IF(OR(F182&lt;&gt;"OK",$B$6&gt;0),0,0.5*(IF((MIN('_Dates'!X182,Settings!$B$9))&lt;('_Dates'!W182),0,INT(((MIN('_Dates'!X182,Settings!$B$9))-('_Dates'!W182)+1)/7)*LEN(SUBSTITUTE(W182,"O",""))+LEN(SUBSTITUTE(MID(W182&amp;W182,WEEKDAY(('_Dates'!W182),2),MOD(((MIN('_Dates'!X182,Settings!$B$9))-('_Dates'!W182)+1),7)),"O",""))-COUNTIFS(INDEX(AllClosureRows,C182,0),"&gt;="&amp;('_Dates'!W182),INDEX(AllClosureRows,C182,0),"&lt;="&amp;(MIN('_Dates'!X182,Settings!$B$9))))+IF((MIN('_Dates'!Z182,Settings!$B$9))&lt;('_Dates'!Y182),0,INT(((MIN('_Dates'!Z182,Settings!$B$9))-('_Dates'!Y182)+1)/7)*LEN(SUBSTITUTE(W182,"O",""))+LEN(SUBSTITUTE(MID(W182&amp;W182,WEEKDAY(('_Dates'!Y182),2),MOD(((MIN('_Dates'!Z182,Settings!$B$9))-('_Dates'!Y182)+1),7)),"O",""))-COUNTIFS(INDEX(AllClosureRows,C182,0),"&gt;="&amp;('_Dates'!Y182),INDEX(AllClosureRows,C182,0),"&lt;="&amp;(MIN('_Dates'!Z182,Settings!$B$9))))))</ns0:f>
        <ns0:v>0</ns0:v>
      </ns0:c>
      <ns0:c r="I182" s="0">
        <ns0:f>MAX(0,G182-H182)</ns0:f>
        <ns0:v>0</ns0:v>
      </ns0:c>
      <ns0:c r="J182" s="0">
        <ns0:f>IF(OR(A182=0,F182&lt;&gt;"OK",Bookings!G182="Cancelled",$B$6&gt;0),0,IF('_Dates'!AC182=1,MAX(0,COUNTIFS(rngEngine_B,B182,rngAMStart,"&lt;="&amp;'_Dates'!X182,rngAMEnd,"&gt;="&amp;'_Dates'!W182,rngAMActive,1,rngEngine_F,"OK",rngBookings_F,"&lt;&gt;Cancelled")-1),0)+IF('_Dates'!AD182=1,MAX(0,COUNTIFS(rngEngine_B,B182,rngPMStart,"&lt;="&amp;'_Dates'!Z182,rngPMEnd,"&gt;="&amp;'_Dates'!Y182,rngPMActive,1,rngEngine_F,"OK",rngBookings_F,"&lt;&gt;Cancelled")-1),0))</ns0:f>
        <ns0:v>0</ns0:v>
      </ns0:c>
      <ns0:c r="K182" s="0" t="str">
        <ns0:f>IF(A182=0,"",IF(F182&lt;&gt;"OK",F182,IF(J182&gt;0,"CHECK overlapping entry",IF(AND($B$6=0,G182&lt;=0,Bookings!G182&lt;&gt;"Cancelled"),"CHECK no working days",IF(Bookings!G182="Cancelled","Cancelled","OK")))))</ns0:f>
        <ns0:v/>
      </ns0:c>
      <ns0:c r="L182" s="0">
        <ns0:f>IF(LEFT(K182,5)="CHECK",1,0)</ns0:f>
        <ns0:v>0</ns0:v>
      </ns0:c>
      <ns0:c r="M182" s="0">
        <ns0:f>IF(AND(L182=1,OR(C182=0,IFERROR(INDEX($X$11:$X$60,C182),0)=0)),1,0)</ns0:f>
        <ns0:v>0</ns0:v>
      </ns0:c>
      <ns0:c r="N182" s="0">
        <ns0:f>IF(OR(A182=0,L182&gt;0,$B$6&gt;0,Bookings!G182="Cancelled"),0,G182)</ns0:f>
        <ns0:v>0</ns0:v>
      </ns0:c>
      <ns0:c r="O182" s="0">
        <ns0:f>IF(AND(Bookings!G182="Approved",E182="Yes"),N182,0)</ns0:f>
        <ns0:v>0</ns0:v>
      </ns0:c>
      <ns0:c r="P182" s="0">
        <ns0:f>IF(AND(Bookings!G182="Approved",E182="Yes",L182=0,$B$6=0),H182,0)</ns0:f>
        <ns0:v>0</ns0:v>
      </ns0:c>
      <ns0:c r="Q182" s="0">
        <ns0:f>IF(AND(Bookings!G182="Approved",E182="Yes",L182=0,$B$6=0),I182,0)</ns0:f>
        <ns0:v>0</ns0:v>
      </ns0:c>
      <ns0:c r="R182" s="0">
        <ns0:f>IF(AND(Bookings!G182="Pending",E182="Yes"),N182,0)</ns0:f>
        <ns0:v>0</ns0:v>
      </ns0:c>
      <ns0:c r="S182" s="0">
        <ns0:f>IF(AND(Bookings!G182="Approved",E182="No"),N182,0)</ns0:f>
        <ns0:v>0</ns0:v>
      </ns0:c>
      <ns0:c r="T182" s="0">
        <ns0:f>IFERROR(MATCH(D182,Settings!$G$7:$G$11,0),0)</ns0:f>
        <ns0:v>0</ns0:v>
      </ns0:c>
      <ns0:c r="U182" s="0">
        <ns0:f>IF(N182&gt;0,T182+IF(Bookings!G182="Pending",10,0),0)</ns0:f>
        <ns0:v>0</ns0:v>
      </ns0:c>
      <ns0:c r="V182" s="0">
        <ns0:f>U182</ns0:f>
        <ns0:v>0</ns0:v>
      </ns0:c>
      <ns0:c r="W182" s="0" t="str">
        <ns0:f>IF(C182=0,"",INDEX($AP$11:$AP$60,C182))</ns0:f>
        <ns0:v/>
      </ns0:c>
    </ns0:row>
    <ns0:row r="183">
      <ns0:c r="A183" s="0">
        <ns0:f>IF(COUNTA(Bookings!A183:G183,Bookings!I183)=0,0,1)</ns0:f>
        <ns0:v>0</ns0:v>
      </ns0:c>
      <ns0:c r="B183" s="0" t="str">
        <ns0:f>IFERROR(TRIM(MID(Bookings!A183,FIND(" · ",Bookings!A183)+3,99)),"")</ns0:f>
        <ns0:v/>
      </ns0:c>
      <ns0:c r="C183" s="0">
        <ns0:f>IF(OR(B183="",LEN(B183)&gt;24,ISNUMBER(FIND(" ",B183)),ISNUMBER(FIND("*",B183)),ISNUMBER(FIND("?",B183)),ISNUMBER(FIND("~",B183))),0,IFERROR(MATCH(B183,Team!$A$11:$A$60,0),0))</ns0:f>
        <ns0:v>0</ns0:v>
      </ns0:c>
      <ns0:c r="D183" s="0" t="str">
        <ns0:f>IFERROR(IF(MID(Bookings!F183,LEN(Bookings!F183)-3,3)=" · ",RIGHT(Bookings!F183,1),""),"")</ns0:f>
        <ns0:v/>
      </ns0:c>
      <ns0:c r="E183" s="0" t="str">
        <ns0:f>IFERROR(INDEX(Settings!$H$7:$H$11,MATCH(D183,Settings!$G$7:$G$11,0)),"")</ns0:f>
        <ns0:v/>
      </ns0:c>
      <ns0:c r="F183" s="0" t="str">
        <ns0:f>IF(A183=0,"",IFERROR(IF(OR(B183="",C183=0),"CHECK employee selection",IF(INDEX(Team!$O$11:$O$60,C183)&lt;&gt;"OK","CHECK employee setup",IF(OR('_Dates'!J183=0,'_Dates'!T183=0),"CHECK date: use DD.MM.YYYY",IF('_Dates'!T183&lt;'_Dates'!J183,"CHECK end before start",IF(AND($B$6=0,OR('_Dates'!J183&lt;Settings!$B$7,'_Dates'!T183&gt;Settings!$B$8)),"CHECK split across leave years",IF(OR(NOT(OR('_Dates'!U183="Full day",'_Dates'!U183="AM",'_Dates'!U183="PM")),NOT(OR('_Dates'!V183="Full day",'_Dates'!V183="AM",'_Dates'!V183="PM"))),"CHECK Full day / AM / PM",IF(AND('_Dates'!J183='_Dates'!T183,'_Dates'!U183&lt;&gt;"Full day",'_Dates'!V183&lt;&gt;"Full day",'_Dates'!U183&lt;&gt;'_Dates'!V183),"CHECK same-day portions disagree",IF(AND($B$6=0,OR(AND('_Dates'!U183&lt;&gt;"Full day",'_Dates'!AA183=0),AND('_Dates'!V183&lt;&gt;"Full day",'_Dates'!AB183=0))),"CHECK half-day on non-working date",IF(COUNTIF(Settings!$G$7:$G$11,D183)&lt;&gt;1,"CHECK leave type",IF(AND(Bookings!G183&lt;&gt;"Approved",Bookings!G183&lt;&gt;"Pending",Bookings!G183&lt;&gt;"Cancelled"),"CHECK status","OK")))))))))),"CHECK input"))</ns0:f>
        <ns0:v/>
      </ns0:c>
      <ns0:c r="G183" s="0">
        <ns0:f>IF(OR(F183&lt;&gt;"OK",$B$6&gt;0),0,0.5*(IF(('_Dates'!X183)&lt;('_Dates'!W183),0,INT((('_Dates'!X183)-('_Dates'!W183)+1)/7)*LEN(SUBSTITUTE(W183,"O",""))+LEN(SUBSTITUTE(MID(W183&amp;W183,WEEKDAY(('_Dates'!W183),2),MOD((('_Dates'!X183)-('_Dates'!W183)+1),7)),"O",""))-COUNTIFS(INDEX(AllClosureRows,C183,0),"&gt;="&amp;('_Dates'!W183),INDEX(AllClosureRows,C183,0),"&lt;="&amp;('_Dates'!X183)))+IF(('_Dates'!Z183)&lt;('_Dates'!Y183),0,INT((('_Dates'!Z183)-('_Dates'!Y183)+1)/7)*LEN(SUBSTITUTE(W183,"O",""))+LEN(SUBSTITUTE(MID(W183&amp;W183,WEEKDAY(('_Dates'!Y183),2),MOD((('_Dates'!Z183)-('_Dates'!Y183)+1),7)),"O",""))-COUNTIFS(INDEX(AllClosureRows,C183,0),"&gt;="&amp;('_Dates'!Y183),INDEX(AllClosureRows,C183,0),"&lt;="&amp;('_Dates'!Z183)))))</ns0:f>
        <ns0:v>0</ns0:v>
      </ns0:c>
      <ns0:c r="H183" s="0">
        <ns0:f>IF(OR(F183&lt;&gt;"OK",$B$6&gt;0),0,0.5*(IF((MIN('_Dates'!X183,Settings!$B$9))&lt;('_Dates'!W183),0,INT(((MIN('_Dates'!X183,Settings!$B$9))-('_Dates'!W183)+1)/7)*LEN(SUBSTITUTE(W183,"O",""))+LEN(SUBSTITUTE(MID(W183&amp;W183,WEEKDAY(('_Dates'!W183),2),MOD(((MIN('_Dates'!X183,Settings!$B$9))-('_Dates'!W183)+1),7)),"O",""))-COUNTIFS(INDEX(AllClosureRows,C183,0),"&gt;="&amp;('_Dates'!W183),INDEX(AllClosureRows,C183,0),"&lt;="&amp;(MIN('_Dates'!X183,Settings!$B$9))))+IF((MIN('_Dates'!Z183,Settings!$B$9))&lt;('_Dates'!Y183),0,INT(((MIN('_Dates'!Z183,Settings!$B$9))-('_Dates'!Y183)+1)/7)*LEN(SUBSTITUTE(W183,"O",""))+LEN(SUBSTITUTE(MID(W183&amp;W183,WEEKDAY(('_Dates'!Y183),2),MOD(((MIN('_Dates'!Z183,Settings!$B$9))-('_Dates'!Y183)+1),7)),"O",""))-COUNTIFS(INDEX(AllClosureRows,C183,0),"&gt;="&amp;('_Dates'!Y183),INDEX(AllClosureRows,C183,0),"&lt;="&amp;(MIN('_Dates'!Z183,Settings!$B$9))))))</ns0:f>
        <ns0:v>0</ns0:v>
      </ns0:c>
      <ns0:c r="I183" s="0">
        <ns0:f>MAX(0,G183-H183)</ns0:f>
        <ns0:v>0</ns0:v>
      </ns0:c>
      <ns0:c r="J183" s="0">
        <ns0:f>IF(OR(A183=0,F183&lt;&gt;"OK",Bookings!G183="Cancelled",$B$6&gt;0),0,IF('_Dates'!AC183=1,MAX(0,COUNTIFS(rngEngine_B,B183,rngAMStart,"&lt;="&amp;'_Dates'!X183,rngAMEnd,"&gt;="&amp;'_Dates'!W183,rngAMActive,1,rngEngine_F,"OK",rngBookings_F,"&lt;&gt;Cancelled")-1),0)+IF('_Dates'!AD183=1,MAX(0,COUNTIFS(rngEngine_B,B183,rngPMStart,"&lt;="&amp;'_Dates'!Z183,rngPMEnd,"&gt;="&amp;'_Dates'!Y183,rngPMActive,1,rngEngine_F,"OK",rngBookings_F,"&lt;&gt;Cancelled")-1),0))</ns0:f>
        <ns0:v>0</ns0:v>
      </ns0:c>
      <ns0:c r="K183" s="0" t="str">
        <ns0:f>IF(A183=0,"",IF(F183&lt;&gt;"OK",F183,IF(J183&gt;0,"CHECK overlapping entry",IF(AND($B$6=0,G183&lt;=0,Bookings!G183&lt;&gt;"Cancelled"),"CHECK no working days",IF(Bookings!G183="Cancelled","Cancelled","OK")))))</ns0:f>
        <ns0:v/>
      </ns0:c>
      <ns0:c r="L183" s="0">
        <ns0:f>IF(LEFT(K183,5)="CHECK",1,0)</ns0:f>
        <ns0:v>0</ns0:v>
      </ns0:c>
      <ns0:c r="M183" s="0">
        <ns0:f>IF(AND(L183=1,OR(C183=0,IFERROR(INDEX($X$11:$X$60,C183),0)=0)),1,0)</ns0:f>
        <ns0:v>0</ns0:v>
      </ns0:c>
      <ns0:c r="N183" s="0">
        <ns0:f>IF(OR(A183=0,L183&gt;0,$B$6&gt;0,Bookings!G183="Cancelled"),0,G183)</ns0:f>
        <ns0:v>0</ns0:v>
      </ns0:c>
      <ns0:c r="O183" s="0">
        <ns0:f>IF(AND(Bookings!G183="Approved",E183="Yes"),N183,0)</ns0:f>
        <ns0:v>0</ns0:v>
      </ns0:c>
      <ns0:c r="P183" s="0">
        <ns0:f>IF(AND(Bookings!G183="Approved",E183="Yes",L183=0,$B$6=0),H183,0)</ns0:f>
        <ns0:v>0</ns0:v>
      </ns0:c>
      <ns0:c r="Q183" s="0">
        <ns0:f>IF(AND(Bookings!G183="Approved",E183="Yes",L183=0,$B$6=0),I183,0)</ns0:f>
        <ns0:v>0</ns0:v>
      </ns0:c>
      <ns0:c r="R183" s="0">
        <ns0:f>IF(AND(Bookings!G183="Pending",E183="Yes"),N183,0)</ns0:f>
        <ns0:v>0</ns0:v>
      </ns0:c>
      <ns0:c r="S183" s="0">
        <ns0:f>IF(AND(Bookings!G183="Approved",E183="No"),N183,0)</ns0:f>
        <ns0:v>0</ns0:v>
      </ns0:c>
      <ns0:c r="T183" s="0">
        <ns0:f>IFERROR(MATCH(D183,Settings!$G$7:$G$11,0),0)</ns0:f>
        <ns0:v>0</ns0:v>
      </ns0:c>
      <ns0:c r="U183" s="0">
        <ns0:f>IF(N183&gt;0,T183+IF(Bookings!G183="Pending",10,0),0)</ns0:f>
        <ns0:v>0</ns0:v>
      </ns0:c>
      <ns0:c r="V183" s="0">
        <ns0:f>U183</ns0:f>
        <ns0:v>0</ns0:v>
      </ns0:c>
      <ns0:c r="W183" s="0" t="str">
        <ns0:f>IF(C183=0,"",INDEX($AP$11:$AP$60,C183))</ns0:f>
        <ns0:v/>
      </ns0:c>
    </ns0:row>
    <ns0:row r="184">
      <ns0:c r="A184" s="0">
        <ns0:f>IF(COUNTA(Bookings!A184:G184,Bookings!I184)=0,0,1)</ns0:f>
        <ns0:v>0</ns0:v>
      </ns0:c>
      <ns0:c r="B184" s="0" t="str">
        <ns0:f>IFERROR(TRIM(MID(Bookings!A184,FIND(" · ",Bookings!A184)+3,99)),"")</ns0:f>
        <ns0:v/>
      </ns0:c>
      <ns0:c r="C184" s="0">
        <ns0:f>IF(OR(B184="",LEN(B184)&gt;24,ISNUMBER(FIND(" ",B184)),ISNUMBER(FIND("*",B184)),ISNUMBER(FIND("?",B184)),ISNUMBER(FIND("~",B184))),0,IFERROR(MATCH(B184,Team!$A$11:$A$60,0),0))</ns0:f>
        <ns0:v>0</ns0:v>
      </ns0:c>
      <ns0:c r="D184" s="0" t="str">
        <ns0:f>IFERROR(IF(MID(Bookings!F184,LEN(Bookings!F184)-3,3)=" · ",RIGHT(Bookings!F184,1),""),"")</ns0:f>
        <ns0:v/>
      </ns0:c>
      <ns0:c r="E184" s="0" t="str">
        <ns0:f>IFERROR(INDEX(Settings!$H$7:$H$11,MATCH(D184,Settings!$G$7:$G$11,0)),"")</ns0:f>
        <ns0:v/>
      </ns0:c>
      <ns0:c r="F184" s="0" t="str">
        <ns0:f>IF(A184=0,"",IFERROR(IF(OR(B184="",C184=0),"CHECK employee selection",IF(INDEX(Team!$O$11:$O$60,C184)&lt;&gt;"OK","CHECK employee setup",IF(OR('_Dates'!J184=0,'_Dates'!T184=0),"CHECK date: use DD.MM.YYYY",IF('_Dates'!T184&lt;'_Dates'!J184,"CHECK end before start",IF(AND($B$6=0,OR('_Dates'!J184&lt;Settings!$B$7,'_Dates'!T184&gt;Settings!$B$8)),"CHECK split across leave years",IF(OR(NOT(OR('_Dates'!U184="Full day",'_Dates'!U184="AM",'_Dates'!U184="PM")),NOT(OR('_Dates'!V184="Full day",'_Dates'!V184="AM",'_Dates'!V184="PM"))),"CHECK Full day / AM / PM",IF(AND('_Dates'!J184='_Dates'!T184,'_Dates'!U184&lt;&gt;"Full day",'_Dates'!V184&lt;&gt;"Full day",'_Dates'!U184&lt;&gt;'_Dates'!V184),"CHECK same-day portions disagree",IF(AND($B$6=0,OR(AND('_Dates'!U184&lt;&gt;"Full day",'_Dates'!AA184=0),AND('_Dates'!V184&lt;&gt;"Full day",'_Dates'!AB184=0))),"CHECK half-day on non-working date",IF(COUNTIF(Settings!$G$7:$G$11,D184)&lt;&gt;1,"CHECK leave type",IF(AND(Bookings!G184&lt;&gt;"Approved",Bookings!G184&lt;&gt;"Pending",Bookings!G184&lt;&gt;"Cancelled"),"CHECK status","OK")))))))))),"CHECK input"))</ns0:f>
        <ns0:v/>
      </ns0:c>
      <ns0:c r="G184" s="0">
        <ns0:f>IF(OR(F184&lt;&gt;"OK",$B$6&gt;0),0,0.5*(IF(('_Dates'!X184)&lt;('_Dates'!W184),0,INT((('_Dates'!X184)-('_Dates'!W184)+1)/7)*LEN(SUBSTITUTE(W184,"O",""))+LEN(SUBSTITUTE(MID(W184&amp;W184,WEEKDAY(('_Dates'!W184),2),MOD((('_Dates'!X184)-('_Dates'!W184)+1),7)),"O",""))-COUNTIFS(INDEX(AllClosureRows,C184,0),"&gt;="&amp;('_Dates'!W184),INDEX(AllClosureRows,C184,0),"&lt;="&amp;('_Dates'!X184)))+IF(('_Dates'!Z184)&lt;('_Dates'!Y184),0,INT((('_Dates'!Z184)-('_Dates'!Y184)+1)/7)*LEN(SUBSTITUTE(W184,"O",""))+LEN(SUBSTITUTE(MID(W184&amp;W184,WEEKDAY(('_Dates'!Y184),2),MOD((('_Dates'!Z184)-('_Dates'!Y184)+1),7)),"O",""))-COUNTIFS(INDEX(AllClosureRows,C184,0),"&gt;="&amp;('_Dates'!Y184),INDEX(AllClosureRows,C184,0),"&lt;="&amp;('_Dates'!Z184)))))</ns0:f>
        <ns0:v>0</ns0:v>
      </ns0:c>
      <ns0:c r="H184" s="0">
        <ns0:f>IF(OR(F184&lt;&gt;"OK",$B$6&gt;0),0,0.5*(IF((MIN('_Dates'!X184,Settings!$B$9))&lt;('_Dates'!W184),0,INT(((MIN('_Dates'!X184,Settings!$B$9))-('_Dates'!W184)+1)/7)*LEN(SUBSTITUTE(W184,"O",""))+LEN(SUBSTITUTE(MID(W184&amp;W184,WEEKDAY(('_Dates'!W184),2),MOD(((MIN('_Dates'!X184,Settings!$B$9))-('_Dates'!W184)+1),7)),"O",""))-COUNTIFS(INDEX(AllClosureRows,C184,0),"&gt;="&amp;('_Dates'!W184),INDEX(AllClosureRows,C184,0),"&lt;="&amp;(MIN('_Dates'!X184,Settings!$B$9))))+IF((MIN('_Dates'!Z184,Settings!$B$9))&lt;('_Dates'!Y184),0,INT(((MIN('_Dates'!Z184,Settings!$B$9))-('_Dates'!Y184)+1)/7)*LEN(SUBSTITUTE(W184,"O",""))+LEN(SUBSTITUTE(MID(W184&amp;W184,WEEKDAY(('_Dates'!Y184),2),MOD(((MIN('_Dates'!Z184,Settings!$B$9))-('_Dates'!Y184)+1),7)),"O",""))-COUNTIFS(INDEX(AllClosureRows,C184,0),"&gt;="&amp;('_Dates'!Y184),INDEX(AllClosureRows,C184,0),"&lt;="&amp;(MIN('_Dates'!Z184,Settings!$B$9))))))</ns0:f>
        <ns0:v>0</ns0:v>
      </ns0:c>
      <ns0:c r="I184" s="0">
        <ns0:f>MAX(0,G184-H184)</ns0:f>
        <ns0:v>0</ns0:v>
      </ns0:c>
      <ns0:c r="J184" s="0">
        <ns0:f>IF(OR(A184=0,F184&lt;&gt;"OK",Bookings!G184="Cancelled",$B$6&gt;0),0,IF('_Dates'!AC184=1,MAX(0,COUNTIFS(rngEngine_B,B184,rngAMStart,"&lt;="&amp;'_Dates'!X184,rngAMEnd,"&gt;="&amp;'_Dates'!W184,rngAMActive,1,rngEngine_F,"OK",rngBookings_F,"&lt;&gt;Cancelled")-1),0)+IF('_Dates'!AD184=1,MAX(0,COUNTIFS(rngEngine_B,B184,rngPMStart,"&lt;="&amp;'_Dates'!Z184,rngPMEnd,"&gt;="&amp;'_Dates'!Y184,rngPMActive,1,rngEngine_F,"OK",rngBookings_F,"&lt;&gt;Cancelled")-1),0))</ns0:f>
        <ns0:v>0</ns0:v>
      </ns0:c>
      <ns0:c r="K184" s="0" t="str">
        <ns0:f>IF(A184=0,"",IF(F184&lt;&gt;"OK",F184,IF(J184&gt;0,"CHECK overlapping entry",IF(AND($B$6=0,G184&lt;=0,Bookings!G184&lt;&gt;"Cancelled"),"CHECK no working days",IF(Bookings!G184="Cancelled","Cancelled","OK")))))</ns0:f>
        <ns0:v/>
      </ns0:c>
      <ns0:c r="L184" s="0">
        <ns0:f>IF(LEFT(K184,5)="CHECK",1,0)</ns0:f>
        <ns0:v>0</ns0:v>
      </ns0:c>
      <ns0:c r="M184" s="0">
        <ns0:f>IF(AND(L184=1,OR(C184=0,IFERROR(INDEX($X$11:$X$60,C184),0)=0)),1,0)</ns0:f>
        <ns0:v>0</ns0:v>
      </ns0:c>
      <ns0:c r="N184" s="0">
        <ns0:f>IF(OR(A184=0,L184&gt;0,$B$6&gt;0,Bookings!G184="Cancelled"),0,G184)</ns0:f>
        <ns0:v>0</ns0:v>
      </ns0:c>
      <ns0:c r="O184" s="0">
        <ns0:f>IF(AND(Bookings!G184="Approved",E184="Yes"),N184,0)</ns0:f>
        <ns0:v>0</ns0:v>
      </ns0:c>
      <ns0:c r="P184" s="0">
        <ns0:f>IF(AND(Bookings!G184="Approved",E184="Yes",L184=0,$B$6=0),H184,0)</ns0:f>
        <ns0:v>0</ns0:v>
      </ns0:c>
      <ns0:c r="Q184" s="0">
        <ns0:f>IF(AND(Bookings!G184="Approved",E184="Yes",L184=0,$B$6=0),I184,0)</ns0:f>
        <ns0:v>0</ns0:v>
      </ns0:c>
      <ns0:c r="R184" s="0">
        <ns0:f>IF(AND(Bookings!G184="Pending",E184="Yes"),N184,0)</ns0:f>
        <ns0:v>0</ns0:v>
      </ns0:c>
      <ns0:c r="S184" s="0">
        <ns0:f>IF(AND(Bookings!G184="Approved",E184="No"),N184,0)</ns0:f>
        <ns0:v>0</ns0:v>
      </ns0:c>
      <ns0:c r="T184" s="0">
        <ns0:f>IFERROR(MATCH(D184,Settings!$G$7:$G$11,0),0)</ns0:f>
        <ns0:v>0</ns0:v>
      </ns0:c>
      <ns0:c r="U184" s="0">
        <ns0:f>IF(N184&gt;0,T184+IF(Bookings!G184="Pending",10,0),0)</ns0:f>
        <ns0:v>0</ns0:v>
      </ns0:c>
      <ns0:c r="V184" s="0">
        <ns0:f>U184</ns0:f>
        <ns0:v>0</ns0:v>
      </ns0:c>
      <ns0:c r="W184" s="0" t="str">
        <ns0:f>IF(C184=0,"",INDEX($AP$11:$AP$60,C184))</ns0:f>
        <ns0:v/>
      </ns0:c>
    </ns0:row>
    <ns0:row r="185">
      <ns0:c r="A185" s="0">
        <ns0:f>IF(COUNTA(Bookings!A185:G185,Bookings!I185)=0,0,1)</ns0:f>
        <ns0:v>0</ns0:v>
      </ns0:c>
      <ns0:c r="B185" s="0" t="str">
        <ns0:f>IFERROR(TRIM(MID(Bookings!A185,FIND(" · ",Bookings!A185)+3,99)),"")</ns0:f>
        <ns0:v/>
      </ns0:c>
      <ns0:c r="C185" s="0">
        <ns0:f>IF(OR(B185="",LEN(B185)&gt;24,ISNUMBER(FIND(" ",B185)),ISNUMBER(FIND("*",B185)),ISNUMBER(FIND("?",B185)),ISNUMBER(FIND("~",B185))),0,IFERROR(MATCH(B185,Team!$A$11:$A$60,0),0))</ns0:f>
        <ns0:v>0</ns0:v>
      </ns0:c>
      <ns0:c r="D185" s="0" t="str">
        <ns0:f>IFERROR(IF(MID(Bookings!F185,LEN(Bookings!F185)-3,3)=" · ",RIGHT(Bookings!F185,1),""),"")</ns0:f>
        <ns0:v/>
      </ns0:c>
      <ns0:c r="E185" s="0" t="str">
        <ns0:f>IFERROR(INDEX(Settings!$H$7:$H$11,MATCH(D185,Settings!$G$7:$G$11,0)),"")</ns0:f>
        <ns0:v/>
      </ns0:c>
      <ns0:c r="F185" s="0" t="str">
        <ns0:f>IF(A185=0,"",IFERROR(IF(OR(B185="",C185=0),"CHECK employee selection",IF(INDEX(Team!$O$11:$O$60,C185)&lt;&gt;"OK","CHECK employee setup",IF(OR('_Dates'!J185=0,'_Dates'!T185=0),"CHECK date: use DD.MM.YYYY",IF('_Dates'!T185&lt;'_Dates'!J185,"CHECK end before start",IF(AND($B$6=0,OR('_Dates'!J185&lt;Settings!$B$7,'_Dates'!T185&gt;Settings!$B$8)),"CHECK split across leave years",IF(OR(NOT(OR('_Dates'!U185="Full day",'_Dates'!U185="AM",'_Dates'!U185="PM")),NOT(OR('_Dates'!V185="Full day",'_Dates'!V185="AM",'_Dates'!V185="PM"))),"CHECK Full day / AM / PM",IF(AND('_Dates'!J185='_Dates'!T185,'_Dates'!U185&lt;&gt;"Full day",'_Dates'!V185&lt;&gt;"Full day",'_Dates'!U185&lt;&gt;'_Dates'!V185),"CHECK same-day portions disagree",IF(AND($B$6=0,OR(AND('_Dates'!U185&lt;&gt;"Full day",'_Dates'!AA185=0),AND('_Dates'!V185&lt;&gt;"Full day",'_Dates'!AB185=0))),"CHECK half-day on non-working date",IF(COUNTIF(Settings!$G$7:$G$11,D185)&lt;&gt;1,"CHECK leave type",IF(AND(Bookings!G185&lt;&gt;"Approved",Bookings!G185&lt;&gt;"Pending",Bookings!G185&lt;&gt;"Cancelled"),"CHECK status","OK")))))))))),"CHECK input"))</ns0:f>
        <ns0:v/>
      </ns0:c>
      <ns0:c r="G185" s="0">
        <ns0:f>IF(OR(F185&lt;&gt;"OK",$B$6&gt;0),0,0.5*(IF(('_Dates'!X185)&lt;('_Dates'!W185),0,INT((('_Dates'!X185)-('_Dates'!W185)+1)/7)*LEN(SUBSTITUTE(W185,"O",""))+LEN(SUBSTITUTE(MID(W185&amp;W185,WEEKDAY(('_Dates'!W185),2),MOD((('_Dates'!X185)-('_Dates'!W185)+1),7)),"O",""))-COUNTIFS(INDEX(AllClosureRows,C185,0),"&gt;="&amp;('_Dates'!W185),INDEX(AllClosureRows,C185,0),"&lt;="&amp;('_Dates'!X185)))+IF(('_Dates'!Z185)&lt;('_Dates'!Y185),0,INT((('_Dates'!Z185)-('_Dates'!Y185)+1)/7)*LEN(SUBSTITUTE(W185,"O",""))+LEN(SUBSTITUTE(MID(W185&amp;W185,WEEKDAY(('_Dates'!Y185),2),MOD((('_Dates'!Z185)-('_Dates'!Y185)+1),7)),"O",""))-COUNTIFS(INDEX(AllClosureRows,C185,0),"&gt;="&amp;('_Dates'!Y185),INDEX(AllClosureRows,C185,0),"&lt;="&amp;('_Dates'!Z185)))))</ns0:f>
        <ns0:v>0</ns0:v>
      </ns0:c>
      <ns0:c r="H185" s="0">
        <ns0:f>IF(OR(F185&lt;&gt;"OK",$B$6&gt;0),0,0.5*(IF((MIN('_Dates'!X185,Settings!$B$9))&lt;('_Dates'!W185),0,INT(((MIN('_Dates'!X185,Settings!$B$9))-('_Dates'!W185)+1)/7)*LEN(SUBSTITUTE(W185,"O",""))+LEN(SUBSTITUTE(MID(W185&amp;W185,WEEKDAY(('_Dates'!W185),2),MOD(((MIN('_Dates'!X185,Settings!$B$9))-('_Dates'!W185)+1),7)),"O",""))-COUNTIFS(INDEX(AllClosureRows,C185,0),"&gt;="&amp;('_Dates'!W185),INDEX(AllClosureRows,C185,0),"&lt;="&amp;(MIN('_Dates'!X185,Settings!$B$9))))+IF((MIN('_Dates'!Z185,Settings!$B$9))&lt;('_Dates'!Y185),0,INT(((MIN('_Dates'!Z185,Settings!$B$9))-('_Dates'!Y185)+1)/7)*LEN(SUBSTITUTE(W185,"O",""))+LEN(SUBSTITUTE(MID(W185&amp;W185,WEEKDAY(('_Dates'!Y185),2),MOD(((MIN('_Dates'!Z185,Settings!$B$9))-('_Dates'!Y185)+1),7)),"O",""))-COUNTIFS(INDEX(AllClosureRows,C185,0),"&gt;="&amp;('_Dates'!Y185),INDEX(AllClosureRows,C185,0),"&lt;="&amp;(MIN('_Dates'!Z185,Settings!$B$9))))))</ns0:f>
        <ns0:v>0</ns0:v>
      </ns0:c>
      <ns0:c r="I185" s="0">
        <ns0:f>MAX(0,G185-H185)</ns0:f>
        <ns0:v>0</ns0:v>
      </ns0:c>
      <ns0:c r="J185" s="0">
        <ns0:f>IF(OR(A185=0,F185&lt;&gt;"OK",Bookings!G185="Cancelled",$B$6&gt;0),0,IF('_Dates'!AC185=1,MAX(0,COUNTIFS(rngEngine_B,B185,rngAMStart,"&lt;="&amp;'_Dates'!X185,rngAMEnd,"&gt;="&amp;'_Dates'!W185,rngAMActive,1,rngEngine_F,"OK",rngBookings_F,"&lt;&gt;Cancelled")-1),0)+IF('_Dates'!AD185=1,MAX(0,COUNTIFS(rngEngine_B,B185,rngPMStart,"&lt;="&amp;'_Dates'!Z185,rngPMEnd,"&gt;="&amp;'_Dates'!Y185,rngPMActive,1,rngEngine_F,"OK",rngBookings_F,"&lt;&gt;Cancelled")-1),0))</ns0:f>
        <ns0:v>0</ns0:v>
      </ns0:c>
      <ns0:c r="K185" s="0" t="str">
        <ns0:f>IF(A185=0,"",IF(F185&lt;&gt;"OK",F185,IF(J185&gt;0,"CHECK overlapping entry",IF(AND($B$6=0,G185&lt;=0,Bookings!G185&lt;&gt;"Cancelled"),"CHECK no working days",IF(Bookings!G185="Cancelled","Cancelled","OK")))))</ns0:f>
        <ns0:v/>
      </ns0:c>
      <ns0:c r="L185" s="0">
        <ns0:f>IF(LEFT(K185,5)="CHECK",1,0)</ns0:f>
        <ns0:v>0</ns0:v>
      </ns0:c>
      <ns0:c r="M185" s="0">
        <ns0:f>IF(AND(L185=1,OR(C185=0,IFERROR(INDEX($X$11:$X$60,C185),0)=0)),1,0)</ns0:f>
        <ns0:v>0</ns0:v>
      </ns0:c>
      <ns0:c r="N185" s="0">
        <ns0:f>IF(OR(A185=0,L185&gt;0,$B$6&gt;0,Bookings!G185="Cancelled"),0,G185)</ns0:f>
        <ns0:v>0</ns0:v>
      </ns0:c>
      <ns0:c r="O185" s="0">
        <ns0:f>IF(AND(Bookings!G185="Approved",E185="Yes"),N185,0)</ns0:f>
        <ns0:v>0</ns0:v>
      </ns0:c>
      <ns0:c r="P185" s="0">
        <ns0:f>IF(AND(Bookings!G185="Approved",E185="Yes",L185=0,$B$6=0),H185,0)</ns0:f>
        <ns0:v>0</ns0:v>
      </ns0:c>
      <ns0:c r="Q185" s="0">
        <ns0:f>IF(AND(Bookings!G185="Approved",E185="Yes",L185=0,$B$6=0),I185,0)</ns0:f>
        <ns0:v>0</ns0:v>
      </ns0:c>
      <ns0:c r="R185" s="0">
        <ns0:f>IF(AND(Bookings!G185="Pending",E185="Yes"),N185,0)</ns0:f>
        <ns0:v>0</ns0:v>
      </ns0:c>
      <ns0:c r="S185" s="0">
        <ns0:f>IF(AND(Bookings!G185="Approved",E185="No"),N185,0)</ns0:f>
        <ns0:v>0</ns0:v>
      </ns0:c>
      <ns0:c r="T185" s="0">
        <ns0:f>IFERROR(MATCH(D185,Settings!$G$7:$G$11,0),0)</ns0:f>
        <ns0:v>0</ns0:v>
      </ns0:c>
      <ns0:c r="U185" s="0">
        <ns0:f>IF(N185&gt;0,T185+IF(Bookings!G185="Pending",10,0),0)</ns0:f>
        <ns0:v>0</ns0:v>
      </ns0:c>
      <ns0:c r="V185" s="0">
        <ns0:f>U185</ns0:f>
        <ns0:v>0</ns0:v>
      </ns0:c>
      <ns0:c r="W185" s="0" t="str">
        <ns0:f>IF(C185=0,"",INDEX($AP$11:$AP$60,C185))</ns0:f>
        <ns0:v/>
      </ns0:c>
    </ns0:row>
    <ns0:row r="186">
      <ns0:c r="A186" s="0">
        <ns0:f>IF(COUNTA(Bookings!A186:G186,Bookings!I186)=0,0,1)</ns0:f>
        <ns0:v>0</ns0:v>
      </ns0:c>
      <ns0:c r="B186" s="0" t="str">
        <ns0:f>IFERROR(TRIM(MID(Bookings!A186,FIND(" · ",Bookings!A186)+3,99)),"")</ns0:f>
        <ns0:v/>
      </ns0:c>
      <ns0:c r="C186" s="0">
        <ns0:f>IF(OR(B186="",LEN(B186)&gt;24,ISNUMBER(FIND(" ",B186)),ISNUMBER(FIND("*",B186)),ISNUMBER(FIND("?",B186)),ISNUMBER(FIND("~",B186))),0,IFERROR(MATCH(B186,Team!$A$11:$A$60,0),0))</ns0:f>
        <ns0:v>0</ns0:v>
      </ns0:c>
      <ns0:c r="D186" s="0" t="str">
        <ns0:f>IFERROR(IF(MID(Bookings!F186,LEN(Bookings!F186)-3,3)=" · ",RIGHT(Bookings!F186,1),""),"")</ns0:f>
        <ns0:v/>
      </ns0:c>
      <ns0:c r="E186" s="0" t="str">
        <ns0:f>IFERROR(INDEX(Settings!$H$7:$H$11,MATCH(D186,Settings!$G$7:$G$11,0)),"")</ns0:f>
        <ns0:v/>
      </ns0:c>
      <ns0:c r="F186" s="0" t="str">
        <ns0:f>IF(A186=0,"",IFERROR(IF(OR(B186="",C186=0),"CHECK employee selection",IF(INDEX(Team!$O$11:$O$60,C186)&lt;&gt;"OK","CHECK employee setup",IF(OR('_Dates'!J186=0,'_Dates'!T186=0),"CHECK date: use DD.MM.YYYY",IF('_Dates'!T186&lt;'_Dates'!J186,"CHECK end before start",IF(AND($B$6=0,OR('_Dates'!J186&lt;Settings!$B$7,'_Dates'!T186&gt;Settings!$B$8)),"CHECK split across leave years",IF(OR(NOT(OR('_Dates'!U186="Full day",'_Dates'!U186="AM",'_Dates'!U186="PM")),NOT(OR('_Dates'!V186="Full day",'_Dates'!V186="AM",'_Dates'!V186="PM"))),"CHECK Full day / AM / PM",IF(AND('_Dates'!J186='_Dates'!T186,'_Dates'!U186&lt;&gt;"Full day",'_Dates'!V186&lt;&gt;"Full day",'_Dates'!U186&lt;&gt;'_Dates'!V186),"CHECK same-day portions disagree",IF(AND($B$6=0,OR(AND('_Dates'!U186&lt;&gt;"Full day",'_Dates'!AA186=0),AND('_Dates'!V186&lt;&gt;"Full day",'_Dates'!AB186=0))),"CHECK half-day on non-working date",IF(COUNTIF(Settings!$G$7:$G$11,D186)&lt;&gt;1,"CHECK leave type",IF(AND(Bookings!G186&lt;&gt;"Approved",Bookings!G186&lt;&gt;"Pending",Bookings!G186&lt;&gt;"Cancelled"),"CHECK status","OK")))))))))),"CHECK input"))</ns0:f>
        <ns0:v/>
      </ns0:c>
      <ns0:c r="G186" s="0">
        <ns0:f>IF(OR(F186&lt;&gt;"OK",$B$6&gt;0),0,0.5*(IF(('_Dates'!X186)&lt;('_Dates'!W186),0,INT((('_Dates'!X186)-('_Dates'!W186)+1)/7)*LEN(SUBSTITUTE(W186,"O",""))+LEN(SUBSTITUTE(MID(W186&amp;W186,WEEKDAY(('_Dates'!W186),2),MOD((('_Dates'!X186)-('_Dates'!W186)+1),7)),"O",""))-COUNTIFS(INDEX(AllClosureRows,C186,0),"&gt;="&amp;('_Dates'!W186),INDEX(AllClosureRows,C186,0),"&lt;="&amp;('_Dates'!X186)))+IF(('_Dates'!Z186)&lt;('_Dates'!Y186),0,INT((('_Dates'!Z186)-('_Dates'!Y186)+1)/7)*LEN(SUBSTITUTE(W186,"O",""))+LEN(SUBSTITUTE(MID(W186&amp;W186,WEEKDAY(('_Dates'!Y186),2),MOD((('_Dates'!Z186)-('_Dates'!Y186)+1),7)),"O",""))-COUNTIFS(INDEX(AllClosureRows,C186,0),"&gt;="&amp;('_Dates'!Y186),INDEX(AllClosureRows,C186,0),"&lt;="&amp;('_Dates'!Z186)))))</ns0:f>
        <ns0:v>0</ns0:v>
      </ns0:c>
      <ns0:c r="H186" s="0">
        <ns0:f>IF(OR(F186&lt;&gt;"OK",$B$6&gt;0),0,0.5*(IF((MIN('_Dates'!X186,Settings!$B$9))&lt;('_Dates'!W186),0,INT(((MIN('_Dates'!X186,Settings!$B$9))-('_Dates'!W186)+1)/7)*LEN(SUBSTITUTE(W186,"O",""))+LEN(SUBSTITUTE(MID(W186&amp;W186,WEEKDAY(('_Dates'!W186),2),MOD(((MIN('_Dates'!X186,Settings!$B$9))-('_Dates'!W186)+1),7)),"O",""))-COUNTIFS(INDEX(AllClosureRows,C186,0),"&gt;="&amp;('_Dates'!W186),INDEX(AllClosureRows,C186,0),"&lt;="&amp;(MIN('_Dates'!X186,Settings!$B$9))))+IF((MIN('_Dates'!Z186,Settings!$B$9))&lt;('_Dates'!Y186),0,INT(((MIN('_Dates'!Z186,Settings!$B$9))-('_Dates'!Y186)+1)/7)*LEN(SUBSTITUTE(W186,"O",""))+LEN(SUBSTITUTE(MID(W186&amp;W186,WEEKDAY(('_Dates'!Y186),2),MOD(((MIN('_Dates'!Z186,Settings!$B$9))-('_Dates'!Y186)+1),7)),"O",""))-COUNTIFS(INDEX(AllClosureRows,C186,0),"&gt;="&amp;('_Dates'!Y186),INDEX(AllClosureRows,C186,0),"&lt;="&amp;(MIN('_Dates'!Z186,Settings!$B$9))))))</ns0:f>
        <ns0:v>0</ns0:v>
      </ns0:c>
      <ns0:c r="I186" s="0">
        <ns0:f>MAX(0,G186-H186)</ns0:f>
        <ns0:v>0</ns0:v>
      </ns0:c>
      <ns0:c r="J186" s="0">
        <ns0:f>IF(OR(A186=0,F186&lt;&gt;"OK",Bookings!G186="Cancelled",$B$6&gt;0),0,IF('_Dates'!AC186=1,MAX(0,COUNTIFS(rngEngine_B,B186,rngAMStart,"&lt;="&amp;'_Dates'!X186,rngAMEnd,"&gt;="&amp;'_Dates'!W186,rngAMActive,1,rngEngine_F,"OK",rngBookings_F,"&lt;&gt;Cancelled")-1),0)+IF('_Dates'!AD186=1,MAX(0,COUNTIFS(rngEngine_B,B186,rngPMStart,"&lt;="&amp;'_Dates'!Z186,rngPMEnd,"&gt;="&amp;'_Dates'!Y186,rngPMActive,1,rngEngine_F,"OK",rngBookings_F,"&lt;&gt;Cancelled")-1),0))</ns0:f>
        <ns0:v>0</ns0:v>
      </ns0:c>
      <ns0:c r="K186" s="0" t="str">
        <ns0:f>IF(A186=0,"",IF(F186&lt;&gt;"OK",F186,IF(J186&gt;0,"CHECK overlapping entry",IF(AND($B$6=0,G186&lt;=0,Bookings!G186&lt;&gt;"Cancelled"),"CHECK no working days",IF(Bookings!G186="Cancelled","Cancelled","OK")))))</ns0:f>
        <ns0:v/>
      </ns0:c>
      <ns0:c r="L186" s="0">
        <ns0:f>IF(LEFT(K186,5)="CHECK",1,0)</ns0:f>
        <ns0:v>0</ns0:v>
      </ns0:c>
      <ns0:c r="M186" s="0">
        <ns0:f>IF(AND(L186=1,OR(C186=0,IFERROR(INDEX($X$11:$X$60,C186),0)=0)),1,0)</ns0:f>
        <ns0:v>0</ns0:v>
      </ns0:c>
      <ns0:c r="N186" s="0">
        <ns0:f>IF(OR(A186=0,L186&gt;0,$B$6&gt;0,Bookings!G186="Cancelled"),0,G186)</ns0:f>
        <ns0:v>0</ns0:v>
      </ns0:c>
      <ns0:c r="O186" s="0">
        <ns0:f>IF(AND(Bookings!G186="Approved",E186="Yes"),N186,0)</ns0:f>
        <ns0:v>0</ns0:v>
      </ns0:c>
      <ns0:c r="P186" s="0">
        <ns0:f>IF(AND(Bookings!G186="Approved",E186="Yes",L186=0,$B$6=0),H186,0)</ns0:f>
        <ns0:v>0</ns0:v>
      </ns0:c>
      <ns0:c r="Q186" s="0">
        <ns0:f>IF(AND(Bookings!G186="Approved",E186="Yes",L186=0,$B$6=0),I186,0)</ns0:f>
        <ns0:v>0</ns0:v>
      </ns0:c>
      <ns0:c r="R186" s="0">
        <ns0:f>IF(AND(Bookings!G186="Pending",E186="Yes"),N186,0)</ns0:f>
        <ns0:v>0</ns0:v>
      </ns0:c>
      <ns0:c r="S186" s="0">
        <ns0:f>IF(AND(Bookings!G186="Approved",E186="No"),N186,0)</ns0:f>
        <ns0:v>0</ns0:v>
      </ns0:c>
      <ns0:c r="T186" s="0">
        <ns0:f>IFERROR(MATCH(D186,Settings!$G$7:$G$11,0),0)</ns0:f>
        <ns0:v>0</ns0:v>
      </ns0:c>
      <ns0:c r="U186" s="0">
        <ns0:f>IF(N186&gt;0,T186+IF(Bookings!G186="Pending",10,0),0)</ns0:f>
        <ns0:v>0</ns0:v>
      </ns0:c>
      <ns0:c r="V186" s="0">
        <ns0:f>U186</ns0:f>
        <ns0:v>0</ns0:v>
      </ns0:c>
      <ns0:c r="W186" s="0" t="str">
        <ns0:f>IF(C186=0,"",INDEX($AP$11:$AP$60,C186))</ns0:f>
        <ns0:v/>
      </ns0:c>
    </ns0:row>
    <ns0:row r="187">
      <ns0:c r="A187" s="0">
        <ns0:f>IF(COUNTA(Bookings!A187:G187,Bookings!I187)=0,0,1)</ns0:f>
        <ns0:v>0</ns0:v>
      </ns0:c>
      <ns0:c r="B187" s="0" t="str">
        <ns0:f>IFERROR(TRIM(MID(Bookings!A187,FIND(" · ",Bookings!A187)+3,99)),"")</ns0:f>
        <ns0:v/>
      </ns0:c>
      <ns0:c r="C187" s="0">
        <ns0:f>IF(OR(B187="",LEN(B187)&gt;24,ISNUMBER(FIND(" ",B187)),ISNUMBER(FIND("*",B187)),ISNUMBER(FIND("?",B187)),ISNUMBER(FIND("~",B187))),0,IFERROR(MATCH(B187,Team!$A$11:$A$60,0),0))</ns0:f>
        <ns0:v>0</ns0:v>
      </ns0:c>
      <ns0:c r="D187" s="0" t="str">
        <ns0:f>IFERROR(IF(MID(Bookings!F187,LEN(Bookings!F187)-3,3)=" · ",RIGHT(Bookings!F187,1),""),"")</ns0:f>
        <ns0:v/>
      </ns0:c>
      <ns0:c r="E187" s="0" t="str">
        <ns0:f>IFERROR(INDEX(Settings!$H$7:$H$11,MATCH(D187,Settings!$G$7:$G$11,0)),"")</ns0:f>
        <ns0:v/>
      </ns0:c>
      <ns0:c r="F187" s="0" t="str">
        <ns0:f>IF(A187=0,"",IFERROR(IF(OR(B187="",C187=0),"CHECK employee selection",IF(INDEX(Team!$O$11:$O$60,C187)&lt;&gt;"OK","CHECK employee setup",IF(OR('_Dates'!J187=0,'_Dates'!T187=0),"CHECK date: use DD.MM.YYYY",IF('_Dates'!T187&lt;'_Dates'!J187,"CHECK end before start",IF(AND($B$6=0,OR('_Dates'!J187&lt;Settings!$B$7,'_Dates'!T187&gt;Settings!$B$8)),"CHECK split across leave years",IF(OR(NOT(OR('_Dates'!U187="Full day",'_Dates'!U187="AM",'_Dates'!U187="PM")),NOT(OR('_Dates'!V187="Full day",'_Dates'!V187="AM",'_Dates'!V187="PM"))),"CHECK Full day / AM / PM",IF(AND('_Dates'!J187='_Dates'!T187,'_Dates'!U187&lt;&gt;"Full day",'_Dates'!V187&lt;&gt;"Full day",'_Dates'!U187&lt;&gt;'_Dates'!V187),"CHECK same-day portions disagree",IF(AND($B$6=0,OR(AND('_Dates'!U187&lt;&gt;"Full day",'_Dates'!AA187=0),AND('_Dates'!V187&lt;&gt;"Full day",'_Dates'!AB187=0))),"CHECK half-day on non-working date",IF(COUNTIF(Settings!$G$7:$G$11,D187)&lt;&gt;1,"CHECK leave type",IF(AND(Bookings!G187&lt;&gt;"Approved",Bookings!G187&lt;&gt;"Pending",Bookings!G187&lt;&gt;"Cancelled"),"CHECK status","OK")))))))))),"CHECK input"))</ns0:f>
        <ns0:v/>
      </ns0:c>
      <ns0:c r="G187" s="0">
        <ns0:f>IF(OR(F187&lt;&gt;"OK",$B$6&gt;0),0,0.5*(IF(('_Dates'!X187)&lt;('_Dates'!W187),0,INT((('_Dates'!X187)-('_Dates'!W187)+1)/7)*LEN(SUBSTITUTE(W187,"O",""))+LEN(SUBSTITUTE(MID(W187&amp;W187,WEEKDAY(('_Dates'!W187),2),MOD((('_Dates'!X187)-('_Dates'!W187)+1),7)),"O",""))-COUNTIFS(INDEX(AllClosureRows,C187,0),"&gt;="&amp;('_Dates'!W187),INDEX(AllClosureRows,C187,0),"&lt;="&amp;('_Dates'!X187)))+IF(('_Dates'!Z187)&lt;('_Dates'!Y187),0,INT((('_Dates'!Z187)-('_Dates'!Y187)+1)/7)*LEN(SUBSTITUTE(W187,"O",""))+LEN(SUBSTITUTE(MID(W187&amp;W187,WEEKDAY(('_Dates'!Y187),2),MOD((('_Dates'!Z187)-('_Dates'!Y187)+1),7)),"O",""))-COUNTIFS(INDEX(AllClosureRows,C187,0),"&gt;="&amp;('_Dates'!Y187),INDEX(AllClosureRows,C187,0),"&lt;="&amp;('_Dates'!Z187)))))</ns0:f>
        <ns0:v>0</ns0:v>
      </ns0:c>
      <ns0:c r="H187" s="0">
        <ns0:f>IF(OR(F187&lt;&gt;"OK",$B$6&gt;0),0,0.5*(IF((MIN('_Dates'!X187,Settings!$B$9))&lt;('_Dates'!W187),0,INT(((MIN('_Dates'!X187,Settings!$B$9))-('_Dates'!W187)+1)/7)*LEN(SUBSTITUTE(W187,"O",""))+LEN(SUBSTITUTE(MID(W187&amp;W187,WEEKDAY(('_Dates'!W187),2),MOD(((MIN('_Dates'!X187,Settings!$B$9))-('_Dates'!W187)+1),7)),"O",""))-COUNTIFS(INDEX(AllClosureRows,C187,0),"&gt;="&amp;('_Dates'!W187),INDEX(AllClosureRows,C187,0),"&lt;="&amp;(MIN('_Dates'!X187,Settings!$B$9))))+IF((MIN('_Dates'!Z187,Settings!$B$9))&lt;('_Dates'!Y187),0,INT(((MIN('_Dates'!Z187,Settings!$B$9))-('_Dates'!Y187)+1)/7)*LEN(SUBSTITUTE(W187,"O",""))+LEN(SUBSTITUTE(MID(W187&amp;W187,WEEKDAY(('_Dates'!Y187),2),MOD(((MIN('_Dates'!Z187,Settings!$B$9))-('_Dates'!Y187)+1),7)),"O",""))-COUNTIFS(INDEX(AllClosureRows,C187,0),"&gt;="&amp;('_Dates'!Y187),INDEX(AllClosureRows,C187,0),"&lt;="&amp;(MIN('_Dates'!Z187,Settings!$B$9))))))</ns0:f>
        <ns0:v>0</ns0:v>
      </ns0:c>
      <ns0:c r="I187" s="0">
        <ns0:f>MAX(0,G187-H187)</ns0:f>
        <ns0:v>0</ns0:v>
      </ns0:c>
      <ns0:c r="J187" s="0">
        <ns0:f>IF(OR(A187=0,F187&lt;&gt;"OK",Bookings!G187="Cancelled",$B$6&gt;0),0,IF('_Dates'!AC187=1,MAX(0,COUNTIFS(rngEngine_B,B187,rngAMStart,"&lt;="&amp;'_Dates'!X187,rngAMEnd,"&gt;="&amp;'_Dates'!W187,rngAMActive,1,rngEngine_F,"OK",rngBookings_F,"&lt;&gt;Cancelled")-1),0)+IF('_Dates'!AD187=1,MAX(0,COUNTIFS(rngEngine_B,B187,rngPMStart,"&lt;="&amp;'_Dates'!Z187,rngPMEnd,"&gt;="&amp;'_Dates'!Y187,rngPMActive,1,rngEngine_F,"OK",rngBookings_F,"&lt;&gt;Cancelled")-1),0))</ns0:f>
        <ns0:v>0</ns0:v>
      </ns0:c>
      <ns0:c r="K187" s="0" t="str">
        <ns0:f>IF(A187=0,"",IF(F187&lt;&gt;"OK",F187,IF(J187&gt;0,"CHECK overlapping entry",IF(AND($B$6=0,G187&lt;=0,Bookings!G187&lt;&gt;"Cancelled"),"CHECK no working days",IF(Bookings!G187="Cancelled","Cancelled","OK")))))</ns0:f>
        <ns0:v/>
      </ns0:c>
      <ns0:c r="L187" s="0">
        <ns0:f>IF(LEFT(K187,5)="CHECK",1,0)</ns0:f>
        <ns0:v>0</ns0:v>
      </ns0:c>
      <ns0:c r="M187" s="0">
        <ns0:f>IF(AND(L187=1,OR(C187=0,IFERROR(INDEX($X$11:$X$60,C187),0)=0)),1,0)</ns0:f>
        <ns0:v>0</ns0:v>
      </ns0:c>
      <ns0:c r="N187" s="0">
        <ns0:f>IF(OR(A187=0,L187&gt;0,$B$6&gt;0,Bookings!G187="Cancelled"),0,G187)</ns0:f>
        <ns0:v>0</ns0:v>
      </ns0:c>
      <ns0:c r="O187" s="0">
        <ns0:f>IF(AND(Bookings!G187="Approved",E187="Yes"),N187,0)</ns0:f>
        <ns0:v>0</ns0:v>
      </ns0:c>
      <ns0:c r="P187" s="0">
        <ns0:f>IF(AND(Bookings!G187="Approved",E187="Yes",L187=0,$B$6=0),H187,0)</ns0:f>
        <ns0:v>0</ns0:v>
      </ns0:c>
      <ns0:c r="Q187" s="0">
        <ns0:f>IF(AND(Bookings!G187="Approved",E187="Yes",L187=0,$B$6=0),I187,0)</ns0:f>
        <ns0:v>0</ns0:v>
      </ns0:c>
      <ns0:c r="R187" s="0">
        <ns0:f>IF(AND(Bookings!G187="Pending",E187="Yes"),N187,0)</ns0:f>
        <ns0:v>0</ns0:v>
      </ns0:c>
      <ns0:c r="S187" s="0">
        <ns0:f>IF(AND(Bookings!G187="Approved",E187="No"),N187,0)</ns0:f>
        <ns0:v>0</ns0:v>
      </ns0:c>
      <ns0:c r="T187" s="0">
        <ns0:f>IFERROR(MATCH(D187,Settings!$G$7:$G$11,0),0)</ns0:f>
        <ns0:v>0</ns0:v>
      </ns0:c>
      <ns0:c r="U187" s="0">
        <ns0:f>IF(N187&gt;0,T187+IF(Bookings!G187="Pending",10,0),0)</ns0:f>
        <ns0:v>0</ns0:v>
      </ns0:c>
      <ns0:c r="V187" s="0">
        <ns0:f>U187</ns0:f>
        <ns0:v>0</ns0:v>
      </ns0:c>
      <ns0:c r="W187" s="0" t="str">
        <ns0:f>IF(C187=0,"",INDEX($AP$11:$AP$60,C187))</ns0:f>
        <ns0:v/>
      </ns0:c>
    </ns0:row>
    <ns0:row r="188">
      <ns0:c r="A188" s="0">
        <ns0:f>IF(COUNTA(Bookings!A188:G188,Bookings!I188)=0,0,1)</ns0:f>
        <ns0:v>0</ns0:v>
      </ns0:c>
      <ns0:c r="B188" s="0" t="str">
        <ns0:f>IFERROR(TRIM(MID(Bookings!A188,FIND(" · ",Bookings!A188)+3,99)),"")</ns0:f>
        <ns0:v/>
      </ns0:c>
      <ns0:c r="C188" s="0">
        <ns0:f>IF(OR(B188="",LEN(B188)&gt;24,ISNUMBER(FIND(" ",B188)),ISNUMBER(FIND("*",B188)),ISNUMBER(FIND("?",B188)),ISNUMBER(FIND("~",B188))),0,IFERROR(MATCH(B188,Team!$A$11:$A$60,0),0))</ns0:f>
        <ns0:v>0</ns0:v>
      </ns0:c>
      <ns0:c r="D188" s="0" t="str">
        <ns0:f>IFERROR(IF(MID(Bookings!F188,LEN(Bookings!F188)-3,3)=" · ",RIGHT(Bookings!F188,1),""),"")</ns0:f>
        <ns0:v/>
      </ns0:c>
      <ns0:c r="E188" s="0" t="str">
        <ns0:f>IFERROR(INDEX(Settings!$H$7:$H$11,MATCH(D188,Settings!$G$7:$G$11,0)),"")</ns0:f>
        <ns0:v/>
      </ns0:c>
      <ns0:c r="F188" s="0" t="str">
        <ns0:f>IF(A188=0,"",IFERROR(IF(OR(B188="",C188=0),"CHECK employee selection",IF(INDEX(Team!$O$11:$O$60,C188)&lt;&gt;"OK","CHECK employee setup",IF(OR('_Dates'!J188=0,'_Dates'!T188=0),"CHECK date: use DD.MM.YYYY",IF('_Dates'!T188&lt;'_Dates'!J188,"CHECK end before start",IF(AND($B$6=0,OR('_Dates'!J188&lt;Settings!$B$7,'_Dates'!T188&gt;Settings!$B$8)),"CHECK split across leave years",IF(OR(NOT(OR('_Dates'!U188="Full day",'_Dates'!U188="AM",'_Dates'!U188="PM")),NOT(OR('_Dates'!V188="Full day",'_Dates'!V188="AM",'_Dates'!V188="PM"))),"CHECK Full day / AM / PM",IF(AND('_Dates'!J188='_Dates'!T188,'_Dates'!U188&lt;&gt;"Full day",'_Dates'!V188&lt;&gt;"Full day",'_Dates'!U188&lt;&gt;'_Dates'!V188),"CHECK same-day portions disagree",IF(AND($B$6=0,OR(AND('_Dates'!U188&lt;&gt;"Full day",'_Dates'!AA188=0),AND('_Dates'!V188&lt;&gt;"Full day",'_Dates'!AB188=0))),"CHECK half-day on non-working date",IF(COUNTIF(Settings!$G$7:$G$11,D188)&lt;&gt;1,"CHECK leave type",IF(AND(Bookings!G188&lt;&gt;"Approved",Bookings!G188&lt;&gt;"Pending",Bookings!G188&lt;&gt;"Cancelled"),"CHECK status","OK")))))))))),"CHECK input"))</ns0:f>
        <ns0:v/>
      </ns0:c>
      <ns0:c r="G188" s="0">
        <ns0:f>IF(OR(F188&lt;&gt;"OK",$B$6&gt;0),0,0.5*(IF(('_Dates'!X188)&lt;('_Dates'!W188),0,INT((('_Dates'!X188)-('_Dates'!W188)+1)/7)*LEN(SUBSTITUTE(W188,"O",""))+LEN(SUBSTITUTE(MID(W188&amp;W188,WEEKDAY(('_Dates'!W188),2),MOD((('_Dates'!X188)-('_Dates'!W188)+1),7)),"O",""))-COUNTIFS(INDEX(AllClosureRows,C188,0),"&gt;="&amp;('_Dates'!W188),INDEX(AllClosureRows,C188,0),"&lt;="&amp;('_Dates'!X188)))+IF(('_Dates'!Z188)&lt;('_Dates'!Y188),0,INT((('_Dates'!Z188)-('_Dates'!Y188)+1)/7)*LEN(SUBSTITUTE(W188,"O",""))+LEN(SUBSTITUTE(MID(W188&amp;W188,WEEKDAY(('_Dates'!Y188),2),MOD((('_Dates'!Z188)-('_Dates'!Y188)+1),7)),"O",""))-COUNTIFS(INDEX(AllClosureRows,C188,0),"&gt;="&amp;('_Dates'!Y188),INDEX(AllClosureRows,C188,0),"&lt;="&amp;('_Dates'!Z188)))))</ns0:f>
        <ns0:v>0</ns0:v>
      </ns0:c>
      <ns0:c r="H188" s="0">
        <ns0:f>IF(OR(F188&lt;&gt;"OK",$B$6&gt;0),0,0.5*(IF((MIN('_Dates'!X188,Settings!$B$9))&lt;('_Dates'!W188),0,INT(((MIN('_Dates'!X188,Settings!$B$9))-('_Dates'!W188)+1)/7)*LEN(SUBSTITUTE(W188,"O",""))+LEN(SUBSTITUTE(MID(W188&amp;W188,WEEKDAY(('_Dates'!W188),2),MOD(((MIN('_Dates'!X188,Settings!$B$9))-('_Dates'!W188)+1),7)),"O",""))-COUNTIFS(INDEX(AllClosureRows,C188,0),"&gt;="&amp;('_Dates'!W188),INDEX(AllClosureRows,C188,0),"&lt;="&amp;(MIN('_Dates'!X188,Settings!$B$9))))+IF((MIN('_Dates'!Z188,Settings!$B$9))&lt;('_Dates'!Y188),0,INT(((MIN('_Dates'!Z188,Settings!$B$9))-('_Dates'!Y188)+1)/7)*LEN(SUBSTITUTE(W188,"O",""))+LEN(SUBSTITUTE(MID(W188&amp;W188,WEEKDAY(('_Dates'!Y188),2),MOD(((MIN('_Dates'!Z188,Settings!$B$9))-('_Dates'!Y188)+1),7)),"O",""))-COUNTIFS(INDEX(AllClosureRows,C188,0),"&gt;="&amp;('_Dates'!Y188),INDEX(AllClosureRows,C188,0),"&lt;="&amp;(MIN('_Dates'!Z188,Settings!$B$9))))))</ns0:f>
        <ns0:v>0</ns0:v>
      </ns0:c>
      <ns0:c r="I188" s="0">
        <ns0:f>MAX(0,G188-H188)</ns0:f>
        <ns0:v>0</ns0:v>
      </ns0:c>
      <ns0:c r="J188" s="0">
        <ns0:f>IF(OR(A188=0,F188&lt;&gt;"OK",Bookings!G188="Cancelled",$B$6&gt;0),0,IF('_Dates'!AC188=1,MAX(0,COUNTIFS(rngEngine_B,B188,rngAMStart,"&lt;="&amp;'_Dates'!X188,rngAMEnd,"&gt;="&amp;'_Dates'!W188,rngAMActive,1,rngEngine_F,"OK",rngBookings_F,"&lt;&gt;Cancelled")-1),0)+IF('_Dates'!AD188=1,MAX(0,COUNTIFS(rngEngine_B,B188,rngPMStart,"&lt;="&amp;'_Dates'!Z188,rngPMEnd,"&gt;="&amp;'_Dates'!Y188,rngPMActive,1,rngEngine_F,"OK",rngBookings_F,"&lt;&gt;Cancelled")-1),0))</ns0:f>
        <ns0:v>0</ns0:v>
      </ns0:c>
      <ns0:c r="K188" s="0" t="str">
        <ns0:f>IF(A188=0,"",IF(F188&lt;&gt;"OK",F188,IF(J188&gt;0,"CHECK overlapping entry",IF(AND($B$6=0,G188&lt;=0,Bookings!G188&lt;&gt;"Cancelled"),"CHECK no working days",IF(Bookings!G188="Cancelled","Cancelled","OK")))))</ns0:f>
        <ns0:v/>
      </ns0:c>
      <ns0:c r="L188" s="0">
        <ns0:f>IF(LEFT(K188,5)="CHECK",1,0)</ns0:f>
        <ns0:v>0</ns0:v>
      </ns0:c>
      <ns0:c r="M188" s="0">
        <ns0:f>IF(AND(L188=1,OR(C188=0,IFERROR(INDEX($X$11:$X$60,C188),0)=0)),1,0)</ns0:f>
        <ns0:v>0</ns0:v>
      </ns0:c>
      <ns0:c r="N188" s="0">
        <ns0:f>IF(OR(A188=0,L188&gt;0,$B$6&gt;0,Bookings!G188="Cancelled"),0,G188)</ns0:f>
        <ns0:v>0</ns0:v>
      </ns0:c>
      <ns0:c r="O188" s="0">
        <ns0:f>IF(AND(Bookings!G188="Approved",E188="Yes"),N188,0)</ns0:f>
        <ns0:v>0</ns0:v>
      </ns0:c>
      <ns0:c r="P188" s="0">
        <ns0:f>IF(AND(Bookings!G188="Approved",E188="Yes",L188=0,$B$6=0),H188,0)</ns0:f>
        <ns0:v>0</ns0:v>
      </ns0:c>
      <ns0:c r="Q188" s="0">
        <ns0:f>IF(AND(Bookings!G188="Approved",E188="Yes",L188=0,$B$6=0),I188,0)</ns0:f>
        <ns0:v>0</ns0:v>
      </ns0:c>
      <ns0:c r="R188" s="0">
        <ns0:f>IF(AND(Bookings!G188="Pending",E188="Yes"),N188,0)</ns0:f>
        <ns0:v>0</ns0:v>
      </ns0:c>
      <ns0:c r="S188" s="0">
        <ns0:f>IF(AND(Bookings!G188="Approved",E188="No"),N188,0)</ns0:f>
        <ns0:v>0</ns0:v>
      </ns0:c>
      <ns0:c r="T188" s="0">
        <ns0:f>IFERROR(MATCH(D188,Settings!$G$7:$G$11,0),0)</ns0:f>
        <ns0:v>0</ns0:v>
      </ns0:c>
      <ns0:c r="U188" s="0">
        <ns0:f>IF(N188&gt;0,T188+IF(Bookings!G188="Pending",10,0),0)</ns0:f>
        <ns0:v>0</ns0:v>
      </ns0:c>
      <ns0:c r="V188" s="0">
        <ns0:f>U188</ns0:f>
        <ns0:v>0</ns0:v>
      </ns0:c>
      <ns0:c r="W188" s="0" t="str">
        <ns0:f>IF(C188=0,"",INDEX($AP$11:$AP$60,C188))</ns0:f>
        <ns0:v/>
      </ns0:c>
    </ns0:row>
    <ns0:row r="189">
      <ns0:c r="A189" s="0">
        <ns0:f>IF(COUNTA(Bookings!A189:G189,Bookings!I189)=0,0,1)</ns0:f>
        <ns0:v>0</ns0:v>
      </ns0:c>
      <ns0:c r="B189" s="0" t="str">
        <ns0:f>IFERROR(TRIM(MID(Bookings!A189,FIND(" · ",Bookings!A189)+3,99)),"")</ns0:f>
        <ns0:v/>
      </ns0:c>
      <ns0:c r="C189" s="0">
        <ns0:f>IF(OR(B189="",LEN(B189)&gt;24,ISNUMBER(FIND(" ",B189)),ISNUMBER(FIND("*",B189)),ISNUMBER(FIND("?",B189)),ISNUMBER(FIND("~",B189))),0,IFERROR(MATCH(B189,Team!$A$11:$A$60,0),0))</ns0:f>
        <ns0:v>0</ns0:v>
      </ns0:c>
      <ns0:c r="D189" s="0" t="str">
        <ns0:f>IFERROR(IF(MID(Bookings!F189,LEN(Bookings!F189)-3,3)=" · ",RIGHT(Bookings!F189,1),""),"")</ns0:f>
        <ns0:v/>
      </ns0:c>
      <ns0:c r="E189" s="0" t="str">
        <ns0:f>IFERROR(INDEX(Settings!$H$7:$H$11,MATCH(D189,Settings!$G$7:$G$11,0)),"")</ns0:f>
        <ns0:v/>
      </ns0:c>
      <ns0:c r="F189" s="0" t="str">
        <ns0:f>IF(A189=0,"",IFERROR(IF(OR(B189="",C189=0),"CHECK employee selection",IF(INDEX(Team!$O$11:$O$60,C189)&lt;&gt;"OK","CHECK employee setup",IF(OR('_Dates'!J189=0,'_Dates'!T189=0),"CHECK date: use DD.MM.YYYY",IF('_Dates'!T189&lt;'_Dates'!J189,"CHECK end before start",IF(AND($B$6=0,OR('_Dates'!J189&lt;Settings!$B$7,'_Dates'!T189&gt;Settings!$B$8)),"CHECK split across leave years",IF(OR(NOT(OR('_Dates'!U189="Full day",'_Dates'!U189="AM",'_Dates'!U189="PM")),NOT(OR('_Dates'!V189="Full day",'_Dates'!V189="AM",'_Dates'!V189="PM"))),"CHECK Full day / AM / PM",IF(AND('_Dates'!J189='_Dates'!T189,'_Dates'!U189&lt;&gt;"Full day",'_Dates'!V189&lt;&gt;"Full day",'_Dates'!U189&lt;&gt;'_Dates'!V189),"CHECK same-day portions disagree",IF(AND($B$6=0,OR(AND('_Dates'!U189&lt;&gt;"Full day",'_Dates'!AA189=0),AND('_Dates'!V189&lt;&gt;"Full day",'_Dates'!AB189=0))),"CHECK half-day on non-working date",IF(COUNTIF(Settings!$G$7:$G$11,D189)&lt;&gt;1,"CHECK leave type",IF(AND(Bookings!G189&lt;&gt;"Approved",Bookings!G189&lt;&gt;"Pending",Bookings!G189&lt;&gt;"Cancelled"),"CHECK status","OK")))))))))),"CHECK input"))</ns0:f>
        <ns0:v/>
      </ns0:c>
      <ns0:c r="G189" s="0">
        <ns0:f>IF(OR(F189&lt;&gt;"OK",$B$6&gt;0),0,0.5*(IF(('_Dates'!X189)&lt;('_Dates'!W189),0,INT((('_Dates'!X189)-('_Dates'!W189)+1)/7)*LEN(SUBSTITUTE(W189,"O",""))+LEN(SUBSTITUTE(MID(W189&amp;W189,WEEKDAY(('_Dates'!W189),2),MOD((('_Dates'!X189)-('_Dates'!W189)+1),7)),"O",""))-COUNTIFS(INDEX(AllClosureRows,C189,0),"&gt;="&amp;('_Dates'!W189),INDEX(AllClosureRows,C189,0),"&lt;="&amp;('_Dates'!X189)))+IF(('_Dates'!Z189)&lt;('_Dates'!Y189),0,INT((('_Dates'!Z189)-('_Dates'!Y189)+1)/7)*LEN(SUBSTITUTE(W189,"O",""))+LEN(SUBSTITUTE(MID(W189&amp;W189,WEEKDAY(('_Dates'!Y189),2),MOD((('_Dates'!Z189)-('_Dates'!Y189)+1),7)),"O",""))-COUNTIFS(INDEX(AllClosureRows,C189,0),"&gt;="&amp;('_Dates'!Y189),INDEX(AllClosureRows,C189,0),"&lt;="&amp;('_Dates'!Z189)))))</ns0:f>
        <ns0:v>0</ns0:v>
      </ns0:c>
      <ns0:c r="H189" s="0">
        <ns0:f>IF(OR(F189&lt;&gt;"OK",$B$6&gt;0),0,0.5*(IF((MIN('_Dates'!X189,Settings!$B$9))&lt;('_Dates'!W189),0,INT(((MIN('_Dates'!X189,Settings!$B$9))-('_Dates'!W189)+1)/7)*LEN(SUBSTITUTE(W189,"O",""))+LEN(SUBSTITUTE(MID(W189&amp;W189,WEEKDAY(('_Dates'!W189),2),MOD(((MIN('_Dates'!X189,Settings!$B$9))-('_Dates'!W189)+1),7)),"O",""))-COUNTIFS(INDEX(AllClosureRows,C189,0),"&gt;="&amp;('_Dates'!W189),INDEX(AllClosureRows,C189,0),"&lt;="&amp;(MIN('_Dates'!X189,Settings!$B$9))))+IF((MIN('_Dates'!Z189,Settings!$B$9))&lt;('_Dates'!Y189),0,INT(((MIN('_Dates'!Z189,Settings!$B$9))-('_Dates'!Y189)+1)/7)*LEN(SUBSTITUTE(W189,"O",""))+LEN(SUBSTITUTE(MID(W189&amp;W189,WEEKDAY(('_Dates'!Y189),2),MOD(((MIN('_Dates'!Z189,Settings!$B$9))-('_Dates'!Y189)+1),7)),"O",""))-COUNTIFS(INDEX(AllClosureRows,C189,0),"&gt;="&amp;('_Dates'!Y189),INDEX(AllClosureRows,C189,0),"&lt;="&amp;(MIN('_Dates'!Z189,Settings!$B$9))))))</ns0:f>
        <ns0:v>0</ns0:v>
      </ns0:c>
      <ns0:c r="I189" s="0">
        <ns0:f>MAX(0,G189-H189)</ns0:f>
        <ns0:v>0</ns0:v>
      </ns0:c>
      <ns0:c r="J189" s="0">
        <ns0:f>IF(OR(A189=0,F189&lt;&gt;"OK",Bookings!G189="Cancelled",$B$6&gt;0),0,IF('_Dates'!AC189=1,MAX(0,COUNTIFS(rngEngine_B,B189,rngAMStart,"&lt;="&amp;'_Dates'!X189,rngAMEnd,"&gt;="&amp;'_Dates'!W189,rngAMActive,1,rngEngine_F,"OK",rngBookings_F,"&lt;&gt;Cancelled")-1),0)+IF('_Dates'!AD189=1,MAX(0,COUNTIFS(rngEngine_B,B189,rngPMStart,"&lt;="&amp;'_Dates'!Z189,rngPMEnd,"&gt;="&amp;'_Dates'!Y189,rngPMActive,1,rngEngine_F,"OK",rngBookings_F,"&lt;&gt;Cancelled")-1),0))</ns0:f>
        <ns0:v>0</ns0:v>
      </ns0:c>
      <ns0:c r="K189" s="0" t="str">
        <ns0:f>IF(A189=0,"",IF(F189&lt;&gt;"OK",F189,IF(J189&gt;0,"CHECK overlapping entry",IF(AND($B$6=0,G189&lt;=0,Bookings!G189&lt;&gt;"Cancelled"),"CHECK no working days",IF(Bookings!G189="Cancelled","Cancelled","OK")))))</ns0:f>
        <ns0:v/>
      </ns0:c>
      <ns0:c r="L189" s="0">
        <ns0:f>IF(LEFT(K189,5)="CHECK",1,0)</ns0:f>
        <ns0:v>0</ns0:v>
      </ns0:c>
      <ns0:c r="M189" s="0">
        <ns0:f>IF(AND(L189=1,OR(C189=0,IFERROR(INDEX($X$11:$X$60,C189),0)=0)),1,0)</ns0:f>
        <ns0:v>0</ns0:v>
      </ns0:c>
      <ns0:c r="N189" s="0">
        <ns0:f>IF(OR(A189=0,L189&gt;0,$B$6&gt;0,Bookings!G189="Cancelled"),0,G189)</ns0:f>
        <ns0:v>0</ns0:v>
      </ns0:c>
      <ns0:c r="O189" s="0">
        <ns0:f>IF(AND(Bookings!G189="Approved",E189="Yes"),N189,0)</ns0:f>
        <ns0:v>0</ns0:v>
      </ns0:c>
      <ns0:c r="P189" s="0">
        <ns0:f>IF(AND(Bookings!G189="Approved",E189="Yes",L189=0,$B$6=0),H189,0)</ns0:f>
        <ns0:v>0</ns0:v>
      </ns0:c>
      <ns0:c r="Q189" s="0">
        <ns0:f>IF(AND(Bookings!G189="Approved",E189="Yes",L189=0,$B$6=0),I189,0)</ns0:f>
        <ns0:v>0</ns0:v>
      </ns0:c>
      <ns0:c r="R189" s="0">
        <ns0:f>IF(AND(Bookings!G189="Pending",E189="Yes"),N189,0)</ns0:f>
        <ns0:v>0</ns0:v>
      </ns0:c>
      <ns0:c r="S189" s="0">
        <ns0:f>IF(AND(Bookings!G189="Approved",E189="No"),N189,0)</ns0:f>
        <ns0:v>0</ns0:v>
      </ns0:c>
      <ns0:c r="T189" s="0">
        <ns0:f>IFERROR(MATCH(D189,Settings!$G$7:$G$11,0),0)</ns0:f>
        <ns0:v>0</ns0:v>
      </ns0:c>
      <ns0:c r="U189" s="0">
        <ns0:f>IF(N189&gt;0,T189+IF(Bookings!G189="Pending",10,0),0)</ns0:f>
        <ns0:v>0</ns0:v>
      </ns0:c>
      <ns0:c r="V189" s="0">
        <ns0:f>U189</ns0:f>
        <ns0:v>0</ns0:v>
      </ns0:c>
      <ns0:c r="W189" s="0" t="str">
        <ns0:f>IF(C189=0,"",INDEX($AP$11:$AP$60,C189))</ns0:f>
        <ns0:v/>
      </ns0:c>
    </ns0:row>
    <ns0:row r="190">
      <ns0:c r="A190" s="0">
        <ns0:f>IF(COUNTA(Bookings!A190:G190,Bookings!I190)=0,0,1)</ns0:f>
        <ns0:v>0</ns0:v>
      </ns0:c>
      <ns0:c r="B190" s="0" t="str">
        <ns0:f>IFERROR(TRIM(MID(Bookings!A190,FIND(" · ",Bookings!A190)+3,99)),"")</ns0:f>
        <ns0:v/>
      </ns0:c>
      <ns0:c r="C190" s="0">
        <ns0:f>IF(OR(B190="",LEN(B190)&gt;24,ISNUMBER(FIND(" ",B190)),ISNUMBER(FIND("*",B190)),ISNUMBER(FIND("?",B190)),ISNUMBER(FIND("~",B190))),0,IFERROR(MATCH(B190,Team!$A$11:$A$60,0),0))</ns0:f>
        <ns0:v>0</ns0:v>
      </ns0:c>
      <ns0:c r="D190" s="0" t="str">
        <ns0:f>IFERROR(IF(MID(Bookings!F190,LEN(Bookings!F190)-3,3)=" · ",RIGHT(Bookings!F190,1),""),"")</ns0:f>
        <ns0:v/>
      </ns0:c>
      <ns0:c r="E190" s="0" t="str">
        <ns0:f>IFERROR(INDEX(Settings!$H$7:$H$11,MATCH(D190,Settings!$G$7:$G$11,0)),"")</ns0:f>
        <ns0:v/>
      </ns0:c>
      <ns0:c r="F190" s="0" t="str">
        <ns0:f>IF(A190=0,"",IFERROR(IF(OR(B190="",C190=0),"CHECK employee selection",IF(INDEX(Team!$O$11:$O$60,C190)&lt;&gt;"OK","CHECK employee setup",IF(OR('_Dates'!J190=0,'_Dates'!T190=0),"CHECK date: use DD.MM.YYYY",IF('_Dates'!T190&lt;'_Dates'!J190,"CHECK end before start",IF(AND($B$6=0,OR('_Dates'!J190&lt;Settings!$B$7,'_Dates'!T190&gt;Settings!$B$8)),"CHECK split across leave years",IF(OR(NOT(OR('_Dates'!U190="Full day",'_Dates'!U190="AM",'_Dates'!U190="PM")),NOT(OR('_Dates'!V190="Full day",'_Dates'!V190="AM",'_Dates'!V190="PM"))),"CHECK Full day / AM / PM",IF(AND('_Dates'!J190='_Dates'!T190,'_Dates'!U190&lt;&gt;"Full day",'_Dates'!V190&lt;&gt;"Full day",'_Dates'!U190&lt;&gt;'_Dates'!V190),"CHECK same-day portions disagree",IF(AND($B$6=0,OR(AND('_Dates'!U190&lt;&gt;"Full day",'_Dates'!AA190=0),AND('_Dates'!V190&lt;&gt;"Full day",'_Dates'!AB190=0))),"CHECK half-day on non-working date",IF(COUNTIF(Settings!$G$7:$G$11,D190)&lt;&gt;1,"CHECK leave type",IF(AND(Bookings!G190&lt;&gt;"Approved",Bookings!G190&lt;&gt;"Pending",Bookings!G190&lt;&gt;"Cancelled"),"CHECK status","OK")))))))))),"CHECK input"))</ns0:f>
        <ns0:v/>
      </ns0:c>
      <ns0:c r="G190" s="0">
        <ns0:f>IF(OR(F190&lt;&gt;"OK",$B$6&gt;0),0,0.5*(IF(('_Dates'!X190)&lt;('_Dates'!W190),0,INT((('_Dates'!X190)-('_Dates'!W190)+1)/7)*LEN(SUBSTITUTE(W190,"O",""))+LEN(SUBSTITUTE(MID(W190&amp;W190,WEEKDAY(('_Dates'!W190),2),MOD((('_Dates'!X190)-('_Dates'!W190)+1),7)),"O",""))-COUNTIFS(INDEX(AllClosureRows,C190,0),"&gt;="&amp;('_Dates'!W190),INDEX(AllClosureRows,C190,0),"&lt;="&amp;('_Dates'!X190)))+IF(('_Dates'!Z190)&lt;('_Dates'!Y190),0,INT((('_Dates'!Z190)-('_Dates'!Y190)+1)/7)*LEN(SUBSTITUTE(W190,"O",""))+LEN(SUBSTITUTE(MID(W190&amp;W190,WEEKDAY(('_Dates'!Y190),2),MOD((('_Dates'!Z190)-('_Dates'!Y190)+1),7)),"O",""))-COUNTIFS(INDEX(AllClosureRows,C190,0),"&gt;="&amp;('_Dates'!Y190),INDEX(AllClosureRows,C190,0),"&lt;="&amp;('_Dates'!Z190)))))</ns0:f>
        <ns0:v>0</ns0:v>
      </ns0:c>
      <ns0:c r="H190" s="0">
        <ns0:f>IF(OR(F190&lt;&gt;"OK",$B$6&gt;0),0,0.5*(IF((MIN('_Dates'!X190,Settings!$B$9))&lt;('_Dates'!W190),0,INT(((MIN('_Dates'!X190,Settings!$B$9))-('_Dates'!W190)+1)/7)*LEN(SUBSTITUTE(W190,"O",""))+LEN(SUBSTITUTE(MID(W190&amp;W190,WEEKDAY(('_Dates'!W190),2),MOD(((MIN('_Dates'!X190,Settings!$B$9))-('_Dates'!W190)+1),7)),"O",""))-COUNTIFS(INDEX(AllClosureRows,C190,0),"&gt;="&amp;('_Dates'!W190),INDEX(AllClosureRows,C190,0),"&lt;="&amp;(MIN('_Dates'!X190,Settings!$B$9))))+IF((MIN('_Dates'!Z190,Settings!$B$9))&lt;('_Dates'!Y190),0,INT(((MIN('_Dates'!Z190,Settings!$B$9))-('_Dates'!Y190)+1)/7)*LEN(SUBSTITUTE(W190,"O",""))+LEN(SUBSTITUTE(MID(W190&amp;W190,WEEKDAY(('_Dates'!Y190),2),MOD(((MIN('_Dates'!Z190,Settings!$B$9))-('_Dates'!Y190)+1),7)),"O",""))-COUNTIFS(INDEX(AllClosureRows,C190,0),"&gt;="&amp;('_Dates'!Y190),INDEX(AllClosureRows,C190,0),"&lt;="&amp;(MIN('_Dates'!Z190,Settings!$B$9))))))</ns0:f>
        <ns0:v>0</ns0:v>
      </ns0:c>
      <ns0:c r="I190" s="0">
        <ns0:f>MAX(0,G190-H190)</ns0:f>
        <ns0:v>0</ns0:v>
      </ns0:c>
      <ns0:c r="J190" s="0">
        <ns0:f>IF(OR(A190=0,F190&lt;&gt;"OK",Bookings!G190="Cancelled",$B$6&gt;0),0,IF('_Dates'!AC190=1,MAX(0,COUNTIFS(rngEngine_B,B190,rngAMStart,"&lt;="&amp;'_Dates'!X190,rngAMEnd,"&gt;="&amp;'_Dates'!W190,rngAMActive,1,rngEngine_F,"OK",rngBookings_F,"&lt;&gt;Cancelled")-1),0)+IF('_Dates'!AD190=1,MAX(0,COUNTIFS(rngEngine_B,B190,rngPMStart,"&lt;="&amp;'_Dates'!Z190,rngPMEnd,"&gt;="&amp;'_Dates'!Y190,rngPMActive,1,rngEngine_F,"OK",rngBookings_F,"&lt;&gt;Cancelled")-1),0))</ns0:f>
        <ns0:v>0</ns0:v>
      </ns0:c>
      <ns0:c r="K190" s="0" t="str">
        <ns0:f>IF(A190=0,"",IF(F190&lt;&gt;"OK",F190,IF(J190&gt;0,"CHECK overlapping entry",IF(AND($B$6=0,G190&lt;=0,Bookings!G190&lt;&gt;"Cancelled"),"CHECK no working days",IF(Bookings!G190="Cancelled","Cancelled","OK")))))</ns0:f>
        <ns0:v/>
      </ns0:c>
      <ns0:c r="L190" s="0">
        <ns0:f>IF(LEFT(K190,5)="CHECK",1,0)</ns0:f>
        <ns0:v>0</ns0:v>
      </ns0:c>
      <ns0:c r="M190" s="0">
        <ns0:f>IF(AND(L190=1,OR(C190=0,IFERROR(INDEX($X$11:$X$60,C190),0)=0)),1,0)</ns0:f>
        <ns0:v>0</ns0:v>
      </ns0:c>
      <ns0:c r="N190" s="0">
        <ns0:f>IF(OR(A190=0,L190&gt;0,$B$6&gt;0,Bookings!G190="Cancelled"),0,G190)</ns0:f>
        <ns0:v>0</ns0:v>
      </ns0:c>
      <ns0:c r="O190" s="0">
        <ns0:f>IF(AND(Bookings!G190="Approved",E190="Yes"),N190,0)</ns0:f>
        <ns0:v>0</ns0:v>
      </ns0:c>
      <ns0:c r="P190" s="0">
        <ns0:f>IF(AND(Bookings!G190="Approved",E190="Yes",L190=0,$B$6=0),H190,0)</ns0:f>
        <ns0:v>0</ns0:v>
      </ns0:c>
      <ns0:c r="Q190" s="0">
        <ns0:f>IF(AND(Bookings!G190="Approved",E190="Yes",L190=0,$B$6=0),I190,0)</ns0:f>
        <ns0:v>0</ns0:v>
      </ns0:c>
      <ns0:c r="R190" s="0">
        <ns0:f>IF(AND(Bookings!G190="Pending",E190="Yes"),N190,0)</ns0:f>
        <ns0:v>0</ns0:v>
      </ns0:c>
      <ns0:c r="S190" s="0">
        <ns0:f>IF(AND(Bookings!G190="Approved",E190="No"),N190,0)</ns0:f>
        <ns0:v>0</ns0:v>
      </ns0:c>
      <ns0:c r="T190" s="0">
        <ns0:f>IFERROR(MATCH(D190,Settings!$G$7:$G$11,0),0)</ns0:f>
        <ns0:v>0</ns0:v>
      </ns0:c>
      <ns0:c r="U190" s="0">
        <ns0:f>IF(N190&gt;0,T190+IF(Bookings!G190="Pending",10,0),0)</ns0:f>
        <ns0:v>0</ns0:v>
      </ns0:c>
      <ns0:c r="V190" s="0">
        <ns0:f>U190</ns0:f>
        <ns0:v>0</ns0:v>
      </ns0:c>
      <ns0:c r="W190" s="0" t="str">
        <ns0:f>IF(C190=0,"",INDEX($AP$11:$AP$60,C190))</ns0:f>
        <ns0:v/>
      </ns0:c>
    </ns0:row>
    <ns0:row r="191">
      <ns0:c r="A191" s="0">
        <ns0:f>IF(COUNTA(Bookings!A191:G191,Bookings!I191)=0,0,1)</ns0:f>
        <ns0:v>0</ns0:v>
      </ns0:c>
      <ns0:c r="B191" s="0" t="str">
        <ns0:f>IFERROR(TRIM(MID(Bookings!A191,FIND(" · ",Bookings!A191)+3,99)),"")</ns0:f>
        <ns0:v/>
      </ns0:c>
      <ns0:c r="C191" s="0">
        <ns0:f>IF(OR(B191="",LEN(B191)&gt;24,ISNUMBER(FIND(" ",B191)),ISNUMBER(FIND("*",B191)),ISNUMBER(FIND("?",B191)),ISNUMBER(FIND("~",B191))),0,IFERROR(MATCH(B191,Team!$A$11:$A$60,0),0))</ns0:f>
        <ns0:v>0</ns0:v>
      </ns0:c>
      <ns0:c r="D191" s="0" t="str">
        <ns0:f>IFERROR(IF(MID(Bookings!F191,LEN(Bookings!F191)-3,3)=" · ",RIGHT(Bookings!F191,1),""),"")</ns0:f>
        <ns0:v/>
      </ns0:c>
      <ns0:c r="E191" s="0" t="str">
        <ns0:f>IFERROR(INDEX(Settings!$H$7:$H$11,MATCH(D191,Settings!$G$7:$G$11,0)),"")</ns0:f>
        <ns0:v/>
      </ns0:c>
      <ns0:c r="F191" s="0" t="str">
        <ns0:f>IF(A191=0,"",IFERROR(IF(OR(B191="",C191=0),"CHECK employee selection",IF(INDEX(Team!$O$11:$O$60,C191)&lt;&gt;"OK","CHECK employee setup",IF(OR('_Dates'!J191=0,'_Dates'!T191=0),"CHECK date: use DD.MM.YYYY",IF('_Dates'!T191&lt;'_Dates'!J191,"CHECK end before start",IF(AND($B$6=0,OR('_Dates'!J191&lt;Settings!$B$7,'_Dates'!T191&gt;Settings!$B$8)),"CHECK split across leave years",IF(OR(NOT(OR('_Dates'!U191="Full day",'_Dates'!U191="AM",'_Dates'!U191="PM")),NOT(OR('_Dates'!V191="Full day",'_Dates'!V191="AM",'_Dates'!V191="PM"))),"CHECK Full day / AM / PM",IF(AND('_Dates'!J191='_Dates'!T191,'_Dates'!U191&lt;&gt;"Full day",'_Dates'!V191&lt;&gt;"Full day",'_Dates'!U191&lt;&gt;'_Dates'!V191),"CHECK same-day portions disagree",IF(AND($B$6=0,OR(AND('_Dates'!U191&lt;&gt;"Full day",'_Dates'!AA191=0),AND('_Dates'!V191&lt;&gt;"Full day",'_Dates'!AB191=0))),"CHECK half-day on non-working date",IF(COUNTIF(Settings!$G$7:$G$11,D191)&lt;&gt;1,"CHECK leave type",IF(AND(Bookings!G191&lt;&gt;"Approved",Bookings!G191&lt;&gt;"Pending",Bookings!G191&lt;&gt;"Cancelled"),"CHECK status","OK")))))))))),"CHECK input"))</ns0:f>
        <ns0:v/>
      </ns0:c>
      <ns0:c r="G191" s="0">
        <ns0:f>IF(OR(F191&lt;&gt;"OK",$B$6&gt;0),0,0.5*(IF(('_Dates'!X191)&lt;('_Dates'!W191),0,INT((('_Dates'!X191)-('_Dates'!W191)+1)/7)*LEN(SUBSTITUTE(W191,"O",""))+LEN(SUBSTITUTE(MID(W191&amp;W191,WEEKDAY(('_Dates'!W191),2),MOD((('_Dates'!X191)-('_Dates'!W191)+1),7)),"O",""))-COUNTIFS(INDEX(AllClosureRows,C191,0),"&gt;="&amp;('_Dates'!W191),INDEX(AllClosureRows,C191,0),"&lt;="&amp;('_Dates'!X191)))+IF(('_Dates'!Z191)&lt;('_Dates'!Y191),0,INT((('_Dates'!Z191)-('_Dates'!Y191)+1)/7)*LEN(SUBSTITUTE(W191,"O",""))+LEN(SUBSTITUTE(MID(W191&amp;W191,WEEKDAY(('_Dates'!Y191),2),MOD((('_Dates'!Z191)-('_Dates'!Y191)+1),7)),"O",""))-COUNTIFS(INDEX(AllClosureRows,C191,0),"&gt;="&amp;('_Dates'!Y191),INDEX(AllClosureRows,C191,0),"&lt;="&amp;('_Dates'!Z191)))))</ns0:f>
        <ns0:v>0</ns0:v>
      </ns0:c>
      <ns0:c r="H191" s="0">
        <ns0:f>IF(OR(F191&lt;&gt;"OK",$B$6&gt;0),0,0.5*(IF((MIN('_Dates'!X191,Settings!$B$9))&lt;('_Dates'!W191),0,INT(((MIN('_Dates'!X191,Settings!$B$9))-('_Dates'!W191)+1)/7)*LEN(SUBSTITUTE(W191,"O",""))+LEN(SUBSTITUTE(MID(W191&amp;W191,WEEKDAY(('_Dates'!W191),2),MOD(((MIN('_Dates'!X191,Settings!$B$9))-('_Dates'!W191)+1),7)),"O",""))-COUNTIFS(INDEX(AllClosureRows,C191,0),"&gt;="&amp;('_Dates'!W191),INDEX(AllClosureRows,C191,0),"&lt;="&amp;(MIN('_Dates'!X191,Settings!$B$9))))+IF((MIN('_Dates'!Z191,Settings!$B$9))&lt;('_Dates'!Y191),0,INT(((MIN('_Dates'!Z191,Settings!$B$9))-('_Dates'!Y191)+1)/7)*LEN(SUBSTITUTE(W191,"O",""))+LEN(SUBSTITUTE(MID(W191&amp;W191,WEEKDAY(('_Dates'!Y191),2),MOD(((MIN('_Dates'!Z191,Settings!$B$9))-('_Dates'!Y191)+1),7)),"O",""))-COUNTIFS(INDEX(AllClosureRows,C191,0),"&gt;="&amp;('_Dates'!Y191),INDEX(AllClosureRows,C191,0),"&lt;="&amp;(MIN('_Dates'!Z191,Settings!$B$9))))))</ns0:f>
        <ns0:v>0</ns0:v>
      </ns0:c>
      <ns0:c r="I191" s="0">
        <ns0:f>MAX(0,G191-H191)</ns0:f>
        <ns0:v>0</ns0:v>
      </ns0:c>
      <ns0:c r="J191" s="0">
        <ns0:f>IF(OR(A191=0,F191&lt;&gt;"OK",Bookings!G191="Cancelled",$B$6&gt;0),0,IF('_Dates'!AC191=1,MAX(0,COUNTIFS(rngEngine_B,B191,rngAMStart,"&lt;="&amp;'_Dates'!X191,rngAMEnd,"&gt;="&amp;'_Dates'!W191,rngAMActive,1,rngEngine_F,"OK",rngBookings_F,"&lt;&gt;Cancelled")-1),0)+IF('_Dates'!AD191=1,MAX(0,COUNTIFS(rngEngine_B,B191,rngPMStart,"&lt;="&amp;'_Dates'!Z191,rngPMEnd,"&gt;="&amp;'_Dates'!Y191,rngPMActive,1,rngEngine_F,"OK",rngBookings_F,"&lt;&gt;Cancelled")-1),0))</ns0:f>
        <ns0:v>0</ns0:v>
      </ns0:c>
      <ns0:c r="K191" s="0" t="str">
        <ns0:f>IF(A191=0,"",IF(F191&lt;&gt;"OK",F191,IF(J191&gt;0,"CHECK overlapping entry",IF(AND($B$6=0,G191&lt;=0,Bookings!G191&lt;&gt;"Cancelled"),"CHECK no working days",IF(Bookings!G191="Cancelled","Cancelled","OK")))))</ns0:f>
        <ns0:v/>
      </ns0:c>
      <ns0:c r="L191" s="0">
        <ns0:f>IF(LEFT(K191,5)="CHECK",1,0)</ns0:f>
        <ns0:v>0</ns0:v>
      </ns0:c>
      <ns0:c r="M191" s="0">
        <ns0:f>IF(AND(L191=1,OR(C191=0,IFERROR(INDEX($X$11:$X$60,C191),0)=0)),1,0)</ns0:f>
        <ns0:v>0</ns0:v>
      </ns0:c>
      <ns0:c r="N191" s="0">
        <ns0:f>IF(OR(A191=0,L191&gt;0,$B$6&gt;0,Bookings!G191="Cancelled"),0,G191)</ns0:f>
        <ns0:v>0</ns0:v>
      </ns0:c>
      <ns0:c r="O191" s="0">
        <ns0:f>IF(AND(Bookings!G191="Approved",E191="Yes"),N191,0)</ns0:f>
        <ns0:v>0</ns0:v>
      </ns0:c>
      <ns0:c r="P191" s="0">
        <ns0:f>IF(AND(Bookings!G191="Approved",E191="Yes",L191=0,$B$6=0),H191,0)</ns0:f>
        <ns0:v>0</ns0:v>
      </ns0:c>
      <ns0:c r="Q191" s="0">
        <ns0:f>IF(AND(Bookings!G191="Approved",E191="Yes",L191=0,$B$6=0),I191,0)</ns0:f>
        <ns0:v>0</ns0:v>
      </ns0:c>
      <ns0:c r="R191" s="0">
        <ns0:f>IF(AND(Bookings!G191="Pending",E191="Yes"),N191,0)</ns0:f>
        <ns0:v>0</ns0:v>
      </ns0:c>
      <ns0:c r="S191" s="0">
        <ns0:f>IF(AND(Bookings!G191="Approved",E191="No"),N191,0)</ns0:f>
        <ns0:v>0</ns0:v>
      </ns0:c>
      <ns0:c r="T191" s="0">
        <ns0:f>IFERROR(MATCH(D191,Settings!$G$7:$G$11,0),0)</ns0:f>
        <ns0:v>0</ns0:v>
      </ns0:c>
      <ns0:c r="U191" s="0">
        <ns0:f>IF(N191&gt;0,T191+IF(Bookings!G191="Pending",10,0),0)</ns0:f>
        <ns0:v>0</ns0:v>
      </ns0:c>
      <ns0:c r="V191" s="0">
        <ns0:f>U191</ns0:f>
        <ns0:v>0</ns0:v>
      </ns0:c>
      <ns0:c r="W191" s="0" t="str">
        <ns0:f>IF(C191=0,"",INDEX($AP$11:$AP$60,C191))</ns0:f>
        <ns0:v/>
      </ns0:c>
    </ns0:row>
    <ns0:row r="192">
      <ns0:c r="A192" s="0">
        <ns0:f>IF(COUNTA(Bookings!A192:G192,Bookings!I192)=0,0,1)</ns0:f>
        <ns0:v>0</ns0:v>
      </ns0:c>
      <ns0:c r="B192" s="0" t="str">
        <ns0:f>IFERROR(TRIM(MID(Bookings!A192,FIND(" · ",Bookings!A192)+3,99)),"")</ns0:f>
        <ns0:v/>
      </ns0:c>
      <ns0:c r="C192" s="0">
        <ns0:f>IF(OR(B192="",LEN(B192)&gt;24,ISNUMBER(FIND(" ",B192)),ISNUMBER(FIND("*",B192)),ISNUMBER(FIND("?",B192)),ISNUMBER(FIND("~",B192))),0,IFERROR(MATCH(B192,Team!$A$11:$A$60,0),0))</ns0:f>
        <ns0:v>0</ns0:v>
      </ns0:c>
      <ns0:c r="D192" s="0" t="str">
        <ns0:f>IFERROR(IF(MID(Bookings!F192,LEN(Bookings!F192)-3,3)=" · ",RIGHT(Bookings!F192,1),""),"")</ns0:f>
        <ns0:v/>
      </ns0:c>
      <ns0:c r="E192" s="0" t="str">
        <ns0:f>IFERROR(INDEX(Settings!$H$7:$H$11,MATCH(D192,Settings!$G$7:$G$11,0)),"")</ns0:f>
        <ns0:v/>
      </ns0:c>
      <ns0:c r="F192" s="0" t="str">
        <ns0:f>IF(A192=0,"",IFERROR(IF(OR(B192="",C192=0),"CHECK employee selection",IF(INDEX(Team!$O$11:$O$60,C192)&lt;&gt;"OK","CHECK employee setup",IF(OR('_Dates'!J192=0,'_Dates'!T192=0),"CHECK date: use DD.MM.YYYY",IF('_Dates'!T192&lt;'_Dates'!J192,"CHECK end before start",IF(AND($B$6=0,OR('_Dates'!J192&lt;Settings!$B$7,'_Dates'!T192&gt;Settings!$B$8)),"CHECK split across leave years",IF(OR(NOT(OR('_Dates'!U192="Full day",'_Dates'!U192="AM",'_Dates'!U192="PM")),NOT(OR('_Dates'!V192="Full day",'_Dates'!V192="AM",'_Dates'!V192="PM"))),"CHECK Full day / AM / PM",IF(AND('_Dates'!J192='_Dates'!T192,'_Dates'!U192&lt;&gt;"Full day",'_Dates'!V192&lt;&gt;"Full day",'_Dates'!U192&lt;&gt;'_Dates'!V192),"CHECK same-day portions disagree",IF(AND($B$6=0,OR(AND('_Dates'!U192&lt;&gt;"Full day",'_Dates'!AA192=0),AND('_Dates'!V192&lt;&gt;"Full day",'_Dates'!AB192=0))),"CHECK half-day on non-working date",IF(COUNTIF(Settings!$G$7:$G$11,D192)&lt;&gt;1,"CHECK leave type",IF(AND(Bookings!G192&lt;&gt;"Approved",Bookings!G192&lt;&gt;"Pending",Bookings!G192&lt;&gt;"Cancelled"),"CHECK status","OK")))))))))),"CHECK input"))</ns0:f>
        <ns0:v/>
      </ns0:c>
      <ns0:c r="G192" s="0">
        <ns0:f>IF(OR(F192&lt;&gt;"OK",$B$6&gt;0),0,0.5*(IF(('_Dates'!X192)&lt;('_Dates'!W192),0,INT((('_Dates'!X192)-('_Dates'!W192)+1)/7)*LEN(SUBSTITUTE(W192,"O",""))+LEN(SUBSTITUTE(MID(W192&amp;W192,WEEKDAY(('_Dates'!W192),2),MOD((('_Dates'!X192)-('_Dates'!W192)+1),7)),"O",""))-COUNTIFS(INDEX(AllClosureRows,C192,0),"&gt;="&amp;('_Dates'!W192),INDEX(AllClosureRows,C192,0),"&lt;="&amp;('_Dates'!X192)))+IF(('_Dates'!Z192)&lt;('_Dates'!Y192),0,INT((('_Dates'!Z192)-('_Dates'!Y192)+1)/7)*LEN(SUBSTITUTE(W192,"O",""))+LEN(SUBSTITUTE(MID(W192&amp;W192,WEEKDAY(('_Dates'!Y192),2),MOD((('_Dates'!Z192)-('_Dates'!Y192)+1),7)),"O",""))-COUNTIFS(INDEX(AllClosureRows,C192,0),"&gt;="&amp;('_Dates'!Y192),INDEX(AllClosureRows,C192,0),"&lt;="&amp;('_Dates'!Z192)))))</ns0:f>
        <ns0:v>0</ns0:v>
      </ns0:c>
      <ns0:c r="H192" s="0">
        <ns0:f>IF(OR(F192&lt;&gt;"OK",$B$6&gt;0),0,0.5*(IF((MIN('_Dates'!X192,Settings!$B$9))&lt;('_Dates'!W192),0,INT(((MIN('_Dates'!X192,Settings!$B$9))-('_Dates'!W192)+1)/7)*LEN(SUBSTITUTE(W192,"O",""))+LEN(SUBSTITUTE(MID(W192&amp;W192,WEEKDAY(('_Dates'!W192),2),MOD(((MIN('_Dates'!X192,Settings!$B$9))-('_Dates'!W192)+1),7)),"O",""))-COUNTIFS(INDEX(AllClosureRows,C192,0),"&gt;="&amp;('_Dates'!W192),INDEX(AllClosureRows,C192,0),"&lt;="&amp;(MIN('_Dates'!X192,Settings!$B$9))))+IF((MIN('_Dates'!Z192,Settings!$B$9))&lt;('_Dates'!Y192),0,INT(((MIN('_Dates'!Z192,Settings!$B$9))-('_Dates'!Y192)+1)/7)*LEN(SUBSTITUTE(W192,"O",""))+LEN(SUBSTITUTE(MID(W192&amp;W192,WEEKDAY(('_Dates'!Y192),2),MOD(((MIN('_Dates'!Z192,Settings!$B$9))-('_Dates'!Y192)+1),7)),"O",""))-COUNTIFS(INDEX(AllClosureRows,C192,0),"&gt;="&amp;('_Dates'!Y192),INDEX(AllClosureRows,C192,0),"&lt;="&amp;(MIN('_Dates'!Z192,Settings!$B$9))))))</ns0:f>
        <ns0:v>0</ns0:v>
      </ns0:c>
      <ns0:c r="I192" s="0">
        <ns0:f>MAX(0,G192-H192)</ns0:f>
        <ns0:v>0</ns0:v>
      </ns0:c>
      <ns0:c r="J192" s="0">
        <ns0:f>IF(OR(A192=0,F192&lt;&gt;"OK",Bookings!G192="Cancelled",$B$6&gt;0),0,IF('_Dates'!AC192=1,MAX(0,COUNTIFS(rngEngine_B,B192,rngAMStart,"&lt;="&amp;'_Dates'!X192,rngAMEnd,"&gt;="&amp;'_Dates'!W192,rngAMActive,1,rngEngine_F,"OK",rngBookings_F,"&lt;&gt;Cancelled")-1),0)+IF('_Dates'!AD192=1,MAX(0,COUNTIFS(rngEngine_B,B192,rngPMStart,"&lt;="&amp;'_Dates'!Z192,rngPMEnd,"&gt;="&amp;'_Dates'!Y192,rngPMActive,1,rngEngine_F,"OK",rngBookings_F,"&lt;&gt;Cancelled")-1),0))</ns0:f>
        <ns0:v>0</ns0:v>
      </ns0:c>
      <ns0:c r="K192" s="0" t="str">
        <ns0:f>IF(A192=0,"",IF(F192&lt;&gt;"OK",F192,IF(J192&gt;0,"CHECK overlapping entry",IF(AND($B$6=0,G192&lt;=0,Bookings!G192&lt;&gt;"Cancelled"),"CHECK no working days",IF(Bookings!G192="Cancelled","Cancelled","OK")))))</ns0:f>
        <ns0:v/>
      </ns0:c>
      <ns0:c r="L192" s="0">
        <ns0:f>IF(LEFT(K192,5)="CHECK",1,0)</ns0:f>
        <ns0:v>0</ns0:v>
      </ns0:c>
      <ns0:c r="M192" s="0">
        <ns0:f>IF(AND(L192=1,OR(C192=0,IFERROR(INDEX($X$11:$X$60,C192),0)=0)),1,0)</ns0:f>
        <ns0:v>0</ns0:v>
      </ns0:c>
      <ns0:c r="N192" s="0">
        <ns0:f>IF(OR(A192=0,L192&gt;0,$B$6&gt;0,Bookings!G192="Cancelled"),0,G192)</ns0:f>
        <ns0:v>0</ns0:v>
      </ns0:c>
      <ns0:c r="O192" s="0">
        <ns0:f>IF(AND(Bookings!G192="Approved",E192="Yes"),N192,0)</ns0:f>
        <ns0:v>0</ns0:v>
      </ns0:c>
      <ns0:c r="P192" s="0">
        <ns0:f>IF(AND(Bookings!G192="Approved",E192="Yes",L192=0,$B$6=0),H192,0)</ns0:f>
        <ns0:v>0</ns0:v>
      </ns0:c>
      <ns0:c r="Q192" s="0">
        <ns0:f>IF(AND(Bookings!G192="Approved",E192="Yes",L192=0,$B$6=0),I192,0)</ns0:f>
        <ns0:v>0</ns0:v>
      </ns0:c>
      <ns0:c r="R192" s="0">
        <ns0:f>IF(AND(Bookings!G192="Pending",E192="Yes"),N192,0)</ns0:f>
        <ns0:v>0</ns0:v>
      </ns0:c>
      <ns0:c r="S192" s="0">
        <ns0:f>IF(AND(Bookings!G192="Approved",E192="No"),N192,0)</ns0:f>
        <ns0:v>0</ns0:v>
      </ns0:c>
      <ns0:c r="T192" s="0">
        <ns0:f>IFERROR(MATCH(D192,Settings!$G$7:$G$11,0),0)</ns0:f>
        <ns0:v>0</ns0:v>
      </ns0:c>
      <ns0:c r="U192" s="0">
        <ns0:f>IF(N192&gt;0,T192+IF(Bookings!G192="Pending",10,0),0)</ns0:f>
        <ns0:v>0</ns0:v>
      </ns0:c>
      <ns0:c r="V192" s="0">
        <ns0:f>U192</ns0:f>
        <ns0:v>0</ns0:v>
      </ns0:c>
      <ns0:c r="W192" s="0" t="str">
        <ns0:f>IF(C192=0,"",INDEX($AP$11:$AP$60,C192))</ns0:f>
        <ns0:v/>
      </ns0:c>
    </ns0:row>
    <ns0:row r="193">
      <ns0:c r="A193" s="0">
        <ns0:f>IF(COUNTA(Bookings!A193:G193,Bookings!I193)=0,0,1)</ns0:f>
        <ns0:v>0</ns0:v>
      </ns0:c>
      <ns0:c r="B193" s="0" t="str">
        <ns0:f>IFERROR(TRIM(MID(Bookings!A193,FIND(" · ",Bookings!A193)+3,99)),"")</ns0:f>
        <ns0:v/>
      </ns0:c>
      <ns0:c r="C193" s="0">
        <ns0:f>IF(OR(B193="",LEN(B193)&gt;24,ISNUMBER(FIND(" ",B193)),ISNUMBER(FIND("*",B193)),ISNUMBER(FIND("?",B193)),ISNUMBER(FIND("~",B193))),0,IFERROR(MATCH(B193,Team!$A$11:$A$60,0),0))</ns0:f>
        <ns0:v>0</ns0:v>
      </ns0:c>
      <ns0:c r="D193" s="0" t="str">
        <ns0:f>IFERROR(IF(MID(Bookings!F193,LEN(Bookings!F193)-3,3)=" · ",RIGHT(Bookings!F193,1),""),"")</ns0:f>
        <ns0:v/>
      </ns0:c>
      <ns0:c r="E193" s="0" t="str">
        <ns0:f>IFERROR(INDEX(Settings!$H$7:$H$11,MATCH(D193,Settings!$G$7:$G$11,0)),"")</ns0:f>
        <ns0:v/>
      </ns0:c>
      <ns0:c r="F193" s="0" t="str">
        <ns0:f>IF(A193=0,"",IFERROR(IF(OR(B193="",C193=0),"CHECK employee selection",IF(INDEX(Team!$O$11:$O$60,C193)&lt;&gt;"OK","CHECK employee setup",IF(OR('_Dates'!J193=0,'_Dates'!T193=0),"CHECK date: use DD.MM.YYYY",IF('_Dates'!T193&lt;'_Dates'!J193,"CHECK end before start",IF(AND($B$6=0,OR('_Dates'!J193&lt;Settings!$B$7,'_Dates'!T193&gt;Settings!$B$8)),"CHECK split across leave years",IF(OR(NOT(OR('_Dates'!U193="Full day",'_Dates'!U193="AM",'_Dates'!U193="PM")),NOT(OR('_Dates'!V193="Full day",'_Dates'!V193="AM",'_Dates'!V193="PM"))),"CHECK Full day / AM / PM",IF(AND('_Dates'!J193='_Dates'!T193,'_Dates'!U193&lt;&gt;"Full day",'_Dates'!V193&lt;&gt;"Full day",'_Dates'!U193&lt;&gt;'_Dates'!V193),"CHECK same-day portions disagree",IF(AND($B$6=0,OR(AND('_Dates'!U193&lt;&gt;"Full day",'_Dates'!AA193=0),AND('_Dates'!V193&lt;&gt;"Full day",'_Dates'!AB193=0))),"CHECK half-day on non-working date",IF(COUNTIF(Settings!$G$7:$G$11,D193)&lt;&gt;1,"CHECK leave type",IF(AND(Bookings!G193&lt;&gt;"Approved",Bookings!G193&lt;&gt;"Pending",Bookings!G193&lt;&gt;"Cancelled"),"CHECK status","OK")))))))))),"CHECK input"))</ns0:f>
        <ns0:v/>
      </ns0:c>
      <ns0:c r="G193" s="0">
        <ns0:f>IF(OR(F193&lt;&gt;"OK",$B$6&gt;0),0,0.5*(IF(('_Dates'!X193)&lt;('_Dates'!W193),0,INT((('_Dates'!X193)-('_Dates'!W193)+1)/7)*LEN(SUBSTITUTE(W193,"O",""))+LEN(SUBSTITUTE(MID(W193&amp;W193,WEEKDAY(('_Dates'!W193),2),MOD((('_Dates'!X193)-('_Dates'!W193)+1),7)),"O",""))-COUNTIFS(INDEX(AllClosureRows,C193,0),"&gt;="&amp;('_Dates'!W193),INDEX(AllClosureRows,C193,0),"&lt;="&amp;('_Dates'!X193)))+IF(('_Dates'!Z193)&lt;('_Dates'!Y193),0,INT((('_Dates'!Z193)-('_Dates'!Y193)+1)/7)*LEN(SUBSTITUTE(W193,"O",""))+LEN(SUBSTITUTE(MID(W193&amp;W193,WEEKDAY(('_Dates'!Y193),2),MOD((('_Dates'!Z193)-('_Dates'!Y193)+1),7)),"O",""))-COUNTIFS(INDEX(AllClosureRows,C193,0),"&gt;="&amp;('_Dates'!Y193),INDEX(AllClosureRows,C193,0),"&lt;="&amp;('_Dates'!Z193)))))</ns0:f>
        <ns0:v>0</ns0:v>
      </ns0:c>
      <ns0:c r="H193" s="0">
        <ns0:f>IF(OR(F193&lt;&gt;"OK",$B$6&gt;0),0,0.5*(IF((MIN('_Dates'!X193,Settings!$B$9))&lt;('_Dates'!W193),0,INT(((MIN('_Dates'!X193,Settings!$B$9))-('_Dates'!W193)+1)/7)*LEN(SUBSTITUTE(W193,"O",""))+LEN(SUBSTITUTE(MID(W193&amp;W193,WEEKDAY(('_Dates'!W193),2),MOD(((MIN('_Dates'!X193,Settings!$B$9))-('_Dates'!W193)+1),7)),"O",""))-COUNTIFS(INDEX(AllClosureRows,C193,0),"&gt;="&amp;('_Dates'!W193),INDEX(AllClosureRows,C193,0),"&lt;="&amp;(MIN('_Dates'!X193,Settings!$B$9))))+IF((MIN('_Dates'!Z193,Settings!$B$9))&lt;('_Dates'!Y193),0,INT(((MIN('_Dates'!Z193,Settings!$B$9))-('_Dates'!Y193)+1)/7)*LEN(SUBSTITUTE(W193,"O",""))+LEN(SUBSTITUTE(MID(W193&amp;W193,WEEKDAY(('_Dates'!Y193),2),MOD(((MIN('_Dates'!Z193,Settings!$B$9))-('_Dates'!Y193)+1),7)),"O",""))-COUNTIFS(INDEX(AllClosureRows,C193,0),"&gt;="&amp;('_Dates'!Y193),INDEX(AllClosureRows,C193,0),"&lt;="&amp;(MIN('_Dates'!Z193,Settings!$B$9))))))</ns0:f>
        <ns0:v>0</ns0:v>
      </ns0:c>
      <ns0:c r="I193" s="0">
        <ns0:f>MAX(0,G193-H193)</ns0:f>
        <ns0:v>0</ns0:v>
      </ns0:c>
      <ns0:c r="J193" s="0">
        <ns0:f>IF(OR(A193=0,F193&lt;&gt;"OK",Bookings!G193="Cancelled",$B$6&gt;0),0,IF('_Dates'!AC193=1,MAX(0,COUNTIFS(rngEngine_B,B193,rngAMStart,"&lt;="&amp;'_Dates'!X193,rngAMEnd,"&gt;="&amp;'_Dates'!W193,rngAMActive,1,rngEngine_F,"OK",rngBookings_F,"&lt;&gt;Cancelled")-1),0)+IF('_Dates'!AD193=1,MAX(0,COUNTIFS(rngEngine_B,B193,rngPMStart,"&lt;="&amp;'_Dates'!Z193,rngPMEnd,"&gt;="&amp;'_Dates'!Y193,rngPMActive,1,rngEngine_F,"OK",rngBookings_F,"&lt;&gt;Cancelled")-1),0))</ns0:f>
        <ns0:v>0</ns0:v>
      </ns0:c>
      <ns0:c r="K193" s="0" t="str">
        <ns0:f>IF(A193=0,"",IF(F193&lt;&gt;"OK",F193,IF(J193&gt;0,"CHECK overlapping entry",IF(AND($B$6=0,G193&lt;=0,Bookings!G193&lt;&gt;"Cancelled"),"CHECK no working days",IF(Bookings!G193="Cancelled","Cancelled","OK")))))</ns0:f>
        <ns0:v/>
      </ns0:c>
      <ns0:c r="L193" s="0">
        <ns0:f>IF(LEFT(K193,5)="CHECK",1,0)</ns0:f>
        <ns0:v>0</ns0:v>
      </ns0:c>
      <ns0:c r="M193" s="0">
        <ns0:f>IF(AND(L193=1,OR(C193=0,IFERROR(INDEX($X$11:$X$60,C193),0)=0)),1,0)</ns0:f>
        <ns0:v>0</ns0:v>
      </ns0:c>
      <ns0:c r="N193" s="0">
        <ns0:f>IF(OR(A193=0,L193&gt;0,$B$6&gt;0,Bookings!G193="Cancelled"),0,G193)</ns0:f>
        <ns0:v>0</ns0:v>
      </ns0:c>
      <ns0:c r="O193" s="0">
        <ns0:f>IF(AND(Bookings!G193="Approved",E193="Yes"),N193,0)</ns0:f>
        <ns0:v>0</ns0:v>
      </ns0:c>
      <ns0:c r="P193" s="0">
        <ns0:f>IF(AND(Bookings!G193="Approved",E193="Yes",L193=0,$B$6=0),H193,0)</ns0:f>
        <ns0:v>0</ns0:v>
      </ns0:c>
      <ns0:c r="Q193" s="0">
        <ns0:f>IF(AND(Bookings!G193="Approved",E193="Yes",L193=0,$B$6=0),I193,0)</ns0:f>
        <ns0:v>0</ns0:v>
      </ns0:c>
      <ns0:c r="R193" s="0">
        <ns0:f>IF(AND(Bookings!G193="Pending",E193="Yes"),N193,0)</ns0:f>
        <ns0:v>0</ns0:v>
      </ns0:c>
      <ns0:c r="S193" s="0">
        <ns0:f>IF(AND(Bookings!G193="Approved",E193="No"),N193,0)</ns0:f>
        <ns0:v>0</ns0:v>
      </ns0:c>
      <ns0:c r="T193" s="0">
        <ns0:f>IFERROR(MATCH(D193,Settings!$G$7:$G$11,0),0)</ns0:f>
        <ns0:v>0</ns0:v>
      </ns0:c>
      <ns0:c r="U193" s="0">
        <ns0:f>IF(N193&gt;0,T193+IF(Bookings!G193="Pending",10,0),0)</ns0:f>
        <ns0:v>0</ns0:v>
      </ns0:c>
      <ns0:c r="V193" s="0">
        <ns0:f>U193</ns0:f>
        <ns0:v>0</ns0:v>
      </ns0:c>
      <ns0:c r="W193" s="0" t="str">
        <ns0:f>IF(C193=0,"",INDEX($AP$11:$AP$60,C193))</ns0:f>
        <ns0:v/>
      </ns0:c>
    </ns0:row>
    <ns0:row r="194">
      <ns0:c r="A194" s="0">
        <ns0:f>IF(COUNTA(Bookings!A194:G194,Bookings!I194)=0,0,1)</ns0:f>
        <ns0:v>0</ns0:v>
      </ns0:c>
      <ns0:c r="B194" s="0" t="str">
        <ns0:f>IFERROR(TRIM(MID(Bookings!A194,FIND(" · ",Bookings!A194)+3,99)),"")</ns0:f>
        <ns0:v/>
      </ns0:c>
      <ns0:c r="C194" s="0">
        <ns0:f>IF(OR(B194="",LEN(B194)&gt;24,ISNUMBER(FIND(" ",B194)),ISNUMBER(FIND("*",B194)),ISNUMBER(FIND("?",B194)),ISNUMBER(FIND("~",B194))),0,IFERROR(MATCH(B194,Team!$A$11:$A$60,0),0))</ns0:f>
        <ns0:v>0</ns0:v>
      </ns0:c>
      <ns0:c r="D194" s="0" t="str">
        <ns0:f>IFERROR(IF(MID(Bookings!F194,LEN(Bookings!F194)-3,3)=" · ",RIGHT(Bookings!F194,1),""),"")</ns0:f>
        <ns0:v/>
      </ns0:c>
      <ns0:c r="E194" s="0" t="str">
        <ns0:f>IFERROR(INDEX(Settings!$H$7:$H$11,MATCH(D194,Settings!$G$7:$G$11,0)),"")</ns0:f>
        <ns0:v/>
      </ns0:c>
      <ns0:c r="F194" s="0" t="str">
        <ns0:f>IF(A194=0,"",IFERROR(IF(OR(B194="",C194=0),"CHECK employee selection",IF(INDEX(Team!$O$11:$O$60,C194)&lt;&gt;"OK","CHECK employee setup",IF(OR('_Dates'!J194=0,'_Dates'!T194=0),"CHECK date: use DD.MM.YYYY",IF('_Dates'!T194&lt;'_Dates'!J194,"CHECK end before start",IF(AND($B$6=0,OR('_Dates'!J194&lt;Settings!$B$7,'_Dates'!T194&gt;Settings!$B$8)),"CHECK split across leave years",IF(OR(NOT(OR('_Dates'!U194="Full day",'_Dates'!U194="AM",'_Dates'!U194="PM")),NOT(OR('_Dates'!V194="Full day",'_Dates'!V194="AM",'_Dates'!V194="PM"))),"CHECK Full day / AM / PM",IF(AND('_Dates'!J194='_Dates'!T194,'_Dates'!U194&lt;&gt;"Full day",'_Dates'!V194&lt;&gt;"Full day",'_Dates'!U194&lt;&gt;'_Dates'!V194),"CHECK same-day portions disagree",IF(AND($B$6=0,OR(AND('_Dates'!U194&lt;&gt;"Full day",'_Dates'!AA194=0),AND('_Dates'!V194&lt;&gt;"Full day",'_Dates'!AB194=0))),"CHECK half-day on non-working date",IF(COUNTIF(Settings!$G$7:$G$11,D194)&lt;&gt;1,"CHECK leave type",IF(AND(Bookings!G194&lt;&gt;"Approved",Bookings!G194&lt;&gt;"Pending",Bookings!G194&lt;&gt;"Cancelled"),"CHECK status","OK")))))))))),"CHECK input"))</ns0:f>
        <ns0:v/>
      </ns0:c>
      <ns0:c r="G194" s="0">
        <ns0:f>IF(OR(F194&lt;&gt;"OK",$B$6&gt;0),0,0.5*(IF(('_Dates'!X194)&lt;('_Dates'!W194),0,INT((('_Dates'!X194)-('_Dates'!W194)+1)/7)*LEN(SUBSTITUTE(W194,"O",""))+LEN(SUBSTITUTE(MID(W194&amp;W194,WEEKDAY(('_Dates'!W194),2),MOD((('_Dates'!X194)-('_Dates'!W194)+1),7)),"O",""))-COUNTIFS(INDEX(AllClosureRows,C194,0),"&gt;="&amp;('_Dates'!W194),INDEX(AllClosureRows,C194,0),"&lt;="&amp;('_Dates'!X194)))+IF(('_Dates'!Z194)&lt;('_Dates'!Y194),0,INT((('_Dates'!Z194)-('_Dates'!Y194)+1)/7)*LEN(SUBSTITUTE(W194,"O",""))+LEN(SUBSTITUTE(MID(W194&amp;W194,WEEKDAY(('_Dates'!Y194),2),MOD((('_Dates'!Z194)-('_Dates'!Y194)+1),7)),"O",""))-COUNTIFS(INDEX(AllClosureRows,C194,0),"&gt;="&amp;('_Dates'!Y194),INDEX(AllClosureRows,C194,0),"&lt;="&amp;('_Dates'!Z194)))))</ns0:f>
        <ns0:v>0</ns0:v>
      </ns0:c>
      <ns0:c r="H194" s="0">
        <ns0:f>IF(OR(F194&lt;&gt;"OK",$B$6&gt;0),0,0.5*(IF((MIN('_Dates'!X194,Settings!$B$9))&lt;('_Dates'!W194),0,INT(((MIN('_Dates'!X194,Settings!$B$9))-('_Dates'!W194)+1)/7)*LEN(SUBSTITUTE(W194,"O",""))+LEN(SUBSTITUTE(MID(W194&amp;W194,WEEKDAY(('_Dates'!W194),2),MOD(((MIN('_Dates'!X194,Settings!$B$9))-('_Dates'!W194)+1),7)),"O",""))-COUNTIFS(INDEX(AllClosureRows,C194,0),"&gt;="&amp;('_Dates'!W194),INDEX(AllClosureRows,C194,0),"&lt;="&amp;(MIN('_Dates'!X194,Settings!$B$9))))+IF((MIN('_Dates'!Z194,Settings!$B$9))&lt;('_Dates'!Y194),0,INT(((MIN('_Dates'!Z194,Settings!$B$9))-('_Dates'!Y194)+1)/7)*LEN(SUBSTITUTE(W194,"O",""))+LEN(SUBSTITUTE(MID(W194&amp;W194,WEEKDAY(('_Dates'!Y194),2),MOD(((MIN('_Dates'!Z194,Settings!$B$9))-('_Dates'!Y194)+1),7)),"O",""))-COUNTIFS(INDEX(AllClosureRows,C194,0),"&gt;="&amp;('_Dates'!Y194),INDEX(AllClosureRows,C194,0),"&lt;="&amp;(MIN('_Dates'!Z194,Settings!$B$9))))))</ns0:f>
        <ns0:v>0</ns0:v>
      </ns0:c>
      <ns0:c r="I194" s="0">
        <ns0:f>MAX(0,G194-H194)</ns0:f>
        <ns0:v>0</ns0:v>
      </ns0:c>
      <ns0:c r="J194" s="0">
        <ns0:f>IF(OR(A194=0,F194&lt;&gt;"OK",Bookings!G194="Cancelled",$B$6&gt;0),0,IF('_Dates'!AC194=1,MAX(0,COUNTIFS(rngEngine_B,B194,rngAMStart,"&lt;="&amp;'_Dates'!X194,rngAMEnd,"&gt;="&amp;'_Dates'!W194,rngAMActive,1,rngEngine_F,"OK",rngBookings_F,"&lt;&gt;Cancelled")-1),0)+IF('_Dates'!AD194=1,MAX(0,COUNTIFS(rngEngine_B,B194,rngPMStart,"&lt;="&amp;'_Dates'!Z194,rngPMEnd,"&gt;="&amp;'_Dates'!Y194,rngPMActive,1,rngEngine_F,"OK",rngBookings_F,"&lt;&gt;Cancelled")-1),0))</ns0:f>
        <ns0:v>0</ns0:v>
      </ns0:c>
      <ns0:c r="K194" s="0" t="str">
        <ns0:f>IF(A194=0,"",IF(F194&lt;&gt;"OK",F194,IF(J194&gt;0,"CHECK overlapping entry",IF(AND($B$6=0,G194&lt;=0,Bookings!G194&lt;&gt;"Cancelled"),"CHECK no working days",IF(Bookings!G194="Cancelled","Cancelled","OK")))))</ns0:f>
        <ns0:v/>
      </ns0:c>
      <ns0:c r="L194" s="0">
        <ns0:f>IF(LEFT(K194,5)="CHECK",1,0)</ns0:f>
        <ns0:v>0</ns0:v>
      </ns0:c>
      <ns0:c r="M194" s="0">
        <ns0:f>IF(AND(L194=1,OR(C194=0,IFERROR(INDEX($X$11:$X$60,C194),0)=0)),1,0)</ns0:f>
        <ns0:v>0</ns0:v>
      </ns0:c>
      <ns0:c r="N194" s="0">
        <ns0:f>IF(OR(A194=0,L194&gt;0,$B$6&gt;0,Bookings!G194="Cancelled"),0,G194)</ns0:f>
        <ns0:v>0</ns0:v>
      </ns0:c>
      <ns0:c r="O194" s="0">
        <ns0:f>IF(AND(Bookings!G194="Approved",E194="Yes"),N194,0)</ns0:f>
        <ns0:v>0</ns0:v>
      </ns0:c>
      <ns0:c r="P194" s="0">
        <ns0:f>IF(AND(Bookings!G194="Approved",E194="Yes",L194=0,$B$6=0),H194,0)</ns0:f>
        <ns0:v>0</ns0:v>
      </ns0:c>
      <ns0:c r="Q194" s="0">
        <ns0:f>IF(AND(Bookings!G194="Approved",E194="Yes",L194=0,$B$6=0),I194,0)</ns0:f>
        <ns0:v>0</ns0:v>
      </ns0:c>
      <ns0:c r="R194" s="0">
        <ns0:f>IF(AND(Bookings!G194="Pending",E194="Yes"),N194,0)</ns0:f>
        <ns0:v>0</ns0:v>
      </ns0:c>
      <ns0:c r="S194" s="0">
        <ns0:f>IF(AND(Bookings!G194="Approved",E194="No"),N194,0)</ns0:f>
        <ns0:v>0</ns0:v>
      </ns0:c>
      <ns0:c r="T194" s="0">
        <ns0:f>IFERROR(MATCH(D194,Settings!$G$7:$G$11,0),0)</ns0:f>
        <ns0:v>0</ns0:v>
      </ns0:c>
      <ns0:c r="U194" s="0">
        <ns0:f>IF(N194&gt;0,T194+IF(Bookings!G194="Pending",10,0),0)</ns0:f>
        <ns0:v>0</ns0:v>
      </ns0:c>
      <ns0:c r="V194" s="0">
        <ns0:f>U194</ns0:f>
        <ns0:v>0</ns0:v>
      </ns0:c>
      <ns0:c r="W194" s="0" t="str">
        <ns0:f>IF(C194=0,"",INDEX($AP$11:$AP$60,C194))</ns0:f>
        <ns0:v/>
      </ns0:c>
    </ns0:row>
    <ns0:row r="195">
      <ns0:c r="A195" s="0">
        <ns0:f>IF(COUNTA(Bookings!A195:G195,Bookings!I195)=0,0,1)</ns0:f>
        <ns0:v>0</ns0:v>
      </ns0:c>
      <ns0:c r="B195" s="0" t="str">
        <ns0:f>IFERROR(TRIM(MID(Bookings!A195,FIND(" · ",Bookings!A195)+3,99)),"")</ns0:f>
        <ns0:v/>
      </ns0:c>
      <ns0:c r="C195" s="0">
        <ns0:f>IF(OR(B195="",LEN(B195)&gt;24,ISNUMBER(FIND(" ",B195)),ISNUMBER(FIND("*",B195)),ISNUMBER(FIND("?",B195)),ISNUMBER(FIND("~",B195))),0,IFERROR(MATCH(B195,Team!$A$11:$A$60,0),0))</ns0:f>
        <ns0:v>0</ns0:v>
      </ns0:c>
      <ns0:c r="D195" s="0" t="str">
        <ns0:f>IFERROR(IF(MID(Bookings!F195,LEN(Bookings!F195)-3,3)=" · ",RIGHT(Bookings!F195,1),""),"")</ns0:f>
        <ns0:v/>
      </ns0:c>
      <ns0:c r="E195" s="0" t="str">
        <ns0:f>IFERROR(INDEX(Settings!$H$7:$H$11,MATCH(D195,Settings!$G$7:$G$11,0)),"")</ns0:f>
        <ns0:v/>
      </ns0:c>
      <ns0:c r="F195" s="0" t="str">
        <ns0:f>IF(A195=0,"",IFERROR(IF(OR(B195="",C195=0),"CHECK employee selection",IF(INDEX(Team!$O$11:$O$60,C195)&lt;&gt;"OK","CHECK employee setup",IF(OR('_Dates'!J195=0,'_Dates'!T195=0),"CHECK date: use DD.MM.YYYY",IF('_Dates'!T195&lt;'_Dates'!J195,"CHECK end before start",IF(AND($B$6=0,OR('_Dates'!J195&lt;Settings!$B$7,'_Dates'!T195&gt;Settings!$B$8)),"CHECK split across leave years",IF(OR(NOT(OR('_Dates'!U195="Full day",'_Dates'!U195="AM",'_Dates'!U195="PM")),NOT(OR('_Dates'!V195="Full day",'_Dates'!V195="AM",'_Dates'!V195="PM"))),"CHECK Full day / AM / PM",IF(AND('_Dates'!J195='_Dates'!T195,'_Dates'!U195&lt;&gt;"Full day",'_Dates'!V195&lt;&gt;"Full day",'_Dates'!U195&lt;&gt;'_Dates'!V195),"CHECK same-day portions disagree",IF(AND($B$6=0,OR(AND('_Dates'!U195&lt;&gt;"Full day",'_Dates'!AA195=0),AND('_Dates'!V195&lt;&gt;"Full day",'_Dates'!AB195=0))),"CHECK half-day on non-working date",IF(COUNTIF(Settings!$G$7:$G$11,D195)&lt;&gt;1,"CHECK leave type",IF(AND(Bookings!G195&lt;&gt;"Approved",Bookings!G195&lt;&gt;"Pending",Bookings!G195&lt;&gt;"Cancelled"),"CHECK status","OK")))))))))),"CHECK input"))</ns0:f>
        <ns0:v/>
      </ns0:c>
      <ns0:c r="G195" s="0">
        <ns0:f>IF(OR(F195&lt;&gt;"OK",$B$6&gt;0),0,0.5*(IF(('_Dates'!X195)&lt;('_Dates'!W195),0,INT((('_Dates'!X195)-('_Dates'!W195)+1)/7)*LEN(SUBSTITUTE(W195,"O",""))+LEN(SUBSTITUTE(MID(W195&amp;W195,WEEKDAY(('_Dates'!W195),2),MOD((('_Dates'!X195)-('_Dates'!W195)+1),7)),"O",""))-COUNTIFS(INDEX(AllClosureRows,C195,0),"&gt;="&amp;('_Dates'!W195),INDEX(AllClosureRows,C195,0),"&lt;="&amp;('_Dates'!X195)))+IF(('_Dates'!Z195)&lt;('_Dates'!Y195),0,INT((('_Dates'!Z195)-('_Dates'!Y195)+1)/7)*LEN(SUBSTITUTE(W195,"O",""))+LEN(SUBSTITUTE(MID(W195&amp;W195,WEEKDAY(('_Dates'!Y195),2),MOD((('_Dates'!Z195)-('_Dates'!Y195)+1),7)),"O",""))-COUNTIFS(INDEX(AllClosureRows,C195,0),"&gt;="&amp;('_Dates'!Y195),INDEX(AllClosureRows,C195,0),"&lt;="&amp;('_Dates'!Z195)))))</ns0:f>
        <ns0:v>0</ns0:v>
      </ns0:c>
      <ns0:c r="H195" s="0">
        <ns0:f>IF(OR(F195&lt;&gt;"OK",$B$6&gt;0),0,0.5*(IF((MIN('_Dates'!X195,Settings!$B$9))&lt;('_Dates'!W195),0,INT(((MIN('_Dates'!X195,Settings!$B$9))-('_Dates'!W195)+1)/7)*LEN(SUBSTITUTE(W195,"O",""))+LEN(SUBSTITUTE(MID(W195&amp;W195,WEEKDAY(('_Dates'!W195),2),MOD(((MIN('_Dates'!X195,Settings!$B$9))-('_Dates'!W195)+1),7)),"O",""))-COUNTIFS(INDEX(AllClosureRows,C195,0),"&gt;="&amp;('_Dates'!W195),INDEX(AllClosureRows,C195,0),"&lt;="&amp;(MIN('_Dates'!X195,Settings!$B$9))))+IF((MIN('_Dates'!Z195,Settings!$B$9))&lt;('_Dates'!Y195),0,INT(((MIN('_Dates'!Z195,Settings!$B$9))-('_Dates'!Y195)+1)/7)*LEN(SUBSTITUTE(W195,"O",""))+LEN(SUBSTITUTE(MID(W195&amp;W195,WEEKDAY(('_Dates'!Y195),2),MOD(((MIN('_Dates'!Z195,Settings!$B$9))-('_Dates'!Y195)+1),7)),"O",""))-COUNTIFS(INDEX(AllClosureRows,C195,0),"&gt;="&amp;('_Dates'!Y195),INDEX(AllClosureRows,C195,0),"&lt;="&amp;(MIN('_Dates'!Z195,Settings!$B$9))))))</ns0:f>
        <ns0:v>0</ns0:v>
      </ns0:c>
      <ns0:c r="I195" s="0">
        <ns0:f>MAX(0,G195-H195)</ns0:f>
        <ns0:v>0</ns0:v>
      </ns0:c>
      <ns0:c r="J195" s="0">
        <ns0:f>IF(OR(A195=0,F195&lt;&gt;"OK",Bookings!G195="Cancelled",$B$6&gt;0),0,IF('_Dates'!AC195=1,MAX(0,COUNTIFS(rngEngine_B,B195,rngAMStart,"&lt;="&amp;'_Dates'!X195,rngAMEnd,"&gt;="&amp;'_Dates'!W195,rngAMActive,1,rngEngine_F,"OK",rngBookings_F,"&lt;&gt;Cancelled")-1),0)+IF('_Dates'!AD195=1,MAX(0,COUNTIFS(rngEngine_B,B195,rngPMStart,"&lt;="&amp;'_Dates'!Z195,rngPMEnd,"&gt;="&amp;'_Dates'!Y195,rngPMActive,1,rngEngine_F,"OK",rngBookings_F,"&lt;&gt;Cancelled")-1),0))</ns0:f>
        <ns0:v>0</ns0:v>
      </ns0:c>
      <ns0:c r="K195" s="0" t="str">
        <ns0:f>IF(A195=0,"",IF(F195&lt;&gt;"OK",F195,IF(J195&gt;0,"CHECK overlapping entry",IF(AND($B$6=0,G195&lt;=0,Bookings!G195&lt;&gt;"Cancelled"),"CHECK no working days",IF(Bookings!G195="Cancelled","Cancelled","OK")))))</ns0:f>
        <ns0:v/>
      </ns0:c>
      <ns0:c r="L195" s="0">
        <ns0:f>IF(LEFT(K195,5)="CHECK",1,0)</ns0:f>
        <ns0:v>0</ns0:v>
      </ns0:c>
      <ns0:c r="M195" s="0">
        <ns0:f>IF(AND(L195=1,OR(C195=0,IFERROR(INDEX($X$11:$X$60,C195),0)=0)),1,0)</ns0:f>
        <ns0:v>0</ns0:v>
      </ns0:c>
      <ns0:c r="N195" s="0">
        <ns0:f>IF(OR(A195=0,L195&gt;0,$B$6&gt;0,Bookings!G195="Cancelled"),0,G195)</ns0:f>
        <ns0:v>0</ns0:v>
      </ns0:c>
      <ns0:c r="O195" s="0">
        <ns0:f>IF(AND(Bookings!G195="Approved",E195="Yes"),N195,0)</ns0:f>
        <ns0:v>0</ns0:v>
      </ns0:c>
      <ns0:c r="P195" s="0">
        <ns0:f>IF(AND(Bookings!G195="Approved",E195="Yes",L195=0,$B$6=0),H195,0)</ns0:f>
        <ns0:v>0</ns0:v>
      </ns0:c>
      <ns0:c r="Q195" s="0">
        <ns0:f>IF(AND(Bookings!G195="Approved",E195="Yes",L195=0,$B$6=0),I195,0)</ns0:f>
        <ns0:v>0</ns0:v>
      </ns0:c>
      <ns0:c r="R195" s="0">
        <ns0:f>IF(AND(Bookings!G195="Pending",E195="Yes"),N195,0)</ns0:f>
        <ns0:v>0</ns0:v>
      </ns0:c>
      <ns0:c r="S195" s="0">
        <ns0:f>IF(AND(Bookings!G195="Approved",E195="No"),N195,0)</ns0:f>
        <ns0:v>0</ns0:v>
      </ns0:c>
      <ns0:c r="T195" s="0">
        <ns0:f>IFERROR(MATCH(D195,Settings!$G$7:$G$11,0),0)</ns0:f>
        <ns0:v>0</ns0:v>
      </ns0:c>
      <ns0:c r="U195" s="0">
        <ns0:f>IF(N195&gt;0,T195+IF(Bookings!G195="Pending",10,0),0)</ns0:f>
        <ns0:v>0</ns0:v>
      </ns0:c>
      <ns0:c r="V195" s="0">
        <ns0:f>U195</ns0:f>
        <ns0:v>0</ns0:v>
      </ns0:c>
      <ns0:c r="W195" s="0" t="str">
        <ns0:f>IF(C195=0,"",INDEX($AP$11:$AP$60,C195))</ns0:f>
        <ns0:v/>
      </ns0:c>
    </ns0:row>
    <ns0:row r="196">
      <ns0:c r="A196" s="0">
        <ns0:f>IF(COUNTA(Bookings!A196:G196,Bookings!I196)=0,0,1)</ns0:f>
        <ns0:v>0</ns0:v>
      </ns0:c>
      <ns0:c r="B196" s="0" t="str">
        <ns0:f>IFERROR(TRIM(MID(Bookings!A196,FIND(" · ",Bookings!A196)+3,99)),"")</ns0:f>
        <ns0:v/>
      </ns0:c>
      <ns0:c r="C196" s="0">
        <ns0:f>IF(OR(B196="",LEN(B196)&gt;24,ISNUMBER(FIND(" ",B196)),ISNUMBER(FIND("*",B196)),ISNUMBER(FIND("?",B196)),ISNUMBER(FIND("~",B196))),0,IFERROR(MATCH(B196,Team!$A$11:$A$60,0),0))</ns0:f>
        <ns0:v>0</ns0:v>
      </ns0:c>
      <ns0:c r="D196" s="0" t="str">
        <ns0:f>IFERROR(IF(MID(Bookings!F196,LEN(Bookings!F196)-3,3)=" · ",RIGHT(Bookings!F196,1),""),"")</ns0:f>
        <ns0:v/>
      </ns0:c>
      <ns0:c r="E196" s="0" t="str">
        <ns0:f>IFERROR(INDEX(Settings!$H$7:$H$11,MATCH(D196,Settings!$G$7:$G$11,0)),"")</ns0:f>
        <ns0:v/>
      </ns0:c>
      <ns0:c r="F196" s="0" t="str">
        <ns0:f>IF(A196=0,"",IFERROR(IF(OR(B196="",C196=0),"CHECK employee selection",IF(INDEX(Team!$O$11:$O$60,C196)&lt;&gt;"OK","CHECK employee setup",IF(OR('_Dates'!J196=0,'_Dates'!T196=0),"CHECK date: use DD.MM.YYYY",IF('_Dates'!T196&lt;'_Dates'!J196,"CHECK end before start",IF(AND($B$6=0,OR('_Dates'!J196&lt;Settings!$B$7,'_Dates'!T196&gt;Settings!$B$8)),"CHECK split across leave years",IF(OR(NOT(OR('_Dates'!U196="Full day",'_Dates'!U196="AM",'_Dates'!U196="PM")),NOT(OR('_Dates'!V196="Full day",'_Dates'!V196="AM",'_Dates'!V196="PM"))),"CHECK Full day / AM / PM",IF(AND('_Dates'!J196='_Dates'!T196,'_Dates'!U196&lt;&gt;"Full day",'_Dates'!V196&lt;&gt;"Full day",'_Dates'!U196&lt;&gt;'_Dates'!V196),"CHECK same-day portions disagree",IF(AND($B$6=0,OR(AND('_Dates'!U196&lt;&gt;"Full day",'_Dates'!AA196=0),AND('_Dates'!V196&lt;&gt;"Full day",'_Dates'!AB196=0))),"CHECK half-day on non-working date",IF(COUNTIF(Settings!$G$7:$G$11,D196)&lt;&gt;1,"CHECK leave type",IF(AND(Bookings!G196&lt;&gt;"Approved",Bookings!G196&lt;&gt;"Pending",Bookings!G196&lt;&gt;"Cancelled"),"CHECK status","OK")))))))))),"CHECK input"))</ns0:f>
        <ns0:v/>
      </ns0:c>
      <ns0:c r="G196" s="0">
        <ns0:f>IF(OR(F196&lt;&gt;"OK",$B$6&gt;0),0,0.5*(IF(('_Dates'!X196)&lt;('_Dates'!W196),0,INT((('_Dates'!X196)-('_Dates'!W196)+1)/7)*LEN(SUBSTITUTE(W196,"O",""))+LEN(SUBSTITUTE(MID(W196&amp;W196,WEEKDAY(('_Dates'!W196),2),MOD((('_Dates'!X196)-('_Dates'!W196)+1),7)),"O",""))-COUNTIFS(INDEX(AllClosureRows,C196,0),"&gt;="&amp;('_Dates'!W196),INDEX(AllClosureRows,C196,0),"&lt;="&amp;('_Dates'!X196)))+IF(('_Dates'!Z196)&lt;('_Dates'!Y196),0,INT((('_Dates'!Z196)-('_Dates'!Y196)+1)/7)*LEN(SUBSTITUTE(W196,"O",""))+LEN(SUBSTITUTE(MID(W196&amp;W196,WEEKDAY(('_Dates'!Y196),2),MOD((('_Dates'!Z196)-('_Dates'!Y196)+1),7)),"O",""))-COUNTIFS(INDEX(AllClosureRows,C196,0),"&gt;="&amp;('_Dates'!Y196),INDEX(AllClosureRows,C196,0),"&lt;="&amp;('_Dates'!Z196)))))</ns0:f>
        <ns0:v>0</ns0:v>
      </ns0:c>
      <ns0:c r="H196" s="0">
        <ns0:f>IF(OR(F196&lt;&gt;"OK",$B$6&gt;0),0,0.5*(IF((MIN('_Dates'!X196,Settings!$B$9))&lt;('_Dates'!W196),0,INT(((MIN('_Dates'!X196,Settings!$B$9))-('_Dates'!W196)+1)/7)*LEN(SUBSTITUTE(W196,"O",""))+LEN(SUBSTITUTE(MID(W196&amp;W196,WEEKDAY(('_Dates'!W196),2),MOD(((MIN('_Dates'!X196,Settings!$B$9))-('_Dates'!W196)+1),7)),"O",""))-COUNTIFS(INDEX(AllClosureRows,C196,0),"&gt;="&amp;('_Dates'!W196),INDEX(AllClosureRows,C196,0),"&lt;="&amp;(MIN('_Dates'!X196,Settings!$B$9))))+IF((MIN('_Dates'!Z196,Settings!$B$9))&lt;('_Dates'!Y196),0,INT(((MIN('_Dates'!Z196,Settings!$B$9))-('_Dates'!Y196)+1)/7)*LEN(SUBSTITUTE(W196,"O",""))+LEN(SUBSTITUTE(MID(W196&amp;W196,WEEKDAY(('_Dates'!Y196),2),MOD(((MIN('_Dates'!Z196,Settings!$B$9))-('_Dates'!Y196)+1),7)),"O",""))-COUNTIFS(INDEX(AllClosureRows,C196,0),"&gt;="&amp;('_Dates'!Y196),INDEX(AllClosureRows,C196,0),"&lt;="&amp;(MIN('_Dates'!Z196,Settings!$B$9))))))</ns0:f>
        <ns0:v>0</ns0:v>
      </ns0:c>
      <ns0:c r="I196" s="0">
        <ns0:f>MAX(0,G196-H196)</ns0:f>
        <ns0:v>0</ns0:v>
      </ns0:c>
      <ns0:c r="J196" s="0">
        <ns0:f>IF(OR(A196=0,F196&lt;&gt;"OK",Bookings!G196="Cancelled",$B$6&gt;0),0,IF('_Dates'!AC196=1,MAX(0,COUNTIFS(rngEngine_B,B196,rngAMStart,"&lt;="&amp;'_Dates'!X196,rngAMEnd,"&gt;="&amp;'_Dates'!W196,rngAMActive,1,rngEngine_F,"OK",rngBookings_F,"&lt;&gt;Cancelled")-1),0)+IF('_Dates'!AD196=1,MAX(0,COUNTIFS(rngEngine_B,B196,rngPMStart,"&lt;="&amp;'_Dates'!Z196,rngPMEnd,"&gt;="&amp;'_Dates'!Y196,rngPMActive,1,rngEngine_F,"OK",rngBookings_F,"&lt;&gt;Cancelled")-1),0))</ns0:f>
        <ns0:v>0</ns0:v>
      </ns0:c>
      <ns0:c r="K196" s="0" t="str">
        <ns0:f>IF(A196=0,"",IF(F196&lt;&gt;"OK",F196,IF(J196&gt;0,"CHECK overlapping entry",IF(AND($B$6=0,G196&lt;=0,Bookings!G196&lt;&gt;"Cancelled"),"CHECK no working days",IF(Bookings!G196="Cancelled","Cancelled","OK")))))</ns0:f>
        <ns0:v/>
      </ns0:c>
      <ns0:c r="L196" s="0">
        <ns0:f>IF(LEFT(K196,5)="CHECK",1,0)</ns0:f>
        <ns0:v>0</ns0:v>
      </ns0:c>
      <ns0:c r="M196" s="0">
        <ns0:f>IF(AND(L196=1,OR(C196=0,IFERROR(INDEX($X$11:$X$60,C196),0)=0)),1,0)</ns0:f>
        <ns0:v>0</ns0:v>
      </ns0:c>
      <ns0:c r="N196" s="0">
        <ns0:f>IF(OR(A196=0,L196&gt;0,$B$6&gt;0,Bookings!G196="Cancelled"),0,G196)</ns0:f>
        <ns0:v>0</ns0:v>
      </ns0:c>
      <ns0:c r="O196" s="0">
        <ns0:f>IF(AND(Bookings!G196="Approved",E196="Yes"),N196,0)</ns0:f>
        <ns0:v>0</ns0:v>
      </ns0:c>
      <ns0:c r="P196" s="0">
        <ns0:f>IF(AND(Bookings!G196="Approved",E196="Yes",L196=0,$B$6=0),H196,0)</ns0:f>
        <ns0:v>0</ns0:v>
      </ns0:c>
      <ns0:c r="Q196" s="0">
        <ns0:f>IF(AND(Bookings!G196="Approved",E196="Yes",L196=0,$B$6=0),I196,0)</ns0:f>
        <ns0:v>0</ns0:v>
      </ns0:c>
      <ns0:c r="R196" s="0">
        <ns0:f>IF(AND(Bookings!G196="Pending",E196="Yes"),N196,0)</ns0:f>
        <ns0:v>0</ns0:v>
      </ns0:c>
      <ns0:c r="S196" s="0">
        <ns0:f>IF(AND(Bookings!G196="Approved",E196="No"),N196,0)</ns0:f>
        <ns0:v>0</ns0:v>
      </ns0:c>
      <ns0:c r="T196" s="0">
        <ns0:f>IFERROR(MATCH(D196,Settings!$G$7:$G$11,0),0)</ns0:f>
        <ns0:v>0</ns0:v>
      </ns0:c>
      <ns0:c r="U196" s="0">
        <ns0:f>IF(N196&gt;0,T196+IF(Bookings!G196="Pending",10,0),0)</ns0:f>
        <ns0:v>0</ns0:v>
      </ns0:c>
      <ns0:c r="V196" s="0">
        <ns0:f>U196</ns0:f>
        <ns0:v>0</ns0:v>
      </ns0:c>
      <ns0:c r="W196" s="0" t="str">
        <ns0:f>IF(C196=0,"",INDEX($AP$11:$AP$60,C196))</ns0:f>
        <ns0:v/>
      </ns0:c>
    </ns0:row>
    <ns0:row r="197">
      <ns0:c r="A197" s="0">
        <ns0:f>IF(COUNTA(Bookings!A197:G197,Bookings!I197)=0,0,1)</ns0:f>
        <ns0:v>0</ns0:v>
      </ns0:c>
      <ns0:c r="B197" s="0" t="str">
        <ns0:f>IFERROR(TRIM(MID(Bookings!A197,FIND(" · ",Bookings!A197)+3,99)),"")</ns0:f>
        <ns0:v/>
      </ns0:c>
      <ns0:c r="C197" s="0">
        <ns0:f>IF(OR(B197="",LEN(B197)&gt;24,ISNUMBER(FIND(" ",B197)),ISNUMBER(FIND("*",B197)),ISNUMBER(FIND("?",B197)),ISNUMBER(FIND("~",B197))),0,IFERROR(MATCH(B197,Team!$A$11:$A$60,0),0))</ns0:f>
        <ns0:v>0</ns0:v>
      </ns0:c>
      <ns0:c r="D197" s="0" t="str">
        <ns0:f>IFERROR(IF(MID(Bookings!F197,LEN(Bookings!F197)-3,3)=" · ",RIGHT(Bookings!F197,1),""),"")</ns0:f>
        <ns0:v/>
      </ns0:c>
      <ns0:c r="E197" s="0" t="str">
        <ns0:f>IFERROR(INDEX(Settings!$H$7:$H$11,MATCH(D197,Settings!$G$7:$G$11,0)),"")</ns0:f>
        <ns0:v/>
      </ns0:c>
      <ns0:c r="F197" s="0" t="str">
        <ns0:f>IF(A197=0,"",IFERROR(IF(OR(B197="",C197=0),"CHECK employee selection",IF(INDEX(Team!$O$11:$O$60,C197)&lt;&gt;"OK","CHECK employee setup",IF(OR('_Dates'!J197=0,'_Dates'!T197=0),"CHECK date: use DD.MM.YYYY",IF('_Dates'!T197&lt;'_Dates'!J197,"CHECK end before start",IF(AND($B$6=0,OR('_Dates'!J197&lt;Settings!$B$7,'_Dates'!T197&gt;Settings!$B$8)),"CHECK split across leave years",IF(OR(NOT(OR('_Dates'!U197="Full day",'_Dates'!U197="AM",'_Dates'!U197="PM")),NOT(OR('_Dates'!V197="Full day",'_Dates'!V197="AM",'_Dates'!V197="PM"))),"CHECK Full day / AM / PM",IF(AND('_Dates'!J197='_Dates'!T197,'_Dates'!U197&lt;&gt;"Full day",'_Dates'!V197&lt;&gt;"Full day",'_Dates'!U197&lt;&gt;'_Dates'!V197),"CHECK same-day portions disagree",IF(AND($B$6=0,OR(AND('_Dates'!U197&lt;&gt;"Full day",'_Dates'!AA197=0),AND('_Dates'!V197&lt;&gt;"Full day",'_Dates'!AB197=0))),"CHECK half-day on non-working date",IF(COUNTIF(Settings!$G$7:$G$11,D197)&lt;&gt;1,"CHECK leave type",IF(AND(Bookings!G197&lt;&gt;"Approved",Bookings!G197&lt;&gt;"Pending",Bookings!G197&lt;&gt;"Cancelled"),"CHECK status","OK")))))))))),"CHECK input"))</ns0:f>
        <ns0:v/>
      </ns0:c>
      <ns0:c r="G197" s="0">
        <ns0:f>IF(OR(F197&lt;&gt;"OK",$B$6&gt;0),0,0.5*(IF(('_Dates'!X197)&lt;('_Dates'!W197),0,INT((('_Dates'!X197)-('_Dates'!W197)+1)/7)*LEN(SUBSTITUTE(W197,"O",""))+LEN(SUBSTITUTE(MID(W197&amp;W197,WEEKDAY(('_Dates'!W197),2),MOD((('_Dates'!X197)-('_Dates'!W197)+1),7)),"O",""))-COUNTIFS(INDEX(AllClosureRows,C197,0),"&gt;="&amp;('_Dates'!W197),INDEX(AllClosureRows,C197,0),"&lt;="&amp;('_Dates'!X197)))+IF(('_Dates'!Z197)&lt;('_Dates'!Y197),0,INT((('_Dates'!Z197)-('_Dates'!Y197)+1)/7)*LEN(SUBSTITUTE(W197,"O",""))+LEN(SUBSTITUTE(MID(W197&amp;W197,WEEKDAY(('_Dates'!Y197),2),MOD((('_Dates'!Z197)-('_Dates'!Y197)+1),7)),"O",""))-COUNTIFS(INDEX(AllClosureRows,C197,0),"&gt;="&amp;('_Dates'!Y197),INDEX(AllClosureRows,C197,0),"&lt;="&amp;('_Dates'!Z197)))))</ns0:f>
        <ns0:v>0</ns0:v>
      </ns0:c>
      <ns0:c r="H197" s="0">
        <ns0:f>IF(OR(F197&lt;&gt;"OK",$B$6&gt;0),0,0.5*(IF((MIN('_Dates'!X197,Settings!$B$9))&lt;('_Dates'!W197),0,INT(((MIN('_Dates'!X197,Settings!$B$9))-('_Dates'!W197)+1)/7)*LEN(SUBSTITUTE(W197,"O",""))+LEN(SUBSTITUTE(MID(W197&amp;W197,WEEKDAY(('_Dates'!W197),2),MOD(((MIN('_Dates'!X197,Settings!$B$9))-('_Dates'!W197)+1),7)),"O",""))-COUNTIFS(INDEX(AllClosureRows,C197,0),"&gt;="&amp;('_Dates'!W197),INDEX(AllClosureRows,C197,0),"&lt;="&amp;(MIN('_Dates'!X197,Settings!$B$9))))+IF((MIN('_Dates'!Z197,Settings!$B$9))&lt;('_Dates'!Y197),0,INT(((MIN('_Dates'!Z197,Settings!$B$9))-('_Dates'!Y197)+1)/7)*LEN(SUBSTITUTE(W197,"O",""))+LEN(SUBSTITUTE(MID(W197&amp;W197,WEEKDAY(('_Dates'!Y197),2),MOD(((MIN('_Dates'!Z197,Settings!$B$9))-('_Dates'!Y197)+1),7)),"O",""))-COUNTIFS(INDEX(AllClosureRows,C197,0),"&gt;="&amp;('_Dates'!Y197),INDEX(AllClosureRows,C197,0),"&lt;="&amp;(MIN('_Dates'!Z197,Settings!$B$9))))))</ns0:f>
        <ns0:v>0</ns0:v>
      </ns0:c>
      <ns0:c r="I197" s="0">
        <ns0:f>MAX(0,G197-H197)</ns0:f>
        <ns0:v>0</ns0:v>
      </ns0:c>
      <ns0:c r="J197" s="0">
        <ns0:f>IF(OR(A197=0,F197&lt;&gt;"OK",Bookings!G197="Cancelled",$B$6&gt;0),0,IF('_Dates'!AC197=1,MAX(0,COUNTIFS(rngEngine_B,B197,rngAMStart,"&lt;="&amp;'_Dates'!X197,rngAMEnd,"&gt;="&amp;'_Dates'!W197,rngAMActive,1,rngEngine_F,"OK",rngBookings_F,"&lt;&gt;Cancelled")-1),0)+IF('_Dates'!AD197=1,MAX(0,COUNTIFS(rngEngine_B,B197,rngPMStart,"&lt;="&amp;'_Dates'!Z197,rngPMEnd,"&gt;="&amp;'_Dates'!Y197,rngPMActive,1,rngEngine_F,"OK",rngBookings_F,"&lt;&gt;Cancelled")-1),0))</ns0:f>
        <ns0:v>0</ns0:v>
      </ns0:c>
      <ns0:c r="K197" s="0" t="str">
        <ns0:f>IF(A197=0,"",IF(F197&lt;&gt;"OK",F197,IF(J197&gt;0,"CHECK overlapping entry",IF(AND($B$6=0,G197&lt;=0,Bookings!G197&lt;&gt;"Cancelled"),"CHECK no working days",IF(Bookings!G197="Cancelled","Cancelled","OK")))))</ns0:f>
        <ns0:v/>
      </ns0:c>
      <ns0:c r="L197" s="0">
        <ns0:f>IF(LEFT(K197,5)="CHECK",1,0)</ns0:f>
        <ns0:v>0</ns0:v>
      </ns0:c>
      <ns0:c r="M197" s="0">
        <ns0:f>IF(AND(L197=1,OR(C197=0,IFERROR(INDEX($X$11:$X$60,C197),0)=0)),1,0)</ns0:f>
        <ns0:v>0</ns0:v>
      </ns0:c>
      <ns0:c r="N197" s="0">
        <ns0:f>IF(OR(A197=0,L197&gt;0,$B$6&gt;0,Bookings!G197="Cancelled"),0,G197)</ns0:f>
        <ns0:v>0</ns0:v>
      </ns0:c>
      <ns0:c r="O197" s="0">
        <ns0:f>IF(AND(Bookings!G197="Approved",E197="Yes"),N197,0)</ns0:f>
        <ns0:v>0</ns0:v>
      </ns0:c>
      <ns0:c r="P197" s="0">
        <ns0:f>IF(AND(Bookings!G197="Approved",E197="Yes",L197=0,$B$6=0),H197,0)</ns0:f>
        <ns0:v>0</ns0:v>
      </ns0:c>
      <ns0:c r="Q197" s="0">
        <ns0:f>IF(AND(Bookings!G197="Approved",E197="Yes",L197=0,$B$6=0),I197,0)</ns0:f>
        <ns0:v>0</ns0:v>
      </ns0:c>
      <ns0:c r="R197" s="0">
        <ns0:f>IF(AND(Bookings!G197="Pending",E197="Yes"),N197,0)</ns0:f>
        <ns0:v>0</ns0:v>
      </ns0:c>
      <ns0:c r="S197" s="0">
        <ns0:f>IF(AND(Bookings!G197="Approved",E197="No"),N197,0)</ns0:f>
        <ns0:v>0</ns0:v>
      </ns0:c>
      <ns0:c r="T197" s="0">
        <ns0:f>IFERROR(MATCH(D197,Settings!$G$7:$G$11,0),0)</ns0:f>
        <ns0:v>0</ns0:v>
      </ns0:c>
      <ns0:c r="U197" s="0">
        <ns0:f>IF(N197&gt;0,T197+IF(Bookings!G197="Pending",10,0),0)</ns0:f>
        <ns0:v>0</ns0:v>
      </ns0:c>
      <ns0:c r="V197" s="0">
        <ns0:f>U197</ns0:f>
        <ns0:v>0</ns0:v>
      </ns0:c>
      <ns0:c r="W197" s="0" t="str">
        <ns0:f>IF(C197=0,"",INDEX($AP$11:$AP$60,C197))</ns0:f>
        <ns0:v/>
      </ns0:c>
    </ns0:row>
    <ns0:row r="198">
      <ns0:c r="A198" s="0">
        <ns0:f>IF(COUNTA(Bookings!A198:G198,Bookings!I198)=0,0,1)</ns0:f>
        <ns0:v>0</ns0:v>
      </ns0:c>
      <ns0:c r="B198" s="0" t="str">
        <ns0:f>IFERROR(TRIM(MID(Bookings!A198,FIND(" · ",Bookings!A198)+3,99)),"")</ns0:f>
        <ns0:v/>
      </ns0:c>
      <ns0:c r="C198" s="0">
        <ns0:f>IF(OR(B198="",LEN(B198)&gt;24,ISNUMBER(FIND(" ",B198)),ISNUMBER(FIND("*",B198)),ISNUMBER(FIND("?",B198)),ISNUMBER(FIND("~",B198))),0,IFERROR(MATCH(B198,Team!$A$11:$A$60,0),0))</ns0:f>
        <ns0:v>0</ns0:v>
      </ns0:c>
      <ns0:c r="D198" s="0" t="str">
        <ns0:f>IFERROR(IF(MID(Bookings!F198,LEN(Bookings!F198)-3,3)=" · ",RIGHT(Bookings!F198,1),""),"")</ns0:f>
        <ns0:v/>
      </ns0:c>
      <ns0:c r="E198" s="0" t="str">
        <ns0:f>IFERROR(INDEX(Settings!$H$7:$H$11,MATCH(D198,Settings!$G$7:$G$11,0)),"")</ns0:f>
        <ns0:v/>
      </ns0:c>
      <ns0:c r="F198" s="0" t="str">
        <ns0:f>IF(A198=0,"",IFERROR(IF(OR(B198="",C198=0),"CHECK employee selection",IF(INDEX(Team!$O$11:$O$60,C198)&lt;&gt;"OK","CHECK employee setup",IF(OR('_Dates'!J198=0,'_Dates'!T198=0),"CHECK date: use DD.MM.YYYY",IF('_Dates'!T198&lt;'_Dates'!J198,"CHECK end before start",IF(AND($B$6=0,OR('_Dates'!J198&lt;Settings!$B$7,'_Dates'!T198&gt;Settings!$B$8)),"CHECK split across leave years",IF(OR(NOT(OR('_Dates'!U198="Full day",'_Dates'!U198="AM",'_Dates'!U198="PM")),NOT(OR('_Dates'!V198="Full day",'_Dates'!V198="AM",'_Dates'!V198="PM"))),"CHECK Full day / AM / PM",IF(AND('_Dates'!J198='_Dates'!T198,'_Dates'!U198&lt;&gt;"Full day",'_Dates'!V198&lt;&gt;"Full day",'_Dates'!U198&lt;&gt;'_Dates'!V198),"CHECK same-day portions disagree",IF(AND($B$6=0,OR(AND('_Dates'!U198&lt;&gt;"Full day",'_Dates'!AA198=0),AND('_Dates'!V198&lt;&gt;"Full day",'_Dates'!AB198=0))),"CHECK half-day on non-working date",IF(COUNTIF(Settings!$G$7:$G$11,D198)&lt;&gt;1,"CHECK leave type",IF(AND(Bookings!G198&lt;&gt;"Approved",Bookings!G198&lt;&gt;"Pending",Bookings!G198&lt;&gt;"Cancelled"),"CHECK status","OK")))))))))),"CHECK input"))</ns0:f>
        <ns0:v/>
      </ns0:c>
      <ns0:c r="G198" s="0">
        <ns0:f>IF(OR(F198&lt;&gt;"OK",$B$6&gt;0),0,0.5*(IF(('_Dates'!X198)&lt;('_Dates'!W198),0,INT((('_Dates'!X198)-('_Dates'!W198)+1)/7)*LEN(SUBSTITUTE(W198,"O",""))+LEN(SUBSTITUTE(MID(W198&amp;W198,WEEKDAY(('_Dates'!W198),2),MOD((('_Dates'!X198)-('_Dates'!W198)+1),7)),"O",""))-COUNTIFS(INDEX(AllClosureRows,C198,0),"&gt;="&amp;('_Dates'!W198),INDEX(AllClosureRows,C198,0),"&lt;="&amp;('_Dates'!X198)))+IF(('_Dates'!Z198)&lt;('_Dates'!Y198),0,INT((('_Dates'!Z198)-('_Dates'!Y198)+1)/7)*LEN(SUBSTITUTE(W198,"O",""))+LEN(SUBSTITUTE(MID(W198&amp;W198,WEEKDAY(('_Dates'!Y198),2),MOD((('_Dates'!Z198)-('_Dates'!Y198)+1),7)),"O",""))-COUNTIFS(INDEX(AllClosureRows,C198,0),"&gt;="&amp;('_Dates'!Y198),INDEX(AllClosureRows,C198,0),"&lt;="&amp;('_Dates'!Z198)))))</ns0:f>
        <ns0:v>0</ns0:v>
      </ns0:c>
      <ns0:c r="H198" s="0">
        <ns0:f>IF(OR(F198&lt;&gt;"OK",$B$6&gt;0),0,0.5*(IF((MIN('_Dates'!X198,Settings!$B$9))&lt;('_Dates'!W198),0,INT(((MIN('_Dates'!X198,Settings!$B$9))-('_Dates'!W198)+1)/7)*LEN(SUBSTITUTE(W198,"O",""))+LEN(SUBSTITUTE(MID(W198&amp;W198,WEEKDAY(('_Dates'!W198),2),MOD(((MIN('_Dates'!X198,Settings!$B$9))-('_Dates'!W198)+1),7)),"O",""))-COUNTIFS(INDEX(AllClosureRows,C198,0),"&gt;="&amp;('_Dates'!W198),INDEX(AllClosureRows,C198,0),"&lt;="&amp;(MIN('_Dates'!X198,Settings!$B$9))))+IF((MIN('_Dates'!Z198,Settings!$B$9))&lt;('_Dates'!Y198),0,INT(((MIN('_Dates'!Z198,Settings!$B$9))-('_Dates'!Y198)+1)/7)*LEN(SUBSTITUTE(W198,"O",""))+LEN(SUBSTITUTE(MID(W198&amp;W198,WEEKDAY(('_Dates'!Y198),2),MOD(((MIN('_Dates'!Z198,Settings!$B$9))-('_Dates'!Y198)+1),7)),"O",""))-COUNTIFS(INDEX(AllClosureRows,C198,0),"&gt;="&amp;('_Dates'!Y198),INDEX(AllClosureRows,C198,0),"&lt;="&amp;(MIN('_Dates'!Z198,Settings!$B$9))))))</ns0:f>
        <ns0:v>0</ns0:v>
      </ns0:c>
      <ns0:c r="I198" s="0">
        <ns0:f>MAX(0,G198-H198)</ns0:f>
        <ns0:v>0</ns0:v>
      </ns0:c>
      <ns0:c r="J198" s="0">
        <ns0:f>IF(OR(A198=0,F198&lt;&gt;"OK",Bookings!G198="Cancelled",$B$6&gt;0),0,IF('_Dates'!AC198=1,MAX(0,COUNTIFS(rngEngine_B,B198,rngAMStart,"&lt;="&amp;'_Dates'!X198,rngAMEnd,"&gt;="&amp;'_Dates'!W198,rngAMActive,1,rngEngine_F,"OK",rngBookings_F,"&lt;&gt;Cancelled")-1),0)+IF('_Dates'!AD198=1,MAX(0,COUNTIFS(rngEngine_B,B198,rngPMStart,"&lt;="&amp;'_Dates'!Z198,rngPMEnd,"&gt;="&amp;'_Dates'!Y198,rngPMActive,1,rngEngine_F,"OK",rngBookings_F,"&lt;&gt;Cancelled")-1),0))</ns0:f>
        <ns0:v>0</ns0:v>
      </ns0:c>
      <ns0:c r="K198" s="0" t="str">
        <ns0:f>IF(A198=0,"",IF(F198&lt;&gt;"OK",F198,IF(J198&gt;0,"CHECK overlapping entry",IF(AND($B$6=0,G198&lt;=0,Bookings!G198&lt;&gt;"Cancelled"),"CHECK no working days",IF(Bookings!G198="Cancelled","Cancelled","OK")))))</ns0:f>
        <ns0:v/>
      </ns0:c>
      <ns0:c r="L198" s="0">
        <ns0:f>IF(LEFT(K198,5)="CHECK",1,0)</ns0:f>
        <ns0:v>0</ns0:v>
      </ns0:c>
      <ns0:c r="M198" s="0">
        <ns0:f>IF(AND(L198=1,OR(C198=0,IFERROR(INDEX($X$11:$X$60,C198),0)=0)),1,0)</ns0:f>
        <ns0:v>0</ns0:v>
      </ns0:c>
      <ns0:c r="N198" s="0">
        <ns0:f>IF(OR(A198=0,L198&gt;0,$B$6&gt;0,Bookings!G198="Cancelled"),0,G198)</ns0:f>
        <ns0:v>0</ns0:v>
      </ns0:c>
      <ns0:c r="O198" s="0">
        <ns0:f>IF(AND(Bookings!G198="Approved",E198="Yes"),N198,0)</ns0:f>
        <ns0:v>0</ns0:v>
      </ns0:c>
      <ns0:c r="P198" s="0">
        <ns0:f>IF(AND(Bookings!G198="Approved",E198="Yes",L198=0,$B$6=0),H198,0)</ns0:f>
        <ns0:v>0</ns0:v>
      </ns0:c>
      <ns0:c r="Q198" s="0">
        <ns0:f>IF(AND(Bookings!G198="Approved",E198="Yes",L198=0,$B$6=0),I198,0)</ns0:f>
        <ns0:v>0</ns0:v>
      </ns0:c>
      <ns0:c r="R198" s="0">
        <ns0:f>IF(AND(Bookings!G198="Pending",E198="Yes"),N198,0)</ns0:f>
        <ns0:v>0</ns0:v>
      </ns0:c>
      <ns0:c r="S198" s="0">
        <ns0:f>IF(AND(Bookings!G198="Approved",E198="No"),N198,0)</ns0:f>
        <ns0:v>0</ns0:v>
      </ns0:c>
      <ns0:c r="T198" s="0">
        <ns0:f>IFERROR(MATCH(D198,Settings!$G$7:$G$11,0),0)</ns0:f>
        <ns0:v>0</ns0:v>
      </ns0:c>
      <ns0:c r="U198" s="0">
        <ns0:f>IF(N198&gt;0,T198+IF(Bookings!G198="Pending",10,0),0)</ns0:f>
        <ns0:v>0</ns0:v>
      </ns0:c>
      <ns0:c r="V198" s="0">
        <ns0:f>U198</ns0:f>
        <ns0:v>0</ns0:v>
      </ns0:c>
      <ns0:c r="W198" s="0" t="str">
        <ns0:f>IF(C198=0,"",INDEX($AP$11:$AP$60,C198))</ns0:f>
        <ns0:v/>
      </ns0:c>
    </ns0:row>
    <ns0:row r="199">
      <ns0:c r="A199" s="0">
        <ns0:f>IF(COUNTA(Bookings!A199:G199,Bookings!I199)=0,0,1)</ns0:f>
        <ns0:v>0</ns0:v>
      </ns0:c>
      <ns0:c r="B199" s="0" t="str">
        <ns0:f>IFERROR(TRIM(MID(Bookings!A199,FIND(" · ",Bookings!A199)+3,99)),"")</ns0:f>
        <ns0:v/>
      </ns0:c>
      <ns0:c r="C199" s="0">
        <ns0:f>IF(OR(B199="",LEN(B199)&gt;24,ISNUMBER(FIND(" ",B199)),ISNUMBER(FIND("*",B199)),ISNUMBER(FIND("?",B199)),ISNUMBER(FIND("~",B199))),0,IFERROR(MATCH(B199,Team!$A$11:$A$60,0),0))</ns0:f>
        <ns0:v>0</ns0:v>
      </ns0:c>
      <ns0:c r="D199" s="0" t="str">
        <ns0:f>IFERROR(IF(MID(Bookings!F199,LEN(Bookings!F199)-3,3)=" · ",RIGHT(Bookings!F199,1),""),"")</ns0:f>
        <ns0:v/>
      </ns0:c>
      <ns0:c r="E199" s="0" t="str">
        <ns0:f>IFERROR(INDEX(Settings!$H$7:$H$11,MATCH(D199,Settings!$G$7:$G$11,0)),"")</ns0:f>
        <ns0:v/>
      </ns0:c>
      <ns0:c r="F199" s="0" t="str">
        <ns0:f>IF(A199=0,"",IFERROR(IF(OR(B199="",C199=0),"CHECK employee selection",IF(INDEX(Team!$O$11:$O$60,C199)&lt;&gt;"OK","CHECK employee setup",IF(OR('_Dates'!J199=0,'_Dates'!T199=0),"CHECK date: use DD.MM.YYYY",IF('_Dates'!T199&lt;'_Dates'!J199,"CHECK end before start",IF(AND($B$6=0,OR('_Dates'!J199&lt;Settings!$B$7,'_Dates'!T199&gt;Settings!$B$8)),"CHECK split across leave years",IF(OR(NOT(OR('_Dates'!U199="Full day",'_Dates'!U199="AM",'_Dates'!U199="PM")),NOT(OR('_Dates'!V199="Full day",'_Dates'!V199="AM",'_Dates'!V199="PM"))),"CHECK Full day / AM / PM",IF(AND('_Dates'!J199='_Dates'!T199,'_Dates'!U199&lt;&gt;"Full day",'_Dates'!V199&lt;&gt;"Full day",'_Dates'!U199&lt;&gt;'_Dates'!V199),"CHECK same-day portions disagree",IF(AND($B$6=0,OR(AND('_Dates'!U199&lt;&gt;"Full day",'_Dates'!AA199=0),AND('_Dates'!V199&lt;&gt;"Full day",'_Dates'!AB199=0))),"CHECK half-day on non-working date",IF(COUNTIF(Settings!$G$7:$G$11,D199)&lt;&gt;1,"CHECK leave type",IF(AND(Bookings!G199&lt;&gt;"Approved",Bookings!G199&lt;&gt;"Pending",Bookings!G199&lt;&gt;"Cancelled"),"CHECK status","OK")))))))))),"CHECK input"))</ns0:f>
        <ns0:v/>
      </ns0:c>
      <ns0:c r="G199" s="0">
        <ns0:f>IF(OR(F199&lt;&gt;"OK",$B$6&gt;0),0,0.5*(IF(('_Dates'!X199)&lt;('_Dates'!W199),0,INT((('_Dates'!X199)-('_Dates'!W199)+1)/7)*LEN(SUBSTITUTE(W199,"O",""))+LEN(SUBSTITUTE(MID(W199&amp;W199,WEEKDAY(('_Dates'!W199),2),MOD((('_Dates'!X199)-('_Dates'!W199)+1),7)),"O",""))-COUNTIFS(INDEX(AllClosureRows,C199,0),"&gt;="&amp;('_Dates'!W199),INDEX(AllClosureRows,C199,0),"&lt;="&amp;('_Dates'!X199)))+IF(('_Dates'!Z199)&lt;('_Dates'!Y199),0,INT((('_Dates'!Z199)-('_Dates'!Y199)+1)/7)*LEN(SUBSTITUTE(W199,"O",""))+LEN(SUBSTITUTE(MID(W199&amp;W199,WEEKDAY(('_Dates'!Y199),2),MOD((('_Dates'!Z199)-('_Dates'!Y199)+1),7)),"O",""))-COUNTIFS(INDEX(AllClosureRows,C199,0),"&gt;="&amp;('_Dates'!Y199),INDEX(AllClosureRows,C199,0),"&lt;="&amp;('_Dates'!Z199)))))</ns0:f>
        <ns0:v>0</ns0:v>
      </ns0:c>
      <ns0:c r="H199" s="0">
        <ns0:f>IF(OR(F199&lt;&gt;"OK",$B$6&gt;0),0,0.5*(IF((MIN('_Dates'!X199,Settings!$B$9))&lt;('_Dates'!W199),0,INT(((MIN('_Dates'!X199,Settings!$B$9))-('_Dates'!W199)+1)/7)*LEN(SUBSTITUTE(W199,"O",""))+LEN(SUBSTITUTE(MID(W199&amp;W199,WEEKDAY(('_Dates'!W199),2),MOD(((MIN('_Dates'!X199,Settings!$B$9))-('_Dates'!W199)+1),7)),"O",""))-COUNTIFS(INDEX(AllClosureRows,C199,0),"&gt;="&amp;('_Dates'!W199),INDEX(AllClosureRows,C199,0),"&lt;="&amp;(MIN('_Dates'!X199,Settings!$B$9))))+IF((MIN('_Dates'!Z199,Settings!$B$9))&lt;('_Dates'!Y199),0,INT(((MIN('_Dates'!Z199,Settings!$B$9))-('_Dates'!Y199)+1)/7)*LEN(SUBSTITUTE(W199,"O",""))+LEN(SUBSTITUTE(MID(W199&amp;W199,WEEKDAY(('_Dates'!Y199),2),MOD(((MIN('_Dates'!Z199,Settings!$B$9))-('_Dates'!Y199)+1),7)),"O",""))-COUNTIFS(INDEX(AllClosureRows,C199,0),"&gt;="&amp;('_Dates'!Y199),INDEX(AllClosureRows,C199,0),"&lt;="&amp;(MIN('_Dates'!Z199,Settings!$B$9))))))</ns0:f>
        <ns0:v>0</ns0:v>
      </ns0:c>
      <ns0:c r="I199" s="0">
        <ns0:f>MAX(0,G199-H199)</ns0:f>
        <ns0:v>0</ns0:v>
      </ns0:c>
      <ns0:c r="J199" s="0">
        <ns0:f>IF(OR(A199=0,F199&lt;&gt;"OK",Bookings!G199="Cancelled",$B$6&gt;0),0,IF('_Dates'!AC199=1,MAX(0,COUNTIFS(rngEngine_B,B199,rngAMStart,"&lt;="&amp;'_Dates'!X199,rngAMEnd,"&gt;="&amp;'_Dates'!W199,rngAMActive,1,rngEngine_F,"OK",rngBookings_F,"&lt;&gt;Cancelled")-1),0)+IF('_Dates'!AD199=1,MAX(0,COUNTIFS(rngEngine_B,B199,rngPMStart,"&lt;="&amp;'_Dates'!Z199,rngPMEnd,"&gt;="&amp;'_Dates'!Y199,rngPMActive,1,rngEngine_F,"OK",rngBookings_F,"&lt;&gt;Cancelled")-1),0))</ns0:f>
        <ns0:v>0</ns0:v>
      </ns0:c>
      <ns0:c r="K199" s="0" t="str">
        <ns0:f>IF(A199=0,"",IF(F199&lt;&gt;"OK",F199,IF(J199&gt;0,"CHECK overlapping entry",IF(AND($B$6=0,G199&lt;=0,Bookings!G199&lt;&gt;"Cancelled"),"CHECK no working days",IF(Bookings!G199="Cancelled","Cancelled","OK")))))</ns0:f>
        <ns0:v/>
      </ns0:c>
      <ns0:c r="L199" s="0">
        <ns0:f>IF(LEFT(K199,5)="CHECK",1,0)</ns0:f>
        <ns0:v>0</ns0:v>
      </ns0:c>
      <ns0:c r="M199" s="0">
        <ns0:f>IF(AND(L199=1,OR(C199=0,IFERROR(INDEX($X$11:$X$60,C199),0)=0)),1,0)</ns0:f>
        <ns0:v>0</ns0:v>
      </ns0:c>
      <ns0:c r="N199" s="0">
        <ns0:f>IF(OR(A199=0,L199&gt;0,$B$6&gt;0,Bookings!G199="Cancelled"),0,G199)</ns0:f>
        <ns0:v>0</ns0:v>
      </ns0:c>
      <ns0:c r="O199" s="0">
        <ns0:f>IF(AND(Bookings!G199="Approved",E199="Yes"),N199,0)</ns0:f>
        <ns0:v>0</ns0:v>
      </ns0:c>
      <ns0:c r="P199" s="0">
        <ns0:f>IF(AND(Bookings!G199="Approved",E199="Yes",L199=0,$B$6=0),H199,0)</ns0:f>
        <ns0:v>0</ns0:v>
      </ns0:c>
      <ns0:c r="Q199" s="0">
        <ns0:f>IF(AND(Bookings!G199="Approved",E199="Yes",L199=0,$B$6=0),I199,0)</ns0:f>
        <ns0:v>0</ns0:v>
      </ns0:c>
      <ns0:c r="R199" s="0">
        <ns0:f>IF(AND(Bookings!G199="Pending",E199="Yes"),N199,0)</ns0:f>
        <ns0:v>0</ns0:v>
      </ns0:c>
      <ns0:c r="S199" s="0">
        <ns0:f>IF(AND(Bookings!G199="Approved",E199="No"),N199,0)</ns0:f>
        <ns0:v>0</ns0:v>
      </ns0:c>
      <ns0:c r="T199" s="0">
        <ns0:f>IFERROR(MATCH(D199,Settings!$G$7:$G$11,0),0)</ns0:f>
        <ns0:v>0</ns0:v>
      </ns0:c>
      <ns0:c r="U199" s="0">
        <ns0:f>IF(N199&gt;0,T199+IF(Bookings!G199="Pending",10,0),0)</ns0:f>
        <ns0:v>0</ns0:v>
      </ns0:c>
      <ns0:c r="V199" s="0">
        <ns0:f>U199</ns0:f>
        <ns0:v>0</ns0:v>
      </ns0:c>
      <ns0:c r="W199" s="0" t="str">
        <ns0:f>IF(C199=0,"",INDEX($AP$11:$AP$60,C199))</ns0:f>
        <ns0:v/>
      </ns0:c>
    </ns0:row>
    <ns0:row r="200">
      <ns0:c r="A200" s="0">
        <ns0:f>IF(COUNTA(Bookings!A200:G200,Bookings!I200)=0,0,1)</ns0:f>
        <ns0:v>0</ns0:v>
      </ns0:c>
      <ns0:c r="B200" s="0" t="str">
        <ns0:f>IFERROR(TRIM(MID(Bookings!A200,FIND(" · ",Bookings!A200)+3,99)),"")</ns0:f>
        <ns0:v/>
      </ns0:c>
      <ns0:c r="C200" s="0">
        <ns0:f>IF(OR(B200="",LEN(B200)&gt;24,ISNUMBER(FIND(" ",B200)),ISNUMBER(FIND("*",B200)),ISNUMBER(FIND("?",B200)),ISNUMBER(FIND("~",B200))),0,IFERROR(MATCH(B200,Team!$A$11:$A$60,0),0))</ns0:f>
        <ns0:v>0</ns0:v>
      </ns0:c>
      <ns0:c r="D200" s="0" t="str">
        <ns0:f>IFERROR(IF(MID(Bookings!F200,LEN(Bookings!F200)-3,3)=" · ",RIGHT(Bookings!F200,1),""),"")</ns0:f>
        <ns0:v/>
      </ns0:c>
      <ns0:c r="E200" s="0" t="str">
        <ns0:f>IFERROR(INDEX(Settings!$H$7:$H$11,MATCH(D200,Settings!$G$7:$G$11,0)),"")</ns0:f>
        <ns0:v/>
      </ns0:c>
      <ns0:c r="F200" s="0" t="str">
        <ns0:f>IF(A200=0,"",IFERROR(IF(OR(B200="",C200=0),"CHECK employee selection",IF(INDEX(Team!$O$11:$O$60,C200)&lt;&gt;"OK","CHECK employee setup",IF(OR('_Dates'!J200=0,'_Dates'!T200=0),"CHECK date: use DD.MM.YYYY",IF('_Dates'!T200&lt;'_Dates'!J200,"CHECK end before start",IF(AND($B$6=0,OR('_Dates'!J200&lt;Settings!$B$7,'_Dates'!T200&gt;Settings!$B$8)),"CHECK split across leave years",IF(OR(NOT(OR('_Dates'!U200="Full day",'_Dates'!U200="AM",'_Dates'!U200="PM")),NOT(OR('_Dates'!V200="Full day",'_Dates'!V200="AM",'_Dates'!V200="PM"))),"CHECK Full day / AM / PM",IF(AND('_Dates'!J200='_Dates'!T200,'_Dates'!U200&lt;&gt;"Full day",'_Dates'!V200&lt;&gt;"Full day",'_Dates'!U200&lt;&gt;'_Dates'!V200),"CHECK same-day portions disagree",IF(AND($B$6=0,OR(AND('_Dates'!U200&lt;&gt;"Full day",'_Dates'!AA200=0),AND('_Dates'!V200&lt;&gt;"Full day",'_Dates'!AB200=0))),"CHECK half-day on non-working date",IF(COUNTIF(Settings!$G$7:$G$11,D200)&lt;&gt;1,"CHECK leave type",IF(AND(Bookings!G200&lt;&gt;"Approved",Bookings!G200&lt;&gt;"Pending",Bookings!G200&lt;&gt;"Cancelled"),"CHECK status","OK")))))))))),"CHECK input"))</ns0:f>
        <ns0:v/>
      </ns0:c>
      <ns0:c r="G200" s="0">
        <ns0:f>IF(OR(F200&lt;&gt;"OK",$B$6&gt;0),0,0.5*(IF(('_Dates'!X200)&lt;('_Dates'!W200),0,INT((('_Dates'!X200)-('_Dates'!W200)+1)/7)*LEN(SUBSTITUTE(W200,"O",""))+LEN(SUBSTITUTE(MID(W200&amp;W200,WEEKDAY(('_Dates'!W200),2),MOD((('_Dates'!X200)-('_Dates'!W200)+1),7)),"O",""))-COUNTIFS(INDEX(AllClosureRows,C200,0),"&gt;="&amp;('_Dates'!W200),INDEX(AllClosureRows,C200,0),"&lt;="&amp;('_Dates'!X200)))+IF(('_Dates'!Z200)&lt;('_Dates'!Y200),0,INT((('_Dates'!Z200)-('_Dates'!Y200)+1)/7)*LEN(SUBSTITUTE(W200,"O",""))+LEN(SUBSTITUTE(MID(W200&amp;W200,WEEKDAY(('_Dates'!Y200),2),MOD((('_Dates'!Z200)-('_Dates'!Y200)+1),7)),"O",""))-COUNTIFS(INDEX(AllClosureRows,C200,0),"&gt;="&amp;('_Dates'!Y200),INDEX(AllClosureRows,C200,0),"&lt;="&amp;('_Dates'!Z200)))))</ns0:f>
        <ns0:v>0</ns0:v>
      </ns0:c>
      <ns0:c r="H200" s="0">
        <ns0:f>IF(OR(F200&lt;&gt;"OK",$B$6&gt;0),0,0.5*(IF((MIN('_Dates'!X200,Settings!$B$9))&lt;('_Dates'!W200),0,INT(((MIN('_Dates'!X200,Settings!$B$9))-('_Dates'!W200)+1)/7)*LEN(SUBSTITUTE(W200,"O",""))+LEN(SUBSTITUTE(MID(W200&amp;W200,WEEKDAY(('_Dates'!W200),2),MOD(((MIN('_Dates'!X200,Settings!$B$9))-('_Dates'!W200)+1),7)),"O",""))-COUNTIFS(INDEX(AllClosureRows,C200,0),"&gt;="&amp;('_Dates'!W200),INDEX(AllClosureRows,C200,0),"&lt;="&amp;(MIN('_Dates'!X200,Settings!$B$9))))+IF((MIN('_Dates'!Z200,Settings!$B$9))&lt;('_Dates'!Y200),0,INT(((MIN('_Dates'!Z200,Settings!$B$9))-('_Dates'!Y200)+1)/7)*LEN(SUBSTITUTE(W200,"O",""))+LEN(SUBSTITUTE(MID(W200&amp;W200,WEEKDAY(('_Dates'!Y200),2),MOD(((MIN('_Dates'!Z200,Settings!$B$9))-('_Dates'!Y200)+1),7)),"O",""))-COUNTIFS(INDEX(AllClosureRows,C200,0),"&gt;="&amp;('_Dates'!Y200),INDEX(AllClosureRows,C200,0),"&lt;="&amp;(MIN('_Dates'!Z200,Settings!$B$9))))))</ns0:f>
        <ns0:v>0</ns0:v>
      </ns0:c>
      <ns0:c r="I200" s="0">
        <ns0:f>MAX(0,G200-H200)</ns0:f>
        <ns0:v>0</ns0:v>
      </ns0:c>
      <ns0:c r="J200" s="0">
        <ns0:f>IF(OR(A200=0,F200&lt;&gt;"OK",Bookings!G200="Cancelled",$B$6&gt;0),0,IF('_Dates'!AC200=1,MAX(0,COUNTIFS(rngEngine_B,B200,rngAMStart,"&lt;="&amp;'_Dates'!X200,rngAMEnd,"&gt;="&amp;'_Dates'!W200,rngAMActive,1,rngEngine_F,"OK",rngBookings_F,"&lt;&gt;Cancelled")-1),0)+IF('_Dates'!AD200=1,MAX(0,COUNTIFS(rngEngine_B,B200,rngPMStart,"&lt;="&amp;'_Dates'!Z200,rngPMEnd,"&gt;="&amp;'_Dates'!Y200,rngPMActive,1,rngEngine_F,"OK",rngBookings_F,"&lt;&gt;Cancelled")-1),0))</ns0:f>
        <ns0:v>0</ns0:v>
      </ns0:c>
      <ns0:c r="K200" s="0" t="str">
        <ns0:f>IF(A200=0,"",IF(F200&lt;&gt;"OK",F200,IF(J200&gt;0,"CHECK overlapping entry",IF(AND($B$6=0,G200&lt;=0,Bookings!G200&lt;&gt;"Cancelled"),"CHECK no working days",IF(Bookings!G200="Cancelled","Cancelled","OK")))))</ns0:f>
        <ns0:v/>
      </ns0:c>
      <ns0:c r="L200" s="0">
        <ns0:f>IF(LEFT(K200,5)="CHECK",1,0)</ns0:f>
        <ns0:v>0</ns0:v>
      </ns0:c>
      <ns0:c r="M200" s="0">
        <ns0:f>IF(AND(L200=1,OR(C200=0,IFERROR(INDEX($X$11:$X$60,C200),0)=0)),1,0)</ns0:f>
        <ns0:v>0</ns0:v>
      </ns0:c>
      <ns0:c r="N200" s="0">
        <ns0:f>IF(OR(A200=0,L200&gt;0,$B$6&gt;0,Bookings!G200="Cancelled"),0,G200)</ns0:f>
        <ns0:v>0</ns0:v>
      </ns0:c>
      <ns0:c r="O200" s="0">
        <ns0:f>IF(AND(Bookings!G200="Approved",E200="Yes"),N200,0)</ns0:f>
        <ns0:v>0</ns0:v>
      </ns0:c>
      <ns0:c r="P200" s="0">
        <ns0:f>IF(AND(Bookings!G200="Approved",E200="Yes",L200=0,$B$6=0),H200,0)</ns0:f>
        <ns0:v>0</ns0:v>
      </ns0:c>
      <ns0:c r="Q200" s="0">
        <ns0:f>IF(AND(Bookings!G200="Approved",E200="Yes",L200=0,$B$6=0),I200,0)</ns0:f>
        <ns0:v>0</ns0:v>
      </ns0:c>
      <ns0:c r="R200" s="0">
        <ns0:f>IF(AND(Bookings!G200="Pending",E200="Yes"),N200,0)</ns0:f>
        <ns0:v>0</ns0:v>
      </ns0:c>
      <ns0:c r="S200" s="0">
        <ns0:f>IF(AND(Bookings!G200="Approved",E200="No"),N200,0)</ns0:f>
        <ns0:v>0</ns0:v>
      </ns0:c>
      <ns0:c r="T200" s="0">
        <ns0:f>IFERROR(MATCH(D200,Settings!$G$7:$G$11,0),0)</ns0:f>
        <ns0:v>0</ns0:v>
      </ns0:c>
      <ns0:c r="U200" s="0">
        <ns0:f>IF(N200&gt;0,T200+IF(Bookings!G200="Pending",10,0),0)</ns0:f>
        <ns0:v>0</ns0:v>
      </ns0:c>
      <ns0:c r="V200" s="0">
        <ns0:f>U200</ns0:f>
        <ns0:v>0</ns0:v>
      </ns0:c>
      <ns0:c r="W200" s="0" t="str">
        <ns0:f>IF(C200=0,"",INDEX($AP$11:$AP$60,C200))</ns0:f>
        <ns0:v/>
      </ns0:c>
    </ns0:row>
    <ns0:row r="201">
      <ns0:c r="A201" s="0">
        <ns0:f>IF(COUNTA(Bookings!A201:G201,Bookings!I201)=0,0,1)</ns0:f>
        <ns0:v>0</ns0:v>
      </ns0:c>
      <ns0:c r="B201" s="0" t="str">
        <ns0:f>IFERROR(TRIM(MID(Bookings!A201,FIND(" · ",Bookings!A201)+3,99)),"")</ns0:f>
        <ns0:v/>
      </ns0:c>
      <ns0:c r="C201" s="0">
        <ns0:f>IF(OR(B201="",LEN(B201)&gt;24,ISNUMBER(FIND(" ",B201)),ISNUMBER(FIND("*",B201)),ISNUMBER(FIND("?",B201)),ISNUMBER(FIND("~",B201))),0,IFERROR(MATCH(B201,Team!$A$11:$A$60,0),0))</ns0:f>
        <ns0:v>0</ns0:v>
      </ns0:c>
      <ns0:c r="D201" s="0" t="str">
        <ns0:f>IFERROR(IF(MID(Bookings!F201,LEN(Bookings!F201)-3,3)=" · ",RIGHT(Bookings!F201,1),""),"")</ns0:f>
        <ns0:v/>
      </ns0:c>
      <ns0:c r="E201" s="0" t="str">
        <ns0:f>IFERROR(INDEX(Settings!$H$7:$H$11,MATCH(D201,Settings!$G$7:$G$11,0)),"")</ns0:f>
        <ns0:v/>
      </ns0:c>
      <ns0:c r="F201" s="0" t="str">
        <ns0:f>IF(A201=0,"",IFERROR(IF(OR(B201="",C201=0),"CHECK employee selection",IF(INDEX(Team!$O$11:$O$60,C201)&lt;&gt;"OK","CHECK employee setup",IF(OR('_Dates'!J201=0,'_Dates'!T201=0),"CHECK date: use DD.MM.YYYY",IF('_Dates'!T201&lt;'_Dates'!J201,"CHECK end before start",IF(AND($B$6=0,OR('_Dates'!J201&lt;Settings!$B$7,'_Dates'!T201&gt;Settings!$B$8)),"CHECK split across leave years",IF(OR(NOT(OR('_Dates'!U201="Full day",'_Dates'!U201="AM",'_Dates'!U201="PM")),NOT(OR('_Dates'!V201="Full day",'_Dates'!V201="AM",'_Dates'!V201="PM"))),"CHECK Full day / AM / PM",IF(AND('_Dates'!J201='_Dates'!T201,'_Dates'!U201&lt;&gt;"Full day",'_Dates'!V201&lt;&gt;"Full day",'_Dates'!U201&lt;&gt;'_Dates'!V201),"CHECK same-day portions disagree",IF(AND($B$6=0,OR(AND('_Dates'!U201&lt;&gt;"Full day",'_Dates'!AA201=0),AND('_Dates'!V201&lt;&gt;"Full day",'_Dates'!AB201=0))),"CHECK half-day on non-working date",IF(COUNTIF(Settings!$G$7:$G$11,D201)&lt;&gt;1,"CHECK leave type",IF(AND(Bookings!G201&lt;&gt;"Approved",Bookings!G201&lt;&gt;"Pending",Bookings!G201&lt;&gt;"Cancelled"),"CHECK status","OK")))))))))),"CHECK input"))</ns0:f>
        <ns0:v/>
      </ns0:c>
      <ns0:c r="G201" s="0">
        <ns0:f>IF(OR(F201&lt;&gt;"OK",$B$6&gt;0),0,0.5*(IF(('_Dates'!X201)&lt;('_Dates'!W201),0,INT((('_Dates'!X201)-('_Dates'!W201)+1)/7)*LEN(SUBSTITUTE(W201,"O",""))+LEN(SUBSTITUTE(MID(W201&amp;W201,WEEKDAY(('_Dates'!W201),2),MOD((('_Dates'!X201)-('_Dates'!W201)+1),7)),"O",""))-COUNTIFS(INDEX(AllClosureRows,C201,0),"&gt;="&amp;('_Dates'!W201),INDEX(AllClosureRows,C201,0),"&lt;="&amp;('_Dates'!X201)))+IF(('_Dates'!Z201)&lt;('_Dates'!Y201),0,INT((('_Dates'!Z201)-('_Dates'!Y201)+1)/7)*LEN(SUBSTITUTE(W201,"O",""))+LEN(SUBSTITUTE(MID(W201&amp;W201,WEEKDAY(('_Dates'!Y201),2),MOD((('_Dates'!Z201)-('_Dates'!Y201)+1),7)),"O",""))-COUNTIFS(INDEX(AllClosureRows,C201,0),"&gt;="&amp;('_Dates'!Y201),INDEX(AllClosureRows,C201,0),"&lt;="&amp;('_Dates'!Z201)))))</ns0:f>
        <ns0:v>0</ns0:v>
      </ns0:c>
      <ns0:c r="H201" s="0">
        <ns0:f>IF(OR(F201&lt;&gt;"OK",$B$6&gt;0),0,0.5*(IF((MIN('_Dates'!X201,Settings!$B$9))&lt;('_Dates'!W201),0,INT(((MIN('_Dates'!X201,Settings!$B$9))-('_Dates'!W201)+1)/7)*LEN(SUBSTITUTE(W201,"O",""))+LEN(SUBSTITUTE(MID(W201&amp;W201,WEEKDAY(('_Dates'!W201),2),MOD(((MIN('_Dates'!X201,Settings!$B$9))-('_Dates'!W201)+1),7)),"O",""))-COUNTIFS(INDEX(AllClosureRows,C201,0),"&gt;="&amp;('_Dates'!W201),INDEX(AllClosureRows,C201,0),"&lt;="&amp;(MIN('_Dates'!X201,Settings!$B$9))))+IF((MIN('_Dates'!Z201,Settings!$B$9))&lt;('_Dates'!Y201),0,INT(((MIN('_Dates'!Z201,Settings!$B$9))-('_Dates'!Y201)+1)/7)*LEN(SUBSTITUTE(W201,"O",""))+LEN(SUBSTITUTE(MID(W201&amp;W201,WEEKDAY(('_Dates'!Y201),2),MOD(((MIN('_Dates'!Z201,Settings!$B$9))-('_Dates'!Y201)+1),7)),"O",""))-COUNTIFS(INDEX(AllClosureRows,C201,0),"&gt;="&amp;('_Dates'!Y201),INDEX(AllClosureRows,C201,0),"&lt;="&amp;(MIN('_Dates'!Z201,Settings!$B$9))))))</ns0:f>
        <ns0:v>0</ns0:v>
      </ns0:c>
      <ns0:c r="I201" s="0">
        <ns0:f>MAX(0,G201-H201)</ns0:f>
        <ns0:v>0</ns0:v>
      </ns0:c>
      <ns0:c r="J201" s="0">
        <ns0:f>IF(OR(A201=0,F201&lt;&gt;"OK",Bookings!G201="Cancelled",$B$6&gt;0),0,IF('_Dates'!AC201=1,MAX(0,COUNTIFS(rngEngine_B,B201,rngAMStart,"&lt;="&amp;'_Dates'!X201,rngAMEnd,"&gt;="&amp;'_Dates'!W201,rngAMActive,1,rngEngine_F,"OK",rngBookings_F,"&lt;&gt;Cancelled")-1),0)+IF('_Dates'!AD201=1,MAX(0,COUNTIFS(rngEngine_B,B201,rngPMStart,"&lt;="&amp;'_Dates'!Z201,rngPMEnd,"&gt;="&amp;'_Dates'!Y201,rngPMActive,1,rngEngine_F,"OK",rngBookings_F,"&lt;&gt;Cancelled")-1),0))</ns0:f>
        <ns0:v>0</ns0:v>
      </ns0:c>
      <ns0:c r="K201" s="0" t="str">
        <ns0:f>IF(A201=0,"",IF(F201&lt;&gt;"OK",F201,IF(J201&gt;0,"CHECK overlapping entry",IF(AND($B$6=0,G201&lt;=0,Bookings!G201&lt;&gt;"Cancelled"),"CHECK no working days",IF(Bookings!G201="Cancelled","Cancelled","OK")))))</ns0:f>
        <ns0:v/>
      </ns0:c>
      <ns0:c r="L201" s="0">
        <ns0:f>IF(LEFT(K201,5)="CHECK",1,0)</ns0:f>
        <ns0:v>0</ns0:v>
      </ns0:c>
      <ns0:c r="M201" s="0">
        <ns0:f>IF(AND(L201=1,OR(C201=0,IFERROR(INDEX($X$11:$X$60,C201),0)=0)),1,0)</ns0:f>
        <ns0:v>0</ns0:v>
      </ns0:c>
      <ns0:c r="N201" s="0">
        <ns0:f>IF(OR(A201=0,L201&gt;0,$B$6&gt;0,Bookings!G201="Cancelled"),0,G201)</ns0:f>
        <ns0:v>0</ns0:v>
      </ns0:c>
      <ns0:c r="O201" s="0">
        <ns0:f>IF(AND(Bookings!G201="Approved",E201="Yes"),N201,0)</ns0:f>
        <ns0:v>0</ns0:v>
      </ns0:c>
      <ns0:c r="P201" s="0">
        <ns0:f>IF(AND(Bookings!G201="Approved",E201="Yes",L201=0,$B$6=0),H201,0)</ns0:f>
        <ns0:v>0</ns0:v>
      </ns0:c>
      <ns0:c r="Q201" s="0">
        <ns0:f>IF(AND(Bookings!G201="Approved",E201="Yes",L201=0,$B$6=0),I201,0)</ns0:f>
        <ns0:v>0</ns0:v>
      </ns0:c>
      <ns0:c r="R201" s="0">
        <ns0:f>IF(AND(Bookings!G201="Pending",E201="Yes"),N201,0)</ns0:f>
        <ns0:v>0</ns0:v>
      </ns0:c>
      <ns0:c r="S201" s="0">
        <ns0:f>IF(AND(Bookings!G201="Approved",E201="No"),N201,0)</ns0:f>
        <ns0:v>0</ns0:v>
      </ns0:c>
      <ns0:c r="T201" s="0">
        <ns0:f>IFERROR(MATCH(D201,Settings!$G$7:$G$11,0),0)</ns0:f>
        <ns0:v>0</ns0:v>
      </ns0:c>
      <ns0:c r="U201" s="0">
        <ns0:f>IF(N201&gt;0,T201+IF(Bookings!G201="Pending",10,0),0)</ns0:f>
        <ns0:v>0</ns0:v>
      </ns0:c>
      <ns0:c r="V201" s="0">
        <ns0:f>U201</ns0:f>
        <ns0:v>0</ns0:v>
      </ns0:c>
      <ns0:c r="W201" s="0" t="str">
        <ns0:f>IF(C201=0,"",INDEX($AP$11:$AP$60,C201))</ns0:f>
        <ns0:v/>
      </ns0:c>
    </ns0:row>
    <ns0:row r="202">
      <ns0:c r="A202" s="0">
        <ns0:f>IF(COUNTA(Bookings!A202:G202,Bookings!I202)=0,0,1)</ns0:f>
        <ns0:v>0</ns0:v>
      </ns0:c>
      <ns0:c r="B202" s="0" t="str">
        <ns0:f>IFERROR(TRIM(MID(Bookings!A202,FIND(" · ",Bookings!A202)+3,99)),"")</ns0:f>
        <ns0:v/>
      </ns0:c>
      <ns0:c r="C202" s="0">
        <ns0:f>IF(OR(B202="",LEN(B202)&gt;24,ISNUMBER(FIND(" ",B202)),ISNUMBER(FIND("*",B202)),ISNUMBER(FIND("?",B202)),ISNUMBER(FIND("~",B202))),0,IFERROR(MATCH(B202,Team!$A$11:$A$60,0),0))</ns0:f>
        <ns0:v>0</ns0:v>
      </ns0:c>
      <ns0:c r="D202" s="0" t="str">
        <ns0:f>IFERROR(IF(MID(Bookings!F202,LEN(Bookings!F202)-3,3)=" · ",RIGHT(Bookings!F202,1),""),"")</ns0:f>
        <ns0:v/>
      </ns0:c>
      <ns0:c r="E202" s="0" t="str">
        <ns0:f>IFERROR(INDEX(Settings!$H$7:$H$11,MATCH(D202,Settings!$G$7:$G$11,0)),"")</ns0:f>
        <ns0:v/>
      </ns0:c>
      <ns0:c r="F202" s="0" t="str">
        <ns0:f>IF(A202=0,"",IFERROR(IF(OR(B202="",C202=0),"CHECK employee selection",IF(INDEX(Team!$O$11:$O$60,C202)&lt;&gt;"OK","CHECK employee setup",IF(OR('_Dates'!J202=0,'_Dates'!T202=0),"CHECK date: use DD.MM.YYYY",IF('_Dates'!T202&lt;'_Dates'!J202,"CHECK end before start",IF(AND($B$6=0,OR('_Dates'!J202&lt;Settings!$B$7,'_Dates'!T202&gt;Settings!$B$8)),"CHECK split across leave years",IF(OR(NOT(OR('_Dates'!U202="Full day",'_Dates'!U202="AM",'_Dates'!U202="PM")),NOT(OR('_Dates'!V202="Full day",'_Dates'!V202="AM",'_Dates'!V202="PM"))),"CHECK Full day / AM / PM",IF(AND('_Dates'!J202='_Dates'!T202,'_Dates'!U202&lt;&gt;"Full day",'_Dates'!V202&lt;&gt;"Full day",'_Dates'!U202&lt;&gt;'_Dates'!V202),"CHECK same-day portions disagree",IF(AND($B$6=0,OR(AND('_Dates'!U202&lt;&gt;"Full day",'_Dates'!AA202=0),AND('_Dates'!V202&lt;&gt;"Full day",'_Dates'!AB202=0))),"CHECK half-day on non-working date",IF(COUNTIF(Settings!$G$7:$G$11,D202)&lt;&gt;1,"CHECK leave type",IF(AND(Bookings!G202&lt;&gt;"Approved",Bookings!G202&lt;&gt;"Pending",Bookings!G202&lt;&gt;"Cancelled"),"CHECK status","OK")))))))))),"CHECK input"))</ns0:f>
        <ns0:v/>
      </ns0:c>
      <ns0:c r="G202" s="0">
        <ns0:f>IF(OR(F202&lt;&gt;"OK",$B$6&gt;0),0,0.5*(IF(('_Dates'!X202)&lt;('_Dates'!W202),0,INT((('_Dates'!X202)-('_Dates'!W202)+1)/7)*LEN(SUBSTITUTE(W202,"O",""))+LEN(SUBSTITUTE(MID(W202&amp;W202,WEEKDAY(('_Dates'!W202),2),MOD((('_Dates'!X202)-('_Dates'!W202)+1),7)),"O",""))-COUNTIFS(INDEX(AllClosureRows,C202,0),"&gt;="&amp;('_Dates'!W202),INDEX(AllClosureRows,C202,0),"&lt;="&amp;('_Dates'!X202)))+IF(('_Dates'!Z202)&lt;('_Dates'!Y202),0,INT((('_Dates'!Z202)-('_Dates'!Y202)+1)/7)*LEN(SUBSTITUTE(W202,"O",""))+LEN(SUBSTITUTE(MID(W202&amp;W202,WEEKDAY(('_Dates'!Y202),2),MOD((('_Dates'!Z202)-('_Dates'!Y202)+1),7)),"O",""))-COUNTIFS(INDEX(AllClosureRows,C202,0),"&gt;="&amp;('_Dates'!Y202),INDEX(AllClosureRows,C202,0),"&lt;="&amp;('_Dates'!Z202)))))</ns0:f>
        <ns0:v>0</ns0:v>
      </ns0:c>
      <ns0:c r="H202" s="0">
        <ns0:f>IF(OR(F202&lt;&gt;"OK",$B$6&gt;0),0,0.5*(IF((MIN('_Dates'!X202,Settings!$B$9))&lt;('_Dates'!W202),0,INT(((MIN('_Dates'!X202,Settings!$B$9))-('_Dates'!W202)+1)/7)*LEN(SUBSTITUTE(W202,"O",""))+LEN(SUBSTITUTE(MID(W202&amp;W202,WEEKDAY(('_Dates'!W202),2),MOD(((MIN('_Dates'!X202,Settings!$B$9))-('_Dates'!W202)+1),7)),"O",""))-COUNTIFS(INDEX(AllClosureRows,C202,0),"&gt;="&amp;('_Dates'!W202),INDEX(AllClosureRows,C202,0),"&lt;="&amp;(MIN('_Dates'!X202,Settings!$B$9))))+IF((MIN('_Dates'!Z202,Settings!$B$9))&lt;('_Dates'!Y202),0,INT(((MIN('_Dates'!Z202,Settings!$B$9))-('_Dates'!Y202)+1)/7)*LEN(SUBSTITUTE(W202,"O",""))+LEN(SUBSTITUTE(MID(W202&amp;W202,WEEKDAY(('_Dates'!Y202),2),MOD(((MIN('_Dates'!Z202,Settings!$B$9))-('_Dates'!Y202)+1),7)),"O",""))-COUNTIFS(INDEX(AllClosureRows,C202,0),"&gt;="&amp;('_Dates'!Y202),INDEX(AllClosureRows,C202,0),"&lt;="&amp;(MIN('_Dates'!Z202,Settings!$B$9))))))</ns0:f>
        <ns0:v>0</ns0:v>
      </ns0:c>
      <ns0:c r="I202" s="0">
        <ns0:f>MAX(0,G202-H202)</ns0:f>
        <ns0:v>0</ns0:v>
      </ns0:c>
      <ns0:c r="J202" s="0">
        <ns0:f>IF(OR(A202=0,F202&lt;&gt;"OK",Bookings!G202="Cancelled",$B$6&gt;0),0,IF('_Dates'!AC202=1,MAX(0,COUNTIFS(rngEngine_B,B202,rngAMStart,"&lt;="&amp;'_Dates'!X202,rngAMEnd,"&gt;="&amp;'_Dates'!W202,rngAMActive,1,rngEngine_F,"OK",rngBookings_F,"&lt;&gt;Cancelled")-1),0)+IF('_Dates'!AD202=1,MAX(0,COUNTIFS(rngEngine_B,B202,rngPMStart,"&lt;="&amp;'_Dates'!Z202,rngPMEnd,"&gt;="&amp;'_Dates'!Y202,rngPMActive,1,rngEngine_F,"OK",rngBookings_F,"&lt;&gt;Cancelled")-1),0))</ns0:f>
        <ns0:v>0</ns0:v>
      </ns0:c>
      <ns0:c r="K202" s="0" t="str">
        <ns0:f>IF(A202=0,"",IF(F202&lt;&gt;"OK",F202,IF(J202&gt;0,"CHECK overlapping entry",IF(AND($B$6=0,G202&lt;=0,Bookings!G202&lt;&gt;"Cancelled"),"CHECK no working days",IF(Bookings!G202="Cancelled","Cancelled","OK")))))</ns0:f>
        <ns0:v/>
      </ns0:c>
      <ns0:c r="L202" s="0">
        <ns0:f>IF(LEFT(K202,5)="CHECK",1,0)</ns0:f>
        <ns0:v>0</ns0:v>
      </ns0:c>
      <ns0:c r="M202" s="0">
        <ns0:f>IF(AND(L202=1,OR(C202=0,IFERROR(INDEX($X$11:$X$60,C202),0)=0)),1,0)</ns0:f>
        <ns0:v>0</ns0:v>
      </ns0:c>
      <ns0:c r="N202" s="0">
        <ns0:f>IF(OR(A202=0,L202&gt;0,$B$6&gt;0,Bookings!G202="Cancelled"),0,G202)</ns0:f>
        <ns0:v>0</ns0:v>
      </ns0:c>
      <ns0:c r="O202" s="0">
        <ns0:f>IF(AND(Bookings!G202="Approved",E202="Yes"),N202,0)</ns0:f>
        <ns0:v>0</ns0:v>
      </ns0:c>
      <ns0:c r="P202" s="0">
        <ns0:f>IF(AND(Bookings!G202="Approved",E202="Yes",L202=0,$B$6=0),H202,0)</ns0:f>
        <ns0:v>0</ns0:v>
      </ns0:c>
      <ns0:c r="Q202" s="0">
        <ns0:f>IF(AND(Bookings!G202="Approved",E202="Yes",L202=0,$B$6=0),I202,0)</ns0:f>
        <ns0:v>0</ns0:v>
      </ns0:c>
      <ns0:c r="R202" s="0">
        <ns0:f>IF(AND(Bookings!G202="Pending",E202="Yes"),N202,0)</ns0:f>
        <ns0:v>0</ns0:v>
      </ns0:c>
      <ns0:c r="S202" s="0">
        <ns0:f>IF(AND(Bookings!G202="Approved",E202="No"),N202,0)</ns0:f>
        <ns0:v>0</ns0:v>
      </ns0:c>
      <ns0:c r="T202" s="0">
        <ns0:f>IFERROR(MATCH(D202,Settings!$G$7:$G$11,0),0)</ns0:f>
        <ns0:v>0</ns0:v>
      </ns0:c>
      <ns0:c r="U202" s="0">
        <ns0:f>IF(N202&gt;0,T202+IF(Bookings!G202="Pending",10,0),0)</ns0:f>
        <ns0:v>0</ns0:v>
      </ns0:c>
      <ns0:c r="V202" s="0">
        <ns0:f>U202</ns0:f>
        <ns0:v>0</ns0:v>
      </ns0:c>
      <ns0:c r="W202" s="0" t="str">
        <ns0:f>IF(C202=0,"",INDEX($AP$11:$AP$60,C202))</ns0:f>
        <ns0:v/>
      </ns0:c>
    </ns0:row>
    <ns0:row r="203">
      <ns0:c r="A203" s="0">
        <ns0:f>IF(COUNTA(Bookings!A203:G203,Bookings!I203)=0,0,1)</ns0:f>
        <ns0:v>0</ns0:v>
      </ns0:c>
      <ns0:c r="B203" s="0" t="str">
        <ns0:f>IFERROR(TRIM(MID(Bookings!A203,FIND(" · ",Bookings!A203)+3,99)),"")</ns0:f>
        <ns0:v/>
      </ns0:c>
      <ns0:c r="C203" s="0">
        <ns0:f>IF(OR(B203="",LEN(B203)&gt;24,ISNUMBER(FIND(" ",B203)),ISNUMBER(FIND("*",B203)),ISNUMBER(FIND("?",B203)),ISNUMBER(FIND("~",B203))),0,IFERROR(MATCH(B203,Team!$A$11:$A$60,0),0))</ns0:f>
        <ns0:v>0</ns0:v>
      </ns0:c>
      <ns0:c r="D203" s="0" t="str">
        <ns0:f>IFERROR(IF(MID(Bookings!F203,LEN(Bookings!F203)-3,3)=" · ",RIGHT(Bookings!F203,1),""),"")</ns0:f>
        <ns0:v/>
      </ns0:c>
      <ns0:c r="E203" s="0" t="str">
        <ns0:f>IFERROR(INDEX(Settings!$H$7:$H$11,MATCH(D203,Settings!$G$7:$G$11,0)),"")</ns0:f>
        <ns0:v/>
      </ns0:c>
      <ns0:c r="F203" s="0" t="str">
        <ns0:f>IF(A203=0,"",IFERROR(IF(OR(B203="",C203=0),"CHECK employee selection",IF(INDEX(Team!$O$11:$O$60,C203)&lt;&gt;"OK","CHECK employee setup",IF(OR('_Dates'!J203=0,'_Dates'!T203=0),"CHECK date: use DD.MM.YYYY",IF('_Dates'!T203&lt;'_Dates'!J203,"CHECK end before start",IF(AND($B$6=0,OR('_Dates'!J203&lt;Settings!$B$7,'_Dates'!T203&gt;Settings!$B$8)),"CHECK split across leave years",IF(OR(NOT(OR('_Dates'!U203="Full day",'_Dates'!U203="AM",'_Dates'!U203="PM")),NOT(OR('_Dates'!V203="Full day",'_Dates'!V203="AM",'_Dates'!V203="PM"))),"CHECK Full day / AM / PM",IF(AND('_Dates'!J203='_Dates'!T203,'_Dates'!U203&lt;&gt;"Full day",'_Dates'!V203&lt;&gt;"Full day",'_Dates'!U203&lt;&gt;'_Dates'!V203),"CHECK same-day portions disagree",IF(AND($B$6=0,OR(AND('_Dates'!U203&lt;&gt;"Full day",'_Dates'!AA203=0),AND('_Dates'!V203&lt;&gt;"Full day",'_Dates'!AB203=0))),"CHECK half-day on non-working date",IF(COUNTIF(Settings!$G$7:$G$11,D203)&lt;&gt;1,"CHECK leave type",IF(AND(Bookings!G203&lt;&gt;"Approved",Bookings!G203&lt;&gt;"Pending",Bookings!G203&lt;&gt;"Cancelled"),"CHECK status","OK")))))))))),"CHECK input"))</ns0:f>
        <ns0:v/>
      </ns0:c>
      <ns0:c r="G203" s="0">
        <ns0:f>IF(OR(F203&lt;&gt;"OK",$B$6&gt;0),0,0.5*(IF(('_Dates'!X203)&lt;('_Dates'!W203),0,INT((('_Dates'!X203)-('_Dates'!W203)+1)/7)*LEN(SUBSTITUTE(W203,"O",""))+LEN(SUBSTITUTE(MID(W203&amp;W203,WEEKDAY(('_Dates'!W203),2),MOD((('_Dates'!X203)-('_Dates'!W203)+1),7)),"O",""))-COUNTIFS(INDEX(AllClosureRows,C203,0),"&gt;="&amp;('_Dates'!W203),INDEX(AllClosureRows,C203,0),"&lt;="&amp;('_Dates'!X203)))+IF(('_Dates'!Z203)&lt;('_Dates'!Y203),0,INT((('_Dates'!Z203)-('_Dates'!Y203)+1)/7)*LEN(SUBSTITUTE(W203,"O",""))+LEN(SUBSTITUTE(MID(W203&amp;W203,WEEKDAY(('_Dates'!Y203),2),MOD((('_Dates'!Z203)-('_Dates'!Y203)+1),7)),"O",""))-COUNTIFS(INDEX(AllClosureRows,C203,0),"&gt;="&amp;('_Dates'!Y203),INDEX(AllClosureRows,C203,0),"&lt;="&amp;('_Dates'!Z203)))))</ns0:f>
        <ns0:v>0</ns0:v>
      </ns0:c>
      <ns0:c r="H203" s="0">
        <ns0:f>IF(OR(F203&lt;&gt;"OK",$B$6&gt;0),0,0.5*(IF((MIN('_Dates'!X203,Settings!$B$9))&lt;('_Dates'!W203),0,INT(((MIN('_Dates'!X203,Settings!$B$9))-('_Dates'!W203)+1)/7)*LEN(SUBSTITUTE(W203,"O",""))+LEN(SUBSTITUTE(MID(W203&amp;W203,WEEKDAY(('_Dates'!W203),2),MOD(((MIN('_Dates'!X203,Settings!$B$9))-('_Dates'!W203)+1),7)),"O",""))-COUNTIFS(INDEX(AllClosureRows,C203,0),"&gt;="&amp;('_Dates'!W203),INDEX(AllClosureRows,C203,0),"&lt;="&amp;(MIN('_Dates'!X203,Settings!$B$9))))+IF((MIN('_Dates'!Z203,Settings!$B$9))&lt;('_Dates'!Y203),0,INT(((MIN('_Dates'!Z203,Settings!$B$9))-('_Dates'!Y203)+1)/7)*LEN(SUBSTITUTE(W203,"O",""))+LEN(SUBSTITUTE(MID(W203&amp;W203,WEEKDAY(('_Dates'!Y203),2),MOD(((MIN('_Dates'!Z203,Settings!$B$9))-('_Dates'!Y203)+1),7)),"O",""))-COUNTIFS(INDEX(AllClosureRows,C203,0),"&gt;="&amp;('_Dates'!Y203),INDEX(AllClosureRows,C203,0),"&lt;="&amp;(MIN('_Dates'!Z203,Settings!$B$9))))))</ns0:f>
        <ns0:v>0</ns0:v>
      </ns0:c>
      <ns0:c r="I203" s="0">
        <ns0:f>MAX(0,G203-H203)</ns0:f>
        <ns0:v>0</ns0:v>
      </ns0:c>
      <ns0:c r="J203" s="0">
        <ns0:f>IF(OR(A203=0,F203&lt;&gt;"OK",Bookings!G203="Cancelled",$B$6&gt;0),0,IF('_Dates'!AC203=1,MAX(0,COUNTIFS(rngEngine_B,B203,rngAMStart,"&lt;="&amp;'_Dates'!X203,rngAMEnd,"&gt;="&amp;'_Dates'!W203,rngAMActive,1,rngEngine_F,"OK",rngBookings_F,"&lt;&gt;Cancelled")-1),0)+IF('_Dates'!AD203=1,MAX(0,COUNTIFS(rngEngine_B,B203,rngPMStart,"&lt;="&amp;'_Dates'!Z203,rngPMEnd,"&gt;="&amp;'_Dates'!Y203,rngPMActive,1,rngEngine_F,"OK",rngBookings_F,"&lt;&gt;Cancelled")-1),0))</ns0:f>
        <ns0:v>0</ns0:v>
      </ns0:c>
      <ns0:c r="K203" s="0" t="str">
        <ns0:f>IF(A203=0,"",IF(F203&lt;&gt;"OK",F203,IF(J203&gt;0,"CHECK overlapping entry",IF(AND($B$6=0,G203&lt;=0,Bookings!G203&lt;&gt;"Cancelled"),"CHECK no working days",IF(Bookings!G203="Cancelled","Cancelled","OK")))))</ns0:f>
        <ns0:v/>
      </ns0:c>
      <ns0:c r="L203" s="0">
        <ns0:f>IF(LEFT(K203,5)="CHECK",1,0)</ns0:f>
        <ns0:v>0</ns0:v>
      </ns0:c>
      <ns0:c r="M203" s="0">
        <ns0:f>IF(AND(L203=1,OR(C203=0,IFERROR(INDEX($X$11:$X$60,C203),0)=0)),1,0)</ns0:f>
        <ns0:v>0</ns0:v>
      </ns0:c>
      <ns0:c r="N203" s="0">
        <ns0:f>IF(OR(A203=0,L203&gt;0,$B$6&gt;0,Bookings!G203="Cancelled"),0,G203)</ns0:f>
        <ns0:v>0</ns0:v>
      </ns0:c>
      <ns0:c r="O203" s="0">
        <ns0:f>IF(AND(Bookings!G203="Approved",E203="Yes"),N203,0)</ns0:f>
        <ns0:v>0</ns0:v>
      </ns0:c>
      <ns0:c r="P203" s="0">
        <ns0:f>IF(AND(Bookings!G203="Approved",E203="Yes",L203=0,$B$6=0),H203,0)</ns0:f>
        <ns0:v>0</ns0:v>
      </ns0:c>
      <ns0:c r="Q203" s="0">
        <ns0:f>IF(AND(Bookings!G203="Approved",E203="Yes",L203=0,$B$6=0),I203,0)</ns0:f>
        <ns0:v>0</ns0:v>
      </ns0:c>
      <ns0:c r="R203" s="0">
        <ns0:f>IF(AND(Bookings!G203="Pending",E203="Yes"),N203,0)</ns0:f>
        <ns0:v>0</ns0:v>
      </ns0:c>
      <ns0:c r="S203" s="0">
        <ns0:f>IF(AND(Bookings!G203="Approved",E203="No"),N203,0)</ns0:f>
        <ns0:v>0</ns0:v>
      </ns0:c>
      <ns0:c r="T203" s="0">
        <ns0:f>IFERROR(MATCH(D203,Settings!$G$7:$G$11,0),0)</ns0:f>
        <ns0:v>0</ns0:v>
      </ns0:c>
      <ns0:c r="U203" s="0">
        <ns0:f>IF(N203&gt;0,T203+IF(Bookings!G203="Pending",10,0),0)</ns0:f>
        <ns0:v>0</ns0:v>
      </ns0:c>
      <ns0:c r="V203" s="0">
        <ns0:f>U203</ns0:f>
        <ns0:v>0</ns0:v>
      </ns0:c>
      <ns0:c r="W203" s="0" t="str">
        <ns0:f>IF(C203=0,"",INDEX($AP$11:$AP$60,C203))</ns0:f>
        <ns0:v/>
      </ns0:c>
    </ns0:row>
    <ns0:row r="204">
      <ns0:c r="A204" s="0">
        <ns0:f>IF(COUNTA(Bookings!A204:G204,Bookings!I204)=0,0,1)</ns0:f>
        <ns0:v>0</ns0:v>
      </ns0:c>
      <ns0:c r="B204" s="0" t="str">
        <ns0:f>IFERROR(TRIM(MID(Bookings!A204,FIND(" · ",Bookings!A204)+3,99)),"")</ns0:f>
        <ns0:v/>
      </ns0:c>
      <ns0:c r="C204" s="0">
        <ns0:f>IF(OR(B204="",LEN(B204)&gt;24,ISNUMBER(FIND(" ",B204)),ISNUMBER(FIND("*",B204)),ISNUMBER(FIND("?",B204)),ISNUMBER(FIND("~",B204))),0,IFERROR(MATCH(B204,Team!$A$11:$A$60,0),0))</ns0:f>
        <ns0:v>0</ns0:v>
      </ns0:c>
      <ns0:c r="D204" s="0" t="str">
        <ns0:f>IFERROR(IF(MID(Bookings!F204,LEN(Bookings!F204)-3,3)=" · ",RIGHT(Bookings!F204,1),""),"")</ns0:f>
        <ns0:v/>
      </ns0:c>
      <ns0:c r="E204" s="0" t="str">
        <ns0:f>IFERROR(INDEX(Settings!$H$7:$H$11,MATCH(D204,Settings!$G$7:$G$11,0)),"")</ns0:f>
        <ns0:v/>
      </ns0:c>
      <ns0:c r="F204" s="0" t="str">
        <ns0:f>IF(A204=0,"",IFERROR(IF(OR(B204="",C204=0),"CHECK employee selection",IF(INDEX(Team!$O$11:$O$60,C204)&lt;&gt;"OK","CHECK employee setup",IF(OR('_Dates'!J204=0,'_Dates'!T204=0),"CHECK date: use DD.MM.YYYY",IF('_Dates'!T204&lt;'_Dates'!J204,"CHECK end before start",IF(AND($B$6=0,OR('_Dates'!J204&lt;Settings!$B$7,'_Dates'!T204&gt;Settings!$B$8)),"CHECK split across leave years",IF(OR(NOT(OR('_Dates'!U204="Full day",'_Dates'!U204="AM",'_Dates'!U204="PM")),NOT(OR('_Dates'!V204="Full day",'_Dates'!V204="AM",'_Dates'!V204="PM"))),"CHECK Full day / AM / PM",IF(AND('_Dates'!J204='_Dates'!T204,'_Dates'!U204&lt;&gt;"Full day",'_Dates'!V204&lt;&gt;"Full day",'_Dates'!U204&lt;&gt;'_Dates'!V204),"CHECK same-day portions disagree",IF(AND($B$6=0,OR(AND('_Dates'!U204&lt;&gt;"Full day",'_Dates'!AA204=0),AND('_Dates'!V204&lt;&gt;"Full day",'_Dates'!AB204=0))),"CHECK half-day on non-working date",IF(COUNTIF(Settings!$G$7:$G$11,D204)&lt;&gt;1,"CHECK leave type",IF(AND(Bookings!G204&lt;&gt;"Approved",Bookings!G204&lt;&gt;"Pending",Bookings!G204&lt;&gt;"Cancelled"),"CHECK status","OK")))))))))),"CHECK input"))</ns0:f>
        <ns0:v/>
      </ns0:c>
      <ns0:c r="G204" s="0">
        <ns0:f>IF(OR(F204&lt;&gt;"OK",$B$6&gt;0),0,0.5*(IF(('_Dates'!X204)&lt;('_Dates'!W204),0,INT((('_Dates'!X204)-('_Dates'!W204)+1)/7)*LEN(SUBSTITUTE(W204,"O",""))+LEN(SUBSTITUTE(MID(W204&amp;W204,WEEKDAY(('_Dates'!W204),2),MOD((('_Dates'!X204)-('_Dates'!W204)+1),7)),"O",""))-COUNTIFS(INDEX(AllClosureRows,C204,0),"&gt;="&amp;('_Dates'!W204),INDEX(AllClosureRows,C204,0),"&lt;="&amp;('_Dates'!X204)))+IF(('_Dates'!Z204)&lt;('_Dates'!Y204),0,INT((('_Dates'!Z204)-('_Dates'!Y204)+1)/7)*LEN(SUBSTITUTE(W204,"O",""))+LEN(SUBSTITUTE(MID(W204&amp;W204,WEEKDAY(('_Dates'!Y204),2),MOD((('_Dates'!Z204)-('_Dates'!Y204)+1),7)),"O",""))-COUNTIFS(INDEX(AllClosureRows,C204,0),"&gt;="&amp;('_Dates'!Y204),INDEX(AllClosureRows,C204,0),"&lt;="&amp;('_Dates'!Z204)))))</ns0:f>
        <ns0:v>0</ns0:v>
      </ns0:c>
      <ns0:c r="H204" s="0">
        <ns0:f>IF(OR(F204&lt;&gt;"OK",$B$6&gt;0),0,0.5*(IF((MIN('_Dates'!X204,Settings!$B$9))&lt;('_Dates'!W204),0,INT(((MIN('_Dates'!X204,Settings!$B$9))-('_Dates'!W204)+1)/7)*LEN(SUBSTITUTE(W204,"O",""))+LEN(SUBSTITUTE(MID(W204&amp;W204,WEEKDAY(('_Dates'!W204),2),MOD(((MIN('_Dates'!X204,Settings!$B$9))-('_Dates'!W204)+1),7)),"O",""))-COUNTIFS(INDEX(AllClosureRows,C204,0),"&gt;="&amp;('_Dates'!W204),INDEX(AllClosureRows,C204,0),"&lt;="&amp;(MIN('_Dates'!X204,Settings!$B$9))))+IF((MIN('_Dates'!Z204,Settings!$B$9))&lt;('_Dates'!Y204),0,INT(((MIN('_Dates'!Z204,Settings!$B$9))-('_Dates'!Y204)+1)/7)*LEN(SUBSTITUTE(W204,"O",""))+LEN(SUBSTITUTE(MID(W204&amp;W204,WEEKDAY(('_Dates'!Y204),2),MOD(((MIN('_Dates'!Z204,Settings!$B$9))-('_Dates'!Y204)+1),7)),"O",""))-COUNTIFS(INDEX(AllClosureRows,C204,0),"&gt;="&amp;('_Dates'!Y204),INDEX(AllClosureRows,C204,0),"&lt;="&amp;(MIN('_Dates'!Z204,Settings!$B$9))))))</ns0:f>
        <ns0:v>0</ns0:v>
      </ns0:c>
      <ns0:c r="I204" s="0">
        <ns0:f>MAX(0,G204-H204)</ns0:f>
        <ns0:v>0</ns0:v>
      </ns0:c>
      <ns0:c r="J204" s="0">
        <ns0:f>IF(OR(A204=0,F204&lt;&gt;"OK",Bookings!G204="Cancelled",$B$6&gt;0),0,IF('_Dates'!AC204=1,MAX(0,COUNTIFS(rngEngine_B,B204,rngAMStart,"&lt;="&amp;'_Dates'!X204,rngAMEnd,"&gt;="&amp;'_Dates'!W204,rngAMActive,1,rngEngine_F,"OK",rngBookings_F,"&lt;&gt;Cancelled")-1),0)+IF('_Dates'!AD204=1,MAX(0,COUNTIFS(rngEngine_B,B204,rngPMStart,"&lt;="&amp;'_Dates'!Z204,rngPMEnd,"&gt;="&amp;'_Dates'!Y204,rngPMActive,1,rngEngine_F,"OK",rngBookings_F,"&lt;&gt;Cancelled")-1),0))</ns0:f>
        <ns0:v>0</ns0:v>
      </ns0:c>
      <ns0:c r="K204" s="0" t="str">
        <ns0:f>IF(A204=0,"",IF(F204&lt;&gt;"OK",F204,IF(J204&gt;0,"CHECK overlapping entry",IF(AND($B$6=0,G204&lt;=0,Bookings!G204&lt;&gt;"Cancelled"),"CHECK no working days",IF(Bookings!G204="Cancelled","Cancelled","OK")))))</ns0:f>
        <ns0:v/>
      </ns0:c>
      <ns0:c r="L204" s="0">
        <ns0:f>IF(LEFT(K204,5)="CHECK",1,0)</ns0:f>
        <ns0:v>0</ns0:v>
      </ns0:c>
      <ns0:c r="M204" s="0">
        <ns0:f>IF(AND(L204=1,OR(C204=0,IFERROR(INDEX($X$11:$X$60,C204),0)=0)),1,0)</ns0:f>
        <ns0:v>0</ns0:v>
      </ns0:c>
      <ns0:c r="N204" s="0">
        <ns0:f>IF(OR(A204=0,L204&gt;0,$B$6&gt;0,Bookings!G204="Cancelled"),0,G204)</ns0:f>
        <ns0:v>0</ns0:v>
      </ns0:c>
      <ns0:c r="O204" s="0">
        <ns0:f>IF(AND(Bookings!G204="Approved",E204="Yes"),N204,0)</ns0:f>
        <ns0:v>0</ns0:v>
      </ns0:c>
      <ns0:c r="P204" s="0">
        <ns0:f>IF(AND(Bookings!G204="Approved",E204="Yes",L204=0,$B$6=0),H204,0)</ns0:f>
        <ns0:v>0</ns0:v>
      </ns0:c>
      <ns0:c r="Q204" s="0">
        <ns0:f>IF(AND(Bookings!G204="Approved",E204="Yes",L204=0,$B$6=0),I204,0)</ns0:f>
        <ns0:v>0</ns0:v>
      </ns0:c>
      <ns0:c r="R204" s="0">
        <ns0:f>IF(AND(Bookings!G204="Pending",E204="Yes"),N204,0)</ns0:f>
        <ns0:v>0</ns0:v>
      </ns0:c>
      <ns0:c r="S204" s="0">
        <ns0:f>IF(AND(Bookings!G204="Approved",E204="No"),N204,0)</ns0:f>
        <ns0:v>0</ns0:v>
      </ns0:c>
      <ns0:c r="T204" s="0">
        <ns0:f>IFERROR(MATCH(D204,Settings!$G$7:$G$11,0),0)</ns0:f>
        <ns0:v>0</ns0:v>
      </ns0:c>
      <ns0:c r="U204" s="0">
        <ns0:f>IF(N204&gt;0,T204+IF(Bookings!G204="Pending",10,0),0)</ns0:f>
        <ns0:v>0</ns0:v>
      </ns0:c>
      <ns0:c r="V204" s="0">
        <ns0:f>U204</ns0:f>
        <ns0:v>0</ns0:v>
      </ns0:c>
      <ns0:c r="W204" s="0" t="str">
        <ns0:f>IF(C204=0,"",INDEX($AP$11:$AP$60,C204))</ns0:f>
        <ns0:v/>
      </ns0:c>
    </ns0:row>
    <ns0:row r="205">
      <ns0:c r="A205" s="0">
        <ns0:f>IF(COUNTA(Bookings!A205:G205,Bookings!I205)=0,0,1)</ns0:f>
        <ns0:v>0</ns0:v>
      </ns0:c>
      <ns0:c r="B205" s="0" t="str">
        <ns0:f>IFERROR(TRIM(MID(Bookings!A205,FIND(" · ",Bookings!A205)+3,99)),"")</ns0:f>
        <ns0:v/>
      </ns0:c>
      <ns0:c r="C205" s="0">
        <ns0:f>IF(OR(B205="",LEN(B205)&gt;24,ISNUMBER(FIND(" ",B205)),ISNUMBER(FIND("*",B205)),ISNUMBER(FIND("?",B205)),ISNUMBER(FIND("~",B205))),0,IFERROR(MATCH(B205,Team!$A$11:$A$60,0),0))</ns0:f>
        <ns0:v>0</ns0:v>
      </ns0:c>
      <ns0:c r="D205" s="0" t="str">
        <ns0:f>IFERROR(IF(MID(Bookings!F205,LEN(Bookings!F205)-3,3)=" · ",RIGHT(Bookings!F205,1),""),"")</ns0:f>
        <ns0:v/>
      </ns0:c>
      <ns0:c r="E205" s="0" t="str">
        <ns0:f>IFERROR(INDEX(Settings!$H$7:$H$11,MATCH(D205,Settings!$G$7:$G$11,0)),"")</ns0:f>
        <ns0:v/>
      </ns0:c>
      <ns0:c r="F205" s="0" t="str">
        <ns0:f>IF(A205=0,"",IFERROR(IF(OR(B205="",C205=0),"CHECK employee selection",IF(INDEX(Team!$O$11:$O$60,C205)&lt;&gt;"OK","CHECK employee setup",IF(OR('_Dates'!J205=0,'_Dates'!T205=0),"CHECK date: use DD.MM.YYYY",IF('_Dates'!T205&lt;'_Dates'!J205,"CHECK end before start",IF(AND($B$6=0,OR('_Dates'!J205&lt;Settings!$B$7,'_Dates'!T205&gt;Settings!$B$8)),"CHECK split across leave years",IF(OR(NOT(OR('_Dates'!U205="Full day",'_Dates'!U205="AM",'_Dates'!U205="PM")),NOT(OR('_Dates'!V205="Full day",'_Dates'!V205="AM",'_Dates'!V205="PM"))),"CHECK Full day / AM / PM",IF(AND('_Dates'!J205='_Dates'!T205,'_Dates'!U205&lt;&gt;"Full day",'_Dates'!V205&lt;&gt;"Full day",'_Dates'!U205&lt;&gt;'_Dates'!V205),"CHECK same-day portions disagree",IF(AND($B$6=0,OR(AND('_Dates'!U205&lt;&gt;"Full day",'_Dates'!AA205=0),AND('_Dates'!V205&lt;&gt;"Full day",'_Dates'!AB205=0))),"CHECK half-day on non-working date",IF(COUNTIF(Settings!$G$7:$G$11,D205)&lt;&gt;1,"CHECK leave type",IF(AND(Bookings!G205&lt;&gt;"Approved",Bookings!G205&lt;&gt;"Pending",Bookings!G205&lt;&gt;"Cancelled"),"CHECK status","OK")))))))))),"CHECK input"))</ns0:f>
        <ns0:v/>
      </ns0:c>
      <ns0:c r="G205" s="0">
        <ns0:f>IF(OR(F205&lt;&gt;"OK",$B$6&gt;0),0,0.5*(IF(('_Dates'!X205)&lt;('_Dates'!W205),0,INT((('_Dates'!X205)-('_Dates'!W205)+1)/7)*LEN(SUBSTITUTE(W205,"O",""))+LEN(SUBSTITUTE(MID(W205&amp;W205,WEEKDAY(('_Dates'!W205),2),MOD((('_Dates'!X205)-('_Dates'!W205)+1),7)),"O",""))-COUNTIFS(INDEX(AllClosureRows,C205,0),"&gt;="&amp;('_Dates'!W205),INDEX(AllClosureRows,C205,0),"&lt;="&amp;('_Dates'!X205)))+IF(('_Dates'!Z205)&lt;('_Dates'!Y205),0,INT((('_Dates'!Z205)-('_Dates'!Y205)+1)/7)*LEN(SUBSTITUTE(W205,"O",""))+LEN(SUBSTITUTE(MID(W205&amp;W205,WEEKDAY(('_Dates'!Y205),2),MOD((('_Dates'!Z205)-('_Dates'!Y205)+1),7)),"O",""))-COUNTIFS(INDEX(AllClosureRows,C205,0),"&gt;="&amp;('_Dates'!Y205),INDEX(AllClosureRows,C205,0),"&lt;="&amp;('_Dates'!Z205)))))</ns0:f>
        <ns0:v>0</ns0:v>
      </ns0:c>
      <ns0:c r="H205" s="0">
        <ns0:f>IF(OR(F205&lt;&gt;"OK",$B$6&gt;0),0,0.5*(IF((MIN('_Dates'!X205,Settings!$B$9))&lt;('_Dates'!W205),0,INT(((MIN('_Dates'!X205,Settings!$B$9))-('_Dates'!W205)+1)/7)*LEN(SUBSTITUTE(W205,"O",""))+LEN(SUBSTITUTE(MID(W205&amp;W205,WEEKDAY(('_Dates'!W205),2),MOD(((MIN('_Dates'!X205,Settings!$B$9))-('_Dates'!W205)+1),7)),"O",""))-COUNTIFS(INDEX(AllClosureRows,C205,0),"&gt;="&amp;('_Dates'!W205),INDEX(AllClosureRows,C205,0),"&lt;="&amp;(MIN('_Dates'!X205,Settings!$B$9))))+IF((MIN('_Dates'!Z205,Settings!$B$9))&lt;('_Dates'!Y205),0,INT(((MIN('_Dates'!Z205,Settings!$B$9))-('_Dates'!Y205)+1)/7)*LEN(SUBSTITUTE(W205,"O",""))+LEN(SUBSTITUTE(MID(W205&amp;W205,WEEKDAY(('_Dates'!Y205),2),MOD(((MIN('_Dates'!Z205,Settings!$B$9))-('_Dates'!Y205)+1),7)),"O",""))-COUNTIFS(INDEX(AllClosureRows,C205,0),"&gt;="&amp;('_Dates'!Y205),INDEX(AllClosureRows,C205,0),"&lt;="&amp;(MIN('_Dates'!Z205,Settings!$B$9))))))</ns0:f>
        <ns0:v>0</ns0:v>
      </ns0:c>
      <ns0:c r="I205" s="0">
        <ns0:f>MAX(0,G205-H205)</ns0:f>
        <ns0:v>0</ns0:v>
      </ns0:c>
      <ns0:c r="J205" s="0">
        <ns0:f>IF(OR(A205=0,F205&lt;&gt;"OK",Bookings!G205="Cancelled",$B$6&gt;0),0,IF('_Dates'!AC205=1,MAX(0,COUNTIFS(rngEngine_B,B205,rngAMStart,"&lt;="&amp;'_Dates'!X205,rngAMEnd,"&gt;="&amp;'_Dates'!W205,rngAMActive,1,rngEngine_F,"OK",rngBookings_F,"&lt;&gt;Cancelled")-1),0)+IF('_Dates'!AD205=1,MAX(0,COUNTIFS(rngEngine_B,B205,rngPMStart,"&lt;="&amp;'_Dates'!Z205,rngPMEnd,"&gt;="&amp;'_Dates'!Y205,rngPMActive,1,rngEngine_F,"OK",rngBookings_F,"&lt;&gt;Cancelled")-1),0))</ns0:f>
        <ns0:v>0</ns0:v>
      </ns0:c>
      <ns0:c r="K205" s="0" t="str">
        <ns0:f>IF(A205=0,"",IF(F205&lt;&gt;"OK",F205,IF(J205&gt;0,"CHECK overlapping entry",IF(AND($B$6=0,G205&lt;=0,Bookings!G205&lt;&gt;"Cancelled"),"CHECK no working days",IF(Bookings!G205="Cancelled","Cancelled","OK")))))</ns0:f>
        <ns0:v/>
      </ns0:c>
      <ns0:c r="L205" s="0">
        <ns0:f>IF(LEFT(K205,5)="CHECK",1,0)</ns0:f>
        <ns0:v>0</ns0:v>
      </ns0:c>
      <ns0:c r="M205" s="0">
        <ns0:f>IF(AND(L205=1,OR(C205=0,IFERROR(INDEX($X$11:$X$60,C205),0)=0)),1,0)</ns0:f>
        <ns0:v>0</ns0:v>
      </ns0:c>
      <ns0:c r="N205" s="0">
        <ns0:f>IF(OR(A205=0,L205&gt;0,$B$6&gt;0,Bookings!G205="Cancelled"),0,G205)</ns0:f>
        <ns0:v>0</ns0:v>
      </ns0:c>
      <ns0:c r="O205" s="0">
        <ns0:f>IF(AND(Bookings!G205="Approved",E205="Yes"),N205,0)</ns0:f>
        <ns0:v>0</ns0:v>
      </ns0:c>
      <ns0:c r="P205" s="0">
        <ns0:f>IF(AND(Bookings!G205="Approved",E205="Yes",L205=0,$B$6=0),H205,0)</ns0:f>
        <ns0:v>0</ns0:v>
      </ns0:c>
      <ns0:c r="Q205" s="0">
        <ns0:f>IF(AND(Bookings!G205="Approved",E205="Yes",L205=0,$B$6=0),I205,0)</ns0:f>
        <ns0:v>0</ns0:v>
      </ns0:c>
      <ns0:c r="R205" s="0">
        <ns0:f>IF(AND(Bookings!G205="Pending",E205="Yes"),N205,0)</ns0:f>
        <ns0:v>0</ns0:v>
      </ns0:c>
      <ns0:c r="S205" s="0">
        <ns0:f>IF(AND(Bookings!G205="Approved",E205="No"),N205,0)</ns0:f>
        <ns0:v>0</ns0:v>
      </ns0:c>
      <ns0:c r="T205" s="0">
        <ns0:f>IFERROR(MATCH(D205,Settings!$G$7:$G$11,0),0)</ns0:f>
        <ns0:v>0</ns0:v>
      </ns0:c>
      <ns0:c r="U205" s="0">
        <ns0:f>IF(N205&gt;0,T205+IF(Bookings!G205="Pending",10,0),0)</ns0:f>
        <ns0:v>0</ns0:v>
      </ns0:c>
      <ns0:c r="V205" s="0">
        <ns0:f>U205</ns0:f>
        <ns0:v>0</ns0:v>
      </ns0:c>
      <ns0:c r="W205" s="0" t="str">
        <ns0:f>IF(C205=0,"",INDEX($AP$11:$AP$60,C205))</ns0:f>
        <ns0:v/>
      </ns0:c>
    </ns0:row>
    <ns0:row r="206">
      <ns0:c r="A206" s="0">
        <ns0:f>IF(COUNTA(Bookings!A206:G206,Bookings!I206)=0,0,1)</ns0:f>
        <ns0:v>0</ns0:v>
      </ns0:c>
      <ns0:c r="B206" s="0" t="str">
        <ns0:f>IFERROR(TRIM(MID(Bookings!A206,FIND(" · ",Bookings!A206)+3,99)),"")</ns0:f>
        <ns0:v/>
      </ns0:c>
      <ns0:c r="C206" s="0">
        <ns0:f>IF(OR(B206="",LEN(B206)&gt;24,ISNUMBER(FIND(" ",B206)),ISNUMBER(FIND("*",B206)),ISNUMBER(FIND("?",B206)),ISNUMBER(FIND("~",B206))),0,IFERROR(MATCH(B206,Team!$A$11:$A$60,0),0))</ns0:f>
        <ns0:v>0</ns0:v>
      </ns0:c>
      <ns0:c r="D206" s="0" t="str">
        <ns0:f>IFERROR(IF(MID(Bookings!F206,LEN(Bookings!F206)-3,3)=" · ",RIGHT(Bookings!F206,1),""),"")</ns0:f>
        <ns0:v/>
      </ns0:c>
      <ns0:c r="E206" s="0" t="str">
        <ns0:f>IFERROR(INDEX(Settings!$H$7:$H$11,MATCH(D206,Settings!$G$7:$G$11,0)),"")</ns0:f>
        <ns0:v/>
      </ns0:c>
      <ns0:c r="F206" s="0" t="str">
        <ns0:f>IF(A206=0,"",IFERROR(IF(OR(B206="",C206=0),"CHECK employee selection",IF(INDEX(Team!$O$11:$O$60,C206)&lt;&gt;"OK","CHECK employee setup",IF(OR('_Dates'!J206=0,'_Dates'!T206=0),"CHECK date: use DD.MM.YYYY",IF('_Dates'!T206&lt;'_Dates'!J206,"CHECK end before start",IF(AND($B$6=0,OR('_Dates'!J206&lt;Settings!$B$7,'_Dates'!T206&gt;Settings!$B$8)),"CHECK split across leave years",IF(OR(NOT(OR('_Dates'!U206="Full day",'_Dates'!U206="AM",'_Dates'!U206="PM")),NOT(OR('_Dates'!V206="Full day",'_Dates'!V206="AM",'_Dates'!V206="PM"))),"CHECK Full day / AM / PM",IF(AND('_Dates'!J206='_Dates'!T206,'_Dates'!U206&lt;&gt;"Full day",'_Dates'!V206&lt;&gt;"Full day",'_Dates'!U206&lt;&gt;'_Dates'!V206),"CHECK same-day portions disagree",IF(AND($B$6=0,OR(AND('_Dates'!U206&lt;&gt;"Full day",'_Dates'!AA206=0),AND('_Dates'!V206&lt;&gt;"Full day",'_Dates'!AB206=0))),"CHECK half-day on non-working date",IF(COUNTIF(Settings!$G$7:$G$11,D206)&lt;&gt;1,"CHECK leave type",IF(AND(Bookings!G206&lt;&gt;"Approved",Bookings!G206&lt;&gt;"Pending",Bookings!G206&lt;&gt;"Cancelled"),"CHECK status","OK")))))))))),"CHECK input"))</ns0:f>
        <ns0:v/>
      </ns0:c>
      <ns0:c r="G206" s="0">
        <ns0:f>IF(OR(F206&lt;&gt;"OK",$B$6&gt;0),0,0.5*(IF(('_Dates'!X206)&lt;('_Dates'!W206),0,INT((('_Dates'!X206)-('_Dates'!W206)+1)/7)*LEN(SUBSTITUTE(W206,"O",""))+LEN(SUBSTITUTE(MID(W206&amp;W206,WEEKDAY(('_Dates'!W206),2),MOD((('_Dates'!X206)-('_Dates'!W206)+1),7)),"O",""))-COUNTIFS(INDEX(AllClosureRows,C206,0),"&gt;="&amp;('_Dates'!W206),INDEX(AllClosureRows,C206,0),"&lt;="&amp;('_Dates'!X206)))+IF(('_Dates'!Z206)&lt;('_Dates'!Y206),0,INT((('_Dates'!Z206)-('_Dates'!Y206)+1)/7)*LEN(SUBSTITUTE(W206,"O",""))+LEN(SUBSTITUTE(MID(W206&amp;W206,WEEKDAY(('_Dates'!Y206),2),MOD((('_Dates'!Z206)-('_Dates'!Y206)+1),7)),"O",""))-COUNTIFS(INDEX(AllClosureRows,C206,0),"&gt;="&amp;('_Dates'!Y206),INDEX(AllClosureRows,C206,0),"&lt;="&amp;('_Dates'!Z206)))))</ns0:f>
        <ns0:v>0</ns0:v>
      </ns0:c>
      <ns0:c r="H206" s="0">
        <ns0:f>IF(OR(F206&lt;&gt;"OK",$B$6&gt;0),0,0.5*(IF((MIN('_Dates'!X206,Settings!$B$9))&lt;('_Dates'!W206),0,INT(((MIN('_Dates'!X206,Settings!$B$9))-('_Dates'!W206)+1)/7)*LEN(SUBSTITUTE(W206,"O",""))+LEN(SUBSTITUTE(MID(W206&amp;W206,WEEKDAY(('_Dates'!W206),2),MOD(((MIN('_Dates'!X206,Settings!$B$9))-('_Dates'!W206)+1),7)),"O",""))-COUNTIFS(INDEX(AllClosureRows,C206,0),"&gt;="&amp;('_Dates'!W206),INDEX(AllClosureRows,C206,0),"&lt;="&amp;(MIN('_Dates'!X206,Settings!$B$9))))+IF((MIN('_Dates'!Z206,Settings!$B$9))&lt;('_Dates'!Y206),0,INT(((MIN('_Dates'!Z206,Settings!$B$9))-('_Dates'!Y206)+1)/7)*LEN(SUBSTITUTE(W206,"O",""))+LEN(SUBSTITUTE(MID(W206&amp;W206,WEEKDAY(('_Dates'!Y206),2),MOD(((MIN('_Dates'!Z206,Settings!$B$9))-('_Dates'!Y206)+1),7)),"O",""))-COUNTIFS(INDEX(AllClosureRows,C206,0),"&gt;="&amp;('_Dates'!Y206),INDEX(AllClosureRows,C206,0),"&lt;="&amp;(MIN('_Dates'!Z206,Settings!$B$9))))))</ns0:f>
        <ns0:v>0</ns0:v>
      </ns0:c>
      <ns0:c r="I206" s="0">
        <ns0:f>MAX(0,G206-H206)</ns0:f>
        <ns0:v>0</ns0:v>
      </ns0:c>
      <ns0:c r="J206" s="0">
        <ns0:f>IF(OR(A206=0,F206&lt;&gt;"OK",Bookings!G206="Cancelled",$B$6&gt;0),0,IF('_Dates'!AC206=1,MAX(0,COUNTIFS(rngEngine_B,B206,rngAMStart,"&lt;="&amp;'_Dates'!X206,rngAMEnd,"&gt;="&amp;'_Dates'!W206,rngAMActive,1,rngEngine_F,"OK",rngBookings_F,"&lt;&gt;Cancelled")-1),0)+IF('_Dates'!AD206=1,MAX(0,COUNTIFS(rngEngine_B,B206,rngPMStart,"&lt;="&amp;'_Dates'!Z206,rngPMEnd,"&gt;="&amp;'_Dates'!Y206,rngPMActive,1,rngEngine_F,"OK",rngBookings_F,"&lt;&gt;Cancelled")-1),0))</ns0:f>
        <ns0:v>0</ns0:v>
      </ns0:c>
      <ns0:c r="K206" s="0" t="str">
        <ns0:f>IF(A206=0,"",IF(F206&lt;&gt;"OK",F206,IF(J206&gt;0,"CHECK overlapping entry",IF(AND($B$6=0,G206&lt;=0,Bookings!G206&lt;&gt;"Cancelled"),"CHECK no working days",IF(Bookings!G206="Cancelled","Cancelled","OK")))))</ns0:f>
        <ns0:v/>
      </ns0:c>
      <ns0:c r="L206" s="0">
        <ns0:f>IF(LEFT(K206,5)="CHECK",1,0)</ns0:f>
        <ns0:v>0</ns0:v>
      </ns0:c>
      <ns0:c r="M206" s="0">
        <ns0:f>IF(AND(L206=1,OR(C206=0,IFERROR(INDEX($X$11:$X$60,C206),0)=0)),1,0)</ns0:f>
        <ns0:v>0</ns0:v>
      </ns0:c>
      <ns0:c r="N206" s="0">
        <ns0:f>IF(OR(A206=0,L206&gt;0,$B$6&gt;0,Bookings!G206="Cancelled"),0,G206)</ns0:f>
        <ns0:v>0</ns0:v>
      </ns0:c>
      <ns0:c r="O206" s="0">
        <ns0:f>IF(AND(Bookings!G206="Approved",E206="Yes"),N206,0)</ns0:f>
        <ns0:v>0</ns0:v>
      </ns0:c>
      <ns0:c r="P206" s="0">
        <ns0:f>IF(AND(Bookings!G206="Approved",E206="Yes",L206=0,$B$6=0),H206,0)</ns0:f>
        <ns0:v>0</ns0:v>
      </ns0:c>
      <ns0:c r="Q206" s="0">
        <ns0:f>IF(AND(Bookings!G206="Approved",E206="Yes",L206=0,$B$6=0),I206,0)</ns0:f>
        <ns0:v>0</ns0:v>
      </ns0:c>
      <ns0:c r="R206" s="0">
        <ns0:f>IF(AND(Bookings!G206="Pending",E206="Yes"),N206,0)</ns0:f>
        <ns0:v>0</ns0:v>
      </ns0:c>
      <ns0:c r="S206" s="0">
        <ns0:f>IF(AND(Bookings!G206="Approved",E206="No"),N206,0)</ns0:f>
        <ns0:v>0</ns0:v>
      </ns0:c>
      <ns0:c r="T206" s="0">
        <ns0:f>IFERROR(MATCH(D206,Settings!$G$7:$G$11,0),0)</ns0:f>
        <ns0:v>0</ns0:v>
      </ns0:c>
      <ns0:c r="U206" s="0">
        <ns0:f>IF(N206&gt;0,T206+IF(Bookings!G206="Pending",10,0),0)</ns0:f>
        <ns0:v>0</ns0:v>
      </ns0:c>
      <ns0:c r="V206" s="0">
        <ns0:f>U206</ns0:f>
        <ns0:v>0</ns0:v>
      </ns0:c>
      <ns0:c r="W206" s="0" t="str">
        <ns0:f>IF(C206=0,"",INDEX($AP$11:$AP$60,C206))</ns0:f>
        <ns0:v/>
      </ns0:c>
    </ns0:row>
    <ns0:row r="207">
      <ns0:c r="A207" s="0">
        <ns0:f>IF(COUNTA(Bookings!A207:G207,Bookings!I207)=0,0,1)</ns0:f>
        <ns0:v>0</ns0:v>
      </ns0:c>
      <ns0:c r="B207" s="0" t="str">
        <ns0:f>IFERROR(TRIM(MID(Bookings!A207,FIND(" · ",Bookings!A207)+3,99)),"")</ns0:f>
        <ns0:v/>
      </ns0:c>
      <ns0:c r="C207" s="0">
        <ns0:f>IF(OR(B207="",LEN(B207)&gt;24,ISNUMBER(FIND(" ",B207)),ISNUMBER(FIND("*",B207)),ISNUMBER(FIND("?",B207)),ISNUMBER(FIND("~",B207))),0,IFERROR(MATCH(B207,Team!$A$11:$A$60,0),0))</ns0:f>
        <ns0:v>0</ns0:v>
      </ns0:c>
      <ns0:c r="D207" s="0" t="str">
        <ns0:f>IFERROR(IF(MID(Bookings!F207,LEN(Bookings!F207)-3,3)=" · ",RIGHT(Bookings!F207,1),""),"")</ns0:f>
        <ns0:v/>
      </ns0:c>
      <ns0:c r="E207" s="0" t="str">
        <ns0:f>IFERROR(INDEX(Settings!$H$7:$H$11,MATCH(D207,Settings!$G$7:$G$11,0)),"")</ns0:f>
        <ns0:v/>
      </ns0:c>
      <ns0:c r="F207" s="0" t="str">
        <ns0:f>IF(A207=0,"",IFERROR(IF(OR(B207="",C207=0),"CHECK employee selection",IF(INDEX(Team!$O$11:$O$60,C207)&lt;&gt;"OK","CHECK employee setup",IF(OR('_Dates'!J207=0,'_Dates'!T207=0),"CHECK date: use DD.MM.YYYY",IF('_Dates'!T207&lt;'_Dates'!J207,"CHECK end before start",IF(AND($B$6=0,OR('_Dates'!J207&lt;Settings!$B$7,'_Dates'!T207&gt;Settings!$B$8)),"CHECK split across leave years",IF(OR(NOT(OR('_Dates'!U207="Full day",'_Dates'!U207="AM",'_Dates'!U207="PM")),NOT(OR('_Dates'!V207="Full day",'_Dates'!V207="AM",'_Dates'!V207="PM"))),"CHECK Full day / AM / PM",IF(AND('_Dates'!J207='_Dates'!T207,'_Dates'!U207&lt;&gt;"Full day",'_Dates'!V207&lt;&gt;"Full day",'_Dates'!U207&lt;&gt;'_Dates'!V207),"CHECK same-day portions disagree",IF(AND($B$6=0,OR(AND('_Dates'!U207&lt;&gt;"Full day",'_Dates'!AA207=0),AND('_Dates'!V207&lt;&gt;"Full day",'_Dates'!AB207=0))),"CHECK half-day on non-working date",IF(COUNTIF(Settings!$G$7:$G$11,D207)&lt;&gt;1,"CHECK leave type",IF(AND(Bookings!G207&lt;&gt;"Approved",Bookings!G207&lt;&gt;"Pending",Bookings!G207&lt;&gt;"Cancelled"),"CHECK status","OK")))))))))),"CHECK input"))</ns0:f>
        <ns0:v/>
      </ns0:c>
      <ns0:c r="G207" s="0">
        <ns0:f>IF(OR(F207&lt;&gt;"OK",$B$6&gt;0),0,0.5*(IF(('_Dates'!X207)&lt;('_Dates'!W207),0,INT((('_Dates'!X207)-('_Dates'!W207)+1)/7)*LEN(SUBSTITUTE(W207,"O",""))+LEN(SUBSTITUTE(MID(W207&amp;W207,WEEKDAY(('_Dates'!W207),2),MOD((('_Dates'!X207)-('_Dates'!W207)+1),7)),"O",""))-COUNTIFS(INDEX(AllClosureRows,C207,0),"&gt;="&amp;('_Dates'!W207),INDEX(AllClosureRows,C207,0),"&lt;="&amp;('_Dates'!X207)))+IF(('_Dates'!Z207)&lt;('_Dates'!Y207),0,INT((('_Dates'!Z207)-('_Dates'!Y207)+1)/7)*LEN(SUBSTITUTE(W207,"O",""))+LEN(SUBSTITUTE(MID(W207&amp;W207,WEEKDAY(('_Dates'!Y207),2),MOD((('_Dates'!Z207)-('_Dates'!Y207)+1),7)),"O",""))-COUNTIFS(INDEX(AllClosureRows,C207,0),"&gt;="&amp;('_Dates'!Y207),INDEX(AllClosureRows,C207,0),"&lt;="&amp;('_Dates'!Z207)))))</ns0:f>
        <ns0:v>0</ns0:v>
      </ns0:c>
      <ns0:c r="H207" s="0">
        <ns0:f>IF(OR(F207&lt;&gt;"OK",$B$6&gt;0),0,0.5*(IF((MIN('_Dates'!X207,Settings!$B$9))&lt;('_Dates'!W207),0,INT(((MIN('_Dates'!X207,Settings!$B$9))-('_Dates'!W207)+1)/7)*LEN(SUBSTITUTE(W207,"O",""))+LEN(SUBSTITUTE(MID(W207&amp;W207,WEEKDAY(('_Dates'!W207),2),MOD(((MIN('_Dates'!X207,Settings!$B$9))-('_Dates'!W207)+1),7)),"O",""))-COUNTIFS(INDEX(AllClosureRows,C207,0),"&gt;="&amp;('_Dates'!W207),INDEX(AllClosureRows,C207,0),"&lt;="&amp;(MIN('_Dates'!X207,Settings!$B$9))))+IF((MIN('_Dates'!Z207,Settings!$B$9))&lt;('_Dates'!Y207),0,INT(((MIN('_Dates'!Z207,Settings!$B$9))-('_Dates'!Y207)+1)/7)*LEN(SUBSTITUTE(W207,"O",""))+LEN(SUBSTITUTE(MID(W207&amp;W207,WEEKDAY(('_Dates'!Y207),2),MOD(((MIN('_Dates'!Z207,Settings!$B$9))-('_Dates'!Y207)+1),7)),"O",""))-COUNTIFS(INDEX(AllClosureRows,C207,0),"&gt;="&amp;('_Dates'!Y207),INDEX(AllClosureRows,C207,0),"&lt;="&amp;(MIN('_Dates'!Z207,Settings!$B$9))))))</ns0:f>
        <ns0:v>0</ns0:v>
      </ns0:c>
      <ns0:c r="I207" s="0">
        <ns0:f>MAX(0,G207-H207)</ns0:f>
        <ns0:v>0</ns0:v>
      </ns0:c>
      <ns0:c r="J207" s="0">
        <ns0:f>IF(OR(A207=0,F207&lt;&gt;"OK",Bookings!G207="Cancelled",$B$6&gt;0),0,IF('_Dates'!AC207=1,MAX(0,COUNTIFS(rngEngine_B,B207,rngAMStart,"&lt;="&amp;'_Dates'!X207,rngAMEnd,"&gt;="&amp;'_Dates'!W207,rngAMActive,1,rngEngine_F,"OK",rngBookings_F,"&lt;&gt;Cancelled")-1),0)+IF('_Dates'!AD207=1,MAX(0,COUNTIFS(rngEngine_B,B207,rngPMStart,"&lt;="&amp;'_Dates'!Z207,rngPMEnd,"&gt;="&amp;'_Dates'!Y207,rngPMActive,1,rngEngine_F,"OK",rngBookings_F,"&lt;&gt;Cancelled")-1),0))</ns0:f>
        <ns0:v>0</ns0:v>
      </ns0:c>
      <ns0:c r="K207" s="0" t="str">
        <ns0:f>IF(A207=0,"",IF(F207&lt;&gt;"OK",F207,IF(J207&gt;0,"CHECK overlapping entry",IF(AND($B$6=0,G207&lt;=0,Bookings!G207&lt;&gt;"Cancelled"),"CHECK no working days",IF(Bookings!G207="Cancelled","Cancelled","OK")))))</ns0:f>
        <ns0:v/>
      </ns0:c>
      <ns0:c r="L207" s="0">
        <ns0:f>IF(LEFT(K207,5)="CHECK",1,0)</ns0:f>
        <ns0:v>0</ns0:v>
      </ns0:c>
      <ns0:c r="M207" s="0">
        <ns0:f>IF(AND(L207=1,OR(C207=0,IFERROR(INDEX($X$11:$X$60,C207),0)=0)),1,0)</ns0:f>
        <ns0:v>0</ns0:v>
      </ns0:c>
      <ns0:c r="N207" s="0">
        <ns0:f>IF(OR(A207=0,L207&gt;0,$B$6&gt;0,Bookings!G207="Cancelled"),0,G207)</ns0:f>
        <ns0:v>0</ns0:v>
      </ns0:c>
      <ns0:c r="O207" s="0">
        <ns0:f>IF(AND(Bookings!G207="Approved",E207="Yes"),N207,0)</ns0:f>
        <ns0:v>0</ns0:v>
      </ns0:c>
      <ns0:c r="P207" s="0">
        <ns0:f>IF(AND(Bookings!G207="Approved",E207="Yes",L207=0,$B$6=0),H207,0)</ns0:f>
        <ns0:v>0</ns0:v>
      </ns0:c>
      <ns0:c r="Q207" s="0">
        <ns0:f>IF(AND(Bookings!G207="Approved",E207="Yes",L207=0,$B$6=0),I207,0)</ns0:f>
        <ns0:v>0</ns0:v>
      </ns0:c>
      <ns0:c r="R207" s="0">
        <ns0:f>IF(AND(Bookings!G207="Pending",E207="Yes"),N207,0)</ns0:f>
        <ns0:v>0</ns0:v>
      </ns0:c>
      <ns0:c r="S207" s="0">
        <ns0:f>IF(AND(Bookings!G207="Approved",E207="No"),N207,0)</ns0:f>
        <ns0:v>0</ns0:v>
      </ns0:c>
      <ns0:c r="T207" s="0">
        <ns0:f>IFERROR(MATCH(D207,Settings!$G$7:$G$11,0),0)</ns0:f>
        <ns0:v>0</ns0:v>
      </ns0:c>
      <ns0:c r="U207" s="0">
        <ns0:f>IF(N207&gt;0,T207+IF(Bookings!G207="Pending",10,0),0)</ns0:f>
        <ns0:v>0</ns0:v>
      </ns0:c>
      <ns0:c r="V207" s="0">
        <ns0:f>U207</ns0:f>
        <ns0:v>0</ns0:v>
      </ns0:c>
      <ns0:c r="W207" s="0" t="str">
        <ns0:f>IF(C207=0,"",INDEX($AP$11:$AP$60,C207))</ns0:f>
        <ns0:v/>
      </ns0:c>
    </ns0:row>
    <ns0:row r="208">
      <ns0:c r="A208" s="0">
        <ns0:f>IF(COUNTA(Bookings!A208:G208,Bookings!I208)=0,0,1)</ns0:f>
        <ns0:v>0</ns0:v>
      </ns0:c>
      <ns0:c r="B208" s="0" t="str">
        <ns0:f>IFERROR(TRIM(MID(Bookings!A208,FIND(" · ",Bookings!A208)+3,99)),"")</ns0:f>
        <ns0:v/>
      </ns0:c>
      <ns0:c r="C208" s="0">
        <ns0:f>IF(OR(B208="",LEN(B208)&gt;24,ISNUMBER(FIND(" ",B208)),ISNUMBER(FIND("*",B208)),ISNUMBER(FIND("?",B208)),ISNUMBER(FIND("~",B208))),0,IFERROR(MATCH(B208,Team!$A$11:$A$60,0),0))</ns0:f>
        <ns0:v>0</ns0:v>
      </ns0:c>
      <ns0:c r="D208" s="0" t="str">
        <ns0:f>IFERROR(IF(MID(Bookings!F208,LEN(Bookings!F208)-3,3)=" · ",RIGHT(Bookings!F208,1),""),"")</ns0:f>
        <ns0:v/>
      </ns0:c>
      <ns0:c r="E208" s="0" t="str">
        <ns0:f>IFERROR(INDEX(Settings!$H$7:$H$11,MATCH(D208,Settings!$G$7:$G$11,0)),"")</ns0:f>
        <ns0:v/>
      </ns0:c>
      <ns0:c r="F208" s="0" t="str">
        <ns0:f>IF(A208=0,"",IFERROR(IF(OR(B208="",C208=0),"CHECK employee selection",IF(INDEX(Team!$O$11:$O$60,C208)&lt;&gt;"OK","CHECK employee setup",IF(OR('_Dates'!J208=0,'_Dates'!T208=0),"CHECK date: use DD.MM.YYYY",IF('_Dates'!T208&lt;'_Dates'!J208,"CHECK end before start",IF(AND($B$6=0,OR('_Dates'!J208&lt;Settings!$B$7,'_Dates'!T208&gt;Settings!$B$8)),"CHECK split across leave years",IF(OR(NOT(OR('_Dates'!U208="Full day",'_Dates'!U208="AM",'_Dates'!U208="PM")),NOT(OR('_Dates'!V208="Full day",'_Dates'!V208="AM",'_Dates'!V208="PM"))),"CHECK Full day / AM / PM",IF(AND('_Dates'!J208='_Dates'!T208,'_Dates'!U208&lt;&gt;"Full day",'_Dates'!V208&lt;&gt;"Full day",'_Dates'!U208&lt;&gt;'_Dates'!V208),"CHECK same-day portions disagree",IF(AND($B$6=0,OR(AND('_Dates'!U208&lt;&gt;"Full day",'_Dates'!AA208=0),AND('_Dates'!V208&lt;&gt;"Full day",'_Dates'!AB208=0))),"CHECK half-day on non-working date",IF(COUNTIF(Settings!$G$7:$G$11,D208)&lt;&gt;1,"CHECK leave type",IF(AND(Bookings!G208&lt;&gt;"Approved",Bookings!G208&lt;&gt;"Pending",Bookings!G208&lt;&gt;"Cancelled"),"CHECK status","OK")))))))))),"CHECK input"))</ns0:f>
        <ns0:v/>
      </ns0:c>
      <ns0:c r="G208" s="0">
        <ns0:f>IF(OR(F208&lt;&gt;"OK",$B$6&gt;0),0,0.5*(IF(('_Dates'!X208)&lt;('_Dates'!W208),0,INT((('_Dates'!X208)-('_Dates'!W208)+1)/7)*LEN(SUBSTITUTE(W208,"O",""))+LEN(SUBSTITUTE(MID(W208&amp;W208,WEEKDAY(('_Dates'!W208),2),MOD((('_Dates'!X208)-('_Dates'!W208)+1),7)),"O",""))-COUNTIFS(INDEX(AllClosureRows,C208,0),"&gt;="&amp;('_Dates'!W208),INDEX(AllClosureRows,C208,0),"&lt;="&amp;('_Dates'!X208)))+IF(('_Dates'!Z208)&lt;('_Dates'!Y208),0,INT((('_Dates'!Z208)-('_Dates'!Y208)+1)/7)*LEN(SUBSTITUTE(W208,"O",""))+LEN(SUBSTITUTE(MID(W208&amp;W208,WEEKDAY(('_Dates'!Y208),2),MOD((('_Dates'!Z208)-('_Dates'!Y208)+1),7)),"O",""))-COUNTIFS(INDEX(AllClosureRows,C208,0),"&gt;="&amp;('_Dates'!Y208),INDEX(AllClosureRows,C208,0),"&lt;="&amp;('_Dates'!Z208)))))</ns0:f>
        <ns0:v>0</ns0:v>
      </ns0:c>
      <ns0:c r="H208" s="0">
        <ns0:f>IF(OR(F208&lt;&gt;"OK",$B$6&gt;0),0,0.5*(IF((MIN('_Dates'!X208,Settings!$B$9))&lt;('_Dates'!W208),0,INT(((MIN('_Dates'!X208,Settings!$B$9))-('_Dates'!W208)+1)/7)*LEN(SUBSTITUTE(W208,"O",""))+LEN(SUBSTITUTE(MID(W208&amp;W208,WEEKDAY(('_Dates'!W208),2),MOD(((MIN('_Dates'!X208,Settings!$B$9))-('_Dates'!W208)+1),7)),"O",""))-COUNTIFS(INDEX(AllClosureRows,C208,0),"&gt;="&amp;('_Dates'!W208),INDEX(AllClosureRows,C208,0),"&lt;="&amp;(MIN('_Dates'!X208,Settings!$B$9))))+IF((MIN('_Dates'!Z208,Settings!$B$9))&lt;('_Dates'!Y208),0,INT(((MIN('_Dates'!Z208,Settings!$B$9))-('_Dates'!Y208)+1)/7)*LEN(SUBSTITUTE(W208,"O",""))+LEN(SUBSTITUTE(MID(W208&amp;W208,WEEKDAY(('_Dates'!Y208),2),MOD(((MIN('_Dates'!Z208,Settings!$B$9))-('_Dates'!Y208)+1),7)),"O",""))-COUNTIFS(INDEX(AllClosureRows,C208,0),"&gt;="&amp;('_Dates'!Y208),INDEX(AllClosureRows,C208,0),"&lt;="&amp;(MIN('_Dates'!Z208,Settings!$B$9))))))</ns0:f>
        <ns0:v>0</ns0:v>
      </ns0:c>
      <ns0:c r="I208" s="0">
        <ns0:f>MAX(0,G208-H208)</ns0:f>
        <ns0:v>0</ns0:v>
      </ns0:c>
      <ns0:c r="J208" s="0">
        <ns0:f>IF(OR(A208=0,F208&lt;&gt;"OK",Bookings!G208="Cancelled",$B$6&gt;0),0,IF('_Dates'!AC208=1,MAX(0,COUNTIFS(rngEngine_B,B208,rngAMStart,"&lt;="&amp;'_Dates'!X208,rngAMEnd,"&gt;="&amp;'_Dates'!W208,rngAMActive,1,rngEngine_F,"OK",rngBookings_F,"&lt;&gt;Cancelled")-1),0)+IF('_Dates'!AD208=1,MAX(0,COUNTIFS(rngEngine_B,B208,rngPMStart,"&lt;="&amp;'_Dates'!Z208,rngPMEnd,"&gt;="&amp;'_Dates'!Y208,rngPMActive,1,rngEngine_F,"OK",rngBookings_F,"&lt;&gt;Cancelled")-1),0))</ns0:f>
        <ns0:v>0</ns0:v>
      </ns0:c>
      <ns0:c r="K208" s="0" t="str">
        <ns0:f>IF(A208=0,"",IF(F208&lt;&gt;"OK",F208,IF(J208&gt;0,"CHECK overlapping entry",IF(AND($B$6=0,G208&lt;=0,Bookings!G208&lt;&gt;"Cancelled"),"CHECK no working days",IF(Bookings!G208="Cancelled","Cancelled","OK")))))</ns0:f>
        <ns0:v/>
      </ns0:c>
      <ns0:c r="L208" s="0">
        <ns0:f>IF(LEFT(K208,5)="CHECK",1,0)</ns0:f>
        <ns0:v>0</ns0:v>
      </ns0:c>
      <ns0:c r="M208" s="0">
        <ns0:f>IF(AND(L208=1,OR(C208=0,IFERROR(INDEX($X$11:$X$60,C208),0)=0)),1,0)</ns0:f>
        <ns0:v>0</ns0:v>
      </ns0:c>
      <ns0:c r="N208" s="0">
        <ns0:f>IF(OR(A208=0,L208&gt;0,$B$6&gt;0,Bookings!G208="Cancelled"),0,G208)</ns0:f>
        <ns0:v>0</ns0:v>
      </ns0:c>
      <ns0:c r="O208" s="0">
        <ns0:f>IF(AND(Bookings!G208="Approved",E208="Yes"),N208,0)</ns0:f>
        <ns0:v>0</ns0:v>
      </ns0:c>
      <ns0:c r="P208" s="0">
        <ns0:f>IF(AND(Bookings!G208="Approved",E208="Yes",L208=0,$B$6=0),H208,0)</ns0:f>
        <ns0:v>0</ns0:v>
      </ns0:c>
      <ns0:c r="Q208" s="0">
        <ns0:f>IF(AND(Bookings!G208="Approved",E208="Yes",L208=0,$B$6=0),I208,0)</ns0:f>
        <ns0:v>0</ns0:v>
      </ns0:c>
      <ns0:c r="R208" s="0">
        <ns0:f>IF(AND(Bookings!G208="Pending",E208="Yes"),N208,0)</ns0:f>
        <ns0:v>0</ns0:v>
      </ns0:c>
      <ns0:c r="S208" s="0">
        <ns0:f>IF(AND(Bookings!G208="Approved",E208="No"),N208,0)</ns0:f>
        <ns0:v>0</ns0:v>
      </ns0:c>
      <ns0:c r="T208" s="0">
        <ns0:f>IFERROR(MATCH(D208,Settings!$G$7:$G$11,0),0)</ns0:f>
        <ns0:v>0</ns0:v>
      </ns0:c>
      <ns0:c r="U208" s="0">
        <ns0:f>IF(N208&gt;0,T208+IF(Bookings!G208="Pending",10,0),0)</ns0:f>
        <ns0:v>0</ns0:v>
      </ns0:c>
      <ns0:c r="V208" s="0">
        <ns0:f>U208</ns0:f>
        <ns0:v>0</ns0:v>
      </ns0:c>
      <ns0:c r="W208" s="0" t="str">
        <ns0:f>IF(C208=0,"",INDEX($AP$11:$AP$60,C208))</ns0:f>
        <ns0:v/>
      </ns0:c>
    </ns0:row>
    <ns0:row r="209">
      <ns0:c r="A209" s="0">
        <ns0:f>IF(COUNTA(Bookings!A209:G209,Bookings!I209)=0,0,1)</ns0:f>
        <ns0:v>0</ns0:v>
      </ns0:c>
      <ns0:c r="B209" s="0" t="str">
        <ns0:f>IFERROR(TRIM(MID(Bookings!A209,FIND(" · ",Bookings!A209)+3,99)),"")</ns0:f>
        <ns0:v/>
      </ns0:c>
      <ns0:c r="C209" s="0">
        <ns0:f>IF(OR(B209="",LEN(B209)&gt;24,ISNUMBER(FIND(" ",B209)),ISNUMBER(FIND("*",B209)),ISNUMBER(FIND("?",B209)),ISNUMBER(FIND("~",B209))),0,IFERROR(MATCH(B209,Team!$A$11:$A$60,0),0))</ns0:f>
        <ns0:v>0</ns0:v>
      </ns0:c>
      <ns0:c r="D209" s="0" t="str">
        <ns0:f>IFERROR(IF(MID(Bookings!F209,LEN(Bookings!F209)-3,3)=" · ",RIGHT(Bookings!F209,1),""),"")</ns0:f>
        <ns0:v/>
      </ns0:c>
      <ns0:c r="E209" s="0" t="str">
        <ns0:f>IFERROR(INDEX(Settings!$H$7:$H$11,MATCH(D209,Settings!$G$7:$G$11,0)),"")</ns0:f>
        <ns0:v/>
      </ns0:c>
      <ns0:c r="F209" s="0" t="str">
        <ns0:f>IF(A209=0,"",IFERROR(IF(OR(B209="",C209=0),"CHECK employee selection",IF(INDEX(Team!$O$11:$O$60,C209)&lt;&gt;"OK","CHECK employee setup",IF(OR('_Dates'!J209=0,'_Dates'!T209=0),"CHECK date: use DD.MM.YYYY",IF('_Dates'!T209&lt;'_Dates'!J209,"CHECK end before start",IF(AND($B$6=0,OR('_Dates'!J209&lt;Settings!$B$7,'_Dates'!T209&gt;Settings!$B$8)),"CHECK split across leave years",IF(OR(NOT(OR('_Dates'!U209="Full day",'_Dates'!U209="AM",'_Dates'!U209="PM")),NOT(OR('_Dates'!V209="Full day",'_Dates'!V209="AM",'_Dates'!V209="PM"))),"CHECK Full day / AM / PM",IF(AND('_Dates'!J209='_Dates'!T209,'_Dates'!U209&lt;&gt;"Full day",'_Dates'!V209&lt;&gt;"Full day",'_Dates'!U209&lt;&gt;'_Dates'!V209),"CHECK same-day portions disagree",IF(AND($B$6=0,OR(AND('_Dates'!U209&lt;&gt;"Full day",'_Dates'!AA209=0),AND('_Dates'!V209&lt;&gt;"Full day",'_Dates'!AB209=0))),"CHECK half-day on non-working date",IF(COUNTIF(Settings!$G$7:$G$11,D209)&lt;&gt;1,"CHECK leave type",IF(AND(Bookings!G209&lt;&gt;"Approved",Bookings!G209&lt;&gt;"Pending",Bookings!G209&lt;&gt;"Cancelled"),"CHECK status","OK")))))))))),"CHECK input"))</ns0:f>
        <ns0:v/>
      </ns0:c>
      <ns0:c r="G209" s="0">
        <ns0:f>IF(OR(F209&lt;&gt;"OK",$B$6&gt;0),0,0.5*(IF(('_Dates'!X209)&lt;('_Dates'!W209),0,INT((('_Dates'!X209)-('_Dates'!W209)+1)/7)*LEN(SUBSTITUTE(W209,"O",""))+LEN(SUBSTITUTE(MID(W209&amp;W209,WEEKDAY(('_Dates'!W209),2),MOD((('_Dates'!X209)-('_Dates'!W209)+1),7)),"O",""))-COUNTIFS(INDEX(AllClosureRows,C209,0),"&gt;="&amp;('_Dates'!W209),INDEX(AllClosureRows,C209,0),"&lt;="&amp;('_Dates'!X209)))+IF(('_Dates'!Z209)&lt;('_Dates'!Y209),0,INT((('_Dates'!Z209)-('_Dates'!Y209)+1)/7)*LEN(SUBSTITUTE(W209,"O",""))+LEN(SUBSTITUTE(MID(W209&amp;W209,WEEKDAY(('_Dates'!Y209),2),MOD((('_Dates'!Z209)-('_Dates'!Y209)+1),7)),"O",""))-COUNTIFS(INDEX(AllClosureRows,C209,0),"&gt;="&amp;('_Dates'!Y209),INDEX(AllClosureRows,C209,0),"&lt;="&amp;('_Dates'!Z209)))))</ns0:f>
        <ns0:v>0</ns0:v>
      </ns0:c>
      <ns0:c r="H209" s="0">
        <ns0:f>IF(OR(F209&lt;&gt;"OK",$B$6&gt;0),0,0.5*(IF((MIN('_Dates'!X209,Settings!$B$9))&lt;('_Dates'!W209),0,INT(((MIN('_Dates'!X209,Settings!$B$9))-('_Dates'!W209)+1)/7)*LEN(SUBSTITUTE(W209,"O",""))+LEN(SUBSTITUTE(MID(W209&amp;W209,WEEKDAY(('_Dates'!W209),2),MOD(((MIN('_Dates'!X209,Settings!$B$9))-('_Dates'!W209)+1),7)),"O",""))-COUNTIFS(INDEX(AllClosureRows,C209,0),"&gt;="&amp;('_Dates'!W209),INDEX(AllClosureRows,C209,0),"&lt;="&amp;(MIN('_Dates'!X209,Settings!$B$9))))+IF((MIN('_Dates'!Z209,Settings!$B$9))&lt;('_Dates'!Y209),0,INT(((MIN('_Dates'!Z209,Settings!$B$9))-('_Dates'!Y209)+1)/7)*LEN(SUBSTITUTE(W209,"O",""))+LEN(SUBSTITUTE(MID(W209&amp;W209,WEEKDAY(('_Dates'!Y209),2),MOD(((MIN('_Dates'!Z209,Settings!$B$9))-('_Dates'!Y209)+1),7)),"O",""))-COUNTIFS(INDEX(AllClosureRows,C209,0),"&gt;="&amp;('_Dates'!Y209),INDEX(AllClosureRows,C209,0),"&lt;="&amp;(MIN('_Dates'!Z209,Settings!$B$9))))))</ns0:f>
        <ns0:v>0</ns0:v>
      </ns0:c>
      <ns0:c r="I209" s="0">
        <ns0:f>MAX(0,G209-H209)</ns0:f>
        <ns0:v>0</ns0:v>
      </ns0:c>
      <ns0:c r="J209" s="0">
        <ns0:f>IF(OR(A209=0,F209&lt;&gt;"OK",Bookings!G209="Cancelled",$B$6&gt;0),0,IF('_Dates'!AC209=1,MAX(0,COUNTIFS(rngEngine_B,B209,rngAMStart,"&lt;="&amp;'_Dates'!X209,rngAMEnd,"&gt;="&amp;'_Dates'!W209,rngAMActive,1,rngEngine_F,"OK",rngBookings_F,"&lt;&gt;Cancelled")-1),0)+IF('_Dates'!AD209=1,MAX(0,COUNTIFS(rngEngine_B,B209,rngPMStart,"&lt;="&amp;'_Dates'!Z209,rngPMEnd,"&gt;="&amp;'_Dates'!Y209,rngPMActive,1,rngEngine_F,"OK",rngBookings_F,"&lt;&gt;Cancelled")-1),0))</ns0:f>
        <ns0:v>0</ns0:v>
      </ns0:c>
      <ns0:c r="K209" s="0" t="str">
        <ns0:f>IF(A209=0,"",IF(F209&lt;&gt;"OK",F209,IF(J209&gt;0,"CHECK overlapping entry",IF(AND($B$6=0,G209&lt;=0,Bookings!G209&lt;&gt;"Cancelled"),"CHECK no working days",IF(Bookings!G209="Cancelled","Cancelled","OK")))))</ns0:f>
        <ns0:v/>
      </ns0:c>
      <ns0:c r="L209" s="0">
        <ns0:f>IF(LEFT(K209,5)="CHECK",1,0)</ns0:f>
        <ns0:v>0</ns0:v>
      </ns0:c>
      <ns0:c r="M209" s="0">
        <ns0:f>IF(AND(L209=1,OR(C209=0,IFERROR(INDEX($X$11:$X$60,C209),0)=0)),1,0)</ns0:f>
        <ns0:v>0</ns0:v>
      </ns0:c>
      <ns0:c r="N209" s="0">
        <ns0:f>IF(OR(A209=0,L209&gt;0,$B$6&gt;0,Bookings!G209="Cancelled"),0,G209)</ns0:f>
        <ns0:v>0</ns0:v>
      </ns0:c>
      <ns0:c r="O209" s="0">
        <ns0:f>IF(AND(Bookings!G209="Approved",E209="Yes"),N209,0)</ns0:f>
        <ns0:v>0</ns0:v>
      </ns0:c>
      <ns0:c r="P209" s="0">
        <ns0:f>IF(AND(Bookings!G209="Approved",E209="Yes",L209=0,$B$6=0),H209,0)</ns0:f>
        <ns0:v>0</ns0:v>
      </ns0:c>
      <ns0:c r="Q209" s="0">
        <ns0:f>IF(AND(Bookings!G209="Approved",E209="Yes",L209=0,$B$6=0),I209,0)</ns0:f>
        <ns0:v>0</ns0:v>
      </ns0:c>
      <ns0:c r="R209" s="0">
        <ns0:f>IF(AND(Bookings!G209="Pending",E209="Yes"),N209,0)</ns0:f>
        <ns0:v>0</ns0:v>
      </ns0:c>
      <ns0:c r="S209" s="0">
        <ns0:f>IF(AND(Bookings!G209="Approved",E209="No"),N209,0)</ns0:f>
        <ns0:v>0</ns0:v>
      </ns0:c>
      <ns0:c r="T209" s="0">
        <ns0:f>IFERROR(MATCH(D209,Settings!$G$7:$G$11,0),0)</ns0:f>
        <ns0:v>0</ns0:v>
      </ns0:c>
      <ns0:c r="U209" s="0">
        <ns0:f>IF(N209&gt;0,T209+IF(Bookings!G209="Pending",10,0),0)</ns0:f>
        <ns0:v>0</ns0:v>
      </ns0:c>
      <ns0:c r="V209" s="0">
        <ns0:f>U209</ns0:f>
        <ns0:v>0</ns0:v>
      </ns0:c>
      <ns0:c r="W209" s="0" t="str">
        <ns0:f>IF(C209=0,"",INDEX($AP$11:$AP$60,C209))</ns0:f>
        <ns0:v/>
      </ns0:c>
    </ns0:row>
    <ns0:row r="210">
      <ns0:c r="A210" s="0">
        <ns0:f>IF(COUNTA(Bookings!A210:G210,Bookings!I210)=0,0,1)</ns0:f>
        <ns0:v>0</ns0:v>
      </ns0:c>
      <ns0:c r="B210" s="0" t="str">
        <ns0:f>IFERROR(TRIM(MID(Bookings!A210,FIND(" · ",Bookings!A210)+3,99)),"")</ns0:f>
        <ns0:v/>
      </ns0:c>
      <ns0:c r="C210" s="0">
        <ns0:f>IF(OR(B210="",LEN(B210)&gt;24,ISNUMBER(FIND(" ",B210)),ISNUMBER(FIND("*",B210)),ISNUMBER(FIND("?",B210)),ISNUMBER(FIND("~",B210))),0,IFERROR(MATCH(B210,Team!$A$11:$A$60,0),0))</ns0:f>
        <ns0:v>0</ns0:v>
      </ns0:c>
      <ns0:c r="D210" s="0" t="str">
        <ns0:f>IFERROR(IF(MID(Bookings!F210,LEN(Bookings!F210)-3,3)=" · ",RIGHT(Bookings!F210,1),""),"")</ns0:f>
        <ns0:v/>
      </ns0:c>
      <ns0:c r="E210" s="0" t="str">
        <ns0:f>IFERROR(INDEX(Settings!$H$7:$H$11,MATCH(D210,Settings!$G$7:$G$11,0)),"")</ns0:f>
        <ns0:v/>
      </ns0:c>
      <ns0:c r="F210" s="0" t="str">
        <ns0:f>IF(A210=0,"",IFERROR(IF(OR(B210="",C210=0),"CHECK employee selection",IF(INDEX(Team!$O$11:$O$60,C210)&lt;&gt;"OK","CHECK employee setup",IF(OR('_Dates'!J210=0,'_Dates'!T210=0),"CHECK date: use DD.MM.YYYY",IF('_Dates'!T210&lt;'_Dates'!J210,"CHECK end before start",IF(AND($B$6=0,OR('_Dates'!J210&lt;Settings!$B$7,'_Dates'!T210&gt;Settings!$B$8)),"CHECK split across leave years",IF(OR(NOT(OR('_Dates'!U210="Full day",'_Dates'!U210="AM",'_Dates'!U210="PM")),NOT(OR('_Dates'!V210="Full day",'_Dates'!V210="AM",'_Dates'!V210="PM"))),"CHECK Full day / AM / PM",IF(AND('_Dates'!J210='_Dates'!T210,'_Dates'!U210&lt;&gt;"Full day",'_Dates'!V210&lt;&gt;"Full day",'_Dates'!U210&lt;&gt;'_Dates'!V210),"CHECK same-day portions disagree",IF(AND($B$6=0,OR(AND('_Dates'!U210&lt;&gt;"Full day",'_Dates'!AA210=0),AND('_Dates'!V210&lt;&gt;"Full day",'_Dates'!AB210=0))),"CHECK half-day on non-working date",IF(COUNTIF(Settings!$G$7:$G$11,D210)&lt;&gt;1,"CHECK leave type",IF(AND(Bookings!G210&lt;&gt;"Approved",Bookings!G210&lt;&gt;"Pending",Bookings!G210&lt;&gt;"Cancelled"),"CHECK status","OK")))))))))),"CHECK input"))</ns0:f>
        <ns0:v/>
      </ns0:c>
      <ns0:c r="G210" s="0">
        <ns0:f>IF(OR(F210&lt;&gt;"OK",$B$6&gt;0),0,0.5*(IF(('_Dates'!X210)&lt;('_Dates'!W210),0,INT((('_Dates'!X210)-('_Dates'!W210)+1)/7)*LEN(SUBSTITUTE(W210,"O",""))+LEN(SUBSTITUTE(MID(W210&amp;W210,WEEKDAY(('_Dates'!W210),2),MOD((('_Dates'!X210)-('_Dates'!W210)+1),7)),"O",""))-COUNTIFS(INDEX(AllClosureRows,C210,0),"&gt;="&amp;('_Dates'!W210),INDEX(AllClosureRows,C210,0),"&lt;="&amp;('_Dates'!X210)))+IF(('_Dates'!Z210)&lt;('_Dates'!Y210),0,INT((('_Dates'!Z210)-('_Dates'!Y210)+1)/7)*LEN(SUBSTITUTE(W210,"O",""))+LEN(SUBSTITUTE(MID(W210&amp;W210,WEEKDAY(('_Dates'!Y210),2),MOD((('_Dates'!Z210)-('_Dates'!Y210)+1),7)),"O",""))-COUNTIFS(INDEX(AllClosureRows,C210,0),"&gt;="&amp;('_Dates'!Y210),INDEX(AllClosureRows,C210,0),"&lt;="&amp;('_Dates'!Z210)))))</ns0:f>
        <ns0:v>0</ns0:v>
      </ns0:c>
      <ns0:c r="H210" s="0">
        <ns0:f>IF(OR(F210&lt;&gt;"OK",$B$6&gt;0),0,0.5*(IF((MIN('_Dates'!X210,Settings!$B$9))&lt;('_Dates'!W210),0,INT(((MIN('_Dates'!X210,Settings!$B$9))-('_Dates'!W210)+1)/7)*LEN(SUBSTITUTE(W210,"O",""))+LEN(SUBSTITUTE(MID(W210&amp;W210,WEEKDAY(('_Dates'!W210),2),MOD(((MIN('_Dates'!X210,Settings!$B$9))-('_Dates'!W210)+1),7)),"O",""))-COUNTIFS(INDEX(AllClosureRows,C210,0),"&gt;="&amp;('_Dates'!W210),INDEX(AllClosureRows,C210,0),"&lt;="&amp;(MIN('_Dates'!X210,Settings!$B$9))))+IF((MIN('_Dates'!Z210,Settings!$B$9))&lt;('_Dates'!Y210),0,INT(((MIN('_Dates'!Z210,Settings!$B$9))-('_Dates'!Y210)+1)/7)*LEN(SUBSTITUTE(W210,"O",""))+LEN(SUBSTITUTE(MID(W210&amp;W210,WEEKDAY(('_Dates'!Y210),2),MOD(((MIN('_Dates'!Z210,Settings!$B$9))-('_Dates'!Y210)+1),7)),"O",""))-COUNTIFS(INDEX(AllClosureRows,C210,0),"&gt;="&amp;('_Dates'!Y210),INDEX(AllClosureRows,C210,0),"&lt;="&amp;(MIN('_Dates'!Z210,Settings!$B$9))))))</ns0:f>
        <ns0:v>0</ns0:v>
      </ns0:c>
      <ns0:c r="I210" s="0">
        <ns0:f>MAX(0,G210-H210)</ns0:f>
        <ns0:v>0</ns0:v>
      </ns0:c>
      <ns0:c r="J210" s="0">
        <ns0:f>IF(OR(A210=0,F210&lt;&gt;"OK",Bookings!G210="Cancelled",$B$6&gt;0),0,IF('_Dates'!AC210=1,MAX(0,COUNTIFS(rngEngine_B,B210,rngAMStart,"&lt;="&amp;'_Dates'!X210,rngAMEnd,"&gt;="&amp;'_Dates'!W210,rngAMActive,1,rngEngine_F,"OK",rngBookings_F,"&lt;&gt;Cancelled")-1),0)+IF('_Dates'!AD210=1,MAX(0,COUNTIFS(rngEngine_B,B210,rngPMStart,"&lt;="&amp;'_Dates'!Z210,rngPMEnd,"&gt;="&amp;'_Dates'!Y210,rngPMActive,1,rngEngine_F,"OK",rngBookings_F,"&lt;&gt;Cancelled")-1),0))</ns0:f>
        <ns0:v>0</ns0:v>
      </ns0:c>
      <ns0:c r="K210" s="0" t="str">
        <ns0:f>IF(A210=0,"",IF(F210&lt;&gt;"OK",F210,IF(J210&gt;0,"CHECK overlapping entry",IF(AND($B$6=0,G210&lt;=0,Bookings!G210&lt;&gt;"Cancelled"),"CHECK no working days",IF(Bookings!G210="Cancelled","Cancelled","OK")))))</ns0:f>
        <ns0:v/>
      </ns0:c>
      <ns0:c r="L210" s="0">
        <ns0:f>IF(LEFT(K210,5)="CHECK",1,0)</ns0:f>
        <ns0:v>0</ns0:v>
      </ns0:c>
      <ns0:c r="M210" s="0">
        <ns0:f>IF(AND(L210=1,OR(C210=0,IFERROR(INDEX($X$11:$X$60,C210),0)=0)),1,0)</ns0:f>
        <ns0:v>0</ns0:v>
      </ns0:c>
      <ns0:c r="N210" s="0">
        <ns0:f>IF(OR(A210=0,L210&gt;0,$B$6&gt;0,Bookings!G210="Cancelled"),0,G210)</ns0:f>
        <ns0:v>0</ns0:v>
      </ns0:c>
      <ns0:c r="O210" s="0">
        <ns0:f>IF(AND(Bookings!G210="Approved",E210="Yes"),N210,0)</ns0:f>
        <ns0:v>0</ns0:v>
      </ns0:c>
      <ns0:c r="P210" s="0">
        <ns0:f>IF(AND(Bookings!G210="Approved",E210="Yes",L210=0,$B$6=0),H210,0)</ns0:f>
        <ns0:v>0</ns0:v>
      </ns0:c>
      <ns0:c r="Q210" s="0">
        <ns0:f>IF(AND(Bookings!G210="Approved",E210="Yes",L210=0,$B$6=0),I210,0)</ns0:f>
        <ns0:v>0</ns0:v>
      </ns0:c>
      <ns0:c r="R210" s="0">
        <ns0:f>IF(AND(Bookings!G210="Pending",E210="Yes"),N210,0)</ns0:f>
        <ns0:v>0</ns0:v>
      </ns0:c>
      <ns0:c r="S210" s="0">
        <ns0:f>IF(AND(Bookings!G210="Approved",E210="No"),N210,0)</ns0:f>
        <ns0:v>0</ns0:v>
      </ns0:c>
      <ns0:c r="T210" s="0">
        <ns0:f>IFERROR(MATCH(D210,Settings!$G$7:$G$11,0),0)</ns0:f>
        <ns0:v>0</ns0:v>
      </ns0:c>
      <ns0:c r="U210" s="0">
        <ns0:f>IF(N210&gt;0,T210+IF(Bookings!G210="Pending",10,0),0)</ns0:f>
        <ns0:v>0</ns0:v>
      </ns0:c>
      <ns0:c r="V210" s="0">
        <ns0:f>U210</ns0:f>
        <ns0:v>0</ns0:v>
      </ns0:c>
      <ns0:c r="W210" s="0" t="str">
        <ns0:f>IF(C210=0,"",INDEX($AP$11:$AP$60,C210))</ns0:f>
        <ns0:v/>
      </ns0:c>
    </ns0:row>
    <ns0:row r="211">
      <ns0:c r="A211" s="0">
        <ns0:f>IF(COUNTA(Bookings!A211:G211,Bookings!I211)=0,0,1)</ns0:f>
        <ns0:v>0</ns0:v>
      </ns0:c>
      <ns0:c r="B211" s="0" t="str">
        <ns0:f>IFERROR(TRIM(MID(Bookings!A211,FIND(" · ",Bookings!A211)+3,99)),"")</ns0:f>
        <ns0:v/>
      </ns0:c>
      <ns0:c r="C211" s="0">
        <ns0:f>IF(OR(B211="",LEN(B211)&gt;24,ISNUMBER(FIND(" ",B211)),ISNUMBER(FIND("*",B211)),ISNUMBER(FIND("?",B211)),ISNUMBER(FIND("~",B211))),0,IFERROR(MATCH(B211,Team!$A$11:$A$60,0),0))</ns0:f>
        <ns0:v>0</ns0:v>
      </ns0:c>
      <ns0:c r="D211" s="0" t="str">
        <ns0:f>IFERROR(IF(MID(Bookings!F211,LEN(Bookings!F211)-3,3)=" · ",RIGHT(Bookings!F211,1),""),"")</ns0:f>
        <ns0:v/>
      </ns0:c>
      <ns0:c r="E211" s="0" t="str">
        <ns0:f>IFERROR(INDEX(Settings!$H$7:$H$11,MATCH(D211,Settings!$G$7:$G$11,0)),"")</ns0:f>
        <ns0:v/>
      </ns0:c>
      <ns0:c r="F211" s="0" t="str">
        <ns0:f>IF(A211=0,"",IFERROR(IF(OR(B211="",C211=0),"CHECK employee selection",IF(INDEX(Team!$O$11:$O$60,C211)&lt;&gt;"OK","CHECK employee setup",IF(OR('_Dates'!J211=0,'_Dates'!T211=0),"CHECK date: use DD.MM.YYYY",IF('_Dates'!T211&lt;'_Dates'!J211,"CHECK end before start",IF(AND($B$6=0,OR('_Dates'!J211&lt;Settings!$B$7,'_Dates'!T211&gt;Settings!$B$8)),"CHECK split across leave years",IF(OR(NOT(OR('_Dates'!U211="Full day",'_Dates'!U211="AM",'_Dates'!U211="PM")),NOT(OR('_Dates'!V211="Full day",'_Dates'!V211="AM",'_Dates'!V211="PM"))),"CHECK Full day / AM / PM",IF(AND('_Dates'!J211='_Dates'!T211,'_Dates'!U211&lt;&gt;"Full day",'_Dates'!V211&lt;&gt;"Full day",'_Dates'!U211&lt;&gt;'_Dates'!V211),"CHECK same-day portions disagree",IF(AND($B$6=0,OR(AND('_Dates'!U211&lt;&gt;"Full day",'_Dates'!AA211=0),AND('_Dates'!V211&lt;&gt;"Full day",'_Dates'!AB211=0))),"CHECK half-day on non-working date",IF(COUNTIF(Settings!$G$7:$G$11,D211)&lt;&gt;1,"CHECK leave type",IF(AND(Bookings!G211&lt;&gt;"Approved",Bookings!G211&lt;&gt;"Pending",Bookings!G211&lt;&gt;"Cancelled"),"CHECK status","OK")))))))))),"CHECK input"))</ns0:f>
        <ns0:v/>
      </ns0:c>
      <ns0:c r="G211" s="0">
        <ns0:f>IF(OR(F211&lt;&gt;"OK",$B$6&gt;0),0,0.5*(IF(('_Dates'!X211)&lt;('_Dates'!W211),0,INT((('_Dates'!X211)-('_Dates'!W211)+1)/7)*LEN(SUBSTITUTE(W211,"O",""))+LEN(SUBSTITUTE(MID(W211&amp;W211,WEEKDAY(('_Dates'!W211),2),MOD((('_Dates'!X211)-('_Dates'!W211)+1),7)),"O",""))-COUNTIFS(INDEX(AllClosureRows,C211,0),"&gt;="&amp;('_Dates'!W211),INDEX(AllClosureRows,C211,0),"&lt;="&amp;('_Dates'!X211)))+IF(('_Dates'!Z211)&lt;('_Dates'!Y211),0,INT((('_Dates'!Z211)-('_Dates'!Y211)+1)/7)*LEN(SUBSTITUTE(W211,"O",""))+LEN(SUBSTITUTE(MID(W211&amp;W211,WEEKDAY(('_Dates'!Y211),2),MOD((('_Dates'!Z211)-('_Dates'!Y211)+1),7)),"O",""))-COUNTIFS(INDEX(AllClosureRows,C211,0),"&gt;="&amp;('_Dates'!Y211),INDEX(AllClosureRows,C211,0),"&lt;="&amp;('_Dates'!Z211)))))</ns0:f>
        <ns0:v>0</ns0:v>
      </ns0:c>
      <ns0:c r="H211" s="0">
        <ns0:f>IF(OR(F211&lt;&gt;"OK",$B$6&gt;0),0,0.5*(IF((MIN('_Dates'!X211,Settings!$B$9))&lt;('_Dates'!W211),0,INT(((MIN('_Dates'!X211,Settings!$B$9))-('_Dates'!W211)+1)/7)*LEN(SUBSTITUTE(W211,"O",""))+LEN(SUBSTITUTE(MID(W211&amp;W211,WEEKDAY(('_Dates'!W211),2),MOD(((MIN('_Dates'!X211,Settings!$B$9))-('_Dates'!W211)+1),7)),"O",""))-COUNTIFS(INDEX(AllClosureRows,C211,0),"&gt;="&amp;('_Dates'!W211),INDEX(AllClosureRows,C211,0),"&lt;="&amp;(MIN('_Dates'!X211,Settings!$B$9))))+IF((MIN('_Dates'!Z211,Settings!$B$9))&lt;('_Dates'!Y211),0,INT(((MIN('_Dates'!Z211,Settings!$B$9))-('_Dates'!Y211)+1)/7)*LEN(SUBSTITUTE(W211,"O",""))+LEN(SUBSTITUTE(MID(W211&amp;W211,WEEKDAY(('_Dates'!Y211),2),MOD(((MIN('_Dates'!Z211,Settings!$B$9))-('_Dates'!Y211)+1),7)),"O",""))-COUNTIFS(INDEX(AllClosureRows,C211,0),"&gt;="&amp;('_Dates'!Y211),INDEX(AllClosureRows,C211,0),"&lt;="&amp;(MIN('_Dates'!Z211,Settings!$B$9))))))</ns0:f>
        <ns0:v>0</ns0:v>
      </ns0:c>
      <ns0:c r="I211" s="0">
        <ns0:f>MAX(0,G211-H211)</ns0:f>
        <ns0:v>0</ns0:v>
      </ns0:c>
      <ns0:c r="J211" s="0">
        <ns0:f>IF(OR(A211=0,F211&lt;&gt;"OK",Bookings!G211="Cancelled",$B$6&gt;0),0,IF('_Dates'!AC211=1,MAX(0,COUNTIFS(rngEngine_B,B211,rngAMStart,"&lt;="&amp;'_Dates'!X211,rngAMEnd,"&gt;="&amp;'_Dates'!W211,rngAMActive,1,rngEngine_F,"OK",rngBookings_F,"&lt;&gt;Cancelled")-1),0)+IF('_Dates'!AD211=1,MAX(0,COUNTIFS(rngEngine_B,B211,rngPMStart,"&lt;="&amp;'_Dates'!Z211,rngPMEnd,"&gt;="&amp;'_Dates'!Y211,rngPMActive,1,rngEngine_F,"OK",rngBookings_F,"&lt;&gt;Cancelled")-1),0))</ns0:f>
        <ns0:v>0</ns0:v>
      </ns0:c>
      <ns0:c r="K211" s="0" t="str">
        <ns0:f>IF(A211=0,"",IF(F211&lt;&gt;"OK",F211,IF(J211&gt;0,"CHECK overlapping entry",IF(AND($B$6=0,G211&lt;=0,Bookings!G211&lt;&gt;"Cancelled"),"CHECK no working days",IF(Bookings!G211="Cancelled","Cancelled","OK")))))</ns0:f>
        <ns0:v/>
      </ns0:c>
      <ns0:c r="L211" s="0">
        <ns0:f>IF(LEFT(K211,5)="CHECK",1,0)</ns0:f>
        <ns0:v>0</ns0:v>
      </ns0:c>
      <ns0:c r="M211" s="0">
        <ns0:f>IF(AND(L211=1,OR(C211=0,IFERROR(INDEX($X$11:$X$60,C211),0)=0)),1,0)</ns0:f>
        <ns0:v>0</ns0:v>
      </ns0:c>
      <ns0:c r="N211" s="0">
        <ns0:f>IF(OR(A211=0,L211&gt;0,$B$6&gt;0,Bookings!G211="Cancelled"),0,G211)</ns0:f>
        <ns0:v>0</ns0:v>
      </ns0:c>
      <ns0:c r="O211" s="0">
        <ns0:f>IF(AND(Bookings!G211="Approved",E211="Yes"),N211,0)</ns0:f>
        <ns0:v>0</ns0:v>
      </ns0:c>
      <ns0:c r="P211" s="0">
        <ns0:f>IF(AND(Bookings!G211="Approved",E211="Yes",L211=0,$B$6=0),H211,0)</ns0:f>
        <ns0:v>0</ns0:v>
      </ns0:c>
      <ns0:c r="Q211" s="0">
        <ns0:f>IF(AND(Bookings!G211="Approved",E211="Yes",L211=0,$B$6=0),I211,0)</ns0:f>
        <ns0:v>0</ns0:v>
      </ns0:c>
      <ns0:c r="R211" s="0">
        <ns0:f>IF(AND(Bookings!G211="Pending",E211="Yes"),N211,0)</ns0:f>
        <ns0:v>0</ns0:v>
      </ns0:c>
      <ns0:c r="S211" s="0">
        <ns0:f>IF(AND(Bookings!G211="Approved",E211="No"),N211,0)</ns0:f>
        <ns0:v>0</ns0:v>
      </ns0:c>
      <ns0:c r="T211" s="0">
        <ns0:f>IFERROR(MATCH(D211,Settings!$G$7:$G$11,0),0)</ns0:f>
        <ns0:v>0</ns0:v>
      </ns0:c>
      <ns0:c r="U211" s="0">
        <ns0:f>IF(N211&gt;0,T211+IF(Bookings!G211="Pending",10,0),0)</ns0:f>
        <ns0:v>0</ns0:v>
      </ns0:c>
      <ns0:c r="V211" s="0">
        <ns0:f>U211</ns0:f>
        <ns0:v>0</ns0:v>
      </ns0:c>
      <ns0:c r="W211" s="0" t="str">
        <ns0:f>IF(C211=0,"",INDEX($AP$11:$AP$60,C211))</ns0:f>
        <ns0:v/>
      </ns0:c>
    </ns0:row>
    <ns0:row r="212">
      <ns0:c r="A212" s="0">
        <ns0:f>IF(COUNTA(Bookings!A212:G212,Bookings!I212)=0,0,1)</ns0:f>
        <ns0:v>0</ns0:v>
      </ns0:c>
      <ns0:c r="B212" s="0" t="str">
        <ns0:f>IFERROR(TRIM(MID(Bookings!A212,FIND(" · ",Bookings!A212)+3,99)),"")</ns0:f>
        <ns0:v/>
      </ns0:c>
      <ns0:c r="C212" s="0">
        <ns0:f>IF(OR(B212="",LEN(B212)&gt;24,ISNUMBER(FIND(" ",B212)),ISNUMBER(FIND("*",B212)),ISNUMBER(FIND("?",B212)),ISNUMBER(FIND("~",B212))),0,IFERROR(MATCH(B212,Team!$A$11:$A$60,0),0))</ns0:f>
        <ns0:v>0</ns0:v>
      </ns0:c>
      <ns0:c r="D212" s="0" t="str">
        <ns0:f>IFERROR(IF(MID(Bookings!F212,LEN(Bookings!F212)-3,3)=" · ",RIGHT(Bookings!F212,1),""),"")</ns0:f>
        <ns0:v/>
      </ns0:c>
      <ns0:c r="E212" s="0" t="str">
        <ns0:f>IFERROR(INDEX(Settings!$H$7:$H$11,MATCH(D212,Settings!$G$7:$G$11,0)),"")</ns0:f>
        <ns0:v/>
      </ns0:c>
      <ns0:c r="F212" s="0" t="str">
        <ns0:f>IF(A212=0,"",IFERROR(IF(OR(B212="",C212=0),"CHECK employee selection",IF(INDEX(Team!$O$11:$O$60,C212)&lt;&gt;"OK","CHECK employee setup",IF(OR('_Dates'!J212=0,'_Dates'!T212=0),"CHECK date: use DD.MM.YYYY",IF('_Dates'!T212&lt;'_Dates'!J212,"CHECK end before start",IF(AND($B$6=0,OR('_Dates'!J212&lt;Settings!$B$7,'_Dates'!T212&gt;Settings!$B$8)),"CHECK split across leave years",IF(OR(NOT(OR('_Dates'!U212="Full day",'_Dates'!U212="AM",'_Dates'!U212="PM")),NOT(OR('_Dates'!V212="Full day",'_Dates'!V212="AM",'_Dates'!V212="PM"))),"CHECK Full day / AM / PM",IF(AND('_Dates'!J212='_Dates'!T212,'_Dates'!U212&lt;&gt;"Full day",'_Dates'!V212&lt;&gt;"Full day",'_Dates'!U212&lt;&gt;'_Dates'!V212),"CHECK same-day portions disagree",IF(AND($B$6=0,OR(AND('_Dates'!U212&lt;&gt;"Full day",'_Dates'!AA212=0),AND('_Dates'!V212&lt;&gt;"Full day",'_Dates'!AB212=0))),"CHECK half-day on non-working date",IF(COUNTIF(Settings!$G$7:$G$11,D212)&lt;&gt;1,"CHECK leave type",IF(AND(Bookings!G212&lt;&gt;"Approved",Bookings!G212&lt;&gt;"Pending",Bookings!G212&lt;&gt;"Cancelled"),"CHECK status","OK")))))))))),"CHECK input"))</ns0:f>
        <ns0:v/>
      </ns0:c>
      <ns0:c r="G212" s="0">
        <ns0:f>IF(OR(F212&lt;&gt;"OK",$B$6&gt;0),0,0.5*(IF(('_Dates'!X212)&lt;('_Dates'!W212),0,INT((('_Dates'!X212)-('_Dates'!W212)+1)/7)*LEN(SUBSTITUTE(W212,"O",""))+LEN(SUBSTITUTE(MID(W212&amp;W212,WEEKDAY(('_Dates'!W212),2),MOD((('_Dates'!X212)-('_Dates'!W212)+1),7)),"O",""))-COUNTIFS(INDEX(AllClosureRows,C212,0),"&gt;="&amp;('_Dates'!W212),INDEX(AllClosureRows,C212,0),"&lt;="&amp;('_Dates'!X212)))+IF(('_Dates'!Z212)&lt;('_Dates'!Y212),0,INT((('_Dates'!Z212)-('_Dates'!Y212)+1)/7)*LEN(SUBSTITUTE(W212,"O",""))+LEN(SUBSTITUTE(MID(W212&amp;W212,WEEKDAY(('_Dates'!Y212),2),MOD((('_Dates'!Z212)-('_Dates'!Y212)+1),7)),"O",""))-COUNTIFS(INDEX(AllClosureRows,C212,0),"&gt;="&amp;('_Dates'!Y212),INDEX(AllClosureRows,C212,0),"&lt;="&amp;('_Dates'!Z212)))))</ns0:f>
        <ns0:v>0</ns0:v>
      </ns0:c>
      <ns0:c r="H212" s="0">
        <ns0:f>IF(OR(F212&lt;&gt;"OK",$B$6&gt;0),0,0.5*(IF((MIN('_Dates'!X212,Settings!$B$9))&lt;('_Dates'!W212),0,INT(((MIN('_Dates'!X212,Settings!$B$9))-('_Dates'!W212)+1)/7)*LEN(SUBSTITUTE(W212,"O",""))+LEN(SUBSTITUTE(MID(W212&amp;W212,WEEKDAY(('_Dates'!W212),2),MOD(((MIN('_Dates'!X212,Settings!$B$9))-('_Dates'!W212)+1),7)),"O",""))-COUNTIFS(INDEX(AllClosureRows,C212,0),"&gt;="&amp;('_Dates'!W212),INDEX(AllClosureRows,C212,0),"&lt;="&amp;(MIN('_Dates'!X212,Settings!$B$9))))+IF((MIN('_Dates'!Z212,Settings!$B$9))&lt;('_Dates'!Y212),0,INT(((MIN('_Dates'!Z212,Settings!$B$9))-('_Dates'!Y212)+1)/7)*LEN(SUBSTITUTE(W212,"O",""))+LEN(SUBSTITUTE(MID(W212&amp;W212,WEEKDAY(('_Dates'!Y212),2),MOD(((MIN('_Dates'!Z212,Settings!$B$9))-('_Dates'!Y212)+1),7)),"O",""))-COUNTIFS(INDEX(AllClosureRows,C212,0),"&gt;="&amp;('_Dates'!Y212),INDEX(AllClosureRows,C212,0),"&lt;="&amp;(MIN('_Dates'!Z212,Settings!$B$9))))))</ns0:f>
        <ns0:v>0</ns0:v>
      </ns0:c>
      <ns0:c r="I212" s="0">
        <ns0:f>MAX(0,G212-H212)</ns0:f>
        <ns0:v>0</ns0:v>
      </ns0:c>
      <ns0:c r="J212" s="0">
        <ns0:f>IF(OR(A212=0,F212&lt;&gt;"OK",Bookings!G212="Cancelled",$B$6&gt;0),0,IF('_Dates'!AC212=1,MAX(0,COUNTIFS(rngEngine_B,B212,rngAMStart,"&lt;="&amp;'_Dates'!X212,rngAMEnd,"&gt;="&amp;'_Dates'!W212,rngAMActive,1,rngEngine_F,"OK",rngBookings_F,"&lt;&gt;Cancelled")-1),0)+IF('_Dates'!AD212=1,MAX(0,COUNTIFS(rngEngine_B,B212,rngPMStart,"&lt;="&amp;'_Dates'!Z212,rngPMEnd,"&gt;="&amp;'_Dates'!Y212,rngPMActive,1,rngEngine_F,"OK",rngBookings_F,"&lt;&gt;Cancelled")-1),0))</ns0:f>
        <ns0:v>0</ns0:v>
      </ns0:c>
      <ns0:c r="K212" s="0" t="str">
        <ns0:f>IF(A212=0,"",IF(F212&lt;&gt;"OK",F212,IF(J212&gt;0,"CHECK overlapping entry",IF(AND($B$6=0,G212&lt;=0,Bookings!G212&lt;&gt;"Cancelled"),"CHECK no working days",IF(Bookings!G212="Cancelled","Cancelled","OK")))))</ns0:f>
        <ns0:v/>
      </ns0:c>
      <ns0:c r="L212" s="0">
        <ns0:f>IF(LEFT(K212,5)="CHECK",1,0)</ns0:f>
        <ns0:v>0</ns0:v>
      </ns0:c>
      <ns0:c r="M212" s="0">
        <ns0:f>IF(AND(L212=1,OR(C212=0,IFERROR(INDEX($X$11:$X$60,C212),0)=0)),1,0)</ns0:f>
        <ns0:v>0</ns0:v>
      </ns0:c>
      <ns0:c r="N212" s="0">
        <ns0:f>IF(OR(A212=0,L212&gt;0,$B$6&gt;0,Bookings!G212="Cancelled"),0,G212)</ns0:f>
        <ns0:v>0</ns0:v>
      </ns0:c>
      <ns0:c r="O212" s="0">
        <ns0:f>IF(AND(Bookings!G212="Approved",E212="Yes"),N212,0)</ns0:f>
        <ns0:v>0</ns0:v>
      </ns0:c>
      <ns0:c r="P212" s="0">
        <ns0:f>IF(AND(Bookings!G212="Approved",E212="Yes",L212=0,$B$6=0),H212,0)</ns0:f>
        <ns0:v>0</ns0:v>
      </ns0:c>
      <ns0:c r="Q212" s="0">
        <ns0:f>IF(AND(Bookings!G212="Approved",E212="Yes",L212=0,$B$6=0),I212,0)</ns0:f>
        <ns0:v>0</ns0:v>
      </ns0:c>
      <ns0:c r="R212" s="0">
        <ns0:f>IF(AND(Bookings!G212="Pending",E212="Yes"),N212,0)</ns0:f>
        <ns0:v>0</ns0:v>
      </ns0:c>
      <ns0:c r="S212" s="0">
        <ns0:f>IF(AND(Bookings!G212="Approved",E212="No"),N212,0)</ns0:f>
        <ns0:v>0</ns0:v>
      </ns0:c>
      <ns0:c r="T212" s="0">
        <ns0:f>IFERROR(MATCH(D212,Settings!$G$7:$G$11,0),0)</ns0:f>
        <ns0:v>0</ns0:v>
      </ns0:c>
      <ns0:c r="U212" s="0">
        <ns0:f>IF(N212&gt;0,T212+IF(Bookings!G212="Pending",10,0),0)</ns0:f>
        <ns0:v>0</ns0:v>
      </ns0:c>
      <ns0:c r="V212" s="0">
        <ns0:f>U212</ns0:f>
        <ns0:v>0</ns0:v>
      </ns0:c>
      <ns0:c r="W212" s="0" t="str">
        <ns0:f>IF(C212=0,"",INDEX($AP$11:$AP$60,C212))</ns0:f>
        <ns0:v/>
      </ns0:c>
    </ns0:row>
    <ns0:row r="213">
      <ns0:c r="A213" s="0">
        <ns0:f>IF(COUNTA(Bookings!A213:G213,Bookings!I213)=0,0,1)</ns0:f>
        <ns0:v>0</ns0:v>
      </ns0:c>
      <ns0:c r="B213" s="0" t="str">
        <ns0:f>IFERROR(TRIM(MID(Bookings!A213,FIND(" · ",Bookings!A213)+3,99)),"")</ns0:f>
        <ns0:v/>
      </ns0:c>
      <ns0:c r="C213" s="0">
        <ns0:f>IF(OR(B213="",LEN(B213)&gt;24,ISNUMBER(FIND(" ",B213)),ISNUMBER(FIND("*",B213)),ISNUMBER(FIND("?",B213)),ISNUMBER(FIND("~",B213))),0,IFERROR(MATCH(B213,Team!$A$11:$A$60,0),0))</ns0:f>
        <ns0:v>0</ns0:v>
      </ns0:c>
      <ns0:c r="D213" s="0" t="str">
        <ns0:f>IFERROR(IF(MID(Bookings!F213,LEN(Bookings!F213)-3,3)=" · ",RIGHT(Bookings!F213,1),""),"")</ns0:f>
        <ns0:v/>
      </ns0:c>
      <ns0:c r="E213" s="0" t="str">
        <ns0:f>IFERROR(INDEX(Settings!$H$7:$H$11,MATCH(D213,Settings!$G$7:$G$11,0)),"")</ns0:f>
        <ns0:v/>
      </ns0:c>
      <ns0:c r="F213" s="0" t="str">
        <ns0:f>IF(A213=0,"",IFERROR(IF(OR(B213="",C213=0),"CHECK employee selection",IF(INDEX(Team!$O$11:$O$60,C213)&lt;&gt;"OK","CHECK employee setup",IF(OR('_Dates'!J213=0,'_Dates'!T213=0),"CHECK date: use DD.MM.YYYY",IF('_Dates'!T213&lt;'_Dates'!J213,"CHECK end before start",IF(AND($B$6=0,OR('_Dates'!J213&lt;Settings!$B$7,'_Dates'!T213&gt;Settings!$B$8)),"CHECK split across leave years",IF(OR(NOT(OR('_Dates'!U213="Full day",'_Dates'!U213="AM",'_Dates'!U213="PM")),NOT(OR('_Dates'!V213="Full day",'_Dates'!V213="AM",'_Dates'!V213="PM"))),"CHECK Full day / AM / PM",IF(AND('_Dates'!J213='_Dates'!T213,'_Dates'!U213&lt;&gt;"Full day",'_Dates'!V213&lt;&gt;"Full day",'_Dates'!U213&lt;&gt;'_Dates'!V213),"CHECK same-day portions disagree",IF(AND($B$6=0,OR(AND('_Dates'!U213&lt;&gt;"Full day",'_Dates'!AA213=0),AND('_Dates'!V213&lt;&gt;"Full day",'_Dates'!AB213=0))),"CHECK half-day on non-working date",IF(COUNTIF(Settings!$G$7:$G$11,D213)&lt;&gt;1,"CHECK leave type",IF(AND(Bookings!G213&lt;&gt;"Approved",Bookings!G213&lt;&gt;"Pending",Bookings!G213&lt;&gt;"Cancelled"),"CHECK status","OK")))))))))),"CHECK input"))</ns0:f>
        <ns0:v/>
      </ns0:c>
      <ns0:c r="G213" s="0">
        <ns0:f>IF(OR(F213&lt;&gt;"OK",$B$6&gt;0),0,0.5*(IF(('_Dates'!X213)&lt;('_Dates'!W213),0,INT((('_Dates'!X213)-('_Dates'!W213)+1)/7)*LEN(SUBSTITUTE(W213,"O",""))+LEN(SUBSTITUTE(MID(W213&amp;W213,WEEKDAY(('_Dates'!W213),2),MOD((('_Dates'!X213)-('_Dates'!W213)+1),7)),"O",""))-COUNTIFS(INDEX(AllClosureRows,C213,0),"&gt;="&amp;('_Dates'!W213),INDEX(AllClosureRows,C213,0),"&lt;="&amp;('_Dates'!X213)))+IF(('_Dates'!Z213)&lt;('_Dates'!Y213),0,INT((('_Dates'!Z213)-('_Dates'!Y213)+1)/7)*LEN(SUBSTITUTE(W213,"O",""))+LEN(SUBSTITUTE(MID(W213&amp;W213,WEEKDAY(('_Dates'!Y213),2),MOD((('_Dates'!Z213)-('_Dates'!Y213)+1),7)),"O",""))-COUNTIFS(INDEX(AllClosureRows,C213,0),"&gt;="&amp;('_Dates'!Y213),INDEX(AllClosureRows,C213,0),"&lt;="&amp;('_Dates'!Z213)))))</ns0:f>
        <ns0:v>0</ns0:v>
      </ns0:c>
      <ns0:c r="H213" s="0">
        <ns0:f>IF(OR(F213&lt;&gt;"OK",$B$6&gt;0),0,0.5*(IF((MIN('_Dates'!X213,Settings!$B$9))&lt;('_Dates'!W213),0,INT(((MIN('_Dates'!X213,Settings!$B$9))-('_Dates'!W213)+1)/7)*LEN(SUBSTITUTE(W213,"O",""))+LEN(SUBSTITUTE(MID(W213&amp;W213,WEEKDAY(('_Dates'!W213),2),MOD(((MIN('_Dates'!X213,Settings!$B$9))-('_Dates'!W213)+1),7)),"O",""))-COUNTIFS(INDEX(AllClosureRows,C213,0),"&gt;="&amp;('_Dates'!W213),INDEX(AllClosureRows,C213,0),"&lt;="&amp;(MIN('_Dates'!X213,Settings!$B$9))))+IF((MIN('_Dates'!Z213,Settings!$B$9))&lt;('_Dates'!Y213),0,INT(((MIN('_Dates'!Z213,Settings!$B$9))-('_Dates'!Y213)+1)/7)*LEN(SUBSTITUTE(W213,"O",""))+LEN(SUBSTITUTE(MID(W213&amp;W213,WEEKDAY(('_Dates'!Y213),2),MOD(((MIN('_Dates'!Z213,Settings!$B$9))-('_Dates'!Y213)+1),7)),"O",""))-COUNTIFS(INDEX(AllClosureRows,C213,0),"&gt;="&amp;('_Dates'!Y213),INDEX(AllClosureRows,C213,0),"&lt;="&amp;(MIN('_Dates'!Z213,Settings!$B$9))))))</ns0:f>
        <ns0:v>0</ns0:v>
      </ns0:c>
      <ns0:c r="I213" s="0">
        <ns0:f>MAX(0,G213-H213)</ns0:f>
        <ns0:v>0</ns0:v>
      </ns0:c>
      <ns0:c r="J213" s="0">
        <ns0:f>IF(OR(A213=0,F213&lt;&gt;"OK",Bookings!G213="Cancelled",$B$6&gt;0),0,IF('_Dates'!AC213=1,MAX(0,COUNTIFS(rngEngine_B,B213,rngAMStart,"&lt;="&amp;'_Dates'!X213,rngAMEnd,"&gt;="&amp;'_Dates'!W213,rngAMActive,1,rngEngine_F,"OK",rngBookings_F,"&lt;&gt;Cancelled")-1),0)+IF('_Dates'!AD213=1,MAX(0,COUNTIFS(rngEngine_B,B213,rngPMStart,"&lt;="&amp;'_Dates'!Z213,rngPMEnd,"&gt;="&amp;'_Dates'!Y213,rngPMActive,1,rngEngine_F,"OK",rngBookings_F,"&lt;&gt;Cancelled")-1),0))</ns0:f>
        <ns0:v>0</ns0:v>
      </ns0:c>
      <ns0:c r="K213" s="0" t="str">
        <ns0:f>IF(A213=0,"",IF(F213&lt;&gt;"OK",F213,IF(J213&gt;0,"CHECK overlapping entry",IF(AND($B$6=0,G213&lt;=0,Bookings!G213&lt;&gt;"Cancelled"),"CHECK no working days",IF(Bookings!G213="Cancelled","Cancelled","OK")))))</ns0:f>
        <ns0:v/>
      </ns0:c>
      <ns0:c r="L213" s="0">
        <ns0:f>IF(LEFT(K213,5)="CHECK",1,0)</ns0:f>
        <ns0:v>0</ns0:v>
      </ns0:c>
      <ns0:c r="M213" s="0">
        <ns0:f>IF(AND(L213=1,OR(C213=0,IFERROR(INDEX($X$11:$X$60,C213),0)=0)),1,0)</ns0:f>
        <ns0:v>0</ns0:v>
      </ns0:c>
      <ns0:c r="N213" s="0">
        <ns0:f>IF(OR(A213=0,L213&gt;0,$B$6&gt;0,Bookings!G213="Cancelled"),0,G213)</ns0:f>
        <ns0:v>0</ns0:v>
      </ns0:c>
      <ns0:c r="O213" s="0">
        <ns0:f>IF(AND(Bookings!G213="Approved",E213="Yes"),N213,0)</ns0:f>
        <ns0:v>0</ns0:v>
      </ns0:c>
      <ns0:c r="P213" s="0">
        <ns0:f>IF(AND(Bookings!G213="Approved",E213="Yes",L213=0,$B$6=0),H213,0)</ns0:f>
        <ns0:v>0</ns0:v>
      </ns0:c>
      <ns0:c r="Q213" s="0">
        <ns0:f>IF(AND(Bookings!G213="Approved",E213="Yes",L213=0,$B$6=0),I213,0)</ns0:f>
        <ns0:v>0</ns0:v>
      </ns0:c>
      <ns0:c r="R213" s="0">
        <ns0:f>IF(AND(Bookings!G213="Pending",E213="Yes"),N213,0)</ns0:f>
        <ns0:v>0</ns0:v>
      </ns0:c>
      <ns0:c r="S213" s="0">
        <ns0:f>IF(AND(Bookings!G213="Approved",E213="No"),N213,0)</ns0:f>
        <ns0:v>0</ns0:v>
      </ns0:c>
      <ns0:c r="T213" s="0">
        <ns0:f>IFERROR(MATCH(D213,Settings!$G$7:$G$11,0),0)</ns0:f>
        <ns0:v>0</ns0:v>
      </ns0:c>
      <ns0:c r="U213" s="0">
        <ns0:f>IF(N213&gt;0,T213+IF(Bookings!G213="Pending",10,0),0)</ns0:f>
        <ns0:v>0</ns0:v>
      </ns0:c>
      <ns0:c r="V213" s="0">
        <ns0:f>U213</ns0:f>
        <ns0:v>0</ns0:v>
      </ns0:c>
      <ns0:c r="W213" s="0" t="str">
        <ns0:f>IF(C213=0,"",INDEX($AP$11:$AP$60,C213))</ns0:f>
        <ns0:v/>
      </ns0:c>
    </ns0:row>
    <ns0:row r="214">
      <ns0:c r="A214" s="0">
        <ns0:f>IF(COUNTA(Bookings!A214:G214,Bookings!I214)=0,0,1)</ns0:f>
        <ns0:v>0</ns0:v>
      </ns0:c>
      <ns0:c r="B214" s="0" t="str">
        <ns0:f>IFERROR(TRIM(MID(Bookings!A214,FIND(" · ",Bookings!A214)+3,99)),"")</ns0:f>
        <ns0:v/>
      </ns0:c>
      <ns0:c r="C214" s="0">
        <ns0:f>IF(OR(B214="",LEN(B214)&gt;24,ISNUMBER(FIND(" ",B214)),ISNUMBER(FIND("*",B214)),ISNUMBER(FIND("?",B214)),ISNUMBER(FIND("~",B214))),0,IFERROR(MATCH(B214,Team!$A$11:$A$60,0),0))</ns0:f>
        <ns0:v>0</ns0:v>
      </ns0:c>
      <ns0:c r="D214" s="0" t="str">
        <ns0:f>IFERROR(IF(MID(Bookings!F214,LEN(Bookings!F214)-3,3)=" · ",RIGHT(Bookings!F214,1),""),"")</ns0:f>
        <ns0:v/>
      </ns0:c>
      <ns0:c r="E214" s="0" t="str">
        <ns0:f>IFERROR(INDEX(Settings!$H$7:$H$11,MATCH(D214,Settings!$G$7:$G$11,0)),"")</ns0:f>
        <ns0:v/>
      </ns0:c>
      <ns0:c r="F214" s="0" t="str">
        <ns0:f>IF(A214=0,"",IFERROR(IF(OR(B214="",C214=0),"CHECK employee selection",IF(INDEX(Team!$O$11:$O$60,C214)&lt;&gt;"OK","CHECK employee setup",IF(OR('_Dates'!J214=0,'_Dates'!T214=0),"CHECK date: use DD.MM.YYYY",IF('_Dates'!T214&lt;'_Dates'!J214,"CHECK end before start",IF(AND($B$6=0,OR('_Dates'!J214&lt;Settings!$B$7,'_Dates'!T214&gt;Settings!$B$8)),"CHECK split across leave years",IF(OR(NOT(OR('_Dates'!U214="Full day",'_Dates'!U214="AM",'_Dates'!U214="PM")),NOT(OR('_Dates'!V214="Full day",'_Dates'!V214="AM",'_Dates'!V214="PM"))),"CHECK Full day / AM / PM",IF(AND('_Dates'!J214='_Dates'!T214,'_Dates'!U214&lt;&gt;"Full day",'_Dates'!V214&lt;&gt;"Full day",'_Dates'!U214&lt;&gt;'_Dates'!V214),"CHECK same-day portions disagree",IF(AND($B$6=0,OR(AND('_Dates'!U214&lt;&gt;"Full day",'_Dates'!AA214=0),AND('_Dates'!V214&lt;&gt;"Full day",'_Dates'!AB214=0))),"CHECK half-day on non-working date",IF(COUNTIF(Settings!$G$7:$G$11,D214)&lt;&gt;1,"CHECK leave type",IF(AND(Bookings!G214&lt;&gt;"Approved",Bookings!G214&lt;&gt;"Pending",Bookings!G214&lt;&gt;"Cancelled"),"CHECK status","OK")))))))))),"CHECK input"))</ns0:f>
        <ns0:v/>
      </ns0:c>
      <ns0:c r="G214" s="0">
        <ns0:f>IF(OR(F214&lt;&gt;"OK",$B$6&gt;0),0,0.5*(IF(('_Dates'!X214)&lt;('_Dates'!W214),0,INT((('_Dates'!X214)-('_Dates'!W214)+1)/7)*LEN(SUBSTITUTE(W214,"O",""))+LEN(SUBSTITUTE(MID(W214&amp;W214,WEEKDAY(('_Dates'!W214),2),MOD((('_Dates'!X214)-('_Dates'!W214)+1),7)),"O",""))-COUNTIFS(INDEX(AllClosureRows,C214,0),"&gt;="&amp;('_Dates'!W214),INDEX(AllClosureRows,C214,0),"&lt;="&amp;('_Dates'!X214)))+IF(('_Dates'!Z214)&lt;('_Dates'!Y214),0,INT((('_Dates'!Z214)-('_Dates'!Y214)+1)/7)*LEN(SUBSTITUTE(W214,"O",""))+LEN(SUBSTITUTE(MID(W214&amp;W214,WEEKDAY(('_Dates'!Y214),2),MOD((('_Dates'!Z214)-('_Dates'!Y214)+1),7)),"O",""))-COUNTIFS(INDEX(AllClosureRows,C214,0),"&gt;="&amp;('_Dates'!Y214),INDEX(AllClosureRows,C214,0),"&lt;="&amp;('_Dates'!Z214)))))</ns0:f>
        <ns0:v>0</ns0:v>
      </ns0:c>
      <ns0:c r="H214" s="0">
        <ns0:f>IF(OR(F214&lt;&gt;"OK",$B$6&gt;0),0,0.5*(IF((MIN('_Dates'!X214,Settings!$B$9))&lt;('_Dates'!W214),0,INT(((MIN('_Dates'!X214,Settings!$B$9))-('_Dates'!W214)+1)/7)*LEN(SUBSTITUTE(W214,"O",""))+LEN(SUBSTITUTE(MID(W214&amp;W214,WEEKDAY(('_Dates'!W214),2),MOD(((MIN('_Dates'!X214,Settings!$B$9))-('_Dates'!W214)+1),7)),"O",""))-COUNTIFS(INDEX(AllClosureRows,C214,0),"&gt;="&amp;('_Dates'!W214),INDEX(AllClosureRows,C214,0),"&lt;="&amp;(MIN('_Dates'!X214,Settings!$B$9))))+IF((MIN('_Dates'!Z214,Settings!$B$9))&lt;('_Dates'!Y214),0,INT(((MIN('_Dates'!Z214,Settings!$B$9))-('_Dates'!Y214)+1)/7)*LEN(SUBSTITUTE(W214,"O",""))+LEN(SUBSTITUTE(MID(W214&amp;W214,WEEKDAY(('_Dates'!Y214),2),MOD(((MIN('_Dates'!Z214,Settings!$B$9))-('_Dates'!Y214)+1),7)),"O",""))-COUNTIFS(INDEX(AllClosureRows,C214,0),"&gt;="&amp;('_Dates'!Y214),INDEX(AllClosureRows,C214,0),"&lt;="&amp;(MIN('_Dates'!Z214,Settings!$B$9))))))</ns0:f>
        <ns0:v>0</ns0:v>
      </ns0:c>
      <ns0:c r="I214" s="0">
        <ns0:f>MAX(0,G214-H214)</ns0:f>
        <ns0:v>0</ns0:v>
      </ns0:c>
      <ns0:c r="J214" s="0">
        <ns0:f>IF(OR(A214=0,F214&lt;&gt;"OK",Bookings!G214="Cancelled",$B$6&gt;0),0,IF('_Dates'!AC214=1,MAX(0,COUNTIFS(rngEngine_B,B214,rngAMStart,"&lt;="&amp;'_Dates'!X214,rngAMEnd,"&gt;="&amp;'_Dates'!W214,rngAMActive,1,rngEngine_F,"OK",rngBookings_F,"&lt;&gt;Cancelled")-1),0)+IF('_Dates'!AD214=1,MAX(0,COUNTIFS(rngEngine_B,B214,rngPMStart,"&lt;="&amp;'_Dates'!Z214,rngPMEnd,"&gt;="&amp;'_Dates'!Y214,rngPMActive,1,rngEngine_F,"OK",rngBookings_F,"&lt;&gt;Cancelled")-1),0))</ns0:f>
        <ns0:v>0</ns0:v>
      </ns0:c>
      <ns0:c r="K214" s="0" t="str">
        <ns0:f>IF(A214=0,"",IF(F214&lt;&gt;"OK",F214,IF(J214&gt;0,"CHECK overlapping entry",IF(AND($B$6=0,G214&lt;=0,Bookings!G214&lt;&gt;"Cancelled"),"CHECK no working days",IF(Bookings!G214="Cancelled","Cancelled","OK")))))</ns0:f>
        <ns0:v/>
      </ns0:c>
      <ns0:c r="L214" s="0">
        <ns0:f>IF(LEFT(K214,5)="CHECK",1,0)</ns0:f>
        <ns0:v>0</ns0:v>
      </ns0:c>
      <ns0:c r="M214" s="0">
        <ns0:f>IF(AND(L214=1,OR(C214=0,IFERROR(INDEX($X$11:$X$60,C214),0)=0)),1,0)</ns0:f>
        <ns0:v>0</ns0:v>
      </ns0:c>
      <ns0:c r="N214" s="0">
        <ns0:f>IF(OR(A214=0,L214&gt;0,$B$6&gt;0,Bookings!G214="Cancelled"),0,G214)</ns0:f>
        <ns0:v>0</ns0:v>
      </ns0:c>
      <ns0:c r="O214" s="0">
        <ns0:f>IF(AND(Bookings!G214="Approved",E214="Yes"),N214,0)</ns0:f>
        <ns0:v>0</ns0:v>
      </ns0:c>
      <ns0:c r="P214" s="0">
        <ns0:f>IF(AND(Bookings!G214="Approved",E214="Yes",L214=0,$B$6=0),H214,0)</ns0:f>
        <ns0:v>0</ns0:v>
      </ns0:c>
      <ns0:c r="Q214" s="0">
        <ns0:f>IF(AND(Bookings!G214="Approved",E214="Yes",L214=0,$B$6=0),I214,0)</ns0:f>
        <ns0:v>0</ns0:v>
      </ns0:c>
      <ns0:c r="R214" s="0">
        <ns0:f>IF(AND(Bookings!G214="Pending",E214="Yes"),N214,0)</ns0:f>
        <ns0:v>0</ns0:v>
      </ns0:c>
      <ns0:c r="S214" s="0">
        <ns0:f>IF(AND(Bookings!G214="Approved",E214="No"),N214,0)</ns0:f>
        <ns0:v>0</ns0:v>
      </ns0:c>
      <ns0:c r="T214" s="0">
        <ns0:f>IFERROR(MATCH(D214,Settings!$G$7:$G$11,0),0)</ns0:f>
        <ns0:v>0</ns0:v>
      </ns0:c>
      <ns0:c r="U214" s="0">
        <ns0:f>IF(N214&gt;0,T214+IF(Bookings!G214="Pending",10,0),0)</ns0:f>
        <ns0:v>0</ns0:v>
      </ns0:c>
      <ns0:c r="V214" s="0">
        <ns0:f>U214</ns0:f>
        <ns0:v>0</ns0:v>
      </ns0:c>
      <ns0:c r="W214" s="0" t="str">
        <ns0:f>IF(C214=0,"",INDEX($AP$11:$AP$60,C214))</ns0:f>
        <ns0:v/>
      </ns0:c>
    </ns0:row>
    <ns0:row r="215">
      <ns0:c r="A215" s="0">
        <ns0:f>IF(COUNTA(Bookings!A215:G215,Bookings!I215)=0,0,1)</ns0:f>
        <ns0:v>0</ns0:v>
      </ns0:c>
      <ns0:c r="B215" s="0" t="str">
        <ns0:f>IFERROR(TRIM(MID(Bookings!A215,FIND(" · ",Bookings!A215)+3,99)),"")</ns0:f>
        <ns0:v/>
      </ns0:c>
      <ns0:c r="C215" s="0">
        <ns0:f>IF(OR(B215="",LEN(B215)&gt;24,ISNUMBER(FIND(" ",B215)),ISNUMBER(FIND("*",B215)),ISNUMBER(FIND("?",B215)),ISNUMBER(FIND("~",B215))),0,IFERROR(MATCH(B215,Team!$A$11:$A$60,0),0))</ns0:f>
        <ns0:v>0</ns0:v>
      </ns0:c>
      <ns0:c r="D215" s="0" t="str">
        <ns0:f>IFERROR(IF(MID(Bookings!F215,LEN(Bookings!F215)-3,3)=" · ",RIGHT(Bookings!F215,1),""),"")</ns0:f>
        <ns0:v/>
      </ns0:c>
      <ns0:c r="E215" s="0" t="str">
        <ns0:f>IFERROR(INDEX(Settings!$H$7:$H$11,MATCH(D215,Settings!$G$7:$G$11,0)),"")</ns0:f>
        <ns0:v/>
      </ns0:c>
      <ns0:c r="F215" s="0" t="str">
        <ns0:f>IF(A215=0,"",IFERROR(IF(OR(B215="",C215=0),"CHECK employee selection",IF(INDEX(Team!$O$11:$O$60,C215)&lt;&gt;"OK","CHECK employee setup",IF(OR('_Dates'!J215=0,'_Dates'!T215=0),"CHECK date: use DD.MM.YYYY",IF('_Dates'!T215&lt;'_Dates'!J215,"CHECK end before start",IF(AND($B$6=0,OR('_Dates'!J215&lt;Settings!$B$7,'_Dates'!T215&gt;Settings!$B$8)),"CHECK split across leave years",IF(OR(NOT(OR('_Dates'!U215="Full day",'_Dates'!U215="AM",'_Dates'!U215="PM")),NOT(OR('_Dates'!V215="Full day",'_Dates'!V215="AM",'_Dates'!V215="PM"))),"CHECK Full day / AM / PM",IF(AND('_Dates'!J215='_Dates'!T215,'_Dates'!U215&lt;&gt;"Full day",'_Dates'!V215&lt;&gt;"Full day",'_Dates'!U215&lt;&gt;'_Dates'!V215),"CHECK same-day portions disagree",IF(AND($B$6=0,OR(AND('_Dates'!U215&lt;&gt;"Full day",'_Dates'!AA215=0),AND('_Dates'!V215&lt;&gt;"Full day",'_Dates'!AB215=0))),"CHECK half-day on non-working date",IF(COUNTIF(Settings!$G$7:$G$11,D215)&lt;&gt;1,"CHECK leave type",IF(AND(Bookings!G215&lt;&gt;"Approved",Bookings!G215&lt;&gt;"Pending",Bookings!G215&lt;&gt;"Cancelled"),"CHECK status","OK")))))))))),"CHECK input"))</ns0:f>
        <ns0:v/>
      </ns0:c>
      <ns0:c r="G215" s="0">
        <ns0:f>IF(OR(F215&lt;&gt;"OK",$B$6&gt;0),0,0.5*(IF(('_Dates'!X215)&lt;('_Dates'!W215),0,INT((('_Dates'!X215)-('_Dates'!W215)+1)/7)*LEN(SUBSTITUTE(W215,"O",""))+LEN(SUBSTITUTE(MID(W215&amp;W215,WEEKDAY(('_Dates'!W215),2),MOD((('_Dates'!X215)-('_Dates'!W215)+1),7)),"O",""))-COUNTIFS(INDEX(AllClosureRows,C215,0),"&gt;="&amp;('_Dates'!W215),INDEX(AllClosureRows,C215,0),"&lt;="&amp;('_Dates'!X215)))+IF(('_Dates'!Z215)&lt;('_Dates'!Y215),0,INT((('_Dates'!Z215)-('_Dates'!Y215)+1)/7)*LEN(SUBSTITUTE(W215,"O",""))+LEN(SUBSTITUTE(MID(W215&amp;W215,WEEKDAY(('_Dates'!Y215),2),MOD((('_Dates'!Z215)-('_Dates'!Y215)+1),7)),"O",""))-COUNTIFS(INDEX(AllClosureRows,C215,0),"&gt;="&amp;('_Dates'!Y215),INDEX(AllClosureRows,C215,0),"&lt;="&amp;('_Dates'!Z215)))))</ns0:f>
        <ns0:v>0</ns0:v>
      </ns0:c>
      <ns0:c r="H215" s="0">
        <ns0:f>IF(OR(F215&lt;&gt;"OK",$B$6&gt;0),0,0.5*(IF((MIN('_Dates'!X215,Settings!$B$9))&lt;('_Dates'!W215),0,INT(((MIN('_Dates'!X215,Settings!$B$9))-('_Dates'!W215)+1)/7)*LEN(SUBSTITUTE(W215,"O",""))+LEN(SUBSTITUTE(MID(W215&amp;W215,WEEKDAY(('_Dates'!W215),2),MOD(((MIN('_Dates'!X215,Settings!$B$9))-('_Dates'!W215)+1),7)),"O",""))-COUNTIFS(INDEX(AllClosureRows,C215,0),"&gt;="&amp;('_Dates'!W215),INDEX(AllClosureRows,C215,0),"&lt;="&amp;(MIN('_Dates'!X215,Settings!$B$9))))+IF((MIN('_Dates'!Z215,Settings!$B$9))&lt;('_Dates'!Y215),0,INT(((MIN('_Dates'!Z215,Settings!$B$9))-('_Dates'!Y215)+1)/7)*LEN(SUBSTITUTE(W215,"O",""))+LEN(SUBSTITUTE(MID(W215&amp;W215,WEEKDAY(('_Dates'!Y215),2),MOD(((MIN('_Dates'!Z215,Settings!$B$9))-('_Dates'!Y215)+1),7)),"O",""))-COUNTIFS(INDEX(AllClosureRows,C215,0),"&gt;="&amp;('_Dates'!Y215),INDEX(AllClosureRows,C215,0),"&lt;="&amp;(MIN('_Dates'!Z215,Settings!$B$9))))))</ns0:f>
        <ns0:v>0</ns0:v>
      </ns0:c>
      <ns0:c r="I215" s="0">
        <ns0:f>MAX(0,G215-H215)</ns0:f>
        <ns0:v>0</ns0:v>
      </ns0:c>
      <ns0:c r="J215" s="0">
        <ns0:f>IF(OR(A215=0,F215&lt;&gt;"OK",Bookings!G215="Cancelled",$B$6&gt;0),0,IF('_Dates'!AC215=1,MAX(0,COUNTIFS(rngEngine_B,B215,rngAMStart,"&lt;="&amp;'_Dates'!X215,rngAMEnd,"&gt;="&amp;'_Dates'!W215,rngAMActive,1,rngEngine_F,"OK",rngBookings_F,"&lt;&gt;Cancelled")-1),0)+IF('_Dates'!AD215=1,MAX(0,COUNTIFS(rngEngine_B,B215,rngPMStart,"&lt;="&amp;'_Dates'!Z215,rngPMEnd,"&gt;="&amp;'_Dates'!Y215,rngPMActive,1,rngEngine_F,"OK",rngBookings_F,"&lt;&gt;Cancelled")-1),0))</ns0:f>
        <ns0:v>0</ns0:v>
      </ns0:c>
      <ns0:c r="K215" s="0" t="str">
        <ns0:f>IF(A215=0,"",IF(F215&lt;&gt;"OK",F215,IF(J215&gt;0,"CHECK overlapping entry",IF(AND($B$6=0,G215&lt;=0,Bookings!G215&lt;&gt;"Cancelled"),"CHECK no working days",IF(Bookings!G215="Cancelled","Cancelled","OK")))))</ns0:f>
        <ns0:v/>
      </ns0:c>
      <ns0:c r="L215" s="0">
        <ns0:f>IF(LEFT(K215,5)="CHECK",1,0)</ns0:f>
        <ns0:v>0</ns0:v>
      </ns0:c>
      <ns0:c r="M215" s="0">
        <ns0:f>IF(AND(L215=1,OR(C215=0,IFERROR(INDEX($X$11:$X$60,C215),0)=0)),1,0)</ns0:f>
        <ns0:v>0</ns0:v>
      </ns0:c>
      <ns0:c r="N215" s="0">
        <ns0:f>IF(OR(A215=0,L215&gt;0,$B$6&gt;0,Bookings!G215="Cancelled"),0,G215)</ns0:f>
        <ns0:v>0</ns0:v>
      </ns0:c>
      <ns0:c r="O215" s="0">
        <ns0:f>IF(AND(Bookings!G215="Approved",E215="Yes"),N215,0)</ns0:f>
        <ns0:v>0</ns0:v>
      </ns0:c>
      <ns0:c r="P215" s="0">
        <ns0:f>IF(AND(Bookings!G215="Approved",E215="Yes",L215=0,$B$6=0),H215,0)</ns0:f>
        <ns0:v>0</ns0:v>
      </ns0:c>
      <ns0:c r="Q215" s="0">
        <ns0:f>IF(AND(Bookings!G215="Approved",E215="Yes",L215=0,$B$6=0),I215,0)</ns0:f>
        <ns0:v>0</ns0:v>
      </ns0:c>
      <ns0:c r="R215" s="0">
        <ns0:f>IF(AND(Bookings!G215="Pending",E215="Yes"),N215,0)</ns0:f>
        <ns0:v>0</ns0:v>
      </ns0:c>
      <ns0:c r="S215" s="0">
        <ns0:f>IF(AND(Bookings!G215="Approved",E215="No"),N215,0)</ns0:f>
        <ns0:v>0</ns0:v>
      </ns0:c>
      <ns0:c r="T215" s="0">
        <ns0:f>IFERROR(MATCH(D215,Settings!$G$7:$G$11,0),0)</ns0:f>
        <ns0:v>0</ns0:v>
      </ns0:c>
      <ns0:c r="U215" s="0">
        <ns0:f>IF(N215&gt;0,T215+IF(Bookings!G215="Pending",10,0),0)</ns0:f>
        <ns0:v>0</ns0:v>
      </ns0:c>
      <ns0:c r="V215" s="0">
        <ns0:f>U215</ns0:f>
        <ns0:v>0</ns0:v>
      </ns0:c>
      <ns0:c r="W215" s="0" t="str">
        <ns0:f>IF(C215=0,"",INDEX($AP$11:$AP$60,C215))</ns0:f>
        <ns0:v/>
      </ns0:c>
    </ns0:row>
    <ns0:row r="216">
      <ns0:c r="A216" s="0">
        <ns0:f>IF(COUNTA(Bookings!A216:G216,Bookings!I216)=0,0,1)</ns0:f>
        <ns0:v>0</ns0:v>
      </ns0:c>
      <ns0:c r="B216" s="0" t="str">
        <ns0:f>IFERROR(TRIM(MID(Bookings!A216,FIND(" · ",Bookings!A216)+3,99)),"")</ns0:f>
        <ns0:v/>
      </ns0:c>
      <ns0:c r="C216" s="0">
        <ns0:f>IF(OR(B216="",LEN(B216)&gt;24,ISNUMBER(FIND(" ",B216)),ISNUMBER(FIND("*",B216)),ISNUMBER(FIND("?",B216)),ISNUMBER(FIND("~",B216))),0,IFERROR(MATCH(B216,Team!$A$11:$A$60,0),0))</ns0:f>
        <ns0:v>0</ns0:v>
      </ns0:c>
      <ns0:c r="D216" s="0" t="str">
        <ns0:f>IFERROR(IF(MID(Bookings!F216,LEN(Bookings!F216)-3,3)=" · ",RIGHT(Bookings!F216,1),""),"")</ns0:f>
        <ns0:v/>
      </ns0:c>
      <ns0:c r="E216" s="0" t="str">
        <ns0:f>IFERROR(INDEX(Settings!$H$7:$H$11,MATCH(D216,Settings!$G$7:$G$11,0)),"")</ns0:f>
        <ns0:v/>
      </ns0:c>
      <ns0:c r="F216" s="0" t="str">
        <ns0:f>IF(A216=0,"",IFERROR(IF(OR(B216="",C216=0),"CHECK employee selection",IF(INDEX(Team!$O$11:$O$60,C216)&lt;&gt;"OK","CHECK employee setup",IF(OR('_Dates'!J216=0,'_Dates'!T216=0),"CHECK date: use DD.MM.YYYY",IF('_Dates'!T216&lt;'_Dates'!J216,"CHECK end before start",IF(AND($B$6=0,OR('_Dates'!J216&lt;Settings!$B$7,'_Dates'!T216&gt;Settings!$B$8)),"CHECK split across leave years",IF(OR(NOT(OR('_Dates'!U216="Full day",'_Dates'!U216="AM",'_Dates'!U216="PM")),NOT(OR('_Dates'!V216="Full day",'_Dates'!V216="AM",'_Dates'!V216="PM"))),"CHECK Full day / AM / PM",IF(AND('_Dates'!J216='_Dates'!T216,'_Dates'!U216&lt;&gt;"Full day",'_Dates'!V216&lt;&gt;"Full day",'_Dates'!U216&lt;&gt;'_Dates'!V216),"CHECK same-day portions disagree",IF(AND($B$6=0,OR(AND('_Dates'!U216&lt;&gt;"Full day",'_Dates'!AA216=0),AND('_Dates'!V216&lt;&gt;"Full day",'_Dates'!AB216=0))),"CHECK half-day on non-working date",IF(COUNTIF(Settings!$G$7:$G$11,D216)&lt;&gt;1,"CHECK leave type",IF(AND(Bookings!G216&lt;&gt;"Approved",Bookings!G216&lt;&gt;"Pending",Bookings!G216&lt;&gt;"Cancelled"),"CHECK status","OK")))))))))),"CHECK input"))</ns0:f>
        <ns0:v/>
      </ns0:c>
      <ns0:c r="G216" s="0">
        <ns0:f>IF(OR(F216&lt;&gt;"OK",$B$6&gt;0),0,0.5*(IF(('_Dates'!X216)&lt;('_Dates'!W216),0,INT((('_Dates'!X216)-('_Dates'!W216)+1)/7)*LEN(SUBSTITUTE(W216,"O",""))+LEN(SUBSTITUTE(MID(W216&amp;W216,WEEKDAY(('_Dates'!W216),2),MOD((('_Dates'!X216)-('_Dates'!W216)+1),7)),"O",""))-COUNTIFS(INDEX(AllClosureRows,C216,0),"&gt;="&amp;('_Dates'!W216),INDEX(AllClosureRows,C216,0),"&lt;="&amp;('_Dates'!X216)))+IF(('_Dates'!Z216)&lt;('_Dates'!Y216),0,INT((('_Dates'!Z216)-('_Dates'!Y216)+1)/7)*LEN(SUBSTITUTE(W216,"O",""))+LEN(SUBSTITUTE(MID(W216&amp;W216,WEEKDAY(('_Dates'!Y216),2),MOD((('_Dates'!Z216)-('_Dates'!Y216)+1),7)),"O",""))-COUNTIFS(INDEX(AllClosureRows,C216,0),"&gt;="&amp;('_Dates'!Y216),INDEX(AllClosureRows,C216,0),"&lt;="&amp;('_Dates'!Z216)))))</ns0:f>
        <ns0:v>0</ns0:v>
      </ns0:c>
      <ns0:c r="H216" s="0">
        <ns0:f>IF(OR(F216&lt;&gt;"OK",$B$6&gt;0),0,0.5*(IF((MIN('_Dates'!X216,Settings!$B$9))&lt;('_Dates'!W216),0,INT(((MIN('_Dates'!X216,Settings!$B$9))-('_Dates'!W216)+1)/7)*LEN(SUBSTITUTE(W216,"O",""))+LEN(SUBSTITUTE(MID(W216&amp;W216,WEEKDAY(('_Dates'!W216),2),MOD(((MIN('_Dates'!X216,Settings!$B$9))-('_Dates'!W216)+1),7)),"O",""))-COUNTIFS(INDEX(AllClosureRows,C216,0),"&gt;="&amp;('_Dates'!W216),INDEX(AllClosureRows,C216,0),"&lt;="&amp;(MIN('_Dates'!X216,Settings!$B$9))))+IF((MIN('_Dates'!Z216,Settings!$B$9))&lt;('_Dates'!Y216),0,INT(((MIN('_Dates'!Z216,Settings!$B$9))-('_Dates'!Y216)+1)/7)*LEN(SUBSTITUTE(W216,"O",""))+LEN(SUBSTITUTE(MID(W216&amp;W216,WEEKDAY(('_Dates'!Y216),2),MOD(((MIN('_Dates'!Z216,Settings!$B$9))-('_Dates'!Y216)+1),7)),"O",""))-COUNTIFS(INDEX(AllClosureRows,C216,0),"&gt;="&amp;('_Dates'!Y216),INDEX(AllClosureRows,C216,0),"&lt;="&amp;(MIN('_Dates'!Z216,Settings!$B$9))))))</ns0:f>
        <ns0:v>0</ns0:v>
      </ns0:c>
      <ns0:c r="I216" s="0">
        <ns0:f>MAX(0,G216-H216)</ns0:f>
        <ns0:v>0</ns0:v>
      </ns0:c>
      <ns0:c r="J216" s="0">
        <ns0:f>IF(OR(A216=0,F216&lt;&gt;"OK",Bookings!G216="Cancelled",$B$6&gt;0),0,IF('_Dates'!AC216=1,MAX(0,COUNTIFS(rngEngine_B,B216,rngAMStart,"&lt;="&amp;'_Dates'!X216,rngAMEnd,"&gt;="&amp;'_Dates'!W216,rngAMActive,1,rngEngine_F,"OK",rngBookings_F,"&lt;&gt;Cancelled")-1),0)+IF('_Dates'!AD216=1,MAX(0,COUNTIFS(rngEngine_B,B216,rngPMStart,"&lt;="&amp;'_Dates'!Z216,rngPMEnd,"&gt;="&amp;'_Dates'!Y216,rngPMActive,1,rngEngine_F,"OK",rngBookings_F,"&lt;&gt;Cancelled")-1),0))</ns0:f>
        <ns0:v>0</ns0:v>
      </ns0:c>
      <ns0:c r="K216" s="0" t="str">
        <ns0:f>IF(A216=0,"",IF(F216&lt;&gt;"OK",F216,IF(J216&gt;0,"CHECK overlapping entry",IF(AND($B$6=0,G216&lt;=0,Bookings!G216&lt;&gt;"Cancelled"),"CHECK no working days",IF(Bookings!G216="Cancelled","Cancelled","OK")))))</ns0:f>
        <ns0:v/>
      </ns0:c>
      <ns0:c r="L216" s="0">
        <ns0:f>IF(LEFT(K216,5)="CHECK",1,0)</ns0:f>
        <ns0:v>0</ns0:v>
      </ns0:c>
      <ns0:c r="M216" s="0">
        <ns0:f>IF(AND(L216=1,OR(C216=0,IFERROR(INDEX($X$11:$X$60,C216),0)=0)),1,0)</ns0:f>
        <ns0:v>0</ns0:v>
      </ns0:c>
      <ns0:c r="N216" s="0">
        <ns0:f>IF(OR(A216=0,L216&gt;0,$B$6&gt;0,Bookings!G216="Cancelled"),0,G216)</ns0:f>
        <ns0:v>0</ns0:v>
      </ns0:c>
      <ns0:c r="O216" s="0">
        <ns0:f>IF(AND(Bookings!G216="Approved",E216="Yes"),N216,0)</ns0:f>
        <ns0:v>0</ns0:v>
      </ns0:c>
      <ns0:c r="P216" s="0">
        <ns0:f>IF(AND(Bookings!G216="Approved",E216="Yes",L216=0,$B$6=0),H216,0)</ns0:f>
        <ns0:v>0</ns0:v>
      </ns0:c>
      <ns0:c r="Q216" s="0">
        <ns0:f>IF(AND(Bookings!G216="Approved",E216="Yes",L216=0,$B$6=0),I216,0)</ns0:f>
        <ns0:v>0</ns0:v>
      </ns0:c>
      <ns0:c r="R216" s="0">
        <ns0:f>IF(AND(Bookings!G216="Pending",E216="Yes"),N216,0)</ns0:f>
        <ns0:v>0</ns0:v>
      </ns0:c>
      <ns0:c r="S216" s="0">
        <ns0:f>IF(AND(Bookings!G216="Approved",E216="No"),N216,0)</ns0:f>
        <ns0:v>0</ns0:v>
      </ns0:c>
      <ns0:c r="T216" s="0">
        <ns0:f>IFERROR(MATCH(D216,Settings!$G$7:$G$11,0),0)</ns0:f>
        <ns0:v>0</ns0:v>
      </ns0:c>
      <ns0:c r="U216" s="0">
        <ns0:f>IF(N216&gt;0,T216+IF(Bookings!G216="Pending",10,0),0)</ns0:f>
        <ns0:v>0</ns0:v>
      </ns0:c>
      <ns0:c r="V216" s="0">
        <ns0:f>U216</ns0:f>
        <ns0:v>0</ns0:v>
      </ns0:c>
      <ns0:c r="W216" s="0" t="str">
        <ns0:f>IF(C216=0,"",INDEX($AP$11:$AP$60,C216))</ns0:f>
        <ns0:v/>
      </ns0:c>
    </ns0:row>
    <ns0:row r="217">
      <ns0:c r="A217" s="0">
        <ns0:f>IF(COUNTA(Bookings!A217:G217,Bookings!I217)=0,0,1)</ns0:f>
        <ns0:v>0</ns0:v>
      </ns0:c>
      <ns0:c r="B217" s="0" t="str">
        <ns0:f>IFERROR(TRIM(MID(Bookings!A217,FIND(" · ",Bookings!A217)+3,99)),"")</ns0:f>
        <ns0:v/>
      </ns0:c>
      <ns0:c r="C217" s="0">
        <ns0:f>IF(OR(B217="",LEN(B217)&gt;24,ISNUMBER(FIND(" ",B217)),ISNUMBER(FIND("*",B217)),ISNUMBER(FIND("?",B217)),ISNUMBER(FIND("~",B217))),0,IFERROR(MATCH(B217,Team!$A$11:$A$60,0),0))</ns0:f>
        <ns0:v>0</ns0:v>
      </ns0:c>
      <ns0:c r="D217" s="0" t="str">
        <ns0:f>IFERROR(IF(MID(Bookings!F217,LEN(Bookings!F217)-3,3)=" · ",RIGHT(Bookings!F217,1),""),"")</ns0:f>
        <ns0:v/>
      </ns0:c>
      <ns0:c r="E217" s="0" t="str">
        <ns0:f>IFERROR(INDEX(Settings!$H$7:$H$11,MATCH(D217,Settings!$G$7:$G$11,0)),"")</ns0:f>
        <ns0:v/>
      </ns0:c>
      <ns0:c r="F217" s="0" t="str">
        <ns0:f>IF(A217=0,"",IFERROR(IF(OR(B217="",C217=0),"CHECK employee selection",IF(INDEX(Team!$O$11:$O$60,C217)&lt;&gt;"OK","CHECK employee setup",IF(OR('_Dates'!J217=0,'_Dates'!T217=0),"CHECK date: use DD.MM.YYYY",IF('_Dates'!T217&lt;'_Dates'!J217,"CHECK end before start",IF(AND($B$6=0,OR('_Dates'!J217&lt;Settings!$B$7,'_Dates'!T217&gt;Settings!$B$8)),"CHECK split across leave years",IF(OR(NOT(OR('_Dates'!U217="Full day",'_Dates'!U217="AM",'_Dates'!U217="PM")),NOT(OR('_Dates'!V217="Full day",'_Dates'!V217="AM",'_Dates'!V217="PM"))),"CHECK Full day / AM / PM",IF(AND('_Dates'!J217='_Dates'!T217,'_Dates'!U217&lt;&gt;"Full day",'_Dates'!V217&lt;&gt;"Full day",'_Dates'!U217&lt;&gt;'_Dates'!V217),"CHECK same-day portions disagree",IF(AND($B$6=0,OR(AND('_Dates'!U217&lt;&gt;"Full day",'_Dates'!AA217=0),AND('_Dates'!V217&lt;&gt;"Full day",'_Dates'!AB217=0))),"CHECK half-day on non-working date",IF(COUNTIF(Settings!$G$7:$G$11,D217)&lt;&gt;1,"CHECK leave type",IF(AND(Bookings!G217&lt;&gt;"Approved",Bookings!G217&lt;&gt;"Pending",Bookings!G217&lt;&gt;"Cancelled"),"CHECK status","OK")))))))))),"CHECK input"))</ns0:f>
        <ns0:v/>
      </ns0:c>
      <ns0:c r="G217" s="0">
        <ns0:f>IF(OR(F217&lt;&gt;"OK",$B$6&gt;0),0,0.5*(IF(('_Dates'!X217)&lt;('_Dates'!W217),0,INT((('_Dates'!X217)-('_Dates'!W217)+1)/7)*LEN(SUBSTITUTE(W217,"O",""))+LEN(SUBSTITUTE(MID(W217&amp;W217,WEEKDAY(('_Dates'!W217),2),MOD((('_Dates'!X217)-('_Dates'!W217)+1),7)),"O",""))-COUNTIFS(INDEX(AllClosureRows,C217,0),"&gt;="&amp;('_Dates'!W217),INDEX(AllClosureRows,C217,0),"&lt;="&amp;('_Dates'!X217)))+IF(('_Dates'!Z217)&lt;('_Dates'!Y217),0,INT((('_Dates'!Z217)-('_Dates'!Y217)+1)/7)*LEN(SUBSTITUTE(W217,"O",""))+LEN(SUBSTITUTE(MID(W217&amp;W217,WEEKDAY(('_Dates'!Y217),2),MOD((('_Dates'!Z217)-('_Dates'!Y217)+1),7)),"O",""))-COUNTIFS(INDEX(AllClosureRows,C217,0),"&gt;="&amp;('_Dates'!Y217),INDEX(AllClosureRows,C217,0),"&lt;="&amp;('_Dates'!Z217)))))</ns0:f>
        <ns0:v>0</ns0:v>
      </ns0:c>
      <ns0:c r="H217" s="0">
        <ns0:f>IF(OR(F217&lt;&gt;"OK",$B$6&gt;0),0,0.5*(IF((MIN('_Dates'!X217,Settings!$B$9))&lt;('_Dates'!W217),0,INT(((MIN('_Dates'!X217,Settings!$B$9))-('_Dates'!W217)+1)/7)*LEN(SUBSTITUTE(W217,"O",""))+LEN(SUBSTITUTE(MID(W217&amp;W217,WEEKDAY(('_Dates'!W217),2),MOD(((MIN('_Dates'!X217,Settings!$B$9))-('_Dates'!W217)+1),7)),"O",""))-COUNTIFS(INDEX(AllClosureRows,C217,0),"&gt;="&amp;('_Dates'!W217),INDEX(AllClosureRows,C217,0),"&lt;="&amp;(MIN('_Dates'!X217,Settings!$B$9))))+IF((MIN('_Dates'!Z217,Settings!$B$9))&lt;('_Dates'!Y217),0,INT(((MIN('_Dates'!Z217,Settings!$B$9))-('_Dates'!Y217)+1)/7)*LEN(SUBSTITUTE(W217,"O",""))+LEN(SUBSTITUTE(MID(W217&amp;W217,WEEKDAY(('_Dates'!Y217),2),MOD(((MIN('_Dates'!Z217,Settings!$B$9))-('_Dates'!Y217)+1),7)),"O",""))-COUNTIFS(INDEX(AllClosureRows,C217,0),"&gt;="&amp;('_Dates'!Y217),INDEX(AllClosureRows,C217,0),"&lt;="&amp;(MIN('_Dates'!Z217,Settings!$B$9))))))</ns0:f>
        <ns0:v>0</ns0:v>
      </ns0:c>
      <ns0:c r="I217" s="0">
        <ns0:f>MAX(0,G217-H217)</ns0:f>
        <ns0:v>0</ns0:v>
      </ns0:c>
      <ns0:c r="J217" s="0">
        <ns0:f>IF(OR(A217=0,F217&lt;&gt;"OK",Bookings!G217="Cancelled",$B$6&gt;0),0,IF('_Dates'!AC217=1,MAX(0,COUNTIFS(rngEngine_B,B217,rngAMStart,"&lt;="&amp;'_Dates'!X217,rngAMEnd,"&gt;="&amp;'_Dates'!W217,rngAMActive,1,rngEngine_F,"OK",rngBookings_F,"&lt;&gt;Cancelled")-1),0)+IF('_Dates'!AD217=1,MAX(0,COUNTIFS(rngEngine_B,B217,rngPMStart,"&lt;="&amp;'_Dates'!Z217,rngPMEnd,"&gt;="&amp;'_Dates'!Y217,rngPMActive,1,rngEngine_F,"OK",rngBookings_F,"&lt;&gt;Cancelled")-1),0))</ns0:f>
        <ns0:v>0</ns0:v>
      </ns0:c>
      <ns0:c r="K217" s="0" t="str">
        <ns0:f>IF(A217=0,"",IF(F217&lt;&gt;"OK",F217,IF(J217&gt;0,"CHECK overlapping entry",IF(AND($B$6=0,G217&lt;=0,Bookings!G217&lt;&gt;"Cancelled"),"CHECK no working days",IF(Bookings!G217="Cancelled","Cancelled","OK")))))</ns0:f>
        <ns0:v/>
      </ns0:c>
      <ns0:c r="L217" s="0">
        <ns0:f>IF(LEFT(K217,5)="CHECK",1,0)</ns0:f>
        <ns0:v>0</ns0:v>
      </ns0:c>
      <ns0:c r="M217" s="0">
        <ns0:f>IF(AND(L217=1,OR(C217=0,IFERROR(INDEX($X$11:$X$60,C217),0)=0)),1,0)</ns0:f>
        <ns0:v>0</ns0:v>
      </ns0:c>
      <ns0:c r="N217" s="0">
        <ns0:f>IF(OR(A217=0,L217&gt;0,$B$6&gt;0,Bookings!G217="Cancelled"),0,G217)</ns0:f>
        <ns0:v>0</ns0:v>
      </ns0:c>
      <ns0:c r="O217" s="0">
        <ns0:f>IF(AND(Bookings!G217="Approved",E217="Yes"),N217,0)</ns0:f>
        <ns0:v>0</ns0:v>
      </ns0:c>
      <ns0:c r="P217" s="0">
        <ns0:f>IF(AND(Bookings!G217="Approved",E217="Yes",L217=0,$B$6=0),H217,0)</ns0:f>
        <ns0:v>0</ns0:v>
      </ns0:c>
      <ns0:c r="Q217" s="0">
        <ns0:f>IF(AND(Bookings!G217="Approved",E217="Yes",L217=0,$B$6=0),I217,0)</ns0:f>
        <ns0:v>0</ns0:v>
      </ns0:c>
      <ns0:c r="R217" s="0">
        <ns0:f>IF(AND(Bookings!G217="Pending",E217="Yes"),N217,0)</ns0:f>
        <ns0:v>0</ns0:v>
      </ns0:c>
      <ns0:c r="S217" s="0">
        <ns0:f>IF(AND(Bookings!G217="Approved",E217="No"),N217,0)</ns0:f>
        <ns0:v>0</ns0:v>
      </ns0:c>
      <ns0:c r="T217" s="0">
        <ns0:f>IFERROR(MATCH(D217,Settings!$G$7:$G$11,0),0)</ns0:f>
        <ns0:v>0</ns0:v>
      </ns0:c>
      <ns0:c r="U217" s="0">
        <ns0:f>IF(N217&gt;0,T217+IF(Bookings!G217="Pending",10,0),0)</ns0:f>
        <ns0:v>0</ns0:v>
      </ns0:c>
      <ns0:c r="V217" s="0">
        <ns0:f>U217</ns0:f>
        <ns0:v>0</ns0:v>
      </ns0:c>
      <ns0:c r="W217" s="0" t="str">
        <ns0:f>IF(C217=0,"",INDEX($AP$11:$AP$60,C217))</ns0:f>
        <ns0:v/>
      </ns0:c>
    </ns0:row>
    <ns0:row r="218">
      <ns0:c r="A218" s="0">
        <ns0:f>IF(COUNTA(Bookings!A218:G218,Bookings!I218)=0,0,1)</ns0:f>
        <ns0:v>0</ns0:v>
      </ns0:c>
      <ns0:c r="B218" s="0" t="str">
        <ns0:f>IFERROR(TRIM(MID(Bookings!A218,FIND(" · ",Bookings!A218)+3,99)),"")</ns0:f>
        <ns0:v/>
      </ns0:c>
      <ns0:c r="C218" s="0">
        <ns0:f>IF(OR(B218="",LEN(B218)&gt;24,ISNUMBER(FIND(" ",B218)),ISNUMBER(FIND("*",B218)),ISNUMBER(FIND("?",B218)),ISNUMBER(FIND("~",B218))),0,IFERROR(MATCH(B218,Team!$A$11:$A$60,0),0))</ns0:f>
        <ns0:v>0</ns0:v>
      </ns0:c>
      <ns0:c r="D218" s="0" t="str">
        <ns0:f>IFERROR(IF(MID(Bookings!F218,LEN(Bookings!F218)-3,3)=" · ",RIGHT(Bookings!F218,1),""),"")</ns0:f>
        <ns0:v/>
      </ns0:c>
      <ns0:c r="E218" s="0" t="str">
        <ns0:f>IFERROR(INDEX(Settings!$H$7:$H$11,MATCH(D218,Settings!$G$7:$G$11,0)),"")</ns0:f>
        <ns0:v/>
      </ns0:c>
      <ns0:c r="F218" s="0" t="str">
        <ns0:f>IF(A218=0,"",IFERROR(IF(OR(B218="",C218=0),"CHECK employee selection",IF(INDEX(Team!$O$11:$O$60,C218)&lt;&gt;"OK","CHECK employee setup",IF(OR('_Dates'!J218=0,'_Dates'!T218=0),"CHECK date: use DD.MM.YYYY",IF('_Dates'!T218&lt;'_Dates'!J218,"CHECK end before start",IF(AND($B$6=0,OR('_Dates'!J218&lt;Settings!$B$7,'_Dates'!T218&gt;Settings!$B$8)),"CHECK split across leave years",IF(OR(NOT(OR('_Dates'!U218="Full day",'_Dates'!U218="AM",'_Dates'!U218="PM")),NOT(OR('_Dates'!V218="Full day",'_Dates'!V218="AM",'_Dates'!V218="PM"))),"CHECK Full day / AM / PM",IF(AND('_Dates'!J218='_Dates'!T218,'_Dates'!U218&lt;&gt;"Full day",'_Dates'!V218&lt;&gt;"Full day",'_Dates'!U218&lt;&gt;'_Dates'!V218),"CHECK same-day portions disagree",IF(AND($B$6=0,OR(AND('_Dates'!U218&lt;&gt;"Full day",'_Dates'!AA218=0),AND('_Dates'!V218&lt;&gt;"Full day",'_Dates'!AB218=0))),"CHECK half-day on non-working date",IF(COUNTIF(Settings!$G$7:$G$11,D218)&lt;&gt;1,"CHECK leave type",IF(AND(Bookings!G218&lt;&gt;"Approved",Bookings!G218&lt;&gt;"Pending",Bookings!G218&lt;&gt;"Cancelled"),"CHECK status","OK")))))))))),"CHECK input"))</ns0:f>
        <ns0:v/>
      </ns0:c>
      <ns0:c r="G218" s="0">
        <ns0:f>IF(OR(F218&lt;&gt;"OK",$B$6&gt;0),0,0.5*(IF(('_Dates'!X218)&lt;('_Dates'!W218),0,INT((('_Dates'!X218)-('_Dates'!W218)+1)/7)*LEN(SUBSTITUTE(W218,"O",""))+LEN(SUBSTITUTE(MID(W218&amp;W218,WEEKDAY(('_Dates'!W218),2),MOD((('_Dates'!X218)-('_Dates'!W218)+1),7)),"O",""))-COUNTIFS(INDEX(AllClosureRows,C218,0),"&gt;="&amp;('_Dates'!W218),INDEX(AllClosureRows,C218,0),"&lt;="&amp;('_Dates'!X218)))+IF(('_Dates'!Z218)&lt;('_Dates'!Y218),0,INT((('_Dates'!Z218)-('_Dates'!Y218)+1)/7)*LEN(SUBSTITUTE(W218,"O",""))+LEN(SUBSTITUTE(MID(W218&amp;W218,WEEKDAY(('_Dates'!Y218),2),MOD((('_Dates'!Z218)-('_Dates'!Y218)+1),7)),"O",""))-COUNTIFS(INDEX(AllClosureRows,C218,0),"&gt;="&amp;('_Dates'!Y218),INDEX(AllClosureRows,C218,0),"&lt;="&amp;('_Dates'!Z218)))))</ns0:f>
        <ns0:v>0</ns0:v>
      </ns0:c>
      <ns0:c r="H218" s="0">
        <ns0:f>IF(OR(F218&lt;&gt;"OK",$B$6&gt;0),0,0.5*(IF((MIN('_Dates'!X218,Settings!$B$9))&lt;('_Dates'!W218),0,INT(((MIN('_Dates'!X218,Settings!$B$9))-('_Dates'!W218)+1)/7)*LEN(SUBSTITUTE(W218,"O",""))+LEN(SUBSTITUTE(MID(W218&amp;W218,WEEKDAY(('_Dates'!W218),2),MOD(((MIN('_Dates'!X218,Settings!$B$9))-('_Dates'!W218)+1),7)),"O",""))-COUNTIFS(INDEX(AllClosureRows,C218,0),"&gt;="&amp;('_Dates'!W218),INDEX(AllClosureRows,C218,0),"&lt;="&amp;(MIN('_Dates'!X218,Settings!$B$9))))+IF((MIN('_Dates'!Z218,Settings!$B$9))&lt;('_Dates'!Y218),0,INT(((MIN('_Dates'!Z218,Settings!$B$9))-('_Dates'!Y218)+1)/7)*LEN(SUBSTITUTE(W218,"O",""))+LEN(SUBSTITUTE(MID(W218&amp;W218,WEEKDAY(('_Dates'!Y218),2),MOD(((MIN('_Dates'!Z218,Settings!$B$9))-('_Dates'!Y218)+1),7)),"O",""))-COUNTIFS(INDEX(AllClosureRows,C218,0),"&gt;="&amp;('_Dates'!Y218),INDEX(AllClosureRows,C218,0),"&lt;="&amp;(MIN('_Dates'!Z218,Settings!$B$9))))))</ns0:f>
        <ns0:v>0</ns0:v>
      </ns0:c>
      <ns0:c r="I218" s="0">
        <ns0:f>MAX(0,G218-H218)</ns0:f>
        <ns0:v>0</ns0:v>
      </ns0:c>
      <ns0:c r="J218" s="0">
        <ns0:f>IF(OR(A218=0,F218&lt;&gt;"OK",Bookings!G218="Cancelled",$B$6&gt;0),0,IF('_Dates'!AC218=1,MAX(0,COUNTIFS(rngEngine_B,B218,rngAMStart,"&lt;="&amp;'_Dates'!X218,rngAMEnd,"&gt;="&amp;'_Dates'!W218,rngAMActive,1,rngEngine_F,"OK",rngBookings_F,"&lt;&gt;Cancelled")-1),0)+IF('_Dates'!AD218=1,MAX(0,COUNTIFS(rngEngine_B,B218,rngPMStart,"&lt;="&amp;'_Dates'!Z218,rngPMEnd,"&gt;="&amp;'_Dates'!Y218,rngPMActive,1,rngEngine_F,"OK",rngBookings_F,"&lt;&gt;Cancelled")-1),0))</ns0:f>
        <ns0:v>0</ns0:v>
      </ns0:c>
      <ns0:c r="K218" s="0" t="str">
        <ns0:f>IF(A218=0,"",IF(F218&lt;&gt;"OK",F218,IF(J218&gt;0,"CHECK overlapping entry",IF(AND($B$6=0,G218&lt;=0,Bookings!G218&lt;&gt;"Cancelled"),"CHECK no working days",IF(Bookings!G218="Cancelled","Cancelled","OK")))))</ns0:f>
        <ns0:v/>
      </ns0:c>
      <ns0:c r="L218" s="0">
        <ns0:f>IF(LEFT(K218,5)="CHECK",1,0)</ns0:f>
        <ns0:v>0</ns0:v>
      </ns0:c>
      <ns0:c r="M218" s="0">
        <ns0:f>IF(AND(L218=1,OR(C218=0,IFERROR(INDEX($X$11:$X$60,C218),0)=0)),1,0)</ns0:f>
        <ns0:v>0</ns0:v>
      </ns0:c>
      <ns0:c r="N218" s="0">
        <ns0:f>IF(OR(A218=0,L218&gt;0,$B$6&gt;0,Bookings!G218="Cancelled"),0,G218)</ns0:f>
        <ns0:v>0</ns0:v>
      </ns0:c>
      <ns0:c r="O218" s="0">
        <ns0:f>IF(AND(Bookings!G218="Approved",E218="Yes"),N218,0)</ns0:f>
        <ns0:v>0</ns0:v>
      </ns0:c>
      <ns0:c r="P218" s="0">
        <ns0:f>IF(AND(Bookings!G218="Approved",E218="Yes",L218=0,$B$6=0),H218,0)</ns0:f>
        <ns0:v>0</ns0:v>
      </ns0:c>
      <ns0:c r="Q218" s="0">
        <ns0:f>IF(AND(Bookings!G218="Approved",E218="Yes",L218=0,$B$6=0),I218,0)</ns0:f>
        <ns0:v>0</ns0:v>
      </ns0:c>
      <ns0:c r="R218" s="0">
        <ns0:f>IF(AND(Bookings!G218="Pending",E218="Yes"),N218,0)</ns0:f>
        <ns0:v>0</ns0:v>
      </ns0:c>
      <ns0:c r="S218" s="0">
        <ns0:f>IF(AND(Bookings!G218="Approved",E218="No"),N218,0)</ns0:f>
        <ns0:v>0</ns0:v>
      </ns0:c>
      <ns0:c r="T218" s="0">
        <ns0:f>IFERROR(MATCH(D218,Settings!$G$7:$G$11,0),0)</ns0:f>
        <ns0:v>0</ns0:v>
      </ns0:c>
      <ns0:c r="U218" s="0">
        <ns0:f>IF(N218&gt;0,T218+IF(Bookings!G218="Pending",10,0),0)</ns0:f>
        <ns0:v>0</ns0:v>
      </ns0:c>
      <ns0:c r="V218" s="0">
        <ns0:f>U218</ns0:f>
        <ns0:v>0</ns0:v>
      </ns0:c>
      <ns0:c r="W218" s="0" t="str">
        <ns0:f>IF(C218=0,"",INDEX($AP$11:$AP$60,C218))</ns0:f>
        <ns0:v/>
      </ns0:c>
    </ns0:row>
    <ns0:row r="219">
      <ns0:c r="A219" s="0">
        <ns0:f>IF(COUNTA(Bookings!A219:G219,Bookings!I219)=0,0,1)</ns0:f>
        <ns0:v>0</ns0:v>
      </ns0:c>
      <ns0:c r="B219" s="0" t="str">
        <ns0:f>IFERROR(TRIM(MID(Bookings!A219,FIND(" · ",Bookings!A219)+3,99)),"")</ns0:f>
        <ns0:v/>
      </ns0:c>
      <ns0:c r="C219" s="0">
        <ns0:f>IF(OR(B219="",LEN(B219)&gt;24,ISNUMBER(FIND(" ",B219)),ISNUMBER(FIND("*",B219)),ISNUMBER(FIND("?",B219)),ISNUMBER(FIND("~",B219))),0,IFERROR(MATCH(B219,Team!$A$11:$A$60,0),0))</ns0:f>
        <ns0:v>0</ns0:v>
      </ns0:c>
      <ns0:c r="D219" s="0" t="str">
        <ns0:f>IFERROR(IF(MID(Bookings!F219,LEN(Bookings!F219)-3,3)=" · ",RIGHT(Bookings!F219,1),""),"")</ns0:f>
        <ns0:v/>
      </ns0:c>
      <ns0:c r="E219" s="0" t="str">
        <ns0:f>IFERROR(INDEX(Settings!$H$7:$H$11,MATCH(D219,Settings!$G$7:$G$11,0)),"")</ns0:f>
        <ns0:v/>
      </ns0:c>
      <ns0:c r="F219" s="0" t="str">
        <ns0:f>IF(A219=0,"",IFERROR(IF(OR(B219="",C219=0),"CHECK employee selection",IF(INDEX(Team!$O$11:$O$60,C219)&lt;&gt;"OK","CHECK employee setup",IF(OR('_Dates'!J219=0,'_Dates'!T219=0),"CHECK date: use DD.MM.YYYY",IF('_Dates'!T219&lt;'_Dates'!J219,"CHECK end before start",IF(AND($B$6=0,OR('_Dates'!J219&lt;Settings!$B$7,'_Dates'!T219&gt;Settings!$B$8)),"CHECK split across leave years",IF(OR(NOT(OR('_Dates'!U219="Full day",'_Dates'!U219="AM",'_Dates'!U219="PM")),NOT(OR('_Dates'!V219="Full day",'_Dates'!V219="AM",'_Dates'!V219="PM"))),"CHECK Full day / AM / PM",IF(AND('_Dates'!J219='_Dates'!T219,'_Dates'!U219&lt;&gt;"Full day",'_Dates'!V219&lt;&gt;"Full day",'_Dates'!U219&lt;&gt;'_Dates'!V219),"CHECK same-day portions disagree",IF(AND($B$6=0,OR(AND('_Dates'!U219&lt;&gt;"Full day",'_Dates'!AA219=0),AND('_Dates'!V219&lt;&gt;"Full day",'_Dates'!AB219=0))),"CHECK half-day on non-working date",IF(COUNTIF(Settings!$G$7:$G$11,D219)&lt;&gt;1,"CHECK leave type",IF(AND(Bookings!G219&lt;&gt;"Approved",Bookings!G219&lt;&gt;"Pending",Bookings!G219&lt;&gt;"Cancelled"),"CHECK status","OK")))))))))),"CHECK input"))</ns0:f>
        <ns0:v/>
      </ns0:c>
      <ns0:c r="G219" s="0">
        <ns0:f>IF(OR(F219&lt;&gt;"OK",$B$6&gt;0),0,0.5*(IF(('_Dates'!X219)&lt;('_Dates'!W219),0,INT((('_Dates'!X219)-('_Dates'!W219)+1)/7)*LEN(SUBSTITUTE(W219,"O",""))+LEN(SUBSTITUTE(MID(W219&amp;W219,WEEKDAY(('_Dates'!W219),2),MOD((('_Dates'!X219)-('_Dates'!W219)+1),7)),"O",""))-COUNTIFS(INDEX(AllClosureRows,C219,0),"&gt;="&amp;('_Dates'!W219),INDEX(AllClosureRows,C219,0),"&lt;="&amp;('_Dates'!X219)))+IF(('_Dates'!Z219)&lt;('_Dates'!Y219),0,INT((('_Dates'!Z219)-('_Dates'!Y219)+1)/7)*LEN(SUBSTITUTE(W219,"O",""))+LEN(SUBSTITUTE(MID(W219&amp;W219,WEEKDAY(('_Dates'!Y219),2),MOD((('_Dates'!Z219)-('_Dates'!Y219)+1),7)),"O",""))-COUNTIFS(INDEX(AllClosureRows,C219,0),"&gt;="&amp;('_Dates'!Y219),INDEX(AllClosureRows,C219,0),"&lt;="&amp;('_Dates'!Z219)))))</ns0:f>
        <ns0:v>0</ns0:v>
      </ns0:c>
      <ns0:c r="H219" s="0">
        <ns0:f>IF(OR(F219&lt;&gt;"OK",$B$6&gt;0),0,0.5*(IF((MIN('_Dates'!X219,Settings!$B$9))&lt;('_Dates'!W219),0,INT(((MIN('_Dates'!X219,Settings!$B$9))-('_Dates'!W219)+1)/7)*LEN(SUBSTITUTE(W219,"O",""))+LEN(SUBSTITUTE(MID(W219&amp;W219,WEEKDAY(('_Dates'!W219),2),MOD(((MIN('_Dates'!X219,Settings!$B$9))-('_Dates'!W219)+1),7)),"O",""))-COUNTIFS(INDEX(AllClosureRows,C219,0),"&gt;="&amp;('_Dates'!W219),INDEX(AllClosureRows,C219,0),"&lt;="&amp;(MIN('_Dates'!X219,Settings!$B$9))))+IF((MIN('_Dates'!Z219,Settings!$B$9))&lt;('_Dates'!Y219),0,INT(((MIN('_Dates'!Z219,Settings!$B$9))-('_Dates'!Y219)+1)/7)*LEN(SUBSTITUTE(W219,"O",""))+LEN(SUBSTITUTE(MID(W219&amp;W219,WEEKDAY(('_Dates'!Y219),2),MOD(((MIN('_Dates'!Z219,Settings!$B$9))-('_Dates'!Y219)+1),7)),"O",""))-COUNTIFS(INDEX(AllClosureRows,C219,0),"&gt;="&amp;('_Dates'!Y219),INDEX(AllClosureRows,C219,0),"&lt;="&amp;(MIN('_Dates'!Z219,Settings!$B$9))))))</ns0:f>
        <ns0:v>0</ns0:v>
      </ns0:c>
      <ns0:c r="I219" s="0">
        <ns0:f>MAX(0,G219-H219)</ns0:f>
        <ns0:v>0</ns0:v>
      </ns0:c>
      <ns0:c r="J219" s="0">
        <ns0:f>IF(OR(A219=0,F219&lt;&gt;"OK",Bookings!G219="Cancelled",$B$6&gt;0),0,IF('_Dates'!AC219=1,MAX(0,COUNTIFS(rngEngine_B,B219,rngAMStart,"&lt;="&amp;'_Dates'!X219,rngAMEnd,"&gt;="&amp;'_Dates'!W219,rngAMActive,1,rngEngine_F,"OK",rngBookings_F,"&lt;&gt;Cancelled")-1),0)+IF('_Dates'!AD219=1,MAX(0,COUNTIFS(rngEngine_B,B219,rngPMStart,"&lt;="&amp;'_Dates'!Z219,rngPMEnd,"&gt;="&amp;'_Dates'!Y219,rngPMActive,1,rngEngine_F,"OK",rngBookings_F,"&lt;&gt;Cancelled")-1),0))</ns0:f>
        <ns0:v>0</ns0:v>
      </ns0:c>
      <ns0:c r="K219" s="0" t="str">
        <ns0:f>IF(A219=0,"",IF(F219&lt;&gt;"OK",F219,IF(J219&gt;0,"CHECK overlapping entry",IF(AND($B$6=0,G219&lt;=0,Bookings!G219&lt;&gt;"Cancelled"),"CHECK no working days",IF(Bookings!G219="Cancelled","Cancelled","OK")))))</ns0:f>
        <ns0:v/>
      </ns0:c>
      <ns0:c r="L219" s="0">
        <ns0:f>IF(LEFT(K219,5)="CHECK",1,0)</ns0:f>
        <ns0:v>0</ns0:v>
      </ns0:c>
      <ns0:c r="M219" s="0">
        <ns0:f>IF(AND(L219=1,OR(C219=0,IFERROR(INDEX($X$11:$X$60,C219),0)=0)),1,0)</ns0:f>
        <ns0:v>0</ns0:v>
      </ns0:c>
      <ns0:c r="N219" s="0">
        <ns0:f>IF(OR(A219=0,L219&gt;0,$B$6&gt;0,Bookings!G219="Cancelled"),0,G219)</ns0:f>
        <ns0:v>0</ns0:v>
      </ns0:c>
      <ns0:c r="O219" s="0">
        <ns0:f>IF(AND(Bookings!G219="Approved",E219="Yes"),N219,0)</ns0:f>
        <ns0:v>0</ns0:v>
      </ns0:c>
      <ns0:c r="P219" s="0">
        <ns0:f>IF(AND(Bookings!G219="Approved",E219="Yes",L219=0,$B$6=0),H219,0)</ns0:f>
        <ns0:v>0</ns0:v>
      </ns0:c>
      <ns0:c r="Q219" s="0">
        <ns0:f>IF(AND(Bookings!G219="Approved",E219="Yes",L219=0,$B$6=0),I219,0)</ns0:f>
        <ns0:v>0</ns0:v>
      </ns0:c>
      <ns0:c r="R219" s="0">
        <ns0:f>IF(AND(Bookings!G219="Pending",E219="Yes"),N219,0)</ns0:f>
        <ns0:v>0</ns0:v>
      </ns0:c>
      <ns0:c r="S219" s="0">
        <ns0:f>IF(AND(Bookings!G219="Approved",E219="No"),N219,0)</ns0:f>
        <ns0:v>0</ns0:v>
      </ns0:c>
      <ns0:c r="T219" s="0">
        <ns0:f>IFERROR(MATCH(D219,Settings!$G$7:$G$11,0),0)</ns0:f>
        <ns0:v>0</ns0:v>
      </ns0:c>
      <ns0:c r="U219" s="0">
        <ns0:f>IF(N219&gt;0,T219+IF(Bookings!G219="Pending",10,0),0)</ns0:f>
        <ns0:v>0</ns0:v>
      </ns0:c>
      <ns0:c r="V219" s="0">
        <ns0:f>U219</ns0:f>
        <ns0:v>0</ns0:v>
      </ns0:c>
      <ns0:c r="W219" s="0" t="str">
        <ns0:f>IF(C219=0,"",INDEX($AP$11:$AP$60,C219))</ns0:f>
        <ns0:v/>
      </ns0:c>
    </ns0:row>
    <ns0:row r="220">
      <ns0:c r="A220" s="0">
        <ns0:f>IF(COUNTA(Bookings!A220:G220,Bookings!I220)=0,0,1)</ns0:f>
        <ns0:v>0</ns0:v>
      </ns0:c>
      <ns0:c r="B220" s="0" t="str">
        <ns0:f>IFERROR(TRIM(MID(Bookings!A220,FIND(" · ",Bookings!A220)+3,99)),"")</ns0:f>
        <ns0:v/>
      </ns0:c>
      <ns0:c r="C220" s="0">
        <ns0:f>IF(OR(B220="",LEN(B220)&gt;24,ISNUMBER(FIND(" ",B220)),ISNUMBER(FIND("*",B220)),ISNUMBER(FIND("?",B220)),ISNUMBER(FIND("~",B220))),0,IFERROR(MATCH(B220,Team!$A$11:$A$60,0),0))</ns0:f>
        <ns0:v>0</ns0:v>
      </ns0:c>
      <ns0:c r="D220" s="0" t="str">
        <ns0:f>IFERROR(IF(MID(Bookings!F220,LEN(Bookings!F220)-3,3)=" · ",RIGHT(Bookings!F220,1),""),"")</ns0:f>
        <ns0:v/>
      </ns0:c>
      <ns0:c r="E220" s="0" t="str">
        <ns0:f>IFERROR(INDEX(Settings!$H$7:$H$11,MATCH(D220,Settings!$G$7:$G$11,0)),"")</ns0:f>
        <ns0:v/>
      </ns0:c>
      <ns0:c r="F220" s="0" t="str">
        <ns0:f>IF(A220=0,"",IFERROR(IF(OR(B220="",C220=0),"CHECK employee selection",IF(INDEX(Team!$O$11:$O$60,C220)&lt;&gt;"OK","CHECK employee setup",IF(OR('_Dates'!J220=0,'_Dates'!T220=0),"CHECK date: use DD.MM.YYYY",IF('_Dates'!T220&lt;'_Dates'!J220,"CHECK end before start",IF(AND($B$6=0,OR('_Dates'!J220&lt;Settings!$B$7,'_Dates'!T220&gt;Settings!$B$8)),"CHECK split across leave years",IF(OR(NOT(OR('_Dates'!U220="Full day",'_Dates'!U220="AM",'_Dates'!U220="PM")),NOT(OR('_Dates'!V220="Full day",'_Dates'!V220="AM",'_Dates'!V220="PM"))),"CHECK Full day / AM / PM",IF(AND('_Dates'!J220='_Dates'!T220,'_Dates'!U220&lt;&gt;"Full day",'_Dates'!V220&lt;&gt;"Full day",'_Dates'!U220&lt;&gt;'_Dates'!V220),"CHECK same-day portions disagree",IF(AND($B$6=0,OR(AND('_Dates'!U220&lt;&gt;"Full day",'_Dates'!AA220=0),AND('_Dates'!V220&lt;&gt;"Full day",'_Dates'!AB220=0))),"CHECK half-day on non-working date",IF(COUNTIF(Settings!$G$7:$G$11,D220)&lt;&gt;1,"CHECK leave type",IF(AND(Bookings!G220&lt;&gt;"Approved",Bookings!G220&lt;&gt;"Pending",Bookings!G220&lt;&gt;"Cancelled"),"CHECK status","OK")))))))))),"CHECK input"))</ns0:f>
        <ns0:v/>
      </ns0:c>
      <ns0:c r="G220" s="0">
        <ns0:f>IF(OR(F220&lt;&gt;"OK",$B$6&gt;0),0,0.5*(IF(('_Dates'!X220)&lt;('_Dates'!W220),0,INT((('_Dates'!X220)-('_Dates'!W220)+1)/7)*LEN(SUBSTITUTE(W220,"O",""))+LEN(SUBSTITUTE(MID(W220&amp;W220,WEEKDAY(('_Dates'!W220),2),MOD((('_Dates'!X220)-('_Dates'!W220)+1),7)),"O",""))-COUNTIFS(INDEX(AllClosureRows,C220,0),"&gt;="&amp;('_Dates'!W220),INDEX(AllClosureRows,C220,0),"&lt;="&amp;('_Dates'!X220)))+IF(('_Dates'!Z220)&lt;('_Dates'!Y220),0,INT((('_Dates'!Z220)-('_Dates'!Y220)+1)/7)*LEN(SUBSTITUTE(W220,"O",""))+LEN(SUBSTITUTE(MID(W220&amp;W220,WEEKDAY(('_Dates'!Y220),2),MOD((('_Dates'!Z220)-('_Dates'!Y220)+1),7)),"O",""))-COUNTIFS(INDEX(AllClosureRows,C220,0),"&gt;="&amp;('_Dates'!Y220),INDEX(AllClosureRows,C220,0),"&lt;="&amp;('_Dates'!Z220)))))</ns0:f>
        <ns0:v>0</ns0:v>
      </ns0:c>
      <ns0:c r="H220" s="0">
        <ns0:f>IF(OR(F220&lt;&gt;"OK",$B$6&gt;0),0,0.5*(IF((MIN('_Dates'!X220,Settings!$B$9))&lt;('_Dates'!W220),0,INT(((MIN('_Dates'!X220,Settings!$B$9))-('_Dates'!W220)+1)/7)*LEN(SUBSTITUTE(W220,"O",""))+LEN(SUBSTITUTE(MID(W220&amp;W220,WEEKDAY(('_Dates'!W220),2),MOD(((MIN('_Dates'!X220,Settings!$B$9))-('_Dates'!W220)+1),7)),"O",""))-COUNTIFS(INDEX(AllClosureRows,C220,0),"&gt;="&amp;('_Dates'!W220),INDEX(AllClosureRows,C220,0),"&lt;="&amp;(MIN('_Dates'!X220,Settings!$B$9))))+IF((MIN('_Dates'!Z220,Settings!$B$9))&lt;('_Dates'!Y220),0,INT(((MIN('_Dates'!Z220,Settings!$B$9))-('_Dates'!Y220)+1)/7)*LEN(SUBSTITUTE(W220,"O",""))+LEN(SUBSTITUTE(MID(W220&amp;W220,WEEKDAY(('_Dates'!Y220),2),MOD(((MIN('_Dates'!Z220,Settings!$B$9))-('_Dates'!Y220)+1),7)),"O",""))-COUNTIFS(INDEX(AllClosureRows,C220,0),"&gt;="&amp;('_Dates'!Y220),INDEX(AllClosureRows,C220,0),"&lt;="&amp;(MIN('_Dates'!Z220,Settings!$B$9))))))</ns0:f>
        <ns0:v>0</ns0:v>
      </ns0:c>
      <ns0:c r="I220" s="0">
        <ns0:f>MAX(0,G220-H220)</ns0:f>
        <ns0:v>0</ns0:v>
      </ns0:c>
      <ns0:c r="J220" s="0">
        <ns0:f>IF(OR(A220=0,F220&lt;&gt;"OK",Bookings!G220="Cancelled",$B$6&gt;0),0,IF('_Dates'!AC220=1,MAX(0,COUNTIFS(rngEngine_B,B220,rngAMStart,"&lt;="&amp;'_Dates'!X220,rngAMEnd,"&gt;="&amp;'_Dates'!W220,rngAMActive,1,rngEngine_F,"OK",rngBookings_F,"&lt;&gt;Cancelled")-1),0)+IF('_Dates'!AD220=1,MAX(0,COUNTIFS(rngEngine_B,B220,rngPMStart,"&lt;="&amp;'_Dates'!Z220,rngPMEnd,"&gt;="&amp;'_Dates'!Y220,rngPMActive,1,rngEngine_F,"OK",rngBookings_F,"&lt;&gt;Cancelled")-1),0))</ns0:f>
        <ns0:v>0</ns0:v>
      </ns0:c>
      <ns0:c r="K220" s="0" t="str">
        <ns0:f>IF(A220=0,"",IF(F220&lt;&gt;"OK",F220,IF(J220&gt;0,"CHECK overlapping entry",IF(AND($B$6=0,G220&lt;=0,Bookings!G220&lt;&gt;"Cancelled"),"CHECK no working days",IF(Bookings!G220="Cancelled","Cancelled","OK")))))</ns0:f>
        <ns0:v/>
      </ns0:c>
      <ns0:c r="L220" s="0">
        <ns0:f>IF(LEFT(K220,5)="CHECK",1,0)</ns0:f>
        <ns0:v>0</ns0:v>
      </ns0:c>
      <ns0:c r="M220" s="0">
        <ns0:f>IF(AND(L220=1,OR(C220=0,IFERROR(INDEX($X$11:$X$60,C220),0)=0)),1,0)</ns0:f>
        <ns0:v>0</ns0:v>
      </ns0:c>
      <ns0:c r="N220" s="0">
        <ns0:f>IF(OR(A220=0,L220&gt;0,$B$6&gt;0,Bookings!G220="Cancelled"),0,G220)</ns0:f>
        <ns0:v>0</ns0:v>
      </ns0:c>
      <ns0:c r="O220" s="0">
        <ns0:f>IF(AND(Bookings!G220="Approved",E220="Yes"),N220,0)</ns0:f>
        <ns0:v>0</ns0:v>
      </ns0:c>
      <ns0:c r="P220" s="0">
        <ns0:f>IF(AND(Bookings!G220="Approved",E220="Yes",L220=0,$B$6=0),H220,0)</ns0:f>
        <ns0:v>0</ns0:v>
      </ns0:c>
      <ns0:c r="Q220" s="0">
        <ns0:f>IF(AND(Bookings!G220="Approved",E220="Yes",L220=0,$B$6=0),I220,0)</ns0:f>
        <ns0:v>0</ns0:v>
      </ns0:c>
      <ns0:c r="R220" s="0">
        <ns0:f>IF(AND(Bookings!G220="Pending",E220="Yes"),N220,0)</ns0:f>
        <ns0:v>0</ns0:v>
      </ns0:c>
      <ns0:c r="S220" s="0">
        <ns0:f>IF(AND(Bookings!G220="Approved",E220="No"),N220,0)</ns0:f>
        <ns0:v>0</ns0:v>
      </ns0:c>
      <ns0:c r="T220" s="0">
        <ns0:f>IFERROR(MATCH(D220,Settings!$G$7:$G$11,0),0)</ns0:f>
        <ns0:v>0</ns0:v>
      </ns0:c>
      <ns0:c r="U220" s="0">
        <ns0:f>IF(N220&gt;0,T220+IF(Bookings!G220="Pending",10,0),0)</ns0:f>
        <ns0:v>0</ns0:v>
      </ns0:c>
      <ns0:c r="V220" s="0">
        <ns0:f>U220</ns0:f>
        <ns0:v>0</ns0:v>
      </ns0:c>
      <ns0:c r="W220" s="0" t="str">
        <ns0:f>IF(C220=0,"",INDEX($AP$11:$AP$60,C220))</ns0:f>
        <ns0:v/>
      </ns0:c>
    </ns0:row>
    <ns0:row r="221">
      <ns0:c r="A221" s="0">
        <ns0:f>IF(COUNTA(Bookings!A221:G221,Bookings!I221)=0,0,1)</ns0:f>
        <ns0:v>0</ns0:v>
      </ns0:c>
      <ns0:c r="B221" s="0" t="str">
        <ns0:f>IFERROR(TRIM(MID(Bookings!A221,FIND(" · ",Bookings!A221)+3,99)),"")</ns0:f>
        <ns0:v/>
      </ns0:c>
      <ns0:c r="C221" s="0">
        <ns0:f>IF(OR(B221="",LEN(B221)&gt;24,ISNUMBER(FIND(" ",B221)),ISNUMBER(FIND("*",B221)),ISNUMBER(FIND("?",B221)),ISNUMBER(FIND("~",B221))),0,IFERROR(MATCH(B221,Team!$A$11:$A$60,0),0))</ns0:f>
        <ns0:v>0</ns0:v>
      </ns0:c>
      <ns0:c r="D221" s="0" t="str">
        <ns0:f>IFERROR(IF(MID(Bookings!F221,LEN(Bookings!F221)-3,3)=" · ",RIGHT(Bookings!F221,1),""),"")</ns0:f>
        <ns0:v/>
      </ns0:c>
      <ns0:c r="E221" s="0" t="str">
        <ns0:f>IFERROR(INDEX(Settings!$H$7:$H$11,MATCH(D221,Settings!$G$7:$G$11,0)),"")</ns0:f>
        <ns0:v/>
      </ns0:c>
      <ns0:c r="F221" s="0" t="str">
        <ns0:f>IF(A221=0,"",IFERROR(IF(OR(B221="",C221=0),"CHECK employee selection",IF(INDEX(Team!$O$11:$O$60,C221)&lt;&gt;"OK","CHECK employee setup",IF(OR('_Dates'!J221=0,'_Dates'!T221=0),"CHECK date: use DD.MM.YYYY",IF('_Dates'!T221&lt;'_Dates'!J221,"CHECK end before start",IF(AND($B$6=0,OR('_Dates'!J221&lt;Settings!$B$7,'_Dates'!T221&gt;Settings!$B$8)),"CHECK split across leave years",IF(OR(NOT(OR('_Dates'!U221="Full day",'_Dates'!U221="AM",'_Dates'!U221="PM")),NOT(OR('_Dates'!V221="Full day",'_Dates'!V221="AM",'_Dates'!V221="PM"))),"CHECK Full day / AM / PM",IF(AND('_Dates'!J221='_Dates'!T221,'_Dates'!U221&lt;&gt;"Full day",'_Dates'!V221&lt;&gt;"Full day",'_Dates'!U221&lt;&gt;'_Dates'!V221),"CHECK same-day portions disagree",IF(AND($B$6=0,OR(AND('_Dates'!U221&lt;&gt;"Full day",'_Dates'!AA221=0),AND('_Dates'!V221&lt;&gt;"Full day",'_Dates'!AB221=0))),"CHECK half-day on non-working date",IF(COUNTIF(Settings!$G$7:$G$11,D221)&lt;&gt;1,"CHECK leave type",IF(AND(Bookings!G221&lt;&gt;"Approved",Bookings!G221&lt;&gt;"Pending",Bookings!G221&lt;&gt;"Cancelled"),"CHECK status","OK")))))))))),"CHECK input"))</ns0:f>
        <ns0:v/>
      </ns0:c>
      <ns0:c r="G221" s="0">
        <ns0:f>IF(OR(F221&lt;&gt;"OK",$B$6&gt;0),0,0.5*(IF(('_Dates'!X221)&lt;('_Dates'!W221),0,INT((('_Dates'!X221)-('_Dates'!W221)+1)/7)*LEN(SUBSTITUTE(W221,"O",""))+LEN(SUBSTITUTE(MID(W221&amp;W221,WEEKDAY(('_Dates'!W221),2),MOD((('_Dates'!X221)-('_Dates'!W221)+1),7)),"O",""))-COUNTIFS(INDEX(AllClosureRows,C221,0),"&gt;="&amp;('_Dates'!W221),INDEX(AllClosureRows,C221,0),"&lt;="&amp;('_Dates'!X221)))+IF(('_Dates'!Z221)&lt;('_Dates'!Y221),0,INT((('_Dates'!Z221)-('_Dates'!Y221)+1)/7)*LEN(SUBSTITUTE(W221,"O",""))+LEN(SUBSTITUTE(MID(W221&amp;W221,WEEKDAY(('_Dates'!Y221),2),MOD((('_Dates'!Z221)-('_Dates'!Y221)+1),7)),"O",""))-COUNTIFS(INDEX(AllClosureRows,C221,0),"&gt;="&amp;('_Dates'!Y221),INDEX(AllClosureRows,C221,0),"&lt;="&amp;('_Dates'!Z221)))))</ns0:f>
        <ns0:v>0</ns0:v>
      </ns0:c>
      <ns0:c r="H221" s="0">
        <ns0:f>IF(OR(F221&lt;&gt;"OK",$B$6&gt;0),0,0.5*(IF((MIN('_Dates'!X221,Settings!$B$9))&lt;('_Dates'!W221),0,INT(((MIN('_Dates'!X221,Settings!$B$9))-('_Dates'!W221)+1)/7)*LEN(SUBSTITUTE(W221,"O",""))+LEN(SUBSTITUTE(MID(W221&amp;W221,WEEKDAY(('_Dates'!W221),2),MOD(((MIN('_Dates'!X221,Settings!$B$9))-('_Dates'!W221)+1),7)),"O",""))-COUNTIFS(INDEX(AllClosureRows,C221,0),"&gt;="&amp;('_Dates'!W221),INDEX(AllClosureRows,C221,0),"&lt;="&amp;(MIN('_Dates'!X221,Settings!$B$9))))+IF((MIN('_Dates'!Z221,Settings!$B$9))&lt;('_Dates'!Y221),0,INT(((MIN('_Dates'!Z221,Settings!$B$9))-('_Dates'!Y221)+1)/7)*LEN(SUBSTITUTE(W221,"O",""))+LEN(SUBSTITUTE(MID(W221&amp;W221,WEEKDAY(('_Dates'!Y221),2),MOD(((MIN('_Dates'!Z221,Settings!$B$9))-('_Dates'!Y221)+1),7)),"O",""))-COUNTIFS(INDEX(AllClosureRows,C221,0),"&gt;="&amp;('_Dates'!Y221),INDEX(AllClosureRows,C221,0),"&lt;="&amp;(MIN('_Dates'!Z221,Settings!$B$9))))))</ns0:f>
        <ns0:v>0</ns0:v>
      </ns0:c>
      <ns0:c r="I221" s="0">
        <ns0:f>MAX(0,G221-H221)</ns0:f>
        <ns0:v>0</ns0:v>
      </ns0:c>
      <ns0:c r="J221" s="0">
        <ns0:f>IF(OR(A221=0,F221&lt;&gt;"OK",Bookings!G221="Cancelled",$B$6&gt;0),0,IF('_Dates'!AC221=1,MAX(0,COUNTIFS(rngEngine_B,B221,rngAMStart,"&lt;="&amp;'_Dates'!X221,rngAMEnd,"&gt;="&amp;'_Dates'!W221,rngAMActive,1,rngEngine_F,"OK",rngBookings_F,"&lt;&gt;Cancelled")-1),0)+IF('_Dates'!AD221=1,MAX(0,COUNTIFS(rngEngine_B,B221,rngPMStart,"&lt;="&amp;'_Dates'!Z221,rngPMEnd,"&gt;="&amp;'_Dates'!Y221,rngPMActive,1,rngEngine_F,"OK",rngBookings_F,"&lt;&gt;Cancelled")-1),0))</ns0:f>
        <ns0:v>0</ns0:v>
      </ns0:c>
      <ns0:c r="K221" s="0" t="str">
        <ns0:f>IF(A221=0,"",IF(F221&lt;&gt;"OK",F221,IF(J221&gt;0,"CHECK overlapping entry",IF(AND($B$6=0,G221&lt;=0,Bookings!G221&lt;&gt;"Cancelled"),"CHECK no working days",IF(Bookings!G221="Cancelled","Cancelled","OK")))))</ns0:f>
        <ns0:v/>
      </ns0:c>
      <ns0:c r="L221" s="0">
        <ns0:f>IF(LEFT(K221,5)="CHECK",1,0)</ns0:f>
        <ns0:v>0</ns0:v>
      </ns0:c>
      <ns0:c r="M221" s="0">
        <ns0:f>IF(AND(L221=1,OR(C221=0,IFERROR(INDEX($X$11:$X$60,C221),0)=0)),1,0)</ns0:f>
        <ns0:v>0</ns0:v>
      </ns0:c>
      <ns0:c r="N221" s="0">
        <ns0:f>IF(OR(A221=0,L221&gt;0,$B$6&gt;0,Bookings!G221="Cancelled"),0,G221)</ns0:f>
        <ns0:v>0</ns0:v>
      </ns0:c>
      <ns0:c r="O221" s="0">
        <ns0:f>IF(AND(Bookings!G221="Approved",E221="Yes"),N221,0)</ns0:f>
        <ns0:v>0</ns0:v>
      </ns0:c>
      <ns0:c r="P221" s="0">
        <ns0:f>IF(AND(Bookings!G221="Approved",E221="Yes",L221=0,$B$6=0),H221,0)</ns0:f>
        <ns0:v>0</ns0:v>
      </ns0:c>
      <ns0:c r="Q221" s="0">
        <ns0:f>IF(AND(Bookings!G221="Approved",E221="Yes",L221=0,$B$6=0),I221,0)</ns0:f>
        <ns0:v>0</ns0:v>
      </ns0:c>
      <ns0:c r="R221" s="0">
        <ns0:f>IF(AND(Bookings!G221="Pending",E221="Yes"),N221,0)</ns0:f>
        <ns0:v>0</ns0:v>
      </ns0:c>
      <ns0:c r="S221" s="0">
        <ns0:f>IF(AND(Bookings!G221="Approved",E221="No"),N221,0)</ns0:f>
        <ns0:v>0</ns0:v>
      </ns0:c>
      <ns0:c r="T221" s="0">
        <ns0:f>IFERROR(MATCH(D221,Settings!$G$7:$G$11,0),0)</ns0:f>
        <ns0:v>0</ns0:v>
      </ns0:c>
      <ns0:c r="U221" s="0">
        <ns0:f>IF(N221&gt;0,T221+IF(Bookings!G221="Pending",10,0),0)</ns0:f>
        <ns0:v>0</ns0:v>
      </ns0:c>
      <ns0:c r="V221" s="0">
        <ns0:f>U221</ns0:f>
        <ns0:v>0</ns0:v>
      </ns0:c>
      <ns0:c r="W221" s="0" t="str">
        <ns0:f>IF(C221=0,"",INDEX($AP$11:$AP$60,C221))</ns0:f>
        <ns0:v/>
      </ns0:c>
    </ns0:row>
    <ns0:row r="222">
      <ns0:c r="A222" s="0">
        <ns0:f>IF(COUNTA(Bookings!A222:G222,Bookings!I222)=0,0,1)</ns0:f>
        <ns0:v>0</ns0:v>
      </ns0:c>
      <ns0:c r="B222" s="0" t="str">
        <ns0:f>IFERROR(TRIM(MID(Bookings!A222,FIND(" · ",Bookings!A222)+3,99)),"")</ns0:f>
        <ns0:v/>
      </ns0:c>
      <ns0:c r="C222" s="0">
        <ns0:f>IF(OR(B222="",LEN(B222)&gt;24,ISNUMBER(FIND(" ",B222)),ISNUMBER(FIND("*",B222)),ISNUMBER(FIND("?",B222)),ISNUMBER(FIND("~",B222))),0,IFERROR(MATCH(B222,Team!$A$11:$A$60,0),0))</ns0:f>
        <ns0:v>0</ns0:v>
      </ns0:c>
      <ns0:c r="D222" s="0" t="str">
        <ns0:f>IFERROR(IF(MID(Bookings!F222,LEN(Bookings!F222)-3,3)=" · ",RIGHT(Bookings!F222,1),""),"")</ns0:f>
        <ns0:v/>
      </ns0:c>
      <ns0:c r="E222" s="0" t="str">
        <ns0:f>IFERROR(INDEX(Settings!$H$7:$H$11,MATCH(D222,Settings!$G$7:$G$11,0)),"")</ns0:f>
        <ns0:v/>
      </ns0:c>
      <ns0:c r="F222" s="0" t="str">
        <ns0:f>IF(A222=0,"",IFERROR(IF(OR(B222="",C222=0),"CHECK employee selection",IF(INDEX(Team!$O$11:$O$60,C222)&lt;&gt;"OK","CHECK employee setup",IF(OR('_Dates'!J222=0,'_Dates'!T222=0),"CHECK date: use DD.MM.YYYY",IF('_Dates'!T222&lt;'_Dates'!J222,"CHECK end before start",IF(AND($B$6=0,OR('_Dates'!J222&lt;Settings!$B$7,'_Dates'!T222&gt;Settings!$B$8)),"CHECK split across leave years",IF(OR(NOT(OR('_Dates'!U222="Full day",'_Dates'!U222="AM",'_Dates'!U222="PM")),NOT(OR('_Dates'!V222="Full day",'_Dates'!V222="AM",'_Dates'!V222="PM"))),"CHECK Full day / AM / PM",IF(AND('_Dates'!J222='_Dates'!T222,'_Dates'!U222&lt;&gt;"Full day",'_Dates'!V222&lt;&gt;"Full day",'_Dates'!U222&lt;&gt;'_Dates'!V222),"CHECK same-day portions disagree",IF(AND($B$6=0,OR(AND('_Dates'!U222&lt;&gt;"Full day",'_Dates'!AA222=0),AND('_Dates'!V222&lt;&gt;"Full day",'_Dates'!AB222=0))),"CHECK half-day on non-working date",IF(COUNTIF(Settings!$G$7:$G$11,D222)&lt;&gt;1,"CHECK leave type",IF(AND(Bookings!G222&lt;&gt;"Approved",Bookings!G222&lt;&gt;"Pending",Bookings!G222&lt;&gt;"Cancelled"),"CHECK status","OK")))))))))),"CHECK input"))</ns0:f>
        <ns0:v/>
      </ns0:c>
      <ns0:c r="G222" s="0">
        <ns0:f>IF(OR(F222&lt;&gt;"OK",$B$6&gt;0),0,0.5*(IF(('_Dates'!X222)&lt;('_Dates'!W222),0,INT((('_Dates'!X222)-('_Dates'!W222)+1)/7)*LEN(SUBSTITUTE(W222,"O",""))+LEN(SUBSTITUTE(MID(W222&amp;W222,WEEKDAY(('_Dates'!W222),2),MOD((('_Dates'!X222)-('_Dates'!W222)+1),7)),"O",""))-COUNTIFS(INDEX(AllClosureRows,C222,0),"&gt;="&amp;('_Dates'!W222),INDEX(AllClosureRows,C222,0),"&lt;="&amp;('_Dates'!X222)))+IF(('_Dates'!Z222)&lt;('_Dates'!Y222),0,INT((('_Dates'!Z222)-('_Dates'!Y222)+1)/7)*LEN(SUBSTITUTE(W222,"O",""))+LEN(SUBSTITUTE(MID(W222&amp;W222,WEEKDAY(('_Dates'!Y222),2),MOD((('_Dates'!Z222)-('_Dates'!Y222)+1),7)),"O",""))-COUNTIFS(INDEX(AllClosureRows,C222,0),"&gt;="&amp;('_Dates'!Y222),INDEX(AllClosureRows,C222,0),"&lt;="&amp;('_Dates'!Z222)))))</ns0:f>
        <ns0:v>0</ns0:v>
      </ns0:c>
      <ns0:c r="H222" s="0">
        <ns0:f>IF(OR(F222&lt;&gt;"OK",$B$6&gt;0),0,0.5*(IF((MIN('_Dates'!X222,Settings!$B$9))&lt;('_Dates'!W222),0,INT(((MIN('_Dates'!X222,Settings!$B$9))-('_Dates'!W222)+1)/7)*LEN(SUBSTITUTE(W222,"O",""))+LEN(SUBSTITUTE(MID(W222&amp;W222,WEEKDAY(('_Dates'!W222),2),MOD(((MIN('_Dates'!X222,Settings!$B$9))-('_Dates'!W222)+1),7)),"O",""))-COUNTIFS(INDEX(AllClosureRows,C222,0),"&gt;="&amp;('_Dates'!W222),INDEX(AllClosureRows,C222,0),"&lt;="&amp;(MIN('_Dates'!X222,Settings!$B$9))))+IF((MIN('_Dates'!Z222,Settings!$B$9))&lt;('_Dates'!Y222),0,INT(((MIN('_Dates'!Z222,Settings!$B$9))-('_Dates'!Y222)+1)/7)*LEN(SUBSTITUTE(W222,"O",""))+LEN(SUBSTITUTE(MID(W222&amp;W222,WEEKDAY(('_Dates'!Y222),2),MOD(((MIN('_Dates'!Z222,Settings!$B$9))-('_Dates'!Y222)+1),7)),"O",""))-COUNTIFS(INDEX(AllClosureRows,C222,0),"&gt;="&amp;('_Dates'!Y222),INDEX(AllClosureRows,C222,0),"&lt;="&amp;(MIN('_Dates'!Z222,Settings!$B$9))))))</ns0:f>
        <ns0:v>0</ns0:v>
      </ns0:c>
      <ns0:c r="I222" s="0">
        <ns0:f>MAX(0,G222-H222)</ns0:f>
        <ns0:v>0</ns0:v>
      </ns0:c>
      <ns0:c r="J222" s="0">
        <ns0:f>IF(OR(A222=0,F222&lt;&gt;"OK",Bookings!G222="Cancelled",$B$6&gt;0),0,IF('_Dates'!AC222=1,MAX(0,COUNTIFS(rngEngine_B,B222,rngAMStart,"&lt;="&amp;'_Dates'!X222,rngAMEnd,"&gt;="&amp;'_Dates'!W222,rngAMActive,1,rngEngine_F,"OK",rngBookings_F,"&lt;&gt;Cancelled")-1),0)+IF('_Dates'!AD222=1,MAX(0,COUNTIFS(rngEngine_B,B222,rngPMStart,"&lt;="&amp;'_Dates'!Z222,rngPMEnd,"&gt;="&amp;'_Dates'!Y222,rngPMActive,1,rngEngine_F,"OK",rngBookings_F,"&lt;&gt;Cancelled")-1),0))</ns0:f>
        <ns0:v>0</ns0:v>
      </ns0:c>
      <ns0:c r="K222" s="0" t="str">
        <ns0:f>IF(A222=0,"",IF(F222&lt;&gt;"OK",F222,IF(J222&gt;0,"CHECK overlapping entry",IF(AND($B$6=0,G222&lt;=0,Bookings!G222&lt;&gt;"Cancelled"),"CHECK no working days",IF(Bookings!G222="Cancelled","Cancelled","OK")))))</ns0:f>
        <ns0:v/>
      </ns0:c>
      <ns0:c r="L222" s="0">
        <ns0:f>IF(LEFT(K222,5)="CHECK",1,0)</ns0:f>
        <ns0:v>0</ns0:v>
      </ns0:c>
      <ns0:c r="M222" s="0">
        <ns0:f>IF(AND(L222=1,OR(C222=0,IFERROR(INDEX($X$11:$X$60,C222),0)=0)),1,0)</ns0:f>
        <ns0:v>0</ns0:v>
      </ns0:c>
      <ns0:c r="N222" s="0">
        <ns0:f>IF(OR(A222=0,L222&gt;0,$B$6&gt;0,Bookings!G222="Cancelled"),0,G222)</ns0:f>
        <ns0:v>0</ns0:v>
      </ns0:c>
      <ns0:c r="O222" s="0">
        <ns0:f>IF(AND(Bookings!G222="Approved",E222="Yes"),N222,0)</ns0:f>
        <ns0:v>0</ns0:v>
      </ns0:c>
      <ns0:c r="P222" s="0">
        <ns0:f>IF(AND(Bookings!G222="Approved",E222="Yes",L222=0,$B$6=0),H222,0)</ns0:f>
        <ns0:v>0</ns0:v>
      </ns0:c>
      <ns0:c r="Q222" s="0">
        <ns0:f>IF(AND(Bookings!G222="Approved",E222="Yes",L222=0,$B$6=0),I222,0)</ns0:f>
        <ns0:v>0</ns0:v>
      </ns0:c>
      <ns0:c r="R222" s="0">
        <ns0:f>IF(AND(Bookings!G222="Pending",E222="Yes"),N222,0)</ns0:f>
        <ns0:v>0</ns0:v>
      </ns0:c>
      <ns0:c r="S222" s="0">
        <ns0:f>IF(AND(Bookings!G222="Approved",E222="No"),N222,0)</ns0:f>
        <ns0:v>0</ns0:v>
      </ns0:c>
      <ns0:c r="T222" s="0">
        <ns0:f>IFERROR(MATCH(D222,Settings!$G$7:$G$11,0),0)</ns0:f>
        <ns0:v>0</ns0:v>
      </ns0:c>
      <ns0:c r="U222" s="0">
        <ns0:f>IF(N222&gt;0,T222+IF(Bookings!G222="Pending",10,0),0)</ns0:f>
        <ns0:v>0</ns0:v>
      </ns0:c>
      <ns0:c r="V222" s="0">
        <ns0:f>U222</ns0:f>
        <ns0:v>0</ns0:v>
      </ns0:c>
      <ns0:c r="W222" s="0" t="str">
        <ns0:f>IF(C222=0,"",INDEX($AP$11:$AP$60,C222))</ns0:f>
        <ns0:v/>
      </ns0:c>
    </ns0:row>
    <ns0:row r="223">
      <ns0:c r="A223" s="0">
        <ns0:f>IF(COUNTA(Bookings!A223:G223,Bookings!I223)=0,0,1)</ns0:f>
        <ns0:v>0</ns0:v>
      </ns0:c>
      <ns0:c r="B223" s="0" t="str">
        <ns0:f>IFERROR(TRIM(MID(Bookings!A223,FIND(" · ",Bookings!A223)+3,99)),"")</ns0:f>
        <ns0:v/>
      </ns0:c>
      <ns0:c r="C223" s="0">
        <ns0:f>IF(OR(B223="",LEN(B223)&gt;24,ISNUMBER(FIND(" ",B223)),ISNUMBER(FIND("*",B223)),ISNUMBER(FIND("?",B223)),ISNUMBER(FIND("~",B223))),0,IFERROR(MATCH(B223,Team!$A$11:$A$60,0),0))</ns0:f>
        <ns0:v>0</ns0:v>
      </ns0:c>
      <ns0:c r="D223" s="0" t="str">
        <ns0:f>IFERROR(IF(MID(Bookings!F223,LEN(Bookings!F223)-3,3)=" · ",RIGHT(Bookings!F223,1),""),"")</ns0:f>
        <ns0:v/>
      </ns0:c>
      <ns0:c r="E223" s="0" t="str">
        <ns0:f>IFERROR(INDEX(Settings!$H$7:$H$11,MATCH(D223,Settings!$G$7:$G$11,0)),"")</ns0:f>
        <ns0:v/>
      </ns0:c>
      <ns0:c r="F223" s="0" t="str">
        <ns0:f>IF(A223=0,"",IFERROR(IF(OR(B223="",C223=0),"CHECK employee selection",IF(INDEX(Team!$O$11:$O$60,C223)&lt;&gt;"OK","CHECK employee setup",IF(OR('_Dates'!J223=0,'_Dates'!T223=0),"CHECK date: use DD.MM.YYYY",IF('_Dates'!T223&lt;'_Dates'!J223,"CHECK end before start",IF(AND($B$6=0,OR('_Dates'!J223&lt;Settings!$B$7,'_Dates'!T223&gt;Settings!$B$8)),"CHECK split across leave years",IF(OR(NOT(OR('_Dates'!U223="Full day",'_Dates'!U223="AM",'_Dates'!U223="PM")),NOT(OR('_Dates'!V223="Full day",'_Dates'!V223="AM",'_Dates'!V223="PM"))),"CHECK Full day / AM / PM",IF(AND('_Dates'!J223='_Dates'!T223,'_Dates'!U223&lt;&gt;"Full day",'_Dates'!V223&lt;&gt;"Full day",'_Dates'!U223&lt;&gt;'_Dates'!V223),"CHECK same-day portions disagree",IF(AND($B$6=0,OR(AND('_Dates'!U223&lt;&gt;"Full day",'_Dates'!AA223=0),AND('_Dates'!V223&lt;&gt;"Full day",'_Dates'!AB223=0))),"CHECK half-day on non-working date",IF(COUNTIF(Settings!$G$7:$G$11,D223)&lt;&gt;1,"CHECK leave type",IF(AND(Bookings!G223&lt;&gt;"Approved",Bookings!G223&lt;&gt;"Pending",Bookings!G223&lt;&gt;"Cancelled"),"CHECK status","OK")))))))))),"CHECK input"))</ns0:f>
        <ns0:v/>
      </ns0:c>
      <ns0:c r="G223" s="0">
        <ns0:f>IF(OR(F223&lt;&gt;"OK",$B$6&gt;0),0,0.5*(IF(('_Dates'!X223)&lt;('_Dates'!W223),0,INT((('_Dates'!X223)-('_Dates'!W223)+1)/7)*LEN(SUBSTITUTE(W223,"O",""))+LEN(SUBSTITUTE(MID(W223&amp;W223,WEEKDAY(('_Dates'!W223),2),MOD((('_Dates'!X223)-('_Dates'!W223)+1),7)),"O",""))-COUNTIFS(INDEX(AllClosureRows,C223,0),"&gt;="&amp;('_Dates'!W223),INDEX(AllClosureRows,C223,0),"&lt;="&amp;('_Dates'!X223)))+IF(('_Dates'!Z223)&lt;('_Dates'!Y223),0,INT((('_Dates'!Z223)-('_Dates'!Y223)+1)/7)*LEN(SUBSTITUTE(W223,"O",""))+LEN(SUBSTITUTE(MID(W223&amp;W223,WEEKDAY(('_Dates'!Y223),2),MOD((('_Dates'!Z223)-('_Dates'!Y223)+1),7)),"O",""))-COUNTIFS(INDEX(AllClosureRows,C223,0),"&gt;="&amp;('_Dates'!Y223),INDEX(AllClosureRows,C223,0),"&lt;="&amp;('_Dates'!Z223)))))</ns0:f>
        <ns0:v>0</ns0:v>
      </ns0:c>
      <ns0:c r="H223" s="0">
        <ns0:f>IF(OR(F223&lt;&gt;"OK",$B$6&gt;0),0,0.5*(IF((MIN('_Dates'!X223,Settings!$B$9))&lt;('_Dates'!W223),0,INT(((MIN('_Dates'!X223,Settings!$B$9))-('_Dates'!W223)+1)/7)*LEN(SUBSTITUTE(W223,"O",""))+LEN(SUBSTITUTE(MID(W223&amp;W223,WEEKDAY(('_Dates'!W223),2),MOD(((MIN('_Dates'!X223,Settings!$B$9))-('_Dates'!W223)+1),7)),"O",""))-COUNTIFS(INDEX(AllClosureRows,C223,0),"&gt;="&amp;('_Dates'!W223),INDEX(AllClosureRows,C223,0),"&lt;="&amp;(MIN('_Dates'!X223,Settings!$B$9))))+IF((MIN('_Dates'!Z223,Settings!$B$9))&lt;('_Dates'!Y223),0,INT(((MIN('_Dates'!Z223,Settings!$B$9))-('_Dates'!Y223)+1)/7)*LEN(SUBSTITUTE(W223,"O",""))+LEN(SUBSTITUTE(MID(W223&amp;W223,WEEKDAY(('_Dates'!Y223),2),MOD(((MIN('_Dates'!Z223,Settings!$B$9))-('_Dates'!Y223)+1),7)),"O",""))-COUNTIFS(INDEX(AllClosureRows,C223,0),"&gt;="&amp;('_Dates'!Y223),INDEX(AllClosureRows,C223,0),"&lt;="&amp;(MIN('_Dates'!Z223,Settings!$B$9))))))</ns0:f>
        <ns0:v>0</ns0:v>
      </ns0:c>
      <ns0:c r="I223" s="0">
        <ns0:f>MAX(0,G223-H223)</ns0:f>
        <ns0:v>0</ns0:v>
      </ns0:c>
      <ns0:c r="J223" s="0">
        <ns0:f>IF(OR(A223=0,F223&lt;&gt;"OK",Bookings!G223="Cancelled",$B$6&gt;0),0,IF('_Dates'!AC223=1,MAX(0,COUNTIFS(rngEngine_B,B223,rngAMStart,"&lt;="&amp;'_Dates'!X223,rngAMEnd,"&gt;="&amp;'_Dates'!W223,rngAMActive,1,rngEngine_F,"OK",rngBookings_F,"&lt;&gt;Cancelled")-1),0)+IF('_Dates'!AD223=1,MAX(0,COUNTIFS(rngEngine_B,B223,rngPMStart,"&lt;="&amp;'_Dates'!Z223,rngPMEnd,"&gt;="&amp;'_Dates'!Y223,rngPMActive,1,rngEngine_F,"OK",rngBookings_F,"&lt;&gt;Cancelled")-1),0))</ns0:f>
        <ns0:v>0</ns0:v>
      </ns0:c>
      <ns0:c r="K223" s="0" t="str">
        <ns0:f>IF(A223=0,"",IF(F223&lt;&gt;"OK",F223,IF(J223&gt;0,"CHECK overlapping entry",IF(AND($B$6=0,G223&lt;=0,Bookings!G223&lt;&gt;"Cancelled"),"CHECK no working days",IF(Bookings!G223="Cancelled","Cancelled","OK")))))</ns0:f>
        <ns0:v/>
      </ns0:c>
      <ns0:c r="L223" s="0">
        <ns0:f>IF(LEFT(K223,5)="CHECK",1,0)</ns0:f>
        <ns0:v>0</ns0:v>
      </ns0:c>
      <ns0:c r="M223" s="0">
        <ns0:f>IF(AND(L223=1,OR(C223=0,IFERROR(INDEX($X$11:$X$60,C223),0)=0)),1,0)</ns0:f>
        <ns0:v>0</ns0:v>
      </ns0:c>
      <ns0:c r="N223" s="0">
        <ns0:f>IF(OR(A223=0,L223&gt;0,$B$6&gt;0,Bookings!G223="Cancelled"),0,G223)</ns0:f>
        <ns0:v>0</ns0:v>
      </ns0:c>
      <ns0:c r="O223" s="0">
        <ns0:f>IF(AND(Bookings!G223="Approved",E223="Yes"),N223,0)</ns0:f>
        <ns0:v>0</ns0:v>
      </ns0:c>
      <ns0:c r="P223" s="0">
        <ns0:f>IF(AND(Bookings!G223="Approved",E223="Yes",L223=0,$B$6=0),H223,0)</ns0:f>
        <ns0:v>0</ns0:v>
      </ns0:c>
      <ns0:c r="Q223" s="0">
        <ns0:f>IF(AND(Bookings!G223="Approved",E223="Yes",L223=0,$B$6=0),I223,0)</ns0:f>
        <ns0:v>0</ns0:v>
      </ns0:c>
      <ns0:c r="R223" s="0">
        <ns0:f>IF(AND(Bookings!G223="Pending",E223="Yes"),N223,0)</ns0:f>
        <ns0:v>0</ns0:v>
      </ns0:c>
      <ns0:c r="S223" s="0">
        <ns0:f>IF(AND(Bookings!G223="Approved",E223="No"),N223,0)</ns0:f>
        <ns0:v>0</ns0:v>
      </ns0:c>
      <ns0:c r="T223" s="0">
        <ns0:f>IFERROR(MATCH(D223,Settings!$G$7:$G$11,0),0)</ns0:f>
        <ns0:v>0</ns0:v>
      </ns0:c>
      <ns0:c r="U223" s="0">
        <ns0:f>IF(N223&gt;0,T223+IF(Bookings!G223="Pending",10,0),0)</ns0:f>
        <ns0:v>0</ns0:v>
      </ns0:c>
      <ns0:c r="V223" s="0">
        <ns0:f>U223</ns0:f>
        <ns0:v>0</ns0:v>
      </ns0:c>
      <ns0:c r="W223" s="0" t="str">
        <ns0:f>IF(C223=0,"",INDEX($AP$11:$AP$60,C223))</ns0:f>
        <ns0:v/>
      </ns0:c>
    </ns0:row>
    <ns0:row r="224">
      <ns0:c r="A224" s="0">
        <ns0:f>IF(COUNTA(Bookings!A224:G224,Bookings!I224)=0,0,1)</ns0:f>
        <ns0:v>0</ns0:v>
      </ns0:c>
      <ns0:c r="B224" s="0" t="str">
        <ns0:f>IFERROR(TRIM(MID(Bookings!A224,FIND(" · ",Bookings!A224)+3,99)),"")</ns0:f>
        <ns0:v/>
      </ns0:c>
      <ns0:c r="C224" s="0">
        <ns0:f>IF(OR(B224="",LEN(B224)&gt;24,ISNUMBER(FIND(" ",B224)),ISNUMBER(FIND("*",B224)),ISNUMBER(FIND("?",B224)),ISNUMBER(FIND("~",B224))),0,IFERROR(MATCH(B224,Team!$A$11:$A$60,0),0))</ns0:f>
        <ns0:v>0</ns0:v>
      </ns0:c>
      <ns0:c r="D224" s="0" t="str">
        <ns0:f>IFERROR(IF(MID(Bookings!F224,LEN(Bookings!F224)-3,3)=" · ",RIGHT(Bookings!F224,1),""),"")</ns0:f>
        <ns0:v/>
      </ns0:c>
      <ns0:c r="E224" s="0" t="str">
        <ns0:f>IFERROR(INDEX(Settings!$H$7:$H$11,MATCH(D224,Settings!$G$7:$G$11,0)),"")</ns0:f>
        <ns0:v/>
      </ns0:c>
      <ns0:c r="F224" s="0" t="str">
        <ns0:f>IF(A224=0,"",IFERROR(IF(OR(B224="",C224=0),"CHECK employee selection",IF(INDEX(Team!$O$11:$O$60,C224)&lt;&gt;"OK","CHECK employee setup",IF(OR('_Dates'!J224=0,'_Dates'!T224=0),"CHECK date: use DD.MM.YYYY",IF('_Dates'!T224&lt;'_Dates'!J224,"CHECK end before start",IF(AND($B$6=0,OR('_Dates'!J224&lt;Settings!$B$7,'_Dates'!T224&gt;Settings!$B$8)),"CHECK split across leave years",IF(OR(NOT(OR('_Dates'!U224="Full day",'_Dates'!U224="AM",'_Dates'!U224="PM")),NOT(OR('_Dates'!V224="Full day",'_Dates'!V224="AM",'_Dates'!V224="PM"))),"CHECK Full day / AM / PM",IF(AND('_Dates'!J224='_Dates'!T224,'_Dates'!U224&lt;&gt;"Full day",'_Dates'!V224&lt;&gt;"Full day",'_Dates'!U224&lt;&gt;'_Dates'!V224),"CHECK same-day portions disagree",IF(AND($B$6=0,OR(AND('_Dates'!U224&lt;&gt;"Full day",'_Dates'!AA224=0),AND('_Dates'!V224&lt;&gt;"Full day",'_Dates'!AB224=0))),"CHECK half-day on non-working date",IF(COUNTIF(Settings!$G$7:$G$11,D224)&lt;&gt;1,"CHECK leave type",IF(AND(Bookings!G224&lt;&gt;"Approved",Bookings!G224&lt;&gt;"Pending",Bookings!G224&lt;&gt;"Cancelled"),"CHECK status","OK")))))))))),"CHECK input"))</ns0:f>
        <ns0:v/>
      </ns0:c>
      <ns0:c r="G224" s="0">
        <ns0:f>IF(OR(F224&lt;&gt;"OK",$B$6&gt;0),0,0.5*(IF(('_Dates'!X224)&lt;('_Dates'!W224),0,INT((('_Dates'!X224)-('_Dates'!W224)+1)/7)*LEN(SUBSTITUTE(W224,"O",""))+LEN(SUBSTITUTE(MID(W224&amp;W224,WEEKDAY(('_Dates'!W224),2),MOD((('_Dates'!X224)-('_Dates'!W224)+1),7)),"O",""))-COUNTIFS(INDEX(AllClosureRows,C224,0),"&gt;="&amp;('_Dates'!W224),INDEX(AllClosureRows,C224,0),"&lt;="&amp;('_Dates'!X224)))+IF(('_Dates'!Z224)&lt;('_Dates'!Y224),0,INT((('_Dates'!Z224)-('_Dates'!Y224)+1)/7)*LEN(SUBSTITUTE(W224,"O",""))+LEN(SUBSTITUTE(MID(W224&amp;W224,WEEKDAY(('_Dates'!Y224),2),MOD((('_Dates'!Z224)-('_Dates'!Y224)+1),7)),"O",""))-COUNTIFS(INDEX(AllClosureRows,C224,0),"&gt;="&amp;('_Dates'!Y224),INDEX(AllClosureRows,C224,0),"&lt;="&amp;('_Dates'!Z224)))))</ns0:f>
        <ns0:v>0</ns0:v>
      </ns0:c>
      <ns0:c r="H224" s="0">
        <ns0:f>IF(OR(F224&lt;&gt;"OK",$B$6&gt;0),0,0.5*(IF((MIN('_Dates'!X224,Settings!$B$9))&lt;('_Dates'!W224),0,INT(((MIN('_Dates'!X224,Settings!$B$9))-('_Dates'!W224)+1)/7)*LEN(SUBSTITUTE(W224,"O",""))+LEN(SUBSTITUTE(MID(W224&amp;W224,WEEKDAY(('_Dates'!W224),2),MOD(((MIN('_Dates'!X224,Settings!$B$9))-('_Dates'!W224)+1),7)),"O",""))-COUNTIFS(INDEX(AllClosureRows,C224,0),"&gt;="&amp;('_Dates'!W224),INDEX(AllClosureRows,C224,0),"&lt;="&amp;(MIN('_Dates'!X224,Settings!$B$9))))+IF((MIN('_Dates'!Z224,Settings!$B$9))&lt;('_Dates'!Y224),0,INT(((MIN('_Dates'!Z224,Settings!$B$9))-('_Dates'!Y224)+1)/7)*LEN(SUBSTITUTE(W224,"O",""))+LEN(SUBSTITUTE(MID(W224&amp;W224,WEEKDAY(('_Dates'!Y224),2),MOD(((MIN('_Dates'!Z224,Settings!$B$9))-('_Dates'!Y224)+1),7)),"O",""))-COUNTIFS(INDEX(AllClosureRows,C224,0),"&gt;="&amp;('_Dates'!Y224),INDEX(AllClosureRows,C224,0),"&lt;="&amp;(MIN('_Dates'!Z224,Settings!$B$9))))))</ns0:f>
        <ns0:v>0</ns0:v>
      </ns0:c>
      <ns0:c r="I224" s="0">
        <ns0:f>MAX(0,G224-H224)</ns0:f>
        <ns0:v>0</ns0:v>
      </ns0:c>
      <ns0:c r="J224" s="0">
        <ns0:f>IF(OR(A224=0,F224&lt;&gt;"OK",Bookings!G224="Cancelled",$B$6&gt;0),0,IF('_Dates'!AC224=1,MAX(0,COUNTIFS(rngEngine_B,B224,rngAMStart,"&lt;="&amp;'_Dates'!X224,rngAMEnd,"&gt;="&amp;'_Dates'!W224,rngAMActive,1,rngEngine_F,"OK",rngBookings_F,"&lt;&gt;Cancelled")-1),0)+IF('_Dates'!AD224=1,MAX(0,COUNTIFS(rngEngine_B,B224,rngPMStart,"&lt;="&amp;'_Dates'!Z224,rngPMEnd,"&gt;="&amp;'_Dates'!Y224,rngPMActive,1,rngEngine_F,"OK",rngBookings_F,"&lt;&gt;Cancelled")-1),0))</ns0:f>
        <ns0:v>0</ns0:v>
      </ns0:c>
      <ns0:c r="K224" s="0" t="str">
        <ns0:f>IF(A224=0,"",IF(F224&lt;&gt;"OK",F224,IF(J224&gt;0,"CHECK overlapping entry",IF(AND($B$6=0,G224&lt;=0,Bookings!G224&lt;&gt;"Cancelled"),"CHECK no working days",IF(Bookings!G224="Cancelled","Cancelled","OK")))))</ns0:f>
        <ns0:v/>
      </ns0:c>
      <ns0:c r="L224" s="0">
        <ns0:f>IF(LEFT(K224,5)="CHECK",1,0)</ns0:f>
        <ns0:v>0</ns0:v>
      </ns0:c>
      <ns0:c r="M224" s="0">
        <ns0:f>IF(AND(L224=1,OR(C224=0,IFERROR(INDEX($X$11:$X$60,C224),0)=0)),1,0)</ns0:f>
        <ns0:v>0</ns0:v>
      </ns0:c>
      <ns0:c r="N224" s="0">
        <ns0:f>IF(OR(A224=0,L224&gt;0,$B$6&gt;0,Bookings!G224="Cancelled"),0,G224)</ns0:f>
        <ns0:v>0</ns0:v>
      </ns0:c>
      <ns0:c r="O224" s="0">
        <ns0:f>IF(AND(Bookings!G224="Approved",E224="Yes"),N224,0)</ns0:f>
        <ns0:v>0</ns0:v>
      </ns0:c>
      <ns0:c r="P224" s="0">
        <ns0:f>IF(AND(Bookings!G224="Approved",E224="Yes",L224=0,$B$6=0),H224,0)</ns0:f>
        <ns0:v>0</ns0:v>
      </ns0:c>
      <ns0:c r="Q224" s="0">
        <ns0:f>IF(AND(Bookings!G224="Approved",E224="Yes",L224=0,$B$6=0),I224,0)</ns0:f>
        <ns0:v>0</ns0:v>
      </ns0:c>
      <ns0:c r="R224" s="0">
        <ns0:f>IF(AND(Bookings!G224="Pending",E224="Yes"),N224,0)</ns0:f>
        <ns0:v>0</ns0:v>
      </ns0:c>
      <ns0:c r="S224" s="0">
        <ns0:f>IF(AND(Bookings!G224="Approved",E224="No"),N224,0)</ns0:f>
        <ns0:v>0</ns0:v>
      </ns0:c>
      <ns0:c r="T224" s="0">
        <ns0:f>IFERROR(MATCH(D224,Settings!$G$7:$G$11,0),0)</ns0:f>
        <ns0:v>0</ns0:v>
      </ns0:c>
      <ns0:c r="U224" s="0">
        <ns0:f>IF(N224&gt;0,T224+IF(Bookings!G224="Pending",10,0),0)</ns0:f>
        <ns0:v>0</ns0:v>
      </ns0:c>
      <ns0:c r="V224" s="0">
        <ns0:f>U224</ns0:f>
        <ns0:v>0</ns0:v>
      </ns0:c>
      <ns0:c r="W224" s="0" t="str">
        <ns0:f>IF(C224=0,"",INDEX($AP$11:$AP$60,C224))</ns0:f>
        <ns0:v/>
      </ns0:c>
    </ns0:row>
    <ns0:row r="225">
      <ns0:c r="A225" s="0">
        <ns0:f>IF(COUNTA(Bookings!A225:G225,Bookings!I225)=0,0,1)</ns0:f>
        <ns0:v>0</ns0:v>
      </ns0:c>
      <ns0:c r="B225" s="0" t="str">
        <ns0:f>IFERROR(TRIM(MID(Bookings!A225,FIND(" · ",Bookings!A225)+3,99)),"")</ns0:f>
        <ns0:v/>
      </ns0:c>
      <ns0:c r="C225" s="0">
        <ns0:f>IF(OR(B225="",LEN(B225)&gt;24,ISNUMBER(FIND(" ",B225)),ISNUMBER(FIND("*",B225)),ISNUMBER(FIND("?",B225)),ISNUMBER(FIND("~",B225))),0,IFERROR(MATCH(B225,Team!$A$11:$A$60,0),0))</ns0:f>
        <ns0:v>0</ns0:v>
      </ns0:c>
      <ns0:c r="D225" s="0" t="str">
        <ns0:f>IFERROR(IF(MID(Bookings!F225,LEN(Bookings!F225)-3,3)=" · ",RIGHT(Bookings!F225,1),""),"")</ns0:f>
        <ns0:v/>
      </ns0:c>
      <ns0:c r="E225" s="0" t="str">
        <ns0:f>IFERROR(INDEX(Settings!$H$7:$H$11,MATCH(D225,Settings!$G$7:$G$11,0)),"")</ns0:f>
        <ns0:v/>
      </ns0:c>
      <ns0:c r="F225" s="0" t="str">
        <ns0:f>IF(A225=0,"",IFERROR(IF(OR(B225="",C225=0),"CHECK employee selection",IF(INDEX(Team!$O$11:$O$60,C225)&lt;&gt;"OK","CHECK employee setup",IF(OR('_Dates'!J225=0,'_Dates'!T225=0),"CHECK date: use DD.MM.YYYY",IF('_Dates'!T225&lt;'_Dates'!J225,"CHECK end before start",IF(AND($B$6=0,OR('_Dates'!J225&lt;Settings!$B$7,'_Dates'!T225&gt;Settings!$B$8)),"CHECK split across leave years",IF(OR(NOT(OR('_Dates'!U225="Full day",'_Dates'!U225="AM",'_Dates'!U225="PM")),NOT(OR('_Dates'!V225="Full day",'_Dates'!V225="AM",'_Dates'!V225="PM"))),"CHECK Full day / AM / PM",IF(AND('_Dates'!J225='_Dates'!T225,'_Dates'!U225&lt;&gt;"Full day",'_Dates'!V225&lt;&gt;"Full day",'_Dates'!U225&lt;&gt;'_Dates'!V225),"CHECK same-day portions disagree",IF(AND($B$6=0,OR(AND('_Dates'!U225&lt;&gt;"Full day",'_Dates'!AA225=0),AND('_Dates'!V225&lt;&gt;"Full day",'_Dates'!AB225=0))),"CHECK half-day on non-working date",IF(COUNTIF(Settings!$G$7:$G$11,D225)&lt;&gt;1,"CHECK leave type",IF(AND(Bookings!G225&lt;&gt;"Approved",Bookings!G225&lt;&gt;"Pending",Bookings!G225&lt;&gt;"Cancelled"),"CHECK status","OK")))))))))),"CHECK input"))</ns0:f>
        <ns0:v/>
      </ns0:c>
      <ns0:c r="G225" s="0">
        <ns0:f>IF(OR(F225&lt;&gt;"OK",$B$6&gt;0),0,0.5*(IF(('_Dates'!X225)&lt;('_Dates'!W225),0,INT((('_Dates'!X225)-('_Dates'!W225)+1)/7)*LEN(SUBSTITUTE(W225,"O",""))+LEN(SUBSTITUTE(MID(W225&amp;W225,WEEKDAY(('_Dates'!W225),2),MOD((('_Dates'!X225)-('_Dates'!W225)+1),7)),"O",""))-COUNTIFS(INDEX(AllClosureRows,C225,0),"&gt;="&amp;('_Dates'!W225),INDEX(AllClosureRows,C225,0),"&lt;="&amp;('_Dates'!X225)))+IF(('_Dates'!Z225)&lt;('_Dates'!Y225),0,INT((('_Dates'!Z225)-('_Dates'!Y225)+1)/7)*LEN(SUBSTITUTE(W225,"O",""))+LEN(SUBSTITUTE(MID(W225&amp;W225,WEEKDAY(('_Dates'!Y225),2),MOD((('_Dates'!Z225)-('_Dates'!Y225)+1),7)),"O",""))-COUNTIFS(INDEX(AllClosureRows,C225,0),"&gt;="&amp;('_Dates'!Y225),INDEX(AllClosureRows,C225,0),"&lt;="&amp;('_Dates'!Z225)))))</ns0:f>
        <ns0:v>0</ns0:v>
      </ns0:c>
      <ns0:c r="H225" s="0">
        <ns0:f>IF(OR(F225&lt;&gt;"OK",$B$6&gt;0),0,0.5*(IF((MIN('_Dates'!X225,Settings!$B$9))&lt;('_Dates'!W225),0,INT(((MIN('_Dates'!X225,Settings!$B$9))-('_Dates'!W225)+1)/7)*LEN(SUBSTITUTE(W225,"O",""))+LEN(SUBSTITUTE(MID(W225&amp;W225,WEEKDAY(('_Dates'!W225),2),MOD(((MIN('_Dates'!X225,Settings!$B$9))-('_Dates'!W225)+1),7)),"O",""))-COUNTIFS(INDEX(AllClosureRows,C225,0),"&gt;="&amp;('_Dates'!W225),INDEX(AllClosureRows,C225,0),"&lt;="&amp;(MIN('_Dates'!X225,Settings!$B$9))))+IF((MIN('_Dates'!Z225,Settings!$B$9))&lt;('_Dates'!Y225),0,INT(((MIN('_Dates'!Z225,Settings!$B$9))-('_Dates'!Y225)+1)/7)*LEN(SUBSTITUTE(W225,"O",""))+LEN(SUBSTITUTE(MID(W225&amp;W225,WEEKDAY(('_Dates'!Y225),2),MOD(((MIN('_Dates'!Z225,Settings!$B$9))-('_Dates'!Y225)+1),7)),"O",""))-COUNTIFS(INDEX(AllClosureRows,C225,0),"&gt;="&amp;('_Dates'!Y225),INDEX(AllClosureRows,C225,0),"&lt;="&amp;(MIN('_Dates'!Z225,Settings!$B$9))))))</ns0:f>
        <ns0:v>0</ns0:v>
      </ns0:c>
      <ns0:c r="I225" s="0">
        <ns0:f>MAX(0,G225-H225)</ns0:f>
        <ns0:v>0</ns0:v>
      </ns0:c>
      <ns0:c r="J225" s="0">
        <ns0:f>IF(OR(A225=0,F225&lt;&gt;"OK",Bookings!G225="Cancelled",$B$6&gt;0),0,IF('_Dates'!AC225=1,MAX(0,COUNTIFS(rngEngine_B,B225,rngAMStart,"&lt;="&amp;'_Dates'!X225,rngAMEnd,"&gt;="&amp;'_Dates'!W225,rngAMActive,1,rngEngine_F,"OK",rngBookings_F,"&lt;&gt;Cancelled")-1),0)+IF('_Dates'!AD225=1,MAX(0,COUNTIFS(rngEngine_B,B225,rngPMStart,"&lt;="&amp;'_Dates'!Z225,rngPMEnd,"&gt;="&amp;'_Dates'!Y225,rngPMActive,1,rngEngine_F,"OK",rngBookings_F,"&lt;&gt;Cancelled")-1),0))</ns0:f>
        <ns0:v>0</ns0:v>
      </ns0:c>
      <ns0:c r="K225" s="0" t="str">
        <ns0:f>IF(A225=0,"",IF(F225&lt;&gt;"OK",F225,IF(J225&gt;0,"CHECK overlapping entry",IF(AND($B$6=0,G225&lt;=0,Bookings!G225&lt;&gt;"Cancelled"),"CHECK no working days",IF(Bookings!G225="Cancelled","Cancelled","OK")))))</ns0:f>
        <ns0:v/>
      </ns0:c>
      <ns0:c r="L225" s="0">
        <ns0:f>IF(LEFT(K225,5)="CHECK",1,0)</ns0:f>
        <ns0:v>0</ns0:v>
      </ns0:c>
      <ns0:c r="M225" s="0">
        <ns0:f>IF(AND(L225=1,OR(C225=0,IFERROR(INDEX($X$11:$X$60,C225),0)=0)),1,0)</ns0:f>
        <ns0:v>0</ns0:v>
      </ns0:c>
      <ns0:c r="N225" s="0">
        <ns0:f>IF(OR(A225=0,L225&gt;0,$B$6&gt;0,Bookings!G225="Cancelled"),0,G225)</ns0:f>
        <ns0:v>0</ns0:v>
      </ns0:c>
      <ns0:c r="O225" s="0">
        <ns0:f>IF(AND(Bookings!G225="Approved",E225="Yes"),N225,0)</ns0:f>
        <ns0:v>0</ns0:v>
      </ns0:c>
      <ns0:c r="P225" s="0">
        <ns0:f>IF(AND(Bookings!G225="Approved",E225="Yes",L225=0,$B$6=0),H225,0)</ns0:f>
        <ns0:v>0</ns0:v>
      </ns0:c>
      <ns0:c r="Q225" s="0">
        <ns0:f>IF(AND(Bookings!G225="Approved",E225="Yes",L225=0,$B$6=0),I225,0)</ns0:f>
        <ns0:v>0</ns0:v>
      </ns0:c>
      <ns0:c r="R225" s="0">
        <ns0:f>IF(AND(Bookings!G225="Pending",E225="Yes"),N225,0)</ns0:f>
        <ns0:v>0</ns0:v>
      </ns0:c>
      <ns0:c r="S225" s="0">
        <ns0:f>IF(AND(Bookings!G225="Approved",E225="No"),N225,0)</ns0:f>
        <ns0:v>0</ns0:v>
      </ns0:c>
      <ns0:c r="T225" s="0">
        <ns0:f>IFERROR(MATCH(D225,Settings!$G$7:$G$11,0),0)</ns0:f>
        <ns0:v>0</ns0:v>
      </ns0:c>
      <ns0:c r="U225" s="0">
        <ns0:f>IF(N225&gt;0,T225+IF(Bookings!G225="Pending",10,0),0)</ns0:f>
        <ns0:v>0</ns0:v>
      </ns0:c>
      <ns0:c r="V225" s="0">
        <ns0:f>U225</ns0:f>
        <ns0:v>0</ns0:v>
      </ns0:c>
      <ns0:c r="W225" s="0" t="str">
        <ns0:f>IF(C225=0,"",INDEX($AP$11:$AP$60,C225))</ns0:f>
        <ns0:v/>
      </ns0:c>
    </ns0:row>
    <ns0:row r="226">
      <ns0:c r="A226" s="0">
        <ns0:f>IF(COUNTA(Bookings!A226:G226,Bookings!I226)=0,0,1)</ns0:f>
        <ns0:v>0</ns0:v>
      </ns0:c>
      <ns0:c r="B226" s="0" t="str">
        <ns0:f>IFERROR(TRIM(MID(Bookings!A226,FIND(" · ",Bookings!A226)+3,99)),"")</ns0:f>
        <ns0:v/>
      </ns0:c>
      <ns0:c r="C226" s="0">
        <ns0:f>IF(OR(B226="",LEN(B226)&gt;24,ISNUMBER(FIND(" ",B226)),ISNUMBER(FIND("*",B226)),ISNUMBER(FIND("?",B226)),ISNUMBER(FIND("~",B226))),0,IFERROR(MATCH(B226,Team!$A$11:$A$60,0),0))</ns0:f>
        <ns0:v>0</ns0:v>
      </ns0:c>
      <ns0:c r="D226" s="0" t="str">
        <ns0:f>IFERROR(IF(MID(Bookings!F226,LEN(Bookings!F226)-3,3)=" · ",RIGHT(Bookings!F226,1),""),"")</ns0:f>
        <ns0:v/>
      </ns0:c>
      <ns0:c r="E226" s="0" t="str">
        <ns0:f>IFERROR(INDEX(Settings!$H$7:$H$11,MATCH(D226,Settings!$G$7:$G$11,0)),"")</ns0:f>
        <ns0:v/>
      </ns0:c>
      <ns0:c r="F226" s="0" t="str">
        <ns0:f>IF(A226=0,"",IFERROR(IF(OR(B226="",C226=0),"CHECK employee selection",IF(INDEX(Team!$O$11:$O$60,C226)&lt;&gt;"OK","CHECK employee setup",IF(OR('_Dates'!J226=0,'_Dates'!T226=0),"CHECK date: use DD.MM.YYYY",IF('_Dates'!T226&lt;'_Dates'!J226,"CHECK end before start",IF(AND($B$6=0,OR('_Dates'!J226&lt;Settings!$B$7,'_Dates'!T226&gt;Settings!$B$8)),"CHECK split across leave years",IF(OR(NOT(OR('_Dates'!U226="Full day",'_Dates'!U226="AM",'_Dates'!U226="PM")),NOT(OR('_Dates'!V226="Full day",'_Dates'!V226="AM",'_Dates'!V226="PM"))),"CHECK Full day / AM / PM",IF(AND('_Dates'!J226='_Dates'!T226,'_Dates'!U226&lt;&gt;"Full day",'_Dates'!V226&lt;&gt;"Full day",'_Dates'!U226&lt;&gt;'_Dates'!V226),"CHECK same-day portions disagree",IF(AND($B$6=0,OR(AND('_Dates'!U226&lt;&gt;"Full day",'_Dates'!AA226=0),AND('_Dates'!V226&lt;&gt;"Full day",'_Dates'!AB226=0))),"CHECK half-day on non-working date",IF(COUNTIF(Settings!$G$7:$G$11,D226)&lt;&gt;1,"CHECK leave type",IF(AND(Bookings!G226&lt;&gt;"Approved",Bookings!G226&lt;&gt;"Pending",Bookings!G226&lt;&gt;"Cancelled"),"CHECK status","OK")))))))))),"CHECK input"))</ns0:f>
        <ns0:v/>
      </ns0:c>
      <ns0:c r="G226" s="0">
        <ns0:f>IF(OR(F226&lt;&gt;"OK",$B$6&gt;0),0,0.5*(IF(('_Dates'!X226)&lt;('_Dates'!W226),0,INT((('_Dates'!X226)-('_Dates'!W226)+1)/7)*LEN(SUBSTITUTE(W226,"O",""))+LEN(SUBSTITUTE(MID(W226&amp;W226,WEEKDAY(('_Dates'!W226),2),MOD((('_Dates'!X226)-('_Dates'!W226)+1),7)),"O",""))-COUNTIFS(INDEX(AllClosureRows,C226,0),"&gt;="&amp;('_Dates'!W226),INDEX(AllClosureRows,C226,0),"&lt;="&amp;('_Dates'!X226)))+IF(('_Dates'!Z226)&lt;('_Dates'!Y226),0,INT((('_Dates'!Z226)-('_Dates'!Y226)+1)/7)*LEN(SUBSTITUTE(W226,"O",""))+LEN(SUBSTITUTE(MID(W226&amp;W226,WEEKDAY(('_Dates'!Y226),2),MOD((('_Dates'!Z226)-('_Dates'!Y226)+1),7)),"O",""))-COUNTIFS(INDEX(AllClosureRows,C226,0),"&gt;="&amp;('_Dates'!Y226),INDEX(AllClosureRows,C226,0),"&lt;="&amp;('_Dates'!Z226)))))</ns0:f>
        <ns0:v>0</ns0:v>
      </ns0:c>
      <ns0:c r="H226" s="0">
        <ns0:f>IF(OR(F226&lt;&gt;"OK",$B$6&gt;0),0,0.5*(IF((MIN('_Dates'!X226,Settings!$B$9))&lt;('_Dates'!W226),0,INT(((MIN('_Dates'!X226,Settings!$B$9))-('_Dates'!W226)+1)/7)*LEN(SUBSTITUTE(W226,"O",""))+LEN(SUBSTITUTE(MID(W226&amp;W226,WEEKDAY(('_Dates'!W226),2),MOD(((MIN('_Dates'!X226,Settings!$B$9))-('_Dates'!W226)+1),7)),"O",""))-COUNTIFS(INDEX(AllClosureRows,C226,0),"&gt;="&amp;('_Dates'!W226),INDEX(AllClosureRows,C226,0),"&lt;="&amp;(MIN('_Dates'!X226,Settings!$B$9))))+IF((MIN('_Dates'!Z226,Settings!$B$9))&lt;('_Dates'!Y226),0,INT(((MIN('_Dates'!Z226,Settings!$B$9))-('_Dates'!Y226)+1)/7)*LEN(SUBSTITUTE(W226,"O",""))+LEN(SUBSTITUTE(MID(W226&amp;W226,WEEKDAY(('_Dates'!Y226),2),MOD(((MIN('_Dates'!Z226,Settings!$B$9))-('_Dates'!Y226)+1),7)),"O",""))-COUNTIFS(INDEX(AllClosureRows,C226,0),"&gt;="&amp;('_Dates'!Y226),INDEX(AllClosureRows,C226,0),"&lt;="&amp;(MIN('_Dates'!Z226,Settings!$B$9))))))</ns0:f>
        <ns0:v>0</ns0:v>
      </ns0:c>
      <ns0:c r="I226" s="0">
        <ns0:f>MAX(0,G226-H226)</ns0:f>
        <ns0:v>0</ns0:v>
      </ns0:c>
      <ns0:c r="J226" s="0">
        <ns0:f>IF(OR(A226=0,F226&lt;&gt;"OK",Bookings!G226="Cancelled",$B$6&gt;0),0,IF('_Dates'!AC226=1,MAX(0,COUNTIFS(rngEngine_B,B226,rngAMStart,"&lt;="&amp;'_Dates'!X226,rngAMEnd,"&gt;="&amp;'_Dates'!W226,rngAMActive,1,rngEngine_F,"OK",rngBookings_F,"&lt;&gt;Cancelled")-1),0)+IF('_Dates'!AD226=1,MAX(0,COUNTIFS(rngEngine_B,B226,rngPMStart,"&lt;="&amp;'_Dates'!Z226,rngPMEnd,"&gt;="&amp;'_Dates'!Y226,rngPMActive,1,rngEngine_F,"OK",rngBookings_F,"&lt;&gt;Cancelled")-1),0))</ns0:f>
        <ns0:v>0</ns0:v>
      </ns0:c>
      <ns0:c r="K226" s="0" t="str">
        <ns0:f>IF(A226=0,"",IF(F226&lt;&gt;"OK",F226,IF(J226&gt;0,"CHECK overlapping entry",IF(AND($B$6=0,G226&lt;=0,Bookings!G226&lt;&gt;"Cancelled"),"CHECK no working days",IF(Bookings!G226="Cancelled","Cancelled","OK")))))</ns0:f>
        <ns0:v/>
      </ns0:c>
      <ns0:c r="L226" s="0">
        <ns0:f>IF(LEFT(K226,5)="CHECK",1,0)</ns0:f>
        <ns0:v>0</ns0:v>
      </ns0:c>
      <ns0:c r="M226" s="0">
        <ns0:f>IF(AND(L226=1,OR(C226=0,IFERROR(INDEX($X$11:$X$60,C226),0)=0)),1,0)</ns0:f>
        <ns0:v>0</ns0:v>
      </ns0:c>
      <ns0:c r="N226" s="0">
        <ns0:f>IF(OR(A226=0,L226&gt;0,$B$6&gt;0,Bookings!G226="Cancelled"),0,G226)</ns0:f>
        <ns0:v>0</ns0:v>
      </ns0:c>
      <ns0:c r="O226" s="0">
        <ns0:f>IF(AND(Bookings!G226="Approved",E226="Yes"),N226,0)</ns0:f>
        <ns0:v>0</ns0:v>
      </ns0:c>
      <ns0:c r="P226" s="0">
        <ns0:f>IF(AND(Bookings!G226="Approved",E226="Yes",L226=0,$B$6=0),H226,0)</ns0:f>
        <ns0:v>0</ns0:v>
      </ns0:c>
      <ns0:c r="Q226" s="0">
        <ns0:f>IF(AND(Bookings!G226="Approved",E226="Yes",L226=0,$B$6=0),I226,0)</ns0:f>
        <ns0:v>0</ns0:v>
      </ns0:c>
      <ns0:c r="R226" s="0">
        <ns0:f>IF(AND(Bookings!G226="Pending",E226="Yes"),N226,0)</ns0:f>
        <ns0:v>0</ns0:v>
      </ns0:c>
      <ns0:c r="S226" s="0">
        <ns0:f>IF(AND(Bookings!G226="Approved",E226="No"),N226,0)</ns0:f>
        <ns0:v>0</ns0:v>
      </ns0:c>
      <ns0:c r="T226" s="0">
        <ns0:f>IFERROR(MATCH(D226,Settings!$G$7:$G$11,0),0)</ns0:f>
        <ns0:v>0</ns0:v>
      </ns0:c>
      <ns0:c r="U226" s="0">
        <ns0:f>IF(N226&gt;0,T226+IF(Bookings!G226="Pending",10,0),0)</ns0:f>
        <ns0:v>0</ns0:v>
      </ns0:c>
      <ns0:c r="V226" s="0">
        <ns0:f>U226</ns0:f>
        <ns0:v>0</ns0:v>
      </ns0:c>
      <ns0:c r="W226" s="0" t="str">
        <ns0:f>IF(C226=0,"",INDEX($AP$11:$AP$60,C226))</ns0:f>
        <ns0:v/>
      </ns0:c>
    </ns0:row>
    <ns0:row r="227">
      <ns0:c r="A227" s="0">
        <ns0:f>IF(COUNTA(Bookings!A227:G227,Bookings!I227)=0,0,1)</ns0:f>
        <ns0:v>0</ns0:v>
      </ns0:c>
      <ns0:c r="B227" s="0" t="str">
        <ns0:f>IFERROR(TRIM(MID(Bookings!A227,FIND(" · ",Bookings!A227)+3,99)),"")</ns0:f>
        <ns0:v/>
      </ns0:c>
      <ns0:c r="C227" s="0">
        <ns0:f>IF(OR(B227="",LEN(B227)&gt;24,ISNUMBER(FIND(" ",B227)),ISNUMBER(FIND("*",B227)),ISNUMBER(FIND("?",B227)),ISNUMBER(FIND("~",B227))),0,IFERROR(MATCH(B227,Team!$A$11:$A$60,0),0))</ns0:f>
        <ns0:v>0</ns0:v>
      </ns0:c>
      <ns0:c r="D227" s="0" t="str">
        <ns0:f>IFERROR(IF(MID(Bookings!F227,LEN(Bookings!F227)-3,3)=" · ",RIGHT(Bookings!F227,1),""),"")</ns0:f>
        <ns0:v/>
      </ns0:c>
      <ns0:c r="E227" s="0" t="str">
        <ns0:f>IFERROR(INDEX(Settings!$H$7:$H$11,MATCH(D227,Settings!$G$7:$G$11,0)),"")</ns0:f>
        <ns0:v/>
      </ns0:c>
      <ns0:c r="F227" s="0" t="str">
        <ns0:f>IF(A227=0,"",IFERROR(IF(OR(B227="",C227=0),"CHECK employee selection",IF(INDEX(Team!$O$11:$O$60,C227)&lt;&gt;"OK","CHECK employee setup",IF(OR('_Dates'!J227=0,'_Dates'!T227=0),"CHECK date: use DD.MM.YYYY",IF('_Dates'!T227&lt;'_Dates'!J227,"CHECK end before start",IF(AND($B$6=0,OR('_Dates'!J227&lt;Settings!$B$7,'_Dates'!T227&gt;Settings!$B$8)),"CHECK split across leave years",IF(OR(NOT(OR('_Dates'!U227="Full day",'_Dates'!U227="AM",'_Dates'!U227="PM")),NOT(OR('_Dates'!V227="Full day",'_Dates'!V227="AM",'_Dates'!V227="PM"))),"CHECK Full day / AM / PM",IF(AND('_Dates'!J227='_Dates'!T227,'_Dates'!U227&lt;&gt;"Full day",'_Dates'!V227&lt;&gt;"Full day",'_Dates'!U227&lt;&gt;'_Dates'!V227),"CHECK same-day portions disagree",IF(AND($B$6=0,OR(AND('_Dates'!U227&lt;&gt;"Full day",'_Dates'!AA227=0),AND('_Dates'!V227&lt;&gt;"Full day",'_Dates'!AB227=0))),"CHECK half-day on non-working date",IF(COUNTIF(Settings!$G$7:$G$11,D227)&lt;&gt;1,"CHECK leave type",IF(AND(Bookings!G227&lt;&gt;"Approved",Bookings!G227&lt;&gt;"Pending",Bookings!G227&lt;&gt;"Cancelled"),"CHECK status","OK")))))))))),"CHECK input"))</ns0:f>
        <ns0:v/>
      </ns0:c>
      <ns0:c r="G227" s="0">
        <ns0:f>IF(OR(F227&lt;&gt;"OK",$B$6&gt;0),0,0.5*(IF(('_Dates'!X227)&lt;('_Dates'!W227),0,INT((('_Dates'!X227)-('_Dates'!W227)+1)/7)*LEN(SUBSTITUTE(W227,"O",""))+LEN(SUBSTITUTE(MID(W227&amp;W227,WEEKDAY(('_Dates'!W227),2),MOD((('_Dates'!X227)-('_Dates'!W227)+1),7)),"O",""))-COUNTIFS(INDEX(AllClosureRows,C227,0),"&gt;="&amp;('_Dates'!W227),INDEX(AllClosureRows,C227,0),"&lt;="&amp;('_Dates'!X227)))+IF(('_Dates'!Z227)&lt;('_Dates'!Y227),0,INT((('_Dates'!Z227)-('_Dates'!Y227)+1)/7)*LEN(SUBSTITUTE(W227,"O",""))+LEN(SUBSTITUTE(MID(W227&amp;W227,WEEKDAY(('_Dates'!Y227),2),MOD((('_Dates'!Z227)-('_Dates'!Y227)+1),7)),"O",""))-COUNTIFS(INDEX(AllClosureRows,C227,0),"&gt;="&amp;('_Dates'!Y227),INDEX(AllClosureRows,C227,0),"&lt;="&amp;('_Dates'!Z227)))))</ns0:f>
        <ns0:v>0</ns0:v>
      </ns0:c>
      <ns0:c r="H227" s="0">
        <ns0:f>IF(OR(F227&lt;&gt;"OK",$B$6&gt;0),0,0.5*(IF((MIN('_Dates'!X227,Settings!$B$9))&lt;('_Dates'!W227),0,INT(((MIN('_Dates'!X227,Settings!$B$9))-('_Dates'!W227)+1)/7)*LEN(SUBSTITUTE(W227,"O",""))+LEN(SUBSTITUTE(MID(W227&amp;W227,WEEKDAY(('_Dates'!W227),2),MOD(((MIN('_Dates'!X227,Settings!$B$9))-('_Dates'!W227)+1),7)),"O",""))-COUNTIFS(INDEX(AllClosureRows,C227,0),"&gt;="&amp;('_Dates'!W227),INDEX(AllClosureRows,C227,0),"&lt;="&amp;(MIN('_Dates'!X227,Settings!$B$9))))+IF((MIN('_Dates'!Z227,Settings!$B$9))&lt;('_Dates'!Y227),0,INT(((MIN('_Dates'!Z227,Settings!$B$9))-('_Dates'!Y227)+1)/7)*LEN(SUBSTITUTE(W227,"O",""))+LEN(SUBSTITUTE(MID(W227&amp;W227,WEEKDAY(('_Dates'!Y227),2),MOD(((MIN('_Dates'!Z227,Settings!$B$9))-('_Dates'!Y227)+1),7)),"O",""))-COUNTIFS(INDEX(AllClosureRows,C227,0),"&gt;="&amp;('_Dates'!Y227),INDEX(AllClosureRows,C227,0),"&lt;="&amp;(MIN('_Dates'!Z227,Settings!$B$9))))))</ns0:f>
        <ns0:v>0</ns0:v>
      </ns0:c>
      <ns0:c r="I227" s="0">
        <ns0:f>MAX(0,G227-H227)</ns0:f>
        <ns0:v>0</ns0:v>
      </ns0:c>
      <ns0:c r="J227" s="0">
        <ns0:f>IF(OR(A227=0,F227&lt;&gt;"OK",Bookings!G227="Cancelled",$B$6&gt;0),0,IF('_Dates'!AC227=1,MAX(0,COUNTIFS(rngEngine_B,B227,rngAMStart,"&lt;="&amp;'_Dates'!X227,rngAMEnd,"&gt;="&amp;'_Dates'!W227,rngAMActive,1,rngEngine_F,"OK",rngBookings_F,"&lt;&gt;Cancelled")-1),0)+IF('_Dates'!AD227=1,MAX(0,COUNTIFS(rngEngine_B,B227,rngPMStart,"&lt;="&amp;'_Dates'!Z227,rngPMEnd,"&gt;="&amp;'_Dates'!Y227,rngPMActive,1,rngEngine_F,"OK",rngBookings_F,"&lt;&gt;Cancelled")-1),0))</ns0:f>
        <ns0:v>0</ns0:v>
      </ns0:c>
      <ns0:c r="K227" s="0" t="str">
        <ns0:f>IF(A227=0,"",IF(F227&lt;&gt;"OK",F227,IF(J227&gt;0,"CHECK overlapping entry",IF(AND($B$6=0,G227&lt;=0,Bookings!G227&lt;&gt;"Cancelled"),"CHECK no working days",IF(Bookings!G227="Cancelled","Cancelled","OK")))))</ns0:f>
        <ns0:v/>
      </ns0:c>
      <ns0:c r="L227" s="0">
        <ns0:f>IF(LEFT(K227,5)="CHECK",1,0)</ns0:f>
        <ns0:v>0</ns0:v>
      </ns0:c>
      <ns0:c r="M227" s="0">
        <ns0:f>IF(AND(L227=1,OR(C227=0,IFERROR(INDEX($X$11:$X$60,C227),0)=0)),1,0)</ns0:f>
        <ns0:v>0</ns0:v>
      </ns0:c>
      <ns0:c r="N227" s="0">
        <ns0:f>IF(OR(A227=0,L227&gt;0,$B$6&gt;0,Bookings!G227="Cancelled"),0,G227)</ns0:f>
        <ns0:v>0</ns0:v>
      </ns0:c>
      <ns0:c r="O227" s="0">
        <ns0:f>IF(AND(Bookings!G227="Approved",E227="Yes"),N227,0)</ns0:f>
        <ns0:v>0</ns0:v>
      </ns0:c>
      <ns0:c r="P227" s="0">
        <ns0:f>IF(AND(Bookings!G227="Approved",E227="Yes",L227=0,$B$6=0),H227,0)</ns0:f>
        <ns0:v>0</ns0:v>
      </ns0:c>
      <ns0:c r="Q227" s="0">
        <ns0:f>IF(AND(Bookings!G227="Approved",E227="Yes",L227=0,$B$6=0),I227,0)</ns0:f>
        <ns0:v>0</ns0:v>
      </ns0:c>
      <ns0:c r="R227" s="0">
        <ns0:f>IF(AND(Bookings!G227="Pending",E227="Yes"),N227,0)</ns0:f>
        <ns0:v>0</ns0:v>
      </ns0:c>
      <ns0:c r="S227" s="0">
        <ns0:f>IF(AND(Bookings!G227="Approved",E227="No"),N227,0)</ns0:f>
        <ns0:v>0</ns0:v>
      </ns0:c>
      <ns0:c r="T227" s="0">
        <ns0:f>IFERROR(MATCH(D227,Settings!$G$7:$G$11,0),0)</ns0:f>
        <ns0:v>0</ns0:v>
      </ns0:c>
      <ns0:c r="U227" s="0">
        <ns0:f>IF(N227&gt;0,T227+IF(Bookings!G227="Pending",10,0),0)</ns0:f>
        <ns0:v>0</ns0:v>
      </ns0:c>
      <ns0:c r="V227" s="0">
        <ns0:f>U227</ns0:f>
        <ns0:v>0</ns0:v>
      </ns0:c>
      <ns0:c r="W227" s="0" t="str">
        <ns0:f>IF(C227=0,"",INDEX($AP$11:$AP$60,C227))</ns0:f>
        <ns0:v/>
      </ns0:c>
    </ns0:row>
    <ns0:row r="228">
      <ns0:c r="A228" s="0">
        <ns0:f>IF(COUNTA(Bookings!A228:G228,Bookings!I228)=0,0,1)</ns0:f>
        <ns0:v>0</ns0:v>
      </ns0:c>
      <ns0:c r="B228" s="0" t="str">
        <ns0:f>IFERROR(TRIM(MID(Bookings!A228,FIND(" · ",Bookings!A228)+3,99)),"")</ns0:f>
        <ns0:v/>
      </ns0:c>
      <ns0:c r="C228" s="0">
        <ns0:f>IF(OR(B228="",LEN(B228)&gt;24,ISNUMBER(FIND(" ",B228)),ISNUMBER(FIND("*",B228)),ISNUMBER(FIND("?",B228)),ISNUMBER(FIND("~",B228))),0,IFERROR(MATCH(B228,Team!$A$11:$A$60,0),0))</ns0:f>
        <ns0:v>0</ns0:v>
      </ns0:c>
      <ns0:c r="D228" s="0" t="str">
        <ns0:f>IFERROR(IF(MID(Bookings!F228,LEN(Bookings!F228)-3,3)=" · ",RIGHT(Bookings!F228,1),""),"")</ns0:f>
        <ns0:v/>
      </ns0:c>
      <ns0:c r="E228" s="0" t="str">
        <ns0:f>IFERROR(INDEX(Settings!$H$7:$H$11,MATCH(D228,Settings!$G$7:$G$11,0)),"")</ns0:f>
        <ns0:v/>
      </ns0:c>
      <ns0:c r="F228" s="0" t="str">
        <ns0:f>IF(A228=0,"",IFERROR(IF(OR(B228="",C228=0),"CHECK employee selection",IF(INDEX(Team!$O$11:$O$60,C228)&lt;&gt;"OK","CHECK employee setup",IF(OR('_Dates'!J228=0,'_Dates'!T228=0),"CHECK date: use DD.MM.YYYY",IF('_Dates'!T228&lt;'_Dates'!J228,"CHECK end before start",IF(AND($B$6=0,OR('_Dates'!J228&lt;Settings!$B$7,'_Dates'!T228&gt;Settings!$B$8)),"CHECK split across leave years",IF(OR(NOT(OR('_Dates'!U228="Full day",'_Dates'!U228="AM",'_Dates'!U228="PM")),NOT(OR('_Dates'!V228="Full day",'_Dates'!V228="AM",'_Dates'!V228="PM"))),"CHECK Full day / AM / PM",IF(AND('_Dates'!J228='_Dates'!T228,'_Dates'!U228&lt;&gt;"Full day",'_Dates'!V228&lt;&gt;"Full day",'_Dates'!U228&lt;&gt;'_Dates'!V228),"CHECK same-day portions disagree",IF(AND($B$6=0,OR(AND('_Dates'!U228&lt;&gt;"Full day",'_Dates'!AA228=0),AND('_Dates'!V228&lt;&gt;"Full day",'_Dates'!AB228=0))),"CHECK half-day on non-working date",IF(COUNTIF(Settings!$G$7:$G$11,D228)&lt;&gt;1,"CHECK leave type",IF(AND(Bookings!G228&lt;&gt;"Approved",Bookings!G228&lt;&gt;"Pending",Bookings!G228&lt;&gt;"Cancelled"),"CHECK status","OK")))))))))),"CHECK input"))</ns0:f>
        <ns0:v/>
      </ns0:c>
      <ns0:c r="G228" s="0">
        <ns0:f>IF(OR(F228&lt;&gt;"OK",$B$6&gt;0),0,0.5*(IF(('_Dates'!X228)&lt;('_Dates'!W228),0,INT((('_Dates'!X228)-('_Dates'!W228)+1)/7)*LEN(SUBSTITUTE(W228,"O",""))+LEN(SUBSTITUTE(MID(W228&amp;W228,WEEKDAY(('_Dates'!W228),2),MOD((('_Dates'!X228)-('_Dates'!W228)+1),7)),"O",""))-COUNTIFS(INDEX(AllClosureRows,C228,0),"&gt;="&amp;('_Dates'!W228),INDEX(AllClosureRows,C228,0),"&lt;="&amp;('_Dates'!X228)))+IF(('_Dates'!Z228)&lt;('_Dates'!Y228),0,INT((('_Dates'!Z228)-('_Dates'!Y228)+1)/7)*LEN(SUBSTITUTE(W228,"O",""))+LEN(SUBSTITUTE(MID(W228&amp;W228,WEEKDAY(('_Dates'!Y228),2),MOD((('_Dates'!Z228)-('_Dates'!Y228)+1),7)),"O",""))-COUNTIFS(INDEX(AllClosureRows,C228,0),"&gt;="&amp;('_Dates'!Y228),INDEX(AllClosureRows,C228,0),"&lt;="&amp;('_Dates'!Z228)))))</ns0:f>
        <ns0:v>0</ns0:v>
      </ns0:c>
      <ns0:c r="H228" s="0">
        <ns0:f>IF(OR(F228&lt;&gt;"OK",$B$6&gt;0),0,0.5*(IF((MIN('_Dates'!X228,Settings!$B$9))&lt;('_Dates'!W228),0,INT(((MIN('_Dates'!X228,Settings!$B$9))-('_Dates'!W228)+1)/7)*LEN(SUBSTITUTE(W228,"O",""))+LEN(SUBSTITUTE(MID(W228&amp;W228,WEEKDAY(('_Dates'!W228),2),MOD(((MIN('_Dates'!X228,Settings!$B$9))-('_Dates'!W228)+1),7)),"O",""))-COUNTIFS(INDEX(AllClosureRows,C228,0),"&gt;="&amp;('_Dates'!W228),INDEX(AllClosureRows,C228,0),"&lt;="&amp;(MIN('_Dates'!X228,Settings!$B$9))))+IF((MIN('_Dates'!Z228,Settings!$B$9))&lt;('_Dates'!Y228),0,INT(((MIN('_Dates'!Z228,Settings!$B$9))-('_Dates'!Y228)+1)/7)*LEN(SUBSTITUTE(W228,"O",""))+LEN(SUBSTITUTE(MID(W228&amp;W228,WEEKDAY(('_Dates'!Y228),2),MOD(((MIN('_Dates'!Z228,Settings!$B$9))-('_Dates'!Y228)+1),7)),"O",""))-COUNTIFS(INDEX(AllClosureRows,C228,0),"&gt;="&amp;('_Dates'!Y228),INDEX(AllClosureRows,C228,0),"&lt;="&amp;(MIN('_Dates'!Z228,Settings!$B$9))))))</ns0:f>
        <ns0:v>0</ns0:v>
      </ns0:c>
      <ns0:c r="I228" s="0">
        <ns0:f>MAX(0,G228-H228)</ns0:f>
        <ns0:v>0</ns0:v>
      </ns0:c>
      <ns0:c r="J228" s="0">
        <ns0:f>IF(OR(A228=0,F228&lt;&gt;"OK",Bookings!G228="Cancelled",$B$6&gt;0),0,IF('_Dates'!AC228=1,MAX(0,COUNTIFS(rngEngine_B,B228,rngAMStart,"&lt;="&amp;'_Dates'!X228,rngAMEnd,"&gt;="&amp;'_Dates'!W228,rngAMActive,1,rngEngine_F,"OK",rngBookings_F,"&lt;&gt;Cancelled")-1),0)+IF('_Dates'!AD228=1,MAX(0,COUNTIFS(rngEngine_B,B228,rngPMStart,"&lt;="&amp;'_Dates'!Z228,rngPMEnd,"&gt;="&amp;'_Dates'!Y228,rngPMActive,1,rngEngine_F,"OK",rngBookings_F,"&lt;&gt;Cancelled")-1),0))</ns0:f>
        <ns0:v>0</ns0:v>
      </ns0:c>
      <ns0:c r="K228" s="0" t="str">
        <ns0:f>IF(A228=0,"",IF(F228&lt;&gt;"OK",F228,IF(J228&gt;0,"CHECK overlapping entry",IF(AND($B$6=0,G228&lt;=0,Bookings!G228&lt;&gt;"Cancelled"),"CHECK no working days",IF(Bookings!G228="Cancelled","Cancelled","OK")))))</ns0:f>
        <ns0:v/>
      </ns0:c>
      <ns0:c r="L228" s="0">
        <ns0:f>IF(LEFT(K228,5)="CHECK",1,0)</ns0:f>
        <ns0:v>0</ns0:v>
      </ns0:c>
      <ns0:c r="M228" s="0">
        <ns0:f>IF(AND(L228=1,OR(C228=0,IFERROR(INDEX($X$11:$X$60,C228),0)=0)),1,0)</ns0:f>
        <ns0:v>0</ns0:v>
      </ns0:c>
      <ns0:c r="N228" s="0">
        <ns0:f>IF(OR(A228=0,L228&gt;0,$B$6&gt;0,Bookings!G228="Cancelled"),0,G228)</ns0:f>
        <ns0:v>0</ns0:v>
      </ns0:c>
      <ns0:c r="O228" s="0">
        <ns0:f>IF(AND(Bookings!G228="Approved",E228="Yes"),N228,0)</ns0:f>
        <ns0:v>0</ns0:v>
      </ns0:c>
      <ns0:c r="P228" s="0">
        <ns0:f>IF(AND(Bookings!G228="Approved",E228="Yes",L228=0,$B$6=0),H228,0)</ns0:f>
        <ns0:v>0</ns0:v>
      </ns0:c>
      <ns0:c r="Q228" s="0">
        <ns0:f>IF(AND(Bookings!G228="Approved",E228="Yes",L228=0,$B$6=0),I228,0)</ns0:f>
        <ns0:v>0</ns0:v>
      </ns0:c>
      <ns0:c r="R228" s="0">
        <ns0:f>IF(AND(Bookings!G228="Pending",E228="Yes"),N228,0)</ns0:f>
        <ns0:v>0</ns0:v>
      </ns0:c>
      <ns0:c r="S228" s="0">
        <ns0:f>IF(AND(Bookings!G228="Approved",E228="No"),N228,0)</ns0:f>
        <ns0:v>0</ns0:v>
      </ns0:c>
      <ns0:c r="T228" s="0">
        <ns0:f>IFERROR(MATCH(D228,Settings!$G$7:$G$11,0),0)</ns0:f>
        <ns0:v>0</ns0:v>
      </ns0:c>
      <ns0:c r="U228" s="0">
        <ns0:f>IF(N228&gt;0,T228+IF(Bookings!G228="Pending",10,0),0)</ns0:f>
        <ns0:v>0</ns0:v>
      </ns0:c>
      <ns0:c r="V228" s="0">
        <ns0:f>U228</ns0:f>
        <ns0:v>0</ns0:v>
      </ns0:c>
      <ns0:c r="W228" s="0" t="str">
        <ns0:f>IF(C228=0,"",INDEX($AP$11:$AP$60,C228))</ns0:f>
        <ns0:v/>
      </ns0:c>
    </ns0:row>
    <ns0:row r="229">
      <ns0:c r="A229" s="0">
        <ns0:f>IF(COUNTA(Bookings!A229:G229,Bookings!I229)=0,0,1)</ns0:f>
        <ns0:v>0</ns0:v>
      </ns0:c>
      <ns0:c r="B229" s="0" t="str">
        <ns0:f>IFERROR(TRIM(MID(Bookings!A229,FIND(" · ",Bookings!A229)+3,99)),"")</ns0:f>
        <ns0:v/>
      </ns0:c>
      <ns0:c r="C229" s="0">
        <ns0:f>IF(OR(B229="",LEN(B229)&gt;24,ISNUMBER(FIND(" ",B229)),ISNUMBER(FIND("*",B229)),ISNUMBER(FIND("?",B229)),ISNUMBER(FIND("~",B229))),0,IFERROR(MATCH(B229,Team!$A$11:$A$60,0),0))</ns0:f>
        <ns0:v>0</ns0:v>
      </ns0:c>
      <ns0:c r="D229" s="0" t="str">
        <ns0:f>IFERROR(IF(MID(Bookings!F229,LEN(Bookings!F229)-3,3)=" · ",RIGHT(Bookings!F229,1),""),"")</ns0:f>
        <ns0:v/>
      </ns0:c>
      <ns0:c r="E229" s="0" t="str">
        <ns0:f>IFERROR(INDEX(Settings!$H$7:$H$11,MATCH(D229,Settings!$G$7:$G$11,0)),"")</ns0:f>
        <ns0:v/>
      </ns0:c>
      <ns0:c r="F229" s="0" t="str">
        <ns0:f>IF(A229=0,"",IFERROR(IF(OR(B229="",C229=0),"CHECK employee selection",IF(INDEX(Team!$O$11:$O$60,C229)&lt;&gt;"OK","CHECK employee setup",IF(OR('_Dates'!J229=0,'_Dates'!T229=0),"CHECK date: use DD.MM.YYYY",IF('_Dates'!T229&lt;'_Dates'!J229,"CHECK end before start",IF(AND($B$6=0,OR('_Dates'!J229&lt;Settings!$B$7,'_Dates'!T229&gt;Settings!$B$8)),"CHECK split across leave years",IF(OR(NOT(OR('_Dates'!U229="Full day",'_Dates'!U229="AM",'_Dates'!U229="PM")),NOT(OR('_Dates'!V229="Full day",'_Dates'!V229="AM",'_Dates'!V229="PM"))),"CHECK Full day / AM / PM",IF(AND('_Dates'!J229='_Dates'!T229,'_Dates'!U229&lt;&gt;"Full day",'_Dates'!V229&lt;&gt;"Full day",'_Dates'!U229&lt;&gt;'_Dates'!V229),"CHECK same-day portions disagree",IF(AND($B$6=0,OR(AND('_Dates'!U229&lt;&gt;"Full day",'_Dates'!AA229=0),AND('_Dates'!V229&lt;&gt;"Full day",'_Dates'!AB229=0))),"CHECK half-day on non-working date",IF(COUNTIF(Settings!$G$7:$G$11,D229)&lt;&gt;1,"CHECK leave type",IF(AND(Bookings!G229&lt;&gt;"Approved",Bookings!G229&lt;&gt;"Pending",Bookings!G229&lt;&gt;"Cancelled"),"CHECK status","OK")))))))))),"CHECK input"))</ns0:f>
        <ns0:v/>
      </ns0:c>
      <ns0:c r="G229" s="0">
        <ns0:f>IF(OR(F229&lt;&gt;"OK",$B$6&gt;0),0,0.5*(IF(('_Dates'!X229)&lt;('_Dates'!W229),0,INT((('_Dates'!X229)-('_Dates'!W229)+1)/7)*LEN(SUBSTITUTE(W229,"O",""))+LEN(SUBSTITUTE(MID(W229&amp;W229,WEEKDAY(('_Dates'!W229),2),MOD((('_Dates'!X229)-('_Dates'!W229)+1),7)),"O",""))-COUNTIFS(INDEX(AllClosureRows,C229,0),"&gt;="&amp;('_Dates'!W229),INDEX(AllClosureRows,C229,0),"&lt;="&amp;('_Dates'!X229)))+IF(('_Dates'!Z229)&lt;('_Dates'!Y229),0,INT((('_Dates'!Z229)-('_Dates'!Y229)+1)/7)*LEN(SUBSTITUTE(W229,"O",""))+LEN(SUBSTITUTE(MID(W229&amp;W229,WEEKDAY(('_Dates'!Y229),2),MOD((('_Dates'!Z229)-('_Dates'!Y229)+1),7)),"O",""))-COUNTIFS(INDEX(AllClosureRows,C229,0),"&gt;="&amp;('_Dates'!Y229),INDEX(AllClosureRows,C229,0),"&lt;="&amp;('_Dates'!Z229)))))</ns0:f>
        <ns0:v>0</ns0:v>
      </ns0:c>
      <ns0:c r="H229" s="0">
        <ns0:f>IF(OR(F229&lt;&gt;"OK",$B$6&gt;0),0,0.5*(IF((MIN('_Dates'!X229,Settings!$B$9))&lt;('_Dates'!W229),0,INT(((MIN('_Dates'!X229,Settings!$B$9))-('_Dates'!W229)+1)/7)*LEN(SUBSTITUTE(W229,"O",""))+LEN(SUBSTITUTE(MID(W229&amp;W229,WEEKDAY(('_Dates'!W229),2),MOD(((MIN('_Dates'!X229,Settings!$B$9))-('_Dates'!W229)+1),7)),"O",""))-COUNTIFS(INDEX(AllClosureRows,C229,0),"&gt;="&amp;('_Dates'!W229),INDEX(AllClosureRows,C229,0),"&lt;="&amp;(MIN('_Dates'!X229,Settings!$B$9))))+IF((MIN('_Dates'!Z229,Settings!$B$9))&lt;('_Dates'!Y229),0,INT(((MIN('_Dates'!Z229,Settings!$B$9))-('_Dates'!Y229)+1)/7)*LEN(SUBSTITUTE(W229,"O",""))+LEN(SUBSTITUTE(MID(W229&amp;W229,WEEKDAY(('_Dates'!Y229),2),MOD(((MIN('_Dates'!Z229,Settings!$B$9))-('_Dates'!Y229)+1),7)),"O",""))-COUNTIFS(INDEX(AllClosureRows,C229,0),"&gt;="&amp;('_Dates'!Y229),INDEX(AllClosureRows,C229,0),"&lt;="&amp;(MIN('_Dates'!Z229,Settings!$B$9))))))</ns0:f>
        <ns0:v>0</ns0:v>
      </ns0:c>
      <ns0:c r="I229" s="0">
        <ns0:f>MAX(0,G229-H229)</ns0:f>
        <ns0:v>0</ns0:v>
      </ns0:c>
      <ns0:c r="J229" s="0">
        <ns0:f>IF(OR(A229=0,F229&lt;&gt;"OK",Bookings!G229="Cancelled",$B$6&gt;0),0,IF('_Dates'!AC229=1,MAX(0,COUNTIFS(rngEngine_B,B229,rngAMStart,"&lt;="&amp;'_Dates'!X229,rngAMEnd,"&gt;="&amp;'_Dates'!W229,rngAMActive,1,rngEngine_F,"OK",rngBookings_F,"&lt;&gt;Cancelled")-1),0)+IF('_Dates'!AD229=1,MAX(0,COUNTIFS(rngEngine_B,B229,rngPMStart,"&lt;="&amp;'_Dates'!Z229,rngPMEnd,"&gt;="&amp;'_Dates'!Y229,rngPMActive,1,rngEngine_F,"OK",rngBookings_F,"&lt;&gt;Cancelled")-1),0))</ns0:f>
        <ns0:v>0</ns0:v>
      </ns0:c>
      <ns0:c r="K229" s="0" t="str">
        <ns0:f>IF(A229=0,"",IF(F229&lt;&gt;"OK",F229,IF(J229&gt;0,"CHECK overlapping entry",IF(AND($B$6=0,G229&lt;=0,Bookings!G229&lt;&gt;"Cancelled"),"CHECK no working days",IF(Bookings!G229="Cancelled","Cancelled","OK")))))</ns0:f>
        <ns0:v/>
      </ns0:c>
      <ns0:c r="L229" s="0">
        <ns0:f>IF(LEFT(K229,5)="CHECK",1,0)</ns0:f>
        <ns0:v>0</ns0:v>
      </ns0:c>
      <ns0:c r="M229" s="0">
        <ns0:f>IF(AND(L229=1,OR(C229=0,IFERROR(INDEX($X$11:$X$60,C229),0)=0)),1,0)</ns0:f>
        <ns0:v>0</ns0:v>
      </ns0:c>
      <ns0:c r="N229" s="0">
        <ns0:f>IF(OR(A229=0,L229&gt;0,$B$6&gt;0,Bookings!G229="Cancelled"),0,G229)</ns0:f>
        <ns0:v>0</ns0:v>
      </ns0:c>
      <ns0:c r="O229" s="0">
        <ns0:f>IF(AND(Bookings!G229="Approved",E229="Yes"),N229,0)</ns0:f>
        <ns0:v>0</ns0:v>
      </ns0:c>
      <ns0:c r="P229" s="0">
        <ns0:f>IF(AND(Bookings!G229="Approved",E229="Yes",L229=0,$B$6=0),H229,0)</ns0:f>
        <ns0:v>0</ns0:v>
      </ns0:c>
      <ns0:c r="Q229" s="0">
        <ns0:f>IF(AND(Bookings!G229="Approved",E229="Yes",L229=0,$B$6=0),I229,0)</ns0:f>
        <ns0:v>0</ns0:v>
      </ns0:c>
      <ns0:c r="R229" s="0">
        <ns0:f>IF(AND(Bookings!G229="Pending",E229="Yes"),N229,0)</ns0:f>
        <ns0:v>0</ns0:v>
      </ns0:c>
      <ns0:c r="S229" s="0">
        <ns0:f>IF(AND(Bookings!G229="Approved",E229="No"),N229,0)</ns0:f>
        <ns0:v>0</ns0:v>
      </ns0:c>
      <ns0:c r="T229" s="0">
        <ns0:f>IFERROR(MATCH(D229,Settings!$G$7:$G$11,0),0)</ns0:f>
        <ns0:v>0</ns0:v>
      </ns0:c>
      <ns0:c r="U229" s="0">
        <ns0:f>IF(N229&gt;0,T229+IF(Bookings!G229="Pending",10,0),0)</ns0:f>
        <ns0:v>0</ns0:v>
      </ns0:c>
      <ns0:c r="V229" s="0">
        <ns0:f>U229</ns0:f>
        <ns0:v>0</ns0:v>
      </ns0:c>
      <ns0:c r="W229" s="0" t="str">
        <ns0:f>IF(C229=0,"",INDEX($AP$11:$AP$60,C229))</ns0:f>
        <ns0:v/>
      </ns0:c>
    </ns0:row>
    <ns0:row r="230">
      <ns0:c r="A230" s="0">
        <ns0:f>IF(COUNTA(Bookings!A230:G230,Bookings!I230)=0,0,1)</ns0:f>
        <ns0:v>0</ns0:v>
      </ns0:c>
      <ns0:c r="B230" s="0" t="str">
        <ns0:f>IFERROR(TRIM(MID(Bookings!A230,FIND(" · ",Bookings!A230)+3,99)),"")</ns0:f>
        <ns0:v/>
      </ns0:c>
      <ns0:c r="C230" s="0">
        <ns0:f>IF(OR(B230="",LEN(B230)&gt;24,ISNUMBER(FIND(" ",B230)),ISNUMBER(FIND("*",B230)),ISNUMBER(FIND("?",B230)),ISNUMBER(FIND("~",B230))),0,IFERROR(MATCH(B230,Team!$A$11:$A$60,0),0))</ns0:f>
        <ns0:v>0</ns0:v>
      </ns0:c>
      <ns0:c r="D230" s="0" t="str">
        <ns0:f>IFERROR(IF(MID(Bookings!F230,LEN(Bookings!F230)-3,3)=" · ",RIGHT(Bookings!F230,1),""),"")</ns0:f>
        <ns0:v/>
      </ns0:c>
      <ns0:c r="E230" s="0" t="str">
        <ns0:f>IFERROR(INDEX(Settings!$H$7:$H$11,MATCH(D230,Settings!$G$7:$G$11,0)),"")</ns0:f>
        <ns0:v/>
      </ns0:c>
      <ns0:c r="F230" s="0" t="str">
        <ns0:f>IF(A230=0,"",IFERROR(IF(OR(B230="",C230=0),"CHECK employee selection",IF(INDEX(Team!$O$11:$O$60,C230)&lt;&gt;"OK","CHECK employee setup",IF(OR('_Dates'!J230=0,'_Dates'!T230=0),"CHECK date: use DD.MM.YYYY",IF('_Dates'!T230&lt;'_Dates'!J230,"CHECK end before start",IF(AND($B$6=0,OR('_Dates'!J230&lt;Settings!$B$7,'_Dates'!T230&gt;Settings!$B$8)),"CHECK split across leave years",IF(OR(NOT(OR('_Dates'!U230="Full day",'_Dates'!U230="AM",'_Dates'!U230="PM")),NOT(OR('_Dates'!V230="Full day",'_Dates'!V230="AM",'_Dates'!V230="PM"))),"CHECK Full day / AM / PM",IF(AND('_Dates'!J230='_Dates'!T230,'_Dates'!U230&lt;&gt;"Full day",'_Dates'!V230&lt;&gt;"Full day",'_Dates'!U230&lt;&gt;'_Dates'!V230),"CHECK same-day portions disagree",IF(AND($B$6=0,OR(AND('_Dates'!U230&lt;&gt;"Full day",'_Dates'!AA230=0),AND('_Dates'!V230&lt;&gt;"Full day",'_Dates'!AB230=0))),"CHECK half-day on non-working date",IF(COUNTIF(Settings!$G$7:$G$11,D230)&lt;&gt;1,"CHECK leave type",IF(AND(Bookings!G230&lt;&gt;"Approved",Bookings!G230&lt;&gt;"Pending",Bookings!G230&lt;&gt;"Cancelled"),"CHECK status","OK")))))))))),"CHECK input"))</ns0:f>
        <ns0:v/>
      </ns0:c>
      <ns0:c r="G230" s="0">
        <ns0:f>IF(OR(F230&lt;&gt;"OK",$B$6&gt;0),0,0.5*(IF(('_Dates'!X230)&lt;('_Dates'!W230),0,INT((('_Dates'!X230)-('_Dates'!W230)+1)/7)*LEN(SUBSTITUTE(W230,"O",""))+LEN(SUBSTITUTE(MID(W230&amp;W230,WEEKDAY(('_Dates'!W230),2),MOD((('_Dates'!X230)-('_Dates'!W230)+1),7)),"O",""))-COUNTIFS(INDEX(AllClosureRows,C230,0),"&gt;="&amp;('_Dates'!W230),INDEX(AllClosureRows,C230,0),"&lt;="&amp;('_Dates'!X230)))+IF(('_Dates'!Z230)&lt;('_Dates'!Y230),0,INT((('_Dates'!Z230)-('_Dates'!Y230)+1)/7)*LEN(SUBSTITUTE(W230,"O",""))+LEN(SUBSTITUTE(MID(W230&amp;W230,WEEKDAY(('_Dates'!Y230),2),MOD((('_Dates'!Z230)-('_Dates'!Y230)+1),7)),"O",""))-COUNTIFS(INDEX(AllClosureRows,C230,0),"&gt;="&amp;('_Dates'!Y230),INDEX(AllClosureRows,C230,0),"&lt;="&amp;('_Dates'!Z230)))))</ns0:f>
        <ns0:v>0</ns0:v>
      </ns0:c>
      <ns0:c r="H230" s="0">
        <ns0:f>IF(OR(F230&lt;&gt;"OK",$B$6&gt;0),0,0.5*(IF((MIN('_Dates'!X230,Settings!$B$9))&lt;('_Dates'!W230),0,INT(((MIN('_Dates'!X230,Settings!$B$9))-('_Dates'!W230)+1)/7)*LEN(SUBSTITUTE(W230,"O",""))+LEN(SUBSTITUTE(MID(W230&amp;W230,WEEKDAY(('_Dates'!W230),2),MOD(((MIN('_Dates'!X230,Settings!$B$9))-('_Dates'!W230)+1),7)),"O",""))-COUNTIFS(INDEX(AllClosureRows,C230,0),"&gt;="&amp;('_Dates'!W230),INDEX(AllClosureRows,C230,0),"&lt;="&amp;(MIN('_Dates'!X230,Settings!$B$9))))+IF((MIN('_Dates'!Z230,Settings!$B$9))&lt;('_Dates'!Y230),0,INT(((MIN('_Dates'!Z230,Settings!$B$9))-('_Dates'!Y230)+1)/7)*LEN(SUBSTITUTE(W230,"O",""))+LEN(SUBSTITUTE(MID(W230&amp;W230,WEEKDAY(('_Dates'!Y230),2),MOD(((MIN('_Dates'!Z230,Settings!$B$9))-('_Dates'!Y230)+1),7)),"O",""))-COUNTIFS(INDEX(AllClosureRows,C230,0),"&gt;="&amp;('_Dates'!Y230),INDEX(AllClosureRows,C230,0),"&lt;="&amp;(MIN('_Dates'!Z230,Settings!$B$9))))))</ns0:f>
        <ns0:v>0</ns0:v>
      </ns0:c>
      <ns0:c r="I230" s="0">
        <ns0:f>MAX(0,G230-H230)</ns0:f>
        <ns0:v>0</ns0:v>
      </ns0:c>
      <ns0:c r="J230" s="0">
        <ns0:f>IF(OR(A230=0,F230&lt;&gt;"OK",Bookings!G230="Cancelled",$B$6&gt;0),0,IF('_Dates'!AC230=1,MAX(0,COUNTIFS(rngEngine_B,B230,rngAMStart,"&lt;="&amp;'_Dates'!X230,rngAMEnd,"&gt;="&amp;'_Dates'!W230,rngAMActive,1,rngEngine_F,"OK",rngBookings_F,"&lt;&gt;Cancelled")-1),0)+IF('_Dates'!AD230=1,MAX(0,COUNTIFS(rngEngine_B,B230,rngPMStart,"&lt;="&amp;'_Dates'!Z230,rngPMEnd,"&gt;="&amp;'_Dates'!Y230,rngPMActive,1,rngEngine_F,"OK",rngBookings_F,"&lt;&gt;Cancelled")-1),0))</ns0:f>
        <ns0:v>0</ns0:v>
      </ns0:c>
      <ns0:c r="K230" s="0" t="str">
        <ns0:f>IF(A230=0,"",IF(F230&lt;&gt;"OK",F230,IF(J230&gt;0,"CHECK overlapping entry",IF(AND($B$6=0,G230&lt;=0,Bookings!G230&lt;&gt;"Cancelled"),"CHECK no working days",IF(Bookings!G230="Cancelled","Cancelled","OK")))))</ns0:f>
        <ns0:v/>
      </ns0:c>
      <ns0:c r="L230" s="0">
        <ns0:f>IF(LEFT(K230,5)="CHECK",1,0)</ns0:f>
        <ns0:v>0</ns0:v>
      </ns0:c>
      <ns0:c r="M230" s="0">
        <ns0:f>IF(AND(L230=1,OR(C230=0,IFERROR(INDEX($X$11:$X$60,C230),0)=0)),1,0)</ns0:f>
        <ns0:v>0</ns0:v>
      </ns0:c>
      <ns0:c r="N230" s="0">
        <ns0:f>IF(OR(A230=0,L230&gt;0,$B$6&gt;0,Bookings!G230="Cancelled"),0,G230)</ns0:f>
        <ns0:v>0</ns0:v>
      </ns0:c>
      <ns0:c r="O230" s="0">
        <ns0:f>IF(AND(Bookings!G230="Approved",E230="Yes"),N230,0)</ns0:f>
        <ns0:v>0</ns0:v>
      </ns0:c>
      <ns0:c r="P230" s="0">
        <ns0:f>IF(AND(Bookings!G230="Approved",E230="Yes",L230=0,$B$6=0),H230,0)</ns0:f>
        <ns0:v>0</ns0:v>
      </ns0:c>
      <ns0:c r="Q230" s="0">
        <ns0:f>IF(AND(Bookings!G230="Approved",E230="Yes",L230=0,$B$6=0),I230,0)</ns0:f>
        <ns0:v>0</ns0:v>
      </ns0:c>
      <ns0:c r="R230" s="0">
        <ns0:f>IF(AND(Bookings!G230="Pending",E230="Yes"),N230,0)</ns0:f>
        <ns0:v>0</ns0:v>
      </ns0:c>
      <ns0:c r="S230" s="0">
        <ns0:f>IF(AND(Bookings!G230="Approved",E230="No"),N230,0)</ns0:f>
        <ns0:v>0</ns0:v>
      </ns0:c>
      <ns0:c r="T230" s="0">
        <ns0:f>IFERROR(MATCH(D230,Settings!$G$7:$G$11,0),0)</ns0:f>
        <ns0:v>0</ns0:v>
      </ns0:c>
      <ns0:c r="U230" s="0">
        <ns0:f>IF(N230&gt;0,T230+IF(Bookings!G230="Pending",10,0),0)</ns0:f>
        <ns0:v>0</ns0:v>
      </ns0:c>
      <ns0:c r="V230" s="0">
        <ns0:f>U230</ns0:f>
        <ns0:v>0</ns0:v>
      </ns0:c>
      <ns0:c r="W230" s="0" t="str">
        <ns0:f>IF(C230=0,"",INDEX($AP$11:$AP$60,C230))</ns0:f>
        <ns0:v/>
      </ns0:c>
    </ns0:row>
    <ns0:row r="231">
      <ns0:c r="A231" s="0">
        <ns0:f>IF(COUNTA(Bookings!A231:G231,Bookings!I231)=0,0,1)</ns0:f>
        <ns0:v>0</ns0:v>
      </ns0:c>
      <ns0:c r="B231" s="0" t="str">
        <ns0:f>IFERROR(TRIM(MID(Bookings!A231,FIND(" · ",Bookings!A231)+3,99)),"")</ns0:f>
        <ns0:v/>
      </ns0:c>
      <ns0:c r="C231" s="0">
        <ns0:f>IF(OR(B231="",LEN(B231)&gt;24,ISNUMBER(FIND(" ",B231)),ISNUMBER(FIND("*",B231)),ISNUMBER(FIND("?",B231)),ISNUMBER(FIND("~",B231))),0,IFERROR(MATCH(B231,Team!$A$11:$A$60,0),0))</ns0:f>
        <ns0:v>0</ns0:v>
      </ns0:c>
      <ns0:c r="D231" s="0" t="str">
        <ns0:f>IFERROR(IF(MID(Bookings!F231,LEN(Bookings!F231)-3,3)=" · ",RIGHT(Bookings!F231,1),""),"")</ns0:f>
        <ns0:v/>
      </ns0:c>
      <ns0:c r="E231" s="0" t="str">
        <ns0:f>IFERROR(INDEX(Settings!$H$7:$H$11,MATCH(D231,Settings!$G$7:$G$11,0)),"")</ns0:f>
        <ns0:v/>
      </ns0:c>
      <ns0:c r="F231" s="0" t="str">
        <ns0:f>IF(A231=0,"",IFERROR(IF(OR(B231="",C231=0),"CHECK employee selection",IF(INDEX(Team!$O$11:$O$60,C231)&lt;&gt;"OK","CHECK employee setup",IF(OR('_Dates'!J231=0,'_Dates'!T231=0),"CHECK date: use DD.MM.YYYY",IF('_Dates'!T231&lt;'_Dates'!J231,"CHECK end before start",IF(AND($B$6=0,OR('_Dates'!J231&lt;Settings!$B$7,'_Dates'!T231&gt;Settings!$B$8)),"CHECK split across leave years",IF(OR(NOT(OR('_Dates'!U231="Full day",'_Dates'!U231="AM",'_Dates'!U231="PM")),NOT(OR('_Dates'!V231="Full day",'_Dates'!V231="AM",'_Dates'!V231="PM"))),"CHECK Full day / AM / PM",IF(AND('_Dates'!J231='_Dates'!T231,'_Dates'!U231&lt;&gt;"Full day",'_Dates'!V231&lt;&gt;"Full day",'_Dates'!U231&lt;&gt;'_Dates'!V231),"CHECK same-day portions disagree",IF(AND($B$6=0,OR(AND('_Dates'!U231&lt;&gt;"Full day",'_Dates'!AA231=0),AND('_Dates'!V231&lt;&gt;"Full day",'_Dates'!AB231=0))),"CHECK half-day on non-working date",IF(COUNTIF(Settings!$G$7:$G$11,D231)&lt;&gt;1,"CHECK leave type",IF(AND(Bookings!G231&lt;&gt;"Approved",Bookings!G231&lt;&gt;"Pending",Bookings!G231&lt;&gt;"Cancelled"),"CHECK status","OK")))))))))),"CHECK input"))</ns0:f>
        <ns0:v/>
      </ns0:c>
      <ns0:c r="G231" s="0">
        <ns0:f>IF(OR(F231&lt;&gt;"OK",$B$6&gt;0),0,0.5*(IF(('_Dates'!X231)&lt;('_Dates'!W231),0,INT((('_Dates'!X231)-('_Dates'!W231)+1)/7)*LEN(SUBSTITUTE(W231,"O",""))+LEN(SUBSTITUTE(MID(W231&amp;W231,WEEKDAY(('_Dates'!W231),2),MOD((('_Dates'!X231)-('_Dates'!W231)+1),7)),"O",""))-COUNTIFS(INDEX(AllClosureRows,C231,0),"&gt;="&amp;('_Dates'!W231),INDEX(AllClosureRows,C231,0),"&lt;="&amp;('_Dates'!X231)))+IF(('_Dates'!Z231)&lt;('_Dates'!Y231),0,INT((('_Dates'!Z231)-('_Dates'!Y231)+1)/7)*LEN(SUBSTITUTE(W231,"O",""))+LEN(SUBSTITUTE(MID(W231&amp;W231,WEEKDAY(('_Dates'!Y231),2),MOD((('_Dates'!Z231)-('_Dates'!Y231)+1),7)),"O",""))-COUNTIFS(INDEX(AllClosureRows,C231,0),"&gt;="&amp;('_Dates'!Y231),INDEX(AllClosureRows,C231,0),"&lt;="&amp;('_Dates'!Z231)))))</ns0:f>
        <ns0:v>0</ns0:v>
      </ns0:c>
      <ns0:c r="H231" s="0">
        <ns0:f>IF(OR(F231&lt;&gt;"OK",$B$6&gt;0),0,0.5*(IF((MIN('_Dates'!X231,Settings!$B$9))&lt;('_Dates'!W231),0,INT(((MIN('_Dates'!X231,Settings!$B$9))-('_Dates'!W231)+1)/7)*LEN(SUBSTITUTE(W231,"O",""))+LEN(SUBSTITUTE(MID(W231&amp;W231,WEEKDAY(('_Dates'!W231),2),MOD(((MIN('_Dates'!X231,Settings!$B$9))-('_Dates'!W231)+1),7)),"O",""))-COUNTIFS(INDEX(AllClosureRows,C231,0),"&gt;="&amp;('_Dates'!W231),INDEX(AllClosureRows,C231,0),"&lt;="&amp;(MIN('_Dates'!X231,Settings!$B$9))))+IF((MIN('_Dates'!Z231,Settings!$B$9))&lt;('_Dates'!Y231),0,INT(((MIN('_Dates'!Z231,Settings!$B$9))-('_Dates'!Y231)+1)/7)*LEN(SUBSTITUTE(W231,"O",""))+LEN(SUBSTITUTE(MID(W231&amp;W231,WEEKDAY(('_Dates'!Y231),2),MOD(((MIN('_Dates'!Z231,Settings!$B$9))-('_Dates'!Y231)+1),7)),"O",""))-COUNTIFS(INDEX(AllClosureRows,C231,0),"&gt;="&amp;('_Dates'!Y231),INDEX(AllClosureRows,C231,0),"&lt;="&amp;(MIN('_Dates'!Z231,Settings!$B$9))))))</ns0:f>
        <ns0:v>0</ns0:v>
      </ns0:c>
      <ns0:c r="I231" s="0">
        <ns0:f>MAX(0,G231-H231)</ns0:f>
        <ns0:v>0</ns0:v>
      </ns0:c>
      <ns0:c r="J231" s="0">
        <ns0:f>IF(OR(A231=0,F231&lt;&gt;"OK",Bookings!G231="Cancelled",$B$6&gt;0),0,IF('_Dates'!AC231=1,MAX(0,COUNTIFS(rngEngine_B,B231,rngAMStart,"&lt;="&amp;'_Dates'!X231,rngAMEnd,"&gt;="&amp;'_Dates'!W231,rngAMActive,1,rngEngine_F,"OK",rngBookings_F,"&lt;&gt;Cancelled")-1),0)+IF('_Dates'!AD231=1,MAX(0,COUNTIFS(rngEngine_B,B231,rngPMStart,"&lt;="&amp;'_Dates'!Z231,rngPMEnd,"&gt;="&amp;'_Dates'!Y231,rngPMActive,1,rngEngine_F,"OK",rngBookings_F,"&lt;&gt;Cancelled")-1),0))</ns0:f>
        <ns0:v>0</ns0:v>
      </ns0:c>
      <ns0:c r="K231" s="0" t="str">
        <ns0:f>IF(A231=0,"",IF(F231&lt;&gt;"OK",F231,IF(J231&gt;0,"CHECK overlapping entry",IF(AND($B$6=0,G231&lt;=0,Bookings!G231&lt;&gt;"Cancelled"),"CHECK no working days",IF(Bookings!G231="Cancelled","Cancelled","OK")))))</ns0:f>
        <ns0:v/>
      </ns0:c>
      <ns0:c r="L231" s="0">
        <ns0:f>IF(LEFT(K231,5)="CHECK",1,0)</ns0:f>
        <ns0:v>0</ns0:v>
      </ns0:c>
      <ns0:c r="M231" s="0">
        <ns0:f>IF(AND(L231=1,OR(C231=0,IFERROR(INDEX($X$11:$X$60,C231),0)=0)),1,0)</ns0:f>
        <ns0:v>0</ns0:v>
      </ns0:c>
      <ns0:c r="N231" s="0">
        <ns0:f>IF(OR(A231=0,L231&gt;0,$B$6&gt;0,Bookings!G231="Cancelled"),0,G231)</ns0:f>
        <ns0:v>0</ns0:v>
      </ns0:c>
      <ns0:c r="O231" s="0">
        <ns0:f>IF(AND(Bookings!G231="Approved",E231="Yes"),N231,0)</ns0:f>
        <ns0:v>0</ns0:v>
      </ns0:c>
      <ns0:c r="P231" s="0">
        <ns0:f>IF(AND(Bookings!G231="Approved",E231="Yes",L231=0,$B$6=0),H231,0)</ns0:f>
        <ns0:v>0</ns0:v>
      </ns0:c>
      <ns0:c r="Q231" s="0">
        <ns0:f>IF(AND(Bookings!G231="Approved",E231="Yes",L231=0,$B$6=0),I231,0)</ns0:f>
        <ns0:v>0</ns0:v>
      </ns0:c>
      <ns0:c r="R231" s="0">
        <ns0:f>IF(AND(Bookings!G231="Pending",E231="Yes"),N231,0)</ns0:f>
        <ns0:v>0</ns0:v>
      </ns0:c>
      <ns0:c r="S231" s="0">
        <ns0:f>IF(AND(Bookings!G231="Approved",E231="No"),N231,0)</ns0:f>
        <ns0:v>0</ns0:v>
      </ns0:c>
      <ns0:c r="T231" s="0">
        <ns0:f>IFERROR(MATCH(D231,Settings!$G$7:$G$11,0),0)</ns0:f>
        <ns0:v>0</ns0:v>
      </ns0:c>
      <ns0:c r="U231" s="0">
        <ns0:f>IF(N231&gt;0,T231+IF(Bookings!G231="Pending",10,0),0)</ns0:f>
        <ns0:v>0</ns0:v>
      </ns0:c>
      <ns0:c r="V231" s="0">
        <ns0:f>U231</ns0:f>
        <ns0:v>0</ns0:v>
      </ns0:c>
      <ns0:c r="W231" s="0" t="str">
        <ns0:f>IF(C231=0,"",INDEX($AP$11:$AP$60,C231))</ns0:f>
        <ns0:v/>
      </ns0:c>
    </ns0:row>
    <ns0:row r="232">
      <ns0:c r="A232" s="0">
        <ns0:f>IF(COUNTA(Bookings!A232:G232,Bookings!I232)=0,0,1)</ns0:f>
        <ns0:v>0</ns0:v>
      </ns0:c>
      <ns0:c r="B232" s="0" t="str">
        <ns0:f>IFERROR(TRIM(MID(Bookings!A232,FIND(" · ",Bookings!A232)+3,99)),"")</ns0:f>
        <ns0:v/>
      </ns0:c>
      <ns0:c r="C232" s="0">
        <ns0:f>IF(OR(B232="",LEN(B232)&gt;24,ISNUMBER(FIND(" ",B232)),ISNUMBER(FIND("*",B232)),ISNUMBER(FIND("?",B232)),ISNUMBER(FIND("~",B232))),0,IFERROR(MATCH(B232,Team!$A$11:$A$60,0),0))</ns0:f>
        <ns0:v>0</ns0:v>
      </ns0:c>
      <ns0:c r="D232" s="0" t="str">
        <ns0:f>IFERROR(IF(MID(Bookings!F232,LEN(Bookings!F232)-3,3)=" · ",RIGHT(Bookings!F232,1),""),"")</ns0:f>
        <ns0:v/>
      </ns0:c>
      <ns0:c r="E232" s="0" t="str">
        <ns0:f>IFERROR(INDEX(Settings!$H$7:$H$11,MATCH(D232,Settings!$G$7:$G$11,0)),"")</ns0:f>
        <ns0:v/>
      </ns0:c>
      <ns0:c r="F232" s="0" t="str">
        <ns0:f>IF(A232=0,"",IFERROR(IF(OR(B232="",C232=0),"CHECK employee selection",IF(INDEX(Team!$O$11:$O$60,C232)&lt;&gt;"OK","CHECK employee setup",IF(OR('_Dates'!J232=0,'_Dates'!T232=0),"CHECK date: use DD.MM.YYYY",IF('_Dates'!T232&lt;'_Dates'!J232,"CHECK end before start",IF(AND($B$6=0,OR('_Dates'!J232&lt;Settings!$B$7,'_Dates'!T232&gt;Settings!$B$8)),"CHECK split across leave years",IF(OR(NOT(OR('_Dates'!U232="Full day",'_Dates'!U232="AM",'_Dates'!U232="PM")),NOT(OR('_Dates'!V232="Full day",'_Dates'!V232="AM",'_Dates'!V232="PM"))),"CHECK Full day / AM / PM",IF(AND('_Dates'!J232='_Dates'!T232,'_Dates'!U232&lt;&gt;"Full day",'_Dates'!V232&lt;&gt;"Full day",'_Dates'!U232&lt;&gt;'_Dates'!V232),"CHECK same-day portions disagree",IF(AND($B$6=0,OR(AND('_Dates'!U232&lt;&gt;"Full day",'_Dates'!AA232=0),AND('_Dates'!V232&lt;&gt;"Full day",'_Dates'!AB232=0))),"CHECK half-day on non-working date",IF(COUNTIF(Settings!$G$7:$G$11,D232)&lt;&gt;1,"CHECK leave type",IF(AND(Bookings!G232&lt;&gt;"Approved",Bookings!G232&lt;&gt;"Pending",Bookings!G232&lt;&gt;"Cancelled"),"CHECK status","OK")))))))))),"CHECK input"))</ns0:f>
        <ns0:v/>
      </ns0:c>
      <ns0:c r="G232" s="0">
        <ns0:f>IF(OR(F232&lt;&gt;"OK",$B$6&gt;0),0,0.5*(IF(('_Dates'!X232)&lt;('_Dates'!W232),0,INT((('_Dates'!X232)-('_Dates'!W232)+1)/7)*LEN(SUBSTITUTE(W232,"O",""))+LEN(SUBSTITUTE(MID(W232&amp;W232,WEEKDAY(('_Dates'!W232),2),MOD((('_Dates'!X232)-('_Dates'!W232)+1),7)),"O",""))-COUNTIFS(INDEX(AllClosureRows,C232,0),"&gt;="&amp;('_Dates'!W232),INDEX(AllClosureRows,C232,0),"&lt;="&amp;('_Dates'!X232)))+IF(('_Dates'!Z232)&lt;('_Dates'!Y232),0,INT((('_Dates'!Z232)-('_Dates'!Y232)+1)/7)*LEN(SUBSTITUTE(W232,"O",""))+LEN(SUBSTITUTE(MID(W232&amp;W232,WEEKDAY(('_Dates'!Y232),2),MOD((('_Dates'!Z232)-('_Dates'!Y232)+1),7)),"O",""))-COUNTIFS(INDEX(AllClosureRows,C232,0),"&gt;="&amp;('_Dates'!Y232),INDEX(AllClosureRows,C232,0),"&lt;="&amp;('_Dates'!Z232)))))</ns0:f>
        <ns0:v>0</ns0:v>
      </ns0:c>
      <ns0:c r="H232" s="0">
        <ns0:f>IF(OR(F232&lt;&gt;"OK",$B$6&gt;0),0,0.5*(IF((MIN('_Dates'!X232,Settings!$B$9))&lt;('_Dates'!W232),0,INT(((MIN('_Dates'!X232,Settings!$B$9))-('_Dates'!W232)+1)/7)*LEN(SUBSTITUTE(W232,"O",""))+LEN(SUBSTITUTE(MID(W232&amp;W232,WEEKDAY(('_Dates'!W232),2),MOD(((MIN('_Dates'!X232,Settings!$B$9))-('_Dates'!W232)+1),7)),"O",""))-COUNTIFS(INDEX(AllClosureRows,C232,0),"&gt;="&amp;('_Dates'!W232),INDEX(AllClosureRows,C232,0),"&lt;="&amp;(MIN('_Dates'!X232,Settings!$B$9))))+IF((MIN('_Dates'!Z232,Settings!$B$9))&lt;('_Dates'!Y232),0,INT(((MIN('_Dates'!Z232,Settings!$B$9))-('_Dates'!Y232)+1)/7)*LEN(SUBSTITUTE(W232,"O",""))+LEN(SUBSTITUTE(MID(W232&amp;W232,WEEKDAY(('_Dates'!Y232),2),MOD(((MIN('_Dates'!Z232,Settings!$B$9))-('_Dates'!Y232)+1),7)),"O",""))-COUNTIFS(INDEX(AllClosureRows,C232,0),"&gt;="&amp;('_Dates'!Y232),INDEX(AllClosureRows,C232,0),"&lt;="&amp;(MIN('_Dates'!Z232,Settings!$B$9))))))</ns0:f>
        <ns0:v>0</ns0:v>
      </ns0:c>
      <ns0:c r="I232" s="0">
        <ns0:f>MAX(0,G232-H232)</ns0:f>
        <ns0:v>0</ns0:v>
      </ns0:c>
      <ns0:c r="J232" s="0">
        <ns0:f>IF(OR(A232=0,F232&lt;&gt;"OK",Bookings!G232="Cancelled",$B$6&gt;0),0,IF('_Dates'!AC232=1,MAX(0,COUNTIFS(rngEngine_B,B232,rngAMStart,"&lt;="&amp;'_Dates'!X232,rngAMEnd,"&gt;="&amp;'_Dates'!W232,rngAMActive,1,rngEngine_F,"OK",rngBookings_F,"&lt;&gt;Cancelled")-1),0)+IF('_Dates'!AD232=1,MAX(0,COUNTIFS(rngEngine_B,B232,rngPMStart,"&lt;="&amp;'_Dates'!Z232,rngPMEnd,"&gt;="&amp;'_Dates'!Y232,rngPMActive,1,rngEngine_F,"OK",rngBookings_F,"&lt;&gt;Cancelled")-1),0))</ns0:f>
        <ns0:v>0</ns0:v>
      </ns0:c>
      <ns0:c r="K232" s="0" t="str">
        <ns0:f>IF(A232=0,"",IF(F232&lt;&gt;"OK",F232,IF(J232&gt;0,"CHECK overlapping entry",IF(AND($B$6=0,G232&lt;=0,Bookings!G232&lt;&gt;"Cancelled"),"CHECK no working days",IF(Bookings!G232="Cancelled","Cancelled","OK")))))</ns0:f>
        <ns0:v/>
      </ns0:c>
      <ns0:c r="L232" s="0">
        <ns0:f>IF(LEFT(K232,5)="CHECK",1,0)</ns0:f>
        <ns0:v>0</ns0:v>
      </ns0:c>
      <ns0:c r="M232" s="0">
        <ns0:f>IF(AND(L232=1,OR(C232=0,IFERROR(INDEX($X$11:$X$60,C232),0)=0)),1,0)</ns0:f>
        <ns0:v>0</ns0:v>
      </ns0:c>
      <ns0:c r="N232" s="0">
        <ns0:f>IF(OR(A232=0,L232&gt;0,$B$6&gt;0,Bookings!G232="Cancelled"),0,G232)</ns0:f>
        <ns0:v>0</ns0:v>
      </ns0:c>
      <ns0:c r="O232" s="0">
        <ns0:f>IF(AND(Bookings!G232="Approved",E232="Yes"),N232,0)</ns0:f>
        <ns0:v>0</ns0:v>
      </ns0:c>
      <ns0:c r="P232" s="0">
        <ns0:f>IF(AND(Bookings!G232="Approved",E232="Yes",L232=0,$B$6=0),H232,0)</ns0:f>
        <ns0:v>0</ns0:v>
      </ns0:c>
      <ns0:c r="Q232" s="0">
        <ns0:f>IF(AND(Bookings!G232="Approved",E232="Yes",L232=0,$B$6=0),I232,0)</ns0:f>
        <ns0:v>0</ns0:v>
      </ns0:c>
      <ns0:c r="R232" s="0">
        <ns0:f>IF(AND(Bookings!G232="Pending",E232="Yes"),N232,0)</ns0:f>
        <ns0:v>0</ns0:v>
      </ns0:c>
      <ns0:c r="S232" s="0">
        <ns0:f>IF(AND(Bookings!G232="Approved",E232="No"),N232,0)</ns0:f>
        <ns0:v>0</ns0:v>
      </ns0:c>
      <ns0:c r="T232" s="0">
        <ns0:f>IFERROR(MATCH(D232,Settings!$G$7:$G$11,0),0)</ns0:f>
        <ns0:v>0</ns0:v>
      </ns0:c>
      <ns0:c r="U232" s="0">
        <ns0:f>IF(N232&gt;0,T232+IF(Bookings!G232="Pending",10,0),0)</ns0:f>
        <ns0:v>0</ns0:v>
      </ns0:c>
      <ns0:c r="V232" s="0">
        <ns0:f>U232</ns0:f>
        <ns0:v>0</ns0:v>
      </ns0:c>
      <ns0:c r="W232" s="0" t="str">
        <ns0:f>IF(C232=0,"",INDEX($AP$11:$AP$60,C232))</ns0:f>
        <ns0:v/>
      </ns0:c>
    </ns0:row>
    <ns0:row r="233">
      <ns0:c r="A233" s="0">
        <ns0:f>IF(COUNTA(Bookings!A233:G233,Bookings!I233)=0,0,1)</ns0:f>
        <ns0:v>0</ns0:v>
      </ns0:c>
      <ns0:c r="B233" s="0" t="str">
        <ns0:f>IFERROR(TRIM(MID(Bookings!A233,FIND(" · ",Bookings!A233)+3,99)),"")</ns0:f>
        <ns0:v/>
      </ns0:c>
      <ns0:c r="C233" s="0">
        <ns0:f>IF(OR(B233="",LEN(B233)&gt;24,ISNUMBER(FIND(" ",B233)),ISNUMBER(FIND("*",B233)),ISNUMBER(FIND("?",B233)),ISNUMBER(FIND("~",B233))),0,IFERROR(MATCH(B233,Team!$A$11:$A$60,0),0))</ns0:f>
        <ns0:v>0</ns0:v>
      </ns0:c>
      <ns0:c r="D233" s="0" t="str">
        <ns0:f>IFERROR(IF(MID(Bookings!F233,LEN(Bookings!F233)-3,3)=" · ",RIGHT(Bookings!F233,1),""),"")</ns0:f>
        <ns0:v/>
      </ns0:c>
      <ns0:c r="E233" s="0" t="str">
        <ns0:f>IFERROR(INDEX(Settings!$H$7:$H$11,MATCH(D233,Settings!$G$7:$G$11,0)),"")</ns0:f>
        <ns0:v/>
      </ns0:c>
      <ns0:c r="F233" s="0" t="str">
        <ns0:f>IF(A233=0,"",IFERROR(IF(OR(B233="",C233=0),"CHECK employee selection",IF(INDEX(Team!$O$11:$O$60,C233)&lt;&gt;"OK","CHECK employee setup",IF(OR('_Dates'!J233=0,'_Dates'!T233=0),"CHECK date: use DD.MM.YYYY",IF('_Dates'!T233&lt;'_Dates'!J233,"CHECK end before start",IF(AND($B$6=0,OR('_Dates'!J233&lt;Settings!$B$7,'_Dates'!T233&gt;Settings!$B$8)),"CHECK split across leave years",IF(OR(NOT(OR('_Dates'!U233="Full day",'_Dates'!U233="AM",'_Dates'!U233="PM")),NOT(OR('_Dates'!V233="Full day",'_Dates'!V233="AM",'_Dates'!V233="PM"))),"CHECK Full day / AM / PM",IF(AND('_Dates'!J233='_Dates'!T233,'_Dates'!U233&lt;&gt;"Full day",'_Dates'!V233&lt;&gt;"Full day",'_Dates'!U233&lt;&gt;'_Dates'!V233),"CHECK same-day portions disagree",IF(AND($B$6=0,OR(AND('_Dates'!U233&lt;&gt;"Full day",'_Dates'!AA233=0),AND('_Dates'!V233&lt;&gt;"Full day",'_Dates'!AB233=0))),"CHECK half-day on non-working date",IF(COUNTIF(Settings!$G$7:$G$11,D233)&lt;&gt;1,"CHECK leave type",IF(AND(Bookings!G233&lt;&gt;"Approved",Bookings!G233&lt;&gt;"Pending",Bookings!G233&lt;&gt;"Cancelled"),"CHECK status","OK")))))))))),"CHECK input"))</ns0:f>
        <ns0:v/>
      </ns0:c>
      <ns0:c r="G233" s="0">
        <ns0:f>IF(OR(F233&lt;&gt;"OK",$B$6&gt;0),0,0.5*(IF(('_Dates'!X233)&lt;('_Dates'!W233),0,INT((('_Dates'!X233)-('_Dates'!W233)+1)/7)*LEN(SUBSTITUTE(W233,"O",""))+LEN(SUBSTITUTE(MID(W233&amp;W233,WEEKDAY(('_Dates'!W233),2),MOD((('_Dates'!X233)-('_Dates'!W233)+1),7)),"O",""))-COUNTIFS(INDEX(AllClosureRows,C233,0),"&gt;="&amp;('_Dates'!W233),INDEX(AllClosureRows,C233,0),"&lt;="&amp;('_Dates'!X233)))+IF(('_Dates'!Z233)&lt;('_Dates'!Y233),0,INT((('_Dates'!Z233)-('_Dates'!Y233)+1)/7)*LEN(SUBSTITUTE(W233,"O",""))+LEN(SUBSTITUTE(MID(W233&amp;W233,WEEKDAY(('_Dates'!Y233),2),MOD((('_Dates'!Z233)-('_Dates'!Y233)+1),7)),"O",""))-COUNTIFS(INDEX(AllClosureRows,C233,0),"&gt;="&amp;('_Dates'!Y233),INDEX(AllClosureRows,C233,0),"&lt;="&amp;('_Dates'!Z233)))))</ns0:f>
        <ns0:v>0</ns0:v>
      </ns0:c>
      <ns0:c r="H233" s="0">
        <ns0:f>IF(OR(F233&lt;&gt;"OK",$B$6&gt;0),0,0.5*(IF((MIN('_Dates'!X233,Settings!$B$9))&lt;('_Dates'!W233),0,INT(((MIN('_Dates'!X233,Settings!$B$9))-('_Dates'!W233)+1)/7)*LEN(SUBSTITUTE(W233,"O",""))+LEN(SUBSTITUTE(MID(W233&amp;W233,WEEKDAY(('_Dates'!W233),2),MOD(((MIN('_Dates'!X233,Settings!$B$9))-('_Dates'!W233)+1),7)),"O",""))-COUNTIFS(INDEX(AllClosureRows,C233,0),"&gt;="&amp;('_Dates'!W233),INDEX(AllClosureRows,C233,0),"&lt;="&amp;(MIN('_Dates'!X233,Settings!$B$9))))+IF((MIN('_Dates'!Z233,Settings!$B$9))&lt;('_Dates'!Y233),0,INT(((MIN('_Dates'!Z233,Settings!$B$9))-('_Dates'!Y233)+1)/7)*LEN(SUBSTITUTE(W233,"O",""))+LEN(SUBSTITUTE(MID(W233&amp;W233,WEEKDAY(('_Dates'!Y233),2),MOD(((MIN('_Dates'!Z233,Settings!$B$9))-('_Dates'!Y233)+1),7)),"O",""))-COUNTIFS(INDEX(AllClosureRows,C233,0),"&gt;="&amp;('_Dates'!Y233),INDEX(AllClosureRows,C233,0),"&lt;="&amp;(MIN('_Dates'!Z233,Settings!$B$9))))))</ns0:f>
        <ns0:v>0</ns0:v>
      </ns0:c>
      <ns0:c r="I233" s="0">
        <ns0:f>MAX(0,G233-H233)</ns0:f>
        <ns0:v>0</ns0:v>
      </ns0:c>
      <ns0:c r="J233" s="0">
        <ns0:f>IF(OR(A233=0,F233&lt;&gt;"OK",Bookings!G233="Cancelled",$B$6&gt;0),0,IF('_Dates'!AC233=1,MAX(0,COUNTIFS(rngEngine_B,B233,rngAMStart,"&lt;="&amp;'_Dates'!X233,rngAMEnd,"&gt;="&amp;'_Dates'!W233,rngAMActive,1,rngEngine_F,"OK",rngBookings_F,"&lt;&gt;Cancelled")-1),0)+IF('_Dates'!AD233=1,MAX(0,COUNTIFS(rngEngine_B,B233,rngPMStart,"&lt;="&amp;'_Dates'!Z233,rngPMEnd,"&gt;="&amp;'_Dates'!Y233,rngPMActive,1,rngEngine_F,"OK",rngBookings_F,"&lt;&gt;Cancelled")-1),0))</ns0:f>
        <ns0:v>0</ns0:v>
      </ns0:c>
      <ns0:c r="K233" s="0" t="str">
        <ns0:f>IF(A233=0,"",IF(F233&lt;&gt;"OK",F233,IF(J233&gt;0,"CHECK overlapping entry",IF(AND($B$6=0,G233&lt;=0,Bookings!G233&lt;&gt;"Cancelled"),"CHECK no working days",IF(Bookings!G233="Cancelled","Cancelled","OK")))))</ns0:f>
        <ns0:v/>
      </ns0:c>
      <ns0:c r="L233" s="0">
        <ns0:f>IF(LEFT(K233,5)="CHECK",1,0)</ns0:f>
        <ns0:v>0</ns0:v>
      </ns0:c>
      <ns0:c r="M233" s="0">
        <ns0:f>IF(AND(L233=1,OR(C233=0,IFERROR(INDEX($X$11:$X$60,C233),0)=0)),1,0)</ns0:f>
        <ns0:v>0</ns0:v>
      </ns0:c>
      <ns0:c r="N233" s="0">
        <ns0:f>IF(OR(A233=0,L233&gt;0,$B$6&gt;0,Bookings!G233="Cancelled"),0,G233)</ns0:f>
        <ns0:v>0</ns0:v>
      </ns0:c>
      <ns0:c r="O233" s="0">
        <ns0:f>IF(AND(Bookings!G233="Approved",E233="Yes"),N233,0)</ns0:f>
        <ns0:v>0</ns0:v>
      </ns0:c>
      <ns0:c r="P233" s="0">
        <ns0:f>IF(AND(Bookings!G233="Approved",E233="Yes",L233=0,$B$6=0),H233,0)</ns0:f>
        <ns0:v>0</ns0:v>
      </ns0:c>
      <ns0:c r="Q233" s="0">
        <ns0:f>IF(AND(Bookings!G233="Approved",E233="Yes",L233=0,$B$6=0),I233,0)</ns0:f>
        <ns0:v>0</ns0:v>
      </ns0:c>
      <ns0:c r="R233" s="0">
        <ns0:f>IF(AND(Bookings!G233="Pending",E233="Yes"),N233,0)</ns0:f>
        <ns0:v>0</ns0:v>
      </ns0:c>
      <ns0:c r="S233" s="0">
        <ns0:f>IF(AND(Bookings!G233="Approved",E233="No"),N233,0)</ns0:f>
        <ns0:v>0</ns0:v>
      </ns0:c>
      <ns0:c r="T233" s="0">
        <ns0:f>IFERROR(MATCH(D233,Settings!$G$7:$G$11,0),0)</ns0:f>
        <ns0:v>0</ns0:v>
      </ns0:c>
      <ns0:c r="U233" s="0">
        <ns0:f>IF(N233&gt;0,T233+IF(Bookings!G233="Pending",10,0),0)</ns0:f>
        <ns0:v>0</ns0:v>
      </ns0:c>
      <ns0:c r="V233" s="0">
        <ns0:f>U233</ns0:f>
        <ns0:v>0</ns0:v>
      </ns0:c>
      <ns0:c r="W233" s="0" t="str">
        <ns0:f>IF(C233=0,"",INDEX($AP$11:$AP$60,C233))</ns0:f>
        <ns0:v/>
      </ns0:c>
    </ns0:row>
    <ns0:row r="234">
      <ns0:c r="A234" s="0">
        <ns0:f>IF(COUNTA(Bookings!A234:G234,Bookings!I234)=0,0,1)</ns0:f>
        <ns0:v>0</ns0:v>
      </ns0:c>
      <ns0:c r="B234" s="0" t="str">
        <ns0:f>IFERROR(TRIM(MID(Bookings!A234,FIND(" · ",Bookings!A234)+3,99)),"")</ns0:f>
        <ns0:v/>
      </ns0:c>
      <ns0:c r="C234" s="0">
        <ns0:f>IF(OR(B234="",LEN(B234)&gt;24,ISNUMBER(FIND(" ",B234)),ISNUMBER(FIND("*",B234)),ISNUMBER(FIND("?",B234)),ISNUMBER(FIND("~",B234))),0,IFERROR(MATCH(B234,Team!$A$11:$A$60,0),0))</ns0:f>
        <ns0:v>0</ns0:v>
      </ns0:c>
      <ns0:c r="D234" s="0" t="str">
        <ns0:f>IFERROR(IF(MID(Bookings!F234,LEN(Bookings!F234)-3,3)=" · ",RIGHT(Bookings!F234,1),""),"")</ns0:f>
        <ns0:v/>
      </ns0:c>
      <ns0:c r="E234" s="0" t="str">
        <ns0:f>IFERROR(INDEX(Settings!$H$7:$H$11,MATCH(D234,Settings!$G$7:$G$11,0)),"")</ns0:f>
        <ns0:v/>
      </ns0:c>
      <ns0:c r="F234" s="0" t="str">
        <ns0:f>IF(A234=0,"",IFERROR(IF(OR(B234="",C234=0),"CHECK employee selection",IF(INDEX(Team!$O$11:$O$60,C234)&lt;&gt;"OK","CHECK employee setup",IF(OR('_Dates'!J234=0,'_Dates'!T234=0),"CHECK date: use DD.MM.YYYY",IF('_Dates'!T234&lt;'_Dates'!J234,"CHECK end before start",IF(AND($B$6=0,OR('_Dates'!J234&lt;Settings!$B$7,'_Dates'!T234&gt;Settings!$B$8)),"CHECK split across leave years",IF(OR(NOT(OR('_Dates'!U234="Full day",'_Dates'!U234="AM",'_Dates'!U234="PM")),NOT(OR('_Dates'!V234="Full day",'_Dates'!V234="AM",'_Dates'!V234="PM"))),"CHECK Full day / AM / PM",IF(AND('_Dates'!J234='_Dates'!T234,'_Dates'!U234&lt;&gt;"Full day",'_Dates'!V234&lt;&gt;"Full day",'_Dates'!U234&lt;&gt;'_Dates'!V234),"CHECK same-day portions disagree",IF(AND($B$6=0,OR(AND('_Dates'!U234&lt;&gt;"Full day",'_Dates'!AA234=0),AND('_Dates'!V234&lt;&gt;"Full day",'_Dates'!AB234=0))),"CHECK half-day on non-working date",IF(COUNTIF(Settings!$G$7:$G$11,D234)&lt;&gt;1,"CHECK leave type",IF(AND(Bookings!G234&lt;&gt;"Approved",Bookings!G234&lt;&gt;"Pending",Bookings!G234&lt;&gt;"Cancelled"),"CHECK status","OK")))))))))),"CHECK input"))</ns0:f>
        <ns0:v/>
      </ns0:c>
      <ns0:c r="G234" s="0">
        <ns0:f>IF(OR(F234&lt;&gt;"OK",$B$6&gt;0),0,0.5*(IF(('_Dates'!X234)&lt;('_Dates'!W234),0,INT((('_Dates'!X234)-('_Dates'!W234)+1)/7)*LEN(SUBSTITUTE(W234,"O",""))+LEN(SUBSTITUTE(MID(W234&amp;W234,WEEKDAY(('_Dates'!W234),2),MOD((('_Dates'!X234)-('_Dates'!W234)+1),7)),"O",""))-COUNTIFS(INDEX(AllClosureRows,C234,0),"&gt;="&amp;('_Dates'!W234),INDEX(AllClosureRows,C234,0),"&lt;="&amp;('_Dates'!X234)))+IF(('_Dates'!Z234)&lt;('_Dates'!Y234),0,INT((('_Dates'!Z234)-('_Dates'!Y234)+1)/7)*LEN(SUBSTITUTE(W234,"O",""))+LEN(SUBSTITUTE(MID(W234&amp;W234,WEEKDAY(('_Dates'!Y234),2),MOD((('_Dates'!Z234)-('_Dates'!Y234)+1),7)),"O",""))-COUNTIFS(INDEX(AllClosureRows,C234,0),"&gt;="&amp;('_Dates'!Y234),INDEX(AllClosureRows,C234,0),"&lt;="&amp;('_Dates'!Z234)))))</ns0:f>
        <ns0:v>0</ns0:v>
      </ns0:c>
      <ns0:c r="H234" s="0">
        <ns0:f>IF(OR(F234&lt;&gt;"OK",$B$6&gt;0),0,0.5*(IF((MIN('_Dates'!X234,Settings!$B$9))&lt;('_Dates'!W234),0,INT(((MIN('_Dates'!X234,Settings!$B$9))-('_Dates'!W234)+1)/7)*LEN(SUBSTITUTE(W234,"O",""))+LEN(SUBSTITUTE(MID(W234&amp;W234,WEEKDAY(('_Dates'!W234),2),MOD(((MIN('_Dates'!X234,Settings!$B$9))-('_Dates'!W234)+1),7)),"O",""))-COUNTIFS(INDEX(AllClosureRows,C234,0),"&gt;="&amp;('_Dates'!W234),INDEX(AllClosureRows,C234,0),"&lt;="&amp;(MIN('_Dates'!X234,Settings!$B$9))))+IF((MIN('_Dates'!Z234,Settings!$B$9))&lt;('_Dates'!Y234),0,INT(((MIN('_Dates'!Z234,Settings!$B$9))-('_Dates'!Y234)+1)/7)*LEN(SUBSTITUTE(W234,"O",""))+LEN(SUBSTITUTE(MID(W234&amp;W234,WEEKDAY(('_Dates'!Y234),2),MOD(((MIN('_Dates'!Z234,Settings!$B$9))-('_Dates'!Y234)+1),7)),"O",""))-COUNTIFS(INDEX(AllClosureRows,C234,0),"&gt;="&amp;('_Dates'!Y234),INDEX(AllClosureRows,C234,0),"&lt;="&amp;(MIN('_Dates'!Z234,Settings!$B$9))))))</ns0:f>
        <ns0:v>0</ns0:v>
      </ns0:c>
      <ns0:c r="I234" s="0">
        <ns0:f>MAX(0,G234-H234)</ns0:f>
        <ns0:v>0</ns0:v>
      </ns0:c>
      <ns0:c r="J234" s="0">
        <ns0:f>IF(OR(A234=0,F234&lt;&gt;"OK",Bookings!G234="Cancelled",$B$6&gt;0),0,IF('_Dates'!AC234=1,MAX(0,COUNTIFS(rngEngine_B,B234,rngAMStart,"&lt;="&amp;'_Dates'!X234,rngAMEnd,"&gt;="&amp;'_Dates'!W234,rngAMActive,1,rngEngine_F,"OK",rngBookings_F,"&lt;&gt;Cancelled")-1),0)+IF('_Dates'!AD234=1,MAX(0,COUNTIFS(rngEngine_B,B234,rngPMStart,"&lt;="&amp;'_Dates'!Z234,rngPMEnd,"&gt;="&amp;'_Dates'!Y234,rngPMActive,1,rngEngine_F,"OK",rngBookings_F,"&lt;&gt;Cancelled")-1),0))</ns0:f>
        <ns0:v>0</ns0:v>
      </ns0:c>
      <ns0:c r="K234" s="0" t="str">
        <ns0:f>IF(A234=0,"",IF(F234&lt;&gt;"OK",F234,IF(J234&gt;0,"CHECK overlapping entry",IF(AND($B$6=0,G234&lt;=0,Bookings!G234&lt;&gt;"Cancelled"),"CHECK no working days",IF(Bookings!G234="Cancelled","Cancelled","OK")))))</ns0:f>
        <ns0:v/>
      </ns0:c>
      <ns0:c r="L234" s="0">
        <ns0:f>IF(LEFT(K234,5)="CHECK",1,0)</ns0:f>
        <ns0:v>0</ns0:v>
      </ns0:c>
      <ns0:c r="M234" s="0">
        <ns0:f>IF(AND(L234=1,OR(C234=0,IFERROR(INDEX($X$11:$X$60,C234),0)=0)),1,0)</ns0:f>
        <ns0:v>0</ns0:v>
      </ns0:c>
      <ns0:c r="N234" s="0">
        <ns0:f>IF(OR(A234=0,L234&gt;0,$B$6&gt;0,Bookings!G234="Cancelled"),0,G234)</ns0:f>
        <ns0:v>0</ns0:v>
      </ns0:c>
      <ns0:c r="O234" s="0">
        <ns0:f>IF(AND(Bookings!G234="Approved",E234="Yes"),N234,0)</ns0:f>
        <ns0:v>0</ns0:v>
      </ns0:c>
      <ns0:c r="P234" s="0">
        <ns0:f>IF(AND(Bookings!G234="Approved",E234="Yes",L234=0,$B$6=0),H234,0)</ns0:f>
        <ns0:v>0</ns0:v>
      </ns0:c>
      <ns0:c r="Q234" s="0">
        <ns0:f>IF(AND(Bookings!G234="Approved",E234="Yes",L234=0,$B$6=0),I234,0)</ns0:f>
        <ns0:v>0</ns0:v>
      </ns0:c>
      <ns0:c r="R234" s="0">
        <ns0:f>IF(AND(Bookings!G234="Pending",E234="Yes"),N234,0)</ns0:f>
        <ns0:v>0</ns0:v>
      </ns0:c>
      <ns0:c r="S234" s="0">
        <ns0:f>IF(AND(Bookings!G234="Approved",E234="No"),N234,0)</ns0:f>
        <ns0:v>0</ns0:v>
      </ns0:c>
      <ns0:c r="T234" s="0">
        <ns0:f>IFERROR(MATCH(D234,Settings!$G$7:$G$11,0),0)</ns0:f>
        <ns0:v>0</ns0:v>
      </ns0:c>
      <ns0:c r="U234" s="0">
        <ns0:f>IF(N234&gt;0,T234+IF(Bookings!G234="Pending",10,0),0)</ns0:f>
        <ns0:v>0</ns0:v>
      </ns0:c>
      <ns0:c r="V234" s="0">
        <ns0:f>U234</ns0:f>
        <ns0:v>0</ns0:v>
      </ns0:c>
      <ns0:c r="W234" s="0" t="str">
        <ns0:f>IF(C234=0,"",INDEX($AP$11:$AP$60,C234))</ns0:f>
        <ns0:v/>
      </ns0:c>
    </ns0:row>
    <ns0:row r="235">
      <ns0:c r="A235" s="0">
        <ns0:f>IF(COUNTA(Bookings!A235:G235,Bookings!I235)=0,0,1)</ns0:f>
        <ns0:v>0</ns0:v>
      </ns0:c>
      <ns0:c r="B235" s="0" t="str">
        <ns0:f>IFERROR(TRIM(MID(Bookings!A235,FIND(" · ",Bookings!A235)+3,99)),"")</ns0:f>
        <ns0:v/>
      </ns0:c>
      <ns0:c r="C235" s="0">
        <ns0:f>IF(OR(B235="",LEN(B235)&gt;24,ISNUMBER(FIND(" ",B235)),ISNUMBER(FIND("*",B235)),ISNUMBER(FIND("?",B235)),ISNUMBER(FIND("~",B235))),0,IFERROR(MATCH(B235,Team!$A$11:$A$60,0),0))</ns0:f>
        <ns0:v>0</ns0:v>
      </ns0:c>
      <ns0:c r="D235" s="0" t="str">
        <ns0:f>IFERROR(IF(MID(Bookings!F235,LEN(Bookings!F235)-3,3)=" · ",RIGHT(Bookings!F235,1),""),"")</ns0:f>
        <ns0:v/>
      </ns0:c>
      <ns0:c r="E235" s="0" t="str">
        <ns0:f>IFERROR(INDEX(Settings!$H$7:$H$11,MATCH(D235,Settings!$G$7:$G$11,0)),"")</ns0:f>
        <ns0:v/>
      </ns0:c>
      <ns0:c r="F235" s="0" t="str">
        <ns0:f>IF(A235=0,"",IFERROR(IF(OR(B235="",C235=0),"CHECK employee selection",IF(INDEX(Team!$O$11:$O$60,C235)&lt;&gt;"OK","CHECK employee setup",IF(OR('_Dates'!J235=0,'_Dates'!T235=0),"CHECK date: use DD.MM.YYYY",IF('_Dates'!T235&lt;'_Dates'!J235,"CHECK end before start",IF(AND($B$6=0,OR('_Dates'!J235&lt;Settings!$B$7,'_Dates'!T235&gt;Settings!$B$8)),"CHECK split across leave years",IF(OR(NOT(OR('_Dates'!U235="Full day",'_Dates'!U235="AM",'_Dates'!U235="PM")),NOT(OR('_Dates'!V235="Full day",'_Dates'!V235="AM",'_Dates'!V235="PM"))),"CHECK Full day / AM / PM",IF(AND('_Dates'!J235='_Dates'!T235,'_Dates'!U235&lt;&gt;"Full day",'_Dates'!V235&lt;&gt;"Full day",'_Dates'!U235&lt;&gt;'_Dates'!V235),"CHECK same-day portions disagree",IF(AND($B$6=0,OR(AND('_Dates'!U235&lt;&gt;"Full day",'_Dates'!AA235=0),AND('_Dates'!V235&lt;&gt;"Full day",'_Dates'!AB235=0))),"CHECK half-day on non-working date",IF(COUNTIF(Settings!$G$7:$G$11,D235)&lt;&gt;1,"CHECK leave type",IF(AND(Bookings!G235&lt;&gt;"Approved",Bookings!G235&lt;&gt;"Pending",Bookings!G235&lt;&gt;"Cancelled"),"CHECK status","OK")))))))))),"CHECK input"))</ns0:f>
        <ns0:v/>
      </ns0:c>
      <ns0:c r="G235" s="0">
        <ns0:f>IF(OR(F235&lt;&gt;"OK",$B$6&gt;0),0,0.5*(IF(('_Dates'!X235)&lt;('_Dates'!W235),0,INT((('_Dates'!X235)-('_Dates'!W235)+1)/7)*LEN(SUBSTITUTE(W235,"O",""))+LEN(SUBSTITUTE(MID(W235&amp;W235,WEEKDAY(('_Dates'!W235),2),MOD((('_Dates'!X235)-('_Dates'!W235)+1),7)),"O",""))-COUNTIFS(INDEX(AllClosureRows,C235,0),"&gt;="&amp;('_Dates'!W235),INDEX(AllClosureRows,C235,0),"&lt;="&amp;('_Dates'!X235)))+IF(('_Dates'!Z235)&lt;('_Dates'!Y235),0,INT((('_Dates'!Z235)-('_Dates'!Y235)+1)/7)*LEN(SUBSTITUTE(W235,"O",""))+LEN(SUBSTITUTE(MID(W235&amp;W235,WEEKDAY(('_Dates'!Y235),2),MOD((('_Dates'!Z235)-('_Dates'!Y235)+1),7)),"O",""))-COUNTIFS(INDEX(AllClosureRows,C235,0),"&gt;="&amp;('_Dates'!Y235),INDEX(AllClosureRows,C235,0),"&lt;="&amp;('_Dates'!Z235)))))</ns0:f>
        <ns0:v>0</ns0:v>
      </ns0:c>
      <ns0:c r="H235" s="0">
        <ns0:f>IF(OR(F235&lt;&gt;"OK",$B$6&gt;0),0,0.5*(IF((MIN('_Dates'!X235,Settings!$B$9))&lt;('_Dates'!W235),0,INT(((MIN('_Dates'!X235,Settings!$B$9))-('_Dates'!W235)+1)/7)*LEN(SUBSTITUTE(W235,"O",""))+LEN(SUBSTITUTE(MID(W235&amp;W235,WEEKDAY(('_Dates'!W235),2),MOD(((MIN('_Dates'!X235,Settings!$B$9))-('_Dates'!W235)+1),7)),"O",""))-COUNTIFS(INDEX(AllClosureRows,C235,0),"&gt;="&amp;('_Dates'!W235),INDEX(AllClosureRows,C235,0),"&lt;="&amp;(MIN('_Dates'!X235,Settings!$B$9))))+IF((MIN('_Dates'!Z235,Settings!$B$9))&lt;('_Dates'!Y235),0,INT(((MIN('_Dates'!Z235,Settings!$B$9))-('_Dates'!Y235)+1)/7)*LEN(SUBSTITUTE(W235,"O",""))+LEN(SUBSTITUTE(MID(W235&amp;W235,WEEKDAY(('_Dates'!Y235),2),MOD(((MIN('_Dates'!Z235,Settings!$B$9))-('_Dates'!Y235)+1),7)),"O",""))-COUNTIFS(INDEX(AllClosureRows,C235,0),"&gt;="&amp;('_Dates'!Y235),INDEX(AllClosureRows,C235,0),"&lt;="&amp;(MIN('_Dates'!Z235,Settings!$B$9))))))</ns0:f>
        <ns0:v>0</ns0:v>
      </ns0:c>
      <ns0:c r="I235" s="0">
        <ns0:f>MAX(0,G235-H235)</ns0:f>
        <ns0:v>0</ns0:v>
      </ns0:c>
      <ns0:c r="J235" s="0">
        <ns0:f>IF(OR(A235=0,F235&lt;&gt;"OK",Bookings!G235="Cancelled",$B$6&gt;0),0,IF('_Dates'!AC235=1,MAX(0,COUNTIFS(rngEngine_B,B235,rngAMStart,"&lt;="&amp;'_Dates'!X235,rngAMEnd,"&gt;="&amp;'_Dates'!W235,rngAMActive,1,rngEngine_F,"OK",rngBookings_F,"&lt;&gt;Cancelled")-1),0)+IF('_Dates'!AD235=1,MAX(0,COUNTIFS(rngEngine_B,B235,rngPMStart,"&lt;="&amp;'_Dates'!Z235,rngPMEnd,"&gt;="&amp;'_Dates'!Y235,rngPMActive,1,rngEngine_F,"OK",rngBookings_F,"&lt;&gt;Cancelled")-1),0))</ns0:f>
        <ns0:v>0</ns0:v>
      </ns0:c>
      <ns0:c r="K235" s="0" t="str">
        <ns0:f>IF(A235=0,"",IF(F235&lt;&gt;"OK",F235,IF(J235&gt;0,"CHECK overlapping entry",IF(AND($B$6=0,G235&lt;=0,Bookings!G235&lt;&gt;"Cancelled"),"CHECK no working days",IF(Bookings!G235="Cancelled","Cancelled","OK")))))</ns0:f>
        <ns0:v/>
      </ns0:c>
      <ns0:c r="L235" s="0">
        <ns0:f>IF(LEFT(K235,5)="CHECK",1,0)</ns0:f>
        <ns0:v>0</ns0:v>
      </ns0:c>
      <ns0:c r="M235" s="0">
        <ns0:f>IF(AND(L235=1,OR(C235=0,IFERROR(INDEX($X$11:$X$60,C235),0)=0)),1,0)</ns0:f>
        <ns0:v>0</ns0:v>
      </ns0:c>
      <ns0:c r="N235" s="0">
        <ns0:f>IF(OR(A235=0,L235&gt;0,$B$6&gt;0,Bookings!G235="Cancelled"),0,G235)</ns0:f>
        <ns0:v>0</ns0:v>
      </ns0:c>
      <ns0:c r="O235" s="0">
        <ns0:f>IF(AND(Bookings!G235="Approved",E235="Yes"),N235,0)</ns0:f>
        <ns0:v>0</ns0:v>
      </ns0:c>
      <ns0:c r="P235" s="0">
        <ns0:f>IF(AND(Bookings!G235="Approved",E235="Yes",L235=0,$B$6=0),H235,0)</ns0:f>
        <ns0:v>0</ns0:v>
      </ns0:c>
      <ns0:c r="Q235" s="0">
        <ns0:f>IF(AND(Bookings!G235="Approved",E235="Yes",L235=0,$B$6=0),I235,0)</ns0:f>
        <ns0:v>0</ns0:v>
      </ns0:c>
      <ns0:c r="R235" s="0">
        <ns0:f>IF(AND(Bookings!G235="Pending",E235="Yes"),N235,0)</ns0:f>
        <ns0:v>0</ns0:v>
      </ns0:c>
      <ns0:c r="S235" s="0">
        <ns0:f>IF(AND(Bookings!G235="Approved",E235="No"),N235,0)</ns0:f>
        <ns0:v>0</ns0:v>
      </ns0:c>
      <ns0:c r="T235" s="0">
        <ns0:f>IFERROR(MATCH(D235,Settings!$G$7:$G$11,0),0)</ns0:f>
        <ns0:v>0</ns0:v>
      </ns0:c>
      <ns0:c r="U235" s="0">
        <ns0:f>IF(N235&gt;0,T235+IF(Bookings!G235="Pending",10,0),0)</ns0:f>
        <ns0:v>0</ns0:v>
      </ns0:c>
      <ns0:c r="V235" s="0">
        <ns0:f>U235</ns0:f>
        <ns0:v>0</ns0:v>
      </ns0:c>
      <ns0:c r="W235" s="0" t="str">
        <ns0:f>IF(C235=0,"",INDEX($AP$11:$AP$60,C235))</ns0:f>
        <ns0:v/>
      </ns0:c>
    </ns0:row>
    <ns0:row r="236">
      <ns0:c r="A236" s="0">
        <ns0:f>IF(COUNTA(Bookings!A236:G236,Bookings!I236)=0,0,1)</ns0:f>
        <ns0:v>0</ns0:v>
      </ns0:c>
      <ns0:c r="B236" s="0" t="str">
        <ns0:f>IFERROR(TRIM(MID(Bookings!A236,FIND(" · ",Bookings!A236)+3,99)),"")</ns0:f>
        <ns0:v/>
      </ns0:c>
      <ns0:c r="C236" s="0">
        <ns0:f>IF(OR(B236="",LEN(B236)&gt;24,ISNUMBER(FIND(" ",B236)),ISNUMBER(FIND("*",B236)),ISNUMBER(FIND("?",B236)),ISNUMBER(FIND("~",B236))),0,IFERROR(MATCH(B236,Team!$A$11:$A$60,0),0))</ns0:f>
        <ns0:v>0</ns0:v>
      </ns0:c>
      <ns0:c r="D236" s="0" t="str">
        <ns0:f>IFERROR(IF(MID(Bookings!F236,LEN(Bookings!F236)-3,3)=" · ",RIGHT(Bookings!F236,1),""),"")</ns0:f>
        <ns0:v/>
      </ns0:c>
      <ns0:c r="E236" s="0" t="str">
        <ns0:f>IFERROR(INDEX(Settings!$H$7:$H$11,MATCH(D236,Settings!$G$7:$G$11,0)),"")</ns0:f>
        <ns0:v/>
      </ns0:c>
      <ns0:c r="F236" s="0" t="str">
        <ns0:f>IF(A236=0,"",IFERROR(IF(OR(B236="",C236=0),"CHECK employee selection",IF(INDEX(Team!$O$11:$O$60,C236)&lt;&gt;"OK","CHECK employee setup",IF(OR('_Dates'!J236=0,'_Dates'!T236=0),"CHECK date: use DD.MM.YYYY",IF('_Dates'!T236&lt;'_Dates'!J236,"CHECK end before start",IF(AND($B$6=0,OR('_Dates'!J236&lt;Settings!$B$7,'_Dates'!T236&gt;Settings!$B$8)),"CHECK split across leave years",IF(OR(NOT(OR('_Dates'!U236="Full day",'_Dates'!U236="AM",'_Dates'!U236="PM")),NOT(OR('_Dates'!V236="Full day",'_Dates'!V236="AM",'_Dates'!V236="PM"))),"CHECK Full day / AM / PM",IF(AND('_Dates'!J236='_Dates'!T236,'_Dates'!U236&lt;&gt;"Full day",'_Dates'!V236&lt;&gt;"Full day",'_Dates'!U236&lt;&gt;'_Dates'!V236),"CHECK same-day portions disagree",IF(AND($B$6=0,OR(AND('_Dates'!U236&lt;&gt;"Full day",'_Dates'!AA236=0),AND('_Dates'!V236&lt;&gt;"Full day",'_Dates'!AB236=0))),"CHECK half-day on non-working date",IF(COUNTIF(Settings!$G$7:$G$11,D236)&lt;&gt;1,"CHECK leave type",IF(AND(Bookings!G236&lt;&gt;"Approved",Bookings!G236&lt;&gt;"Pending",Bookings!G236&lt;&gt;"Cancelled"),"CHECK status","OK")))))))))),"CHECK input"))</ns0:f>
        <ns0:v/>
      </ns0:c>
      <ns0:c r="G236" s="0">
        <ns0:f>IF(OR(F236&lt;&gt;"OK",$B$6&gt;0),0,0.5*(IF(('_Dates'!X236)&lt;('_Dates'!W236),0,INT((('_Dates'!X236)-('_Dates'!W236)+1)/7)*LEN(SUBSTITUTE(W236,"O",""))+LEN(SUBSTITUTE(MID(W236&amp;W236,WEEKDAY(('_Dates'!W236),2),MOD((('_Dates'!X236)-('_Dates'!W236)+1),7)),"O",""))-COUNTIFS(INDEX(AllClosureRows,C236,0),"&gt;="&amp;('_Dates'!W236),INDEX(AllClosureRows,C236,0),"&lt;="&amp;('_Dates'!X236)))+IF(('_Dates'!Z236)&lt;('_Dates'!Y236),0,INT((('_Dates'!Z236)-('_Dates'!Y236)+1)/7)*LEN(SUBSTITUTE(W236,"O",""))+LEN(SUBSTITUTE(MID(W236&amp;W236,WEEKDAY(('_Dates'!Y236),2),MOD((('_Dates'!Z236)-('_Dates'!Y236)+1),7)),"O",""))-COUNTIFS(INDEX(AllClosureRows,C236,0),"&gt;="&amp;('_Dates'!Y236),INDEX(AllClosureRows,C236,0),"&lt;="&amp;('_Dates'!Z236)))))</ns0:f>
        <ns0:v>0</ns0:v>
      </ns0:c>
      <ns0:c r="H236" s="0">
        <ns0:f>IF(OR(F236&lt;&gt;"OK",$B$6&gt;0),0,0.5*(IF((MIN('_Dates'!X236,Settings!$B$9))&lt;('_Dates'!W236),0,INT(((MIN('_Dates'!X236,Settings!$B$9))-('_Dates'!W236)+1)/7)*LEN(SUBSTITUTE(W236,"O",""))+LEN(SUBSTITUTE(MID(W236&amp;W236,WEEKDAY(('_Dates'!W236),2),MOD(((MIN('_Dates'!X236,Settings!$B$9))-('_Dates'!W236)+1),7)),"O",""))-COUNTIFS(INDEX(AllClosureRows,C236,0),"&gt;="&amp;('_Dates'!W236),INDEX(AllClosureRows,C236,0),"&lt;="&amp;(MIN('_Dates'!X236,Settings!$B$9))))+IF((MIN('_Dates'!Z236,Settings!$B$9))&lt;('_Dates'!Y236),0,INT(((MIN('_Dates'!Z236,Settings!$B$9))-('_Dates'!Y236)+1)/7)*LEN(SUBSTITUTE(W236,"O",""))+LEN(SUBSTITUTE(MID(W236&amp;W236,WEEKDAY(('_Dates'!Y236),2),MOD(((MIN('_Dates'!Z236,Settings!$B$9))-('_Dates'!Y236)+1),7)),"O",""))-COUNTIFS(INDEX(AllClosureRows,C236,0),"&gt;="&amp;('_Dates'!Y236),INDEX(AllClosureRows,C236,0),"&lt;="&amp;(MIN('_Dates'!Z236,Settings!$B$9))))))</ns0:f>
        <ns0:v>0</ns0:v>
      </ns0:c>
      <ns0:c r="I236" s="0">
        <ns0:f>MAX(0,G236-H236)</ns0:f>
        <ns0:v>0</ns0:v>
      </ns0:c>
      <ns0:c r="J236" s="0">
        <ns0:f>IF(OR(A236=0,F236&lt;&gt;"OK",Bookings!G236="Cancelled",$B$6&gt;0),0,IF('_Dates'!AC236=1,MAX(0,COUNTIFS(rngEngine_B,B236,rngAMStart,"&lt;="&amp;'_Dates'!X236,rngAMEnd,"&gt;="&amp;'_Dates'!W236,rngAMActive,1,rngEngine_F,"OK",rngBookings_F,"&lt;&gt;Cancelled")-1),0)+IF('_Dates'!AD236=1,MAX(0,COUNTIFS(rngEngine_B,B236,rngPMStart,"&lt;="&amp;'_Dates'!Z236,rngPMEnd,"&gt;="&amp;'_Dates'!Y236,rngPMActive,1,rngEngine_F,"OK",rngBookings_F,"&lt;&gt;Cancelled")-1),0))</ns0:f>
        <ns0:v>0</ns0:v>
      </ns0:c>
      <ns0:c r="K236" s="0" t="str">
        <ns0:f>IF(A236=0,"",IF(F236&lt;&gt;"OK",F236,IF(J236&gt;0,"CHECK overlapping entry",IF(AND($B$6=0,G236&lt;=0,Bookings!G236&lt;&gt;"Cancelled"),"CHECK no working days",IF(Bookings!G236="Cancelled","Cancelled","OK")))))</ns0:f>
        <ns0:v/>
      </ns0:c>
      <ns0:c r="L236" s="0">
        <ns0:f>IF(LEFT(K236,5)="CHECK",1,0)</ns0:f>
        <ns0:v>0</ns0:v>
      </ns0:c>
      <ns0:c r="M236" s="0">
        <ns0:f>IF(AND(L236=1,OR(C236=0,IFERROR(INDEX($X$11:$X$60,C236),0)=0)),1,0)</ns0:f>
        <ns0:v>0</ns0:v>
      </ns0:c>
      <ns0:c r="N236" s="0">
        <ns0:f>IF(OR(A236=0,L236&gt;0,$B$6&gt;0,Bookings!G236="Cancelled"),0,G236)</ns0:f>
        <ns0:v>0</ns0:v>
      </ns0:c>
      <ns0:c r="O236" s="0">
        <ns0:f>IF(AND(Bookings!G236="Approved",E236="Yes"),N236,0)</ns0:f>
        <ns0:v>0</ns0:v>
      </ns0:c>
      <ns0:c r="P236" s="0">
        <ns0:f>IF(AND(Bookings!G236="Approved",E236="Yes",L236=0,$B$6=0),H236,0)</ns0:f>
        <ns0:v>0</ns0:v>
      </ns0:c>
      <ns0:c r="Q236" s="0">
        <ns0:f>IF(AND(Bookings!G236="Approved",E236="Yes",L236=0,$B$6=0),I236,0)</ns0:f>
        <ns0:v>0</ns0:v>
      </ns0:c>
      <ns0:c r="R236" s="0">
        <ns0:f>IF(AND(Bookings!G236="Pending",E236="Yes"),N236,0)</ns0:f>
        <ns0:v>0</ns0:v>
      </ns0:c>
      <ns0:c r="S236" s="0">
        <ns0:f>IF(AND(Bookings!G236="Approved",E236="No"),N236,0)</ns0:f>
        <ns0:v>0</ns0:v>
      </ns0:c>
      <ns0:c r="T236" s="0">
        <ns0:f>IFERROR(MATCH(D236,Settings!$G$7:$G$11,0),0)</ns0:f>
        <ns0:v>0</ns0:v>
      </ns0:c>
      <ns0:c r="U236" s="0">
        <ns0:f>IF(N236&gt;0,T236+IF(Bookings!G236="Pending",10,0),0)</ns0:f>
        <ns0:v>0</ns0:v>
      </ns0:c>
      <ns0:c r="V236" s="0">
        <ns0:f>U236</ns0:f>
        <ns0:v>0</ns0:v>
      </ns0:c>
      <ns0:c r="W236" s="0" t="str">
        <ns0:f>IF(C236=0,"",INDEX($AP$11:$AP$60,C236))</ns0:f>
        <ns0:v/>
      </ns0:c>
    </ns0:row>
    <ns0:row r="237">
      <ns0:c r="A237" s="0">
        <ns0:f>IF(COUNTA(Bookings!A237:G237,Bookings!I237)=0,0,1)</ns0:f>
        <ns0:v>0</ns0:v>
      </ns0:c>
      <ns0:c r="B237" s="0" t="str">
        <ns0:f>IFERROR(TRIM(MID(Bookings!A237,FIND(" · ",Bookings!A237)+3,99)),"")</ns0:f>
        <ns0:v/>
      </ns0:c>
      <ns0:c r="C237" s="0">
        <ns0:f>IF(OR(B237="",LEN(B237)&gt;24,ISNUMBER(FIND(" ",B237)),ISNUMBER(FIND("*",B237)),ISNUMBER(FIND("?",B237)),ISNUMBER(FIND("~",B237))),0,IFERROR(MATCH(B237,Team!$A$11:$A$60,0),0))</ns0:f>
        <ns0:v>0</ns0:v>
      </ns0:c>
      <ns0:c r="D237" s="0" t="str">
        <ns0:f>IFERROR(IF(MID(Bookings!F237,LEN(Bookings!F237)-3,3)=" · ",RIGHT(Bookings!F237,1),""),"")</ns0:f>
        <ns0:v/>
      </ns0:c>
      <ns0:c r="E237" s="0" t="str">
        <ns0:f>IFERROR(INDEX(Settings!$H$7:$H$11,MATCH(D237,Settings!$G$7:$G$11,0)),"")</ns0:f>
        <ns0:v/>
      </ns0:c>
      <ns0:c r="F237" s="0" t="str">
        <ns0:f>IF(A237=0,"",IFERROR(IF(OR(B237="",C237=0),"CHECK employee selection",IF(INDEX(Team!$O$11:$O$60,C237)&lt;&gt;"OK","CHECK employee setup",IF(OR('_Dates'!J237=0,'_Dates'!T237=0),"CHECK date: use DD.MM.YYYY",IF('_Dates'!T237&lt;'_Dates'!J237,"CHECK end before start",IF(AND($B$6=0,OR('_Dates'!J237&lt;Settings!$B$7,'_Dates'!T237&gt;Settings!$B$8)),"CHECK split across leave years",IF(OR(NOT(OR('_Dates'!U237="Full day",'_Dates'!U237="AM",'_Dates'!U237="PM")),NOT(OR('_Dates'!V237="Full day",'_Dates'!V237="AM",'_Dates'!V237="PM"))),"CHECK Full day / AM / PM",IF(AND('_Dates'!J237='_Dates'!T237,'_Dates'!U237&lt;&gt;"Full day",'_Dates'!V237&lt;&gt;"Full day",'_Dates'!U237&lt;&gt;'_Dates'!V237),"CHECK same-day portions disagree",IF(AND($B$6=0,OR(AND('_Dates'!U237&lt;&gt;"Full day",'_Dates'!AA237=0),AND('_Dates'!V237&lt;&gt;"Full day",'_Dates'!AB237=0))),"CHECK half-day on non-working date",IF(COUNTIF(Settings!$G$7:$G$11,D237)&lt;&gt;1,"CHECK leave type",IF(AND(Bookings!G237&lt;&gt;"Approved",Bookings!G237&lt;&gt;"Pending",Bookings!G237&lt;&gt;"Cancelled"),"CHECK status","OK")))))))))),"CHECK input"))</ns0:f>
        <ns0:v/>
      </ns0:c>
      <ns0:c r="G237" s="0">
        <ns0:f>IF(OR(F237&lt;&gt;"OK",$B$6&gt;0),0,0.5*(IF(('_Dates'!X237)&lt;('_Dates'!W237),0,INT((('_Dates'!X237)-('_Dates'!W237)+1)/7)*LEN(SUBSTITUTE(W237,"O",""))+LEN(SUBSTITUTE(MID(W237&amp;W237,WEEKDAY(('_Dates'!W237),2),MOD((('_Dates'!X237)-('_Dates'!W237)+1),7)),"O",""))-COUNTIFS(INDEX(AllClosureRows,C237,0),"&gt;="&amp;('_Dates'!W237),INDEX(AllClosureRows,C237,0),"&lt;="&amp;('_Dates'!X237)))+IF(('_Dates'!Z237)&lt;('_Dates'!Y237),0,INT((('_Dates'!Z237)-('_Dates'!Y237)+1)/7)*LEN(SUBSTITUTE(W237,"O",""))+LEN(SUBSTITUTE(MID(W237&amp;W237,WEEKDAY(('_Dates'!Y237),2),MOD((('_Dates'!Z237)-('_Dates'!Y237)+1),7)),"O",""))-COUNTIFS(INDEX(AllClosureRows,C237,0),"&gt;="&amp;('_Dates'!Y237),INDEX(AllClosureRows,C237,0),"&lt;="&amp;('_Dates'!Z237)))))</ns0:f>
        <ns0:v>0</ns0:v>
      </ns0:c>
      <ns0:c r="H237" s="0">
        <ns0:f>IF(OR(F237&lt;&gt;"OK",$B$6&gt;0),0,0.5*(IF((MIN('_Dates'!X237,Settings!$B$9))&lt;('_Dates'!W237),0,INT(((MIN('_Dates'!X237,Settings!$B$9))-('_Dates'!W237)+1)/7)*LEN(SUBSTITUTE(W237,"O",""))+LEN(SUBSTITUTE(MID(W237&amp;W237,WEEKDAY(('_Dates'!W237),2),MOD(((MIN('_Dates'!X237,Settings!$B$9))-('_Dates'!W237)+1),7)),"O",""))-COUNTIFS(INDEX(AllClosureRows,C237,0),"&gt;="&amp;('_Dates'!W237),INDEX(AllClosureRows,C237,0),"&lt;="&amp;(MIN('_Dates'!X237,Settings!$B$9))))+IF((MIN('_Dates'!Z237,Settings!$B$9))&lt;('_Dates'!Y237),0,INT(((MIN('_Dates'!Z237,Settings!$B$9))-('_Dates'!Y237)+1)/7)*LEN(SUBSTITUTE(W237,"O",""))+LEN(SUBSTITUTE(MID(W237&amp;W237,WEEKDAY(('_Dates'!Y237),2),MOD(((MIN('_Dates'!Z237,Settings!$B$9))-('_Dates'!Y237)+1),7)),"O",""))-COUNTIFS(INDEX(AllClosureRows,C237,0),"&gt;="&amp;('_Dates'!Y237),INDEX(AllClosureRows,C237,0),"&lt;="&amp;(MIN('_Dates'!Z237,Settings!$B$9))))))</ns0:f>
        <ns0:v>0</ns0:v>
      </ns0:c>
      <ns0:c r="I237" s="0">
        <ns0:f>MAX(0,G237-H237)</ns0:f>
        <ns0:v>0</ns0:v>
      </ns0:c>
      <ns0:c r="J237" s="0">
        <ns0:f>IF(OR(A237=0,F237&lt;&gt;"OK",Bookings!G237="Cancelled",$B$6&gt;0),0,IF('_Dates'!AC237=1,MAX(0,COUNTIFS(rngEngine_B,B237,rngAMStart,"&lt;="&amp;'_Dates'!X237,rngAMEnd,"&gt;="&amp;'_Dates'!W237,rngAMActive,1,rngEngine_F,"OK",rngBookings_F,"&lt;&gt;Cancelled")-1),0)+IF('_Dates'!AD237=1,MAX(0,COUNTIFS(rngEngine_B,B237,rngPMStart,"&lt;="&amp;'_Dates'!Z237,rngPMEnd,"&gt;="&amp;'_Dates'!Y237,rngPMActive,1,rngEngine_F,"OK",rngBookings_F,"&lt;&gt;Cancelled")-1),0))</ns0:f>
        <ns0:v>0</ns0:v>
      </ns0:c>
      <ns0:c r="K237" s="0" t="str">
        <ns0:f>IF(A237=0,"",IF(F237&lt;&gt;"OK",F237,IF(J237&gt;0,"CHECK overlapping entry",IF(AND($B$6=0,G237&lt;=0,Bookings!G237&lt;&gt;"Cancelled"),"CHECK no working days",IF(Bookings!G237="Cancelled","Cancelled","OK")))))</ns0:f>
        <ns0:v/>
      </ns0:c>
      <ns0:c r="L237" s="0">
        <ns0:f>IF(LEFT(K237,5)="CHECK",1,0)</ns0:f>
        <ns0:v>0</ns0:v>
      </ns0:c>
      <ns0:c r="M237" s="0">
        <ns0:f>IF(AND(L237=1,OR(C237=0,IFERROR(INDEX($X$11:$X$60,C237),0)=0)),1,0)</ns0:f>
        <ns0:v>0</ns0:v>
      </ns0:c>
      <ns0:c r="N237" s="0">
        <ns0:f>IF(OR(A237=0,L237&gt;0,$B$6&gt;0,Bookings!G237="Cancelled"),0,G237)</ns0:f>
        <ns0:v>0</ns0:v>
      </ns0:c>
      <ns0:c r="O237" s="0">
        <ns0:f>IF(AND(Bookings!G237="Approved",E237="Yes"),N237,0)</ns0:f>
        <ns0:v>0</ns0:v>
      </ns0:c>
      <ns0:c r="P237" s="0">
        <ns0:f>IF(AND(Bookings!G237="Approved",E237="Yes",L237=0,$B$6=0),H237,0)</ns0:f>
        <ns0:v>0</ns0:v>
      </ns0:c>
      <ns0:c r="Q237" s="0">
        <ns0:f>IF(AND(Bookings!G237="Approved",E237="Yes",L237=0,$B$6=0),I237,0)</ns0:f>
        <ns0:v>0</ns0:v>
      </ns0:c>
      <ns0:c r="R237" s="0">
        <ns0:f>IF(AND(Bookings!G237="Pending",E237="Yes"),N237,0)</ns0:f>
        <ns0:v>0</ns0:v>
      </ns0:c>
      <ns0:c r="S237" s="0">
        <ns0:f>IF(AND(Bookings!G237="Approved",E237="No"),N237,0)</ns0:f>
        <ns0:v>0</ns0:v>
      </ns0:c>
      <ns0:c r="T237" s="0">
        <ns0:f>IFERROR(MATCH(D237,Settings!$G$7:$G$11,0),0)</ns0:f>
        <ns0:v>0</ns0:v>
      </ns0:c>
      <ns0:c r="U237" s="0">
        <ns0:f>IF(N237&gt;0,T237+IF(Bookings!G237="Pending",10,0),0)</ns0:f>
        <ns0:v>0</ns0:v>
      </ns0:c>
      <ns0:c r="V237" s="0">
        <ns0:f>U237</ns0:f>
        <ns0:v>0</ns0:v>
      </ns0:c>
      <ns0:c r="W237" s="0" t="str">
        <ns0:f>IF(C237=0,"",INDEX($AP$11:$AP$60,C237))</ns0:f>
        <ns0:v/>
      </ns0:c>
    </ns0:row>
    <ns0:row r="238">
      <ns0:c r="A238" s="0">
        <ns0:f>IF(COUNTA(Bookings!A238:G238,Bookings!I238)=0,0,1)</ns0:f>
        <ns0:v>0</ns0:v>
      </ns0:c>
      <ns0:c r="B238" s="0" t="str">
        <ns0:f>IFERROR(TRIM(MID(Bookings!A238,FIND(" · ",Bookings!A238)+3,99)),"")</ns0:f>
        <ns0:v/>
      </ns0:c>
      <ns0:c r="C238" s="0">
        <ns0:f>IF(OR(B238="",LEN(B238)&gt;24,ISNUMBER(FIND(" ",B238)),ISNUMBER(FIND("*",B238)),ISNUMBER(FIND("?",B238)),ISNUMBER(FIND("~",B238))),0,IFERROR(MATCH(B238,Team!$A$11:$A$60,0),0))</ns0:f>
        <ns0:v>0</ns0:v>
      </ns0:c>
      <ns0:c r="D238" s="0" t="str">
        <ns0:f>IFERROR(IF(MID(Bookings!F238,LEN(Bookings!F238)-3,3)=" · ",RIGHT(Bookings!F238,1),""),"")</ns0:f>
        <ns0:v/>
      </ns0:c>
      <ns0:c r="E238" s="0" t="str">
        <ns0:f>IFERROR(INDEX(Settings!$H$7:$H$11,MATCH(D238,Settings!$G$7:$G$11,0)),"")</ns0:f>
        <ns0:v/>
      </ns0:c>
      <ns0:c r="F238" s="0" t="str">
        <ns0:f>IF(A238=0,"",IFERROR(IF(OR(B238="",C238=0),"CHECK employee selection",IF(INDEX(Team!$O$11:$O$60,C238)&lt;&gt;"OK","CHECK employee setup",IF(OR('_Dates'!J238=0,'_Dates'!T238=0),"CHECK date: use DD.MM.YYYY",IF('_Dates'!T238&lt;'_Dates'!J238,"CHECK end before start",IF(AND($B$6=0,OR('_Dates'!J238&lt;Settings!$B$7,'_Dates'!T238&gt;Settings!$B$8)),"CHECK split across leave years",IF(OR(NOT(OR('_Dates'!U238="Full day",'_Dates'!U238="AM",'_Dates'!U238="PM")),NOT(OR('_Dates'!V238="Full day",'_Dates'!V238="AM",'_Dates'!V238="PM"))),"CHECK Full day / AM / PM",IF(AND('_Dates'!J238='_Dates'!T238,'_Dates'!U238&lt;&gt;"Full day",'_Dates'!V238&lt;&gt;"Full day",'_Dates'!U238&lt;&gt;'_Dates'!V238),"CHECK same-day portions disagree",IF(AND($B$6=0,OR(AND('_Dates'!U238&lt;&gt;"Full day",'_Dates'!AA238=0),AND('_Dates'!V238&lt;&gt;"Full day",'_Dates'!AB238=0))),"CHECK half-day on non-working date",IF(COUNTIF(Settings!$G$7:$G$11,D238)&lt;&gt;1,"CHECK leave type",IF(AND(Bookings!G238&lt;&gt;"Approved",Bookings!G238&lt;&gt;"Pending",Bookings!G238&lt;&gt;"Cancelled"),"CHECK status","OK")))))))))),"CHECK input"))</ns0:f>
        <ns0:v/>
      </ns0:c>
      <ns0:c r="G238" s="0">
        <ns0:f>IF(OR(F238&lt;&gt;"OK",$B$6&gt;0),0,0.5*(IF(('_Dates'!X238)&lt;('_Dates'!W238),0,INT((('_Dates'!X238)-('_Dates'!W238)+1)/7)*LEN(SUBSTITUTE(W238,"O",""))+LEN(SUBSTITUTE(MID(W238&amp;W238,WEEKDAY(('_Dates'!W238),2),MOD((('_Dates'!X238)-('_Dates'!W238)+1),7)),"O",""))-COUNTIFS(INDEX(AllClosureRows,C238,0),"&gt;="&amp;('_Dates'!W238),INDEX(AllClosureRows,C238,0),"&lt;="&amp;('_Dates'!X238)))+IF(('_Dates'!Z238)&lt;('_Dates'!Y238),0,INT((('_Dates'!Z238)-('_Dates'!Y238)+1)/7)*LEN(SUBSTITUTE(W238,"O",""))+LEN(SUBSTITUTE(MID(W238&amp;W238,WEEKDAY(('_Dates'!Y238),2),MOD((('_Dates'!Z238)-('_Dates'!Y238)+1),7)),"O",""))-COUNTIFS(INDEX(AllClosureRows,C238,0),"&gt;="&amp;('_Dates'!Y238),INDEX(AllClosureRows,C238,0),"&lt;="&amp;('_Dates'!Z238)))))</ns0:f>
        <ns0:v>0</ns0:v>
      </ns0:c>
      <ns0:c r="H238" s="0">
        <ns0:f>IF(OR(F238&lt;&gt;"OK",$B$6&gt;0),0,0.5*(IF((MIN('_Dates'!X238,Settings!$B$9))&lt;('_Dates'!W238),0,INT(((MIN('_Dates'!X238,Settings!$B$9))-('_Dates'!W238)+1)/7)*LEN(SUBSTITUTE(W238,"O",""))+LEN(SUBSTITUTE(MID(W238&amp;W238,WEEKDAY(('_Dates'!W238),2),MOD(((MIN('_Dates'!X238,Settings!$B$9))-('_Dates'!W238)+1),7)),"O",""))-COUNTIFS(INDEX(AllClosureRows,C238,0),"&gt;="&amp;('_Dates'!W238),INDEX(AllClosureRows,C238,0),"&lt;="&amp;(MIN('_Dates'!X238,Settings!$B$9))))+IF((MIN('_Dates'!Z238,Settings!$B$9))&lt;('_Dates'!Y238),0,INT(((MIN('_Dates'!Z238,Settings!$B$9))-('_Dates'!Y238)+1)/7)*LEN(SUBSTITUTE(W238,"O",""))+LEN(SUBSTITUTE(MID(W238&amp;W238,WEEKDAY(('_Dates'!Y238),2),MOD(((MIN('_Dates'!Z238,Settings!$B$9))-('_Dates'!Y238)+1),7)),"O",""))-COUNTIFS(INDEX(AllClosureRows,C238,0),"&gt;="&amp;('_Dates'!Y238),INDEX(AllClosureRows,C238,0),"&lt;="&amp;(MIN('_Dates'!Z238,Settings!$B$9))))))</ns0:f>
        <ns0:v>0</ns0:v>
      </ns0:c>
      <ns0:c r="I238" s="0">
        <ns0:f>MAX(0,G238-H238)</ns0:f>
        <ns0:v>0</ns0:v>
      </ns0:c>
      <ns0:c r="J238" s="0">
        <ns0:f>IF(OR(A238=0,F238&lt;&gt;"OK",Bookings!G238="Cancelled",$B$6&gt;0),0,IF('_Dates'!AC238=1,MAX(0,COUNTIFS(rngEngine_B,B238,rngAMStart,"&lt;="&amp;'_Dates'!X238,rngAMEnd,"&gt;="&amp;'_Dates'!W238,rngAMActive,1,rngEngine_F,"OK",rngBookings_F,"&lt;&gt;Cancelled")-1),0)+IF('_Dates'!AD238=1,MAX(0,COUNTIFS(rngEngine_B,B238,rngPMStart,"&lt;="&amp;'_Dates'!Z238,rngPMEnd,"&gt;="&amp;'_Dates'!Y238,rngPMActive,1,rngEngine_F,"OK",rngBookings_F,"&lt;&gt;Cancelled")-1),0))</ns0:f>
        <ns0:v>0</ns0:v>
      </ns0:c>
      <ns0:c r="K238" s="0" t="str">
        <ns0:f>IF(A238=0,"",IF(F238&lt;&gt;"OK",F238,IF(J238&gt;0,"CHECK overlapping entry",IF(AND($B$6=0,G238&lt;=0,Bookings!G238&lt;&gt;"Cancelled"),"CHECK no working days",IF(Bookings!G238="Cancelled","Cancelled","OK")))))</ns0:f>
        <ns0:v/>
      </ns0:c>
      <ns0:c r="L238" s="0">
        <ns0:f>IF(LEFT(K238,5)="CHECK",1,0)</ns0:f>
        <ns0:v>0</ns0:v>
      </ns0:c>
      <ns0:c r="M238" s="0">
        <ns0:f>IF(AND(L238=1,OR(C238=0,IFERROR(INDEX($X$11:$X$60,C238),0)=0)),1,0)</ns0:f>
        <ns0:v>0</ns0:v>
      </ns0:c>
      <ns0:c r="N238" s="0">
        <ns0:f>IF(OR(A238=0,L238&gt;0,$B$6&gt;0,Bookings!G238="Cancelled"),0,G238)</ns0:f>
        <ns0:v>0</ns0:v>
      </ns0:c>
      <ns0:c r="O238" s="0">
        <ns0:f>IF(AND(Bookings!G238="Approved",E238="Yes"),N238,0)</ns0:f>
        <ns0:v>0</ns0:v>
      </ns0:c>
      <ns0:c r="P238" s="0">
        <ns0:f>IF(AND(Bookings!G238="Approved",E238="Yes",L238=0,$B$6=0),H238,0)</ns0:f>
        <ns0:v>0</ns0:v>
      </ns0:c>
      <ns0:c r="Q238" s="0">
        <ns0:f>IF(AND(Bookings!G238="Approved",E238="Yes",L238=0,$B$6=0),I238,0)</ns0:f>
        <ns0:v>0</ns0:v>
      </ns0:c>
      <ns0:c r="R238" s="0">
        <ns0:f>IF(AND(Bookings!G238="Pending",E238="Yes"),N238,0)</ns0:f>
        <ns0:v>0</ns0:v>
      </ns0:c>
      <ns0:c r="S238" s="0">
        <ns0:f>IF(AND(Bookings!G238="Approved",E238="No"),N238,0)</ns0:f>
        <ns0:v>0</ns0:v>
      </ns0:c>
      <ns0:c r="T238" s="0">
        <ns0:f>IFERROR(MATCH(D238,Settings!$G$7:$G$11,0),0)</ns0:f>
        <ns0:v>0</ns0:v>
      </ns0:c>
      <ns0:c r="U238" s="0">
        <ns0:f>IF(N238&gt;0,T238+IF(Bookings!G238="Pending",10,0),0)</ns0:f>
        <ns0:v>0</ns0:v>
      </ns0:c>
      <ns0:c r="V238" s="0">
        <ns0:f>U238</ns0:f>
        <ns0:v>0</ns0:v>
      </ns0:c>
      <ns0:c r="W238" s="0" t="str">
        <ns0:f>IF(C238=0,"",INDEX($AP$11:$AP$60,C238))</ns0:f>
        <ns0:v/>
      </ns0:c>
    </ns0:row>
    <ns0:row r="239">
      <ns0:c r="A239" s="0">
        <ns0:f>IF(COUNTA(Bookings!A239:G239,Bookings!I239)=0,0,1)</ns0:f>
        <ns0:v>0</ns0:v>
      </ns0:c>
      <ns0:c r="B239" s="0" t="str">
        <ns0:f>IFERROR(TRIM(MID(Bookings!A239,FIND(" · ",Bookings!A239)+3,99)),"")</ns0:f>
        <ns0:v/>
      </ns0:c>
      <ns0:c r="C239" s="0">
        <ns0:f>IF(OR(B239="",LEN(B239)&gt;24,ISNUMBER(FIND(" ",B239)),ISNUMBER(FIND("*",B239)),ISNUMBER(FIND("?",B239)),ISNUMBER(FIND("~",B239))),0,IFERROR(MATCH(B239,Team!$A$11:$A$60,0),0))</ns0:f>
        <ns0:v>0</ns0:v>
      </ns0:c>
      <ns0:c r="D239" s="0" t="str">
        <ns0:f>IFERROR(IF(MID(Bookings!F239,LEN(Bookings!F239)-3,3)=" · ",RIGHT(Bookings!F239,1),""),"")</ns0:f>
        <ns0:v/>
      </ns0:c>
      <ns0:c r="E239" s="0" t="str">
        <ns0:f>IFERROR(INDEX(Settings!$H$7:$H$11,MATCH(D239,Settings!$G$7:$G$11,0)),"")</ns0:f>
        <ns0:v/>
      </ns0:c>
      <ns0:c r="F239" s="0" t="str">
        <ns0:f>IF(A239=0,"",IFERROR(IF(OR(B239="",C239=0),"CHECK employee selection",IF(INDEX(Team!$O$11:$O$60,C239)&lt;&gt;"OK","CHECK employee setup",IF(OR('_Dates'!J239=0,'_Dates'!T239=0),"CHECK date: use DD.MM.YYYY",IF('_Dates'!T239&lt;'_Dates'!J239,"CHECK end before start",IF(AND($B$6=0,OR('_Dates'!J239&lt;Settings!$B$7,'_Dates'!T239&gt;Settings!$B$8)),"CHECK split across leave years",IF(OR(NOT(OR('_Dates'!U239="Full day",'_Dates'!U239="AM",'_Dates'!U239="PM")),NOT(OR('_Dates'!V239="Full day",'_Dates'!V239="AM",'_Dates'!V239="PM"))),"CHECK Full day / AM / PM",IF(AND('_Dates'!J239='_Dates'!T239,'_Dates'!U239&lt;&gt;"Full day",'_Dates'!V239&lt;&gt;"Full day",'_Dates'!U239&lt;&gt;'_Dates'!V239),"CHECK same-day portions disagree",IF(AND($B$6=0,OR(AND('_Dates'!U239&lt;&gt;"Full day",'_Dates'!AA239=0),AND('_Dates'!V239&lt;&gt;"Full day",'_Dates'!AB239=0))),"CHECK half-day on non-working date",IF(COUNTIF(Settings!$G$7:$G$11,D239)&lt;&gt;1,"CHECK leave type",IF(AND(Bookings!G239&lt;&gt;"Approved",Bookings!G239&lt;&gt;"Pending",Bookings!G239&lt;&gt;"Cancelled"),"CHECK status","OK")))))))))),"CHECK input"))</ns0:f>
        <ns0:v/>
      </ns0:c>
      <ns0:c r="G239" s="0">
        <ns0:f>IF(OR(F239&lt;&gt;"OK",$B$6&gt;0),0,0.5*(IF(('_Dates'!X239)&lt;('_Dates'!W239),0,INT((('_Dates'!X239)-('_Dates'!W239)+1)/7)*LEN(SUBSTITUTE(W239,"O",""))+LEN(SUBSTITUTE(MID(W239&amp;W239,WEEKDAY(('_Dates'!W239),2),MOD((('_Dates'!X239)-('_Dates'!W239)+1),7)),"O",""))-COUNTIFS(INDEX(AllClosureRows,C239,0),"&gt;="&amp;('_Dates'!W239),INDEX(AllClosureRows,C239,0),"&lt;="&amp;('_Dates'!X239)))+IF(('_Dates'!Z239)&lt;('_Dates'!Y239),0,INT((('_Dates'!Z239)-('_Dates'!Y239)+1)/7)*LEN(SUBSTITUTE(W239,"O",""))+LEN(SUBSTITUTE(MID(W239&amp;W239,WEEKDAY(('_Dates'!Y239),2),MOD((('_Dates'!Z239)-('_Dates'!Y239)+1),7)),"O",""))-COUNTIFS(INDEX(AllClosureRows,C239,0),"&gt;="&amp;('_Dates'!Y239),INDEX(AllClosureRows,C239,0),"&lt;="&amp;('_Dates'!Z239)))))</ns0:f>
        <ns0:v>0</ns0:v>
      </ns0:c>
      <ns0:c r="H239" s="0">
        <ns0:f>IF(OR(F239&lt;&gt;"OK",$B$6&gt;0),0,0.5*(IF((MIN('_Dates'!X239,Settings!$B$9))&lt;('_Dates'!W239),0,INT(((MIN('_Dates'!X239,Settings!$B$9))-('_Dates'!W239)+1)/7)*LEN(SUBSTITUTE(W239,"O",""))+LEN(SUBSTITUTE(MID(W239&amp;W239,WEEKDAY(('_Dates'!W239),2),MOD(((MIN('_Dates'!X239,Settings!$B$9))-('_Dates'!W239)+1),7)),"O",""))-COUNTIFS(INDEX(AllClosureRows,C239,0),"&gt;="&amp;('_Dates'!W239),INDEX(AllClosureRows,C239,0),"&lt;="&amp;(MIN('_Dates'!X239,Settings!$B$9))))+IF((MIN('_Dates'!Z239,Settings!$B$9))&lt;('_Dates'!Y239),0,INT(((MIN('_Dates'!Z239,Settings!$B$9))-('_Dates'!Y239)+1)/7)*LEN(SUBSTITUTE(W239,"O",""))+LEN(SUBSTITUTE(MID(W239&amp;W239,WEEKDAY(('_Dates'!Y239),2),MOD(((MIN('_Dates'!Z239,Settings!$B$9))-('_Dates'!Y239)+1),7)),"O",""))-COUNTIFS(INDEX(AllClosureRows,C239,0),"&gt;="&amp;('_Dates'!Y239),INDEX(AllClosureRows,C239,0),"&lt;="&amp;(MIN('_Dates'!Z239,Settings!$B$9))))))</ns0:f>
        <ns0:v>0</ns0:v>
      </ns0:c>
      <ns0:c r="I239" s="0">
        <ns0:f>MAX(0,G239-H239)</ns0:f>
        <ns0:v>0</ns0:v>
      </ns0:c>
      <ns0:c r="J239" s="0">
        <ns0:f>IF(OR(A239=0,F239&lt;&gt;"OK",Bookings!G239="Cancelled",$B$6&gt;0),0,IF('_Dates'!AC239=1,MAX(0,COUNTIFS(rngEngine_B,B239,rngAMStart,"&lt;="&amp;'_Dates'!X239,rngAMEnd,"&gt;="&amp;'_Dates'!W239,rngAMActive,1,rngEngine_F,"OK",rngBookings_F,"&lt;&gt;Cancelled")-1),0)+IF('_Dates'!AD239=1,MAX(0,COUNTIFS(rngEngine_B,B239,rngPMStart,"&lt;="&amp;'_Dates'!Z239,rngPMEnd,"&gt;="&amp;'_Dates'!Y239,rngPMActive,1,rngEngine_F,"OK",rngBookings_F,"&lt;&gt;Cancelled")-1),0))</ns0:f>
        <ns0:v>0</ns0:v>
      </ns0:c>
      <ns0:c r="K239" s="0" t="str">
        <ns0:f>IF(A239=0,"",IF(F239&lt;&gt;"OK",F239,IF(J239&gt;0,"CHECK overlapping entry",IF(AND($B$6=0,G239&lt;=0,Bookings!G239&lt;&gt;"Cancelled"),"CHECK no working days",IF(Bookings!G239="Cancelled","Cancelled","OK")))))</ns0:f>
        <ns0:v/>
      </ns0:c>
      <ns0:c r="L239" s="0">
        <ns0:f>IF(LEFT(K239,5)="CHECK",1,0)</ns0:f>
        <ns0:v>0</ns0:v>
      </ns0:c>
      <ns0:c r="M239" s="0">
        <ns0:f>IF(AND(L239=1,OR(C239=0,IFERROR(INDEX($X$11:$X$60,C239),0)=0)),1,0)</ns0:f>
        <ns0:v>0</ns0:v>
      </ns0:c>
      <ns0:c r="N239" s="0">
        <ns0:f>IF(OR(A239=0,L239&gt;0,$B$6&gt;0,Bookings!G239="Cancelled"),0,G239)</ns0:f>
        <ns0:v>0</ns0:v>
      </ns0:c>
      <ns0:c r="O239" s="0">
        <ns0:f>IF(AND(Bookings!G239="Approved",E239="Yes"),N239,0)</ns0:f>
        <ns0:v>0</ns0:v>
      </ns0:c>
      <ns0:c r="P239" s="0">
        <ns0:f>IF(AND(Bookings!G239="Approved",E239="Yes",L239=0,$B$6=0),H239,0)</ns0:f>
        <ns0:v>0</ns0:v>
      </ns0:c>
      <ns0:c r="Q239" s="0">
        <ns0:f>IF(AND(Bookings!G239="Approved",E239="Yes",L239=0,$B$6=0),I239,0)</ns0:f>
        <ns0:v>0</ns0:v>
      </ns0:c>
      <ns0:c r="R239" s="0">
        <ns0:f>IF(AND(Bookings!G239="Pending",E239="Yes"),N239,0)</ns0:f>
        <ns0:v>0</ns0:v>
      </ns0:c>
      <ns0:c r="S239" s="0">
        <ns0:f>IF(AND(Bookings!G239="Approved",E239="No"),N239,0)</ns0:f>
        <ns0:v>0</ns0:v>
      </ns0:c>
      <ns0:c r="T239" s="0">
        <ns0:f>IFERROR(MATCH(D239,Settings!$G$7:$G$11,0),0)</ns0:f>
        <ns0:v>0</ns0:v>
      </ns0:c>
      <ns0:c r="U239" s="0">
        <ns0:f>IF(N239&gt;0,T239+IF(Bookings!G239="Pending",10,0),0)</ns0:f>
        <ns0:v>0</ns0:v>
      </ns0:c>
      <ns0:c r="V239" s="0">
        <ns0:f>U239</ns0:f>
        <ns0:v>0</ns0:v>
      </ns0:c>
      <ns0:c r="W239" s="0" t="str">
        <ns0:f>IF(C239=0,"",INDEX($AP$11:$AP$60,C239))</ns0:f>
        <ns0:v/>
      </ns0:c>
    </ns0:row>
    <ns0:row r="240">
      <ns0:c r="A240" s="0">
        <ns0:f>IF(COUNTA(Bookings!A240:G240,Bookings!I240)=0,0,1)</ns0:f>
        <ns0:v>0</ns0:v>
      </ns0:c>
      <ns0:c r="B240" s="0" t="str">
        <ns0:f>IFERROR(TRIM(MID(Bookings!A240,FIND(" · ",Bookings!A240)+3,99)),"")</ns0:f>
        <ns0:v/>
      </ns0:c>
      <ns0:c r="C240" s="0">
        <ns0:f>IF(OR(B240="",LEN(B240)&gt;24,ISNUMBER(FIND(" ",B240)),ISNUMBER(FIND("*",B240)),ISNUMBER(FIND("?",B240)),ISNUMBER(FIND("~",B240))),0,IFERROR(MATCH(B240,Team!$A$11:$A$60,0),0))</ns0:f>
        <ns0:v>0</ns0:v>
      </ns0:c>
      <ns0:c r="D240" s="0" t="str">
        <ns0:f>IFERROR(IF(MID(Bookings!F240,LEN(Bookings!F240)-3,3)=" · ",RIGHT(Bookings!F240,1),""),"")</ns0:f>
        <ns0:v/>
      </ns0:c>
      <ns0:c r="E240" s="0" t="str">
        <ns0:f>IFERROR(INDEX(Settings!$H$7:$H$11,MATCH(D240,Settings!$G$7:$G$11,0)),"")</ns0:f>
        <ns0:v/>
      </ns0:c>
      <ns0:c r="F240" s="0" t="str">
        <ns0:f>IF(A240=0,"",IFERROR(IF(OR(B240="",C240=0),"CHECK employee selection",IF(INDEX(Team!$O$11:$O$60,C240)&lt;&gt;"OK","CHECK employee setup",IF(OR('_Dates'!J240=0,'_Dates'!T240=0),"CHECK date: use DD.MM.YYYY",IF('_Dates'!T240&lt;'_Dates'!J240,"CHECK end before start",IF(AND($B$6=0,OR('_Dates'!J240&lt;Settings!$B$7,'_Dates'!T240&gt;Settings!$B$8)),"CHECK split across leave years",IF(OR(NOT(OR('_Dates'!U240="Full day",'_Dates'!U240="AM",'_Dates'!U240="PM")),NOT(OR('_Dates'!V240="Full day",'_Dates'!V240="AM",'_Dates'!V240="PM"))),"CHECK Full day / AM / PM",IF(AND('_Dates'!J240='_Dates'!T240,'_Dates'!U240&lt;&gt;"Full day",'_Dates'!V240&lt;&gt;"Full day",'_Dates'!U240&lt;&gt;'_Dates'!V240),"CHECK same-day portions disagree",IF(AND($B$6=0,OR(AND('_Dates'!U240&lt;&gt;"Full day",'_Dates'!AA240=0),AND('_Dates'!V240&lt;&gt;"Full day",'_Dates'!AB240=0))),"CHECK half-day on non-working date",IF(COUNTIF(Settings!$G$7:$G$11,D240)&lt;&gt;1,"CHECK leave type",IF(AND(Bookings!G240&lt;&gt;"Approved",Bookings!G240&lt;&gt;"Pending",Bookings!G240&lt;&gt;"Cancelled"),"CHECK status","OK")))))))))),"CHECK input"))</ns0:f>
        <ns0:v/>
      </ns0:c>
      <ns0:c r="G240" s="0">
        <ns0:f>IF(OR(F240&lt;&gt;"OK",$B$6&gt;0),0,0.5*(IF(('_Dates'!X240)&lt;('_Dates'!W240),0,INT((('_Dates'!X240)-('_Dates'!W240)+1)/7)*LEN(SUBSTITUTE(W240,"O",""))+LEN(SUBSTITUTE(MID(W240&amp;W240,WEEKDAY(('_Dates'!W240),2),MOD((('_Dates'!X240)-('_Dates'!W240)+1),7)),"O",""))-COUNTIFS(INDEX(AllClosureRows,C240,0),"&gt;="&amp;('_Dates'!W240),INDEX(AllClosureRows,C240,0),"&lt;="&amp;('_Dates'!X240)))+IF(('_Dates'!Z240)&lt;('_Dates'!Y240),0,INT((('_Dates'!Z240)-('_Dates'!Y240)+1)/7)*LEN(SUBSTITUTE(W240,"O",""))+LEN(SUBSTITUTE(MID(W240&amp;W240,WEEKDAY(('_Dates'!Y240),2),MOD((('_Dates'!Z240)-('_Dates'!Y240)+1),7)),"O",""))-COUNTIFS(INDEX(AllClosureRows,C240,0),"&gt;="&amp;('_Dates'!Y240),INDEX(AllClosureRows,C240,0),"&lt;="&amp;('_Dates'!Z240)))))</ns0:f>
        <ns0:v>0</ns0:v>
      </ns0:c>
      <ns0:c r="H240" s="0">
        <ns0:f>IF(OR(F240&lt;&gt;"OK",$B$6&gt;0),0,0.5*(IF((MIN('_Dates'!X240,Settings!$B$9))&lt;('_Dates'!W240),0,INT(((MIN('_Dates'!X240,Settings!$B$9))-('_Dates'!W240)+1)/7)*LEN(SUBSTITUTE(W240,"O",""))+LEN(SUBSTITUTE(MID(W240&amp;W240,WEEKDAY(('_Dates'!W240),2),MOD(((MIN('_Dates'!X240,Settings!$B$9))-('_Dates'!W240)+1),7)),"O",""))-COUNTIFS(INDEX(AllClosureRows,C240,0),"&gt;="&amp;('_Dates'!W240),INDEX(AllClosureRows,C240,0),"&lt;="&amp;(MIN('_Dates'!X240,Settings!$B$9))))+IF((MIN('_Dates'!Z240,Settings!$B$9))&lt;('_Dates'!Y240),0,INT(((MIN('_Dates'!Z240,Settings!$B$9))-('_Dates'!Y240)+1)/7)*LEN(SUBSTITUTE(W240,"O",""))+LEN(SUBSTITUTE(MID(W240&amp;W240,WEEKDAY(('_Dates'!Y240),2),MOD(((MIN('_Dates'!Z240,Settings!$B$9))-('_Dates'!Y240)+1),7)),"O",""))-COUNTIFS(INDEX(AllClosureRows,C240,0),"&gt;="&amp;('_Dates'!Y240),INDEX(AllClosureRows,C240,0),"&lt;="&amp;(MIN('_Dates'!Z240,Settings!$B$9))))))</ns0:f>
        <ns0:v>0</ns0:v>
      </ns0:c>
      <ns0:c r="I240" s="0">
        <ns0:f>MAX(0,G240-H240)</ns0:f>
        <ns0:v>0</ns0:v>
      </ns0:c>
      <ns0:c r="J240" s="0">
        <ns0:f>IF(OR(A240=0,F240&lt;&gt;"OK",Bookings!G240="Cancelled",$B$6&gt;0),0,IF('_Dates'!AC240=1,MAX(0,COUNTIFS(rngEngine_B,B240,rngAMStart,"&lt;="&amp;'_Dates'!X240,rngAMEnd,"&gt;="&amp;'_Dates'!W240,rngAMActive,1,rngEngine_F,"OK",rngBookings_F,"&lt;&gt;Cancelled")-1),0)+IF('_Dates'!AD240=1,MAX(0,COUNTIFS(rngEngine_B,B240,rngPMStart,"&lt;="&amp;'_Dates'!Z240,rngPMEnd,"&gt;="&amp;'_Dates'!Y240,rngPMActive,1,rngEngine_F,"OK",rngBookings_F,"&lt;&gt;Cancelled")-1),0))</ns0:f>
        <ns0:v>0</ns0:v>
      </ns0:c>
      <ns0:c r="K240" s="0" t="str">
        <ns0:f>IF(A240=0,"",IF(F240&lt;&gt;"OK",F240,IF(J240&gt;0,"CHECK overlapping entry",IF(AND($B$6=0,G240&lt;=0,Bookings!G240&lt;&gt;"Cancelled"),"CHECK no working days",IF(Bookings!G240="Cancelled","Cancelled","OK")))))</ns0:f>
        <ns0:v/>
      </ns0:c>
      <ns0:c r="L240" s="0">
        <ns0:f>IF(LEFT(K240,5)="CHECK",1,0)</ns0:f>
        <ns0:v>0</ns0:v>
      </ns0:c>
      <ns0:c r="M240" s="0">
        <ns0:f>IF(AND(L240=1,OR(C240=0,IFERROR(INDEX($X$11:$X$60,C240),0)=0)),1,0)</ns0:f>
        <ns0:v>0</ns0:v>
      </ns0:c>
      <ns0:c r="N240" s="0">
        <ns0:f>IF(OR(A240=0,L240&gt;0,$B$6&gt;0,Bookings!G240="Cancelled"),0,G240)</ns0:f>
        <ns0:v>0</ns0:v>
      </ns0:c>
      <ns0:c r="O240" s="0">
        <ns0:f>IF(AND(Bookings!G240="Approved",E240="Yes"),N240,0)</ns0:f>
        <ns0:v>0</ns0:v>
      </ns0:c>
      <ns0:c r="P240" s="0">
        <ns0:f>IF(AND(Bookings!G240="Approved",E240="Yes",L240=0,$B$6=0),H240,0)</ns0:f>
        <ns0:v>0</ns0:v>
      </ns0:c>
      <ns0:c r="Q240" s="0">
        <ns0:f>IF(AND(Bookings!G240="Approved",E240="Yes",L240=0,$B$6=0),I240,0)</ns0:f>
        <ns0:v>0</ns0:v>
      </ns0:c>
      <ns0:c r="R240" s="0">
        <ns0:f>IF(AND(Bookings!G240="Pending",E240="Yes"),N240,0)</ns0:f>
        <ns0:v>0</ns0:v>
      </ns0:c>
      <ns0:c r="S240" s="0">
        <ns0:f>IF(AND(Bookings!G240="Approved",E240="No"),N240,0)</ns0:f>
        <ns0:v>0</ns0:v>
      </ns0:c>
      <ns0:c r="T240" s="0">
        <ns0:f>IFERROR(MATCH(D240,Settings!$G$7:$G$11,0),0)</ns0:f>
        <ns0:v>0</ns0:v>
      </ns0:c>
      <ns0:c r="U240" s="0">
        <ns0:f>IF(N240&gt;0,T240+IF(Bookings!G240="Pending",10,0),0)</ns0:f>
        <ns0:v>0</ns0:v>
      </ns0:c>
      <ns0:c r="V240" s="0">
        <ns0:f>U240</ns0:f>
        <ns0:v>0</ns0:v>
      </ns0:c>
      <ns0:c r="W240" s="0" t="str">
        <ns0:f>IF(C240=0,"",INDEX($AP$11:$AP$60,C240))</ns0:f>
        <ns0:v/>
      </ns0:c>
    </ns0:row>
    <ns0:row r="241">
      <ns0:c r="A241" s="0">
        <ns0:f>IF(COUNTA(Bookings!A241:G241,Bookings!I241)=0,0,1)</ns0:f>
        <ns0:v>0</ns0:v>
      </ns0:c>
      <ns0:c r="B241" s="0" t="str">
        <ns0:f>IFERROR(TRIM(MID(Bookings!A241,FIND(" · ",Bookings!A241)+3,99)),"")</ns0:f>
        <ns0:v/>
      </ns0:c>
      <ns0:c r="C241" s="0">
        <ns0:f>IF(OR(B241="",LEN(B241)&gt;24,ISNUMBER(FIND(" ",B241)),ISNUMBER(FIND("*",B241)),ISNUMBER(FIND("?",B241)),ISNUMBER(FIND("~",B241))),0,IFERROR(MATCH(B241,Team!$A$11:$A$60,0),0))</ns0:f>
        <ns0:v>0</ns0:v>
      </ns0:c>
      <ns0:c r="D241" s="0" t="str">
        <ns0:f>IFERROR(IF(MID(Bookings!F241,LEN(Bookings!F241)-3,3)=" · ",RIGHT(Bookings!F241,1),""),"")</ns0:f>
        <ns0:v/>
      </ns0:c>
      <ns0:c r="E241" s="0" t="str">
        <ns0:f>IFERROR(INDEX(Settings!$H$7:$H$11,MATCH(D241,Settings!$G$7:$G$11,0)),"")</ns0:f>
        <ns0:v/>
      </ns0:c>
      <ns0:c r="F241" s="0" t="str">
        <ns0:f>IF(A241=0,"",IFERROR(IF(OR(B241="",C241=0),"CHECK employee selection",IF(INDEX(Team!$O$11:$O$60,C241)&lt;&gt;"OK","CHECK employee setup",IF(OR('_Dates'!J241=0,'_Dates'!T241=0),"CHECK date: use DD.MM.YYYY",IF('_Dates'!T241&lt;'_Dates'!J241,"CHECK end before start",IF(AND($B$6=0,OR('_Dates'!J241&lt;Settings!$B$7,'_Dates'!T241&gt;Settings!$B$8)),"CHECK split across leave years",IF(OR(NOT(OR('_Dates'!U241="Full day",'_Dates'!U241="AM",'_Dates'!U241="PM")),NOT(OR('_Dates'!V241="Full day",'_Dates'!V241="AM",'_Dates'!V241="PM"))),"CHECK Full day / AM / PM",IF(AND('_Dates'!J241='_Dates'!T241,'_Dates'!U241&lt;&gt;"Full day",'_Dates'!V241&lt;&gt;"Full day",'_Dates'!U241&lt;&gt;'_Dates'!V241),"CHECK same-day portions disagree",IF(AND($B$6=0,OR(AND('_Dates'!U241&lt;&gt;"Full day",'_Dates'!AA241=0),AND('_Dates'!V241&lt;&gt;"Full day",'_Dates'!AB241=0))),"CHECK half-day on non-working date",IF(COUNTIF(Settings!$G$7:$G$11,D241)&lt;&gt;1,"CHECK leave type",IF(AND(Bookings!G241&lt;&gt;"Approved",Bookings!G241&lt;&gt;"Pending",Bookings!G241&lt;&gt;"Cancelled"),"CHECK status","OK")))))))))),"CHECK input"))</ns0:f>
        <ns0:v/>
      </ns0:c>
      <ns0:c r="G241" s="0">
        <ns0:f>IF(OR(F241&lt;&gt;"OK",$B$6&gt;0),0,0.5*(IF(('_Dates'!X241)&lt;('_Dates'!W241),0,INT((('_Dates'!X241)-('_Dates'!W241)+1)/7)*LEN(SUBSTITUTE(W241,"O",""))+LEN(SUBSTITUTE(MID(W241&amp;W241,WEEKDAY(('_Dates'!W241),2),MOD((('_Dates'!X241)-('_Dates'!W241)+1),7)),"O",""))-COUNTIFS(INDEX(AllClosureRows,C241,0),"&gt;="&amp;('_Dates'!W241),INDEX(AllClosureRows,C241,0),"&lt;="&amp;('_Dates'!X241)))+IF(('_Dates'!Z241)&lt;('_Dates'!Y241),0,INT((('_Dates'!Z241)-('_Dates'!Y241)+1)/7)*LEN(SUBSTITUTE(W241,"O",""))+LEN(SUBSTITUTE(MID(W241&amp;W241,WEEKDAY(('_Dates'!Y241),2),MOD((('_Dates'!Z241)-('_Dates'!Y241)+1),7)),"O",""))-COUNTIFS(INDEX(AllClosureRows,C241,0),"&gt;="&amp;('_Dates'!Y241),INDEX(AllClosureRows,C241,0),"&lt;="&amp;('_Dates'!Z241)))))</ns0:f>
        <ns0:v>0</ns0:v>
      </ns0:c>
      <ns0:c r="H241" s="0">
        <ns0:f>IF(OR(F241&lt;&gt;"OK",$B$6&gt;0),0,0.5*(IF((MIN('_Dates'!X241,Settings!$B$9))&lt;('_Dates'!W241),0,INT(((MIN('_Dates'!X241,Settings!$B$9))-('_Dates'!W241)+1)/7)*LEN(SUBSTITUTE(W241,"O",""))+LEN(SUBSTITUTE(MID(W241&amp;W241,WEEKDAY(('_Dates'!W241),2),MOD(((MIN('_Dates'!X241,Settings!$B$9))-('_Dates'!W241)+1),7)),"O",""))-COUNTIFS(INDEX(AllClosureRows,C241,0),"&gt;="&amp;('_Dates'!W241),INDEX(AllClosureRows,C241,0),"&lt;="&amp;(MIN('_Dates'!X241,Settings!$B$9))))+IF((MIN('_Dates'!Z241,Settings!$B$9))&lt;('_Dates'!Y241),0,INT(((MIN('_Dates'!Z241,Settings!$B$9))-('_Dates'!Y241)+1)/7)*LEN(SUBSTITUTE(W241,"O",""))+LEN(SUBSTITUTE(MID(W241&amp;W241,WEEKDAY(('_Dates'!Y241),2),MOD(((MIN('_Dates'!Z241,Settings!$B$9))-('_Dates'!Y241)+1),7)),"O",""))-COUNTIFS(INDEX(AllClosureRows,C241,0),"&gt;="&amp;('_Dates'!Y241),INDEX(AllClosureRows,C241,0),"&lt;="&amp;(MIN('_Dates'!Z241,Settings!$B$9))))))</ns0:f>
        <ns0:v>0</ns0:v>
      </ns0:c>
      <ns0:c r="I241" s="0">
        <ns0:f>MAX(0,G241-H241)</ns0:f>
        <ns0:v>0</ns0:v>
      </ns0:c>
      <ns0:c r="J241" s="0">
        <ns0:f>IF(OR(A241=0,F241&lt;&gt;"OK",Bookings!G241="Cancelled",$B$6&gt;0),0,IF('_Dates'!AC241=1,MAX(0,COUNTIFS(rngEngine_B,B241,rngAMStart,"&lt;="&amp;'_Dates'!X241,rngAMEnd,"&gt;="&amp;'_Dates'!W241,rngAMActive,1,rngEngine_F,"OK",rngBookings_F,"&lt;&gt;Cancelled")-1),0)+IF('_Dates'!AD241=1,MAX(0,COUNTIFS(rngEngine_B,B241,rngPMStart,"&lt;="&amp;'_Dates'!Z241,rngPMEnd,"&gt;="&amp;'_Dates'!Y241,rngPMActive,1,rngEngine_F,"OK",rngBookings_F,"&lt;&gt;Cancelled")-1),0))</ns0:f>
        <ns0:v>0</ns0:v>
      </ns0:c>
      <ns0:c r="K241" s="0" t="str">
        <ns0:f>IF(A241=0,"",IF(F241&lt;&gt;"OK",F241,IF(J241&gt;0,"CHECK overlapping entry",IF(AND($B$6=0,G241&lt;=0,Bookings!G241&lt;&gt;"Cancelled"),"CHECK no working days",IF(Bookings!G241="Cancelled","Cancelled","OK")))))</ns0:f>
        <ns0:v/>
      </ns0:c>
      <ns0:c r="L241" s="0">
        <ns0:f>IF(LEFT(K241,5)="CHECK",1,0)</ns0:f>
        <ns0:v>0</ns0:v>
      </ns0:c>
      <ns0:c r="M241" s="0">
        <ns0:f>IF(AND(L241=1,OR(C241=0,IFERROR(INDEX($X$11:$X$60,C241),0)=0)),1,0)</ns0:f>
        <ns0:v>0</ns0:v>
      </ns0:c>
      <ns0:c r="N241" s="0">
        <ns0:f>IF(OR(A241=0,L241&gt;0,$B$6&gt;0,Bookings!G241="Cancelled"),0,G241)</ns0:f>
        <ns0:v>0</ns0:v>
      </ns0:c>
      <ns0:c r="O241" s="0">
        <ns0:f>IF(AND(Bookings!G241="Approved",E241="Yes"),N241,0)</ns0:f>
        <ns0:v>0</ns0:v>
      </ns0:c>
      <ns0:c r="P241" s="0">
        <ns0:f>IF(AND(Bookings!G241="Approved",E241="Yes",L241=0,$B$6=0),H241,0)</ns0:f>
        <ns0:v>0</ns0:v>
      </ns0:c>
      <ns0:c r="Q241" s="0">
        <ns0:f>IF(AND(Bookings!G241="Approved",E241="Yes",L241=0,$B$6=0),I241,0)</ns0:f>
        <ns0:v>0</ns0:v>
      </ns0:c>
      <ns0:c r="R241" s="0">
        <ns0:f>IF(AND(Bookings!G241="Pending",E241="Yes"),N241,0)</ns0:f>
        <ns0:v>0</ns0:v>
      </ns0:c>
      <ns0:c r="S241" s="0">
        <ns0:f>IF(AND(Bookings!G241="Approved",E241="No"),N241,0)</ns0:f>
        <ns0:v>0</ns0:v>
      </ns0:c>
      <ns0:c r="T241" s="0">
        <ns0:f>IFERROR(MATCH(D241,Settings!$G$7:$G$11,0),0)</ns0:f>
        <ns0:v>0</ns0:v>
      </ns0:c>
      <ns0:c r="U241" s="0">
        <ns0:f>IF(N241&gt;0,T241+IF(Bookings!G241="Pending",10,0),0)</ns0:f>
        <ns0:v>0</ns0:v>
      </ns0:c>
      <ns0:c r="V241" s="0">
        <ns0:f>U241</ns0:f>
        <ns0:v>0</ns0:v>
      </ns0:c>
      <ns0:c r="W241" s="0" t="str">
        <ns0:f>IF(C241=0,"",INDEX($AP$11:$AP$60,C241))</ns0:f>
        <ns0:v/>
      </ns0:c>
    </ns0:row>
    <ns0:row r="242">
      <ns0:c r="A242" s="0">
        <ns0:f>IF(COUNTA(Bookings!A242:G242,Bookings!I242)=0,0,1)</ns0:f>
        <ns0:v>0</ns0:v>
      </ns0:c>
      <ns0:c r="B242" s="0" t="str">
        <ns0:f>IFERROR(TRIM(MID(Bookings!A242,FIND(" · ",Bookings!A242)+3,99)),"")</ns0:f>
        <ns0:v/>
      </ns0:c>
      <ns0:c r="C242" s="0">
        <ns0:f>IF(OR(B242="",LEN(B242)&gt;24,ISNUMBER(FIND(" ",B242)),ISNUMBER(FIND("*",B242)),ISNUMBER(FIND("?",B242)),ISNUMBER(FIND("~",B242))),0,IFERROR(MATCH(B242,Team!$A$11:$A$60,0),0))</ns0:f>
        <ns0:v>0</ns0:v>
      </ns0:c>
      <ns0:c r="D242" s="0" t="str">
        <ns0:f>IFERROR(IF(MID(Bookings!F242,LEN(Bookings!F242)-3,3)=" · ",RIGHT(Bookings!F242,1),""),"")</ns0:f>
        <ns0:v/>
      </ns0:c>
      <ns0:c r="E242" s="0" t="str">
        <ns0:f>IFERROR(INDEX(Settings!$H$7:$H$11,MATCH(D242,Settings!$G$7:$G$11,0)),"")</ns0:f>
        <ns0:v/>
      </ns0:c>
      <ns0:c r="F242" s="0" t="str">
        <ns0:f>IF(A242=0,"",IFERROR(IF(OR(B242="",C242=0),"CHECK employee selection",IF(INDEX(Team!$O$11:$O$60,C242)&lt;&gt;"OK","CHECK employee setup",IF(OR('_Dates'!J242=0,'_Dates'!T242=0),"CHECK date: use DD.MM.YYYY",IF('_Dates'!T242&lt;'_Dates'!J242,"CHECK end before start",IF(AND($B$6=0,OR('_Dates'!J242&lt;Settings!$B$7,'_Dates'!T242&gt;Settings!$B$8)),"CHECK split across leave years",IF(OR(NOT(OR('_Dates'!U242="Full day",'_Dates'!U242="AM",'_Dates'!U242="PM")),NOT(OR('_Dates'!V242="Full day",'_Dates'!V242="AM",'_Dates'!V242="PM"))),"CHECK Full day / AM / PM",IF(AND('_Dates'!J242='_Dates'!T242,'_Dates'!U242&lt;&gt;"Full day",'_Dates'!V242&lt;&gt;"Full day",'_Dates'!U242&lt;&gt;'_Dates'!V242),"CHECK same-day portions disagree",IF(AND($B$6=0,OR(AND('_Dates'!U242&lt;&gt;"Full day",'_Dates'!AA242=0),AND('_Dates'!V242&lt;&gt;"Full day",'_Dates'!AB242=0))),"CHECK half-day on non-working date",IF(COUNTIF(Settings!$G$7:$G$11,D242)&lt;&gt;1,"CHECK leave type",IF(AND(Bookings!G242&lt;&gt;"Approved",Bookings!G242&lt;&gt;"Pending",Bookings!G242&lt;&gt;"Cancelled"),"CHECK status","OK")))))))))),"CHECK input"))</ns0:f>
        <ns0:v/>
      </ns0:c>
      <ns0:c r="G242" s="0">
        <ns0:f>IF(OR(F242&lt;&gt;"OK",$B$6&gt;0),0,0.5*(IF(('_Dates'!X242)&lt;('_Dates'!W242),0,INT((('_Dates'!X242)-('_Dates'!W242)+1)/7)*LEN(SUBSTITUTE(W242,"O",""))+LEN(SUBSTITUTE(MID(W242&amp;W242,WEEKDAY(('_Dates'!W242),2),MOD((('_Dates'!X242)-('_Dates'!W242)+1),7)),"O",""))-COUNTIFS(INDEX(AllClosureRows,C242,0),"&gt;="&amp;('_Dates'!W242),INDEX(AllClosureRows,C242,0),"&lt;="&amp;('_Dates'!X242)))+IF(('_Dates'!Z242)&lt;('_Dates'!Y242),0,INT((('_Dates'!Z242)-('_Dates'!Y242)+1)/7)*LEN(SUBSTITUTE(W242,"O",""))+LEN(SUBSTITUTE(MID(W242&amp;W242,WEEKDAY(('_Dates'!Y242),2),MOD((('_Dates'!Z242)-('_Dates'!Y242)+1),7)),"O",""))-COUNTIFS(INDEX(AllClosureRows,C242,0),"&gt;="&amp;('_Dates'!Y242),INDEX(AllClosureRows,C242,0),"&lt;="&amp;('_Dates'!Z242)))))</ns0:f>
        <ns0:v>0</ns0:v>
      </ns0:c>
      <ns0:c r="H242" s="0">
        <ns0:f>IF(OR(F242&lt;&gt;"OK",$B$6&gt;0),0,0.5*(IF((MIN('_Dates'!X242,Settings!$B$9))&lt;('_Dates'!W242),0,INT(((MIN('_Dates'!X242,Settings!$B$9))-('_Dates'!W242)+1)/7)*LEN(SUBSTITUTE(W242,"O",""))+LEN(SUBSTITUTE(MID(W242&amp;W242,WEEKDAY(('_Dates'!W242),2),MOD(((MIN('_Dates'!X242,Settings!$B$9))-('_Dates'!W242)+1),7)),"O",""))-COUNTIFS(INDEX(AllClosureRows,C242,0),"&gt;="&amp;('_Dates'!W242),INDEX(AllClosureRows,C242,0),"&lt;="&amp;(MIN('_Dates'!X242,Settings!$B$9))))+IF((MIN('_Dates'!Z242,Settings!$B$9))&lt;('_Dates'!Y242),0,INT(((MIN('_Dates'!Z242,Settings!$B$9))-('_Dates'!Y242)+1)/7)*LEN(SUBSTITUTE(W242,"O",""))+LEN(SUBSTITUTE(MID(W242&amp;W242,WEEKDAY(('_Dates'!Y242),2),MOD(((MIN('_Dates'!Z242,Settings!$B$9))-('_Dates'!Y242)+1),7)),"O",""))-COUNTIFS(INDEX(AllClosureRows,C242,0),"&gt;="&amp;('_Dates'!Y242),INDEX(AllClosureRows,C242,0),"&lt;="&amp;(MIN('_Dates'!Z242,Settings!$B$9))))))</ns0:f>
        <ns0:v>0</ns0:v>
      </ns0:c>
      <ns0:c r="I242" s="0">
        <ns0:f>MAX(0,G242-H242)</ns0:f>
        <ns0:v>0</ns0:v>
      </ns0:c>
      <ns0:c r="J242" s="0">
        <ns0:f>IF(OR(A242=0,F242&lt;&gt;"OK",Bookings!G242="Cancelled",$B$6&gt;0),0,IF('_Dates'!AC242=1,MAX(0,COUNTIFS(rngEngine_B,B242,rngAMStart,"&lt;="&amp;'_Dates'!X242,rngAMEnd,"&gt;="&amp;'_Dates'!W242,rngAMActive,1,rngEngine_F,"OK",rngBookings_F,"&lt;&gt;Cancelled")-1),0)+IF('_Dates'!AD242=1,MAX(0,COUNTIFS(rngEngine_B,B242,rngPMStart,"&lt;="&amp;'_Dates'!Z242,rngPMEnd,"&gt;="&amp;'_Dates'!Y242,rngPMActive,1,rngEngine_F,"OK",rngBookings_F,"&lt;&gt;Cancelled")-1),0))</ns0:f>
        <ns0:v>0</ns0:v>
      </ns0:c>
      <ns0:c r="K242" s="0" t="str">
        <ns0:f>IF(A242=0,"",IF(F242&lt;&gt;"OK",F242,IF(J242&gt;0,"CHECK overlapping entry",IF(AND($B$6=0,G242&lt;=0,Bookings!G242&lt;&gt;"Cancelled"),"CHECK no working days",IF(Bookings!G242="Cancelled","Cancelled","OK")))))</ns0:f>
        <ns0:v/>
      </ns0:c>
      <ns0:c r="L242" s="0">
        <ns0:f>IF(LEFT(K242,5)="CHECK",1,0)</ns0:f>
        <ns0:v>0</ns0:v>
      </ns0:c>
      <ns0:c r="M242" s="0">
        <ns0:f>IF(AND(L242=1,OR(C242=0,IFERROR(INDEX($X$11:$X$60,C242),0)=0)),1,0)</ns0:f>
        <ns0:v>0</ns0:v>
      </ns0:c>
      <ns0:c r="N242" s="0">
        <ns0:f>IF(OR(A242=0,L242&gt;0,$B$6&gt;0,Bookings!G242="Cancelled"),0,G242)</ns0:f>
        <ns0:v>0</ns0:v>
      </ns0:c>
      <ns0:c r="O242" s="0">
        <ns0:f>IF(AND(Bookings!G242="Approved",E242="Yes"),N242,0)</ns0:f>
        <ns0:v>0</ns0:v>
      </ns0:c>
      <ns0:c r="P242" s="0">
        <ns0:f>IF(AND(Bookings!G242="Approved",E242="Yes",L242=0,$B$6=0),H242,0)</ns0:f>
        <ns0:v>0</ns0:v>
      </ns0:c>
      <ns0:c r="Q242" s="0">
        <ns0:f>IF(AND(Bookings!G242="Approved",E242="Yes",L242=0,$B$6=0),I242,0)</ns0:f>
        <ns0:v>0</ns0:v>
      </ns0:c>
      <ns0:c r="R242" s="0">
        <ns0:f>IF(AND(Bookings!G242="Pending",E242="Yes"),N242,0)</ns0:f>
        <ns0:v>0</ns0:v>
      </ns0:c>
      <ns0:c r="S242" s="0">
        <ns0:f>IF(AND(Bookings!G242="Approved",E242="No"),N242,0)</ns0:f>
        <ns0:v>0</ns0:v>
      </ns0:c>
      <ns0:c r="T242" s="0">
        <ns0:f>IFERROR(MATCH(D242,Settings!$G$7:$G$11,0),0)</ns0:f>
        <ns0:v>0</ns0:v>
      </ns0:c>
      <ns0:c r="U242" s="0">
        <ns0:f>IF(N242&gt;0,T242+IF(Bookings!G242="Pending",10,0),0)</ns0:f>
        <ns0:v>0</ns0:v>
      </ns0:c>
      <ns0:c r="V242" s="0">
        <ns0:f>U242</ns0:f>
        <ns0:v>0</ns0:v>
      </ns0:c>
      <ns0:c r="W242" s="0" t="str">
        <ns0:f>IF(C242=0,"",INDEX($AP$11:$AP$60,C242))</ns0:f>
        <ns0:v/>
      </ns0:c>
    </ns0:row>
    <ns0:row r="243">
      <ns0:c r="A243" s="0">
        <ns0:f>IF(COUNTA(Bookings!A243:G243,Bookings!I243)=0,0,1)</ns0:f>
        <ns0:v>0</ns0:v>
      </ns0:c>
      <ns0:c r="B243" s="0" t="str">
        <ns0:f>IFERROR(TRIM(MID(Bookings!A243,FIND(" · ",Bookings!A243)+3,99)),"")</ns0:f>
        <ns0:v/>
      </ns0:c>
      <ns0:c r="C243" s="0">
        <ns0:f>IF(OR(B243="",LEN(B243)&gt;24,ISNUMBER(FIND(" ",B243)),ISNUMBER(FIND("*",B243)),ISNUMBER(FIND("?",B243)),ISNUMBER(FIND("~",B243))),0,IFERROR(MATCH(B243,Team!$A$11:$A$60,0),0))</ns0:f>
        <ns0:v>0</ns0:v>
      </ns0:c>
      <ns0:c r="D243" s="0" t="str">
        <ns0:f>IFERROR(IF(MID(Bookings!F243,LEN(Bookings!F243)-3,3)=" · ",RIGHT(Bookings!F243,1),""),"")</ns0:f>
        <ns0:v/>
      </ns0:c>
      <ns0:c r="E243" s="0" t="str">
        <ns0:f>IFERROR(INDEX(Settings!$H$7:$H$11,MATCH(D243,Settings!$G$7:$G$11,0)),"")</ns0:f>
        <ns0:v/>
      </ns0:c>
      <ns0:c r="F243" s="0" t="str">
        <ns0:f>IF(A243=0,"",IFERROR(IF(OR(B243="",C243=0),"CHECK employee selection",IF(INDEX(Team!$O$11:$O$60,C243)&lt;&gt;"OK","CHECK employee setup",IF(OR('_Dates'!J243=0,'_Dates'!T243=0),"CHECK date: use DD.MM.YYYY",IF('_Dates'!T243&lt;'_Dates'!J243,"CHECK end before start",IF(AND($B$6=0,OR('_Dates'!J243&lt;Settings!$B$7,'_Dates'!T243&gt;Settings!$B$8)),"CHECK split across leave years",IF(OR(NOT(OR('_Dates'!U243="Full day",'_Dates'!U243="AM",'_Dates'!U243="PM")),NOT(OR('_Dates'!V243="Full day",'_Dates'!V243="AM",'_Dates'!V243="PM"))),"CHECK Full day / AM / PM",IF(AND('_Dates'!J243='_Dates'!T243,'_Dates'!U243&lt;&gt;"Full day",'_Dates'!V243&lt;&gt;"Full day",'_Dates'!U243&lt;&gt;'_Dates'!V243),"CHECK same-day portions disagree",IF(AND($B$6=0,OR(AND('_Dates'!U243&lt;&gt;"Full day",'_Dates'!AA243=0),AND('_Dates'!V243&lt;&gt;"Full day",'_Dates'!AB243=0))),"CHECK half-day on non-working date",IF(COUNTIF(Settings!$G$7:$G$11,D243)&lt;&gt;1,"CHECK leave type",IF(AND(Bookings!G243&lt;&gt;"Approved",Bookings!G243&lt;&gt;"Pending",Bookings!G243&lt;&gt;"Cancelled"),"CHECK status","OK")))))))))),"CHECK input"))</ns0:f>
        <ns0:v/>
      </ns0:c>
      <ns0:c r="G243" s="0">
        <ns0:f>IF(OR(F243&lt;&gt;"OK",$B$6&gt;0),0,0.5*(IF(('_Dates'!X243)&lt;('_Dates'!W243),0,INT((('_Dates'!X243)-('_Dates'!W243)+1)/7)*LEN(SUBSTITUTE(W243,"O",""))+LEN(SUBSTITUTE(MID(W243&amp;W243,WEEKDAY(('_Dates'!W243),2),MOD((('_Dates'!X243)-('_Dates'!W243)+1),7)),"O",""))-COUNTIFS(INDEX(AllClosureRows,C243,0),"&gt;="&amp;('_Dates'!W243),INDEX(AllClosureRows,C243,0),"&lt;="&amp;('_Dates'!X243)))+IF(('_Dates'!Z243)&lt;('_Dates'!Y243),0,INT((('_Dates'!Z243)-('_Dates'!Y243)+1)/7)*LEN(SUBSTITUTE(W243,"O",""))+LEN(SUBSTITUTE(MID(W243&amp;W243,WEEKDAY(('_Dates'!Y243),2),MOD((('_Dates'!Z243)-('_Dates'!Y243)+1),7)),"O",""))-COUNTIFS(INDEX(AllClosureRows,C243,0),"&gt;="&amp;('_Dates'!Y243),INDEX(AllClosureRows,C243,0),"&lt;="&amp;('_Dates'!Z243)))))</ns0:f>
        <ns0:v>0</ns0:v>
      </ns0:c>
      <ns0:c r="H243" s="0">
        <ns0:f>IF(OR(F243&lt;&gt;"OK",$B$6&gt;0),0,0.5*(IF((MIN('_Dates'!X243,Settings!$B$9))&lt;('_Dates'!W243),0,INT(((MIN('_Dates'!X243,Settings!$B$9))-('_Dates'!W243)+1)/7)*LEN(SUBSTITUTE(W243,"O",""))+LEN(SUBSTITUTE(MID(W243&amp;W243,WEEKDAY(('_Dates'!W243),2),MOD(((MIN('_Dates'!X243,Settings!$B$9))-('_Dates'!W243)+1),7)),"O",""))-COUNTIFS(INDEX(AllClosureRows,C243,0),"&gt;="&amp;('_Dates'!W243),INDEX(AllClosureRows,C243,0),"&lt;="&amp;(MIN('_Dates'!X243,Settings!$B$9))))+IF((MIN('_Dates'!Z243,Settings!$B$9))&lt;('_Dates'!Y243),0,INT(((MIN('_Dates'!Z243,Settings!$B$9))-('_Dates'!Y243)+1)/7)*LEN(SUBSTITUTE(W243,"O",""))+LEN(SUBSTITUTE(MID(W243&amp;W243,WEEKDAY(('_Dates'!Y243),2),MOD(((MIN('_Dates'!Z243,Settings!$B$9))-('_Dates'!Y243)+1),7)),"O",""))-COUNTIFS(INDEX(AllClosureRows,C243,0),"&gt;="&amp;('_Dates'!Y243),INDEX(AllClosureRows,C243,0),"&lt;="&amp;(MIN('_Dates'!Z243,Settings!$B$9))))))</ns0:f>
        <ns0:v>0</ns0:v>
      </ns0:c>
      <ns0:c r="I243" s="0">
        <ns0:f>MAX(0,G243-H243)</ns0:f>
        <ns0:v>0</ns0:v>
      </ns0:c>
      <ns0:c r="J243" s="0">
        <ns0:f>IF(OR(A243=0,F243&lt;&gt;"OK",Bookings!G243="Cancelled",$B$6&gt;0),0,IF('_Dates'!AC243=1,MAX(0,COUNTIFS(rngEngine_B,B243,rngAMStart,"&lt;="&amp;'_Dates'!X243,rngAMEnd,"&gt;="&amp;'_Dates'!W243,rngAMActive,1,rngEngine_F,"OK",rngBookings_F,"&lt;&gt;Cancelled")-1),0)+IF('_Dates'!AD243=1,MAX(0,COUNTIFS(rngEngine_B,B243,rngPMStart,"&lt;="&amp;'_Dates'!Z243,rngPMEnd,"&gt;="&amp;'_Dates'!Y243,rngPMActive,1,rngEngine_F,"OK",rngBookings_F,"&lt;&gt;Cancelled")-1),0))</ns0:f>
        <ns0:v>0</ns0:v>
      </ns0:c>
      <ns0:c r="K243" s="0" t="str">
        <ns0:f>IF(A243=0,"",IF(F243&lt;&gt;"OK",F243,IF(J243&gt;0,"CHECK overlapping entry",IF(AND($B$6=0,G243&lt;=0,Bookings!G243&lt;&gt;"Cancelled"),"CHECK no working days",IF(Bookings!G243="Cancelled","Cancelled","OK")))))</ns0:f>
        <ns0:v/>
      </ns0:c>
      <ns0:c r="L243" s="0">
        <ns0:f>IF(LEFT(K243,5)="CHECK",1,0)</ns0:f>
        <ns0:v>0</ns0:v>
      </ns0:c>
      <ns0:c r="M243" s="0">
        <ns0:f>IF(AND(L243=1,OR(C243=0,IFERROR(INDEX($X$11:$X$60,C243),0)=0)),1,0)</ns0:f>
        <ns0:v>0</ns0:v>
      </ns0:c>
      <ns0:c r="N243" s="0">
        <ns0:f>IF(OR(A243=0,L243&gt;0,$B$6&gt;0,Bookings!G243="Cancelled"),0,G243)</ns0:f>
        <ns0:v>0</ns0:v>
      </ns0:c>
      <ns0:c r="O243" s="0">
        <ns0:f>IF(AND(Bookings!G243="Approved",E243="Yes"),N243,0)</ns0:f>
        <ns0:v>0</ns0:v>
      </ns0:c>
      <ns0:c r="P243" s="0">
        <ns0:f>IF(AND(Bookings!G243="Approved",E243="Yes",L243=0,$B$6=0),H243,0)</ns0:f>
        <ns0:v>0</ns0:v>
      </ns0:c>
      <ns0:c r="Q243" s="0">
        <ns0:f>IF(AND(Bookings!G243="Approved",E243="Yes",L243=0,$B$6=0),I243,0)</ns0:f>
        <ns0:v>0</ns0:v>
      </ns0:c>
      <ns0:c r="R243" s="0">
        <ns0:f>IF(AND(Bookings!G243="Pending",E243="Yes"),N243,0)</ns0:f>
        <ns0:v>0</ns0:v>
      </ns0:c>
      <ns0:c r="S243" s="0">
        <ns0:f>IF(AND(Bookings!G243="Approved",E243="No"),N243,0)</ns0:f>
        <ns0:v>0</ns0:v>
      </ns0:c>
      <ns0:c r="T243" s="0">
        <ns0:f>IFERROR(MATCH(D243,Settings!$G$7:$G$11,0),0)</ns0:f>
        <ns0:v>0</ns0:v>
      </ns0:c>
      <ns0:c r="U243" s="0">
        <ns0:f>IF(N243&gt;0,T243+IF(Bookings!G243="Pending",10,0),0)</ns0:f>
        <ns0:v>0</ns0:v>
      </ns0:c>
      <ns0:c r="V243" s="0">
        <ns0:f>U243</ns0:f>
        <ns0:v>0</ns0:v>
      </ns0:c>
      <ns0:c r="W243" s="0" t="str">
        <ns0:f>IF(C243=0,"",INDEX($AP$11:$AP$60,C243))</ns0:f>
        <ns0:v/>
      </ns0:c>
    </ns0:row>
    <ns0:row r="244">
      <ns0:c r="A244" s="0">
        <ns0:f>IF(COUNTA(Bookings!A244:G244,Bookings!I244)=0,0,1)</ns0:f>
        <ns0:v>0</ns0:v>
      </ns0:c>
      <ns0:c r="B244" s="0" t="str">
        <ns0:f>IFERROR(TRIM(MID(Bookings!A244,FIND(" · ",Bookings!A244)+3,99)),"")</ns0:f>
        <ns0:v/>
      </ns0:c>
      <ns0:c r="C244" s="0">
        <ns0:f>IF(OR(B244="",LEN(B244)&gt;24,ISNUMBER(FIND(" ",B244)),ISNUMBER(FIND("*",B244)),ISNUMBER(FIND("?",B244)),ISNUMBER(FIND("~",B244))),0,IFERROR(MATCH(B244,Team!$A$11:$A$60,0),0))</ns0:f>
        <ns0:v>0</ns0:v>
      </ns0:c>
      <ns0:c r="D244" s="0" t="str">
        <ns0:f>IFERROR(IF(MID(Bookings!F244,LEN(Bookings!F244)-3,3)=" · ",RIGHT(Bookings!F244,1),""),"")</ns0:f>
        <ns0:v/>
      </ns0:c>
      <ns0:c r="E244" s="0" t="str">
        <ns0:f>IFERROR(INDEX(Settings!$H$7:$H$11,MATCH(D244,Settings!$G$7:$G$11,0)),"")</ns0:f>
        <ns0:v/>
      </ns0:c>
      <ns0:c r="F244" s="0" t="str">
        <ns0:f>IF(A244=0,"",IFERROR(IF(OR(B244="",C244=0),"CHECK employee selection",IF(INDEX(Team!$O$11:$O$60,C244)&lt;&gt;"OK","CHECK employee setup",IF(OR('_Dates'!J244=0,'_Dates'!T244=0),"CHECK date: use DD.MM.YYYY",IF('_Dates'!T244&lt;'_Dates'!J244,"CHECK end before start",IF(AND($B$6=0,OR('_Dates'!J244&lt;Settings!$B$7,'_Dates'!T244&gt;Settings!$B$8)),"CHECK split across leave years",IF(OR(NOT(OR('_Dates'!U244="Full day",'_Dates'!U244="AM",'_Dates'!U244="PM")),NOT(OR('_Dates'!V244="Full day",'_Dates'!V244="AM",'_Dates'!V244="PM"))),"CHECK Full day / AM / PM",IF(AND('_Dates'!J244='_Dates'!T244,'_Dates'!U244&lt;&gt;"Full day",'_Dates'!V244&lt;&gt;"Full day",'_Dates'!U244&lt;&gt;'_Dates'!V244),"CHECK same-day portions disagree",IF(AND($B$6=0,OR(AND('_Dates'!U244&lt;&gt;"Full day",'_Dates'!AA244=0),AND('_Dates'!V244&lt;&gt;"Full day",'_Dates'!AB244=0))),"CHECK half-day on non-working date",IF(COUNTIF(Settings!$G$7:$G$11,D244)&lt;&gt;1,"CHECK leave type",IF(AND(Bookings!G244&lt;&gt;"Approved",Bookings!G244&lt;&gt;"Pending",Bookings!G244&lt;&gt;"Cancelled"),"CHECK status","OK")))))))))),"CHECK input"))</ns0:f>
        <ns0:v/>
      </ns0:c>
      <ns0:c r="G244" s="0">
        <ns0:f>IF(OR(F244&lt;&gt;"OK",$B$6&gt;0),0,0.5*(IF(('_Dates'!X244)&lt;('_Dates'!W244),0,INT((('_Dates'!X244)-('_Dates'!W244)+1)/7)*LEN(SUBSTITUTE(W244,"O",""))+LEN(SUBSTITUTE(MID(W244&amp;W244,WEEKDAY(('_Dates'!W244),2),MOD((('_Dates'!X244)-('_Dates'!W244)+1),7)),"O",""))-COUNTIFS(INDEX(AllClosureRows,C244,0),"&gt;="&amp;('_Dates'!W244),INDEX(AllClosureRows,C244,0),"&lt;="&amp;('_Dates'!X244)))+IF(('_Dates'!Z244)&lt;('_Dates'!Y244),0,INT((('_Dates'!Z244)-('_Dates'!Y244)+1)/7)*LEN(SUBSTITUTE(W244,"O",""))+LEN(SUBSTITUTE(MID(W244&amp;W244,WEEKDAY(('_Dates'!Y244),2),MOD((('_Dates'!Z244)-('_Dates'!Y244)+1),7)),"O",""))-COUNTIFS(INDEX(AllClosureRows,C244,0),"&gt;="&amp;('_Dates'!Y244),INDEX(AllClosureRows,C244,0),"&lt;="&amp;('_Dates'!Z244)))))</ns0:f>
        <ns0:v>0</ns0:v>
      </ns0:c>
      <ns0:c r="H244" s="0">
        <ns0:f>IF(OR(F244&lt;&gt;"OK",$B$6&gt;0),0,0.5*(IF((MIN('_Dates'!X244,Settings!$B$9))&lt;('_Dates'!W244),0,INT(((MIN('_Dates'!X244,Settings!$B$9))-('_Dates'!W244)+1)/7)*LEN(SUBSTITUTE(W244,"O",""))+LEN(SUBSTITUTE(MID(W244&amp;W244,WEEKDAY(('_Dates'!W244),2),MOD(((MIN('_Dates'!X244,Settings!$B$9))-('_Dates'!W244)+1),7)),"O",""))-COUNTIFS(INDEX(AllClosureRows,C244,0),"&gt;="&amp;('_Dates'!W244),INDEX(AllClosureRows,C244,0),"&lt;="&amp;(MIN('_Dates'!X244,Settings!$B$9))))+IF((MIN('_Dates'!Z244,Settings!$B$9))&lt;('_Dates'!Y244),0,INT(((MIN('_Dates'!Z244,Settings!$B$9))-('_Dates'!Y244)+1)/7)*LEN(SUBSTITUTE(W244,"O",""))+LEN(SUBSTITUTE(MID(W244&amp;W244,WEEKDAY(('_Dates'!Y244),2),MOD(((MIN('_Dates'!Z244,Settings!$B$9))-('_Dates'!Y244)+1),7)),"O",""))-COUNTIFS(INDEX(AllClosureRows,C244,0),"&gt;="&amp;('_Dates'!Y244),INDEX(AllClosureRows,C244,0),"&lt;="&amp;(MIN('_Dates'!Z244,Settings!$B$9))))))</ns0:f>
        <ns0:v>0</ns0:v>
      </ns0:c>
      <ns0:c r="I244" s="0">
        <ns0:f>MAX(0,G244-H244)</ns0:f>
        <ns0:v>0</ns0:v>
      </ns0:c>
      <ns0:c r="J244" s="0">
        <ns0:f>IF(OR(A244=0,F244&lt;&gt;"OK",Bookings!G244="Cancelled",$B$6&gt;0),0,IF('_Dates'!AC244=1,MAX(0,COUNTIFS(rngEngine_B,B244,rngAMStart,"&lt;="&amp;'_Dates'!X244,rngAMEnd,"&gt;="&amp;'_Dates'!W244,rngAMActive,1,rngEngine_F,"OK",rngBookings_F,"&lt;&gt;Cancelled")-1),0)+IF('_Dates'!AD244=1,MAX(0,COUNTIFS(rngEngine_B,B244,rngPMStart,"&lt;="&amp;'_Dates'!Z244,rngPMEnd,"&gt;="&amp;'_Dates'!Y244,rngPMActive,1,rngEngine_F,"OK",rngBookings_F,"&lt;&gt;Cancelled")-1),0))</ns0:f>
        <ns0:v>0</ns0:v>
      </ns0:c>
      <ns0:c r="K244" s="0" t="str">
        <ns0:f>IF(A244=0,"",IF(F244&lt;&gt;"OK",F244,IF(J244&gt;0,"CHECK overlapping entry",IF(AND($B$6=0,G244&lt;=0,Bookings!G244&lt;&gt;"Cancelled"),"CHECK no working days",IF(Bookings!G244="Cancelled","Cancelled","OK")))))</ns0:f>
        <ns0:v/>
      </ns0:c>
      <ns0:c r="L244" s="0">
        <ns0:f>IF(LEFT(K244,5)="CHECK",1,0)</ns0:f>
        <ns0:v>0</ns0:v>
      </ns0:c>
      <ns0:c r="M244" s="0">
        <ns0:f>IF(AND(L244=1,OR(C244=0,IFERROR(INDEX($X$11:$X$60,C244),0)=0)),1,0)</ns0:f>
        <ns0:v>0</ns0:v>
      </ns0:c>
      <ns0:c r="N244" s="0">
        <ns0:f>IF(OR(A244=0,L244&gt;0,$B$6&gt;0,Bookings!G244="Cancelled"),0,G244)</ns0:f>
        <ns0:v>0</ns0:v>
      </ns0:c>
      <ns0:c r="O244" s="0">
        <ns0:f>IF(AND(Bookings!G244="Approved",E244="Yes"),N244,0)</ns0:f>
        <ns0:v>0</ns0:v>
      </ns0:c>
      <ns0:c r="P244" s="0">
        <ns0:f>IF(AND(Bookings!G244="Approved",E244="Yes",L244=0,$B$6=0),H244,0)</ns0:f>
        <ns0:v>0</ns0:v>
      </ns0:c>
      <ns0:c r="Q244" s="0">
        <ns0:f>IF(AND(Bookings!G244="Approved",E244="Yes",L244=0,$B$6=0),I244,0)</ns0:f>
        <ns0:v>0</ns0:v>
      </ns0:c>
      <ns0:c r="R244" s="0">
        <ns0:f>IF(AND(Bookings!G244="Pending",E244="Yes"),N244,0)</ns0:f>
        <ns0:v>0</ns0:v>
      </ns0:c>
      <ns0:c r="S244" s="0">
        <ns0:f>IF(AND(Bookings!G244="Approved",E244="No"),N244,0)</ns0:f>
        <ns0:v>0</ns0:v>
      </ns0:c>
      <ns0:c r="T244" s="0">
        <ns0:f>IFERROR(MATCH(D244,Settings!$G$7:$G$11,0),0)</ns0:f>
        <ns0:v>0</ns0:v>
      </ns0:c>
      <ns0:c r="U244" s="0">
        <ns0:f>IF(N244&gt;0,T244+IF(Bookings!G244="Pending",10,0),0)</ns0:f>
        <ns0:v>0</ns0:v>
      </ns0:c>
      <ns0:c r="V244" s="0">
        <ns0:f>U244</ns0:f>
        <ns0:v>0</ns0:v>
      </ns0:c>
      <ns0:c r="W244" s="0" t="str">
        <ns0:f>IF(C244=0,"",INDEX($AP$11:$AP$60,C244))</ns0:f>
        <ns0:v/>
      </ns0:c>
    </ns0:row>
    <ns0:row r="245">
      <ns0:c r="A245" s="0">
        <ns0:f>IF(COUNTA(Bookings!A245:G245,Bookings!I245)=0,0,1)</ns0:f>
        <ns0:v>0</ns0:v>
      </ns0:c>
      <ns0:c r="B245" s="0" t="str">
        <ns0:f>IFERROR(TRIM(MID(Bookings!A245,FIND(" · ",Bookings!A245)+3,99)),"")</ns0:f>
        <ns0:v/>
      </ns0:c>
      <ns0:c r="C245" s="0">
        <ns0:f>IF(OR(B245="",LEN(B245)&gt;24,ISNUMBER(FIND(" ",B245)),ISNUMBER(FIND("*",B245)),ISNUMBER(FIND("?",B245)),ISNUMBER(FIND("~",B245))),0,IFERROR(MATCH(B245,Team!$A$11:$A$60,0),0))</ns0:f>
        <ns0:v>0</ns0:v>
      </ns0:c>
      <ns0:c r="D245" s="0" t="str">
        <ns0:f>IFERROR(IF(MID(Bookings!F245,LEN(Bookings!F245)-3,3)=" · ",RIGHT(Bookings!F245,1),""),"")</ns0:f>
        <ns0:v/>
      </ns0:c>
      <ns0:c r="E245" s="0" t="str">
        <ns0:f>IFERROR(INDEX(Settings!$H$7:$H$11,MATCH(D245,Settings!$G$7:$G$11,0)),"")</ns0:f>
        <ns0:v/>
      </ns0:c>
      <ns0:c r="F245" s="0" t="str">
        <ns0:f>IF(A245=0,"",IFERROR(IF(OR(B245="",C245=0),"CHECK employee selection",IF(INDEX(Team!$O$11:$O$60,C245)&lt;&gt;"OK","CHECK employee setup",IF(OR('_Dates'!J245=0,'_Dates'!T245=0),"CHECK date: use DD.MM.YYYY",IF('_Dates'!T245&lt;'_Dates'!J245,"CHECK end before start",IF(AND($B$6=0,OR('_Dates'!J245&lt;Settings!$B$7,'_Dates'!T245&gt;Settings!$B$8)),"CHECK split across leave years",IF(OR(NOT(OR('_Dates'!U245="Full day",'_Dates'!U245="AM",'_Dates'!U245="PM")),NOT(OR('_Dates'!V245="Full day",'_Dates'!V245="AM",'_Dates'!V245="PM"))),"CHECK Full day / AM / PM",IF(AND('_Dates'!J245='_Dates'!T245,'_Dates'!U245&lt;&gt;"Full day",'_Dates'!V245&lt;&gt;"Full day",'_Dates'!U245&lt;&gt;'_Dates'!V245),"CHECK same-day portions disagree",IF(AND($B$6=0,OR(AND('_Dates'!U245&lt;&gt;"Full day",'_Dates'!AA245=0),AND('_Dates'!V245&lt;&gt;"Full day",'_Dates'!AB245=0))),"CHECK half-day on non-working date",IF(COUNTIF(Settings!$G$7:$G$11,D245)&lt;&gt;1,"CHECK leave type",IF(AND(Bookings!G245&lt;&gt;"Approved",Bookings!G245&lt;&gt;"Pending",Bookings!G245&lt;&gt;"Cancelled"),"CHECK status","OK")))))))))),"CHECK input"))</ns0:f>
        <ns0:v/>
      </ns0:c>
      <ns0:c r="G245" s="0">
        <ns0:f>IF(OR(F245&lt;&gt;"OK",$B$6&gt;0),0,0.5*(IF(('_Dates'!X245)&lt;('_Dates'!W245),0,INT((('_Dates'!X245)-('_Dates'!W245)+1)/7)*LEN(SUBSTITUTE(W245,"O",""))+LEN(SUBSTITUTE(MID(W245&amp;W245,WEEKDAY(('_Dates'!W245),2),MOD((('_Dates'!X245)-('_Dates'!W245)+1),7)),"O",""))-COUNTIFS(INDEX(AllClosureRows,C245,0),"&gt;="&amp;('_Dates'!W245),INDEX(AllClosureRows,C245,0),"&lt;="&amp;('_Dates'!X245)))+IF(('_Dates'!Z245)&lt;('_Dates'!Y245),0,INT((('_Dates'!Z245)-('_Dates'!Y245)+1)/7)*LEN(SUBSTITUTE(W245,"O",""))+LEN(SUBSTITUTE(MID(W245&amp;W245,WEEKDAY(('_Dates'!Y245),2),MOD((('_Dates'!Z245)-('_Dates'!Y245)+1),7)),"O",""))-COUNTIFS(INDEX(AllClosureRows,C245,0),"&gt;="&amp;('_Dates'!Y245),INDEX(AllClosureRows,C245,0),"&lt;="&amp;('_Dates'!Z245)))))</ns0:f>
        <ns0:v>0</ns0:v>
      </ns0:c>
      <ns0:c r="H245" s="0">
        <ns0:f>IF(OR(F245&lt;&gt;"OK",$B$6&gt;0),0,0.5*(IF((MIN('_Dates'!X245,Settings!$B$9))&lt;('_Dates'!W245),0,INT(((MIN('_Dates'!X245,Settings!$B$9))-('_Dates'!W245)+1)/7)*LEN(SUBSTITUTE(W245,"O",""))+LEN(SUBSTITUTE(MID(W245&amp;W245,WEEKDAY(('_Dates'!W245),2),MOD(((MIN('_Dates'!X245,Settings!$B$9))-('_Dates'!W245)+1),7)),"O",""))-COUNTIFS(INDEX(AllClosureRows,C245,0),"&gt;="&amp;('_Dates'!W245),INDEX(AllClosureRows,C245,0),"&lt;="&amp;(MIN('_Dates'!X245,Settings!$B$9))))+IF((MIN('_Dates'!Z245,Settings!$B$9))&lt;('_Dates'!Y245),0,INT(((MIN('_Dates'!Z245,Settings!$B$9))-('_Dates'!Y245)+1)/7)*LEN(SUBSTITUTE(W245,"O",""))+LEN(SUBSTITUTE(MID(W245&amp;W245,WEEKDAY(('_Dates'!Y245),2),MOD(((MIN('_Dates'!Z245,Settings!$B$9))-('_Dates'!Y245)+1),7)),"O",""))-COUNTIFS(INDEX(AllClosureRows,C245,0),"&gt;="&amp;('_Dates'!Y245),INDEX(AllClosureRows,C245,0),"&lt;="&amp;(MIN('_Dates'!Z245,Settings!$B$9))))))</ns0:f>
        <ns0:v>0</ns0:v>
      </ns0:c>
      <ns0:c r="I245" s="0">
        <ns0:f>MAX(0,G245-H245)</ns0:f>
        <ns0:v>0</ns0:v>
      </ns0:c>
      <ns0:c r="J245" s="0">
        <ns0:f>IF(OR(A245=0,F245&lt;&gt;"OK",Bookings!G245="Cancelled",$B$6&gt;0),0,IF('_Dates'!AC245=1,MAX(0,COUNTIFS(rngEngine_B,B245,rngAMStart,"&lt;="&amp;'_Dates'!X245,rngAMEnd,"&gt;="&amp;'_Dates'!W245,rngAMActive,1,rngEngine_F,"OK",rngBookings_F,"&lt;&gt;Cancelled")-1),0)+IF('_Dates'!AD245=1,MAX(0,COUNTIFS(rngEngine_B,B245,rngPMStart,"&lt;="&amp;'_Dates'!Z245,rngPMEnd,"&gt;="&amp;'_Dates'!Y245,rngPMActive,1,rngEngine_F,"OK",rngBookings_F,"&lt;&gt;Cancelled")-1),0))</ns0:f>
        <ns0:v>0</ns0:v>
      </ns0:c>
      <ns0:c r="K245" s="0" t="str">
        <ns0:f>IF(A245=0,"",IF(F245&lt;&gt;"OK",F245,IF(J245&gt;0,"CHECK overlapping entry",IF(AND($B$6=0,G245&lt;=0,Bookings!G245&lt;&gt;"Cancelled"),"CHECK no working days",IF(Bookings!G245="Cancelled","Cancelled","OK")))))</ns0:f>
        <ns0:v/>
      </ns0:c>
      <ns0:c r="L245" s="0">
        <ns0:f>IF(LEFT(K245,5)="CHECK",1,0)</ns0:f>
        <ns0:v>0</ns0:v>
      </ns0:c>
      <ns0:c r="M245" s="0">
        <ns0:f>IF(AND(L245=1,OR(C245=0,IFERROR(INDEX($X$11:$X$60,C245),0)=0)),1,0)</ns0:f>
        <ns0:v>0</ns0:v>
      </ns0:c>
      <ns0:c r="N245" s="0">
        <ns0:f>IF(OR(A245=0,L245&gt;0,$B$6&gt;0,Bookings!G245="Cancelled"),0,G245)</ns0:f>
        <ns0:v>0</ns0:v>
      </ns0:c>
      <ns0:c r="O245" s="0">
        <ns0:f>IF(AND(Bookings!G245="Approved",E245="Yes"),N245,0)</ns0:f>
        <ns0:v>0</ns0:v>
      </ns0:c>
      <ns0:c r="P245" s="0">
        <ns0:f>IF(AND(Bookings!G245="Approved",E245="Yes",L245=0,$B$6=0),H245,0)</ns0:f>
        <ns0:v>0</ns0:v>
      </ns0:c>
      <ns0:c r="Q245" s="0">
        <ns0:f>IF(AND(Bookings!G245="Approved",E245="Yes",L245=0,$B$6=0),I245,0)</ns0:f>
        <ns0:v>0</ns0:v>
      </ns0:c>
      <ns0:c r="R245" s="0">
        <ns0:f>IF(AND(Bookings!G245="Pending",E245="Yes"),N245,0)</ns0:f>
        <ns0:v>0</ns0:v>
      </ns0:c>
      <ns0:c r="S245" s="0">
        <ns0:f>IF(AND(Bookings!G245="Approved",E245="No"),N245,0)</ns0:f>
        <ns0:v>0</ns0:v>
      </ns0:c>
      <ns0:c r="T245" s="0">
        <ns0:f>IFERROR(MATCH(D245,Settings!$G$7:$G$11,0),0)</ns0:f>
        <ns0:v>0</ns0:v>
      </ns0:c>
      <ns0:c r="U245" s="0">
        <ns0:f>IF(N245&gt;0,T245+IF(Bookings!G245="Pending",10,0),0)</ns0:f>
        <ns0:v>0</ns0:v>
      </ns0:c>
      <ns0:c r="V245" s="0">
        <ns0:f>U245</ns0:f>
        <ns0:v>0</ns0:v>
      </ns0:c>
      <ns0:c r="W245" s="0" t="str">
        <ns0:f>IF(C245=0,"",INDEX($AP$11:$AP$60,C245))</ns0:f>
        <ns0:v/>
      </ns0:c>
    </ns0:row>
    <ns0:row r="246">
      <ns0:c r="A246" s="0">
        <ns0:f>IF(COUNTA(Bookings!A246:G246,Bookings!I246)=0,0,1)</ns0:f>
        <ns0:v>0</ns0:v>
      </ns0:c>
      <ns0:c r="B246" s="0" t="str">
        <ns0:f>IFERROR(TRIM(MID(Bookings!A246,FIND(" · ",Bookings!A246)+3,99)),"")</ns0:f>
        <ns0:v/>
      </ns0:c>
      <ns0:c r="C246" s="0">
        <ns0:f>IF(OR(B246="",LEN(B246)&gt;24,ISNUMBER(FIND(" ",B246)),ISNUMBER(FIND("*",B246)),ISNUMBER(FIND("?",B246)),ISNUMBER(FIND("~",B246))),0,IFERROR(MATCH(B246,Team!$A$11:$A$60,0),0))</ns0:f>
        <ns0:v>0</ns0:v>
      </ns0:c>
      <ns0:c r="D246" s="0" t="str">
        <ns0:f>IFERROR(IF(MID(Bookings!F246,LEN(Bookings!F246)-3,3)=" · ",RIGHT(Bookings!F246,1),""),"")</ns0:f>
        <ns0:v/>
      </ns0:c>
      <ns0:c r="E246" s="0" t="str">
        <ns0:f>IFERROR(INDEX(Settings!$H$7:$H$11,MATCH(D246,Settings!$G$7:$G$11,0)),"")</ns0:f>
        <ns0:v/>
      </ns0:c>
      <ns0:c r="F246" s="0" t="str">
        <ns0:f>IF(A246=0,"",IFERROR(IF(OR(B246="",C246=0),"CHECK employee selection",IF(INDEX(Team!$O$11:$O$60,C246)&lt;&gt;"OK","CHECK employee setup",IF(OR('_Dates'!J246=0,'_Dates'!T246=0),"CHECK date: use DD.MM.YYYY",IF('_Dates'!T246&lt;'_Dates'!J246,"CHECK end before start",IF(AND($B$6=0,OR('_Dates'!J246&lt;Settings!$B$7,'_Dates'!T246&gt;Settings!$B$8)),"CHECK split across leave years",IF(OR(NOT(OR('_Dates'!U246="Full day",'_Dates'!U246="AM",'_Dates'!U246="PM")),NOT(OR('_Dates'!V246="Full day",'_Dates'!V246="AM",'_Dates'!V246="PM"))),"CHECK Full day / AM / PM",IF(AND('_Dates'!J246='_Dates'!T246,'_Dates'!U246&lt;&gt;"Full day",'_Dates'!V246&lt;&gt;"Full day",'_Dates'!U246&lt;&gt;'_Dates'!V246),"CHECK same-day portions disagree",IF(AND($B$6=0,OR(AND('_Dates'!U246&lt;&gt;"Full day",'_Dates'!AA246=0),AND('_Dates'!V246&lt;&gt;"Full day",'_Dates'!AB246=0))),"CHECK half-day on non-working date",IF(COUNTIF(Settings!$G$7:$G$11,D246)&lt;&gt;1,"CHECK leave type",IF(AND(Bookings!G246&lt;&gt;"Approved",Bookings!G246&lt;&gt;"Pending",Bookings!G246&lt;&gt;"Cancelled"),"CHECK status","OK")))))))))),"CHECK input"))</ns0:f>
        <ns0:v/>
      </ns0:c>
      <ns0:c r="G246" s="0">
        <ns0:f>IF(OR(F246&lt;&gt;"OK",$B$6&gt;0),0,0.5*(IF(('_Dates'!X246)&lt;('_Dates'!W246),0,INT((('_Dates'!X246)-('_Dates'!W246)+1)/7)*LEN(SUBSTITUTE(W246,"O",""))+LEN(SUBSTITUTE(MID(W246&amp;W246,WEEKDAY(('_Dates'!W246),2),MOD((('_Dates'!X246)-('_Dates'!W246)+1),7)),"O",""))-COUNTIFS(INDEX(AllClosureRows,C246,0),"&gt;="&amp;('_Dates'!W246),INDEX(AllClosureRows,C246,0),"&lt;="&amp;('_Dates'!X246)))+IF(('_Dates'!Z246)&lt;('_Dates'!Y246),0,INT((('_Dates'!Z246)-('_Dates'!Y246)+1)/7)*LEN(SUBSTITUTE(W246,"O",""))+LEN(SUBSTITUTE(MID(W246&amp;W246,WEEKDAY(('_Dates'!Y246),2),MOD((('_Dates'!Z246)-('_Dates'!Y246)+1),7)),"O",""))-COUNTIFS(INDEX(AllClosureRows,C246,0),"&gt;="&amp;('_Dates'!Y246),INDEX(AllClosureRows,C246,0),"&lt;="&amp;('_Dates'!Z246)))))</ns0:f>
        <ns0:v>0</ns0:v>
      </ns0:c>
      <ns0:c r="H246" s="0">
        <ns0:f>IF(OR(F246&lt;&gt;"OK",$B$6&gt;0),0,0.5*(IF((MIN('_Dates'!X246,Settings!$B$9))&lt;('_Dates'!W246),0,INT(((MIN('_Dates'!X246,Settings!$B$9))-('_Dates'!W246)+1)/7)*LEN(SUBSTITUTE(W246,"O",""))+LEN(SUBSTITUTE(MID(W246&amp;W246,WEEKDAY(('_Dates'!W246),2),MOD(((MIN('_Dates'!X246,Settings!$B$9))-('_Dates'!W246)+1),7)),"O",""))-COUNTIFS(INDEX(AllClosureRows,C246,0),"&gt;="&amp;('_Dates'!W246),INDEX(AllClosureRows,C246,0),"&lt;="&amp;(MIN('_Dates'!X246,Settings!$B$9))))+IF((MIN('_Dates'!Z246,Settings!$B$9))&lt;('_Dates'!Y246),0,INT(((MIN('_Dates'!Z246,Settings!$B$9))-('_Dates'!Y246)+1)/7)*LEN(SUBSTITUTE(W246,"O",""))+LEN(SUBSTITUTE(MID(W246&amp;W246,WEEKDAY(('_Dates'!Y246),2),MOD(((MIN('_Dates'!Z246,Settings!$B$9))-('_Dates'!Y246)+1),7)),"O",""))-COUNTIFS(INDEX(AllClosureRows,C246,0),"&gt;="&amp;('_Dates'!Y246),INDEX(AllClosureRows,C246,0),"&lt;="&amp;(MIN('_Dates'!Z246,Settings!$B$9))))))</ns0:f>
        <ns0:v>0</ns0:v>
      </ns0:c>
      <ns0:c r="I246" s="0">
        <ns0:f>MAX(0,G246-H246)</ns0:f>
        <ns0:v>0</ns0:v>
      </ns0:c>
      <ns0:c r="J246" s="0">
        <ns0:f>IF(OR(A246=0,F246&lt;&gt;"OK",Bookings!G246="Cancelled",$B$6&gt;0),0,IF('_Dates'!AC246=1,MAX(0,COUNTIFS(rngEngine_B,B246,rngAMStart,"&lt;="&amp;'_Dates'!X246,rngAMEnd,"&gt;="&amp;'_Dates'!W246,rngAMActive,1,rngEngine_F,"OK",rngBookings_F,"&lt;&gt;Cancelled")-1),0)+IF('_Dates'!AD246=1,MAX(0,COUNTIFS(rngEngine_B,B246,rngPMStart,"&lt;="&amp;'_Dates'!Z246,rngPMEnd,"&gt;="&amp;'_Dates'!Y246,rngPMActive,1,rngEngine_F,"OK",rngBookings_F,"&lt;&gt;Cancelled")-1),0))</ns0:f>
        <ns0:v>0</ns0:v>
      </ns0:c>
      <ns0:c r="K246" s="0" t="str">
        <ns0:f>IF(A246=0,"",IF(F246&lt;&gt;"OK",F246,IF(J246&gt;0,"CHECK overlapping entry",IF(AND($B$6=0,G246&lt;=0,Bookings!G246&lt;&gt;"Cancelled"),"CHECK no working days",IF(Bookings!G246="Cancelled","Cancelled","OK")))))</ns0:f>
        <ns0:v/>
      </ns0:c>
      <ns0:c r="L246" s="0">
        <ns0:f>IF(LEFT(K246,5)="CHECK",1,0)</ns0:f>
        <ns0:v>0</ns0:v>
      </ns0:c>
      <ns0:c r="M246" s="0">
        <ns0:f>IF(AND(L246=1,OR(C246=0,IFERROR(INDEX($X$11:$X$60,C246),0)=0)),1,0)</ns0:f>
        <ns0:v>0</ns0:v>
      </ns0:c>
      <ns0:c r="N246" s="0">
        <ns0:f>IF(OR(A246=0,L246&gt;0,$B$6&gt;0,Bookings!G246="Cancelled"),0,G246)</ns0:f>
        <ns0:v>0</ns0:v>
      </ns0:c>
      <ns0:c r="O246" s="0">
        <ns0:f>IF(AND(Bookings!G246="Approved",E246="Yes"),N246,0)</ns0:f>
        <ns0:v>0</ns0:v>
      </ns0:c>
      <ns0:c r="P246" s="0">
        <ns0:f>IF(AND(Bookings!G246="Approved",E246="Yes",L246=0,$B$6=0),H246,0)</ns0:f>
        <ns0:v>0</ns0:v>
      </ns0:c>
      <ns0:c r="Q246" s="0">
        <ns0:f>IF(AND(Bookings!G246="Approved",E246="Yes",L246=0,$B$6=0),I246,0)</ns0:f>
        <ns0:v>0</ns0:v>
      </ns0:c>
      <ns0:c r="R246" s="0">
        <ns0:f>IF(AND(Bookings!G246="Pending",E246="Yes"),N246,0)</ns0:f>
        <ns0:v>0</ns0:v>
      </ns0:c>
      <ns0:c r="S246" s="0">
        <ns0:f>IF(AND(Bookings!G246="Approved",E246="No"),N246,0)</ns0:f>
        <ns0:v>0</ns0:v>
      </ns0:c>
      <ns0:c r="T246" s="0">
        <ns0:f>IFERROR(MATCH(D246,Settings!$G$7:$G$11,0),0)</ns0:f>
        <ns0:v>0</ns0:v>
      </ns0:c>
      <ns0:c r="U246" s="0">
        <ns0:f>IF(N246&gt;0,T246+IF(Bookings!G246="Pending",10,0),0)</ns0:f>
        <ns0:v>0</ns0:v>
      </ns0:c>
      <ns0:c r="V246" s="0">
        <ns0:f>U246</ns0:f>
        <ns0:v>0</ns0:v>
      </ns0:c>
      <ns0:c r="W246" s="0" t="str">
        <ns0:f>IF(C246=0,"",INDEX($AP$11:$AP$60,C246))</ns0:f>
        <ns0:v/>
      </ns0:c>
    </ns0:row>
    <ns0:row r="247">
      <ns0:c r="A247" s="0">
        <ns0:f>IF(COUNTA(Bookings!A247:G247,Bookings!I247)=0,0,1)</ns0:f>
        <ns0:v>0</ns0:v>
      </ns0:c>
      <ns0:c r="B247" s="0" t="str">
        <ns0:f>IFERROR(TRIM(MID(Bookings!A247,FIND(" · ",Bookings!A247)+3,99)),"")</ns0:f>
        <ns0:v/>
      </ns0:c>
      <ns0:c r="C247" s="0">
        <ns0:f>IF(OR(B247="",LEN(B247)&gt;24,ISNUMBER(FIND(" ",B247)),ISNUMBER(FIND("*",B247)),ISNUMBER(FIND("?",B247)),ISNUMBER(FIND("~",B247))),0,IFERROR(MATCH(B247,Team!$A$11:$A$60,0),0))</ns0:f>
        <ns0:v>0</ns0:v>
      </ns0:c>
      <ns0:c r="D247" s="0" t="str">
        <ns0:f>IFERROR(IF(MID(Bookings!F247,LEN(Bookings!F247)-3,3)=" · ",RIGHT(Bookings!F247,1),""),"")</ns0:f>
        <ns0:v/>
      </ns0:c>
      <ns0:c r="E247" s="0" t="str">
        <ns0:f>IFERROR(INDEX(Settings!$H$7:$H$11,MATCH(D247,Settings!$G$7:$G$11,0)),"")</ns0:f>
        <ns0:v/>
      </ns0:c>
      <ns0:c r="F247" s="0" t="str">
        <ns0:f>IF(A247=0,"",IFERROR(IF(OR(B247="",C247=0),"CHECK employee selection",IF(INDEX(Team!$O$11:$O$60,C247)&lt;&gt;"OK","CHECK employee setup",IF(OR('_Dates'!J247=0,'_Dates'!T247=0),"CHECK date: use DD.MM.YYYY",IF('_Dates'!T247&lt;'_Dates'!J247,"CHECK end before start",IF(AND($B$6=0,OR('_Dates'!J247&lt;Settings!$B$7,'_Dates'!T247&gt;Settings!$B$8)),"CHECK split across leave years",IF(OR(NOT(OR('_Dates'!U247="Full day",'_Dates'!U247="AM",'_Dates'!U247="PM")),NOT(OR('_Dates'!V247="Full day",'_Dates'!V247="AM",'_Dates'!V247="PM"))),"CHECK Full day / AM / PM",IF(AND('_Dates'!J247='_Dates'!T247,'_Dates'!U247&lt;&gt;"Full day",'_Dates'!V247&lt;&gt;"Full day",'_Dates'!U247&lt;&gt;'_Dates'!V247),"CHECK same-day portions disagree",IF(AND($B$6=0,OR(AND('_Dates'!U247&lt;&gt;"Full day",'_Dates'!AA247=0),AND('_Dates'!V247&lt;&gt;"Full day",'_Dates'!AB247=0))),"CHECK half-day on non-working date",IF(COUNTIF(Settings!$G$7:$G$11,D247)&lt;&gt;1,"CHECK leave type",IF(AND(Bookings!G247&lt;&gt;"Approved",Bookings!G247&lt;&gt;"Pending",Bookings!G247&lt;&gt;"Cancelled"),"CHECK status","OK")))))))))),"CHECK input"))</ns0:f>
        <ns0:v/>
      </ns0:c>
      <ns0:c r="G247" s="0">
        <ns0:f>IF(OR(F247&lt;&gt;"OK",$B$6&gt;0),0,0.5*(IF(('_Dates'!X247)&lt;('_Dates'!W247),0,INT((('_Dates'!X247)-('_Dates'!W247)+1)/7)*LEN(SUBSTITUTE(W247,"O",""))+LEN(SUBSTITUTE(MID(W247&amp;W247,WEEKDAY(('_Dates'!W247),2),MOD((('_Dates'!X247)-('_Dates'!W247)+1),7)),"O",""))-COUNTIFS(INDEX(AllClosureRows,C247,0),"&gt;="&amp;('_Dates'!W247),INDEX(AllClosureRows,C247,0),"&lt;="&amp;('_Dates'!X247)))+IF(('_Dates'!Z247)&lt;('_Dates'!Y247),0,INT((('_Dates'!Z247)-('_Dates'!Y247)+1)/7)*LEN(SUBSTITUTE(W247,"O",""))+LEN(SUBSTITUTE(MID(W247&amp;W247,WEEKDAY(('_Dates'!Y247),2),MOD((('_Dates'!Z247)-('_Dates'!Y247)+1),7)),"O",""))-COUNTIFS(INDEX(AllClosureRows,C247,0),"&gt;="&amp;('_Dates'!Y247),INDEX(AllClosureRows,C247,0),"&lt;="&amp;('_Dates'!Z247)))))</ns0:f>
        <ns0:v>0</ns0:v>
      </ns0:c>
      <ns0:c r="H247" s="0">
        <ns0:f>IF(OR(F247&lt;&gt;"OK",$B$6&gt;0),0,0.5*(IF((MIN('_Dates'!X247,Settings!$B$9))&lt;('_Dates'!W247),0,INT(((MIN('_Dates'!X247,Settings!$B$9))-('_Dates'!W247)+1)/7)*LEN(SUBSTITUTE(W247,"O",""))+LEN(SUBSTITUTE(MID(W247&amp;W247,WEEKDAY(('_Dates'!W247),2),MOD(((MIN('_Dates'!X247,Settings!$B$9))-('_Dates'!W247)+1),7)),"O",""))-COUNTIFS(INDEX(AllClosureRows,C247,0),"&gt;="&amp;('_Dates'!W247),INDEX(AllClosureRows,C247,0),"&lt;="&amp;(MIN('_Dates'!X247,Settings!$B$9))))+IF((MIN('_Dates'!Z247,Settings!$B$9))&lt;('_Dates'!Y247),0,INT(((MIN('_Dates'!Z247,Settings!$B$9))-('_Dates'!Y247)+1)/7)*LEN(SUBSTITUTE(W247,"O",""))+LEN(SUBSTITUTE(MID(W247&amp;W247,WEEKDAY(('_Dates'!Y247),2),MOD(((MIN('_Dates'!Z247,Settings!$B$9))-('_Dates'!Y247)+1),7)),"O",""))-COUNTIFS(INDEX(AllClosureRows,C247,0),"&gt;="&amp;('_Dates'!Y247),INDEX(AllClosureRows,C247,0),"&lt;="&amp;(MIN('_Dates'!Z247,Settings!$B$9))))))</ns0:f>
        <ns0:v>0</ns0:v>
      </ns0:c>
      <ns0:c r="I247" s="0">
        <ns0:f>MAX(0,G247-H247)</ns0:f>
        <ns0:v>0</ns0:v>
      </ns0:c>
      <ns0:c r="J247" s="0">
        <ns0:f>IF(OR(A247=0,F247&lt;&gt;"OK",Bookings!G247="Cancelled",$B$6&gt;0),0,IF('_Dates'!AC247=1,MAX(0,COUNTIFS(rngEngine_B,B247,rngAMStart,"&lt;="&amp;'_Dates'!X247,rngAMEnd,"&gt;="&amp;'_Dates'!W247,rngAMActive,1,rngEngine_F,"OK",rngBookings_F,"&lt;&gt;Cancelled")-1),0)+IF('_Dates'!AD247=1,MAX(0,COUNTIFS(rngEngine_B,B247,rngPMStart,"&lt;="&amp;'_Dates'!Z247,rngPMEnd,"&gt;="&amp;'_Dates'!Y247,rngPMActive,1,rngEngine_F,"OK",rngBookings_F,"&lt;&gt;Cancelled")-1),0))</ns0:f>
        <ns0:v>0</ns0:v>
      </ns0:c>
      <ns0:c r="K247" s="0" t="str">
        <ns0:f>IF(A247=0,"",IF(F247&lt;&gt;"OK",F247,IF(J247&gt;0,"CHECK overlapping entry",IF(AND($B$6=0,G247&lt;=0,Bookings!G247&lt;&gt;"Cancelled"),"CHECK no working days",IF(Bookings!G247="Cancelled","Cancelled","OK")))))</ns0:f>
        <ns0:v/>
      </ns0:c>
      <ns0:c r="L247" s="0">
        <ns0:f>IF(LEFT(K247,5)="CHECK",1,0)</ns0:f>
        <ns0:v>0</ns0:v>
      </ns0:c>
      <ns0:c r="M247" s="0">
        <ns0:f>IF(AND(L247=1,OR(C247=0,IFERROR(INDEX($X$11:$X$60,C247),0)=0)),1,0)</ns0:f>
        <ns0:v>0</ns0:v>
      </ns0:c>
      <ns0:c r="N247" s="0">
        <ns0:f>IF(OR(A247=0,L247&gt;0,$B$6&gt;0,Bookings!G247="Cancelled"),0,G247)</ns0:f>
        <ns0:v>0</ns0:v>
      </ns0:c>
      <ns0:c r="O247" s="0">
        <ns0:f>IF(AND(Bookings!G247="Approved",E247="Yes"),N247,0)</ns0:f>
        <ns0:v>0</ns0:v>
      </ns0:c>
      <ns0:c r="P247" s="0">
        <ns0:f>IF(AND(Bookings!G247="Approved",E247="Yes",L247=0,$B$6=0),H247,0)</ns0:f>
        <ns0:v>0</ns0:v>
      </ns0:c>
      <ns0:c r="Q247" s="0">
        <ns0:f>IF(AND(Bookings!G247="Approved",E247="Yes",L247=0,$B$6=0),I247,0)</ns0:f>
        <ns0:v>0</ns0:v>
      </ns0:c>
      <ns0:c r="R247" s="0">
        <ns0:f>IF(AND(Bookings!G247="Pending",E247="Yes"),N247,0)</ns0:f>
        <ns0:v>0</ns0:v>
      </ns0:c>
      <ns0:c r="S247" s="0">
        <ns0:f>IF(AND(Bookings!G247="Approved",E247="No"),N247,0)</ns0:f>
        <ns0:v>0</ns0:v>
      </ns0:c>
      <ns0:c r="T247" s="0">
        <ns0:f>IFERROR(MATCH(D247,Settings!$G$7:$G$11,0),0)</ns0:f>
        <ns0:v>0</ns0:v>
      </ns0:c>
      <ns0:c r="U247" s="0">
        <ns0:f>IF(N247&gt;0,T247+IF(Bookings!G247="Pending",10,0),0)</ns0:f>
        <ns0:v>0</ns0:v>
      </ns0:c>
      <ns0:c r="V247" s="0">
        <ns0:f>U247</ns0:f>
        <ns0:v>0</ns0:v>
      </ns0:c>
      <ns0:c r="W247" s="0" t="str">
        <ns0:f>IF(C247=0,"",INDEX($AP$11:$AP$60,C247))</ns0:f>
        <ns0:v/>
      </ns0:c>
    </ns0:row>
    <ns0:row r="248">
      <ns0:c r="A248" s="0">
        <ns0:f>IF(COUNTA(Bookings!A248:G248,Bookings!I248)=0,0,1)</ns0:f>
        <ns0:v>0</ns0:v>
      </ns0:c>
      <ns0:c r="B248" s="0" t="str">
        <ns0:f>IFERROR(TRIM(MID(Bookings!A248,FIND(" · ",Bookings!A248)+3,99)),"")</ns0:f>
        <ns0:v/>
      </ns0:c>
      <ns0:c r="C248" s="0">
        <ns0:f>IF(OR(B248="",LEN(B248)&gt;24,ISNUMBER(FIND(" ",B248)),ISNUMBER(FIND("*",B248)),ISNUMBER(FIND("?",B248)),ISNUMBER(FIND("~",B248))),0,IFERROR(MATCH(B248,Team!$A$11:$A$60,0),0))</ns0:f>
        <ns0:v>0</ns0:v>
      </ns0:c>
      <ns0:c r="D248" s="0" t="str">
        <ns0:f>IFERROR(IF(MID(Bookings!F248,LEN(Bookings!F248)-3,3)=" · ",RIGHT(Bookings!F248,1),""),"")</ns0:f>
        <ns0:v/>
      </ns0:c>
      <ns0:c r="E248" s="0" t="str">
        <ns0:f>IFERROR(INDEX(Settings!$H$7:$H$11,MATCH(D248,Settings!$G$7:$G$11,0)),"")</ns0:f>
        <ns0:v/>
      </ns0:c>
      <ns0:c r="F248" s="0" t="str">
        <ns0:f>IF(A248=0,"",IFERROR(IF(OR(B248="",C248=0),"CHECK employee selection",IF(INDEX(Team!$O$11:$O$60,C248)&lt;&gt;"OK","CHECK employee setup",IF(OR('_Dates'!J248=0,'_Dates'!T248=0),"CHECK date: use DD.MM.YYYY",IF('_Dates'!T248&lt;'_Dates'!J248,"CHECK end before start",IF(AND($B$6=0,OR('_Dates'!J248&lt;Settings!$B$7,'_Dates'!T248&gt;Settings!$B$8)),"CHECK split across leave years",IF(OR(NOT(OR('_Dates'!U248="Full day",'_Dates'!U248="AM",'_Dates'!U248="PM")),NOT(OR('_Dates'!V248="Full day",'_Dates'!V248="AM",'_Dates'!V248="PM"))),"CHECK Full day / AM / PM",IF(AND('_Dates'!J248='_Dates'!T248,'_Dates'!U248&lt;&gt;"Full day",'_Dates'!V248&lt;&gt;"Full day",'_Dates'!U248&lt;&gt;'_Dates'!V248),"CHECK same-day portions disagree",IF(AND($B$6=0,OR(AND('_Dates'!U248&lt;&gt;"Full day",'_Dates'!AA248=0),AND('_Dates'!V248&lt;&gt;"Full day",'_Dates'!AB248=0))),"CHECK half-day on non-working date",IF(COUNTIF(Settings!$G$7:$G$11,D248)&lt;&gt;1,"CHECK leave type",IF(AND(Bookings!G248&lt;&gt;"Approved",Bookings!G248&lt;&gt;"Pending",Bookings!G248&lt;&gt;"Cancelled"),"CHECK status","OK")))))))))),"CHECK input"))</ns0:f>
        <ns0:v/>
      </ns0:c>
      <ns0:c r="G248" s="0">
        <ns0:f>IF(OR(F248&lt;&gt;"OK",$B$6&gt;0),0,0.5*(IF(('_Dates'!X248)&lt;('_Dates'!W248),0,INT((('_Dates'!X248)-('_Dates'!W248)+1)/7)*LEN(SUBSTITUTE(W248,"O",""))+LEN(SUBSTITUTE(MID(W248&amp;W248,WEEKDAY(('_Dates'!W248),2),MOD((('_Dates'!X248)-('_Dates'!W248)+1),7)),"O",""))-COUNTIFS(INDEX(AllClosureRows,C248,0),"&gt;="&amp;('_Dates'!W248),INDEX(AllClosureRows,C248,0),"&lt;="&amp;('_Dates'!X248)))+IF(('_Dates'!Z248)&lt;('_Dates'!Y248),0,INT((('_Dates'!Z248)-('_Dates'!Y248)+1)/7)*LEN(SUBSTITUTE(W248,"O",""))+LEN(SUBSTITUTE(MID(W248&amp;W248,WEEKDAY(('_Dates'!Y248),2),MOD((('_Dates'!Z248)-('_Dates'!Y248)+1),7)),"O",""))-COUNTIFS(INDEX(AllClosureRows,C248,0),"&gt;="&amp;('_Dates'!Y248),INDEX(AllClosureRows,C248,0),"&lt;="&amp;('_Dates'!Z248)))))</ns0:f>
        <ns0:v>0</ns0:v>
      </ns0:c>
      <ns0:c r="H248" s="0">
        <ns0:f>IF(OR(F248&lt;&gt;"OK",$B$6&gt;0),0,0.5*(IF((MIN('_Dates'!X248,Settings!$B$9))&lt;('_Dates'!W248),0,INT(((MIN('_Dates'!X248,Settings!$B$9))-('_Dates'!W248)+1)/7)*LEN(SUBSTITUTE(W248,"O",""))+LEN(SUBSTITUTE(MID(W248&amp;W248,WEEKDAY(('_Dates'!W248),2),MOD(((MIN('_Dates'!X248,Settings!$B$9))-('_Dates'!W248)+1),7)),"O",""))-COUNTIFS(INDEX(AllClosureRows,C248,0),"&gt;="&amp;('_Dates'!W248),INDEX(AllClosureRows,C248,0),"&lt;="&amp;(MIN('_Dates'!X248,Settings!$B$9))))+IF((MIN('_Dates'!Z248,Settings!$B$9))&lt;('_Dates'!Y248),0,INT(((MIN('_Dates'!Z248,Settings!$B$9))-('_Dates'!Y248)+1)/7)*LEN(SUBSTITUTE(W248,"O",""))+LEN(SUBSTITUTE(MID(W248&amp;W248,WEEKDAY(('_Dates'!Y248),2),MOD(((MIN('_Dates'!Z248,Settings!$B$9))-('_Dates'!Y248)+1),7)),"O",""))-COUNTIFS(INDEX(AllClosureRows,C248,0),"&gt;="&amp;('_Dates'!Y248),INDEX(AllClosureRows,C248,0),"&lt;="&amp;(MIN('_Dates'!Z248,Settings!$B$9))))))</ns0:f>
        <ns0:v>0</ns0:v>
      </ns0:c>
      <ns0:c r="I248" s="0">
        <ns0:f>MAX(0,G248-H248)</ns0:f>
        <ns0:v>0</ns0:v>
      </ns0:c>
      <ns0:c r="J248" s="0">
        <ns0:f>IF(OR(A248=0,F248&lt;&gt;"OK",Bookings!G248="Cancelled",$B$6&gt;0),0,IF('_Dates'!AC248=1,MAX(0,COUNTIFS(rngEngine_B,B248,rngAMStart,"&lt;="&amp;'_Dates'!X248,rngAMEnd,"&gt;="&amp;'_Dates'!W248,rngAMActive,1,rngEngine_F,"OK",rngBookings_F,"&lt;&gt;Cancelled")-1),0)+IF('_Dates'!AD248=1,MAX(0,COUNTIFS(rngEngine_B,B248,rngPMStart,"&lt;="&amp;'_Dates'!Z248,rngPMEnd,"&gt;="&amp;'_Dates'!Y248,rngPMActive,1,rngEngine_F,"OK",rngBookings_F,"&lt;&gt;Cancelled")-1),0))</ns0:f>
        <ns0:v>0</ns0:v>
      </ns0:c>
      <ns0:c r="K248" s="0" t="str">
        <ns0:f>IF(A248=0,"",IF(F248&lt;&gt;"OK",F248,IF(J248&gt;0,"CHECK overlapping entry",IF(AND($B$6=0,G248&lt;=0,Bookings!G248&lt;&gt;"Cancelled"),"CHECK no working days",IF(Bookings!G248="Cancelled","Cancelled","OK")))))</ns0:f>
        <ns0:v/>
      </ns0:c>
      <ns0:c r="L248" s="0">
        <ns0:f>IF(LEFT(K248,5)="CHECK",1,0)</ns0:f>
        <ns0:v>0</ns0:v>
      </ns0:c>
      <ns0:c r="M248" s="0">
        <ns0:f>IF(AND(L248=1,OR(C248=0,IFERROR(INDEX($X$11:$X$60,C248),0)=0)),1,0)</ns0:f>
        <ns0:v>0</ns0:v>
      </ns0:c>
      <ns0:c r="N248" s="0">
        <ns0:f>IF(OR(A248=0,L248&gt;0,$B$6&gt;0,Bookings!G248="Cancelled"),0,G248)</ns0:f>
        <ns0:v>0</ns0:v>
      </ns0:c>
      <ns0:c r="O248" s="0">
        <ns0:f>IF(AND(Bookings!G248="Approved",E248="Yes"),N248,0)</ns0:f>
        <ns0:v>0</ns0:v>
      </ns0:c>
      <ns0:c r="P248" s="0">
        <ns0:f>IF(AND(Bookings!G248="Approved",E248="Yes",L248=0,$B$6=0),H248,0)</ns0:f>
        <ns0:v>0</ns0:v>
      </ns0:c>
      <ns0:c r="Q248" s="0">
        <ns0:f>IF(AND(Bookings!G248="Approved",E248="Yes",L248=0,$B$6=0),I248,0)</ns0:f>
        <ns0:v>0</ns0:v>
      </ns0:c>
      <ns0:c r="R248" s="0">
        <ns0:f>IF(AND(Bookings!G248="Pending",E248="Yes"),N248,0)</ns0:f>
        <ns0:v>0</ns0:v>
      </ns0:c>
      <ns0:c r="S248" s="0">
        <ns0:f>IF(AND(Bookings!G248="Approved",E248="No"),N248,0)</ns0:f>
        <ns0:v>0</ns0:v>
      </ns0:c>
      <ns0:c r="T248" s="0">
        <ns0:f>IFERROR(MATCH(D248,Settings!$G$7:$G$11,0),0)</ns0:f>
        <ns0:v>0</ns0:v>
      </ns0:c>
      <ns0:c r="U248" s="0">
        <ns0:f>IF(N248&gt;0,T248+IF(Bookings!G248="Pending",10,0),0)</ns0:f>
        <ns0:v>0</ns0:v>
      </ns0:c>
      <ns0:c r="V248" s="0">
        <ns0:f>U248</ns0:f>
        <ns0:v>0</ns0:v>
      </ns0:c>
      <ns0:c r="W248" s="0" t="str">
        <ns0:f>IF(C248=0,"",INDEX($AP$11:$AP$60,C248))</ns0:f>
        <ns0:v/>
      </ns0:c>
    </ns0:row>
    <ns0:row r="249">
      <ns0:c r="A249" s="0">
        <ns0:f>IF(COUNTA(Bookings!A249:G249,Bookings!I249)=0,0,1)</ns0:f>
        <ns0:v>0</ns0:v>
      </ns0:c>
      <ns0:c r="B249" s="0" t="str">
        <ns0:f>IFERROR(TRIM(MID(Bookings!A249,FIND(" · ",Bookings!A249)+3,99)),"")</ns0:f>
        <ns0:v/>
      </ns0:c>
      <ns0:c r="C249" s="0">
        <ns0:f>IF(OR(B249="",LEN(B249)&gt;24,ISNUMBER(FIND(" ",B249)),ISNUMBER(FIND("*",B249)),ISNUMBER(FIND("?",B249)),ISNUMBER(FIND("~",B249))),0,IFERROR(MATCH(B249,Team!$A$11:$A$60,0),0))</ns0:f>
        <ns0:v>0</ns0:v>
      </ns0:c>
      <ns0:c r="D249" s="0" t="str">
        <ns0:f>IFERROR(IF(MID(Bookings!F249,LEN(Bookings!F249)-3,3)=" · ",RIGHT(Bookings!F249,1),""),"")</ns0:f>
        <ns0:v/>
      </ns0:c>
      <ns0:c r="E249" s="0" t="str">
        <ns0:f>IFERROR(INDEX(Settings!$H$7:$H$11,MATCH(D249,Settings!$G$7:$G$11,0)),"")</ns0:f>
        <ns0:v/>
      </ns0:c>
      <ns0:c r="F249" s="0" t="str">
        <ns0:f>IF(A249=0,"",IFERROR(IF(OR(B249="",C249=0),"CHECK employee selection",IF(INDEX(Team!$O$11:$O$60,C249)&lt;&gt;"OK","CHECK employee setup",IF(OR('_Dates'!J249=0,'_Dates'!T249=0),"CHECK date: use DD.MM.YYYY",IF('_Dates'!T249&lt;'_Dates'!J249,"CHECK end before start",IF(AND($B$6=0,OR('_Dates'!J249&lt;Settings!$B$7,'_Dates'!T249&gt;Settings!$B$8)),"CHECK split across leave years",IF(OR(NOT(OR('_Dates'!U249="Full day",'_Dates'!U249="AM",'_Dates'!U249="PM")),NOT(OR('_Dates'!V249="Full day",'_Dates'!V249="AM",'_Dates'!V249="PM"))),"CHECK Full day / AM / PM",IF(AND('_Dates'!J249='_Dates'!T249,'_Dates'!U249&lt;&gt;"Full day",'_Dates'!V249&lt;&gt;"Full day",'_Dates'!U249&lt;&gt;'_Dates'!V249),"CHECK same-day portions disagree",IF(AND($B$6=0,OR(AND('_Dates'!U249&lt;&gt;"Full day",'_Dates'!AA249=0),AND('_Dates'!V249&lt;&gt;"Full day",'_Dates'!AB249=0))),"CHECK half-day on non-working date",IF(COUNTIF(Settings!$G$7:$G$11,D249)&lt;&gt;1,"CHECK leave type",IF(AND(Bookings!G249&lt;&gt;"Approved",Bookings!G249&lt;&gt;"Pending",Bookings!G249&lt;&gt;"Cancelled"),"CHECK status","OK")))))))))),"CHECK input"))</ns0:f>
        <ns0:v/>
      </ns0:c>
      <ns0:c r="G249" s="0">
        <ns0:f>IF(OR(F249&lt;&gt;"OK",$B$6&gt;0),0,0.5*(IF(('_Dates'!X249)&lt;('_Dates'!W249),0,INT((('_Dates'!X249)-('_Dates'!W249)+1)/7)*LEN(SUBSTITUTE(W249,"O",""))+LEN(SUBSTITUTE(MID(W249&amp;W249,WEEKDAY(('_Dates'!W249),2),MOD((('_Dates'!X249)-('_Dates'!W249)+1),7)),"O",""))-COUNTIFS(INDEX(AllClosureRows,C249,0),"&gt;="&amp;('_Dates'!W249),INDEX(AllClosureRows,C249,0),"&lt;="&amp;('_Dates'!X249)))+IF(('_Dates'!Z249)&lt;('_Dates'!Y249),0,INT((('_Dates'!Z249)-('_Dates'!Y249)+1)/7)*LEN(SUBSTITUTE(W249,"O",""))+LEN(SUBSTITUTE(MID(W249&amp;W249,WEEKDAY(('_Dates'!Y249),2),MOD((('_Dates'!Z249)-('_Dates'!Y249)+1),7)),"O",""))-COUNTIFS(INDEX(AllClosureRows,C249,0),"&gt;="&amp;('_Dates'!Y249),INDEX(AllClosureRows,C249,0),"&lt;="&amp;('_Dates'!Z249)))))</ns0:f>
        <ns0:v>0</ns0:v>
      </ns0:c>
      <ns0:c r="H249" s="0">
        <ns0:f>IF(OR(F249&lt;&gt;"OK",$B$6&gt;0),0,0.5*(IF((MIN('_Dates'!X249,Settings!$B$9))&lt;('_Dates'!W249),0,INT(((MIN('_Dates'!X249,Settings!$B$9))-('_Dates'!W249)+1)/7)*LEN(SUBSTITUTE(W249,"O",""))+LEN(SUBSTITUTE(MID(W249&amp;W249,WEEKDAY(('_Dates'!W249),2),MOD(((MIN('_Dates'!X249,Settings!$B$9))-('_Dates'!W249)+1),7)),"O",""))-COUNTIFS(INDEX(AllClosureRows,C249,0),"&gt;="&amp;('_Dates'!W249),INDEX(AllClosureRows,C249,0),"&lt;="&amp;(MIN('_Dates'!X249,Settings!$B$9))))+IF((MIN('_Dates'!Z249,Settings!$B$9))&lt;('_Dates'!Y249),0,INT(((MIN('_Dates'!Z249,Settings!$B$9))-('_Dates'!Y249)+1)/7)*LEN(SUBSTITUTE(W249,"O",""))+LEN(SUBSTITUTE(MID(W249&amp;W249,WEEKDAY(('_Dates'!Y249),2),MOD(((MIN('_Dates'!Z249,Settings!$B$9))-('_Dates'!Y249)+1),7)),"O",""))-COUNTIFS(INDEX(AllClosureRows,C249,0),"&gt;="&amp;('_Dates'!Y249),INDEX(AllClosureRows,C249,0),"&lt;="&amp;(MIN('_Dates'!Z249,Settings!$B$9))))))</ns0:f>
        <ns0:v>0</ns0:v>
      </ns0:c>
      <ns0:c r="I249" s="0">
        <ns0:f>MAX(0,G249-H249)</ns0:f>
        <ns0:v>0</ns0:v>
      </ns0:c>
      <ns0:c r="J249" s="0">
        <ns0:f>IF(OR(A249=0,F249&lt;&gt;"OK",Bookings!G249="Cancelled",$B$6&gt;0),0,IF('_Dates'!AC249=1,MAX(0,COUNTIFS(rngEngine_B,B249,rngAMStart,"&lt;="&amp;'_Dates'!X249,rngAMEnd,"&gt;="&amp;'_Dates'!W249,rngAMActive,1,rngEngine_F,"OK",rngBookings_F,"&lt;&gt;Cancelled")-1),0)+IF('_Dates'!AD249=1,MAX(0,COUNTIFS(rngEngine_B,B249,rngPMStart,"&lt;="&amp;'_Dates'!Z249,rngPMEnd,"&gt;="&amp;'_Dates'!Y249,rngPMActive,1,rngEngine_F,"OK",rngBookings_F,"&lt;&gt;Cancelled")-1),0))</ns0:f>
        <ns0:v>0</ns0:v>
      </ns0:c>
      <ns0:c r="K249" s="0" t="str">
        <ns0:f>IF(A249=0,"",IF(F249&lt;&gt;"OK",F249,IF(J249&gt;0,"CHECK overlapping entry",IF(AND($B$6=0,G249&lt;=0,Bookings!G249&lt;&gt;"Cancelled"),"CHECK no working days",IF(Bookings!G249="Cancelled","Cancelled","OK")))))</ns0:f>
        <ns0:v/>
      </ns0:c>
      <ns0:c r="L249" s="0">
        <ns0:f>IF(LEFT(K249,5)="CHECK",1,0)</ns0:f>
        <ns0:v>0</ns0:v>
      </ns0:c>
      <ns0:c r="M249" s="0">
        <ns0:f>IF(AND(L249=1,OR(C249=0,IFERROR(INDEX($X$11:$X$60,C249),0)=0)),1,0)</ns0:f>
        <ns0:v>0</ns0:v>
      </ns0:c>
      <ns0:c r="N249" s="0">
        <ns0:f>IF(OR(A249=0,L249&gt;0,$B$6&gt;0,Bookings!G249="Cancelled"),0,G249)</ns0:f>
        <ns0:v>0</ns0:v>
      </ns0:c>
      <ns0:c r="O249" s="0">
        <ns0:f>IF(AND(Bookings!G249="Approved",E249="Yes"),N249,0)</ns0:f>
        <ns0:v>0</ns0:v>
      </ns0:c>
      <ns0:c r="P249" s="0">
        <ns0:f>IF(AND(Bookings!G249="Approved",E249="Yes",L249=0,$B$6=0),H249,0)</ns0:f>
        <ns0:v>0</ns0:v>
      </ns0:c>
      <ns0:c r="Q249" s="0">
        <ns0:f>IF(AND(Bookings!G249="Approved",E249="Yes",L249=0,$B$6=0),I249,0)</ns0:f>
        <ns0:v>0</ns0:v>
      </ns0:c>
      <ns0:c r="R249" s="0">
        <ns0:f>IF(AND(Bookings!G249="Pending",E249="Yes"),N249,0)</ns0:f>
        <ns0:v>0</ns0:v>
      </ns0:c>
      <ns0:c r="S249" s="0">
        <ns0:f>IF(AND(Bookings!G249="Approved",E249="No"),N249,0)</ns0:f>
        <ns0:v>0</ns0:v>
      </ns0:c>
      <ns0:c r="T249" s="0">
        <ns0:f>IFERROR(MATCH(D249,Settings!$G$7:$G$11,0),0)</ns0:f>
        <ns0:v>0</ns0:v>
      </ns0:c>
      <ns0:c r="U249" s="0">
        <ns0:f>IF(N249&gt;0,T249+IF(Bookings!G249="Pending",10,0),0)</ns0:f>
        <ns0:v>0</ns0:v>
      </ns0:c>
      <ns0:c r="V249" s="0">
        <ns0:f>U249</ns0:f>
        <ns0:v>0</ns0:v>
      </ns0:c>
      <ns0:c r="W249" s="0" t="str">
        <ns0:f>IF(C249=0,"",INDEX($AP$11:$AP$60,C249))</ns0:f>
        <ns0:v/>
      </ns0:c>
    </ns0:row>
    <ns0:row r="250">
      <ns0:c r="A250" s="0">
        <ns0:f>IF(COUNTA(Bookings!A250:G250,Bookings!I250)=0,0,1)</ns0:f>
        <ns0:v>0</ns0:v>
      </ns0:c>
      <ns0:c r="B250" s="0" t="str">
        <ns0:f>IFERROR(TRIM(MID(Bookings!A250,FIND(" · ",Bookings!A250)+3,99)),"")</ns0:f>
        <ns0:v/>
      </ns0:c>
      <ns0:c r="C250" s="0">
        <ns0:f>IF(OR(B250="",LEN(B250)&gt;24,ISNUMBER(FIND(" ",B250)),ISNUMBER(FIND("*",B250)),ISNUMBER(FIND("?",B250)),ISNUMBER(FIND("~",B250))),0,IFERROR(MATCH(B250,Team!$A$11:$A$60,0),0))</ns0:f>
        <ns0:v>0</ns0:v>
      </ns0:c>
      <ns0:c r="D250" s="0" t="str">
        <ns0:f>IFERROR(IF(MID(Bookings!F250,LEN(Bookings!F250)-3,3)=" · ",RIGHT(Bookings!F250,1),""),"")</ns0:f>
        <ns0:v/>
      </ns0:c>
      <ns0:c r="E250" s="0" t="str">
        <ns0:f>IFERROR(INDEX(Settings!$H$7:$H$11,MATCH(D250,Settings!$G$7:$G$11,0)),"")</ns0:f>
        <ns0:v/>
      </ns0:c>
      <ns0:c r="F250" s="0" t="str">
        <ns0:f>IF(A250=0,"",IFERROR(IF(OR(B250="",C250=0),"CHECK employee selection",IF(INDEX(Team!$O$11:$O$60,C250)&lt;&gt;"OK","CHECK employee setup",IF(OR('_Dates'!J250=0,'_Dates'!T250=0),"CHECK date: use DD.MM.YYYY",IF('_Dates'!T250&lt;'_Dates'!J250,"CHECK end before start",IF(AND($B$6=0,OR('_Dates'!J250&lt;Settings!$B$7,'_Dates'!T250&gt;Settings!$B$8)),"CHECK split across leave years",IF(OR(NOT(OR('_Dates'!U250="Full day",'_Dates'!U250="AM",'_Dates'!U250="PM")),NOT(OR('_Dates'!V250="Full day",'_Dates'!V250="AM",'_Dates'!V250="PM"))),"CHECK Full day / AM / PM",IF(AND('_Dates'!J250='_Dates'!T250,'_Dates'!U250&lt;&gt;"Full day",'_Dates'!V250&lt;&gt;"Full day",'_Dates'!U250&lt;&gt;'_Dates'!V250),"CHECK same-day portions disagree",IF(AND($B$6=0,OR(AND('_Dates'!U250&lt;&gt;"Full day",'_Dates'!AA250=0),AND('_Dates'!V250&lt;&gt;"Full day",'_Dates'!AB250=0))),"CHECK half-day on non-working date",IF(COUNTIF(Settings!$G$7:$G$11,D250)&lt;&gt;1,"CHECK leave type",IF(AND(Bookings!G250&lt;&gt;"Approved",Bookings!G250&lt;&gt;"Pending",Bookings!G250&lt;&gt;"Cancelled"),"CHECK status","OK")))))))))),"CHECK input"))</ns0:f>
        <ns0:v/>
      </ns0:c>
      <ns0:c r="G250" s="0">
        <ns0:f>IF(OR(F250&lt;&gt;"OK",$B$6&gt;0),0,0.5*(IF(('_Dates'!X250)&lt;('_Dates'!W250),0,INT((('_Dates'!X250)-('_Dates'!W250)+1)/7)*LEN(SUBSTITUTE(W250,"O",""))+LEN(SUBSTITUTE(MID(W250&amp;W250,WEEKDAY(('_Dates'!W250),2),MOD((('_Dates'!X250)-('_Dates'!W250)+1),7)),"O",""))-COUNTIFS(INDEX(AllClosureRows,C250,0),"&gt;="&amp;('_Dates'!W250),INDEX(AllClosureRows,C250,0),"&lt;="&amp;('_Dates'!X250)))+IF(('_Dates'!Z250)&lt;('_Dates'!Y250),0,INT((('_Dates'!Z250)-('_Dates'!Y250)+1)/7)*LEN(SUBSTITUTE(W250,"O",""))+LEN(SUBSTITUTE(MID(W250&amp;W250,WEEKDAY(('_Dates'!Y250),2),MOD((('_Dates'!Z250)-('_Dates'!Y250)+1),7)),"O",""))-COUNTIFS(INDEX(AllClosureRows,C250,0),"&gt;="&amp;('_Dates'!Y250),INDEX(AllClosureRows,C250,0),"&lt;="&amp;('_Dates'!Z250)))))</ns0:f>
        <ns0:v>0</ns0:v>
      </ns0:c>
      <ns0:c r="H250" s="0">
        <ns0:f>IF(OR(F250&lt;&gt;"OK",$B$6&gt;0),0,0.5*(IF((MIN('_Dates'!X250,Settings!$B$9))&lt;('_Dates'!W250),0,INT(((MIN('_Dates'!X250,Settings!$B$9))-('_Dates'!W250)+1)/7)*LEN(SUBSTITUTE(W250,"O",""))+LEN(SUBSTITUTE(MID(W250&amp;W250,WEEKDAY(('_Dates'!W250),2),MOD(((MIN('_Dates'!X250,Settings!$B$9))-('_Dates'!W250)+1),7)),"O",""))-COUNTIFS(INDEX(AllClosureRows,C250,0),"&gt;="&amp;('_Dates'!W250),INDEX(AllClosureRows,C250,0),"&lt;="&amp;(MIN('_Dates'!X250,Settings!$B$9))))+IF((MIN('_Dates'!Z250,Settings!$B$9))&lt;('_Dates'!Y250),0,INT(((MIN('_Dates'!Z250,Settings!$B$9))-('_Dates'!Y250)+1)/7)*LEN(SUBSTITUTE(W250,"O",""))+LEN(SUBSTITUTE(MID(W250&amp;W250,WEEKDAY(('_Dates'!Y250),2),MOD(((MIN('_Dates'!Z250,Settings!$B$9))-('_Dates'!Y250)+1),7)),"O",""))-COUNTIFS(INDEX(AllClosureRows,C250,0),"&gt;="&amp;('_Dates'!Y250),INDEX(AllClosureRows,C250,0),"&lt;="&amp;(MIN('_Dates'!Z250,Settings!$B$9))))))</ns0:f>
        <ns0:v>0</ns0:v>
      </ns0:c>
      <ns0:c r="I250" s="0">
        <ns0:f>MAX(0,G250-H250)</ns0:f>
        <ns0:v>0</ns0:v>
      </ns0:c>
      <ns0:c r="J250" s="0">
        <ns0:f>IF(OR(A250=0,F250&lt;&gt;"OK",Bookings!G250="Cancelled",$B$6&gt;0),0,IF('_Dates'!AC250=1,MAX(0,COUNTIFS(rngEngine_B,B250,rngAMStart,"&lt;="&amp;'_Dates'!X250,rngAMEnd,"&gt;="&amp;'_Dates'!W250,rngAMActive,1,rngEngine_F,"OK",rngBookings_F,"&lt;&gt;Cancelled")-1),0)+IF('_Dates'!AD250=1,MAX(0,COUNTIFS(rngEngine_B,B250,rngPMStart,"&lt;="&amp;'_Dates'!Z250,rngPMEnd,"&gt;="&amp;'_Dates'!Y250,rngPMActive,1,rngEngine_F,"OK",rngBookings_F,"&lt;&gt;Cancelled")-1),0))</ns0:f>
        <ns0:v>0</ns0:v>
      </ns0:c>
      <ns0:c r="K250" s="0" t="str">
        <ns0:f>IF(A250=0,"",IF(F250&lt;&gt;"OK",F250,IF(J250&gt;0,"CHECK overlapping entry",IF(AND($B$6=0,G250&lt;=0,Bookings!G250&lt;&gt;"Cancelled"),"CHECK no working days",IF(Bookings!G250="Cancelled","Cancelled","OK")))))</ns0:f>
        <ns0:v/>
      </ns0:c>
      <ns0:c r="L250" s="0">
        <ns0:f>IF(LEFT(K250,5)="CHECK",1,0)</ns0:f>
        <ns0:v>0</ns0:v>
      </ns0:c>
      <ns0:c r="M250" s="0">
        <ns0:f>IF(AND(L250=1,OR(C250=0,IFERROR(INDEX($X$11:$X$60,C250),0)=0)),1,0)</ns0:f>
        <ns0:v>0</ns0:v>
      </ns0:c>
      <ns0:c r="N250" s="0">
        <ns0:f>IF(OR(A250=0,L250&gt;0,$B$6&gt;0,Bookings!G250="Cancelled"),0,G250)</ns0:f>
        <ns0:v>0</ns0:v>
      </ns0:c>
      <ns0:c r="O250" s="0">
        <ns0:f>IF(AND(Bookings!G250="Approved",E250="Yes"),N250,0)</ns0:f>
        <ns0:v>0</ns0:v>
      </ns0:c>
      <ns0:c r="P250" s="0">
        <ns0:f>IF(AND(Bookings!G250="Approved",E250="Yes",L250=0,$B$6=0),H250,0)</ns0:f>
        <ns0:v>0</ns0:v>
      </ns0:c>
      <ns0:c r="Q250" s="0">
        <ns0:f>IF(AND(Bookings!G250="Approved",E250="Yes",L250=0,$B$6=0),I250,0)</ns0:f>
        <ns0:v>0</ns0:v>
      </ns0:c>
      <ns0:c r="R250" s="0">
        <ns0:f>IF(AND(Bookings!G250="Pending",E250="Yes"),N250,0)</ns0:f>
        <ns0:v>0</ns0:v>
      </ns0:c>
      <ns0:c r="S250" s="0">
        <ns0:f>IF(AND(Bookings!G250="Approved",E250="No"),N250,0)</ns0:f>
        <ns0:v>0</ns0:v>
      </ns0:c>
      <ns0:c r="T250" s="0">
        <ns0:f>IFERROR(MATCH(D250,Settings!$G$7:$G$11,0),0)</ns0:f>
        <ns0:v>0</ns0:v>
      </ns0:c>
      <ns0:c r="U250" s="0">
        <ns0:f>IF(N250&gt;0,T250+IF(Bookings!G250="Pending",10,0),0)</ns0:f>
        <ns0:v>0</ns0:v>
      </ns0:c>
      <ns0:c r="V250" s="0">
        <ns0:f>U250</ns0:f>
        <ns0:v>0</ns0:v>
      </ns0:c>
      <ns0:c r="W250" s="0" t="str">
        <ns0:f>IF(C250=0,"",INDEX($AP$11:$AP$60,C250))</ns0:f>
        <ns0:v/>
      </ns0:c>
    </ns0:row>
    <ns0:row r="251">
      <ns0:c r="A251" s="0">
        <ns0:f>IF(COUNTA(Bookings!A251:G251,Bookings!I251)=0,0,1)</ns0:f>
        <ns0:v>0</ns0:v>
      </ns0:c>
      <ns0:c r="B251" s="0" t="str">
        <ns0:f>IFERROR(TRIM(MID(Bookings!A251,FIND(" · ",Bookings!A251)+3,99)),"")</ns0:f>
        <ns0:v/>
      </ns0:c>
      <ns0:c r="C251" s="0">
        <ns0:f>IF(OR(B251="",LEN(B251)&gt;24,ISNUMBER(FIND(" ",B251)),ISNUMBER(FIND("*",B251)),ISNUMBER(FIND("?",B251)),ISNUMBER(FIND("~",B251))),0,IFERROR(MATCH(B251,Team!$A$11:$A$60,0),0))</ns0:f>
        <ns0:v>0</ns0:v>
      </ns0:c>
      <ns0:c r="D251" s="0" t="str">
        <ns0:f>IFERROR(IF(MID(Bookings!F251,LEN(Bookings!F251)-3,3)=" · ",RIGHT(Bookings!F251,1),""),"")</ns0:f>
        <ns0:v/>
      </ns0:c>
      <ns0:c r="E251" s="0" t="str">
        <ns0:f>IFERROR(INDEX(Settings!$H$7:$H$11,MATCH(D251,Settings!$G$7:$G$11,0)),"")</ns0:f>
        <ns0:v/>
      </ns0:c>
      <ns0:c r="F251" s="0" t="str">
        <ns0:f>IF(A251=0,"",IFERROR(IF(OR(B251="",C251=0),"CHECK employee selection",IF(INDEX(Team!$O$11:$O$60,C251)&lt;&gt;"OK","CHECK employee setup",IF(OR('_Dates'!J251=0,'_Dates'!T251=0),"CHECK date: use DD.MM.YYYY",IF('_Dates'!T251&lt;'_Dates'!J251,"CHECK end before start",IF(AND($B$6=0,OR('_Dates'!J251&lt;Settings!$B$7,'_Dates'!T251&gt;Settings!$B$8)),"CHECK split across leave years",IF(OR(NOT(OR('_Dates'!U251="Full day",'_Dates'!U251="AM",'_Dates'!U251="PM")),NOT(OR('_Dates'!V251="Full day",'_Dates'!V251="AM",'_Dates'!V251="PM"))),"CHECK Full day / AM / PM",IF(AND('_Dates'!J251='_Dates'!T251,'_Dates'!U251&lt;&gt;"Full day",'_Dates'!V251&lt;&gt;"Full day",'_Dates'!U251&lt;&gt;'_Dates'!V251),"CHECK same-day portions disagree",IF(AND($B$6=0,OR(AND('_Dates'!U251&lt;&gt;"Full day",'_Dates'!AA251=0),AND('_Dates'!V251&lt;&gt;"Full day",'_Dates'!AB251=0))),"CHECK half-day on non-working date",IF(COUNTIF(Settings!$G$7:$G$11,D251)&lt;&gt;1,"CHECK leave type",IF(AND(Bookings!G251&lt;&gt;"Approved",Bookings!G251&lt;&gt;"Pending",Bookings!G251&lt;&gt;"Cancelled"),"CHECK status","OK")))))))))),"CHECK input"))</ns0:f>
        <ns0:v/>
      </ns0:c>
      <ns0:c r="G251" s="0">
        <ns0:f>IF(OR(F251&lt;&gt;"OK",$B$6&gt;0),0,0.5*(IF(('_Dates'!X251)&lt;('_Dates'!W251),0,INT((('_Dates'!X251)-('_Dates'!W251)+1)/7)*LEN(SUBSTITUTE(W251,"O",""))+LEN(SUBSTITUTE(MID(W251&amp;W251,WEEKDAY(('_Dates'!W251),2),MOD((('_Dates'!X251)-('_Dates'!W251)+1),7)),"O",""))-COUNTIFS(INDEX(AllClosureRows,C251,0),"&gt;="&amp;('_Dates'!W251),INDEX(AllClosureRows,C251,0),"&lt;="&amp;('_Dates'!X251)))+IF(('_Dates'!Z251)&lt;('_Dates'!Y251),0,INT((('_Dates'!Z251)-('_Dates'!Y251)+1)/7)*LEN(SUBSTITUTE(W251,"O",""))+LEN(SUBSTITUTE(MID(W251&amp;W251,WEEKDAY(('_Dates'!Y251),2),MOD((('_Dates'!Z251)-('_Dates'!Y251)+1),7)),"O",""))-COUNTIFS(INDEX(AllClosureRows,C251,0),"&gt;="&amp;('_Dates'!Y251),INDEX(AllClosureRows,C251,0),"&lt;="&amp;('_Dates'!Z251)))))</ns0:f>
        <ns0:v>0</ns0:v>
      </ns0:c>
      <ns0:c r="H251" s="0">
        <ns0:f>IF(OR(F251&lt;&gt;"OK",$B$6&gt;0),0,0.5*(IF((MIN('_Dates'!X251,Settings!$B$9))&lt;('_Dates'!W251),0,INT(((MIN('_Dates'!X251,Settings!$B$9))-('_Dates'!W251)+1)/7)*LEN(SUBSTITUTE(W251,"O",""))+LEN(SUBSTITUTE(MID(W251&amp;W251,WEEKDAY(('_Dates'!W251),2),MOD(((MIN('_Dates'!X251,Settings!$B$9))-('_Dates'!W251)+1),7)),"O",""))-COUNTIFS(INDEX(AllClosureRows,C251,0),"&gt;="&amp;('_Dates'!W251),INDEX(AllClosureRows,C251,0),"&lt;="&amp;(MIN('_Dates'!X251,Settings!$B$9))))+IF((MIN('_Dates'!Z251,Settings!$B$9))&lt;('_Dates'!Y251),0,INT(((MIN('_Dates'!Z251,Settings!$B$9))-('_Dates'!Y251)+1)/7)*LEN(SUBSTITUTE(W251,"O",""))+LEN(SUBSTITUTE(MID(W251&amp;W251,WEEKDAY(('_Dates'!Y251),2),MOD(((MIN('_Dates'!Z251,Settings!$B$9))-('_Dates'!Y251)+1),7)),"O",""))-COUNTIFS(INDEX(AllClosureRows,C251,0),"&gt;="&amp;('_Dates'!Y251),INDEX(AllClosureRows,C251,0),"&lt;="&amp;(MIN('_Dates'!Z251,Settings!$B$9))))))</ns0:f>
        <ns0:v>0</ns0:v>
      </ns0:c>
      <ns0:c r="I251" s="0">
        <ns0:f>MAX(0,G251-H251)</ns0:f>
        <ns0:v>0</ns0:v>
      </ns0:c>
      <ns0:c r="J251" s="0">
        <ns0:f>IF(OR(A251=0,F251&lt;&gt;"OK",Bookings!G251="Cancelled",$B$6&gt;0),0,IF('_Dates'!AC251=1,MAX(0,COUNTIFS(rngEngine_B,B251,rngAMStart,"&lt;="&amp;'_Dates'!X251,rngAMEnd,"&gt;="&amp;'_Dates'!W251,rngAMActive,1,rngEngine_F,"OK",rngBookings_F,"&lt;&gt;Cancelled")-1),0)+IF('_Dates'!AD251=1,MAX(0,COUNTIFS(rngEngine_B,B251,rngPMStart,"&lt;="&amp;'_Dates'!Z251,rngPMEnd,"&gt;="&amp;'_Dates'!Y251,rngPMActive,1,rngEngine_F,"OK",rngBookings_F,"&lt;&gt;Cancelled")-1),0))</ns0:f>
        <ns0:v>0</ns0:v>
      </ns0:c>
      <ns0:c r="K251" s="0" t="str">
        <ns0:f>IF(A251=0,"",IF(F251&lt;&gt;"OK",F251,IF(J251&gt;0,"CHECK overlapping entry",IF(AND($B$6=0,G251&lt;=0,Bookings!G251&lt;&gt;"Cancelled"),"CHECK no working days",IF(Bookings!G251="Cancelled","Cancelled","OK")))))</ns0:f>
        <ns0:v/>
      </ns0:c>
      <ns0:c r="L251" s="0">
        <ns0:f>IF(LEFT(K251,5)="CHECK",1,0)</ns0:f>
        <ns0:v>0</ns0:v>
      </ns0:c>
      <ns0:c r="M251" s="0">
        <ns0:f>IF(AND(L251=1,OR(C251=0,IFERROR(INDEX($X$11:$X$60,C251),0)=0)),1,0)</ns0:f>
        <ns0:v>0</ns0:v>
      </ns0:c>
      <ns0:c r="N251" s="0">
        <ns0:f>IF(OR(A251=0,L251&gt;0,$B$6&gt;0,Bookings!G251="Cancelled"),0,G251)</ns0:f>
        <ns0:v>0</ns0:v>
      </ns0:c>
      <ns0:c r="O251" s="0">
        <ns0:f>IF(AND(Bookings!G251="Approved",E251="Yes"),N251,0)</ns0:f>
        <ns0:v>0</ns0:v>
      </ns0:c>
      <ns0:c r="P251" s="0">
        <ns0:f>IF(AND(Bookings!G251="Approved",E251="Yes",L251=0,$B$6=0),H251,0)</ns0:f>
        <ns0:v>0</ns0:v>
      </ns0:c>
      <ns0:c r="Q251" s="0">
        <ns0:f>IF(AND(Bookings!G251="Approved",E251="Yes",L251=0,$B$6=0),I251,0)</ns0:f>
        <ns0:v>0</ns0:v>
      </ns0:c>
      <ns0:c r="R251" s="0">
        <ns0:f>IF(AND(Bookings!G251="Pending",E251="Yes"),N251,0)</ns0:f>
        <ns0:v>0</ns0:v>
      </ns0:c>
      <ns0:c r="S251" s="0">
        <ns0:f>IF(AND(Bookings!G251="Approved",E251="No"),N251,0)</ns0:f>
        <ns0:v>0</ns0:v>
      </ns0:c>
      <ns0:c r="T251" s="0">
        <ns0:f>IFERROR(MATCH(D251,Settings!$G$7:$G$11,0),0)</ns0:f>
        <ns0:v>0</ns0:v>
      </ns0:c>
      <ns0:c r="U251" s="0">
        <ns0:f>IF(N251&gt;0,T251+IF(Bookings!G251="Pending",10,0),0)</ns0:f>
        <ns0:v>0</ns0:v>
      </ns0:c>
      <ns0:c r="V251" s="0">
        <ns0:f>U251</ns0:f>
        <ns0:v>0</ns0:v>
      </ns0:c>
      <ns0:c r="W251" s="0" t="str">
        <ns0:f>IF(C251=0,"",INDEX($AP$11:$AP$60,C251))</ns0:f>
        <ns0:v/>
      </ns0:c>
    </ns0:row>
    <ns0:row r="252">
      <ns0:c r="A252" s="0">
        <ns0:f>IF(COUNTA(Bookings!A252:G252,Bookings!I252)=0,0,1)</ns0:f>
        <ns0:v>0</ns0:v>
      </ns0:c>
      <ns0:c r="B252" s="0" t="str">
        <ns0:f>IFERROR(TRIM(MID(Bookings!A252,FIND(" · ",Bookings!A252)+3,99)),"")</ns0:f>
        <ns0:v/>
      </ns0:c>
      <ns0:c r="C252" s="0">
        <ns0:f>IF(OR(B252="",LEN(B252)&gt;24,ISNUMBER(FIND(" ",B252)),ISNUMBER(FIND("*",B252)),ISNUMBER(FIND("?",B252)),ISNUMBER(FIND("~",B252))),0,IFERROR(MATCH(B252,Team!$A$11:$A$60,0),0))</ns0:f>
        <ns0:v>0</ns0:v>
      </ns0:c>
      <ns0:c r="D252" s="0" t="str">
        <ns0:f>IFERROR(IF(MID(Bookings!F252,LEN(Bookings!F252)-3,3)=" · ",RIGHT(Bookings!F252,1),""),"")</ns0:f>
        <ns0:v/>
      </ns0:c>
      <ns0:c r="E252" s="0" t="str">
        <ns0:f>IFERROR(INDEX(Settings!$H$7:$H$11,MATCH(D252,Settings!$G$7:$G$11,0)),"")</ns0:f>
        <ns0:v/>
      </ns0:c>
      <ns0:c r="F252" s="0" t="str">
        <ns0:f>IF(A252=0,"",IFERROR(IF(OR(B252="",C252=0),"CHECK employee selection",IF(INDEX(Team!$O$11:$O$60,C252)&lt;&gt;"OK","CHECK employee setup",IF(OR('_Dates'!J252=0,'_Dates'!T252=0),"CHECK date: use DD.MM.YYYY",IF('_Dates'!T252&lt;'_Dates'!J252,"CHECK end before start",IF(AND($B$6=0,OR('_Dates'!J252&lt;Settings!$B$7,'_Dates'!T252&gt;Settings!$B$8)),"CHECK split across leave years",IF(OR(NOT(OR('_Dates'!U252="Full day",'_Dates'!U252="AM",'_Dates'!U252="PM")),NOT(OR('_Dates'!V252="Full day",'_Dates'!V252="AM",'_Dates'!V252="PM"))),"CHECK Full day / AM / PM",IF(AND('_Dates'!J252='_Dates'!T252,'_Dates'!U252&lt;&gt;"Full day",'_Dates'!V252&lt;&gt;"Full day",'_Dates'!U252&lt;&gt;'_Dates'!V252),"CHECK same-day portions disagree",IF(AND($B$6=0,OR(AND('_Dates'!U252&lt;&gt;"Full day",'_Dates'!AA252=0),AND('_Dates'!V252&lt;&gt;"Full day",'_Dates'!AB252=0))),"CHECK half-day on non-working date",IF(COUNTIF(Settings!$G$7:$G$11,D252)&lt;&gt;1,"CHECK leave type",IF(AND(Bookings!G252&lt;&gt;"Approved",Bookings!G252&lt;&gt;"Pending",Bookings!G252&lt;&gt;"Cancelled"),"CHECK status","OK")))))))))),"CHECK input"))</ns0:f>
        <ns0:v/>
      </ns0:c>
      <ns0:c r="G252" s="0">
        <ns0:f>IF(OR(F252&lt;&gt;"OK",$B$6&gt;0),0,0.5*(IF(('_Dates'!X252)&lt;('_Dates'!W252),0,INT((('_Dates'!X252)-('_Dates'!W252)+1)/7)*LEN(SUBSTITUTE(W252,"O",""))+LEN(SUBSTITUTE(MID(W252&amp;W252,WEEKDAY(('_Dates'!W252),2),MOD((('_Dates'!X252)-('_Dates'!W252)+1),7)),"O",""))-COUNTIFS(INDEX(AllClosureRows,C252,0),"&gt;="&amp;('_Dates'!W252),INDEX(AllClosureRows,C252,0),"&lt;="&amp;('_Dates'!X252)))+IF(('_Dates'!Z252)&lt;('_Dates'!Y252),0,INT((('_Dates'!Z252)-('_Dates'!Y252)+1)/7)*LEN(SUBSTITUTE(W252,"O",""))+LEN(SUBSTITUTE(MID(W252&amp;W252,WEEKDAY(('_Dates'!Y252),2),MOD((('_Dates'!Z252)-('_Dates'!Y252)+1),7)),"O",""))-COUNTIFS(INDEX(AllClosureRows,C252,0),"&gt;="&amp;('_Dates'!Y252),INDEX(AllClosureRows,C252,0),"&lt;="&amp;('_Dates'!Z252)))))</ns0:f>
        <ns0:v>0</ns0:v>
      </ns0:c>
      <ns0:c r="H252" s="0">
        <ns0:f>IF(OR(F252&lt;&gt;"OK",$B$6&gt;0),0,0.5*(IF((MIN('_Dates'!X252,Settings!$B$9))&lt;('_Dates'!W252),0,INT(((MIN('_Dates'!X252,Settings!$B$9))-('_Dates'!W252)+1)/7)*LEN(SUBSTITUTE(W252,"O",""))+LEN(SUBSTITUTE(MID(W252&amp;W252,WEEKDAY(('_Dates'!W252),2),MOD(((MIN('_Dates'!X252,Settings!$B$9))-('_Dates'!W252)+1),7)),"O",""))-COUNTIFS(INDEX(AllClosureRows,C252,0),"&gt;="&amp;('_Dates'!W252),INDEX(AllClosureRows,C252,0),"&lt;="&amp;(MIN('_Dates'!X252,Settings!$B$9))))+IF((MIN('_Dates'!Z252,Settings!$B$9))&lt;('_Dates'!Y252),0,INT(((MIN('_Dates'!Z252,Settings!$B$9))-('_Dates'!Y252)+1)/7)*LEN(SUBSTITUTE(W252,"O",""))+LEN(SUBSTITUTE(MID(W252&amp;W252,WEEKDAY(('_Dates'!Y252),2),MOD(((MIN('_Dates'!Z252,Settings!$B$9))-('_Dates'!Y252)+1),7)),"O",""))-COUNTIFS(INDEX(AllClosureRows,C252,0),"&gt;="&amp;('_Dates'!Y252),INDEX(AllClosureRows,C252,0),"&lt;="&amp;(MIN('_Dates'!Z252,Settings!$B$9))))))</ns0:f>
        <ns0:v>0</ns0:v>
      </ns0:c>
      <ns0:c r="I252" s="0">
        <ns0:f>MAX(0,G252-H252)</ns0:f>
        <ns0:v>0</ns0:v>
      </ns0:c>
      <ns0:c r="J252" s="0">
        <ns0:f>IF(OR(A252=0,F252&lt;&gt;"OK",Bookings!G252="Cancelled",$B$6&gt;0),0,IF('_Dates'!AC252=1,MAX(0,COUNTIFS(rngEngine_B,B252,rngAMStart,"&lt;="&amp;'_Dates'!X252,rngAMEnd,"&gt;="&amp;'_Dates'!W252,rngAMActive,1,rngEngine_F,"OK",rngBookings_F,"&lt;&gt;Cancelled")-1),0)+IF('_Dates'!AD252=1,MAX(0,COUNTIFS(rngEngine_B,B252,rngPMStart,"&lt;="&amp;'_Dates'!Z252,rngPMEnd,"&gt;="&amp;'_Dates'!Y252,rngPMActive,1,rngEngine_F,"OK",rngBookings_F,"&lt;&gt;Cancelled")-1),0))</ns0:f>
        <ns0:v>0</ns0:v>
      </ns0:c>
      <ns0:c r="K252" s="0" t="str">
        <ns0:f>IF(A252=0,"",IF(F252&lt;&gt;"OK",F252,IF(J252&gt;0,"CHECK overlapping entry",IF(AND($B$6=0,G252&lt;=0,Bookings!G252&lt;&gt;"Cancelled"),"CHECK no working days",IF(Bookings!G252="Cancelled","Cancelled","OK")))))</ns0:f>
        <ns0:v/>
      </ns0:c>
      <ns0:c r="L252" s="0">
        <ns0:f>IF(LEFT(K252,5)="CHECK",1,0)</ns0:f>
        <ns0:v>0</ns0:v>
      </ns0:c>
      <ns0:c r="M252" s="0">
        <ns0:f>IF(AND(L252=1,OR(C252=0,IFERROR(INDEX($X$11:$X$60,C252),0)=0)),1,0)</ns0:f>
        <ns0:v>0</ns0:v>
      </ns0:c>
      <ns0:c r="N252" s="0">
        <ns0:f>IF(OR(A252=0,L252&gt;0,$B$6&gt;0,Bookings!G252="Cancelled"),0,G252)</ns0:f>
        <ns0:v>0</ns0:v>
      </ns0:c>
      <ns0:c r="O252" s="0">
        <ns0:f>IF(AND(Bookings!G252="Approved",E252="Yes"),N252,0)</ns0:f>
        <ns0:v>0</ns0:v>
      </ns0:c>
      <ns0:c r="P252" s="0">
        <ns0:f>IF(AND(Bookings!G252="Approved",E252="Yes",L252=0,$B$6=0),H252,0)</ns0:f>
        <ns0:v>0</ns0:v>
      </ns0:c>
      <ns0:c r="Q252" s="0">
        <ns0:f>IF(AND(Bookings!G252="Approved",E252="Yes",L252=0,$B$6=0),I252,0)</ns0:f>
        <ns0:v>0</ns0:v>
      </ns0:c>
      <ns0:c r="R252" s="0">
        <ns0:f>IF(AND(Bookings!G252="Pending",E252="Yes"),N252,0)</ns0:f>
        <ns0:v>0</ns0:v>
      </ns0:c>
      <ns0:c r="S252" s="0">
        <ns0:f>IF(AND(Bookings!G252="Approved",E252="No"),N252,0)</ns0:f>
        <ns0:v>0</ns0:v>
      </ns0:c>
      <ns0:c r="T252" s="0">
        <ns0:f>IFERROR(MATCH(D252,Settings!$G$7:$G$11,0),0)</ns0:f>
        <ns0:v>0</ns0:v>
      </ns0:c>
      <ns0:c r="U252" s="0">
        <ns0:f>IF(N252&gt;0,T252+IF(Bookings!G252="Pending",10,0),0)</ns0:f>
        <ns0:v>0</ns0:v>
      </ns0:c>
      <ns0:c r="V252" s="0">
        <ns0:f>U252</ns0:f>
        <ns0:v>0</ns0:v>
      </ns0:c>
      <ns0:c r="W252" s="0" t="str">
        <ns0:f>IF(C252=0,"",INDEX($AP$11:$AP$60,C252))</ns0:f>
        <ns0:v/>
      </ns0:c>
    </ns0:row>
    <ns0:row r="253">
      <ns0:c r="A253" s="0">
        <ns0:f>IF(COUNTA(Bookings!A253:G253,Bookings!I253)=0,0,1)</ns0:f>
        <ns0:v>0</ns0:v>
      </ns0:c>
      <ns0:c r="B253" s="0" t="str">
        <ns0:f>IFERROR(TRIM(MID(Bookings!A253,FIND(" · ",Bookings!A253)+3,99)),"")</ns0:f>
        <ns0:v/>
      </ns0:c>
      <ns0:c r="C253" s="0">
        <ns0:f>IF(OR(B253="",LEN(B253)&gt;24,ISNUMBER(FIND(" ",B253)),ISNUMBER(FIND("*",B253)),ISNUMBER(FIND("?",B253)),ISNUMBER(FIND("~",B253))),0,IFERROR(MATCH(B253,Team!$A$11:$A$60,0),0))</ns0:f>
        <ns0:v>0</ns0:v>
      </ns0:c>
      <ns0:c r="D253" s="0" t="str">
        <ns0:f>IFERROR(IF(MID(Bookings!F253,LEN(Bookings!F253)-3,3)=" · ",RIGHT(Bookings!F253,1),""),"")</ns0:f>
        <ns0:v/>
      </ns0:c>
      <ns0:c r="E253" s="0" t="str">
        <ns0:f>IFERROR(INDEX(Settings!$H$7:$H$11,MATCH(D253,Settings!$G$7:$G$11,0)),"")</ns0:f>
        <ns0:v/>
      </ns0:c>
      <ns0:c r="F253" s="0" t="str">
        <ns0:f>IF(A253=0,"",IFERROR(IF(OR(B253="",C253=0),"CHECK employee selection",IF(INDEX(Team!$O$11:$O$60,C253)&lt;&gt;"OK","CHECK employee setup",IF(OR('_Dates'!J253=0,'_Dates'!T253=0),"CHECK date: use DD.MM.YYYY",IF('_Dates'!T253&lt;'_Dates'!J253,"CHECK end before start",IF(AND($B$6=0,OR('_Dates'!J253&lt;Settings!$B$7,'_Dates'!T253&gt;Settings!$B$8)),"CHECK split across leave years",IF(OR(NOT(OR('_Dates'!U253="Full day",'_Dates'!U253="AM",'_Dates'!U253="PM")),NOT(OR('_Dates'!V253="Full day",'_Dates'!V253="AM",'_Dates'!V253="PM"))),"CHECK Full day / AM / PM",IF(AND('_Dates'!J253='_Dates'!T253,'_Dates'!U253&lt;&gt;"Full day",'_Dates'!V253&lt;&gt;"Full day",'_Dates'!U253&lt;&gt;'_Dates'!V253),"CHECK same-day portions disagree",IF(AND($B$6=0,OR(AND('_Dates'!U253&lt;&gt;"Full day",'_Dates'!AA253=0),AND('_Dates'!V253&lt;&gt;"Full day",'_Dates'!AB253=0))),"CHECK half-day on non-working date",IF(COUNTIF(Settings!$G$7:$G$11,D253)&lt;&gt;1,"CHECK leave type",IF(AND(Bookings!G253&lt;&gt;"Approved",Bookings!G253&lt;&gt;"Pending",Bookings!G253&lt;&gt;"Cancelled"),"CHECK status","OK")))))))))),"CHECK input"))</ns0:f>
        <ns0:v/>
      </ns0:c>
      <ns0:c r="G253" s="0">
        <ns0:f>IF(OR(F253&lt;&gt;"OK",$B$6&gt;0),0,0.5*(IF(('_Dates'!X253)&lt;('_Dates'!W253),0,INT((('_Dates'!X253)-('_Dates'!W253)+1)/7)*LEN(SUBSTITUTE(W253,"O",""))+LEN(SUBSTITUTE(MID(W253&amp;W253,WEEKDAY(('_Dates'!W253),2),MOD((('_Dates'!X253)-('_Dates'!W253)+1),7)),"O",""))-COUNTIFS(INDEX(AllClosureRows,C253,0),"&gt;="&amp;('_Dates'!W253),INDEX(AllClosureRows,C253,0),"&lt;="&amp;('_Dates'!X253)))+IF(('_Dates'!Z253)&lt;('_Dates'!Y253),0,INT((('_Dates'!Z253)-('_Dates'!Y253)+1)/7)*LEN(SUBSTITUTE(W253,"O",""))+LEN(SUBSTITUTE(MID(W253&amp;W253,WEEKDAY(('_Dates'!Y253),2),MOD((('_Dates'!Z253)-('_Dates'!Y253)+1),7)),"O",""))-COUNTIFS(INDEX(AllClosureRows,C253,0),"&gt;="&amp;('_Dates'!Y253),INDEX(AllClosureRows,C253,0),"&lt;="&amp;('_Dates'!Z253)))))</ns0:f>
        <ns0:v>0</ns0:v>
      </ns0:c>
      <ns0:c r="H253" s="0">
        <ns0:f>IF(OR(F253&lt;&gt;"OK",$B$6&gt;0),0,0.5*(IF((MIN('_Dates'!X253,Settings!$B$9))&lt;('_Dates'!W253),0,INT(((MIN('_Dates'!X253,Settings!$B$9))-('_Dates'!W253)+1)/7)*LEN(SUBSTITUTE(W253,"O",""))+LEN(SUBSTITUTE(MID(W253&amp;W253,WEEKDAY(('_Dates'!W253),2),MOD(((MIN('_Dates'!X253,Settings!$B$9))-('_Dates'!W253)+1),7)),"O",""))-COUNTIFS(INDEX(AllClosureRows,C253,0),"&gt;="&amp;('_Dates'!W253),INDEX(AllClosureRows,C253,0),"&lt;="&amp;(MIN('_Dates'!X253,Settings!$B$9))))+IF((MIN('_Dates'!Z253,Settings!$B$9))&lt;('_Dates'!Y253),0,INT(((MIN('_Dates'!Z253,Settings!$B$9))-('_Dates'!Y253)+1)/7)*LEN(SUBSTITUTE(W253,"O",""))+LEN(SUBSTITUTE(MID(W253&amp;W253,WEEKDAY(('_Dates'!Y253),2),MOD(((MIN('_Dates'!Z253,Settings!$B$9))-('_Dates'!Y253)+1),7)),"O",""))-COUNTIFS(INDEX(AllClosureRows,C253,0),"&gt;="&amp;('_Dates'!Y253),INDEX(AllClosureRows,C253,0),"&lt;="&amp;(MIN('_Dates'!Z253,Settings!$B$9))))))</ns0:f>
        <ns0:v>0</ns0:v>
      </ns0:c>
      <ns0:c r="I253" s="0">
        <ns0:f>MAX(0,G253-H253)</ns0:f>
        <ns0:v>0</ns0:v>
      </ns0:c>
      <ns0:c r="J253" s="0">
        <ns0:f>IF(OR(A253=0,F253&lt;&gt;"OK",Bookings!G253="Cancelled",$B$6&gt;0),0,IF('_Dates'!AC253=1,MAX(0,COUNTIFS(rngEngine_B,B253,rngAMStart,"&lt;="&amp;'_Dates'!X253,rngAMEnd,"&gt;="&amp;'_Dates'!W253,rngAMActive,1,rngEngine_F,"OK",rngBookings_F,"&lt;&gt;Cancelled")-1),0)+IF('_Dates'!AD253=1,MAX(0,COUNTIFS(rngEngine_B,B253,rngPMStart,"&lt;="&amp;'_Dates'!Z253,rngPMEnd,"&gt;="&amp;'_Dates'!Y253,rngPMActive,1,rngEngine_F,"OK",rngBookings_F,"&lt;&gt;Cancelled")-1),0))</ns0:f>
        <ns0:v>0</ns0:v>
      </ns0:c>
      <ns0:c r="K253" s="0" t="str">
        <ns0:f>IF(A253=0,"",IF(F253&lt;&gt;"OK",F253,IF(J253&gt;0,"CHECK overlapping entry",IF(AND($B$6=0,G253&lt;=0,Bookings!G253&lt;&gt;"Cancelled"),"CHECK no working days",IF(Bookings!G253="Cancelled","Cancelled","OK")))))</ns0:f>
        <ns0:v/>
      </ns0:c>
      <ns0:c r="L253" s="0">
        <ns0:f>IF(LEFT(K253,5)="CHECK",1,0)</ns0:f>
        <ns0:v>0</ns0:v>
      </ns0:c>
      <ns0:c r="M253" s="0">
        <ns0:f>IF(AND(L253=1,OR(C253=0,IFERROR(INDEX($X$11:$X$60,C253),0)=0)),1,0)</ns0:f>
        <ns0:v>0</ns0:v>
      </ns0:c>
      <ns0:c r="N253" s="0">
        <ns0:f>IF(OR(A253=0,L253&gt;0,$B$6&gt;0,Bookings!G253="Cancelled"),0,G253)</ns0:f>
        <ns0:v>0</ns0:v>
      </ns0:c>
      <ns0:c r="O253" s="0">
        <ns0:f>IF(AND(Bookings!G253="Approved",E253="Yes"),N253,0)</ns0:f>
        <ns0:v>0</ns0:v>
      </ns0:c>
      <ns0:c r="P253" s="0">
        <ns0:f>IF(AND(Bookings!G253="Approved",E253="Yes",L253=0,$B$6=0),H253,0)</ns0:f>
        <ns0:v>0</ns0:v>
      </ns0:c>
      <ns0:c r="Q253" s="0">
        <ns0:f>IF(AND(Bookings!G253="Approved",E253="Yes",L253=0,$B$6=0),I253,0)</ns0:f>
        <ns0:v>0</ns0:v>
      </ns0:c>
      <ns0:c r="R253" s="0">
        <ns0:f>IF(AND(Bookings!G253="Pending",E253="Yes"),N253,0)</ns0:f>
        <ns0:v>0</ns0:v>
      </ns0:c>
      <ns0:c r="S253" s="0">
        <ns0:f>IF(AND(Bookings!G253="Approved",E253="No"),N253,0)</ns0:f>
        <ns0:v>0</ns0:v>
      </ns0:c>
      <ns0:c r="T253" s="0">
        <ns0:f>IFERROR(MATCH(D253,Settings!$G$7:$G$11,0),0)</ns0:f>
        <ns0:v>0</ns0:v>
      </ns0:c>
      <ns0:c r="U253" s="0">
        <ns0:f>IF(N253&gt;0,T253+IF(Bookings!G253="Pending",10,0),0)</ns0:f>
        <ns0:v>0</ns0:v>
      </ns0:c>
      <ns0:c r="V253" s="0">
        <ns0:f>U253</ns0:f>
        <ns0:v>0</ns0:v>
      </ns0:c>
      <ns0:c r="W253" s="0" t="str">
        <ns0:f>IF(C253=0,"",INDEX($AP$11:$AP$60,C253))</ns0:f>
        <ns0:v/>
      </ns0:c>
    </ns0:row>
    <ns0:row r="254">
      <ns0:c r="A254" s="0">
        <ns0:f>IF(COUNTA(Bookings!A254:G254,Bookings!I254)=0,0,1)</ns0:f>
        <ns0:v>0</ns0:v>
      </ns0:c>
      <ns0:c r="B254" s="0" t="str">
        <ns0:f>IFERROR(TRIM(MID(Bookings!A254,FIND(" · ",Bookings!A254)+3,99)),"")</ns0:f>
        <ns0:v/>
      </ns0:c>
      <ns0:c r="C254" s="0">
        <ns0:f>IF(OR(B254="",LEN(B254)&gt;24,ISNUMBER(FIND(" ",B254)),ISNUMBER(FIND("*",B254)),ISNUMBER(FIND("?",B254)),ISNUMBER(FIND("~",B254))),0,IFERROR(MATCH(B254,Team!$A$11:$A$60,0),0))</ns0:f>
        <ns0:v>0</ns0:v>
      </ns0:c>
      <ns0:c r="D254" s="0" t="str">
        <ns0:f>IFERROR(IF(MID(Bookings!F254,LEN(Bookings!F254)-3,3)=" · ",RIGHT(Bookings!F254,1),""),"")</ns0:f>
        <ns0:v/>
      </ns0:c>
      <ns0:c r="E254" s="0" t="str">
        <ns0:f>IFERROR(INDEX(Settings!$H$7:$H$11,MATCH(D254,Settings!$G$7:$G$11,0)),"")</ns0:f>
        <ns0:v/>
      </ns0:c>
      <ns0:c r="F254" s="0" t="str">
        <ns0:f>IF(A254=0,"",IFERROR(IF(OR(B254="",C254=0),"CHECK employee selection",IF(INDEX(Team!$O$11:$O$60,C254)&lt;&gt;"OK","CHECK employee setup",IF(OR('_Dates'!J254=0,'_Dates'!T254=0),"CHECK date: use DD.MM.YYYY",IF('_Dates'!T254&lt;'_Dates'!J254,"CHECK end before start",IF(AND($B$6=0,OR('_Dates'!J254&lt;Settings!$B$7,'_Dates'!T254&gt;Settings!$B$8)),"CHECK split across leave years",IF(OR(NOT(OR('_Dates'!U254="Full day",'_Dates'!U254="AM",'_Dates'!U254="PM")),NOT(OR('_Dates'!V254="Full day",'_Dates'!V254="AM",'_Dates'!V254="PM"))),"CHECK Full day / AM / PM",IF(AND('_Dates'!J254='_Dates'!T254,'_Dates'!U254&lt;&gt;"Full day",'_Dates'!V254&lt;&gt;"Full day",'_Dates'!U254&lt;&gt;'_Dates'!V254),"CHECK same-day portions disagree",IF(AND($B$6=0,OR(AND('_Dates'!U254&lt;&gt;"Full day",'_Dates'!AA254=0),AND('_Dates'!V254&lt;&gt;"Full day",'_Dates'!AB254=0))),"CHECK half-day on non-working date",IF(COUNTIF(Settings!$G$7:$G$11,D254)&lt;&gt;1,"CHECK leave type",IF(AND(Bookings!G254&lt;&gt;"Approved",Bookings!G254&lt;&gt;"Pending",Bookings!G254&lt;&gt;"Cancelled"),"CHECK status","OK")))))))))),"CHECK input"))</ns0:f>
        <ns0:v/>
      </ns0:c>
      <ns0:c r="G254" s="0">
        <ns0:f>IF(OR(F254&lt;&gt;"OK",$B$6&gt;0),0,0.5*(IF(('_Dates'!X254)&lt;('_Dates'!W254),0,INT((('_Dates'!X254)-('_Dates'!W254)+1)/7)*LEN(SUBSTITUTE(W254,"O",""))+LEN(SUBSTITUTE(MID(W254&amp;W254,WEEKDAY(('_Dates'!W254),2),MOD((('_Dates'!X254)-('_Dates'!W254)+1),7)),"O",""))-COUNTIFS(INDEX(AllClosureRows,C254,0),"&gt;="&amp;('_Dates'!W254),INDEX(AllClosureRows,C254,0),"&lt;="&amp;('_Dates'!X254)))+IF(('_Dates'!Z254)&lt;('_Dates'!Y254),0,INT((('_Dates'!Z254)-('_Dates'!Y254)+1)/7)*LEN(SUBSTITUTE(W254,"O",""))+LEN(SUBSTITUTE(MID(W254&amp;W254,WEEKDAY(('_Dates'!Y254),2),MOD((('_Dates'!Z254)-('_Dates'!Y254)+1),7)),"O",""))-COUNTIFS(INDEX(AllClosureRows,C254,0),"&gt;="&amp;('_Dates'!Y254),INDEX(AllClosureRows,C254,0),"&lt;="&amp;('_Dates'!Z254)))))</ns0:f>
        <ns0:v>0</ns0:v>
      </ns0:c>
      <ns0:c r="H254" s="0">
        <ns0:f>IF(OR(F254&lt;&gt;"OK",$B$6&gt;0),0,0.5*(IF((MIN('_Dates'!X254,Settings!$B$9))&lt;('_Dates'!W254),0,INT(((MIN('_Dates'!X254,Settings!$B$9))-('_Dates'!W254)+1)/7)*LEN(SUBSTITUTE(W254,"O",""))+LEN(SUBSTITUTE(MID(W254&amp;W254,WEEKDAY(('_Dates'!W254),2),MOD(((MIN('_Dates'!X254,Settings!$B$9))-('_Dates'!W254)+1),7)),"O",""))-COUNTIFS(INDEX(AllClosureRows,C254,0),"&gt;="&amp;('_Dates'!W254),INDEX(AllClosureRows,C254,0),"&lt;="&amp;(MIN('_Dates'!X254,Settings!$B$9))))+IF((MIN('_Dates'!Z254,Settings!$B$9))&lt;('_Dates'!Y254),0,INT(((MIN('_Dates'!Z254,Settings!$B$9))-('_Dates'!Y254)+1)/7)*LEN(SUBSTITUTE(W254,"O",""))+LEN(SUBSTITUTE(MID(W254&amp;W254,WEEKDAY(('_Dates'!Y254),2),MOD(((MIN('_Dates'!Z254,Settings!$B$9))-('_Dates'!Y254)+1),7)),"O",""))-COUNTIFS(INDEX(AllClosureRows,C254,0),"&gt;="&amp;('_Dates'!Y254),INDEX(AllClosureRows,C254,0),"&lt;="&amp;(MIN('_Dates'!Z254,Settings!$B$9))))))</ns0:f>
        <ns0:v>0</ns0:v>
      </ns0:c>
      <ns0:c r="I254" s="0">
        <ns0:f>MAX(0,G254-H254)</ns0:f>
        <ns0:v>0</ns0:v>
      </ns0:c>
      <ns0:c r="J254" s="0">
        <ns0:f>IF(OR(A254=0,F254&lt;&gt;"OK",Bookings!G254="Cancelled",$B$6&gt;0),0,IF('_Dates'!AC254=1,MAX(0,COUNTIFS(rngEngine_B,B254,rngAMStart,"&lt;="&amp;'_Dates'!X254,rngAMEnd,"&gt;="&amp;'_Dates'!W254,rngAMActive,1,rngEngine_F,"OK",rngBookings_F,"&lt;&gt;Cancelled")-1),0)+IF('_Dates'!AD254=1,MAX(0,COUNTIFS(rngEngine_B,B254,rngPMStart,"&lt;="&amp;'_Dates'!Z254,rngPMEnd,"&gt;="&amp;'_Dates'!Y254,rngPMActive,1,rngEngine_F,"OK",rngBookings_F,"&lt;&gt;Cancelled")-1),0))</ns0:f>
        <ns0:v>0</ns0:v>
      </ns0:c>
      <ns0:c r="K254" s="0" t="str">
        <ns0:f>IF(A254=0,"",IF(F254&lt;&gt;"OK",F254,IF(J254&gt;0,"CHECK overlapping entry",IF(AND($B$6=0,G254&lt;=0,Bookings!G254&lt;&gt;"Cancelled"),"CHECK no working days",IF(Bookings!G254="Cancelled","Cancelled","OK")))))</ns0:f>
        <ns0:v/>
      </ns0:c>
      <ns0:c r="L254" s="0">
        <ns0:f>IF(LEFT(K254,5)="CHECK",1,0)</ns0:f>
        <ns0:v>0</ns0:v>
      </ns0:c>
      <ns0:c r="M254" s="0">
        <ns0:f>IF(AND(L254=1,OR(C254=0,IFERROR(INDEX($X$11:$X$60,C254),0)=0)),1,0)</ns0:f>
        <ns0:v>0</ns0:v>
      </ns0:c>
      <ns0:c r="N254" s="0">
        <ns0:f>IF(OR(A254=0,L254&gt;0,$B$6&gt;0,Bookings!G254="Cancelled"),0,G254)</ns0:f>
        <ns0:v>0</ns0:v>
      </ns0:c>
      <ns0:c r="O254" s="0">
        <ns0:f>IF(AND(Bookings!G254="Approved",E254="Yes"),N254,0)</ns0:f>
        <ns0:v>0</ns0:v>
      </ns0:c>
      <ns0:c r="P254" s="0">
        <ns0:f>IF(AND(Bookings!G254="Approved",E254="Yes",L254=0,$B$6=0),H254,0)</ns0:f>
        <ns0:v>0</ns0:v>
      </ns0:c>
      <ns0:c r="Q254" s="0">
        <ns0:f>IF(AND(Bookings!G254="Approved",E254="Yes",L254=0,$B$6=0),I254,0)</ns0:f>
        <ns0:v>0</ns0:v>
      </ns0:c>
      <ns0:c r="R254" s="0">
        <ns0:f>IF(AND(Bookings!G254="Pending",E254="Yes"),N254,0)</ns0:f>
        <ns0:v>0</ns0:v>
      </ns0:c>
      <ns0:c r="S254" s="0">
        <ns0:f>IF(AND(Bookings!G254="Approved",E254="No"),N254,0)</ns0:f>
        <ns0:v>0</ns0:v>
      </ns0:c>
      <ns0:c r="T254" s="0">
        <ns0:f>IFERROR(MATCH(D254,Settings!$G$7:$G$11,0),0)</ns0:f>
        <ns0:v>0</ns0:v>
      </ns0:c>
      <ns0:c r="U254" s="0">
        <ns0:f>IF(N254&gt;0,T254+IF(Bookings!G254="Pending",10,0),0)</ns0:f>
        <ns0:v>0</ns0:v>
      </ns0:c>
      <ns0:c r="V254" s="0">
        <ns0:f>U254</ns0:f>
        <ns0:v>0</ns0:v>
      </ns0:c>
      <ns0:c r="W254" s="0" t="str">
        <ns0:f>IF(C254=0,"",INDEX($AP$11:$AP$60,C254))</ns0:f>
        <ns0:v/>
      </ns0:c>
    </ns0:row>
    <ns0:row r="255">
      <ns0:c r="A255" s="0">
        <ns0:f>IF(COUNTA(Bookings!A255:G255,Bookings!I255)=0,0,1)</ns0:f>
        <ns0:v>0</ns0:v>
      </ns0:c>
      <ns0:c r="B255" s="0" t="str">
        <ns0:f>IFERROR(TRIM(MID(Bookings!A255,FIND(" · ",Bookings!A255)+3,99)),"")</ns0:f>
        <ns0:v/>
      </ns0:c>
      <ns0:c r="C255" s="0">
        <ns0:f>IF(OR(B255="",LEN(B255)&gt;24,ISNUMBER(FIND(" ",B255)),ISNUMBER(FIND("*",B255)),ISNUMBER(FIND("?",B255)),ISNUMBER(FIND("~",B255))),0,IFERROR(MATCH(B255,Team!$A$11:$A$60,0),0))</ns0:f>
        <ns0:v>0</ns0:v>
      </ns0:c>
      <ns0:c r="D255" s="0" t="str">
        <ns0:f>IFERROR(IF(MID(Bookings!F255,LEN(Bookings!F255)-3,3)=" · ",RIGHT(Bookings!F255,1),""),"")</ns0:f>
        <ns0:v/>
      </ns0:c>
      <ns0:c r="E255" s="0" t="str">
        <ns0:f>IFERROR(INDEX(Settings!$H$7:$H$11,MATCH(D255,Settings!$G$7:$G$11,0)),"")</ns0:f>
        <ns0:v/>
      </ns0:c>
      <ns0:c r="F255" s="0" t="str">
        <ns0:f>IF(A255=0,"",IFERROR(IF(OR(B255="",C255=0),"CHECK employee selection",IF(INDEX(Team!$O$11:$O$60,C255)&lt;&gt;"OK","CHECK employee setup",IF(OR('_Dates'!J255=0,'_Dates'!T255=0),"CHECK date: use DD.MM.YYYY",IF('_Dates'!T255&lt;'_Dates'!J255,"CHECK end before start",IF(AND($B$6=0,OR('_Dates'!J255&lt;Settings!$B$7,'_Dates'!T255&gt;Settings!$B$8)),"CHECK split across leave years",IF(OR(NOT(OR('_Dates'!U255="Full day",'_Dates'!U255="AM",'_Dates'!U255="PM")),NOT(OR('_Dates'!V255="Full day",'_Dates'!V255="AM",'_Dates'!V255="PM"))),"CHECK Full day / AM / PM",IF(AND('_Dates'!J255='_Dates'!T255,'_Dates'!U255&lt;&gt;"Full day",'_Dates'!V255&lt;&gt;"Full day",'_Dates'!U255&lt;&gt;'_Dates'!V255),"CHECK same-day portions disagree",IF(AND($B$6=0,OR(AND('_Dates'!U255&lt;&gt;"Full day",'_Dates'!AA255=0),AND('_Dates'!V255&lt;&gt;"Full day",'_Dates'!AB255=0))),"CHECK half-day on non-working date",IF(COUNTIF(Settings!$G$7:$G$11,D255)&lt;&gt;1,"CHECK leave type",IF(AND(Bookings!G255&lt;&gt;"Approved",Bookings!G255&lt;&gt;"Pending",Bookings!G255&lt;&gt;"Cancelled"),"CHECK status","OK")))))))))),"CHECK input"))</ns0:f>
        <ns0:v/>
      </ns0:c>
      <ns0:c r="G255" s="0">
        <ns0:f>IF(OR(F255&lt;&gt;"OK",$B$6&gt;0),0,0.5*(IF(('_Dates'!X255)&lt;('_Dates'!W255),0,INT((('_Dates'!X255)-('_Dates'!W255)+1)/7)*LEN(SUBSTITUTE(W255,"O",""))+LEN(SUBSTITUTE(MID(W255&amp;W255,WEEKDAY(('_Dates'!W255),2),MOD((('_Dates'!X255)-('_Dates'!W255)+1),7)),"O",""))-COUNTIFS(INDEX(AllClosureRows,C255,0),"&gt;="&amp;('_Dates'!W255),INDEX(AllClosureRows,C255,0),"&lt;="&amp;('_Dates'!X255)))+IF(('_Dates'!Z255)&lt;('_Dates'!Y255),0,INT((('_Dates'!Z255)-('_Dates'!Y255)+1)/7)*LEN(SUBSTITUTE(W255,"O",""))+LEN(SUBSTITUTE(MID(W255&amp;W255,WEEKDAY(('_Dates'!Y255),2),MOD((('_Dates'!Z255)-('_Dates'!Y255)+1),7)),"O",""))-COUNTIFS(INDEX(AllClosureRows,C255,0),"&gt;="&amp;('_Dates'!Y255),INDEX(AllClosureRows,C255,0),"&lt;="&amp;('_Dates'!Z255)))))</ns0:f>
        <ns0:v>0</ns0:v>
      </ns0:c>
      <ns0:c r="H255" s="0">
        <ns0:f>IF(OR(F255&lt;&gt;"OK",$B$6&gt;0),0,0.5*(IF((MIN('_Dates'!X255,Settings!$B$9))&lt;('_Dates'!W255),0,INT(((MIN('_Dates'!X255,Settings!$B$9))-('_Dates'!W255)+1)/7)*LEN(SUBSTITUTE(W255,"O",""))+LEN(SUBSTITUTE(MID(W255&amp;W255,WEEKDAY(('_Dates'!W255),2),MOD(((MIN('_Dates'!X255,Settings!$B$9))-('_Dates'!W255)+1),7)),"O",""))-COUNTIFS(INDEX(AllClosureRows,C255,0),"&gt;="&amp;('_Dates'!W255),INDEX(AllClosureRows,C255,0),"&lt;="&amp;(MIN('_Dates'!X255,Settings!$B$9))))+IF((MIN('_Dates'!Z255,Settings!$B$9))&lt;('_Dates'!Y255),0,INT(((MIN('_Dates'!Z255,Settings!$B$9))-('_Dates'!Y255)+1)/7)*LEN(SUBSTITUTE(W255,"O",""))+LEN(SUBSTITUTE(MID(W255&amp;W255,WEEKDAY(('_Dates'!Y255),2),MOD(((MIN('_Dates'!Z255,Settings!$B$9))-('_Dates'!Y255)+1),7)),"O",""))-COUNTIFS(INDEX(AllClosureRows,C255,0),"&gt;="&amp;('_Dates'!Y255),INDEX(AllClosureRows,C255,0),"&lt;="&amp;(MIN('_Dates'!Z255,Settings!$B$9))))))</ns0:f>
        <ns0:v>0</ns0:v>
      </ns0:c>
      <ns0:c r="I255" s="0">
        <ns0:f>MAX(0,G255-H255)</ns0:f>
        <ns0:v>0</ns0:v>
      </ns0:c>
      <ns0:c r="J255" s="0">
        <ns0:f>IF(OR(A255=0,F255&lt;&gt;"OK",Bookings!G255="Cancelled",$B$6&gt;0),0,IF('_Dates'!AC255=1,MAX(0,COUNTIFS(rngEngine_B,B255,rngAMStart,"&lt;="&amp;'_Dates'!X255,rngAMEnd,"&gt;="&amp;'_Dates'!W255,rngAMActive,1,rngEngine_F,"OK",rngBookings_F,"&lt;&gt;Cancelled")-1),0)+IF('_Dates'!AD255=1,MAX(0,COUNTIFS(rngEngine_B,B255,rngPMStart,"&lt;="&amp;'_Dates'!Z255,rngPMEnd,"&gt;="&amp;'_Dates'!Y255,rngPMActive,1,rngEngine_F,"OK",rngBookings_F,"&lt;&gt;Cancelled")-1),0))</ns0:f>
        <ns0:v>0</ns0:v>
      </ns0:c>
      <ns0:c r="K255" s="0" t="str">
        <ns0:f>IF(A255=0,"",IF(F255&lt;&gt;"OK",F255,IF(J255&gt;0,"CHECK overlapping entry",IF(AND($B$6=0,G255&lt;=0,Bookings!G255&lt;&gt;"Cancelled"),"CHECK no working days",IF(Bookings!G255="Cancelled","Cancelled","OK")))))</ns0:f>
        <ns0:v/>
      </ns0:c>
      <ns0:c r="L255" s="0">
        <ns0:f>IF(LEFT(K255,5)="CHECK",1,0)</ns0:f>
        <ns0:v>0</ns0:v>
      </ns0:c>
      <ns0:c r="M255" s="0">
        <ns0:f>IF(AND(L255=1,OR(C255=0,IFERROR(INDEX($X$11:$X$60,C255),0)=0)),1,0)</ns0:f>
        <ns0:v>0</ns0:v>
      </ns0:c>
      <ns0:c r="N255" s="0">
        <ns0:f>IF(OR(A255=0,L255&gt;0,$B$6&gt;0,Bookings!G255="Cancelled"),0,G255)</ns0:f>
        <ns0:v>0</ns0:v>
      </ns0:c>
      <ns0:c r="O255" s="0">
        <ns0:f>IF(AND(Bookings!G255="Approved",E255="Yes"),N255,0)</ns0:f>
        <ns0:v>0</ns0:v>
      </ns0:c>
      <ns0:c r="P255" s="0">
        <ns0:f>IF(AND(Bookings!G255="Approved",E255="Yes",L255=0,$B$6=0),H255,0)</ns0:f>
        <ns0:v>0</ns0:v>
      </ns0:c>
      <ns0:c r="Q255" s="0">
        <ns0:f>IF(AND(Bookings!G255="Approved",E255="Yes",L255=0,$B$6=0),I255,0)</ns0:f>
        <ns0:v>0</ns0:v>
      </ns0:c>
      <ns0:c r="R255" s="0">
        <ns0:f>IF(AND(Bookings!G255="Pending",E255="Yes"),N255,0)</ns0:f>
        <ns0:v>0</ns0:v>
      </ns0:c>
      <ns0:c r="S255" s="0">
        <ns0:f>IF(AND(Bookings!G255="Approved",E255="No"),N255,0)</ns0:f>
        <ns0:v>0</ns0:v>
      </ns0:c>
      <ns0:c r="T255" s="0">
        <ns0:f>IFERROR(MATCH(D255,Settings!$G$7:$G$11,0),0)</ns0:f>
        <ns0:v>0</ns0:v>
      </ns0:c>
      <ns0:c r="U255" s="0">
        <ns0:f>IF(N255&gt;0,T255+IF(Bookings!G255="Pending",10,0),0)</ns0:f>
        <ns0:v>0</ns0:v>
      </ns0:c>
      <ns0:c r="V255" s="0">
        <ns0:f>U255</ns0:f>
        <ns0:v>0</ns0:v>
      </ns0:c>
      <ns0:c r="W255" s="0" t="str">
        <ns0:f>IF(C255=0,"",INDEX($AP$11:$AP$60,C255))</ns0:f>
        <ns0:v/>
      </ns0:c>
    </ns0:row>
    <ns0:row r="256">
      <ns0:c r="A256" s="0">
        <ns0:f>IF(COUNTA(Bookings!A256:G256,Bookings!I256)=0,0,1)</ns0:f>
        <ns0:v>0</ns0:v>
      </ns0:c>
      <ns0:c r="B256" s="0" t="str">
        <ns0:f>IFERROR(TRIM(MID(Bookings!A256,FIND(" · ",Bookings!A256)+3,99)),"")</ns0:f>
        <ns0:v/>
      </ns0:c>
      <ns0:c r="C256" s="0">
        <ns0:f>IF(OR(B256="",LEN(B256)&gt;24,ISNUMBER(FIND(" ",B256)),ISNUMBER(FIND("*",B256)),ISNUMBER(FIND("?",B256)),ISNUMBER(FIND("~",B256))),0,IFERROR(MATCH(B256,Team!$A$11:$A$60,0),0))</ns0:f>
        <ns0:v>0</ns0:v>
      </ns0:c>
      <ns0:c r="D256" s="0" t="str">
        <ns0:f>IFERROR(IF(MID(Bookings!F256,LEN(Bookings!F256)-3,3)=" · ",RIGHT(Bookings!F256,1),""),"")</ns0:f>
        <ns0:v/>
      </ns0:c>
      <ns0:c r="E256" s="0" t="str">
        <ns0:f>IFERROR(INDEX(Settings!$H$7:$H$11,MATCH(D256,Settings!$G$7:$G$11,0)),"")</ns0:f>
        <ns0:v/>
      </ns0:c>
      <ns0:c r="F256" s="0" t="str">
        <ns0:f>IF(A256=0,"",IFERROR(IF(OR(B256="",C256=0),"CHECK employee selection",IF(INDEX(Team!$O$11:$O$60,C256)&lt;&gt;"OK","CHECK employee setup",IF(OR('_Dates'!J256=0,'_Dates'!T256=0),"CHECK date: use DD.MM.YYYY",IF('_Dates'!T256&lt;'_Dates'!J256,"CHECK end before start",IF(AND($B$6=0,OR('_Dates'!J256&lt;Settings!$B$7,'_Dates'!T256&gt;Settings!$B$8)),"CHECK split across leave years",IF(OR(NOT(OR('_Dates'!U256="Full day",'_Dates'!U256="AM",'_Dates'!U256="PM")),NOT(OR('_Dates'!V256="Full day",'_Dates'!V256="AM",'_Dates'!V256="PM"))),"CHECK Full day / AM / PM",IF(AND('_Dates'!J256='_Dates'!T256,'_Dates'!U256&lt;&gt;"Full day",'_Dates'!V256&lt;&gt;"Full day",'_Dates'!U256&lt;&gt;'_Dates'!V256),"CHECK same-day portions disagree",IF(AND($B$6=0,OR(AND('_Dates'!U256&lt;&gt;"Full day",'_Dates'!AA256=0),AND('_Dates'!V256&lt;&gt;"Full day",'_Dates'!AB256=0))),"CHECK half-day on non-working date",IF(COUNTIF(Settings!$G$7:$G$11,D256)&lt;&gt;1,"CHECK leave type",IF(AND(Bookings!G256&lt;&gt;"Approved",Bookings!G256&lt;&gt;"Pending",Bookings!G256&lt;&gt;"Cancelled"),"CHECK status","OK")))))))))),"CHECK input"))</ns0:f>
        <ns0:v/>
      </ns0:c>
      <ns0:c r="G256" s="0">
        <ns0:f>IF(OR(F256&lt;&gt;"OK",$B$6&gt;0),0,0.5*(IF(('_Dates'!X256)&lt;('_Dates'!W256),0,INT((('_Dates'!X256)-('_Dates'!W256)+1)/7)*LEN(SUBSTITUTE(W256,"O",""))+LEN(SUBSTITUTE(MID(W256&amp;W256,WEEKDAY(('_Dates'!W256),2),MOD((('_Dates'!X256)-('_Dates'!W256)+1),7)),"O",""))-COUNTIFS(INDEX(AllClosureRows,C256,0),"&gt;="&amp;('_Dates'!W256),INDEX(AllClosureRows,C256,0),"&lt;="&amp;('_Dates'!X256)))+IF(('_Dates'!Z256)&lt;('_Dates'!Y256),0,INT((('_Dates'!Z256)-('_Dates'!Y256)+1)/7)*LEN(SUBSTITUTE(W256,"O",""))+LEN(SUBSTITUTE(MID(W256&amp;W256,WEEKDAY(('_Dates'!Y256),2),MOD((('_Dates'!Z256)-('_Dates'!Y256)+1),7)),"O",""))-COUNTIFS(INDEX(AllClosureRows,C256,0),"&gt;="&amp;('_Dates'!Y256),INDEX(AllClosureRows,C256,0),"&lt;="&amp;('_Dates'!Z256)))))</ns0:f>
        <ns0:v>0</ns0:v>
      </ns0:c>
      <ns0:c r="H256" s="0">
        <ns0:f>IF(OR(F256&lt;&gt;"OK",$B$6&gt;0),0,0.5*(IF((MIN('_Dates'!X256,Settings!$B$9))&lt;('_Dates'!W256),0,INT(((MIN('_Dates'!X256,Settings!$B$9))-('_Dates'!W256)+1)/7)*LEN(SUBSTITUTE(W256,"O",""))+LEN(SUBSTITUTE(MID(W256&amp;W256,WEEKDAY(('_Dates'!W256),2),MOD(((MIN('_Dates'!X256,Settings!$B$9))-('_Dates'!W256)+1),7)),"O",""))-COUNTIFS(INDEX(AllClosureRows,C256,0),"&gt;="&amp;('_Dates'!W256),INDEX(AllClosureRows,C256,0),"&lt;="&amp;(MIN('_Dates'!X256,Settings!$B$9))))+IF((MIN('_Dates'!Z256,Settings!$B$9))&lt;('_Dates'!Y256),0,INT(((MIN('_Dates'!Z256,Settings!$B$9))-('_Dates'!Y256)+1)/7)*LEN(SUBSTITUTE(W256,"O",""))+LEN(SUBSTITUTE(MID(W256&amp;W256,WEEKDAY(('_Dates'!Y256),2),MOD(((MIN('_Dates'!Z256,Settings!$B$9))-('_Dates'!Y256)+1),7)),"O",""))-COUNTIFS(INDEX(AllClosureRows,C256,0),"&gt;="&amp;('_Dates'!Y256),INDEX(AllClosureRows,C256,0),"&lt;="&amp;(MIN('_Dates'!Z256,Settings!$B$9))))))</ns0:f>
        <ns0:v>0</ns0:v>
      </ns0:c>
      <ns0:c r="I256" s="0">
        <ns0:f>MAX(0,G256-H256)</ns0:f>
        <ns0:v>0</ns0:v>
      </ns0:c>
      <ns0:c r="J256" s="0">
        <ns0:f>IF(OR(A256=0,F256&lt;&gt;"OK",Bookings!G256="Cancelled",$B$6&gt;0),0,IF('_Dates'!AC256=1,MAX(0,COUNTIFS(rngEngine_B,B256,rngAMStart,"&lt;="&amp;'_Dates'!X256,rngAMEnd,"&gt;="&amp;'_Dates'!W256,rngAMActive,1,rngEngine_F,"OK",rngBookings_F,"&lt;&gt;Cancelled")-1),0)+IF('_Dates'!AD256=1,MAX(0,COUNTIFS(rngEngine_B,B256,rngPMStart,"&lt;="&amp;'_Dates'!Z256,rngPMEnd,"&gt;="&amp;'_Dates'!Y256,rngPMActive,1,rngEngine_F,"OK",rngBookings_F,"&lt;&gt;Cancelled")-1),0))</ns0:f>
        <ns0:v>0</ns0:v>
      </ns0:c>
      <ns0:c r="K256" s="0" t="str">
        <ns0:f>IF(A256=0,"",IF(F256&lt;&gt;"OK",F256,IF(J256&gt;0,"CHECK overlapping entry",IF(AND($B$6=0,G256&lt;=0,Bookings!G256&lt;&gt;"Cancelled"),"CHECK no working days",IF(Bookings!G256="Cancelled","Cancelled","OK")))))</ns0:f>
        <ns0:v/>
      </ns0:c>
      <ns0:c r="L256" s="0">
        <ns0:f>IF(LEFT(K256,5)="CHECK",1,0)</ns0:f>
        <ns0:v>0</ns0:v>
      </ns0:c>
      <ns0:c r="M256" s="0">
        <ns0:f>IF(AND(L256=1,OR(C256=0,IFERROR(INDEX($X$11:$X$60,C256),0)=0)),1,0)</ns0:f>
        <ns0:v>0</ns0:v>
      </ns0:c>
      <ns0:c r="N256" s="0">
        <ns0:f>IF(OR(A256=0,L256&gt;0,$B$6&gt;0,Bookings!G256="Cancelled"),0,G256)</ns0:f>
        <ns0:v>0</ns0:v>
      </ns0:c>
      <ns0:c r="O256" s="0">
        <ns0:f>IF(AND(Bookings!G256="Approved",E256="Yes"),N256,0)</ns0:f>
        <ns0:v>0</ns0:v>
      </ns0:c>
      <ns0:c r="P256" s="0">
        <ns0:f>IF(AND(Bookings!G256="Approved",E256="Yes",L256=0,$B$6=0),H256,0)</ns0:f>
        <ns0:v>0</ns0:v>
      </ns0:c>
      <ns0:c r="Q256" s="0">
        <ns0:f>IF(AND(Bookings!G256="Approved",E256="Yes",L256=0,$B$6=0),I256,0)</ns0:f>
        <ns0:v>0</ns0:v>
      </ns0:c>
      <ns0:c r="R256" s="0">
        <ns0:f>IF(AND(Bookings!G256="Pending",E256="Yes"),N256,0)</ns0:f>
        <ns0:v>0</ns0:v>
      </ns0:c>
      <ns0:c r="S256" s="0">
        <ns0:f>IF(AND(Bookings!G256="Approved",E256="No"),N256,0)</ns0:f>
        <ns0:v>0</ns0:v>
      </ns0:c>
      <ns0:c r="T256" s="0">
        <ns0:f>IFERROR(MATCH(D256,Settings!$G$7:$G$11,0),0)</ns0:f>
        <ns0:v>0</ns0:v>
      </ns0:c>
      <ns0:c r="U256" s="0">
        <ns0:f>IF(N256&gt;0,T256+IF(Bookings!G256="Pending",10,0),0)</ns0:f>
        <ns0:v>0</ns0:v>
      </ns0:c>
      <ns0:c r="V256" s="0">
        <ns0:f>U256</ns0:f>
        <ns0:v>0</ns0:v>
      </ns0:c>
      <ns0:c r="W256" s="0" t="str">
        <ns0:f>IF(C256=0,"",INDEX($AP$11:$AP$60,C256))</ns0:f>
        <ns0:v/>
      </ns0:c>
    </ns0:row>
    <ns0:row r="257">
      <ns0:c r="A257" s="0">
        <ns0:f>IF(COUNTA(Bookings!A257:G257,Bookings!I257)=0,0,1)</ns0:f>
        <ns0:v>0</ns0:v>
      </ns0:c>
      <ns0:c r="B257" s="0" t="str">
        <ns0:f>IFERROR(TRIM(MID(Bookings!A257,FIND(" · ",Bookings!A257)+3,99)),"")</ns0:f>
        <ns0:v/>
      </ns0:c>
      <ns0:c r="C257" s="0">
        <ns0:f>IF(OR(B257="",LEN(B257)&gt;24,ISNUMBER(FIND(" ",B257)),ISNUMBER(FIND("*",B257)),ISNUMBER(FIND("?",B257)),ISNUMBER(FIND("~",B257))),0,IFERROR(MATCH(B257,Team!$A$11:$A$60,0),0))</ns0:f>
        <ns0:v>0</ns0:v>
      </ns0:c>
      <ns0:c r="D257" s="0" t="str">
        <ns0:f>IFERROR(IF(MID(Bookings!F257,LEN(Bookings!F257)-3,3)=" · ",RIGHT(Bookings!F257,1),""),"")</ns0:f>
        <ns0:v/>
      </ns0:c>
      <ns0:c r="E257" s="0" t="str">
        <ns0:f>IFERROR(INDEX(Settings!$H$7:$H$11,MATCH(D257,Settings!$G$7:$G$11,0)),"")</ns0:f>
        <ns0:v/>
      </ns0:c>
      <ns0:c r="F257" s="0" t="str">
        <ns0:f>IF(A257=0,"",IFERROR(IF(OR(B257="",C257=0),"CHECK employee selection",IF(INDEX(Team!$O$11:$O$60,C257)&lt;&gt;"OK","CHECK employee setup",IF(OR('_Dates'!J257=0,'_Dates'!T257=0),"CHECK date: use DD.MM.YYYY",IF('_Dates'!T257&lt;'_Dates'!J257,"CHECK end before start",IF(AND($B$6=0,OR('_Dates'!J257&lt;Settings!$B$7,'_Dates'!T257&gt;Settings!$B$8)),"CHECK split across leave years",IF(OR(NOT(OR('_Dates'!U257="Full day",'_Dates'!U257="AM",'_Dates'!U257="PM")),NOT(OR('_Dates'!V257="Full day",'_Dates'!V257="AM",'_Dates'!V257="PM"))),"CHECK Full day / AM / PM",IF(AND('_Dates'!J257='_Dates'!T257,'_Dates'!U257&lt;&gt;"Full day",'_Dates'!V257&lt;&gt;"Full day",'_Dates'!U257&lt;&gt;'_Dates'!V257),"CHECK same-day portions disagree",IF(AND($B$6=0,OR(AND('_Dates'!U257&lt;&gt;"Full day",'_Dates'!AA257=0),AND('_Dates'!V257&lt;&gt;"Full day",'_Dates'!AB257=0))),"CHECK half-day on non-working date",IF(COUNTIF(Settings!$G$7:$G$11,D257)&lt;&gt;1,"CHECK leave type",IF(AND(Bookings!G257&lt;&gt;"Approved",Bookings!G257&lt;&gt;"Pending",Bookings!G257&lt;&gt;"Cancelled"),"CHECK status","OK")))))))))),"CHECK input"))</ns0:f>
        <ns0:v/>
      </ns0:c>
      <ns0:c r="G257" s="0">
        <ns0:f>IF(OR(F257&lt;&gt;"OK",$B$6&gt;0),0,0.5*(IF(('_Dates'!X257)&lt;('_Dates'!W257),0,INT((('_Dates'!X257)-('_Dates'!W257)+1)/7)*LEN(SUBSTITUTE(W257,"O",""))+LEN(SUBSTITUTE(MID(W257&amp;W257,WEEKDAY(('_Dates'!W257),2),MOD((('_Dates'!X257)-('_Dates'!W257)+1),7)),"O",""))-COUNTIFS(INDEX(AllClosureRows,C257,0),"&gt;="&amp;('_Dates'!W257),INDEX(AllClosureRows,C257,0),"&lt;="&amp;('_Dates'!X257)))+IF(('_Dates'!Z257)&lt;('_Dates'!Y257),0,INT((('_Dates'!Z257)-('_Dates'!Y257)+1)/7)*LEN(SUBSTITUTE(W257,"O",""))+LEN(SUBSTITUTE(MID(W257&amp;W257,WEEKDAY(('_Dates'!Y257),2),MOD((('_Dates'!Z257)-('_Dates'!Y257)+1),7)),"O",""))-COUNTIFS(INDEX(AllClosureRows,C257,0),"&gt;="&amp;('_Dates'!Y257),INDEX(AllClosureRows,C257,0),"&lt;="&amp;('_Dates'!Z257)))))</ns0:f>
        <ns0:v>0</ns0:v>
      </ns0:c>
      <ns0:c r="H257" s="0">
        <ns0:f>IF(OR(F257&lt;&gt;"OK",$B$6&gt;0),0,0.5*(IF((MIN('_Dates'!X257,Settings!$B$9))&lt;('_Dates'!W257),0,INT(((MIN('_Dates'!X257,Settings!$B$9))-('_Dates'!W257)+1)/7)*LEN(SUBSTITUTE(W257,"O",""))+LEN(SUBSTITUTE(MID(W257&amp;W257,WEEKDAY(('_Dates'!W257),2),MOD(((MIN('_Dates'!X257,Settings!$B$9))-('_Dates'!W257)+1),7)),"O",""))-COUNTIFS(INDEX(AllClosureRows,C257,0),"&gt;="&amp;('_Dates'!W257),INDEX(AllClosureRows,C257,0),"&lt;="&amp;(MIN('_Dates'!X257,Settings!$B$9))))+IF((MIN('_Dates'!Z257,Settings!$B$9))&lt;('_Dates'!Y257),0,INT(((MIN('_Dates'!Z257,Settings!$B$9))-('_Dates'!Y257)+1)/7)*LEN(SUBSTITUTE(W257,"O",""))+LEN(SUBSTITUTE(MID(W257&amp;W257,WEEKDAY(('_Dates'!Y257),2),MOD(((MIN('_Dates'!Z257,Settings!$B$9))-('_Dates'!Y257)+1),7)),"O",""))-COUNTIFS(INDEX(AllClosureRows,C257,0),"&gt;="&amp;('_Dates'!Y257),INDEX(AllClosureRows,C257,0),"&lt;="&amp;(MIN('_Dates'!Z257,Settings!$B$9))))))</ns0:f>
        <ns0:v>0</ns0:v>
      </ns0:c>
      <ns0:c r="I257" s="0">
        <ns0:f>MAX(0,G257-H257)</ns0:f>
        <ns0:v>0</ns0:v>
      </ns0:c>
      <ns0:c r="J257" s="0">
        <ns0:f>IF(OR(A257=0,F257&lt;&gt;"OK",Bookings!G257="Cancelled",$B$6&gt;0),0,IF('_Dates'!AC257=1,MAX(0,COUNTIFS(rngEngine_B,B257,rngAMStart,"&lt;="&amp;'_Dates'!X257,rngAMEnd,"&gt;="&amp;'_Dates'!W257,rngAMActive,1,rngEngine_F,"OK",rngBookings_F,"&lt;&gt;Cancelled")-1),0)+IF('_Dates'!AD257=1,MAX(0,COUNTIFS(rngEngine_B,B257,rngPMStart,"&lt;="&amp;'_Dates'!Z257,rngPMEnd,"&gt;="&amp;'_Dates'!Y257,rngPMActive,1,rngEngine_F,"OK",rngBookings_F,"&lt;&gt;Cancelled")-1),0))</ns0:f>
        <ns0:v>0</ns0:v>
      </ns0:c>
      <ns0:c r="K257" s="0" t="str">
        <ns0:f>IF(A257=0,"",IF(F257&lt;&gt;"OK",F257,IF(J257&gt;0,"CHECK overlapping entry",IF(AND($B$6=0,G257&lt;=0,Bookings!G257&lt;&gt;"Cancelled"),"CHECK no working days",IF(Bookings!G257="Cancelled","Cancelled","OK")))))</ns0:f>
        <ns0:v/>
      </ns0:c>
      <ns0:c r="L257" s="0">
        <ns0:f>IF(LEFT(K257,5)="CHECK",1,0)</ns0:f>
        <ns0:v>0</ns0:v>
      </ns0:c>
      <ns0:c r="M257" s="0">
        <ns0:f>IF(AND(L257=1,OR(C257=0,IFERROR(INDEX($X$11:$X$60,C257),0)=0)),1,0)</ns0:f>
        <ns0:v>0</ns0:v>
      </ns0:c>
      <ns0:c r="N257" s="0">
        <ns0:f>IF(OR(A257=0,L257&gt;0,$B$6&gt;0,Bookings!G257="Cancelled"),0,G257)</ns0:f>
        <ns0:v>0</ns0:v>
      </ns0:c>
      <ns0:c r="O257" s="0">
        <ns0:f>IF(AND(Bookings!G257="Approved",E257="Yes"),N257,0)</ns0:f>
        <ns0:v>0</ns0:v>
      </ns0:c>
      <ns0:c r="P257" s="0">
        <ns0:f>IF(AND(Bookings!G257="Approved",E257="Yes",L257=0,$B$6=0),H257,0)</ns0:f>
        <ns0:v>0</ns0:v>
      </ns0:c>
      <ns0:c r="Q257" s="0">
        <ns0:f>IF(AND(Bookings!G257="Approved",E257="Yes",L257=0,$B$6=0),I257,0)</ns0:f>
        <ns0:v>0</ns0:v>
      </ns0:c>
      <ns0:c r="R257" s="0">
        <ns0:f>IF(AND(Bookings!G257="Pending",E257="Yes"),N257,0)</ns0:f>
        <ns0:v>0</ns0:v>
      </ns0:c>
      <ns0:c r="S257" s="0">
        <ns0:f>IF(AND(Bookings!G257="Approved",E257="No"),N257,0)</ns0:f>
        <ns0:v>0</ns0:v>
      </ns0:c>
      <ns0:c r="T257" s="0">
        <ns0:f>IFERROR(MATCH(D257,Settings!$G$7:$G$11,0),0)</ns0:f>
        <ns0:v>0</ns0:v>
      </ns0:c>
      <ns0:c r="U257" s="0">
        <ns0:f>IF(N257&gt;0,T257+IF(Bookings!G257="Pending",10,0),0)</ns0:f>
        <ns0:v>0</ns0:v>
      </ns0:c>
      <ns0:c r="V257" s="0">
        <ns0:f>U257</ns0:f>
        <ns0:v>0</ns0:v>
      </ns0:c>
      <ns0:c r="W257" s="0" t="str">
        <ns0:f>IF(C257=0,"",INDEX($AP$11:$AP$60,C257))</ns0:f>
        <ns0:v/>
      </ns0:c>
    </ns0:row>
    <ns0:row r="258">
      <ns0:c r="A258" s="0">
        <ns0:f>IF(COUNTA(Bookings!A258:G258,Bookings!I258)=0,0,1)</ns0:f>
        <ns0:v>0</ns0:v>
      </ns0:c>
      <ns0:c r="B258" s="0" t="str">
        <ns0:f>IFERROR(TRIM(MID(Bookings!A258,FIND(" · ",Bookings!A258)+3,99)),"")</ns0:f>
        <ns0:v/>
      </ns0:c>
      <ns0:c r="C258" s="0">
        <ns0:f>IF(OR(B258="",LEN(B258)&gt;24,ISNUMBER(FIND(" ",B258)),ISNUMBER(FIND("*",B258)),ISNUMBER(FIND("?",B258)),ISNUMBER(FIND("~",B258))),0,IFERROR(MATCH(B258,Team!$A$11:$A$60,0),0))</ns0:f>
        <ns0:v>0</ns0:v>
      </ns0:c>
      <ns0:c r="D258" s="0" t="str">
        <ns0:f>IFERROR(IF(MID(Bookings!F258,LEN(Bookings!F258)-3,3)=" · ",RIGHT(Bookings!F258,1),""),"")</ns0:f>
        <ns0:v/>
      </ns0:c>
      <ns0:c r="E258" s="0" t="str">
        <ns0:f>IFERROR(INDEX(Settings!$H$7:$H$11,MATCH(D258,Settings!$G$7:$G$11,0)),"")</ns0:f>
        <ns0:v/>
      </ns0:c>
      <ns0:c r="F258" s="0" t="str">
        <ns0:f>IF(A258=0,"",IFERROR(IF(OR(B258="",C258=0),"CHECK employee selection",IF(INDEX(Team!$O$11:$O$60,C258)&lt;&gt;"OK","CHECK employee setup",IF(OR('_Dates'!J258=0,'_Dates'!T258=0),"CHECK date: use DD.MM.YYYY",IF('_Dates'!T258&lt;'_Dates'!J258,"CHECK end before start",IF(AND($B$6=0,OR('_Dates'!J258&lt;Settings!$B$7,'_Dates'!T258&gt;Settings!$B$8)),"CHECK split across leave years",IF(OR(NOT(OR('_Dates'!U258="Full day",'_Dates'!U258="AM",'_Dates'!U258="PM")),NOT(OR('_Dates'!V258="Full day",'_Dates'!V258="AM",'_Dates'!V258="PM"))),"CHECK Full day / AM / PM",IF(AND('_Dates'!J258='_Dates'!T258,'_Dates'!U258&lt;&gt;"Full day",'_Dates'!V258&lt;&gt;"Full day",'_Dates'!U258&lt;&gt;'_Dates'!V258),"CHECK same-day portions disagree",IF(AND($B$6=0,OR(AND('_Dates'!U258&lt;&gt;"Full day",'_Dates'!AA258=0),AND('_Dates'!V258&lt;&gt;"Full day",'_Dates'!AB258=0))),"CHECK half-day on non-working date",IF(COUNTIF(Settings!$G$7:$G$11,D258)&lt;&gt;1,"CHECK leave type",IF(AND(Bookings!G258&lt;&gt;"Approved",Bookings!G258&lt;&gt;"Pending",Bookings!G258&lt;&gt;"Cancelled"),"CHECK status","OK")))))))))),"CHECK input"))</ns0:f>
        <ns0:v/>
      </ns0:c>
      <ns0:c r="G258" s="0">
        <ns0:f>IF(OR(F258&lt;&gt;"OK",$B$6&gt;0),0,0.5*(IF(('_Dates'!X258)&lt;('_Dates'!W258),0,INT((('_Dates'!X258)-('_Dates'!W258)+1)/7)*LEN(SUBSTITUTE(W258,"O",""))+LEN(SUBSTITUTE(MID(W258&amp;W258,WEEKDAY(('_Dates'!W258),2),MOD((('_Dates'!X258)-('_Dates'!W258)+1),7)),"O",""))-COUNTIFS(INDEX(AllClosureRows,C258,0),"&gt;="&amp;('_Dates'!W258),INDEX(AllClosureRows,C258,0),"&lt;="&amp;('_Dates'!X258)))+IF(('_Dates'!Z258)&lt;('_Dates'!Y258),0,INT((('_Dates'!Z258)-('_Dates'!Y258)+1)/7)*LEN(SUBSTITUTE(W258,"O",""))+LEN(SUBSTITUTE(MID(W258&amp;W258,WEEKDAY(('_Dates'!Y258),2),MOD((('_Dates'!Z258)-('_Dates'!Y258)+1),7)),"O",""))-COUNTIFS(INDEX(AllClosureRows,C258,0),"&gt;="&amp;('_Dates'!Y258),INDEX(AllClosureRows,C258,0),"&lt;="&amp;('_Dates'!Z258)))))</ns0:f>
        <ns0:v>0</ns0:v>
      </ns0:c>
      <ns0:c r="H258" s="0">
        <ns0:f>IF(OR(F258&lt;&gt;"OK",$B$6&gt;0),0,0.5*(IF((MIN('_Dates'!X258,Settings!$B$9))&lt;('_Dates'!W258),0,INT(((MIN('_Dates'!X258,Settings!$B$9))-('_Dates'!W258)+1)/7)*LEN(SUBSTITUTE(W258,"O",""))+LEN(SUBSTITUTE(MID(W258&amp;W258,WEEKDAY(('_Dates'!W258),2),MOD(((MIN('_Dates'!X258,Settings!$B$9))-('_Dates'!W258)+1),7)),"O",""))-COUNTIFS(INDEX(AllClosureRows,C258,0),"&gt;="&amp;('_Dates'!W258),INDEX(AllClosureRows,C258,0),"&lt;="&amp;(MIN('_Dates'!X258,Settings!$B$9))))+IF((MIN('_Dates'!Z258,Settings!$B$9))&lt;('_Dates'!Y258),0,INT(((MIN('_Dates'!Z258,Settings!$B$9))-('_Dates'!Y258)+1)/7)*LEN(SUBSTITUTE(W258,"O",""))+LEN(SUBSTITUTE(MID(W258&amp;W258,WEEKDAY(('_Dates'!Y258),2),MOD(((MIN('_Dates'!Z258,Settings!$B$9))-('_Dates'!Y258)+1),7)),"O",""))-COUNTIFS(INDEX(AllClosureRows,C258,0),"&gt;="&amp;('_Dates'!Y258),INDEX(AllClosureRows,C258,0),"&lt;="&amp;(MIN('_Dates'!Z258,Settings!$B$9))))))</ns0:f>
        <ns0:v>0</ns0:v>
      </ns0:c>
      <ns0:c r="I258" s="0">
        <ns0:f>MAX(0,G258-H258)</ns0:f>
        <ns0:v>0</ns0:v>
      </ns0:c>
      <ns0:c r="J258" s="0">
        <ns0:f>IF(OR(A258=0,F258&lt;&gt;"OK",Bookings!G258="Cancelled",$B$6&gt;0),0,IF('_Dates'!AC258=1,MAX(0,COUNTIFS(rngEngine_B,B258,rngAMStart,"&lt;="&amp;'_Dates'!X258,rngAMEnd,"&gt;="&amp;'_Dates'!W258,rngAMActive,1,rngEngine_F,"OK",rngBookings_F,"&lt;&gt;Cancelled")-1),0)+IF('_Dates'!AD258=1,MAX(0,COUNTIFS(rngEngine_B,B258,rngPMStart,"&lt;="&amp;'_Dates'!Z258,rngPMEnd,"&gt;="&amp;'_Dates'!Y258,rngPMActive,1,rngEngine_F,"OK",rngBookings_F,"&lt;&gt;Cancelled")-1),0))</ns0:f>
        <ns0:v>0</ns0:v>
      </ns0:c>
      <ns0:c r="K258" s="0" t="str">
        <ns0:f>IF(A258=0,"",IF(F258&lt;&gt;"OK",F258,IF(J258&gt;0,"CHECK overlapping entry",IF(AND($B$6=0,G258&lt;=0,Bookings!G258&lt;&gt;"Cancelled"),"CHECK no working days",IF(Bookings!G258="Cancelled","Cancelled","OK")))))</ns0:f>
        <ns0:v/>
      </ns0:c>
      <ns0:c r="L258" s="0">
        <ns0:f>IF(LEFT(K258,5)="CHECK",1,0)</ns0:f>
        <ns0:v>0</ns0:v>
      </ns0:c>
      <ns0:c r="M258" s="0">
        <ns0:f>IF(AND(L258=1,OR(C258=0,IFERROR(INDEX($X$11:$X$60,C258),0)=0)),1,0)</ns0:f>
        <ns0:v>0</ns0:v>
      </ns0:c>
      <ns0:c r="N258" s="0">
        <ns0:f>IF(OR(A258=0,L258&gt;0,$B$6&gt;0,Bookings!G258="Cancelled"),0,G258)</ns0:f>
        <ns0:v>0</ns0:v>
      </ns0:c>
      <ns0:c r="O258" s="0">
        <ns0:f>IF(AND(Bookings!G258="Approved",E258="Yes"),N258,0)</ns0:f>
        <ns0:v>0</ns0:v>
      </ns0:c>
      <ns0:c r="P258" s="0">
        <ns0:f>IF(AND(Bookings!G258="Approved",E258="Yes",L258=0,$B$6=0),H258,0)</ns0:f>
        <ns0:v>0</ns0:v>
      </ns0:c>
      <ns0:c r="Q258" s="0">
        <ns0:f>IF(AND(Bookings!G258="Approved",E258="Yes",L258=0,$B$6=0),I258,0)</ns0:f>
        <ns0:v>0</ns0:v>
      </ns0:c>
      <ns0:c r="R258" s="0">
        <ns0:f>IF(AND(Bookings!G258="Pending",E258="Yes"),N258,0)</ns0:f>
        <ns0:v>0</ns0:v>
      </ns0:c>
      <ns0:c r="S258" s="0">
        <ns0:f>IF(AND(Bookings!G258="Approved",E258="No"),N258,0)</ns0:f>
        <ns0:v>0</ns0:v>
      </ns0:c>
      <ns0:c r="T258" s="0">
        <ns0:f>IFERROR(MATCH(D258,Settings!$G$7:$G$11,0),0)</ns0:f>
        <ns0:v>0</ns0:v>
      </ns0:c>
      <ns0:c r="U258" s="0">
        <ns0:f>IF(N258&gt;0,T258+IF(Bookings!G258="Pending",10,0),0)</ns0:f>
        <ns0:v>0</ns0:v>
      </ns0:c>
      <ns0:c r="V258" s="0">
        <ns0:f>U258</ns0:f>
        <ns0:v>0</ns0:v>
      </ns0:c>
      <ns0:c r="W258" s="0" t="str">
        <ns0:f>IF(C258=0,"",INDEX($AP$11:$AP$60,C258))</ns0:f>
        <ns0:v/>
      </ns0:c>
    </ns0:row>
    <ns0:row r="259">
      <ns0:c r="A259" s="0">
        <ns0:f>IF(COUNTA(Bookings!A259:G259,Bookings!I259)=0,0,1)</ns0:f>
        <ns0:v>0</ns0:v>
      </ns0:c>
      <ns0:c r="B259" s="0" t="str">
        <ns0:f>IFERROR(TRIM(MID(Bookings!A259,FIND(" · ",Bookings!A259)+3,99)),"")</ns0:f>
        <ns0:v/>
      </ns0:c>
      <ns0:c r="C259" s="0">
        <ns0:f>IF(OR(B259="",LEN(B259)&gt;24,ISNUMBER(FIND(" ",B259)),ISNUMBER(FIND("*",B259)),ISNUMBER(FIND("?",B259)),ISNUMBER(FIND("~",B259))),0,IFERROR(MATCH(B259,Team!$A$11:$A$60,0),0))</ns0:f>
        <ns0:v>0</ns0:v>
      </ns0:c>
      <ns0:c r="D259" s="0" t="str">
        <ns0:f>IFERROR(IF(MID(Bookings!F259,LEN(Bookings!F259)-3,3)=" · ",RIGHT(Bookings!F259,1),""),"")</ns0:f>
        <ns0:v/>
      </ns0:c>
      <ns0:c r="E259" s="0" t="str">
        <ns0:f>IFERROR(INDEX(Settings!$H$7:$H$11,MATCH(D259,Settings!$G$7:$G$11,0)),"")</ns0:f>
        <ns0:v/>
      </ns0:c>
      <ns0:c r="F259" s="0" t="str">
        <ns0:f>IF(A259=0,"",IFERROR(IF(OR(B259="",C259=0),"CHECK employee selection",IF(INDEX(Team!$O$11:$O$60,C259)&lt;&gt;"OK","CHECK employee setup",IF(OR('_Dates'!J259=0,'_Dates'!T259=0),"CHECK date: use DD.MM.YYYY",IF('_Dates'!T259&lt;'_Dates'!J259,"CHECK end before start",IF(AND($B$6=0,OR('_Dates'!J259&lt;Settings!$B$7,'_Dates'!T259&gt;Settings!$B$8)),"CHECK split across leave years",IF(OR(NOT(OR('_Dates'!U259="Full day",'_Dates'!U259="AM",'_Dates'!U259="PM")),NOT(OR('_Dates'!V259="Full day",'_Dates'!V259="AM",'_Dates'!V259="PM"))),"CHECK Full day / AM / PM",IF(AND('_Dates'!J259='_Dates'!T259,'_Dates'!U259&lt;&gt;"Full day",'_Dates'!V259&lt;&gt;"Full day",'_Dates'!U259&lt;&gt;'_Dates'!V259),"CHECK same-day portions disagree",IF(AND($B$6=0,OR(AND('_Dates'!U259&lt;&gt;"Full day",'_Dates'!AA259=0),AND('_Dates'!V259&lt;&gt;"Full day",'_Dates'!AB259=0))),"CHECK half-day on non-working date",IF(COUNTIF(Settings!$G$7:$G$11,D259)&lt;&gt;1,"CHECK leave type",IF(AND(Bookings!G259&lt;&gt;"Approved",Bookings!G259&lt;&gt;"Pending",Bookings!G259&lt;&gt;"Cancelled"),"CHECK status","OK")))))))))),"CHECK input"))</ns0:f>
        <ns0:v/>
      </ns0:c>
      <ns0:c r="G259" s="0">
        <ns0:f>IF(OR(F259&lt;&gt;"OK",$B$6&gt;0),0,0.5*(IF(('_Dates'!X259)&lt;('_Dates'!W259),0,INT((('_Dates'!X259)-('_Dates'!W259)+1)/7)*LEN(SUBSTITUTE(W259,"O",""))+LEN(SUBSTITUTE(MID(W259&amp;W259,WEEKDAY(('_Dates'!W259),2),MOD((('_Dates'!X259)-('_Dates'!W259)+1),7)),"O",""))-COUNTIFS(INDEX(AllClosureRows,C259,0),"&gt;="&amp;('_Dates'!W259),INDEX(AllClosureRows,C259,0),"&lt;="&amp;('_Dates'!X259)))+IF(('_Dates'!Z259)&lt;('_Dates'!Y259),0,INT((('_Dates'!Z259)-('_Dates'!Y259)+1)/7)*LEN(SUBSTITUTE(W259,"O",""))+LEN(SUBSTITUTE(MID(W259&amp;W259,WEEKDAY(('_Dates'!Y259),2),MOD((('_Dates'!Z259)-('_Dates'!Y259)+1),7)),"O",""))-COUNTIFS(INDEX(AllClosureRows,C259,0),"&gt;="&amp;('_Dates'!Y259),INDEX(AllClosureRows,C259,0),"&lt;="&amp;('_Dates'!Z259)))))</ns0:f>
        <ns0:v>0</ns0:v>
      </ns0:c>
      <ns0:c r="H259" s="0">
        <ns0:f>IF(OR(F259&lt;&gt;"OK",$B$6&gt;0),0,0.5*(IF((MIN('_Dates'!X259,Settings!$B$9))&lt;('_Dates'!W259),0,INT(((MIN('_Dates'!X259,Settings!$B$9))-('_Dates'!W259)+1)/7)*LEN(SUBSTITUTE(W259,"O",""))+LEN(SUBSTITUTE(MID(W259&amp;W259,WEEKDAY(('_Dates'!W259),2),MOD(((MIN('_Dates'!X259,Settings!$B$9))-('_Dates'!W259)+1),7)),"O",""))-COUNTIFS(INDEX(AllClosureRows,C259,0),"&gt;="&amp;('_Dates'!W259),INDEX(AllClosureRows,C259,0),"&lt;="&amp;(MIN('_Dates'!X259,Settings!$B$9))))+IF((MIN('_Dates'!Z259,Settings!$B$9))&lt;('_Dates'!Y259),0,INT(((MIN('_Dates'!Z259,Settings!$B$9))-('_Dates'!Y259)+1)/7)*LEN(SUBSTITUTE(W259,"O",""))+LEN(SUBSTITUTE(MID(W259&amp;W259,WEEKDAY(('_Dates'!Y259),2),MOD(((MIN('_Dates'!Z259,Settings!$B$9))-('_Dates'!Y259)+1),7)),"O",""))-COUNTIFS(INDEX(AllClosureRows,C259,0),"&gt;="&amp;('_Dates'!Y259),INDEX(AllClosureRows,C259,0),"&lt;="&amp;(MIN('_Dates'!Z259,Settings!$B$9))))))</ns0:f>
        <ns0:v>0</ns0:v>
      </ns0:c>
      <ns0:c r="I259" s="0">
        <ns0:f>MAX(0,G259-H259)</ns0:f>
        <ns0:v>0</ns0:v>
      </ns0:c>
      <ns0:c r="J259" s="0">
        <ns0:f>IF(OR(A259=0,F259&lt;&gt;"OK",Bookings!G259="Cancelled",$B$6&gt;0),0,IF('_Dates'!AC259=1,MAX(0,COUNTIFS(rngEngine_B,B259,rngAMStart,"&lt;="&amp;'_Dates'!X259,rngAMEnd,"&gt;="&amp;'_Dates'!W259,rngAMActive,1,rngEngine_F,"OK",rngBookings_F,"&lt;&gt;Cancelled")-1),0)+IF('_Dates'!AD259=1,MAX(0,COUNTIFS(rngEngine_B,B259,rngPMStart,"&lt;="&amp;'_Dates'!Z259,rngPMEnd,"&gt;="&amp;'_Dates'!Y259,rngPMActive,1,rngEngine_F,"OK",rngBookings_F,"&lt;&gt;Cancelled")-1),0))</ns0:f>
        <ns0:v>0</ns0:v>
      </ns0:c>
      <ns0:c r="K259" s="0" t="str">
        <ns0:f>IF(A259=0,"",IF(F259&lt;&gt;"OK",F259,IF(J259&gt;0,"CHECK overlapping entry",IF(AND($B$6=0,G259&lt;=0,Bookings!G259&lt;&gt;"Cancelled"),"CHECK no working days",IF(Bookings!G259="Cancelled","Cancelled","OK")))))</ns0:f>
        <ns0:v/>
      </ns0:c>
      <ns0:c r="L259" s="0">
        <ns0:f>IF(LEFT(K259,5)="CHECK",1,0)</ns0:f>
        <ns0:v>0</ns0:v>
      </ns0:c>
      <ns0:c r="M259" s="0">
        <ns0:f>IF(AND(L259=1,OR(C259=0,IFERROR(INDEX($X$11:$X$60,C259),0)=0)),1,0)</ns0:f>
        <ns0:v>0</ns0:v>
      </ns0:c>
      <ns0:c r="N259" s="0">
        <ns0:f>IF(OR(A259=0,L259&gt;0,$B$6&gt;0,Bookings!G259="Cancelled"),0,G259)</ns0:f>
        <ns0:v>0</ns0:v>
      </ns0:c>
      <ns0:c r="O259" s="0">
        <ns0:f>IF(AND(Bookings!G259="Approved",E259="Yes"),N259,0)</ns0:f>
        <ns0:v>0</ns0:v>
      </ns0:c>
      <ns0:c r="P259" s="0">
        <ns0:f>IF(AND(Bookings!G259="Approved",E259="Yes",L259=0,$B$6=0),H259,0)</ns0:f>
        <ns0:v>0</ns0:v>
      </ns0:c>
      <ns0:c r="Q259" s="0">
        <ns0:f>IF(AND(Bookings!G259="Approved",E259="Yes",L259=0,$B$6=0),I259,0)</ns0:f>
        <ns0:v>0</ns0:v>
      </ns0:c>
      <ns0:c r="R259" s="0">
        <ns0:f>IF(AND(Bookings!G259="Pending",E259="Yes"),N259,0)</ns0:f>
        <ns0:v>0</ns0:v>
      </ns0:c>
      <ns0:c r="S259" s="0">
        <ns0:f>IF(AND(Bookings!G259="Approved",E259="No"),N259,0)</ns0:f>
        <ns0:v>0</ns0:v>
      </ns0:c>
      <ns0:c r="T259" s="0">
        <ns0:f>IFERROR(MATCH(D259,Settings!$G$7:$G$11,0),0)</ns0:f>
        <ns0:v>0</ns0:v>
      </ns0:c>
      <ns0:c r="U259" s="0">
        <ns0:f>IF(N259&gt;0,T259+IF(Bookings!G259="Pending",10,0),0)</ns0:f>
        <ns0:v>0</ns0:v>
      </ns0:c>
      <ns0:c r="V259" s="0">
        <ns0:f>U259</ns0:f>
        <ns0:v>0</ns0:v>
      </ns0:c>
      <ns0:c r="W259" s="0" t="str">
        <ns0:f>IF(C259=0,"",INDEX($AP$11:$AP$60,C259))</ns0:f>
        <ns0:v/>
      </ns0:c>
    </ns0:row>
    <ns0:row r="260">
      <ns0:c r="A260" s="0">
        <ns0:f>IF(COUNTA(Bookings!A260:G260,Bookings!I260)=0,0,1)</ns0:f>
        <ns0:v>0</ns0:v>
      </ns0:c>
      <ns0:c r="B260" s="0" t="str">
        <ns0:f>IFERROR(TRIM(MID(Bookings!A260,FIND(" · ",Bookings!A260)+3,99)),"")</ns0:f>
        <ns0:v/>
      </ns0:c>
      <ns0:c r="C260" s="0">
        <ns0:f>IF(OR(B260="",LEN(B260)&gt;24,ISNUMBER(FIND(" ",B260)),ISNUMBER(FIND("*",B260)),ISNUMBER(FIND("?",B260)),ISNUMBER(FIND("~",B260))),0,IFERROR(MATCH(B260,Team!$A$11:$A$60,0),0))</ns0:f>
        <ns0:v>0</ns0:v>
      </ns0:c>
      <ns0:c r="D260" s="0" t="str">
        <ns0:f>IFERROR(IF(MID(Bookings!F260,LEN(Bookings!F260)-3,3)=" · ",RIGHT(Bookings!F260,1),""),"")</ns0:f>
        <ns0:v/>
      </ns0:c>
      <ns0:c r="E260" s="0" t="str">
        <ns0:f>IFERROR(INDEX(Settings!$H$7:$H$11,MATCH(D260,Settings!$G$7:$G$11,0)),"")</ns0:f>
        <ns0:v/>
      </ns0:c>
      <ns0:c r="F260" s="0" t="str">
        <ns0:f>IF(A260=0,"",IFERROR(IF(OR(B260="",C260=0),"CHECK employee selection",IF(INDEX(Team!$O$11:$O$60,C260)&lt;&gt;"OK","CHECK employee setup",IF(OR('_Dates'!J260=0,'_Dates'!T260=0),"CHECK date: use DD.MM.YYYY",IF('_Dates'!T260&lt;'_Dates'!J260,"CHECK end before start",IF(AND($B$6=0,OR('_Dates'!J260&lt;Settings!$B$7,'_Dates'!T260&gt;Settings!$B$8)),"CHECK split across leave years",IF(OR(NOT(OR('_Dates'!U260="Full day",'_Dates'!U260="AM",'_Dates'!U260="PM")),NOT(OR('_Dates'!V260="Full day",'_Dates'!V260="AM",'_Dates'!V260="PM"))),"CHECK Full day / AM / PM",IF(AND('_Dates'!J260='_Dates'!T260,'_Dates'!U260&lt;&gt;"Full day",'_Dates'!V260&lt;&gt;"Full day",'_Dates'!U260&lt;&gt;'_Dates'!V260),"CHECK same-day portions disagree",IF(AND($B$6=0,OR(AND('_Dates'!U260&lt;&gt;"Full day",'_Dates'!AA260=0),AND('_Dates'!V260&lt;&gt;"Full day",'_Dates'!AB260=0))),"CHECK half-day on non-working date",IF(COUNTIF(Settings!$G$7:$G$11,D260)&lt;&gt;1,"CHECK leave type",IF(AND(Bookings!G260&lt;&gt;"Approved",Bookings!G260&lt;&gt;"Pending",Bookings!G260&lt;&gt;"Cancelled"),"CHECK status","OK")))))))))),"CHECK input"))</ns0:f>
        <ns0:v/>
      </ns0:c>
      <ns0:c r="G260" s="0">
        <ns0:f>IF(OR(F260&lt;&gt;"OK",$B$6&gt;0),0,0.5*(IF(('_Dates'!X260)&lt;('_Dates'!W260),0,INT((('_Dates'!X260)-('_Dates'!W260)+1)/7)*LEN(SUBSTITUTE(W260,"O",""))+LEN(SUBSTITUTE(MID(W260&amp;W260,WEEKDAY(('_Dates'!W260),2),MOD((('_Dates'!X260)-('_Dates'!W260)+1),7)),"O",""))-COUNTIFS(INDEX(AllClosureRows,C260,0),"&gt;="&amp;('_Dates'!W260),INDEX(AllClosureRows,C260,0),"&lt;="&amp;('_Dates'!X260)))+IF(('_Dates'!Z260)&lt;('_Dates'!Y260),0,INT((('_Dates'!Z260)-('_Dates'!Y260)+1)/7)*LEN(SUBSTITUTE(W260,"O",""))+LEN(SUBSTITUTE(MID(W260&amp;W260,WEEKDAY(('_Dates'!Y260),2),MOD((('_Dates'!Z260)-('_Dates'!Y260)+1),7)),"O",""))-COUNTIFS(INDEX(AllClosureRows,C260,0),"&gt;="&amp;('_Dates'!Y260),INDEX(AllClosureRows,C260,0),"&lt;="&amp;('_Dates'!Z260)))))</ns0:f>
        <ns0:v>0</ns0:v>
      </ns0:c>
      <ns0:c r="H260" s="0">
        <ns0:f>IF(OR(F260&lt;&gt;"OK",$B$6&gt;0),0,0.5*(IF((MIN('_Dates'!X260,Settings!$B$9))&lt;('_Dates'!W260),0,INT(((MIN('_Dates'!X260,Settings!$B$9))-('_Dates'!W260)+1)/7)*LEN(SUBSTITUTE(W260,"O",""))+LEN(SUBSTITUTE(MID(W260&amp;W260,WEEKDAY(('_Dates'!W260),2),MOD(((MIN('_Dates'!X260,Settings!$B$9))-('_Dates'!W260)+1),7)),"O",""))-COUNTIFS(INDEX(AllClosureRows,C260,0),"&gt;="&amp;('_Dates'!W260),INDEX(AllClosureRows,C260,0),"&lt;="&amp;(MIN('_Dates'!X260,Settings!$B$9))))+IF((MIN('_Dates'!Z260,Settings!$B$9))&lt;('_Dates'!Y260),0,INT(((MIN('_Dates'!Z260,Settings!$B$9))-('_Dates'!Y260)+1)/7)*LEN(SUBSTITUTE(W260,"O",""))+LEN(SUBSTITUTE(MID(W260&amp;W260,WEEKDAY(('_Dates'!Y260),2),MOD(((MIN('_Dates'!Z260,Settings!$B$9))-('_Dates'!Y260)+1),7)),"O",""))-COUNTIFS(INDEX(AllClosureRows,C260,0),"&gt;="&amp;('_Dates'!Y260),INDEX(AllClosureRows,C260,0),"&lt;="&amp;(MIN('_Dates'!Z260,Settings!$B$9))))))</ns0:f>
        <ns0:v>0</ns0:v>
      </ns0:c>
      <ns0:c r="I260" s="0">
        <ns0:f>MAX(0,G260-H260)</ns0:f>
        <ns0:v>0</ns0:v>
      </ns0:c>
      <ns0:c r="J260" s="0">
        <ns0:f>IF(OR(A260=0,F260&lt;&gt;"OK",Bookings!G260="Cancelled",$B$6&gt;0),0,IF('_Dates'!AC260=1,MAX(0,COUNTIFS(rngEngine_B,B260,rngAMStart,"&lt;="&amp;'_Dates'!X260,rngAMEnd,"&gt;="&amp;'_Dates'!W260,rngAMActive,1,rngEngine_F,"OK",rngBookings_F,"&lt;&gt;Cancelled")-1),0)+IF('_Dates'!AD260=1,MAX(0,COUNTIFS(rngEngine_B,B260,rngPMStart,"&lt;="&amp;'_Dates'!Z260,rngPMEnd,"&gt;="&amp;'_Dates'!Y260,rngPMActive,1,rngEngine_F,"OK",rngBookings_F,"&lt;&gt;Cancelled")-1),0))</ns0:f>
        <ns0:v>0</ns0:v>
      </ns0:c>
      <ns0:c r="K260" s="0" t="str">
        <ns0:f>IF(A260=0,"",IF(F260&lt;&gt;"OK",F260,IF(J260&gt;0,"CHECK overlapping entry",IF(AND($B$6=0,G260&lt;=0,Bookings!G260&lt;&gt;"Cancelled"),"CHECK no working days",IF(Bookings!G260="Cancelled","Cancelled","OK")))))</ns0:f>
        <ns0:v/>
      </ns0:c>
      <ns0:c r="L260" s="0">
        <ns0:f>IF(LEFT(K260,5)="CHECK",1,0)</ns0:f>
        <ns0:v>0</ns0:v>
      </ns0:c>
      <ns0:c r="M260" s="0">
        <ns0:f>IF(AND(L260=1,OR(C260=0,IFERROR(INDEX($X$11:$X$60,C260),0)=0)),1,0)</ns0:f>
        <ns0:v>0</ns0:v>
      </ns0:c>
      <ns0:c r="N260" s="0">
        <ns0:f>IF(OR(A260=0,L260&gt;0,$B$6&gt;0,Bookings!G260="Cancelled"),0,G260)</ns0:f>
        <ns0:v>0</ns0:v>
      </ns0:c>
      <ns0:c r="O260" s="0">
        <ns0:f>IF(AND(Bookings!G260="Approved",E260="Yes"),N260,0)</ns0:f>
        <ns0:v>0</ns0:v>
      </ns0:c>
      <ns0:c r="P260" s="0">
        <ns0:f>IF(AND(Bookings!G260="Approved",E260="Yes",L260=0,$B$6=0),H260,0)</ns0:f>
        <ns0:v>0</ns0:v>
      </ns0:c>
      <ns0:c r="Q260" s="0">
        <ns0:f>IF(AND(Bookings!G260="Approved",E260="Yes",L260=0,$B$6=0),I260,0)</ns0:f>
        <ns0:v>0</ns0:v>
      </ns0:c>
      <ns0:c r="R260" s="0">
        <ns0:f>IF(AND(Bookings!G260="Pending",E260="Yes"),N260,0)</ns0:f>
        <ns0:v>0</ns0:v>
      </ns0:c>
      <ns0:c r="S260" s="0">
        <ns0:f>IF(AND(Bookings!G260="Approved",E260="No"),N260,0)</ns0:f>
        <ns0:v>0</ns0:v>
      </ns0:c>
      <ns0:c r="T260" s="0">
        <ns0:f>IFERROR(MATCH(D260,Settings!$G$7:$G$11,0),0)</ns0:f>
        <ns0:v>0</ns0:v>
      </ns0:c>
      <ns0:c r="U260" s="0">
        <ns0:f>IF(N260&gt;0,T260+IF(Bookings!G260="Pending",10,0),0)</ns0:f>
        <ns0:v>0</ns0:v>
      </ns0:c>
      <ns0:c r="V260" s="0">
        <ns0:f>U260</ns0:f>
        <ns0:v>0</ns0:v>
      </ns0:c>
      <ns0:c r="W260" s="0" t="str">
        <ns0:f>IF(C260=0,"",INDEX($AP$11:$AP$60,C260))</ns0:f>
        <ns0:v/>
      </ns0:c>
    </ns0:row>
    <ns0:row r="261">
      <ns0:c r="A261" s="0">
        <ns0:f>IF(COUNTA(Bookings!A261:G261,Bookings!I261)=0,0,1)</ns0:f>
        <ns0:v>0</ns0:v>
      </ns0:c>
      <ns0:c r="B261" s="0" t="str">
        <ns0:f>IFERROR(TRIM(MID(Bookings!A261,FIND(" · ",Bookings!A261)+3,99)),"")</ns0:f>
        <ns0:v/>
      </ns0:c>
      <ns0:c r="C261" s="0">
        <ns0:f>IF(OR(B261="",LEN(B261)&gt;24,ISNUMBER(FIND(" ",B261)),ISNUMBER(FIND("*",B261)),ISNUMBER(FIND("?",B261)),ISNUMBER(FIND("~",B261))),0,IFERROR(MATCH(B261,Team!$A$11:$A$60,0),0))</ns0:f>
        <ns0:v>0</ns0:v>
      </ns0:c>
      <ns0:c r="D261" s="0" t="str">
        <ns0:f>IFERROR(IF(MID(Bookings!F261,LEN(Bookings!F261)-3,3)=" · ",RIGHT(Bookings!F261,1),""),"")</ns0:f>
        <ns0:v/>
      </ns0:c>
      <ns0:c r="E261" s="0" t="str">
        <ns0:f>IFERROR(INDEX(Settings!$H$7:$H$11,MATCH(D261,Settings!$G$7:$G$11,0)),"")</ns0:f>
        <ns0:v/>
      </ns0:c>
      <ns0:c r="F261" s="0" t="str">
        <ns0:f>IF(A261=0,"",IFERROR(IF(OR(B261="",C261=0),"CHECK employee selection",IF(INDEX(Team!$O$11:$O$60,C261)&lt;&gt;"OK","CHECK employee setup",IF(OR('_Dates'!J261=0,'_Dates'!T261=0),"CHECK date: use DD.MM.YYYY",IF('_Dates'!T261&lt;'_Dates'!J261,"CHECK end before start",IF(AND($B$6=0,OR('_Dates'!J261&lt;Settings!$B$7,'_Dates'!T261&gt;Settings!$B$8)),"CHECK split across leave years",IF(OR(NOT(OR('_Dates'!U261="Full day",'_Dates'!U261="AM",'_Dates'!U261="PM")),NOT(OR('_Dates'!V261="Full day",'_Dates'!V261="AM",'_Dates'!V261="PM"))),"CHECK Full day / AM / PM",IF(AND('_Dates'!J261='_Dates'!T261,'_Dates'!U261&lt;&gt;"Full day",'_Dates'!V261&lt;&gt;"Full day",'_Dates'!U261&lt;&gt;'_Dates'!V261),"CHECK same-day portions disagree",IF(AND($B$6=0,OR(AND('_Dates'!U261&lt;&gt;"Full day",'_Dates'!AA261=0),AND('_Dates'!V261&lt;&gt;"Full day",'_Dates'!AB261=0))),"CHECK half-day on non-working date",IF(COUNTIF(Settings!$G$7:$G$11,D261)&lt;&gt;1,"CHECK leave type",IF(AND(Bookings!G261&lt;&gt;"Approved",Bookings!G261&lt;&gt;"Pending",Bookings!G261&lt;&gt;"Cancelled"),"CHECK status","OK")))))))))),"CHECK input"))</ns0:f>
        <ns0:v/>
      </ns0:c>
      <ns0:c r="G261" s="0">
        <ns0:f>IF(OR(F261&lt;&gt;"OK",$B$6&gt;0),0,0.5*(IF(('_Dates'!X261)&lt;('_Dates'!W261),0,INT((('_Dates'!X261)-('_Dates'!W261)+1)/7)*LEN(SUBSTITUTE(W261,"O",""))+LEN(SUBSTITUTE(MID(W261&amp;W261,WEEKDAY(('_Dates'!W261),2),MOD((('_Dates'!X261)-('_Dates'!W261)+1),7)),"O",""))-COUNTIFS(INDEX(AllClosureRows,C261,0),"&gt;="&amp;('_Dates'!W261),INDEX(AllClosureRows,C261,0),"&lt;="&amp;('_Dates'!X261)))+IF(('_Dates'!Z261)&lt;('_Dates'!Y261),0,INT((('_Dates'!Z261)-('_Dates'!Y261)+1)/7)*LEN(SUBSTITUTE(W261,"O",""))+LEN(SUBSTITUTE(MID(W261&amp;W261,WEEKDAY(('_Dates'!Y261),2),MOD((('_Dates'!Z261)-('_Dates'!Y261)+1),7)),"O",""))-COUNTIFS(INDEX(AllClosureRows,C261,0),"&gt;="&amp;('_Dates'!Y261),INDEX(AllClosureRows,C261,0),"&lt;="&amp;('_Dates'!Z261)))))</ns0:f>
        <ns0:v>0</ns0:v>
      </ns0:c>
      <ns0:c r="H261" s="0">
        <ns0:f>IF(OR(F261&lt;&gt;"OK",$B$6&gt;0),0,0.5*(IF((MIN('_Dates'!X261,Settings!$B$9))&lt;('_Dates'!W261),0,INT(((MIN('_Dates'!X261,Settings!$B$9))-('_Dates'!W261)+1)/7)*LEN(SUBSTITUTE(W261,"O",""))+LEN(SUBSTITUTE(MID(W261&amp;W261,WEEKDAY(('_Dates'!W261),2),MOD(((MIN('_Dates'!X261,Settings!$B$9))-('_Dates'!W261)+1),7)),"O",""))-COUNTIFS(INDEX(AllClosureRows,C261,0),"&gt;="&amp;('_Dates'!W261),INDEX(AllClosureRows,C261,0),"&lt;="&amp;(MIN('_Dates'!X261,Settings!$B$9))))+IF((MIN('_Dates'!Z261,Settings!$B$9))&lt;('_Dates'!Y261),0,INT(((MIN('_Dates'!Z261,Settings!$B$9))-('_Dates'!Y261)+1)/7)*LEN(SUBSTITUTE(W261,"O",""))+LEN(SUBSTITUTE(MID(W261&amp;W261,WEEKDAY(('_Dates'!Y261),2),MOD(((MIN('_Dates'!Z261,Settings!$B$9))-('_Dates'!Y261)+1),7)),"O",""))-COUNTIFS(INDEX(AllClosureRows,C261,0),"&gt;="&amp;('_Dates'!Y261),INDEX(AllClosureRows,C261,0),"&lt;="&amp;(MIN('_Dates'!Z261,Settings!$B$9))))))</ns0:f>
        <ns0:v>0</ns0:v>
      </ns0:c>
      <ns0:c r="I261" s="0">
        <ns0:f>MAX(0,G261-H261)</ns0:f>
        <ns0:v>0</ns0:v>
      </ns0:c>
      <ns0:c r="J261" s="0">
        <ns0:f>IF(OR(A261=0,F261&lt;&gt;"OK",Bookings!G261="Cancelled",$B$6&gt;0),0,IF('_Dates'!AC261=1,MAX(0,COUNTIFS(rngEngine_B,B261,rngAMStart,"&lt;="&amp;'_Dates'!X261,rngAMEnd,"&gt;="&amp;'_Dates'!W261,rngAMActive,1,rngEngine_F,"OK",rngBookings_F,"&lt;&gt;Cancelled")-1),0)+IF('_Dates'!AD261=1,MAX(0,COUNTIFS(rngEngine_B,B261,rngPMStart,"&lt;="&amp;'_Dates'!Z261,rngPMEnd,"&gt;="&amp;'_Dates'!Y261,rngPMActive,1,rngEngine_F,"OK",rngBookings_F,"&lt;&gt;Cancelled")-1),0))</ns0:f>
        <ns0:v>0</ns0:v>
      </ns0:c>
      <ns0:c r="K261" s="0" t="str">
        <ns0:f>IF(A261=0,"",IF(F261&lt;&gt;"OK",F261,IF(J261&gt;0,"CHECK overlapping entry",IF(AND($B$6=0,G261&lt;=0,Bookings!G261&lt;&gt;"Cancelled"),"CHECK no working days",IF(Bookings!G261="Cancelled","Cancelled","OK")))))</ns0:f>
        <ns0:v/>
      </ns0:c>
      <ns0:c r="L261" s="0">
        <ns0:f>IF(LEFT(K261,5)="CHECK",1,0)</ns0:f>
        <ns0:v>0</ns0:v>
      </ns0:c>
      <ns0:c r="M261" s="0">
        <ns0:f>IF(AND(L261=1,OR(C261=0,IFERROR(INDEX($X$11:$X$60,C261),0)=0)),1,0)</ns0:f>
        <ns0:v>0</ns0:v>
      </ns0:c>
      <ns0:c r="N261" s="0">
        <ns0:f>IF(OR(A261=0,L261&gt;0,$B$6&gt;0,Bookings!G261="Cancelled"),0,G261)</ns0:f>
        <ns0:v>0</ns0:v>
      </ns0:c>
      <ns0:c r="O261" s="0">
        <ns0:f>IF(AND(Bookings!G261="Approved",E261="Yes"),N261,0)</ns0:f>
        <ns0:v>0</ns0:v>
      </ns0:c>
      <ns0:c r="P261" s="0">
        <ns0:f>IF(AND(Bookings!G261="Approved",E261="Yes",L261=0,$B$6=0),H261,0)</ns0:f>
        <ns0:v>0</ns0:v>
      </ns0:c>
      <ns0:c r="Q261" s="0">
        <ns0:f>IF(AND(Bookings!G261="Approved",E261="Yes",L261=0,$B$6=0),I261,0)</ns0:f>
        <ns0:v>0</ns0:v>
      </ns0:c>
      <ns0:c r="R261" s="0">
        <ns0:f>IF(AND(Bookings!G261="Pending",E261="Yes"),N261,0)</ns0:f>
        <ns0:v>0</ns0:v>
      </ns0:c>
      <ns0:c r="S261" s="0">
        <ns0:f>IF(AND(Bookings!G261="Approved",E261="No"),N261,0)</ns0:f>
        <ns0:v>0</ns0:v>
      </ns0:c>
      <ns0:c r="T261" s="0">
        <ns0:f>IFERROR(MATCH(D261,Settings!$G$7:$G$11,0),0)</ns0:f>
        <ns0:v>0</ns0:v>
      </ns0:c>
      <ns0:c r="U261" s="0">
        <ns0:f>IF(N261&gt;0,T261+IF(Bookings!G261="Pending",10,0),0)</ns0:f>
        <ns0:v>0</ns0:v>
      </ns0:c>
      <ns0:c r="V261" s="0">
        <ns0:f>U261</ns0:f>
        <ns0:v>0</ns0:v>
      </ns0:c>
      <ns0:c r="W261" s="0" t="str">
        <ns0:f>IF(C261=0,"",INDEX($AP$11:$AP$60,C261))</ns0:f>
        <ns0:v/>
      </ns0:c>
    </ns0:row>
    <ns0:row r="262">
      <ns0:c r="A262" s="0">
        <ns0:f>IF(COUNTA(Bookings!A262:G262,Bookings!I262)=0,0,1)</ns0:f>
        <ns0:v>0</ns0:v>
      </ns0:c>
      <ns0:c r="B262" s="0" t="str">
        <ns0:f>IFERROR(TRIM(MID(Bookings!A262,FIND(" · ",Bookings!A262)+3,99)),"")</ns0:f>
        <ns0:v/>
      </ns0:c>
      <ns0:c r="C262" s="0">
        <ns0:f>IF(OR(B262="",LEN(B262)&gt;24,ISNUMBER(FIND(" ",B262)),ISNUMBER(FIND("*",B262)),ISNUMBER(FIND("?",B262)),ISNUMBER(FIND("~",B262))),0,IFERROR(MATCH(B262,Team!$A$11:$A$60,0),0))</ns0:f>
        <ns0:v>0</ns0:v>
      </ns0:c>
      <ns0:c r="D262" s="0" t="str">
        <ns0:f>IFERROR(IF(MID(Bookings!F262,LEN(Bookings!F262)-3,3)=" · ",RIGHT(Bookings!F262,1),""),"")</ns0:f>
        <ns0:v/>
      </ns0:c>
      <ns0:c r="E262" s="0" t="str">
        <ns0:f>IFERROR(INDEX(Settings!$H$7:$H$11,MATCH(D262,Settings!$G$7:$G$11,0)),"")</ns0:f>
        <ns0:v/>
      </ns0:c>
      <ns0:c r="F262" s="0" t="str">
        <ns0:f>IF(A262=0,"",IFERROR(IF(OR(B262="",C262=0),"CHECK employee selection",IF(INDEX(Team!$O$11:$O$60,C262)&lt;&gt;"OK","CHECK employee setup",IF(OR('_Dates'!J262=0,'_Dates'!T262=0),"CHECK date: use DD.MM.YYYY",IF('_Dates'!T262&lt;'_Dates'!J262,"CHECK end before start",IF(AND($B$6=0,OR('_Dates'!J262&lt;Settings!$B$7,'_Dates'!T262&gt;Settings!$B$8)),"CHECK split across leave years",IF(OR(NOT(OR('_Dates'!U262="Full day",'_Dates'!U262="AM",'_Dates'!U262="PM")),NOT(OR('_Dates'!V262="Full day",'_Dates'!V262="AM",'_Dates'!V262="PM"))),"CHECK Full day / AM / PM",IF(AND('_Dates'!J262='_Dates'!T262,'_Dates'!U262&lt;&gt;"Full day",'_Dates'!V262&lt;&gt;"Full day",'_Dates'!U262&lt;&gt;'_Dates'!V262),"CHECK same-day portions disagree",IF(AND($B$6=0,OR(AND('_Dates'!U262&lt;&gt;"Full day",'_Dates'!AA262=0),AND('_Dates'!V262&lt;&gt;"Full day",'_Dates'!AB262=0))),"CHECK half-day on non-working date",IF(COUNTIF(Settings!$G$7:$G$11,D262)&lt;&gt;1,"CHECK leave type",IF(AND(Bookings!G262&lt;&gt;"Approved",Bookings!G262&lt;&gt;"Pending",Bookings!G262&lt;&gt;"Cancelled"),"CHECK status","OK")))))))))),"CHECK input"))</ns0:f>
        <ns0:v/>
      </ns0:c>
      <ns0:c r="G262" s="0">
        <ns0:f>IF(OR(F262&lt;&gt;"OK",$B$6&gt;0),0,0.5*(IF(('_Dates'!X262)&lt;('_Dates'!W262),0,INT((('_Dates'!X262)-('_Dates'!W262)+1)/7)*LEN(SUBSTITUTE(W262,"O",""))+LEN(SUBSTITUTE(MID(W262&amp;W262,WEEKDAY(('_Dates'!W262),2),MOD((('_Dates'!X262)-('_Dates'!W262)+1),7)),"O",""))-COUNTIFS(INDEX(AllClosureRows,C262,0),"&gt;="&amp;('_Dates'!W262),INDEX(AllClosureRows,C262,0),"&lt;="&amp;('_Dates'!X262)))+IF(('_Dates'!Z262)&lt;('_Dates'!Y262),0,INT((('_Dates'!Z262)-('_Dates'!Y262)+1)/7)*LEN(SUBSTITUTE(W262,"O",""))+LEN(SUBSTITUTE(MID(W262&amp;W262,WEEKDAY(('_Dates'!Y262),2),MOD((('_Dates'!Z262)-('_Dates'!Y262)+1),7)),"O",""))-COUNTIFS(INDEX(AllClosureRows,C262,0),"&gt;="&amp;('_Dates'!Y262),INDEX(AllClosureRows,C262,0),"&lt;="&amp;('_Dates'!Z262)))))</ns0:f>
        <ns0:v>0</ns0:v>
      </ns0:c>
      <ns0:c r="H262" s="0">
        <ns0:f>IF(OR(F262&lt;&gt;"OK",$B$6&gt;0),0,0.5*(IF((MIN('_Dates'!X262,Settings!$B$9))&lt;('_Dates'!W262),0,INT(((MIN('_Dates'!X262,Settings!$B$9))-('_Dates'!W262)+1)/7)*LEN(SUBSTITUTE(W262,"O",""))+LEN(SUBSTITUTE(MID(W262&amp;W262,WEEKDAY(('_Dates'!W262),2),MOD(((MIN('_Dates'!X262,Settings!$B$9))-('_Dates'!W262)+1),7)),"O",""))-COUNTIFS(INDEX(AllClosureRows,C262,0),"&gt;="&amp;('_Dates'!W262),INDEX(AllClosureRows,C262,0),"&lt;="&amp;(MIN('_Dates'!X262,Settings!$B$9))))+IF((MIN('_Dates'!Z262,Settings!$B$9))&lt;('_Dates'!Y262),0,INT(((MIN('_Dates'!Z262,Settings!$B$9))-('_Dates'!Y262)+1)/7)*LEN(SUBSTITUTE(W262,"O",""))+LEN(SUBSTITUTE(MID(W262&amp;W262,WEEKDAY(('_Dates'!Y262),2),MOD(((MIN('_Dates'!Z262,Settings!$B$9))-('_Dates'!Y262)+1),7)),"O",""))-COUNTIFS(INDEX(AllClosureRows,C262,0),"&gt;="&amp;('_Dates'!Y262),INDEX(AllClosureRows,C262,0),"&lt;="&amp;(MIN('_Dates'!Z262,Settings!$B$9))))))</ns0:f>
        <ns0:v>0</ns0:v>
      </ns0:c>
      <ns0:c r="I262" s="0">
        <ns0:f>MAX(0,G262-H262)</ns0:f>
        <ns0:v>0</ns0:v>
      </ns0:c>
      <ns0:c r="J262" s="0">
        <ns0:f>IF(OR(A262=0,F262&lt;&gt;"OK",Bookings!G262="Cancelled",$B$6&gt;0),0,IF('_Dates'!AC262=1,MAX(0,COUNTIFS(rngEngine_B,B262,rngAMStart,"&lt;="&amp;'_Dates'!X262,rngAMEnd,"&gt;="&amp;'_Dates'!W262,rngAMActive,1,rngEngine_F,"OK",rngBookings_F,"&lt;&gt;Cancelled")-1),0)+IF('_Dates'!AD262=1,MAX(0,COUNTIFS(rngEngine_B,B262,rngPMStart,"&lt;="&amp;'_Dates'!Z262,rngPMEnd,"&gt;="&amp;'_Dates'!Y262,rngPMActive,1,rngEngine_F,"OK",rngBookings_F,"&lt;&gt;Cancelled")-1),0))</ns0:f>
        <ns0:v>0</ns0:v>
      </ns0:c>
      <ns0:c r="K262" s="0" t="str">
        <ns0:f>IF(A262=0,"",IF(F262&lt;&gt;"OK",F262,IF(J262&gt;0,"CHECK overlapping entry",IF(AND($B$6=0,G262&lt;=0,Bookings!G262&lt;&gt;"Cancelled"),"CHECK no working days",IF(Bookings!G262="Cancelled","Cancelled","OK")))))</ns0:f>
        <ns0:v/>
      </ns0:c>
      <ns0:c r="L262" s="0">
        <ns0:f>IF(LEFT(K262,5)="CHECK",1,0)</ns0:f>
        <ns0:v>0</ns0:v>
      </ns0:c>
      <ns0:c r="M262" s="0">
        <ns0:f>IF(AND(L262=1,OR(C262=0,IFERROR(INDEX($X$11:$X$60,C262),0)=0)),1,0)</ns0:f>
        <ns0:v>0</ns0:v>
      </ns0:c>
      <ns0:c r="N262" s="0">
        <ns0:f>IF(OR(A262=0,L262&gt;0,$B$6&gt;0,Bookings!G262="Cancelled"),0,G262)</ns0:f>
        <ns0:v>0</ns0:v>
      </ns0:c>
      <ns0:c r="O262" s="0">
        <ns0:f>IF(AND(Bookings!G262="Approved",E262="Yes"),N262,0)</ns0:f>
        <ns0:v>0</ns0:v>
      </ns0:c>
      <ns0:c r="P262" s="0">
        <ns0:f>IF(AND(Bookings!G262="Approved",E262="Yes",L262=0,$B$6=0),H262,0)</ns0:f>
        <ns0:v>0</ns0:v>
      </ns0:c>
      <ns0:c r="Q262" s="0">
        <ns0:f>IF(AND(Bookings!G262="Approved",E262="Yes",L262=0,$B$6=0),I262,0)</ns0:f>
        <ns0:v>0</ns0:v>
      </ns0:c>
      <ns0:c r="R262" s="0">
        <ns0:f>IF(AND(Bookings!G262="Pending",E262="Yes"),N262,0)</ns0:f>
        <ns0:v>0</ns0:v>
      </ns0:c>
      <ns0:c r="S262" s="0">
        <ns0:f>IF(AND(Bookings!G262="Approved",E262="No"),N262,0)</ns0:f>
        <ns0:v>0</ns0:v>
      </ns0:c>
      <ns0:c r="T262" s="0">
        <ns0:f>IFERROR(MATCH(D262,Settings!$G$7:$G$11,0),0)</ns0:f>
        <ns0:v>0</ns0:v>
      </ns0:c>
      <ns0:c r="U262" s="0">
        <ns0:f>IF(N262&gt;0,T262+IF(Bookings!G262="Pending",10,0),0)</ns0:f>
        <ns0:v>0</ns0:v>
      </ns0:c>
      <ns0:c r="V262" s="0">
        <ns0:f>U262</ns0:f>
        <ns0:v>0</ns0:v>
      </ns0:c>
      <ns0:c r="W262" s="0" t="str">
        <ns0:f>IF(C262=0,"",INDEX($AP$11:$AP$60,C262))</ns0:f>
        <ns0:v/>
      </ns0:c>
    </ns0:row>
    <ns0:row r="263">
      <ns0:c r="A263" s="0">
        <ns0:f>IF(COUNTA(Bookings!A263:G263,Bookings!I263)=0,0,1)</ns0:f>
        <ns0:v>0</ns0:v>
      </ns0:c>
      <ns0:c r="B263" s="0" t="str">
        <ns0:f>IFERROR(TRIM(MID(Bookings!A263,FIND(" · ",Bookings!A263)+3,99)),"")</ns0:f>
        <ns0:v/>
      </ns0:c>
      <ns0:c r="C263" s="0">
        <ns0:f>IF(OR(B263="",LEN(B263)&gt;24,ISNUMBER(FIND(" ",B263)),ISNUMBER(FIND("*",B263)),ISNUMBER(FIND("?",B263)),ISNUMBER(FIND("~",B263))),0,IFERROR(MATCH(B263,Team!$A$11:$A$60,0),0))</ns0:f>
        <ns0:v>0</ns0:v>
      </ns0:c>
      <ns0:c r="D263" s="0" t="str">
        <ns0:f>IFERROR(IF(MID(Bookings!F263,LEN(Bookings!F263)-3,3)=" · ",RIGHT(Bookings!F263,1),""),"")</ns0:f>
        <ns0:v/>
      </ns0:c>
      <ns0:c r="E263" s="0" t="str">
        <ns0:f>IFERROR(INDEX(Settings!$H$7:$H$11,MATCH(D263,Settings!$G$7:$G$11,0)),"")</ns0:f>
        <ns0:v/>
      </ns0:c>
      <ns0:c r="F263" s="0" t="str">
        <ns0:f>IF(A263=0,"",IFERROR(IF(OR(B263="",C263=0),"CHECK employee selection",IF(INDEX(Team!$O$11:$O$60,C263)&lt;&gt;"OK","CHECK employee setup",IF(OR('_Dates'!J263=0,'_Dates'!T263=0),"CHECK date: use DD.MM.YYYY",IF('_Dates'!T263&lt;'_Dates'!J263,"CHECK end before start",IF(AND($B$6=0,OR('_Dates'!J263&lt;Settings!$B$7,'_Dates'!T263&gt;Settings!$B$8)),"CHECK split across leave years",IF(OR(NOT(OR('_Dates'!U263="Full day",'_Dates'!U263="AM",'_Dates'!U263="PM")),NOT(OR('_Dates'!V263="Full day",'_Dates'!V263="AM",'_Dates'!V263="PM"))),"CHECK Full day / AM / PM",IF(AND('_Dates'!J263='_Dates'!T263,'_Dates'!U263&lt;&gt;"Full day",'_Dates'!V263&lt;&gt;"Full day",'_Dates'!U263&lt;&gt;'_Dates'!V263),"CHECK same-day portions disagree",IF(AND($B$6=0,OR(AND('_Dates'!U263&lt;&gt;"Full day",'_Dates'!AA263=0),AND('_Dates'!V263&lt;&gt;"Full day",'_Dates'!AB263=0))),"CHECK half-day on non-working date",IF(COUNTIF(Settings!$G$7:$G$11,D263)&lt;&gt;1,"CHECK leave type",IF(AND(Bookings!G263&lt;&gt;"Approved",Bookings!G263&lt;&gt;"Pending",Bookings!G263&lt;&gt;"Cancelled"),"CHECK status","OK")))))))))),"CHECK input"))</ns0:f>
        <ns0:v/>
      </ns0:c>
      <ns0:c r="G263" s="0">
        <ns0:f>IF(OR(F263&lt;&gt;"OK",$B$6&gt;0),0,0.5*(IF(('_Dates'!X263)&lt;('_Dates'!W263),0,INT((('_Dates'!X263)-('_Dates'!W263)+1)/7)*LEN(SUBSTITUTE(W263,"O",""))+LEN(SUBSTITUTE(MID(W263&amp;W263,WEEKDAY(('_Dates'!W263),2),MOD((('_Dates'!X263)-('_Dates'!W263)+1),7)),"O",""))-COUNTIFS(INDEX(AllClosureRows,C263,0),"&gt;="&amp;('_Dates'!W263),INDEX(AllClosureRows,C263,0),"&lt;="&amp;('_Dates'!X263)))+IF(('_Dates'!Z263)&lt;('_Dates'!Y263),0,INT((('_Dates'!Z263)-('_Dates'!Y263)+1)/7)*LEN(SUBSTITUTE(W263,"O",""))+LEN(SUBSTITUTE(MID(W263&amp;W263,WEEKDAY(('_Dates'!Y263),2),MOD((('_Dates'!Z263)-('_Dates'!Y263)+1),7)),"O",""))-COUNTIFS(INDEX(AllClosureRows,C263,0),"&gt;="&amp;('_Dates'!Y263),INDEX(AllClosureRows,C263,0),"&lt;="&amp;('_Dates'!Z263)))))</ns0:f>
        <ns0:v>0</ns0:v>
      </ns0:c>
      <ns0:c r="H263" s="0">
        <ns0:f>IF(OR(F263&lt;&gt;"OK",$B$6&gt;0),0,0.5*(IF((MIN('_Dates'!X263,Settings!$B$9))&lt;('_Dates'!W263),0,INT(((MIN('_Dates'!X263,Settings!$B$9))-('_Dates'!W263)+1)/7)*LEN(SUBSTITUTE(W263,"O",""))+LEN(SUBSTITUTE(MID(W263&amp;W263,WEEKDAY(('_Dates'!W263),2),MOD(((MIN('_Dates'!X263,Settings!$B$9))-('_Dates'!W263)+1),7)),"O",""))-COUNTIFS(INDEX(AllClosureRows,C263,0),"&gt;="&amp;('_Dates'!W263),INDEX(AllClosureRows,C263,0),"&lt;="&amp;(MIN('_Dates'!X263,Settings!$B$9))))+IF((MIN('_Dates'!Z263,Settings!$B$9))&lt;('_Dates'!Y263),0,INT(((MIN('_Dates'!Z263,Settings!$B$9))-('_Dates'!Y263)+1)/7)*LEN(SUBSTITUTE(W263,"O",""))+LEN(SUBSTITUTE(MID(W263&amp;W263,WEEKDAY(('_Dates'!Y263),2),MOD(((MIN('_Dates'!Z263,Settings!$B$9))-('_Dates'!Y263)+1),7)),"O",""))-COUNTIFS(INDEX(AllClosureRows,C263,0),"&gt;="&amp;('_Dates'!Y263),INDEX(AllClosureRows,C263,0),"&lt;="&amp;(MIN('_Dates'!Z263,Settings!$B$9))))))</ns0:f>
        <ns0:v>0</ns0:v>
      </ns0:c>
      <ns0:c r="I263" s="0">
        <ns0:f>MAX(0,G263-H263)</ns0:f>
        <ns0:v>0</ns0:v>
      </ns0:c>
      <ns0:c r="J263" s="0">
        <ns0:f>IF(OR(A263=0,F263&lt;&gt;"OK",Bookings!G263="Cancelled",$B$6&gt;0),0,IF('_Dates'!AC263=1,MAX(0,COUNTIFS(rngEngine_B,B263,rngAMStart,"&lt;="&amp;'_Dates'!X263,rngAMEnd,"&gt;="&amp;'_Dates'!W263,rngAMActive,1,rngEngine_F,"OK",rngBookings_F,"&lt;&gt;Cancelled")-1),0)+IF('_Dates'!AD263=1,MAX(0,COUNTIFS(rngEngine_B,B263,rngPMStart,"&lt;="&amp;'_Dates'!Z263,rngPMEnd,"&gt;="&amp;'_Dates'!Y263,rngPMActive,1,rngEngine_F,"OK",rngBookings_F,"&lt;&gt;Cancelled")-1),0))</ns0:f>
        <ns0:v>0</ns0:v>
      </ns0:c>
      <ns0:c r="K263" s="0" t="str">
        <ns0:f>IF(A263=0,"",IF(F263&lt;&gt;"OK",F263,IF(J263&gt;0,"CHECK overlapping entry",IF(AND($B$6=0,G263&lt;=0,Bookings!G263&lt;&gt;"Cancelled"),"CHECK no working days",IF(Bookings!G263="Cancelled","Cancelled","OK")))))</ns0:f>
        <ns0:v/>
      </ns0:c>
      <ns0:c r="L263" s="0">
        <ns0:f>IF(LEFT(K263,5)="CHECK",1,0)</ns0:f>
        <ns0:v>0</ns0:v>
      </ns0:c>
      <ns0:c r="M263" s="0">
        <ns0:f>IF(AND(L263=1,OR(C263=0,IFERROR(INDEX($X$11:$X$60,C263),0)=0)),1,0)</ns0:f>
        <ns0:v>0</ns0:v>
      </ns0:c>
      <ns0:c r="N263" s="0">
        <ns0:f>IF(OR(A263=0,L263&gt;0,$B$6&gt;0,Bookings!G263="Cancelled"),0,G263)</ns0:f>
        <ns0:v>0</ns0:v>
      </ns0:c>
      <ns0:c r="O263" s="0">
        <ns0:f>IF(AND(Bookings!G263="Approved",E263="Yes"),N263,0)</ns0:f>
        <ns0:v>0</ns0:v>
      </ns0:c>
      <ns0:c r="P263" s="0">
        <ns0:f>IF(AND(Bookings!G263="Approved",E263="Yes",L263=0,$B$6=0),H263,0)</ns0:f>
        <ns0:v>0</ns0:v>
      </ns0:c>
      <ns0:c r="Q263" s="0">
        <ns0:f>IF(AND(Bookings!G263="Approved",E263="Yes",L263=0,$B$6=0),I263,0)</ns0:f>
        <ns0:v>0</ns0:v>
      </ns0:c>
      <ns0:c r="R263" s="0">
        <ns0:f>IF(AND(Bookings!G263="Pending",E263="Yes"),N263,0)</ns0:f>
        <ns0:v>0</ns0:v>
      </ns0:c>
      <ns0:c r="S263" s="0">
        <ns0:f>IF(AND(Bookings!G263="Approved",E263="No"),N263,0)</ns0:f>
        <ns0:v>0</ns0:v>
      </ns0:c>
      <ns0:c r="T263" s="0">
        <ns0:f>IFERROR(MATCH(D263,Settings!$G$7:$G$11,0),0)</ns0:f>
        <ns0:v>0</ns0:v>
      </ns0:c>
      <ns0:c r="U263" s="0">
        <ns0:f>IF(N263&gt;0,T263+IF(Bookings!G263="Pending",10,0),0)</ns0:f>
        <ns0:v>0</ns0:v>
      </ns0:c>
      <ns0:c r="V263" s="0">
        <ns0:f>U263</ns0:f>
        <ns0:v>0</ns0:v>
      </ns0:c>
      <ns0:c r="W263" s="0" t="str">
        <ns0:f>IF(C263=0,"",INDEX($AP$11:$AP$60,C263))</ns0:f>
        <ns0:v/>
      </ns0:c>
    </ns0:row>
    <ns0:row r="264">
      <ns0:c r="A264" s="0">
        <ns0:f>IF(COUNTA(Bookings!A264:G264,Bookings!I264)=0,0,1)</ns0:f>
        <ns0:v>0</ns0:v>
      </ns0:c>
      <ns0:c r="B264" s="0" t="str">
        <ns0:f>IFERROR(TRIM(MID(Bookings!A264,FIND(" · ",Bookings!A264)+3,99)),"")</ns0:f>
        <ns0:v/>
      </ns0:c>
      <ns0:c r="C264" s="0">
        <ns0:f>IF(OR(B264="",LEN(B264)&gt;24,ISNUMBER(FIND(" ",B264)),ISNUMBER(FIND("*",B264)),ISNUMBER(FIND("?",B264)),ISNUMBER(FIND("~",B264))),0,IFERROR(MATCH(B264,Team!$A$11:$A$60,0),0))</ns0:f>
        <ns0:v>0</ns0:v>
      </ns0:c>
      <ns0:c r="D264" s="0" t="str">
        <ns0:f>IFERROR(IF(MID(Bookings!F264,LEN(Bookings!F264)-3,3)=" · ",RIGHT(Bookings!F264,1),""),"")</ns0:f>
        <ns0:v/>
      </ns0:c>
      <ns0:c r="E264" s="0" t="str">
        <ns0:f>IFERROR(INDEX(Settings!$H$7:$H$11,MATCH(D264,Settings!$G$7:$G$11,0)),"")</ns0:f>
        <ns0:v/>
      </ns0:c>
      <ns0:c r="F264" s="0" t="str">
        <ns0:f>IF(A264=0,"",IFERROR(IF(OR(B264="",C264=0),"CHECK employee selection",IF(INDEX(Team!$O$11:$O$60,C264)&lt;&gt;"OK","CHECK employee setup",IF(OR('_Dates'!J264=0,'_Dates'!T264=0),"CHECK date: use DD.MM.YYYY",IF('_Dates'!T264&lt;'_Dates'!J264,"CHECK end before start",IF(AND($B$6=0,OR('_Dates'!J264&lt;Settings!$B$7,'_Dates'!T264&gt;Settings!$B$8)),"CHECK split across leave years",IF(OR(NOT(OR('_Dates'!U264="Full day",'_Dates'!U264="AM",'_Dates'!U264="PM")),NOT(OR('_Dates'!V264="Full day",'_Dates'!V264="AM",'_Dates'!V264="PM"))),"CHECK Full day / AM / PM",IF(AND('_Dates'!J264='_Dates'!T264,'_Dates'!U264&lt;&gt;"Full day",'_Dates'!V264&lt;&gt;"Full day",'_Dates'!U264&lt;&gt;'_Dates'!V264),"CHECK same-day portions disagree",IF(AND($B$6=0,OR(AND('_Dates'!U264&lt;&gt;"Full day",'_Dates'!AA264=0),AND('_Dates'!V264&lt;&gt;"Full day",'_Dates'!AB264=0))),"CHECK half-day on non-working date",IF(COUNTIF(Settings!$G$7:$G$11,D264)&lt;&gt;1,"CHECK leave type",IF(AND(Bookings!G264&lt;&gt;"Approved",Bookings!G264&lt;&gt;"Pending",Bookings!G264&lt;&gt;"Cancelled"),"CHECK status","OK")))))))))),"CHECK input"))</ns0:f>
        <ns0:v/>
      </ns0:c>
      <ns0:c r="G264" s="0">
        <ns0:f>IF(OR(F264&lt;&gt;"OK",$B$6&gt;0),0,0.5*(IF(('_Dates'!X264)&lt;('_Dates'!W264),0,INT((('_Dates'!X264)-('_Dates'!W264)+1)/7)*LEN(SUBSTITUTE(W264,"O",""))+LEN(SUBSTITUTE(MID(W264&amp;W264,WEEKDAY(('_Dates'!W264),2),MOD((('_Dates'!X264)-('_Dates'!W264)+1),7)),"O",""))-COUNTIFS(INDEX(AllClosureRows,C264,0),"&gt;="&amp;('_Dates'!W264),INDEX(AllClosureRows,C264,0),"&lt;="&amp;('_Dates'!X264)))+IF(('_Dates'!Z264)&lt;('_Dates'!Y264),0,INT((('_Dates'!Z264)-('_Dates'!Y264)+1)/7)*LEN(SUBSTITUTE(W264,"O",""))+LEN(SUBSTITUTE(MID(W264&amp;W264,WEEKDAY(('_Dates'!Y264),2),MOD((('_Dates'!Z264)-('_Dates'!Y264)+1),7)),"O",""))-COUNTIFS(INDEX(AllClosureRows,C264,0),"&gt;="&amp;('_Dates'!Y264),INDEX(AllClosureRows,C264,0),"&lt;="&amp;('_Dates'!Z264)))))</ns0:f>
        <ns0:v>0</ns0:v>
      </ns0:c>
      <ns0:c r="H264" s="0">
        <ns0:f>IF(OR(F264&lt;&gt;"OK",$B$6&gt;0),0,0.5*(IF((MIN('_Dates'!X264,Settings!$B$9))&lt;('_Dates'!W264),0,INT(((MIN('_Dates'!X264,Settings!$B$9))-('_Dates'!W264)+1)/7)*LEN(SUBSTITUTE(W264,"O",""))+LEN(SUBSTITUTE(MID(W264&amp;W264,WEEKDAY(('_Dates'!W264),2),MOD(((MIN('_Dates'!X264,Settings!$B$9))-('_Dates'!W264)+1),7)),"O",""))-COUNTIFS(INDEX(AllClosureRows,C264,0),"&gt;="&amp;('_Dates'!W264),INDEX(AllClosureRows,C264,0),"&lt;="&amp;(MIN('_Dates'!X264,Settings!$B$9))))+IF((MIN('_Dates'!Z264,Settings!$B$9))&lt;('_Dates'!Y264),0,INT(((MIN('_Dates'!Z264,Settings!$B$9))-('_Dates'!Y264)+1)/7)*LEN(SUBSTITUTE(W264,"O",""))+LEN(SUBSTITUTE(MID(W264&amp;W264,WEEKDAY(('_Dates'!Y264),2),MOD(((MIN('_Dates'!Z264,Settings!$B$9))-('_Dates'!Y264)+1),7)),"O",""))-COUNTIFS(INDEX(AllClosureRows,C264,0),"&gt;="&amp;('_Dates'!Y264),INDEX(AllClosureRows,C264,0),"&lt;="&amp;(MIN('_Dates'!Z264,Settings!$B$9))))))</ns0:f>
        <ns0:v>0</ns0:v>
      </ns0:c>
      <ns0:c r="I264" s="0">
        <ns0:f>MAX(0,G264-H264)</ns0:f>
        <ns0:v>0</ns0:v>
      </ns0:c>
      <ns0:c r="J264" s="0">
        <ns0:f>IF(OR(A264=0,F264&lt;&gt;"OK",Bookings!G264="Cancelled",$B$6&gt;0),0,IF('_Dates'!AC264=1,MAX(0,COUNTIFS(rngEngine_B,B264,rngAMStart,"&lt;="&amp;'_Dates'!X264,rngAMEnd,"&gt;="&amp;'_Dates'!W264,rngAMActive,1,rngEngine_F,"OK",rngBookings_F,"&lt;&gt;Cancelled")-1),0)+IF('_Dates'!AD264=1,MAX(0,COUNTIFS(rngEngine_B,B264,rngPMStart,"&lt;="&amp;'_Dates'!Z264,rngPMEnd,"&gt;="&amp;'_Dates'!Y264,rngPMActive,1,rngEngine_F,"OK",rngBookings_F,"&lt;&gt;Cancelled")-1),0))</ns0:f>
        <ns0:v>0</ns0:v>
      </ns0:c>
      <ns0:c r="K264" s="0" t="str">
        <ns0:f>IF(A264=0,"",IF(F264&lt;&gt;"OK",F264,IF(J264&gt;0,"CHECK overlapping entry",IF(AND($B$6=0,G264&lt;=0,Bookings!G264&lt;&gt;"Cancelled"),"CHECK no working days",IF(Bookings!G264="Cancelled","Cancelled","OK")))))</ns0:f>
        <ns0:v/>
      </ns0:c>
      <ns0:c r="L264" s="0">
        <ns0:f>IF(LEFT(K264,5)="CHECK",1,0)</ns0:f>
        <ns0:v>0</ns0:v>
      </ns0:c>
      <ns0:c r="M264" s="0">
        <ns0:f>IF(AND(L264=1,OR(C264=0,IFERROR(INDEX($X$11:$X$60,C264),0)=0)),1,0)</ns0:f>
        <ns0:v>0</ns0:v>
      </ns0:c>
      <ns0:c r="N264" s="0">
        <ns0:f>IF(OR(A264=0,L264&gt;0,$B$6&gt;0,Bookings!G264="Cancelled"),0,G264)</ns0:f>
        <ns0:v>0</ns0:v>
      </ns0:c>
      <ns0:c r="O264" s="0">
        <ns0:f>IF(AND(Bookings!G264="Approved",E264="Yes"),N264,0)</ns0:f>
        <ns0:v>0</ns0:v>
      </ns0:c>
      <ns0:c r="P264" s="0">
        <ns0:f>IF(AND(Bookings!G264="Approved",E264="Yes",L264=0,$B$6=0),H264,0)</ns0:f>
        <ns0:v>0</ns0:v>
      </ns0:c>
      <ns0:c r="Q264" s="0">
        <ns0:f>IF(AND(Bookings!G264="Approved",E264="Yes",L264=0,$B$6=0),I264,0)</ns0:f>
        <ns0:v>0</ns0:v>
      </ns0:c>
      <ns0:c r="R264" s="0">
        <ns0:f>IF(AND(Bookings!G264="Pending",E264="Yes"),N264,0)</ns0:f>
        <ns0:v>0</ns0:v>
      </ns0:c>
      <ns0:c r="S264" s="0">
        <ns0:f>IF(AND(Bookings!G264="Approved",E264="No"),N264,0)</ns0:f>
        <ns0:v>0</ns0:v>
      </ns0:c>
      <ns0:c r="T264" s="0">
        <ns0:f>IFERROR(MATCH(D264,Settings!$G$7:$G$11,0),0)</ns0:f>
        <ns0:v>0</ns0:v>
      </ns0:c>
      <ns0:c r="U264" s="0">
        <ns0:f>IF(N264&gt;0,T264+IF(Bookings!G264="Pending",10,0),0)</ns0:f>
        <ns0:v>0</ns0:v>
      </ns0:c>
      <ns0:c r="V264" s="0">
        <ns0:f>U264</ns0:f>
        <ns0:v>0</ns0:v>
      </ns0:c>
      <ns0:c r="W264" s="0" t="str">
        <ns0:f>IF(C264=0,"",INDEX($AP$11:$AP$60,C264))</ns0:f>
        <ns0:v/>
      </ns0:c>
    </ns0:row>
    <ns0:row r="265">
      <ns0:c r="A265" s="0">
        <ns0:f>IF(COUNTA(Bookings!A265:G265,Bookings!I265)=0,0,1)</ns0:f>
        <ns0:v>0</ns0:v>
      </ns0:c>
      <ns0:c r="B265" s="0" t="str">
        <ns0:f>IFERROR(TRIM(MID(Bookings!A265,FIND(" · ",Bookings!A265)+3,99)),"")</ns0:f>
        <ns0:v/>
      </ns0:c>
      <ns0:c r="C265" s="0">
        <ns0:f>IF(OR(B265="",LEN(B265)&gt;24,ISNUMBER(FIND(" ",B265)),ISNUMBER(FIND("*",B265)),ISNUMBER(FIND("?",B265)),ISNUMBER(FIND("~",B265))),0,IFERROR(MATCH(B265,Team!$A$11:$A$60,0),0))</ns0:f>
        <ns0:v>0</ns0:v>
      </ns0:c>
      <ns0:c r="D265" s="0" t="str">
        <ns0:f>IFERROR(IF(MID(Bookings!F265,LEN(Bookings!F265)-3,3)=" · ",RIGHT(Bookings!F265,1),""),"")</ns0:f>
        <ns0:v/>
      </ns0:c>
      <ns0:c r="E265" s="0" t="str">
        <ns0:f>IFERROR(INDEX(Settings!$H$7:$H$11,MATCH(D265,Settings!$G$7:$G$11,0)),"")</ns0:f>
        <ns0:v/>
      </ns0:c>
      <ns0:c r="F265" s="0" t="str">
        <ns0:f>IF(A265=0,"",IFERROR(IF(OR(B265="",C265=0),"CHECK employee selection",IF(INDEX(Team!$O$11:$O$60,C265)&lt;&gt;"OK","CHECK employee setup",IF(OR('_Dates'!J265=0,'_Dates'!T265=0),"CHECK date: use DD.MM.YYYY",IF('_Dates'!T265&lt;'_Dates'!J265,"CHECK end before start",IF(AND($B$6=0,OR('_Dates'!J265&lt;Settings!$B$7,'_Dates'!T265&gt;Settings!$B$8)),"CHECK split across leave years",IF(OR(NOT(OR('_Dates'!U265="Full day",'_Dates'!U265="AM",'_Dates'!U265="PM")),NOT(OR('_Dates'!V265="Full day",'_Dates'!V265="AM",'_Dates'!V265="PM"))),"CHECK Full day / AM / PM",IF(AND('_Dates'!J265='_Dates'!T265,'_Dates'!U265&lt;&gt;"Full day",'_Dates'!V265&lt;&gt;"Full day",'_Dates'!U265&lt;&gt;'_Dates'!V265),"CHECK same-day portions disagree",IF(AND($B$6=0,OR(AND('_Dates'!U265&lt;&gt;"Full day",'_Dates'!AA265=0),AND('_Dates'!V265&lt;&gt;"Full day",'_Dates'!AB265=0))),"CHECK half-day on non-working date",IF(COUNTIF(Settings!$G$7:$G$11,D265)&lt;&gt;1,"CHECK leave type",IF(AND(Bookings!G265&lt;&gt;"Approved",Bookings!G265&lt;&gt;"Pending",Bookings!G265&lt;&gt;"Cancelled"),"CHECK status","OK")))))))))),"CHECK input"))</ns0:f>
        <ns0:v/>
      </ns0:c>
      <ns0:c r="G265" s="0">
        <ns0:f>IF(OR(F265&lt;&gt;"OK",$B$6&gt;0),0,0.5*(IF(('_Dates'!X265)&lt;('_Dates'!W265),0,INT((('_Dates'!X265)-('_Dates'!W265)+1)/7)*LEN(SUBSTITUTE(W265,"O",""))+LEN(SUBSTITUTE(MID(W265&amp;W265,WEEKDAY(('_Dates'!W265),2),MOD((('_Dates'!X265)-('_Dates'!W265)+1),7)),"O",""))-COUNTIFS(INDEX(AllClosureRows,C265,0),"&gt;="&amp;('_Dates'!W265),INDEX(AllClosureRows,C265,0),"&lt;="&amp;('_Dates'!X265)))+IF(('_Dates'!Z265)&lt;('_Dates'!Y265),0,INT((('_Dates'!Z265)-('_Dates'!Y265)+1)/7)*LEN(SUBSTITUTE(W265,"O",""))+LEN(SUBSTITUTE(MID(W265&amp;W265,WEEKDAY(('_Dates'!Y265),2),MOD((('_Dates'!Z265)-('_Dates'!Y265)+1),7)),"O",""))-COUNTIFS(INDEX(AllClosureRows,C265,0),"&gt;="&amp;('_Dates'!Y265),INDEX(AllClosureRows,C265,0),"&lt;="&amp;('_Dates'!Z265)))))</ns0:f>
        <ns0:v>0</ns0:v>
      </ns0:c>
      <ns0:c r="H265" s="0">
        <ns0:f>IF(OR(F265&lt;&gt;"OK",$B$6&gt;0),0,0.5*(IF((MIN('_Dates'!X265,Settings!$B$9))&lt;('_Dates'!W265),0,INT(((MIN('_Dates'!X265,Settings!$B$9))-('_Dates'!W265)+1)/7)*LEN(SUBSTITUTE(W265,"O",""))+LEN(SUBSTITUTE(MID(W265&amp;W265,WEEKDAY(('_Dates'!W265),2),MOD(((MIN('_Dates'!X265,Settings!$B$9))-('_Dates'!W265)+1),7)),"O",""))-COUNTIFS(INDEX(AllClosureRows,C265,0),"&gt;="&amp;('_Dates'!W265),INDEX(AllClosureRows,C265,0),"&lt;="&amp;(MIN('_Dates'!X265,Settings!$B$9))))+IF((MIN('_Dates'!Z265,Settings!$B$9))&lt;('_Dates'!Y265),0,INT(((MIN('_Dates'!Z265,Settings!$B$9))-('_Dates'!Y265)+1)/7)*LEN(SUBSTITUTE(W265,"O",""))+LEN(SUBSTITUTE(MID(W265&amp;W265,WEEKDAY(('_Dates'!Y265),2),MOD(((MIN('_Dates'!Z265,Settings!$B$9))-('_Dates'!Y265)+1),7)),"O",""))-COUNTIFS(INDEX(AllClosureRows,C265,0),"&gt;="&amp;('_Dates'!Y265),INDEX(AllClosureRows,C265,0),"&lt;="&amp;(MIN('_Dates'!Z265,Settings!$B$9))))))</ns0:f>
        <ns0:v>0</ns0:v>
      </ns0:c>
      <ns0:c r="I265" s="0">
        <ns0:f>MAX(0,G265-H265)</ns0:f>
        <ns0:v>0</ns0:v>
      </ns0:c>
      <ns0:c r="J265" s="0">
        <ns0:f>IF(OR(A265=0,F265&lt;&gt;"OK",Bookings!G265="Cancelled",$B$6&gt;0),0,IF('_Dates'!AC265=1,MAX(0,COUNTIFS(rngEngine_B,B265,rngAMStart,"&lt;="&amp;'_Dates'!X265,rngAMEnd,"&gt;="&amp;'_Dates'!W265,rngAMActive,1,rngEngine_F,"OK",rngBookings_F,"&lt;&gt;Cancelled")-1),0)+IF('_Dates'!AD265=1,MAX(0,COUNTIFS(rngEngine_B,B265,rngPMStart,"&lt;="&amp;'_Dates'!Z265,rngPMEnd,"&gt;="&amp;'_Dates'!Y265,rngPMActive,1,rngEngine_F,"OK",rngBookings_F,"&lt;&gt;Cancelled")-1),0))</ns0:f>
        <ns0:v>0</ns0:v>
      </ns0:c>
      <ns0:c r="K265" s="0" t="str">
        <ns0:f>IF(A265=0,"",IF(F265&lt;&gt;"OK",F265,IF(J265&gt;0,"CHECK overlapping entry",IF(AND($B$6=0,G265&lt;=0,Bookings!G265&lt;&gt;"Cancelled"),"CHECK no working days",IF(Bookings!G265="Cancelled","Cancelled","OK")))))</ns0:f>
        <ns0:v/>
      </ns0:c>
      <ns0:c r="L265" s="0">
        <ns0:f>IF(LEFT(K265,5)="CHECK",1,0)</ns0:f>
        <ns0:v>0</ns0:v>
      </ns0:c>
      <ns0:c r="M265" s="0">
        <ns0:f>IF(AND(L265=1,OR(C265=0,IFERROR(INDEX($X$11:$X$60,C265),0)=0)),1,0)</ns0:f>
        <ns0:v>0</ns0:v>
      </ns0:c>
      <ns0:c r="N265" s="0">
        <ns0:f>IF(OR(A265=0,L265&gt;0,$B$6&gt;0,Bookings!G265="Cancelled"),0,G265)</ns0:f>
        <ns0:v>0</ns0:v>
      </ns0:c>
      <ns0:c r="O265" s="0">
        <ns0:f>IF(AND(Bookings!G265="Approved",E265="Yes"),N265,0)</ns0:f>
        <ns0:v>0</ns0:v>
      </ns0:c>
      <ns0:c r="P265" s="0">
        <ns0:f>IF(AND(Bookings!G265="Approved",E265="Yes",L265=0,$B$6=0),H265,0)</ns0:f>
        <ns0:v>0</ns0:v>
      </ns0:c>
      <ns0:c r="Q265" s="0">
        <ns0:f>IF(AND(Bookings!G265="Approved",E265="Yes",L265=0,$B$6=0),I265,0)</ns0:f>
        <ns0:v>0</ns0:v>
      </ns0:c>
      <ns0:c r="R265" s="0">
        <ns0:f>IF(AND(Bookings!G265="Pending",E265="Yes"),N265,0)</ns0:f>
        <ns0:v>0</ns0:v>
      </ns0:c>
      <ns0:c r="S265" s="0">
        <ns0:f>IF(AND(Bookings!G265="Approved",E265="No"),N265,0)</ns0:f>
        <ns0:v>0</ns0:v>
      </ns0:c>
      <ns0:c r="T265" s="0">
        <ns0:f>IFERROR(MATCH(D265,Settings!$G$7:$G$11,0),0)</ns0:f>
        <ns0:v>0</ns0:v>
      </ns0:c>
      <ns0:c r="U265" s="0">
        <ns0:f>IF(N265&gt;0,T265+IF(Bookings!G265="Pending",10,0),0)</ns0:f>
        <ns0:v>0</ns0:v>
      </ns0:c>
      <ns0:c r="V265" s="0">
        <ns0:f>U265</ns0:f>
        <ns0:v>0</ns0:v>
      </ns0:c>
      <ns0:c r="W265" s="0" t="str">
        <ns0:f>IF(C265=0,"",INDEX($AP$11:$AP$60,C265))</ns0:f>
        <ns0:v/>
      </ns0:c>
    </ns0:row>
    <ns0:row r="266">
      <ns0:c r="A266" s="0">
        <ns0:f>IF(COUNTA(Bookings!A266:G266,Bookings!I266)=0,0,1)</ns0:f>
        <ns0:v>0</ns0:v>
      </ns0:c>
      <ns0:c r="B266" s="0" t="str">
        <ns0:f>IFERROR(TRIM(MID(Bookings!A266,FIND(" · ",Bookings!A266)+3,99)),"")</ns0:f>
        <ns0:v/>
      </ns0:c>
      <ns0:c r="C266" s="0">
        <ns0:f>IF(OR(B266="",LEN(B266)&gt;24,ISNUMBER(FIND(" ",B266)),ISNUMBER(FIND("*",B266)),ISNUMBER(FIND("?",B266)),ISNUMBER(FIND("~",B266))),0,IFERROR(MATCH(B266,Team!$A$11:$A$60,0),0))</ns0:f>
        <ns0:v>0</ns0:v>
      </ns0:c>
      <ns0:c r="D266" s="0" t="str">
        <ns0:f>IFERROR(IF(MID(Bookings!F266,LEN(Bookings!F266)-3,3)=" · ",RIGHT(Bookings!F266,1),""),"")</ns0:f>
        <ns0:v/>
      </ns0:c>
      <ns0:c r="E266" s="0" t="str">
        <ns0:f>IFERROR(INDEX(Settings!$H$7:$H$11,MATCH(D266,Settings!$G$7:$G$11,0)),"")</ns0:f>
        <ns0:v/>
      </ns0:c>
      <ns0:c r="F266" s="0" t="str">
        <ns0:f>IF(A266=0,"",IFERROR(IF(OR(B266="",C266=0),"CHECK employee selection",IF(INDEX(Team!$O$11:$O$60,C266)&lt;&gt;"OK","CHECK employee setup",IF(OR('_Dates'!J266=0,'_Dates'!T266=0),"CHECK date: use DD.MM.YYYY",IF('_Dates'!T266&lt;'_Dates'!J266,"CHECK end before start",IF(AND($B$6=0,OR('_Dates'!J266&lt;Settings!$B$7,'_Dates'!T266&gt;Settings!$B$8)),"CHECK split across leave years",IF(OR(NOT(OR('_Dates'!U266="Full day",'_Dates'!U266="AM",'_Dates'!U266="PM")),NOT(OR('_Dates'!V266="Full day",'_Dates'!V266="AM",'_Dates'!V266="PM"))),"CHECK Full day / AM / PM",IF(AND('_Dates'!J266='_Dates'!T266,'_Dates'!U266&lt;&gt;"Full day",'_Dates'!V266&lt;&gt;"Full day",'_Dates'!U266&lt;&gt;'_Dates'!V266),"CHECK same-day portions disagree",IF(AND($B$6=0,OR(AND('_Dates'!U266&lt;&gt;"Full day",'_Dates'!AA266=0),AND('_Dates'!V266&lt;&gt;"Full day",'_Dates'!AB266=0))),"CHECK half-day on non-working date",IF(COUNTIF(Settings!$G$7:$G$11,D266)&lt;&gt;1,"CHECK leave type",IF(AND(Bookings!G266&lt;&gt;"Approved",Bookings!G266&lt;&gt;"Pending",Bookings!G266&lt;&gt;"Cancelled"),"CHECK status","OK")))))))))),"CHECK input"))</ns0:f>
        <ns0:v/>
      </ns0:c>
      <ns0:c r="G266" s="0">
        <ns0:f>IF(OR(F266&lt;&gt;"OK",$B$6&gt;0),0,0.5*(IF(('_Dates'!X266)&lt;('_Dates'!W266),0,INT((('_Dates'!X266)-('_Dates'!W266)+1)/7)*LEN(SUBSTITUTE(W266,"O",""))+LEN(SUBSTITUTE(MID(W266&amp;W266,WEEKDAY(('_Dates'!W266),2),MOD((('_Dates'!X266)-('_Dates'!W266)+1),7)),"O",""))-COUNTIFS(INDEX(AllClosureRows,C266,0),"&gt;="&amp;('_Dates'!W266),INDEX(AllClosureRows,C266,0),"&lt;="&amp;('_Dates'!X266)))+IF(('_Dates'!Z266)&lt;('_Dates'!Y266),0,INT((('_Dates'!Z266)-('_Dates'!Y266)+1)/7)*LEN(SUBSTITUTE(W266,"O",""))+LEN(SUBSTITUTE(MID(W266&amp;W266,WEEKDAY(('_Dates'!Y266),2),MOD((('_Dates'!Z266)-('_Dates'!Y266)+1),7)),"O",""))-COUNTIFS(INDEX(AllClosureRows,C266,0),"&gt;="&amp;('_Dates'!Y266),INDEX(AllClosureRows,C266,0),"&lt;="&amp;('_Dates'!Z266)))))</ns0:f>
        <ns0:v>0</ns0:v>
      </ns0:c>
      <ns0:c r="H266" s="0">
        <ns0:f>IF(OR(F266&lt;&gt;"OK",$B$6&gt;0),0,0.5*(IF((MIN('_Dates'!X266,Settings!$B$9))&lt;('_Dates'!W266),0,INT(((MIN('_Dates'!X266,Settings!$B$9))-('_Dates'!W266)+1)/7)*LEN(SUBSTITUTE(W266,"O",""))+LEN(SUBSTITUTE(MID(W266&amp;W266,WEEKDAY(('_Dates'!W266),2),MOD(((MIN('_Dates'!X266,Settings!$B$9))-('_Dates'!W266)+1),7)),"O",""))-COUNTIFS(INDEX(AllClosureRows,C266,0),"&gt;="&amp;('_Dates'!W266),INDEX(AllClosureRows,C266,0),"&lt;="&amp;(MIN('_Dates'!X266,Settings!$B$9))))+IF((MIN('_Dates'!Z266,Settings!$B$9))&lt;('_Dates'!Y266),0,INT(((MIN('_Dates'!Z266,Settings!$B$9))-('_Dates'!Y266)+1)/7)*LEN(SUBSTITUTE(W266,"O",""))+LEN(SUBSTITUTE(MID(W266&amp;W266,WEEKDAY(('_Dates'!Y266),2),MOD(((MIN('_Dates'!Z266,Settings!$B$9))-('_Dates'!Y266)+1),7)),"O",""))-COUNTIFS(INDEX(AllClosureRows,C266,0),"&gt;="&amp;('_Dates'!Y266),INDEX(AllClosureRows,C266,0),"&lt;="&amp;(MIN('_Dates'!Z266,Settings!$B$9))))))</ns0:f>
        <ns0:v>0</ns0:v>
      </ns0:c>
      <ns0:c r="I266" s="0">
        <ns0:f>MAX(0,G266-H266)</ns0:f>
        <ns0:v>0</ns0:v>
      </ns0:c>
      <ns0:c r="J266" s="0">
        <ns0:f>IF(OR(A266=0,F266&lt;&gt;"OK",Bookings!G266="Cancelled",$B$6&gt;0),0,IF('_Dates'!AC266=1,MAX(0,COUNTIFS(rngEngine_B,B266,rngAMStart,"&lt;="&amp;'_Dates'!X266,rngAMEnd,"&gt;="&amp;'_Dates'!W266,rngAMActive,1,rngEngine_F,"OK",rngBookings_F,"&lt;&gt;Cancelled")-1),0)+IF('_Dates'!AD266=1,MAX(0,COUNTIFS(rngEngine_B,B266,rngPMStart,"&lt;="&amp;'_Dates'!Z266,rngPMEnd,"&gt;="&amp;'_Dates'!Y266,rngPMActive,1,rngEngine_F,"OK",rngBookings_F,"&lt;&gt;Cancelled")-1),0))</ns0:f>
        <ns0:v>0</ns0:v>
      </ns0:c>
      <ns0:c r="K266" s="0" t="str">
        <ns0:f>IF(A266=0,"",IF(F266&lt;&gt;"OK",F266,IF(J266&gt;0,"CHECK overlapping entry",IF(AND($B$6=0,G266&lt;=0,Bookings!G266&lt;&gt;"Cancelled"),"CHECK no working days",IF(Bookings!G266="Cancelled","Cancelled","OK")))))</ns0:f>
        <ns0:v/>
      </ns0:c>
      <ns0:c r="L266" s="0">
        <ns0:f>IF(LEFT(K266,5)="CHECK",1,0)</ns0:f>
        <ns0:v>0</ns0:v>
      </ns0:c>
      <ns0:c r="M266" s="0">
        <ns0:f>IF(AND(L266=1,OR(C266=0,IFERROR(INDEX($X$11:$X$60,C266),0)=0)),1,0)</ns0:f>
        <ns0:v>0</ns0:v>
      </ns0:c>
      <ns0:c r="N266" s="0">
        <ns0:f>IF(OR(A266=0,L266&gt;0,$B$6&gt;0,Bookings!G266="Cancelled"),0,G266)</ns0:f>
        <ns0:v>0</ns0:v>
      </ns0:c>
      <ns0:c r="O266" s="0">
        <ns0:f>IF(AND(Bookings!G266="Approved",E266="Yes"),N266,0)</ns0:f>
        <ns0:v>0</ns0:v>
      </ns0:c>
      <ns0:c r="P266" s="0">
        <ns0:f>IF(AND(Bookings!G266="Approved",E266="Yes",L266=0,$B$6=0),H266,0)</ns0:f>
        <ns0:v>0</ns0:v>
      </ns0:c>
      <ns0:c r="Q266" s="0">
        <ns0:f>IF(AND(Bookings!G266="Approved",E266="Yes",L266=0,$B$6=0),I266,0)</ns0:f>
        <ns0:v>0</ns0:v>
      </ns0:c>
      <ns0:c r="R266" s="0">
        <ns0:f>IF(AND(Bookings!G266="Pending",E266="Yes"),N266,0)</ns0:f>
        <ns0:v>0</ns0:v>
      </ns0:c>
      <ns0:c r="S266" s="0">
        <ns0:f>IF(AND(Bookings!G266="Approved",E266="No"),N266,0)</ns0:f>
        <ns0:v>0</ns0:v>
      </ns0:c>
      <ns0:c r="T266" s="0">
        <ns0:f>IFERROR(MATCH(D266,Settings!$G$7:$G$11,0),0)</ns0:f>
        <ns0:v>0</ns0:v>
      </ns0:c>
      <ns0:c r="U266" s="0">
        <ns0:f>IF(N266&gt;0,T266+IF(Bookings!G266="Pending",10,0),0)</ns0:f>
        <ns0:v>0</ns0:v>
      </ns0:c>
      <ns0:c r="V266" s="0">
        <ns0:f>U266</ns0:f>
        <ns0:v>0</ns0:v>
      </ns0:c>
      <ns0:c r="W266" s="0" t="str">
        <ns0:f>IF(C266=0,"",INDEX($AP$11:$AP$60,C266))</ns0:f>
        <ns0:v/>
      </ns0:c>
    </ns0:row>
    <ns0:row r="267">
      <ns0:c r="A267" s="0">
        <ns0:f>IF(COUNTA(Bookings!A267:G267,Bookings!I267)=0,0,1)</ns0:f>
        <ns0:v>0</ns0:v>
      </ns0:c>
      <ns0:c r="B267" s="0" t="str">
        <ns0:f>IFERROR(TRIM(MID(Bookings!A267,FIND(" · ",Bookings!A267)+3,99)),"")</ns0:f>
        <ns0:v/>
      </ns0:c>
      <ns0:c r="C267" s="0">
        <ns0:f>IF(OR(B267="",LEN(B267)&gt;24,ISNUMBER(FIND(" ",B267)),ISNUMBER(FIND("*",B267)),ISNUMBER(FIND("?",B267)),ISNUMBER(FIND("~",B267))),0,IFERROR(MATCH(B267,Team!$A$11:$A$60,0),0))</ns0:f>
        <ns0:v>0</ns0:v>
      </ns0:c>
      <ns0:c r="D267" s="0" t="str">
        <ns0:f>IFERROR(IF(MID(Bookings!F267,LEN(Bookings!F267)-3,3)=" · ",RIGHT(Bookings!F267,1),""),"")</ns0:f>
        <ns0:v/>
      </ns0:c>
      <ns0:c r="E267" s="0" t="str">
        <ns0:f>IFERROR(INDEX(Settings!$H$7:$H$11,MATCH(D267,Settings!$G$7:$G$11,0)),"")</ns0:f>
        <ns0:v/>
      </ns0:c>
      <ns0:c r="F267" s="0" t="str">
        <ns0:f>IF(A267=0,"",IFERROR(IF(OR(B267="",C267=0),"CHECK employee selection",IF(INDEX(Team!$O$11:$O$60,C267)&lt;&gt;"OK","CHECK employee setup",IF(OR('_Dates'!J267=0,'_Dates'!T267=0),"CHECK date: use DD.MM.YYYY",IF('_Dates'!T267&lt;'_Dates'!J267,"CHECK end before start",IF(AND($B$6=0,OR('_Dates'!J267&lt;Settings!$B$7,'_Dates'!T267&gt;Settings!$B$8)),"CHECK split across leave years",IF(OR(NOT(OR('_Dates'!U267="Full day",'_Dates'!U267="AM",'_Dates'!U267="PM")),NOT(OR('_Dates'!V267="Full day",'_Dates'!V267="AM",'_Dates'!V267="PM"))),"CHECK Full day / AM / PM",IF(AND('_Dates'!J267='_Dates'!T267,'_Dates'!U267&lt;&gt;"Full day",'_Dates'!V267&lt;&gt;"Full day",'_Dates'!U267&lt;&gt;'_Dates'!V267),"CHECK same-day portions disagree",IF(AND($B$6=0,OR(AND('_Dates'!U267&lt;&gt;"Full day",'_Dates'!AA267=0),AND('_Dates'!V267&lt;&gt;"Full day",'_Dates'!AB267=0))),"CHECK half-day on non-working date",IF(COUNTIF(Settings!$G$7:$G$11,D267)&lt;&gt;1,"CHECK leave type",IF(AND(Bookings!G267&lt;&gt;"Approved",Bookings!G267&lt;&gt;"Pending",Bookings!G267&lt;&gt;"Cancelled"),"CHECK status","OK")))))))))),"CHECK input"))</ns0:f>
        <ns0:v/>
      </ns0:c>
      <ns0:c r="G267" s="0">
        <ns0:f>IF(OR(F267&lt;&gt;"OK",$B$6&gt;0),0,0.5*(IF(('_Dates'!X267)&lt;('_Dates'!W267),0,INT((('_Dates'!X267)-('_Dates'!W267)+1)/7)*LEN(SUBSTITUTE(W267,"O",""))+LEN(SUBSTITUTE(MID(W267&amp;W267,WEEKDAY(('_Dates'!W267),2),MOD((('_Dates'!X267)-('_Dates'!W267)+1),7)),"O",""))-COUNTIFS(INDEX(AllClosureRows,C267,0),"&gt;="&amp;('_Dates'!W267),INDEX(AllClosureRows,C267,0),"&lt;="&amp;('_Dates'!X267)))+IF(('_Dates'!Z267)&lt;('_Dates'!Y267),0,INT((('_Dates'!Z267)-('_Dates'!Y267)+1)/7)*LEN(SUBSTITUTE(W267,"O",""))+LEN(SUBSTITUTE(MID(W267&amp;W267,WEEKDAY(('_Dates'!Y267),2),MOD((('_Dates'!Z267)-('_Dates'!Y267)+1),7)),"O",""))-COUNTIFS(INDEX(AllClosureRows,C267,0),"&gt;="&amp;('_Dates'!Y267),INDEX(AllClosureRows,C267,0),"&lt;="&amp;('_Dates'!Z267)))))</ns0:f>
        <ns0:v>0</ns0:v>
      </ns0:c>
      <ns0:c r="H267" s="0">
        <ns0:f>IF(OR(F267&lt;&gt;"OK",$B$6&gt;0),0,0.5*(IF((MIN('_Dates'!X267,Settings!$B$9))&lt;('_Dates'!W267),0,INT(((MIN('_Dates'!X267,Settings!$B$9))-('_Dates'!W267)+1)/7)*LEN(SUBSTITUTE(W267,"O",""))+LEN(SUBSTITUTE(MID(W267&amp;W267,WEEKDAY(('_Dates'!W267),2),MOD(((MIN('_Dates'!X267,Settings!$B$9))-('_Dates'!W267)+1),7)),"O",""))-COUNTIFS(INDEX(AllClosureRows,C267,0),"&gt;="&amp;('_Dates'!W267),INDEX(AllClosureRows,C267,0),"&lt;="&amp;(MIN('_Dates'!X267,Settings!$B$9))))+IF((MIN('_Dates'!Z267,Settings!$B$9))&lt;('_Dates'!Y267),0,INT(((MIN('_Dates'!Z267,Settings!$B$9))-('_Dates'!Y267)+1)/7)*LEN(SUBSTITUTE(W267,"O",""))+LEN(SUBSTITUTE(MID(W267&amp;W267,WEEKDAY(('_Dates'!Y267),2),MOD(((MIN('_Dates'!Z267,Settings!$B$9))-('_Dates'!Y267)+1),7)),"O",""))-COUNTIFS(INDEX(AllClosureRows,C267,0),"&gt;="&amp;('_Dates'!Y267),INDEX(AllClosureRows,C267,0),"&lt;="&amp;(MIN('_Dates'!Z267,Settings!$B$9))))))</ns0:f>
        <ns0:v>0</ns0:v>
      </ns0:c>
      <ns0:c r="I267" s="0">
        <ns0:f>MAX(0,G267-H267)</ns0:f>
        <ns0:v>0</ns0:v>
      </ns0:c>
      <ns0:c r="J267" s="0">
        <ns0:f>IF(OR(A267=0,F267&lt;&gt;"OK",Bookings!G267="Cancelled",$B$6&gt;0),0,IF('_Dates'!AC267=1,MAX(0,COUNTIFS(rngEngine_B,B267,rngAMStart,"&lt;="&amp;'_Dates'!X267,rngAMEnd,"&gt;="&amp;'_Dates'!W267,rngAMActive,1,rngEngine_F,"OK",rngBookings_F,"&lt;&gt;Cancelled")-1),0)+IF('_Dates'!AD267=1,MAX(0,COUNTIFS(rngEngine_B,B267,rngPMStart,"&lt;="&amp;'_Dates'!Z267,rngPMEnd,"&gt;="&amp;'_Dates'!Y267,rngPMActive,1,rngEngine_F,"OK",rngBookings_F,"&lt;&gt;Cancelled")-1),0))</ns0:f>
        <ns0:v>0</ns0:v>
      </ns0:c>
      <ns0:c r="K267" s="0" t="str">
        <ns0:f>IF(A267=0,"",IF(F267&lt;&gt;"OK",F267,IF(J267&gt;0,"CHECK overlapping entry",IF(AND($B$6=0,G267&lt;=0,Bookings!G267&lt;&gt;"Cancelled"),"CHECK no working days",IF(Bookings!G267="Cancelled","Cancelled","OK")))))</ns0:f>
        <ns0:v/>
      </ns0:c>
      <ns0:c r="L267" s="0">
        <ns0:f>IF(LEFT(K267,5)="CHECK",1,0)</ns0:f>
        <ns0:v>0</ns0:v>
      </ns0:c>
      <ns0:c r="M267" s="0">
        <ns0:f>IF(AND(L267=1,OR(C267=0,IFERROR(INDEX($X$11:$X$60,C267),0)=0)),1,0)</ns0:f>
        <ns0:v>0</ns0:v>
      </ns0:c>
      <ns0:c r="N267" s="0">
        <ns0:f>IF(OR(A267=0,L267&gt;0,$B$6&gt;0,Bookings!G267="Cancelled"),0,G267)</ns0:f>
        <ns0:v>0</ns0:v>
      </ns0:c>
      <ns0:c r="O267" s="0">
        <ns0:f>IF(AND(Bookings!G267="Approved",E267="Yes"),N267,0)</ns0:f>
        <ns0:v>0</ns0:v>
      </ns0:c>
      <ns0:c r="P267" s="0">
        <ns0:f>IF(AND(Bookings!G267="Approved",E267="Yes",L267=0,$B$6=0),H267,0)</ns0:f>
        <ns0:v>0</ns0:v>
      </ns0:c>
      <ns0:c r="Q267" s="0">
        <ns0:f>IF(AND(Bookings!G267="Approved",E267="Yes",L267=0,$B$6=0),I267,0)</ns0:f>
        <ns0:v>0</ns0:v>
      </ns0:c>
      <ns0:c r="R267" s="0">
        <ns0:f>IF(AND(Bookings!G267="Pending",E267="Yes"),N267,0)</ns0:f>
        <ns0:v>0</ns0:v>
      </ns0:c>
      <ns0:c r="S267" s="0">
        <ns0:f>IF(AND(Bookings!G267="Approved",E267="No"),N267,0)</ns0:f>
        <ns0:v>0</ns0:v>
      </ns0:c>
      <ns0:c r="T267" s="0">
        <ns0:f>IFERROR(MATCH(D267,Settings!$G$7:$G$11,0),0)</ns0:f>
        <ns0:v>0</ns0:v>
      </ns0:c>
      <ns0:c r="U267" s="0">
        <ns0:f>IF(N267&gt;0,T267+IF(Bookings!G267="Pending",10,0),0)</ns0:f>
        <ns0:v>0</ns0:v>
      </ns0:c>
      <ns0:c r="V267" s="0">
        <ns0:f>U267</ns0:f>
        <ns0:v>0</ns0:v>
      </ns0:c>
      <ns0:c r="W267" s="0" t="str">
        <ns0:f>IF(C267=0,"",INDEX($AP$11:$AP$60,C267))</ns0:f>
        <ns0:v/>
      </ns0:c>
    </ns0:row>
    <ns0:row r="268">
      <ns0:c r="A268" s="0">
        <ns0:f>IF(COUNTA(Bookings!A268:G268,Bookings!I268)=0,0,1)</ns0:f>
        <ns0:v>0</ns0:v>
      </ns0:c>
      <ns0:c r="B268" s="0" t="str">
        <ns0:f>IFERROR(TRIM(MID(Bookings!A268,FIND(" · ",Bookings!A268)+3,99)),"")</ns0:f>
        <ns0:v/>
      </ns0:c>
      <ns0:c r="C268" s="0">
        <ns0:f>IF(OR(B268="",LEN(B268)&gt;24,ISNUMBER(FIND(" ",B268)),ISNUMBER(FIND("*",B268)),ISNUMBER(FIND("?",B268)),ISNUMBER(FIND("~",B268))),0,IFERROR(MATCH(B268,Team!$A$11:$A$60,0),0))</ns0:f>
        <ns0:v>0</ns0:v>
      </ns0:c>
      <ns0:c r="D268" s="0" t="str">
        <ns0:f>IFERROR(IF(MID(Bookings!F268,LEN(Bookings!F268)-3,3)=" · ",RIGHT(Bookings!F268,1),""),"")</ns0:f>
        <ns0:v/>
      </ns0:c>
      <ns0:c r="E268" s="0" t="str">
        <ns0:f>IFERROR(INDEX(Settings!$H$7:$H$11,MATCH(D268,Settings!$G$7:$G$11,0)),"")</ns0:f>
        <ns0:v/>
      </ns0:c>
      <ns0:c r="F268" s="0" t="str">
        <ns0:f>IF(A268=0,"",IFERROR(IF(OR(B268="",C268=0),"CHECK employee selection",IF(INDEX(Team!$O$11:$O$60,C268)&lt;&gt;"OK","CHECK employee setup",IF(OR('_Dates'!J268=0,'_Dates'!T268=0),"CHECK date: use DD.MM.YYYY",IF('_Dates'!T268&lt;'_Dates'!J268,"CHECK end before start",IF(AND($B$6=0,OR('_Dates'!J268&lt;Settings!$B$7,'_Dates'!T268&gt;Settings!$B$8)),"CHECK split across leave years",IF(OR(NOT(OR('_Dates'!U268="Full day",'_Dates'!U268="AM",'_Dates'!U268="PM")),NOT(OR('_Dates'!V268="Full day",'_Dates'!V268="AM",'_Dates'!V268="PM"))),"CHECK Full day / AM / PM",IF(AND('_Dates'!J268='_Dates'!T268,'_Dates'!U268&lt;&gt;"Full day",'_Dates'!V268&lt;&gt;"Full day",'_Dates'!U268&lt;&gt;'_Dates'!V268),"CHECK same-day portions disagree",IF(AND($B$6=0,OR(AND('_Dates'!U268&lt;&gt;"Full day",'_Dates'!AA268=0),AND('_Dates'!V268&lt;&gt;"Full day",'_Dates'!AB268=0))),"CHECK half-day on non-working date",IF(COUNTIF(Settings!$G$7:$G$11,D268)&lt;&gt;1,"CHECK leave type",IF(AND(Bookings!G268&lt;&gt;"Approved",Bookings!G268&lt;&gt;"Pending",Bookings!G268&lt;&gt;"Cancelled"),"CHECK status","OK")))))))))),"CHECK input"))</ns0:f>
        <ns0:v/>
      </ns0:c>
      <ns0:c r="G268" s="0">
        <ns0:f>IF(OR(F268&lt;&gt;"OK",$B$6&gt;0),0,0.5*(IF(('_Dates'!X268)&lt;('_Dates'!W268),0,INT((('_Dates'!X268)-('_Dates'!W268)+1)/7)*LEN(SUBSTITUTE(W268,"O",""))+LEN(SUBSTITUTE(MID(W268&amp;W268,WEEKDAY(('_Dates'!W268),2),MOD((('_Dates'!X268)-('_Dates'!W268)+1),7)),"O",""))-COUNTIFS(INDEX(AllClosureRows,C268,0),"&gt;="&amp;('_Dates'!W268),INDEX(AllClosureRows,C268,0),"&lt;="&amp;('_Dates'!X268)))+IF(('_Dates'!Z268)&lt;('_Dates'!Y268),0,INT((('_Dates'!Z268)-('_Dates'!Y268)+1)/7)*LEN(SUBSTITUTE(W268,"O",""))+LEN(SUBSTITUTE(MID(W268&amp;W268,WEEKDAY(('_Dates'!Y268),2),MOD((('_Dates'!Z268)-('_Dates'!Y268)+1),7)),"O",""))-COUNTIFS(INDEX(AllClosureRows,C268,0),"&gt;="&amp;('_Dates'!Y268),INDEX(AllClosureRows,C268,0),"&lt;="&amp;('_Dates'!Z268)))))</ns0:f>
        <ns0:v>0</ns0:v>
      </ns0:c>
      <ns0:c r="H268" s="0">
        <ns0:f>IF(OR(F268&lt;&gt;"OK",$B$6&gt;0),0,0.5*(IF((MIN('_Dates'!X268,Settings!$B$9))&lt;('_Dates'!W268),0,INT(((MIN('_Dates'!X268,Settings!$B$9))-('_Dates'!W268)+1)/7)*LEN(SUBSTITUTE(W268,"O",""))+LEN(SUBSTITUTE(MID(W268&amp;W268,WEEKDAY(('_Dates'!W268),2),MOD(((MIN('_Dates'!X268,Settings!$B$9))-('_Dates'!W268)+1),7)),"O",""))-COUNTIFS(INDEX(AllClosureRows,C268,0),"&gt;="&amp;('_Dates'!W268),INDEX(AllClosureRows,C268,0),"&lt;="&amp;(MIN('_Dates'!X268,Settings!$B$9))))+IF((MIN('_Dates'!Z268,Settings!$B$9))&lt;('_Dates'!Y268),0,INT(((MIN('_Dates'!Z268,Settings!$B$9))-('_Dates'!Y268)+1)/7)*LEN(SUBSTITUTE(W268,"O",""))+LEN(SUBSTITUTE(MID(W268&amp;W268,WEEKDAY(('_Dates'!Y268),2),MOD(((MIN('_Dates'!Z268,Settings!$B$9))-('_Dates'!Y268)+1),7)),"O",""))-COUNTIFS(INDEX(AllClosureRows,C268,0),"&gt;="&amp;('_Dates'!Y268),INDEX(AllClosureRows,C268,0),"&lt;="&amp;(MIN('_Dates'!Z268,Settings!$B$9))))))</ns0:f>
        <ns0:v>0</ns0:v>
      </ns0:c>
      <ns0:c r="I268" s="0">
        <ns0:f>MAX(0,G268-H268)</ns0:f>
        <ns0:v>0</ns0:v>
      </ns0:c>
      <ns0:c r="J268" s="0">
        <ns0:f>IF(OR(A268=0,F268&lt;&gt;"OK",Bookings!G268="Cancelled",$B$6&gt;0),0,IF('_Dates'!AC268=1,MAX(0,COUNTIFS(rngEngine_B,B268,rngAMStart,"&lt;="&amp;'_Dates'!X268,rngAMEnd,"&gt;="&amp;'_Dates'!W268,rngAMActive,1,rngEngine_F,"OK",rngBookings_F,"&lt;&gt;Cancelled")-1),0)+IF('_Dates'!AD268=1,MAX(0,COUNTIFS(rngEngine_B,B268,rngPMStart,"&lt;="&amp;'_Dates'!Z268,rngPMEnd,"&gt;="&amp;'_Dates'!Y268,rngPMActive,1,rngEngine_F,"OK",rngBookings_F,"&lt;&gt;Cancelled")-1),0))</ns0:f>
        <ns0:v>0</ns0:v>
      </ns0:c>
      <ns0:c r="K268" s="0" t="str">
        <ns0:f>IF(A268=0,"",IF(F268&lt;&gt;"OK",F268,IF(J268&gt;0,"CHECK overlapping entry",IF(AND($B$6=0,G268&lt;=0,Bookings!G268&lt;&gt;"Cancelled"),"CHECK no working days",IF(Bookings!G268="Cancelled","Cancelled","OK")))))</ns0:f>
        <ns0:v/>
      </ns0:c>
      <ns0:c r="L268" s="0">
        <ns0:f>IF(LEFT(K268,5)="CHECK",1,0)</ns0:f>
        <ns0:v>0</ns0:v>
      </ns0:c>
      <ns0:c r="M268" s="0">
        <ns0:f>IF(AND(L268=1,OR(C268=0,IFERROR(INDEX($X$11:$X$60,C268),0)=0)),1,0)</ns0:f>
        <ns0:v>0</ns0:v>
      </ns0:c>
      <ns0:c r="N268" s="0">
        <ns0:f>IF(OR(A268=0,L268&gt;0,$B$6&gt;0,Bookings!G268="Cancelled"),0,G268)</ns0:f>
        <ns0:v>0</ns0:v>
      </ns0:c>
      <ns0:c r="O268" s="0">
        <ns0:f>IF(AND(Bookings!G268="Approved",E268="Yes"),N268,0)</ns0:f>
        <ns0:v>0</ns0:v>
      </ns0:c>
      <ns0:c r="P268" s="0">
        <ns0:f>IF(AND(Bookings!G268="Approved",E268="Yes",L268=0,$B$6=0),H268,0)</ns0:f>
        <ns0:v>0</ns0:v>
      </ns0:c>
      <ns0:c r="Q268" s="0">
        <ns0:f>IF(AND(Bookings!G268="Approved",E268="Yes",L268=0,$B$6=0),I268,0)</ns0:f>
        <ns0:v>0</ns0:v>
      </ns0:c>
      <ns0:c r="R268" s="0">
        <ns0:f>IF(AND(Bookings!G268="Pending",E268="Yes"),N268,0)</ns0:f>
        <ns0:v>0</ns0:v>
      </ns0:c>
      <ns0:c r="S268" s="0">
        <ns0:f>IF(AND(Bookings!G268="Approved",E268="No"),N268,0)</ns0:f>
        <ns0:v>0</ns0:v>
      </ns0:c>
      <ns0:c r="T268" s="0">
        <ns0:f>IFERROR(MATCH(D268,Settings!$G$7:$G$11,0),0)</ns0:f>
        <ns0:v>0</ns0:v>
      </ns0:c>
      <ns0:c r="U268" s="0">
        <ns0:f>IF(N268&gt;0,T268+IF(Bookings!G268="Pending",10,0),0)</ns0:f>
        <ns0:v>0</ns0:v>
      </ns0:c>
      <ns0:c r="V268" s="0">
        <ns0:f>U268</ns0:f>
        <ns0:v>0</ns0:v>
      </ns0:c>
      <ns0:c r="W268" s="0" t="str">
        <ns0:f>IF(C268=0,"",INDEX($AP$11:$AP$60,C268))</ns0:f>
        <ns0:v/>
      </ns0:c>
    </ns0:row>
    <ns0:row r="269">
      <ns0:c r="A269" s="0">
        <ns0:f>IF(COUNTA(Bookings!A269:G269,Bookings!I269)=0,0,1)</ns0:f>
        <ns0:v>0</ns0:v>
      </ns0:c>
      <ns0:c r="B269" s="0" t="str">
        <ns0:f>IFERROR(TRIM(MID(Bookings!A269,FIND(" · ",Bookings!A269)+3,99)),"")</ns0:f>
        <ns0:v/>
      </ns0:c>
      <ns0:c r="C269" s="0">
        <ns0:f>IF(OR(B269="",LEN(B269)&gt;24,ISNUMBER(FIND(" ",B269)),ISNUMBER(FIND("*",B269)),ISNUMBER(FIND("?",B269)),ISNUMBER(FIND("~",B269))),0,IFERROR(MATCH(B269,Team!$A$11:$A$60,0),0))</ns0:f>
        <ns0:v>0</ns0:v>
      </ns0:c>
      <ns0:c r="D269" s="0" t="str">
        <ns0:f>IFERROR(IF(MID(Bookings!F269,LEN(Bookings!F269)-3,3)=" · ",RIGHT(Bookings!F269,1),""),"")</ns0:f>
        <ns0:v/>
      </ns0:c>
      <ns0:c r="E269" s="0" t="str">
        <ns0:f>IFERROR(INDEX(Settings!$H$7:$H$11,MATCH(D269,Settings!$G$7:$G$11,0)),"")</ns0:f>
        <ns0:v/>
      </ns0:c>
      <ns0:c r="F269" s="0" t="str">
        <ns0:f>IF(A269=0,"",IFERROR(IF(OR(B269="",C269=0),"CHECK employee selection",IF(INDEX(Team!$O$11:$O$60,C269)&lt;&gt;"OK","CHECK employee setup",IF(OR('_Dates'!J269=0,'_Dates'!T269=0),"CHECK date: use DD.MM.YYYY",IF('_Dates'!T269&lt;'_Dates'!J269,"CHECK end before start",IF(AND($B$6=0,OR('_Dates'!J269&lt;Settings!$B$7,'_Dates'!T269&gt;Settings!$B$8)),"CHECK split across leave years",IF(OR(NOT(OR('_Dates'!U269="Full day",'_Dates'!U269="AM",'_Dates'!U269="PM")),NOT(OR('_Dates'!V269="Full day",'_Dates'!V269="AM",'_Dates'!V269="PM"))),"CHECK Full day / AM / PM",IF(AND('_Dates'!J269='_Dates'!T269,'_Dates'!U269&lt;&gt;"Full day",'_Dates'!V269&lt;&gt;"Full day",'_Dates'!U269&lt;&gt;'_Dates'!V269),"CHECK same-day portions disagree",IF(AND($B$6=0,OR(AND('_Dates'!U269&lt;&gt;"Full day",'_Dates'!AA269=0),AND('_Dates'!V269&lt;&gt;"Full day",'_Dates'!AB269=0))),"CHECK half-day on non-working date",IF(COUNTIF(Settings!$G$7:$G$11,D269)&lt;&gt;1,"CHECK leave type",IF(AND(Bookings!G269&lt;&gt;"Approved",Bookings!G269&lt;&gt;"Pending",Bookings!G269&lt;&gt;"Cancelled"),"CHECK status","OK")))))))))),"CHECK input"))</ns0:f>
        <ns0:v/>
      </ns0:c>
      <ns0:c r="G269" s="0">
        <ns0:f>IF(OR(F269&lt;&gt;"OK",$B$6&gt;0),0,0.5*(IF(('_Dates'!X269)&lt;('_Dates'!W269),0,INT((('_Dates'!X269)-('_Dates'!W269)+1)/7)*LEN(SUBSTITUTE(W269,"O",""))+LEN(SUBSTITUTE(MID(W269&amp;W269,WEEKDAY(('_Dates'!W269),2),MOD((('_Dates'!X269)-('_Dates'!W269)+1),7)),"O",""))-COUNTIFS(INDEX(AllClosureRows,C269,0),"&gt;="&amp;('_Dates'!W269),INDEX(AllClosureRows,C269,0),"&lt;="&amp;('_Dates'!X269)))+IF(('_Dates'!Z269)&lt;('_Dates'!Y269),0,INT((('_Dates'!Z269)-('_Dates'!Y269)+1)/7)*LEN(SUBSTITUTE(W269,"O",""))+LEN(SUBSTITUTE(MID(W269&amp;W269,WEEKDAY(('_Dates'!Y269),2),MOD((('_Dates'!Z269)-('_Dates'!Y269)+1),7)),"O",""))-COUNTIFS(INDEX(AllClosureRows,C269,0),"&gt;="&amp;('_Dates'!Y269),INDEX(AllClosureRows,C269,0),"&lt;="&amp;('_Dates'!Z269)))))</ns0:f>
        <ns0:v>0</ns0:v>
      </ns0:c>
      <ns0:c r="H269" s="0">
        <ns0:f>IF(OR(F269&lt;&gt;"OK",$B$6&gt;0),0,0.5*(IF((MIN('_Dates'!X269,Settings!$B$9))&lt;('_Dates'!W269),0,INT(((MIN('_Dates'!X269,Settings!$B$9))-('_Dates'!W269)+1)/7)*LEN(SUBSTITUTE(W269,"O",""))+LEN(SUBSTITUTE(MID(W269&amp;W269,WEEKDAY(('_Dates'!W269),2),MOD(((MIN('_Dates'!X269,Settings!$B$9))-('_Dates'!W269)+1),7)),"O",""))-COUNTIFS(INDEX(AllClosureRows,C269,0),"&gt;="&amp;('_Dates'!W269),INDEX(AllClosureRows,C269,0),"&lt;="&amp;(MIN('_Dates'!X269,Settings!$B$9))))+IF((MIN('_Dates'!Z269,Settings!$B$9))&lt;('_Dates'!Y269),0,INT(((MIN('_Dates'!Z269,Settings!$B$9))-('_Dates'!Y269)+1)/7)*LEN(SUBSTITUTE(W269,"O",""))+LEN(SUBSTITUTE(MID(W269&amp;W269,WEEKDAY(('_Dates'!Y269),2),MOD(((MIN('_Dates'!Z269,Settings!$B$9))-('_Dates'!Y269)+1),7)),"O",""))-COUNTIFS(INDEX(AllClosureRows,C269,0),"&gt;="&amp;('_Dates'!Y269),INDEX(AllClosureRows,C269,0),"&lt;="&amp;(MIN('_Dates'!Z269,Settings!$B$9))))))</ns0:f>
        <ns0:v>0</ns0:v>
      </ns0:c>
      <ns0:c r="I269" s="0">
        <ns0:f>MAX(0,G269-H269)</ns0:f>
        <ns0:v>0</ns0:v>
      </ns0:c>
      <ns0:c r="J269" s="0">
        <ns0:f>IF(OR(A269=0,F269&lt;&gt;"OK",Bookings!G269="Cancelled",$B$6&gt;0),0,IF('_Dates'!AC269=1,MAX(0,COUNTIFS(rngEngine_B,B269,rngAMStart,"&lt;="&amp;'_Dates'!X269,rngAMEnd,"&gt;="&amp;'_Dates'!W269,rngAMActive,1,rngEngine_F,"OK",rngBookings_F,"&lt;&gt;Cancelled")-1),0)+IF('_Dates'!AD269=1,MAX(0,COUNTIFS(rngEngine_B,B269,rngPMStart,"&lt;="&amp;'_Dates'!Z269,rngPMEnd,"&gt;="&amp;'_Dates'!Y269,rngPMActive,1,rngEngine_F,"OK",rngBookings_F,"&lt;&gt;Cancelled")-1),0))</ns0:f>
        <ns0:v>0</ns0:v>
      </ns0:c>
      <ns0:c r="K269" s="0" t="str">
        <ns0:f>IF(A269=0,"",IF(F269&lt;&gt;"OK",F269,IF(J269&gt;0,"CHECK overlapping entry",IF(AND($B$6=0,G269&lt;=0,Bookings!G269&lt;&gt;"Cancelled"),"CHECK no working days",IF(Bookings!G269="Cancelled","Cancelled","OK")))))</ns0:f>
        <ns0:v/>
      </ns0:c>
      <ns0:c r="L269" s="0">
        <ns0:f>IF(LEFT(K269,5)="CHECK",1,0)</ns0:f>
        <ns0:v>0</ns0:v>
      </ns0:c>
      <ns0:c r="M269" s="0">
        <ns0:f>IF(AND(L269=1,OR(C269=0,IFERROR(INDEX($X$11:$X$60,C269),0)=0)),1,0)</ns0:f>
        <ns0:v>0</ns0:v>
      </ns0:c>
      <ns0:c r="N269" s="0">
        <ns0:f>IF(OR(A269=0,L269&gt;0,$B$6&gt;0,Bookings!G269="Cancelled"),0,G269)</ns0:f>
        <ns0:v>0</ns0:v>
      </ns0:c>
      <ns0:c r="O269" s="0">
        <ns0:f>IF(AND(Bookings!G269="Approved",E269="Yes"),N269,0)</ns0:f>
        <ns0:v>0</ns0:v>
      </ns0:c>
      <ns0:c r="P269" s="0">
        <ns0:f>IF(AND(Bookings!G269="Approved",E269="Yes",L269=0,$B$6=0),H269,0)</ns0:f>
        <ns0:v>0</ns0:v>
      </ns0:c>
      <ns0:c r="Q269" s="0">
        <ns0:f>IF(AND(Bookings!G269="Approved",E269="Yes",L269=0,$B$6=0),I269,0)</ns0:f>
        <ns0:v>0</ns0:v>
      </ns0:c>
      <ns0:c r="R269" s="0">
        <ns0:f>IF(AND(Bookings!G269="Pending",E269="Yes"),N269,0)</ns0:f>
        <ns0:v>0</ns0:v>
      </ns0:c>
      <ns0:c r="S269" s="0">
        <ns0:f>IF(AND(Bookings!G269="Approved",E269="No"),N269,0)</ns0:f>
        <ns0:v>0</ns0:v>
      </ns0:c>
      <ns0:c r="T269" s="0">
        <ns0:f>IFERROR(MATCH(D269,Settings!$G$7:$G$11,0),0)</ns0:f>
        <ns0:v>0</ns0:v>
      </ns0:c>
      <ns0:c r="U269" s="0">
        <ns0:f>IF(N269&gt;0,T269+IF(Bookings!G269="Pending",10,0),0)</ns0:f>
        <ns0:v>0</ns0:v>
      </ns0:c>
      <ns0:c r="V269" s="0">
        <ns0:f>U269</ns0:f>
        <ns0:v>0</ns0:v>
      </ns0:c>
      <ns0:c r="W269" s="0" t="str">
        <ns0:f>IF(C269=0,"",INDEX($AP$11:$AP$60,C269))</ns0:f>
        <ns0:v/>
      </ns0:c>
    </ns0:row>
    <ns0:row r="270">
      <ns0:c r="A270" s="0">
        <ns0:f>IF(COUNTA(Bookings!A270:G270,Bookings!I270)=0,0,1)</ns0:f>
        <ns0:v>0</ns0:v>
      </ns0:c>
      <ns0:c r="B270" s="0" t="str">
        <ns0:f>IFERROR(TRIM(MID(Bookings!A270,FIND(" · ",Bookings!A270)+3,99)),"")</ns0:f>
        <ns0:v/>
      </ns0:c>
      <ns0:c r="C270" s="0">
        <ns0:f>IF(OR(B270="",LEN(B270)&gt;24,ISNUMBER(FIND(" ",B270)),ISNUMBER(FIND("*",B270)),ISNUMBER(FIND("?",B270)),ISNUMBER(FIND("~",B270))),0,IFERROR(MATCH(B270,Team!$A$11:$A$60,0),0))</ns0:f>
        <ns0:v>0</ns0:v>
      </ns0:c>
      <ns0:c r="D270" s="0" t="str">
        <ns0:f>IFERROR(IF(MID(Bookings!F270,LEN(Bookings!F270)-3,3)=" · ",RIGHT(Bookings!F270,1),""),"")</ns0:f>
        <ns0:v/>
      </ns0:c>
      <ns0:c r="E270" s="0" t="str">
        <ns0:f>IFERROR(INDEX(Settings!$H$7:$H$11,MATCH(D270,Settings!$G$7:$G$11,0)),"")</ns0:f>
        <ns0:v/>
      </ns0:c>
      <ns0:c r="F270" s="0" t="str">
        <ns0:f>IF(A270=0,"",IFERROR(IF(OR(B270="",C270=0),"CHECK employee selection",IF(INDEX(Team!$O$11:$O$60,C270)&lt;&gt;"OK","CHECK employee setup",IF(OR('_Dates'!J270=0,'_Dates'!T270=0),"CHECK date: use DD.MM.YYYY",IF('_Dates'!T270&lt;'_Dates'!J270,"CHECK end before start",IF(AND($B$6=0,OR('_Dates'!J270&lt;Settings!$B$7,'_Dates'!T270&gt;Settings!$B$8)),"CHECK split across leave years",IF(OR(NOT(OR('_Dates'!U270="Full day",'_Dates'!U270="AM",'_Dates'!U270="PM")),NOT(OR('_Dates'!V270="Full day",'_Dates'!V270="AM",'_Dates'!V270="PM"))),"CHECK Full day / AM / PM",IF(AND('_Dates'!J270='_Dates'!T270,'_Dates'!U270&lt;&gt;"Full day",'_Dates'!V270&lt;&gt;"Full day",'_Dates'!U270&lt;&gt;'_Dates'!V270),"CHECK same-day portions disagree",IF(AND($B$6=0,OR(AND('_Dates'!U270&lt;&gt;"Full day",'_Dates'!AA270=0),AND('_Dates'!V270&lt;&gt;"Full day",'_Dates'!AB270=0))),"CHECK half-day on non-working date",IF(COUNTIF(Settings!$G$7:$G$11,D270)&lt;&gt;1,"CHECK leave type",IF(AND(Bookings!G270&lt;&gt;"Approved",Bookings!G270&lt;&gt;"Pending",Bookings!G270&lt;&gt;"Cancelled"),"CHECK status","OK")))))))))),"CHECK input"))</ns0:f>
        <ns0:v/>
      </ns0:c>
      <ns0:c r="G270" s="0">
        <ns0:f>IF(OR(F270&lt;&gt;"OK",$B$6&gt;0),0,0.5*(IF(('_Dates'!X270)&lt;('_Dates'!W270),0,INT((('_Dates'!X270)-('_Dates'!W270)+1)/7)*LEN(SUBSTITUTE(W270,"O",""))+LEN(SUBSTITUTE(MID(W270&amp;W270,WEEKDAY(('_Dates'!W270),2),MOD((('_Dates'!X270)-('_Dates'!W270)+1),7)),"O",""))-COUNTIFS(INDEX(AllClosureRows,C270,0),"&gt;="&amp;('_Dates'!W270),INDEX(AllClosureRows,C270,0),"&lt;="&amp;('_Dates'!X270)))+IF(('_Dates'!Z270)&lt;('_Dates'!Y270),0,INT((('_Dates'!Z270)-('_Dates'!Y270)+1)/7)*LEN(SUBSTITUTE(W270,"O",""))+LEN(SUBSTITUTE(MID(W270&amp;W270,WEEKDAY(('_Dates'!Y270),2),MOD((('_Dates'!Z270)-('_Dates'!Y270)+1),7)),"O",""))-COUNTIFS(INDEX(AllClosureRows,C270,0),"&gt;="&amp;('_Dates'!Y270),INDEX(AllClosureRows,C270,0),"&lt;="&amp;('_Dates'!Z270)))))</ns0:f>
        <ns0:v>0</ns0:v>
      </ns0:c>
      <ns0:c r="H270" s="0">
        <ns0:f>IF(OR(F270&lt;&gt;"OK",$B$6&gt;0),0,0.5*(IF((MIN('_Dates'!X270,Settings!$B$9))&lt;('_Dates'!W270),0,INT(((MIN('_Dates'!X270,Settings!$B$9))-('_Dates'!W270)+1)/7)*LEN(SUBSTITUTE(W270,"O",""))+LEN(SUBSTITUTE(MID(W270&amp;W270,WEEKDAY(('_Dates'!W270),2),MOD(((MIN('_Dates'!X270,Settings!$B$9))-('_Dates'!W270)+1),7)),"O",""))-COUNTIFS(INDEX(AllClosureRows,C270,0),"&gt;="&amp;('_Dates'!W270),INDEX(AllClosureRows,C270,0),"&lt;="&amp;(MIN('_Dates'!X270,Settings!$B$9))))+IF((MIN('_Dates'!Z270,Settings!$B$9))&lt;('_Dates'!Y270),0,INT(((MIN('_Dates'!Z270,Settings!$B$9))-('_Dates'!Y270)+1)/7)*LEN(SUBSTITUTE(W270,"O",""))+LEN(SUBSTITUTE(MID(W270&amp;W270,WEEKDAY(('_Dates'!Y270),2),MOD(((MIN('_Dates'!Z270,Settings!$B$9))-('_Dates'!Y270)+1),7)),"O",""))-COUNTIFS(INDEX(AllClosureRows,C270,0),"&gt;="&amp;('_Dates'!Y270),INDEX(AllClosureRows,C270,0),"&lt;="&amp;(MIN('_Dates'!Z270,Settings!$B$9))))))</ns0:f>
        <ns0:v>0</ns0:v>
      </ns0:c>
      <ns0:c r="I270" s="0">
        <ns0:f>MAX(0,G270-H270)</ns0:f>
        <ns0:v>0</ns0:v>
      </ns0:c>
      <ns0:c r="J270" s="0">
        <ns0:f>IF(OR(A270=0,F270&lt;&gt;"OK",Bookings!G270="Cancelled",$B$6&gt;0),0,IF('_Dates'!AC270=1,MAX(0,COUNTIFS(rngEngine_B,B270,rngAMStart,"&lt;="&amp;'_Dates'!X270,rngAMEnd,"&gt;="&amp;'_Dates'!W270,rngAMActive,1,rngEngine_F,"OK",rngBookings_F,"&lt;&gt;Cancelled")-1),0)+IF('_Dates'!AD270=1,MAX(0,COUNTIFS(rngEngine_B,B270,rngPMStart,"&lt;="&amp;'_Dates'!Z270,rngPMEnd,"&gt;="&amp;'_Dates'!Y270,rngPMActive,1,rngEngine_F,"OK",rngBookings_F,"&lt;&gt;Cancelled")-1),0))</ns0:f>
        <ns0:v>0</ns0:v>
      </ns0:c>
      <ns0:c r="K270" s="0" t="str">
        <ns0:f>IF(A270=0,"",IF(F270&lt;&gt;"OK",F270,IF(J270&gt;0,"CHECK overlapping entry",IF(AND($B$6=0,G270&lt;=0,Bookings!G270&lt;&gt;"Cancelled"),"CHECK no working days",IF(Bookings!G270="Cancelled","Cancelled","OK")))))</ns0:f>
        <ns0:v/>
      </ns0:c>
      <ns0:c r="L270" s="0">
        <ns0:f>IF(LEFT(K270,5)="CHECK",1,0)</ns0:f>
        <ns0:v>0</ns0:v>
      </ns0:c>
      <ns0:c r="M270" s="0">
        <ns0:f>IF(AND(L270=1,OR(C270=0,IFERROR(INDEX($X$11:$X$60,C270),0)=0)),1,0)</ns0:f>
        <ns0:v>0</ns0:v>
      </ns0:c>
      <ns0:c r="N270" s="0">
        <ns0:f>IF(OR(A270=0,L270&gt;0,$B$6&gt;0,Bookings!G270="Cancelled"),0,G270)</ns0:f>
        <ns0:v>0</ns0:v>
      </ns0:c>
      <ns0:c r="O270" s="0">
        <ns0:f>IF(AND(Bookings!G270="Approved",E270="Yes"),N270,0)</ns0:f>
        <ns0:v>0</ns0:v>
      </ns0:c>
      <ns0:c r="P270" s="0">
        <ns0:f>IF(AND(Bookings!G270="Approved",E270="Yes",L270=0,$B$6=0),H270,0)</ns0:f>
        <ns0:v>0</ns0:v>
      </ns0:c>
      <ns0:c r="Q270" s="0">
        <ns0:f>IF(AND(Bookings!G270="Approved",E270="Yes",L270=0,$B$6=0),I270,0)</ns0:f>
        <ns0:v>0</ns0:v>
      </ns0:c>
      <ns0:c r="R270" s="0">
        <ns0:f>IF(AND(Bookings!G270="Pending",E270="Yes"),N270,0)</ns0:f>
        <ns0:v>0</ns0:v>
      </ns0:c>
      <ns0:c r="S270" s="0">
        <ns0:f>IF(AND(Bookings!G270="Approved",E270="No"),N270,0)</ns0:f>
        <ns0:v>0</ns0:v>
      </ns0:c>
      <ns0:c r="T270" s="0">
        <ns0:f>IFERROR(MATCH(D270,Settings!$G$7:$G$11,0),0)</ns0:f>
        <ns0:v>0</ns0:v>
      </ns0:c>
      <ns0:c r="U270" s="0">
        <ns0:f>IF(N270&gt;0,T270+IF(Bookings!G270="Pending",10,0),0)</ns0:f>
        <ns0:v>0</ns0:v>
      </ns0:c>
      <ns0:c r="V270" s="0">
        <ns0:f>U270</ns0:f>
        <ns0:v>0</ns0:v>
      </ns0:c>
      <ns0:c r="W270" s="0" t="str">
        <ns0:f>IF(C270=0,"",INDEX($AP$11:$AP$60,C270))</ns0:f>
        <ns0:v/>
      </ns0:c>
    </ns0:row>
    <ns0:row r="271">
      <ns0:c r="A271" s="0">
        <ns0:f>IF(COUNTA(Bookings!A271:G271,Bookings!I271)=0,0,1)</ns0:f>
        <ns0:v>0</ns0:v>
      </ns0:c>
      <ns0:c r="B271" s="0" t="str">
        <ns0:f>IFERROR(TRIM(MID(Bookings!A271,FIND(" · ",Bookings!A271)+3,99)),"")</ns0:f>
        <ns0:v/>
      </ns0:c>
      <ns0:c r="C271" s="0">
        <ns0:f>IF(OR(B271="",LEN(B271)&gt;24,ISNUMBER(FIND(" ",B271)),ISNUMBER(FIND("*",B271)),ISNUMBER(FIND("?",B271)),ISNUMBER(FIND("~",B271))),0,IFERROR(MATCH(B271,Team!$A$11:$A$60,0),0))</ns0:f>
        <ns0:v>0</ns0:v>
      </ns0:c>
      <ns0:c r="D271" s="0" t="str">
        <ns0:f>IFERROR(IF(MID(Bookings!F271,LEN(Bookings!F271)-3,3)=" · ",RIGHT(Bookings!F271,1),""),"")</ns0:f>
        <ns0:v/>
      </ns0:c>
      <ns0:c r="E271" s="0" t="str">
        <ns0:f>IFERROR(INDEX(Settings!$H$7:$H$11,MATCH(D271,Settings!$G$7:$G$11,0)),"")</ns0:f>
        <ns0:v/>
      </ns0:c>
      <ns0:c r="F271" s="0" t="str">
        <ns0:f>IF(A271=0,"",IFERROR(IF(OR(B271="",C271=0),"CHECK employee selection",IF(INDEX(Team!$O$11:$O$60,C271)&lt;&gt;"OK","CHECK employee setup",IF(OR('_Dates'!J271=0,'_Dates'!T271=0),"CHECK date: use DD.MM.YYYY",IF('_Dates'!T271&lt;'_Dates'!J271,"CHECK end before start",IF(AND($B$6=0,OR('_Dates'!J271&lt;Settings!$B$7,'_Dates'!T271&gt;Settings!$B$8)),"CHECK split across leave years",IF(OR(NOT(OR('_Dates'!U271="Full day",'_Dates'!U271="AM",'_Dates'!U271="PM")),NOT(OR('_Dates'!V271="Full day",'_Dates'!V271="AM",'_Dates'!V271="PM"))),"CHECK Full day / AM / PM",IF(AND('_Dates'!J271='_Dates'!T271,'_Dates'!U271&lt;&gt;"Full day",'_Dates'!V271&lt;&gt;"Full day",'_Dates'!U271&lt;&gt;'_Dates'!V271),"CHECK same-day portions disagree",IF(AND($B$6=0,OR(AND('_Dates'!U271&lt;&gt;"Full day",'_Dates'!AA271=0),AND('_Dates'!V271&lt;&gt;"Full day",'_Dates'!AB271=0))),"CHECK half-day on non-working date",IF(COUNTIF(Settings!$G$7:$G$11,D271)&lt;&gt;1,"CHECK leave type",IF(AND(Bookings!G271&lt;&gt;"Approved",Bookings!G271&lt;&gt;"Pending",Bookings!G271&lt;&gt;"Cancelled"),"CHECK status","OK")))))))))),"CHECK input"))</ns0:f>
        <ns0:v/>
      </ns0:c>
      <ns0:c r="G271" s="0">
        <ns0:f>IF(OR(F271&lt;&gt;"OK",$B$6&gt;0),0,0.5*(IF(('_Dates'!X271)&lt;('_Dates'!W271),0,INT((('_Dates'!X271)-('_Dates'!W271)+1)/7)*LEN(SUBSTITUTE(W271,"O",""))+LEN(SUBSTITUTE(MID(W271&amp;W271,WEEKDAY(('_Dates'!W271),2),MOD((('_Dates'!X271)-('_Dates'!W271)+1),7)),"O",""))-COUNTIFS(INDEX(AllClosureRows,C271,0),"&gt;="&amp;('_Dates'!W271),INDEX(AllClosureRows,C271,0),"&lt;="&amp;('_Dates'!X271)))+IF(('_Dates'!Z271)&lt;('_Dates'!Y271),0,INT((('_Dates'!Z271)-('_Dates'!Y271)+1)/7)*LEN(SUBSTITUTE(W271,"O",""))+LEN(SUBSTITUTE(MID(W271&amp;W271,WEEKDAY(('_Dates'!Y271),2),MOD((('_Dates'!Z271)-('_Dates'!Y271)+1),7)),"O",""))-COUNTIFS(INDEX(AllClosureRows,C271,0),"&gt;="&amp;('_Dates'!Y271),INDEX(AllClosureRows,C271,0),"&lt;="&amp;('_Dates'!Z271)))))</ns0:f>
        <ns0:v>0</ns0:v>
      </ns0:c>
      <ns0:c r="H271" s="0">
        <ns0:f>IF(OR(F271&lt;&gt;"OK",$B$6&gt;0),0,0.5*(IF((MIN('_Dates'!X271,Settings!$B$9))&lt;('_Dates'!W271),0,INT(((MIN('_Dates'!X271,Settings!$B$9))-('_Dates'!W271)+1)/7)*LEN(SUBSTITUTE(W271,"O",""))+LEN(SUBSTITUTE(MID(W271&amp;W271,WEEKDAY(('_Dates'!W271),2),MOD(((MIN('_Dates'!X271,Settings!$B$9))-('_Dates'!W271)+1),7)),"O",""))-COUNTIFS(INDEX(AllClosureRows,C271,0),"&gt;="&amp;('_Dates'!W271),INDEX(AllClosureRows,C271,0),"&lt;="&amp;(MIN('_Dates'!X271,Settings!$B$9))))+IF((MIN('_Dates'!Z271,Settings!$B$9))&lt;('_Dates'!Y271),0,INT(((MIN('_Dates'!Z271,Settings!$B$9))-('_Dates'!Y271)+1)/7)*LEN(SUBSTITUTE(W271,"O",""))+LEN(SUBSTITUTE(MID(W271&amp;W271,WEEKDAY(('_Dates'!Y271),2),MOD(((MIN('_Dates'!Z271,Settings!$B$9))-('_Dates'!Y271)+1),7)),"O",""))-COUNTIFS(INDEX(AllClosureRows,C271,0),"&gt;="&amp;('_Dates'!Y271),INDEX(AllClosureRows,C271,0),"&lt;="&amp;(MIN('_Dates'!Z271,Settings!$B$9))))))</ns0:f>
        <ns0:v>0</ns0:v>
      </ns0:c>
      <ns0:c r="I271" s="0">
        <ns0:f>MAX(0,G271-H271)</ns0:f>
        <ns0:v>0</ns0:v>
      </ns0:c>
      <ns0:c r="J271" s="0">
        <ns0:f>IF(OR(A271=0,F271&lt;&gt;"OK",Bookings!G271="Cancelled",$B$6&gt;0),0,IF('_Dates'!AC271=1,MAX(0,COUNTIFS(rngEngine_B,B271,rngAMStart,"&lt;="&amp;'_Dates'!X271,rngAMEnd,"&gt;="&amp;'_Dates'!W271,rngAMActive,1,rngEngine_F,"OK",rngBookings_F,"&lt;&gt;Cancelled")-1),0)+IF('_Dates'!AD271=1,MAX(0,COUNTIFS(rngEngine_B,B271,rngPMStart,"&lt;="&amp;'_Dates'!Z271,rngPMEnd,"&gt;="&amp;'_Dates'!Y271,rngPMActive,1,rngEngine_F,"OK",rngBookings_F,"&lt;&gt;Cancelled")-1),0))</ns0:f>
        <ns0:v>0</ns0:v>
      </ns0:c>
      <ns0:c r="K271" s="0" t="str">
        <ns0:f>IF(A271=0,"",IF(F271&lt;&gt;"OK",F271,IF(J271&gt;0,"CHECK overlapping entry",IF(AND($B$6=0,G271&lt;=0,Bookings!G271&lt;&gt;"Cancelled"),"CHECK no working days",IF(Bookings!G271="Cancelled","Cancelled","OK")))))</ns0:f>
        <ns0:v/>
      </ns0:c>
      <ns0:c r="L271" s="0">
        <ns0:f>IF(LEFT(K271,5)="CHECK",1,0)</ns0:f>
        <ns0:v>0</ns0:v>
      </ns0:c>
      <ns0:c r="M271" s="0">
        <ns0:f>IF(AND(L271=1,OR(C271=0,IFERROR(INDEX($X$11:$X$60,C271),0)=0)),1,0)</ns0:f>
        <ns0:v>0</ns0:v>
      </ns0:c>
      <ns0:c r="N271" s="0">
        <ns0:f>IF(OR(A271=0,L271&gt;0,$B$6&gt;0,Bookings!G271="Cancelled"),0,G271)</ns0:f>
        <ns0:v>0</ns0:v>
      </ns0:c>
      <ns0:c r="O271" s="0">
        <ns0:f>IF(AND(Bookings!G271="Approved",E271="Yes"),N271,0)</ns0:f>
        <ns0:v>0</ns0:v>
      </ns0:c>
      <ns0:c r="P271" s="0">
        <ns0:f>IF(AND(Bookings!G271="Approved",E271="Yes",L271=0,$B$6=0),H271,0)</ns0:f>
        <ns0:v>0</ns0:v>
      </ns0:c>
      <ns0:c r="Q271" s="0">
        <ns0:f>IF(AND(Bookings!G271="Approved",E271="Yes",L271=0,$B$6=0),I271,0)</ns0:f>
        <ns0:v>0</ns0:v>
      </ns0:c>
      <ns0:c r="R271" s="0">
        <ns0:f>IF(AND(Bookings!G271="Pending",E271="Yes"),N271,0)</ns0:f>
        <ns0:v>0</ns0:v>
      </ns0:c>
      <ns0:c r="S271" s="0">
        <ns0:f>IF(AND(Bookings!G271="Approved",E271="No"),N271,0)</ns0:f>
        <ns0:v>0</ns0:v>
      </ns0:c>
      <ns0:c r="T271" s="0">
        <ns0:f>IFERROR(MATCH(D271,Settings!$G$7:$G$11,0),0)</ns0:f>
        <ns0:v>0</ns0:v>
      </ns0:c>
      <ns0:c r="U271" s="0">
        <ns0:f>IF(N271&gt;0,T271+IF(Bookings!G271="Pending",10,0),0)</ns0:f>
        <ns0:v>0</ns0:v>
      </ns0:c>
      <ns0:c r="V271" s="0">
        <ns0:f>U271</ns0:f>
        <ns0:v>0</ns0:v>
      </ns0:c>
      <ns0:c r="W271" s="0" t="str">
        <ns0:f>IF(C271=0,"",INDEX($AP$11:$AP$60,C271))</ns0:f>
        <ns0:v/>
      </ns0:c>
    </ns0:row>
    <ns0:row r="272">
      <ns0:c r="A272" s="0">
        <ns0:f>IF(COUNTA(Bookings!A272:G272,Bookings!I272)=0,0,1)</ns0:f>
        <ns0:v>0</ns0:v>
      </ns0:c>
      <ns0:c r="B272" s="0" t="str">
        <ns0:f>IFERROR(TRIM(MID(Bookings!A272,FIND(" · ",Bookings!A272)+3,99)),"")</ns0:f>
        <ns0:v/>
      </ns0:c>
      <ns0:c r="C272" s="0">
        <ns0:f>IF(OR(B272="",LEN(B272)&gt;24,ISNUMBER(FIND(" ",B272)),ISNUMBER(FIND("*",B272)),ISNUMBER(FIND("?",B272)),ISNUMBER(FIND("~",B272))),0,IFERROR(MATCH(B272,Team!$A$11:$A$60,0),0))</ns0:f>
        <ns0:v>0</ns0:v>
      </ns0:c>
      <ns0:c r="D272" s="0" t="str">
        <ns0:f>IFERROR(IF(MID(Bookings!F272,LEN(Bookings!F272)-3,3)=" · ",RIGHT(Bookings!F272,1),""),"")</ns0:f>
        <ns0:v/>
      </ns0:c>
      <ns0:c r="E272" s="0" t="str">
        <ns0:f>IFERROR(INDEX(Settings!$H$7:$H$11,MATCH(D272,Settings!$G$7:$G$11,0)),"")</ns0:f>
        <ns0:v/>
      </ns0:c>
      <ns0:c r="F272" s="0" t="str">
        <ns0:f>IF(A272=0,"",IFERROR(IF(OR(B272="",C272=0),"CHECK employee selection",IF(INDEX(Team!$O$11:$O$60,C272)&lt;&gt;"OK","CHECK employee setup",IF(OR('_Dates'!J272=0,'_Dates'!T272=0),"CHECK date: use DD.MM.YYYY",IF('_Dates'!T272&lt;'_Dates'!J272,"CHECK end before start",IF(AND($B$6=0,OR('_Dates'!J272&lt;Settings!$B$7,'_Dates'!T272&gt;Settings!$B$8)),"CHECK split across leave years",IF(OR(NOT(OR('_Dates'!U272="Full day",'_Dates'!U272="AM",'_Dates'!U272="PM")),NOT(OR('_Dates'!V272="Full day",'_Dates'!V272="AM",'_Dates'!V272="PM"))),"CHECK Full day / AM / PM",IF(AND('_Dates'!J272='_Dates'!T272,'_Dates'!U272&lt;&gt;"Full day",'_Dates'!V272&lt;&gt;"Full day",'_Dates'!U272&lt;&gt;'_Dates'!V272),"CHECK same-day portions disagree",IF(AND($B$6=0,OR(AND('_Dates'!U272&lt;&gt;"Full day",'_Dates'!AA272=0),AND('_Dates'!V272&lt;&gt;"Full day",'_Dates'!AB272=0))),"CHECK half-day on non-working date",IF(COUNTIF(Settings!$G$7:$G$11,D272)&lt;&gt;1,"CHECK leave type",IF(AND(Bookings!G272&lt;&gt;"Approved",Bookings!G272&lt;&gt;"Pending",Bookings!G272&lt;&gt;"Cancelled"),"CHECK status","OK")))))))))),"CHECK input"))</ns0:f>
        <ns0:v/>
      </ns0:c>
      <ns0:c r="G272" s="0">
        <ns0:f>IF(OR(F272&lt;&gt;"OK",$B$6&gt;0),0,0.5*(IF(('_Dates'!X272)&lt;('_Dates'!W272),0,INT((('_Dates'!X272)-('_Dates'!W272)+1)/7)*LEN(SUBSTITUTE(W272,"O",""))+LEN(SUBSTITUTE(MID(W272&amp;W272,WEEKDAY(('_Dates'!W272),2),MOD((('_Dates'!X272)-('_Dates'!W272)+1),7)),"O",""))-COUNTIFS(INDEX(AllClosureRows,C272,0),"&gt;="&amp;('_Dates'!W272),INDEX(AllClosureRows,C272,0),"&lt;="&amp;('_Dates'!X272)))+IF(('_Dates'!Z272)&lt;('_Dates'!Y272),0,INT((('_Dates'!Z272)-('_Dates'!Y272)+1)/7)*LEN(SUBSTITUTE(W272,"O",""))+LEN(SUBSTITUTE(MID(W272&amp;W272,WEEKDAY(('_Dates'!Y272),2),MOD((('_Dates'!Z272)-('_Dates'!Y272)+1),7)),"O",""))-COUNTIFS(INDEX(AllClosureRows,C272,0),"&gt;="&amp;('_Dates'!Y272),INDEX(AllClosureRows,C272,0),"&lt;="&amp;('_Dates'!Z272)))))</ns0:f>
        <ns0:v>0</ns0:v>
      </ns0:c>
      <ns0:c r="H272" s="0">
        <ns0:f>IF(OR(F272&lt;&gt;"OK",$B$6&gt;0),0,0.5*(IF((MIN('_Dates'!X272,Settings!$B$9))&lt;('_Dates'!W272),0,INT(((MIN('_Dates'!X272,Settings!$B$9))-('_Dates'!W272)+1)/7)*LEN(SUBSTITUTE(W272,"O",""))+LEN(SUBSTITUTE(MID(W272&amp;W272,WEEKDAY(('_Dates'!W272),2),MOD(((MIN('_Dates'!X272,Settings!$B$9))-('_Dates'!W272)+1),7)),"O",""))-COUNTIFS(INDEX(AllClosureRows,C272,0),"&gt;="&amp;('_Dates'!W272),INDEX(AllClosureRows,C272,0),"&lt;="&amp;(MIN('_Dates'!X272,Settings!$B$9))))+IF((MIN('_Dates'!Z272,Settings!$B$9))&lt;('_Dates'!Y272),0,INT(((MIN('_Dates'!Z272,Settings!$B$9))-('_Dates'!Y272)+1)/7)*LEN(SUBSTITUTE(W272,"O",""))+LEN(SUBSTITUTE(MID(W272&amp;W272,WEEKDAY(('_Dates'!Y272),2),MOD(((MIN('_Dates'!Z272,Settings!$B$9))-('_Dates'!Y272)+1),7)),"O",""))-COUNTIFS(INDEX(AllClosureRows,C272,0),"&gt;="&amp;('_Dates'!Y272),INDEX(AllClosureRows,C272,0),"&lt;="&amp;(MIN('_Dates'!Z272,Settings!$B$9))))))</ns0:f>
        <ns0:v>0</ns0:v>
      </ns0:c>
      <ns0:c r="I272" s="0">
        <ns0:f>MAX(0,G272-H272)</ns0:f>
        <ns0:v>0</ns0:v>
      </ns0:c>
      <ns0:c r="J272" s="0">
        <ns0:f>IF(OR(A272=0,F272&lt;&gt;"OK",Bookings!G272="Cancelled",$B$6&gt;0),0,IF('_Dates'!AC272=1,MAX(0,COUNTIFS(rngEngine_B,B272,rngAMStart,"&lt;="&amp;'_Dates'!X272,rngAMEnd,"&gt;="&amp;'_Dates'!W272,rngAMActive,1,rngEngine_F,"OK",rngBookings_F,"&lt;&gt;Cancelled")-1),0)+IF('_Dates'!AD272=1,MAX(0,COUNTIFS(rngEngine_B,B272,rngPMStart,"&lt;="&amp;'_Dates'!Z272,rngPMEnd,"&gt;="&amp;'_Dates'!Y272,rngPMActive,1,rngEngine_F,"OK",rngBookings_F,"&lt;&gt;Cancelled")-1),0))</ns0:f>
        <ns0:v>0</ns0:v>
      </ns0:c>
      <ns0:c r="K272" s="0" t="str">
        <ns0:f>IF(A272=0,"",IF(F272&lt;&gt;"OK",F272,IF(J272&gt;0,"CHECK overlapping entry",IF(AND($B$6=0,G272&lt;=0,Bookings!G272&lt;&gt;"Cancelled"),"CHECK no working days",IF(Bookings!G272="Cancelled","Cancelled","OK")))))</ns0:f>
        <ns0:v/>
      </ns0:c>
      <ns0:c r="L272" s="0">
        <ns0:f>IF(LEFT(K272,5)="CHECK",1,0)</ns0:f>
        <ns0:v>0</ns0:v>
      </ns0:c>
      <ns0:c r="M272" s="0">
        <ns0:f>IF(AND(L272=1,OR(C272=0,IFERROR(INDEX($X$11:$X$60,C272),0)=0)),1,0)</ns0:f>
        <ns0:v>0</ns0:v>
      </ns0:c>
      <ns0:c r="N272" s="0">
        <ns0:f>IF(OR(A272=0,L272&gt;0,$B$6&gt;0,Bookings!G272="Cancelled"),0,G272)</ns0:f>
        <ns0:v>0</ns0:v>
      </ns0:c>
      <ns0:c r="O272" s="0">
        <ns0:f>IF(AND(Bookings!G272="Approved",E272="Yes"),N272,0)</ns0:f>
        <ns0:v>0</ns0:v>
      </ns0:c>
      <ns0:c r="P272" s="0">
        <ns0:f>IF(AND(Bookings!G272="Approved",E272="Yes",L272=0,$B$6=0),H272,0)</ns0:f>
        <ns0:v>0</ns0:v>
      </ns0:c>
      <ns0:c r="Q272" s="0">
        <ns0:f>IF(AND(Bookings!G272="Approved",E272="Yes",L272=0,$B$6=0),I272,0)</ns0:f>
        <ns0:v>0</ns0:v>
      </ns0:c>
      <ns0:c r="R272" s="0">
        <ns0:f>IF(AND(Bookings!G272="Pending",E272="Yes"),N272,0)</ns0:f>
        <ns0:v>0</ns0:v>
      </ns0:c>
      <ns0:c r="S272" s="0">
        <ns0:f>IF(AND(Bookings!G272="Approved",E272="No"),N272,0)</ns0:f>
        <ns0:v>0</ns0:v>
      </ns0:c>
      <ns0:c r="T272" s="0">
        <ns0:f>IFERROR(MATCH(D272,Settings!$G$7:$G$11,0),0)</ns0:f>
        <ns0:v>0</ns0:v>
      </ns0:c>
      <ns0:c r="U272" s="0">
        <ns0:f>IF(N272&gt;0,T272+IF(Bookings!G272="Pending",10,0),0)</ns0:f>
        <ns0:v>0</ns0:v>
      </ns0:c>
      <ns0:c r="V272" s="0">
        <ns0:f>U272</ns0:f>
        <ns0:v>0</ns0:v>
      </ns0:c>
      <ns0:c r="W272" s="0" t="str">
        <ns0:f>IF(C272=0,"",INDEX($AP$11:$AP$60,C272))</ns0:f>
        <ns0:v/>
      </ns0:c>
    </ns0:row>
    <ns0:row r="273">
      <ns0:c r="A273" s="0">
        <ns0:f>IF(COUNTA(Bookings!A273:G273,Bookings!I273)=0,0,1)</ns0:f>
        <ns0:v>0</ns0:v>
      </ns0:c>
      <ns0:c r="B273" s="0" t="str">
        <ns0:f>IFERROR(TRIM(MID(Bookings!A273,FIND(" · ",Bookings!A273)+3,99)),"")</ns0:f>
        <ns0:v/>
      </ns0:c>
      <ns0:c r="C273" s="0">
        <ns0:f>IF(OR(B273="",LEN(B273)&gt;24,ISNUMBER(FIND(" ",B273)),ISNUMBER(FIND("*",B273)),ISNUMBER(FIND("?",B273)),ISNUMBER(FIND("~",B273))),0,IFERROR(MATCH(B273,Team!$A$11:$A$60,0),0))</ns0:f>
        <ns0:v>0</ns0:v>
      </ns0:c>
      <ns0:c r="D273" s="0" t="str">
        <ns0:f>IFERROR(IF(MID(Bookings!F273,LEN(Bookings!F273)-3,3)=" · ",RIGHT(Bookings!F273,1),""),"")</ns0:f>
        <ns0:v/>
      </ns0:c>
      <ns0:c r="E273" s="0" t="str">
        <ns0:f>IFERROR(INDEX(Settings!$H$7:$H$11,MATCH(D273,Settings!$G$7:$G$11,0)),"")</ns0:f>
        <ns0:v/>
      </ns0:c>
      <ns0:c r="F273" s="0" t="str">
        <ns0:f>IF(A273=0,"",IFERROR(IF(OR(B273="",C273=0),"CHECK employee selection",IF(INDEX(Team!$O$11:$O$60,C273)&lt;&gt;"OK","CHECK employee setup",IF(OR('_Dates'!J273=0,'_Dates'!T273=0),"CHECK date: use DD.MM.YYYY",IF('_Dates'!T273&lt;'_Dates'!J273,"CHECK end before start",IF(AND($B$6=0,OR('_Dates'!J273&lt;Settings!$B$7,'_Dates'!T273&gt;Settings!$B$8)),"CHECK split across leave years",IF(OR(NOT(OR('_Dates'!U273="Full day",'_Dates'!U273="AM",'_Dates'!U273="PM")),NOT(OR('_Dates'!V273="Full day",'_Dates'!V273="AM",'_Dates'!V273="PM"))),"CHECK Full day / AM / PM",IF(AND('_Dates'!J273='_Dates'!T273,'_Dates'!U273&lt;&gt;"Full day",'_Dates'!V273&lt;&gt;"Full day",'_Dates'!U273&lt;&gt;'_Dates'!V273),"CHECK same-day portions disagree",IF(AND($B$6=0,OR(AND('_Dates'!U273&lt;&gt;"Full day",'_Dates'!AA273=0),AND('_Dates'!V273&lt;&gt;"Full day",'_Dates'!AB273=0))),"CHECK half-day on non-working date",IF(COUNTIF(Settings!$G$7:$G$11,D273)&lt;&gt;1,"CHECK leave type",IF(AND(Bookings!G273&lt;&gt;"Approved",Bookings!G273&lt;&gt;"Pending",Bookings!G273&lt;&gt;"Cancelled"),"CHECK status","OK")))))))))),"CHECK input"))</ns0:f>
        <ns0:v/>
      </ns0:c>
      <ns0:c r="G273" s="0">
        <ns0:f>IF(OR(F273&lt;&gt;"OK",$B$6&gt;0),0,0.5*(IF(('_Dates'!X273)&lt;('_Dates'!W273),0,INT((('_Dates'!X273)-('_Dates'!W273)+1)/7)*LEN(SUBSTITUTE(W273,"O",""))+LEN(SUBSTITUTE(MID(W273&amp;W273,WEEKDAY(('_Dates'!W273),2),MOD((('_Dates'!X273)-('_Dates'!W273)+1),7)),"O",""))-COUNTIFS(INDEX(AllClosureRows,C273,0),"&gt;="&amp;('_Dates'!W273),INDEX(AllClosureRows,C273,0),"&lt;="&amp;('_Dates'!X273)))+IF(('_Dates'!Z273)&lt;('_Dates'!Y273),0,INT((('_Dates'!Z273)-('_Dates'!Y273)+1)/7)*LEN(SUBSTITUTE(W273,"O",""))+LEN(SUBSTITUTE(MID(W273&amp;W273,WEEKDAY(('_Dates'!Y273),2),MOD((('_Dates'!Z273)-('_Dates'!Y273)+1),7)),"O",""))-COUNTIFS(INDEX(AllClosureRows,C273,0),"&gt;="&amp;('_Dates'!Y273),INDEX(AllClosureRows,C273,0),"&lt;="&amp;('_Dates'!Z273)))))</ns0:f>
        <ns0:v>0</ns0:v>
      </ns0:c>
      <ns0:c r="H273" s="0">
        <ns0:f>IF(OR(F273&lt;&gt;"OK",$B$6&gt;0),0,0.5*(IF((MIN('_Dates'!X273,Settings!$B$9))&lt;('_Dates'!W273),0,INT(((MIN('_Dates'!X273,Settings!$B$9))-('_Dates'!W273)+1)/7)*LEN(SUBSTITUTE(W273,"O",""))+LEN(SUBSTITUTE(MID(W273&amp;W273,WEEKDAY(('_Dates'!W273),2),MOD(((MIN('_Dates'!X273,Settings!$B$9))-('_Dates'!W273)+1),7)),"O",""))-COUNTIFS(INDEX(AllClosureRows,C273,0),"&gt;="&amp;('_Dates'!W273),INDEX(AllClosureRows,C273,0),"&lt;="&amp;(MIN('_Dates'!X273,Settings!$B$9))))+IF((MIN('_Dates'!Z273,Settings!$B$9))&lt;('_Dates'!Y273),0,INT(((MIN('_Dates'!Z273,Settings!$B$9))-('_Dates'!Y273)+1)/7)*LEN(SUBSTITUTE(W273,"O",""))+LEN(SUBSTITUTE(MID(W273&amp;W273,WEEKDAY(('_Dates'!Y273),2),MOD(((MIN('_Dates'!Z273,Settings!$B$9))-('_Dates'!Y273)+1),7)),"O",""))-COUNTIFS(INDEX(AllClosureRows,C273,0),"&gt;="&amp;('_Dates'!Y273),INDEX(AllClosureRows,C273,0),"&lt;="&amp;(MIN('_Dates'!Z273,Settings!$B$9))))))</ns0:f>
        <ns0:v>0</ns0:v>
      </ns0:c>
      <ns0:c r="I273" s="0">
        <ns0:f>MAX(0,G273-H273)</ns0:f>
        <ns0:v>0</ns0:v>
      </ns0:c>
      <ns0:c r="J273" s="0">
        <ns0:f>IF(OR(A273=0,F273&lt;&gt;"OK",Bookings!G273="Cancelled",$B$6&gt;0),0,IF('_Dates'!AC273=1,MAX(0,COUNTIFS(rngEngine_B,B273,rngAMStart,"&lt;="&amp;'_Dates'!X273,rngAMEnd,"&gt;="&amp;'_Dates'!W273,rngAMActive,1,rngEngine_F,"OK",rngBookings_F,"&lt;&gt;Cancelled")-1),0)+IF('_Dates'!AD273=1,MAX(0,COUNTIFS(rngEngine_B,B273,rngPMStart,"&lt;="&amp;'_Dates'!Z273,rngPMEnd,"&gt;="&amp;'_Dates'!Y273,rngPMActive,1,rngEngine_F,"OK",rngBookings_F,"&lt;&gt;Cancelled")-1),0))</ns0:f>
        <ns0:v>0</ns0:v>
      </ns0:c>
      <ns0:c r="K273" s="0" t="str">
        <ns0:f>IF(A273=0,"",IF(F273&lt;&gt;"OK",F273,IF(J273&gt;0,"CHECK overlapping entry",IF(AND($B$6=0,G273&lt;=0,Bookings!G273&lt;&gt;"Cancelled"),"CHECK no working days",IF(Bookings!G273="Cancelled","Cancelled","OK")))))</ns0:f>
        <ns0:v/>
      </ns0:c>
      <ns0:c r="L273" s="0">
        <ns0:f>IF(LEFT(K273,5)="CHECK",1,0)</ns0:f>
        <ns0:v>0</ns0:v>
      </ns0:c>
      <ns0:c r="M273" s="0">
        <ns0:f>IF(AND(L273=1,OR(C273=0,IFERROR(INDEX($X$11:$X$60,C273),0)=0)),1,0)</ns0:f>
        <ns0:v>0</ns0:v>
      </ns0:c>
      <ns0:c r="N273" s="0">
        <ns0:f>IF(OR(A273=0,L273&gt;0,$B$6&gt;0,Bookings!G273="Cancelled"),0,G273)</ns0:f>
        <ns0:v>0</ns0:v>
      </ns0:c>
      <ns0:c r="O273" s="0">
        <ns0:f>IF(AND(Bookings!G273="Approved",E273="Yes"),N273,0)</ns0:f>
        <ns0:v>0</ns0:v>
      </ns0:c>
      <ns0:c r="P273" s="0">
        <ns0:f>IF(AND(Bookings!G273="Approved",E273="Yes",L273=0,$B$6=0),H273,0)</ns0:f>
        <ns0:v>0</ns0:v>
      </ns0:c>
      <ns0:c r="Q273" s="0">
        <ns0:f>IF(AND(Bookings!G273="Approved",E273="Yes",L273=0,$B$6=0),I273,0)</ns0:f>
        <ns0:v>0</ns0:v>
      </ns0:c>
      <ns0:c r="R273" s="0">
        <ns0:f>IF(AND(Bookings!G273="Pending",E273="Yes"),N273,0)</ns0:f>
        <ns0:v>0</ns0:v>
      </ns0:c>
      <ns0:c r="S273" s="0">
        <ns0:f>IF(AND(Bookings!G273="Approved",E273="No"),N273,0)</ns0:f>
        <ns0:v>0</ns0:v>
      </ns0:c>
      <ns0:c r="T273" s="0">
        <ns0:f>IFERROR(MATCH(D273,Settings!$G$7:$G$11,0),0)</ns0:f>
        <ns0:v>0</ns0:v>
      </ns0:c>
      <ns0:c r="U273" s="0">
        <ns0:f>IF(N273&gt;0,T273+IF(Bookings!G273="Pending",10,0),0)</ns0:f>
        <ns0:v>0</ns0:v>
      </ns0:c>
      <ns0:c r="V273" s="0">
        <ns0:f>U273</ns0:f>
        <ns0:v>0</ns0:v>
      </ns0:c>
      <ns0:c r="W273" s="0" t="str">
        <ns0:f>IF(C273=0,"",INDEX($AP$11:$AP$60,C273))</ns0:f>
        <ns0:v/>
      </ns0:c>
    </ns0:row>
    <ns0:row r="274">
      <ns0:c r="A274" s="0">
        <ns0:f>IF(COUNTA(Bookings!A274:G274,Bookings!I274)=0,0,1)</ns0:f>
        <ns0:v>0</ns0:v>
      </ns0:c>
      <ns0:c r="B274" s="0" t="str">
        <ns0:f>IFERROR(TRIM(MID(Bookings!A274,FIND(" · ",Bookings!A274)+3,99)),"")</ns0:f>
        <ns0:v/>
      </ns0:c>
      <ns0:c r="C274" s="0">
        <ns0:f>IF(OR(B274="",LEN(B274)&gt;24,ISNUMBER(FIND(" ",B274)),ISNUMBER(FIND("*",B274)),ISNUMBER(FIND("?",B274)),ISNUMBER(FIND("~",B274))),0,IFERROR(MATCH(B274,Team!$A$11:$A$60,0),0))</ns0:f>
        <ns0:v>0</ns0:v>
      </ns0:c>
      <ns0:c r="D274" s="0" t="str">
        <ns0:f>IFERROR(IF(MID(Bookings!F274,LEN(Bookings!F274)-3,3)=" · ",RIGHT(Bookings!F274,1),""),"")</ns0:f>
        <ns0:v/>
      </ns0:c>
      <ns0:c r="E274" s="0" t="str">
        <ns0:f>IFERROR(INDEX(Settings!$H$7:$H$11,MATCH(D274,Settings!$G$7:$G$11,0)),"")</ns0:f>
        <ns0:v/>
      </ns0:c>
      <ns0:c r="F274" s="0" t="str">
        <ns0:f>IF(A274=0,"",IFERROR(IF(OR(B274="",C274=0),"CHECK employee selection",IF(INDEX(Team!$O$11:$O$60,C274)&lt;&gt;"OK","CHECK employee setup",IF(OR('_Dates'!J274=0,'_Dates'!T274=0),"CHECK date: use DD.MM.YYYY",IF('_Dates'!T274&lt;'_Dates'!J274,"CHECK end before start",IF(AND($B$6=0,OR('_Dates'!J274&lt;Settings!$B$7,'_Dates'!T274&gt;Settings!$B$8)),"CHECK split across leave years",IF(OR(NOT(OR('_Dates'!U274="Full day",'_Dates'!U274="AM",'_Dates'!U274="PM")),NOT(OR('_Dates'!V274="Full day",'_Dates'!V274="AM",'_Dates'!V274="PM"))),"CHECK Full day / AM / PM",IF(AND('_Dates'!J274='_Dates'!T274,'_Dates'!U274&lt;&gt;"Full day",'_Dates'!V274&lt;&gt;"Full day",'_Dates'!U274&lt;&gt;'_Dates'!V274),"CHECK same-day portions disagree",IF(AND($B$6=0,OR(AND('_Dates'!U274&lt;&gt;"Full day",'_Dates'!AA274=0),AND('_Dates'!V274&lt;&gt;"Full day",'_Dates'!AB274=0))),"CHECK half-day on non-working date",IF(COUNTIF(Settings!$G$7:$G$11,D274)&lt;&gt;1,"CHECK leave type",IF(AND(Bookings!G274&lt;&gt;"Approved",Bookings!G274&lt;&gt;"Pending",Bookings!G274&lt;&gt;"Cancelled"),"CHECK status","OK")))))))))),"CHECK input"))</ns0:f>
        <ns0:v/>
      </ns0:c>
      <ns0:c r="G274" s="0">
        <ns0:f>IF(OR(F274&lt;&gt;"OK",$B$6&gt;0),0,0.5*(IF(('_Dates'!X274)&lt;('_Dates'!W274),0,INT((('_Dates'!X274)-('_Dates'!W274)+1)/7)*LEN(SUBSTITUTE(W274,"O",""))+LEN(SUBSTITUTE(MID(W274&amp;W274,WEEKDAY(('_Dates'!W274),2),MOD((('_Dates'!X274)-('_Dates'!W274)+1),7)),"O",""))-COUNTIFS(INDEX(AllClosureRows,C274,0),"&gt;="&amp;('_Dates'!W274),INDEX(AllClosureRows,C274,0),"&lt;="&amp;('_Dates'!X274)))+IF(('_Dates'!Z274)&lt;('_Dates'!Y274),0,INT((('_Dates'!Z274)-('_Dates'!Y274)+1)/7)*LEN(SUBSTITUTE(W274,"O",""))+LEN(SUBSTITUTE(MID(W274&amp;W274,WEEKDAY(('_Dates'!Y274),2),MOD((('_Dates'!Z274)-('_Dates'!Y274)+1),7)),"O",""))-COUNTIFS(INDEX(AllClosureRows,C274,0),"&gt;="&amp;('_Dates'!Y274),INDEX(AllClosureRows,C274,0),"&lt;="&amp;('_Dates'!Z274)))))</ns0:f>
        <ns0:v>0</ns0:v>
      </ns0:c>
      <ns0:c r="H274" s="0">
        <ns0:f>IF(OR(F274&lt;&gt;"OK",$B$6&gt;0),0,0.5*(IF((MIN('_Dates'!X274,Settings!$B$9))&lt;('_Dates'!W274),0,INT(((MIN('_Dates'!X274,Settings!$B$9))-('_Dates'!W274)+1)/7)*LEN(SUBSTITUTE(W274,"O",""))+LEN(SUBSTITUTE(MID(W274&amp;W274,WEEKDAY(('_Dates'!W274),2),MOD(((MIN('_Dates'!X274,Settings!$B$9))-('_Dates'!W274)+1),7)),"O",""))-COUNTIFS(INDEX(AllClosureRows,C274,0),"&gt;="&amp;('_Dates'!W274),INDEX(AllClosureRows,C274,0),"&lt;="&amp;(MIN('_Dates'!X274,Settings!$B$9))))+IF((MIN('_Dates'!Z274,Settings!$B$9))&lt;('_Dates'!Y274),0,INT(((MIN('_Dates'!Z274,Settings!$B$9))-('_Dates'!Y274)+1)/7)*LEN(SUBSTITUTE(W274,"O",""))+LEN(SUBSTITUTE(MID(W274&amp;W274,WEEKDAY(('_Dates'!Y274),2),MOD(((MIN('_Dates'!Z274,Settings!$B$9))-('_Dates'!Y274)+1),7)),"O",""))-COUNTIFS(INDEX(AllClosureRows,C274,0),"&gt;="&amp;('_Dates'!Y274),INDEX(AllClosureRows,C274,0),"&lt;="&amp;(MIN('_Dates'!Z274,Settings!$B$9))))))</ns0:f>
        <ns0:v>0</ns0:v>
      </ns0:c>
      <ns0:c r="I274" s="0">
        <ns0:f>MAX(0,G274-H274)</ns0:f>
        <ns0:v>0</ns0:v>
      </ns0:c>
      <ns0:c r="J274" s="0">
        <ns0:f>IF(OR(A274=0,F274&lt;&gt;"OK",Bookings!G274="Cancelled",$B$6&gt;0),0,IF('_Dates'!AC274=1,MAX(0,COUNTIFS(rngEngine_B,B274,rngAMStart,"&lt;="&amp;'_Dates'!X274,rngAMEnd,"&gt;="&amp;'_Dates'!W274,rngAMActive,1,rngEngine_F,"OK",rngBookings_F,"&lt;&gt;Cancelled")-1),0)+IF('_Dates'!AD274=1,MAX(0,COUNTIFS(rngEngine_B,B274,rngPMStart,"&lt;="&amp;'_Dates'!Z274,rngPMEnd,"&gt;="&amp;'_Dates'!Y274,rngPMActive,1,rngEngine_F,"OK",rngBookings_F,"&lt;&gt;Cancelled")-1),0))</ns0:f>
        <ns0:v>0</ns0:v>
      </ns0:c>
      <ns0:c r="K274" s="0" t="str">
        <ns0:f>IF(A274=0,"",IF(F274&lt;&gt;"OK",F274,IF(J274&gt;0,"CHECK overlapping entry",IF(AND($B$6=0,G274&lt;=0,Bookings!G274&lt;&gt;"Cancelled"),"CHECK no working days",IF(Bookings!G274="Cancelled","Cancelled","OK")))))</ns0:f>
        <ns0:v/>
      </ns0:c>
      <ns0:c r="L274" s="0">
        <ns0:f>IF(LEFT(K274,5)="CHECK",1,0)</ns0:f>
        <ns0:v>0</ns0:v>
      </ns0:c>
      <ns0:c r="M274" s="0">
        <ns0:f>IF(AND(L274=1,OR(C274=0,IFERROR(INDEX($X$11:$X$60,C274),0)=0)),1,0)</ns0:f>
        <ns0:v>0</ns0:v>
      </ns0:c>
      <ns0:c r="N274" s="0">
        <ns0:f>IF(OR(A274=0,L274&gt;0,$B$6&gt;0,Bookings!G274="Cancelled"),0,G274)</ns0:f>
        <ns0:v>0</ns0:v>
      </ns0:c>
      <ns0:c r="O274" s="0">
        <ns0:f>IF(AND(Bookings!G274="Approved",E274="Yes"),N274,0)</ns0:f>
        <ns0:v>0</ns0:v>
      </ns0:c>
      <ns0:c r="P274" s="0">
        <ns0:f>IF(AND(Bookings!G274="Approved",E274="Yes",L274=0,$B$6=0),H274,0)</ns0:f>
        <ns0:v>0</ns0:v>
      </ns0:c>
      <ns0:c r="Q274" s="0">
        <ns0:f>IF(AND(Bookings!G274="Approved",E274="Yes",L274=0,$B$6=0),I274,0)</ns0:f>
        <ns0:v>0</ns0:v>
      </ns0:c>
      <ns0:c r="R274" s="0">
        <ns0:f>IF(AND(Bookings!G274="Pending",E274="Yes"),N274,0)</ns0:f>
        <ns0:v>0</ns0:v>
      </ns0:c>
      <ns0:c r="S274" s="0">
        <ns0:f>IF(AND(Bookings!G274="Approved",E274="No"),N274,0)</ns0:f>
        <ns0:v>0</ns0:v>
      </ns0:c>
      <ns0:c r="T274" s="0">
        <ns0:f>IFERROR(MATCH(D274,Settings!$G$7:$G$11,0),0)</ns0:f>
        <ns0:v>0</ns0:v>
      </ns0:c>
      <ns0:c r="U274" s="0">
        <ns0:f>IF(N274&gt;0,T274+IF(Bookings!G274="Pending",10,0),0)</ns0:f>
        <ns0:v>0</ns0:v>
      </ns0:c>
      <ns0:c r="V274" s="0">
        <ns0:f>U274</ns0:f>
        <ns0:v>0</ns0:v>
      </ns0:c>
      <ns0:c r="W274" s="0" t="str">
        <ns0:f>IF(C274=0,"",INDEX($AP$11:$AP$60,C274))</ns0:f>
        <ns0:v/>
      </ns0:c>
    </ns0:row>
    <ns0:row r="275">
      <ns0:c r="A275" s="0">
        <ns0:f>IF(COUNTA(Bookings!A275:G275,Bookings!I275)=0,0,1)</ns0:f>
        <ns0:v>0</ns0:v>
      </ns0:c>
      <ns0:c r="B275" s="0" t="str">
        <ns0:f>IFERROR(TRIM(MID(Bookings!A275,FIND(" · ",Bookings!A275)+3,99)),"")</ns0:f>
        <ns0:v/>
      </ns0:c>
      <ns0:c r="C275" s="0">
        <ns0:f>IF(OR(B275="",LEN(B275)&gt;24,ISNUMBER(FIND(" ",B275)),ISNUMBER(FIND("*",B275)),ISNUMBER(FIND("?",B275)),ISNUMBER(FIND("~",B275))),0,IFERROR(MATCH(B275,Team!$A$11:$A$60,0),0))</ns0:f>
        <ns0:v>0</ns0:v>
      </ns0:c>
      <ns0:c r="D275" s="0" t="str">
        <ns0:f>IFERROR(IF(MID(Bookings!F275,LEN(Bookings!F275)-3,3)=" · ",RIGHT(Bookings!F275,1),""),"")</ns0:f>
        <ns0:v/>
      </ns0:c>
      <ns0:c r="E275" s="0" t="str">
        <ns0:f>IFERROR(INDEX(Settings!$H$7:$H$11,MATCH(D275,Settings!$G$7:$G$11,0)),"")</ns0:f>
        <ns0:v/>
      </ns0:c>
      <ns0:c r="F275" s="0" t="str">
        <ns0:f>IF(A275=0,"",IFERROR(IF(OR(B275="",C275=0),"CHECK employee selection",IF(INDEX(Team!$O$11:$O$60,C275)&lt;&gt;"OK","CHECK employee setup",IF(OR('_Dates'!J275=0,'_Dates'!T275=0),"CHECK date: use DD.MM.YYYY",IF('_Dates'!T275&lt;'_Dates'!J275,"CHECK end before start",IF(AND($B$6=0,OR('_Dates'!J275&lt;Settings!$B$7,'_Dates'!T275&gt;Settings!$B$8)),"CHECK split across leave years",IF(OR(NOT(OR('_Dates'!U275="Full day",'_Dates'!U275="AM",'_Dates'!U275="PM")),NOT(OR('_Dates'!V275="Full day",'_Dates'!V275="AM",'_Dates'!V275="PM"))),"CHECK Full day / AM / PM",IF(AND('_Dates'!J275='_Dates'!T275,'_Dates'!U275&lt;&gt;"Full day",'_Dates'!V275&lt;&gt;"Full day",'_Dates'!U275&lt;&gt;'_Dates'!V275),"CHECK same-day portions disagree",IF(AND($B$6=0,OR(AND('_Dates'!U275&lt;&gt;"Full day",'_Dates'!AA275=0),AND('_Dates'!V275&lt;&gt;"Full day",'_Dates'!AB275=0))),"CHECK half-day on non-working date",IF(COUNTIF(Settings!$G$7:$G$11,D275)&lt;&gt;1,"CHECK leave type",IF(AND(Bookings!G275&lt;&gt;"Approved",Bookings!G275&lt;&gt;"Pending",Bookings!G275&lt;&gt;"Cancelled"),"CHECK status","OK")))))))))),"CHECK input"))</ns0:f>
        <ns0:v/>
      </ns0:c>
      <ns0:c r="G275" s="0">
        <ns0:f>IF(OR(F275&lt;&gt;"OK",$B$6&gt;0),0,0.5*(IF(('_Dates'!X275)&lt;('_Dates'!W275),0,INT((('_Dates'!X275)-('_Dates'!W275)+1)/7)*LEN(SUBSTITUTE(W275,"O",""))+LEN(SUBSTITUTE(MID(W275&amp;W275,WEEKDAY(('_Dates'!W275),2),MOD((('_Dates'!X275)-('_Dates'!W275)+1),7)),"O",""))-COUNTIFS(INDEX(AllClosureRows,C275,0),"&gt;="&amp;('_Dates'!W275),INDEX(AllClosureRows,C275,0),"&lt;="&amp;('_Dates'!X275)))+IF(('_Dates'!Z275)&lt;('_Dates'!Y275),0,INT((('_Dates'!Z275)-('_Dates'!Y275)+1)/7)*LEN(SUBSTITUTE(W275,"O",""))+LEN(SUBSTITUTE(MID(W275&amp;W275,WEEKDAY(('_Dates'!Y275),2),MOD((('_Dates'!Z275)-('_Dates'!Y275)+1),7)),"O",""))-COUNTIFS(INDEX(AllClosureRows,C275,0),"&gt;="&amp;('_Dates'!Y275),INDEX(AllClosureRows,C275,0),"&lt;="&amp;('_Dates'!Z275)))))</ns0:f>
        <ns0:v>0</ns0:v>
      </ns0:c>
      <ns0:c r="H275" s="0">
        <ns0:f>IF(OR(F275&lt;&gt;"OK",$B$6&gt;0),0,0.5*(IF((MIN('_Dates'!X275,Settings!$B$9))&lt;('_Dates'!W275),0,INT(((MIN('_Dates'!X275,Settings!$B$9))-('_Dates'!W275)+1)/7)*LEN(SUBSTITUTE(W275,"O",""))+LEN(SUBSTITUTE(MID(W275&amp;W275,WEEKDAY(('_Dates'!W275),2),MOD(((MIN('_Dates'!X275,Settings!$B$9))-('_Dates'!W275)+1),7)),"O",""))-COUNTIFS(INDEX(AllClosureRows,C275,0),"&gt;="&amp;('_Dates'!W275),INDEX(AllClosureRows,C275,0),"&lt;="&amp;(MIN('_Dates'!X275,Settings!$B$9))))+IF((MIN('_Dates'!Z275,Settings!$B$9))&lt;('_Dates'!Y275),0,INT(((MIN('_Dates'!Z275,Settings!$B$9))-('_Dates'!Y275)+1)/7)*LEN(SUBSTITUTE(W275,"O",""))+LEN(SUBSTITUTE(MID(W275&amp;W275,WEEKDAY(('_Dates'!Y275),2),MOD(((MIN('_Dates'!Z275,Settings!$B$9))-('_Dates'!Y275)+1),7)),"O",""))-COUNTIFS(INDEX(AllClosureRows,C275,0),"&gt;="&amp;('_Dates'!Y275),INDEX(AllClosureRows,C275,0),"&lt;="&amp;(MIN('_Dates'!Z275,Settings!$B$9))))))</ns0:f>
        <ns0:v>0</ns0:v>
      </ns0:c>
      <ns0:c r="I275" s="0">
        <ns0:f>MAX(0,G275-H275)</ns0:f>
        <ns0:v>0</ns0:v>
      </ns0:c>
      <ns0:c r="J275" s="0">
        <ns0:f>IF(OR(A275=0,F275&lt;&gt;"OK",Bookings!G275="Cancelled",$B$6&gt;0),0,IF('_Dates'!AC275=1,MAX(0,COUNTIFS(rngEngine_B,B275,rngAMStart,"&lt;="&amp;'_Dates'!X275,rngAMEnd,"&gt;="&amp;'_Dates'!W275,rngAMActive,1,rngEngine_F,"OK",rngBookings_F,"&lt;&gt;Cancelled")-1),0)+IF('_Dates'!AD275=1,MAX(0,COUNTIFS(rngEngine_B,B275,rngPMStart,"&lt;="&amp;'_Dates'!Z275,rngPMEnd,"&gt;="&amp;'_Dates'!Y275,rngPMActive,1,rngEngine_F,"OK",rngBookings_F,"&lt;&gt;Cancelled")-1),0))</ns0:f>
        <ns0:v>0</ns0:v>
      </ns0:c>
      <ns0:c r="K275" s="0" t="str">
        <ns0:f>IF(A275=0,"",IF(F275&lt;&gt;"OK",F275,IF(J275&gt;0,"CHECK overlapping entry",IF(AND($B$6=0,G275&lt;=0,Bookings!G275&lt;&gt;"Cancelled"),"CHECK no working days",IF(Bookings!G275="Cancelled","Cancelled","OK")))))</ns0:f>
        <ns0:v/>
      </ns0:c>
      <ns0:c r="L275" s="0">
        <ns0:f>IF(LEFT(K275,5)="CHECK",1,0)</ns0:f>
        <ns0:v>0</ns0:v>
      </ns0:c>
      <ns0:c r="M275" s="0">
        <ns0:f>IF(AND(L275=1,OR(C275=0,IFERROR(INDEX($X$11:$X$60,C275),0)=0)),1,0)</ns0:f>
        <ns0:v>0</ns0:v>
      </ns0:c>
      <ns0:c r="N275" s="0">
        <ns0:f>IF(OR(A275=0,L275&gt;0,$B$6&gt;0,Bookings!G275="Cancelled"),0,G275)</ns0:f>
        <ns0:v>0</ns0:v>
      </ns0:c>
      <ns0:c r="O275" s="0">
        <ns0:f>IF(AND(Bookings!G275="Approved",E275="Yes"),N275,0)</ns0:f>
        <ns0:v>0</ns0:v>
      </ns0:c>
      <ns0:c r="P275" s="0">
        <ns0:f>IF(AND(Bookings!G275="Approved",E275="Yes",L275=0,$B$6=0),H275,0)</ns0:f>
        <ns0:v>0</ns0:v>
      </ns0:c>
      <ns0:c r="Q275" s="0">
        <ns0:f>IF(AND(Bookings!G275="Approved",E275="Yes",L275=0,$B$6=0),I275,0)</ns0:f>
        <ns0:v>0</ns0:v>
      </ns0:c>
      <ns0:c r="R275" s="0">
        <ns0:f>IF(AND(Bookings!G275="Pending",E275="Yes"),N275,0)</ns0:f>
        <ns0:v>0</ns0:v>
      </ns0:c>
      <ns0:c r="S275" s="0">
        <ns0:f>IF(AND(Bookings!G275="Approved",E275="No"),N275,0)</ns0:f>
        <ns0:v>0</ns0:v>
      </ns0:c>
      <ns0:c r="T275" s="0">
        <ns0:f>IFERROR(MATCH(D275,Settings!$G$7:$G$11,0),0)</ns0:f>
        <ns0:v>0</ns0:v>
      </ns0:c>
      <ns0:c r="U275" s="0">
        <ns0:f>IF(N275&gt;0,T275+IF(Bookings!G275="Pending",10,0),0)</ns0:f>
        <ns0:v>0</ns0:v>
      </ns0:c>
      <ns0:c r="V275" s="0">
        <ns0:f>U275</ns0:f>
        <ns0:v>0</ns0:v>
      </ns0:c>
      <ns0:c r="W275" s="0" t="str">
        <ns0:f>IF(C275=0,"",INDEX($AP$11:$AP$60,C275))</ns0:f>
        <ns0:v/>
      </ns0:c>
    </ns0:row>
    <ns0:row r="276">
      <ns0:c r="A276" s="0">
        <ns0:f>IF(COUNTA(Bookings!A276:G276,Bookings!I276)=0,0,1)</ns0:f>
        <ns0:v>0</ns0:v>
      </ns0:c>
      <ns0:c r="B276" s="0" t="str">
        <ns0:f>IFERROR(TRIM(MID(Bookings!A276,FIND(" · ",Bookings!A276)+3,99)),"")</ns0:f>
        <ns0:v/>
      </ns0:c>
      <ns0:c r="C276" s="0">
        <ns0:f>IF(OR(B276="",LEN(B276)&gt;24,ISNUMBER(FIND(" ",B276)),ISNUMBER(FIND("*",B276)),ISNUMBER(FIND("?",B276)),ISNUMBER(FIND("~",B276))),0,IFERROR(MATCH(B276,Team!$A$11:$A$60,0),0))</ns0:f>
        <ns0:v>0</ns0:v>
      </ns0:c>
      <ns0:c r="D276" s="0" t="str">
        <ns0:f>IFERROR(IF(MID(Bookings!F276,LEN(Bookings!F276)-3,3)=" · ",RIGHT(Bookings!F276,1),""),"")</ns0:f>
        <ns0:v/>
      </ns0:c>
      <ns0:c r="E276" s="0" t="str">
        <ns0:f>IFERROR(INDEX(Settings!$H$7:$H$11,MATCH(D276,Settings!$G$7:$G$11,0)),"")</ns0:f>
        <ns0:v/>
      </ns0:c>
      <ns0:c r="F276" s="0" t="str">
        <ns0:f>IF(A276=0,"",IFERROR(IF(OR(B276="",C276=0),"CHECK employee selection",IF(INDEX(Team!$O$11:$O$60,C276)&lt;&gt;"OK","CHECK employee setup",IF(OR('_Dates'!J276=0,'_Dates'!T276=0),"CHECK date: use DD.MM.YYYY",IF('_Dates'!T276&lt;'_Dates'!J276,"CHECK end before start",IF(AND($B$6=0,OR('_Dates'!J276&lt;Settings!$B$7,'_Dates'!T276&gt;Settings!$B$8)),"CHECK split across leave years",IF(OR(NOT(OR('_Dates'!U276="Full day",'_Dates'!U276="AM",'_Dates'!U276="PM")),NOT(OR('_Dates'!V276="Full day",'_Dates'!V276="AM",'_Dates'!V276="PM"))),"CHECK Full day / AM / PM",IF(AND('_Dates'!J276='_Dates'!T276,'_Dates'!U276&lt;&gt;"Full day",'_Dates'!V276&lt;&gt;"Full day",'_Dates'!U276&lt;&gt;'_Dates'!V276),"CHECK same-day portions disagree",IF(AND($B$6=0,OR(AND('_Dates'!U276&lt;&gt;"Full day",'_Dates'!AA276=0),AND('_Dates'!V276&lt;&gt;"Full day",'_Dates'!AB276=0))),"CHECK half-day on non-working date",IF(COUNTIF(Settings!$G$7:$G$11,D276)&lt;&gt;1,"CHECK leave type",IF(AND(Bookings!G276&lt;&gt;"Approved",Bookings!G276&lt;&gt;"Pending",Bookings!G276&lt;&gt;"Cancelled"),"CHECK status","OK")))))))))),"CHECK input"))</ns0:f>
        <ns0:v/>
      </ns0:c>
      <ns0:c r="G276" s="0">
        <ns0:f>IF(OR(F276&lt;&gt;"OK",$B$6&gt;0),0,0.5*(IF(('_Dates'!X276)&lt;('_Dates'!W276),0,INT((('_Dates'!X276)-('_Dates'!W276)+1)/7)*LEN(SUBSTITUTE(W276,"O",""))+LEN(SUBSTITUTE(MID(W276&amp;W276,WEEKDAY(('_Dates'!W276),2),MOD((('_Dates'!X276)-('_Dates'!W276)+1),7)),"O",""))-COUNTIFS(INDEX(AllClosureRows,C276,0),"&gt;="&amp;('_Dates'!W276),INDEX(AllClosureRows,C276,0),"&lt;="&amp;('_Dates'!X276)))+IF(('_Dates'!Z276)&lt;('_Dates'!Y276),0,INT((('_Dates'!Z276)-('_Dates'!Y276)+1)/7)*LEN(SUBSTITUTE(W276,"O",""))+LEN(SUBSTITUTE(MID(W276&amp;W276,WEEKDAY(('_Dates'!Y276),2),MOD((('_Dates'!Z276)-('_Dates'!Y276)+1),7)),"O",""))-COUNTIFS(INDEX(AllClosureRows,C276,0),"&gt;="&amp;('_Dates'!Y276),INDEX(AllClosureRows,C276,0),"&lt;="&amp;('_Dates'!Z276)))))</ns0:f>
        <ns0:v>0</ns0:v>
      </ns0:c>
      <ns0:c r="H276" s="0">
        <ns0:f>IF(OR(F276&lt;&gt;"OK",$B$6&gt;0),0,0.5*(IF((MIN('_Dates'!X276,Settings!$B$9))&lt;('_Dates'!W276),0,INT(((MIN('_Dates'!X276,Settings!$B$9))-('_Dates'!W276)+1)/7)*LEN(SUBSTITUTE(W276,"O",""))+LEN(SUBSTITUTE(MID(W276&amp;W276,WEEKDAY(('_Dates'!W276),2),MOD(((MIN('_Dates'!X276,Settings!$B$9))-('_Dates'!W276)+1),7)),"O",""))-COUNTIFS(INDEX(AllClosureRows,C276,0),"&gt;="&amp;('_Dates'!W276),INDEX(AllClosureRows,C276,0),"&lt;="&amp;(MIN('_Dates'!X276,Settings!$B$9))))+IF((MIN('_Dates'!Z276,Settings!$B$9))&lt;('_Dates'!Y276),0,INT(((MIN('_Dates'!Z276,Settings!$B$9))-('_Dates'!Y276)+1)/7)*LEN(SUBSTITUTE(W276,"O",""))+LEN(SUBSTITUTE(MID(W276&amp;W276,WEEKDAY(('_Dates'!Y276),2),MOD(((MIN('_Dates'!Z276,Settings!$B$9))-('_Dates'!Y276)+1),7)),"O",""))-COUNTIFS(INDEX(AllClosureRows,C276,0),"&gt;="&amp;('_Dates'!Y276),INDEX(AllClosureRows,C276,0),"&lt;="&amp;(MIN('_Dates'!Z276,Settings!$B$9))))))</ns0:f>
        <ns0:v>0</ns0:v>
      </ns0:c>
      <ns0:c r="I276" s="0">
        <ns0:f>MAX(0,G276-H276)</ns0:f>
        <ns0:v>0</ns0:v>
      </ns0:c>
      <ns0:c r="J276" s="0">
        <ns0:f>IF(OR(A276=0,F276&lt;&gt;"OK",Bookings!G276="Cancelled",$B$6&gt;0),0,IF('_Dates'!AC276=1,MAX(0,COUNTIFS(rngEngine_B,B276,rngAMStart,"&lt;="&amp;'_Dates'!X276,rngAMEnd,"&gt;="&amp;'_Dates'!W276,rngAMActive,1,rngEngine_F,"OK",rngBookings_F,"&lt;&gt;Cancelled")-1),0)+IF('_Dates'!AD276=1,MAX(0,COUNTIFS(rngEngine_B,B276,rngPMStart,"&lt;="&amp;'_Dates'!Z276,rngPMEnd,"&gt;="&amp;'_Dates'!Y276,rngPMActive,1,rngEngine_F,"OK",rngBookings_F,"&lt;&gt;Cancelled")-1),0))</ns0:f>
        <ns0:v>0</ns0:v>
      </ns0:c>
      <ns0:c r="K276" s="0" t="str">
        <ns0:f>IF(A276=0,"",IF(F276&lt;&gt;"OK",F276,IF(J276&gt;0,"CHECK overlapping entry",IF(AND($B$6=0,G276&lt;=0,Bookings!G276&lt;&gt;"Cancelled"),"CHECK no working days",IF(Bookings!G276="Cancelled","Cancelled","OK")))))</ns0:f>
        <ns0:v/>
      </ns0:c>
      <ns0:c r="L276" s="0">
        <ns0:f>IF(LEFT(K276,5)="CHECK",1,0)</ns0:f>
        <ns0:v>0</ns0:v>
      </ns0:c>
      <ns0:c r="M276" s="0">
        <ns0:f>IF(AND(L276=1,OR(C276=0,IFERROR(INDEX($X$11:$X$60,C276),0)=0)),1,0)</ns0:f>
        <ns0:v>0</ns0:v>
      </ns0:c>
      <ns0:c r="N276" s="0">
        <ns0:f>IF(OR(A276=0,L276&gt;0,$B$6&gt;0,Bookings!G276="Cancelled"),0,G276)</ns0:f>
        <ns0:v>0</ns0:v>
      </ns0:c>
      <ns0:c r="O276" s="0">
        <ns0:f>IF(AND(Bookings!G276="Approved",E276="Yes"),N276,0)</ns0:f>
        <ns0:v>0</ns0:v>
      </ns0:c>
      <ns0:c r="P276" s="0">
        <ns0:f>IF(AND(Bookings!G276="Approved",E276="Yes",L276=0,$B$6=0),H276,0)</ns0:f>
        <ns0:v>0</ns0:v>
      </ns0:c>
      <ns0:c r="Q276" s="0">
        <ns0:f>IF(AND(Bookings!G276="Approved",E276="Yes",L276=0,$B$6=0),I276,0)</ns0:f>
        <ns0:v>0</ns0:v>
      </ns0:c>
      <ns0:c r="R276" s="0">
        <ns0:f>IF(AND(Bookings!G276="Pending",E276="Yes"),N276,0)</ns0:f>
        <ns0:v>0</ns0:v>
      </ns0:c>
      <ns0:c r="S276" s="0">
        <ns0:f>IF(AND(Bookings!G276="Approved",E276="No"),N276,0)</ns0:f>
        <ns0:v>0</ns0:v>
      </ns0:c>
      <ns0:c r="T276" s="0">
        <ns0:f>IFERROR(MATCH(D276,Settings!$G$7:$G$11,0),0)</ns0:f>
        <ns0:v>0</ns0:v>
      </ns0:c>
      <ns0:c r="U276" s="0">
        <ns0:f>IF(N276&gt;0,T276+IF(Bookings!G276="Pending",10,0),0)</ns0:f>
        <ns0:v>0</ns0:v>
      </ns0:c>
      <ns0:c r="V276" s="0">
        <ns0:f>U276</ns0:f>
        <ns0:v>0</ns0:v>
      </ns0:c>
      <ns0:c r="W276" s="0" t="str">
        <ns0:f>IF(C276=0,"",INDEX($AP$11:$AP$60,C276))</ns0:f>
        <ns0:v/>
      </ns0:c>
    </ns0:row>
    <ns0:row r="277">
      <ns0:c r="A277" s="0">
        <ns0:f>IF(COUNTA(Bookings!A277:G277,Bookings!I277)=0,0,1)</ns0:f>
        <ns0:v>0</ns0:v>
      </ns0:c>
      <ns0:c r="B277" s="0" t="str">
        <ns0:f>IFERROR(TRIM(MID(Bookings!A277,FIND(" · ",Bookings!A277)+3,99)),"")</ns0:f>
        <ns0:v/>
      </ns0:c>
      <ns0:c r="C277" s="0">
        <ns0:f>IF(OR(B277="",LEN(B277)&gt;24,ISNUMBER(FIND(" ",B277)),ISNUMBER(FIND("*",B277)),ISNUMBER(FIND("?",B277)),ISNUMBER(FIND("~",B277))),0,IFERROR(MATCH(B277,Team!$A$11:$A$60,0),0))</ns0:f>
        <ns0:v>0</ns0:v>
      </ns0:c>
      <ns0:c r="D277" s="0" t="str">
        <ns0:f>IFERROR(IF(MID(Bookings!F277,LEN(Bookings!F277)-3,3)=" · ",RIGHT(Bookings!F277,1),""),"")</ns0:f>
        <ns0:v/>
      </ns0:c>
      <ns0:c r="E277" s="0" t="str">
        <ns0:f>IFERROR(INDEX(Settings!$H$7:$H$11,MATCH(D277,Settings!$G$7:$G$11,0)),"")</ns0:f>
        <ns0:v/>
      </ns0:c>
      <ns0:c r="F277" s="0" t="str">
        <ns0:f>IF(A277=0,"",IFERROR(IF(OR(B277="",C277=0),"CHECK employee selection",IF(INDEX(Team!$O$11:$O$60,C277)&lt;&gt;"OK","CHECK employee setup",IF(OR('_Dates'!J277=0,'_Dates'!T277=0),"CHECK date: use DD.MM.YYYY",IF('_Dates'!T277&lt;'_Dates'!J277,"CHECK end before start",IF(AND($B$6=0,OR('_Dates'!J277&lt;Settings!$B$7,'_Dates'!T277&gt;Settings!$B$8)),"CHECK split across leave years",IF(OR(NOT(OR('_Dates'!U277="Full day",'_Dates'!U277="AM",'_Dates'!U277="PM")),NOT(OR('_Dates'!V277="Full day",'_Dates'!V277="AM",'_Dates'!V277="PM"))),"CHECK Full day / AM / PM",IF(AND('_Dates'!J277='_Dates'!T277,'_Dates'!U277&lt;&gt;"Full day",'_Dates'!V277&lt;&gt;"Full day",'_Dates'!U277&lt;&gt;'_Dates'!V277),"CHECK same-day portions disagree",IF(AND($B$6=0,OR(AND('_Dates'!U277&lt;&gt;"Full day",'_Dates'!AA277=0),AND('_Dates'!V277&lt;&gt;"Full day",'_Dates'!AB277=0))),"CHECK half-day on non-working date",IF(COUNTIF(Settings!$G$7:$G$11,D277)&lt;&gt;1,"CHECK leave type",IF(AND(Bookings!G277&lt;&gt;"Approved",Bookings!G277&lt;&gt;"Pending",Bookings!G277&lt;&gt;"Cancelled"),"CHECK status","OK")))))))))),"CHECK input"))</ns0:f>
        <ns0:v/>
      </ns0:c>
      <ns0:c r="G277" s="0">
        <ns0:f>IF(OR(F277&lt;&gt;"OK",$B$6&gt;0),0,0.5*(IF(('_Dates'!X277)&lt;('_Dates'!W277),0,INT((('_Dates'!X277)-('_Dates'!W277)+1)/7)*LEN(SUBSTITUTE(W277,"O",""))+LEN(SUBSTITUTE(MID(W277&amp;W277,WEEKDAY(('_Dates'!W277),2),MOD((('_Dates'!X277)-('_Dates'!W277)+1),7)),"O",""))-COUNTIFS(INDEX(AllClosureRows,C277,0),"&gt;="&amp;('_Dates'!W277),INDEX(AllClosureRows,C277,0),"&lt;="&amp;('_Dates'!X277)))+IF(('_Dates'!Z277)&lt;('_Dates'!Y277),0,INT((('_Dates'!Z277)-('_Dates'!Y277)+1)/7)*LEN(SUBSTITUTE(W277,"O",""))+LEN(SUBSTITUTE(MID(W277&amp;W277,WEEKDAY(('_Dates'!Y277),2),MOD((('_Dates'!Z277)-('_Dates'!Y277)+1),7)),"O",""))-COUNTIFS(INDEX(AllClosureRows,C277,0),"&gt;="&amp;('_Dates'!Y277),INDEX(AllClosureRows,C277,0),"&lt;="&amp;('_Dates'!Z277)))))</ns0:f>
        <ns0:v>0</ns0:v>
      </ns0:c>
      <ns0:c r="H277" s="0">
        <ns0:f>IF(OR(F277&lt;&gt;"OK",$B$6&gt;0),0,0.5*(IF((MIN('_Dates'!X277,Settings!$B$9))&lt;('_Dates'!W277),0,INT(((MIN('_Dates'!X277,Settings!$B$9))-('_Dates'!W277)+1)/7)*LEN(SUBSTITUTE(W277,"O",""))+LEN(SUBSTITUTE(MID(W277&amp;W277,WEEKDAY(('_Dates'!W277),2),MOD(((MIN('_Dates'!X277,Settings!$B$9))-('_Dates'!W277)+1),7)),"O",""))-COUNTIFS(INDEX(AllClosureRows,C277,0),"&gt;="&amp;('_Dates'!W277),INDEX(AllClosureRows,C277,0),"&lt;="&amp;(MIN('_Dates'!X277,Settings!$B$9))))+IF((MIN('_Dates'!Z277,Settings!$B$9))&lt;('_Dates'!Y277),0,INT(((MIN('_Dates'!Z277,Settings!$B$9))-('_Dates'!Y277)+1)/7)*LEN(SUBSTITUTE(W277,"O",""))+LEN(SUBSTITUTE(MID(W277&amp;W277,WEEKDAY(('_Dates'!Y277),2),MOD(((MIN('_Dates'!Z277,Settings!$B$9))-('_Dates'!Y277)+1),7)),"O",""))-COUNTIFS(INDEX(AllClosureRows,C277,0),"&gt;="&amp;('_Dates'!Y277),INDEX(AllClosureRows,C277,0),"&lt;="&amp;(MIN('_Dates'!Z277,Settings!$B$9))))))</ns0:f>
        <ns0:v>0</ns0:v>
      </ns0:c>
      <ns0:c r="I277" s="0">
        <ns0:f>MAX(0,G277-H277)</ns0:f>
        <ns0:v>0</ns0:v>
      </ns0:c>
      <ns0:c r="J277" s="0">
        <ns0:f>IF(OR(A277=0,F277&lt;&gt;"OK",Bookings!G277="Cancelled",$B$6&gt;0),0,IF('_Dates'!AC277=1,MAX(0,COUNTIFS(rngEngine_B,B277,rngAMStart,"&lt;="&amp;'_Dates'!X277,rngAMEnd,"&gt;="&amp;'_Dates'!W277,rngAMActive,1,rngEngine_F,"OK",rngBookings_F,"&lt;&gt;Cancelled")-1),0)+IF('_Dates'!AD277=1,MAX(0,COUNTIFS(rngEngine_B,B277,rngPMStart,"&lt;="&amp;'_Dates'!Z277,rngPMEnd,"&gt;="&amp;'_Dates'!Y277,rngPMActive,1,rngEngine_F,"OK",rngBookings_F,"&lt;&gt;Cancelled")-1),0))</ns0:f>
        <ns0:v>0</ns0:v>
      </ns0:c>
      <ns0:c r="K277" s="0" t="str">
        <ns0:f>IF(A277=0,"",IF(F277&lt;&gt;"OK",F277,IF(J277&gt;0,"CHECK overlapping entry",IF(AND($B$6=0,G277&lt;=0,Bookings!G277&lt;&gt;"Cancelled"),"CHECK no working days",IF(Bookings!G277="Cancelled","Cancelled","OK")))))</ns0:f>
        <ns0:v/>
      </ns0:c>
      <ns0:c r="L277" s="0">
        <ns0:f>IF(LEFT(K277,5)="CHECK",1,0)</ns0:f>
        <ns0:v>0</ns0:v>
      </ns0:c>
      <ns0:c r="M277" s="0">
        <ns0:f>IF(AND(L277=1,OR(C277=0,IFERROR(INDEX($X$11:$X$60,C277),0)=0)),1,0)</ns0:f>
        <ns0:v>0</ns0:v>
      </ns0:c>
      <ns0:c r="N277" s="0">
        <ns0:f>IF(OR(A277=0,L277&gt;0,$B$6&gt;0,Bookings!G277="Cancelled"),0,G277)</ns0:f>
        <ns0:v>0</ns0:v>
      </ns0:c>
      <ns0:c r="O277" s="0">
        <ns0:f>IF(AND(Bookings!G277="Approved",E277="Yes"),N277,0)</ns0:f>
        <ns0:v>0</ns0:v>
      </ns0:c>
      <ns0:c r="P277" s="0">
        <ns0:f>IF(AND(Bookings!G277="Approved",E277="Yes",L277=0,$B$6=0),H277,0)</ns0:f>
        <ns0:v>0</ns0:v>
      </ns0:c>
      <ns0:c r="Q277" s="0">
        <ns0:f>IF(AND(Bookings!G277="Approved",E277="Yes",L277=0,$B$6=0),I277,0)</ns0:f>
        <ns0:v>0</ns0:v>
      </ns0:c>
      <ns0:c r="R277" s="0">
        <ns0:f>IF(AND(Bookings!G277="Pending",E277="Yes"),N277,0)</ns0:f>
        <ns0:v>0</ns0:v>
      </ns0:c>
      <ns0:c r="S277" s="0">
        <ns0:f>IF(AND(Bookings!G277="Approved",E277="No"),N277,0)</ns0:f>
        <ns0:v>0</ns0:v>
      </ns0:c>
      <ns0:c r="T277" s="0">
        <ns0:f>IFERROR(MATCH(D277,Settings!$G$7:$G$11,0),0)</ns0:f>
        <ns0:v>0</ns0:v>
      </ns0:c>
      <ns0:c r="U277" s="0">
        <ns0:f>IF(N277&gt;0,T277+IF(Bookings!G277="Pending",10,0),0)</ns0:f>
        <ns0:v>0</ns0:v>
      </ns0:c>
      <ns0:c r="V277" s="0">
        <ns0:f>U277</ns0:f>
        <ns0:v>0</ns0:v>
      </ns0:c>
      <ns0:c r="W277" s="0" t="str">
        <ns0:f>IF(C277=0,"",INDEX($AP$11:$AP$60,C277))</ns0:f>
        <ns0:v/>
      </ns0:c>
    </ns0:row>
    <ns0:row r="278">
      <ns0:c r="A278" s="0">
        <ns0:f>IF(COUNTA(Bookings!A278:G278,Bookings!I278)=0,0,1)</ns0:f>
        <ns0:v>0</ns0:v>
      </ns0:c>
      <ns0:c r="B278" s="0" t="str">
        <ns0:f>IFERROR(TRIM(MID(Bookings!A278,FIND(" · ",Bookings!A278)+3,99)),"")</ns0:f>
        <ns0:v/>
      </ns0:c>
      <ns0:c r="C278" s="0">
        <ns0:f>IF(OR(B278="",LEN(B278)&gt;24,ISNUMBER(FIND(" ",B278)),ISNUMBER(FIND("*",B278)),ISNUMBER(FIND("?",B278)),ISNUMBER(FIND("~",B278))),0,IFERROR(MATCH(B278,Team!$A$11:$A$60,0),0))</ns0:f>
        <ns0:v>0</ns0:v>
      </ns0:c>
      <ns0:c r="D278" s="0" t="str">
        <ns0:f>IFERROR(IF(MID(Bookings!F278,LEN(Bookings!F278)-3,3)=" · ",RIGHT(Bookings!F278,1),""),"")</ns0:f>
        <ns0:v/>
      </ns0:c>
      <ns0:c r="E278" s="0" t="str">
        <ns0:f>IFERROR(INDEX(Settings!$H$7:$H$11,MATCH(D278,Settings!$G$7:$G$11,0)),"")</ns0:f>
        <ns0:v/>
      </ns0:c>
      <ns0:c r="F278" s="0" t="str">
        <ns0:f>IF(A278=0,"",IFERROR(IF(OR(B278="",C278=0),"CHECK employee selection",IF(INDEX(Team!$O$11:$O$60,C278)&lt;&gt;"OK","CHECK employee setup",IF(OR('_Dates'!J278=0,'_Dates'!T278=0),"CHECK date: use DD.MM.YYYY",IF('_Dates'!T278&lt;'_Dates'!J278,"CHECK end before start",IF(AND($B$6=0,OR('_Dates'!J278&lt;Settings!$B$7,'_Dates'!T278&gt;Settings!$B$8)),"CHECK split across leave years",IF(OR(NOT(OR('_Dates'!U278="Full day",'_Dates'!U278="AM",'_Dates'!U278="PM")),NOT(OR('_Dates'!V278="Full day",'_Dates'!V278="AM",'_Dates'!V278="PM"))),"CHECK Full day / AM / PM",IF(AND('_Dates'!J278='_Dates'!T278,'_Dates'!U278&lt;&gt;"Full day",'_Dates'!V278&lt;&gt;"Full day",'_Dates'!U278&lt;&gt;'_Dates'!V278),"CHECK same-day portions disagree",IF(AND($B$6=0,OR(AND('_Dates'!U278&lt;&gt;"Full day",'_Dates'!AA278=0),AND('_Dates'!V278&lt;&gt;"Full day",'_Dates'!AB278=0))),"CHECK half-day on non-working date",IF(COUNTIF(Settings!$G$7:$G$11,D278)&lt;&gt;1,"CHECK leave type",IF(AND(Bookings!G278&lt;&gt;"Approved",Bookings!G278&lt;&gt;"Pending",Bookings!G278&lt;&gt;"Cancelled"),"CHECK status","OK")))))))))),"CHECK input"))</ns0:f>
        <ns0:v/>
      </ns0:c>
      <ns0:c r="G278" s="0">
        <ns0:f>IF(OR(F278&lt;&gt;"OK",$B$6&gt;0),0,0.5*(IF(('_Dates'!X278)&lt;('_Dates'!W278),0,INT((('_Dates'!X278)-('_Dates'!W278)+1)/7)*LEN(SUBSTITUTE(W278,"O",""))+LEN(SUBSTITUTE(MID(W278&amp;W278,WEEKDAY(('_Dates'!W278),2),MOD((('_Dates'!X278)-('_Dates'!W278)+1),7)),"O",""))-COUNTIFS(INDEX(AllClosureRows,C278,0),"&gt;="&amp;('_Dates'!W278),INDEX(AllClosureRows,C278,0),"&lt;="&amp;('_Dates'!X278)))+IF(('_Dates'!Z278)&lt;('_Dates'!Y278),0,INT((('_Dates'!Z278)-('_Dates'!Y278)+1)/7)*LEN(SUBSTITUTE(W278,"O",""))+LEN(SUBSTITUTE(MID(W278&amp;W278,WEEKDAY(('_Dates'!Y278),2),MOD((('_Dates'!Z278)-('_Dates'!Y278)+1),7)),"O",""))-COUNTIFS(INDEX(AllClosureRows,C278,0),"&gt;="&amp;('_Dates'!Y278),INDEX(AllClosureRows,C278,0),"&lt;="&amp;('_Dates'!Z278)))))</ns0:f>
        <ns0:v>0</ns0:v>
      </ns0:c>
      <ns0:c r="H278" s="0">
        <ns0:f>IF(OR(F278&lt;&gt;"OK",$B$6&gt;0),0,0.5*(IF((MIN('_Dates'!X278,Settings!$B$9))&lt;('_Dates'!W278),0,INT(((MIN('_Dates'!X278,Settings!$B$9))-('_Dates'!W278)+1)/7)*LEN(SUBSTITUTE(W278,"O",""))+LEN(SUBSTITUTE(MID(W278&amp;W278,WEEKDAY(('_Dates'!W278),2),MOD(((MIN('_Dates'!X278,Settings!$B$9))-('_Dates'!W278)+1),7)),"O",""))-COUNTIFS(INDEX(AllClosureRows,C278,0),"&gt;="&amp;('_Dates'!W278),INDEX(AllClosureRows,C278,0),"&lt;="&amp;(MIN('_Dates'!X278,Settings!$B$9))))+IF((MIN('_Dates'!Z278,Settings!$B$9))&lt;('_Dates'!Y278),0,INT(((MIN('_Dates'!Z278,Settings!$B$9))-('_Dates'!Y278)+1)/7)*LEN(SUBSTITUTE(W278,"O",""))+LEN(SUBSTITUTE(MID(W278&amp;W278,WEEKDAY(('_Dates'!Y278),2),MOD(((MIN('_Dates'!Z278,Settings!$B$9))-('_Dates'!Y278)+1),7)),"O",""))-COUNTIFS(INDEX(AllClosureRows,C278,0),"&gt;="&amp;('_Dates'!Y278),INDEX(AllClosureRows,C278,0),"&lt;="&amp;(MIN('_Dates'!Z278,Settings!$B$9))))))</ns0:f>
        <ns0:v>0</ns0:v>
      </ns0:c>
      <ns0:c r="I278" s="0">
        <ns0:f>MAX(0,G278-H278)</ns0:f>
        <ns0:v>0</ns0:v>
      </ns0:c>
      <ns0:c r="J278" s="0">
        <ns0:f>IF(OR(A278=0,F278&lt;&gt;"OK",Bookings!G278="Cancelled",$B$6&gt;0),0,IF('_Dates'!AC278=1,MAX(0,COUNTIFS(rngEngine_B,B278,rngAMStart,"&lt;="&amp;'_Dates'!X278,rngAMEnd,"&gt;="&amp;'_Dates'!W278,rngAMActive,1,rngEngine_F,"OK",rngBookings_F,"&lt;&gt;Cancelled")-1),0)+IF('_Dates'!AD278=1,MAX(0,COUNTIFS(rngEngine_B,B278,rngPMStart,"&lt;="&amp;'_Dates'!Z278,rngPMEnd,"&gt;="&amp;'_Dates'!Y278,rngPMActive,1,rngEngine_F,"OK",rngBookings_F,"&lt;&gt;Cancelled")-1),0))</ns0:f>
        <ns0:v>0</ns0:v>
      </ns0:c>
      <ns0:c r="K278" s="0" t="str">
        <ns0:f>IF(A278=0,"",IF(F278&lt;&gt;"OK",F278,IF(J278&gt;0,"CHECK overlapping entry",IF(AND($B$6=0,G278&lt;=0,Bookings!G278&lt;&gt;"Cancelled"),"CHECK no working days",IF(Bookings!G278="Cancelled","Cancelled","OK")))))</ns0:f>
        <ns0:v/>
      </ns0:c>
      <ns0:c r="L278" s="0">
        <ns0:f>IF(LEFT(K278,5)="CHECK",1,0)</ns0:f>
        <ns0:v>0</ns0:v>
      </ns0:c>
      <ns0:c r="M278" s="0">
        <ns0:f>IF(AND(L278=1,OR(C278=0,IFERROR(INDEX($X$11:$X$60,C278),0)=0)),1,0)</ns0:f>
        <ns0:v>0</ns0:v>
      </ns0:c>
      <ns0:c r="N278" s="0">
        <ns0:f>IF(OR(A278=0,L278&gt;0,$B$6&gt;0,Bookings!G278="Cancelled"),0,G278)</ns0:f>
        <ns0:v>0</ns0:v>
      </ns0:c>
      <ns0:c r="O278" s="0">
        <ns0:f>IF(AND(Bookings!G278="Approved",E278="Yes"),N278,0)</ns0:f>
        <ns0:v>0</ns0:v>
      </ns0:c>
      <ns0:c r="P278" s="0">
        <ns0:f>IF(AND(Bookings!G278="Approved",E278="Yes",L278=0,$B$6=0),H278,0)</ns0:f>
        <ns0:v>0</ns0:v>
      </ns0:c>
      <ns0:c r="Q278" s="0">
        <ns0:f>IF(AND(Bookings!G278="Approved",E278="Yes",L278=0,$B$6=0),I278,0)</ns0:f>
        <ns0:v>0</ns0:v>
      </ns0:c>
      <ns0:c r="R278" s="0">
        <ns0:f>IF(AND(Bookings!G278="Pending",E278="Yes"),N278,0)</ns0:f>
        <ns0:v>0</ns0:v>
      </ns0:c>
      <ns0:c r="S278" s="0">
        <ns0:f>IF(AND(Bookings!G278="Approved",E278="No"),N278,0)</ns0:f>
        <ns0:v>0</ns0:v>
      </ns0:c>
      <ns0:c r="T278" s="0">
        <ns0:f>IFERROR(MATCH(D278,Settings!$G$7:$G$11,0),0)</ns0:f>
        <ns0:v>0</ns0:v>
      </ns0:c>
      <ns0:c r="U278" s="0">
        <ns0:f>IF(N278&gt;0,T278+IF(Bookings!G278="Pending",10,0),0)</ns0:f>
        <ns0:v>0</ns0:v>
      </ns0:c>
      <ns0:c r="V278" s="0">
        <ns0:f>U278</ns0:f>
        <ns0:v>0</ns0:v>
      </ns0:c>
      <ns0:c r="W278" s="0" t="str">
        <ns0:f>IF(C278=0,"",INDEX($AP$11:$AP$60,C278))</ns0:f>
        <ns0:v/>
      </ns0:c>
    </ns0:row>
    <ns0:row r="279">
      <ns0:c r="A279" s="0">
        <ns0:f>IF(COUNTA(Bookings!A279:G279,Bookings!I279)=0,0,1)</ns0:f>
        <ns0:v>0</ns0:v>
      </ns0:c>
      <ns0:c r="B279" s="0" t="str">
        <ns0:f>IFERROR(TRIM(MID(Bookings!A279,FIND(" · ",Bookings!A279)+3,99)),"")</ns0:f>
        <ns0:v/>
      </ns0:c>
      <ns0:c r="C279" s="0">
        <ns0:f>IF(OR(B279="",LEN(B279)&gt;24,ISNUMBER(FIND(" ",B279)),ISNUMBER(FIND("*",B279)),ISNUMBER(FIND("?",B279)),ISNUMBER(FIND("~",B279))),0,IFERROR(MATCH(B279,Team!$A$11:$A$60,0),0))</ns0:f>
        <ns0:v>0</ns0:v>
      </ns0:c>
      <ns0:c r="D279" s="0" t="str">
        <ns0:f>IFERROR(IF(MID(Bookings!F279,LEN(Bookings!F279)-3,3)=" · ",RIGHT(Bookings!F279,1),""),"")</ns0:f>
        <ns0:v/>
      </ns0:c>
      <ns0:c r="E279" s="0" t="str">
        <ns0:f>IFERROR(INDEX(Settings!$H$7:$H$11,MATCH(D279,Settings!$G$7:$G$11,0)),"")</ns0:f>
        <ns0:v/>
      </ns0:c>
      <ns0:c r="F279" s="0" t="str">
        <ns0:f>IF(A279=0,"",IFERROR(IF(OR(B279="",C279=0),"CHECK employee selection",IF(INDEX(Team!$O$11:$O$60,C279)&lt;&gt;"OK","CHECK employee setup",IF(OR('_Dates'!J279=0,'_Dates'!T279=0),"CHECK date: use DD.MM.YYYY",IF('_Dates'!T279&lt;'_Dates'!J279,"CHECK end before start",IF(AND($B$6=0,OR('_Dates'!J279&lt;Settings!$B$7,'_Dates'!T279&gt;Settings!$B$8)),"CHECK split across leave years",IF(OR(NOT(OR('_Dates'!U279="Full day",'_Dates'!U279="AM",'_Dates'!U279="PM")),NOT(OR('_Dates'!V279="Full day",'_Dates'!V279="AM",'_Dates'!V279="PM"))),"CHECK Full day / AM / PM",IF(AND('_Dates'!J279='_Dates'!T279,'_Dates'!U279&lt;&gt;"Full day",'_Dates'!V279&lt;&gt;"Full day",'_Dates'!U279&lt;&gt;'_Dates'!V279),"CHECK same-day portions disagree",IF(AND($B$6=0,OR(AND('_Dates'!U279&lt;&gt;"Full day",'_Dates'!AA279=0),AND('_Dates'!V279&lt;&gt;"Full day",'_Dates'!AB279=0))),"CHECK half-day on non-working date",IF(COUNTIF(Settings!$G$7:$G$11,D279)&lt;&gt;1,"CHECK leave type",IF(AND(Bookings!G279&lt;&gt;"Approved",Bookings!G279&lt;&gt;"Pending",Bookings!G279&lt;&gt;"Cancelled"),"CHECK status","OK")))))))))),"CHECK input"))</ns0:f>
        <ns0:v/>
      </ns0:c>
      <ns0:c r="G279" s="0">
        <ns0:f>IF(OR(F279&lt;&gt;"OK",$B$6&gt;0),0,0.5*(IF(('_Dates'!X279)&lt;('_Dates'!W279),0,INT((('_Dates'!X279)-('_Dates'!W279)+1)/7)*LEN(SUBSTITUTE(W279,"O",""))+LEN(SUBSTITUTE(MID(W279&amp;W279,WEEKDAY(('_Dates'!W279),2),MOD((('_Dates'!X279)-('_Dates'!W279)+1),7)),"O",""))-COUNTIFS(INDEX(AllClosureRows,C279,0),"&gt;="&amp;('_Dates'!W279),INDEX(AllClosureRows,C279,0),"&lt;="&amp;('_Dates'!X279)))+IF(('_Dates'!Z279)&lt;('_Dates'!Y279),0,INT((('_Dates'!Z279)-('_Dates'!Y279)+1)/7)*LEN(SUBSTITUTE(W279,"O",""))+LEN(SUBSTITUTE(MID(W279&amp;W279,WEEKDAY(('_Dates'!Y279),2),MOD((('_Dates'!Z279)-('_Dates'!Y279)+1),7)),"O",""))-COUNTIFS(INDEX(AllClosureRows,C279,0),"&gt;="&amp;('_Dates'!Y279),INDEX(AllClosureRows,C279,0),"&lt;="&amp;('_Dates'!Z279)))))</ns0:f>
        <ns0:v>0</ns0:v>
      </ns0:c>
      <ns0:c r="H279" s="0">
        <ns0:f>IF(OR(F279&lt;&gt;"OK",$B$6&gt;0),0,0.5*(IF((MIN('_Dates'!X279,Settings!$B$9))&lt;('_Dates'!W279),0,INT(((MIN('_Dates'!X279,Settings!$B$9))-('_Dates'!W279)+1)/7)*LEN(SUBSTITUTE(W279,"O",""))+LEN(SUBSTITUTE(MID(W279&amp;W279,WEEKDAY(('_Dates'!W279),2),MOD(((MIN('_Dates'!X279,Settings!$B$9))-('_Dates'!W279)+1),7)),"O",""))-COUNTIFS(INDEX(AllClosureRows,C279,0),"&gt;="&amp;('_Dates'!W279),INDEX(AllClosureRows,C279,0),"&lt;="&amp;(MIN('_Dates'!X279,Settings!$B$9))))+IF((MIN('_Dates'!Z279,Settings!$B$9))&lt;('_Dates'!Y279),0,INT(((MIN('_Dates'!Z279,Settings!$B$9))-('_Dates'!Y279)+1)/7)*LEN(SUBSTITUTE(W279,"O",""))+LEN(SUBSTITUTE(MID(W279&amp;W279,WEEKDAY(('_Dates'!Y279),2),MOD(((MIN('_Dates'!Z279,Settings!$B$9))-('_Dates'!Y279)+1),7)),"O",""))-COUNTIFS(INDEX(AllClosureRows,C279,0),"&gt;="&amp;('_Dates'!Y279),INDEX(AllClosureRows,C279,0),"&lt;="&amp;(MIN('_Dates'!Z279,Settings!$B$9))))))</ns0:f>
        <ns0:v>0</ns0:v>
      </ns0:c>
      <ns0:c r="I279" s="0">
        <ns0:f>MAX(0,G279-H279)</ns0:f>
        <ns0:v>0</ns0:v>
      </ns0:c>
      <ns0:c r="J279" s="0">
        <ns0:f>IF(OR(A279=0,F279&lt;&gt;"OK",Bookings!G279="Cancelled",$B$6&gt;0),0,IF('_Dates'!AC279=1,MAX(0,COUNTIFS(rngEngine_B,B279,rngAMStart,"&lt;="&amp;'_Dates'!X279,rngAMEnd,"&gt;="&amp;'_Dates'!W279,rngAMActive,1,rngEngine_F,"OK",rngBookings_F,"&lt;&gt;Cancelled")-1),0)+IF('_Dates'!AD279=1,MAX(0,COUNTIFS(rngEngine_B,B279,rngPMStart,"&lt;="&amp;'_Dates'!Z279,rngPMEnd,"&gt;="&amp;'_Dates'!Y279,rngPMActive,1,rngEngine_F,"OK",rngBookings_F,"&lt;&gt;Cancelled")-1),0))</ns0:f>
        <ns0:v>0</ns0:v>
      </ns0:c>
      <ns0:c r="K279" s="0" t="str">
        <ns0:f>IF(A279=0,"",IF(F279&lt;&gt;"OK",F279,IF(J279&gt;0,"CHECK overlapping entry",IF(AND($B$6=0,G279&lt;=0,Bookings!G279&lt;&gt;"Cancelled"),"CHECK no working days",IF(Bookings!G279="Cancelled","Cancelled","OK")))))</ns0:f>
        <ns0:v/>
      </ns0:c>
      <ns0:c r="L279" s="0">
        <ns0:f>IF(LEFT(K279,5)="CHECK",1,0)</ns0:f>
        <ns0:v>0</ns0:v>
      </ns0:c>
      <ns0:c r="M279" s="0">
        <ns0:f>IF(AND(L279=1,OR(C279=0,IFERROR(INDEX($X$11:$X$60,C279),0)=0)),1,0)</ns0:f>
        <ns0:v>0</ns0:v>
      </ns0:c>
      <ns0:c r="N279" s="0">
        <ns0:f>IF(OR(A279=0,L279&gt;0,$B$6&gt;0,Bookings!G279="Cancelled"),0,G279)</ns0:f>
        <ns0:v>0</ns0:v>
      </ns0:c>
      <ns0:c r="O279" s="0">
        <ns0:f>IF(AND(Bookings!G279="Approved",E279="Yes"),N279,0)</ns0:f>
        <ns0:v>0</ns0:v>
      </ns0:c>
      <ns0:c r="P279" s="0">
        <ns0:f>IF(AND(Bookings!G279="Approved",E279="Yes",L279=0,$B$6=0),H279,0)</ns0:f>
        <ns0:v>0</ns0:v>
      </ns0:c>
      <ns0:c r="Q279" s="0">
        <ns0:f>IF(AND(Bookings!G279="Approved",E279="Yes",L279=0,$B$6=0),I279,0)</ns0:f>
        <ns0:v>0</ns0:v>
      </ns0:c>
      <ns0:c r="R279" s="0">
        <ns0:f>IF(AND(Bookings!G279="Pending",E279="Yes"),N279,0)</ns0:f>
        <ns0:v>0</ns0:v>
      </ns0:c>
      <ns0:c r="S279" s="0">
        <ns0:f>IF(AND(Bookings!G279="Approved",E279="No"),N279,0)</ns0:f>
        <ns0:v>0</ns0:v>
      </ns0:c>
      <ns0:c r="T279" s="0">
        <ns0:f>IFERROR(MATCH(D279,Settings!$G$7:$G$11,0),0)</ns0:f>
        <ns0:v>0</ns0:v>
      </ns0:c>
      <ns0:c r="U279" s="0">
        <ns0:f>IF(N279&gt;0,T279+IF(Bookings!G279="Pending",10,0),0)</ns0:f>
        <ns0:v>0</ns0:v>
      </ns0:c>
      <ns0:c r="V279" s="0">
        <ns0:f>U279</ns0:f>
        <ns0:v>0</ns0:v>
      </ns0:c>
      <ns0:c r="W279" s="0" t="str">
        <ns0:f>IF(C279=0,"",INDEX($AP$11:$AP$60,C279))</ns0:f>
        <ns0:v/>
      </ns0:c>
    </ns0:row>
    <ns0:row r="280">
      <ns0:c r="A280" s="0">
        <ns0:f>IF(COUNTA(Bookings!A280:G280,Bookings!I280)=0,0,1)</ns0:f>
        <ns0:v>0</ns0:v>
      </ns0:c>
      <ns0:c r="B280" s="0" t="str">
        <ns0:f>IFERROR(TRIM(MID(Bookings!A280,FIND(" · ",Bookings!A280)+3,99)),"")</ns0:f>
        <ns0:v/>
      </ns0:c>
      <ns0:c r="C280" s="0">
        <ns0:f>IF(OR(B280="",LEN(B280)&gt;24,ISNUMBER(FIND(" ",B280)),ISNUMBER(FIND("*",B280)),ISNUMBER(FIND("?",B280)),ISNUMBER(FIND("~",B280))),0,IFERROR(MATCH(B280,Team!$A$11:$A$60,0),0))</ns0:f>
        <ns0:v>0</ns0:v>
      </ns0:c>
      <ns0:c r="D280" s="0" t="str">
        <ns0:f>IFERROR(IF(MID(Bookings!F280,LEN(Bookings!F280)-3,3)=" · ",RIGHT(Bookings!F280,1),""),"")</ns0:f>
        <ns0:v/>
      </ns0:c>
      <ns0:c r="E280" s="0" t="str">
        <ns0:f>IFERROR(INDEX(Settings!$H$7:$H$11,MATCH(D280,Settings!$G$7:$G$11,0)),"")</ns0:f>
        <ns0:v/>
      </ns0:c>
      <ns0:c r="F280" s="0" t="str">
        <ns0:f>IF(A280=0,"",IFERROR(IF(OR(B280="",C280=0),"CHECK employee selection",IF(INDEX(Team!$O$11:$O$60,C280)&lt;&gt;"OK","CHECK employee setup",IF(OR('_Dates'!J280=0,'_Dates'!T280=0),"CHECK date: use DD.MM.YYYY",IF('_Dates'!T280&lt;'_Dates'!J280,"CHECK end before start",IF(AND($B$6=0,OR('_Dates'!J280&lt;Settings!$B$7,'_Dates'!T280&gt;Settings!$B$8)),"CHECK split across leave years",IF(OR(NOT(OR('_Dates'!U280="Full day",'_Dates'!U280="AM",'_Dates'!U280="PM")),NOT(OR('_Dates'!V280="Full day",'_Dates'!V280="AM",'_Dates'!V280="PM"))),"CHECK Full day / AM / PM",IF(AND('_Dates'!J280='_Dates'!T280,'_Dates'!U280&lt;&gt;"Full day",'_Dates'!V280&lt;&gt;"Full day",'_Dates'!U280&lt;&gt;'_Dates'!V280),"CHECK same-day portions disagree",IF(AND($B$6=0,OR(AND('_Dates'!U280&lt;&gt;"Full day",'_Dates'!AA280=0),AND('_Dates'!V280&lt;&gt;"Full day",'_Dates'!AB280=0))),"CHECK half-day on non-working date",IF(COUNTIF(Settings!$G$7:$G$11,D280)&lt;&gt;1,"CHECK leave type",IF(AND(Bookings!G280&lt;&gt;"Approved",Bookings!G280&lt;&gt;"Pending",Bookings!G280&lt;&gt;"Cancelled"),"CHECK status","OK")))))))))),"CHECK input"))</ns0:f>
        <ns0:v/>
      </ns0:c>
      <ns0:c r="G280" s="0">
        <ns0:f>IF(OR(F280&lt;&gt;"OK",$B$6&gt;0),0,0.5*(IF(('_Dates'!X280)&lt;('_Dates'!W280),0,INT((('_Dates'!X280)-('_Dates'!W280)+1)/7)*LEN(SUBSTITUTE(W280,"O",""))+LEN(SUBSTITUTE(MID(W280&amp;W280,WEEKDAY(('_Dates'!W280),2),MOD((('_Dates'!X280)-('_Dates'!W280)+1),7)),"O",""))-COUNTIFS(INDEX(AllClosureRows,C280,0),"&gt;="&amp;('_Dates'!W280),INDEX(AllClosureRows,C280,0),"&lt;="&amp;('_Dates'!X280)))+IF(('_Dates'!Z280)&lt;('_Dates'!Y280),0,INT((('_Dates'!Z280)-('_Dates'!Y280)+1)/7)*LEN(SUBSTITUTE(W280,"O",""))+LEN(SUBSTITUTE(MID(W280&amp;W280,WEEKDAY(('_Dates'!Y280),2),MOD((('_Dates'!Z280)-('_Dates'!Y280)+1),7)),"O",""))-COUNTIFS(INDEX(AllClosureRows,C280,0),"&gt;="&amp;('_Dates'!Y280),INDEX(AllClosureRows,C280,0),"&lt;="&amp;('_Dates'!Z280)))))</ns0:f>
        <ns0:v>0</ns0:v>
      </ns0:c>
      <ns0:c r="H280" s="0">
        <ns0:f>IF(OR(F280&lt;&gt;"OK",$B$6&gt;0),0,0.5*(IF((MIN('_Dates'!X280,Settings!$B$9))&lt;('_Dates'!W280),0,INT(((MIN('_Dates'!X280,Settings!$B$9))-('_Dates'!W280)+1)/7)*LEN(SUBSTITUTE(W280,"O",""))+LEN(SUBSTITUTE(MID(W280&amp;W280,WEEKDAY(('_Dates'!W280),2),MOD(((MIN('_Dates'!X280,Settings!$B$9))-('_Dates'!W280)+1),7)),"O",""))-COUNTIFS(INDEX(AllClosureRows,C280,0),"&gt;="&amp;('_Dates'!W280),INDEX(AllClosureRows,C280,0),"&lt;="&amp;(MIN('_Dates'!X280,Settings!$B$9))))+IF((MIN('_Dates'!Z280,Settings!$B$9))&lt;('_Dates'!Y280),0,INT(((MIN('_Dates'!Z280,Settings!$B$9))-('_Dates'!Y280)+1)/7)*LEN(SUBSTITUTE(W280,"O",""))+LEN(SUBSTITUTE(MID(W280&amp;W280,WEEKDAY(('_Dates'!Y280),2),MOD(((MIN('_Dates'!Z280,Settings!$B$9))-('_Dates'!Y280)+1),7)),"O",""))-COUNTIFS(INDEX(AllClosureRows,C280,0),"&gt;="&amp;('_Dates'!Y280),INDEX(AllClosureRows,C280,0),"&lt;="&amp;(MIN('_Dates'!Z280,Settings!$B$9))))))</ns0:f>
        <ns0:v>0</ns0:v>
      </ns0:c>
      <ns0:c r="I280" s="0">
        <ns0:f>MAX(0,G280-H280)</ns0:f>
        <ns0:v>0</ns0:v>
      </ns0:c>
      <ns0:c r="J280" s="0">
        <ns0:f>IF(OR(A280=0,F280&lt;&gt;"OK",Bookings!G280="Cancelled",$B$6&gt;0),0,IF('_Dates'!AC280=1,MAX(0,COUNTIFS(rngEngine_B,B280,rngAMStart,"&lt;="&amp;'_Dates'!X280,rngAMEnd,"&gt;="&amp;'_Dates'!W280,rngAMActive,1,rngEngine_F,"OK",rngBookings_F,"&lt;&gt;Cancelled")-1),0)+IF('_Dates'!AD280=1,MAX(0,COUNTIFS(rngEngine_B,B280,rngPMStart,"&lt;="&amp;'_Dates'!Z280,rngPMEnd,"&gt;="&amp;'_Dates'!Y280,rngPMActive,1,rngEngine_F,"OK",rngBookings_F,"&lt;&gt;Cancelled")-1),0))</ns0:f>
        <ns0:v>0</ns0:v>
      </ns0:c>
      <ns0:c r="K280" s="0" t="str">
        <ns0:f>IF(A280=0,"",IF(F280&lt;&gt;"OK",F280,IF(J280&gt;0,"CHECK overlapping entry",IF(AND($B$6=0,G280&lt;=0,Bookings!G280&lt;&gt;"Cancelled"),"CHECK no working days",IF(Bookings!G280="Cancelled","Cancelled","OK")))))</ns0:f>
        <ns0:v/>
      </ns0:c>
      <ns0:c r="L280" s="0">
        <ns0:f>IF(LEFT(K280,5)="CHECK",1,0)</ns0:f>
        <ns0:v>0</ns0:v>
      </ns0:c>
      <ns0:c r="M280" s="0">
        <ns0:f>IF(AND(L280=1,OR(C280=0,IFERROR(INDEX($X$11:$X$60,C280),0)=0)),1,0)</ns0:f>
        <ns0:v>0</ns0:v>
      </ns0:c>
      <ns0:c r="N280" s="0">
        <ns0:f>IF(OR(A280=0,L280&gt;0,$B$6&gt;0,Bookings!G280="Cancelled"),0,G280)</ns0:f>
        <ns0:v>0</ns0:v>
      </ns0:c>
      <ns0:c r="O280" s="0">
        <ns0:f>IF(AND(Bookings!G280="Approved",E280="Yes"),N280,0)</ns0:f>
        <ns0:v>0</ns0:v>
      </ns0:c>
      <ns0:c r="P280" s="0">
        <ns0:f>IF(AND(Bookings!G280="Approved",E280="Yes",L280=0,$B$6=0),H280,0)</ns0:f>
        <ns0:v>0</ns0:v>
      </ns0:c>
      <ns0:c r="Q280" s="0">
        <ns0:f>IF(AND(Bookings!G280="Approved",E280="Yes",L280=0,$B$6=0),I280,0)</ns0:f>
        <ns0:v>0</ns0:v>
      </ns0:c>
      <ns0:c r="R280" s="0">
        <ns0:f>IF(AND(Bookings!G280="Pending",E280="Yes"),N280,0)</ns0:f>
        <ns0:v>0</ns0:v>
      </ns0:c>
      <ns0:c r="S280" s="0">
        <ns0:f>IF(AND(Bookings!G280="Approved",E280="No"),N280,0)</ns0:f>
        <ns0:v>0</ns0:v>
      </ns0:c>
      <ns0:c r="T280" s="0">
        <ns0:f>IFERROR(MATCH(D280,Settings!$G$7:$G$11,0),0)</ns0:f>
        <ns0:v>0</ns0:v>
      </ns0:c>
      <ns0:c r="U280" s="0">
        <ns0:f>IF(N280&gt;0,T280+IF(Bookings!G280="Pending",10,0),0)</ns0:f>
        <ns0:v>0</ns0:v>
      </ns0:c>
      <ns0:c r="V280" s="0">
        <ns0:f>U280</ns0:f>
        <ns0:v>0</ns0:v>
      </ns0:c>
      <ns0:c r="W280" s="0" t="str">
        <ns0:f>IF(C280=0,"",INDEX($AP$11:$AP$60,C280))</ns0:f>
        <ns0:v/>
      </ns0:c>
    </ns0:row>
    <ns0:row r="281">
      <ns0:c r="A281" s="0">
        <ns0:f>IF(COUNTA(Bookings!A281:G281,Bookings!I281)=0,0,1)</ns0:f>
        <ns0:v>0</ns0:v>
      </ns0:c>
      <ns0:c r="B281" s="0" t="str">
        <ns0:f>IFERROR(TRIM(MID(Bookings!A281,FIND(" · ",Bookings!A281)+3,99)),"")</ns0:f>
        <ns0:v/>
      </ns0:c>
      <ns0:c r="C281" s="0">
        <ns0:f>IF(OR(B281="",LEN(B281)&gt;24,ISNUMBER(FIND(" ",B281)),ISNUMBER(FIND("*",B281)),ISNUMBER(FIND("?",B281)),ISNUMBER(FIND("~",B281))),0,IFERROR(MATCH(B281,Team!$A$11:$A$60,0),0))</ns0:f>
        <ns0:v>0</ns0:v>
      </ns0:c>
      <ns0:c r="D281" s="0" t="str">
        <ns0:f>IFERROR(IF(MID(Bookings!F281,LEN(Bookings!F281)-3,3)=" · ",RIGHT(Bookings!F281,1),""),"")</ns0:f>
        <ns0:v/>
      </ns0:c>
      <ns0:c r="E281" s="0" t="str">
        <ns0:f>IFERROR(INDEX(Settings!$H$7:$H$11,MATCH(D281,Settings!$G$7:$G$11,0)),"")</ns0:f>
        <ns0:v/>
      </ns0:c>
      <ns0:c r="F281" s="0" t="str">
        <ns0:f>IF(A281=0,"",IFERROR(IF(OR(B281="",C281=0),"CHECK employee selection",IF(INDEX(Team!$O$11:$O$60,C281)&lt;&gt;"OK","CHECK employee setup",IF(OR('_Dates'!J281=0,'_Dates'!T281=0),"CHECK date: use DD.MM.YYYY",IF('_Dates'!T281&lt;'_Dates'!J281,"CHECK end before start",IF(AND($B$6=0,OR('_Dates'!J281&lt;Settings!$B$7,'_Dates'!T281&gt;Settings!$B$8)),"CHECK split across leave years",IF(OR(NOT(OR('_Dates'!U281="Full day",'_Dates'!U281="AM",'_Dates'!U281="PM")),NOT(OR('_Dates'!V281="Full day",'_Dates'!V281="AM",'_Dates'!V281="PM"))),"CHECK Full day / AM / PM",IF(AND('_Dates'!J281='_Dates'!T281,'_Dates'!U281&lt;&gt;"Full day",'_Dates'!V281&lt;&gt;"Full day",'_Dates'!U281&lt;&gt;'_Dates'!V281),"CHECK same-day portions disagree",IF(AND($B$6=0,OR(AND('_Dates'!U281&lt;&gt;"Full day",'_Dates'!AA281=0),AND('_Dates'!V281&lt;&gt;"Full day",'_Dates'!AB281=0))),"CHECK half-day on non-working date",IF(COUNTIF(Settings!$G$7:$G$11,D281)&lt;&gt;1,"CHECK leave type",IF(AND(Bookings!G281&lt;&gt;"Approved",Bookings!G281&lt;&gt;"Pending",Bookings!G281&lt;&gt;"Cancelled"),"CHECK status","OK")))))))))),"CHECK input"))</ns0:f>
        <ns0:v/>
      </ns0:c>
      <ns0:c r="G281" s="0">
        <ns0:f>IF(OR(F281&lt;&gt;"OK",$B$6&gt;0),0,0.5*(IF(('_Dates'!X281)&lt;('_Dates'!W281),0,INT((('_Dates'!X281)-('_Dates'!W281)+1)/7)*LEN(SUBSTITUTE(W281,"O",""))+LEN(SUBSTITUTE(MID(W281&amp;W281,WEEKDAY(('_Dates'!W281),2),MOD((('_Dates'!X281)-('_Dates'!W281)+1),7)),"O",""))-COUNTIFS(INDEX(AllClosureRows,C281,0),"&gt;="&amp;('_Dates'!W281),INDEX(AllClosureRows,C281,0),"&lt;="&amp;('_Dates'!X281)))+IF(('_Dates'!Z281)&lt;('_Dates'!Y281),0,INT((('_Dates'!Z281)-('_Dates'!Y281)+1)/7)*LEN(SUBSTITUTE(W281,"O",""))+LEN(SUBSTITUTE(MID(W281&amp;W281,WEEKDAY(('_Dates'!Y281),2),MOD((('_Dates'!Z281)-('_Dates'!Y281)+1),7)),"O",""))-COUNTIFS(INDEX(AllClosureRows,C281,0),"&gt;="&amp;('_Dates'!Y281),INDEX(AllClosureRows,C281,0),"&lt;="&amp;('_Dates'!Z281)))))</ns0:f>
        <ns0:v>0</ns0:v>
      </ns0:c>
      <ns0:c r="H281" s="0">
        <ns0:f>IF(OR(F281&lt;&gt;"OK",$B$6&gt;0),0,0.5*(IF((MIN('_Dates'!X281,Settings!$B$9))&lt;('_Dates'!W281),0,INT(((MIN('_Dates'!X281,Settings!$B$9))-('_Dates'!W281)+1)/7)*LEN(SUBSTITUTE(W281,"O",""))+LEN(SUBSTITUTE(MID(W281&amp;W281,WEEKDAY(('_Dates'!W281),2),MOD(((MIN('_Dates'!X281,Settings!$B$9))-('_Dates'!W281)+1),7)),"O",""))-COUNTIFS(INDEX(AllClosureRows,C281,0),"&gt;="&amp;('_Dates'!W281),INDEX(AllClosureRows,C281,0),"&lt;="&amp;(MIN('_Dates'!X281,Settings!$B$9))))+IF((MIN('_Dates'!Z281,Settings!$B$9))&lt;('_Dates'!Y281),0,INT(((MIN('_Dates'!Z281,Settings!$B$9))-('_Dates'!Y281)+1)/7)*LEN(SUBSTITUTE(W281,"O",""))+LEN(SUBSTITUTE(MID(W281&amp;W281,WEEKDAY(('_Dates'!Y281),2),MOD(((MIN('_Dates'!Z281,Settings!$B$9))-('_Dates'!Y281)+1),7)),"O",""))-COUNTIFS(INDEX(AllClosureRows,C281,0),"&gt;="&amp;('_Dates'!Y281),INDEX(AllClosureRows,C281,0),"&lt;="&amp;(MIN('_Dates'!Z281,Settings!$B$9))))))</ns0:f>
        <ns0:v>0</ns0:v>
      </ns0:c>
      <ns0:c r="I281" s="0">
        <ns0:f>MAX(0,G281-H281)</ns0:f>
        <ns0:v>0</ns0:v>
      </ns0:c>
      <ns0:c r="J281" s="0">
        <ns0:f>IF(OR(A281=0,F281&lt;&gt;"OK",Bookings!G281="Cancelled",$B$6&gt;0),0,IF('_Dates'!AC281=1,MAX(0,COUNTIFS(rngEngine_B,B281,rngAMStart,"&lt;="&amp;'_Dates'!X281,rngAMEnd,"&gt;="&amp;'_Dates'!W281,rngAMActive,1,rngEngine_F,"OK",rngBookings_F,"&lt;&gt;Cancelled")-1),0)+IF('_Dates'!AD281=1,MAX(0,COUNTIFS(rngEngine_B,B281,rngPMStart,"&lt;="&amp;'_Dates'!Z281,rngPMEnd,"&gt;="&amp;'_Dates'!Y281,rngPMActive,1,rngEngine_F,"OK",rngBookings_F,"&lt;&gt;Cancelled")-1),0))</ns0:f>
        <ns0:v>0</ns0:v>
      </ns0:c>
      <ns0:c r="K281" s="0" t="str">
        <ns0:f>IF(A281=0,"",IF(F281&lt;&gt;"OK",F281,IF(J281&gt;0,"CHECK overlapping entry",IF(AND($B$6=0,G281&lt;=0,Bookings!G281&lt;&gt;"Cancelled"),"CHECK no working days",IF(Bookings!G281="Cancelled","Cancelled","OK")))))</ns0:f>
        <ns0:v/>
      </ns0:c>
      <ns0:c r="L281" s="0">
        <ns0:f>IF(LEFT(K281,5)="CHECK",1,0)</ns0:f>
        <ns0:v>0</ns0:v>
      </ns0:c>
      <ns0:c r="M281" s="0">
        <ns0:f>IF(AND(L281=1,OR(C281=0,IFERROR(INDEX($X$11:$X$60,C281),0)=0)),1,0)</ns0:f>
        <ns0:v>0</ns0:v>
      </ns0:c>
      <ns0:c r="N281" s="0">
        <ns0:f>IF(OR(A281=0,L281&gt;0,$B$6&gt;0,Bookings!G281="Cancelled"),0,G281)</ns0:f>
        <ns0:v>0</ns0:v>
      </ns0:c>
      <ns0:c r="O281" s="0">
        <ns0:f>IF(AND(Bookings!G281="Approved",E281="Yes"),N281,0)</ns0:f>
        <ns0:v>0</ns0:v>
      </ns0:c>
      <ns0:c r="P281" s="0">
        <ns0:f>IF(AND(Bookings!G281="Approved",E281="Yes",L281=0,$B$6=0),H281,0)</ns0:f>
        <ns0:v>0</ns0:v>
      </ns0:c>
      <ns0:c r="Q281" s="0">
        <ns0:f>IF(AND(Bookings!G281="Approved",E281="Yes",L281=0,$B$6=0),I281,0)</ns0:f>
        <ns0:v>0</ns0:v>
      </ns0:c>
      <ns0:c r="R281" s="0">
        <ns0:f>IF(AND(Bookings!G281="Pending",E281="Yes"),N281,0)</ns0:f>
        <ns0:v>0</ns0:v>
      </ns0:c>
      <ns0:c r="S281" s="0">
        <ns0:f>IF(AND(Bookings!G281="Approved",E281="No"),N281,0)</ns0:f>
        <ns0:v>0</ns0:v>
      </ns0:c>
      <ns0:c r="T281" s="0">
        <ns0:f>IFERROR(MATCH(D281,Settings!$G$7:$G$11,0),0)</ns0:f>
        <ns0:v>0</ns0:v>
      </ns0:c>
      <ns0:c r="U281" s="0">
        <ns0:f>IF(N281&gt;0,T281+IF(Bookings!G281="Pending",10,0),0)</ns0:f>
        <ns0:v>0</ns0:v>
      </ns0:c>
      <ns0:c r="V281" s="0">
        <ns0:f>U281</ns0:f>
        <ns0:v>0</ns0:v>
      </ns0:c>
      <ns0:c r="W281" s="0" t="str">
        <ns0:f>IF(C281=0,"",INDEX($AP$11:$AP$60,C281))</ns0:f>
        <ns0:v/>
      </ns0:c>
    </ns0:row>
    <ns0:row r="282">
      <ns0:c r="A282" s="0">
        <ns0:f>IF(COUNTA(Bookings!A282:G282,Bookings!I282)=0,0,1)</ns0:f>
        <ns0:v>0</ns0:v>
      </ns0:c>
      <ns0:c r="B282" s="0" t="str">
        <ns0:f>IFERROR(TRIM(MID(Bookings!A282,FIND(" · ",Bookings!A282)+3,99)),"")</ns0:f>
        <ns0:v/>
      </ns0:c>
      <ns0:c r="C282" s="0">
        <ns0:f>IF(OR(B282="",LEN(B282)&gt;24,ISNUMBER(FIND(" ",B282)),ISNUMBER(FIND("*",B282)),ISNUMBER(FIND("?",B282)),ISNUMBER(FIND("~",B282))),0,IFERROR(MATCH(B282,Team!$A$11:$A$60,0),0))</ns0:f>
        <ns0:v>0</ns0:v>
      </ns0:c>
      <ns0:c r="D282" s="0" t="str">
        <ns0:f>IFERROR(IF(MID(Bookings!F282,LEN(Bookings!F282)-3,3)=" · ",RIGHT(Bookings!F282,1),""),"")</ns0:f>
        <ns0:v/>
      </ns0:c>
      <ns0:c r="E282" s="0" t="str">
        <ns0:f>IFERROR(INDEX(Settings!$H$7:$H$11,MATCH(D282,Settings!$G$7:$G$11,0)),"")</ns0:f>
        <ns0:v/>
      </ns0:c>
      <ns0:c r="F282" s="0" t="str">
        <ns0:f>IF(A282=0,"",IFERROR(IF(OR(B282="",C282=0),"CHECK employee selection",IF(INDEX(Team!$O$11:$O$60,C282)&lt;&gt;"OK","CHECK employee setup",IF(OR('_Dates'!J282=0,'_Dates'!T282=0),"CHECK date: use DD.MM.YYYY",IF('_Dates'!T282&lt;'_Dates'!J282,"CHECK end before start",IF(AND($B$6=0,OR('_Dates'!J282&lt;Settings!$B$7,'_Dates'!T282&gt;Settings!$B$8)),"CHECK split across leave years",IF(OR(NOT(OR('_Dates'!U282="Full day",'_Dates'!U282="AM",'_Dates'!U282="PM")),NOT(OR('_Dates'!V282="Full day",'_Dates'!V282="AM",'_Dates'!V282="PM"))),"CHECK Full day / AM / PM",IF(AND('_Dates'!J282='_Dates'!T282,'_Dates'!U282&lt;&gt;"Full day",'_Dates'!V282&lt;&gt;"Full day",'_Dates'!U282&lt;&gt;'_Dates'!V282),"CHECK same-day portions disagree",IF(AND($B$6=0,OR(AND('_Dates'!U282&lt;&gt;"Full day",'_Dates'!AA282=0),AND('_Dates'!V282&lt;&gt;"Full day",'_Dates'!AB282=0))),"CHECK half-day on non-working date",IF(COUNTIF(Settings!$G$7:$G$11,D282)&lt;&gt;1,"CHECK leave type",IF(AND(Bookings!G282&lt;&gt;"Approved",Bookings!G282&lt;&gt;"Pending",Bookings!G282&lt;&gt;"Cancelled"),"CHECK status","OK")))))))))),"CHECK input"))</ns0:f>
        <ns0:v/>
      </ns0:c>
      <ns0:c r="G282" s="0">
        <ns0:f>IF(OR(F282&lt;&gt;"OK",$B$6&gt;0),0,0.5*(IF(('_Dates'!X282)&lt;('_Dates'!W282),0,INT((('_Dates'!X282)-('_Dates'!W282)+1)/7)*LEN(SUBSTITUTE(W282,"O",""))+LEN(SUBSTITUTE(MID(W282&amp;W282,WEEKDAY(('_Dates'!W282),2),MOD((('_Dates'!X282)-('_Dates'!W282)+1),7)),"O",""))-COUNTIFS(INDEX(AllClosureRows,C282,0),"&gt;="&amp;('_Dates'!W282),INDEX(AllClosureRows,C282,0),"&lt;="&amp;('_Dates'!X282)))+IF(('_Dates'!Z282)&lt;('_Dates'!Y282),0,INT((('_Dates'!Z282)-('_Dates'!Y282)+1)/7)*LEN(SUBSTITUTE(W282,"O",""))+LEN(SUBSTITUTE(MID(W282&amp;W282,WEEKDAY(('_Dates'!Y282),2),MOD((('_Dates'!Z282)-('_Dates'!Y282)+1),7)),"O",""))-COUNTIFS(INDEX(AllClosureRows,C282,0),"&gt;="&amp;('_Dates'!Y282),INDEX(AllClosureRows,C282,0),"&lt;="&amp;('_Dates'!Z282)))))</ns0:f>
        <ns0:v>0</ns0:v>
      </ns0:c>
      <ns0:c r="H282" s="0">
        <ns0:f>IF(OR(F282&lt;&gt;"OK",$B$6&gt;0),0,0.5*(IF((MIN('_Dates'!X282,Settings!$B$9))&lt;('_Dates'!W282),0,INT(((MIN('_Dates'!X282,Settings!$B$9))-('_Dates'!W282)+1)/7)*LEN(SUBSTITUTE(W282,"O",""))+LEN(SUBSTITUTE(MID(W282&amp;W282,WEEKDAY(('_Dates'!W282),2),MOD(((MIN('_Dates'!X282,Settings!$B$9))-('_Dates'!W282)+1),7)),"O",""))-COUNTIFS(INDEX(AllClosureRows,C282,0),"&gt;="&amp;('_Dates'!W282),INDEX(AllClosureRows,C282,0),"&lt;="&amp;(MIN('_Dates'!X282,Settings!$B$9))))+IF((MIN('_Dates'!Z282,Settings!$B$9))&lt;('_Dates'!Y282),0,INT(((MIN('_Dates'!Z282,Settings!$B$9))-('_Dates'!Y282)+1)/7)*LEN(SUBSTITUTE(W282,"O",""))+LEN(SUBSTITUTE(MID(W282&amp;W282,WEEKDAY(('_Dates'!Y282),2),MOD(((MIN('_Dates'!Z282,Settings!$B$9))-('_Dates'!Y282)+1),7)),"O",""))-COUNTIFS(INDEX(AllClosureRows,C282,0),"&gt;="&amp;('_Dates'!Y282),INDEX(AllClosureRows,C282,0),"&lt;="&amp;(MIN('_Dates'!Z282,Settings!$B$9))))))</ns0:f>
        <ns0:v>0</ns0:v>
      </ns0:c>
      <ns0:c r="I282" s="0">
        <ns0:f>MAX(0,G282-H282)</ns0:f>
        <ns0:v>0</ns0:v>
      </ns0:c>
      <ns0:c r="J282" s="0">
        <ns0:f>IF(OR(A282=0,F282&lt;&gt;"OK",Bookings!G282="Cancelled",$B$6&gt;0),0,IF('_Dates'!AC282=1,MAX(0,COUNTIFS(rngEngine_B,B282,rngAMStart,"&lt;="&amp;'_Dates'!X282,rngAMEnd,"&gt;="&amp;'_Dates'!W282,rngAMActive,1,rngEngine_F,"OK",rngBookings_F,"&lt;&gt;Cancelled")-1),0)+IF('_Dates'!AD282=1,MAX(0,COUNTIFS(rngEngine_B,B282,rngPMStart,"&lt;="&amp;'_Dates'!Z282,rngPMEnd,"&gt;="&amp;'_Dates'!Y282,rngPMActive,1,rngEngine_F,"OK",rngBookings_F,"&lt;&gt;Cancelled")-1),0))</ns0:f>
        <ns0:v>0</ns0:v>
      </ns0:c>
      <ns0:c r="K282" s="0" t="str">
        <ns0:f>IF(A282=0,"",IF(F282&lt;&gt;"OK",F282,IF(J282&gt;0,"CHECK overlapping entry",IF(AND($B$6=0,G282&lt;=0,Bookings!G282&lt;&gt;"Cancelled"),"CHECK no working days",IF(Bookings!G282="Cancelled","Cancelled","OK")))))</ns0:f>
        <ns0:v/>
      </ns0:c>
      <ns0:c r="L282" s="0">
        <ns0:f>IF(LEFT(K282,5)="CHECK",1,0)</ns0:f>
        <ns0:v>0</ns0:v>
      </ns0:c>
      <ns0:c r="M282" s="0">
        <ns0:f>IF(AND(L282=1,OR(C282=0,IFERROR(INDEX($X$11:$X$60,C282),0)=0)),1,0)</ns0:f>
        <ns0:v>0</ns0:v>
      </ns0:c>
      <ns0:c r="N282" s="0">
        <ns0:f>IF(OR(A282=0,L282&gt;0,$B$6&gt;0,Bookings!G282="Cancelled"),0,G282)</ns0:f>
        <ns0:v>0</ns0:v>
      </ns0:c>
      <ns0:c r="O282" s="0">
        <ns0:f>IF(AND(Bookings!G282="Approved",E282="Yes"),N282,0)</ns0:f>
        <ns0:v>0</ns0:v>
      </ns0:c>
      <ns0:c r="P282" s="0">
        <ns0:f>IF(AND(Bookings!G282="Approved",E282="Yes",L282=0,$B$6=0),H282,0)</ns0:f>
        <ns0:v>0</ns0:v>
      </ns0:c>
      <ns0:c r="Q282" s="0">
        <ns0:f>IF(AND(Bookings!G282="Approved",E282="Yes",L282=0,$B$6=0),I282,0)</ns0:f>
        <ns0:v>0</ns0:v>
      </ns0:c>
      <ns0:c r="R282" s="0">
        <ns0:f>IF(AND(Bookings!G282="Pending",E282="Yes"),N282,0)</ns0:f>
        <ns0:v>0</ns0:v>
      </ns0:c>
      <ns0:c r="S282" s="0">
        <ns0:f>IF(AND(Bookings!G282="Approved",E282="No"),N282,0)</ns0:f>
        <ns0:v>0</ns0:v>
      </ns0:c>
      <ns0:c r="T282" s="0">
        <ns0:f>IFERROR(MATCH(D282,Settings!$G$7:$G$11,0),0)</ns0:f>
        <ns0:v>0</ns0:v>
      </ns0:c>
      <ns0:c r="U282" s="0">
        <ns0:f>IF(N282&gt;0,T282+IF(Bookings!G282="Pending",10,0),0)</ns0:f>
        <ns0:v>0</ns0:v>
      </ns0:c>
      <ns0:c r="V282" s="0">
        <ns0:f>U282</ns0:f>
        <ns0:v>0</ns0:v>
      </ns0:c>
      <ns0:c r="W282" s="0" t="str">
        <ns0:f>IF(C282=0,"",INDEX($AP$11:$AP$60,C282))</ns0:f>
        <ns0:v/>
      </ns0:c>
    </ns0:row>
    <ns0:row r="283">
      <ns0:c r="A283" s="0">
        <ns0:f>IF(COUNTA(Bookings!A283:G283,Bookings!I283)=0,0,1)</ns0:f>
        <ns0:v>0</ns0:v>
      </ns0:c>
      <ns0:c r="B283" s="0" t="str">
        <ns0:f>IFERROR(TRIM(MID(Bookings!A283,FIND(" · ",Bookings!A283)+3,99)),"")</ns0:f>
        <ns0:v/>
      </ns0:c>
      <ns0:c r="C283" s="0">
        <ns0:f>IF(OR(B283="",LEN(B283)&gt;24,ISNUMBER(FIND(" ",B283)),ISNUMBER(FIND("*",B283)),ISNUMBER(FIND("?",B283)),ISNUMBER(FIND("~",B283))),0,IFERROR(MATCH(B283,Team!$A$11:$A$60,0),0))</ns0:f>
        <ns0:v>0</ns0:v>
      </ns0:c>
      <ns0:c r="D283" s="0" t="str">
        <ns0:f>IFERROR(IF(MID(Bookings!F283,LEN(Bookings!F283)-3,3)=" · ",RIGHT(Bookings!F283,1),""),"")</ns0:f>
        <ns0:v/>
      </ns0:c>
      <ns0:c r="E283" s="0" t="str">
        <ns0:f>IFERROR(INDEX(Settings!$H$7:$H$11,MATCH(D283,Settings!$G$7:$G$11,0)),"")</ns0:f>
        <ns0:v/>
      </ns0:c>
      <ns0:c r="F283" s="0" t="str">
        <ns0:f>IF(A283=0,"",IFERROR(IF(OR(B283="",C283=0),"CHECK employee selection",IF(INDEX(Team!$O$11:$O$60,C283)&lt;&gt;"OK","CHECK employee setup",IF(OR('_Dates'!J283=0,'_Dates'!T283=0),"CHECK date: use DD.MM.YYYY",IF('_Dates'!T283&lt;'_Dates'!J283,"CHECK end before start",IF(AND($B$6=0,OR('_Dates'!J283&lt;Settings!$B$7,'_Dates'!T283&gt;Settings!$B$8)),"CHECK split across leave years",IF(OR(NOT(OR('_Dates'!U283="Full day",'_Dates'!U283="AM",'_Dates'!U283="PM")),NOT(OR('_Dates'!V283="Full day",'_Dates'!V283="AM",'_Dates'!V283="PM"))),"CHECK Full day / AM / PM",IF(AND('_Dates'!J283='_Dates'!T283,'_Dates'!U283&lt;&gt;"Full day",'_Dates'!V283&lt;&gt;"Full day",'_Dates'!U283&lt;&gt;'_Dates'!V283),"CHECK same-day portions disagree",IF(AND($B$6=0,OR(AND('_Dates'!U283&lt;&gt;"Full day",'_Dates'!AA283=0),AND('_Dates'!V283&lt;&gt;"Full day",'_Dates'!AB283=0))),"CHECK half-day on non-working date",IF(COUNTIF(Settings!$G$7:$G$11,D283)&lt;&gt;1,"CHECK leave type",IF(AND(Bookings!G283&lt;&gt;"Approved",Bookings!G283&lt;&gt;"Pending",Bookings!G283&lt;&gt;"Cancelled"),"CHECK status","OK")))))))))),"CHECK input"))</ns0:f>
        <ns0:v/>
      </ns0:c>
      <ns0:c r="G283" s="0">
        <ns0:f>IF(OR(F283&lt;&gt;"OK",$B$6&gt;0),0,0.5*(IF(('_Dates'!X283)&lt;('_Dates'!W283),0,INT((('_Dates'!X283)-('_Dates'!W283)+1)/7)*LEN(SUBSTITUTE(W283,"O",""))+LEN(SUBSTITUTE(MID(W283&amp;W283,WEEKDAY(('_Dates'!W283),2),MOD((('_Dates'!X283)-('_Dates'!W283)+1),7)),"O",""))-COUNTIFS(INDEX(AllClosureRows,C283,0),"&gt;="&amp;('_Dates'!W283),INDEX(AllClosureRows,C283,0),"&lt;="&amp;('_Dates'!X283)))+IF(('_Dates'!Z283)&lt;('_Dates'!Y283),0,INT((('_Dates'!Z283)-('_Dates'!Y283)+1)/7)*LEN(SUBSTITUTE(W283,"O",""))+LEN(SUBSTITUTE(MID(W283&amp;W283,WEEKDAY(('_Dates'!Y283),2),MOD((('_Dates'!Z283)-('_Dates'!Y283)+1),7)),"O",""))-COUNTIFS(INDEX(AllClosureRows,C283,0),"&gt;="&amp;('_Dates'!Y283),INDEX(AllClosureRows,C283,0),"&lt;="&amp;('_Dates'!Z283)))))</ns0:f>
        <ns0:v>0</ns0:v>
      </ns0:c>
      <ns0:c r="H283" s="0">
        <ns0:f>IF(OR(F283&lt;&gt;"OK",$B$6&gt;0),0,0.5*(IF((MIN('_Dates'!X283,Settings!$B$9))&lt;('_Dates'!W283),0,INT(((MIN('_Dates'!X283,Settings!$B$9))-('_Dates'!W283)+1)/7)*LEN(SUBSTITUTE(W283,"O",""))+LEN(SUBSTITUTE(MID(W283&amp;W283,WEEKDAY(('_Dates'!W283),2),MOD(((MIN('_Dates'!X283,Settings!$B$9))-('_Dates'!W283)+1),7)),"O",""))-COUNTIFS(INDEX(AllClosureRows,C283,0),"&gt;="&amp;('_Dates'!W283),INDEX(AllClosureRows,C283,0),"&lt;="&amp;(MIN('_Dates'!X283,Settings!$B$9))))+IF((MIN('_Dates'!Z283,Settings!$B$9))&lt;('_Dates'!Y283),0,INT(((MIN('_Dates'!Z283,Settings!$B$9))-('_Dates'!Y283)+1)/7)*LEN(SUBSTITUTE(W283,"O",""))+LEN(SUBSTITUTE(MID(W283&amp;W283,WEEKDAY(('_Dates'!Y283),2),MOD(((MIN('_Dates'!Z283,Settings!$B$9))-('_Dates'!Y283)+1),7)),"O",""))-COUNTIFS(INDEX(AllClosureRows,C283,0),"&gt;="&amp;('_Dates'!Y283),INDEX(AllClosureRows,C283,0),"&lt;="&amp;(MIN('_Dates'!Z283,Settings!$B$9))))))</ns0:f>
        <ns0:v>0</ns0:v>
      </ns0:c>
      <ns0:c r="I283" s="0">
        <ns0:f>MAX(0,G283-H283)</ns0:f>
        <ns0:v>0</ns0:v>
      </ns0:c>
      <ns0:c r="J283" s="0">
        <ns0:f>IF(OR(A283=0,F283&lt;&gt;"OK",Bookings!G283="Cancelled",$B$6&gt;0),0,IF('_Dates'!AC283=1,MAX(0,COUNTIFS(rngEngine_B,B283,rngAMStart,"&lt;="&amp;'_Dates'!X283,rngAMEnd,"&gt;="&amp;'_Dates'!W283,rngAMActive,1,rngEngine_F,"OK",rngBookings_F,"&lt;&gt;Cancelled")-1),0)+IF('_Dates'!AD283=1,MAX(0,COUNTIFS(rngEngine_B,B283,rngPMStart,"&lt;="&amp;'_Dates'!Z283,rngPMEnd,"&gt;="&amp;'_Dates'!Y283,rngPMActive,1,rngEngine_F,"OK",rngBookings_F,"&lt;&gt;Cancelled")-1),0))</ns0:f>
        <ns0:v>0</ns0:v>
      </ns0:c>
      <ns0:c r="K283" s="0" t="str">
        <ns0:f>IF(A283=0,"",IF(F283&lt;&gt;"OK",F283,IF(J283&gt;0,"CHECK overlapping entry",IF(AND($B$6=0,G283&lt;=0,Bookings!G283&lt;&gt;"Cancelled"),"CHECK no working days",IF(Bookings!G283="Cancelled","Cancelled","OK")))))</ns0:f>
        <ns0:v/>
      </ns0:c>
      <ns0:c r="L283" s="0">
        <ns0:f>IF(LEFT(K283,5)="CHECK",1,0)</ns0:f>
        <ns0:v>0</ns0:v>
      </ns0:c>
      <ns0:c r="M283" s="0">
        <ns0:f>IF(AND(L283=1,OR(C283=0,IFERROR(INDEX($X$11:$X$60,C283),0)=0)),1,0)</ns0:f>
        <ns0:v>0</ns0:v>
      </ns0:c>
      <ns0:c r="N283" s="0">
        <ns0:f>IF(OR(A283=0,L283&gt;0,$B$6&gt;0,Bookings!G283="Cancelled"),0,G283)</ns0:f>
        <ns0:v>0</ns0:v>
      </ns0:c>
      <ns0:c r="O283" s="0">
        <ns0:f>IF(AND(Bookings!G283="Approved",E283="Yes"),N283,0)</ns0:f>
        <ns0:v>0</ns0:v>
      </ns0:c>
      <ns0:c r="P283" s="0">
        <ns0:f>IF(AND(Bookings!G283="Approved",E283="Yes",L283=0,$B$6=0),H283,0)</ns0:f>
        <ns0:v>0</ns0:v>
      </ns0:c>
      <ns0:c r="Q283" s="0">
        <ns0:f>IF(AND(Bookings!G283="Approved",E283="Yes",L283=0,$B$6=0),I283,0)</ns0:f>
        <ns0:v>0</ns0:v>
      </ns0:c>
      <ns0:c r="R283" s="0">
        <ns0:f>IF(AND(Bookings!G283="Pending",E283="Yes"),N283,0)</ns0:f>
        <ns0:v>0</ns0:v>
      </ns0:c>
      <ns0:c r="S283" s="0">
        <ns0:f>IF(AND(Bookings!G283="Approved",E283="No"),N283,0)</ns0:f>
        <ns0:v>0</ns0:v>
      </ns0:c>
      <ns0:c r="T283" s="0">
        <ns0:f>IFERROR(MATCH(D283,Settings!$G$7:$G$11,0),0)</ns0:f>
        <ns0:v>0</ns0:v>
      </ns0:c>
      <ns0:c r="U283" s="0">
        <ns0:f>IF(N283&gt;0,T283+IF(Bookings!G283="Pending",10,0),0)</ns0:f>
        <ns0:v>0</ns0:v>
      </ns0:c>
      <ns0:c r="V283" s="0">
        <ns0:f>U283</ns0:f>
        <ns0:v>0</ns0:v>
      </ns0:c>
      <ns0:c r="W283" s="0" t="str">
        <ns0:f>IF(C283=0,"",INDEX($AP$11:$AP$60,C283))</ns0:f>
        <ns0:v/>
      </ns0:c>
    </ns0:row>
    <ns0:row r="284">
      <ns0:c r="A284" s="0">
        <ns0:f>IF(COUNTA(Bookings!A284:G284,Bookings!I284)=0,0,1)</ns0:f>
        <ns0:v>0</ns0:v>
      </ns0:c>
      <ns0:c r="B284" s="0" t="str">
        <ns0:f>IFERROR(TRIM(MID(Bookings!A284,FIND(" · ",Bookings!A284)+3,99)),"")</ns0:f>
        <ns0:v/>
      </ns0:c>
      <ns0:c r="C284" s="0">
        <ns0:f>IF(OR(B284="",LEN(B284)&gt;24,ISNUMBER(FIND(" ",B284)),ISNUMBER(FIND("*",B284)),ISNUMBER(FIND("?",B284)),ISNUMBER(FIND("~",B284))),0,IFERROR(MATCH(B284,Team!$A$11:$A$60,0),0))</ns0:f>
        <ns0:v>0</ns0:v>
      </ns0:c>
      <ns0:c r="D284" s="0" t="str">
        <ns0:f>IFERROR(IF(MID(Bookings!F284,LEN(Bookings!F284)-3,3)=" · ",RIGHT(Bookings!F284,1),""),"")</ns0:f>
        <ns0:v/>
      </ns0:c>
      <ns0:c r="E284" s="0" t="str">
        <ns0:f>IFERROR(INDEX(Settings!$H$7:$H$11,MATCH(D284,Settings!$G$7:$G$11,0)),"")</ns0:f>
        <ns0:v/>
      </ns0:c>
      <ns0:c r="F284" s="0" t="str">
        <ns0:f>IF(A284=0,"",IFERROR(IF(OR(B284="",C284=0),"CHECK employee selection",IF(INDEX(Team!$O$11:$O$60,C284)&lt;&gt;"OK","CHECK employee setup",IF(OR('_Dates'!J284=0,'_Dates'!T284=0),"CHECK date: use DD.MM.YYYY",IF('_Dates'!T284&lt;'_Dates'!J284,"CHECK end before start",IF(AND($B$6=0,OR('_Dates'!J284&lt;Settings!$B$7,'_Dates'!T284&gt;Settings!$B$8)),"CHECK split across leave years",IF(OR(NOT(OR('_Dates'!U284="Full day",'_Dates'!U284="AM",'_Dates'!U284="PM")),NOT(OR('_Dates'!V284="Full day",'_Dates'!V284="AM",'_Dates'!V284="PM"))),"CHECK Full day / AM / PM",IF(AND('_Dates'!J284='_Dates'!T284,'_Dates'!U284&lt;&gt;"Full day",'_Dates'!V284&lt;&gt;"Full day",'_Dates'!U284&lt;&gt;'_Dates'!V284),"CHECK same-day portions disagree",IF(AND($B$6=0,OR(AND('_Dates'!U284&lt;&gt;"Full day",'_Dates'!AA284=0),AND('_Dates'!V284&lt;&gt;"Full day",'_Dates'!AB284=0))),"CHECK half-day on non-working date",IF(COUNTIF(Settings!$G$7:$G$11,D284)&lt;&gt;1,"CHECK leave type",IF(AND(Bookings!G284&lt;&gt;"Approved",Bookings!G284&lt;&gt;"Pending",Bookings!G284&lt;&gt;"Cancelled"),"CHECK status","OK")))))))))),"CHECK input"))</ns0:f>
        <ns0:v/>
      </ns0:c>
      <ns0:c r="G284" s="0">
        <ns0:f>IF(OR(F284&lt;&gt;"OK",$B$6&gt;0),0,0.5*(IF(('_Dates'!X284)&lt;('_Dates'!W284),0,INT((('_Dates'!X284)-('_Dates'!W284)+1)/7)*LEN(SUBSTITUTE(W284,"O",""))+LEN(SUBSTITUTE(MID(W284&amp;W284,WEEKDAY(('_Dates'!W284),2),MOD((('_Dates'!X284)-('_Dates'!W284)+1),7)),"O",""))-COUNTIFS(INDEX(AllClosureRows,C284,0),"&gt;="&amp;('_Dates'!W284),INDEX(AllClosureRows,C284,0),"&lt;="&amp;('_Dates'!X284)))+IF(('_Dates'!Z284)&lt;('_Dates'!Y284),0,INT((('_Dates'!Z284)-('_Dates'!Y284)+1)/7)*LEN(SUBSTITUTE(W284,"O",""))+LEN(SUBSTITUTE(MID(W284&amp;W284,WEEKDAY(('_Dates'!Y284),2),MOD((('_Dates'!Z284)-('_Dates'!Y284)+1),7)),"O",""))-COUNTIFS(INDEX(AllClosureRows,C284,0),"&gt;="&amp;('_Dates'!Y284),INDEX(AllClosureRows,C284,0),"&lt;="&amp;('_Dates'!Z284)))))</ns0:f>
        <ns0:v>0</ns0:v>
      </ns0:c>
      <ns0:c r="H284" s="0">
        <ns0:f>IF(OR(F284&lt;&gt;"OK",$B$6&gt;0),0,0.5*(IF((MIN('_Dates'!X284,Settings!$B$9))&lt;('_Dates'!W284),0,INT(((MIN('_Dates'!X284,Settings!$B$9))-('_Dates'!W284)+1)/7)*LEN(SUBSTITUTE(W284,"O",""))+LEN(SUBSTITUTE(MID(W284&amp;W284,WEEKDAY(('_Dates'!W284),2),MOD(((MIN('_Dates'!X284,Settings!$B$9))-('_Dates'!W284)+1),7)),"O",""))-COUNTIFS(INDEX(AllClosureRows,C284,0),"&gt;="&amp;('_Dates'!W284),INDEX(AllClosureRows,C284,0),"&lt;="&amp;(MIN('_Dates'!X284,Settings!$B$9))))+IF((MIN('_Dates'!Z284,Settings!$B$9))&lt;('_Dates'!Y284),0,INT(((MIN('_Dates'!Z284,Settings!$B$9))-('_Dates'!Y284)+1)/7)*LEN(SUBSTITUTE(W284,"O",""))+LEN(SUBSTITUTE(MID(W284&amp;W284,WEEKDAY(('_Dates'!Y284),2),MOD(((MIN('_Dates'!Z284,Settings!$B$9))-('_Dates'!Y284)+1),7)),"O",""))-COUNTIFS(INDEX(AllClosureRows,C284,0),"&gt;="&amp;('_Dates'!Y284),INDEX(AllClosureRows,C284,0),"&lt;="&amp;(MIN('_Dates'!Z284,Settings!$B$9))))))</ns0:f>
        <ns0:v>0</ns0:v>
      </ns0:c>
      <ns0:c r="I284" s="0">
        <ns0:f>MAX(0,G284-H284)</ns0:f>
        <ns0:v>0</ns0:v>
      </ns0:c>
      <ns0:c r="J284" s="0">
        <ns0:f>IF(OR(A284=0,F284&lt;&gt;"OK",Bookings!G284="Cancelled",$B$6&gt;0),0,IF('_Dates'!AC284=1,MAX(0,COUNTIFS(rngEngine_B,B284,rngAMStart,"&lt;="&amp;'_Dates'!X284,rngAMEnd,"&gt;="&amp;'_Dates'!W284,rngAMActive,1,rngEngine_F,"OK",rngBookings_F,"&lt;&gt;Cancelled")-1),0)+IF('_Dates'!AD284=1,MAX(0,COUNTIFS(rngEngine_B,B284,rngPMStart,"&lt;="&amp;'_Dates'!Z284,rngPMEnd,"&gt;="&amp;'_Dates'!Y284,rngPMActive,1,rngEngine_F,"OK",rngBookings_F,"&lt;&gt;Cancelled")-1),0))</ns0:f>
        <ns0:v>0</ns0:v>
      </ns0:c>
      <ns0:c r="K284" s="0" t="str">
        <ns0:f>IF(A284=0,"",IF(F284&lt;&gt;"OK",F284,IF(J284&gt;0,"CHECK overlapping entry",IF(AND($B$6=0,G284&lt;=0,Bookings!G284&lt;&gt;"Cancelled"),"CHECK no working days",IF(Bookings!G284="Cancelled","Cancelled","OK")))))</ns0:f>
        <ns0:v/>
      </ns0:c>
      <ns0:c r="L284" s="0">
        <ns0:f>IF(LEFT(K284,5)="CHECK",1,0)</ns0:f>
        <ns0:v>0</ns0:v>
      </ns0:c>
      <ns0:c r="M284" s="0">
        <ns0:f>IF(AND(L284=1,OR(C284=0,IFERROR(INDEX($X$11:$X$60,C284),0)=0)),1,0)</ns0:f>
        <ns0:v>0</ns0:v>
      </ns0:c>
      <ns0:c r="N284" s="0">
        <ns0:f>IF(OR(A284=0,L284&gt;0,$B$6&gt;0,Bookings!G284="Cancelled"),0,G284)</ns0:f>
        <ns0:v>0</ns0:v>
      </ns0:c>
      <ns0:c r="O284" s="0">
        <ns0:f>IF(AND(Bookings!G284="Approved",E284="Yes"),N284,0)</ns0:f>
        <ns0:v>0</ns0:v>
      </ns0:c>
      <ns0:c r="P284" s="0">
        <ns0:f>IF(AND(Bookings!G284="Approved",E284="Yes",L284=0,$B$6=0),H284,0)</ns0:f>
        <ns0:v>0</ns0:v>
      </ns0:c>
      <ns0:c r="Q284" s="0">
        <ns0:f>IF(AND(Bookings!G284="Approved",E284="Yes",L284=0,$B$6=0),I284,0)</ns0:f>
        <ns0:v>0</ns0:v>
      </ns0:c>
      <ns0:c r="R284" s="0">
        <ns0:f>IF(AND(Bookings!G284="Pending",E284="Yes"),N284,0)</ns0:f>
        <ns0:v>0</ns0:v>
      </ns0:c>
      <ns0:c r="S284" s="0">
        <ns0:f>IF(AND(Bookings!G284="Approved",E284="No"),N284,0)</ns0:f>
        <ns0:v>0</ns0:v>
      </ns0:c>
      <ns0:c r="T284" s="0">
        <ns0:f>IFERROR(MATCH(D284,Settings!$G$7:$G$11,0),0)</ns0:f>
        <ns0:v>0</ns0:v>
      </ns0:c>
      <ns0:c r="U284" s="0">
        <ns0:f>IF(N284&gt;0,T284+IF(Bookings!G284="Pending",10,0),0)</ns0:f>
        <ns0:v>0</ns0:v>
      </ns0:c>
      <ns0:c r="V284" s="0">
        <ns0:f>U284</ns0:f>
        <ns0:v>0</ns0:v>
      </ns0:c>
      <ns0:c r="W284" s="0" t="str">
        <ns0:f>IF(C284=0,"",INDEX($AP$11:$AP$60,C284))</ns0:f>
        <ns0:v/>
      </ns0:c>
    </ns0:row>
    <ns0:row r="285">
      <ns0:c r="A285" s="0">
        <ns0:f>IF(COUNTA(Bookings!A285:G285,Bookings!I285)=0,0,1)</ns0:f>
        <ns0:v>0</ns0:v>
      </ns0:c>
      <ns0:c r="B285" s="0" t="str">
        <ns0:f>IFERROR(TRIM(MID(Bookings!A285,FIND(" · ",Bookings!A285)+3,99)),"")</ns0:f>
        <ns0:v/>
      </ns0:c>
      <ns0:c r="C285" s="0">
        <ns0:f>IF(OR(B285="",LEN(B285)&gt;24,ISNUMBER(FIND(" ",B285)),ISNUMBER(FIND("*",B285)),ISNUMBER(FIND("?",B285)),ISNUMBER(FIND("~",B285))),0,IFERROR(MATCH(B285,Team!$A$11:$A$60,0),0))</ns0:f>
        <ns0:v>0</ns0:v>
      </ns0:c>
      <ns0:c r="D285" s="0" t="str">
        <ns0:f>IFERROR(IF(MID(Bookings!F285,LEN(Bookings!F285)-3,3)=" · ",RIGHT(Bookings!F285,1),""),"")</ns0:f>
        <ns0:v/>
      </ns0:c>
      <ns0:c r="E285" s="0" t="str">
        <ns0:f>IFERROR(INDEX(Settings!$H$7:$H$11,MATCH(D285,Settings!$G$7:$G$11,0)),"")</ns0:f>
        <ns0:v/>
      </ns0:c>
      <ns0:c r="F285" s="0" t="str">
        <ns0:f>IF(A285=0,"",IFERROR(IF(OR(B285="",C285=0),"CHECK employee selection",IF(INDEX(Team!$O$11:$O$60,C285)&lt;&gt;"OK","CHECK employee setup",IF(OR('_Dates'!J285=0,'_Dates'!T285=0),"CHECK date: use DD.MM.YYYY",IF('_Dates'!T285&lt;'_Dates'!J285,"CHECK end before start",IF(AND($B$6=0,OR('_Dates'!J285&lt;Settings!$B$7,'_Dates'!T285&gt;Settings!$B$8)),"CHECK split across leave years",IF(OR(NOT(OR('_Dates'!U285="Full day",'_Dates'!U285="AM",'_Dates'!U285="PM")),NOT(OR('_Dates'!V285="Full day",'_Dates'!V285="AM",'_Dates'!V285="PM"))),"CHECK Full day / AM / PM",IF(AND('_Dates'!J285='_Dates'!T285,'_Dates'!U285&lt;&gt;"Full day",'_Dates'!V285&lt;&gt;"Full day",'_Dates'!U285&lt;&gt;'_Dates'!V285),"CHECK same-day portions disagree",IF(AND($B$6=0,OR(AND('_Dates'!U285&lt;&gt;"Full day",'_Dates'!AA285=0),AND('_Dates'!V285&lt;&gt;"Full day",'_Dates'!AB285=0))),"CHECK half-day on non-working date",IF(COUNTIF(Settings!$G$7:$G$11,D285)&lt;&gt;1,"CHECK leave type",IF(AND(Bookings!G285&lt;&gt;"Approved",Bookings!G285&lt;&gt;"Pending",Bookings!G285&lt;&gt;"Cancelled"),"CHECK status","OK")))))))))),"CHECK input"))</ns0:f>
        <ns0:v/>
      </ns0:c>
      <ns0:c r="G285" s="0">
        <ns0:f>IF(OR(F285&lt;&gt;"OK",$B$6&gt;0),0,0.5*(IF(('_Dates'!X285)&lt;('_Dates'!W285),0,INT((('_Dates'!X285)-('_Dates'!W285)+1)/7)*LEN(SUBSTITUTE(W285,"O",""))+LEN(SUBSTITUTE(MID(W285&amp;W285,WEEKDAY(('_Dates'!W285),2),MOD((('_Dates'!X285)-('_Dates'!W285)+1),7)),"O",""))-COUNTIFS(INDEX(AllClosureRows,C285,0),"&gt;="&amp;('_Dates'!W285),INDEX(AllClosureRows,C285,0),"&lt;="&amp;('_Dates'!X285)))+IF(('_Dates'!Z285)&lt;('_Dates'!Y285),0,INT((('_Dates'!Z285)-('_Dates'!Y285)+1)/7)*LEN(SUBSTITUTE(W285,"O",""))+LEN(SUBSTITUTE(MID(W285&amp;W285,WEEKDAY(('_Dates'!Y285),2),MOD((('_Dates'!Z285)-('_Dates'!Y285)+1),7)),"O",""))-COUNTIFS(INDEX(AllClosureRows,C285,0),"&gt;="&amp;('_Dates'!Y285),INDEX(AllClosureRows,C285,0),"&lt;="&amp;('_Dates'!Z285)))))</ns0:f>
        <ns0:v>0</ns0:v>
      </ns0:c>
      <ns0:c r="H285" s="0">
        <ns0:f>IF(OR(F285&lt;&gt;"OK",$B$6&gt;0),0,0.5*(IF((MIN('_Dates'!X285,Settings!$B$9))&lt;('_Dates'!W285),0,INT(((MIN('_Dates'!X285,Settings!$B$9))-('_Dates'!W285)+1)/7)*LEN(SUBSTITUTE(W285,"O",""))+LEN(SUBSTITUTE(MID(W285&amp;W285,WEEKDAY(('_Dates'!W285),2),MOD(((MIN('_Dates'!X285,Settings!$B$9))-('_Dates'!W285)+1),7)),"O",""))-COUNTIFS(INDEX(AllClosureRows,C285,0),"&gt;="&amp;('_Dates'!W285),INDEX(AllClosureRows,C285,0),"&lt;="&amp;(MIN('_Dates'!X285,Settings!$B$9))))+IF((MIN('_Dates'!Z285,Settings!$B$9))&lt;('_Dates'!Y285),0,INT(((MIN('_Dates'!Z285,Settings!$B$9))-('_Dates'!Y285)+1)/7)*LEN(SUBSTITUTE(W285,"O",""))+LEN(SUBSTITUTE(MID(W285&amp;W285,WEEKDAY(('_Dates'!Y285),2),MOD(((MIN('_Dates'!Z285,Settings!$B$9))-('_Dates'!Y285)+1),7)),"O",""))-COUNTIFS(INDEX(AllClosureRows,C285,0),"&gt;="&amp;('_Dates'!Y285),INDEX(AllClosureRows,C285,0),"&lt;="&amp;(MIN('_Dates'!Z285,Settings!$B$9))))))</ns0:f>
        <ns0:v>0</ns0:v>
      </ns0:c>
      <ns0:c r="I285" s="0">
        <ns0:f>MAX(0,G285-H285)</ns0:f>
        <ns0:v>0</ns0:v>
      </ns0:c>
      <ns0:c r="J285" s="0">
        <ns0:f>IF(OR(A285=0,F285&lt;&gt;"OK",Bookings!G285="Cancelled",$B$6&gt;0),0,IF('_Dates'!AC285=1,MAX(0,COUNTIFS(rngEngine_B,B285,rngAMStart,"&lt;="&amp;'_Dates'!X285,rngAMEnd,"&gt;="&amp;'_Dates'!W285,rngAMActive,1,rngEngine_F,"OK",rngBookings_F,"&lt;&gt;Cancelled")-1),0)+IF('_Dates'!AD285=1,MAX(0,COUNTIFS(rngEngine_B,B285,rngPMStart,"&lt;="&amp;'_Dates'!Z285,rngPMEnd,"&gt;="&amp;'_Dates'!Y285,rngPMActive,1,rngEngine_F,"OK",rngBookings_F,"&lt;&gt;Cancelled")-1),0))</ns0:f>
        <ns0:v>0</ns0:v>
      </ns0:c>
      <ns0:c r="K285" s="0" t="str">
        <ns0:f>IF(A285=0,"",IF(F285&lt;&gt;"OK",F285,IF(J285&gt;0,"CHECK overlapping entry",IF(AND($B$6=0,G285&lt;=0,Bookings!G285&lt;&gt;"Cancelled"),"CHECK no working days",IF(Bookings!G285="Cancelled","Cancelled","OK")))))</ns0:f>
        <ns0:v/>
      </ns0:c>
      <ns0:c r="L285" s="0">
        <ns0:f>IF(LEFT(K285,5)="CHECK",1,0)</ns0:f>
        <ns0:v>0</ns0:v>
      </ns0:c>
      <ns0:c r="M285" s="0">
        <ns0:f>IF(AND(L285=1,OR(C285=0,IFERROR(INDEX($X$11:$X$60,C285),0)=0)),1,0)</ns0:f>
        <ns0:v>0</ns0:v>
      </ns0:c>
      <ns0:c r="N285" s="0">
        <ns0:f>IF(OR(A285=0,L285&gt;0,$B$6&gt;0,Bookings!G285="Cancelled"),0,G285)</ns0:f>
        <ns0:v>0</ns0:v>
      </ns0:c>
      <ns0:c r="O285" s="0">
        <ns0:f>IF(AND(Bookings!G285="Approved",E285="Yes"),N285,0)</ns0:f>
        <ns0:v>0</ns0:v>
      </ns0:c>
      <ns0:c r="P285" s="0">
        <ns0:f>IF(AND(Bookings!G285="Approved",E285="Yes",L285=0,$B$6=0),H285,0)</ns0:f>
        <ns0:v>0</ns0:v>
      </ns0:c>
      <ns0:c r="Q285" s="0">
        <ns0:f>IF(AND(Bookings!G285="Approved",E285="Yes",L285=0,$B$6=0),I285,0)</ns0:f>
        <ns0:v>0</ns0:v>
      </ns0:c>
      <ns0:c r="R285" s="0">
        <ns0:f>IF(AND(Bookings!G285="Pending",E285="Yes"),N285,0)</ns0:f>
        <ns0:v>0</ns0:v>
      </ns0:c>
      <ns0:c r="S285" s="0">
        <ns0:f>IF(AND(Bookings!G285="Approved",E285="No"),N285,0)</ns0:f>
        <ns0:v>0</ns0:v>
      </ns0:c>
      <ns0:c r="T285" s="0">
        <ns0:f>IFERROR(MATCH(D285,Settings!$G$7:$G$11,0),0)</ns0:f>
        <ns0:v>0</ns0:v>
      </ns0:c>
      <ns0:c r="U285" s="0">
        <ns0:f>IF(N285&gt;0,T285+IF(Bookings!G285="Pending",10,0),0)</ns0:f>
        <ns0:v>0</ns0:v>
      </ns0:c>
      <ns0:c r="V285" s="0">
        <ns0:f>U285</ns0:f>
        <ns0:v>0</ns0:v>
      </ns0:c>
      <ns0:c r="W285" s="0" t="str">
        <ns0:f>IF(C285=0,"",INDEX($AP$11:$AP$60,C285))</ns0:f>
        <ns0:v/>
      </ns0:c>
    </ns0:row>
    <ns0:row r="286">
      <ns0:c r="A286" s="0">
        <ns0:f>IF(COUNTA(Bookings!A286:G286,Bookings!I286)=0,0,1)</ns0:f>
        <ns0:v>0</ns0:v>
      </ns0:c>
      <ns0:c r="B286" s="0" t="str">
        <ns0:f>IFERROR(TRIM(MID(Bookings!A286,FIND(" · ",Bookings!A286)+3,99)),"")</ns0:f>
        <ns0:v/>
      </ns0:c>
      <ns0:c r="C286" s="0">
        <ns0:f>IF(OR(B286="",LEN(B286)&gt;24,ISNUMBER(FIND(" ",B286)),ISNUMBER(FIND("*",B286)),ISNUMBER(FIND("?",B286)),ISNUMBER(FIND("~",B286))),0,IFERROR(MATCH(B286,Team!$A$11:$A$60,0),0))</ns0:f>
        <ns0:v>0</ns0:v>
      </ns0:c>
      <ns0:c r="D286" s="0" t="str">
        <ns0:f>IFERROR(IF(MID(Bookings!F286,LEN(Bookings!F286)-3,3)=" · ",RIGHT(Bookings!F286,1),""),"")</ns0:f>
        <ns0:v/>
      </ns0:c>
      <ns0:c r="E286" s="0" t="str">
        <ns0:f>IFERROR(INDEX(Settings!$H$7:$H$11,MATCH(D286,Settings!$G$7:$G$11,0)),"")</ns0:f>
        <ns0:v/>
      </ns0:c>
      <ns0:c r="F286" s="0" t="str">
        <ns0:f>IF(A286=0,"",IFERROR(IF(OR(B286="",C286=0),"CHECK employee selection",IF(INDEX(Team!$O$11:$O$60,C286)&lt;&gt;"OK","CHECK employee setup",IF(OR('_Dates'!J286=0,'_Dates'!T286=0),"CHECK date: use DD.MM.YYYY",IF('_Dates'!T286&lt;'_Dates'!J286,"CHECK end before start",IF(AND($B$6=0,OR('_Dates'!J286&lt;Settings!$B$7,'_Dates'!T286&gt;Settings!$B$8)),"CHECK split across leave years",IF(OR(NOT(OR('_Dates'!U286="Full day",'_Dates'!U286="AM",'_Dates'!U286="PM")),NOT(OR('_Dates'!V286="Full day",'_Dates'!V286="AM",'_Dates'!V286="PM"))),"CHECK Full day / AM / PM",IF(AND('_Dates'!J286='_Dates'!T286,'_Dates'!U286&lt;&gt;"Full day",'_Dates'!V286&lt;&gt;"Full day",'_Dates'!U286&lt;&gt;'_Dates'!V286),"CHECK same-day portions disagree",IF(AND($B$6=0,OR(AND('_Dates'!U286&lt;&gt;"Full day",'_Dates'!AA286=0),AND('_Dates'!V286&lt;&gt;"Full day",'_Dates'!AB286=0))),"CHECK half-day on non-working date",IF(COUNTIF(Settings!$G$7:$G$11,D286)&lt;&gt;1,"CHECK leave type",IF(AND(Bookings!G286&lt;&gt;"Approved",Bookings!G286&lt;&gt;"Pending",Bookings!G286&lt;&gt;"Cancelled"),"CHECK status","OK")))))))))),"CHECK input"))</ns0:f>
        <ns0:v/>
      </ns0:c>
      <ns0:c r="G286" s="0">
        <ns0:f>IF(OR(F286&lt;&gt;"OK",$B$6&gt;0),0,0.5*(IF(('_Dates'!X286)&lt;('_Dates'!W286),0,INT((('_Dates'!X286)-('_Dates'!W286)+1)/7)*LEN(SUBSTITUTE(W286,"O",""))+LEN(SUBSTITUTE(MID(W286&amp;W286,WEEKDAY(('_Dates'!W286),2),MOD((('_Dates'!X286)-('_Dates'!W286)+1),7)),"O",""))-COUNTIFS(INDEX(AllClosureRows,C286,0),"&gt;="&amp;('_Dates'!W286),INDEX(AllClosureRows,C286,0),"&lt;="&amp;('_Dates'!X286)))+IF(('_Dates'!Z286)&lt;('_Dates'!Y286),0,INT((('_Dates'!Z286)-('_Dates'!Y286)+1)/7)*LEN(SUBSTITUTE(W286,"O",""))+LEN(SUBSTITUTE(MID(W286&amp;W286,WEEKDAY(('_Dates'!Y286),2),MOD((('_Dates'!Z286)-('_Dates'!Y286)+1),7)),"O",""))-COUNTIFS(INDEX(AllClosureRows,C286,0),"&gt;="&amp;('_Dates'!Y286),INDEX(AllClosureRows,C286,0),"&lt;="&amp;('_Dates'!Z286)))))</ns0:f>
        <ns0:v>0</ns0:v>
      </ns0:c>
      <ns0:c r="H286" s="0">
        <ns0:f>IF(OR(F286&lt;&gt;"OK",$B$6&gt;0),0,0.5*(IF((MIN('_Dates'!X286,Settings!$B$9))&lt;('_Dates'!W286),0,INT(((MIN('_Dates'!X286,Settings!$B$9))-('_Dates'!W286)+1)/7)*LEN(SUBSTITUTE(W286,"O",""))+LEN(SUBSTITUTE(MID(W286&amp;W286,WEEKDAY(('_Dates'!W286),2),MOD(((MIN('_Dates'!X286,Settings!$B$9))-('_Dates'!W286)+1),7)),"O",""))-COUNTIFS(INDEX(AllClosureRows,C286,0),"&gt;="&amp;('_Dates'!W286),INDEX(AllClosureRows,C286,0),"&lt;="&amp;(MIN('_Dates'!X286,Settings!$B$9))))+IF((MIN('_Dates'!Z286,Settings!$B$9))&lt;('_Dates'!Y286),0,INT(((MIN('_Dates'!Z286,Settings!$B$9))-('_Dates'!Y286)+1)/7)*LEN(SUBSTITUTE(W286,"O",""))+LEN(SUBSTITUTE(MID(W286&amp;W286,WEEKDAY(('_Dates'!Y286),2),MOD(((MIN('_Dates'!Z286,Settings!$B$9))-('_Dates'!Y286)+1),7)),"O",""))-COUNTIFS(INDEX(AllClosureRows,C286,0),"&gt;="&amp;('_Dates'!Y286),INDEX(AllClosureRows,C286,0),"&lt;="&amp;(MIN('_Dates'!Z286,Settings!$B$9))))))</ns0:f>
        <ns0:v>0</ns0:v>
      </ns0:c>
      <ns0:c r="I286" s="0">
        <ns0:f>MAX(0,G286-H286)</ns0:f>
        <ns0:v>0</ns0:v>
      </ns0:c>
      <ns0:c r="J286" s="0">
        <ns0:f>IF(OR(A286=0,F286&lt;&gt;"OK",Bookings!G286="Cancelled",$B$6&gt;0),0,IF('_Dates'!AC286=1,MAX(0,COUNTIFS(rngEngine_B,B286,rngAMStart,"&lt;="&amp;'_Dates'!X286,rngAMEnd,"&gt;="&amp;'_Dates'!W286,rngAMActive,1,rngEngine_F,"OK",rngBookings_F,"&lt;&gt;Cancelled")-1),0)+IF('_Dates'!AD286=1,MAX(0,COUNTIFS(rngEngine_B,B286,rngPMStart,"&lt;="&amp;'_Dates'!Z286,rngPMEnd,"&gt;="&amp;'_Dates'!Y286,rngPMActive,1,rngEngine_F,"OK",rngBookings_F,"&lt;&gt;Cancelled")-1),0))</ns0:f>
        <ns0:v>0</ns0:v>
      </ns0:c>
      <ns0:c r="K286" s="0" t="str">
        <ns0:f>IF(A286=0,"",IF(F286&lt;&gt;"OK",F286,IF(J286&gt;0,"CHECK overlapping entry",IF(AND($B$6=0,G286&lt;=0,Bookings!G286&lt;&gt;"Cancelled"),"CHECK no working days",IF(Bookings!G286="Cancelled","Cancelled","OK")))))</ns0:f>
        <ns0:v/>
      </ns0:c>
      <ns0:c r="L286" s="0">
        <ns0:f>IF(LEFT(K286,5)="CHECK",1,0)</ns0:f>
        <ns0:v>0</ns0:v>
      </ns0:c>
      <ns0:c r="M286" s="0">
        <ns0:f>IF(AND(L286=1,OR(C286=0,IFERROR(INDEX($X$11:$X$60,C286),0)=0)),1,0)</ns0:f>
        <ns0:v>0</ns0:v>
      </ns0:c>
      <ns0:c r="N286" s="0">
        <ns0:f>IF(OR(A286=0,L286&gt;0,$B$6&gt;0,Bookings!G286="Cancelled"),0,G286)</ns0:f>
        <ns0:v>0</ns0:v>
      </ns0:c>
      <ns0:c r="O286" s="0">
        <ns0:f>IF(AND(Bookings!G286="Approved",E286="Yes"),N286,0)</ns0:f>
        <ns0:v>0</ns0:v>
      </ns0:c>
      <ns0:c r="P286" s="0">
        <ns0:f>IF(AND(Bookings!G286="Approved",E286="Yes",L286=0,$B$6=0),H286,0)</ns0:f>
        <ns0:v>0</ns0:v>
      </ns0:c>
      <ns0:c r="Q286" s="0">
        <ns0:f>IF(AND(Bookings!G286="Approved",E286="Yes",L286=0,$B$6=0),I286,0)</ns0:f>
        <ns0:v>0</ns0:v>
      </ns0:c>
      <ns0:c r="R286" s="0">
        <ns0:f>IF(AND(Bookings!G286="Pending",E286="Yes"),N286,0)</ns0:f>
        <ns0:v>0</ns0:v>
      </ns0:c>
      <ns0:c r="S286" s="0">
        <ns0:f>IF(AND(Bookings!G286="Approved",E286="No"),N286,0)</ns0:f>
        <ns0:v>0</ns0:v>
      </ns0:c>
      <ns0:c r="T286" s="0">
        <ns0:f>IFERROR(MATCH(D286,Settings!$G$7:$G$11,0),0)</ns0:f>
        <ns0:v>0</ns0:v>
      </ns0:c>
      <ns0:c r="U286" s="0">
        <ns0:f>IF(N286&gt;0,T286+IF(Bookings!G286="Pending",10,0),0)</ns0:f>
        <ns0:v>0</ns0:v>
      </ns0:c>
      <ns0:c r="V286" s="0">
        <ns0:f>U286</ns0:f>
        <ns0:v>0</ns0:v>
      </ns0:c>
      <ns0:c r="W286" s="0" t="str">
        <ns0:f>IF(C286=0,"",INDEX($AP$11:$AP$60,C286))</ns0:f>
        <ns0:v/>
      </ns0:c>
    </ns0:row>
    <ns0:row r="287">
      <ns0:c r="A287" s="0">
        <ns0:f>IF(COUNTA(Bookings!A287:G287,Bookings!I287)=0,0,1)</ns0:f>
        <ns0:v>0</ns0:v>
      </ns0:c>
      <ns0:c r="B287" s="0" t="str">
        <ns0:f>IFERROR(TRIM(MID(Bookings!A287,FIND(" · ",Bookings!A287)+3,99)),"")</ns0:f>
        <ns0:v/>
      </ns0:c>
      <ns0:c r="C287" s="0">
        <ns0:f>IF(OR(B287="",LEN(B287)&gt;24,ISNUMBER(FIND(" ",B287)),ISNUMBER(FIND("*",B287)),ISNUMBER(FIND("?",B287)),ISNUMBER(FIND("~",B287))),0,IFERROR(MATCH(B287,Team!$A$11:$A$60,0),0))</ns0:f>
        <ns0:v>0</ns0:v>
      </ns0:c>
      <ns0:c r="D287" s="0" t="str">
        <ns0:f>IFERROR(IF(MID(Bookings!F287,LEN(Bookings!F287)-3,3)=" · ",RIGHT(Bookings!F287,1),""),"")</ns0:f>
        <ns0:v/>
      </ns0:c>
      <ns0:c r="E287" s="0" t="str">
        <ns0:f>IFERROR(INDEX(Settings!$H$7:$H$11,MATCH(D287,Settings!$G$7:$G$11,0)),"")</ns0:f>
        <ns0:v/>
      </ns0:c>
      <ns0:c r="F287" s="0" t="str">
        <ns0:f>IF(A287=0,"",IFERROR(IF(OR(B287="",C287=0),"CHECK employee selection",IF(INDEX(Team!$O$11:$O$60,C287)&lt;&gt;"OK","CHECK employee setup",IF(OR('_Dates'!J287=0,'_Dates'!T287=0),"CHECK date: use DD.MM.YYYY",IF('_Dates'!T287&lt;'_Dates'!J287,"CHECK end before start",IF(AND($B$6=0,OR('_Dates'!J287&lt;Settings!$B$7,'_Dates'!T287&gt;Settings!$B$8)),"CHECK split across leave years",IF(OR(NOT(OR('_Dates'!U287="Full day",'_Dates'!U287="AM",'_Dates'!U287="PM")),NOT(OR('_Dates'!V287="Full day",'_Dates'!V287="AM",'_Dates'!V287="PM"))),"CHECK Full day / AM / PM",IF(AND('_Dates'!J287='_Dates'!T287,'_Dates'!U287&lt;&gt;"Full day",'_Dates'!V287&lt;&gt;"Full day",'_Dates'!U287&lt;&gt;'_Dates'!V287),"CHECK same-day portions disagree",IF(AND($B$6=0,OR(AND('_Dates'!U287&lt;&gt;"Full day",'_Dates'!AA287=0),AND('_Dates'!V287&lt;&gt;"Full day",'_Dates'!AB287=0))),"CHECK half-day on non-working date",IF(COUNTIF(Settings!$G$7:$G$11,D287)&lt;&gt;1,"CHECK leave type",IF(AND(Bookings!G287&lt;&gt;"Approved",Bookings!G287&lt;&gt;"Pending",Bookings!G287&lt;&gt;"Cancelled"),"CHECK status","OK")))))))))),"CHECK input"))</ns0:f>
        <ns0:v/>
      </ns0:c>
      <ns0:c r="G287" s="0">
        <ns0:f>IF(OR(F287&lt;&gt;"OK",$B$6&gt;0),0,0.5*(IF(('_Dates'!X287)&lt;('_Dates'!W287),0,INT((('_Dates'!X287)-('_Dates'!W287)+1)/7)*LEN(SUBSTITUTE(W287,"O",""))+LEN(SUBSTITUTE(MID(W287&amp;W287,WEEKDAY(('_Dates'!W287),2),MOD((('_Dates'!X287)-('_Dates'!W287)+1),7)),"O",""))-COUNTIFS(INDEX(AllClosureRows,C287,0),"&gt;="&amp;('_Dates'!W287),INDEX(AllClosureRows,C287,0),"&lt;="&amp;('_Dates'!X287)))+IF(('_Dates'!Z287)&lt;('_Dates'!Y287),0,INT((('_Dates'!Z287)-('_Dates'!Y287)+1)/7)*LEN(SUBSTITUTE(W287,"O",""))+LEN(SUBSTITUTE(MID(W287&amp;W287,WEEKDAY(('_Dates'!Y287),2),MOD((('_Dates'!Z287)-('_Dates'!Y287)+1),7)),"O",""))-COUNTIFS(INDEX(AllClosureRows,C287,0),"&gt;="&amp;('_Dates'!Y287),INDEX(AllClosureRows,C287,0),"&lt;="&amp;('_Dates'!Z287)))))</ns0:f>
        <ns0:v>0</ns0:v>
      </ns0:c>
      <ns0:c r="H287" s="0">
        <ns0:f>IF(OR(F287&lt;&gt;"OK",$B$6&gt;0),0,0.5*(IF((MIN('_Dates'!X287,Settings!$B$9))&lt;('_Dates'!W287),0,INT(((MIN('_Dates'!X287,Settings!$B$9))-('_Dates'!W287)+1)/7)*LEN(SUBSTITUTE(W287,"O",""))+LEN(SUBSTITUTE(MID(W287&amp;W287,WEEKDAY(('_Dates'!W287),2),MOD(((MIN('_Dates'!X287,Settings!$B$9))-('_Dates'!W287)+1),7)),"O",""))-COUNTIFS(INDEX(AllClosureRows,C287,0),"&gt;="&amp;('_Dates'!W287),INDEX(AllClosureRows,C287,0),"&lt;="&amp;(MIN('_Dates'!X287,Settings!$B$9))))+IF((MIN('_Dates'!Z287,Settings!$B$9))&lt;('_Dates'!Y287),0,INT(((MIN('_Dates'!Z287,Settings!$B$9))-('_Dates'!Y287)+1)/7)*LEN(SUBSTITUTE(W287,"O",""))+LEN(SUBSTITUTE(MID(W287&amp;W287,WEEKDAY(('_Dates'!Y287),2),MOD(((MIN('_Dates'!Z287,Settings!$B$9))-('_Dates'!Y287)+1),7)),"O",""))-COUNTIFS(INDEX(AllClosureRows,C287,0),"&gt;="&amp;('_Dates'!Y287),INDEX(AllClosureRows,C287,0),"&lt;="&amp;(MIN('_Dates'!Z287,Settings!$B$9))))))</ns0:f>
        <ns0:v>0</ns0:v>
      </ns0:c>
      <ns0:c r="I287" s="0">
        <ns0:f>MAX(0,G287-H287)</ns0:f>
        <ns0:v>0</ns0:v>
      </ns0:c>
      <ns0:c r="J287" s="0">
        <ns0:f>IF(OR(A287=0,F287&lt;&gt;"OK",Bookings!G287="Cancelled",$B$6&gt;0),0,IF('_Dates'!AC287=1,MAX(0,COUNTIFS(rngEngine_B,B287,rngAMStart,"&lt;="&amp;'_Dates'!X287,rngAMEnd,"&gt;="&amp;'_Dates'!W287,rngAMActive,1,rngEngine_F,"OK",rngBookings_F,"&lt;&gt;Cancelled")-1),0)+IF('_Dates'!AD287=1,MAX(0,COUNTIFS(rngEngine_B,B287,rngPMStart,"&lt;="&amp;'_Dates'!Z287,rngPMEnd,"&gt;="&amp;'_Dates'!Y287,rngPMActive,1,rngEngine_F,"OK",rngBookings_F,"&lt;&gt;Cancelled")-1),0))</ns0:f>
        <ns0:v>0</ns0:v>
      </ns0:c>
      <ns0:c r="K287" s="0" t="str">
        <ns0:f>IF(A287=0,"",IF(F287&lt;&gt;"OK",F287,IF(J287&gt;0,"CHECK overlapping entry",IF(AND($B$6=0,G287&lt;=0,Bookings!G287&lt;&gt;"Cancelled"),"CHECK no working days",IF(Bookings!G287="Cancelled","Cancelled","OK")))))</ns0:f>
        <ns0:v/>
      </ns0:c>
      <ns0:c r="L287" s="0">
        <ns0:f>IF(LEFT(K287,5)="CHECK",1,0)</ns0:f>
        <ns0:v>0</ns0:v>
      </ns0:c>
      <ns0:c r="M287" s="0">
        <ns0:f>IF(AND(L287=1,OR(C287=0,IFERROR(INDEX($X$11:$X$60,C287),0)=0)),1,0)</ns0:f>
        <ns0:v>0</ns0:v>
      </ns0:c>
      <ns0:c r="N287" s="0">
        <ns0:f>IF(OR(A287=0,L287&gt;0,$B$6&gt;0,Bookings!G287="Cancelled"),0,G287)</ns0:f>
        <ns0:v>0</ns0:v>
      </ns0:c>
      <ns0:c r="O287" s="0">
        <ns0:f>IF(AND(Bookings!G287="Approved",E287="Yes"),N287,0)</ns0:f>
        <ns0:v>0</ns0:v>
      </ns0:c>
      <ns0:c r="P287" s="0">
        <ns0:f>IF(AND(Bookings!G287="Approved",E287="Yes",L287=0,$B$6=0),H287,0)</ns0:f>
        <ns0:v>0</ns0:v>
      </ns0:c>
      <ns0:c r="Q287" s="0">
        <ns0:f>IF(AND(Bookings!G287="Approved",E287="Yes",L287=0,$B$6=0),I287,0)</ns0:f>
        <ns0:v>0</ns0:v>
      </ns0:c>
      <ns0:c r="R287" s="0">
        <ns0:f>IF(AND(Bookings!G287="Pending",E287="Yes"),N287,0)</ns0:f>
        <ns0:v>0</ns0:v>
      </ns0:c>
      <ns0:c r="S287" s="0">
        <ns0:f>IF(AND(Bookings!G287="Approved",E287="No"),N287,0)</ns0:f>
        <ns0:v>0</ns0:v>
      </ns0:c>
      <ns0:c r="T287" s="0">
        <ns0:f>IFERROR(MATCH(D287,Settings!$G$7:$G$11,0),0)</ns0:f>
        <ns0:v>0</ns0:v>
      </ns0:c>
      <ns0:c r="U287" s="0">
        <ns0:f>IF(N287&gt;0,T287+IF(Bookings!G287="Pending",10,0),0)</ns0:f>
        <ns0:v>0</ns0:v>
      </ns0:c>
      <ns0:c r="V287" s="0">
        <ns0:f>U287</ns0:f>
        <ns0:v>0</ns0:v>
      </ns0:c>
      <ns0:c r="W287" s="0" t="str">
        <ns0:f>IF(C287=0,"",INDEX($AP$11:$AP$60,C287))</ns0:f>
        <ns0:v/>
      </ns0:c>
    </ns0:row>
    <ns0:row r="288">
      <ns0:c r="A288" s="0">
        <ns0:f>IF(COUNTA(Bookings!A288:G288,Bookings!I288)=0,0,1)</ns0:f>
        <ns0:v>0</ns0:v>
      </ns0:c>
      <ns0:c r="B288" s="0" t="str">
        <ns0:f>IFERROR(TRIM(MID(Bookings!A288,FIND(" · ",Bookings!A288)+3,99)),"")</ns0:f>
        <ns0:v/>
      </ns0:c>
      <ns0:c r="C288" s="0">
        <ns0:f>IF(OR(B288="",LEN(B288)&gt;24,ISNUMBER(FIND(" ",B288)),ISNUMBER(FIND("*",B288)),ISNUMBER(FIND("?",B288)),ISNUMBER(FIND("~",B288))),0,IFERROR(MATCH(B288,Team!$A$11:$A$60,0),0))</ns0:f>
        <ns0:v>0</ns0:v>
      </ns0:c>
      <ns0:c r="D288" s="0" t="str">
        <ns0:f>IFERROR(IF(MID(Bookings!F288,LEN(Bookings!F288)-3,3)=" · ",RIGHT(Bookings!F288,1),""),"")</ns0:f>
        <ns0:v/>
      </ns0:c>
      <ns0:c r="E288" s="0" t="str">
        <ns0:f>IFERROR(INDEX(Settings!$H$7:$H$11,MATCH(D288,Settings!$G$7:$G$11,0)),"")</ns0:f>
        <ns0:v/>
      </ns0:c>
      <ns0:c r="F288" s="0" t="str">
        <ns0:f>IF(A288=0,"",IFERROR(IF(OR(B288="",C288=0),"CHECK employee selection",IF(INDEX(Team!$O$11:$O$60,C288)&lt;&gt;"OK","CHECK employee setup",IF(OR('_Dates'!J288=0,'_Dates'!T288=0),"CHECK date: use DD.MM.YYYY",IF('_Dates'!T288&lt;'_Dates'!J288,"CHECK end before start",IF(AND($B$6=0,OR('_Dates'!J288&lt;Settings!$B$7,'_Dates'!T288&gt;Settings!$B$8)),"CHECK split across leave years",IF(OR(NOT(OR('_Dates'!U288="Full day",'_Dates'!U288="AM",'_Dates'!U288="PM")),NOT(OR('_Dates'!V288="Full day",'_Dates'!V288="AM",'_Dates'!V288="PM"))),"CHECK Full day / AM / PM",IF(AND('_Dates'!J288='_Dates'!T288,'_Dates'!U288&lt;&gt;"Full day",'_Dates'!V288&lt;&gt;"Full day",'_Dates'!U288&lt;&gt;'_Dates'!V288),"CHECK same-day portions disagree",IF(AND($B$6=0,OR(AND('_Dates'!U288&lt;&gt;"Full day",'_Dates'!AA288=0),AND('_Dates'!V288&lt;&gt;"Full day",'_Dates'!AB288=0))),"CHECK half-day on non-working date",IF(COUNTIF(Settings!$G$7:$G$11,D288)&lt;&gt;1,"CHECK leave type",IF(AND(Bookings!G288&lt;&gt;"Approved",Bookings!G288&lt;&gt;"Pending",Bookings!G288&lt;&gt;"Cancelled"),"CHECK status","OK")))))))))),"CHECK input"))</ns0:f>
        <ns0:v/>
      </ns0:c>
      <ns0:c r="G288" s="0">
        <ns0:f>IF(OR(F288&lt;&gt;"OK",$B$6&gt;0),0,0.5*(IF(('_Dates'!X288)&lt;('_Dates'!W288),0,INT((('_Dates'!X288)-('_Dates'!W288)+1)/7)*LEN(SUBSTITUTE(W288,"O",""))+LEN(SUBSTITUTE(MID(W288&amp;W288,WEEKDAY(('_Dates'!W288),2),MOD((('_Dates'!X288)-('_Dates'!W288)+1),7)),"O",""))-COUNTIFS(INDEX(AllClosureRows,C288,0),"&gt;="&amp;('_Dates'!W288),INDEX(AllClosureRows,C288,0),"&lt;="&amp;('_Dates'!X288)))+IF(('_Dates'!Z288)&lt;('_Dates'!Y288),0,INT((('_Dates'!Z288)-('_Dates'!Y288)+1)/7)*LEN(SUBSTITUTE(W288,"O",""))+LEN(SUBSTITUTE(MID(W288&amp;W288,WEEKDAY(('_Dates'!Y288),2),MOD((('_Dates'!Z288)-('_Dates'!Y288)+1),7)),"O",""))-COUNTIFS(INDEX(AllClosureRows,C288,0),"&gt;="&amp;('_Dates'!Y288),INDEX(AllClosureRows,C288,0),"&lt;="&amp;('_Dates'!Z288)))))</ns0:f>
        <ns0:v>0</ns0:v>
      </ns0:c>
      <ns0:c r="H288" s="0">
        <ns0:f>IF(OR(F288&lt;&gt;"OK",$B$6&gt;0),0,0.5*(IF((MIN('_Dates'!X288,Settings!$B$9))&lt;('_Dates'!W288),0,INT(((MIN('_Dates'!X288,Settings!$B$9))-('_Dates'!W288)+1)/7)*LEN(SUBSTITUTE(W288,"O",""))+LEN(SUBSTITUTE(MID(W288&amp;W288,WEEKDAY(('_Dates'!W288),2),MOD(((MIN('_Dates'!X288,Settings!$B$9))-('_Dates'!W288)+1),7)),"O",""))-COUNTIFS(INDEX(AllClosureRows,C288,0),"&gt;="&amp;('_Dates'!W288),INDEX(AllClosureRows,C288,0),"&lt;="&amp;(MIN('_Dates'!X288,Settings!$B$9))))+IF((MIN('_Dates'!Z288,Settings!$B$9))&lt;('_Dates'!Y288),0,INT(((MIN('_Dates'!Z288,Settings!$B$9))-('_Dates'!Y288)+1)/7)*LEN(SUBSTITUTE(W288,"O",""))+LEN(SUBSTITUTE(MID(W288&amp;W288,WEEKDAY(('_Dates'!Y288),2),MOD(((MIN('_Dates'!Z288,Settings!$B$9))-('_Dates'!Y288)+1),7)),"O",""))-COUNTIFS(INDEX(AllClosureRows,C288,0),"&gt;="&amp;('_Dates'!Y288),INDEX(AllClosureRows,C288,0),"&lt;="&amp;(MIN('_Dates'!Z288,Settings!$B$9))))))</ns0:f>
        <ns0:v>0</ns0:v>
      </ns0:c>
      <ns0:c r="I288" s="0">
        <ns0:f>MAX(0,G288-H288)</ns0:f>
        <ns0:v>0</ns0:v>
      </ns0:c>
      <ns0:c r="J288" s="0">
        <ns0:f>IF(OR(A288=0,F288&lt;&gt;"OK",Bookings!G288="Cancelled",$B$6&gt;0),0,IF('_Dates'!AC288=1,MAX(0,COUNTIFS(rngEngine_B,B288,rngAMStart,"&lt;="&amp;'_Dates'!X288,rngAMEnd,"&gt;="&amp;'_Dates'!W288,rngAMActive,1,rngEngine_F,"OK",rngBookings_F,"&lt;&gt;Cancelled")-1),0)+IF('_Dates'!AD288=1,MAX(0,COUNTIFS(rngEngine_B,B288,rngPMStart,"&lt;="&amp;'_Dates'!Z288,rngPMEnd,"&gt;="&amp;'_Dates'!Y288,rngPMActive,1,rngEngine_F,"OK",rngBookings_F,"&lt;&gt;Cancelled")-1),0))</ns0:f>
        <ns0:v>0</ns0:v>
      </ns0:c>
      <ns0:c r="K288" s="0" t="str">
        <ns0:f>IF(A288=0,"",IF(F288&lt;&gt;"OK",F288,IF(J288&gt;0,"CHECK overlapping entry",IF(AND($B$6=0,G288&lt;=0,Bookings!G288&lt;&gt;"Cancelled"),"CHECK no working days",IF(Bookings!G288="Cancelled","Cancelled","OK")))))</ns0:f>
        <ns0:v/>
      </ns0:c>
      <ns0:c r="L288" s="0">
        <ns0:f>IF(LEFT(K288,5)="CHECK",1,0)</ns0:f>
        <ns0:v>0</ns0:v>
      </ns0:c>
      <ns0:c r="M288" s="0">
        <ns0:f>IF(AND(L288=1,OR(C288=0,IFERROR(INDEX($X$11:$X$60,C288),0)=0)),1,0)</ns0:f>
        <ns0:v>0</ns0:v>
      </ns0:c>
      <ns0:c r="N288" s="0">
        <ns0:f>IF(OR(A288=0,L288&gt;0,$B$6&gt;0,Bookings!G288="Cancelled"),0,G288)</ns0:f>
        <ns0:v>0</ns0:v>
      </ns0:c>
      <ns0:c r="O288" s="0">
        <ns0:f>IF(AND(Bookings!G288="Approved",E288="Yes"),N288,0)</ns0:f>
        <ns0:v>0</ns0:v>
      </ns0:c>
      <ns0:c r="P288" s="0">
        <ns0:f>IF(AND(Bookings!G288="Approved",E288="Yes",L288=0,$B$6=0),H288,0)</ns0:f>
        <ns0:v>0</ns0:v>
      </ns0:c>
      <ns0:c r="Q288" s="0">
        <ns0:f>IF(AND(Bookings!G288="Approved",E288="Yes",L288=0,$B$6=0),I288,0)</ns0:f>
        <ns0:v>0</ns0:v>
      </ns0:c>
      <ns0:c r="R288" s="0">
        <ns0:f>IF(AND(Bookings!G288="Pending",E288="Yes"),N288,0)</ns0:f>
        <ns0:v>0</ns0:v>
      </ns0:c>
      <ns0:c r="S288" s="0">
        <ns0:f>IF(AND(Bookings!G288="Approved",E288="No"),N288,0)</ns0:f>
        <ns0:v>0</ns0:v>
      </ns0:c>
      <ns0:c r="T288" s="0">
        <ns0:f>IFERROR(MATCH(D288,Settings!$G$7:$G$11,0),0)</ns0:f>
        <ns0:v>0</ns0:v>
      </ns0:c>
      <ns0:c r="U288" s="0">
        <ns0:f>IF(N288&gt;0,T288+IF(Bookings!G288="Pending",10,0),0)</ns0:f>
        <ns0:v>0</ns0:v>
      </ns0:c>
      <ns0:c r="V288" s="0">
        <ns0:f>U288</ns0:f>
        <ns0:v>0</ns0:v>
      </ns0:c>
      <ns0:c r="W288" s="0" t="str">
        <ns0:f>IF(C288=0,"",INDEX($AP$11:$AP$60,C288))</ns0:f>
        <ns0:v/>
      </ns0:c>
    </ns0:row>
    <ns0:row r="289">
      <ns0:c r="A289" s="0">
        <ns0:f>IF(COUNTA(Bookings!A289:G289,Bookings!I289)=0,0,1)</ns0:f>
        <ns0:v>0</ns0:v>
      </ns0:c>
      <ns0:c r="B289" s="0" t="str">
        <ns0:f>IFERROR(TRIM(MID(Bookings!A289,FIND(" · ",Bookings!A289)+3,99)),"")</ns0:f>
        <ns0:v/>
      </ns0:c>
      <ns0:c r="C289" s="0">
        <ns0:f>IF(OR(B289="",LEN(B289)&gt;24,ISNUMBER(FIND(" ",B289)),ISNUMBER(FIND("*",B289)),ISNUMBER(FIND("?",B289)),ISNUMBER(FIND("~",B289))),0,IFERROR(MATCH(B289,Team!$A$11:$A$60,0),0))</ns0:f>
        <ns0:v>0</ns0:v>
      </ns0:c>
      <ns0:c r="D289" s="0" t="str">
        <ns0:f>IFERROR(IF(MID(Bookings!F289,LEN(Bookings!F289)-3,3)=" · ",RIGHT(Bookings!F289,1),""),"")</ns0:f>
        <ns0:v/>
      </ns0:c>
      <ns0:c r="E289" s="0" t="str">
        <ns0:f>IFERROR(INDEX(Settings!$H$7:$H$11,MATCH(D289,Settings!$G$7:$G$11,0)),"")</ns0:f>
        <ns0:v/>
      </ns0:c>
      <ns0:c r="F289" s="0" t="str">
        <ns0:f>IF(A289=0,"",IFERROR(IF(OR(B289="",C289=0),"CHECK employee selection",IF(INDEX(Team!$O$11:$O$60,C289)&lt;&gt;"OK","CHECK employee setup",IF(OR('_Dates'!J289=0,'_Dates'!T289=0),"CHECK date: use DD.MM.YYYY",IF('_Dates'!T289&lt;'_Dates'!J289,"CHECK end before start",IF(AND($B$6=0,OR('_Dates'!J289&lt;Settings!$B$7,'_Dates'!T289&gt;Settings!$B$8)),"CHECK split across leave years",IF(OR(NOT(OR('_Dates'!U289="Full day",'_Dates'!U289="AM",'_Dates'!U289="PM")),NOT(OR('_Dates'!V289="Full day",'_Dates'!V289="AM",'_Dates'!V289="PM"))),"CHECK Full day / AM / PM",IF(AND('_Dates'!J289='_Dates'!T289,'_Dates'!U289&lt;&gt;"Full day",'_Dates'!V289&lt;&gt;"Full day",'_Dates'!U289&lt;&gt;'_Dates'!V289),"CHECK same-day portions disagree",IF(AND($B$6=0,OR(AND('_Dates'!U289&lt;&gt;"Full day",'_Dates'!AA289=0),AND('_Dates'!V289&lt;&gt;"Full day",'_Dates'!AB289=0))),"CHECK half-day on non-working date",IF(COUNTIF(Settings!$G$7:$G$11,D289)&lt;&gt;1,"CHECK leave type",IF(AND(Bookings!G289&lt;&gt;"Approved",Bookings!G289&lt;&gt;"Pending",Bookings!G289&lt;&gt;"Cancelled"),"CHECK status","OK")))))))))),"CHECK input"))</ns0:f>
        <ns0:v/>
      </ns0:c>
      <ns0:c r="G289" s="0">
        <ns0:f>IF(OR(F289&lt;&gt;"OK",$B$6&gt;0),0,0.5*(IF(('_Dates'!X289)&lt;('_Dates'!W289),0,INT((('_Dates'!X289)-('_Dates'!W289)+1)/7)*LEN(SUBSTITUTE(W289,"O",""))+LEN(SUBSTITUTE(MID(W289&amp;W289,WEEKDAY(('_Dates'!W289),2),MOD((('_Dates'!X289)-('_Dates'!W289)+1),7)),"O",""))-COUNTIFS(INDEX(AllClosureRows,C289,0),"&gt;="&amp;('_Dates'!W289),INDEX(AllClosureRows,C289,0),"&lt;="&amp;('_Dates'!X289)))+IF(('_Dates'!Z289)&lt;('_Dates'!Y289),0,INT((('_Dates'!Z289)-('_Dates'!Y289)+1)/7)*LEN(SUBSTITUTE(W289,"O",""))+LEN(SUBSTITUTE(MID(W289&amp;W289,WEEKDAY(('_Dates'!Y289),2),MOD((('_Dates'!Z289)-('_Dates'!Y289)+1),7)),"O",""))-COUNTIFS(INDEX(AllClosureRows,C289,0),"&gt;="&amp;('_Dates'!Y289),INDEX(AllClosureRows,C289,0),"&lt;="&amp;('_Dates'!Z289)))))</ns0:f>
        <ns0:v>0</ns0:v>
      </ns0:c>
      <ns0:c r="H289" s="0">
        <ns0:f>IF(OR(F289&lt;&gt;"OK",$B$6&gt;0),0,0.5*(IF((MIN('_Dates'!X289,Settings!$B$9))&lt;('_Dates'!W289),0,INT(((MIN('_Dates'!X289,Settings!$B$9))-('_Dates'!W289)+1)/7)*LEN(SUBSTITUTE(W289,"O",""))+LEN(SUBSTITUTE(MID(W289&amp;W289,WEEKDAY(('_Dates'!W289),2),MOD(((MIN('_Dates'!X289,Settings!$B$9))-('_Dates'!W289)+1),7)),"O",""))-COUNTIFS(INDEX(AllClosureRows,C289,0),"&gt;="&amp;('_Dates'!W289),INDEX(AllClosureRows,C289,0),"&lt;="&amp;(MIN('_Dates'!X289,Settings!$B$9))))+IF((MIN('_Dates'!Z289,Settings!$B$9))&lt;('_Dates'!Y289),0,INT(((MIN('_Dates'!Z289,Settings!$B$9))-('_Dates'!Y289)+1)/7)*LEN(SUBSTITUTE(W289,"O",""))+LEN(SUBSTITUTE(MID(W289&amp;W289,WEEKDAY(('_Dates'!Y289),2),MOD(((MIN('_Dates'!Z289,Settings!$B$9))-('_Dates'!Y289)+1),7)),"O",""))-COUNTIFS(INDEX(AllClosureRows,C289,0),"&gt;="&amp;('_Dates'!Y289),INDEX(AllClosureRows,C289,0),"&lt;="&amp;(MIN('_Dates'!Z289,Settings!$B$9))))))</ns0:f>
        <ns0:v>0</ns0:v>
      </ns0:c>
      <ns0:c r="I289" s="0">
        <ns0:f>MAX(0,G289-H289)</ns0:f>
        <ns0:v>0</ns0:v>
      </ns0:c>
      <ns0:c r="J289" s="0">
        <ns0:f>IF(OR(A289=0,F289&lt;&gt;"OK",Bookings!G289="Cancelled",$B$6&gt;0),0,IF('_Dates'!AC289=1,MAX(0,COUNTIFS(rngEngine_B,B289,rngAMStart,"&lt;="&amp;'_Dates'!X289,rngAMEnd,"&gt;="&amp;'_Dates'!W289,rngAMActive,1,rngEngine_F,"OK",rngBookings_F,"&lt;&gt;Cancelled")-1),0)+IF('_Dates'!AD289=1,MAX(0,COUNTIFS(rngEngine_B,B289,rngPMStart,"&lt;="&amp;'_Dates'!Z289,rngPMEnd,"&gt;="&amp;'_Dates'!Y289,rngPMActive,1,rngEngine_F,"OK",rngBookings_F,"&lt;&gt;Cancelled")-1),0))</ns0:f>
        <ns0:v>0</ns0:v>
      </ns0:c>
      <ns0:c r="K289" s="0" t="str">
        <ns0:f>IF(A289=0,"",IF(F289&lt;&gt;"OK",F289,IF(J289&gt;0,"CHECK overlapping entry",IF(AND($B$6=0,G289&lt;=0,Bookings!G289&lt;&gt;"Cancelled"),"CHECK no working days",IF(Bookings!G289="Cancelled","Cancelled","OK")))))</ns0:f>
        <ns0:v/>
      </ns0:c>
      <ns0:c r="L289" s="0">
        <ns0:f>IF(LEFT(K289,5)="CHECK",1,0)</ns0:f>
        <ns0:v>0</ns0:v>
      </ns0:c>
      <ns0:c r="M289" s="0">
        <ns0:f>IF(AND(L289=1,OR(C289=0,IFERROR(INDEX($X$11:$X$60,C289),0)=0)),1,0)</ns0:f>
        <ns0:v>0</ns0:v>
      </ns0:c>
      <ns0:c r="N289" s="0">
        <ns0:f>IF(OR(A289=0,L289&gt;0,$B$6&gt;0,Bookings!G289="Cancelled"),0,G289)</ns0:f>
        <ns0:v>0</ns0:v>
      </ns0:c>
      <ns0:c r="O289" s="0">
        <ns0:f>IF(AND(Bookings!G289="Approved",E289="Yes"),N289,0)</ns0:f>
        <ns0:v>0</ns0:v>
      </ns0:c>
      <ns0:c r="P289" s="0">
        <ns0:f>IF(AND(Bookings!G289="Approved",E289="Yes",L289=0,$B$6=0),H289,0)</ns0:f>
        <ns0:v>0</ns0:v>
      </ns0:c>
      <ns0:c r="Q289" s="0">
        <ns0:f>IF(AND(Bookings!G289="Approved",E289="Yes",L289=0,$B$6=0),I289,0)</ns0:f>
        <ns0:v>0</ns0:v>
      </ns0:c>
      <ns0:c r="R289" s="0">
        <ns0:f>IF(AND(Bookings!G289="Pending",E289="Yes"),N289,0)</ns0:f>
        <ns0:v>0</ns0:v>
      </ns0:c>
      <ns0:c r="S289" s="0">
        <ns0:f>IF(AND(Bookings!G289="Approved",E289="No"),N289,0)</ns0:f>
        <ns0:v>0</ns0:v>
      </ns0:c>
      <ns0:c r="T289" s="0">
        <ns0:f>IFERROR(MATCH(D289,Settings!$G$7:$G$11,0),0)</ns0:f>
        <ns0:v>0</ns0:v>
      </ns0:c>
      <ns0:c r="U289" s="0">
        <ns0:f>IF(N289&gt;0,T289+IF(Bookings!G289="Pending",10,0),0)</ns0:f>
        <ns0:v>0</ns0:v>
      </ns0:c>
      <ns0:c r="V289" s="0">
        <ns0:f>U289</ns0:f>
        <ns0:v>0</ns0:v>
      </ns0:c>
      <ns0:c r="W289" s="0" t="str">
        <ns0:f>IF(C289=0,"",INDEX($AP$11:$AP$60,C289))</ns0:f>
        <ns0:v/>
      </ns0:c>
    </ns0:row>
    <ns0:row r="290">
      <ns0:c r="A290" s="0">
        <ns0:f>IF(COUNTA(Bookings!A290:G290,Bookings!I290)=0,0,1)</ns0:f>
        <ns0:v>0</ns0:v>
      </ns0:c>
      <ns0:c r="B290" s="0" t="str">
        <ns0:f>IFERROR(TRIM(MID(Bookings!A290,FIND(" · ",Bookings!A290)+3,99)),"")</ns0:f>
        <ns0:v/>
      </ns0:c>
      <ns0:c r="C290" s="0">
        <ns0:f>IF(OR(B290="",LEN(B290)&gt;24,ISNUMBER(FIND(" ",B290)),ISNUMBER(FIND("*",B290)),ISNUMBER(FIND("?",B290)),ISNUMBER(FIND("~",B290))),0,IFERROR(MATCH(B290,Team!$A$11:$A$60,0),0))</ns0:f>
        <ns0:v>0</ns0:v>
      </ns0:c>
      <ns0:c r="D290" s="0" t="str">
        <ns0:f>IFERROR(IF(MID(Bookings!F290,LEN(Bookings!F290)-3,3)=" · ",RIGHT(Bookings!F290,1),""),"")</ns0:f>
        <ns0:v/>
      </ns0:c>
      <ns0:c r="E290" s="0" t="str">
        <ns0:f>IFERROR(INDEX(Settings!$H$7:$H$11,MATCH(D290,Settings!$G$7:$G$11,0)),"")</ns0:f>
        <ns0:v/>
      </ns0:c>
      <ns0:c r="F290" s="0" t="str">
        <ns0:f>IF(A290=0,"",IFERROR(IF(OR(B290="",C290=0),"CHECK employee selection",IF(INDEX(Team!$O$11:$O$60,C290)&lt;&gt;"OK","CHECK employee setup",IF(OR('_Dates'!J290=0,'_Dates'!T290=0),"CHECK date: use DD.MM.YYYY",IF('_Dates'!T290&lt;'_Dates'!J290,"CHECK end before start",IF(AND($B$6=0,OR('_Dates'!J290&lt;Settings!$B$7,'_Dates'!T290&gt;Settings!$B$8)),"CHECK split across leave years",IF(OR(NOT(OR('_Dates'!U290="Full day",'_Dates'!U290="AM",'_Dates'!U290="PM")),NOT(OR('_Dates'!V290="Full day",'_Dates'!V290="AM",'_Dates'!V290="PM"))),"CHECK Full day / AM / PM",IF(AND('_Dates'!J290='_Dates'!T290,'_Dates'!U290&lt;&gt;"Full day",'_Dates'!V290&lt;&gt;"Full day",'_Dates'!U290&lt;&gt;'_Dates'!V290),"CHECK same-day portions disagree",IF(AND($B$6=0,OR(AND('_Dates'!U290&lt;&gt;"Full day",'_Dates'!AA290=0),AND('_Dates'!V290&lt;&gt;"Full day",'_Dates'!AB290=0))),"CHECK half-day on non-working date",IF(COUNTIF(Settings!$G$7:$G$11,D290)&lt;&gt;1,"CHECK leave type",IF(AND(Bookings!G290&lt;&gt;"Approved",Bookings!G290&lt;&gt;"Pending",Bookings!G290&lt;&gt;"Cancelled"),"CHECK status","OK")))))))))),"CHECK input"))</ns0:f>
        <ns0:v/>
      </ns0:c>
      <ns0:c r="G290" s="0">
        <ns0:f>IF(OR(F290&lt;&gt;"OK",$B$6&gt;0),0,0.5*(IF(('_Dates'!X290)&lt;('_Dates'!W290),0,INT((('_Dates'!X290)-('_Dates'!W290)+1)/7)*LEN(SUBSTITUTE(W290,"O",""))+LEN(SUBSTITUTE(MID(W290&amp;W290,WEEKDAY(('_Dates'!W290),2),MOD((('_Dates'!X290)-('_Dates'!W290)+1),7)),"O",""))-COUNTIFS(INDEX(AllClosureRows,C290,0),"&gt;="&amp;('_Dates'!W290),INDEX(AllClosureRows,C290,0),"&lt;="&amp;('_Dates'!X290)))+IF(('_Dates'!Z290)&lt;('_Dates'!Y290),0,INT((('_Dates'!Z290)-('_Dates'!Y290)+1)/7)*LEN(SUBSTITUTE(W290,"O",""))+LEN(SUBSTITUTE(MID(W290&amp;W290,WEEKDAY(('_Dates'!Y290),2),MOD((('_Dates'!Z290)-('_Dates'!Y290)+1),7)),"O",""))-COUNTIFS(INDEX(AllClosureRows,C290,0),"&gt;="&amp;('_Dates'!Y290),INDEX(AllClosureRows,C290,0),"&lt;="&amp;('_Dates'!Z290)))))</ns0:f>
        <ns0:v>0</ns0:v>
      </ns0:c>
      <ns0:c r="H290" s="0">
        <ns0:f>IF(OR(F290&lt;&gt;"OK",$B$6&gt;0),0,0.5*(IF((MIN('_Dates'!X290,Settings!$B$9))&lt;('_Dates'!W290),0,INT(((MIN('_Dates'!X290,Settings!$B$9))-('_Dates'!W290)+1)/7)*LEN(SUBSTITUTE(W290,"O",""))+LEN(SUBSTITUTE(MID(W290&amp;W290,WEEKDAY(('_Dates'!W290),2),MOD(((MIN('_Dates'!X290,Settings!$B$9))-('_Dates'!W290)+1),7)),"O",""))-COUNTIFS(INDEX(AllClosureRows,C290,0),"&gt;="&amp;('_Dates'!W290),INDEX(AllClosureRows,C290,0),"&lt;="&amp;(MIN('_Dates'!X290,Settings!$B$9))))+IF((MIN('_Dates'!Z290,Settings!$B$9))&lt;('_Dates'!Y290),0,INT(((MIN('_Dates'!Z290,Settings!$B$9))-('_Dates'!Y290)+1)/7)*LEN(SUBSTITUTE(W290,"O",""))+LEN(SUBSTITUTE(MID(W290&amp;W290,WEEKDAY(('_Dates'!Y290),2),MOD(((MIN('_Dates'!Z290,Settings!$B$9))-('_Dates'!Y290)+1),7)),"O",""))-COUNTIFS(INDEX(AllClosureRows,C290,0),"&gt;="&amp;('_Dates'!Y290),INDEX(AllClosureRows,C290,0),"&lt;="&amp;(MIN('_Dates'!Z290,Settings!$B$9))))))</ns0:f>
        <ns0:v>0</ns0:v>
      </ns0:c>
      <ns0:c r="I290" s="0">
        <ns0:f>MAX(0,G290-H290)</ns0:f>
        <ns0:v>0</ns0:v>
      </ns0:c>
      <ns0:c r="J290" s="0">
        <ns0:f>IF(OR(A290=0,F290&lt;&gt;"OK",Bookings!G290="Cancelled",$B$6&gt;0),0,IF('_Dates'!AC290=1,MAX(0,COUNTIFS(rngEngine_B,B290,rngAMStart,"&lt;="&amp;'_Dates'!X290,rngAMEnd,"&gt;="&amp;'_Dates'!W290,rngAMActive,1,rngEngine_F,"OK",rngBookings_F,"&lt;&gt;Cancelled")-1),0)+IF('_Dates'!AD290=1,MAX(0,COUNTIFS(rngEngine_B,B290,rngPMStart,"&lt;="&amp;'_Dates'!Z290,rngPMEnd,"&gt;="&amp;'_Dates'!Y290,rngPMActive,1,rngEngine_F,"OK",rngBookings_F,"&lt;&gt;Cancelled")-1),0))</ns0:f>
        <ns0:v>0</ns0:v>
      </ns0:c>
      <ns0:c r="K290" s="0" t="str">
        <ns0:f>IF(A290=0,"",IF(F290&lt;&gt;"OK",F290,IF(J290&gt;0,"CHECK overlapping entry",IF(AND($B$6=0,G290&lt;=0,Bookings!G290&lt;&gt;"Cancelled"),"CHECK no working days",IF(Bookings!G290="Cancelled","Cancelled","OK")))))</ns0:f>
        <ns0:v/>
      </ns0:c>
      <ns0:c r="L290" s="0">
        <ns0:f>IF(LEFT(K290,5)="CHECK",1,0)</ns0:f>
        <ns0:v>0</ns0:v>
      </ns0:c>
      <ns0:c r="M290" s="0">
        <ns0:f>IF(AND(L290=1,OR(C290=0,IFERROR(INDEX($X$11:$X$60,C290),0)=0)),1,0)</ns0:f>
        <ns0:v>0</ns0:v>
      </ns0:c>
      <ns0:c r="N290" s="0">
        <ns0:f>IF(OR(A290=0,L290&gt;0,$B$6&gt;0,Bookings!G290="Cancelled"),0,G290)</ns0:f>
        <ns0:v>0</ns0:v>
      </ns0:c>
      <ns0:c r="O290" s="0">
        <ns0:f>IF(AND(Bookings!G290="Approved",E290="Yes"),N290,0)</ns0:f>
        <ns0:v>0</ns0:v>
      </ns0:c>
      <ns0:c r="P290" s="0">
        <ns0:f>IF(AND(Bookings!G290="Approved",E290="Yes",L290=0,$B$6=0),H290,0)</ns0:f>
        <ns0:v>0</ns0:v>
      </ns0:c>
      <ns0:c r="Q290" s="0">
        <ns0:f>IF(AND(Bookings!G290="Approved",E290="Yes",L290=0,$B$6=0),I290,0)</ns0:f>
        <ns0:v>0</ns0:v>
      </ns0:c>
      <ns0:c r="R290" s="0">
        <ns0:f>IF(AND(Bookings!G290="Pending",E290="Yes"),N290,0)</ns0:f>
        <ns0:v>0</ns0:v>
      </ns0:c>
      <ns0:c r="S290" s="0">
        <ns0:f>IF(AND(Bookings!G290="Approved",E290="No"),N290,0)</ns0:f>
        <ns0:v>0</ns0:v>
      </ns0:c>
      <ns0:c r="T290" s="0">
        <ns0:f>IFERROR(MATCH(D290,Settings!$G$7:$G$11,0),0)</ns0:f>
        <ns0:v>0</ns0:v>
      </ns0:c>
      <ns0:c r="U290" s="0">
        <ns0:f>IF(N290&gt;0,T290+IF(Bookings!G290="Pending",10,0),0)</ns0:f>
        <ns0:v>0</ns0:v>
      </ns0:c>
      <ns0:c r="V290" s="0">
        <ns0:f>U290</ns0:f>
        <ns0:v>0</ns0:v>
      </ns0:c>
      <ns0:c r="W290" s="0" t="str">
        <ns0:f>IF(C290=0,"",INDEX($AP$11:$AP$60,C290))</ns0:f>
        <ns0:v/>
      </ns0:c>
    </ns0:row>
    <ns0:row r="291">
      <ns0:c r="A291" s="0">
        <ns0:f>IF(COUNTA(Bookings!A291:G291,Bookings!I291)=0,0,1)</ns0:f>
        <ns0:v>0</ns0:v>
      </ns0:c>
      <ns0:c r="B291" s="0" t="str">
        <ns0:f>IFERROR(TRIM(MID(Bookings!A291,FIND(" · ",Bookings!A291)+3,99)),"")</ns0:f>
        <ns0:v/>
      </ns0:c>
      <ns0:c r="C291" s="0">
        <ns0:f>IF(OR(B291="",LEN(B291)&gt;24,ISNUMBER(FIND(" ",B291)),ISNUMBER(FIND("*",B291)),ISNUMBER(FIND("?",B291)),ISNUMBER(FIND("~",B291))),0,IFERROR(MATCH(B291,Team!$A$11:$A$60,0),0))</ns0:f>
        <ns0:v>0</ns0:v>
      </ns0:c>
      <ns0:c r="D291" s="0" t="str">
        <ns0:f>IFERROR(IF(MID(Bookings!F291,LEN(Bookings!F291)-3,3)=" · ",RIGHT(Bookings!F291,1),""),"")</ns0:f>
        <ns0:v/>
      </ns0:c>
      <ns0:c r="E291" s="0" t="str">
        <ns0:f>IFERROR(INDEX(Settings!$H$7:$H$11,MATCH(D291,Settings!$G$7:$G$11,0)),"")</ns0:f>
        <ns0:v/>
      </ns0:c>
      <ns0:c r="F291" s="0" t="str">
        <ns0:f>IF(A291=0,"",IFERROR(IF(OR(B291="",C291=0),"CHECK employee selection",IF(INDEX(Team!$O$11:$O$60,C291)&lt;&gt;"OK","CHECK employee setup",IF(OR('_Dates'!J291=0,'_Dates'!T291=0),"CHECK date: use DD.MM.YYYY",IF('_Dates'!T291&lt;'_Dates'!J291,"CHECK end before start",IF(AND($B$6=0,OR('_Dates'!J291&lt;Settings!$B$7,'_Dates'!T291&gt;Settings!$B$8)),"CHECK split across leave years",IF(OR(NOT(OR('_Dates'!U291="Full day",'_Dates'!U291="AM",'_Dates'!U291="PM")),NOT(OR('_Dates'!V291="Full day",'_Dates'!V291="AM",'_Dates'!V291="PM"))),"CHECK Full day / AM / PM",IF(AND('_Dates'!J291='_Dates'!T291,'_Dates'!U291&lt;&gt;"Full day",'_Dates'!V291&lt;&gt;"Full day",'_Dates'!U291&lt;&gt;'_Dates'!V291),"CHECK same-day portions disagree",IF(AND($B$6=0,OR(AND('_Dates'!U291&lt;&gt;"Full day",'_Dates'!AA291=0),AND('_Dates'!V291&lt;&gt;"Full day",'_Dates'!AB291=0))),"CHECK half-day on non-working date",IF(COUNTIF(Settings!$G$7:$G$11,D291)&lt;&gt;1,"CHECK leave type",IF(AND(Bookings!G291&lt;&gt;"Approved",Bookings!G291&lt;&gt;"Pending",Bookings!G291&lt;&gt;"Cancelled"),"CHECK status","OK")))))))))),"CHECK input"))</ns0:f>
        <ns0:v/>
      </ns0:c>
      <ns0:c r="G291" s="0">
        <ns0:f>IF(OR(F291&lt;&gt;"OK",$B$6&gt;0),0,0.5*(IF(('_Dates'!X291)&lt;('_Dates'!W291),0,INT((('_Dates'!X291)-('_Dates'!W291)+1)/7)*LEN(SUBSTITUTE(W291,"O",""))+LEN(SUBSTITUTE(MID(W291&amp;W291,WEEKDAY(('_Dates'!W291),2),MOD((('_Dates'!X291)-('_Dates'!W291)+1),7)),"O",""))-COUNTIFS(INDEX(AllClosureRows,C291,0),"&gt;="&amp;('_Dates'!W291),INDEX(AllClosureRows,C291,0),"&lt;="&amp;('_Dates'!X291)))+IF(('_Dates'!Z291)&lt;('_Dates'!Y291),0,INT((('_Dates'!Z291)-('_Dates'!Y291)+1)/7)*LEN(SUBSTITUTE(W291,"O",""))+LEN(SUBSTITUTE(MID(W291&amp;W291,WEEKDAY(('_Dates'!Y291),2),MOD((('_Dates'!Z291)-('_Dates'!Y291)+1),7)),"O",""))-COUNTIFS(INDEX(AllClosureRows,C291,0),"&gt;="&amp;('_Dates'!Y291),INDEX(AllClosureRows,C291,0),"&lt;="&amp;('_Dates'!Z291)))))</ns0:f>
        <ns0:v>0</ns0:v>
      </ns0:c>
      <ns0:c r="H291" s="0">
        <ns0:f>IF(OR(F291&lt;&gt;"OK",$B$6&gt;0),0,0.5*(IF((MIN('_Dates'!X291,Settings!$B$9))&lt;('_Dates'!W291),0,INT(((MIN('_Dates'!X291,Settings!$B$9))-('_Dates'!W291)+1)/7)*LEN(SUBSTITUTE(W291,"O",""))+LEN(SUBSTITUTE(MID(W291&amp;W291,WEEKDAY(('_Dates'!W291),2),MOD(((MIN('_Dates'!X291,Settings!$B$9))-('_Dates'!W291)+1),7)),"O",""))-COUNTIFS(INDEX(AllClosureRows,C291,0),"&gt;="&amp;('_Dates'!W291),INDEX(AllClosureRows,C291,0),"&lt;="&amp;(MIN('_Dates'!X291,Settings!$B$9))))+IF((MIN('_Dates'!Z291,Settings!$B$9))&lt;('_Dates'!Y291),0,INT(((MIN('_Dates'!Z291,Settings!$B$9))-('_Dates'!Y291)+1)/7)*LEN(SUBSTITUTE(W291,"O",""))+LEN(SUBSTITUTE(MID(W291&amp;W291,WEEKDAY(('_Dates'!Y291),2),MOD(((MIN('_Dates'!Z291,Settings!$B$9))-('_Dates'!Y291)+1),7)),"O",""))-COUNTIFS(INDEX(AllClosureRows,C291,0),"&gt;="&amp;('_Dates'!Y291),INDEX(AllClosureRows,C291,0),"&lt;="&amp;(MIN('_Dates'!Z291,Settings!$B$9))))))</ns0:f>
        <ns0:v>0</ns0:v>
      </ns0:c>
      <ns0:c r="I291" s="0">
        <ns0:f>MAX(0,G291-H291)</ns0:f>
        <ns0:v>0</ns0:v>
      </ns0:c>
      <ns0:c r="J291" s="0">
        <ns0:f>IF(OR(A291=0,F291&lt;&gt;"OK",Bookings!G291="Cancelled",$B$6&gt;0),0,IF('_Dates'!AC291=1,MAX(0,COUNTIFS(rngEngine_B,B291,rngAMStart,"&lt;="&amp;'_Dates'!X291,rngAMEnd,"&gt;="&amp;'_Dates'!W291,rngAMActive,1,rngEngine_F,"OK",rngBookings_F,"&lt;&gt;Cancelled")-1),0)+IF('_Dates'!AD291=1,MAX(0,COUNTIFS(rngEngine_B,B291,rngPMStart,"&lt;="&amp;'_Dates'!Z291,rngPMEnd,"&gt;="&amp;'_Dates'!Y291,rngPMActive,1,rngEngine_F,"OK",rngBookings_F,"&lt;&gt;Cancelled")-1),0))</ns0:f>
        <ns0:v>0</ns0:v>
      </ns0:c>
      <ns0:c r="K291" s="0" t="str">
        <ns0:f>IF(A291=0,"",IF(F291&lt;&gt;"OK",F291,IF(J291&gt;0,"CHECK overlapping entry",IF(AND($B$6=0,G291&lt;=0,Bookings!G291&lt;&gt;"Cancelled"),"CHECK no working days",IF(Bookings!G291="Cancelled","Cancelled","OK")))))</ns0:f>
        <ns0:v/>
      </ns0:c>
      <ns0:c r="L291" s="0">
        <ns0:f>IF(LEFT(K291,5)="CHECK",1,0)</ns0:f>
        <ns0:v>0</ns0:v>
      </ns0:c>
      <ns0:c r="M291" s="0">
        <ns0:f>IF(AND(L291=1,OR(C291=0,IFERROR(INDEX($X$11:$X$60,C291),0)=0)),1,0)</ns0:f>
        <ns0:v>0</ns0:v>
      </ns0:c>
      <ns0:c r="N291" s="0">
        <ns0:f>IF(OR(A291=0,L291&gt;0,$B$6&gt;0,Bookings!G291="Cancelled"),0,G291)</ns0:f>
        <ns0:v>0</ns0:v>
      </ns0:c>
      <ns0:c r="O291" s="0">
        <ns0:f>IF(AND(Bookings!G291="Approved",E291="Yes"),N291,0)</ns0:f>
        <ns0:v>0</ns0:v>
      </ns0:c>
      <ns0:c r="P291" s="0">
        <ns0:f>IF(AND(Bookings!G291="Approved",E291="Yes",L291=0,$B$6=0),H291,0)</ns0:f>
        <ns0:v>0</ns0:v>
      </ns0:c>
      <ns0:c r="Q291" s="0">
        <ns0:f>IF(AND(Bookings!G291="Approved",E291="Yes",L291=0,$B$6=0),I291,0)</ns0:f>
        <ns0:v>0</ns0:v>
      </ns0:c>
      <ns0:c r="R291" s="0">
        <ns0:f>IF(AND(Bookings!G291="Pending",E291="Yes"),N291,0)</ns0:f>
        <ns0:v>0</ns0:v>
      </ns0:c>
      <ns0:c r="S291" s="0">
        <ns0:f>IF(AND(Bookings!G291="Approved",E291="No"),N291,0)</ns0:f>
        <ns0:v>0</ns0:v>
      </ns0:c>
      <ns0:c r="T291" s="0">
        <ns0:f>IFERROR(MATCH(D291,Settings!$G$7:$G$11,0),0)</ns0:f>
        <ns0:v>0</ns0:v>
      </ns0:c>
      <ns0:c r="U291" s="0">
        <ns0:f>IF(N291&gt;0,T291+IF(Bookings!G291="Pending",10,0),0)</ns0:f>
        <ns0:v>0</ns0:v>
      </ns0:c>
      <ns0:c r="V291" s="0">
        <ns0:f>U291</ns0:f>
        <ns0:v>0</ns0:v>
      </ns0:c>
      <ns0:c r="W291" s="0" t="str">
        <ns0:f>IF(C291=0,"",INDEX($AP$11:$AP$60,C291))</ns0:f>
        <ns0:v/>
      </ns0:c>
    </ns0:row>
    <ns0:row r="292">
      <ns0:c r="A292" s="0">
        <ns0:f>IF(COUNTA(Bookings!A292:G292,Bookings!I292)=0,0,1)</ns0:f>
        <ns0:v>0</ns0:v>
      </ns0:c>
      <ns0:c r="B292" s="0" t="str">
        <ns0:f>IFERROR(TRIM(MID(Bookings!A292,FIND(" · ",Bookings!A292)+3,99)),"")</ns0:f>
        <ns0:v/>
      </ns0:c>
      <ns0:c r="C292" s="0">
        <ns0:f>IF(OR(B292="",LEN(B292)&gt;24,ISNUMBER(FIND(" ",B292)),ISNUMBER(FIND("*",B292)),ISNUMBER(FIND("?",B292)),ISNUMBER(FIND("~",B292))),0,IFERROR(MATCH(B292,Team!$A$11:$A$60,0),0))</ns0:f>
        <ns0:v>0</ns0:v>
      </ns0:c>
      <ns0:c r="D292" s="0" t="str">
        <ns0:f>IFERROR(IF(MID(Bookings!F292,LEN(Bookings!F292)-3,3)=" · ",RIGHT(Bookings!F292,1),""),"")</ns0:f>
        <ns0:v/>
      </ns0:c>
      <ns0:c r="E292" s="0" t="str">
        <ns0:f>IFERROR(INDEX(Settings!$H$7:$H$11,MATCH(D292,Settings!$G$7:$G$11,0)),"")</ns0:f>
        <ns0:v/>
      </ns0:c>
      <ns0:c r="F292" s="0" t="str">
        <ns0:f>IF(A292=0,"",IFERROR(IF(OR(B292="",C292=0),"CHECK employee selection",IF(INDEX(Team!$O$11:$O$60,C292)&lt;&gt;"OK","CHECK employee setup",IF(OR('_Dates'!J292=0,'_Dates'!T292=0),"CHECK date: use DD.MM.YYYY",IF('_Dates'!T292&lt;'_Dates'!J292,"CHECK end before start",IF(AND($B$6=0,OR('_Dates'!J292&lt;Settings!$B$7,'_Dates'!T292&gt;Settings!$B$8)),"CHECK split across leave years",IF(OR(NOT(OR('_Dates'!U292="Full day",'_Dates'!U292="AM",'_Dates'!U292="PM")),NOT(OR('_Dates'!V292="Full day",'_Dates'!V292="AM",'_Dates'!V292="PM"))),"CHECK Full day / AM / PM",IF(AND('_Dates'!J292='_Dates'!T292,'_Dates'!U292&lt;&gt;"Full day",'_Dates'!V292&lt;&gt;"Full day",'_Dates'!U292&lt;&gt;'_Dates'!V292),"CHECK same-day portions disagree",IF(AND($B$6=0,OR(AND('_Dates'!U292&lt;&gt;"Full day",'_Dates'!AA292=0),AND('_Dates'!V292&lt;&gt;"Full day",'_Dates'!AB292=0))),"CHECK half-day on non-working date",IF(COUNTIF(Settings!$G$7:$G$11,D292)&lt;&gt;1,"CHECK leave type",IF(AND(Bookings!G292&lt;&gt;"Approved",Bookings!G292&lt;&gt;"Pending",Bookings!G292&lt;&gt;"Cancelled"),"CHECK status","OK")))))))))),"CHECK input"))</ns0:f>
        <ns0:v/>
      </ns0:c>
      <ns0:c r="G292" s="0">
        <ns0:f>IF(OR(F292&lt;&gt;"OK",$B$6&gt;0),0,0.5*(IF(('_Dates'!X292)&lt;('_Dates'!W292),0,INT((('_Dates'!X292)-('_Dates'!W292)+1)/7)*LEN(SUBSTITUTE(W292,"O",""))+LEN(SUBSTITUTE(MID(W292&amp;W292,WEEKDAY(('_Dates'!W292),2),MOD((('_Dates'!X292)-('_Dates'!W292)+1),7)),"O",""))-COUNTIFS(INDEX(AllClosureRows,C292,0),"&gt;="&amp;('_Dates'!W292),INDEX(AllClosureRows,C292,0),"&lt;="&amp;('_Dates'!X292)))+IF(('_Dates'!Z292)&lt;('_Dates'!Y292),0,INT((('_Dates'!Z292)-('_Dates'!Y292)+1)/7)*LEN(SUBSTITUTE(W292,"O",""))+LEN(SUBSTITUTE(MID(W292&amp;W292,WEEKDAY(('_Dates'!Y292),2),MOD((('_Dates'!Z292)-('_Dates'!Y292)+1),7)),"O",""))-COUNTIFS(INDEX(AllClosureRows,C292,0),"&gt;="&amp;('_Dates'!Y292),INDEX(AllClosureRows,C292,0),"&lt;="&amp;('_Dates'!Z292)))))</ns0:f>
        <ns0:v>0</ns0:v>
      </ns0:c>
      <ns0:c r="H292" s="0">
        <ns0:f>IF(OR(F292&lt;&gt;"OK",$B$6&gt;0),0,0.5*(IF((MIN('_Dates'!X292,Settings!$B$9))&lt;('_Dates'!W292),0,INT(((MIN('_Dates'!X292,Settings!$B$9))-('_Dates'!W292)+1)/7)*LEN(SUBSTITUTE(W292,"O",""))+LEN(SUBSTITUTE(MID(W292&amp;W292,WEEKDAY(('_Dates'!W292),2),MOD(((MIN('_Dates'!X292,Settings!$B$9))-('_Dates'!W292)+1),7)),"O",""))-COUNTIFS(INDEX(AllClosureRows,C292,0),"&gt;="&amp;('_Dates'!W292),INDEX(AllClosureRows,C292,0),"&lt;="&amp;(MIN('_Dates'!X292,Settings!$B$9))))+IF((MIN('_Dates'!Z292,Settings!$B$9))&lt;('_Dates'!Y292),0,INT(((MIN('_Dates'!Z292,Settings!$B$9))-('_Dates'!Y292)+1)/7)*LEN(SUBSTITUTE(W292,"O",""))+LEN(SUBSTITUTE(MID(W292&amp;W292,WEEKDAY(('_Dates'!Y292),2),MOD(((MIN('_Dates'!Z292,Settings!$B$9))-('_Dates'!Y292)+1),7)),"O",""))-COUNTIFS(INDEX(AllClosureRows,C292,0),"&gt;="&amp;('_Dates'!Y292),INDEX(AllClosureRows,C292,0),"&lt;="&amp;(MIN('_Dates'!Z292,Settings!$B$9))))))</ns0:f>
        <ns0:v>0</ns0:v>
      </ns0:c>
      <ns0:c r="I292" s="0">
        <ns0:f>MAX(0,G292-H292)</ns0:f>
        <ns0:v>0</ns0:v>
      </ns0:c>
      <ns0:c r="J292" s="0">
        <ns0:f>IF(OR(A292=0,F292&lt;&gt;"OK",Bookings!G292="Cancelled",$B$6&gt;0),0,IF('_Dates'!AC292=1,MAX(0,COUNTIFS(rngEngine_B,B292,rngAMStart,"&lt;="&amp;'_Dates'!X292,rngAMEnd,"&gt;="&amp;'_Dates'!W292,rngAMActive,1,rngEngine_F,"OK",rngBookings_F,"&lt;&gt;Cancelled")-1),0)+IF('_Dates'!AD292=1,MAX(0,COUNTIFS(rngEngine_B,B292,rngPMStart,"&lt;="&amp;'_Dates'!Z292,rngPMEnd,"&gt;="&amp;'_Dates'!Y292,rngPMActive,1,rngEngine_F,"OK",rngBookings_F,"&lt;&gt;Cancelled")-1),0))</ns0:f>
        <ns0:v>0</ns0:v>
      </ns0:c>
      <ns0:c r="K292" s="0" t="str">
        <ns0:f>IF(A292=0,"",IF(F292&lt;&gt;"OK",F292,IF(J292&gt;0,"CHECK overlapping entry",IF(AND($B$6=0,G292&lt;=0,Bookings!G292&lt;&gt;"Cancelled"),"CHECK no working days",IF(Bookings!G292="Cancelled","Cancelled","OK")))))</ns0:f>
        <ns0:v/>
      </ns0:c>
      <ns0:c r="L292" s="0">
        <ns0:f>IF(LEFT(K292,5)="CHECK",1,0)</ns0:f>
        <ns0:v>0</ns0:v>
      </ns0:c>
      <ns0:c r="M292" s="0">
        <ns0:f>IF(AND(L292=1,OR(C292=0,IFERROR(INDEX($X$11:$X$60,C292),0)=0)),1,0)</ns0:f>
        <ns0:v>0</ns0:v>
      </ns0:c>
      <ns0:c r="N292" s="0">
        <ns0:f>IF(OR(A292=0,L292&gt;0,$B$6&gt;0,Bookings!G292="Cancelled"),0,G292)</ns0:f>
        <ns0:v>0</ns0:v>
      </ns0:c>
      <ns0:c r="O292" s="0">
        <ns0:f>IF(AND(Bookings!G292="Approved",E292="Yes"),N292,0)</ns0:f>
        <ns0:v>0</ns0:v>
      </ns0:c>
      <ns0:c r="P292" s="0">
        <ns0:f>IF(AND(Bookings!G292="Approved",E292="Yes",L292=0,$B$6=0),H292,0)</ns0:f>
        <ns0:v>0</ns0:v>
      </ns0:c>
      <ns0:c r="Q292" s="0">
        <ns0:f>IF(AND(Bookings!G292="Approved",E292="Yes",L292=0,$B$6=0),I292,0)</ns0:f>
        <ns0:v>0</ns0:v>
      </ns0:c>
      <ns0:c r="R292" s="0">
        <ns0:f>IF(AND(Bookings!G292="Pending",E292="Yes"),N292,0)</ns0:f>
        <ns0:v>0</ns0:v>
      </ns0:c>
      <ns0:c r="S292" s="0">
        <ns0:f>IF(AND(Bookings!G292="Approved",E292="No"),N292,0)</ns0:f>
        <ns0:v>0</ns0:v>
      </ns0:c>
      <ns0:c r="T292" s="0">
        <ns0:f>IFERROR(MATCH(D292,Settings!$G$7:$G$11,0),0)</ns0:f>
        <ns0:v>0</ns0:v>
      </ns0:c>
      <ns0:c r="U292" s="0">
        <ns0:f>IF(N292&gt;0,T292+IF(Bookings!G292="Pending",10,0),0)</ns0:f>
        <ns0:v>0</ns0:v>
      </ns0:c>
      <ns0:c r="V292" s="0">
        <ns0:f>U292</ns0:f>
        <ns0:v>0</ns0:v>
      </ns0:c>
      <ns0:c r="W292" s="0" t="str">
        <ns0:f>IF(C292=0,"",INDEX($AP$11:$AP$60,C292))</ns0:f>
        <ns0:v/>
      </ns0:c>
    </ns0:row>
    <ns0:row r="293">
      <ns0:c r="A293" s="0">
        <ns0:f>IF(COUNTA(Bookings!A293:G293,Bookings!I293)=0,0,1)</ns0:f>
        <ns0:v>0</ns0:v>
      </ns0:c>
      <ns0:c r="B293" s="0" t="str">
        <ns0:f>IFERROR(TRIM(MID(Bookings!A293,FIND(" · ",Bookings!A293)+3,99)),"")</ns0:f>
        <ns0:v/>
      </ns0:c>
      <ns0:c r="C293" s="0">
        <ns0:f>IF(OR(B293="",LEN(B293)&gt;24,ISNUMBER(FIND(" ",B293)),ISNUMBER(FIND("*",B293)),ISNUMBER(FIND("?",B293)),ISNUMBER(FIND("~",B293))),0,IFERROR(MATCH(B293,Team!$A$11:$A$60,0),0))</ns0:f>
        <ns0:v>0</ns0:v>
      </ns0:c>
      <ns0:c r="D293" s="0" t="str">
        <ns0:f>IFERROR(IF(MID(Bookings!F293,LEN(Bookings!F293)-3,3)=" · ",RIGHT(Bookings!F293,1),""),"")</ns0:f>
        <ns0:v/>
      </ns0:c>
      <ns0:c r="E293" s="0" t="str">
        <ns0:f>IFERROR(INDEX(Settings!$H$7:$H$11,MATCH(D293,Settings!$G$7:$G$11,0)),"")</ns0:f>
        <ns0:v/>
      </ns0:c>
      <ns0:c r="F293" s="0" t="str">
        <ns0:f>IF(A293=0,"",IFERROR(IF(OR(B293="",C293=0),"CHECK employee selection",IF(INDEX(Team!$O$11:$O$60,C293)&lt;&gt;"OK","CHECK employee setup",IF(OR('_Dates'!J293=0,'_Dates'!T293=0),"CHECK date: use DD.MM.YYYY",IF('_Dates'!T293&lt;'_Dates'!J293,"CHECK end before start",IF(AND($B$6=0,OR('_Dates'!J293&lt;Settings!$B$7,'_Dates'!T293&gt;Settings!$B$8)),"CHECK split across leave years",IF(OR(NOT(OR('_Dates'!U293="Full day",'_Dates'!U293="AM",'_Dates'!U293="PM")),NOT(OR('_Dates'!V293="Full day",'_Dates'!V293="AM",'_Dates'!V293="PM"))),"CHECK Full day / AM / PM",IF(AND('_Dates'!J293='_Dates'!T293,'_Dates'!U293&lt;&gt;"Full day",'_Dates'!V293&lt;&gt;"Full day",'_Dates'!U293&lt;&gt;'_Dates'!V293),"CHECK same-day portions disagree",IF(AND($B$6=0,OR(AND('_Dates'!U293&lt;&gt;"Full day",'_Dates'!AA293=0),AND('_Dates'!V293&lt;&gt;"Full day",'_Dates'!AB293=0))),"CHECK half-day on non-working date",IF(COUNTIF(Settings!$G$7:$G$11,D293)&lt;&gt;1,"CHECK leave type",IF(AND(Bookings!G293&lt;&gt;"Approved",Bookings!G293&lt;&gt;"Pending",Bookings!G293&lt;&gt;"Cancelled"),"CHECK status","OK")))))))))),"CHECK input"))</ns0:f>
        <ns0:v/>
      </ns0:c>
      <ns0:c r="G293" s="0">
        <ns0:f>IF(OR(F293&lt;&gt;"OK",$B$6&gt;0),0,0.5*(IF(('_Dates'!X293)&lt;('_Dates'!W293),0,INT((('_Dates'!X293)-('_Dates'!W293)+1)/7)*LEN(SUBSTITUTE(W293,"O",""))+LEN(SUBSTITUTE(MID(W293&amp;W293,WEEKDAY(('_Dates'!W293),2),MOD((('_Dates'!X293)-('_Dates'!W293)+1),7)),"O",""))-COUNTIFS(INDEX(AllClosureRows,C293,0),"&gt;="&amp;('_Dates'!W293),INDEX(AllClosureRows,C293,0),"&lt;="&amp;('_Dates'!X293)))+IF(('_Dates'!Z293)&lt;('_Dates'!Y293),0,INT((('_Dates'!Z293)-('_Dates'!Y293)+1)/7)*LEN(SUBSTITUTE(W293,"O",""))+LEN(SUBSTITUTE(MID(W293&amp;W293,WEEKDAY(('_Dates'!Y293),2),MOD((('_Dates'!Z293)-('_Dates'!Y293)+1),7)),"O",""))-COUNTIFS(INDEX(AllClosureRows,C293,0),"&gt;="&amp;('_Dates'!Y293),INDEX(AllClosureRows,C293,0),"&lt;="&amp;('_Dates'!Z293)))))</ns0:f>
        <ns0:v>0</ns0:v>
      </ns0:c>
      <ns0:c r="H293" s="0">
        <ns0:f>IF(OR(F293&lt;&gt;"OK",$B$6&gt;0),0,0.5*(IF((MIN('_Dates'!X293,Settings!$B$9))&lt;('_Dates'!W293),0,INT(((MIN('_Dates'!X293,Settings!$B$9))-('_Dates'!W293)+1)/7)*LEN(SUBSTITUTE(W293,"O",""))+LEN(SUBSTITUTE(MID(W293&amp;W293,WEEKDAY(('_Dates'!W293),2),MOD(((MIN('_Dates'!X293,Settings!$B$9))-('_Dates'!W293)+1),7)),"O",""))-COUNTIFS(INDEX(AllClosureRows,C293,0),"&gt;="&amp;('_Dates'!W293),INDEX(AllClosureRows,C293,0),"&lt;="&amp;(MIN('_Dates'!X293,Settings!$B$9))))+IF((MIN('_Dates'!Z293,Settings!$B$9))&lt;('_Dates'!Y293),0,INT(((MIN('_Dates'!Z293,Settings!$B$9))-('_Dates'!Y293)+1)/7)*LEN(SUBSTITUTE(W293,"O",""))+LEN(SUBSTITUTE(MID(W293&amp;W293,WEEKDAY(('_Dates'!Y293),2),MOD(((MIN('_Dates'!Z293,Settings!$B$9))-('_Dates'!Y293)+1),7)),"O",""))-COUNTIFS(INDEX(AllClosureRows,C293,0),"&gt;="&amp;('_Dates'!Y293),INDEX(AllClosureRows,C293,0),"&lt;="&amp;(MIN('_Dates'!Z293,Settings!$B$9))))))</ns0:f>
        <ns0:v>0</ns0:v>
      </ns0:c>
      <ns0:c r="I293" s="0">
        <ns0:f>MAX(0,G293-H293)</ns0:f>
        <ns0:v>0</ns0:v>
      </ns0:c>
      <ns0:c r="J293" s="0">
        <ns0:f>IF(OR(A293=0,F293&lt;&gt;"OK",Bookings!G293="Cancelled",$B$6&gt;0),0,IF('_Dates'!AC293=1,MAX(0,COUNTIFS(rngEngine_B,B293,rngAMStart,"&lt;="&amp;'_Dates'!X293,rngAMEnd,"&gt;="&amp;'_Dates'!W293,rngAMActive,1,rngEngine_F,"OK",rngBookings_F,"&lt;&gt;Cancelled")-1),0)+IF('_Dates'!AD293=1,MAX(0,COUNTIFS(rngEngine_B,B293,rngPMStart,"&lt;="&amp;'_Dates'!Z293,rngPMEnd,"&gt;="&amp;'_Dates'!Y293,rngPMActive,1,rngEngine_F,"OK",rngBookings_F,"&lt;&gt;Cancelled")-1),0))</ns0:f>
        <ns0:v>0</ns0:v>
      </ns0:c>
      <ns0:c r="K293" s="0" t="str">
        <ns0:f>IF(A293=0,"",IF(F293&lt;&gt;"OK",F293,IF(J293&gt;0,"CHECK overlapping entry",IF(AND($B$6=0,G293&lt;=0,Bookings!G293&lt;&gt;"Cancelled"),"CHECK no working days",IF(Bookings!G293="Cancelled","Cancelled","OK")))))</ns0:f>
        <ns0:v/>
      </ns0:c>
      <ns0:c r="L293" s="0">
        <ns0:f>IF(LEFT(K293,5)="CHECK",1,0)</ns0:f>
        <ns0:v>0</ns0:v>
      </ns0:c>
      <ns0:c r="M293" s="0">
        <ns0:f>IF(AND(L293=1,OR(C293=0,IFERROR(INDEX($X$11:$X$60,C293),0)=0)),1,0)</ns0:f>
        <ns0:v>0</ns0:v>
      </ns0:c>
      <ns0:c r="N293" s="0">
        <ns0:f>IF(OR(A293=0,L293&gt;0,$B$6&gt;0,Bookings!G293="Cancelled"),0,G293)</ns0:f>
        <ns0:v>0</ns0:v>
      </ns0:c>
      <ns0:c r="O293" s="0">
        <ns0:f>IF(AND(Bookings!G293="Approved",E293="Yes"),N293,0)</ns0:f>
        <ns0:v>0</ns0:v>
      </ns0:c>
      <ns0:c r="P293" s="0">
        <ns0:f>IF(AND(Bookings!G293="Approved",E293="Yes",L293=0,$B$6=0),H293,0)</ns0:f>
        <ns0:v>0</ns0:v>
      </ns0:c>
      <ns0:c r="Q293" s="0">
        <ns0:f>IF(AND(Bookings!G293="Approved",E293="Yes",L293=0,$B$6=0),I293,0)</ns0:f>
        <ns0:v>0</ns0:v>
      </ns0:c>
      <ns0:c r="R293" s="0">
        <ns0:f>IF(AND(Bookings!G293="Pending",E293="Yes"),N293,0)</ns0:f>
        <ns0:v>0</ns0:v>
      </ns0:c>
      <ns0:c r="S293" s="0">
        <ns0:f>IF(AND(Bookings!G293="Approved",E293="No"),N293,0)</ns0:f>
        <ns0:v>0</ns0:v>
      </ns0:c>
      <ns0:c r="T293" s="0">
        <ns0:f>IFERROR(MATCH(D293,Settings!$G$7:$G$11,0),0)</ns0:f>
        <ns0:v>0</ns0:v>
      </ns0:c>
      <ns0:c r="U293" s="0">
        <ns0:f>IF(N293&gt;0,T293+IF(Bookings!G293="Pending",10,0),0)</ns0:f>
        <ns0:v>0</ns0:v>
      </ns0:c>
      <ns0:c r="V293" s="0">
        <ns0:f>U293</ns0:f>
        <ns0:v>0</ns0:v>
      </ns0:c>
      <ns0:c r="W293" s="0" t="str">
        <ns0:f>IF(C293=0,"",INDEX($AP$11:$AP$60,C293))</ns0:f>
        <ns0:v/>
      </ns0:c>
    </ns0:row>
    <ns0:row r="294">
      <ns0:c r="A294" s="0">
        <ns0:f>IF(COUNTA(Bookings!A294:G294,Bookings!I294)=0,0,1)</ns0:f>
        <ns0:v>0</ns0:v>
      </ns0:c>
      <ns0:c r="B294" s="0" t="str">
        <ns0:f>IFERROR(TRIM(MID(Bookings!A294,FIND(" · ",Bookings!A294)+3,99)),"")</ns0:f>
        <ns0:v/>
      </ns0:c>
      <ns0:c r="C294" s="0">
        <ns0:f>IF(OR(B294="",LEN(B294)&gt;24,ISNUMBER(FIND(" ",B294)),ISNUMBER(FIND("*",B294)),ISNUMBER(FIND("?",B294)),ISNUMBER(FIND("~",B294))),0,IFERROR(MATCH(B294,Team!$A$11:$A$60,0),0))</ns0:f>
        <ns0:v>0</ns0:v>
      </ns0:c>
      <ns0:c r="D294" s="0" t="str">
        <ns0:f>IFERROR(IF(MID(Bookings!F294,LEN(Bookings!F294)-3,3)=" · ",RIGHT(Bookings!F294,1),""),"")</ns0:f>
        <ns0:v/>
      </ns0:c>
      <ns0:c r="E294" s="0" t="str">
        <ns0:f>IFERROR(INDEX(Settings!$H$7:$H$11,MATCH(D294,Settings!$G$7:$G$11,0)),"")</ns0:f>
        <ns0:v/>
      </ns0:c>
      <ns0:c r="F294" s="0" t="str">
        <ns0:f>IF(A294=0,"",IFERROR(IF(OR(B294="",C294=0),"CHECK employee selection",IF(INDEX(Team!$O$11:$O$60,C294)&lt;&gt;"OK","CHECK employee setup",IF(OR('_Dates'!J294=0,'_Dates'!T294=0),"CHECK date: use DD.MM.YYYY",IF('_Dates'!T294&lt;'_Dates'!J294,"CHECK end before start",IF(AND($B$6=0,OR('_Dates'!J294&lt;Settings!$B$7,'_Dates'!T294&gt;Settings!$B$8)),"CHECK split across leave years",IF(OR(NOT(OR('_Dates'!U294="Full day",'_Dates'!U294="AM",'_Dates'!U294="PM")),NOT(OR('_Dates'!V294="Full day",'_Dates'!V294="AM",'_Dates'!V294="PM"))),"CHECK Full day / AM / PM",IF(AND('_Dates'!J294='_Dates'!T294,'_Dates'!U294&lt;&gt;"Full day",'_Dates'!V294&lt;&gt;"Full day",'_Dates'!U294&lt;&gt;'_Dates'!V294),"CHECK same-day portions disagree",IF(AND($B$6=0,OR(AND('_Dates'!U294&lt;&gt;"Full day",'_Dates'!AA294=0),AND('_Dates'!V294&lt;&gt;"Full day",'_Dates'!AB294=0))),"CHECK half-day on non-working date",IF(COUNTIF(Settings!$G$7:$G$11,D294)&lt;&gt;1,"CHECK leave type",IF(AND(Bookings!G294&lt;&gt;"Approved",Bookings!G294&lt;&gt;"Pending",Bookings!G294&lt;&gt;"Cancelled"),"CHECK status","OK")))))))))),"CHECK input"))</ns0:f>
        <ns0:v/>
      </ns0:c>
      <ns0:c r="G294" s="0">
        <ns0:f>IF(OR(F294&lt;&gt;"OK",$B$6&gt;0),0,0.5*(IF(('_Dates'!X294)&lt;('_Dates'!W294),0,INT((('_Dates'!X294)-('_Dates'!W294)+1)/7)*LEN(SUBSTITUTE(W294,"O",""))+LEN(SUBSTITUTE(MID(W294&amp;W294,WEEKDAY(('_Dates'!W294),2),MOD((('_Dates'!X294)-('_Dates'!W294)+1),7)),"O",""))-COUNTIFS(INDEX(AllClosureRows,C294,0),"&gt;="&amp;('_Dates'!W294),INDEX(AllClosureRows,C294,0),"&lt;="&amp;('_Dates'!X294)))+IF(('_Dates'!Z294)&lt;('_Dates'!Y294),0,INT((('_Dates'!Z294)-('_Dates'!Y294)+1)/7)*LEN(SUBSTITUTE(W294,"O",""))+LEN(SUBSTITUTE(MID(W294&amp;W294,WEEKDAY(('_Dates'!Y294),2),MOD((('_Dates'!Z294)-('_Dates'!Y294)+1),7)),"O",""))-COUNTIFS(INDEX(AllClosureRows,C294,0),"&gt;="&amp;('_Dates'!Y294),INDEX(AllClosureRows,C294,0),"&lt;="&amp;('_Dates'!Z294)))))</ns0:f>
        <ns0:v>0</ns0:v>
      </ns0:c>
      <ns0:c r="H294" s="0">
        <ns0:f>IF(OR(F294&lt;&gt;"OK",$B$6&gt;0),0,0.5*(IF((MIN('_Dates'!X294,Settings!$B$9))&lt;('_Dates'!W294),0,INT(((MIN('_Dates'!X294,Settings!$B$9))-('_Dates'!W294)+1)/7)*LEN(SUBSTITUTE(W294,"O",""))+LEN(SUBSTITUTE(MID(W294&amp;W294,WEEKDAY(('_Dates'!W294),2),MOD(((MIN('_Dates'!X294,Settings!$B$9))-('_Dates'!W294)+1),7)),"O",""))-COUNTIFS(INDEX(AllClosureRows,C294,0),"&gt;="&amp;('_Dates'!W294),INDEX(AllClosureRows,C294,0),"&lt;="&amp;(MIN('_Dates'!X294,Settings!$B$9))))+IF((MIN('_Dates'!Z294,Settings!$B$9))&lt;('_Dates'!Y294),0,INT(((MIN('_Dates'!Z294,Settings!$B$9))-('_Dates'!Y294)+1)/7)*LEN(SUBSTITUTE(W294,"O",""))+LEN(SUBSTITUTE(MID(W294&amp;W294,WEEKDAY(('_Dates'!Y294),2),MOD(((MIN('_Dates'!Z294,Settings!$B$9))-('_Dates'!Y294)+1),7)),"O",""))-COUNTIFS(INDEX(AllClosureRows,C294,0),"&gt;="&amp;('_Dates'!Y294),INDEX(AllClosureRows,C294,0),"&lt;="&amp;(MIN('_Dates'!Z294,Settings!$B$9))))))</ns0:f>
        <ns0:v>0</ns0:v>
      </ns0:c>
      <ns0:c r="I294" s="0">
        <ns0:f>MAX(0,G294-H294)</ns0:f>
        <ns0:v>0</ns0:v>
      </ns0:c>
      <ns0:c r="J294" s="0">
        <ns0:f>IF(OR(A294=0,F294&lt;&gt;"OK",Bookings!G294="Cancelled",$B$6&gt;0),0,IF('_Dates'!AC294=1,MAX(0,COUNTIFS(rngEngine_B,B294,rngAMStart,"&lt;="&amp;'_Dates'!X294,rngAMEnd,"&gt;="&amp;'_Dates'!W294,rngAMActive,1,rngEngine_F,"OK",rngBookings_F,"&lt;&gt;Cancelled")-1),0)+IF('_Dates'!AD294=1,MAX(0,COUNTIFS(rngEngine_B,B294,rngPMStart,"&lt;="&amp;'_Dates'!Z294,rngPMEnd,"&gt;="&amp;'_Dates'!Y294,rngPMActive,1,rngEngine_F,"OK",rngBookings_F,"&lt;&gt;Cancelled")-1),0))</ns0:f>
        <ns0:v>0</ns0:v>
      </ns0:c>
      <ns0:c r="K294" s="0" t="str">
        <ns0:f>IF(A294=0,"",IF(F294&lt;&gt;"OK",F294,IF(J294&gt;0,"CHECK overlapping entry",IF(AND($B$6=0,G294&lt;=0,Bookings!G294&lt;&gt;"Cancelled"),"CHECK no working days",IF(Bookings!G294="Cancelled","Cancelled","OK")))))</ns0:f>
        <ns0:v/>
      </ns0:c>
      <ns0:c r="L294" s="0">
        <ns0:f>IF(LEFT(K294,5)="CHECK",1,0)</ns0:f>
        <ns0:v>0</ns0:v>
      </ns0:c>
      <ns0:c r="M294" s="0">
        <ns0:f>IF(AND(L294=1,OR(C294=0,IFERROR(INDEX($X$11:$X$60,C294),0)=0)),1,0)</ns0:f>
        <ns0:v>0</ns0:v>
      </ns0:c>
      <ns0:c r="N294" s="0">
        <ns0:f>IF(OR(A294=0,L294&gt;0,$B$6&gt;0,Bookings!G294="Cancelled"),0,G294)</ns0:f>
        <ns0:v>0</ns0:v>
      </ns0:c>
      <ns0:c r="O294" s="0">
        <ns0:f>IF(AND(Bookings!G294="Approved",E294="Yes"),N294,0)</ns0:f>
        <ns0:v>0</ns0:v>
      </ns0:c>
      <ns0:c r="P294" s="0">
        <ns0:f>IF(AND(Bookings!G294="Approved",E294="Yes",L294=0,$B$6=0),H294,0)</ns0:f>
        <ns0:v>0</ns0:v>
      </ns0:c>
      <ns0:c r="Q294" s="0">
        <ns0:f>IF(AND(Bookings!G294="Approved",E294="Yes",L294=0,$B$6=0),I294,0)</ns0:f>
        <ns0:v>0</ns0:v>
      </ns0:c>
      <ns0:c r="R294" s="0">
        <ns0:f>IF(AND(Bookings!G294="Pending",E294="Yes"),N294,0)</ns0:f>
        <ns0:v>0</ns0:v>
      </ns0:c>
      <ns0:c r="S294" s="0">
        <ns0:f>IF(AND(Bookings!G294="Approved",E294="No"),N294,0)</ns0:f>
        <ns0:v>0</ns0:v>
      </ns0:c>
      <ns0:c r="T294" s="0">
        <ns0:f>IFERROR(MATCH(D294,Settings!$G$7:$G$11,0),0)</ns0:f>
        <ns0:v>0</ns0:v>
      </ns0:c>
      <ns0:c r="U294" s="0">
        <ns0:f>IF(N294&gt;0,T294+IF(Bookings!G294="Pending",10,0),0)</ns0:f>
        <ns0:v>0</ns0:v>
      </ns0:c>
      <ns0:c r="V294" s="0">
        <ns0:f>U294</ns0:f>
        <ns0:v>0</ns0:v>
      </ns0:c>
      <ns0:c r="W294" s="0" t="str">
        <ns0:f>IF(C294=0,"",INDEX($AP$11:$AP$60,C294))</ns0:f>
        <ns0:v/>
      </ns0:c>
    </ns0:row>
    <ns0:row r="295">
      <ns0:c r="A295" s="0">
        <ns0:f>IF(COUNTA(Bookings!A295:G295,Bookings!I295)=0,0,1)</ns0:f>
        <ns0:v>0</ns0:v>
      </ns0:c>
      <ns0:c r="B295" s="0" t="str">
        <ns0:f>IFERROR(TRIM(MID(Bookings!A295,FIND(" · ",Bookings!A295)+3,99)),"")</ns0:f>
        <ns0:v/>
      </ns0:c>
      <ns0:c r="C295" s="0">
        <ns0:f>IF(OR(B295="",LEN(B295)&gt;24,ISNUMBER(FIND(" ",B295)),ISNUMBER(FIND("*",B295)),ISNUMBER(FIND("?",B295)),ISNUMBER(FIND("~",B295))),0,IFERROR(MATCH(B295,Team!$A$11:$A$60,0),0))</ns0:f>
        <ns0:v>0</ns0:v>
      </ns0:c>
      <ns0:c r="D295" s="0" t="str">
        <ns0:f>IFERROR(IF(MID(Bookings!F295,LEN(Bookings!F295)-3,3)=" · ",RIGHT(Bookings!F295,1),""),"")</ns0:f>
        <ns0:v/>
      </ns0:c>
      <ns0:c r="E295" s="0" t="str">
        <ns0:f>IFERROR(INDEX(Settings!$H$7:$H$11,MATCH(D295,Settings!$G$7:$G$11,0)),"")</ns0:f>
        <ns0:v/>
      </ns0:c>
      <ns0:c r="F295" s="0" t="str">
        <ns0:f>IF(A295=0,"",IFERROR(IF(OR(B295="",C295=0),"CHECK employee selection",IF(INDEX(Team!$O$11:$O$60,C295)&lt;&gt;"OK","CHECK employee setup",IF(OR('_Dates'!J295=0,'_Dates'!T295=0),"CHECK date: use DD.MM.YYYY",IF('_Dates'!T295&lt;'_Dates'!J295,"CHECK end before start",IF(AND($B$6=0,OR('_Dates'!J295&lt;Settings!$B$7,'_Dates'!T295&gt;Settings!$B$8)),"CHECK split across leave years",IF(OR(NOT(OR('_Dates'!U295="Full day",'_Dates'!U295="AM",'_Dates'!U295="PM")),NOT(OR('_Dates'!V295="Full day",'_Dates'!V295="AM",'_Dates'!V295="PM"))),"CHECK Full day / AM / PM",IF(AND('_Dates'!J295='_Dates'!T295,'_Dates'!U295&lt;&gt;"Full day",'_Dates'!V295&lt;&gt;"Full day",'_Dates'!U295&lt;&gt;'_Dates'!V295),"CHECK same-day portions disagree",IF(AND($B$6=0,OR(AND('_Dates'!U295&lt;&gt;"Full day",'_Dates'!AA295=0),AND('_Dates'!V295&lt;&gt;"Full day",'_Dates'!AB295=0))),"CHECK half-day on non-working date",IF(COUNTIF(Settings!$G$7:$G$11,D295)&lt;&gt;1,"CHECK leave type",IF(AND(Bookings!G295&lt;&gt;"Approved",Bookings!G295&lt;&gt;"Pending",Bookings!G295&lt;&gt;"Cancelled"),"CHECK status","OK")))))))))),"CHECK input"))</ns0:f>
        <ns0:v/>
      </ns0:c>
      <ns0:c r="G295" s="0">
        <ns0:f>IF(OR(F295&lt;&gt;"OK",$B$6&gt;0),0,0.5*(IF(('_Dates'!X295)&lt;('_Dates'!W295),0,INT((('_Dates'!X295)-('_Dates'!W295)+1)/7)*LEN(SUBSTITUTE(W295,"O",""))+LEN(SUBSTITUTE(MID(W295&amp;W295,WEEKDAY(('_Dates'!W295),2),MOD((('_Dates'!X295)-('_Dates'!W295)+1),7)),"O",""))-COUNTIFS(INDEX(AllClosureRows,C295,0),"&gt;="&amp;('_Dates'!W295),INDEX(AllClosureRows,C295,0),"&lt;="&amp;('_Dates'!X295)))+IF(('_Dates'!Z295)&lt;('_Dates'!Y295),0,INT((('_Dates'!Z295)-('_Dates'!Y295)+1)/7)*LEN(SUBSTITUTE(W295,"O",""))+LEN(SUBSTITUTE(MID(W295&amp;W295,WEEKDAY(('_Dates'!Y295),2),MOD((('_Dates'!Z295)-('_Dates'!Y295)+1),7)),"O",""))-COUNTIFS(INDEX(AllClosureRows,C295,0),"&gt;="&amp;('_Dates'!Y295),INDEX(AllClosureRows,C295,0),"&lt;="&amp;('_Dates'!Z295)))))</ns0:f>
        <ns0:v>0</ns0:v>
      </ns0:c>
      <ns0:c r="H295" s="0">
        <ns0:f>IF(OR(F295&lt;&gt;"OK",$B$6&gt;0),0,0.5*(IF((MIN('_Dates'!X295,Settings!$B$9))&lt;('_Dates'!W295),0,INT(((MIN('_Dates'!X295,Settings!$B$9))-('_Dates'!W295)+1)/7)*LEN(SUBSTITUTE(W295,"O",""))+LEN(SUBSTITUTE(MID(W295&amp;W295,WEEKDAY(('_Dates'!W295),2),MOD(((MIN('_Dates'!X295,Settings!$B$9))-('_Dates'!W295)+1),7)),"O",""))-COUNTIFS(INDEX(AllClosureRows,C295,0),"&gt;="&amp;('_Dates'!W295),INDEX(AllClosureRows,C295,0),"&lt;="&amp;(MIN('_Dates'!X295,Settings!$B$9))))+IF((MIN('_Dates'!Z295,Settings!$B$9))&lt;('_Dates'!Y295),0,INT(((MIN('_Dates'!Z295,Settings!$B$9))-('_Dates'!Y295)+1)/7)*LEN(SUBSTITUTE(W295,"O",""))+LEN(SUBSTITUTE(MID(W295&amp;W295,WEEKDAY(('_Dates'!Y295),2),MOD(((MIN('_Dates'!Z295,Settings!$B$9))-('_Dates'!Y295)+1),7)),"O",""))-COUNTIFS(INDEX(AllClosureRows,C295,0),"&gt;="&amp;('_Dates'!Y295),INDEX(AllClosureRows,C295,0),"&lt;="&amp;(MIN('_Dates'!Z295,Settings!$B$9))))))</ns0:f>
        <ns0:v>0</ns0:v>
      </ns0:c>
      <ns0:c r="I295" s="0">
        <ns0:f>MAX(0,G295-H295)</ns0:f>
        <ns0:v>0</ns0:v>
      </ns0:c>
      <ns0:c r="J295" s="0">
        <ns0:f>IF(OR(A295=0,F295&lt;&gt;"OK",Bookings!G295="Cancelled",$B$6&gt;0),0,IF('_Dates'!AC295=1,MAX(0,COUNTIFS(rngEngine_B,B295,rngAMStart,"&lt;="&amp;'_Dates'!X295,rngAMEnd,"&gt;="&amp;'_Dates'!W295,rngAMActive,1,rngEngine_F,"OK",rngBookings_F,"&lt;&gt;Cancelled")-1),0)+IF('_Dates'!AD295=1,MAX(0,COUNTIFS(rngEngine_B,B295,rngPMStart,"&lt;="&amp;'_Dates'!Z295,rngPMEnd,"&gt;="&amp;'_Dates'!Y295,rngPMActive,1,rngEngine_F,"OK",rngBookings_F,"&lt;&gt;Cancelled")-1),0))</ns0:f>
        <ns0:v>0</ns0:v>
      </ns0:c>
      <ns0:c r="K295" s="0" t="str">
        <ns0:f>IF(A295=0,"",IF(F295&lt;&gt;"OK",F295,IF(J295&gt;0,"CHECK overlapping entry",IF(AND($B$6=0,G295&lt;=0,Bookings!G295&lt;&gt;"Cancelled"),"CHECK no working days",IF(Bookings!G295="Cancelled","Cancelled","OK")))))</ns0:f>
        <ns0:v/>
      </ns0:c>
      <ns0:c r="L295" s="0">
        <ns0:f>IF(LEFT(K295,5)="CHECK",1,0)</ns0:f>
        <ns0:v>0</ns0:v>
      </ns0:c>
      <ns0:c r="M295" s="0">
        <ns0:f>IF(AND(L295=1,OR(C295=0,IFERROR(INDEX($X$11:$X$60,C295),0)=0)),1,0)</ns0:f>
        <ns0:v>0</ns0:v>
      </ns0:c>
      <ns0:c r="N295" s="0">
        <ns0:f>IF(OR(A295=0,L295&gt;0,$B$6&gt;0,Bookings!G295="Cancelled"),0,G295)</ns0:f>
        <ns0:v>0</ns0:v>
      </ns0:c>
      <ns0:c r="O295" s="0">
        <ns0:f>IF(AND(Bookings!G295="Approved",E295="Yes"),N295,0)</ns0:f>
        <ns0:v>0</ns0:v>
      </ns0:c>
      <ns0:c r="P295" s="0">
        <ns0:f>IF(AND(Bookings!G295="Approved",E295="Yes",L295=0,$B$6=0),H295,0)</ns0:f>
        <ns0:v>0</ns0:v>
      </ns0:c>
      <ns0:c r="Q295" s="0">
        <ns0:f>IF(AND(Bookings!G295="Approved",E295="Yes",L295=0,$B$6=0),I295,0)</ns0:f>
        <ns0:v>0</ns0:v>
      </ns0:c>
      <ns0:c r="R295" s="0">
        <ns0:f>IF(AND(Bookings!G295="Pending",E295="Yes"),N295,0)</ns0:f>
        <ns0:v>0</ns0:v>
      </ns0:c>
      <ns0:c r="S295" s="0">
        <ns0:f>IF(AND(Bookings!G295="Approved",E295="No"),N295,0)</ns0:f>
        <ns0:v>0</ns0:v>
      </ns0:c>
      <ns0:c r="T295" s="0">
        <ns0:f>IFERROR(MATCH(D295,Settings!$G$7:$G$11,0),0)</ns0:f>
        <ns0:v>0</ns0:v>
      </ns0:c>
      <ns0:c r="U295" s="0">
        <ns0:f>IF(N295&gt;0,T295+IF(Bookings!G295="Pending",10,0),0)</ns0:f>
        <ns0:v>0</ns0:v>
      </ns0:c>
      <ns0:c r="V295" s="0">
        <ns0:f>U295</ns0:f>
        <ns0:v>0</ns0:v>
      </ns0:c>
      <ns0:c r="W295" s="0" t="str">
        <ns0:f>IF(C295=0,"",INDEX($AP$11:$AP$60,C295))</ns0:f>
        <ns0:v/>
      </ns0:c>
    </ns0:row>
    <ns0:row r="296">
      <ns0:c r="A296" s="0">
        <ns0:f>IF(COUNTA(Bookings!A296:G296,Bookings!I296)=0,0,1)</ns0:f>
        <ns0:v>0</ns0:v>
      </ns0:c>
      <ns0:c r="B296" s="0" t="str">
        <ns0:f>IFERROR(TRIM(MID(Bookings!A296,FIND(" · ",Bookings!A296)+3,99)),"")</ns0:f>
        <ns0:v/>
      </ns0:c>
      <ns0:c r="C296" s="0">
        <ns0:f>IF(OR(B296="",LEN(B296)&gt;24,ISNUMBER(FIND(" ",B296)),ISNUMBER(FIND("*",B296)),ISNUMBER(FIND("?",B296)),ISNUMBER(FIND("~",B296))),0,IFERROR(MATCH(B296,Team!$A$11:$A$60,0),0))</ns0:f>
        <ns0:v>0</ns0:v>
      </ns0:c>
      <ns0:c r="D296" s="0" t="str">
        <ns0:f>IFERROR(IF(MID(Bookings!F296,LEN(Bookings!F296)-3,3)=" · ",RIGHT(Bookings!F296,1),""),"")</ns0:f>
        <ns0:v/>
      </ns0:c>
      <ns0:c r="E296" s="0" t="str">
        <ns0:f>IFERROR(INDEX(Settings!$H$7:$H$11,MATCH(D296,Settings!$G$7:$G$11,0)),"")</ns0:f>
        <ns0:v/>
      </ns0:c>
      <ns0:c r="F296" s="0" t="str">
        <ns0:f>IF(A296=0,"",IFERROR(IF(OR(B296="",C296=0),"CHECK employee selection",IF(INDEX(Team!$O$11:$O$60,C296)&lt;&gt;"OK","CHECK employee setup",IF(OR('_Dates'!J296=0,'_Dates'!T296=0),"CHECK date: use DD.MM.YYYY",IF('_Dates'!T296&lt;'_Dates'!J296,"CHECK end before start",IF(AND($B$6=0,OR('_Dates'!J296&lt;Settings!$B$7,'_Dates'!T296&gt;Settings!$B$8)),"CHECK split across leave years",IF(OR(NOT(OR('_Dates'!U296="Full day",'_Dates'!U296="AM",'_Dates'!U296="PM")),NOT(OR('_Dates'!V296="Full day",'_Dates'!V296="AM",'_Dates'!V296="PM"))),"CHECK Full day / AM / PM",IF(AND('_Dates'!J296='_Dates'!T296,'_Dates'!U296&lt;&gt;"Full day",'_Dates'!V296&lt;&gt;"Full day",'_Dates'!U296&lt;&gt;'_Dates'!V296),"CHECK same-day portions disagree",IF(AND($B$6=0,OR(AND('_Dates'!U296&lt;&gt;"Full day",'_Dates'!AA296=0),AND('_Dates'!V296&lt;&gt;"Full day",'_Dates'!AB296=0))),"CHECK half-day on non-working date",IF(COUNTIF(Settings!$G$7:$G$11,D296)&lt;&gt;1,"CHECK leave type",IF(AND(Bookings!G296&lt;&gt;"Approved",Bookings!G296&lt;&gt;"Pending",Bookings!G296&lt;&gt;"Cancelled"),"CHECK status","OK")))))))))),"CHECK input"))</ns0:f>
        <ns0:v/>
      </ns0:c>
      <ns0:c r="G296" s="0">
        <ns0:f>IF(OR(F296&lt;&gt;"OK",$B$6&gt;0),0,0.5*(IF(('_Dates'!X296)&lt;('_Dates'!W296),0,INT((('_Dates'!X296)-('_Dates'!W296)+1)/7)*LEN(SUBSTITUTE(W296,"O",""))+LEN(SUBSTITUTE(MID(W296&amp;W296,WEEKDAY(('_Dates'!W296),2),MOD((('_Dates'!X296)-('_Dates'!W296)+1),7)),"O",""))-COUNTIFS(INDEX(AllClosureRows,C296,0),"&gt;="&amp;('_Dates'!W296),INDEX(AllClosureRows,C296,0),"&lt;="&amp;('_Dates'!X296)))+IF(('_Dates'!Z296)&lt;('_Dates'!Y296),0,INT((('_Dates'!Z296)-('_Dates'!Y296)+1)/7)*LEN(SUBSTITUTE(W296,"O",""))+LEN(SUBSTITUTE(MID(W296&amp;W296,WEEKDAY(('_Dates'!Y296),2),MOD((('_Dates'!Z296)-('_Dates'!Y296)+1),7)),"O",""))-COUNTIFS(INDEX(AllClosureRows,C296,0),"&gt;="&amp;('_Dates'!Y296),INDEX(AllClosureRows,C296,0),"&lt;="&amp;('_Dates'!Z296)))))</ns0:f>
        <ns0:v>0</ns0:v>
      </ns0:c>
      <ns0:c r="H296" s="0">
        <ns0:f>IF(OR(F296&lt;&gt;"OK",$B$6&gt;0),0,0.5*(IF((MIN('_Dates'!X296,Settings!$B$9))&lt;('_Dates'!W296),0,INT(((MIN('_Dates'!X296,Settings!$B$9))-('_Dates'!W296)+1)/7)*LEN(SUBSTITUTE(W296,"O",""))+LEN(SUBSTITUTE(MID(W296&amp;W296,WEEKDAY(('_Dates'!W296),2),MOD(((MIN('_Dates'!X296,Settings!$B$9))-('_Dates'!W296)+1),7)),"O",""))-COUNTIFS(INDEX(AllClosureRows,C296,0),"&gt;="&amp;('_Dates'!W296),INDEX(AllClosureRows,C296,0),"&lt;="&amp;(MIN('_Dates'!X296,Settings!$B$9))))+IF((MIN('_Dates'!Z296,Settings!$B$9))&lt;('_Dates'!Y296),0,INT(((MIN('_Dates'!Z296,Settings!$B$9))-('_Dates'!Y296)+1)/7)*LEN(SUBSTITUTE(W296,"O",""))+LEN(SUBSTITUTE(MID(W296&amp;W296,WEEKDAY(('_Dates'!Y296),2),MOD(((MIN('_Dates'!Z296,Settings!$B$9))-('_Dates'!Y296)+1),7)),"O",""))-COUNTIFS(INDEX(AllClosureRows,C296,0),"&gt;="&amp;('_Dates'!Y296),INDEX(AllClosureRows,C296,0),"&lt;="&amp;(MIN('_Dates'!Z296,Settings!$B$9))))))</ns0:f>
        <ns0:v>0</ns0:v>
      </ns0:c>
      <ns0:c r="I296" s="0">
        <ns0:f>MAX(0,G296-H296)</ns0:f>
        <ns0:v>0</ns0:v>
      </ns0:c>
      <ns0:c r="J296" s="0">
        <ns0:f>IF(OR(A296=0,F296&lt;&gt;"OK",Bookings!G296="Cancelled",$B$6&gt;0),0,IF('_Dates'!AC296=1,MAX(0,COUNTIFS(rngEngine_B,B296,rngAMStart,"&lt;="&amp;'_Dates'!X296,rngAMEnd,"&gt;="&amp;'_Dates'!W296,rngAMActive,1,rngEngine_F,"OK",rngBookings_F,"&lt;&gt;Cancelled")-1),0)+IF('_Dates'!AD296=1,MAX(0,COUNTIFS(rngEngine_B,B296,rngPMStart,"&lt;="&amp;'_Dates'!Z296,rngPMEnd,"&gt;="&amp;'_Dates'!Y296,rngPMActive,1,rngEngine_F,"OK",rngBookings_F,"&lt;&gt;Cancelled")-1),0))</ns0:f>
        <ns0:v>0</ns0:v>
      </ns0:c>
      <ns0:c r="K296" s="0" t="str">
        <ns0:f>IF(A296=0,"",IF(F296&lt;&gt;"OK",F296,IF(J296&gt;0,"CHECK overlapping entry",IF(AND($B$6=0,G296&lt;=0,Bookings!G296&lt;&gt;"Cancelled"),"CHECK no working days",IF(Bookings!G296="Cancelled","Cancelled","OK")))))</ns0:f>
        <ns0:v/>
      </ns0:c>
      <ns0:c r="L296" s="0">
        <ns0:f>IF(LEFT(K296,5)="CHECK",1,0)</ns0:f>
        <ns0:v>0</ns0:v>
      </ns0:c>
      <ns0:c r="M296" s="0">
        <ns0:f>IF(AND(L296=1,OR(C296=0,IFERROR(INDEX($X$11:$X$60,C296),0)=0)),1,0)</ns0:f>
        <ns0:v>0</ns0:v>
      </ns0:c>
      <ns0:c r="N296" s="0">
        <ns0:f>IF(OR(A296=0,L296&gt;0,$B$6&gt;0,Bookings!G296="Cancelled"),0,G296)</ns0:f>
        <ns0:v>0</ns0:v>
      </ns0:c>
      <ns0:c r="O296" s="0">
        <ns0:f>IF(AND(Bookings!G296="Approved",E296="Yes"),N296,0)</ns0:f>
        <ns0:v>0</ns0:v>
      </ns0:c>
      <ns0:c r="P296" s="0">
        <ns0:f>IF(AND(Bookings!G296="Approved",E296="Yes",L296=0,$B$6=0),H296,0)</ns0:f>
        <ns0:v>0</ns0:v>
      </ns0:c>
      <ns0:c r="Q296" s="0">
        <ns0:f>IF(AND(Bookings!G296="Approved",E296="Yes",L296=0,$B$6=0),I296,0)</ns0:f>
        <ns0:v>0</ns0:v>
      </ns0:c>
      <ns0:c r="R296" s="0">
        <ns0:f>IF(AND(Bookings!G296="Pending",E296="Yes"),N296,0)</ns0:f>
        <ns0:v>0</ns0:v>
      </ns0:c>
      <ns0:c r="S296" s="0">
        <ns0:f>IF(AND(Bookings!G296="Approved",E296="No"),N296,0)</ns0:f>
        <ns0:v>0</ns0:v>
      </ns0:c>
      <ns0:c r="T296" s="0">
        <ns0:f>IFERROR(MATCH(D296,Settings!$G$7:$G$11,0),0)</ns0:f>
        <ns0:v>0</ns0:v>
      </ns0:c>
      <ns0:c r="U296" s="0">
        <ns0:f>IF(N296&gt;0,T296+IF(Bookings!G296="Pending",10,0),0)</ns0:f>
        <ns0:v>0</ns0:v>
      </ns0:c>
      <ns0:c r="V296" s="0">
        <ns0:f>U296</ns0:f>
        <ns0:v>0</ns0:v>
      </ns0:c>
      <ns0:c r="W296" s="0" t="str">
        <ns0:f>IF(C296=0,"",INDEX($AP$11:$AP$60,C296))</ns0:f>
        <ns0:v/>
      </ns0:c>
    </ns0:row>
    <ns0:row r="297">
      <ns0:c r="A297" s="0">
        <ns0:f>IF(COUNTA(Bookings!A297:G297,Bookings!I297)=0,0,1)</ns0:f>
        <ns0:v>0</ns0:v>
      </ns0:c>
      <ns0:c r="B297" s="0" t="str">
        <ns0:f>IFERROR(TRIM(MID(Bookings!A297,FIND(" · ",Bookings!A297)+3,99)),"")</ns0:f>
        <ns0:v/>
      </ns0:c>
      <ns0:c r="C297" s="0">
        <ns0:f>IF(OR(B297="",LEN(B297)&gt;24,ISNUMBER(FIND(" ",B297)),ISNUMBER(FIND("*",B297)),ISNUMBER(FIND("?",B297)),ISNUMBER(FIND("~",B297))),0,IFERROR(MATCH(B297,Team!$A$11:$A$60,0),0))</ns0:f>
        <ns0:v>0</ns0:v>
      </ns0:c>
      <ns0:c r="D297" s="0" t="str">
        <ns0:f>IFERROR(IF(MID(Bookings!F297,LEN(Bookings!F297)-3,3)=" · ",RIGHT(Bookings!F297,1),""),"")</ns0:f>
        <ns0:v/>
      </ns0:c>
      <ns0:c r="E297" s="0" t="str">
        <ns0:f>IFERROR(INDEX(Settings!$H$7:$H$11,MATCH(D297,Settings!$G$7:$G$11,0)),"")</ns0:f>
        <ns0:v/>
      </ns0:c>
      <ns0:c r="F297" s="0" t="str">
        <ns0:f>IF(A297=0,"",IFERROR(IF(OR(B297="",C297=0),"CHECK employee selection",IF(INDEX(Team!$O$11:$O$60,C297)&lt;&gt;"OK","CHECK employee setup",IF(OR('_Dates'!J297=0,'_Dates'!T297=0),"CHECK date: use DD.MM.YYYY",IF('_Dates'!T297&lt;'_Dates'!J297,"CHECK end before start",IF(AND($B$6=0,OR('_Dates'!J297&lt;Settings!$B$7,'_Dates'!T297&gt;Settings!$B$8)),"CHECK split across leave years",IF(OR(NOT(OR('_Dates'!U297="Full day",'_Dates'!U297="AM",'_Dates'!U297="PM")),NOT(OR('_Dates'!V297="Full day",'_Dates'!V297="AM",'_Dates'!V297="PM"))),"CHECK Full day / AM / PM",IF(AND('_Dates'!J297='_Dates'!T297,'_Dates'!U297&lt;&gt;"Full day",'_Dates'!V297&lt;&gt;"Full day",'_Dates'!U297&lt;&gt;'_Dates'!V297),"CHECK same-day portions disagree",IF(AND($B$6=0,OR(AND('_Dates'!U297&lt;&gt;"Full day",'_Dates'!AA297=0),AND('_Dates'!V297&lt;&gt;"Full day",'_Dates'!AB297=0))),"CHECK half-day on non-working date",IF(COUNTIF(Settings!$G$7:$G$11,D297)&lt;&gt;1,"CHECK leave type",IF(AND(Bookings!G297&lt;&gt;"Approved",Bookings!G297&lt;&gt;"Pending",Bookings!G297&lt;&gt;"Cancelled"),"CHECK status","OK")))))))))),"CHECK input"))</ns0:f>
        <ns0:v/>
      </ns0:c>
      <ns0:c r="G297" s="0">
        <ns0:f>IF(OR(F297&lt;&gt;"OK",$B$6&gt;0),0,0.5*(IF(('_Dates'!X297)&lt;('_Dates'!W297),0,INT((('_Dates'!X297)-('_Dates'!W297)+1)/7)*LEN(SUBSTITUTE(W297,"O",""))+LEN(SUBSTITUTE(MID(W297&amp;W297,WEEKDAY(('_Dates'!W297),2),MOD((('_Dates'!X297)-('_Dates'!W297)+1),7)),"O",""))-COUNTIFS(INDEX(AllClosureRows,C297,0),"&gt;="&amp;('_Dates'!W297),INDEX(AllClosureRows,C297,0),"&lt;="&amp;('_Dates'!X297)))+IF(('_Dates'!Z297)&lt;('_Dates'!Y297),0,INT((('_Dates'!Z297)-('_Dates'!Y297)+1)/7)*LEN(SUBSTITUTE(W297,"O",""))+LEN(SUBSTITUTE(MID(W297&amp;W297,WEEKDAY(('_Dates'!Y297),2),MOD((('_Dates'!Z297)-('_Dates'!Y297)+1),7)),"O",""))-COUNTIFS(INDEX(AllClosureRows,C297,0),"&gt;="&amp;('_Dates'!Y297),INDEX(AllClosureRows,C297,0),"&lt;="&amp;('_Dates'!Z297)))))</ns0:f>
        <ns0:v>0</ns0:v>
      </ns0:c>
      <ns0:c r="H297" s="0">
        <ns0:f>IF(OR(F297&lt;&gt;"OK",$B$6&gt;0),0,0.5*(IF((MIN('_Dates'!X297,Settings!$B$9))&lt;('_Dates'!W297),0,INT(((MIN('_Dates'!X297,Settings!$B$9))-('_Dates'!W297)+1)/7)*LEN(SUBSTITUTE(W297,"O",""))+LEN(SUBSTITUTE(MID(W297&amp;W297,WEEKDAY(('_Dates'!W297),2),MOD(((MIN('_Dates'!X297,Settings!$B$9))-('_Dates'!W297)+1),7)),"O",""))-COUNTIFS(INDEX(AllClosureRows,C297,0),"&gt;="&amp;('_Dates'!W297),INDEX(AllClosureRows,C297,0),"&lt;="&amp;(MIN('_Dates'!X297,Settings!$B$9))))+IF((MIN('_Dates'!Z297,Settings!$B$9))&lt;('_Dates'!Y297),0,INT(((MIN('_Dates'!Z297,Settings!$B$9))-('_Dates'!Y297)+1)/7)*LEN(SUBSTITUTE(W297,"O",""))+LEN(SUBSTITUTE(MID(W297&amp;W297,WEEKDAY(('_Dates'!Y297),2),MOD(((MIN('_Dates'!Z297,Settings!$B$9))-('_Dates'!Y297)+1),7)),"O",""))-COUNTIFS(INDEX(AllClosureRows,C297,0),"&gt;="&amp;('_Dates'!Y297),INDEX(AllClosureRows,C297,0),"&lt;="&amp;(MIN('_Dates'!Z297,Settings!$B$9))))))</ns0:f>
        <ns0:v>0</ns0:v>
      </ns0:c>
      <ns0:c r="I297" s="0">
        <ns0:f>MAX(0,G297-H297)</ns0:f>
        <ns0:v>0</ns0:v>
      </ns0:c>
      <ns0:c r="J297" s="0">
        <ns0:f>IF(OR(A297=0,F297&lt;&gt;"OK",Bookings!G297="Cancelled",$B$6&gt;0),0,IF('_Dates'!AC297=1,MAX(0,COUNTIFS(rngEngine_B,B297,rngAMStart,"&lt;="&amp;'_Dates'!X297,rngAMEnd,"&gt;="&amp;'_Dates'!W297,rngAMActive,1,rngEngine_F,"OK",rngBookings_F,"&lt;&gt;Cancelled")-1),0)+IF('_Dates'!AD297=1,MAX(0,COUNTIFS(rngEngine_B,B297,rngPMStart,"&lt;="&amp;'_Dates'!Z297,rngPMEnd,"&gt;="&amp;'_Dates'!Y297,rngPMActive,1,rngEngine_F,"OK",rngBookings_F,"&lt;&gt;Cancelled")-1),0))</ns0:f>
        <ns0:v>0</ns0:v>
      </ns0:c>
      <ns0:c r="K297" s="0" t="str">
        <ns0:f>IF(A297=0,"",IF(F297&lt;&gt;"OK",F297,IF(J297&gt;0,"CHECK overlapping entry",IF(AND($B$6=0,G297&lt;=0,Bookings!G297&lt;&gt;"Cancelled"),"CHECK no working days",IF(Bookings!G297="Cancelled","Cancelled","OK")))))</ns0:f>
        <ns0:v/>
      </ns0:c>
      <ns0:c r="L297" s="0">
        <ns0:f>IF(LEFT(K297,5)="CHECK",1,0)</ns0:f>
        <ns0:v>0</ns0:v>
      </ns0:c>
      <ns0:c r="M297" s="0">
        <ns0:f>IF(AND(L297=1,OR(C297=0,IFERROR(INDEX($X$11:$X$60,C297),0)=0)),1,0)</ns0:f>
        <ns0:v>0</ns0:v>
      </ns0:c>
      <ns0:c r="N297" s="0">
        <ns0:f>IF(OR(A297=0,L297&gt;0,$B$6&gt;0,Bookings!G297="Cancelled"),0,G297)</ns0:f>
        <ns0:v>0</ns0:v>
      </ns0:c>
      <ns0:c r="O297" s="0">
        <ns0:f>IF(AND(Bookings!G297="Approved",E297="Yes"),N297,0)</ns0:f>
        <ns0:v>0</ns0:v>
      </ns0:c>
      <ns0:c r="P297" s="0">
        <ns0:f>IF(AND(Bookings!G297="Approved",E297="Yes",L297=0,$B$6=0),H297,0)</ns0:f>
        <ns0:v>0</ns0:v>
      </ns0:c>
      <ns0:c r="Q297" s="0">
        <ns0:f>IF(AND(Bookings!G297="Approved",E297="Yes",L297=0,$B$6=0),I297,0)</ns0:f>
        <ns0:v>0</ns0:v>
      </ns0:c>
      <ns0:c r="R297" s="0">
        <ns0:f>IF(AND(Bookings!G297="Pending",E297="Yes"),N297,0)</ns0:f>
        <ns0:v>0</ns0:v>
      </ns0:c>
      <ns0:c r="S297" s="0">
        <ns0:f>IF(AND(Bookings!G297="Approved",E297="No"),N297,0)</ns0:f>
        <ns0:v>0</ns0:v>
      </ns0:c>
      <ns0:c r="T297" s="0">
        <ns0:f>IFERROR(MATCH(D297,Settings!$G$7:$G$11,0),0)</ns0:f>
        <ns0:v>0</ns0:v>
      </ns0:c>
      <ns0:c r="U297" s="0">
        <ns0:f>IF(N297&gt;0,T297+IF(Bookings!G297="Pending",10,0),0)</ns0:f>
        <ns0:v>0</ns0:v>
      </ns0:c>
      <ns0:c r="V297" s="0">
        <ns0:f>U297</ns0:f>
        <ns0:v>0</ns0:v>
      </ns0:c>
      <ns0:c r="W297" s="0" t="str">
        <ns0:f>IF(C297=0,"",INDEX($AP$11:$AP$60,C297))</ns0:f>
        <ns0:v/>
      </ns0:c>
    </ns0:row>
    <ns0:row r="298">
      <ns0:c r="A298" s="0">
        <ns0:f>IF(COUNTA(Bookings!A298:G298,Bookings!I298)=0,0,1)</ns0:f>
        <ns0:v>0</ns0:v>
      </ns0:c>
      <ns0:c r="B298" s="0" t="str">
        <ns0:f>IFERROR(TRIM(MID(Bookings!A298,FIND(" · ",Bookings!A298)+3,99)),"")</ns0:f>
        <ns0:v/>
      </ns0:c>
      <ns0:c r="C298" s="0">
        <ns0:f>IF(OR(B298="",LEN(B298)&gt;24,ISNUMBER(FIND(" ",B298)),ISNUMBER(FIND("*",B298)),ISNUMBER(FIND("?",B298)),ISNUMBER(FIND("~",B298))),0,IFERROR(MATCH(B298,Team!$A$11:$A$60,0),0))</ns0:f>
        <ns0:v>0</ns0:v>
      </ns0:c>
      <ns0:c r="D298" s="0" t="str">
        <ns0:f>IFERROR(IF(MID(Bookings!F298,LEN(Bookings!F298)-3,3)=" · ",RIGHT(Bookings!F298,1),""),"")</ns0:f>
        <ns0:v/>
      </ns0:c>
      <ns0:c r="E298" s="0" t="str">
        <ns0:f>IFERROR(INDEX(Settings!$H$7:$H$11,MATCH(D298,Settings!$G$7:$G$11,0)),"")</ns0:f>
        <ns0:v/>
      </ns0:c>
      <ns0:c r="F298" s="0" t="str">
        <ns0:f>IF(A298=0,"",IFERROR(IF(OR(B298="",C298=0),"CHECK employee selection",IF(INDEX(Team!$O$11:$O$60,C298)&lt;&gt;"OK","CHECK employee setup",IF(OR('_Dates'!J298=0,'_Dates'!T298=0),"CHECK date: use DD.MM.YYYY",IF('_Dates'!T298&lt;'_Dates'!J298,"CHECK end before start",IF(AND($B$6=0,OR('_Dates'!J298&lt;Settings!$B$7,'_Dates'!T298&gt;Settings!$B$8)),"CHECK split across leave years",IF(OR(NOT(OR('_Dates'!U298="Full day",'_Dates'!U298="AM",'_Dates'!U298="PM")),NOT(OR('_Dates'!V298="Full day",'_Dates'!V298="AM",'_Dates'!V298="PM"))),"CHECK Full day / AM / PM",IF(AND('_Dates'!J298='_Dates'!T298,'_Dates'!U298&lt;&gt;"Full day",'_Dates'!V298&lt;&gt;"Full day",'_Dates'!U298&lt;&gt;'_Dates'!V298),"CHECK same-day portions disagree",IF(AND($B$6=0,OR(AND('_Dates'!U298&lt;&gt;"Full day",'_Dates'!AA298=0),AND('_Dates'!V298&lt;&gt;"Full day",'_Dates'!AB298=0))),"CHECK half-day on non-working date",IF(COUNTIF(Settings!$G$7:$G$11,D298)&lt;&gt;1,"CHECK leave type",IF(AND(Bookings!G298&lt;&gt;"Approved",Bookings!G298&lt;&gt;"Pending",Bookings!G298&lt;&gt;"Cancelled"),"CHECK status","OK")))))))))),"CHECK input"))</ns0:f>
        <ns0:v/>
      </ns0:c>
      <ns0:c r="G298" s="0">
        <ns0:f>IF(OR(F298&lt;&gt;"OK",$B$6&gt;0),0,0.5*(IF(('_Dates'!X298)&lt;('_Dates'!W298),0,INT((('_Dates'!X298)-('_Dates'!W298)+1)/7)*LEN(SUBSTITUTE(W298,"O",""))+LEN(SUBSTITUTE(MID(W298&amp;W298,WEEKDAY(('_Dates'!W298),2),MOD((('_Dates'!X298)-('_Dates'!W298)+1),7)),"O",""))-COUNTIFS(INDEX(AllClosureRows,C298,0),"&gt;="&amp;('_Dates'!W298),INDEX(AllClosureRows,C298,0),"&lt;="&amp;('_Dates'!X298)))+IF(('_Dates'!Z298)&lt;('_Dates'!Y298),0,INT((('_Dates'!Z298)-('_Dates'!Y298)+1)/7)*LEN(SUBSTITUTE(W298,"O",""))+LEN(SUBSTITUTE(MID(W298&amp;W298,WEEKDAY(('_Dates'!Y298),2),MOD((('_Dates'!Z298)-('_Dates'!Y298)+1),7)),"O",""))-COUNTIFS(INDEX(AllClosureRows,C298,0),"&gt;="&amp;('_Dates'!Y298),INDEX(AllClosureRows,C298,0),"&lt;="&amp;('_Dates'!Z298)))))</ns0:f>
        <ns0:v>0</ns0:v>
      </ns0:c>
      <ns0:c r="H298" s="0">
        <ns0:f>IF(OR(F298&lt;&gt;"OK",$B$6&gt;0),0,0.5*(IF((MIN('_Dates'!X298,Settings!$B$9))&lt;('_Dates'!W298),0,INT(((MIN('_Dates'!X298,Settings!$B$9))-('_Dates'!W298)+1)/7)*LEN(SUBSTITUTE(W298,"O",""))+LEN(SUBSTITUTE(MID(W298&amp;W298,WEEKDAY(('_Dates'!W298),2),MOD(((MIN('_Dates'!X298,Settings!$B$9))-('_Dates'!W298)+1),7)),"O",""))-COUNTIFS(INDEX(AllClosureRows,C298,0),"&gt;="&amp;('_Dates'!W298),INDEX(AllClosureRows,C298,0),"&lt;="&amp;(MIN('_Dates'!X298,Settings!$B$9))))+IF((MIN('_Dates'!Z298,Settings!$B$9))&lt;('_Dates'!Y298),0,INT(((MIN('_Dates'!Z298,Settings!$B$9))-('_Dates'!Y298)+1)/7)*LEN(SUBSTITUTE(W298,"O",""))+LEN(SUBSTITUTE(MID(W298&amp;W298,WEEKDAY(('_Dates'!Y298),2),MOD(((MIN('_Dates'!Z298,Settings!$B$9))-('_Dates'!Y298)+1),7)),"O",""))-COUNTIFS(INDEX(AllClosureRows,C298,0),"&gt;="&amp;('_Dates'!Y298),INDEX(AllClosureRows,C298,0),"&lt;="&amp;(MIN('_Dates'!Z298,Settings!$B$9))))))</ns0:f>
        <ns0:v>0</ns0:v>
      </ns0:c>
      <ns0:c r="I298" s="0">
        <ns0:f>MAX(0,G298-H298)</ns0:f>
        <ns0:v>0</ns0:v>
      </ns0:c>
      <ns0:c r="J298" s="0">
        <ns0:f>IF(OR(A298=0,F298&lt;&gt;"OK",Bookings!G298="Cancelled",$B$6&gt;0),0,IF('_Dates'!AC298=1,MAX(0,COUNTIFS(rngEngine_B,B298,rngAMStart,"&lt;="&amp;'_Dates'!X298,rngAMEnd,"&gt;="&amp;'_Dates'!W298,rngAMActive,1,rngEngine_F,"OK",rngBookings_F,"&lt;&gt;Cancelled")-1),0)+IF('_Dates'!AD298=1,MAX(0,COUNTIFS(rngEngine_B,B298,rngPMStart,"&lt;="&amp;'_Dates'!Z298,rngPMEnd,"&gt;="&amp;'_Dates'!Y298,rngPMActive,1,rngEngine_F,"OK",rngBookings_F,"&lt;&gt;Cancelled")-1),0))</ns0:f>
        <ns0:v>0</ns0:v>
      </ns0:c>
      <ns0:c r="K298" s="0" t="str">
        <ns0:f>IF(A298=0,"",IF(F298&lt;&gt;"OK",F298,IF(J298&gt;0,"CHECK overlapping entry",IF(AND($B$6=0,G298&lt;=0,Bookings!G298&lt;&gt;"Cancelled"),"CHECK no working days",IF(Bookings!G298="Cancelled","Cancelled","OK")))))</ns0:f>
        <ns0:v/>
      </ns0:c>
      <ns0:c r="L298" s="0">
        <ns0:f>IF(LEFT(K298,5)="CHECK",1,0)</ns0:f>
        <ns0:v>0</ns0:v>
      </ns0:c>
      <ns0:c r="M298" s="0">
        <ns0:f>IF(AND(L298=1,OR(C298=0,IFERROR(INDEX($X$11:$X$60,C298),0)=0)),1,0)</ns0:f>
        <ns0:v>0</ns0:v>
      </ns0:c>
      <ns0:c r="N298" s="0">
        <ns0:f>IF(OR(A298=0,L298&gt;0,$B$6&gt;0,Bookings!G298="Cancelled"),0,G298)</ns0:f>
        <ns0:v>0</ns0:v>
      </ns0:c>
      <ns0:c r="O298" s="0">
        <ns0:f>IF(AND(Bookings!G298="Approved",E298="Yes"),N298,0)</ns0:f>
        <ns0:v>0</ns0:v>
      </ns0:c>
      <ns0:c r="P298" s="0">
        <ns0:f>IF(AND(Bookings!G298="Approved",E298="Yes",L298=0,$B$6=0),H298,0)</ns0:f>
        <ns0:v>0</ns0:v>
      </ns0:c>
      <ns0:c r="Q298" s="0">
        <ns0:f>IF(AND(Bookings!G298="Approved",E298="Yes",L298=0,$B$6=0),I298,0)</ns0:f>
        <ns0:v>0</ns0:v>
      </ns0:c>
      <ns0:c r="R298" s="0">
        <ns0:f>IF(AND(Bookings!G298="Pending",E298="Yes"),N298,0)</ns0:f>
        <ns0:v>0</ns0:v>
      </ns0:c>
      <ns0:c r="S298" s="0">
        <ns0:f>IF(AND(Bookings!G298="Approved",E298="No"),N298,0)</ns0:f>
        <ns0:v>0</ns0:v>
      </ns0:c>
      <ns0:c r="T298" s="0">
        <ns0:f>IFERROR(MATCH(D298,Settings!$G$7:$G$11,0),0)</ns0:f>
        <ns0:v>0</ns0:v>
      </ns0:c>
      <ns0:c r="U298" s="0">
        <ns0:f>IF(N298&gt;0,T298+IF(Bookings!G298="Pending",10,0),0)</ns0:f>
        <ns0:v>0</ns0:v>
      </ns0:c>
      <ns0:c r="V298" s="0">
        <ns0:f>U298</ns0:f>
        <ns0:v>0</ns0:v>
      </ns0:c>
      <ns0:c r="W298" s="0" t="str">
        <ns0:f>IF(C298=0,"",INDEX($AP$11:$AP$60,C298))</ns0:f>
        <ns0:v/>
      </ns0:c>
    </ns0:row>
    <ns0:row r="299">
      <ns0:c r="A299" s="0">
        <ns0:f>IF(COUNTA(Bookings!A299:G299,Bookings!I299)=0,0,1)</ns0:f>
        <ns0:v>0</ns0:v>
      </ns0:c>
      <ns0:c r="B299" s="0" t="str">
        <ns0:f>IFERROR(TRIM(MID(Bookings!A299,FIND(" · ",Bookings!A299)+3,99)),"")</ns0:f>
        <ns0:v/>
      </ns0:c>
      <ns0:c r="C299" s="0">
        <ns0:f>IF(OR(B299="",LEN(B299)&gt;24,ISNUMBER(FIND(" ",B299)),ISNUMBER(FIND("*",B299)),ISNUMBER(FIND("?",B299)),ISNUMBER(FIND("~",B299))),0,IFERROR(MATCH(B299,Team!$A$11:$A$60,0),0))</ns0:f>
        <ns0:v>0</ns0:v>
      </ns0:c>
      <ns0:c r="D299" s="0" t="str">
        <ns0:f>IFERROR(IF(MID(Bookings!F299,LEN(Bookings!F299)-3,3)=" · ",RIGHT(Bookings!F299,1),""),"")</ns0:f>
        <ns0:v/>
      </ns0:c>
      <ns0:c r="E299" s="0" t="str">
        <ns0:f>IFERROR(INDEX(Settings!$H$7:$H$11,MATCH(D299,Settings!$G$7:$G$11,0)),"")</ns0:f>
        <ns0:v/>
      </ns0:c>
      <ns0:c r="F299" s="0" t="str">
        <ns0:f>IF(A299=0,"",IFERROR(IF(OR(B299="",C299=0),"CHECK employee selection",IF(INDEX(Team!$O$11:$O$60,C299)&lt;&gt;"OK","CHECK employee setup",IF(OR('_Dates'!J299=0,'_Dates'!T299=0),"CHECK date: use DD.MM.YYYY",IF('_Dates'!T299&lt;'_Dates'!J299,"CHECK end before start",IF(AND($B$6=0,OR('_Dates'!J299&lt;Settings!$B$7,'_Dates'!T299&gt;Settings!$B$8)),"CHECK split across leave years",IF(OR(NOT(OR('_Dates'!U299="Full day",'_Dates'!U299="AM",'_Dates'!U299="PM")),NOT(OR('_Dates'!V299="Full day",'_Dates'!V299="AM",'_Dates'!V299="PM"))),"CHECK Full day / AM / PM",IF(AND('_Dates'!J299='_Dates'!T299,'_Dates'!U299&lt;&gt;"Full day",'_Dates'!V299&lt;&gt;"Full day",'_Dates'!U299&lt;&gt;'_Dates'!V299),"CHECK same-day portions disagree",IF(AND($B$6=0,OR(AND('_Dates'!U299&lt;&gt;"Full day",'_Dates'!AA299=0),AND('_Dates'!V299&lt;&gt;"Full day",'_Dates'!AB299=0))),"CHECK half-day on non-working date",IF(COUNTIF(Settings!$G$7:$G$11,D299)&lt;&gt;1,"CHECK leave type",IF(AND(Bookings!G299&lt;&gt;"Approved",Bookings!G299&lt;&gt;"Pending",Bookings!G299&lt;&gt;"Cancelled"),"CHECK status","OK")))))))))),"CHECK input"))</ns0:f>
        <ns0:v/>
      </ns0:c>
      <ns0:c r="G299" s="0">
        <ns0:f>IF(OR(F299&lt;&gt;"OK",$B$6&gt;0),0,0.5*(IF(('_Dates'!X299)&lt;('_Dates'!W299),0,INT((('_Dates'!X299)-('_Dates'!W299)+1)/7)*LEN(SUBSTITUTE(W299,"O",""))+LEN(SUBSTITUTE(MID(W299&amp;W299,WEEKDAY(('_Dates'!W299),2),MOD((('_Dates'!X299)-('_Dates'!W299)+1),7)),"O",""))-COUNTIFS(INDEX(AllClosureRows,C299,0),"&gt;="&amp;('_Dates'!W299),INDEX(AllClosureRows,C299,0),"&lt;="&amp;('_Dates'!X299)))+IF(('_Dates'!Z299)&lt;('_Dates'!Y299),0,INT((('_Dates'!Z299)-('_Dates'!Y299)+1)/7)*LEN(SUBSTITUTE(W299,"O",""))+LEN(SUBSTITUTE(MID(W299&amp;W299,WEEKDAY(('_Dates'!Y299),2),MOD((('_Dates'!Z299)-('_Dates'!Y299)+1),7)),"O",""))-COUNTIFS(INDEX(AllClosureRows,C299,0),"&gt;="&amp;('_Dates'!Y299),INDEX(AllClosureRows,C299,0),"&lt;="&amp;('_Dates'!Z299)))))</ns0:f>
        <ns0:v>0</ns0:v>
      </ns0:c>
      <ns0:c r="H299" s="0">
        <ns0:f>IF(OR(F299&lt;&gt;"OK",$B$6&gt;0),0,0.5*(IF((MIN('_Dates'!X299,Settings!$B$9))&lt;('_Dates'!W299),0,INT(((MIN('_Dates'!X299,Settings!$B$9))-('_Dates'!W299)+1)/7)*LEN(SUBSTITUTE(W299,"O",""))+LEN(SUBSTITUTE(MID(W299&amp;W299,WEEKDAY(('_Dates'!W299),2),MOD(((MIN('_Dates'!X299,Settings!$B$9))-('_Dates'!W299)+1),7)),"O",""))-COUNTIFS(INDEX(AllClosureRows,C299,0),"&gt;="&amp;('_Dates'!W299),INDEX(AllClosureRows,C299,0),"&lt;="&amp;(MIN('_Dates'!X299,Settings!$B$9))))+IF((MIN('_Dates'!Z299,Settings!$B$9))&lt;('_Dates'!Y299),0,INT(((MIN('_Dates'!Z299,Settings!$B$9))-('_Dates'!Y299)+1)/7)*LEN(SUBSTITUTE(W299,"O",""))+LEN(SUBSTITUTE(MID(W299&amp;W299,WEEKDAY(('_Dates'!Y299),2),MOD(((MIN('_Dates'!Z299,Settings!$B$9))-('_Dates'!Y299)+1),7)),"O",""))-COUNTIFS(INDEX(AllClosureRows,C299,0),"&gt;="&amp;('_Dates'!Y299),INDEX(AllClosureRows,C299,0),"&lt;="&amp;(MIN('_Dates'!Z299,Settings!$B$9))))))</ns0:f>
        <ns0:v>0</ns0:v>
      </ns0:c>
      <ns0:c r="I299" s="0">
        <ns0:f>MAX(0,G299-H299)</ns0:f>
        <ns0:v>0</ns0:v>
      </ns0:c>
      <ns0:c r="J299" s="0">
        <ns0:f>IF(OR(A299=0,F299&lt;&gt;"OK",Bookings!G299="Cancelled",$B$6&gt;0),0,IF('_Dates'!AC299=1,MAX(0,COUNTIFS(rngEngine_B,B299,rngAMStart,"&lt;="&amp;'_Dates'!X299,rngAMEnd,"&gt;="&amp;'_Dates'!W299,rngAMActive,1,rngEngine_F,"OK",rngBookings_F,"&lt;&gt;Cancelled")-1),0)+IF('_Dates'!AD299=1,MAX(0,COUNTIFS(rngEngine_B,B299,rngPMStart,"&lt;="&amp;'_Dates'!Z299,rngPMEnd,"&gt;="&amp;'_Dates'!Y299,rngPMActive,1,rngEngine_F,"OK",rngBookings_F,"&lt;&gt;Cancelled")-1),0))</ns0:f>
        <ns0:v>0</ns0:v>
      </ns0:c>
      <ns0:c r="K299" s="0" t="str">
        <ns0:f>IF(A299=0,"",IF(F299&lt;&gt;"OK",F299,IF(J299&gt;0,"CHECK overlapping entry",IF(AND($B$6=0,G299&lt;=0,Bookings!G299&lt;&gt;"Cancelled"),"CHECK no working days",IF(Bookings!G299="Cancelled","Cancelled","OK")))))</ns0:f>
        <ns0:v/>
      </ns0:c>
      <ns0:c r="L299" s="0">
        <ns0:f>IF(LEFT(K299,5)="CHECK",1,0)</ns0:f>
        <ns0:v>0</ns0:v>
      </ns0:c>
      <ns0:c r="M299" s="0">
        <ns0:f>IF(AND(L299=1,OR(C299=0,IFERROR(INDEX($X$11:$X$60,C299),0)=0)),1,0)</ns0:f>
        <ns0:v>0</ns0:v>
      </ns0:c>
      <ns0:c r="N299" s="0">
        <ns0:f>IF(OR(A299=0,L299&gt;0,$B$6&gt;0,Bookings!G299="Cancelled"),0,G299)</ns0:f>
        <ns0:v>0</ns0:v>
      </ns0:c>
      <ns0:c r="O299" s="0">
        <ns0:f>IF(AND(Bookings!G299="Approved",E299="Yes"),N299,0)</ns0:f>
        <ns0:v>0</ns0:v>
      </ns0:c>
      <ns0:c r="P299" s="0">
        <ns0:f>IF(AND(Bookings!G299="Approved",E299="Yes",L299=0,$B$6=0),H299,0)</ns0:f>
        <ns0:v>0</ns0:v>
      </ns0:c>
      <ns0:c r="Q299" s="0">
        <ns0:f>IF(AND(Bookings!G299="Approved",E299="Yes",L299=0,$B$6=0),I299,0)</ns0:f>
        <ns0:v>0</ns0:v>
      </ns0:c>
      <ns0:c r="R299" s="0">
        <ns0:f>IF(AND(Bookings!G299="Pending",E299="Yes"),N299,0)</ns0:f>
        <ns0:v>0</ns0:v>
      </ns0:c>
      <ns0:c r="S299" s="0">
        <ns0:f>IF(AND(Bookings!G299="Approved",E299="No"),N299,0)</ns0:f>
        <ns0:v>0</ns0:v>
      </ns0:c>
      <ns0:c r="T299" s="0">
        <ns0:f>IFERROR(MATCH(D299,Settings!$G$7:$G$11,0),0)</ns0:f>
        <ns0:v>0</ns0:v>
      </ns0:c>
      <ns0:c r="U299" s="0">
        <ns0:f>IF(N299&gt;0,T299+IF(Bookings!G299="Pending",10,0),0)</ns0:f>
        <ns0:v>0</ns0:v>
      </ns0:c>
      <ns0:c r="V299" s="0">
        <ns0:f>U299</ns0:f>
        <ns0:v>0</ns0:v>
      </ns0:c>
      <ns0:c r="W299" s="0" t="str">
        <ns0:f>IF(C299=0,"",INDEX($AP$11:$AP$60,C299))</ns0:f>
        <ns0:v/>
      </ns0:c>
    </ns0:row>
    <ns0:row r="300">
      <ns0:c r="A300" s="0">
        <ns0:f>IF(COUNTA(Bookings!A300:G300,Bookings!I300)=0,0,1)</ns0:f>
        <ns0:v>0</ns0:v>
      </ns0:c>
      <ns0:c r="B300" s="0" t="str">
        <ns0:f>IFERROR(TRIM(MID(Bookings!A300,FIND(" · ",Bookings!A300)+3,99)),"")</ns0:f>
        <ns0:v/>
      </ns0:c>
      <ns0:c r="C300" s="0">
        <ns0:f>IF(OR(B300="",LEN(B300)&gt;24,ISNUMBER(FIND(" ",B300)),ISNUMBER(FIND("*",B300)),ISNUMBER(FIND("?",B300)),ISNUMBER(FIND("~",B300))),0,IFERROR(MATCH(B300,Team!$A$11:$A$60,0),0))</ns0:f>
        <ns0:v>0</ns0:v>
      </ns0:c>
      <ns0:c r="D300" s="0" t="str">
        <ns0:f>IFERROR(IF(MID(Bookings!F300,LEN(Bookings!F300)-3,3)=" · ",RIGHT(Bookings!F300,1),""),"")</ns0:f>
        <ns0:v/>
      </ns0:c>
      <ns0:c r="E300" s="0" t="str">
        <ns0:f>IFERROR(INDEX(Settings!$H$7:$H$11,MATCH(D300,Settings!$G$7:$G$11,0)),"")</ns0:f>
        <ns0:v/>
      </ns0:c>
      <ns0:c r="F300" s="0" t="str">
        <ns0:f>IF(A300=0,"",IFERROR(IF(OR(B300="",C300=0),"CHECK employee selection",IF(INDEX(Team!$O$11:$O$60,C300)&lt;&gt;"OK","CHECK employee setup",IF(OR('_Dates'!J300=0,'_Dates'!T300=0),"CHECK date: use DD.MM.YYYY",IF('_Dates'!T300&lt;'_Dates'!J300,"CHECK end before start",IF(AND($B$6=0,OR('_Dates'!J300&lt;Settings!$B$7,'_Dates'!T300&gt;Settings!$B$8)),"CHECK split across leave years",IF(OR(NOT(OR('_Dates'!U300="Full day",'_Dates'!U300="AM",'_Dates'!U300="PM")),NOT(OR('_Dates'!V300="Full day",'_Dates'!V300="AM",'_Dates'!V300="PM"))),"CHECK Full day / AM / PM",IF(AND('_Dates'!J300='_Dates'!T300,'_Dates'!U300&lt;&gt;"Full day",'_Dates'!V300&lt;&gt;"Full day",'_Dates'!U300&lt;&gt;'_Dates'!V300),"CHECK same-day portions disagree",IF(AND($B$6=0,OR(AND('_Dates'!U300&lt;&gt;"Full day",'_Dates'!AA300=0),AND('_Dates'!V300&lt;&gt;"Full day",'_Dates'!AB300=0))),"CHECK half-day on non-working date",IF(COUNTIF(Settings!$G$7:$G$11,D300)&lt;&gt;1,"CHECK leave type",IF(AND(Bookings!G300&lt;&gt;"Approved",Bookings!G300&lt;&gt;"Pending",Bookings!G300&lt;&gt;"Cancelled"),"CHECK status","OK")))))))))),"CHECK input"))</ns0:f>
        <ns0:v/>
      </ns0:c>
      <ns0:c r="G300" s="0">
        <ns0:f>IF(OR(F300&lt;&gt;"OK",$B$6&gt;0),0,0.5*(IF(('_Dates'!X300)&lt;('_Dates'!W300),0,INT((('_Dates'!X300)-('_Dates'!W300)+1)/7)*LEN(SUBSTITUTE(W300,"O",""))+LEN(SUBSTITUTE(MID(W300&amp;W300,WEEKDAY(('_Dates'!W300),2),MOD((('_Dates'!X300)-('_Dates'!W300)+1),7)),"O",""))-COUNTIFS(INDEX(AllClosureRows,C300,0),"&gt;="&amp;('_Dates'!W300),INDEX(AllClosureRows,C300,0),"&lt;="&amp;('_Dates'!X300)))+IF(('_Dates'!Z300)&lt;('_Dates'!Y300),0,INT((('_Dates'!Z300)-('_Dates'!Y300)+1)/7)*LEN(SUBSTITUTE(W300,"O",""))+LEN(SUBSTITUTE(MID(W300&amp;W300,WEEKDAY(('_Dates'!Y300),2),MOD((('_Dates'!Z300)-('_Dates'!Y300)+1),7)),"O",""))-COUNTIFS(INDEX(AllClosureRows,C300,0),"&gt;="&amp;('_Dates'!Y300),INDEX(AllClosureRows,C300,0),"&lt;="&amp;('_Dates'!Z300)))))</ns0:f>
        <ns0:v>0</ns0:v>
      </ns0:c>
      <ns0:c r="H300" s="0">
        <ns0:f>IF(OR(F300&lt;&gt;"OK",$B$6&gt;0),0,0.5*(IF((MIN('_Dates'!X300,Settings!$B$9))&lt;('_Dates'!W300),0,INT(((MIN('_Dates'!X300,Settings!$B$9))-('_Dates'!W300)+1)/7)*LEN(SUBSTITUTE(W300,"O",""))+LEN(SUBSTITUTE(MID(W300&amp;W300,WEEKDAY(('_Dates'!W300),2),MOD(((MIN('_Dates'!X300,Settings!$B$9))-('_Dates'!W300)+1),7)),"O",""))-COUNTIFS(INDEX(AllClosureRows,C300,0),"&gt;="&amp;('_Dates'!W300),INDEX(AllClosureRows,C300,0),"&lt;="&amp;(MIN('_Dates'!X300,Settings!$B$9))))+IF((MIN('_Dates'!Z300,Settings!$B$9))&lt;('_Dates'!Y300),0,INT(((MIN('_Dates'!Z300,Settings!$B$9))-('_Dates'!Y300)+1)/7)*LEN(SUBSTITUTE(W300,"O",""))+LEN(SUBSTITUTE(MID(W300&amp;W300,WEEKDAY(('_Dates'!Y300),2),MOD(((MIN('_Dates'!Z300,Settings!$B$9))-('_Dates'!Y300)+1),7)),"O",""))-COUNTIFS(INDEX(AllClosureRows,C300,0),"&gt;="&amp;('_Dates'!Y300),INDEX(AllClosureRows,C300,0),"&lt;="&amp;(MIN('_Dates'!Z300,Settings!$B$9))))))</ns0:f>
        <ns0:v>0</ns0:v>
      </ns0:c>
      <ns0:c r="I300" s="0">
        <ns0:f>MAX(0,G300-H300)</ns0:f>
        <ns0:v>0</ns0:v>
      </ns0:c>
      <ns0:c r="J300" s="0">
        <ns0:f>IF(OR(A300=0,F300&lt;&gt;"OK",Bookings!G300="Cancelled",$B$6&gt;0),0,IF('_Dates'!AC300=1,MAX(0,COUNTIFS(rngEngine_B,B300,rngAMStart,"&lt;="&amp;'_Dates'!X300,rngAMEnd,"&gt;="&amp;'_Dates'!W300,rngAMActive,1,rngEngine_F,"OK",rngBookings_F,"&lt;&gt;Cancelled")-1),0)+IF('_Dates'!AD300=1,MAX(0,COUNTIFS(rngEngine_B,B300,rngPMStart,"&lt;="&amp;'_Dates'!Z300,rngPMEnd,"&gt;="&amp;'_Dates'!Y300,rngPMActive,1,rngEngine_F,"OK",rngBookings_F,"&lt;&gt;Cancelled")-1),0))</ns0:f>
        <ns0:v>0</ns0:v>
      </ns0:c>
      <ns0:c r="K300" s="0" t="str">
        <ns0:f>IF(A300=0,"",IF(F300&lt;&gt;"OK",F300,IF(J300&gt;0,"CHECK overlapping entry",IF(AND($B$6=0,G300&lt;=0,Bookings!G300&lt;&gt;"Cancelled"),"CHECK no working days",IF(Bookings!G300="Cancelled","Cancelled","OK")))))</ns0:f>
        <ns0:v/>
      </ns0:c>
      <ns0:c r="L300" s="0">
        <ns0:f>IF(LEFT(K300,5)="CHECK",1,0)</ns0:f>
        <ns0:v>0</ns0:v>
      </ns0:c>
      <ns0:c r="M300" s="0">
        <ns0:f>IF(AND(L300=1,OR(C300=0,IFERROR(INDEX($X$11:$X$60,C300),0)=0)),1,0)</ns0:f>
        <ns0:v>0</ns0:v>
      </ns0:c>
      <ns0:c r="N300" s="0">
        <ns0:f>IF(OR(A300=0,L300&gt;0,$B$6&gt;0,Bookings!G300="Cancelled"),0,G300)</ns0:f>
        <ns0:v>0</ns0:v>
      </ns0:c>
      <ns0:c r="O300" s="0">
        <ns0:f>IF(AND(Bookings!G300="Approved",E300="Yes"),N300,0)</ns0:f>
        <ns0:v>0</ns0:v>
      </ns0:c>
      <ns0:c r="P300" s="0">
        <ns0:f>IF(AND(Bookings!G300="Approved",E300="Yes",L300=0,$B$6=0),H300,0)</ns0:f>
        <ns0:v>0</ns0:v>
      </ns0:c>
      <ns0:c r="Q300" s="0">
        <ns0:f>IF(AND(Bookings!G300="Approved",E300="Yes",L300=0,$B$6=0),I300,0)</ns0:f>
        <ns0:v>0</ns0:v>
      </ns0:c>
      <ns0:c r="R300" s="0">
        <ns0:f>IF(AND(Bookings!G300="Pending",E300="Yes"),N300,0)</ns0:f>
        <ns0:v>0</ns0:v>
      </ns0:c>
      <ns0:c r="S300" s="0">
        <ns0:f>IF(AND(Bookings!G300="Approved",E300="No"),N300,0)</ns0:f>
        <ns0:v>0</ns0:v>
      </ns0:c>
      <ns0:c r="T300" s="0">
        <ns0:f>IFERROR(MATCH(D300,Settings!$G$7:$G$11,0),0)</ns0:f>
        <ns0:v>0</ns0:v>
      </ns0:c>
      <ns0:c r="U300" s="0">
        <ns0:f>IF(N300&gt;0,T300+IF(Bookings!G300="Pending",10,0),0)</ns0:f>
        <ns0:v>0</ns0:v>
      </ns0:c>
      <ns0:c r="V300" s="0">
        <ns0:f>U300</ns0:f>
        <ns0:v>0</ns0:v>
      </ns0:c>
      <ns0:c r="W300" s="0" t="str">
        <ns0:f>IF(C300=0,"",INDEX($AP$11:$AP$60,C300))</ns0:f>
        <ns0:v/>
      </ns0:c>
    </ns0:row>
    <ns0:row r="301">
      <ns0:c r="A301" s="0">
        <ns0:f>IF(COUNTA(Bookings!A301:G301,Bookings!I301)=0,0,1)</ns0:f>
        <ns0:v>0</ns0:v>
      </ns0:c>
      <ns0:c r="B301" s="0" t="str">
        <ns0:f>IFERROR(TRIM(MID(Bookings!A301,FIND(" · ",Bookings!A301)+3,99)),"")</ns0:f>
        <ns0:v/>
      </ns0:c>
      <ns0:c r="C301" s="0">
        <ns0:f>IF(OR(B301="",LEN(B301)&gt;24,ISNUMBER(FIND(" ",B301)),ISNUMBER(FIND("*",B301)),ISNUMBER(FIND("?",B301)),ISNUMBER(FIND("~",B301))),0,IFERROR(MATCH(B301,Team!$A$11:$A$60,0),0))</ns0:f>
        <ns0:v>0</ns0:v>
      </ns0:c>
      <ns0:c r="D301" s="0" t="str">
        <ns0:f>IFERROR(IF(MID(Bookings!F301,LEN(Bookings!F301)-3,3)=" · ",RIGHT(Bookings!F301,1),""),"")</ns0:f>
        <ns0:v/>
      </ns0:c>
      <ns0:c r="E301" s="0" t="str">
        <ns0:f>IFERROR(INDEX(Settings!$H$7:$H$11,MATCH(D301,Settings!$G$7:$G$11,0)),"")</ns0:f>
        <ns0:v/>
      </ns0:c>
      <ns0:c r="F301" s="0" t="str">
        <ns0:f>IF(A301=0,"",IFERROR(IF(OR(B301="",C301=0),"CHECK employee selection",IF(INDEX(Team!$O$11:$O$60,C301)&lt;&gt;"OK","CHECK employee setup",IF(OR('_Dates'!J301=0,'_Dates'!T301=0),"CHECK date: use DD.MM.YYYY",IF('_Dates'!T301&lt;'_Dates'!J301,"CHECK end before start",IF(AND($B$6=0,OR('_Dates'!J301&lt;Settings!$B$7,'_Dates'!T301&gt;Settings!$B$8)),"CHECK split across leave years",IF(OR(NOT(OR('_Dates'!U301="Full day",'_Dates'!U301="AM",'_Dates'!U301="PM")),NOT(OR('_Dates'!V301="Full day",'_Dates'!V301="AM",'_Dates'!V301="PM"))),"CHECK Full day / AM / PM",IF(AND('_Dates'!J301='_Dates'!T301,'_Dates'!U301&lt;&gt;"Full day",'_Dates'!V301&lt;&gt;"Full day",'_Dates'!U301&lt;&gt;'_Dates'!V301),"CHECK same-day portions disagree",IF(AND($B$6=0,OR(AND('_Dates'!U301&lt;&gt;"Full day",'_Dates'!AA301=0),AND('_Dates'!V301&lt;&gt;"Full day",'_Dates'!AB301=0))),"CHECK half-day on non-working date",IF(COUNTIF(Settings!$G$7:$G$11,D301)&lt;&gt;1,"CHECK leave type",IF(AND(Bookings!G301&lt;&gt;"Approved",Bookings!G301&lt;&gt;"Pending",Bookings!G301&lt;&gt;"Cancelled"),"CHECK status","OK")))))))))),"CHECK input"))</ns0:f>
        <ns0:v/>
      </ns0:c>
      <ns0:c r="G301" s="0">
        <ns0:f>IF(OR(F301&lt;&gt;"OK",$B$6&gt;0),0,0.5*(IF(('_Dates'!X301)&lt;('_Dates'!W301),0,INT((('_Dates'!X301)-('_Dates'!W301)+1)/7)*LEN(SUBSTITUTE(W301,"O",""))+LEN(SUBSTITUTE(MID(W301&amp;W301,WEEKDAY(('_Dates'!W301),2),MOD((('_Dates'!X301)-('_Dates'!W301)+1),7)),"O",""))-COUNTIFS(INDEX(AllClosureRows,C301,0),"&gt;="&amp;('_Dates'!W301),INDEX(AllClosureRows,C301,0),"&lt;="&amp;('_Dates'!X301)))+IF(('_Dates'!Z301)&lt;('_Dates'!Y301),0,INT((('_Dates'!Z301)-('_Dates'!Y301)+1)/7)*LEN(SUBSTITUTE(W301,"O",""))+LEN(SUBSTITUTE(MID(W301&amp;W301,WEEKDAY(('_Dates'!Y301),2),MOD((('_Dates'!Z301)-('_Dates'!Y301)+1),7)),"O",""))-COUNTIFS(INDEX(AllClosureRows,C301,0),"&gt;="&amp;('_Dates'!Y301),INDEX(AllClosureRows,C301,0),"&lt;="&amp;('_Dates'!Z301)))))</ns0:f>
        <ns0:v>0</ns0:v>
      </ns0:c>
      <ns0:c r="H301" s="0">
        <ns0:f>IF(OR(F301&lt;&gt;"OK",$B$6&gt;0),0,0.5*(IF((MIN('_Dates'!X301,Settings!$B$9))&lt;('_Dates'!W301),0,INT(((MIN('_Dates'!X301,Settings!$B$9))-('_Dates'!W301)+1)/7)*LEN(SUBSTITUTE(W301,"O",""))+LEN(SUBSTITUTE(MID(W301&amp;W301,WEEKDAY(('_Dates'!W301),2),MOD(((MIN('_Dates'!X301,Settings!$B$9))-('_Dates'!W301)+1),7)),"O",""))-COUNTIFS(INDEX(AllClosureRows,C301,0),"&gt;="&amp;('_Dates'!W301),INDEX(AllClosureRows,C301,0),"&lt;="&amp;(MIN('_Dates'!X301,Settings!$B$9))))+IF((MIN('_Dates'!Z301,Settings!$B$9))&lt;('_Dates'!Y301),0,INT(((MIN('_Dates'!Z301,Settings!$B$9))-('_Dates'!Y301)+1)/7)*LEN(SUBSTITUTE(W301,"O",""))+LEN(SUBSTITUTE(MID(W301&amp;W301,WEEKDAY(('_Dates'!Y301),2),MOD(((MIN('_Dates'!Z301,Settings!$B$9))-('_Dates'!Y301)+1),7)),"O",""))-COUNTIFS(INDEX(AllClosureRows,C301,0),"&gt;="&amp;('_Dates'!Y301),INDEX(AllClosureRows,C301,0),"&lt;="&amp;(MIN('_Dates'!Z301,Settings!$B$9))))))</ns0:f>
        <ns0:v>0</ns0:v>
      </ns0:c>
      <ns0:c r="I301" s="0">
        <ns0:f>MAX(0,G301-H301)</ns0:f>
        <ns0:v>0</ns0:v>
      </ns0:c>
      <ns0:c r="J301" s="0">
        <ns0:f>IF(OR(A301=0,F301&lt;&gt;"OK",Bookings!G301="Cancelled",$B$6&gt;0),0,IF('_Dates'!AC301=1,MAX(0,COUNTIFS(rngEngine_B,B301,rngAMStart,"&lt;="&amp;'_Dates'!X301,rngAMEnd,"&gt;="&amp;'_Dates'!W301,rngAMActive,1,rngEngine_F,"OK",rngBookings_F,"&lt;&gt;Cancelled")-1),0)+IF('_Dates'!AD301=1,MAX(0,COUNTIFS(rngEngine_B,B301,rngPMStart,"&lt;="&amp;'_Dates'!Z301,rngPMEnd,"&gt;="&amp;'_Dates'!Y301,rngPMActive,1,rngEngine_F,"OK",rngBookings_F,"&lt;&gt;Cancelled")-1),0))</ns0:f>
        <ns0:v>0</ns0:v>
      </ns0:c>
      <ns0:c r="K301" s="0" t="str">
        <ns0:f>IF(A301=0,"",IF(F301&lt;&gt;"OK",F301,IF(J301&gt;0,"CHECK overlapping entry",IF(AND($B$6=0,G301&lt;=0,Bookings!G301&lt;&gt;"Cancelled"),"CHECK no working days",IF(Bookings!G301="Cancelled","Cancelled","OK")))))</ns0:f>
        <ns0:v/>
      </ns0:c>
      <ns0:c r="L301" s="0">
        <ns0:f>IF(LEFT(K301,5)="CHECK",1,0)</ns0:f>
        <ns0:v>0</ns0:v>
      </ns0:c>
      <ns0:c r="M301" s="0">
        <ns0:f>IF(AND(L301=1,OR(C301=0,IFERROR(INDEX($X$11:$X$60,C301),0)=0)),1,0)</ns0:f>
        <ns0:v>0</ns0:v>
      </ns0:c>
      <ns0:c r="N301" s="0">
        <ns0:f>IF(OR(A301=0,L301&gt;0,$B$6&gt;0,Bookings!G301="Cancelled"),0,G301)</ns0:f>
        <ns0:v>0</ns0:v>
      </ns0:c>
      <ns0:c r="O301" s="0">
        <ns0:f>IF(AND(Bookings!G301="Approved",E301="Yes"),N301,0)</ns0:f>
        <ns0:v>0</ns0:v>
      </ns0:c>
      <ns0:c r="P301" s="0">
        <ns0:f>IF(AND(Bookings!G301="Approved",E301="Yes",L301=0,$B$6=0),H301,0)</ns0:f>
        <ns0:v>0</ns0:v>
      </ns0:c>
      <ns0:c r="Q301" s="0">
        <ns0:f>IF(AND(Bookings!G301="Approved",E301="Yes",L301=0,$B$6=0),I301,0)</ns0:f>
        <ns0:v>0</ns0:v>
      </ns0:c>
      <ns0:c r="R301" s="0">
        <ns0:f>IF(AND(Bookings!G301="Pending",E301="Yes"),N301,0)</ns0:f>
        <ns0:v>0</ns0:v>
      </ns0:c>
      <ns0:c r="S301" s="0">
        <ns0:f>IF(AND(Bookings!G301="Approved",E301="No"),N301,0)</ns0:f>
        <ns0:v>0</ns0:v>
      </ns0:c>
      <ns0:c r="T301" s="0">
        <ns0:f>IFERROR(MATCH(D301,Settings!$G$7:$G$11,0),0)</ns0:f>
        <ns0:v>0</ns0:v>
      </ns0:c>
      <ns0:c r="U301" s="0">
        <ns0:f>IF(N301&gt;0,T301+IF(Bookings!G301="Pending",10,0),0)</ns0:f>
        <ns0:v>0</ns0:v>
      </ns0:c>
      <ns0:c r="V301" s="0">
        <ns0:f>U301</ns0:f>
        <ns0:v>0</ns0:v>
      </ns0:c>
      <ns0:c r="W301" s="0" t="str">
        <ns0:f>IF(C301=0,"",INDEX($AP$11:$AP$60,C301))</ns0:f>
        <ns0:v/>
      </ns0:c>
    </ns0:row>
    <ns0:row r="302">
      <ns0:c r="A302" s="0">
        <ns0:f>IF(COUNTA(Bookings!A302:G302,Bookings!I302)=0,0,1)</ns0:f>
        <ns0:v>0</ns0:v>
      </ns0:c>
      <ns0:c r="B302" s="0" t="str">
        <ns0:f>IFERROR(TRIM(MID(Bookings!A302,FIND(" · ",Bookings!A302)+3,99)),"")</ns0:f>
        <ns0:v/>
      </ns0:c>
      <ns0:c r="C302" s="0">
        <ns0:f>IF(OR(B302="",LEN(B302)&gt;24,ISNUMBER(FIND(" ",B302)),ISNUMBER(FIND("*",B302)),ISNUMBER(FIND("?",B302)),ISNUMBER(FIND("~",B302))),0,IFERROR(MATCH(B302,Team!$A$11:$A$60,0),0))</ns0:f>
        <ns0:v>0</ns0:v>
      </ns0:c>
      <ns0:c r="D302" s="0" t="str">
        <ns0:f>IFERROR(IF(MID(Bookings!F302,LEN(Bookings!F302)-3,3)=" · ",RIGHT(Bookings!F302,1),""),"")</ns0:f>
        <ns0:v/>
      </ns0:c>
      <ns0:c r="E302" s="0" t="str">
        <ns0:f>IFERROR(INDEX(Settings!$H$7:$H$11,MATCH(D302,Settings!$G$7:$G$11,0)),"")</ns0:f>
        <ns0:v/>
      </ns0:c>
      <ns0:c r="F302" s="0" t="str">
        <ns0:f>IF(A302=0,"",IFERROR(IF(OR(B302="",C302=0),"CHECK employee selection",IF(INDEX(Team!$O$11:$O$60,C302)&lt;&gt;"OK","CHECK employee setup",IF(OR('_Dates'!J302=0,'_Dates'!T302=0),"CHECK date: use DD.MM.YYYY",IF('_Dates'!T302&lt;'_Dates'!J302,"CHECK end before start",IF(AND($B$6=0,OR('_Dates'!J302&lt;Settings!$B$7,'_Dates'!T302&gt;Settings!$B$8)),"CHECK split across leave years",IF(OR(NOT(OR('_Dates'!U302="Full day",'_Dates'!U302="AM",'_Dates'!U302="PM")),NOT(OR('_Dates'!V302="Full day",'_Dates'!V302="AM",'_Dates'!V302="PM"))),"CHECK Full day / AM / PM",IF(AND('_Dates'!J302='_Dates'!T302,'_Dates'!U302&lt;&gt;"Full day",'_Dates'!V302&lt;&gt;"Full day",'_Dates'!U302&lt;&gt;'_Dates'!V302),"CHECK same-day portions disagree",IF(AND($B$6=0,OR(AND('_Dates'!U302&lt;&gt;"Full day",'_Dates'!AA302=0),AND('_Dates'!V302&lt;&gt;"Full day",'_Dates'!AB302=0))),"CHECK half-day on non-working date",IF(COUNTIF(Settings!$G$7:$G$11,D302)&lt;&gt;1,"CHECK leave type",IF(AND(Bookings!G302&lt;&gt;"Approved",Bookings!G302&lt;&gt;"Pending",Bookings!G302&lt;&gt;"Cancelled"),"CHECK status","OK")))))))))),"CHECK input"))</ns0:f>
        <ns0:v/>
      </ns0:c>
      <ns0:c r="G302" s="0">
        <ns0:f>IF(OR(F302&lt;&gt;"OK",$B$6&gt;0),0,0.5*(IF(('_Dates'!X302)&lt;('_Dates'!W302),0,INT((('_Dates'!X302)-('_Dates'!W302)+1)/7)*LEN(SUBSTITUTE(W302,"O",""))+LEN(SUBSTITUTE(MID(W302&amp;W302,WEEKDAY(('_Dates'!W302),2),MOD((('_Dates'!X302)-('_Dates'!W302)+1),7)),"O",""))-COUNTIFS(INDEX(AllClosureRows,C302,0),"&gt;="&amp;('_Dates'!W302),INDEX(AllClosureRows,C302,0),"&lt;="&amp;('_Dates'!X302)))+IF(('_Dates'!Z302)&lt;('_Dates'!Y302),0,INT((('_Dates'!Z302)-('_Dates'!Y302)+1)/7)*LEN(SUBSTITUTE(W302,"O",""))+LEN(SUBSTITUTE(MID(W302&amp;W302,WEEKDAY(('_Dates'!Y302),2),MOD((('_Dates'!Z302)-('_Dates'!Y302)+1),7)),"O",""))-COUNTIFS(INDEX(AllClosureRows,C302,0),"&gt;="&amp;('_Dates'!Y302),INDEX(AllClosureRows,C302,0),"&lt;="&amp;('_Dates'!Z302)))))</ns0:f>
        <ns0:v>0</ns0:v>
      </ns0:c>
      <ns0:c r="H302" s="0">
        <ns0:f>IF(OR(F302&lt;&gt;"OK",$B$6&gt;0),0,0.5*(IF((MIN('_Dates'!X302,Settings!$B$9))&lt;('_Dates'!W302),0,INT(((MIN('_Dates'!X302,Settings!$B$9))-('_Dates'!W302)+1)/7)*LEN(SUBSTITUTE(W302,"O",""))+LEN(SUBSTITUTE(MID(W302&amp;W302,WEEKDAY(('_Dates'!W302),2),MOD(((MIN('_Dates'!X302,Settings!$B$9))-('_Dates'!W302)+1),7)),"O",""))-COUNTIFS(INDEX(AllClosureRows,C302,0),"&gt;="&amp;('_Dates'!W302),INDEX(AllClosureRows,C302,0),"&lt;="&amp;(MIN('_Dates'!X302,Settings!$B$9))))+IF((MIN('_Dates'!Z302,Settings!$B$9))&lt;('_Dates'!Y302),0,INT(((MIN('_Dates'!Z302,Settings!$B$9))-('_Dates'!Y302)+1)/7)*LEN(SUBSTITUTE(W302,"O",""))+LEN(SUBSTITUTE(MID(W302&amp;W302,WEEKDAY(('_Dates'!Y302),2),MOD(((MIN('_Dates'!Z302,Settings!$B$9))-('_Dates'!Y302)+1),7)),"O",""))-COUNTIFS(INDEX(AllClosureRows,C302,0),"&gt;="&amp;('_Dates'!Y302),INDEX(AllClosureRows,C302,0),"&lt;="&amp;(MIN('_Dates'!Z302,Settings!$B$9))))))</ns0:f>
        <ns0:v>0</ns0:v>
      </ns0:c>
      <ns0:c r="I302" s="0">
        <ns0:f>MAX(0,G302-H302)</ns0:f>
        <ns0:v>0</ns0:v>
      </ns0:c>
      <ns0:c r="J302" s="0">
        <ns0:f>IF(OR(A302=0,F302&lt;&gt;"OK",Bookings!G302="Cancelled",$B$6&gt;0),0,IF('_Dates'!AC302=1,MAX(0,COUNTIFS(rngEngine_B,B302,rngAMStart,"&lt;="&amp;'_Dates'!X302,rngAMEnd,"&gt;="&amp;'_Dates'!W302,rngAMActive,1,rngEngine_F,"OK",rngBookings_F,"&lt;&gt;Cancelled")-1),0)+IF('_Dates'!AD302=1,MAX(0,COUNTIFS(rngEngine_B,B302,rngPMStart,"&lt;="&amp;'_Dates'!Z302,rngPMEnd,"&gt;="&amp;'_Dates'!Y302,rngPMActive,1,rngEngine_F,"OK",rngBookings_F,"&lt;&gt;Cancelled")-1),0))</ns0:f>
        <ns0:v>0</ns0:v>
      </ns0:c>
      <ns0:c r="K302" s="0" t="str">
        <ns0:f>IF(A302=0,"",IF(F302&lt;&gt;"OK",F302,IF(J302&gt;0,"CHECK overlapping entry",IF(AND($B$6=0,G302&lt;=0,Bookings!G302&lt;&gt;"Cancelled"),"CHECK no working days",IF(Bookings!G302="Cancelled","Cancelled","OK")))))</ns0:f>
        <ns0:v/>
      </ns0:c>
      <ns0:c r="L302" s="0">
        <ns0:f>IF(LEFT(K302,5)="CHECK",1,0)</ns0:f>
        <ns0:v>0</ns0:v>
      </ns0:c>
      <ns0:c r="M302" s="0">
        <ns0:f>IF(AND(L302=1,OR(C302=0,IFERROR(INDEX($X$11:$X$60,C302),0)=0)),1,0)</ns0:f>
        <ns0:v>0</ns0:v>
      </ns0:c>
      <ns0:c r="N302" s="0">
        <ns0:f>IF(OR(A302=0,L302&gt;0,$B$6&gt;0,Bookings!G302="Cancelled"),0,G302)</ns0:f>
        <ns0:v>0</ns0:v>
      </ns0:c>
      <ns0:c r="O302" s="0">
        <ns0:f>IF(AND(Bookings!G302="Approved",E302="Yes"),N302,0)</ns0:f>
        <ns0:v>0</ns0:v>
      </ns0:c>
      <ns0:c r="P302" s="0">
        <ns0:f>IF(AND(Bookings!G302="Approved",E302="Yes",L302=0,$B$6=0),H302,0)</ns0:f>
        <ns0:v>0</ns0:v>
      </ns0:c>
      <ns0:c r="Q302" s="0">
        <ns0:f>IF(AND(Bookings!G302="Approved",E302="Yes",L302=0,$B$6=0),I302,0)</ns0:f>
        <ns0:v>0</ns0:v>
      </ns0:c>
      <ns0:c r="R302" s="0">
        <ns0:f>IF(AND(Bookings!G302="Pending",E302="Yes"),N302,0)</ns0:f>
        <ns0:v>0</ns0:v>
      </ns0:c>
      <ns0:c r="S302" s="0">
        <ns0:f>IF(AND(Bookings!G302="Approved",E302="No"),N302,0)</ns0:f>
        <ns0:v>0</ns0:v>
      </ns0:c>
      <ns0:c r="T302" s="0">
        <ns0:f>IFERROR(MATCH(D302,Settings!$G$7:$G$11,0),0)</ns0:f>
        <ns0:v>0</ns0:v>
      </ns0:c>
      <ns0:c r="U302" s="0">
        <ns0:f>IF(N302&gt;0,T302+IF(Bookings!G302="Pending",10,0),0)</ns0:f>
        <ns0:v>0</ns0:v>
      </ns0:c>
      <ns0:c r="V302" s="0">
        <ns0:f>U302</ns0:f>
        <ns0:v>0</ns0:v>
      </ns0:c>
      <ns0:c r="W302" s="0" t="str">
        <ns0:f>IF(C302=0,"",INDEX($AP$11:$AP$60,C302))</ns0:f>
        <ns0:v/>
      </ns0:c>
    </ns0:row>
    <ns0:row r="303">
      <ns0:c r="A303" s="0">
        <ns0:f>IF(COUNTA(Bookings!A303:G303,Bookings!I303)=0,0,1)</ns0:f>
        <ns0:v>0</ns0:v>
      </ns0:c>
      <ns0:c r="B303" s="0" t="str">
        <ns0:f>IFERROR(TRIM(MID(Bookings!A303,FIND(" · ",Bookings!A303)+3,99)),"")</ns0:f>
        <ns0:v/>
      </ns0:c>
      <ns0:c r="C303" s="0">
        <ns0:f>IF(OR(B303="",LEN(B303)&gt;24,ISNUMBER(FIND(" ",B303)),ISNUMBER(FIND("*",B303)),ISNUMBER(FIND("?",B303)),ISNUMBER(FIND("~",B303))),0,IFERROR(MATCH(B303,Team!$A$11:$A$60,0),0))</ns0:f>
        <ns0:v>0</ns0:v>
      </ns0:c>
      <ns0:c r="D303" s="0" t="str">
        <ns0:f>IFERROR(IF(MID(Bookings!F303,LEN(Bookings!F303)-3,3)=" · ",RIGHT(Bookings!F303,1),""),"")</ns0:f>
        <ns0:v/>
      </ns0:c>
      <ns0:c r="E303" s="0" t="str">
        <ns0:f>IFERROR(INDEX(Settings!$H$7:$H$11,MATCH(D303,Settings!$G$7:$G$11,0)),"")</ns0:f>
        <ns0:v/>
      </ns0:c>
      <ns0:c r="F303" s="0" t="str">
        <ns0:f>IF(A303=0,"",IFERROR(IF(OR(B303="",C303=0),"CHECK employee selection",IF(INDEX(Team!$O$11:$O$60,C303)&lt;&gt;"OK","CHECK employee setup",IF(OR('_Dates'!J303=0,'_Dates'!T303=0),"CHECK date: use DD.MM.YYYY",IF('_Dates'!T303&lt;'_Dates'!J303,"CHECK end before start",IF(AND($B$6=0,OR('_Dates'!J303&lt;Settings!$B$7,'_Dates'!T303&gt;Settings!$B$8)),"CHECK split across leave years",IF(OR(NOT(OR('_Dates'!U303="Full day",'_Dates'!U303="AM",'_Dates'!U303="PM")),NOT(OR('_Dates'!V303="Full day",'_Dates'!V303="AM",'_Dates'!V303="PM"))),"CHECK Full day / AM / PM",IF(AND('_Dates'!J303='_Dates'!T303,'_Dates'!U303&lt;&gt;"Full day",'_Dates'!V303&lt;&gt;"Full day",'_Dates'!U303&lt;&gt;'_Dates'!V303),"CHECK same-day portions disagree",IF(AND($B$6=0,OR(AND('_Dates'!U303&lt;&gt;"Full day",'_Dates'!AA303=0),AND('_Dates'!V303&lt;&gt;"Full day",'_Dates'!AB303=0))),"CHECK half-day on non-working date",IF(COUNTIF(Settings!$G$7:$G$11,D303)&lt;&gt;1,"CHECK leave type",IF(AND(Bookings!G303&lt;&gt;"Approved",Bookings!G303&lt;&gt;"Pending",Bookings!G303&lt;&gt;"Cancelled"),"CHECK status","OK")))))))))),"CHECK input"))</ns0:f>
        <ns0:v/>
      </ns0:c>
      <ns0:c r="G303" s="0">
        <ns0:f>IF(OR(F303&lt;&gt;"OK",$B$6&gt;0),0,0.5*(IF(('_Dates'!X303)&lt;('_Dates'!W303),0,INT((('_Dates'!X303)-('_Dates'!W303)+1)/7)*LEN(SUBSTITUTE(W303,"O",""))+LEN(SUBSTITUTE(MID(W303&amp;W303,WEEKDAY(('_Dates'!W303),2),MOD((('_Dates'!X303)-('_Dates'!W303)+1),7)),"O",""))-COUNTIFS(INDEX(AllClosureRows,C303,0),"&gt;="&amp;('_Dates'!W303),INDEX(AllClosureRows,C303,0),"&lt;="&amp;('_Dates'!X303)))+IF(('_Dates'!Z303)&lt;('_Dates'!Y303),0,INT((('_Dates'!Z303)-('_Dates'!Y303)+1)/7)*LEN(SUBSTITUTE(W303,"O",""))+LEN(SUBSTITUTE(MID(W303&amp;W303,WEEKDAY(('_Dates'!Y303),2),MOD((('_Dates'!Z303)-('_Dates'!Y303)+1),7)),"O",""))-COUNTIFS(INDEX(AllClosureRows,C303,0),"&gt;="&amp;('_Dates'!Y303),INDEX(AllClosureRows,C303,0),"&lt;="&amp;('_Dates'!Z303)))))</ns0:f>
        <ns0:v>0</ns0:v>
      </ns0:c>
      <ns0:c r="H303" s="0">
        <ns0:f>IF(OR(F303&lt;&gt;"OK",$B$6&gt;0),0,0.5*(IF((MIN('_Dates'!X303,Settings!$B$9))&lt;('_Dates'!W303),0,INT(((MIN('_Dates'!X303,Settings!$B$9))-('_Dates'!W303)+1)/7)*LEN(SUBSTITUTE(W303,"O",""))+LEN(SUBSTITUTE(MID(W303&amp;W303,WEEKDAY(('_Dates'!W303),2),MOD(((MIN('_Dates'!X303,Settings!$B$9))-('_Dates'!W303)+1),7)),"O",""))-COUNTIFS(INDEX(AllClosureRows,C303,0),"&gt;="&amp;('_Dates'!W303),INDEX(AllClosureRows,C303,0),"&lt;="&amp;(MIN('_Dates'!X303,Settings!$B$9))))+IF((MIN('_Dates'!Z303,Settings!$B$9))&lt;('_Dates'!Y303),0,INT(((MIN('_Dates'!Z303,Settings!$B$9))-('_Dates'!Y303)+1)/7)*LEN(SUBSTITUTE(W303,"O",""))+LEN(SUBSTITUTE(MID(W303&amp;W303,WEEKDAY(('_Dates'!Y303),2),MOD(((MIN('_Dates'!Z303,Settings!$B$9))-('_Dates'!Y303)+1),7)),"O",""))-COUNTIFS(INDEX(AllClosureRows,C303,0),"&gt;="&amp;('_Dates'!Y303),INDEX(AllClosureRows,C303,0),"&lt;="&amp;(MIN('_Dates'!Z303,Settings!$B$9))))))</ns0:f>
        <ns0:v>0</ns0:v>
      </ns0:c>
      <ns0:c r="I303" s="0">
        <ns0:f>MAX(0,G303-H303)</ns0:f>
        <ns0:v>0</ns0:v>
      </ns0:c>
      <ns0:c r="J303" s="0">
        <ns0:f>IF(OR(A303=0,F303&lt;&gt;"OK",Bookings!G303="Cancelled",$B$6&gt;0),0,IF('_Dates'!AC303=1,MAX(0,COUNTIFS(rngEngine_B,B303,rngAMStart,"&lt;="&amp;'_Dates'!X303,rngAMEnd,"&gt;="&amp;'_Dates'!W303,rngAMActive,1,rngEngine_F,"OK",rngBookings_F,"&lt;&gt;Cancelled")-1),0)+IF('_Dates'!AD303=1,MAX(0,COUNTIFS(rngEngine_B,B303,rngPMStart,"&lt;="&amp;'_Dates'!Z303,rngPMEnd,"&gt;="&amp;'_Dates'!Y303,rngPMActive,1,rngEngine_F,"OK",rngBookings_F,"&lt;&gt;Cancelled")-1),0))</ns0:f>
        <ns0:v>0</ns0:v>
      </ns0:c>
      <ns0:c r="K303" s="0" t="str">
        <ns0:f>IF(A303=0,"",IF(F303&lt;&gt;"OK",F303,IF(J303&gt;0,"CHECK overlapping entry",IF(AND($B$6=0,G303&lt;=0,Bookings!G303&lt;&gt;"Cancelled"),"CHECK no working days",IF(Bookings!G303="Cancelled","Cancelled","OK")))))</ns0:f>
        <ns0:v/>
      </ns0:c>
      <ns0:c r="L303" s="0">
        <ns0:f>IF(LEFT(K303,5)="CHECK",1,0)</ns0:f>
        <ns0:v>0</ns0:v>
      </ns0:c>
      <ns0:c r="M303" s="0">
        <ns0:f>IF(AND(L303=1,OR(C303=0,IFERROR(INDEX($X$11:$X$60,C303),0)=0)),1,0)</ns0:f>
        <ns0:v>0</ns0:v>
      </ns0:c>
      <ns0:c r="N303" s="0">
        <ns0:f>IF(OR(A303=0,L303&gt;0,$B$6&gt;0,Bookings!G303="Cancelled"),0,G303)</ns0:f>
        <ns0:v>0</ns0:v>
      </ns0:c>
      <ns0:c r="O303" s="0">
        <ns0:f>IF(AND(Bookings!G303="Approved",E303="Yes"),N303,0)</ns0:f>
        <ns0:v>0</ns0:v>
      </ns0:c>
      <ns0:c r="P303" s="0">
        <ns0:f>IF(AND(Bookings!G303="Approved",E303="Yes",L303=0,$B$6=0),H303,0)</ns0:f>
        <ns0:v>0</ns0:v>
      </ns0:c>
      <ns0:c r="Q303" s="0">
        <ns0:f>IF(AND(Bookings!G303="Approved",E303="Yes",L303=0,$B$6=0),I303,0)</ns0:f>
        <ns0:v>0</ns0:v>
      </ns0:c>
      <ns0:c r="R303" s="0">
        <ns0:f>IF(AND(Bookings!G303="Pending",E303="Yes"),N303,0)</ns0:f>
        <ns0:v>0</ns0:v>
      </ns0:c>
      <ns0:c r="S303" s="0">
        <ns0:f>IF(AND(Bookings!G303="Approved",E303="No"),N303,0)</ns0:f>
        <ns0:v>0</ns0:v>
      </ns0:c>
      <ns0:c r="T303" s="0">
        <ns0:f>IFERROR(MATCH(D303,Settings!$G$7:$G$11,0),0)</ns0:f>
        <ns0:v>0</ns0:v>
      </ns0:c>
      <ns0:c r="U303" s="0">
        <ns0:f>IF(N303&gt;0,T303+IF(Bookings!G303="Pending",10,0),0)</ns0:f>
        <ns0:v>0</ns0:v>
      </ns0:c>
      <ns0:c r="V303" s="0">
        <ns0:f>U303</ns0:f>
        <ns0:v>0</ns0:v>
      </ns0:c>
      <ns0:c r="W303" s="0" t="str">
        <ns0:f>IF(C303=0,"",INDEX($AP$11:$AP$60,C303))</ns0:f>
        <ns0:v/>
      </ns0:c>
    </ns0:row>
    <ns0:row r="304">
      <ns0:c r="A304" s="0">
        <ns0:f>IF(COUNTA(Bookings!A304:G304,Bookings!I304)=0,0,1)</ns0:f>
        <ns0:v>0</ns0:v>
      </ns0:c>
      <ns0:c r="B304" s="0" t="str">
        <ns0:f>IFERROR(TRIM(MID(Bookings!A304,FIND(" · ",Bookings!A304)+3,99)),"")</ns0:f>
        <ns0:v/>
      </ns0:c>
      <ns0:c r="C304" s="0">
        <ns0:f>IF(OR(B304="",LEN(B304)&gt;24,ISNUMBER(FIND(" ",B304)),ISNUMBER(FIND("*",B304)),ISNUMBER(FIND("?",B304)),ISNUMBER(FIND("~",B304))),0,IFERROR(MATCH(B304,Team!$A$11:$A$60,0),0))</ns0:f>
        <ns0:v>0</ns0:v>
      </ns0:c>
      <ns0:c r="D304" s="0" t="str">
        <ns0:f>IFERROR(IF(MID(Bookings!F304,LEN(Bookings!F304)-3,3)=" · ",RIGHT(Bookings!F304,1),""),"")</ns0:f>
        <ns0:v/>
      </ns0:c>
      <ns0:c r="E304" s="0" t="str">
        <ns0:f>IFERROR(INDEX(Settings!$H$7:$H$11,MATCH(D304,Settings!$G$7:$G$11,0)),"")</ns0:f>
        <ns0:v/>
      </ns0:c>
      <ns0:c r="F304" s="0" t="str">
        <ns0:f>IF(A304=0,"",IFERROR(IF(OR(B304="",C304=0),"CHECK employee selection",IF(INDEX(Team!$O$11:$O$60,C304)&lt;&gt;"OK","CHECK employee setup",IF(OR('_Dates'!J304=0,'_Dates'!T304=0),"CHECK date: use DD.MM.YYYY",IF('_Dates'!T304&lt;'_Dates'!J304,"CHECK end before start",IF(AND($B$6=0,OR('_Dates'!J304&lt;Settings!$B$7,'_Dates'!T304&gt;Settings!$B$8)),"CHECK split across leave years",IF(OR(NOT(OR('_Dates'!U304="Full day",'_Dates'!U304="AM",'_Dates'!U304="PM")),NOT(OR('_Dates'!V304="Full day",'_Dates'!V304="AM",'_Dates'!V304="PM"))),"CHECK Full day / AM / PM",IF(AND('_Dates'!J304='_Dates'!T304,'_Dates'!U304&lt;&gt;"Full day",'_Dates'!V304&lt;&gt;"Full day",'_Dates'!U304&lt;&gt;'_Dates'!V304),"CHECK same-day portions disagree",IF(AND($B$6=0,OR(AND('_Dates'!U304&lt;&gt;"Full day",'_Dates'!AA304=0),AND('_Dates'!V304&lt;&gt;"Full day",'_Dates'!AB304=0))),"CHECK half-day on non-working date",IF(COUNTIF(Settings!$G$7:$G$11,D304)&lt;&gt;1,"CHECK leave type",IF(AND(Bookings!G304&lt;&gt;"Approved",Bookings!G304&lt;&gt;"Pending",Bookings!G304&lt;&gt;"Cancelled"),"CHECK status","OK")))))))))),"CHECK input"))</ns0:f>
        <ns0:v/>
      </ns0:c>
      <ns0:c r="G304" s="0">
        <ns0:f>IF(OR(F304&lt;&gt;"OK",$B$6&gt;0),0,0.5*(IF(('_Dates'!X304)&lt;('_Dates'!W304),0,INT((('_Dates'!X304)-('_Dates'!W304)+1)/7)*LEN(SUBSTITUTE(W304,"O",""))+LEN(SUBSTITUTE(MID(W304&amp;W304,WEEKDAY(('_Dates'!W304),2),MOD((('_Dates'!X304)-('_Dates'!W304)+1),7)),"O",""))-COUNTIFS(INDEX(AllClosureRows,C304,0),"&gt;="&amp;('_Dates'!W304),INDEX(AllClosureRows,C304,0),"&lt;="&amp;('_Dates'!X304)))+IF(('_Dates'!Z304)&lt;('_Dates'!Y304),0,INT((('_Dates'!Z304)-('_Dates'!Y304)+1)/7)*LEN(SUBSTITUTE(W304,"O",""))+LEN(SUBSTITUTE(MID(W304&amp;W304,WEEKDAY(('_Dates'!Y304),2),MOD((('_Dates'!Z304)-('_Dates'!Y304)+1),7)),"O",""))-COUNTIFS(INDEX(AllClosureRows,C304,0),"&gt;="&amp;('_Dates'!Y304),INDEX(AllClosureRows,C304,0),"&lt;="&amp;('_Dates'!Z304)))))</ns0:f>
        <ns0:v>0</ns0:v>
      </ns0:c>
      <ns0:c r="H304" s="0">
        <ns0:f>IF(OR(F304&lt;&gt;"OK",$B$6&gt;0),0,0.5*(IF((MIN('_Dates'!X304,Settings!$B$9))&lt;('_Dates'!W304),0,INT(((MIN('_Dates'!X304,Settings!$B$9))-('_Dates'!W304)+1)/7)*LEN(SUBSTITUTE(W304,"O",""))+LEN(SUBSTITUTE(MID(W304&amp;W304,WEEKDAY(('_Dates'!W304),2),MOD(((MIN('_Dates'!X304,Settings!$B$9))-('_Dates'!W304)+1),7)),"O",""))-COUNTIFS(INDEX(AllClosureRows,C304,0),"&gt;="&amp;('_Dates'!W304),INDEX(AllClosureRows,C304,0),"&lt;="&amp;(MIN('_Dates'!X304,Settings!$B$9))))+IF((MIN('_Dates'!Z304,Settings!$B$9))&lt;('_Dates'!Y304),0,INT(((MIN('_Dates'!Z304,Settings!$B$9))-('_Dates'!Y304)+1)/7)*LEN(SUBSTITUTE(W304,"O",""))+LEN(SUBSTITUTE(MID(W304&amp;W304,WEEKDAY(('_Dates'!Y304),2),MOD(((MIN('_Dates'!Z304,Settings!$B$9))-('_Dates'!Y304)+1),7)),"O",""))-COUNTIFS(INDEX(AllClosureRows,C304,0),"&gt;="&amp;('_Dates'!Y304),INDEX(AllClosureRows,C304,0),"&lt;="&amp;(MIN('_Dates'!Z304,Settings!$B$9))))))</ns0:f>
        <ns0:v>0</ns0:v>
      </ns0:c>
      <ns0:c r="I304" s="0">
        <ns0:f>MAX(0,G304-H304)</ns0:f>
        <ns0:v>0</ns0:v>
      </ns0:c>
      <ns0:c r="J304" s="0">
        <ns0:f>IF(OR(A304=0,F304&lt;&gt;"OK",Bookings!G304="Cancelled",$B$6&gt;0),0,IF('_Dates'!AC304=1,MAX(0,COUNTIFS(rngEngine_B,B304,rngAMStart,"&lt;="&amp;'_Dates'!X304,rngAMEnd,"&gt;="&amp;'_Dates'!W304,rngAMActive,1,rngEngine_F,"OK",rngBookings_F,"&lt;&gt;Cancelled")-1),0)+IF('_Dates'!AD304=1,MAX(0,COUNTIFS(rngEngine_B,B304,rngPMStart,"&lt;="&amp;'_Dates'!Z304,rngPMEnd,"&gt;="&amp;'_Dates'!Y304,rngPMActive,1,rngEngine_F,"OK",rngBookings_F,"&lt;&gt;Cancelled")-1),0))</ns0:f>
        <ns0:v>0</ns0:v>
      </ns0:c>
      <ns0:c r="K304" s="0" t="str">
        <ns0:f>IF(A304=0,"",IF(F304&lt;&gt;"OK",F304,IF(J304&gt;0,"CHECK overlapping entry",IF(AND($B$6=0,G304&lt;=0,Bookings!G304&lt;&gt;"Cancelled"),"CHECK no working days",IF(Bookings!G304="Cancelled","Cancelled","OK")))))</ns0:f>
        <ns0:v/>
      </ns0:c>
      <ns0:c r="L304" s="0">
        <ns0:f>IF(LEFT(K304,5)="CHECK",1,0)</ns0:f>
        <ns0:v>0</ns0:v>
      </ns0:c>
      <ns0:c r="M304" s="0">
        <ns0:f>IF(AND(L304=1,OR(C304=0,IFERROR(INDEX($X$11:$X$60,C304),0)=0)),1,0)</ns0:f>
        <ns0:v>0</ns0:v>
      </ns0:c>
      <ns0:c r="N304" s="0">
        <ns0:f>IF(OR(A304=0,L304&gt;0,$B$6&gt;0,Bookings!G304="Cancelled"),0,G304)</ns0:f>
        <ns0:v>0</ns0:v>
      </ns0:c>
      <ns0:c r="O304" s="0">
        <ns0:f>IF(AND(Bookings!G304="Approved",E304="Yes"),N304,0)</ns0:f>
        <ns0:v>0</ns0:v>
      </ns0:c>
      <ns0:c r="P304" s="0">
        <ns0:f>IF(AND(Bookings!G304="Approved",E304="Yes",L304=0,$B$6=0),H304,0)</ns0:f>
        <ns0:v>0</ns0:v>
      </ns0:c>
      <ns0:c r="Q304" s="0">
        <ns0:f>IF(AND(Bookings!G304="Approved",E304="Yes",L304=0,$B$6=0),I304,0)</ns0:f>
        <ns0:v>0</ns0:v>
      </ns0:c>
      <ns0:c r="R304" s="0">
        <ns0:f>IF(AND(Bookings!G304="Pending",E304="Yes"),N304,0)</ns0:f>
        <ns0:v>0</ns0:v>
      </ns0:c>
      <ns0:c r="S304" s="0">
        <ns0:f>IF(AND(Bookings!G304="Approved",E304="No"),N304,0)</ns0:f>
        <ns0:v>0</ns0:v>
      </ns0:c>
      <ns0:c r="T304" s="0">
        <ns0:f>IFERROR(MATCH(D304,Settings!$G$7:$G$11,0),0)</ns0:f>
        <ns0:v>0</ns0:v>
      </ns0:c>
      <ns0:c r="U304" s="0">
        <ns0:f>IF(N304&gt;0,T304+IF(Bookings!G304="Pending",10,0),0)</ns0:f>
        <ns0:v>0</ns0:v>
      </ns0:c>
      <ns0:c r="V304" s="0">
        <ns0:f>U304</ns0:f>
        <ns0:v>0</ns0:v>
      </ns0:c>
      <ns0:c r="W304" s="0" t="str">
        <ns0:f>IF(C304=0,"",INDEX($AP$11:$AP$60,C304))</ns0:f>
        <ns0:v/>
      </ns0:c>
    </ns0:row>
    <ns0:row r="305">
      <ns0:c r="A305" s="0">
        <ns0:f>IF(COUNTA(Bookings!A305:G305,Bookings!I305)=0,0,1)</ns0:f>
        <ns0:v>0</ns0:v>
      </ns0:c>
      <ns0:c r="B305" s="0" t="str">
        <ns0:f>IFERROR(TRIM(MID(Bookings!A305,FIND(" · ",Bookings!A305)+3,99)),"")</ns0:f>
        <ns0:v/>
      </ns0:c>
      <ns0:c r="C305" s="0">
        <ns0:f>IF(OR(B305="",LEN(B305)&gt;24,ISNUMBER(FIND(" ",B305)),ISNUMBER(FIND("*",B305)),ISNUMBER(FIND("?",B305)),ISNUMBER(FIND("~",B305))),0,IFERROR(MATCH(B305,Team!$A$11:$A$60,0),0))</ns0:f>
        <ns0:v>0</ns0:v>
      </ns0:c>
      <ns0:c r="D305" s="0" t="str">
        <ns0:f>IFERROR(IF(MID(Bookings!F305,LEN(Bookings!F305)-3,3)=" · ",RIGHT(Bookings!F305,1),""),"")</ns0:f>
        <ns0:v/>
      </ns0:c>
      <ns0:c r="E305" s="0" t="str">
        <ns0:f>IFERROR(INDEX(Settings!$H$7:$H$11,MATCH(D305,Settings!$G$7:$G$11,0)),"")</ns0:f>
        <ns0:v/>
      </ns0:c>
      <ns0:c r="F305" s="0" t="str">
        <ns0:f>IF(A305=0,"",IFERROR(IF(OR(B305="",C305=0),"CHECK employee selection",IF(INDEX(Team!$O$11:$O$60,C305)&lt;&gt;"OK","CHECK employee setup",IF(OR('_Dates'!J305=0,'_Dates'!T305=0),"CHECK date: use DD.MM.YYYY",IF('_Dates'!T305&lt;'_Dates'!J305,"CHECK end before start",IF(AND($B$6=0,OR('_Dates'!J305&lt;Settings!$B$7,'_Dates'!T305&gt;Settings!$B$8)),"CHECK split across leave years",IF(OR(NOT(OR('_Dates'!U305="Full day",'_Dates'!U305="AM",'_Dates'!U305="PM")),NOT(OR('_Dates'!V305="Full day",'_Dates'!V305="AM",'_Dates'!V305="PM"))),"CHECK Full day / AM / PM",IF(AND('_Dates'!J305='_Dates'!T305,'_Dates'!U305&lt;&gt;"Full day",'_Dates'!V305&lt;&gt;"Full day",'_Dates'!U305&lt;&gt;'_Dates'!V305),"CHECK same-day portions disagree",IF(AND($B$6=0,OR(AND('_Dates'!U305&lt;&gt;"Full day",'_Dates'!AA305=0),AND('_Dates'!V305&lt;&gt;"Full day",'_Dates'!AB305=0))),"CHECK half-day on non-working date",IF(COUNTIF(Settings!$G$7:$G$11,D305)&lt;&gt;1,"CHECK leave type",IF(AND(Bookings!G305&lt;&gt;"Approved",Bookings!G305&lt;&gt;"Pending",Bookings!G305&lt;&gt;"Cancelled"),"CHECK status","OK")))))))))),"CHECK input"))</ns0:f>
        <ns0:v/>
      </ns0:c>
      <ns0:c r="G305" s="0">
        <ns0:f>IF(OR(F305&lt;&gt;"OK",$B$6&gt;0),0,0.5*(IF(('_Dates'!X305)&lt;('_Dates'!W305),0,INT((('_Dates'!X305)-('_Dates'!W305)+1)/7)*LEN(SUBSTITUTE(W305,"O",""))+LEN(SUBSTITUTE(MID(W305&amp;W305,WEEKDAY(('_Dates'!W305),2),MOD((('_Dates'!X305)-('_Dates'!W305)+1),7)),"O",""))-COUNTIFS(INDEX(AllClosureRows,C305,0),"&gt;="&amp;('_Dates'!W305),INDEX(AllClosureRows,C305,0),"&lt;="&amp;('_Dates'!X305)))+IF(('_Dates'!Z305)&lt;('_Dates'!Y305),0,INT((('_Dates'!Z305)-('_Dates'!Y305)+1)/7)*LEN(SUBSTITUTE(W305,"O",""))+LEN(SUBSTITUTE(MID(W305&amp;W305,WEEKDAY(('_Dates'!Y305),2),MOD((('_Dates'!Z305)-('_Dates'!Y305)+1),7)),"O",""))-COUNTIFS(INDEX(AllClosureRows,C305,0),"&gt;="&amp;('_Dates'!Y305),INDEX(AllClosureRows,C305,0),"&lt;="&amp;('_Dates'!Z305)))))</ns0:f>
        <ns0:v>0</ns0:v>
      </ns0:c>
      <ns0:c r="H305" s="0">
        <ns0:f>IF(OR(F305&lt;&gt;"OK",$B$6&gt;0),0,0.5*(IF((MIN('_Dates'!X305,Settings!$B$9))&lt;('_Dates'!W305),0,INT(((MIN('_Dates'!X305,Settings!$B$9))-('_Dates'!W305)+1)/7)*LEN(SUBSTITUTE(W305,"O",""))+LEN(SUBSTITUTE(MID(W305&amp;W305,WEEKDAY(('_Dates'!W305),2),MOD(((MIN('_Dates'!X305,Settings!$B$9))-('_Dates'!W305)+1),7)),"O",""))-COUNTIFS(INDEX(AllClosureRows,C305,0),"&gt;="&amp;('_Dates'!W305),INDEX(AllClosureRows,C305,0),"&lt;="&amp;(MIN('_Dates'!X305,Settings!$B$9))))+IF((MIN('_Dates'!Z305,Settings!$B$9))&lt;('_Dates'!Y305),0,INT(((MIN('_Dates'!Z305,Settings!$B$9))-('_Dates'!Y305)+1)/7)*LEN(SUBSTITUTE(W305,"O",""))+LEN(SUBSTITUTE(MID(W305&amp;W305,WEEKDAY(('_Dates'!Y305),2),MOD(((MIN('_Dates'!Z305,Settings!$B$9))-('_Dates'!Y305)+1),7)),"O",""))-COUNTIFS(INDEX(AllClosureRows,C305,0),"&gt;="&amp;('_Dates'!Y305),INDEX(AllClosureRows,C305,0),"&lt;="&amp;(MIN('_Dates'!Z305,Settings!$B$9))))))</ns0:f>
        <ns0:v>0</ns0:v>
      </ns0:c>
      <ns0:c r="I305" s="0">
        <ns0:f>MAX(0,G305-H305)</ns0:f>
        <ns0:v>0</ns0:v>
      </ns0:c>
      <ns0:c r="J305" s="0">
        <ns0:f>IF(OR(A305=0,F305&lt;&gt;"OK",Bookings!G305="Cancelled",$B$6&gt;0),0,IF('_Dates'!AC305=1,MAX(0,COUNTIFS(rngEngine_B,B305,rngAMStart,"&lt;="&amp;'_Dates'!X305,rngAMEnd,"&gt;="&amp;'_Dates'!W305,rngAMActive,1,rngEngine_F,"OK",rngBookings_F,"&lt;&gt;Cancelled")-1),0)+IF('_Dates'!AD305=1,MAX(0,COUNTIFS(rngEngine_B,B305,rngPMStart,"&lt;="&amp;'_Dates'!Z305,rngPMEnd,"&gt;="&amp;'_Dates'!Y305,rngPMActive,1,rngEngine_F,"OK",rngBookings_F,"&lt;&gt;Cancelled")-1),0))</ns0:f>
        <ns0:v>0</ns0:v>
      </ns0:c>
      <ns0:c r="K305" s="0" t="str">
        <ns0:f>IF(A305=0,"",IF(F305&lt;&gt;"OK",F305,IF(J305&gt;0,"CHECK overlapping entry",IF(AND($B$6=0,G305&lt;=0,Bookings!G305&lt;&gt;"Cancelled"),"CHECK no working days",IF(Bookings!G305="Cancelled","Cancelled","OK")))))</ns0:f>
        <ns0:v/>
      </ns0:c>
      <ns0:c r="L305" s="0">
        <ns0:f>IF(LEFT(K305,5)="CHECK",1,0)</ns0:f>
        <ns0:v>0</ns0:v>
      </ns0:c>
      <ns0:c r="M305" s="0">
        <ns0:f>IF(AND(L305=1,OR(C305=0,IFERROR(INDEX($X$11:$X$60,C305),0)=0)),1,0)</ns0:f>
        <ns0:v>0</ns0:v>
      </ns0:c>
      <ns0:c r="N305" s="0">
        <ns0:f>IF(OR(A305=0,L305&gt;0,$B$6&gt;0,Bookings!G305="Cancelled"),0,G305)</ns0:f>
        <ns0:v>0</ns0:v>
      </ns0:c>
      <ns0:c r="O305" s="0">
        <ns0:f>IF(AND(Bookings!G305="Approved",E305="Yes"),N305,0)</ns0:f>
        <ns0:v>0</ns0:v>
      </ns0:c>
      <ns0:c r="P305" s="0">
        <ns0:f>IF(AND(Bookings!G305="Approved",E305="Yes",L305=0,$B$6=0),H305,0)</ns0:f>
        <ns0:v>0</ns0:v>
      </ns0:c>
      <ns0:c r="Q305" s="0">
        <ns0:f>IF(AND(Bookings!G305="Approved",E305="Yes",L305=0,$B$6=0),I305,0)</ns0:f>
        <ns0:v>0</ns0:v>
      </ns0:c>
      <ns0:c r="R305" s="0">
        <ns0:f>IF(AND(Bookings!G305="Pending",E305="Yes"),N305,0)</ns0:f>
        <ns0:v>0</ns0:v>
      </ns0:c>
      <ns0:c r="S305" s="0">
        <ns0:f>IF(AND(Bookings!G305="Approved",E305="No"),N305,0)</ns0:f>
        <ns0:v>0</ns0:v>
      </ns0:c>
      <ns0:c r="T305" s="0">
        <ns0:f>IFERROR(MATCH(D305,Settings!$G$7:$G$11,0),0)</ns0:f>
        <ns0:v>0</ns0:v>
      </ns0:c>
      <ns0:c r="U305" s="0">
        <ns0:f>IF(N305&gt;0,T305+IF(Bookings!G305="Pending",10,0),0)</ns0:f>
        <ns0:v>0</ns0:v>
      </ns0:c>
      <ns0:c r="V305" s="0">
        <ns0:f>U305</ns0:f>
        <ns0:v>0</ns0:v>
      </ns0:c>
      <ns0:c r="W305" s="0" t="str">
        <ns0:f>IF(C305=0,"",INDEX($AP$11:$AP$60,C305))</ns0:f>
        <ns0:v/>
      </ns0:c>
    </ns0:row>
    <ns0:row r="306">
      <ns0:c r="A306" s="0">
        <ns0:f>IF(COUNTA(Bookings!A306:G306,Bookings!I306)=0,0,1)</ns0:f>
        <ns0:v>0</ns0:v>
      </ns0:c>
      <ns0:c r="B306" s="0" t="str">
        <ns0:f>IFERROR(TRIM(MID(Bookings!A306,FIND(" · ",Bookings!A306)+3,99)),"")</ns0:f>
        <ns0:v/>
      </ns0:c>
      <ns0:c r="C306" s="0">
        <ns0:f>IF(OR(B306="",LEN(B306)&gt;24,ISNUMBER(FIND(" ",B306)),ISNUMBER(FIND("*",B306)),ISNUMBER(FIND("?",B306)),ISNUMBER(FIND("~",B306))),0,IFERROR(MATCH(B306,Team!$A$11:$A$60,0),0))</ns0:f>
        <ns0:v>0</ns0:v>
      </ns0:c>
      <ns0:c r="D306" s="0" t="str">
        <ns0:f>IFERROR(IF(MID(Bookings!F306,LEN(Bookings!F306)-3,3)=" · ",RIGHT(Bookings!F306,1),""),"")</ns0:f>
        <ns0:v/>
      </ns0:c>
      <ns0:c r="E306" s="0" t="str">
        <ns0:f>IFERROR(INDEX(Settings!$H$7:$H$11,MATCH(D306,Settings!$G$7:$G$11,0)),"")</ns0:f>
        <ns0:v/>
      </ns0:c>
      <ns0:c r="F306" s="0" t="str">
        <ns0:f>IF(A306=0,"",IFERROR(IF(OR(B306="",C306=0),"CHECK employee selection",IF(INDEX(Team!$O$11:$O$60,C306)&lt;&gt;"OK","CHECK employee setup",IF(OR('_Dates'!J306=0,'_Dates'!T306=0),"CHECK date: use DD.MM.YYYY",IF('_Dates'!T306&lt;'_Dates'!J306,"CHECK end before start",IF(AND($B$6=0,OR('_Dates'!J306&lt;Settings!$B$7,'_Dates'!T306&gt;Settings!$B$8)),"CHECK split across leave years",IF(OR(NOT(OR('_Dates'!U306="Full day",'_Dates'!U306="AM",'_Dates'!U306="PM")),NOT(OR('_Dates'!V306="Full day",'_Dates'!V306="AM",'_Dates'!V306="PM"))),"CHECK Full day / AM / PM",IF(AND('_Dates'!J306='_Dates'!T306,'_Dates'!U306&lt;&gt;"Full day",'_Dates'!V306&lt;&gt;"Full day",'_Dates'!U306&lt;&gt;'_Dates'!V306),"CHECK same-day portions disagree",IF(AND($B$6=0,OR(AND('_Dates'!U306&lt;&gt;"Full day",'_Dates'!AA306=0),AND('_Dates'!V306&lt;&gt;"Full day",'_Dates'!AB306=0))),"CHECK half-day on non-working date",IF(COUNTIF(Settings!$G$7:$G$11,D306)&lt;&gt;1,"CHECK leave type",IF(AND(Bookings!G306&lt;&gt;"Approved",Bookings!G306&lt;&gt;"Pending",Bookings!G306&lt;&gt;"Cancelled"),"CHECK status","OK")))))))))),"CHECK input"))</ns0:f>
        <ns0:v/>
      </ns0:c>
      <ns0:c r="G306" s="0">
        <ns0:f>IF(OR(F306&lt;&gt;"OK",$B$6&gt;0),0,0.5*(IF(('_Dates'!X306)&lt;('_Dates'!W306),0,INT((('_Dates'!X306)-('_Dates'!W306)+1)/7)*LEN(SUBSTITUTE(W306,"O",""))+LEN(SUBSTITUTE(MID(W306&amp;W306,WEEKDAY(('_Dates'!W306),2),MOD((('_Dates'!X306)-('_Dates'!W306)+1),7)),"O",""))-COUNTIFS(INDEX(AllClosureRows,C306,0),"&gt;="&amp;('_Dates'!W306),INDEX(AllClosureRows,C306,0),"&lt;="&amp;('_Dates'!X306)))+IF(('_Dates'!Z306)&lt;('_Dates'!Y306),0,INT((('_Dates'!Z306)-('_Dates'!Y306)+1)/7)*LEN(SUBSTITUTE(W306,"O",""))+LEN(SUBSTITUTE(MID(W306&amp;W306,WEEKDAY(('_Dates'!Y306),2),MOD((('_Dates'!Z306)-('_Dates'!Y306)+1),7)),"O",""))-COUNTIFS(INDEX(AllClosureRows,C306,0),"&gt;="&amp;('_Dates'!Y306),INDEX(AllClosureRows,C306,0),"&lt;="&amp;('_Dates'!Z306)))))</ns0:f>
        <ns0:v>0</ns0:v>
      </ns0:c>
      <ns0:c r="H306" s="0">
        <ns0:f>IF(OR(F306&lt;&gt;"OK",$B$6&gt;0),0,0.5*(IF((MIN('_Dates'!X306,Settings!$B$9))&lt;('_Dates'!W306),0,INT(((MIN('_Dates'!X306,Settings!$B$9))-('_Dates'!W306)+1)/7)*LEN(SUBSTITUTE(W306,"O",""))+LEN(SUBSTITUTE(MID(W306&amp;W306,WEEKDAY(('_Dates'!W306),2),MOD(((MIN('_Dates'!X306,Settings!$B$9))-('_Dates'!W306)+1),7)),"O",""))-COUNTIFS(INDEX(AllClosureRows,C306,0),"&gt;="&amp;('_Dates'!W306),INDEX(AllClosureRows,C306,0),"&lt;="&amp;(MIN('_Dates'!X306,Settings!$B$9))))+IF((MIN('_Dates'!Z306,Settings!$B$9))&lt;('_Dates'!Y306),0,INT(((MIN('_Dates'!Z306,Settings!$B$9))-('_Dates'!Y306)+1)/7)*LEN(SUBSTITUTE(W306,"O",""))+LEN(SUBSTITUTE(MID(W306&amp;W306,WEEKDAY(('_Dates'!Y306),2),MOD(((MIN('_Dates'!Z306,Settings!$B$9))-('_Dates'!Y306)+1),7)),"O",""))-COUNTIFS(INDEX(AllClosureRows,C306,0),"&gt;="&amp;('_Dates'!Y306),INDEX(AllClosureRows,C306,0),"&lt;="&amp;(MIN('_Dates'!Z306,Settings!$B$9))))))</ns0:f>
        <ns0:v>0</ns0:v>
      </ns0:c>
      <ns0:c r="I306" s="0">
        <ns0:f>MAX(0,G306-H306)</ns0:f>
        <ns0:v>0</ns0:v>
      </ns0:c>
      <ns0:c r="J306" s="0">
        <ns0:f>IF(OR(A306=0,F306&lt;&gt;"OK",Bookings!G306="Cancelled",$B$6&gt;0),0,IF('_Dates'!AC306=1,MAX(0,COUNTIFS(rngEngine_B,B306,rngAMStart,"&lt;="&amp;'_Dates'!X306,rngAMEnd,"&gt;="&amp;'_Dates'!W306,rngAMActive,1,rngEngine_F,"OK",rngBookings_F,"&lt;&gt;Cancelled")-1),0)+IF('_Dates'!AD306=1,MAX(0,COUNTIFS(rngEngine_B,B306,rngPMStart,"&lt;="&amp;'_Dates'!Z306,rngPMEnd,"&gt;="&amp;'_Dates'!Y306,rngPMActive,1,rngEngine_F,"OK",rngBookings_F,"&lt;&gt;Cancelled")-1),0))</ns0:f>
        <ns0:v>0</ns0:v>
      </ns0:c>
      <ns0:c r="K306" s="0" t="str">
        <ns0:f>IF(A306=0,"",IF(F306&lt;&gt;"OK",F306,IF(J306&gt;0,"CHECK overlapping entry",IF(AND($B$6=0,G306&lt;=0,Bookings!G306&lt;&gt;"Cancelled"),"CHECK no working days",IF(Bookings!G306="Cancelled","Cancelled","OK")))))</ns0:f>
        <ns0:v/>
      </ns0:c>
      <ns0:c r="L306" s="0">
        <ns0:f>IF(LEFT(K306,5)="CHECK",1,0)</ns0:f>
        <ns0:v>0</ns0:v>
      </ns0:c>
      <ns0:c r="M306" s="0">
        <ns0:f>IF(AND(L306=1,OR(C306=0,IFERROR(INDEX($X$11:$X$60,C306),0)=0)),1,0)</ns0:f>
        <ns0:v>0</ns0:v>
      </ns0:c>
      <ns0:c r="N306" s="0">
        <ns0:f>IF(OR(A306=0,L306&gt;0,$B$6&gt;0,Bookings!G306="Cancelled"),0,G306)</ns0:f>
        <ns0:v>0</ns0:v>
      </ns0:c>
      <ns0:c r="O306" s="0">
        <ns0:f>IF(AND(Bookings!G306="Approved",E306="Yes"),N306,0)</ns0:f>
        <ns0:v>0</ns0:v>
      </ns0:c>
      <ns0:c r="P306" s="0">
        <ns0:f>IF(AND(Bookings!G306="Approved",E306="Yes",L306=0,$B$6=0),H306,0)</ns0:f>
        <ns0:v>0</ns0:v>
      </ns0:c>
      <ns0:c r="Q306" s="0">
        <ns0:f>IF(AND(Bookings!G306="Approved",E306="Yes",L306=0,$B$6=0),I306,0)</ns0:f>
        <ns0:v>0</ns0:v>
      </ns0:c>
      <ns0:c r="R306" s="0">
        <ns0:f>IF(AND(Bookings!G306="Pending",E306="Yes"),N306,0)</ns0:f>
        <ns0:v>0</ns0:v>
      </ns0:c>
      <ns0:c r="S306" s="0">
        <ns0:f>IF(AND(Bookings!G306="Approved",E306="No"),N306,0)</ns0:f>
        <ns0:v>0</ns0:v>
      </ns0:c>
      <ns0:c r="T306" s="0">
        <ns0:f>IFERROR(MATCH(D306,Settings!$G$7:$G$11,0),0)</ns0:f>
        <ns0:v>0</ns0:v>
      </ns0:c>
      <ns0:c r="U306" s="0">
        <ns0:f>IF(N306&gt;0,T306+IF(Bookings!G306="Pending",10,0),0)</ns0:f>
        <ns0:v>0</ns0:v>
      </ns0:c>
      <ns0:c r="V306" s="0">
        <ns0:f>U306</ns0:f>
        <ns0:v>0</ns0:v>
      </ns0:c>
      <ns0:c r="W306" s="0" t="str">
        <ns0:f>IF(C306=0,"",INDEX($AP$11:$AP$60,C306))</ns0:f>
        <ns0:v/>
      </ns0:c>
    </ns0:row>
    <ns0:row r="307">
      <ns0:c r="A307" s="0">
        <ns0:f>IF(COUNTA(Bookings!A307:G307,Bookings!I307)=0,0,1)</ns0:f>
        <ns0:v>0</ns0:v>
      </ns0:c>
      <ns0:c r="B307" s="0" t="str">
        <ns0:f>IFERROR(TRIM(MID(Bookings!A307,FIND(" · ",Bookings!A307)+3,99)),"")</ns0:f>
        <ns0:v/>
      </ns0:c>
      <ns0:c r="C307" s="0">
        <ns0:f>IF(OR(B307="",LEN(B307)&gt;24,ISNUMBER(FIND(" ",B307)),ISNUMBER(FIND("*",B307)),ISNUMBER(FIND("?",B307)),ISNUMBER(FIND("~",B307))),0,IFERROR(MATCH(B307,Team!$A$11:$A$60,0),0))</ns0:f>
        <ns0:v>0</ns0:v>
      </ns0:c>
      <ns0:c r="D307" s="0" t="str">
        <ns0:f>IFERROR(IF(MID(Bookings!F307,LEN(Bookings!F307)-3,3)=" · ",RIGHT(Bookings!F307,1),""),"")</ns0:f>
        <ns0:v/>
      </ns0:c>
      <ns0:c r="E307" s="0" t="str">
        <ns0:f>IFERROR(INDEX(Settings!$H$7:$H$11,MATCH(D307,Settings!$G$7:$G$11,0)),"")</ns0:f>
        <ns0:v/>
      </ns0:c>
      <ns0:c r="F307" s="0" t="str">
        <ns0:f>IF(A307=0,"",IFERROR(IF(OR(B307="",C307=0),"CHECK employee selection",IF(INDEX(Team!$O$11:$O$60,C307)&lt;&gt;"OK","CHECK employee setup",IF(OR('_Dates'!J307=0,'_Dates'!T307=0),"CHECK date: use DD.MM.YYYY",IF('_Dates'!T307&lt;'_Dates'!J307,"CHECK end before start",IF(AND($B$6=0,OR('_Dates'!J307&lt;Settings!$B$7,'_Dates'!T307&gt;Settings!$B$8)),"CHECK split across leave years",IF(OR(NOT(OR('_Dates'!U307="Full day",'_Dates'!U307="AM",'_Dates'!U307="PM")),NOT(OR('_Dates'!V307="Full day",'_Dates'!V307="AM",'_Dates'!V307="PM"))),"CHECK Full day / AM / PM",IF(AND('_Dates'!J307='_Dates'!T307,'_Dates'!U307&lt;&gt;"Full day",'_Dates'!V307&lt;&gt;"Full day",'_Dates'!U307&lt;&gt;'_Dates'!V307),"CHECK same-day portions disagree",IF(AND($B$6=0,OR(AND('_Dates'!U307&lt;&gt;"Full day",'_Dates'!AA307=0),AND('_Dates'!V307&lt;&gt;"Full day",'_Dates'!AB307=0))),"CHECK half-day on non-working date",IF(COUNTIF(Settings!$G$7:$G$11,D307)&lt;&gt;1,"CHECK leave type",IF(AND(Bookings!G307&lt;&gt;"Approved",Bookings!G307&lt;&gt;"Pending",Bookings!G307&lt;&gt;"Cancelled"),"CHECK status","OK")))))))))),"CHECK input"))</ns0:f>
        <ns0:v/>
      </ns0:c>
      <ns0:c r="G307" s="0">
        <ns0:f>IF(OR(F307&lt;&gt;"OK",$B$6&gt;0),0,0.5*(IF(('_Dates'!X307)&lt;('_Dates'!W307),0,INT((('_Dates'!X307)-('_Dates'!W307)+1)/7)*LEN(SUBSTITUTE(W307,"O",""))+LEN(SUBSTITUTE(MID(W307&amp;W307,WEEKDAY(('_Dates'!W307),2),MOD((('_Dates'!X307)-('_Dates'!W307)+1),7)),"O",""))-COUNTIFS(INDEX(AllClosureRows,C307,0),"&gt;="&amp;('_Dates'!W307),INDEX(AllClosureRows,C307,0),"&lt;="&amp;('_Dates'!X307)))+IF(('_Dates'!Z307)&lt;('_Dates'!Y307),0,INT((('_Dates'!Z307)-('_Dates'!Y307)+1)/7)*LEN(SUBSTITUTE(W307,"O",""))+LEN(SUBSTITUTE(MID(W307&amp;W307,WEEKDAY(('_Dates'!Y307),2),MOD((('_Dates'!Z307)-('_Dates'!Y307)+1),7)),"O",""))-COUNTIFS(INDEX(AllClosureRows,C307,0),"&gt;="&amp;('_Dates'!Y307),INDEX(AllClosureRows,C307,0),"&lt;="&amp;('_Dates'!Z307)))))</ns0:f>
        <ns0:v>0</ns0:v>
      </ns0:c>
      <ns0:c r="H307" s="0">
        <ns0:f>IF(OR(F307&lt;&gt;"OK",$B$6&gt;0),0,0.5*(IF((MIN('_Dates'!X307,Settings!$B$9))&lt;('_Dates'!W307),0,INT(((MIN('_Dates'!X307,Settings!$B$9))-('_Dates'!W307)+1)/7)*LEN(SUBSTITUTE(W307,"O",""))+LEN(SUBSTITUTE(MID(W307&amp;W307,WEEKDAY(('_Dates'!W307),2),MOD(((MIN('_Dates'!X307,Settings!$B$9))-('_Dates'!W307)+1),7)),"O",""))-COUNTIFS(INDEX(AllClosureRows,C307,0),"&gt;="&amp;('_Dates'!W307),INDEX(AllClosureRows,C307,0),"&lt;="&amp;(MIN('_Dates'!X307,Settings!$B$9))))+IF((MIN('_Dates'!Z307,Settings!$B$9))&lt;('_Dates'!Y307),0,INT(((MIN('_Dates'!Z307,Settings!$B$9))-('_Dates'!Y307)+1)/7)*LEN(SUBSTITUTE(W307,"O",""))+LEN(SUBSTITUTE(MID(W307&amp;W307,WEEKDAY(('_Dates'!Y307),2),MOD(((MIN('_Dates'!Z307,Settings!$B$9))-('_Dates'!Y307)+1),7)),"O",""))-COUNTIFS(INDEX(AllClosureRows,C307,0),"&gt;="&amp;('_Dates'!Y307),INDEX(AllClosureRows,C307,0),"&lt;="&amp;(MIN('_Dates'!Z307,Settings!$B$9))))))</ns0:f>
        <ns0:v>0</ns0:v>
      </ns0:c>
      <ns0:c r="I307" s="0">
        <ns0:f>MAX(0,G307-H307)</ns0:f>
        <ns0:v>0</ns0:v>
      </ns0:c>
      <ns0:c r="J307" s="0">
        <ns0:f>IF(OR(A307=0,F307&lt;&gt;"OK",Bookings!G307="Cancelled",$B$6&gt;0),0,IF('_Dates'!AC307=1,MAX(0,COUNTIFS(rngEngine_B,B307,rngAMStart,"&lt;="&amp;'_Dates'!X307,rngAMEnd,"&gt;="&amp;'_Dates'!W307,rngAMActive,1,rngEngine_F,"OK",rngBookings_F,"&lt;&gt;Cancelled")-1),0)+IF('_Dates'!AD307=1,MAX(0,COUNTIFS(rngEngine_B,B307,rngPMStart,"&lt;="&amp;'_Dates'!Z307,rngPMEnd,"&gt;="&amp;'_Dates'!Y307,rngPMActive,1,rngEngine_F,"OK",rngBookings_F,"&lt;&gt;Cancelled")-1),0))</ns0:f>
        <ns0:v>0</ns0:v>
      </ns0:c>
      <ns0:c r="K307" s="0" t="str">
        <ns0:f>IF(A307=0,"",IF(F307&lt;&gt;"OK",F307,IF(J307&gt;0,"CHECK overlapping entry",IF(AND($B$6=0,G307&lt;=0,Bookings!G307&lt;&gt;"Cancelled"),"CHECK no working days",IF(Bookings!G307="Cancelled","Cancelled","OK")))))</ns0:f>
        <ns0:v/>
      </ns0:c>
      <ns0:c r="L307" s="0">
        <ns0:f>IF(LEFT(K307,5)="CHECK",1,0)</ns0:f>
        <ns0:v>0</ns0:v>
      </ns0:c>
      <ns0:c r="M307" s="0">
        <ns0:f>IF(AND(L307=1,OR(C307=0,IFERROR(INDEX($X$11:$X$60,C307),0)=0)),1,0)</ns0:f>
        <ns0:v>0</ns0:v>
      </ns0:c>
      <ns0:c r="N307" s="0">
        <ns0:f>IF(OR(A307=0,L307&gt;0,$B$6&gt;0,Bookings!G307="Cancelled"),0,G307)</ns0:f>
        <ns0:v>0</ns0:v>
      </ns0:c>
      <ns0:c r="O307" s="0">
        <ns0:f>IF(AND(Bookings!G307="Approved",E307="Yes"),N307,0)</ns0:f>
        <ns0:v>0</ns0:v>
      </ns0:c>
      <ns0:c r="P307" s="0">
        <ns0:f>IF(AND(Bookings!G307="Approved",E307="Yes",L307=0,$B$6=0),H307,0)</ns0:f>
        <ns0:v>0</ns0:v>
      </ns0:c>
      <ns0:c r="Q307" s="0">
        <ns0:f>IF(AND(Bookings!G307="Approved",E307="Yes",L307=0,$B$6=0),I307,0)</ns0:f>
        <ns0:v>0</ns0:v>
      </ns0:c>
      <ns0:c r="R307" s="0">
        <ns0:f>IF(AND(Bookings!G307="Pending",E307="Yes"),N307,0)</ns0:f>
        <ns0:v>0</ns0:v>
      </ns0:c>
      <ns0:c r="S307" s="0">
        <ns0:f>IF(AND(Bookings!G307="Approved",E307="No"),N307,0)</ns0:f>
        <ns0:v>0</ns0:v>
      </ns0:c>
      <ns0:c r="T307" s="0">
        <ns0:f>IFERROR(MATCH(D307,Settings!$G$7:$G$11,0),0)</ns0:f>
        <ns0:v>0</ns0:v>
      </ns0:c>
      <ns0:c r="U307" s="0">
        <ns0:f>IF(N307&gt;0,T307+IF(Bookings!G307="Pending",10,0),0)</ns0:f>
        <ns0:v>0</ns0:v>
      </ns0:c>
      <ns0:c r="V307" s="0">
        <ns0:f>U307</ns0:f>
        <ns0:v>0</ns0:v>
      </ns0:c>
      <ns0:c r="W307" s="0" t="str">
        <ns0:f>IF(C307=0,"",INDEX($AP$11:$AP$60,C307))</ns0:f>
        <ns0:v/>
      </ns0:c>
    </ns0:row>
    <ns0:row r="308">
      <ns0:c r="A308" s="0">
        <ns0:f>IF(COUNTA(Bookings!A308:G308,Bookings!I308)=0,0,1)</ns0:f>
        <ns0:v>0</ns0:v>
      </ns0:c>
      <ns0:c r="B308" s="0" t="str">
        <ns0:f>IFERROR(TRIM(MID(Bookings!A308,FIND(" · ",Bookings!A308)+3,99)),"")</ns0:f>
        <ns0:v/>
      </ns0:c>
      <ns0:c r="C308" s="0">
        <ns0:f>IF(OR(B308="",LEN(B308)&gt;24,ISNUMBER(FIND(" ",B308)),ISNUMBER(FIND("*",B308)),ISNUMBER(FIND("?",B308)),ISNUMBER(FIND("~",B308))),0,IFERROR(MATCH(B308,Team!$A$11:$A$60,0),0))</ns0:f>
        <ns0:v>0</ns0:v>
      </ns0:c>
      <ns0:c r="D308" s="0" t="str">
        <ns0:f>IFERROR(IF(MID(Bookings!F308,LEN(Bookings!F308)-3,3)=" · ",RIGHT(Bookings!F308,1),""),"")</ns0:f>
        <ns0:v/>
      </ns0:c>
      <ns0:c r="E308" s="0" t="str">
        <ns0:f>IFERROR(INDEX(Settings!$H$7:$H$11,MATCH(D308,Settings!$G$7:$G$11,0)),"")</ns0:f>
        <ns0:v/>
      </ns0:c>
      <ns0:c r="F308" s="0" t="str">
        <ns0:f>IF(A308=0,"",IFERROR(IF(OR(B308="",C308=0),"CHECK employee selection",IF(INDEX(Team!$O$11:$O$60,C308)&lt;&gt;"OK","CHECK employee setup",IF(OR('_Dates'!J308=0,'_Dates'!T308=0),"CHECK date: use DD.MM.YYYY",IF('_Dates'!T308&lt;'_Dates'!J308,"CHECK end before start",IF(AND($B$6=0,OR('_Dates'!J308&lt;Settings!$B$7,'_Dates'!T308&gt;Settings!$B$8)),"CHECK split across leave years",IF(OR(NOT(OR('_Dates'!U308="Full day",'_Dates'!U308="AM",'_Dates'!U308="PM")),NOT(OR('_Dates'!V308="Full day",'_Dates'!V308="AM",'_Dates'!V308="PM"))),"CHECK Full day / AM / PM",IF(AND('_Dates'!J308='_Dates'!T308,'_Dates'!U308&lt;&gt;"Full day",'_Dates'!V308&lt;&gt;"Full day",'_Dates'!U308&lt;&gt;'_Dates'!V308),"CHECK same-day portions disagree",IF(AND($B$6=0,OR(AND('_Dates'!U308&lt;&gt;"Full day",'_Dates'!AA308=0),AND('_Dates'!V308&lt;&gt;"Full day",'_Dates'!AB308=0))),"CHECK half-day on non-working date",IF(COUNTIF(Settings!$G$7:$G$11,D308)&lt;&gt;1,"CHECK leave type",IF(AND(Bookings!G308&lt;&gt;"Approved",Bookings!G308&lt;&gt;"Pending",Bookings!G308&lt;&gt;"Cancelled"),"CHECK status","OK")))))))))),"CHECK input"))</ns0:f>
        <ns0:v/>
      </ns0:c>
      <ns0:c r="G308" s="0">
        <ns0:f>IF(OR(F308&lt;&gt;"OK",$B$6&gt;0),0,0.5*(IF(('_Dates'!X308)&lt;('_Dates'!W308),0,INT((('_Dates'!X308)-('_Dates'!W308)+1)/7)*LEN(SUBSTITUTE(W308,"O",""))+LEN(SUBSTITUTE(MID(W308&amp;W308,WEEKDAY(('_Dates'!W308),2),MOD((('_Dates'!X308)-('_Dates'!W308)+1),7)),"O",""))-COUNTIFS(INDEX(AllClosureRows,C308,0),"&gt;="&amp;('_Dates'!W308),INDEX(AllClosureRows,C308,0),"&lt;="&amp;('_Dates'!X308)))+IF(('_Dates'!Z308)&lt;('_Dates'!Y308),0,INT((('_Dates'!Z308)-('_Dates'!Y308)+1)/7)*LEN(SUBSTITUTE(W308,"O",""))+LEN(SUBSTITUTE(MID(W308&amp;W308,WEEKDAY(('_Dates'!Y308),2),MOD((('_Dates'!Z308)-('_Dates'!Y308)+1),7)),"O",""))-COUNTIFS(INDEX(AllClosureRows,C308,0),"&gt;="&amp;('_Dates'!Y308),INDEX(AllClosureRows,C308,0),"&lt;="&amp;('_Dates'!Z308)))))</ns0:f>
        <ns0:v>0</ns0:v>
      </ns0:c>
      <ns0:c r="H308" s="0">
        <ns0:f>IF(OR(F308&lt;&gt;"OK",$B$6&gt;0),0,0.5*(IF((MIN('_Dates'!X308,Settings!$B$9))&lt;('_Dates'!W308),0,INT(((MIN('_Dates'!X308,Settings!$B$9))-('_Dates'!W308)+1)/7)*LEN(SUBSTITUTE(W308,"O",""))+LEN(SUBSTITUTE(MID(W308&amp;W308,WEEKDAY(('_Dates'!W308),2),MOD(((MIN('_Dates'!X308,Settings!$B$9))-('_Dates'!W308)+1),7)),"O",""))-COUNTIFS(INDEX(AllClosureRows,C308,0),"&gt;="&amp;('_Dates'!W308),INDEX(AllClosureRows,C308,0),"&lt;="&amp;(MIN('_Dates'!X308,Settings!$B$9))))+IF((MIN('_Dates'!Z308,Settings!$B$9))&lt;('_Dates'!Y308),0,INT(((MIN('_Dates'!Z308,Settings!$B$9))-('_Dates'!Y308)+1)/7)*LEN(SUBSTITUTE(W308,"O",""))+LEN(SUBSTITUTE(MID(W308&amp;W308,WEEKDAY(('_Dates'!Y308),2),MOD(((MIN('_Dates'!Z308,Settings!$B$9))-('_Dates'!Y308)+1),7)),"O",""))-COUNTIFS(INDEX(AllClosureRows,C308,0),"&gt;="&amp;('_Dates'!Y308),INDEX(AllClosureRows,C308,0),"&lt;="&amp;(MIN('_Dates'!Z308,Settings!$B$9))))))</ns0:f>
        <ns0:v>0</ns0:v>
      </ns0:c>
      <ns0:c r="I308" s="0">
        <ns0:f>MAX(0,G308-H308)</ns0:f>
        <ns0:v>0</ns0:v>
      </ns0:c>
      <ns0:c r="J308" s="0">
        <ns0:f>IF(OR(A308=0,F308&lt;&gt;"OK",Bookings!G308="Cancelled",$B$6&gt;0),0,IF('_Dates'!AC308=1,MAX(0,COUNTIFS(rngEngine_B,B308,rngAMStart,"&lt;="&amp;'_Dates'!X308,rngAMEnd,"&gt;="&amp;'_Dates'!W308,rngAMActive,1,rngEngine_F,"OK",rngBookings_F,"&lt;&gt;Cancelled")-1),0)+IF('_Dates'!AD308=1,MAX(0,COUNTIFS(rngEngine_B,B308,rngPMStart,"&lt;="&amp;'_Dates'!Z308,rngPMEnd,"&gt;="&amp;'_Dates'!Y308,rngPMActive,1,rngEngine_F,"OK",rngBookings_F,"&lt;&gt;Cancelled")-1),0))</ns0:f>
        <ns0:v>0</ns0:v>
      </ns0:c>
      <ns0:c r="K308" s="0" t="str">
        <ns0:f>IF(A308=0,"",IF(F308&lt;&gt;"OK",F308,IF(J308&gt;0,"CHECK overlapping entry",IF(AND($B$6=0,G308&lt;=0,Bookings!G308&lt;&gt;"Cancelled"),"CHECK no working days",IF(Bookings!G308="Cancelled","Cancelled","OK")))))</ns0:f>
        <ns0:v/>
      </ns0:c>
      <ns0:c r="L308" s="0">
        <ns0:f>IF(LEFT(K308,5)="CHECK",1,0)</ns0:f>
        <ns0:v>0</ns0:v>
      </ns0:c>
      <ns0:c r="M308" s="0">
        <ns0:f>IF(AND(L308=1,OR(C308=0,IFERROR(INDEX($X$11:$X$60,C308),0)=0)),1,0)</ns0:f>
        <ns0:v>0</ns0:v>
      </ns0:c>
      <ns0:c r="N308" s="0">
        <ns0:f>IF(OR(A308=0,L308&gt;0,$B$6&gt;0,Bookings!G308="Cancelled"),0,G308)</ns0:f>
        <ns0:v>0</ns0:v>
      </ns0:c>
      <ns0:c r="O308" s="0">
        <ns0:f>IF(AND(Bookings!G308="Approved",E308="Yes"),N308,0)</ns0:f>
        <ns0:v>0</ns0:v>
      </ns0:c>
      <ns0:c r="P308" s="0">
        <ns0:f>IF(AND(Bookings!G308="Approved",E308="Yes",L308=0,$B$6=0),H308,0)</ns0:f>
        <ns0:v>0</ns0:v>
      </ns0:c>
      <ns0:c r="Q308" s="0">
        <ns0:f>IF(AND(Bookings!G308="Approved",E308="Yes",L308=0,$B$6=0),I308,0)</ns0:f>
        <ns0:v>0</ns0:v>
      </ns0:c>
      <ns0:c r="R308" s="0">
        <ns0:f>IF(AND(Bookings!G308="Pending",E308="Yes"),N308,0)</ns0:f>
        <ns0:v>0</ns0:v>
      </ns0:c>
      <ns0:c r="S308" s="0">
        <ns0:f>IF(AND(Bookings!G308="Approved",E308="No"),N308,0)</ns0:f>
        <ns0:v>0</ns0:v>
      </ns0:c>
      <ns0:c r="T308" s="0">
        <ns0:f>IFERROR(MATCH(D308,Settings!$G$7:$G$11,0),0)</ns0:f>
        <ns0:v>0</ns0:v>
      </ns0:c>
      <ns0:c r="U308" s="0">
        <ns0:f>IF(N308&gt;0,T308+IF(Bookings!G308="Pending",10,0),0)</ns0:f>
        <ns0:v>0</ns0:v>
      </ns0:c>
      <ns0:c r="V308" s="0">
        <ns0:f>U308</ns0:f>
        <ns0:v>0</ns0:v>
      </ns0:c>
      <ns0:c r="W308" s="0" t="str">
        <ns0:f>IF(C308=0,"",INDEX($AP$11:$AP$60,C308))</ns0:f>
        <ns0:v/>
      </ns0:c>
    </ns0:row>
    <ns0:row r="309">
      <ns0:c r="A309" s="0">
        <ns0:f>IF(COUNTA(Bookings!A309:G309,Bookings!I309)=0,0,1)</ns0:f>
        <ns0:v>0</ns0:v>
      </ns0:c>
      <ns0:c r="B309" s="0" t="str">
        <ns0:f>IFERROR(TRIM(MID(Bookings!A309,FIND(" · ",Bookings!A309)+3,99)),"")</ns0:f>
        <ns0:v/>
      </ns0:c>
      <ns0:c r="C309" s="0">
        <ns0:f>IF(OR(B309="",LEN(B309)&gt;24,ISNUMBER(FIND(" ",B309)),ISNUMBER(FIND("*",B309)),ISNUMBER(FIND("?",B309)),ISNUMBER(FIND("~",B309))),0,IFERROR(MATCH(B309,Team!$A$11:$A$60,0),0))</ns0:f>
        <ns0:v>0</ns0:v>
      </ns0:c>
      <ns0:c r="D309" s="0" t="str">
        <ns0:f>IFERROR(IF(MID(Bookings!F309,LEN(Bookings!F309)-3,3)=" · ",RIGHT(Bookings!F309,1),""),"")</ns0:f>
        <ns0:v/>
      </ns0:c>
      <ns0:c r="E309" s="0" t="str">
        <ns0:f>IFERROR(INDEX(Settings!$H$7:$H$11,MATCH(D309,Settings!$G$7:$G$11,0)),"")</ns0:f>
        <ns0:v/>
      </ns0:c>
      <ns0:c r="F309" s="0" t="str">
        <ns0:f>IF(A309=0,"",IFERROR(IF(OR(B309="",C309=0),"CHECK employee selection",IF(INDEX(Team!$O$11:$O$60,C309)&lt;&gt;"OK","CHECK employee setup",IF(OR('_Dates'!J309=0,'_Dates'!T309=0),"CHECK date: use DD.MM.YYYY",IF('_Dates'!T309&lt;'_Dates'!J309,"CHECK end before start",IF(AND($B$6=0,OR('_Dates'!J309&lt;Settings!$B$7,'_Dates'!T309&gt;Settings!$B$8)),"CHECK split across leave years",IF(OR(NOT(OR('_Dates'!U309="Full day",'_Dates'!U309="AM",'_Dates'!U309="PM")),NOT(OR('_Dates'!V309="Full day",'_Dates'!V309="AM",'_Dates'!V309="PM"))),"CHECK Full day / AM / PM",IF(AND('_Dates'!J309='_Dates'!T309,'_Dates'!U309&lt;&gt;"Full day",'_Dates'!V309&lt;&gt;"Full day",'_Dates'!U309&lt;&gt;'_Dates'!V309),"CHECK same-day portions disagree",IF(AND($B$6=0,OR(AND('_Dates'!U309&lt;&gt;"Full day",'_Dates'!AA309=0),AND('_Dates'!V309&lt;&gt;"Full day",'_Dates'!AB309=0))),"CHECK half-day on non-working date",IF(COUNTIF(Settings!$G$7:$G$11,D309)&lt;&gt;1,"CHECK leave type",IF(AND(Bookings!G309&lt;&gt;"Approved",Bookings!G309&lt;&gt;"Pending",Bookings!G309&lt;&gt;"Cancelled"),"CHECK status","OK")))))))))),"CHECK input"))</ns0:f>
        <ns0:v/>
      </ns0:c>
      <ns0:c r="G309" s="0">
        <ns0:f>IF(OR(F309&lt;&gt;"OK",$B$6&gt;0),0,0.5*(IF(('_Dates'!X309)&lt;('_Dates'!W309),0,INT((('_Dates'!X309)-('_Dates'!W309)+1)/7)*LEN(SUBSTITUTE(W309,"O",""))+LEN(SUBSTITUTE(MID(W309&amp;W309,WEEKDAY(('_Dates'!W309),2),MOD((('_Dates'!X309)-('_Dates'!W309)+1),7)),"O",""))-COUNTIFS(INDEX(AllClosureRows,C309,0),"&gt;="&amp;('_Dates'!W309),INDEX(AllClosureRows,C309,0),"&lt;="&amp;('_Dates'!X309)))+IF(('_Dates'!Z309)&lt;('_Dates'!Y309),0,INT((('_Dates'!Z309)-('_Dates'!Y309)+1)/7)*LEN(SUBSTITUTE(W309,"O",""))+LEN(SUBSTITUTE(MID(W309&amp;W309,WEEKDAY(('_Dates'!Y309),2),MOD((('_Dates'!Z309)-('_Dates'!Y309)+1),7)),"O",""))-COUNTIFS(INDEX(AllClosureRows,C309,0),"&gt;="&amp;('_Dates'!Y309),INDEX(AllClosureRows,C309,0),"&lt;="&amp;('_Dates'!Z309)))))</ns0:f>
        <ns0:v>0</ns0:v>
      </ns0:c>
      <ns0:c r="H309" s="0">
        <ns0:f>IF(OR(F309&lt;&gt;"OK",$B$6&gt;0),0,0.5*(IF((MIN('_Dates'!X309,Settings!$B$9))&lt;('_Dates'!W309),0,INT(((MIN('_Dates'!X309,Settings!$B$9))-('_Dates'!W309)+1)/7)*LEN(SUBSTITUTE(W309,"O",""))+LEN(SUBSTITUTE(MID(W309&amp;W309,WEEKDAY(('_Dates'!W309),2),MOD(((MIN('_Dates'!X309,Settings!$B$9))-('_Dates'!W309)+1),7)),"O",""))-COUNTIFS(INDEX(AllClosureRows,C309,0),"&gt;="&amp;('_Dates'!W309),INDEX(AllClosureRows,C309,0),"&lt;="&amp;(MIN('_Dates'!X309,Settings!$B$9))))+IF((MIN('_Dates'!Z309,Settings!$B$9))&lt;('_Dates'!Y309),0,INT(((MIN('_Dates'!Z309,Settings!$B$9))-('_Dates'!Y309)+1)/7)*LEN(SUBSTITUTE(W309,"O",""))+LEN(SUBSTITUTE(MID(W309&amp;W309,WEEKDAY(('_Dates'!Y309),2),MOD(((MIN('_Dates'!Z309,Settings!$B$9))-('_Dates'!Y309)+1),7)),"O",""))-COUNTIFS(INDEX(AllClosureRows,C309,0),"&gt;="&amp;('_Dates'!Y309),INDEX(AllClosureRows,C309,0),"&lt;="&amp;(MIN('_Dates'!Z309,Settings!$B$9))))))</ns0:f>
        <ns0:v>0</ns0:v>
      </ns0:c>
      <ns0:c r="I309" s="0">
        <ns0:f>MAX(0,G309-H309)</ns0:f>
        <ns0:v>0</ns0:v>
      </ns0:c>
      <ns0:c r="J309" s="0">
        <ns0:f>IF(OR(A309=0,F309&lt;&gt;"OK",Bookings!G309="Cancelled",$B$6&gt;0),0,IF('_Dates'!AC309=1,MAX(0,COUNTIFS(rngEngine_B,B309,rngAMStart,"&lt;="&amp;'_Dates'!X309,rngAMEnd,"&gt;="&amp;'_Dates'!W309,rngAMActive,1,rngEngine_F,"OK",rngBookings_F,"&lt;&gt;Cancelled")-1),0)+IF('_Dates'!AD309=1,MAX(0,COUNTIFS(rngEngine_B,B309,rngPMStart,"&lt;="&amp;'_Dates'!Z309,rngPMEnd,"&gt;="&amp;'_Dates'!Y309,rngPMActive,1,rngEngine_F,"OK",rngBookings_F,"&lt;&gt;Cancelled")-1),0))</ns0:f>
        <ns0:v>0</ns0:v>
      </ns0:c>
      <ns0:c r="K309" s="0" t="str">
        <ns0:f>IF(A309=0,"",IF(F309&lt;&gt;"OK",F309,IF(J309&gt;0,"CHECK overlapping entry",IF(AND($B$6=0,G309&lt;=0,Bookings!G309&lt;&gt;"Cancelled"),"CHECK no working days",IF(Bookings!G309="Cancelled","Cancelled","OK")))))</ns0:f>
        <ns0:v/>
      </ns0:c>
      <ns0:c r="L309" s="0">
        <ns0:f>IF(LEFT(K309,5)="CHECK",1,0)</ns0:f>
        <ns0:v>0</ns0:v>
      </ns0:c>
      <ns0:c r="M309" s="0">
        <ns0:f>IF(AND(L309=1,OR(C309=0,IFERROR(INDEX($X$11:$X$60,C309),0)=0)),1,0)</ns0:f>
        <ns0:v>0</ns0:v>
      </ns0:c>
      <ns0:c r="N309" s="0">
        <ns0:f>IF(OR(A309=0,L309&gt;0,$B$6&gt;0,Bookings!G309="Cancelled"),0,G309)</ns0:f>
        <ns0:v>0</ns0:v>
      </ns0:c>
      <ns0:c r="O309" s="0">
        <ns0:f>IF(AND(Bookings!G309="Approved",E309="Yes"),N309,0)</ns0:f>
        <ns0:v>0</ns0:v>
      </ns0:c>
      <ns0:c r="P309" s="0">
        <ns0:f>IF(AND(Bookings!G309="Approved",E309="Yes",L309=0,$B$6=0),H309,0)</ns0:f>
        <ns0:v>0</ns0:v>
      </ns0:c>
      <ns0:c r="Q309" s="0">
        <ns0:f>IF(AND(Bookings!G309="Approved",E309="Yes",L309=0,$B$6=0),I309,0)</ns0:f>
        <ns0:v>0</ns0:v>
      </ns0:c>
      <ns0:c r="R309" s="0">
        <ns0:f>IF(AND(Bookings!G309="Pending",E309="Yes"),N309,0)</ns0:f>
        <ns0:v>0</ns0:v>
      </ns0:c>
      <ns0:c r="S309" s="0">
        <ns0:f>IF(AND(Bookings!G309="Approved",E309="No"),N309,0)</ns0:f>
        <ns0:v>0</ns0:v>
      </ns0:c>
      <ns0:c r="T309" s="0">
        <ns0:f>IFERROR(MATCH(D309,Settings!$G$7:$G$11,0),0)</ns0:f>
        <ns0:v>0</ns0:v>
      </ns0:c>
      <ns0:c r="U309" s="0">
        <ns0:f>IF(N309&gt;0,T309+IF(Bookings!G309="Pending",10,0),0)</ns0:f>
        <ns0:v>0</ns0:v>
      </ns0:c>
      <ns0:c r="V309" s="0">
        <ns0:f>U309</ns0:f>
        <ns0:v>0</ns0:v>
      </ns0:c>
      <ns0:c r="W309" s="0" t="str">
        <ns0:f>IF(C309=0,"",INDEX($AP$11:$AP$60,C309))</ns0:f>
        <ns0:v/>
      </ns0:c>
    </ns0:row>
    <ns0:row r="310">
      <ns0:c r="A310" s="0">
        <ns0:f>IF(COUNTA(Bookings!A310:G310,Bookings!I310)=0,0,1)</ns0:f>
        <ns0:v>0</ns0:v>
      </ns0:c>
      <ns0:c r="B310" s="0" t="str">
        <ns0:f>IFERROR(TRIM(MID(Bookings!A310,FIND(" · ",Bookings!A310)+3,99)),"")</ns0:f>
        <ns0:v/>
      </ns0:c>
      <ns0:c r="C310" s="0">
        <ns0:f>IF(OR(B310="",LEN(B310)&gt;24,ISNUMBER(FIND(" ",B310)),ISNUMBER(FIND("*",B310)),ISNUMBER(FIND("?",B310)),ISNUMBER(FIND("~",B310))),0,IFERROR(MATCH(B310,Team!$A$11:$A$60,0),0))</ns0:f>
        <ns0:v>0</ns0:v>
      </ns0:c>
      <ns0:c r="D310" s="0" t="str">
        <ns0:f>IFERROR(IF(MID(Bookings!F310,LEN(Bookings!F310)-3,3)=" · ",RIGHT(Bookings!F310,1),""),"")</ns0:f>
        <ns0:v/>
      </ns0:c>
      <ns0:c r="E310" s="0" t="str">
        <ns0:f>IFERROR(INDEX(Settings!$H$7:$H$11,MATCH(D310,Settings!$G$7:$G$11,0)),"")</ns0:f>
        <ns0:v/>
      </ns0:c>
      <ns0:c r="F310" s="0" t="str">
        <ns0:f>IF(A310=0,"",IFERROR(IF(OR(B310="",C310=0),"CHECK employee selection",IF(INDEX(Team!$O$11:$O$60,C310)&lt;&gt;"OK","CHECK employee setup",IF(OR('_Dates'!J310=0,'_Dates'!T310=0),"CHECK date: use DD.MM.YYYY",IF('_Dates'!T310&lt;'_Dates'!J310,"CHECK end before start",IF(AND($B$6=0,OR('_Dates'!J310&lt;Settings!$B$7,'_Dates'!T310&gt;Settings!$B$8)),"CHECK split across leave years",IF(OR(NOT(OR('_Dates'!U310="Full day",'_Dates'!U310="AM",'_Dates'!U310="PM")),NOT(OR('_Dates'!V310="Full day",'_Dates'!V310="AM",'_Dates'!V310="PM"))),"CHECK Full day / AM / PM",IF(AND('_Dates'!J310='_Dates'!T310,'_Dates'!U310&lt;&gt;"Full day",'_Dates'!V310&lt;&gt;"Full day",'_Dates'!U310&lt;&gt;'_Dates'!V310),"CHECK same-day portions disagree",IF(AND($B$6=0,OR(AND('_Dates'!U310&lt;&gt;"Full day",'_Dates'!AA310=0),AND('_Dates'!V310&lt;&gt;"Full day",'_Dates'!AB310=0))),"CHECK half-day on non-working date",IF(COUNTIF(Settings!$G$7:$G$11,D310)&lt;&gt;1,"CHECK leave type",IF(AND(Bookings!G310&lt;&gt;"Approved",Bookings!G310&lt;&gt;"Pending",Bookings!G310&lt;&gt;"Cancelled"),"CHECK status","OK")))))))))),"CHECK input"))</ns0:f>
        <ns0:v/>
      </ns0:c>
      <ns0:c r="G310" s="0">
        <ns0:f>IF(OR(F310&lt;&gt;"OK",$B$6&gt;0),0,0.5*(IF(('_Dates'!X310)&lt;('_Dates'!W310),0,INT((('_Dates'!X310)-('_Dates'!W310)+1)/7)*LEN(SUBSTITUTE(W310,"O",""))+LEN(SUBSTITUTE(MID(W310&amp;W310,WEEKDAY(('_Dates'!W310),2),MOD((('_Dates'!X310)-('_Dates'!W310)+1),7)),"O",""))-COUNTIFS(INDEX(AllClosureRows,C310,0),"&gt;="&amp;('_Dates'!W310),INDEX(AllClosureRows,C310,0),"&lt;="&amp;('_Dates'!X310)))+IF(('_Dates'!Z310)&lt;('_Dates'!Y310),0,INT((('_Dates'!Z310)-('_Dates'!Y310)+1)/7)*LEN(SUBSTITUTE(W310,"O",""))+LEN(SUBSTITUTE(MID(W310&amp;W310,WEEKDAY(('_Dates'!Y310),2),MOD((('_Dates'!Z310)-('_Dates'!Y310)+1),7)),"O",""))-COUNTIFS(INDEX(AllClosureRows,C310,0),"&gt;="&amp;('_Dates'!Y310),INDEX(AllClosureRows,C310,0),"&lt;="&amp;('_Dates'!Z310)))))</ns0:f>
        <ns0:v>0</ns0:v>
      </ns0:c>
      <ns0:c r="H310" s="0">
        <ns0:f>IF(OR(F310&lt;&gt;"OK",$B$6&gt;0),0,0.5*(IF((MIN('_Dates'!X310,Settings!$B$9))&lt;('_Dates'!W310),0,INT(((MIN('_Dates'!X310,Settings!$B$9))-('_Dates'!W310)+1)/7)*LEN(SUBSTITUTE(W310,"O",""))+LEN(SUBSTITUTE(MID(W310&amp;W310,WEEKDAY(('_Dates'!W310),2),MOD(((MIN('_Dates'!X310,Settings!$B$9))-('_Dates'!W310)+1),7)),"O",""))-COUNTIFS(INDEX(AllClosureRows,C310,0),"&gt;="&amp;('_Dates'!W310),INDEX(AllClosureRows,C310,0),"&lt;="&amp;(MIN('_Dates'!X310,Settings!$B$9))))+IF((MIN('_Dates'!Z310,Settings!$B$9))&lt;('_Dates'!Y310),0,INT(((MIN('_Dates'!Z310,Settings!$B$9))-('_Dates'!Y310)+1)/7)*LEN(SUBSTITUTE(W310,"O",""))+LEN(SUBSTITUTE(MID(W310&amp;W310,WEEKDAY(('_Dates'!Y310),2),MOD(((MIN('_Dates'!Z310,Settings!$B$9))-('_Dates'!Y310)+1),7)),"O",""))-COUNTIFS(INDEX(AllClosureRows,C310,0),"&gt;="&amp;('_Dates'!Y310),INDEX(AllClosureRows,C310,0),"&lt;="&amp;(MIN('_Dates'!Z310,Settings!$B$9))))))</ns0:f>
        <ns0:v>0</ns0:v>
      </ns0:c>
      <ns0:c r="I310" s="0">
        <ns0:f>MAX(0,G310-H310)</ns0:f>
        <ns0:v>0</ns0:v>
      </ns0:c>
      <ns0:c r="J310" s="0">
        <ns0:f>IF(OR(A310=0,F310&lt;&gt;"OK",Bookings!G310="Cancelled",$B$6&gt;0),0,IF('_Dates'!AC310=1,MAX(0,COUNTIFS(rngEngine_B,B310,rngAMStart,"&lt;="&amp;'_Dates'!X310,rngAMEnd,"&gt;="&amp;'_Dates'!W310,rngAMActive,1,rngEngine_F,"OK",rngBookings_F,"&lt;&gt;Cancelled")-1),0)+IF('_Dates'!AD310=1,MAX(0,COUNTIFS(rngEngine_B,B310,rngPMStart,"&lt;="&amp;'_Dates'!Z310,rngPMEnd,"&gt;="&amp;'_Dates'!Y310,rngPMActive,1,rngEngine_F,"OK",rngBookings_F,"&lt;&gt;Cancelled")-1),0))</ns0:f>
        <ns0:v>0</ns0:v>
      </ns0:c>
      <ns0:c r="K310" s="0" t="str">
        <ns0:f>IF(A310=0,"",IF(F310&lt;&gt;"OK",F310,IF(J310&gt;0,"CHECK overlapping entry",IF(AND($B$6=0,G310&lt;=0,Bookings!G310&lt;&gt;"Cancelled"),"CHECK no working days",IF(Bookings!G310="Cancelled","Cancelled","OK")))))</ns0:f>
        <ns0:v/>
      </ns0:c>
      <ns0:c r="L310" s="0">
        <ns0:f>IF(LEFT(K310,5)="CHECK",1,0)</ns0:f>
        <ns0:v>0</ns0:v>
      </ns0:c>
      <ns0:c r="M310" s="0">
        <ns0:f>IF(AND(L310=1,OR(C310=0,IFERROR(INDEX($X$11:$X$60,C310),0)=0)),1,0)</ns0:f>
        <ns0:v>0</ns0:v>
      </ns0:c>
      <ns0:c r="N310" s="0">
        <ns0:f>IF(OR(A310=0,L310&gt;0,$B$6&gt;0,Bookings!G310="Cancelled"),0,G310)</ns0:f>
        <ns0:v>0</ns0:v>
      </ns0:c>
      <ns0:c r="O310" s="0">
        <ns0:f>IF(AND(Bookings!G310="Approved",E310="Yes"),N310,0)</ns0:f>
        <ns0:v>0</ns0:v>
      </ns0:c>
      <ns0:c r="P310" s="0">
        <ns0:f>IF(AND(Bookings!G310="Approved",E310="Yes",L310=0,$B$6=0),H310,0)</ns0:f>
        <ns0:v>0</ns0:v>
      </ns0:c>
      <ns0:c r="Q310" s="0">
        <ns0:f>IF(AND(Bookings!G310="Approved",E310="Yes",L310=0,$B$6=0),I310,0)</ns0:f>
        <ns0:v>0</ns0:v>
      </ns0:c>
      <ns0:c r="R310" s="0">
        <ns0:f>IF(AND(Bookings!G310="Pending",E310="Yes"),N310,0)</ns0:f>
        <ns0:v>0</ns0:v>
      </ns0:c>
      <ns0:c r="S310" s="0">
        <ns0:f>IF(AND(Bookings!G310="Approved",E310="No"),N310,0)</ns0:f>
        <ns0:v>0</ns0:v>
      </ns0:c>
      <ns0:c r="T310" s="0">
        <ns0:f>IFERROR(MATCH(D310,Settings!$G$7:$G$11,0),0)</ns0:f>
        <ns0:v>0</ns0:v>
      </ns0:c>
      <ns0:c r="U310" s="0">
        <ns0:f>IF(N310&gt;0,T310+IF(Bookings!G310="Pending",10,0),0)</ns0:f>
        <ns0:v>0</ns0:v>
      </ns0:c>
      <ns0:c r="V310" s="0">
        <ns0:f>U310</ns0:f>
        <ns0:v>0</ns0:v>
      </ns0:c>
      <ns0:c r="W310" s="0" t="str">
        <ns0:f>IF(C310=0,"",INDEX($AP$11:$AP$60,C310))</ns0:f>
        <ns0:v/>
      </ns0:c>
    </ns0:row>
    <ns0:row r="311">
      <ns0:c r="A311" s="0">
        <ns0:f>IF(COUNTA(Bookings!A311:G311,Bookings!I311)=0,0,1)</ns0:f>
        <ns0:v>0</ns0:v>
      </ns0:c>
      <ns0:c r="B311" s="0" t="str">
        <ns0:f>IFERROR(TRIM(MID(Bookings!A311,FIND(" · ",Bookings!A311)+3,99)),"")</ns0:f>
        <ns0:v/>
      </ns0:c>
      <ns0:c r="C311" s="0">
        <ns0:f>IF(OR(B311="",LEN(B311)&gt;24,ISNUMBER(FIND(" ",B311)),ISNUMBER(FIND("*",B311)),ISNUMBER(FIND("?",B311)),ISNUMBER(FIND("~",B311))),0,IFERROR(MATCH(B311,Team!$A$11:$A$60,0),0))</ns0:f>
        <ns0:v>0</ns0:v>
      </ns0:c>
      <ns0:c r="D311" s="0" t="str">
        <ns0:f>IFERROR(IF(MID(Bookings!F311,LEN(Bookings!F311)-3,3)=" · ",RIGHT(Bookings!F311,1),""),"")</ns0:f>
        <ns0:v/>
      </ns0:c>
      <ns0:c r="E311" s="0" t="str">
        <ns0:f>IFERROR(INDEX(Settings!$H$7:$H$11,MATCH(D311,Settings!$G$7:$G$11,0)),"")</ns0:f>
        <ns0:v/>
      </ns0:c>
      <ns0:c r="F311" s="0" t="str">
        <ns0:f>IF(A311=0,"",IFERROR(IF(OR(B311="",C311=0),"CHECK employee selection",IF(INDEX(Team!$O$11:$O$60,C311)&lt;&gt;"OK","CHECK employee setup",IF(OR('_Dates'!J311=0,'_Dates'!T311=0),"CHECK date: use DD.MM.YYYY",IF('_Dates'!T311&lt;'_Dates'!J311,"CHECK end before start",IF(AND($B$6=0,OR('_Dates'!J311&lt;Settings!$B$7,'_Dates'!T311&gt;Settings!$B$8)),"CHECK split across leave years",IF(OR(NOT(OR('_Dates'!U311="Full day",'_Dates'!U311="AM",'_Dates'!U311="PM")),NOT(OR('_Dates'!V311="Full day",'_Dates'!V311="AM",'_Dates'!V311="PM"))),"CHECK Full day / AM / PM",IF(AND('_Dates'!J311='_Dates'!T311,'_Dates'!U311&lt;&gt;"Full day",'_Dates'!V311&lt;&gt;"Full day",'_Dates'!U311&lt;&gt;'_Dates'!V311),"CHECK same-day portions disagree",IF(AND($B$6=0,OR(AND('_Dates'!U311&lt;&gt;"Full day",'_Dates'!AA311=0),AND('_Dates'!V311&lt;&gt;"Full day",'_Dates'!AB311=0))),"CHECK half-day on non-working date",IF(COUNTIF(Settings!$G$7:$G$11,D311)&lt;&gt;1,"CHECK leave type",IF(AND(Bookings!G311&lt;&gt;"Approved",Bookings!G311&lt;&gt;"Pending",Bookings!G311&lt;&gt;"Cancelled"),"CHECK status","OK")))))))))),"CHECK input"))</ns0:f>
        <ns0:v/>
      </ns0:c>
      <ns0:c r="G311" s="0">
        <ns0:f>IF(OR(F311&lt;&gt;"OK",$B$6&gt;0),0,0.5*(IF(('_Dates'!X311)&lt;('_Dates'!W311),0,INT((('_Dates'!X311)-('_Dates'!W311)+1)/7)*LEN(SUBSTITUTE(W311,"O",""))+LEN(SUBSTITUTE(MID(W311&amp;W311,WEEKDAY(('_Dates'!W311),2),MOD((('_Dates'!X311)-('_Dates'!W311)+1),7)),"O",""))-COUNTIFS(INDEX(AllClosureRows,C311,0),"&gt;="&amp;('_Dates'!W311),INDEX(AllClosureRows,C311,0),"&lt;="&amp;('_Dates'!X311)))+IF(('_Dates'!Z311)&lt;('_Dates'!Y311),0,INT((('_Dates'!Z311)-('_Dates'!Y311)+1)/7)*LEN(SUBSTITUTE(W311,"O",""))+LEN(SUBSTITUTE(MID(W311&amp;W311,WEEKDAY(('_Dates'!Y311),2),MOD((('_Dates'!Z311)-('_Dates'!Y311)+1),7)),"O",""))-COUNTIFS(INDEX(AllClosureRows,C311,0),"&gt;="&amp;('_Dates'!Y311),INDEX(AllClosureRows,C311,0),"&lt;="&amp;('_Dates'!Z311)))))</ns0:f>
        <ns0:v>0</ns0:v>
      </ns0:c>
      <ns0:c r="H311" s="0">
        <ns0:f>IF(OR(F311&lt;&gt;"OK",$B$6&gt;0),0,0.5*(IF((MIN('_Dates'!X311,Settings!$B$9))&lt;('_Dates'!W311),0,INT(((MIN('_Dates'!X311,Settings!$B$9))-('_Dates'!W311)+1)/7)*LEN(SUBSTITUTE(W311,"O",""))+LEN(SUBSTITUTE(MID(W311&amp;W311,WEEKDAY(('_Dates'!W311),2),MOD(((MIN('_Dates'!X311,Settings!$B$9))-('_Dates'!W311)+1),7)),"O",""))-COUNTIFS(INDEX(AllClosureRows,C311,0),"&gt;="&amp;('_Dates'!W311),INDEX(AllClosureRows,C311,0),"&lt;="&amp;(MIN('_Dates'!X311,Settings!$B$9))))+IF((MIN('_Dates'!Z311,Settings!$B$9))&lt;('_Dates'!Y311),0,INT(((MIN('_Dates'!Z311,Settings!$B$9))-('_Dates'!Y311)+1)/7)*LEN(SUBSTITUTE(W311,"O",""))+LEN(SUBSTITUTE(MID(W311&amp;W311,WEEKDAY(('_Dates'!Y311),2),MOD(((MIN('_Dates'!Z311,Settings!$B$9))-('_Dates'!Y311)+1),7)),"O",""))-COUNTIFS(INDEX(AllClosureRows,C311,0),"&gt;="&amp;('_Dates'!Y311),INDEX(AllClosureRows,C311,0),"&lt;="&amp;(MIN('_Dates'!Z311,Settings!$B$9))))))</ns0:f>
        <ns0:v>0</ns0:v>
      </ns0:c>
      <ns0:c r="I311" s="0">
        <ns0:f>MAX(0,G311-H311)</ns0:f>
        <ns0:v>0</ns0:v>
      </ns0:c>
      <ns0:c r="J311" s="0">
        <ns0:f>IF(OR(A311=0,F311&lt;&gt;"OK",Bookings!G311="Cancelled",$B$6&gt;0),0,IF('_Dates'!AC311=1,MAX(0,COUNTIFS(rngEngine_B,B311,rngAMStart,"&lt;="&amp;'_Dates'!X311,rngAMEnd,"&gt;="&amp;'_Dates'!W311,rngAMActive,1,rngEngine_F,"OK",rngBookings_F,"&lt;&gt;Cancelled")-1),0)+IF('_Dates'!AD311=1,MAX(0,COUNTIFS(rngEngine_B,B311,rngPMStart,"&lt;="&amp;'_Dates'!Z311,rngPMEnd,"&gt;="&amp;'_Dates'!Y311,rngPMActive,1,rngEngine_F,"OK",rngBookings_F,"&lt;&gt;Cancelled")-1),0))</ns0:f>
        <ns0:v>0</ns0:v>
      </ns0:c>
      <ns0:c r="K311" s="0" t="str">
        <ns0:f>IF(A311=0,"",IF(F311&lt;&gt;"OK",F311,IF(J311&gt;0,"CHECK overlapping entry",IF(AND($B$6=0,G311&lt;=0,Bookings!G311&lt;&gt;"Cancelled"),"CHECK no working days",IF(Bookings!G311="Cancelled","Cancelled","OK")))))</ns0:f>
        <ns0:v/>
      </ns0:c>
      <ns0:c r="L311" s="0">
        <ns0:f>IF(LEFT(K311,5)="CHECK",1,0)</ns0:f>
        <ns0:v>0</ns0:v>
      </ns0:c>
      <ns0:c r="M311" s="0">
        <ns0:f>IF(AND(L311=1,OR(C311=0,IFERROR(INDEX($X$11:$X$60,C311),0)=0)),1,0)</ns0:f>
        <ns0:v>0</ns0:v>
      </ns0:c>
      <ns0:c r="N311" s="0">
        <ns0:f>IF(OR(A311=0,L311&gt;0,$B$6&gt;0,Bookings!G311="Cancelled"),0,G311)</ns0:f>
        <ns0:v>0</ns0:v>
      </ns0:c>
      <ns0:c r="O311" s="0">
        <ns0:f>IF(AND(Bookings!G311="Approved",E311="Yes"),N311,0)</ns0:f>
        <ns0:v>0</ns0:v>
      </ns0:c>
      <ns0:c r="P311" s="0">
        <ns0:f>IF(AND(Bookings!G311="Approved",E311="Yes",L311=0,$B$6=0),H311,0)</ns0:f>
        <ns0:v>0</ns0:v>
      </ns0:c>
      <ns0:c r="Q311" s="0">
        <ns0:f>IF(AND(Bookings!G311="Approved",E311="Yes",L311=0,$B$6=0),I311,0)</ns0:f>
        <ns0:v>0</ns0:v>
      </ns0:c>
      <ns0:c r="R311" s="0">
        <ns0:f>IF(AND(Bookings!G311="Pending",E311="Yes"),N311,0)</ns0:f>
        <ns0:v>0</ns0:v>
      </ns0:c>
      <ns0:c r="S311" s="0">
        <ns0:f>IF(AND(Bookings!G311="Approved",E311="No"),N311,0)</ns0:f>
        <ns0:v>0</ns0:v>
      </ns0:c>
      <ns0:c r="T311" s="0">
        <ns0:f>IFERROR(MATCH(D311,Settings!$G$7:$G$11,0),0)</ns0:f>
        <ns0:v>0</ns0:v>
      </ns0:c>
      <ns0:c r="U311" s="0">
        <ns0:f>IF(N311&gt;0,T311+IF(Bookings!G311="Pending",10,0),0)</ns0:f>
        <ns0:v>0</ns0:v>
      </ns0:c>
      <ns0:c r="V311" s="0">
        <ns0:f>U311</ns0:f>
        <ns0:v>0</ns0:v>
      </ns0:c>
      <ns0:c r="W311" s="0" t="str">
        <ns0:f>IF(C311=0,"",INDEX($AP$11:$AP$60,C311))</ns0:f>
        <ns0:v/>
      </ns0:c>
    </ns0:row>
    <ns0:row r="312">
      <ns0:c r="A312" s="0">
        <ns0:f>IF(COUNTA(Bookings!A312:G312,Bookings!I312)=0,0,1)</ns0:f>
        <ns0:v>0</ns0:v>
      </ns0:c>
      <ns0:c r="B312" s="0" t="str">
        <ns0:f>IFERROR(TRIM(MID(Bookings!A312,FIND(" · ",Bookings!A312)+3,99)),"")</ns0:f>
        <ns0:v/>
      </ns0:c>
      <ns0:c r="C312" s="0">
        <ns0:f>IF(OR(B312="",LEN(B312)&gt;24,ISNUMBER(FIND(" ",B312)),ISNUMBER(FIND("*",B312)),ISNUMBER(FIND("?",B312)),ISNUMBER(FIND("~",B312))),0,IFERROR(MATCH(B312,Team!$A$11:$A$60,0),0))</ns0:f>
        <ns0:v>0</ns0:v>
      </ns0:c>
      <ns0:c r="D312" s="0" t="str">
        <ns0:f>IFERROR(IF(MID(Bookings!F312,LEN(Bookings!F312)-3,3)=" · ",RIGHT(Bookings!F312,1),""),"")</ns0:f>
        <ns0:v/>
      </ns0:c>
      <ns0:c r="E312" s="0" t="str">
        <ns0:f>IFERROR(INDEX(Settings!$H$7:$H$11,MATCH(D312,Settings!$G$7:$G$11,0)),"")</ns0:f>
        <ns0:v/>
      </ns0:c>
      <ns0:c r="F312" s="0" t="str">
        <ns0:f>IF(A312=0,"",IFERROR(IF(OR(B312="",C312=0),"CHECK employee selection",IF(INDEX(Team!$O$11:$O$60,C312)&lt;&gt;"OK","CHECK employee setup",IF(OR('_Dates'!J312=0,'_Dates'!T312=0),"CHECK date: use DD.MM.YYYY",IF('_Dates'!T312&lt;'_Dates'!J312,"CHECK end before start",IF(AND($B$6=0,OR('_Dates'!J312&lt;Settings!$B$7,'_Dates'!T312&gt;Settings!$B$8)),"CHECK split across leave years",IF(OR(NOT(OR('_Dates'!U312="Full day",'_Dates'!U312="AM",'_Dates'!U312="PM")),NOT(OR('_Dates'!V312="Full day",'_Dates'!V312="AM",'_Dates'!V312="PM"))),"CHECK Full day / AM / PM",IF(AND('_Dates'!J312='_Dates'!T312,'_Dates'!U312&lt;&gt;"Full day",'_Dates'!V312&lt;&gt;"Full day",'_Dates'!U312&lt;&gt;'_Dates'!V312),"CHECK same-day portions disagree",IF(AND($B$6=0,OR(AND('_Dates'!U312&lt;&gt;"Full day",'_Dates'!AA312=0),AND('_Dates'!V312&lt;&gt;"Full day",'_Dates'!AB312=0))),"CHECK half-day on non-working date",IF(COUNTIF(Settings!$G$7:$G$11,D312)&lt;&gt;1,"CHECK leave type",IF(AND(Bookings!G312&lt;&gt;"Approved",Bookings!G312&lt;&gt;"Pending",Bookings!G312&lt;&gt;"Cancelled"),"CHECK status","OK")))))))))),"CHECK input"))</ns0:f>
        <ns0:v/>
      </ns0:c>
      <ns0:c r="G312" s="0">
        <ns0:f>IF(OR(F312&lt;&gt;"OK",$B$6&gt;0),0,0.5*(IF(('_Dates'!X312)&lt;('_Dates'!W312),0,INT((('_Dates'!X312)-('_Dates'!W312)+1)/7)*LEN(SUBSTITUTE(W312,"O",""))+LEN(SUBSTITUTE(MID(W312&amp;W312,WEEKDAY(('_Dates'!W312),2),MOD((('_Dates'!X312)-('_Dates'!W312)+1),7)),"O",""))-COUNTIFS(INDEX(AllClosureRows,C312,0),"&gt;="&amp;('_Dates'!W312),INDEX(AllClosureRows,C312,0),"&lt;="&amp;('_Dates'!X312)))+IF(('_Dates'!Z312)&lt;('_Dates'!Y312),0,INT((('_Dates'!Z312)-('_Dates'!Y312)+1)/7)*LEN(SUBSTITUTE(W312,"O",""))+LEN(SUBSTITUTE(MID(W312&amp;W312,WEEKDAY(('_Dates'!Y312),2),MOD((('_Dates'!Z312)-('_Dates'!Y312)+1),7)),"O",""))-COUNTIFS(INDEX(AllClosureRows,C312,0),"&gt;="&amp;('_Dates'!Y312),INDEX(AllClosureRows,C312,0),"&lt;="&amp;('_Dates'!Z312)))))</ns0:f>
        <ns0:v>0</ns0:v>
      </ns0:c>
      <ns0:c r="H312" s="0">
        <ns0:f>IF(OR(F312&lt;&gt;"OK",$B$6&gt;0),0,0.5*(IF((MIN('_Dates'!X312,Settings!$B$9))&lt;('_Dates'!W312),0,INT(((MIN('_Dates'!X312,Settings!$B$9))-('_Dates'!W312)+1)/7)*LEN(SUBSTITUTE(W312,"O",""))+LEN(SUBSTITUTE(MID(W312&amp;W312,WEEKDAY(('_Dates'!W312),2),MOD(((MIN('_Dates'!X312,Settings!$B$9))-('_Dates'!W312)+1),7)),"O",""))-COUNTIFS(INDEX(AllClosureRows,C312,0),"&gt;="&amp;('_Dates'!W312),INDEX(AllClosureRows,C312,0),"&lt;="&amp;(MIN('_Dates'!X312,Settings!$B$9))))+IF((MIN('_Dates'!Z312,Settings!$B$9))&lt;('_Dates'!Y312),0,INT(((MIN('_Dates'!Z312,Settings!$B$9))-('_Dates'!Y312)+1)/7)*LEN(SUBSTITUTE(W312,"O",""))+LEN(SUBSTITUTE(MID(W312&amp;W312,WEEKDAY(('_Dates'!Y312),2),MOD(((MIN('_Dates'!Z312,Settings!$B$9))-('_Dates'!Y312)+1),7)),"O",""))-COUNTIFS(INDEX(AllClosureRows,C312,0),"&gt;="&amp;('_Dates'!Y312),INDEX(AllClosureRows,C312,0),"&lt;="&amp;(MIN('_Dates'!Z312,Settings!$B$9))))))</ns0:f>
        <ns0:v>0</ns0:v>
      </ns0:c>
      <ns0:c r="I312" s="0">
        <ns0:f>MAX(0,G312-H312)</ns0:f>
        <ns0:v>0</ns0:v>
      </ns0:c>
      <ns0:c r="J312" s="0">
        <ns0:f>IF(OR(A312=0,F312&lt;&gt;"OK",Bookings!G312="Cancelled",$B$6&gt;0),0,IF('_Dates'!AC312=1,MAX(0,COUNTIFS(rngEngine_B,B312,rngAMStart,"&lt;="&amp;'_Dates'!X312,rngAMEnd,"&gt;="&amp;'_Dates'!W312,rngAMActive,1,rngEngine_F,"OK",rngBookings_F,"&lt;&gt;Cancelled")-1),0)+IF('_Dates'!AD312=1,MAX(0,COUNTIFS(rngEngine_B,B312,rngPMStart,"&lt;="&amp;'_Dates'!Z312,rngPMEnd,"&gt;="&amp;'_Dates'!Y312,rngPMActive,1,rngEngine_F,"OK",rngBookings_F,"&lt;&gt;Cancelled")-1),0))</ns0:f>
        <ns0:v>0</ns0:v>
      </ns0:c>
      <ns0:c r="K312" s="0" t="str">
        <ns0:f>IF(A312=0,"",IF(F312&lt;&gt;"OK",F312,IF(J312&gt;0,"CHECK overlapping entry",IF(AND($B$6=0,G312&lt;=0,Bookings!G312&lt;&gt;"Cancelled"),"CHECK no working days",IF(Bookings!G312="Cancelled","Cancelled","OK")))))</ns0:f>
        <ns0:v/>
      </ns0:c>
      <ns0:c r="L312" s="0">
        <ns0:f>IF(LEFT(K312,5)="CHECK",1,0)</ns0:f>
        <ns0:v>0</ns0:v>
      </ns0:c>
      <ns0:c r="M312" s="0">
        <ns0:f>IF(AND(L312=1,OR(C312=0,IFERROR(INDEX($X$11:$X$60,C312),0)=0)),1,0)</ns0:f>
        <ns0:v>0</ns0:v>
      </ns0:c>
      <ns0:c r="N312" s="0">
        <ns0:f>IF(OR(A312=0,L312&gt;0,$B$6&gt;0,Bookings!G312="Cancelled"),0,G312)</ns0:f>
        <ns0:v>0</ns0:v>
      </ns0:c>
      <ns0:c r="O312" s="0">
        <ns0:f>IF(AND(Bookings!G312="Approved",E312="Yes"),N312,0)</ns0:f>
        <ns0:v>0</ns0:v>
      </ns0:c>
      <ns0:c r="P312" s="0">
        <ns0:f>IF(AND(Bookings!G312="Approved",E312="Yes",L312=0,$B$6=0),H312,0)</ns0:f>
        <ns0:v>0</ns0:v>
      </ns0:c>
      <ns0:c r="Q312" s="0">
        <ns0:f>IF(AND(Bookings!G312="Approved",E312="Yes",L312=0,$B$6=0),I312,0)</ns0:f>
        <ns0:v>0</ns0:v>
      </ns0:c>
      <ns0:c r="R312" s="0">
        <ns0:f>IF(AND(Bookings!G312="Pending",E312="Yes"),N312,0)</ns0:f>
        <ns0:v>0</ns0:v>
      </ns0:c>
      <ns0:c r="S312" s="0">
        <ns0:f>IF(AND(Bookings!G312="Approved",E312="No"),N312,0)</ns0:f>
        <ns0:v>0</ns0:v>
      </ns0:c>
      <ns0:c r="T312" s="0">
        <ns0:f>IFERROR(MATCH(D312,Settings!$G$7:$G$11,0),0)</ns0:f>
        <ns0:v>0</ns0:v>
      </ns0:c>
      <ns0:c r="U312" s="0">
        <ns0:f>IF(N312&gt;0,T312+IF(Bookings!G312="Pending",10,0),0)</ns0:f>
        <ns0:v>0</ns0:v>
      </ns0:c>
      <ns0:c r="V312" s="0">
        <ns0:f>U312</ns0:f>
        <ns0:v>0</ns0:v>
      </ns0:c>
      <ns0:c r="W312" s="0" t="str">
        <ns0:f>IF(C312=0,"",INDEX($AP$11:$AP$60,C312))</ns0:f>
        <ns0:v/>
      </ns0:c>
    </ns0:row>
    <ns0:row r="313">
      <ns0:c r="A313" s="0">
        <ns0:f>IF(COUNTA(Bookings!A313:G313,Bookings!I313)=0,0,1)</ns0:f>
        <ns0:v>0</ns0:v>
      </ns0:c>
      <ns0:c r="B313" s="0" t="str">
        <ns0:f>IFERROR(TRIM(MID(Bookings!A313,FIND(" · ",Bookings!A313)+3,99)),"")</ns0:f>
        <ns0:v/>
      </ns0:c>
      <ns0:c r="C313" s="0">
        <ns0:f>IF(OR(B313="",LEN(B313)&gt;24,ISNUMBER(FIND(" ",B313)),ISNUMBER(FIND("*",B313)),ISNUMBER(FIND("?",B313)),ISNUMBER(FIND("~",B313))),0,IFERROR(MATCH(B313,Team!$A$11:$A$60,0),0))</ns0:f>
        <ns0:v>0</ns0:v>
      </ns0:c>
      <ns0:c r="D313" s="0" t="str">
        <ns0:f>IFERROR(IF(MID(Bookings!F313,LEN(Bookings!F313)-3,3)=" · ",RIGHT(Bookings!F313,1),""),"")</ns0:f>
        <ns0:v/>
      </ns0:c>
      <ns0:c r="E313" s="0" t="str">
        <ns0:f>IFERROR(INDEX(Settings!$H$7:$H$11,MATCH(D313,Settings!$G$7:$G$11,0)),"")</ns0:f>
        <ns0:v/>
      </ns0:c>
      <ns0:c r="F313" s="0" t="str">
        <ns0:f>IF(A313=0,"",IFERROR(IF(OR(B313="",C313=0),"CHECK employee selection",IF(INDEX(Team!$O$11:$O$60,C313)&lt;&gt;"OK","CHECK employee setup",IF(OR('_Dates'!J313=0,'_Dates'!T313=0),"CHECK date: use DD.MM.YYYY",IF('_Dates'!T313&lt;'_Dates'!J313,"CHECK end before start",IF(AND($B$6=0,OR('_Dates'!J313&lt;Settings!$B$7,'_Dates'!T313&gt;Settings!$B$8)),"CHECK split across leave years",IF(OR(NOT(OR('_Dates'!U313="Full day",'_Dates'!U313="AM",'_Dates'!U313="PM")),NOT(OR('_Dates'!V313="Full day",'_Dates'!V313="AM",'_Dates'!V313="PM"))),"CHECK Full day / AM / PM",IF(AND('_Dates'!J313='_Dates'!T313,'_Dates'!U313&lt;&gt;"Full day",'_Dates'!V313&lt;&gt;"Full day",'_Dates'!U313&lt;&gt;'_Dates'!V313),"CHECK same-day portions disagree",IF(AND($B$6=0,OR(AND('_Dates'!U313&lt;&gt;"Full day",'_Dates'!AA313=0),AND('_Dates'!V313&lt;&gt;"Full day",'_Dates'!AB313=0))),"CHECK half-day on non-working date",IF(COUNTIF(Settings!$G$7:$G$11,D313)&lt;&gt;1,"CHECK leave type",IF(AND(Bookings!G313&lt;&gt;"Approved",Bookings!G313&lt;&gt;"Pending",Bookings!G313&lt;&gt;"Cancelled"),"CHECK status","OK")))))))))),"CHECK input"))</ns0:f>
        <ns0:v/>
      </ns0:c>
      <ns0:c r="G313" s="0">
        <ns0:f>IF(OR(F313&lt;&gt;"OK",$B$6&gt;0),0,0.5*(IF(('_Dates'!X313)&lt;('_Dates'!W313),0,INT((('_Dates'!X313)-('_Dates'!W313)+1)/7)*LEN(SUBSTITUTE(W313,"O",""))+LEN(SUBSTITUTE(MID(W313&amp;W313,WEEKDAY(('_Dates'!W313),2),MOD((('_Dates'!X313)-('_Dates'!W313)+1),7)),"O",""))-COUNTIFS(INDEX(AllClosureRows,C313,0),"&gt;="&amp;('_Dates'!W313),INDEX(AllClosureRows,C313,0),"&lt;="&amp;('_Dates'!X313)))+IF(('_Dates'!Z313)&lt;('_Dates'!Y313),0,INT((('_Dates'!Z313)-('_Dates'!Y313)+1)/7)*LEN(SUBSTITUTE(W313,"O",""))+LEN(SUBSTITUTE(MID(W313&amp;W313,WEEKDAY(('_Dates'!Y313),2),MOD((('_Dates'!Z313)-('_Dates'!Y313)+1),7)),"O",""))-COUNTIFS(INDEX(AllClosureRows,C313,0),"&gt;="&amp;('_Dates'!Y313),INDEX(AllClosureRows,C313,0),"&lt;="&amp;('_Dates'!Z313)))))</ns0:f>
        <ns0:v>0</ns0:v>
      </ns0:c>
      <ns0:c r="H313" s="0">
        <ns0:f>IF(OR(F313&lt;&gt;"OK",$B$6&gt;0),0,0.5*(IF((MIN('_Dates'!X313,Settings!$B$9))&lt;('_Dates'!W313),0,INT(((MIN('_Dates'!X313,Settings!$B$9))-('_Dates'!W313)+1)/7)*LEN(SUBSTITUTE(W313,"O",""))+LEN(SUBSTITUTE(MID(W313&amp;W313,WEEKDAY(('_Dates'!W313),2),MOD(((MIN('_Dates'!X313,Settings!$B$9))-('_Dates'!W313)+1),7)),"O",""))-COUNTIFS(INDEX(AllClosureRows,C313,0),"&gt;="&amp;('_Dates'!W313),INDEX(AllClosureRows,C313,0),"&lt;="&amp;(MIN('_Dates'!X313,Settings!$B$9))))+IF((MIN('_Dates'!Z313,Settings!$B$9))&lt;('_Dates'!Y313),0,INT(((MIN('_Dates'!Z313,Settings!$B$9))-('_Dates'!Y313)+1)/7)*LEN(SUBSTITUTE(W313,"O",""))+LEN(SUBSTITUTE(MID(W313&amp;W313,WEEKDAY(('_Dates'!Y313),2),MOD(((MIN('_Dates'!Z313,Settings!$B$9))-('_Dates'!Y313)+1),7)),"O",""))-COUNTIFS(INDEX(AllClosureRows,C313,0),"&gt;="&amp;('_Dates'!Y313),INDEX(AllClosureRows,C313,0),"&lt;="&amp;(MIN('_Dates'!Z313,Settings!$B$9))))))</ns0:f>
        <ns0:v>0</ns0:v>
      </ns0:c>
      <ns0:c r="I313" s="0">
        <ns0:f>MAX(0,G313-H313)</ns0:f>
        <ns0:v>0</ns0:v>
      </ns0:c>
      <ns0:c r="J313" s="0">
        <ns0:f>IF(OR(A313=0,F313&lt;&gt;"OK",Bookings!G313="Cancelled",$B$6&gt;0),0,IF('_Dates'!AC313=1,MAX(0,COUNTIFS(rngEngine_B,B313,rngAMStart,"&lt;="&amp;'_Dates'!X313,rngAMEnd,"&gt;="&amp;'_Dates'!W313,rngAMActive,1,rngEngine_F,"OK",rngBookings_F,"&lt;&gt;Cancelled")-1),0)+IF('_Dates'!AD313=1,MAX(0,COUNTIFS(rngEngine_B,B313,rngPMStart,"&lt;="&amp;'_Dates'!Z313,rngPMEnd,"&gt;="&amp;'_Dates'!Y313,rngPMActive,1,rngEngine_F,"OK",rngBookings_F,"&lt;&gt;Cancelled")-1),0))</ns0:f>
        <ns0:v>0</ns0:v>
      </ns0:c>
      <ns0:c r="K313" s="0" t="str">
        <ns0:f>IF(A313=0,"",IF(F313&lt;&gt;"OK",F313,IF(J313&gt;0,"CHECK overlapping entry",IF(AND($B$6=0,G313&lt;=0,Bookings!G313&lt;&gt;"Cancelled"),"CHECK no working days",IF(Bookings!G313="Cancelled","Cancelled","OK")))))</ns0:f>
        <ns0:v/>
      </ns0:c>
      <ns0:c r="L313" s="0">
        <ns0:f>IF(LEFT(K313,5)="CHECK",1,0)</ns0:f>
        <ns0:v>0</ns0:v>
      </ns0:c>
      <ns0:c r="M313" s="0">
        <ns0:f>IF(AND(L313=1,OR(C313=0,IFERROR(INDEX($X$11:$X$60,C313),0)=0)),1,0)</ns0:f>
        <ns0:v>0</ns0:v>
      </ns0:c>
      <ns0:c r="N313" s="0">
        <ns0:f>IF(OR(A313=0,L313&gt;0,$B$6&gt;0,Bookings!G313="Cancelled"),0,G313)</ns0:f>
        <ns0:v>0</ns0:v>
      </ns0:c>
      <ns0:c r="O313" s="0">
        <ns0:f>IF(AND(Bookings!G313="Approved",E313="Yes"),N313,0)</ns0:f>
        <ns0:v>0</ns0:v>
      </ns0:c>
      <ns0:c r="P313" s="0">
        <ns0:f>IF(AND(Bookings!G313="Approved",E313="Yes",L313=0,$B$6=0),H313,0)</ns0:f>
        <ns0:v>0</ns0:v>
      </ns0:c>
      <ns0:c r="Q313" s="0">
        <ns0:f>IF(AND(Bookings!G313="Approved",E313="Yes",L313=0,$B$6=0),I313,0)</ns0:f>
        <ns0:v>0</ns0:v>
      </ns0:c>
      <ns0:c r="R313" s="0">
        <ns0:f>IF(AND(Bookings!G313="Pending",E313="Yes"),N313,0)</ns0:f>
        <ns0:v>0</ns0:v>
      </ns0:c>
      <ns0:c r="S313" s="0">
        <ns0:f>IF(AND(Bookings!G313="Approved",E313="No"),N313,0)</ns0:f>
        <ns0:v>0</ns0:v>
      </ns0:c>
      <ns0:c r="T313" s="0">
        <ns0:f>IFERROR(MATCH(D313,Settings!$G$7:$G$11,0),0)</ns0:f>
        <ns0:v>0</ns0:v>
      </ns0:c>
      <ns0:c r="U313" s="0">
        <ns0:f>IF(N313&gt;0,T313+IF(Bookings!G313="Pending",10,0),0)</ns0:f>
        <ns0:v>0</ns0:v>
      </ns0:c>
      <ns0:c r="V313" s="0">
        <ns0:f>U313</ns0:f>
        <ns0:v>0</ns0:v>
      </ns0:c>
      <ns0:c r="W313" s="0" t="str">
        <ns0:f>IF(C313=0,"",INDEX($AP$11:$AP$60,C313))</ns0:f>
        <ns0:v/>
      </ns0:c>
    </ns0:row>
    <ns0:row r="314">
      <ns0:c r="A314" s="0">
        <ns0:f>IF(COUNTA(Bookings!A314:G314,Bookings!I314)=0,0,1)</ns0:f>
        <ns0:v>0</ns0:v>
      </ns0:c>
      <ns0:c r="B314" s="0" t="str">
        <ns0:f>IFERROR(TRIM(MID(Bookings!A314,FIND(" · ",Bookings!A314)+3,99)),"")</ns0:f>
        <ns0:v/>
      </ns0:c>
      <ns0:c r="C314" s="0">
        <ns0:f>IF(OR(B314="",LEN(B314)&gt;24,ISNUMBER(FIND(" ",B314)),ISNUMBER(FIND("*",B314)),ISNUMBER(FIND("?",B314)),ISNUMBER(FIND("~",B314))),0,IFERROR(MATCH(B314,Team!$A$11:$A$60,0),0))</ns0:f>
        <ns0:v>0</ns0:v>
      </ns0:c>
      <ns0:c r="D314" s="0" t="str">
        <ns0:f>IFERROR(IF(MID(Bookings!F314,LEN(Bookings!F314)-3,3)=" · ",RIGHT(Bookings!F314,1),""),"")</ns0:f>
        <ns0:v/>
      </ns0:c>
      <ns0:c r="E314" s="0" t="str">
        <ns0:f>IFERROR(INDEX(Settings!$H$7:$H$11,MATCH(D314,Settings!$G$7:$G$11,0)),"")</ns0:f>
        <ns0:v/>
      </ns0:c>
      <ns0:c r="F314" s="0" t="str">
        <ns0:f>IF(A314=0,"",IFERROR(IF(OR(B314="",C314=0),"CHECK employee selection",IF(INDEX(Team!$O$11:$O$60,C314)&lt;&gt;"OK","CHECK employee setup",IF(OR('_Dates'!J314=0,'_Dates'!T314=0),"CHECK date: use DD.MM.YYYY",IF('_Dates'!T314&lt;'_Dates'!J314,"CHECK end before start",IF(AND($B$6=0,OR('_Dates'!J314&lt;Settings!$B$7,'_Dates'!T314&gt;Settings!$B$8)),"CHECK split across leave years",IF(OR(NOT(OR('_Dates'!U314="Full day",'_Dates'!U314="AM",'_Dates'!U314="PM")),NOT(OR('_Dates'!V314="Full day",'_Dates'!V314="AM",'_Dates'!V314="PM"))),"CHECK Full day / AM / PM",IF(AND('_Dates'!J314='_Dates'!T314,'_Dates'!U314&lt;&gt;"Full day",'_Dates'!V314&lt;&gt;"Full day",'_Dates'!U314&lt;&gt;'_Dates'!V314),"CHECK same-day portions disagree",IF(AND($B$6=0,OR(AND('_Dates'!U314&lt;&gt;"Full day",'_Dates'!AA314=0),AND('_Dates'!V314&lt;&gt;"Full day",'_Dates'!AB314=0))),"CHECK half-day on non-working date",IF(COUNTIF(Settings!$G$7:$G$11,D314)&lt;&gt;1,"CHECK leave type",IF(AND(Bookings!G314&lt;&gt;"Approved",Bookings!G314&lt;&gt;"Pending",Bookings!G314&lt;&gt;"Cancelled"),"CHECK status","OK")))))))))),"CHECK input"))</ns0:f>
        <ns0:v/>
      </ns0:c>
      <ns0:c r="G314" s="0">
        <ns0:f>IF(OR(F314&lt;&gt;"OK",$B$6&gt;0),0,0.5*(IF(('_Dates'!X314)&lt;('_Dates'!W314),0,INT((('_Dates'!X314)-('_Dates'!W314)+1)/7)*LEN(SUBSTITUTE(W314,"O",""))+LEN(SUBSTITUTE(MID(W314&amp;W314,WEEKDAY(('_Dates'!W314),2),MOD((('_Dates'!X314)-('_Dates'!W314)+1),7)),"O",""))-COUNTIFS(INDEX(AllClosureRows,C314,0),"&gt;="&amp;('_Dates'!W314),INDEX(AllClosureRows,C314,0),"&lt;="&amp;('_Dates'!X314)))+IF(('_Dates'!Z314)&lt;('_Dates'!Y314),0,INT((('_Dates'!Z314)-('_Dates'!Y314)+1)/7)*LEN(SUBSTITUTE(W314,"O",""))+LEN(SUBSTITUTE(MID(W314&amp;W314,WEEKDAY(('_Dates'!Y314),2),MOD((('_Dates'!Z314)-('_Dates'!Y314)+1),7)),"O",""))-COUNTIFS(INDEX(AllClosureRows,C314,0),"&gt;="&amp;('_Dates'!Y314),INDEX(AllClosureRows,C314,0),"&lt;="&amp;('_Dates'!Z314)))))</ns0:f>
        <ns0:v>0</ns0:v>
      </ns0:c>
      <ns0:c r="H314" s="0">
        <ns0:f>IF(OR(F314&lt;&gt;"OK",$B$6&gt;0),0,0.5*(IF((MIN('_Dates'!X314,Settings!$B$9))&lt;('_Dates'!W314),0,INT(((MIN('_Dates'!X314,Settings!$B$9))-('_Dates'!W314)+1)/7)*LEN(SUBSTITUTE(W314,"O",""))+LEN(SUBSTITUTE(MID(W314&amp;W314,WEEKDAY(('_Dates'!W314),2),MOD(((MIN('_Dates'!X314,Settings!$B$9))-('_Dates'!W314)+1),7)),"O",""))-COUNTIFS(INDEX(AllClosureRows,C314,0),"&gt;="&amp;('_Dates'!W314),INDEX(AllClosureRows,C314,0),"&lt;="&amp;(MIN('_Dates'!X314,Settings!$B$9))))+IF((MIN('_Dates'!Z314,Settings!$B$9))&lt;('_Dates'!Y314),0,INT(((MIN('_Dates'!Z314,Settings!$B$9))-('_Dates'!Y314)+1)/7)*LEN(SUBSTITUTE(W314,"O",""))+LEN(SUBSTITUTE(MID(W314&amp;W314,WEEKDAY(('_Dates'!Y314),2),MOD(((MIN('_Dates'!Z314,Settings!$B$9))-('_Dates'!Y314)+1),7)),"O",""))-COUNTIFS(INDEX(AllClosureRows,C314,0),"&gt;="&amp;('_Dates'!Y314),INDEX(AllClosureRows,C314,0),"&lt;="&amp;(MIN('_Dates'!Z314,Settings!$B$9))))))</ns0:f>
        <ns0:v>0</ns0:v>
      </ns0:c>
      <ns0:c r="I314" s="0">
        <ns0:f>MAX(0,G314-H314)</ns0:f>
        <ns0:v>0</ns0:v>
      </ns0:c>
      <ns0:c r="J314" s="0">
        <ns0:f>IF(OR(A314=0,F314&lt;&gt;"OK",Bookings!G314="Cancelled",$B$6&gt;0),0,IF('_Dates'!AC314=1,MAX(0,COUNTIFS(rngEngine_B,B314,rngAMStart,"&lt;="&amp;'_Dates'!X314,rngAMEnd,"&gt;="&amp;'_Dates'!W314,rngAMActive,1,rngEngine_F,"OK",rngBookings_F,"&lt;&gt;Cancelled")-1),0)+IF('_Dates'!AD314=1,MAX(0,COUNTIFS(rngEngine_B,B314,rngPMStart,"&lt;="&amp;'_Dates'!Z314,rngPMEnd,"&gt;="&amp;'_Dates'!Y314,rngPMActive,1,rngEngine_F,"OK",rngBookings_F,"&lt;&gt;Cancelled")-1),0))</ns0:f>
        <ns0:v>0</ns0:v>
      </ns0:c>
      <ns0:c r="K314" s="0" t="str">
        <ns0:f>IF(A314=0,"",IF(F314&lt;&gt;"OK",F314,IF(J314&gt;0,"CHECK overlapping entry",IF(AND($B$6=0,G314&lt;=0,Bookings!G314&lt;&gt;"Cancelled"),"CHECK no working days",IF(Bookings!G314="Cancelled","Cancelled","OK")))))</ns0:f>
        <ns0:v/>
      </ns0:c>
      <ns0:c r="L314" s="0">
        <ns0:f>IF(LEFT(K314,5)="CHECK",1,0)</ns0:f>
        <ns0:v>0</ns0:v>
      </ns0:c>
      <ns0:c r="M314" s="0">
        <ns0:f>IF(AND(L314=1,OR(C314=0,IFERROR(INDEX($X$11:$X$60,C314),0)=0)),1,0)</ns0:f>
        <ns0:v>0</ns0:v>
      </ns0:c>
      <ns0:c r="N314" s="0">
        <ns0:f>IF(OR(A314=0,L314&gt;0,$B$6&gt;0,Bookings!G314="Cancelled"),0,G314)</ns0:f>
        <ns0:v>0</ns0:v>
      </ns0:c>
      <ns0:c r="O314" s="0">
        <ns0:f>IF(AND(Bookings!G314="Approved",E314="Yes"),N314,0)</ns0:f>
        <ns0:v>0</ns0:v>
      </ns0:c>
      <ns0:c r="P314" s="0">
        <ns0:f>IF(AND(Bookings!G314="Approved",E314="Yes",L314=0,$B$6=0),H314,0)</ns0:f>
        <ns0:v>0</ns0:v>
      </ns0:c>
      <ns0:c r="Q314" s="0">
        <ns0:f>IF(AND(Bookings!G314="Approved",E314="Yes",L314=0,$B$6=0),I314,0)</ns0:f>
        <ns0:v>0</ns0:v>
      </ns0:c>
      <ns0:c r="R314" s="0">
        <ns0:f>IF(AND(Bookings!G314="Pending",E314="Yes"),N314,0)</ns0:f>
        <ns0:v>0</ns0:v>
      </ns0:c>
      <ns0:c r="S314" s="0">
        <ns0:f>IF(AND(Bookings!G314="Approved",E314="No"),N314,0)</ns0:f>
        <ns0:v>0</ns0:v>
      </ns0:c>
      <ns0:c r="T314" s="0">
        <ns0:f>IFERROR(MATCH(D314,Settings!$G$7:$G$11,0),0)</ns0:f>
        <ns0:v>0</ns0:v>
      </ns0:c>
      <ns0:c r="U314" s="0">
        <ns0:f>IF(N314&gt;0,T314+IF(Bookings!G314="Pending",10,0),0)</ns0:f>
        <ns0:v>0</ns0:v>
      </ns0:c>
      <ns0:c r="V314" s="0">
        <ns0:f>U314</ns0:f>
        <ns0:v>0</ns0:v>
      </ns0:c>
      <ns0:c r="W314" s="0" t="str">
        <ns0:f>IF(C314=0,"",INDEX($AP$11:$AP$60,C314))</ns0:f>
        <ns0:v/>
      </ns0:c>
    </ns0:row>
    <ns0:row r="315">
      <ns0:c r="A315" s="0">
        <ns0:f>IF(COUNTA(Bookings!A315:G315,Bookings!I315)=0,0,1)</ns0:f>
        <ns0:v>0</ns0:v>
      </ns0:c>
      <ns0:c r="B315" s="0" t="str">
        <ns0:f>IFERROR(TRIM(MID(Bookings!A315,FIND(" · ",Bookings!A315)+3,99)),"")</ns0:f>
        <ns0:v/>
      </ns0:c>
      <ns0:c r="C315" s="0">
        <ns0:f>IF(OR(B315="",LEN(B315)&gt;24,ISNUMBER(FIND(" ",B315)),ISNUMBER(FIND("*",B315)),ISNUMBER(FIND("?",B315)),ISNUMBER(FIND("~",B315))),0,IFERROR(MATCH(B315,Team!$A$11:$A$60,0),0))</ns0:f>
        <ns0:v>0</ns0:v>
      </ns0:c>
      <ns0:c r="D315" s="0" t="str">
        <ns0:f>IFERROR(IF(MID(Bookings!F315,LEN(Bookings!F315)-3,3)=" · ",RIGHT(Bookings!F315,1),""),"")</ns0:f>
        <ns0:v/>
      </ns0:c>
      <ns0:c r="E315" s="0" t="str">
        <ns0:f>IFERROR(INDEX(Settings!$H$7:$H$11,MATCH(D315,Settings!$G$7:$G$11,0)),"")</ns0:f>
        <ns0:v/>
      </ns0:c>
      <ns0:c r="F315" s="0" t="str">
        <ns0:f>IF(A315=0,"",IFERROR(IF(OR(B315="",C315=0),"CHECK employee selection",IF(INDEX(Team!$O$11:$O$60,C315)&lt;&gt;"OK","CHECK employee setup",IF(OR('_Dates'!J315=0,'_Dates'!T315=0),"CHECK date: use DD.MM.YYYY",IF('_Dates'!T315&lt;'_Dates'!J315,"CHECK end before start",IF(AND($B$6=0,OR('_Dates'!J315&lt;Settings!$B$7,'_Dates'!T315&gt;Settings!$B$8)),"CHECK split across leave years",IF(OR(NOT(OR('_Dates'!U315="Full day",'_Dates'!U315="AM",'_Dates'!U315="PM")),NOT(OR('_Dates'!V315="Full day",'_Dates'!V315="AM",'_Dates'!V315="PM"))),"CHECK Full day / AM / PM",IF(AND('_Dates'!J315='_Dates'!T315,'_Dates'!U315&lt;&gt;"Full day",'_Dates'!V315&lt;&gt;"Full day",'_Dates'!U315&lt;&gt;'_Dates'!V315),"CHECK same-day portions disagree",IF(AND($B$6=0,OR(AND('_Dates'!U315&lt;&gt;"Full day",'_Dates'!AA315=0),AND('_Dates'!V315&lt;&gt;"Full day",'_Dates'!AB315=0))),"CHECK half-day on non-working date",IF(COUNTIF(Settings!$G$7:$G$11,D315)&lt;&gt;1,"CHECK leave type",IF(AND(Bookings!G315&lt;&gt;"Approved",Bookings!G315&lt;&gt;"Pending",Bookings!G315&lt;&gt;"Cancelled"),"CHECK status","OK")))))))))),"CHECK input"))</ns0:f>
        <ns0:v/>
      </ns0:c>
      <ns0:c r="G315" s="0">
        <ns0:f>IF(OR(F315&lt;&gt;"OK",$B$6&gt;0),0,0.5*(IF(('_Dates'!X315)&lt;('_Dates'!W315),0,INT((('_Dates'!X315)-('_Dates'!W315)+1)/7)*LEN(SUBSTITUTE(W315,"O",""))+LEN(SUBSTITUTE(MID(W315&amp;W315,WEEKDAY(('_Dates'!W315),2),MOD((('_Dates'!X315)-('_Dates'!W315)+1),7)),"O",""))-COUNTIFS(INDEX(AllClosureRows,C315,0),"&gt;="&amp;('_Dates'!W315),INDEX(AllClosureRows,C315,0),"&lt;="&amp;('_Dates'!X315)))+IF(('_Dates'!Z315)&lt;('_Dates'!Y315),0,INT((('_Dates'!Z315)-('_Dates'!Y315)+1)/7)*LEN(SUBSTITUTE(W315,"O",""))+LEN(SUBSTITUTE(MID(W315&amp;W315,WEEKDAY(('_Dates'!Y315),2),MOD((('_Dates'!Z315)-('_Dates'!Y315)+1),7)),"O",""))-COUNTIFS(INDEX(AllClosureRows,C315,0),"&gt;="&amp;('_Dates'!Y315),INDEX(AllClosureRows,C315,0),"&lt;="&amp;('_Dates'!Z315)))))</ns0:f>
        <ns0:v>0</ns0:v>
      </ns0:c>
      <ns0:c r="H315" s="0">
        <ns0:f>IF(OR(F315&lt;&gt;"OK",$B$6&gt;0),0,0.5*(IF((MIN('_Dates'!X315,Settings!$B$9))&lt;('_Dates'!W315),0,INT(((MIN('_Dates'!X315,Settings!$B$9))-('_Dates'!W315)+1)/7)*LEN(SUBSTITUTE(W315,"O",""))+LEN(SUBSTITUTE(MID(W315&amp;W315,WEEKDAY(('_Dates'!W315),2),MOD(((MIN('_Dates'!X315,Settings!$B$9))-('_Dates'!W315)+1),7)),"O",""))-COUNTIFS(INDEX(AllClosureRows,C315,0),"&gt;="&amp;('_Dates'!W315),INDEX(AllClosureRows,C315,0),"&lt;="&amp;(MIN('_Dates'!X315,Settings!$B$9))))+IF((MIN('_Dates'!Z315,Settings!$B$9))&lt;('_Dates'!Y315),0,INT(((MIN('_Dates'!Z315,Settings!$B$9))-('_Dates'!Y315)+1)/7)*LEN(SUBSTITUTE(W315,"O",""))+LEN(SUBSTITUTE(MID(W315&amp;W315,WEEKDAY(('_Dates'!Y315),2),MOD(((MIN('_Dates'!Z315,Settings!$B$9))-('_Dates'!Y315)+1),7)),"O",""))-COUNTIFS(INDEX(AllClosureRows,C315,0),"&gt;="&amp;('_Dates'!Y315),INDEX(AllClosureRows,C315,0),"&lt;="&amp;(MIN('_Dates'!Z315,Settings!$B$9))))))</ns0:f>
        <ns0:v>0</ns0:v>
      </ns0:c>
      <ns0:c r="I315" s="0">
        <ns0:f>MAX(0,G315-H315)</ns0:f>
        <ns0:v>0</ns0:v>
      </ns0:c>
      <ns0:c r="J315" s="0">
        <ns0:f>IF(OR(A315=0,F315&lt;&gt;"OK",Bookings!G315="Cancelled",$B$6&gt;0),0,IF('_Dates'!AC315=1,MAX(0,COUNTIFS(rngEngine_B,B315,rngAMStart,"&lt;="&amp;'_Dates'!X315,rngAMEnd,"&gt;="&amp;'_Dates'!W315,rngAMActive,1,rngEngine_F,"OK",rngBookings_F,"&lt;&gt;Cancelled")-1),0)+IF('_Dates'!AD315=1,MAX(0,COUNTIFS(rngEngine_B,B315,rngPMStart,"&lt;="&amp;'_Dates'!Z315,rngPMEnd,"&gt;="&amp;'_Dates'!Y315,rngPMActive,1,rngEngine_F,"OK",rngBookings_F,"&lt;&gt;Cancelled")-1),0))</ns0:f>
        <ns0:v>0</ns0:v>
      </ns0:c>
      <ns0:c r="K315" s="0" t="str">
        <ns0:f>IF(A315=0,"",IF(F315&lt;&gt;"OK",F315,IF(J315&gt;0,"CHECK overlapping entry",IF(AND($B$6=0,G315&lt;=0,Bookings!G315&lt;&gt;"Cancelled"),"CHECK no working days",IF(Bookings!G315="Cancelled","Cancelled","OK")))))</ns0:f>
        <ns0:v/>
      </ns0:c>
      <ns0:c r="L315" s="0">
        <ns0:f>IF(LEFT(K315,5)="CHECK",1,0)</ns0:f>
        <ns0:v>0</ns0:v>
      </ns0:c>
      <ns0:c r="M315" s="0">
        <ns0:f>IF(AND(L315=1,OR(C315=0,IFERROR(INDEX($X$11:$X$60,C315),0)=0)),1,0)</ns0:f>
        <ns0:v>0</ns0:v>
      </ns0:c>
      <ns0:c r="N315" s="0">
        <ns0:f>IF(OR(A315=0,L315&gt;0,$B$6&gt;0,Bookings!G315="Cancelled"),0,G315)</ns0:f>
        <ns0:v>0</ns0:v>
      </ns0:c>
      <ns0:c r="O315" s="0">
        <ns0:f>IF(AND(Bookings!G315="Approved",E315="Yes"),N315,0)</ns0:f>
        <ns0:v>0</ns0:v>
      </ns0:c>
      <ns0:c r="P315" s="0">
        <ns0:f>IF(AND(Bookings!G315="Approved",E315="Yes",L315=0,$B$6=0),H315,0)</ns0:f>
        <ns0:v>0</ns0:v>
      </ns0:c>
      <ns0:c r="Q315" s="0">
        <ns0:f>IF(AND(Bookings!G315="Approved",E315="Yes",L315=0,$B$6=0),I315,0)</ns0:f>
        <ns0:v>0</ns0:v>
      </ns0:c>
      <ns0:c r="R315" s="0">
        <ns0:f>IF(AND(Bookings!G315="Pending",E315="Yes"),N315,0)</ns0:f>
        <ns0:v>0</ns0:v>
      </ns0:c>
      <ns0:c r="S315" s="0">
        <ns0:f>IF(AND(Bookings!G315="Approved",E315="No"),N315,0)</ns0:f>
        <ns0:v>0</ns0:v>
      </ns0:c>
      <ns0:c r="T315" s="0">
        <ns0:f>IFERROR(MATCH(D315,Settings!$G$7:$G$11,0),0)</ns0:f>
        <ns0:v>0</ns0:v>
      </ns0:c>
      <ns0:c r="U315" s="0">
        <ns0:f>IF(N315&gt;0,T315+IF(Bookings!G315="Pending",10,0),0)</ns0:f>
        <ns0:v>0</ns0:v>
      </ns0:c>
      <ns0:c r="V315" s="0">
        <ns0:f>U315</ns0:f>
        <ns0:v>0</ns0:v>
      </ns0:c>
      <ns0:c r="W315" s="0" t="str">
        <ns0:f>IF(C315=0,"",INDEX($AP$11:$AP$60,C315))</ns0:f>
        <ns0:v/>
      </ns0:c>
    </ns0:row>
    <ns0:row r="316">
      <ns0:c r="A316" s="0">
        <ns0:f>IF(COUNTA(Bookings!A316:G316,Bookings!I316)=0,0,1)</ns0:f>
        <ns0:v>0</ns0:v>
      </ns0:c>
      <ns0:c r="B316" s="0" t="str">
        <ns0:f>IFERROR(TRIM(MID(Bookings!A316,FIND(" · ",Bookings!A316)+3,99)),"")</ns0:f>
        <ns0:v/>
      </ns0:c>
      <ns0:c r="C316" s="0">
        <ns0:f>IF(OR(B316="",LEN(B316)&gt;24,ISNUMBER(FIND(" ",B316)),ISNUMBER(FIND("*",B316)),ISNUMBER(FIND("?",B316)),ISNUMBER(FIND("~",B316))),0,IFERROR(MATCH(B316,Team!$A$11:$A$60,0),0))</ns0:f>
        <ns0:v>0</ns0:v>
      </ns0:c>
      <ns0:c r="D316" s="0" t="str">
        <ns0:f>IFERROR(IF(MID(Bookings!F316,LEN(Bookings!F316)-3,3)=" · ",RIGHT(Bookings!F316,1),""),"")</ns0:f>
        <ns0:v/>
      </ns0:c>
      <ns0:c r="E316" s="0" t="str">
        <ns0:f>IFERROR(INDEX(Settings!$H$7:$H$11,MATCH(D316,Settings!$G$7:$G$11,0)),"")</ns0:f>
        <ns0:v/>
      </ns0:c>
      <ns0:c r="F316" s="0" t="str">
        <ns0:f>IF(A316=0,"",IFERROR(IF(OR(B316="",C316=0),"CHECK employee selection",IF(INDEX(Team!$O$11:$O$60,C316)&lt;&gt;"OK","CHECK employee setup",IF(OR('_Dates'!J316=0,'_Dates'!T316=0),"CHECK date: use DD.MM.YYYY",IF('_Dates'!T316&lt;'_Dates'!J316,"CHECK end before start",IF(AND($B$6=0,OR('_Dates'!J316&lt;Settings!$B$7,'_Dates'!T316&gt;Settings!$B$8)),"CHECK split across leave years",IF(OR(NOT(OR('_Dates'!U316="Full day",'_Dates'!U316="AM",'_Dates'!U316="PM")),NOT(OR('_Dates'!V316="Full day",'_Dates'!V316="AM",'_Dates'!V316="PM"))),"CHECK Full day / AM / PM",IF(AND('_Dates'!J316='_Dates'!T316,'_Dates'!U316&lt;&gt;"Full day",'_Dates'!V316&lt;&gt;"Full day",'_Dates'!U316&lt;&gt;'_Dates'!V316),"CHECK same-day portions disagree",IF(AND($B$6=0,OR(AND('_Dates'!U316&lt;&gt;"Full day",'_Dates'!AA316=0),AND('_Dates'!V316&lt;&gt;"Full day",'_Dates'!AB316=0))),"CHECK half-day on non-working date",IF(COUNTIF(Settings!$G$7:$G$11,D316)&lt;&gt;1,"CHECK leave type",IF(AND(Bookings!G316&lt;&gt;"Approved",Bookings!G316&lt;&gt;"Pending",Bookings!G316&lt;&gt;"Cancelled"),"CHECK status","OK")))))))))),"CHECK input"))</ns0:f>
        <ns0:v/>
      </ns0:c>
      <ns0:c r="G316" s="0">
        <ns0:f>IF(OR(F316&lt;&gt;"OK",$B$6&gt;0),0,0.5*(IF(('_Dates'!X316)&lt;('_Dates'!W316),0,INT((('_Dates'!X316)-('_Dates'!W316)+1)/7)*LEN(SUBSTITUTE(W316,"O",""))+LEN(SUBSTITUTE(MID(W316&amp;W316,WEEKDAY(('_Dates'!W316),2),MOD((('_Dates'!X316)-('_Dates'!W316)+1),7)),"O",""))-COUNTIFS(INDEX(AllClosureRows,C316,0),"&gt;="&amp;('_Dates'!W316),INDEX(AllClosureRows,C316,0),"&lt;="&amp;('_Dates'!X316)))+IF(('_Dates'!Z316)&lt;('_Dates'!Y316),0,INT((('_Dates'!Z316)-('_Dates'!Y316)+1)/7)*LEN(SUBSTITUTE(W316,"O",""))+LEN(SUBSTITUTE(MID(W316&amp;W316,WEEKDAY(('_Dates'!Y316),2),MOD((('_Dates'!Z316)-('_Dates'!Y316)+1),7)),"O",""))-COUNTIFS(INDEX(AllClosureRows,C316,0),"&gt;="&amp;('_Dates'!Y316),INDEX(AllClosureRows,C316,0),"&lt;="&amp;('_Dates'!Z316)))))</ns0:f>
        <ns0:v>0</ns0:v>
      </ns0:c>
      <ns0:c r="H316" s="0">
        <ns0:f>IF(OR(F316&lt;&gt;"OK",$B$6&gt;0),0,0.5*(IF((MIN('_Dates'!X316,Settings!$B$9))&lt;('_Dates'!W316),0,INT(((MIN('_Dates'!X316,Settings!$B$9))-('_Dates'!W316)+1)/7)*LEN(SUBSTITUTE(W316,"O",""))+LEN(SUBSTITUTE(MID(W316&amp;W316,WEEKDAY(('_Dates'!W316),2),MOD(((MIN('_Dates'!X316,Settings!$B$9))-('_Dates'!W316)+1),7)),"O",""))-COUNTIFS(INDEX(AllClosureRows,C316,0),"&gt;="&amp;('_Dates'!W316),INDEX(AllClosureRows,C316,0),"&lt;="&amp;(MIN('_Dates'!X316,Settings!$B$9))))+IF((MIN('_Dates'!Z316,Settings!$B$9))&lt;('_Dates'!Y316),0,INT(((MIN('_Dates'!Z316,Settings!$B$9))-('_Dates'!Y316)+1)/7)*LEN(SUBSTITUTE(W316,"O",""))+LEN(SUBSTITUTE(MID(W316&amp;W316,WEEKDAY(('_Dates'!Y316),2),MOD(((MIN('_Dates'!Z316,Settings!$B$9))-('_Dates'!Y316)+1),7)),"O",""))-COUNTIFS(INDEX(AllClosureRows,C316,0),"&gt;="&amp;('_Dates'!Y316),INDEX(AllClosureRows,C316,0),"&lt;="&amp;(MIN('_Dates'!Z316,Settings!$B$9))))))</ns0:f>
        <ns0:v>0</ns0:v>
      </ns0:c>
      <ns0:c r="I316" s="0">
        <ns0:f>MAX(0,G316-H316)</ns0:f>
        <ns0:v>0</ns0:v>
      </ns0:c>
      <ns0:c r="J316" s="0">
        <ns0:f>IF(OR(A316=0,F316&lt;&gt;"OK",Bookings!G316="Cancelled",$B$6&gt;0),0,IF('_Dates'!AC316=1,MAX(0,COUNTIFS(rngEngine_B,B316,rngAMStart,"&lt;="&amp;'_Dates'!X316,rngAMEnd,"&gt;="&amp;'_Dates'!W316,rngAMActive,1,rngEngine_F,"OK",rngBookings_F,"&lt;&gt;Cancelled")-1),0)+IF('_Dates'!AD316=1,MAX(0,COUNTIFS(rngEngine_B,B316,rngPMStart,"&lt;="&amp;'_Dates'!Z316,rngPMEnd,"&gt;="&amp;'_Dates'!Y316,rngPMActive,1,rngEngine_F,"OK",rngBookings_F,"&lt;&gt;Cancelled")-1),0))</ns0:f>
        <ns0:v>0</ns0:v>
      </ns0:c>
      <ns0:c r="K316" s="0" t="str">
        <ns0:f>IF(A316=0,"",IF(F316&lt;&gt;"OK",F316,IF(J316&gt;0,"CHECK overlapping entry",IF(AND($B$6=0,G316&lt;=0,Bookings!G316&lt;&gt;"Cancelled"),"CHECK no working days",IF(Bookings!G316="Cancelled","Cancelled","OK")))))</ns0:f>
        <ns0:v/>
      </ns0:c>
      <ns0:c r="L316" s="0">
        <ns0:f>IF(LEFT(K316,5)="CHECK",1,0)</ns0:f>
        <ns0:v>0</ns0:v>
      </ns0:c>
      <ns0:c r="M316" s="0">
        <ns0:f>IF(AND(L316=1,OR(C316=0,IFERROR(INDEX($X$11:$X$60,C316),0)=0)),1,0)</ns0:f>
        <ns0:v>0</ns0:v>
      </ns0:c>
      <ns0:c r="N316" s="0">
        <ns0:f>IF(OR(A316=0,L316&gt;0,$B$6&gt;0,Bookings!G316="Cancelled"),0,G316)</ns0:f>
        <ns0:v>0</ns0:v>
      </ns0:c>
      <ns0:c r="O316" s="0">
        <ns0:f>IF(AND(Bookings!G316="Approved",E316="Yes"),N316,0)</ns0:f>
        <ns0:v>0</ns0:v>
      </ns0:c>
      <ns0:c r="P316" s="0">
        <ns0:f>IF(AND(Bookings!G316="Approved",E316="Yes",L316=0,$B$6=0),H316,0)</ns0:f>
        <ns0:v>0</ns0:v>
      </ns0:c>
      <ns0:c r="Q316" s="0">
        <ns0:f>IF(AND(Bookings!G316="Approved",E316="Yes",L316=0,$B$6=0),I316,0)</ns0:f>
        <ns0:v>0</ns0:v>
      </ns0:c>
      <ns0:c r="R316" s="0">
        <ns0:f>IF(AND(Bookings!G316="Pending",E316="Yes"),N316,0)</ns0:f>
        <ns0:v>0</ns0:v>
      </ns0:c>
      <ns0:c r="S316" s="0">
        <ns0:f>IF(AND(Bookings!G316="Approved",E316="No"),N316,0)</ns0:f>
        <ns0:v>0</ns0:v>
      </ns0:c>
      <ns0:c r="T316" s="0">
        <ns0:f>IFERROR(MATCH(D316,Settings!$G$7:$G$11,0),0)</ns0:f>
        <ns0:v>0</ns0:v>
      </ns0:c>
      <ns0:c r="U316" s="0">
        <ns0:f>IF(N316&gt;0,T316+IF(Bookings!G316="Pending",10,0),0)</ns0:f>
        <ns0:v>0</ns0:v>
      </ns0:c>
      <ns0:c r="V316" s="0">
        <ns0:f>U316</ns0:f>
        <ns0:v>0</ns0:v>
      </ns0:c>
      <ns0:c r="W316" s="0" t="str">
        <ns0:f>IF(C316=0,"",INDEX($AP$11:$AP$60,C316))</ns0:f>
        <ns0:v/>
      </ns0:c>
    </ns0:row>
    <ns0:row r="317">
      <ns0:c r="A317" s="0">
        <ns0:f>IF(COUNTA(Bookings!A317:G317,Bookings!I317)=0,0,1)</ns0:f>
        <ns0:v>0</ns0:v>
      </ns0:c>
      <ns0:c r="B317" s="0" t="str">
        <ns0:f>IFERROR(TRIM(MID(Bookings!A317,FIND(" · ",Bookings!A317)+3,99)),"")</ns0:f>
        <ns0:v/>
      </ns0:c>
      <ns0:c r="C317" s="0">
        <ns0:f>IF(OR(B317="",LEN(B317)&gt;24,ISNUMBER(FIND(" ",B317)),ISNUMBER(FIND("*",B317)),ISNUMBER(FIND("?",B317)),ISNUMBER(FIND("~",B317))),0,IFERROR(MATCH(B317,Team!$A$11:$A$60,0),0))</ns0:f>
        <ns0:v>0</ns0:v>
      </ns0:c>
      <ns0:c r="D317" s="0" t="str">
        <ns0:f>IFERROR(IF(MID(Bookings!F317,LEN(Bookings!F317)-3,3)=" · ",RIGHT(Bookings!F317,1),""),"")</ns0:f>
        <ns0:v/>
      </ns0:c>
      <ns0:c r="E317" s="0" t="str">
        <ns0:f>IFERROR(INDEX(Settings!$H$7:$H$11,MATCH(D317,Settings!$G$7:$G$11,0)),"")</ns0:f>
        <ns0:v/>
      </ns0:c>
      <ns0:c r="F317" s="0" t="str">
        <ns0:f>IF(A317=0,"",IFERROR(IF(OR(B317="",C317=0),"CHECK employee selection",IF(INDEX(Team!$O$11:$O$60,C317)&lt;&gt;"OK","CHECK employee setup",IF(OR('_Dates'!J317=0,'_Dates'!T317=0),"CHECK date: use DD.MM.YYYY",IF('_Dates'!T317&lt;'_Dates'!J317,"CHECK end before start",IF(AND($B$6=0,OR('_Dates'!J317&lt;Settings!$B$7,'_Dates'!T317&gt;Settings!$B$8)),"CHECK split across leave years",IF(OR(NOT(OR('_Dates'!U317="Full day",'_Dates'!U317="AM",'_Dates'!U317="PM")),NOT(OR('_Dates'!V317="Full day",'_Dates'!V317="AM",'_Dates'!V317="PM"))),"CHECK Full day / AM / PM",IF(AND('_Dates'!J317='_Dates'!T317,'_Dates'!U317&lt;&gt;"Full day",'_Dates'!V317&lt;&gt;"Full day",'_Dates'!U317&lt;&gt;'_Dates'!V317),"CHECK same-day portions disagree",IF(AND($B$6=0,OR(AND('_Dates'!U317&lt;&gt;"Full day",'_Dates'!AA317=0),AND('_Dates'!V317&lt;&gt;"Full day",'_Dates'!AB317=0))),"CHECK half-day on non-working date",IF(COUNTIF(Settings!$G$7:$G$11,D317)&lt;&gt;1,"CHECK leave type",IF(AND(Bookings!G317&lt;&gt;"Approved",Bookings!G317&lt;&gt;"Pending",Bookings!G317&lt;&gt;"Cancelled"),"CHECK status","OK")))))))))),"CHECK input"))</ns0:f>
        <ns0:v/>
      </ns0:c>
      <ns0:c r="G317" s="0">
        <ns0:f>IF(OR(F317&lt;&gt;"OK",$B$6&gt;0),0,0.5*(IF(('_Dates'!X317)&lt;('_Dates'!W317),0,INT((('_Dates'!X317)-('_Dates'!W317)+1)/7)*LEN(SUBSTITUTE(W317,"O",""))+LEN(SUBSTITUTE(MID(W317&amp;W317,WEEKDAY(('_Dates'!W317),2),MOD((('_Dates'!X317)-('_Dates'!W317)+1),7)),"O",""))-COUNTIFS(INDEX(AllClosureRows,C317,0),"&gt;="&amp;('_Dates'!W317),INDEX(AllClosureRows,C317,0),"&lt;="&amp;('_Dates'!X317)))+IF(('_Dates'!Z317)&lt;('_Dates'!Y317),0,INT((('_Dates'!Z317)-('_Dates'!Y317)+1)/7)*LEN(SUBSTITUTE(W317,"O",""))+LEN(SUBSTITUTE(MID(W317&amp;W317,WEEKDAY(('_Dates'!Y317),2),MOD((('_Dates'!Z317)-('_Dates'!Y317)+1),7)),"O",""))-COUNTIFS(INDEX(AllClosureRows,C317,0),"&gt;="&amp;('_Dates'!Y317),INDEX(AllClosureRows,C317,0),"&lt;="&amp;('_Dates'!Z317)))))</ns0:f>
        <ns0:v>0</ns0:v>
      </ns0:c>
      <ns0:c r="H317" s="0">
        <ns0:f>IF(OR(F317&lt;&gt;"OK",$B$6&gt;0),0,0.5*(IF((MIN('_Dates'!X317,Settings!$B$9))&lt;('_Dates'!W317),0,INT(((MIN('_Dates'!X317,Settings!$B$9))-('_Dates'!W317)+1)/7)*LEN(SUBSTITUTE(W317,"O",""))+LEN(SUBSTITUTE(MID(W317&amp;W317,WEEKDAY(('_Dates'!W317),2),MOD(((MIN('_Dates'!X317,Settings!$B$9))-('_Dates'!W317)+1),7)),"O",""))-COUNTIFS(INDEX(AllClosureRows,C317,0),"&gt;="&amp;('_Dates'!W317),INDEX(AllClosureRows,C317,0),"&lt;="&amp;(MIN('_Dates'!X317,Settings!$B$9))))+IF((MIN('_Dates'!Z317,Settings!$B$9))&lt;('_Dates'!Y317),0,INT(((MIN('_Dates'!Z317,Settings!$B$9))-('_Dates'!Y317)+1)/7)*LEN(SUBSTITUTE(W317,"O",""))+LEN(SUBSTITUTE(MID(W317&amp;W317,WEEKDAY(('_Dates'!Y317),2),MOD(((MIN('_Dates'!Z317,Settings!$B$9))-('_Dates'!Y317)+1),7)),"O",""))-COUNTIFS(INDEX(AllClosureRows,C317,0),"&gt;="&amp;('_Dates'!Y317),INDEX(AllClosureRows,C317,0),"&lt;="&amp;(MIN('_Dates'!Z317,Settings!$B$9))))))</ns0:f>
        <ns0:v>0</ns0:v>
      </ns0:c>
      <ns0:c r="I317" s="0">
        <ns0:f>MAX(0,G317-H317)</ns0:f>
        <ns0:v>0</ns0:v>
      </ns0:c>
      <ns0:c r="J317" s="0">
        <ns0:f>IF(OR(A317=0,F317&lt;&gt;"OK",Bookings!G317="Cancelled",$B$6&gt;0),0,IF('_Dates'!AC317=1,MAX(0,COUNTIFS(rngEngine_B,B317,rngAMStart,"&lt;="&amp;'_Dates'!X317,rngAMEnd,"&gt;="&amp;'_Dates'!W317,rngAMActive,1,rngEngine_F,"OK",rngBookings_F,"&lt;&gt;Cancelled")-1),0)+IF('_Dates'!AD317=1,MAX(0,COUNTIFS(rngEngine_B,B317,rngPMStart,"&lt;="&amp;'_Dates'!Z317,rngPMEnd,"&gt;="&amp;'_Dates'!Y317,rngPMActive,1,rngEngine_F,"OK",rngBookings_F,"&lt;&gt;Cancelled")-1),0))</ns0:f>
        <ns0:v>0</ns0:v>
      </ns0:c>
      <ns0:c r="K317" s="0" t="str">
        <ns0:f>IF(A317=0,"",IF(F317&lt;&gt;"OK",F317,IF(J317&gt;0,"CHECK overlapping entry",IF(AND($B$6=0,G317&lt;=0,Bookings!G317&lt;&gt;"Cancelled"),"CHECK no working days",IF(Bookings!G317="Cancelled","Cancelled","OK")))))</ns0:f>
        <ns0:v/>
      </ns0:c>
      <ns0:c r="L317" s="0">
        <ns0:f>IF(LEFT(K317,5)="CHECK",1,0)</ns0:f>
        <ns0:v>0</ns0:v>
      </ns0:c>
      <ns0:c r="M317" s="0">
        <ns0:f>IF(AND(L317=1,OR(C317=0,IFERROR(INDEX($X$11:$X$60,C317),0)=0)),1,0)</ns0:f>
        <ns0:v>0</ns0:v>
      </ns0:c>
      <ns0:c r="N317" s="0">
        <ns0:f>IF(OR(A317=0,L317&gt;0,$B$6&gt;0,Bookings!G317="Cancelled"),0,G317)</ns0:f>
        <ns0:v>0</ns0:v>
      </ns0:c>
      <ns0:c r="O317" s="0">
        <ns0:f>IF(AND(Bookings!G317="Approved",E317="Yes"),N317,0)</ns0:f>
        <ns0:v>0</ns0:v>
      </ns0:c>
      <ns0:c r="P317" s="0">
        <ns0:f>IF(AND(Bookings!G317="Approved",E317="Yes",L317=0,$B$6=0),H317,0)</ns0:f>
        <ns0:v>0</ns0:v>
      </ns0:c>
      <ns0:c r="Q317" s="0">
        <ns0:f>IF(AND(Bookings!G317="Approved",E317="Yes",L317=0,$B$6=0),I317,0)</ns0:f>
        <ns0:v>0</ns0:v>
      </ns0:c>
      <ns0:c r="R317" s="0">
        <ns0:f>IF(AND(Bookings!G317="Pending",E317="Yes"),N317,0)</ns0:f>
        <ns0:v>0</ns0:v>
      </ns0:c>
      <ns0:c r="S317" s="0">
        <ns0:f>IF(AND(Bookings!G317="Approved",E317="No"),N317,0)</ns0:f>
        <ns0:v>0</ns0:v>
      </ns0:c>
      <ns0:c r="T317" s="0">
        <ns0:f>IFERROR(MATCH(D317,Settings!$G$7:$G$11,0),0)</ns0:f>
        <ns0:v>0</ns0:v>
      </ns0:c>
      <ns0:c r="U317" s="0">
        <ns0:f>IF(N317&gt;0,T317+IF(Bookings!G317="Pending",10,0),0)</ns0:f>
        <ns0:v>0</ns0:v>
      </ns0:c>
      <ns0:c r="V317" s="0">
        <ns0:f>U317</ns0:f>
        <ns0:v>0</ns0:v>
      </ns0:c>
      <ns0:c r="W317" s="0" t="str">
        <ns0:f>IF(C317=0,"",INDEX($AP$11:$AP$60,C317))</ns0:f>
        <ns0:v/>
      </ns0:c>
    </ns0:row>
    <ns0:row r="318">
      <ns0:c r="A318" s="0">
        <ns0:f>IF(COUNTA(Bookings!A318:G318,Bookings!I318)=0,0,1)</ns0:f>
        <ns0:v>0</ns0:v>
      </ns0:c>
      <ns0:c r="B318" s="0" t="str">
        <ns0:f>IFERROR(TRIM(MID(Bookings!A318,FIND(" · ",Bookings!A318)+3,99)),"")</ns0:f>
        <ns0:v/>
      </ns0:c>
      <ns0:c r="C318" s="0">
        <ns0:f>IF(OR(B318="",LEN(B318)&gt;24,ISNUMBER(FIND(" ",B318)),ISNUMBER(FIND("*",B318)),ISNUMBER(FIND("?",B318)),ISNUMBER(FIND("~",B318))),0,IFERROR(MATCH(B318,Team!$A$11:$A$60,0),0))</ns0:f>
        <ns0:v>0</ns0:v>
      </ns0:c>
      <ns0:c r="D318" s="0" t="str">
        <ns0:f>IFERROR(IF(MID(Bookings!F318,LEN(Bookings!F318)-3,3)=" · ",RIGHT(Bookings!F318,1),""),"")</ns0:f>
        <ns0:v/>
      </ns0:c>
      <ns0:c r="E318" s="0" t="str">
        <ns0:f>IFERROR(INDEX(Settings!$H$7:$H$11,MATCH(D318,Settings!$G$7:$G$11,0)),"")</ns0:f>
        <ns0:v/>
      </ns0:c>
      <ns0:c r="F318" s="0" t="str">
        <ns0:f>IF(A318=0,"",IFERROR(IF(OR(B318="",C318=0),"CHECK employee selection",IF(INDEX(Team!$O$11:$O$60,C318)&lt;&gt;"OK","CHECK employee setup",IF(OR('_Dates'!J318=0,'_Dates'!T318=0),"CHECK date: use DD.MM.YYYY",IF('_Dates'!T318&lt;'_Dates'!J318,"CHECK end before start",IF(AND($B$6=0,OR('_Dates'!J318&lt;Settings!$B$7,'_Dates'!T318&gt;Settings!$B$8)),"CHECK split across leave years",IF(OR(NOT(OR('_Dates'!U318="Full day",'_Dates'!U318="AM",'_Dates'!U318="PM")),NOT(OR('_Dates'!V318="Full day",'_Dates'!V318="AM",'_Dates'!V318="PM"))),"CHECK Full day / AM / PM",IF(AND('_Dates'!J318='_Dates'!T318,'_Dates'!U318&lt;&gt;"Full day",'_Dates'!V318&lt;&gt;"Full day",'_Dates'!U318&lt;&gt;'_Dates'!V318),"CHECK same-day portions disagree",IF(AND($B$6=0,OR(AND('_Dates'!U318&lt;&gt;"Full day",'_Dates'!AA318=0),AND('_Dates'!V318&lt;&gt;"Full day",'_Dates'!AB318=0))),"CHECK half-day on non-working date",IF(COUNTIF(Settings!$G$7:$G$11,D318)&lt;&gt;1,"CHECK leave type",IF(AND(Bookings!G318&lt;&gt;"Approved",Bookings!G318&lt;&gt;"Pending",Bookings!G318&lt;&gt;"Cancelled"),"CHECK status","OK")))))))))),"CHECK input"))</ns0:f>
        <ns0:v/>
      </ns0:c>
      <ns0:c r="G318" s="0">
        <ns0:f>IF(OR(F318&lt;&gt;"OK",$B$6&gt;0),0,0.5*(IF(('_Dates'!X318)&lt;('_Dates'!W318),0,INT((('_Dates'!X318)-('_Dates'!W318)+1)/7)*LEN(SUBSTITUTE(W318,"O",""))+LEN(SUBSTITUTE(MID(W318&amp;W318,WEEKDAY(('_Dates'!W318),2),MOD((('_Dates'!X318)-('_Dates'!W318)+1),7)),"O",""))-COUNTIFS(INDEX(AllClosureRows,C318,0),"&gt;="&amp;('_Dates'!W318),INDEX(AllClosureRows,C318,0),"&lt;="&amp;('_Dates'!X318)))+IF(('_Dates'!Z318)&lt;('_Dates'!Y318),0,INT((('_Dates'!Z318)-('_Dates'!Y318)+1)/7)*LEN(SUBSTITUTE(W318,"O",""))+LEN(SUBSTITUTE(MID(W318&amp;W318,WEEKDAY(('_Dates'!Y318),2),MOD((('_Dates'!Z318)-('_Dates'!Y318)+1),7)),"O",""))-COUNTIFS(INDEX(AllClosureRows,C318,0),"&gt;="&amp;('_Dates'!Y318),INDEX(AllClosureRows,C318,0),"&lt;="&amp;('_Dates'!Z318)))))</ns0:f>
        <ns0:v>0</ns0:v>
      </ns0:c>
      <ns0:c r="H318" s="0">
        <ns0:f>IF(OR(F318&lt;&gt;"OK",$B$6&gt;0),0,0.5*(IF((MIN('_Dates'!X318,Settings!$B$9))&lt;('_Dates'!W318),0,INT(((MIN('_Dates'!X318,Settings!$B$9))-('_Dates'!W318)+1)/7)*LEN(SUBSTITUTE(W318,"O",""))+LEN(SUBSTITUTE(MID(W318&amp;W318,WEEKDAY(('_Dates'!W318),2),MOD(((MIN('_Dates'!X318,Settings!$B$9))-('_Dates'!W318)+1),7)),"O",""))-COUNTIFS(INDEX(AllClosureRows,C318,0),"&gt;="&amp;('_Dates'!W318),INDEX(AllClosureRows,C318,0),"&lt;="&amp;(MIN('_Dates'!X318,Settings!$B$9))))+IF((MIN('_Dates'!Z318,Settings!$B$9))&lt;('_Dates'!Y318),0,INT(((MIN('_Dates'!Z318,Settings!$B$9))-('_Dates'!Y318)+1)/7)*LEN(SUBSTITUTE(W318,"O",""))+LEN(SUBSTITUTE(MID(W318&amp;W318,WEEKDAY(('_Dates'!Y318),2),MOD(((MIN('_Dates'!Z318,Settings!$B$9))-('_Dates'!Y318)+1),7)),"O",""))-COUNTIFS(INDEX(AllClosureRows,C318,0),"&gt;="&amp;('_Dates'!Y318),INDEX(AllClosureRows,C318,0),"&lt;="&amp;(MIN('_Dates'!Z318,Settings!$B$9))))))</ns0:f>
        <ns0:v>0</ns0:v>
      </ns0:c>
      <ns0:c r="I318" s="0">
        <ns0:f>MAX(0,G318-H318)</ns0:f>
        <ns0:v>0</ns0:v>
      </ns0:c>
      <ns0:c r="J318" s="0">
        <ns0:f>IF(OR(A318=0,F318&lt;&gt;"OK",Bookings!G318="Cancelled",$B$6&gt;0),0,IF('_Dates'!AC318=1,MAX(0,COUNTIFS(rngEngine_B,B318,rngAMStart,"&lt;="&amp;'_Dates'!X318,rngAMEnd,"&gt;="&amp;'_Dates'!W318,rngAMActive,1,rngEngine_F,"OK",rngBookings_F,"&lt;&gt;Cancelled")-1),0)+IF('_Dates'!AD318=1,MAX(0,COUNTIFS(rngEngine_B,B318,rngPMStart,"&lt;="&amp;'_Dates'!Z318,rngPMEnd,"&gt;="&amp;'_Dates'!Y318,rngPMActive,1,rngEngine_F,"OK",rngBookings_F,"&lt;&gt;Cancelled")-1),0))</ns0:f>
        <ns0:v>0</ns0:v>
      </ns0:c>
      <ns0:c r="K318" s="0" t="str">
        <ns0:f>IF(A318=0,"",IF(F318&lt;&gt;"OK",F318,IF(J318&gt;0,"CHECK overlapping entry",IF(AND($B$6=0,G318&lt;=0,Bookings!G318&lt;&gt;"Cancelled"),"CHECK no working days",IF(Bookings!G318="Cancelled","Cancelled","OK")))))</ns0:f>
        <ns0:v/>
      </ns0:c>
      <ns0:c r="L318" s="0">
        <ns0:f>IF(LEFT(K318,5)="CHECK",1,0)</ns0:f>
        <ns0:v>0</ns0:v>
      </ns0:c>
      <ns0:c r="M318" s="0">
        <ns0:f>IF(AND(L318=1,OR(C318=0,IFERROR(INDEX($X$11:$X$60,C318),0)=0)),1,0)</ns0:f>
        <ns0:v>0</ns0:v>
      </ns0:c>
      <ns0:c r="N318" s="0">
        <ns0:f>IF(OR(A318=0,L318&gt;0,$B$6&gt;0,Bookings!G318="Cancelled"),0,G318)</ns0:f>
        <ns0:v>0</ns0:v>
      </ns0:c>
      <ns0:c r="O318" s="0">
        <ns0:f>IF(AND(Bookings!G318="Approved",E318="Yes"),N318,0)</ns0:f>
        <ns0:v>0</ns0:v>
      </ns0:c>
      <ns0:c r="P318" s="0">
        <ns0:f>IF(AND(Bookings!G318="Approved",E318="Yes",L318=0,$B$6=0),H318,0)</ns0:f>
        <ns0:v>0</ns0:v>
      </ns0:c>
      <ns0:c r="Q318" s="0">
        <ns0:f>IF(AND(Bookings!G318="Approved",E318="Yes",L318=0,$B$6=0),I318,0)</ns0:f>
        <ns0:v>0</ns0:v>
      </ns0:c>
      <ns0:c r="R318" s="0">
        <ns0:f>IF(AND(Bookings!G318="Pending",E318="Yes"),N318,0)</ns0:f>
        <ns0:v>0</ns0:v>
      </ns0:c>
      <ns0:c r="S318" s="0">
        <ns0:f>IF(AND(Bookings!G318="Approved",E318="No"),N318,0)</ns0:f>
        <ns0:v>0</ns0:v>
      </ns0:c>
      <ns0:c r="T318" s="0">
        <ns0:f>IFERROR(MATCH(D318,Settings!$G$7:$G$11,0),0)</ns0:f>
        <ns0:v>0</ns0:v>
      </ns0:c>
      <ns0:c r="U318" s="0">
        <ns0:f>IF(N318&gt;0,T318+IF(Bookings!G318="Pending",10,0),0)</ns0:f>
        <ns0:v>0</ns0:v>
      </ns0:c>
      <ns0:c r="V318" s="0">
        <ns0:f>U318</ns0:f>
        <ns0:v>0</ns0:v>
      </ns0:c>
      <ns0:c r="W318" s="0" t="str">
        <ns0:f>IF(C318=0,"",INDEX($AP$11:$AP$60,C318))</ns0:f>
        <ns0:v/>
      </ns0:c>
    </ns0:row>
    <ns0:row r="319">
      <ns0:c r="A319" s="0">
        <ns0:f>IF(COUNTA(Bookings!A319:G319,Bookings!I319)=0,0,1)</ns0:f>
        <ns0:v>0</ns0:v>
      </ns0:c>
      <ns0:c r="B319" s="0" t="str">
        <ns0:f>IFERROR(TRIM(MID(Bookings!A319,FIND(" · ",Bookings!A319)+3,99)),"")</ns0:f>
        <ns0:v/>
      </ns0:c>
      <ns0:c r="C319" s="0">
        <ns0:f>IF(OR(B319="",LEN(B319)&gt;24,ISNUMBER(FIND(" ",B319)),ISNUMBER(FIND("*",B319)),ISNUMBER(FIND("?",B319)),ISNUMBER(FIND("~",B319))),0,IFERROR(MATCH(B319,Team!$A$11:$A$60,0),0))</ns0:f>
        <ns0:v>0</ns0:v>
      </ns0:c>
      <ns0:c r="D319" s="0" t="str">
        <ns0:f>IFERROR(IF(MID(Bookings!F319,LEN(Bookings!F319)-3,3)=" · ",RIGHT(Bookings!F319,1),""),"")</ns0:f>
        <ns0:v/>
      </ns0:c>
      <ns0:c r="E319" s="0" t="str">
        <ns0:f>IFERROR(INDEX(Settings!$H$7:$H$11,MATCH(D319,Settings!$G$7:$G$11,0)),"")</ns0:f>
        <ns0:v/>
      </ns0:c>
      <ns0:c r="F319" s="0" t="str">
        <ns0:f>IF(A319=0,"",IFERROR(IF(OR(B319="",C319=0),"CHECK employee selection",IF(INDEX(Team!$O$11:$O$60,C319)&lt;&gt;"OK","CHECK employee setup",IF(OR('_Dates'!J319=0,'_Dates'!T319=0),"CHECK date: use DD.MM.YYYY",IF('_Dates'!T319&lt;'_Dates'!J319,"CHECK end before start",IF(AND($B$6=0,OR('_Dates'!J319&lt;Settings!$B$7,'_Dates'!T319&gt;Settings!$B$8)),"CHECK split across leave years",IF(OR(NOT(OR('_Dates'!U319="Full day",'_Dates'!U319="AM",'_Dates'!U319="PM")),NOT(OR('_Dates'!V319="Full day",'_Dates'!V319="AM",'_Dates'!V319="PM"))),"CHECK Full day / AM / PM",IF(AND('_Dates'!J319='_Dates'!T319,'_Dates'!U319&lt;&gt;"Full day",'_Dates'!V319&lt;&gt;"Full day",'_Dates'!U319&lt;&gt;'_Dates'!V319),"CHECK same-day portions disagree",IF(AND($B$6=0,OR(AND('_Dates'!U319&lt;&gt;"Full day",'_Dates'!AA319=0),AND('_Dates'!V319&lt;&gt;"Full day",'_Dates'!AB319=0))),"CHECK half-day on non-working date",IF(COUNTIF(Settings!$G$7:$G$11,D319)&lt;&gt;1,"CHECK leave type",IF(AND(Bookings!G319&lt;&gt;"Approved",Bookings!G319&lt;&gt;"Pending",Bookings!G319&lt;&gt;"Cancelled"),"CHECK status","OK")))))))))),"CHECK input"))</ns0:f>
        <ns0:v/>
      </ns0:c>
      <ns0:c r="G319" s="0">
        <ns0:f>IF(OR(F319&lt;&gt;"OK",$B$6&gt;0),0,0.5*(IF(('_Dates'!X319)&lt;('_Dates'!W319),0,INT((('_Dates'!X319)-('_Dates'!W319)+1)/7)*LEN(SUBSTITUTE(W319,"O",""))+LEN(SUBSTITUTE(MID(W319&amp;W319,WEEKDAY(('_Dates'!W319),2),MOD((('_Dates'!X319)-('_Dates'!W319)+1),7)),"O",""))-COUNTIFS(INDEX(AllClosureRows,C319,0),"&gt;="&amp;('_Dates'!W319),INDEX(AllClosureRows,C319,0),"&lt;="&amp;('_Dates'!X319)))+IF(('_Dates'!Z319)&lt;('_Dates'!Y319),0,INT((('_Dates'!Z319)-('_Dates'!Y319)+1)/7)*LEN(SUBSTITUTE(W319,"O",""))+LEN(SUBSTITUTE(MID(W319&amp;W319,WEEKDAY(('_Dates'!Y319),2),MOD((('_Dates'!Z319)-('_Dates'!Y319)+1),7)),"O",""))-COUNTIFS(INDEX(AllClosureRows,C319,0),"&gt;="&amp;('_Dates'!Y319),INDEX(AllClosureRows,C319,0),"&lt;="&amp;('_Dates'!Z319)))))</ns0:f>
        <ns0:v>0</ns0:v>
      </ns0:c>
      <ns0:c r="H319" s="0">
        <ns0:f>IF(OR(F319&lt;&gt;"OK",$B$6&gt;0),0,0.5*(IF((MIN('_Dates'!X319,Settings!$B$9))&lt;('_Dates'!W319),0,INT(((MIN('_Dates'!X319,Settings!$B$9))-('_Dates'!W319)+1)/7)*LEN(SUBSTITUTE(W319,"O",""))+LEN(SUBSTITUTE(MID(W319&amp;W319,WEEKDAY(('_Dates'!W319),2),MOD(((MIN('_Dates'!X319,Settings!$B$9))-('_Dates'!W319)+1),7)),"O",""))-COUNTIFS(INDEX(AllClosureRows,C319,0),"&gt;="&amp;('_Dates'!W319),INDEX(AllClosureRows,C319,0),"&lt;="&amp;(MIN('_Dates'!X319,Settings!$B$9))))+IF((MIN('_Dates'!Z319,Settings!$B$9))&lt;('_Dates'!Y319),0,INT(((MIN('_Dates'!Z319,Settings!$B$9))-('_Dates'!Y319)+1)/7)*LEN(SUBSTITUTE(W319,"O",""))+LEN(SUBSTITUTE(MID(W319&amp;W319,WEEKDAY(('_Dates'!Y319),2),MOD(((MIN('_Dates'!Z319,Settings!$B$9))-('_Dates'!Y319)+1),7)),"O",""))-COUNTIFS(INDEX(AllClosureRows,C319,0),"&gt;="&amp;('_Dates'!Y319),INDEX(AllClosureRows,C319,0),"&lt;="&amp;(MIN('_Dates'!Z319,Settings!$B$9))))))</ns0:f>
        <ns0:v>0</ns0:v>
      </ns0:c>
      <ns0:c r="I319" s="0">
        <ns0:f>MAX(0,G319-H319)</ns0:f>
        <ns0:v>0</ns0:v>
      </ns0:c>
      <ns0:c r="J319" s="0">
        <ns0:f>IF(OR(A319=0,F319&lt;&gt;"OK",Bookings!G319="Cancelled",$B$6&gt;0),0,IF('_Dates'!AC319=1,MAX(0,COUNTIFS(rngEngine_B,B319,rngAMStart,"&lt;="&amp;'_Dates'!X319,rngAMEnd,"&gt;="&amp;'_Dates'!W319,rngAMActive,1,rngEngine_F,"OK",rngBookings_F,"&lt;&gt;Cancelled")-1),0)+IF('_Dates'!AD319=1,MAX(0,COUNTIFS(rngEngine_B,B319,rngPMStart,"&lt;="&amp;'_Dates'!Z319,rngPMEnd,"&gt;="&amp;'_Dates'!Y319,rngPMActive,1,rngEngine_F,"OK",rngBookings_F,"&lt;&gt;Cancelled")-1),0))</ns0:f>
        <ns0:v>0</ns0:v>
      </ns0:c>
      <ns0:c r="K319" s="0" t="str">
        <ns0:f>IF(A319=0,"",IF(F319&lt;&gt;"OK",F319,IF(J319&gt;0,"CHECK overlapping entry",IF(AND($B$6=0,G319&lt;=0,Bookings!G319&lt;&gt;"Cancelled"),"CHECK no working days",IF(Bookings!G319="Cancelled","Cancelled","OK")))))</ns0:f>
        <ns0:v/>
      </ns0:c>
      <ns0:c r="L319" s="0">
        <ns0:f>IF(LEFT(K319,5)="CHECK",1,0)</ns0:f>
        <ns0:v>0</ns0:v>
      </ns0:c>
      <ns0:c r="M319" s="0">
        <ns0:f>IF(AND(L319=1,OR(C319=0,IFERROR(INDEX($X$11:$X$60,C319),0)=0)),1,0)</ns0:f>
        <ns0:v>0</ns0:v>
      </ns0:c>
      <ns0:c r="N319" s="0">
        <ns0:f>IF(OR(A319=0,L319&gt;0,$B$6&gt;0,Bookings!G319="Cancelled"),0,G319)</ns0:f>
        <ns0:v>0</ns0:v>
      </ns0:c>
      <ns0:c r="O319" s="0">
        <ns0:f>IF(AND(Bookings!G319="Approved",E319="Yes"),N319,0)</ns0:f>
        <ns0:v>0</ns0:v>
      </ns0:c>
      <ns0:c r="P319" s="0">
        <ns0:f>IF(AND(Bookings!G319="Approved",E319="Yes",L319=0,$B$6=0),H319,0)</ns0:f>
        <ns0:v>0</ns0:v>
      </ns0:c>
      <ns0:c r="Q319" s="0">
        <ns0:f>IF(AND(Bookings!G319="Approved",E319="Yes",L319=0,$B$6=0),I319,0)</ns0:f>
        <ns0:v>0</ns0:v>
      </ns0:c>
      <ns0:c r="R319" s="0">
        <ns0:f>IF(AND(Bookings!G319="Pending",E319="Yes"),N319,0)</ns0:f>
        <ns0:v>0</ns0:v>
      </ns0:c>
      <ns0:c r="S319" s="0">
        <ns0:f>IF(AND(Bookings!G319="Approved",E319="No"),N319,0)</ns0:f>
        <ns0:v>0</ns0:v>
      </ns0:c>
      <ns0:c r="T319" s="0">
        <ns0:f>IFERROR(MATCH(D319,Settings!$G$7:$G$11,0),0)</ns0:f>
        <ns0:v>0</ns0:v>
      </ns0:c>
      <ns0:c r="U319" s="0">
        <ns0:f>IF(N319&gt;0,T319+IF(Bookings!G319="Pending",10,0),0)</ns0:f>
        <ns0:v>0</ns0:v>
      </ns0:c>
      <ns0:c r="V319" s="0">
        <ns0:f>U319</ns0:f>
        <ns0:v>0</ns0:v>
      </ns0:c>
      <ns0:c r="W319" s="0" t="str">
        <ns0:f>IF(C319=0,"",INDEX($AP$11:$AP$60,C319))</ns0:f>
        <ns0:v/>
      </ns0:c>
    </ns0:row>
    <ns0:row r="320">
      <ns0:c r="A320" s="0">
        <ns0:f>IF(COUNTA(Bookings!A320:G320,Bookings!I320)=0,0,1)</ns0:f>
        <ns0:v>0</ns0:v>
      </ns0:c>
      <ns0:c r="B320" s="0" t="str">
        <ns0:f>IFERROR(TRIM(MID(Bookings!A320,FIND(" · ",Bookings!A320)+3,99)),"")</ns0:f>
        <ns0:v/>
      </ns0:c>
      <ns0:c r="C320" s="0">
        <ns0:f>IF(OR(B320="",LEN(B320)&gt;24,ISNUMBER(FIND(" ",B320)),ISNUMBER(FIND("*",B320)),ISNUMBER(FIND("?",B320)),ISNUMBER(FIND("~",B320))),0,IFERROR(MATCH(B320,Team!$A$11:$A$60,0),0))</ns0:f>
        <ns0:v>0</ns0:v>
      </ns0:c>
      <ns0:c r="D320" s="0" t="str">
        <ns0:f>IFERROR(IF(MID(Bookings!F320,LEN(Bookings!F320)-3,3)=" · ",RIGHT(Bookings!F320,1),""),"")</ns0:f>
        <ns0:v/>
      </ns0:c>
      <ns0:c r="E320" s="0" t="str">
        <ns0:f>IFERROR(INDEX(Settings!$H$7:$H$11,MATCH(D320,Settings!$G$7:$G$11,0)),"")</ns0:f>
        <ns0:v/>
      </ns0:c>
      <ns0:c r="F320" s="0" t="str">
        <ns0:f>IF(A320=0,"",IFERROR(IF(OR(B320="",C320=0),"CHECK employee selection",IF(INDEX(Team!$O$11:$O$60,C320)&lt;&gt;"OK","CHECK employee setup",IF(OR('_Dates'!J320=0,'_Dates'!T320=0),"CHECK date: use DD.MM.YYYY",IF('_Dates'!T320&lt;'_Dates'!J320,"CHECK end before start",IF(AND($B$6=0,OR('_Dates'!J320&lt;Settings!$B$7,'_Dates'!T320&gt;Settings!$B$8)),"CHECK split across leave years",IF(OR(NOT(OR('_Dates'!U320="Full day",'_Dates'!U320="AM",'_Dates'!U320="PM")),NOT(OR('_Dates'!V320="Full day",'_Dates'!V320="AM",'_Dates'!V320="PM"))),"CHECK Full day / AM / PM",IF(AND('_Dates'!J320='_Dates'!T320,'_Dates'!U320&lt;&gt;"Full day",'_Dates'!V320&lt;&gt;"Full day",'_Dates'!U320&lt;&gt;'_Dates'!V320),"CHECK same-day portions disagree",IF(AND($B$6=0,OR(AND('_Dates'!U320&lt;&gt;"Full day",'_Dates'!AA320=0),AND('_Dates'!V320&lt;&gt;"Full day",'_Dates'!AB320=0))),"CHECK half-day on non-working date",IF(COUNTIF(Settings!$G$7:$G$11,D320)&lt;&gt;1,"CHECK leave type",IF(AND(Bookings!G320&lt;&gt;"Approved",Bookings!G320&lt;&gt;"Pending",Bookings!G320&lt;&gt;"Cancelled"),"CHECK status","OK")))))))))),"CHECK input"))</ns0:f>
        <ns0:v/>
      </ns0:c>
      <ns0:c r="G320" s="0">
        <ns0:f>IF(OR(F320&lt;&gt;"OK",$B$6&gt;0),0,0.5*(IF(('_Dates'!X320)&lt;('_Dates'!W320),0,INT((('_Dates'!X320)-('_Dates'!W320)+1)/7)*LEN(SUBSTITUTE(W320,"O",""))+LEN(SUBSTITUTE(MID(W320&amp;W320,WEEKDAY(('_Dates'!W320),2),MOD((('_Dates'!X320)-('_Dates'!W320)+1),7)),"O",""))-COUNTIFS(INDEX(AllClosureRows,C320,0),"&gt;="&amp;('_Dates'!W320),INDEX(AllClosureRows,C320,0),"&lt;="&amp;('_Dates'!X320)))+IF(('_Dates'!Z320)&lt;('_Dates'!Y320),0,INT((('_Dates'!Z320)-('_Dates'!Y320)+1)/7)*LEN(SUBSTITUTE(W320,"O",""))+LEN(SUBSTITUTE(MID(W320&amp;W320,WEEKDAY(('_Dates'!Y320),2),MOD((('_Dates'!Z320)-('_Dates'!Y320)+1),7)),"O",""))-COUNTIFS(INDEX(AllClosureRows,C320,0),"&gt;="&amp;('_Dates'!Y320),INDEX(AllClosureRows,C320,0),"&lt;="&amp;('_Dates'!Z320)))))</ns0:f>
        <ns0:v>0</ns0:v>
      </ns0:c>
      <ns0:c r="H320" s="0">
        <ns0:f>IF(OR(F320&lt;&gt;"OK",$B$6&gt;0),0,0.5*(IF((MIN('_Dates'!X320,Settings!$B$9))&lt;('_Dates'!W320),0,INT(((MIN('_Dates'!X320,Settings!$B$9))-('_Dates'!W320)+1)/7)*LEN(SUBSTITUTE(W320,"O",""))+LEN(SUBSTITUTE(MID(W320&amp;W320,WEEKDAY(('_Dates'!W320),2),MOD(((MIN('_Dates'!X320,Settings!$B$9))-('_Dates'!W320)+1),7)),"O",""))-COUNTIFS(INDEX(AllClosureRows,C320,0),"&gt;="&amp;('_Dates'!W320),INDEX(AllClosureRows,C320,0),"&lt;="&amp;(MIN('_Dates'!X320,Settings!$B$9))))+IF((MIN('_Dates'!Z320,Settings!$B$9))&lt;('_Dates'!Y320),0,INT(((MIN('_Dates'!Z320,Settings!$B$9))-('_Dates'!Y320)+1)/7)*LEN(SUBSTITUTE(W320,"O",""))+LEN(SUBSTITUTE(MID(W320&amp;W320,WEEKDAY(('_Dates'!Y320),2),MOD(((MIN('_Dates'!Z320,Settings!$B$9))-('_Dates'!Y320)+1),7)),"O",""))-COUNTIFS(INDEX(AllClosureRows,C320,0),"&gt;="&amp;('_Dates'!Y320),INDEX(AllClosureRows,C320,0),"&lt;="&amp;(MIN('_Dates'!Z320,Settings!$B$9))))))</ns0:f>
        <ns0:v>0</ns0:v>
      </ns0:c>
      <ns0:c r="I320" s="0">
        <ns0:f>MAX(0,G320-H320)</ns0:f>
        <ns0:v>0</ns0:v>
      </ns0:c>
      <ns0:c r="J320" s="0">
        <ns0:f>IF(OR(A320=0,F320&lt;&gt;"OK",Bookings!G320="Cancelled",$B$6&gt;0),0,IF('_Dates'!AC320=1,MAX(0,COUNTIFS(rngEngine_B,B320,rngAMStart,"&lt;="&amp;'_Dates'!X320,rngAMEnd,"&gt;="&amp;'_Dates'!W320,rngAMActive,1,rngEngine_F,"OK",rngBookings_F,"&lt;&gt;Cancelled")-1),0)+IF('_Dates'!AD320=1,MAX(0,COUNTIFS(rngEngine_B,B320,rngPMStart,"&lt;="&amp;'_Dates'!Z320,rngPMEnd,"&gt;="&amp;'_Dates'!Y320,rngPMActive,1,rngEngine_F,"OK",rngBookings_F,"&lt;&gt;Cancelled")-1),0))</ns0:f>
        <ns0:v>0</ns0:v>
      </ns0:c>
      <ns0:c r="K320" s="0" t="str">
        <ns0:f>IF(A320=0,"",IF(F320&lt;&gt;"OK",F320,IF(J320&gt;0,"CHECK overlapping entry",IF(AND($B$6=0,G320&lt;=0,Bookings!G320&lt;&gt;"Cancelled"),"CHECK no working days",IF(Bookings!G320="Cancelled","Cancelled","OK")))))</ns0:f>
        <ns0:v/>
      </ns0:c>
      <ns0:c r="L320" s="0">
        <ns0:f>IF(LEFT(K320,5)="CHECK",1,0)</ns0:f>
        <ns0:v>0</ns0:v>
      </ns0:c>
      <ns0:c r="M320" s="0">
        <ns0:f>IF(AND(L320=1,OR(C320=0,IFERROR(INDEX($X$11:$X$60,C320),0)=0)),1,0)</ns0:f>
        <ns0:v>0</ns0:v>
      </ns0:c>
      <ns0:c r="N320" s="0">
        <ns0:f>IF(OR(A320=0,L320&gt;0,$B$6&gt;0,Bookings!G320="Cancelled"),0,G320)</ns0:f>
        <ns0:v>0</ns0:v>
      </ns0:c>
      <ns0:c r="O320" s="0">
        <ns0:f>IF(AND(Bookings!G320="Approved",E320="Yes"),N320,0)</ns0:f>
        <ns0:v>0</ns0:v>
      </ns0:c>
      <ns0:c r="P320" s="0">
        <ns0:f>IF(AND(Bookings!G320="Approved",E320="Yes",L320=0,$B$6=0),H320,0)</ns0:f>
        <ns0:v>0</ns0:v>
      </ns0:c>
      <ns0:c r="Q320" s="0">
        <ns0:f>IF(AND(Bookings!G320="Approved",E320="Yes",L320=0,$B$6=0),I320,0)</ns0:f>
        <ns0:v>0</ns0:v>
      </ns0:c>
      <ns0:c r="R320" s="0">
        <ns0:f>IF(AND(Bookings!G320="Pending",E320="Yes"),N320,0)</ns0:f>
        <ns0:v>0</ns0:v>
      </ns0:c>
      <ns0:c r="S320" s="0">
        <ns0:f>IF(AND(Bookings!G320="Approved",E320="No"),N320,0)</ns0:f>
        <ns0:v>0</ns0:v>
      </ns0:c>
      <ns0:c r="T320" s="0">
        <ns0:f>IFERROR(MATCH(D320,Settings!$G$7:$G$11,0),0)</ns0:f>
        <ns0:v>0</ns0:v>
      </ns0:c>
      <ns0:c r="U320" s="0">
        <ns0:f>IF(N320&gt;0,T320+IF(Bookings!G320="Pending",10,0),0)</ns0:f>
        <ns0:v>0</ns0:v>
      </ns0:c>
      <ns0:c r="V320" s="0">
        <ns0:f>U320</ns0:f>
        <ns0:v>0</ns0:v>
      </ns0:c>
      <ns0:c r="W320" s="0" t="str">
        <ns0:f>IF(C320=0,"",INDEX($AP$11:$AP$60,C320))</ns0:f>
        <ns0:v/>
      </ns0:c>
    </ns0:row>
    <ns0:row r="321">
      <ns0:c r="A321" s="0">
        <ns0:f>IF(COUNTA(Bookings!A321:G321,Bookings!I321)=0,0,1)</ns0:f>
        <ns0:v>0</ns0:v>
      </ns0:c>
      <ns0:c r="B321" s="0" t="str">
        <ns0:f>IFERROR(TRIM(MID(Bookings!A321,FIND(" · ",Bookings!A321)+3,99)),"")</ns0:f>
        <ns0:v/>
      </ns0:c>
      <ns0:c r="C321" s="0">
        <ns0:f>IF(OR(B321="",LEN(B321)&gt;24,ISNUMBER(FIND(" ",B321)),ISNUMBER(FIND("*",B321)),ISNUMBER(FIND("?",B321)),ISNUMBER(FIND("~",B321))),0,IFERROR(MATCH(B321,Team!$A$11:$A$60,0),0))</ns0:f>
        <ns0:v>0</ns0:v>
      </ns0:c>
      <ns0:c r="D321" s="0" t="str">
        <ns0:f>IFERROR(IF(MID(Bookings!F321,LEN(Bookings!F321)-3,3)=" · ",RIGHT(Bookings!F321,1),""),"")</ns0:f>
        <ns0:v/>
      </ns0:c>
      <ns0:c r="E321" s="0" t="str">
        <ns0:f>IFERROR(INDEX(Settings!$H$7:$H$11,MATCH(D321,Settings!$G$7:$G$11,0)),"")</ns0:f>
        <ns0:v/>
      </ns0:c>
      <ns0:c r="F321" s="0" t="str">
        <ns0:f>IF(A321=0,"",IFERROR(IF(OR(B321="",C321=0),"CHECK employee selection",IF(INDEX(Team!$O$11:$O$60,C321)&lt;&gt;"OK","CHECK employee setup",IF(OR('_Dates'!J321=0,'_Dates'!T321=0),"CHECK date: use DD.MM.YYYY",IF('_Dates'!T321&lt;'_Dates'!J321,"CHECK end before start",IF(AND($B$6=0,OR('_Dates'!J321&lt;Settings!$B$7,'_Dates'!T321&gt;Settings!$B$8)),"CHECK split across leave years",IF(OR(NOT(OR('_Dates'!U321="Full day",'_Dates'!U321="AM",'_Dates'!U321="PM")),NOT(OR('_Dates'!V321="Full day",'_Dates'!V321="AM",'_Dates'!V321="PM"))),"CHECK Full day / AM / PM",IF(AND('_Dates'!J321='_Dates'!T321,'_Dates'!U321&lt;&gt;"Full day",'_Dates'!V321&lt;&gt;"Full day",'_Dates'!U321&lt;&gt;'_Dates'!V321),"CHECK same-day portions disagree",IF(AND($B$6=0,OR(AND('_Dates'!U321&lt;&gt;"Full day",'_Dates'!AA321=0),AND('_Dates'!V321&lt;&gt;"Full day",'_Dates'!AB321=0))),"CHECK half-day on non-working date",IF(COUNTIF(Settings!$G$7:$G$11,D321)&lt;&gt;1,"CHECK leave type",IF(AND(Bookings!G321&lt;&gt;"Approved",Bookings!G321&lt;&gt;"Pending",Bookings!G321&lt;&gt;"Cancelled"),"CHECK status","OK")))))))))),"CHECK input"))</ns0:f>
        <ns0:v/>
      </ns0:c>
      <ns0:c r="G321" s="0">
        <ns0:f>IF(OR(F321&lt;&gt;"OK",$B$6&gt;0),0,0.5*(IF(('_Dates'!X321)&lt;('_Dates'!W321),0,INT((('_Dates'!X321)-('_Dates'!W321)+1)/7)*LEN(SUBSTITUTE(W321,"O",""))+LEN(SUBSTITUTE(MID(W321&amp;W321,WEEKDAY(('_Dates'!W321),2),MOD((('_Dates'!X321)-('_Dates'!W321)+1),7)),"O",""))-COUNTIFS(INDEX(AllClosureRows,C321,0),"&gt;="&amp;('_Dates'!W321),INDEX(AllClosureRows,C321,0),"&lt;="&amp;('_Dates'!X321)))+IF(('_Dates'!Z321)&lt;('_Dates'!Y321),0,INT((('_Dates'!Z321)-('_Dates'!Y321)+1)/7)*LEN(SUBSTITUTE(W321,"O",""))+LEN(SUBSTITUTE(MID(W321&amp;W321,WEEKDAY(('_Dates'!Y321),2),MOD((('_Dates'!Z321)-('_Dates'!Y321)+1),7)),"O",""))-COUNTIFS(INDEX(AllClosureRows,C321,0),"&gt;="&amp;('_Dates'!Y321),INDEX(AllClosureRows,C321,0),"&lt;="&amp;('_Dates'!Z321)))))</ns0:f>
        <ns0:v>0</ns0:v>
      </ns0:c>
      <ns0:c r="H321" s="0">
        <ns0:f>IF(OR(F321&lt;&gt;"OK",$B$6&gt;0),0,0.5*(IF((MIN('_Dates'!X321,Settings!$B$9))&lt;('_Dates'!W321),0,INT(((MIN('_Dates'!X321,Settings!$B$9))-('_Dates'!W321)+1)/7)*LEN(SUBSTITUTE(W321,"O",""))+LEN(SUBSTITUTE(MID(W321&amp;W321,WEEKDAY(('_Dates'!W321),2),MOD(((MIN('_Dates'!X321,Settings!$B$9))-('_Dates'!W321)+1),7)),"O",""))-COUNTIFS(INDEX(AllClosureRows,C321,0),"&gt;="&amp;('_Dates'!W321),INDEX(AllClosureRows,C321,0),"&lt;="&amp;(MIN('_Dates'!X321,Settings!$B$9))))+IF((MIN('_Dates'!Z321,Settings!$B$9))&lt;('_Dates'!Y321),0,INT(((MIN('_Dates'!Z321,Settings!$B$9))-('_Dates'!Y321)+1)/7)*LEN(SUBSTITUTE(W321,"O",""))+LEN(SUBSTITUTE(MID(W321&amp;W321,WEEKDAY(('_Dates'!Y321),2),MOD(((MIN('_Dates'!Z321,Settings!$B$9))-('_Dates'!Y321)+1),7)),"O",""))-COUNTIFS(INDEX(AllClosureRows,C321,0),"&gt;="&amp;('_Dates'!Y321),INDEX(AllClosureRows,C321,0),"&lt;="&amp;(MIN('_Dates'!Z321,Settings!$B$9))))))</ns0:f>
        <ns0:v>0</ns0:v>
      </ns0:c>
      <ns0:c r="I321" s="0">
        <ns0:f>MAX(0,G321-H321)</ns0:f>
        <ns0:v>0</ns0:v>
      </ns0:c>
      <ns0:c r="J321" s="0">
        <ns0:f>IF(OR(A321=0,F321&lt;&gt;"OK",Bookings!G321="Cancelled",$B$6&gt;0),0,IF('_Dates'!AC321=1,MAX(0,COUNTIFS(rngEngine_B,B321,rngAMStart,"&lt;="&amp;'_Dates'!X321,rngAMEnd,"&gt;="&amp;'_Dates'!W321,rngAMActive,1,rngEngine_F,"OK",rngBookings_F,"&lt;&gt;Cancelled")-1),0)+IF('_Dates'!AD321=1,MAX(0,COUNTIFS(rngEngine_B,B321,rngPMStart,"&lt;="&amp;'_Dates'!Z321,rngPMEnd,"&gt;="&amp;'_Dates'!Y321,rngPMActive,1,rngEngine_F,"OK",rngBookings_F,"&lt;&gt;Cancelled")-1),0))</ns0:f>
        <ns0:v>0</ns0:v>
      </ns0:c>
      <ns0:c r="K321" s="0" t="str">
        <ns0:f>IF(A321=0,"",IF(F321&lt;&gt;"OK",F321,IF(J321&gt;0,"CHECK overlapping entry",IF(AND($B$6=0,G321&lt;=0,Bookings!G321&lt;&gt;"Cancelled"),"CHECK no working days",IF(Bookings!G321="Cancelled","Cancelled","OK")))))</ns0:f>
        <ns0:v/>
      </ns0:c>
      <ns0:c r="L321" s="0">
        <ns0:f>IF(LEFT(K321,5)="CHECK",1,0)</ns0:f>
        <ns0:v>0</ns0:v>
      </ns0:c>
      <ns0:c r="M321" s="0">
        <ns0:f>IF(AND(L321=1,OR(C321=0,IFERROR(INDEX($X$11:$X$60,C321),0)=0)),1,0)</ns0:f>
        <ns0:v>0</ns0:v>
      </ns0:c>
      <ns0:c r="N321" s="0">
        <ns0:f>IF(OR(A321=0,L321&gt;0,$B$6&gt;0,Bookings!G321="Cancelled"),0,G321)</ns0:f>
        <ns0:v>0</ns0:v>
      </ns0:c>
      <ns0:c r="O321" s="0">
        <ns0:f>IF(AND(Bookings!G321="Approved",E321="Yes"),N321,0)</ns0:f>
        <ns0:v>0</ns0:v>
      </ns0:c>
      <ns0:c r="P321" s="0">
        <ns0:f>IF(AND(Bookings!G321="Approved",E321="Yes",L321=0,$B$6=0),H321,0)</ns0:f>
        <ns0:v>0</ns0:v>
      </ns0:c>
      <ns0:c r="Q321" s="0">
        <ns0:f>IF(AND(Bookings!G321="Approved",E321="Yes",L321=0,$B$6=0),I321,0)</ns0:f>
        <ns0:v>0</ns0:v>
      </ns0:c>
      <ns0:c r="R321" s="0">
        <ns0:f>IF(AND(Bookings!G321="Pending",E321="Yes"),N321,0)</ns0:f>
        <ns0:v>0</ns0:v>
      </ns0:c>
      <ns0:c r="S321" s="0">
        <ns0:f>IF(AND(Bookings!G321="Approved",E321="No"),N321,0)</ns0:f>
        <ns0:v>0</ns0:v>
      </ns0:c>
      <ns0:c r="T321" s="0">
        <ns0:f>IFERROR(MATCH(D321,Settings!$G$7:$G$11,0),0)</ns0:f>
        <ns0:v>0</ns0:v>
      </ns0:c>
      <ns0:c r="U321" s="0">
        <ns0:f>IF(N321&gt;0,T321+IF(Bookings!G321="Pending",10,0),0)</ns0:f>
        <ns0:v>0</ns0:v>
      </ns0:c>
      <ns0:c r="V321" s="0">
        <ns0:f>U321</ns0:f>
        <ns0:v>0</ns0:v>
      </ns0:c>
      <ns0:c r="W321" s="0" t="str">
        <ns0:f>IF(C321=0,"",INDEX($AP$11:$AP$60,C321))</ns0:f>
        <ns0:v/>
      </ns0:c>
    </ns0:row>
    <ns0:row r="322">
      <ns0:c r="A322" s="0">
        <ns0:f>IF(COUNTA(Bookings!A322:G322,Bookings!I322)=0,0,1)</ns0:f>
        <ns0:v>0</ns0:v>
      </ns0:c>
      <ns0:c r="B322" s="0" t="str">
        <ns0:f>IFERROR(TRIM(MID(Bookings!A322,FIND(" · ",Bookings!A322)+3,99)),"")</ns0:f>
        <ns0:v/>
      </ns0:c>
      <ns0:c r="C322" s="0">
        <ns0:f>IF(OR(B322="",LEN(B322)&gt;24,ISNUMBER(FIND(" ",B322)),ISNUMBER(FIND("*",B322)),ISNUMBER(FIND("?",B322)),ISNUMBER(FIND("~",B322))),0,IFERROR(MATCH(B322,Team!$A$11:$A$60,0),0))</ns0:f>
        <ns0:v>0</ns0:v>
      </ns0:c>
      <ns0:c r="D322" s="0" t="str">
        <ns0:f>IFERROR(IF(MID(Bookings!F322,LEN(Bookings!F322)-3,3)=" · ",RIGHT(Bookings!F322,1),""),"")</ns0:f>
        <ns0:v/>
      </ns0:c>
      <ns0:c r="E322" s="0" t="str">
        <ns0:f>IFERROR(INDEX(Settings!$H$7:$H$11,MATCH(D322,Settings!$G$7:$G$11,0)),"")</ns0:f>
        <ns0:v/>
      </ns0:c>
      <ns0:c r="F322" s="0" t="str">
        <ns0:f>IF(A322=0,"",IFERROR(IF(OR(B322="",C322=0),"CHECK employee selection",IF(INDEX(Team!$O$11:$O$60,C322)&lt;&gt;"OK","CHECK employee setup",IF(OR('_Dates'!J322=0,'_Dates'!T322=0),"CHECK date: use DD.MM.YYYY",IF('_Dates'!T322&lt;'_Dates'!J322,"CHECK end before start",IF(AND($B$6=0,OR('_Dates'!J322&lt;Settings!$B$7,'_Dates'!T322&gt;Settings!$B$8)),"CHECK split across leave years",IF(OR(NOT(OR('_Dates'!U322="Full day",'_Dates'!U322="AM",'_Dates'!U322="PM")),NOT(OR('_Dates'!V322="Full day",'_Dates'!V322="AM",'_Dates'!V322="PM"))),"CHECK Full day / AM / PM",IF(AND('_Dates'!J322='_Dates'!T322,'_Dates'!U322&lt;&gt;"Full day",'_Dates'!V322&lt;&gt;"Full day",'_Dates'!U322&lt;&gt;'_Dates'!V322),"CHECK same-day portions disagree",IF(AND($B$6=0,OR(AND('_Dates'!U322&lt;&gt;"Full day",'_Dates'!AA322=0),AND('_Dates'!V322&lt;&gt;"Full day",'_Dates'!AB322=0))),"CHECK half-day on non-working date",IF(COUNTIF(Settings!$G$7:$G$11,D322)&lt;&gt;1,"CHECK leave type",IF(AND(Bookings!G322&lt;&gt;"Approved",Bookings!G322&lt;&gt;"Pending",Bookings!G322&lt;&gt;"Cancelled"),"CHECK status","OK")))))))))),"CHECK input"))</ns0:f>
        <ns0:v/>
      </ns0:c>
      <ns0:c r="G322" s="0">
        <ns0:f>IF(OR(F322&lt;&gt;"OK",$B$6&gt;0),0,0.5*(IF(('_Dates'!X322)&lt;('_Dates'!W322),0,INT((('_Dates'!X322)-('_Dates'!W322)+1)/7)*LEN(SUBSTITUTE(W322,"O",""))+LEN(SUBSTITUTE(MID(W322&amp;W322,WEEKDAY(('_Dates'!W322),2),MOD((('_Dates'!X322)-('_Dates'!W322)+1),7)),"O",""))-COUNTIFS(INDEX(AllClosureRows,C322,0),"&gt;="&amp;('_Dates'!W322),INDEX(AllClosureRows,C322,0),"&lt;="&amp;('_Dates'!X322)))+IF(('_Dates'!Z322)&lt;('_Dates'!Y322),0,INT((('_Dates'!Z322)-('_Dates'!Y322)+1)/7)*LEN(SUBSTITUTE(W322,"O",""))+LEN(SUBSTITUTE(MID(W322&amp;W322,WEEKDAY(('_Dates'!Y322),2),MOD((('_Dates'!Z322)-('_Dates'!Y322)+1),7)),"O",""))-COUNTIFS(INDEX(AllClosureRows,C322,0),"&gt;="&amp;('_Dates'!Y322),INDEX(AllClosureRows,C322,0),"&lt;="&amp;('_Dates'!Z322)))))</ns0:f>
        <ns0:v>0</ns0:v>
      </ns0:c>
      <ns0:c r="H322" s="0">
        <ns0:f>IF(OR(F322&lt;&gt;"OK",$B$6&gt;0),0,0.5*(IF((MIN('_Dates'!X322,Settings!$B$9))&lt;('_Dates'!W322),0,INT(((MIN('_Dates'!X322,Settings!$B$9))-('_Dates'!W322)+1)/7)*LEN(SUBSTITUTE(W322,"O",""))+LEN(SUBSTITUTE(MID(W322&amp;W322,WEEKDAY(('_Dates'!W322),2),MOD(((MIN('_Dates'!X322,Settings!$B$9))-('_Dates'!W322)+1),7)),"O",""))-COUNTIFS(INDEX(AllClosureRows,C322,0),"&gt;="&amp;('_Dates'!W322),INDEX(AllClosureRows,C322,0),"&lt;="&amp;(MIN('_Dates'!X322,Settings!$B$9))))+IF((MIN('_Dates'!Z322,Settings!$B$9))&lt;('_Dates'!Y322),0,INT(((MIN('_Dates'!Z322,Settings!$B$9))-('_Dates'!Y322)+1)/7)*LEN(SUBSTITUTE(W322,"O",""))+LEN(SUBSTITUTE(MID(W322&amp;W322,WEEKDAY(('_Dates'!Y322),2),MOD(((MIN('_Dates'!Z322,Settings!$B$9))-('_Dates'!Y322)+1),7)),"O",""))-COUNTIFS(INDEX(AllClosureRows,C322,0),"&gt;="&amp;('_Dates'!Y322),INDEX(AllClosureRows,C322,0),"&lt;="&amp;(MIN('_Dates'!Z322,Settings!$B$9))))))</ns0:f>
        <ns0:v>0</ns0:v>
      </ns0:c>
      <ns0:c r="I322" s="0">
        <ns0:f>MAX(0,G322-H322)</ns0:f>
        <ns0:v>0</ns0:v>
      </ns0:c>
      <ns0:c r="J322" s="0">
        <ns0:f>IF(OR(A322=0,F322&lt;&gt;"OK",Bookings!G322="Cancelled",$B$6&gt;0),0,IF('_Dates'!AC322=1,MAX(0,COUNTIFS(rngEngine_B,B322,rngAMStart,"&lt;="&amp;'_Dates'!X322,rngAMEnd,"&gt;="&amp;'_Dates'!W322,rngAMActive,1,rngEngine_F,"OK",rngBookings_F,"&lt;&gt;Cancelled")-1),0)+IF('_Dates'!AD322=1,MAX(0,COUNTIFS(rngEngine_B,B322,rngPMStart,"&lt;="&amp;'_Dates'!Z322,rngPMEnd,"&gt;="&amp;'_Dates'!Y322,rngPMActive,1,rngEngine_F,"OK",rngBookings_F,"&lt;&gt;Cancelled")-1),0))</ns0:f>
        <ns0:v>0</ns0:v>
      </ns0:c>
      <ns0:c r="K322" s="0" t="str">
        <ns0:f>IF(A322=0,"",IF(F322&lt;&gt;"OK",F322,IF(J322&gt;0,"CHECK overlapping entry",IF(AND($B$6=0,G322&lt;=0,Bookings!G322&lt;&gt;"Cancelled"),"CHECK no working days",IF(Bookings!G322="Cancelled","Cancelled","OK")))))</ns0:f>
        <ns0:v/>
      </ns0:c>
      <ns0:c r="L322" s="0">
        <ns0:f>IF(LEFT(K322,5)="CHECK",1,0)</ns0:f>
        <ns0:v>0</ns0:v>
      </ns0:c>
      <ns0:c r="M322" s="0">
        <ns0:f>IF(AND(L322=1,OR(C322=0,IFERROR(INDEX($X$11:$X$60,C322),0)=0)),1,0)</ns0:f>
        <ns0:v>0</ns0:v>
      </ns0:c>
      <ns0:c r="N322" s="0">
        <ns0:f>IF(OR(A322=0,L322&gt;0,$B$6&gt;0,Bookings!G322="Cancelled"),0,G322)</ns0:f>
        <ns0:v>0</ns0:v>
      </ns0:c>
      <ns0:c r="O322" s="0">
        <ns0:f>IF(AND(Bookings!G322="Approved",E322="Yes"),N322,0)</ns0:f>
        <ns0:v>0</ns0:v>
      </ns0:c>
      <ns0:c r="P322" s="0">
        <ns0:f>IF(AND(Bookings!G322="Approved",E322="Yes",L322=0,$B$6=0),H322,0)</ns0:f>
        <ns0:v>0</ns0:v>
      </ns0:c>
      <ns0:c r="Q322" s="0">
        <ns0:f>IF(AND(Bookings!G322="Approved",E322="Yes",L322=0,$B$6=0),I322,0)</ns0:f>
        <ns0:v>0</ns0:v>
      </ns0:c>
      <ns0:c r="R322" s="0">
        <ns0:f>IF(AND(Bookings!G322="Pending",E322="Yes"),N322,0)</ns0:f>
        <ns0:v>0</ns0:v>
      </ns0:c>
      <ns0:c r="S322" s="0">
        <ns0:f>IF(AND(Bookings!G322="Approved",E322="No"),N322,0)</ns0:f>
        <ns0:v>0</ns0:v>
      </ns0:c>
      <ns0:c r="T322" s="0">
        <ns0:f>IFERROR(MATCH(D322,Settings!$G$7:$G$11,0),0)</ns0:f>
        <ns0:v>0</ns0:v>
      </ns0:c>
      <ns0:c r="U322" s="0">
        <ns0:f>IF(N322&gt;0,T322+IF(Bookings!G322="Pending",10,0),0)</ns0:f>
        <ns0:v>0</ns0:v>
      </ns0:c>
      <ns0:c r="V322" s="0">
        <ns0:f>U322</ns0:f>
        <ns0:v>0</ns0:v>
      </ns0:c>
      <ns0:c r="W322" s="0" t="str">
        <ns0:f>IF(C322=0,"",INDEX($AP$11:$AP$60,C322))</ns0:f>
        <ns0:v/>
      </ns0:c>
    </ns0:row>
    <ns0:row r="323">
      <ns0:c r="A323" s="0">
        <ns0:f>IF(COUNTA(Bookings!A323:G323,Bookings!I323)=0,0,1)</ns0:f>
        <ns0:v>0</ns0:v>
      </ns0:c>
      <ns0:c r="B323" s="0" t="str">
        <ns0:f>IFERROR(TRIM(MID(Bookings!A323,FIND(" · ",Bookings!A323)+3,99)),"")</ns0:f>
        <ns0:v/>
      </ns0:c>
      <ns0:c r="C323" s="0">
        <ns0:f>IF(OR(B323="",LEN(B323)&gt;24,ISNUMBER(FIND(" ",B323)),ISNUMBER(FIND("*",B323)),ISNUMBER(FIND("?",B323)),ISNUMBER(FIND("~",B323))),0,IFERROR(MATCH(B323,Team!$A$11:$A$60,0),0))</ns0:f>
        <ns0:v>0</ns0:v>
      </ns0:c>
      <ns0:c r="D323" s="0" t="str">
        <ns0:f>IFERROR(IF(MID(Bookings!F323,LEN(Bookings!F323)-3,3)=" · ",RIGHT(Bookings!F323,1),""),"")</ns0:f>
        <ns0:v/>
      </ns0:c>
      <ns0:c r="E323" s="0" t="str">
        <ns0:f>IFERROR(INDEX(Settings!$H$7:$H$11,MATCH(D323,Settings!$G$7:$G$11,0)),"")</ns0:f>
        <ns0:v/>
      </ns0:c>
      <ns0:c r="F323" s="0" t="str">
        <ns0:f>IF(A323=0,"",IFERROR(IF(OR(B323="",C323=0),"CHECK employee selection",IF(INDEX(Team!$O$11:$O$60,C323)&lt;&gt;"OK","CHECK employee setup",IF(OR('_Dates'!J323=0,'_Dates'!T323=0),"CHECK date: use DD.MM.YYYY",IF('_Dates'!T323&lt;'_Dates'!J323,"CHECK end before start",IF(AND($B$6=0,OR('_Dates'!J323&lt;Settings!$B$7,'_Dates'!T323&gt;Settings!$B$8)),"CHECK split across leave years",IF(OR(NOT(OR('_Dates'!U323="Full day",'_Dates'!U323="AM",'_Dates'!U323="PM")),NOT(OR('_Dates'!V323="Full day",'_Dates'!V323="AM",'_Dates'!V323="PM"))),"CHECK Full day / AM / PM",IF(AND('_Dates'!J323='_Dates'!T323,'_Dates'!U323&lt;&gt;"Full day",'_Dates'!V323&lt;&gt;"Full day",'_Dates'!U323&lt;&gt;'_Dates'!V323),"CHECK same-day portions disagree",IF(AND($B$6=0,OR(AND('_Dates'!U323&lt;&gt;"Full day",'_Dates'!AA323=0),AND('_Dates'!V323&lt;&gt;"Full day",'_Dates'!AB323=0))),"CHECK half-day on non-working date",IF(COUNTIF(Settings!$G$7:$G$11,D323)&lt;&gt;1,"CHECK leave type",IF(AND(Bookings!G323&lt;&gt;"Approved",Bookings!G323&lt;&gt;"Pending",Bookings!G323&lt;&gt;"Cancelled"),"CHECK status","OK")))))))))),"CHECK input"))</ns0:f>
        <ns0:v/>
      </ns0:c>
      <ns0:c r="G323" s="0">
        <ns0:f>IF(OR(F323&lt;&gt;"OK",$B$6&gt;0),0,0.5*(IF(('_Dates'!X323)&lt;('_Dates'!W323),0,INT((('_Dates'!X323)-('_Dates'!W323)+1)/7)*LEN(SUBSTITUTE(W323,"O",""))+LEN(SUBSTITUTE(MID(W323&amp;W323,WEEKDAY(('_Dates'!W323),2),MOD((('_Dates'!X323)-('_Dates'!W323)+1),7)),"O",""))-COUNTIFS(INDEX(AllClosureRows,C323,0),"&gt;="&amp;('_Dates'!W323),INDEX(AllClosureRows,C323,0),"&lt;="&amp;('_Dates'!X323)))+IF(('_Dates'!Z323)&lt;('_Dates'!Y323),0,INT((('_Dates'!Z323)-('_Dates'!Y323)+1)/7)*LEN(SUBSTITUTE(W323,"O",""))+LEN(SUBSTITUTE(MID(W323&amp;W323,WEEKDAY(('_Dates'!Y323),2),MOD((('_Dates'!Z323)-('_Dates'!Y323)+1),7)),"O",""))-COUNTIFS(INDEX(AllClosureRows,C323,0),"&gt;="&amp;('_Dates'!Y323),INDEX(AllClosureRows,C323,0),"&lt;="&amp;('_Dates'!Z323)))))</ns0:f>
        <ns0:v>0</ns0:v>
      </ns0:c>
      <ns0:c r="H323" s="0">
        <ns0:f>IF(OR(F323&lt;&gt;"OK",$B$6&gt;0),0,0.5*(IF((MIN('_Dates'!X323,Settings!$B$9))&lt;('_Dates'!W323),0,INT(((MIN('_Dates'!X323,Settings!$B$9))-('_Dates'!W323)+1)/7)*LEN(SUBSTITUTE(W323,"O",""))+LEN(SUBSTITUTE(MID(W323&amp;W323,WEEKDAY(('_Dates'!W323),2),MOD(((MIN('_Dates'!X323,Settings!$B$9))-('_Dates'!W323)+1),7)),"O",""))-COUNTIFS(INDEX(AllClosureRows,C323,0),"&gt;="&amp;('_Dates'!W323),INDEX(AllClosureRows,C323,0),"&lt;="&amp;(MIN('_Dates'!X323,Settings!$B$9))))+IF((MIN('_Dates'!Z323,Settings!$B$9))&lt;('_Dates'!Y323),0,INT(((MIN('_Dates'!Z323,Settings!$B$9))-('_Dates'!Y323)+1)/7)*LEN(SUBSTITUTE(W323,"O",""))+LEN(SUBSTITUTE(MID(W323&amp;W323,WEEKDAY(('_Dates'!Y323),2),MOD(((MIN('_Dates'!Z323,Settings!$B$9))-('_Dates'!Y323)+1),7)),"O",""))-COUNTIFS(INDEX(AllClosureRows,C323,0),"&gt;="&amp;('_Dates'!Y323),INDEX(AllClosureRows,C323,0),"&lt;="&amp;(MIN('_Dates'!Z323,Settings!$B$9))))))</ns0:f>
        <ns0:v>0</ns0:v>
      </ns0:c>
      <ns0:c r="I323" s="0">
        <ns0:f>MAX(0,G323-H323)</ns0:f>
        <ns0:v>0</ns0:v>
      </ns0:c>
      <ns0:c r="J323" s="0">
        <ns0:f>IF(OR(A323=0,F323&lt;&gt;"OK",Bookings!G323="Cancelled",$B$6&gt;0),0,IF('_Dates'!AC323=1,MAX(0,COUNTIFS(rngEngine_B,B323,rngAMStart,"&lt;="&amp;'_Dates'!X323,rngAMEnd,"&gt;="&amp;'_Dates'!W323,rngAMActive,1,rngEngine_F,"OK",rngBookings_F,"&lt;&gt;Cancelled")-1),0)+IF('_Dates'!AD323=1,MAX(0,COUNTIFS(rngEngine_B,B323,rngPMStart,"&lt;="&amp;'_Dates'!Z323,rngPMEnd,"&gt;="&amp;'_Dates'!Y323,rngPMActive,1,rngEngine_F,"OK",rngBookings_F,"&lt;&gt;Cancelled")-1),0))</ns0:f>
        <ns0:v>0</ns0:v>
      </ns0:c>
      <ns0:c r="K323" s="0" t="str">
        <ns0:f>IF(A323=0,"",IF(F323&lt;&gt;"OK",F323,IF(J323&gt;0,"CHECK overlapping entry",IF(AND($B$6=0,G323&lt;=0,Bookings!G323&lt;&gt;"Cancelled"),"CHECK no working days",IF(Bookings!G323="Cancelled","Cancelled","OK")))))</ns0:f>
        <ns0:v/>
      </ns0:c>
      <ns0:c r="L323" s="0">
        <ns0:f>IF(LEFT(K323,5)="CHECK",1,0)</ns0:f>
        <ns0:v>0</ns0:v>
      </ns0:c>
      <ns0:c r="M323" s="0">
        <ns0:f>IF(AND(L323=1,OR(C323=0,IFERROR(INDEX($X$11:$X$60,C323),0)=0)),1,0)</ns0:f>
        <ns0:v>0</ns0:v>
      </ns0:c>
      <ns0:c r="N323" s="0">
        <ns0:f>IF(OR(A323=0,L323&gt;0,$B$6&gt;0,Bookings!G323="Cancelled"),0,G323)</ns0:f>
        <ns0:v>0</ns0:v>
      </ns0:c>
      <ns0:c r="O323" s="0">
        <ns0:f>IF(AND(Bookings!G323="Approved",E323="Yes"),N323,0)</ns0:f>
        <ns0:v>0</ns0:v>
      </ns0:c>
      <ns0:c r="P323" s="0">
        <ns0:f>IF(AND(Bookings!G323="Approved",E323="Yes",L323=0,$B$6=0),H323,0)</ns0:f>
        <ns0:v>0</ns0:v>
      </ns0:c>
      <ns0:c r="Q323" s="0">
        <ns0:f>IF(AND(Bookings!G323="Approved",E323="Yes",L323=0,$B$6=0),I323,0)</ns0:f>
        <ns0:v>0</ns0:v>
      </ns0:c>
      <ns0:c r="R323" s="0">
        <ns0:f>IF(AND(Bookings!G323="Pending",E323="Yes"),N323,0)</ns0:f>
        <ns0:v>0</ns0:v>
      </ns0:c>
      <ns0:c r="S323" s="0">
        <ns0:f>IF(AND(Bookings!G323="Approved",E323="No"),N323,0)</ns0:f>
        <ns0:v>0</ns0:v>
      </ns0:c>
      <ns0:c r="T323" s="0">
        <ns0:f>IFERROR(MATCH(D323,Settings!$G$7:$G$11,0),0)</ns0:f>
        <ns0:v>0</ns0:v>
      </ns0:c>
      <ns0:c r="U323" s="0">
        <ns0:f>IF(N323&gt;0,T323+IF(Bookings!G323="Pending",10,0),0)</ns0:f>
        <ns0:v>0</ns0:v>
      </ns0:c>
      <ns0:c r="V323" s="0">
        <ns0:f>U323</ns0:f>
        <ns0:v>0</ns0:v>
      </ns0:c>
      <ns0:c r="W323" s="0" t="str">
        <ns0:f>IF(C323=0,"",INDEX($AP$11:$AP$60,C323))</ns0:f>
        <ns0:v/>
      </ns0:c>
    </ns0:row>
    <ns0:row r="324">
      <ns0:c r="A324" s="0">
        <ns0:f>IF(COUNTA(Bookings!A324:G324,Bookings!I324)=0,0,1)</ns0:f>
        <ns0:v>0</ns0:v>
      </ns0:c>
      <ns0:c r="B324" s="0" t="str">
        <ns0:f>IFERROR(TRIM(MID(Bookings!A324,FIND(" · ",Bookings!A324)+3,99)),"")</ns0:f>
        <ns0:v/>
      </ns0:c>
      <ns0:c r="C324" s="0">
        <ns0:f>IF(OR(B324="",LEN(B324)&gt;24,ISNUMBER(FIND(" ",B324)),ISNUMBER(FIND("*",B324)),ISNUMBER(FIND("?",B324)),ISNUMBER(FIND("~",B324))),0,IFERROR(MATCH(B324,Team!$A$11:$A$60,0),0))</ns0:f>
        <ns0:v>0</ns0:v>
      </ns0:c>
      <ns0:c r="D324" s="0" t="str">
        <ns0:f>IFERROR(IF(MID(Bookings!F324,LEN(Bookings!F324)-3,3)=" · ",RIGHT(Bookings!F324,1),""),"")</ns0:f>
        <ns0:v/>
      </ns0:c>
      <ns0:c r="E324" s="0" t="str">
        <ns0:f>IFERROR(INDEX(Settings!$H$7:$H$11,MATCH(D324,Settings!$G$7:$G$11,0)),"")</ns0:f>
        <ns0:v/>
      </ns0:c>
      <ns0:c r="F324" s="0" t="str">
        <ns0:f>IF(A324=0,"",IFERROR(IF(OR(B324="",C324=0),"CHECK employee selection",IF(INDEX(Team!$O$11:$O$60,C324)&lt;&gt;"OK","CHECK employee setup",IF(OR('_Dates'!J324=0,'_Dates'!T324=0),"CHECK date: use DD.MM.YYYY",IF('_Dates'!T324&lt;'_Dates'!J324,"CHECK end before start",IF(AND($B$6=0,OR('_Dates'!J324&lt;Settings!$B$7,'_Dates'!T324&gt;Settings!$B$8)),"CHECK split across leave years",IF(OR(NOT(OR('_Dates'!U324="Full day",'_Dates'!U324="AM",'_Dates'!U324="PM")),NOT(OR('_Dates'!V324="Full day",'_Dates'!V324="AM",'_Dates'!V324="PM"))),"CHECK Full day / AM / PM",IF(AND('_Dates'!J324='_Dates'!T324,'_Dates'!U324&lt;&gt;"Full day",'_Dates'!V324&lt;&gt;"Full day",'_Dates'!U324&lt;&gt;'_Dates'!V324),"CHECK same-day portions disagree",IF(AND($B$6=0,OR(AND('_Dates'!U324&lt;&gt;"Full day",'_Dates'!AA324=0),AND('_Dates'!V324&lt;&gt;"Full day",'_Dates'!AB324=0))),"CHECK half-day on non-working date",IF(COUNTIF(Settings!$G$7:$G$11,D324)&lt;&gt;1,"CHECK leave type",IF(AND(Bookings!G324&lt;&gt;"Approved",Bookings!G324&lt;&gt;"Pending",Bookings!G324&lt;&gt;"Cancelled"),"CHECK status","OK")))))))))),"CHECK input"))</ns0:f>
        <ns0:v/>
      </ns0:c>
      <ns0:c r="G324" s="0">
        <ns0:f>IF(OR(F324&lt;&gt;"OK",$B$6&gt;0),0,0.5*(IF(('_Dates'!X324)&lt;('_Dates'!W324),0,INT((('_Dates'!X324)-('_Dates'!W324)+1)/7)*LEN(SUBSTITUTE(W324,"O",""))+LEN(SUBSTITUTE(MID(W324&amp;W324,WEEKDAY(('_Dates'!W324),2),MOD((('_Dates'!X324)-('_Dates'!W324)+1),7)),"O",""))-COUNTIFS(INDEX(AllClosureRows,C324,0),"&gt;="&amp;('_Dates'!W324),INDEX(AllClosureRows,C324,0),"&lt;="&amp;('_Dates'!X324)))+IF(('_Dates'!Z324)&lt;('_Dates'!Y324),0,INT((('_Dates'!Z324)-('_Dates'!Y324)+1)/7)*LEN(SUBSTITUTE(W324,"O",""))+LEN(SUBSTITUTE(MID(W324&amp;W324,WEEKDAY(('_Dates'!Y324),2),MOD((('_Dates'!Z324)-('_Dates'!Y324)+1),7)),"O",""))-COUNTIFS(INDEX(AllClosureRows,C324,0),"&gt;="&amp;('_Dates'!Y324),INDEX(AllClosureRows,C324,0),"&lt;="&amp;('_Dates'!Z324)))))</ns0:f>
        <ns0:v>0</ns0:v>
      </ns0:c>
      <ns0:c r="H324" s="0">
        <ns0:f>IF(OR(F324&lt;&gt;"OK",$B$6&gt;0),0,0.5*(IF((MIN('_Dates'!X324,Settings!$B$9))&lt;('_Dates'!W324),0,INT(((MIN('_Dates'!X324,Settings!$B$9))-('_Dates'!W324)+1)/7)*LEN(SUBSTITUTE(W324,"O",""))+LEN(SUBSTITUTE(MID(W324&amp;W324,WEEKDAY(('_Dates'!W324),2),MOD(((MIN('_Dates'!X324,Settings!$B$9))-('_Dates'!W324)+1),7)),"O",""))-COUNTIFS(INDEX(AllClosureRows,C324,0),"&gt;="&amp;('_Dates'!W324),INDEX(AllClosureRows,C324,0),"&lt;="&amp;(MIN('_Dates'!X324,Settings!$B$9))))+IF((MIN('_Dates'!Z324,Settings!$B$9))&lt;('_Dates'!Y324),0,INT(((MIN('_Dates'!Z324,Settings!$B$9))-('_Dates'!Y324)+1)/7)*LEN(SUBSTITUTE(W324,"O",""))+LEN(SUBSTITUTE(MID(W324&amp;W324,WEEKDAY(('_Dates'!Y324),2),MOD(((MIN('_Dates'!Z324,Settings!$B$9))-('_Dates'!Y324)+1),7)),"O",""))-COUNTIFS(INDEX(AllClosureRows,C324,0),"&gt;="&amp;('_Dates'!Y324),INDEX(AllClosureRows,C324,0),"&lt;="&amp;(MIN('_Dates'!Z324,Settings!$B$9))))))</ns0:f>
        <ns0:v>0</ns0:v>
      </ns0:c>
      <ns0:c r="I324" s="0">
        <ns0:f>MAX(0,G324-H324)</ns0:f>
        <ns0:v>0</ns0:v>
      </ns0:c>
      <ns0:c r="J324" s="0">
        <ns0:f>IF(OR(A324=0,F324&lt;&gt;"OK",Bookings!G324="Cancelled",$B$6&gt;0),0,IF('_Dates'!AC324=1,MAX(0,COUNTIFS(rngEngine_B,B324,rngAMStart,"&lt;="&amp;'_Dates'!X324,rngAMEnd,"&gt;="&amp;'_Dates'!W324,rngAMActive,1,rngEngine_F,"OK",rngBookings_F,"&lt;&gt;Cancelled")-1),0)+IF('_Dates'!AD324=1,MAX(0,COUNTIFS(rngEngine_B,B324,rngPMStart,"&lt;="&amp;'_Dates'!Z324,rngPMEnd,"&gt;="&amp;'_Dates'!Y324,rngPMActive,1,rngEngine_F,"OK",rngBookings_F,"&lt;&gt;Cancelled")-1),0))</ns0:f>
        <ns0:v>0</ns0:v>
      </ns0:c>
      <ns0:c r="K324" s="0" t="str">
        <ns0:f>IF(A324=0,"",IF(F324&lt;&gt;"OK",F324,IF(J324&gt;0,"CHECK overlapping entry",IF(AND($B$6=0,G324&lt;=0,Bookings!G324&lt;&gt;"Cancelled"),"CHECK no working days",IF(Bookings!G324="Cancelled","Cancelled","OK")))))</ns0:f>
        <ns0:v/>
      </ns0:c>
      <ns0:c r="L324" s="0">
        <ns0:f>IF(LEFT(K324,5)="CHECK",1,0)</ns0:f>
        <ns0:v>0</ns0:v>
      </ns0:c>
      <ns0:c r="M324" s="0">
        <ns0:f>IF(AND(L324=1,OR(C324=0,IFERROR(INDEX($X$11:$X$60,C324),0)=0)),1,0)</ns0:f>
        <ns0:v>0</ns0:v>
      </ns0:c>
      <ns0:c r="N324" s="0">
        <ns0:f>IF(OR(A324=0,L324&gt;0,$B$6&gt;0,Bookings!G324="Cancelled"),0,G324)</ns0:f>
        <ns0:v>0</ns0:v>
      </ns0:c>
      <ns0:c r="O324" s="0">
        <ns0:f>IF(AND(Bookings!G324="Approved",E324="Yes"),N324,0)</ns0:f>
        <ns0:v>0</ns0:v>
      </ns0:c>
      <ns0:c r="P324" s="0">
        <ns0:f>IF(AND(Bookings!G324="Approved",E324="Yes",L324=0,$B$6=0),H324,0)</ns0:f>
        <ns0:v>0</ns0:v>
      </ns0:c>
      <ns0:c r="Q324" s="0">
        <ns0:f>IF(AND(Bookings!G324="Approved",E324="Yes",L324=0,$B$6=0),I324,0)</ns0:f>
        <ns0:v>0</ns0:v>
      </ns0:c>
      <ns0:c r="R324" s="0">
        <ns0:f>IF(AND(Bookings!G324="Pending",E324="Yes"),N324,0)</ns0:f>
        <ns0:v>0</ns0:v>
      </ns0:c>
      <ns0:c r="S324" s="0">
        <ns0:f>IF(AND(Bookings!G324="Approved",E324="No"),N324,0)</ns0:f>
        <ns0:v>0</ns0:v>
      </ns0:c>
      <ns0:c r="T324" s="0">
        <ns0:f>IFERROR(MATCH(D324,Settings!$G$7:$G$11,0),0)</ns0:f>
        <ns0:v>0</ns0:v>
      </ns0:c>
      <ns0:c r="U324" s="0">
        <ns0:f>IF(N324&gt;0,T324+IF(Bookings!G324="Pending",10,0),0)</ns0:f>
        <ns0:v>0</ns0:v>
      </ns0:c>
      <ns0:c r="V324" s="0">
        <ns0:f>U324</ns0:f>
        <ns0:v>0</ns0:v>
      </ns0:c>
      <ns0:c r="W324" s="0" t="str">
        <ns0:f>IF(C324=0,"",INDEX($AP$11:$AP$60,C324))</ns0:f>
        <ns0:v/>
      </ns0:c>
    </ns0:row>
    <ns0:row r="325">
      <ns0:c r="A325" s="0">
        <ns0:f>IF(COUNTA(Bookings!A325:G325,Bookings!I325)=0,0,1)</ns0:f>
        <ns0:v>0</ns0:v>
      </ns0:c>
      <ns0:c r="B325" s="0" t="str">
        <ns0:f>IFERROR(TRIM(MID(Bookings!A325,FIND(" · ",Bookings!A325)+3,99)),"")</ns0:f>
        <ns0:v/>
      </ns0:c>
      <ns0:c r="C325" s="0">
        <ns0:f>IF(OR(B325="",LEN(B325)&gt;24,ISNUMBER(FIND(" ",B325)),ISNUMBER(FIND("*",B325)),ISNUMBER(FIND("?",B325)),ISNUMBER(FIND("~",B325))),0,IFERROR(MATCH(B325,Team!$A$11:$A$60,0),0))</ns0:f>
        <ns0:v>0</ns0:v>
      </ns0:c>
      <ns0:c r="D325" s="0" t="str">
        <ns0:f>IFERROR(IF(MID(Bookings!F325,LEN(Bookings!F325)-3,3)=" · ",RIGHT(Bookings!F325,1),""),"")</ns0:f>
        <ns0:v/>
      </ns0:c>
      <ns0:c r="E325" s="0" t="str">
        <ns0:f>IFERROR(INDEX(Settings!$H$7:$H$11,MATCH(D325,Settings!$G$7:$G$11,0)),"")</ns0:f>
        <ns0:v/>
      </ns0:c>
      <ns0:c r="F325" s="0" t="str">
        <ns0:f>IF(A325=0,"",IFERROR(IF(OR(B325="",C325=0),"CHECK employee selection",IF(INDEX(Team!$O$11:$O$60,C325)&lt;&gt;"OK","CHECK employee setup",IF(OR('_Dates'!J325=0,'_Dates'!T325=0),"CHECK date: use DD.MM.YYYY",IF('_Dates'!T325&lt;'_Dates'!J325,"CHECK end before start",IF(AND($B$6=0,OR('_Dates'!J325&lt;Settings!$B$7,'_Dates'!T325&gt;Settings!$B$8)),"CHECK split across leave years",IF(OR(NOT(OR('_Dates'!U325="Full day",'_Dates'!U325="AM",'_Dates'!U325="PM")),NOT(OR('_Dates'!V325="Full day",'_Dates'!V325="AM",'_Dates'!V325="PM"))),"CHECK Full day / AM / PM",IF(AND('_Dates'!J325='_Dates'!T325,'_Dates'!U325&lt;&gt;"Full day",'_Dates'!V325&lt;&gt;"Full day",'_Dates'!U325&lt;&gt;'_Dates'!V325),"CHECK same-day portions disagree",IF(AND($B$6=0,OR(AND('_Dates'!U325&lt;&gt;"Full day",'_Dates'!AA325=0),AND('_Dates'!V325&lt;&gt;"Full day",'_Dates'!AB325=0))),"CHECK half-day on non-working date",IF(COUNTIF(Settings!$G$7:$G$11,D325)&lt;&gt;1,"CHECK leave type",IF(AND(Bookings!G325&lt;&gt;"Approved",Bookings!G325&lt;&gt;"Pending",Bookings!G325&lt;&gt;"Cancelled"),"CHECK status","OK")))))))))),"CHECK input"))</ns0:f>
        <ns0:v/>
      </ns0:c>
      <ns0:c r="G325" s="0">
        <ns0:f>IF(OR(F325&lt;&gt;"OK",$B$6&gt;0),0,0.5*(IF(('_Dates'!X325)&lt;('_Dates'!W325),0,INT((('_Dates'!X325)-('_Dates'!W325)+1)/7)*LEN(SUBSTITUTE(W325,"O",""))+LEN(SUBSTITUTE(MID(W325&amp;W325,WEEKDAY(('_Dates'!W325),2),MOD((('_Dates'!X325)-('_Dates'!W325)+1),7)),"O",""))-COUNTIFS(INDEX(AllClosureRows,C325,0),"&gt;="&amp;('_Dates'!W325),INDEX(AllClosureRows,C325,0),"&lt;="&amp;('_Dates'!X325)))+IF(('_Dates'!Z325)&lt;('_Dates'!Y325),0,INT((('_Dates'!Z325)-('_Dates'!Y325)+1)/7)*LEN(SUBSTITUTE(W325,"O",""))+LEN(SUBSTITUTE(MID(W325&amp;W325,WEEKDAY(('_Dates'!Y325),2),MOD((('_Dates'!Z325)-('_Dates'!Y325)+1),7)),"O",""))-COUNTIFS(INDEX(AllClosureRows,C325,0),"&gt;="&amp;('_Dates'!Y325),INDEX(AllClosureRows,C325,0),"&lt;="&amp;('_Dates'!Z325)))))</ns0:f>
        <ns0:v>0</ns0:v>
      </ns0:c>
      <ns0:c r="H325" s="0">
        <ns0:f>IF(OR(F325&lt;&gt;"OK",$B$6&gt;0),0,0.5*(IF((MIN('_Dates'!X325,Settings!$B$9))&lt;('_Dates'!W325),0,INT(((MIN('_Dates'!X325,Settings!$B$9))-('_Dates'!W325)+1)/7)*LEN(SUBSTITUTE(W325,"O",""))+LEN(SUBSTITUTE(MID(W325&amp;W325,WEEKDAY(('_Dates'!W325),2),MOD(((MIN('_Dates'!X325,Settings!$B$9))-('_Dates'!W325)+1),7)),"O",""))-COUNTIFS(INDEX(AllClosureRows,C325,0),"&gt;="&amp;('_Dates'!W325),INDEX(AllClosureRows,C325,0),"&lt;="&amp;(MIN('_Dates'!X325,Settings!$B$9))))+IF((MIN('_Dates'!Z325,Settings!$B$9))&lt;('_Dates'!Y325),0,INT(((MIN('_Dates'!Z325,Settings!$B$9))-('_Dates'!Y325)+1)/7)*LEN(SUBSTITUTE(W325,"O",""))+LEN(SUBSTITUTE(MID(W325&amp;W325,WEEKDAY(('_Dates'!Y325),2),MOD(((MIN('_Dates'!Z325,Settings!$B$9))-('_Dates'!Y325)+1),7)),"O",""))-COUNTIFS(INDEX(AllClosureRows,C325,0),"&gt;="&amp;('_Dates'!Y325),INDEX(AllClosureRows,C325,0),"&lt;="&amp;(MIN('_Dates'!Z325,Settings!$B$9))))))</ns0:f>
        <ns0:v>0</ns0:v>
      </ns0:c>
      <ns0:c r="I325" s="0">
        <ns0:f>MAX(0,G325-H325)</ns0:f>
        <ns0:v>0</ns0:v>
      </ns0:c>
      <ns0:c r="J325" s="0">
        <ns0:f>IF(OR(A325=0,F325&lt;&gt;"OK",Bookings!G325="Cancelled",$B$6&gt;0),0,IF('_Dates'!AC325=1,MAX(0,COUNTIFS(rngEngine_B,B325,rngAMStart,"&lt;="&amp;'_Dates'!X325,rngAMEnd,"&gt;="&amp;'_Dates'!W325,rngAMActive,1,rngEngine_F,"OK",rngBookings_F,"&lt;&gt;Cancelled")-1),0)+IF('_Dates'!AD325=1,MAX(0,COUNTIFS(rngEngine_B,B325,rngPMStart,"&lt;="&amp;'_Dates'!Z325,rngPMEnd,"&gt;="&amp;'_Dates'!Y325,rngPMActive,1,rngEngine_F,"OK",rngBookings_F,"&lt;&gt;Cancelled")-1),0))</ns0:f>
        <ns0:v>0</ns0:v>
      </ns0:c>
      <ns0:c r="K325" s="0" t="str">
        <ns0:f>IF(A325=0,"",IF(F325&lt;&gt;"OK",F325,IF(J325&gt;0,"CHECK overlapping entry",IF(AND($B$6=0,G325&lt;=0,Bookings!G325&lt;&gt;"Cancelled"),"CHECK no working days",IF(Bookings!G325="Cancelled","Cancelled","OK")))))</ns0:f>
        <ns0:v/>
      </ns0:c>
      <ns0:c r="L325" s="0">
        <ns0:f>IF(LEFT(K325,5)="CHECK",1,0)</ns0:f>
        <ns0:v>0</ns0:v>
      </ns0:c>
      <ns0:c r="M325" s="0">
        <ns0:f>IF(AND(L325=1,OR(C325=0,IFERROR(INDEX($X$11:$X$60,C325),0)=0)),1,0)</ns0:f>
        <ns0:v>0</ns0:v>
      </ns0:c>
      <ns0:c r="N325" s="0">
        <ns0:f>IF(OR(A325=0,L325&gt;0,$B$6&gt;0,Bookings!G325="Cancelled"),0,G325)</ns0:f>
        <ns0:v>0</ns0:v>
      </ns0:c>
      <ns0:c r="O325" s="0">
        <ns0:f>IF(AND(Bookings!G325="Approved",E325="Yes"),N325,0)</ns0:f>
        <ns0:v>0</ns0:v>
      </ns0:c>
      <ns0:c r="P325" s="0">
        <ns0:f>IF(AND(Bookings!G325="Approved",E325="Yes",L325=0,$B$6=0),H325,0)</ns0:f>
        <ns0:v>0</ns0:v>
      </ns0:c>
      <ns0:c r="Q325" s="0">
        <ns0:f>IF(AND(Bookings!G325="Approved",E325="Yes",L325=0,$B$6=0),I325,0)</ns0:f>
        <ns0:v>0</ns0:v>
      </ns0:c>
      <ns0:c r="R325" s="0">
        <ns0:f>IF(AND(Bookings!G325="Pending",E325="Yes"),N325,0)</ns0:f>
        <ns0:v>0</ns0:v>
      </ns0:c>
      <ns0:c r="S325" s="0">
        <ns0:f>IF(AND(Bookings!G325="Approved",E325="No"),N325,0)</ns0:f>
        <ns0:v>0</ns0:v>
      </ns0:c>
      <ns0:c r="T325" s="0">
        <ns0:f>IFERROR(MATCH(D325,Settings!$G$7:$G$11,0),0)</ns0:f>
        <ns0:v>0</ns0:v>
      </ns0:c>
      <ns0:c r="U325" s="0">
        <ns0:f>IF(N325&gt;0,T325+IF(Bookings!G325="Pending",10,0),0)</ns0:f>
        <ns0:v>0</ns0:v>
      </ns0:c>
      <ns0:c r="V325" s="0">
        <ns0:f>U325</ns0:f>
        <ns0:v>0</ns0:v>
      </ns0:c>
      <ns0:c r="W325" s="0" t="str">
        <ns0:f>IF(C325=0,"",INDEX($AP$11:$AP$60,C325))</ns0:f>
        <ns0:v/>
      </ns0:c>
    </ns0:row>
    <ns0:row r="326">
      <ns0:c r="A326" s="0">
        <ns0:f>IF(COUNTA(Bookings!A326:G326,Bookings!I326)=0,0,1)</ns0:f>
        <ns0:v>0</ns0:v>
      </ns0:c>
      <ns0:c r="B326" s="0" t="str">
        <ns0:f>IFERROR(TRIM(MID(Bookings!A326,FIND(" · ",Bookings!A326)+3,99)),"")</ns0:f>
        <ns0:v/>
      </ns0:c>
      <ns0:c r="C326" s="0">
        <ns0:f>IF(OR(B326="",LEN(B326)&gt;24,ISNUMBER(FIND(" ",B326)),ISNUMBER(FIND("*",B326)),ISNUMBER(FIND("?",B326)),ISNUMBER(FIND("~",B326))),0,IFERROR(MATCH(B326,Team!$A$11:$A$60,0),0))</ns0:f>
        <ns0:v>0</ns0:v>
      </ns0:c>
      <ns0:c r="D326" s="0" t="str">
        <ns0:f>IFERROR(IF(MID(Bookings!F326,LEN(Bookings!F326)-3,3)=" · ",RIGHT(Bookings!F326,1),""),"")</ns0:f>
        <ns0:v/>
      </ns0:c>
      <ns0:c r="E326" s="0" t="str">
        <ns0:f>IFERROR(INDEX(Settings!$H$7:$H$11,MATCH(D326,Settings!$G$7:$G$11,0)),"")</ns0:f>
        <ns0:v/>
      </ns0:c>
      <ns0:c r="F326" s="0" t="str">
        <ns0:f>IF(A326=0,"",IFERROR(IF(OR(B326="",C326=0),"CHECK employee selection",IF(INDEX(Team!$O$11:$O$60,C326)&lt;&gt;"OK","CHECK employee setup",IF(OR('_Dates'!J326=0,'_Dates'!T326=0),"CHECK date: use DD.MM.YYYY",IF('_Dates'!T326&lt;'_Dates'!J326,"CHECK end before start",IF(AND($B$6=0,OR('_Dates'!J326&lt;Settings!$B$7,'_Dates'!T326&gt;Settings!$B$8)),"CHECK split across leave years",IF(OR(NOT(OR('_Dates'!U326="Full day",'_Dates'!U326="AM",'_Dates'!U326="PM")),NOT(OR('_Dates'!V326="Full day",'_Dates'!V326="AM",'_Dates'!V326="PM"))),"CHECK Full day / AM / PM",IF(AND('_Dates'!J326='_Dates'!T326,'_Dates'!U326&lt;&gt;"Full day",'_Dates'!V326&lt;&gt;"Full day",'_Dates'!U326&lt;&gt;'_Dates'!V326),"CHECK same-day portions disagree",IF(AND($B$6=0,OR(AND('_Dates'!U326&lt;&gt;"Full day",'_Dates'!AA326=0),AND('_Dates'!V326&lt;&gt;"Full day",'_Dates'!AB326=0))),"CHECK half-day on non-working date",IF(COUNTIF(Settings!$G$7:$G$11,D326)&lt;&gt;1,"CHECK leave type",IF(AND(Bookings!G326&lt;&gt;"Approved",Bookings!G326&lt;&gt;"Pending",Bookings!G326&lt;&gt;"Cancelled"),"CHECK status","OK")))))))))),"CHECK input"))</ns0:f>
        <ns0:v/>
      </ns0:c>
      <ns0:c r="G326" s="0">
        <ns0:f>IF(OR(F326&lt;&gt;"OK",$B$6&gt;0),0,0.5*(IF(('_Dates'!X326)&lt;('_Dates'!W326),0,INT((('_Dates'!X326)-('_Dates'!W326)+1)/7)*LEN(SUBSTITUTE(W326,"O",""))+LEN(SUBSTITUTE(MID(W326&amp;W326,WEEKDAY(('_Dates'!W326),2),MOD((('_Dates'!X326)-('_Dates'!W326)+1),7)),"O",""))-COUNTIFS(INDEX(AllClosureRows,C326,0),"&gt;="&amp;('_Dates'!W326),INDEX(AllClosureRows,C326,0),"&lt;="&amp;('_Dates'!X326)))+IF(('_Dates'!Z326)&lt;('_Dates'!Y326),0,INT((('_Dates'!Z326)-('_Dates'!Y326)+1)/7)*LEN(SUBSTITUTE(W326,"O",""))+LEN(SUBSTITUTE(MID(W326&amp;W326,WEEKDAY(('_Dates'!Y326),2),MOD((('_Dates'!Z326)-('_Dates'!Y326)+1),7)),"O",""))-COUNTIFS(INDEX(AllClosureRows,C326,0),"&gt;="&amp;('_Dates'!Y326),INDEX(AllClosureRows,C326,0),"&lt;="&amp;('_Dates'!Z326)))))</ns0:f>
        <ns0:v>0</ns0:v>
      </ns0:c>
      <ns0:c r="H326" s="0">
        <ns0:f>IF(OR(F326&lt;&gt;"OK",$B$6&gt;0),0,0.5*(IF((MIN('_Dates'!X326,Settings!$B$9))&lt;('_Dates'!W326),0,INT(((MIN('_Dates'!X326,Settings!$B$9))-('_Dates'!W326)+1)/7)*LEN(SUBSTITUTE(W326,"O",""))+LEN(SUBSTITUTE(MID(W326&amp;W326,WEEKDAY(('_Dates'!W326),2),MOD(((MIN('_Dates'!X326,Settings!$B$9))-('_Dates'!W326)+1),7)),"O",""))-COUNTIFS(INDEX(AllClosureRows,C326,0),"&gt;="&amp;('_Dates'!W326),INDEX(AllClosureRows,C326,0),"&lt;="&amp;(MIN('_Dates'!X326,Settings!$B$9))))+IF((MIN('_Dates'!Z326,Settings!$B$9))&lt;('_Dates'!Y326),0,INT(((MIN('_Dates'!Z326,Settings!$B$9))-('_Dates'!Y326)+1)/7)*LEN(SUBSTITUTE(W326,"O",""))+LEN(SUBSTITUTE(MID(W326&amp;W326,WEEKDAY(('_Dates'!Y326),2),MOD(((MIN('_Dates'!Z326,Settings!$B$9))-('_Dates'!Y326)+1),7)),"O",""))-COUNTIFS(INDEX(AllClosureRows,C326,0),"&gt;="&amp;('_Dates'!Y326),INDEX(AllClosureRows,C326,0),"&lt;="&amp;(MIN('_Dates'!Z326,Settings!$B$9))))))</ns0:f>
        <ns0:v>0</ns0:v>
      </ns0:c>
      <ns0:c r="I326" s="0">
        <ns0:f>MAX(0,G326-H326)</ns0:f>
        <ns0:v>0</ns0:v>
      </ns0:c>
      <ns0:c r="J326" s="0">
        <ns0:f>IF(OR(A326=0,F326&lt;&gt;"OK",Bookings!G326="Cancelled",$B$6&gt;0),0,IF('_Dates'!AC326=1,MAX(0,COUNTIFS(rngEngine_B,B326,rngAMStart,"&lt;="&amp;'_Dates'!X326,rngAMEnd,"&gt;="&amp;'_Dates'!W326,rngAMActive,1,rngEngine_F,"OK",rngBookings_F,"&lt;&gt;Cancelled")-1),0)+IF('_Dates'!AD326=1,MAX(0,COUNTIFS(rngEngine_B,B326,rngPMStart,"&lt;="&amp;'_Dates'!Z326,rngPMEnd,"&gt;="&amp;'_Dates'!Y326,rngPMActive,1,rngEngine_F,"OK",rngBookings_F,"&lt;&gt;Cancelled")-1),0))</ns0:f>
        <ns0:v>0</ns0:v>
      </ns0:c>
      <ns0:c r="K326" s="0" t="str">
        <ns0:f>IF(A326=0,"",IF(F326&lt;&gt;"OK",F326,IF(J326&gt;0,"CHECK overlapping entry",IF(AND($B$6=0,G326&lt;=0,Bookings!G326&lt;&gt;"Cancelled"),"CHECK no working days",IF(Bookings!G326="Cancelled","Cancelled","OK")))))</ns0:f>
        <ns0:v/>
      </ns0:c>
      <ns0:c r="L326" s="0">
        <ns0:f>IF(LEFT(K326,5)="CHECK",1,0)</ns0:f>
        <ns0:v>0</ns0:v>
      </ns0:c>
      <ns0:c r="M326" s="0">
        <ns0:f>IF(AND(L326=1,OR(C326=0,IFERROR(INDEX($X$11:$X$60,C326),0)=0)),1,0)</ns0:f>
        <ns0:v>0</ns0:v>
      </ns0:c>
      <ns0:c r="N326" s="0">
        <ns0:f>IF(OR(A326=0,L326&gt;0,$B$6&gt;0,Bookings!G326="Cancelled"),0,G326)</ns0:f>
        <ns0:v>0</ns0:v>
      </ns0:c>
      <ns0:c r="O326" s="0">
        <ns0:f>IF(AND(Bookings!G326="Approved",E326="Yes"),N326,0)</ns0:f>
        <ns0:v>0</ns0:v>
      </ns0:c>
      <ns0:c r="P326" s="0">
        <ns0:f>IF(AND(Bookings!G326="Approved",E326="Yes",L326=0,$B$6=0),H326,0)</ns0:f>
        <ns0:v>0</ns0:v>
      </ns0:c>
      <ns0:c r="Q326" s="0">
        <ns0:f>IF(AND(Bookings!G326="Approved",E326="Yes",L326=0,$B$6=0),I326,0)</ns0:f>
        <ns0:v>0</ns0:v>
      </ns0:c>
      <ns0:c r="R326" s="0">
        <ns0:f>IF(AND(Bookings!G326="Pending",E326="Yes"),N326,0)</ns0:f>
        <ns0:v>0</ns0:v>
      </ns0:c>
      <ns0:c r="S326" s="0">
        <ns0:f>IF(AND(Bookings!G326="Approved",E326="No"),N326,0)</ns0:f>
        <ns0:v>0</ns0:v>
      </ns0:c>
      <ns0:c r="T326" s="0">
        <ns0:f>IFERROR(MATCH(D326,Settings!$G$7:$G$11,0),0)</ns0:f>
        <ns0:v>0</ns0:v>
      </ns0:c>
      <ns0:c r="U326" s="0">
        <ns0:f>IF(N326&gt;0,T326+IF(Bookings!G326="Pending",10,0),0)</ns0:f>
        <ns0:v>0</ns0:v>
      </ns0:c>
      <ns0:c r="V326" s="0">
        <ns0:f>U326</ns0:f>
        <ns0:v>0</ns0:v>
      </ns0:c>
      <ns0:c r="W326" s="0" t="str">
        <ns0:f>IF(C326=0,"",INDEX($AP$11:$AP$60,C326))</ns0:f>
        <ns0:v/>
      </ns0:c>
    </ns0:row>
    <ns0:row r="327">
      <ns0:c r="A327" s="0">
        <ns0:f>IF(COUNTA(Bookings!A327:G327,Bookings!I327)=0,0,1)</ns0:f>
        <ns0:v>0</ns0:v>
      </ns0:c>
      <ns0:c r="B327" s="0" t="str">
        <ns0:f>IFERROR(TRIM(MID(Bookings!A327,FIND(" · ",Bookings!A327)+3,99)),"")</ns0:f>
        <ns0:v/>
      </ns0:c>
      <ns0:c r="C327" s="0">
        <ns0:f>IF(OR(B327="",LEN(B327)&gt;24,ISNUMBER(FIND(" ",B327)),ISNUMBER(FIND("*",B327)),ISNUMBER(FIND("?",B327)),ISNUMBER(FIND("~",B327))),0,IFERROR(MATCH(B327,Team!$A$11:$A$60,0),0))</ns0:f>
        <ns0:v>0</ns0:v>
      </ns0:c>
      <ns0:c r="D327" s="0" t="str">
        <ns0:f>IFERROR(IF(MID(Bookings!F327,LEN(Bookings!F327)-3,3)=" · ",RIGHT(Bookings!F327,1),""),"")</ns0:f>
        <ns0:v/>
      </ns0:c>
      <ns0:c r="E327" s="0" t="str">
        <ns0:f>IFERROR(INDEX(Settings!$H$7:$H$11,MATCH(D327,Settings!$G$7:$G$11,0)),"")</ns0:f>
        <ns0:v/>
      </ns0:c>
      <ns0:c r="F327" s="0" t="str">
        <ns0:f>IF(A327=0,"",IFERROR(IF(OR(B327="",C327=0),"CHECK employee selection",IF(INDEX(Team!$O$11:$O$60,C327)&lt;&gt;"OK","CHECK employee setup",IF(OR('_Dates'!J327=0,'_Dates'!T327=0),"CHECK date: use DD.MM.YYYY",IF('_Dates'!T327&lt;'_Dates'!J327,"CHECK end before start",IF(AND($B$6=0,OR('_Dates'!J327&lt;Settings!$B$7,'_Dates'!T327&gt;Settings!$B$8)),"CHECK split across leave years",IF(OR(NOT(OR('_Dates'!U327="Full day",'_Dates'!U327="AM",'_Dates'!U327="PM")),NOT(OR('_Dates'!V327="Full day",'_Dates'!V327="AM",'_Dates'!V327="PM"))),"CHECK Full day / AM / PM",IF(AND('_Dates'!J327='_Dates'!T327,'_Dates'!U327&lt;&gt;"Full day",'_Dates'!V327&lt;&gt;"Full day",'_Dates'!U327&lt;&gt;'_Dates'!V327),"CHECK same-day portions disagree",IF(AND($B$6=0,OR(AND('_Dates'!U327&lt;&gt;"Full day",'_Dates'!AA327=0),AND('_Dates'!V327&lt;&gt;"Full day",'_Dates'!AB327=0))),"CHECK half-day on non-working date",IF(COUNTIF(Settings!$G$7:$G$11,D327)&lt;&gt;1,"CHECK leave type",IF(AND(Bookings!G327&lt;&gt;"Approved",Bookings!G327&lt;&gt;"Pending",Bookings!G327&lt;&gt;"Cancelled"),"CHECK status","OK")))))))))),"CHECK input"))</ns0:f>
        <ns0:v/>
      </ns0:c>
      <ns0:c r="G327" s="0">
        <ns0:f>IF(OR(F327&lt;&gt;"OK",$B$6&gt;0),0,0.5*(IF(('_Dates'!X327)&lt;('_Dates'!W327),0,INT((('_Dates'!X327)-('_Dates'!W327)+1)/7)*LEN(SUBSTITUTE(W327,"O",""))+LEN(SUBSTITUTE(MID(W327&amp;W327,WEEKDAY(('_Dates'!W327),2),MOD((('_Dates'!X327)-('_Dates'!W327)+1),7)),"O",""))-COUNTIFS(INDEX(AllClosureRows,C327,0),"&gt;="&amp;('_Dates'!W327),INDEX(AllClosureRows,C327,0),"&lt;="&amp;('_Dates'!X327)))+IF(('_Dates'!Z327)&lt;('_Dates'!Y327),0,INT((('_Dates'!Z327)-('_Dates'!Y327)+1)/7)*LEN(SUBSTITUTE(W327,"O",""))+LEN(SUBSTITUTE(MID(W327&amp;W327,WEEKDAY(('_Dates'!Y327),2),MOD((('_Dates'!Z327)-('_Dates'!Y327)+1),7)),"O",""))-COUNTIFS(INDEX(AllClosureRows,C327,0),"&gt;="&amp;('_Dates'!Y327),INDEX(AllClosureRows,C327,0),"&lt;="&amp;('_Dates'!Z327)))))</ns0:f>
        <ns0:v>0</ns0:v>
      </ns0:c>
      <ns0:c r="H327" s="0">
        <ns0:f>IF(OR(F327&lt;&gt;"OK",$B$6&gt;0),0,0.5*(IF((MIN('_Dates'!X327,Settings!$B$9))&lt;('_Dates'!W327),0,INT(((MIN('_Dates'!X327,Settings!$B$9))-('_Dates'!W327)+1)/7)*LEN(SUBSTITUTE(W327,"O",""))+LEN(SUBSTITUTE(MID(W327&amp;W327,WEEKDAY(('_Dates'!W327),2),MOD(((MIN('_Dates'!X327,Settings!$B$9))-('_Dates'!W327)+1),7)),"O",""))-COUNTIFS(INDEX(AllClosureRows,C327,0),"&gt;="&amp;('_Dates'!W327),INDEX(AllClosureRows,C327,0),"&lt;="&amp;(MIN('_Dates'!X327,Settings!$B$9))))+IF((MIN('_Dates'!Z327,Settings!$B$9))&lt;('_Dates'!Y327),0,INT(((MIN('_Dates'!Z327,Settings!$B$9))-('_Dates'!Y327)+1)/7)*LEN(SUBSTITUTE(W327,"O",""))+LEN(SUBSTITUTE(MID(W327&amp;W327,WEEKDAY(('_Dates'!Y327),2),MOD(((MIN('_Dates'!Z327,Settings!$B$9))-('_Dates'!Y327)+1),7)),"O",""))-COUNTIFS(INDEX(AllClosureRows,C327,0),"&gt;="&amp;('_Dates'!Y327),INDEX(AllClosureRows,C327,0),"&lt;="&amp;(MIN('_Dates'!Z327,Settings!$B$9))))))</ns0:f>
        <ns0:v>0</ns0:v>
      </ns0:c>
      <ns0:c r="I327" s="0">
        <ns0:f>MAX(0,G327-H327)</ns0:f>
        <ns0:v>0</ns0:v>
      </ns0:c>
      <ns0:c r="J327" s="0">
        <ns0:f>IF(OR(A327=0,F327&lt;&gt;"OK",Bookings!G327="Cancelled",$B$6&gt;0),0,IF('_Dates'!AC327=1,MAX(0,COUNTIFS(rngEngine_B,B327,rngAMStart,"&lt;="&amp;'_Dates'!X327,rngAMEnd,"&gt;="&amp;'_Dates'!W327,rngAMActive,1,rngEngine_F,"OK",rngBookings_F,"&lt;&gt;Cancelled")-1),0)+IF('_Dates'!AD327=1,MAX(0,COUNTIFS(rngEngine_B,B327,rngPMStart,"&lt;="&amp;'_Dates'!Z327,rngPMEnd,"&gt;="&amp;'_Dates'!Y327,rngPMActive,1,rngEngine_F,"OK",rngBookings_F,"&lt;&gt;Cancelled")-1),0))</ns0:f>
        <ns0:v>0</ns0:v>
      </ns0:c>
      <ns0:c r="K327" s="0" t="str">
        <ns0:f>IF(A327=0,"",IF(F327&lt;&gt;"OK",F327,IF(J327&gt;0,"CHECK overlapping entry",IF(AND($B$6=0,G327&lt;=0,Bookings!G327&lt;&gt;"Cancelled"),"CHECK no working days",IF(Bookings!G327="Cancelled","Cancelled","OK")))))</ns0:f>
        <ns0:v/>
      </ns0:c>
      <ns0:c r="L327" s="0">
        <ns0:f>IF(LEFT(K327,5)="CHECK",1,0)</ns0:f>
        <ns0:v>0</ns0:v>
      </ns0:c>
      <ns0:c r="M327" s="0">
        <ns0:f>IF(AND(L327=1,OR(C327=0,IFERROR(INDEX($X$11:$X$60,C327),0)=0)),1,0)</ns0:f>
        <ns0:v>0</ns0:v>
      </ns0:c>
      <ns0:c r="N327" s="0">
        <ns0:f>IF(OR(A327=0,L327&gt;0,$B$6&gt;0,Bookings!G327="Cancelled"),0,G327)</ns0:f>
        <ns0:v>0</ns0:v>
      </ns0:c>
      <ns0:c r="O327" s="0">
        <ns0:f>IF(AND(Bookings!G327="Approved",E327="Yes"),N327,0)</ns0:f>
        <ns0:v>0</ns0:v>
      </ns0:c>
      <ns0:c r="P327" s="0">
        <ns0:f>IF(AND(Bookings!G327="Approved",E327="Yes",L327=0,$B$6=0),H327,0)</ns0:f>
        <ns0:v>0</ns0:v>
      </ns0:c>
      <ns0:c r="Q327" s="0">
        <ns0:f>IF(AND(Bookings!G327="Approved",E327="Yes",L327=0,$B$6=0),I327,0)</ns0:f>
        <ns0:v>0</ns0:v>
      </ns0:c>
      <ns0:c r="R327" s="0">
        <ns0:f>IF(AND(Bookings!G327="Pending",E327="Yes"),N327,0)</ns0:f>
        <ns0:v>0</ns0:v>
      </ns0:c>
      <ns0:c r="S327" s="0">
        <ns0:f>IF(AND(Bookings!G327="Approved",E327="No"),N327,0)</ns0:f>
        <ns0:v>0</ns0:v>
      </ns0:c>
      <ns0:c r="T327" s="0">
        <ns0:f>IFERROR(MATCH(D327,Settings!$G$7:$G$11,0),0)</ns0:f>
        <ns0:v>0</ns0:v>
      </ns0:c>
      <ns0:c r="U327" s="0">
        <ns0:f>IF(N327&gt;0,T327+IF(Bookings!G327="Pending",10,0),0)</ns0:f>
        <ns0:v>0</ns0:v>
      </ns0:c>
      <ns0:c r="V327" s="0">
        <ns0:f>U327</ns0:f>
        <ns0:v>0</ns0:v>
      </ns0:c>
      <ns0:c r="W327" s="0" t="str">
        <ns0:f>IF(C327=0,"",INDEX($AP$11:$AP$60,C327))</ns0:f>
        <ns0:v/>
      </ns0:c>
    </ns0:row>
    <ns0:row r="328">
      <ns0:c r="A328" s="0">
        <ns0:f>IF(COUNTA(Bookings!A328:G328,Bookings!I328)=0,0,1)</ns0:f>
        <ns0:v>0</ns0:v>
      </ns0:c>
      <ns0:c r="B328" s="0" t="str">
        <ns0:f>IFERROR(TRIM(MID(Bookings!A328,FIND(" · ",Bookings!A328)+3,99)),"")</ns0:f>
        <ns0:v/>
      </ns0:c>
      <ns0:c r="C328" s="0">
        <ns0:f>IF(OR(B328="",LEN(B328)&gt;24,ISNUMBER(FIND(" ",B328)),ISNUMBER(FIND("*",B328)),ISNUMBER(FIND("?",B328)),ISNUMBER(FIND("~",B328))),0,IFERROR(MATCH(B328,Team!$A$11:$A$60,0),0))</ns0:f>
        <ns0:v>0</ns0:v>
      </ns0:c>
      <ns0:c r="D328" s="0" t="str">
        <ns0:f>IFERROR(IF(MID(Bookings!F328,LEN(Bookings!F328)-3,3)=" · ",RIGHT(Bookings!F328,1),""),"")</ns0:f>
        <ns0:v/>
      </ns0:c>
      <ns0:c r="E328" s="0" t="str">
        <ns0:f>IFERROR(INDEX(Settings!$H$7:$H$11,MATCH(D328,Settings!$G$7:$G$11,0)),"")</ns0:f>
        <ns0:v/>
      </ns0:c>
      <ns0:c r="F328" s="0" t="str">
        <ns0:f>IF(A328=0,"",IFERROR(IF(OR(B328="",C328=0),"CHECK employee selection",IF(INDEX(Team!$O$11:$O$60,C328)&lt;&gt;"OK","CHECK employee setup",IF(OR('_Dates'!J328=0,'_Dates'!T328=0),"CHECK date: use DD.MM.YYYY",IF('_Dates'!T328&lt;'_Dates'!J328,"CHECK end before start",IF(AND($B$6=0,OR('_Dates'!J328&lt;Settings!$B$7,'_Dates'!T328&gt;Settings!$B$8)),"CHECK split across leave years",IF(OR(NOT(OR('_Dates'!U328="Full day",'_Dates'!U328="AM",'_Dates'!U328="PM")),NOT(OR('_Dates'!V328="Full day",'_Dates'!V328="AM",'_Dates'!V328="PM"))),"CHECK Full day / AM / PM",IF(AND('_Dates'!J328='_Dates'!T328,'_Dates'!U328&lt;&gt;"Full day",'_Dates'!V328&lt;&gt;"Full day",'_Dates'!U328&lt;&gt;'_Dates'!V328),"CHECK same-day portions disagree",IF(AND($B$6=0,OR(AND('_Dates'!U328&lt;&gt;"Full day",'_Dates'!AA328=0),AND('_Dates'!V328&lt;&gt;"Full day",'_Dates'!AB328=0))),"CHECK half-day on non-working date",IF(COUNTIF(Settings!$G$7:$G$11,D328)&lt;&gt;1,"CHECK leave type",IF(AND(Bookings!G328&lt;&gt;"Approved",Bookings!G328&lt;&gt;"Pending",Bookings!G328&lt;&gt;"Cancelled"),"CHECK status","OK")))))))))),"CHECK input"))</ns0:f>
        <ns0:v/>
      </ns0:c>
      <ns0:c r="G328" s="0">
        <ns0:f>IF(OR(F328&lt;&gt;"OK",$B$6&gt;0),0,0.5*(IF(('_Dates'!X328)&lt;('_Dates'!W328),0,INT((('_Dates'!X328)-('_Dates'!W328)+1)/7)*LEN(SUBSTITUTE(W328,"O",""))+LEN(SUBSTITUTE(MID(W328&amp;W328,WEEKDAY(('_Dates'!W328),2),MOD((('_Dates'!X328)-('_Dates'!W328)+1),7)),"O",""))-COUNTIFS(INDEX(AllClosureRows,C328,0),"&gt;="&amp;('_Dates'!W328),INDEX(AllClosureRows,C328,0),"&lt;="&amp;('_Dates'!X328)))+IF(('_Dates'!Z328)&lt;('_Dates'!Y328),0,INT((('_Dates'!Z328)-('_Dates'!Y328)+1)/7)*LEN(SUBSTITUTE(W328,"O",""))+LEN(SUBSTITUTE(MID(W328&amp;W328,WEEKDAY(('_Dates'!Y328),2),MOD((('_Dates'!Z328)-('_Dates'!Y328)+1),7)),"O",""))-COUNTIFS(INDEX(AllClosureRows,C328,0),"&gt;="&amp;('_Dates'!Y328),INDEX(AllClosureRows,C328,0),"&lt;="&amp;('_Dates'!Z328)))))</ns0:f>
        <ns0:v>0</ns0:v>
      </ns0:c>
      <ns0:c r="H328" s="0">
        <ns0:f>IF(OR(F328&lt;&gt;"OK",$B$6&gt;0),0,0.5*(IF((MIN('_Dates'!X328,Settings!$B$9))&lt;('_Dates'!W328),0,INT(((MIN('_Dates'!X328,Settings!$B$9))-('_Dates'!W328)+1)/7)*LEN(SUBSTITUTE(W328,"O",""))+LEN(SUBSTITUTE(MID(W328&amp;W328,WEEKDAY(('_Dates'!W328),2),MOD(((MIN('_Dates'!X328,Settings!$B$9))-('_Dates'!W328)+1),7)),"O",""))-COUNTIFS(INDEX(AllClosureRows,C328,0),"&gt;="&amp;('_Dates'!W328),INDEX(AllClosureRows,C328,0),"&lt;="&amp;(MIN('_Dates'!X328,Settings!$B$9))))+IF((MIN('_Dates'!Z328,Settings!$B$9))&lt;('_Dates'!Y328),0,INT(((MIN('_Dates'!Z328,Settings!$B$9))-('_Dates'!Y328)+1)/7)*LEN(SUBSTITUTE(W328,"O",""))+LEN(SUBSTITUTE(MID(W328&amp;W328,WEEKDAY(('_Dates'!Y328),2),MOD(((MIN('_Dates'!Z328,Settings!$B$9))-('_Dates'!Y328)+1),7)),"O",""))-COUNTIFS(INDEX(AllClosureRows,C328,0),"&gt;="&amp;('_Dates'!Y328),INDEX(AllClosureRows,C328,0),"&lt;="&amp;(MIN('_Dates'!Z328,Settings!$B$9))))))</ns0:f>
        <ns0:v>0</ns0:v>
      </ns0:c>
      <ns0:c r="I328" s="0">
        <ns0:f>MAX(0,G328-H328)</ns0:f>
        <ns0:v>0</ns0:v>
      </ns0:c>
      <ns0:c r="J328" s="0">
        <ns0:f>IF(OR(A328=0,F328&lt;&gt;"OK",Bookings!G328="Cancelled",$B$6&gt;0),0,IF('_Dates'!AC328=1,MAX(0,COUNTIFS(rngEngine_B,B328,rngAMStart,"&lt;="&amp;'_Dates'!X328,rngAMEnd,"&gt;="&amp;'_Dates'!W328,rngAMActive,1,rngEngine_F,"OK",rngBookings_F,"&lt;&gt;Cancelled")-1),0)+IF('_Dates'!AD328=1,MAX(0,COUNTIFS(rngEngine_B,B328,rngPMStart,"&lt;="&amp;'_Dates'!Z328,rngPMEnd,"&gt;="&amp;'_Dates'!Y328,rngPMActive,1,rngEngine_F,"OK",rngBookings_F,"&lt;&gt;Cancelled")-1),0))</ns0:f>
        <ns0:v>0</ns0:v>
      </ns0:c>
      <ns0:c r="K328" s="0" t="str">
        <ns0:f>IF(A328=0,"",IF(F328&lt;&gt;"OK",F328,IF(J328&gt;0,"CHECK overlapping entry",IF(AND($B$6=0,G328&lt;=0,Bookings!G328&lt;&gt;"Cancelled"),"CHECK no working days",IF(Bookings!G328="Cancelled","Cancelled","OK")))))</ns0:f>
        <ns0:v/>
      </ns0:c>
      <ns0:c r="L328" s="0">
        <ns0:f>IF(LEFT(K328,5)="CHECK",1,0)</ns0:f>
        <ns0:v>0</ns0:v>
      </ns0:c>
      <ns0:c r="M328" s="0">
        <ns0:f>IF(AND(L328=1,OR(C328=0,IFERROR(INDEX($X$11:$X$60,C328),0)=0)),1,0)</ns0:f>
        <ns0:v>0</ns0:v>
      </ns0:c>
      <ns0:c r="N328" s="0">
        <ns0:f>IF(OR(A328=0,L328&gt;0,$B$6&gt;0,Bookings!G328="Cancelled"),0,G328)</ns0:f>
        <ns0:v>0</ns0:v>
      </ns0:c>
      <ns0:c r="O328" s="0">
        <ns0:f>IF(AND(Bookings!G328="Approved",E328="Yes"),N328,0)</ns0:f>
        <ns0:v>0</ns0:v>
      </ns0:c>
      <ns0:c r="P328" s="0">
        <ns0:f>IF(AND(Bookings!G328="Approved",E328="Yes",L328=0,$B$6=0),H328,0)</ns0:f>
        <ns0:v>0</ns0:v>
      </ns0:c>
      <ns0:c r="Q328" s="0">
        <ns0:f>IF(AND(Bookings!G328="Approved",E328="Yes",L328=0,$B$6=0),I328,0)</ns0:f>
        <ns0:v>0</ns0:v>
      </ns0:c>
      <ns0:c r="R328" s="0">
        <ns0:f>IF(AND(Bookings!G328="Pending",E328="Yes"),N328,0)</ns0:f>
        <ns0:v>0</ns0:v>
      </ns0:c>
      <ns0:c r="S328" s="0">
        <ns0:f>IF(AND(Bookings!G328="Approved",E328="No"),N328,0)</ns0:f>
        <ns0:v>0</ns0:v>
      </ns0:c>
      <ns0:c r="T328" s="0">
        <ns0:f>IFERROR(MATCH(D328,Settings!$G$7:$G$11,0),0)</ns0:f>
        <ns0:v>0</ns0:v>
      </ns0:c>
      <ns0:c r="U328" s="0">
        <ns0:f>IF(N328&gt;0,T328+IF(Bookings!G328="Pending",10,0),0)</ns0:f>
        <ns0:v>0</ns0:v>
      </ns0:c>
      <ns0:c r="V328" s="0">
        <ns0:f>U328</ns0:f>
        <ns0:v>0</ns0:v>
      </ns0:c>
      <ns0:c r="W328" s="0" t="str">
        <ns0:f>IF(C328=0,"",INDEX($AP$11:$AP$60,C328))</ns0:f>
        <ns0:v/>
      </ns0:c>
    </ns0:row>
    <ns0:row r="329">
      <ns0:c r="A329" s="0">
        <ns0:f>IF(COUNTA(Bookings!A329:G329,Bookings!I329)=0,0,1)</ns0:f>
        <ns0:v>0</ns0:v>
      </ns0:c>
      <ns0:c r="B329" s="0" t="str">
        <ns0:f>IFERROR(TRIM(MID(Bookings!A329,FIND(" · ",Bookings!A329)+3,99)),"")</ns0:f>
        <ns0:v/>
      </ns0:c>
      <ns0:c r="C329" s="0">
        <ns0:f>IF(OR(B329="",LEN(B329)&gt;24,ISNUMBER(FIND(" ",B329)),ISNUMBER(FIND("*",B329)),ISNUMBER(FIND("?",B329)),ISNUMBER(FIND("~",B329))),0,IFERROR(MATCH(B329,Team!$A$11:$A$60,0),0))</ns0:f>
        <ns0:v>0</ns0:v>
      </ns0:c>
      <ns0:c r="D329" s="0" t="str">
        <ns0:f>IFERROR(IF(MID(Bookings!F329,LEN(Bookings!F329)-3,3)=" · ",RIGHT(Bookings!F329,1),""),"")</ns0:f>
        <ns0:v/>
      </ns0:c>
      <ns0:c r="E329" s="0" t="str">
        <ns0:f>IFERROR(INDEX(Settings!$H$7:$H$11,MATCH(D329,Settings!$G$7:$G$11,0)),"")</ns0:f>
        <ns0:v/>
      </ns0:c>
      <ns0:c r="F329" s="0" t="str">
        <ns0:f>IF(A329=0,"",IFERROR(IF(OR(B329="",C329=0),"CHECK employee selection",IF(INDEX(Team!$O$11:$O$60,C329)&lt;&gt;"OK","CHECK employee setup",IF(OR('_Dates'!J329=0,'_Dates'!T329=0),"CHECK date: use DD.MM.YYYY",IF('_Dates'!T329&lt;'_Dates'!J329,"CHECK end before start",IF(AND($B$6=0,OR('_Dates'!J329&lt;Settings!$B$7,'_Dates'!T329&gt;Settings!$B$8)),"CHECK split across leave years",IF(OR(NOT(OR('_Dates'!U329="Full day",'_Dates'!U329="AM",'_Dates'!U329="PM")),NOT(OR('_Dates'!V329="Full day",'_Dates'!V329="AM",'_Dates'!V329="PM"))),"CHECK Full day / AM / PM",IF(AND('_Dates'!J329='_Dates'!T329,'_Dates'!U329&lt;&gt;"Full day",'_Dates'!V329&lt;&gt;"Full day",'_Dates'!U329&lt;&gt;'_Dates'!V329),"CHECK same-day portions disagree",IF(AND($B$6=0,OR(AND('_Dates'!U329&lt;&gt;"Full day",'_Dates'!AA329=0),AND('_Dates'!V329&lt;&gt;"Full day",'_Dates'!AB329=0))),"CHECK half-day on non-working date",IF(COUNTIF(Settings!$G$7:$G$11,D329)&lt;&gt;1,"CHECK leave type",IF(AND(Bookings!G329&lt;&gt;"Approved",Bookings!G329&lt;&gt;"Pending",Bookings!G329&lt;&gt;"Cancelled"),"CHECK status","OK")))))))))),"CHECK input"))</ns0:f>
        <ns0:v/>
      </ns0:c>
      <ns0:c r="G329" s="0">
        <ns0:f>IF(OR(F329&lt;&gt;"OK",$B$6&gt;0),0,0.5*(IF(('_Dates'!X329)&lt;('_Dates'!W329),0,INT((('_Dates'!X329)-('_Dates'!W329)+1)/7)*LEN(SUBSTITUTE(W329,"O",""))+LEN(SUBSTITUTE(MID(W329&amp;W329,WEEKDAY(('_Dates'!W329),2),MOD((('_Dates'!X329)-('_Dates'!W329)+1),7)),"O",""))-COUNTIFS(INDEX(AllClosureRows,C329,0),"&gt;="&amp;('_Dates'!W329),INDEX(AllClosureRows,C329,0),"&lt;="&amp;('_Dates'!X329)))+IF(('_Dates'!Z329)&lt;('_Dates'!Y329),0,INT((('_Dates'!Z329)-('_Dates'!Y329)+1)/7)*LEN(SUBSTITUTE(W329,"O",""))+LEN(SUBSTITUTE(MID(W329&amp;W329,WEEKDAY(('_Dates'!Y329),2),MOD((('_Dates'!Z329)-('_Dates'!Y329)+1),7)),"O",""))-COUNTIFS(INDEX(AllClosureRows,C329,0),"&gt;="&amp;('_Dates'!Y329),INDEX(AllClosureRows,C329,0),"&lt;="&amp;('_Dates'!Z329)))))</ns0:f>
        <ns0:v>0</ns0:v>
      </ns0:c>
      <ns0:c r="H329" s="0">
        <ns0:f>IF(OR(F329&lt;&gt;"OK",$B$6&gt;0),0,0.5*(IF((MIN('_Dates'!X329,Settings!$B$9))&lt;('_Dates'!W329),0,INT(((MIN('_Dates'!X329,Settings!$B$9))-('_Dates'!W329)+1)/7)*LEN(SUBSTITUTE(W329,"O",""))+LEN(SUBSTITUTE(MID(W329&amp;W329,WEEKDAY(('_Dates'!W329),2),MOD(((MIN('_Dates'!X329,Settings!$B$9))-('_Dates'!W329)+1),7)),"O",""))-COUNTIFS(INDEX(AllClosureRows,C329,0),"&gt;="&amp;('_Dates'!W329),INDEX(AllClosureRows,C329,0),"&lt;="&amp;(MIN('_Dates'!X329,Settings!$B$9))))+IF((MIN('_Dates'!Z329,Settings!$B$9))&lt;('_Dates'!Y329),0,INT(((MIN('_Dates'!Z329,Settings!$B$9))-('_Dates'!Y329)+1)/7)*LEN(SUBSTITUTE(W329,"O",""))+LEN(SUBSTITUTE(MID(W329&amp;W329,WEEKDAY(('_Dates'!Y329),2),MOD(((MIN('_Dates'!Z329,Settings!$B$9))-('_Dates'!Y329)+1),7)),"O",""))-COUNTIFS(INDEX(AllClosureRows,C329,0),"&gt;="&amp;('_Dates'!Y329),INDEX(AllClosureRows,C329,0),"&lt;="&amp;(MIN('_Dates'!Z329,Settings!$B$9))))))</ns0:f>
        <ns0:v>0</ns0:v>
      </ns0:c>
      <ns0:c r="I329" s="0">
        <ns0:f>MAX(0,G329-H329)</ns0:f>
        <ns0:v>0</ns0:v>
      </ns0:c>
      <ns0:c r="J329" s="0">
        <ns0:f>IF(OR(A329=0,F329&lt;&gt;"OK",Bookings!G329="Cancelled",$B$6&gt;0),0,IF('_Dates'!AC329=1,MAX(0,COUNTIFS(rngEngine_B,B329,rngAMStart,"&lt;="&amp;'_Dates'!X329,rngAMEnd,"&gt;="&amp;'_Dates'!W329,rngAMActive,1,rngEngine_F,"OK",rngBookings_F,"&lt;&gt;Cancelled")-1),0)+IF('_Dates'!AD329=1,MAX(0,COUNTIFS(rngEngine_B,B329,rngPMStart,"&lt;="&amp;'_Dates'!Z329,rngPMEnd,"&gt;="&amp;'_Dates'!Y329,rngPMActive,1,rngEngine_F,"OK",rngBookings_F,"&lt;&gt;Cancelled")-1),0))</ns0:f>
        <ns0:v>0</ns0:v>
      </ns0:c>
      <ns0:c r="K329" s="0" t="str">
        <ns0:f>IF(A329=0,"",IF(F329&lt;&gt;"OK",F329,IF(J329&gt;0,"CHECK overlapping entry",IF(AND($B$6=0,G329&lt;=0,Bookings!G329&lt;&gt;"Cancelled"),"CHECK no working days",IF(Bookings!G329="Cancelled","Cancelled","OK")))))</ns0:f>
        <ns0:v/>
      </ns0:c>
      <ns0:c r="L329" s="0">
        <ns0:f>IF(LEFT(K329,5)="CHECK",1,0)</ns0:f>
        <ns0:v>0</ns0:v>
      </ns0:c>
      <ns0:c r="M329" s="0">
        <ns0:f>IF(AND(L329=1,OR(C329=0,IFERROR(INDEX($X$11:$X$60,C329),0)=0)),1,0)</ns0:f>
        <ns0:v>0</ns0:v>
      </ns0:c>
      <ns0:c r="N329" s="0">
        <ns0:f>IF(OR(A329=0,L329&gt;0,$B$6&gt;0,Bookings!G329="Cancelled"),0,G329)</ns0:f>
        <ns0:v>0</ns0:v>
      </ns0:c>
      <ns0:c r="O329" s="0">
        <ns0:f>IF(AND(Bookings!G329="Approved",E329="Yes"),N329,0)</ns0:f>
        <ns0:v>0</ns0:v>
      </ns0:c>
      <ns0:c r="P329" s="0">
        <ns0:f>IF(AND(Bookings!G329="Approved",E329="Yes",L329=0,$B$6=0),H329,0)</ns0:f>
        <ns0:v>0</ns0:v>
      </ns0:c>
      <ns0:c r="Q329" s="0">
        <ns0:f>IF(AND(Bookings!G329="Approved",E329="Yes",L329=0,$B$6=0),I329,0)</ns0:f>
        <ns0:v>0</ns0:v>
      </ns0:c>
      <ns0:c r="R329" s="0">
        <ns0:f>IF(AND(Bookings!G329="Pending",E329="Yes"),N329,0)</ns0:f>
        <ns0:v>0</ns0:v>
      </ns0:c>
      <ns0:c r="S329" s="0">
        <ns0:f>IF(AND(Bookings!G329="Approved",E329="No"),N329,0)</ns0:f>
        <ns0:v>0</ns0:v>
      </ns0:c>
      <ns0:c r="T329" s="0">
        <ns0:f>IFERROR(MATCH(D329,Settings!$G$7:$G$11,0),0)</ns0:f>
        <ns0:v>0</ns0:v>
      </ns0:c>
      <ns0:c r="U329" s="0">
        <ns0:f>IF(N329&gt;0,T329+IF(Bookings!G329="Pending",10,0),0)</ns0:f>
        <ns0:v>0</ns0:v>
      </ns0:c>
      <ns0:c r="V329" s="0">
        <ns0:f>U329</ns0:f>
        <ns0:v>0</ns0:v>
      </ns0:c>
      <ns0:c r="W329" s="0" t="str">
        <ns0:f>IF(C329=0,"",INDEX($AP$11:$AP$60,C329))</ns0:f>
        <ns0:v/>
      </ns0:c>
    </ns0:row>
    <ns0:row r="330">
      <ns0:c r="A330" s="0">
        <ns0:f>IF(COUNTA(Bookings!A330:G330,Bookings!I330)=0,0,1)</ns0:f>
        <ns0:v>0</ns0:v>
      </ns0:c>
      <ns0:c r="B330" s="0" t="str">
        <ns0:f>IFERROR(TRIM(MID(Bookings!A330,FIND(" · ",Bookings!A330)+3,99)),"")</ns0:f>
        <ns0:v/>
      </ns0:c>
      <ns0:c r="C330" s="0">
        <ns0:f>IF(OR(B330="",LEN(B330)&gt;24,ISNUMBER(FIND(" ",B330)),ISNUMBER(FIND("*",B330)),ISNUMBER(FIND("?",B330)),ISNUMBER(FIND("~",B330))),0,IFERROR(MATCH(B330,Team!$A$11:$A$60,0),0))</ns0:f>
        <ns0:v>0</ns0:v>
      </ns0:c>
      <ns0:c r="D330" s="0" t="str">
        <ns0:f>IFERROR(IF(MID(Bookings!F330,LEN(Bookings!F330)-3,3)=" · ",RIGHT(Bookings!F330,1),""),"")</ns0:f>
        <ns0:v/>
      </ns0:c>
      <ns0:c r="E330" s="0" t="str">
        <ns0:f>IFERROR(INDEX(Settings!$H$7:$H$11,MATCH(D330,Settings!$G$7:$G$11,0)),"")</ns0:f>
        <ns0:v/>
      </ns0:c>
      <ns0:c r="F330" s="0" t="str">
        <ns0:f>IF(A330=0,"",IFERROR(IF(OR(B330="",C330=0),"CHECK employee selection",IF(INDEX(Team!$O$11:$O$60,C330)&lt;&gt;"OK","CHECK employee setup",IF(OR('_Dates'!J330=0,'_Dates'!T330=0),"CHECK date: use DD.MM.YYYY",IF('_Dates'!T330&lt;'_Dates'!J330,"CHECK end before start",IF(AND($B$6=0,OR('_Dates'!J330&lt;Settings!$B$7,'_Dates'!T330&gt;Settings!$B$8)),"CHECK split across leave years",IF(OR(NOT(OR('_Dates'!U330="Full day",'_Dates'!U330="AM",'_Dates'!U330="PM")),NOT(OR('_Dates'!V330="Full day",'_Dates'!V330="AM",'_Dates'!V330="PM"))),"CHECK Full day / AM / PM",IF(AND('_Dates'!J330='_Dates'!T330,'_Dates'!U330&lt;&gt;"Full day",'_Dates'!V330&lt;&gt;"Full day",'_Dates'!U330&lt;&gt;'_Dates'!V330),"CHECK same-day portions disagree",IF(AND($B$6=0,OR(AND('_Dates'!U330&lt;&gt;"Full day",'_Dates'!AA330=0),AND('_Dates'!V330&lt;&gt;"Full day",'_Dates'!AB330=0))),"CHECK half-day on non-working date",IF(COUNTIF(Settings!$G$7:$G$11,D330)&lt;&gt;1,"CHECK leave type",IF(AND(Bookings!G330&lt;&gt;"Approved",Bookings!G330&lt;&gt;"Pending",Bookings!G330&lt;&gt;"Cancelled"),"CHECK status","OK")))))))))),"CHECK input"))</ns0:f>
        <ns0:v/>
      </ns0:c>
      <ns0:c r="G330" s="0">
        <ns0:f>IF(OR(F330&lt;&gt;"OK",$B$6&gt;0),0,0.5*(IF(('_Dates'!X330)&lt;('_Dates'!W330),0,INT((('_Dates'!X330)-('_Dates'!W330)+1)/7)*LEN(SUBSTITUTE(W330,"O",""))+LEN(SUBSTITUTE(MID(W330&amp;W330,WEEKDAY(('_Dates'!W330),2),MOD((('_Dates'!X330)-('_Dates'!W330)+1),7)),"O",""))-COUNTIFS(INDEX(AllClosureRows,C330,0),"&gt;="&amp;('_Dates'!W330),INDEX(AllClosureRows,C330,0),"&lt;="&amp;('_Dates'!X330)))+IF(('_Dates'!Z330)&lt;('_Dates'!Y330),0,INT((('_Dates'!Z330)-('_Dates'!Y330)+1)/7)*LEN(SUBSTITUTE(W330,"O",""))+LEN(SUBSTITUTE(MID(W330&amp;W330,WEEKDAY(('_Dates'!Y330),2),MOD((('_Dates'!Z330)-('_Dates'!Y330)+1),7)),"O",""))-COUNTIFS(INDEX(AllClosureRows,C330,0),"&gt;="&amp;('_Dates'!Y330),INDEX(AllClosureRows,C330,0),"&lt;="&amp;('_Dates'!Z330)))))</ns0:f>
        <ns0:v>0</ns0:v>
      </ns0:c>
      <ns0:c r="H330" s="0">
        <ns0:f>IF(OR(F330&lt;&gt;"OK",$B$6&gt;0),0,0.5*(IF((MIN('_Dates'!X330,Settings!$B$9))&lt;('_Dates'!W330),0,INT(((MIN('_Dates'!X330,Settings!$B$9))-('_Dates'!W330)+1)/7)*LEN(SUBSTITUTE(W330,"O",""))+LEN(SUBSTITUTE(MID(W330&amp;W330,WEEKDAY(('_Dates'!W330),2),MOD(((MIN('_Dates'!X330,Settings!$B$9))-('_Dates'!W330)+1),7)),"O",""))-COUNTIFS(INDEX(AllClosureRows,C330,0),"&gt;="&amp;('_Dates'!W330),INDEX(AllClosureRows,C330,0),"&lt;="&amp;(MIN('_Dates'!X330,Settings!$B$9))))+IF((MIN('_Dates'!Z330,Settings!$B$9))&lt;('_Dates'!Y330),0,INT(((MIN('_Dates'!Z330,Settings!$B$9))-('_Dates'!Y330)+1)/7)*LEN(SUBSTITUTE(W330,"O",""))+LEN(SUBSTITUTE(MID(W330&amp;W330,WEEKDAY(('_Dates'!Y330),2),MOD(((MIN('_Dates'!Z330,Settings!$B$9))-('_Dates'!Y330)+1),7)),"O",""))-COUNTIFS(INDEX(AllClosureRows,C330,0),"&gt;="&amp;('_Dates'!Y330),INDEX(AllClosureRows,C330,0),"&lt;="&amp;(MIN('_Dates'!Z330,Settings!$B$9))))))</ns0:f>
        <ns0:v>0</ns0:v>
      </ns0:c>
      <ns0:c r="I330" s="0">
        <ns0:f>MAX(0,G330-H330)</ns0:f>
        <ns0:v>0</ns0:v>
      </ns0:c>
      <ns0:c r="J330" s="0">
        <ns0:f>IF(OR(A330=0,F330&lt;&gt;"OK",Bookings!G330="Cancelled",$B$6&gt;0),0,IF('_Dates'!AC330=1,MAX(0,COUNTIFS(rngEngine_B,B330,rngAMStart,"&lt;="&amp;'_Dates'!X330,rngAMEnd,"&gt;="&amp;'_Dates'!W330,rngAMActive,1,rngEngine_F,"OK",rngBookings_F,"&lt;&gt;Cancelled")-1),0)+IF('_Dates'!AD330=1,MAX(0,COUNTIFS(rngEngine_B,B330,rngPMStart,"&lt;="&amp;'_Dates'!Z330,rngPMEnd,"&gt;="&amp;'_Dates'!Y330,rngPMActive,1,rngEngine_F,"OK",rngBookings_F,"&lt;&gt;Cancelled")-1),0))</ns0:f>
        <ns0:v>0</ns0:v>
      </ns0:c>
      <ns0:c r="K330" s="0" t="str">
        <ns0:f>IF(A330=0,"",IF(F330&lt;&gt;"OK",F330,IF(J330&gt;0,"CHECK overlapping entry",IF(AND($B$6=0,G330&lt;=0,Bookings!G330&lt;&gt;"Cancelled"),"CHECK no working days",IF(Bookings!G330="Cancelled","Cancelled","OK")))))</ns0:f>
        <ns0:v/>
      </ns0:c>
      <ns0:c r="L330" s="0">
        <ns0:f>IF(LEFT(K330,5)="CHECK",1,0)</ns0:f>
        <ns0:v>0</ns0:v>
      </ns0:c>
      <ns0:c r="M330" s="0">
        <ns0:f>IF(AND(L330=1,OR(C330=0,IFERROR(INDEX($X$11:$X$60,C330),0)=0)),1,0)</ns0:f>
        <ns0:v>0</ns0:v>
      </ns0:c>
      <ns0:c r="N330" s="0">
        <ns0:f>IF(OR(A330=0,L330&gt;0,$B$6&gt;0,Bookings!G330="Cancelled"),0,G330)</ns0:f>
        <ns0:v>0</ns0:v>
      </ns0:c>
      <ns0:c r="O330" s="0">
        <ns0:f>IF(AND(Bookings!G330="Approved",E330="Yes"),N330,0)</ns0:f>
        <ns0:v>0</ns0:v>
      </ns0:c>
      <ns0:c r="P330" s="0">
        <ns0:f>IF(AND(Bookings!G330="Approved",E330="Yes",L330=0,$B$6=0),H330,0)</ns0:f>
        <ns0:v>0</ns0:v>
      </ns0:c>
      <ns0:c r="Q330" s="0">
        <ns0:f>IF(AND(Bookings!G330="Approved",E330="Yes",L330=0,$B$6=0),I330,0)</ns0:f>
        <ns0:v>0</ns0:v>
      </ns0:c>
      <ns0:c r="R330" s="0">
        <ns0:f>IF(AND(Bookings!G330="Pending",E330="Yes"),N330,0)</ns0:f>
        <ns0:v>0</ns0:v>
      </ns0:c>
      <ns0:c r="S330" s="0">
        <ns0:f>IF(AND(Bookings!G330="Approved",E330="No"),N330,0)</ns0:f>
        <ns0:v>0</ns0:v>
      </ns0:c>
      <ns0:c r="T330" s="0">
        <ns0:f>IFERROR(MATCH(D330,Settings!$G$7:$G$11,0),0)</ns0:f>
        <ns0:v>0</ns0:v>
      </ns0:c>
      <ns0:c r="U330" s="0">
        <ns0:f>IF(N330&gt;0,T330+IF(Bookings!G330="Pending",10,0),0)</ns0:f>
        <ns0:v>0</ns0:v>
      </ns0:c>
      <ns0:c r="V330" s="0">
        <ns0:f>U330</ns0:f>
        <ns0:v>0</ns0:v>
      </ns0:c>
      <ns0:c r="W330" s="0" t="str">
        <ns0:f>IF(C330=0,"",INDEX($AP$11:$AP$60,C330))</ns0:f>
        <ns0:v/>
      </ns0:c>
    </ns0:row>
    <ns0:row r="331">
      <ns0:c r="A331" s="0">
        <ns0:f>IF(COUNTA(Bookings!A331:G331,Bookings!I331)=0,0,1)</ns0:f>
        <ns0:v>0</ns0:v>
      </ns0:c>
      <ns0:c r="B331" s="0" t="str">
        <ns0:f>IFERROR(TRIM(MID(Bookings!A331,FIND(" · ",Bookings!A331)+3,99)),"")</ns0:f>
        <ns0:v/>
      </ns0:c>
      <ns0:c r="C331" s="0">
        <ns0:f>IF(OR(B331="",LEN(B331)&gt;24,ISNUMBER(FIND(" ",B331)),ISNUMBER(FIND("*",B331)),ISNUMBER(FIND("?",B331)),ISNUMBER(FIND("~",B331))),0,IFERROR(MATCH(B331,Team!$A$11:$A$60,0),0))</ns0:f>
        <ns0:v>0</ns0:v>
      </ns0:c>
      <ns0:c r="D331" s="0" t="str">
        <ns0:f>IFERROR(IF(MID(Bookings!F331,LEN(Bookings!F331)-3,3)=" · ",RIGHT(Bookings!F331,1),""),"")</ns0:f>
        <ns0:v/>
      </ns0:c>
      <ns0:c r="E331" s="0" t="str">
        <ns0:f>IFERROR(INDEX(Settings!$H$7:$H$11,MATCH(D331,Settings!$G$7:$G$11,0)),"")</ns0:f>
        <ns0:v/>
      </ns0:c>
      <ns0:c r="F331" s="0" t="str">
        <ns0:f>IF(A331=0,"",IFERROR(IF(OR(B331="",C331=0),"CHECK employee selection",IF(INDEX(Team!$O$11:$O$60,C331)&lt;&gt;"OK","CHECK employee setup",IF(OR('_Dates'!J331=0,'_Dates'!T331=0),"CHECK date: use DD.MM.YYYY",IF('_Dates'!T331&lt;'_Dates'!J331,"CHECK end before start",IF(AND($B$6=0,OR('_Dates'!J331&lt;Settings!$B$7,'_Dates'!T331&gt;Settings!$B$8)),"CHECK split across leave years",IF(OR(NOT(OR('_Dates'!U331="Full day",'_Dates'!U331="AM",'_Dates'!U331="PM")),NOT(OR('_Dates'!V331="Full day",'_Dates'!V331="AM",'_Dates'!V331="PM"))),"CHECK Full day / AM / PM",IF(AND('_Dates'!J331='_Dates'!T331,'_Dates'!U331&lt;&gt;"Full day",'_Dates'!V331&lt;&gt;"Full day",'_Dates'!U331&lt;&gt;'_Dates'!V331),"CHECK same-day portions disagree",IF(AND($B$6=0,OR(AND('_Dates'!U331&lt;&gt;"Full day",'_Dates'!AA331=0),AND('_Dates'!V331&lt;&gt;"Full day",'_Dates'!AB331=0))),"CHECK half-day on non-working date",IF(COUNTIF(Settings!$G$7:$G$11,D331)&lt;&gt;1,"CHECK leave type",IF(AND(Bookings!G331&lt;&gt;"Approved",Bookings!G331&lt;&gt;"Pending",Bookings!G331&lt;&gt;"Cancelled"),"CHECK status","OK")))))))))),"CHECK input"))</ns0:f>
        <ns0:v/>
      </ns0:c>
      <ns0:c r="G331" s="0">
        <ns0:f>IF(OR(F331&lt;&gt;"OK",$B$6&gt;0),0,0.5*(IF(('_Dates'!X331)&lt;('_Dates'!W331),0,INT((('_Dates'!X331)-('_Dates'!W331)+1)/7)*LEN(SUBSTITUTE(W331,"O",""))+LEN(SUBSTITUTE(MID(W331&amp;W331,WEEKDAY(('_Dates'!W331),2),MOD((('_Dates'!X331)-('_Dates'!W331)+1),7)),"O",""))-COUNTIFS(INDEX(AllClosureRows,C331,0),"&gt;="&amp;('_Dates'!W331),INDEX(AllClosureRows,C331,0),"&lt;="&amp;('_Dates'!X331)))+IF(('_Dates'!Z331)&lt;('_Dates'!Y331),0,INT((('_Dates'!Z331)-('_Dates'!Y331)+1)/7)*LEN(SUBSTITUTE(W331,"O",""))+LEN(SUBSTITUTE(MID(W331&amp;W331,WEEKDAY(('_Dates'!Y331),2),MOD((('_Dates'!Z331)-('_Dates'!Y331)+1),7)),"O",""))-COUNTIFS(INDEX(AllClosureRows,C331,0),"&gt;="&amp;('_Dates'!Y331),INDEX(AllClosureRows,C331,0),"&lt;="&amp;('_Dates'!Z331)))))</ns0:f>
        <ns0:v>0</ns0:v>
      </ns0:c>
      <ns0:c r="H331" s="0">
        <ns0:f>IF(OR(F331&lt;&gt;"OK",$B$6&gt;0),0,0.5*(IF((MIN('_Dates'!X331,Settings!$B$9))&lt;('_Dates'!W331),0,INT(((MIN('_Dates'!X331,Settings!$B$9))-('_Dates'!W331)+1)/7)*LEN(SUBSTITUTE(W331,"O",""))+LEN(SUBSTITUTE(MID(W331&amp;W331,WEEKDAY(('_Dates'!W331),2),MOD(((MIN('_Dates'!X331,Settings!$B$9))-('_Dates'!W331)+1),7)),"O",""))-COUNTIFS(INDEX(AllClosureRows,C331,0),"&gt;="&amp;('_Dates'!W331),INDEX(AllClosureRows,C331,0),"&lt;="&amp;(MIN('_Dates'!X331,Settings!$B$9))))+IF((MIN('_Dates'!Z331,Settings!$B$9))&lt;('_Dates'!Y331),0,INT(((MIN('_Dates'!Z331,Settings!$B$9))-('_Dates'!Y331)+1)/7)*LEN(SUBSTITUTE(W331,"O",""))+LEN(SUBSTITUTE(MID(W331&amp;W331,WEEKDAY(('_Dates'!Y331),2),MOD(((MIN('_Dates'!Z331,Settings!$B$9))-('_Dates'!Y331)+1),7)),"O",""))-COUNTIFS(INDEX(AllClosureRows,C331,0),"&gt;="&amp;('_Dates'!Y331),INDEX(AllClosureRows,C331,0),"&lt;="&amp;(MIN('_Dates'!Z331,Settings!$B$9))))))</ns0:f>
        <ns0:v>0</ns0:v>
      </ns0:c>
      <ns0:c r="I331" s="0">
        <ns0:f>MAX(0,G331-H331)</ns0:f>
        <ns0:v>0</ns0:v>
      </ns0:c>
      <ns0:c r="J331" s="0">
        <ns0:f>IF(OR(A331=0,F331&lt;&gt;"OK",Bookings!G331="Cancelled",$B$6&gt;0),0,IF('_Dates'!AC331=1,MAX(0,COUNTIFS(rngEngine_B,B331,rngAMStart,"&lt;="&amp;'_Dates'!X331,rngAMEnd,"&gt;="&amp;'_Dates'!W331,rngAMActive,1,rngEngine_F,"OK",rngBookings_F,"&lt;&gt;Cancelled")-1),0)+IF('_Dates'!AD331=1,MAX(0,COUNTIFS(rngEngine_B,B331,rngPMStart,"&lt;="&amp;'_Dates'!Z331,rngPMEnd,"&gt;="&amp;'_Dates'!Y331,rngPMActive,1,rngEngine_F,"OK",rngBookings_F,"&lt;&gt;Cancelled")-1),0))</ns0:f>
        <ns0:v>0</ns0:v>
      </ns0:c>
      <ns0:c r="K331" s="0" t="str">
        <ns0:f>IF(A331=0,"",IF(F331&lt;&gt;"OK",F331,IF(J331&gt;0,"CHECK overlapping entry",IF(AND($B$6=0,G331&lt;=0,Bookings!G331&lt;&gt;"Cancelled"),"CHECK no working days",IF(Bookings!G331="Cancelled","Cancelled","OK")))))</ns0:f>
        <ns0:v/>
      </ns0:c>
      <ns0:c r="L331" s="0">
        <ns0:f>IF(LEFT(K331,5)="CHECK",1,0)</ns0:f>
        <ns0:v>0</ns0:v>
      </ns0:c>
      <ns0:c r="M331" s="0">
        <ns0:f>IF(AND(L331=1,OR(C331=0,IFERROR(INDEX($X$11:$X$60,C331),0)=0)),1,0)</ns0:f>
        <ns0:v>0</ns0:v>
      </ns0:c>
      <ns0:c r="N331" s="0">
        <ns0:f>IF(OR(A331=0,L331&gt;0,$B$6&gt;0,Bookings!G331="Cancelled"),0,G331)</ns0:f>
        <ns0:v>0</ns0:v>
      </ns0:c>
      <ns0:c r="O331" s="0">
        <ns0:f>IF(AND(Bookings!G331="Approved",E331="Yes"),N331,0)</ns0:f>
        <ns0:v>0</ns0:v>
      </ns0:c>
      <ns0:c r="P331" s="0">
        <ns0:f>IF(AND(Bookings!G331="Approved",E331="Yes",L331=0,$B$6=0),H331,0)</ns0:f>
        <ns0:v>0</ns0:v>
      </ns0:c>
      <ns0:c r="Q331" s="0">
        <ns0:f>IF(AND(Bookings!G331="Approved",E331="Yes",L331=0,$B$6=0),I331,0)</ns0:f>
        <ns0:v>0</ns0:v>
      </ns0:c>
      <ns0:c r="R331" s="0">
        <ns0:f>IF(AND(Bookings!G331="Pending",E331="Yes"),N331,0)</ns0:f>
        <ns0:v>0</ns0:v>
      </ns0:c>
      <ns0:c r="S331" s="0">
        <ns0:f>IF(AND(Bookings!G331="Approved",E331="No"),N331,0)</ns0:f>
        <ns0:v>0</ns0:v>
      </ns0:c>
      <ns0:c r="T331" s="0">
        <ns0:f>IFERROR(MATCH(D331,Settings!$G$7:$G$11,0),0)</ns0:f>
        <ns0:v>0</ns0:v>
      </ns0:c>
      <ns0:c r="U331" s="0">
        <ns0:f>IF(N331&gt;0,T331+IF(Bookings!G331="Pending",10,0),0)</ns0:f>
        <ns0:v>0</ns0:v>
      </ns0:c>
      <ns0:c r="V331" s="0">
        <ns0:f>U331</ns0:f>
        <ns0:v>0</ns0:v>
      </ns0:c>
      <ns0:c r="W331" s="0" t="str">
        <ns0:f>IF(C331=0,"",INDEX($AP$11:$AP$60,C331))</ns0:f>
        <ns0:v/>
      </ns0:c>
    </ns0:row>
    <ns0:row r="332">
      <ns0:c r="A332" s="0">
        <ns0:f>IF(COUNTA(Bookings!A332:G332,Bookings!I332)=0,0,1)</ns0:f>
        <ns0:v>0</ns0:v>
      </ns0:c>
      <ns0:c r="B332" s="0" t="str">
        <ns0:f>IFERROR(TRIM(MID(Bookings!A332,FIND(" · ",Bookings!A332)+3,99)),"")</ns0:f>
        <ns0:v/>
      </ns0:c>
      <ns0:c r="C332" s="0">
        <ns0:f>IF(OR(B332="",LEN(B332)&gt;24,ISNUMBER(FIND(" ",B332)),ISNUMBER(FIND("*",B332)),ISNUMBER(FIND("?",B332)),ISNUMBER(FIND("~",B332))),0,IFERROR(MATCH(B332,Team!$A$11:$A$60,0),0))</ns0:f>
        <ns0:v>0</ns0:v>
      </ns0:c>
      <ns0:c r="D332" s="0" t="str">
        <ns0:f>IFERROR(IF(MID(Bookings!F332,LEN(Bookings!F332)-3,3)=" · ",RIGHT(Bookings!F332,1),""),"")</ns0:f>
        <ns0:v/>
      </ns0:c>
      <ns0:c r="E332" s="0" t="str">
        <ns0:f>IFERROR(INDEX(Settings!$H$7:$H$11,MATCH(D332,Settings!$G$7:$G$11,0)),"")</ns0:f>
        <ns0:v/>
      </ns0:c>
      <ns0:c r="F332" s="0" t="str">
        <ns0:f>IF(A332=0,"",IFERROR(IF(OR(B332="",C332=0),"CHECK employee selection",IF(INDEX(Team!$O$11:$O$60,C332)&lt;&gt;"OK","CHECK employee setup",IF(OR('_Dates'!J332=0,'_Dates'!T332=0),"CHECK date: use DD.MM.YYYY",IF('_Dates'!T332&lt;'_Dates'!J332,"CHECK end before start",IF(AND($B$6=0,OR('_Dates'!J332&lt;Settings!$B$7,'_Dates'!T332&gt;Settings!$B$8)),"CHECK split across leave years",IF(OR(NOT(OR('_Dates'!U332="Full day",'_Dates'!U332="AM",'_Dates'!U332="PM")),NOT(OR('_Dates'!V332="Full day",'_Dates'!V332="AM",'_Dates'!V332="PM"))),"CHECK Full day / AM / PM",IF(AND('_Dates'!J332='_Dates'!T332,'_Dates'!U332&lt;&gt;"Full day",'_Dates'!V332&lt;&gt;"Full day",'_Dates'!U332&lt;&gt;'_Dates'!V332),"CHECK same-day portions disagree",IF(AND($B$6=0,OR(AND('_Dates'!U332&lt;&gt;"Full day",'_Dates'!AA332=0),AND('_Dates'!V332&lt;&gt;"Full day",'_Dates'!AB332=0))),"CHECK half-day on non-working date",IF(COUNTIF(Settings!$G$7:$G$11,D332)&lt;&gt;1,"CHECK leave type",IF(AND(Bookings!G332&lt;&gt;"Approved",Bookings!G332&lt;&gt;"Pending",Bookings!G332&lt;&gt;"Cancelled"),"CHECK status","OK")))))))))),"CHECK input"))</ns0:f>
        <ns0:v/>
      </ns0:c>
      <ns0:c r="G332" s="0">
        <ns0:f>IF(OR(F332&lt;&gt;"OK",$B$6&gt;0),0,0.5*(IF(('_Dates'!X332)&lt;('_Dates'!W332),0,INT((('_Dates'!X332)-('_Dates'!W332)+1)/7)*LEN(SUBSTITUTE(W332,"O",""))+LEN(SUBSTITUTE(MID(W332&amp;W332,WEEKDAY(('_Dates'!W332),2),MOD((('_Dates'!X332)-('_Dates'!W332)+1),7)),"O",""))-COUNTIFS(INDEX(AllClosureRows,C332,0),"&gt;="&amp;('_Dates'!W332),INDEX(AllClosureRows,C332,0),"&lt;="&amp;('_Dates'!X332)))+IF(('_Dates'!Z332)&lt;('_Dates'!Y332),0,INT((('_Dates'!Z332)-('_Dates'!Y332)+1)/7)*LEN(SUBSTITUTE(W332,"O",""))+LEN(SUBSTITUTE(MID(W332&amp;W332,WEEKDAY(('_Dates'!Y332),2),MOD((('_Dates'!Z332)-('_Dates'!Y332)+1),7)),"O",""))-COUNTIFS(INDEX(AllClosureRows,C332,0),"&gt;="&amp;('_Dates'!Y332),INDEX(AllClosureRows,C332,0),"&lt;="&amp;('_Dates'!Z332)))))</ns0:f>
        <ns0:v>0</ns0:v>
      </ns0:c>
      <ns0:c r="H332" s="0">
        <ns0:f>IF(OR(F332&lt;&gt;"OK",$B$6&gt;0),0,0.5*(IF((MIN('_Dates'!X332,Settings!$B$9))&lt;('_Dates'!W332),0,INT(((MIN('_Dates'!X332,Settings!$B$9))-('_Dates'!W332)+1)/7)*LEN(SUBSTITUTE(W332,"O",""))+LEN(SUBSTITUTE(MID(W332&amp;W332,WEEKDAY(('_Dates'!W332),2),MOD(((MIN('_Dates'!X332,Settings!$B$9))-('_Dates'!W332)+1),7)),"O",""))-COUNTIFS(INDEX(AllClosureRows,C332,0),"&gt;="&amp;('_Dates'!W332),INDEX(AllClosureRows,C332,0),"&lt;="&amp;(MIN('_Dates'!X332,Settings!$B$9))))+IF((MIN('_Dates'!Z332,Settings!$B$9))&lt;('_Dates'!Y332),0,INT(((MIN('_Dates'!Z332,Settings!$B$9))-('_Dates'!Y332)+1)/7)*LEN(SUBSTITUTE(W332,"O",""))+LEN(SUBSTITUTE(MID(W332&amp;W332,WEEKDAY(('_Dates'!Y332),2),MOD(((MIN('_Dates'!Z332,Settings!$B$9))-('_Dates'!Y332)+1),7)),"O",""))-COUNTIFS(INDEX(AllClosureRows,C332,0),"&gt;="&amp;('_Dates'!Y332),INDEX(AllClosureRows,C332,0),"&lt;="&amp;(MIN('_Dates'!Z332,Settings!$B$9))))))</ns0:f>
        <ns0:v>0</ns0:v>
      </ns0:c>
      <ns0:c r="I332" s="0">
        <ns0:f>MAX(0,G332-H332)</ns0:f>
        <ns0:v>0</ns0:v>
      </ns0:c>
      <ns0:c r="J332" s="0">
        <ns0:f>IF(OR(A332=0,F332&lt;&gt;"OK",Bookings!G332="Cancelled",$B$6&gt;0),0,IF('_Dates'!AC332=1,MAX(0,COUNTIFS(rngEngine_B,B332,rngAMStart,"&lt;="&amp;'_Dates'!X332,rngAMEnd,"&gt;="&amp;'_Dates'!W332,rngAMActive,1,rngEngine_F,"OK",rngBookings_F,"&lt;&gt;Cancelled")-1),0)+IF('_Dates'!AD332=1,MAX(0,COUNTIFS(rngEngine_B,B332,rngPMStart,"&lt;="&amp;'_Dates'!Z332,rngPMEnd,"&gt;="&amp;'_Dates'!Y332,rngPMActive,1,rngEngine_F,"OK",rngBookings_F,"&lt;&gt;Cancelled")-1),0))</ns0:f>
        <ns0:v>0</ns0:v>
      </ns0:c>
      <ns0:c r="K332" s="0" t="str">
        <ns0:f>IF(A332=0,"",IF(F332&lt;&gt;"OK",F332,IF(J332&gt;0,"CHECK overlapping entry",IF(AND($B$6=0,G332&lt;=0,Bookings!G332&lt;&gt;"Cancelled"),"CHECK no working days",IF(Bookings!G332="Cancelled","Cancelled","OK")))))</ns0:f>
        <ns0:v/>
      </ns0:c>
      <ns0:c r="L332" s="0">
        <ns0:f>IF(LEFT(K332,5)="CHECK",1,0)</ns0:f>
        <ns0:v>0</ns0:v>
      </ns0:c>
      <ns0:c r="M332" s="0">
        <ns0:f>IF(AND(L332=1,OR(C332=0,IFERROR(INDEX($X$11:$X$60,C332),0)=0)),1,0)</ns0:f>
        <ns0:v>0</ns0:v>
      </ns0:c>
      <ns0:c r="N332" s="0">
        <ns0:f>IF(OR(A332=0,L332&gt;0,$B$6&gt;0,Bookings!G332="Cancelled"),0,G332)</ns0:f>
        <ns0:v>0</ns0:v>
      </ns0:c>
      <ns0:c r="O332" s="0">
        <ns0:f>IF(AND(Bookings!G332="Approved",E332="Yes"),N332,0)</ns0:f>
        <ns0:v>0</ns0:v>
      </ns0:c>
      <ns0:c r="P332" s="0">
        <ns0:f>IF(AND(Bookings!G332="Approved",E332="Yes",L332=0,$B$6=0),H332,0)</ns0:f>
        <ns0:v>0</ns0:v>
      </ns0:c>
      <ns0:c r="Q332" s="0">
        <ns0:f>IF(AND(Bookings!G332="Approved",E332="Yes",L332=0,$B$6=0),I332,0)</ns0:f>
        <ns0:v>0</ns0:v>
      </ns0:c>
      <ns0:c r="R332" s="0">
        <ns0:f>IF(AND(Bookings!G332="Pending",E332="Yes"),N332,0)</ns0:f>
        <ns0:v>0</ns0:v>
      </ns0:c>
      <ns0:c r="S332" s="0">
        <ns0:f>IF(AND(Bookings!G332="Approved",E332="No"),N332,0)</ns0:f>
        <ns0:v>0</ns0:v>
      </ns0:c>
      <ns0:c r="T332" s="0">
        <ns0:f>IFERROR(MATCH(D332,Settings!$G$7:$G$11,0),0)</ns0:f>
        <ns0:v>0</ns0:v>
      </ns0:c>
      <ns0:c r="U332" s="0">
        <ns0:f>IF(N332&gt;0,T332+IF(Bookings!G332="Pending",10,0),0)</ns0:f>
        <ns0:v>0</ns0:v>
      </ns0:c>
      <ns0:c r="V332" s="0">
        <ns0:f>U332</ns0:f>
        <ns0:v>0</ns0:v>
      </ns0:c>
      <ns0:c r="W332" s="0" t="str">
        <ns0:f>IF(C332=0,"",INDEX($AP$11:$AP$60,C332))</ns0:f>
        <ns0:v/>
      </ns0:c>
    </ns0:row>
    <ns0:row r="333">
      <ns0:c r="A333" s="0">
        <ns0:f>IF(COUNTA(Bookings!A333:G333,Bookings!I333)=0,0,1)</ns0:f>
        <ns0:v>0</ns0:v>
      </ns0:c>
      <ns0:c r="B333" s="0" t="str">
        <ns0:f>IFERROR(TRIM(MID(Bookings!A333,FIND(" · ",Bookings!A333)+3,99)),"")</ns0:f>
        <ns0:v/>
      </ns0:c>
      <ns0:c r="C333" s="0">
        <ns0:f>IF(OR(B333="",LEN(B333)&gt;24,ISNUMBER(FIND(" ",B333)),ISNUMBER(FIND("*",B333)),ISNUMBER(FIND("?",B333)),ISNUMBER(FIND("~",B333))),0,IFERROR(MATCH(B333,Team!$A$11:$A$60,0),0))</ns0:f>
        <ns0:v>0</ns0:v>
      </ns0:c>
      <ns0:c r="D333" s="0" t="str">
        <ns0:f>IFERROR(IF(MID(Bookings!F333,LEN(Bookings!F333)-3,3)=" · ",RIGHT(Bookings!F333,1),""),"")</ns0:f>
        <ns0:v/>
      </ns0:c>
      <ns0:c r="E333" s="0" t="str">
        <ns0:f>IFERROR(INDEX(Settings!$H$7:$H$11,MATCH(D333,Settings!$G$7:$G$11,0)),"")</ns0:f>
        <ns0:v/>
      </ns0:c>
      <ns0:c r="F333" s="0" t="str">
        <ns0:f>IF(A333=0,"",IFERROR(IF(OR(B333="",C333=0),"CHECK employee selection",IF(INDEX(Team!$O$11:$O$60,C333)&lt;&gt;"OK","CHECK employee setup",IF(OR('_Dates'!J333=0,'_Dates'!T333=0),"CHECK date: use DD.MM.YYYY",IF('_Dates'!T333&lt;'_Dates'!J333,"CHECK end before start",IF(AND($B$6=0,OR('_Dates'!J333&lt;Settings!$B$7,'_Dates'!T333&gt;Settings!$B$8)),"CHECK split across leave years",IF(OR(NOT(OR('_Dates'!U333="Full day",'_Dates'!U333="AM",'_Dates'!U333="PM")),NOT(OR('_Dates'!V333="Full day",'_Dates'!V333="AM",'_Dates'!V333="PM"))),"CHECK Full day / AM / PM",IF(AND('_Dates'!J333='_Dates'!T333,'_Dates'!U333&lt;&gt;"Full day",'_Dates'!V333&lt;&gt;"Full day",'_Dates'!U333&lt;&gt;'_Dates'!V333),"CHECK same-day portions disagree",IF(AND($B$6=0,OR(AND('_Dates'!U333&lt;&gt;"Full day",'_Dates'!AA333=0),AND('_Dates'!V333&lt;&gt;"Full day",'_Dates'!AB333=0))),"CHECK half-day on non-working date",IF(COUNTIF(Settings!$G$7:$G$11,D333)&lt;&gt;1,"CHECK leave type",IF(AND(Bookings!G333&lt;&gt;"Approved",Bookings!G333&lt;&gt;"Pending",Bookings!G333&lt;&gt;"Cancelled"),"CHECK status","OK")))))))))),"CHECK input"))</ns0:f>
        <ns0:v/>
      </ns0:c>
      <ns0:c r="G333" s="0">
        <ns0:f>IF(OR(F333&lt;&gt;"OK",$B$6&gt;0),0,0.5*(IF(('_Dates'!X333)&lt;('_Dates'!W333),0,INT((('_Dates'!X333)-('_Dates'!W333)+1)/7)*LEN(SUBSTITUTE(W333,"O",""))+LEN(SUBSTITUTE(MID(W333&amp;W333,WEEKDAY(('_Dates'!W333),2),MOD((('_Dates'!X333)-('_Dates'!W333)+1),7)),"O",""))-COUNTIFS(INDEX(AllClosureRows,C333,0),"&gt;="&amp;('_Dates'!W333),INDEX(AllClosureRows,C333,0),"&lt;="&amp;('_Dates'!X333)))+IF(('_Dates'!Z333)&lt;('_Dates'!Y333),0,INT((('_Dates'!Z333)-('_Dates'!Y333)+1)/7)*LEN(SUBSTITUTE(W333,"O",""))+LEN(SUBSTITUTE(MID(W333&amp;W333,WEEKDAY(('_Dates'!Y333),2),MOD((('_Dates'!Z333)-('_Dates'!Y333)+1),7)),"O",""))-COUNTIFS(INDEX(AllClosureRows,C333,0),"&gt;="&amp;('_Dates'!Y333),INDEX(AllClosureRows,C333,0),"&lt;="&amp;('_Dates'!Z333)))))</ns0:f>
        <ns0:v>0</ns0:v>
      </ns0:c>
      <ns0:c r="H333" s="0">
        <ns0:f>IF(OR(F333&lt;&gt;"OK",$B$6&gt;0),0,0.5*(IF((MIN('_Dates'!X333,Settings!$B$9))&lt;('_Dates'!W333),0,INT(((MIN('_Dates'!X333,Settings!$B$9))-('_Dates'!W333)+1)/7)*LEN(SUBSTITUTE(W333,"O",""))+LEN(SUBSTITUTE(MID(W333&amp;W333,WEEKDAY(('_Dates'!W333),2),MOD(((MIN('_Dates'!X333,Settings!$B$9))-('_Dates'!W333)+1),7)),"O",""))-COUNTIFS(INDEX(AllClosureRows,C333,0),"&gt;="&amp;('_Dates'!W333),INDEX(AllClosureRows,C333,0),"&lt;="&amp;(MIN('_Dates'!X333,Settings!$B$9))))+IF((MIN('_Dates'!Z333,Settings!$B$9))&lt;('_Dates'!Y333),0,INT(((MIN('_Dates'!Z333,Settings!$B$9))-('_Dates'!Y333)+1)/7)*LEN(SUBSTITUTE(W333,"O",""))+LEN(SUBSTITUTE(MID(W333&amp;W333,WEEKDAY(('_Dates'!Y333),2),MOD(((MIN('_Dates'!Z333,Settings!$B$9))-('_Dates'!Y333)+1),7)),"O",""))-COUNTIFS(INDEX(AllClosureRows,C333,0),"&gt;="&amp;('_Dates'!Y333),INDEX(AllClosureRows,C333,0),"&lt;="&amp;(MIN('_Dates'!Z333,Settings!$B$9))))))</ns0:f>
        <ns0:v>0</ns0:v>
      </ns0:c>
      <ns0:c r="I333" s="0">
        <ns0:f>MAX(0,G333-H333)</ns0:f>
        <ns0:v>0</ns0:v>
      </ns0:c>
      <ns0:c r="J333" s="0">
        <ns0:f>IF(OR(A333=0,F333&lt;&gt;"OK",Bookings!G333="Cancelled",$B$6&gt;0),0,IF('_Dates'!AC333=1,MAX(0,COUNTIFS(rngEngine_B,B333,rngAMStart,"&lt;="&amp;'_Dates'!X333,rngAMEnd,"&gt;="&amp;'_Dates'!W333,rngAMActive,1,rngEngine_F,"OK",rngBookings_F,"&lt;&gt;Cancelled")-1),0)+IF('_Dates'!AD333=1,MAX(0,COUNTIFS(rngEngine_B,B333,rngPMStart,"&lt;="&amp;'_Dates'!Z333,rngPMEnd,"&gt;="&amp;'_Dates'!Y333,rngPMActive,1,rngEngine_F,"OK",rngBookings_F,"&lt;&gt;Cancelled")-1),0))</ns0:f>
        <ns0:v>0</ns0:v>
      </ns0:c>
      <ns0:c r="K333" s="0" t="str">
        <ns0:f>IF(A333=0,"",IF(F333&lt;&gt;"OK",F333,IF(J333&gt;0,"CHECK overlapping entry",IF(AND($B$6=0,G333&lt;=0,Bookings!G333&lt;&gt;"Cancelled"),"CHECK no working days",IF(Bookings!G333="Cancelled","Cancelled","OK")))))</ns0:f>
        <ns0:v/>
      </ns0:c>
      <ns0:c r="L333" s="0">
        <ns0:f>IF(LEFT(K333,5)="CHECK",1,0)</ns0:f>
        <ns0:v>0</ns0:v>
      </ns0:c>
      <ns0:c r="M333" s="0">
        <ns0:f>IF(AND(L333=1,OR(C333=0,IFERROR(INDEX($X$11:$X$60,C333),0)=0)),1,0)</ns0:f>
        <ns0:v>0</ns0:v>
      </ns0:c>
      <ns0:c r="N333" s="0">
        <ns0:f>IF(OR(A333=0,L333&gt;0,$B$6&gt;0,Bookings!G333="Cancelled"),0,G333)</ns0:f>
        <ns0:v>0</ns0:v>
      </ns0:c>
      <ns0:c r="O333" s="0">
        <ns0:f>IF(AND(Bookings!G333="Approved",E333="Yes"),N333,0)</ns0:f>
        <ns0:v>0</ns0:v>
      </ns0:c>
      <ns0:c r="P333" s="0">
        <ns0:f>IF(AND(Bookings!G333="Approved",E333="Yes",L333=0,$B$6=0),H333,0)</ns0:f>
        <ns0:v>0</ns0:v>
      </ns0:c>
      <ns0:c r="Q333" s="0">
        <ns0:f>IF(AND(Bookings!G333="Approved",E333="Yes",L333=0,$B$6=0),I333,0)</ns0:f>
        <ns0:v>0</ns0:v>
      </ns0:c>
      <ns0:c r="R333" s="0">
        <ns0:f>IF(AND(Bookings!G333="Pending",E333="Yes"),N333,0)</ns0:f>
        <ns0:v>0</ns0:v>
      </ns0:c>
      <ns0:c r="S333" s="0">
        <ns0:f>IF(AND(Bookings!G333="Approved",E333="No"),N333,0)</ns0:f>
        <ns0:v>0</ns0:v>
      </ns0:c>
      <ns0:c r="T333" s="0">
        <ns0:f>IFERROR(MATCH(D333,Settings!$G$7:$G$11,0),0)</ns0:f>
        <ns0:v>0</ns0:v>
      </ns0:c>
      <ns0:c r="U333" s="0">
        <ns0:f>IF(N333&gt;0,T333+IF(Bookings!G333="Pending",10,0),0)</ns0:f>
        <ns0:v>0</ns0:v>
      </ns0:c>
      <ns0:c r="V333" s="0">
        <ns0:f>U333</ns0:f>
        <ns0:v>0</ns0:v>
      </ns0:c>
      <ns0:c r="W333" s="0" t="str">
        <ns0:f>IF(C333=0,"",INDEX($AP$11:$AP$60,C333))</ns0:f>
        <ns0:v/>
      </ns0:c>
    </ns0:row>
    <ns0:row r="334">
      <ns0:c r="A334" s="0">
        <ns0:f>IF(COUNTA(Bookings!A334:G334,Bookings!I334)=0,0,1)</ns0:f>
        <ns0:v>0</ns0:v>
      </ns0:c>
      <ns0:c r="B334" s="0" t="str">
        <ns0:f>IFERROR(TRIM(MID(Bookings!A334,FIND(" · ",Bookings!A334)+3,99)),"")</ns0:f>
        <ns0:v/>
      </ns0:c>
      <ns0:c r="C334" s="0">
        <ns0:f>IF(OR(B334="",LEN(B334)&gt;24,ISNUMBER(FIND(" ",B334)),ISNUMBER(FIND("*",B334)),ISNUMBER(FIND("?",B334)),ISNUMBER(FIND("~",B334))),0,IFERROR(MATCH(B334,Team!$A$11:$A$60,0),0))</ns0:f>
        <ns0:v>0</ns0:v>
      </ns0:c>
      <ns0:c r="D334" s="0" t="str">
        <ns0:f>IFERROR(IF(MID(Bookings!F334,LEN(Bookings!F334)-3,3)=" · ",RIGHT(Bookings!F334,1),""),"")</ns0:f>
        <ns0:v/>
      </ns0:c>
      <ns0:c r="E334" s="0" t="str">
        <ns0:f>IFERROR(INDEX(Settings!$H$7:$H$11,MATCH(D334,Settings!$G$7:$G$11,0)),"")</ns0:f>
        <ns0:v/>
      </ns0:c>
      <ns0:c r="F334" s="0" t="str">
        <ns0:f>IF(A334=0,"",IFERROR(IF(OR(B334="",C334=0),"CHECK employee selection",IF(INDEX(Team!$O$11:$O$60,C334)&lt;&gt;"OK","CHECK employee setup",IF(OR('_Dates'!J334=0,'_Dates'!T334=0),"CHECK date: use DD.MM.YYYY",IF('_Dates'!T334&lt;'_Dates'!J334,"CHECK end before start",IF(AND($B$6=0,OR('_Dates'!J334&lt;Settings!$B$7,'_Dates'!T334&gt;Settings!$B$8)),"CHECK split across leave years",IF(OR(NOT(OR('_Dates'!U334="Full day",'_Dates'!U334="AM",'_Dates'!U334="PM")),NOT(OR('_Dates'!V334="Full day",'_Dates'!V334="AM",'_Dates'!V334="PM"))),"CHECK Full day / AM / PM",IF(AND('_Dates'!J334='_Dates'!T334,'_Dates'!U334&lt;&gt;"Full day",'_Dates'!V334&lt;&gt;"Full day",'_Dates'!U334&lt;&gt;'_Dates'!V334),"CHECK same-day portions disagree",IF(AND($B$6=0,OR(AND('_Dates'!U334&lt;&gt;"Full day",'_Dates'!AA334=0),AND('_Dates'!V334&lt;&gt;"Full day",'_Dates'!AB334=0))),"CHECK half-day on non-working date",IF(COUNTIF(Settings!$G$7:$G$11,D334)&lt;&gt;1,"CHECK leave type",IF(AND(Bookings!G334&lt;&gt;"Approved",Bookings!G334&lt;&gt;"Pending",Bookings!G334&lt;&gt;"Cancelled"),"CHECK status","OK")))))))))),"CHECK input"))</ns0:f>
        <ns0:v/>
      </ns0:c>
      <ns0:c r="G334" s="0">
        <ns0:f>IF(OR(F334&lt;&gt;"OK",$B$6&gt;0),0,0.5*(IF(('_Dates'!X334)&lt;('_Dates'!W334),0,INT((('_Dates'!X334)-('_Dates'!W334)+1)/7)*LEN(SUBSTITUTE(W334,"O",""))+LEN(SUBSTITUTE(MID(W334&amp;W334,WEEKDAY(('_Dates'!W334),2),MOD((('_Dates'!X334)-('_Dates'!W334)+1),7)),"O",""))-COUNTIFS(INDEX(AllClosureRows,C334,0),"&gt;="&amp;('_Dates'!W334),INDEX(AllClosureRows,C334,0),"&lt;="&amp;('_Dates'!X334)))+IF(('_Dates'!Z334)&lt;('_Dates'!Y334),0,INT((('_Dates'!Z334)-('_Dates'!Y334)+1)/7)*LEN(SUBSTITUTE(W334,"O",""))+LEN(SUBSTITUTE(MID(W334&amp;W334,WEEKDAY(('_Dates'!Y334),2),MOD((('_Dates'!Z334)-('_Dates'!Y334)+1),7)),"O",""))-COUNTIFS(INDEX(AllClosureRows,C334,0),"&gt;="&amp;('_Dates'!Y334),INDEX(AllClosureRows,C334,0),"&lt;="&amp;('_Dates'!Z334)))))</ns0:f>
        <ns0:v>0</ns0:v>
      </ns0:c>
      <ns0:c r="H334" s="0">
        <ns0:f>IF(OR(F334&lt;&gt;"OK",$B$6&gt;0),0,0.5*(IF((MIN('_Dates'!X334,Settings!$B$9))&lt;('_Dates'!W334),0,INT(((MIN('_Dates'!X334,Settings!$B$9))-('_Dates'!W334)+1)/7)*LEN(SUBSTITUTE(W334,"O",""))+LEN(SUBSTITUTE(MID(W334&amp;W334,WEEKDAY(('_Dates'!W334),2),MOD(((MIN('_Dates'!X334,Settings!$B$9))-('_Dates'!W334)+1),7)),"O",""))-COUNTIFS(INDEX(AllClosureRows,C334,0),"&gt;="&amp;('_Dates'!W334),INDEX(AllClosureRows,C334,0),"&lt;="&amp;(MIN('_Dates'!X334,Settings!$B$9))))+IF((MIN('_Dates'!Z334,Settings!$B$9))&lt;('_Dates'!Y334),0,INT(((MIN('_Dates'!Z334,Settings!$B$9))-('_Dates'!Y334)+1)/7)*LEN(SUBSTITUTE(W334,"O",""))+LEN(SUBSTITUTE(MID(W334&amp;W334,WEEKDAY(('_Dates'!Y334),2),MOD(((MIN('_Dates'!Z334,Settings!$B$9))-('_Dates'!Y334)+1),7)),"O",""))-COUNTIFS(INDEX(AllClosureRows,C334,0),"&gt;="&amp;('_Dates'!Y334),INDEX(AllClosureRows,C334,0),"&lt;="&amp;(MIN('_Dates'!Z334,Settings!$B$9))))))</ns0:f>
        <ns0:v>0</ns0:v>
      </ns0:c>
      <ns0:c r="I334" s="0">
        <ns0:f>MAX(0,G334-H334)</ns0:f>
        <ns0:v>0</ns0:v>
      </ns0:c>
      <ns0:c r="J334" s="0">
        <ns0:f>IF(OR(A334=0,F334&lt;&gt;"OK",Bookings!G334="Cancelled",$B$6&gt;0),0,IF('_Dates'!AC334=1,MAX(0,COUNTIFS(rngEngine_B,B334,rngAMStart,"&lt;="&amp;'_Dates'!X334,rngAMEnd,"&gt;="&amp;'_Dates'!W334,rngAMActive,1,rngEngine_F,"OK",rngBookings_F,"&lt;&gt;Cancelled")-1),0)+IF('_Dates'!AD334=1,MAX(0,COUNTIFS(rngEngine_B,B334,rngPMStart,"&lt;="&amp;'_Dates'!Z334,rngPMEnd,"&gt;="&amp;'_Dates'!Y334,rngPMActive,1,rngEngine_F,"OK",rngBookings_F,"&lt;&gt;Cancelled")-1),0))</ns0:f>
        <ns0:v>0</ns0:v>
      </ns0:c>
      <ns0:c r="K334" s="0" t="str">
        <ns0:f>IF(A334=0,"",IF(F334&lt;&gt;"OK",F334,IF(J334&gt;0,"CHECK overlapping entry",IF(AND($B$6=0,G334&lt;=0,Bookings!G334&lt;&gt;"Cancelled"),"CHECK no working days",IF(Bookings!G334="Cancelled","Cancelled","OK")))))</ns0:f>
        <ns0:v/>
      </ns0:c>
      <ns0:c r="L334" s="0">
        <ns0:f>IF(LEFT(K334,5)="CHECK",1,0)</ns0:f>
        <ns0:v>0</ns0:v>
      </ns0:c>
      <ns0:c r="M334" s="0">
        <ns0:f>IF(AND(L334=1,OR(C334=0,IFERROR(INDEX($X$11:$X$60,C334),0)=0)),1,0)</ns0:f>
        <ns0:v>0</ns0:v>
      </ns0:c>
      <ns0:c r="N334" s="0">
        <ns0:f>IF(OR(A334=0,L334&gt;0,$B$6&gt;0,Bookings!G334="Cancelled"),0,G334)</ns0:f>
        <ns0:v>0</ns0:v>
      </ns0:c>
      <ns0:c r="O334" s="0">
        <ns0:f>IF(AND(Bookings!G334="Approved",E334="Yes"),N334,0)</ns0:f>
        <ns0:v>0</ns0:v>
      </ns0:c>
      <ns0:c r="P334" s="0">
        <ns0:f>IF(AND(Bookings!G334="Approved",E334="Yes",L334=0,$B$6=0),H334,0)</ns0:f>
        <ns0:v>0</ns0:v>
      </ns0:c>
      <ns0:c r="Q334" s="0">
        <ns0:f>IF(AND(Bookings!G334="Approved",E334="Yes",L334=0,$B$6=0),I334,0)</ns0:f>
        <ns0:v>0</ns0:v>
      </ns0:c>
      <ns0:c r="R334" s="0">
        <ns0:f>IF(AND(Bookings!G334="Pending",E334="Yes"),N334,0)</ns0:f>
        <ns0:v>0</ns0:v>
      </ns0:c>
      <ns0:c r="S334" s="0">
        <ns0:f>IF(AND(Bookings!G334="Approved",E334="No"),N334,0)</ns0:f>
        <ns0:v>0</ns0:v>
      </ns0:c>
      <ns0:c r="T334" s="0">
        <ns0:f>IFERROR(MATCH(D334,Settings!$G$7:$G$11,0),0)</ns0:f>
        <ns0:v>0</ns0:v>
      </ns0:c>
      <ns0:c r="U334" s="0">
        <ns0:f>IF(N334&gt;0,T334+IF(Bookings!G334="Pending",10,0),0)</ns0:f>
        <ns0:v>0</ns0:v>
      </ns0:c>
      <ns0:c r="V334" s="0">
        <ns0:f>U334</ns0:f>
        <ns0:v>0</ns0:v>
      </ns0:c>
      <ns0:c r="W334" s="0" t="str">
        <ns0:f>IF(C334=0,"",INDEX($AP$11:$AP$60,C334))</ns0:f>
        <ns0:v/>
      </ns0:c>
    </ns0:row>
    <ns0:row r="335">
      <ns0:c r="A335" s="0">
        <ns0:f>IF(COUNTA(Bookings!A335:G335,Bookings!I335)=0,0,1)</ns0:f>
        <ns0:v>0</ns0:v>
      </ns0:c>
      <ns0:c r="B335" s="0" t="str">
        <ns0:f>IFERROR(TRIM(MID(Bookings!A335,FIND(" · ",Bookings!A335)+3,99)),"")</ns0:f>
        <ns0:v/>
      </ns0:c>
      <ns0:c r="C335" s="0">
        <ns0:f>IF(OR(B335="",LEN(B335)&gt;24,ISNUMBER(FIND(" ",B335)),ISNUMBER(FIND("*",B335)),ISNUMBER(FIND("?",B335)),ISNUMBER(FIND("~",B335))),0,IFERROR(MATCH(B335,Team!$A$11:$A$60,0),0))</ns0:f>
        <ns0:v>0</ns0:v>
      </ns0:c>
      <ns0:c r="D335" s="0" t="str">
        <ns0:f>IFERROR(IF(MID(Bookings!F335,LEN(Bookings!F335)-3,3)=" · ",RIGHT(Bookings!F335,1),""),"")</ns0:f>
        <ns0:v/>
      </ns0:c>
      <ns0:c r="E335" s="0" t="str">
        <ns0:f>IFERROR(INDEX(Settings!$H$7:$H$11,MATCH(D335,Settings!$G$7:$G$11,0)),"")</ns0:f>
        <ns0:v/>
      </ns0:c>
      <ns0:c r="F335" s="0" t="str">
        <ns0:f>IF(A335=0,"",IFERROR(IF(OR(B335="",C335=0),"CHECK employee selection",IF(INDEX(Team!$O$11:$O$60,C335)&lt;&gt;"OK","CHECK employee setup",IF(OR('_Dates'!J335=0,'_Dates'!T335=0),"CHECK date: use DD.MM.YYYY",IF('_Dates'!T335&lt;'_Dates'!J335,"CHECK end before start",IF(AND($B$6=0,OR('_Dates'!J335&lt;Settings!$B$7,'_Dates'!T335&gt;Settings!$B$8)),"CHECK split across leave years",IF(OR(NOT(OR('_Dates'!U335="Full day",'_Dates'!U335="AM",'_Dates'!U335="PM")),NOT(OR('_Dates'!V335="Full day",'_Dates'!V335="AM",'_Dates'!V335="PM"))),"CHECK Full day / AM / PM",IF(AND('_Dates'!J335='_Dates'!T335,'_Dates'!U335&lt;&gt;"Full day",'_Dates'!V335&lt;&gt;"Full day",'_Dates'!U335&lt;&gt;'_Dates'!V335),"CHECK same-day portions disagree",IF(AND($B$6=0,OR(AND('_Dates'!U335&lt;&gt;"Full day",'_Dates'!AA335=0),AND('_Dates'!V335&lt;&gt;"Full day",'_Dates'!AB335=0))),"CHECK half-day on non-working date",IF(COUNTIF(Settings!$G$7:$G$11,D335)&lt;&gt;1,"CHECK leave type",IF(AND(Bookings!G335&lt;&gt;"Approved",Bookings!G335&lt;&gt;"Pending",Bookings!G335&lt;&gt;"Cancelled"),"CHECK status","OK")))))))))),"CHECK input"))</ns0:f>
        <ns0:v/>
      </ns0:c>
      <ns0:c r="G335" s="0">
        <ns0:f>IF(OR(F335&lt;&gt;"OK",$B$6&gt;0),0,0.5*(IF(('_Dates'!X335)&lt;('_Dates'!W335),0,INT((('_Dates'!X335)-('_Dates'!W335)+1)/7)*LEN(SUBSTITUTE(W335,"O",""))+LEN(SUBSTITUTE(MID(W335&amp;W335,WEEKDAY(('_Dates'!W335),2),MOD((('_Dates'!X335)-('_Dates'!W335)+1),7)),"O",""))-COUNTIFS(INDEX(AllClosureRows,C335,0),"&gt;="&amp;('_Dates'!W335),INDEX(AllClosureRows,C335,0),"&lt;="&amp;('_Dates'!X335)))+IF(('_Dates'!Z335)&lt;('_Dates'!Y335),0,INT((('_Dates'!Z335)-('_Dates'!Y335)+1)/7)*LEN(SUBSTITUTE(W335,"O",""))+LEN(SUBSTITUTE(MID(W335&amp;W335,WEEKDAY(('_Dates'!Y335),2),MOD((('_Dates'!Z335)-('_Dates'!Y335)+1),7)),"O",""))-COUNTIFS(INDEX(AllClosureRows,C335,0),"&gt;="&amp;('_Dates'!Y335),INDEX(AllClosureRows,C335,0),"&lt;="&amp;('_Dates'!Z335)))))</ns0:f>
        <ns0:v>0</ns0:v>
      </ns0:c>
      <ns0:c r="H335" s="0">
        <ns0:f>IF(OR(F335&lt;&gt;"OK",$B$6&gt;0),0,0.5*(IF((MIN('_Dates'!X335,Settings!$B$9))&lt;('_Dates'!W335),0,INT(((MIN('_Dates'!X335,Settings!$B$9))-('_Dates'!W335)+1)/7)*LEN(SUBSTITUTE(W335,"O",""))+LEN(SUBSTITUTE(MID(W335&amp;W335,WEEKDAY(('_Dates'!W335),2),MOD(((MIN('_Dates'!X335,Settings!$B$9))-('_Dates'!W335)+1),7)),"O",""))-COUNTIFS(INDEX(AllClosureRows,C335,0),"&gt;="&amp;('_Dates'!W335),INDEX(AllClosureRows,C335,0),"&lt;="&amp;(MIN('_Dates'!X335,Settings!$B$9))))+IF((MIN('_Dates'!Z335,Settings!$B$9))&lt;('_Dates'!Y335),0,INT(((MIN('_Dates'!Z335,Settings!$B$9))-('_Dates'!Y335)+1)/7)*LEN(SUBSTITUTE(W335,"O",""))+LEN(SUBSTITUTE(MID(W335&amp;W335,WEEKDAY(('_Dates'!Y335),2),MOD(((MIN('_Dates'!Z335,Settings!$B$9))-('_Dates'!Y335)+1),7)),"O",""))-COUNTIFS(INDEX(AllClosureRows,C335,0),"&gt;="&amp;('_Dates'!Y335),INDEX(AllClosureRows,C335,0),"&lt;="&amp;(MIN('_Dates'!Z335,Settings!$B$9))))))</ns0:f>
        <ns0:v>0</ns0:v>
      </ns0:c>
      <ns0:c r="I335" s="0">
        <ns0:f>MAX(0,G335-H335)</ns0:f>
        <ns0:v>0</ns0:v>
      </ns0:c>
      <ns0:c r="J335" s="0">
        <ns0:f>IF(OR(A335=0,F335&lt;&gt;"OK",Bookings!G335="Cancelled",$B$6&gt;0),0,IF('_Dates'!AC335=1,MAX(0,COUNTIFS(rngEngine_B,B335,rngAMStart,"&lt;="&amp;'_Dates'!X335,rngAMEnd,"&gt;="&amp;'_Dates'!W335,rngAMActive,1,rngEngine_F,"OK",rngBookings_F,"&lt;&gt;Cancelled")-1),0)+IF('_Dates'!AD335=1,MAX(0,COUNTIFS(rngEngine_B,B335,rngPMStart,"&lt;="&amp;'_Dates'!Z335,rngPMEnd,"&gt;="&amp;'_Dates'!Y335,rngPMActive,1,rngEngine_F,"OK",rngBookings_F,"&lt;&gt;Cancelled")-1),0))</ns0:f>
        <ns0:v>0</ns0:v>
      </ns0:c>
      <ns0:c r="K335" s="0" t="str">
        <ns0:f>IF(A335=0,"",IF(F335&lt;&gt;"OK",F335,IF(J335&gt;0,"CHECK overlapping entry",IF(AND($B$6=0,G335&lt;=0,Bookings!G335&lt;&gt;"Cancelled"),"CHECK no working days",IF(Bookings!G335="Cancelled","Cancelled","OK")))))</ns0:f>
        <ns0:v/>
      </ns0:c>
      <ns0:c r="L335" s="0">
        <ns0:f>IF(LEFT(K335,5)="CHECK",1,0)</ns0:f>
        <ns0:v>0</ns0:v>
      </ns0:c>
      <ns0:c r="M335" s="0">
        <ns0:f>IF(AND(L335=1,OR(C335=0,IFERROR(INDEX($X$11:$X$60,C335),0)=0)),1,0)</ns0:f>
        <ns0:v>0</ns0:v>
      </ns0:c>
      <ns0:c r="N335" s="0">
        <ns0:f>IF(OR(A335=0,L335&gt;0,$B$6&gt;0,Bookings!G335="Cancelled"),0,G335)</ns0:f>
        <ns0:v>0</ns0:v>
      </ns0:c>
      <ns0:c r="O335" s="0">
        <ns0:f>IF(AND(Bookings!G335="Approved",E335="Yes"),N335,0)</ns0:f>
        <ns0:v>0</ns0:v>
      </ns0:c>
      <ns0:c r="P335" s="0">
        <ns0:f>IF(AND(Bookings!G335="Approved",E335="Yes",L335=0,$B$6=0),H335,0)</ns0:f>
        <ns0:v>0</ns0:v>
      </ns0:c>
      <ns0:c r="Q335" s="0">
        <ns0:f>IF(AND(Bookings!G335="Approved",E335="Yes",L335=0,$B$6=0),I335,0)</ns0:f>
        <ns0:v>0</ns0:v>
      </ns0:c>
      <ns0:c r="R335" s="0">
        <ns0:f>IF(AND(Bookings!G335="Pending",E335="Yes"),N335,0)</ns0:f>
        <ns0:v>0</ns0:v>
      </ns0:c>
      <ns0:c r="S335" s="0">
        <ns0:f>IF(AND(Bookings!G335="Approved",E335="No"),N335,0)</ns0:f>
        <ns0:v>0</ns0:v>
      </ns0:c>
      <ns0:c r="T335" s="0">
        <ns0:f>IFERROR(MATCH(D335,Settings!$G$7:$G$11,0),0)</ns0:f>
        <ns0:v>0</ns0:v>
      </ns0:c>
      <ns0:c r="U335" s="0">
        <ns0:f>IF(N335&gt;0,T335+IF(Bookings!G335="Pending",10,0),0)</ns0:f>
        <ns0:v>0</ns0:v>
      </ns0:c>
      <ns0:c r="V335" s="0">
        <ns0:f>U335</ns0:f>
        <ns0:v>0</ns0:v>
      </ns0:c>
      <ns0:c r="W335" s="0" t="str">
        <ns0:f>IF(C335=0,"",INDEX($AP$11:$AP$60,C335))</ns0:f>
        <ns0:v/>
      </ns0:c>
    </ns0:row>
    <ns0:row r="336">
      <ns0:c r="A336" s="0">
        <ns0:f>IF(COUNTA(Bookings!A336:G336,Bookings!I336)=0,0,1)</ns0:f>
        <ns0:v>0</ns0:v>
      </ns0:c>
      <ns0:c r="B336" s="0" t="str">
        <ns0:f>IFERROR(TRIM(MID(Bookings!A336,FIND(" · ",Bookings!A336)+3,99)),"")</ns0:f>
        <ns0:v/>
      </ns0:c>
      <ns0:c r="C336" s="0">
        <ns0:f>IF(OR(B336="",LEN(B336)&gt;24,ISNUMBER(FIND(" ",B336)),ISNUMBER(FIND("*",B336)),ISNUMBER(FIND("?",B336)),ISNUMBER(FIND("~",B336))),0,IFERROR(MATCH(B336,Team!$A$11:$A$60,0),0))</ns0:f>
        <ns0:v>0</ns0:v>
      </ns0:c>
      <ns0:c r="D336" s="0" t="str">
        <ns0:f>IFERROR(IF(MID(Bookings!F336,LEN(Bookings!F336)-3,3)=" · ",RIGHT(Bookings!F336,1),""),"")</ns0:f>
        <ns0:v/>
      </ns0:c>
      <ns0:c r="E336" s="0" t="str">
        <ns0:f>IFERROR(INDEX(Settings!$H$7:$H$11,MATCH(D336,Settings!$G$7:$G$11,0)),"")</ns0:f>
        <ns0:v/>
      </ns0:c>
      <ns0:c r="F336" s="0" t="str">
        <ns0:f>IF(A336=0,"",IFERROR(IF(OR(B336="",C336=0),"CHECK employee selection",IF(INDEX(Team!$O$11:$O$60,C336)&lt;&gt;"OK","CHECK employee setup",IF(OR('_Dates'!J336=0,'_Dates'!T336=0),"CHECK date: use DD.MM.YYYY",IF('_Dates'!T336&lt;'_Dates'!J336,"CHECK end before start",IF(AND($B$6=0,OR('_Dates'!J336&lt;Settings!$B$7,'_Dates'!T336&gt;Settings!$B$8)),"CHECK split across leave years",IF(OR(NOT(OR('_Dates'!U336="Full day",'_Dates'!U336="AM",'_Dates'!U336="PM")),NOT(OR('_Dates'!V336="Full day",'_Dates'!V336="AM",'_Dates'!V336="PM"))),"CHECK Full day / AM / PM",IF(AND('_Dates'!J336='_Dates'!T336,'_Dates'!U336&lt;&gt;"Full day",'_Dates'!V336&lt;&gt;"Full day",'_Dates'!U336&lt;&gt;'_Dates'!V336),"CHECK same-day portions disagree",IF(AND($B$6=0,OR(AND('_Dates'!U336&lt;&gt;"Full day",'_Dates'!AA336=0),AND('_Dates'!V336&lt;&gt;"Full day",'_Dates'!AB336=0))),"CHECK half-day on non-working date",IF(COUNTIF(Settings!$G$7:$G$11,D336)&lt;&gt;1,"CHECK leave type",IF(AND(Bookings!G336&lt;&gt;"Approved",Bookings!G336&lt;&gt;"Pending",Bookings!G336&lt;&gt;"Cancelled"),"CHECK status","OK")))))))))),"CHECK input"))</ns0:f>
        <ns0:v/>
      </ns0:c>
      <ns0:c r="G336" s="0">
        <ns0:f>IF(OR(F336&lt;&gt;"OK",$B$6&gt;0),0,0.5*(IF(('_Dates'!X336)&lt;('_Dates'!W336),0,INT((('_Dates'!X336)-('_Dates'!W336)+1)/7)*LEN(SUBSTITUTE(W336,"O",""))+LEN(SUBSTITUTE(MID(W336&amp;W336,WEEKDAY(('_Dates'!W336),2),MOD((('_Dates'!X336)-('_Dates'!W336)+1),7)),"O",""))-COUNTIFS(INDEX(AllClosureRows,C336,0),"&gt;="&amp;('_Dates'!W336),INDEX(AllClosureRows,C336,0),"&lt;="&amp;('_Dates'!X336)))+IF(('_Dates'!Z336)&lt;('_Dates'!Y336),0,INT((('_Dates'!Z336)-('_Dates'!Y336)+1)/7)*LEN(SUBSTITUTE(W336,"O",""))+LEN(SUBSTITUTE(MID(W336&amp;W336,WEEKDAY(('_Dates'!Y336),2),MOD((('_Dates'!Z336)-('_Dates'!Y336)+1),7)),"O",""))-COUNTIFS(INDEX(AllClosureRows,C336,0),"&gt;="&amp;('_Dates'!Y336),INDEX(AllClosureRows,C336,0),"&lt;="&amp;('_Dates'!Z336)))))</ns0:f>
        <ns0:v>0</ns0:v>
      </ns0:c>
      <ns0:c r="H336" s="0">
        <ns0:f>IF(OR(F336&lt;&gt;"OK",$B$6&gt;0),0,0.5*(IF((MIN('_Dates'!X336,Settings!$B$9))&lt;('_Dates'!W336),0,INT(((MIN('_Dates'!X336,Settings!$B$9))-('_Dates'!W336)+1)/7)*LEN(SUBSTITUTE(W336,"O",""))+LEN(SUBSTITUTE(MID(W336&amp;W336,WEEKDAY(('_Dates'!W336),2),MOD(((MIN('_Dates'!X336,Settings!$B$9))-('_Dates'!W336)+1),7)),"O",""))-COUNTIFS(INDEX(AllClosureRows,C336,0),"&gt;="&amp;('_Dates'!W336),INDEX(AllClosureRows,C336,0),"&lt;="&amp;(MIN('_Dates'!X336,Settings!$B$9))))+IF((MIN('_Dates'!Z336,Settings!$B$9))&lt;('_Dates'!Y336),0,INT(((MIN('_Dates'!Z336,Settings!$B$9))-('_Dates'!Y336)+1)/7)*LEN(SUBSTITUTE(W336,"O",""))+LEN(SUBSTITUTE(MID(W336&amp;W336,WEEKDAY(('_Dates'!Y336),2),MOD(((MIN('_Dates'!Z336,Settings!$B$9))-('_Dates'!Y336)+1),7)),"O",""))-COUNTIFS(INDEX(AllClosureRows,C336,0),"&gt;="&amp;('_Dates'!Y336),INDEX(AllClosureRows,C336,0),"&lt;="&amp;(MIN('_Dates'!Z336,Settings!$B$9))))))</ns0:f>
        <ns0:v>0</ns0:v>
      </ns0:c>
      <ns0:c r="I336" s="0">
        <ns0:f>MAX(0,G336-H336)</ns0:f>
        <ns0:v>0</ns0:v>
      </ns0:c>
      <ns0:c r="J336" s="0">
        <ns0:f>IF(OR(A336=0,F336&lt;&gt;"OK",Bookings!G336="Cancelled",$B$6&gt;0),0,IF('_Dates'!AC336=1,MAX(0,COUNTIFS(rngEngine_B,B336,rngAMStart,"&lt;="&amp;'_Dates'!X336,rngAMEnd,"&gt;="&amp;'_Dates'!W336,rngAMActive,1,rngEngine_F,"OK",rngBookings_F,"&lt;&gt;Cancelled")-1),0)+IF('_Dates'!AD336=1,MAX(0,COUNTIFS(rngEngine_B,B336,rngPMStart,"&lt;="&amp;'_Dates'!Z336,rngPMEnd,"&gt;="&amp;'_Dates'!Y336,rngPMActive,1,rngEngine_F,"OK",rngBookings_F,"&lt;&gt;Cancelled")-1),0))</ns0:f>
        <ns0:v>0</ns0:v>
      </ns0:c>
      <ns0:c r="K336" s="0" t="str">
        <ns0:f>IF(A336=0,"",IF(F336&lt;&gt;"OK",F336,IF(J336&gt;0,"CHECK overlapping entry",IF(AND($B$6=0,G336&lt;=0,Bookings!G336&lt;&gt;"Cancelled"),"CHECK no working days",IF(Bookings!G336="Cancelled","Cancelled","OK")))))</ns0:f>
        <ns0:v/>
      </ns0:c>
      <ns0:c r="L336" s="0">
        <ns0:f>IF(LEFT(K336,5)="CHECK",1,0)</ns0:f>
        <ns0:v>0</ns0:v>
      </ns0:c>
      <ns0:c r="M336" s="0">
        <ns0:f>IF(AND(L336=1,OR(C336=0,IFERROR(INDEX($X$11:$X$60,C336),0)=0)),1,0)</ns0:f>
        <ns0:v>0</ns0:v>
      </ns0:c>
      <ns0:c r="N336" s="0">
        <ns0:f>IF(OR(A336=0,L336&gt;0,$B$6&gt;0,Bookings!G336="Cancelled"),0,G336)</ns0:f>
        <ns0:v>0</ns0:v>
      </ns0:c>
      <ns0:c r="O336" s="0">
        <ns0:f>IF(AND(Bookings!G336="Approved",E336="Yes"),N336,0)</ns0:f>
        <ns0:v>0</ns0:v>
      </ns0:c>
      <ns0:c r="P336" s="0">
        <ns0:f>IF(AND(Bookings!G336="Approved",E336="Yes",L336=0,$B$6=0),H336,0)</ns0:f>
        <ns0:v>0</ns0:v>
      </ns0:c>
      <ns0:c r="Q336" s="0">
        <ns0:f>IF(AND(Bookings!G336="Approved",E336="Yes",L336=0,$B$6=0),I336,0)</ns0:f>
        <ns0:v>0</ns0:v>
      </ns0:c>
      <ns0:c r="R336" s="0">
        <ns0:f>IF(AND(Bookings!G336="Pending",E336="Yes"),N336,0)</ns0:f>
        <ns0:v>0</ns0:v>
      </ns0:c>
      <ns0:c r="S336" s="0">
        <ns0:f>IF(AND(Bookings!G336="Approved",E336="No"),N336,0)</ns0:f>
        <ns0:v>0</ns0:v>
      </ns0:c>
      <ns0:c r="T336" s="0">
        <ns0:f>IFERROR(MATCH(D336,Settings!$G$7:$G$11,0),0)</ns0:f>
        <ns0:v>0</ns0:v>
      </ns0:c>
      <ns0:c r="U336" s="0">
        <ns0:f>IF(N336&gt;0,T336+IF(Bookings!G336="Pending",10,0),0)</ns0:f>
        <ns0:v>0</ns0:v>
      </ns0:c>
      <ns0:c r="V336" s="0">
        <ns0:f>U336</ns0:f>
        <ns0:v>0</ns0:v>
      </ns0:c>
      <ns0:c r="W336" s="0" t="str">
        <ns0:f>IF(C336=0,"",INDEX($AP$11:$AP$60,C336))</ns0:f>
        <ns0:v/>
      </ns0:c>
    </ns0:row>
    <ns0:row r="337">
      <ns0:c r="A337" s="0">
        <ns0:f>IF(COUNTA(Bookings!A337:G337,Bookings!I337)=0,0,1)</ns0:f>
        <ns0:v>0</ns0:v>
      </ns0:c>
      <ns0:c r="B337" s="0" t="str">
        <ns0:f>IFERROR(TRIM(MID(Bookings!A337,FIND(" · ",Bookings!A337)+3,99)),"")</ns0:f>
        <ns0:v/>
      </ns0:c>
      <ns0:c r="C337" s="0">
        <ns0:f>IF(OR(B337="",LEN(B337)&gt;24,ISNUMBER(FIND(" ",B337)),ISNUMBER(FIND("*",B337)),ISNUMBER(FIND("?",B337)),ISNUMBER(FIND("~",B337))),0,IFERROR(MATCH(B337,Team!$A$11:$A$60,0),0))</ns0:f>
        <ns0:v>0</ns0:v>
      </ns0:c>
      <ns0:c r="D337" s="0" t="str">
        <ns0:f>IFERROR(IF(MID(Bookings!F337,LEN(Bookings!F337)-3,3)=" · ",RIGHT(Bookings!F337,1),""),"")</ns0:f>
        <ns0:v/>
      </ns0:c>
      <ns0:c r="E337" s="0" t="str">
        <ns0:f>IFERROR(INDEX(Settings!$H$7:$H$11,MATCH(D337,Settings!$G$7:$G$11,0)),"")</ns0:f>
        <ns0:v/>
      </ns0:c>
      <ns0:c r="F337" s="0" t="str">
        <ns0:f>IF(A337=0,"",IFERROR(IF(OR(B337="",C337=0),"CHECK employee selection",IF(INDEX(Team!$O$11:$O$60,C337)&lt;&gt;"OK","CHECK employee setup",IF(OR('_Dates'!J337=0,'_Dates'!T337=0),"CHECK date: use DD.MM.YYYY",IF('_Dates'!T337&lt;'_Dates'!J337,"CHECK end before start",IF(AND($B$6=0,OR('_Dates'!J337&lt;Settings!$B$7,'_Dates'!T337&gt;Settings!$B$8)),"CHECK split across leave years",IF(OR(NOT(OR('_Dates'!U337="Full day",'_Dates'!U337="AM",'_Dates'!U337="PM")),NOT(OR('_Dates'!V337="Full day",'_Dates'!V337="AM",'_Dates'!V337="PM"))),"CHECK Full day / AM / PM",IF(AND('_Dates'!J337='_Dates'!T337,'_Dates'!U337&lt;&gt;"Full day",'_Dates'!V337&lt;&gt;"Full day",'_Dates'!U337&lt;&gt;'_Dates'!V337),"CHECK same-day portions disagree",IF(AND($B$6=0,OR(AND('_Dates'!U337&lt;&gt;"Full day",'_Dates'!AA337=0),AND('_Dates'!V337&lt;&gt;"Full day",'_Dates'!AB337=0))),"CHECK half-day on non-working date",IF(COUNTIF(Settings!$G$7:$G$11,D337)&lt;&gt;1,"CHECK leave type",IF(AND(Bookings!G337&lt;&gt;"Approved",Bookings!G337&lt;&gt;"Pending",Bookings!G337&lt;&gt;"Cancelled"),"CHECK status","OK")))))))))),"CHECK input"))</ns0:f>
        <ns0:v/>
      </ns0:c>
      <ns0:c r="G337" s="0">
        <ns0:f>IF(OR(F337&lt;&gt;"OK",$B$6&gt;0),0,0.5*(IF(('_Dates'!X337)&lt;('_Dates'!W337),0,INT((('_Dates'!X337)-('_Dates'!W337)+1)/7)*LEN(SUBSTITUTE(W337,"O",""))+LEN(SUBSTITUTE(MID(W337&amp;W337,WEEKDAY(('_Dates'!W337),2),MOD((('_Dates'!X337)-('_Dates'!W337)+1),7)),"O",""))-COUNTIFS(INDEX(AllClosureRows,C337,0),"&gt;="&amp;('_Dates'!W337),INDEX(AllClosureRows,C337,0),"&lt;="&amp;('_Dates'!X337)))+IF(('_Dates'!Z337)&lt;('_Dates'!Y337),0,INT((('_Dates'!Z337)-('_Dates'!Y337)+1)/7)*LEN(SUBSTITUTE(W337,"O",""))+LEN(SUBSTITUTE(MID(W337&amp;W337,WEEKDAY(('_Dates'!Y337),2),MOD((('_Dates'!Z337)-('_Dates'!Y337)+1),7)),"O",""))-COUNTIFS(INDEX(AllClosureRows,C337,0),"&gt;="&amp;('_Dates'!Y337),INDEX(AllClosureRows,C337,0),"&lt;="&amp;('_Dates'!Z337)))))</ns0:f>
        <ns0:v>0</ns0:v>
      </ns0:c>
      <ns0:c r="H337" s="0">
        <ns0:f>IF(OR(F337&lt;&gt;"OK",$B$6&gt;0),0,0.5*(IF((MIN('_Dates'!X337,Settings!$B$9))&lt;('_Dates'!W337),0,INT(((MIN('_Dates'!X337,Settings!$B$9))-('_Dates'!W337)+1)/7)*LEN(SUBSTITUTE(W337,"O",""))+LEN(SUBSTITUTE(MID(W337&amp;W337,WEEKDAY(('_Dates'!W337),2),MOD(((MIN('_Dates'!X337,Settings!$B$9))-('_Dates'!W337)+1),7)),"O",""))-COUNTIFS(INDEX(AllClosureRows,C337,0),"&gt;="&amp;('_Dates'!W337),INDEX(AllClosureRows,C337,0),"&lt;="&amp;(MIN('_Dates'!X337,Settings!$B$9))))+IF((MIN('_Dates'!Z337,Settings!$B$9))&lt;('_Dates'!Y337),0,INT(((MIN('_Dates'!Z337,Settings!$B$9))-('_Dates'!Y337)+1)/7)*LEN(SUBSTITUTE(W337,"O",""))+LEN(SUBSTITUTE(MID(W337&amp;W337,WEEKDAY(('_Dates'!Y337),2),MOD(((MIN('_Dates'!Z337,Settings!$B$9))-('_Dates'!Y337)+1),7)),"O",""))-COUNTIFS(INDEX(AllClosureRows,C337,0),"&gt;="&amp;('_Dates'!Y337),INDEX(AllClosureRows,C337,0),"&lt;="&amp;(MIN('_Dates'!Z337,Settings!$B$9))))))</ns0:f>
        <ns0:v>0</ns0:v>
      </ns0:c>
      <ns0:c r="I337" s="0">
        <ns0:f>MAX(0,G337-H337)</ns0:f>
        <ns0:v>0</ns0:v>
      </ns0:c>
      <ns0:c r="J337" s="0">
        <ns0:f>IF(OR(A337=0,F337&lt;&gt;"OK",Bookings!G337="Cancelled",$B$6&gt;0),0,IF('_Dates'!AC337=1,MAX(0,COUNTIFS(rngEngine_B,B337,rngAMStart,"&lt;="&amp;'_Dates'!X337,rngAMEnd,"&gt;="&amp;'_Dates'!W337,rngAMActive,1,rngEngine_F,"OK",rngBookings_F,"&lt;&gt;Cancelled")-1),0)+IF('_Dates'!AD337=1,MAX(0,COUNTIFS(rngEngine_B,B337,rngPMStart,"&lt;="&amp;'_Dates'!Z337,rngPMEnd,"&gt;="&amp;'_Dates'!Y337,rngPMActive,1,rngEngine_F,"OK",rngBookings_F,"&lt;&gt;Cancelled")-1),0))</ns0:f>
        <ns0:v>0</ns0:v>
      </ns0:c>
      <ns0:c r="K337" s="0" t="str">
        <ns0:f>IF(A337=0,"",IF(F337&lt;&gt;"OK",F337,IF(J337&gt;0,"CHECK overlapping entry",IF(AND($B$6=0,G337&lt;=0,Bookings!G337&lt;&gt;"Cancelled"),"CHECK no working days",IF(Bookings!G337="Cancelled","Cancelled","OK")))))</ns0:f>
        <ns0:v/>
      </ns0:c>
      <ns0:c r="L337" s="0">
        <ns0:f>IF(LEFT(K337,5)="CHECK",1,0)</ns0:f>
        <ns0:v>0</ns0:v>
      </ns0:c>
      <ns0:c r="M337" s="0">
        <ns0:f>IF(AND(L337=1,OR(C337=0,IFERROR(INDEX($X$11:$X$60,C337),0)=0)),1,0)</ns0:f>
        <ns0:v>0</ns0:v>
      </ns0:c>
      <ns0:c r="N337" s="0">
        <ns0:f>IF(OR(A337=0,L337&gt;0,$B$6&gt;0,Bookings!G337="Cancelled"),0,G337)</ns0:f>
        <ns0:v>0</ns0:v>
      </ns0:c>
      <ns0:c r="O337" s="0">
        <ns0:f>IF(AND(Bookings!G337="Approved",E337="Yes"),N337,0)</ns0:f>
        <ns0:v>0</ns0:v>
      </ns0:c>
      <ns0:c r="P337" s="0">
        <ns0:f>IF(AND(Bookings!G337="Approved",E337="Yes",L337=0,$B$6=0),H337,0)</ns0:f>
        <ns0:v>0</ns0:v>
      </ns0:c>
      <ns0:c r="Q337" s="0">
        <ns0:f>IF(AND(Bookings!G337="Approved",E337="Yes",L337=0,$B$6=0),I337,0)</ns0:f>
        <ns0:v>0</ns0:v>
      </ns0:c>
      <ns0:c r="R337" s="0">
        <ns0:f>IF(AND(Bookings!G337="Pending",E337="Yes"),N337,0)</ns0:f>
        <ns0:v>0</ns0:v>
      </ns0:c>
      <ns0:c r="S337" s="0">
        <ns0:f>IF(AND(Bookings!G337="Approved",E337="No"),N337,0)</ns0:f>
        <ns0:v>0</ns0:v>
      </ns0:c>
      <ns0:c r="T337" s="0">
        <ns0:f>IFERROR(MATCH(D337,Settings!$G$7:$G$11,0),0)</ns0:f>
        <ns0:v>0</ns0:v>
      </ns0:c>
      <ns0:c r="U337" s="0">
        <ns0:f>IF(N337&gt;0,T337+IF(Bookings!G337="Pending",10,0),0)</ns0:f>
        <ns0:v>0</ns0:v>
      </ns0:c>
      <ns0:c r="V337" s="0">
        <ns0:f>U337</ns0:f>
        <ns0:v>0</ns0:v>
      </ns0:c>
      <ns0:c r="W337" s="0" t="str">
        <ns0:f>IF(C337=0,"",INDEX($AP$11:$AP$60,C337))</ns0:f>
        <ns0:v/>
      </ns0:c>
    </ns0:row>
    <ns0:row r="338">
      <ns0:c r="A338" s="0">
        <ns0:f>IF(COUNTA(Bookings!A338:G338,Bookings!I338)=0,0,1)</ns0:f>
        <ns0:v>0</ns0:v>
      </ns0:c>
      <ns0:c r="B338" s="0" t="str">
        <ns0:f>IFERROR(TRIM(MID(Bookings!A338,FIND(" · ",Bookings!A338)+3,99)),"")</ns0:f>
        <ns0:v/>
      </ns0:c>
      <ns0:c r="C338" s="0">
        <ns0:f>IF(OR(B338="",LEN(B338)&gt;24,ISNUMBER(FIND(" ",B338)),ISNUMBER(FIND("*",B338)),ISNUMBER(FIND("?",B338)),ISNUMBER(FIND("~",B338))),0,IFERROR(MATCH(B338,Team!$A$11:$A$60,0),0))</ns0:f>
        <ns0:v>0</ns0:v>
      </ns0:c>
      <ns0:c r="D338" s="0" t="str">
        <ns0:f>IFERROR(IF(MID(Bookings!F338,LEN(Bookings!F338)-3,3)=" · ",RIGHT(Bookings!F338,1),""),"")</ns0:f>
        <ns0:v/>
      </ns0:c>
      <ns0:c r="E338" s="0" t="str">
        <ns0:f>IFERROR(INDEX(Settings!$H$7:$H$11,MATCH(D338,Settings!$G$7:$G$11,0)),"")</ns0:f>
        <ns0:v/>
      </ns0:c>
      <ns0:c r="F338" s="0" t="str">
        <ns0:f>IF(A338=0,"",IFERROR(IF(OR(B338="",C338=0),"CHECK employee selection",IF(INDEX(Team!$O$11:$O$60,C338)&lt;&gt;"OK","CHECK employee setup",IF(OR('_Dates'!J338=0,'_Dates'!T338=0),"CHECK date: use DD.MM.YYYY",IF('_Dates'!T338&lt;'_Dates'!J338,"CHECK end before start",IF(AND($B$6=0,OR('_Dates'!J338&lt;Settings!$B$7,'_Dates'!T338&gt;Settings!$B$8)),"CHECK split across leave years",IF(OR(NOT(OR('_Dates'!U338="Full day",'_Dates'!U338="AM",'_Dates'!U338="PM")),NOT(OR('_Dates'!V338="Full day",'_Dates'!V338="AM",'_Dates'!V338="PM"))),"CHECK Full day / AM / PM",IF(AND('_Dates'!J338='_Dates'!T338,'_Dates'!U338&lt;&gt;"Full day",'_Dates'!V338&lt;&gt;"Full day",'_Dates'!U338&lt;&gt;'_Dates'!V338),"CHECK same-day portions disagree",IF(AND($B$6=0,OR(AND('_Dates'!U338&lt;&gt;"Full day",'_Dates'!AA338=0),AND('_Dates'!V338&lt;&gt;"Full day",'_Dates'!AB338=0))),"CHECK half-day on non-working date",IF(COUNTIF(Settings!$G$7:$G$11,D338)&lt;&gt;1,"CHECK leave type",IF(AND(Bookings!G338&lt;&gt;"Approved",Bookings!G338&lt;&gt;"Pending",Bookings!G338&lt;&gt;"Cancelled"),"CHECK status","OK")))))))))),"CHECK input"))</ns0:f>
        <ns0:v/>
      </ns0:c>
      <ns0:c r="G338" s="0">
        <ns0:f>IF(OR(F338&lt;&gt;"OK",$B$6&gt;0),0,0.5*(IF(('_Dates'!X338)&lt;('_Dates'!W338),0,INT((('_Dates'!X338)-('_Dates'!W338)+1)/7)*LEN(SUBSTITUTE(W338,"O",""))+LEN(SUBSTITUTE(MID(W338&amp;W338,WEEKDAY(('_Dates'!W338),2),MOD((('_Dates'!X338)-('_Dates'!W338)+1),7)),"O",""))-COUNTIFS(INDEX(AllClosureRows,C338,0),"&gt;="&amp;('_Dates'!W338),INDEX(AllClosureRows,C338,0),"&lt;="&amp;('_Dates'!X338)))+IF(('_Dates'!Z338)&lt;('_Dates'!Y338),0,INT((('_Dates'!Z338)-('_Dates'!Y338)+1)/7)*LEN(SUBSTITUTE(W338,"O",""))+LEN(SUBSTITUTE(MID(W338&amp;W338,WEEKDAY(('_Dates'!Y338),2),MOD((('_Dates'!Z338)-('_Dates'!Y338)+1),7)),"O",""))-COUNTIFS(INDEX(AllClosureRows,C338,0),"&gt;="&amp;('_Dates'!Y338),INDEX(AllClosureRows,C338,0),"&lt;="&amp;('_Dates'!Z338)))))</ns0:f>
        <ns0:v>0</ns0:v>
      </ns0:c>
      <ns0:c r="H338" s="0">
        <ns0:f>IF(OR(F338&lt;&gt;"OK",$B$6&gt;0),0,0.5*(IF((MIN('_Dates'!X338,Settings!$B$9))&lt;('_Dates'!W338),0,INT(((MIN('_Dates'!X338,Settings!$B$9))-('_Dates'!W338)+1)/7)*LEN(SUBSTITUTE(W338,"O",""))+LEN(SUBSTITUTE(MID(W338&amp;W338,WEEKDAY(('_Dates'!W338),2),MOD(((MIN('_Dates'!X338,Settings!$B$9))-('_Dates'!W338)+1),7)),"O",""))-COUNTIFS(INDEX(AllClosureRows,C338,0),"&gt;="&amp;('_Dates'!W338),INDEX(AllClosureRows,C338,0),"&lt;="&amp;(MIN('_Dates'!X338,Settings!$B$9))))+IF((MIN('_Dates'!Z338,Settings!$B$9))&lt;('_Dates'!Y338),0,INT(((MIN('_Dates'!Z338,Settings!$B$9))-('_Dates'!Y338)+1)/7)*LEN(SUBSTITUTE(W338,"O",""))+LEN(SUBSTITUTE(MID(W338&amp;W338,WEEKDAY(('_Dates'!Y338),2),MOD(((MIN('_Dates'!Z338,Settings!$B$9))-('_Dates'!Y338)+1),7)),"O",""))-COUNTIFS(INDEX(AllClosureRows,C338,0),"&gt;="&amp;('_Dates'!Y338),INDEX(AllClosureRows,C338,0),"&lt;="&amp;(MIN('_Dates'!Z338,Settings!$B$9))))))</ns0:f>
        <ns0:v>0</ns0:v>
      </ns0:c>
      <ns0:c r="I338" s="0">
        <ns0:f>MAX(0,G338-H338)</ns0:f>
        <ns0:v>0</ns0:v>
      </ns0:c>
      <ns0:c r="J338" s="0">
        <ns0:f>IF(OR(A338=0,F338&lt;&gt;"OK",Bookings!G338="Cancelled",$B$6&gt;0),0,IF('_Dates'!AC338=1,MAX(0,COUNTIFS(rngEngine_B,B338,rngAMStart,"&lt;="&amp;'_Dates'!X338,rngAMEnd,"&gt;="&amp;'_Dates'!W338,rngAMActive,1,rngEngine_F,"OK",rngBookings_F,"&lt;&gt;Cancelled")-1),0)+IF('_Dates'!AD338=1,MAX(0,COUNTIFS(rngEngine_B,B338,rngPMStart,"&lt;="&amp;'_Dates'!Z338,rngPMEnd,"&gt;="&amp;'_Dates'!Y338,rngPMActive,1,rngEngine_F,"OK",rngBookings_F,"&lt;&gt;Cancelled")-1),0))</ns0:f>
        <ns0:v>0</ns0:v>
      </ns0:c>
      <ns0:c r="K338" s="0" t="str">
        <ns0:f>IF(A338=0,"",IF(F338&lt;&gt;"OK",F338,IF(J338&gt;0,"CHECK overlapping entry",IF(AND($B$6=0,G338&lt;=0,Bookings!G338&lt;&gt;"Cancelled"),"CHECK no working days",IF(Bookings!G338="Cancelled","Cancelled","OK")))))</ns0:f>
        <ns0:v/>
      </ns0:c>
      <ns0:c r="L338" s="0">
        <ns0:f>IF(LEFT(K338,5)="CHECK",1,0)</ns0:f>
        <ns0:v>0</ns0:v>
      </ns0:c>
      <ns0:c r="M338" s="0">
        <ns0:f>IF(AND(L338=1,OR(C338=0,IFERROR(INDEX($X$11:$X$60,C338),0)=0)),1,0)</ns0:f>
        <ns0:v>0</ns0:v>
      </ns0:c>
      <ns0:c r="N338" s="0">
        <ns0:f>IF(OR(A338=0,L338&gt;0,$B$6&gt;0,Bookings!G338="Cancelled"),0,G338)</ns0:f>
        <ns0:v>0</ns0:v>
      </ns0:c>
      <ns0:c r="O338" s="0">
        <ns0:f>IF(AND(Bookings!G338="Approved",E338="Yes"),N338,0)</ns0:f>
        <ns0:v>0</ns0:v>
      </ns0:c>
      <ns0:c r="P338" s="0">
        <ns0:f>IF(AND(Bookings!G338="Approved",E338="Yes",L338=0,$B$6=0),H338,0)</ns0:f>
        <ns0:v>0</ns0:v>
      </ns0:c>
      <ns0:c r="Q338" s="0">
        <ns0:f>IF(AND(Bookings!G338="Approved",E338="Yes",L338=0,$B$6=0),I338,0)</ns0:f>
        <ns0:v>0</ns0:v>
      </ns0:c>
      <ns0:c r="R338" s="0">
        <ns0:f>IF(AND(Bookings!G338="Pending",E338="Yes"),N338,0)</ns0:f>
        <ns0:v>0</ns0:v>
      </ns0:c>
      <ns0:c r="S338" s="0">
        <ns0:f>IF(AND(Bookings!G338="Approved",E338="No"),N338,0)</ns0:f>
        <ns0:v>0</ns0:v>
      </ns0:c>
      <ns0:c r="T338" s="0">
        <ns0:f>IFERROR(MATCH(D338,Settings!$G$7:$G$11,0),0)</ns0:f>
        <ns0:v>0</ns0:v>
      </ns0:c>
      <ns0:c r="U338" s="0">
        <ns0:f>IF(N338&gt;0,T338+IF(Bookings!G338="Pending",10,0),0)</ns0:f>
        <ns0:v>0</ns0:v>
      </ns0:c>
      <ns0:c r="V338" s="0">
        <ns0:f>U338</ns0:f>
        <ns0:v>0</ns0:v>
      </ns0:c>
      <ns0:c r="W338" s="0" t="str">
        <ns0:f>IF(C338=0,"",INDEX($AP$11:$AP$60,C338))</ns0:f>
        <ns0:v/>
      </ns0:c>
    </ns0:row>
    <ns0:row r="339">
      <ns0:c r="A339" s="0">
        <ns0:f>IF(COUNTA(Bookings!A339:G339,Bookings!I339)=0,0,1)</ns0:f>
        <ns0:v>0</ns0:v>
      </ns0:c>
      <ns0:c r="B339" s="0" t="str">
        <ns0:f>IFERROR(TRIM(MID(Bookings!A339,FIND(" · ",Bookings!A339)+3,99)),"")</ns0:f>
        <ns0:v/>
      </ns0:c>
      <ns0:c r="C339" s="0">
        <ns0:f>IF(OR(B339="",LEN(B339)&gt;24,ISNUMBER(FIND(" ",B339)),ISNUMBER(FIND("*",B339)),ISNUMBER(FIND("?",B339)),ISNUMBER(FIND("~",B339))),0,IFERROR(MATCH(B339,Team!$A$11:$A$60,0),0))</ns0:f>
        <ns0:v>0</ns0:v>
      </ns0:c>
      <ns0:c r="D339" s="0" t="str">
        <ns0:f>IFERROR(IF(MID(Bookings!F339,LEN(Bookings!F339)-3,3)=" · ",RIGHT(Bookings!F339,1),""),"")</ns0:f>
        <ns0:v/>
      </ns0:c>
      <ns0:c r="E339" s="0" t="str">
        <ns0:f>IFERROR(INDEX(Settings!$H$7:$H$11,MATCH(D339,Settings!$G$7:$G$11,0)),"")</ns0:f>
        <ns0:v/>
      </ns0:c>
      <ns0:c r="F339" s="0" t="str">
        <ns0:f>IF(A339=0,"",IFERROR(IF(OR(B339="",C339=0),"CHECK employee selection",IF(INDEX(Team!$O$11:$O$60,C339)&lt;&gt;"OK","CHECK employee setup",IF(OR('_Dates'!J339=0,'_Dates'!T339=0),"CHECK date: use DD.MM.YYYY",IF('_Dates'!T339&lt;'_Dates'!J339,"CHECK end before start",IF(AND($B$6=0,OR('_Dates'!J339&lt;Settings!$B$7,'_Dates'!T339&gt;Settings!$B$8)),"CHECK split across leave years",IF(OR(NOT(OR('_Dates'!U339="Full day",'_Dates'!U339="AM",'_Dates'!U339="PM")),NOT(OR('_Dates'!V339="Full day",'_Dates'!V339="AM",'_Dates'!V339="PM"))),"CHECK Full day / AM / PM",IF(AND('_Dates'!J339='_Dates'!T339,'_Dates'!U339&lt;&gt;"Full day",'_Dates'!V339&lt;&gt;"Full day",'_Dates'!U339&lt;&gt;'_Dates'!V339),"CHECK same-day portions disagree",IF(AND($B$6=0,OR(AND('_Dates'!U339&lt;&gt;"Full day",'_Dates'!AA339=0),AND('_Dates'!V339&lt;&gt;"Full day",'_Dates'!AB339=0))),"CHECK half-day on non-working date",IF(COUNTIF(Settings!$G$7:$G$11,D339)&lt;&gt;1,"CHECK leave type",IF(AND(Bookings!G339&lt;&gt;"Approved",Bookings!G339&lt;&gt;"Pending",Bookings!G339&lt;&gt;"Cancelled"),"CHECK status","OK")))))))))),"CHECK input"))</ns0:f>
        <ns0:v/>
      </ns0:c>
      <ns0:c r="G339" s="0">
        <ns0:f>IF(OR(F339&lt;&gt;"OK",$B$6&gt;0),0,0.5*(IF(('_Dates'!X339)&lt;('_Dates'!W339),0,INT((('_Dates'!X339)-('_Dates'!W339)+1)/7)*LEN(SUBSTITUTE(W339,"O",""))+LEN(SUBSTITUTE(MID(W339&amp;W339,WEEKDAY(('_Dates'!W339),2),MOD((('_Dates'!X339)-('_Dates'!W339)+1),7)),"O",""))-COUNTIFS(INDEX(AllClosureRows,C339,0),"&gt;="&amp;('_Dates'!W339),INDEX(AllClosureRows,C339,0),"&lt;="&amp;('_Dates'!X339)))+IF(('_Dates'!Z339)&lt;('_Dates'!Y339),0,INT((('_Dates'!Z339)-('_Dates'!Y339)+1)/7)*LEN(SUBSTITUTE(W339,"O",""))+LEN(SUBSTITUTE(MID(W339&amp;W339,WEEKDAY(('_Dates'!Y339),2),MOD((('_Dates'!Z339)-('_Dates'!Y339)+1),7)),"O",""))-COUNTIFS(INDEX(AllClosureRows,C339,0),"&gt;="&amp;('_Dates'!Y339),INDEX(AllClosureRows,C339,0),"&lt;="&amp;('_Dates'!Z339)))))</ns0:f>
        <ns0:v>0</ns0:v>
      </ns0:c>
      <ns0:c r="H339" s="0">
        <ns0:f>IF(OR(F339&lt;&gt;"OK",$B$6&gt;0),0,0.5*(IF((MIN('_Dates'!X339,Settings!$B$9))&lt;('_Dates'!W339),0,INT(((MIN('_Dates'!X339,Settings!$B$9))-('_Dates'!W339)+1)/7)*LEN(SUBSTITUTE(W339,"O",""))+LEN(SUBSTITUTE(MID(W339&amp;W339,WEEKDAY(('_Dates'!W339),2),MOD(((MIN('_Dates'!X339,Settings!$B$9))-('_Dates'!W339)+1),7)),"O",""))-COUNTIFS(INDEX(AllClosureRows,C339,0),"&gt;="&amp;('_Dates'!W339),INDEX(AllClosureRows,C339,0),"&lt;="&amp;(MIN('_Dates'!X339,Settings!$B$9))))+IF((MIN('_Dates'!Z339,Settings!$B$9))&lt;('_Dates'!Y339),0,INT(((MIN('_Dates'!Z339,Settings!$B$9))-('_Dates'!Y339)+1)/7)*LEN(SUBSTITUTE(W339,"O",""))+LEN(SUBSTITUTE(MID(W339&amp;W339,WEEKDAY(('_Dates'!Y339),2),MOD(((MIN('_Dates'!Z339,Settings!$B$9))-('_Dates'!Y339)+1),7)),"O",""))-COUNTIFS(INDEX(AllClosureRows,C339,0),"&gt;="&amp;('_Dates'!Y339),INDEX(AllClosureRows,C339,0),"&lt;="&amp;(MIN('_Dates'!Z339,Settings!$B$9))))))</ns0:f>
        <ns0:v>0</ns0:v>
      </ns0:c>
      <ns0:c r="I339" s="0">
        <ns0:f>MAX(0,G339-H339)</ns0:f>
        <ns0:v>0</ns0:v>
      </ns0:c>
      <ns0:c r="J339" s="0">
        <ns0:f>IF(OR(A339=0,F339&lt;&gt;"OK",Bookings!G339="Cancelled",$B$6&gt;0),0,IF('_Dates'!AC339=1,MAX(0,COUNTIFS(rngEngine_B,B339,rngAMStart,"&lt;="&amp;'_Dates'!X339,rngAMEnd,"&gt;="&amp;'_Dates'!W339,rngAMActive,1,rngEngine_F,"OK",rngBookings_F,"&lt;&gt;Cancelled")-1),0)+IF('_Dates'!AD339=1,MAX(0,COUNTIFS(rngEngine_B,B339,rngPMStart,"&lt;="&amp;'_Dates'!Z339,rngPMEnd,"&gt;="&amp;'_Dates'!Y339,rngPMActive,1,rngEngine_F,"OK",rngBookings_F,"&lt;&gt;Cancelled")-1),0))</ns0:f>
        <ns0:v>0</ns0:v>
      </ns0:c>
      <ns0:c r="K339" s="0" t="str">
        <ns0:f>IF(A339=0,"",IF(F339&lt;&gt;"OK",F339,IF(J339&gt;0,"CHECK overlapping entry",IF(AND($B$6=0,G339&lt;=0,Bookings!G339&lt;&gt;"Cancelled"),"CHECK no working days",IF(Bookings!G339="Cancelled","Cancelled","OK")))))</ns0:f>
        <ns0:v/>
      </ns0:c>
      <ns0:c r="L339" s="0">
        <ns0:f>IF(LEFT(K339,5)="CHECK",1,0)</ns0:f>
        <ns0:v>0</ns0:v>
      </ns0:c>
      <ns0:c r="M339" s="0">
        <ns0:f>IF(AND(L339=1,OR(C339=0,IFERROR(INDEX($X$11:$X$60,C339),0)=0)),1,0)</ns0:f>
        <ns0:v>0</ns0:v>
      </ns0:c>
      <ns0:c r="N339" s="0">
        <ns0:f>IF(OR(A339=0,L339&gt;0,$B$6&gt;0,Bookings!G339="Cancelled"),0,G339)</ns0:f>
        <ns0:v>0</ns0:v>
      </ns0:c>
      <ns0:c r="O339" s="0">
        <ns0:f>IF(AND(Bookings!G339="Approved",E339="Yes"),N339,0)</ns0:f>
        <ns0:v>0</ns0:v>
      </ns0:c>
      <ns0:c r="P339" s="0">
        <ns0:f>IF(AND(Bookings!G339="Approved",E339="Yes",L339=0,$B$6=0),H339,0)</ns0:f>
        <ns0:v>0</ns0:v>
      </ns0:c>
      <ns0:c r="Q339" s="0">
        <ns0:f>IF(AND(Bookings!G339="Approved",E339="Yes",L339=0,$B$6=0),I339,0)</ns0:f>
        <ns0:v>0</ns0:v>
      </ns0:c>
      <ns0:c r="R339" s="0">
        <ns0:f>IF(AND(Bookings!G339="Pending",E339="Yes"),N339,0)</ns0:f>
        <ns0:v>0</ns0:v>
      </ns0:c>
      <ns0:c r="S339" s="0">
        <ns0:f>IF(AND(Bookings!G339="Approved",E339="No"),N339,0)</ns0:f>
        <ns0:v>0</ns0:v>
      </ns0:c>
      <ns0:c r="T339" s="0">
        <ns0:f>IFERROR(MATCH(D339,Settings!$G$7:$G$11,0),0)</ns0:f>
        <ns0:v>0</ns0:v>
      </ns0:c>
      <ns0:c r="U339" s="0">
        <ns0:f>IF(N339&gt;0,T339+IF(Bookings!G339="Pending",10,0),0)</ns0:f>
        <ns0:v>0</ns0:v>
      </ns0:c>
      <ns0:c r="V339" s="0">
        <ns0:f>U339</ns0:f>
        <ns0:v>0</ns0:v>
      </ns0:c>
      <ns0:c r="W339" s="0" t="str">
        <ns0:f>IF(C339=0,"",INDEX($AP$11:$AP$60,C339))</ns0:f>
        <ns0:v/>
      </ns0:c>
    </ns0:row>
    <ns0:row r="340">
      <ns0:c r="A340" s="0">
        <ns0:f>IF(COUNTA(Bookings!A340:G340,Bookings!I340)=0,0,1)</ns0:f>
        <ns0:v>0</ns0:v>
      </ns0:c>
      <ns0:c r="B340" s="0" t="str">
        <ns0:f>IFERROR(TRIM(MID(Bookings!A340,FIND(" · ",Bookings!A340)+3,99)),"")</ns0:f>
        <ns0:v/>
      </ns0:c>
      <ns0:c r="C340" s="0">
        <ns0:f>IF(OR(B340="",LEN(B340)&gt;24,ISNUMBER(FIND(" ",B340)),ISNUMBER(FIND("*",B340)),ISNUMBER(FIND("?",B340)),ISNUMBER(FIND("~",B340))),0,IFERROR(MATCH(B340,Team!$A$11:$A$60,0),0))</ns0:f>
        <ns0:v>0</ns0:v>
      </ns0:c>
      <ns0:c r="D340" s="0" t="str">
        <ns0:f>IFERROR(IF(MID(Bookings!F340,LEN(Bookings!F340)-3,3)=" · ",RIGHT(Bookings!F340,1),""),"")</ns0:f>
        <ns0:v/>
      </ns0:c>
      <ns0:c r="E340" s="0" t="str">
        <ns0:f>IFERROR(INDEX(Settings!$H$7:$H$11,MATCH(D340,Settings!$G$7:$G$11,0)),"")</ns0:f>
        <ns0:v/>
      </ns0:c>
      <ns0:c r="F340" s="0" t="str">
        <ns0:f>IF(A340=0,"",IFERROR(IF(OR(B340="",C340=0),"CHECK employee selection",IF(INDEX(Team!$O$11:$O$60,C340)&lt;&gt;"OK","CHECK employee setup",IF(OR('_Dates'!J340=0,'_Dates'!T340=0),"CHECK date: use DD.MM.YYYY",IF('_Dates'!T340&lt;'_Dates'!J340,"CHECK end before start",IF(AND($B$6=0,OR('_Dates'!J340&lt;Settings!$B$7,'_Dates'!T340&gt;Settings!$B$8)),"CHECK split across leave years",IF(OR(NOT(OR('_Dates'!U340="Full day",'_Dates'!U340="AM",'_Dates'!U340="PM")),NOT(OR('_Dates'!V340="Full day",'_Dates'!V340="AM",'_Dates'!V340="PM"))),"CHECK Full day / AM / PM",IF(AND('_Dates'!J340='_Dates'!T340,'_Dates'!U340&lt;&gt;"Full day",'_Dates'!V340&lt;&gt;"Full day",'_Dates'!U340&lt;&gt;'_Dates'!V340),"CHECK same-day portions disagree",IF(AND($B$6=0,OR(AND('_Dates'!U340&lt;&gt;"Full day",'_Dates'!AA340=0),AND('_Dates'!V340&lt;&gt;"Full day",'_Dates'!AB340=0))),"CHECK half-day on non-working date",IF(COUNTIF(Settings!$G$7:$G$11,D340)&lt;&gt;1,"CHECK leave type",IF(AND(Bookings!G340&lt;&gt;"Approved",Bookings!G340&lt;&gt;"Pending",Bookings!G340&lt;&gt;"Cancelled"),"CHECK status","OK")))))))))),"CHECK input"))</ns0:f>
        <ns0:v/>
      </ns0:c>
      <ns0:c r="G340" s="0">
        <ns0:f>IF(OR(F340&lt;&gt;"OK",$B$6&gt;0),0,0.5*(IF(('_Dates'!X340)&lt;('_Dates'!W340),0,INT((('_Dates'!X340)-('_Dates'!W340)+1)/7)*LEN(SUBSTITUTE(W340,"O",""))+LEN(SUBSTITUTE(MID(W340&amp;W340,WEEKDAY(('_Dates'!W340),2),MOD((('_Dates'!X340)-('_Dates'!W340)+1),7)),"O",""))-COUNTIFS(INDEX(AllClosureRows,C340,0),"&gt;="&amp;('_Dates'!W340),INDEX(AllClosureRows,C340,0),"&lt;="&amp;('_Dates'!X340)))+IF(('_Dates'!Z340)&lt;('_Dates'!Y340),0,INT((('_Dates'!Z340)-('_Dates'!Y340)+1)/7)*LEN(SUBSTITUTE(W340,"O",""))+LEN(SUBSTITUTE(MID(W340&amp;W340,WEEKDAY(('_Dates'!Y340),2),MOD((('_Dates'!Z340)-('_Dates'!Y340)+1),7)),"O",""))-COUNTIFS(INDEX(AllClosureRows,C340,0),"&gt;="&amp;('_Dates'!Y340),INDEX(AllClosureRows,C340,0),"&lt;="&amp;('_Dates'!Z340)))))</ns0:f>
        <ns0:v>0</ns0:v>
      </ns0:c>
      <ns0:c r="H340" s="0">
        <ns0:f>IF(OR(F340&lt;&gt;"OK",$B$6&gt;0),0,0.5*(IF((MIN('_Dates'!X340,Settings!$B$9))&lt;('_Dates'!W340),0,INT(((MIN('_Dates'!X340,Settings!$B$9))-('_Dates'!W340)+1)/7)*LEN(SUBSTITUTE(W340,"O",""))+LEN(SUBSTITUTE(MID(W340&amp;W340,WEEKDAY(('_Dates'!W340),2),MOD(((MIN('_Dates'!X340,Settings!$B$9))-('_Dates'!W340)+1),7)),"O",""))-COUNTIFS(INDEX(AllClosureRows,C340,0),"&gt;="&amp;('_Dates'!W340),INDEX(AllClosureRows,C340,0),"&lt;="&amp;(MIN('_Dates'!X340,Settings!$B$9))))+IF((MIN('_Dates'!Z340,Settings!$B$9))&lt;('_Dates'!Y340),0,INT(((MIN('_Dates'!Z340,Settings!$B$9))-('_Dates'!Y340)+1)/7)*LEN(SUBSTITUTE(W340,"O",""))+LEN(SUBSTITUTE(MID(W340&amp;W340,WEEKDAY(('_Dates'!Y340),2),MOD(((MIN('_Dates'!Z340,Settings!$B$9))-('_Dates'!Y340)+1),7)),"O",""))-COUNTIFS(INDEX(AllClosureRows,C340,0),"&gt;="&amp;('_Dates'!Y340),INDEX(AllClosureRows,C340,0),"&lt;="&amp;(MIN('_Dates'!Z340,Settings!$B$9))))))</ns0:f>
        <ns0:v>0</ns0:v>
      </ns0:c>
      <ns0:c r="I340" s="0">
        <ns0:f>MAX(0,G340-H340)</ns0:f>
        <ns0:v>0</ns0:v>
      </ns0:c>
      <ns0:c r="J340" s="0">
        <ns0:f>IF(OR(A340=0,F340&lt;&gt;"OK",Bookings!G340="Cancelled",$B$6&gt;0),0,IF('_Dates'!AC340=1,MAX(0,COUNTIFS(rngEngine_B,B340,rngAMStart,"&lt;="&amp;'_Dates'!X340,rngAMEnd,"&gt;="&amp;'_Dates'!W340,rngAMActive,1,rngEngine_F,"OK",rngBookings_F,"&lt;&gt;Cancelled")-1),0)+IF('_Dates'!AD340=1,MAX(0,COUNTIFS(rngEngine_B,B340,rngPMStart,"&lt;="&amp;'_Dates'!Z340,rngPMEnd,"&gt;="&amp;'_Dates'!Y340,rngPMActive,1,rngEngine_F,"OK",rngBookings_F,"&lt;&gt;Cancelled")-1),0))</ns0:f>
        <ns0:v>0</ns0:v>
      </ns0:c>
      <ns0:c r="K340" s="0" t="str">
        <ns0:f>IF(A340=0,"",IF(F340&lt;&gt;"OK",F340,IF(J340&gt;0,"CHECK overlapping entry",IF(AND($B$6=0,G340&lt;=0,Bookings!G340&lt;&gt;"Cancelled"),"CHECK no working days",IF(Bookings!G340="Cancelled","Cancelled","OK")))))</ns0:f>
        <ns0:v/>
      </ns0:c>
      <ns0:c r="L340" s="0">
        <ns0:f>IF(LEFT(K340,5)="CHECK",1,0)</ns0:f>
        <ns0:v>0</ns0:v>
      </ns0:c>
      <ns0:c r="M340" s="0">
        <ns0:f>IF(AND(L340=1,OR(C340=0,IFERROR(INDEX($X$11:$X$60,C340),0)=0)),1,0)</ns0:f>
        <ns0:v>0</ns0:v>
      </ns0:c>
      <ns0:c r="N340" s="0">
        <ns0:f>IF(OR(A340=0,L340&gt;0,$B$6&gt;0,Bookings!G340="Cancelled"),0,G340)</ns0:f>
        <ns0:v>0</ns0:v>
      </ns0:c>
      <ns0:c r="O340" s="0">
        <ns0:f>IF(AND(Bookings!G340="Approved",E340="Yes"),N340,0)</ns0:f>
        <ns0:v>0</ns0:v>
      </ns0:c>
      <ns0:c r="P340" s="0">
        <ns0:f>IF(AND(Bookings!G340="Approved",E340="Yes",L340=0,$B$6=0),H340,0)</ns0:f>
        <ns0:v>0</ns0:v>
      </ns0:c>
      <ns0:c r="Q340" s="0">
        <ns0:f>IF(AND(Bookings!G340="Approved",E340="Yes",L340=0,$B$6=0),I340,0)</ns0:f>
        <ns0:v>0</ns0:v>
      </ns0:c>
      <ns0:c r="R340" s="0">
        <ns0:f>IF(AND(Bookings!G340="Pending",E340="Yes"),N340,0)</ns0:f>
        <ns0:v>0</ns0:v>
      </ns0:c>
      <ns0:c r="S340" s="0">
        <ns0:f>IF(AND(Bookings!G340="Approved",E340="No"),N340,0)</ns0:f>
        <ns0:v>0</ns0:v>
      </ns0:c>
      <ns0:c r="T340" s="0">
        <ns0:f>IFERROR(MATCH(D340,Settings!$G$7:$G$11,0),0)</ns0:f>
        <ns0:v>0</ns0:v>
      </ns0:c>
      <ns0:c r="U340" s="0">
        <ns0:f>IF(N340&gt;0,T340+IF(Bookings!G340="Pending",10,0),0)</ns0:f>
        <ns0:v>0</ns0:v>
      </ns0:c>
      <ns0:c r="V340" s="0">
        <ns0:f>U340</ns0:f>
        <ns0:v>0</ns0:v>
      </ns0:c>
      <ns0:c r="W340" s="0" t="str">
        <ns0:f>IF(C340=0,"",INDEX($AP$11:$AP$60,C340))</ns0:f>
        <ns0:v/>
      </ns0:c>
    </ns0:row>
    <ns0:row r="341">
      <ns0:c r="A341" s="0">
        <ns0:f>IF(COUNTA(Bookings!A341:G341,Bookings!I341)=0,0,1)</ns0:f>
        <ns0:v>0</ns0:v>
      </ns0:c>
      <ns0:c r="B341" s="0" t="str">
        <ns0:f>IFERROR(TRIM(MID(Bookings!A341,FIND(" · ",Bookings!A341)+3,99)),"")</ns0:f>
        <ns0:v/>
      </ns0:c>
      <ns0:c r="C341" s="0">
        <ns0:f>IF(OR(B341="",LEN(B341)&gt;24,ISNUMBER(FIND(" ",B341)),ISNUMBER(FIND("*",B341)),ISNUMBER(FIND("?",B341)),ISNUMBER(FIND("~",B341))),0,IFERROR(MATCH(B341,Team!$A$11:$A$60,0),0))</ns0:f>
        <ns0:v>0</ns0:v>
      </ns0:c>
      <ns0:c r="D341" s="0" t="str">
        <ns0:f>IFERROR(IF(MID(Bookings!F341,LEN(Bookings!F341)-3,3)=" · ",RIGHT(Bookings!F341,1),""),"")</ns0:f>
        <ns0:v/>
      </ns0:c>
      <ns0:c r="E341" s="0" t="str">
        <ns0:f>IFERROR(INDEX(Settings!$H$7:$H$11,MATCH(D341,Settings!$G$7:$G$11,0)),"")</ns0:f>
        <ns0:v/>
      </ns0:c>
      <ns0:c r="F341" s="0" t="str">
        <ns0:f>IF(A341=0,"",IFERROR(IF(OR(B341="",C341=0),"CHECK employee selection",IF(INDEX(Team!$O$11:$O$60,C341)&lt;&gt;"OK","CHECK employee setup",IF(OR('_Dates'!J341=0,'_Dates'!T341=0),"CHECK date: use DD.MM.YYYY",IF('_Dates'!T341&lt;'_Dates'!J341,"CHECK end before start",IF(AND($B$6=0,OR('_Dates'!J341&lt;Settings!$B$7,'_Dates'!T341&gt;Settings!$B$8)),"CHECK split across leave years",IF(OR(NOT(OR('_Dates'!U341="Full day",'_Dates'!U341="AM",'_Dates'!U341="PM")),NOT(OR('_Dates'!V341="Full day",'_Dates'!V341="AM",'_Dates'!V341="PM"))),"CHECK Full day / AM / PM",IF(AND('_Dates'!J341='_Dates'!T341,'_Dates'!U341&lt;&gt;"Full day",'_Dates'!V341&lt;&gt;"Full day",'_Dates'!U341&lt;&gt;'_Dates'!V341),"CHECK same-day portions disagree",IF(AND($B$6=0,OR(AND('_Dates'!U341&lt;&gt;"Full day",'_Dates'!AA341=0),AND('_Dates'!V341&lt;&gt;"Full day",'_Dates'!AB341=0))),"CHECK half-day on non-working date",IF(COUNTIF(Settings!$G$7:$G$11,D341)&lt;&gt;1,"CHECK leave type",IF(AND(Bookings!G341&lt;&gt;"Approved",Bookings!G341&lt;&gt;"Pending",Bookings!G341&lt;&gt;"Cancelled"),"CHECK status","OK")))))))))),"CHECK input"))</ns0:f>
        <ns0:v/>
      </ns0:c>
      <ns0:c r="G341" s="0">
        <ns0:f>IF(OR(F341&lt;&gt;"OK",$B$6&gt;0),0,0.5*(IF(('_Dates'!X341)&lt;('_Dates'!W341),0,INT((('_Dates'!X341)-('_Dates'!W341)+1)/7)*LEN(SUBSTITUTE(W341,"O",""))+LEN(SUBSTITUTE(MID(W341&amp;W341,WEEKDAY(('_Dates'!W341),2),MOD((('_Dates'!X341)-('_Dates'!W341)+1),7)),"O",""))-COUNTIFS(INDEX(AllClosureRows,C341,0),"&gt;="&amp;('_Dates'!W341),INDEX(AllClosureRows,C341,0),"&lt;="&amp;('_Dates'!X341)))+IF(('_Dates'!Z341)&lt;('_Dates'!Y341),0,INT((('_Dates'!Z341)-('_Dates'!Y341)+1)/7)*LEN(SUBSTITUTE(W341,"O",""))+LEN(SUBSTITUTE(MID(W341&amp;W341,WEEKDAY(('_Dates'!Y341),2),MOD((('_Dates'!Z341)-('_Dates'!Y341)+1),7)),"O",""))-COUNTIFS(INDEX(AllClosureRows,C341,0),"&gt;="&amp;('_Dates'!Y341),INDEX(AllClosureRows,C341,0),"&lt;="&amp;('_Dates'!Z341)))))</ns0:f>
        <ns0:v>0</ns0:v>
      </ns0:c>
      <ns0:c r="H341" s="0">
        <ns0:f>IF(OR(F341&lt;&gt;"OK",$B$6&gt;0),0,0.5*(IF((MIN('_Dates'!X341,Settings!$B$9))&lt;('_Dates'!W341),0,INT(((MIN('_Dates'!X341,Settings!$B$9))-('_Dates'!W341)+1)/7)*LEN(SUBSTITUTE(W341,"O",""))+LEN(SUBSTITUTE(MID(W341&amp;W341,WEEKDAY(('_Dates'!W341),2),MOD(((MIN('_Dates'!X341,Settings!$B$9))-('_Dates'!W341)+1),7)),"O",""))-COUNTIFS(INDEX(AllClosureRows,C341,0),"&gt;="&amp;('_Dates'!W341),INDEX(AllClosureRows,C341,0),"&lt;="&amp;(MIN('_Dates'!X341,Settings!$B$9))))+IF((MIN('_Dates'!Z341,Settings!$B$9))&lt;('_Dates'!Y341),0,INT(((MIN('_Dates'!Z341,Settings!$B$9))-('_Dates'!Y341)+1)/7)*LEN(SUBSTITUTE(W341,"O",""))+LEN(SUBSTITUTE(MID(W341&amp;W341,WEEKDAY(('_Dates'!Y341),2),MOD(((MIN('_Dates'!Z341,Settings!$B$9))-('_Dates'!Y341)+1),7)),"O",""))-COUNTIFS(INDEX(AllClosureRows,C341,0),"&gt;="&amp;('_Dates'!Y341),INDEX(AllClosureRows,C341,0),"&lt;="&amp;(MIN('_Dates'!Z341,Settings!$B$9))))))</ns0:f>
        <ns0:v>0</ns0:v>
      </ns0:c>
      <ns0:c r="I341" s="0">
        <ns0:f>MAX(0,G341-H341)</ns0:f>
        <ns0:v>0</ns0:v>
      </ns0:c>
      <ns0:c r="J341" s="0">
        <ns0:f>IF(OR(A341=0,F341&lt;&gt;"OK",Bookings!G341="Cancelled",$B$6&gt;0),0,IF('_Dates'!AC341=1,MAX(0,COUNTIFS(rngEngine_B,B341,rngAMStart,"&lt;="&amp;'_Dates'!X341,rngAMEnd,"&gt;="&amp;'_Dates'!W341,rngAMActive,1,rngEngine_F,"OK",rngBookings_F,"&lt;&gt;Cancelled")-1),0)+IF('_Dates'!AD341=1,MAX(0,COUNTIFS(rngEngine_B,B341,rngPMStart,"&lt;="&amp;'_Dates'!Z341,rngPMEnd,"&gt;="&amp;'_Dates'!Y341,rngPMActive,1,rngEngine_F,"OK",rngBookings_F,"&lt;&gt;Cancelled")-1),0))</ns0:f>
        <ns0:v>0</ns0:v>
      </ns0:c>
      <ns0:c r="K341" s="0" t="str">
        <ns0:f>IF(A341=0,"",IF(F341&lt;&gt;"OK",F341,IF(J341&gt;0,"CHECK overlapping entry",IF(AND($B$6=0,G341&lt;=0,Bookings!G341&lt;&gt;"Cancelled"),"CHECK no working days",IF(Bookings!G341="Cancelled","Cancelled","OK")))))</ns0:f>
        <ns0:v/>
      </ns0:c>
      <ns0:c r="L341" s="0">
        <ns0:f>IF(LEFT(K341,5)="CHECK",1,0)</ns0:f>
        <ns0:v>0</ns0:v>
      </ns0:c>
      <ns0:c r="M341" s="0">
        <ns0:f>IF(AND(L341=1,OR(C341=0,IFERROR(INDEX($X$11:$X$60,C341),0)=0)),1,0)</ns0:f>
        <ns0:v>0</ns0:v>
      </ns0:c>
      <ns0:c r="N341" s="0">
        <ns0:f>IF(OR(A341=0,L341&gt;0,$B$6&gt;0,Bookings!G341="Cancelled"),0,G341)</ns0:f>
        <ns0:v>0</ns0:v>
      </ns0:c>
      <ns0:c r="O341" s="0">
        <ns0:f>IF(AND(Bookings!G341="Approved",E341="Yes"),N341,0)</ns0:f>
        <ns0:v>0</ns0:v>
      </ns0:c>
      <ns0:c r="P341" s="0">
        <ns0:f>IF(AND(Bookings!G341="Approved",E341="Yes",L341=0,$B$6=0),H341,0)</ns0:f>
        <ns0:v>0</ns0:v>
      </ns0:c>
      <ns0:c r="Q341" s="0">
        <ns0:f>IF(AND(Bookings!G341="Approved",E341="Yes",L341=0,$B$6=0),I341,0)</ns0:f>
        <ns0:v>0</ns0:v>
      </ns0:c>
      <ns0:c r="R341" s="0">
        <ns0:f>IF(AND(Bookings!G341="Pending",E341="Yes"),N341,0)</ns0:f>
        <ns0:v>0</ns0:v>
      </ns0:c>
      <ns0:c r="S341" s="0">
        <ns0:f>IF(AND(Bookings!G341="Approved",E341="No"),N341,0)</ns0:f>
        <ns0:v>0</ns0:v>
      </ns0:c>
      <ns0:c r="T341" s="0">
        <ns0:f>IFERROR(MATCH(D341,Settings!$G$7:$G$11,0),0)</ns0:f>
        <ns0:v>0</ns0:v>
      </ns0:c>
      <ns0:c r="U341" s="0">
        <ns0:f>IF(N341&gt;0,T341+IF(Bookings!G341="Pending",10,0),0)</ns0:f>
        <ns0:v>0</ns0:v>
      </ns0:c>
      <ns0:c r="V341" s="0">
        <ns0:f>U341</ns0:f>
        <ns0:v>0</ns0:v>
      </ns0:c>
      <ns0:c r="W341" s="0" t="str">
        <ns0:f>IF(C341=0,"",INDEX($AP$11:$AP$60,C341))</ns0:f>
        <ns0:v/>
      </ns0:c>
    </ns0:row>
    <ns0:row r="342">
      <ns0:c r="A342" s="0">
        <ns0:f>IF(COUNTA(Bookings!A342:G342,Bookings!I342)=0,0,1)</ns0:f>
        <ns0:v>0</ns0:v>
      </ns0:c>
      <ns0:c r="B342" s="0" t="str">
        <ns0:f>IFERROR(TRIM(MID(Bookings!A342,FIND(" · ",Bookings!A342)+3,99)),"")</ns0:f>
        <ns0:v/>
      </ns0:c>
      <ns0:c r="C342" s="0">
        <ns0:f>IF(OR(B342="",LEN(B342)&gt;24,ISNUMBER(FIND(" ",B342)),ISNUMBER(FIND("*",B342)),ISNUMBER(FIND("?",B342)),ISNUMBER(FIND("~",B342))),0,IFERROR(MATCH(B342,Team!$A$11:$A$60,0),0))</ns0:f>
        <ns0:v>0</ns0:v>
      </ns0:c>
      <ns0:c r="D342" s="0" t="str">
        <ns0:f>IFERROR(IF(MID(Bookings!F342,LEN(Bookings!F342)-3,3)=" · ",RIGHT(Bookings!F342,1),""),"")</ns0:f>
        <ns0:v/>
      </ns0:c>
      <ns0:c r="E342" s="0" t="str">
        <ns0:f>IFERROR(INDEX(Settings!$H$7:$H$11,MATCH(D342,Settings!$G$7:$G$11,0)),"")</ns0:f>
        <ns0:v/>
      </ns0:c>
      <ns0:c r="F342" s="0" t="str">
        <ns0:f>IF(A342=0,"",IFERROR(IF(OR(B342="",C342=0),"CHECK employee selection",IF(INDEX(Team!$O$11:$O$60,C342)&lt;&gt;"OK","CHECK employee setup",IF(OR('_Dates'!J342=0,'_Dates'!T342=0),"CHECK date: use DD.MM.YYYY",IF('_Dates'!T342&lt;'_Dates'!J342,"CHECK end before start",IF(AND($B$6=0,OR('_Dates'!J342&lt;Settings!$B$7,'_Dates'!T342&gt;Settings!$B$8)),"CHECK split across leave years",IF(OR(NOT(OR('_Dates'!U342="Full day",'_Dates'!U342="AM",'_Dates'!U342="PM")),NOT(OR('_Dates'!V342="Full day",'_Dates'!V342="AM",'_Dates'!V342="PM"))),"CHECK Full day / AM / PM",IF(AND('_Dates'!J342='_Dates'!T342,'_Dates'!U342&lt;&gt;"Full day",'_Dates'!V342&lt;&gt;"Full day",'_Dates'!U342&lt;&gt;'_Dates'!V342),"CHECK same-day portions disagree",IF(AND($B$6=0,OR(AND('_Dates'!U342&lt;&gt;"Full day",'_Dates'!AA342=0),AND('_Dates'!V342&lt;&gt;"Full day",'_Dates'!AB342=0))),"CHECK half-day on non-working date",IF(COUNTIF(Settings!$G$7:$G$11,D342)&lt;&gt;1,"CHECK leave type",IF(AND(Bookings!G342&lt;&gt;"Approved",Bookings!G342&lt;&gt;"Pending",Bookings!G342&lt;&gt;"Cancelled"),"CHECK status","OK")))))))))),"CHECK input"))</ns0:f>
        <ns0:v/>
      </ns0:c>
      <ns0:c r="G342" s="0">
        <ns0:f>IF(OR(F342&lt;&gt;"OK",$B$6&gt;0),0,0.5*(IF(('_Dates'!X342)&lt;('_Dates'!W342),0,INT((('_Dates'!X342)-('_Dates'!W342)+1)/7)*LEN(SUBSTITUTE(W342,"O",""))+LEN(SUBSTITUTE(MID(W342&amp;W342,WEEKDAY(('_Dates'!W342),2),MOD((('_Dates'!X342)-('_Dates'!W342)+1),7)),"O",""))-COUNTIFS(INDEX(AllClosureRows,C342,0),"&gt;="&amp;('_Dates'!W342),INDEX(AllClosureRows,C342,0),"&lt;="&amp;('_Dates'!X342)))+IF(('_Dates'!Z342)&lt;('_Dates'!Y342),0,INT((('_Dates'!Z342)-('_Dates'!Y342)+1)/7)*LEN(SUBSTITUTE(W342,"O",""))+LEN(SUBSTITUTE(MID(W342&amp;W342,WEEKDAY(('_Dates'!Y342),2),MOD((('_Dates'!Z342)-('_Dates'!Y342)+1),7)),"O",""))-COUNTIFS(INDEX(AllClosureRows,C342,0),"&gt;="&amp;('_Dates'!Y342),INDEX(AllClosureRows,C342,0),"&lt;="&amp;('_Dates'!Z342)))))</ns0:f>
        <ns0:v>0</ns0:v>
      </ns0:c>
      <ns0:c r="H342" s="0">
        <ns0:f>IF(OR(F342&lt;&gt;"OK",$B$6&gt;0),0,0.5*(IF((MIN('_Dates'!X342,Settings!$B$9))&lt;('_Dates'!W342),0,INT(((MIN('_Dates'!X342,Settings!$B$9))-('_Dates'!W342)+1)/7)*LEN(SUBSTITUTE(W342,"O",""))+LEN(SUBSTITUTE(MID(W342&amp;W342,WEEKDAY(('_Dates'!W342),2),MOD(((MIN('_Dates'!X342,Settings!$B$9))-('_Dates'!W342)+1),7)),"O",""))-COUNTIFS(INDEX(AllClosureRows,C342,0),"&gt;="&amp;('_Dates'!W342),INDEX(AllClosureRows,C342,0),"&lt;="&amp;(MIN('_Dates'!X342,Settings!$B$9))))+IF((MIN('_Dates'!Z342,Settings!$B$9))&lt;('_Dates'!Y342),0,INT(((MIN('_Dates'!Z342,Settings!$B$9))-('_Dates'!Y342)+1)/7)*LEN(SUBSTITUTE(W342,"O",""))+LEN(SUBSTITUTE(MID(W342&amp;W342,WEEKDAY(('_Dates'!Y342),2),MOD(((MIN('_Dates'!Z342,Settings!$B$9))-('_Dates'!Y342)+1),7)),"O",""))-COUNTIFS(INDEX(AllClosureRows,C342,0),"&gt;="&amp;('_Dates'!Y342),INDEX(AllClosureRows,C342,0),"&lt;="&amp;(MIN('_Dates'!Z342,Settings!$B$9))))))</ns0:f>
        <ns0:v>0</ns0:v>
      </ns0:c>
      <ns0:c r="I342" s="0">
        <ns0:f>MAX(0,G342-H342)</ns0:f>
        <ns0:v>0</ns0:v>
      </ns0:c>
      <ns0:c r="J342" s="0">
        <ns0:f>IF(OR(A342=0,F342&lt;&gt;"OK",Bookings!G342="Cancelled",$B$6&gt;0),0,IF('_Dates'!AC342=1,MAX(0,COUNTIFS(rngEngine_B,B342,rngAMStart,"&lt;="&amp;'_Dates'!X342,rngAMEnd,"&gt;="&amp;'_Dates'!W342,rngAMActive,1,rngEngine_F,"OK",rngBookings_F,"&lt;&gt;Cancelled")-1),0)+IF('_Dates'!AD342=1,MAX(0,COUNTIFS(rngEngine_B,B342,rngPMStart,"&lt;="&amp;'_Dates'!Z342,rngPMEnd,"&gt;="&amp;'_Dates'!Y342,rngPMActive,1,rngEngine_F,"OK",rngBookings_F,"&lt;&gt;Cancelled")-1),0))</ns0:f>
        <ns0:v>0</ns0:v>
      </ns0:c>
      <ns0:c r="K342" s="0" t="str">
        <ns0:f>IF(A342=0,"",IF(F342&lt;&gt;"OK",F342,IF(J342&gt;0,"CHECK overlapping entry",IF(AND($B$6=0,G342&lt;=0,Bookings!G342&lt;&gt;"Cancelled"),"CHECK no working days",IF(Bookings!G342="Cancelled","Cancelled","OK")))))</ns0:f>
        <ns0:v/>
      </ns0:c>
      <ns0:c r="L342" s="0">
        <ns0:f>IF(LEFT(K342,5)="CHECK",1,0)</ns0:f>
        <ns0:v>0</ns0:v>
      </ns0:c>
      <ns0:c r="M342" s="0">
        <ns0:f>IF(AND(L342=1,OR(C342=0,IFERROR(INDEX($X$11:$X$60,C342),0)=0)),1,0)</ns0:f>
        <ns0:v>0</ns0:v>
      </ns0:c>
      <ns0:c r="N342" s="0">
        <ns0:f>IF(OR(A342=0,L342&gt;0,$B$6&gt;0,Bookings!G342="Cancelled"),0,G342)</ns0:f>
        <ns0:v>0</ns0:v>
      </ns0:c>
      <ns0:c r="O342" s="0">
        <ns0:f>IF(AND(Bookings!G342="Approved",E342="Yes"),N342,0)</ns0:f>
        <ns0:v>0</ns0:v>
      </ns0:c>
      <ns0:c r="P342" s="0">
        <ns0:f>IF(AND(Bookings!G342="Approved",E342="Yes",L342=0,$B$6=0),H342,0)</ns0:f>
        <ns0:v>0</ns0:v>
      </ns0:c>
      <ns0:c r="Q342" s="0">
        <ns0:f>IF(AND(Bookings!G342="Approved",E342="Yes",L342=0,$B$6=0),I342,0)</ns0:f>
        <ns0:v>0</ns0:v>
      </ns0:c>
      <ns0:c r="R342" s="0">
        <ns0:f>IF(AND(Bookings!G342="Pending",E342="Yes"),N342,0)</ns0:f>
        <ns0:v>0</ns0:v>
      </ns0:c>
      <ns0:c r="S342" s="0">
        <ns0:f>IF(AND(Bookings!G342="Approved",E342="No"),N342,0)</ns0:f>
        <ns0:v>0</ns0:v>
      </ns0:c>
      <ns0:c r="T342" s="0">
        <ns0:f>IFERROR(MATCH(D342,Settings!$G$7:$G$11,0),0)</ns0:f>
        <ns0:v>0</ns0:v>
      </ns0:c>
      <ns0:c r="U342" s="0">
        <ns0:f>IF(N342&gt;0,T342+IF(Bookings!G342="Pending",10,0),0)</ns0:f>
        <ns0:v>0</ns0:v>
      </ns0:c>
      <ns0:c r="V342" s="0">
        <ns0:f>U342</ns0:f>
        <ns0:v>0</ns0:v>
      </ns0:c>
      <ns0:c r="W342" s="0" t="str">
        <ns0:f>IF(C342=0,"",INDEX($AP$11:$AP$60,C342))</ns0:f>
        <ns0:v/>
      </ns0:c>
    </ns0:row>
    <ns0:row r="343">
      <ns0:c r="A343" s="0">
        <ns0:f>IF(COUNTA(Bookings!A343:G343,Bookings!I343)=0,0,1)</ns0:f>
        <ns0:v>0</ns0:v>
      </ns0:c>
      <ns0:c r="B343" s="0" t="str">
        <ns0:f>IFERROR(TRIM(MID(Bookings!A343,FIND(" · ",Bookings!A343)+3,99)),"")</ns0:f>
        <ns0:v/>
      </ns0:c>
      <ns0:c r="C343" s="0">
        <ns0:f>IF(OR(B343="",LEN(B343)&gt;24,ISNUMBER(FIND(" ",B343)),ISNUMBER(FIND("*",B343)),ISNUMBER(FIND("?",B343)),ISNUMBER(FIND("~",B343))),0,IFERROR(MATCH(B343,Team!$A$11:$A$60,0),0))</ns0:f>
        <ns0:v>0</ns0:v>
      </ns0:c>
      <ns0:c r="D343" s="0" t="str">
        <ns0:f>IFERROR(IF(MID(Bookings!F343,LEN(Bookings!F343)-3,3)=" · ",RIGHT(Bookings!F343,1),""),"")</ns0:f>
        <ns0:v/>
      </ns0:c>
      <ns0:c r="E343" s="0" t="str">
        <ns0:f>IFERROR(INDEX(Settings!$H$7:$H$11,MATCH(D343,Settings!$G$7:$G$11,0)),"")</ns0:f>
        <ns0:v/>
      </ns0:c>
      <ns0:c r="F343" s="0" t="str">
        <ns0:f>IF(A343=0,"",IFERROR(IF(OR(B343="",C343=0),"CHECK employee selection",IF(INDEX(Team!$O$11:$O$60,C343)&lt;&gt;"OK","CHECK employee setup",IF(OR('_Dates'!J343=0,'_Dates'!T343=0),"CHECK date: use DD.MM.YYYY",IF('_Dates'!T343&lt;'_Dates'!J343,"CHECK end before start",IF(AND($B$6=0,OR('_Dates'!J343&lt;Settings!$B$7,'_Dates'!T343&gt;Settings!$B$8)),"CHECK split across leave years",IF(OR(NOT(OR('_Dates'!U343="Full day",'_Dates'!U343="AM",'_Dates'!U343="PM")),NOT(OR('_Dates'!V343="Full day",'_Dates'!V343="AM",'_Dates'!V343="PM"))),"CHECK Full day / AM / PM",IF(AND('_Dates'!J343='_Dates'!T343,'_Dates'!U343&lt;&gt;"Full day",'_Dates'!V343&lt;&gt;"Full day",'_Dates'!U343&lt;&gt;'_Dates'!V343),"CHECK same-day portions disagree",IF(AND($B$6=0,OR(AND('_Dates'!U343&lt;&gt;"Full day",'_Dates'!AA343=0),AND('_Dates'!V343&lt;&gt;"Full day",'_Dates'!AB343=0))),"CHECK half-day on non-working date",IF(COUNTIF(Settings!$G$7:$G$11,D343)&lt;&gt;1,"CHECK leave type",IF(AND(Bookings!G343&lt;&gt;"Approved",Bookings!G343&lt;&gt;"Pending",Bookings!G343&lt;&gt;"Cancelled"),"CHECK status","OK")))))))))),"CHECK input"))</ns0:f>
        <ns0:v/>
      </ns0:c>
      <ns0:c r="G343" s="0">
        <ns0:f>IF(OR(F343&lt;&gt;"OK",$B$6&gt;0),0,0.5*(IF(('_Dates'!X343)&lt;('_Dates'!W343),0,INT((('_Dates'!X343)-('_Dates'!W343)+1)/7)*LEN(SUBSTITUTE(W343,"O",""))+LEN(SUBSTITUTE(MID(W343&amp;W343,WEEKDAY(('_Dates'!W343),2),MOD((('_Dates'!X343)-('_Dates'!W343)+1),7)),"O",""))-COUNTIFS(INDEX(AllClosureRows,C343,0),"&gt;="&amp;('_Dates'!W343),INDEX(AllClosureRows,C343,0),"&lt;="&amp;('_Dates'!X343)))+IF(('_Dates'!Z343)&lt;('_Dates'!Y343),0,INT((('_Dates'!Z343)-('_Dates'!Y343)+1)/7)*LEN(SUBSTITUTE(W343,"O",""))+LEN(SUBSTITUTE(MID(W343&amp;W343,WEEKDAY(('_Dates'!Y343),2),MOD((('_Dates'!Z343)-('_Dates'!Y343)+1),7)),"O",""))-COUNTIFS(INDEX(AllClosureRows,C343,0),"&gt;="&amp;('_Dates'!Y343),INDEX(AllClosureRows,C343,0),"&lt;="&amp;('_Dates'!Z343)))))</ns0:f>
        <ns0:v>0</ns0:v>
      </ns0:c>
      <ns0:c r="H343" s="0">
        <ns0:f>IF(OR(F343&lt;&gt;"OK",$B$6&gt;0),0,0.5*(IF((MIN('_Dates'!X343,Settings!$B$9))&lt;('_Dates'!W343),0,INT(((MIN('_Dates'!X343,Settings!$B$9))-('_Dates'!W343)+1)/7)*LEN(SUBSTITUTE(W343,"O",""))+LEN(SUBSTITUTE(MID(W343&amp;W343,WEEKDAY(('_Dates'!W343),2),MOD(((MIN('_Dates'!X343,Settings!$B$9))-('_Dates'!W343)+1),7)),"O",""))-COUNTIFS(INDEX(AllClosureRows,C343,0),"&gt;="&amp;('_Dates'!W343),INDEX(AllClosureRows,C343,0),"&lt;="&amp;(MIN('_Dates'!X343,Settings!$B$9))))+IF((MIN('_Dates'!Z343,Settings!$B$9))&lt;('_Dates'!Y343),0,INT(((MIN('_Dates'!Z343,Settings!$B$9))-('_Dates'!Y343)+1)/7)*LEN(SUBSTITUTE(W343,"O",""))+LEN(SUBSTITUTE(MID(W343&amp;W343,WEEKDAY(('_Dates'!Y343),2),MOD(((MIN('_Dates'!Z343,Settings!$B$9))-('_Dates'!Y343)+1),7)),"O",""))-COUNTIFS(INDEX(AllClosureRows,C343,0),"&gt;="&amp;('_Dates'!Y343),INDEX(AllClosureRows,C343,0),"&lt;="&amp;(MIN('_Dates'!Z343,Settings!$B$9))))))</ns0:f>
        <ns0:v>0</ns0:v>
      </ns0:c>
      <ns0:c r="I343" s="0">
        <ns0:f>MAX(0,G343-H343)</ns0:f>
        <ns0:v>0</ns0:v>
      </ns0:c>
      <ns0:c r="J343" s="0">
        <ns0:f>IF(OR(A343=0,F343&lt;&gt;"OK",Bookings!G343="Cancelled",$B$6&gt;0),0,IF('_Dates'!AC343=1,MAX(0,COUNTIFS(rngEngine_B,B343,rngAMStart,"&lt;="&amp;'_Dates'!X343,rngAMEnd,"&gt;="&amp;'_Dates'!W343,rngAMActive,1,rngEngine_F,"OK",rngBookings_F,"&lt;&gt;Cancelled")-1),0)+IF('_Dates'!AD343=1,MAX(0,COUNTIFS(rngEngine_B,B343,rngPMStart,"&lt;="&amp;'_Dates'!Z343,rngPMEnd,"&gt;="&amp;'_Dates'!Y343,rngPMActive,1,rngEngine_F,"OK",rngBookings_F,"&lt;&gt;Cancelled")-1),0))</ns0:f>
        <ns0:v>0</ns0:v>
      </ns0:c>
      <ns0:c r="K343" s="0" t="str">
        <ns0:f>IF(A343=0,"",IF(F343&lt;&gt;"OK",F343,IF(J343&gt;0,"CHECK overlapping entry",IF(AND($B$6=0,G343&lt;=0,Bookings!G343&lt;&gt;"Cancelled"),"CHECK no working days",IF(Bookings!G343="Cancelled","Cancelled","OK")))))</ns0:f>
        <ns0:v/>
      </ns0:c>
      <ns0:c r="L343" s="0">
        <ns0:f>IF(LEFT(K343,5)="CHECK",1,0)</ns0:f>
        <ns0:v>0</ns0:v>
      </ns0:c>
      <ns0:c r="M343" s="0">
        <ns0:f>IF(AND(L343=1,OR(C343=0,IFERROR(INDEX($X$11:$X$60,C343),0)=0)),1,0)</ns0:f>
        <ns0:v>0</ns0:v>
      </ns0:c>
      <ns0:c r="N343" s="0">
        <ns0:f>IF(OR(A343=0,L343&gt;0,$B$6&gt;0,Bookings!G343="Cancelled"),0,G343)</ns0:f>
        <ns0:v>0</ns0:v>
      </ns0:c>
      <ns0:c r="O343" s="0">
        <ns0:f>IF(AND(Bookings!G343="Approved",E343="Yes"),N343,0)</ns0:f>
        <ns0:v>0</ns0:v>
      </ns0:c>
      <ns0:c r="P343" s="0">
        <ns0:f>IF(AND(Bookings!G343="Approved",E343="Yes",L343=0,$B$6=0),H343,0)</ns0:f>
        <ns0:v>0</ns0:v>
      </ns0:c>
      <ns0:c r="Q343" s="0">
        <ns0:f>IF(AND(Bookings!G343="Approved",E343="Yes",L343=0,$B$6=0),I343,0)</ns0:f>
        <ns0:v>0</ns0:v>
      </ns0:c>
      <ns0:c r="R343" s="0">
        <ns0:f>IF(AND(Bookings!G343="Pending",E343="Yes"),N343,0)</ns0:f>
        <ns0:v>0</ns0:v>
      </ns0:c>
      <ns0:c r="S343" s="0">
        <ns0:f>IF(AND(Bookings!G343="Approved",E343="No"),N343,0)</ns0:f>
        <ns0:v>0</ns0:v>
      </ns0:c>
      <ns0:c r="T343" s="0">
        <ns0:f>IFERROR(MATCH(D343,Settings!$G$7:$G$11,0),0)</ns0:f>
        <ns0:v>0</ns0:v>
      </ns0:c>
      <ns0:c r="U343" s="0">
        <ns0:f>IF(N343&gt;0,T343+IF(Bookings!G343="Pending",10,0),0)</ns0:f>
        <ns0:v>0</ns0:v>
      </ns0:c>
      <ns0:c r="V343" s="0">
        <ns0:f>U343</ns0:f>
        <ns0:v>0</ns0:v>
      </ns0:c>
      <ns0:c r="W343" s="0" t="str">
        <ns0:f>IF(C343=0,"",INDEX($AP$11:$AP$60,C343))</ns0:f>
        <ns0:v/>
      </ns0:c>
    </ns0:row>
    <ns0:row r="344">
      <ns0:c r="A344" s="0">
        <ns0:f>IF(COUNTA(Bookings!A344:G344,Bookings!I344)=0,0,1)</ns0:f>
        <ns0:v>0</ns0:v>
      </ns0:c>
      <ns0:c r="B344" s="0" t="str">
        <ns0:f>IFERROR(TRIM(MID(Bookings!A344,FIND(" · ",Bookings!A344)+3,99)),"")</ns0:f>
        <ns0:v/>
      </ns0:c>
      <ns0:c r="C344" s="0">
        <ns0:f>IF(OR(B344="",LEN(B344)&gt;24,ISNUMBER(FIND(" ",B344)),ISNUMBER(FIND("*",B344)),ISNUMBER(FIND("?",B344)),ISNUMBER(FIND("~",B344))),0,IFERROR(MATCH(B344,Team!$A$11:$A$60,0),0))</ns0:f>
        <ns0:v>0</ns0:v>
      </ns0:c>
      <ns0:c r="D344" s="0" t="str">
        <ns0:f>IFERROR(IF(MID(Bookings!F344,LEN(Bookings!F344)-3,3)=" · ",RIGHT(Bookings!F344,1),""),"")</ns0:f>
        <ns0:v/>
      </ns0:c>
      <ns0:c r="E344" s="0" t="str">
        <ns0:f>IFERROR(INDEX(Settings!$H$7:$H$11,MATCH(D344,Settings!$G$7:$G$11,0)),"")</ns0:f>
        <ns0:v/>
      </ns0:c>
      <ns0:c r="F344" s="0" t="str">
        <ns0:f>IF(A344=0,"",IFERROR(IF(OR(B344="",C344=0),"CHECK employee selection",IF(INDEX(Team!$O$11:$O$60,C344)&lt;&gt;"OK","CHECK employee setup",IF(OR('_Dates'!J344=0,'_Dates'!T344=0),"CHECK date: use DD.MM.YYYY",IF('_Dates'!T344&lt;'_Dates'!J344,"CHECK end before start",IF(AND($B$6=0,OR('_Dates'!J344&lt;Settings!$B$7,'_Dates'!T344&gt;Settings!$B$8)),"CHECK split across leave years",IF(OR(NOT(OR('_Dates'!U344="Full day",'_Dates'!U344="AM",'_Dates'!U344="PM")),NOT(OR('_Dates'!V344="Full day",'_Dates'!V344="AM",'_Dates'!V344="PM"))),"CHECK Full day / AM / PM",IF(AND('_Dates'!J344='_Dates'!T344,'_Dates'!U344&lt;&gt;"Full day",'_Dates'!V344&lt;&gt;"Full day",'_Dates'!U344&lt;&gt;'_Dates'!V344),"CHECK same-day portions disagree",IF(AND($B$6=0,OR(AND('_Dates'!U344&lt;&gt;"Full day",'_Dates'!AA344=0),AND('_Dates'!V344&lt;&gt;"Full day",'_Dates'!AB344=0))),"CHECK half-day on non-working date",IF(COUNTIF(Settings!$G$7:$G$11,D344)&lt;&gt;1,"CHECK leave type",IF(AND(Bookings!G344&lt;&gt;"Approved",Bookings!G344&lt;&gt;"Pending",Bookings!G344&lt;&gt;"Cancelled"),"CHECK status","OK")))))))))),"CHECK input"))</ns0:f>
        <ns0:v/>
      </ns0:c>
      <ns0:c r="G344" s="0">
        <ns0:f>IF(OR(F344&lt;&gt;"OK",$B$6&gt;0),0,0.5*(IF(('_Dates'!X344)&lt;('_Dates'!W344),0,INT((('_Dates'!X344)-('_Dates'!W344)+1)/7)*LEN(SUBSTITUTE(W344,"O",""))+LEN(SUBSTITUTE(MID(W344&amp;W344,WEEKDAY(('_Dates'!W344),2),MOD((('_Dates'!X344)-('_Dates'!W344)+1),7)),"O",""))-COUNTIFS(INDEX(AllClosureRows,C344,0),"&gt;="&amp;('_Dates'!W344),INDEX(AllClosureRows,C344,0),"&lt;="&amp;('_Dates'!X344)))+IF(('_Dates'!Z344)&lt;('_Dates'!Y344),0,INT((('_Dates'!Z344)-('_Dates'!Y344)+1)/7)*LEN(SUBSTITUTE(W344,"O",""))+LEN(SUBSTITUTE(MID(W344&amp;W344,WEEKDAY(('_Dates'!Y344),2),MOD((('_Dates'!Z344)-('_Dates'!Y344)+1),7)),"O",""))-COUNTIFS(INDEX(AllClosureRows,C344,0),"&gt;="&amp;('_Dates'!Y344),INDEX(AllClosureRows,C344,0),"&lt;="&amp;('_Dates'!Z344)))))</ns0:f>
        <ns0:v>0</ns0:v>
      </ns0:c>
      <ns0:c r="H344" s="0">
        <ns0:f>IF(OR(F344&lt;&gt;"OK",$B$6&gt;0),0,0.5*(IF((MIN('_Dates'!X344,Settings!$B$9))&lt;('_Dates'!W344),0,INT(((MIN('_Dates'!X344,Settings!$B$9))-('_Dates'!W344)+1)/7)*LEN(SUBSTITUTE(W344,"O",""))+LEN(SUBSTITUTE(MID(W344&amp;W344,WEEKDAY(('_Dates'!W344),2),MOD(((MIN('_Dates'!X344,Settings!$B$9))-('_Dates'!W344)+1),7)),"O",""))-COUNTIFS(INDEX(AllClosureRows,C344,0),"&gt;="&amp;('_Dates'!W344),INDEX(AllClosureRows,C344,0),"&lt;="&amp;(MIN('_Dates'!X344,Settings!$B$9))))+IF((MIN('_Dates'!Z344,Settings!$B$9))&lt;('_Dates'!Y344),0,INT(((MIN('_Dates'!Z344,Settings!$B$9))-('_Dates'!Y344)+1)/7)*LEN(SUBSTITUTE(W344,"O",""))+LEN(SUBSTITUTE(MID(W344&amp;W344,WEEKDAY(('_Dates'!Y344),2),MOD(((MIN('_Dates'!Z344,Settings!$B$9))-('_Dates'!Y344)+1),7)),"O",""))-COUNTIFS(INDEX(AllClosureRows,C344,0),"&gt;="&amp;('_Dates'!Y344),INDEX(AllClosureRows,C344,0),"&lt;="&amp;(MIN('_Dates'!Z344,Settings!$B$9))))))</ns0:f>
        <ns0:v>0</ns0:v>
      </ns0:c>
      <ns0:c r="I344" s="0">
        <ns0:f>MAX(0,G344-H344)</ns0:f>
        <ns0:v>0</ns0:v>
      </ns0:c>
      <ns0:c r="J344" s="0">
        <ns0:f>IF(OR(A344=0,F344&lt;&gt;"OK",Bookings!G344="Cancelled",$B$6&gt;0),0,IF('_Dates'!AC344=1,MAX(0,COUNTIFS(rngEngine_B,B344,rngAMStart,"&lt;="&amp;'_Dates'!X344,rngAMEnd,"&gt;="&amp;'_Dates'!W344,rngAMActive,1,rngEngine_F,"OK",rngBookings_F,"&lt;&gt;Cancelled")-1),0)+IF('_Dates'!AD344=1,MAX(0,COUNTIFS(rngEngine_B,B344,rngPMStart,"&lt;="&amp;'_Dates'!Z344,rngPMEnd,"&gt;="&amp;'_Dates'!Y344,rngPMActive,1,rngEngine_F,"OK",rngBookings_F,"&lt;&gt;Cancelled")-1),0))</ns0:f>
        <ns0:v>0</ns0:v>
      </ns0:c>
      <ns0:c r="K344" s="0" t="str">
        <ns0:f>IF(A344=0,"",IF(F344&lt;&gt;"OK",F344,IF(J344&gt;0,"CHECK overlapping entry",IF(AND($B$6=0,G344&lt;=0,Bookings!G344&lt;&gt;"Cancelled"),"CHECK no working days",IF(Bookings!G344="Cancelled","Cancelled","OK")))))</ns0:f>
        <ns0:v/>
      </ns0:c>
      <ns0:c r="L344" s="0">
        <ns0:f>IF(LEFT(K344,5)="CHECK",1,0)</ns0:f>
        <ns0:v>0</ns0:v>
      </ns0:c>
      <ns0:c r="M344" s="0">
        <ns0:f>IF(AND(L344=1,OR(C344=0,IFERROR(INDEX($X$11:$X$60,C344),0)=0)),1,0)</ns0:f>
        <ns0:v>0</ns0:v>
      </ns0:c>
      <ns0:c r="N344" s="0">
        <ns0:f>IF(OR(A344=0,L344&gt;0,$B$6&gt;0,Bookings!G344="Cancelled"),0,G344)</ns0:f>
        <ns0:v>0</ns0:v>
      </ns0:c>
      <ns0:c r="O344" s="0">
        <ns0:f>IF(AND(Bookings!G344="Approved",E344="Yes"),N344,0)</ns0:f>
        <ns0:v>0</ns0:v>
      </ns0:c>
      <ns0:c r="P344" s="0">
        <ns0:f>IF(AND(Bookings!G344="Approved",E344="Yes",L344=0,$B$6=0),H344,0)</ns0:f>
        <ns0:v>0</ns0:v>
      </ns0:c>
      <ns0:c r="Q344" s="0">
        <ns0:f>IF(AND(Bookings!G344="Approved",E344="Yes",L344=0,$B$6=0),I344,0)</ns0:f>
        <ns0:v>0</ns0:v>
      </ns0:c>
      <ns0:c r="R344" s="0">
        <ns0:f>IF(AND(Bookings!G344="Pending",E344="Yes"),N344,0)</ns0:f>
        <ns0:v>0</ns0:v>
      </ns0:c>
      <ns0:c r="S344" s="0">
        <ns0:f>IF(AND(Bookings!G344="Approved",E344="No"),N344,0)</ns0:f>
        <ns0:v>0</ns0:v>
      </ns0:c>
      <ns0:c r="T344" s="0">
        <ns0:f>IFERROR(MATCH(D344,Settings!$G$7:$G$11,0),0)</ns0:f>
        <ns0:v>0</ns0:v>
      </ns0:c>
      <ns0:c r="U344" s="0">
        <ns0:f>IF(N344&gt;0,T344+IF(Bookings!G344="Pending",10,0),0)</ns0:f>
        <ns0:v>0</ns0:v>
      </ns0:c>
      <ns0:c r="V344" s="0">
        <ns0:f>U344</ns0:f>
        <ns0:v>0</ns0:v>
      </ns0:c>
      <ns0:c r="W344" s="0" t="str">
        <ns0:f>IF(C344=0,"",INDEX($AP$11:$AP$60,C344))</ns0:f>
        <ns0:v/>
      </ns0:c>
    </ns0:row>
    <ns0:row r="345">
      <ns0:c r="A345" s="0">
        <ns0:f>IF(COUNTA(Bookings!A345:G345,Bookings!I345)=0,0,1)</ns0:f>
        <ns0:v>0</ns0:v>
      </ns0:c>
      <ns0:c r="B345" s="0" t="str">
        <ns0:f>IFERROR(TRIM(MID(Bookings!A345,FIND(" · ",Bookings!A345)+3,99)),"")</ns0:f>
        <ns0:v/>
      </ns0:c>
      <ns0:c r="C345" s="0">
        <ns0:f>IF(OR(B345="",LEN(B345)&gt;24,ISNUMBER(FIND(" ",B345)),ISNUMBER(FIND("*",B345)),ISNUMBER(FIND("?",B345)),ISNUMBER(FIND("~",B345))),0,IFERROR(MATCH(B345,Team!$A$11:$A$60,0),0))</ns0:f>
        <ns0:v>0</ns0:v>
      </ns0:c>
      <ns0:c r="D345" s="0" t="str">
        <ns0:f>IFERROR(IF(MID(Bookings!F345,LEN(Bookings!F345)-3,3)=" · ",RIGHT(Bookings!F345,1),""),"")</ns0:f>
        <ns0:v/>
      </ns0:c>
      <ns0:c r="E345" s="0" t="str">
        <ns0:f>IFERROR(INDEX(Settings!$H$7:$H$11,MATCH(D345,Settings!$G$7:$G$11,0)),"")</ns0:f>
        <ns0:v/>
      </ns0:c>
      <ns0:c r="F345" s="0" t="str">
        <ns0:f>IF(A345=0,"",IFERROR(IF(OR(B345="",C345=0),"CHECK employee selection",IF(INDEX(Team!$O$11:$O$60,C345)&lt;&gt;"OK","CHECK employee setup",IF(OR('_Dates'!J345=0,'_Dates'!T345=0),"CHECK date: use DD.MM.YYYY",IF('_Dates'!T345&lt;'_Dates'!J345,"CHECK end before start",IF(AND($B$6=0,OR('_Dates'!J345&lt;Settings!$B$7,'_Dates'!T345&gt;Settings!$B$8)),"CHECK split across leave years",IF(OR(NOT(OR('_Dates'!U345="Full day",'_Dates'!U345="AM",'_Dates'!U345="PM")),NOT(OR('_Dates'!V345="Full day",'_Dates'!V345="AM",'_Dates'!V345="PM"))),"CHECK Full day / AM / PM",IF(AND('_Dates'!J345='_Dates'!T345,'_Dates'!U345&lt;&gt;"Full day",'_Dates'!V345&lt;&gt;"Full day",'_Dates'!U345&lt;&gt;'_Dates'!V345),"CHECK same-day portions disagree",IF(AND($B$6=0,OR(AND('_Dates'!U345&lt;&gt;"Full day",'_Dates'!AA345=0),AND('_Dates'!V345&lt;&gt;"Full day",'_Dates'!AB345=0))),"CHECK half-day on non-working date",IF(COUNTIF(Settings!$G$7:$G$11,D345)&lt;&gt;1,"CHECK leave type",IF(AND(Bookings!G345&lt;&gt;"Approved",Bookings!G345&lt;&gt;"Pending",Bookings!G345&lt;&gt;"Cancelled"),"CHECK status","OK")))))))))),"CHECK input"))</ns0:f>
        <ns0:v/>
      </ns0:c>
      <ns0:c r="G345" s="0">
        <ns0:f>IF(OR(F345&lt;&gt;"OK",$B$6&gt;0),0,0.5*(IF(('_Dates'!X345)&lt;('_Dates'!W345),0,INT((('_Dates'!X345)-('_Dates'!W345)+1)/7)*LEN(SUBSTITUTE(W345,"O",""))+LEN(SUBSTITUTE(MID(W345&amp;W345,WEEKDAY(('_Dates'!W345),2),MOD((('_Dates'!X345)-('_Dates'!W345)+1),7)),"O",""))-COUNTIFS(INDEX(AllClosureRows,C345,0),"&gt;="&amp;('_Dates'!W345),INDEX(AllClosureRows,C345,0),"&lt;="&amp;('_Dates'!X345)))+IF(('_Dates'!Z345)&lt;('_Dates'!Y345),0,INT((('_Dates'!Z345)-('_Dates'!Y345)+1)/7)*LEN(SUBSTITUTE(W345,"O",""))+LEN(SUBSTITUTE(MID(W345&amp;W345,WEEKDAY(('_Dates'!Y345),2),MOD((('_Dates'!Z345)-('_Dates'!Y345)+1),7)),"O",""))-COUNTIFS(INDEX(AllClosureRows,C345,0),"&gt;="&amp;('_Dates'!Y345),INDEX(AllClosureRows,C345,0),"&lt;="&amp;('_Dates'!Z345)))))</ns0:f>
        <ns0:v>0</ns0:v>
      </ns0:c>
      <ns0:c r="H345" s="0">
        <ns0:f>IF(OR(F345&lt;&gt;"OK",$B$6&gt;0),0,0.5*(IF((MIN('_Dates'!X345,Settings!$B$9))&lt;('_Dates'!W345),0,INT(((MIN('_Dates'!X345,Settings!$B$9))-('_Dates'!W345)+1)/7)*LEN(SUBSTITUTE(W345,"O",""))+LEN(SUBSTITUTE(MID(W345&amp;W345,WEEKDAY(('_Dates'!W345),2),MOD(((MIN('_Dates'!X345,Settings!$B$9))-('_Dates'!W345)+1),7)),"O",""))-COUNTIFS(INDEX(AllClosureRows,C345,0),"&gt;="&amp;('_Dates'!W345),INDEX(AllClosureRows,C345,0),"&lt;="&amp;(MIN('_Dates'!X345,Settings!$B$9))))+IF((MIN('_Dates'!Z345,Settings!$B$9))&lt;('_Dates'!Y345),0,INT(((MIN('_Dates'!Z345,Settings!$B$9))-('_Dates'!Y345)+1)/7)*LEN(SUBSTITUTE(W345,"O",""))+LEN(SUBSTITUTE(MID(W345&amp;W345,WEEKDAY(('_Dates'!Y345),2),MOD(((MIN('_Dates'!Z345,Settings!$B$9))-('_Dates'!Y345)+1),7)),"O",""))-COUNTIFS(INDEX(AllClosureRows,C345,0),"&gt;="&amp;('_Dates'!Y345),INDEX(AllClosureRows,C345,0),"&lt;="&amp;(MIN('_Dates'!Z345,Settings!$B$9))))))</ns0:f>
        <ns0:v>0</ns0:v>
      </ns0:c>
      <ns0:c r="I345" s="0">
        <ns0:f>MAX(0,G345-H345)</ns0:f>
        <ns0:v>0</ns0:v>
      </ns0:c>
      <ns0:c r="J345" s="0">
        <ns0:f>IF(OR(A345=0,F345&lt;&gt;"OK",Bookings!G345="Cancelled",$B$6&gt;0),0,IF('_Dates'!AC345=1,MAX(0,COUNTIFS(rngEngine_B,B345,rngAMStart,"&lt;="&amp;'_Dates'!X345,rngAMEnd,"&gt;="&amp;'_Dates'!W345,rngAMActive,1,rngEngine_F,"OK",rngBookings_F,"&lt;&gt;Cancelled")-1),0)+IF('_Dates'!AD345=1,MAX(0,COUNTIFS(rngEngine_B,B345,rngPMStart,"&lt;="&amp;'_Dates'!Z345,rngPMEnd,"&gt;="&amp;'_Dates'!Y345,rngPMActive,1,rngEngine_F,"OK",rngBookings_F,"&lt;&gt;Cancelled")-1),0))</ns0:f>
        <ns0:v>0</ns0:v>
      </ns0:c>
      <ns0:c r="K345" s="0" t="str">
        <ns0:f>IF(A345=0,"",IF(F345&lt;&gt;"OK",F345,IF(J345&gt;0,"CHECK overlapping entry",IF(AND($B$6=0,G345&lt;=0,Bookings!G345&lt;&gt;"Cancelled"),"CHECK no working days",IF(Bookings!G345="Cancelled","Cancelled","OK")))))</ns0:f>
        <ns0:v/>
      </ns0:c>
      <ns0:c r="L345" s="0">
        <ns0:f>IF(LEFT(K345,5)="CHECK",1,0)</ns0:f>
        <ns0:v>0</ns0:v>
      </ns0:c>
      <ns0:c r="M345" s="0">
        <ns0:f>IF(AND(L345=1,OR(C345=0,IFERROR(INDEX($X$11:$X$60,C345),0)=0)),1,0)</ns0:f>
        <ns0:v>0</ns0:v>
      </ns0:c>
      <ns0:c r="N345" s="0">
        <ns0:f>IF(OR(A345=0,L345&gt;0,$B$6&gt;0,Bookings!G345="Cancelled"),0,G345)</ns0:f>
        <ns0:v>0</ns0:v>
      </ns0:c>
      <ns0:c r="O345" s="0">
        <ns0:f>IF(AND(Bookings!G345="Approved",E345="Yes"),N345,0)</ns0:f>
        <ns0:v>0</ns0:v>
      </ns0:c>
      <ns0:c r="P345" s="0">
        <ns0:f>IF(AND(Bookings!G345="Approved",E345="Yes",L345=0,$B$6=0),H345,0)</ns0:f>
        <ns0:v>0</ns0:v>
      </ns0:c>
      <ns0:c r="Q345" s="0">
        <ns0:f>IF(AND(Bookings!G345="Approved",E345="Yes",L345=0,$B$6=0),I345,0)</ns0:f>
        <ns0:v>0</ns0:v>
      </ns0:c>
      <ns0:c r="R345" s="0">
        <ns0:f>IF(AND(Bookings!G345="Pending",E345="Yes"),N345,0)</ns0:f>
        <ns0:v>0</ns0:v>
      </ns0:c>
      <ns0:c r="S345" s="0">
        <ns0:f>IF(AND(Bookings!G345="Approved",E345="No"),N345,0)</ns0:f>
        <ns0:v>0</ns0:v>
      </ns0:c>
      <ns0:c r="T345" s="0">
        <ns0:f>IFERROR(MATCH(D345,Settings!$G$7:$G$11,0),0)</ns0:f>
        <ns0:v>0</ns0:v>
      </ns0:c>
      <ns0:c r="U345" s="0">
        <ns0:f>IF(N345&gt;0,T345+IF(Bookings!G345="Pending",10,0),0)</ns0:f>
        <ns0:v>0</ns0:v>
      </ns0:c>
      <ns0:c r="V345" s="0">
        <ns0:f>U345</ns0:f>
        <ns0:v>0</ns0:v>
      </ns0:c>
      <ns0:c r="W345" s="0" t="str">
        <ns0:f>IF(C345=0,"",INDEX($AP$11:$AP$60,C345))</ns0:f>
        <ns0:v/>
      </ns0:c>
    </ns0:row>
    <ns0:row r="346">
      <ns0:c r="A346" s="0">
        <ns0:f>IF(COUNTA(Bookings!A346:G346,Bookings!I346)=0,0,1)</ns0:f>
        <ns0:v>0</ns0:v>
      </ns0:c>
      <ns0:c r="B346" s="0" t="str">
        <ns0:f>IFERROR(TRIM(MID(Bookings!A346,FIND(" · ",Bookings!A346)+3,99)),"")</ns0:f>
        <ns0:v/>
      </ns0:c>
      <ns0:c r="C346" s="0">
        <ns0:f>IF(OR(B346="",LEN(B346)&gt;24,ISNUMBER(FIND(" ",B346)),ISNUMBER(FIND("*",B346)),ISNUMBER(FIND("?",B346)),ISNUMBER(FIND("~",B346))),0,IFERROR(MATCH(B346,Team!$A$11:$A$60,0),0))</ns0:f>
        <ns0:v>0</ns0:v>
      </ns0:c>
      <ns0:c r="D346" s="0" t="str">
        <ns0:f>IFERROR(IF(MID(Bookings!F346,LEN(Bookings!F346)-3,3)=" · ",RIGHT(Bookings!F346,1),""),"")</ns0:f>
        <ns0:v/>
      </ns0:c>
      <ns0:c r="E346" s="0" t="str">
        <ns0:f>IFERROR(INDEX(Settings!$H$7:$H$11,MATCH(D346,Settings!$G$7:$G$11,0)),"")</ns0:f>
        <ns0:v/>
      </ns0:c>
      <ns0:c r="F346" s="0" t="str">
        <ns0:f>IF(A346=0,"",IFERROR(IF(OR(B346="",C346=0),"CHECK employee selection",IF(INDEX(Team!$O$11:$O$60,C346)&lt;&gt;"OK","CHECK employee setup",IF(OR('_Dates'!J346=0,'_Dates'!T346=0),"CHECK date: use DD.MM.YYYY",IF('_Dates'!T346&lt;'_Dates'!J346,"CHECK end before start",IF(AND($B$6=0,OR('_Dates'!J346&lt;Settings!$B$7,'_Dates'!T346&gt;Settings!$B$8)),"CHECK split across leave years",IF(OR(NOT(OR('_Dates'!U346="Full day",'_Dates'!U346="AM",'_Dates'!U346="PM")),NOT(OR('_Dates'!V346="Full day",'_Dates'!V346="AM",'_Dates'!V346="PM"))),"CHECK Full day / AM / PM",IF(AND('_Dates'!J346='_Dates'!T346,'_Dates'!U346&lt;&gt;"Full day",'_Dates'!V346&lt;&gt;"Full day",'_Dates'!U346&lt;&gt;'_Dates'!V346),"CHECK same-day portions disagree",IF(AND($B$6=0,OR(AND('_Dates'!U346&lt;&gt;"Full day",'_Dates'!AA346=0),AND('_Dates'!V346&lt;&gt;"Full day",'_Dates'!AB346=0))),"CHECK half-day on non-working date",IF(COUNTIF(Settings!$G$7:$G$11,D346)&lt;&gt;1,"CHECK leave type",IF(AND(Bookings!G346&lt;&gt;"Approved",Bookings!G346&lt;&gt;"Pending",Bookings!G346&lt;&gt;"Cancelled"),"CHECK status","OK")))))))))),"CHECK input"))</ns0:f>
        <ns0:v/>
      </ns0:c>
      <ns0:c r="G346" s="0">
        <ns0:f>IF(OR(F346&lt;&gt;"OK",$B$6&gt;0),0,0.5*(IF(('_Dates'!X346)&lt;('_Dates'!W346),0,INT((('_Dates'!X346)-('_Dates'!W346)+1)/7)*LEN(SUBSTITUTE(W346,"O",""))+LEN(SUBSTITUTE(MID(W346&amp;W346,WEEKDAY(('_Dates'!W346),2),MOD((('_Dates'!X346)-('_Dates'!W346)+1),7)),"O",""))-COUNTIFS(INDEX(AllClosureRows,C346,0),"&gt;="&amp;('_Dates'!W346),INDEX(AllClosureRows,C346,0),"&lt;="&amp;('_Dates'!X346)))+IF(('_Dates'!Z346)&lt;('_Dates'!Y346),0,INT((('_Dates'!Z346)-('_Dates'!Y346)+1)/7)*LEN(SUBSTITUTE(W346,"O",""))+LEN(SUBSTITUTE(MID(W346&amp;W346,WEEKDAY(('_Dates'!Y346),2),MOD((('_Dates'!Z346)-('_Dates'!Y346)+1),7)),"O",""))-COUNTIFS(INDEX(AllClosureRows,C346,0),"&gt;="&amp;('_Dates'!Y346),INDEX(AllClosureRows,C346,0),"&lt;="&amp;('_Dates'!Z346)))))</ns0:f>
        <ns0:v>0</ns0:v>
      </ns0:c>
      <ns0:c r="H346" s="0">
        <ns0:f>IF(OR(F346&lt;&gt;"OK",$B$6&gt;0),0,0.5*(IF((MIN('_Dates'!X346,Settings!$B$9))&lt;('_Dates'!W346),0,INT(((MIN('_Dates'!X346,Settings!$B$9))-('_Dates'!W346)+1)/7)*LEN(SUBSTITUTE(W346,"O",""))+LEN(SUBSTITUTE(MID(W346&amp;W346,WEEKDAY(('_Dates'!W346),2),MOD(((MIN('_Dates'!X346,Settings!$B$9))-('_Dates'!W346)+1),7)),"O",""))-COUNTIFS(INDEX(AllClosureRows,C346,0),"&gt;="&amp;('_Dates'!W346),INDEX(AllClosureRows,C346,0),"&lt;="&amp;(MIN('_Dates'!X346,Settings!$B$9))))+IF((MIN('_Dates'!Z346,Settings!$B$9))&lt;('_Dates'!Y346),0,INT(((MIN('_Dates'!Z346,Settings!$B$9))-('_Dates'!Y346)+1)/7)*LEN(SUBSTITUTE(W346,"O",""))+LEN(SUBSTITUTE(MID(W346&amp;W346,WEEKDAY(('_Dates'!Y346),2),MOD(((MIN('_Dates'!Z346,Settings!$B$9))-('_Dates'!Y346)+1),7)),"O",""))-COUNTIFS(INDEX(AllClosureRows,C346,0),"&gt;="&amp;('_Dates'!Y346),INDEX(AllClosureRows,C346,0),"&lt;="&amp;(MIN('_Dates'!Z346,Settings!$B$9))))))</ns0:f>
        <ns0:v>0</ns0:v>
      </ns0:c>
      <ns0:c r="I346" s="0">
        <ns0:f>MAX(0,G346-H346)</ns0:f>
        <ns0:v>0</ns0:v>
      </ns0:c>
      <ns0:c r="J346" s="0">
        <ns0:f>IF(OR(A346=0,F346&lt;&gt;"OK",Bookings!G346="Cancelled",$B$6&gt;0),0,IF('_Dates'!AC346=1,MAX(0,COUNTIFS(rngEngine_B,B346,rngAMStart,"&lt;="&amp;'_Dates'!X346,rngAMEnd,"&gt;="&amp;'_Dates'!W346,rngAMActive,1,rngEngine_F,"OK",rngBookings_F,"&lt;&gt;Cancelled")-1),0)+IF('_Dates'!AD346=1,MAX(0,COUNTIFS(rngEngine_B,B346,rngPMStart,"&lt;="&amp;'_Dates'!Z346,rngPMEnd,"&gt;="&amp;'_Dates'!Y346,rngPMActive,1,rngEngine_F,"OK",rngBookings_F,"&lt;&gt;Cancelled")-1),0))</ns0:f>
        <ns0:v>0</ns0:v>
      </ns0:c>
      <ns0:c r="K346" s="0" t="str">
        <ns0:f>IF(A346=0,"",IF(F346&lt;&gt;"OK",F346,IF(J346&gt;0,"CHECK overlapping entry",IF(AND($B$6=0,G346&lt;=0,Bookings!G346&lt;&gt;"Cancelled"),"CHECK no working days",IF(Bookings!G346="Cancelled","Cancelled","OK")))))</ns0:f>
        <ns0:v/>
      </ns0:c>
      <ns0:c r="L346" s="0">
        <ns0:f>IF(LEFT(K346,5)="CHECK",1,0)</ns0:f>
        <ns0:v>0</ns0:v>
      </ns0:c>
      <ns0:c r="M346" s="0">
        <ns0:f>IF(AND(L346=1,OR(C346=0,IFERROR(INDEX($X$11:$X$60,C346),0)=0)),1,0)</ns0:f>
        <ns0:v>0</ns0:v>
      </ns0:c>
      <ns0:c r="N346" s="0">
        <ns0:f>IF(OR(A346=0,L346&gt;0,$B$6&gt;0,Bookings!G346="Cancelled"),0,G346)</ns0:f>
        <ns0:v>0</ns0:v>
      </ns0:c>
      <ns0:c r="O346" s="0">
        <ns0:f>IF(AND(Bookings!G346="Approved",E346="Yes"),N346,0)</ns0:f>
        <ns0:v>0</ns0:v>
      </ns0:c>
      <ns0:c r="P346" s="0">
        <ns0:f>IF(AND(Bookings!G346="Approved",E346="Yes",L346=0,$B$6=0),H346,0)</ns0:f>
        <ns0:v>0</ns0:v>
      </ns0:c>
      <ns0:c r="Q346" s="0">
        <ns0:f>IF(AND(Bookings!G346="Approved",E346="Yes",L346=0,$B$6=0),I346,0)</ns0:f>
        <ns0:v>0</ns0:v>
      </ns0:c>
      <ns0:c r="R346" s="0">
        <ns0:f>IF(AND(Bookings!G346="Pending",E346="Yes"),N346,0)</ns0:f>
        <ns0:v>0</ns0:v>
      </ns0:c>
      <ns0:c r="S346" s="0">
        <ns0:f>IF(AND(Bookings!G346="Approved",E346="No"),N346,0)</ns0:f>
        <ns0:v>0</ns0:v>
      </ns0:c>
      <ns0:c r="T346" s="0">
        <ns0:f>IFERROR(MATCH(D346,Settings!$G$7:$G$11,0),0)</ns0:f>
        <ns0:v>0</ns0:v>
      </ns0:c>
      <ns0:c r="U346" s="0">
        <ns0:f>IF(N346&gt;0,T346+IF(Bookings!G346="Pending",10,0),0)</ns0:f>
        <ns0:v>0</ns0:v>
      </ns0:c>
      <ns0:c r="V346" s="0">
        <ns0:f>U346</ns0:f>
        <ns0:v>0</ns0:v>
      </ns0:c>
      <ns0:c r="W346" s="0" t="str">
        <ns0:f>IF(C346=0,"",INDEX($AP$11:$AP$60,C346))</ns0:f>
        <ns0:v/>
      </ns0:c>
    </ns0:row>
    <ns0:row r="347">
      <ns0:c r="A347" s="0">
        <ns0:f>IF(COUNTA(Bookings!A347:G347,Bookings!I347)=0,0,1)</ns0:f>
        <ns0:v>0</ns0:v>
      </ns0:c>
      <ns0:c r="B347" s="0" t="str">
        <ns0:f>IFERROR(TRIM(MID(Bookings!A347,FIND(" · ",Bookings!A347)+3,99)),"")</ns0:f>
        <ns0:v/>
      </ns0:c>
      <ns0:c r="C347" s="0">
        <ns0:f>IF(OR(B347="",LEN(B347)&gt;24,ISNUMBER(FIND(" ",B347)),ISNUMBER(FIND("*",B347)),ISNUMBER(FIND("?",B347)),ISNUMBER(FIND("~",B347))),0,IFERROR(MATCH(B347,Team!$A$11:$A$60,0),0))</ns0:f>
        <ns0:v>0</ns0:v>
      </ns0:c>
      <ns0:c r="D347" s="0" t="str">
        <ns0:f>IFERROR(IF(MID(Bookings!F347,LEN(Bookings!F347)-3,3)=" · ",RIGHT(Bookings!F347,1),""),"")</ns0:f>
        <ns0:v/>
      </ns0:c>
      <ns0:c r="E347" s="0" t="str">
        <ns0:f>IFERROR(INDEX(Settings!$H$7:$H$11,MATCH(D347,Settings!$G$7:$G$11,0)),"")</ns0:f>
        <ns0:v/>
      </ns0:c>
      <ns0:c r="F347" s="0" t="str">
        <ns0:f>IF(A347=0,"",IFERROR(IF(OR(B347="",C347=0),"CHECK employee selection",IF(INDEX(Team!$O$11:$O$60,C347)&lt;&gt;"OK","CHECK employee setup",IF(OR('_Dates'!J347=0,'_Dates'!T347=0),"CHECK date: use DD.MM.YYYY",IF('_Dates'!T347&lt;'_Dates'!J347,"CHECK end before start",IF(AND($B$6=0,OR('_Dates'!J347&lt;Settings!$B$7,'_Dates'!T347&gt;Settings!$B$8)),"CHECK split across leave years",IF(OR(NOT(OR('_Dates'!U347="Full day",'_Dates'!U347="AM",'_Dates'!U347="PM")),NOT(OR('_Dates'!V347="Full day",'_Dates'!V347="AM",'_Dates'!V347="PM"))),"CHECK Full day / AM / PM",IF(AND('_Dates'!J347='_Dates'!T347,'_Dates'!U347&lt;&gt;"Full day",'_Dates'!V347&lt;&gt;"Full day",'_Dates'!U347&lt;&gt;'_Dates'!V347),"CHECK same-day portions disagree",IF(AND($B$6=0,OR(AND('_Dates'!U347&lt;&gt;"Full day",'_Dates'!AA347=0),AND('_Dates'!V347&lt;&gt;"Full day",'_Dates'!AB347=0))),"CHECK half-day on non-working date",IF(COUNTIF(Settings!$G$7:$G$11,D347)&lt;&gt;1,"CHECK leave type",IF(AND(Bookings!G347&lt;&gt;"Approved",Bookings!G347&lt;&gt;"Pending",Bookings!G347&lt;&gt;"Cancelled"),"CHECK status","OK")))))))))),"CHECK input"))</ns0:f>
        <ns0:v/>
      </ns0:c>
      <ns0:c r="G347" s="0">
        <ns0:f>IF(OR(F347&lt;&gt;"OK",$B$6&gt;0),0,0.5*(IF(('_Dates'!X347)&lt;('_Dates'!W347),0,INT((('_Dates'!X347)-('_Dates'!W347)+1)/7)*LEN(SUBSTITUTE(W347,"O",""))+LEN(SUBSTITUTE(MID(W347&amp;W347,WEEKDAY(('_Dates'!W347),2),MOD((('_Dates'!X347)-('_Dates'!W347)+1),7)),"O",""))-COUNTIFS(INDEX(AllClosureRows,C347,0),"&gt;="&amp;('_Dates'!W347),INDEX(AllClosureRows,C347,0),"&lt;="&amp;('_Dates'!X347)))+IF(('_Dates'!Z347)&lt;('_Dates'!Y347),0,INT((('_Dates'!Z347)-('_Dates'!Y347)+1)/7)*LEN(SUBSTITUTE(W347,"O",""))+LEN(SUBSTITUTE(MID(W347&amp;W347,WEEKDAY(('_Dates'!Y347),2),MOD((('_Dates'!Z347)-('_Dates'!Y347)+1),7)),"O",""))-COUNTIFS(INDEX(AllClosureRows,C347,0),"&gt;="&amp;('_Dates'!Y347),INDEX(AllClosureRows,C347,0),"&lt;="&amp;('_Dates'!Z347)))))</ns0:f>
        <ns0:v>0</ns0:v>
      </ns0:c>
      <ns0:c r="H347" s="0">
        <ns0:f>IF(OR(F347&lt;&gt;"OK",$B$6&gt;0),0,0.5*(IF((MIN('_Dates'!X347,Settings!$B$9))&lt;('_Dates'!W347),0,INT(((MIN('_Dates'!X347,Settings!$B$9))-('_Dates'!W347)+1)/7)*LEN(SUBSTITUTE(W347,"O",""))+LEN(SUBSTITUTE(MID(W347&amp;W347,WEEKDAY(('_Dates'!W347),2),MOD(((MIN('_Dates'!X347,Settings!$B$9))-('_Dates'!W347)+1),7)),"O",""))-COUNTIFS(INDEX(AllClosureRows,C347,0),"&gt;="&amp;('_Dates'!W347),INDEX(AllClosureRows,C347,0),"&lt;="&amp;(MIN('_Dates'!X347,Settings!$B$9))))+IF((MIN('_Dates'!Z347,Settings!$B$9))&lt;('_Dates'!Y347),0,INT(((MIN('_Dates'!Z347,Settings!$B$9))-('_Dates'!Y347)+1)/7)*LEN(SUBSTITUTE(W347,"O",""))+LEN(SUBSTITUTE(MID(W347&amp;W347,WEEKDAY(('_Dates'!Y347),2),MOD(((MIN('_Dates'!Z347,Settings!$B$9))-('_Dates'!Y347)+1),7)),"O",""))-COUNTIFS(INDEX(AllClosureRows,C347,0),"&gt;="&amp;('_Dates'!Y347),INDEX(AllClosureRows,C347,0),"&lt;="&amp;(MIN('_Dates'!Z347,Settings!$B$9))))))</ns0:f>
        <ns0:v>0</ns0:v>
      </ns0:c>
      <ns0:c r="I347" s="0">
        <ns0:f>MAX(0,G347-H347)</ns0:f>
        <ns0:v>0</ns0:v>
      </ns0:c>
      <ns0:c r="J347" s="0">
        <ns0:f>IF(OR(A347=0,F347&lt;&gt;"OK",Bookings!G347="Cancelled",$B$6&gt;0),0,IF('_Dates'!AC347=1,MAX(0,COUNTIFS(rngEngine_B,B347,rngAMStart,"&lt;="&amp;'_Dates'!X347,rngAMEnd,"&gt;="&amp;'_Dates'!W347,rngAMActive,1,rngEngine_F,"OK",rngBookings_F,"&lt;&gt;Cancelled")-1),0)+IF('_Dates'!AD347=1,MAX(0,COUNTIFS(rngEngine_B,B347,rngPMStart,"&lt;="&amp;'_Dates'!Z347,rngPMEnd,"&gt;="&amp;'_Dates'!Y347,rngPMActive,1,rngEngine_F,"OK",rngBookings_F,"&lt;&gt;Cancelled")-1),0))</ns0:f>
        <ns0:v>0</ns0:v>
      </ns0:c>
      <ns0:c r="K347" s="0" t="str">
        <ns0:f>IF(A347=0,"",IF(F347&lt;&gt;"OK",F347,IF(J347&gt;0,"CHECK overlapping entry",IF(AND($B$6=0,G347&lt;=0,Bookings!G347&lt;&gt;"Cancelled"),"CHECK no working days",IF(Bookings!G347="Cancelled","Cancelled","OK")))))</ns0:f>
        <ns0:v/>
      </ns0:c>
      <ns0:c r="L347" s="0">
        <ns0:f>IF(LEFT(K347,5)="CHECK",1,0)</ns0:f>
        <ns0:v>0</ns0:v>
      </ns0:c>
      <ns0:c r="M347" s="0">
        <ns0:f>IF(AND(L347=1,OR(C347=0,IFERROR(INDEX($X$11:$X$60,C347),0)=0)),1,0)</ns0:f>
        <ns0:v>0</ns0:v>
      </ns0:c>
      <ns0:c r="N347" s="0">
        <ns0:f>IF(OR(A347=0,L347&gt;0,$B$6&gt;0,Bookings!G347="Cancelled"),0,G347)</ns0:f>
        <ns0:v>0</ns0:v>
      </ns0:c>
      <ns0:c r="O347" s="0">
        <ns0:f>IF(AND(Bookings!G347="Approved",E347="Yes"),N347,0)</ns0:f>
        <ns0:v>0</ns0:v>
      </ns0:c>
      <ns0:c r="P347" s="0">
        <ns0:f>IF(AND(Bookings!G347="Approved",E347="Yes",L347=0,$B$6=0),H347,0)</ns0:f>
        <ns0:v>0</ns0:v>
      </ns0:c>
      <ns0:c r="Q347" s="0">
        <ns0:f>IF(AND(Bookings!G347="Approved",E347="Yes",L347=0,$B$6=0),I347,0)</ns0:f>
        <ns0:v>0</ns0:v>
      </ns0:c>
      <ns0:c r="R347" s="0">
        <ns0:f>IF(AND(Bookings!G347="Pending",E347="Yes"),N347,0)</ns0:f>
        <ns0:v>0</ns0:v>
      </ns0:c>
      <ns0:c r="S347" s="0">
        <ns0:f>IF(AND(Bookings!G347="Approved",E347="No"),N347,0)</ns0:f>
        <ns0:v>0</ns0:v>
      </ns0:c>
      <ns0:c r="T347" s="0">
        <ns0:f>IFERROR(MATCH(D347,Settings!$G$7:$G$11,0),0)</ns0:f>
        <ns0:v>0</ns0:v>
      </ns0:c>
      <ns0:c r="U347" s="0">
        <ns0:f>IF(N347&gt;0,T347+IF(Bookings!G347="Pending",10,0),0)</ns0:f>
        <ns0:v>0</ns0:v>
      </ns0:c>
      <ns0:c r="V347" s="0">
        <ns0:f>U347</ns0:f>
        <ns0:v>0</ns0:v>
      </ns0:c>
      <ns0:c r="W347" s="0" t="str">
        <ns0:f>IF(C347=0,"",INDEX($AP$11:$AP$60,C347))</ns0:f>
        <ns0:v/>
      </ns0:c>
    </ns0:row>
    <ns0:row r="348">
      <ns0:c r="A348" s="0">
        <ns0:f>IF(COUNTA(Bookings!A348:G348,Bookings!I348)=0,0,1)</ns0:f>
        <ns0:v>0</ns0:v>
      </ns0:c>
      <ns0:c r="B348" s="0" t="str">
        <ns0:f>IFERROR(TRIM(MID(Bookings!A348,FIND(" · ",Bookings!A348)+3,99)),"")</ns0:f>
        <ns0:v/>
      </ns0:c>
      <ns0:c r="C348" s="0">
        <ns0:f>IF(OR(B348="",LEN(B348)&gt;24,ISNUMBER(FIND(" ",B348)),ISNUMBER(FIND("*",B348)),ISNUMBER(FIND("?",B348)),ISNUMBER(FIND("~",B348))),0,IFERROR(MATCH(B348,Team!$A$11:$A$60,0),0))</ns0:f>
        <ns0:v>0</ns0:v>
      </ns0:c>
      <ns0:c r="D348" s="0" t="str">
        <ns0:f>IFERROR(IF(MID(Bookings!F348,LEN(Bookings!F348)-3,3)=" · ",RIGHT(Bookings!F348,1),""),"")</ns0:f>
        <ns0:v/>
      </ns0:c>
      <ns0:c r="E348" s="0" t="str">
        <ns0:f>IFERROR(INDEX(Settings!$H$7:$H$11,MATCH(D348,Settings!$G$7:$G$11,0)),"")</ns0:f>
        <ns0:v/>
      </ns0:c>
      <ns0:c r="F348" s="0" t="str">
        <ns0:f>IF(A348=0,"",IFERROR(IF(OR(B348="",C348=0),"CHECK employee selection",IF(INDEX(Team!$O$11:$O$60,C348)&lt;&gt;"OK","CHECK employee setup",IF(OR('_Dates'!J348=0,'_Dates'!T348=0),"CHECK date: use DD.MM.YYYY",IF('_Dates'!T348&lt;'_Dates'!J348,"CHECK end before start",IF(AND($B$6=0,OR('_Dates'!J348&lt;Settings!$B$7,'_Dates'!T348&gt;Settings!$B$8)),"CHECK split across leave years",IF(OR(NOT(OR('_Dates'!U348="Full day",'_Dates'!U348="AM",'_Dates'!U348="PM")),NOT(OR('_Dates'!V348="Full day",'_Dates'!V348="AM",'_Dates'!V348="PM"))),"CHECK Full day / AM / PM",IF(AND('_Dates'!J348='_Dates'!T348,'_Dates'!U348&lt;&gt;"Full day",'_Dates'!V348&lt;&gt;"Full day",'_Dates'!U348&lt;&gt;'_Dates'!V348),"CHECK same-day portions disagree",IF(AND($B$6=0,OR(AND('_Dates'!U348&lt;&gt;"Full day",'_Dates'!AA348=0),AND('_Dates'!V348&lt;&gt;"Full day",'_Dates'!AB348=0))),"CHECK half-day on non-working date",IF(COUNTIF(Settings!$G$7:$G$11,D348)&lt;&gt;1,"CHECK leave type",IF(AND(Bookings!G348&lt;&gt;"Approved",Bookings!G348&lt;&gt;"Pending",Bookings!G348&lt;&gt;"Cancelled"),"CHECK status","OK")))))))))),"CHECK input"))</ns0:f>
        <ns0:v/>
      </ns0:c>
      <ns0:c r="G348" s="0">
        <ns0:f>IF(OR(F348&lt;&gt;"OK",$B$6&gt;0),0,0.5*(IF(('_Dates'!X348)&lt;('_Dates'!W348),0,INT((('_Dates'!X348)-('_Dates'!W348)+1)/7)*LEN(SUBSTITUTE(W348,"O",""))+LEN(SUBSTITUTE(MID(W348&amp;W348,WEEKDAY(('_Dates'!W348),2),MOD((('_Dates'!X348)-('_Dates'!W348)+1),7)),"O",""))-COUNTIFS(INDEX(AllClosureRows,C348,0),"&gt;="&amp;('_Dates'!W348),INDEX(AllClosureRows,C348,0),"&lt;="&amp;('_Dates'!X348)))+IF(('_Dates'!Z348)&lt;('_Dates'!Y348),0,INT((('_Dates'!Z348)-('_Dates'!Y348)+1)/7)*LEN(SUBSTITUTE(W348,"O",""))+LEN(SUBSTITUTE(MID(W348&amp;W348,WEEKDAY(('_Dates'!Y348),2),MOD((('_Dates'!Z348)-('_Dates'!Y348)+1),7)),"O",""))-COUNTIFS(INDEX(AllClosureRows,C348,0),"&gt;="&amp;('_Dates'!Y348),INDEX(AllClosureRows,C348,0),"&lt;="&amp;('_Dates'!Z348)))))</ns0:f>
        <ns0:v>0</ns0:v>
      </ns0:c>
      <ns0:c r="H348" s="0">
        <ns0:f>IF(OR(F348&lt;&gt;"OK",$B$6&gt;0),0,0.5*(IF((MIN('_Dates'!X348,Settings!$B$9))&lt;('_Dates'!W348),0,INT(((MIN('_Dates'!X348,Settings!$B$9))-('_Dates'!W348)+1)/7)*LEN(SUBSTITUTE(W348,"O",""))+LEN(SUBSTITUTE(MID(W348&amp;W348,WEEKDAY(('_Dates'!W348),2),MOD(((MIN('_Dates'!X348,Settings!$B$9))-('_Dates'!W348)+1),7)),"O",""))-COUNTIFS(INDEX(AllClosureRows,C348,0),"&gt;="&amp;('_Dates'!W348),INDEX(AllClosureRows,C348,0),"&lt;="&amp;(MIN('_Dates'!X348,Settings!$B$9))))+IF((MIN('_Dates'!Z348,Settings!$B$9))&lt;('_Dates'!Y348),0,INT(((MIN('_Dates'!Z348,Settings!$B$9))-('_Dates'!Y348)+1)/7)*LEN(SUBSTITUTE(W348,"O",""))+LEN(SUBSTITUTE(MID(W348&amp;W348,WEEKDAY(('_Dates'!Y348),2),MOD(((MIN('_Dates'!Z348,Settings!$B$9))-('_Dates'!Y348)+1),7)),"O",""))-COUNTIFS(INDEX(AllClosureRows,C348,0),"&gt;="&amp;('_Dates'!Y348),INDEX(AllClosureRows,C348,0),"&lt;="&amp;(MIN('_Dates'!Z348,Settings!$B$9))))))</ns0:f>
        <ns0:v>0</ns0:v>
      </ns0:c>
      <ns0:c r="I348" s="0">
        <ns0:f>MAX(0,G348-H348)</ns0:f>
        <ns0:v>0</ns0:v>
      </ns0:c>
      <ns0:c r="J348" s="0">
        <ns0:f>IF(OR(A348=0,F348&lt;&gt;"OK",Bookings!G348="Cancelled",$B$6&gt;0),0,IF('_Dates'!AC348=1,MAX(0,COUNTIFS(rngEngine_B,B348,rngAMStart,"&lt;="&amp;'_Dates'!X348,rngAMEnd,"&gt;="&amp;'_Dates'!W348,rngAMActive,1,rngEngine_F,"OK",rngBookings_F,"&lt;&gt;Cancelled")-1),0)+IF('_Dates'!AD348=1,MAX(0,COUNTIFS(rngEngine_B,B348,rngPMStart,"&lt;="&amp;'_Dates'!Z348,rngPMEnd,"&gt;="&amp;'_Dates'!Y348,rngPMActive,1,rngEngine_F,"OK",rngBookings_F,"&lt;&gt;Cancelled")-1),0))</ns0:f>
        <ns0:v>0</ns0:v>
      </ns0:c>
      <ns0:c r="K348" s="0" t="str">
        <ns0:f>IF(A348=0,"",IF(F348&lt;&gt;"OK",F348,IF(J348&gt;0,"CHECK overlapping entry",IF(AND($B$6=0,G348&lt;=0,Bookings!G348&lt;&gt;"Cancelled"),"CHECK no working days",IF(Bookings!G348="Cancelled","Cancelled","OK")))))</ns0:f>
        <ns0:v/>
      </ns0:c>
      <ns0:c r="L348" s="0">
        <ns0:f>IF(LEFT(K348,5)="CHECK",1,0)</ns0:f>
        <ns0:v>0</ns0:v>
      </ns0:c>
      <ns0:c r="M348" s="0">
        <ns0:f>IF(AND(L348=1,OR(C348=0,IFERROR(INDEX($X$11:$X$60,C348),0)=0)),1,0)</ns0:f>
        <ns0:v>0</ns0:v>
      </ns0:c>
      <ns0:c r="N348" s="0">
        <ns0:f>IF(OR(A348=0,L348&gt;0,$B$6&gt;0,Bookings!G348="Cancelled"),0,G348)</ns0:f>
        <ns0:v>0</ns0:v>
      </ns0:c>
      <ns0:c r="O348" s="0">
        <ns0:f>IF(AND(Bookings!G348="Approved",E348="Yes"),N348,0)</ns0:f>
        <ns0:v>0</ns0:v>
      </ns0:c>
      <ns0:c r="P348" s="0">
        <ns0:f>IF(AND(Bookings!G348="Approved",E348="Yes",L348=0,$B$6=0),H348,0)</ns0:f>
        <ns0:v>0</ns0:v>
      </ns0:c>
      <ns0:c r="Q348" s="0">
        <ns0:f>IF(AND(Bookings!G348="Approved",E348="Yes",L348=0,$B$6=0),I348,0)</ns0:f>
        <ns0:v>0</ns0:v>
      </ns0:c>
      <ns0:c r="R348" s="0">
        <ns0:f>IF(AND(Bookings!G348="Pending",E348="Yes"),N348,0)</ns0:f>
        <ns0:v>0</ns0:v>
      </ns0:c>
      <ns0:c r="S348" s="0">
        <ns0:f>IF(AND(Bookings!G348="Approved",E348="No"),N348,0)</ns0:f>
        <ns0:v>0</ns0:v>
      </ns0:c>
      <ns0:c r="T348" s="0">
        <ns0:f>IFERROR(MATCH(D348,Settings!$G$7:$G$11,0),0)</ns0:f>
        <ns0:v>0</ns0:v>
      </ns0:c>
      <ns0:c r="U348" s="0">
        <ns0:f>IF(N348&gt;0,T348+IF(Bookings!G348="Pending",10,0),0)</ns0:f>
        <ns0:v>0</ns0:v>
      </ns0:c>
      <ns0:c r="V348" s="0">
        <ns0:f>U348</ns0:f>
        <ns0:v>0</ns0:v>
      </ns0:c>
      <ns0:c r="W348" s="0" t="str">
        <ns0:f>IF(C348=0,"",INDEX($AP$11:$AP$60,C348))</ns0:f>
        <ns0:v/>
      </ns0:c>
    </ns0:row>
    <ns0:row r="349">
      <ns0:c r="A349" s="0">
        <ns0:f>IF(COUNTA(Bookings!A349:G349,Bookings!I349)=0,0,1)</ns0:f>
        <ns0:v>0</ns0:v>
      </ns0:c>
      <ns0:c r="B349" s="0" t="str">
        <ns0:f>IFERROR(TRIM(MID(Bookings!A349,FIND(" · ",Bookings!A349)+3,99)),"")</ns0:f>
        <ns0:v/>
      </ns0:c>
      <ns0:c r="C349" s="0">
        <ns0:f>IF(OR(B349="",LEN(B349)&gt;24,ISNUMBER(FIND(" ",B349)),ISNUMBER(FIND("*",B349)),ISNUMBER(FIND("?",B349)),ISNUMBER(FIND("~",B349))),0,IFERROR(MATCH(B349,Team!$A$11:$A$60,0),0))</ns0:f>
        <ns0:v>0</ns0:v>
      </ns0:c>
      <ns0:c r="D349" s="0" t="str">
        <ns0:f>IFERROR(IF(MID(Bookings!F349,LEN(Bookings!F349)-3,3)=" · ",RIGHT(Bookings!F349,1),""),"")</ns0:f>
        <ns0:v/>
      </ns0:c>
      <ns0:c r="E349" s="0" t="str">
        <ns0:f>IFERROR(INDEX(Settings!$H$7:$H$11,MATCH(D349,Settings!$G$7:$G$11,0)),"")</ns0:f>
        <ns0:v/>
      </ns0:c>
      <ns0:c r="F349" s="0" t="str">
        <ns0:f>IF(A349=0,"",IFERROR(IF(OR(B349="",C349=0),"CHECK employee selection",IF(INDEX(Team!$O$11:$O$60,C349)&lt;&gt;"OK","CHECK employee setup",IF(OR('_Dates'!J349=0,'_Dates'!T349=0),"CHECK date: use DD.MM.YYYY",IF('_Dates'!T349&lt;'_Dates'!J349,"CHECK end before start",IF(AND($B$6=0,OR('_Dates'!J349&lt;Settings!$B$7,'_Dates'!T349&gt;Settings!$B$8)),"CHECK split across leave years",IF(OR(NOT(OR('_Dates'!U349="Full day",'_Dates'!U349="AM",'_Dates'!U349="PM")),NOT(OR('_Dates'!V349="Full day",'_Dates'!V349="AM",'_Dates'!V349="PM"))),"CHECK Full day / AM / PM",IF(AND('_Dates'!J349='_Dates'!T349,'_Dates'!U349&lt;&gt;"Full day",'_Dates'!V349&lt;&gt;"Full day",'_Dates'!U349&lt;&gt;'_Dates'!V349),"CHECK same-day portions disagree",IF(AND($B$6=0,OR(AND('_Dates'!U349&lt;&gt;"Full day",'_Dates'!AA349=0),AND('_Dates'!V349&lt;&gt;"Full day",'_Dates'!AB349=0))),"CHECK half-day on non-working date",IF(COUNTIF(Settings!$G$7:$G$11,D349)&lt;&gt;1,"CHECK leave type",IF(AND(Bookings!G349&lt;&gt;"Approved",Bookings!G349&lt;&gt;"Pending",Bookings!G349&lt;&gt;"Cancelled"),"CHECK status","OK")))))))))),"CHECK input"))</ns0:f>
        <ns0:v/>
      </ns0:c>
      <ns0:c r="G349" s="0">
        <ns0:f>IF(OR(F349&lt;&gt;"OK",$B$6&gt;0),0,0.5*(IF(('_Dates'!X349)&lt;('_Dates'!W349),0,INT((('_Dates'!X349)-('_Dates'!W349)+1)/7)*LEN(SUBSTITUTE(W349,"O",""))+LEN(SUBSTITUTE(MID(W349&amp;W349,WEEKDAY(('_Dates'!W349),2),MOD((('_Dates'!X349)-('_Dates'!W349)+1),7)),"O",""))-COUNTIFS(INDEX(AllClosureRows,C349,0),"&gt;="&amp;('_Dates'!W349),INDEX(AllClosureRows,C349,0),"&lt;="&amp;('_Dates'!X349)))+IF(('_Dates'!Z349)&lt;('_Dates'!Y349),0,INT((('_Dates'!Z349)-('_Dates'!Y349)+1)/7)*LEN(SUBSTITUTE(W349,"O",""))+LEN(SUBSTITUTE(MID(W349&amp;W349,WEEKDAY(('_Dates'!Y349),2),MOD((('_Dates'!Z349)-('_Dates'!Y349)+1),7)),"O",""))-COUNTIFS(INDEX(AllClosureRows,C349,0),"&gt;="&amp;('_Dates'!Y349),INDEX(AllClosureRows,C349,0),"&lt;="&amp;('_Dates'!Z349)))))</ns0:f>
        <ns0:v>0</ns0:v>
      </ns0:c>
      <ns0:c r="H349" s="0">
        <ns0:f>IF(OR(F349&lt;&gt;"OK",$B$6&gt;0),0,0.5*(IF((MIN('_Dates'!X349,Settings!$B$9))&lt;('_Dates'!W349),0,INT(((MIN('_Dates'!X349,Settings!$B$9))-('_Dates'!W349)+1)/7)*LEN(SUBSTITUTE(W349,"O",""))+LEN(SUBSTITUTE(MID(W349&amp;W349,WEEKDAY(('_Dates'!W349),2),MOD(((MIN('_Dates'!X349,Settings!$B$9))-('_Dates'!W349)+1),7)),"O",""))-COUNTIFS(INDEX(AllClosureRows,C349,0),"&gt;="&amp;('_Dates'!W349),INDEX(AllClosureRows,C349,0),"&lt;="&amp;(MIN('_Dates'!X349,Settings!$B$9))))+IF((MIN('_Dates'!Z349,Settings!$B$9))&lt;('_Dates'!Y349),0,INT(((MIN('_Dates'!Z349,Settings!$B$9))-('_Dates'!Y349)+1)/7)*LEN(SUBSTITUTE(W349,"O",""))+LEN(SUBSTITUTE(MID(W349&amp;W349,WEEKDAY(('_Dates'!Y349),2),MOD(((MIN('_Dates'!Z349,Settings!$B$9))-('_Dates'!Y349)+1),7)),"O",""))-COUNTIFS(INDEX(AllClosureRows,C349,0),"&gt;="&amp;('_Dates'!Y349),INDEX(AllClosureRows,C349,0),"&lt;="&amp;(MIN('_Dates'!Z349,Settings!$B$9))))))</ns0:f>
        <ns0:v>0</ns0:v>
      </ns0:c>
      <ns0:c r="I349" s="0">
        <ns0:f>MAX(0,G349-H349)</ns0:f>
        <ns0:v>0</ns0:v>
      </ns0:c>
      <ns0:c r="J349" s="0">
        <ns0:f>IF(OR(A349=0,F349&lt;&gt;"OK",Bookings!G349="Cancelled",$B$6&gt;0),0,IF('_Dates'!AC349=1,MAX(0,COUNTIFS(rngEngine_B,B349,rngAMStart,"&lt;="&amp;'_Dates'!X349,rngAMEnd,"&gt;="&amp;'_Dates'!W349,rngAMActive,1,rngEngine_F,"OK",rngBookings_F,"&lt;&gt;Cancelled")-1),0)+IF('_Dates'!AD349=1,MAX(0,COUNTIFS(rngEngine_B,B349,rngPMStart,"&lt;="&amp;'_Dates'!Z349,rngPMEnd,"&gt;="&amp;'_Dates'!Y349,rngPMActive,1,rngEngine_F,"OK",rngBookings_F,"&lt;&gt;Cancelled")-1),0))</ns0:f>
        <ns0:v>0</ns0:v>
      </ns0:c>
      <ns0:c r="K349" s="0" t="str">
        <ns0:f>IF(A349=0,"",IF(F349&lt;&gt;"OK",F349,IF(J349&gt;0,"CHECK overlapping entry",IF(AND($B$6=0,G349&lt;=0,Bookings!G349&lt;&gt;"Cancelled"),"CHECK no working days",IF(Bookings!G349="Cancelled","Cancelled","OK")))))</ns0:f>
        <ns0:v/>
      </ns0:c>
      <ns0:c r="L349" s="0">
        <ns0:f>IF(LEFT(K349,5)="CHECK",1,0)</ns0:f>
        <ns0:v>0</ns0:v>
      </ns0:c>
      <ns0:c r="M349" s="0">
        <ns0:f>IF(AND(L349=1,OR(C349=0,IFERROR(INDEX($X$11:$X$60,C349),0)=0)),1,0)</ns0:f>
        <ns0:v>0</ns0:v>
      </ns0:c>
      <ns0:c r="N349" s="0">
        <ns0:f>IF(OR(A349=0,L349&gt;0,$B$6&gt;0,Bookings!G349="Cancelled"),0,G349)</ns0:f>
        <ns0:v>0</ns0:v>
      </ns0:c>
      <ns0:c r="O349" s="0">
        <ns0:f>IF(AND(Bookings!G349="Approved",E349="Yes"),N349,0)</ns0:f>
        <ns0:v>0</ns0:v>
      </ns0:c>
      <ns0:c r="P349" s="0">
        <ns0:f>IF(AND(Bookings!G349="Approved",E349="Yes",L349=0,$B$6=0),H349,0)</ns0:f>
        <ns0:v>0</ns0:v>
      </ns0:c>
      <ns0:c r="Q349" s="0">
        <ns0:f>IF(AND(Bookings!G349="Approved",E349="Yes",L349=0,$B$6=0),I349,0)</ns0:f>
        <ns0:v>0</ns0:v>
      </ns0:c>
      <ns0:c r="R349" s="0">
        <ns0:f>IF(AND(Bookings!G349="Pending",E349="Yes"),N349,0)</ns0:f>
        <ns0:v>0</ns0:v>
      </ns0:c>
      <ns0:c r="S349" s="0">
        <ns0:f>IF(AND(Bookings!G349="Approved",E349="No"),N349,0)</ns0:f>
        <ns0:v>0</ns0:v>
      </ns0:c>
      <ns0:c r="T349" s="0">
        <ns0:f>IFERROR(MATCH(D349,Settings!$G$7:$G$11,0),0)</ns0:f>
        <ns0:v>0</ns0:v>
      </ns0:c>
      <ns0:c r="U349" s="0">
        <ns0:f>IF(N349&gt;0,T349+IF(Bookings!G349="Pending",10,0),0)</ns0:f>
        <ns0:v>0</ns0:v>
      </ns0:c>
      <ns0:c r="V349" s="0">
        <ns0:f>U349</ns0:f>
        <ns0:v>0</ns0:v>
      </ns0:c>
      <ns0:c r="W349" s="0" t="str">
        <ns0:f>IF(C349=0,"",INDEX($AP$11:$AP$60,C349))</ns0:f>
        <ns0:v/>
      </ns0:c>
    </ns0:row>
    <ns0:row r="350">
      <ns0:c r="A350" s="0">
        <ns0:f>IF(COUNTA(Bookings!A350:G350,Bookings!I350)=0,0,1)</ns0:f>
        <ns0:v>0</ns0:v>
      </ns0:c>
      <ns0:c r="B350" s="0" t="str">
        <ns0:f>IFERROR(TRIM(MID(Bookings!A350,FIND(" · ",Bookings!A350)+3,99)),"")</ns0:f>
        <ns0:v/>
      </ns0:c>
      <ns0:c r="C350" s="0">
        <ns0:f>IF(OR(B350="",LEN(B350)&gt;24,ISNUMBER(FIND(" ",B350)),ISNUMBER(FIND("*",B350)),ISNUMBER(FIND("?",B350)),ISNUMBER(FIND("~",B350))),0,IFERROR(MATCH(B350,Team!$A$11:$A$60,0),0))</ns0:f>
        <ns0:v>0</ns0:v>
      </ns0:c>
      <ns0:c r="D350" s="0" t="str">
        <ns0:f>IFERROR(IF(MID(Bookings!F350,LEN(Bookings!F350)-3,3)=" · ",RIGHT(Bookings!F350,1),""),"")</ns0:f>
        <ns0:v/>
      </ns0:c>
      <ns0:c r="E350" s="0" t="str">
        <ns0:f>IFERROR(INDEX(Settings!$H$7:$H$11,MATCH(D350,Settings!$G$7:$G$11,0)),"")</ns0:f>
        <ns0:v/>
      </ns0:c>
      <ns0:c r="F350" s="0" t="str">
        <ns0:f>IF(A350=0,"",IFERROR(IF(OR(B350="",C350=0),"CHECK employee selection",IF(INDEX(Team!$O$11:$O$60,C350)&lt;&gt;"OK","CHECK employee setup",IF(OR('_Dates'!J350=0,'_Dates'!T350=0),"CHECK date: use DD.MM.YYYY",IF('_Dates'!T350&lt;'_Dates'!J350,"CHECK end before start",IF(AND($B$6=0,OR('_Dates'!J350&lt;Settings!$B$7,'_Dates'!T350&gt;Settings!$B$8)),"CHECK split across leave years",IF(OR(NOT(OR('_Dates'!U350="Full day",'_Dates'!U350="AM",'_Dates'!U350="PM")),NOT(OR('_Dates'!V350="Full day",'_Dates'!V350="AM",'_Dates'!V350="PM"))),"CHECK Full day / AM / PM",IF(AND('_Dates'!J350='_Dates'!T350,'_Dates'!U350&lt;&gt;"Full day",'_Dates'!V350&lt;&gt;"Full day",'_Dates'!U350&lt;&gt;'_Dates'!V350),"CHECK same-day portions disagree",IF(AND($B$6=0,OR(AND('_Dates'!U350&lt;&gt;"Full day",'_Dates'!AA350=0),AND('_Dates'!V350&lt;&gt;"Full day",'_Dates'!AB350=0))),"CHECK half-day on non-working date",IF(COUNTIF(Settings!$G$7:$G$11,D350)&lt;&gt;1,"CHECK leave type",IF(AND(Bookings!G350&lt;&gt;"Approved",Bookings!G350&lt;&gt;"Pending",Bookings!G350&lt;&gt;"Cancelled"),"CHECK status","OK")))))))))),"CHECK input"))</ns0:f>
        <ns0:v/>
      </ns0:c>
      <ns0:c r="G350" s="0">
        <ns0:f>IF(OR(F350&lt;&gt;"OK",$B$6&gt;0),0,0.5*(IF(('_Dates'!X350)&lt;('_Dates'!W350),0,INT((('_Dates'!X350)-('_Dates'!W350)+1)/7)*LEN(SUBSTITUTE(W350,"O",""))+LEN(SUBSTITUTE(MID(W350&amp;W350,WEEKDAY(('_Dates'!W350),2),MOD((('_Dates'!X350)-('_Dates'!W350)+1),7)),"O",""))-COUNTIFS(INDEX(AllClosureRows,C350,0),"&gt;="&amp;('_Dates'!W350),INDEX(AllClosureRows,C350,0),"&lt;="&amp;('_Dates'!X350)))+IF(('_Dates'!Z350)&lt;('_Dates'!Y350),0,INT((('_Dates'!Z350)-('_Dates'!Y350)+1)/7)*LEN(SUBSTITUTE(W350,"O",""))+LEN(SUBSTITUTE(MID(W350&amp;W350,WEEKDAY(('_Dates'!Y350),2),MOD((('_Dates'!Z350)-('_Dates'!Y350)+1),7)),"O",""))-COUNTIFS(INDEX(AllClosureRows,C350,0),"&gt;="&amp;('_Dates'!Y350),INDEX(AllClosureRows,C350,0),"&lt;="&amp;('_Dates'!Z350)))))</ns0:f>
        <ns0:v>0</ns0:v>
      </ns0:c>
      <ns0:c r="H350" s="0">
        <ns0:f>IF(OR(F350&lt;&gt;"OK",$B$6&gt;0),0,0.5*(IF((MIN('_Dates'!X350,Settings!$B$9))&lt;('_Dates'!W350),0,INT(((MIN('_Dates'!X350,Settings!$B$9))-('_Dates'!W350)+1)/7)*LEN(SUBSTITUTE(W350,"O",""))+LEN(SUBSTITUTE(MID(W350&amp;W350,WEEKDAY(('_Dates'!W350),2),MOD(((MIN('_Dates'!X350,Settings!$B$9))-('_Dates'!W350)+1),7)),"O",""))-COUNTIFS(INDEX(AllClosureRows,C350,0),"&gt;="&amp;('_Dates'!W350),INDEX(AllClosureRows,C350,0),"&lt;="&amp;(MIN('_Dates'!X350,Settings!$B$9))))+IF((MIN('_Dates'!Z350,Settings!$B$9))&lt;('_Dates'!Y350),0,INT(((MIN('_Dates'!Z350,Settings!$B$9))-('_Dates'!Y350)+1)/7)*LEN(SUBSTITUTE(W350,"O",""))+LEN(SUBSTITUTE(MID(W350&amp;W350,WEEKDAY(('_Dates'!Y350),2),MOD(((MIN('_Dates'!Z350,Settings!$B$9))-('_Dates'!Y350)+1),7)),"O",""))-COUNTIFS(INDEX(AllClosureRows,C350,0),"&gt;="&amp;('_Dates'!Y350),INDEX(AllClosureRows,C350,0),"&lt;="&amp;(MIN('_Dates'!Z350,Settings!$B$9))))))</ns0:f>
        <ns0:v>0</ns0:v>
      </ns0:c>
      <ns0:c r="I350" s="0">
        <ns0:f>MAX(0,G350-H350)</ns0:f>
        <ns0:v>0</ns0:v>
      </ns0:c>
      <ns0:c r="J350" s="0">
        <ns0:f>IF(OR(A350=0,F350&lt;&gt;"OK",Bookings!G350="Cancelled",$B$6&gt;0),0,IF('_Dates'!AC350=1,MAX(0,COUNTIFS(rngEngine_B,B350,rngAMStart,"&lt;="&amp;'_Dates'!X350,rngAMEnd,"&gt;="&amp;'_Dates'!W350,rngAMActive,1,rngEngine_F,"OK",rngBookings_F,"&lt;&gt;Cancelled")-1),0)+IF('_Dates'!AD350=1,MAX(0,COUNTIFS(rngEngine_B,B350,rngPMStart,"&lt;="&amp;'_Dates'!Z350,rngPMEnd,"&gt;="&amp;'_Dates'!Y350,rngPMActive,1,rngEngine_F,"OK",rngBookings_F,"&lt;&gt;Cancelled")-1),0))</ns0:f>
        <ns0:v>0</ns0:v>
      </ns0:c>
      <ns0:c r="K350" s="0" t="str">
        <ns0:f>IF(A350=0,"",IF(F350&lt;&gt;"OK",F350,IF(J350&gt;0,"CHECK overlapping entry",IF(AND($B$6=0,G350&lt;=0,Bookings!G350&lt;&gt;"Cancelled"),"CHECK no working days",IF(Bookings!G350="Cancelled","Cancelled","OK")))))</ns0:f>
        <ns0:v/>
      </ns0:c>
      <ns0:c r="L350" s="0">
        <ns0:f>IF(LEFT(K350,5)="CHECK",1,0)</ns0:f>
        <ns0:v>0</ns0:v>
      </ns0:c>
      <ns0:c r="M350" s="0">
        <ns0:f>IF(AND(L350=1,OR(C350=0,IFERROR(INDEX($X$11:$X$60,C350),0)=0)),1,0)</ns0:f>
        <ns0:v>0</ns0:v>
      </ns0:c>
      <ns0:c r="N350" s="0">
        <ns0:f>IF(OR(A350=0,L350&gt;0,$B$6&gt;0,Bookings!G350="Cancelled"),0,G350)</ns0:f>
        <ns0:v>0</ns0:v>
      </ns0:c>
      <ns0:c r="O350" s="0">
        <ns0:f>IF(AND(Bookings!G350="Approved",E350="Yes"),N350,0)</ns0:f>
        <ns0:v>0</ns0:v>
      </ns0:c>
      <ns0:c r="P350" s="0">
        <ns0:f>IF(AND(Bookings!G350="Approved",E350="Yes",L350=0,$B$6=0),H350,0)</ns0:f>
        <ns0:v>0</ns0:v>
      </ns0:c>
      <ns0:c r="Q350" s="0">
        <ns0:f>IF(AND(Bookings!G350="Approved",E350="Yes",L350=0,$B$6=0),I350,0)</ns0:f>
        <ns0:v>0</ns0:v>
      </ns0:c>
      <ns0:c r="R350" s="0">
        <ns0:f>IF(AND(Bookings!G350="Pending",E350="Yes"),N350,0)</ns0:f>
        <ns0:v>0</ns0:v>
      </ns0:c>
      <ns0:c r="S350" s="0">
        <ns0:f>IF(AND(Bookings!G350="Approved",E350="No"),N350,0)</ns0:f>
        <ns0:v>0</ns0:v>
      </ns0:c>
      <ns0:c r="T350" s="0">
        <ns0:f>IFERROR(MATCH(D350,Settings!$G$7:$G$11,0),0)</ns0:f>
        <ns0:v>0</ns0:v>
      </ns0:c>
      <ns0:c r="U350" s="0">
        <ns0:f>IF(N350&gt;0,T350+IF(Bookings!G350="Pending",10,0),0)</ns0:f>
        <ns0:v>0</ns0:v>
      </ns0:c>
      <ns0:c r="V350" s="0">
        <ns0:f>U350</ns0:f>
        <ns0:v>0</ns0:v>
      </ns0:c>
      <ns0:c r="W350" s="0" t="str">
        <ns0:f>IF(C350=0,"",INDEX($AP$11:$AP$60,C350))</ns0:f>
        <ns0:v/>
      </ns0:c>
    </ns0:row>
    <ns0:row r="351">
      <ns0:c r="A351" s="0">
        <ns0:f>IF(COUNTA(Bookings!A351:G351,Bookings!I351)=0,0,1)</ns0:f>
        <ns0:v>0</ns0:v>
      </ns0:c>
      <ns0:c r="B351" s="0" t="str">
        <ns0:f>IFERROR(TRIM(MID(Bookings!A351,FIND(" · ",Bookings!A351)+3,99)),"")</ns0:f>
        <ns0:v/>
      </ns0:c>
      <ns0:c r="C351" s="0">
        <ns0:f>IF(OR(B351="",LEN(B351)&gt;24,ISNUMBER(FIND(" ",B351)),ISNUMBER(FIND("*",B351)),ISNUMBER(FIND("?",B351)),ISNUMBER(FIND("~",B351))),0,IFERROR(MATCH(B351,Team!$A$11:$A$60,0),0))</ns0:f>
        <ns0:v>0</ns0:v>
      </ns0:c>
      <ns0:c r="D351" s="0" t="str">
        <ns0:f>IFERROR(IF(MID(Bookings!F351,LEN(Bookings!F351)-3,3)=" · ",RIGHT(Bookings!F351,1),""),"")</ns0:f>
        <ns0:v/>
      </ns0:c>
      <ns0:c r="E351" s="0" t="str">
        <ns0:f>IFERROR(INDEX(Settings!$H$7:$H$11,MATCH(D351,Settings!$G$7:$G$11,0)),"")</ns0:f>
        <ns0:v/>
      </ns0:c>
      <ns0:c r="F351" s="0" t="str">
        <ns0:f>IF(A351=0,"",IFERROR(IF(OR(B351="",C351=0),"CHECK employee selection",IF(INDEX(Team!$O$11:$O$60,C351)&lt;&gt;"OK","CHECK employee setup",IF(OR('_Dates'!J351=0,'_Dates'!T351=0),"CHECK date: use DD.MM.YYYY",IF('_Dates'!T351&lt;'_Dates'!J351,"CHECK end before start",IF(AND($B$6=0,OR('_Dates'!J351&lt;Settings!$B$7,'_Dates'!T351&gt;Settings!$B$8)),"CHECK split across leave years",IF(OR(NOT(OR('_Dates'!U351="Full day",'_Dates'!U351="AM",'_Dates'!U351="PM")),NOT(OR('_Dates'!V351="Full day",'_Dates'!V351="AM",'_Dates'!V351="PM"))),"CHECK Full day / AM / PM",IF(AND('_Dates'!J351='_Dates'!T351,'_Dates'!U351&lt;&gt;"Full day",'_Dates'!V351&lt;&gt;"Full day",'_Dates'!U351&lt;&gt;'_Dates'!V351),"CHECK same-day portions disagree",IF(AND($B$6=0,OR(AND('_Dates'!U351&lt;&gt;"Full day",'_Dates'!AA351=0),AND('_Dates'!V351&lt;&gt;"Full day",'_Dates'!AB351=0))),"CHECK half-day on non-working date",IF(COUNTIF(Settings!$G$7:$G$11,D351)&lt;&gt;1,"CHECK leave type",IF(AND(Bookings!G351&lt;&gt;"Approved",Bookings!G351&lt;&gt;"Pending",Bookings!G351&lt;&gt;"Cancelled"),"CHECK status","OK")))))))))),"CHECK input"))</ns0:f>
        <ns0:v/>
      </ns0:c>
      <ns0:c r="G351" s="0">
        <ns0:f>IF(OR(F351&lt;&gt;"OK",$B$6&gt;0),0,0.5*(IF(('_Dates'!X351)&lt;('_Dates'!W351),0,INT((('_Dates'!X351)-('_Dates'!W351)+1)/7)*LEN(SUBSTITUTE(W351,"O",""))+LEN(SUBSTITUTE(MID(W351&amp;W351,WEEKDAY(('_Dates'!W351),2),MOD((('_Dates'!X351)-('_Dates'!W351)+1),7)),"O",""))-COUNTIFS(INDEX(AllClosureRows,C351,0),"&gt;="&amp;('_Dates'!W351),INDEX(AllClosureRows,C351,0),"&lt;="&amp;('_Dates'!X351)))+IF(('_Dates'!Z351)&lt;('_Dates'!Y351),0,INT((('_Dates'!Z351)-('_Dates'!Y351)+1)/7)*LEN(SUBSTITUTE(W351,"O",""))+LEN(SUBSTITUTE(MID(W351&amp;W351,WEEKDAY(('_Dates'!Y351),2),MOD((('_Dates'!Z351)-('_Dates'!Y351)+1),7)),"O",""))-COUNTIFS(INDEX(AllClosureRows,C351,0),"&gt;="&amp;('_Dates'!Y351),INDEX(AllClosureRows,C351,0),"&lt;="&amp;('_Dates'!Z351)))))</ns0:f>
        <ns0:v>0</ns0:v>
      </ns0:c>
      <ns0:c r="H351" s="0">
        <ns0:f>IF(OR(F351&lt;&gt;"OK",$B$6&gt;0),0,0.5*(IF((MIN('_Dates'!X351,Settings!$B$9))&lt;('_Dates'!W351),0,INT(((MIN('_Dates'!X351,Settings!$B$9))-('_Dates'!W351)+1)/7)*LEN(SUBSTITUTE(W351,"O",""))+LEN(SUBSTITUTE(MID(W351&amp;W351,WEEKDAY(('_Dates'!W351),2),MOD(((MIN('_Dates'!X351,Settings!$B$9))-('_Dates'!W351)+1),7)),"O",""))-COUNTIFS(INDEX(AllClosureRows,C351,0),"&gt;="&amp;('_Dates'!W351),INDEX(AllClosureRows,C351,0),"&lt;="&amp;(MIN('_Dates'!X351,Settings!$B$9))))+IF((MIN('_Dates'!Z351,Settings!$B$9))&lt;('_Dates'!Y351),0,INT(((MIN('_Dates'!Z351,Settings!$B$9))-('_Dates'!Y351)+1)/7)*LEN(SUBSTITUTE(W351,"O",""))+LEN(SUBSTITUTE(MID(W351&amp;W351,WEEKDAY(('_Dates'!Y351),2),MOD(((MIN('_Dates'!Z351,Settings!$B$9))-('_Dates'!Y351)+1),7)),"O",""))-COUNTIFS(INDEX(AllClosureRows,C351,0),"&gt;="&amp;('_Dates'!Y351),INDEX(AllClosureRows,C351,0),"&lt;="&amp;(MIN('_Dates'!Z351,Settings!$B$9))))))</ns0:f>
        <ns0:v>0</ns0:v>
      </ns0:c>
      <ns0:c r="I351" s="0">
        <ns0:f>MAX(0,G351-H351)</ns0:f>
        <ns0:v>0</ns0:v>
      </ns0:c>
      <ns0:c r="J351" s="0">
        <ns0:f>IF(OR(A351=0,F351&lt;&gt;"OK",Bookings!G351="Cancelled",$B$6&gt;0),0,IF('_Dates'!AC351=1,MAX(0,COUNTIFS(rngEngine_B,B351,rngAMStart,"&lt;="&amp;'_Dates'!X351,rngAMEnd,"&gt;="&amp;'_Dates'!W351,rngAMActive,1,rngEngine_F,"OK",rngBookings_F,"&lt;&gt;Cancelled")-1),0)+IF('_Dates'!AD351=1,MAX(0,COUNTIFS(rngEngine_B,B351,rngPMStart,"&lt;="&amp;'_Dates'!Z351,rngPMEnd,"&gt;="&amp;'_Dates'!Y351,rngPMActive,1,rngEngine_F,"OK",rngBookings_F,"&lt;&gt;Cancelled")-1),0))</ns0:f>
        <ns0:v>0</ns0:v>
      </ns0:c>
      <ns0:c r="K351" s="0" t="str">
        <ns0:f>IF(A351=0,"",IF(F351&lt;&gt;"OK",F351,IF(J351&gt;0,"CHECK overlapping entry",IF(AND($B$6=0,G351&lt;=0,Bookings!G351&lt;&gt;"Cancelled"),"CHECK no working days",IF(Bookings!G351="Cancelled","Cancelled","OK")))))</ns0:f>
        <ns0:v/>
      </ns0:c>
      <ns0:c r="L351" s="0">
        <ns0:f>IF(LEFT(K351,5)="CHECK",1,0)</ns0:f>
        <ns0:v>0</ns0:v>
      </ns0:c>
      <ns0:c r="M351" s="0">
        <ns0:f>IF(AND(L351=1,OR(C351=0,IFERROR(INDEX($X$11:$X$60,C351),0)=0)),1,0)</ns0:f>
        <ns0:v>0</ns0:v>
      </ns0:c>
      <ns0:c r="N351" s="0">
        <ns0:f>IF(OR(A351=0,L351&gt;0,$B$6&gt;0,Bookings!G351="Cancelled"),0,G351)</ns0:f>
        <ns0:v>0</ns0:v>
      </ns0:c>
      <ns0:c r="O351" s="0">
        <ns0:f>IF(AND(Bookings!G351="Approved",E351="Yes"),N351,0)</ns0:f>
        <ns0:v>0</ns0:v>
      </ns0:c>
      <ns0:c r="P351" s="0">
        <ns0:f>IF(AND(Bookings!G351="Approved",E351="Yes",L351=0,$B$6=0),H351,0)</ns0:f>
        <ns0:v>0</ns0:v>
      </ns0:c>
      <ns0:c r="Q351" s="0">
        <ns0:f>IF(AND(Bookings!G351="Approved",E351="Yes",L351=0,$B$6=0),I351,0)</ns0:f>
        <ns0:v>0</ns0:v>
      </ns0:c>
      <ns0:c r="R351" s="0">
        <ns0:f>IF(AND(Bookings!G351="Pending",E351="Yes"),N351,0)</ns0:f>
        <ns0:v>0</ns0:v>
      </ns0:c>
      <ns0:c r="S351" s="0">
        <ns0:f>IF(AND(Bookings!G351="Approved",E351="No"),N351,0)</ns0:f>
        <ns0:v>0</ns0:v>
      </ns0:c>
      <ns0:c r="T351" s="0">
        <ns0:f>IFERROR(MATCH(D351,Settings!$G$7:$G$11,0),0)</ns0:f>
        <ns0:v>0</ns0:v>
      </ns0:c>
      <ns0:c r="U351" s="0">
        <ns0:f>IF(N351&gt;0,T351+IF(Bookings!G351="Pending",10,0),0)</ns0:f>
        <ns0:v>0</ns0:v>
      </ns0:c>
      <ns0:c r="V351" s="0">
        <ns0:f>U351</ns0:f>
        <ns0:v>0</ns0:v>
      </ns0:c>
      <ns0:c r="W351" s="0" t="str">
        <ns0:f>IF(C351=0,"",INDEX($AP$11:$AP$60,C351))</ns0:f>
        <ns0:v/>
      </ns0:c>
    </ns0:row>
    <ns0:row r="352">
      <ns0:c r="A352" s="0">
        <ns0:f>IF(COUNTA(Bookings!A352:G352,Bookings!I352)=0,0,1)</ns0:f>
        <ns0:v>0</ns0:v>
      </ns0:c>
      <ns0:c r="B352" s="0" t="str">
        <ns0:f>IFERROR(TRIM(MID(Bookings!A352,FIND(" · ",Bookings!A352)+3,99)),"")</ns0:f>
        <ns0:v/>
      </ns0:c>
      <ns0:c r="C352" s="0">
        <ns0:f>IF(OR(B352="",LEN(B352)&gt;24,ISNUMBER(FIND(" ",B352)),ISNUMBER(FIND("*",B352)),ISNUMBER(FIND("?",B352)),ISNUMBER(FIND("~",B352))),0,IFERROR(MATCH(B352,Team!$A$11:$A$60,0),0))</ns0:f>
        <ns0:v>0</ns0:v>
      </ns0:c>
      <ns0:c r="D352" s="0" t="str">
        <ns0:f>IFERROR(IF(MID(Bookings!F352,LEN(Bookings!F352)-3,3)=" · ",RIGHT(Bookings!F352,1),""),"")</ns0:f>
        <ns0:v/>
      </ns0:c>
      <ns0:c r="E352" s="0" t="str">
        <ns0:f>IFERROR(INDEX(Settings!$H$7:$H$11,MATCH(D352,Settings!$G$7:$G$11,0)),"")</ns0:f>
        <ns0:v/>
      </ns0:c>
      <ns0:c r="F352" s="0" t="str">
        <ns0:f>IF(A352=0,"",IFERROR(IF(OR(B352="",C352=0),"CHECK employee selection",IF(INDEX(Team!$O$11:$O$60,C352)&lt;&gt;"OK","CHECK employee setup",IF(OR('_Dates'!J352=0,'_Dates'!T352=0),"CHECK date: use DD.MM.YYYY",IF('_Dates'!T352&lt;'_Dates'!J352,"CHECK end before start",IF(AND($B$6=0,OR('_Dates'!J352&lt;Settings!$B$7,'_Dates'!T352&gt;Settings!$B$8)),"CHECK split across leave years",IF(OR(NOT(OR('_Dates'!U352="Full day",'_Dates'!U352="AM",'_Dates'!U352="PM")),NOT(OR('_Dates'!V352="Full day",'_Dates'!V352="AM",'_Dates'!V352="PM"))),"CHECK Full day / AM / PM",IF(AND('_Dates'!J352='_Dates'!T352,'_Dates'!U352&lt;&gt;"Full day",'_Dates'!V352&lt;&gt;"Full day",'_Dates'!U352&lt;&gt;'_Dates'!V352),"CHECK same-day portions disagree",IF(AND($B$6=0,OR(AND('_Dates'!U352&lt;&gt;"Full day",'_Dates'!AA352=0),AND('_Dates'!V352&lt;&gt;"Full day",'_Dates'!AB352=0))),"CHECK half-day on non-working date",IF(COUNTIF(Settings!$G$7:$G$11,D352)&lt;&gt;1,"CHECK leave type",IF(AND(Bookings!G352&lt;&gt;"Approved",Bookings!G352&lt;&gt;"Pending",Bookings!G352&lt;&gt;"Cancelled"),"CHECK status","OK")))))))))),"CHECK input"))</ns0:f>
        <ns0:v/>
      </ns0:c>
      <ns0:c r="G352" s="0">
        <ns0:f>IF(OR(F352&lt;&gt;"OK",$B$6&gt;0),0,0.5*(IF(('_Dates'!X352)&lt;('_Dates'!W352),0,INT((('_Dates'!X352)-('_Dates'!W352)+1)/7)*LEN(SUBSTITUTE(W352,"O",""))+LEN(SUBSTITUTE(MID(W352&amp;W352,WEEKDAY(('_Dates'!W352),2),MOD((('_Dates'!X352)-('_Dates'!W352)+1),7)),"O",""))-COUNTIFS(INDEX(AllClosureRows,C352,0),"&gt;="&amp;('_Dates'!W352),INDEX(AllClosureRows,C352,0),"&lt;="&amp;('_Dates'!X352)))+IF(('_Dates'!Z352)&lt;('_Dates'!Y352),0,INT((('_Dates'!Z352)-('_Dates'!Y352)+1)/7)*LEN(SUBSTITUTE(W352,"O",""))+LEN(SUBSTITUTE(MID(W352&amp;W352,WEEKDAY(('_Dates'!Y352),2),MOD((('_Dates'!Z352)-('_Dates'!Y352)+1),7)),"O",""))-COUNTIFS(INDEX(AllClosureRows,C352,0),"&gt;="&amp;('_Dates'!Y352),INDEX(AllClosureRows,C352,0),"&lt;="&amp;('_Dates'!Z352)))))</ns0:f>
        <ns0:v>0</ns0:v>
      </ns0:c>
      <ns0:c r="H352" s="0">
        <ns0:f>IF(OR(F352&lt;&gt;"OK",$B$6&gt;0),0,0.5*(IF((MIN('_Dates'!X352,Settings!$B$9))&lt;('_Dates'!W352),0,INT(((MIN('_Dates'!X352,Settings!$B$9))-('_Dates'!W352)+1)/7)*LEN(SUBSTITUTE(W352,"O",""))+LEN(SUBSTITUTE(MID(W352&amp;W352,WEEKDAY(('_Dates'!W352),2),MOD(((MIN('_Dates'!X352,Settings!$B$9))-('_Dates'!W352)+1),7)),"O",""))-COUNTIFS(INDEX(AllClosureRows,C352,0),"&gt;="&amp;('_Dates'!W352),INDEX(AllClosureRows,C352,0),"&lt;="&amp;(MIN('_Dates'!X352,Settings!$B$9))))+IF((MIN('_Dates'!Z352,Settings!$B$9))&lt;('_Dates'!Y352),0,INT(((MIN('_Dates'!Z352,Settings!$B$9))-('_Dates'!Y352)+1)/7)*LEN(SUBSTITUTE(W352,"O",""))+LEN(SUBSTITUTE(MID(W352&amp;W352,WEEKDAY(('_Dates'!Y352),2),MOD(((MIN('_Dates'!Z352,Settings!$B$9))-('_Dates'!Y352)+1),7)),"O",""))-COUNTIFS(INDEX(AllClosureRows,C352,0),"&gt;="&amp;('_Dates'!Y352),INDEX(AllClosureRows,C352,0),"&lt;="&amp;(MIN('_Dates'!Z352,Settings!$B$9))))))</ns0:f>
        <ns0:v>0</ns0:v>
      </ns0:c>
      <ns0:c r="I352" s="0">
        <ns0:f>MAX(0,G352-H352)</ns0:f>
        <ns0:v>0</ns0:v>
      </ns0:c>
      <ns0:c r="J352" s="0">
        <ns0:f>IF(OR(A352=0,F352&lt;&gt;"OK",Bookings!G352="Cancelled",$B$6&gt;0),0,IF('_Dates'!AC352=1,MAX(0,COUNTIFS(rngEngine_B,B352,rngAMStart,"&lt;="&amp;'_Dates'!X352,rngAMEnd,"&gt;="&amp;'_Dates'!W352,rngAMActive,1,rngEngine_F,"OK",rngBookings_F,"&lt;&gt;Cancelled")-1),0)+IF('_Dates'!AD352=1,MAX(0,COUNTIFS(rngEngine_B,B352,rngPMStart,"&lt;="&amp;'_Dates'!Z352,rngPMEnd,"&gt;="&amp;'_Dates'!Y352,rngPMActive,1,rngEngine_F,"OK",rngBookings_F,"&lt;&gt;Cancelled")-1),0))</ns0:f>
        <ns0:v>0</ns0:v>
      </ns0:c>
      <ns0:c r="K352" s="0" t="str">
        <ns0:f>IF(A352=0,"",IF(F352&lt;&gt;"OK",F352,IF(J352&gt;0,"CHECK overlapping entry",IF(AND($B$6=0,G352&lt;=0,Bookings!G352&lt;&gt;"Cancelled"),"CHECK no working days",IF(Bookings!G352="Cancelled","Cancelled","OK")))))</ns0:f>
        <ns0:v/>
      </ns0:c>
      <ns0:c r="L352" s="0">
        <ns0:f>IF(LEFT(K352,5)="CHECK",1,0)</ns0:f>
        <ns0:v>0</ns0:v>
      </ns0:c>
      <ns0:c r="M352" s="0">
        <ns0:f>IF(AND(L352=1,OR(C352=0,IFERROR(INDEX($X$11:$X$60,C352),0)=0)),1,0)</ns0:f>
        <ns0:v>0</ns0:v>
      </ns0:c>
      <ns0:c r="N352" s="0">
        <ns0:f>IF(OR(A352=0,L352&gt;0,$B$6&gt;0,Bookings!G352="Cancelled"),0,G352)</ns0:f>
        <ns0:v>0</ns0:v>
      </ns0:c>
      <ns0:c r="O352" s="0">
        <ns0:f>IF(AND(Bookings!G352="Approved",E352="Yes"),N352,0)</ns0:f>
        <ns0:v>0</ns0:v>
      </ns0:c>
      <ns0:c r="P352" s="0">
        <ns0:f>IF(AND(Bookings!G352="Approved",E352="Yes",L352=0,$B$6=0),H352,0)</ns0:f>
        <ns0:v>0</ns0:v>
      </ns0:c>
      <ns0:c r="Q352" s="0">
        <ns0:f>IF(AND(Bookings!G352="Approved",E352="Yes",L352=0,$B$6=0),I352,0)</ns0:f>
        <ns0:v>0</ns0:v>
      </ns0:c>
      <ns0:c r="R352" s="0">
        <ns0:f>IF(AND(Bookings!G352="Pending",E352="Yes"),N352,0)</ns0:f>
        <ns0:v>0</ns0:v>
      </ns0:c>
      <ns0:c r="S352" s="0">
        <ns0:f>IF(AND(Bookings!G352="Approved",E352="No"),N352,0)</ns0:f>
        <ns0:v>0</ns0:v>
      </ns0:c>
      <ns0:c r="T352" s="0">
        <ns0:f>IFERROR(MATCH(D352,Settings!$G$7:$G$11,0),0)</ns0:f>
        <ns0:v>0</ns0:v>
      </ns0:c>
      <ns0:c r="U352" s="0">
        <ns0:f>IF(N352&gt;0,T352+IF(Bookings!G352="Pending",10,0),0)</ns0:f>
        <ns0:v>0</ns0:v>
      </ns0:c>
      <ns0:c r="V352" s="0">
        <ns0:f>U352</ns0:f>
        <ns0:v>0</ns0:v>
      </ns0:c>
      <ns0:c r="W352" s="0" t="str">
        <ns0:f>IF(C352=0,"",INDEX($AP$11:$AP$60,C352))</ns0:f>
        <ns0:v/>
      </ns0:c>
    </ns0:row>
    <ns0:row r="353">
      <ns0:c r="A353" s="0">
        <ns0:f>IF(COUNTA(Bookings!A353:G353,Bookings!I353)=0,0,1)</ns0:f>
        <ns0:v>0</ns0:v>
      </ns0:c>
      <ns0:c r="B353" s="0" t="str">
        <ns0:f>IFERROR(TRIM(MID(Bookings!A353,FIND(" · ",Bookings!A353)+3,99)),"")</ns0:f>
        <ns0:v/>
      </ns0:c>
      <ns0:c r="C353" s="0">
        <ns0:f>IF(OR(B353="",LEN(B353)&gt;24,ISNUMBER(FIND(" ",B353)),ISNUMBER(FIND("*",B353)),ISNUMBER(FIND("?",B353)),ISNUMBER(FIND("~",B353))),0,IFERROR(MATCH(B353,Team!$A$11:$A$60,0),0))</ns0:f>
        <ns0:v>0</ns0:v>
      </ns0:c>
      <ns0:c r="D353" s="0" t="str">
        <ns0:f>IFERROR(IF(MID(Bookings!F353,LEN(Bookings!F353)-3,3)=" · ",RIGHT(Bookings!F353,1),""),"")</ns0:f>
        <ns0:v/>
      </ns0:c>
      <ns0:c r="E353" s="0" t="str">
        <ns0:f>IFERROR(INDEX(Settings!$H$7:$H$11,MATCH(D353,Settings!$G$7:$G$11,0)),"")</ns0:f>
        <ns0:v/>
      </ns0:c>
      <ns0:c r="F353" s="0" t="str">
        <ns0:f>IF(A353=0,"",IFERROR(IF(OR(B353="",C353=0),"CHECK employee selection",IF(INDEX(Team!$O$11:$O$60,C353)&lt;&gt;"OK","CHECK employee setup",IF(OR('_Dates'!J353=0,'_Dates'!T353=0),"CHECK date: use DD.MM.YYYY",IF('_Dates'!T353&lt;'_Dates'!J353,"CHECK end before start",IF(AND($B$6=0,OR('_Dates'!J353&lt;Settings!$B$7,'_Dates'!T353&gt;Settings!$B$8)),"CHECK split across leave years",IF(OR(NOT(OR('_Dates'!U353="Full day",'_Dates'!U353="AM",'_Dates'!U353="PM")),NOT(OR('_Dates'!V353="Full day",'_Dates'!V353="AM",'_Dates'!V353="PM"))),"CHECK Full day / AM / PM",IF(AND('_Dates'!J353='_Dates'!T353,'_Dates'!U353&lt;&gt;"Full day",'_Dates'!V353&lt;&gt;"Full day",'_Dates'!U353&lt;&gt;'_Dates'!V353),"CHECK same-day portions disagree",IF(AND($B$6=0,OR(AND('_Dates'!U353&lt;&gt;"Full day",'_Dates'!AA353=0),AND('_Dates'!V353&lt;&gt;"Full day",'_Dates'!AB353=0))),"CHECK half-day on non-working date",IF(COUNTIF(Settings!$G$7:$G$11,D353)&lt;&gt;1,"CHECK leave type",IF(AND(Bookings!G353&lt;&gt;"Approved",Bookings!G353&lt;&gt;"Pending",Bookings!G353&lt;&gt;"Cancelled"),"CHECK status","OK")))))))))),"CHECK input"))</ns0:f>
        <ns0:v/>
      </ns0:c>
      <ns0:c r="G353" s="0">
        <ns0:f>IF(OR(F353&lt;&gt;"OK",$B$6&gt;0),0,0.5*(IF(('_Dates'!X353)&lt;('_Dates'!W353),0,INT((('_Dates'!X353)-('_Dates'!W353)+1)/7)*LEN(SUBSTITUTE(W353,"O",""))+LEN(SUBSTITUTE(MID(W353&amp;W353,WEEKDAY(('_Dates'!W353),2),MOD((('_Dates'!X353)-('_Dates'!W353)+1),7)),"O",""))-COUNTIFS(INDEX(AllClosureRows,C353,0),"&gt;="&amp;('_Dates'!W353),INDEX(AllClosureRows,C353,0),"&lt;="&amp;('_Dates'!X353)))+IF(('_Dates'!Z353)&lt;('_Dates'!Y353),0,INT((('_Dates'!Z353)-('_Dates'!Y353)+1)/7)*LEN(SUBSTITUTE(W353,"O",""))+LEN(SUBSTITUTE(MID(W353&amp;W353,WEEKDAY(('_Dates'!Y353),2),MOD((('_Dates'!Z353)-('_Dates'!Y353)+1),7)),"O",""))-COUNTIFS(INDEX(AllClosureRows,C353,0),"&gt;="&amp;('_Dates'!Y353),INDEX(AllClosureRows,C353,0),"&lt;="&amp;('_Dates'!Z353)))))</ns0:f>
        <ns0:v>0</ns0:v>
      </ns0:c>
      <ns0:c r="H353" s="0">
        <ns0:f>IF(OR(F353&lt;&gt;"OK",$B$6&gt;0),0,0.5*(IF((MIN('_Dates'!X353,Settings!$B$9))&lt;('_Dates'!W353),0,INT(((MIN('_Dates'!X353,Settings!$B$9))-('_Dates'!W353)+1)/7)*LEN(SUBSTITUTE(W353,"O",""))+LEN(SUBSTITUTE(MID(W353&amp;W353,WEEKDAY(('_Dates'!W353),2),MOD(((MIN('_Dates'!X353,Settings!$B$9))-('_Dates'!W353)+1),7)),"O",""))-COUNTIFS(INDEX(AllClosureRows,C353,0),"&gt;="&amp;('_Dates'!W353),INDEX(AllClosureRows,C353,0),"&lt;="&amp;(MIN('_Dates'!X353,Settings!$B$9))))+IF((MIN('_Dates'!Z353,Settings!$B$9))&lt;('_Dates'!Y353),0,INT(((MIN('_Dates'!Z353,Settings!$B$9))-('_Dates'!Y353)+1)/7)*LEN(SUBSTITUTE(W353,"O",""))+LEN(SUBSTITUTE(MID(W353&amp;W353,WEEKDAY(('_Dates'!Y353),2),MOD(((MIN('_Dates'!Z353,Settings!$B$9))-('_Dates'!Y353)+1),7)),"O",""))-COUNTIFS(INDEX(AllClosureRows,C353,0),"&gt;="&amp;('_Dates'!Y353),INDEX(AllClosureRows,C353,0),"&lt;="&amp;(MIN('_Dates'!Z353,Settings!$B$9))))))</ns0:f>
        <ns0:v>0</ns0:v>
      </ns0:c>
      <ns0:c r="I353" s="0">
        <ns0:f>MAX(0,G353-H353)</ns0:f>
        <ns0:v>0</ns0:v>
      </ns0:c>
      <ns0:c r="J353" s="0">
        <ns0:f>IF(OR(A353=0,F353&lt;&gt;"OK",Bookings!G353="Cancelled",$B$6&gt;0),0,IF('_Dates'!AC353=1,MAX(0,COUNTIFS(rngEngine_B,B353,rngAMStart,"&lt;="&amp;'_Dates'!X353,rngAMEnd,"&gt;="&amp;'_Dates'!W353,rngAMActive,1,rngEngine_F,"OK",rngBookings_F,"&lt;&gt;Cancelled")-1),0)+IF('_Dates'!AD353=1,MAX(0,COUNTIFS(rngEngine_B,B353,rngPMStart,"&lt;="&amp;'_Dates'!Z353,rngPMEnd,"&gt;="&amp;'_Dates'!Y353,rngPMActive,1,rngEngine_F,"OK",rngBookings_F,"&lt;&gt;Cancelled")-1),0))</ns0:f>
        <ns0:v>0</ns0:v>
      </ns0:c>
      <ns0:c r="K353" s="0" t="str">
        <ns0:f>IF(A353=0,"",IF(F353&lt;&gt;"OK",F353,IF(J353&gt;0,"CHECK overlapping entry",IF(AND($B$6=0,G353&lt;=0,Bookings!G353&lt;&gt;"Cancelled"),"CHECK no working days",IF(Bookings!G353="Cancelled","Cancelled","OK")))))</ns0:f>
        <ns0:v/>
      </ns0:c>
      <ns0:c r="L353" s="0">
        <ns0:f>IF(LEFT(K353,5)="CHECK",1,0)</ns0:f>
        <ns0:v>0</ns0:v>
      </ns0:c>
      <ns0:c r="M353" s="0">
        <ns0:f>IF(AND(L353=1,OR(C353=0,IFERROR(INDEX($X$11:$X$60,C353),0)=0)),1,0)</ns0:f>
        <ns0:v>0</ns0:v>
      </ns0:c>
      <ns0:c r="N353" s="0">
        <ns0:f>IF(OR(A353=0,L353&gt;0,$B$6&gt;0,Bookings!G353="Cancelled"),0,G353)</ns0:f>
        <ns0:v>0</ns0:v>
      </ns0:c>
      <ns0:c r="O353" s="0">
        <ns0:f>IF(AND(Bookings!G353="Approved",E353="Yes"),N353,0)</ns0:f>
        <ns0:v>0</ns0:v>
      </ns0:c>
      <ns0:c r="P353" s="0">
        <ns0:f>IF(AND(Bookings!G353="Approved",E353="Yes",L353=0,$B$6=0),H353,0)</ns0:f>
        <ns0:v>0</ns0:v>
      </ns0:c>
      <ns0:c r="Q353" s="0">
        <ns0:f>IF(AND(Bookings!G353="Approved",E353="Yes",L353=0,$B$6=0),I353,0)</ns0:f>
        <ns0:v>0</ns0:v>
      </ns0:c>
      <ns0:c r="R353" s="0">
        <ns0:f>IF(AND(Bookings!G353="Pending",E353="Yes"),N353,0)</ns0:f>
        <ns0:v>0</ns0:v>
      </ns0:c>
      <ns0:c r="S353" s="0">
        <ns0:f>IF(AND(Bookings!G353="Approved",E353="No"),N353,0)</ns0:f>
        <ns0:v>0</ns0:v>
      </ns0:c>
      <ns0:c r="T353" s="0">
        <ns0:f>IFERROR(MATCH(D353,Settings!$G$7:$G$11,0),0)</ns0:f>
        <ns0:v>0</ns0:v>
      </ns0:c>
      <ns0:c r="U353" s="0">
        <ns0:f>IF(N353&gt;0,T353+IF(Bookings!G353="Pending",10,0),0)</ns0:f>
        <ns0:v>0</ns0:v>
      </ns0:c>
      <ns0:c r="V353" s="0">
        <ns0:f>U353</ns0:f>
        <ns0:v>0</ns0:v>
      </ns0:c>
      <ns0:c r="W353" s="0" t="str">
        <ns0:f>IF(C353=0,"",INDEX($AP$11:$AP$60,C353))</ns0:f>
        <ns0:v/>
      </ns0:c>
    </ns0:row>
    <ns0:row r="354">
      <ns0:c r="A354" s="0">
        <ns0:f>IF(COUNTA(Bookings!A354:G354,Bookings!I354)=0,0,1)</ns0:f>
        <ns0:v>0</ns0:v>
      </ns0:c>
      <ns0:c r="B354" s="0" t="str">
        <ns0:f>IFERROR(TRIM(MID(Bookings!A354,FIND(" · ",Bookings!A354)+3,99)),"")</ns0:f>
        <ns0:v/>
      </ns0:c>
      <ns0:c r="C354" s="0">
        <ns0:f>IF(OR(B354="",LEN(B354)&gt;24,ISNUMBER(FIND(" ",B354)),ISNUMBER(FIND("*",B354)),ISNUMBER(FIND("?",B354)),ISNUMBER(FIND("~",B354))),0,IFERROR(MATCH(B354,Team!$A$11:$A$60,0),0))</ns0:f>
        <ns0:v>0</ns0:v>
      </ns0:c>
      <ns0:c r="D354" s="0" t="str">
        <ns0:f>IFERROR(IF(MID(Bookings!F354,LEN(Bookings!F354)-3,3)=" · ",RIGHT(Bookings!F354,1),""),"")</ns0:f>
        <ns0:v/>
      </ns0:c>
      <ns0:c r="E354" s="0" t="str">
        <ns0:f>IFERROR(INDEX(Settings!$H$7:$H$11,MATCH(D354,Settings!$G$7:$G$11,0)),"")</ns0:f>
        <ns0:v/>
      </ns0:c>
      <ns0:c r="F354" s="0" t="str">
        <ns0:f>IF(A354=0,"",IFERROR(IF(OR(B354="",C354=0),"CHECK employee selection",IF(INDEX(Team!$O$11:$O$60,C354)&lt;&gt;"OK","CHECK employee setup",IF(OR('_Dates'!J354=0,'_Dates'!T354=0),"CHECK date: use DD.MM.YYYY",IF('_Dates'!T354&lt;'_Dates'!J354,"CHECK end before start",IF(AND($B$6=0,OR('_Dates'!J354&lt;Settings!$B$7,'_Dates'!T354&gt;Settings!$B$8)),"CHECK split across leave years",IF(OR(NOT(OR('_Dates'!U354="Full day",'_Dates'!U354="AM",'_Dates'!U354="PM")),NOT(OR('_Dates'!V354="Full day",'_Dates'!V354="AM",'_Dates'!V354="PM"))),"CHECK Full day / AM / PM",IF(AND('_Dates'!J354='_Dates'!T354,'_Dates'!U354&lt;&gt;"Full day",'_Dates'!V354&lt;&gt;"Full day",'_Dates'!U354&lt;&gt;'_Dates'!V354),"CHECK same-day portions disagree",IF(AND($B$6=0,OR(AND('_Dates'!U354&lt;&gt;"Full day",'_Dates'!AA354=0),AND('_Dates'!V354&lt;&gt;"Full day",'_Dates'!AB354=0))),"CHECK half-day on non-working date",IF(COUNTIF(Settings!$G$7:$G$11,D354)&lt;&gt;1,"CHECK leave type",IF(AND(Bookings!G354&lt;&gt;"Approved",Bookings!G354&lt;&gt;"Pending",Bookings!G354&lt;&gt;"Cancelled"),"CHECK status","OK")))))))))),"CHECK input"))</ns0:f>
        <ns0:v/>
      </ns0:c>
      <ns0:c r="G354" s="0">
        <ns0:f>IF(OR(F354&lt;&gt;"OK",$B$6&gt;0),0,0.5*(IF(('_Dates'!X354)&lt;('_Dates'!W354),0,INT((('_Dates'!X354)-('_Dates'!W354)+1)/7)*LEN(SUBSTITUTE(W354,"O",""))+LEN(SUBSTITUTE(MID(W354&amp;W354,WEEKDAY(('_Dates'!W354),2),MOD((('_Dates'!X354)-('_Dates'!W354)+1),7)),"O",""))-COUNTIFS(INDEX(AllClosureRows,C354,0),"&gt;="&amp;('_Dates'!W354),INDEX(AllClosureRows,C354,0),"&lt;="&amp;('_Dates'!X354)))+IF(('_Dates'!Z354)&lt;('_Dates'!Y354),0,INT((('_Dates'!Z354)-('_Dates'!Y354)+1)/7)*LEN(SUBSTITUTE(W354,"O",""))+LEN(SUBSTITUTE(MID(W354&amp;W354,WEEKDAY(('_Dates'!Y354),2),MOD((('_Dates'!Z354)-('_Dates'!Y354)+1),7)),"O",""))-COUNTIFS(INDEX(AllClosureRows,C354,0),"&gt;="&amp;('_Dates'!Y354),INDEX(AllClosureRows,C354,0),"&lt;="&amp;('_Dates'!Z354)))))</ns0:f>
        <ns0:v>0</ns0:v>
      </ns0:c>
      <ns0:c r="H354" s="0">
        <ns0:f>IF(OR(F354&lt;&gt;"OK",$B$6&gt;0),0,0.5*(IF((MIN('_Dates'!X354,Settings!$B$9))&lt;('_Dates'!W354),0,INT(((MIN('_Dates'!X354,Settings!$B$9))-('_Dates'!W354)+1)/7)*LEN(SUBSTITUTE(W354,"O",""))+LEN(SUBSTITUTE(MID(W354&amp;W354,WEEKDAY(('_Dates'!W354),2),MOD(((MIN('_Dates'!X354,Settings!$B$9))-('_Dates'!W354)+1),7)),"O",""))-COUNTIFS(INDEX(AllClosureRows,C354,0),"&gt;="&amp;('_Dates'!W354),INDEX(AllClosureRows,C354,0),"&lt;="&amp;(MIN('_Dates'!X354,Settings!$B$9))))+IF((MIN('_Dates'!Z354,Settings!$B$9))&lt;('_Dates'!Y354),0,INT(((MIN('_Dates'!Z354,Settings!$B$9))-('_Dates'!Y354)+1)/7)*LEN(SUBSTITUTE(W354,"O",""))+LEN(SUBSTITUTE(MID(W354&amp;W354,WEEKDAY(('_Dates'!Y354),2),MOD(((MIN('_Dates'!Z354,Settings!$B$9))-('_Dates'!Y354)+1),7)),"O",""))-COUNTIFS(INDEX(AllClosureRows,C354,0),"&gt;="&amp;('_Dates'!Y354),INDEX(AllClosureRows,C354,0),"&lt;="&amp;(MIN('_Dates'!Z354,Settings!$B$9))))))</ns0:f>
        <ns0:v>0</ns0:v>
      </ns0:c>
      <ns0:c r="I354" s="0">
        <ns0:f>MAX(0,G354-H354)</ns0:f>
        <ns0:v>0</ns0:v>
      </ns0:c>
      <ns0:c r="J354" s="0">
        <ns0:f>IF(OR(A354=0,F354&lt;&gt;"OK",Bookings!G354="Cancelled",$B$6&gt;0),0,IF('_Dates'!AC354=1,MAX(0,COUNTIFS(rngEngine_B,B354,rngAMStart,"&lt;="&amp;'_Dates'!X354,rngAMEnd,"&gt;="&amp;'_Dates'!W354,rngAMActive,1,rngEngine_F,"OK",rngBookings_F,"&lt;&gt;Cancelled")-1),0)+IF('_Dates'!AD354=1,MAX(0,COUNTIFS(rngEngine_B,B354,rngPMStart,"&lt;="&amp;'_Dates'!Z354,rngPMEnd,"&gt;="&amp;'_Dates'!Y354,rngPMActive,1,rngEngine_F,"OK",rngBookings_F,"&lt;&gt;Cancelled")-1),0))</ns0:f>
        <ns0:v>0</ns0:v>
      </ns0:c>
      <ns0:c r="K354" s="0" t="str">
        <ns0:f>IF(A354=0,"",IF(F354&lt;&gt;"OK",F354,IF(J354&gt;0,"CHECK overlapping entry",IF(AND($B$6=0,G354&lt;=0,Bookings!G354&lt;&gt;"Cancelled"),"CHECK no working days",IF(Bookings!G354="Cancelled","Cancelled","OK")))))</ns0:f>
        <ns0:v/>
      </ns0:c>
      <ns0:c r="L354" s="0">
        <ns0:f>IF(LEFT(K354,5)="CHECK",1,0)</ns0:f>
        <ns0:v>0</ns0:v>
      </ns0:c>
      <ns0:c r="M354" s="0">
        <ns0:f>IF(AND(L354=1,OR(C354=0,IFERROR(INDEX($X$11:$X$60,C354),0)=0)),1,0)</ns0:f>
        <ns0:v>0</ns0:v>
      </ns0:c>
      <ns0:c r="N354" s="0">
        <ns0:f>IF(OR(A354=0,L354&gt;0,$B$6&gt;0,Bookings!G354="Cancelled"),0,G354)</ns0:f>
        <ns0:v>0</ns0:v>
      </ns0:c>
      <ns0:c r="O354" s="0">
        <ns0:f>IF(AND(Bookings!G354="Approved",E354="Yes"),N354,0)</ns0:f>
        <ns0:v>0</ns0:v>
      </ns0:c>
      <ns0:c r="P354" s="0">
        <ns0:f>IF(AND(Bookings!G354="Approved",E354="Yes",L354=0,$B$6=0),H354,0)</ns0:f>
        <ns0:v>0</ns0:v>
      </ns0:c>
      <ns0:c r="Q354" s="0">
        <ns0:f>IF(AND(Bookings!G354="Approved",E354="Yes",L354=0,$B$6=0),I354,0)</ns0:f>
        <ns0:v>0</ns0:v>
      </ns0:c>
      <ns0:c r="R354" s="0">
        <ns0:f>IF(AND(Bookings!G354="Pending",E354="Yes"),N354,0)</ns0:f>
        <ns0:v>0</ns0:v>
      </ns0:c>
      <ns0:c r="S354" s="0">
        <ns0:f>IF(AND(Bookings!G354="Approved",E354="No"),N354,0)</ns0:f>
        <ns0:v>0</ns0:v>
      </ns0:c>
      <ns0:c r="T354" s="0">
        <ns0:f>IFERROR(MATCH(D354,Settings!$G$7:$G$11,0),0)</ns0:f>
        <ns0:v>0</ns0:v>
      </ns0:c>
      <ns0:c r="U354" s="0">
        <ns0:f>IF(N354&gt;0,T354+IF(Bookings!G354="Pending",10,0),0)</ns0:f>
        <ns0:v>0</ns0:v>
      </ns0:c>
      <ns0:c r="V354" s="0">
        <ns0:f>U354</ns0:f>
        <ns0:v>0</ns0:v>
      </ns0:c>
      <ns0:c r="W354" s="0" t="str">
        <ns0:f>IF(C354=0,"",INDEX($AP$11:$AP$60,C354))</ns0:f>
        <ns0:v/>
      </ns0:c>
    </ns0:row>
    <ns0:row r="355">
      <ns0:c r="A355" s="0">
        <ns0:f>IF(COUNTA(Bookings!A355:G355,Bookings!I355)=0,0,1)</ns0:f>
        <ns0:v>0</ns0:v>
      </ns0:c>
      <ns0:c r="B355" s="0" t="str">
        <ns0:f>IFERROR(TRIM(MID(Bookings!A355,FIND(" · ",Bookings!A355)+3,99)),"")</ns0:f>
        <ns0:v/>
      </ns0:c>
      <ns0:c r="C355" s="0">
        <ns0:f>IF(OR(B355="",LEN(B355)&gt;24,ISNUMBER(FIND(" ",B355)),ISNUMBER(FIND("*",B355)),ISNUMBER(FIND("?",B355)),ISNUMBER(FIND("~",B355))),0,IFERROR(MATCH(B355,Team!$A$11:$A$60,0),0))</ns0:f>
        <ns0:v>0</ns0:v>
      </ns0:c>
      <ns0:c r="D355" s="0" t="str">
        <ns0:f>IFERROR(IF(MID(Bookings!F355,LEN(Bookings!F355)-3,3)=" · ",RIGHT(Bookings!F355,1),""),"")</ns0:f>
        <ns0:v/>
      </ns0:c>
      <ns0:c r="E355" s="0" t="str">
        <ns0:f>IFERROR(INDEX(Settings!$H$7:$H$11,MATCH(D355,Settings!$G$7:$G$11,0)),"")</ns0:f>
        <ns0:v/>
      </ns0:c>
      <ns0:c r="F355" s="0" t="str">
        <ns0:f>IF(A355=0,"",IFERROR(IF(OR(B355="",C355=0),"CHECK employee selection",IF(INDEX(Team!$O$11:$O$60,C355)&lt;&gt;"OK","CHECK employee setup",IF(OR('_Dates'!J355=0,'_Dates'!T355=0),"CHECK date: use DD.MM.YYYY",IF('_Dates'!T355&lt;'_Dates'!J355,"CHECK end before start",IF(AND($B$6=0,OR('_Dates'!J355&lt;Settings!$B$7,'_Dates'!T355&gt;Settings!$B$8)),"CHECK split across leave years",IF(OR(NOT(OR('_Dates'!U355="Full day",'_Dates'!U355="AM",'_Dates'!U355="PM")),NOT(OR('_Dates'!V355="Full day",'_Dates'!V355="AM",'_Dates'!V355="PM"))),"CHECK Full day / AM / PM",IF(AND('_Dates'!J355='_Dates'!T355,'_Dates'!U355&lt;&gt;"Full day",'_Dates'!V355&lt;&gt;"Full day",'_Dates'!U355&lt;&gt;'_Dates'!V355),"CHECK same-day portions disagree",IF(AND($B$6=0,OR(AND('_Dates'!U355&lt;&gt;"Full day",'_Dates'!AA355=0),AND('_Dates'!V355&lt;&gt;"Full day",'_Dates'!AB355=0))),"CHECK half-day on non-working date",IF(COUNTIF(Settings!$G$7:$G$11,D355)&lt;&gt;1,"CHECK leave type",IF(AND(Bookings!G355&lt;&gt;"Approved",Bookings!G355&lt;&gt;"Pending",Bookings!G355&lt;&gt;"Cancelled"),"CHECK status","OK")))))))))),"CHECK input"))</ns0:f>
        <ns0:v/>
      </ns0:c>
      <ns0:c r="G355" s="0">
        <ns0:f>IF(OR(F355&lt;&gt;"OK",$B$6&gt;0),0,0.5*(IF(('_Dates'!X355)&lt;('_Dates'!W355),0,INT((('_Dates'!X355)-('_Dates'!W355)+1)/7)*LEN(SUBSTITUTE(W355,"O",""))+LEN(SUBSTITUTE(MID(W355&amp;W355,WEEKDAY(('_Dates'!W355),2),MOD((('_Dates'!X355)-('_Dates'!W355)+1),7)),"O",""))-COUNTIFS(INDEX(AllClosureRows,C355,0),"&gt;="&amp;('_Dates'!W355),INDEX(AllClosureRows,C355,0),"&lt;="&amp;('_Dates'!X355)))+IF(('_Dates'!Z355)&lt;('_Dates'!Y355),0,INT((('_Dates'!Z355)-('_Dates'!Y355)+1)/7)*LEN(SUBSTITUTE(W355,"O",""))+LEN(SUBSTITUTE(MID(W355&amp;W355,WEEKDAY(('_Dates'!Y355),2),MOD((('_Dates'!Z355)-('_Dates'!Y355)+1),7)),"O",""))-COUNTIFS(INDEX(AllClosureRows,C355,0),"&gt;="&amp;('_Dates'!Y355),INDEX(AllClosureRows,C355,0),"&lt;="&amp;('_Dates'!Z355)))))</ns0:f>
        <ns0:v>0</ns0:v>
      </ns0:c>
      <ns0:c r="H355" s="0">
        <ns0:f>IF(OR(F355&lt;&gt;"OK",$B$6&gt;0),0,0.5*(IF((MIN('_Dates'!X355,Settings!$B$9))&lt;('_Dates'!W355),0,INT(((MIN('_Dates'!X355,Settings!$B$9))-('_Dates'!W355)+1)/7)*LEN(SUBSTITUTE(W355,"O",""))+LEN(SUBSTITUTE(MID(W355&amp;W355,WEEKDAY(('_Dates'!W355),2),MOD(((MIN('_Dates'!X355,Settings!$B$9))-('_Dates'!W355)+1),7)),"O",""))-COUNTIFS(INDEX(AllClosureRows,C355,0),"&gt;="&amp;('_Dates'!W355),INDEX(AllClosureRows,C355,0),"&lt;="&amp;(MIN('_Dates'!X355,Settings!$B$9))))+IF((MIN('_Dates'!Z355,Settings!$B$9))&lt;('_Dates'!Y355),0,INT(((MIN('_Dates'!Z355,Settings!$B$9))-('_Dates'!Y355)+1)/7)*LEN(SUBSTITUTE(W355,"O",""))+LEN(SUBSTITUTE(MID(W355&amp;W355,WEEKDAY(('_Dates'!Y355),2),MOD(((MIN('_Dates'!Z355,Settings!$B$9))-('_Dates'!Y355)+1),7)),"O",""))-COUNTIFS(INDEX(AllClosureRows,C355,0),"&gt;="&amp;('_Dates'!Y355),INDEX(AllClosureRows,C355,0),"&lt;="&amp;(MIN('_Dates'!Z355,Settings!$B$9))))))</ns0:f>
        <ns0:v>0</ns0:v>
      </ns0:c>
      <ns0:c r="I355" s="0">
        <ns0:f>MAX(0,G355-H355)</ns0:f>
        <ns0:v>0</ns0:v>
      </ns0:c>
      <ns0:c r="J355" s="0">
        <ns0:f>IF(OR(A355=0,F355&lt;&gt;"OK",Bookings!G355="Cancelled",$B$6&gt;0),0,IF('_Dates'!AC355=1,MAX(0,COUNTIFS(rngEngine_B,B355,rngAMStart,"&lt;="&amp;'_Dates'!X355,rngAMEnd,"&gt;="&amp;'_Dates'!W355,rngAMActive,1,rngEngine_F,"OK",rngBookings_F,"&lt;&gt;Cancelled")-1),0)+IF('_Dates'!AD355=1,MAX(0,COUNTIFS(rngEngine_B,B355,rngPMStart,"&lt;="&amp;'_Dates'!Z355,rngPMEnd,"&gt;="&amp;'_Dates'!Y355,rngPMActive,1,rngEngine_F,"OK",rngBookings_F,"&lt;&gt;Cancelled")-1),0))</ns0:f>
        <ns0:v>0</ns0:v>
      </ns0:c>
      <ns0:c r="K355" s="0" t="str">
        <ns0:f>IF(A355=0,"",IF(F355&lt;&gt;"OK",F355,IF(J355&gt;0,"CHECK overlapping entry",IF(AND($B$6=0,G355&lt;=0,Bookings!G355&lt;&gt;"Cancelled"),"CHECK no working days",IF(Bookings!G355="Cancelled","Cancelled","OK")))))</ns0:f>
        <ns0:v/>
      </ns0:c>
      <ns0:c r="L355" s="0">
        <ns0:f>IF(LEFT(K355,5)="CHECK",1,0)</ns0:f>
        <ns0:v>0</ns0:v>
      </ns0:c>
      <ns0:c r="M355" s="0">
        <ns0:f>IF(AND(L355=1,OR(C355=0,IFERROR(INDEX($X$11:$X$60,C355),0)=0)),1,0)</ns0:f>
        <ns0:v>0</ns0:v>
      </ns0:c>
      <ns0:c r="N355" s="0">
        <ns0:f>IF(OR(A355=0,L355&gt;0,$B$6&gt;0,Bookings!G355="Cancelled"),0,G355)</ns0:f>
        <ns0:v>0</ns0:v>
      </ns0:c>
      <ns0:c r="O355" s="0">
        <ns0:f>IF(AND(Bookings!G355="Approved",E355="Yes"),N355,0)</ns0:f>
        <ns0:v>0</ns0:v>
      </ns0:c>
      <ns0:c r="P355" s="0">
        <ns0:f>IF(AND(Bookings!G355="Approved",E355="Yes",L355=0,$B$6=0),H355,0)</ns0:f>
        <ns0:v>0</ns0:v>
      </ns0:c>
      <ns0:c r="Q355" s="0">
        <ns0:f>IF(AND(Bookings!G355="Approved",E355="Yes",L355=0,$B$6=0),I355,0)</ns0:f>
        <ns0:v>0</ns0:v>
      </ns0:c>
      <ns0:c r="R355" s="0">
        <ns0:f>IF(AND(Bookings!G355="Pending",E355="Yes"),N355,0)</ns0:f>
        <ns0:v>0</ns0:v>
      </ns0:c>
      <ns0:c r="S355" s="0">
        <ns0:f>IF(AND(Bookings!G355="Approved",E355="No"),N355,0)</ns0:f>
        <ns0:v>0</ns0:v>
      </ns0:c>
      <ns0:c r="T355" s="0">
        <ns0:f>IFERROR(MATCH(D355,Settings!$G$7:$G$11,0),0)</ns0:f>
        <ns0:v>0</ns0:v>
      </ns0:c>
      <ns0:c r="U355" s="0">
        <ns0:f>IF(N355&gt;0,T355+IF(Bookings!G355="Pending",10,0),0)</ns0:f>
        <ns0:v>0</ns0:v>
      </ns0:c>
      <ns0:c r="V355" s="0">
        <ns0:f>U355</ns0:f>
        <ns0:v>0</ns0:v>
      </ns0:c>
      <ns0:c r="W355" s="0" t="str">
        <ns0:f>IF(C355=0,"",INDEX($AP$11:$AP$60,C355))</ns0:f>
        <ns0:v/>
      </ns0:c>
    </ns0:row>
    <ns0:row r="356">
      <ns0:c r="A356" s="0">
        <ns0:f>IF(COUNTA(Bookings!A356:G356,Bookings!I356)=0,0,1)</ns0:f>
        <ns0:v>0</ns0:v>
      </ns0:c>
      <ns0:c r="B356" s="0" t="str">
        <ns0:f>IFERROR(TRIM(MID(Bookings!A356,FIND(" · ",Bookings!A356)+3,99)),"")</ns0:f>
        <ns0:v/>
      </ns0:c>
      <ns0:c r="C356" s="0">
        <ns0:f>IF(OR(B356="",LEN(B356)&gt;24,ISNUMBER(FIND(" ",B356)),ISNUMBER(FIND("*",B356)),ISNUMBER(FIND("?",B356)),ISNUMBER(FIND("~",B356))),0,IFERROR(MATCH(B356,Team!$A$11:$A$60,0),0))</ns0:f>
        <ns0:v>0</ns0:v>
      </ns0:c>
      <ns0:c r="D356" s="0" t="str">
        <ns0:f>IFERROR(IF(MID(Bookings!F356,LEN(Bookings!F356)-3,3)=" · ",RIGHT(Bookings!F356,1),""),"")</ns0:f>
        <ns0:v/>
      </ns0:c>
      <ns0:c r="E356" s="0" t="str">
        <ns0:f>IFERROR(INDEX(Settings!$H$7:$H$11,MATCH(D356,Settings!$G$7:$G$11,0)),"")</ns0:f>
        <ns0:v/>
      </ns0:c>
      <ns0:c r="F356" s="0" t="str">
        <ns0:f>IF(A356=0,"",IFERROR(IF(OR(B356="",C356=0),"CHECK employee selection",IF(INDEX(Team!$O$11:$O$60,C356)&lt;&gt;"OK","CHECK employee setup",IF(OR('_Dates'!J356=0,'_Dates'!T356=0),"CHECK date: use DD.MM.YYYY",IF('_Dates'!T356&lt;'_Dates'!J356,"CHECK end before start",IF(AND($B$6=0,OR('_Dates'!J356&lt;Settings!$B$7,'_Dates'!T356&gt;Settings!$B$8)),"CHECK split across leave years",IF(OR(NOT(OR('_Dates'!U356="Full day",'_Dates'!U356="AM",'_Dates'!U356="PM")),NOT(OR('_Dates'!V356="Full day",'_Dates'!V356="AM",'_Dates'!V356="PM"))),"CHECK Full day / AM / PM",IF(AND('_Dates'!J356='_Dates'!T356,'_Dates'!U356&lt;&gt;"Full day",'_Dates'!V356&lt;&gt;"Full day",'_Dates'!U356&lt;&gt;'_Dates'!V356),"CHECK same-day portions disagree",IF(AND($B$6=0,OR(AND('_Dates'!U356&lt;&gt;"Full day",'_Dates'!AA356=0),AND('_Dates'!V356&lt;&gt;"Full day",'_Dates'!AB356=0))),"CHECK half-day on non-working date",IF(COUNTIF(Settings!$G$7:$G$11,D356)&lt;&gt;1,"CHECK leave type",IF(AND(Bookings!G356&lt;&gt;"Approved",Bookings!G356&lt;&gt;"Pending",Bookings!G356&lt;&gt;"Cancelled"),"CHECK status","OK")))))))))),"CHECK input"))</ns0:f>
        <ns0:v/>
      </ns0:c>
      <ns0:c r="G356" s="0">
        <ns0:f>IF(OR(F356&lt;&gt;"OK",$B$6&gt;0),0,0.5*(IF(('_Dates'!X356)&lt;('_Dates'!W356),0,INT((('_Dates'!X356)-('_Dates'!W356)+1)/7)*LEN(SUBSTITUTE(W356,"O",""))+LEN(SUBSTITUTE(MID(W356&amp;W356,WEEKDAY(('_Dates'!W356),2),MOD((('_Dates'!X356)-('_Dates'!W356)+1),7)),"O",""))-COUNTIFS(INDEX(AllClosureRows,C356,0),"&gt;="&amp;('_Dates'!W356),INDEX(AllClosureRows,C356,0),"&lt;="&amp;('_Dates'!X356)))+IF(('_Dates'!Z356)&lt;('_Dates'!Y356),0,INT((('_Dates'!Z356)-('_Dates'!Y356)+1)/7)*LEN(SUBSTITUTE(W356,"O",""))+LEN(SUBSTITUTE(MID(W356&amp;W356,WEEKDAY(('_Dates'!Y356),2),MOD((('_Dates'!Z356)-('_Dates'!Y356)+1),7)),"O",""))-COUNTIFS(INDEX(AllClosureRows,C356,0),"&gt;="&amp;('_Dates'!Y356),INDEX(AllClosureRows,C356,0),"&lt;="&amp;('_Dates'!Z356)))))</ns0:f>
        <ns0:v>0</ns0:v>
      </ns0:c>
      <ns0:c r="H356" s="0">
        <ns0:f>IF(OR(F356&lt;&gt;"OK",$B$6&gt;0),0,0.5*(IF((MIN('_Dates'!X356,Settings!$B$9))&lt;('_Dates'!W356),0,INT(((MIN('_Dates'!X356,Settings!$B$9))-('_Dates'!W356)+1)/7)*LEN(SUBSTITUTE(W356,"O",""))+LEN(SUBSTITUTE(MID(W356&amp;W356,WEEKDAY(('_Dates'!W356),2),MOD(((MIN('_Dates'!X356,Settings!$B$9))-('_Dates'!W356)+1),7)),"O",""))-COUNTIFS(INDEX(AllClosureRows,C356,0),"&gt;="&amp;('_Dates'!W356),INDEX(AllClosureRows,C356,0),"&lt;="&amp;(MIN('_Dates'!X356,Settings!$B$9))))+IF((MIN('_Dates'!Z356,Settings!$B$9))&lt;('_Dates'!Y356),0,INT(((MIN('_Dates'!Z356,Settings!$B$9))-('_Dates'!Y356)+1)/7)*LEN(SUBSTITUTE(W356,"O",""))+LEN(SUBSTITUTE(MID(W356&amp;W356,WEEKDAY(('_Dates'!Y356),2),MOD(((MIN('_Dates'!Z356,Settings!$B$9))-('_Dates'!Y356)+1),7)),"O",""))-COUNTIFS(INDEX(AllClosureRows,C356,0),"&gt;="&amp;('_Dates'!Y356),INDEX(AllClosureRows,C356,0),"&lt;="&amp;(MIN('_Dates'!Z356,Settings!$B$9))))))</ns0:f>
        <ns0:v>0</ns0:v>
      </ns0:c>
      <ns0:c r="I356" s="0">
        <ns0:f>MAX(0,G356-H356)</ns0:f>
        <ns0:v>0</ns0:v>
      </ns0:c>
      <ns0:c r="J356" s="0">
        <ns0:f>IF(OR(A356=0,F356&lt;&gt;"OK",Bookings!G356="Cancelled",$B$6&gt;0),0,IF('_Dates'!AC356=1,MAX(0,COUNTIFS(rngEngine_B,B356,rngAMStart,"&lt;="&amp;'_Dates'!X356,rngAMEnd,"&gt;="&amp;'_Dates'!W356,rngAMActive,1,rngEngine_F,"OK",rngBookings_F,"&lt;&gt;Cancelled")-1),0)+IF('_Dates'!AD356=1,MAX(0,COUNTIFS(rngEngine_B,B356,rngPMStart,"&lt;="&amp;'_Dates'!Z356,rngPMEnd,"&gt;="&amp;'_Dates'!Y356,rngPMActive,1,rngEngine_F,"OK",rngBookings_F,"&lt;&gt;Cancelled")-1),0))</ns0:f>
        <ns0:v>0</ns0:v>
      </ns0:c>
      <ns0:c r="K356" s="0" t="str">
        <ns0:f>IF(A356=0,"",IF(F356&lt;&gt;"OK",F356,IF(J356&gt;0,"CHECK overlapping entry",IF(AND($B$6=0,G356&lt;=0,Bookings!G356&lt;&gt;"Cancelled"),"CHECK no working days",IF(Bookings!G356="Cancelled","Cancelled","OK")))))</ns0:f>
        <ns0:v/>
      </ns0:c>
      <ns0:c r="L356" s="0">
        <ns0:f>IF(LEFT(K356,5)="CHECK",1,0)</ns0:f>
        <ns0:v>0</ns0:v>
      </ns0:c>
      <ns0:c r="M356" s="0">
        <ns0:f>IF(AND(L356=1,OR(C356=0,IFERROR(INDEX($X$11:$X$60,C356),0)=0)),1,0)</ns0:f>
        <ns0:v>0</ns0:v>
      </ns0:c>
      <ns0:c r="N356" s="0">
        <ns0:f>IF(OR(A356=0,L356&gt;0,$B$6&gt;0,Bookings!G356="Cancelled"),0,G356)</ns0:f>
        <ns0:v>0</ns0:v>
      </ns0:c>
      <ns0:c r="O356" s="0">
        <ns0:f>IF(AND(Bookings!G356="Approved",E356="Yes"),N356,0)</ns0:f>
        <ns0:v>0</ns0:v>
      </ns0:c>
      <ns0:c r="P356" s="0">
        <ns0:f>IF(AND(Bookings!G356="Approved",E356="Yes",L356=0,$B$6=0),H356,0)</ns0:f>
        <ns0:v>0</ns0:v>
      </ns0:c>
      <ns0:c r="Q356" s="0">
        <ns0:f>IF(AND(Bookings!G356="Approved",E356="Yes",L356=0,$B$6=0),I356,0)</ns0:f>
        <ns0:v>0</ns0:v>
      </ns0:c>
      <ns0:c r="R356" s="0">
        <ns0:f>IF(AND(Bookings!G356="Pending",E356="Yes"),N356,0)</ns0:f>
        <ns0:v>0</ns0:v>
      </ns0:c>
      <ns0:c r="S356" s="0">
        <ns0:f>IF(AND(Bookings!G356="Approved",E356="No"),N356,0)</ns0:f>
        <ns0:v>0</ns0:v>
      </ns0:c>
      <ns0:c r="T356" s="0">
        <ns0:f>IFERROR(MATCH(D356,Settings!$G$7:$G$11,0),0)</ns0:f>
        <ns0:v>0</ns0:v>
      </ns0:c>
      <ns0:c r="U356" s="0">
        <ns0:f>IF(N356&gt;0,T356+IF(Bookings!G356="Pending",10,0),0)</ns0:f>
        <ns0:v>0</ns0:v>
      </ns0:c>
      <ns0:c r="V356" s="0">
        <ns0:f>U356</ns0:f>
        <ns0:v>0</ns0:v>
      </ns0:c>
      <ns0:c r="W356" s="0" t="str">
        <ns0:f>IF(C356=0,"",INDEX($AP$11:$AP$60,C356))</ns0:f>
        <ns0:v/>
      </ns0:c>
    </ns0:row>
    <ns0:row r="357">
      <ns0:c r="A357" s="0">
        <ns0:f>IF(COUNTA(Bookings!A357:G357,Bookings!I357)=0,0,1)</ns0:f>
        <ns0:v>0</ns0:v>
      </ns0:c>
      <ns0:c r="B357" s="0" t="str">
        <ns0:f>IFERROR(TRIM(MID(Bookings!A357,FIND(" · ",Bookings!A357)+3,99)),"")</ns0:f>
        <ns0:v/>
      </ns0:c>
      <ns0:c r="C357" s="0">
        <ns0:f>IF(OR(B357="",LEN(B357)&gt;24,ISNUMBER(FIND(" ",B357)),ISNUMBER(FIND("*",B357)),ISNUMBER(FIND("?",B357)),ISNUMBER(FIND("~",B357))),0,IFERROR(MATCH(B357,Team!$A$11:$A$60,0),0))</ns0:f>
        <ns0:v>0</ns0:v>
      </ns0:c>
      <ns0:c r="D357" s="0" t="str">
        <ns0:f>IFERROR(IF(MID(Bookings!F357,LEN(Bookings!F357)-3,3)=" · ",RIGHT(Bookings!F357,1),""),"")</ns0:f>
        <ns0:v/>
      </ns0:c>
      <ns0:c r="E357" s="0" t="str">
        <ns0:f>IFERROR(INDEX(Settings!$H$7:$H$11,MATCH(D357,Settings!$G$7:$G$11,0)),"")</ns0:f>
        <ns0:v/>
      </ns0:c>
      <ns0:c r="F357" s="0" t="str">
        <ns0:f>IF(A357=0,"",IFERROR(IF(OR(B357="",C357=0),"CHECK employee selection",IF(INDEX(Team!$O$11:$O$60,C357)&lt;&gt;"OK","CHECK employee setup",IF(OR('_Dates'!J357=0,'_Dates'!T357=0),"CHECK date: use DD.MM.YYYY",IF('_Dates'!T357&lt;'_Dates'!J357,"CHECK end before start",IF(AND($B$6=0,OR('_Dates'!J357&lt;Settings!$B$7,'_Dates'!T357&gt;Settings!$B$8)),"CHECK split across leave years",IF(OR(NOT(OR('_Dates'!U357="Full day",'_Dates'!U357="AM",'_Dates'!U357="PM")),NOT(OR('_Dates'!V357="Full day",'_Dates'!V357="AM",'_Dates'!V357="PM"))),"CHECK Full day / AM / PM",IF(AND('_Dates'!J357='_Dates'!T357,'_Dates'!U357&lt;&gt;"Full day",'_Dates'!V357&lt;&gt;"Full day",'_Dates'!U357&lt;&gt;'_Dates'!V357),"CHECK same-day portions disagree",IF(AND($B$6=0,OR(AND('_Dates'!U357&lt;&gt;"Full day",'_Dates'!AA357=0),AND('_Dates'!V357&lt;&gt;"Full day",'_Dates'!AB357=0))),"CHECK half-day on non-working date",IF(COUNTIF(Settings!$G$7:$G$11,D357)&lt;&gt;1,"CHECK leave type",IF(AND(Bookings!G357&lt;&gt;"Approved",Bookings!G357&lt;&gt;"Pending",Bookings!G357&lt;&gt;"Cancelled"),"CHECK status","OK")))))))))),"CHECK input"))</ns0:f>
        <ns0:v/>
      </ns0:c>
      <ns0:c r="G357" s="0">
        <ns0:f>IF(OR(F357&lt;&gt;"OK",$B$6&gt;0),0,0.5*(IF(('_Dates'!X357)&lt;('_Dates'!W357),0,INT((('_Dates'!X357)-('_Dates'!W357)+1)/7)*LEN(SUBSTITUTE(W357,"O",""))+LEN(SUBSTITUTE(MID(W357&amp;W357,WEEKDAY(('_Dates'!W357),2),MOD((('_Dates'!X357)-('_Dates'!W357)+1),7)),"O",""))-COUNTIFS(INDEX(AllClosureRows,C357,0),"&gt;="&amp;('_Dates'!W357),INDEX(AllClosureRows,C357,0),"&lt;="&amp;('_Dates'!X357)))+IF(('_Dates'!Z357)&lt;('_Dates'!Y357),0,INT((('_Dates'!Z357)-('_Dates'!Y357)+1)/7)*LEN(SUBSTITUTE(W357,"O",""))+LEN(SUBSTITUTE(MID(W357&amp;W357,WEEKDAY(('_Dates'!Y357),2),MOD((('_Dates'!Z357)-('_Dates'!Y357)+1),7)),"O",""))-COUNTIFS(INDEX(AllClosureRows,C357,0),"&gt;="&amp;('_Dates'!Y357),INDEX(AllClosureRows,C357,0),"&lt;="&amp;('_Dates'!Z357)))))</ns0:f>
        <ns0:v>0</ns0:v>
      </ns0:c>
      <ns0:c r="H357" s="0">
        <ns0:f>IF(OR(F357&lt;&gt;"OK",$B$6&gt;0),0,0.5*(IF((MIN('_Dates'!X357,Settings!$B$9))&lt;('_Dates'!W357),0,INT(((MIN('_Dates'!X357,Settings!$B$9))-('_Dates'!W357)+1)/7)*LEN(SUBSTITUTE(W357,"O",""))+LEN(SUBSTITUTE(MID(W357&amp;W357,WEEKDAY(('_Dates'!W357),2),MOD(((MIN('_Dates'!X357,Settings!$B$9))-('_Dates'!W357)+1),7)),"O",""))-COUNTIFS(INDEX(AllClosureRows,C357,0),"&gt;="&amp;('_Dates'!W357),INDEX(AllClosureRows,C357,0),"&lt;="&amp;(MIN('_Dates'!X357,Settings!$B$9))))+IF((MIN('_Dates'!Z357,Settings!$B$9))&lt;('_Dates'!Y357),0,INT(((MIN('_Dates'!Z357,Settings!$B$9))-('_Dates'!Y357)+1)/7)*LEN(SUBSTITUTE(W357,"O",""))+LEN(SUBSTITUTE(MID(W357&amp;W357,WEEKDAY(('_Dates'!Y357),2),MOD(((MIN('_Dates'!Z357,Settings!$B$9))-('_Dates'!Y357)+1),7)),"O",""))-COUNTIFS(INDEX(AllClosureRows,C357,0),"&gt;="&amp;('_Dates'!Y357),INDEX(AllClosureRows,C357,0),"&lt;="&amp;(MIN('_Dates'!Z357,Settings!$B$9))))))</ns0:f>
        <ns0:v>0</ns0:v>
      </ns0:c>
      <ns0:c r="I357" s="0">
        <ns0:f>MAX(0,G357-H357)</ns0:f>
        <ns0:v>0</ns0:v>
      </ns0:c>
      <ns0:c r="J357" s="0">
        <ns0:f>IF(OR(A357=0,F357&lt;&gt;"OK",Bookings!G357="Cancelled",$B$6&gt;0),0,IF('_Dates'!AC357=1,MAX(0,COUNTIFS(rngEngine_B,B357,rngAMStart,"&lt;="&amp;'_Dates'!X357,rngAMEnd,"&gt;="&amp;'_Dates'!W357,rngAMActive,1,rngEngine_F,"OK",rngBookings_F,"&lt;&gt;Cancelled")-1),0)+IF('_Dates'!AD357=1,MAX(0,COUNTIFS(rngEngine_B,B357,rngPMStart,"&lt;="&amp;'_Dates'!Z357,rngPMEnd,"&gt;="&amp;'_Dates'!Y357,rngPMActive,1,rngEngine_F,"OK",rngBookings_F,"&lt;&gt;Cancelled")-1),0))</ns0:f>
        <ns0:v>0</ns0:v>
      </ns0:c>
      <ns0:c r="K357" s="0" t="str">
        <ns0:f>IF(A357=0,"",IF(F357&lt;&gt;"OK",F357,IF(J357&gt;0,"CHECK overlapping entry",IF(AND($B$6=0,G357&lt;=0,Bookings!G357&lt;&gt;"Cancelled"),"CHECK no working days",IF(Bookings!G357="Cancelled","Cancelled","OK")))))</ns0:f>
        <ns0:v/>
      </ns0:c>
      <ns0:c r="L357" s="0">
        <ns0:f>IF(LEFT(K357,5)="CHECK",1,0)</ns0:f>
        <ns0:v>0</ns0:v>
      </ns0:c>
      <ns0:c r="M357" s="0">
        <ns0:f>IF(AND(L357=1,OR(C357=0,IFERROR(INDEX($X$11:$X$60,C357),0)=0)),1,0)</ns0:f>
        <ns0:v>0</ns0:v>
      </ns0:c>
      <ns0:c r="N357" s="0">
        <ns0:f>IF(OR(A357=0,L357&gt;0,$B$6&gt;0,Bookings!G357="Cancelled"),0,G357)</ns0:f>
        <ns0:v>0</ns0:v>
      </ns0:c>
      <ns0:c r="O357" s="0">
        <ns0:f>IF(AND(Bookings!G357="Approved",E357="Yes"),N357,0)</ns0:f>
        <ns0:v>0</ns0:v>
      </ns0:c>
      <ns0:c r="P357" s="0">
        <ns0:f>IF(AND(Bookings!G357="Approved",E357="Yes",L357=0,$B$6=0),H357,0)</ns0:f>
        <ns0:v>0</ns0:v>
      </ns0:c>
      <ns0:c r="Q357" s="0">
        <ns0:f>IF(AND(Bookings!G357="Approved",E357="Yes",L357=0,$B$6=0),I357,0)</ns0:f>
        <ns0:v>0</ns0:v>
      </ns0:c>
      <ns0:c r="R357" s="0">
        <ns0:f>IF(AND(Bookings!G357="Pending",E357="Yes"),N357,0)</ns0:f>
        <ns0:v>0</ns0:v>
      </ns0:c>
      <ns0:c r="S357" s="0">
        <ns0:f>IF(AND(Bookings!G357="Approved",E357="No"),N357,0)</ns0:f>
        <ns0:v>0</ns0:v>
      </ns0:c>
      <ns0:c r="T357" s="0">
        <ns0:f>IFERROR(MATCH(D357,Settings!$G$7:$G$11,0),0)</ns0:f>
        <ns0:v>0</ns0:v>
      </ns0:c>
      <ns0:c r="U357" s="0">
        <ns0:f>IF(N357&gt;0,T357+IF(Bookings!G357="Pending",10,0),0)</ns0:f>
        <ns0:v>0</ns0:v>
      </ns0:c>
      <ns0:c r="V357" s="0">
        <ns0:f>U357</ns0:f>
        <ns0:v>0</ns0:v>
      </ns0:c>
      <ns0:c r="W357" s="0" t="str">
        <ns0:f>IF(C357=0,"",INDEX($AP$11:$AP$60,C357))</ns0:f>
        <ns0:v/>
      </ns0:c>
    </ns0:row>
    <ns0:row r="358">
      <ns0:c r="A358" s="0">
        <ns0:f>IF(COUNTA(Bookings!A358:G358,Bookings!I358)=0,0,1)</ns0:f>
        <ns0:v>0</ns0:v>
      </ns0:c>
      <ns0:c r="B358" s="0" t="str">
        <ns0:f>IFERROR(TRIM(MID(Bookings!A358,FIND(" · ",Bookings!A358)+3,99)),"")</ns0:f>
        <ns0:v/>
      </ns0:c>
      <ns0:c r="C358" s="0">
        <ns0:f>IF(OR(B358="",LEN(B358)&gt;24,ISNUMBER(FIND(" ",B358)),ISNUMBER(FIND("*",B358)),ISNUMBER(FIND("?",B358)),ISNUMBER(FIND("~",B358))),0,IFERROR(MATCH(B358,Team!$A$11:$A$60,0),0))</ns0:f>
        <ns0:v>0</ns0:v>
      </ns0:c>
      <ns0:c r="D358" s="0" t="str">
        <ns0:f>IFERROR(IF(MID(Bookings!F358,LEN(Bookings!F358)-3,3)=" · ",RIGHT(Bookings!F358,1),""),"")</ns0:f>
        <ns0:v/>
      </ns0:c>
      <ns0:c r="E358" s="0" t="str">
        <ns0:f>IFERROR(INDEX(Settings!$H$7:$H$11,MATCH(D358,Settings!$G$7:$G$11,0)),"")</ns0:f>
        <ns0:v/>
      </ns0:c>
      <ns0:c r="F358" s="0" t="str">
        <ns0:f>IF(A358=0,"",IFERROR(IF(OR(B358="",C358=0),"CHECK employee selection",IF(INDEX(Team!$O$11:$O$60,C358)&lt;&gt;"OK","CHECK employee setup",IF(OR('_Dates'!J358=0,'_Dates'!T358=0),"CHECK date: use DD.MM.YYYY",IF('_Dates'!T358&lt;'_Dates'!J358,"CHECK end before start",IF(AND($B$6=0,OR('_Dates'!J358&lt;Settings!$B$7,'_Dates'!T358&gt;Settings!$B$8)),"CHECK split across leave years",IF(OR(NOT(OR('_Dates'!U358="Full day",'_Dates'!U358="AM",'_Dates'!U358="PM")),NOT(OR('_Dates'!V358="Full day",'_Dates'!V358="AM",'_Dates'!V358="PM"))),"CHECK Full day / AM / PM",IF(AND('_Dates'!J358='_Dates'!T358,'_Dates'!U358&lt;&gt;"Full day",'_Dates'!V358&lt;&gt;"Full day",'_Dates'!U358&lt;&gt;'_Dates'!V358),"CHECK same-day portions disagree",IF(AND($B$6=0,OR(AND('_Dates'!U358&lt;&gt;"Full day",'_Dates'!AA358=0),AND('_Dates'!V358&lt;&gt;"Full day",'_Dates'!AB358=0))),"CHECK half-day on non-working date",IF(COUNTIF(Settings!$G$7:$G$11,D358)&lt;&gt;1,"CHECK leave type",IF(AND(Bookings!G358&lt;&gt;"Approved",Bookings!G358&lt;&gt;"Pending",Bookings!G358&lt;&gt;"Cancelled"),"CHECK status","OK")))))))))),"CHECK input"))</ns0:f>
        <ns0:v/>
      </ns0:c>
      <ns0:c r="G358" s="0">
        <ns0:f>IF(OR(F358&lt;&gt;"OK",$B$6&gt;0),0,0.5*(IF(('_Dates'!X358)&lt;('_Dates'!W358),0,INT((('_Dates'!X358)-('_Dates'!W358)+1)/7)*LEN(SUBSTITUTE(W358,"O",""))+LEN(SUBSTITUTE(MID(W358&amp;W358,WEEKDAY(('_Dates'!W358),2),MOD((('_Dates'!X358)-('_Dates'!W358)+1),7)),"O",""))-COUNTIFS(INDEX(AllClosureRows,C358,0),"&gt;="&amp;('_Dates'!W358),INDEX(AllClosureRows,C358,0),"&lt;="&amp;('_Dates'!X358)))+IF(('_Dates'!Z358)&lt;('_Dates'!Y358),0,INT((('_Dates'!Z358)-('_Dates'!Y358)+1)/7)*LEN(SUBSTITUTE(W358,"O",""))+LEN(SUBSTITUTE(MID(W358&amp;W358,WEEKDAY(('_Dates'!Y358),2),MOD((('_Dates'!Z358)-('_Dates'!Y358)+1),7)),"O",""))-COUNTIFS(INDEX(AllClosureRows,C358,0),"&gt;="&amp;('_Dates'!Y358),INDEX(AllClosureRows,C358,0),"&lt;="&amp;('_Dates'!Z358)))))</ns0:f>
        <ns0:v>0</ns0:v>
      </ns0:c>
      <ns0:c r="H358" s="0">
        <ns0:f>IF(OR(F358&lt;&gt;"OK",$B$6&gt;0),0,0.5*(IF((MIN('_Dates'!X358,Settings!$B$9))&lt;('_Dates'!W358),0,INT(((MIN('_Dates'!X358,Settings!$B$9))-('_Dates'!W358)+1)/7)*LEN(SUBSTITUTE(W358,"O",""))+LEN(SUBSTITUTE(MID(W358&amp;W358,WEEKDAY(('_Dates'!W358),2),MOD(((MIN('_Dates'!X358,Settings!$B$9))-('_Dates'!W358)+1),7)),"O",""))-COUNTIFS(INDEX(AllClosureRows,C358,0),"&gt;="&amp;('_Dates'!W358),INDEX(AllClosureRows,C358,0),"&lt;="&amp;(MIN('_Dates'!X358,Settings!$B$9))))+IF((MIN('_Dates'!Z358,Settings!$B$9))&lt;('_Dates'!Y358),0,INT(((MIN('_Dates'!Z358,Settings!$B$9))-('_Dates'!Y358)+1)/7)*LEN(SUBSTITUTE(W358,"O",""))+LEN(SUBSTITUTE(MID(W358&amp;W358,WEEKDAY(('_Dates'!Y358),2),MOD(((MIN('_Dates'!Z358,Settings!$B$9))-('_Dates'!Y358)+1),7)),"O",""))-COUNTIFS(INDEX(AllClosureRows,C358,0),"&gt;="&amp;('_Dates'!Y358),INDEX(AllClosureRows,C358,0),"&lt;="&amp;(MIN('_Dates'!Z358,Settings!$B$9))))))</ns0:f>
        <ns0:v>0</ns0:v>
      </ns0:c>
      <ns0:c r="I358" s="0">
        <ns0:f>MAX(0,G358-H358)</ns0:f>
        <ns0:v>0</ns0:v>
      </ns0:c>
      <ns0:c r="J358" s="0">
        <ns0:f>IF(OR(A358=0,F358&lt;&gt;"OK",Bookings!G358="Cancelled",$B$6&gt;0),0,IF('_Dates'!AC358=1,MAX(0,COUNTIFS(rngEngine_B,B358,rngAMStart,"&lt;="&amp;'_Dates'!X358,rngAMEnd,"&gt;="&amp;'_Dates'!W358,rngAMActive,1,rngEngine_F,"OK",rngBookings_F,"&lt;&gt;Cancelled")-1),0)+IF('_Dates'!AD358=1,MAX(0,COUNTIFS(rngEngine_B,B358,rngPMStart,"&lt;="&amp;'_Dates'!Z358,rngPMEnd,"&gt;="&amp;'_Dates'!Y358,rngPMActive,1,rngEngine_F,"OK",rngBookings_F,"&lt;&gt;Cancelled")-1),0))</ns0:f>
        <ns0:v>0</ns0:v>
      </ns0:c>
      <ns0:c r="K358" s="0" t="str">
        <ns0:f>IF(A358=0,"",IF(F358&lt;&gt;"OK",F358,IF(J358&gt;0,"CHECK overlapping entry",IF(AND($B$6=0,G358&lt;=0,Bookings!G358&lt;&gt;"Cancelled"),"CHECK no working days",IF(Bookings!G358="Cancelled","Cancelled","OK")))))</ns0:f>
        <ns0:v/>
      </ns0:c>
      <ns0:c r="L358" s="0">
        <ns0:f>IF(LEFT(K358,5)="CHECK",1,0)</ns0:f>
        <ns0:v>0</ns0:v>
      </ns0:c>
      <ns0:c r="M358" s="0">
        <ns0:f>IF(AND(L358=1,OR(C358=0,IFERROR(INDEX($X$11:$X$60,C358),0)=0)),1,0)</ns0:f>
        <ns0:v>0</ns0:v>
      </ns0:c>
      <ns0:c r="N358" s="0">
        <ns0:f>IF(OR(A358=0,L358&gt;0,$B$6&gt;0,Bookings!G358="Cancelled"),0,G358)</ns0:f>
        <ns0:v>0</ns0:v>
      </ns0:c>
      <ns0:c r="O358" s="0">
        <ns0:f>IF(AND(Bookings!G358="Approved",E358="Yes"),N358,0)</ns0:f>
        <ns0:v>0</ns0:v>
      </ns0:c>
      <ns0:c r="P358" s="0">
        <ns0:f>IF(AND(Bookings!G358="Approved",E358="Yes",L358=0,$B$6=0),H358,0)</ns0:f>
        <ns0:v>0</ns0:v>
      </ns0:c>
      <ns0:c r="Q358" s="0">
        <ns0:f>IF(AND(Bookings!G358="Approved",E358="Yes",L358=0,$B$6=0),I358,0)</ns0:f>
        <ns0:v>0</ns0:v>
      </ns0:c>
      <ns0:c r="R358" s="0">
        <ns0:f>IF(AND(Bookings!G358="Pending",E358="Yes"),N358,0)</ns0:f>
        <ns0:v>0</ns0:v>
      </ns0:c>
      <ns0:c r="S358" s="0">
        <ns0:f>IF(AND(Bookings!G358="Approved",E358="No"),N358,0)</ns0:f>
        <ns0:v>0</ns0:v>
      </ns0:c>
      <ns0:c r="T358" s="0">
        <ns0:f>IFERROR(MATCH(D358,Settings!$G$7:$G$11,0),0)</ns0:f>
        <ns0:v>0</ns0:v>
      </ns0:c>
      <ns0:c r="U358" s="0">
        <ns0:f>IF(N358&gt;0,T358+IF(Bookings!G358="Pending",10,0),0)</ns0:f>
        <ns0:v>0</ns0:v>
      </ns0:c>
      <ns0:c r="V358" s="0">
        <ns0:f>U358</ns0:f>
        <ns0:v>0</ns0:v>
      </ns0:c>
      <ns0:c r="W358" s="0" t="str">
        <ns0:f>IF(C358=0,"",INDEX($AP$11:$AP$60,C358))</ns0:f>
        <ns0:v/>
      </ns0:c>
    </ns0:row>
    <ns0:row r="359">
      <ns0:c r="A359" s="0">
        <ns0:f>IF(COUNTA(Bookings!A359:G359,Bookings!I359)=0,0,1)</ns0:f>
        <ns0:v>0</ns0:v>
      </ns0:c>
      <ns0:c r="B359" s="0" t="str">
        <ns0:f>IFERROR(TRIM(MID(Bookings!A359,FIND(" · ",Bookings!A359)+3,99)),"")</ns0:f>
        <ns0:v/>
      </ns0:c>
      <ns0:c r="C359" s="0">
        <ns0:f>IF(OR(B359="",LEN(B359)&gt;24,ISNUMBER(FIND(" ",B359)),ISNUMBER(FIND("*",B359)),ISNUMBER(FIND("?",B359)),ISNUMBER(FIND("~",B359))),0,IFERROR(MATCH(B359,Team!$A$11:$A$60,0),0))</ns0:f>
        <ns0:v>0</ns0:v>
      </ns0:c>
      <ns0:c r="D359" s="0" t="str">
        <ns0:f>IFERROR(IF(MID(Bookings!F359,LEN(Bookings!F359)-3,3)=" · ",RIGHT(Bookings!F359,1),""),"")</ns0:f>
        <ns0:v/>
      </ns0:c>
      <ns0:c r="E359" s="0" t="str">
        <ns0:f>IFERROR(INDEX(Settings!$H$7:$H$11,MATCH(D359,Settings!$G$7:$G$11,0)),"")</ns0:f>
        <ns0:v/>
      </ns0:c>
      <ns0:c r="F359" s="0" t="str">
        <ns0:f>IF(A359=0,"",IFERROR(IF(OR(B359="",C359=0),"CHECK employee selection",IF(INDEX(Team!$O$11:$O$60,C359)&lt;&gt;"OK","CHECK employee setup",IF(OR('_Dates'!J359=0,'_Dates'!T359=0),"CHECK date: use DD.MM.YYYY",IF('_Dates'!T359&lt;'_Dates'!J359,"CHECK end before start",IF(AND($B$6=0,OR('_Dates'!J359&lt;Settings!$B$7,'_Dates'!T359&gt;Settings!$B$8)),"CHECK split across leave years",IF(OR(NOT(OR('_Dates'!U359="Full day",'_Dates'!U359="AM",'_Dates'!U359="PM")),NOT(OR('_Dates'!V359="Full day",'_Dates'!V359="AM",'_Dates'!V359="PM"))),"CHECK Full day / AM / PM",IF(AND('_Dates'!J359='_Dates'!T359,'_Dates'!U359&lt;&gt;"Full day",'_Dates'!V359&lt;&gt;"Full day",'_Dates'!U359&lt;&gt;'_Dates'!V359),"CHECK same-day portions disagree",IF(AND($B$6=0,OR(AND('_Dates'!U359&lt;&gt;"Full day",'_Dates'!AA359=0),AND('_Dates'!V359&lt;&gt;"Full day",'_Dates'!AB359=0))),"CHECK half-day on non-working date",IF(COUNTIF(Settings!$G$7:$G$11,D359)&lt;&gt;1,"CHECK leave type",IF(AND(Bookings!G359&lt;&gt;"Approved",Bookings!G359&lt;&gt;"Pending",Bookings!G359&lt;&gt;"Cancelled"),"CHECK status","OK")))))))))),"CHECK input"))</ns0:f>
        <ns0:v/>
      </ns0:c>
      <ns0:c r="G359" s="0">
        <ns0:f>IF(OR(F359&lt;&gt;"OK",$B$6&gt;0),0,0.5*(IF(('_Dates'!X359)&lt;('_Dates'!W359),0,INT((('_Dates'!X359)-('_Dates'!W359)+1)/7)*LEN(SUBSTITUTE(W359,"O",""))+LEN(SUBSTITUTE(MID(W359&amp;W359,WEEKDAY(('_Dates'!W359),2),MOD((('_Dates'!X359)-('_Dates'!W359)+1),7)),"O",""))-COUNTIFS(INDEX(AllClosureRows,C359,0),"&gt;="&amp;('_Dates'!W359),INDEX(AllClosureRows,C359,0),"&lt;="&amp;('_Dates'!X359)))+IF(('_Dates'!Z359)&lt;('_Dates'!Y359),0,INT((('_Dates'!Z359)-('_Dates'!Y359)+1)/7)*LEN(SUBSTITUTE(W359,"O",""))+LEN(SUBSTITUTE(MID(W359&amp;W359,WEEKDAY(('_Dates'!Y359),2),MOD((('_Dates'!Z359)-('_Dates'!Y359)+1),7)),"O",""))-COUNTIFS(INDEX(AllClosureRows,C359,0),"&gt;="&amp;('_Dates'!Y359),INDEX(AllClosureRows,C359,0),"&lt;="&amp;('_Dates'!Z359)))))</ns0:f>
        <ns0:v>0</ns0:v>
      </ns0:c>
      <ns0:c r="H359" s="0">
        <ns0:f>IF(OR(F359&lt;&gt;"OK",$B$6&gt;0),0,0.5*(IF((MIN('_Dates'!X359,Settings!$B$9))&lt;('_Dates'!W359),0,INT(((MIN('_Dates'!X359,Settings!$B$9))-('_Dates'!W359)+1)/7)*LEN(SUBSTITUTE(W359,"O",""))+LEN(SUBSTITUTE(MID(W359&amp;W359,WEEKDAY(('_Dates'!W359),2),MOD(((MIN('_Dates'!X359,Settings!$B$9))-('_Dates'!W359)+1),7)),"O",""))-COUNTIFS(INDEX(AllClosureRows,C359,0),"&gt;="&amp;('_Dates'!W359),INDEX(AllClosureRows,C359,0),"&lt;="&amp;(MIN('_Dates'!X359,Settings!$B$9))))+IF((MIN('_Dates'!Z359,Settings!$B$9))&lt;('_Dates'!Y359),0,INT(((MIN('_Dates'!Z359,Settings!$B$9))-('_Dates'!Y359)+1)/7)*LEN(SUBSTITUTE(W359,"O",""))+LEN(SUBSTITUTE(MID(W359&amp;W359,WEEKDAY(('_Dates'!Y359),2),MOD(((MIN('_Dates'!Z359,Settings!$B$9))-('_Dates'!Y359)+1),7)),"O",""))-COUNTIFS(INDEX(AllClosureRows,C359,0),"&gt;="&amp;('_Dates'!Y359),INDEX(AllClosureRows,C359,0),"&lt;="&amp;(MIN('_Dates'!Z359,Settings!$B$9))))))</ns0:f>
        <ns0:v>0</ns0:v>
      </ns0:c>
      <ns0:c r="I359" s="0">
        <ns0:f>MAX(0,G359-H359)</ns0:f>
        <ns0:v>0</ns0:v>
      </ns0:c>
      <ns0:c r="J359" s="0">
        <ns0:f>IF(OR(A359=0,F359&lt;&gt;"OK",Bookings!G359="Cancelled",$B$6&gt;0),0,IF('_Dates'!AC359=1,MAX(0,COUNTIFS(rngEngine_B,B359,rngAMStart,"&lt;="&amp;'_Dates'!X359,rngAMEnd,"&gt;="&amp;'_Dates'!W359,rngAMActive,1,rngEngine_F,"OK",rngBookings_F,"&lt;&gt;Cancelled")-1),0)+IF('_Dates'!AD359=1,MAX(0,COUNTIFS(rngEngine_B,B359,rngPMStart,"&lt;="&amp;'_Dates'!Z359,rngPMEnd,"&gt;="&amp;'_Dates'!Y359,rngPMActive,1,rngEngine_F,"OK",rngBookings_F,"&lt;&gt;Cancelled")-1),0))</ns0:f>
        <ns0:v>0</ns0:v>
      </ns0:c>
      <ns0:c r="K359" s="0" t="str">
        <ns0:f>IF(A359=0,"",IF(F359&lt;&gt;"OK",F359,IF(J359&gt;0,"CHECK overlapping entry",IF(AND($B$6=0,G359&lt;=0,Bookings!G359&lt;&gt;"Cancelled"),"CHECK no working days",IF(Bookings!G359="Cancelled","Cancelled","OK")))))</ns0:f>
        <ns0:v/>
      </ns0:c>
      <ns0:c r="L359" s="0">
        <ns0:f>IF(LEFT(K359,5)="CHECK",1,0)</ns0:f>
        <ns0:v>0</ns0:v>
      </ns0:c>
      <ns0:c r="M359" s="0">
        <ns0:f>IF(AND(L359=1,OR(C359=0,IFERROR(INDEX($X$11:$X$60,C359),0)=0)),1,0)</ns0:f>
        <ns0:v>0</ns0:v>
      </ns0:c>
      <ns0:c r="N359" s="0">
        <ns0:f>IF(OR(A359=0,L359&gt;0,$B$6&gt;0,Bookings!G359="Cancelled"),0,G359)</ns0:f>
        <ns0:v>0</ns0:v>
      </ns0:c>
      <ns0:c r="O359" s="0">
        <ns0:f>IF(AND(Bookings!G359="Approved",E359="Yes"),N359,0)</ns0:f>
        <ns0:v>0</ns0:v>
      </ns0:c>
      <ns0:c r="P359" s="0">
        <ns0:f>IF(AND(Bookings!G359="Approved",E359="Yes",L359=0,$B$6=0),H359,0)</ns0:f>
        <ns0:v>0</ns0:v>
      </ns0:c>
      <ns0:c r="Q359" s="0">
        <ns0:f>IF(AND(Bookings!G359="Approved",E359="Yes",L359=0,$B$6=0),I359,0)</ns0:f>
        <ns0:v>0</ns0:v>
      </ns0:c>
      <ns0:c r="R359" s="0">
        <ns0:f>IF(AND(Bookings!G359="Pending",E359="Yes"),N359,0)</ns0:f>
        <ns0:v>0</ns0:v>
      </ns0:c>
      <ns0:c r="S359" s="0">
        <ns0:f>IF(AND(Bookings!G359="Approved",E359="No"),N359,0)</ns0:f>
        <ns0:v>0</ns0:v>
      </ns0:c>
      <ns0:c r="T359" s="0">
        <ns0:f>IFERROR(MATCH(D359,Settings!$G$7:$G$11,0),0)</ns0:f>
        <ns0:v>0</ns0:v>
      </ns0:c>
      <ns0:c r="U359" s="0">
        <ns0:f>IF(N359&gt;0,T359+IF(Bookings!G359="Pending",10,0),0)</ns0:f>
        <ns0:v>0</ns0:v>
      </ns0:c>
      <ns0:c r="V359" s="0">
        <ns0:f>U359</ns0:f>
        <ns0:v>0</ns0:v>
      </ns0:c>
      <ns0:c r="W359" s="0" t="str">
        <ns0:f>IF(C359=0,"",INDEX($AP$11:$AP$60,C359))</ns0:f>
        <ns0:v/>
      </ns0:c>
    </ns0:row>
    <ns0:row r="360">
      <ns0:c r="A360" s="0">
        <ns0:f>IF(COUNTA(Bookings!A360:G360,Bookings!I360)=0,0,1)</ns0:f>
        <ns0:v>0</ns0:v>
      </ns0:c>
      <ns0:c r="B360" s="0" t="str">
        <ns0:f>IFERROR(TRIM(MID(Bookings!A360,FIND(" · ",Bookings!A360)+3,99)),"")</ns0:f>
        <ns0:v/>
      </ns0:c>
      <ns0:c r="C360" s="0">
        <ns0:f>IF(OR(B360="",LEN(B360)&gt;24,ISNUMBER(FIND(" ",B360)),ISNUMBER(FIND("*",B360)),ISNUMBER(FIND("?",B360)),ISNUMBER(FIND("~",B360))),0,IFERROR(MATCH(B360,Team!$A$11:$A$60,0),0))</ns0:f>
        <ns0:v>0</ns0:v>
      </ns0:c>
      <ns0:c r="D360" s="0" t="str">
        <ns0:f>IFERROR(IF(MID(Bookings!F360,LEN(Bookings!F360)-3,3)=" · ",RIGHT(Bookings!F360,1),""),"")</ns0:f>
        <ns0:v/>
      </ns0:c>
      <ns0:c r="E360" s="0" t="str">
        <ns0:f>IFERROR(INDEX(Settings!$H$7:$H$11,MATCH(D360,Settings!$G$7:$G$11,0)),"")</ns0:f>
        <ns0:v/>
      </ns0:c>
      <ns0:c r="F360" s="0" t="str">
        <ns0:f>IF(A360=0,"",IFERROR(IF(OR(B360="",C360=0),"CHECK employee selection",IF(INDEX(Team!$O$11:$O$60,C360)&lt;&gt;"OK","CHECK employee setup",IF(OR('_Dates'!J360=0,'_Dates'!T360=0),"CHECK date: use DD.MM.YYYY",IF('_Dates'!T360&lt;'_Dates'!J360,"CHECK end before start",IF(AND($B$6=0,OR('_Dates'!J360&lt;Settings!$B$7,'_Dates'!T360&gt;Settings!$B$8)),"CHECK split across leave years",IF(OR(NOT(OR('_Dates'!U360="Full day",'_Dates'!U360="AM",'_Dates'!U360="PM")),NOT(OR('_Dates'!V360="Full day",'_Dates'!V360="AM",'_Dates'!V360="PM"))),"CHECK Full day / AM / PM",IF(AND('_Dates'!J360='_Dates'!T360,'_Dates'!U360&lt;&gt;"Full day",'_Dates'!V360&lt;&gt;"Full day",'_Dates'!U360&lt;&gt;'_Dates'!V360),"CHECK same-day portions disagree",IF(AND($B$6=0,OR(AND('_Dates'!U360&lt;&gt;"Full day",'_Dates'!AA360=0),AND('_Dates'!V360&lt;&gt;"Full day",'_Dates'!AB360=0))),"CHECK half-day on non-working date",IF(COUNTIF(Settings!$G$7:$G$11,D360)&lt;&gt;1,"CHECK leave type",IF(AND(Bookings!G360&lt;&gt;"Approved",Bookings!G360&lt;&gt;"Pending",Bookings!G360&lt;&gt;"Cancelled"),"CHECK status","OK")))))))))),"CHECK input"))</ns0:f>
        <ns0:v/>
      </ns0:c>
      <ns0:c r="G360" s="0">
        <ns0:f>IF(OR(F360&lt;&gt;"OK",$B$6&gt;0),0,0.5*(IF(('_Dates'!X360)&lt;('_Dates'!W360),0,INT((('_Dates'!X360)-('_Dates'!W360)+1)/7)*LEN(SUBSTITUTE(W360,"O",""))+LEN(SUBSTITUTE(MID(W360&amp;W360,WEEKDAY(('_Dates'!W360),2),MOD((('_Dates'!X360)-('_Dates'!W360)+1),7)),"O",""))-COUNTIFS(INDEX(AllClosureRows,C360,0),"&gt;="&amp;('_Dates'!W360),INDEX(AllClosureRows,C360,0),"&lt;="&amp;('_Dates'!X360)))+IF(('_Dates'!Z360)&lt;('_Dates'!Y360),0,INT((('_Dates'!Z360)-('_Dates'!Y360)+1)/7)*LEN(SUBSTITUTE(W360,"O",""))+LEN(SUBSTITUTE(MID(W360&amp;W360,WEEKDAY(('_Dates'!Y360),2),MOD((('_Dates'!Z360)-('_Dates'!Y360)+1),7)),"O",""))-COUNTIFS(INDEX(AllClosureRows,C360,0),"&gt;="&amp;('_Dates'!Y360),INDEX(AllClosureRows,C360,0),"&lt;="&amp;('_Dates'!Z360)))))</ns0:f>
        <ns0:v>0</ns0:v>
      </ns0:c>
      <ns0:c r="H360" s="0">
        <ns0:f>IF(OR(F360&lt;&gt;"OK",$B$6&gt;0),0,0.5*(IF((MIN('_Dates'!X360,Settings!$B$9))&lt;('_Dates'!W360),0,INT(((MIN('_Dates'!X360,Settings!$B$9))-('_Dates'!W360)+1)/7)*LEN(SUBSTITUTE(W360,"O",""))+LEN(SUBSTITUTE(MID(W360&amp;W360,WEEKDAY(('_Dates'!W360),2),MOD(((MIN('_Dates'!X360,Settings!$B$9))-('_Dates'!W360)+1),7)),"O",""))-COUNTIFS(INDEX(AllClosureRows,C360,0),"&gt;="&amp;('_Dates'!W360),INDEX(AllClosureRows,C360,0),"&lt;="&amp;(MIN('_Dates'!X360,Settings!$B$9))))+IF((MIN('_Dates'!Z360,Settings!$B$9))&lt;('_Dates'!Y360),0,INT(((MIN('_Dates'!Z360,Settings!$B$9))-('_Dates'!Y360)+1)/7)*LEN(SUBSTITUTE(W360,"O",""))+LEN(SUBSTITUTE(MID(W360&amp;W360,WEEKDAY(('_Dates'!Y360),2),MOD(((MIN('_Dates'!Z360,Settings!$B$9))-('_Dates'!Y360)+1),7)),"O",""))-COUNTIFS(INDEX(AllClosureRows,C360,0),"&gt;="&amp;('_Dates'!Y360),INDEX(AllClosureRows,C360,0),"&lt;="&amp;(MIN('_Dates'!Z360,Settings!$B$9))))))</ns0:f>
        <ns0:v>0</ns0:v>
      </ns0:c>
      <ns0:c r="I360" s="0">
        <ns0:f>MAX(0,G360-H360)</ns0:f>
        <ns0:v>0</ns0:v>
      </ns0:c>
      <ns0:c r="J360" s="0">
        <ns0:f>IF(OR(A360=0,F360&lt;&gt;"OK",Bookings!G360="Cancelled",$B$6&gt;0),0,IF('_Dates'!AC360=1,MAX(0,COUNTIFS(rngEngine_B,B360,rngAMStart,"&lt;="&amp;'_Dates'!X360,rngAMEnd,"&gt;="&amp;'_Dates'!W360,rngAMActive,1,rngEngine_F,"OK",rngBookings_F,"&lt;&gt;Cancelled")-1),0)+IF('_Dates'!AD360=1,MAX(0,COUNTIFS(rngEngine_B,B360,rngPMStart,"&lt;="&amp;'_Dates'!Z360,rngPMEnd,"&gt;="&amp;'_Dates'!Y360,rngPMActive,1,rngEngine_F,"OK",rngBookings_F,"&lt;&gt;Cancelled")-1),0))</ns0:f>
        <ns0:v>0</ns0:v>
      </ns0:c>
      <ns0:c r="K360" s="0" t="str">
        <ns0:f>IF(A360=0,"",IF(F360&lt;&gt;"OK",F360,IF(J360&gt;0,"CHECK overlapping entry",IF(AND($B$6=0,G360&lt;=0,Bookings!G360&lt;&gt;"Cancelled"),"CHECK no working days",IF(Bookings!G360="Cancelled","Cancelled","OK")))))</ns0:f>
        <ns0:v/>
      </ns0:c>
      <ns0:c r="L360" s="0">
        <ns0:f>IF(LEFT(K360,5)="CHECK",1,0)</ns0:f>
        <ns0:v>0</ns0:v>
      </ns0:c>
      <ns0:c r="M360" s="0">
        <ns0:f>IF(AND(L360=1,OR(C360=0,IFERROR(INDEX($X$11:$X$60,C360),0)=0)),1,0)</ns0:f>
        <ns0:v>0</ns0:v>
      </ns0:c>
      <ns0:c r="N360" s="0">
        <ns0:f>IF(OR(A360=0,L360&gt;0,$B$6&gt;0,Bookings!G360="Cancelled"),0,G360)</ns0:f>
        <ns0:v>0</ns0:v>
      </ns0:c>
      <ns0:c r="O360" s="0">
        <ns0:f>IF(AND(Bookings!G360="Approved",E360="Yes"),N360,0)</ns0:f>
        <ns0:v>0</ns0:v>
      </ns0:c>
      <ns0:c r="P360" s="0">
        <ns0:f>IF(AND(Bookings!G360="Approved",E360="Yes",L360=0,$B$6=0),H360,0)</ns0:f>
        <ns0:v>0</ns0:v>
      </ns0:c>
      <ns0:c r="Q360" s="0">
        <ns0:f>IF(AND(Bookings!G360="Approved",E360="Yes",L360=0,$B$6=0),I360,0)</ns0:f>
        <ns0:v>0</ns0:v>
      </ns0:c>
      <ns0:c r="R360" s="0">
        <ns0:f>IF(AND(Bookings!G360="Pending",E360="Yes"),N360,0)</ns0:f>
        <ns0:v>0</ns0:v>
      </ns0:c>
      <ns0:c r="S360" s="0">
        <ns0:f>IF(AND(Bookings!G360="Approved",E360="No"),N360,0)</ns0:f>
        <ns0:v>0</ns0:v>
      </ns0:c>
      <ns0:c r="T360" s="0">
        <ns0:f>IFERROR(MATCH(D360,Settings!$G$7:$G$11,0),0)</ns0:f>
        <ns0:v>0</ns0:v>
      </ns0:c>
      <ns0:c r="U360" s="0">
        <ns0:f>IF(N360&gt;0,T360+IF(Bookings!G360="Pending",10,0),0)</ns0:f>
        <ns0:v>0</ns0:v>
      </ns0:c>
      <ns0:c r="V360" s="0">
        <ns0:f>U360</ns0:f>
        <ns0:v>0</ns0:v>
      </ns0:c>
      <ns0:c r="W360" s="0" t="str">
        <ns0:f>IF(C360=0,"",INDEX($AP$11:$AP$60,C360))</ns0:f>
        <ns0:v/>
      </ns0:c>
    </ns0:row>
    <ns0:row r="361">
      <ns0:c r="A361" s="0">
        <ns0:f>IF(COUNTA(Bookings!A361:G361,Bookings!I361)=0,0,1)</ns0:f>
        <ns0:v>0</ns0:v>
      </ns0:c>
      <ns0:c r="B361" s="0" t="str">
        <ns0:f>IFERROR(TRIM(MID(Bookings!A361,FIND(" · ",Bookings!A361)+3,99)),"")</ns0:f>
        <ns0:v/>
      </ns0:c>
      <ns0:c r="C361" s="0">
        <ns0:f>IF(OR(B361="",LEN(B361)&gt;24,ISNUMBER(FIND(" ",B361)),ISNUMBER(FIND("*",B361)),ISNUMBER(FIND("?",B361)),ISNUMBER(FIND("~",B361))),0,IFERROR(MATCH(B361,Team!$A$11:$A$60,0),0))</ns0:f>
        <ns0:v>0</ns0:v>
      </ns0:c>
      <ns0:c r="D361" s="0" t="str">
        <ns0:f>IFERROR(IF(MID(Bookings!F361,LEN(Bookings!F361)-3,3)=" · ",RIGHT(Bookings!F361,1),""),"")</ns0:f>
        <ns0:v/>
      </ns0:c>
      <ns0:c r="E361" s="0" t="str">
        <ns0:f>IFERROR(INDEX(Settings!$H$7:$H$11,MATCH(D361,Settings!$G$7:$G$11,0)),"")</ns0:f>
        <ns0:v/>
      </ns0:c>
      <ns0:c r="F361" s="0" t="str">
        <ns0:f>IF(A361=0,"",IFERROR(IF(OR(B361="",C361=0),"CHECK employee selection",IF(INDEX(Team!$O$11:$O$60,C361)&lt;&gt;"OK","CHECK employee setup",IF(OR('_Dates'!J361=0,'_Dates'!T361=0),"CHECK date: use DD.MM.YYYY",IF('_Dates'!T361&lt;'_Dates'!J361,"CHECK end before start",IF(AND($B$6=0,OR('_Dates'!J361&lt;Settings!$B$7,'_Dates'!T361&gt;Settings!$B$8)),"CHECK split across leave years",IF(OR(NOT(OR('_Dates'!U361="Full day",'_Dates'!U361="AM",'_Dates'!U361="PM")),NOT(OR('_Dates'!V361="Full day",'_Dates'!V361="AM",'_Dates'!V361="PM"))),"CHECK Full day / AM / PM",IF(AND('_Dates'!J361='_Dates'!T361,'_Dates'!U361&lt;&gt;"Full day",'_Dates'!V361&lt;&gt;"Full day",'_Dates'!U361&lt;&gt;'_Dates'!V361),"CHECK same-day portions disagree",IF(AND($B$6=0,OR(AND('_Dates'!U361&lt;&gt;"Full day",'_Dates'!AA361=0),AND('_Dates'!V361&lt;&gt;"Full day",'_Dates'!AB361=0))),"CHECK half-day on non-working date",IF(COUNTIF(Settings!$G$7:$G$11,D361)&lt;&gt;1,"CHECK leave type",IF(AND(Bookings!G361&lt;&gt;"Approved",Bookings!G361&lt;&gt;"Pending",Bookings!G361&lt;&gt;"Cancelled"),"CHECK status","OK")))))))))),"CHECK input"))</ns0:f>
        <ns0:v/>
      </ns0:c>
      <ns0:c r="G361" s="0">
        <ns0:f>IF(OR(F361&lt;&gt;"OK",$B$6&gt;0),0,0.5*(IF(('_Dates'!X361)&lt;('_Dates'!W361),0,INT((('_Dates'!X361)-('_Dates'!W361)+1)/7)*LEN(SUBSTITUTE(W361,"O",""))+LEN(SUBSTITUTE(MID(W361&amp;W361,WEEKDAY(('_Dates'!W361),2),MOD((('_Dates'!X361)-('_Dates'!W361)+1),7)),"O",""))-COUNTIFS(INDEX(AllClosureRows,C361,0),"&gt;="&amp;('_Dates'!W361),INDEX(AllClosureRows,C361,0),"&lt;="&amp;('_Dates'!X361)))+IF(('_Dates'!Z361)&lt;('_Dates'!Y361),0,INT((('_Dates'!Z361)-('_Dates'!Y361)+1)/7)*LEN(SUBSTITUTE(W361,"O",""))+LEN(SUBSTITUTE(MID(W361&amp;W361,WEEKDAY(('_Dates'!Y361),2),MOD((('_Dates'!Z361)-('_Dates'!Y361)+1),7)),"O",""))-COUNTIFS(INDEX(AllClosureRows,C361,0),"&gt;="&amp;('_Dates'!Y361),INDEX(AllClosureRows,C361,0),"&lt;="&amp;('_Dates'!Z361)))))</ns0:f>
        <ns0:v>0</ns0:v>
      </ns0:c>
      <ns0:c r="H361" s="0">
        <ns0:f>IF(OR(F361&lt;&gt;"OK",$B$6&gt;0),0,0.5*(IF((MIN('_Dates'!X361,Settings!$B$9))&lt;('_Dates'!W361),0,INT(((MIN('_Dates'!X361,Settings!$B$9))-('_Dates'!W361)+1)/7)*LEN(SUBSTITUTE(W361,"O",""))+LEN(SUBSTITUTE(MID(W361&amp;W361,WEEKDAY(('_Dates'!W361),2),MOD(((MIN('_Dates'!X361,Settings!$B$9))-('_Dates'!W361)+1),7)),"O",""))-COUNTIFS(INDEX(AllClosureRows,C361,0),"&gt;="&amp;('_Dates'!W361),INDEX(AllClosureRows,C361,0),"&lt;="&amp;(MIN('_Dates'!X361,Settings!$B$9))))+IF((MIN('_Dates'!Z361,Settings!$B$9))&lt;('_Dates'!Y361),0,INT(((MIN('_Dates'!Z361,Settings!$B$9))-('_Dates'!Y361)+1)/7)*LEN(SUBSTITUTE(W361,"O",""))+LEN(SUBSTITUTE(MID(W361&amp;W361,WEEKDAY(('_Dates'!Y361),2),MOD(((MIN('_Dates'!Z361,Settings!$B$9))-('_Dates'!Y361)+1),7)),"O",""))-COUNTIFS(INDEX(AllClosureRows,C361,0),"&gt;="&amp;('_Dates'!Y361),INDEX(AllClosureRows,C361,0),"&lt;="&amp;(MIN('_Dates'!Z361,Settings!$B$9))))))</ns0:f>
        <ns0:v>0</ns0:v>
      </ns0:c>
      <ns0:c r="I361" s="0">
        <ns0:f>MAX(0,G361-H361)</ns0:f>
        <ns0:v>0</ns0:v>
      </ns0:c>
      <ns0:c r="J361" s="0">
        <ns0:f>IF(OR(A361=0,F361&lt;&gt;"OK",Bookings!G361="Cancelled",$B$6&gt;0),0,IF('_Dates'!AC361=1,MAX(0,COUNTIFS(rngEngine_B,B361,rngAMStart,"&lt;="&amp;'_Dates'!X361,rngAMEnd,"&gt;="&amp;'_Dates'!W361,rngAMActive,1,rngEngine_F,"OK",rngBookings_F,"&lt;&gt;Cancelled")-1),0)+IF('_Dates'!AD361=1,MAX(0,COUNTIFS(rngEngine_B,B361,rngPMStart,"&lt;="&amp;'_Dates'!Z361,rngPMEnd,"&gt;="&amp;'_Dates'!Y361,rngPMActive,1,rngEngine_F,"OK",rngBookings_F,"&lt;&gt;Cancelled")-1),0))</ns0:f>
        <ns0:v>0</ns0:v>
      </ns0:c>
      <ns0:c r="K361" s="0" t="str">
        <ns0:f>IF(A361=0,"",IF(F361&lt;&gt;"OK",F361,IF(J361&gt;0,"CHECK overlapping entry",IF(AND($B$6=0,G361&lt;=0,Bookings!G361&lt;&gt;"Cancelled"),"CHECK no working days",IF(Bookings!G361="Cancelled","Cancelled","OK")))))</ns0:f>
        <ns0:v/>
      </ns0:c>
      <ns0:c r="L361" s="0">
        <ns0:f>IF(LEFT(K361,5)="CHECK",1,0)</ns0:f>
        <ns0:v>0</ns0:v>
      </ns0:c>
      <ns0:c r="M361" s="0">
        <ns0:f>IF(AND(L361=1,OR(C361=0,IFERROR(INDEX($X$11:$X$60,C361),0)=0)),1,0)</ns0:f>
        <ns0:v>0</ns0:v>
      </ns0:c>
      <ns0:c r="N361" s="0">
        <ns0:f>IF(OR(A361=0,L361&gt;0,$B$6&gt;0,Bookings!G361="Cancelled"),0,G361)</ns0:f>
        <ns0:v>0</ns0:v>
      </ns0:c>
      <ns0:c r="O361" s="0">
        <ns0:f>IF(AND(Bookings!G361="Approved",E361="Yes"),N361,0)</ns0:f>
        <ns0:v>0</ns0:v>
      </ns0:c>
      <ns0:c r="P361" s="0">
        <ns0:f>IF(AND(Bookings!G361="Approved",E361="Yes",L361=0,$B$6=0),H361,0)</ns0:f>
        <ns0:v>0</ns0:v>
      </ns0:c>
      <ns0:c r="Q361" s="0">
        <ns0:f>IF(AND(Bookings!G361="Approved",E361="Yes",L361=0,$B$6=0),I361,0)</ns0:f>
        <ns0:v>0</ns0:v>
      </ns0:c>
      <ns0:c r="R361" s="0">
        <ns0:f>IF(AND(Bookings!G361="Pending",E361="Yes"),N361,0)</ns0:f>
        <ns0:v>0</ns0:v>
      </ns0:c>
      <ns0:c r="S361" s="0">
        <ns0:f>IF(AND(Bookings!G361="Approved",E361="No"),N361,0)</ns0:f>
        <ns0:v>0</ns0:v>
      </ns0:c>
      <ns0:c r="T361" s="0">
        <ns0:f>IFERROR(MATCH(D361,Settings!$G$7:$G$11,0),0)</ns0:f>
        <ns0:v>0</ns0:v>
      </ns0:c>
      <ns0:c r="U361" s="0">
        <ns0:f>IF(N361&gt;0,T361+IF(Bookings!G361="Pending",10,0),0)</ns0:f>
        <ns0:v>0</ns0:v>
      </ns0:c>
      <ns0:c r="V361" s="0">
        <ns0:f>U361</ns0:f>
        <ns0:v>0</ns0:v>
      </ns0:c>
      <ns0:c r="W361" s="0" t="str">
        <ns0:f>IF(C361=0,"",INDEX($AP$11:$AP$60,C361))</ns0:f>
        <ns0:v/>
      </ns0:c>
    </ns0:row>
    <ns0:row r="362">
      <ns0:c r="A362" s="0">
        <ns0:f>IF(COUNTA(Bookings!A362:G362,Bookings!I362)=0,0,1)</ns0:f>
        <ns0:v>0</ns0:v>
      </ns0:c>
      <ns0:c r="B362" s="0" t="str">
        <ns0:f>IFERROR(TRIM(MID(Bookings!A362,FIND(" · ",Bookings!A362)+3,99)),"")</ns0:f>
        <ns0:v/>
      </ns0:c>
      <ns0:c r="C362" s="0">
        <ns0:f>IF(OR(B362="",LEN(B362)&gt;24,ISNUMBER(FIND(" ",B362)),ISNUMBER(FIND("*",B362)),ISNUMBER(FIND("?",B362)),ISNUMBER(FIND("~",B362))),0,IFERROR(MATCH(B362,Team!$A$11:$A$60,0),0))</ns0:f>
        <ns0:v>0</ns0:v>
      </ns0:c>
      <ns0:c r="D362" s="0" t="str">
        <ns0:f>IFERROR(IF(MID(Bookings!F362,LEN(Bookings!F362)-3,3)=" · ",RIGHT(Bookings!F362,1),""),"")</ns0:f>
        <ns0:v/>
      </ns0:c>
      <ns0:c r="E362" s="0" t="str">
        <ns0:f>IFERROR(INDEX(Settings!$H$7:$H$11,MATCH(D362,Settings!$G$7:$G$11,0)),"")</ns0:f>
        <ns0:v/>
      </ns0:c>
      <ns0:c r="F362" s="0" t="str">
        <ns0:f>IF(A362=0,"",IFERROR(IF(OR(B362="",C362=0),"CHECK employee selection",IF(INDEX(Team!$O$11:$O$60,C362)&lt;&gt;"OK","CHECK employee setup",IF(OR('_Dates'!J362=0,'_Dates'!T362=0),"CHECK date: use DD.MM.YYYY",IF('_Dates'!T362&lt;'_Dates'!J362,"CHECK end before start",IF(AND($B$6=0,OR('_Dates'!J362&lt;Settings!$B$7,'_Dates'!T362&gt;Settings!$B$8)),"CHECK split across leave years",IF(OR(NOT(OR('_Dates'!U362="Full day",'_Dates'!U362="AM",'_Dates'!U362="PM")),NOT(OR('_Dates'!V362="Full day",'_Dates'!V362="AM",'_Dates'!V362="PM"))),"CHECK Full day / AM / PM",IF(AND('_Dates'!J362='_Dates'!T362,'_Dates'!U362&lt;&gt;"Full day",'_Dates'!V362&lt;&gt;"Full day",'_Dates'!U362&lt;&gt;'_Dates'!V362),"CHECK same-day portions disagree",IF(AND($B$6=0,OR(AND('_Dates'!U362&lt;&gt;"Full day",'_Dates'!AA362=0),AND('_Dates'!V362&lt;&gt;"Full day",'_Dates'!AB362=0))),"CHECK half-day on non-working date",IF(COUNTIF(Settings!$G$7:$G$11,D362)&lt;&gt;1,"CHECK leave type",IF(AND(Bookings!G362&lt;&gt;"Approved",Bookings!G362&lt;&gt;"Pending",Bookings!G362&lt;&gt;"Cancelled"),"CHECK status","OK")))))))))),"CHECK input"))</ns0:f>
        <ns0:v/>
      </ns0:c>
      <ns0:c r="G362" s="0">
        <ns0:f>IF(OR(F362&lt;&gt;"OK",$B$6&gt;0),0,0.5*(IF(('_Dates'!X362)&lt;('_Dates'!W362),0,INT((('_Dates'!X362)-('_Dates'!W362)+1)/7)*LEN(SUBSTITUTE(W362,"O",""))+LEN(SUBSTITUTE(MID(W362&amp;W362,WEEKDAY(('_Dates'!W362),2),MOD((('_Dates'!X362)-('_Dates'!W362)+1),7)),"O",""))-COUNTIFS(INDEX(AllClosureRows,C362,0),"&gt;="&amp;('_Dates'!W362),INDEX(AllClosureRows,C362,0),"&lt;="&amp;('_Dates'!X362)))+IF(('_Dates'!Z362)&lt;('_Dates'!Y362),0,INT((('_Dates'!Z362)-('_Dates'!Y362)+1)/7)*LEN(SUBSTITUTE(W362,"O",""))+LEN(SUBSTITUTE(MID(W362&amp;W362,WEEKDAY(('_Dates'!Y362),2),MOD((('_Dates'!Z362)-('_Dates'!Y362)+1),7)),"O",""))-COUNTIFS(INDEX(AllClosureRows,C362,0),"&gt;="&amp;('_Dates'!Y362),INDEX(AllClosureRows,C362,0),"&lt;="&amp;('_Dates'!Z362)))))</ns0:f>
        <ns0:v>0</ns0:v>
      </ns0:c>
      <ns0:c r="H362" s="0">
        <ns0:f>IF(OR(F362&lt;&gt;"OK",$B$6&gt;0),0,0.5*(IF((MIN('_Dates'!X362,Settings!$B$9))&lt;('_Dates'!W362),0,INT(((MIN('_Dates'!X362,Settings!$B$9))-('_Dates'!W362)+1)/7)*LEN(SUBSTITUTE(W362,"O",""))+LEN(SUBSTITUTE(MID(W362&amp;W362,WEEKDAY(('_Dates'!W362),2),MOD(((MIN('_Dates'!X362,Settings!$B$9))-('_Dates'!W362)+1),7)),"O",""))-COUNTIFS(INDEX(AllClosureRows,C362,0),"&gt;="&amp;('_Dates'!W362),INDEX(AllClosureRows,C362,0),"&lt;="&amp;(MIN('_Dates'!X362,Settings!$B$9))))+IF((MIN('_Dates'!Z362,Settings!$B$9))&lt;('_Dates'!Y362),0,INT(((MIN('_Dates'!Z362,Settings!$B$9))-('_Dates'!Y362)+1)/7)*LEN(SUBSTITUTE(W362,"O",""))+LEN(SUBSTITUTE(MID(W362&amp;W362,WEEKDAY(('_Dates'!Y362),2),MOD(((MIN('_Dates'!Z362,Settings!$B$9))-('_Dates'!Y362)+1),7)),"O",""))-COUNTIFS(INDEX(AllClosureRows,C362,0),"&gt;="&amp;('_Dates'!Y362),INDEX(AllClosureRows,C362,0),"&lt;="&amp;(MIN('_Dates'!Z362,Settings!$B$9))))))</ns0:f>
        <ns0:v>0</ns0:v>
      </ns0:c>
      <ns0:c r="I362" s="0">
        <ns0:f>MAX(0,G362-H362)</ns0:f>
        <ns0:v>0</ns0:v>
      </ns0:c>
      <ns0:c r="J362" s="0">
        <ns0:f>IF(OR(A362=0,F362&lt;&gt;"OK",Bookings!G362="Cancelled",$B$6&gt;0),0,IF('_Dates'!AC362=1,MAX(0,COUNTIFS(rngEngine_B,B362,rngAMStart,"&lt;="&amp;'_Dates'!X362,rngAMEnd,"&gt;="&amp;'_Dates'!W362,rngAMActive,1,rngEngine_F,"OK",rngBookings_F,"&lt;&gt;Cancelled")-1),0)+IF('_Dates'!AD362=1,MAX(0,COUNTIFS(rngEngine_B,B362,rngPMStart,"&lt;="&amp;'_Dates'!Z362,rngPMEnd,"&gt;="&amp;'_Dates'!Y362,rngPMActive,1,rngEngine_F,"OK",rngBookings_F,"&lt;&gt;Cancelled")-1),0))</ns0:f>
        <ns0:v>0</ns0:v>
      </ns0:c>
      <ns0:c r="K362" s="0" t="str">
        <ns0:f>IF(A362=0,"",IF(F362&lt;&gt;"OK",F362,IF(J362&gt;0,"CHECK overlapping entry",IF(AND($B$6=0,G362&lt;=0,Bookings!G362&lt;&gt;"Cancelled"),"CHECK no working days",IF(Bookings!G362="Cancelled","Cancelled","OK")))))</ns0:f>
        <ns0:v/>
      </ns0:c>
      <ns0:c r="L362" s="0">
        <ns0:f>IF(LEFT(K362,5)="CHECK",1,0)</ns0:f>
        <ns0:v>0</ns0:v>
      </ns0:c>
      <ns0:c r="M362" s="0">
        <ns0:f>IF(AND(L362=1,OR(C362=0,IFERROR(INDEX($X$11:$X$60,C362),0)=0)),1,0)</ns0:f>
        <ns0:v>0</ns0:v>
      </ns0:c>
      <ns0:c r="N362" s="0">
        <ns0:f>IF(OR(A362=0,L362&gt;0,$B$6&gt;0,Bookings!G362="Cancelled"),0,G362)</ns0:f>
        <ns0:v>0</ns0:v>
      </ns0:c>
      <ns0:c r="O362" s="0">
        <ns0:f>IF(AND(Bookings!G362="Approved",E362="Yes"),N362,0)</ns0:f>
        <ns0:v>0</ns0:v>
      </ns0:c>
      <ns0:c r="P362" s="0">
        <ns0:f>IF(AND(Bookings!G362="Approved",E362="Yes",L362=0,$B$6=0),H362,0)</ns0:f>
        <ns0:v>0</ns0:v>
      </ns0:c>
      <ns0:c r="Q362" s="0">
        <ns0:f>IF(AND(Bookings!G362="Approved",E362="Yes",L362=0,$B$6=0),I362,0)</ns0:f>
        <ns0:v>0</ns0:v>
      </ns0:c>
      <ns0:c r="R362" s="0">
        <ns0:f>IF(AND(Bookings!G362="Pending",E362="Yes"),N362,0)</ns0:f>
        <ns0:v>0</ns0:v>
      </ns0:c>
      <ns0:c r="S362" s="0">
        <ns0:f>IF(AND(Bookings!G362="Approved",E362="No"),N362,0)</ns0:f>
        <ns0:v>0</ns0:v>
      </ns0:c>
      <ns0:c r="T362" s="0">
        <ns0:f>IFERROR(MATCH(D362,Settings!$G$7:$G$11,0),0)</ns0:f>
        <ns0:v>0</ns0:v>
      </ns0:c>
      <ns0:c r="U362" s="0">
        <ns0:f>IF(N362&gt;0,T362+IF(Bookings!G362="Pending",10,0),0)</ns0:f>
        <ns0:v>0</ns0:v>
      </ns0:c>
      <ns0:c r="V362" s="0">
        <ns0:f>U362</ns0:f>
        <ns0:v>0</ns0:v>
      </ns0:c>
      <ns0:c r="W362" s="0" t="str">
        <ns0:f>IF(C362=0,"",INDEX($AP$11:$AP$60,C362))</ns0:f>
        <ns0:v/>
      </ns0:c>
    </ns0:row>
    <ns0:row r="363">
      <ns0:c r="A363" s="0">
        <ns0:f>IF(COUNTA(Bookings!A363:G363,Bookings!I363)=0,0,1)</ns0:f>
        <ns0:v>0</ns0:v>
      </ns0:c>
      <ns0:c r="B363" s="0" t="str">
        <ns0:f>IFERROR(TRIM(MID(Bookings!A363,FIND(" · ",Bookings!A363)+3,99)),"")</ns0:f>
        <ns0:v/>
      </ns0:c>
      <ns0:c r="C363" s="0">
        <ns0:f>IF(OR(B363="",LEN(B363)&gt;24,ISNUMBER(FIND(" ",B363)),ISNUMBER(FIND("*",B363)),ISNUMBER(FIND("?",B363)),ISNUMBER(FIND("~",B363))),0,IFERROR(MATCH(B363,Team!$A$11:$A$60,0),0))</ns0:f>
        <ns0:v>0</ns0:v>
      </ns0:c>
      <ns0:c r="D363" s="0" t="str">
        <ns0:f>IFERROR(IF(MID(Bookings!F363,LEN(Bookings!F363)-3,3)=" · ",RIGHT(Bookings!F363,1),""),"")</ns0:f>
        <ns0:v/>
      </ns0:c>
      <ns0:c r="E363" s="0" t="str">
        <ns0:f>IFERROR(INDEX(Settings!$H$7:$H$11,MATCH(D363,Settings!$G$7:$G$11,0)),"")</ns0:f>
        <ns0:v/>
      </ns0:c>
      <ns0:c r="F363" s="0" t="str">
        <ns0:f>IF(A363=0,"",IFERROR(IF(OR(B363="",C363=0),"CHECK employee selection",IF(INDEX(Team!$O$11:$O$60,C363)&lt;&gt;"OK","CHECK employee setup",IF(OR('_Dates'!J363=0,'_Dates'!T363=0),"CHECK date: use DD.MM.YYYY",IF('_Dates'!T363&lt;'_Dates'!J363,"CHECK end before start",IF(AND($B$6=0,OR('_Dates'!J363&lt;Settings!$B$7,'_Dates'!T363&gt;Settings!$B$8)),"CHECK split across leave years",IF(OR(NOT(OR('_Dates'!U363="Full day",'_Dates'!U363="AM",'_Dates'!U363="PM")),NOT(OR('_Dates'!V363="Full day",'_Dates'!V363="AM",'_Dates'!V363="PM"))),"CHECK Full day / AM / PM",IF(AND('_Dates'!J363='_Dates'!T363,'_Dates'!U363&lt;&gt;"Full day",'_Dates'!V363&lt;&gt;"Full day",'_Dates'!U363&lt;&gt;'_Dates'!V363),"CHECK same-day portions disagree",IF(AND($B$6=0,OR(AND('_Dates'!U363&lt;&gt;"Full day",'_Dates'!AA363=0),AND('_Dates'!V363&lt;&gt;"Full day",'_Dates'!AB363=0))),"CHECK half-day on non-working date",IF(COUNTIF(Settings!$G$7:$G$11,D363)&lt;&gt;1,"CHECK leave type",IF(AND(Bookings!G363&lt;&gt;"Approved",Bookings!G363&lt;&gt;"Pending",Bookings!G363&lt;&gt;"Cancelled"),"CHECK status","OK")))))))))),"CHECK input"))</ns0:f>
        <ns0:v/>
      </ns0:c>
      <ns0:c r="G363" s="0">
        <ns0:f>IF(OR(F363&lt;&gt;"OK",$B$6&gt;0),0,0.5*(IF(('_Dates'!X363)&lt;('_Dates'!W363),0,INT((('_Dates'!X363)-('_Dates'!W363)+1)/7)*LEN(SUBSTITUTE(W363,"O",""))+LEN(SUBSTITUTE(MID(W363&amp;W363,WEEKDAY(('_Dates'!W363),2),MOD((('_Dates'!X363)-('_Dates'!W363)+1),7)),"O",""))-COUNTIFS(INDEX(AllClosureRows,C363,0),"&gt;="&amp;('_Dates'!W363),INDEX(AllClosureRows,C363,0),"&lt;="&amp;('_Dates'!X363)))+IF(('_Dates'!Z363)&lt;('_Dates'!Y363),0,INT((('_Dates'!Z363)-('_Dates'!Y363)+1)/7)*LEN(SUBSTITUTE(W363,"O",""))+LEN(SUBSTITUTE(MID(W363&amp;W363,WEEKDAY(('_Dates'!Y363),2),MOD((('_Dates'!Z363)-('_Dates'!Y363)+1),7)),"O",""))-COUNTIFS(INDEX(AllClosureRows,C363,0),"&gt;="&amp;('_Dates'!Y363),INDEX(AllClosureRows,C363,0),"&lt;="&amp;('_Dates'!Z363)))))</ns0:f>
        <ns0:v>0</ns0:v>
      </ns0:c>
      <ns0:c r="H363" s="0">
        <ns0:f>IF(OR(F363&lt;&gt;"OK",$B$6&gt;0),0,0.5*(IF((MIN('_Dates'!X363,Settings!$B$9))&lt;('_Dates'!W363),0,INT(((MIN('_Dates'!X363,Settings!$B$9))-('_Dates'!W363)+1)/7)*LEN(SUBSTITUTE(W363,"O",""))+LEN(SUBSTITUTE(MID(W363&amp;W363,WEEKDAY(('_Dates'!W363),2),MOD(((MIN('_Dates'!X363,Settings!$B$9))-('_Dates'!W363)+1),7)),"O",""))-COUNTIFS(INDEX(AllClosureRows,C363,0),"&gt;="&amp;('_Dates'!W363),INDEX(AllClosureRows,C363,0),"&lt;="&amp;(MIN('_Dates'!X363,Settings!$B$9))))+IF((MIN('_Dates'!Z363,Settings!$B$9))&lt;('_Dates'!Y363),0,INT(((MIN('_Dates'!Z363,Settings!$B$9))-('_Dates'!Y363)+1)/7)*LEN(SUBSTITUTE(W363,"O",""))+LEN(SUBSTITUTE(MID(W363&amp;W363,WEEKDAY(('_Dates'!Y363),2),MOD(((MIN('_Dates'!Z363,Settings!$B$9))-('_Dates'!Y363)+1),7)),"O",""))-COUNTIFS(INDEX(AllClosureRows,C363,0),"&gt;="&amp;('_Dates'!Y363),INDEX(AllClosureRows,C363,0),"&lt;="&amp;(MIN('_Dates'!Z363,Settings!$B$9))))))</ns0:f>
        <ns0:v>0</ns0:v>
      </ns0:c>
      <ns0:c r="I363" s="0">
        <ns0:f>MAX(0,G363-H363)</ns0:f>
        <ns0:v>0</ns0:v>
      </ns0:c>
      <ns0:c r="J363" s="0">
        <ns0:f>IF(OR(A363=0,F363&lt;&gt;"OK",Bookings!G363="Cancelled",$B$6&gt;0),0,IF('_Dates'!AC363=1,MAX(0,COUNTIFS(rngEngine_B,B363,rngAMStart,"&lt;="&amp;'_Dates'!X363,rngAMEnd,"&gt;="&amp;'_Dates'!W363,rngAMActive,1,rngEngine_F,"OK",rngBookings_F,"&lt;&gt;Cancelled")-1),0)+IF('_Dates'!AD363=1,MAX(0,COUNTIFS(rngEngine_B,B363,rngPMStart,"&lt;="&amp;'_Dates'!Z363,rngPMEnd,"&gt;="&amp;'_Dates'!Y363,rngPMActive,1,rngEngine_F,"OK",rngBookings_F,"&lt;&gt;Cancelled")-1),0))</ns0:f>
        <ns0:v>0</ns0:v>
      </ns0:c>
      <ns0:c r="K363" s="0" t="str">
        <ns0:f>IF(A363=0,"",IF(F363&lt;&gt;"OK",F363,IF(J363&gt;0,"CHECK overlapping entry",IF(AND($B$6=0,G363&lt;=0,Bookings!G363&lt;&gt;"Cancelled"),"CHECK no working days",IF(Bookings!G363="Cancelled","Cancelled","OK")))))</ns0:f>
        <ns0:v/>
      </ns0:c>
      <ns0:c r="L363" s="0">
        <ns0:f>IF(LEFT(K363,5)="CHECK",1,0)</ns0:f>
        <ns0:v>0</ns0:v>
      </ns0:c>
      <ns0:c r="M363" s="0">
        <ns0:f>IF(AND(L363=1,OR(C363=0,IFERROR(INDEX($X$11:$X$60,C363),0)=0)),1,0)</ns0:f>
        <ns0:v>0</ns0:v>
      </ns0:c>
      <ns0:c r="N363" s="0">
        <ns0:f>IF(OR(A363=0,L363&gt;0,$B$6&gt;0,Bookings!G363="Cancelled"),0,G363)</ns0:f>
        <ns0:v>0</ns0:v>
      </ns0:c>
      <ns0:c r="O363" s="0">
        <ns0:f>IF(AND(Bookings!G363="Approved",E363="Yes"),N363,0)</ns0:f>
        <ns0:v>0</ns0:v>
      </ns0:c>
      <ns0:c r="P363" s="0">
        <ns0:f>IF(AND(Bookings!G363="Approved",E363="Yes",L363=0,$B$6=0),H363,0)</ns0:f>
        <ns0:v>0</ns0:v>
      </ns0:c>
      <ns0:c r="Q363" s="0">
        <ns0:f>IF(AND(Bookings!G363="Approved",E363="Yes",L363=0,$B$6=0),I363,0)</ns0:f>
        <ns0:v>0</ns0:v>
      </ns0:c>
      <ns0:c r="R363" s="0">
        <ns0:f>IF(AND(Bookings!G363="Pending",E363="Yes"),N363,0)</ns0:f>
        <ns0:v>0</ns0:v>
      </ns0:c>
      <ns0:c r="S363" s="0">
        <ns0:f>IF(AND(Bookings!G363="Approved",E363="No"),N363,0)</ns0:f>
        <ns0:v>0</ns0:v>
      </ns0:c>
      <ns0:c r="T363" s="0">
        <ns0:f>IFERROR(MATCH(D363,Settings!$G$7:$G$11,0),0)</ns0:f>
        <ns0:v>0</ns0:v>
      </ns0:c>
      <ns0:c r="U363" s="0">
        <ns0:f>IF(N363&gt;0,T363+IF(Bookings!G363="Pending",10,0),0)</ns0:f>
        <ns0:v>0</ns0:v>
      </ns0:c>
      <ns0:c r="V363" s="0">
        <ns0:f>U363</ns0:f>
        <ns0:v>0</ns0:v>
      </ns0:c>
      <ns0:c r="W363" s="0" t="str">
        <ns0:f>IF(C363=0,"",INDEX($AP$11:$AP$60,C363))</ns0:f>
        <ns0:v/>
      </ns0:c>
    </ns0:row>
    <ns0:row r="364">
      <ns0:c r="A364" s="0">
        <ns0:f>IF(COUNTA(Bookings!A364:G364,Bookings!I364)=0,0,1)</ns0:f>
        <ns0:v>0</ns0:v>
      </ns0:c>
      <ns0:c r="B364" s="0" t="str">
        <ns0:f>IFERROR(TRIM(MID(Bookings!A364,FIND(" · ",Bookings!A364)+3,99)),"")</ns0:f>
        <ns0:v/>
      </ns0:c>
      <ns0:c r="C364" s="0">
        <ns0:f>IF(OR(B364="",LEN(B364)&gt;24,ISNUMBER(FIND(" ",B364)),ISNUMBER(FIND("*",B364)),ISNUMBER(FIND("?",B364)),ISNUMBER(FIND("~",B364))),0,IFERROR(MATCH(B364,Team!$A$11:$A$60,0),0))</ns0:f>
        <ns0:v>0</ns0:v>
      </ns0:c>
      <ns0:c r="D364" s="0" t="str">
        <ns0:f>IFERROR(IF(MID(Bookings!F364,LEN(Bookings!F364)-3,3)=" · ",RIGHT(Bookings!F364,1),""),"")</ns0:f>
        <ns0:v/>
      </ns0:c>
      <ns0:c r="E364" s="0" t="str">
        <ns0:f>IFERROR(INDEX(Settings!$H$7:$H$11,MATCH(D364,Settings!$G$7:$G$11,0)),"")</ns0:f>
        <ns0:v/>
      </ns0:c>
      <ns0:c r="F364" s="0" t="str">
        <ns0:f>IF(A364=0,"",IFERROR(IF(OR(B364="",C364=0),"CHECK employee selection",IF(INDEX(Team!$O$11:$O$60,C364)&lt;&gt;"OK","CHECK employee setup",IF(OR('_Dates'!J364=0,'_Dates'!T364=0),"CHECK date: use DD.MM.YYYY",IF('_Dates'!T364&lt;'_Dates'!J364,"CHECK end before start",IF(AND($B$6=0,OR('_Dates'!J364&lt;Settings!$B$7,'_Dates'!T364&gt;Settings!$B$8)),"CHECK split across leave years",IF(OR(NOT(OR('_Dates'!U364="Full day",'_Dates'!U364="AM",'_Dates'!U364="PM")),NOT(OR('_Dates'!V364="Full day",'_Dates'!V364="AM",'_Dates'!V364="PM"))),"CHECK Full day / AM / PM",IF(AND('_Dates'!J364='_Dates'!T364,'_Dates'!U364&lt;&gt;"Full day",'_Dates'!V364&lt;&gt;"Full day",'_Dates'!U364&lt;&gt;'_Dates'!V364),"CHECK same-day portions disagree",IF(AND($B$6=0,OR(AND('_Dates'!U364&lt;&gt;"Full day",'_Dates'!AA364=0),AND('_Dates'!V364&lt;&gt;"Full day",'_Dates'!AB364=0))),"CHECK half-day on non-working date",IF(COUNTIF(Settings!$G$7:$G$11,D364)&lt;&gt;1,"CHECK leave type",IF(AND(Bookings!G364&lt;&gt;"Approved",Bookings!G364&lt;&gt;"Pending",Bookings!G364&lt;&gt;"Cancelled"),"CHECK status","OK")))))))))),"CHECK input"))</ns0:f>
        <ns0:v/>
      </ns0:c>
      <ns0:c r="G364" s="0">
        <ns0:f>IF(OR(F364&lt;&gt;"OK",$B$6&gt;0),0,0.5*(IF(('_Dates'!X364)&lt;('_Dates'!W364),0,INT((('_Dates'!X364)-('_Dates'!W364)+1)/7)*LEN(SUBSTITUTE(W364,"O",""))+LEN(SUBSTITUTE(MID(W364&amp;W364,WEEKDAY(('_Dates'!W364),2),MOD((('_Dates'!X364)-('_Dates'!W364)+1),7)),"O",""))-COUNTIFS(INDEX(AllClosureRows,C364,0),"&gt;="&amp;('_Dates'!W364),INDEX(AllClosureRows,C364,0),"&lt;="&amp;('_Dates'!X364)))+IF(('_Dates'!Z364)&lt;('_Dates'!Y364),0,INT((('_Dates'!Z364)-('_Dates'!Y364)+1)/7)*LEN(SUBSTITUTE(W364,"O",""))+LEN(SUBSTITUTE(MID(W364&amp;W364,WEEKDAY(('_Dates'!Y364),2),MOD((('_Dates'!Z364)-('_Dates'!Y364)+1),7)),"O",""))-COUNTIFS(INDEX(AllClosureRows,C364,0),"&gt;="&amp;('_Dates'!Y364),INDEX(AllClosureRows,C364,0),"&lt;="&amp;('_Dates'!Z364)))))</ns0:f>
        <ns0:v>0</ns0:v>
      </ns0:c>
      <ns0:c r="H364" s="0">
        <ns0:f>IF(OR(F364&lt;&gt;"OK",$B$6&gt;0),0,0.5*(IF((MIN('_Dates'!X364,Settings!$B$9))&lt;('_Dates'!W364),0,INT(((MIN('_Dates'!X364,Settings!$B$9))-('_Dates'!W364)+1)/7)*LEN(SUBSTITUTE(W364,"O",""))+LEN(SUBSTITUTE(MID(W364&amp;W364,WEEKDAY(('_Dates'!W364),2),MOD(((MIN('_Dates'!X364,Settings!$B$9))-('_Dates'!W364)+1),7)),"O",""))-COUNTIFS(INDEX(AllClosureRows,C364,0),"&gt;="&amp;('_Dates'!W364),INDEX(AllClosureRows,C364,0),"&lt;="&amp;(MIN('_Dates'!X364,Settings!$B$9))))+IF((MIN('_Dates'!Z364,Settings!$B$9))&lt;('_Dates'!Y364),0,INT(((MIN('_Dates'!Z364,Settings!$B$9))-('_Dates'!Y364)+1)/7)*LEN(SUBSTITUTE(W364,"O",""))+LEN(SUBSTITUTE(MID(W364&amp;W364,WEEKDAY(('_Dates'!Y364),2),MOD(((MIN('_Dates'!Z364,Settings!$B$9))-('_Dates'!Y364)+1),7)),"O",""))-COUNTIFS(INDEX(AllClosureRows,C364,0),"&gt;="&amp;('_Dates'!Y364),INDEX(AllClosureRows,C364,0),"&lt;="&amp;(MIN('_Dates'!Z364,Settings!$B$9))))))</ns0:f>
        <ns0:v>0</ns0:v>
      </ns0:c>
      <ns0:c r="I364" s="0">
        <ns0:f>MAX(0,G364-H364)</ns0:f>
        <ns0:v>0</ns0:v>
      </ns0:c>
      <ns0:c r="J364" s="0">
        <ns0:f>IF(OR(A364=0,F364&lt;&gt;"OK",Bookings!G364="Cancelled",$B$6&gt;0),0,IF('_Dates'!AC364=1,MAX(0,COUNTIFS(rngEngine_B,B364,rngAMStart,"&lt;="&amp;'_Dates'!X364,rngAMEnd,"&gt;="&amp;'_Dates'!W364,rngAMActive,1,rngEngine_F,"OK",rngBookings_F,"&lt;&gt;Cancelled")-1),0)+IF('_Dates'!AD364=1,MAX(0,COUNTIFS(rngEngine_B,B364,rngPMStart,"&lt;="&amp;'_Dates'!Z364,rngPMEnd,"&gt;="&amp;'_Dates'!Y364,rngPMActive,1,rngEngine_F,"OK",rngBookings_F,"&lt;&gt;Cancelled")-1),0))</ns0:f>
        <ns0:v>0</ns0:v>
      </ns0:c>
      <ns0:c r="K364" s="0" t="str">
        <ns0:f>IF(A364=0,"",IF(F364&lt;&gt;"OK",F364,IF(J364&gt;0,"CHECK overlapping entry",IF(AND($B$6=0,G364&lt;=0,Bookings!G364&lt;&gt;"Cancelled"),"CHECK no working days",IF(Bookings!G364="Cancelled","Cancelled","OK")))))</ns0:f>
        <ns0:v/>
      </ns0:c>
      <ns0:c r="L364" s="0">
        <ns0:f>IF(LEFT(K364,5)="CHECK",1,0)</ns0:f>
        <ns0:v>0</ns0:v>
      </ns0:c>
      <ns0:c r="M364" s="0">
        <ns0:f>IF(AND(L364=1,OR(C364=0,IFERROR(INDEX($X$11:$X$60,C364),0)=0)),1,0)</ns0:f>
        <ns0:v>0</ns0:v>
      </ns0:c>
      <ns0:c r="N364" s="0">
        <ns0:f>IF(OR(A364=0,L364&gt;0,$B$6&gt;0,Bookings!G364="Cancelled"),0,G364)</ns0:f>
        <ns0:v>0</ns0:v>
      </ns0:c>
      <ns0:c r="O364" s="0">
        <ns0:f>IF(AND(Bookings!G364="Approved",E364="Yes"),N364,0)</ns0:f>
        <ns0:v>0</ns0:v>
      </ns0:c>
      <ns0:c r="P364" s="0">
        <ns0:f>IF(AND(Bookings!G364="Approved",E364="Yes",L364=0,$B$6=0),H364,0)</ns0:f>
        <ns0:v>0</ns0:v>
      </ns0:c>
      <ns0:c r="Q364" s="0">
        <ns0:f>IF(AND(Bookings!G364="Approved",E364="Yes",L364=0,$B$6=0),I364,0)</ns0:f>
        <ns0:v>0</ns0:v>
      </ns0:c>
      <ns0:c r="R364" s="0">
        <ns0:f>IF(AND(Bookings!G364="Pending",E364="Yes"),N364,0)</ns0:f>
        <ns0:v>0</ns0:v>
      </ns0:c>
      <ns0:c r="S364" s="0">
        <ns0:f>IF(AND(Bookings!G364="Approved",E364="No"),N364,0)</ns0:f>
        <ns0:v>0</ns0:v>
      </ns0:c>
      <ns0:c r="T364" s="0">
        <ns0:f>IFERROR(MATCH(D364,Settings!$G$7:$G$11,0),0)</ns0:f>
        <ns0:v>0</ns0:v>
      </ns0:c>
      <ns0:c r="U364" s="0">
        <ns0:f>IF(N364&gt;0,T364+IF(Bookings!G364="Pending",10,0),0)</ns0:f>
        <ns0:v>0</ns0:v>
      </ns0:c>
      <ns0:c r="V364" s="0">
        <ns0:f>U364</ns0:f>
        <ns0:v>0</ns0:v>
      </ns0:c>
      <ns0:c r="W364" s="0" t="str">
        <ns0:f>IF(C364=0,"",INDEX($AP$11:$AP$60,C364))</ns0:f>
        <ns0:v/>
      </ns0:c>
    </ns0:row>
    <ns0:row r="365">
      <ns0:c r="A365" s="0">
        <ns0:f>IF(COUNTA(Bookings!A365:G365,Bookings!I365)=0,0,1)</ns0:f>
        <ns0:v>0</ns0:v>
      </ns0:c>
      <ns0:c r="B365" s="0" t="str">
        <ns0:f>IFERROR(TRIM(MID(Bookings!A365,FIND(" · ",Bookings!A365)+3,99)),"")</ns0:f>
        <ns0:v/>
      </ns0:c>
      <ns0:c r="C365" s="0">
        <ns0:f>IF(OR(B365="",LEN(B365)&gt;24,ISNUMBER(FIND(" ",B365)),ISNUMBER(FIND("*",B365)),ISNUMBER(FIND("?",B365)),ISNUMBER(FIND("~",B365))),0,IFERROR(MATCH(B365,Team!$A$11:$A$60,0),0))</ns0:f>
        <ns0:v>0</ns0:v>
      </ns0:c>
      <ns0:c r="D365" s="0" t="str">
        <ns0:f>IFERROR(IF(MID(Bookings!F365,LEN(Bookings!F365)-3,3)=" · ",RIGHT(Bookings!F365,1),""),"")</ns0:f>
        <ns0:v/>
      </ns0:c>
      <ns0:c r="E365" s="0" t="str">
        <ns0:f>IFERROR(INDEX(Settings!$H$7:$H$11,MATCH(D365,Settings!$G$7:$G$11,0)),"")</ns0:f>
        <ns0:v/>
      </ns0:c>
      <ns0:c r="F365" s="0" t="str">
        <ns0:f>IF(A365=0,"",IFERROR(IF(OR(B365="",C365=0),"CHECK employee selection",IF(INDEX(Team!$O$11:$O$60,C365)&lt;&gt;"OK","CHECK employee setup",IF(OR('_Dates'!J365=0,'_Dates'!T365=0),"CHECK date: use DD.MM.YYYY",IF('_Dates'!T365&lt;'_Dates'!J365,"CHECK end before start",IF(AND($B$6=0,OR('_Dates'!J365&lt;Settings!$B$7,'_Dates'!T365&gt;Settings!$B$8)),"CHECK split across leave years",IF(OR(NOT(OR('_Dates'!U365="Full day",'_Dates'!U365="AM",'_Dates'!U365="PM")),NOT(OR('_Dates'!V365="Full day",'_Dates'!V365="AM",'_Dates'!V365="PM"))),"CHECK Full day / AM / PM",IF(AND('_Dates'!J365='_Dates'!T365,'_Dates'!U365&lt;&gt;"Full day",'_Dates'!V365&lt;&gt;"Full day",'_Dates'!U365&lt;&gt;'_Dates'!V365),"CHECK same-day portions disagree",IF(AND($B$6=0,OR(AND('_Dates'!U365&lt;&gt;"Full day",'_Dates'!AA365=0),AND('_Dates'!V365&lt;&gt;"Full day",'_Dates'!AB365=0))),"CHECK half-day on non-working date",IF(COUNTIF(Settings!$G$7:$G$11,D365)&lt;&gt;1,"CHECK leave type",IF(AND(Bookings!G365&lt;&gt;"Approved",Bookings!G365&lt;&gt;"Pending",Bookings!G365&lt;&gt;"Cancelled"),"CHECK status","OK")))))))))),"CHECK input"))</ns0:f>
        <ns0:v/>
      </ns0:c>
      <ns0:c r="G365" s="0">
        <ns0:f>IF(OR(F365&lt;&gt;"OK",$B$6&gt;0),0,0.5*(IF(('_Dates'!X365)&lt;('_Dates'!W365),0,INT((('_Dates'!X365)-('_Dates'!W365)+1)/7)*LEN(SUBSTITUTE(W365,"O",""))+LEN(SUBSTITUTE(MID(W365&amp;W365,WEEKDAY(('_Dates'!W365),2),MOD((('_Dates'!X365)-('_Dates'!W365)+1),7)),"O",""))-COUNTIFS(INDEX(AllClosureRows,C365,0),"&gt;="&amp;('_Dates'!W365),INDEX(AllClosureRows,C365,0),"&lt;="&amp;('_Dates'!X365)))+IF(('_Dates'!Z365)&lt;('_Dates'!Y365),0,INT((('_Dates'!Z365)-('_Dates'!Y365)+1)/7)*LEN(SUBSTITUTE(W365,"O",""))+LEN(SUBSTITUTE(MID(W365&amp;W365,WEEKDAY(('_Dates'!Y365),2),MOD((('_Dates'!Z365)-('_Dates'!Y365)+1),7)),"O",""))-COUNTIFS(INDEX(AllClosureRows,C365,0),"&gt;="&amp;('_Dates'!Y365),INDEX(AllClosureRows,C365,0),"&lt;="&amp;('_Dates'!Z365)))))</ns0:f>
        <ns0:v>0</ns0:v>
      </ns0:c>
      <ns0:c r="H365" s="0">
        <ns0:f>IF(OR(F365&lt;&gt;"OK",$B$6&gt;0),0,0.5*(IF((MIN('_Dates'!X365,Settings!$B$9))&lt;('_Dates'!W365),0,INT(((MIN('_Dates'!X365,Settings!$B$9))-('_Dates'!W365)+1)/7)*LEN(SUBSTITUTE(W365,"O",""))+LEN(SUBSTITUTE(MID(W365&amp;W365,WEEKDAY(('_Dates'!W365),2),MOD(((MIN('_Dates'!X365,Settings!$B$9))-('_Dates'!W365)+1),7)),"O",""))-COUNTIFS(INDEX(AllClosureRows,C365,0),"&gt;="&amp;('_Dates'!W365),INDEX(AllClosureRows,C365,0),"&lt;="&amp;(MIN('_Dates'!X365,Settings!$B$9))))+IF((MIN('_Dates'!Z365,Settings!$B$9))&lt;('_Dates'!Y365),0,INT(((MIN('_Dates'!Z365,Settings!$B$9))-('_Dates'!Y365)+1)/7)*LEN(SUBSTITUTE(W365,"O",""))+LEN(SUBSTITUTE(MID(W365&amp;W365,WEEKDAY(('_Dates'!Y365),2),MOD(((MIN('_Dates'!Z365,Settings!$B$9))-('_Dates'!Y365)+1),7)),"O",""))-COUNTIFS(INDEX(AllClosureRows,C365,0),"&gt;="&amp;('_Dates'!Y365),INDEX(AllClosureRows,C365,0),"&lt;="&amp;(MIN('_Dates'!Z365,Settings!$B$9))))))</ns0:f>
        <ns0:v>0</ns0:v>
      </ns0:c>
      <ns0:c r="I365" s="0">
        <ns0:f>MAX(0,G365-H365)</ns0:f>
        <ns0:v>0</ns0:v>
      </ns0:c>
      <ns0:c r="J365" s="0">
        <ns0:f>IF(OR(A365=0,F365&lt;&gt;"OK",Bookings!G365="Cancelled",$B$6&gt;0),0,IF('_Dates'!AC365=1,MAX(0,COUNTIFS(rngEngine_B,B365,rngAMStart,"&lt;="&amp;'_Dates'!X365,rngAMEnd,"&gt;="&amp;'_Dates'!W365,rngAMActive,1,rngEngine_F,"OK",rngBookings_F,"&lt;&gt;Cancelled")-1),0)+IF('_Dates'!AD365=1,MAX(0,COUNTIFS(rngEngine_B,B365,rngPMStart,"&lt;="&amp;'_Dates'!Z365,rngPMEnd,"&gt;="&amp;'_Dates'!Y365,rngPMActive,1,rngEngine_F,"OK",rngBookings_F,"&lt;&gt;Cancelled")-1),0))</ns0:f>
        <ns0:v>0</ns0:v>
      </ns0:c>
      <ns0:c r="K365" s="0" t="str">
        <ns0:f>IF(A365=0,"",IF(F365&lt;&gt;"OK",F365,IF(J365&gt;0,"CHECK overlapping entry",IF(AND($B$6=0,G365&lt;=0,Bookings!G365&lt;&gt;"Cancelled"),"CHECK no working days",IF(Bookings!G365="Cancelled","Cancelled","OK")))))</ns0:f>
        <ns0:v/>
      </ns0:c>
      <ns0:c r="L365" s="0">
        <ns0:f>IF(LEFT(K365,5)="CHECK",1,0)</ns0:f>
        <ns0:v>0</ns0:v>
      </ns0:c>
      <ns0:c r="M365" s="0">
        <ns0:f>IF(AND(L365=1,OR(C365=0,IFERROR(INDEX($X$11:$X$60,C365),0)=0)),1,0)</ns0:f>
        <ns0:v>0</ns0:v>
      </ns0:c>
      <ns0:c r="N365" s="0">
        <ns0:f>IF(OR(A365=0,L365&gt;0,$B$6&gt;0,Bookings!G365="Cancelled"),0,G365)</ns0:f>
        <ns0:v>0</ns0:v>
      </ns0:c>
      <ns0:c r="O365" s="0">
        <ns0:f>IF(AND(Bookings!G365="Approved",E365="Yes"),N365,0)</ns0:f>
        <ns0:v>0</ns0:v>
      </ns0:c>
      <ns0:c r="P365" s="0">
        <ns0:f>IF(AND(Bookings!G365="Approved",E365="Yes",L365=0,$B$6=0),H365,0)</ns0:f>
        <ns0:v>0</ns0:v>
      </ns0:c>
      <ns0:c r="Q365" s="0">
        <ns0:f>IF(AND(Bookings!G365="Approved",E365="Yes",L365=0,$B$6=0),I365,0)</ns0:f>
        <ns0:v>0</ns0:v>
      </ns0:c>
      <ns0:c r="R365" s="0">
        <ns0:f>IF(AND(Bookings!G365="Pending",E365="Yes"),N365,0)</ns0:f>
        <ns0:v>0</ns0:v>
      </ns0:c>
      <ns0:c r="S365" s="0">
        <ns0:f>IF(AND(Bookings!G365="Approved",E365="No"),N365,0)</ns0:f>
        <ns0:v>0</ns0:v>
      </ns0:c>
      <ns0:c r="T365" s="0">
        <ns0:f>IFERROR(MATCH(D365,Settings!$G$7:$G$11,0),0)</ns0:f>
        <ns0:v>0</ns0:v>
      </ns0:c>
      <ns0:c r="U365" s="0">
        <ns0:f>IF(N365&gt;0,T365+IF(Bookings!G365="Pending",10,0),0)</ns0:f>
        <ns0:v>0</ns0:v>
      </ns0:c>
      <ns0:c r="V365" s="0">
        <ns0:f>U365</ns0:f>
        <ns0:v>0</ns0:v>
      </ns0:c>
      <ns0:c r="W365" s="0" t="str">
        <ns0:f>IF(C365=0,"",INDEX($AP$11:$AP$60,C365))</ns0:f>
        <ns0:v/>
      </ns0:c>
    </ns0:row>
    <ns0:row r="366">
      <ns0:c r="A366" s="0">
        <ns0:f>IF(COUNTA(Bookings!A366:G366,Bookings!I366)=0,0,1)</ns0:f>
        <ns0:v>0</ns0:v>
      </ns0:c>
      <ns0:c r="B366" s="0" t="str">
        <ns0:f>IFERROR(TRIM(MID(Bookings!A366,FIND(" · ",Bookings!A366)+3,99)),"")</ns0:f>
        <ns0:v/>
      </ns0:c>
      <ns0:c r="C366" s="0">
        <ns0:f>IF(OR(B366="",LEN(B366)&gt;24,ISNUMBER(FIND(" ",B366)),ISNUMBER(FIND("*",B366)),ISNUMBER(FIND("?",B366)),ISNUMBER(FIND("~",B366))),0,IFERROR(MATCH(B366,Team!$A$11:$A$60,0),0))</ns0:f>
        <ns0:v>0</ns0:v>
      </ns0:c>
      <ns0:c r="D366" s="0" t="str">
        <ns0:f>IFERROR(IF(MID(Bookings!F366,LEN(Bookings!F366)-3,3)=" · ",RIGHT(Bookings!F366,1),""),"")</ns0:f>
        <ns0:v/>
      </ns0:c>
      <ns0:c r="E366" s="0" t="str">
        <ns0:f>IFERROR(INDEX(Settings!$H$7:$H$11,MATCH(D366,Settings!$G$7:$G$11,0)),"")</ns0:f>
        <ns0:v/>
      </ns0:c>
      <ns0:c r="F366" s="0" t="str">
        <ns0:f>IF(A366=0,"",IFERROR(IF(OR(B366="",C366=0),"CHECK employee selection",IF(INDEX(Team!$O$11:$O$60,C366)&lt;&gt;"OK","CHECK employee setup",IF(OR('_Dates'!J366=0,'_Dates'!T366=0),"CHECK date: use DD.MM.YYYY",IF('_Dates'!T366&lt;'_Dates'!J366,"CHECK end before start",IF(AND($B$6=0,OR('_Dates'!J366&lt;Settings!$B$7,'_Dates'!T366&gt;Settings!$B$8)),"CHECK split across leave years",IF(OR(NOT(OR('_Dates'!U366="Full day",'_Dates'!U366="AM",'_Dates'!U366="PM")),NOT(OR('_Dates'!V366="Full day",'_Dates'!V366="AM",'_Dates'!V366="PM"))),"CHECK Full day / AM / PM",IF(AND('_Dates'!J366='_Dates'!T366,'_Dates'!U366&lt;&gt;"Full day",'_Dates'!V366&lt;&gt;"Full day",'_Dates'!U366&lt;&gt;'_Dates'!V366),"CHECK same-day portions disagree",IF(AND($B$6=0,OR(AND('_Dates'!U366&lt;&gt;"Full day",'_Dates'!AA366=0),AND('_Dates'!V366&lt;&gt;"Full day",'_Dates'!AB366=0))),"CHECK half-day on non-working date",IF(COUNTIF(Settings!$G$7:$G$11,D366)&lt;&gt;1,"CHECK leave type",IF(AND(Bookings!G366&lt;&gt;"Approved",Bookings!G366&lt;&gt;"Pending",Bookings!G366&lt;&gt;"Cancelled"),"CHECK status","OK")))))))))),"CHECK input"))</ns0:f>
        <ns0:v/>
      </ns0:c>
      <ns0:c r="G366" s="0">
        <ns0:f>IF(OR(F366&lt;&gt;"OK",$B$6&gt;0),0,0.5*(IF(('_Dates'!X366)&lt;('_Dates'!W366),0,INT((('_Dates'!X366)-('_Dates'!W366)+1)/7)*LEN(SUBSTITUTE(W366,"O",""))+LEN(SUBSTITUTE(MID(W366&amp;W366,WEEKDAY(('_Dates'!W366),2),MOD((('_Dates'!X366)-('_Dates'!W366)+1),7)),"O",""))-COUNTIFS(INDEX(AllClosureRows,C366,0),"&gt;="&amp;('_Dates'!W366),INDEX(AllClosureRows,C366,0),"&lt;="&amp;('_Dates'!X366)))+IF(('_Dates'!Z366)&lt;('_Dates'!Y366),0,INT((('_Dates'!Z366)-('_Dates'!Y366)+1)/7)*LEN(SUBSTITUTE(W366,"O",""))+LEN(SUBSTITUTE(MID(W366&amp;W366,WEEKDAY(('_Dates'!Y366),2),MOD((('_Dates'!Z366)-('_Dates'!Y366)+1),7)),"O",""))-COUNTIFS(INDEX(AllClosureRows,C366,0),"&gt;="&amp;('_Dates'!Y366),INDEX(AllClosureRows,C366,0),"&lt;="&amp;('_Dates'!Z366)))))</ns0:f>
        <ns0:v>0</ns0:v>
      </ns0:c>
      <ns0:c r="H366" s="0">
        <ns0:f>IF(OR(F366&lt;&gt;"OK",$B$6&gt;0),0,0.5*(IF((MIN('_Dates'!X366,Settings!$B$9))&lt;('_Dates'!W366),0,INT(((MIN('_Dates'!X366,Settings!$B$9))-('_Dates'!W366)+1)/7)*LEN(SUBSTITUTE(W366,"O",""))+LEN(SUBSTITUTE(MID(W366&amp;W366,WEEKDAY(('_Dates'!W366),2),MOD(((MIN('_Dates'!X366,Settings!$B$9))-('_Dates'!W366)+1),7)),"O",""))-COUNTIFS(INDEX(AllClosureRows,C366,0),"&gt;="&amp;('_Dates'!W366),INDEX(AllClosureRows,C366,0),"&lt;="&amp;(MIN('_Dates'!X366,Settings!$B$9))))+IF((MIN('_Dates'!Z366,Settings!$B$9))&lt;('_Dates'!Y366),0,INT(((MIN('_Dates'!Z366,Settings!$B$9))-('_Dates'!Y366)+1)/7)*LEN(SUBSTITUTE(W366,"O",""))+LEN(SUBSTITUTE(MID(W366&amp;W366,WEEKDAY(('_Dates'!Y366),2),MOD(((MIN('_Dates'!Z366,Settings!$B$9))-('_Dates'!Y366)+1),7)),"O",""))-COUNTIFS(INDEX(AllClosureRows,C366,0),"&gt;="&amp;('_Dates'!Y366),INDEX(AllClosureRows,C366,0),"&lt;="&amp;(MIN('_Dates'!Z366,Settings!$B$9))))))</ns0:f>
        <ns0:v>0</ns0:v>
      </ns0:c>
      <ns0:c r="I366" s="0">
        <ns0:f>MAX(0,G366-H366)</ns0:f>
        <ns0:v>0</ns0:v>
      </ns0:c>
      <ns0:c r="J366" s="0">
        <ns0:f>IF(OR(A366=0,F366&lt;&gt;"OK",Bookings!G366="Cancelled",$B$6&gt;0),0,IF('_Dates'!AC366=1,MAX(0,COUNTIFS(rngEngine_B,B366,rngAMStart,"&lt;="&amp;'_Dates'!X366,rngAMEnd,"&gt;="&amp;'_Dates'!W366,rngAMActive,1,rngEngine_F,"OK",rngBookings_F,"&lt;&gt;Cancelled")-1),0)+IF('_Dates'!AD366=1,MAX(0,COUNTIFS(rngEngine_B,B366,rngPMStart,"&lt;="&amp;'_Dates'!Z366,rngPMEnd,"&gt;="&amp;'_Dates'!Y366,rngPMActive,1,rngEngine_F,"OK",rngBookings_F,"&lt;&gt;Cancelled")-1),0))</ns0:f>
        <ns0:v>0</ns0:v>
      </ns0:c>
      <ns0:c r="K366" s="0" t="str">
        <ns0:f>IF(A366=0,"",IF(F366&lt;&gt;"OK",F366,IF(J366&gt;0,"CHECK overlapping entry",IF(AND($B$6=0,G366&lt;=0,Bookings!G366&lt;&gt;"Cancelled"),"CHECK no working days",IF(Bookings!G366="Cancelled","Cancelled","OK")))))</ns0:f>
        <ns0:v/>
      </ns0:c>
      <ns0:c r="L366" s="0">
        <ns0:f>IF(LEFT(K366,5)="CHECK",1,0)</ns0:f>
        <ns0:v>0</ns0:v>
      </ns0:c>
      <ns0:c r="M366" s="0">
        <ns0:f>IF(AND(L366=1,OR(C366=0,IFERROR(INDEX($X$11:$X$60,C366),0)=0)),1,0)</ns0:f>
        <ns0:v>0</ns0:v>
      </ns0:c>
      <ns0:c r="N366" s="0">
        <ns0:f>IF(OR(A366=0,L366&gt;0,$B$6&gt;0,Bookings!G366="Cancelled"),0,G366)</ns0:f>
        <ns0:v>0</ns0:v>
      </ns0:c>
      <ns0:c r="O366" s="0">
        <ns0:f>IF(AND(Bookings!G366="Approved",E366="Yes"),N366,0)</ns0:f>
        <ns0:v>0</ns0:v>
      </ns0:c>
      <ns0:c r="P366" s="0">
        <ns0:f>IF(AND(Bookings!G366="Approved",E366="Yes",L366=0,$B$6=0),H366,0)</ns0:f>
        <ns0:v>0</ns0:v>
      </ns0:c>
      <ns0:c r="Q366" s="0">
        <ns0:f>IF(AND(Bookings!G366="Approved",E366="Yes",L366=0,$B$6=0),I366,0)</ns0:f>
        <ns0:v>0</ns0:v>
      </ns0:c>
      <ns0:c r="R366" s="0">
        <ns0:f>IF(AND(Bookings!G366="Pending",E366="Yes"),N366,0)</ns0:f>
        <ns0:v>0</ns0:v>
      </ns0:c>
      <ns0:c r="S366" s="0">
        <ns0:f>IF(AND(Bookings!G366="Approved",E366="No"),N366,0)</ns0:f>
        <ns0:v>0</ns0:v>
      </ns0:c>
      <ns0:c r="T366" s="0">
        <ns0:f>IFERROR(MATCH(D366,Settings!$G$7:$G$11,0),0)</ns0:f>
        <ns0:v>0</ns0:v>
      </ns0:c>
      <ns0:c r="U366" s="0">
        <ns0:f>IF(N366&gt;0,T366+IF(Bookings!G366="Pending",10,0),0)</ns0:f>
        <ns0:v>0</ns0:v>
      </ns0:c>
      <ns0:c r="V366" s="0">
        <ns0:f>U366</ns0:f>
        <ns0:v>0</ns0:v>
      </ns0:c>
      <ns0:c r="W366" s="0" t="str">
        <ns0:f>IF(C366=0,"",INDEX($AP$11:$AP$60,C366))</ns0:f>
        <ns0:v/>
      </ns0:c>
    </ns0:row>
    <ns0:row r="367">
      <ns0:c r="A367" s="0">
        <ns0:f>IF(COUNTA(Bookings!A367:G367,Bookings!I367)=0,0,1)</ns0:f>
        <ns0:v>0</ns0:v>
      </ns0:c>
      <ns0:c r="B367" s="0" t="str">
        <ns0:f>IFERROR(TRIM(MID(Bookings!A367,FIND(" · ",Bookings!A367)+3,99)),"")</ns0:f>
        <ns0:v/>
      </ns0:c>
      <ns0:c r="C367" s="0">
        <ns0:f>IF(OR(B367="",LEN(B367)&gt;24,ISNUMBER(FIND(" ",B367)),ISNUMBER(FIND("*",B367)),ISNUMBER(FIND("?",B367)),ISNUMBER(FIND("~",B367))),0,IFERROR(MATCH(B367,Team!$A$11:$A$60,0),0))</ns0:f>
        <ns0:v>0</ns0:v>
      </ns0:c>
      <ns0:c r="D367" s="0" t="str">
        <ns0:f>IFERROR(IF(MID(Bookings!F367,LEN(Bookings!F367)-3,3)=" · ",RIGHT(Bookings!F367,1),""),"")</ns0:f>
        <ns0:v/>
      </ns0:c>
      <ns0:c r="E367" s="0" t="str">
        <ns0:f>IFERROR(INDEX(Settings!$H$7:$H$11,MATCH(D367,Settings!$G$7:$G$11,0)),"")</ns0:f>
        <ns0:v/>
      </ns0:c>
      <ns0:c r="F367" s="0" t="str">
        <ns0:f>IF(A367=0,"",IFERROR(IF(OR(B367="",C367=0),"CHECK employee selection",IF(INDEX(Team!$O$11:$O$60,C367)&lt;&gt;"OK","CHECK employee setup",IF(OR('_Dates'!J367=0,'_Dates'!T367=0),"CHECK date: use DD.MM.YYYY",IF('_Dates'!T367&lt;'_Dates'!J367,"CHECK end before start",IF(AND($B$6=0,OR('_Dates'!J367&lt;Settings!$B$7,'_Dates'!T367&gt;Settings!$B$8)),"CHECK split across leave years",IF(OR(NOT(OR('_Dates'!U367="Full day",'_Dates'!U367="AM",'_Dates'!U367="PM")),NOT(OR('_Dates'!V367="Full day",'_Dates'!V367="AM",'_Dates'!V367="PM"))),"CHECK Full day / AM / PM",IF(AND('_Dates'!J367='_Dates'!T367,'_Dates'!U367&lt;&gt;"Full day",'_Dates'!V367&lt;&gt;"Full day",'_Dates'!U367&lt;&gt;'_Dates'!V367),"CHECK same-day portions disagree",IF(AND($B$6=0,OR(AND('_Dates'!U367&lt;&gt;"Full day",'_Dates'!AA367=0),AND('_Dates'!V367&lt;&gt;"Full day",'_Dates'!AB367=0))),"CHECK half-day on non-working date",IF(COUNTIF(Settings!$G$7:$G$11,D367)&lt;&gt;1,"CHECK leave type",IF(AND(Bookings!G367&lt;&gt;"Approved",Bookings!G367&lt;&gt;"Pending",Bookings!G367&lt;&gt;"Cancelled"),"CHECK status","OK")))))))))),"CHECK input"))</ns0:f>
        <ns0:v/>
      </ns0:c>
      <ns0:c r="G367" s="0">
        <ns0:f>IF(OR(F367&lt;&gt;"OK",$B$6&gt;0),0,0.5*(IF(('_Dates'!X367)&lt;('_Dates'!W367),0,INT((('_Dates'!X367)-('_Dates'!W367)+1)/7)*LEN(SUBSTITUTE(W367,"O",""))+LEN(SUBSTITUTE(MID(W367&amp;W367,WEEKDAY(('_Dates'!W367),2),MOD((('_Dates'!X367)-('_Dates'!W367)+1),7)),"O",""))-COUNTIFS(INDEX(AllClosureRows,C367,0),"&gt;="&amp;('_Dates'!W367),INDEX(AllClosureRows,C367,0),"&lt;="&amp;('_Dates'!X367)))+IF(('_Dates'!Z367)&lt;('_Dates'!Y367),0,INT((('_Dates'!Z367)-('_Dates'!Y367)+1)/7)*LEN(SUBSTITUTE(W367,"O",""))+LEN(SUBSTITUTE(MID(W367&amp;W367,WEEKDAY(('_Dates'!Y367),2),MOD((('_Dates'!Z367)-('_Dates'!Y367)+1),7)),"O",""))-COUNTIFS(INDEX(AllClosureRows,C367,0),"&gt;="&amp;('_Dates'!Y367),INDEX(AllClosureRows,C367,0),"&lt;="&amp;('_Dates'!Z367)))))</ns0:f>
        <ns0:v>0</ns0:v>
      </ns0:c>
      <ns0:c r="H367" s="0">
        <ns0:f>IF(OR(F367&lt;&gt;"OK",$B$6&gt;0),0,0.5*(IF((MIN('_Dates'!X367,Settings!$B$9))&lt;('_Dates'!W367),0,INT(((MIN('_Dates'!X367,Settings!$B$9))-('_Dates'!W367)+1)/7)*LEN(SUBSTITUTE(W367,"O",""))+LEN(SUBSTITUTE(MID(W367&amp;W367,WEEKDAY(('_Dates'!W367),2),MOD(((MIN('_Dates'!X367,Settings!$B$9))-('_Dates'!W367)+1),7)),"O",""))-COUNTIFS(INDEX(AllClosureRows,C367,0),"&gt;="&amp;('_Dates'!W367),INDEX(AllClosureRows,C367,0),"&lt;="&amp;(MIN('_Dates'!X367,Settings!$B$9))))+IF((MIN('_Dates'!Z367,Settings!$B$9))&lt;('_Dates'!Y367),0,INT(((MIN('_Dates'!Z367,Settings!$B$9))-('_Dates'!Y367)+1)/7)*LEN(SUBSTITUTE(W367,"O",""))+LEN(SUBSTITUTE(MID(W367&amp;W367,WEEKDAY(('_Dates'!Y367),2),MOD(((MIN('_Dates'!Z367,Settings!$B$9))-('_Dates'!Y367)+1),7)),"O",""))-COUNTIFS(INDEX(AllClosureRows,C367,0),"&gt;="&amp;('_Dates'!Y367),INDEX(AllClosureRows,C367,0),"&lt;="&amp;(MIN('_Dates'!Z367,Settings!$B$9))))))</ns0:f>
        <ns0:v>0</ns0:v>
      </ns0:c>
      <ns0:c r="I367" s="0">
        <ns0:f>MAX(0,G367-H367)</ns0:f>
        <ns0:v>0</ns0:v>
      </ns0:c>
      <ns0:c r="J367" s="0">
        <ns0:f>IF(OR(A367=0,F367&lt;&gt;"OK",Bookings!G367="Cancelled",$B$6&gt;0),0,IF('_Dates'!AC367=1,MAX(0,COUNTIFS(rngEngine_B,B367,rngAMStart,"&lt;="&amp;'_Dates'!X367,rngAMEnd,"&gt;="&amp;'_Dates'!W367,rngAMActive,1,rngEngine_F,"OK",rngBookings_F,"&lt;&gt;Cancelled")-1),0)+IF('_Dates'!AD367=1,MAX(0,COUNTIFS(rngEngine_B,B367,rngPMStart,"&lt;="&amp;'_Dates'!Z367,rngPMEnd,"&gt;="&amp;'_Dates'!Y367,rngPMActive,1,rngEngine_F,"OK",rngBookings_F,"&lt;&gt;Cancelled")-1),0))</ns0:f>
        <ns0:v>0</ns0:v>
      </ns0:c>
      <ns0:c r="K367" s="0" t="str">
        <ns0:f>IF(A367=0,"",IF(F367&lt;&gt;"OK",F367,IF(J367&gt;0,"CHECK overlapping entry",IF(AND($B$6=0,G367&lt;=0,Bookings!G367&lt;&gt;"Cancelled"),"CHECK no working days",IF(Bookings!G367="Cancelled","Cancelled","OK")))))</ns0:f>
        <ns0:v/>
      </ns0:c>
      <ns0:c r="L367" s="0">
        <ns0:f>IF(LEFT(K367,5)="CHECK",1,0)</ns0:f>
        <ns0:v>0</ns0:v>
      </ns0:c>
      <ns0:c r="M367" s="0">
        <ns0:f>IF(AND(L367=1,OR(C367=0,IFERROR(INDEX($X$11:$X$60,C367),0)=0)),1,0)</ns0:f>
        <ns0:v>0</ns0:v>
      </ns0:c>
      <ns0:c r="N367" s="0">
        <ns0:f>IF(OR(A367=0,L367&gt;0,$B$6&gt;0,Bookings!G367="Cancelled"),0,G367)</ns0:f>
        <ns0:v>0</ns0:v>
      </ns0:c>
      <ns0:c r="O367" s="0">
        <ns0:f>IF(AND(Bookings!G367="Approved",E367="Yes"),N367,0)</ns0:f>
        <ns0:v>0</ns0:v>
      </ns0:c>
      <ns0:c r="P367" s="0">
        <ns0:f>IF(AND(Bookings!G367="Approved",E367="Yes",L367=0,$B$6=0),H367,0)</ns0:f>
        <ns0:v>0</ns0:v>
      </ns0:c>
      <ns0:c r="Q367" s="0">
        <ns0:f>IF(AND(Bookings!G367="Approved",E367="Yes",L367=0,$B$6=0),I367,0)</ns0:f>
        <ns0:v>0</ns0:v>
      </ns0:c>
      <ns0:c r="R367" s="0">
        <ns0:f>IF(AND(Bookings!G367="Pending",E367="Yes"),N367,0)</ns0:f>
        <ns0:v>0</ns0:v>
      </ns0:c>
      <ns0:c r="S367" s="0">
        <ns0:f>IF(AND(Bookings!G367="Approved",E367="No"),N367,0)</ns0:f>
        <ns0:v>0</ns0:v>
      </ns0:c>
      <ns0:c r="T367" s="0">
        <ns0:f>IFERROR(MATCH(D367,Settings!$G$7:$G$11,0),0)</ns0:f>
        <ns0:v>0</ns0:v>
      </ns0:c>
      <ns0:c r="U367" s="0">
        <ns0:f>IF(N367&gt;0,T367+IF(Bookings!G367="Pending",10,0),0)</ns0:f>
        <ns0:v>0</ns0:v>
      </ns0:c>
      <ns0:c r="V367" s="0">
        <ns0:f>U367</ns0:f>
        <ns0:v>0</ns0:v>
      </ns0:c>
      <ns0:c r="W367" s="0" t="str">
        <ns0:f>IF(C367=0,"",INDEX($AP$11:$AP$60,C367))</ns0:f>
        <ns0:v/>
      </ns0:c>
    </ns0:row>
    <ns0:row r="368">
      <ns0:c r="A368" s="0">
        <ns0:f>IF(COUNTA(Bookings!A368:G368,Bookings!I368)=0,0,1)</ns0:f>
        <ns0:v>0</ns0:v>
      </ns0:c>
      <ns0:c r="B368" s="0" t="str">
        <ns0:f>IFERROR(TRIM(MID(Bookings!A368,FIND(" · ",Bookings!A368)+3,99)),"")</ns0:f>
        <ns0:v/>
      </ns0:c>
      <ns0:c r="C368" s="0">
        <ns0:f>IF(OR(B368="",LEN(B368)&gt;24,ISNUMBER(FIND(" ",B368)),ISNUMBER(FIND("*",B368)),ISNUMBER(FIND("?",B368)),ISNUMBER(FIND("~",B368))),0,IFERROR(MATCH(B368,Team!$A$11:$A$60,0),0))</ns0:f>
        <ns0:v>0</ns0:v>
      </ns0:c>
      <ns0:c r="D368" s="0" t="str">
        <ns0:f>IFERROR(IF(MID(Bookings!F368,LEN(Bookings!F368)-3,3)=" · ",RIGHT(Bookings!F368,1),""),"")</ns0:f>
        <ns0:v/>
      </ns0:c>
      <ns0:c r="E368" s="0" t="str">
        <ns0:f>IFERROR(INDEX(Settings!$H$7:$H$11,MATCH(D368,Settings!$G$7:$G$11,0)),"")</ns0:f>
        <ns0:v/>
      </ns0:c>
      <ns0:c r="F368" s="0" t="str">
        <ns0:f>IF(A368=0,"",IFERROR(IF(OR(B368="",C368=0),"CHECK employee selection",IF(INDEX(Team!$O$11:$O$60,C368)&lt;&gt;"OK","CHECK employee setup",IF(OR('_Dates'!J368=0,'_Dates'!T368=0),"CHECK date: use DD.MM.YYYY",IF('_Dates'!T368&lt;'_Dates'!J368,"CHECK end before start",IF(AND($B$6=0,OR('_Dates'!J368&lt;Settings!$B$7,'_Dates'!T368&gt;Settings!$B$8)),"CHECK split across leave years",IF(OR(NOT(OR('_Dates'!U368="Full day",'_Dates'!U368="AM",'_Dates'!U368="PM")),NOT(OR('_Dates'!V368="Full day",'_Dates'!V368="AM",'_Dates'!V368="PM"))),"CHECK Full day / AM / PM",IF(AND('_Dates'!J368='_Dates'!T368,'_Dates'!U368&lt;&gt;"Full day",'_Dates'!V368&lt;&gt;"Full day",'_Dates'!U368&lt;&gt;'_Dates'!V368),"CHECK same-day portions disagree",IF(AND($B$6=0,OR(AND('_Dates'!U368&lt;&gt;"Full day",'_Dates'!AA368=0),AND('_Dates'!V368&lt;&gt;"Full day",'_Dates'!AB368=0))),"CHECK half-day on non-working date",IF(COUNTIF(Settings!$G$7:$G$11,D368)&lt;&gt;1,"CHECK leave type",IF(AND(Bookings!G368&lt;&gt;"Approved",Bookings!G368&lt;&gt;"Pending",Bookings!G368&lt;&gt;"Cancelled"),"CHECK status","OK")))))))))),"CHECK input"))</ns0:f>
        <ns0:v/>
      </ns0:c>
      <ns0:c r="G368" s="0">
        <ns0:f>IF(OR(F368&lt;&gt;"OK",$B$6&gt;0),0,0.5*(IF(('_Dates'!X368)&lt;('_Dates'!W368),0,INT((('_Dates'!X368)-('_Dates'!W368)+1)/7)*LEN(SUBSTITUTE(W368,"O",""))+LEN(SUBSTITUTE(MID(W368&amp;W368,WEEKDAY(('_Dates'!W368),2),MOD((('_Dates'!X368)-('_Dates'!W368)+1),7)),"O",""))-COUNTIFS(INDEX(AllClosureRows,C368,0),"&gt;="&amp;('_Dates'!W368),INDEX(AllClosureRows,C368,0),"&lt;="&amp;('_Dates'!X368)))+IF(('_Dates'!Z368)&lt;('_Dates'!Y368),0,INT((('_Dates'!Z368)-('_Dates'!Y368)+1)/7)*LEN(SUBSTITUTE(W368,"O",""))+LEN(SUBSTITUTE(MID(W368&amp;W368,WEEKDAY(('_Dates'!Y368),2),MOD((('_Dates'!Z368)-('_Dates'!Y368)+1),7)),"O",""))-COUNTIFS(INDEX(AllClosureRows,C368,0),"&gt;="&amp;('_Dates'!Y368),INDEX(AllClosureRows,C368,0),"&lt;="&amp;('_Dates'!Z368)))))</ns0:f>
        <ns0:v>0</ns0:v>
      </ns0:c>
      <ns0:c r="H368" s="0">
        <ns0:f>IF(OR(F368&lt;&gt;"OK",$B$6&gt;0),0,0.5*(IF((MIN('_Dates'!X368,Settings!$B$9))&lt;('_Dates'!W368),0,INT(((MIN('_Dates'!X368,Settings!$B$9))-('_Dates'!W368)+1)/7)*LEN(SUBSTITUTE(W368,"O",""))+LEN(SUBSTITUTE(MID(W368&amp;W368,WEEKDAY(('_Dates'!W368),2),MOD(((MIN('_Dates'!X368,Settings!$B$9))-('_Dates'!W368)+1),7)),"O",""))-COUNTIFS(INDEX(AllClosureRows,C368,0),"&gt;="&amp;('_Dates'!W368),INDEX(AllClosureRows,C368,0),"&lt;="&amp;(MIN('_Dates'!X368,Settings!$B$9))))+IF((MIN('_Dates'!Z368,Settings!$B$9))&lt;('_Dates'!Y368),0,INT(((MIN('_Dates'!Z368,Settings!$B$9))-('_Dates'!Y368)+1)/7)*LEN(SUBSTITUTE(W368,"O",""))+LEN(SUBSTITUTE(MID(W368&amp;W368,WEEKDAY(('_Dates'!Y368),2),MOD(((MIN('_Dates'!Z368,Settings!$B$9))-('_Dates'!Y368)+1),7)),"O",""))-COUNTIFS(INDEX(AllClosureRows,C368,0),"&gt;="&amp;('_Dates'!Y368),INDEX(AllClosureRows,C368,0),"&lt;="&amp;(MIN('_Dates'!Z368,Settings!$B$9))))))</ns0:f>
        <ns0:v>0</ns0:v>
      </ns0:c>
      <ns0:c r="I368" s="0">
        <ns0:f>MAX(0,G368-H368)</ns0:f>
        <ns0:v>0</ns0:v>
      </ns0:c>
      <ns0:c r="J368" s="0">
        <ns0:f>IF(OR(A368=0,F368&lt;&gt;"OK",Bookings!G368="Cancelled",$B$6&gt;0),0,IF('_Dates'!AC368=1,MAX(0,COUNTIFS(rngEngine_B,B368,rngAMStart,"&lt;="&amp;'_Dates'!X368,rngAMEnd,"&gt;="&amp;'_Dates'!W368,rngAMActive,1,rngEngine_F,"OK",rngBookings_F,"&lt;&gt;Cancelled")-1),0)+IF('_Dates'!AD368=1,MAX(0,COUNTIFS(rngEngine_B,B368,rngPMStart,"&lt;="&amp;'_Dates'!Z368,rngPMEnd,"&gt;="&amp;'_Dates'!Y368,rngPMActive,1,rngEngine_F,"OK",rngBookings_F,"&lt;&gt;Cancelled")-1),0))</ns0:f>
        <ns0:v>0</ns0:v>
      </ns0:c>
      <ns0:c r="K368" s="0" t="str">
        <ns0:f>IF(A368=0,"",IF(F368&lt;&gt;"OK",F368,IF(J368&gt;0,"CHECK overlapping entry",IF(AND($B$6=0,G368&lt;=0,Bookings!G368&lt;&gt;"Cancelled"),"CHECK no working days",IF(Bookings!G368="Cancelled","Cancelled","OK")))))</ns0:f>
        <ns0:v/>
      </ns0:c>
      <ns0:c r="L368" s="0">
        <ns0:f>IF(LEFT(K368,5)="CHECK",1,0)</ns0:f>
        <ns0:v>0</ns0:v>
      </ns0:c>
      <ns0:c r="M368" s="0">
        <ns0:f>IF(AND(L368=1,OR(C368=0,IFERROR(INDEX($X$11:$X$60,C368),0)=0)),1,0)</ns0:f>
        <ns0:v>0</ns0:v>
      </ns0:c>
      <ns0:c r="N368" s="0">
        <ns0:f>IF(OR(A368=0,L368&gt;0,$B$6&gt;0,Bookings!G368="Cancelled"),0,G368)</ns0:f>
        <ns0:v>0</ns0:v>
      </ns0:c>
      <ns0:c r="O368" s="0">
        <ns0:f>IF(AND(Bookings!G368="Approved",E368="Yes"),N368,0)</ns0:f>
        <ns0:v>0</ns0:v>
      </ns0:c>
      <ns0:c r="P368" s="0">
        <ns0:f>IF(AND(Bookings!G368="Approved",E368="Yes",L368=0,$B$6=0),H368,0)</ns0:f>
        <ns0:v>0</ns0:v>
      </ns0:c>
      <ns0:c r="Q368" s="0">
        <ns0:f>IF(AND(Bookings!G368="Approved",E368="Yes",L368=0,$B$6=0),I368,0)</ns0:f>
        <ns0:v>0</ns0:v>
      </ns0:c>
      <ns0:c r="R368" s="0">
        <ns0:f>IF(AND(Bookings!G368="Pending",E368="Yes"),N368,0)</ns0:f>
        <ns0:v>0</ns0:v>
      </ns0:c>
      <ns0:c r="S368" s="0">
        <ns0:f>IF(AND(Bookings!G368="Approved",E368="No"),N368,0)</ns0:f>
        <ns0:v>0</ns0:v>
      </ns0:c>
      <ns0:c r="T368" s="0">
        <ns0:f>IFERROR(MATCH(D368,Settings!$G$7:$G$11,0),0)</ns0:f>
        <ns0:v>0</ns0:v>
      </ns0:c>
      <ns0:c r="U368" s="0">
        <ns0:f>IF(N368&gt;0,T368+IF(Bookings!G368="Pending",10,0),0)</ns0:f>
        <ns0:v>0</ns0:v>
      </ns0:c>
      <ns0:c r="V368" s="0">
        <ns0:f>U368</ns0:f>
        <ns0:v>0</ns0:v>
      </ns0:c>
      <ns0:c r="W368" s="0" t="str">
        <ns0:f>IF(C368=0,"",INDEX($AP$11:$AP$60,C368))</ns0:f>
        <ns0:v/>
      </ns0:c>
    </ns0:row>
    <ns0:row r="369">
      <ns0:c r="A369" s="0">
        <ns0:f>IF(COUNTA(Bookings!A369:G369,Bookings!I369)=0,0,1)</ns0:f>
        <ns0:v>0</ns0:v>
      </ns0:c>
      <ns0:c r="B369" s="0" t="str">
        <ns0:f>IFERROR(TRIM(MID(Bookings!A369,FIND(" · ",Bookings!A369)+3,99)),"")</ns0:f>
        <ns0:v/>
      </ns0:c>
      <ns0:c r="C369" s="0">
        <ns0:f>IF(OR(B369="",LEN(B369)&gt;24,ISNUMBER(FIND(" ",B369)),ISNUMBER(FIND("*",B369)),ISNUMBER(FIND("?",B369)),ISNUMBER(FIND("~",B369))),0,IFERROR(MATCH(B369,Team!$A$11:$A$60,0),0))</ns0:f>
        <ns0:v>0</ns0:v>
      </ns0:c>
      <ns0:c r="D369" s="0" t="str">
        <ns0:f>IFERROR(IF(MID(Bookings!F369,LEN(Bookings!F369)-3,3)=" · ",RIGHT(Bookings!F369,1),""),"")</ns0:f>
        <ns0:v/>
      </ns0:c>
      <ns0:c r="E369" s="0" t="str">
        <ns0:f>IFERROR(INDEX(Settings!$H$7:$H$11,MATCH(D369,Settings!$G$7:$G$11,0)),"")</ns0:f>
        <ns0:v/>
      </ns0:c>
      <ns0:c r="F369" s="0" t="str">
        <ns0:f>IF(A369=0,"",IFERROR(IF(OR(B369="",C369=0),"CHECK employee selection",IF(INDEX(Team!$O$11:$O$60,C369)&lt;&gt;"OK","CHECK employee setup",IF(OR('_Dates'!J369=0,'_Dates'!T369=0),"CHECK date: use DD.MM.YYYY",IF('_Dates'!T369&lt;'_Dates'!J369,"CHECK end before start",IF(AND($B$6=0,OR('_Dates'!J369&lt;Settings!$B$7,'_Dates'!T369&gt;Settings!$B$8)),"CHECK split across leave years",IF(OR(NOT(OR('_Dates'!U369="Full day",'_Dates'!U369="AM",'_Dates'!U369="PM")),NOT(OR('_Dates'!V369="Full day",'_Dates'!V369="AM",'_Dates'!V369="PM"))),"CHECK Full day / AM / PM",IF(AND('_Dates'!J369='_Dates'!T369,'_Dates'!U369&lt;&gt;"Full day",'_Dates'!V369&lt;&gt;"Full day",'_Dates'!U369&lt;&gt;'_Dates'!V369),"CHECK same-day portions disagree",IF(AND($B$6=0,OR(AND('_Dates'!U369&lt;&gt;"Full day",'_Dates'!AA369=0),AND('_Dates'!V369&lt;&gt;"Full day",'_Dates'!AB369=0))),"CHECK half-day on non-working date",IF(COUNTIF(Settings!$G$7:$G$11,D369)&lt;&gt;1,"CHECK leave type",IF(AND(Bookings!G369&lt;&gt;"Approved",Bookings!G369&lt;&gt;"Pending",Bookings!G369&lt;&gt;"Cancelled"),"CHECK status","OK")))))))))),"CHECK input"))</ns0:f>
        <ns0:v/>
      </ns0:c>
      <ns0:c r="G369" s="0">
        <ns0:f>IF(OR(F369&lt;&gt;"OK",$B$6&gt;0),0,0.5*(IF(('_Dates'!X369)&lt;('_Dates'!W369),0,INT((('_Dates'!X369)-('_Dates'!W369)+1)/7)*LEN(SUBSTITUTE(W369,"O",""))+LEN(SUBSTITUTE(MID(W369&amp;W369,WEEKDAY(('_Dates'!W369),2),MOD((('_Dates'!X369)-('_Dates'!W369)+1),7)),"O",""))-COUNTIFS(INDEX(AllClosureRows,C369,0),"&gt;="&amp;('_Dates'!W369),INDEX(AllClosureRows,C369,0),"&lt;="&amp;('_Dates'!X369)))+IF(('_Dates'!Z369)&lt;('_Dates'!Y369),0,INT((('_Dates'!Z369)-('_Dates'!Y369)+1)/7)*LEN(SUBSTITUTE(W369,"O",""))+LEN(SUBSTITUTE(MID(W369&amp;W369,WEEKDAY(('_Dates'!Y369),2),MOD((('_Dates'!Z369)-('_Dates'!Y369)+1),7)),"O",""))-COUNTIFS(INDEX(AllClosureRows,C369,0),"&gt;="&amp;('_Dates'!Y369),INDEX(AllClosureRows,C369,0),"&lt;="&amp;('_Dates'!Z369)))))</ns0:f>
        <ns0:v>0</ns0:v>
      </ns0:c>
      <ns0:c r="H369" s="0">
        <ns0:f>IF(OR(F369&lt;&gt;"OK",$B$6&gt;0),0,0.5*(IF((MIN('_Dates'!X369,Settings!$B$9))&lt;('_Dates'!W369),0,INT(((MIN('_Dates'!X369,Settings!$B$9))-('_Dates'!W369)+1)/7)*LEN(SUBSTITUTE(W369,"O",""))+LEN(SUBSTITUTE(MID(W369&amp;W369,WEEKDAY(('_Dates'!W369),2),MOD(((MIN('_Dates'!X369,Settings!$B$9))-('_Dates'!W369)+1),7)),"O",""))-COUNTIFS(INDEX(AllClosureRows,C369,0),"&gt;="&amp;('_Dates'!W369),INDEX(AllClosureRows,C369,0),"&lt;="&amp;(MIN('_Dates'!X369,Settings!$B$9))))+IF((MIN('_Dates'!Z369,Settings!$B$9))&lt;('_Dates'!Y369),0,INT(((MIN('_Dates'!Z369,Settings!$B$9))-('_Dates'!Y369)+1)/7)*LEN(SUBSTITUTE(W369,"O",""))+LEN(SUBSTITUTE(MID(W369&amp;W369,WEEKDAY(('_Dates'!Y369),2),MOD(((MIN('_Dates'!Z369,Settings!$B$9))-('_Dates'!Y369)+1),7)),"O",""))-COUNTIFS(INDEX(AllClosureRows,C369,0),"&gt;="&amp;('_Dates'!Y369),INDEX(AllClosureRows,C369,0),"&lt;="&amp;(MIN('_Dates'!Z369,Settings!$B$9))))))</ns0:f>
        <ns0:v>0</ns0:v>
      </ns0:c>
      <ns0:c r="I369" s="0">
        <ns0:f>MAX(0,G369-H369)</ns0:f>
        <ns0:v>0</ns0:v>
      </ns0:c>
      <ns0:c r="J369" s="0">
        <ns0:f>IF(OR(A369=0,F369&lt;&gt;"OK",Bookings!G369="Cancelled",$B$6&gt;0),0,IF('_Dates'!AC369=1,MAX(0,COUNTIFS(rngEngine_B,B369,rngAMStart,"&lt;="&amp;'_Dates'!X369,rngAMEnd,"&gt;="&amp;'_Dates'!W369,rngAMActive,1,rngEngine_F,"OK",rngBookings_F,"&lt;&gt;Cancelled")-1),0)+IF('_Dates'!AD369=1,MAX(0,COUNTIFS(rngEngine_B,B369,rngPMStart,"&lt;="&amp;'_Dates'!Z369,rngPMEnd,"&gt;="&amp;'_Dates'!Y369,rngPMActive,1,rngEngine_F,"OK",rngBookings_F,"&lt;&gt;Cancelled")-1),0))</ns0:f>
        <ns0:v>0</ns0:v>
      </ns0:c>
      <ns0:c r="K369" s="0" t="str">
        <ns0:f>IF(A369=0,"",IF(F369&lt;&gt;"OK",F369,IF(J369&gt;0,"CHECK overlapping entry",IF(AND($B$6=0,G369&lt;=0,Bookings!G369&lt;&gt;"Cancelled"),"CHECK no working days",IF(Bookings!G369="Cancelled","Cancelled","OK")))))</ns0:f>
        <ns0:v/>
      </ns0:c>
      <ns0:c r="L369" s="0">
        <ns0:f>IF(LEFT(K369,5)="CHECK",1,0)</ns0:f>
        <ns0:v>0</ns0:v>
      </ns0:c>
      <ns0:c r="M369" s="0">
        <ns0:f>IF(AND(L369=1,OR(C369=0,IFERROR(INDEX($X$11:$X$60,C369),0)=0)),1,0)</ns0:f>
        <ns0:v>0</ns0:v>
      </ns0:c>
      <ns0:c r="N369" s="0">
        <ns0:f>IF(OR(A369=0,L369&gt;0,$B$6&gt;0,Bookings!G369="Cancelled"),0,G369)</ns0:f>
        <ns0:v>0</ns0:v>
      </ns0:c>
      <ns0:c r="O369" s="0">
        <ns0:f>IF(AND(Bookings!G369="Approved",E369="Yes"),N369,0)</ns0:f>
        <ns0:v>0</ns0:v>
      </ns0:c>
      <ns0:c r="P369" s="0">
        <ns0:f>IF(AND(Bookings!G369="Approved",E369="Yes",L369=0,$B$6=0),H369,0)</ns0:f>
        <ns0:v>0</ns0:v>
      </ns0:c>
      <ns0:c r="Q369" s="0">
        <ns0:f>IF(AND(Bookings!G369="Approved",E369="Yes",L369=0,$B$6=0),I369,0)</ns0:f>
        <ns0:v>0</ns0:v>
      </ns0:c>
      <ns0:c r="R369" s="0">
        <ns0:f>IF(AND(Bookings!G369="Pending",E369="Yes"),N369,0)</ns0:f>
        <ns0:v>0</ns0:v>
      </ns0:c>
      <ns0:c r="S369" s="0">
        <ns0:f>IF(AND(Bookings!G369="Approved",E369="No"),N369,0)</ns0:f>
        <ns0:v>0</ns0:v>
      </ns0:c>
      <ns0:c r="T369" s="0">
        <ns0:f>IFERROR(MATCH(D369,Settings!$G$7:$G$11,0),0)</ns0:f>
        <ns0:v>0</ns0:v>
      </ns0:c>
      <ns0:c r="U369" s="0">
        <ns0:f>IF(N369&gt;0,T369+IF(Bookings!G369="Pending",10,0),0)</ns0:f>
        <ns0:v>0</ns0:v>
      </ns0:c>
      <ns0:c r="V369" s="0">
        <ns0:f>U369</ns0:f>
        <ns0:v>0</ns0:v>
      </ns0:c>
      <ns0:c r="W369" s="0" t="str">
        <ns0:f>IF(C369=0,"",INDEX($AP$11:$AP$60,C369))</ns0:f>
        <ns0:v/>
      </ns0:c>
    </ns0:row>
    <ns0:row r="370">
      <ns0:c r="A370" s="0">
        <ns0:f>IF(COUNTA(Bookings!A370:G370,Bookings!I370)=0,0,1)</ns0:f>
        <ns0:v>0</ns0:v>
      </ns0:c>
      <ns0:c r="B370" s="0" t="str">
        <ns0:f>IFERROR(TRIM(MID(Bookings!A370,FIND(" · ",Bookings!A370)+3,99)),"")</ns0:f>
        <ns0:v/>
      </ns0:c>
      <ns0:c r="C370" s="0">
        <ns0:f>IF(OR(B370="",LEN(B370)&gt;24,ISNUMBER(FIND(" ",B370)),ISNUMBER(FIND("*",B370)),ISNUMBER(FIND("?",B370)),ISNUMBER(FIND("~",B370))),0,IFERROR(MATCH(B370,Team!$A$11:$A$60,0),0))</ns0:f>
        <ns0:v>0</ns0:v>
      </ns0:c>
      <ns0:c r="D370" s="0" t="str">
        <ns0:f>IFERROR(IF(MID(Bookings!F370,LEN(Bookings!F370)-3,3)=" · ",RIGHT(Bookings!F370,1),""),"")</ns0:f>
        <ns0:v/>
      </ns0:c>
      <ns0:c r="E370" s="0" t="str">
        <ns0:f>IFERROR(INDEX(Settings!$H$7:$H$11,MATCH(D370,Settings!$G$7:$G$11,0)),"")</ns0:f>
        <ns0:v/>
      </ns0:c>
      <ns0:c r="F370" s="0" t="str">
        <ns0:f>IF(A370=0,"",IFERROR(IF(OR(B370="",C370=0),"CHECK employee selection",IF(INDEX(Team!$O$11:$O$60,C370)&lt;&gt;"OK","CHECK employee setup",IF(OR('_Dates'!J370=0,'_Dates'!T370=0),"CHECK date: use DD.MM.YYYY",IF('_Dates'!T370&lt;'_Dates'!J370,"CHECK end before start",IF(AND($B$6=0,OR('_Dates'!J370&lt;Settings!$B$7,'_Dates'!T370&gt;Settings!$B$8)),"CHECK split across leave years",IF(OR(NOT(OR('_Dates'!U370="Full day",'_Dates'!U370="AM",'_Dates'!U370="PM")),NOT(OR('_Dates'!V370="Full day",'_Dates'!V370="AM",'_Dates'!V370="PM"))),"CHECK Full day / AM / PM",IF(AND('_Dates'!J370='_Dates'!T370,'_Dates'!U370&lt;&gt;"Full day",'_Dates'!V370&lt;&gt;"Full day",'_Dates'!U370&lt;&gt;'_Dates'!V370),"CHECK same-day portions disagree",IF(AND($B$6=0,OR(AND('_Dates'!U370&lt;&gt;"Full day",'_Dates'!AA370=0),AND('_Dates'!V370&lt;&gt;"Full day",'_Dates'!AB370=0))),"CHECK half-day on non-working date",IF(COUNTIF(Settings!$G$7:$G$11,D370)&lt;&gt;1,"CHECK leave type",IF(AND(Bookings!G370&lt;&gt;"Approved",Bookings!G370&lt;&gt;"Pending",Bookings!G370&lt;&gt;"Cancelled"),"CHECK status","OK")))))))))),"CHECK input"))</ns0:f>
        <ns0:v/>
      </ns0:c>
      <ns0:c r="G370" s="0">
        <ns0:f>IF(OR(F370&lt;&gt;"OK",$B$6&gt;0),0,0.5*(IF(('_Dates'!X370)&lt;('_Dates'!W370),0,INT((('_Dates'!X370)-('_Dates'!W370)+1)/7)*LEN(SUBSTITUTE(W370,"O",""))+LEN(SUBSTITUTE(MID(W370&amp;W370,WEEKDAY(('_Dates'!W370),2),MOD((('_Dates'!X370)-('_Dates'!W370)+1),7)),"O",""))-COUNTIFS(INDEX(AllClosureRows,C370,0),"&gt;="&amp;('_Dates'!W370),INDEX(AllClosureRows,C370,0),"&lt;="&amp;('_Dates'!X370)))+IF(('_Dates'!Z370)&lt;('_Dates'!Y370),0,INT((('_Dates'!Z370)-('_Dates'!Y370)+1)/7)*LEN(SUBSTITUTE(W370,"O",""))+LEN(SUBSTITUTE(MID(W370&amp;W370,WEEKDAY(('_Dates'!Y370),2),MOD((('_Dates'!Z370)-('_Dates'!Y370)+1),7)),"O",""))-COUNTIFS(INDEX(AllClosureRows,C370,0),"&gt;="&amp;('_Dates'!Y370),INDEX(AllClosureRows,C370,0),"&lt;="&amp;('_Dates'!Z370)))))</ns0:f>
        <ns0:v>0</ns0:v>
      </ns0:c>
      <ns0:c r="H370" s="0">
        <ns0:f>IF(OR(F370&lt;&gt;"OK",$B$6&gt;0),0,0.5*(IF((MIN('_Dates'!X370,Settings!$B$9))&lt;('_Dates'!W370),0,INT(((MIN('_Dates'!X370,Settings!$B$9))-('_Dates'!W370)+1)/7)*LEN(SUBSTITUTE(W370,"O",""))+LEN(SUBSTITUTE(MID(W370&amp;W370,WEEKDAY(('_Dates'!W370),2),MOD(((MIN('_Dates'!X370,Settings!$B$9))-('_Dates'!W370)+1),7)),"O",""))-COUNTIFS(INDEX(AllClosureRows,C370,0),"&gt;="&amp;('_Dates'!W370),INDEX(AllClosureRows,C370,0),"&lt;="&amp;(MIN('_Dates'!X370,Settings!$B$9))))+IF((MIN('_Dates'!Z370,Settings!$B$9))&lt;('_Dates'!Y370),0,INT(((MIN('_Dates'!Z370,Settings!$B$9))-('_Dates'!Y370)+1)/7)*LEN(SUBSTITUTE(W370,"O",""))+LEN(SUBSTITUTE(MID(W370&amp;W370,WEEKDAY(('_Dates'!Y370),2),MOD(((MIN('_Dates'!Z370,Settings!$B$9))-('_Dates'!Y370)+1),7)),"O",""))-COUNTIFS(INDEX(AllClosureRows,C370,0),"&gt;="&amp;('_Dates'!Y370),INDEX(AllClosureRows,C370,0),"&lt;="&amp;(MIN('_Dates'!Z370,Settings!$B$9))))))</ns0:f>
        <ns0:v>0</ns0:v>
      </ns0:c>
      <ns0:c r="I370" s="0">
        <ns0:f>MAX(0,G370-H370)</ns0:f>
        <ns0:v>0</ns0:v>
      </ns0:c>
      <ns0:c r="J370" s="0">
        <ns0:f>IF(OR(A370=0,F370&lt;&gt;"OK",Bookings!G370="Cancelled",$B$6&gt;0),0,IF('_Dates'!AC370=1,MAX(0,COUNTIFS(rngEngine_B,B370,rngAMStart,"&lt;="&amp;'_Dates'!X370,rngAMEnd,"&gt;="&amp;'_Dates'!W370,rngAMActive,1,rngEngine_F,"OK",rngBookings_F,"&lt;&gt;Cancelled")-1),0)+IF('_Dates'!AD370=1,MAX(0,COUNTIFS(rngEngine_B,B370,rngPMStart,"&lt;="&amp;'_Dates'!Z370,rngPMEnd,"&gt;="&amp;'_Dates'!Y370,rngPMActive,1,rngEngine_F,"OK",rngBookings_F,"&lt;&gt;Cancelled")-1),0))</ns0:f>
        <ns0:v>0</ns0:v>
      </ns0:c>
      <ns0:c r="K370" s="0" t="str">
        <ns0:f>IF(A370=0,"",IF(F370&lt;&gt;"OK",F370,IF(J370&gt;0,"CHECK overlapping entry",IF(AND($B$6=0,G370&lt;=0,Bookings!G370&lt;&gt;"Cancelled"),"CHECK no working days",IF(Bookings!G370="Cancelled","Cancelled","OK")))))</ns0:f>
        <ns0:v/>
      </ns0:c>
      <ns0:c r="L370" s="0">
        <ns0:f>IF(LEFT(K370,5)="CHECK",1,0)</ns0:f>
        <ns0:v>0</ns0:v>
      </ns0:c>
      <ns0:c r="M370" s="0">
        <ns0:f>IF(AND(L370=1,OR(C370=0,IFERROR(INDEX($X$11:$X$60,C370),0)=0)),1,0)</ns0:f>
        <ns0:v>0</ns0:v>
      </ns0:c>
      <ns0:c r="N370" s="0">
        <ns0:f>IF(OR(A370=0,L370&gt;0,$B$6&gt;0,Bookings!G370="Cancelled"),0,G370)</ns0:f>
        <ns0:v>0</ns0:v>
      </ns0:c>
      <ns0:c r="O370" s="0">
        <ns0:f>IF(AND(Bookings!G370="Approved",E370="Yes"),N370,0)</ns0:f>
        <ns0:v>0</ns0:v>
      </ns0:c>
      <ns0:c r="P370" s="0">
        <ns0:f>IF(AND(Bookings!G370="Approved",E370="Yes",L370=0,$B$6=0),H370,0)</ns0:f>
        <ns0:v>0</ns0:v>
      </ns0:c>
      <ns0:c r="Q370" s="0">
        <ns0:f>IF(AND(Bookings!G370="Approved",E370="Yes",L370=0,$B$6=0),I370,0)</ns0:f>
        <ns0:v>0</ns0:v>
      </ns0:c>
      <ns0:c r="R370" s="0">
        <ns0:f>IF(AND(Bookings!G370="Pending",E370="Yes"),N370,0)</ns0:f>
        <ns0:v>0</ns0:v>
      </ns0:c>
      <ns0:c r="S370" s="0">
        <ns0:f>IF(AND(Bookings!G370="Approved",E370="No"),N370,0)</ns0:f>
        <ns0:v>0</ns0:v>
      </ns0:c>
      <ns0:c r="T370" s="0">
        <ns0:f>IFERROR(MATCH(D370,Settings!$G$7:$G$11,0),0)</ns0:f>
        <ns0:v>0</ns0:v>
      </ns0:c>
      <ns0:c r="U370" s="0">
        <ns0:f>IF(N370&gt;0,T370+IF(Bookings!G370="Pending",10,0),0)</ns0:f>
        <ns0:v>0</ns0:v>
      </ns0:c>
      <ns0:c r="V370" s="0">
        <ns0:f>U370</ns0:f>
        <ns0:v>0</ns0:v>
      </ns0:c>
      <ns0:c r="W370" s="0" t="str">
        <ns0:f>IF(C370=0,"",INDEX($AP$11:$AP$60,C370))</ns0:f>
        <ns0:v/>
      </ns0:c>
    </ns0:row>
    <ns0:row r="371">
      <ns0:c r="A371" s="0">
        <ns0:f>IF(COUNTA(Bookings!A371:G371,Bookings!I371)=0,0,1)</ns0:f>
        <ns0:v>0</ns0:v>
      </ns0:c>
      <ns0:c r="B371" s="0" t="str">
        <ns0:f>IFERROR(TRIM(MID(Bookings!A371,FIND(" · ",Bookings!A371)+3,99)),"")</ns0:f>
        <ns0:v/>
      </ns0:c>
      <ns0:c r="C371" s="0">
        <ns0:f>IF(OR(B371="",LEN(B371)&gt;24,ISNUMBER(FIND(" ",B371)),ISNUMBER(FIND("*",B371)),ISNUMBER(FIND("?",B371)),ISNUMBER(FIND("~",B371))),0,IFERROR(MATCH(B371,Team!$A$11:$A$60,0),0))</ns0:f>
        <ns0:v>0</ns0:v>
      </ns0:c>
      <ns0:c r="D371" s="0" t="str">
        <ns0:f>IFERROR(IF(MID(Bookings!F371,LEN(Bookings!F371)-3,3)=" · ",RIGHT(Bookings!F371,1),""),"")</ns0:f>
        <ns0:v/>
      </ns0:c>
      <ns0:c r="E371" s="0" t="str">
        <ns0:f>IFERROR(INDEX(Settings!$H$7:$H$11,MATCH(D371,Settings!$G$7:$G$11,0)),"")</ns0:f>
        <ns0:v/>
      </ns0:c>
      <ns0:c r="F371" s="0" t="str">
        <ns0:f>IF(A371=0,"",IFERROR(IF(OR(B371="",C371=0),"CHECK employee selection",IF(INDEX(Team!$O$11:$O$60,C371)&lt;&gt;"OK","CHECK employee setup",IF(OR('_Dates'!J371=0,'_Dates'!T371=0),"CHECK date: use DD.MM.YYYY",IF('_Dates'!T371&lt;'_Dates'!J371,"CHECK end before start",IF(AND($B$6=0,OR('_Dates'!J371&lt;Settings!$B$7,'_Dates'!T371&gt;Settings!$B$8)),"CHECK split across leave years",IF(OR(NOT(OR('_Dates'!U371="Full day",'_Dates'!U371="AM",'_Dates'!U371="PM")),NOT(OR('_Dates'!V371="Full day",'_Dates'!V371="AM",'_Dates'!V371="PM"))),"CHECK Full day / AM / PM",IF(AND('_Dates'!J371='_Dates'!T371,'_Dates'!U371&lt;&gt;"Full day",'_Dates'!V371&lt;&gt;"Full day",'_Dates'!U371&lt;&gt;'_Dates'!V371),"CHECK same-day portions disagree",IF(AND($B$6=0,OR(AND('_Dates'!U371&lt;&gt;"Full day",'_Dates'!AA371=0),AND('_Dates'!V371&lt;&gt;"Full day",'_Dates'!AB371=0))),"CHECK half-day on non-working date",IF(COUNTIF(Settings!$G$7:$G$11,D371)&lt;&gt;1,"CHECK leave type",IF(AND(Bookings!G371&lt;&gt;"Approved",Bookings!G371&lt;&gt;"Pending",Bookings!G371&lt;&gt;"Cancelled"),"CHECK status","OK")))))))))),"CHECK input"))</ns0:f>
        <ns0:v/>
      </ns0:c>
      <ns0:c r="G371" s="0">
        <ns0:f>IF(OR(F371&lt;&gt;"OK",$B$6&gt;0),0,0.5*(IF(('_Dates'!X371)&lt;('_Dates'!W371),0,INT((('_Dates'!X371)-('_Dates'!W371)+1)/7)*LEN(SUBSTITUTE(W371,"O",""))+LEN(SUBSTITUTE(MID(W371&amp;W371,WEEKDAY(('_Dates'!W371),2),MOD((('_Dates'!X371)-('_Dates'!W371)+1),7)),"O",""))-COUNTIFS(INDEX(AllClosureRows,C371,0),"&gt;="&amp;('_Dates'!W371),INDEX(AllClosureRows,C371,0),"&lt;="&amp;('_Dates'!X371)))+IF(('_Dates'!Z371)&lt;('_Dates'!Y371),0,INT((('_Dates'!Z371)-('_Dates'!Y371)+1)/7)*LEN(SUBSTITUTE(W371,"O",""))+LEN(SUBSTITUTE(MID(W371&amp;W371,WEEKDAY(('_Dates'!Y371),2),MOD((('_Dates'!Z371)-('_Dates'!Y371)+1),7)),"O",""))-COUNTIFS(INDEX(AllClosureRows,C371,0),"&gt;="&amp;('_Dates'!Y371),INDEX(AllClosureRows,C371,0),"&lt;="&amp;('_Dates'!Z371)))))</ns0:f>
        <ns0:v>0</ns0:v>
      </ns0:c>
      <ns0:c r="H371" s="0">
        <ns0:f>IF(OR(F371&lt;&gt;"OK",$B$6&gt;0),0,0.5*(IF((MIN('_Dates'!X371,Settings!$B$9))&lt;('_Dates'!W371),0,INT(((MIN('_Dates'!X371,Settings!$B$9))-('_Dates'!W371)+1)/7)*LEN(SUBSTITUTE(W371,"O",""))+LEN(SUBSTITUTE(MID(W371&amp;W371,WEEKDAY(('_Dates'!W371),2),MOD(((MIN('_Dates'!X371,Settings!$B$9))-('_Dates'!W371)+1),7)),"O",""))-COUNTIFS(INDEX(AllClosureRows,C371,0),"&gt;="&amp;('_Dates'!W371),INDEX(AllClosureRows,C371,0),"&lt;="&amp;(MIN('_Dates'!X371,Settings!$B$9))))+IF((MIN('_Dates'!Z371,Settings!$B$9))&lt;('_Dates'!Y371),0,INT(((MIN('_Dates'!Z371,Settings!$B$9))-('_Dates'!Y371)+1)/7)*LEN(SUBSTITUTE(W371,"O",""))+LEN(SUBSTITUTE(MID(W371&amp;W371,WEEKDAY(('_Dates'!Y371),2),MOD(((MIN('_Dates'!Z371,Settings!$B$9))-('_Dates'!Y371)+1),7)),"O",""))-COUNTIFS(INDEX(AllClosureRows,C371,0),"&gt;="&amp;('_Dates'!Y371),INDEX(AllClosureRows,C371,0),"&lt;="&amp;(MIN('_Dates'!Z371,Settings!$B$9))))))</ns0:f>
        <ns0:v>0</ns0:v>
      </ns0:c>
      <ns0:c r="I371" s="0">
        <ns0:f>MAX(0,G371-H371)</ns0:f>
        <ns0:v>0</ns0:v>
      </ns0:c>
      <ns0:c r="J371" s="0">
        <ns0:f>IF(OR(A371=0,F371&lt;&gt;"OK",Bookings!G371="Cancelled",$B$6&gt;0),0,IF('_Dates'!AC371=1,MAX(0,COUNTIFS(rngEngine_B,B371,rngAMStart,"&lt;="&amp;'_Dates'!X371,rngAMEnd,"&gt;="&amp;'_Dates'!W371,rngAMActive,1,rngEngine_F,"OK",rngBookings_F,"&lt;&gt;Cancelled")-1),0)+IF('_Dates'!AD371=1,MAX(0,COUNTIFS(rngEngine_B,B371,rngPMStart,"&lt;="&amp;'_Dates'!Z371,rngPMEnd,"&gt;="&amp;'_Dates'!Y371,rngPMActive,1,rngEngine_F,"OK",rngBookings_F,"&lt;&gt;Cancelled")-1),0))</ns0:f>
        <ns0:v>0</ns0:v>
      </ns0:c>
      <ns0:c r="K371" s="0" t="str">
        <ns0:f>IF(A371=0,"",IF(F371&lt;&gt;"OK",F371,IF(J371&gt;0,"CHECK overlapping entry",IF(AND($B$6=0,G371&lt;=0,Bookings!G371&lt;&gt;"Cancelled"),"CHECK no working days",IF(Bookings!G371="Cancelled","Cancelled","OK")))))</ns0:f>
        <ns0:v/>
      </ns0:c>
      <ns0:c r="L371" s="0">
        <ns0:f>IF(LEFT(K371,5)="CHECK",1,0)</ns0:f>
        <ns0:v>0</ns0:v>
      </ns0:c>
      <ns0:c r="M371" s="0">
        <ns0:f>IF(AND(L371=1,OR(C371=0,IFERROR(INDEX($X$11:$X$60,C371),0)=0)),1,0)</ns0:f>
        <ns0:v>0</ns0:v>
      </ns0:c>
      <ns0:c r="N371" s="0">
        <ns0:f>IF(OR(A371=0,L371&gt;0,$B$6&gt;0,Bookings!G371="Cancelled"),0,G371)</ns0:f>
        <ns0:v>0</ns0:v>
      </ns0:c>
      <ns0:c r="O371" s="0">
        <ns0:f>IF(AND(Bookings!G371="Approved",E371="Yes"),N371,0)</ns0:f>
        <ns0:v>0</ns0:v>
      </ns0:c>
      <ns0:c r="P371" s="0">
        <ns0:f>IF(AND(Bookings!G371="Approved",E371="Yes",L371=0,$B$6=0),H371,0)</ns0:f>
        <ns0:v>0</ns0:v>
      </ns0:c>
      <ns0:c r="Q371" s="0">
        <ns0:f>IF(AND(Bookings!G371="Approved",E371="Yes",L371=0,$B$6=0),I371,0)</ns0:f>
        <ns0:v>0</ns0:v>
      </ns0:c>
      <ns0:c r="R371" s="0">
        <ns0:f>IF(AND(Bookings!G371="Pending",E371="Yes"),N371,0)</ns0:f>
        <ns0:v>0</ns0:v>
      </ns0:c>
      <ns0:c r="S371" s="0">
        <ns0:f>IF(AND(Bookings!G371="Approved",E371="No"),N371,0)</ns0:f>
        <ns0:v>0</ns0:v>
      </ns0:c>
      <ns0:c r="T371" s="0">
        <ns0:f>IFERROR(MATCH(D371,Settings!$G$7:$G$11,0),0)</ns0:f>
        <ns0:v>0</ns0:v>
      </ns0:c>
      <ns0:c r="U371" s="0">
        <ns0:f>IF(N371&gt;0,T371+IF(Bookings!G371="Pending",10,0),0)</ns0:f>
        <ns0:v>0</ns0:v>
      </ns0:c>
      <ns0:c r="V371" s="0">
        <ns0:f>U371</ns0:f>
        <ns0:v>0</ns0:v>
      </ns0:c>
      <ns0:c r="W371" s="0" t="str">
        <ns0:f>IF(C371=0,"",INDEX($AP$11:$AP$60,C371))</ns0:f>
        <ns0:v/>
      </ns0:c>
    </ns0:row>
    <ns0:row r="372">
      <ns0:c r="A372" s="0">
        <ns0:f>IF(COUNTA(Bookings!A372:G372,Bookings!I372)=0,0,1)</ns0:f>
        <ns0:v>0</ns0:v>
      </ns0:c>
      <ns0:c r="B372" s="0" t="str">
        <ns0:f>IFERROR(TRIM(MID(Bookings!A372,FIND(" · ",Bookings!A372)+3,99)),"")</ns0:f>
        <ns0:v/>
      </ns0:c>
      <ns0:c r="C372" s="0">
        <ns0:f>IF(OR(B372="",LEN(B372)&gt;24,ISNUMBER(FIND(" ",B372)),ISNUMBER(FIND("*",B372)),ISNUMBER(FIND("?",B372)),ISNUMBER(FIND("~",B372))),0,IFERROR(MATCH(B372,Team!$A$11:$A$60,0),0))</ns0:f>
        <ns0:v>0</ns0:v>
      </ns0:c>
      <ns0:c r="D372" s="0" t="str">
        <ns0:f>IFERROR(IF(MID(Bookings!F372,LEN(Bookings!F372)-3,3)=" · ",RIGHT(Bookings!F372,1),""),"")</ns0:f>
        <ns0:v/>
      </ns0:c>
      <ns0:c r="E372" s="0" t="str">
        <ns0:f>IFERROR(INDEX(Settings!$H$7:$H$11,MATCH(D372,Settings!$G$7:$G$11,0)),"")</ns0:f>
        <ns0:v/>
      </ns0:c>
      <ns0:c r="F372" s="0" t="str">
        <ns0:f>IF(A372=0,"",IFERROR(IF(OR(B372="",C372=0),"CHECK employee selection",IF(INDEX(Team!$O$11:$O$60,C372)&lt;&gt;"OK","CHECK employee setup",IF(OR('_Dates'!J372=0,'_Dates'!T372=0),"CHECK date: use DD.MM.YYYY",IF('_Dates'!T372&lt;'_Dates'!J372,"CHECK end before start",IF(AND($B$6=0,OR('_Dates'!J372&lt;Settings!$B$7,'_Dates'!T372&gt;Settings!$B$8)),"CHECK split across leave years",IF(OR(NOT(OR('_Dates'!U372="Full day",'_Dates'!U372="AM",'_Dates'!U372="PM")),NOT(OR('_Dates'!V372="Full day",'_Dates'!V372="AM",'_Dates'!V372="PM"))),"CHECK Full day / AM / PM",IF(AND('_Dates'!J372='_Dates'!T372,'_Dates'!U372&lt;&gt;"Full day",'_Dates'!V372&lt;&gt;"Full day",'_Dates'!U372&lt;&gt;'_Dates'!V372),"CHECK same-day portions disagree",IF(AND($B$6=0,OR(AND('_Dates'!U372&lt;&gt;"Full day",'_Dates'!AA372=0),AND('_Dates'!V372&lt;&gt;"Full day",'_Dates'!AB372=0))),"CHECK half-day on non-working date",IF(COUNTIF(Settings!$G$7:$G$11,D372)&lt;&gt;1,"CHECK leave type",IF(AND(Bookings!G372&lt;&gt;"Approved",Bookings!G372&lt;&gt;"Pending",Bookings!G372&lt;&gt;"Cancelled"),"CHECK status","OK")))))))))),"CHECK input"))</ns0:f>
        <ns0:v/>
      </ns0:c>
      <ns0:c r="G372" s="0">
        <ns0:f>IF(OR(F372&lt;&gt;"OK",$B$6&gt;0),0,0.5*(IF(('_Dates'!X372)&lt;('_Dates'!W372),0,INT((('_Dates'!X372)-('_Dates'!W372)+1)/7)*LEN(SUBSTITUTE(W372,"O",""))+LEN(SUBSTITUTE(MID(W372&amp;W372,WEEKDAY(('_Dates'!W372),2),MOD((('_Dates'!X372)-('_Dates'!W372)+1),7)),"O",""))-COUNTIFS(INDEX(AllClosureRows,C372,0),"&gt;="&amp;('_Dates'!W372),INDEX(AllClosureRows,C372,0),"&lt;="&amp;('_Dates'!X372)))+IF(('_Dates'!Z372)&lt;('_Dates'!Y372),0,INT((('_Dates'!Z372)-('_Dates'!Y372)+1)/7)*LEN(SUBSTITUTE(W372,"O",""))+LEN(SUBSTITUTE(MID(W372&amp;W372,WEEKDAY(('_Dates'!Y372),2),MOD((('_Dates'!Z372)-('_Dates'!Y372)+1),7)),"O",""))-COUNTIFS(INDEX(AllClosureRows,C372,0),"&gt;="&amp;('_Dates'!Y372),INDEX(AllClosureRows,C372,0),"&lt;="&amp;('_Dates'!Z372)))))</ns0:f>
        <ns0:v>0</ns0:v>
      </ns0:c>
      <ns0:c r="H372" s="0">
        <ns0:f>IF(OR(F372&lt;&gt;"OK",$B$6&gt;0),0,0.5*(IF((MIN('_Dates'!X372,Settings!$B$9))&lt;('_Dates'!W372),0,INT(((MIN('_Dates'!X372,Settings!$B$9))-('_Dates'!W372)+1)/7)*LEN(SUBSTITUTE(W372,"O",""))+LEN(SUBSTITUTE(MID(W372&amp;W372,WEEKDAY(('_Dates'!W372),2),MOD(((MIN('_Dates'!X372,Settings!$B$9))-('_Dates'!W372)+1),7)),"O",""))-COUNTIFS(INDEX(AllClosureRows,C372,0),"&gt;="&amp;('_Dates'!W372),INDEX(AllClosureRows,C372,0),"&lt;="&amp;(MIN('_Dates'!X372,Settings!$B$9))))+IF((MIN('_Dates'!Z372,Settings!$B$9))&lt;('_Dates'!Y372),0,INT(((MIN('_Dates'!Z372,Settings!$B$9))-('_Dates'!Y372)+1)/7)*LEN(SUBSTITUTE(W372,"O",""))+LEN(SUBSTITUTE(MID(W372&amp;W372,WEEKDAY(('_Dates'!Y372),2),MOD(((MIN('_Dates'!Z372,Settings!$B$9))-('_Dates'!Y372)+1),7)),"O",""))-COUNTIFS(INDEX(AllClosureRows,C372,0),"&gt;="&amp;('_Dates'!Y372),INDEX(AllClosureRows,C372,0),"&lt;="&amp;(MIN('_Dates'!Z372,Settings!$B$9))))))</ns0:f>
        <ns0:v>0</ns0:v>
      </ns0:c>
      <ns0:c r="I372" s="0">
        <ns0:f>MAX(0,G372-H372)</ns0:f>
        <ns0:v>0</ns0:v>
      </ns0:c>
      <ns0:c r="J372" s="0">
        <ns0:f>IF(OR(A372=0,F372&lt;&gt;"OK",Bookings!G372="Cancelled",$B$6&gt;0),0,IF('_Dates'!AC372=1,MAX(0,COUNTIFS(rngEngine_B,B372,rngAMStart,"&lt;="&amp;'_Dates'!X372,rngAMEnd,"&gt;="&amp;'_Dates'!W372,rngAMActive,1,rngEngine_F,"OK",rngBookings_F,"&lt;&gt;Cancelled")-1),0)+IF('_Dates'!AD372=1,MAX(0,COUNTIFS(rngEngine_B,B372,rngPMStart,"&lt;="&amp;'_Dates'!Z372,rngPMEnd,"&gt;="&amp;'_Dates'!Y372,rngPMActive,1,rngEngine_F,"OK",rngBookings_F,"&lt;&gt;Cancelled")-1),0))</ns0:f>
        <ns0:v>0</ns0:v>
      </ns0:c>
      <ns0:c r="K372" s="0" t="str">
        <ns0:f>IF(A372=0,"",IF(F372&lt;&gt;"OK",F372,IF(J372&gt;0,"CHECK overlapping entry",IF(AND($B$6=0,G372&lt;=0,Bookings!G372&lt;&gt;"Cancelled"),"CHECK no working days",IF(Bookings!G372="Cancelled","Cancelled","OK")))))</ns0:f>
        <ns0:v/>
      </ns0:c>
      <ns0:c r="L372" s="0">
        <ns0:f>IF(LEFT(K372,5)="CHECK",1,0)</ns0:f>
        <ns0:v>0</ns0:v>
      </ns0:c>
      <ns0:c r="M372" s="0">
        <ns0:f>IF(AND(L372=1,OR(C372=0,IFERROR(INDEX($X$11:$X$60,C372),0)=0)),1,0)</ns0:f>
        <ns0:v>0</ns0:v>
      </ns0:c>
      <ns0:c r="N372" s="0">
        <ns0:f>IF(OR(A372=0,L372&gt;0,$B$6&gt;0,Bookings!G372="Cancelled"),0,G372)</ns0:f>
        <ns0:v>0</ns0:v>
      </ns0:c>
      <ns0:c r="O372" s="0">
        <ns0:f>IF(AND(Bookings!G372="Approved",E372="Yes"),N372,0)</ns0:f>
        <ns0:v>0</ns0:v>
      </ns0:c>
      <ns0:c r="P372" s="0">
        <ns0:f>IF(AND(Bookings!G372="Approved",E372="Yes",L372=0,$B$6=0),H372,0)</ns0:f>
        <ns0:v>0</ns0:v>
      </ns0:c>
      <ns0:c r="Q372" s="0">
        <ns0:f>IF(AND(Bookings!G372="Approved",E372="Yes",L372=0,$B$6=0),I372,0)</ns0:f>
        <ns0:v>0</ns0:v>
      </ns0:c>
      <ns0:c r="R372" s="0">
        <ns0:f>IF(AND(Bookings!G372="Pending",E372="Yes"),N372,0)</ns0:f>
        <ns0:v>0</ns0:v>
      </ns0:c>
      <ns0:c r="S372" s="0">
        <ns0:f>IF(AND(Bookings!G372="Approved",E372="No"),N372,0)</ns0:f>
        <ns0:v>0</ns0:v>
      </ns0:c>
      <ns0:c r="T372" s="0">
        <ns0:f>IFERROR(MATCH(D372,Settings!$G$7:$G$11,0),0)</ns0:f>
        <ns0:v>0</ns0:v>
      </ns0:c>
      <ns0:c r="U372" s="0">
        <ns0:f>IF(N372&gt;0,T372+IF(Bookings!G372="Pending",10,0),0)</ns0:f>
        <ns0:v>0</ns0:v>
      </ns0:c>
      <ns0:c r="V372" s="0">
        <ns0:f>U372</ns0:f>
        <ns0:v>0</ns0:v>
      </ns0:c>
      <ns0:c r="W372" s="0" t="str">
        <ns0:f>IF(C372=0,"",INDEX($AP$11:$AP$60,C372))</ns0:f>
        <ns0:v/>
      </ns0:c>
    </ns0:row>
    <ns0:row r="373">
      <ns0:c r="A373" s="0">
        <ns0:f>IF(COUNTA(Bookings!A373:G373,Bookings!I373)=0,0,1)</ns0:f>
        <ns0:v>0</ns0:v>
      </ns0:c>
      <ns0:c r="B373" s="0" t="str">
        <ns0:f>IFERROR(TRIM(MID(Bookings!A373,FIND(" · ",Bookings!A373)+3,99)),"")</ns0:f>
        <ns0:v/>
      </ns0:c>
      <ns0:c r="C373" s="0">
        <ns0:f>IF(OR(B373="",LEN(B373)&gt;24,ISNUMBER(FIND(" ",B373)),ISNUMBER(FIND("*",B373)),ISNUMBER(FIND("?",B373)),ISNUMBER(FIND("~",B373))),0,IFERROR(MATCH(B373,Team!$A$11:$A$60,0),0))</ns0:f>
        <ns0:v>0</ns0:v>
      </ns0:c>
      <ns0:c r="D373" s="0" t="str">
        <ns0:f>IFERROR(IF(MID(Bookings!F373,LEN(Bookings!F373)-3,3)=" · ",RIGHT(Bookings!F373,1),""),"")</ns0:f>
        <ns0:v/>
      </ns0:c>
      <ns0:c r="E373" s="0" t="str">
        <ns0:f>IFERROR(INDEX(Settings!$H$7:$H$11,MATCH(D373,Settings!$G$7:$G$11,0)),"")</ns0:f>
        <ns0:v/>
      </ns0:c>
      <ns0:c r="F373" s="0" t="str">
        <ns0:f>IF(A373=0,"",IFERROR(IF(OR(B373="",C373=0),"CHECK employee selection",IF(INDEX(Team!$O$11:$O$60,C373)&lt;&gt;"OK","CHECK employee setup",IF(OR('_Dates'!J373=0,'_Dates'!T373=0),"CHECK date: use DD.MM.YYYY",IF('_Dates'!T373&lt;'_Dates'!J373,"CHECK end before start",IF(AND($B$6=0,OR('_Dates'!J373&lt;Settings!$B$7,'_Dates'!T373&gt;Settings!$B$8)),"CHECK split across leave years",IF(OR(NOT(OR('_Dates'!U373="Full day",'_Dates'!U373="AM",'_Dates'!U373="PM")),NOT(OR('_Dates'!V373="Full day",'_Dates'!V373="AM",'_Dates'!V373="PM"))),"CHECK Full day / AM / PM",IF(AND('_Dates'!J373='_Dates'!T373,'_Dates'!U373&lt;&gt;"Full day",'_Dates'!V373&lt;&gt;"Full day",'_Dates'!U373&lt;&gt;'_Dates'!V373),"CHECK same-day portions disagree",IF(AND($B$6=0,OR(AND('_Dates'!U373&lt;&gt;"Full day",'_Dates'!AA373=0),AND('_Dates'!V373&lt;&gt;"Full day",'_Dates'!AB373=0))),"CHECK half-day on non-working date",IF(COUNTIF(Settings!$G$7:$G$11,D373)&lt;&gt;1,"CHECK leave type",IF(AND(Bookings!G373&lt;&gt;"Approved",Bookings!G373&lt;&gt;"Pending",Bookings!G373&lt;&gt;"Cancelled"),"CHECK status","OK")))))))))),"CHECK input"))</ns0:f>
        <ns0:v/>
      </ns0:c>
      <ns0:c r="G373" s="0">
        <ns0:f>IF(OR(F373&lt;&gt;"OK",$B$6&gt;0),0,0.5*(IF(('_Dates'!X373)&lt;('_Dates'!W373),0,INT((('_Dates'!X373)-('_Dates'!W373)+1)/7)*LEN(SUBSTITUTE(W373,"O",""))+LEN(SUBSTITUTE(MID(W373&amp;W373,WEEKDAY(('_Dates'!W373),2),MOD((('_Dates'!X373)-('_Dates'!W373)+1),7)),"O",""))-COUNTIFS(INDEX(AllClosureRows,C373,0),"&gt;="&amp;('_Dates'!W373),INDEX(AllClosureRows,C373,0),"&lt;="&amp;('_Dates'!X373)))+IF(('_Dates'!Z373)&lt;('_Dates'!Y373),0,INT((('_Dates'!Z373)-('_Dates'!Y373)+1)/7)*LEN(SUBSTITUTE(W373,"O",""))+LEN(SUBSTITUTE(MID(W373&amp;W373,WEEKDAY(('_Dates'!Y373),2),MOD((('_Dates'!Z373)-('_Dates'!Y373)+1),7)),"O",""))-COUNTIFS(INDEX(AllClosureRows,C373,0),"&gt;="&amp;('_Dates'!Y373),INDEX(AllClosureRows,C373,0),"&lt;="&amp;('_Dates'!Z373)))))</ns0:f>
        <ns0:v>0</ns0:v>
      </ns0:c>
      <ns0:c r="H373" s="0">
        <ns0:f>IF(OR(F373&lt;&gt;"OK",$B$6&gt;0),0,0.5*(IF((MIN('_Dates'!X373,Settings!$B$9))&lt;('_Dates'!W373),0,INT(((MIN('_Dates'!X373,Settings!$B$9))-('_Dates'!W373)+1)/7)*LEN(SUBSTITUTE(W373,"O",""))+LEN(SUBSTITUTE(MID(W373&amp;W373,WEEKDAY(('_Dates'!W373),2),MOD(((MIN('_Dates'!X373,Settings!$B$9))-('_Dates'!W373)+1),7)),"O",""))-COUNTIFS(INDEX(AllClosureRows,C373,0),"&gt;="&amp;('_Dates'!W373),INDEX(AllClosureRows,C373,0),"&lt;="&amp;(MIN('_Dates'!X373,Settings!$B$9))))+IF((MIN('_Dates'!Z373,Settings!$B$9))&lt;('_Dates'!Y373),0,INT(((MIN('_Dates'!Z373,Settings!$B$9))-('_Dates'!Y373)+1)/7)*LEN(SUBSTITUTE(W373,"O",""))+LEN(SUBSTITUTE(MID(W373&amp;W373,WEEKDAY(('_Dates'!Y373),2),MOD(((MIN('_Dates'!Z373,Settings!$B$9))-('_Dates'!Y373)+1),7)),"O",""))-COUNTIFS(INDEX(AllClosureRows,C373,0),"&gt;="&amp;('_Dates'!Y373),INDEX(AllClosureRows,C373,0),"&lt;="&amp;(MIN('_Dates'!Z373,Settings!$B$9))))))</ns0:f>
        <ns0:v>0</ns0:v>
      </ns0:c>
      <ns0:c r="I373" s="0">
        <ns0:f>MAX(0,G373-H373)</ns0:f>
        <ns0:v>0</ns0:v>
      </ns0:c>
      <ns0:c r="J373" s="0">
        <ns0:f>IF(OR(A373=0,F373&lt;&gt;"OK",Bookings!G373="Cancelled",$B$6&gt;0),0,IF('_Dates'!AC373=1,MAX(0,COUNTIFS(rngEngine_B,B373,rngAMStart,"&lt;="&amp;'_Dates'!X373,rngAMEnd,"&gt;="&amp;'_Dates'!W373,rngAMActive,1,rngEngine_F,"OK",rngBookings_F,"&lt;&gt;Cancelled")-1),0)+IF('_Dates'!AD373=1,MAX(0,COUNTIFS(rngEngine_B,B373,rngPMStart,"&lt;="&amp;'_Dates'!Z373,rngPMEnd,"&gt;="&amp;'_Dates'!Y373,rngPMActive,1,rngEngine_F,"OK",rngBookings_F,"&lt;&gt;Cancelled")-1),0))</ns0:f>
        <ns0:v>0</ns0:v>
      </ns0:c>
      <ns0:c r="K373" s="0" t="str">
        <ns0:f>IF(A373=0,"",IF(F373&lt;&gt;"OK",F373,IF(J373&gt;0,"CHECK overlapping entry",IF(AND($B$6=0,G373&lt;=0,Bookings!G373&lt;&gt;"Cancelled"),"CHECK no working days",IF(Bookings!G373="Cancelled","Cancelled","OK")))))</ns0:f>
        <ns0:v/>
      </ns0:c>
      <ns0:c r="L373" s="0">
        <ns0:f>IF(LEFT(K373,5)="CHECK",1,0)</ns0:f>
        <ns0:v>0</ns0:v>
      </ns0:c>
      <ns0:c r="M373" s="0">
        <ns0:f>IF(AND(L373=1,OR(C373=0,IFERROR(INDEX($X$11:$X$60,C373),0)=0)),1,0)</ns0:f>
        <ns0:v>0</ns0:v>
      </ns0:c>
      <ns0:c r="N373" s="0">
        <ns0:f>IF(OR(A373=0,L373&gt;0,$B$6&gt;0,Bookings!G373="Cancelled"),0,G373)</ns0:f>
        <ns0:v>0</ns0:v>
      </ns0:c>
      <ns0:c r="O373" s="0">
        <ns0:f>IF(AND(Bookings!G373="Approved",E373="Yes"),N373,0)</ns0:f>
        <ns0:v>0</ns0:v>
      </ns0:c>
      <ns0:c r="P373" s="0">
        <ns0:f>IF(AND(Bookings!G373="Approved",E373="Yes",L373=0,$B$6=0),H373,0)</ns0:f>
        <ns0:v>0</ns0:v>
      </ns0:c>
      <ns0:c r="Q373" s="0">
        <ns0:f>IF(AND(Bookings!G373="Approved",E373="Yes",L373=0,$B$6=0),I373,0)</ns0:f>
        <ns0:v>0</ns0:v>
      </ns0:c>
      <ns0:c r="R373" s="0">
        <ns0:f>IF(AND(Bookings!G373="Pending",E373="Yes"),N373,0)</ns0:f>
        <ns0:v>0</ns0:v>
      </ns0:c>
      <ns0:c r="S373" s="0">
        <ns0:f>IF(AND(Bookings!G373="Approved",E373="No"),N373,0)</ns0:f>
        <ns0:v>0</ns0:v>
      </ns0:c>
      <ns0:c r="T373" s="0">
        <ns0:f>IFERROR(MATCH(D373,Settings!$G$7:$G$11,0),0)</ns0:f>
        <ns0:v>0</ns0:v>
      </ns0:c>
      <ns0:c r="U373" s="0">
        <ns0:f>IF(N373&gt;0,T373+IF(Bookings!G373="Pending",10,0),0)</ns0:f>
        <ns0:v>0</ns0:v>
      </ns0:c>
      <ns0:c r="V373" s="0">
        <ns0:f>U373</ns0:f>
        <ns0:v>0</ns0:v>
      </ns0:c>
      <ns0:c r="W373" s="0" t="str">
        <ns0:f>IF(C373=0,"",INDEX($AP$11:$AP$60,C373))</ns0:f>
        <ns0:v/>
      </ns0:c>
    </ns0:row>
    <ns0:row r="374">
      <ns0:c r="A374" s="0">
        <ns0:f>IF(COUNTA(Bookings!A374:G374,Bookings!I374)=0,0,1)</ns0:f>
        <ns0:v>0</ns0:v>
      </ns0:c>
      <ns0:c r="B374" s="0" t="str">
        <ns0:f>IFERROR(TRIM(MID(Bookings!A374,FIND(" · ",Bookings!A374)+3,99)),"")</ns0:f>
        <ns0:v/>
      </ns0:c>
      <ns0:c r="C374" s="0">
        <ns0:f>IF(OR(B374="",LEN(B374)&gt;24,ISNUMBER(FIND(" ",B374)),ISNUMBER(FIND("*",B374)),ISNUMBER(FIND("?",B374)),ISNUMBER(FIND("~",B374))),0,IFERROR(MATCH(B374,Team!$A$11:$A$60,0),0))</ns0:f>
        <ns0:v>0</ns0:v>
      </ns0:c>
      <ns0:c r="D374" s="0" t="str">
        <ns0:f>IFERROR(IF(MID(Bookings!F374,LEN(Bookings!F374)-3,3)=" · ",RIGHT(Bookings!F374,1),""),"")</ns0:f>
        <ns0:v/>
      </ns0:c>
      <ns0:c r="E374" s="0" t="str">
        <ns0:f>IFERROR(INDEX(Settings!$H$7:$H$11,MATCH(D374,Settings!$G$7:$G$11,0)),"")</ns0:f>
        <ns0:v/>
      </ns0:c>
      <ns0:c r="F374" s="0" t="str">
        <ns0:f>IF(A374=0,"",IFERROR(IF(OR(B374="",C374=0),"CHECK employee selection",IF(INDEX(Team!$O$11:$O$60,C374)&lt;&gt;"OK","CHECK employee setup",IF(OR('_Dates'!J374=0,'_Dates'!T374=0),"CHECK date: use DD.MM.YYYY",IF('_Dates'!T374&lt;'_Dates'!J374,"CHECK end before start",IF(AND($B$6=0,OR('_Dates'!J374&lt;Settings!$B$7,'_Dates'!T374&gt;Settings!$B$8)),"CHECK split across leave years",IF(OR(NOT(OR('_Dates'!U374="Full day",'_Dates'!U374="AM",'_Dates'!U374="PM")),NOT(OR('_Dates'!V374="Full day",'_Dates'!V374="AM",'_Dates'!V374="PM"))),"CHECK Full day / AM / PM",IF(AND('_Dates'!J374='_Dates'!T374,'_Dates'!U374&lt;&gt;"Full day",'_Dates'!V374&lt;&gt;"Full day",'_Dates'!U374&lt;&gt;'_Dates'!V374),"CHECK same-day portions disagree",IF(AND($B$6=0,OR(AND('_Dates'!U374&lt;&gt;"Full day",'_Dates'!AA374=0),AND('_Dates'!V374&lt;&gt;"Full day",'_Dates'!AB374=0))),"CHECK half-day on non-working date",IF(COUNTIF(Settings!$G$7:$G$11,D374)&lt;&gt;1,"CHECK leave type",IF(AND(Bookings!G374&lt;&gt;"Approved",Bookings!G374&lt;&gt;"Pending",Bookings!G374&lt;&gt;"Cancelled"),"CHECK status","OK")))))))))),"CHECK input"))</ns0:f>
        <ns0:v/>
      </ns0:c>
      <ns0:c r="G374" s="0">
        <ns0:f>IF(OR(F374&lt;&gt;"OK",$B$6&gt;0),0,0.5*(IF(('_Dates'!X374)&lt;('_Dates'!W374),0,INT((('_Dates'!X374)-('_Dates'!W374)+1)/7)*LEN(SUBSTITUTE(W374,"O",""))+LEN(SUBSTITUTE(MID(W374&amp;W374,WEEKDAY(('_Dates'!W374),2),MOD((('_Dates'!X374)-('_Dates'!W374)+1),7)),"O",""))-COUNTIFS(INDEX(AllClosureRows,C374,0),"&gt;="&amp;('_Dates'!W374),INDEX(AllClosureRows,C374,0),"&lt;="&amp;('_Dates'!X374)))+IF(('_Dates'!Z374)&lt;('_Dates'!Y374),0,INT((('_Dates'!Z374)-('_Dates'!Y374)+1)/7)*LEN(SUBSTITUTE(W374,"O",""))+LEN(SUBSTITUTE(MID(W374&amp;W374,WEEKDAY(('_Dates'!Y374),2),MOD((('_Dates'!Z374)-('_Dates'!Y374)+1),7)),"O",""))-COUNTIFS(INDEX(AllClosureRows,C374,0),"&gt;="&amp;('_Dates'!Y374),INDEX(AllClosureRows,C374,0),"&lt;="&amp;('_Dates'!Z374)))))</ns0:f>
        <ns0:v>0</ns0:v>
      </ns0:c>
      <ns0:c r="H374" s="0">
        <ns0:f>IF(OR(F374&lt;&gt;"OK",$B$6&gt;0),0,0.5*(IF((MIN('_Dates'!X374,Settings!$B$9))&lt;('_Dates'!W374),0,INT(((MIN('_Dates'!X374,Settings!$B$9))-('_Dates'!W374)+1)/7)*LEN(SUBSTITUTE(W374,"O",""))+LEN(SUBSTITUTE(MID(W374&amp;W374,WEEKDAY(('_Dates'!W374),2),MOD(((MIN('_Dates'!X374,Settings!$B$9))-('_Dates'!W374)+1),7)),"O",""))-COUNTIFS(INDEX(AllClosureRows,C374,0),"&gt;="&amp;('_Dates'!W374),INDEX(AllClosureRows,C374,0),"&lt;="&amp;(MIN('_Dates'!X374,Settings!$B$9))))+IF((MIN('_Dates'!Z374,Settings!$B$9))&lt;('_Dates'!Y374),0,INT(((MIN('_Dates'!Z374,Settings!$B$9))-('_Dates'!Y374)+1)/7)*LEN(SUBSTITUTE(W374,"O",""))+LEN(SUBSTITUTE(MID(W374&amp;W374,WEEKDAY(('_Dates'!Y374),2),MOD(((MIN('_Dates'!Z374,Settings!$B$9))-('_Dates'!Y374)+1),7)),"O",""))-COUNTIFS(INDEX(AllClosureRows,C374,0),"&gt;="&amp;('_Dates'!Y374),INDEX(AllClosureRows,C374,0),"&lt;="&amp;(MIN('_Dates'!Z374,Settings!$B$9))))))</ns0:f>
        <ns0:v>0</ns0:v>
      </ns0:c>
      <ns0:c r="I374" s="0">
        <ns0:f>MAX(0,G374-H374)</ns0:f>
        <ns0:v>0</ns0:v>
      </ns0:c>
      <ns0:c r="J374" s="0">
        <ns0:f>IF(OR(A374=0,F374&lt;&gt;"OK",Bookings!G374="Cancelled",$B$6&gt;0),0,IF('_Dates'!AC374=1,MAX(0,COUNTIFS(rngEngine_B,B374,rngAMStart,"&lt;="&amp;'_Dates'!X374,rngAMEnd,"&gt;="&amp;'_Dates'!W374,rngAMActive,1,rngEngine_F,"OK",rngBookings_F,"&lt;&gt;Cancelled")-1),0)+IF('_Dates'!AD374=1,MAX(0,COUNTIFS(rngEngine_B,B374,rngPMStart,"&lt;="&amp;'_Dates'!Z374,rngPMEnd,"&gt;="&amp;'_Dates'!Y374,rngPMActive,1,rngEngine_F,"OK",rngBookings_F,"&lt;&gt;Cancelled")-1),0))</ns0:f>
        <ns0:v>0</ns0:v>
      </ns0:c>
      <ns0:c r="K374" s="0" t="str">
        <ns0:f>IF(A374=0,"",IF(F374&lt;&gt;"OK",F374,IF(J374&gt;0,"CHECK overlapping entry",IF(AND($B$6=0,G374&lt;=0,Bookings!G374&lt;&gt;"Cancelled"),"CHECK no working days",IF(Bookings!G374="Cancelled","Cancelled","OK")))))</ns0:f>
        <ns0:v/>
      </ns0:c>
      <ns0:c r="L374" s="0">
        <ns0:f>IF(LEFT(K374,5)="CHECK",1,0)</ns0:f>
        <ns0:v>0</ns0:v>
      </ns0:c>
      <ns0:c r="M374" s="0">
        <ns0:f>IF(AND(L374=1,OR(C374=0,IFERROR(INDEX($X$11:$X$60,C374),0)=0)),1,0)</ns0:f>
        <ns0:v>0</ns0:v>
      </ns0:c>
      <ns0:c r="N374" s="0">
        <ns0:f>IF(OR(A374=0,L374&gt;0,$B$6&gt;0,Bookings!G374="Cancelled"),0,G374)</ns0:f>
        <ns0:v>0</ns0:v>
      </ns0:c>
      <ns0:c r="O374" s="0">
        <ns0:f>IF(AND(Bookings!G374="Approved",E374="Yes"),N374,0)</ns0:f>
        <ns0:v>0</ns0:v>
      </ns0:c>
      <ns0:c r="P374" s="0">
        <ns0:f>IF(AND(Bookings!G374="Approved",E374="Yes",L374=0,$B$6=0),H374,0)</ns0:f>
        <ns0:v>0</ns0:v>
      </ns0:c>
      <ns0:c r="Q374" s="0">
        <ns0:f>IF(AND(Bookings!G374="Approved",E374="Yes",L374=0,$B$6=0),I374,0)</ns0:f>
        <ns0:v>0</ns0:v>
      </ns0:c>
      <ns0:c r="R374" s="0">
        <ns0:f>IF(AND(Bookings!G374="Pending",E374="Yes"),N374,0)</ns0:f>
        <ns0:v>0</ns0:v>
      </ns0:c>
      <ns0:c r="S374" s="0">
        <ns0:f>IF(AND(Bookings!G374="Approved",E374="No"),N374,0)</ns0:f>
        <ns0:v>0</ns0:v>
      </ns0:c>
      <ns0:c r="T374" s="0">
        <ns0:f>IFERROR(MATCH(D374,Settings!$G$7:$G$11,0),0)</ns0:f>
        <ns0:v>0</ns0:v>
      </ns0:c>
      <ns0:c r="U374" s="0">
        <ns0:f>IF(N374&gt;0,T374+IF(Bookings!G374="Pending",10,0),0)</ns0:f>
        <ns0:v>0</ns0:v>
      </ns0:c>
      <ns0:c r="V374" s="0">
        <ns0:f>U374</ns0:f>
        <ns0:v>0</ns0:v>
      </ns0:c>
      <ns0:c r="W374" s="0" t="str">
        <ns0:f>IF(C374=0,"",INDEX($AP$11:$AP$60,C374))</ns0:f>
        <ns0:v/>
      </ns0:c>
    </ns0:row>
    <ns0:row r="375">
      <ns0:c r="A375" s="0">
        <ns0:f>IF(COUNTA(Bookings!A375:G375,Bookings!I375)=0,0,1)</ns0:f>
        <ns0:v>0</ns0:v>
      </ns0:c>
      <ns0:c r="B375" s="0" t="str">
        <ns0:f>IFERROR(TRIM(MID(Bookings!A375,FIND(" · ",Bookings!A375)+3,99)),"")</ns0:f>
        <ns0:v/>
      </ns0:c>
      <ns0:c r="C375" s="0">
        <ns0:f>IF(OR(B375="",LEN(B375)&gt;24,ISNUMBER(FIND(" ",B375)),ISNUMBER(FIND("*",B375)),ISNUMBER(FIND("?",B375)),ISNUMBER(FIND("~",B375))),0,IFERROR(MATCH(B375,Team!$A$11:$A$60,0),0))</ns0:f>
        <ns0:v>0</ns0:v>
      </ns0:c>
      <ns0:c r="D375" s="0" t="str">
        <ns0:f>IFERROR(IF(MID(Bookings!F375,LEN(Bookings!F375)-3,3)=" · ",RIGHT(Bookings!F375,1),""),"")</ns0:f>
        <ns0:v/>
      </ns0:c>
      <ns0:c r="E375" s="0" t="str">
        <ns0:f>IFERROR(INDEX(Settings!$H$7:$H$11,MATCH(D375,Settings!$G$7:$G$11,0)),"")</ns0:f>
        <ns0:v/>
      </ns0:c>
      <ns0:c r="F375" s="0" t="str">
        <ns0:f>IF(A375=0,"",IFERROR(IF(OR(B375="",C375=0),"CHECK employee selection",IF(INDEX(Team!$O$11:$O$60,C375)&lt;&gt;"OK","CHECK employee setup",IF(OR('_Dates'!J375=0,'_Dates'!T375=0),"CHECK date: use DD.MM.YYYY",IF('_Dates'!T375&lt;'_Dates'!J375,"CHECK end before start",IF(AND($B$6=0,OR('_Dates'!J375&lt;Settings!$B$7,'_Dates'!T375&gt;Settings!$B$8)),"CHECK split across leave years",IF(OR(NOT(OR('_Dates'!U375="Full day",'_Dates'!U375="AM",'_Dates'!U375="PM")),NOT(OR('_Dates'!V375="Full day",'_Dates'!V375="AM",'_Dates'!V375="PM"))),"CHECK Full day / AM / PM",IF(AND('_Dates'!J375='_Dates'!T375,'_Dates'!U375&lt;&gt;"Full day",'_Dates'!V375&lt;&gt;"Full day",'_Dates'!U375&lt;&gt;'_Dates'!V375),"CHECK same-day portions disagree",IF(AND($B$6=0,OR(AND('_Dates'!U375&lt;&gt;"Full day",'_Dates'!AA375=0),AND('_Dates'!V375&lt;&gt;"Full day",'_Dates'!AB375=0))),"CHECK half-day on non-working date",IF(COUNTIF(Settings!$G$7:$G$11,D375)&lt;&gt;1,"CHECK leave type",IF(AND(Bookings!G375&lt;&gt;"Approved",Bookings!G375&lt;&gt;"Pending",Bookings!G375&lt;&gt;"Cancelled"),"CHECK status","OK")))))))))),"CHECK input"))</ns0:f>
        <ns0:v/>
      </ns0:c>
      <ns0:c r="G375" s="0">
        <ns0:f>IF(OR(F375&lt;&gt;"OK",$B$6&gt;0),0,0.5*(IF(('_Dates'!X375)&lt;('_Dates'!W375),0,INT((('_Dates'!X375)-('_Dates'!W375)+1)/7)*LEN(SUBSTITUTE(W375,"O",""))+LEN(SUBSTITUTE(MID(W375&amp;W375,WEEKDAY(('_Dates'!W375),2),MOD((('_Dates'!X375)-('_Dates'!W375)+1),7)),"O",""))-COUNTIFS(INDEX(AllClosureRows,C375,0),"&gt;="&amp;('_Dates'!W375),INDEX(AllClosureRows,C375,0),"&lt;="&amp;('_Dates'!X375)))+IF(('_Dates'!Z375)&lt;('_Dates'!Y375),0,INT((('_Dates'!Z375)-('_Dates'!Y375)+1)/7)*LEN(SUBSTITUTE(W375,"O",""))+LEN(SUBSTITUTE(MID(W375&amp;W375,WEEKDAY(('_Dates'!Y375),2),MOD((('_Dates'!Z375)-('_Dates'!Y375)+1),7)),"O",""))-COUNTIFS(INDEX(AllClosureRows,C375,0),"&gt;="&amp;('_Dates'!Y375),INDEX(AllClosureRows,C375,0),"&lt;="&amp;('_Dates'!Z375)))))</ns0:f>
        <ns0:v>0</ns0:v>
      </ns0:c>
      <ns0:c r="H375" s="0">
        <ns0:f>IF(OR(F375&lt;&gt;"OK",$B$6&gt;0),0,0.5*(IF((MIN('_Dates'!X375,Settings!$B$9))&lt;('_Dates'!W375),0,INT(((MIN('_Dates'!X375,Settings!$B$9))-('_Dates'!W375)+1)/7)*LEN(SUBSTITUTE(W375,"O",""))+LEN(SUBSTITUTE(MID(W375&amp;W375,WEEKDAY(('_Dates'!W375),2),MOD(((MIN('_Dates'!X375,Settings!$B$9))-('_Dates'!W375)+1),7)),"O",""))-COUNTIFS(INDEX(AllClosureRows,C375,0),"&gt;="&amp;('_Dates'!W375),INDEX(AllClosureRows,C375,0),"&lt;="&amp;(MIN('_Dates'!X375,Settings!$B$9))))+IF((MIN('_Dates'!Z375,Settings!$B$9))&lt;('_Dates'!Y375),0,INT(((MIN('_Dates'!Z375,Settings!$B$9))-('_Dates'!Y375)+1)/7)*LEN(SUBSTITUTE(W375,"O",""))+LEN(SUBSTITUTE(MID(W375&amp;W375,WEEKDAY(('_Dates'!Y375),2),MOD(((MIN('_Dates'!Z375,Settings!$B$9))-('_Dates'!Y375)+1),7)),"O",""))-COUNTIFS(INDEX(AllClosureRows,C375,0),"&gt;="&amp;('_Dates'!Y375),INDEX(AllClosureRows,C375,0),"&lt;="&amp;(MIN('_Dates'!Z375,Settings!$B$9))))))</ns0:f>
        <ns0:v>0</ns0:v>
      </ns0:c>
      <ns0:c r="I375" s="0">
        <ns0:f>MAX(0,G375-H375)</ns0:f>
        <ns0:v>0</ns0:v>
      </ns0:c>
      <ns0:c r="J375" s="0">
        <ns0:f>IF(OR(A375=0,F375&lt;&gt;"OK",Bookings!G375="Cancelled",$B$6&gt;0),0,IF('_Dates'!AC375=1,MAX(0,COUNTIFS(rngEngine_B,B375,rngAMStart,"&lt;="&amp;'_Dates'!X375,rngAMEnd,"&gt;="&amp;'_Dates'!W375,rngAMActive,1,rngEngine_F,"OK",rngBookings_F,"&lt;&gt;Cancelled")-1),0)+IF('_Dates'!AD375=1,MAX(0,COUNTIFS(rngEngine_B,B375,rngPMStart,"&lt;="&amp;'_Dates'!Z375,rngPMEnd,"&gt;="&amp;'_Dates'!Y375,rngPMActive,1,rngEngine_F,"OK",rngBookings_F,"&lt;&gt;Cancelled")-1),0))</ns0:f>
        <ns0:v>0</ns0:v>
      </ns0:c>
      <ns0:c r="K375" s="0" t="str">
        <ns0:f>IF(A375=0,"",IF(F375&lt;&gt;"OK",F375,IF(J375&gt;0,"CHECK overlapping entry",IF(AND($B$6=0,G375&lt;=0,Bookings!G375&lt;&gt;"Cancelled"),"CHECK no working days",IF(Bookings!G375="Cancelled","Cancelled","OK")))))</ns0:f>
        <ns0:v/>
      </ns0:c>
      <ns0:c r="L375" s="0">
        <ns0:f>IF(LEFT(K375,5)="CHECK",1,0)</ns0:f>
        <ns0:v>0</ns0:v>
      </ns0:c>
      <ns0:c r="M375" s="0">
        <ns0:f>IF(AND(L375=1,OR(C375=0,IFERROR(INDEX($X$11:$X$60,C375),0)=0)),1,0)</ns0:f>
        <ns0:v>0</ns0:v>
      </ns0:c>
      <ns0:c r="N375" s="0">
        <ns0:f>IF(OR(A375=0,L375&gt;0,$B$6&gt;0,Bookings!G375="Cancelled"),0,G375)</ns0:f>
        <ns0:v>0</ns0:v>
      </ns0:c>
      <ns0:c r="O375" s="0">
        <ns0:f>IF(AND(Bookings!G375="Approved",E375="Yes"),N375,0)</ns0:f>
        <ns0:v>0</ns0:v>
      </ns0:c>
      <ns0:c r="P375" s="0">
        <ns0:f>IF(AND(Bookings!G375="Approved",E375="Yes",L375=0,$B$6=0),H375,0)</ns0:f>
        <ns0:v>0</ns0:v>
      </ns0:c>
      <ns0:c r="Q375" s="0">
        <ns0:f>IF(AND(Bookings!G375="Approved",E375="Yes",L375=0,$B$6=0),I375,0)</ns0:f>
        <ns0:v>0</ns0:v>
      </ns0:c>
      <ns0:c r="R375" s="0">
        <ns0:f>IF(AND(Bookings!G375="Pending",E375="Yes"),N375,0)</ns0:f>
        <ns0:v>0</ns0:v>
      </ns0:c>
      <ns0:c r="S375" s="0">
        <ns0:f>IF(AND(Bookings!G375="Approved",E375="No"),N375,0)</ns0:f>
        <ns0:v>0</ns0:v>
      </ns0:c>
      <ns0:c r="T375" s="0">
        <ns0:f>IFERROR(MATCH(D375,Settings!$G$7:$G$11,0),0)</ns0:f>
        <ns0:v>0</ns0:v>
      </ns0:c>
      <ns0:c r="U375" s="0">
        <ns0:f>IF(N375&gt;0,T375+IF(Bookings!G375="Pending",10,0),0)</ns0:f>
        <ns0:v>0</ns0:v>
      </ns0:c>
      <ns0:c r="V375" s="0">
        <ns0:f>U375</ns0:f>
        <ns0:v>0</ns0:v>
      </ns0:c>
      <ns0:c r="W375" s="0" t="str">
        <ns0:f>IF(C375=0,"",INDEX($AP$11:$AP$60,C375))</ns0:f>
        <ns0:v/>
      </ns0:c>
    </ns0:row>
    <ns0:row r="376">
      <ns0:c r="A376" s="0">
        <ns0:f>IF(COUNTA(Bookings!A376:G376,Bookings!I376)=0,0,1)</ns0:f>
        <ns0:v>0</ns0:v>
      </ns0:c>
      <ns0:c r="B376" s="0" t="str">
        <ns0:f>IFERROR(TRIM(MID(Bookings!A376,FIND(" · ",Bookings!A376)+3,99)),"")</ns0:f>
        <ns0:v/>
      </ns0:c>
      <ns0:c r="C376" s="0">
        <ns0:f>IF(OR(B376="",LEN(B376)&gt;24,ISNUMBER(FIND(" ",B376)),ISNUMBER(FIND("*",B376)),ISNUMBER(FIND("?",B376)),ISNUMBER(FIND("~",B376))),0,IFERROR(MATCH(B376,Team!$A$11:$A$60,0),0))</ns0:f>
        <ns0:v>0</ns0:v>
      </ns0:c>
      <ns0:c r="D376" s="0" t="str">
        <ns0:f>IFERROR(IF(MID(Bookings!F376,LEN(Bookings!F376)-3,3)=" · ",RIGHT(Bookings!F376,1),""),"")</ns0:f>
        <ns0:v/>
      </ns0:c>
      <ns0:c r="E376" s="0" t="str">
        <ns0:f>IFERROR(INDEX(Settings!$H$7:$H$11,MATCH(D376,Settings!$G$7:$G$11,0)),"")</ns0:f>
        <ns0:v/>
      </ns0:c>
      <ns0:c r="F376" s="0" t="str">
        <ns0:f>IF(A376=0,"",IFERROR(IF(OR(B376="",C376=0),"CHECK employee selection",IF(INDEX(Team!$O$11:$O$60,C376)&lt;&gt;"OK","CHECK employee setup",IF(OR('_Dates'!J376=0,'_Dates'!T376=0),"CHECK date: use DD.MM.YYYY",IF('_Dates'!T376&lt;'_Dates'!J376,"CHECK end before start",IF(AND($B$6=0,OR('_Dates'!J376&lt;Settings!$B$7,'_Dates'!T376&gt;Settings!$B$8)),"CHECK split across leave years",IF(OR(NOT(OR('_Dates'!U376="Full day",'_Dates'!U376="AM",'_Dates'!U376="PM")),NOT(OR('_Dates'!V376="Full day",'_Dates'!V376="AM",'_Dates'!V376="PM"))),"CHECK Full day / AM / PM",IF(AND('_Dates'!J376='_Dates'!T376,'_Dates'!U376&lt;&gt;"Full day",'_Dates'!V376&lt;&gt;"Full day",'_Dates'!U376&lt;&gt;'_Dates'!V376),"CHECK same-day portions disagree",IF(AND($B$6=0,OR(AND('_Dates'!U376&lt;&gt;"Full day",'_Dates'!AA376=0),AND('_Dates'!V376&lt;&gt;"Full day",'_Dates'!AB376=0))),"CHECK half-day on non-working date",IF(COUNTIF(Settings!$G$7:$G$11,D376)&lt;&gt;1,"CHECK leave type",IF(AND(Bookings!G376&lt;&gt;"Approved",Bookings!G376&lt;&gt;"Pending",Bookings!G376&lt;&gt;"Cancelled"),"CHECK status","OK")))))))))),"CHECK input"))</ns0:f>
        <ns0:v/>
      </ns0:c>
      <ns0:c r="G376" s="0">
        <ns0:f>IF(OR(F376&lt;&gt;"OK",$B$6&gt;0),0,0.5*(IF(('_Dates'!X376)&lt;('_Dates'!W376),0,INT((('_Dates'!X376)-('_Dates'!W376)+1)/7)*LEN(SUBSTITUTE(W376,"O",""))+LEN(SUBSTITUTE(MID(W376&amp;W376,WEEKDAY(('_Dates'!W376),2),MOD((('_Dates'!X376)-('_Dates'!W376)+1),7)),"O",""))-COUNTIFS(INDEX(AllClosureRows,C376,0),"&gt;="&amp;('_Dates'!W376),INDEX(AllClosureRows,C376,0),"&lt;="&amp;('_Dates'!X376)))+IF(('_Dates'!Z376)&lt;('_Dates'!Y376),0,INT((('_Dates'!Z376)-('_Dates'!Y376)+1)/7)*LEN(SUBSTITUTE(W376,"O",""))+LEN(SUBSTITUTE(MID(W376&amp;W376,WEEKDAY(('_Dates'!Y376),2),MOD((('_Dates'!Z376)-('_Dates'!Y376)+1),7)),"O",""))-COUNTIFS(INDEX(AllClosureRows,C376,0),"&gt;="&amp;('_Dates'!Y376),INDEX(AllClosureRows,C376,0),"&lt;="&amp;('_Dates'!Z376)))))</ns0:f>
        <ns0:v>0</ns0:v>
      </ns0:c>
      <ns0:c r="H376" s="0">
        <ns0:f>IF(OR(F376&lt;&gt;"OK",$B$6&gt;0),0,0.5*(IF((MIN('_Dates'!X376,Settings!$B$9))&lt;('_Dates'!W376),0,INT(((MIN('_Dates'!X376,Settings!$B$9))-('_Dates'!W376)+1)/7)*LEN(SUBSTITUTE(W376,"O",""))+LEN(SUBSTITUTE(MID(W376&amp;W376,WEEKDAY(('_Dates'!W376),2),MOD(((MIN('_Dates'!X376,Settings!$B$9))-('_Dates'!W376)+1),7)),"O",""))-COUNTIFS(INDEX(AllClosureRows,C376,0),"&gt;="&amp;('_Dates'!W376),INDEX(AllClosureRows,C376,0),"&lt;="&amp;(MIN('_Dates'!X376,Settings!$B$9))))+IF((MIN('_Dates'!Z376,Settings!$B$9))&lt;('_Dates'!Y376),0,INT(((MIN('_Dates'!Z376,Settings!$B$9))-('_Dates'!Y376)+1)/7)*LEN(SUBSTITUTE(W376,"O",""))+LEN(SUBSTITUTE(MID(W376&amp;W376,WEEKDAY(('_Dates'!Y376),2),MOD(((MIN('_Dates'!Z376,Settings!$B$9))-('_Dates'!Y376)+1),7)),"O",""))-COUNTIFS(INDEX(AllClosureRows,C376,0),"&gt;="&amp;('_Dates'!Y376),INDEX(AllClosureRows,C376,0),"&lt;="&amp;(MIN('_Dates'!Z376,Settings!$B$9))))))</ns0:f>
        <ns0:v>0</ns0:v>
      </ns0:c>
      <ns0:c r="I376" s="0">
        <ns0:f>MAX(0,G376-H376)</ns0:f>
        <ns0:v>0</ns0:v>
      </ns0:c>
      <ns0:c r="J376" s="0">
        <ns0:f>IF(OR(A376=0,F376&lt;&gt;"OK",Bookings!G376="Cancelled",$B$6&gt;0),0,IF('_Dates'!AC376=1,MAX(0,COUNTIFS(rngEngine_B,B376,rngAMStart,"&lt;="&amp;'_Dates'!X376,rngAMEnd,"&gt;="&amp;'_Dates'!W376,rngAMActive,1,rngEngine_F,"OK",rngBookings_F,"&lt;&gt;Cancelled")-1),0)+IF('_Dates'!AD376=1,MAX(0,COUNTIFS(rngEngine_B,B376,rngPMStart,"&lt;="&amp;'_Dates'!Z376,rngPMEnd,"&gt;="&amp;'_Dates'!Y376,rngPMActive,1,rngEngine_F,"OK",rngBookings_F,"&lt;&gt;Cancelled")-1),0))</ns0:f>
        <ns0:v>0</ns0:v>
      </ns0:c>
      <ns0:c r="K376" s="0" t="str">
        <ns0:f>IF(A376=0,"",IF(F376&lt;&gt;"OK",F376,IF(J376&gt;0,"CHECK overlapping entry",IF(AND($B$6=0,G376&lt;=0,Bookings!G376&lt;&gt;"Cancelled"),"CHECK no working days",IF(Bookings!G376="Cancelled","Cancelled","OK")))))</ns0:f>
        <ns0:v/>
      </ns0:c>
      <ns0:c r="L376" s="0">
        <ns0:f>IF(LEFT(K376,5)="CHECK",1,0)</ns0:f>
        <ns0:v>0</ns0:v>
      </ns0:c>
      <ns0:c r="M376" s="0">
        <ns0:f>IF(AND(L376=1,OR(C376=0,IFERROR(INDEX($X$11:$X$60,C376),0)=0)),1,0)</ns0:f>
        <ns0:v>0</ns0:v>
      </ns0:c>
      <ns0:c r="N376" s="0">
        <ns0:f>IF(OR(A376=0,L376&gt;0,$B$6&gt;0,Bookings!G376="Cancelled"),0,G376)</ns0:f>
        <ns0:v>0</ns0:v>
      </ns0:c>
      <ns0:c r="O376" s="0">
        <ns0:f>IF(AND(Bookings!G376="Approved",E376="Yes"),N376,0)</ns0:f>
        <ns0:v>0</ns0:v>
      </ns0:c>
      <ns0:c r="P376" s="0">
        <ns0:f>IF(AND(Bookings!G376="Approved",E376="Yes",L376=0,$B$6=0),H376,0)</ns0:f>
        <ns0:v>0</ns0:v>
      </ns0:c>
      <ns0:c r="Q376" s="0">
        <ns0:f>IF(AND(Bookings!G376="Approved",E376="Yes",L376=0,$B$6=0),I376,0)</ns0:f>
        <ns0:v>0</ns0:v>
      </ns0:c>
      <ns0:c r="R376" s="0">
        <ns0:f>IF(AND(Bookings!G376="Pending",E376="Yes"),N376,0)</ns0:f>
        <ns0:v>0</ns0:v>
      </ns0:c>
      <ns0:c r="S376" s="0">
        <ns0:f>IF(AND(Bookings!G376="Approved",E376="No"),N376,0)</ns0:f>
        <ns0:v>0</ns0:v>
      </ns0:c>
      <ns0:c r="T376" s="0">
        <ns0:f>IFERROR(MATCH(D376,Settings!$G$7:$G$11,0),0)</ns0:f>
        <ns0:v>0</ns0:v>
      </ns0:c>
      <ns0:c r="U376" s="0">
        <ns0:f>IF(N376&gt;0,T376+IF(Bookings!G376="Pending",10,0),0)</ns0:f>
        <ns0:v>0</ns0:v>
      </ns0:c>
      <ns0:c r="V376" s="0">
        <ns0:f>U376</ns0:f>
        <ns0:v>0</ns0:v>
      </ns0:c>
      <ns0:c r="W376" s="0" t="str">
        <ns0:f>IF(C376=0,"",INDEX($AP$11:$AP$60,C376))</ns0:f>
        <ns0:v/>
      </ns0:c>
    </ns0:row>
    <ns0:row r="377">
      <ns0:c r="A377" s="0">
        <ns0:f>IF(COUNTA(Bookings!A377:G377,Bookings!I377)=0,0,1)</ns0:f>
        <ns0:v>0</ns0:v>
      </ns0:c>
      <ns0:c r="B377" s="0" t="str">
        <ns0:f>IFERROR(TRIM(MID(Bookings!A377,FIND(" · ",Bookings!A377)+3,99)),"")</ns0:f>
        <ns0:v/>
      </ns0:c>
      <ns0:c r="C377" s="0">
        <ns0:f>IF(OR(B377="",LEN(B377)&gt;24,ISNUMBER(FIND(" ",B377)),ISNUMBER(FIND("*",B377)),ISNUMBER(FIND("?",B377)),ISNUMBER(FIND("~",B377))),0,IFERROR(MATCH(B377,Team!$A$11:$A$60,0),0))</ns0:f>
        <ns0:v>0</ns0:v>
      </ns0:c>
      <ns0:c r="D377" s="0" t="str">
        <ns0:f>IFERROR(IF(MID(Bookings!F377,LEN(Bookings!F377)-3,3)=" · ",RIGHT(Bookings!F377,1),""),"")</ns0:f>
        <ns0:v/>
      </ns0:c>
      <ns0:c r="E377" s="0" t="str">
        <ns0:f>IFERROR(INDEX(Settings!$H$7:$H$11,MATCH(D377,Settings!$G$7:$G$11,0)),"")</ns0:f>
        <ns0:v/>
      </ns0:c>
      <ns0:c r="F377" s="0" t="str">
        <ns0:f>IF(A377=0,"",IFERROR(IF(OR(B377="",C377=0),"CHECK employee selection",IF(INDEX(Team!$O$11:$O$60,C377)&lt;&gt;"OK","CHECK employee setup",IF(OR('_Dates'!J377=0,'_Dates'!T377=0),"CHECK date: use DD.MM.YYYY",IF('_Dates'!T377&lt;'_Dates'!J377,"CHECK end before start",IF(AND($B$6=0,OR('_Dates'!J377&lt;Settings!$B$7,'_Dates'!T377&gt;Settings!$B$8)),"CHECK split across leave years",IF(OR(NOT(OR('_Dates'!U377="Full day",'_Dates'!U377="AM",'_Dates'!U377="PM")),NOT(OR('_Dates'!V377="Full day",'_Dates'!V377="AM",'_Dates'!V377="PM"))),"CHECK Full day / AM / PM",IF(AND('_Dates'!J377='_Dates'!T377,'_Dates'!U377&lt;&gt;"Full day",'_Dates'!V377&lt;&gt;"Full day",'_Dates'!U377&lt;&gt;'_Dates'!V377),"CHECK same-day portions disagree",IF(AND($B$6=0,OR(AND('_Dates'!U377&lt;&gt;"Full day",'_Dates'!AA377=0),AND('_Dates'!V377&lt;&gt;"Full day",'_Dates'!AB377=0))),"CHECK half-day on non-working date",IF(COUNTIF(Settings!$G$7:$G$11,D377)&lt;&gt;1,"CHECK leave type",IF(AND(Bookings!G377&lt;&gt;"Approved",Bookings!G377&lt;&gt;"Pending",Bookings!G377&lt;&gt;"Cancelled"),"CHECK status","OK")))))))))),"CHECK input"))</ns0:f>
        <ns0:v/>
      </ns0:c>
      <ns0:c r="G377" s="0">
        <ns0:f>IF(OR(F377&lt;&gt;"OK",$B$6&gt;0),0,0.5*(IF(('_Dates'!X377)&lt;('_Dates'!W377),0,INT((('_Dates'!X377)-('_Dates'!W377)+1)/7)*LEN(SUBSTITUTE(W377,"O",""))+LEN(SUBSTITUTE(MID(W377&amp;W377,WEEKDAY(('_Dates'!W377),2),MOD((('_Dates'!X377)-('_Dates'!W377)+1),7)),"O",""))-COUNTIFS(INDEX(AllClosureRows,C377,0),"&gt;="&amp;('_Dates'!W377),INDEX(AllClosureRows,C377,0),"&lt;="&amp;('_Dates'!X377)))+IF(('_Dates'!Z377)&lt;('_Dates'!Y377),0,INT((('_Dates'!Z377)-('_Dates'!Y377)+1)/7)*LEN(SUBSTITUTE(W377,"O",""))+LEN(SUBSTITUTE(MID(W377&amp;W377,WEEKDAY(('_Dates'!Y377),2),MOD((('_Dates'!Z377)-('_Dates'!Y377)+1),7)),"O",""))-COUNTIFS(INDEX(AllClosureRows,C377,0),"&gt;="&amp;('_Dates'!Y377),INDEX(AllClosureRows,C377,0),"&lt;="&amp;('_Dates'!Z377)))))</ns0:f>
        <ns0:v>0</ns0:v>
      </ns0:c>
      <ns0:c r="H377" s="0">
        <ns0:f>IF(OR(F377&lt;&gt;"OK",$B$6&gt;0),0,0.5*(IF((MIN('_Dates'!X377,Settings!$B$9))&lt;('_Dates'!W377),0,INT(((MIN('_Dates'!X377,Settings!$B$9))-('_Dates'!W377)+1)/7)*LEN(SUBSTITUTE(W377,"O",""))+LEN(SUBSTITUTE(MID(W377&amp;W377,WEEKDAY(('_Dates'!W377),2),MOD(((MIN('_Dates'!X377,Settings!$B$9))-('_Dates'!W377)+1),7)),"O",""))-COUNTIFS(INDEX(AllClosureRows,C377,0),"&gt;="&amp;('_Dates'!W377),INDEX(AllClosureRows,C377,0),"&lt;="&amp;(MIN('_Dates'!X377,Settings!$B$9))))+IF((MIN('_Dates'!Z377,Settings!$B$9))&lt;('_Dates'!Y377),0,INT(((MIN('_Dates'!Z377,Settings!$B$9))-('_Dates'!Y377)+1)/7)*LEN(SUBSTITUTE(W377,"O",""))+LEN(SUBSTITUTE(MID(W377&amp;W377,WEEKDAY(('_Dates'!Y377),2),MOD(((MIN('_Dates'!Z377,Settings!$B$9))-('_Dates'!Y377)+1),7)),"O",""))-COUNTIFS(INDEX(AllClosureRows,C377,0),"&gt;="&amp;('_Dates'!Y377),INDEX(AllClosureRows,C377,0),"&lt;="&amp;(MIN('_Dates'!Z377,Settings!$B$9))))))</ns0:f>
        <ns0:v>0</ns0:v>
      </ns0:c>
      <ns0:c r="I377" s="0">
        <ns0:f>MAX(0,G377-H377)</ns0:f>
        <ns0:v>0</ns0:v>
      </ns0:c>
      <ns0:c r="J377" s="0">
        <ns0:f>IF(OR(A377=0,F377&lt;&gt;"OK",Bookings!G377="Cancelled",$B$6&gt;0),0,IF('_Dates'!AC377=1,MAX(0,COUNTIFS(rngEngine_B,B377,rngAMStart,"&lt;="&amp;'_Dates'!X377,rngAMEnd,"&gt;="&amp;'_Dates'!W377,rngAMActive,1,rngEngine_F,"OK",rngBookings_F,"&lt;&gt;Cancelled")-1),0)+IF('_Dates'!AD377=1,MAX(0,COUNTIFS(rngEngine_B,B377,rngPMStart,"&lt;="&amp;'_Dates'!Z377,rngPMEnd,"&gt;="&amp;'_Dates'!Y377,rngPMActive,1,rngEngine_F,"OK",rngBookings_F,"&lt;&gt;Cancelled")-1),0))</ns0:f>
        <ns0:v>0</ns0:v>
      </ns0:c>
      <ns0:c r="K377" s="0" t="str">
        <ns0:f>IF(A377=0,"",IF(F377&lt;&gt;"OK",F377,IF(J377&gt;0,"CHECK overlapping entry",IF(AND($B$6=0,G377&lt;=0,Bookings!G377&lt;&gt;"Cancelled"),"CHECK no working days",IF(Bookings!G377="Cancelled","Cancelled","OK")))))</ns0:f>
        <ns0:v/>
      </ns0:c>
      <ns0:c r="L377" s="0">
        <ns0:f>IF(LEFT(K377,5)="CHECK",1,0)</ns0:f>
        <ns0:v>0</ns0:v>
      </ns0:c>
      <ns0:c r="M377" s="0">
        <ns0:f>IF(AND(L377=1,OR(C377=0,IFERROR(INDEX($X$11:$X$60,C377),0)=0)),1,0)</ns0:f>
        <ns0:v>0</ns0:v>
      </ns0:c>
      <ns0:c r="N377" s="0">
        <ns0:f>IF(OR(A377=0,L377&gt;0,$B$6&gt;0,Bookings!G377="Cancelled"),0,G377)</ns0:f>
        <ns0:v>0</ns0:v>
      </ns0:c>
      <ns0:c r="O377" s="0">
        <ns0:f>IF(AND(Bookings!G377="Approved",E377="Yes"),N377,0)</ns0:f>
        <ns0:v>0</ns0:v>
      </ns0:c>
      <ns0:c r="P377" s="0">
        <ns0:f>IF(AND(Bookings!G377="Approved",E377="Yes",L377=0,$B$6=0),H377,0)</ns0:f>
        <ns0:v>0</ns0:v>
      </ns0:c>
      <ns0:c r="Q377" s="0">
        <ns0:f>IF(AND(Bookings!G377="Approved",E377="Yes",L377=0,$B$6=0),I377,0)</ns0:f>
        <ns0:v>0</ns0:v>
      </ns0:c>
      <ns0:c r="R377" s="0">
        <ns0:f>IF(AND(Bookings!G377="Pending",E377="Yes"),N377,0)</ns0:f>
        <ns0:v>0</ns0:v>
      </ns0:c>
      <ns0:c r="S377" s="0">
        <ns0:f>IF(AND(Bookings!G377="Approved",E377="No"),N377,0)</ns0:f>
        <ns0:v>0</ns0:v>
      </ns0:c>
      <ns0:c r="T377" s="0">
        <ns0:f>IFERROR(MATCH(D377,Settings!$G$7:$G$11,0),0)</ns0:f>
        <ns0:v>0</ns0:v>
      </ns0:c>
      <ns0:c r="U377" s="0">
        <ns0:f>IF(N377&gt;0,T377+IF(Bookings!G377="Pending",10,0),0)</ns0:f>
        <ns0:v>0</ns0:v>
      </ns0:c>
      <ns0:c r="V377" s="0">
        <ns0:f>U377</ns0:f>
        <ns0:v>0</ns0:v>
      </ns0:c>
      <ns0:c r="W377" s="0" t="str">
        <ns0:f>IF(C377=0,"",INDEX($AP$11:$AP$60,C377))</ns0:f>
        <ns0:v/>
      </ns0:c>
    </ns0:row>
    <ns0:row r="378">
      <ns0:c r="A378" s="0">
        <ns0:f>IF(COUNTA(Bookings!A378:G378,Bookings!I378)=0,0,1)</ns0:f>
        <ns0:v>0</ns0:v>
      </ns0:c>
      <ns0:c r="B378" s="0" t="str">
        <ns0:f>IFERROR(TRIM(MID(Bookings!A378,FIND(" · ",Bookings!A378)+3,99)),"")</ns0:f>
        <ns0:v/>
      </ns0:c>
      <ns0:c r="C378" s="0">
        <ns0:f>IF(OR(B378="",LEN(B378)&gt;24,ISNUMBER(FIND(" ",B378)),ISNUMBER(FIND("*",B378)),ISNUMBER(FIND("?",B378)),ISNUMBER(FIND("~",B378))),0,IFERROR(MATCH(B378,Team!$A$11:$A$60,0),0))</ns0:f>
        <ns0:v>0</ns0:v>
      </ns0:c>
      <ns0:c r="D378" s="0" t="str">
        <ns0:f>IFERROR(IF(MID(Bookings!F378,LEN(Bookings!F378)-3,3)=" · ",RIGHT(Bookings!F378,1),""),"")</ns0:f>
        <ns0:v/>
      </ns0:c>
      <ns0:c r="E378" s="0" t="str">
        <ns0:f>IFERROR(INDEX(Settings!$H$7:$H$11,MATCH(D378,Settings!$G$7:$G$11,0)),"")</ns0:f>
        <ns0:v/>
      </ns0:c>
      <ns0:c r="F378" s="0" t="str">
        <ns0:f>IF(A378=0,"",IFERROR(IF(OR(B378="",C378=0),"CHECK employee selection",IF(INDEX(Team!$O$11:$O$60,C378)&lt;&gt;"OK","CHECK employee setup",IF(OR('_Dates'!J378=0,'_Dates'!T378=0),"CHECK date: use DD.MM.YYYY",IF('_Dates'!T378&lt;'_Dates'!J378,"CHECK end before start",IF(AND($B$6=0,OR('_Dates'!J378&lt;Settings!$B$7,'_Dates'!T378&gt;Settings!$B$8)),"CHECK split across leave years",IF(OR(NOT(OR('_Dates'!U378="Full day",'_Dates'!U378="AM",'_Dates'!U378="PM")),NOT(OR('_Dates'!V378="Full day",'_Dates'!V378="AM",'_Dates'!V378="PM"))),"CHECK Full day / AM / PM",IF(AND('_Dates'!J378='_Dates'!T378,'_Dates'!U378&lt;&gt;"Full day",'_Dates'!V378&lt;&gt;"Full day",'_Dates'!U378&lt;&gt;'_Dates'!V378),"CHECK same-day portions disagree",IF(AND($B$6=0,OR(AND('_Dates'!U378&lt;&gt;"Full day",'_Dates'!AA378=0),AND('_Dates'!V378&lt;&gt;"Full day",'_Dates'!AB378=0))),"CHECK half-day on non-working date",IF(COUNTIF(Settings!$G$7:$G$11,D378)&lt;&gt;1,"CHECK leave type",IF(AND(Bookings!G378&lt;&gt;"Approved",Bookings!G378&lt;&gt;"Pending",Bookings!G378&lt;&gt;"Cancelled"),"CHECK status","OK")))))))))),"CHECK input"))</ns0:f>
        <ns0:v/>
      </ns0:c>
      <ns0:c r="G378" s="0">
        <ns0:f>IF(OR(F378&lt;&gt;"OK",$B$6&gt;0),0,0.5*(IF(('_Dates'!X378)&lt;('_Dates'!W378),0,INT((('_Dates'!X378)-('_Dates'!W378)+1)/7)*LEN(SUBSTITUTE(W378,"O",""))+LEN(SUBSTITUTE(MID(W378&amp;W378,WEEKDAY(('_Dates'!W378),2),MOD((('_Dates'!X378)-('_Dates'!W378)+1),7)),"O",""))-COUNTIFS(INDEX(AllClosureRows,C378,0),"&gt;="&amp;('_Dates'!W378),INDEX(AllClosureRows,C378,0),"&lt;="&amp;('_Dates'!X378)))+IF(('_Dates'!Z378)&lt;('_Dates'!Y378),0,INT((('_Dates'!Z378)-('_Dates'!Y378)+1)/7)*LEN(SUBSTITUTE(W378,"O",""))+LEN(SUBSTITUTE(MID(W378&amp;W378,WEEKDAY(('_Dates'!Y378),2),MOD((('_Dates'!Z378)-('_Dates'!Y378)+1),7)),"O",""))-COUNTIFS(INDEX(AllClosureRows,C378,0),"&gt;="&amp;('_Dates'!Y378),INDEX(AllClosureRows,C378,0),"&lt;="&amp;('_Dates'!Z378)))))</ns0:f>
        <ns0:v>0</ns0:v>
      </ns0:c>
      <ns0:c r="H378" s="0">
        <ns0:f>IF(OR(F378&lt;&gt;"OK",$B$6&gt;0),0,0.5*(IF((MIN('_Dates'!X378,Settings!$B$9))&lt;('_Dates'!W378),0,INT(((MIN('_Dates'!X378,Settings!$B$9))-('_Dates'!W378)+1)/7)*LEN(SUBSTITUTE(W378,"O",""))+LEN(SUBSTITUTE(MID(W378&amp;W378,WEEKDAY(('_Dates'!W378),2),MOD(((MIN('_Dates'!X378,Settings!$B$9))-('_Dates'!W378)+1),7)),"O",""))-COUNTIFS(INDEX(AllClosureRows,C378,0),"&gt;="&amp;('_Dates'!W378),INDEX(AllClosureRows,C378,0),"&lt;="&amp;(MIN('_Dates'!X378,Settings!$B$9))))+IF((MIN('_Dates'!Z378,Settings!$B$9))&lt;('_Dates'!Y378),0,INT(((MIN('_Dates'!Z378,Settings!$B$9))-('_Dates'!Y378)+1)/7)*LEN(SUBSTITUTE(W378,"O",""))+LEN(SUBSTITUTE(MID(W378&amp;W378,WEEKDAY(('_Dates'!Y378),2),MOD(((MIN('_Dates'!Z378,Settings!$B$9))-('_Dates'!Y378)+1),7)),"O",""))-COUNTIFS(INDEX(AllClosureRows,C378,0),"&gt;="&amp;('_Dates'!Y378),INDEX(AllClosureRows,C378,0),"&lt;="&amp;(MIN('_Dates'!Z378,Settings!$B$9))))))</ns0:f>
        <ns0:v>0</ns0:v>
      </ns0:c>
      <ns0:c r="I378" s="0">
        <ns0:f>MAX(0,G378-H378)</ns0:f>
        <ns0:v>0</ns0:v>
      </ns0:c>
      <ns0:c r="J378" s="0">
        <ns0:f>IF(OR(A378=0,F378&lt;&gt;"OK",Bookings!G378="Cancelled",$B$6&gt;0),0,IF('_Dates'!AC378=1,MAX(0,COUNTIFS(rngEngine_B,B378,rngAMStart,"&lt;="&amp;'_Dates'!X378,rngAMEnd,"&gt;="&amp;'_Dates'!W378,rngAMActive,1,rngEngine_F,"OK",rngBookings_F,"&lt;&gt;Cancelled")-1),0)+IF('_Dates'!AD378=1,MAX(0,COUNTIFS(rngEngine_B,B378,rngPMStart,"&lt;="&amp;'_Dates'!Z378,rngPMEnd,"&gt;="&amp;'_Dates'!Y378,rngPMActive,1,rngEngine_F,"OK",rngBookings_F,"&lt;&gt;Cancelled")-1),0))</ns0:f>
        <ns0:v>0</ns0:v>
      </ns0:c>
      <ns0:c r="K378" s="0" t="str">
        <ns0:f>IF(A378=0,"",IF(F378&lt;&gt;"OK",F378,IF(J378&gt;0,"CHECK overlapping entry",IF(AND($B$6=0,G378&lt;=0,Bookings!G378&lt;&gt;"Cancelled"),"CHECK no working days",IF(Bookings!G378="Cancelled","Cancelled","OK")))))</ns0:f>
        <ns0:v/>
      </ns0:c>
      <ns0:c r="L378" s="0">
        <ns0:f>IF(LEFT(K378,5)="CHECK",1,0)</ns0:f>
        <ns0:v>0</ns0:v>
      </ns0:c>
      <ns0:c r="M378" s="0">
        <ns0:f>IF(AND(L378=1,OR(C378=0,IFERROR(INDEX($X$11:$X$60,C378),0)=0)),1,0)</ns0:f>
        <ns0:v>0</ns0:v>
      </ns0:c>
      <ns0:c r="N378" s="0">
        <ns0:f>IF(OR(A378=0,L378&gt;0,$B$6&gt;0,Bookings!G378="Cancelled"),0,G378)</ns0:f>
        <ns0:v>0</ns0:v>
      </ns0:c>
      <ns0:c r="O378" s="0">
        <ns0:f>IF(AND(Bookings!G378="Approved",E378="Yes"),N378,0)</ns0:f>
        <ns0:v>0</ns0:v>
      </ns0:c>
      <ns0:c r="P378" s="0">
        <ns0:f>IF(AND(Bookings!G378="Approved",E378="Yes",L378=0,$B$6=0),H378,0)</ns0:f>
        <ns0:v>0</ns0:v>
      </ns0:c>
      <ns0:c r="Q378" s="0">
        <ns0:f>IF(AND(Bookings!G378="Approved",E378="Yes",L378=0,$B$6=0),I378,0)</ns0:f>
        <ns0:v>0</ns0:v>
      </ns0:c>
      <ns0:c r="R378" s="0">
        <ns0:f>IF(AND(Bookings!G378="Pending",E378="Yes"),N378,0)</ns0:f>
        <ns0:v>0</ns0:v>
      </ns0:c>
      <ns0:c r="S378" s="0">
        <ns0:f>IF(AND(Bookings!G378="Approved",E378="No"),N378,0)</ns0:f>
        <ns0:v>0</ns0:v>
      </ns0:c>
      <ns0:c r="T378" s="0">
        <ns0:f>IFERROR(MATCH(D378,Settings!$G$7:$G$11,0),0)</ns0:f>
        <ns0:v>0</ns0:v>
      </ns0:c>
      <ns0:c r="U378" s="0">
        <ns0:f>IF(N378&gt;0,T378+IF(Bookings!G378="Pending",10,0),0)</ns0:f>
        <ns0:v>0</ns0:v>
      </ns0:c>
      <ns0:c r="V378" s="0">
        <ns0:f>U378</ns0:f>
        <ns0:v>0</ns0:v>
      </ns0:c>
      <ns0:c r="W378" s="0" t="str">
        <ns0:f>IF(C378=0,"",INDEX($AP$11:$AP$60,C378))</ns0:f>
        <ns0:v/>
      </ns0:c>
    </ns0:row>
    <ns0:row r="379">
      <ns0:c r="A379" s="0">
        <ns0:f>IF(COUNTA(Bookings!A379:G379,Bookings!I379)=0,0,1)</ns0:f>
        <ns0:v>0</ns0:v>
      </ns0:c>
      <ns0:c r="B379" s="0" t="str">
        <ns0:f>IFERROR(TRIM(MID(Bookings!A379,FIND(" · ",Bookings!A379)+3,99)),"")</ns0:f>
        <ns0:v/>
      </ns0:c>
      <ns0:c r="C379" s="0">
        <ns0:f>IF(OR(B379="",LEN(B379)&gt;24,ISNUMBER(FIND(" ",B379)),ISNUMBER(FIND("*",B379)),ISNUMBER(FIND("?",B379)),ISNUMBER(FIND("~",B379))),0,IFERROR(MATCH(B379,Team!$A$11:$A$60,0),0))</ns0:f>
        <ns0:v>0</ns0:v>
      </ns0:c>
      <ns0:c r="D379" s="0" t="str">
        <ns0:f>IFERROR(IF(MID(Bookings!F379,LEN(Bookings!F379)-3,3)=" · ",RIGHT(Bookings!F379,1),""),"")</ns0:f>
        <ns0:v/>
      </ns0:c>
      <ns0:c r="E379" s="0" t="str">
        <ns0:f>IFERROR(INDEX(Settings!$H$7:$H$11,MATCH(D379,Settings!$G$7:$G$11,0)),"")</ns0:f>
        <ns0:v/>
      </ns0:c>
      <ns0:c r="F379" s="0" t="str">
        <ns0:f>IF(A379=0,"",IFERROR(IF(OR(B379="",C379=0),"CHECK employee selection",IF(INDEX(Team!$O$11:$O$60,C379)&lt;&gt;"OK","CHECK employee setup",IF(OR('_Dates'!J379=0,'_Dates'!T379=0),"CHECK date: use DD.MM.YYYY",IF('_Dates'!T379&lt;'_Dates'!J379,"CHECK end before start",IF(AND($B$6=0,OR('_Dates'!J379&lt;Settings!$B$7,'_Dates'!T379&gt;Settings!$B$8)),"CHECK split across leave years",IF(OR(NOT(OR('_Dates'!U379="Full day",'_Dates'!U379="AM",'_Dates'!U379="PM")),NOT(OR('_Dates'!V379="Full day",'_Dates'!V379="AM",'_Dates'!V379="PM"))),"CHECK Full day / AM / PM",IF(AND('_Dates'!J379='_Dates'!T379,'_Dates'!U379&lt;&gt;"Full day",'_Dates'!V379&lt;&gt;"Full day",'_Dates'!U379&lt;&gt;'_Dates'!V379),"CHECK same-day portions disagree",IF(AND($B$6=0,OR(AND('_Dates'!U379&lt;&gt;"Full day",'_Dates'!AA379=0),AND('_Dates'!V379&lt;&gt;"Full day",'_Dates'!AB379=0))),"CHECK half-day on non-working date",IF(COUNTIF(Settings!$G$7:$G$11,D379)&lt;&gt;1,"CHECK leave type",IF(AND(Bookings!G379&lt;&gt;"Approved",Bookings!G379&lt;&gt;"Pending",Bookings!G379&lt;&gt;"Cancelled"),"CHECK status","OK")))))))))),"CHECK input"))</ns0:f>
        <ns0:v/>
      </ns0:c>
      <ns0:c r="G379" s="0">
        <ns0:f>IF(OR(F379&lt;&gt;"OK",$B$6&gt;0),0,0.5*(IF(('_Dates'!X379)&lt;('_Dates'!W379),0,INT((('_Dates'!X379)-('_Dates'!W379)+1)/7)*LEN(SUBSTITUTE(W379,"O",""))+LEN(SUBSTITUTE(MID(W379&amp;W379,WEEKDAY(('_Dates'!W379),2),MOD((('_Dates'!X379)-('_Dates'!W379)+1),7)),"O",""))-COUNTIFS(INDEX(AllClosureRows,C379,0),"&gt;="&amp;('_Dates'!W379),INDEX(AllClosureRows,C379,0),"&lt;="&amp;('_Dates'!X379)))+IF(('_Dates'!Z379)&lt;('_Dates'!Y379),0,INT((('_Dates'!Z379)-('_Dates'!Y379)+1)/7)*LEN(SUBSTITUTE(W379,"O",""))+LEN(SUBSTITUTE(MID(W379&amp;W379,WEEKDAY(('_Dates'!Y379),2),MOD((('_Dates'!Z379)-('_Dates'!Y379)+1),7)),"O",""))-COUNTIFS(INDEX(AllClosureRows,C379,0),"&gt;="&amp;('_Dates'!Y379),INDEX(AllClosureRows,C379,0),"&lt;="&amp;('_Dates'!Z379)))))</ns0:f>
        <ns0:v>0</ns0:v>
      </ns0:c>
      <ns0:c r="H379" s="0">
        <ns0:f>IF(OR(F379&lt;&gt;"OK",$B$6&gt;0),0,0.5*(IF((MIN('_Dates'!X379,Settings!$B$9))&lt;('_Dates'!W379),0,INT(((MIN('_Dates'!X379,Settings!$B$9))-('_Dates'!W379)+1)/7)*LEN(SUBSTITUTE(W379,"O",""))+LEN(SUBSTITUTE(MID(W379&amp;W379,WEEKDAY(('_Dates'!W379),2),MOD(((MIN('_Dates'!X379,Settings!$B$9))-('_Dates'!W379)+1),7)),"O",""))-COUNTIFS(INDEX(AllClosureRows,C379,0),"&gt;="&amp;('_Dates'!W379),INDEX(AllClosureRows,C379,0),"&lt;="&amp;(MIN('_Dates'!X379,Settings!$B$9))))+IF((MIN('_Dates'!Z379,Settings!$B$9))&lt;('_Dates'!Y379),0,INT(((MIN('_Dates'!Z379,Settings!$B$9))-('_Dates'!Y379)+1)/7)*LEN(SUBSTITUTE(W379,"O",""))+LEN(SUBSTITUTE(MID(W379&amp;W379,WEEKDAY(('_Dates'!Y379),2),MOD(((MIN('_Dates'!Z379,Settings!$B$9))-('_Dates'!Y379)+1),7)),"O",""))-COUNTIFS(INDEX(AllClosureRows,C379,0),"&gt;="&amp;('_Dates'!Y379),INDEX(AllClosureRows,C379,0),"&lt;="&amp;(MIN('_Dates'!Z379,Settings!$B$9))))))</ns0:f>
        <ns0:v>0</ns0:v>
      </ns0:c>
      <ns0:c r="I379" s="0">
        <ns0:f>MAX(0,G379-H379)</ns0:f>
        <ns0:v>0</ns0:v>
      </ns0:c>
      <ns0:c r="J379" s="0">
        <ns0:f>IF(OR(A379=0,F379&lt;&gt;"OK",Bookings!G379="Cancelled",$B$6&gt;0),0,IF('_Dates'!AC379=1,MAX(0,COUNTIFS(rngEngine_B,B379,rngAMStart,"&lt;="&amp;'_Dates'!X379,rngAMEnd,"&gt;="&amp;'_Dates'!W379,rngAMActive,1,rngEngine_F,"OK",rngBookings_F,"&lt;&gt;Cancelled")-1),0)+IF('_Dates'!AD379=1,MAX(0,COUNTIFS(rngEngine_B,B379,rngPMStart,"&lt;="&amp;'_Dates'!Z379,rngPMEnd,"&gt;="&amp;'_Dates'!Y379,rngPMActive,1,rngEngine_F,"OK",rngBookings_F,"&lt;&gt;Cancelled")-1),0))</ns0:f>
        <ns0:v>0</ns0:v>
      </ns0:c>
      <ns0:c r="K379" s="0" t="str">
        <ns0:f>IF(A379=0,"",IF(F379&lt;&gt;"OK",F379,IF(J379&gt;0,"CHECK overlapping entry",IF(AND($B$6=0,G379&lt;=0,Bookings!G379&lt;&gt;"Cancelled"),"CHECK no working days",IF(Bookings!G379="Cancelled","Cancelled","OK")))))</ns0:f>
        <ns0:v/>
      </ns0:c>
      <ns0:c r="L379" s="0">
        <ns0:f>IF(LEFT(K379,5)="CHECK",1,0)</ns0:f>
        <ns0:v>0</ns0:v>
      </ns0:c>
      <ns0:c r="M379" s="0">
        <ns0:f>IF(AND(L379=1,OR(C379=0,IFERROR(INDEX($X$11:$X$60,C379),0)=0)),1,0)</ns0:f>
        <ns0:v>0</ns0:v>
      </ns0:c>
      <ns0:c r="N379" s="0">
        <ns0:f>IF(OR(A379=0,L379&gt;0,$B$6&gt;0,Bookings!G379="Cancelled"),0,G379)</ns0:f>
        <ns0:v>0</ns0:v>
      </ns0:c>
      <ns0:c r="O379" s="0">
        <ns0:f>IF(AND(Bookings!G379="Approved",E379="Yes"),N379,0)</ns0:f>
        <ns0:v>0</ns0:v>
      </ns0:c>
      <ns0:c r="P379" s="0">
        <ns0:f>IF(AND(Bookings!G379="Approved",E379="Yes",L379=0,$B$6=0),H379,0)</ns0:f>
        <ns0:v>0</ns0:v>
      </ns0:c>
      <ns0:c r="Q379" s="0">
        <ns0:f>IF(AND(Bookings!G379="Approved",E379="Yes",L379=0,$B$6=0),I379,0)</ns0:f>
        <ns0:v>0</ns0:v>
      </ns0:c>
      <ns0:c r="R379" s="0">
        <ns0:f>IF(AND(Bookings!G379="Pending",E379="Yes"),N379,0)</ns0:f>
        <ns0:v>0</ns0:v>
      </ns0:c>
      <ns0:c r="S379" s="0">
        <ns0:f>IF(AND(Bookings!G379="Approved",E379="No"),N379,0)</ns0:f>
        <ns0:v>0</ns0:v>
      </ns0:c>
      <ns0:c r="T379" s="0">
        <ns0:f>IFERROR(MATCH(D379,Settings!$G$7:$G$11,0),0)</ns0:f>
        <ns0:v>0</ns0:v>
      </ns0:c>
      <ns0:c r="U379" s="0">
        <ns0:f>IF(N379&gt;0,T379+IF(Bookings!G379="Pending",10,0),0)</ns0:f>
        <ns0:v>0</ns0:v>
      </ns0:c>
      <ns0:c r="V379" s="0">
        <ns0:f>U379</ns0:f>
        <ns0:v>0</ns0:v>
      </ns0:c>
      <ns0:c r="W379" s="0" t="str">
        <ns0:f>IF(C379=0,"",INDEX($AP$11:$AP$60,C379))</ns0:f>
        <ns0:v/>
      </ns0:c>
    </ns0:row>
    <ns0:row r="380">
      <ns0:c r="A380" s="0">
        <ns0:f>IF(COUNTA(Bookings!A380:G380,Bookings!I380)=0,0,1)</ns0:f>
        <ns0:v>0</ns0:v>
      </ns0:c>
      <ns0:c r="B380" s="0" t="str">
        <ns0:f>IFERROR(TRIM(MID(Bookings!A380,FIND(" · ",Bookings!A380)+3,99)),"")</ns0:f>
        <ns0:v/>
      </ns0:c>
      <ns0:c r="C380" s="0">
        <ns0:f>IF(OR(B380="",LEN(B380)&gt;24,ISNUMBER(FIND(" ",B380)),ISNUMBER(FIND("*",B380)),ISNUMBER(FIND("?",B380)),ISNUMBER(FIND("~",B380))),0,IFERROR(MATCH(B380,Team!$A$11:$A$60,0),0))</ns0:f>
        <ns0:v>0</ns0:v>
      </ns0:c>
      <ns0:c r="D380" s="0" t="str">
        <ns0:f>IFERROR(IF(MID(Bookings!F380,LEN(Bookings!F380)-3,3)=" · ",RIGHT(Bookings!F380,1),""),"")</ns0:f>
        <ns0:v/>
      </ns0:c>
      <ns0:c r="E380" s="0" t="str">
        <ns0:f>IFERROR(INDEX(Settings!$H$7:$H$11,MATCH(D380,Settings!$G$7:$G$11,0)),"")</ns0:f>
        <ns0:v/>
      </ns0:c>
      <ns0:c r="F380" s="0" t="str">
        <ns0:f>IF(A380=0,"",IFERROR(IF(OR(B380="",C380=0),"CHECK employee selection",IF(INDEX(Team!$O$11:$O$60,C380)&lt;&gt;"OK","CHECK employee setup",IF(OR('_Dates'!J380=0,'_Dates'!T380=0),"CHECK date: use DD.MM.YYYY",IF('_Dates'!T380&lt;'_Dates'!J380,"CHECK end before start",IF(AND($B$6=0,OR('_Dates'!J380&lt;Settings!$B$7,'_Dates'!T380&gt;Settings!$B$8)),"CHECK split across leave years",IF(OR(NOT(OR('_Dates'!U380="Full day",'_Dates'!U380="AM",'_Dates'!U380="PM")),NOT(OR('_Dates'!V380="Full day",'_Dates'!V380="AM",'_Dates'!V380="PM"))),"CHECK Full day / AM / PM",IF(AND('_Dates'!J380='_Dates'!T380,'_Dates'!U380&lt;&gt;"Full day",'_Dates'!V380&lt;&gt;"Full day",'_Dates'!U380&lt;&gt;'_Dates'!V380),"CHECK same-day portions disagree",IF(AND($B$6=0,OR(AND('_Dates'!U380&lt;&gt;"Full day",'_Dates'!AA380=0),AND('_Dates'!V380&lt;&gt;"Full day",'_Dates'!AB380=0))),"CHECK half-day on non-working date",IF(COUNTIF(Settings!$G$7:$G$11,D380)&lt;&gt;1,"CHECK leave type",IF(AND(Bookings!G380&lt;&gt;"Approved",Bookings!G380&lt;&gt;"Pending",Bookings!G380&lt;&gt;"Cancelled"),"CHECK status","OK")))))))))),"CHECK input"))</ns0:f>
        <ns0:v/>
      </ns0:c>
      <ns0:c r="G380" s="0">
        <ns0:f>IF(OR(F380&lt;&gt;"OK",$B$6&gt;0),0,0.5*(IF(('_Dates'!X380)&lt;('_Dates'!W380),0,INT((('_Dates'!X380)-('_Dates'!W380)+1)/7)*LEN(SUBSTITUTE(W380,"O",""))+LEN(SUBSTITUTE(MID(W380&amp;W380,WEEKDAY(('_Dates'!W380),2),MOD((('_Dates'!X380)-('_Dates'!W380)+1),7)),"O",""))-COUNTIFS(INDEX(AllClosureRows,C380,0),"&gt;="&amp;('_Dates'!W380),INDEX(AllClosureRows,C380,0),"&lt;="&amp;('_Dates'!X380)))+IF(('_Dates'!Z380)&lt;('_Dates'!Y380),0,INT((('_Dates'!Z380)-('_Dates'!Y380)+1)/7)*LEN(SUBSTITUTE(W380,"O",""))+LEN(SUBSTITUTE(MID(W380&amp;W380,WEEKDAY(('_Dates'!Y380),2),MOD((('_Dates'!Z380)-('_Dates'!Y380)+1),7)),"O",""))-COUNTIFS(INDEX(AllClosureRows,C380,0),"&gt;="&amp;('_Dates'!Y380),INDEX(AllClosureRows,C380,0),"&lt;="&amp;('_Dates'!Z380)))))</ns0:f>
        <ns0:v>0</ns0:v>
      </ns0:c>
      <ns0:c r="H380" s="0">
        <ns0:f>IF(OR(F380&lt;&gt;"OK",$B$6&gt;0),0,0.5*(IF((MIN('_Dates'!X380,Settings!$B$9))&lt;('_Dates'!W380),0,INT(((MIN('_Dates'!X380,Settings!$B$9))-('_Dates'!W380)+1)/7)*LEN(SUBSTITUTE(W380,"O",""))+LEN(SUBSTITUTE(MID(W380&amp;W380,WEEKDAY(('_Dates'!W380),2),MOD(((MIN('_Dates'!X380,Settings!$B$9))-('_Dates'!W380)+1),7)),"O",""))-COUNTIFS(INDEX(AllClosureRows,C380,0),"&gt;="&amp;('_Dates'!W380),INDEX(AllClosureRows,C380,0),"&lt;="&amp;(MIN('_Dates'!X380,Settings!$B$9))))+IF((MIN('_Dates'!Z380,Settings!$B$9))&lt;('_Dates'!Y380),0,INT(((MIN('_Dates'!Z380,Settings!$B$9))-('_Dates'!Y380)+1)/7)*LEN(SUBSTITUTE(W380,"O",""))+LEN(SUBSTITUTE(MID(W380&amp;W380,WEEKDAY(('_Dates'!Y380),2),MOD(((MIN('_Dates'!Z380,Settings!$B$9))-('_Dates'!Y380)+1),7)),"O",""))-COUNTIFS(INDEX(AllClosureRows,C380,0),"&gt;="&amp;('_Dates'!Y380),INDEX(AllClosureRows,C380,0),"&lt;="&amp;(MIN('_Dates'!Z380,Settings!$B$9))))))</ns0:f>
        <ns0:v>0</ns0:v>
      </ns0:c>
      <ns0:c r="I380" s="0">
        <ns0:f>MAX(0,G380-H380)</ns0:f>
        <ns0:v>0</ns0:v>
      </ns0:c>
      <ns0:c r="J380" s="0">
        <ns0:f>IF(OR(A380=0,F380&lt;&gt;"OK",Bookings!G380="Cancelled",$B$6&gt;0),0,IF('_Dates'!AC380=1,MAX(0,COUNTIFS(rngEngine_B,B380,rngAMStart,"&lt;="&amp;'_Dates'!X380,rngAMEnd,"&gt;="&amp;'_Dates'!W380,rngAMActive,1,rngEngine_F,"OK",rngBookings_F,"&lt;&gt;Cancelled")-1),0)+IF('_Dates'!AD380=1,MAX(0,COUNTIFS(rngEngine_B,B380,rngPMStart,"&lt;="&amp;'_Dates'!Z380,rngPMEnd,"&gt;="&amp;'_Dates'!Y380,rngPMActive,1,rngEngine_F,"OK",rngBookings_F,"&lt;&gt;Cancelled")-1),0))</ns0:f>
        <ns0:v>0</ns0:v>
      </ns0:c>
      <ns0:c r="K380" s="0" t="str">
        <ns0:f>IF(A380=0,"",IF(F380&lt;&gt;"OK",F380,IF(J380&gt;0,"CHECK overlapping entry",IF(AND($B$6=0,G380&lt;=0,Bookings!G380&lt;&gt;"Cancelled"),"CHECK no working days",IF(Bookings!G380="Cancelled","Cancelled","OK")))))</ns0:f>
        <ns0:v/>
      </ns0:c>
      <ns0:c r="L380" s="0">
        <ns0:f>IF(LEFT(K380,5)="CHECK",1,0)</ns0:f>
        <ns0:v>0</ns0:v>
      </ns0:c>
      <ns0:c r="M380" s="0">
        <ns0:f>IF(AND(L380=1,OR(C380=0,IFERROR(INDEX($X$11:$X$60,C380),0)=0)),1,0)</ns0:f>
        <ns0:v>0</ns0:v>
      </ns0:c>
      <ns0:c r="N380" s="0">
        <ns0:f>IF(OR(A380=0,L380&gt;0,$B$6&gt;0,Bookings!G380="Cancelled"),0,G380)</ns0:f>
        <ns0:v>0</ns0:v>
      </ns0:c>
      <ns0:c r="O380" s="0">
        <ns0:f>IF(AND(Bookings!G380="Approved",E380="Yes"),N380,0)</ns0:f>
        <ns0:v>0</ns0:v>
      </ns0:c>
      <ns0:c r="P380" s="0">
        <ns0:f>IF(AND(Bookings!G380="Approved",E380="Yes",L380=0,$B$6=0),H380,0)</ns0:f>
        <ns0:v>0</ns0:v>
      </ns0:c>
      <ns0:c r="Q380" s="0">
        <ns0:f>IF(AND(Bookings!G380="Approved",E380="Yes",L380=0,$B$6=0),I380,0)</ns0:f>
        <ns0:v>0</ns0:v>
      </ns0:c>
      <ns0:c r="R380" s="0">
        <ns0:f>IF(AND(Bookings!G380="Pending",E380="Yes"),N380,0)</ns0:f>
        <ns0:v>0</ns0:v>
      </ns0:c>
      <ns0:c r="S380" s="0">
        <ns0:f>IF(AND(Bookings!G380="Approved",E380="No"),N380,0)</ns0:f>
        <ns0:v>0</ns0:v>
      </ns0:c>
      <ns0:c r="T380" s="0">
        <ns0:f>IFERROR(MATCH(D380,Settings!$G$7:$G$11,0),0)</ns0:f>
        <ns0:v>0</ns0:v>
      </ns0:c>
      <ns0:c r="U380" s="0">
        <ns0:f>IF(N380&gt;0,T380+IF(Bookings!G380="Pending",10,0),0)</ns0:f>
        <ns0:v>0</ns0:v>
      </ns0:c>
      <ns0:c r="V380" s="0">
        <ns0:f>U380</ns0:f>
        <ns0:v>0</ns0:v>
      </ns0:c>
      <ns0:c r="W380" s="0" t="str">
        <ns0:f>IF(C380=0,"",INDEX($AP$11:$AP$60,C380))</ns0:f>
        <ns0:v/>
      </ns0:c>
    </ns0:row>
    <ns0:row r="381">
      <ns0:c r="A381" s="0">
        <ns0:f>IF(COUNTA(Bookings!A381:G381,Bookings!I381)=0,0,1)</ns0:f>
        <ns0:v>0</ns0:v>
      </ns0:c>
      <ns0:c r="B381" s="0" t="str">
        <ns0:f>IFERROR(TRIM(MID(Bookings!A381,FIND(" · ",Bookings!A381)+3,99)),"")</ns0:f>
        <ns0:v/>
      </ns0:c>
      <ns0:c r="C381" s="0">
        <ns0:f>IF(OR(B381="",LEN(B381)&gt;24,ISNUMBER(FIND(" ",B381)),ISNUMBER(FIND("*",B381)),ISNUMBER(FIND("?",B381)),ISNUMBER(FIND("~",B381))),0,IFERROR(MATCH(B381,Team!$A$11:$A$60,0),0))</ns0:f>
        <ns0:v>0</ns0:v>
      </ns0:c>
      <ns0:c r="D381" s="0" t="str">
        <ns0:f>IFERROR(IF(MID(Bookings!F381,LEN(Bookings!F381)-3,3)=" · ",RIGHT(Bookings!F381,1),""),"")</ns0:f>
        <ns0:v/>
      </ns0:c>
      <ns0:c r="E381" s="0" t="str">
        <ns0:f>IFERROR(INDEX(Settings!$H$7:$H$11,MATCH(D381,Settings!$G$7:$G$11,0)),"")</ns0:f>
        <ns0:v/>
      </ns0:c>
      <ns0:c r="F381" s="0" t="str">
        <ns0:f>IF(A381=0,"",IFERROR(IF(OR(B381="",C381=0),"CHECK employee selection",IF(INDEX(Team!$O$11:$O$60,C381)&lt;&gt;"OK","CHECK employee setup",IF(OR('_Dates'!J381=0,'_Dates'!T381=0),"CHECK date: use DD.MM.YYYY",IF('_Dates'!T381&lt;'_Dates'!J381,"CHECK end before start",IF(AND($B$6=0,OR('_Dates'!J381&lt;Settings!$B$7,'_Dates'!T381&gt;Settings!$B$8)),"CHECK split across leave years",IF(OR(NOT(OR('_Dates'!U381="Full day",'_Dates'!U381="AM",'_Dates'!U381="PM")),NOT(OR('_Dates'!V381="Full day",'_Dates'!V381="AM",'_Dates'!V381="PM"))),"CHECK Full day / AM / PM",IF(AND('_Dates'!J381='_Dates'!T381,'_Dates'!U381&lt;&gt;"Full day",'_Dates'!V381&lt;&gt;"Full day",'_Dates'!U381&lt;&gt;'_Dates'!V381),"CHECK same-day portions disagree",IF(AND($B$6=0,OR(AND('_Dates'!U381&lt;&gt;"Full day",'_Dates'!AA381=0),AND('_Dates'!V381&lt;&gt;"Full day",'_Dates'!AB381=0))),"CHECK half-day on non-working date",IF(COUNTIF(Settings!$G$7:$G$11,D381)&lt;&gt;1,"CHECK leave type",IF(AND(Bookings!G381&lt;&gt;"Approved",Bookings!G381&lt;&gt;"Pending",Bookings!G381&lt;&gt;"Cancelled"),"CHECK status","OK")))))))))),"CHECK input"))</ns0:f>
        <ns0:v/>
      </ns0:c>
      <ns0:c r="G381" s="0">
        <ns0:f>IF(OR(F381&lt;&gt;"OK",$B$6&gt;0),0,0.5*(IF(('_Dates'!X381)&lt;('_Dates'!W381),0,INT((('_Dates'!X381)-('_Dates'!W381)+1)/7)*LEN(SUBSTITUTE(W381,"O",""))+LEN(SUBSTITUTE(MID(W381&amp;W381,WEEKDAY(('_Dates'!W381),2),MOD((('_Dates'!X381)-('_Dates'!W381)+1),7)),"O",""))-COUNTIFS(INDEX(AllClosureRows,C381,0),"&gt;="&amp;('_Dates'!W381),INDEX(AllClosureRows,C381,0),"&lt;="&amp;('_Dates'!X381)))+IF(('_Dates'!Z381)&lt;('_Dates'!Y381),0,INT((('_Dates'!Z381)-('_Dates'!Y381)+1)/7)*LEN(SUBSTITUTE(W381,"O",""))+LEN(SUBSTITUTE(MID(W381&amp;W381,WEEKDAY(('_Dates'!Y381),2),MOD((('_Dates'!Z381)-('_Dates'!Y381)+1),7)),"O",""))-COUNTIFS(INDEX(AllClosureRows,C381,0),"&gt;="&amp;('_Dates'!Y381),INDEX(AllClosureRows,C381,0),"&lt;="&amp;('_Dates'!Z381)))))</ns0:f>
        <ns0:v>0</ns0:v>
      </ns0:c>
      <ns0:c r="H381" s="0">
        <ns0:f>IF(OR(F381&lt;&gt;"OK",$B$6&gt;0),0,0.5*(IF((MIN('_Dates'!X381,Settings!$B$9))&lt;('_Dates'!W381),0,INT(((MIN('_Dates'!X381,Settings!$B$9))-('_Dates'!W381)+1)/7)*LEN(SUBSTITUTE(W381,"O",""))+LEN(SUBSTITUTE(MID(W381&amp;W381,WEEKDAY(('_Dates'!W381),2),MOD(((MIN('_Dates'!X381,Settings!$B$9))-('_Dates'!W381)+1),7)),"O",""))-COUNTIFS(INDEX(AllClosureRows,C381,0),"&gt;="&amp;('_Dates'!W381),INDEX(AllClosureRows,C381,0),"&lt;="&amp;(MIN('_Dates'!X381,Settings!$B$9))))+IF((MIN('_Dates'!Z381,Settings!$B$9))&lt;('_Dates'!Y381),0,INT(((MIN('_Dates'!Z381,Settings!$B$9))-('_Dates'!Y381)+1)/7)*LEN(SUBSTITUTE(W381,"O",""))+LEN(SUBSTITUTE(MID(W381&amp;W381,WEEKDAY(('_Dates'!Y381),2),MOD(((MIN('_Dates'!Z381,Settings!$B$9))-('_Dates'!Y381)+1),7)),"O",""))-COUNTIFS(INDEX(AllClosureRows,C381,0),"&gt;="&amp;('_Dates'!Y381),INDEX(AllClosureRows,C381,0),"&lt;="&amp;(MIN('_Dates'!Z381,Settings!$B$9))))))</ns0:f>
        <ns0:v>0</ns0:v>
      </ns0:c>
      <ns0:c r="I381" s="0">
        <ns0:f>MAX(0,G381-H381)</ns0:f>
        <ns0:v>0</ns0:v>
      </ns0:c>
      <ns0:c r="J381" s="0">
        <ns0:f>IF(OR(A381=0,F381&lt;&gt;"OK",Bookings!G381="Cancelled",$B$6&gt;0),0,IF('_Dates'!AC381=1,MAX(0,COUNTIFS(rngEngine_B,B381,rngAMStart,"&lt;="&amp;'_Dates'!X381,rngAMEnd,"&gt;="&amp;'_Dates'!W381,rngAMActive,1,rngEngine_F,"OK",rngBookings_F,"&lt;&gt;Cancelled")-1),0)+IF('_Dates'!AD381=1,MAX(0,COUNTIFS(rngEngine_B,B381,rngPMStart,"&lt;="&amp;'_Dates'!Z381,rngPMEnd,"&gt;="&amp;'_Dates'!Y381,rngPMActive,1,rngEngine_F,"OK",rngBookings_F,"&lt;&gt;Cancelled")-1),0))</ns0:f>
        <ns0:v>0</ns0:v>
      </ns0:c>
      <ns0:c r="K381" s="0" t="str">
        <ns0:f>IF(A381=0,"",IF(F381&lt;&gt;"OK",F381,IF(J381&gt;0,"CHECK overlapping entry",IF(AND($B$6=0,G381&lt;=0,Bookings!G381&lt;&gt;"Cancelled"),"CHECK no working days",IF(Bookings!G381="Cancelled","Cancelled","OK")))))</ns0:f>
        <ns0:v/>
      </ns0:c>
      <ns0:c r="L381" s="0">
        <ns0:f>IF(LEFT(K381,5)="CHECK",1,0)</ns0:f>
        <ns0:v>0</ns0:v>
      </ns0:c>
      <ns0:c r="M381" s="0">
        <ns0:f>IF(AND(L381=1,OR(C381=0,IFERROR(INDEX($X$11:$X$60,C381),0)=0)),1,0)</ns0:f>
        <ns0:v>0</ns0:v>
      </ns0:c>
      <ns0:c r="N381" s="0">
        <ns0:f>IF(OR(A381=0,L381&gt;0,$B$6&gt;0,Bookings!G381="Cancelled"),0,G381)</ns0:f>
        <ns0:v>0</ns0:v>
      </ns0:c>
      <ns0:c r="O381" s="0">
        <ns0:f>IF(AND(Bookings!G381="Approved",E381="Yes"),N381,0)</ns0:f>
        <ns0:v>0</ns0:v>
      </ns0:c>
      <ns0:c r="P381" s="0">
        <ns0:f>IF(AND(Bookings!G381="Approved",E381="Yes",L381=0,$B$6=0),H381,0)</ns0:f>
        <ns0:v>0</ns0:v>
      </ns0:c>
      <ns0:c r="Q381" s="0">
        <ns0:f>IF(AND(Bookings!G381="Approved",E381="Yes",L381=0,$B$6=0),I381,0)</ns0:f>
        <ns0:v>0</ns0:v>
      </ns0:c>
      <ns0:c r="R381" s="0">
        <ns0:f>IF(AND(Bookings!G381="Pending",E381="Yes"),N381,0)</ns0:f>
        <ns0:v>0</ns0:v>
      </ns0:c>
      <ns0:c r="S381" s="0">
        <ns0:f>IF(AND(Bookings!G381="Approved",E381="No"),N381,0)</ns0:f>
        <ns0:v>0</ns0:v>
      </ns0:c>
      <ns0:c r="T381" s="0">
        <ns0:f>IFERROR(MATCH(D381,Settings!$G$7:$G$11,0),0)</ns0:f>
        <ns0:v>0</ns0:v>
      </ns0:c>
      <ns0:c r="U381" s="0">
        <ns0:f>IF(N381&gt;0,T381+IF(Bookings!G381="Pending",10,0),0)</ns0:f>
        <ns0:v>0</ns0:v>
      </ns0:c>
      <ns0:c r="V381" s="0">
        <ns0:f>U381</ns0:f>
        <ns0:v>0</ns0:v>
      </ns0:c>
      <ns0:c r="W381" s="0" t="str">
        <ns0:f>IF(C381=0,"",INDEX($AP$11:$AP$60,C381))</ns0:f>
        <ns0:v/>
      </ns0:c>
    </ns0:row>
    <ns0:row r="382">
      <ns0:c r="A382" s="0">
        <ns0:f>IF(COUNTA(Bookings!A382:G382,Bookings!I382)=0,0,1)</ns0:f>
        <ns0:v>0</ns0:v>
      </ns0:c>
      <ns0:c r="B382" s="0" t="str">
        <ns0:f>IFERROR(TRIM(MID(Bookings!A382,FIND(" · ",Bookings!A382)+3,99)),"")</ns0:f>
        <ns0:v/>
      </ns0:c>
      <ns0:c r="C382" s="0">
        <ns0:f>IF(OR(B382="",LEN(B382)&gt;24,ISNUMBER(FIND(" ",B382)),ISNUMBER(FIND("*",B382)),ISNUMBER(FIND("?",B382)),ISNUMBER(FIND("~",B382))),0,IFERROR(MATCH(B382,Team!$A$11:$A$60,0),0))</ns0:f>
        <ns0:v>0</ns0:v>
      </ns0:c>
      <ns0:c r="D382" s="0" t="str">
        <ns0:f>IFERROR(IF(MID(Bookings!F382,LEN(Bookings!F382)-3,3)=" · ",RIGHT(Bookings!F382,1),""),"")</ns0:f>
        <ns0:v/>
      </ns0:c>
      <ns0:c r="E382" s="0" t="str">
        <ns0:f>IFERROR(INDEX(Settings!$H$7:$H$11,MATCH(D382,Settings!$G$7:$G$11,0)),"")</ns0:f>
        <ns0:v/>
      </ns0:c>
      <ns0:c r="F382" s="0" t="str">
        <ns0:f>IF(A382=0,"",IFERROR(IF(OR(B382="",C382=0),"CHECK employee selection",IF(INDEX(Team!$O$11:$O$60,C382)&lt;&gt;"OK","CHECK employee setup",IF(OR('_Dates'!J382=0,'_Dates'!T382=0),"CHECK date: use DD.MM.YYYY",IF('_Dates'!T382&lt;'_Dates'!J382,"CHECK end before start",IF(AND($B$6=0,OR('_Dates'!J382&lt;Settings!$B$7,'_Dates'!T382&gt;Settings!$B$8)),"CHECK split across leave years",IF(OR(NOT(OR('_Dates'!U382="Full day",'_Dates'!U382="AM",'_Dates'!U382="PM")),NOT(OR('_Dates'!V382="Full day",'_Dates'!V382="AM",'_Dates'!V382="PM"))),"CHECK Full day / AM / PM",IF(AND('_Dates'!J382='_Dates'!T382,'_Dates'!U382&lt;&gt;"Full day",'_Dates'!V382&lt;&gt;"Full day",'_Dates'!U382&lt;&gt;'_Dates'!V382),"CHECK same-day portions disagree",IF(AND($B$6=0,OR(AND('_Dates'!U382&lt;&gt;"Full day",'_Dates'!AA382=0),AND('_Dates'!V382&lt;&gt;"Full day",'_Dates'!AB382=0))),"CHECK half-day on non-working date",IF(COUNTIF(Settings!$G$7:$G$11,D382)&lt;&gt;1,"CHECK leave type",IF(AND(Bookings!G382&lt;&gt;"Approved",Bookings!G382&lt;&gt;"Pending",Bookings!G382&lt;&gt;"Cancelled"),"CHECK status","OK")))))))))),"CHECK input"))</ns0:f>
        <ns0:v/>
      </ns0:c>
      <ns0:c r="G382" s="0">
        <ns0:f>IF(OR(F382&lt;&gt;"OK",$B$6&gt;0),0,0.5*(IF(('_Dates'!X382)&lt;('_Dates'!W382),0,INT((('_Dates'!X382)-('_Dates'!W382)+1)/7)*LEN(SUBSTITUTE(W382,"O",""))+LEN(SUBSTITUTE(MID(W382&amp;W382,WEEKDAY(('_Dates'!W382),2),MOD((('_Dates'!X382)-('_Dates'!W382)+1),7)),"O",""))-COUNTIFS(INDEX(AllClosureRows,C382,0),"&gt;="&amp;('_Dates'!W382),INDEX(AllClosureRows,C382,0),"&lt;="&amp;('_Dates'!X382)))+IF(('_Dates'!Z382)&lt;('_Dates'!Y382),0,INT((('_Dates'!Z382)-('_Dates'!Y382)+1)/7)*LEN(SUBSTITUTE(W382,"O",""))+LEN(SUBSTITUTE(MID(W382&amp;W382,WEEKDAY(('_Dates'!Y382),2),MOD((('_Dates'!Z382)-('_Dates'!Y382)+1),7)),"O",""))-COUNTIFS(INDEX(AllClosureRows,C382,0),"&gt;="&amp;('_Dates'!Y382),INDEX(AllClosureRows,C382,0),"&lt;="&amp;('_Dates'!Z382)))))</ns0:f>
        <ns0:v>0</ns0:v>
      </ns0:c>
      <ns0:c r="H382" s="0">
        <ns0:f>IF(OR(F382&lt;&gt;"OK",$B$6&gt;0),0,0.5*(IF((MIN('_Dates'!X382,Settings!$B$9))&lt;('_Dates'!W382),0,INT(((MIN('_Dates'!X382,Settings!$B$9))-('_Dates'!W382)+1)/7)*LEN(SUBSTITUTE(W382,"O",""))+LEN(SUBSTITUTE(MID(W382&amp;W382,WEEKDAY(('_Dates'!W382),2),MOD(((MIN('_Dates'!X382,Settings!$B$9))-('_Dates'!W382)+1),7)),"O",""))-COUNTIFS(INDEX(AllClosureRows,C382,0),"&gt;="&amp;('_Dates'!W382),INDEX(AllClosureRows,C382,0),"&lt;="&amp;(MIN('_Dates'!X382,Settings!$B$9))))+IF((MIN('_Dates'!Z382,Settings!$B$9))&lt;('_Dates'!Y382),0,INT(((MIN('_Dates'!Z382,Settings!$B$9))-('_Dates'!Y382)+1)/7)*LEN(SUBSTITUTE(W382,"O",""))+LEN(SUBSTITUTE(MID(W382&amp;W382,WEEKDAY(('_Dates'!Y382),2),MOD(((MIN('_Dates'!Z382,Settings!$B$9))-('_Dates'!Y382)+1),7)),"O",""))-COUNTIFS(INDEX(AllClosureRows,C382,0),"&gt;="&amp;('_Dates'!Y382),INDEX(AllClosureRows,C382,0),"&lt;="&amp;(MIN('_Dates'!Z382,Settings!$B$9))))))</ns0:f>
        <ns0:v>0</ns0:v>
      </ns0:c>
      <ns0:c r="I382" s="0">
        <ns0:f>MAX(0,G382-H382)</ns0:f>
        <ns0:v>0</ns0:v>
      </ns0:c>
      <ns0:c r="J382" s="0">
        <ns0:f>IF(OR(A382=0,F382&lt;&gt;"OK",Bookings!G382="Cancelled",$B$6&gt;0),0,IF('_Dates'!AC382=1,MAX(0,COUNTIFS(rngEngine_B,B382,rngAMStart,"&lt;="&amp;'_Dates'!X382,rngAMEnd,"&gt;="&amp;'_Dates'!W382,rngAMActive,1,rngEngine_F,"OK",rngBookings_F,"&lt;&gt;Cancelled")-1),0)+IF('_Dates'!AD382=1,MAX(0,COUNTIFS(rngEngine_B,B382,rngPMStart,"&lt;="&amp;'_Dates'!Z382,rngPMEnd,"&gt;="&amp;'_Dates'!Y382,rngPMActive,1,rngEngine_F,"OK",rngBookings_F,"&lt;&gt;Cancelled")-1),0))</ns0:f>
        <ns0:v>0</ns0:v>
      </ns0:c>
      <ns0:c r="K382" s="0" t="str">
        <ns0:f>IF(A382=0,"",IF(F382&lt;&gt;"OK",F382,IF(J382&gt;0,"CHECK overlapping entry",IF(AND($B$6=0,G382&lt;=0,Bookings!G382&lt;&gt;"Cancelled"),"CHECK no working days",IF(Bookings!G382="Cancelled","Cancelled","OK")))))</ns0:f>
        <ns0:v/>
      </ns0:c>
      <ns0:c r="L382" s="0">
        <ns0:f>IF(LEFT(K382,5)="CHECK",1,0)</ns0:f>
        <ns0:v>0</ns0:v>
      </ns0:c>
      <ns0:c r="M382" s="0">
        <ns0:f>IF(AND(L382=1,OR(C382=0,IFERROR(INDEX($X$11:$X$60,C382),0)=0)),1,0)</ns0:f>
        <ns0:v>0</ns0:v>
      </ns0:c>
      <ns0:c r="N382" s="0">
        <ns0:f>IF(OR(A382=0,L382&gt;0,$B$6&gt;0,Bookings!G382="Cancelled"),0,G382)</ns0:f>
        <ns0:v>0</ns0:v>
      </ns0:c>
      <ns0:c r="O382" s="0">
        <ns0:f>IF(AND(Bookings!G382="Approved",E382="Yes"),N382,0)</ns0:f>
        <ns0:v>0</ns0:v>
      </ns0:c>
      <ns0:c r="P382" s="0">
        <ns0:f>IF(AND(Bookings!G382="Approved",E382="Yes",L382=0,$B$6=0),H382,0)</ns0:f>
        <ns0:v>0</ns0:v>
      </ns0:c>
      <ns0:c r="Q382" s="0">
        <ns0:f>IF(AND(Bookings!G382="Approved",E382="Yes",L382=0,$B$6=0),I382,0)</ns0:f>
        <ns0:v>0</ns0:v>
      </ns0:c>
      <ns0:c r="R382" s="0">
        <ns0:f>IF(AND(Bookings!G382="Pending",E382="Yes"),N382,0)</ns0:f>
        <ns0:v>0</ns0:v>
      </ns0:c>
      <ns0:c r="S382" s="0">
        <ns0:f>IF(AND(Bookings!G382="Approved",E382="No"),N382,0)</ns0:f>
        <ns0:v>0</ns0:v>
      </ns0:c>
      <ns0:c r="T382" s="0">
        <ns0:f>IFERROR(MATCH(D382,Settings!$G$7:$G$11,0),0)</ns0:f>
        <ns0:v>0</ns0:v>
      </ns0:c>
      <ns0:c r="U382" s="0">
        <ns0:f>IF(N382&gt;0,T382+IF(Bookings!G382="Pending",10,0),0)</ns0:f>
        <ns0:v>0</ns0:v>
      </ns0:c>
      <ns0:c r="V382" s="0">
        <ns0:f>U382</ns0:f>
        <ns0:v>0</ns0:v>
      </ns0:c>
      <ns0:c r="W382" s="0" t="str">
        <ns0:f>IF(C382=0,"",INDEX($AP$11:$AP$60,C382))</ns0:f>
        <ns0:v/>
      </ns0:c>
    </ns0:row>
    <ns0:row r="383">
      <ns0:c r="A383" s="0">
        <ns0:f>IF(COUNTA(Bookings!A383:G383,Bookings!I383)=0,0,1)</ns0:f>
        <ns0:v>0</ns0:v>
      </ns0:c>
      <ns0:c r="B383" s="0" t="str">
        <ns0:f>IFERROR(TRIM(MID(Bookings!A383,FIND(" · ",Bookings!A383)+3,99)),"")</ns0:f>
        <ns0:v/>
      </ns0:c>
      <ns0:c r="C383" s="0">
        <ns0:f>IF(OR(B383="",LEN(B383)&gt;24,ISNUMBER(FIND(" ",B383)),ISNUMBER(FIND("*",B383)),ISNUMBER(FIND("?",B383)),ISNUMBER(FIND("~",B383))),0,IFERROR(MATCH(B383,Team!$A$11:$A$60,0),0))</ns0:f>
        <ns0:v>0</ns0:v>
      </ns0:c>
      <ns0:c r="D383" s="0" t="str">
        <ns0:f>IFERROR(IF(MID(Bookings!F383,LEN(Bookings!F383)-3,3)=" · ",RIGHT(Bookings!F383,1),""),"")</ns0:f>
        <ns0:v/>
      </ns0:c>
      <ns0:c r="E383" s="0" t="str">
        <ns0:f>IFERROR(INDEX(Settings!$H$7:$H$11,MATCH(D383,Settings!$G$7:$G$11,0)),"")</ns0:f>
        <ns0:v/>
      </ns0:c>
      <ns0:c r="F383" s="0" t="str">
        <ns0:f>IF(A383=0,"",IFERROR(IF(OR(B383="",C383=0),"CHECK employee selection",IF(INDEX(Team!$O$11:$O$60,C383)&lt;&gt;"OK","CHECK employee setup",IF(OR('_Dates'!J383=0,'_Dates'!T383=0),"CHECK date: use DD.MM.YYYY",IF('_Dates'!T383&lt;'_Dates'!J383,"CHECK end before start",IF(AND($B$6=0,OR('_Dates'!J383&lt;Settings!$B$7,'_Dates'!T383&gt;Settings!$B$8)),"CHECK split across leave years",IF(OR(NOT(OR('_Dates'!U383="Full day",'_Dates'!U383="AM",'_Dates'!U383="PM")),NOT(OR('_Dates'!V383="Full day",'_Dates'!V383="AM",'_Dates'!V383="PM"))),"CHECK Full day / AM / PM",IF(AND('_Dates'!J383='_Dates'!T383,'_Dates'!U383&lt;&gt;"Full day",'_Dates'!V383&lt;&gt;"Full day",'_Dates'!U383&lt;&gt;'_Dates'!V383),"CHECK same-day portions disagree",IF(AND($B$6=0,OR(AND('_Dates'!U383&lt;&gt;"Full day",'_Dates'!AA383=0),AND('_Dates'!V383&lt;&gt;"Full day",'_Dates'!AB383=0))),"CHECK half-day on non-working date",IF(COUNTIF(Settings!$G$7:$G$11,D383)&lt;&gt;1,"CHECK leave type",IF(AND(Bookings!G383&lt;&gt;"Approved",Bookings!G383&lt;&gt;"Pending",Bookings!G383&lt;&gt;"Cancelled"),"CHECK status","OK")))))))))),"CHECK input"))</ns0:f>
        <ns0:v/>
      </ns0:c>
      <ns0:c r="G383" s="0">
        <ns0:f>IF(OR(F383&lt;&gt;"OK",$B$6&gt;0),0,0.5*(IF(('_Dates'!X383)&lt;('_Dates'!W383),0,INT((('_Dates'!X383)-('_Dates'!W383)+1)/7)*LEN(SUBSTITUTE(W383,"O",""))+LEN(SUBSTITUTE(MID(W383&amp;W383,WEEKDAY(('_Dates'!W383),2),MOD((('_Dates'!X383)-('_Dates'!W383)+1),7)),"O",""))-COUNTIFS(INDEX(AllClosureRows,C383,0),"&gt;="&amp;('_Dates'!W383),INDEX(AllClosureRows,C383,0),"&lt;="&amp;('_Dates'!X383)))+IF(('_Dates'!Z383)&lt;('_Dates'!Y383),0,INT((('_Dates'!Z383)-('_Dates'!Y383)+1)/7)*LEN(SUBSTITUTE(W383,"O",""))+LEN(SUBSTITUTE(MID(W383&amp;W383,WEEKDAY(('_Dates'!Y383),2),MOD((('_Dates'!Z383)-('_Dates'!Y383)+1),7)),"O",""))-COUNTIFS(INDEX(AllClosureRows,C383,0),"&gt;="&amp;('_Dates'!Y383),INDEX(AllClosureRows,C383,0),"&lt;="&amp;('_Dates'!Z383)))))</ns0:f>
        <ns0:v>0</ns0:v>
      </ns0:c>
      <ns0:c r="H383" s="0">
        <ns0:f>IF(OR(F383&lt;&gt;"OK",$B$6&gt;0),0,0.5*(IF((MIN('_Dates'!X383,Settings!$B$9))&lt;('_Dates'!W383),0,INT(((MIN('_Dates'!X383,Settings!$B$9))-('_Dates'!W383)+1)/7)*LEN(SUBSTITUTE(W383,"O",""))+LEN(SUBSTITUTE(MID(W383&amp;W383,WEEKDAY(('_Dates'!W383),2),MOD(((MIN('_Dates'!X383,Settings!$B$9))-('_Dates'!W383)+1),7)),"O",""))-COUNTIFS(INDEX(AllClosureRows,C383,0),"&gt;="&amp;('_Dates'!W383),INDEX(AllClosureRows,C383,0),"&lt;="&amp;(MIN('_Dates'!X383,Settings!$B$9))))+IF((MIN('_Dates'!Z383,Settings!$B$9))&lt;('_Dates'!Y383),0,INT(((MIN('_Dates'!Z383,Settings!$B$9))-('_Dates'!Y383)+1)/7)*LEN(SUBSTITUTE(W383,"O",""))+LEN(SUBSTITUTE(MID(W383&amp;W383,WEEKDAY(('_Dates'!Y383),2),MOD(((MIN('_Dates'!Z383,Settings!$B$9))-('_Dates'!Y383)+1),7)),"O",""))-COUNTIFS(INDEX(AllClosureRows,C383,0),"&gt;="&amp;('_Dates'!Y383),INDEX(AllClosureRows,C383,0),"&lt;="&amp;(MIN('_Dates'!Z383,Settings!$B$9))))))</ns0:f>
        <ns0:v>0</ns0:v>
      </ns0:c>
      <ns0:c r="I383" s="0">
        <ns0:f>MAX(0,G383-H383)</ns0:f>
        <ns0:v>0</ns0:v>
      </ns0:c>
      <ns0:c r="J383" s="0">
        <ns0:f>IF(OR(A383=0,F383&lt;&gt;"OK",Bookings!G383="Cancelled",$B$6&gt;0),0,IF('_Dates'!AC383=1,MAX(0,COUNTIFS(rngEngine_B,B383,rngAMStart,"&lt;="&amp;'_Dates'!X383,rngAMEnd,"&gt;="&amp;'_Dates'!W383,rngAMActive,1,rngEngine_F,"OK",rngBookings_F,"&lt;&gt;Cancelled")-1),0)+IF('_Dates'!AD383=1,MAX(0,COUNTIFS(rngEngine_B,B383,rngPMStart,"&lt;="&amp;'_Dates'!Z383,rngPMEnd,"&gt;="&amp;'_Dates'!Y383,rngPMActive,1,rngEngine_F,"OK",rngBookings_F,"&lt;&gt;Cancelled")-1),0))</ns0:f>
        <ns0:v>0</ns0:v>
      </ns0:c>
      <ns0:c r="K383" s="0" t="str">
        <ns0:f>IF(A383=0,"",IF(F383&lt;&gt;"OK",F383,IF(J383&gt;0,"CHECK overlapping entry",IF(AND($B$6=0,G383&lt;=0,Bookings!G383&lt;&gt;"Cancelled"),"CHECK no working days",IF(Bookings!G383="Cancelled","Cancelled","OK")))))</ns0:f>
        <ns0:v/>
      </ns0:c>
      <ns0:c r="L383" s="0">
        <ns0:f>IF(LEFT(K383,5)="CHECK",1,0)</ns0:f>
        <ns0:v>0</ns0:v>
      </ns0:c>
      <ns0:c r="M383" s="0">
        <ns0:f>IF(AND(L383=1,OR(C383=0,IFERROR(INDEX($X$11:$X$60,C383),0)=0)),1,0)</ns0:f>
        <ns0:v>0</ns0:v>
      </ns0:c>
      <ns0:c r="N383" s="0">
        <ns0:f>IF(OR(A383=0,L383&gt;0,$B$6&gt;0,Bookings!G383="Cancelled"),0,G383)</ns0:f>
        <ns0:v>0</ns0:v>
      </ns0:c>
      <ns0:c r="O383" s="0">
        <ns0:f>IF(AND(Bookings!G383="Approved",E383="Yes"),N383,0)</ns0:f>
        <ns0:v>0</ns0:v>
      </ns0:c>
      <ns0:c r="P383" s="0">
        <ns0:f>IF(AND(Bookings!G383="Approved",E383="Yes",L383=0,$B$6=0),H383,0)</ns0:f>
        <ns0:v>0</ns0:v>
      </ns0:c>
      <ns0:c r="Q383" s="0">
        <ns0:f>IF(AND(Bookings!G383="Approved",E383="Yes",L383=0,$B$6=0),I383,0)</ns0:f>
        <ns0:v>0</ns0:v>
      </ns0:c>
      <ns0:c r="R383" s="0">
        <ns0:f>IF(AND(Bookings!G383="Pending",E383="Yes"),N383,0)</ns0:f>
        <ns0:v>0</ns0:v>
      </ns0:c>
      <ns0:c r="S383" s="0">
        <ns0:f>IF(AND(Bookings!G383="Approved",E383="No"),N383,0)</ns0:f>
        <ns0:v>0</ns0:v>
      </ns0:c>
      <ns0:c r="T383" s="0">
        <ns0:f>IFERROR(MATCH(D383,Settings!$G$7:$G$11,0),0)</ns0:f>
        <ns0:v>0</ns0:v>
      </ns0:c>
      <ns0:c r="U383" s="0">
        <ns0:f>IF(N383&gt;0,T383+IF(Bookings!G383="Pending",10,0),0)</ns0:f>
        <ns0:v>0</ns0:v>
      </ns0:c>
      <ns0:c r="V383" s="0">
        <ns0:f>U383</ns0:f>
        <ns0:v>0</ns0:v>
      </ns0:c>
      <ns0:c r="W383" s="0" t="str">
        <ns0:f>IF(C383=0,"",INDEX($AP$11:$AP$60,C383))</ns0:f>
        <ns0:v/>
      </ns0:c>
    </ns0:row>
    <ns0:row r="384">
      <ns0:c r="A384" s="0">
        <ns0:f>IF(COUNTA(Bookings!A384:G384,Bookings!I384)=0,0,1)</ns0:f>
        <ns0:v>0</ns0:v>
      </ns0:c>
      <ns0:c r="B384" s="0" t="str">
        <ns0:f>IFERROR(TRIM(MID(Bookings!A384,FIND(" · ",Bookings!A384)+3,99)),"")</ns0:f>
        <ns0:v/>
      </ns0:c>
      <ns0:c r="C384" s="0">
        <ns0:f>IF(OR(B384="",LEN(B384)&gt;24,ISNUMBER(FIND(" ",B384)),ISNUMBER(FIND("*",B384)),ISNUMBER(FIND("?",B384)),ISNUMBER(FIND("~",B384))),0,IFERROR(MATCH(B384,Team!$A$11:$A$60,0),0))</ns0:f>
        <ns0:v>0</ns0:v>
      </ns0:c>
      <ns0:c r="D384" s="0" t="str">
        <ns0:f>IFERROR(IF(MID(Bookings!F384,LEN(Bookings!F384)-3,3)=" · ",RIGHT(Bookings!F384,1),""),"")</ns0:f>
        <ns0:v/>
      </ns0:c>
      <ns0:c r="E384" s="0" t="str">
        <ns0:f>IFERROR(INDEX(Settings!$H$7:$H$11,MATCH(D384,Settings!$G$7:$G$11,0)),"")</ns0:f>
        <ns0:v/>
      </ns0:c>
      <ns0:c r="F384" s="0" t="str">
        <ns0:f>IF(A384=0,"",IFERROR(IF(OR(B384="",C384=0),"CHECK employee selection",IF(INDEX(Team!$O$11:$O$60,C384)&lt;&gt;"OK","CHECK employee setup",IF(OR('_Dates'!J384=0,'_Dates'!T384=0),"CHECK date: use DD.MM.YYYY",IF('_Dates'!T384&lt;'_Dates'!J384,"CHECK end before start",IF(AND($B$6=0,OR('_Dates'!J384&lt;Settings!$B$7,'_Dates'!T384&gt;Settings!$B$8)),"CHECK split across leave years",IF(OR(NOT(OR('_Dates'!U384="Full day",'_Dates'!U384="AM",'_Dates'!U384="PM")),NOT(OR('_Dates'!V384="Full day",'_Dates'!V384="AM",'_Dates'!V384="PM"))),"CHECK Full day / AM / PM",IF(AND('_Dates'!J384='_Dates'!T384,'_Dates'!U384&lt;&gt;"Full day",'_Dates'!V384&lt;&gt;"Full day",'_Dates'!U384&lt;&gt;'_Dates'!V384),"CHECK same-day portions disagree",IF(AND($B$6=0,OR(AND('_Dates'!U384&lt;&gt;"Full day",'_Dates'!AA384=0),AND('_Dates'!V384&lt;&gt;"Full day",'_Dates'!AB384=0))),"CHECK half-day on non-working date",IF(COUNTIF(Settings!$G$7:$G$11,D384)&lt;&gt;1,"CHECK leave type",IF(AND(Bookings!G384&lt;&gt;"Approved",Bookings!G384&lt;&gt;"Pending",Bookings!G384&lt;&gt;"Cancelled"),"CHECK status","OK")))))))))),"CHECK input"))</ns0:f>
        <ns0:v/>
      </ns0:c>
      <ns0:c r="G384" s="0">
        <ns0:f>IF(OR(F384&lt;&gt;"OK",$B$6&gt;0),0,0.5*(IF(('_Dates'!X384)&lt;('_Dates'!W384),0,INT((('_Dates'!X384)-('_Dates'!W384)+1)/7)*LEN(SUBSTITUTE(W384,"O",""))+LEN(SUBSTITUTE(MID(W384&amp;W384,WEEKDAY(('_Dates'!W384),2),MOD((('_Dates'!X384)-('_Dates'!W384)+1),7)),"O",""))-COUNTIFS(INDEX(AllClosureRows,C384,0),"&gt;="&amp;('_Dates'!W384),INDEX(AllClosureRows,C384,0),"&lt;="&amp;('_Dates'!X384)))+IF(('_Dates'!Z384)&lt;('_Dates'!Y384),0,INT((('_Dates'!Z384)-('_Dates'!Y384)+1)/7)*LEN(SUBSTITUTE(W384,"O",""))+LEN(SUBSTITUTE(MID(W384&amp;W384,WEEKDAY(('_Dates'!Y384),2),MOD((('_Dates'!Z384)-('_Dates'!Y384)+1),7)),"O",""))-COUNTIFS(INDEX(AllClosureRows,C384,0),"&gt;="&amp;('_Dates'!Y384),INDEX(AllClosureRows,C384,0),"&lt;="&amp;('_Dates'!Z384)))))</ns0:f>
        <ns0:v>0</ns0:v>
      </ns0:c>
      <ns0:c r="H384" s="0">
        <ns0:f>IF(OR(F384&lt;&gt;"OK",$B$6&gt;0),0,0.5*(IF((MIN('_Dates'!X384,Settings!$B$9))&lt;('_Dates'!W384),0,INT(((MIN('_Dates'!X384,Settings!$B$9))-('_Dates'!W384)+1)/7)*LEN(SUBSTITUTE(W384,"O",""))+LEN(SUBSTITUTE(MID(W384&amp;W384,WEEKDAY(('_Dates'!W384),2),MOD(((MIN('_Dates'!X384,Settings!$B$9))-('_Dates'!W384)+1),7)),"O",""))-COUNTIFS(INDEX(AllClosureRows,C384,0),"&gt;="&amp;('_Dates'!W384),INDEX(AllClosureRows,C384,0),"&lt;="&amp;(MIN('_Dates'!X384,Settings!$B$9))))+IF((MIN('_Dates'!Z384,Settings!$B$9))&lt;('_Dates'!Y384),0,INT(((MIN('_Dates'!Z384,Settings!$B$9))-('_Dates'!Y384)+1)/7)*LEN(SUBSTITUTE(W384,"O",""))+LEN(SUBSTITUTE(MID(W384&amp;W384,WEEKDAY(('_Dates'!Y384),2),MOD(((MIN('_Dates'!Z384,Settings!$B$9))-('_Dates'!Y384)+1),7)),"O",""))-COUNTIFS(INDEX(AllClosureRows,C384,0),"&gt;="&amp;('_Dates'!Y384),INDEX(AllClosureRows,C384,0),"&lt;="&amp;(MIN('_Dates'!Z384,Settings!$B$9))))))</ns0:f>
        <ns0:v>0</ns0:v>
      </ns0:c>
      <ns0:c r="I384" s="0">
        <ns0:f>MAX(0,G384-H384)</ns0:f>
        <ns0:v>0</ns0:v>
      </ns0:c>
      <ns0:c r="J384" s="0">
        <ns0:f>IF(OR(A384=0,F384&lt;&gt;"OK",Bookings!G384="Cancelled",$B$6&gt;0),0,IF('_Dates'!AC384=1,MAX(0,COUNTIFS(rngEngine_B,B384,rngAMStart,"&lt;="&amp;'_Dates'!X384,rngAMEnd,"&gt;="&amp;'_Dates'!W384,rngAMActive,1,rngEngine_F,"OK",rngBookings_F,"&lt;&gt;Cancelled")-1),0)+IF('_Dates'!AD384=1,MAX(0,COUNTIFS(rngEngine_B,B384,rngPMStart,"&lt;="&amp;'_Dates'!Z384,rngPMEnd,"&gt;="&amp;'_Dates'!Y384,rngPMActive,1,rngEngine_F,"OK",rngBookings_F,"&lt;&gt;Cancelled")-1),0))</ns0:f>
        <ns0:v>0</ns0:v>
      </ns0:c>
      <ns0:c r="K384" s="0" t="str">
        <ns0:f>IF(A384=0,"",IF(F384&lt;&gt;"OK",F384,IF(J384&gt;0,"CHECK overlapping entry",IF(AND($B$6=0,G384&lt;=0,Bookings!G384&lt;&gt;"Cancelled"),"CHECK no working days",IF(Bookings!G384="Cancelled","Cancelled","OK")))))</ns0:f>
        <ns0:v/>
      </ns0:c>
      <ns0:c r="L384" s="0">
        <ns0:f>IF(LEFT(K384,5)="CHECK",1,0)</ns0:f>
        <ns0:v>0</ns0:v>
      </ns0:c>
      <ns0:c r="M384" s="0">
        <ns0:f>IF(AND(L384=1,OR(C384=0,IFERROR(INDEX($X$11:$X$60,C384),0)=0)),1,0)</ns0:f>
        <ns0:v>0</ns0:v>
      </ns0:c>
      <ns0:c r="N384" s="0">
        <ns0:f>IF(OR(A384=0,L384&gt;0,$B$6&gt;0,Bookings!G384="Cancelled"),0,G384)</ns0:f>
        <ns0:v>0</ns0:v>
      </ns0:c>
      <ns0:c r="O384" s="0">
        <ns0:f>IF(AND(Bookings!G384="Approved",E384="Yes"),N384,0)</ns0:f>
        <ns0:v>0</ns0:v>
      </ns0:c>
      <ns0:c r="P384" s="0">
        <ns0:f>IF(AND(Bookings!G384="Approved",E384="Yes",L384=0,$B$6=0),H384,0)</ns0:f>
        <ns0:v>0</ns0:v>
      </ns0:c>
      <ns0:c r="Q384" s="0">
        <ns0:f>IF(AND(Bookings!G384="Approved",E384="Yes",L384=0,$B$6=0),I384,0)</ns0:f>
        <ns0:v>0</ns0:v>
      </ns0:c>
      <ns0:c r="R384" s="0">
        <ns0:f>IF(AND(Bookings!G384="Pending",E384="Yes"),N384,0)</ns0:f>
        <ns0:v>0</ns0:v>
      </ns0:c>
      <ns0:c r="S384" s="0">
        <ns0:f>IF(AND(Bookings!G384="Approved",E384="No"),N384,0)</ns0:f>
        <ns0:v>0</ns0:v>
      </ns0:c>
      <ns0:c r="T384" s="0">
        <ns0:f>IFERROR(MATCH(D384,Settings!$G$7:$G$11,0),0)</ns0:f>
        <ns0:v>0</ns0:v>
      </ns0:c>
      <ns0:c r="U384" s="0">
        <ns0:f>IF(N384&gt;0,T384+IF(Bookings!G384="Pending",10,0),0)</ns0:f>
        <ns0:v>0</ns0:v>
      </ns0:c>
      <ns0:c r="V384" s="0">
        <ns0:f>U384</ns0:f>
        <ns0:v>0</ns0:v>
      </ns0:c>
      <ns0:c r="W384" s="0" t="str">
        <ns0:f>IF(C384=0,"",INDEX($AP$11:$AP$60,C384))</ns0:f>
        <ns0:v/>
      </ns0:c>
    </ns0:row>
    <ns0:row r="385">
      <ns0:c r="A385" s="0">
        <ns0:f>IF(COUNTA(Bookings!A385:G385,Bookings!I385)=0,0,1)</ns0:f>
        <ns0:v>0</ns0:v>
      </ns0:c>
      <ns0:c r="B385" s="0" t="str">
        <ns0:f>IFERROR(TRIM(MID(Bookings!A385,FIND(" · ",Bookings!A385)+3,99)),"")</ns0:f>
        <ns0:v/>
      </ns0:c>
      <ns0:c r="C385" s="0">
        <ns0:f>IF(OR(B385="",LEN(B385)&gt;24,ISNUMBER(FIND(" ",B385)),ISNUMBER(FIND("*",B385)),ISNUMBER(FIND("?",B385)),ISNUMBER(FIND("~",B385))),0,IFERROR(MATCH(B385,Team!$A$11:$A$60,0),0))</ns0:f>
        <ns0:v>0</ns0:v>
      </ns0:c>
      <ns0:c r="D385" s="0" t="str">
        <ns0:f>IFERROR(IF(MID(Bookings!F385,LEN(Bookings!F385)-3,3)=" · ",RIGHT(Bookings!F385,1),""),"")</ns0:f>
        <ns0:v/>
      </ns0:c>
      <ns0:c r="E385" s="0" t="str">
        <ns0:f>IFERROR(INDEX(Settings!$H$7:$H$11,MATCH(D385,Settings!$G$7:$G$11,0)),"")</ns0:f>
        <ns0:v/>
      </ns0:c>
      <ns0:c r="F385" s="0" t="str">
        <ns0:f>IF(A385=0,"",IFERROR(IF(OR(B385="",C385=0),"CHECK employee selection",IF(INDEX(Team!$O$11:$O$60,C385)&lt;&gt;"OK","CHECK employee setup",IF(OR('_Dates'!J385=0,'_Dates'!T385=0),"CHECK date: use DD.MM.YYYY",IF('_Dates'!T385&lt;'_Dates'!J385,"CHECK end before start",IF(AND($B$6=0,OR('_Dates'!J385&lt;Settings!$B$7,'_Dates'!T385&gt;Settings!$B$8)),"CHECK split across leave years",IF(OR(NOT(OR('_Dates'!U385="Full day",'_Dates'!U385="AM",'_Dates'!U385="PM")),NOT(OR('_Dates'!V385="Full day",'_Dates'!V385="AM",'_Dates'!V385="PM"))),"CHECK Full day / AM / PM",IF(AND('_Dates'!J385='_Dates'!T385,'_Dates'!U385&lt;&gt;"Full day",'_Dates'!V385&lt;&gt;"Full day",'_Dates'!U385&lt;&gt;'_Dates'!V385),"CHECK same-day portions disagree",IF(AND($B$6=0,OR(AND('_Dates'!U385&lt;&gt;"Full day",'_Dates'!AA385=0),AND('_Dates'!V385&lt;&gt;"Full day",'_Dates'!AB385=0))),"CHECK half-day on non-working date",IF(COUNTIF(Settings!$G$7:$G$11,D385)&lt;&gt;1,"CHECK leave type",IF(AND(Bookings!G385&lt;&gt;"Approved",Bookings!G385&lt;&gt;"Pending",Bookings!G385&lt;&gt;"Cancelled"),"CHECK status","OK")))))))))),"CHECK input"))</ns0:f>
        <ns0:v/>
      </ns0:c>
      <ns0:c r="G385" s="0">
        <ns0:f>IF(OR(F385&lt;&gt;"OK",$B$6&gt;0),0,0.5*(IF(('_Dates'!X385)&lt;('_Dates'!W385),0,INT((('_Dates'!X385)-('_Dates'!W385)+1)/7)*LEN(SUBSTITUTE(W385,"O",""))+LEN(SUBSTITUTE(MID(W385&amp;W385,WEEKDAY(('_Dates'!W385),2),MOD((('_Dates'!X385)-('_Dates'!W385)+1),7)),"O",""))-COUNTIFS(INDEX(AllClosureRows,C385,0),"&gt;="&amp;('_Dates'!W385),INDEX(AllClosureRows,C385,0),"&lt;="&amp;('_Dates'!X385)))+IF(('_Dates'!Z385)&lt;('_Dates'!Y385),0,INT((('_Dates'!Z385)-('_Dates'!Y385)+1)/7)*LEN(SUBSTITUTE(W385,"O",""))+LEN(SUBSTITUTE(MID(W385&amp;W385,WEEKDAY(('_Dates'!Y385),2),MOD((('_Dates'!Z385)-('_Dates'!Y385)+1),7)),"O",""))-COUNTIFS(INDEX(AllClosureRows,C385,0),"&gt;="&amp;('_Dates'!Y385),INDEX(AllClosureRows,C385,0),"&lt;="&amp;('_Dates'!Z385)))))</ns0:f>
        <ns0:v>0</ns0:v>
      </ns0:c>
      <ns0:c r="H385" s="0">
        <ns0:f>IF(OR(F385&lt;&gt;"OK",$B$6&gt;0),0,0.5*(IF((MIN('_Dates'!X385,Settings!$B$9))&lt;('_Dates'!W385),0,INT(((MIN('_Dates'!X385,Settings!$B$9))-('_Dates'!W385)+1)/7)*LEN(SUBSTITUTE(W385,"O",""))+LEN(SUBSTITUTE(MID(W385&amp;W385,WEEKDAY(('_Dates'!W385),2),MOD(((MIN('_Dates'!X385,Settings!$B$9))-('_Dates'!W385)+1),7)),"O",""))-COUNTIFS(INDEX(AllClosureRows,C385,0),"&gt;="&amp;('_Dates'!W385),INDEX(AllClosureRows,C385,0),"&lt;="&amp;(MIN('_Dates'!X385,Settings!$B$9))))+IF((MIN('_Dates'!Z385,Settings!$B$9))&lt;('_Dates'!Y385),0,INT(((MIN('_Dates'!Z385,Settings!$B$9))-('_Dates'!Y385)+1)/7)*LEN(SUBSTITUTE(W385,"O",""))+LEN(SUBSTITUTE(MID(W385&amp;W385,WEEKDAY(('_Dates'!Y385),2),MOD(((MIN('_Dates'!Z385,Settings!$B$9))-('_Dates'!Y385)+1),7)),"O",""))-COUNTIFS(INDEX(AllClosureRows,C385,0),"&gt;="&amp;('_Dates'!Y385),INDEX(AllClosureRows,C385,0),"&lt;="&amp;(MIN('_Dates'!Z385,Settings!$B$9))))))</ns0:f>
        <ns0:v>0</ns0:v>
      </ns0:c>
      <ns0:c r="I385" s="0">
        <ns0:f>MAX(0,G385-H385)</ns0:f>
        <ns0:v>0</ns0:v>
      </ns0:c>
      <ns0:c r="J385" s="0">
        <ns0:f>IF(OR(A385=0,F385&lt;&gt;"OK",Bookings!G385="Cancelled",$B$6&gt;0),0,IF('_Dates'!AC385=1,MAX(0,COUNTIFS(rngEngine_B,B385,rngAMStart,"&lt;="&amp;'_Dates'!X385,rngAMEnd,"&gt;="&amp;'_Dates'!W385,rngAMActive,1,rngEngine_F,"OK",rngBookings_F,"&lt;&gt;Cancelled")-1),0)+IF('_Dates'!AD385=1,MAX(0,COUNTIFS(rngEngine_B,B385,rngPMStart,"&lt;="&amp;'_Dates'!Z385,rngPMEnd,"&gt;="&amp;'_Dates'!Y385,rngPMActive,1,rngEngine_F,"OK",rngBookings_F,"&lt;&gt;Cancelled")-1),0))</ns0:f>
        <ns0:v>0</ns0:v>
      </ns0:c>
      <ns0:c r="K385" s="0" t="str">
        <ns0:f>IF(A385=0,"",IF(F385&lt;&gt;"OK",F385,IF(J385&gt;0,"CHECK overlapping entry",IF(AND($B$6=0,G385&lt;=0,Bookings!G385&lt;&gt;"Cancelled"),"CHECK no working days",IF(Bookings!G385="Cancelled","Cancelled","OK")))))</ns0:f>
        <ns0:v/>
      </ns0:c>
      <ns0:c r="L385" s="0">
        <ns0:f>IF(LEFT(K385,5)="CHECK",1,0)</ns0:f>
        <ns0:v>0</ns0:v>
      </ns0:c>
      <ns0:c r="M385" s="0">
        <ns0:f>IF(AND(L385=1,OR(C385=0,IFERROR(INDEX($X$11:$X$60,C385),0)=0)),1,0)</ns0:f>
        <ns0:v>0</ns0:v>
      </ns0:c>
      <ns0:c r="N385" s="0">
        <ns0:f>IF(OR(A385=0,L385&gt;0,$B$6&gt;0,Bookings!G385="Cancelled"),0,G385)</ns0:f>
        <ns0:v>0</ns0:v>
      </ns0:c>
      <ns0:c r="O385" s="0">
        <ns0:f>IF(AND(Bookings!G385="Approved",E385="Yes"),N385,0)</ns0:f>
        <ns0:v>0</ns0:v>
      </ns0:c>
      <ns0:c r="P385" s="0">
        <ns0:f>IF(AND(Bookings!G385="Approved",E385="Yes",L385=0,$B$6=0),H385,0)</ns0:f>
        <ns0:v>0</ns0:v>
      </ns0:c>
      <ns0:c r="Q385" s="0">
        <ns0:f>IF(AND(Bookings!G385="Approved",E385="Yes",L385=0,$B$6=0),I385,0)</ns0:f>
        <ns0:v>0</ns0:v>
      </ns0:c>
      <ns0:c r="R385" s="0">
        <ns0:f>IF(AND(Bookings!G385="Pending",E385="Yes"),N385,0)</ns0:f>
        <ns0:v>0</ns0:v>
      </ns0:c>
      <ns0:c r="S385" s="0">
        <ns0:f>IF(AND(Bookings!G385="Approved",E385="No"),N385,0)</ns0:f>
        <ns0:v>0</ns0:v>
      </ns0:c>
      <ns0:c r="T385" s="0">
        <ns0:f>IFERROR(MATCH(D385,Settings!$G$7:$G$11,0),0)</ns0:f>
        <ns0:v>0</ns0:v>
      </ns0:c>
      <ns0:c r="U385" s="0">
        <ns0:f>IF(N385&gt;0,T385+IF(Bookings!G385="Pending",10,0),0)</ns0:f>
        <ns0:v>0</ns0:v>
      </ns0:c>
      <ns0:c r="V385" s="0">
        <ns0:f>U385</ns0:f>
        <ns0:v>0</ns0:v>
      </ns0:c>
      <ns0:c r="W385" s="0" t="str">
        <ns0:f>IF(C385=0,"",INDEX($AP$11:$AP$60,C385))</ns0:f>
        <ns0:v/>
      </ns0:c>
    </ns0:row>
    <ns0:row r="386">
      <ns0:c r="A386" s="0">
        <ns0:f>IF(COUNTA(Bookings!A386:G386,Bookings!I386)=0,0,1)</ns0:f>
        <ns0:v>0</ns0:v>
      </ns0:c>
      <ns0:c r="B386" s="0" t="str">
        <ns0:f>IFERROR(TRIM(MID(Bookings!A386,FIND(" · ",Bookings!A386)+3,99)),"")</ns0:f>
        <ns0:v/>
      </ns0:c>
      <ns0:c r="C386" s="0">
        <ns0:f>IF(OR(B386="",LEN(B386)&gt;24,ISNUMBER(FIND(" ",B386)),ISNUMBER(FIND("*",B386)),ISNUMBER(FIND("?",B386)),ISNUMBER(FIND("~",B386))),0,IFERROR(MATCH(B386,Team!$A$11:$A$60,0),0))</ns0:f>
        <ns0:v>0</ns0:v>
      </ns0:c>
      <ns0:c r="D386" s="0" t="str">
        <ns0:f>IFERROR(IF(MID(Bookings!F386,LEN(Bookings!F386)-3,3)=" · ",RIGHT(Bookings!F386,1),""),"")</ns0:f>
        <ns0:v/>
      </ns0:c>
      <ns0:c r="E386" s="0" t="str">
        <ns0:f>IFERROR(INDEX(Settings!$H$7:$H$11,MATCH(D386,Settings!$G$7:$G$11,0)),"")</ns0:f>
        <ns0:v/>
      </ns0:c>
      <ns0:c r="F386" s="0" t="str">
        <ns0:f>IF(A386=0,"",IFERROR(IF(OR(B386="",C386=0),"CHECK employee selection",IF(INDEX(Team!$O$11:$O$60,C386)&lt;&gt;"OK","CHECK employee setup",IF(OR('_Dates'!J386=0,'_Dates'!T386=0),"CHECK date: use DD.MM.YYYY",IF('_Dates'!T386&lt;'_Dates'!J386,"CHECK end before start",IF(AND($B$6=0,OR('_Dates'!J386&lt;Settings!$B$7,'_Dates'!T386&gt;Settings!$B$8)),"CHECK split across leave years",IF(OR(NOT(OR('_Dates'!U386="Full day",'_Dates'!U386="AM",'_Dates'!U386="PM")),NOT(OR('_Dates'!V386="Full day",'_Dates'!V386="AM",'_Dates'!V386="PM"))),"CHECK Full day / AM / PM",IF(AND('_Dates'!J386='_Dates'!T386,'_Dates'!U386&lt;&gt;"Full day",'_Dates'!V386&lt;&gt;"Full day",'_Dates'!U386&lt;&gt;'_Dates'!V386),"CHECK same-day portions disagree",IF(AND($B$6=0,OR(AND('_Dates'!U386&lt;&gt;"Full day",'_Dates'!AA386=0),AND('_Dates'!V386&lt;&gt;"Full day",'_Dates'!AB386=0))),"CHECK half-day on non-working date",IF(COUNTIF(Settings!$G$7:$G$11,D386)&lt;&gt;1,"CHECK leave type",IF(AND(Bookings!G386&lt;&gt;"Approved",Bookings!G386&lt;&gt;"Pending",Bookings!G386&lt;&gt;"Cancelled"),"CHECK status","OK")))))))))),"CHECK input"))</ns0:f>
        <ns0:v/>
      </ns0:c>
      <ns0:c r="G386" s="0">
        <ns0:f>IF(OR(F386&lt;&gt;"OK",$B$6&gt;0),0,0.5*(IF(('_Dates'!X386)&lt;('_Dates'!W386),0,INT((('_Dates'!X386)-('_Dates'!W386)+1)/7)*LEN(SUBSTITUTE(W386,"O",""))+LEN(SUBSTITUTE(MID(W386&amp;W386,WEEKDAY(('_Dates'!W386),2),MOD((('_Dates'!X386)-('_Dates'!W386)+1),7)),"O",""))-COUNTIFS(INDEX(AllClosureRows,C386,0),"&gt;="&amp;('_Dates'!W386),INDEX(AllClosureRows,C386,0),"&lt;="&amp;('_Dates'!X386)))+IF(('_Dates'!Z386)&lt;('_Dates'!Y386),0,INT((('_Dates'!Z386)-('_Dates'!Y386)+1)/7)*LEN(SUBSTITUTE(W386,"O",""))+LEN(SUBSTITUTE(MID(W386&amp;W386,WEEKDAY(('_Dates'!Y386),2),MOD((('_Dates'!Z386)-('_Dates'!Y386)+1),7)),"O",""))-COUNTIFS(INDEX(AllClosureRows,C386,0),"&gt;="&amp;('_Dates'!Y386),INDEX(AllClosureRows,C386,0),"&lt;="&amp;('_Dates'!Z386)))))</ns0:f>
        <ns0:v>0</ns0:v>
      </ns0:c>
      <ns0:c r="H386" s="0">
        <ns0:f>IF(OR(F386&lt;&gt;"OK",$B$6&gt;0),0,0.5*(IF((MIN('_Dates'!X386,Settings!$B$9))&lt;('_Dates'!W386),0,INT(((MIN('_Dates'!X386,Settings!$B$9))-('_Dates'!W386)+1)/7)*LEN(SUBSTITUTE(W386,"O",""))+LEN(SUBSTITUTE(MID(W386&amp;W386,WEEKDAY(('_Dates'!W386),2),MOD(((MIN('_Dates'!X386,Settings!$B$9))-('_Dates'!W386)+1),7)),"O",""))-COUNTIFS(INDEX(AllClosureRows,C386,0),"&gt;="&amp;('_Dates'!W386),INDEX(AllClosureRows,C386,0),"&lt;="&amp;(MIN('_Dates'!X386,Settings!$B$9))))+IF((MIN('_Dates'!Z386,Settings!$B$9))&lt;('_Dates'!Y386),0,INT(((MIN('_Dates'!Z386,Settings!$B$9))-('_Dates'!Y386)+1)/7)*LEN(SUBSTITUTE(W386,"O",""))+LEN(SUBSTITUTE(MID(W386&amp;W386,WEEKDAY(('_Dates'!Y386),2),MOD(((MIN('_Dates'!Z386,Settings!$B$9))-('_Dates'!Y386)+1),7)),"O",""))-COUNTIFS(INDEX(AllClosureRows,C386,0),"&gt;="&amp;('_Dates'!Y386),INDEX(AllClosureRows,C386,0),"&lt;="&amp;(MIN('_Dates'!Z386,Settings!$B$9))))))</ns0:f>
        <ns0:v>0</ns0:v>
      </ns0:c>
      <ns0:c r="I386" s="0">
        <ns0:f>MAX(0,G386-H386)</ns0:f>
        <ns0:v>0</ns0:v>
      </ns0:c>
      <ns0:c r="J386" s="0">
        <ns0:f>IF(OR(A386=0,F386&lt;&gt;"OK",Bookings!G386="Cancelled",$B$6&gt;0),0,IF('_Dates'!AC386=1,MAX(0,COUNTIFS(rngEngine_B,B386,rngAMStart,"&lt;="&amp;'_Dates'!X386,rngAMEnd,"&gt;="&amp;'_Dates'!W386,rngAMActive,1,rngEngine_F,"OK",rngBookings_F,"&lt;&gt;Cancelled")-1),0)+IF('_Dates'!AD386=1,MAX(0,COUNTIFS(rngEngine_B,B386,rngPMStart,"&lt;="&amp;'_Dates'!Z386,rngPMEnd,"&gt;="&amp;'_Dates'!Y386,rngPMActive,1,rngEngine_F,"OK",rngBookings_F,"&lt;&gt;Cancelled")-1),0))</ns0:f>
        <ns0:v>0</ns0:v>
      </ns0:c>
      <ns0:c r="K386" s="0" t="str">
        <ns0:f>IF(A386=0,"",IF(F386&lt;&gt;"OK",F386,IF(J386&gt;0,"CHECK overlapping entry",IF(AND($B$6=0,G386&lt;=0,Bookings!G386&lt;&gt;"Cancelled"),"CHECK no working days",IF(Bookings!G386="Cancelled","Cancelled","OK")))))</ns0:f>
        <ns0:v/>
      </ns0:c>
      <ns0:c r="L386" s="0">
        <ns0:f>IF(LEFT(K386,5)="CHECK",1,0)</ns0:f>
        <ns0:v>0</ns0:v>
      </ns0:c>
      <ns0:c r="M386" s="0">
        <ns0:f>IF(AND(L386=1,OR(C386=0,IFERROR(INDEX($X$11:$X$60,C386),0)=0)),1,0)</ns0:f>
        <ns0:v>0</ns0:v>
      </ns0:c>
      <ns0:c r="N386" s="0">
        <ns0:f>IF(OR(A386=0,L386&gt;0,$B$6&gt;0,Bookings!G386="Cancelled"),0,G386)</ns0:f>
        <ns0:v>0</ns0:v>
      </ns0:c>
      <ns0:c r="O386" s="0">
        <ns0:f>IF(AND(Bookings!G386="Approved",E386="Yes"),N386,0)</ns0:f>
        <ns0:v>0</ns0:v>
      </ns0:c>
      <ns0:c r="P386" s="0">
        <ns0:f>IF(AND(Bookings!G386="Approved",E386="Yes",L386=0,$B$6=0),H386,0)</ns0:f>
        <ns0:v>0</ns0:v>
      </ns0:c>
      <ns0:c r="Q386" s="0">
        <ns0:f>IF(AND(Bookings!G386="Approved",E386="Yes",L386=0,$B$6=0),I386,0)</ns0:f>
        <ns0:v>0</ns0:v>
      </ns0:c>
      <ns0:c r="R386" s="0">
        <ns0:f>IF(AND(Bookings!G386="Pending",E386="Yes"),N386,0)</ns0:f>
        <ns0:v>0</ns0:v>
      </ns0:c>
      <ns0:c r="S386" s="0">
        <ns0:f>IF(AND(Bookings!G386="Approved",E386="No"),N386,0)</ns0:f>
        <ns0:v>0</ns0:v>
      </ns0:c>
      <ns0:c r="T386" s="0">
        <ns0:f>IFERROR(MATCH(D386,Settings!$G$7:$G$11,0),0)</ns0:f>
        <ns0:v>0</ns0:v>
      </ns0:c>
      <ns0:c r="U386" s="0">
        <ns0:f>IF(N386&gt;0,T386+IF(Bookings!G386="Pending",10,0),0)</ns0:f>
        <ns0:v>0</ns0:v>
      </ns0:c>
      <ns0:c r="V386" s="0">
        <ns0:f>U386</ns0:f>
        <ns0:v>0</ns0:v>
      </ns0:c>
      <ns0:c r="W386" s="0" t="str">
        <ns0:f>IF(C386=0,"",INDEX($AP$11:$AP$60,C386))</ns0:f>
        <ns0:v/>
      </ns0:c>
    </ns0:row>
    <ns0:row r="387">
      <ns0:c r="A387" s="0">
        <ns0:f>IF(COUNTA(Bookings!A387:G387,Bookings!I387)=0,0,1)</ns0:f>
        <ns0:v>0</ns0:v>
      </ns0:c>
      <ns0:c r="B387" s="0" t="str">
        <ns0:f>IFERROR(TRIM(MID(Bookings!A387,FIND(" · ",Bookings!A387)+3,99)),"")</ns0:f>
        <ns0:v/>
      </ns0:c>
      <ns0:c r="C387" s="0">
        <ns0:f>IF(OR(B387="",LEN(B387)&gt;24,ISNUMBER(FIND(" ",B387)),ISNUMBER(FIND("*",B387)),ISNUMBER(FIND("?",B387)),ISNUMBER(FIND("~",B387))),0,IFERROR(MATCH(B387,Team!$A$11:$A$60,0),0))</ns0:f>
        <ns0:v>0</ns0:v>
      </ns0:c>
      <ns0:c r="D387" s="0" t="str">
        <ns0:f>IFERROR(IF(MID(Bookings!F387,LEN(Bookings!F387)-3,3)=" · ",RIGHT(Bookings!F387,1),""),"")</ns0:f>
        <ns0:v/>
      </ns0:c>
      <ns0:c r="E387" s="0" t="str">
        <ns0:f>IFERROR(INDEX(Settings!$H$7:$H$11,MATCH(D387,Settings!$G$7:$G$11,0)),"")</ns0:f>
        <ns0:v/>
      </ns0:c>
      <ns0:c r="F387" s="0" t="str">
        <ns0:f>IF(A387=0,"",IFERROR(IF(OR(B387="",C387=0),"CHECK employee selection",IF(INDEX(Team!$O$11:$O$60,C387)&lt;&gt;"OK","CHECK employee setup",IF(OR('_Dates'!J387=0,'_Dates'!T387=0),"CHECK date: use DD.MM.YYYY",IF('_Dates'!T387&lt;'_Dates'!J387,"CHECK end before start",IF(AND($B$6=0,OR('_Dates'!J387&lt;Settings!$B$7,'_Dates'!T387&gt;Settings!$B$8)),"CHECK split across leave years",IF(OR(NOT(OR('_Dates'!U387="Full day",'_Dates'!U387="AM",'_Dates'!U387="PM")),NOT(OR('_Dates'!V387="Full day",'_Dates'!V387="AM",'_Dates'!V387="PM"))),"CHECK Full day / AM / PM",IF(AND('_Dates'!J387='_Dates'!T387,'_Dates'!U387&lt;&gt;"Full day",'_Dates'!V387&lt;&gt;"Full day",'_Dates'!U387&lt;&gt;'_Dates'!V387),"CHECK same-day portions disagree",IF(AND($B$6=0,OR(AND('_Dates'!U387&lt;&gt;"Full day",'_Dates'!AA387=0),AND('_Dates'!V387&lt;&gt;"Full day",'_Dates'!AB387=0))),"CHECK half-day on non-working date",IF(COUNTIF(Settings!$G$7:$G$11,D387)&lt;&gt;1,"CHECK leave type",IF(AND(Bookings!G387&lt;&gt;"Approved",Bookings!G387&lt;&gt;"Pending",Bookings!G387&lt;&gt;"Cancelled"),"CHECK status","OK")))))))))),"CHECK input"))</ns0:f>
        <ns0:v/>
      </ns0:c>
      <ns0:c r="G387" s="0">
        <ns0:f>IF(OR(F387&lt;&gt;"OK",$B$6&gt;0),0,0.5*(IF(('_Dates'!X387)&lt;('_Dates'!W387),0,INT((('_Dates'!X387)-('_Dates'!W387)+1)/7)*LEN(SUBSTITUTE(W387,"O",""))+LEN(SUBSTITUTE(MID(W387&amp;W387,WEEKDAY(('_Dates'!W387),2),MOD((('_Dates'!X387)-('_Dates'!W387)+1),7)),"O",""))-COUNTIFS(INDEX(AllClosureRows,C387,0),"&gt;="&amp;('_Dates'!W387),INDEX(AllClosureRows,C387,0),"&lt;="&amp;('_Dates'!X387)))+IF(('_Dates'!Z387)&lt;('_Dates'!Y387),0,INT((('_Dates'!Z387)-('_Dates'!Y387)+1)/7)*LEN(SUBSTITUTE(W387,"O",""))+LEN(SUBSTITUTE(MID(W387&amp;W387,WEEKDAY(('_Dates'!Y387),2),MOD((('_Dates'!Z387)-('_Dates'!Y387)+1),7)),"O",""))-COUNTIFS(INDEX(AllClosureRows,C387,0),"&gt;="&amp;('_Dates'!Y387),INDEX(AllClosureRows,C387,0),"&lt;="&amp;('_Dates'!Z387)))))</ns0:f>
        <ns0:v>0</ns0:v>
      </ns0:c>
      <ns0:c r="H387" s="0">
        <ns0:f>IF(OR(F387&lt;&gt;"OK",$B$6&gt;0),0,0.5*(IF((MIN('_Dates'!X387,Settings!$B$9))&lt;('_Dates'!W387),0,INT(((MIN('_Dates'!X387,Settings!$B$9))-('_Dates'!W387)+1)/7)*LEN(SUBSTITUTE(W387,"O",""))+LEN(SUBSTITUTE(MID(W387&amp;W387,WEEKDAY(('_Dates'!W387),2),MOD(((MIN('_Dates'!X387,Settings!$B$9))-('_Dates'!W387)+1),7)),"O",""))-COUNTIFS(INDEX(AllClosureRows,C387,0),"&gt;="&amp;('_Dates'!W387),INDEX(AllClosureRows,C387,0),"&lt;="&amp;(MIN('_Dates'!X387,Settings!$B$9))))+IF((MIN('_Dates'!Z387,Settings!$B$9))&lt;('_Dates'!Y387),0,INT(((MIN('_Dates'!Z387,Settings!$B$9))-('_Dates'!Y387)+1)/7)*LEN(SUBSTITUTE(W387,"O",""))+LEN(SUBSTITUTE(MID(W387&amp;W387,WEEKDAY(('_Dates'!Y387),2),MOD(((MIN('_Dates'!Z387,Settings!$B$9))-('_Dates'!Y387)+1),7)),"O",""))-COUNTIFS(INDEX(AllClosureRows,C387,0),"&gt;="&amp;('_Dates'!Y387),INDEX(AllClosureRows,C387,0),"&lt;="&amp;(MIN('_Dates'!Z387,Settings!$B$9))))))</ns0:f>
        <ns0:v>0</ns0:v>
      </ns0:c>
      <ns0:c r="I387" s="0">
        <ns0:f>MAX(0,G387-H387)</ns0:f>
        <ns0:v>0</ns0:v>
      </ns0:c>
      <ns0:c r="J387" s="0">
        <ns0:f>IF(OR(A387=0,F387&lt;&gt;"OK",Bookings!G387="Cancelled",$B$6&gt;0),0,IF('_Dates'!AC387=1,MAX(0,COUNTIFS(rngEngine_B,B387,rngAMStart,"&lt;="&amp;'_Dates'!X387,rngAMEnd,"&gt;="&amp;'_Dates'!W387,rngAMActive,1,rngEngine_F,"OK",rngBookings_F,"&lt;&gt;Cancelled")-1),0)+IF('_Dates'!AD387=1,MAX(0,COUNTIFS(rngEngine_B,B387,rngPMStart,"&lt;="&amp;'_Dates'!Z387,rngPMEnd,"&gt;="&amp;'_Dates'!Y387,rngPMActive,1,rngEngine_F,"OK",rngBookings_F,"&lt;&gt;Cancelled")-1),0))</ns0:f>
        <ns0:v>0</ns0:v>
      </ns0:c>
      <ns0:c r="K387" s="0" t="str">
        <ns0:f>IF(A387=0,"",IF(F387&lt;&gt;"OK",F387,IF(J387&gt;0,"CHECK overlapping entry",IF(AND($B$6=0,G387&lt;=0,Bookings!G387&lt;&gt;"Cancelled"),"CHECK no working days",IF(Bookings!G387="Cancelled","Cancelled","OK")))))</ns0:f>
        <ns0:v/>
      </ns0:c>
      <ns0:c r="L387" s="0">
        <ns0:f>IF(LEFT(K387,5)="CHECK",1,0)</ns0:f>
        <ns0:v>0</ns0:v>
      </ns0:c>
      <ns0:c r="M387" s="0">
        <ns0:f>IF(AND(L387=1,OR(C387=0,IFERROR(INDEX($X$11:$X$60,C387),0)=0)),1,0)</ns0:f>
        <ns0:v>0</ns0:v>
      </ns0:c>
      <ns0:c r="N387" s="0">
        <ns0:f>IF(OR(A387=0,L387&gt;0,$B$6&gt;0,Bookings!G387="Cancelled"),0,G387)</ns0:f>
        <ns0:v>0</ns0:v>
      </ns0:c>
      <ns0:c r="O387" s="0">
        <ns0:f>IF(AND(Bookings!G387="Approved",E387="Yes"),N387,0)</ns0:f>
        <ns0:v>0</ns0:v>
      </ns0:c>
      <ns0:c r="P387" s="0">
        <ns0:f>IF(AND(Bookings!G387="Approved",E387="Yes",L387=0,$B$6=0),H387,0)</ns0:f>
        <ns0:v>0</ns0:v>
      </ns0:c>
      <ns0:c r="Q387" s="0">
        <ns0:f>IF(AND(Bookings!G387="Approved",E387="Yes",L387=0,$B$6=0),I387,0)</ns0:f>
        <ns0:v>0</ns0:v>
      </ns0:c>
      <ns0:c r="R387" s="0">
        <ns0:f>IF(AND(Bookings!G387="Pending",E387="Yes"),N387,0)</ns0:f>
        <ns0:v>0</ns0:v>
      </ns0:c>
      <ns0:c r="S387" s="0">
        <ns0:f>IF(AND(Bookings!G387="Approved",E387="No"),N387,0)</ns0:f>
        <ns0:v>0</ns0:v>
      </ns0:c>
      <ns0:c r="T387" s="0">
        <ns0:f>IFERROR(MATCH(D387,Settings!$G$7:$G$11,0),0)</ns0:f>
        <ns0:v>0</ns0:v>
      </ns0:c>
      <ns0:c r="U387" s="0">
        <ns0:f>IF(N387&gt;0,T387+IF(Bookings!G387="Pending",10,0),0)</ns0:f>
        <ns0:v>0</ns0:v>
      </ns0:c>
      <ns0:c r="V387" s="0">
        <ns0:f>U387</ns0:f>
        <ns0:v>0</ns0:v>
      </ns0:c>
      <ns0:c r="W387" s="0" t="str">
        <ns0:f>IF(C387=0,"",INDEX($AP$11:$AP$60,C387))</ns0:f>
        <ns0:v/>
      </ns0:c>
    </ns0:row>
    <ns0:row r="388">
      <ns0:c r="A388" s="0">
        <ns0:f>IF(COUNTA(Bookings!A388:G388,Bookings!I388)=0,0,1)</ns0:f>
        <ns0:v>0</ns0:v>
      </ns0:c>
      <ns0:c r="B388" s="0" t="str">
        <ns0:f>IFERROR(TRIM(MID(Bookings!A388,FIND(" · ",Bookings!A388)+3,99)),"")</ns0:f>
        <ns0:v/>
      </ns0:c>
      <ns0:c r="C388" s="0">
        <ns0:f>IF(OR(B388="",LEN(B388)&gt;24,ISNUMBER(FIND(" ",B388)),ISNUMBER(FIND("*",B388)),ISNUMBER(FIND("?",B388)),ISNUMBER(FIND("~",B388))),0,IFERROR(MATCH(B388,Team!$A$11:$A$60,0),0))</ns0:f>
        <ns0:v>0</ns0:v>
      </ns0:c>
      <ns0:c r="D388" s="0" t="str">
        <ns0:f>IFERROR(IF(MID(Bookings!F388,LEN(Bookings!F388)-3,3)=" · ",RIGHT(Bookings!F388,1),""),"")</ns0:f>
        <ns0:v/>
      </ns0:c>
      <ns0:c r="E388" s="0" t="str">
        <ns0:f>IFERROR(INDEX(Settings!$H$7:$H$11,MATCH(D388,Settings!$G$7:$G$11,0)),"")</ns0:f>
        <ns0:v/>
      </ns0:c>
      <ns0:c r="F388" s="0" t="str">
        <ns0:f>IF(A388=0,"",IFERROR(IF(OR(B388="",C388=0),"CHECK employee selection",IF(INDEX(Team!$O$11:$O$60,C388)&lt;&gt;"OK","CHECK employee setup",IF(OR('_Dates'!J388=0,'_Dates'!T388=0),"CHECK date: use DD.MM.YYYY",IF('_Dates'!T388&lt;'_Dates'!J388,"CHECK end before start",IF(AND($B$6=0,OR('_Dates'!J388&lt;Settings!$B$7,'_Dates'!T388&gt;Settings!$B$8)),"CHECK split across leave years",IF(OR(NOT(OR('_Dates'!U388="Full day",'_Dates'!U388="AM",'_Dates'!U388="PM")),NOT(OR('_Dates'!V388="Full day",'_Dates'!V388="AM",'_Dates'!V388="PM"))),"CHECK Full day / AM / PM",IF(AND('_Dates'!J388='_Dates'!T388,'_Dates'!U388&lt;&gt;"Full day",'_Dates'!V388&lt;&gt;"Full day",'_Dates'!U388&lt;&gt;'_Dates'!V388),"CHECK same-day portions disagree",IF(AND($B$6=0,OR(AND('_Dates'!U388&lt;&gt;"Full day",'_Dates'!AA388=0),AND('_Dates'!V388&lt;&gt;"Full day",'_Dates'!AB388=0))),"CHECK half-day on non-working date",IF(COUNTIF(Settings!$G$7:$G$11,D388)&lt;&gt;1,"CHECK leave type",IF(AND(Bookings!G388&lt;&gt;"Approved",Bookings!G388&lt;&gt;"Pending",Bookings!G388&lt;&gt;"Cancelled"),"CHECK status","OK")))))))))),"CHECK input"))</ns0:f>
        <ns0:v/>
      </ns0:c>
      <ns0:c r="G388" s="0">
        <ns0:f>IF(OR(F388&lt;&gt;"OK",$B$6&gt;0),0,0.5*(IF(('_Dates'!X388)&lt;('_Dates'!W388),0,INT((('_Dates'!X388)-('_Dates'!W388)+1)/7)*LEN(SUBSTITUTE(W388,"O",""))+LEN(SUBSTITUTE(MID(W388&amp;W388,WEEKDAY(('_Dates'!W388),2),MOD((('_Dates'!X388)-('_Dates'!W388)+1),7)),"O",""))-COUNTIFS(INDEX(AllClosureRows,C388,0),"&gt;="&amp;('_Dates'!W388),INDEX(AllClosureRows,C388,0),"&lt;="&amp;('_Dates'!X388)))+IF(('_Dates'!Z388)&lt;('_Dates'!Y388),0,INT((('_Dates'!Z388)-('_Dates'!Y388)+1)/7)*LEN(SUBSTITUTE(W388,"O",""))+LEN(SUBSTITUTE(MID(W388&amp;W388,WEEKDAY(('_Dates'!Y388),2),MOD((('_Dates'!Z388)-('_Dates'!Y388)+1),7)),"O",""))-COUNTIFS(INDEX(AllClosureRows,C388,0),"&gt;="&amp;('_Dates'!Y388),INDEX(AllClosureRows,C388,0),"&lt;="&amp;('_Dates'!Z388)))))</ns0:f>
        <ns0:v>0</ns0:v>
      </ns0:c>
      <ns0:c r="H388" s="0">
        <ns0:f>IF(OR(F388&lt;&gt;"OK",$B$6&gt;0),0,0.5*(IF((MIN('_Dates'!X388,Settings!$B$9))&lt;('_Dates'!W388),0,INT(((MIN('_Dates'!X388,Settings!$B$9))-('_Dates'!W388)+1)/7)*LEN(SUBSTITUTE(W388,"O",""))+LEN(SUBSTITUTE(MID(W388&amp;W388,WEEKDAY(('_Dates'!W388),2),MOD(((MIN('_Dates'!X388,Settings!$B$9))-('_Dates'!W388)+1),7)),"O",""))-COUNTIFS(INDEX(AllClosureRows,C388,0),"&gt;="&amp;('_Dates'!W388),INDEX(AllClosureRows,C388,0),"&lt;="&amp;(MIN('_Dates'!X388,Settings!$B$9))))+IF((MIN('_Dates'!Z388,Settings!$B$9))&lt;('_Dates'!Y388),0,INT(((MIN('_Dates'!Z388,Settings!$B$9))-('_Dates'!Y388)+1)/7)*LEN(SUBSTITUTE(W388,"O",""))+LEN(SUBSTITUTE(MID(W388&amp;W388,WEEKDAY(('_Dates'!Y388),2),MOD(((MIN('_Dates'!Z388,Settings!$B$9))-('_Dates'!Y388)+1),7)),"O",""))-COUNTIFS(INDEX(AllClosureRows,C388,0),"&gt;="&amp;('_Dates'!Y388),INDEX(AllClosureRows,C388,0),"&lt;="&amp;(MIN('_Dates'!Z388,Settings!$B$9))))))</ns0:f>
        <ns0:v>0</ns0:v>
      </ns0:c>
      <ns0:c r="I388" s="0">
        <ns0:f>MAX(0,G388-H388)</ns0:f>
        <ns0:v>0</ns0:v>
      </ns0:c>
      <ns0:c r="J388" s="0">
        <ns0:f>IF(OR(A388=0,F388&lt;&gt;"OK",Bookings!G388="Cancelled",$B$6&gt;0),0,IF('_Dates'!AC388=1,MAX(0,COUNTIFS(rngEngine_B,B388,rngAMStart,"&lt;="&amp;'_Dates'!X388,rngAMEnd,"&gt;="&amp;'_Dates'!W388,rngAMActive,1,rngEngine_F,"OK",rngBookings_F,"&lt;&gt;Cancelled")-1),0)+IF('_Dates'!AD388=1,MAX(0,COUNTIFS(rngEngine_B,B388,rngPMStart,"&lt;="&amp;'_Dates'!Z388,rngPMEnd,"&gt;="&amp;'_Dates'!Y388,rngPMActive,1,rngEngine_F,"OK",rngBookings_F,"&lt;&gt;Cancelled")-1),0))</ns0:f>
        <ns0:v>0</ns0:v>
      </ns0:c>
      <ns0:c r="K388" s="0" t="str">
        <ns0:f>IF(A388=0,"",IF(F388&lt;&gt;"OK",F388,IF(J388&gt;0,"CHECK overlapping entry",IF(AND($B$6=0,G388&lt;=0,Bookings!G388&lt;&gt;"Cancelled"),"CHECK no working days",IF(Bookings!G388="Cancelled","Cancelled","OK")))))</ns0:f>
        <ns0:v/>
      </ns0:c>
      <ns0:c r="L388" s="0">
        <ns0:f>IF(LEFT(K388,5)="CHECK",1,0)</ns0:f>
        <ns0:v>0</ns0:v>
      </ns0:c>
      <ns0:c r="M388" s="0">
        <ns0:f>IF(AND(L388=1,OR(C388=0,IFERROR(INDEX($X$11:$X$60,C388),0)=0)),1,0)</ns0:f>
        <ns0:v>0</ns0:v>
      </ns0:c>
      <ns0:c r="N388" s="0">
        <ns0:f>IF(OR(A388=0,L388&gt;0,$B$6&gt;0,Bookings!G388="Cancelled"),0,G388)</ns0:f>
        <ns0:v>0</ns0:v>
      </ns0:c>
      <ns0:c r="O388" s="0">
        <ns0:f>IF(AND(Bookings!G388="Approved",E388="Yes"),N388,0)</ns0:f>
        <ns0:v>0</ns0:v>
      </ns0:c>
      <ns0:c r="P388" s="0">
        <ns0:f>IF(AND(Bookings!G388="Approved",E388="Yes",L388=0,$B$6=0),H388,0)</ns0:f>
        <ns0:v>0</ns0:v>
      </ns0:c>
      <ns0:c r="Q388" s="0">
        <ns0:f>IF(AND(Bookings!G388="Approved",E388="Yes",L388=0,$B$6=0),I388,0)</ns0:f>
        <ns0:v>0</ns0:v>
      </ns0:c>
      <ns0:c r="R388" s="0">
        <ns0:f>IF(AND(Bookings!G388="Pending",E388="Yes"),N388,0)</ns0:f>
        <ns0:v>0</ns0:v>
      </ns0:c>
      <ns0:c r="S388" s="0">
        <ns0:f>IF(AND(Bookings!G388="Approved",E388="No"),N388,0)</ns0:f>
        <ns0:v>0</ns0:v>
      </ns0:c>
      <ns0:c r="T388" s="0">
        <ns0:f>IFERROR(MATCH(D388,Settings!$G$7:$G$11,0),0)</ns0:f>
        <ns0:v>0</ns0:v>
      </ns0:c>
      <ns0:c r="U388" s="0">
        <ns0:f>IF(N388&gt;0,T388+IF(Bookings!G388="Pending",10,0),0)</ns0:f>
        <ns0:v>0</ns0:v>
      </ns0:c>
      <ns0:c r="V388" s="0">
        <ns0:f>U388</ns0:f>
        <ns0:v>0</ns0:v>
      </ns0:c>
      <ns0:c r="W388" s="0" t="str">
        <ns0:f>IF(C388=0,"",INDEX($AP$11:$AP$60,C388))</ns0:f>
        <ns0:v/>
      </ns0:c>
    </ns0:row>
    <ns0:row r="389">
      <ns0:c r="A389" s="0">
        <ns0:f>IF(COUNTA(Bookings!A389:G389,Bookings!I389)=0,0,1)</ns0:f>
        <ns0:v>0</ns0:v>
      </ns0:c>
      <ns0:c r="B389" s="0" t="str">
        <ns0:f>IFERROR(TRIM(MID(Bookings!A389,FIND(" · ",Bookings!A389)+3,99)),"")</ns0:f>
        <ns0:v/>
      </ns0:c>
      <ns0:c r="C389" s="0">
        <ns0:f>IF(OR(B389="",LEN(B389)&gt;24,ISNUMBER(FIND(" ",B389)),ISNUMBER(FIND("*",B389)),ISNUMBER(FIND("?",B389)),ISNUMBER(FIND("~",B389))),0,IFERROR(MATCH(B389,Team!$A$11:$A$60,0),0))</ns0:f>
        <ns0:v>0</ns0:v>
      </ns0:c>
      <ns0:c r="D389" s="0" t="str">
        <ns0:f>IFERROR(IF(MID(Bookings!F389,LEN(Bookings!F389)-3,3)=" · ",RIGHT(Bookings!F389,1),""),"")</ns0:f>
        <ns0:v/>
      </ns0:c>
      <ns0:c r="E389" s="0" t="str">
        <ns0:f>IFERROR(INDEX(Settings!$H$7:$H$11,MATCH(D389,Settings!$G$7:$G$11,0)),"")</ns0:f>
        <ns0:v/>
      </ns0:c>
      <ns0:c r="F389" s="0" t="str">
        <ns0:f>IF(A389=0,"",IFERROR(IF(OR(B389="",C389=0),"CHECK employee selection",IF(INDEX(Team!$O$11:$O$60,C389)&lt;&gt;"OK","CHECK employee setup",IF(OR('_Dates'!J389=0,'_Dates'!T389=0),"CHECK date: use DD.MM.YYYY",IF('_Dates'!T389&lt;'_Dates'!J389,"CHECK end before start",IF(AND($B$6=0,OR('_Dates'!J389&lt;Settings!$B$7,'_Dates'!T389&gt;Settings!$B$8)),"CHECK split across leave years",IF(OR(NOT(OR('_Dates'!U389="Full day",'_Dates'!U389="AM",'_Dates'!U389="PM")),NOT(OR('_Dates'!V389="Full day",'_Dates'!V389="AM",'_Dates'!V389="PM"))),"CHECK Full day / AM / PM",IF(AND('_Dates'!J389='_Dates'!T389,'_Dates'!U389&lt;&gt;"Full day",'_Dates'!V389&lt;&gt;"Full day",'_Dates'!U389&lt;&gt;'_Dates'!V389),"CHECK same-day portions disagree",IF(AND($B$6=0,OR(AND('_Dates'!U389&lt;&gt;"Full day",'_Dates'!AA389=0),AND('_Dates'!V389&lt;&gt;"Full day",'_Dates'!AB389=0))),"CHECK half-day on non-working date",IF(COUNTIF(Settings!$G$7:$G$11,D389)&lt;&gt;1,"CHECK leave type",IF(AND(Bookings!G389&lt;&gt;"Approved",Bookings!G389&lt;&gt;"Pending",Bookings!G389&lt;&gt;"Cancelled"),"CHECK status","OK")))))))))),"CHECK input"))</ns0:f>
        <ns0:v/>
      </ns0:c>
      <ns0:c r="G389" s="0">
        <ns0:f>IF(OR(F389&lt;&gt;"OK",$B$6&gt;0),0,0.5*(IF(('_Dates'!X389)&lt;('_Dates'!W389),0,INT((('_Dates'!X389)-('_Dates'!W389)+1)/7)*LEN(SUBSTITUTE(W389,"O",""))+LEN(SUBSTITUTE(MID(W389&amp;W389,WEEKDAY(('_Dates'!W389),2),MOD((('_Dates'!X389)-('_Dates'!W389)+1),7)),"O",""))-COUNTIFS(INDEX(AllClosureRows,C389,0),"&gt;="&amp;('_Dates'!W389),INDEX(AllClosureRows,C389,0),"&lt;="&amp;('_Dates'!X389)))+IF(('_Dates'!Z389)&lt;('_Dates'!Y389),0,INT((('_Dates'!Z389)-('_Dates'!Y389)+1)/7)*LEN(SUBSTITUTE(W389,"O",""))+LEN(SUBSTITUTE(MID(W389&amp;W389,WEEKDAY(('_Dates'!Y389),2),MOD((('_Dates'!Z389)-('_Dates'!Y389)+1),7)),"O",""))-COUNTIFS(INDEX(AllClosureRows,C389,0),"&gt;="&amp;('_Dates'!Y389),INDEX(AllClosureRows,C389,0),"&lt;="&amp;('_Dates'!Z389)))))</ns0:f>
        <ns0:v>0</ns0:v>
      </ns0:c>
      <ns0:c r="H389" s="0">
        <ns0:f>IF(OR(F389&lt;&gt;"OK",$B$6&gt;0),0,0.5*(IF((MIN('_Dates'!X389,Settings!$B$9))&lt;('_Dates'!W389),0,INT(((MIN('_Dates'!X389,Settings!$B$9))-('_Dates'!W389)+1)/7)*LEN(SUBSTITUTE(W389,"O",""))+LEN(SUBSTITUTE(MID(W389&amp;W389,WEEKDAY(('_Dates'!W389),2),MOD(((MIN('_Dates'!X389,Settings!$B$9))-('_Dates'!W389)+1),7)),"O",""))-COUNTIFS(INDEX(AllClosureRows,C389,0),"&gt;="&amp;('_Dates'!W389),INDEX(AllClosureRows,C389,0),"&lt;="&amp;(MIN('_Dates'!X389,Settings!$B$9))))+IF((MIN('_Dates'!Z389,Settings!$B$9))&lt;('_Dates'!Y389),0,INT(((MIN('_Dates'!Z389,Settings!$B$9))-('_Dates'!Y389)+1)/7)*LEN(SUBSTITUTE(W389,"O",""))+LEN(SUBSTITUTE(MID(W389&amp;W389,WEEKDAY(('_Dates'!Y389),2),MOD(((MIN('_Dates'!Z389,Settings!$B$9))-('_Dates'!Y389)+1),7)),"O",""))-COUNTIFS(INDEX(AllClosureRows,C389,0),"&gt;="&amp;('_Dates'!Y389),INDEX(AllClosureRows,C389,0),"&lt;="&amp;(MIN('_Dates'!Z389,Settings!$B$9))))))</ns0:f>
        <ns0:v>0</ns0:v>
      </ns0:c>
      <ns0:c r="I389" s="0">
        <ns0:f>MAX(0,G389-H389)</ns0:f>
        <ns0:v>0</ns0:v>
      </ns0:c>
      <ns0:c r="J389" s="0">
        <ns0:f>IF(OR(A389=0,F389&lt;&gt;"OK",Bookings!G389="Cancelled",$B$6&gt;0),0,IF('_Dates'!AC389=1,MAX(0,COUNTIFS(rngEngine_B,B389,rngAMStart,"&lt;="&amp;'_Dates'!X389,rngAMEnd,"&gt;="&amp;'_Dates'!W389,rngAMActive,1,rngEngine_F,"OK",rngBookings_F,"&lt;&gt;Cancelled")-1),0)+IF('_Dates'!AD389=1,MAX(0,COUNTIFS(rngEngine_B,B389,rngPMStart,"&lt;="&amp;'_Dates'!Z389,rngPMEnd,"&gt;="&amp;'_Dates'!Y389,rngPMActive,1,rngEngine_F,"OK",rngBookings_F,"&lt;&gt;Cancelled")-1),0))</ns0:f>
        <ns0:v>0</ns0:v>
      </ns0:c>
      <ns0:c r="K389" s="0" t="str">
        <ns0:f>IF(A389=0,"",IF(F389&lt;&gt;"OK",F389,IF(J389&gt;0,"CHECK overlapping entry",IF(AND($B$6=0,G389&lt;=0,Bookings!G389&lt;&gt;"Cancelled"),"CHECK no working days",IF(Bookings!G389="Cancelled","Cancelled","OK")))))</ns0:f>
        <ns0:v/>
      </ns0:c>
      <ns0:c r="L389" s="0">
        <ns0:f>IF(LEFT(K389,5)="CHECK",1,0)</ns0:f>
        <ns0:v>0</ns0:v>
      </ns0:c>
      <ns0:c r="M389" s="0">
        <ns0:f>IF(AND(L389=1,OR(C389=0,IFERROR(INDEX($X$11:$X$60,C389),0)=0)),1,0)</ns0:f>
        <ns0:v>0</ns0:v>
      </ns0:c>
      <ns0:c r="N389" s="0">
        <ns0:f>IF(OR(A389=0,L389&gt;0,$B$6&gt;0,Bookings!G389="Cancelled"),0,G389)</ns0:f>
        <ns0:v>0</ns0:v>
      </ns0:c>
      <ns0:c r="O389" s="0">
        <ns0:f>IF(AND(Bookings!G389="Approved",E389="Yes"),N389,0)</ns0:f>
        <ns0:v>0</ns0:v>
      </ns0:c>
      <ns0:c r="P389" s="0">
        <ns0:f>IF(AND(Bookings!G389="Approved",E389="Yes",L389=0,$B$6=0),H389,0)</ns0:f>
        <ns0:v>0</ns0:v>
      </ns0:c>
      <ns0:c r="Q389" s="0">
        <ns0:f>IF(AND(Bookings!G389="Approved",E389="Yes",L389=0,$B$6=0),I389,0)</ns0:f>
        <ns0:v>0</ns0:v>
      </ns0:c>
      <ns0:c r="R389" s="0">
        <ns0:f>IF(AND(Bookings!G389="Pending",E389="Yes"),N389,0)</ns0:f>
        <ns0:v>0</ns0:v>
      </ns0:c>
      <ns0:c r="S389" s="0">
        <ns0:f>IF(AND(Bookings!G389="Approved",E389="No"),N389,0)</ns0:f>
        <ns0:v>0</ns0:v>
      </ns0:c>
      <ns0:c r="T389" s="0">
        <ns0:f>IFERROR(MATCH(D389,Settings!$G$7:$G$11,0),0)</ns0:f>
        <ns0:v>0</ns0:v>
      </ns0:c>
      <ns0:c r="U389" s="0">
        <ns0:f>IF(N389&gt;0,T389+IF(Bookings!G389="Pending",10,0),0)</ns0:f>
        <ns0:v>0</ns0:v>
      </ns0:c>
      <ns0:c r="V389" s="0">
        <ns0:f>U389</ns0:f>
        <ns0:v>0</ns0:v>
      </ns0:c>
      <ns0:c r="W389" s="0" t="str">
        <ns0:f>IF(C389=0,"",INDEX($AP$11:$AP$60,C389))</ns0:f>
        <ns0:v/>
      </ns0:c>
    </ns0:row>
    <ns0:row r="390">
      <ns0:c r="A390" s="0">
        <ns0:f>IF(COUNTA(Bookings!A390:G390,Bookings!I390)=0,0,1)</ns0:f>
        <ns0:v>0</ns0:v>
      </ns0:c>
      <ns0:c r="B390" s="0" t="str">
        <ns0:f>IFERROR(TRIM(MID(Bookings!A390,FIND(" · ",Bookings!A390)+3,99)),"")</ns0:f>
        <ns0:v/>
      </ns0:c>
      <ns0:c r="C390" s="0">
        <ns0:f>IF(OR(B390="",LEN(B390)&gt;24,ISNUMBER(FIND(" ",B390)),ISNUMBER(FIND("*",B390)),ISNUMBER(FIND("?",B390)),ISNUMBER(FIND("~",B390))),0,IFERROR(MATCH(B390,Team!$A$11:$A$60,0),0))</ns0:f>
        <ns0:v>0</ns0:v>
      </ns0:c>
      <ns0:c r="D390" s="0" t="str">
        <ns0:f>IFERROR(IF(MID(Bookings!F390,LEN(Bookings!F390)-3,3)=" · ",RIGHT(Bookings!F390,1),""),"")</ns0:f>
        <ns0:v/>
      </ns0:c>
      <ns0:c r="E390" s="0" t="str">
        <ns0:f>IFERROR(INDEX(Settings!$H$7:$H$11,MATCH(D390,Settings!$G$7:$G$11,0)),"")</ns0:f>
        <ns0:v/>
      </ns0:c>
      <ns0:c r="F390" s="0" t="str">
        <ns0:f>IF(A390=0,"",IFERROR(IF(OR(B390="",C390=0),"CHECK employee selection",IF(INDEX(Team!$O$11:$O$60,C390)&lt;&gt;"OK","CHECK employee setup",IF(OR('_Dates'!J390=0,'_Dates'!T390=0),"CHECK date: use DD.MM.YYYY",IF('_Dates'!T390&lt;'_Dates'!J390,"CHECK end before start",IF(AND($B$6=0,OR('_Dates'!J390&lt;Settings!$B$7,'_Dates'!T390&gt;Settings!$B$8)),"CHECK split across leave years",IF(OR(NOT(OR('_Dates'!U390="Full day",'_Dates'!U390="AM",'_Dates'!U390="PM")),NOT(OR('_Dates'!V390="Full day",'_Dates'!V390="AM",'_Dates'!V390="PM"))),"CHECK Full day / AM / PM",IF(AND('_Dates'!J390='_Dates'!T390,'_Dates'!U390&lt;&gt;"Full day",'_Dates'!V390&lt;&gt;"Full day",'_Dates'!U390&lt;&gt;'_Dates'!V390),"CHECK same-day portions disagree",IF(AND($B$6=0,OR(AND('_Dates'!U390&lt;&gt;"Full day",'_Dates'!AA390=0),AND('_Dates'!V390&lt;&gt;"Full day",'_Dates'!AB390=0))),"CHECK half-day on non-working date",IF(COUNTIF(Settings!$G$7:$G$11,D390)&lt;&gt;1,"CHECK leave type",IF(AND(Bookings!G390&lt;&gt;"Approved",Bookings!G390&lt;&gt;"Pending",Bookings!G390&lt;&gt;"Cancelled"),"CHECK status","OK")))))))))),"CHECK input"))</ns0:f>
        <ns0:v/>
      </ns0:c>
      <ns0:c r="G390" s="0">
        <ns0:f>IF(OR(F390&lt;&gt;"OK",$B$6&gt;0),0,0.5*(IF(('_Dates'!X390)&lt;('_Dates'!W390),0,INT((('_Dates'!X390)-('_Dates'!W390)+1)/7)*LEN(SUBSTITUTE(W390,"O",""))+LEN(SUBSTITUTE(MID(W390&amp;W390,WEEKDAY(('_Dates'!W390),2),MOD((('_Dates'!X390)-('_Dates'!W390)+1),7)),"O",""))-COUNTIFS(INDEX(AllClosureRows,C390,0),"&gt;="&amp;('_Dates'!W390),INDEX(AllClosureRows,C390,0),"&lt;="&amp;('_Dates'!X390)))+IF(('_Dates'!Z390)&lt;('_Dates'!Y390),0,INT((('_Dates'!Z390)-('_Dates'!Y390)+1)/7)*LEN(SUBSTITUTE(W390,"O",""))+LEN(SUBSTITUTE(MID(W390&amp;W390,WEEKDAY(('_Dates'!Y390),2),MOD((('_Dates'!Z390)-('_Dates'!Y390)+1),7)),"O",""))-COUNTIFS(INDEX(AllClosureRows,C390,0),"&gt;="&amp;('_Dates'!Y390),INDEX(AllClosureRows,C390,0),"&lt;="&amp;('_Dates'!Z390)))))</ns0:f>
        <ns0:v>0</ns0:v>
      </ns0:c>
      <ns0:c r="H390" s="0">
        <ns0:f>IF(OR(F390&lt;&gt;"OK",$B$6&gt;0),0,0.5*(IF((MIN('_Dates'!X390,Settings!$B$9))&lt;('_Dates'!W390),0,INT(((MIN('_Dates'!X390,Settings!$B$9))-('_Dates'!W390)+1)/7)*LEN(SUBSTITUTE(W390,"O",""))+LEN(SUBSTITUTE(MID(W390&amp;W390,WEEKDAY(('_Dates'!W390),2),MOD(((MIN('_Dates'!X390,Settings!$B$9))-('_Dates'!W390)+1),7)),"O",""))-COUNTIFS(INDEX(AllClosureRows,C390,0),"&gt;="&amp;('_Dates'!W390),INDEX(AllClosureRows,C390,0),"&lt;="&amp;(MIN('_Dates'!X390,Settings!$B$9))))+IF((MIN('_Dates'!Z390,Settings!$B$9))&lt;('_Dates'!Y390),0,INT(((MIN('_Dates'!Z390,Settings!$B$9))-('_Dates'!Y390)+1)/7)*LEN(SUBSTITUTE(W390,"O",""))+LEN(SUBSTITUTE(MID(W390&amp;W390,WEEKDAY(('_Dates'!Y390),2),MOD(((MIN('_Dates'!Z390,Settings!$B$9))-('_Dates'!Y390)+1),7)),"O",""))-COUNTIFS(INDEX(AllClosureRows,C390,0),"&gt;="&amp;('_Dates'!Y390),INDEX(AllClosureRows,C390,0),"&lt;="&amp;(MIN('_Dates'!Z390,Settings!$B$9))))))</ns0:f>
        <ns0:v>0</ns0:v>
      </ns0:c>
      <ns0:c r="I390" s="0">
        <ns0:f>MAX(0,G390-H390)</ns0:f>
        <ns0:v>0</ns0:v>
      </ns0:c>
      <ns0:c r="J390" s="0">
        <ns0:f>IF(OR(A390=0,F390&lt;&gt;"OK",Bookings!G390="Cancelled",$B$6&gt;0),0,IF('_Dates'!AC390=1,MAX(0,COUNTIFS(rngEngine_B,B390,rngAMStart,"&lt;="&amp;'_Dates'!X390,rngAMEnd,"&gt;="&amp;'_Dates'!W390,rngAMActive,1,rngEngine_F,"OK",rngBookings_F,"&lt;&gt;Cancelled")-1),0)+IF('_Dates'!AD390=1,MAX(0,COUNTIFS(rngEngine_B,B390,rngPMStart,"&lt;="&amp;'_Dates'!Z390,rngPMEnd,"&gt;="&amp;'_Dates'!Y390,rngPMActive,1,rngEngine_F,"OK",rngBookings_F,"&lt;&gt;Cancelled")-1),0))</ns0:f>
        <ns0:v>0</ns0:v>
      </ns0:c>
      <ns0:c r="K390" s="0" t="str">
        <ns0:f>IF(A390=0,"",IF(F390&lt;&gt;"OK",F390,IF(J390&gt;0,"CHECK overlapping entry",IF(AND($B$6=0,G390&lt;=0,Bookings!G390&lt;&gt;"Cancelled"),"CHECK no working days",IF(Bookings!G390="Cancelled","Cancelled","OK")))))</ns0:f>
        <ns0:v/>
      </ns0:c>
      <ns0:c r="L390" s="0">
        <ns0:f>IF(LEFT(K390,5)="CHECK",1,0)</ns0:f>
        <ns0:v>0</ns0:v>
      </ns0:c>
      <ns0:c r="M390" s="0">
        <ns0:f>IF(AND(L390=1,OR(C390=0,IFERROR(INDEX($X$11:$X$60,C390),0)=0)),1,0)</ns0:f>
        <ns0:v>0</ns0:v>
      </ns0:c>
      <ns0:c r="N390" s="0">
        <ns0:f>IF(OR(A390=0,L390&gt;0,$B$6&gt;0,Bookings!G390="Cancelled"),0,G390)</ns0:f>
        <ns0:v>0</ns0:v>
      </ns0:c>
      <ns0:c r="O390" s="0">
        <ns0:f>IF(AND(Bookings!G390="Approved",E390="Yes"),N390,0)</ns0:f>
        <ns0:v>0</ns0:v>
      </ns0:c>
      <ns0:c r="P390" s="0">
        <ns0:f>IF(AND(Bookings!G390="Approved",E390="Yes",L390=0,$B$6=0),H390,0)</ns0:f>
        <ns0:v>0</ns0:v>
      </ns0:c>
      <ns0:c r="Q390" s="0">
        <ns0:f>IF(AND(Bookings!G390="Approved",E390="Yes",L390=0,$B$6=0),I390,0)</ns0:f>
        <ns0:v>0</ns0:v>
      </ns0:c>
      <ns0:c r="R390" s="0">
        <ns0:f>IF(AND(Bookings!G390="Pending",E390="Yes"),N390,0)</ns0:f>
        <ns0:v>0</ns0:v>
      </ns0:c>
      <ns0:c r="S390" s="0">
        <ns0:f>IF(AND(Bookings!G390="Approved",E390="No"),N390,0)</ns0:f>
        <ns0:v>0</ns0:v>
      </ns0:c>
      <ns0:c r="T390" s="0">
        <ns0:f>IFERROR(MATCH(D390,Settings!$G$7:$G$11,0),0)</ns0:f>
        <ns0:v>0</ns0:v>
      </ns0:c>
      <ns0:c r="U390" s="0">
        <ns0:f>IF(N390&gt;0,T390+IF(Bookings!G390="Pending",10,0),0)</ns0:f>
        <ns0:v>0</ns0:v>
      </ns0:c>
      <ns0:c r="V390" s="0">
        <ns0:f>U390</ns0:f>
        <ns0:v>0</ns0:v>
      </ns0:c>
      <ns0:c r="W390" s="0" t="str">
        <ns0:f>IF(C390=0,"",INDEX($AP$11:$AP$60,C390))</ns0:f>
        <ns0:v/>
      </ns0:c>
    </ns0:row>
    <ns0:row r="391">
      <ns0:c r="A391" s="0">
        <ns0:f>IF(COUNTA(Bookings!A391:G391,Bookings!I391)=0,0,1)</ns0:f>
        <ns0:v>0</ns0:v>
      </ns0:c>
      <ns0:c r="B391" s="0" t="str">
        <ns0:f>IFERROR(TRIM(MID(Bookings!A391,FIND(" · ",Bookings!A391)+3,99)),"")</ns0:f>
        <ns0:v/>
      </ns0:c>
      <ns0:c r="C391" s="0">
        <ns0:f>IF(OR(B391="",LEN(B391)&gt;24,ISNUMBER(FIND(" ",B391)),ISNUMBER(FIND("*",B391)),ISNUMBER(FIND("?",B391)),ISNUMBER(FIND("~",B391))),0,IFERROR(MATCH(B391,Team!$A$11:$A$60,0),0))</ns0:f>
        <ns0:v>0</ns0:v>
      </ns0:c>
      <ns0:c r="D391" s="0" t="str">
        <ns0:f>IFERROR(IF(MID(Bookings!F391,LEN(Bookings!F391)-3,3)=" · ",RIGHT(Bookings!F391,1),""),"")</ns0:f>
        <ns0:v/>
      </ns0:c>
      <ns0:c r="E391" s="0" t="str">
        <ns0:f>IFERROR(INDEX(Settings!$H$7:$H$11,MATCH(D391,Settings!$G$7:$G$11,0)),"")</ns0:f>
        <ns0:v/>
      </ns0:c>
      <ns0:c r="F391" s="0" t="str">
        <ns0:f>IF(A391=0,"",IFERROR(IF(OR(B391="",C391=0),"CHECK employee selection",IF(INDEX(Team!$O$11:$O$60,C391)&lt;&gt;"OK","CHECK employee setup",IF(OR('_Dates'!J391=0,'_Dates'!T391=0),"CHECK date: use DD.MM.YYYY",IF('_Dates'!T391&lt;'_Dates'!J391,"CHECK end before start",IF(AND($B$6=0,OR('_Dates'!J391&lt;Settings!$B$7,'_Dates'!T391&gt;Settings!$B$8)),"CHECK split across leave years",IF(OR(NOT(OR('_Dates'!U391="Full day",'_Dates'!U391="AM",'_Dates'!U391="PM")),NOT(OR('_Dates'!V391="Full day",'_Dates'!V391="AM",'_Dates'!V391="PM"))),"CHECK Full day / AM / PM",IF(AND('_Dates'!J391='_Dates'!T391,'_Dates'!U391&lt;&gt;"Full day",'_Dates'!V391&lt;&gt;"Full day",'_Dates'!U391&lt;&gt;'_Dates'!V391),"CHECK same-day portions disagree",IF(AND($B$6=0,OR(AND('_Dates'!U391&lt;&gt;"Full day",'_Dates'!AA391=0),AND('_Dates'!V391&lt;&gt;"Full day",'_Dates'!AB391=0))),"CHECK half-day on non-working date",IF(COUNTIF(Settings!$G$7:$G$11,D391)&lt;&gt;1,"CHECK leave type",IF(AND(Bookings!G391&lt;&gt;"Approved",Bookings!G391&lt;&gt;"Pending",Bookings!G391&lt;&gt;"Cancelled"),"CHECK status","OK")))))))))),"CHECK input"))</ns0:f>
        <ns0:v/>
      </ns0:c>
      <ns0:c r="G391" s="0">
        <ns0:f>IF(OR(F391&lt;&gt;"OK",$B$6&gt;0),0,0.5*(IF(('_Dates'!X391)&lt;('_Dates'!W391),0,INT((('_Dates'!X391)-('_Dates'!W391)+1)/7)*LEN(SUBSTITUTE(W391,"O",""))+LEN(SUBSTITUTE(MID(W391&amp;W391,WEEKDAY(('_Dates'!W391),2),MOD((('_Dates'!X391)-('_Dates'!W391)+1),7)),"O",""))-COUNTIFS(INDEX(AllClosureRows,C391,0),"&gt;="&amp;('_Dates'!W391),INDEX(AllClosureRows,C391,0),"&lt;="&amp;('_Dates'!X391)))+IF(('_Dates'!Z391)&lt;('_Dates'!Y391),0,INT((('_Dates'!Z391)-('_Dates'!Y391)+1)/7)*LEN(SUBSTITUTE(W391,"O",""))+LEN(SUBSTITUTE(MID(W391&amp;W391,WEEKDAY(('_Dates'!Y391),2),MOD((('_Dates'!Z391)-('_Dates'!Y391)+1),7)),"O",""))-COUNTIFS(INDEX(AllClosureRows,C391,0),"&gt;="&amp;('_Dates'!Y391),INDEX(AllClosureRows,C391,0),"&lt;="&amp;('_Dates'!Z391)))))</ns0:f>
        <ns0:v>0</ns0:v>
      </ns0:c>
      <ns0:c r="H391" s="0">
        <ns0:f>IF(OR(F391&lt;&gt;"OK",$B$6&gt;0),0,0.5*(IF((MIN('_Dates'!X391,Settings!$B$9))&lt;('_Dates'!W391),0,INT(((MIN('_Dates'!X391,Settings!$B$9))-('_Dates'!W391)+1)/7)*LEN(SUBSTITUTE(W391,"O",""))+LEN(SUBSTITUTE(MID(W391&amp;W391,WEEKDAY(('_Dates'!W391),2),MOD(((MIN('_Dates'!X391,Settings!$B$9))-('_Dates'!W391)+1),7)),"O",""))-COUNTIFS(INDEX(AllClosureRows,C391,0),"&gt;="&amp;('_Dates'!W391),INDEX(AllClosureRows,C391,0),"&lt;="&amp;(MIN('_Dates'!X391,Settings!$B$9))))+IF((MIN('_Dates'!Z391,Settings!$B$9))&lt;('_Dates'!Y391),0,INT(((MIN('_Dates'!Z391,Settings!$B$9))-('_Dates'!Y391)+1)/7)*LEN(SUBSTITUTE(W391,"O",""))+LEN(SUBSTITUTE(MID(W391&amp;W391,WEEKDAY(('_Dates'!Y391),2),MOD(((MIN('_Dates'!Z391,Settings!$B$9))-('_Dates'!Y391)+1),7)),"O",""))-COUNTIFS(INDEX(AllClosureRows,C391,0),"&gt;="&amp;('_Dates'!Y391),INDEX(AllClosureRows,C391,0),"&lt;="&amp;(MIN('_Dates'!Z391,Settings!$B$9))))))</ns0:f>
        <ns0:v>0</ns0:v>
      </ns0:c>
      <ns0:c r="I391" s="0">
        <ns0:f>MAX(0,G391-H391)</ns0:f>
        <ns0:v>0</ns0:v>
      </ns0:c>
      <ns0:c r="J391" s="0">
        <ns0:f>IF(OR(A391=0,F391&lt;&gt;"OK",Bookings!G391="Cancelled",$B$6&gt;0),0,IF('_Dates'!AC391=1,MAX(0,COUNTIFS(rngEngine_B,B391,rngAMStart,"&lt;="&amp;'_Dates'!X391,rngAMEnd,"&gt;="&amp;'_Dates'!W391,rngAMActive,1,rngEngine_F,"OK",rngBookings_F,"&lt;&gt;Cancelled")-1),0)+IF('_Dates'!AD391=1,MAX(0,COUNTIFS(rngEngine_B,B391,rngPMStart,"&lt;="&amp;'_Dates'!Z391,rngPMEnd,"&gt;="&amp;'_Dates'!Y391,rngPMActive,1,rngEngine_F,"OK",rngBookings_F,"&lt;&gt;Cancelled")-1),0))</ns0:f>
        <ns0:v>0</ns0:v>
      </ns0:c>
      <ns0:c r="K391" s="0" t="str">
        <ns0:f>IF(A391=0,"",IF(F391&lt;&gt;"OK",F391,IF(J391&gt;0,"CHECK overlapping entry",IF(AND($B$6=0,G391&lt;=0,Bookings!G391&lt;&gt;"Cancelled"),"CHECK no working days",IF(Bookings!G391="Cancelled","Cancelled","OK")))))</ns0:f>
        <ns0:v/>
      </ns0:c>
      <ns0:c r="L391" s="0">
        <ns0:f>IF(LEFT(K391,5)="CHECK",1,0)</ns0:f>
        <ns0:v>0</ns0:v>
      </ns0:c>
      <ns0:c r="M391" s="0">
        <ns0:f>IF(AND(L391=1,OR(C391=0,IFERROR(INDEX($X$11:$X$60,C391),0)=0)),1,0)</ns0:f>
        <ns0:v>0</ns0:v>
      </ns0:c>
      <ns0:c r="N391" s="0">
        <ns0:f>IF(OR(A391=0,L391&gt;0,$B$6&gt;0,Bookings!G391="Cancelled"),0,G391)</ns0:f>
        <ns0:v>0</ns0:v>
      </ns0:c>
      <ns0:c r="O391" s="0">
        <ns0:f>IF(AND(Bookings!G391="Approved",E391="Yes"),N391,0)</ns0:f>
        <ns0:v>0</ns0:v>
      </ns0:c>
      <ns0:c r="P391" s="0">
        <ns0:f>IF(AND(Bookings!G391="Approved",E391="Yes",L391=0,$B$6=0),H391,0)</ns0:f>
        <ns0:v>0</ns0:v>
      </ns0:c>
      <ns0:c r="Q391" s="0">
        <ns0:f>IF(AND(Bookings!G391="Approved",E391="Yes",L391=0,$B$6=0),I391,0)</ns0:f>
        <ns0:v>0</ns0:v>
      </ns0:c>
      <ns0:c r="R391" s="0">
        <ns0:f>IF(AND(Bookings!G391="Pending",E391="Yes"),N391,0)</ns0:f>
        <ns0:v>0</ns0:v>
      </ns0:c>
      <ns0:c r="S391" s="0">
        <ns0:f>IF(AND(Bookings!G391="Approved",E391="No"),N391,0)</ns0:f>
        <ns0:v>0</ns0:v>
      </ns0:c>
      <ns0:c r="T391" s="0">
        <ns0:f>IFERROR(MATCH(D391,Settings!$G$7:$G$11,0),0)</ns0:f>
        <ns0:v>0</ns0:v>
      </ns0:c>
      <ns0:c r="U391" s="0">
        <ns0:f>IF(N391&gt;0,T391+IF(Bookings!G391="Pending",10,0),0)</ns0:f>
        <ns0:v>0</ns0:v>
      </ns0:c>
      <ns0:c r="V391" s="0">
        <ns0:f>U391</ns0:f>
        <ns0:v>0</ns0:v>
      </ns0:c>
      <ns0:c r="W391" s="0" t="str">
        <ns0:f>IF(C391=0,"",INDEX($AP$11:$AP$60,C391))</ns0:f>
        <ns0:v/>
      </ns0:c>
    </ns0:row>
    <ns0:row r="392">
      <ns0:c r="A392" s="0">
        <ns0:f>IF(COUNTA(Bookings!A392:G392,Bookings!I392)=0,0,1)</ns0:f>
        <ns0:v>0</ns0:v>
      </ns0:c>
      <ns0:c r="B392" s="0" t="str">
        <ns0:f>IFERROR(TRIM(MID(Bookings!A392,FIND(" · ",Bookings!A392)+3,99)),"")</ns0:f>
        <ns0:v/>
      </ns0:c>
      <ns0:c r="C392" s="0">
        <ns0:f>IF(OR(B392="",LEN(B392)&gt;24,ISNUMBER(FIND(" ",B392)),ISNUMBER(FIND("*",B392)),ISNUMBER(FIND("?",B392)),ISNUMBER(FIND("~",B392))),0,IFERROR(MATCH(B392,Team!$A$11:$A$60,0),0))</ns0:f>
        <ns0:v>0</ns0:v>
      </ns0:c>
      <ns0:c r="D392" s="0" t="str">
        <ns0:f>IFERROR(IF(MID(Bookings!F392,LEN(Bookings!F392)-3,3)=" · ",RIGHT(Bookings!F392,1),""),"")</ns0:f>
        <ns0:v/>
      </ns0:c>
      <ns0:c r="E392" s="0" t="str">
        <ns0:f>IFERROR(INDEX(Settings!$H$7:$H$11,MATCH(D392,Settings!$G$7:$G$11,0)),"")</ns0:f>
        <ns0:v/>
      </ns0:c>
      <ns0:c r="F392" s="0" t="str">
        <ns0:f>IF(A392=0,"",IFERROR(IF(OR(B392="",C392=0),"CHECK employee selection",IF(INDEX(Team!$O$11:$O$60,C392)&lt;&gt;"OK","CHECK employee setup",IF(OR('_Dates'!J392=0,'_Dates'!T392=0),"CHECK date: use DD.MM.YYYY",IF('_Dates'!T392&lt;'_Dates'!J392,"CHECK end before start",IF(AND($B$6=0,OR('_Dates'!J392&lt;Settings!$B$7,'_Dates'!T392&gt;Settings!$B$8)),"CHECK split across leave years",IF(OR(NOT(OR('_Dates'!U392="Full day",'_Dates'!U392="AM",'_Dates'!U392="PM")),NOT(OR('_Dates'!V392="Full day",'_Dates'!V392="AM",'_Dates'!V392="PM"))),"CHECK Full day / AM / PM",IF(AND('_Dates'!J392='_Dates'!T392,'_Dates'!U392&lt;&gt;"Full day",'_Dates'!V392&lt;&gt;"Full day",'_Dates'!U392&lt;&gt;'_Dates'!V392),"CHECK same-day portions disagree",IF(AND($B$6=0,OR(AND('_Dates'!U392&lt;&gt;"Full day",'_Dates'!AA392=0),AND('_Dates'!V392&lt;&gt;"Full day",'_Dates'!AB392=0))),"CHECK half-day on non-working date",IF(COUNTIF(Settings!$G$7:$G$11,D392)&lt;&gt;1,"CHECK leave type",IF(AND(Bookings!G392&lt;&gt;"Approved",Bookings!G392&lt;&gt;"Pending",Bookings!G392&lt;&gt;"Cancelled"),"CHECK status","OK")))))))))),"CHECK input"))</ns0:f>
        <ns0:v/>
      </ns0:c>
      <ns0:c r="G392" s="0">
        <ns0:f>IF(OR(F392&lt;&gt;"OK",$B$6&gt;0),0,0.5*(IF(('_Dates'!X392)&lt;('_Dates'!W392),0,INT((('_Dates'!X392)-('_Dates'!W392)+1)/7)*LEN(SUBSTITUTE(W392,"O",""))+LEN(SUBSTITUTE(MID(W392&amp;W392,WEEKDAY(('_Dates'!W392),2),MOD((('_Dates'!X392)-('_Dates'!W392)+1),7)),"O",""))-COUNTIFS(INDEX(AllClosureRows,C392,0),"&gt;="&amp;('_Dates'!W392),INDEX(AllClosureRows,C392,0),"&lt;="&amp;('_Dates'!X392)))+IF(('_Dates'!Z392)&lt;('_Dates'!Y392),0,INT((('_Dates'!Z392)-('_Dates'!Y392)+1)/7)*LEN(SUBSTITUTE(W392,"O",""))+LEN(SUBSTITUTE(MID(W392&amp;W392,WEEKDAY(('_Dates'!Y392),2),MOD((('_Dates'!Z392)-('_Dates'!Y392)+1),7)),"O",""))-COUNTIFS(INDEX(AllClosureRows,C392,0),"&gt;="&amp;('_Dates'!Y392),INDEX(AllClosureRows,C392,0),"&lt;="&amp;('_Dates'!Z392)))))</ns0:f>
        <ns0:v>0</ns0:v>
      </ns0:c>
      <ns0:c r="H392" s="0">
        <ns0:f>IF(OR(F392&lt;&gt;"OK",$B$6&gt;0),0,0.5*(IF((MIN('_Dates'!X392,Settings!$B$9))&lt;('_Dates'!W392),0,INT(((MIN('_Dates'!X392,Settings!$B$9))-('_Dates'!W392)+1)/7)*LEN(SUBSTITUTE(W392,"O",""))+LEN(SUBSTITUTE(MID(W392&amp;W392,WEEKDAY(('_Dates'!W392),2),MOD(((MIN('_Dates'!X392,Settings!$B$9))-('_Dates'!W392)+1),7)),"O",""))-COUNTIFS(INDEX(AllClosureRows,C392,0),"&gt;="&amp;('_Dates'!W392),INDEX(AllClosureRows,C392,0),"&lt;="&amp;(MIN('_Dates'!X392,Settings!$B$9))))+IF((MIN('_Dates'!Z392,Settings!$B$9))&lt;('_Dates'!Y392),0,INT(((MIN('_Dates'!Z392,Settings!$B$9))-('_Dates'!Y392)+1)/7)*LEN(SUBSTITUTE(W392,"O",""))+LEN(SUBSTITUTE(MID(W392&amp;W392,WEEKDAY(('_Dates'!Y392),2),MOD(((MIN('_Dates'!Z392,Settings!$B$9))-('_Dates'!Y392)+1),7)),"O",""))-COUNTIFS(INDEX(AllClosureRows,C392,0),"&gt;="&amp;('_Dates'!Y392),INDEX(AllClosureRows,C392,0),"&lt;="&amp;(MIN('_Dates'!Z392,Settings!$B$9))))))</ns0:f>
        <ns0:v>0</ns0:v>
      </ns0:c>
      <ns0:c r="I392" s="0">
        <ns0:f>MAX(0,G392-H392)</ns0:f>
        <ns0:v>0</ns0:v>
      </ns0:c>
      <ns0:c r="J392" s="0">
        <ns0:f>IF(OR(A392=0,F392&lt;&gt;"OK",Bookings!G392="Cancelled",$B$6&gt;0),0,IF('_Dates'!AC392=1,MAX(0,COUNTIFS(rngEngine_B,B392,rngAMStart,"&lt;="&amp;'_Dates'!X392,rngAMEnd,"&gt;="&amp;'_Dates'!W392,rngAMActive,1,rngEngine_F,"OK",rngBookings_F,"&lt;&gt;Cancelled")-1),0)+IF('_Dates'!AD392=1,MAX(0,COUNTIFS(rngEngine_B,B392,rngPMStart,"&lt;="&amp;'_Dates'!Z392,rngPMEnd,"&gt;="&amp;'_Dates'!Y392,rngPMActive,1,rngEngine_F,"OK",rngBookings_F,"&lt;&gt;Cancelled")-1),0))</ns0:f>
        <ns0:v>0</ns0:v>
      </ns0:c>
      <ns0:c r="K392" s="0" t="str">
        <ns0:f>IF(A392=0,"",IF(F392&lt;&gt;"OK",F392,IF(J392&gt;0,"CHECK overlapping entry",IF(AND($B$6=0,G392&lt;=0,Bookings!G392&lt;&gt;"Cancelled"),"CHECK no working days",IF(Bookings!G392="Cancelled","Cancelled","OK")))))</ns0:f>
        <ns0:v/>
      </ns0:c>
      <ns0:c r="L392" s="0">
        <ns0:f>IF(LEFT(K392,5)="CHECK",1,0)</ns0:f>
        <ns0:v>0</ns0:v>
      </ns0:c>
      <ns0:c r="M392" s="0">
        <ns0:f>IF(AND(L392=1,OR(C392=0,IFERROR(INDEX($X$11:$X$60,C392),0)=0)),1,0)</ns0:f>
        <ns0:v>0</ns0:v>
      </ns0:c>
      <ns0:c r="N392" s="0">
        <ns0:f>IF(OR(A392=0,L392&gt;0,$B$6&gt;0,Bookings!G392="Cancelled"),0,G392)</ns0:f>
        <ns0:v>0</ns0:v>
      </ns0:c>
      <ns0:c r="O392" s="0">
        <ns0:f>IF(AND(Bookings!G392="Approved",E392="Yes"),N392,0)</ns0:f>
        <ns0:v>0</ns0:v>
      </ns0:c>
      <ns0:c r="P392" s="0">
        <ns0:f>IF(AND(Bookings!G392="Approved",E392="Yes",L392=0,$B$6=0),H392,0)</ns0:f>
        <ns0:v>0</ns0:v>
      </ns0:c>
      <ns0:c r="Q392" s="0">
        <ns0:f>IF(AND(Bookings!G392="Approved",E392="Yes",L392=0,$B$6=0),I392,0)</ns0:f>
        <ns0:v>0</ns0:v>
      </ns0:c>
      <ns0:c r="R392" s="0">
        <ns0:f>IF(AND(Bookings!G392="Pending",E392="Yes"),N392,0)</ns0:f>
        <ns0:v>0</ns0:v>
      </ns0:c>
      <ns0:c r="S392" s="0">
        <ns0:f>IF(AND(Bookings!G392="Approved",E392="No"),N392,0)</ns0:f>
        <ns0:v>0</ns0:v>
      </ns0:c>
      <ns0:c r="T392" s="0">
        <ns0:f>IFERROR(MATCH(D392,Settings!$G$7:$G$11,0),0)</ns0:f>
        <ns0:v>0</ns0:v>
      </ns0:c>
      <ns0:c r="U392" s="0">
        <ns0:f>IF(N392&gt;0,T392+IF(Bookings!G392="Pending",10,0),0)</ns0:f>
        <ns0:v>0</ns0:v>
      </ns0:c>
      <ns0:c r="V392" s="0">
        <ns0:f>U392</ns0:f>
        <ns0:v>0</ns0:v>
      </ns0:c>
      <ns0:c r="W392" s="0" t="str">
        <ns0:f>IF(C392=0,"",INDEX($AP$11:$AP$60,C392))</ns0:f>
        <ns0:v/>
      </ns0:c>
    </ns0:row>
    <ns0:row r="393">
      <ns0:c r="A393" s="0">
        <ns0:f>IF(COUNTA(Bookings!A393:G393,Bookings!I393)=0,0,1)</ns0:f>
        <ns0:v>0</ns0:v>
      </ns0:c>
      <ns0:c r="B393" s="0" t="str">
        <ns0:f>IFERROR(TRIM(MID(Bookings!A393,FIND(" · ",Bookings!A393)+3,99)),"")</ns0:f>
        <ns0:v/>
      </ns0:c>
      <ns0:c r="C393" s="0">
        <ns0:f>IF(OR(B393="",LEN(B393)&gt;24,ISNUMBER(FIND(" ",B393)),ISNUMBER(FIND("*",B393)),ISNUMBER(FIND("?",B393)),ISNUMBER(FIND("~",B393))),0,IFERROR(MATCH(B393,Team!$A$11:$A$60,0),0))</ns0:f>
        <ns0:v>0</ns0:v>
      </ns0:c>
      <ns0:c r="D393" s="0" t="str">
        <ns0:f>IFERROR(IF(MID(Bookings!F393,LEN(Bookings!F393)-3,3)=" · ",RIGHT(Bookings!F393,1),""),"")</ns0:f>
        <ns0:v/>
      </ns0:c>
      <ns0:c r="E393" s="0" t="str">
        <ns0:f>IFERROR(INDEX(Settings!$H$7:$H$11,MATCH(D393,Settings!$G$7:$G$11,0)),"")</ns0:f>
        <ns0:v/>
      </ns0:c>
      <ns0:c r="F393" s="0" t="str">
        <ns0:f>IF(A393=0,"",IFERROR(IF(OR(B393="",C393=0),"CHECK employee selection",IF(INDEX(Team!$O$11:$O$60,C393)&lt;&gt;"OK","CHECK employee setup",IF(OR('_Dates'!J393=0,'_Dates'!T393=0),"CHECK date: use DD.MM.YYYY",IF('_Dates'!T393&lt;'_Dates'!J393,"CHECK end before start",IF(AND($B$6=0,OR('_Dates'!J393&lt;Settings!$B$7,'_Dates'!T393&gt;Settings!$B$8)),"CHECK split across leave years",IF(OR(NOT(OR('_Dates'!U393="Full day",'_Dates'!U393="AM",'_Dates'!U393="PM")),NOT(OR('_Dates'!V393="Full day",'_Dates'!V393="AM",'_Dates'!V393="PM"))),"CHECK Full day / AM / PM",IF(AND('_Dates'!J393='_Dates'!T393,'_Dates'!U393&lt;&gt;"Full day",'_Dates'!V393&lt;&gt;"Full day",'_Dates'!U393&lt;&gt;'_Dates'!V393),"CHECK same-day portions disagree",IF(AND($B$6=0,OR(AND('_Dates'!U393&lt;&gt;"Full day",'_Dates'!AA393=0),AND('_Dates'!V393&lt;&gt;"Full day",'_Dates'!AB393=0))),"CHECK half-day on non-working date",IF(COUNTIF(Settings!$G$7:$G$11,D393)&lt;&gt;1,"CHECK leave type",IF(AND(Bookings!G393&lt;&gt;"Approved",Bookings!G393&lt;&gt;"Pending",Bookings!G393&lt;&gt;"Cancelled"),"CHECK status","OK")))))))))),"CHECK input"))</ns0:f>
        <ns0:v/>
      </ns0:c>
      <ns0:c r="G393" s="0">
        <ns0:f>IF(OR(F393&lt;&gt;"OK",$B$6&gt;0),0,0.5*(IF(('_Dates'!X393)&lt;('_Dates'!W393),0,INT((('_Dates'!X393)-('_Dates'!W393)+1)/7)*LEN(SUBSTITUTE(W393,"O",""))+LEN(SUBSTITUTE(MID(W393&amp;W393,WEEKDAY(('_Dates'!W393),2),MOD((('_Dates'!X393)-('_Dates'!W393)+1),7)),"O",""))-COUNTIFS(INDEX(AllClosureRows,C393,0),"&gt;="&amp;('_Dates'!W393),INDEX(AllClosureRows,C393,0),"&lt;="&amp;('_Dates'!X393)))+IF(('_Dates'!Z393)&lt;('_Dates'!Y393),0,INT((('_Dates'!Z393)-('_Dates'!Y393)+1)/7)*LEN(SUBSTITUTE(W393,"O",""))+LEN(SUBSTITUTE(MID(W393&amp;W393,WEEKDAY(('_Dates'!Y393),2),MOD((('_Dates'!Z393)-('_Dates'!Y393)+1),7)),"O",""))-COUNTIFS(INDEX(AllClosureRows,C393,0),"&gt;="&amp;('_Dates'!Y393),INDEX(AllClosureRows,C393,0),"&lt;="&amp;('_Dates'!Z393)))))</ns0:f>
        <ns0:v>0</ns0:v>
      </ns0:c>
      <ns0:c r="H393" s="0">
        <ns0:f>IF(OR(F393&lt;&gt;"OK",$B$6&gt;0),0,0.5*(IF((MIN('_Dates'!X393,Settings!$B$9))&lt;('_Dates'!W393),0,INT(((MIN('_Dates'!X393,Settings!$B$9))-('_Dates'!W393)+1)/7)*LEN(SUBSTITUTE(W393,"O",""))+LEN(SUBSTITUTE(MID(W393&amp;W393,WEEKDAY(('_Dates'!W393),2),MOD(((MIN('_Dates'!X393,Settings!$B$9))-('_Dates'!W393)+1),7)),"O",""))-COUNTIFS(INDEX(AllClosureRows,C393,0),"&gt;="&amp;('_Dates'!W393),INDEX(AllClosureRows,C393,0),"&lt;="&amp;(MIN('_Dates'!X393,Settings!$B$9))))+IF((MIN('_Dates'!Z393,Settings!$B$9))&lt;('_Dates'!Y393),0,INT(((MIN('_Dates'!Z393,Settings!$B$9))-('_Dates'!Y393)+1)/7)*LEN(SUBSTITUTE(W393,"O",""))+LEN(SUBSTITUTE(MID(W393&amp;W393,WEEKDAY(('_Dates'!Y393),2),MOD(((MIN('_Dates'!Z393,Settings!$B$9))-('_Dates'!Y393)+1),7)),"O",""))-COUNTIFS(INDEX(AllClosureRows,C393,0),"&gt;="&amp;('_Dates'!Y393),INDEX(AllClosureRows,C393,0),"&lt;="&amp;(MIN('_Dates'!Z393,Settings!$B$9))))))</ns0:f>
        <ns0:v>0</ns0:v>
      </ns0:c>
      <ns0:c r="I393" s="0">
        <ns0:f>MAX(0,G393-H393)</ns0:f>
        <ns0:v>0</ns0:v>
      </ns0:c>
      <ns0:c r="J393" s="0">
        <ns0:f>IF(OR(A393=0,F393&lt;&gt;"OK",Bookings!G393="Cancelled",$B$6&gt;0),0,IF('_Dates'!AC393=1,MAX(0,COUNTIFS(rngEngine_B,B393,rngAMStart,"&lt;="&amp;'_Dates'!X393,rngAMEnd,"&gt;="&amp;'_Dates'!W393,rngAMActive,1,rngEngine_F,"OK",rngBookings_F,"&lt;&gt;Cancelled")-1),0)+IF('_Dates'!AD393=1,MAX(0,COUNTIFS(rngEngine_B,B393,rngPMStart,"&lt;="&amp;'_Dates'!Z393,rngPMEnd,"&gt;="&amp;'_Dates'!Y393,rngPMActive,1,rngEngine_F,"OK",rngBookings_F,"&lt;&gt;Cancelled")-1),0))</ns0:f>
        <ns0:v>0</ns0:v>
      </ns0:c>
      <ns0:c r="K393" s="0" t="str">
        <ns0:f>IF(A393=0,"",IF(F393&lt;&gt;"OK",F393,IF(J393&gt;0,"CHECK overlapping entry",IF(AND($B$6=0,G393&lt;=0,Bookings!G393&lt;&gt;"Cancelled"),"CHECK no working days",IF(Bookings!G393="Cancelled","Cancelled","OK")))))</ns0:f>
        <ns0:v/>
      </ns0:c>
      <ns0:c r="L393" s="0">
        <ns0:f>IF(LEFT(K393,5)="CHECK",1,0)</ns0:f>
        <ns0:v>0</ns0:v>
      </ns0:c>
      <ns0:c r="M393" s="0">
        <ns0:f>IF(AND(L393=1,OR(C393=0,IFERROR(INDEX($X$11:$X$60,C393),0)=0)),1,0)</ns0:f>
        <ns0:v>0</ns0:v>
      </ns0:c>
      <ns0:c r="N393" s="0">
        <ns0:f>IF(OR(A393=0,L393&gt;0,$B$6&gt;0,Bookings!G393="Cancelled"),0,G393)</ns0:f>
        <ns0:v>0</ns0:v>
      </ns0:c>
      <ns0:c r="O393" s="0">
        <ns0:f>IF(AND(Bookings!G393="Approved",E393="Yes"),N393,0)</ns0:f>
        <ns0:v>0</ns0:v>
      </ns0:c>
      <ns0:c r="P393" s="0">
        <ns0:f>IF(AND(Bookings!G393="Approved",E393="Yes",L393=0,$B$6=0),H393,0)</ns0:f>
        <ns0:v>0</ns0:v>
      </ns0:c>
      <ns0:c r="Q393" s="0">
        <ns0:f>IF(AND(Bookings!G393="Approved",E393="Yes",L393=0,$B$6=0),I393,0)</ns0:f>
        <ns0:v>0</ns0:v>
      </ns0:c>
      <ns0:c r="R393" s="0">
        <ns0:f>IF(AND(Bookings!G393="Pending",E393="Yes"),N393,0)</ns0:f>
        <ns0:v>0</ns0:v>
      </ns0:c>
      <ns0:c r="S393" s="0">
        <ns0:f>IF(AND(Bookings!G393="Approved",E393="No"),N393,0)</ns0:f>
        <ns0:v>0</ns0:v>
      </ns0:c>
      <ns0:c r="T393" s="0">
        <ns0:f>IFERROR(MATCH(D393,Settings!$G$7:$G$11,0),0)</ns0:f>
        <ns0:v>0</ns0:v>
      </ns0:c>
      <ns0:c r="U393" s="0">
        <ns0:f>IF(N393&gt;0,T393+IF(Bookings!G393="Pending",10,0),0)</ns0:f>
        <ns0:v>0</ns0:v>
      </ns0:c>
      <ns0:c r="V393" s="0">
        <ns0:f>U393</ns0:f>
        <ns0:v>0</ns0:v>
      </ns0:c>
      <ns0:c r="W393" s="0" t="str">
        <ns0:f>IF(C393=0,"",INDEX($AP$11:$AP$60,C393))</ns0:f>
        <ns0:v/>
      </ns0:c>
    </ns0:row>
    <ns0:row r="394">
      <ns0:c r="A394" s="0">
        <ns0:f>IF(COUNTA(Bookings!A394:G394,Bookings!I394)=0,0,1)</ns0:f>
        <ns0:v>0</ns0:v>
      </ns0:c>
      <ns0:c r="B394" s="0" t="str">
        <ns0:f>IFERROR(TRIM(MID(Bookings!A394,FIND(" · ",Bookings!A394)+3,99)),"")</ns0:f>
        <ns0:v/>
      </ns0:c>
      <ns0:c r="C394" s="0">
        <ns0:f>IF(OR(B394="",LEN(B394)&gt;24,ISNUMBER(FIND(" ",B394)),ISNUMBER(FIND("*",B394)),ISNUMBER(FIND("?",B394)),ISNUMBER(FIND("~",B394))),0,IFERROR(MATCH(B394,Team!$A$11:$A$60,0),0))</ns0:f>
        <ns0:v>0</ns0:v>
      </ns0:c>
      <ns0:c r="D394" s="0" t="str">
        <ns0:f>IFERROR(IF(MID(Bookings!F394,LEN(Bookings!F394)-3,3)=" · ",RIGHT(Bookings!F394,1),""),"")</ns0:f>
        <ns0:v/>
      </ns0:c>
      <ns0:c r="E394" s="0" t="str">
        <ns0:f>IFERROR(INDEX(Settings!$H$7:$H$11,MATCH(D394,Settings!$G$7:$G$11,0)),"")</ns0:f>
        <ns0:v/>
      </ns0:c>
      <ns0:c r="F394" s="0" t="str">
        <ns0:f>IF(A394=0,"",IFERROR(IF(OR(B394="",C394=0),"CHECK employee selection",IF(INDEX(Team!$O$11:$O$60,C394)&lt;&gt;"OK","CHECK employee setup",IF(OR('_Dates'!J394=0,'_Dates'!T394=0),"CHECK date: use DD.MM.YYYY",IF('_Dates'!T394&lt;'_Dates'!J394,"CHECK end before start",IF(AND($B$6=0,OR('_Dates'!J394&lt;Settings!$B$7,'_Dates'!T394&gt;Settings!$B$8)),"CHECK split across leave years",IF(OR(NOT(OR('_Dates'!U394="Full day",'_Dates'!U394="AM",'_Dates'!U394="PM")),NOT(OR('_Dates'!V394="Full day",'_Dates'!V394="AM",'_Dates'!V394="PM"))),"CHECK Full day / AM / PM",IF(AND('_Dates'!J394='_Dates'!T394,'_Dates'!U394&lt;&gt;"Full day",'_Dates'!V394&lt;&gt;"Full day",'_Dates'!U394&lt;&gt;'_Dates'!V394),"CHECK same-day portions disagree",IF(AND($B$6=0,OR(AND('_Dates'!U394&lt;&gt;"Full day",'_Dates'!AA394=0),AND('_Dates'!V394&lt;&gt;"Full day",'_Dates'!AB394=0))),"CHECK half-day on non-working date",IF(COUNTIF(Settings!$G$7:$G$11,D394)&lt;&gt;1,"CHECK leave type",IF(AND(Bookings!G394&lt;&gt;"Approved",Bookings!G394&lt;&gt;"Pending",Bookings!G394&lt;&gt;"Cancelled"),"CHECK status","OK")))))))))),"CHECK input"))</ns0:f>
        <ns0:v/>
      </ns0:c>
      <ns0:c r="G394" s="0">
        <ns0:f>IF(OR(F394&lt;&gt;"OK",$B$6&gt;0),0,0.5*(IF(('_Dates'!X394)&lt;('_Dates'!W394),0,INT((('_Dates'!X394)-('_Dates'!W394)+1)/7)*LEN(SUBSTITUTE(W394,"O",""))+LEN(SUBSTITUTE(MID(W394&amp;W394,WEEKDAY(('_Dates'!W394),2),MOD((('_Dates'!X394)-('_Dates'!W394)+1),7)),"O",""))-COUNTIFS(INDEX(AllClosureRows,C394,0),"&gt;="&amp;('_Dates'!W394),INDEX(AllClosureRows,C394,0),"&lt;="&amp;('_Dates'!X394)))+IF(('_Dates'!Z394)&lt;('_Dates'!Y394),0,INT((('_Dates'!Z394)-('_Dates'!Y394)+1)/7)*LEN(SUBSTITUTE(W394,"O",""))+LEN(SUBSTITUTE(MID(W394&amp;W394,WEEKDAY(('_Dates'!Y394),2),MOD((('_Dates'!Z394)-('_Dates'!Y394)+1),7)),"O",""))-COUNTIFS(INDEX(AllClosureRows,C394,0),"&gt;="&amp;('_Dates'!Y394),INDEX(AllClosureRows,C394,0),"&lt;="&amp;('_Dates'!Z394)))))</ns0:f>
        <ns0:v>0</ns0:v>
      </ns0:c>
      <ns0:c r="H394" s="0">
        <ns0:f>IF(OR(F394&lt;&gt;"OK",$B$6&gt;0),0,0.5*(IF((MIN('_Dates'!X394,Settings!$B$9))&lt;('_Dates'!W394),0,INT(((MIN('_Dates'!X394,Settings!$B$9))-('_Dates'!W394)+1)/7)*LEN(SUBSTITUTE(W394,"O",""))+LEN(SUBSTITUTE(MID(W394&amp;W394,WEEKDAY(('_Dates'!W394),2),MOD(((MIN('_Dates'!X394,Settings!$B$9))-('_Dates'!W394)+1),7)),"O",""))-COUNTIFS(INDEX(AllClosureRows,C394,0),"&gt;="&amp;('_Dates'!W394),INDEX(AllClosureRows,C394,0),"&lt;="&amp;(MIN('_Dates'!X394,Settings!$B$9))))+IF((MIN('_Dates'!Z394,Settings!$B$9))&lt;('_Dates'!Y394),0,INT(((MIN('_Dates'!Z394,Settings!$B$9))-('_Dates'!Y394)+1)/7)*LEN(SUBSTITUTE(W394,"O",""))+LEN(SUBSTITUTE(MID(W394&amp;W394,WEEKDAY(('_Dates'!Y394),2),MOD(((MIN('_Dates'!Z394,Settings!$B$9))-('_Dates'!Y394)+1),7)),"O",""))-COUNTIFS(INDEX(AllClosureRows,C394,0),"&gt;="&amp;('_Dates'!Y394),INDEX(AllClosureRows,C394,0),"&lt;="&amp;(MIN('_Dates'!Z394,Settings!$B$9))))))</ns0:f>
        <ns0:v>0</ns0:v>
      </ns0:c>
      <ns0:c r="I394" s="0">
        <ns0:f>MAX(0,G394-H394)</ns0:f>
        <ns0:v>0</ns0:v>
      </ns0:c>
      <ns0:c r="J394" s="0">
        <ns0:f>IF(OR(A394=0,F394&lt;&gt;"OK",Bookings!G394="Cancelled",$B$6&gt;0),0,IF('_Dates'!AC394=1,MAX(0,COUNTIFS(rngEngine_B,B394,rngAMStart,"&lt;="&amp;'_Dates'!X394,rngAMEnd,"&gt;="&amp;'_Dates'!W394,rngAMActive,1,rngEngine_F,"OK",rngBookings_F,"&lt;&gt;Cancelled")-1),0)+IF('_Dates'!AD394=1,MAX(0,COUNTIFS(rngEngine_B,B394,rngPMStart,"&lt;="&amp;'_Dates'!Z394,rngPMEnd,"&gt;="&amp;'_Dates'!Y394,rngPMActive,1,rngEngine_F,"OK",rngBookings_F,"&lt;&gt;Cancelled")-1),0))</ns0:f>
        <ns0:v>0</ns0:v>
      </ns0:c>
      <ns0:c r="K394" s="0" t="str">
        <ns0:f>IF(A394=0,"",IF(F394&lt;&gt;"OK",F394,IF(J394&gt;0,"CHECK overlapping entry",IF(AND($B$6=0,G394&lt;=0,Bookings!G394&lt;&gt;"Cancelled"),"CHECK no working days",IF(Bookings!G394="Cancelled","Cancelled","OK")))))</ns0:f>
        <ns0:v/>
      </ns0:c>
      <ns0:c r="L394" s="0">
        <ns0:f>IF(LEFT(K394,5)="CHECK",1,0)</ns0:f>
        <ns0:v>0</ns0:v>
      </ns0:c>
      <ns0:c r="M394" s="0">
        <ns0:f>IF(AND(L394=1,OR(C394=0,IFERROR(INDEX($X$11:$X$60,C394),0)=0)),1,0)</ns0:f>
        <ns0:v>0</ns0:v>
      </ns0:c>
      <ns0:c r="N394" s="0">
        <ns0:f>IF(OR(A394=0,L394&gt;0,$B$6&gt;0,Bookings!G394="Cancelled"),0,G394)</ns0:f>
        <ns0:v>0</ns0:v>
      </ns0:c>
      <ns0:c r="O394" s="0">
        <ns0:f>IF(AND(Bookings!G394="Approved",E394="Yes"),N394,0)</ns0:f>
        <ns0:v>0</ns0:v>
      </ns0:c>
      <ns0:c r="P394" s="0">
        <ns0:f>IF(AND(Bookings!G394="Approved",E394="Yes",L394=0,$B$6=0),H394,0)</ns0:f>
        <ns0:v>0</ns0:v>
      </ns0:c>
      <ns0:c r="Q394" s="0">
        <ns0:f>IF(AND(Bookings!G394="Approved",E394="Yes",L394=0,$B$6=0),I394,0)</ns0:f>
        <ns0:v>0</ns0:v>
      </ns0:c>
      <ns0:c r="R394" s="0">
        <ns0:f>IF(AND(Bookings!G394="Pending",E394="Yes"),N394,0)</ns0:f>
        <ns0:v>0</ns0:v>
      </ns0:c>
      <ns0:c r="S394" s="0">
        <ns0:f>IF(AND(Bookings!G394="Approved",E394="No"),N394,0)</ns0:f>
        <ns0:v>0</ns0:v>
      </ns0:c>
      <ns0:c r="T394" s="0">
        <ns0:f>IFERROR(MATCH(D394,Settings!$G$7:$G$11,0),0)</ns0:f>
        <ns0:v>0</ns0:v>
      </ns0:c>
      <ns0:c r="U394" s="0">
        <ns0:f>IF(N394&gt;0,T394+IF(Bookings!G394="Pending",10,0),0)</ns0:f>
        <ns0:v>0</ns0:v>
      </ns0:c>
      <ns0:c r="V394" s="0">
        <ns0:f>U394</ns0:f>
        <ns0:v>0</ns0:v>
      </ns0:c>
      <ns0:c r="W394" s="0" t="str">
        <ns0:f>IF(C394=0,"",INDEX($AP$11:$AP$60,C394))</ns0:f>
        <ns0:v/>
      </ns0:c>
    </ns0:row>
    <ns0:row r="395">
      <ns0:c r="A395" s="0">
        <ns0:f>IF(COUNTA(Bookings!A395:G395,Bookings!I395)=0,0,1)</ns0:f>
        <ns0:v>0</ns0:v>
      </ns0:c>
      <ns0:c r="B395" s="0" t="str">
        <ns0:f>IFERROR(TRIM(MID(Bookings!A395,FIND(" · ",Bookings!A395)+3,99)),"")</ns0:f>
        <ns0:v/>
      </ns0:c>
      <ns0:c r="C395" s="0">
        <ns0:f>IF(OR(B395="",LEN(B395)&gt;24,ISNUMBER(FIND(" ",B395)),ISNUMBER(FIND("*",B395)),ISNUMBER(FIND("?",B395)),ISNUMBER(FIND("~",B395))),0,IFERROR(MATCH(B395,Team!$A$11:$A$60,0),0))</ns0:f>
        <ns0:v>0</ns0:v>
      </ns0:c>
      <ns0:c r="D395" s="0" t="str">
        <ns0:f>IFERROR(IF(MID(Bookings!F395,LEN(Bookings!F395)-3,3)=" · ",RIGHT(Bookings!F395,1),""),"")</ns0:f>
        <ns0:v/>
      </ns0:c>
      <ns0:c r="E395" s="0" t="str">
        <ns0:f>IFERROR(INDEX(Settings!$H$7:$H$11,MATCH(D395,Settings!$G$7:$G$11,0)),"")</ns0:f>
        <ns0:v/>
      </ns0:c>
      <ns0:c r="F395" s="0" t="str">
        <ns0:f>IF(A395=0,"",IFERROR(IF(OR(B395="",C395=0),"CHECK employee selection",IF(INDEX(Team!$O$11:$O$60,C395)&lt;&gt;"OK","CHECK employee setup",IF(OR('_Dates'!J395=0,'_Dates'!T395=0),"CHECK date: use DD.MM.YYYY",IF('_Dates'!T395&lt;'_Dates'!J395,"CHECK end before start",IF(AND($B$6=0,OR('_Dates'!J395&lt;Settings!$B$7,'_Dates'!T395&gt;Settings!$B$8)),"CHECK split across leave years",IF(OR(NOT(OR('_Dates'!U395="Full day",'_Dates'!U395="AM",'_Dates'!U395="PM")),NOT(OR('_Dates'!V395="Full day",'_Dates'!V395="AM",'_Dates'!V395="PM"))),"CHECK Full day / AM / PM",IF(AND('_Dates'!J395='_Dates'!T395,'_Dates'!U395&lt;&gt;"Full day",'_Dates'!V395&lt;&gt;"Full day",'_Dates'!U395&lt;&gt;'_Dates'!V395),"CHECK same-day portions disagree",IF(AND($B$6=0,OR(AND('_Dates'!U395&lt;&gt;"Full day",'_Dates'!AA395=0),AND('_Dates'!V395&lt;&gt;"Full day",'_Dates'!AB395=0))),"CHECK half-day on non-working date",IF(COUNTIF(Settings!$G$7:$G$11,D395)&lt;&gt;1,"CHECK leave type",IF(AND(Bookings!G395&lt;&gt;"Approved",Bookings!G395&lt;&gt;"Pending",Bookings!G395&lt;&gt;"Cancelled"),"CHECK status","OK")))))))))),"CHECK input"))</ns0:f>
        <ns0:v/>
      </ns0:c>
      <ns0:c r="G395" s="0">
        <ns0:f>IF(OR(F395&lt;&gt;"OK",$B$6&gt;0),0,0.5*(IF(('_Dates'!X395)&lt;('_Dates'!W395),0,INT((('_Dates'!X395)-('_Dates'!W395)+1)/7)*LEN(SUBSTITUTE(W395,"O",""))+LEN(SUBSTITUTE(MID(W395&amp;W395,WEEKDAY(('_Dates'!W395),2),MOD((('_Dates'!X395)-('_Dates'!W395)+1),7)),"O",""))-COUNTIFS(INDEX(AllClosureRows,C395,0),"&gt;="&amp;('_Dates'!W395),INDEX(AllClosureRows,C395,0),"&lt;="&amp;('_Dates'!X395)))+IF(('_Dates'!Z395)&lt;('_Dates'!Y395),0,INT((('_Dates'!Z395)-('_Dates'!Y395)+1)/7)*LEN(SUBSTITUTE(W395,"O",""))+LEN(SUBSTITUTE(MID(W395&amp;W395,WEEKDAY(('_Dates'!Y395),2),MOD((('_Dates'!Z395)-('_Dates'!Y395)+1),7)),"O",""))-COUNTIFS(INDEX(AllClosureRows,C395,0),"&gt;="&amp;('_Dates'!Y395),INDEX(AllClosureRows,C395,0),"&lt;="&amp;('_Dates'!Z395)))))</ns0:f>
        <ns0:v>0</ns0:v>
      </ns0:c>
      <ns0:c r="H395" s="0">
        <ns0:f>IF(OR(F395&lt;&gt;"OK",$B$6&gt;0),0,0.5*(IF((MIN('_Dates'!X395,Settings!$B$9))&lt;('_Dates'!W395),0,INT(((MIN('_Dates'!X395,Settings!$B$9))-('_Dates'!W395)+1)/7)*LEN(SUBSTITUTE(W395,"O",""))+LEN(SUBSTITUTE(MID(W395&amp;W395,WEEKDAY(('_Dates'!W395),2),MOD(((MIN('_Dates'!X395,Settings!$B$9))-('_Dates'!W395)+1),7)),"O",""))-COUNTIFS(INDEX(AllClosureRows,C395,0),"&gt;="&amp;('_Dates'!W395),INDEX(AllClosureRows,C395,0),"&lt;="&amp;(MIN('_Dates'!X395,Settings!$B$9))))+IF((MIN('_Dates'!Z395,Settings!$B$9))&lt;('_Dates'!Y395),0,INT(((MIN('_Dates'!Z395,Settings!$B$9))-('_Dates'!Y395)+1)/7)*LEN(SUBSTITUTE(W395,"O",""))+LEN(SUBSTITUTE(MID(W395&amp;W395,WEEKDAY(('_Dates'!Y395),2),MOD(((MIN('_Dates'!Z395,Settings!$B$9))-('_Dates'!Y395)+1),7)),"O",""))-COUNTIFS(INDEX(AllClosureRows,C395,0),"&gt;="&amp;('_Dates'!Y395),INDEX(AllClosureRows,C395,0),"&lt;="&amp;(MIN('_Dates'!Z395,Settings!$B$9))))))</ns0:f>
        <ns0:v>0</ns0:v>
      </ns0:c>
      <ns0:c r="I395" s="0">
        <ns0:f>MAX(0,G395-H395)</ns0:f>
        <ns0:v>0</ns0:v>
      </ns0:c>
      <ns0:c r="J395" s="0">
        <ns0:f>IF(OR(A395=0,F395&lt;&gt;"OK",Bookings!G395="Cancelled",$B$6&gt;0),0,IF('_Dates'!AC395=1,MAX(0,COUNTIFS(rngEngine_B,B395,rngAMStart,"&lt;="&amp;'_Dates'!X395,rngAMEnd,"&gt;="&amp;'_Dates'!W395,rngAMActive,1,rngEngine_F,"OK",rngBookings_F,"&lt;&gt;Cancelled")-1),0)+IF('_Dates'!AD395=1,MAX(0,COUNTIFS(rngEngine_B,B395,rngPMStart,"&lt;="&amp;'_Dates'!Z395,rngPMEnd,"&gt;="&amp;'_Dates'!Y395,rngPMActive,1,rngEngine_F,"OK",rngBookings_F,"&lt;&gt;Cancelled")-1),0))</ns0:f>
        <ns0:v>0</ns0:v>
      </ns0:c>
      <ns0:c r="K395" s="0" t="str">
        <ns0:f>IF(A395=0,"",IF(F395&lt;&gt;"OK",F395,IF(J395&gt;0,"CHECK overlapping entry",IF(AND($B$6=0,G395&lt;=0,Bookings!G395&lt;&gt;"Cancelled"),"CHECK no working days",IF(Bookings!G395="Cancelled","Cancelled","OK")))))</ns0:f>
        <ns0:v/>
      </ns0:c>
      <ns0:c r="L395" s="0">
        <ns0:f>IF(LEFT(K395,5)="CHECK",1,0)</ns0:f>
        <ns0:v>0</ns0:v>
      </ns0:c>
      <ns0:c r="M395" s="0">
        <ns0:f>IF(AND(L395=1,OR(C395=0,IFERROR(INDEX($X$11:$X$60,C395),0)=0)),1,0)</ns0:f>
        <ns0:v>0</ns0:v>
      </ns0:c>
      <ns0:c r="N395" s="0">
        <ns0:f>IF(OR(A395=0,L395&gt;0,$B$6&gt;0,Bookings!G395="Cancelled"),0,G395)</ns0:f>
        <ns0:v>0</ns0:v>
      </ns0:c>
      <ns0:c r="O395" s="0">
        <ns0:f>IF(AND(Bookings!G395="Approved",E395="Yes"),N395,0)</ns0:f>
        <ns0:v>0</ns0:v>
      </ns0:c>
      <ns0:c r="P395" s="0">
        <ns0:f>IF(AND(Bookings!G395="Approved",E395="Yes",L395=0,$B$6=0),H395,0)</ns0:f>
        <ns0:v>0</ns0:v>
      </ns0:c>
      <ns0:c r="Q395" s="0">
        <ns0:f>IF(AND(Bookings!G395="Approved",E395="Yes",L395=0,$B$6=0),I395,0)</ns0:f>
        <ns0:v>0</ns0:v>
      </ns0:c>
      <ns0:c r="R395" s="0">
        <ns0:f>IF(AND(Bookings!G395="Pending",E395="Yes"),N395,0)</ns0:f>
        <ns0:v>0</ns0:v>
      </ns0:c>
      <ns0:c r="S395" s="0">
        <ns0:f>IF(AND(Bookings!G395="Approved",E395="No"),N395,0)</ns0:f>
        <ns0:v>0</ns0:v>
      </ns0:c>
      <ns0:c r="T395" s="0">
        <ns0:f>IFERROR(MATCH(D395,Settings!$G$7:$G$11,0),0)</ns0:f>
        <ns0:v>0</ns0:v>
      </ns0:c>
      <ns0:c r="U395" s="0">
        <ns0:f>IF(N395&gt;0,T395+IF(Bookings!G395="Pending",10,0),0)</ns0:f>
        <ns0:v>0</ns0:v>
      </ns0:c>
      <ns0:c r="V395" s="0">
        <ns0:f>U395</ns0:f>
        <ns0:v>0</ns0:v>
      </ns0:c>
      <ns0:c r="W395" s="0" t="str">
        <ns0:f>IF(C395=0,"",INDEX($AP$11:$AP$60,C395))</ns0:f>
        <ns0:v/>
      </ns0:c>
    </ns0:row>
    <ns0:row r="396">
      <ns0:c r="A396" s="0">
        <ns0:f>IF(COUNTA(Bookings!A396:G396,Bookings!I396)=0,0,1)</ns0:f>
        <ns0:v>0</ns0:v>
      </ns0:c>
      <ns0:c r="B396" s="0" t="str">
        <ns0:f>IFERROR(TRIM(MID(Bookings!A396,FIND(" · ",Bookings!A396)+3,99)),"")</ns0:f>
        <ns0:v/>
      </ns0:c>
      <ns0:c r="C396" s="0">
        <ns0:f>IF(OR(B396="",LEN(B396)&gt;24,ISNUMBER(FIND(" ",B396)),ISNUMBER(FIND("*",B396)),ISNUMBER(FIND("?",B396)),ISNUMBER(FIND("~",B396))),0,IFERROR(MATCH(B396,Team!$A$11:$A$60,0),0))</ns0:f>
        <ns0:v>0</ns0:v>
      </ns0:c>
      <ns0:c r="D396" s="0" t="str">
        <ns0:f>IFERROR(IF(MID(Bookings!F396,LEN(Bookings!F396)-3,3)=" · ",RIGHT(Bookings!F396,1),""),"")</ns0:f>
        <ns0:v/>
      </ns0:c>
      <ns0:c r="E396" s="0" t="str">
        <ns0:f>IFERROR(INDEX(Settings!$H$7:$H$11,MATCH(D396,Settings!$G$7:$G$11,0)),"")</ns0:f>
        <ns0:v/>
      </ns0:c>
      <ns0:c r="F396" s="0" t="str">
        <ns0:f>IF(A396=0,"",IFERROR(IF(OR(B396="",C396=0),"CHECK employee selection",IF(INDEX(Team!$O$11:$O$60,C396)&lt;&gt;"OK","CHECK employee setup",IF(OR('_Dates'!J396=0,'_Dates'!T396=0),"CHECK date: use DD.MM.YYYY",IF('_Dates'!T396&lt;'_Dates'!J396,"CHECK end before start",IF(AND($B$6=0,OR('_Dates'!J396&lt;Settings!$B$7,'_Dates'!T396&gt;Settings!$B$8)),"CHECK split across leave years",IF(OR(NOT(OR('_Dates'!U396="Full day",'_Dates'!U396="AM",'_Dates'!U396="PM")),NOT(OR('_Dates'!V396="Full day",'_Dates'!V396="AM",'_Dates'!V396="PM"))),"CHECK Full day / AM / PM",IF(AND('_Dates'!J396='_Dates'!T396,'_Dates'!U396&lt;&gt;"Full day",'_Dates'!V396&lt;&gt;"Full day",'_Dates'!U396&lt;&gt;'_Dates'!V396),"CHECK same-day portions disagree",IF(AND($B$6=0,OR(AND('_Dates'!U396&lt;&gt;"Full day",'_Dates'!AA396=0),AND('_Dates'!V396&lt;&gt;"Full day",'_Dates'!AB396=0))),"CHECK half-day on non-working date",IF(COUNTIF(Settings!$G$7:$G$11,D396)&lt;&gt;1,"CHECK leave type",IF(AND(Bookings!G396&lt;&gt;"Approved",Bookings!G396&lt;&gt;"Pending",Bookings!G396&lt;&gt;"Cancelled"),"CHECK status","OK")))))))))),"CHECK input"))</ns0:f>
        <ns0:v/>
      </ns0:c>
      <ns0:c r="G396" s="0">
        <ns0:f>IF(OR(F396&lt;&gt;"OK",$B$6&gt;0),0,0.5*(IF(('_Dates'!X396)&lt;('_Dates'!W396),0,INT((('_Dates'!X396)-('_Dates'!W396)+1)/7)*LEN(SUBSTITUTE(W396,"O",""))+LEN(SUBSTITUTE(MID(W396&amp;W396,WEEKDAY(('_Dates'!W396),2),MOD((('_Dates'!X396)-('_Dates'!W396)+1),7)),"O",""))-COUNTIFS(INDEX(AllClosureRows,C396,0),"&gt;="&amp;('_Dates'!W396),INDEX(AllClosureRows,C396,0),"&lt;="&amp;('_Dates'!X396)))+IF(('_Dates'!Z396)&lt;('_Dates'!Y396),0,INT((('_Dates'!Z396)-('_Dates'!Y396)+1)/7)*LEN(SUBSTITUTE(W396,"O",""))+LEN(SUBSTITUTE(MID(W396&amp;W396,WEEKDAY(('_Dates'!Y396),2),MOD((('_Dates'!Z396)-('_Dates'!Y396)+1),7)),"O",""))-COUNTIFS(INDEX(AllClosureRows,C396,0),"&gt;="&amp;('_Dates'!Y396),INDEX(AllClosureRows,C396,0),"&lt;="&amp;('_Dates'!Z396)))))</ns0:f>
        <ns0:v>0</ns0:v>
      </ns0:c>
      <ns0:c r="H396" s="0">
        <ns0:f>IF(OR(F396&lt;&gt;"OK",$B$6&gt;0),0,0.5*(IF((MIN('_Dates'!X396,Settings!$B$9))&lt;('_Dates'!W396),0,INT(((MIN('_Dates'!X396,Settings!$B$9))-('_Dates'!W396)+1)/7)*LEN(SUBSTITUTE(W396,"O",""))+LEN(SUBSTITUTE(MID(W396&amp;W396,WEEKDAY(('_Dates'!W396),2),MOD(((MIN('_Dates'!X396,Settings!$B$9))-('_Dates'!W396)+1),7)),"O",""))-COUNTIFS(INDEX(AllClosureRows,C396,0),"&gt;="&amp;('_Dates'!W396),INDEX(AllClosureRows,C396,0),"&lt;="&amp;(MIN('_Dates'!X396,Settings!$B$9))))+IF((MIN('_Dates'!Z396,Settings!$B$9))&lt;('_Dates'!Y396),0,INT(((MIN('_Dates'!Z396,Settings!$B$9))-('_Dates'!Y396)+1)/7)*LEN(SUBSTITUTE(W396,"O",""))+LEN(SUBSTITUTE(MID(W396&amp;W396,WEEKDAY(('_Dates'!Y396),2),MOD(((MIN('_Dates'!Z396,Settings!$B$9))-('_Dates'!Y396)+1),7)),"O",""))-COUNTIFS(INDEX(AllClosureRows,C396,0),"&gt;="&amp;('_Dates'!Y396),INDEX(AllClosureRows,C396,0),"&lt;="&amp;(MIN('_Dates'!Z396,Settings!$B$9))))))</ns0:f>
        <ns0:v>0</ns0:v>
      </ns0:c>
      <ns0:c r="I396" s="0">
        <ns0:f>MAX(0,G396-H396)</ns0:f>
        <ns0:v>0</ns0:v>
      </ns0:c>
      <ns0:c r="J396" s="0">
        <ns0:f>IF(OR(A396=0,F396&lt;&gt;"OK",Bookings!G396="Cancelled",$B$6&gt;0),0,IF('_Dates'!AC396=1,MAX(0,COUNTIFS(rngEngine_B,B396,rngAMStart,"&lt;="&amp;'_Dates'!X396,rngAMEnd,"&gt;="&amp;'_Dates'!W396,rngAMActive,1,rngEngine_F,"OK",rngBookings_F,"&lt;&gt;Cancelled")-1),0)+IF('_Dates'!AD396=1,MAX(0,COUNTIFS(rngEngine_B,B396,rngPMStart,"&lt;="&amp;'_Dates'!Z396,rngPMEnd,"&gt;="&amp;'_Dates'!Y396,rngPMActive,1,rngEngine_F,"OK",rngBookings_F,"&lt;&gt;Cancelled")-1),0))</ns0:f>
        <ns0:v>0</ns0:v>
      </ns0:c>
      <ns0:c r="K396" s="0" t="str">
        <ns0:f>IF(A396=0,"",IF(F396&lt;&gt;"OK",F396,IF(J396&gt;0,"CHECK overlapping entry",IF(AND($B$6=0,G396&lt;=0,Bookings!G396&lt;&gt;"Cancelled"),"CHECK no working days",IF(Bookings!G396="Cancelled","Cancelled","OK")))))</ns0:f>
        <ns0:v/>
      </ns0:c>
      <ns0:c r="L396" s="0">
        <ns0:f>IF(LEFT(K396,5)="CHECK",1,0)</ns0:f>
        <ns0:v>0</ns0:v>
      </ns0:c>
      <ns0:c r="M396" s="0">
        <ns0:f>IF(AND(L396=1,OR(C396=0,IFERROR(INDEX($X$11:$X$60,C396),0)=0)),1,0)</ns0:f>
        <ns0:v>0</ns0:v>
      </ns0:c>
      <ns0:c r="N396" s="0">
        <ns0:f>IF(OR(A396=0,L396&gt;0,$B$6&gt;0,Bookings!G396="Cancelled"),0,G396)</ns0:f>
        <ns0:v>0</ns0:v>
      </ns0:c>
      <ns0:c r="O396" s="0">
        <ns0:f>IF(AND(Bookings!G396="Approved",E396="Yes"),N396,0)</ns0:f>
        <ns0:v>0</ns0:v>
      </ns0:c>
      <ns0:c r="P396" s="0">
        <ns0:f>IF(AND(Bookings!G396="Approved",E396="Yes",L396=0,$B$6=0),H396,0)</ns0:f>
        <ns0:v>0</ns0:v>
      </ns0:c>
      <ns0:c r="Q396" s="0">
        <ns0:f>IF(AND(Bookings!G396="Approved",E396="Yes",L396=0,$B$6=0),I396,0)</ns0:f>
        <ns0:v>0</ns0:v>
      </ns0:c>
      <ns0:c r="R396" s="0">
        <ns0:f>IF(AND(Bookings!G396="Pending",E396="Yes"),N396,0)</ns0:f>
        <ns0:v>0</ns0:v>
      </ns0:c>
      <ns0:c r="S396" s="0">
        <ns0:f>IF(AND(Bookings!G396="Approved",E396="No"),N396,0)</ns0:f>
        <ns0:v>0</ns0:v>
      </ns0:c>
      <ns0:c r="T396" s="0">
        <ns0:f>IFERROR(MATCH(D396,Settings!$G$7:$G$11,0),0)</ns0:f>
        <ns0:v>0</ns0:v>
      </ns0:c>
      <ns0:c r="U396" s="0">
        <ns0:f>IF(N396&gt;0,T396+IF(Bookings!G396="Pending",10,0),0)</ns0:f>
        <ns0:v>0</ns0:v>
      </ns0:c>
      <ns0:c r="V396" s="0">
        <ns0:f>U396</ns0:f>
        <ns0:v>0</ns0:v>
      </ns0:c>
      <ns0:c r="W396" s="0" t="str">
        <ns0:f>IF(C396=0,"",INDEX($AP$11:$AP$60,C396))</ns0:f>
        <ns0:v/>
      </ns0:c>
    </ns0:row>
    <ns0:row r="397">
      <ns0:c r="A397" s="0">
        <ns0:f>IF(COUNTA(Bookings!A397:G397,Bookings!I397)=0,0,1)</ns0:f>
        <ns0:v>0</ns0:v>
      </ns0:c>
      <ns0:c r="B397" s="0" t="str">
        <ns0:f>IFERROR(TRIM(MID(Bookings!A397,FIND(" · ",Bookings!A397)+3,99)),"")</ns0:f>
        <ns0:v/>
      </ns0:c>
      <ns0:c r="C397" s="0">
        <ns0:f>IF(OR(B397="",LEN(B397)&gt;24,ISNUMBER(FIND(" ",B397)),ISNUMBER(FIND("*",B397)),ISNUMBER(FIND("?",B397)),ISNUMBER(FIND("~",B397))),0,IFERROR(MATCH(B397,Team!$A$11:$A$60,0),0))</ns0:f>
        <ns0:v>0</ns0:v>
      </ns0:c>
      <ns0:c r="D397" s="0" t="str">
        <ns0:f>IFERROR(IF(MID(Bookings!F397,LEN(Bookings!F397)-3,3)=" · ",RIGHT(Bookings!F397,1),""),"")</ns0:f>
        <ns0:v/>
      </ns0:c>
      <ns0:c r="E397" s="0" t="str">
        <ns0:f>IFERROR(INDEX(Settings!$H$7:$H$11,MATCH(D397,Settings!$G$7:$G$11,0)),"")</ns0:f>
        <ns0:v/>
      </ns0:c>
      <ns0:c r="F397" s="0" t="str">
        <ns0:f>IF(A397=0,"",IFERROR(IF(OR(B397="",C397=0),"CHECK employee selection",IF(INDEX(Team!$O$11:$O$60,C397)&lt;&gt;"OK","CHECK employee setup",IF(OR('_Dates'!J397=0,'_Dates'!T397=0),"CHECK date: use DD.MM.YYYY",IF('_Dates'!T397&lt;'_Dates'!J397,"CHECK end before start",IF(AND($B$6=0,OR('_Dates'!J397&lt;Settings!$B$7,'_Dates'!T397&gt;Settings!$B$8)),"CHECK split across leave years",IF(OR(NOT(OR('_Dates'!U397="Full day",'_Dates'!U397="AM",'_Dates'!U397="PM")),NOT(OR('_Dates'!V397="Full day",'_Dates'!V397="AM",'_Dates'!V397="PM"))),"CHECK Full day / AM / PM",IF(AND('_Dates'!J397='_Dates'!T397,'_Dates'!U397&lt;&gt;"Full day",'_Dates'!V397&lt;&gt;"Full day",'_Dates'!U397&lt;&gt;'_Dates'!V397),"CHECK same-day portions disagree",IF(AND($B$6=0,OR(AND('_Dates'!U397&lt;&gt;"Full day",'_Dates'!AA397=0),AND('_Dates'!V397&lt;&gt;"Full day",'_Dates'!AB397=0))),"CHECK half-day on non-working date",IF(COUNTIF(Settings!$G$7:$G$11,D397)&lt;&gt;1,"CHECK leave type",IF(AND(Bookings!G397&lt;&gt;"Approved",Bookings!G397&lt;&gt;"Pending",Bookings!G397&lt;&gt;"Cancelled"),"CHECK status","OK")))))))))),"CHECK input"))</ns0:f>
        <ns0:v/>
      </ns0:c>
      <ns0:c r="G397" s="0">
        <ns0:f>IF(OR(F397&lt;&gt;"OK",$B$6&gt;0),0,0.5*(IF(('_Dates'!X397)&lt;('_Dates'!W397),0,INT((('_Dates'!X397)-('_Dates'!W397)+1)/7)*LEN(SUBSTITUTE(W397,"O",""))+LEN(SUBSTITUTE(MID(W397&amp;W397,WEEKDAY(('_Dates'!W397),2),MOD((('_Dates'!X397)-('_Dates'!W397)+1),7)),"O",""))-COUNTIFS(INDEX(AllClosureRows,C397,0),"&gt;="&amp;('_Dates'!W397),INDEX(AllClosureRows,C397,0),"&lt;="&amp;('_Dates'!X397)))+IF(('_Dates'!Z397)&lt;('_Dates'!Y397),0,INT((('_Dates'!Z397)-('_Dates'!Y397)+1)/7)*LEN(SUBSTITUTE(W397,"O",""))+LEN(SUBSTITUTE(MID(W397&amp;W397,WEEKDAY(('_Dates'!Y397),2),MOD((('_Dates'!Z397)-('_Dates'!Y397)+1),7)),"O",""))-COUNTIFS(INDEX(AllClosureRows,C397,0),"&gt;="&amp;('_Dates'!Y397),INDEX(AllClosureRows,C397,0),"&lt;="&amp;('_Dates'!Z397)))))</ns0:f>
        <ns0:v>0</ns0:v>
      </ns0:c>
      <ns0:c r="H397" s="0">
        <ns0:f>IF(OR(F397&lt;&gt;"OK",$B$6&gt;0),0,0.5*(IF((MIN('_Dates'!X397,Settings!$B$9))&lt;('_Dates'!W397),0,INT(((MIN('_Dates'!X397,Settings!$B$9))-('_Dates'!W397)+1)/7)*LEN(SUBSTITUTE(W397,"O",""))+LEN(SUBSTITUTE(MID(W397&amp;W397,WEEKDAY(('_Dates'!W397),2),MOD(((MIN('_Dates'!X397,Settings!$B$9))-('_Dates'!W397)+1),7)),"O",""))-COUNTIFS(INDEX(AllClosureRows,C397,0),"&gt;="&amp;('_Dates'!W397),INDEX(AllClosureRows,C397,0),"&lt;="&amp;(MIN('_Dates'!X397,Settings!$B$9))))+IF((MIN('_Dates'!Z397,Settings!$B$9))&lt;('_Dates'!Y397),0,INT(((MIN('_Dates'!Z397,Settings!$B$9))-('_Dates'!Y397)+1)/7)*LEN(SUBSTITUTE(W397,"O",""))+LEN(SUBSTITUTE(MID(W397&amp;W397,WEEKDAY(('_Dates'!Y397),2),MOD(((MIN('_Dates'!Z397,Settings!$B$9))-('_Dates'!Y397)+1),7)),"O",""))-COUNTIFS(INDEX(AllClosureRows,C397,0),"&gt;="&amp;('_Dates'!Y397),INDEX(AllClosureRows,C397,0),"&lt;="&amp;(MIN('_Dates'!Z397,Settings!$B$9))))))</ns0:f>
        <ns0:v>0</ns0:v>
      </ns0:c>
      <ns0:c r="I397" s="0">
        <ns0:f>MAX(0,G397-H397)</ns0:f>
        <ns0:v>0</ns0:v>
      </ns0:c>
      <ns0:c r="J397" s="0">
        <ns0:f>IF(OR(A397=0,F397&lt;&gt;"OK",Bookings!G397="Cancelled",$B$6&gt;0),0,IF('_Dates'!AC397=1,MAX(0,COUNTIFS(rngEngine_B,B397,rngAMStart,"&lt;="&amp;'_Dates'!X397,rngAMEnd,"&gt;="&amp;'_Dates'!W397,rngAMActive,1,rngEngine_F,"OK",rngBookings_F,"&lt;&gt;Cancelled")-1),0)+IF('_Dates'!AD397=1,MAX(0,COUNTIFS(rngEngine_B,B397,rngPMStart,"&lt;="&amp;'_Dates'!Z397,rngPMEnd,"&gt;="&amp;'_Dates'!Y397,rngPMActive,1,rngEngine_F,"OK",rngBookings_F,"&lt;&gt;Cancelled")-1),0))</ns0:f>
        <ns0:v>0</ns0:v>
      </ns0:c>
      <ns0:c r="K397" s="0" t="str">
        <ns0:f>IF(A397=0,"",IF(F397&lt;&gt;"OK",F397,IF(J397&gt;0,"CHECK overlapping entry",IF(AND($B$6=0,G397&lt;=0,Bookings!G397&lt;&gt;"Cancelled"),"CHECK no working days",IF(Bookings!G397="Cancelled","Cancelled","OK")))))</ns0:f>
        <ns0:v/>
      </ns0:c>
      <ns0:c r="L397" s="0">
        <ns0:f>IF(LEFT(K397,5)="CHECK",1,0)</ns0:f>
        <ns0:v>0</ns0:v>
      </ns0:c>
      <ns0:c r="M397" s="0">
        <ns0:f>IF(AND(L397=1,OR(C397=0,IFERROR(INDEX($X$11:$X$60,C397),0)=0)),1,0)</ns0:f>
        <ns0:v>0</ns0:v>
      </ns0:c>
      <ns0:c r="N397" s="0">
        <ns0:f>IF(OR(A397=0,L397&gt;0,$B$6&gt;0,Bookings!G397="Cancelled"),0,G397)</ns0:f>
        <ns0:v>0</ns0:v>
      </ns0:c>
      <ns0:c r="O397" s="0">
        <ns0:f>IF(AND(Bookings!G397="Approved",E397="Yes"),N397,0)</ns0:f>
        <ns0:v>0</ns0:v>
      </ns0:c>
      <ns0:c r="P397" s="0">
        <ns0:f>IF(AND(Bookings!G397="Approved",E397="Yes",L397=0,$B$6=0),H397,0)</ns0:f>
        <ns0:v>0</ns0:v>
      </ns0:c>
      <ns0:c r="Q397" s="0">
        <ns0:f>IF(AND(Bookings!G397="Approved",E397="Yes",L397=0,$B$6=0),I397,0)</ns0:f>
        <ns0:v>0</ns0:v>
      </ns0:c>
      <ns0:c r="R397" s="0">
        <ns0:f>IF(AND(Bookings!G397="Pending",E397="Yes"),N397,0)</ns0:f>
        <ns0:v>0</ns0:v>
      </ns0:c>
      <ns0:c r="S397" s="0">
        <ns0:f>IF(AND(Bookings!G397="Approved",E397="No"),N397,0)</ns0:f>
        <ns0:v>0</ns0:v>
      </ns0:c>
      <ns0:c r="T397" s="0">
        <ns0:f>IFERROR(MATCH(D397,Settings!$G$7:$G$11,0),0)</ns0:f>
        <ns0:v>0</ns0:v>
      </ns0:c>
      <ns0:c r="U397" s="0">
        <ns0:f>IF(N397&gt;0,T397+IF(Bookings!G397="Pending",10,0),0)</ns0:f>
        <ns0:v>0</ns0:v>
      </ns0:c>
      <ns0:c r="V397" s="0">
        <ns0:f>U397</ns0:f>
        <ns0:v>0</ns0:v>
      </ns0:c>
      <ns0:c r="W397" s="0" t="str">
        <ns0:f>IF(C397=0,"",INDEX($AP$11:$AP$60,C397))</ns0:f>
        <ns0:v/>
      </ns0:c>
    </ns0:row>
    <ns0:row r="398">
      <ns0:c r="A398" s="0">
        <ns0:f>IF(COUNTA(Bookings!A398:G398,Bookings!I398)=0,0,1)</ns0:f>
        <ns0:v>0</ns0:v>
      </ns0:c>
      <ns0:c r="B398" s="0" t="str">
        <ns0:f>IFERROR(TRIM(MID(Bookings!A398,FIND(" · ",Bookings!A398)+3,99)),"")</ns0:f>
        <ns0:v/>
      </ns0:c>
      <ns0:c r="C398" s="0">
        <ns0:f>IF(OR(B398="",LEN(B398)&gt;24,ISNUMBER(FIND(" ",B398)),ISNUMBER(FIND("*",B398)),ISNUMBER(FIND("?",B398)),ISNUMBER(FIND("~",B398))),0,IFERROR(MATCH(B398,Team!$A$11:$A$60,0),0))</ns0:f>
        <ns0:v>0</ns0:v>
      </ns0:c>
      <ns0:c r="D398" s="0" t="str">
        <ns0:f>IFERROR(IF(MID(Bookings!F398,LEN(Bookings!F398)-3,3)=" · ",RIGHT(Bookings!F398,1),""),"")</ns0:f>
        <ns0:v/>
      </ns0:c>
      <ns0:c r="E398" s="0" t="str">
        <ns0:f>IFERROR(INDEX(Settings!$H$7:$H$11,MATCH(D398,Settings!$G$7:$G$11,0)),"")</ns0:f>
        <ns0:v/>
      </ns0:c>
      <ns0:c r="F398" s="0" t="str">
        <ns0:f>IF(A398=0,"",IFERROR(IF(OR(B398="",C398=0),"CHECK employee selection",IF(INDEX(Team!$O$11:$O$60,C398)&lt;&gt;"OK","CHECK employee setup",IF(OR('_Dates'!J398=0,'_Dates'!T398=0),"CHECK date: use DD.MM.YYYY",IF('_Dates'!T398&lt;'_Dates'!J398,"CHECK end before start",IF(AND($B$6=0,OR('_Dates'!J398&lt;Settings!$B$7,'_Dates'!T398&gt;Settings!$B$8)),"CHECK split across leave years",IF(OR(NOT(OR('_Dates'!U398="Full day",'_Dates'!U398="AM",'_Dates'!U398="PM")),NOT(OR('_Dates'!V398="Full day",'_Dates'!V398="AM",'_Dates'!V398="PM"))),"CHECK Full day / AM / PM",IF(AND('_Dates'!J398='_Dates'!T398,'_Dates'!U398&lt;&gt;"Full day",'_Dates'!V398&lt;&gt;"Full day",'_Dates'!U398&lt;&gt;'_Dates'!V398),"CHECK same-day portions disagree",IF(AND($B$6=0,OR(AND('_Dates'!U398&lt;&gt;"Full day",'_Dates'!AA398=0),AND('_Dates'!V398&lt;&gt;"Full day",'_Dates'!AB398=0))),"CHECK half-day on non-working date",IF(COUNTIF(Settings!$G$7:$G$11,D398)&lt;&gt;1,"CHECK leave type",IF(AND(Bookings!G398&lt;&gt;"Approved",Bookings!G398&lt;&gt;"Pending",Bookings!G398&lt;&gt;"Cancelled"),"CHECK status","OK")))))))))),"CHECK input"))</ns0:f>
        <ns0:v/>
      </ns0:c>
      <ns0:c r="G398" s="0">
        <ns0:f>IF(OR(F398&lt;&gt;"OK",$B$6&gt;0),0,0.5*(IF(('_Dates'!X398)&lt;('_Dates'!W398),0,INT((('_Dates'!X398)-('_Dates'!W398)+1)/7)*LEN(SUBSTITUTE(W398,"O",""))+LEN(SUBSTITUTE(MID(W398&amp;W398,WEEKDAY(('_Dates'!W398),2),MOD((('_Dates'!X398)-('_Dates'!W398)+1),7)),"O",""))-COUNTIFS(INDEX(AllClosureRows,C398,0),"&gt;="&amp;('_Dates'!W398),INDEX(AllClosureRows,C398,0),"&lt;="&amp;('_Dates'!X398)))+IF(('_Dates'!Z398)&lt;('_Dates'!Y398),0,INT((('_Dates'!Z398)-('_Dates'!Y398)+1)/7)*LEN(SUBSTITUTE(W398,"O",""))+LEN(SUBSTITUTE(MID(W398&amp;W398,WEEKDAY(('_Dates'!Y398),2),MOD((('_Dates'!Z398)-('_Dates'!Y398)+1),7)),"O",""))-COUNTIFS(INDEX(AllClosureRows,C398,0),"&gt;="&amp;('_Dates'!Y398),INDEX(AllClosureRows,C398,0),"&lt;="&amp;('_Dates'!Z398)))))</ns0:f>
        <ns0:v>0</ns0:v>
      </ns0:c>
      <ns0:c r="H398" s="0">
        <ns0:f>IF(OR(F398&lt;&gt;"OK",$B$6&gt;0),0,0.5*(IF((MIN('_Dates'!X398,Settings!$B$9))&lt;('_Dates'!W398),0,INT(((MIN('_Dates'!X398,Settings!$B$9))-('_Dates'!W398)+1)/7)*LEN(SUBSTITUTE(W398,"O",""))+LEN(SUBSTITUTE(MID(W398&amp;W398,WEEKDAY(('_Dates'!W398),2),MOD(((MIN('_Dates'!X398,Settings!$B$9))-('_Dates'!W398)+1),7)),"O",""))-COUNTIFS(INDEX(AllClosureRows,C398,0),"&gt;="&amp;('_Dates'!W398),INDEX(AllClosureRows,C398,0),"&lt;="&amp;(MIN('_Dates'!X398,Settings!$B$9))))+IF((MIN('_Dates'!Z398,Settings!$B$9))&lt;('_Dates'!Y398),0,INT(((MIN('_Dates'!Z398,Settings!$B$9))-('_Dates'!Y398)+1)/7)*LEN(SUBSTITUTE(W398,"O",""))+LEN(SUBSTITUTE(MID(W398&amp;W398,WEEKDAY(('_Dates'!Y398),2),MOD(((MIN('_Dates'!Z398,Settings!$B$9))-('_Dates'!Y398)+1),7)),"O",""))-COUNTIFS(INDEX(AllClosureRows,C398,0),"&gt;="&amp;('_Dates'!Y398),INDEX(AllClosureRows,C398,0),"&lt;="&amp;(MIN('_Dates'!Z398,Settings!$B$9))))))</ns0:f>
        <ns0:v>0</ns0:v>
      </ns0:c>
      <ns0:c r="I398" s="0">
        <ns0:f>MAX(0,G398-H398)</ns0:f>
        <ns0:v>0</ns0:v>
      </ns0:c>
      <ns0:c r="J398" s="0">
        <ns0:f>IF(OR(A398=0,F398&lt;&gt;"OK",Bookings!G398="Cancelled",$B$6&gt;0),0,IF('_Dates'!AC398=1,MAX(0,COUNTIFS(rngEngine_B,B398,rngAMStart,"&lt;="&amp;'_Dates'!X398,rngAMEnd,"&gt;="&amp;'_Dates'!W398,rngAMActive,1,rngEngine_F,"OK",rngBookings_F,"&lt;&gt;Cancelled")-1),0)+IF('_Dates'!AD398=1,MAX(0,COUNTIFS(rngEngine_B,B398,rngPMStart,"&lt;="&amp;'_Dates'!Z398,rngPMEnd,"&gt;="&amp;'_Dates'!Y398,rngPMActive,1,rngEngine_F,"OK",rngBookings_F,"&lt;&gt;Cancelled")-1),0))</ns0:f>
        <ns0:v>0</ns0:v>
      </ns0:c>
      <ns0:c r="K398" s="0" t="str">
        <ns0:f>IF(A398=0,"",IF(F398&lt;&gt;"OK",F398,IF(J398&gt;0,"CHECK overlapping entry",IF(AND($B$6=0,G398&lt;=0,Bookings!G398&lt;&gt;"Cancelled"),"CHECK no working days",IF(Bookings!G398="Cancelled","Cancelled","OK")))))</ns0:f>
        <ns0:v/>
      </ns0:c>
      <ns0:c r="L398" s="0">
        <ns0:f>IF(LEFT(K398,5)="CHECK",1,0)</ns0:f>
        <ns0:v>0</ns0:v>
      </ns0:c>
      <ns0:c r="M398" s="0">
        <ns0:f>IF(AND(L398=1,OR(C398=0,IFERROR(INDEX($X$11:$X$60,C398),0)=0)),1,0)</ns0:f>
        <ns0:v>0</ns0:v>
      </ns0:c>
      <ns0:c r="N398" s="0">
        <ns0:f>IF(OR(A398=0,L398&gt;0,$B$6&gt;0,Bookings!G398="Cancelled"),0,G398)</ns0:f>
        <ns0:v>0</ns0:v>
      </ns0:c>
      <ns0:c r="O398" s="0">
        <ns0:f>IF(AND(Bookings!G398="Approved",E398="Yes"),N398,0)</ns0:f>
        <ns0:v>0</ns0:v>
      </ns0:c>
      <ns0:c r="P398" s="0">
        <ns0:f>IF(AND(Bookings!G398="Approved",E398="Yes",L398=0,$B$6=0),H398,0)</ns0:f>
        <ns0:v>0</ns0:v>
      </ns0:c>
      <ns0:c r="Q398" s="0">
        <ns0:f>IF(AND(Bookings!G398="Approved",E398="Yes",L398=0,$B$6=0),I398,0)</ns0:f>
        <ns0:v>0</ns0:v>
      </ns0:c>
      <ns0:c r="R398" s="0">
        <ns0:f>IF(AND(Bookings!G398="Pending",E398="Yes"),N398,0)</ns0:f>
        <ns0:v>0</ns0:v>
      </ns0:c>
      <ns0:c r="S398" s="0">
        <ns0:f>IF(AND(Bookings!G398="Approved",E398="No"),N398,0)</ns0:f>
        <ns0:v>0</ns0:v>
      </ns0:c>
      <ns0:c r="T398" s="0">
        <ns0:f>IFERROR(MATCH(D398,Settings!$G$7:$G$11,0),0)</ns0:f>
        <ns0:v>0</ns0:v>
      </ns0:c>
      <ns0:c r="U398" s="0">
        <ns0:f>IF(N398&gt;0,T398+IF(Bookings!G398="Pending",10,0),0)</ns0:f>
        <ns0:v>0</ns0:v>
      </ns0:c>
      <ns0:c r="V398" s="0">
        <ns0:f>U398</ns0:f>
        <ns0:v>0</ns0:v>
      </ns0:c>
      <ns0:c r="W398" s="0" t="str">
        <ns0:f>IF(C398=0,"",INDEX($AP$11:$AP$60,C398))</ns0:f>
        <ns0:v/>
      </ns0:c>
    </ns0:row>
    <ns0:row r="399">
      <ns0:c r="A399" s="0">
        <ns0:f>IF(COUNTA(Bookings!A399:G399,Bookings!I399)=0,0,1)</ns0:f>
        <ns0:v>0</ns0:v>
      </ns0:c>
      <ns0:c r="B399" s="0" t="str">
        <ns0:f>IFERROR(TRIM(MID(Bookings!A399,FIND(" · ",Bookings!A399)+3,99)),"")</ns0:f>
        <ns0:v/>
      </ns0:c>
      <ns0:c r="C399" s="0">
        <ns0:f>IF(OR(B399="",LEN(B399)&gt;24,ISNUMBER(FIND(" ",B399)),ISNUMBER(FIND("*",B399)),ISNUMBER(FIND("?",B399)),ISNUMBER(FIND("~",B399))),0,IFERROR(MATCH(B399,Team!$A$11:$A$60,0),0))</ns0:f>
        <ns0:v>0</ns0:v>
      </ns0:c>
      <ns0:c r="D399" s="0" t="str">
        <ns0:f>IFERROR(IF(MID(Bookings!F399,LEN(Bookings!F399)-3,3)=" · ",RIGHT(Bookings!F399,1),""),"")</ns0:f>
        <ns0:v/>
      </ns0:c>
      <ns0:c r="E399" s="0" t="str">
        <ns0:f>IFERROR(INDEX(Settings!$H$7:$H$11,MATCH(D399,Settings!$G$7:$G$11,0)),"")</ns0:f>
        <ns0:v/>
      </ns0:c>
      <ns0:c r="F399" s="0" t="str">
        <ns0:f>IF(A399=0,"",IFERROR(IF(OR(B399="",C399=0),"CHECK employee selection",IF(INDEX(Team!$O$11:$O$60,C399)&lt;&gt;"OK","CHECK employee setup",IF(OR('_Dates'!J399=0,'_Dates'!T399=0),"CHECK date: use DD.MM.YYYY",IF('_Dates'!T399&lt;'_Dates'!J399,"CHECK end before start",IF(AND($B$6=0,OR('_Dates'!J399&lt;Settings!$B$7,'_Dates'!T399&gt;Settings!$B$8)),"CHECK split across leave years",IF(OR(NOT(OR('_Dates'!U399="Full day",'_Dates'!U399="AM",'_Dates'!U399="PM")),NOT(OR('_Dates'!V399="Full day",'_Dates'!V399="AM",'_Dates'!V399="PM"))),"CHECK Full day / AM / PM",IF(AND('_Dates'!J399='_Dates'!T399,'_Dates'!U399&lt;&gt;"Full day",'_Dates'!V399&lt;&gt;"Full day",'_Dates'!U399&lt;&gt;'_Dates'!V399),"CHECK same-day portions disagree",IF(AND($B$6=0,OR(AND('_Dates'!U399&lt;&gt;"Full day",'_Dates'!AA399=0),AND('_Dates'!V399&lt;&gt;"Full day",'_Dates'!AB399=0))),"CHECK half-day on non-working date",IF(COUNTIF(Settings!$G$7:$G$11,D399)&lt;&gt;1,"CHECK leave type",IF(AND(Bookings!G399&lt;&gt;"Approved",Bookings!G399&lt;&gt;"Pending",Bookings!G399&lt;&gt;"Cancelled"),"CHECK status","OK")))))))))),"CHECK input"))</ns0:f>
        <ns0:v/>
      </ns0:c>
      <ns0:c r="G399" s="0">
        <ns0:f>IF(OR(F399&lt;&gt;"OK",$B$6&gt;0),0,0.5*(IF(('_Dates'!X399)&lt;('_Dates'!W399),0,INT((('_Dates'!X399)-('_Dates'!W399)+1)/7)*LEN(SUBSTITUTE(W399,"O",""))+LEN(SUBSTITUTE(MID(W399&amp;W399,WEEKDAY(('_Dates'!W399),2),MOD((('_Dates'!X399)-('_Dates'!W399)+1),7)),"O",""))-COUNTIFS(INDEX(AllClosureRows,C399,0),"&gt;="&amp;('_Dates'!W399),INDEX(AllClosureRows,C399,0),"&lt;="&amp;('_Dates'!X399)))+IF(('_Dates'!Z399)&lt;('_Dates'!Y399),0,INT((('_Dates'!Z399)-('_Dates'!Y399)+1)/7)*LEN(SUBSTITUTE(W399,"O",""))+LEN(SUBSTITUTE(MID(W399&amp;W399,WEEKDAY(('_Dates'!Y399),2),MOD((('_Dates'!Z399)-('_Dates'!Y399)+1),7)),"O",""))-COUNTIFS(INDEX(AllClosureRows,C399,0),"&gt;="&amp;('_Dates'!Y399),INDEX(AllClosureRows,C399,0),"&lt;="&amp;('_Dates'!Z399)))))</ns0:f>
        <ns0:v>0</ns0:v>
      </ns0:c>
      <ns0:c r="H399" s="0">
        <ns0:f>IF(OR(F399&lt;&gt;"OK",$B$6&gt;0),0,0.5*(IF((MIN('_Dates'!X399,Settings!$B$9))&lt;('_Dates'!W399),0,INT(((MIN('_Dates'!X399,Settings!$B$9))-('_Dates'!W399)+1)/7)*LEN(SUBSTITUTE(W399,"O",""))+LEN(SUBSTITUTE(MID(W399&amp;W399,WEEKDAY(('_Dates'!W399),2),MOD(((MIN('_Dates'!X399,Settings!$B$9))-('_Dates'!W399)+1),7)),"O",""))-COUNTIFS(INDEX(AllClosureRows,C399,0),"&gt;="&amp;('_Dates'!W399),INDEX(AllClosureRows,C399,0),"&lt;="&amp;(MIN('_Dates'!X399,Settings!$B$9))))+IF((MIN('_Dates'!Z399,Settings!$B$9))&lt;('_Dates'!Y399),0,INT(((MIN('_Dates'!Z399,Settings!$B$9))-('_Dates'!Y399)+1)/7)*LEN(SUBSTITUTE(W399,"O",""))+LEN(SUBSTITUTE(MID(W399&amp;W399,WEEKDAY(('_Dates'!Y399),2),MOD(((MIN('_Dates'!Z399,Settings!$B$9))-('_Dates'!Y399)+1),7)),"O",""))-COUNTIFS(INDEX(AllClosureRows,C399,0),"&gt;="&amp;('_Dates'!Y399),INDEX(AllClosureRows,C399,0),"&lt;="&amp;(MIN('_Dates'!Z399,Settings!$B$9))))))</ns0:f>
        <ns0:v>0</ns0:v>
      </ns0:c>
      <ns0:c r="I399" s="0">
        <ns0:f>MAX(0,G399-H399)</ns0:f>
        <ns0:v>0</ns0:v>
      </ns0:c>
      <ns0:c r="J399" s="0">
        <ns0:f>IF(OR(A399=0,F399&lt;&gt;"OK",Bookings!G399="Cancelled",$B$6&gt;0),0,IF('_Dates'!AC399=1,MAX(0,COUNTIFS(rngEngine_B,B399,rngAMStart,"&lt;="&amp;'_Dates'!X399,rngAMEnd,"&gt;="&amp;'_Dates'!W399,rngAMActive,1,rngEngine_F,"OK",rngBookings_F,"&lt;&gt;Cancelled")-1),0)+IF('_Dates'!AD399=1,MAX(0,COUNTIFS(rngEngine_B,B399,rngPMStart,"&lt;="&amp;'_Dates'!Z399,rngPMEnd,"&gt;="&amp;'_Dates'!Y399,rngPMActive,1,rngEngine_F,"OK",rngBookings_F,"&lt;&gt;Cancelled")-1),0))</ns0:f>
        <ns0:v>0</ns0:v>
      </ns0:c>
      <ns0:c r="K399" s="0" t="str">
        <ns0:f>IF(A399=0,"",IF(F399&lt;&gt;"OK",F399,IF(J399&gt;0,"CHECK overlapping entry",IF(AND($B$6=0,G399&lt;=0,Bookings!G399&lt;&gt;"Cancelled"),"CHECK no working days",IF(Bookings!G399="Cancelled","Cancelled","OK")))))</ns0:f>
        <ns0:v/>
      </ns0:c>
      <ns0:c r="L399" s="0">
        <ns0:f>IF(LEFT(K399,5)="CHECK",1,0)</ns0:f>
        <ns0:v>0</ns0:v>
      </ns0:c>
      <ns0:c r="M399" s="0">
        <ns0:f>IF(AND(L399=1,OR(C399=0,IFERROR(INDEX($X$11:$X$60,C399),0)=0)),1,0)</ns0:f>
        <ns0:v>0</ns0:v>
      </ns0:c>
      <ns0:c r="N399" s="0">
        <ns0:f>IF(OR(A399=0,L399&gt;0,$B$6&gt;0,Bookings!G399="Cancelled"),0,G399)</ns0:f>
        <ns0:v>0</ns0:v>
      </ns0:c>
      <ns0:c r="O399" s="0">
        <ns0:f>IF(AND(Bookings!G399="Approved",E399="Yes"),N399,0)</ns0:f>
        <ns0:v>0</ns0:v>
      </ns0:c>
      <ns0:c r="P399" s="0">
        <ns0:f>IF(AND(Bookings!G399="Approved",E399="Yes",L399=0,$B$6=0),H399,0)</ns0:f>
        <ns0:v>0</ns0:v>
      </ns0:c>
      <ns0:c r="Q399" s="0">
        <ns0:f>IF(AND(Bookings!G399="Approved",E399="Yes",L399=0,$B$6=0),I399,0)</ns0:f>
        <ns0:v>0</ns0:v>
      </ns0:c>
      <ns0:c r="R399" s="0">
        <ns0:f>IF(AND(Bookings!G399="Pending",E399="Yes"),N399,0)</ns0:f>
        <ns0:v>0</ns0:v>
      </ns0:c>
      <ns0:c r="S399" s="0">
        <ns0:f>IF(AND(Bookings!G399="Approved",E399="No"),N399,0)</ns0:f>
        <ns0:v>0</ns0:v>
      </ns0:c>
      <ns0:c r="T399" s="0">
        <ns0:f>IFERROR(MATCH(D399,Settings!$G$7:$G$11,0),0)</ns0:f>
        <ns0:v>0</ns0:v>
      </ns0:c>
      <ns0:c r="U399" s="0">
        <ns0:f>IF(N399&gt;0,T399+IF(Bookings!G399="Pending",10,0),0)</ns0:f>
        <ns0:v>0</ns0:v>
      </ns0:c>
      <ns0:c r="V399" s="0">
        <ns0:f>U399</ns0:f>
        <ns0:v>0</ns0:v>
      </ns0:c>
      <ns0:c r="W399" s="0" t="str">
        <ns0:f>IF(C399=0,"",INDEX($AP$11:$AP$60,C399))</ns0:f>
        <ns0:v/>
      </ns0:c>
    </ns0:row>
    <ns0:row r="400">
      <ns0:c r="A400" s="0">
        <ns0:f>IF(COUNTA(Bookings!A400:G400,Bookings!I400)=0,0,1)</ns0:f>
        <ns0:v>0</ns0:v>
      </ns0:c>
      <ns0:c r="B400" s="0" t="str">
        <ns0:f>IFERROR(TRIM(MID(Bookings!A400,FIND(" · ",Bookings!A400)+3,99)),"")</ns0:f>
        <ns0:v/>
      </ns0:c>
      <ns0:c r="C400" s="0">
        <ns0:f>IF(OR(B400="",LEN(B400)&gt;24,ISNUMBER(FIND(" ",B400)),ISNUMBER(FIND("*",B400)),ISNUMBER(FIND("?",B400)),ISNUMBER(FIND("~",B400))),0,IFERROR(MATCH(B400,Team!$A$11:$A$60,0),0))</ns0:f>
        <ns0:v>0</ns0:v>
      </ns0:c>
      <ns0:c r="D400" s="0" t="str">
        <ns0:f>IFERROR(IF(MID(Bookings!F400,LEN(Bookings!F400)-3,3)=" · ",RIGHT(Bookings!F400,1),""),"")</ns0:f>
        <ns0:v/>
      </ns0:c>
      <ns0:c r="E400" s="0" t="str">
        <ns0:f>IFERROR(INDEX(Settings!$H$7:$H$11,MATCH(D400,Settings!$G$7:$G$11,0)),"")</ns0:f>
        <ns0:v/>
      </ns0:c>
      <ns0:c r="F400" s="0" t="str">
        <ns0:f>IF(A400=0,"",IFERROR(IF(OR(B400="",C400=0),"CHECK employee selection",IF(INDEX(Team!$O$11:$O$60,C400)&lt;&gt;"OK","CHECK employee setup",IF(OR('_Dates'!J400=0,'_Dates'!T400=0),"CHECK date: use DD.MM.YYYY",IF('_Dates'!T400&lt;'_Dates'!J400,"CHECK end before start",IF(AND($B$6=0,OR('_Dates'!J400&lt;Settings!$B$7,'_Dates'!T400&gt;Settings!$B$8)),"CHECK split across leave years",IF(OR(NOT(OR('_Dates'!U400="Full day",'_Dates'!U400="AM",'_Dates'!U400="PM")),NOT(OR('_Dates'!V400="Full day",'_Dates'!V400="AM",'_Dates'!V400="PM"))),"CHECK Full day / AM / PM",IF(AND('_Dates'!J400='_Dates'!T400,'_Dates'!U400&lt;&gt;"Full day",'_Dates'!V400&lt;&gt;"Full day",'_Dates'!U400&lt;&gt;'_Dates'!V400),"CHECK same-day portions disagree",IF(AND($B$6=0,OR(AND('_Dates'!U400&lt;&gt;"Full day",'_Dates'!AA400=0),AND('_Dates'!V400&lt;&gt;"Full day",'_Dates'!AB400=0))),"CHECK half-day on non-working date",IF(COUNTIF(Settings!$G$7:$G$11,D400)&lt;&gt;1,"CHECK leave type",IF(AND(Bookings!G400&lt;&gt;"Approved",Bookings!G400&lt;&gt;"Pending",Bookings!G400&lt;&gt;"Cancelled"),"CHECK status","OK")))))))))),"CHECK input"))</ns0:f>
        <ns0:v/>
      </ns0:c>
      <ns0:c r="G400" s="0">
        <ns0:f>IF(OR(F400&lt;&gt;"OK",$B$6&gt;0),0,0.5*(IF(('_Dates'!X400)&lt;('_Dates'!W400),0,INT((('_Dates'!X400)-('_Dates'!W400)+1)/7)*LEN(SUBSTITUTE(W400,"O",""))+LEN(SUBSTITUTE(MID(W400&amp;W400,WEEKDAY(('_Dates'!W400),2),MOD((('_Dates'!X400)-('_Dates'!W400)+1),7)),"O",""))-COUNTIFS(INDEX(AllClosureRows,C400,0),"&gt;="&amp;('_Dates'!W400),INDEX(AllClosureRows,C400,0),"&lt;="&amp;('_Dates'!X400)))+IF(('_Dates'!Z400)&lt;('_Dates'!Y400),0,INT((('_Dates'!Z400)-('_Dates'!Y400)+1)/7)*LEN(SUBSTITUTE(W400,"O",""))+LEN(SUBSTITUTE(MID(W400&amp;W400,WEEKDAY(('_Dates'!Y400),2),MOD((('_Dates'!Z400)-('_Dates'!Y400)+1),7)),"O",""))-COUNTIFS(INDEX(AllClosureRows,C400,0),"&gt;="&amp;('_Dates'!Y400),INDEX(AllClosureRows,C400,0),"&lt;="&amp;('_Dates'!Z400)))))</ns0:f>
        <ns0:v>0</ns0:v>
      </ns0:c>
      <ns0:c r="H400" s="0">
        <ns0:f>IF(OR(F400&lt;&gt;"OK",$B$6&gt;0),0,0.5*(IF((MIN('_Dates'!X400,Settings!$B$9))&lt;('_Dates'!W400),0,INT(((MIN('_Dates'!X400,Settings!$B$9))-('_Dates'!W400)+1)/7)*LEN(SUBSTITUTE(W400,"O",""))+LEN(SUBSTITUTE(MID(W400&amp;W400,WEEKDAY(('_Dates'!W400),2),MOD(((MIN('_Dates'!X400,Settings!$B$9))-('_Dates'!W400)+1),7)),"O",""))-COUNTIFS(INDEX(AllClosureRows,C400,0),"&gt;="&amp;('_Dates'!W400),INDEX(AllClosureRows,C400,0),"&lt;="&amp;(MIN('_Dates'!X400,Settings!$B$9))))+IF((MIN('_Dates'!Z400,Settings!$B$9))&lt;('_Dates'!Y400),0,INT(((MIN('_Dates'!Z400,Settings!$B$9))-('_Dates'!Y400)+1)/7)*LEN(SUBSTITUTE(W400,"O",""))+LEN(SUBSTITUTE(MID(W400&amp;W400,WEEKDAY(('_Dates'!Y400),2),MOD(((MIN('_Dates'!Z400,Settings!$B$9))-('_Dates'!Y400)+1),7)),"O",""))-COUNTIFS(INDEX(AllClosureRows,C400,0),"&gt;="&amp;('_Dates'!Y400),INDEX(AllClosureRows,C400,0),"&lt;="&amp;(MIN('_Dates'!Z400,Settings!$B$9))))))</ns0:f>
        <ns0:v>0</ns0:v>
      </ns0:c>
      <ns0:c r="I400" s="0">
        <ns0:f>MAX(0,G400-H400)</ns0:f>
        <ns0:v>0</ns0:v>
      </ns0:c>
      <ns0:c r="J400" s="0">
        <ns0:f>IF(OR(A400=0,F400&lt;&gt;"OK",Bookings!G400="Cancelled",$B$6&gt;0),0,IF('_Dates'!AC400=1,MAX(0,COUNTIFS(rngEngine_B,B400,rngAMStart,"&lt;="&amp;'_Dates'!X400,rngAMEnd,"&gt;="&amp;'_Dates'!W400,rngAMActive,1,rngEngine_F,"OK",rngBookings_F,"&lt;&gt;Cancelled")-1),0)+IF('_Dates'!AD400=1,MAX(0,COUNTIFS(rngEngine_B,B400,rngPMStart,"&lt;="&amp;'_Dates'!Z400,rngPMEnd,"&gt;="&amp;'_Dates'!Y400,rngPMActive,1,rngEngine_F,"OK",rngBookings_F,"&lt;&gt;Cancelled")-1),0))</ns0:f>
        <ns0:v>0</ns0:v>
      </ns0:c>
      <ns0:c r="K400" s="0" t="str">
        <ns0:f>IF(A400=0,"",IF(F400&lt;&gt;"OK",F400,IF(J400&gt;0,"CHECK overlapping entry",IF(AND($B$6=0,G400&lt;=0,Bookings!G400&lt;&gt;"Cancelled"),"CHECK no working days",IF(Bookings!G400="Cancelled","Cancelled","OK")))))</ns0:f>
        <ns0:v/>
      </ns0:c>
      <ns0:c r="L400" s="0">
        <ns0:f>IF(LEFT(K400,5)="CHECK",1,0)</ns0:f>
        <ns0:v>0</ns0:v>
      </ns0:c>
      <ns0:c r="M400" s="0">
        <ns0:f>IF(AND(L400=1,OR(C400=0,IFERROR(INDEX($X$11:$X$60,C400),0)=0)),1,0)</ns0:f>
        <ns0:v>0</ns0:v>
      </ns0:c>
      <ns0:c r="N400" s="0">
        <ns0:f>IF(OR(A400=0,L400&gt;0,$B$6&gt;0,Bookings!G400="Cancelled"),0,G400)</ns0:f>
        <ns0:v>0</ns0:v>
      </ns0:c>
      <ns0:c r="O400" s="0">
        <ns0:f>IF(AND(Bookings!G400="Approved",E400="Yes"),N400,0)</ns0:f>
        <ns0:v>0</ns0:v>
      </ns0:c>
      <ns0:c r="P400" s="0">
        <ns0:f>IF(AND(Bookings!G400="Approved",E400="Yes",L400=0,$B$6=0),H400,0)</ns0:f>
        <ns0:v>0</ns0:v>
      </ns0:c>
      <ns0:c r="Q400" s="0">
        <ns0:f>IF(AND(Bookings!G400="Approved",E400="Yes",L400=0,$B$6=0),I400,0)</ns0:f>
        <ns0:v>0</ns0:v>
      </ns0:c>
      <ns0:c r="R400" s="0">
        <ns0:f>IF(AND(Bookings!G400="Pending",E400="Yes"),N400,0)</ns0:f>
        <ns0:v>0</ns0:v>
      </ns0:c>
      <ns0:c r="S400" s="0">
        <ns0:f>IF(AND(Bookings!G400="Approved",E400="No"),N400,0)</ns0:f>
        <ns0:v>0</ns0:v>
      </ns0:c>
      <ns0:c r="T400" s="0">
        <ns0:f>IFERROR(MATCH(D400,Settings!$G$7:$G$11,0),0)</ns0:f>
        <ns0:v>0</ns0:v>
      </ns0:c>
      <ns0:c r="U400" s="0">
        <ns0:f>IF(N400&gt;0,T400+IF(Bookings!G400="Pending",10,0),0)</ns0:f>
        <ns0:v>0</ns0:v>
      </ns0:c>
      <ns0:c r="V400" s="0">
        <ns0:f>U400</ns0:f>
        <ns0:v>0</ns0:v>
      </ns0:c>
      <ns0:c r="W400" s="0" t="str">
        <ns0:f>IF(C400=0,"",INDEX($AP$11:$AP$60,C400))</ns0:f>
        <ns0:v/>
      </ns0:c>
    </ns0:row>
    <ns0:row r="401">
      <ns0:c r="A401" s="0">
        <ns0:f>IF(COUNTA(Bookings!A401:G401,Bookings!I401)=0,0,1)</ns0:f>
        <ns0:v>0</ns0:v>
      </ns0:c>
      <ns0:c r="B401" s="0" t="str">
        <ns0:f>IFERROR(TRIM(MID(Bookings!A401,FIND(" · ",Bookings!A401)+3,99)),"")</ns0:f>
        <ns0:v/>
      </ns0:c>
      <ns0:c r="C401" s="0">
        <ns0:f>IF(OR(B401="",LEN(B401)&gt;24,ISNUMBER(FIND(" ",B401)),ISNUMBER(FIND("*",B401)),ISNUMBER(FIND("?",B401)),ISNUMBER(FIND("~",B401))),0,IFERROR(MATCH(B401,Team!$A$11:$A$60,0),0))</ns0:f>
        <ns0:v>0</ns0:v>
      </ns0:c>
      <ns0:c r="D401" s="0" t="str">
        <ns0:f>IFERROR(IF(MID(Bookings!F401,LEN(Bookings!F401)-3,3)=" · ",RIGHT(Bookings!F401,1),""),"")</ns0:f>
        <ns0:v/>
      </ns0:c>
      <ns0:c r="E401" s="0" t="str">
        <ns0:f>IFERROR(INDEX(Settings!$H$7:$H$11,MATCH(D401,Settings!$G$7:$G$11,0)),"")</ns0:f>
        <ns0:v/>
      </ns0:c>
      <ns0:c r="F401" s="0" t="str">
        <ns0:f>IF(A401=0,"",IFERROR(IF(OR(B401="",C401=0),"CHECK employee selection",IF(INDEX(Team!$O$11:$O$60,C401)&lt;&gt;"OK","CHECK employee setup",IF(OR('_Dates'!J401=0,'_Dates'!T401=0),"CHECK date: use DD.MM.YYYY",IF('_Dates'!T401&lt;'_Dates'!J401,"CHECK end before start",IF(AND($B$6=0,OR('_Dates'!J401&lt;Settings!$B$7,'_Dates'!T401&gt;Settings!$B$8)),"CHECK split across leave years",IF(OR(NOT(OR('_Dates'!U401="Full day",'_Dates'!U401="AM",'_Dates'!U401="PM")),NOT(OR('_Dates'!V401="Full day",'_Dates'!V401="AM",'_Dates'!V401="PM"))),"CHECK Full day / AM / PM",IF(AND('_Dates'!J401='_Dates'!T401,'_Dates'!U401&lt;&gt;"Full day",'_Dates'!V401&lt;&gt;"Full day",'_Dates'!U401&lt;&gt;'_Dates'!V401),"CHECK same-day portions disagree",IF(AND($B$6=0,OR(AND('_Dates'!U401&lt;&gt;"Full day",'_Dates'!AA401=0),AND('_Dates'!V401&lt;&gt;"Full day",'_Dates'!AB401=0))),"CHECK half-day on non-working date",IF(COUNTIF(Settings!$G$7:$G$11,D401)&lt;&gt;1,"CHECK leave type",IF(AND(Bookings!G401&lt;&gt;"Approved",Bookings!G401&lt;&gt;"Pending",Bookings!G401&lt;&gt;"Cancelled"),"CHECK status","OK")))))))))),"CHECK input"))</ns0:f>
        <ns0:v/>
      </ns0:c>
      <ns0:c r="G401" s="0">
        <ns0:f>IF(OR(F401&lt;&gt;"OK",$B$6&gt;0),0,0.5*(IF(('_Dates'!X401)&lt;('_Dates'!W401),0,INT((('_Dates'!X401)-('_Dates'!W401)+1)/7)*LEN(SUBSTITUTE(W401,"O",""))+LEN(SUBSTITUTE(MID(W401&amp;W401,WEEKDAY(('_Dates'!W401),2),MOD((('_Dates'!X401)-('_Dates'!W401)+1),7)),"O",""))-COUNTIFS(INDEX(AllClosureRows,C401,0),"&gt;="&amp;('_Dates'!W401),INDEX(AllClosureRows,C401,0),"&lt;="&amp;('_Dates'!X401)))+IF(('_Dates'!Z401)&lt;('_Dates'!Y401),0,INT((('_Dates'!Z401)-('_Dates'!Y401)+1)/7)*LEN(SUBSTITUTE(W401,"O",""))+LEN(SUBSTITUTE(MID(W401&amp;W401,WEEKDAY(('_Dates'!Y401),2),MOD((('_Dates'!Z401)-('_Dates'!Y401)+1),7)),"O",""))-COUNTIFS(INDEX(AllClosureRows,C401,0),"&gt;="&amp;('_Dates'!Y401),INDEX(AllClosureRows,C401,0),"&lt;="&amp;('_Dates'!Z401)))))</ns0:f>
        <ns0:v>0</ns0:v>
      </ns0:c>
      <ns0:c r="H401" s="0">
        <ns0:f>IF(OR(F401&lt;&gt;"OK",$B$6&gt;0),0,0.5*(IF((MIN('_Dates'!X401,Settings!$B$9))&lt;('_Dates'!W401),0,INT(((MIN('_Dates'!X401,Settings!$B$9))-('_Dates'!W401)+1)/7)*LEN(SUBSTITUTE(W401,"O",""))+LEN(SUBSTITUTE(MID(W401&amp;W401,WEEKDAY(('_Dates'!W401),2),MOD(((MIN('_Dates'!X401,Settings!$B$9))-('_Dates'!W401)+1),7)),"O",""))-COUNTIFS(INDEX(AllClosureRows,C401,0),"&gt;="&amp;('_Dates'!W401),INDEX(AllClosureRows,C401,0),"&lt;="&amp;(MIN('_Dates'!X401,Settings!$B$9))))+IF((MIN('_Dates'!Z401,Settings!$B$9))&lt;('_Dates'!Y401),0,INT(((MIN('_Dates'!Z401,Settings!$B$9))-('_Dates'!Y401)+1)/7)*LEN(SUBSTITUTE(W401,"O",""))+LEN(SUBSTITUTE(MID(W401&amp;W401,WEEKDAY(('_Dates'!Y401),2),MOD(((MIN('_Dates'!Z401,Settings!$B$9))-('_Dates'!Y401)+1),7)),"O",""))-COUNTIFS(INDEX(AllClosureRows,C401,0),"&gt;="&amp;('_Dates'!Y401),INDEX(AllClosureRows,C401,0),"&lt;="&amp;(MIN('_Dates'!Z401,Settings!$B$9))))))</ns0:f>
        <ns0:v>0</ns0:v>
      </ns0:c>
      <ns0:c r="I401" s="0">
        <ns0:f>MAX(0,G401-H401)</ns0:f>
        <ns0:v>0</ns0:v>
      </ns0:c>
      <ns0:c r="J401" s="0">
        <ns0:f>IF(OR(A401=0,F401&lt;&gt;"OK",Bookings!G401="Cancelled",$B$6&gt;0),0,IF('_Dates'!AC401=1,MAX(0,COUNTIFS(rngEngine_B,B401,rngAMStart,"&lt;="&amp;'_Dates'!X401,rngAMEnd,"&gt;="&amp;'_Dates'!W401,rngAMActive,1,rngEngine_F,"OK",rngBookings_F,"&lt;&gt;Cancelled")-1),0)+IF('_Dates'!AD401=1,MAX(0,COUNTIFS(rngEngine_B,B401,rngPMStart,"&lt;="&amp;'_Dates'!Z401,rngPMEnd,"&gt;="&amp;'_Dates'!Y401,rngPMActive,1,rngEngine_F,"OK",rngBookings_F,"&lt;&gt;Cancelled")-1),0))</ns0:f>
        <ns0:v>0</ns0:v>
      </ns0:c>
      <ns0:c r="K401" s="0" t="str">
        <ns0:f>IF(A401=0,"",IF(F401&lt;&gt;"OK",F401,IF(J401&gt;0,"CHECK overlapping entry",IF(AND($B$6=0,G401&lt;=0,Bookings!G401&lt;&gt;"Cancelled"),"CHECK no working days",IF(Bookings!G401="Cancelled","Cancelled","OK")))))</ns0:f>
        <ns0:v/>
      </ns0:c>
      <ns0:c r="L401" s="0">
        <ns0:f>IF(LEFT(K401,5)="CHECK",1,0)</ns0:f>
        <ns0:v>0</ns0:v>
      </ns0:c>
      <ns0:c r="M401" s="0">
        <ns0:f>IF(AND(L401=1,OR(C401=0,IFERROR(INDEX($X$11:$X$60,C401),0)=0)),1,0)</ns0:f>
        <ns0:v>0</ns0:v>
      </ns0:c>
      <ns0:c r="N401" s="0">
        <ns0:f>IF(OR(A401=0,L401&gt;0,$B$6&gt;0,Bookings!G401="Cancelled"),0,G401)</ns0:f>
        <ns0:v>0</ns0:v>
      </ns0:c>
      <ns0:c r="O401" s="0">
        <ns0:f>IF(AND(Bookings!G401="Approved",E401="Yes"),N401,0)</ns0:f>
        <ns0:v>0</ns0:v>
      </ns0:c>
      <ns0:c r="P401" s="0">
        <ns0:f>IF(AND(Bookings!G401="Approved",E401="Yes",L401=0,$B$6=0),H401,0)</ns0:f>
        <ns0:v>0</ns0:v>
      </ns0:c>
      <ns0:c r="Q401" s="0">
        <ns0:f>IF(AND(Bookings!G401="Approved",E401="Yes",L401=0,$B$6=0),I401,0)</ns0:f>
        <ns0:v>0</ns0:v>
      </ns0:c>
      <ns0:c r="R401" s="0">
        <ns0:f>IF(AND(Bookings!G401="Pending",E401="Yes"),N401,0)</ns0:f>
        <ns0:v>0</ns0:v>
      </ns0:c>
      <ns0:c r="S401" s="0">
        <ns0:f>IF(AND(Bookings!G401="Approved",E401="No"),N401,0)</ns0:f>
        <ns0:v>0</ns0:v>
      </ns0:c>
      <ns0:c r="T401" s="0">
        <ns0:f>IFERROR(MATCH(D401,Settings!$G$7:$G$11,0),0)</ns0:f>
        <ns0:v>0</ns0:v>
      </ns0:c>
      <ns0:c r="U401" s="0">
        <ns0:f>IF(N401&gt;0,T401+IF(Bookings!G401="Pending",10,0),0)</ns0:f>
        <ns0:v>0</ns0:v>
      </ns0:c>
      <ns0:c r="V401" s="0">
        <ns0:f>U401</ns0:f>
        <ns0:v>0</ns0:v>
      </ns0:c>
      <ns0:c r="W401" s="0" t="str">
        <ns0:f>IF(C401=0,"",INDEX($AP$11:$AP$60,C401))</ns0:f>
        <ns0:v/>
      </ns0:c>
    </ns0:row>
    <ns0:row r="402">
      <ns0:c r="A402" s="0">
        <ns0:f>IF(COUNTA(Bookings!A402:G402,Bookings!I402)=0,0,1)</ns0:f>
        <ns0:v>0</ns0:v>
      </ns0:c>
      <ns0:c r="B402" s="0" t="str">
        <ns0:f>IFERROR(TRIM(MID(Bookings!A402,FIND(" · ",Bookings!A402)+3,99)),"")</ns0:f>
        <ns0:v/>
      </ns0:c>
      <ns0:c r="C402" s="0">
        <ns0:f>IF(OR(B402="",LEN(B402)&gt;24,ISNUMBER(FIND(" ",B402)),ISNUMBER(FIND("*",B402)),ISNUMBER(FIND("?",B402)),ISNUMBER(FIND("~",B402))),0,IFERROR(MATCH(B402,Team!$A$11:$A$60,0),0))</ns0:f>
        <ns0:v>0</ns0:v>
      </ns0:c>
      <ns0:c r="D402" s="0" t="str">
        <ns0:f>IFERROR(IF(MID(Bookings!F402,LEN(Bookings!F402)-3,3)=" · ",RIGHT(Bookings!F402,1),""),"")</ns0:f>
        <ns0:v/>
      </ns0:c>
      <ns0:c r="E402" s="0" t="str">
        <ns0:f>IFERROR(INDEX(Settings!$H$7:$H$11,MATCH(D402,Settings!$G$7:$G$11,0)),"")</ns0:f>
        <ns0:v/>
      </ns0:c>
      <ns0:c r="F402" s="0" t="str">
        <ns0:f>IF(A402=0,"",IFERROR(IF(OR(B402="",C402=0),"CHECK employee selection",IF(INDEX(Team!$O$11:$O$60,C402)&lt;&gt;"OK","CHECK employee setup",IF(OR('_Dates'!J402=0,'_Dates'!T402=0),"CHECK date: use DD.MM.YYYY",IF('_Dates'!T402&lt;'_Dates'!J402,"CHECK end before start",IF(AND($B$6=0,OR('_Dates'!J402&lt;Settings!$B$7,'_Dates'!T402&gt;Settings!$B$8)),"CHECK split across leave years",IF(OR(NOT(OR('_Dates'!U402="Full day",'_Dates'!U402="AM",'_Dates'!U402="PM")),NOT(OR('_Dates'!V402="Full day",'_Dates'!V402="AM",'_Dates'!V402="PM"))),"CHECK Full day / AM / PM",IF(AND('_Dates'!J402='_Dates'!T402,'_Dates'!U402&lt;&gt;"Full day",'_Dates'!V402&lt;&gt;"Full day",'_Dates'!U402&lt;&gt;'_Dates'!V402),"CHECK same-day portions disagree",IF(AND($B$6=0,OR(AND('_Dates'!U402&lt;&gt;"Full day",'_Dates'!AA402=0),AND('_Dates'!V402&lt;&gt;"Full day",'_Dates'!AB402=0))),"CHECK half-day on non-working date",IF(COUNTIF(Settings!$G$7:$G$11,D402)&lt;&gt;1,"CHECK leave type",IF(AND(Bookings!G402&lt;&gt;"Approved",Bookings!G402&lt;&gt;"Pending",Bookings!G402&lt;&gt;"Cancelled"),"CHECK status","OK")))))))))),"CHECK input"))</ns0:f>
        <ns0:v/>
      </ns0:c>
      <ns0:c r="G402" s="0">
        <ns0:f>IF(OR(F402&lt;&gt;"OK",$B$6&gt;0),0,0.5*(IF(('_Dates'!X402)&lt;('_Dates'!W402),0,INT((('_Dates'!X402)-('_Dates'!W402)+1)/7)*LEN(SUBSTITUTE(W402,"O",""))+LEN(SUBSTITUTE(MID(W402&amp;W402,WEEKDAY(('_Dates'!W402),2),MOD((('_Dates'!X402)-('_Dates'!W402)+1),7)),"O",""))-COUNTIFS(INDEX(AllClosureRows,C402,0),"&gt;="&amp;('_Dates'!W402),INDEX(AllClosureRows,C402,0),"&lt;="&amp;('_Dates'!X402)))+IF(('_Dates'!Z402)&lt;('_Dates'!Y402),0,INT((('_Dates'!Z402)-('_Dates'!Y402)+1)/7)*LEN(SUBSTITUTE(W402,"O",""))+LEN(SUBSTITUTE(MID(W402&amp;W402,WEEKDAY(('_Dates'!Y402),2),MOD((('_Dates'!Z402)-('_Dates'!Y402)+1),7)),"O",""))-COUNTIFS(INDEX(AllClosureRows,C402,0),"&gt;="&amp;('_Dates'!Y402),INDEX(AllClosureRows,C402,0),"&lt;="&amp;('_Dates'!Z402)))))</ns0:f>
        <ns0:v>0</ns0:v>
      </ns0:c>
      <ns0:c r="H402" s="0">
        <ns0:f>IF(OR(F402&lt;&gt;"OK",$B$6&gt;0),0,0.5*(IF((MIN('_Dates'!X402,Settings!$B$9))&lt;('_Dates'!W402),0,INT(((MIN('_Dates'!X402,Settings!$B$9))-('_Dates'!W402)+1)/7)*LEN(SUBSTITUTE(W402,"O",""))+LEN(SUBSTITUTE(MID(W402&amp;W402,WEEKDAY(('_Dates'!W402),2),MOD(((MIN('_Dates'!X402,Settings!$B$9))-('_Dates'!W402)+1),7)),"O",""))-COUNTIFS(INDEX(AllClosureRows,C402,0),"&gt;="&amp;('_Dates'!W402),INDEX(AllClosureRows,C402,0),"&lt;="&amp;(MIN('_Dates'!X402,Settings!$B$9))))+IF((MIN('_Dates'!Z402,Settings!$B$9))&lt;('_Dates'!Y402),0,INT(((MIN('_Dates'!Z402,Settings!$B$9))-('_Dates'!Y402)+1)/7)*LEN(SUBSTITUTE(W402,"O",""))+LEN(SUBSTITUTE(MID(W402&amp;W402,WEEKDAY(('_Dates'!Y402),2),MOD(((MIN('_Dates'!Z402,Settings!$B$9))-('_Dates'!Y402)+1),7)),"O",""))-COUNTIFS(INDEX(AllClosureRows,C402,0),"&gt;="&amp;('_Dates'!Y402),INDEX(AllClosureRows,C402,0),"&lt;="&amp;(MIN('_Dates'!Z402,Settings!$B$9))))))</ns0:f>
        <ns0:v>0</ns0:v>
      </ns0:c>
      <ns0:c r="I402" s="0">
        <ns0:f>MAX(0,G402-H402)</ns0:f>
        <ns0:v>0</ns0:v>
      </ns0:c>
      <ns0:c r="J402" s="0">
        <ns0:f>IF(OR(A402=0,F402&lt;&gt;"OK",Bookings!G402="Cancelled",$B$6&gt;0),0,IF('_Dates'!AC402=1,MAX(0,COUNTIFS(rngEngine_B,B402,rngAMStart,"&lt;="&amp;'_Dates'!X402,rngAMEnd,"&gt;="&amp;'_Dates'!W402,rngAMActive,1,rngEngine_F,"OK",rngBookings_F,"&lt;&gt;Cancelled")-1),0)+IF('_Dates'!AD402=1,MAX(0,COUNTIFS(rngEngine_B,B402,rngPMStart,"&lt;="&amp;'_Dates'!Z402,rngPMEnd,"&gt;="&amp;'_Dates'!Y402,rngPMActive,1,rngEngine_F,"OK",rngBookings_F,"&lt;&gt;Cancelled")-1),0))</ns0:f>
        <ns0:v>0</ns0:v>
      </ns0:c>
      <ns0:c r="K402" s="0" t="str">
        <ns0:f>IF(A402=0,"",IF(F402&lt;&gt;"OK",F402,IF(J402&gt;0,"CHECK overlapping entry",IF(AND($B$6=0,G402&lt;=0,Bookings!G402&lt;&gt;"Cancelled"),"CHECK no working days",IF(Bookings!G402="Cancelled","Cancelled","OK")))))</ns0:f>
        <ns0:v/>
      </ns0:c>
      <ns0:c r="L402" s="0">
        <ns0:f>IF(LEFT(K402,5)="CHECK",1,0)</ns0:f>
        <ns0:v>0</ns0:v>
      </ns0:c>
      <ns0:c r="M402" s="0">
        <ns0:f>IF(AND(L402=1,OR(C402=0,IFERROR(INDEX($X$11:$X$60,C402),0)=0)),1,0)</ns0:f>
        <ns0:v>0</ns0:v>
      </ns0:c>
      <ns0:c r="N402" s="0">
        <ns0:f>IF(OR(A402=0,L402&gt;0,$B$6&gt;0,Bookings!G402="Cancelled"),0,G402)</ns0:f>
        <ns0:v>0</ns0:v>
      </ns0:c>
      <ns0:c r="O402" s="0">
        <ns0:f>IF(AND(Bookings!G402="Approved",E402="Yes"),N402,0)</ns0:f>
        <ns0:v>0</ns0:v>
      </ns0:c>
      <ns0:c r="P402" s="0">
        <ns0:f>IF(AND(Bookings!G402="Approved",E402="Yes",L402=0,$B$6=0),H402,0)</ns0:f>
        <ns0:v>0</ns0:v>
      </ns0:c>
      <ns0:c r="Q402" s="0">
        <ns0:f>IF(AND(Bookings!G402="Approved",E402="Yes",L402=0,$B$6=0),I402,0)</ns0:f>
        <ns0:v>0</ns0:v>
      </ns0:c>
      <ns0:c r="R402" s="0">
        <ns0:f>IF(AND(Bookings!G402="Pending",E402="Yes"),N402,0)</ns0:f>
        <ns0:v>0</ns0:v>
      </ns0:c>
      <ns0:c r="S402" s="0">
        <ns0:f>IF(AND(Bookings!G402="Approved",E402="No"),N402,0)</ns0:f>
        <ns0:v>0</ns0:v>
      </ns0:c>
      <ns0:c r="T402" s="0">
        <ns0:f>IFERROR(MATCH(D402,Settings!$G$7:$G$11,0),0)</ns0:f>
        <ns0:v>0</ns0:v>
      </ns0:c>
      <ns0:c r="U402" s="0">
        <ns0:f>IF(N402&gt;0,T402+IF(Bookings!G402="Pending",10,0),0)</ns0:f>
        <ns0:v>0</ns0:v>
      </ns0:c>
      <ns0:c r="V402" s="0">
        <ns0:f>U402</ns0:f>
        <ns0:v>0</ns0:v>
      </ns0:c>
      <ns0:c r="W402" s="0" t="str">
        <ns0:f>IF(C402=0,"",INDEX($AP$11:$AP$60,C402))</ns0:f>
        <ns0:v/>
      </ns0:c>
    </ns0:row>
    <ns0:row r="403">
      <ns0:c r="A403" s="0">
        <ns0:f>IF(COUNTA(Bookings!A403:G403,Bookings!I403)=0,0,1)</ns0:f>
        <ns0:v>0</ns0:v>
      </ns0:c>
      <ns0:c r="B403" s="0" t="str">
        <ns0:f>IFERROR(TRIM(MID(Bookings!A403,FIND(" · ",Bookings!A403)+3,99)),"")</ns0:f>
        <ns0:v/>
      </ns0:c>
      <ns0:c r="C403" s="0">
        <ns0:f>IF(OR(B403="",LEN(B403)&gt;24,ISNUMBER(FIND(" ",B403)),ISNUMBER(FIND("*",B403)),ISNUMBER(FIND("?",B403)),ISNUMBER(FIND("~",B403))),0,IFERROR(MATCH(B403,Team!$A$11:$A$60,0),0))</ns0:f>
        <ns0:v>0</ns0:v>
      </ns0:c>
      <ns0:c r="D403" s="0" t="str">
        <ns0:f>IFERROR(IF(MID(Bookings!F403,LEN(Bookings!F403)-3,3)=" · ",RIGHT(Bookings!F403,1),""),"")</ns0:f>
        <ns0:v/>
      </ns0:c>
      <ns0:c r="E403" s="0" t="str">
        <ns0:f>IFERROR(INDEX(Settings!$H$7:$H$11,MATCH(D403,Settings!$G$7:$G$11,0)),"")</ns0:f>
        <ns0:v/>
      </ns0:c>
      <ns0:c r="F403" s="0" t="str">
        <ns0:f>IF(A403=0,"",IFERROR(IF(OR(B403="",C403=0),"CHECK employee selection",IF(INDEX(Team!$O$11:$O$60,C403)&lt;&gt;"OK","CHECK employee setup",IF(OR('_Dates'!J403=0,'_Dates'!T403=0),"CHECK date: use DD.MM.YYYY",IF('_Dates'!T403&lt;'_Dates'!J403,"CHECK end before start",IF(AND($B$6=0,OR('_Dates'!J403&lt;Settings!$B$7,'_Dates'!T403&gt;Settings!$B$8)),"CHECK split across leave years",IF(OR(NOT(OR('_Dates'!U403="Full day",'_Dates'!U403="AM",'_Dates'!U403="PM")),NOT(OR('_Dates'!V403="Full day",'_Dates'!V403="AM",'_Dates'!V403="PM"))),"CHECK Full day / AM / PM",IF(AND('_Dates'!J403='_Dates'!T403,'_Dates'!U403&lt;&gt;"Full day",'_Dates'!V403&lt;&gt;"Full day",'_Dates'!U403&lt;&gt;'_Dates'!V403),"CHECK same-day portions disagree",IF(AND($B$6=0,OR(AND('_Dates'!U403&lt;&gt;"Full day",'_Dates'!AA403=0),AND('_Dates'!V403&lt;&gt;"Full day",'_Dates'!AB403=0))),"CHECK half-day on non-working date",IF(COUNTIF(Settings!$G$7:$G$11,D403)&lt;&gt;1,"CHECK leave type",IF(AND(Bookings!G403&lt;&gt;"Approved",Bookings!G403&lt;&gt;"Pending",Bookings!G403&lt;&gt;"Cancelled"),"CHECK status","OK")))))))))),"CHECK input"))</ns0:f>
        <ns0:v/>
      </ns0:c>
      <ns0:c r="G403" s="0">
        <ns0:f>IF(OR(F403&lt;&gt;"OK",$B$6&gt;0),0,0.5*(IF(('_Dates'!X403)&lt;('_Dates'!W403),0,INT((('_Dates'!X403)-('_Dates'!W403)+1)/7)*LEN(SUBSTITUTE(W403,"O",""))+LEN(SUBSTITUTE(MID(W403&amp;W403,WEEKDAY(('_Dates'!W403),2),MOD((('_Dates'!X403)-('_Dates'!W403)+1),7)),"O",""))-COUNTIFS(INDEX(AllClosureRows,C403,0),"&gt;="&amp;('_Dates'!W403),INDEX(AllClosureRows,C403,0),"&lt;="&amp;('_Dates'!X403)))+IF(('_Dates'!Z403)&lt;('_Dates'!Y403),0,INT((('_Dates'!Z403)-('_Dates'!Y403)+1)/7)*LEN(SUBSTITUTE(W403,"O",""))+LEN(SUBSTITUTE(MID(W403&amp;W403,WEEKDAY(('_Dates'!Y403),2),MOD((('_Dates'!Z403)-('_Dates'!Y403)+1),7)),"O",""))-COUNTIFS(INDEX(AllClosureRows,C403,0),"&gt;="&amp;('_Dates'!Y403),INDEX(AllClosureRows,C403,0),"&lt;="&amp;('_Dates'!Z403)))))</ns0:f>
        <ns0:v>0</ns0:v>
      </ns0:c>
      <ns0:c r="H403" s="0">
        <ns0:f>IF(OR(F403&lt;&gt;"OK",$B$6&gt;0),0,0.5*(IF((MIN('_Dates'!X403,Settings!$B$9))&lt;('_Dates'!W403),0,INT(((MIN('_Dates'!X403,Settings!$B$9))-('_Dates'!W403)+1)/7)*LEN(SUBSTITUTE(W403,"O",""))+LEN(SUBSTITUTE(MID(W403&amp;W403,WEEKDAY(('_Dates'!W403),2),MOD(((MIN('_Dates'!X403,Settings!$B$9))-('_Dates'!W403)+1),7)),"O",""))-COUNTIFS(INDEX(AllClosureRows,C403,0),"&gt;="&amp;('_Dates'!W403),INDEX(AllClosureRows,C403,0),"&lt;="&amp;(MIN('_Dates'!X403,Settings!$B$9))))+IF((MIN('_Dates'!Z403,Settings!$B$9))&lt;('_Dates'!Y403),0,INT(((MIN('_Dates'!Z403,Settings!$B$9))-('_Dates'!Y403)+1)/7)*LEN(SUBSTITUTE(W403,"O",""))+LEN(SUBSTITUTE(MID(W403&amp;W403,WEEKDAY(('_Dates'!Y403),2),MOD(((MIN('_Dates'!Z403,Settings!$B$9))-('_Dates'!Y403)+1),7)),"O",""))-COUNTIFS(INDEX(AllClosureRows,C403,0),"&gt;="&amp;('_Dates'!Y403),INDEX(AllClosureRows,C403,0),"&lt;="&amp;(MIN('_Dates'!Z403,Settings!$B$9))))))</ns0:f>
        <ns0:v>0</ns0:v>
      </ns0:c>
      <ns0:c r="I403" s="0">
        <ns0:f>MAX(0,G403-H403)</ns0:f>
        <ns0:v>0</ns0:v>
      </ns0:c>
      <ns0:c r="J403" s="0">
        <ns0:f>IF(OR(A403=0,F403&lt;&gt;"OK",Bookings!G403="Cancelled",$B$6&gt;0),0,IF('_Dates'!AC403=1,MAX(0,COUNTIFS(rngEngine_B,B403,rngAMStart,"&lt;="&amp;'_Dates'!X403,rngAMEnd,"&gt;="&amp;'_Dates'!W403,rngAMActive,1,rngEngine_F,"OK",rngBookings_F,"&lt;&gt;Cancelled")-1),0)+IF('_Dates'!AD403=1,MAX(0,COUNTIFS(rngEngine_B,B403,rngPMStart,"&lt;="&amp;'_Dates'!Z403,rngPMEnd,"&gt;="&amp;'_Dates'!Y403,rngPMActive,1,rngEngine_F,"OK",rngBookings_F,"&lt;&gt;Cancelled")-1),0))</ns0:f>
        <ns0:v>0</ns0:v>
      </ns0:c>
      <ns0:c r="K403" s="0" t="str">
        <ns0:f>IF(A403=0,"",IF(F403&lt;&gt;"OK",F403,IF(J403&gt;0,"CHECK overlapping entry",IF(AND($B$6=0,G403&lt;=0,Bookings!G403&lt;&gt;"Cancelled"),"CHECK no working days",IF(Bookings!G403="Cancelled","Cancelled","OK")))))</ns0:f>
        <ns0:v/>
      </ns0:c>
      <ns0:c r="L403" s="0">
        <ns0:f>IF(LEFT(K403,5)="CHECK",1,0)</ns0:f>
        <ns0:v>0</ns0:v>
      </ns0:c>
      <ns0:c r="M403" s="0">
        <ns0:f>IF(AND(L403=1,OR(C403=0,IFERROR(INDEX($X$11:$X$60,C403),0)=0)),1,0)</ns0:f>
        <ns0:v>0</ns0:v>
      </ns0:c>
      <ns0:c r="N403" s="0">
        <ns0:f>IF(OR(A403=0,L403&gt;0,$B$6&gt;0,Bookings!G403="Cancelled"),0,G403)</ns0:f>
        <ns0:v>0</ns0:v>
      </ns0:c>
      <ns0:c r="O403" s="0">
        <ns0:f>IF(AND(Bookings!G403="Approved",E403="Yes"),N403,0)</ns0:f>
        <ns0:v>0</ns0:v>
      </ns0:c>
      <ns0:c r="P403" s="0">
        <ns0:f>IF(AND(Bookings!G403="Approved",E403="Yes",L403=0,$B$6=0),H403,0)</ns0:f>
        <ns0:v>0</ns0:v>
      </ns0:c>
      <ns0:c r="Q403" s="0">
        <ns0:f>IF(AND(Bookings!G403="Approved",E403="Yes",L403=0,$B$6=0),I403,0)</ns0:f>
        <ns0:v>0</ns0:v>
      </ns0:c>
      <ns0:c r="R403" s="0">
        <ns0:f>IF(AND(Bookings!G403="Pending",E403="Yes"),N403,0)</ns0:f>
        <ns0:v>0</ns0:v>
      </ns0:c>
      <ns0:c r="S403" s="0">
        <ns0:f>IF(AND(Bookings!G403="Approved",E403="No"),N403,0)</ns0:f>
        <ns0:v>0</ns0:v>
      </ns0:c>
      <ns0:c r="T403" s="0">
        <ns0:f>IFERROR(MATCH(D403,Settings!$G$7:$G$11,0),0)</ns0:f>
        <ns0:v>0</ns0:v>
      </ns0:c>
      <ns0:c r="U403" s="0">
        <ns0:f>IF(N403&gt;0,T403+IF(Bookings!G403="Pending",10,0),0)</ns0:f>
        <ns0:v>0</ns0:v>
      </ns0:c>
      <ns0:c r="V403" s="0">
        <ns0:f>U403</ns0:f>
        <ns0:v>0</ns0:v>
      </ns0:c>
      <ns0:c r="W403" s="0" t="str">
        <ns0:f>IF(C403=0,"",INDEX($AP$11:$AP$60,C403))</ns0:f>
        <ns0:v/>
      </ns0:c>
    </ns0:row>
    <ns0:row r="404">
      <ns0:c r="A404" s="0">
        <ns0:f>IF(COUNTA(Bookings!A404:G404,Bookings!I404)=0,0,1)</ns0:f>
        <ns0:v>0</ns0:v>
      </ns0:c>
      <ns0:c r="B404" s="0" t="str">
        <ns0:f>IFERROR(TRIM(MID(Bookings!A404,FIND(" · ",Bookings!A404)+3,99)),"")</ns0:f>
        <ns0:v/>
      </ns0:c>
      <ns0:c r="C404" s="0">
        <ns0:f>IF(OR(B404="",LEN(B404)&gt;24,ISNUMBER(FIND(" ",B404)),ISNUMBER(FIND("*",B404)),ISNUMBER(FIND("?",B404)),ISNUMBER(FIND("~",B404))),0,IFERROR(MATCH(B404,Team!$A$11:$A$60,0),0))</ns0:f>
        <ns0:v>0</ns0:v>
      </ns0:c>
      <ns0:c r="D404" s="0" t="str">
        <ns0:f>IFERROR(IF(MID(Bookings!F404,LEN(Bookings!F404)-3,3)=" · ",RIGHT(Bookings!F404,1),""),"")</ns0:f>
        <ns0:v/>
      </ns0:c>
      <ns0:c r="E404" s="0" t="str">
        <ns0:f>IFERROR(INDEX(Settings!$H$7:$H$11,MATCH(D404,Settings!$G$7:$G$11,0)),"")</ns0:f>
        <ns0:v/>
      </ns0:c>
      <ns0:c r="F404" s="0" t="str">
        <ns0:f>IF(A404=0,"",IFERROR(IF(OR(B404="",C404=0),"CHECK employee selection",IF(INDEX(Team!$O$11:$O$60,C404)&lt;&gt;"OK","CHECK employee setup",IF(OR('_Dates'!J404=0,'_Dates'!T404=0),"CHECK date: use DD.MM.YYYY",IF('_Dates'!T404&lt;'_Dates'!J404,"CHECK end before start",IF(AND($B$6=0,OR('_Dates'!J404&lt;Settings!$B$7,'_Dates'!T404&gt;Settings!$B$8)),"CHECK split across leave years",IF(OR(NOT(OR('_Dates'!U404="Full day",'_Dates'!U404="AM",'_Dates'!U404="PM")),NOT(OR('_Dates'!V404="Full day",'_Dates'!V404="AM",'_Dates'!V404="PM"))),"CHECK Full day / AM / PM",IF(AND('_Dates'!J404='_Dates'!T404,'_Dates'!U404&lt;&gt;"Full day",'_Dates'!V404&lt;&gt;"Full day",'_Dates'!U404&lt;&gt;'_Dates'!V404),"CHECK same-day portions disagree",IF(AND($B$6=0,OR(AND('_Dates'!U404&lt;&gt;"Full day",'_Dates'!AA404=0),AND('_Dates'!V404&lt;&gt;"Full day",'_Dates'!AB404=0))),"CHECK half-day on non-working date",IF(COUNTIF(Settings!$G$7:$G$11,D404)&lt;&gt;1,"CHECK leave type",IF(AND(Bookings!G404&lt;&gt;"Approved",Bookings!G404&lt;&gt;"Pending",Bookings!G404&lt;&gt;"Cancelled"),"CHECK status","OK")))))))))),"CHECK input"))</ns0:f>
        <ns0:v/>
      </ns0:c>
      <ns0:c r="G404" s="0">
        <ns0:f>IF(OR(F404&lt;&gt;"OK",$B$6&gt;0),0,0.5*(IF(('_Dates'!X404)&lt;('_Dates'!W404),0,INT((('_Dates'!X404)-('_Dates'!W404)+1)/7)*LEN(SUBSTITUTE(W404,"O",""))+LEN(SUBSTITUTE(MID(W404&amp;W404,WEEKDAY(('_Dates'!W404),2),MOD((('_Dates'!X404)-('_Dates'!W404)+1),7)),"O",""))-COUNTIFS(INDEX(AllClosureRows,C404,0),"&gt;="&amp;('_Dates'!W404),INDEX(AllClosureRows,C404,0),"&lt;="&amp;('_Dates'!X404)))+IF(('_Dates'!Z404)&lt;('_Dates'!Y404),0,INT((('_Dates'!Z404)-('_Dates'!Y404)+1)/7)*LEN(SUBSTITUTE(W404,"O",""))+LEN(SUBSTITUTE(MID(W404&amp;W404,WEEKDAY(('_Dates'!Y404),2),MOD((('_Dates'!Z404)-('_Dates'!Y404)+1),7)),"O",""))-COUNTIFS(INDEX(AllClosureRows,C404,0),"&gt;="&amp;('_Dates'!Y404),INDEX(AllClosureRows,C404,0),"&lt;="&amp;('_Dates'!Z404)))))</ns0:f>
        <ns0:v>0</ns0:v>
      </ns0:c>
      <ns0:c r="H404" s="0">
        <ns0:f>IF(OR(F404&lt;&gt;"OK",$B$6&gt;0),0,0.5*(IF((MIN('_Dates'!X404,Settings!$B$9))&lt;('_Dates'!W404),0,INT(((MIN('_Dates'!X404,Settings!$B$9))-('_Dates'!W404)+1)/7)*LEN(SUBSTITUTE(W404,"O",""))+LEN(SUBSTITUTE(MID(W404&amp;W404,WEEKDAY(('_Dates'!W404),2),MOD(((MIN('_Dates'!X404,Settings!$B$9))-('_Dates'!W404)+1),7)),"O",""))-COUNTIFS(INDEX(AllClosureRows,C404,0),"&gt;="&amp;('_Dates'!W404),INDEX(AllClosureRows,C404,0),"&lt;="&amp;(MIN('_Dates'!X404,Settings!$B$9))))+IF((MIN('_Dates'!Z404,Settings!$B$9))&lt;('_Dates'!Y404),0,INT(((MIN('_Dates'!Z404,Settings!$B$9))-('_Dates'!Y404)+1)/7)*LEN(SUBSTITUTE(W404,"O",""))+LEN(SUBSTITUTE(MID(W404&amp;W404,WEEKDAY(('_Dates'!Y404),2),MOD(((MIN('_Dates'!Z404,Settings!$B$9))-('_Dates'!Y404)+1),7)),"O",""))-COUNTIFS(INDEX(AllClosureRows,C404,0),"&gt;="&amp;('_Dates'!Y404),INDEX(AllClosureRows,C404,0),"&lt;="&amp;(MIN('_Dates'!Z404,Settings!$B$9))))))</ns0:f>
        <ns0:v>0</ns0:v>
      </ns0:c>
      <ns0:c r="I404" s="0">
        <ns0:f>MAX(0,G404-H404)</ns0:f>
        <ns0:v>0</ns0:v>
      </ns0:c>
      <ns0:c r="J404" s="0">
        <ns0:f>IF(OR(A404=0,F404&lt;&gt;"OK",Bookings!G404="Cancelled",$B$6&gt;0),0,IF('_Dates'!AC404=1,MAX(0,COUNTIFS(rngEngine_B,B404,rngAMStart,"&lt;="&amp;'_Dates'!X404,rngAMEnd,"&gt;="&amp;'_Dates'!W404,rngAMActive,1,rngEngine_F,"OK",rngBookings_F,"&lt;&gt;Cancelled")-1),0)+IF('_Dates'!AD404=1,MAX(0,COUNTIFS(rngEngine_B,B404,rngPMStart,"&lt;="&amp;'_Dates'!Z404,rngPMEnd,"&gt;="&amp;'_Dates'!Y404,rngPMActive,1,rngEngine_F,"OK",rngBookings_F,"&lt;&gt;Cancelled")-1),0))</ns0:f>
        <ns0:v>0</ns0:v>
      </ns0:c>
      <ns0:c r="K404" s="0" t="str">
        <ns0:f>IF(A404=0,"",IF(F404&lt;&gt;"OK",F404,IF(J404&gt;0,"CHECK overlapping entry",IF(AND($B$6=0,G404&lt;=0,Bookings!G404&lt;&gt;"Cancelled"),"CHECK no working days",IF(Bookings!G404="Cancelled","Cancelled","OK")))))</ns0:f>
        <ns0:v/>
      </ns0:c>
      <ns0:c r="L404" s="0">
        <ns0:f>IF(LEFT(K404,5)="CHECK",1,0)</ns0:f>
        <ns0:v>0</ns0:v>
      </ns0:c>
      <ns0:c r="M404" s="0">
        <ns0:f>IF(AND(L404=1,OR(C404=0,IFERROR(INDEX($X$11:$X$60,C404),0)=0)),1,0)</ns0:f>
        <ns0:v>0</ns0:v>
      </ns0:c>
      <ns0:c r="N404" s="0">
        <ns0:f>IF(OR(A404=0,L404&gt;0,$B$6&gt;0,Bookings!G404="Cancelled"),0,G404)</ns0:f>
        <ns0:v>0</ns0:v>
      </ns0:c>
      <ns0:c r="O404" s="0">
        <ns0:f>IF(AND(Bookings!G404="Approved",E404="Yes"),N404,0)</ns0:f>
        <ns0:v>0</ns0:v>
      </ns0:c>
      <ns0:c r="P404" s="0">
        <ns0:f>IF(AND(Bookings!G404="Approved",E404="Yes",L404=0,$B$6=0),H404,0)</ns0:f>
        <ns0:v>0</ns0:v>
      </ns0:c>
      <ns0:c r="Q404" s="0">
        <ns0:f>IF(AND(Bookings!G404="Approved",E404="Yes",L404=0,$B$6=0),I404,0)</ns0:f>
        <ns0:v>0</ns0:v>
      </ns0:c>
      <ns0:c r="R404" s="0">
        <ns0:f>IF(AND(Bookings!G404="Pending",E404="Yes"),N404,0)</ns0:f>
        <ns0:v>0</ns0:v>
      </ns0:c>
      <ns0:c r="S404" s="0">
        <ns0:f>IF(AND(Bookings!G404="Approved",E404="No"),N404,0)</ns0:f>
        <ns0:v>0</ns0:v>
      </ns0:c>
      <ns0:c r="T404" s="0">
        <ns0:f>IFERROR(MATCH(D404,Settings!$G$7:$G$11,0),0)</ns0:f>
        <ns0:v>0</ns0:v>
      </ns0:c>
      <ns0:c r="U404" s="0">
        <ns0:f>IF(N404&gt;0,T404+IF(Bookings!G404="Pending",10,0),0)</ns0:f>
        <ns0:v>0</ns0:v>
      </ns0:c>
      <ns0:c r="V404" s="0">
        <ns0:f>U404</ns0:f>
        <ns0:v>0</ns0:v>
      </ns0:c>
      <ns0:c r="W404" s="0" t="str">
        <ns0:f>IF(C404=0,"",INDEX($AP$11:$AP$60,C404))</ns0:f>
        <ns0:v/>
      </ns0:c>
    </ns0:row>
    <ns0:row r="405">
      <ns0:c r="A405" s="0">
        <ns0:f>IF(COUNTA(Bookings!A405:G405,Bookings!I405)=0,0,1)</ns0:f>
        <ns0:v>0</ns0:v>
      </ns0:c>
      <ns0:c r="B405" s="0" t="str">
        <ns0:f>IFERROR(TRIM(MID(Bookings!A405,FIND(" · ",Bookings!A405)+3,99)),"")</ns0:f>
        <ns0:v/>
      </ns0:c>
      <ns0:c r="C405" s="0">
        <ns0:f>IF(OR(B405="",LEN(B405)&gt;24,ISNUMBER(FIND(" ",B405)),ISNUMBER(FIND("*",B405)),ISNUMBER(FIND("?",B405)),ISNUMBER(FIND("~",B405))),0,IFERROR(MATCH(B405,Team!$A$11:$A$60,0),0))</ns0:f>
        <ns0:v>0</ns0:v>
      </ns0:c>
      <ns0:c r="D405" s="0" t="str">
        <ns0:f>IFERROR(IF(MID(Bookings!F405,LEN(Bookings!F405)-3,3)=" · ",RIGHT(Bookings!F405,1),""),"")</ns0:f>
        <ns0:v/>
      </ns0:c>
      <ns0:c r="E405" s="0" t="str">
        <ns0:f>IFERROR(INDEX(Settings!$H$7:$H$11,MATCH(D405,Settings!$G$7:$G$11,0)),"")</ns0:f>
        <ns0:v/>
      </ns0:c>
      <ns0:c r="F405" s="0" t="str">
        <ns0:f>IF(A405=0,"",IFERROR(IF(OR(B405="",C405=0),"CHECK employee selection",IF(INDEX(Team!$O$11:$O$60,C405)&lt;&gt;"OK","CHECK employee setup",IF(OR('_Dates'!J405=0,'_Dates'!T405=0),"CHECK date: use DD.MM.YYYY",IF('_Dates'!T405&lt;'_Dates'!J405,"CHECK end before start",IF(AND($B$6=0,OR('_Dates'!J405&lt;Settings!$B$7,'_Dates'!T405&gt;Settings!$B$8)),"CHECK split across leave years",IF(OR(NOT(OR('_Dates'!U405="Full day",'_Dates'!U405="AM",'_Dates'!U405="PM")),NOT(OR('_Dates'!V405="Full day",'_Dates'!V405="AM",'_Dates'!V405="PM"))),"CHECK Full day / AM / PM",IF(AND('_Dates'!J405='_Dates'!T405,'_Dates'!U405&lt;&gt;"Full day",'_Dates'!V405&lt;&gt;"Full day",'_Dates'!U405&lt;&gt;'_Dates'!V405),"CHECK same-day portions disagree",IF(AND($B$6=0,OR(AND('_Dates'!U405&lt;&gt;"Full day",'_Dates'!AA405=0),AND('_Dates'!V405&lt;&gt;"Full day",'_Dates'!AB405=0))),"CHECK half-day on non-working date",IF(COUNTIF(Settings!$G$7:$G$11,D405)&lt;&gt;1,"CHECK leave type",IF(AND(Bookings!G405&lt;&gt;"Approved",Bookings!G405&lt;&gt;"Pending",Bookings!G405&lt;&gt;"Cancelled"),"CHECK status","OK")))))))))),"CHECK input"))</ns0:f>
        <ns0:v/>
      </ns0:c>
      <ns0:c r="G405" s="0">
        <ns0:f>IF(OR(F405&lt;&gt;"OK",$B$6&gt;0),0,0.5*(IF(('_Dates'!X405)&lt;('_Dates'!W405),0,INT((('_Dates'!X405)-('_Dates'!W405)+1)/7)*LEN(SUBSTITUTE(W405,"O",""))+LEN(SUBSTITUTE(MID(W405&amp;W405,WEEKDAY(('_Dates'!W405),2),MOD((('_Dates'!X405)-('_Dates'!W405)+1),7)),"O",""))-COUNTIFS(INDEX(AllClosureRows,C405,0),"&gt;="&amp;('_Dates'!W405),INDEX(AllClosureRows,C405,0),"&lt;="&amp;('_Dates'!X405)))+IF(('_Dates'!Z405)&lt;('_Dates'!Y405),0,INT((('_Dates'!Z405)-('_Dates'!Y405)+1)/7)*LEN(SUBSTITUTE(W405,"O",""))+LEN(SUBSTITUTE(MID(W405&amp;W405,WEEKDAY(('_Dates'!Y405),2),MOD((('_Dates'!Z405)-('_Dates'!Y405)+1),7)),"O",""))-COUNTIFS(INDEX(AllClosureRows,C405,0),"&gt;="&amp;('_Dates'!Y405),INDEX(AllClosureRows,C405,0),"&lt;="&amp;('_Dates'!Z405)))))</ns0:f>
        <ns0:v>0</ns0:v>
      </ns0:c>
      <ns0:c r="H405" s="0">
        <ns0:f>IF(OR(F405&lt;&gt;"OK",$B$6&gt;0),0,0.5*(IF((MIN('_Dates'!X405,Settings!$B$9))&lt;('_Dates'!W405),0,INT(((MIN('_Dates'!X405,Settings!$B$9))-('_Dates'!W405)+1)/7)*LEN(SUBSTITUTE(W405,"O",""))+LEN(SUBSTITUTE(MID(W405&amp;W405,WEEKDAY(('_Dates'!W405),2),MOD(((MIN('_Dates'!X405,Settings!$B$9))-('_Dates'!W405)+1),7)),"O",""))-COUNTIFS(INDEX(AllClosureRows,C405,0),"&gt;="&amp;('_Dates'!W405),INDEX(AllClosureRows,C405,0),"&lt;="&amp;(MIN('_Dates'!X405,Settings!$B$9))))+IF((MIN('_Dates'!Z405,Settings!$B$9))&lt;('_Dates'!Y405),0,INT(((MIN('_Dates'!Z405,Settings!$B$9))-('_Dates'!Y405)+1)/7)*LEN(SUBSTITUTE(W405,"O",""))+LEN(SUBSTITUTE(MID(W405&amp;W405,WEEKDAY(('_Dates'!Y405),2),MOD(((MIN('_Dates'!Z405,Settings!$B$9))-('_Dates'!Y405)+1),7)),"O",""))-COUNTIFS(INDEX(AllClosureRows,C405,0),"&gt;="&amp;('_Dates'!Y405),INDEX(AllClosureRows,C405,0),"&lt;="&amp;(MIN('_Dates'!Z405,Settings!$B$9))))))</ns0:f>
        <ns0:v>0</ns0:v>
      </ns0:c>
      <ns0:c r="I405" s="0">
        <ns0:f>MAX(0,G405-H405)</ns0:f>
        <ns0:v>0</ns0:v>
      </ns0:c>
      <ns0:c r="J405" s="0">
        <ns0:f>IF(OR(A405=0,F405&lt;&gt;"OK",Bookings!G405="Cancelled",$B$6&gt;0),0,IF('_Dates'!AC405=1,MAX(0,COUNTIFS(rngEngine_B,B405,rngAMStart,"&lt;="&amp;'_Dates'!X405,rngAMEnd,"&gt;="&amp;'_Dates'!W405,rngAMActive,1,rngEngine_F,"OK",rngBookings_F,"&lt;&gt;Cancelled")-1),0)+IF('_Dates'!AD405=1,MAX(0,COUNTIFS(rngEngine_B,B405,rngPMStart,"&lt;="&amp;'_Dates'!Z405,rngPMEnd,"&gt;="&amp;'_Dates'!Y405,rngPMActive,1,rngEngine_F,"OK",rngBookings_F,"&lt;&gt;Cancelled")-1),0))</ns0:f>
        <ns0:v>0</ns0:v>
      </ns0:c>
      <ns0:c r="K405" s="0" t="str">
        <ns0:f>IF(A405=0,"",IF(F405&lt;&gt;"OK",F405,IF(J405&gt;0,"CHECK overlapping entry",IF(AND($B$6=0,G405&lt;=0,Bookings!G405&lt;&gt;"Cancelled"),"CHECK no working days",IF(Bookings!G405="Cancelled","Cancelled","OK")))))</ns0:f>
        <ns0:v/>
      </ns0:c>
      <ns0:c r="L405" s="0">
        <ns0:f>IF(LEFT(K405,5)="CHECK",1,0)</ns0:f>
        <ns0:v>0</ns0:v>
      </ns0:c>
      <ns0:c r="M405" s="0">
        <ns0:f>IF(AND(L405=1,OR(C405=0,IFERROR(INDEX($X$11:$X$60,C405),0)=0)),1,0)</ns0:f>
        <ns0:v>0</ns0:v>
      </ns0:c>
      <ns0:c r="N405" s="0">
        <ns0:f>IF(OR(A405=0,L405&gt;0,$B$6&gt;0,Bookings!G405="Cancelled"),0,G405)</ns0:f>
        <ns0:v>0</ns0:v>
      </ns0:c>
      <ns0:c r="O405" s="0">
        <ns0:f>IF(AND(Bookings!G405="Approved",E405="Yes"),N405,0)</ns0:f>
        <ns0:v>0</ns0:v>
      </ns0:c>
      <ns0:c r="P405" s="0">
        <ns0:f>IF(AND(Bookings!G405="Approved",E405="Yes",L405=0,$B$6=0),H405,0)</ns0:f>
        <ns0:v>0</ns0:v>
      </ns0:c>
      <ns0:c r="Q405" s="0">
        <ns0:f>IF(AND(Bookings!G405="Approved",E405="Yes",L405=0,$B$6=0),I405,0)</ns0:f>
        <ns0:v>0</ns0:v>
      </ns0:c>
      <ns0:c r="R405" s="0">
        <ns0:f>IF(AND(Bookings!G405="Pending",E405="Yes"),N405,0)</ns0:f>
        <ns0:v>0</ns0:v>
      </ns0:c>
      <ns0:c r="S405" s="0">
        <ns0:f>IF(AND(Bookings!G405="Approved",E405="No"),N405,0)</ns0:f>
        <ns0:v>0</ns0:v>
      </ns0:c>
      <ns0:c r="T405" s="0">
        <ns0:f>IFERROR(MATCH(D405,Settings!$G$7:$G$11,0),0)</ns0:f>
        <ns0:v>0</ns0:v>
      </ns0:c>
      <ns0:c r="U405" s="0">
        <ns0:f>IF(N405&gt;0,T405+IF(Bookings!G405="Pending",10,0),0)</ns0:f>
        <ns0:v>0</ns0:v>
      </ns0:c>
      <ns0:c r="V405" s="0">
        <ns0:f>U405</ns0:f>
        <ns0:v>0</ns0:v>
      </ns0:c>
      <ns0:c r="W405" s="0" t="str">
        <ns0:f>IF(C405=0,"",INDEX($AP$11:$AP$60,C405))</ns0:f>
        <ns0:v/>
      </ns0:c>
    </ns0:row>
    <ns0:row r="406">
      <ns0:c r="A406" s="0">
        <ns0:f>IF(COUNTA(Bookings!A406:G406,Bookings!I406)=0,0,1)</ns0:f>
        <ns0:v>0</ns0:v>
      </ns0:c>
      <ns0:c r="B406" s="0" t="str">
        <ns0:f>IFERROR(TRIM(MID(Bookings!A406,FIND(" · ",Bookings!A406)+3,99)),"")</ns0:f>
        <ns0:v/>
      </ns0:c>
      <ns0:c r="C406" s="0">
        <ns0:f>IF(OR(B406="",LEN(B406)&gt;24,ISNUMBER(FIND(" ",B406)),ISNUMBER(FIND("*",B406)),ISNUMBER(FIND("?",B406)),ISNUMBER(FIND("~",B406))),0,IFERROR(MATCH(B406,Team!$A$11:$A$60,0),0))</ns0:f>
        <ns0:v>0</ns0:v>
      </ns0:c>
      <ns0:c r="D406" s="0" t="str">
        <ns0:f>IFERROR(IF(MID(Bookings!F406,LEN(Bookings!F406)-3,3)=" · ",RIGHT(Bookings!F406,1),""),"")</ns0:f>
        <ns0:v/>
      </ns0:c>
      <ns0:c r="E406" s="0" t="str">
        <ns0:f>IFERROR(INDEX(Settings!$H$7:$H$11,MATCH(D406,Settings!$G$7:$G$11,0)),"")</ns0:f>
        <ns0:v/>
      </ns0:c>
      <ns0:c r="F406" s="0" t="str">
        <ns0:f>IF(A406=0,"",IFERROR(IF(OR(B406="",C406=0),"CHECK employee selection",IF(INDEX(Team!$O$11:$O$60,C406)&lt;&gt;"OK","CHECK employee setup",IF(OR('_Dates'!J406=0,'_Dates'!T406=0),"CHECK date: use DD.MM.YYYY",IF('_Dates'!T406&lt;'_Dates'!J406,"CHECK end before start",IF(AND($B$6=0,OR('_Dates'!J406&lt;Settings!$B$7,'_Dates'!T406&gt;Settings!$B$8)),"CHECK split across leave years",IF(OR(NOT(OR('_Dates'!U406="Full day",'_Dates'!U406="AM",'_Dates'!U406="PM")),NOT(OR('_Dates'!V406="Full day",'_Dates'!V406="AM",'_Dates'!V406="PM"))),"CHECK Full day / AM / PM",IF(AND('_Dates'!J406='_Dates'!T406,'_Dates'!U406&lt;&gt;"Full day",'_Dates'!V406&lt;&gt;"Full day",'_Dates'!U406&lt;&gt;'_Dates'!V406),"CHECK same-day portions disagree",IF(AND($B$6=0,OR(AND('_Dates'!U406&lt;&gt;"Full day",'_Dates'!AA406=0),AND('_Dates'!V406&lt;&gt;"Full day",'_Dates'!AB406=0))),"CHECK half-day on non-working date",IF(COUNTIF(Settings!$G$7:$G$11,D406)&lt;&gt;1,"CHECK leave type",IF(AND(Bookings!G406&lt;&gt;"Approved",Bookings!G406&lt;&gt;"Pending",Bookings!G406&lt;&gt;"Cancelled"),"CHECK status","OK")))))))))),"CHECK input"))</ns0:f>
        <ns0:v/>
      </ns0:c>
      <ns0:c r="G406" s="0">
        <ns0:f>IF(OR(F406&lt;&gt;"OK",$B$6&gt;0),0,0.5*(IF(('_Dates'!X406)&lt;('_Dates'!W406),0,INT((('_Dates'!X406)-('_Dates'!W406)+1)/7)*LEN(SUBSTITUTE(W406,"O",""))+LEN(SUBSTITUTE(MID(W406&amp;W406,WEEKDAY(('_Dates'!W406),2),MOD((('_Dates'!X406)-('_Dates'!W406)+1),7)),"O",""))-COUNTIFS(INDEX(AllClosureRows,C406,0),"&gt;="&amp;('_Dates'!W406),INDEX(AllClosureRows,C406,0),"&lt;="&amp;('_Dates'!X406)))+IF(('_Dates'!Z406)&lt;('_Dates'!Y406),0,INT((('_Dates'!Z406)-('_Dates'!Y406)+1)/7)*LEN(SUBSTITUTE(W406,"O",""))+LEN(SUBSTITUTE(MID(W406&amp;W406,WEEKDAY(('_Dates'!Y406),2),MOD((('_Dates'!Z406)-('_Dates'!Y406)+1),7)),"O",""))-COUNTIFS(INDEX(AllClosureRows,C406,0),"&gt;="&amp;('_Dates'!Y406),INDEX(AllClosureRows,C406,0),"&lt;="&amp;('_Dates'!Z406)))))</ns0:f>
        <ns0:v>0</ns0:v>
      </ns0:c>
      <ns0:c r="H406" s="0">
        <ns0:f>IF(OR(F406&lt;&gt;"OK",$B$6&gt;0),0,0.5*(IF((MIN('_Dates'!X406,Settings!$B$9))&lt;('_Dates'!W406),0,INT(((MIN('_Dates'!X406,Settings!$B$9))-('_Dates'!W406)+1)/7)*LEN(SUBSTITUTE(W406,"O",""))+LEN(SUBSTITUTE(MID(W406&amp;W406,WEEKDAY(('_Dates'!W406),2),MOD(((MIN('_Dates'!X406,Settings!$B$9))-('_Dates'!W406)+1),7)),"O",""))-COUNTIFS(INDEX(AllClosureRows,C406,0),"&gt;="&amp;('_Dates'!W406),INDEX(AllClosureRows,C406,0),"&lt;="&amp;(MIN('_Dates'!X406,Settings!$B$9))))+IF((MIN('_Dates'!Z406,Settings!$B$9))&lt;('_Dates'!Y406),0,INT(((MIN('_Dates'!Z406,Settings!$B$9))-('_Dates'!Y406)+1)/7)*LEN(SUBSTITUTE(W406,"O",""))+LEN(SUBSTITUTE(MID(W406&amp;W406,WEEKDAY(('_Dates'!Y406),2),MOD(((MIN('_Dates'!Z406,Settings!$B$9))-('_Dates'!Y406)+1),7)),"O",""))-COUNTIFS(INDEX(AllClosureRows,C406,0),"&gt;="&amp;('_Dates'!Y406),INDEX(AllClosureRows,C406,0),"&lt;="&amp;(MIN('_Dates'!Z406,Settings!$B$9))))))</ns0:f>
        <ns0:v>0</ns0:v>
      </ns0:c>
      <ns0:c r="I406" s="0">
        <ns0:f>MAX(0,G406-H406)</ns0:f>
        <ns0:v>0</ns0:v>
      </ns0:c>
      <ns0:c r="J406" s="0">
        <ns0:f>IF(OR(A406=0,F406&lt;&gt;"OK",Bookings!G406="Cancelled",$B$6&gt;0),0,IF('_Dates'!AC406=1,MAX(0,COUNTIFS(rngEngine_B,B406,rngAMStart,"&lt;="&amp;'_Dates'!X406,rngAMEnd,"&gt;="&amp;'_Dates'!W406,rngAMActive,1,rngEngine_F,"OK",rngBookings_F,"&lt;&gt;Cancelled")-1),0)+IF('_Dates'!AD406=1,MAX(0,COUNTIFS(rngEngine_B,B406,rngPMStart,"&lt;="&amp;'_Dates'!Z406,rngPMEnd,"&gt;="&amp;'_Dates'!Y406,rngPMActive,1,rngEngine_F,"OK",rngBookings_F,"&lt;&gt;Cancelled")-1),0))</ns0:f>
        <ns0:v>0</ns0:v>
      </ns0:c>
      <ns0:c r="K406" s="0" t="str">
        <ns0:f>IF(A406=0,"",IF(F406&lt;&gt;"OK",F406,IF(J406&gt;0,"CHECK overlapping entry",IF(AND($B$6=0,G406&lt;=0,Bookings!G406&lt;&gt;"Cancelled"),"CHECK no working days",IF(Bookings!G406="Cancelled","Cancelled","OK")))))</ns0:f>
        <ns0:v/>
      </ns0:c>
      <ns0:c r="L406" s="0">
        <ns0:f>IF(LEFT(K406,5)="CHECK",1,0)</ns0:f>
        <ns0:v>0</ns0:v>
      </ns0:c>
      <ns0:c r="M406" s="0">
        <ns0:f>IF(AND(L406=1,OR(C406=0,IFERROR(INDEX($X$11:$X$60,C406),0)=0)),1,0)</ns0:f>
        <ns0:v>0</ns0:v>
      </ns0:c>
      <ns0:c r="N406" s="0">
        <ns0:f>IF(OR(A406=0,L406&gt;0,$B$6&gt;0,Bookings!G406="Cancelled"),0,G406)</ns0:f>
        <ns0:v>0</ns0:v>
      </ns0:c>
      <ns0:c r="O406" s="0">
        <ns0:f>IF(AND(Bookings!G406="Approved",E406="Yes"),N406,0)</ns0:f>
        <ns0:v>0</ns0:v>
      </ns0:c>
      <ns0:c r="P406" s="0">
        <ns0:f>IF(AND(Bookings!G406="Approved",E406="Yes",L406=0,$B$6=0),H406,0)</ns0:f>
        <ns0:v>0</ns0:v>
      </ns0:c>
      <ns0:c r="Q406" s="0">
        <ns0:f>IF(AND(Bookings!G406="Approved",E406="Yes",L406=0,$B$6=0),I406,0)</ns0:f>
        <ns0:v>0</ns0:v>
      </ns0:c>
      <ns0:c r="R406" s="0">
        <ns0:f>IF(AND(Bookings!G406="Pending",E406="Yes"),N406,0)</ns0:f>
        <ns0:v>0</ns0:v>
      </ns0:c>
      <ns0:c r="S406" s="0">
        <ns0:f>IF(AND(Bookings!G406="Approved",E406="No"),N406,0)</ns0:f>
        <ns0:v>0</ns0:v>
      </ns0:c>
      <ns0:c r="T406" s="0">
        <ns0:f>IFERROR(MATCH(D406,Settings!$G$7:$G$11,0),0)</ns0:f>
        <ns0:v>0</ns0:v>
      </ns0:c>
      <ns0:c r="U406" s="0">
        <ns0:f>IF(N406&gt;0,T406+IF(Bookings!G406="Pending",10,0),0)</ns0:f>
        <ns0:v>0</ns0:v>
      </ns0:c>
      <ns0:c r="V406" s="0">
        <ns0:f>U406</ns0:f>
        <ns0:v>0</ns0:v>
      </ns0:c>
      <ns0:c r="W406" s="0" t="str">
        <ns0:f>IF(C406=0,"",INDEX($AP$11:$AP$60,C406))</ns0:f>
        <ns0:v/>
      </ns0:c>
    </ns0:row>
    <ns0:row r="407">
      <ns0:c r="A407" s="0">
        <ns0:f>IF(COUNTA(Bookings!A407:G407,Bookings!I407)=0,0,1)</ns0:f>
        <ns0:v>0</ns0:v>
      </ns0:c>
      <ns0:c r="B407" s="0" t="str">
        <ns0:f>IFERROR(TRIM(MID(Bookings!A407,FIND(" · ",Bookings!A407)+3,99)),"")</ns0:f>
        <ns0:v/>
      </ns0:c>
      <ns0:c r="C407" s="0">
        <ns0:f>IF(OR(B407="",LEN(B407)&gt;24,ISNUMBER(FIND(" ",B407)),ISNUMBER(FIND("*",B407)),ISNUMBER(FIND("?",B407)),ISNUMBER(FIND("~",B407))),0,IFERROR(MATCH(B407,Team!$A$11:$A$60,0),0))</ns0:f>
        <ns0:v>0</ns0:v>
      </ns0:c>
      <ns0:c r="D407" s="0" t="str">
        <ns0:f>IFERROR(IF(MID(Bookings!F407,LEN(Bookings!F407)-3,3)=" · ",RIGHT(Bookings!F407,1),""),"")</ns0:f>
        <ns0:v/>
      </ns0:c>
      <ns0:c r="E407" s="0" t="str">
        <ns0:f>IFERROR(INDEX(Settings!$H$7:$H$11,MATCH(D407,Settings!$G$7:$G$11,0)),"")</ns0:f>
        <ns0:v/>
      </ns0:c>
      <ns0:c r="F407" s="0" t="str">
        <ns0:f>IF(A407=0,"",IFERROR(IF(OR(B407="",C407=0),"CHECK employee selection",IF(INDEX(Team!$O$11:$O$60,C407)&lt;&gt;"OK","CHECK employee setup",IF(OR('_Dates'!J407=0,'_Dates'!T407=0),"CHECK date: use DD.MM.YYYY",IF('_Dates'!T407&lt;'_Dates'!J407,"CHECK end before start",IF(AND($B$6=0,OR('_Dates'!J407&lt;Settings!$B$7,'_Dates'!T407&gt;Settings!$B$8)),"CHECK split across leave years",IF(OR(NOT(OR('_Dates'!U407="Full day",'_Dates'!U407="AM",'_Dates'!U407="PM")),NOT(OR('_Dates'!V407="Full day",'_Dates'!V407="AM",'_Dates'!V407="PM"))),"CHECK Full day / AM / PM",IF(AND('_Dates'!J407='_Dates'!T407,'_Dates'!U407&lt;&gt;"Full day",'_Dates'!V407&lt;&gt;"Full day",'_Dates'!U407&lt;&gt;'_Dates'!V407),"CHECK same-day portions disagree",IF(AND($B$6=0,OR(AND('_Dates'!U407&lt;&gt;"Full day",'_Dates'!AA407=0),AND('_Dates'!V407&lt;&gt;"Full day",'_Dates'!AB407=0))),"CHECK half-day on non-working date",IF(COUNTIF(Settings!$G$7:$G$11,D407)&lt;&gt;1,"CHECK leave type",IF(AND(Bookings!G407&lt;&gt;"Approved",Bookings!G407&lt;&gt;"Pending",Bookings!G407&lt;&gt;"Cancelled"),"CHECK status","OK")))))))))),"CHECK input"))</ns0:f>
        <ns0:v/>
      </ns0:c>
      <ns0:c r="G407" s="0">
        <ns0:f>IF(OR(F407&lt;&gt;"OK",$B$6&gt;0),0,0.5*(IF(('_Dates'!X407)&lt;('_Dates'!W407),0,INT((('_Dates'!X407)-('_Dates'!W407)+1)/7)*LEN(SUBSTITUTE(W407,"O",""))+LEN(SUBSTITUTE(MID(W407&amp;W407,WEEKDAY(('_Dates'!W407),2),MOD((('_Dates'!X407)-('_Dates'!W407)+1),7)),"O",""))-COUNTIFS(INDEX(AllClosureRows,C407,0),"&gt;="&amp;('_Dates'!W407),INDEX(AllClosureRows,C407,0),"&lt;="&amp;('_Dates'!X407)))+IF(('_Dates'!Z407)&lt;('_Dates'!Y407),0,INT((('_Dates'!Z407)-('_Dates'!Y407)+1)/7)*LEN(SUBSTITUTE(W407,"O",""))+LEN(SUBSTITUTE(MID(W407&amp;W407,WEEKDAY(('_Dates'!Y407),2),MOD((('_Dates'!Z407)-('_Dates'!Y407)+1),7)),"O",""))-COUNTIFS(INDEX(AllClosureRows,C407,0),"&gt;="&amp;('_Dates'!Y407),INDEX(AllClosureRows,C407,0),"&lt;="&amp;('_Dates'!Z407)))))</ns0:f>
        <ns0:v>0</ns0:v>
      </ns0:c>
      <ns0:c r="H407" s="0">
        <ns0:f>IF(OR(F407&lt;&gt;"OK",$B$6&gt;0),0,0.5*(IF((MIN('_Dates'!X407,Settings!$B$9))&lt;('_Dates'!W407),0,INT(((MIN('_Dates'!X407,Settings!$B$9))-('_Dates'!W407)+1)/7)*LEN(SUBSTITUTE(W407,"O",""))+LEN(SUBSTITUTE(MID(W407&amp;W407,WEEKDAY(('_Dates'!W407),2),MOD(((MIN('_Dates'!X407,Settings!$B$9))-('_Dates'!W407)+1),7)),"O",""))-COUNTIFS(INDEX(AllClosureRows,C407,0),"&gt;="&amp;('_Dates'!W407),INDEX(AllClosureRows,C407,0),"&lt;="&amp;(MIN('_Dates'!X407,Settings!$B$9))))+IF((MIN('_Dates'!Z407,Settings!$B$9))&lt;('_Dates'!Y407),0,INT(((MIN('_Dates'!Z407,Settings!$B$9))-('_Dates'!Y407)+1)/7)*LEN(SUBSTITUTE(W407,"O",""))+LEN(SUBSTITUTE(MID(W407&amp;W407,WEEKDAY(('_Dates'!Y407),2),MOD(((MIN('_Dates'!Z407,Settings!$B$9))-('_Dates'!Y407)+1),7)),"O",""))-COUNTIFS(INDEX(AllClosureRows,C407,0),"&gt;="&amp;('_Dates'!Y407),INDEX(AllClosureRows,C407,0),"&lt;="&amp;(MIN('_Dates'!Z407,Settings!$B$9))))))</ns0:f>
        <ns0:v>0</ns0:v>
      </ns0:c>
      <ns0:c r="I407" s="0">
        <ns0:f>MAX(0,G407-H407)</ns0:f>
        <ns0:v>0</ns0:v>
      </ns0:c>
      <ns0:c r="J407" s="0">
        <ns0:f>IF(OR(A407=0,F407&lt;&gt;"OK",Bookings!G407="Cancelled",$B$6&gt;0),0,IF('_Dates'!AC407=1,MAX(0,COUNTIFS(rngEngine_B,B407,rngAMStart,"&lt;="&amp;'_Dates'!X407,rngAMEnd,"&gt;="&amp;'_Dates'!W407,rngAMActive,1,rngEngine_F,"OK",rngBookings_F,"&lt;&gt;Cancelled")-1),0)+IF('_Dates'!AD407=1,MAX(0,COUNTIFS(rngEngine_B,B407,rngPMStart,"&lt;="&amp;'_Dates'!Z407,rngPMEnd,"&gt;="&amp;'_Dates'!Y407,rngPMActive,1,rngEngine_F,"OK",rngBookings_F,"&lt;&gt;Cancelled")-1),0))</ns0:f>
        <ns0:v>0</ns0:v>
      </ns0:c>
      <ns0:c r="K407" s="0" t="str">
        <ns0:f>IF(A407=0,"",IF(F407&lt;&gt;"OK",F407,IF(J407&gt;0,"CHECK overlapping entry",IF(AND($B$6=0,G407&lt;=0,Bookings!G407&lt;&gt;"Cancelled"),"CHECK no working days",IF(Bookings!G407="Cancelled","Cancelled","OK")))))</ns0:f>
        <ns0:v/>
      </ns0:c>
      <ns0:c r="L407" s="0">
        <ns0:f>IF(LEFT(K407,5)="CHECK",1,0)</ns0:f>
        <ns0:v>0</ns0:v>
      </ns0:c>
      <ns0:c r="M407" s="0">
        <ns0:f>IF(AND(L407=1,OR(C407=0,IFERROR(INDEX($X$11:$X$60,C407),0)=0)),1,0)</ns0:f>
        <ns0:v>0</ns0:v>
      </ns0:c>
      <ns0:c r="N407" s="0">
        <ns0:f>IF(OR(A407=0,L407&gt;0,$B$6&gt;0,Bookings!G407="Cancelled"),0,G407)</ns0:f>
        <ns0:v>0</ns0:v>
      </ns0:c>
      <ns0:c r="O407" s="0">
        <ns0:f>IF(AND(Bookings!G407="Approved",E407="Yes"),N407,0)</ns0:f>
        <ns0:v>0</ns0:v>
      </ns0:c>
      <ns0:c r="P407" s="0">
        <ns0:f>IF(AND(Bookings!G407="Approved",E407="Yes",L407=0,$B$6=0),H407,0)</ns0:f>
        <ns0:v>0</ns0:v>
      </ns0:c>
      <ns0:c r="Q407" s="0">
        <ns0:f>IF(AND(Bookings!G407="Approved",E407="Yes",L407=0,$B$6=0),I407,0)</ns0:f>
        <ns0:v>0</ns0:v>
      </ns0:c>
      <ns0:c r="R407" s="0">
        <ns0:f>IF(AND(Bookings!G407="Pending",E407="Yes"),N407,0)</ns0:f>
        <ns0:v>0</ns0:v>
      </ns0:c>
      <ns0:c r="S407" s="0">
        <ns0:f>IF(AND(Bookings!G407="Approved",E407="No"),N407,0)</ns0:f>
        <ns0:v>0</ns0:v>
      </ns0:c>
      <ns0:c r="T407" s="0">
        <ns0:f>IFERROR(MATCH(D407,Settings!$G$7:$G$11,0),0)</ns0:f>
        <ns0:v>0</ns0:v>
      </ns0:c>
      <ns0:c r="U407" s="0">
        <ns0:f>IF(N407&gt;0,T407+IF(Bookings!G407="Pending",10,0),0)</ns0:f>
        <ns0:v>0</ns0:v>
      </ns0:c>
      <ns0:c r="V407" s="0">
        <ns0:f>U407</ns0:f>
        <ns0:v>0</ns0:v>
      </ns0:c>
      <ns0:c r="W407" s="0" t="str">
        <ns0:f>IF(C407=0,"",INDEX($AP$11:$AP$60,C407))</ns0:f>
        <ns0:v/>
      </ns0:c>
    </ns0:row>
    <ns0:row r="408">
      <ns0:c r="A408" s="0">
        <ns0:f>IF(COUNTA(Bookings!A408:G408,Bookings!I408)=0,0,1)</ns0:f>
        <ns0:v>0</ns0:v>
      </ns0:c>
      <ns0:c r="B408" s="0" t="str">
        <ns0:f>IFERROR(TRIM(MID(Bookings!A408,FIND(" · ",Bookings!A408)+3,99)),"")</ns0:f>
        <ns0:v/>
      </ns0:c>
      <ns0:c r="C408" s="0">
        <ns0:f>IF(OR(B408="",LEN(B408)&gt;24,ISNUMBER(FIND(" ",B408)),ISNUMBER(FIND("*",B408)),ISNUMBER(FIND("?",B408)),ISNUMBER(FIND("~",B408))),0,IFERROR(MATCH(B408,Team!$A$11:$A$60,0),0))</ns0:f>
        <ns0:v>0</ns0:v>
      </ns0:c>
      <ns0:c r="D408" s="0" t="str">
        <ns0:f>IFERROR(IF(MID(Bookings!F408,LEN(Bookings!F408)-3,3)=" · ",RIGHT(Bookings!F408,1),""),"")</ns0:f>
        <ns0:v/>
      </ns0:c>
      <ns0:c r="E408" s="0" t="str">
        <ns0:f>IFERROR(INDEX(Settings!$H$7:$H$11,MATCH(D408,Settings!$G$7:$G$11,0)),"")</ns0:f>
        <ns0:v/>
      </ns0:c>
      <ns0:c r="F408" s="0" t="str">
        <ns0:f>IF(A408=0,"",IFERROR(IF(OR(B408="",C408=0),"CHECK employee selection",IF(INDEX(Team!$O$11:$O$60,C408)&lt;&gt;"OK","CHECK employee setup",IF(OR('_Dates'!J408=0,'_Dates'!T408=0),"CHECK date: use DD.MM.YYYY",IF('_Dates'!T408&lt;'_Dates'!J408,"CHECK end before start",IF(AND($B$6=0,OR('_Dates'!J408&lt;Settings!$B$7,'_Dates'!T408&gt;Settings!$B$8)),"CHECK split across leave years",IF(OR(NOT(OR('_Dates'!U408="Full day",'_Dates'!U408="AM",'_Dates'!U408="PM")),NOT(OR('_Dates'!V408="Full day",'_Dates'!V408="AM",'_Dates'!V408="PM"))),"CHECK Full day / AM / PM",IF(AND('_Dates'!J408='_Dates'!T408,'_Dates'!U408&lt;&gt;"Full day",'_Dates'!V408&lt;&gt;"Full day",'_Dates'!U408&lt;&gt;'_Dates'!V408),"CHECK same-day portions disagree",IF(AND($B$6=0,OR(AND('_Dates'!U408&lt;&gt;"Full day",'_Dates'!AA408=0),AND('_Dates'!V408&lt;&gt;"Full day",'_Dates'!AB408=0))),"CHECK half-day on non-working date",IF(COUNTIF(Settings!$G$7:$G$11,D408)&lt;&gt;1,"CHECK leave type",IF(AND(Bookings!G408&lt;&gt;"Approved",Bookings!G408&lt;&gt;"Pending",Bookings!G408&lt;&gt;"Cancelled"),"CHECK status","OK")))))))))),"CHECK input"))</ns0:f>
        <ns0:v/>
      </ns0:c>
      <ns0:c r="G408" s="0">
        <ns0:f>IF(OR(F408&lt;&gt;"OK",$B$6&gt;0),0,0.5*(IF(('_Dates'!X408)&lt;('_Dates'!W408),0,INT((('_Dates'!X408)-('_Dates'!W408)+1)/7)*LEN(SUBSTITUTE(W408,"O",""))+LEN(SUBSTITUTE(MID(W408&amp;W408,WEEKDAY(('_Dates'!W408),2),MOD((('_Dates'!X408)-('_Dates'!W408)+1),7)),"O",""))-COUNTIFS(INDEX(AllClosureRows,C408,0),"&gt;="&amp;('_Dates'!W408),INDEX(AllClosureRows,C408,0),"&lt;="&amp;('_Dates'!X408)))+IF(('_Dates'!Z408)&lt;('_Dates'!Y408),0,INT((('_Dates'!Z408)-('_Dates'!Y408)+1)/7)*LEN(SUBSTITUTE(W408,"O",""))+LEN(SUBSTITUTE(MID(W408&amp;W408,WEEKDAY(('_Dates'!Y408),2),MOD((('_Dates'!Z408)-('_Dates'!Y408)+1),7)),"O",""))-COUNTIFS(INDEX(AllClosureRows,C408,0),"&gt;="&amp;('_Dates'!Y408),INDEX(AllClosureRows,C408,0),"&lt;="&amp;('_Dates'!Z408)))))</ns0:f>
        <ns0:v>0</ns0:v>
      </ns0:c>
      <ns0:c r="H408" s="0">
        <ns0:f>IF(OR(F408&lt;&gt;"OK",$B$6&gt;0),0,0.5*(IF((MIN('_Dates'!X408,Settings!$B$9))&lt;('_Dates'!W408),0,INT(((MIN('_Dates'!X408,Settings!$B$9))-('_Dates'!W408)+1)/7)*LEN(SUBSTITUTE(W408,"O",""))+LEN(SUBSTITUTE(MID(W408&amp;W408,WEEKDAY(('_Dates'!W408),2),MOD(((MIN('_Dates'!X408,Settings!$B$9))-('_Dates'!W408)+1),7)),"O",""))-COUNTIFS(INDEX(AllClosureRows,C408,0),"&gt;="&amp;('_Dates'!W408),INDEX(AllClosureRows,C408,0),"&lt;="&amp;(MIN('_Dates'!X408,Settings!$B$9))))+IF((MIN('_Dates'!Z408,Settings!$B$9))&lt;('_Dates'!Y408),0,INT(((MIN('_Dates'!Z408,Settings!$B$9))-('_Dates'!Y408)+1)/7)*LEN(SUBSTITUTE(W408,"O",""))+LEN(SUBSTITUTE(MID(W408&amp;W408,WEEKDAY(('_Dates'!Y408),2),MOD(((MIN('_Dates'!Z408,Settings!$B$9))-('_Dates'!Y408)+1),7)),"O",""))-COUNTIFS(INDEX(AllClosureRows,C408,0),"&gt;="&amp;('_Dates'!Y408),INDEX(AllClosureRows,C408,0),"&lt;="&amp;(MIN('_Dates'!Z408,Settings!$B$9))))))</ns0:f>
        <ns0:v>0</ns0:v>
      </ns0:c>
      <ns0:c r="I408" s="0">
        <ns0:f>MAX(0,G408-H408)</ns0:f>
        <ns0:v>0</ns0:v>
      </ns0:c>
      <ns0:c r="J408" s="0">
        <ns0:f>IF(OR(A408=0,F408&lt;&gt;"OK",Bookings!G408="Cancelled",$B$6&gt;0),0,IF('_Dates'!AC408=1,MAX(0,COUNTIFS(rngEngine_B,B408,rngAMStart,"&lt;="&amp;'_Dates'!X408,rngAMEnd,"&gt;="&amp;'_Dates'!W408,rngAMActive,1,rngEngine_F,"OK",rngBookings_F,"&lt;&gt;Cancelled")-1),0)+IF('_Dates'!AD408=1,MAX(0,COUNTIFS(rngEngine_B,B408,rngPMStart,"&lt;="&amp;'_Dates'!Z408,rngPMEnd,"&gt;="&amp;'_Dates'!Y408,rngPMActive,1,rngEngine_F,"OK",rngBookings_F,"&lt;&gt;Cancelled")-1),0))</ns0:f>
        <ns0:v>0</ns0:v>
      </ns0:c>
      <ns0:c r="K408" s="0" t="str">
        <ns0:f>IF(A408=0,"",IF(F408&lt;&gt;"OK",F408,IF(J408&gt;0,"CHECK overlapping entry",IF(AND($B$6=0,G408&lt;=0,Bookings!G408&lt;&gt;"Cancelled"),"CHECK no working days",IF(Bookings!G408="Cancelled","Cancelled","OK")))))</ns0:f>
        <ns0:v/>
      </ns0:c>
      <ns0:c r="L408" s="0">
        <ns0:f>IF(LEFT(K408,5)="CHECK",1,0)</ns0:f>
        <ns0:v>0</ns0:v>
      </ns0:c>
      <ns0:c r="M408" s="0">
        <ns0:f>IF(AND(L408=1,OR(C408=0,IFERROR(INDEX($X$11:$X$60,C408),0)=0)),1,0)</ns0:f>
        <ns0:v>0</ns0:v>
      </ns0:c>
      <ns0:c r="N408" s="0">
        <ns0:f>IF(OR(A408=0,L408&gt;0,$B$6&gt;0,Bookings!G408="Cancelled"),0,G408)</ns0:f>
        <ns0:v>0</ns0:v>
      </ns0:c>
      <ns0:c r="O408" s="0">
        <ns0:f>IF(AND(Bookings!G408="Approved",E408="Yes"),N408,0)</ns0:f>
        <ns0:v>0</ns0:v>
      </ns0:c>
      <ns0:c r="P408" s="0">
        <ns0:f>IF(AND(Bookings!G408="Approved",E408="Yes",L408=0,$B$6=0),H408,0)</ns0:f>
        <ns0:v>0</ns0:v>
      </ns0:c>
      <ns0:c r="Q408" s="0">
        <ns0:f>IF(AND(Bookings!G408="Approved",E408="Yes",L408=0,$B$6=0),I408,0)</ns0:f>
        <ns0:v>0</ns0:v>
      </ns0:c>
      <ns0:c r="R408" s="0">
        <ns0:f>IF(AND(Bookings!G408="Pending",E408="Yes"),N408,0)</ns0:f>
        <ns0:v>0</ns0:v>
      </ns0:c>
      <ns0:c r="S408" s="0">
        <ns0:f>IF(AND(Bookings!G408="Approved",E408="No"),N408,0)</ns0:f>
        <ns0:v>0</ns0:v>
      </ns0:c>
      <ns0:c r="T408" s="0">
        <ns0:f>IFERROR(MATCH(D408,Settings!$G$7:$G$11,0),0)</ns0:f>
        <ns0:v>0</ns0:v>
      </ns0:c>
      <ns0:c r="U408" s="0">
        <ns0:f>IF(N408&gt;0,T408+IF(Bookings!G408="Pending",10,0),0)</ns0:f>
        <ns0:v>0</ns0:v>
      </ns0:c>
      <ns0:c r="V408" s="0">
        <ns0:f>U408</ns0:f>
        <ns0:v>0</ns0:v>
      </ns0:c>
      <ns0:c r="W408" s="0" t="str">
        <ns0:f>IF(C408=0,"",INDEX($AP$11:$AP$60,C408))</ns0:f>
        <ns0:v/>
      </ns0:c>
    </ns0:row>
    <ns0:row r="409">
      <ns0:c r="A409" s="0">
        <ns0:f>IF(COUNTA(Bookings!A409:G409,Bookings!I409)=0,0,1)</ns0:f>
        <ns0:v>0</ns0:v>
      </ns0:c>
      <ns0:c r="B409" s="0" t="str">
        <ns0:f>IFERROR(TRIM(MID(Bookings!A409,FIND(" · ",Bookings!A409)+3,99)),"")</ns0:f>
        <ns0:v/>
      </ns0:c>
      <ns0:c r="C409" s="0">
        <ns0:f>IF(OR(B409="",LEN(B409)&gt;24,ISNUMBER(FIND(" ",B409)),ISNUMBER(FIND("*",B409)),ISNUMBER(FIND("?",B409)),ISNUMBER(FIND("~",B409))),0,IFERROR(MATCH(B409,Team!$A$11:$A$60,0),0))</ns0:f>
        <ns0:v>0</ns0:v>
      </ns0:c>
      <ns0:c r="D409" s="0" t="str">
        <ns0:f>IFERROR(IF(MID(Bookings!F409,LEN(Bookings!F409)-3,3)=" · ",RIGHT(Bookings!F409,1),""),"")</ns0:f>
        <ns0:v/>
      </ns0:c>
      <ns0:c r="E409" s="0" t="str">
        <ns0:f>IFERROR(INDEX(Settings!$H$7:$H$11,MATCH(D409,Settings!$G$7:$G$11,0)),"")</ns0:f>
        <ns0:v/>
      </ns0:c>
      <ns0:c r="F409" s="0" t="str">
        <ns0:f>IF(A409=0,"",IFERROR(IF(OR(B409="",C409=0),"CHECK employee selection",IF(INDEX(Team!$O$11:$O$60,C409)&lt;&gt;"OK","CHECK employee setup",IF(OR('_Dates'!J409=0,'_Dates'!T409=0),"CHECK date: use DD.MM.YYYY",IF('_Dates'!T409&lt;'_Dates'!J409,"CHECK end before start",IF(AND($B$6=0,OR('_Dates'!J409&lt;Settings!$B$7,'_Dates'!T409&gt;Settings!$B$8)),"CHECK split across leave years",IF(OR(NOT(OR('_Dates'!U409="Full day",'_Dates'!U409="AM",'_Dates'!U409="PM")),NOT(OR('_Dates'!V409="Full day",'_Dates'!V409="AM",'_Dates'!V409="PM"))),"CHECK Full day / AM / PM",IF(AND('_Dates'!J409='_Dates'!T409,'_Dates'!U409&lt;&gt;"Full day",'_Dates'!V409&lt;&gt;"Full day",'_Dates'!U409&lt;&gt;'_Dates'!V409),"CHECK same-day portions disagree",IF(AND($B$6=0,OR(AND('_Dates'!U409&lt;&gt;"Full day",'_Dates'!AA409=0),AND('_Dates'!V409&lt;&gt;"Full day",'_Dates'!AB409=0))),"CHECK half-day on non-working date",IF(COUNTIF(Settings!$G$7:$G$11,D409)&lt;&gt;1,"CHECK leave type",IF(AND(Bookings!G409&lt;&gt;"Approved",Bookings!G409&lt;&gt;"Pending",Bookings!G409&lt;&gt;"Cancelled"),"CHECK status","OK")))))))))),"CHECK input"))</ns0:f>
        <ns0:v/>
      </ns0:c>
      <ns0:c r="G409" s="0">
        <ns0:f>IF(OR(F409&lt;&gt;"OK",$B$6&gt;0),0,0.5*(IF(('_Dates'!X409)&lt;('_Dates'!W409),0,INT((('_Dates'!X409)-('_Dates'!W409)+1)/7)*LEN(SUBSTITUTE(W409,"O",""))+LEN(SUBSTITUTE(MID(W409&amp;W409,WEEKDAY(('_Dates'!W409),2),MOD((('_Dates'!X409)-('_Dates'!W409)+1),7)),"O",""))-COUNTIFS(INDEX(AllClosureRows,C409,0),"&gt;="&amp;('_Dates'!W409),INDEX(AllClosureRows,C409,0),"&lt;="&amp;('_Dates'!X409)))+IF(('_Dates'!Z409)&lt;('_Dates'!Y409),0,INT((('_Dates'!Z409)-('_Dates'!Y409)+1)/7)*LEN(SUBSTITUTE(W409,"O",""))+LEN(SUBSTITUTE(MID(W409&amp;W409,WEEKDAY(('_Dates'!Y409),2),MOD((('_Dates'!Z409)-('_Dates'!Y409)+1),7)),"O",""))-COUNTIFS(INDEX(AllClosureRows,C409,0),"&gt;="&amp;('_Dates'!Y409),INDEX(AllClosureRows,C409,0),"&lt;="&amp;('_Dates'!Z409)))))</ns0:f>
        <ns0:v>0</ns0:v>
      </ns0:c>
      <ns0:c r="H409" s="0">
        <ns0:f>IF(OR(F409&lt;&gt;"OK",$B$6&gt;0),0,0.5*(IF((MIN('_Dates'!X409,Settings!$B$9))&lt;('_Dates'!W409),0,INT(((MIN('_Dates'!X409,Settings!$B$9))-('_Dates'!W409)+1)/7)*LEN(SUBSTITUTE(W409,"O",""))+LEN(SUBSTITUTE(MID(W409&amp;W409,WEEKDAY(('_Dates'!W409),2),MOD(((MIN('_Dates'!X409,Settings!$B$9))-('_Dates'!W409)+1),7)),"O",""))-COUNTIFS(INDEX(AllClosureRows,C409,0),"&gt;="&amp;('_Dates'!W409),INDEX(AllClosureRows,C409,0),"&lt;="&amp;(MIN('_Dates'!X409,Settings!$B$9))))+IF((MIN('_Dates'!Z409,Settings!$B$9))&lt;('_Dates'!Y409),0,INT(((MIN('_Dates'!Z409,Settings!$B$9))-('_Dates'!Y409)+1)/7)*LEN(SUBSTITUTE(W409,"O",""))+LEN(SUBSTITUTE(MID(W409&amp;W409,WEEKDAY(('_Dates'!Y409),2),MOD(((MIN('_Dates'!Z409,Settings!$B$9))-('_Dates'!Y409)+1),7)),"O",""))-COUNTIFS(INDEX(AllClosureRows,C409,0),"&gt;="&amp;('_Dates'!Y409),INDEX(AllClosureRows,C409,0),"&lt;="&amp;(MIN('_Dates'!Z409,Settings!$B$9))))))</ns0:f>
        <ns0:v>0</ns0:v>
      </ns0:c>
      <ns0:c r="I409" s="0">
        <ns0:f>MAX(0,G409-H409)</ns0:f>
        <ns0:v>0</ns0:v>
      </ns0:c>
      <ns0:c r="J409" s="0">
        <ns0:f>IF(OR(A409=0,F409&lt;&gt;"OK",Bookings!G409="Cancelled",$B$6&gt;0),0,IF('_Dates'!AC409=1,MAX(0,COUNTIFS(rngEngine_B,B409,rngAMStart,"&lt;="&amp;'_Dates'!X409,rngAMEnd,"&gt;="&amp;'_Dates'!W409,rngAMActive,1,rngEngine_F,"OK",rngBookings_F,"&lt;&gt;Cancelled")-1),0)+IF('_Dates'!AD409=1,MAX(0,COUNTIFS(rngEngine_B,B409,rngPMStart,"&lt;="&amp;'_Dates'!Z409,rngPMEnd,"&gt;="&amp;'_Dates'!Y409,rngPMActive,1,rngEngine_F,"OK",rngBookings_F,"&lt;&gt;Cancelled")-1),0))</ns0:f>
        <ns0:v>0</ns0:v>
      </ns0:c>
      <ns0:c r="K409" s="0" t="str">
        <ns0:f>IF(A409=0,"",IF(F409&lt;&gt;"OK",F409,IF(J409&gt;0,"CHECK overlapping entry",IF(AND($B$6=0,G409&lt;=0,Bookings!G409&lt;&gt;"Cancelled"),"CHECK no working days",IF(Bookings!G409="Cancelled","Cancelled","OK")))))</ns0:f>
        <ns0:v/>
      </ns0:c>
      <ns0:c r="L409" s="0">
        <ns0:f>IF(LEFT(K409,5)="CHECK",1,0)</ns0:f>
        <ns0:v>0</ns0:v>
      </ns0:c>
      <ns0:c r="M409" s="0">
        <ns0:f>IF(AND(L409=1,OR(C409=0,IFERROR(INDEX($X$11:$X$60,C409),0)=0)),1,0)</ns0:f>
        <ns0:v>0</ns0:v>
      </ns0:c>
      <ns0:c r="N409" s="0">
        <ns0:f>IF(OR(A409=0,L409&gt;0,$B$6&gt;0,Bookings!G409="Cancelled"),0,G409)</ns0:f>
        <ns0:v>0</ns0:v>
      </ns0:c>
      <ns0:c r="O409" s="0">
        <ns0:f>IF(AND(Bookings!G409="Approved",E409="Yes"),N409,0)</ns0:f>
        <ns0:v>0</ns0:v>
      </ns0:c>
      <ns0:c r="P409" s="0">
        <ns0:f>IF(AND(Bookings!G409="Approved",E409="Yes",L409=0,$B$6=0),H409,0)</ns0:f>
        <ns0:v>0</ns0:v>
      </ns0:c>
      <ns0:c r="Q409" s="0">
        <ns0:f>IF(AND(Bookings!G409="Approved",E409="Yes",L409=0,$B$6=0),I409,0)</ns0:f>
        <ns0:v>0</ns0:v>
      </ns0:c>
      <ns0:c r="R409" s="0">
        <ns0:f>IF(AND(Bookings!G409="Pending",E409="Yes"),N409,0)</ns0:f>
        <ns0:v>0</ns0:v>
      </ns0:c>
      <ns0:c r="S409" s="0">
        <ns0:f>IF(AND(Bookings!G409="Approved",E409="No"),N409,0)</ns0:f>
        <ns0:v>0</ns0:v>
      </ns0:c>
      <ns0:c r="T409" s="0">
        <ns0:f>IFERROR(MATCH(D409,Settings!$G$7:$G$11,0),0)</ns0:f>
        <ns0:v>0</ns0:v>
      </ns0:c>
      <ns0:c r="U409" s="0">
        <ns0:f>IF(N409&gt;0,T409+IF(Bookings!G409="Pending",10,0),0)</ns0:f>
        <ns0:v>0</ns0:v>
      </ns0:c>
      <ns0:c r="V409" s="0">
        <ns0:f>U409</ns0:f>
        <ns0:v>0</ns0:v>
      </ns0:c>
      <ns0:c r="W409" s="0" t="str">
        <ns0:f>IF(C409=0,"",INDEX($AP$11:$AP$60,C409))</ns0:f>
        <ns0:v/>
      </ns0:c>
    </ns0:row>
    <ns0:row r="410">
      <ns0:c r="A410" s="0">
        <ns0:f>IF(COUNTA(Bookings!A410:G410,Bookings!I410)=0,0,1)</ns0:f>
        <ns0:v>0</ns0:v>
      </ns0:c>
      <ns0:c r="B410" s="0" t="str">
        <ns0:f>IFERROR(TRIM(MID(Bookings!A410,FIND(" · ",Bookings!A410)+3,99)),"")</ns0:f>
        <ns0:v/>
      </ns0:c>
      <ns0:c r="C410" s="0">
        <ns0:f>IF(OR(B410="",LEN(B410)&gt;24,ISNUMBER(FIND(" ",B410)),ISNUMBER(FIND("*",B410)),ISNUMBER(FIND("?",B410)),ISNUMBER(FIND("~",B410))),0,IFERROR(MATCH(B410,Team!$A$11:$A$60,0),0))</ns0:f>
        <ns0:v>0</ns0:v>
      </ns0:c>
      <ns0:c r="D410" s="0" t="str">
        <ns0:f>IFERROR(IF(MID(Bookings!F410,LEN(Bookings!F410)-3,3)=" · ",RIGHT(Bookings!F410,1),""),"")</ns0:f>
        <ns0:v/>
      </ns0:c>
      <ns0:c r="E410" s="0" t="str">
        <ns0:f>IFERROR(INDEX(Settings!$H$7:$H$11,MATCH(D410,Settings!$G$7:$G$11,0)),"")</ns0:f>
        <ns0:v/>
      </ns0:c>
      <ns0:c r="F410" s="0" t="str">
        <ns0:f>IF(A410=0,"",IFERROR(IF(OR(B410="",C410=0),"CHECK employee selection",IF(INDEX(Team!$O$11:$O$60,C410)&lt;&gt;"OK","CHECK employee setup",IF(OR('_Dates'!J410=0,'_Dates'!T410=0),"CHECK date: use DD.MM.YYYY",IF('_Dates'!T410&lt;'_Dates'!J410,"CHECK end before start",IF(AND($B$6=0,OR('_Dates'!J410&lt;Settings!$B$7,'_Dates'!T410&gt;Settings!$B$8)),"CHECK split across leave years",IF(OR(NOT(OR('_Dates'!U410="Full day",'_Dates'!U410="AM",'_Dates'!U410="PM")),NOT(OR('_Dates'!V410="Full day",'_Dates'!V410="AM",'_Dates'!V410="PM"))),"CHECK Full day / AM / PM",IF(AND('_Dates'!J410='_Dates'!T410,'_Dates'!U410&lt;&gt;"Full day",'_Dates'!V410&lt;&gt;"Full day",'_Dates'!U410&lt;&gt;'_Dates'!V410),"CHECK same-day portions disagree",IF(AND($B$6=0,OR(AND('_Dates'!U410&lt;&gt;"Full day",'_Dates'!AA410=0),AND('_Dates'!V410&lt;&gt;"Full day",'_Dates'!AB410=0))),"CHECK half-day on non-working date",IF(COUNTIF(Settings!$G$7:$G$11,D410)&lt;&gt;1,"CHECK leave type",IF(AND(Bookings!G410&lt;&gt;"Approved",Bookings!G410&lt;&gt;"Pending",Bookings!G410&lt;&gt;"Cancelled"),"CHECK status","OK")))))))))),"CHECK input"))</ns0:f>
        <ns0:v/>
      </ns0:c>
      <ns0:c r="G410" s="0">
        <ns0:f>IF(OR(F410&lt;&gt;"OK",$B$6&gt;0),0,0.5*(IF(('_Dates'!X410)&lt;('_Dates'!W410),0,INT((('_Dates'!X410)-('_Dates'!W410)+1)/7)*LEN(SUBSTITUTE(W410,"O",""))+LEN(SUBSTITUTE(MID(W410&amp;W410,WEEKDAY(('_Dates'!W410),2),MOD((('_Dates'!X410)-('_Dates'!W410)+1),7)),"O",""))-COUNTIFS(INDEX(AllClosureRows,C410,0),"&gt;="&amp;('_Dates'!W410),INDEX(AllClosureRows,C410,0),"&lt;="&amp;('_Dates'!X410)))+IF(('_Dates'!Z410)&lt;('_Dates'!Y410),0,INT((('_Dates'!Z410)-('_Dates'!Y410)+1)/7)*LEN(SUBSTITUTE(W410,"O",""))+LEN(SUBSTITUTE(MID(W410&amp;W410,WEEKDAY(('_Dates'!Y410),2),MOD((('_Dates'!Z410)-('_Dates'!Y410)+1),7)),"O",""))-COUNTIFS(INDEX(AllClosureRows,C410,0),"&gt;="&amp;('_Dates'!Y410),INDEX(AllClosureRows,C410,0),"&lt;="&amp;('_Dates'!Z410)))))</ns0:f>
        <ns0:v>0</ns0:v>
      </ns0:c>
      <ns0:c r="H410" s="0">
        <ns0:f>IF(OR(F410&lt;&gt;"OK",$B$6&gt;0),0,0.5*(IF((MIN('_Dates'!X410,Settings!$B$9))&lt;('_Dates'!W410),0,INT(((MIN('_Dates'!X410,Settings!$B$9))-('_Dates'!W410)+1)/7)*LEN(SUBSTITUTE(W410,"O",""))+LEN(SUBSTITUTE(MID(W410&amp;W410,WEEKDAY(('_Dates'!W410),2),MOD(((MIN('_Dates'!X410,Settings!$B$9))-('_Dates'!W410)+1),7)),"O",""))-COUNTIFS(INDEX(AllClosureRows,C410,0),"&gt;="&amp;('_Dates'!W410),INDEX(AllClosureRows,C410,0),"&lt;="&amp;(MIN('_Dates'!X410,Settings!$B$9))))+IF((MIN('_Dates'!Z410,Settings!$B$9))&lt;('_Dates'!Y410),0,INT(((MIN('_Dates'!Z410,Settings!$B$9))-('_Dates'!Y410)+1)/7)*LEN(SUBSTITUTE(W410,"O",""))+LEN(SUBSTITUTE(MID(W410&amp;W410,WEEKDAY(('_Dates'!Y410),2),MOD(((MIN('_Dates'!Z410,Settings!$B$9))-('_Dates'!Y410)+1),7)),"O",""))-COUNTIFS(INDEX(AllClosureRows,C410,0),"&gt;="&amp;('_Dates'!Y410),INDEX(AllClosureRows,C410,0),"&lt;="&amp;(MIN('_Dates'!Z410,Settings!$B$9))))))</ns0:f>
        <ns0:v>0</ns0:v>
      </ns0:c>
      <ns0:c r="I410" s="0">
        <ns0:f>MAX(0,G410-H410)</ns0:f>
        <ns0:v>0</ns0:v>
      </ns0:c>
      <ns0:c r="J410" s="0">
        <ns0:f>IF(OR(A410=0,F410&lt;&gt;"OK",Bookings!G410="Cancelled",$B$6&gt;0),0,IF('_Dates'!AC410=1,MAX(0,COUNTIFS(rngEngine_B,B410,rngAMStart,"&lt;="&amp;'_Dates'!X410,rngAMEnd,"&gt;="&amp;'_Dates'!W410,rngAMActive,1,rngEngine_F,"OK",rngBookings_F,"&lt;&gt;Cancelled")-1),0)+IF('_Dates'!AD410=1,MAX(0,COUNTIFS(rngEngine_B,B410,rngPMStart,"&lt;="&amp;'_Dates'!Z410,rngPMEnd,"&gt;="&amp;'_Dates'!Y410,rngPMActive,1,rngEngine_F,"OK",rngBookings_F,"&lt;&gt;Cancelled")-1),0))</ns0:f>
        <ns0:v>0</ns0:v>
      </ns0:c>
      <ns0:c r="K410" s="0" t="str">
        <ns0:f>IF(A410=0,"",IF(F410&lt;&gt;"OK",F410,IF(J410&gt;0,"CHECK overlapping entry",IF(AND($B$6=0,G410&lt;=0,Bookings!G410&lt;&gt;"Cancelled"),"CHECK no working days",IF(Bookings!G410="Cancelled","Cancelled","OK")))))</ns0:f>
        <ns0:v/>
      </ns0:c>
      <ns0:c r="L410" s="0">
        <ns0:f>IF(LEFT(K410,5)="CHECK",1,0)</ns0:f>
        <ns0:v>0</ns0:v>
      </ns0:c>
      <ns0:c r="M410" s="0">
        <ns0:f>IF(AND(L410=1,OR(C410=0,IFERROR(INDEX($X$11:$X$60,C410),0)=0)),1,0)</ns0:f>
        <ns0:v>0</ns0:v>
      </ns0:c>
      <ns0:c r="N410" s="0">
        <ns0:f>IF(OR(A410=0,L410&gt;0,$B$6&gt;0,Bookings!G410="Cancelled"),0,G410)</ns0:f>
        <ns0:v>0</ns0:v>
      </ns0:c>
      <ns0:c r="O410" s="0">
        <ns0:f>IF(AND(Bookings!G410="Approved",E410="Yes"),N410,0)</ns0:f>
        <ns0:v>0</ns0:v>
      </ns0:c>
      <ns0:c r="P410" s="0">
        <ns0:f>IF(AND(Bookings!G410="Approved",E410="Yes",L410=0,$B$6=0),H410,0)</ns0:f>
        <ns0:v>0</ns0:v>
      </ns0:c>
      <ns0:c r="Q410" s="0">
        <ns0:f>IF(AND(Bookings!G410="Approved",E410="Yes",L410=0,$B$6=0),I410,0)</ns0:f>
        <ns0:v>0</ns0:v>
      </ns0:c>
      <ns0:c r="R410" s="0">
        <ns0:f>IF(AND(Bookings!G410="Pending",E410="Yes"),N410,0)</ns0:f>
        <ns0:v>0</ns0:v>
      </ns0:c>
      <ns0:c r="S410" s="0">
        <ns0:f>IF(AND(Bookings!G410="Approved",E410="No"),N410,0)</ns0:f>
        <ns0:v>0</ns0:v>
      </ns0:c>
      <ns0:c r="T410" s="0">
        <ns0:f>IFERROR(MATCH(D410,Settings!$G$7:$G$11,0),0)</ns0:f>
        <ns0:v>0</ns0:v>
      </ns0:c>
      <ns0:c r="U410" s="0">
        <ns0:f>IF(N410&gt;0,T410+IF(Bookings!G410="Pending",10,0),0)</ns0:f>
        <ns0:v>0</ns0:v>
      </ns0:c>
      <ns0:c r="V410" s="0">
        <ns0:f>U410</ns0:f>
        <ns0:v>0</ns0:v>
      </ns0:c>
      <ns0:c r="W410" s="0" t="str">
        <ns0:f>IF(C410=0,"",INDEX($AP$11:$AP$60,C410))</ns0:f>
        <ns0:v/>
      </ns0:c>
    </ns0:row>
    <ns0:row r="411">
      <ns0:c r="A411" s="0">
        <ns0:f>IF(COUNTA(Bookings!A411:G411,Bookings!I411)=0,0,1)</ns0:f>
        <ns0:v>0</ns0:v>
      </ns0:c>
      <ns0:c r="B411" s="0" t="str">
        <ns0:f>IFERROR(TRIM(MID(Bookings!A411,FIND(" · ",Bookings!A411)+3,99)),"")</ns0:f>
        <ns0:v/>
      </ns0:c>
      <ns0:c r="C411" s="0">
        <ns0:f>IF(OR(B411="",LEN(B411)&gt;24,ISNUMBER(FIND(" ",B411)),ISNUMBER(FIND("*",B411)),ISNUMBER(FIND("?",B411)),ISNUMBER(FIND("~",B411))),0,IFERROR(MATCH(B411,Team!$A$11:$A$60,0),0))</ns0:f>
        <ns0:v>0</ns0:v>
      </ns0:c>
      <ns0:c r="D411" s="0" t="str">
        <ns0:f>IFERROR(IF(MID(Bookings!F411,LEN(Bookings!F411)-3,3)=" · ",RIGHT(Bookings!F411,1),""),"")</ns0:f>
        <ns0:v/>
      </ns0:c>
      <ns0:c r="E411" s="0" t="str">
        <ns0:f>IFERROR(INDEX(Settings!$H$7:$H$11,MATCH(D411,Settings!$G$7:$G$11,0)),"")</ns0:f>
        <ns0:v/>
      </ns0:c>
      <ns0:c r="F411" s="0" t="str">
        <ns0:f>IF(A411=0,"",IFERROR(IF(OR(B411="",C411=0),"CHECK employee selection",IF(INDEX(Team!$O$11:$O$60,C411)&lt;&gt;"OK","CHECK employee setup",IF(OR('_Dates'!J411=0,'_Dates'!T411=0),"CHECK date: use DD.MM.YYYY",IF('_Dates'!T411&lt;'_Dates'!J411,"CHECK end before start",IF(AND($B$6=0,OR('_Dates'!J411&lt;Settings!$B$7,'_Dates'!T411&gt;Settings!$B$8)),"CHECK split across leave years",IF(OR(NOT(OR('_Dates'!U411="Full day",'_Dates'!U411="AM",'_Dates'!U411="PM")),NOT(OR('_Dates'!V411="Full day",'_Dates'!V411="AM",'_Dates'!V411="PM"))),"CHECK Full day / AM / PM",IF(AND('_Dates'!J411='_Dates'!T411,'_Dates'!U411&lt;&gt;"Full day",'_Dates'!V411&lt;&gt;"Full day",'_Dates'!U411&lt;&gt;'_Dates'!V411),"CHECK same-day portions disagree",IF(AND($B$6=0,OR(AND('_Dates'!U411&lt;&gt;"Full day",'_Dates'!AA411=0),AND('_Dates'!V411&lt;&gt;"Full day",'_Dates'!AB411=0))),"CHECK half-day on non-working date",IF(COUNTIF(Settings!$G$7:$G$11,D411)&lt;&gt;1,"CHECK leave type",IF(AND(Bookings!G411&lt;&gt;"Approved",Bookings!G411&lt;&gt;"Pending",Bookings!G411&lt;&gt;"Cancelled"),"CHECK status","OK")))))))))),"CHECK input"))</ns0:f>
        <ns0:v/>
      </ns0:c>
      <ns0:c r="G411" s="0">
        <ns0:f>IF(OR(F411&lt;&gt;"OK",$B$6&gt;0),0,0.5*(IF(('_Dates'!X411)&lt;('_Dates'!W411),0,INT((('_Dates'!X411)-('_Dates'!W411)+1)/7)*LEN(SUBSTITUTE(W411,"O",""))+LEN(SUBSTITUTE(MID(W411&amp;W411,WEEKDAY(('_Dates'!W411),2),MOD((('_Dates'!X411)-('_Dates'!W411)+1),7)),"O",""))-COUNTIFS(INDEX(AllClosureRows,C411,0),"&gt;="&amp;('_Dates'!W411),INDEX(AllClosureRows,C411,0),"&lt;="&amp;('_Dates'!X411)))+IF(('_Dates'!Z411)&lt;('_Dates'!Y411),0,INT((('_Dates'!Z411)-('_Dates'!Y411)+1)/7)*LEN(SUBSTITUTE(W411,"O",""))+LEN(SUBSTITUTE(MID(W411&amp;W411,WEEKDAY(('_Dates'!Y411),2),MOD((('_Dates'!Z411)-('_Dates'!Y411)+1),7)),"O",""))-COUNTIFS(INDEX(AllClosureRows,C411,0),"&gt;="&amp;('_Dates'!Y411),INDEX(AllClosureRows,C411,0),"&lt;="&amp;('_Dates'!Z411)))))</ns0:f>
        <ns0:v>0</ns0:v>
      </ns0:c>
      <ns0:c r="H411" s="0">
        <ns0:f>IF(OR(F411&lt;&gt;"OK",$B$6&gt;0),0,0.5*(IF((MIN('_Dates'!X411,Settings!$B$9))&lt;('_Dates'!W411),0,INT(((MIN('_Dates'!X411,Settings!$B$9))-('_Dates'!W411)+1)/7)*LEN(SUBSTITUTE(W411,"O",""))+LEN(SUBSTITUTE(MID(W411&amp;W411,WEEKDAY(('_Dates'!W411),2),MOD(((MIN('_Dates'!X411,Settings!$B$9))-('_Dates'!W411)+1),7)),"O",""))-COUNTIFS(INDEX(AllClosureRows,C411,0),"&gt;="&amp;('_Dates'!W411),INDEX(AllClosureRows,C411,0),"&lt;="&amp;(MIN('_Dates'!X411,Settings!$B$9))))+IF((MIN('_Dates'!Z411,Settings!$B$9))&lt;('_Dates'!Y411),0,INT(((MIN('_Dates'!Z411,Settings!$B$9))-('_Dates'!Y411)+1)/7)*LEN(SUBSTITUTE(W411,"O",""))+LEN(SUBSTITUTE(MID(W411&amp;W411,WEEKDAY(('_Dates'!Y411),2),MOD(((MIN('_Dates'!Z411,Settings!$B$9))-('_Dates'!Y411)+1),7)),"O",""))-COUNTIFS(INDEX(AllClosureRows,C411,0),"&gt;="&amp;('_Dates'!Y411),INDEX(AllClosureRows,C411,0),"&lt;="&amp;(MIN('_Dates'!Z411,Settings!$B$9))))))</ns0:f>
        <ns0:v>0</ns0:v>
      </ns0:c>
      <ns0:c r="I411" s="0">
        <ns0:f>MAX(0,G411-H411)</ns0:f>
        <ns0:v>0</ns0:v>
      </ns0:c>
      <ns0:c r="J411" s="0">
        <ns0:f>IF(OR(A411=0,F411&lt;&gt;"OK",Bookings!G411="Cancelled",$B$6&gt;0),0,IF('_Dates'!AC411=1,MAX(0,COUNTIFS(rngEngine_B,B411,rngAMStart,"&lt;="&amp;'_Dates'!X411,rngAMEnd,"&gt;="&amp;'_Dates'!W411,rngAMActive,1,rngEngine_F,"OK",rngBookings_F,"&lt;&gt;Cancelled")-1),0)+IF('_Dates'!AD411=1,MAX(0,COUNTIFS(rngEngine_B,B411,rngPMStart,"&lt;="&amp;'_Dates'!Z411,rngPMEnd,"&gt;="&amp;'_Dates'!Y411,rngPMActive,1,rngEngine_F,"OK",rngBookings_F,"&lt;&gt;Cancelled")-1),0))</ns0:f>
        <ns0:v>0</ns0:v>
      </ns0:c>
      <ns0:c r="K411" s="0" t="str">
        <ns0:f>IF(A411=0,"",IF(F411&lt;&gt;"OK",F411,IF(J411&gt;0,"CHECK overlapping entry",IF(AND($B$6=0,G411&lt;=0,Bookings!G411&lt;&gt;"Cancelled"),"CHECK no working days",IF(Bookings!G411="Cancelled","Cancelled","OK")))))</ns0:f>
        <ns0:v/>
      </ns0:c>
      <ns0:c r="L411" s="0">
        <ns0:f>IF(LEFT(K411,5)="CHECK",1,0)</ns0:f>
        <ns0:v>0</ns0:v>
      </ns0:c>
      <ns0:c r="M411" s="0">
        <ns0:f>IF(AND(L411=1,OR(C411=0,IFERROR(INDEX($X$11:$X$60,C411),0)=0)),1,0)</ns0:f>
        <ns0:v>0</ns0:v>
      </ns0:c>
      <ns0:c r="N411" s="0">
        <ns0:f>IF(OR(A411=0,L411&gt;0,$B$6&gt;0,Bookings!G411="Cancelled"),0,G411)</ns0:f>
        <ns0:v>0</ns0:v>
      </ns0:c>
      <ns0:c r="O411" s="0">
        <ns0:f>IF(AND(Bookings!G411="Approved",E411="Yes"),N411,0)</ns0:f>
        <ns0:v>0</ns0:v>
      </ns0:c>
      <ns0:c r="P411" s="0">
        <ns0:f>IF(AND(Bookings!G411="Approved",E411="Yes",L411=0,$B$6=0),H411,0)</ns0:f>
        <ns0:v>0</ns0:v>
      </ns0:c>
      <ns0:c r="Q411" s="0">
        <ns0:f>IF(AND(Bookings!G411="Approved",E411="Yes",L411=0,$B$6=0),I411,0)</ns0:f>
        <ns0:v>0</ns0:v>
      </ns0:c>
      <ns0:c r="R411" s="0">
        <ns0:f>IF(AND(Bookings!G411="Pending",E411="Yes"),N411,0)</ns0:f>
        <ns0:v>0</ns0:v>
      </ns0:c>
      <ns0:c r="S411" s="0">
        <ns0:f>IF(AND(Bookings!G411="Approved",E411="No"),N411,0)</ns0:f>
        <ns0:v>0</ns0:v>
      </ns0:c>
      <ns0:c r="T411" s="0">
        <ns0:f>IFERROR(MATCH(D411,Settings!$G$7:$G$11,0),0)</ns0:f>
        <ns0:v>0</ns0:v>
      </ns0:c>
      <ns0:c r="U411" s="0">
        <ns0:f>IF(N411&gt;0,T411+IF(Bookings!G411="Pending",10,0),0)</ns0:f>
        <ns0:v>0</ns0:v>
      </ns0:c>
      <ns0:c r="V411" s="0">
        <ns0:f>U411</ns0:f>
        <ns0:v>0</ns0:v>
      </ns0:c>
      <ns0:c r="W411" s="0" t="str">
        <ns0:f>IF(C411=0,"",INDEX($AP$11:$AP$60,C411))</ns0:f>
        <ns0:v/>
      </ns0:c>
    </ns0:row>
    <ns0:row r="412">
      <ns0:c r="A412" s="0">
        <ns0:f>IF(COUNTA(Bookings!A412:G412,Bookings!I412)=0,0,1)</ns0:f>
        <ns0:v>0</ns0:v>
      </ns0:c>
      <ns0:c r="B412" s="0" t="str">
        <ns0:f>IFERROR(TRIM(MID(Bookings!A412,FIND(" · ",Bookings!A412)+3,99)),"")</ns0:f>
        <ns0:v/>
      </ns0:c>
      <ns0:c r="C412" s="0">
        <ns0:f>IF(OR(B412="",LEN(B412)&gt;24,ISNUMBER(FIND(" ",B412)),ISNUMBER(FIND("*",B412)),ISNUMBER(FIND("?",B412)),ISNUMBER(FIND("~",B412))),0,IFERROR(MATCH(B412,Team!$A$11:$A$60,0),0))</ns0:f>
        <ns0:v>0</ns0:v>
      </ns0:c>
      <ns0:c r="D412" s="0" t="str">
        <ns0:f>IFERROR(IF(MID(Bookings!F412,LEN(Bookings!F412)-3,3)=" · ",RIGHT(Bookings!F412,1),""),"")</ns0:f>
        <ns0:v/>
      </ns0:c>
      <ns0:c r="E412" s="0" t="str">
        <ns0:f>IFERROR(INDEX(Settings!$H$7:$H$11,MATCH(D412,Settings!$G$7:$G$11,0)),"")</ns0:f>
        <ns0:v/>
      </ns0:c>
      <ns0:c r="F412" s="0" t="str">
        <ns0:f>IF(A412=0,"",IFERROR(IF(OR(B412="",C412=0),"CHECK employee selection",IF(INDEX(Team!$O$11:$O$60,C412)&lt;&gt;"OK","CHECK employee setup",IF(OR('_Dates'!J412=0,'_Dates'!T412=0),"CHECK date: use DD.MM.YYYY",IF('_Dates'!T412&lt;'_Dates'!J412,"CHECK end before start",IF(AND($B$6=0,OR('_Dates'!J412&lt;Settings!$B$7,'_Dates'!T412&gt;Settings!$B$8)),"CHECK split across leave years",IF(OR(NOT(OR('_Dates'!U412="Full day",'_Dates'!U412="AM",'_Dates'!U412="PM")),NOT(OR('_Dates'!V412="Full day",'_Dates'!V412="AM",'_Dates'!V412="PM"))),"CHECK Full day / AM / PM",IF(AND('_Dates'!J412='_Dates'!T412,'_Dates'!U412&lt;&gt;"Full day",'_Dates'!V412&lt;&gt;"Full day",'_Dates'!U412&lt;&gt;'_Dates'!V412),"CHECK same-day portions disagree",IF(AND($B$6=0,OR(AND('_Dates'!U412&lt;&gt;"Full day",'_Dates'!AA412=0),AND('_Dates'!V412&lt;&gt;"Full day",'_Dates'!AB412=0))),"CHECK half-day on non-working date",IF(COUNTIF(Settings!$G$7:$G$11,D412)&lt;&gt;1,"CHECK leave type",IF(AND(Bookings!G412&lt;&gt;"Approved",Bookings!G412&lt;&gt;"Pending",Bookings!G412&lt;&gt;"Cancelled"),"CHECK status","OK")))))))))),"CHECK input"))</ns0:f>
        <ns0:v/>
      </ns0:c>
      <ns0:c r="G412" s="0">
        <ns0:f>IF(OR(F412&lt;&gt;"OK",$B$6&gt;0),0,0.5*(IF(('_Dates'!X412)&lt;('_Dates'!W412),0,INT((('_Dates'!X412)-('_Dates'!W412)+1)/7)*LEN(SUBSTITUTE(W412,"O",""))+LEN(SUBSTITUTE(MID(W412&amp;W412,WEEKDAY(('_Dates'!W412),2),MOD((('_Dates'!X412)-('_Dates'!W412)+1),7)),"O",""))-COUNTIFS(INDEX(AllClosureRows,C412,0),"&gt;="&amp;('_Dates'!W412),INDEX(AllClosureRows,C412,0),"&lt;="&amp;('_Dates'!X412)))+IF(('_Dates'!Z412)&lt;('_Dates'!Y412),0,INT((('_Dates'!Z412)-('_Dates'!Y412)+1)/7)*LEN(SUBSTITUTE(W412,"O",""))+LEN(SUBSTITUTE(MID(W412&amp;W412,WEEKDAY(('_Dates'!Y412),2),MOD((('_Dates'!Z412)-('_Dates'!Y412)+1),7)),"O",""))-COUNTIFS(INDEX(AllClosureRows,C412,0),"&gt;="&amp;('_Dates'!Y412),INDEX(AllClosureRows,C412,0),"&lt;="&amp;('_Dates'!Z412)))))</ns0:f>
        <ns0:v>0</ns0:v>
      </ns0:c>
      <ns0:c r="H412" s="0">
        <ns0:f>IF(OR(F412&lt;&gt;"OK",$B$6&gt;0),0,0.5*(IF((MIN('_Dates'!X412,Settings!$B$9))&lt;('_Dates'!W412),0,INT(((MIN('_Dates'!X412,Settings!$B$9))-('_Dates'!W412)+1)/7)*LEN(SUBSTITUTE(W412,"O",""))+LEN(SUBSTITUTE(MID(W412&amp;W412,WEEKDAY(('_Dates'!W412),2),MOD(((MIN('_Dates'!X412,Settings!$B$9))-('_Dates'!W412)+1),7)),"O",""))-COUNTIFS(INDEX(AllClosureRows,C412,0),"&gt;="&amp;('_Dates'!W412),INDEX(AllClosureRows,C412,0),"&lt;="&amp;(MIN('_Dates'!X412,Settings!$B$9))))+IF((MIN('_Dates'!Z412,Settings!$B$9))&lt;('_Dates'!Y412),0,INT(((MIN('_Dates'!Z412,Settings!$B$9))-('_Dates'!Y412)+1)/7)*LEN(SUBSTITUTE(W412,"O",""))+LEN(SUBSTITUTE(MID(W412&amp;W412,WEEKDAY(('_Dates'!Y412),2),MOD(((MIN('_Dates'!Z412,Settings!$B$9))-('_Dates'!Y412)+1),7)),"O",""))-COUNTIFS(INDEX(AllClosureRows,C412,0),"&gt;="&amp;('_Dates'!Y412),INDEX(AllClosureRows,C412,0),"&lt;="&amp;(MIN('_Dates'!Z412,Settings!$B$9))))))</ns0:f>
        <ns0:v>0</ns0:v>
      </ns0:c>
      <ns0:c r="I412" s="0">
        <ns0:f>MAX(0,G412-H412)</ns0:f>
        <ns0:v>0</ns0:v>
      </ns0:c>
      <ns0:c r="J412" s="0">
        <ns0:f>IF(OR(A412=0,F412&lt;&gt;"OK",Bookings!G412="Cancelled",$B$6&gt;0),0,IF('_Dates'!AC412=1,MAX(0,COUNTIFS(rngEngine_B,B412,rngAMStart,"&lt;="&amp;'_Dates'!X412,rngAMEnd,"&gt;="&amp;'_Dates'!W412,rngAMActive,1,rngEngine_F,"OK",rngBookings_F,"&lt;&gt;Cancelled")-1),0)+IF('_Dates'!AD412=1,MAX(0,COUNTIFS(rngEngine_B,B412,rngPMStart,"&lt;="&amp;'_Dates'!Z412,rngPMEnd,"&gt;="&amp;'_Dates'!Y412,rngPMActive,1,rngEngine_F,"OK",rngBookings_F,"&lt;&gt;Cancelled")-1),0))</ns0:f>
        <ns0:v>0</ns0:v>
      </ns0:c>
      <ns0:c r="K412" s="0" t="str">
        <ns0:f>IF(A412=0,"",IF(F412&lt;&gt;"OK",F412,IF(J412&gt;0,"CHECK overlapping entry",IF(AND($B$6=0,G412&lt;=0,Bookings!G412&lt;&gt;"Cancelled"),"CHECK no working days",IF(Bookings!G412="Cancelled","Cancelled","OK")))))</ns0:f>
        <ns0:v/>
      </ns0:c>
      <ns0:c r="L412" s="0">
        <ns0:f>IF(LEFT(K412,5)="CHECK",1,0)</ns0:f>
        <ns0:v>0</ns0:v>
      </ns0:c>
      <ns0:c r="M412" s="0">
        <ns0:f>IF(AND(L412=1,OR(C412=0,IFERROR(INDEX($X$11:$X$60,C412),0)=0)),1,0)</ns0:f>
        <ns0:v>0</ns0:v>
      </ns0:c>
      <ns0:c r="N412" s="0">
        <ns0:f>IF(OR(A412=0,L412&gt;0,$B$6&gt;0,Bookings!G412="Cancelled"),0,G412)</ns0:f>
        <ns0:v>0</ns0:v>
      </ns0:c>
      <ns0:c r="O412" s="0">
        <ns0:f>IF(AND(Bookings!G412="Approved",E412="Yes"),N412,0)</ns0:f>
        <ns0:v>0</ns0:v>
      </ns0:c>
      <ns0:c r="P412" s="0">
        <ns0:f>IF(AND(Bookings!G412="Approved",E412="Yes",L412=0,$B$6=0),H412,0)</ns0:f>
        <ns0:v>0</ns0:v>
      </ns0:c>
      <ns0:c r="Q412" s="0">
        <ns0:f>IF(AND(Bookings!G412="Approved",E412="Yes",L412=0,$B$6=0),I412,0)</ns0:f>
        <ns0:v>0</ns0:v>
      </ns0:c>
      <ns0:c r="R412" s="0">
        <ns0:f>IF(AND(Bookings!G412="Pending",E412="Yes"),N412,0)</ns0:f>
        <ns0:v>0</ns0:v>
      </ns0:c>
      <ns0:c r="S412" s="0">
        <ns0:f>IF(AND(Bookings!G412="Approved",E412="No"),N412,0)</ns0:f>
        <ns0:v>0</ns0:v>
      </ns0:c>
      <ns0:c r="T412" s="0">
        <ns0:f>IFERROR(MATCH(D412,Settings!$G$7:$G$11,0),0)</ns0:f>
        <ns0:v>0</ns0:v>
      </ns0:c>
      <ns0:c r="U412" s="0">
        <ns0:f>IF(N412&gt;0,T412+IF(Bookings!G412="Pending",10,0),0)</ns0:f>
        <ns0:v>0</ns0:v>
      </ns0:c>
      <ns0:c r="V412" s="0">
        <ns0:f>U412</ns0:f>
        <ns0:v>0</ns0:v>
      </ns0:c>
      <ns0:c r="W412" s="0" t="str">
        <ns0:f>IF(C412=0,"",INDEX($AP$11:$AP$60,C412))</ns0:f>
        <ns0:v/>
      </ns0:c>
    </ns0:row>
    <ns0:row r="413">
      <ns0:c r="A413" s="0">
        <ns0:f>IF(COUNTA(Bookings!A413:G413,Bookings!I413)=0,0,1)</ns0:f>
        <ns0:v>0</ns0:v>
      </ns0:c>
      <ns0:c r="B413" s="0" t="str">
        <ns0:f>IFERROR(TRIM(MID(Bookings!A413,FIND(" · ",Bookings!A413)+3,99)),"")</ns0:f>
        <ns0:v/>
      </ns0:c>
      <ns0:c r="C413" s="0">
        <ns0:f>IF(OR(B413="",LEN(B413)&gt;24,ISNUMBER(FIND(" ",B413)),ISNUMBER(FIND("*",B413)),ISNUMBER(FIND("?",B413)),ISNUMBER(FIND("~",B413))),0,IFERROR(MATCH(B413,Team!$A$11:$A$60,0),0))</ns0:f>
        <ns0:v>0</ns0:v>
      </ns0:c>
      <ns0:c r="D413" s="0" t="str">
        <ns0:f>IFERROR(IF(MID(Bookings!F413,LEN(Bookings!F413)-3,3)=" · ",RIGHT(Bookings!F413,1),""),"")</ns0:f>
        <ns0:v/>
      </ns0:c>
      <ns0:c r="E413" s="0" t="str">
        <ns0:f>IFERROR(INDEX(Settings!$H$7:$H$11,MATCH(D413,Settings!$G$7:$G$11,0)),"")</ns0:f>
        <ns0:v/>
      </ns0:c>
      <ns0:c r="F413" s="0" t="str">
        <ns0:f>IF(A413=0,"",IFERROR(IF(OR(B413="",C413=0),"CHECK employee selection",IF(INDEX(Team!$O$11:$O$60,C413)&lt;&gt;"OK","CHECK employee setup",IF(OR('_Dates'!J413=0,'_Dates'!T413=0),"CHECK date: use DD.MM.YYYY",IF('_Dates'!T413&lt;'_Dates'!J413,"CHECK end before start",IF(AND($B$6=0,OR('_Dates'!J413&lt;Settings!$B$7,'_Dates'!T413&gt;Settings!$B$8)),"CHECK split across leave years",IF(OR(NOT(OR('_Dates'!U413="Full day",'_Dates'!U413="AM",'_Dates'!U413="PM")),NOT(OR('_Dates'!V413="Full day",'_Dates'!V413="AM",'_Dates'!V413="PM"))),"CHECK Full day / AM / PM",IF(AND('_Dates'!J413='_Dates'!T413,'_Dates'!U413&lt;&gt;"Full day",'_Dates'!V413&lt;&gt;"Full day",'_Dates'!U413&lt;&gt;'_Dates'!V413),"CHECK same-day portions disagree",IF(AND($B$6=0,OR(AND('_Dates'!U413&lt;&gt;"Full day",'_Dates'!AA413=0),AND('_Dates'!V413&lt;&gt;"Full day",'_Dates'!AB413=0))),"CHECK half-day on non-working date",IF(COUNTIF(Settings!$G$7:$G$11,D413)&lt;&gt;1,"CHECK leave type",IF(AND(Bookings!G413&lt;&gt;"Approved",Bookings!G413&lt;&gt;"Pending",Bookings!G413&lt;&gt;"Cancelled"),"CHECK status","OK")))))))))),"CHECK input"))</ns0:f>
        <ns0:v/>
      </ns0:c>
      <ns0:c r="G413" s="0">
        <ns0:f>IF(OR(F413&lt;&gt;"OK",$B$6&gt;0),0,0.5*(IF(('_Dates'!X413)&lt;('_Dates'!W413),0,INT((('_Dates'!X413)-('_Dates'!W413)+1)/7)*LEN(SUBSTITUTE(W413,"O",""))+LEN(SUBSTITUTE(MID(W413&amp;W413,WEEKDAY(('_Dates'!W413),2),MOD((('_Dates'!X413)-('_Dates'!W413)+1),7)),"O",""))-COUNTIFS(INDEX(AllClosureRows,C413,0),"&gt;="&amp;('_Dates'!W413),INDEX(AllClosureRows,C413,0),"&lt;="&amp;('_Dates'!X413)))+IF(('_Dates'!Z413)&lt;('_Dates'!Y413),0,INT((('_Dates'!Z413)-('_Dates'!Y413)+1)/7)*LEN(SUBSTITUTE(W413,"O",""))+LEN(SUBSTITUTE(MID(W413&amp;W413,WEEKDAY(('_Dates'!Y413),2),MOD((('_Dates'!Z413)-('_Dates'!Y413)+1),7)),"O",""))-COUNTIFS(INDEX(AllClosureRows,C413,0),"&gt;="&amp;('_Dates'!Y413),INDEX(AllClosureRows,C413,0),"&lt;="&amp;('_Dates'!Z413)))))</ns0:f>
        <ns0:v>0</ns0:v>
      </ns0:c>
      <ns0:c r="H413" s="0">
        <ns0:f>IF(OR(F413&lt;&gt;"OK",$B$6&gt;0),0,0.5*(IF((MIN('_Dates'!X413,Settings!$B$9))&lt;('_Dates'!W413),0,INT(((MIN('_Dates'!X413,Settings!$B$9))-('_Dates'!W413)+1)/7)*LEN(SUBSTITUTE(W413,"O",""))+LEN(SUBSTITUTE(MID(W413&amp;W413,WEEKDAY(('_Dates'!W413),2),MOD(((MIN('_Dates'!X413,Settings!$B$9))-('_Dates'!W413)+1),7)),"O",""))-COUNTIFS(INDEX(AllClosureRows,C413,0),"&gt;="&amp;('_Dates'!W413),INDEX(AllClosureRows,C413,0),"&lt;="&amp;(MIN('_Dates'!X413,Settings!$B$9))))+IF((MIN('_Dates'!Z413,Settings!$B$9))&lt;('_Dates'!Y413),0,INT(((MIN('_Dates'!Z413,Settings!$B$9))-('_Dates'!Y413)+1)/7)*LEN(SUBSTITUTE(W413,"O",""))+LEN(SUBSTITUTE(MID(W413&amp;W413,WEEKDAY(('_Dates'!Y413),2),MOD(((MIN('_Dates'!Z413,Settings!$B$9))-('_Dates'!Y413)+1),7)),"O",""))-COUNTIFS(INDEX(AllClosureRows,C413,0),"&gt;="&amp;('_Dates'!Y413),INDEX(AllClosureRows,C413,0),"&lt;="&amp;(MIN('_Dates'!Z413,Settings!$B$9))))))</ns0:f>
        <ns0:v>0</ns0:v>
      </ns0:c>
      <ns0:c r="I413" s="0">
        <ns0:f>MAX(0,G413-H413)</ns0:f>
        <ns0:v>0</ns0:v>
      </ns0:c>
      <ns0:c r="J413" s="0">
        <ns0:f>IF(OR(A413=0,F413&lt;&gt;"OK",Bookings!G413="Cancelled",$B$6&gt;0),0,IF('_Dates'!AC413=1,MAX(0,COUNTIFS(rngEngine_B,B413,rngAMStart,"&lt;="&amp;'_Dates'!X413,rngAMEnd,"&gt;="&amp;'_Dates'!W413,rngAMActive,1,rngEngine_F,"OK",rngBookings_F,"&lt;&gt;Cancelled")-1),0)+IF('_Dates'!AD413=1,MAX(0,COUNTIFS(rngEngine_B,B413,rngPMStart,"&lt;="&amp;'_Dates'!Z413,rngPMEnd,"&gt;="&amp;'_Dates'!Y413,rngPMActive,1,rngEngine_F,"OK",rngBookings_F,"&lt;&gt;Cancelled")-1),0))</ns0:f>
        <ns0:v>0</ns0:v>
      </ns0:c>
      <ns0:c r="K413" s="0" t="str">
        <ns0:f>IF(A413=0,"",IF(F413&lt;&gt;"OK",F413,IF(J413&gt;0,"CHECK overlapping entry",IF(AND($B$6=0,G413&lt;=0,Bookings!G413&lt;&gt;"Cancelled"),"CHECK no working days",IF(Bookings!G413="Cancelled","Cancelled","OK")))))</ns0:f>
        <ns0:v/>
      </ns0:c>
      <ns0:c r="L413" s="0">
        <ns0:f>IF(LEFT(K413,5)="CHECK",1,0)</ns0:f>
        <ns0:v>0</ns0:v>
      </ns0:c>
      <ns0:c r="M413" s="0">
        <ns0:f>IF(AND(L413=1,OR(C413=0,IFERROR(INDEX($X$11:$X$60,C413),0)=0)),1,0)</ns0:f>
        <ns0:v>0</ns0:v>
      </ns0:c>
      <ns0:c r="N413" s="0">
        <ns0:f>IF(OR(A413=0,L413&gt;0,$B$6&gt;0,Bookings!G413="Cancelled"),0,G413)</ns0:f>
        <ns0:v>0</ns0:v>
      </ns0:c>
      <ns0:c r="O413" s="0">
        <ns0:f>IF(AND(Bookings!G413="Approved",E413="Yes"),N413,0)</ns0:f>
        <ns0:v>0</ns0:v>
      </ns0:c>
      <ns0:c r="P413" s="0">
        <ns0:f>IF(AND(Bookings!G413="Approved",E413="Yes",L413=0,$B$6=0),H413,0)</ns0:f>
        <ns0:v>0</ns0:v>
      </ns0:c>
      <ns0:c r="Q413" s="0">
        <ns0:f>IF(AND(Bookings!G413="Approved",E413="Yes",L413=0,$B$6=0),I413,0)</ns0:f>
        <ns0:v>0</ns0:v>
      </ns0:c>
      <ns0:c r="R413" s="0">
        <ns0:f>IF(AND(Bookings!G413="Pending",E413="Yes"),N413,0)</ns0:f>
        <ns0:v>0</ns0:v>
      </ns0:c>
      <ns0:c r="S413" s="0">
        <ns0:f>IF(AND(Bookings!G413="Approved",E413="No"),N413,0)</ns0:f>
        <ns0:v>0</ns0:v>
      </ns0:c>
      <ns0:c r="T413" s="0">
        <ns0:f>IFERROR(MATCH(D413,Settings!$G$7:$G$11,0),0)</ns0:f>
        <ns0:v>0</ns0:v>
      </ns0:c>
      <ns0:c r="U413" s="0">
        <ns0:f>IF(N413&gt;0,T413+IF(Bookings!G413="Pending",10,0),0)</ns0:f>
        <ns0:v>0</ns0:v>
      </ns0:c>
      <ns0:c r="V413" s="0">
        <ns0:f>U413</ns0:f>
        <ns0:v>0</ns0:v>
      </ns0:c>
      <ns0:c r="W413" s="0" t="str">
        <ns0:f>IF(C413=0,"",INDEX($AP$11:$AP$60,C413))</ns0:f>
        <ns0:v/>
      </ns0:c>
    </ns0:row>
    <ns0:row r="414">
      <ns0:c r="A414" s="0">
        <ns0:f>IF(COUNTA(Bookings!A414:G414,Bookings!I414)=0,0,1)</ns0:f>
        <ns0:v>0</ns0:v>
      </ns0:c>
      <ns0:c r="B414" s="0" t="str">
        <ns0:f>IFERROR(TRIM(MID(Bookings!A414,FIND(" · ",Bookings!A414)+3,99)),"")</ns0:f>
        <ns0:v/>
      </ns0:c>
      <ns0:c r="C414" s="0">
        <ns0:f>IF(OR(B414="",LEN(B414)&gt;24,ISNUMBER(FIND(" ",B414)),ISNUMBER(FIND("*",B414)),ISNUMBER(FIND("?",B414)),ISNUMBER(FIND("~",B414))),0,IFERROR(MATCH(B414,Team!$A$11:$A$60,0),0))</ns0:f>
        <ns0:v>0</ns0:v>
      </ns0:c>
      <ns0:c r="D414" s="0" t="str">
        <ns0:f>IFERROR(IF(MID(Bookings!F414,LEN(Bookings!F414)-3,3)=" · ",RIGHT(Bookings!F414,1),""),"")</ns0:f>
        <ns0:v/>
      </ns0:c>
      <ns0:c r="E414" s="0" t="str">
        <ns0:f>IFERROR(INDEX(Settings!$H$7:$H$11,MATCH(D414,Settings!$G$7:$G$11,0)),"")</ns0:f>
        <ns0:v/>
      </ns0:c>
      <ns0:c r="F414" s="0" t="str">
        <ns0:f>IF(A414=0,"",IFERROR(IF(OR(B414="",C414=0),"CHECK employee selection",IF(INDEX(Team!$O$11:$O$60,C414)&lt;&gt;"OK","CHECK employee setup",IF(OR('_Dates'!J414=0,'_Dates'!T414=0),"CHECK date: use DD.MM.YYYY",IF('_Dates'!T414&lt;'_Dates'!J414,"CHECK end before start",IF(AND($B$6=0,OR('_Dates'!J414&lt;Settings!$B$7,'_Dates'!T414&gt;Settings!$B$8)),"CHECK split across leave years",IF(OR(NOT(OR('_Dates'!U414="Full day",'_Dates'!U414="AM",'_Dates'!U414="PM")),NOT(OR('_Dates'!V414="Full day",'_Dates'!V414="AM",'_Dates'!V414="PM"))),"CHECK Full day / AM / PM",IF(AND('_Dates'!J414='_Dates'!T414,'_Dates'!U414&lt;&gt;"Full day",'_Dates'!V414&lt;&gt;"Full day",'_Dates'!U414&lt;&gt;'_Dates'!V414),"CHECK same-day portions disagree",IF(AND($B$6=0,OR(AND('_Dates'!U414&lt;&gt;"Full day",'_Dates'!AA414=0),AND('_Dates'!V414&lt;&gt;"Full day",'_Dates'!AB414=0))),"CHECK half-day on non-working date",IF(COUNTIF(Settings!$G$7:$G$11,D414)&lt;&gt;1,"CHECK leave type",IF(AND(Bookings!G414&lt;&gt;"Approved",Bookings!G414&lt;&gt;"Pending",Bookings!G414&lt;&gt;"Cancelled"),"CHECK status","OK")))))))))),"CHECK input"))</ns0:f>
        <ns0:v/>
      </ns0:c>
      <ns0:c r="G414" s="0">
        <ns0:f>IF(OR(F414&lt;&gt;"OK",$B$6&gt;0),0,0.5*(IF(('_Dates'!X414)&lt;('_Dates'!W414),0,INT((('_Dates'!X414)-('_Dates'!W414)+1)/7)*LEN(SUBSTITUTE(W414,"O",""))+LEN(SUBSTITUTE(MID(W414&amp;W414,WEEKDAY(('_Dates'!W414),2),MOD((('_Dates'!X414)-('_Dates'!W414)+1),7)),"O",""))-COUNTIFS(INDEX(AllClosureRows,C414,0),"&gt;="&amp;('_Dates'!W414),INDEX(AllClosureRows,C414,0),"&lt;="&amp;('_Dates'!X414)))+IF(('_Dates'!Z414)&lt;('_Dates'!Y414),0,INT((('_Dates'!Z414)-('_Dates'!Y414)+1)/7)*LEN(SUBSTITUTE(W414,"O",""))+LEN(SUBSTITUTE(MID(W414&amp;W414,WEEKDAY(('_Dates'!Y414),2),MOD((('_Dates'!Z414)-('_Dates'!Y414)+1),7)),"O",""))-COUNTIFS(INDEX(AllClosureRows,C414,0),"&gt;="&amp;('_Dates'!Y414),INDEX(AllClosureRows,C414,0),"&lt;="&amp;('_Dates'!Z414)))))</ns0:f>
        <ns0:v>0</ns0:v>
      </ns0:c>
      <ns0:c r="H414" s="0">
        <ns0:f>IF(OR(F414&lt;&gt;"OK",$B$6&gt;0),0,0.5*(IF((MIN('_Dates'!X414,Settings!$B$9))&lt;('_Dates'!W414),0,INT(((MIN('_Dates'!X414,Settings!$B$9))-('_Dates'!W414)+1)/7)*LEN(SUBSTITUTE(W414,"O",""))+LEN(SUBSTITUTE(MID(W414&amp;W414,WEEKDAY(('_Dates'!W414),2),MOD(((MIN('_Dates'!X414,Settings!$B$9))-('_Dates'!W414)+1),7)),"O",""))-COUNTIFS(INDEX(AllClosureRows,C414,0),"&gt;="&amp;('_Dates'!W414),INDEX(AllClosureRows,C414,0),"&lt;="&amp;(MIN('_Dates'!X414,Settings!$B$9))))+IF((MIN('_Dates'!Z414,Settings!$B$9))&lt;('_Dates'!Y414),0,INT(((MIN('_Dates'!Z414,Settings!$B$9))-('_Dates'!Y414)+1)/7)*LEN(SUBSTITUTE(W414,"O",""))+LEN(SUBSTITUTE(MID(W414&amp;W414,WEEKDAY(('_Dates'!Y414),2),MOD(((MIN('_Dates'!Z414,Settings!$B$9))-('_Dates'!Y414)+1),7)),"O",""))-COUNTIFS(INDEX(AllClosureRows,C414,0),"&gt;="&amp;('_Dates'!Y414),INDEX(AllClosureRows,C414,0),"&lt;="&amp;(MIN('_Dates'!Z414,Settings!$B$9))))))</ns0:f>
        <ns0:v>0</ns0:v>
      </ns0:c>
      <ns0:c r="I414" s="0">
        <ns0:f>MAX(0,G414-H414)</ns0:f>
        <ns0:v>0</ns0:v>
      </ns0:c>
      <ns0:c r="J414" s="0">
        <ns0:f>IF(OR(A414=0,F414&lt;&gt;"OK",Bookings!G414="Cancelled",$B$6&gt;0),0,IF('_Dates'!AC414=1,MAX(0,COUNTIFS(rngEngine_B,B414,rngAMStart,"&lt;="&amp;'_Dates'!X414,rngAMEnd,"&gt;="&amp;'_Dates'!W414,rngAMActive,1,rngEngine_F,"OK",rngBookings_F,"&lt;&gt;Cancelled")-1),0)+IF('_Dates'!AD414=1,MAX(0,COUNTIFS(rngEngine_B,B414,rngPMStart,"&lt;="&amp;'_Dates'!Z414,rngPMEnd,"&gt;="&amp;'_Dates'!Y414,rngPMActive,1,rngEngine_F,"OK",rngBookings_F,"&lt;&gt;Cancelled")-1),0))</ns0:f>
        <ns0:v>0</ns0:v>
      </ns0:c>
      <ns0:c r="K414" s="0" t="str">
        <ns0:f>IF(A414=0,"",IF(F414&lt;&gt;"OK",F414,IF(J414&gt;0,"CHECK overlapping entry",IF(AND($B$6=0,G414&lt;=0,Bookings!G414&lt;&gt;"Cancelled"),"CHECK no working days",IF(Bookings!G414="Cancelled","Cancelled","OK")))))</ns0:f>
        <ns0:v/>
      </ns0:c>
      <ns0:c r="L414" s="0">
        <ns0:f>IF(LEFT(K414,5)="CHECK",1,0)</ns0:f>
        <ns0:v>0</ns0:v>
      </ns0:c>
      <ns0:c r="M414" s="0">
        <ns0:f>IF(AND(L414=1,OR(C414=0,IFERROR(INDEX($X$11:$X$60,C414),0)=0)),1,0)</ns0:f>
        <ns0:v>0</ns0:v>
      </ns0:c>
      <ns0:c r="N414" s="0">
        <ns0:f>IF(OR(A414=0,L414&gt;0,$B$6&gt;0,Bookings!G414="Cancelled"),0,G414)</ns0:f>
        <ns0:v>0</ns0:v>
      </ns0:c>
      <ns0:c r="O414" s="0">
        <ns0:f>IF(AND(Bookings!G414="Approved",E414="Yes"),N414,0)</ns0:f>
        <ns0:v>0</ns0:v>
      </ns0:c>
      <ns0:c r="P414" s="0">
        <ns0:f>IF(AND(Bookings!G414="Approved",E414="Yes",L414=0,$B$6=0),H414,0)</ns0:f>
        <ns0:v>0</ns0:v>
      </ns0:c>
      <ns0:c r="Q414" s="0">
        <ns0:f>IF(AND(Bookings!G414="Approved",E414="Yes",L414=0,$B$6=0),I414,0)</ns0:f>
        <ns0:v>0</ns0:v>
      </ns0:c>
      <ns0:c r="R414" s="0">
        <ns0:f>IF(AND(Bookings!G414="Pending",E414="Yes"),N414,0)</ns0:f>
        <ns0:v>0</ns0:v>
      </ns0:c>
      <ns0:c r="S414" s="0">
        <ns0:f>IF(AND(Bookings!G414="Approved",E414="No"),N414,0)</ns0:f>
        <ns0:v>0</ns0:v>
      </ns0:c>
      <ns0:c r="T414" s="0">
        <ns0:f>IFERROR(MATCH(D414,Settings!$G$7:$G$11,0),0)</ns0:f>
        <ns0:v>0</ns0:v>
      </ns0:c>
      <ns0:c r="U414" s="0">
        <ns0:f>IF(N414&gt;0,T414+IF(Bookings!G414="Pending",10,0),0)</ns0:f>
        <ns0:v>0</ns0:v>
      </ns0:c>
      <ns0:c r="V414" s="0">
        <ns0:f>U414</ns0:f>
        <ns0:v>0</ns0:v>
      </ns0:c>
      <ns0:c r="W414" s="0" t="str">
        <ns0:f>IF(C414=0,"",INDEX($AP$11:$AP$60,C414))</ns0:f>
        <ns0:v/>
      </ns0:c>
    </ns0:row>
    <ns0:row r="415">
      <ns0:c r="A415" s="0">
        <ns0:f>IF(COUNTA(Bookings!A415:G415,Bookings!I415)=0,0,1)</ns0:f>
        <ns0:v>0</ns0:v>
      </ns0:c>
      <ns0:c r="B415" s="0" t="str">
        <ns0:f>IFERROR(TRIM(MID(Bookings!A415,FIND(" · ",Bookings!A415)+3,99)),"")</ns0:f>
        <ns0:v/>
      </ns0:c>
      <ns0:c r="C415" s="0">
        <ns0:f>IF(OR(B415="",LEN(B415)&gt;24,ISNUMBER(FIND(" ",B415)),ISNUMBER(FIND("*",B415)),ISNUMBER(FIND("?",B415)),ISNUMBER(FIND("~",B415))),0,IFERROR(MATCH(B415,Team!$A$11:$A$60,0),0))</ns0:f>
        <ns0:v>0</ns0:v>
      </ns0:c>
      <ns0:c r="D415" s="0" t="str">
        <ns0:f>IFERROR(IF(MID(Bookings!F415,LEN(Bookings!F415)-3,3)=" · ",RIGHT(Bookings!F415,1),""),"")</ns0:f>
        <ns0:v/>
      </ns0:c>
      <ns0:c r="E415" s="0" t="str">
        <ns0:f>IFERROR(INDEX(Settings!$H$7:$H$11,MATCH(D415,Settings!$G$7:$G$11,0)),"")</ns0:f>
        <ns0:v/>
      </ns0:c>
      <ns0:c r="F415" s="0" t="str">
        <ns0:f>IF(A415=0,"",IFERROR(IF(OR(B415="",C415=0),"CHECK employee selection",IF(INDEX(Team!$O$11:$O$60,C415)&lt;&gt;"OK","CHECK employee setup",IF(OR('_Dates'!J415=0,'_Dates'!T415=0),"CHECK date: use DD.MM.YYYY",IF('_Dates'!T415&lt;'_Dates'!J415,"CHECK end before start",IF(AND($B$6=0,OR('_Dates'!J415&lt;Settings!$B$7,'_Dates'!T415&gt;Settings!$B$8)),"CHECK split across leave years",IF(OR(NOT(OR('_Dates'!U415="Full day",'_Dates'!U415="AM",'_Dates'!U415="PM")),NOT(OR('_Dates'!V415="Full day",'_Dates'!V415="AM",'_Dates'!V415="PM"))),"CHECK Full day / AM / PM",IF(AND('_Dates'!J415='_Dates'!T415,'_Dates'!U415&lt;&gt;"Full day",'_Dates'!V415&lt;&gt;"Full day",'_Dates'!U415&lt;&gt;'_Dates'!V415),"CHECK same-day portions disagree",IF(AND($B$6=0,OR(AND('_Dates'!U415&lt;&gt;"Full day",'_Dates'!AA415=0),AND('_Dates'!V415&lt;&gt;"Full day",'_Dates'!AB415=0))),"CHECK half-day on non-working date",IF(COUNTIF(Settings!$G$7:$G$11,D415)&lt;&gt;1,"CHECK leave type",IF(AND(Bookings!G415&lt;&gt;"Approved",Bookings!G415&lt;&gt;"Pending",Bookings!G415&lt;&gt;"Cancelled"),"CHECK status","OK")))))))))),"CHECK input"))</ns0:f>
        <ns0:v/>
      </ns0:c>
      <ns0:c r="G415" s="0">
        <ns0:f>IF(OR(F415&lt;&gt;"OK",$B$6&gt;0),0,0.5*(IF(('_Dates'!X415)&lt;('_Dates'!W415),0,INT((('_Dates'!X415)-('_Dates'!W415)+1)/7)*LEN(SUBSTITUTE(W415,"O",""))+LEN(SUBSTITUTE(MID(W415&amp;W415,WEEKDAY(('_Dates'!W415),2),MOD((('_Dates'!X415)-('_Dates'!W415)+1),7)),"O",""))-COUNTIFS(INDEX(AllClosureRows,C415,0),"&gt;="&amp;('_Dates'!W415),INDEX(AllClosureRows,C415,0),"&lt;="&amp;('_Dates'!X415)))+IF(('_Dates'!Z415)&lt;('_Dates'!Y415),0,INT((('_Dates'!Z415)-('_Dates'!Y415)+1)/7)*LEN(SUBSTITUTE(W415,"O",""))+LEN(SUBSTITUTE(MID(W415&amp;W415,WEEKDAY(('_Dates'!Y415),2),MOD((('_Dates'!Z415)-('_Dates'!Y415)+1),7)),"O",""))-COUNTIFS(INDEX(AllClosureRows,C415,0),"&gt;="&amp;('_Dates'!Y415),INDEX(AllClosureRows,C415,0),"&lt;="&amp;('_Dates'!Z415)))))</ns0:f>
        <ns0:v>0</ns0:v>
      </ns0:c>
      <ns0:c r="H415" s="0">
        <ns0:f>IF(OR(F415&lt;&gt;"OK",$B$6&gt;0),0,0.5*(IF((MIN('_Dates'!X415,Settings!$B$9))&lt;('_Dates'!W415),0,INT(((MIN('_Dates'!X415,Settings!$B$9))-('_Dates'!W415)+1)/7)*LEN(SUBSTITUTE(W415,"O",""))+LEN(SUBSTITUTE(MID(W415&amp;W415,WEEKDAY(('_Dates'!W415),2),MOD(((MIN('_Dates'!X415,Settings!$B$9))-('_Dates'!W415)+1),7)),"O",""))-COUNTIFS(INDEX(AllClosureRows,C415,0),"&gt;="&amp;('_Dates'!W415),INDEX(AllClosureRows,C415,0),"&lt;="&amp;(MIN('_Dates'!X415,Settings!$B$9))))+IF((MIN('_Dates'!Z415,Settings!$B$9))&lt;('_Dates'!Y415),0,INT(((MIN('_Dates'!Z415,Settings!$B$9))-('_Dates'!Y415)+1)/7)*LEN(SUBSTITUTE(W415,"O",""))+LEN(SUBSTITUTE(MID(W415&amp;W415,WEEKDAY(('_Dates'!Y415),2),MOD(((MIN('_Dates'!Z415,Settings!$B$9))-('_Dates'!Y415)+1),7)),"O",""))-COUNTIFS(INDEX(AllClosureRows,C415,0),"&gt;="&amp;('_Dates'!Y415),INDEX(AllClosureRows,C415,0),"&lt;="&amp;(MIN('_Dates'!Z415,Settings!$B$9))))))</ns0:f>
        <ns0:v>0</ns0:v>
      </ns0:c>
      <ns0:c r="I415" s="0">
        <ns0:f>MAX(0,G415-H415)</ns0:f>
        <ns0:v>0</ns0:v>
      </ns0:c>
      <ns0:c r="J415" s="0">
        <ns0:f>IF(OR(A415=0,F415&lt;&gt;"OK",Bookings!G415="Cancelled",$B$6&gt;0),0,IF('_Dates'!AC415=1,MAX(0,COUNTIFS(rngEngine_B,B415,rngAMStart,"&lt;="&amp;'_Dates'!X415,rngAMEnd,"&gt;="&amp;'_Dates'!W415,rngAMActive,1,rngEngine_F,"OK",rngBookings_F,"&lt;&gt;Cancelled")-1),0)+IF('_Dates'!AD415=1,MAX(0,COUNTIFS(rngEngine_B,B415,rngPMStart,"&lt;="&amp;'_Dates'!Z415,rngPMEnd,"&gt;="&amp;'_Dates'!Y415,rngPMActive,1,rngEngine_F,"OK",rngBookings_F,"&lt;&gt;Cancelled")-1),0))</ns0:f>
        <ns0:v>0</ns0:v>
      </ns0:c>
      <ns0:c r="K415" s="0" t="str">
        <ns0:f>IF(A415=0,"",IF(F415&lt;&gt;"OK",F415,IF(J415&gt;0,"CHECK overlapping entry",IF(AND($B$6=0,G415&lt;=0,Bookings!G415&lt;&gt;"Cancelled"),"CHECK no working days",IF(Bookings!G415="Cancelled","Cancelled","OK")))))</ns0:f>
        <ns0:v/>
      </ns0:c>
      <ns0:c r="L415" s="0">
        <ns0:f>IF(LEFT(K415,5)="CHECK",1,0)</ns0:f>
        <ns0:v>0</ns0:v>
      </ns0:c>
      <ns0:c r="M415" s="0">
        <ns0:f>IF(AND(L415=1,OR(C415=0,IFERROR(INDEX($X$11:$X$60,C415),0)=0)),1,0)</ns0:f>
        <ns0:v>0</ns0:v>
      </ns0:c>
      <ns0:c r="N415" s="0">
        <ns0:f>IF(OR(A415=0,L415&gt;0,$B$6&gt;0,Bookings!G415="Cancelled"),0,G415)</ns0:f>
        <ns0:v>0</ns0:v>
      </ns0:c>
      <ns0:c r="O415" s="0">
        <ns0:f>IF(AND(Bookings!G415="Approved",E415="Yes"),N415,0)</ns0:f>
        <ns0:v>0</ns0:v>
      </ns0:c>
      <ns0:c r="P415" s="0">
        <ns0:f>IF(AND(Bookings!G415="Approved",E415="Yes",L415=0,$B$6=0),H415,0)</ns0:f>
        <ns0:v>0</ns0:v>
      </ns0:c>
      <ns0:c r="Q415" s="0">
        <ns0:f>IF(AND(Bookings!G415="Approved",E415="Yes",L415=0,$B$6=0),I415,0)</ns0:f>
        <ns0:v>0</ns0:v>
      </ns0:c>
      <ns0:c r="R415" s="0">
        <ns0:f>IF(AND(Bookings!G415="Pending",E415="Yes"),N415,0)</ns0:f>
        <ns0:v>0</ns0:v>
      </ns0:c>
      <ns0:c r="S415" s="0">
        <ns0:f>IF(AND(Bookings!G415="Approved",E415="No"),N415,0)</ns0:f>
        <ns0:v>0</ns0:v>
      </ns0:c>
      <ns0:c r="T415" s="0">
        <ns0:f>IFERROR(MATCH(D415,Settings!$G$7:$G$11,0),0)</ns0:f>
        <ns0:v>0</ns0:v>
      </ns0:c>
      <ns0:c r="U415" s="0">
        <ns0:f>IF(N415&gt;0,T415+IF(Bookings!G415="Pending",10,0),0)</ns0:f>
        <ns0:v>0</ns0:v>
      </ns0:c>
      <ns0:c r="V415" s="0">
        <ns0:f>U415</ns0:f>
        <ns0:v>0</ns0:v>
      </ns0:c>
      <ns0:c r="W415" s="0" t="str">
        <ns0:f>IF(C415=0,"",INDEX($AP$11:$AP$60,C415))</ns0:f>
        <ns0:v/>
      </ns0:c>
    </ns0:row>
    <ns0:row r="416">
      <ns0:c r="A416" s="0">
        <ns0:f>IF(COUNTA(Bookings!A416:G416,Bookings!I416)=0,0,1)</ns0:f>
        <ns0:v>0</ns0:v>
      </ns0:c>
      <ns0:c r="B416" s="0" t="str">
        <ns0:f>IFERROR(TRIM(MID(Bookings!A416,FIND(" · ",Bookings!A416)+3,99)),"")</ns0:f>
        <ns0:v/>
      </ns0:c>
      <ns0:c r="C416" s="0">
        <ns0:f>IF(OR(B416="",LEN(B416)&gt;24,ISNUMBER(FIND(" ",B416)),ISNUMBER(FIND("*",B416)),ISNUMBER(FIND("?",B416)),ISNUMBER(FIND("~",B416))),0,IFERROR(MATCH(B416,Team!$A$11:$A$60,0),0))</ns0:f>
        <ns0:v>0</ns0:v>
      </ns0:c>
      <ns0:c r="D416" s="0" t="str">
        <ns0:f>IFERROR(IF(MID(Bookings!F416,LEN(Bookings!F416)-3,3)=" · ",RIGHT(Bookings!F416,1),""),"")</ns0:f>
        <ns0:v/>
      </ns0:c>
      <ns0:c r="E416" s="0" t="str">
        <ns0:f>IFERROR(INDEX(Settings!$H$7:$H$11,MATCH(D416,Settings!$G$7:$G$11,0)),"")</ns0:f>
        <ns0:v/>
      </ns0:c>
      <ns0:c r="F416" s="0" t="str">
        <ns0:f>IF(A416=0,"",IFERROR(IF(OR(B416="",C416=0),"CHECK employee selection",IF(INDEX(Team!$O$11:$O$60,C416)&lt;&gt;"OK","CHECK employee setup",IF(OR('_Dates'!J416=0,'_Dates'!T416=0),"CHECK date: use DD.MM.YYYY",IF('_Dates'!T416&lt;'_Dates'!J416,"CHECK end before start",IF(AND($B$6=0,OR('_Dates'!J416&lt;Settings!$B$7,'_Dates'!T416&gt;Settings!$B$8)),"CHECK split across leave years",IF(OR(NOT(OR('_Dates'!U416="Full day",'_Dates'!U416="AM",'_Dates'!U416="PM")),NOT(OR('_Dates'!V416="Full day",'_Dates'!V416="AM",'_Dates'!V416="PM"))),"CHECK Full day / AM / PM",IF(AND('_Dates'!J416='_Dates'!T416,'_Dates'!U416&lt;&gt;"Full day",'_Dates'!V416&lt;&gt;"Full day",'_Dates'!U416&lt;&gt;'_Dates'!V416),"CHECK same-day portions disagree",IF(AND($B$6=0,OR(AND('_Dates'!U416&lt;&gt;"Full day",'_Dates'!AA416=0),AND('_Dates'!V416&lt;&gt;"Full day",'_Dates'!AB416=0))),"CHECK half-day on non-working date",IF(COUNTIF(Settings!$G$7:$G$11,D416)&lt;&gt;1,"CHECK leave type",IF(AND(Bookings!G416&lt;&gt;"Approved",Bookings!G416&lt;&gt;"Pending",Bookings!G416&lt;&gt;"Cancelled"),"CHECK status","OK")))))))))),"CHECK input"))</ns0:f>
        <ns0:v/>
      </ns0:c>
      <ns0:c r="G416" s="0">
        <ns0:f>IF(OR(F416&lt;&gt;"OK",$B$6&gt;0),0,0.5*(IF(('_Dates'!X416)&lt;('_Dates'!W416),0,INT((('_Dates'!X416)-('_Dates'!W416)+1)/7)*LEN(SUBSTITUTE(W416,"O",""))+LEN(SUBSTITUTE(MID(W416&amp;W416,WEEKDAY(('_Dates'!W416),2),MOD((('_Dates'!X416)-('_Dates'!W416)+1),7)),"O",""))-COUNTIFS(INDEX(AllClosureRows,C416,0),"&gt;="&amp;('_Dates'!W416),INDEX(AllClosureRows,C416,0),"&lt;="&amp;('_Dates'!X416)))+IF(('_Dates'!Z416)&lt;('_Dates'!Y416),0,INT((('_Dates'!Z416)-('_Dates'!Y416)+1)/7)*LEN(SUBSTITUTE(W416,"O",""))+LEN(SUBSTITUTE(MID(W416&amp;W416,WEEKDAY(('_Dates'!Y416),2),MOD((('_Dates'!Z416)-('_Dates'!Y416)+1),7)),"O",""))-COUNTIFS(INDEX(AllClosureRows,C416,0),"&gt;="&amp;('_Dates'!Y416),INDEX(AllClosureRows,C416,0),"&lt;="&amp;('_Dates'!Z416)))))</ns0:f>
        <ns0:v>0</ns0:v>
      </ns0:c>
      <ns0:c r="H416" s="0">
        <ns0:f>IF(OR(F416&lt;&gt;"OK",$B$6&gt;0),0,0.5*(IF((MIN('_Dates'!X416,Settings!$B$9))&lt;('_Dates'!W416),0,INT(((MIN('_Dates'!X416,Settings!$B$9))-('_Dates'!W416)+1)/7)*LEN(SUBSTITUTE(W416,"O",""))+LEN(SUBSTITUTE(MID(W416&amp;W416,WEEKDAY(('_Dates'!W416),2),MOD(((MIN('_Dates'!X416,Settings!$B$9))-('_Dates'!W416)+1),7)),"O",""))-COUNTIFS(INDEX(AllClosureRows,C416,0),"&gt;="&amp;('_Dates'!W416),INDEX(AllClosureRows,C416,0),"&lt;="&amp;(MIN('_Dates'!X416,Settings!$B$9))))+IF((MIN('_Dates'!Z416,Settings!$B$9))&lt;('_Dates'!Y416),0,INT(((MIN('_Dates'!Z416,Settings!$B$9))-('_Dates'!Y416)+1)/7)*LEN(SUBSTITUTE(W416,"O",""))+LEN(SUBSTITUTE(MID(W416&amp;W416,WEEKDAY(('_Dates'!Y416),2),MOD(((MIN('_Dates'!Z416,Settings!$B$9))-('_Dates'!Y416)+1),7)),"O",""))-COUNTIFS(INDEX(AllClosureRows,C416,0),"&gt;="&amp;('_Dates'!Y416),INDEX(AllClosureRows,C416,0),"&lt;="&amp;(MIN('_Dates'!Z416,Settings!$B$9))))))</ns0:f>
        <ns0:v>0</ns0:v>
      </ns0:c>
      <ns0:c r="I416" s="0">
        <ns0:f>MAX(0,G416-H416)</ns0:f>
        <ns0:v>0</ns0:v>
      </ns0:c>
      <ns0:c r="J416" s="0">
        <ns0:f>IF(OR(A416=0,F416&lt;&gt;"OK",Bookings!G416="Cancelled",$B$6&gt;0),0,IF('_Dates'!AC416=1,MAX(0,COUNTIFS(rngEngine_B,B416,rngAMStart,"&lt;="&amp;'_Dates'!X416,rngAMEnd,"&gt;="&amp;'_Dates'!W416,rngAMActive,1,rngEngine_F,"OK",rngBookings_F,"&lt;&gt;Cancelled")-1),0)+IF('_Dates'!AD416=1,MAX(0,COUNTIFS(rngEngine_B,B416,rngPMStart,"&lt;="&amp;'_Dates'!Z416,rngPMEnd,"&gt;="&amp;'_Dates'!Y416,rngPMActive,1,rngEngine_F,"OK",rngBookings_F,"&lt;&gt;Cancelled")-1),0))</ns0:f>
        <ns0:v>0</ns0:v>
      </ns0:c>
      <ns0:c r="K416" s="0" t="str">
        <ns0:f>IF(A416=0,"",IF(F416&lt;&gt;"OK",F416,IF(J416&gt;0,"CHECK overlapping entry",IF(AND($B$6=0,G416&lt;=0,Bookings!G416&lt;&gt;"Cancelled"),"CHECK no working days",IF(Bookings!G416="Cancelled","Cancelled","OK")))))</ns0:f>
        <ns0:v/>
      </ns0:c>
      <ns0:c r="L416" s="0">
        <ns0:f>IF(LEFT(K416,5)="CHECK",1,0)</ns0:f>
        <ns0:v>0</ns0:v>
      </ns0:c>
      <ns0:c r="M416" s="0">
        <ns0:f>IF(AND(L416=1,OR(C416=0,IFERROR(INDEX($X$11:$X$60,C416),0)=0)),1,0)</ns0:f>
        <ns0:v>0</ns0:v>
      </ns0:c>
      <ns0:c r="N416" s="0">
        <ns0:f>IF(OR(A416=0,L416&gt;0,$B$6&gt;0,Bookings!G416="Cancelled"),0,G416)</ns0:f>
        <ns0:v>0</ns0:v>
      </ns0:c>
      <ns0:c r="O416" s="0">
        <ns0:f>IF(AND(Bookings!G416="Approved",E416="Yes"),N416,0)</ns0:f>
        <ns0:v>0</ns0:v>
      </ns0:c>
      <ns0:c r="P416" s="0">
        <ns0:f>IF(AND(Bookings!G416="Approved",E416="Yes",L416=0,$B$6=0),H416,0)</ns0:f>
        <ns0:v>0</ns0:v>
      </ns0:c>
      <ns0:c r="Q416" s="0">
        <ns0:f>IF(AND(Bookings!G416="Approved",E416="Yes",L416=0,$B$6=0),I416,0)</ns0:f>
        <ns0:v>0</ns0:v>
      </ns0:c>
      <ns0:c r="R416" s="0">
        <ns0:f>IF(AND(Bookings!G416="Pending",E416="Yes"),N416,0)</ns0:f>
        <ns0:v>0</ns0:v>
      </ns0:c>
      <ns0:c r="S416" s="0">
        <ns0:f>IF(AND(Bookings!G416="Approved",E416="No"),N416,0)</ns0:f>
        <ns0:v>0</ns0:v>
      </ns0:c>
      <ns0:c r="T416" s="0">
        <ns0:f>IFERROR(MATCH(D416,Settings!$G$7:$G$11,0),0)</ns0:f>
        <ns0:v>0</ns0:v>
      </ns0:c>
      <ns0:c r="U416" s="0">
        <ns0:f>IF(N416&gt;0,T416+IF(Bookings!G416="Pending",10,0),0)</ns0:f>
        <ns0:v>0</ns0:v>
      </ns0:c>
      <ns0:c r="V416" s="0">
        <ns0:f>U416</ns0:f>
        <ns0:v>0</ns0:v>
      </ns0:c>
      <ns0:c r="W416" s="0" t="str">
        <ns0:f>IF(C416=0,"",INDEX($AP$11:$AP$60,C416))</ns0:f>
        <ns0:v/>
      </ns0:c>
    </ns0:row>
    <ns0:row r="417">
      <ns0:c r="A417" s="0">
        <ns0:f>IF(COUNTA(Bookings!A417:G417,Bookings!I417)=0,0,1)</ns0:f>
        <ns0:v>0</ns0:v>
      </ns0:c>
      <ns0:c r="B417" s="0" t="str">
        <ns0:f>IFERROR(TRIM(MID(Bookings!A417,FIND(" · ",Bookings!A417)+3,99)),"")</ns0:f>
        <ns0:v/>
      </ns0:c>
      <ns0:c r="C417" s="0">
        <ns0:f>IF(OR(B417="",LEN(B417)&gt;24,ISNUMBER(FIND(" ",B417)),ISNUMBER(FIND("*",B417)),ISNUMBER(FIND("?",B417)),ISNUMBER(FIND("~",B417))),0,IFERROR(MATCH(B417,Team!$A$11:$A$60,0),0))</ns0:f>
        <ns0:v>0</ns0:v>
      </ns0:c>
      <ns0:c r="D417" s="0" t="str">
        <ns0:f>IFERROR(IF(MID(Bookings!F417,LEN(Bookings!F417)-3,3)=" · ",RIGHT(Bookings!F417,1),""),"")</ns0:f>
        <ns0:v/>
      </ns0:c>
      <ns0:c r="E417" s="0" t="str">
        <ns0:f>IFERROR(INDEX(Settings!$H$7:$H$11,MATCH(D417,Settings!$G$7:$G$11,0)),"")</ns0:f>
        <ns0:v/>
      </ns0:c>
      <ns0:c r="F417" s="0" t="str">
        <ns0:f>IF(A417=0,"",IFERROR(IF(OR(B417="",C417=0),"CHECK employee selection",IF(INDEX(Team!$O$11:$O$60,C417)&lt;&gt;"OK","CHECK employee setup",IF(OR('_Dates'!J417=0,'_Dates'!T417=0),"CHECK date: use DD.MM.YYYY",IF('_Dates'!T417&lt;'_Dates'!J417,"CHECK end before start",IF(AND($B$6=0,OR('_Dates'!J417&lt;Settings!$B$7,'_Dates'!T417&gt;Settings!$B$8)),"CHECK split across leave years",IF(OR(NOT(OR('_Dates'!U417="Full day",'_Dates'!U417="AM",'_Dates'!U417="PM")),NOT(OR('_Dates'!V417="Full day",'_Dates'!V417="AM",'_Dates'!V417="PM"))),"CHECK Full day / AM / PM",IF(AND('_Dates'!J417='_Dates'!T417,'_Dates'!U417&lt;&gt;"Full day",'_Dates'!V417&lt;&gt;"Full day",'_Dates'!U417&lt;&gt;'_Dates'!V417),"CHECK same-day portions disagree",IF(AND($B$6=0,OR(AND('_Dates'!U417&lt;&gt;"Full day",'_Dates'!AA417=0),AND('_Dates'!V417&lt;&gt;"Full day",'_Dates'!AB417=0))),"CHECK half-day on non-working date",IF(COUNTIF(Settings!$G$7:$G$11,D417)&lt;&gt;1,"CHECK leave type",IF(AND(Bookings!G417&lt;&gt;"Approved",Bookings!G417&lt;&gt;"Pending",Bookings!G417&lt;&gt;"Cancelled"),"CHECK status","OK")))))))))),"CHECK input"))</ns0:f>
        <ns0:v/>
      </ns0:c>
      <ns0:c r="G417" s="0">
        <ns0:f>IF(OR(F417&lt;&gt;"OK",$B$6&gt;0),0,0.5*(IF(('_Dates'!X417)&lt;('_Dates'!W417),0,INT((('_Dates'!X417)-('_Dates'!W417)+1)/7)*LEN(SUBSTITUTE(W417,"O",""))+LEN(SUBSTITUTE(MID(W417&amp;W417,WEEKDAY(('_Dates'!W417),2),MOD((('_Dates'!X417)-('_Dates'!W417)+1),7)),"O",""))-COUNTIFS(INDEX(AllClosureRows,C417,0),"&gt;="&amp;('_Dates'!W417),INDEX(AllClosureRows,C417,0),"&lt;="&amp;('_Dates'!X417)))+IF(('_Dates'!Z417)&lt;('_Dates'!Y417),0,INT((('_Dates'!Z417)-('_Dates'!Y417)+1)/7)*LEN(SUBSTITUTE(W417,"O",""))+LEN(SUBSTITUTE(MID(W417&amp;W417,WEEKDAY(('_Dates'!Y417),2),MOD((('_Dates'!Z417)-('_Dates'!Y417)+1),7)),"O",""))-COUNTIFS(INDEX(AllClosureRows,C417,0),"&gt;="&amp;('_Dates'!Y417),INDEX(AllClosureRows,C417,0),"&lt;="&amp;('_Dates'!Z417)))))</ns0:f>
        <ns0:v>0</ns0:v>
      </ns0:c>
      <ns0:c r="H417" s="0">
        <ns0:f>IF(OR(F417&lt;&gt;"OK",$B$6&gt;0),0,0.5*(IF((MIN('_Dates'!X417,Settings!$B$9))&lt;('_Dates'!W417),0,INT(((MIN('_Dates'!X417,Settings!$B$9))-('_Dates'!W417)+1)/7)*LEN(SUBSTITUTE(W417,"O",""))+LEN(SUBSTITUTE(MID(W417&amp;W417,WEEKDAY(('_Dates'!W417),2),MOD(((MIN('_Dates'!X417,Settings!$B$9))-('_Dates'!W417)+1),7)),"O",""))-COUNTIFS(INDEX(AllClosureRows,C417,0),"&gt;="&amp;('_Dates'!W417),INDEX(AllClosureRows,C417,0),"&lt;="&amp;(MIN('_Dates'!X417,Settings!$B$9))))+IF((MIN('_Dates'!Z417,Settings!$B$9))&lt;('_Dates'!Y417),0,INT(((MIN('_Dates'!Z417,Settings!$B$9))-('_Dates'!Y417)+1)/7)*LEN(SUBSTITUTE(W417,"O",""))+LEN(SUBSTITUTE(MID(W417&amp;W417,WEEKDAY(('_Dates'!Y417),2),MOD(((MIN('_Dates'!Z417,Settings!$B$9))-('_Dates'!Y417)+1),7)),"O",""))-COUNTIFS(INDEX(AllClosureRows,C417,0),"&gt;="&amp;('_Dates'!Y417),INDEX(AllClosureRows,C417,0),"&lt;="&amp;(MIN('_Dates'!Z417,Settings!$B$9))))))</ns0:f>
        <ns0:v>0</ns0:v>
      </ns0:c>
      <ns0:c r="I417" s="0">
        <ns0:f>MAX(0,G417-H417)</ns0:f>
        <ns0:v>0</ns0:v>
      </ns0:c>
      <ns0:c r="J417" s="0">
        <ns0:f>IF(OR(A417=0,F417&lt;&gt;"OK",Bookings!G417="Cancelled",$B$6&gt;0),0,IF('_Dates'!AC417=1,MAX(0,COUNTIFS(rngEngine_B,B417,rngAMStart,"&lt;="&amp;'_Dates'!X417,rngAMEnd,"&gt;="&amp;'_Dates'!W417,rngAMActive,1,rngEngine_F,"OK",rngBookings_F,"&lt;&gt;Cancelled")-1),0)+IF('_Dates'!AD417=1,MAX(0,COUNTIFS(rngEngine_B,B417,rngPMStart,"&lt;="&amp;'_Dates'!Z417,rngPMEnd,"&gt;="&amp;'_Dates'!Y417,rngPMActive,1,rngEngine_F,"OK",rngBookings_F,"&lt;&gt;Cancelled")-1),0))</ns0:f>
        <ns0:v>0</ns0:v>
      </ns0:c>
      <ns0:c r="K417" s="0" t="str">
        <ns0:f>IF(A417=0,"",IF(F417&lt;&gt;"OK",F417,IF(J417&gt;0,"CHECK overlapping entry",IF(AND($B$6=0,G417&lt;=0,Bookings!G417&lt;&gt;"Cancelled"),"CHECK no working days",IF(Bookings!G417="Cancelled","Cancelled","OK")))))</ns0:f>
        <ns0:v/>
      </ns0:c>
      <ns0:c r="L417" s="0">
        <ns0:f>IF(LEFT(K417,5)="CHECK",1,0)</ns0:f>
        <ns0:v>0</ns0:v>
      </ns0:c>
      <ns0:c r="M417" s="0">
        <ns0:f>IF(AND(L417=1,OR(C417=0,IFERROR(INDEX($X$11:$X$60,C417),0)=0)),1,0)</ns0:f>
        <ns0:v>0</ns0:v>
      </ns0:c>
      <ns0:c r="N417" s="0">
        <ns0:f>IF(OR(A417=0,L417&gt;0,$B$6&gt;0,Bookings!G417="Cancelled"),0,G417)</ns0:f>
        <ns0:v>0</ns0:v>
      </ns0:c>
      <ns0:c r="O417" s="0">
        <ns0:f>IF(AND(Bookings!G417="Approved",E417="Yes"),N417,0)</ns0:f>
        <ns0:v>0</ns0:v>
      </ns0:c>
      <ns0:c r="P417" s="0">
        <ns0:f>IF(AND(Bookings!G417="Approved",E417="Yes",L417=0,$B$6=0),H417,0)</ns0:f>
        <ns0:v>0</ns0:v>
      </ns0:c>
      <ns0:c r="Q417" s="0">
        <ns0:f>IF(AND(Bookings!G417="Approved",E417="Yes",L417=0,$B$6=0),I417,0)</ns0:f>
        <ns0:v>0</ns0:v>
      </ns0:c>
      <ns0:c r="R417" s="0">
        <ns0:f>IF(AND(Bookings!G417="Pending",E417="Yes"),N417,0)</ns0:f>
        <ns0:v>0</ns0:v>
      </ns0:c>
      <ns0:c r="S417" s="0">
        <ns0:f>IF(AND(Bookings!G417="Approved",E417="No"),N417,0)</ns0:f>
        <ns0:v>0</ns0:v>
      </ns0:c>
      <ns0:c r="T417" s="0">
        <ns0:f>IFERROR(MATCH(D417,Settings!$G$7:$G$11,0),0)</ns0:f>
        <ns0:v>0</ns0:v>
      </ns0:c>
      <ns0:c r="U417" s="0">
        <ns0:f>IF(N417&gt;0,T417+IF(Bookings!G417="Pending",10,0),0)</ns0:f>
        <ns0:v>0</ns0:v>
      </ns0:c>
      <ns0:c r="V417" s="0">
        <ns0:f>U417</ns0:f>
        <ns0:v>0</ns0:v>
      </ns0:c>
      <ns0:c r="W417" s="0" t="str">
        <ns0:f>IF(C417=0,"",INDEX($AP$11:$AP$60,C417))</ns0:f>
        <ns0:v/>
      </ns0:c>
    </ns0:row>
    <ns0:row r="418">
      <ns0:c r="A418" s="0">
        <ns0:f>IF(COUNTA(Bookings!A418:G418,Bookings!I418)=0,0,1)</ns0:f>
        <ns0:v>0</ns0:v>
      </ns0:c>
      <ns0:c r="B418" s="0" t="str">
        <ns0:f>IFERROR(TRIM(MID(Bookings!A418,FIND(" · ",Bookings!A418)+3,99)),"")</ns0:f>
        <ns0:v/>
      </ns0:c>
      <ns0:c r="C418" s="0">
        <ns0:f>IF(OR(B418="",LEN(B418)&gt;24,ISNUMBER(FIND(" ",B418)),ISNUMBER(FIND("*",B418)),ISNUMBER(FIND("?",B418)),ISNUMBER(FIND("~",B418))),0,IFERROR(MATCH(B418,Team!$A$11:$A$60,0),0))</ns0:f>
        <ns0:v>0</ns0:v>
      </ns0:c>
      <ns0:c r="D418" s="0" t="str">
        <ns0:f>IFERROR(IF(MID(Bookings!F418,LEN(Bookings!F418)-3,3)=" · ",RIGHT(Bookings!F418,1),""),"")</ns0:f>
        <ns0:v/>
      </ns0:c>
      <ns0:c r="E418" s="0" t="str">
        <ns0:f>IFERROR(INDEX(Settings!$H$7:$H$11,MATCH(D418,Settings!$G$7:$G$11,0)),"")</ns0:f>
        <ns0:v/>
      </ns0:c>
      <ns0:c r="F418" s="0" t="str">
        <ns0:f>IF(A418=0,"",IFERROR(IF(OR(B418="",C418=0),"CHECK employee selection",IF(INDEX(Team!$O$11:$O$60,C418)&lt;&gt;"OK","CHECK employee setup",IF(OR('_Dates'!J418=0,'_Dates'!T418=0),"CHECK date: use DD.MM.YYYY",IF('_Dates'!T418&lt;'_Dates'!J418,"CHECK end before start",IF(AND($B$6=0,OR('_Dates'!J418&lt;Settings!$B$7,'_Dates'!T418&gt;Settings!$B$8)),"CHECK split across leave years",IF(OR(NOT(OR('_Dates'!U418="Full day",'_Dates'!U418="AM",'_Dates'!U418="PM")),NOT(OR('_Dates'!V418="Full day",'_Dates'!V418="AM",'_Dates'!V418="PM"))),"CHECK Full day / AM / PM",IF(AND('_Dates'!J418='_Dates'!T418,'_Dates'!U418&lt;&gt;"Full day",'_Dates'!V418&lt;&gt;"Full day",'_Dates'!U418&lt;&gt;'_Dates'!V418),"CHECK same-day portions disagree",IF(AND($B$6=0,OR(AND('_Dates'!U418&lt;&gt;"Full day",'_Dates'!AA418=0),AND('_Dates'!V418&lt;&gt;"Full day",'_Dates'!AB418=0))),"CHECK half-day on non-working date",IF(COUNTIF(Settings!$G$7:$G$11,D418)&lt;&gt;1,"CHECK leave type",IF(AND(Bookings!G418&lt;&gt;"Approved",Bookings!G418&lt;&gt;"Pending",Bookings!G418&lt;&gt;"Cancelled"),"CHECK status","OK")))))))))),"CHECK input"))</ns0:f>
        <ns0:v/>
      </ns0:c>
      <ns0:c r="G418" s="0">
        <ns0:f>IF(OR(F418&lt;&gt;"OK",$B$6&gt;0),0,0.5*(IF(('_Dates'!X418)&lt;('_Dates'!W418),0,INT((('_Dates'!X418)-('_Dates'!W418)+1)/7)*LEN(SUBSTITUTE(W418,"O",""))+LEN(SUBSTITUTE(MID(W418&amp;W418,WEEKDAY(('_Dates'!W418),2),MOD((('_Dates'!X418)-('_Dates'!W418)+1),7)),"O",""))-COUNTIFS(INDEX(AllClosureRows,C418,0),"&gt;="&amp;('_Dates'!W418),INDEX(AllClosureRows,C418,0),"&lt;="&amp;('_Dates'!X418)))+IF(('_Dates'!Z418)&lt;('_Dates'!Y418),0,INT((('_Dates'!Z418)-('_Dates'!Y418)+1)/7)*LEN(SUBSTITUTE(W418,"O",""))+LEN(SUBSTITUTE(MID(W418&amp;W418,WEEKDAY(('_Dates'!Y418),2),MOD((('_Dates'!Z418)-('_Dates'!Y418)+1),7)),"O",""))-COUNTIFS(INDEX(AllClosureRows,C418,0),"&gt;="&amp;('_Dates'!Y418),INDEX(AllClosureRows,C418,0),"&lt;="&amp;('_Dates'!Z418)))))</ns0:f>
        <ns0:v>0</ns0:v>
      </ns0:c>
      <ns0:c r="H418" s="0">
        <ns0:f>IF(OR(F418&lt;&gt;"OK",$B$6&gt;0),0,0.5*(IF((MIN('_Dates'!X418,Settings!$B$9))&lt;('_Dates'!W418),0,INT(((MIN('_Dates'!X418,Settings!$B$9))-('_Dates'!W418)+1)/7)*LEN(SUBSTITUTE(W418,"O",""))+LEN(SUBSTITUTE(MID(W418&amp;W418,WEEKDAY(('_Dates'!W418),2),MOD(((MIN('_Dates'!X418,Settings!$B$9))-('_Dates'!W418)+1),7)),"O",""))-COUNTIFS(INDEX(AllClosureRows,C418,0),"&gt;="&amp;('_Dates'!W418),INDEX(AllClosureRows,C418,0),"&lt;="&amp;(MIN('_Dates'!X418,Settings!$B$9))))+IF((MIN('_Dates'!Z418,Settings!$B$9))&lt;('_Dates'!Y418),0,INT(((MIN('_Dates'!Z418,Settings!$B$9))-('_Dates'!Y418)+1)/7)*LEN(SUBSTITUTE(W418,"O",""))+LEN(SUBSTITUTE(MID(W418&amp;W418,WEEKDAY(('_Dates'!Y418),2),MOD(((MIN('_Dates'!Z418,Settings!$B$9))-('_Dates'!Y418)+1),7)),"O",""))-COUNTIFS(INDEX(AllClosureRows,C418,0),"&gt;="&amp;('_Dates'!Y418),INDEX(AllClosureRows,C418,0),"&lt;="&amp;(MIN('_Dates'!Z418,Settings!$B$9))))))</ns0:f>
        <ns0:v>0</ns0:v>
      </ns0:c>
      <ns0:c r="I418" s="0">
        <ns0:f>MAX(0,G418-H418)</ns0:f>
        <ns0:v>0</ns0:v>
      </ns0:c>
      <ns0:c r="J418" s="0">
        <ns0:f>IF(OR(A418=0,F418&lt;&gt;"OK",Bookings!G418="Cancelled",$B$6&gt;0),0,IF('_Dates'!AC418=1,MAX(0,COUNTIFS(rngEngine_B,B418,rngAMStart,"&lt;="&amp;'_Dates'!X418,rngAMEnd,"&gt;="&amp;'_Dates'!W418,rngAMActive,1,rngEngine_F,"OK",rngBookings_F,"&lt;&gt;Cancelled")-1),0)+IF('_Dates'!AD418=1,MAX(0,COUNTIFS(rngEngine_B,B418,rngPMStart,"&lt;="&amp;'_Dates'!Z418,rngPMEnd,"&gt;="&amp;'_Dates'!Y418,rngPMActive,1,rngEngine_F,"OK",rngBookings_F,"&lt;&gt;Cancelled")-1),0))</ns0:f>
        <ns0:v>0</ns0:v>
      </ns0:c>
      <ns0:c r="K418" s="0" t="str">
        <ns0:f>IF(A418=0,"",IF(F418&lt;&gt;"OK",F418,IF(J418&gt;0,"CHECK overlapping entry",IF(AND($B$6=0,G418&lt;=0,Bookings!G418&lt;&gt;"Cancelled"),"CHECK no working days",IF(Bookings!G418="Cancelled","Cancelled","OK")))))</ns0:f>
        <ns0:v/>
      </ns0:c>
      <ns0:c r="L418" s="0">
        <ns0:f>IF(LEFT(K418,5)="CHECK",1,0)</ns0:f>
        <ns0:v>0</ns0:v>
      </ns0:c>
      <ns0:c r="M418" s="0">
        <ns0:f>IF(AND(L418=1,OR(C418=0,IFERROR(INDEX($X$11:$X$60,C418),0)=0)),1,0)</ns0:f>
        <ns0:v>0</ns0:v>
      </ns0:c>
      <ns0:c r="N418" s="0">
        <ns0:f>IF(OR(A418=0,L418&gt;0,$B$6&gt;0,Bookings!G418="Cancelled"),0,G418)</ns0:f>
        <ns0:v>0</ns0:v>
      </ns0:c>
      <ns0:c r="O418" s="0">
        <ns0:f>IF(AND(Bookings!G418="Approved",E418="Yes"),N418,0)</ns0:f>
        <ns0:v>0</ns0:v>
      </ns0:c>
      <ns0:c r="P418" s="0">
        <ns0:f>IF(AND(Bookings!G418="Approved",E418="Yes",L418=0,$B$6=0),H418,0)</ns0:f>
        <ns0:v>0</ns0:v>
      </ns0:c>
      <ns0:c r="Q418" s="0">
        <ns0:f>IF(AND(Bookings!G418="Approved",E418="Yes",L418=0,$B$6=0),I418,0)</ns0:f>
        <ns0:v>0</ns0:v>
      </ns0:c>
      <ns0:c r="R418" s="0">
        <ns0:f>IF(AND(Bookings!G418="Pending",E418="Yes"),N418,0)</ns0:f>
        <ns0:v>0</ns0:v>
      </ns0:c>
      <ns0:c r="S418" s="0">
        <ns0:f>IF(AND(Bookings!G418="Approved",E418="No"),N418,0)</ns0:f>
        <ns0:v>0</ns0:v>
      </ns0:c>
      <ns0:c r="T418" s="0">
        <ns0:f>IFERROR(MATCH(D418,Settings!$G$7:$G$11,0),0)</ns0:f>
        <ns0:v>0</ns0:v>
      </ns0:c>
      <ns0:c r="U418" s="0">
        <ns0:f>IF(N418&gt;0,T418+IF(Bookings!G418="Pending",10,0),0)</ns0:f>
        <ns0:v>0</ns0:v>
      </ns0:c>
      <ns0:c r="V418" s="0">
        <ns0:f>U418</ns0:f>
        <ns0:v>0</ns0:v>
      </ns0:c>
      <ns0:c r="W418" s="0" t="str">
        <ns0:f>IF(C418=0,"",INDEX($AP$11:$AP$60,C418))</ns0:f>
        <ns0:v/>
      </ns0:c>
    </ns0:row>
    <ns0:row r="419">
      <ns0:c r="A419" s="0">
        <ns0:f>IF(COUNTA(Bookings!A419:G419,Bookings!I419)=0,0,1)</ns0:f>
        <ns0:v>0</ns0:v>
      </ns0:c>
      <ns0:c r="B419" s="0" t="str">
        <ns0:f>IFERROR(TRIM(MID(Bookings!A419,FIND(" · ",Bookings!A419)+3,99)),"")</ns0:f>
        <ns0:v/>
      </ns0:c>
      <ns0:c r="C419" s="0">
        <ns0:f>IF(OR(B419="",LEN(B419)&gt;24,ISNUMBER(FIND(" ",B419)),ISNUMBER(FIND("*",B419)),ISNUMBER(FIND("?",B419)),ISNUMBER(FIND("~",B419))),0,IFERROR(MATCH(B419,Team!$A$11:$A$60,0),0))</ns0:f>
        <ns0:v>0</ns0:v>
      </ns0:c>
      <ns0:c r="D419" s="0" t="str">
        <ns0:f>IFERROR(IF(MID(Bookings!F419,LEN(Bookings!F419)-3,3)=" · ",RIGHT(Bookings!F419,1),""),"")</ns0:f>
        <ns0:v/>
      </ns0:c>
      <ns0:c r="E419" s="0" t="str">
        <ns0:f>IFERROR(INDEX(Settings!$H$7:$H$11,MATCH(D419,Settings!$G$7:$G$11,0)),"")</ns0:f>
        <ns0:v/>
      </ns0:c>
      <ns0:c r="F419" s="0" t="str">
        <ns0:f>IF(A419=0,"",IFERROR(IF(OR(B419="",C419=0),"CHECK employee selection",IF(INDEX(Team!$O$11:$O$60,C419)&lt;&gt;"OK","CHECK employee setup",IF(OR('_Dates'!J419=0,'_Dates'!T419=0),"CHECK date: use DD.MM.YYYY",IF('_Dates'!T419&lt;'_Dates'!J419,"CHECK end before start",IF(AND($B$6=0,OR('_Dates'!J419&lt;Settings!$B$7,'_Dates'!T419&gt;Settings!$B$8)),"CHECK split across leave years",IF(OR(NOT(OR('_Dates'!U419="Full day",'_Dates'!U419="AM",'_Dates'!U419="PM")),NOT(OR('_Dates'!V419="Full day",'_Dates'!V419="AM",'_Dates'!V419="PM"))),"CHECK Full day / AM / PM",IF(AND('_Dates'!J419='_Dates'!T419,'_Dates'!U419&lt;&gt;"Full day",'_Dates'!V419&lt;&gt;"Full day",'_Dates'!U419&lt;&gt;'_Dates'!V419),"CHECK same-day portions disagree",IF(AND($B$6=0,OR(AND('_Dates'!U419&lt;&gt;"Full day",'_Dates'!AA419=0),AND('_Dates'!V419&lt;&gt;"Full day",'_Dates'!AB419=0))),"CHECK half-day on non-working date",IF(COUNTIF(Settings!$G$7:$G$11,D419)&lt;&gt;1,"CHECK leave type",IF(AND(Bookings!G419&lt;&gt;"Approved",Bookings!G419&lt;&gt;"Pending",Bookings!G419&lt;&gt;"Cancelled"),"CHECK status","OK")))))))))),"CHECK input"))</ns0:f>
        <ns0:v/>
      </ns0:c>
      <ns0:c r="G419" s="0">
        <ns0:f>IF(OR(F419&lt;&gt;"OK",$B$6&gt;0),0,0.5*(IF(('_Dates'!X419)&lt;('_Dates'!W419),0,INT((('_Dates'!X419)-('_Dates'!W419)+1)/7)*LEN(SUBSTITUTE(W419,"O",""))+LEN(SUBSTITUTE(MID(W419&amp;W419,WEEKDAY(('_Dates'!W419),2),MOD((('_Dates'!X419)-('_Dates'!W419)+1),7)),"O",""))-COUNTIFS(INDEX(AllClosureRows,C419,0),"&gt;="&amp;('_Dates'!W419),INDEX(AllClosureRows,C419,0),"&lt;="&amp;('_Dates'!X419)))+IF(('_Dates'!Z419)&lt;('_Dates'!Y419),0,INT((('_Dates'!Z419)-('_Dates'!Y419)+1)/7)*LEN(SUBSTITUTE(W419,"O",""))+LEN(SUBSTITUTE(MID(W419&amp;W419,WEEKDAY(('_Dates'!Y419),2),MOD((('_Dates'!Z419)-('_Dates'!Y419)+1),7)),"O",""))-COUNTIFS(INDEX(AllClosureRows,C419,0),"&gt;="&amp;('_Dates'!Y419),INDEX(AllClosureRows,C419,0),"&lt;="&amp;('_Dates'!Z419)))))</ns0:f>
        <ns0:v>0</ns0:v>
      </ns0:c>
      <ns0:c r="H419" s="0">
        <ns0:f>IF(OR(F419&lt;&gt;"OK",$B$6&gt;0),0,0.5*(IF((MIN('_Dates'!X419,Settings!$B$9))&lt;('_Dates'!W419),0,INT(((MIN('_Dates'!X419,Settings!$B$9))-('_Dates'!W419)+1)/7)*LEN(SUBSTITUTE(W419,"O",""))+LEN(SUBSTITUTE(MID(W419&amp;W419,WEEKDAY(('_Dates'!W419),2),MOD(((MIN('_Dates'!X419,Settings!$B$9))-('_Dates'!W419)+1),7)),"O",""))-COUNTIFS(INDEX(AllClosureRows,C419,0),"&gt;="&amp;('_Dates'!W419),INDEX(AllClosureRows,C419,0),"&lt;="&amp;(MIN('_Dates'!X419,Settings!$B$9))))+IF((MIN('_Dates'!Z419,Settings!$B$9))&lt;('_Dates'!Y419),0,INT(((MIN('_Dates'!Z419,Settings!$B$9))-('_Dates'!Y419)+1)/7)*LEN(SUBSTITUTE(W419,"O",""))+LEN(SUBSTITUTE(MID(W419&amp;W419,WEEKDAY(('_Dates'!Y419),2),MOD(((MIN('_Dates'!Z419,Settings!$B$9))-('_Dates'!Y419)+1),7)),"O",""))-COUNTIFS(INDEX(AllClosureRows,C419,0),"&gt;="&amp;('_Dates'!Y419),INDEX(AllClosureRows,C419,0),"&lt;="&amp;(MIN('_Dates'!Z419,Settings!$B$9))))))</ns0:f>
        <ns0:v>0</ns0:v>
      </ns0:c>
      <ns0:c r="I419" s="0">
        <ns0:f>MAX(0,G419-H419)</ns0:f>
        <ns0:v>0</ns0:v>
      </ns0:c>
      <ns0:c r="J419" s="0">
        <ns0:f>IF(OR(A419=0,F419&lt;&gt;"OK",Bookings!G419="Cancelled",$B$6&gt;0),0,IF('_Dates'!AC419=1,MAX(0,COUNTIFS(rngEngine_B,B419,rngAMStart,"&lt;="&amp;'_Dates'!X419,rngAMEnd,"&gt;="&amp;'_Dates'!W419,rngAMActive,1,rngEngine_F,"OK",rngBookings_F,"&lt;&gt;Cancelled")-1),0)+IF('_Dates'!AD419=1,MAX(0,COUNTIFS(rngEngine_B,B419,rngPMStart,"&lt;="&amp;'_Dates'!Z419,rngPMEnd,"&gt;="&amp;'_Dates'!Y419,rngPMActive,1,rngEngine_F,"OK",rngBookings_F,"&lt;&gt;Cancelled")-1),0))</ns0:f>
        <ns0:v>0</ns0:v>
      </ns0:c>
      <ns0:c r="K419" s="0" t="str">
        <ns0:f>IF(A419=0,"",IF(F419&lt;&gt;"OK",F419,IF(J419&gt;0,"CHECK overlapping entry",IF(AND($B$6=0,G419&lt;=0,Bookings!G419&lt;&gt;"Cancelled"),"CHECK no working days",IF(Bookings!G419="Cancelled","Cancelled","OK")))))</ns0:f>
        <ns0:v/>
      </ns0:c>
      <ns0:c r="L419" s="0">
        <ns0:f>IF(LEFT(K419,5)="CHECK",1,0)</ns0:f>
        <ns0:v>0</ns0:v>
      </ns0:c>
      <ns0:c r="M419" s="0">
        <ns0:f>IF(AND(L419=1,OR(C419=0,IFERROR(INDEX($X$11:$X$60,C419),0)=0)),1,0)</ns0:f>
        <ns0:v>0</ns0:v>
      </ns0:c>
      <ns0:c r="N419" s="0">
        <ns0:f>IF(OR(A419=0,L419&gt;0,$B$6&gt;0,Bookings!G419="Cancelled"),0,G419)</ns0:f>
        <ns0:v>0</ns0:v>
      </ns0:c>
      <ns0:c r="O419" s="0">
        <ns0:f>IF(AND(Bookings!G419="Approved",E419="Yes"),N419,0)</ns0:f>
        <ns0:v>0</ns0:v>
      </ns0:c>
      <ns0:c r="P419" s="0">
        <ns0:f>IF(AND(Bookings!G419="Approved",E419="Yes",L419=0,$B$6=0),H419,0)</ns0:f>
        <ns0:v>0</ns0:v>
      </ns0:c>
      <ns0:c r="Q419" s="0">
        <ns0:f>IF(AND(Bookings!G419="Approved",E419="Yes",L419=0,$B$6=0),I419,0)</ns0:f>
        <ns0:v>0</ns0:v>
      </ns0:c>
      <ns0:c r="R419" s="0">
        <ns0:f>IF(AND(Bookings!G419="Pending",E419="Yes"),N419,0)</ns0:f>
        <ns0:v>0</ns0:v>
      </ns0:c>
      <ns0:c r="S419" s="0">
        <ns0:f>IF(AND(Bookings!G419="Approved",E419="No"),N419,0)</ns0:f>
        <ns0:v>0</ns0:v>
      </ns0:c>
      <ns0:c r="T419" s="0">
        <ns0:f>IFERROR(MATCH(D419,Settings!$G$7:$G$11,0),0)</ns0:f>
        <ns0:v>0</ns0:v>
      </ns0:c>
      <ns0:c r="U419" s="0">
        <ns0:f>IF(N419&gt;0,T419+IF(Bookings!G419="Pending",10,0),0)</ns0:f>
        <ns0:v>0</ns0:v>
      </ns0:c>
      <ns0:c r="V419" s="0">
        <ns0:f>U419</ns0:f>
        <ns0:v>0</ns0:v>
      </ns0:c>
      <ns0:c r="W419" s="0" t="str">
        <ns0:f>IF(C419=0,"",INDEX($AP$11:$AP$60,C419))</ns0:f>
        <ns0:v/>
      </ns0:c>
    </ns0:row>
    <ns0:row r="420">
      <ns0:c r="A420" s="0">
        <ns0:f>IF(COUNTA(Bookings!A420:G420,Bookings!I420)=0,0,1)</ns0:f>
        <ns0:v>0</ns0:v>
      </ns0:c>
      <ns0:c r="B420" s="0" t="str">
        <ns0:f>IFERROR(TRIM(MID(Bookings!A420,FIND(" · ",Bookings!A420)+3,99)),"")</ns0:f>
        <ns0:v/>
      </ns0:c>
      <ns0:c r="C420" s="0">
        <ns0:f>IF(OR(B420="",LEN(B420)&gt;24,ISNUMBER(FIND(" ",B420)),ISNUMBER(FIND("*",B420)),ISNUMBER(FIND("?",B420)),ISNUMBER(FIND("~",B420))),0,IFERROR(MATCH(B420,Team!$A$11:$A$60,0),0))</ns0:f>
        <ns0:v>0</ns0:v>
      </ns0:c>
      <ns0:c r="D420" s="0" t="str">
        <ns0:f>IFERROR(IF(MID(Bookings!F420,LEN(Bookings!F420)-3,3)=" · ",RIGHT(Bookings!F420,1),""),"")</ns0:f>
        <ns0:v/>
      </ns0:c>
      <ns0:c r="E420" s="0" t="str">
        <ns0:f>IFERROR(INDEX(Settings!$H$7:$H$11,MATCH(D420,Settings!$G$7:$G$11,0)),"")</ns0:f>
        <ns0:v/>
      </ns0:c>
      <ns0:c r="F420" s="0" t="str">
        <ns0:f>IF(A420=0,"",IFERROR(IF(OR(B420="",C420=0),"CHECK employee selection",IF(INDEX(Team!$O$11:$O$60,C420)&lt;&gt;"OK","CHECK employee setup",IF(OR('_Dates'!J420=0,'_Dates'!T420=0),"CHECK date: use DD.MM.YYYY",IF('_Dates'!T420&lt;'_Dates'!J420,"CHECK end before start",IF(AND($B$6=0,OR('_Dates'!J420&lt;Settings!$B$7,'_Dates'!T420&gt;Settings!$B$8)),"CHECK split across leave years",IF(OR(NOT(OR('_Dates'!U420="Full day",'_Dates'!U420="AM",'_Dates'!U420="PM")),NOT(OR('_Dates'!V420="Full day",'_Dates'!V420="AM",'_Dates'!V420="PM"))),"CHECK Full day / AM / PM",IF(AND('_Dates'!J420='_Dates'!T420,'_Dates'!U420&lt;&gt;"Full day",'_Dates'!V420&lt;&gt;"Full day",'_Dates'!U420&lt;&gt;'_Dates'!V420),"CHECK same-day portions disagree",IF(AND($B$6=0,OR(AND('_Dates'!U420&lt;&gt;"Full day",'_Dates'!AA420=0),AND('_Dates'!V420&lt;&gt;"Full day",'_Dates'!AB420=0))),"CHECK half-day on non-working date",IF(COUNTIF(Settings!$G$7:$G$11,D420)&lt;&gt;1,"CHECK leave type",IF(AND(Bookings!G420&lt;&gt;"Approved",Bookings!G420&lt;&gt;"Pending",Bookings!G420&lt;&gt;"Cancelled"),"CHECK status","OK")))))))))),"CHECK input"))</ns0:f>
        <ns0:v/>
      </ns0:c>
      <ns0:c r="G420" s="0">
        <ns0:f>IF(OR(F420&lt;&gt;"OK",$B$6&gt;0),0,0.5*(IF(('_Dates'!X420)&lt;('_Dates'!W420),0,INT((('_Dates'!X420)-('_Dates'!W420)+1)/7)*LEN(SUBSTITUTE(W420,"O",""))+LEN(SUBSTITUTE(MID(W420&amp;W420,WEEKDAY(('_Dates'!W420),2),MOD((('_Dates'!X420)-('_Dates'!W420)+1),7)),"O",""))-COUNTIFS(INDEX(AllClosureRows,C420,0),"&gt;="&amp;('_Dates'!W420),INDEX(AllClosureRows,C420,0),"&lt;="&amp;('_Dates'!X420)))+IF(('_Dates'!Z420)&lt;('_Dates'!Y420),0,INT((('_Dates'!Z420)-('_Dates'!Y420)+1)/7)*LEN(SUBSTITUTE(W420,"O",""))+LEN(SUBSTITUTE(MID(W420&amp;W420,WEEKDAY(('_Dates'!Y420),2),MOD((('_Dates'!Z420)-('_Dates'!Y420)+1),7)),"O",""))-COUNTIFS(INDEX(AllClosureRows,C420,0),"&gt;="&amp;('_Dates'!Y420),INDEX(AllClosureRows,C420,0),"&lt;="&amp;('_Dates'!Z420)))))</ns0:f>
        <ns0:v>0</ns0:v>
      </ns0:c>
      <ns0:c r="H420" s="0">
        <ns0:f>IF(OR(F420&lt;&gt;"OK",$B$6&gt;0),0,0.5*(IF((MIN('_Dates'!X420,Settings!$B$9))&lt;('_Dates'!W420),0,INT(((MIN('_Dates'!X420,Settings!$B$9))-('_Dates'!W420)+1)/7)*LEN(SUBSTITUTE(W420,"O",""))+LEN(SUBSTITUTE(MID(W420&amp;W420,WEEKDAY(('_Dates'!W420),2),MOD(((MIN('_Dates'!X420,Settings!$B$9))-('_Dates'!W420)+1),7)),"O",""))-COUNTIFS(INDEX(AllClosureRows,C420,0),"&gt;="&amp;('_Dates'!W420),INDEX(AllClosureRows,C420,0),"&lt;="&amp;(MIN('_Dates'!X420,Settings!$B$9))))+IF((MIN('_Dates'!Z420,Settings!$B$9))&lt;('_Dates'!Y420),0,INT(((MIN('_Dates'!Z420,Settings!$B$9))-('_Dates'!Y420)+1)/7)*LEN(SUBSTITUTE(W420,"O",""))+LEN(SUBSTITUTE(MID(W420&amp;W420,WEEKDAY(('_Dates'!Y420),2),MOD(((MIN('_Dates'!Z420,Settings!$B$9))-('_Dates'!Y420)+1),7)),"O",""))-COUNTIFS(INDEX(AllClosureRows,C420,0),"&gt;="&amp;('_Dates'!Y420),INDEX(AllClosureRows,C420,0),"&lt;="&amp;(MIN('_Dates'!Z420,Settings!$B$9))))))</ns0:f>
        <ns0:v>0</ns0:v>
      </ns0:c>
      <ns0:c r="I420" s="0">
        <ns0:f>MAX(0,G420-H420)</ns0:f>
        <ns0:v>0</ns0:v>
      </ns0:c>
      <ns0:c r="J420" s="0">
        <ns0:f>IF(OR(A420=0,F420&lt;&gt;"OK",Bookings!G420="Cancelled",$B$6&gt;0),0,IF('_Dates'!AC420=1,MAX(0,COUNTIFS(rngEngine_B,B420,rngAMStart,"&lt;="&amp;'_Dates'!X420,rngAMEnd,"&gt;="&amp;'_Dates'!W420,rngAMActive,1,rngEngine_F,"OK",rngBookings_F,"&lt;&gt;Cancelled")-1),0)+IF('_Dates'!AD420=1,MAX(0,COUNTIFS(rngEngine_B,B420,rngPMStart,"&lt;="&amp;'_Dates'!Z420,rngPMEnd,"&gt;="&amp;'_Dates'!Y420,rngPMActive,1,rngEngine_F,"OK",rngBookings_F,"&lt;&gt;Cancelled")-1),0))</ns0:f>
        <ns0:v>0</ns0:v>
      </ns0:c>
      <ns0:c r="K420" s="0" t="str">
        <ns0:f>IF(A420=0,"",IF(F420&lt;&gt;"OK",F420,IF(J420&gt;0,"CHECK overlapping entry",IF(AND($B$6=0,G420&lt;=0,Bookings!G420&lt;&gt;"Cancelled"),"CHECK no working days",IF(Bookings!G420="Cancelled","Cancelled","OK")))))</ns0:f>
        <ns0:v/>
      </ns0:c>
      <ns0:c r="L420" s="0">
        <ns0:f>IF(LEFT(K420,5)="CHECK",1,0)</ns0:f>
        <ns0:v>0</ns0:v>
      </ns0:c>
      <ns0:c r="M420" s="0">
        <ns0:f>IF(AND(L420=1,OR(C420=0,IFERROR(INDEX($X$11:$X$60,C420),0)=0)),1,0)</ns0:f>
        <ns0:v>0</ns0:v>
      </ns0:c>
      <ns0:c r="N420" s="0">
        <ns0:f>IF(OR(A420=0,L420&gt;0,$B$6&gt;0,Bookings!G420="Cancelled"),0,G420)</ns0:f>
        <ns0:v>0</ns0:v>
      </ns0:c>
      <ns0:c r="O420" s="0">
        <ns0:f>IF(AND(Bookings!G420="Approved",E420="Yes"),N420,0)</ns0:f>
        <ns0:v>0</ns0:v>
      </ns0:c>
      <ns0:c r="P420" s="0">
        <ns0:f>IF(AND(Bookings!G420="Approved",E420="Yes",L420=0,$B$6=0),H420,0)</ns0:f>
        <ns0:v>0</ns0:v>
      </ns0:c>
      <ns0:c r="Q420" s="0">
        <ns0:f>IF(AND(Bookings!G420="Approved",E420="Yes",L420=0,$B$6=0),I420,0)</ns0:f>
        <ns0:v>0</ns0:v>
      </ns0:c>
      <ns0:c r="R420" s="0">
        <ns0:f>IF(AND(Bookings!G420="Pending",E420="Yes"),N420,0)</ns0:f>
        <ns0:v>0</ns0:v>
      </ns0:c>
      <ns0:c r="S420" s="0">
        <ns0:f>IF(AND(Bookings!G420="Approved",E420="No"),N420,0)</ns0:f>
        <ns0:v>0</ns0:v>
      </ns0:c>
      <ns0:c r="T420" s="0">
        <ns0:f>IFERROR(MATCH(D420,Settings!$G$7:$G$11,0),0)</ns0:f>
        <ns0:v>0</ns0:v>
      </ns0:c>
      <ns0:c r="U420" s="0">
        <ns0:f>IF(N420&gt;0,T420+IF(Bookings!G420="Pending",10,0),0)</ns0:f>
        <ns0:v>0</ns0:v>
      </ns0:c>
      <ns0:c r="V420" s="0">
        <ns0:f>U420</ns0:f>
        <ns0:v>0</ns0:v>
      </ns0:c>
      <ns0:c r="W420" s="0" t="str">
        <ns0:f>IF(C420=0,"",INDEX($AP$11:$AP$60,C420))</ns0:f>
        <ns0:v/>
      </ns0:c>
    </ns0:row>
    <ns0:row r="421">
      <ns0:c r="A421" s="0">
        <ns0:f>IF(COUNTA(Bookings!A421:G421,Bookings!I421)=0,0,1)</ns0:f>
        <ns0:v>0</ns0:v>
      </ns0:c>
      <ns0:c r="B421" s="0" t="str">
        <ns0:f>IFERROR(TRIM(MID(Bookings!A421,FIND(" · ",Bookings!A421)+3,99)),"")</ns0:f>
        <ns0:v/>
      </ns0:c>
      <ns0:c r="C421" s="0">
        <ns0:f>IF(OR(B421="",LEN(B421)&gt;24,ISNUMBER(FIND(" ",B421)),ISNUMBER(FIND("*",B421)),ISNUMBER(FIND("?",B421)),ISNUMBER(FIND("~",B421))),0,IFERROR(MATCH(B421,Team!$A$11:$A$60,0),0))</ns0:f>
        <ns0:v>0</ns0:v>
      </ns0:c>
      <ns0:c r="D421" s="0" t="str">
        <ns0:f>IFERROR(IF(MID(Bookings!F421,LEN(Bookings!F421)-3,3)=" · ",RIGHT(Bookings!F421,1),""),"")</ns0:f>
        <ns0:v/>
      </ns0:c>
      <ns0:c r="E421" s="0" t="str">
        <ns0:f>IFERROR(INDEX(Settings!$H$7:$H$11,MATCH(D421,Settings!$G$7:$G$11,0)),"")</ns0:f>
        <ns0:v/>
      </ns0:c>
      <ns0:c r="F421" s="0" t="str">
        <ns0:f>IF(A421=0,"",IFERROR(IF(OR(B421="",C421=0),"CHECK employee selection",IF(INDEX(Team!$O$11:$O$60,C421)&lt;&gt;"OK","CHECK employee setup",IF(OR('_Dates'!J421=0,'_Dates'!T421=0),"CHECK date: use DD.MM.YYYY",IF('_Dates'!T421&lt;'_Dates'!J421,"CHECK end before start",IF(AND($B$6=0,OR('_Dates'!J421&lt;Settings!$B$7,'_Dates'!T421&gt;Settings!$B$8)),"CHECK split across leave years",IF(OR(NOT(OR('_Dates'!U421="Full day",'_Dates'!U421="AM",'_Dates'!U421="PM")),NOT(OR('_Dates'!V421="Full day",'_Dates'!V421="AM",'_Dates'!V421="PM"))),"CHECK Full day / AM / PM",IF(AND('_Dates'!J421='_Dates'!T421,'_Dates'!U421&lt;&gt;"Full day",'_Dates'!V421&lt;&gt;"Full day",'_Dates'!U421&lt;&gt;'_Dates'!V421),"CHECK same-day portions disagree",IF(AND($B$6=0,OR(AND('_Dates'!U421&lt;&gt;"Full day",'_Dates'!AA421=0),AND('_Dates'!V421&lt;&gt;"Full day",'_Dates'!AB421=0))),"CHECK half-day on non-working date",IF(COUNTIF(Settings!$G$7:$G$11,D421)&lt;&gt;1,"CHECK leave type",IF(AND(Bookings!G421&lt;&gt;"Approved",Bookings!G421&lt;&gt;"Pending",Bookings!G421&lt;&gt;"Cancelled"),"CHECK status","OK")))))))))),"CHECK input"))</ns0:f>
        <ns0:v/>
      </ns0:c>
      <ns0:c r="G421" s="0">
        <ns0:f>IF(OR(F421&lt;&gt;"OK",$B$6&gt;0),0,0.5*(IF(('_Dates'!X421)&lt;('_Dates'!W421),0,INT((('_Dates'!X421)-('_Dates'!W421)+1)/7)*LEN(SUBSTITUTE(W421,"O",""))+LEN(SUBSTITUTE(MID(W421&amp;W421,WEEKDAY(('_Dates'!W421),2),MOD((('_Dates'!X421)-('_Dates'!W421)+1),7)),"O",""))-COUNTIFS(INDEX(AllClosureRows,C421,0),"&gt;="&amp;('_Dates'!W421),INDEX(AllClosureRows,C421,0),"&lt;="&amp;('_Dates'!X421)))+IF(('_Dates'!Z421)&lt;('_Dates'!Y421),0,INT((('_Dates'!Z421)-('_Dates'!Y421)+1)/7)*LEN(SUBSTITUTE(W421,"O",""))+LEN(SUBSTITUTE(MID(W421&amp;W421,WEEKDAY(('_Dates'!Y421),2),MOD((('_Dates'!Z421)-('_Dates'!Y421)+1),7)),"O",""))-COUNTIFS(INDEX(AllClosureRows,C421,0),"&gt;="&amp;('_Dates'!Y421),INDEX(AllClosureRows,C421,0),"&lt;="&amp;('_Dates'!Z421)))))</ns0:f>
        <ns0:v>0</ns0:v>
      </ns0:c>
      <ns0:c r="H421" s="0">
        <ns0:f>IF(OR(F421&lt;&gt;"OK",$B$6&gt;0),0,0.5*(IF((MIN('_Dates'!X421,Settings!$B$9))&lt;('_Dates'!W421),0,INT(((MIN('_Dates'!X421,Settings!$B$9))-('_Dates'!W421)+1)/7)*LEN(SUBSTITUTE(W421,"O",""))+LEN(SUBSTITUTE(MID(W421&amp;W421,WEEKDAY(('_Dates'!W421),2),MOD(((MIN('_Dates'!X421,Settings!$B$9))-('_Dates'!W421)+1),7)),"O",""))-COUNTIFS(INDEX(AllClosureRows,C421,0),"&gt;="&amp;('_Dates'!W421),INDEX(AllClosureRows,C421,0),"&lt;="&amp;(MIN('_Dates'!X421,Settings!$B$9))))+IF((MIN('_Dates'!Z421,Settings!$B$9))&lt;('_Dates'!Y421),0,INT(((MIN('_Dates'!Z421,Settings!$B$9))-('_Dates'!Y421)+1)/7)*LEN(SUBSTITUTE(W421,"O",""))+LEN(SUBSTITUTE(MID(W421&amp;W421,WEEKDAY(('_Dates'!Y421),2),MOD(((MIN('_Dates'!Z421,Settings!$B$9))-('_Dates'!Y421)+1),7)),"O",""))-COUNTIFS(INDEX(AllClosureRows,C421,0),"&gt;="&amp;('_Dates'!Y421),INDEX(AllClosureRows,C421,0),"&lt;="&amp;(MIN('_Dates'!Z421,Settings!$B$9))))))</ns0:f>
        <ns0:v>0</ns0:v>
      </ns0:c>
      <ns0:c r="I421" s="0">
        <ns0:f>MAX(0,G421-H421)</ns0:f>
        <ns0:v>0</ns0:v>
      </ns0:c>
      <ns0:c r="J421" s="0">
        <ns0:f>IF(OR(A421=0,F421&lt;&gt;"OK",Bookings!G421="Cancelled",$B$6&gt;0),0,IF('_Dates'!AC421=1,MAX(0,COUNTIFS(rngEngine_B,B421,rngAMStart,"&lt;="&amp;'_Dates'!X421,rngAMEnd,"&gt;="&amp;'_Dates'!W421,rngAMActive,1,rngEngine_F,"OK",rngBookings_F,"&lt;&gt;Cancelled")-1),0)+IF('_Dates'!AD421=1,MAX(0,COUNTIFS(rngEngine_B,B421,rngPMStart,"&lt;="&amp;'_Dates'!Z421,rngPMEnd,"&gt;="&amp;'_Dates'!Y421,rngPMActive,1,rngEngine_F,"OK",rngBookings_F,"&lt;&gt;Cancelled")-1),0))</ns0:f>
        <ns0:v>0</ns0:v>
      </ns0:c>
      <ns0:c r="K421" s="0" t="str">
        <ns0:f>IF(A421=0,"",IF(F421&lt;&gt;"OK",F421,IF(J421&gt;0,"CHECK overlapping entry",IF(AND($B$6=0,G421&lt;=0,Bookings!G421&lt;&gt;"Cancelled"),"CHECK no working days",IF(Bookings!G421="Cancelled","Cancelled","OK")))))</ns0:f>
        <ns0:v/>
      </ns0:c>
      <ns0:c r="L421" s="0">
        <ns0:f>IF(LEFT(K421,5)="CHECK",1,0)</ns0:f>
        <ns0:v>0</ns0:v>
      </ns0:c>
      <ns0:c r="M421" s="0">
        <ns0:f>IF(AND(L421=1,OR(C421=0,IFERROR(INDEX($X$11:$X$60,C421),0)=0)),1,0)</ns0:f>
        <ns0:v>0</ns0:v>
      </ns0:c>
      <ns0:c r="N421" s="0">
        <ns0:f>IF(OR(A421=0,L421&gt;0,$B$6&gt;0,Bookings!G421="Cancelled"),0,G421)</ns0:f>
        <ns0:v>0</ns0:v>
      </ns0:c>
      <ns0:c r="O421" s="0">
        <ns0:f>IF(AND(Bookings!G421="Approved",E421="Yes"),N421,0)</ns0:f>
        <ns0:v>0</ns0:v>
      </ns0:c>
      <ns0:c r="P421" s="0">
        <ns0:f>IF(AND(Bookings!G421="Approved",E421="Yes",L421=0,$B$6=0),H421,0)</ns0:f>
        <ns0:v>0</ns0:v>
      </ns0:c>
      <ns0:c r="Q421" s="0">
        <ns0:f>IF(AND(Bookings!G421="Approved",E421="Yes",L421=0,$B$6=0),I421,0)</ns0:f>
        <ns0:v>0</ns0:v>
      </ns0:c>
      <ns0:c r="R421" s="0">
        <ns0:f>IF(AND(Bookings!G421="Pending",E421="Yes"),N421,0)</ns0:f>
        <ns0:v>0</ns0:v>
      </ns0:c>
      <ns0:c r="S421" s="0">
        <ns0:f>IF(AND(Bookings!G421="Approved",E421="No"),N421,0)</ns0:f>
        <ns0:v>0</ns0:v>
      </ns0:c>
      <ns0:c r="T421" s="0">
        <ns0:f>IFERROR(MATCH(D421,Settings!$G$7:$G$11,0),0)</ns0:f>
        <ns0:v>0</ns0:v>
      </ns0:c>
      <ns0:c r="U421" s="0">
        <ns0:f>IF(N421&gt;0,T421+IF(Bookings!G421="Pending",10,0),0)</ns0:f>
        <ns0:v>0</ns0:v>
      </ns0:c>
      <ns0:c r="V421" s="0">
        <ns0:f>U421</ns0:f>
        <ns0:v>0</ns0:v>
      </ns0:c>
      <ns0:c r="W421" s="0" t="str">
        <ns0:f>IF(C421=0,"",INDEX($AP$11:$AP$60,C421))</ns0:f>
        <ns0:v/>
      </ns0:c>
    </ns0:row>
    <ns0:row r="422">
      <ns0:c r="A422" s="0">
        <ns0:f>IF(COUNTA(Bookings!A422:G422,Bookings!I422)=0,0,1)</ns0:f>
        <ns0:v>0</ns0:v>
      </ns0:c>
      <ns0:c r="B422" s="0" t="str">
        <ns0:f>IFERROR(TRIM(MID(Bookings!A422,FIND(" · ",Bookings!A422)+3,99)),"")</ns0:f>
        <ns0:v/>
      </ns0:c>
      <ns0:c r="C422" s="0">
        <ns0:f>IF(OR(B422="",LEN(B422)&gt;24,ISNUMBER(FIND(" ",B422)),ISNUMBER(FIND("*",B422)),ISNUMBER(FIND("?",B422)),ISNUMBER(FIND("~",B422))),0,IFERROR(MATCH(B422,Team!$A$11:$A$60,0),0))</ns0:f>
        <ns0:v>0</ns0:v>
      </ns0:c>
      <ns0:c r="D422" s="0" t="str">
        <ns0:f>IFERROR(IF(MID(Bookings!F422,LEN(Bookings!F422)-3,3)=" · ",RIGHT(Bookings!F422,1),""),"")</ns0:f>
        <ns0:v/>
      </ns0:c>
      <ns0:c r="E422" s="0" t="str">
        <ns0:f>IFERROR(INDEX(Settings!$H$7:$H$11,MATCH(D422,Settings!$G$7:$G$11,0)),"")</ns0:f>
        <ns0:v/>
      </ns0:c>
      <ns0:c r="F422" s="0" t="str">
        <ns0:f>IF(A422=0,"",IFERROR(IF(OR(B422="",C422=0),"CHECK employee selection",IF(INDEX(Team!$O$11:$O$60,C422)&lt;&gt;"OK","CHECK employee setup",IF(OR('_Dates'!J422=0,'_Dates'!T422=0),"CHECK date: use DD.MM.YYYY",IF('_Dates'!T422&lt;'_Dates'!J422,"CHECK end before start",IF(AND($B$6=0,OR('_Dates'!J422&lt;Settings!$B$7,'_Dates'!T422&gt;Settings!$B$8)),"CHECK split across leave years",IF(OR(NOT(OR('_Dates'!U422="Full day",'_Dates'!U422="AM",'_Dates'!U422="PM")),NOT(OR('_Dates'!V422="Full day",'_Dates'!V422="AM",'_Dates'!V422="PM"))),"CHECK Full day / AM / PM",IF(AND('_Dates'!J422='_Dates'!T422,'_Dates'!U422&lt;&gt;"Full day",'_Dates'!V422&lt;&gt;"Full day",'_Dates'!U422&lt;&gt;'_Dates'!V422),"CHECK same-day portions disagree",IF(AND($B$6=0,OR(AND('_Dates'!U422&lt;&gt;"Full day",'_Dates'!AA422=0),AND('_Dates'!V422&lt;&gt;"Full day",'_Dates'!AB422=0))),"CHECK half-day on non-working date",IF(COUNTIF(Settings!$G$7:$G$11,D422)&lt;&gt;1,"CHECK leave type",IF(AND(Bookings!G422&lt;&gt;"Approved",Bookings!G422&lt;&gt;"Pending",Bookings!G422&lt;&gt;"Cancelled"),"CHECK status","OK")))))))))),"CHECK input"))</ns0:f>
        <ns0:v/>
      </ns0:c>
      <ns0:c r="G422" s="0">
        <ns0:f>IF(OR(F422&lt;&gt;"OK",$B$6&gt;0),0,0.5*(IF(('_Dates'!X422)&lt;('_Dates'!W422),0,INT((('_Dates'!X422)-('_Dates'!W422)+1)/7)*LEN(SUBSTITUTE(W422,"O",""))+LEN(SUBSTITUTE(MID(W422&amp;W422,WEEKDAY(('_Dates'!W422),2),MOD((('_Dates'!X422)-('_Dates'!W422)+1),7)),"O",""))-COUNTIFS(INDEX(AllClosureRows,C422,0),"&gt;="&amp;('_Dates'!W422),INDEX(AllClosureRows,C422,0),"&lt;="&amp;('_Dates'!X422)))+IF(('_Dates'!Z422)&lt;('_Dates'!Y422),0,INT((('_Dates'!Z422)-('_Dates'!Y422)+1)/7)*LEN(SUBSTITUTE(W422,"O",""))+LEN(SUBSTITUTE(MID(W422&amp;W422,WEEKDAY(('_Dates'!Y422),2),MOD((('_Dates'!Z422)-('_Dates'!Y422)+1),7)),"O",""))-COUNTIFS(INDEX(AllClosureRows,C422,0),"&gt;="&amp;('_Dates'!Y422),INDEX(AllClosureRows,C422,0),"&lt;="&amp;('_Dates'!Z422)))))</ns0:f>
        <ns0:v>0</ns0:v>
      </ns0:c>
      <ns0:c r="H422" s="0">
        <ns0:f>IF(OR(F422&lt;&gt;"OK",$B$6&gt;0),0,0.5*(IF((MIN('_Dates'!X422,Settings!$B$9))&lt;('_Dates'!W422),0,INT(((MIN('_Dates'!X422,Settings!$B$9))-('_Dates'!W422)+1)/7)*LEN(SUBSTITUTE(W422,"O",""))+LEN(SUBSTITUTE(MID(W422&amp;W422,WEEKDAY(('_Dates'!W422),2),MOD(((MIN('_Dates'!X422,Settings!$B$9))-('_Dates'!W422)+1),7)),"O",""))-COUNTIFS(INDEX(AllClosureRows,C422,0),"&gt;="&amp;('_Dates'!W422),INDEX(AllClosureRows,C422,0),"&lt;="&amp;(MIN('_Dates'!X422,Settings!$B$9))))+IF((MIN('_Dates'!Z422,Settings!$B$9))&lt;('_Dates'!Y422),0,INT(((MIN('_Dates'!Z422,Settings!$B$9))-('_Dates'!Y422)+1)/7)*LEN(SUBSTITUTE(W422,"O",""))+LEN(SUBSTITUTE(MID(W422&amp;W422,WEEKDAY(('_Dates'!Y422),2),MOD(((MIN('_Dates'!Z422,Settings!$B$9))-('_Dates'!Y422)+1),7)),"O",""))-COUNTIFS(INDEX(AllClosureRows,C422,0),"&gt;="&amp;('_Dates'!Y422),INDEX(AllClosureRows,C422,0),"&lt;="&amp;(MIN('_Dates'!Z422,Settings!$B$9))))))</ns0:f>
        <ns0:v>0</ns0:v>
      </ns0:c>
      <ns0:c r="I422" s="0">
        <ns0:f>MAX(0,G422-H422)</ns0:f>
        <ns0:v>0</ns0:v>
      </ns0:c>
      <ns0:c r="J422" s="0">
        <ns0:f>IF(OR(A422=0,F422&lt;&gt;"OK",Bookings!G422="Cancelled",$B$6&gt;0),0,IF('_Dates'!AC422=1,MAX(0,COUNTIFS(rngEngine_B,B422,rngAMStart,"&lt;="&amp;'_Dates'!X422,rngAMEnd,"&gt;="&amp;'_Dates'!W422,rngAMActive,1,rngEngine_F,"OK",rngBookings_F,"&lt;&gt;Cancelled")-1),0)+IF('_Dates'!AD422=1,MAX(0,COUNTIFS(rngEngine_B,B422,rngPMStart,"&lt;="&amp;'_Dates'!Z422,rngPMEnd,"&gt;="&amp;'_Dates'!Y422,rngPMActive,1,rngEngine_F,"OK",rngBookings_F,"&lt;&gt;Cancelled")-1),0))</ns0:f>
        <ns0:v>0</ns0:v>
      </ns0:c>
      <ns0:c r="K422" s="0" t="str">
        <ns0:f>IF(A422=0,"",IF(F422&lt;&gt;"OK",F422,IF(J422&gt;0,"CHECK overlapping entry",IF(AND($B$6=0,G422&lt;=0,Bookings!G422&lt;&gt;"Cancelled"),"CHECK no working days",IF(Bookings!G422="Cancelled","Cancelled","OK")))))</ns0:f>
        <ns0:v/>
      </ns0:c>
      <ns0:c r="L422" s="0">
        <ns0:f>IF(LEFT(K422,5)="CHECK",1,0)</ns0:f>
        <ns0:v>0</ns0:v>
      </ns0:c>
      <ns0:c r="M422" s="0">
        <ns0:f>IF(AND(L422=1,OR(C422=0,IFERROR(INDEX($X$11:$X$60,C422),0)=0)),1,0)</ns0:f>
        <ns0:v>0</ns0:v>
      </ns0:c>
      <ns0:c r="N422" s="0">
        <ns0:f>IF(OR(A422=0,L422&gt;0,$B$6&gt;0,Bookings!G422="Cancelled"),0,G422)</ns0:f>
        <ns0:v>0</ns0:v>
      </ns0:c>
      <ns0:c r="O422" s="0">
        <ns0:f>IF(AND(Bookings!G422="Approved",E422="Yes"),N422,0)</ns0:f>
        <ns0:v>0</ns0:v>
      </ns0:c>
      <ns0:c r="P422" s="0">
        <ns0:f>IF(AND(Bookings!G422="Approved",E422="Yes",L422=0,$B$6=0),H422,0)</ns0:f>
        <ns0:v>0</ns0:v>
      </ns0:c>
      <ns0:c r="Q422" s="0">
        <ns0:f>IF(AND(Bookings!G422="Approved",E422="Yes",L422=0,$B$6=0),I422,0)</ns0:f>
        <ns0:v>0</ns0:v>
      </ns0:c>
      <ns0:c r="R422" s="0">
        <ns0:f>IF(AND(Bookings!G422="Pending",E422="Yes"),N422,0)</ns0:f>
        <ns0:v>0</ns0:v>
      </ns0:c>
      <ns0:c r="S422" s="0">
        <ns0:f>IF(AND(Bookings!G422="Approved",E422="No"),N422,0)</ns0:f>
        <ns0:v>0</ns0:v>
      </ns0:c>
      <ns0:c r="T422" s="0">
        <ns0:f>IFERROR(MATCH(D422,Settings!$G$7:$G$11,0),0)</ns0:f>
        <ns0:v>0</ns0:v>
      </ns0:c>
      <ns0:c r="U422" s="0">
        <ns0:f>IF(N422&gt;0,T422+IF(Bookings!G422="Pending",10,0),0)</ns0:f>
        <ns0:v>0</ns0:v>
      </ns0:c>
      <ns0:c r="V422" s="0">
        <ns0:f>U422</ns0:f>
        <ns0:v>0</ns0:v>
      </ns0:c>
      <ns0:c r="W422" s="0" t="str">
        <ns0:f>IF(C422=0,"",INDEX($AP$11:$AP$60,C422))</ns0:f>
        <ns0:v/>
      </ns0:c>
    </ns0:row>
    <ns0:row r="423">
      <ns0:c r="A423" s="0">
        <ns0:f>IF(COUNTA(Bookings!A423:G423,Bookings!I423)=0,0,1)</ns0:f>
        <ns0:v>0</ns0:v>
      </ns0:c>
      <ns0:c r="B423" s="0" t="str">
        <ns0:f>IFERROR(TRIM(MID(Bookings!A423,FIND(" · ",Bookings!A423)+3,99)),"")</ns0:f>
        <ns0:v/>
      </ns0:c>
      <ns0:c r="C423" s="0">
        <ns0:f>IF(OR(B423="",LEN(B423)&gt;24,ISNUMBER(FIND(" ",B423)),ISNUMBER(FIND("*",B423)),ISNUMBER(FIND("?",B423)),ISNUMBER(FIND("~",B423))),0,IFERROR(MATCH(B423,Team!$A$11:$A$60,0),0))</ns0:f>
        <ns0:v>0</ns0:v>
      </ns0:c>
      <ns0:c r="D423" s="0" t="str">
        <ns0:f>IFERROR(IF(MID(Bookings!F423,LEN(Bookings!F423)-3,3)=" · ",RIGHT(Bookings!F423,1),""),"")</ns0:f>
        <ns0:v/>
      </ns0:c>
      <ns0:c r="E423" s="0" t="str">
        <ns0:f>IFERROR(INDEX(Settings!$H$7:$H$11,MATCH(D423,Settings!$G$7:$G$11,0)),"")</ns0:f>
        <ns0:v/>
      </ns0:c>
      <ns0:c r="F423" s="0" t="str">
        <ns0:f>IF(A423=0,"",IFERROR(IF(OR(B423="",C423=0),"CHECK employee selection",IF(INDEX(Team!$O$11:$O$60,C423)&lt;&gt;"OK","CHECK employee setup",IF(OR('_Dates'!J423=0,'_Dates'!T423=0),"CHECK date: use DD.MM.YYYY",IF('_Dates'!T423&lt;'_Dates'!J423,"CHECK end before start",IF(AND($B$6=0,OR('_Dates'!J423&lt;Settings!$B$7,'_Dates'!T423&gt;Settings!$B$8)),"CHECK split across leave years",IF(OR(NOT(OR('_Dates'!U423="Full day",'_Dates'!U423="AM",'_Dates'!U423="PM")),NOT(OR('_Dates'!V423="Full day",'_Dates'!V423="AM",'_Dates'!V423="PM"))),"CHECK Full day / AM / PM",IF(AND('_Dates'!J423='_Dates'!T423,'_Dates'!U423&lt;&gt;"Full day",'_Dates'!V423&lt;&gt;"Full day",'_Dates'!U423&lt;&gt;'_Dates'!V423),"CHECK same-day portions disagree",IF(AND($B$6=0,OR(AND('_Dates'!U423&lt;&gt;"Full day",'_Dates'!AA423=0),AND('_Dates'!V423&lt;&gt;"Full day",'_Dates'!AB423=0))),"CHECK half-day on non-working date",IF(COUNTIF(Settings!$G$7:$G$11,D423)&lt;&gt;1,"CHECK leave type",IF(AND(Bookings!G423&lt;&gt;"Approved",Bookings!G423&lt;&gt;"Pending",Bookings!G423&lt;&gt;"Cancelled"),"CHECK status","OK")))))))))),"CHECK input"))</ns0:f>
        <ns0:v/>
      </ns0:c>
      <ns0:c r="G423" s="0">
        <ns0:f>IF(OR(F423&lt;&gt;"OK",$B$6&gt;0),0,0.5*(IF(('_Dates'!X423)&lt;('_Dates'!W423),0,INT((('_Dates'!X423)-('_Dates'!W423)+1)/7)*LEN(SUBSTITUTE(W423,"O",""))+LEN(SUBSTITUTE(MID(W423&amp;W423,WEEKDAY(('_Dates'!W423),2),MOD((('_Dates'!X423)-('_Dates'!W423)+1),7)),"O",""))-COUNTIFS(INDEX(AllClosureRows,C423,0),"&gt;="&amp;('_Dates'!W423),INDEX(AllClosureRows,C423,0),"&lt;="&amp;('_Dates'!X423)))+IF(('_Dates'!Z423)&lt;('_Dates'!Y423),0,INT((('_Dates'!Z423)-('_Dates'!Y423)+1)/7)*LEN(SUBSTITUTE(W423,"O",""))+LEN(SUBSTITUTE(MID(W423&amp;W423,WEEKDAY(('_Dates'!Y423),2),MOD((('_Dates'!Z423)-('_Dates'!Y423)+1),7)),"O",""))-COUNTIFS(INDEX(AllClosureRows,C423,0),"&gt;="&amp;('_Dates'!Y423),INDEX(AllClosureRows,C423,0),"&lt;="&amp;('_Dates'!Z423)))))</ns0:f>
        <ns0:v>0</ns0:v>
      </ns0:c>
      <ns0:c r="H423" s="0">
        <ns0:f>IF(OR(F423&lt;&gt;"OK",$B$6&gt;0),0,0.5*(IF((MIN('_Dates'!X423,Settings!$B$9))&lt;('_Dates'!W423),0,INT(((MIN('_Dates'!X423,Settings!$B$9))-('_Dates'!W423)+1)/7)*LEN(SUBSTITUTE(W423,"O",""))+LEN(SUBSTITUTE(MID(W423&amp;W423,WEEKDAY(('_Dates'!W423),2),MOD(((MIN('_Dates'!X423,Settings!$B$9))-('_Dates'!W423)+1),7)),"O",""))-COUNTIFS(INDEX(AllClosureRows,C423,0),"&gt;="&amp;('_Dates'!W423),INDEX(AllClosureRows,C423,0),"&lt;="&amp;(MIN('_Dates'!X423,Settings!$B$9))))+IF((MIN('_Dates'!Z423,Settings!$B$9))&lt;('_Dates'!Y423),0,INT(((MIN('_Dates'!Z423,Settings!$B$9))-('_Dates'!Y423)+1)/7)*LEN(SUBSTITUTE(W423,"O",""))+LEN(SUBSTITUTE(MID(W423&amp;W423,WEEKDAY(('_Dates'!Y423),2),MOD(((MIN('_Dates'!Z423,Settings!$B$9))-('_Dates'!Y423)+1),7)),"O",""))-COUNTIFS(INDEX(AllClosureRows,C423,0),"&gt;="&amp;('_Dates'!Y423),INDEX(AllClosureRows,C423,0),"&lt;="&amp;(MIN('_Dates'!Z423,Settings!$B$9))))))</ns0:f>
        <ns0:v>0</ns0:v>
      </ns0:c>
      <ns0:c r="I423" s="0">
        <ns0:f>MAX(0,G423-H423)</ns0:f>
        <ns0:v>0</ns0:v>
      </ns0:c>
      <ns0:c r="J423" s="0">
        <ns0:f>IF(OR(A423=0,F423&lt;&gt;"OK",Bookings!G423="Cancelled",$B$6&gt;0),0,IF('_Dates'!AC423=1,MAX(0,COUNTIFS(rngEngine_B,B423,rngAMStart,"&lt;="&amp;'_Dates'!X423,rngAMEnd,"&gt;="&amp;'_Dates'!W423,rngAMActive,1,rngEngine_F,"OK",rngBookings_F,"&lt;&gt;Cancelled")-1),0)+IF('_Dates'!AD423=1,MAX(0,COUNTIFS(rngEngine_B,B423,rngPMStart,"&lt;="&amp;'_Dates'!Z423,rngPMEnd,"&gt;="&amp;'_Dates'!Y423,rngPMActive,1,rngEngine_F,"OK",rngBookings_F,"&lt;&gt;Cancelled")-1),0))</ns0:f>
        <ns0:v>0</ns0:v>
      </ns0:c>
      <ns0:c r="K423" s="0" t="str">
        <ns0:f>IF(A423=0,"",IF(F423&lt;&gt;"OK",F423,IF(J423&gt;0,"CHECK overlapping entry",IF(AND($B$6=0,G423&lt;=0,Bookings!G423&lt;&gt;"Cancelled"),"CHECK no working days",IF(Bookings!G423="Cancelled","Cancelled","OK")))))</ns0:f>
        <ns0:v/>
      </ns0:c>
      <ns0:c r="L423" s="0">
        <ns0:f>IF(LEFT(K423,5)="CHECK",1,0)</ns0:f>
        <ns0:v>0</ns0:v>
      </ns0:c>
      <ns0:c r="M423" s="0">
        <ns0:f>IF(AND(L423=1,OR(C423=0,IFERROR(INDEX($X$11:$X$60,C423),0)=0)),1,0)</ns0:f>
        <ns0:v>0</ns0:v>
      </ns0:c>
      <ns0:c r="N423" s="0">
        <ns0:f>IF(OR(A423=0,L423&gt;0,$B$6&gt;0,Bookings!G423="Cancelled"),0,G423)</ns0:f>
        <ns0:v>0</ns0:v>
      </ns0:c>
      <ns0:c r="O423" s="0">
        <ns0:f>IF(AND(Bookings!G423="Approved",E423="Yes"),N423,0)</ns0:f>
        <ns0:v>0</ns0:v>
      </ns0:c>
      <ns0:c r="P423" s="0">
        <ns0:f>IF(AND(Bookings!G423="Approved",E423="Yes",L423=0,$B$6=0),H423,0)</ns0:f>
        <ns0:v>0</ns0:v>
      </ns0:c>
      <ns0:c r="Q423" s="0">
        <ns0:f>IF(AND(Bookings!G423="Approved",E423="Yes",L423=0,$B$6=0),I423,0)</ns0:f>
        <ns0:v>0</ns0:v>
      </ns0:c>
      <ns0:c r="R423" s="0">
        <ns0:f>IF(AND(Bookings!G423="Pending",E423="Yes"),N423,0)</ns0:f>
        <ns0:v>0</ns0:v>
      </ns0:c>
      <ns0:c r="S423" s="0">
        <ns0:f>IF(AND(Bookings!G423="Approved",E423="No"),N423,0)</ns0:f>
        <ns0:v>0</ns0:v>
      </ns0:c>
      <ns0:c r="T423" s="0">
        <ns0:f>IFERROR(MATCH(D423,Settings!$G$7:$G$11,0),0)</ns0:f>
        <ns0:v>0</ns0:v>
      </ns0:c>
      <ns0:c r="U423" s="0">
        <ns0:f>IF(N423&gt;0,T423+IF(Bookings!G423="Pending",10,0),0)</ns0:f>
        <ns0:v>0</ns0:v>
      </ns0:c>
      <ns0:c r="V423" s="0">
        <ns0:f>U423</ns0:f>
        <ns0:v>0</ns0:v>
      </ns0:c>
      <ns0:c r="W423" s="0" t="str">
        <ns0:f>IF(C423=0,"",INDEX($AP$11:$AP$60,C423))</ns0:f>
        <ns0:v/>
      </ns0:c>
    </ns0:row>
    <ns0:row r="424">
      <ns0:c r="A424" s="0">
        <ns0:f>IF(COUNTA(Bookings!A424:G424,Bookings!I424)=0,0,1)</ns0:f>
        <ns0:v>0</ns0:v>
      </ns0:c>
      <ns0:c r="B424" s="0" t="str">
        <ns0:f>IFERROR(TRIM(MID(Bookings!A424,FIND(" · ",Bookings!A424)+3,99)),"")</ns0:f>
        <ns0:v/>
      </ns0:c>
      <ns0:c r="C424" s="0">
        <ns0:f>IF(OR(B424="",LEN(B424)&gt;24,ISNUMBER(FIND(" ",B424)),ISNUMBER(FIND("*",B424)),ISNUMBER(FIND("?",B424)),ISNUMBER(FIND("~",B424))),0,IFERROR(MATCH(B424,Team!$A$11:$A$60,0),0))</ns0:f>
        <ns0:v>0</ns0:v>
      </ns0:c>
      <ns0:c r="D424" s="0" t="str">
        <ns0:f>IFERROR(IF(MID(Bookings!F424,LEN(Bookings!F424)-3,3)=" · ",RIGHT(Bookings!F424,1),""),"")</ns0:f>
        <ns0:v/>
      </ns0:c>
      <ns0:c r="E424" s="0" t="str">
        <ns0:f>IFERROR(INDEX(Settings!$H$7:$H$11,MATCH(D424,Settings!$G$7:$G$11,0)),"")</ns0:f>
        <ns0:v/>
      </ns0:c>
      <ns0:c r="F424" s="0" t="str">
        <ns0:f>IF(A424=0,"",IFERROR(IF(OR(B424="",C424=0),"CHECK employee selection",IF(INDEX(Team!$O$11:$O$60,C424)&lt;&gt;"OK","CHECK employee setup",IF(OR('_Dates'!J424=0,'_Dates'!T424=0),"CHECK date: use DD.MM.YYYY",IF('_Dates'!T424&lt;'_Dates'!J424,"CHECK end before start",IF(AND($B$6=0,OR('_Dates'!J424&lt;Settings!$B$7,'_Dates'!T424&gt;Settings!$B$8)),"CHECK split across leave years",IF(OR(NOT(OR('_Dates'!U424="Full day",'_Dates'!U424="AM",'_Dates'!U424="PM")),NOT(OR('_Dates'!V424="Full day",'_Dates'!V424="AM",'_Dates'!V424="PM"))),"CHECK Full day / AM / PM",IF(AND('_Dates'!J424='_Dates'!T424,'_Dates'!U424&lt;&gt;"Full day",'_Dates'!V424&lt;&gt;"Full day",'_Dates'!U424&lt;&gt;'_Dates'!V424),"CHECK same-day portions disagree",IF(AND($B$6=0,OR(AND('_Dates'!U424&lt;&gt;"Full day",'_Dates'!AA424=0),AND('_Dates'!V424&lt;&gt;"Full day",'_Dates'!AB424=0))),"CHECK half-day on non-working date",IF(COUNTIF(Settings!$G$7:$G$11,D424)&lt;&gt;1,"CHECK leave type",IF(AND(Bookings!G424&lt;&gt;"Approved",Bookings!G424&lt;&gt;"Pending",Bookings!G424&lt;&gt;"Cancelled"),"CHECK status","OK")))))))))),"CHECK input"))</ns0:f>
        <ns0:v/>
      </ns0:c>
      <ns0:c r="G424" s="0">
        <ns0:f>IF(OR(F424&lt;&gt;"OK",$B$6&gt;0),0,0.5*(IF(('_Dates'!X424)&lt;('_Dates'!W424),0,INT((('_Dates'!X424)-('_Dates'!W424)+1)/7)*LEN(SUBSTITUTE(W424,"O",""))+LEN(SUBSTITUTE(MID(W424&amp;W424,WEEKDAY(('_Dates'!W424),2),MOD((('_Dates'!X424)-('_Dates'!W424)+1),7)),"O",""))-COUNTIFS(INDEX(AllClosureRows,C424,0),"&gt;="&amp;('_Dates'!W424),INDEX(AllClosureRows,C424,0),"&lt;="&amp;('_Dates'!X424)))+IF(('_Dates'!Z424)&lt;('_Dates'!Y424),0,INT((('_Dates'!Z424)-('_Dates'!Y424)+1)/7)*LEN(SUBSTITUTE(W424,"O",""))+LEN(SUBSTITUTE(MID(W424&amp;W424,WEEKDAY(('_Dates'!Y424),2),MOD((('_Dates'!Z424)-('_Dates'!Y424)+1),7)),"O",""))-COUNTIFS(INDEX(AllClosureRows,C424,0),"&gt;="&amp;('_Dates'!Y424),INDEX(AllClosureRows,C424,0),"&lt;="&amp;('_Dates'!Z424)))))</ns0:f>
        <ns0:v>0</ns0:v>
      </ns0:c>
      <ns0:c r="H424" s="0">
        <ns0:f>IF(OR(F424&lt;&gt;"OK",$B$6&gt;0),0,0.5*(IF((MIN('_Dates'!X424,Settings!$B$9))&lt;('_Dates'!W424),0,INT(((MIN('_Dates'!X424,Settings!$B$9))-('_Dates'!W424)+1)/7)*LEN(SUBSTITUTE(W424,"O",""))+LEN(SUBSTITUTE(MID(W424&amp;W424,WEEKDAY(('_Dates'!W424),2),MOD(((MIN('_Dates'!X424,Settings!$B$9))-('_Dates'!W424)+1),7)),"O",""))-COUNTIFS(INDEX(AllClosureRows,C424,0),"&gt;="&amp;('_Dates'!W424),INDEX(AllClosureRows,C424,0),"&lt;="&amp;(MIN('_Dates'!X424,Settings!$B$9))))+IF((MIN('_Dates'!Z424,Settings!$B$9))&lt;('_Dates'!Y424),0,INT(((MIN('_Dates'!Z424,Settings!$B$9))-('_Dates'!Y424)+1)/7)*LEN(SUBSTITUTE(W424,"O",""))+LEN(SUBSTITUTE(MID(W424&amp;W424,WEEKDAY(('_Dates'!Y424),2),MOD(((MIN('_Dates'!Z424,Settings!$B$9))-('_Dates'!Y424)+1),7)),"O",""))-COUNTIFS(INDEX(AllClosureRows,C424,0),"&gt;="&amp;('_Dates'!Y424),INDEX(AllClosureRows,C424,0),"&lt;="&amp;(MIN('_Dates'!Z424,Settings!$B$9))))))</ns0:f>
        <ns0:v>0</ns0:v>
      </ns0:c>
      <ns0:c r="I424" s="0">
        <ns0:f>MAX(0,G424-H424)</ns0:f>
        <ns0:v>0</ns0:v>
      </ns0:c>
      <ns0:c r="J424" s="0">
        <ns0:f>IF(OR(A424=0,F424&lt;&gt;"OK",Bookings!G424="Cancelled",$B$6&gt;0),0,IF('_Dates'!AC424=1,MAX(0,COUNTIFS(rngEngine_B,B424,rngAMStart,"&lt;="&amp;'_Dates'!X424,rngAMEnd,"&gt;="&amp;'_Dates'!W424,rngAMActive,1,rngEngine_F,"OK",rngBookings_F,"&lt;&gt;Cancelled")-1),0)+IF('_Dates'!AD424=1,MAX(0,COUNTIFS(rngEngine_B,B424,rngPMStart,"&lt;="&amp;'_Dates'!Z424,rngPMEnd,"&gt;="&amp;'_Dates'!Y424,rngPMActive,1,rngEngine_F,"OK",rngBookings_F,"&lt;&gt;Cancelled")-1),0))</ns0:f>
        <ns0:v>0</ns0:v>
      </ns0:c>
      <ns0:c r="K424" s="0" t="str">
        <ns0:f>IF(A424=0,"",IF(F424&lt;&gt;"OK",F424,IF(J424&gt;0,"CHECK overlapping entry",IF(AND($B$6=0,G424&lt;=0,Bookings!G424&lt;&gt;"Cancelled"),"CHECK no working days",IF(Bookings!G424="Cancelled","Cancelled","OK")))))</ns0:f>
        <ns0:v/>
      </ns0:c>
      <ns0:c r="L424" s="0">
        <ns0:f>IF(LEFT(K424,5)="CHECK",1,0)</ns0:f>
        <ns0:v>0</ns0:v>
      </ns0:c>
      <ns0:c r="M424" s="0">
        <ns0:f>IF(AND(L424=1,OR(C424=0,IFERROR(INDEX($X$11:$X$60,C424),0)=0)),1,0)</ns0:f>
        <ns0:v>0</ns0:v>
      </ns0:c>
      <ns0:c r="N424" s="0">
        <ns0:f>IF(OR(A424=0,L424&gt;0,$B$6&gt;0,Bookings!G424="Cancelled"),0,G424)</ns0:f>
        <ns0:v>0</ns0:v>
      </ns0:c>
      <ns0:c r="O424" s="0">
        <ns0:f>IF(AND(Bookings!G424="Approved",E424="Yes"),N424,0)</ns0:f>
        <ns0:v>0</ns0:v>
      </ns0:c>
      <ns0:c r="P424" s="0">
        <ns0:f>IF(AND(Bookings!G424="Approved",E424="Yes",L424=0,$B$6=0),H424,0)</ns0:f>
        <ns0:v>0</ns0:v>
      </ns0:c>
      <ns0:c r="Q424" s="0">
        <ns0:f>IF(AND(Bookings!G424="Approved",E424="Yes",L424=0,$B$6=0),I424,0)</ns0:f>
        <ns0:v>0</ns0:v>
      </ns0:c>
      <ns0:c r="R424" s="0">
        <ns0:f>IF(AND(Bookings!G424="Pending",E424="Yes"),N424,0)</ns0:f>
        <ns0:v>0</ns0:v>
      </ns0:c>
      <ns0:c r="S424" s="0">
        <ns0:f>IF(AND(Bookings!G424="Approved",E424="No"),N424,0)</ns0:f>
        <ns0:v>0</ns0:v>
      </ns0:c>
      <ns0:c r="T424" s="0">
        <ns0:f>IFERROR(MATCH(D424,Settings!$G$7:$G$11,0),0)</ns0:f>
        <ns0:v>0</ns0:v>
      </ns0:c>
      <ns0:c r="U424" s="0">
        <ns0:f>IF(N424&gt;0,T424+IF(Bookings!G424="Pending",10,0),0)</ns0:f>
        <ns0:v>0</ns0:v>
      </ns0:c>
      <ns0:c r="V424" s="0">
        <ns0:f>U424</ns0:f>
        <ns0:v>0</ns0:v>
      </ns0:c>
      <ns0:c r="W424" s="0" t="str">
        <ns0:f>IF(C424=0,"",INDEX($AP$11:$AP$60,C424))</ns0:f>
        <ns0:v/>
      </ns0:c>
    </ns0:row>
    <ns0:row r="425">
      <ns0:c r="A425" s="0">
        <ns0:f>IF(COUNTA(Bookings!A425:G425,Bookings!I425)=0,0,1)</ns0:f>
        <ns0:v>0</ns0:v>
      </ns0:c>
      <ns0:c r="B425" s="0" t="str">
        <ns0:f>IFERROR(TRIM(MID(Bookings!A425,FIND(" · ",Bookings!A425)+3,99)),"")</ns0:f>
        <ns0:v/>
      </ns0:c>
      <ns0:c r="C425" s="0">
        <ns0:f>IF(OR(B425="",LEN(B425)&gt;24,ISNUMBER(FIND(" ",B425)),ISNUMBER(FIND("*",B425)),ISNUMBER(FIND("?",B425)),ISNUMBER(FIND("~",B425))),0,IFERROR(MATCH(B425,Team!$A$11:$A$60,0),0))</ns0:f>
        <ns0:v>0</ns0:v>
      </ns0:c>
      <ns0:c r="D425" s="0" t="str">
        <ns0:f>IFERROR(IF(MID(Bookings!F425,LEN(Bookings!F425)-3,3)=" · ",RIGHT(Bookings!F425,1),""),"")</ns0:f>
        <ns0:v/>
      </ns0:c>
      <ns0:c r="E425" s="0" t="str">
        <ns0:f>IFERROR(INDEX(Settings!$H$7:$H$11,MATCH(D425,Settings!$G$7:$G$11,0)),"")</ns0:f>
        <ns0:v/>
      </ns0:c>
      <ns0:c r="F425" s="0" t="str">
        <ns0:f>IF(A425=0,"",IFERROR(IF(OR(B425="",C425=0),"CHECK employee selection",IF(INDEX(Team!$O$11:$O$60,C425)&lt;&gt;"OK","CHECK employee setup",IF(OR('_Dates'!J425=0,'_Dates'!T425=0),"CHECK date: use DD.MM.YYYY",IF('_Dates'!T425&lt;'_Dates'!J425,"CHECK end before start",IF(AND($B$6=0,OR('_Dates'!J425&lt;Settings!$B$7,'_Dates'!T425&gt;Settings!$B$8)),"CHECK split across leave years",IF(OR(NOT(OR('_Dates'!U425="Full day",'_Dates'!U425="AM",'_Dates'!U425="PM")),NOT(OR('_Dates'!V425="Full day",'_Dates'!V425="AM",'_Dates'!V425="PM"))),"CHECK Full day / AM / PM",IF(AND('_Dates'!J425='_Dates'!T425,'_Dates'!U425&lt;&gt;"Full day",'_Dates'!V425&lt;&gt;"Full day",'_Dates'!U425&lt;&gt;'_Dates'!V425),"CHECK same-day portions disagree",IF(AND($B$6=0,OR(AND('_Dates'!U425&lt;&gt;"Full day",'_Dates'!AA425=0),AND('_Dates'!V425&lt;&gt;"Full day",'_Dates'!AB425=0))),"CHECK half-day on non-working date",IF(COUNTIF(Settings!$G$7:$G$11,D425)&lt;&gt;1,"CHECK leave type",IF(AND(Bookings!G425&lt;&gt;"Approved",Bookings!G425&lt;&gt;"Pending",Bookings!G425&lt;&gt;"Cancelled"),"CHECK status","OK")))))))))),"CHECK input"))</ns0:f>
        <ns0:v/>
      </ns0:c>
      <ns0:c r="G425" s="0">
        <ns0:f>IF(OR(F425&lt;&gt;"OK",$B$6&gt;0),0,0.5*(IF(('_Dates'!X425)&lt;('_Dates'!W425),0,INT((('_Dates'!X425)-('_Dates'!W425)+1)/7)*LEN(SUBSTITUTE(W425,"O",""))+LEN(SUBSTITUTE(MID(W425&amp;W425,WEEKDAY(('_Dates'!W425),2),MOD((('_Dates'!X425)-('_Dates'!W425)+1),7)),"O",""))-COUNTIFS(INDEX(AllClosureRows,C425,0),"&gt;="&amp;('_Dates'!W425),INDEX(AllClosureRows,C425,0),"&lt;="&amp;('_Dates'!X425)))+IF(('_Dates'!Z425)&lt;('_Dates'!Y425),0,INT((('_Dates'!Z425)-('_Dates'!Y425)+1)/7)*LEN(SUBSTITUTE(W425,"O",""))+LEN(SUBSTITUTE(MID(W425&amp;W425,WEEKDAY(('_Dates'!Y425),2),MOD((('_Dates'!Z425)-('_Dates'!Y425)+1),7)),"O",""))-COUNTIFS(INDEX(AllClosureRows,C425,0),"&gt;="&amp;('_Dates'!Y425),INDEX(AllClosureRows,C425,0),"&lt;="&amp;('_Dates'!Z425)))))</ns0:f>
        <ns0:v>0</ns0:v>
      </ns0:c>
      <ns0:c r="H425" s="0">
        <ns0:f>IF(OR(F425&lt;&gt;"OK",$B$6&gt;0),0,0.5*(IF((MIN('_Dates'!X425,Settings!$B$9))&lt;('_Dates'!W425),0,INT(((MIN('_Dates'!X425,Settings!$B$9))-('_Dates'!W425)+1)/7)*LEN(SUBSTITUTE(W425,"O",""))+LEN(SUBSTITUTE(MID(W425&amp;W425,WEEKDAY(('_Dates'!W425),2),MOD(((MIN('_Dates'!X425,Settings!$B$9))-('_Dates'!W425)+1),7)),"O",""))-COUNTIFS(INDEX(AllClosureRows,C425,0),"&gt;="&amp;('_Dates'!W425),INDEX(AllClosureRows,C425,0),"&lt;="&amp;(MIN('_Dates'!X425,Settings!$B$9))))+IF((MIN('_Dates'!Z425,Settings!$B$9))&lt;('_Dates'!Y425),0,INT(((MIN('_Dates'!Z425,Settings!$B$9))-('_Dates'!Y425)+1)/7)*LEN(SUBSTITUTE(W425,"O",""))+LEN(SUBSTITUTE(MID(W425&amp;W425,WEEKDAY(('_Dates'!Y425),2),MOD(((MIN('_Dates'!Z425,Settings!$B$9))-('_Dates'!Y425)+1),7)),"O",""))-COUNTIFS(INDEX(AllClosureRows,C425,0),"&gt;="&amp;('_Dates'!Y425),INDEX(AllClosureRows,C425,0),"&lt;="&amp;(MIN('_Dates'!Z425,Settings!$B$9))))))</ns0:f>
        <ns0:v>0</ns0:v>
      </ns0:c>
      <ns0:c r="I425" s="0">
        <ns0:f>MAX(0,G425-H425)</ns0:f>
        <ns0:v>0</ns0:v>
      </ns0:c>
      <ns0:c r="J425" s="0">
        <ns0:f>IF(OR(A425=0,F425&lt;&gt;"OK",Bookings!G425="Cancelled",$B$6&gt;0),0,IF('_Dates'!AC425=1,MAX(0,COUNTIFS(rngEngine_B,B425,rngAMStart,"&lt;="&amp;'_Dates'!X425,rngAMEnd,"&gt;="&amp;'_Dates'!W425,rngAMActive,1,rngEngine_F,"OK",rngBookings_F,"&lt;&gt;Cancelled")-1),0)+IF('_Dates'!AD425=1,MAX(0,COUNTIFS(rngEngine_B,B425,rngPMStart,"&lt;="&amp;'_Dates'!Z425,rngPMEnd,"&gt;="&amp;'_Dates'!Y425,rngPMActive,1,rngEngine_F,"OK",rngBookings_F,"&lt;&gt;Cancelled")-1),0))</ns0:f>
        <ns0:v>0</ns0:v>
      </ns0:c>
      <ns0:c r="K425" s="0" t="str">
        <ns0:f>IF(A425=0,"",IF(F425&lt;&gt;"OK",F425,IF(J425&gt;0,"CHECK overlapping entry",IF(AND($B$6=0,G425&lt;=0,Bookings!G425&lt;&gt;"Cancelled"),"CHECK no working days",IF(Bookings!G425="Cancelled","Cancelled","OK")))))</ns0:f>
        <ns0:v/>
      </ns0:c>
      <ns0:c r="L425" s="0">
        <ns0:f>IF(LEFT(K425,5)="CHECK",1,0)</ns0:f>
        <ns0:v>0</ns0:v>
      </ns0:c>
      <ns0:c r="M425" s="0">
        <ns0:f>IF(AND(L425=1,OR(C425=0,IFERROR(INDEX($X$11:$X$60,C425),0)=0)),1,0)</ns0:f>
        <ns0:v>0</ns0:v>
      </ns0:c>
      <ns0:c r="N425" s="0">
        <ns0:f>IF(OR(A425=0,L425&gt;0,$B$6&gt;0,Bookings!G425="Cancelled"),0,G425)</ns0:f>
        <ns0:v>0</ns0:v>
      </ns0:c>
      <ns0:c r="O425" s="0">
        <ns0:f>IF(AND(Bookings!G425="Approved",E425="Yes"),N425,0)</ns0:f>
        <ns0:v>0</ns0:v>
      </ns0:c>
      <ns0:c r="P425" s="0">
        <ns0:f>IF(AND(Bookings!G425="Approved",E425="Yes",L425=0,$B$6=0),H425,0)</ns0:f>
        <ns0:v>0</ns0:v>
      </ns0:c>
      <ns0:c r="Q425" s="0">
        <ns0:f>IF(AND(Bookings!G425="Approved",E425="Yes",L425=0,$B$6=0),I425,0)</ns0:f>
        <ns0:v>0</ns0:v>
      </ns0:c>
      <ns0:c r="R425" s="0">
        <ns0:f>IF(AND(Bookings!G425="Pending",E425="Yes"),N425,0)</ns0:f>
        <ns0:v>0</ns0:v>
      </ns0:c>
      <ns0:c r="S425" s="0">
        <ns0:f>IF(AND(Bookings!G425="Approved",E425="No"),N425,0)</ns0:f>
        <ns0:v>0</ns0:v>
      </ns0:c>
      <ns0:c r="T425" s="0">
        <ns0:f>IFERROR(MATCH(D425,Settings!$G$7:$G$11,0),0)</ns0:f>
        <ns0:v>0</ns0:v>
      </ns0:c>
      <ns0:c r="U425" s="0">
        <ns0:f>IF(N425&gt;0,T425+IF(Bookings!G425="Pending",10,0),0)</ns0:f>
        <ns0:v>0</ns0:v>
      </ns0:c>
      <ns0:c r="V425" s="0">
        <ns0:f>U425</ns0:f>
        <ns0:v>0</ns0:v>
      </ns0:c>
      <ns0:c r="W425" s="0" t="str">
        <ns0:f>IF(C425=0,"",INDEX($AP$11:$AP$60,C425))</ns0:f>
        <ns0:v/>
      </ns0:c>
    </ns0:row>
    <ns0:row r="426">
      <ns0:c r="A426" s="0">
        <ns0:f>IF(COUNTA(Bookings!A426:G426,Bookings!I426)=0,0,1)</ns0:f>
        <ns0:v>0</ns0:v>
      </ns0:c>
      <ns0:c r="B426" s="0" t="str">
        <ns0:f>IFERROR(TRIM(MID(Bookings!A426,FIND(" · ",Bookings!A426)+3,99)),"")</ns0:f>
        <ns0:v/>
      </ns0:c>
      <ns0:c r="C426" s="0">
        <ns0:f>IF(OR(B426="",LEN(B426)&gt;24,ISNUMBER(FIND(" ",B426)),ISNUMBER(FIND("*",B426)),ISNUMBER(FIND("?",B426)),ISNUMBER(FIND("~",B426))),0,IFERROR(MATCH(B426,Team!$A$11:$A$60,0),0))</ns0:f>
        <ns0:v>0</ns0:v>
      </ns0:c>
      <ns0:c r="D426" s="0" t="str">
        <ns0:f>IFERROR(IF(MID(Bookings!F426,LEN(Bookings!F426)-3,3)=" · ",RIGHT(Bookings!F426,1),""),"")</ns0:f>
        <ns0:v/>
      </ns0:c>
      <ns0:c r="E426" s="0" t="str">
        <ns0:f>IFERROR(INDEX(Settings!$H$7:$H$11,MATCH(D426,Settings!$G$7:$G$11,0)),"")</ns0:f>
        <ns0:v/>
      </ns0:c>
      <ns0:c r="F426" s="0" t="str">
        <ns0:f>IF(A426=0,"",IFERROR(IF(OR(B426="",C426=0),"CHECK employee selection",IF(INDEX(Team!$O$11:$O$60,C426)&lt;&gt;"OK","CHECK employee setup",IF(OR('_Dates'!J426=0,'_Dates'!T426=0),"CHECK date: use DD.MM.YYYY",IF('_Dates'!T426&lt;'_Dates'!J426,"CHECK end before start",IF(AND($B$6=0,OR('_Dates'!J426&lt;Settings!$B$7,'_Dates'!T426&gt;Settings!$B$8)),"CHECK split across leave years",IF(OR(NOT(OR('_Dates'!U426="Full day",'_Dates'!U426="AM",'_Dates'!U426="PM")),NOT(OR('_Dates'!V426="Full day",'_Dates'!V426="AM",'_Dates'!V426="PM"))),"CHECK Full day / AM / PM",IF(AND('_Dates'!J426='_Dates'!T426,'_Dates'!U426&lt;&gt;"Full day",'_Dates'!V426&lt;&gt;"Full day",'_Dates'!U426&lt;&gt;'_Dates'!V426),"CHECK same-day portions disagree",IF(AND($B$6=0,OR(AND('_Dates'!U426&lt;&gt;"Full day",'_Dates'!AA426=0),AND('_Dates'!V426&lt;&gt;"Full day",'_Dates'!AB426=0))),"CHECK half-day on non-working date",IF(COUNTIF(Settings!$G$7:$G$11,D426)&lt;&gt;1,"CHECK leave type",IF(AND(Bookings!G426&lt;&gt;"Approved",Bookings!G426&lt;&gt;"Pending",Bookings!G426&lt;&gt;"Cancelled"),"CHECK status","OK")))))))))),"CHECK input"))</ns0:f>
        <ns0:v/>
      </ns0:c>
      <ns0:c r="G426" s="0">
        <ns0:f>IF(OR(F426&lt;&gt;"OK",$B$6&gt;0),0,0.5*(IF(('_Dates'!X426)&lt;('_Dates'!W426),0,INT((('_Dates'!X426)-('_Dates'!W426)+1)/7)*LEN(SUBSTITUTE(W426,"O",""))+LEN(SUBSTITUTE(MID(W426&amp;W426,WEEKDAY(('_Dates'!W426),2),MOD((('_Dates'!X426)-('_Dates'!W426)+1),7)),"O",""))-COUNTIFS(INDEX(AllClosureRows,C426,0),"&gt;="&amp;('_Dates'!W426),INDEX(AllClosureRows,C426,0),"&lt;="&amp;('_Dates'!X426)))+IF(('_Dates'!Z426)&lt;('_Dates'!Y426),0,INT((('_Dates'!Z426)-('_Dates'!Y426)+1)/7)*LEN(SUBSTITUTE(W426,"O",""))+LEN(SUBSTITUTE(MID(W426&amp;W426,WEEKDAY(('_Dates'!Y426),2),MOD((('_Dates'!Z426)-('_Dates'!Y426)+1),7)),"O",""))-COUNTIFS(INDEX(AllClosureRows,C426,0),"&gt;="&amp;('_Dates'!Y426),INDEX(AllClosureRows,C426,0),"&lt;="&amp;('_Dates'!Z426)))))</ns0:f>
        <ns0:v>0</ns0:v>
      </ns0:c>
      <ns0:c r="H426" s="0">
        <ns0:f>IF(OR(F426&lt;&gt;"OK",$B$6&gt;0),0,0.5*(IF((MIN('_Dates'!X426,Settings!$B$9))&lt;('_Dates'!W426),0,INT(((MIN('_Dates'!X426,Settings!$B$9))-('_Dates'!W426)+1)/7)*LEN(SUBSTITUTE(W426,"O",""))+LEN(SUBSTITUTE(MID(W426&amp;W426,WEEKDAY(('_Dates'!W426),2),MOD(((MIN('_Dates'!X426,Settings!$B$9))-('_Dates'!W426)+1),7)),"O",""))-COUNTIFS(INDEX(AllClosureRows,C426,0),"&gt;="&amp;('_Dates'!W426),INDEX(AllClosureRows,C426,0),"&lt;="&amp;(MIN('_Dates'!X426,Settings!$B$9))))+IF((MIN('_Dates'!Z426,Settings!$B$9))&lt;('_Dates'!Y426),0,INT(((MIN('_Dates'!Z426,Settings!$B$9))-('_Dates'!Y426)+1)/7)*LEN(SUBSTITUTE(W426,"O",""))+LEN(SUBSTITUTE(MID(W426&amp;W426,WEEKDAY(('_Dates'!Y426),2),MOD(((MIN('_Dates'!Z426,Settings!$B$9))-('_Dates'!Y426)+1),7)),"O",""))-COUNTIFS(INDEX(AllClosureRows,C426,0),"&gt;="&amp;('_Dates'!Y426),INDEX(AllClosureRows,C426,0),"&lt;="&amp;(MIN('_Dates'!Z426,Settings!$B$9))))))</ns0:f>
        <ns0:v>0</ns0:v>
      </ns0:c>
      <ns0:c r="I426" s="0">
        <ns0:f>MAX(0,G426-H426)</ns0:f>
        <ns0:v>0</ns0:v>
      </ns0:c>
      <ns0:c r="J426" s="0">
        <ns0:f>IF(OR(A426=0,F426&lt;&gt;"OK",Bookings!G426="Cancelled",$B$6&gt;0),0,IF('_Dates'!AC426=1,MAX(0,COUNTIFS(rngEngine_B,B426,rngAMStart,"&lt;="&amp;'_Dates'!X426,rngAMEnd,"&gt;="&amp;'_Dates'!W426,rngAMActive,1,rngEngine_F,"OK",rngBookings_F,"&lt;&gt;Cancelled")-1),0)+IF('_Dates'!AD426=1,MAX(0,COUNTIFS(rngEngine_B,B426,rngPMStart,"&lt;="&amp;'_Dates'!Z426,rngPMEnd,"&gt;="&amp;'_Dates'!Y426,rngPMActive,1,rngEngine_F,"OK",rngBookings_F,"&lt;&gt;Cancelled")-1),0))</ns0:f>
        <ns0:v>0</ns0:v>
      </ns0:c>
      <ns0:c r="K426" s="0" t="str">
        <ns0:f>IF(A426=0,"",IF(F426&lt;&gt;"OK",F426,IF(J426&gt;0,"CHECK overlapping entry",IF(AND($B$6=0,G426&lt;=0,Bookings!G426&lt;&gt;"Cancelled"),"CHECK no working days",IF(Bookings!G426="Cancelled","Cancelled","OK")))))</ns0:f>
        <ns0:v/>
      </ns0:c>
      <ns0:c r="L426" s="0">
        <ns0:f>IF(LEFT(K426,5)="CHECK",1,0)</ns0:f>
        <ns0:v>0</ns0:v>
      </ns0:c>
      <ns0:c r="M426" s="0">
        <ns0:f>IF(AND(L426=1,OR(C426=0,IFERROR(INDEX($X$11:$X$60,C426),0)=0)),1,0)</ns0:f>
        <ns0:v>0</ns0:v>
      </ns0:c>
      <ns0:c r="N426" s="0">
        <ns0:f>IF(OR(A426=0,L426&gt;0,$B$6&gt;0,Bookings!G426="Cancelled"),0,G426)</ns0:f>
        <ns0:v>0</ns0:v>
      </ns0:c>
      <ns0:c r="O426" s="0">
        <ns0:f>IF(AND(Bookings!G426="Approved",E426="Yes"),N426,0)</ns0:f>
        <ns0:v>0</ns0:v>
      </ns0:c>
      <ns0:c r="P426" s="0">
        <ns0:f>IF(AND(Bookings!G426="Approved",E426="Yes",L426=0,$B$6=0),H426,0)</ns0:f>
        <ns0:v>0</ns0:v>
      </ns0:c>
      <ns0:c r="Q426" s="0">
        <ns0:f>IF(AND(Bookings!G426="Approved",E426="Yes",L426=0,$B$6=0),I426,0)</ns0:f>
        <ns0:v>0</ns0:v>
      </ns0:c>
      <ns0:c r="R426" s="0">
        <ns0:f>IF(AND(Bookings!G426="Pending",E426="Yes"),N426,0)</ns0:f>
        <ns0:v>0</ns0:v>
      </ns0:c>
      <ns0:c r="S426" s="0">
        <ns0:f>IF(AND(Bookings!G426="Approved",E426="No"),N426,0)</ns0:f>
        <ns0:v>0</ns0:v>
      </ns0:c>
      <ns0:c r="T426" s="0">
        <ns0:f>IFERROR(MATCH(D426,Settings!$G$7:$G$11,0),0)</ns0:f>
        <ns0:v>0</ns0:v>
      </ns0:c>
      <ns0:c r="U426" s="0">
        <ns0:f>IF(N426&gt;0,T426+IF(Bookings!G426="Pending",10,0),0)</ns0:f>
        <ns0:v>0</ns0:v>
      </ns0:c>
      <ns0:c r="V426" s="0">
        <ns0:f>U426</ns0:f>
        <ns0:v>0</ns0:v>
      </ns0:c>
      <ns0:c r="W426" s="0" t="str">
        <ns0:f>IF(C426=0,"",INDEX($AP$11:$AP$60,C426))</ns0:f>
        <ns0:v/>
      </ns0:c>
    </ns0:row>
    <ns0:row r="427">
      <ns0:c r="A427" s="0">
        <ns0:f>IF(COUNTA(Bookings!A427:G427,Bookings!I427)=0,0,1)</ns0:f>
        <ns0:v>0</ns0:v>
      </ns0:c>
      <ns0:c r="B427" s="0" t="str">
        <ns0:f>IFERROR(TRIM(MID(Bookings!A427,FIND(" · ",Bookings!A427)+3,99)),"")</ns0:f>
        <ns0:v/>
      </ns0:c>
      <ns0:c r="C427" s="0">
        <ns0:f>IF(OR(B427="",LEN(B427)&gt;24,ISNUMBER(FIND(" ",B427)),ISNUMBER(FIND("*",B427)),ISNUMBER(FIND("?",B427)),ISNUMBER(FIND("~",B427))),0,IFERROR(MATCH(B427,Team!$A$11:$A$60,0),0))</ns0:f>
        <ns0:v>0</ns0:v>
      </ns0:c>
      <ns0:c r="D427" s="0" t="str">
        <ns0:f>IFERROR(IF(MID(Bookings!F427,LEN(Bookings!F427)-3,3)=" · ",RIGHT(Bookings!F427,1),""),"")</ns0:f>
        <ns0:v/>
      </ns0:c>
      <ns0:c r="E427" s="0" t="str">
        <ns0:f>IFERROR(INDEX(Settings!$H$7:$H$11,MATCH(D427,Settings!$G$7:$G$11,0)),"")</ns0:f>
        <ns0:v/>
      </ns0:c>
      <ns0:c r="F427" s="0" t="str">
        <ns0:f>IF(A427=0,"",IFERROR(IF(OR(B427="",C427=0),"CHECK employee selection",IF(INDEX(Team!$O$11:$O$60,C427)&lt;&gt;"OK","CHECK employee setup",IF(OR('_Dates'!J427=0,'_Dates'!T427=0),"CHECK date: use DD.MM.YYYY",IF('_Dates'!T427&lt;'_Dates'!J427,"CHECK end before start",IF(AND($B$6=0,OR('_Dates'!J427&lt;Settings!$B$7,'_Dates'!T427&gt;Settings!$B$8)),"CHECK split across leave years",IF(OR(NOT(OR('_Dates'!U427="Full day",'_Dates'!U427="AM",'_Dates'!U427="PM")),NOT(OR('_Dates'!V427="Full day",'_Dates'!V427="AM",'_Dates'!V427="PM"))),"CHECK Full day / AM / PM",IF(AND('_Dates'!J427='_Dates'!T427,'_Dates'!U427&lt;&gt;"Full day",'_Dates'!V427&lt;&gt;"Full day",'_Dates'!U427&lt;&gt;'_Dates'!V427),"CHECK same-day portions disagree",IF(AND($B$6=0,OR(AND('_Dates'!U427&lt;&gt;"Full day",'_Dates'!AA427=0),AND('_Dates'!V427&lt;&gt;"Full day",'_Dates'!AB427=0))),"CHECK half-day on non-working date",IF(COUNTIF(Settings!$G$7:$G$11,D427)&lt;&gt;1,"CHECK leave type",IF(AND(Bookings!G427&lt;&gt;"Approved",Bookings!G427&lt;&gt;"Pending",Bookings!G427&lt;&gt;"Cancelled"),"CHECK status","OK")))))))))),"CHECK input"))</ns0:f>
        <ns0:v/>
      </ns0:c>
      <ns0:c r="G427" s="0">
        <ns0:f>IF(OR(F427&lt;&gt;"OK",$B$6&gt;0),0,0.5*(IF(('_Dates'!X427)&lt;('_Dates'!W427),0,INT((('_Dates'!X427)-('_Dates'!W427)+1)/7)*LEN(SUBSTITUTE(W427,"O",""))+LEN(SUBSTITUTE(MID(W427&amp;W427,WEEKDAY(('_Dates'!W427),2),MOD((('_Dates'!X427)-('_Dates'!W427)+1),7)),"O",""))-COUNTIFS(INDEX(AllClosureRows,C427,0),"&gt;="&amp;('_Dates'!W427),INDEX(AllClosureRows,C427,0),"&lt;="&amp;('_Dates'!X427)))+IF(('_Dates'!Z427)&lt;('_Dates'!Y427),0,INT((('_Dates'!Z427)-('_Dates'!Y427)+1)/7)*LEN(SUBSTITUTE(W427,"O",""))+LEN(SUBSTITUTE(MID(W427&amp;W427,WEEKDAY(('_Dates'!Y427),2),MOD((('_Dates'!Z427)-('_Dates'!Y427)+1),7)),"O",""))-COUNTIFS(INDEX(AllClosureRows,C427,0),"&gt;="&amp;('_Dates'!Y427),INDEX(AllClosureRows,C427,0),"&lt;="&amp;('_Dates'!Z427)))))</ns0:f>
        <ns0:v>0</ns0:v>
      </ns0:c>
      <ns0:c r="H427" s="0">
        <ns0:f>IF(OR(F427&lt;&gt;"OK",$B$6&gt;0),0,0.5*(IF((MIN('_Dates'!X427,Settings!$B$9))&lt;('_Dates'!W427),0,INT(((MIN('_Dates'!X427,Settings!$B$9))-('_Dates'!W427)+1)/7)*LEN(SUBSTITUTE(W427,"O",""))+LEN(SUBSTITUTE(MID(W427&amp;W427,WEEKDAY(('_Dates'!W427),2),MOD(((MIN('_Dates'!X427,Settings!$B$9))-('_Dates'!W427)+1),7)),"O",""))-COUNTIFS(INDEX(AllClosureRows,C427,0),"&gt;="&amp;('_Dates'!W427),INDEX(AllClosureRows,C427,0),"&lt;="&amp;(MIN('_Dates'!X427,Settings!$B$9))))+IF((MIN('_Dates'!Z427,Settings!$B$9))&lt;('_Dates'!Y427),0,INT(((MIN('_Dates'!Z427,Settings!$B$9))-('_Dates'!Y427)+1)/7)*LEN(SUBSTITUTE(W427,"O",""))+LEN(SUBSTITUTE(MID(W427&amp;W427,WEEKDAY(('_Dates'!Y427),2),MOD(((MIN('_Dates'!Z427,Settings!$B$9))-('_Dates'!Y427)+1),7)),"O",""))-COUNTIFS(INDEX(AllClosureRows,C427,0),"&gt;="&amp;('_Dates'!Y427),INDEX(AllClosureRows,C427,0),"&lt;="&amp;(MIN('_Dates'!Z427,Settings!$B$9))))))</ns0:f>
        <ns0:v>0</ns0:v>
      </ns0:c>
      <ns0:c r="I427" s="0">
        <ns0:f>MAX(0,G427-H427)</ns0:f>
        <ns0:v>0</ns0:v>
      </ns0:c>
      <ns0:c r="J427" s="0">
        <ns0:f>IF(OR(A427=0,F427&lt;&gt;"OK",Bookings!G427="Cancelled",$B$6&gt;0),0,IF('_Dates'!AC427=1,MAX(0,COUNTIFS(rngEngine_B,B427,rngAMStart,"&lt;="&amp;'_Dates'!X427,rngAMEnd,"&gt;="&amp;'_Dates'!W427,rngAMActive,1,rngEngine_F,"OK",rngBookings_F,"&lt;&gt;Cancelled")-1),0)+IF('_Dates'!AD427=1,MAX(0,COUNTIFS(rngEngine_B,B427,rngPMStart,"&lt;="&amp;'_Dates'!Z427,rngPMEnd,"&gt;="&amp;'_Dates'!Y427,rngPMActive,1,rngEngine_F,"OK",rngBookings_F,"&lt;&gt;Cancelled")-1),0))</ns0:f>
        <ns0:v>0</ns0:v>
      </ns0:c>
      <ns0:c r="K427" s="0" t="str">
        <ns0:f>IF(A427=0,"",IF(F427&lt;&gt;"OK",F427,IF(J427&gt;0,"CHECK overlapping entry",IF(AND($B$6=0,G427&lt;=0,Bookings!G427&lt;&gt;"Cancelled"),"CHECK no working days",IF(Bookings!G427="Cancelled","Cancelled","OK")))))</ns0:f>
        <ns0:v/>
      </ns0:c>
      <ns0:c r="L427" s="0">
        <ns0:f>IF(LEFT(K427,5)="CHECK",1,0)</ns0:f>
        <ns0:v>0</ns0:v>
      </ns0:c>
      <ns0:c r="M427" s="0">
        <ns0:f>IF(AND(L427=1,OR(C427=0,IFERROR(INDEX($X$11:$X$60,C427),0)=0)),1,0)</ns0:f>
        <ns0:v>0</ns0:v>
      </ns0:c>
      <ns0:c r="N427" s="0">
        <ns0:f>IF(OR(A427=0,L427&gt;0,$B$6&gt;0,Bookings!G427="Cancelled"),0,G427)</ns0:f>
        <ns0:v>0</ns0:v>
      </ns0:c>
      <ns0:c r="O427" s="0">
        <ns0:f>IF(AND(Bookings!G427="Approved",E427="Yes"),N427,0)</ns0:f>
        <ns0:v>0</ns0:v>
      </ns0:c>
      <ns0:c r="P427" s="0">
        <ns0:f>IF(AND(Bookings!G427="Approved",E427="Yes",L427=0,$B$6=0),H427,0)</ns0:f>
        <ns0:v>0</ns0:v>
      </ns0:c>
      <ns0:c r="Q427" s="0">
        <ns0:f>IF(AND(Bookings!G427="Approved",E427="Yes",L427=0,$B$6=0),I427,0)</ns0:f>
        <ns0:v>0</ns0:v>
      </ns0:c>
      <ns0:c r="R427" s="0">
        <ns0:f>IF(AND(Bookings!G427="Pending",E427="Yes"),N427,0)</ns0:f>
        <ns0:v>0</ns0:v>
      </ns0:c>
      <ns0:c r="S427" s="0">
        <ns0:f>IF(AND(Bookings!G427="Approved",E427="No"),N427,0)</ns0:f>
        <ns0:v>0</ns0:v>
      </ns0:c>
      <ns0:c r="T427" s="0">
        <ns0:f>IFERROR(MATCH(D427,Settings!$G$7:$G$11,0),0)</ns0:f>
        <ns0:v>0</ns0:v>
      </ns0:c>
      <ns0:c r="U427" s="0">
        <ns0:f>IF(N427&gt;0,T427+IF(Bookings!G427="Pending",10,0),0)</ns0:f>
        <ns0:v>0</ns0:v>
      </ns0:c>
      <ns0:c r="V427" s="0">
        <ns0:f>U427</ns0:f>
        <ns0:v>0</ns0:v>
      </ns0:c>
      <ns0:c r="W427" s="0" t="str">
        <ns0:f>IF(C427=0,"",INDEX($AP$11:$AP$60,C427))</ns0:f>
        <ns0:v/>
      </ns0:c>
    </ns0:row>
    <ns0:row r="428">
      <ns0:c r="A428" s="0">
        <ns0:f>IF(COUNTA(Bookings!A428:G428,Bookings!I428)=0,0,1)</ns0:f>
        <ns0:v>0</ns0:v>
      </ns0:c>
      <ns0:c r="B428" s="0" t="str">
        <ns0:f>IFERROR(TRIM(MID(Bookings!A428,FIND(" · ",Bookings!A428)+3,99)),"")</ns0:f>
        <ns0:v/>
      </ns0:c>
      <ns0:c r="C428" s="0">
        <ns0:f>IF(OR(B428="",LEN(B428)&gt;24,ISNUMBER(FIND(" ",B428)),ISNUMBER(FIND("*",B428)),ISNUMBER(FIND("?",B428)),ISNUMBER(FIND("~",B428))),0,IFERROR(MATCH(B428,Team!$A$11:$A$60,0),0))</ns0:f>
        <ns0:v>0</ns0:v>
      </ns0:c>
      <ns0:c r="D428" s="0" t="str">
        <ns0:f>IFERROR(IF(MID(Bookings!F428,LEN(Bookings!F428)-3,3)=" · ",RIGHT(Bookings!F428,1),""),"")</ns0:f>
        <ns0:v/>
      </ns0:c>
      <ns0:c r="E428" s="0" t="str">
        <ns0:f>IFERROR(INDEX(Settings!$H$7:$H$11,MATCH(D428,Settings!$G$7:$G$11,0)),"")</ns0:f>
        <ns0:v/>
      </ns0:c>
      <ns0:c r="F428" s="0" t="str">
        <ns0:f>IF(A428=0,"",IFERROR(IF(OR(B428="",C428=0),"CHECK employee selection",IF(INDEX(Team!$O$11:$O$60,C428)&lt;&gt;"OK","CHECK employee setup",IF(OR('_Dates'!J428=0,'_Dates'!T428=0),"CHECK date: use DD.MM.YYYY",IF('_Dates'!T428&lt;'_Dates'!J428,"CHECK end before start",IF(AND($B$6=0,OR('_Dates'!J428&lt;Settings!$B$7,'_Dates'!T428&gt;Settings!$B$8)),"CHECK split across leave years",IF(OR(NOT(OR('_Dates'!U428="Full day",'_Dates'!U428="AM",'_Dates'!U428="PM")),NOT(OR('_Dates'!V428="Full day",'_Dates'!V428="AM",'_Dates'!V428="PM"))),"CHECK Full day / AM / PM",IF(AND('_Dates'!J428='_Dates'!T428,'_Dates'!U428&lt;&gt;"Full day",'_Dates'!V428&lt;&gt;"Full day",'_Dates'!U428&lt;&gt;'_Dates'!V428),"CHECK same-day portions disagree",IF(AND($B$6=0,OR(AND('_Dates'!U428&lt;&gt;"Full day",'_Dates'!AA428=0),AND('_Dates'!V428&lt;&gt;"Full day",'_Dates'!AB428=0))),"CHECK half-day on non-working date",IF(COUNTIF(Settings!$G$7:$G$11,D428)&lt;&gt;1,"CHECK leave type",IF(AND(Bookings!G428&lt;&gt;"Approved",Bookings!G428&lt;&gt;"Pending",Bookings!G428&lt;&gt;"Cancelled"),"CHECK status","OK")))))))))),"CHECK input"))</ns0:f>
        <ns0:v/>
      </ns0:c>
      <ns0:c r="G428" s="0">
        <ns0:f>IF(OR(F428&lt;&gt;"OK",$B$6&gt;0),0,0.5*(IF(('_Dates'!X428)&lt;('_Dates'!W428),0,INT((('_Dates'!X428)-('_Dates'!W428)+1)/7)*LEN(SUBSTITUTE(W428,"O",""))+LEN(SUBSTITUTE(MID(W428&amp;W428,WEEKDAY(('_Dates'!W428),2),MOD((('_Dates'!X428)-('_Dates'!W428)+1),7)),"O",""))-COUNTIFS(INDEX(AllClosureRows,C428,0),"&gt;="&amp;('_Dates'!W428),INDEX(AllClosureRows,C428,0),"&lt;="&amp;('_Dates'!X428)))+IF(('_Dates'!Z428)&lt;('_Dates'!Y428),0,INT((('_Dates'!Z428)-('_Dates'!Y428)+1)/7)*LEN(SUBSTITUTE(W428,"O",""))+LEN(SUBSTITUTE(MID(W428&amp;W428,WEEKDAY(('_Dates'!Y428),2),MOD((('_Dates'!Z428)-('_Dates'!Y428)+1),7)),"O",""))-COUNTIFS(INDEX(AllClosureRows,C428,0),"&gt;="&amp;('_Dates'!Y428),INDEX(AllClosureRows,C428,0),"&lt;="&amp;('_Dates'!Z428)))))</ns0:f>
        <ns0:v>0</ns0:v>
      </ns0:c>
      <ns0:c r="H428" s="0">
        <ns0:f>IF(OR(F428&lt;&gt;"OK",$B$6&gt;0),0,0.5*(IF((MIN('_Dates'!X428,Settings!$B$9))&lt;('_Dates'!W428),0,INT(((MIN('_Dates'!X428,Settings!$B$9))-('_Dates'!W428)+1)/7)*LEN(SUBSTITUTE(W428,"O",""))+LEN(SUBSTITUTE(MID(W428&amp;W428,WEEKDAY(('_Dates'!W428),2),MOD(((MIN('_Dates'!X428,Settings!$B$9))-('_Dates'!W428)+1),7)),"O",""))-COUNTIFS(INDEX(AllClosureRows,C428,0),"&gt;="&amp;('_Dates'!W428),INDEX(AllClosureRows,C428,0),"&lt;="&amp;(MIN('_Dates'!X428,Settings!$B$9))))+IF((MIN('_Dates'!Z428,Settings!$B$9))&lt;('_Dates'!Y428),0,INT(((MIN('_Dates'!Z428,Settings!$B$9))-('_Dates'!Y428)+1)/7)*LEN(SUBSTITUTE(W428,"O",""))+LEN(SUBSTITUTE(MID(W428&amp;W428,WEEKDAY(('_Dates'!Y428),2),MOD(((MIN('_Dates'!Z428,Settings!$B$9))-('_Dates'!Y428)+1),7)),"O",""))-COUNTIFS(INDEX(AllClosureRows,C428,0),"&gt;="&amp;('_Dates'!Y428),INDEX(AllClosureRows,C428,0),"&lt;="&amp;(MIN('_Dates'!Z428,Settings!$B$9))))))</ns0:f>
        <ns0:v>0</ns0:v>
      </ns0:c>
      <ns0:c r="I428" s="0">
        <ns0:f>MAX(0,G428-H428)</ns0:f>
        <ns0:v>0</ns0:v>
      </ns0:c>
      <ns0:c r="J428" s="0">
        <ns0:f>IF(OR(A428=0,F428&lt;&gt;"OK",Bookings!G428="Cancelled",$B$6&gt;0),0,IF('_Dates'!AC428=1,MAX(0,COUNTIFS(rngEngine_B,B428,rngAMStart,"&lt;="&amp;'_Dates'!X428,rngAMEnd,"&gt;="&amp;'_Dates'!W428,rngAMActive,1,rngEngine_F,"OK",rngBookings_F,"&lt;&gt;Cancelled")-1),0)+IF('_Dates'!AD428=1,MAX(0,COUNTIFS(rngEngine_B,B428,rngPMStart,"&lt;="&amp;'_Dates'!Z428,rngPMEnd,"&gt;="&amp;'_Dates'!Y428,rngPMActive,1,rngEngine_F,"OK",rngBookings_F,"&lt;&gt;Cancelled")-1),0))</ns0:f>
        <ns0:v>0</ns0:v>
      </ns0:c>
      <ns0:c r="K428" s="0" t="str">
        <ns0:f>IF(A428=0,"",IF(F428&lt;&gt;"OK",F428,IF(J428&gt;0,"CHECK overlapping entry",IF(AND($B$6=0,G428&lt;=0,Bookings!G428&lt;&gt;"Cancelled"),"CHECK no working days",IF(Bookings!G428="Cancelled","Cancelled","OK")))))</ns0:f>
        <ns0:v/>
      </ns0:c>
      <ns0:c r="L428" s="0">
        <ns0:f>IF(LEFT(K428,5)="CHECK",1,0)</ns0:f>
        <ns0:v>0</ns0:v>
      </ns0:c>
      <ns0:c r="M428" s="0">
        <ns0:f>IF(AND(L428=1,OR(C428=0,IFERROR(INDEX($X$11:$X$60,C428),0)=0)),1,0)</ns0:f>
        <ns0:v>0</ns0:v>
      </ns0:c>
      <ns0:c r="N428" s="0">
        <ns0:f>IF(OR(A428=0,L428&gt;0,$B$6&gt;0,Bookings!G428="Cancelled"),0,G428)</ns0:f>
        <ns0:v>0</ns0:v>
      </ns0:c>
      <ns0:c r="O428" s="0">
        <ns0:f>IF(AND(Bookings!G428="Approved",E428="Yes"),N428,0)</ns0:f>
        <ns0:v>0</ns0:v>
      </ns0:c>
      <ns0:c r="P428" s="0">
        <ns0:f>IF(AND(Bookings!G428="Approved",E428="Yes",L428=0,$B$6=0),H428,0)</ns0:f>
        <ns0:v>0</ns0:v>
      </ns0:c>
      <ns0:c r="Q428" s="0">
        <ns0:f>IF(AND(Bookings!G428="Approved",E428="Yes",L428=0,$B$6=0),I428,0)</ns0:f>
        <ns0:v>0</ns0:v>
      </ns0:c>
      <ns0:c r="R428" s="0">
        <ns0:f>IF(AND(Bookings!G428="Pending",E428="Yes"),N428,0)</ns0:f>
        <ns0:v>0</ns0:v>
      </ns0:c>
      <ns0:c r="S428" s="0">
        <ns0:f>IF(AND(Bookings!G428="Approved",E428="No"),N428,0)</ns0:f>
        <ns0:v>0</ns0:v>
      </ns0:c>
      <ns0:c r="T428" s="0">
        <ns0:f>IFERROR(MATCH(D428,Settings!$G$7:$G$11,0),0)</ns0:f>
        <ns0:v>0</ns0:v>
      </ns0:c>
      <ns0:c r="U428" s="0">
        <ns0:f>IF(N428&gt;0,T428+IF(Bookings!G428="Pending",10,0),0)</ns0:f>
        <ns0:v>0</ns0:v>
      </ns0:c>
      <ns0:c r="V428" s="0">
        <ns0:f>U428</ns0:f>
        <ns0:v>0</ns0:v>
      </ns0:c>
      <ns0:c r="W428" s="0" t="str">
        <ns0:f>IF(C428=0,"",INDEX($AP$11:$AP$60,C428))</ns0:f>
        <ns0:v/>
      </ns0:c>
    </ns0:row>
    <ns0:row r="429">
      <ns0:c r="A429" s="0">
        <ns0:f>IF(COUNTA(Bookings!A429:G429,Bookings!I429)=0,0,1)</ns0:f>
        <ns0:v>0</ns0:v>
      </ns0:c>
      <ns0:c r="B429" s="0" t="str">
        <ns0:f>IFERROR(TRIM(MID(Bookings!A429,FIND(" · ",Bookings!A429)+3,99)),"")</ns0:f>
        <ns0:v/>
      </ns0:c>
      <ns0:c r="C429" s="0">
        <ns0:f>IF(OR(B429="",LEN(B429)&gt;24,ISNUMBER(FIND(" ",B429)),ISNUMBER(FIND("*",B429)),ISNUMBER(FIND("?",B429)),ISNUMBER(FIND("~",B429))),0,IFERROR(MATCH(B429,Team!$A$11:$A$60,0),0))</ns0:f>
        <ns0:v>0</ns0:v>
      </ns0:c>
      <ns0:c r="D429" s="0" t="str">
        <ns0:f>IFERROR(IF(MID(Bookings!F429,LEN(Bookings!F429)-3,3)=" · ",RIGHT(Bookings!F429,1),""),"")</ns0:f>
        <ns0:v/>
      </ns0:c>
      <ns0:c r="E429" s="0" t="str">
        <ns0:f>IFERROR(INDEX(Settings!$H$7:$H$11,MATCH(D429,Settings!$G$7:$G$11,0)),"")</ns0:f>
        <ns0:v/>
      </ns0:c>
      <ns0:c r="F429" s="0" t="str">
        <ns0:f>IF(A429=0,"",IFERROR(IF(OR(B429="",C429=0),"CHECK employee selection",IF(INDEX(Team!$O$11:$O$60,C429)&lt;&gt;"OK","CHECK employee setup",IF(OR('_Dates'!J429=0,'_Dates'!T429=0),"CHECK date: use DD.MM.YYYY",IF('_Dates'!T429&lt;'_Dates'!J429,"CHECK end before start",IF(AND($B$6=0,OR('_Dates'!J429&lt;Settings!$B$7,'_Dates'!T429&gt;Settings!$B$8)),"CHECK split across leave years",IF(OR(NOT(OR('_Dates'!U429="Full day",'_Dates'!U429="AM",'_Dates'!U429="PM")),NOT(OR('_Dates'!V429="Full day",'_Dates'!V429="AM",'_Dates'!V429="PM"))),"CHECK Full day / AM / PM",IF(AND('_Dates'!J429='_Dates'!T429,'_Dates'!U429&lt;&gt;"Full day",'_Dates'!V429&lt;&gt;"Full day",'_Dates'!U429&lt;&gt;'_Dates'!V429),"CHECK same-day portions disagree",IF(AND($B$6=0,OR(AND('_Dates'!U429&lt;&gt;"Full day",'_Dates'!AA429=0),AND('_Dates'!V429&lt;&gt;"Full day",'_Dates'!AB429=0))),"CHECK half-day on non-working date",IF(COUNTIF(Settings!$G$7:$G$11,D429)&lt;&gt;1,"CHECK leave type",IF(AND(Bookings!G429&lt;&gt;"Approved",Bookings!G429&lt;&gt;"Pending",Bookings!G429&lt;&gt;"Cancelled"),"CHECK status","OK")))))))))),"CHECK input"))</ns0:f>
        <ns0:v/>
      </ns0:c>
      <ns0:c r="G429" s="0">
        <ns0:f>IF(OR(F429&lt;&gt;"OK",$B$6&gt;0),0,0.5*(IF(('_Dates'!X429)&lt;('_Dates'!W429),0,INT((('_Dates'!X429)-('_Dates'!W429)+1)/7)*LEN(SUBSTITUTE(W429,"O",""))+LEN(SUBSTITUTE(MID(W429&amp;W429,WEEKDAY(('_Dates'!W429),2),MOD((('_Dates'!X429)-('_Dates'!W429)+1),7)),"O",""))-COUNTIFS(INDEX(AllClosureRows,C429,0),"&gt;="&amp;('_Dates'!W429),INDEX(AllClosureRows,C429,0),"&lt;="&amp;('_Dates'!X429)))+IF(('_Dates'!Z429)&lt;('_Dates'!Y429),0,INT((('_Dates'!Z429)-('_Dates'!Y429)+1)/7)*LEN(SUBSTITUTE(W429,"O",""))+LEN(SUBSTITUTE(MID(W429&amp;W429,WEEKDAY(('_Dates'!Y429),2),MOD((('_Dates'!Z429)-('_Dates'!Y429)+1),7)),"O",""))-COUNTIFS(INDEX(AllClosureRows,C429,0),"&gt;="&amp;('_Dates'!Y429),INDEX(AllClosureRows,C429,0),"&lt;="&amp;('_Dates'!Z429)))))</ns0:f>
        <ns0:v>0</ns0:v>
      </ns0:c>
      <ns0:c r="H429" s="0">
        <ns0:f>IF(OR(F429&lt;&gt;"OK",$B$6&gt;0),0,0.5*(IF((MIN('_Dates'!X429,Settings!$B$9))&lt;('_Dates'!W429),0,INT(((MIN('_Dates'!X429,Settings!$B$9))-('_Dates'!W429)+1)/7)*LEN(SUBSTITUTE(W429,"O",""))+LEN(SUBSTITUTE(MID(W429&amp;W429,WEEKDAY(('_Dates'!W429),2),MOD(((MIN('_Dates'!X429,Settings!$B$9))-('_Dates'!W429)+1),7)),"O",""))-COUNTIFS(INDEX(AllClosureRows,C429,0),"&gt;="&amp;('_Dates'!W429),INDEX(AllClosureRows,C429,0),"&lt;="&amp;(MIN('_Dates'!X429,Settings!$B$9))))+IF((MIN('_Dates'!Z429,Settings!$B$9))&lt;('_Dates'!Y429),0,INT(((MIN('_Dates'!Z429,Settings!$B$9))-('_Dates'!Y429)+1)/7)*LEN(SUBSTITUTE(W429,"O",""))+LEN(SUBSTITUTE(MID(W429&amp;W429,WEEKDAY(('_Dates'!Y429),2),MOD(((MIN('_Dates'!Z429,Settings!$B$9))-('_Dates'!Y429)+1),7)),"O",""))-COUNTIFS(INDEX(AllClosureRows,C429,0),"&gt;="&amp;('_Dates'!Y429),INDEX(AllClosureRows,C429,0),"&lt;="&amp;(MIN('_Dates'!Z429,Settings!$B$9))))))</ns0:f>
        <ns0:v>0</ns0:v>
      </ns0:c>
      <ns0:c r="I429" s="0">
        <ns0:f>MAX(0,G429-H429)</ns0:f>
        <ns0:v>0</ns0:v>
      </ns0:c>
      <ns0:c r="J429" s="0">
        <ns0:f>IF(OR(A429=0,F429&lt;&gt;"OK",Bookings!G429="Cancelled",$B$6&gt;0),0,IF('_Dates'!AC429=1,MAX(0,COUNTIFS(rngEngine_B,B429,rngAMStart,"&lt;="&amp;'_Dates'!X429,rngAMEnd,"&gt;="&amp;'_Dates'!W429,rngAMActive,1,rngEngine_F,"OK",rngBookings_F,"&lt;&gt;Cancelled")-1),0)+IF('_Dates'!AD429=1,MAX(0,COUNTIFS(rngEngine_B,B429,rngPMStart,"&lt;="&amp;'_Dates'!Z429,rngPMEnd,"&gt;="&amp;'_Dates'!Y429,rngPMActive,1,rngEngine_F,"OK",rngBookings_F,"&lt;&gt;Cancelled")-1),0))</ns0:f>
        <ns0:v>0</ns0:v>
      </ns0:c>
      <ns0:c r="K429" s="0" t="str">
        <ns0:f>IF(A429=0,"",IF(F429&lt;&gt;"OK",F429,IF(J429&gt;0,"CHECK overlapping entry",IF(AND($B$6=0,G429&lt;=0,Bookings!G429&lt;&gt;"Cancelled"),"CHECK no working days",IF(Bookings!G429="Cancelled","Cancelled","OK")))))</ns0:f>
        <ns0:v/>
      </ns0:c>
      <ns0:c r="L429" s="0">
        <ns0:f>IF(LEFT(K429,5)="CHECK",1,0)</ns0:f>
        <ns0:v>0</ns0:v>
      </ns0:c>
      <ns0:c r="M429" s="0">
        <ns0:f>IF(AND(L429=1,OR(C429=0,IFERROR(INDEX($X$11:$X$60,C429),0)=0)),1,0)</ns0:f>
        <ns0:v>0</ns0:v>
      </ns0:c>
      <ns0:c r="N429" s="0">
        <ns0:f>IF(OR(A429=0,L429&gt;0,$B$6&gt;0,Bookings!G429="Cancelled"),0,G429)</ns0:f>
        <ns0:v>0</ns0:v>
      </ns0:c>
      <ns0:c r="O429" s="0">
        <ns0:f>IF(AND(Bookings!G429="Approved",E429="Yes"),N429,0)</ns0:f>
        <ns0:v>0</ns0:v>
      </ns0:c>
      <ns0:c r="P429" s="0">
        <ns0:f>IF(AND(Bookings!G429="Approved",E429="Yes",L429=0,$B$6=0),H429,0)</ns0:f>
        <ns0:v>0</ns0:v>
      </ns0:c>
      <ns0:c r="Q429" s="0">
        <ns0:f>IF(AND(Bookings!G429="Approved",E429="Yes",L429=0,$B$6=0),I429,0)</ns0:f>
        <ns0:v>0</ns0:v>
      </ns0:c>
      <ns0:c r="R429" s="0">
        <ns0:f>IF(AND(Bookings!G429="Pending",E429="Yes"),N429,0)</ns0:f>
        <ns0:v>0</ns0:v>
      </ns0:c>
      <ns0:c r="S429" s="0">
        <ns0:f>IF(AND(Bookings!G429="Approved",E429="No"),N429,0)</ns0:f>
        <ns0:v>0</ns0:v>
      </ns0:c>
      <ns0:c r="T429" s="0">
        <ns0:f>IFERROR(MATCH(D429,Settings!$G$7:$G$11,0),0)</ns0:f>
        <ns0:v>0</ns0:v>
      </ns0:c>
      <ns0:c r="U429" s="0">
        <ns0:f>IF(N429&gt;0,T429+IF(Bookings!G429="Pending",10,0),0)</ns0:f>
        <ns0:v>0</ns0:v>
      </ns0:c>
      <ns0:c r="V429" s="0">
        <ns0:f>U429</ns0:f>
        <ns0:v>0</ns0:v>
      </ns0:c>
      <ns0:c r="W429" s="0" t="str">
        <ns0:f>IF(C429=0,"",INDEX($AP$11:$AP$60,C429))</ns0:f>
        <ns0:v/>
      </ns0:c>
    </ns0:row>
    <ns0:row r="430">
      <ns0:c r="A430" s="0">
        <ns0:f>IF(COUNTA(Bookings!A430:G430,Bookings!I430)=0,0,1)</ns0:f>
        <ns0:v>0</ns0:v>
      </ns0:c>
      <ns0:c r="B430" s="0" t="str">
        <ns0:f>IFERROR(TRIM(MID(Bookings!A430,FIND(" · ",Bookings!A430)+3,99)),"")</ns0:f>
        <ns0:v/>
      </ns0:c>
      <ns0:c r="C430" s="0">
        <ns0:f>IF(OR(B430="",LEN(B430)&gt;24,ISNUMBER(FIND(" ",B430)),ISNUMBER(FIND("*",B430)),ISNUMBER(FIND("?",B430)),ISNUMBER(FIND("~",B430))),0,IFERROR(MATCH(B430,Team!$A$11:$A$60,0),0))</ns0:f>
        <ns0:v>0</ns0:v>
      </ns0:c>
      <ns0:c r="D430" s="0" t="str">
        <ns0:f>IFERROR(IF(MID(Bookings!F430,LEN(Bookings!F430)-3,3)=" · ",RIGHT(Bookings!F430,1),""),"")</ns0:f>
        <ns0:v/>
      </ns0:c>
      <ns0:c r="E430" s="0" t="str">
        <ns0:f>IFERROR(INDEX(Settings!$H$7:$H$11,MATCH(D430,Settings!$G$7:$G$11,0)),"")</ns0:f>
        <ns0:v/>
      </ns0:c>
      <ns0:c r="F430" s="0" t="str">
        <ns0:f>IF(A430=0,"",IFERROR(IF(OR(B430="",C430=0),"CHECK employee selection",IF(INDEX(Team!$O$11:$O$60,C430)&lt;&gt;"OK","CHECK employee setup",IF(OR('_Dates'!J430=0,'_Dates'!T430=0),"CHECK date: use DD.MM.YYYY",IF('_Dates'!T430&lt;'_Dates'!J430,"CHECK end before start",IF(AND($B$6=0,OR('_Dates'!J430&lt;Settings!$B$7,'_Dates'!T430&gt;Settings!$B$8)),"CHECK split across leave years",IF(OR(NOT(OR('_Dates'!U430="Full day",'_Dates'!U430="AM",'_Dates'!U430="PM")),NOT(OR('_Dates'!V430="Full day",'_Dates'!V430="AM",'_Dates'!V430="PM"))),"CHECK Full day / AM / PM",IF(AND('_Dates'!J430='_Dates'!T430,'_Dates'!U430&lt;&gt;"Full day",'_Dates'!V430&lt;&gt;"Full day",'_Dates'!U430&lt;&gt;'_Dates'!V430),"CHECK same-day portions disagree",IF(AND($B$6=0,OR(AND('_Dates'!U430&lt;&gt;"Full day",'_Dates'!AA430=0),AND('_Dates'!V430&lt;&gt;"Full day",'_Dates'!AB430=0))),"CHECK half-day on non-working date",IF(COUNTIF(Settings!$G$7:$G$11,D430)&lt;&gt;1,"CHECK leave type",IF(AND(Bookings!G430&lt;&gt;"Approved",Bookings!G430&lt;&gt;"Pending",Bookings!G430&lt;&gt;"Cancelled"),"CHECK status","OK")))))))))),"CHECK input"))</ns0:f>
        <ns0:v/>
      </ns0:c>
      <ns0:c r="G430" s="0">
        <ns0:f>IF(OR(F430&lt;&gt;"OK",$B$6&gt;0),0,0.5*(IF(('_Dates'!X430)&lt;('_Dates'!W430),0,INT((('_Dates'!X430)-('_Dates'!W430)+1)/7)*LEN(SUBSTITUTE(W430,"O",""))+LEN(SUBSTITUTE(MID(W430&amp;W430,WEEKDAY(('_Dates'!W430),2),MOD((('_Dates'!X430)-('_Dates'!W430)+1),7)),"O",""))-COUNTIFS(INDEX(AllClosureRows,C430,0),"&gt;="&amp;('_Dates'!W430),INDEX(AllClosureRows,C430,0),"&lt;="&amp;('_Dates'!X430)))+IF(('_Dates'!Z430)&lt;('_Dates'!Y430),0,INT((('_Dates'!Z430)-('_Dates'!Y430)+1)/7)*LEN(SUBSTITUTE(W430,"O",""))+LEN(SUBSTITUTE(MID(W430&amp;W430,WEEKDAY(('_Dates'!Y430),2),MOD((('_Dates'!Z430)-('_Dates'!Y430)+1),7)),"O",""))-COUNTIFS(INDEX(AllClosureRows,C430,0),"&gt;="&amp;('_Dates'!Y430),INDEX(AllClosureRows,C430,0),"&lt;="&amp;('_Dates'!Z430)))))</ns0:f>
        <ns0:v>0</ns0:v>
      </ns0:c>
      <ns0:c r="H430" s="0">
        <ns0:f>IF(OR(F430&lt;&gt;"OK",$B$6&gt;0),0,0.5*(IF((MIN('_Dates'!X430,Settings!$B$9))&lt;('_Dates'!W430),0,INT(((MIN('_Dates'!X430,Settings!$B$9))-('_Dates'!W430)+1)/7)*LEN(SUBSTITUTE(W430,"O",""))+LEN(SUBSTITUTE(MID(W430&amp;W430,WEEKDAY(('_Dates'!W430),2),MOD(((MIN('_Dates'!X430,Settings!$B$9))-('_Dates'!W430)+1),7)),"O",""))-COUNTIFS(INDEX(AllClosureRows,C430,0),"&gt;="&amp;('_Dates'!W430),INDEX(AllClosureRows,C430,0),"&lt;="&amp;(MIN('_Dates'!X430,Settings!$B$9))))+IF((MIN('_Dates'!Z430,Settings!$B$9))&lt;('_Dates'!Y430),0,INT(((MIN('_Dates'!Z430,Settings!$B$9))-('_Dates'!Y430)+1)/7)*LEN(SUBSTITUTE(W430,"O",""))+LEN(SUBSTITUTE(MID(W430&amp;W430,WEEKDAY(('_Dates'!Y430),2),MOD(((MIN('_Dates'!Z430,Settings!$B$9))-('_Dates'!Y430)+1),7)),"O",""))-COUNTIFS(INDEX(AllClosureRows,C430,0),"&gt;="&amp;('_Dates'!Y430),INDEX(AllClosureRows,C430,0),"&lt;="&amp;(MIN('_Dates'!Z430,Settings!$B$9))))))</ns0:f>
        <ns0:v>0</ns0:v>
      </ns0:c>
      <ns0:c r="I430" s="0">
        <ns0:f>MAX(0,G430-H430)</ns0:f>
        <ns0:v>0</ns0:v>
      </ns0:c>
      <ns0:c r="J430" s="0">
        <ns0:f>IF(OR(A430=0,F430&lt;&gt;"OK",Bookings!G430="Cancelled",$B$6&gt;0),0,IF('_Dates'!AC430=1,MAX(0,COUNTIFS(rngEngine_B,B430,rngAMStart,"&lt;="&amp;'_Dates'!X430,rngAMEnd,"&gt;="&amp;'_Dates'!W430,rngAMActive,1,rngEngine_F,"OK",rngBookings_F,"&lt;&gt;Cancelled")-1),0)+IF('_Dates'!AD430=1,MAX(0,COUNTIFS(rngEngine_B,B430,rngPMStart,"&lt;="&amp;'_Dates'!Z430,rngPMEnd,"&gt;="&amp;'_Dates'!Y430,rngPMActive,1,rngEngine_F,"OK",rngBookings_F,"&lt;&gt;Cancelled")-1),0))</ns0:f>
        <ns0:v>0</ns0:v>
      </ns0:c>
      <ns0:c r="K430" s="0" t="str">
        <ns0:f>IF(A430=0,"",IF(F430&lt;&gt;"OK",F430,IF(J430&gt;0,"CHECK overlapping entry",IF(AND($B$6=0,G430&lt;=0,Bookings!G430&lt;&gt;"Cancelled"),"CHECK no working days",IF(Bookings!G430="Cancelled","Cancelled","OK")))))</ns0:f>
        <ns0:v/>
      </ns0:c>
      <ns0:c r="L430" s="0">
        <ns0:f>IF(LEFT(K430,5)="CHECK",1,0)</ns0:f>
        <ns0:v>0</ns0:v>
      </ns0:c>
      <ns0:c r="M430" s="0">
        <ns0:f>IF(AND(L430=1,OR(C430=0,IFERROR(INDEX($X$11:$X$60,C430),0)=0)),1,0)</ns0:f>
        <ns0:v>0</ns0:v>
      </ns0:c>
      <ns0:c r="N430" s="0">
        <ns0:f>IF(OR(A430=0,L430&gt;0,$B$6&gt;0,Bookings!G430="Cancelled"),0,G430)</ns0:f>
        <ns0:v>0</ns0:v>
      </ns0:c>
      <ns0:c r="O430" s="0">
        <ns0:f>IF(AND(Bookings!G430="Approved",E430="Yes"),N430,0)</ns0:f>
        <ns0:v>0</ns0:v>
      </ns0:c>
      <ns0:c r="P430" s="0">
        <ns0:f>IF(AND(Bookings!G430="Approved",E430="Yes",L430=0,$B$6=0),H430,0)</ns0:f>
        <ns0:v>0</ns0:v>
      </ns0:c>
      <ns0:c r="Q430" s="0">
        <ns0:f>IF(AND(Bookings!G430="Approved",E430="Yes",L430=0,$B$6=0),I430,0)</ns0:f>
        <ns0:v>0</ns0:v>
      </ns0:c>
      <ns0:c r="R430" s="0">
        <ns0:f>IF(AND(Bookings!G430="Pending",E430="Yes"),N430,0)</ns0:f>
        <ns0:v>0</ns0:v>
      </ns0:c>
      <ns0:c r="S430" s="0">
        <ns0:f>IF(AND(Bookings!G430="Approved",E430="No"),N430,0)</ns0:f>
        <ns0:v>0</ns0:v>
      </ns0:c>
      <ns0:c r="T430" s="0">
        <ns0:f>IFERROR(MATCH(D430,Settings!$G$7:$G$11,0),0)</ns0:f>
        <ns0:v>0</ns0:v>
      </ns0:c>
      <ns0:c r="U430" s="0">
        <ns0:f>IF(N430&gt;0,T430+IF(Bookings!G430="Pending",10,0),0)</ns0:f>
        <ns0:v>0</ns0:v>
      </ns0:c>
      <ns0:c r="V430" s="0">
        <ns0:f>U430</ns0:f>
        <ns0:v>0</ns0:v>
      </ns0:c>
      <ns0:c r="W430" s="0" t="str">
        <ns0:f>IF(C430=0,"",INDEX($AP$11:$AP$60,C430))</ns0:f>
        <ns0:v/>
      </ns0:c>
    </ns0:row>
    <ns0:row r="431">
      <ns0:c r="A431" s="0">
        <ns0:f>IF(COUNTA(Bookings!A431:G431,Bookings!I431)=0,0,1)</ns0:f>
        <ns0:v>0</ns0:v>
      </ns0:c>
      <ns0:c r="B431" s="0" t="str">
        <ns0:f>IFERROR(TRIM(MID(Bookings!A431,FIND(" · ",Bookings!A431)+3,99)),"")</ns0:f>
        <ns0:v/>
      </ns0:c>
      <ns0:c r="C431" s="0">
        <ns0:f>IF(OR(B431="",LEN(B431)&gt;24,ISNUMBER(FIND(" ",B431)),ISNUMBER(FIND("*",B431)),ISNUMBER(FIND("?",B431)),ISNUMBER(FIND("~",B431))),0,IFERROR(MATCH(B431,Team!$A$11:$A$60,0),0))</ns0:f>
        <ns0:v>0</ns0:v>
      </ns0:c>
      <ns0:c r="D431" s="0" t="str">
        <ns0:f>IFERROR(IF(MID(Bookings!F431,LEN(Bookings!F431)-3,3)=" · ",RIGHT(Bookings!F431,1),""),"")</ns0:f>
        <ns0:v/>
      </ns0:c>
      <ns0:c r="E431" s="0" t="str">
        <ns0:f>IFERROR(INDEX(Settings!$H$7:$H$11,MATCH(D431,Settings!$G$7:$G$11,0)),"")</ns0:f>
        <ns0:v/>
      </ns0:c>
      <ns0:c r="F431" s="0" t="str">
        <ns0:f>IF(A431=0,"",IFERROR(IF(OR(B431="",C431=0),"CHECK employee selection",IF(INDEX(Team!$O$11:$O$60,C431)&lt;&gt;"OK","CHECK employee setup",IF(OR('_Dates'!J431=0,'_Dates'!T431=0),"CHECK date: use DD.MM.YYYY",IF('_Dates'!T431&lt;'_Dates'!J431,"CHECK end before start",IF(AND($B$6=0,OR('_Dates'!J431&lt;Settings!$B$7,'_Dates'!T431&gt;Settings!$B$8)),"CHECK split across leave years",IF(OR(NOT(OR('_Dates'!U431="Full day",'_Dates'!U431="AM",'_Dates'!U431="PM")),NOT(OR('_Dates'!V431="Full day",'_Dates'!V431="AM",'_Dates'!V431="PM"))),"CHECK Full day / AM / PM",IF(AND('_Dates'!J431='_Dates'!T431,'_Dates'!U431&lt;&gt;"Full day",'_Dates'!V431&lt;&gt;"Full day",'_Dates'!U431&lt;&gt;'_Dates'!V431),"CHECK same-day portions disagree",IF(AND($B$6=0,OR(AND('_Dates'!U431&lt;&gt;"Full day",'_Dates'!AA431=0),AND('_Dates'!V431&lt;&gt;"Full day",'_Dates'!AB431=0))),"CHECK half-day on non-working date",IF(COUNTIF(Settings!$G$7:$G$11,D431)&lt;&gt;1,"CHECK leave type",IF(AND(Bookings!G431&lt;&gt;"Approved",Bookings!G431&lt;&gt;"Pending",Bookings!G431&lt;&gt;"Cancelled"),"CHECK status","OK")))))))))),"CHECK input"))</ns0:f>
        <ns0:v/>
      </ns0:c>
      <ns0:c r="G431" s="0">
        <ns0:f>IF(OR(F431&lt;&gt;"OK",$B$6&gt;0),0,0.5*(IF(('_Dates'!X431)&lt;('_Dates'!W431),0,INT((('_Dates'!X431)-('_Dates'!W431)+1)/7)*LEN(SUBSTITUTE(W431,"O",""))+LEN(SUBSTITUTE(MID(W431&amp;W431,WEEKDAY(('_Dates'!W431),2),MOD((('_Dates'!X431)-('_Dates'!W431)+1),7)),"O",""))-COUNTIFS(INDEX(AllClosureRows,C431,0),"&gt;="&amp;('_Dates'!W431),INDEX(AllClosureRows,C431,0),"&lt;="&amp;('_Dates'!X431)))+IF(('_Dates'!Z431)&lt;('_Dates'!Y431),0,INT((('_Dates'!Z431)-('_Dates'!Y431)+1)/7)*LEN(SUBSTITUTE(W431,"O",""))+LEN(SUBSTITUTE(MID(W431&amp;W431,WEEKDAY(('_Dates'!Y431),2),MOD((('_Dates'!Z431)-('_Dates'!Y431)+1),7)),"O",""))-COUNTIFS(INDEX(AllClosureRows,C431,0),"&gt;="&amp;('_Dates'!Y431),INDEX(AllClosureRows,C431,0),"&lt;="&amp;('_Dates'!Z431)))))</ns0:f>
        <ns0:v>0</ns0:v>
      </ns0:c>
      <ns0:c r="H431" s="0">
        <ns0:f>IF(OR(F431&lt;&gt;"OK",$B$6&gt;0),0,0.5*(IF((MIN('_Dates'!X431,Settings!$B$9))&lt;('_Dates'!W431),0,INT(((MIN('_Dates'!X431,Settings!$B$9))-('_Dates'!W431)+1)/7)*LEN(SUBSTITUTE(W431,"O",""))+LEN(SUBSTITUTE(MID(W431&amp;W431,WEEKDAY(('_Dates'!W431),2),MOD(((MIN('_Dates'!X431,Settings!$B$9))-('_Dates'!W431)+1),7)),"O",""))-COUNTIFS(INDEX(AllClosureRows,C431,0),"&gt;="&amp;('_Dates'!W431),INDEX(AllClosureRows,C431,0),"&lt;="&amp;(MIN('_Dates'!X431,Settings!$B$9))))+IF((MIN('_Dates'!Z431,Settings!$B$9))&lt;('_Dates'!Y431),0,INT(((MIN('_Dates'!Z431,Settings!$B$9))-('_Dates'!Y431)+1)/7)*LEN(SUBSTITUTE(W431,"O",""))+LEN(SUBSTITUTE(MID(W431&amp;W431,WEEKDAY(('_Dates'!Y431),2),MOD(((MIN('_Dates'!Z431,Settings!$B$9))-('_Dates'!Y431)+1),7)),"O",""))-COUNTIFS(INDEX(AllClosureRows,C431,0),"&gt;="&amp;('_Dates'!Y431),INDEX(AllClosureRows,C431,0),"&lt;="&amp;(MIN('_Dates'!Z431,Settings!$B$9))))))</ns0:f>
        <ns0:v>0</ns0:v>
      </ns0:c>
      <ns0:c r="I431" s="0">
        <ns0:f>MAX(0,G431-H431)</ns0:f>
        <ns0:v>0</ns0:v>
      </ns0:c>
      <ns0:c r="J431" s="0">
        <ns0:f>IF(OR(A431=0,F431&lt;&gt;"OK",Bookings!G431="Cancelled",$B$6&gt;0),0,IF('_Dates'!AC431=1,MAX(0,COUNTIFS(rngEngine_B,B431,rngAMStart,"&lt;="&amp;'_Dates'!X431,rngAMEnd,"&gt;="&amp;'_Dates'!W431,rngAMActive,1,rngEngine_F,"OK",rngBookings_F,"&lt;&gt;Cancelled")-1),0)+IF('_Dates'!AD431=1,MAX(0,COUNTIFS(rngEngine_B,B431,rngPMStart,"&lt;="&amp;'_Dates'!Z431,rngPMEnd,"&gt;="&amp;'_Dates'!Y431,rngPMActive,1,rngEngine_F,"OK",rngBookings_F,"&lt;&gt;Cancelled")-1),0))</ns0:f>
        <ns0:v>0</ns0:v>
      </ns0:c>
      <ns0:c r="K431" s="0" t="str">
        <ns0:f>IF(A431=0,"",IF(F431&lt;&gt;"OK",F431,IF(J431&gt;0,"CHECK overlapping entry",IF(AND($B$6=0,G431&lt;=0,Bookings!G431&lt;&gt;"Cancelled"),"CHECK no working days",IF(Bookings!G431="Cancelled","Cancelled","OK")))))</ns0:f>
        <ns0:v/>
      </ns0:c>
      <ns0:c r="L431" s="0">
        <ns0:f>IF(LEFT(K431,5)="CHECK",1,0)</ns0:f>
        <ns0:v>0</ns0:v>
      </ns0:c>
      <ns0:c r="M431" s="0">
        <ns0:f>IF(AND(L431=1,OR(C431=0,IFERROR(INDEX($X$11:$X$60,C431),0)=0)),1,0)</ns0:f>
        <ns0:v>0</ns0:v>
      </ns0:c>
      <ns0:c r="N431" s="0">
        <ns0:f>IF(OR(A431=0,L431&gt;0,$B$6&gt;0,Bookings!G431="Cancelled"),0,G431)</ns0:f>
        <ns0:v>0</ns0:v>
      </ns0:c>
      <ns0:c r="O431" s="0">
        <ns0:f>IF(AND(Bookings!G431="Approved",E431="Yes"),N431,0)</ns0:f>
        <ns0:v>0</ns0:v>
      </ns0:c>
      <ns0:c r="P431" s="0">
        <ns0:f>IF(AND(Bookings!G431="Approved",E431="Yes",L431=0,$B$6=0),H431,0)</ns0:f>
        <ns0:v>0</ns0:v>
      </ns0:c>
      <ns0:c r="Q431" s="0">
        <ns0:f>IF(AND(Bookings!G431="Approved",E431="Yes",L431=0,$B$6=0),I431,0)</ns0:f>
        <ns0:v>0</ns0:v>
      </ns0:c>
      <ns0:c r="R431" s="0">
        <ns0:f>IF(AND(Bookings!G431="Pending",E431="Yes"),N431,0)</ns0:f>
        <ns0:v>0</ns0:v>
      </ns0:c>
      <ns0:c r="S431" s="0">
        <ns0:f>IF(AND(Bookings!G431="Approved",E431="No"),N431,0)</ns0:f>
        <ns0:v>0</ns0:v>
      </ns0:c>
      <ns0:c r="T431" s="0">
        <ns0:f>IFERROR(MATCH(D431,Settings!$G$7:$G$11,0),0)</ns0:f>
        <ns0:v>0</ns0:v>
      </ns0:c>
      <ns0:c r="U431" s="0">
        <ns0:f>IF(N431&gt;0,T431+IF(Bookings!G431="Pending",10,0),0)</ns0:f>
        <ns0:v>0</ns0:v>
      </ns0:c>
      <ns0:c r="V431" s="0">
        <ns0:f>U431</ns0:f>
        <ns0:v>0</ns0:v>
      </ns0:c>
      <ns0:c r="W431" s="0" t="str">
        <ns0:f>IF(C431=0,"",INDEX($AP$11:$AP$60,C431))</ns0:f>
        <ns0:v/>
      </ns0:c>
    </ns0:row>
    <ns0:row r="432">
      <ns0:c r="A432" s="0">
        <ns0:f>IF(COUNTA(Bookings!A432:G432,Bookings!I432)=0,0,1)</ns0:f>
        <ns0:v>0</ns0:v>
      </ns0:c>
      <ns0:c r="B432" s="0" t="str">
        <ns0:f>IFERROR(TRIM(MID(Bookings!A432,FIND(" · ",Bookings!A432)+3,99)),"")</ns0:f>
        <ns0:v/>
      </ns0:c>
      <ns0:c r="C432" s="0">
        <ns0:f>IF(OR(B432="",LEN(B432)&gt;24,ISNUMBER(FIND(" ",B432)),ISNUMBER(FIND("*",B432)),ISNUMBER(FIND("?",B432)),ISNUMBER(FIND("~",B432))),0,IFERROR(MATCH(B432,Team!$A$11:$A$60,0),0))</ns0:f>
        <ns0:v>0</ns0:v>
      </ns0:c>
      <ns0:c r="D432" s="0" t="str">
        <ns0:f>IFERROR(IF(MID(Bookings!F432,LEN(Bookings!F432)-3,3)=" · ",RIGHT(Bookings!F432,1),""),"")</ns0:f>
        <ns0:v/>
      </ns0:c>
      <ns0:c r="E432" s="0" t="str">
        <ns0:f>IFERROR(INDEX(Settings!$H$7:$H$11,MATCH(D432,Settings!$G$7:$G$11,0)),"")</ns0:f>
        <ns0:v/>
      </ns0:c>
      <ns0:c r="F432" s="0" t="str">
        <ns0:f>IF(A432=0,"",IFERROR(IF(OR(B432="",C432=0),"CHECK employee selection",IF(INDEX(Team!$O$11:$O$60,C432)&lt;&gt;"OK","CHECK employee setup",IF(OR('_Dates'!J432=0,'_Dates'!T432=0),"CHECK date: use DD.MM.YYYY",IF('_Dates'!T432&lt;'_Dates'!J432,"CHECK end before start",IF(AND($B$6=0,OR('_Dates'!J432&lt;Settings!$B$7,'_Dates'!T432&gt;Settings!$B$8)),"CHECK split across leave years",IF(OR(NOT(OR('_Dates'!U432="Full day",'_Dates'!U432="AM",'_Dates'!U432="PM")),NOT(OR('_Dates'!V432="Full day",'_Dates'!V432="AM",'_Dates'!V432="PM"))),"CHECK Full day / AM / PM",IF(AND('_Dates'!J432='_Dates'!T432,'_Dates'!U432&lt;&gt;"Full day",'_Dates'!V432&lt;&gt;"Full day",'_Dates'!U432&lt;&gt;'_Dates'!V432),"CHECK same-day portions disagree",IF(AND($B$6=0,OR(AND('_Dates'!U432&lt;&gt;"Full day",'_Dates'!AA432=0),AND('_Dates'!V432&lt;&gt;"Full day",'_Dates'!AB432=0))),"CHECK half-day on non-working date",IF(COUNTIF(Settings!$G$7:$G$11,D432)&lt;&gt;1,"CHECK leave type",IF(AND(Bookings!G432&lt;&gt;"Approved",Bookings!G432&lt;&gt;"Pending",Bookings!G432&lt;&gt;"Cancelled"),"CHECK status","OK")))))))))),"CHECK input"))</ns0:f>
        <ns0:v/>
      </ns0:c>
      <ns0:c r="G432" s="0">
        <ns0:f>IF(OR(F432&lt;&gt;"OK",$B$6&gt;0),0,0.5*(IF(('_Dates'!X432)&lt;('_Dates'!W432),0,INT((('_Dates'!X432)-('_Dates'!W432)+1)/7)*LEN(SUBSTITUTE(W432,"O",""))+LEN(SUBSTITUTE(MID(W432&amp;W432,WEEKDAY(('_Dates'!W432),2),MOD((('_Dates'!X432)-('_Dates'!W432)+1),7)),"O",""))-COUNTIFS(INDEX(AllClosureRows,C432,0),"&gt;="&amp;('_Dates'!W432),INDEX(AllClosureRows,C432,0),"&lt;="&amp;('_Dates'!X432)))+IF(('_Dates'!Z432)&lt;('_Dates'!Y432),0,INT((('_Dates'!Z432)-('_Dates'!Y432)+1)/7)*LEN(SUBSTITUTE(W432,"O",""))+LEN(SUBSTITUTE(MID(W432&amp;W432,WEEKDAY(('_Dates'!Y432),2),MOD((('_Dates'!Z432)-('_Dates'!Y432)+1),7)),"O",""))-COUNTIFS(INDEX(AllClosureRows,C432,0),"&gt;="&amp;('_Dates'!Y432),INDEX(AllClosureRows,C432,0),"&lt;="&amp;('_Dates'!Z432)))))</ns0:f>
        <ns0:v>0</ns0:v>
      </ns0:c>
      <ns0:c r="H432" s="0">
        <ns0:f>IF(OR(F432&lt;&gt;"OK",$B$6&gt;0),0,0.5*(IF((MIN('_Dates'!X432,Settings!$B$9))&lt;('_Dates'!W432),0,INT(((MIN('_Dates'!X432,Settings!$B$9))-('_Dates'!W432)+1)/7)*LEN(SUBSTITUTE(W432,"O",""))+LEN(SUBSTITUTE(MID(W432&amp;W432,WEEKDAY(('_Dates'!W432),2),MOD(((MIN('_Dates'!X432,Settings!$B$9))-('_Dates'!W432)+1),7)),"O",""))-COUNTIFS(INDEX(AllClosureRows,C432,0),"&gt;="&amp;('_Dates'!W432),INDEX(AllClosureRows,C432,0),"&lt;="&amp;(MIN('_Dates'!X432,Settings!$B$9))))+IF((MIN('_Dates'!Z432,Settings!$B$9))&lt;('_Dates'!Y432),0,INT(((MIN('_Dates'!Z432,Settings!$B$9))-('_Dates'!Y432)+1)/7)*LEN(SUBSTITUTE(W432,"O",""))+LEN(SUBSTITUTE(MID(W432&amp;W432,WEEKDAY(('_Dates'!Y432),2),MOD(((MIN('_Dates'!Z432,Settings!$B$9))-('_Dates'!Y432)+1),7)),"O",""))-COUNTIFS(INDEX(AllClosureRows,C432,0),"&gt;="&amp;('_Dates'!Y432),INDEX(AllClosureRows,C432,0),"&lt;="&amp;(MIN('_Dates'!Z432,Settings!$B$9))))))</ns0:f>
        <ns0:v>0</ns0:v>
      </ns0:c>
      <ns0:c r="I432" s="0">
        <ns0:f>MAX(0,G432-H432)</ns0:f>
        <ns0:v>0</ns0:v>
      </ns0:c>
      <ns0:c r="J432" s="0">
        <ns0:f>IF(OR(A432=0,F432&lt;&gt;"OK",Bookings!G432="Cancelled",$B$6&gt;0),0,IF('_Dates'!AC432=1,MAX(0,COUNTIFS(rngEngine_B,B432,rngAMStart,"&lt;="&amp;'_Dates'!X432,rngAMEnd,"&gt;="&amp;'_Dates'!W432,rngAMActive,1,rngEngine_F,"OK",rngBookings_F,"&lt;&gt;Cancelled")-1),0)+IF('_Dates'!AD432=1,MAX(0,COUNTIFS(rngEngine_B,B432,rngPMStart,"&lt;="&amp;'_Dates'!Z432,rngPMEnd,"&gt;="&amp;'_Dates'!Y432,rngPMActive,1,rngEngine_F,"OK",rngBookings_F,"&lt;&gt;Cancelled")-1),0))</ns0:f>
        <ns0:v>0</ns0:v>
      </ns0:c>
      <ns0:c r="K432" s="0" t="str">
        <ns0:f>IF(A432=0,"",IF(F432&lt;&gt;"OK",F432,IF(J432&gt;0,"CHECK overlapping entry",IF(AND($B$6=0,G432&lt;=0,Bookings!G432&lt;&gt;"Cancelled"),"CHECK no working days",IF(Bookings!G432="Cancelled","Cancelled","OK")))))</ns0:f>
        <ns0:v/>
      </ns0:c>
      <ns0:c r="L432" s="0">
        <ns0:f>IF(LEFT(K432,5)="CHECK",1,0)</ns0:f>
        <ns0:v>0</ns0:v>
      </ns0:c>
      <ns0:c r="M432" s="0">
        <ns0:f>IF(AND(L432=1,OR(C432=0,IFERROR(INDEX($X$11:$X$60,C432),0)=0)),1,0)</ns0:f>
        <ns0:v>0</ns0:v>
      </ns0:c>
      <ns0:c r="N432" s="0">
        <ns0:f>IF(OR(A432=0,L432&gt;0,$B$6&gt;0,Bookings!G432="Cancelled"),0,G432)</ns0:f>
        <ns0:v>0</ns0:v>
      </ns0:c>
      <ns0:c r="O432" s="0">
        <ns0:f>IF(AND(Bookings!G432="Approved",E432="Yes"),N432,0)</ns0:f>
        <ns0:v>0</ns0:v>
      </ns0:c>
      <ns0:c r="P432" s="0">
        <ns0:f>IF(AND(Bookings!G432="Approved",E432="Yes",L432=0,$B$6=0),H432,0)</ns0:f>
        <ns0:v>0</ns0:v>
      </ns0:c>
      <ns0:c r="Q432" s="0">
        <ns0:f>IF(AND(Bookings!G432="Approved",E432="Yes",L432=0,$B$6=0),I432,0)</ns0:f>
        <ns0:v>0</ns0:v>
      </ns0:c>
      <ns0:c r="R432" s="0">
        <ns0:f>IF(AND(Bookings!G432="Pending",E432="Yes"),N432,0)</ns0:f>
        <ns0:v>0</ns0:v>
      </ns0:c>
      <ns0:c r="S432" s="0">
        <ns0:f>IF(AND(Bookings!G432="Approved",E432="No"),N432,0)</ns0:f>
        <ns0:v>0</ns0:v>
      </ns0:c>
      <ns0:c r="T432" s="0">
        <ns0:f>IFERROR(MATCH(D432,Settings!$G$7:$G$11,0),0)</ns0:f>
        <ns0:v>0</ns0:v>
      </ns0:c>
      <ns0:c r="U432" s="0">
        <ns0:f>IF(N432&gt;0,T432+IF(Bookings!G432="Pending",10,0),0)</ns0:f>
        <ns0:v>0</ns0:v>
      </ns0:c>
      <ns0:c r="V432" s="0">
        <ns0:f>U432</ns0:f>
        <ns0:v>0</ns0:v>
      </ns0:c>
      <ns0:c r="W432" s="0" t="str">
        <ns0:f>IF(C432=0,"",INDEX($AP$11:$AP$60,C432))</ns0:f>
        <ns0:v/>
      </ns0:c>
    </ns0:row>
    <ns0:row r="433">
      <ns0:c r="A433" s="0">
        <ns0:f>IF(COUNTA(Bookings!A433:G433,Bookings!I433)=0,0,1)</ns0:f>
        <ns0:v>0</ns0:v>
      </ns0:c>
      <ns0:c r="B433" s="0" t="str">
        <ns0:f>IFERROR(TRIM(MID(Bookings!A433,FIND(" · ",Bookings!A433)+3,99)),"")</ns0:f>
        <ns0:v/>
      </ns0:c>
      <ns0:c r="C433" s="0">
        <ns0:f>IF(OR(B433="",LEN(B433)&gt;24,ISNUMBER(FIND(" ",B433)),ISNUMBER(FIND("*",B433)),ISNUMBER(FIND("?",B433)),ISNUMBER(FIND("~",B433))),0,IFERROR(MATCH(B433,Team!$A$11:$A$60,0),0))</ns0:f>
        <ns0:v>0</ns0:v>
      </ns0:c>
      <ns0:c r="D433" s="0" t="str">
        <ns0:f>IFERROR(IF(MID(Bookings!F433,LEN(Bookings!F433)-3,3)=" · ",RIGHT(Bookings!F433,1),""),"")</ns0:f>
        <ns0:v/>
      </ns0:c>
      <ns0:c r="E433" s="0" t="str">
        <ns0:f>IFERROR(INDEX(Settings!$H$7:$H$11,MATCH(D433,Settings!$G$7:$G$11,0)),"")</ns0:f>
        <ns0:v/>
      </ns0:c>
      <ns0:c r="F433" s="0" t="str">
        <ns0:f>IF(A433=0,"",IFERROR(IF(OR(B433="",C433=0),"CHECK employee selection",IF(INDEX(Team!$O$11:$O$60,C433)&lt;&gt;"OK","CHECK employee setup",IF(OR('_Dates'!J433=0,'_Dates'!T433=0),"CHECK date: use DD.MM.YYYY",IF('_Dates'!T433&lt;'_Dates'!J433,"CHECK end before start",IF(AND($B$6=0,OR('_Dates'!J433&lt;Settings!$B$7,'_Dates'!T433&gt;Settings!$B$8)),"CHECK split across leave years",IF(OR(NOT(OR('_Dates'!U433="Full day",'_Dates'!U433="AM",'_Dates'!U433="PM")),NOT(OR('_Dates'!V433="Full day",'_Dates'!V433="AM",'_Dates'!V433="PM"))),"CHECK Full day / AM / PM",IF(AND('_Dates'!J433='_Dates'!T433,'_Dates'!U433&lt;&gt;"Full day",'_Dates'!V433&lt;&gt;"Full day",'_Dates'!U433&lt;&gt;'_Dates'!V433),"CHECK same-day portions disagree",IF(AND($B$6=0,OR(AND('_Dates'!U433&lt;&gt;"Full day",'_Dates'!AA433=0),AND('_Dates'!V433&lt;&gt;"Full day",'_Dates'!AB433=0))),"CHECK half-day on non-working date",IF(COUNTIF(Settings!$G$7:$G$11,D433)&lt;&gt;1,"CHECK leave type",IF(AND(Bookings!G433&lt;&gt;"Approved",Bookings!G433&lt;&gt;"Pending",Bookings!G433&lt;&gt;"Cancelled"),"CHECK status","OK")))))))))),"CHECK input"))</ns0:f>
        <ns0:v/>
      </ns0:c>
      <ns0:c r="G433" s="0">
        <ns0:f>IF(OR(F433&lt;&gt;"OK",$B$6&gt;0),0,0.5*(IF(('_Dates'!X433)&lt;('_Dates'!W433),0,INT((('_Dates'!X433)-('_Dates'!W433)+1)/7)*LEN(SUBSTITUTE(W433,"O",""))+LEN(SUBSTITUTE(MID(W433&amp;W433,WEEKDAY(('_Dates'!W433),2),MOD((('_Dates'!X433)-('_Dates'!W433)+1),7)),"O",""))-COUNTIFS(INDEX(AllClosureRows,C433,0),"&gt;="&amp;('_Dates'!W433),INDEX(AllClosureRows,C433,0),"&lt;="&amp;('_Dates'!X433)))+IF(('_Dates'!Z433)&lt;('_Dates'!Y433),0,INT((('_Dates'!Z433)-('_Dates'!Y433)+1)/7)*LEN(SUBSTITUTE(W433,"O",""))+LEN(SUBSTITUTE(MID(W433&amp;W433,WEEKDAY(('_Dates'!Y433),2),MOD((('_Dates'!Z433)-('_Dates'!Y433)+1),7)),"O",""))-COUNTIFS(INDEX(AllClosureRows,C433,0),"&gt;="&amp;('_Dates'!Y433),INDEX(AllClosureRows,C433,0),"&lt;="&amp;('_Dates'!Z433)))))</ns0:f>
        <ns0:v>0</ns0:v>
      </ns0:c>
      <ns0:c r="H433" s="0">
        <ns0:f>IF(OR(F433&lt;&gt;"OK",$B$6&gt;0),0,0.5*(IF((MIN('_Dates'!X433,Settings!$B$9))&lt;('_Dates'!W433),0,INT(((MIN('_Dates'!X433,Settings!$B$9))-('_Dates'!W433)+1)/7)*LEN(SUBSTITUTE(W433,"O",""))+LEN(SUBSTITUTE(MID(W433&amp;W433,WEEKDAY(('_Dates'!W433),2),MOD(((MIN('_Dates'!X433,Settings!$B$9))-('_Dates'!W433)+1),7)),"O",""))-COUNTIFS(INDEX(AllClosureRows,C433,0),"&gt;="&amp;('_Dates'!W433),INDEX(AllClosureRows,C433,0),"&lt;="&amp;(MIN('_Dates'!X433,Settings!$B$9))))+IF((MIN('_Dates'!Z433,Settings!$B$9))&lt;('_Dates'!Y433),0,INT(((MIN('_Dates'!Z433,Settings!$B$9))-('_Dates'!Y433)+1)/7)*LEN(SUBSTITUTE(W433,"O",""))+LEN(SUBSTITUTE(MID(W433&amp;W433,WEEKDAY(('_Dates'!Y433),2),MOD(((MIN('_Dates'!Z433,Settings!$B$9))-('_Dates'!Y433)+1),7)),"O",""))-COUNTIFS(INDEX(AllClosureRows,C433,0),"&gt;="&amp;('_Dates'!Y433),INDEX(AllClosureRows,C433,0),"&lt;="&amp;(MIN('_Dates'!Z433,Settings!$B$9))))))</ns0:f>
        <ns0:v>0</ns0:v>
      </ns0:c>
      <ns0:c r="I433" s="0">
        <ns0:f>MAX(0,G433-H433)</ns0:f>
        <ns0:v>0</ns0:v>
      </ns0:c>
      <ns0:c r="J433" s="0">
        <ns0:f>IF(OR(A433=0,F433&lt;&gt;"OK",Bookings!G433="Cancelled",$B$6&gt;0),0,IF('_Dates'!AC433=1,MAX(0,COUNTIFS(rngEngine_B,B433,rngAMStart,"&lt;="&amp;'_Dates'!X433,rngAMEnd,"&gt;="&amp;'_Dates'!W433,rngAMActive,1,rngEngine_F,"OK",rngBookings_F,"&lt;&gt;Cancelled")-1),0)+IF('_Dates'!AD433=1,MAX(0,COUNTIFS(rngEngine_B,B433,rngPMStart,"&lt;="&amp;'_Dates'!Z433,rngPMEnd,"&gt;="&amp;'_Dates'!Y433,rngPMActive,1,rngEngine_F,"OK",rngBookings_F,"&lt;&gt;Cancelled")-1),0))</ns0:f>
        <ns0:v>0</ns0:v>
      </ns0:c>
      <ns0:c r="K433" s="0" t="str">
        <ns0:f>IF(A433=0,"",IF(F433&lt;&gt;"OK",F433,IF(J433&gt;0,"CHECK overlapping entry",IF(AND($B$6=0,G433&lt;=0,Bookings!G433&lt;&gt;"Cancelled"),"CHECK no working days",IF(Bookings!G433="Cancelled","Cancelled","OK")))))</ns0:f>
        <ns0:v/>
      </ns0:c>
      <ns0:c r="L433" s="0">
        <ns0:f>IF(LEFT(K433,5)="CHECK",1,0)</ns0:f>
        <ns0:v>0</ns0:v>
      </ns0:c>
      <ns0:c r="M433" s="0">
        <ns0:f>IF(AND(L433=1,OR(C433=0,IFERROR(INDEX($X$11:$X$60,C433),0)=0)),1,0)</ns0:f>
        <ns0:v>0</ns0:v>
      </ns0:c>
      <ns0:c r="N433" s="0">
        <ns0:f>IF(OR(A433=0,L433&gt;0,$B$6&gt;0,Bookings!G433="Cancelled"),0,G433)</ns0:f>
        <ns0:v>0</ns0:v>
      </ns0:c>
      <ns0:c r="O433" s="0">
        <ns0:f>IF(AND(Bookings!G433="Approved",E433="Yes"),N433,0)</ns0:f>
        <ns0:v>0</ns0:v>
      </ns0:c>
      <ns0:c r="P433" s="0">
        <ns0:f>IF(AND(Bookings!G433="Approved",E433="Yes",L433=0,$B$6=0),H433,0)</ns0:f>
        <ns0:v>0</ns0:v>
      </ns0:c>
      <ns0:c r="Q433" s="0">
        <ns0:f>IF(AND(Bookings!G433="Approved",E433="Yes",L433=0,$B$6=0),I433,0)</ns0:f>
        <ns0:v>0</ns0:v>
      </ns0:c>
      <ns0:c r="R433" s="0">
        <ns0:f>IF(AND(Bookings!G433="Pending",E433="Yes"),N433,0)</ns0:f>
        <ns0:v>0</ns0:v>
      </ns0:c>
      <ns0:c r="S433" s="0">
        <ns0:f>IF(AND(Bookings!G433="Approved",E433="No"),N433,0)</ns0:f>
        <ns0:v>0</ns0:v>
      </ns0:c>
      <ns0:c r="T433" s="0">
        <ns0:f>IFERROR(MATCH(D433,Settings!$G$7:$G$11,0),0)</ns0:f>
        <ns0:v>0</ns0:v>
      </ns0:c>
      <ns0:c r="U433" s="0">
        <ns0:f>IF(N433&gt;0,T433+IF(Bookings!G433="Pending",10,0),0)</ns0:f>
        <ns0:v>0</ns0:v>
      </ns0:c>
      <ns0:c r="V433" s="0">
        <ns0:f>U433</ns0:f>
        <ns0:v>0</ns0:v>
      </ns0:c>
      <ns0:c r="W433" s="0" t="str">
        <ns0:f>IF(C433=0,"",INDEX($AP$11:$AP$60,C433))</ns0:f>
        <ns0:v/>
      </ns0:c>
    </ns0:row>
    <ns0:row r="434">
      <ns0:c r="A434" s="0">
        <ns0:f>IF(COUNTA(Bookings!A434:G434,Bookings!I434)=0,0,1)</ns0:f>
        <ns0:v>0</ns0:v>
      </ns0:c>
      <ns0:c r="B434" s="0" t="str">
        <ns0:f>IFERROR(TRIM(MID(Bookings!A434,FIND(" · ",Bookings!A434)+3,99)),"")</ns0:f>
        <ns0:v/>
      </ns0:c>
      <ns0:c r="C434" s="0">
        <ns0:f>IF(OR(B434="",LEN(B434)&gt;24,ISNUMBER(FIND(" ",B434)),ISNUMBER(FIND("*",B434)),ISNUMBER(FIND("?",B434)),ISNUMBER(FIND("~",B434))),0,IFERROR(MATCH(B434,Team!$A$11:$A$60,0),0))</ns0:f>
        <ns0:v>0</ns0:v>
      </ns0:c>
      <ns0:c r="D434" s="0" t="str">
        <ns0:f>IFERROR(IF(MID(Bookings!F434,LEN(Bookings!F434)-3,3)=" · ",RIGHT(Bookings!F434,1),""),"")</ns0:f>
        <ns0:v/>
      </ns0:c>
      <ns0:c r="E434" s="0" t="str">
        <ns0:f>IFERROR(INDEX(Settings!$H$7:$H$11,MATCH(D434,Settings!$G$7:$G$11,0)),"")</ns0:f>
        <ns0:v/>
      </ns0:c>
      <ns0:c r="F434" s="0" t="str">
        <ns0:f>IF(A434=0,"",IFERROR(IF(OR(B434="",C434=0),"CHECK employee selection",IF(INDEX(Team!$O$11:$O$60,C434)&lt;&gt;"OK","CHECK employee setup",IF(OR('_Dates'!J434=0,'_Dates'!T434=0),"CHECK date: use DD.MM.YYYY",IF('_Dates'!T434&lt;'_Dates'!J434,"CHECK end before start",IF(AND($B$6=0,OR('_Dates'!J434&lt;Settings!$B$7,'_Dates'!T434&gt;Settings!$B$8)),"CHECK split across leave years",IF(OR(NOT(OR('_Dates'!U434="Full day",'_Dates'!U434="AM",'_Dates'!U434="PM")),NOT(OR('_Dates'!V434="Full day",'_Dates'!V434="AM",'_Dates'!V434="PM"))),"CHECK Full day / AM / PM",IF(AND('_Dates'!J434='_Dates'!T434,'_Dates'!U434&lt;&gt;"Full day",'_Dates'!V434&lt;&gt;"Full day",'_Dates'!U434&lt;&gt;'_Dates'!V434),"CHECK same-day portions disagree",IF(AND($B$6=0,OR(AND('_Dates'!U434&lt;&gt;"Full day",'_Dates'!AA434=0),AND('_Dates'!V434&lt;&gt;"Full day",'_Dates'!AB434=0))),"CHECK half-day on non-working date",IF(COUNTIF(Settings!$G$7:$G$11,D434)&lt;&gt;1,"CHECK leave type",IF(AND(Bookings!G434&lt;&gt;"Approved",Bookings!G434&lt;&gt;"Pending",Bookings!G434&lt;&gt;"Cancelled"),"CHECK status","OK")))))))))),"CHECK input"))</ns0:f>
        <ns0:v/>
      </ns0:c>
      <ns0:c r="G434" s="0">
        <ns0:f>IF(OR(F434&lt;&gt;"OK",$B$6&gt;0),0,0.5*(IF(('_Dates'!X434)&lt;('_Dates'!W434),0,INT((('_Dates'!X434)-('_Dates'!W434)+1)/7)*LEN(SUBSTITUTE(W434,"O",""))+LEN(SUBSTITUTE(MID(W434&amp;W434,WEEKDAY(('_Dates'!W434),2),MOD((('_Dates'!X434)-('_Dates'!W434)+1),7)),"O",""))-COUNTIFS(INDEX(AllClosureRows,C434,0),"&gt;="&amp;('_Dates'!W434),INDEX(AllClosureRows,C434,0),"&lt;="&amp;('_Dates'!X434)))+IF(('_Dates'!Z434)&lt;('_Dates'!Y434),0,INT((('_Dates'!Z434)-('_Dates'!Y434)+1)/7)*LEN(SUBSTITUTE(W434,"O",""))+LEN(SUBSTITUTE(MID(W434&amp;W434,WEEKDAY(('_Dates'!Y434),2),MOD((('_Dates'!Z434)-('_Dates'!Y434)+1),7)),"O",""))-COUNTIFS(INDEX(AllClosureRows,C434,0),"&gt;="&amp;('_Dates'!Y434),INDEX(AllClosureRows,C434,0),"&lt;="&amp;('_Dates'!Z434)))))</ns0:f>
        <ns0:v>0</ns0:v>
      </ns0:c>
      <ns0:c r="H434" s="0">
        <ns0:f>IF(OR(F434&lt;&gt;"OK",$B$6&gt;0),0,0.5*(IF((MIN('_Dates'!X434,Settings!$B$9))&lt;('_Dates'!W434),0,INT(((MIN('_Dates'!X434,Settings!$B$9))-('_Dates'!W434)+1)/7)*LEN(SUBSTITUTE(W434,"O",""))+LEN(SUBSTITUTE(MID(W434&amp;W434,WEEKDAY(('_Dates'!W434),2),MOD(((MIN('_Dates'!X434,Settings!$B$9))-('_Dates'!W434)+1),7)),"O",""))-COUNTIFS(INDEX(AllClosureRows,C434,0),"&gt;="&amp;('_Dates'!W434),INDEX(AllClosureRows,C434,0),"&lt;="&amp;(MIN('_Dates'!X434,Settings!$B$9))))+IF((MIN('_Dates'!Z434,Settings!$B$9))&lt;('_Dates'!Y434),0,INT(((MIN('_Dates'!Z434,Settings!$B$9))-('_Dates'!Y434)+1)/7)*LEN(SUBSTITUTE(W434,"O",""))+LEN(SUBSTITUTE(MID(W434&amp;W434,WEEKDAY(('_Dates'!Y434),2),MOD(((MIN('_Dates'!Z434,Settings!$B$9))-('_Dates'!Y434)+1),7)),"O",""))-COUNTIFS(INDEX(AllClosureRows,C434,0),"&gt;="&amp;('_Dates'!Y434),INDEX(AllClosureRows,C434,0),"&lt;="&amp;(MIN('_Dates'!Z434,Settings!$B$9))))))</ns0:f>
        <ns0:v>0</ns0:v>
      </ns0:c>
      <ns0:c r="I434" s="0">
        <ns0:f>MAX(0,G434-H434)</ns0:f>
        <ns0:v>0</ns0:v>
      </ns0:c>
      <ns0:c r="J434" s="0">
        <ns0:f>IF(OR(A434=0,F434&lt;&gt;"OK",Bookings!G434="Cancelled",$B$6&gt;0),0,IF('_Dates'!AC434=1,MAX(0,COUNTIFS(rngEngine_B,B434,rngAMStart,"&lt;="&amp;'_Dates'!X434,rngAMEnd,"&gt;="&amp;'_Dates'!W434,rngAMActive,1,rngEngine_F,"OK",rngBookings_F,"&lt;&gt;Cancelled")-1),0)+IF('_Dates'!AD434=1,MAX(0,COUNTIFS(rngEngine_B,B434,rngPMStart,"&lt;="&amp;'_Dates'!Z434,rngPMEnd,"&gt;="&amp;'_Dates'!Y434,rngPMActive,1,rngEngine_F,"OK",rngBookings_F,"&lt;&gt;Cancelled")-1),0))</ns0:f>
        <ns0:v>0</ns0:v>
      </ns0:c>
      <ns0:c r="K434" s="0" t="str">
        <ns0:f>IF(A434=0,"",IF(F434&lt;&gt;"OK",F434,IF(J434&gt;0,"CHECK overlapping entry",IF(AND($B$6=0,G434&lt;=0,Bookings!G434&lt;&gt;"Cancelled"),"CHECK no working days",IF(Bookings!G434="Cancelled","Cancelled","OK")))))</ns0:f>
        <ns0:v/>
      </ns0:c>
      <ns0:c r="L434" s="0">
        <ns0:f>IF(LEFT(K434,5)="CHECK",1,0)</ns0:f>
        <ns0:v>0</ns0:v>
      </ns0:c>
      <ns0:c r="M434" s="0">
        <ns0:f>IF(AND(L434=1,OR(C434=0,IFERROR(INDEX($X$11:$X$60,C434),0)=0)),1,0)</ns0:f>
        <ns0:v>0</ns0:v>
      </ns0:c>
      <ns0:c r="N434" s="0">
        <ns0:f>IF(OR(A434=0,L434&gt;0,$B$6&gt;0,Bookings!G434="Cancelled"),0,G434)</ns0:f>
        <ns0:v>0</ns0:v>
      </ns0:c>
      <ns0:c r="O434" s="0">
        <ns0:f>IF(AND(Bookings!G434="Approved",E434="Yes"),N434,0)</ns0:f>
        <ns0:v>0</ns0:v>
      </ns0:c>
      <ns0:c r="P434" s="0">
        <ns0:f>IF(AND(Bookings!G434="Approved",E434="Yes",L434=0,$B$6=0),H434,0)</ns0:f>
        <ns0:v>0</ns0:v>
      </ns0:c>
      <ns0:c r="Q434" s="0">
        <ns0:f>IF(AND(Bookings!G434="Approved",E434="Yes",L434=0,$B$6=0),I434,0)</ns0:f>
        <ns0:v>0</ns0:v>
      </ns0:c>
      <ns0:c r="R434" s="0">
        <ns0:f>IF(AND(Bookings!G434="Pending",E434="Yes"),N434,0)</ns0:f>
        <ns0:v>0</ns0:v>
      </ns0:c>
      <ns0:c r="S434" s="0">
        <ns0:f>IF(AND(Bookings!G434="Approved",E434="No"),N434,0)</ns0:f>
        <ns0:v>0</ns0:v>
      </ns0:c>
      <ns0:c r="T434" s="0">
        <ns0:f>IFERROR(MATCH(D434,Settings!$G$7:$G$11,0),0)</ns0:f>
        <ns0:v>0</ns0:v>
      </ns0:c>
      <ns0:c r="U434" s="0">
        <ns0:f>IF(N434&gt;0,T434+IF(Bookings!G434="Pending",10,0),0)</ns0:f>
        <ns0:v>0</ns0:v>
      </ns0:c>
      <ns0:c r="V434" s="0">
        <ns0:f>U434</ns0:f>
        <ns0:v>0</ns0:v>
      </ns0:c>
      <ns0:c r="W434" s="0" t="str">
        <ns0:f>IF(C434=0,"",INDEX($AP$11:$AP$60,C434))</ns0:f>
        <ns0:v/>
      </ns0:c>
    </ns0:row>
    <ns0:row r="435">
      <ns0:c r="A435" s="0">
        <ns0:f>IF(COUNTA(Bookings!A435:G435,Bookings!I435)=0,0,1)</ns0:f>
        <ns0:v>0</ns0:v>
      </ns0:c>
      <ns0:c r="B435" s="0" t="str">
        <ns0:f>IFERROR(TRIM(MID(Bookings!A435,FIND(" · ",Bookings!A435)+3,99)),"")</ns0:f>
        <ns0:v/>
      </ns0:c>
      <ns0:c r="C435" s="0">
        <ns0:f>IF(OR(B435="",LEN(B435)&gt;24,ISNUMBER(FIND(" ",B435)),ISNUMBER(FIND("*",B435)),ISNUMBER(FIND("?",B435)),ISNUMBER(FIND("~",B435))),0,IFERROR(MATCH(B435,Team!$A$11:$A$60,0),0))</ns0:f>
        <ns0:v>0</ns0:v>
      </ns0:c>
      <ns0:c r="D435" s="0" t="str">
        <ns0:f>IFERROR(IF(MID(Bookings!F435,LEN(Bookings!F435)-3,3)=" · ",RIGHT(Bookings!F435,1),""),"")</ns0:f>
        <ns0:v/>
      </ns0:c>
      <ns0:c r="E435" s="0" t="str">
        <ns0:f>IFERROR(INDEX(Settings!$H$7:$H$11,MATCH(D435,Settings!$G$7:$G$11,0)),"")</ns0:f>
        <ns0:v/>
      </ns0:c>
      <ns0:c r="F435" s="0" t="str">
        <ns0:f>IF(A435=0,"",IFERROR(IF(OR(B435="",C435=0),"CHECK employee selection",IF(INDEX(Team!$O$11:$O$60,C435)&lt;&gt;"OK","CHECK employee setup",IF(OR('_Dates'!J435=0,'_Dates'!T435=0),"CHECK date: use DD.MM.YYYY",IF('_Dates'!T435&lt;'_Dates'!J435,"CHECK end before start",IF(AND($B$6=0,OR('_Dates'!J435&lt;Settings!$B$7,'_Dates'!T435&gt;Settings!$B$8)),"CHECK split across leave years",IF(OR(NOT(OR('_Dates'!U435="Full day",'_Dates'!U435="AM",'_Dates'!U435="PM")),NOT(OR('_Dates'!V435="Full day",'_Dates'!V435="AM",'_Dates'!V435="PM"))),"CHECK Full day / AM / PM",IF(AND('_Dates'!J435='_Dates'!T435,'_Dates'!U435&lt;&gt;"Full day",'_Dates'!V435&lt;&gt;"Full day",'_Dates'!U435&lt;&gt;'_Dates'!V435),"CHECK same-day portions disagree",IF(AND($B$6=0,OR(AND('_Dates'!U435&lt;&gt;"Full day",'_Dates'!AA435=0),AND('_Dates'!V435&lt;&gt;"Full day",'_Dates'!AB435=0))),"CHECK half-day on non-working date",IF(COUNTIF(Settings!$G$7:$G$11,D435)&lt;&gt;1,"CHECK leave type",IF(AND(Bookings!G435&lt;&gt;"Approved",Bookings!G435&lt;&gt;"Pending",Bookings!G435&lt;&gt;"Cancelled"),"CHECK status","OK")))))))))),"CHECK input"))</ns0:f>
        <ns0:v/>
      </ns0:c>
      <ns0:c r="G435" s="0">
        <ns0:f>IF(OR(F435&lt;&gt;"OK",$B$6&gt;0),0,0.5*(IF(('_Dates'!X435)&lt;('_Dates'!W435),0,INT((('_Dates'!X435)-('_Dates'!W435)+1)/7)*LEN(SUBSTITUTE(W435,"O",""))+LEN(SUBSTITUTE(MID(W435&amp;W435,WEEKDAY(('_Dates'!W435),2),MOD((('_Dates'!X435)-('_Dates'!W435)+1),7)),"O",""))-COUNTIFS(INDEX(AllClosureRows,C435,0),"&gt;="&amp;('_Dates'!W435),INDEX(AllClosureRows,C435,0),"&lt;="&amp;('_Dates'!X435)))+IF(('_Dates'!Z435)&lt;('_Dates'!Y435),0,INT((('_Dates'!Z435)-('_Dates'!Y435)+1)/7)*LEN(SUBSTITUTE(W435,"O",""))+LEN(SUBSTITUTE(MID(W435&amp;W435,WEEKDAY(('_Dates'!Y435),2),MOD((('_Dates'!Z435)-('_Dates'!Y435)+1),7)),"O",""))-COUNTIFS(INDEX(AllClosureRows,C435,0),"&gt;="&amp;('_Dates'!Y435),INDEX(AllClosureRows,C435,0),"&lt;="&amp;('_Dates'!Z435)))))</ns0:f>
        <ns0:v>0</ns0:v>
      </ns0:c>
      <ns0:c r="H435" s="0">
        <ns0:f>IF(OR(F435&lt;&gt;"OK",$B$6&gt;0),0,0.5*(IF((MIN('_Dates'!X435,Settings!$B$9))&lt;('_Dates'!W435),0,INT(((MIN('_Dates'!X435,Settings!$B$9))-('_Dates'!W435)+1)/7)*LEN(SUBSTITUTE(W435,"O",""))+LEN(SUBSTITUTE(MID(W435&amp;W435,WEEKDAY(('_Dates'!W435),2),MOD(((MIN('_Dates'!X435,Settings!$B$9))-('_Dates'!W435)+1),7)),"O",""))-COUNTIFS(INDEX(AllClosureRows,C435,0),"&gt;="&amp;('_Dates'!W435),INDEX(AllClosureRows,C435,0),"&lt;="&amp;(MIN('_Dates'!X435,Settings!$B$9))))+IF((MIN('_Dates'!Z435,Settings!$B$9))&lt;('_Dates'!Y435),0,INT(((MIN('_Dates'!Z435,Settings!$B$9))-('_Dates'!Y435)+1)/7)*LEN(SUBSTITUTE(W435,"O",""))+LEN(SUBSTITUTE(MID(W435&amp;W435,WEEKDAY(('_Dates'!Y435),2),MOD(((MIN('_Dates'!Z435,Settings!$B$9))-('_Dates'!Y435)+1),7)),"O",""))-COUNTIFS(INDEX(AllClosureRows,C435,0),"&gt;="&amp;('_Dates'!Y435),INDEX(AllClosureRows,C435,0),"&lt;="&amp;(MIN('_Dates'!Z435,Settings!$B$9))))))</ns0:f>
        <ns0:v>0</ns0:v>
      </ns0:c>
      <ns0:c r="I435" s="0">
        <ns0:f>MAX(0,G435-H435)</ns0:f>
        <ns0:v>0</ns0:v>
      </ns0:c>
      <ns0:c r="J435" s="0">
        <ns0:f>IF(OR(A435=0,F435&lt;&gt;"OK",Bookings!G435="Cancelled",$B$6&gt;0),0,IF('_Dates'!AC435=1,MAX(0,COUNTIFS(rngEngine_B,B435,rngAMStart,"&lt;="&amp;'_Dates'!X435,rngAMEnd,"&gt;="&amp;'_Dates'!W435,rngAMActive,1,rngEngine_F,"OK",rngBookings_F,"&lt;&gt;Cancelled")-1),0)+IF('_Dates'!AD435=1,MAX(0,COUNTIFS(rngEngine_B,B435,rngPMStart,"&lt;="&amp;'_Dates'!Z435,rngPMEnd,"&gt;="&amp;'_Dates'!Y435,rngPMActive,1,rngEngine_F,"OK",rngBookings_F,"&lt;&gt;Cancelled")-1),0))</ns0:f>
        <ns0:v>0</ns0:v>
      </ns0:c>
      <ns0:c r="K435" s="0" t="str">
        <ns0:f>IF(A435=0,"",IF(F435&lt;&gt;"OK",F435,IF(J435&gt;0,"CHECK overlapping entry",IF(AND($B$6=0,G435&lt;=0,Bookings!G435&lt;&gt;"Cancelled"),"CHECK no working days",IF(Bookings!G435="Cancelled","Cancelled","OK")))))</ns0:f>
        <ns0:v/>
      </ns0:c>
      <ns0:c r="L435" s="0">
        <ns0:f>IF(LEFT(K435,5)="CHECK",1,0)</ns0:f>
        <ns0:v>0</ns0:v>
      </ns0:c>
      <ns0:c r="M435" s="0">
        <ns0:f>IF(AND(L435=1,OR(C435=0,IFERROR(INDEX($X$11:$X$60,C435),0)=0)),1,0)</ns0:f>
        <ns0:v>0</ns0:v>
      </ns0:c>
      <ns0:c r="N435" s="0">
        <ns0:f>IF(OR(A435=0,L435&gt;0,$B$6&gt;0,Bookings!G435="Cancelled"),0,G435)</ns0:f>
        <ns0:v>0</ns0:v>
      </ns0:c>
      <ns0:c r="O435" s="0">
        <ns0:f>IF(AND(Bookings!G435="Approved",E435="Yes"),N435,0)</ns0:f>
        <ns0:v>0</ns0:v>
      </ns0:c>
      <ns0:c r="P435" s="0">
        <ns0:f>IF(AND(Bookings!G435="Approved",E435="Yes",L435=0,$B$6=0),H435,0)</ns0:f>
        <ns0:v>0</ns0:v>
      </ns0:c>
      <ns0:c r="Q435" s="0">
        <ns0:f>IF(AND(Bookings!G435="Approved",E435="Yes",L435=0,$B$6=0),I435,0)</ns0:f>
        <ns0:v>0</ns0:v>
      </ns0:c>
      <ns0:c r="R435" s="0">
        <ns0:f>IF(AND(Bookings!G435="Pending",E435="Yes"),N435,0)</ns0:f>
        <ns0:v>0</ns0:v>
      </ns0:c>
      <ns0:c r="S435" s="0">
        <ns0:f>IF(AND(Bookings!G435="Approved",E435="No"),N435,0)</ns0:f>
        <ns0:v>0</ns0:v>
      </ns0:c>
      <ns0:c r="T435" s="0">
        <ns0:f>IFERROR(MATCH(D435,Settings!$G$7:$G$11,0),0)</ns0:f>
        <ns0:v>0</ns0:v>
      </ns0:c>
      <ns0:c r="U435" s="0">
        <ns0:f>IF(N435&gt;0,T435+IF(Bookings!G435="Pending",10,0),0)</ns0:f>
        <ns0:v>0</ns0:v>
      </ns0:c>
      <ns0:c r="V435" s="0">
        <ns0:f>U435</ns0:f>
        <ns0:v>0</ns0:v>
      </ns0:c>
      <ns0:c r="W435" s="0" t="str">
        <ns0:f>IF(C435=0,"",INDEX($AP$11:$AP$60,C435))</ns0:f>
        <ns0:v/>
      </ns0:c>
    </ns0:row>
    <ns0:row r="436">
      <ns0:c r="A436" s="0">
        <ns0:f>IF(COUNTA(Bookings!A436:G436,Bookings!I436)=0,0,1)</ns0:f>
        <ns0:v>0</ns0:v>
      </ns0:c>
      <ns0:c r="B436" s="0" t="str">
        <ns0:f>IFERROR(TRIM(MID(Bookings!A436,FIND(" · ",Bookings!A436)+3,99)),"")</ns0:f>
        <ns0:v/>
      </ns0:c>
      <ns0:c r="C436" s="0">
        <ns0:f>IF(OR(B436="",LEN(B436)&gt;24,ISNUMBER(FIND(" ",B436)),ISNUMBER(FIND("*",B436)),ISNUMBER(FIND("?",B436)),ISNUMBER(FIND("~",B436))),0,IFERROR(MATCH(B436,Team!$A$11:$A$60,0),0))</ns0:f>
        <ns0:v>0</ns0:v>
      </ns0:c>
      <ns0:c r="D436" s="0" t="str">
        <ns0:f>IFERROR(IF(MID(Bookings!F436,LEN(Bookings!F436)-3,3)=" · ",RIGHT(Bookings!F436,1),""),"")</ns0:f>
        <ns0:v/>
      </ns0:c>
      <ns0:c r="E436" s="0" t="str">
        <ns0:f>IFERROR(INDEX(Settings!$H$7:$H$11,MATCH(D436,Settings!$G$7:$G$11,0)),"")</ns0:f>
        <ns0:v/>
      </ns0:c>
      <ns0:c r="F436" s="0" t="str">
        <ns0:f>IF(A436=0,"",IFERROR(IF(OR(B436="",C436=0),"CHECK employee selection",IF(INDEX(Team!$O$11:$O$60,C436)&lt;&gt;"OK","CHECK employee setup",IF(OR('_Dates'!J436=0,'_Dates'!T436=0),"CHECK date: use DD.MM.YYYY",IF('_Dates'!T436&lt;'_Dates'!J436,"CHECK end before start",IF(AND($B$6=0,OR('_Dates'!J436&lt;Settings!$B$7,'_Dates'!T436&gt;Settings!$B$8)),"CHECK split across leave years",IF(OR(NOT(OR('_Dates'!U436="Full day",'_Dates'!U436="AM",'_Dates'!U436="PM")),NOT(OR('_Dates'!V436="Full day",'_Dates'!V436="AM",'_Dates'!V436="PM"))),"CHECK Full day / AM / PM",IF(AND('_Dates'!J436='_Dates'!T436,'_Dates'!U436&lt;&gt;"Full day",'_Dates'!V436&lt;&gt;"Full day",'_Dates'!U436&lt;&gt;'_Dates'!V436),"CHECK same-day portions disagree",IF(AND($B$6=0,OR(AND('_Dates'!U436&lt;&gt;"Full day",'_Dates'!AA436=0),AND('_Dates'!V436&lt;&gt;"Full day",'_Dates'!AB436=0))),"CHECK half-day on non-working date",IF(COUNTIF(Settings!$G$7:$G$11,D436)&lt;&gt;1,"CHECK leave type",IF(AND(Bookings!G436&lt;&gt;"Approved",Bookings!G436&lt;&gt;"Pending",Bookings!G436&lt;&gt;"Cancelled"),"CHECK status","OK")))))))))),"CHECK input"))</ns0:f>
        <ns0:v/>
      </ns0:c>
      <ns0:c r="G436" s="0">
        <ns0:f>IF(OR(F436&lt;&gt;"OK",$B$6&gt;0),0,0.5*(IF(('_Dates'!X436)&lt;('_Dates'!W436),0,INT((('_Dates'!X436)-('_Dates'!W436)+1)/7)*LEN(SUBSTITUTE(W436,"O",""))+LEN(SUBSTITUTE(MID(W436&amp;W436,WEEKDAY(('_Dates'!W436),2),MOD((('_Dates'!X436)-('_Dates'!W436)+1),7)),"O",""))-COUNTIFS(INDEX(AllClosureRows,C436,0),"&gt;="&amp;('_Dates'!W436),INDEX(AllClosureRows,C436,0),"&lt;="&amp;('_Dates'!X436)))+IF(('_Dates'!Z436)&lt;('_Dates'!Y436),0,INT((('_Dates'!Z436)-('_Dates'!Y436)+1)/7)*LEN(SUBSTITUTE(W436,"O",""))+LEN(SUBSTITUTE(MID(W436&amp;W436,WEEKDAY(('_Dates'!Y436),2),MOD((('_Dates'!Z436)-('_Dates'!Y436)+1),7)),"O",""))-COUNTIFS(INDEX(AllClosureRows,C436,0),"&gt;="&amp;('_Dates'!Y436),INDEX(AllClosureRows,C436,0),"&lt;="&amp;('_Dates'!Z436)))))</ns0:f>
        <ns0:v>0</ns0:v>
      </ns0:c>
      <ns0:c r="H436" s="0">
        <ns0:f>IF(OR(F436&lt;&gt;"OK",$B$6&gt;0),0,0.5*(IF((MIN('_Dates'!X436,Settings!$B$9))&lt;('_Dates'!W436),0,INT(((MIN('_Dates'!X436,Settings!$B$9))-('_Dates'!W436)+1)/7)*LEN(SUBSTITUTE(W436,"O",""))+LEN(SUBSTITUTE(MID(W436&amp;W436,WEEKDAY(('_Dates'!W436),2),MOD(((MIN('_Dates'!X436,Settings!$B$9))-('_Dates'!W436)+1),7)),"O",""))-COUNTIFS(INDEX(AllClosureRows,C436,0),"&gt;="&amp;('_Dates'!W436),INDEX(AllClosureRows,C436,0),"&lt;="&amp;(MIN('_Dates'!X436,Settings!$B$9))))+IF((MIN('_Dates'!Z436,Settings!$B$9))&lt;('_Dates'!Y436),0,INT(((MIN('_Dates'!Z436,Settings!$B$9))-('_Dates'!Y436)+1)/7)*LEN(SUBSTITUTE(W436,"O",""))+LEN(SUBSTITUTE(MID(W436&amp;W436,WEEKDAY(('_Dates'!Y436),2),MOD(((MIN('_Dates'!Z436,Settings!$B$9))-('_Dates'!Y436)+1),7)),"O",""))-COUNTIFS(INDEX(AllClosureRows,C436,0),"&gt;="&amp;('_Dates'!Y436),INDEX(AllClosureRows,C436,0),"&lt;="&amp;(MIN('_Dates'!Z436,Settings!$B$9))))))</ns0:f>
        <ns0:v>0</ns0:v>
      </ns0:c>
      <ns0:c r="I436" s="0">
        <ns0:f>MAX(0,G436-H436)</ns0:f>
        <ns0:v>0</ns0:v>
      </ns0:c>
      <ns0:c r="J436" s="0">
        <ns0:f>IF(OR(A436=0,F436&lt;&gt;"OK",Bookings!G436="Cancelled",$B$6&gt;0),0,IF('_Dates'!AC436=1,MAX(0,COUNTIFS(rngEngine_B,B436,rngAMStart,"&lt;="&amp;'_Dates'!X436,rngAMEnd,"&gt;="&amp;'_Dates'!W436,rngAMActive,1,rngEngine_F,"OK",rngBookings_F,"&lt;&gt;Cancelled")-1),0)+IF('_Dates'!AD436=1,MAX(0,COUNTIFS(rngEngine_B,B436,rngPMStart,"&lt;="&amp;'_Dates'!Z436,rngPMEnd,"&gt;="&amp;'_Dates'!Y436,rngPMActive,1,rngEngine_F,"OK",rngBookings_F,"&lt;&gt;Cancelled")-1),0))</ns0:f>
        <ns0:v>0</ns0:v>
      </ns0:c>
      <ns0:c r="K436" s="0" t="str">
        <ns0:f>IF(A436=0,"",IF(F436&lt;&gt;"OK",F436,IF(J436&gt;0,"CHECK overlapping entry",IF(AND($B$6=0,G436&lt;=0,Bookings!G436&lt;&gt;"Cancelled"),"CHECK no working days",IF(Bookings!G436="Cancelled","Cancelled","OK")))))</ns0:f>
        <ns0:v/>
      </ns0:c>
      <ns0:c r="L436" s="0">
        <ns0:f>IF(LEFT(K436,5)="CHECK",1,0)</ns0:f>
        <ns0:v>0</ns0:v>
      </ns0:c>
      <ns0:c r="M436" s="0">
        <ns0:f>IF(AND(L436=1,OR(C436=0,IFERROR(INDEX($X$11:$X$60,C436),0)=0)),1,0)</ns0:f>
        <ns0:v>0</ns0:v>
      </ns0:c>
      <ns0:c r="N436" s="0">
        <ns0:f>IF(OR(A436=0,L436&gt;0,$B$6&gt;0,Bookings!G436="Cancelled"),0,G436)</ns0:f>
        <ns0:v>0</ns0:v>
      </ns0:c>
      <ns0:c r="O436" s="0">
        <ns0:f>IF(AND(Bookings!G436="Approved",E436="Yes"),N436,0)</ns0:f>
        <ns0:v>0</ns0:v>
      </ns0:c>
      <ns0:c r="P436" s="0">
        <ns0:f>IF(AND(Bookings!G436="Approved",E436="Yes",L436=0,$B$6=0),H436,0)</ns0:f>
        <ns0:v>0</ns0:v>
      </ns0:c>
      <ns0:c r="Q436" s="0">
        <ns0:f>IF(AND(Bookings!G436="Approved",E436="Yes",L436=0,$B$6=0),I436,0)</ns0:f>
        <ns0:v>0</ns0:v>
      </ns0:c>
      <ns0:c r="R436" s="0">
        <ns0:f>IF(AND(Bookings!G436="Pending",E436="Yes"),N436,0)</ns0:f>
        <ns0:v>0</ns0:v>
      </ns0:c>
      <ns0:c r="S436" s="0">
        <ns0:f>IF(AND(Bookings!G436="Approved",E436="No"),N436,0)</ns0:f>
        <ns0:v>0</ns0:v>
      </ns0:c>
      <ns0:c r="T436" s="0">
        <ns0:f>IFERROR(MATCH(D436,Settings!$G$7:$G$11,0),0)</ns0:f>
        <ns0:v>0</ns0:v>
      </ns0:c>
      <ns0:c r="U436" s="0">
        <ns0:f>IF(N436&gt;0,T436+IF(Bookings!G436="Pending",10,0),0)</ns0:f>
        <ns0:v>0</ns0:v>
      </ns0:c>
      <ns0:c r="V436" s="0">
        <ns0:f>U436</ns0:f>
        <ns0:v>0</ns0:v>
      </ns0:c>
      <ns0:c r="W436" s="0" t="str">
        <ns0:f>IF(C436=0,"",INDEX($AP$11:$AP$60,C436))</ns0:f>
        <ns0:v/>
      </ns0:c>
    </ns0:row>
    <ns0:row r="437">
      <ns0:c r="A437" s="0">
        <ns0:f>IF(COUNTA(Bookings!A437:G437,Bookings!I437)=0,0,1)</ns0:f>
        <ns0:v>0</ns0:v>
      </ns0:c>
      <ns0:c r="B437" s="0" t="str">
        <ns0:f>IFERROR(TRIM(MID(Bookings!A437,FIND(" · ",Bookings!A437)+3,99)),"")</ns0:f>
        <ns0:v/>
      </ns0:c>
      <ns0:c r="C437" s="0">
        <ns0:f>IF(OR(B437="",LEN(B437)&gt;24,ISNUMBER(FIND(" ",B437)),ISNUMBER(FIND("*",B437)),ISNUMBER(FIND("?",B437)),ISNUMBER(FIND("~",B437))),0,IFERROR(MATCH(B437,Team!$A$11:$A$60,0),0))</ns0:f>
        <ns0:v>0</ns0:v>
      </ns0:c>
      <ns0:c r="D437" s="0" t="str">
        <ns0:f>IFERROR(IF(MID(Bookings!F437,LEN(Bookings!F437)-3,3)=" · ",RIGHT(Bookings!F437,1),""),"")</ns0:f>
        <ns0:v/>
      </ns0:c>
      <ns0:c r="E437" s="0" t="str">
        <ns0:f>IFERROR(INDEX(Settings!$H$7:$H$11,MATCH(D437,Settings!$G$7:$G$11,0)),"")</ns0:f>
        <ns0:v/>
      </ns0:c>
      <ns0:c r="F437" s="0" t="str">
        <ns0:f>IF(A437=0,"",IFERROR(IF(OR(B437="",C437=0),"CHECK employee selection",IF(INDEX(Team!$O$11:$O$60,C437)&lt;&gt;"OK","CHECK employee setup",IF(OR('_Dates'!J437=0,'_Dates'!T437=0),"CHECK date: use DD.MM.YYYY",IF('_Dates'!T437&lt;'_Dates'!J437,"CHECK end before start",IF(AND($B$6=0,OR('_Dates'!J437&lt;Settings!$B$7,'_Dates'!T437&gt;Settings!$B$8)),"CHECK split across leave years",IF(OR(NOT(OR('_Dates'!U437="Full day",'_Dates'!U437="AM",'_Dates'!U437="PM")),NOT(OR('_Dates'!V437="Full day",'_Dates'!V437="AM",'_Dates'!V437="PM"))),"CHECK Full day / AM / PM",IF(AND('_Dates'!J437='_Dates'!T437,'_Dates'!U437&lt;&gt;"Full day",'_Dates'!V437&lt;&gt;"Full day",'_Dates'!U437&lt;&gt;'_Dates'!V437),"CHECK same-day portions disagree",IF(AND($B$6=0,OR(AND('_Dates'!U437&lt;&gt;"Full day",'_Dates'!AA437=0),AND('_Dates'!V437&lt;&gt;"Full day",'_Dates'!AB437=0))),"CHECK half-day on non-working date",IF(COUNTIF(Settings!$G$7:$G$11,D437)&lt;&gt;1,"CHECK leave type",IF(AND(Bookings!G437&lt;&gt;"Approved",Bookings!G437&lt;&gt;"Pending",Bookings!G437&lt;&gt;"Cancelled"),"CHECK status","OK")))))))))),"CHECK input"))</ns0:f>
        <ns0:v/>
      </ns0:c>
      <ns0:c r="G437" s="0">
        <ns0:f>IF(OR(F437&lt;&gt;"OK",$B$6&gt;0),0,0.5*(IF(('_Dates'!X437)&lt;('_Dates'!W437),0,INT((('_Dates'!X437)-('_Dates'!W437)+1)/7)*LEN(SUBSTITUTE(W437,"O",""))+LEN(SUBSTITUTE(MID(W437&amp;W437,WEEKDAY(('_Dates'!W437),2),MOD((('_Dates'!X437)-('_Dates'!W437)+1),7)),"O",""))-COUNTIFS(INDEX(AllClosureRows,C437,0),"&gt;="&amp;('_Dates'!W437),INDEX(AllClosureRows,C437,0),"&lt;="&amp;('_Dates'!X437)))+IF(('_Dates'!Z437)&lt;('_Dates'!Y437),0,INT((('_Dates'!Z437)-('_Dates'!Y437)+1)/7)*LEN(SUBSTITUTE(W437,"O",""))+LEN(SUBSTITUTE(MID(W437&amp;W437,WEEKDAY(('_Dates'!Y437),2),MOD((('_Dates'!Z437)-('_Dates'!Y437)+1),7)),"O",""))-COUNTIFS(INDEX(AllClosureRows,C437,0),"&gt;="&amp;('_Dates'!Y437),INDEX(AllClosureRows,C437,0),"&lt;="&amp;('_Dates'!Z437)))))</ns0:f>
        <ns0:v>0</ns0:v>
      </ns0:c>
      <ns0:c r="H437" s="0">
        <ns0:f>IF(OR(F437&lt;&gt;"OK",$B$6&gt;0),0,0.5*(IF((MIN('_Dates'!X437,Settings!$B$9))&lt;('_Dates'!W437),0,INT(((MIN('_Dates'!X437,Settings!$B$9))-('_Dates'!W437)+1)/7)*LEN(SUBSTITUTE(W437,"O",""))+LEN(SUBSTITUTE(MID(W437&amp;W437,WEEKDAY(('_Dates'!W437),2),MOD(((MIN('_Dates'!X437,Settings!$B$9))-('_Dates'!W437)+1),7)),"O",""))-COUNTIFS(INDEX(AllClosureRows,C437,0),"&gt;="&amp;('_Dates'!W437),INDEX(AllClosureRows,C437,0),"&lt;="&amp;(MIN('_Dates'!X437,Settings!$B$9))))+IF((MIN('_Dates'!Z437,Settings!$B$9))&lt;('_Dates'!Y437),0,INT(((MIN('_Dates'!Z437,Settings!$B$9))-('_Dates'!Y437)+1)/7)*LEN(SUBSTITUTE(W437,"O",""))+LEN(SUBSTITUTE(MID(W437&amp;W437,WEEKDAY(('_Dates'!Y437),2),MOD(((MIN('_Dates'!Z437,Settings!$B$9))-('_Dates'!Y437)+1),7)),"O",""))-COUNTIFS(INDEX(AllClosureRows,C437,0),"&gt;="&amp;('_Dates'!Y437),INDEX(AllClosureRows,C437,0),"&lt;="&amp;(MIN('_Dates'!Z437,Settings!$B$9))))))</ns0:f>
        <ns0:v>0</ns0:v>
      </ns0:c>
      <ns0:c r="I437" s="0">
        <ns0:f>MAX(0,G437-H437)</ns0:f>
        <ns0:v>0</ns0:v>
      </ns0:c>
      <ns0:c r="J437" s="0">
        <ns0:f>IF(OR(A437=0,F437&lt;&gt;"OK",Bookings!G437="Cancelled",$B$6&gt;0),0,IF('_Dates'!AC437=1,MAX(0,COUNTIFS(rngEngine_B,B437,rngAMStart,"&lt;="&amp;'_Dates'!X437,rngAMEnd,"&gt;="&amp;'_Dates'!W437,rngAMActive,1,rngEngine_F,"OK",rngBookings_F,"&lt;&gt;Cancelled")-1),0)+IF('_Dates'!AD437=1,MAX(0,COUNTIFS(rngEngine_B,B437,rngPMStart,"&lt;="&amp;'_Dates'!Z437,rngPMEnd,"&gt;="&amp;'_Dates'!Y437,rngPMActive,1,rngEngine_F,"OK",rngBookings_F,"&lt;&gt;Cancelled")-1),0))</ns0:f>
        <ns0:v>0</ns0:v>
      </ns0:c>
      <ns0:c r="K437" s="0" t="str">
        <ns0:f>IF(A437=0,"",IF(F437&lt;&gt;"OK",F437,IF(J437&gt;0,"CHECK overlapping entry",IF(AND($B$6=0,G437&lt;=0,Bookings!G437&lt;&gt;"Cancelled"),"CHECK no working days",IF(Bookings!G437="Cancelled","Cancelled","OK")))))</ns0:f>
        <ns0:v/>
      </ns0:c>
      <ns0:c r="L437" s="0">
        <ns0:f>IF(LEFT(K437,5)="CHECK",1,0)</ns0:f>
        <ns0:v>0</ns0:v>
      </ns0:c>
      <ns0:c r="M437" s="0">
        <ns0:f>IF(AND(L437=1,OR(C437=0,IFERROR(INDEX($X$11:$X$60,C437),0)=0)),1,0)</ns0:f>
        <ns0:v>0</ns0:v>
      </ns0:c>
      <ns0:c r="N437" s="0">
        <ns0:f>IF(OR(A437=0,L437&gt;0,$B$6&gt;0,Bookings!G437="Cancelled"),0,G437)</ns0:f>
        <ns0:v>0</ns0:v>
      </ns0:c>
      <ns0:c r="O437" s="0">
        <ns0:f>IF(AND(Bookings!G437="Approved",E437="Yes"),N437,0)</ns0:f>
        <ns0:v>0</ns0:v>
      </ns0:c>
      <ns0:c r="P437" s="0">
        <ns0:f>IF(AND(Bookings!G437="Approved",E437="Yes",L437=0,$B$6=0),H437,0)</ns0:f>
        <ns0:v>0</ns0:v>
      </ns0:c>
      <ns0:c r="Q437" s="0">
        <ns0:f>IF(AND(Bookings!G437="Approved",E437="Yes",L437=0,$B$6=0),I437,0)</ns0:f>
        <ns0:v>0</ns0:v>
      </ns0:c>
      <ns0:c r="R437" s="0">
        <ns0:f>IF(AND(Bookings!G437="Pending",E437="Yes"),N437,0)</ns0:f>
        <ns0:v>0</ns0:v>
      </ns0:c>
      <ns0:c r="S437" s="0">
        <ns0:f>IF(AND(Bookings!G437="Approved",E437="No"),N437,0)</ns0:f>
        <ns0:v>0</ns0:v>
      </ns0:c>
      <ns0:c r="T437" s="0">
        <ns0:f>IFERROR(MATCH(D437,Settings!$G$7:$G$11,0),0)</ns0:f>
        <ns0:v>0</ns0:v>
      </ns0:c>
      <ns0:c r="U437" s="0">
        <ns0:f>IF(N437&gt;0,T437+IF(Bookings!G437="Pending",10,0),0)</ns0:f>
        <ns0:v>0</ns0:v>
      </ns0:c>
      <ns0:c r="V437" s="0">
        <ns0:f>U437</ns0:f>
        <ns0:v>0</ns0:v>
      </ns0:c>
      <ns0:c r="W437" s="0" t="str">
        <ns0:f>IF(C437=0,"",INDEX($AP$11:$AP$60,C437))</ns0:f>
        <ns0:v/>
      </ns0:c>
    </ns0:row>
    <ns0:row r="438">
      <ns0:c r="A438" s="0">
        <ns0:f>IF(COUNTA(Bookings!A438:G438,Bookings!I438)=0,0,1)</ns0:f>
        <ns0:v>0</ns0:v>
      </ns0:c>
      <ns0:c r="B438" s="0" t="str">
        <ns0:f>IFERROR(TRIM(MID(Bookings!A438,FIND(" · ",Bookings!A438)+3,99)),"")</ns0:f>
        <ns0:v/>
      </ns0:c>
      <ns0:c r="C438" s="0">
        <ns0:f>IF(OR(B438="",LEN(B438)&gt;24,ISNUMBER(FIND(" ",B438)),ISNUMBER(FIND("*",B438)),ISNUMBER(FIND("?",B438)),ISNUMBER(FIND("~",B438))),0,IFERROR(MATCH(B438,Team!$A$11:$A$60,0),0))</ns0:f>
        <ns0:v>0</ns0:v>
      </ns0:c>
      <ns0:c r="D438" s="0" t="str">
        <ns0:f>IFERROR(IF(MID(Bookings!F438,LEN(Bookings!F438)-3,3)=" · ",RIGHT(Bookings!F438,1),""),"")</ns0:f>
        <ns0:v/>
      </ns0:c>
      <ns0:c r="E438" s="0" t="str">
        <ns0:f>IFERROR(INDEX(Settings!$H$7:$H$11,MATCH(D438,Settings!$G$7:$G$11,0)),"")</ns0:f>
        <ns0:v/>
      </ns0:c>
      <ns0:c r="F438" s="0" t="str">
        <ns0:f>IF(A438=0,"",IFERROR(IF(OR(B438="",C438=0),"CHECK employee selection",IF(INDEX(Team!$O$11:$O$60,C438)&lt;&gt;"OK","CHECK employee setup",IF(OR('_Dates'!J438=0,'_Dates'!T438=0),"CHECK date: use DD.MM.YYYY",IF('_Dates'!T438&lt;'_Dates'!J438,"CHECK end before start",IF(AND($B$6=0,OR('_Dates'!J438&lt;Settings!$B$7,'_Dates'!T438&gt;Settings!$B$8)),"CHECK split across leave years",IF(OR(NOT(OR('_Dates'!U438="Full day",'_Dates'!U438="AM",'_Dates'!U438="PM")),NOT(OR('_Dates'!V438="Full day",'_Dates'!V438="AM",'_Dates'!V438="PM"))),"CHECK Full day / AM / PM",IF(AND('_Dates'!J438='_Dates'!T438,'_Dates'!U438&lt;&gt;"Full day",'_Dates'!V438&lt;&gt;"Full day",'_Dates'!U438&lt;&gt;'_Dates'!V438),"CHECK same-day portions disagree",IF(AND($B$6=0,OR(AND('_Dates'!U438&lt;&gt;"Full day",'_Dates'!AA438=0),AND('_Dates'!V438&lt;&gt;"Full day",'_Dates'!AB438=0))),"CHECK half-day on non-working date",IF(COUNTIF(Settings!$G$7:$G$11,D438)&lt;&gt;1,"CHECK leave type",IF(AND(Bookings!G438&lt;&gt;"Approved",Bookings!G438&lt;&gt;"Pending",Bookings!G438&lt;&gt;"Cancelled"),"CHECK status","OK")))))))))),"CHECK input"))</ns0:f>
        <ns0:v/>
      </ns0:c>
      <ns0:c r="G438" s="0">
        <ns0:f>IF(OR(F438&lt;&gt;"OK",$B$6&gt;0),0,0.5*(IF(('_Dates'!X438)&lt;('_Dates'!W438),0,INT((('_Dates'!X438)-('_Dates'!W438)+1)/7)*LEN(SUBSTITUTE(W438,"O",""))+LEN(SUBSTITUTE(MID(W438&amp;W438,WEEKDAY(('_Dates'!W438),2),MOD((('_Dates'!X438)-('_Dates'!W438)+1),7)),"O",""))-COUNTIFS(INDEX(AllClosureRows,C438,0),"&gt;="&amp;('_Dates'!W438),INDEX(AllClosureRows,C438,0),"&lt;="&amp;('_Dates'!X438)))+IF(('_Dates'!Z438)&lt;('_Dates'!Y438),0,INT((('_Dates'!Z438)-('_Dates'!Y438)+1)/7)*LEN(SUBSTITUTE(W438,"O",""))+LEN(SUBSTITUTE(MID(W438&amp;W438,WEEKDAY(('_Dates'!Y438),2),MOD((('_Dates'!Z438)-('_Dates'!Y438)+1),7)),"O",""))-COUNTIFS(INDEX(AllClosureRows,C438,0),"&gt;="&amp;('_Dates'!Y438),INDEX(AllClosureRows,C438,0),"&lt;="&amp;('_Dates'!Z438)))))</ns0:f>
        <ns0:v>0</ns0:v>
      </ns0:c>
      <ns0:c r="H438" s="0">
        <ns0:f>IF(OR(F438&lt;&gt;"OK",$B$6&gt;0),0,0.5*(IF((MIN('_Dates'!X438,Settings!$B$9))&lt;('_Dates'!W438),0,INT(((MIN('_Dates'!X438,Settings!$B$9))-('_Dates'!W438)+1)/7)*LEN(SUBSTITUTE(W438,"O",""))+LEN(SUBSTITUTE(MID(W438&amp;W438,WEEKDAY(('_Dates'!W438),2),MOD(((MIN('_Dates'!X438,Settings!$B$9))-('_Dates'!W438)+1),7)),"O",""))-COUNTIFS(INDEX(AllClosureRows,C438,0),"&gt;="&amp;('_Dates'!W438),INDEX(AllClosureRows,C438,0),"&lt;="&amp;(MIN('_Dates'!X438,Settings!$B$9))))+IF((MIN('_Dates'!Z438,Settings!$B$9))&lt;('_Dates'!Y438),0,INT(((MIN('_Dates'!Z438,Settings!$B$9))-('_Dates'!Y438)+1)/7)*LEN(SUBSTITUTE(W438,"O",""))+LEN(SUBSTITUTE(MID(W438&amp;W438,WEEKDAY(('_Dates'!Y438),2),MOD(((MIN('_Dates'!Z438,Settings!$B$9))-('_Dates'!Y438)+1),7)),"O",""))-COUNTIFS(INDEX(AllClosureRows,C438,0),"&gt;="&amp;('_Dates'!Y438),INDEX(AllClosureRows,C438,0),"&lt;="&amp;(MIN('_Dates'!Z438,Settings!$B$9))))))</ns0:f>
        <ns0:v>0</ns0:v>
      </ns0:c>
      <ns0:c r="I438" s="0">
        <ns0:f>MAX(0,G438-H438)</ns0:f>
        <ns0:v>0</ns0:v>
      </ns0:c>
      <ns0:c r="J438" s="0">
        <ns0:f>IF(OR(A438=0,F438&lt;&gt;"OK",Bookings!G438="Cancelled",$B$6&gt;0),0,IF('_Dates'!AC438=1,MAX(0,COUNTIFS(rngEngine_B,B438,rngAMStart,"&lt;="&amp;'_Dates'!X438,rngAMEnd,"&gt;="&amp;'_Dates'!W438,rngAMActive,1,rngEngine_F,"OK",rngBookings_F,"&lt;&gt;Cancelled")-1),0)+IF('_Dates'!AD438=1,MAX(0,COUNTIFS(rngEngine_B,B438,rngPMStart,"&lt;="&amp;'_Dates'!Z438,rngPMEnd,"&gt;="&amp;'_Dates'!Y438,rngPMActive,1,rngEngine_F,"OK",rngBookings_F,"&lt;&gt;Cancelled")-1),0))</ns0:f>
        <ns0:v>0</ns0:v>
      </ns0:c>
      <ns0:c r="K438" s="0" t="str">
        <ns0:f>IF(A438=0,"",IF(F438&lt;&gt;"OK",F438,IF(J438&gt;0,"CHECK overlapping entry",IF(AND($B$6=0,G438&lt;=0,Bookings!G438&lt;&gt;"Cancelled"),"CHECK no working days",IF(Bookings!G438="Cancelled","Cancelled","OK")))))</ns0:f>
        <ns0:v/>
      </ns0:c>
      <ns0:c r="L438" s="0">
        <ns0:f>IF(LEFT(K438,5)="CHECK",1,0)</ns0:f>
        <ns0:v>0</ns0:v>
      </ns0:c>
      <ns0:c r="M438" s="0">
        <ns0:f>IF(AND(L438=1,OR(C438=0,IFERROR(INDEX($X$11:$X$60,C438),0)=0)),1,0)</ns0:f>
        <ns0:v>0</ns0:v>
      </ns0:c>
      <ns0:c r="N438" s="0">
        <ns0:f>IF(OR(A438=0,L438&gt;0,$B$6&gt;0,Bookings!G438="Cancelled"),0,G438)</ns0:f>
        <ns0:v>0</ns0:v>
      </ns0:c>
      <ns0:c r="O438" s="0">
        <ns0:f>IF(AND(Bookings!G438="Approved",E438="Yes"),N438,0)</ns0:f>
        <ns0:v>0</ns0:v>
      </ns0:c>
      <ns0:c r="P438" s="0">
        <ns0:f>IF(AND(Bookings!G438="Approved",E438="Yes",L438=0,$B$6=0),H438,0)</ns0:f>
        <ns0:v>0</ns0:v>
      </ns0:c>
      <ns0:c r="Q438" s="0">
        <ns0:f>IF(AND(Bookings!G438="Approved",E438="Yes",L438=0,$B$6=0),I438,0)</ns0:f>
        <ns0:v>0</ns0:v>
      </ns0:c>
      <ns0:c r="R438" s="0">
        <ns0:f>IF(AND(Bookings!G438="Pending",E438="Yes"),N438,0)</ns0:f>
        <ns0:v>0</ns0:v>
      </ns0:c>
      <ns0:c r="S438" s="0">
        <ns0:f>IF(AND(Bookings!G438="Approved",E438="No"),N438,0)</ns0:f>
        <ns0:v>0</ns0:v>
      </ns0:c>
      <ns0:c r="T438" s="0">
        <ns0:f>IFERROR(MATCH(D438,Settings!$G$7:$G$11,0),0)</ns0:f>
        <ns0:v>0</ns0:v>
      </ns0:c>
      <ns0:c r="U438" s="0">
        <ns0:f>IF(N438&gt;0,T438+IF(Bookings!G438="Pending",10,0),0)</ns0:f>
        <ns0:v>0</ns0:v>
      </ns0:c>
      <ns0:c r="V438" s="0">
        <ns0:f>U438</ns0:f>
        <ns0:v>0</ns0:v>
      </ns0:c>
      <ns0:c r="W438" s="0" t="str">
        <ns0:f>IF(C438=0,"",INDEX($AP$11:$AP$60,C438))</ns0:f>
        <ns0:v/>
      </ns0:c>
    </ns0:row>
    <ns0:row r="439">
      <ns0:c r="A439" s="0">
        <ns0:f>IF(COUNTA(Bookings!A439:G439,Bookings!I439)=0,0,1)</ns0:f>
        <ns0:v>0</ns0:v>
      </ns0:c>
      <ns0:c r="B439" s="0" t="str">
        <ns0:f>IFERROR(TRIM(MID(Bookings!A439,FIND(" · ",Bookings!A439)+3,99)),"")</ns0:f>
        <ns0:v/>
      </ns0:c>
      <ns0:c r="C439" s="0">
        <ns0:f>IF(OR(B439="",LEN(B439)&gt;24,ISNUMBER(FIND(" ",B439)),ISNUMBER(FIND("*",B439)),ISNUMBER(FIND("?",B439)),ISNUMBER(FIND("~",B439))),0,IFERROR(MATCH(B439,Team!$A$11:$A$60,0),0))</ns0:f>
        <ns0:v>0</ns0:v>
      </ns0:c>
      <ns0:c r="D439" s="0" t="str">
        <ns0:f>IFERROR(IF(MID(Bookings!F439,LEN(Bookings!F439)-3,3)=" · ",RIGHT(Bookings!F439,1),""),"")</ns0:f>
        <ns0:v/>
      </ns0:c>
      <ns0:c r="E439" s="0" t="str">
        <ns0:f>IFERROR(INDEX(Settings!$H$7:$H$11,MATCH(D439,Settings!$G$7:$G$11,0)),"")</ns0:f>
        <ns0:v/>
      </ns0:c>
      <ns0:c r="F439" s="0" t="str">
        <ns0:f>IF(A439=0,"",IFERROR(IF(OR(B439="",C439=0),"CHECK employee selection",IF(INDEX(Team!$O$11:$O$60,C439)&lt;&gt;"OK","CHECK employee setup",IF(OR('_Dates'!J439=0,'_Dates'!T439=0),"CHECK date: use DD.MM.YYYY",IF('_Dates'!T439&lt;'_Dates'!J439,"CHECK end before start",IF(AND($B$6=0,OR('_Dates'!J439&lt;Settings!$B$7,'_Dates'!T439&gt;Settings!$B$8)),"CHECK split across leave years",IF(OR(NOT(OR('_Dates'!U439="Full day",'_Dates'!U439="AM",'_Dates'!U439="PM")),NOT(OR('_Dates'!V439="Full day",'_Dates'!V439="AM",'_Dates'!V439="PM"))),"CHECK Full day / AM / PM",IF(AND('_Dates'!J439='_Dates'!T439,'_Dates'!U439&lt;&gt;"Full day",'_Dates'!V439&lt;&gt;"Full day",'_Dates'!U439&lt;&gt;'_Dates'!V439),"CHECK same-day portions disagree",IF(AND($B$6=0,OR(AND('_Dates'!U439&lt;&gt;"Full day",'_Dates'!AA439=0),AND('_Dates'!V439&lt;&gt;"Full day",'_Dates'!AB439=0))),"CHECK half-day on non-working date",IF(COUNTIF(Settings!$G$7:$G$11,D439)&lt;&gt;1,"CHECK leave type",IF(AND(Bookings!G439&lt;&gt;"Approved",Bookings!G439&lt;&gt;"Pending",Bookings!G439&lt;&gt;"Cancelled"),"CHECK status","OK")))))))))),"CHECK input"))</ns0:f>
        <ns0:v/>
      </ns0:c>
      <ns0:c r="G439" s="0">
        <ns0:f>IF(OR(F439&lt;&gt;"OK",$B$6&gt;0),0,0.5*(IF(('_Dates'!X439)&lt;('_Dates'!W439),0,INT((('_Dates'!X439)-('_Dates'!W439)+1)/7)*LEN(SUBSTITUTE(W439,"O",""))+LEN(SUBSTITUTE(MID(W439&amp;W439,WEEKDAY(('_Dates'!W439),2),MOD((('_Dates'!X439)-('_Dates'!W439)+1),7)),"O",""))-COUNTIFS(INDEX(AllClosureRows,C439,0),"&gt;="&amp;('_Dates'!W439),INDEX(AllClosureRows,C439,0),"&lt;="&amp;('_Dates'!X439)))+IF(('_Dates'!Z439)&lt;('_Dates'!Y439),0,INT((('_Dates'!Z439)-('_Dates'!Y439)+1)/7)*LEN(SUBSTITUTE(W439,"O",""))+LEN(SUBSTITUTE(MID(W439&amp;W439,WEEKDAY(('_Dates'!Y439),2),MOD((('_Dates'!Z439)-('_Dates'!Y439)+1),7)),"O",""))-COUNTIFS(INDEX(AllClosureRows,C439,0),"&gt;="&amp;('_Dates'!Y439),INDEX(AllClosureRows,C439,0),"&lt;="&amp;('_Dates'!Z439)))))</ns0:f>
        <ns0:v>0</ns0:v>
      </ns0:c>
      <ns0:c r="H439" s="0">
        <ns0:f>IF(OR(F439&lt;&gt;"OK",$B$6&gt;0),0,0.5*(IF((MIN('_Dates'!X439,Settings!$B$9))&lt;('_Dates'!W439),0,INT(((MIN('_Dates'!X439,Settings!$B$9))-('_Dates'!W439)+1)/7)*LEN(SUBSTITUTE(W439,"O",""))+LEN(SUBSTITUTE(MID(W439&amp;W439,WEEKDAY(('_Dates'!W439),2),MOD(((MIN('_Dates'!X439,Settings!$B$9))-('_Dates'!W439)+1),7)),"O",""))-COUNTIFS(INDEX(AllClosureRows,C439,0),"&gt;="&amp;('_Dates'!W439),INDEX(AllClosureRows,C439,0),"&lt;="&amp;(MIN('_Dates'!X439,Settings!$B$9))))+IF((MIN('_Dates'!Z439,Settings!$B$9))&lt;('_Dates'!Y439),0,INT(((MIN('_Dates'!Z439,Settings!$B$9))-('_Dates'!Y439)+1)/7)*LEN(SUBSTITUTE(W439,"O",""))+LEN(SUBSTITUTE(MID(W439&amp;W439,WEEKDAY(('_Dates'!Y439),2),MOD(((MIN('_Dates'!Z439,Settings!$B$9))-('_Dates'!Y439)+1),7)),"O",""))-COUNTIFS(INDEX(AllClosureRows,C439,0),"&gt;="&amp;('_Dates'!Y439),INDEX(AllClosureRows,C439,0),"&lt;="&amp;(MIN('_Dates'!Z439,Settings!$B$9))))))</ns0:f>
        <ns0:v>0</ns0:v>
      </ns0:c>
      <ns0:c r="I439" s="0">
        <ns0:f>MAX(0,G439-H439)</ns0:f>
        <ns0:v>0</ns0:v>
      </ns0:c>
      <ns0:c r="J439" s="0">
        <ns0:f>IF(OR(A439=0,F439&lt;&gt;"OK",Bookings!G439="Cancelled",$B$6&gt;0),0,IF('_Dates'!AC439=1,MAX(0,COUNTIFS(rngEngine_B,B439,rngAMStart,"&lt;="&amp;'_Dates'!X439,rngAMEnd,"&gt;="&amp;'_Dates'!W439,rngAMActive,1,rngEngine_F,"OK",rngBookings_F,"&lt;&gt;Cancelled")-1),0)+IF('_Dates'!AD439=1,MAX(0,COUNTIFS(rngEngine_B,B439,rngPMStart,"&lt;="&amp;'_Dates'!Z439,rngPMEnd,"&gt;="&amp;'_Dates'!Y439,rngPMActive,1,rngEngine_F,"OK",rngBookings_F,"&lt;&gt;Cancelled")-1),0))</ns0:f>
        <ns0:v>0</ns0:v>
      </ns0:c>
      <ns0:c r="K439" s="0" t="str">
        <ns0:f>IF(A439=0,"",IF(F439&lt;&gt;"OK",F439,IF(J439&gt;0,"CHECK overlapping entry",IF(AND($B$6=0,G439&lt;=0,Bookings!G439&lt;&gt;"Cancelled"),"CHECK no working days",IF(Bookings!G439="Cancelled","Cancelled","OK")))))</ns0:f>
        <ns0:v/>
      </ns0:c>
      <ns0:c r="L439" s="0">
        <ns0:f>IF(LEFT(K439,5)="CHECK",1,0)</ns0:f>
        <ns0:v>0</ns0:v>
      </ns0:c>
      <ns0:c r="M439" s="0">
        <ns0:f>IF(AND(L439=1,OR(C439=0,IFERROR(INDEX($X$11:$X$60,C439),0)=0)),1,0)</ns0:f>
        <ns0:v>0</ns0:v>
      </ns0:c>
      <ns0:c r="N439" s="0">
        <ns0:f>IF(OR(A439=0,L439&gt;0,$B$6&gt;0,Bookings!G439="Cancelled"),0,G439)</ns0:f>
        <ns0:v>0</ns0:v>
      </ns0:c>
      <ns0:c r="O439" s="0">
        <ns0:f>IF(AND(Bookings!G439="Approved",E439="Yes"),N439,0)</ns0:f>
        <ns0:v>0</ns0:v>
      </ns0:c>
      <ns0:c r="P439" s="0">
        <ns0:f>IF(AND(Bookings!G439="Approved",E439="Yes",L439=0,$B$6=0),H439,0)</ns0:f>
        <ns0:v>0</ns0:v>
      </ns0:c>
      <ns0:c r="Q439" s="0">
        <ns0:f>IF(AND(Bookings!G439="Approved",E439="Yes",L439=0,$B$6=0),I439,0)</ns0:f>
        <ns0:v>0</ns0:v>
      </ns0:c>
      <ns0:c r="R439" s="0">
        <ns0:f>IF(AND(Bookings!G439="Pending",E439="Yes"),N439,0)</ns0:f>
        <ns0:v>0</ns0:v>
      </ns0:c>
      <ns0:c r="S439" s="0">
        <ns0:f>IF(AND(Bookings!G439="Approved",E439="No"),N439,0)</ns0:f>
        <ns0:v>0</ns0:v>
      </ns0:c>
      <ns0:c r="T439" s="0">
        <ns0:f>IFERROR(MATCH(D439,Settings!$G$7:$G$11,0),0)</ns0:f>
        <ns0:v>0</ns0:v>
      </ns0:c>
      <ns0:c r="U439" s="0">
        <ns0:f>IF(N439&gt;0,T439+IF(Bookings!G439="Pending",10,0),0)</ns0:f>
        <ns0:v>0</ns0:v>
      </ns0:c>
      <ns0:c r="V439" s="0">
        <ns0:f>U439</ns0:f>
        <ns0:v>0</ns0:v>
      </ns0:c>
      <ns0:c r="W439" s="0" t="str">
        <ns0:f>IF(C439=0,"",INDEX($AP$11:$AP$60,C439))</ns0:f>
        <ns0:v/>
      </ns0:c>
    </ns0:row>
    <ns0:row r="440">
      <ns0:c r="A440" s="0">
        <ns0:f>IF(COUNTA(Bookings!A440:G440,Bookings!I440)=0,0,1)</ns0:f>
        <ns0:v>0</ns0:v>
      </ns0:c>
      <ns0:c r="B440" s="0" t="str">
        <ns0:f>IFERROR(TRIM(MID(Bookings!A440,FIND(" · ",Bookings!A440)+3,99)),"")</ns0:f>
        <ns0:v/>
      </ns0:c>
      <ns0:c r="C440" s="0">
        <ns0:f>IF(OR(B440="",LEN(B440)&gt;24,ISNUMBER(FIND(" ",B440)),ISNUMBER(FIND("*",B440)),ISNUMBER(FIND("?",B440)),ISNUMBER(FIND("~",B440))),0,IFERROR(MATCH(B440,Team!$A$11:$A$60,0),0))</ns0:f>
        <ns0:v>0</ns0:v>
      </ns0:c>
      <ns0:c r="D440" s="0" t="str">
        <ns0:f>IFERROR(IF(MID(Bookings!F440,LEN(Bookings!F440)-3,3)=" · ",RIGHT(Bookings!F440,1),""),"")</ns0:f>
        <ns0:v/>
      </ns0:c>
      <ns0:c r="E440" s="0" t="str">
        <ns0:f>IFERROR(INDEX(Settings!$H$7:$H$11,MATCH(D440,Settings!$G$7:$G$11,0)),"")</ns0:f>
        <ns0:v/>
      </ns0:c>
      <ns0:c r="F440" s="0" t="str">
        <ns0:f>IF(A440=0,"",IFERROR(IF(OR(B440="",C440=0),"CHECK employee selection",IF(INDEX(Team!$O$11:$O$60,C440)&lt;&gt;"OK","CHECK employee setup",IF(OR('_Dates'!J440=0,'_Dates'!T440=0),"CHECK date: use DD.MM.YYYY",IF('_Dates'!T440&lt;'_Dates'!J440,"CHECK end before start",IF(AND($B$6=0,OR('_Dates'!J440&lt;Settings!$B$7,'_Dates'!T440&gt;Settings!$B$8)),"CHECK split across leave years",IF(OR(NOT(OR('_Dates'!U440="Full day",'_Dates'!U440="AM",'_Dates'!U440="PM")),NOT(OR('_Dates'!V440="Full day",'_Dates'!V440="AM",'_Dates'!V440="PM"))),"CHECK Full day / AM / PM",IF(AND('_Dates'!J440='_Dates'!T440,'_Dates'!U440&lt;&gt;"Full day",'_Dates'!V440&lt;&gt;"Full day",'_Dates'!U440&lt;&gt;'_Dates'!V440),"CHECK same-day portions disagree",IF(AND($B$6=0,OR(AND('_Dates'!U440&lt;&gt;"Full day",'_Dates'!AA440=0),AND('_Dates'!V440&lt;&gt;"Full day",'_Dates'!AB440=0))),"CHECK half-day on non-working date",IF(COUNTIF(Settings!$G$7:$G$11,D440)&lt;&gt;1,"CHECK leave type",IF(AND(Bookings!G440&lt;&gt;"Approved",Bookings!G440&lt;&gt;"Pending",Bookings!G440&lt;&gt;"Cancelled"),"CHECK status","OK")))))))))),"CHECK input"))</ns0:f>
        <ns0:v/>
      </ns0:c>
      <ns0:c r="G440" s="0">
        <ns0:f>IF(OR(F440&lt;&gt;"OK",$B$6&gt;0),0,0.5*(IF(('_Dates'!X440)&lt;('_Dates'!W440),0,INT((('_Dates'!X440)-('_Dates'!W440)+1)/7)*LEN(SUBSTITUTE(W440,"O",""))+LEN(SUBSTITUTE(MID(W440&amp;W440,WEEKDAY(('_Dates'!W440),2),MOD((('_Dates'!X440)-('_Dates'!W440)+1),7)),"O",""))-COUNTIFS(INDEX(AllClosureRows,C440,0),"&gt;="&amp;('_Dates'!W440),INDEX(AllClosureRows,C440,0),"&lt;="&amp;('_Dates'!X440)))+IF(('_Dates'!Z440)&lt;('_Dates'!Y440),0,INT((('_Dates'!Z440)-('_Dates'!Y440)+1)/7)*LEN(SUBSTITUTE(W440,"O",""))+LEN(SUBSTITUTE(MID(W440&amp;W440,WEEKDAY(('_Dates'!Y440),2),MOD((('_Dates'!Z440)-('_Dates'!Y440)+1),7)),"O",""))-COUNTIFS(INDEX(AllClosureRows,C440,0),"&gt;="&amp;('_Dates'!Y440),INDEX(AllClosureRows,C440,0),"&lt;="&amp;('_Dates'!Z440)))))</ns0:f>
        <ns0:v>0</ns0:v>
      </ns0:c>
      <ns0:c r="H440" s="0">
        <ns0:f>IF(OR(F440&lt;&gt;"OK",$B$6&gt;0),0,0.5*(IF((MIN('_Dates'!X440,Settings!$B$9))&lt;('_Dates'!W440),0,INT(((MIN('_Dates'!X440,Settings!$B$9))-('_Dates'!W440)+1)/7)*LEN(SUBSTITUTE(W440,"O",""))+LEN(SUBSTITUTE(MID(W440&amp;W440,WEEKDAY(('_Dates'!W440),2),MOD(((MIN('_Dates'!X440,Settings!$B$9))-('_Dates'!W440)+1),7)),"O",""))-COUNTIFS(INDEX(AllClosureRows,C440,0),"&gt;="&amp;('_Dates'!W440),INDEX(AllClosureRows,C440,0),"&lt;="&amp;(MIN('_Dates'!X440,Settings!$B$9))))+IF((MIN('_Dates'!Z440,Settings!$B$9))&lt;('_Dates'!Y440),0,INT(((MIN('_Dates'!Z440,Settings!$B$9))-('_Dates'!Y440)+1)/7)*LEN(SUBSTITUTE(W440,"O",""))+LEN(SUBSTITUTE(MID(W440&amp;W440,WEEKDAY(('_Dates'!Y440),2),MOD(((MIN('_Dates'!Z440,Settings!$B$9))-('_Dates'!Y440)+1),7)),"O",""))-COUNTIFS(INDEX(AllClosureRows,C440,0),"&gt;="&amp;('_Dates'!Y440),INDEX(AllClosureRows,C440,0),"&lt;="&amp;(MIN('_Dates'!Z440,Settings!$B$9))))))</ns0:f>
        <ns0:v>0</ns0:v>
      </ns0:c>
      <ns0:c r="I440" s="0">
        <ns0:f>MAX(0,G440-H440)</ns0:f>
        <ns0:v>0</ns0:v>
      </ns0:c>
      <ns0:c r="J440" s="0">
        <ns0:f>IF(OR(A440=0,F440&lt;&gt;"OK",Bookings!G440="Cancelled",$B$6&gt;0),0,IF('_Dates'!AC440=1,MAX(0,COUNTIFS(rngEngine_B,B440,rngAMStart,"&lt;="&amp;'_Dates'!X440,rngAMEnd,"&gt;="&amp;'_Dates'!W440,rngAMActive,1,rngEngine_F,"OK",rngBookings_F,"&lt;&gt;Cancelled")-1),0)+IF('_Dates'!AD440=1,MAX(0,COUNTIFS(rngEngine_B,B440,rngPMStart,"&lt;="&amp;'_Dates'!Z440,rngPMEnd,"&gt;="&amp;'_Dates'!Y440,rngPMActive,1,rngEngine_F,"OK",rngBookings_F,"&lt;&gt;Cancelled")-1),0))</ns0:f>
        <ns0:v>0</ns0:v>
      </ns0:c>
      <ns0:c r="K440" s="0" t="str">
        <ns0:f>IF(A440=0,"",IF(F440&lt;&gt;"OK",F440,IF(J440&gt;0,"CHECK overlapping entry",IF(AND($B$6=0,G440&lt;=0,Bookings!G440&lt;&gt;"Cancelled"),"CHECK no working days",IF(Bookings!G440="Cancelled","Cancelled","OK")))))</ns0:f>
        <ns0:v/>
      </ns0:c>
      <ns0:c r="L440" s="0">
        <ns0:f>IF(LEFT(K440,5)="CHECK",1,0)</ns0:f>
        <ns0:v>0</ns0:v>
      </ns0:c>
      <ns0:c r="M440" s="0">
        <ns0:f>IF(AND(L440=1,OR(C440=0,IFERROR(INDEX($X$11:$X$60,C440),0)=0)),1,0)</ns0:f>
        <ns0:v>0</ns0:v>
      </ns0:c>
      <ns0:c r="N440" s="0">
        <ns0:f>IF(OR(A440=0,L440&gt;0,$B$6&gt;0,Bookings!G440="Cancelled"),0,G440)</ns0:f>
        <ns0:v>0</ns0:v>
      </ns0:c>
      <ns0:c r="O440" s="0">
        <ns0:f>IF(AND(Bookings!G440="Approved",E440="Yes"),N440,0)</ns0:f>
        <ns0:v>0</ns0:v>
      </ns0:c>
      <ns0:c r="P440" s="0">
        <ns0:f>IF(AND(Bookings!G440="Approved",E440="Yes",L440=0,$B$6=0),H440,0)</ns0:f>
        <ns0:v>0</ns0:v>
      </ns0:c>
      <ns0:c r="Q440" s="0">
        <ns0:f>IF(AND(Bookings!G440="Approved",E440="Yes",L440=0,$B$6=0),I440,0)</ns0:f>
        <ns0:v>0</ns0:v>
      </ns0:c>
      <ns0:c r="R440" s="0">
        <ns0:f>IF(AND(Bookings!G440="Pending",E440="Yes"),N440,0)</ns0:f>
        <ns0:v>0</ns0:v>
      </ns0:c>
      <ns0:c r="S440" s="0">
        <ns0:f>IF(AND(Bookings!G440="Approved",E440="No"),N440,0)</ns0:f>
        <ns0:v>0</ns0:v>
      </ns0:c>
      <ns0:c r="T440" s="0">
        <ns0:f>IFERROR(MATCH(D440,Settings!$G$7:$G$11,0),0)</ns0:f>
        <ns0:v>0</ns0:v>
      </ns0:c>
      <ns0:c r="U440" s="0">
        <ns0:f>IF(N440&gt;0,T440+IF(Bookings!G440="Pending",10,0),0)</ns0:f>
        <ns0:v>0</ns0:v>
      </ns0:c>
      <ns0:c r="V440" s="0">
        <ns0:f>U440</ns0:f>
        <ns0:v>0</ns0:v>
      </ns0:c>
      <ns0:c r="W440" s="0" t="str">
        <ns0:f>IF(C440=0,"",INDEX($AP$11:$AP$60,C440))</ns0:f>
        <ns0:v/>
      </ns0:c>
    </ns0:row>
    <ns0:row r="441">
      <ns0:c r="A441" s="0">
        <ns0:f>IF(COUNTA(Bookings!A441:G441,Bookings!I441)=0,0,1)</ns0:f>
        <ns0:v>0</ns0:v>
      </ns0:c>
      <ns0:c r="B441" s="0" t="str">
        <ns0:f>IFERROR(TRIM(MID(Bookings!A441,FIND(" · ",Bookings!A441)+3,99)),"")</ns0:f>
        <ns0:v/>
      </ns0:c>
      <ns0:c r="C441" s="0">
        <ns0:f>IF(OR(B441="",LEN(B441)&gt;24,ISNUMBER(FIND(" ",B441)),ISNUMBER(FIND("*",B441)),ISNUMBER(FIND("?",B441)),ISNUMBER(FIND("~",B441))),0,IFERROR(MATCH(B441,Team!$A$11:$A$60,0),0))</ns0:f>
        <ns0:v>0</ns0:v>
      </ns0:c>
      <ns0:c r="D441" s="0" t="str">
        <ns0:f>IFERROR(IF(MID(Bookings!F441,LEN(Bookings!F441)-3,3)=" · ",RIGHT(Bookings!F441,1),""),"")</ns0:f>
        <ns0:v/>
      </ns0:c>
      <ns0:c r="E441" s="0" t="str">
        <ns0:f>IFERROR(INDEX(Settings!$H$7:$H$11,MATCH(D441,Settings!$G$7:$G$11,0)),"")</ns0:f>
        <ns0:v/>
      </ns0:c>
      <ns0:c r="F441" s="0" t="str">
        <ns0:f>IF(A441=0,"",IFERROR(IF(OR(B441="",C441=0),"CHECK employee selection",IF(INDEX(Team!$O$11:$O$60,C441)&lt;&gt;"OK","CHECK employee setup",IF(OR('_Dates'!J441=0,'_Dates'!T441=0),"CHECK date: use DD.MM.YYYY",IF('_Dates'!T441&lt;'_Dates'!J441,"CHECK end before start",IF(AND($B$6=0,OR('_Dates'!J441&lt;Settings!$B$7,'_Dates'!T441&gt;Settings!$B$8)),"CHECK split across leave years",IF(OR(NOT(OR('_Dates'!U441="Full day",'_Dates'!U441="AM",'_Dates'!U441="PM")),NOT(OR('_Dates'!V441="Full day",'_Dates'!V441="AM",'_Dates'!V441="PM"))),"CHECK Full day / AM / PM",IF(AND('_Dates'!J441='_Dates'!T441,'_Dates'!U441&lt;&gt;"Full day",'_Dates'!V441&lt;&gt;"Full day",'_Dates'!U441&lt;&gt;'_Dates'!V441),"CHECK same-day portions disagree",IF(AND($B$6=0,OR(AND('_Dates'!U441&lt;&gt;"Full day",'_Dates'!AA441=0),AND('_Dates'!V441&lt;&gt;"Full day",'_Dates'!AB441=0))),"CHECK half-day on non-working date",IF(COUNTIF(Settings!$G$7:$G$11,D441)&lt;&gt;1,"CHECK leave type",IF(AND(Bookings!G441&lt;&gt;"Approved",Bookings!G441&lt;&gt;"Pending",Bookings!G441&lt;&gt;"Cancelled"),"CHECK status","OK")))))))))),"CHECK input"))</ns0:f>
        <ns0:v/>
      </ns0:c>
      <ns0:c r="G441" s="0">
        <ns0:f>IF(OR(F441&lt;&gt;"OK",$B$6&gt;0),0,0.5*(IF(('_Dates'!X441)&lt;('_Dates'!W441),0,INT((('_Dates'!X441)-('_Dates'!W441)+1)/7)*LEN(SUBSTITUTE(W441,"O",""))+LEN(SUBSTITUTE(MID(W441&amp;W441,WEEKDAY(('_Dates'!W441),2),MOD((('_Dates'!X441)-('_Dates'!W441)+1),7)),"O",""))-COUNTIFS(INDEX(AllClosureRows,C441,0),"&gt;="&amp;('_Dates'!W441),INDEX(AllClosureRows,C441,0),"&lt;="&amp;('_Dates'!X441)))+IF(('_Dates'!Z441)&lt;('_Dates'!Y441),0,INT((('_Dates'!Z441)-('_Dates'!Y441)+1)/7)*LEN(SUBSTITUTE(W441,"O",""))+LEN(SUBSTITUTE(MID(W441&amp;W441,WEEKDAY(('_Dates'!Y441),2),MOD((('_Dates'!Z441)-('_Dates'!Y441)+1),7)),"O",""))-COUNTIFS(INDEX(AllClosureRows,C441,0),"&gt;="&amp;('_Dates'!Y441),INDEX(AllClosureRows,C441,0),"&lt;="&amp;('_Dates'!Z441)))))</ns0:f>
        <ns0:v>0</ns0:v>
      </ns0:c>
      <ns0:c r="H441" s="0">
        <ns0:f>IF(OR(F441&lt;&gt;"OK",$B$6&gt;0),0,0.5*(IF((MIN('_Dates'!X441,Settings!$B$9))&lt;('_Dates'!W441),0,INT(((MIN('_Dates'!X441,Settings!$B$9))-('_Dates'!W441)+1)/7)*LEN(SUBSTITUTE(W441,"O",""))+LEN(SUBSTITUTE(MID(W441&amp;W441,WEEKDAY(('_Dates'!W441),2),MOD(((MIN('_Dates'!X441,Settings!$B$9))-('_Dates'!W441)+1),7)),"O",""))-COUNTIFS(INDEX(AllClosureRows,C441,0),"&gt;="&amp;('_Dates'!W441),INDEX(AllClosureRows,C441,0),"&lt;="&amp;(MIN('_Dates'!X441,Settings!$B$9))))+IF((MIN('_Dates'!Z441,Settings!$B$9))&lt;('_Dates'!Y441),0,INT(((MIN('_Dates'!Z441,Settings!$B$9))-('_Dates'!Y441)+1)/7)*LEN(SUBSTITUTE(W441,"O",""))+LEN(SUBSTITUTE(MID(W441&amp;W441,WEEKDAY(('_Dates'!Y441),2),MOD(((MIN('_Dates'!Z441,Settings!$B$9))-('_Dates'!Y441)+1),7)),"O",""))-COUNTIFS(INDEX(AllClosureRows,C441,0),"&gt;="&amp;('_Dates'!Y441),INDEX(AllClosureRows,C441,0),"&lt;="&amp;(MIN('_Dates'!Z441,Settings!$B$9))))))</ns0:f>
        <ns0:v>0</ns0:v>
      </ns0:c>
      <ns0:c r="I441" s="0">
        <ns0:f>MAX(0,G441-H441)</ns0:f>
        <ns0:v>0</ns0:v>
      </ns0:c>
      <ns0:c r="J441" s="0">
        <ns0:f>IF(OR(A441=0,F441&lt;&gt;"OK",Bookings!G441="Cancelled",$B$6&gt;0),0,IF('_Dates'!AC441=1,MAX(0,COUNTIFS(rngEngine_B,B441,rngAMStart,"&lt;="&amp;'_Dates'!X441,rngAMEnd,"&gt;="&amp;'_Dates'!W441,rngAMActive,1,rngEngine_F,"OK",rngBookings_F,"&lt;&gt;Cancelled")-1),0)+IF('_Dates'!AD441=1,MAX(0,COUNTIFS(rngEngine_B,B441,rngPMStart,"&lt;="&amp;'_Dates'!Z441,rngPMEnd,"&gt;="&amp;'_Dates'!Y441,rngPMActive,1,rngEngine_F,"OK",rngBookings_F,"&lt;&gt;Cancelled")-1),0))</ns0:f>
        <ns0:v>0</ns0:v>
      </ns0:c>
      <ns0:c r="K441" s="0" t="str">
        <ns0:f>IF(A441=0,"",IF(F441&lt;&gt;"OK",F441,IF(J441&gt;0,"CHECK overlapping entry",IF(AND($B$6=0,G441&lt;=0,Bookings!G441&lt;&gt;"Cancelled"),"CHECK no working days",IF(Bookings!G441="Cancelled","Cancelled","OK")))))</ns0:f>
        <ns0:v/>
      </ns0:c>
      <ns0:c r="L441" s="0">
        <ns0:f>IF(LEFT(K441,5)="CHECK",1,0)</ns0:f>
        <ns0:v>0</ns0:v>
      </ns0:c>
      <ns0:c r="M441" s="0">
        <ns0:f>IF(AND(L441=1,OR(C441=0,IFERROR(INDEX($X$11:$X$60,C441),0)=0)),1,0)</ns0:f>
        <ns0:v>0</ns0:v>
      </ns0:c>
      <ns0:c r="N441" s="0">
        <ns0:f>IF(OR(A441=0,L441&gt;0,$B$6&gt;0,Bookings!G441="Cancelled"),0,G441)</ns0:f>
        <ns0:v>0</ns0:v>
      </ns0:c>
      <ns0:c r="O441" s="0">
        <ns0:f>IF(AND(Bookings!G441="Approved",E441="Yes"),N441,0)</ns0:f>
        <ns0:v>0</ns0:v>
      </ns0:c>
      <ns0:c r="P441" s="0">
        <ns0:f>IF(AND(Bookings!G441="Approved",E441="Yes",L441=0,$B$6=0),H441,0)</ns0:f>
        <ns0:v>0</ns0:v>
      </ns0:c>
      <ns0:c r="Q441" s="0">
        <ns0:f>IF(AND(Bookings!G441="Approved",E441="Yes",L441=0,$B$6=0),I441,0)</ns0:f>
        <ns0:v>0</ns0:v>
      </ns0:c>
      <ns0:c r="R441" s="0">
        <ns0:f>IF(AND(Bookings!G441="Pending",E441="Yes"),N441,0)</ns0:f>
        <ns0:v>0</ns0:v>
      </ns0:c>
      <ns0:c r="S441" s="0">
        <ns0:f>IF(AND(Bookings!G441="Approved",E441="No"),N441,0)</ns0:f>
        <ns0:v>0</ns0:v>
      </ns0:c>
      <ns0:c r="T441" s="0">
        <ns0:f>IFERROR(MATCH(D441,Settings!$G$7:$G$11,0),0)</ns0:f>
        <ns0:v>0</ns0:v>
      </ns0:c>
      <ns0:c r="U441" s="0">
        <ns0:f>IF(N441&gt;0,T441+IF(Bookings!G441="Pending",10,0),0)</ns0:f>
        <ns0:v>0</ns0:v>
      </ns0:c>
      <ns0:c r="V441" s="0">
        <ns0:f>U441</ns0:f>
        <ns0:v>0</ns0:v>
      </ns0:c>
      <ns0:c r="W441" s="0" t="str">
        <ns0:f>IF(C441=0,"",INDEX($AP$11:$AP$60,C441))</ns0:f>
        <ns0:v/>
      </ns0:c>
    </ns0:row>
    <ns0:row r="442">
      <ns0:c r="A442" s="0">
        <ns0:f>IF(COUNTA(Bookings!A442:G442,Bookings!I442)=0,0,1)</ns0:f>
        <ns0:v>0</ns0:v>
      </ns0:c>
      <ns0:c r="B442" s="0" t="str">
        <ns0:f>IFERROR(TRIM(MID(Bookings!A442,FIND(" · ",Bookings!A442)+3,99)),"")</ns0:f>
        <ns0:v/>
      </ns0:c>
      <ns0:c r="C442" s="0">
        <ns0:f>IF(OR(B442="",LEN(B442)&gt;24,ISNUMBER(FIND(" ",B442)),ISNUMBER(FIND("*",B442)),ISNUMBER(FIND("?",B442)),ISNUMBER(FIND("~",B442))),0,IFERROR(MATCH(B442,Team!$A$11:$A$60,0),0))</ns0:f>
        <ns0:v>0</ns0:v>
      </ns0:c>
      <ns0:c r="D442" s="0" t="str">
        <ns0:f>IFERROR(IF(MID(Bookings!F442,LEN(Bookings!F442)-3,3)=" · ",RIGHT(Bookings!F442,1),""),"")</ns0:f>
        <ns0:v/>
      </ns0:c>
      <ns0:c r="E442" s="0" t="str">
        <ns0:f>IFERROR(INDEX(Settings!$H$7:$H$11,MATCH(D442,Settings!$G$7:$G$11,0)),"")</ns0:f>
        <ns0:v/>
      </ns0:c>
      <ns0:c r="F442" s="0" t="str">
        <ns0:f>IF(A442=0,"",IFERROR(IF(OR(B442="",C442=0),"CHECK employee selection",IF(INDEX(Team!$O$11:$O$60,C442)&lt;&gt;"OK","CHECK employee setup",IF(OR('_Dates'!J442=0,'_Dates'!T442=0),"CHECK date: use DD.MM.YYYY",IF('_Dates'!T442&lt;'_Dates'!J442,"CHECK end before start",IF(AND($B$6=0,OR('_Dates'!J442&lt;Settings!$B$7,'_Dates'!T442&gt;Settings!$B$8)),"CHECK split across leave years",IF(OR(NOT(OR('_Dates'!U442="Full day",'_Dates'!U442="AM",'_Dates'!U442="PM")),NOT(OR('_Dates'!V442="Full day",'_Dates'!V442="AM",'_Dates'!V442="PM"))),"CHECK Full day / AM / PM",IF(AND('_Dates'!J442='_Dates'!T442,'_Dates'!U442&lt;&gt;"Full day",'_Dates'!V442&lt;&gt;"Full day",'_Dates'!U442&lt;&gt;'_Dates'!V442),"CHECK same-day portions disagree",IF(AND($B$6=0,OR(AND('_Dates'!U442&lt;&gt;"Full day",'_Dates'!AA442=0),AND('_Dates'!V442&lt;&gt;"Full day",'_Dates'!AB442=0))),"CHECK half-day on non-working date",IF(COUNTIF(Settings!$G$7:$G$11,D442)&lt;&gt;1,"CHECK leave type",IF(AND(Bookings!G442&lt;&gt;"Approved",Bookings!G442&lt;&gt;"Pending",Bookings!G442&lt;&gt;"Cancelled"),"CHECK status","OK")))))))))),"CHECK input"))</ns0:f>
        <ns0:v/>
      </ns0:c>
      <ns0:c r="G442" s="0">
        <ns0:f>IF(OR(F442&lt;&gt;"OK",$B$6&gt;0),0,0.5*(IF(('_Dates'!X442)&lt;('_Dates'!W442),0,INT((('_Dates'!X442)-('_Dates'!W442)+1)/7)*LEN(SUBSTITUTE(W442,"O",""))+LEN(SUBSTITUTE(MID(W442&amp;W442,WEEKDAY(('_Dates'!W442),2),MOD((('_Dates'!X442)-('_Dates'!W442)+1),7)),"O",""))-COUNTIFS(INDEX(AllClosureRows,C442,0),"&gt;="&amp;('_Dates'!W442),INDEX(AllClosureRows,C442,0),"&lt;="&amp;('_Dates'!X442)))+IF(('_Dates'!Z442)&lt;('_Dates'!Y442),0,INT((('_Dates'!Z442)-('_Dates'!Y442)+1)/7)*LEN(SUBSTITUTE(W442,"O",""))+LEN(SUBSTITUTE(MID(W442&amp;W442,WEEKDAY(('_Dates'!Y442),2),MOD((('_Dates'!Z442)-('_Dates'!Y442)+1),7)),"O",""))-COUNTIFS(INDEX(AllClosureRows,C442,0),"&gt;="&amp;('_Dates'!Y442),INDEX(AllClosureRows,C442,0),"&lt;="&amp;('_Dates'!Z442)))))</ns0:f>
        <ns0:v>0</ns0:v>
      </ns0:c>
      <ns0:c r="H442" s="0">
        <ns0:f>IF(OR(F442&lt;&gt;"OK",$B$6&gt;0),0,0.5*(IF((MIN('_Dates'!X442,Settings!$B$9))&lt;('_Dates'!W442),0,INT(((MIN('_Dates'!X442,Settings!$B$9))-('_Dates'!W442)+1)/7)*LEN(SUBSTITUTE(W442,"O",""))+LEN(SUBSTITUTE(MID(W442&amp;W442,WEEKDAY(('_Dates'!W442),2),MOD(((MIN('_Dates'!X442,Settings!$B$9))-('_Dates'!W442)+1),7)),"O",""))-COUNTIFS(INDEX(AllClosureRows,C442,0),"&gt;="&amp;('_Dates'!W442),INDEX(AllClosureRows,C442,0),"&lt;="&amp;(MIN('_Dates'!X442,Settings!$B$9))))+IF((MIN('_Dates'!Z442,Settings!$B$9))&lt;('_Dates'!Y442),0,INT(((MIN('_Dates'!Z442,Settings!$B$9))-('_Dates'!Y442)+1)/7)*LEN(SUBSTITUTE(W442,"O",""))+LEN(SUBSTITUTE(MID(W442&amp;W442,WEEKDAY(('_Dates'!Y442),2),MOD(((MIN('_Dates'!Z442,Settings!$B$9))-('_Dates'!Y442)+1),7)),"O",""))-COUNTIFS(INDEX(AllClosureRows,C442,0),"&gt;="&amp;('_Dates'!Y442),INDEX(AllClosureRows,C442,0),"&lt;="&amp;(MIN('_Dates'!Z442,Settings!$B$9))))))</ns0:f>
        <ns0:v>0</ns0:v>
      </ns0:c>
      <ns0:c r="I442" s="0">
        <ns0:f>MAX(0,G442-H442)</ns0:f>
        <ns0:v>0</ns0:v>
      </ns0:c>
      <ns0:c r="J442" s="0">
        <ns0:f>IF(OR(A442=0,F442&lt;&gt;"OK",Bookings!G442="Cancelled",$B$6&gt;0),0,IF('_Dates'!AC442=1,MAX(0,COUNTIFS(rngEngine_B,B442,rngAMStart,"&lt;="&amp;'_Dates'!X442,rngAMEnd,"&gt;="&amp;'_Dates'!W442,rngAMActive,1,rngEngine_F,"OK",rngBookings_F,"&lt;&gt;Cancelled")-1),0)+IF('_Dates'!AD442=1,MAX(0,COUNTIFS(rngEngine_B,B442,rngPMStart,"&lt;="&amp;'_Dates'!Z442,rngPMEnd,"&gt;="&amp;'_Dates'!Y442,rngPMActive,1,rngEngine_F,"OK",rngBookings_F,"&lt;&gt;Cancelled")-1),0))</ns0:f>
        <ns0:v>0</ns0:v>
      </ns0:c>
      <ns0:c r="K442" s="0" t="str">
        <ns0:f>IF(A442=0,"",IF(F442&lt;&gt;"OK",F442,IF(J442&gt;0,"CHECK overlapping entry",IF(AND($B$6=0,G442&lt;=0,Bookings!G442&lt;&gt;"Cancelled"),"CHECK no working days",IF(Bookings!G442="Cancelled","Cancelled","OK")))))</ns0:f>
        <ns0:v/>
      </ns0:c>
      <ns0:c r="L442" s="0">
        <ns0:f>IF(LEFT(K442,5)="CHECK",1,0)</ns0:f>
        <ns0:v>0</ns0:v>
      </ns0:c>
      <ns0:c r="M442" s="0">
        <ns0:f>IF(AND(L442=1,OR(C442=0,IFERROR(INDEX($X$11:$X$60,C442),0)=0)),1,0)</ns0:f>
        <ns0:v>0</ns0:v>
      </ns0:c>
      <ns0:c r="N442" s="0">
        <ns0:f>IF(OR(A442=0,L442&gt;0,$B$6&gt;0,Bookings!G442="Cancelled"),0,G442)</ns0:f>
        <ns0:v>0</ns0:v>
      </ns0:c>
      <ns0:c r="O442" s="0">
        <ns0:f>IF(AND(Bookings!G442="Approved",E442="Yes"),N442,0)</ns0:f>
        <ns0:v>0</ns0:v>
      </ns0:c>
      <ns0:c r="P442" s="0">
        <ns0:f>IF(AND(Bookings!G442="Approved",E442="Yes",L442=0,$B$6=0),H442,0)</ns0:f>
        <ns0:v>0</ns0:v>
      </ns0:c>
      <ns0:c r="Q442" s="0">
        <ns0:f>IF(AND(Bookings!G442="Approved",E442="Yes",L442=0,$B$6=0),I442,0)</ns0:f>
        <ns0:v>0</ns0:v>
      </ns0:c>
      <ns0:c r="R442" s="0">
        <ns0:f>IF(AND(Bookings!G442="Pending",E442="Yes"),N442,0)</ns0:f>
        <ns0:v>0</ns0:v>
      </ns0:c>
      <ns0:c r="S442" s="0">
        <ns0:f>IF(AND(Bookings!G442="Approved",E442="No"),N442,0)</ns0:f>
        <ns0:v>0</ns0:v>
      </ns0:c>
      <ns0:c r="T442" s="0">
        <ns0:f>IFERROR(MATCH(D442,Settings!$G$7:$G$11,0),0)</ns0:f>
        <ns0:v>0</ns0:v>
      </ns0:c>
      <ns0:c r="U442" s="0">
        <ns0:f>IF(N442&gt;0,T442+IF(Bookings!G442="Pending",10,0),0)</ns0:f>
        <ns0:v>0</ns0:v>
      </ns0:c>
      <ns0:c r="V442" s="0">
        <ns0:f>U442</ns0:f>
        <ns0:v>0</ns0:v>
      </ns0:c>
      <ns0:c r="W442" s="0" t="str">
        <ns0:f>IF(C442=0,"",INDEX($AP$11:$AP$60,C442))</ns0:f>
        <ns0:v/>
      </ns0:c>
    </ns0:row>
    <ns0:row r="443">
      <ns0:c r="A443" s="0">
        <ns0:f>IF(COUNTA(Bookings!A443:G443,Bookings!I443)=0,0,1)</ns0:f>
        <ns0:v>0</ns0:v>
      </ns0:c>
      <ns0:c r="B443" s="0" t="str">
        <ns0:f>IFERROR(TRIM(MID(Bookings!A443,FIND(" · ",Bookings!A443)+3,99)),"")</ns0:f>
        <ns0:v/>
      </ns0:c>
      <ns0:c r="C443" s="0">
        <ns0:f>IF(OR(B443="",LEN(B443)&gt;24,ISNUMBER(FIND(" ",B443)),ISNUMBER(FIND("*",B443)),ISNUMBER(FIND("?",B443)),ISNUMBER(FIND("~",B443))),0,IFERROR(MATCH(B443,Team!$A$11:$A$60,0),0))</ns0:f>
        <ns0:v>0</ns0:v>
      </ns0:c>
      <ns0:c r="D443" s="0" t="str">
        <ns0:f>IFERROR(IF(MID(Bookings!F443,LEN(Bookings!F443)-3,3)=" · ",RIGHT(Bookings!F443,1),""),"")</ns0:f>
        <ns0:v/>
      </ns0:c>
      <ns0:c r="E443" s="0" t="str">
        <ns0:f>IFERROR(INDEX(Settings!$H$7:$H$11,MATCH(D443,Settings!$G$7:$G$11,0)),"")</ns0:f>
        <ns0:v/>
      </ns0:c>
      <ns0:c r="F443" s="0" t="str">
        <ns0:f>IF(A443=0,"",IFERROR(IF(OR(B443="",C443=0),"CHECK employee selection",IF(INDEX(Team!$O$11:$O$60,C443)&lt;&gt;"OK","CHECK employee setup",IF(OR('_Dates'!J443=0,'_Dates'!T443=0),"CHECK date: use DD.MM.YYYY",IF('_Dates'!T443&lt;'_Dates'!J443,"CHECK end before start",IF(AND($B$6=0,OR('_Dates'!J443&lt;Settings!$B$7,'_Dates'!T443&gt;Settings!$B$8)),"CHECK split across leave years",IF(OR(NOT(OR('_Dates'!U443="Full day",'_Dates'!U443="AM",'_Dates'!U443="PM")),NOT(OR('_Dates'!V443="Full day",'_Dates'!V443="AM",'_Dates'!V443="PM"))),"CHECK Full day / AM / PM",IF(AND('_Dates'!J443='_Dates'!T443,'_Dates'!U443&lt;&gt;"Full day",'_Dates'!V443&lt;&gt;"Full day",'_Dates'!U443&lt;&gt;'_Dates'!V443),"CHECK same-day portions disagree",IF(AND($B$6=0,OR(AND('_Dates'!U443&lt;&gt;"Full day",'_Dates'!AA443=0),AND('_Dates'!V443&lt;&gt;"Full day",'_Dates'!AB443=0))),"CHECK half-day on non-working date",IF(COUNTIF(Settings!$G$7:$G$11,D443)&lt;&gt;1,"CHECK leave type",IF(AND(Bookings!G443&lt;&gt;"Approved",Bookings!G443&lt;&gt;"Pending",Bookings!G443&lt;&gt;"Cancelled"),"CHECK status","OK")))))))))),"CHECK input"))</ns0:f>
        <ns0:v/>
      </ns0:c>
      <ns0:c r="G443" s="0">
        <ns0:f>IF(OR(F443&lt;&gt;"OK",$B$6&gt;0),0,0.5*(IF(('_Dates'!X443)&lt;('_Dates'!W443),0,INT((('_Dates'!X443)-('_Dates'!W443)+1)/7)*LEN(SUBSTITUTE(W443,"O",""))+LEN(SUBSTITUTE(MID(W443&amp;W443,WEEKDAY(('_Dates'!W443),2),MOD((('_Dates'!X443)-('_Dates'!W443)+1),7)),"O",""))-COUNTIFS(INDEX(AllClosureRows,C443,0),"&gt;="&amp;('_Dates'!W443),INDEX(AllClosureRows,C443,0),"&lt;="&amp;('_Dates'!X443)))+IF(('_Dates'!Z443)&lt;('_Dates'!Y443),0,INT((('_Dates'!Z443)-('_Dates'!Y443)+1)/7)*LEN(SUBSTITUTE(W443,"O",""))+LEN(SUBSTITUTE(MID(W443&amp;W443,WEEKDAY(('_Dates'!Y443),2),MOD((('_Dates'!Z443)-('_Dates'!Y443)+1),7)),"O",""))-COUNTIFS(INDEX(AllClosureRows,C443,0),"&gt;="&amp;('_Dates'!Y443),INDEX(AllClosureRows,C443,0),"&lt;="&amp;('_Dates'!Z443)))))</ns0:f>
        <ns0:v>0</ns0:v>
      </ns0:c>
      <ns0:c r="H443" s="0">
        <ns0:f>IF(OR(F443&lt;&gt;"OK",$B$6&gt;0),0,0.5*(IF((MIN('_Dates'!X443,Settings!$B$9))&lt;('_Dates'!W443),0,INT(((MIN('_Dates'!X443,Settings!$B$9))-('_Dates'!W443)+1)/7)*LEN(SUBSTITUTE(W443,"O",""))+LEN(SUBSTITUTE(MID(W443&amp;W443,WEEKDAY(('_Dates'!W443),2),MOD(((MIN('_Dates'!X443,Settings!$B$9))-('_Dates'!W443)+1),7)),"O",""))-COUNTIFS(INDEX(AllClosureRows,C443,0),"&gt;="&amp;('_Dates'!W443),INDEX(AllClosureRows,C443,0),"&lt;="&amp;(MIN('_Dates'!X443,Settings!$B$9))))+IF((MIN('_Dates'!Z443,Settings!$B$9))&lt;('_Dates'!Y443),0,INT(((MIN('_Dates'!Z443,Settings!$B$9))-('_Dates'!Y443)+1)/7)*LEN(SUBSTITUTE(W443,"O",""))+LEN(SUBSTITUTE(MID(W443&amp;W443,WEEKDAY(('_Dates'!Y443),2),MOD(((MIN('_Dates'!Z443,Settings!$B$9))-('_Dates'!Y443)+1),7)),"O",""))-COUNTIFS(INDEX(AllClosureRows,C443,0),"&gt;="&amp;('_Dates'!Y443),INDEX(AllClosureRows,C443,0),"&lt;="&amp;(MIN('_Dates'!Z443,Settings!$B$9))))))</ns0:f>
        <ns0:v>0</ns0:v>
      </ns0:c>
      <ns0:c r="I443" s="0">
        <ns0:f>MAX(0,G443-H443)</ns0:f>
        <ns0:v>0</ns0:v>
      </ns0:c>
      <ns0:c r="J443" s="0">
        <ns0:f>IF(OR(A443=0,F443&lt;&gt;"OK",Bookings!G443="Cancelled",$B$6&gt;0),0,IF('_Dates'!AC443=1,MAX(0,COUNTIFS(rngEngine_B,B443,rngAMStart,"&lt;="&amp;'_Dates'!X443,rngAMEnd,"&gt;="&amp;'_Dates'!W443,rngAMActive,1,rngEngine_F,"OK",rngBookings_F,"&lt;&gt;Cancelled")-1),0)+IF('_Dates'!AD443=1,MAX(0,COUNTIFS(rngEngine_B,B443,rngPMStart,"&lt;="&amp;'_Dates'!Z443,rngPMEnd,"&gt;="&amp;'_Dates'!Y443,rngPMActive,1,rngEngine_F,"OK",rngBookings_F,"&lt;&gt;Cancelled")-1),0))</ns0:f>
        <ns0:v>0</ns0:v>
      </ns0:c>
      <ns0:c r="K443" s="0" t="str">
        <ns0:f>IF(A443=0,"",IF(F443&lt;&gt;"OK",F443,IF(J443&gt;0,"CHECK overlapping entry",IF(AND($B$6=0,G443&lt;=0,Bookings!G443&lt;&gt;"Cancelled"),"CHECK no working days",IF(Bookings!G443="Cancelled","Cancelled","OK")))))</ns0:f>
        <ns0:v/>
      </ns0:c>
      <ns0:c r="L443" s="0">
        <ns0:f>IF(LEFT(K443,5)="CHECK",1,0)</ns0:f>
        <ns0:v>0</ns0:v>
      </ns0:c>
      <ns0:c r="M443" s="0">
        <ns0:f>IF(AND(L443=1,OR(C443=0,IFERROR(INDEX($X$11:$X$60,C443),0)=0)),1,0)</ns0:f>
        <ns0:v>0</ns0:v>
      </ns0:c>
      <ns0:c r="N443" s="0">
        <ns0:f>IF(OR(A443=0,L443&gt;0,$B$6&gt;0,Bookings!G443="Cancelled"),0,G443)</ns0:f>
        <ns0:v>0</ns0:v>
      </ns0:c>
      <ns0:c r="O443" s="0">
        <ns0:f>IF(AND(Bookings!G443="Approved",E443="Yes"),N443,0)</ns0:f>
        <ns0:v>0</ns0:v>
      </ns0:c>
      <ns0:c r="P443" s="0">
        <ns0:f>IF(AND(Bookings!G443="Approved",E443="Yes",L443=0,$B$6=0),H443,0)</ns0:f>
        <ns0:v>0</ns0:v>
      </ns0:c>
      <ns0:c r="Q443" s="0">
        <ns0:f>IF(AND(Bookings!G443="Approved",E443="Yes",L443=0,$B$6=0),I443,0)</ns0:f>
        <ns0:v>0</ns0:v>
      </ns0:c>
      <ns0:c r="R443" s="0">
        <ns0:f>IF(AND(Bookings!G443="Pending",E443="Yes"),N443,0)</ns0:f>
        <ns0:v>0</ns0:v>
      </ns0:c>
      <ns0:c r="S443" s="0">
        <ns0:f>IF(AND(Bookings!G443="Approved",E443="No"),N443,0)</ns0:f>
        <ns0:v>0</ns0:v>
      </ns0:c>
      <ns0:c r="T443" s="0">
        <ns0:f>IFERROR(MATCH(D443,Settings!$G$7:$G$11,0),0)</ns0:f>
        <ns0:v>0</ns0:v>
      </ns0:c>
      <ns0:c r="U443" s="0">
        <ns0:f>IF(N443&gt;0,T443+IF(Bookings!G443="Pending",10,0),0)</ns0:f>
        <ns0:v>0</ns0:v>
      </ns0:c>
      <ns0:c r="V443" s="0">
        <ns0:f>U443</ns0:f>
        <ns0:v>0</ns0:v>
      </ns0:c>
      <ns0:c r="W443" s="0" t="str">
        <ns0:f>IF(C443=0,"",INDEX($AP$11:$AP$60,C443))</ns0:f>
        <ns0:v/>
      </ns0:c>
    </ns0:row>
    <ns0:row r="444">
      <ns0:c r="A444" s="0">
        <ns0:f>IF(COUNTA(Bookings!A444:G444,Bookings!I444)=0,0,1)</ns0:f>
        <ns0:v>0</ns0:v>
      </ns0:c>
      <ns0:c r="B444" s="0" t="str">
        <ns0:f>IFERROR(TRIM(MID(Bookings!A444,FIND(" · ",Bookings!A444)+3,99)),"")</ns0:f>
        <ns0:v/>
      </ns0:c>
      <ns0:c r="C444" s="0">
        <ns0:f>IF(OR(B444="",LEN(B444)&gt;24,ISNUMBER(FIND(" ",B444)),ISNUMBER(FIND("*",B444)),ISNUMBER(FIND("?",B444)),ISNUMBER(FIND("~",B444))),0,IFERROR(MATCH(B444,Team!$A$11:$A$60,0),0))</ns0:f>
        <ns0:v>0</ns0:v>
      </ns0:c>
      <ns0:c r="D444" s="0" t="str">
        <ns0:f>IFERROR(IF(MID(Bookings!F444,LEN(Bookings!F444)-3,3)=" · ",RIGHT(Bookings!F444,1),""),"")</ns0:f>
        <ns0:v/>
      </ns0:c>
      <ns0:c r="E444" s="0" t="str">
        <ns0:f>IFERROR(INDEX(Settings!$H$7:$H$11,MATCH(D444,Settings!$G$7:$G$11,0)),"")</ns0:f>
        <ns0:v/>
      </ns0:c>
      <ns0:c r="F444" s="0" t="str">
        <ns0:f>IF(A444=0,"",IFERROR(IF(OR(B444="",C444=0),"CHECK employee selection",IF(INDEX(Team!$O$11:$O$60,C444)&lt;&gt;"OK","CHECK employee setup",IF(OR('_Dates'!J444=0,'_Dates'!T444=0),"CHECK date: use DD.MM.YYYY",IF('_Dates'!T444&lt;'_Dates'!J444,"CHECK end before start",IF(AND($B$6=0,OR('_Dates'!J444&lt;Settings!$B$7,'_Dates'!T444&gt;Settings!$B$8)),"CHECK split across leave years",IF(OR(NOT(OR('_Dates'!U444="Full day",'_Dates'!U444="AM",'_Dates'!U444="PM")),NOT(OR('_Dates'!V444="Full day",'_Dates'!V444="AM",'_Dates'!V444="PM"))),"CHECK Full day / AM / PM",IF(AND('_Dates'!J444='_Dates'!T444,'_Dates'!U444&lt;&gt;"Full day",'_Dates'!V444&lt;&gt;"Full day",'_Dates'!U444&lt;&gt;'_Dates'!V444),"CHECK same-day portions disagree",IF(AND($B$6=0,OR(AND('_Dates'!U444&lt;&gt;"Full day",'_Dates'!AA444=0),AND('_Dates'!V444&lt;&gt;"Full day",'_Dates'!AB444=0))),"CHECK half-day on non-working date",IF(COUNTIF(Settings!$G$7:$G$11,D444)&lt;&gt;1,"CHECK leave type",IF(AND(Bookings!G444&lt;&gt;"Approved",Bookings!G444&lt;&gt;"Pending",Bookings!G444&lt;&gt;"Cancelled"),"CHECK status","OK")))))))))),"CHECK input"))</ns0:f>
        <ns0:v/>
      </ns0:c>
      <ns0:c r="G444" s="0">
        <ns0:f>IF(OR(F444&lt;&gt;"OK",$B$6&gt;0),0,0.5*(IF(('_Dates'!X444)&lt;('_Dates'!W444),0,INT((('_Dates'!X444)-('_Dates'!W444)+1)/7)*LEN(SUBSTITUTE(W444,"O",""))+LEN(SUBSTITUTE(MID(W444&amp;W444,WEEKDAY(('_Dates'!W444),2),MOD((('_Dates'!X444)-('_Dates'!W444)+1),7)),"O",""))-COUNTIFS(INDEX(AllClosureRows,C444,0),"&gt;="&amp;('_Dates'!W444),INDEX(AllClosureRows,C444,0),"&lt;="&amp;('_Dates'!X444)))+IF(('_Dates'!Z444)&lt;('_Dates'!Y444),0,INT((('_Dates'!Z444)-('_Dates'!Y444)+1)/7)*LEN(SUBSTITUTE(W444,"O",""))+LEN(SUBSTITUTE(MID(W444&amp;W444,WEEKDAY(('_Dates'!Y444),2),MOD((('_Dates'!Z444)-('_Dates'!Y444)+1),7)),"O",""))-COUNTIFS(INDEX(AllClosureRows,C444,0),"&gt;="&amp;('_Dates'!Y444),INDEX(AllClosureRows,C444,0),"&lt;="&amp;('_Dates'!Z444)))))</ns0:f>
        <ns0:v>0</ns0:v>
      </ns0:c>
      <ns0:c r="H444" s="0">
        <ns0:f>IF(OR(F444&lt;&gt;"OK",$B$6&gt;0),0,0.5*(IF((MIN('_Dates'!X444,Settings!$B$9))&lt;('_Dates'!W444),0,INT(((MIN('_Dates'!X444,Settings!$B$9))-('_Dates'!W444)+1)/7)*LEN(SUBSTITUTE(W444,"O",""))+LEN(SUBSTITUTE(MID(W444&amp;W444,WEEKDAY(('_Dates'!W444),2),MOD(((MIN('_Dates'!X444,Settings!$B$9))-('_Dates'!W444)+1),7)),"O",""))-COUNTIFS(INDEX(AllClosureRows,C444,0),"&gt;="&amp;('_Dates'!W444),INDEX(AllClosureRows,C444,0),"&lt;="&amp;(MIN('_Dates'!X444,Settings!$B$9))))+IF((MIN('_Dates'!Z444,Settings!$B$9))&lt;('_Dates'!Y444),0,INT(((MIN('_Dates'!Z444,Settings!$B$9))-('_Dates'!Y444)+1)/7)*LEN(SUBSTITUTE(W444,"O",""))+LEN(SUBSTITUTE(MID(W444&amp;W444,WEEKDAY(('_Dates'!Y444),2),MOD(((MIN('_Dates'!Z444,Settings!$B$9))-('_Dates'!Y444)+1),7)),"O",""))-COUNTIFS(INDEX(AllClosureRows,C444,0),"&gt;="&amp;('_Dates'!Y444),INDEX(AllClosureRows,C444,0),"&lt;="&amp;(MIN('_Dates'!Z444,Settings!$B$9))))))</ns0:f>
        <ns0:v>0</ns0:v>
      </ns0:c>
      <ns0:c r="I444" s="0">
        <ns0:f>MAX(0,G444-H444)</ns0:f>
        <ns0:v>0</ns0:v>
      </ns0:c>
      <ns0:c r="J444" s="0">
        <ns0:f>IF(OR(A444=0,F444&lt;&gt;"OK",Bookings!G444="Cancelled",$B$6&gt;0),0,IF('_Dates'!AC444=1,MAX(0,COUNTIFS(rngEngine_B,B444,rngAMStart,"&lt;="&amp;'_Dates'!X444,rngAMEnd,"&gt;="&amp;'_Dates'!W444,rngAMActive,1,rngEngine_F,"OK",rngBookings_F,"&lt;&gt;Cancelled")-1),0)+IF('_Dates'!AD444=1,MAX(0,COUNTIFS(rngEngine_B,B444,rngPMStart,"&lt;="&amp;'_Dates'!Z444,rngPMEnd,"&gt;="&amp;'_Dates'!Y444,rngPMActive,1,rngEngine_F,"OK",rngBookings_F,"&lt;&gt;Cancelled")-1),0))</ns0:f>
        <ns0:v>0</ns0:v>
      </ns0:c>
      <ns0:c r="K444" s="0" t="str">
        <ns0:f>IF(A444=0,"",IF(F444&lt;&gt;"OK",F444,IF(J444&gt;0,"CHECK overlapping entry",IF(AND($B$6=0,G444&lt;=0,Bookings!G444&lt;&gt;"Cancelled"),"CHECK no working days",IF(Bookings!G444="Cancelled","Cancelled","OK")))))</ns0:f>
        <ns0:v/>
      </ns0:c>
      <ns0:c r="L444" s="0">
        <ns0:f>IF(LEFT(K444,5)="CHECK",1,0)</ns0:f>
        <ns0:v>0</ns0:v>
      </ns0:c>
      <ns0:c r="M444" s="0">
        <ns0:f>IF(AND(L444=1,OR(C444=0,IFERROR(INDEX($X$11:$X$60,C444),0)=0)),1,0)</ns0:f>
        <ns0:v>0</ns0:v>
      </ns0:c>
      <ns0:c r="N444" s="0">
        <ns0:f>IF(OR(A444=0,L444&gt;0,$B$6&gt;0,Bookings!G444="Cancelled"),0,G444)</ns0:f>
        <ns0:v>0</ns0:v>
      </ns0:c>
      <ns0:c r="O444" s="0">
        <ns0:f>IF(AND(Bookings!G444="Approved",E444="Yes"),N444,0)</ns0:f>
        <ns0:v>0</ns0:v>
      </ns0:c>
      <ns0:c r="P444" s="0">
        <ns0:f>IF(AND(Bookings!G444="Approved",E444="Yes",L444=0,$B$6=0),H444,0)</ns0:f>
        <ns0:v>0</ns0:v>
      </ns0:c>
      <ns0:c r="Q444" s="0">
        <ns0:f>IF(AND(Bookings!G444="Approved",E444="Yes",L444=0,$B$6=0),I444,0)</ns0:f>
        <ns0:v>0</ns0:v>
      </ns0:c>
      <ns0:c r="R444" s="0">
        <ns0:f>IF(AND(Bookings!G444="Pending",E444="Yes"),N444,0)</ns0:f>
        <ns0:v>0</ns0:v>
      </ns0:c>
      <ns0:c r="S444" s="0">
        <ns0:f>IF(AND(Bookings!G444="Approved",E444="No"),N444,0)</ns0:f>
        <ns0:v>0</ns0:v>
      </ns0:c>
      <ns0:c r="T444" s="0">
        <ns0:f>IFERROR(MATCH(D444,Settings!$G$7:$G$11,0),0)</ns0:f>
        <ns0:v>0</ns0:v>
      </ns0:c>
      <ns0:c r="U444" s="0">
        <ns0:f>IF(N444&gt;0,T444+IF(Bookings!G444="Pending",10,0),0)</ns0:f>
        <ns0:v>0</ns0:v>
      </ns0:c>
      <ns0:c r="V444" s="0">
        <ns0:f>U444</ns0:f>
        <ns0:v>0</ns0:v>
      </ns0:c>
      <ns0:c r="W444" s="0" t="str">
        <ns0:f>IF(C444=0,"",INDEX($AP$11:$AP$60,C444))</ns0:f>
        <ns0:v/>
      </ns0:c>
    </ns0:row>
    <ns0:row r="445">
      <ns0:c r="A445" s="0">
        <ns0:f>IF(COUNTA(Bookings!A445:G445,Bookings!I445)=0,0,1)</ns0:f>
        <ns0:v>0</ns0:v>
      </ns0:c>
      <ns0:c r="B445" s="0" t="str">
        <ns0:f>IFERROR(TRIM(MID(Bookings!A445,FIND(" · ",Bookings!A445)+3,99)),"")</ns0:f>
        <ns0:v/>
      </ns0:c>
      <ns0:c r="C445" s="0">
        <ns0:f>IF(OR(B445="",LEN(B445)&gt;24,ISNUMBER(FIND(" ",B445)),ISNUMBER(FIND("*",B445)),ISNUMBER(FIND("?",B445)),ISNUMBER(FIND("~",B445))),0,IFERROR(MATCH(B445,Team!$A$11:$A$60,0),0))</ns0:f>
        <ns0:v>0</ns0:v>
      </ns0:c>
      <ns0:c r="D445" s="0" t="str">
        <ns0:f>IFERROR(IF(MID(Bookings!F445,LEN(Bookings!F445)-3,3)=" · ",RIGHT(Bookings!F445,1),""),"")</ns0:f>
        <ns0:v/>
      </ns0:c>
      <ns0:c r="E445" s="0" t="str">
        <ns0:f>IFERROR(INDEX(Settings!$H$7:$H$11,MATCH(D445,Settings!$G$7:$G$11,0)),"")</ns0:f>
        <ns0:v/>
      </ns0:c>
      <ns0:c r="F445" s="0" t="str">
        <ns0:f>IF(A445=0,"",IFERROR(IF(OR(B445="",C445=0),"CHECK employee selection",IF(INDEX(Team!$O$11:$O$60,C445)&lt;&gt;"OK","CHECK employee setup",IF(OR('_Dates'!J445=0,'_Dates'!T445=0),"CHECK date: use DD.MM.YYYY",IF('_Dates'!T445&lt;'_Dates'!J445,"CHECK end before start",IF(AND($B$6=0,OR('_Dates'!J445&lt;Settings!$B$7,'_Dates'!T445&gt;Settings!$B$8)),"CHECK split across leave years",IF(OR(NOT(OR('_Dates'!U445="Full day",'_Dates'!U445="AM",'_Dates'!U445="PM")),NOT(OR('_Dates'!V445="Full day",'_Dates'!V445="AM",'_Dates'!V445="PM"))),"CHECK Full day / AM / PM",IF(AND('_Dates'!J445='_Dates'!T445,'_Dates'!U445&lt;&gt;"Full day",'_Dates'!V445&lt;&gt;"Full day",'_Dates'!U445&lt;&gt;'_Dates'!V445),"CHECK same-day portions disagree",IF(AND($B$6=0,OR(AND('_Dates'!U445&lt;&gt;"Full day",'_Dates'!AA445=0),AND('_Dates'!V445&lt;&gt;"Full day",'_Dates'!AB445=0))),"CHECK half-day on non-working date",IF(COUNTIF(Settings!$G$7:$G$11,D445)&lt;&gt;1,"CHECK leave type",IF(AND(Bookings!G445&lt;&gt;"Approved",Bookings!G445&lt;&gt;"Pending",Bookings!G445&lt;&gt;"Cancelled"),"CHECK status","OK")))))))))),"CHECK input"))</ns0:f>
        <ns0:v/>
      </ns0:c>
      <ns0:c r="G445" s="0">
        <ns0:f>IF(OR(F445&lt;&gt;"OK",$B$6&gt;0),0,0.5*(IF(('_Dates'!X445)&lt;('_Dates'!W445),0,INT((('_Dates'!X445)-('_Dates'!W445)+1)/7)*LEN(SUBSTITUTE(W445,"O",""))+LEN(SUBSTITUTE(MID(W445&amp;W445,WEEKDAY(('_Dates'!W445),2),MOD((('_Dates'!X445)-('_Dates'!W445)+1),7)),"O",""))-COUNTIFS(INDEX(AllClosureRows,C445,0),"&gt;="&amp;('_Dates'!W445),INDEX(AllClosureRows,C445,0),"&lt;="&amp;('_Dates'!X445)))+IF(('_Dates'!Z445)&lt;('_Dates'!Y445),0,INT((('_Dates'!Z445)-('_Dates'!Y445)+1)/7)*LEN(SUBSTITUTE(W445,"O",""))+LEN(SUBSTITUTE(MID(W445&amp;W445,WEEKDAY(('_Dates'!Y445),2),MOD((('_Dates'!Z445)-('_Dates'!Y445)+1),7)),"O",""))-COUNTIFS(INDEX(AllClosureRows,C445,0),"&gt;="&amp;('_Dates'!Y445),INDEX(AllClosureRows,C445,0),"&lt;="&amp;('_Dates'!Z445)))))</ns0:f>
        <ns0:v>0</ns0:v>
      </ns0:c>
      <ns0:c r="H445" s="0">
        <ns0:f>IF(OR(F445&lt;&gt;"OK",$B$6&gt;0),0,0.5*(IF((MIN('_Dates'!X445,Settings!$B$9))&lt;('_Dates'!W445),0,INT(((MIN('_Dates'!X445,Settings!$B$9))-('_Dates'!W445)+1)/7)*LEN(SUBSTITUTE(W445,"O",""))+LEN(SUBSTITUTE(MID(W445&amp;W445,WEEKDAY(('_Dates'!W445),2),MOD(((MIN('_Dates'!X445,Settings!$B$9))-('_Dates'!W445)+1),7)),"O",""))-COUNTIFS(INDEX(AllClosureRows,C445,0),"&gt;="&amp;('_Dates'!W445),INDEX(AllClosureRows,C445,0),"&lt;="&amp;(MIN('_Dates'!X445,Settings!$B$9))))+IF((MIN('_Dates'!Z445,Settings!$B$9))&lt;('_Dates'!Y445),0,INT(((MIN('_Dates'!Z445,Settings!$B$9))-('_Dates'!Y445)+1)/7)*LEN(SUBSTITUTE(W445,"O",""))+LEN(SUBSTITUTE(MID(W445&amp;W445,WEEKDAY(('_Dates'!Y445),2),MOD(((MIN('_Dates'!Z445,Settings!$B$9))-('_Dates'!Y445)+1),7)),"O",""))-COUNTIFS(INDEX(AllClosureRows,C445,0),"&gt;="&amp;('_Dates'!Y445),INDEX(AllClosureRows,C445,0),"&lt;="&amp;(MIN('_Dates'!Z445,Settings!$B$9))))))</ns0:f>
        <ns0:v>0</ns0:v>
      </ns0:c>
      <ns0:c r="I445" s="0">
        <ns0:f>MAX(0,G445-H445)</ns0:f>
        <ns0:v>0</ns0:v>
      </ns0:c>
      <ns0:c r="J445" s="0">
        <ns0:f>IF(OR(A445=0,F445&lt;&gt;"OK",Bookings!G445="Cancelled",$B$6&gt;0),0,IF('_Dates'!AC445=1,MAX(0,COUNTIFS(rngEngine_B,B445,rngAMStart,"&lt;="&amp;'_Dates'!X445,rngAMEnd,"&gt;="&amp;'_Dates'!W445,rngAMActive,1,rngEngine_F,"OK",rngBookings_F,"&lt;&gt;Cancelled")-1),0)+IF('_Dates'!AD445=1,MAX(0,COUNTIFS(rngEngine_B,B445,rngPMStart,"&lt;="&amp;'_Dates'!Z445,rngPMEnd,"&gt;="&amp;'_Dates'!Y445,rngPMActive,1,rngEngine_F,"OK",rngBookings_F,"&lt;&gt;Cancelled")-1),0))</ns0:f>
        <ns0:v>0</ns0:v>
      </ns0:c>
      <ns0:c r="K445" s="0" t="str">
        <ns0:f>IF(A445=0,"",IF(F445&lt;&gt;"OK",F445,IF(J445&gt;0,"CHECK overlapping entry",IF(AND($B$6=0,G445&lt;=0,Bookings!G445&lt;&gt;"Cancelled"),"CHECK no working days",IF(Bookings!G445="Cancelled","Cancelled","OK")))))</ns0:f>
        <ns0:v/>
      </ns0:c>
      <ns0:c r="L445" s="0">
        <ns0:f>IF(LEFT(K445,5)="CHECK",1,0)</ns0:f>
        <ns0:v>0</ns0:v>
      </ns0:c>
      <ns0:c r="M445" s="0">
        <ns0:f>IF(AND(L445=1,OR(C445=0,IFERROR(INDEX($X$11:$X$60,C445),0)=0)),1,0)</ns0:f>
        <ns0:v>0</ns0:v>
      </ns0:c>
      <ns0:c r="N445" s="0">
        <ns0:f>IF(OR(A445=0,L445&gt;0,$B$6&gt;0,Bookings!G445="Cancelled"),0,G445)</ns0:f>
        <ns0:v>0</ns0:v>
      </ns0:c>
      <ns0:c r="O445" s="0">
        <ns0:f>IF(AND(Bookings!G445="Approved",E445="Yes"),N445,0)</ns0:f>
        <ns0:v>0</ns0:v>
      </ns0:c>
      <ns0:c r="P445" s="0">
        <ns0:f>IF(AND(Bookings!G445="Approved",E445="Yes",L445=0,$B$6=0),H445,0)</ns0:f>
        <ns0:v>0</ns0:v>
      </ns0:c>
      <ns0:c r="Q445" s="0">
        <ns0:f>IF(AND(Bookings!G445="Approved",E445="Yes",L445=0,$B$6=0),I445,0)</ns0:f>
        <ns0:v>0</ns0:v>
      </ns0:c>
      <ns0:c r="R445" s="0">
        <ns0:f>IF(AND(Bookings!G445="Pending",E445="Yes"),N445,0)</ns0:f>
        <ns0:v>0</ns0:v>
      </ns0:c>
      <ns0:c r="S445" s="0">
        <ns0:f>IF(AND(Bookings!G445="Approved",E445="No"),N445,0)</ns0:f>
        <ns0:v>0</ns0:v>
      </ns0:c>
      <ns0:c r="T445" s="0">
        <ns0:f>IFERROR(MATCH(D445,Settings!$G$7:$G$11,0),0)</ns0:f>
        <ns0:v>0</ns0:v>
      </ns0:c>
      <ns0:c r="U445" s="0">
        <ns0:f>IF(N445&gt;0,T445+IF(Bookings!G445="Pending",10,0),0)</ns0:f>
        <ns0:v>0</ns0:v>
      </ns0:c>
      <ns0:c r="V445" s="0">
        <ns0:f>U445</ns0:f>
        <ns0:v>0</ns0:v>
      </ns0:c>
      <ns0:c r="W445" s="0" t="str">
        <ns0:f>IF(C445=0,"",INDEX($AP$11:$AP$60,C445))</ns0:f>
        <ns0:v/>
      </ns0:c>
    </ns0:row>
    <ns0:row r="446">
      <ns0:c r="A446" s="0">
        <ns0:f>IF(COUNTA(Bookings!A446:G446,Bookings!I446)=0,0,1)</ns0:f>
        <ns0:v>0</ns0:v>
      </ns0:c>
      <ns0:c r="B446" s="0" t="str">
        <ns0:f>IFERROR(TRIM(MID(Bookings!A446,FIND(" · ",Bookings!A446)+3,99)),"")</ns0:f>
        <ns0:v/>
      </ns0:c>
      <ns0:c r="C446" s="0">
        <ns0:f>IF(OR(B446="",LEN(B446)&gt;24,ISNUMBER(FIND(" ",B446)),ISNUMBER(FIND("*",B446)),ISNUMBER(FIND("?",B446)),ISNUMBER(FIND("~",B446))),0,IFERROR(MATCH(B446,Team!$A$11:$A$60,0),0))</ns0:f>
        <ns0:v>0</ns0:v>
      </ns0:c>
      <ns0:c r="D446" s="0" t="str">
        <ns0:f>IFERROR(IF(MID(Bookings!F446,LEN(Bookings!F446)-3,3)=" · ",RIGHT(Bookings!F446,1),""),"")</ns0:f>
        <ns0:v/>
      </ns0:c>
      <ns0:c r="E446" s="0" t="str">
        <ns0:f>IFERROR(INDEX(Settings!$H$7:$H$11,MATCH(D446,Settings!$G$7:$G$11,0)),"")</ns0:f>
        <ns0:v/>
      </ns0:c>
      <ns0:c r="F446" s="0" t="str">
        <ns0:f>IF(A446=0,"",IFERROR(IF(OR(B446="",C446=0),"CHECK employee selection",IF(INDEX(Team!$O$11:$O$60,C446)&lt;&gt;"OK","CHECK employee setup",IF(OR('_Dates'!J446=0,'_Dates'!T446=0),"CHECK date: use DD.MM.YYYY",IF('_Dates'!T446&lt;'_Dates'!J446,"CHECK end before start",IF(AND($B$6=0,OR('_Dates'!J446&lt;Settings!$B$7,'_Dates'!T446&gt;Settings!$B$8)),"CHECK split across leave years",IF(OR(NOT(OR('_Dates'!U446="Full day",'_Dates'!U446="AM",'_Dates'!U446="PM")),NOT(OR('_Dates'!V446="Full day",'_Dates'!V446="AM",'_Dates'!V446="PM"))),"CHECK Full day / AM / PM",IF(AND('_Dates'!J446='_Dates'!T446,'_Dates'!U446&lt;&gt;"Full day",'_Dates'!V446&lt;&gt;"Full day",'_Dates'!U446&lt;&gt;'_Dates'!V446),"CHECK same-day portions disagree",IF(AND($B$6=0,OR(AND('_Dates'!U446&lt;&gt;"Full day",'_Dates'!AA446=0),AND('_Dates'!V446&lt;&gt;"Full day",'_Dates'!AB446=0))),"CHECK half-day on non-working date",IF(COUNTIF(Settings!$G$7:$G$11,D446)&lt;&gt;1,"CHECK leave type",IF(AND(Bookings!G446&lt;&gt;"Approved",Bookings!G446&lt;&gt;"Pending",Bookings!G446&lt;&gt;"Cancelled"),"CHECK status","OK")))))))))),"CHECK input"))</ns0:f>
        <ns0:v/>
      </ns0:c>
      <ns0:c r="G446" s="0">
        <ns0:f>IF(OR(F446&lt;&gt;"OK",$B$6&gt;0),0,0.5*(IF(('_Dates'!X446)&lt;('_Dates'!W446),0,INT((('_Dates'!X446)-('_Dates'!W446)+1)/7)*LEN(SUBSTITUTE(W446,"O",""))+LEN(SUBSTITUTE(MID(W446&amp;W446,WEEKDAY(('_Dates'!W446),2),MOD((('_Dates'!X446)-('_Dates'!W446)+1),7)),"O",""))-COUNTIFS(INDEX(AllClosureRows,C446,0),"&gt;="&amp;('_Dates'!W446),INDEX(AllClosureRows,C446,0),"&lt;="&amp;('_Dates'!X446)))+IF(('_Dates'!Z446)&lt;('_Dates'!Y446),0,INT((('_Dates'!Z446)-('_Dates'!Y446)+1)/7)*LEN(SUBSTITUTE(W446,"O",""))+LEN(SUBSTITUTE(MID(W446&amp;W446,WEEKDAY(('_Dates'!Y446),2),MOD((('_Dates'!Z446)-('_Dates'!Y446)+1),7)),"O",""))-COUNTIFS(INDEX(AllClosureRows,C446,0),"&gt;="&amp;('_Dates'!Y446),INDEX(AllClosureRows,C446,0),"&lt;="&amp;('_Dates'!Z446)))))</ns0:f>
        <ns0:v>0</ns0:v>
      </ns0:c>
      <ns0:c r="H446" s="0">
        <ns0:f>IF(OR(F446&lt;&gt;"OK",$B$6&gt;0),0,0.5*(IF((MIN('_Dates'!X446,Settings!$B$9))&lt;('_Dates'!W446),0,INT(((MIN('_Dates'!X446,Settings!$B$9))-('_Dates'!W446)+1)/7)*LEN(SUBSTITUTE(W446,"O",""))+LEN(SUBSTITUTE(MID(W446&amp;W446,WEEKDAY(('_Dates'!W446),2),MOD(((MIN('_Dates'!X446,Settings!$B$9))-('_Dates'!W446)+1),7)),"O",""))-COUNTIFS(INDEX(AllClosureRows,C446,0),"&gt;="&amp;('_Dates'!W446),INDEX(AllClosureRows,C446,0),"&lt;="&amp;(MIN('_Dates'!X446,Settings!$B$9))))+IF((MIN('_Dates'!Z446,Settings!$B$9))&lt;('_Dates'!Y446),0,INT(((MIN('_Dates'!Z446,Settings!$B$9))-('_Dates'!Y446)+1)/7)*LEN(SUBSTITUTE(W446,"O",""))+LEN(SUBSTITUTE(MID(W446&amp;W446,WEEKDAY(('_Dates'!Y446),2),MOD(((MIN('_Dates'!Z446,Settings!$B$9))-('_Dates'!Y446)+1),7)),"O",""))-COUNTIFS(INDEX(AllClosureRows,C446,0),"&gt;="&amp;('_Dates'!Y446),INDEX(AllClosureRows,C446,0),"&lt;="&amp;(MIN('_Dates'!Z446,Settings!$B$9))))))</ns0:f>
        <ns0:v>0</ns0:v>
      </ns0:c>
      <ns0:c r="I446" s="0">
        <ns0:f>MAX(0,G446-H446)</ns0:f>
        <ns0:v>0</ns0:v>
      </ns0:c>
      <ns0:c r="J446" s="0">
        <ns0:f>IF(OR(A446=0,F446&lt;&gt;"OK",Bookings!G446="Cancelled",$B$6&gt;0),0,IF('_Dates'!AC446=1,MAX(0,COUNTIFS(rngEngine_B,B446,rngAMStart,"&lt;="&amp;'_Dates'!X446,rngAMEnd,"&gt;="&amp;'_Dates'!W446,rngAMActive,1,rngEngine_F,"OK",rngBookings_F,"&lt;&gt;Cancelled")-1),0)+IF('_Dates'!AD446=1,MAX(0,COUNTIFS(rngEngine_B,B446,rngPMStart,"&lt;="&amp;'_Dates'!Z446,rngPMEnd,"&gt;="&amp;'_Dates'!Y446,rngPMActive,1,rngEngine_F,"OK",rngBookings_F,"&lt;&gt;Cancelled")-1),0))</ns0:f>
        <ns0:v>0</ns0:v>
      </ns0:c>
      <ns0:c r="K446" s="0" t="str">
        <ns0:f>IF(A446=0,"",IF(F446&lt;&gt;"OK",F446,IF(J446&gt;0,"CHECK overlapping entry",IF(AND($B$6=0,G446&lt;=0,Bookings!G446&lt;&gt;"Cancelled"),"CHECK no working days",IF(Bookings!G446="Cancelled","Cancelled","OK")))))</ns0:f>
        <ns0:v/>
      </ns0:c>
      <ns0:c r="L446" s="0">
        <ns0:f>IF(LEFT(K446,5)="CHECK",1,0)</ns0:f>
        <ns0:v>0</ns0:v>
      </ns0:c>
      <ns0:c r="M446" s="0">
        <ns0:f>IF(AND(L446=1,OR(C446=0,IFERROR(INDEX($X$11:$X$60,C446),0)=0)),1,0)</ns0:f>
        <ns0:v>0</ns0:v>
      </ns0:c>
      <ns0:c r="N446" s="0">
        <ns0:f>IF(OR(A446=0,L446&gt;0,$B$6&gt;0,Bookings!G446="Cancelled"),0,G446)</ns0:f>
        <ns0:v>0</ns0:v>
      </ns0:c>
      <ns0:c r="O446" s="0">
        <ns0:f>IF(AND(Bookings!G446="Approved",E446="Yes"),N446,0)</ns0:f>
        <ns0:v>0</ns0:v>
      </ns0:c>
      <ns0:c r="P446" s="0">
        <ns0:f>IF(AND(Bookings!G446="Approved",E446="Yes",L446=0,$B$6=0),H446,0)</ns0:f>
        <ns0:v>0</ns0:v>
      </ns0:c>
      <ns0:c r="Q446" s="0">
        <ns0:f>IF(AND(Bookings!G446="Approved",E446="Yes",L446=0,$B$6=0),I446,0)</ns0:f>
        <ns0:v>0</ns0:v>
      </ns0:c>
      <ns0:c r="R446" s="0">
        <ns0:f>IF(AND(Bookings!G446="Pending",E446="Yes"),N446,0)</ns0:f>
        <ns0:v>0</ns0:v>
      </ns0:c>
      <ns0:c r="S446" s="0">
        <ns0:f>IF(AND(Bookings!G446="Approved",E446="No"),N446,0)</ns0:f>
        <ns0:v>0</ns0:v>
      </ns0:c>
      <ns0:c r="T446" s="0">
        <ns0:f>IFERROR(MATCH(D446,Settings!$G$7:$G$11,0),0)</ns0:f>
        <ns0:v>0</ns0:v>
      </ns0:c>
      <ns0:c r="U446" s="0">
        <ns0:f>IF(N446&gt;0,T446+IF(Bookings!G446="Pending",10,0),0)</ns0:f>
        <ns0:v>0</ns0:v>
      </ns0:c>
      <ns0:c r="V446" s="0">
        <ns0:f>U446</ns0:f>
        <ns0:v>0</ns0:v>
      </ns0:c>
      <ns0:c r="W446" s="0" t="str">
        <ns0:f>IF(C446=0,"",INDEX($AP$11:$AP$60,C446))</ns0:f>
        <ns0:v/>
      </ns0:c>
    </ns0:row>
    <ns0:row r="447">
      <ns0:c r="A447" s="0">
        <ns0:f>IF(COUNTA(Bookings!A447:G447,Bookings!I447)=0,0,1)</ns0:f>
        <ns0:v>0</ns0:v>
      </ns0:c>
      <ns0:c r="B447" s="0" t="str">
        <ns0:f>IFERROR(TRIM(MID(Bookings!A447,FIND(" · ",Bookings!A447)+3,99)),"")</ns0:f>
        <ns0:v/>
      </ns0:c>
      <ns0:c r="C447" s="0">
        <ns0:f>IF(OR(B447="",LEN(B447)&gt;24,ISNUMBER(FIND(" ",B447)),ISNUMBER(FIND("*",B447)),ISNUMBER(FIND("?",B447)),ISNUMBER(FIND("~",B447))),0,IFERROR(MATCH(B447,Team!$A$11:$A$60,0),0))</ns0:f>
        <ns0:v>0</ns0:v>
      </ns0:c>
      <ns0:c r="D447" s="0" t="str">
        <ns0:f>IFERROR(IF(MID(Bookings!F447,LEN(Bookings!F447)-3,3)=" · ",RIGHT(Bookings!F447,1),""),"")</ns0:f>
        <ns0:v/>
      </ns0:c>
      <ns0:c r="E447" s="0" t="str">
        <ns0:f>IFERROR(INDEX(Settings!$H$7:$H$11,MATCH(D447,Settings!$G$7:$G$11,0)),"")</ns0:f>
        <ns0:v/>
      </ns0:c>
      <ns0:c r="F447" s="0" t="str">
        <ns0:f>IF(A447=0,"",IFERROR(IF(OR(B447="",C447=0),"CHECK employee selection",IF(INDEX(Team!$O$11:$O$60,C447)&lt;&gt;"OK","CHECK employee setup",IF(OR('_Dates'!J447=0,'_Dates'!T447=0),"CHECK date: use DD.MM.YYYY",IF('_Dates'!T447&lt;'_Dates'!J447,"CHECK end before start",IF(AND($B$6=0,OR('_Dates'!J447&lt;Settings!$B$7,'_Dates'!T447&gt;Settings!$B$8)),"CHECK split across leave years",IF(OR(NOT(OR('_Dates'!U447="Full day",'_Dates'!U447="AM",'_Dates'!U447="PM")),NOT(OR('_Dates'!V447="Full day",'_Dates'!V447="AM",'_Dates'!V447="PM"))),"CHECK Full day / AM / PM",IF(AND('_Dates'!J447='_Dates'!T447,'_Dates'!U447&lt;&gt;"Full day",'_Dates'!V447&lt;&gt;"Full day",'_Dates'!U447&lt;&gt;'_Dates'!V447),"CHECK same-day portions disagree",IF(AND($B$6=0,OR(AND('_Dates'!U447&lt;&gt;"Full day",'_Dates'!AA447=0),AND('_Dates'!V447&lt;&gt;"Full day",'_Dates'!AB447=0))),"CHECK half-day on non-working date",IF(COUNTIF(Settings!$G$7:$G$11,D447)&lt;&gt;1,"CHECK leave type",IF(AND(Bookings!G447&lt;&gt;"Approved",Bookings!G447&lt;&gt;"Pending",Bookings!G447&lt;&gt;"Cancelled"),"CHECK status","OK")))))))))),"CHECK input"))</ns0:f>
        <ns0:v/>
      </ns0:c>
      <ns0:c r="G447" s="0">
        <ns0:f>IF(OR(F447&lt;&gt;"OK",$B$6&gt;0),0,0.5*(IF(('_Dates'!X447)&lt;('_Dates'!W447),0,INT((('_Dates'!X447)-('_Dates'!W447)+1)/7)*LEN(SUBSTITUTE(W447,"O",""))+LEN(SUBSTITUTE(MID(W447&amp;W447,WEEKDAY(('_Dates'!W447),2),MOD((('_Dates'!X447)-('_Dates'!W447)+1),7)),"O",""))-COUNTIFS(INDEX(AllClosureRows,C447,0),"&gt;="&amp;('_Dates'!W447),INDEX(AllClosureRows,C447,0),"&lt;="&amp;('_Dates'!X447)))+IF(('_Dates'!Z447)&lt;('_Dates'!Y447),0,INT((('_Dates'!Z447)-('_Dates'!Y447)+1)/7)*LEN(SUBSTITUTE(W447,"O",""))+LEN(SUBSTITUTE(MID(W447&amp;W447,WEEKDAY(('_Dates'!Y447),2),MOD((('_Dates'!Z447)-('_Dates'!Y447)+1),7)),"O",""))-COUNTIFS(INDEX(AllClosureRows,C447,0),"&gt;="&amp;('_Dates'!Y447),INDEX(AllClosureRows,C447,0),"&lt;="&amp;('_Dates'!Z447)))))</ns0:f>
        <ns0:v>0</ns0:v>
      </ns0:c>
      <ns0:c r="H447" s="0">
        <ns0:f>IF(OR(F447&lt;&gt;"OK",$B$6&gt;0),0,0.5*(IF((MIN('_Dates'!X447,Settings!$B$9))&lt;('_Dates'!W447),0,INT(((MIN('_Dates'!X447,Settings!$B$9))-('_Dates'!W447)+1)/7)*LEN(SUBSTITUTE(W447,"O",""))+LEN(SUBSTITUTE(MID(W447&amp;W447,WEEKDAY(('_Dates'!W447),2),MOD(((MIN('_Dates'!X447,Settings!$B$9))-('_Dates'!W447)+1),7)),"O",""))-COUNTIFS(INDEX(AllClosureRows,C447,0),"&gt;="&amp;('_Dates'!W447),INDEX(AllClosureRows,C447,0),"&lt;="&amp;(MIN('_Dates'!X447,Settings!$B$9))))+IF((MIN('_Dates'!Z447,Settings!$B$9))&lt;('_Dates'!Y447),0,INT(((MIN('_Dates'!Z447,Settings!$B$9))-('_Dates'!Y447)+1)/7)*LEN(SUBSTITUTE(W447,"O",""))+LEN(SUBSTITUTE(MID(W447&amp;W447,WEEKDAY(('_Dates'!Y447),2),MOD(((MIN('_Dates'!Z447,Settings!$B$9))-('_Dates'!Y447)+1),7)),"O",""))-COUNTIFS(INDEX(AllClosureRows,C447,0),"&gt;="&amp;('_Dates'!Y447),INDEX(AllClosureRows,C447,0),"&lt;="&amp;(MIN('_Dates'!Z447,Settings!$B$9))))))</ns0:f>
        <ns0:v>0</ns0:v>
      </ns0:c>
      <ns0:c r="I447" s="0">
        <ns0:f>MAX(0,G447-H447)</ns0:f>
        <ns0:v>0</ns0:v>
      </ns0:c>
      <ns0:c r="J447" s="0">
        <ns0:f>IF(OR(A447=0,F447&lt;&gt;"OK",Bookings!G447="Cancelled",$B$6&gt;0),0,IF('_Dates'!AC447=1,MAX(0,COUNTIFS(rngEngine_B,B447,rngAMStart,"&lt;="&amp;'_Dates'!X447,rngAMEnd,"&gt;="&amp;'_Dates'!W447,rngAMActive,1,rngEngine_F,"OK",rngBookings_F,"&lt;&gt;Cancelled")-1),0)+IF('_Dates'!AD447=1,MAX(0,COUNTIFS(rngEngine_B,B447,rngPMStart,"&lt;="&amp;'_Dates'!Z447,rngPMEnd,"&gt;="&amp;'_Dates'!Y447,rngPMActive,1,rngEngine_F,"OK",rngBookings_F,"&lt;&gt;Cancelled")-1),0))</ns0:f>
        <ns0:v>0</ns0:v>
      </ns0:c>
      <ns0:c r="K447" s="0" t="str">
        <ns0:f>IF(A447=0,"",IF(F447&lt;&gt;"OK",F447,IF(J447&gt;0,"CHECK overlapping entry",IF(AND($B$6=0,G447&lt;=0,Bookings!G447&lt;&gt;"Cancelled"),"CHECK no working days",IF(Bookings!G447="Cancelled","Cancelled","OK")))))</ns0:f>
        <ns0:v/>
      </ns0:c>
      <ns0:c r="L447" s="0">
        <ns0:f>IF(LEFT(K447,5)="CHECK",1,0)</ns0:f>
        <ns0:v>0</ns0:v>
      </ns0:c>
      <ns0:c r="M447" s="0">
        <ns0:f>IF(AND(L447=1,OR(C447=0,IFERROR(INDEX($X$11:$X$60,C447),0)=0)),1,0)</ns0:f>
        <ns0:v>0</ns0:v>
      </ns0:c>
      <ns0:c r="N447" s="0">
        <ns0:f>IF(OR(A447=0,L447&gt;0,$B$6&gt;0,Bookings!G447="Cancelled"),0,G447)</ns0:f>
        <ns0:v>0</ns0:v>
      </ns0:c>
      <ns0:c r="O447" s="0">
        <ns0:f>IF(AND(Bookings!G447="Approved",E447="Yes"),N447,0)</ns0:f>
        <ns0:v>0</ns0:v>
      </ns0:c>
      <ns0:c r="P447" s="0">
        <ns0:f>IF(AND(Bookings!G447="Approved",E447="Yes",L447=0,$B$6=0),H447,0)</ns0:f>
        <ns0:v>0</ns0:v>
      </ns0:c>
      <ns0:c r="Q447" s="0">
        <ns0:f>IF(AND(Bookings!G447="Approved",E447="Yes",L447=0,$B$6=0),I447,0)</ns0:f>
        <ns0:v>0</ns0:v>
      </ns0:c>
      <ns0:c r="R447" s="0">
        <ns0:f>IF(AND(Bookings!G447="Pending",E447="Yes"),N447,0)</ns0:f>
        <ns0:v>0</ns0:v>
      </ns0:c>
      <ns0:c r="S447" s="0">
        <ns0:f>IF(AND(Bookings!G447="Approved",E447="No"),N447,0)</ns0:f>
        <ns0:v>0</ns0:v>
      </ns0:c>
      <ns0:c r="T447" s="0">
        <ns0:f>IFERROR(MATCH(D447,Settings!$G$7:$G$11,0),0)</ns0:f>
        <ns0:v>0</ns0:v>
      </ns0:c>
      <ns0:c r="U447" s="0">
        <ns0:f>IF(N447&gt;0,T447+IF(Bookings!G447="Pending",10,0),0)</ns0:f>
        <ns0:v>0</ns0:v>
      </ns0:c>
      <ns0:c r="V447" s="0">
        <ns0:f>U447</ns0:f>
        <ns0:v>0</ns0:v>
      </ns0:c>
      <ns0:c r="W447" s="0" t="str">
        <ns0:f>IF(C447=0,"",INDEX($AP$11:$AP$60,C447))</ns0:f>
        <ns0:v/>
      </ns0:c>
    </ns0:row>
    <ns0:row r="448">
      <ns0:c r="A448" s="0">
        <ns0:f>IF(COUNTA(Bookings!A448:G448,Bookings!I448)=0,0,1)</ns0:f>
        <ns0:v>0</ns0:v>
      </ns0:c>
      <ns0:c r="B448" s="0" t="str">
        <ns0:f>IFERROR(TRIM(MID(Bookings!A448,FIND(" · ",Bookings!A448)+3,99)),"")</ns0:f>
        <ns0:v/>
      </ns0:c>
      <ns0:c r="C448" s="0">
        <ns0:f>IF(OR(B448="",LEN(B448)&gt;24,ISNUMBER(FIND(" ",B448)),ISNUMBER(FIND("*",B448)),ISNUMBER(FIND("?",B448)),ISNUMBER(FIND("~",B448))),0,IFERROR(MATCH(B448,Team!$A$11:$A$60,0),0))</ns0:f>
        <ns0:v>0</ns0:v>
      </ns0:c>
      <ns0:c r="D448" s="0" t="str">
        <ns0:f>IFERROR(IF(MID(Bookings!F448,LEN(Bookings!F448)-3,3)=" · ",RIGHT(Bookings!F448,1),""),"")</ns0:f>
        <ns0:v/>
      </ns0:c>
      <ns0:c r="E448" s="0" t="str">
        <ns0:f>IFERROR(INDEX(Settings!$H$7:$H$11,MATCH(D448,Settings!$G$7:$G$11,0)),"")</ns0:f>
        <ns0:v/>
      </ns0:c>
      <ns0:c r="F448" s="0" t="str">
        <ns0:f>IF(A448=0,"",IFERROR(IF(OR(B448="",C448=0),"CHECK employee selection",IF(INDEX(Team!$O$11:$O$60,C448)&lt;&gt;"OK","CHECK employee setup",IF(OR('_Dates'!J448=0,'_Dates'!T448=0),"CHECK date: use DD.MM.YYYY",IF('_Dates'!T448&lt;'_Dates'!J448,"CHECK end before start",IF(AND($B$6=0,OR('_Dates'!J448&lt;Settings!$B$7,'_Dates'!T448&gt;Settings!$B$8)),"CHECK split across leave years",IF(OR(NOT(OR('_Dates'!U448="Full day",'_Dates'!U448="AM",'_Dates'!U448="PM")),NOT(OR('_Dates'!V448="Full day",'_Dates'!V448="AM",'_Dates'!V448="PM"))),"CHECK Full day / AM / PM",IF(AND('_Dates'!J448='_Dates'!T448,'_Dates'!U448&lt;&gt;"Full day",'_Dates'!V448&lt;&gt;"Full day",'_Dates'!U448&lt;&gt;'_Dates'!V448),"CHECK same-day portions disagree",IF(AND($B$6=0,OR(AND('_Dates'!U448&lt;&gt;"Full day",'_Dates'!AA448=0),AND('_Dates'!V448&lt;&gt;"Full day",'_Dates'!AB448=0))),"CHECK half-day on non-working date",IF(COUNTIF(Settings!$G$7:$G$11,D448)&lt;&gt;1,"CHECK leave type",IF(AND(Bookings!G448&lt;&gt;"Approved",Bookings!G448&lt;&gt;"Pending",Bookings!G448&lt;&gt;"Cancelled"),"CHECK status","OK")))))))))),"CHECK input"))</ns0:f>
        <ns0:v/>
      </ns0:c>
      <ns0:c r="G448" s="0">
        <ns0:f>IF(OR(F448&lt;&gt;"OK",$B$6&gt;0),0,0.5*(IF(('_Dates'!X448)&lt;('_Dates'!W448),0,INT((('_Dates'!X448)-('_Dates'!W448)+1)/7)*LEN(SUBSTITUTE(W448,"O",""))+LEN(SUBSTITUTE(MID(W448&amp;W448,WEEKDAY(('_Dates'!W448),2),MOD((('_Dates'!X448)-('_Dates'!W448)+1),7)),"O",""))-COUNTIFS(INDEX(AllClosureRows,C448,0),"&gt;="&amp;('_Dates'!W448),INDEX(AllClosureRows,C448,0),"&lt;="&amp;('_Dates'!X448)))+IF(('_Dates'!Z448)&lt;('_Dates'!Y448),0,INT((('_Dates'!Z448)-('_Dates'!Y448)+1)/7)*LEN(SUBSTITUTE(W448,"O",""))+LEN(SUBSTITUTE(MID(W448&amp;W448,WEEKDAY(('_Dates'!Y448),2),MOD((('_Dates'!Z448)-('_Dates'!Y448)+1),7)),"O",""))-COUNTIFS(INDEX(AllClosureRows,C448,0),"&gt;="&amp;('_Dates'!Y448),INDEX(AllClosureRows,C448,0),"&lt;="&amp;('_Dates'!Z448)))))</ns0:f>
        <ns0:v>0</ns0:v>
      </ns0:c>
      <ns0:c r="H448" s="0">
        <ns0:f>IF(OR(F448&lt;&gt;"OK",$B$6&gt;0),0,0.5*(IF((MIN('_Dates'!X448,Settings!$B$9))&lt;('_Dates'!W448),0,INT(((MIN('_Dates'!X448,Settings!$B$9))-('_Dates'!W448)+1)/7)*LEN(SUBSTITUTE(W448,"O",""))+LEN(SUBSTITUTE(MID(W448&amp;W448,WEEKDAY(('_Dates'!W448),2),MOD(((MIN('_Dates'!X448,Settings!$B$9))-('_Dates'!W448)+1),7)),"O",""))-COUNTIFS(INDEX(AllClosureRows,C448,0),"&gt;="&amp;('_Dates'!W448),INDEX(AllClosureRows,C448,0),"&lt;="&amp;(MIN('_Dates'!X448,Settings!$B$9))))+IF((MIN('_Dates'!Z448,Settings!$B$9))&lt;('_Dates'!Y448),0,INT(((MIN('_Dates'!Z448,Settings!$B$9))-('_Dates'!Y448)+1)/7)*LEN(SUBSTITUTE(W448,"O",""))+LEN(SUBSTITUTE(MID(W448&amp;W448,WEEKDAY(('_Dates'!Y448),2),MOD(((MIN('_Dates'!Z448,Settings!$B$9))-('_Dates'!Y448)+1),7)),"O",""))-COUNTIFS(INDEX(AllClosureRows,C448,0),"&gt;="&amp;('_Dates'!Y448),INDEX(AllClosureRows,C448,0),"&lt;="&amp;(MIN('_Dates'!Z448,Settings!$B$9))))))</ns0:f>
        <ns0:v>0</ns0:v>
      </ns0:c>
      <ns0:c r="I448" s="0">
        <ns0:f>MAX(0,G448-H448)</ns0:f>
        <ns0:v>0</ns0:v>
      </ns0:c>
      <ns0:c r="J448" s="0">
        <ns0:f>IF(OR(A448=0,F448&lt;&gt;"OK",Bookings!G448="Cancelled",$B$6&gt;0),0,IF('_Dates'!AC448=1,MAX(0,COUNTIFS(rngEngine_B,B448,rngAMStart,"&lt;="&amp;'_Dates'!X448,rngAMEnd,"&gt;="&amp;'_Dates'!W448,rngAMActive,1,rngEngine_F,"OK",rngBookings_F,"&lt;&gt;Cancelled")-1),0)+IF('_Dates'!AD448=1,MAX(0,COUNTIFS(rngEngine_B,B448,rngPMStart,"&lt;="&amp;'_Dates'!Z448,rngPMEnd,"&gt;="&amp;'_Dates'!Y448,rngPMActive,1,rngEngine_F,"OK",rngBookings_F,"&lt;&gt;Cancelled")-1),0))</ns0:f>
        <ns0:v>0</ns0:v>
      </ns0:c>
      <ns0:c r="K448" s="0" t="str">
        <ns0:f>IF(A448=0,"",IF(F448&lt;&gt;"OK",F448,IF(J448&gt;0,"CHECK overlapping entry",IF(AND($B$6=0,G448&lt;=0,Bookings!G448&lt;&gt;"Cancelled"),"CHECK no working days",IF(Bookings!G448="Cancelled","Cancelled","OK")))))</ns0:f>
        <ns0:v/>
      </ns0:c>
      <ns0:c r="L448" s="0">
        <ns0:f>IF(LEFT(K448,5)="CHECK",1,0)</ns0:f>
        <ns0:v>0</ns0:v>
      </ns0:c>
      <ns0:c r="M448" s="0">
        <ns0:f>IF(AND(L448=1,OR(C448=0,IFERROR(INDEX($X$11:$X$60,C448),0)=0)),1,0)</ns0:f>
        <ns0:v>0</ns0:v>
      </ns0:c>
      <ns0:c r="N448" s="0">
        <ns0:f>IF(OR(A448=0,L448&gt;0,$B$6&gt;0,Bookings!G448="Cancelled"),0,G448)</ns0:f>
        <ns0:v>0</ns0:v>
      </ns0:c>
      <ns0:c r="O448" s="0">
        <ns0:f>IF(AND(Bookings!G448="Approved",E448="Yes"),N448,0)</ns0:f>
        <ns0:v>0</ns0:v>
      </ns0:c>
      <ns0:c r="P448" s="0">
        <ns0:f>IF(AND(Bookings!G448="Approved",E448="Yes",L448=0,$B$6=0),H448,0)</ns0:f>
        <ns0:v>0</ns0:v>
      </ns0:c>
      <ns0:c r="Q448" s="0">
        <ns0:f>IF(AND(Bookings!G448="Approved",E448="Yes",L448=0,$B$6=0),I448,0)</ns0:f>
        <ns0:v>0</ns0:v>
      </ns0:c>
      <ns0:c r="R448" s="0">
        <ns0:f>IF(AND(Bookings!G448="Pending",E448="Yes"),N448,0)</ns0:f>
        <ns0:v>0</ns0:v>
      </ns0:c>
      <ns0:c r="S448" s="0">
        <ns0:f>IF(AND(Bookings!G448="Approved",E448="No"),N448,0)</ns0:f>
        <ns0:v>0</ns0:v>
      </ns0:c>
      <ns0:c r="T448" s="0">
        <ns0:f>IFERROR(MATCH(D448,Settings!$G$7:$G$11,0),0)</ns0:f>
        <ns0:v>0</ns0:v>
      </ns0:c>
      <ns0:c r="U448" s="0">
        <ns0:f>IF(N448&gt;0,T448+IF(Bookings!G448="Pending",10,0),0)</ns0:f>
        <ns0:v>0</ns0:v>
      </ns0:c>
      <ns0:c r="V448" s="0">
        <ns0:f>U448</ns0:f>
        <ns0:v>0</ns0:v>
      </ns0:c>
      <ns0:c r="W448" s="0" t="str">
        <ns0:f>IF(C448=0,"",INDEX($AP$11:$AP$60,C448))</ns0:f>
        <ns0:v/>
      </ns0:c>
    </ns0:row>
    <ns0:row r="449">
      <ns0:c r="A449" s="0">
        <ns0:f>IF(COUNTA(Bookings!A449:G449,Bookings!I449)=0,0,1)</ns0:f>
        <ns0:v>0</ns0:v>
      </ns0:c>
      <ns0:c r="B449" s="0" t="str">
        <ns0:f>IFERROR(TRIM(MID(Bookings!A449,FIND(" · ",Bookings!A449)+3,99)),"")</ns0:f>
        <ns0:v/>
      </ns0:c>
      <ns0:c r="C449" s="0">
        <ns0:f>IF(OR(B449="",LEN(B449)&gt;24,ISNUMBER(FIND(" ",B449)),ISNUMBER(FIND("*",B449)),ISNUMBER(FIND("?",B449)),ISNUMBER(FIND("~",B449))),0,IFERROR(MATCH(B449,Team!$A$11:$A$60,0),0))</ns0:f>
        <ns0:v>0</ns0:v>
      </ns0:c>
      <ns0:c r="D449" s="0" t="str">
        <ns0:f>IFERROR(IF(MID(Bookings!F449,LEN(Bookings!F449)-3,3)=" · ",RIGHT(Bookings!F449,1),""),"")</ns0:f>
        <ns0:v/>
      </ns0:c>
      <ns0:c r="E449" s="0" t="str">
        <ns0:f>IFERROR(INDEX(Settings!$H$7:$H$11,MATCH(D449,Settings!$G$7:$G$11,0)),"")</ns0:f>
        <ns0:v/>
      </ns0:c>
      <ns0:c r="F449" s="0" t="str">
        <ns0:f>IF(A449=0,"",IFERROR(IF(OR(B449="",C449=0),"CHECK employee selection",IF(INDEX(Team!$O$11:$O$60,C449)&lt;&gt;"OK","CHECK employee setup",IF(OR('_Dates'!J449=0,'_Dates'!T449=0),"CHECK date: use DD.MM.YYYY",IF('_Dates'!T449&lt;'_Dates'!J449,"CHECK end before start",IF(AND($B$6=0,OR('_Dates'!J449&lt;Settings!$B$7,'_Dates'!T449&gt;Settings!$B$8)),"CHECK split across leave years",IF(OR(NOT(OR('_Dates'!U449="Full day",'_Dates'!U449="AM",'_Dates'!U449="PM")),NOT(OR('_Dates'!V449="Full day",'_Dates'!V449="AM",'_Dates'!V449="PM"))),"CHECK Full day / AM / PM",IF(AND('_Dates'!J449='_Dates'!T449,'_Dates'!U449&lt;&gt;"Full day",'_Dates'!V449&lt;&gt;"Full day",'_Dates'!U449&lt;&gt;'_Dates'!V449),"CHECK same-day portions disagree",IF(AND($B$6=0,OR(AND('_Dates'!U449&lt;&gt;"Full day",'_Dates'!AA449=0),AND('_Dates'!V449&lt;&gt;"Full day",'_Dates'!AB449=0))),"CHECK half-day on non-working date",IF(COUNTIF(Settings!$G$7:$G$11,D449)&lt;&gt;1,"CHECK leave type",IF(AND(Bookings!G449&lt;&gt;"Approved",Bookings!G449&lt;&gt;"Pending",Bookings!G449&lt;&gt;"Cancelled"),"CHECK status","OK")))))))))),"CHECK input"))</ns0:f>
        <ns0:v/>
      </ns0:c>
      <ns0:c r="G449" s="0">
        <ns0:f>IF(OR(F449&lt;&gt;"OK",$B$6&gt;0),0,0.5*(IF(('_Dates'!X449)&lt;('_Dates'!W449),0,INT((('_Dates'!X449)-('_Dates'!W449)+1)/7)*LEN(SUBSTITUTE(W449,"O",""))+LEN(SUBSTITUTE(MID(W449&amp;W449,WEEKDAY(('_Dates'!W449),2),MOD((('_Dates'!X449)-('_Dates'!W449)+1),7)),"O",""))-COUNTIFS(INDEX(AllClosureRows,C449,0),"&gt;="&amp;('_Dates'!W449),INDEX(AllClosureRows,C449,0),"&lt;="&amp;('_Dates'!X449)))+IF(('_Dates'!Z449)&lt;('_Dates'!Y449),0,INT((('_Dates'!Z449)-('_Dates'!Y449)+1)/7)*LEN(SUBSTITUTE(W449,"O",""))+LEN(SUBSTITUTE(MID(W449&amp;W449,WEEKDAY(('_Dates'!Y449),2),MOD((('_Dates'!Z449)-('_Dates'!Y449)+1),7)),"O",""))-COUNTIFS(INDEX(AllClosureRows,C449,0),"&gt;="&amp;('_Dates'!Y449),INDEX(AllClosureRows,C449,0),"&lt;="&amp;('_Dates'!Z449)))))</ns0:f>
        <ns0:v>0</ns0:v>
      </ns0:c>
      <ns0:c r="H449" s="0">
        <ns0:f>IF(OR(F449&lt;&gt;"OK",$B$6&gt;0),0,0.5*(IF((MIN('_Dates'!X449,Settings!$B$9))&lt;('_Dates'!W449),0,INT(((MIN('_Dates'!X449,Settings!$B$9))-('_Dates'!W449)+1)/7)*LEN(SUBSTITUTE(W449,"O",""))+LEN(SUBSTITUTE(MID(W449&amp;W449,WEEKDAY(('_Dates'!W449),2),MOD(((MIN('_Dates'!X449,Settings!$B$9))-('_Dates'!W449)+1),7)),"O",""))-COUNTIFS(INDEX(AllClosureRows,C449,0),"&gt;="&amp;('_Dates'!W449),INDEX(AllClosureRows,C449,0),"&lt;="&amp;(MIN('_Dates'!X449,Settings!$B$9))))+IF((MIN('_Dates'!Z449,Settings!$B$9))&lt;('_Dates'!Y449),0,INT(((MIN('_Dates'!Z449,Settings!$B$9))-('_Dates'!Y449)+1)/7)*LEN(SUBSTITUTE(W449,"O",""))+LEN(SUBSTITUTE(MID(W449&amp;W449,WEEKDAY(('_Dates'!Y449),2),MOD(((MIN('_Dates'!Z449,Settings!$B$9))-('_Dates'!Y449)+1),7)),"O",""))-COUNTIFS(INDEX(AllClosureRows,C449,0),"&gt;="&amp;('_Dates'!Y449),INDEX(AllClosureRows,C449,0),"&lt;="&amp;(MIN('_Dates'!Z449,Settings!$B$9))))))</ns0:f>
        <ns0:v>0</ns0:v>
      </ns0:c>
      <ns0:c r="I449" s="0">
        <ns0:f>MAX(0,G449-H449)</ns0:f>
        <ns0:v>0</ns0:v>
      </ns0:c>
      <ns0:c r="J449" s="0">
        <ns0:f>IF(OR(A449=0,F449&lt;&gt;"OK",Bookings!G449="Cancelled",$B$6&gt;0),0,IF('_Dates'!AC449=1,MAX(0,COUNTIFS(rngEngine_B,B449,rngAMStart,"&lt;="&amp;'_Dates'!X449,rngAMEnd,"&gt;="&amp;'_Dates'!W449,rngAMActive,1,rngEngine_F,"OK",rngBookings_F,"&lt;&gt;Cancelled")-1),0)+IF('_Dates'!AD449=1,MAX(0,COUNTIFS(rngEngine_B,B449,rngPMStart,"&lt;="&amp;'_Dates'!Z449,rngPMEnd,"&gt;="&amp;'_Dates'!Y449,rngPMActive,1,rngEngine_F,"OK",rngBookings_F,"&lt;&gt;Cancelled")-1),0))</ns0:f>
        <ns0:v>0</ns0:v>
      </ns0:c>
      <ns0:c r="K449" s="0" t="str">
        <ns0:f>IF(A449=0,"",IF(F449&lt;&gt;"OK",F449,IF(J449&gt;0,"CHECK overlapping entry",IF(AND($B$6=0,G449&lt;=0,Bookings!G449&lt;&gt;"Cancelled"),"CHECK no working days",IF(Bookings!G449="Cancelled","Cancelled","OK")))))</ns0:f>
        <ns0:v/>
      </ns0:c>
      <ns0:c r="L449" s="0">
        <ns0:f>IF(LEFT(K449,5)="CHECK",1,0)</ns0:f>
        <ns0:v>0</ns0:v>
      </ns0:c>
      <ns0:c r="M449" s="0">
        <ns0:f>IF(AND(L449=1,OR(C449=0,IFERROR(INDEX($X$11:$X$60,C449),0)=0)),1,0)</ns0:f>
        <ns0:v>0</ns0:v>
      </ns0:c>
      <ns0:c r="N449" s="0">
        <ns0:f>IF(OR(A449=0,L449&gt;0,$B$6&gt;0,Bookings!G449="Cancelled"),0,G449)</ns0:f>
        <ns0:v>0</ns0:v>
      </ns0:c>
      <ns0:c r="O449" s="0">
        <ns0:f>IF(AND(Bookings!G449="Approved",E449="Yes"),N449,0)</ns0:f>
        <ns0:v>0</ns0:v>
      </ns0:c>
      <ns0:c r="P449" s="0">
        <ns0:f>IF(AND(Bookings!G449="Approved",E449="Yes",L449=0,$B$6=0),H449,0)</ns0:f>
        <ns0:v>0</ns0:v>
      </ns0:c>
      <ns0:c r="Q449" s="0">
        <ns0:f>IF(AND(Bookings!G449="Approved",E449="Yes",L449=0,$B$6=0),I449,0)</ns0:f>
        <ns0:v>0</ns0:v>
      </ns0:c>
      <ns0:c r="R449" s="0">
        <ns0:f>IF(AND(Bookings!G449="Pending",E449="Yes"),N449,0)</ns0:f>
        <ns0:v>0</ns0:v>
      </ns0:c>
      <ns0:c r="S449" s="0">
        <ns0:f>IF(AND(Bookings!G449="Approved",E449="No"),N449,0)</ns0:f>
        <ns0:v>0</ns0:v>
      </ns0:c>
      <ns0:c r="T449" s="0">
        <ns0:f>IFERROR(MATCH(D449,Settings!$G$7:$G$11,0),0)</ns0:f>
        <ns0:v>0</ns0:v>
      </ns0:c>
      <ns0:c r="U449" s="0">
        <ns0:f>IF(N449&gt;0,T449+IF(Bookings!G449="Pending",10,0),0)</ns0:f>
        <ns0:v>0</ns0:v>
      </ns0:c>
      <ns0:c r="V449" s="0">
        <ns0:f>U449</ns0:f>
        <ns0:v>0</ns0:v>
      </ns0:c>
      <ns0:c r="W449" s="0" t="str">
        <ns0:f>IF(C449=0,"",INDEX($AP$11:$AP$60,C449))</ns0:f>
        <ns0:v/>
      </ns0:c>
    </ns0:row>
    <ns0:row r="450">
      <ns0:c r="A450" s="0">
        <ns0:f>IF(COUNTA(Bookings!A450:G450,Bookings!I450)=0,0,1)</ns0:f>
        <ns0:v>0</ns0:v>
      </ns0:c>
      <ns0:c r="B450" s="0" t="str">
        <ns0:f>IFERROR(TRIM(MID(Bookings!A450,FIND(" · ",Bookings!A450)+3,99)),"")</ns0:f>
        <ns0:v/>
      </ns0:c>
      <ns0:c r="C450" s="0">
        <ns0:f>IF(OR(B450="",LEN(B450)&gt;24,ISNUMBER(FIND(" ",B450)),ISNUMBER(FIND("*",B450)),ISNUMBER(FIND("?",B450)),ISNUMBER(FIND("~",B450))),0,IFERROR(MATCH(B450,Team!$A$11:$A$60,0),0))</ns0:f>
        <ns0:v>0</ns0:v>
      </ns0:c>
      <ns0:c r="D450" s="0" t="str">
        <ns0:f>IFERROR(IF(MID(Bookings!F450,LEN(Bookings!F450)-3,3)=" · ",RIGHT(Bookings!F450,1),""),"")</ns0:f>
        <ns0:v/>
      </ns0:c>
      <ns0:c r="E450" s="0" t="str">
        <ns0:f>IFERROR(INDEX(Settings!$H$7:$H$11,MATCH(D450,Settings!$G$7:$G$11,0)),"")</ns0:f>
        <ns0:v/>
      </ns0:c>
      <ns0:c r="F450" s="0" t="str">
        <ns0:f>IF(A450=0,"",IFERROR(IF(OR(B450="",C450=0),"CHECK employee selection",IF(INDEX(Team!$O$11:$O$60,C450)&lt;&gt;"OK","CHECK employee setup",IF(OR('_Dates'!J450=0,'_Dates'!T450=0),"CHECK date: use DD.MM.YYYY",IF('_Dates'!T450&lt;'_Dates'!J450,"CHECK end before start",IF(AND($B$6=0,OR('_Dates'!J450&lt;Settings!$B$7,'_Dates'!T450&gt;Settings!$B$8)),"CHECK split across leave years",IF(OR(NOT(OR('_Dates'!U450="Full day",'_Dates'!U450="AM",'_Dates'!U450="PM")),NOT(OR('_Dates'!V450="Full day",'_Dates'!V450="AM",'_Dates'!V450="PM"))),"CHECK Full day / AM / PM",IF(AND('_Dates'!J450='_Dates'!T450,'_Dates'!U450&lt;&gt;"Full day",'_Dates'!V450&lt;&gt;"Full day",'_Dates'!U450&lt;&gt;'_Dates'!V450),"CHECK same-day portions disagree",IF(AND($B$6=0,OR(AND('_Dates'!U450&lt;&gt;"Full day",'_Dates'!AA450=0),AND('_Dates'!V450&lt;&gt;"Full day",'_Dates'!AB450=0))),"CHECK half-day on non-working date",IF(COUNTIF(Settings!$G$7:$G$11,D450)&lt;&gt;1,"CHECK leave type",IF(AND(Bookings!G450&lt;&gt;"Approved",Bookings!G450&lt;&gt;"Pending",Bookings!G450&lt;&gt;"Cancelled"),"CHECK status","OK")))))))))),"CHECK input"))</ns0:f>
        <ns0:v/>
      </ns0:c>
      <ns0:c r="G450" s="0">
        <ns0:f>IF(OR(F450&lt;&gt;"OK",$B$6&gt;0),0,0.5*(IF(('_Dates'!X450)&lt;('_Dates'!W450),0,INT((('_Dates'!X450)-('_Dates'!W450)+1)/7)*LEN(SUBSTITUTE(W450,"O",""))+LEN(SUBSTITUTE(MID(W450&amp;W450,WEEKDAY(('_Dates'!W450),2),MOD((('_Dates'!X450)-('_Dates'!W450)+1),7)),"O",""))-COUNTIFS(INDEX(AllClosureRows,C450,0),"&gt;="&amp;('_Dates'!W450),INDEX(AllClosureRows,C450,0),"&lt;="&amp;('_Dates'!X450)))+IF(('_Dates'!Z450)&lt;('_Dates'!Y450),0,INT((('_Dates'!Z450)-('_Dates'!Y450)+1)/7)*LEN(SUBSTITUTE(W450,"O",""))+LEN(SUBSTITUTE(MID(W450&amp;W450,WEEKDAY(('_Dates'!Y450),2),MOD((('_Dates'!Z450)-('_Dates'!Y450)+1),7)),"O",""))-COUNTIFS(INDEX(AllClosureRows,C450,0),"&gt;="&amp;('_Dates'!Y450),INDEX(AllClosureRows,C450,0),"&lt;="&amp;('_Dates'!Z450)))))</ns0:f>
        <ns0:v>0</ns0:v>
      </ns0:c>
      <ns0:c r="H450" s="0">
        <ns0:f>IF(OR(F450&lt;&gt;"OK",$B$6&gt;0),0,0.5*(IF((MIN('_Dates'!X450,Settings!$B$9))&lt;('_Dates'!W450),0,INT(((MIN('_Dates'!X450,Settings!$B$9))-('_Dates'!W450)+1)/7)*LEN(SUBSTITUTE(W450,"O",""))+LEN(SUBSTITUTE(MID(W450&amp;W450,WEEKDAY(('_Dates'!W450),2),MOD(((MIN('_Dates'!X450,Settings!$B$9))-('_Dates'!W450)+1),7)),"O",""))-COUNTIFS(INDEX(AllClosureRows,C450,0),"&gt;="&amp;('_Dates'!W450),INDEX(AllClosureRows,C450,0),"&lt;="&amp;(MIN('_Dates'!X450,Settings!$B$9))))+IF((MIN('_Dates'!Z450,Settings!$B$9))&lt;('_Dates'!Y450),0,INT(((MIN('_Dates'!Z450,Settings!$B$9))-('_Dates'!Y450)+1)/7)*LEN(SUBSTITUTE(W450,"O",""))+LEN(SUBSTITUTE(MID(W450&amp;W450,WEEKDAY(('_Dates'!Y450),2),MOD(((MIN('_Dates'!Z450,Settings!$B$9))-('_Dates'!Y450)+1),7)),"O",""))-COUNTIFS(INDEX(AllClosureRows,C450,0),"&gt;="&amp;('_Dates'!Y450),INDEX(AllClosureRows,C450,0),"&lt;="&amp;(MIN('_Dates'!Z450,Settings!$B$9))))))</ns0:f>
        <ns0:v>0</ns0:v>
      </ns0:c>
      <ns0:c r="I450" s="0">
        <ns0:f>MAX(0,G450-H450)</ns0:f>
        <ns0:v>0</ns0:v>
      </ns0:c>
      <ns0:c r="J450" s="0">
        <ns0:f>IF(OR(A450=0,F450&lt;&gt;"OK",Bookings!G450="Cancelled",$B$6&gt;0),0,IF('_Dates'!AC450=1,MAX(0,COUNTIFS(rngEngine_B,B450,rngAMStart,"&lt;="&amp;'_Dates'!X450,rngAMEnd,"&gt;="&amp;'_Dates'!W450,rngAMActive,1,rngEngine_F,"OK",rngBookings_F,"&lt;&gt;Cancelled")-1),0)+IF('_Dates'!AD450=1,MAX(0,COUNTIFS(rngEngine_B,B450,rngPMStart,"&lt;="&amp;'_Dates'!Z450,rngPMEnd,"&gt;="&amp;'_Dates'!Y450,rngPMActive,1,rngEngine_F,"OK",rngBookings_F,"&lt;&gt;Cancelled")-1),0))</ns0:f>
        <ns0:v>0</ns0:v>
      </ns0:c>
      <ns0:c r="K450" s="0" t="str">
        <ns0:f>IF(A450=0,"",IF(F450&lt;&gt;"OK",F450,IF(J450&gt;0,"CHECK overlapping entry",IF(AND($B$6=0,G450&lt;=0,Bookings!G450&lt;&gt;"Cancelled"),"CHECK no working days",IF(Bookings!G450="Cancelled","Cancelled","OK")))))</ns0:f>
        <ns0:v/>
      </ns0:c>
      <ns0:c r="L450" s="0">
        <ns0:f>IF(LEFT(K450,5)="CHECK",1,0)</ns0:f>
        <ns0:v>0</ns0:v>
      </ns0:c>
      <ns0:c r="M450" s="0">
        <ns0:f>IF(AND(L450=1,OR(C450=0,IFERROR(INDEX($X$11:$X$60,C450),0)=0)),1,0)</ns0:f>
        <ns0:v>0</ns0:v>
      </ns0:c>
      <ns0:c r="N450" s="0">
        <ns0:f>IF(OR(A450=0,L450&gt;0,$B$6&gt;0,Bookings!G450="Cancelled"),0,G450)</ns0:f>
        <ns0:v>0</ns0:v>
      </ns0:c>
      <ns0:c r="O450" s="0">
        <ns0:f>IF(AND(Bookings!G450="Approved",E450="Yes"),N450,0)</ns0:f>
        <ns0:v>0</ns0:v>
      </ns0:c>
      <ns0:c r="P450" s="0">
        <ns0:f>IF(AND(Bookings!G450="Approved",E450="Yes",L450=0,$B$6=0),H450,0)</ns0:f>
        <ns0:v>0</ns0:v>
      </ns0:c>
      <ns0:c r="Q450" s="0">
        <ns0:f>IF(AND(Bookings!G450="Approved",E450="Yes",L450=0,$B$6=0),I450,0)</ns0:f>
        <ns0:v>0</ns0:v>
      </ns0:c>
      <ns0:c r="R450" s="0">
        <ns0:f>IF(AND(Bookings!G450="Pending",E450="Yes"),N450,0)</ns0:f>
        <ns0:v>0</ns0:v>
      </ns0:c>
      <ns0:c r="S450" s="0">
        <ns0:f>IF(AND(Bookings!G450="Approved",E450="No"),N450,0)</ns0:f>
        <ns0:v>0</ns0:v>
      </ns0:c>
      <ns0:c r="T450" s="0">
        <ns0:f>IFERROR(MATCH(D450,Settings!$G$7:$G$11,0),0)</ns0:f>
        <ns0:v>0</ns0:v>
      </ns0:c>
      <ns0:c r="U450" s="0">
        <ns0:f>IF(N450&gt;0,T450+IF(Bookings!G450="Pending",10,0),0)</ns0:f>
        <ns0:v>0</ns0:v>
      </ns0:c>
      <ns0:c r="V450" s="0">
        <ns0:f>U450</ns0:f>
        <ns0:v>0</ns0:v>
      </ns0:c>
      <ns0:c r="W450" s="0" t="str">
        <ns0:f>IF(C450=0,"",INDEX($AP$11:$AP$60,C450))</ns0:f>
        <ns0:v/>
      </ns0:c>
    </ns0:row>
    <ns0:row r="451">
      <ns0:c r="A451" s="0">
        <ns0:f>IF(COUNTA(Bookings!A451:G451,Bookings!I451)=0,0,1)</ns0:f>
        <ns0:v>0</ns0:v>
      </ns0:c>
      <ns0:c r="B451" s="0" t="str">
        <ns0:f>IFERROR(TRIM(MID(Bookings!A451,FIND(" · ",Bookings!A451)+3,99)),"")</ns0:f>
        <ns0:v/>
      </ns0:c>
      <ns0:c r="C451" s="0">
        <ns0:f>IF(OR(B451="",LEN(B451)&gt;24,ISNUMBER(FIND(" ",B451)),ISNUMBER(FIND("*",B451)),ISNUMBER(FIND("?",B451)),ISNUMBER(FIND("~",B451))),0,IFERROR(MATCH(B451,Team!$A$11:$A$60,0),0))</ns0:f>
        <ns0:v>0</ns0:v>
      </ns0:c>
      <ns0:c r="D451" s="0" t="str">
        <ns0:f>IFERROR(IF(MID(Bookings!F451,LEN(Bookings!F451)-3,3)=" · ",RIGHT(Bookings!F451,1),""),"")</ns0:f>
        <ns0:v/>
      </ns0:c>
      <ns0:c r="E451" s="0" t="str">
        <ns0:f>IFERROR(INDEX(Settings!$H$7:$H$11,MATCH(D451,Settings!$G$7:$G$11,0)),"")</ns0:f>
        <ns0:v/>
      </ns0:c>
      <ns0:c r="F451" s="0" t="str">
        <ns0:f>IF(A451=0,"",IFERROR(IF(OR(B451="",C451=0),"CHECK employee selection",IF(INDEX(Team!$O$11:$O$60,C451)&lt;&gt;"OK","CHECK employee setup",IF(OR('_Dates'!J451=0,'_Dates'!T451=0),"CHECK date: use DD.MM.YYYY",IF('_Dates'!T451&lt;'_Dates'!J451,"CHECK end before start",IF(AND($B$6=0,OR('_Dates'!J451&lt;Settings!$B$7,'_Dates'!T451&gt;Settings!$B$8)),"CHECK split across leave years",IF(OR(NOT(OR('_Dates'!U451="Full day",'_Dates'!U451="AM",'_Dates'!U451="PM")),NOT(OR('_Dates'!V451="Full day",'_Dates'!V451="AM",'_Dates'!V451="PM"))),"CHECK Full day / AM / PM",IF(AND('_Dates'!J451='_Dates'!T451,'_Dates'!U451&lt;&gt;"Full day",'_Dates'!V451&lt;&gt;"Full day",'_Dates'!U451&lt;&gt;'_Dates'!V451),"CHECK same-day portions disagree",IF(AND($B$6=0,OR(AND('_Dates'!U451&lt;&gt;"Full day",'_Dates'!AA451=0),AND('_Dates'!V451&lt;&gt;"Full day",'_Dates'!AB451=0))),"CHECK half-day on non-working date",IF(COUNTIF(Settings!$G$7:$G$11,D451)&lt;&gt;1,"CHECK leave type",IF(AND(Bookings!G451&lt;&gt;"Approved",Bookings!G451&lt;&gt;"Pending",Bookings!G451&lt;&gt;"Cancelled"),"CHECK status","OK")))))))))),"CHECK input"))</ns0:f>
        <ns0:v/>
      </ns0:c>
      <ns0:c r="G451" s="0">
        <ns0:f>IF(OR(F451&lt;&gt;"OK",$B$6&gt;0),0,0.5*(IF(('_Dates'!X451)&lt;('_Dates'!W451),0,INT((('_Dates'!X451)-('_Dates'!W451)+1)/7)*LEN(SUBSTITUTE(W451,"O",""))+LEN(SUBSTITUTE(MID(W451&amp;W451,WEEKDAY(('_Dates'!W451),2),MOD((('_Dates'!X451)-('_Dates'!W451)+1),7)),"O",""))-COUNTIFS(INDEX(AllClosureRows,C451,0),"&gt;="&amp;('_Dates'!W451),INDEX(AllClosureRows,C451,0),"&lt;="&amp;('_Dates'!X451)))+IF(('_Dates'!Z451)&lt;('_Dates'!Y451),0,INT((('_Dates'!Z451)-('_Dates'!Y451)+1)/7)*LEN(SUBSTITUTE(W451,"O",""))+LEN(SUBSTITUTE(MID(W451&amp;W451,WEEKDAY(('_Dates'!Y451),2),MOD((('_Dates'!Z451)-('_Dates'!Y451)+1),7)),"O",""))-COUNTIFS(INDEX(AllClosureRows,C451,0),"&gt;="&amp;('_Dates'!Y451),INDEX(AllClosureRows,C451,0),"&lt;="&amp;('_Dates'!Z451)))))</ns0:f>
        <ns0:v>0</ns0:v>
      </ns0:c>
      <ns0:c r="H451" s="0">
        <ns0:f>IF(OR(F451&lt;&gt;"OK",$B$6&gt;0),0,0.5*(IF((MIN('_Dates'!X451,Settings!$B$9))&lt;('_Dates'!W451),0,INT(((MIN('_Dates'!X451,Settings!$B$9))-('_Dates'!W451)+1)/7)*LEN(SUBSTITUTE(W451,"O",""))+LEN(SUBSTITUTE(MID(W451&amp;W451,WEEKDAY(('_Dates'!W451),2),MOD(((MIN('_Dates'!X451,Settings!$B$9))-('_Dates'!W451)+1),7)),"O",""))-COUNTIFS(INDEX(AllClosureRows,C451,0),"&gt;="&amp;('_Dates'!W451),INDEX(AllClosureRows,C451,0),"&lt;="&amp;(MIN('_Dates'!X451,Settings!$B$9))))+IF((MIN('_Dates'!Z451,Settings!$B$9))&lt;('_Dates'!Y451),0,INT(((MIN('_Dates'!Z451,Settings!$B$9))-('_Dates'!Y451)+1)/7)*LEN(SUBSTITUTE(W451,"O",""))+LEN(SUBSTITUTE(MID(W451&amp;W451,WEEKDAY(('_Dates'!Y451),2),MOD(((MIN('_Dates'!Z451,Settings!$B$9))-('_Dates'!Y451)+1),7)),"O",""))-COUNTIFS(INDEX(AllClosureRows,C451,0),"&gt;="&amp;('_Dates'!Y451),INDEX(AllClosureRows,C451,0),"&lt;="&amp;(MIN('_Dates'!Z451,Settings!$B$9))))))</ns0:f>
        <ns0:v>0</ns0:v>
      </ns0:c>
      <ns0:c r="I451" s="0">
        <ns0:f>MAX(0,G451-H451)</ns0:f>
        <ns0:v>0</ns0:v>
      </ns0:c>
      <ns0:c r="J451" s="0">
        <ns0:f>IF(OR(A451=0,F451&lt;&gt;"OK",Bookings!G451="Cancelled",$B$6&gt;0),0,IF('_Dates'!AC451=1,MAX(0,COUNTIFS(rngEngine_B,B451,rngAMStart,"&lt;="&amp;'_Dates'!X451,rngAMEnd,"&gt;="&amp;'_Dates'!W451,rngAMActive,1,rngEngine_F,"OK",rngBookings_F,"&lt;&gt;Cancelled")-1),0)+IF('_Dates'!AD451=1,MAX(0,COUNTIFS(rngEngine_B,B451,rngPMStart,"&lt;="&amp;'_Dates'!Z451,rngPMEnd,"&gt;="&amp;'_Dates'!Y451,rngPMActive,1,rngEngine_F,"OK",rngBookings_F,"&lt;&gt;Cancelled")-1),0))</ns0:f>
        <ns0:v>0</ns0:v>
      </ns0:c>
      <ns0:c r="K451" s="0" t="str">
        <ns0:f>IF(A451=0,"",IF(F451&lt;&gt;"OK",F451,IF(J451&gt;0,"CHECK overlapping entry",IF(AND($B$6=0,G451&lt;=0,Bookings!G451&lt;&gt;"Cancelled"),"CHECK no working days",IF(Bookings!G451="Cancelled","Cancelled","OK")))))</ns0:f>
        <ns0:v/>
      </ns0:c>
      <ns0:c r="L451" s="0">
        <ns0:f>IF(LEFT(K451,5)="CHECK",1,0)</ns0:f>
        <ns0:v>0</ns0:v>
      </ns0:c>
      <ns0:c r="M451" s="0">
        <ns0:f>IF(AND(L451=1,OR(C451=0,IFERROR(INDEX($X$11:$X$60,C451),0)=0)),1,0)</ns0:f>
        <ns0:v>0</ns0:v>
      </ns0:c>
      <ns0:c r="N451" s="0">
        <ns0:f>IF(OR(A451=0,L451&gt;0,$B$6&gt;0,Bookings!G451="Cancelled"),0,G451)</ns0:f>
        <ns0:v>0</ns0:v>
      </ns0:c>
      <ns0:c r="O451" s="0">
        <ns0:f>IF(AND(Bookings!G451="Approved",E451="Yes"),N451,0)</ns0:f>
        <ns0:v>0</ns0:v>
      </ns0:c>
      <ns0:c r="P451" s="0">
        <ns0:f>IF(AND(Bookings!G451="Approved",E451="Yes",L451=0,$B$6=0),H451,0)</ns0:f>
        <ns0:v>0</ns0:v>
      </ns0:c>
      <ns0:c r="Q451" s="0">
        <ns0:f>IF(AND(Bookings!G451="Approved",E451="Yes",L451=0,$B$6=0),I451,0)</ns0:f>
        <ns0:v>0</ns0:v>
      </ns0:c>
      <ns0:c r="R451" s="0">
        <ns0:f>IF(AND(Bookings!G451="Pending",E451="Yes"),N451,0)</ns0:f>
        <ns0:v>0</ns0:v>
      </ns0:c>
      <ns0:c r="S451" s="0">
        <ns0:f>IF(AND(Bookings!G451="Approved",E451="No"),N451,0)</ns0:f>
        <ns0:v>0</ns0:v>
      </ns0:c>
      <ns0:c r="T451" s="0">
        <ns0:f>IFERROR(MATCH(D451,Settings!$G$7:$G$11,0),0)</ns0:f>
        <ns0:v>0</ns0:v>
      </ns0:c>
      <ns0:c r="U451" s="0">
        <ns0:f>IF(N451&gt;0,T451+IF(Bookings!G451="Pending",10,0),0)</ns0:f>
        <ns0:v>0</ns0:v>
      </ns0:c>
      <ns0:c r="V451" s="0">
        <ns0:f>U451</ns0:f>
        <ns0:v>0</ns0:v>
      </ns0:c>
      <ns0:c r="W451" s="0" t="str">
        <ns0:f>IF(C451=0,"",INDEX($AP$11:$AP$60,C451))</ns0:f>
        <ns0:v/>
      </ns0:c>
    </ns0:row>
    <ns0:row r="452">
      <ns0:c r="A452" s="0">
        <ns0:f>IF(COUNTA(Bookings!A452:G452,Bookings!I452)=0,0,1)</ns0:f>
        <ns0:v>0</ns0:v>
      </ns0:c>
      <ns0:c r="B452" s="0" t="str">
        <ns0:f>IFERROR(TRIM(MID(Bookings!A452,FIND(" · ",Bookings!A452)+3,99)),"")</ns0:f>
        <ns0:v/>
      </ns0:c>
      <ns0:c r="C452" s="0">
        <ns0:f>IF(OR(B452="",LEN(B452)&gt;24,ISNUMBER(FIND(" ",B452)),ISNUMBER(FIND("*",B452)),ISNUMBER(FIND("?",B452)),ISNUMBER(FIND("~",B452))),0,IFERROR(MATCH(B452,Team!$A$11:$A$60,0),0))</ns0:f>
        <ns0:v>0</ns0:v>
      </ns0:c>
      <ns0:c r="D452" s="0" t="str">
        <ns0:f>IFERROR(IF(MID(Bookings!F452,LEN(Bookings!F452)-3,3)=" · ",RIGHT(Bookings!F452,1),""),"")</ns0:f>
        <ns0:v/>
      </ns0:c>
      <ns0:c r="E452" s="0" t="str">
        <ns0:f>IFERROR(INDEX(Settings!$H$7:$H$11,MATCH(D452,Settings!$G$7:$G$11,0)),"")</ns0:f>
        <ns0:v/>
      </ns0:c>
      <ns0:c r="F452" s="0" t="str">
        <ns0:f>IF(A452=0,"",IFERROR(IF(OR(B452="",C452=0),"CHECK employee selection",IF(INDEX(Team!$O$11:$O$60,C452)&lt;&gt;"OK","CHECK employee setup",IF(OR('_Dates'!J452=0,'_Dates'!T452=0),"CHECK date: use DD.MM.YYYY",IF('_Dates'!T452&lt;'_Dates'!J452,"CHECK end before start",IF(AND($B$6=0,OR('_Dates'!J452&lt;Settings!$B$7,'_Dates'!T452&gt;Settings!$B$8)),"CHECK split across leave years",IF(OR(NOT(OR('_Dates'!U452="Full day",'_Dates'!U452="AM",'_Dates'!U452="PM")),NOT(OR('_Dates'!V452="Full day",'_Dates'!V452="AM",'_Dates'!V452="PM"))),"CHECK Full day / AM / PM",IF(AND('_Dates'!J452='_Dates'!T452,'_Dates'!U452&lt;&gt;"Full day",'_Dates'!V452&lt;&gt;"Full day",'_Dates'!U452&lt;&gt;'_Dates'!V452),"CHECK same-day portions disagree",IF(AND($B$6=0,OR(AND('_Dates'!U452&lt;&gt;"Full day",'_Dates'!AA452=0),AND('_Dates'!V452&lt;&gt;"Full day",'_Dates'!AB452=0))),"CHECK half-day on non-working date",IF(COUNTIF(Settings!$G$7:$G$11,D452)&lt;&gt;1,"CHECK leave type",IF(AND(Bookings!G452&lt;&gt;"Approved",Bookings!G452&lt;&gt;"Pending",Bookings!G452&lt;&gt;"Cancelled"),"CHECK status","OK")))))))))),"CHECK input"))</ns0:f>
        <ns0:v/>
      </ns0:c>
      <ns0:c r="G452" s="0">
        <ns0:f>IF(OR(F452&lt;&gt;"OK",$B$6&gt;0),0,0.5*(IF(('_Dates'!X452)&lt;('_Dates'!W452),0,INT((('_Dates'!X452)-('_Dates'!W452)+1)/7)*LEN(SUBSTITUTE(W452,"O",""))+LEN(SUBSTITUTE(MID(W452&amp;W452,WEEKDAY(('_Dates'!W452),2),MOD((('_Dates'!X452)-('_Dates'!W452)+1),7)),"O",""))-COUNTIFS(INDEX(AllClosureRows,C452,0),"&gt;="&amp;('_Dates'!W452),INDEX(AllClosureRows,C452,0),"&lt;="&amp;('_Dates'!X452)))+IF(('_Dates'!Z452)&lt;('_Dates'!Y452),0,INT((('_Dates'!Z452)-('_Dates'!Y452)+1)/7)*LEN(SUBSTITUTE(W452,"O",""))+LEN(SUBSTITUTE(MID(W452&amp;W452,WEEKDAY(('_Dates'!Y452),2),MOD((('_Dates'!Z452)-('_Dates'!Y452)+1),7)),"O",""))-COUNTIFS(INDEX(AllClosureRows,C452,0),"&gt;="&amp;('_Dates'!Y452),INDEX(AllClosureRows,C452,0),"&lt;="&amp;('_Dates'!Z452)))))</ns0:f>
        <ns0:v>0</ns0:v>
      </ns0:c>
      <ns0:c r="H452" s="0">
        <ns0:f>IF(OR(F452&lt;&gt;"OK",$B$6&gt;0),0,0.5*(IF((MIN('_Dates'!X452,Settings!$B$9))&lt;('_Dates'!W452),0,INT(((MIN('_Dates'!X452,Settings!$B$9))-('_Dates'!W452)+1)/7)*LEN(SUBSTITUTE(W452,"O",""))+LEN(SUBSTITUTE(MID(W452&amp;W452,WEEKDAY(('_Dates'!W452),2),MOD(((MIN('_Dates'!X452,Settings!$B$9))-('_Dates'!W452)+1),7)),"O",""))-COUNTIFS(INDEX(AllClosureRows,C452,0),"&gt;="&amp;('_Dates'!W452),INDEX(AllClosureRows,C452,0),"&lt;="&amp;(MIN('_Dates'!X452,Settings!$B$9))))+IF((MIN('_Dates'!Z452,Settings!$B$9))&lt;('_Dates'!Y452),0,INT(((MIN('_Dates'!Z452,Settings!$B$9))-('_Dates'!Y452)+1)/7)*LEN(SUBSTITUTE(W452,"O",""))+LEN(SUBSTITUTE(MID(W452&amp;W452,WEEKDAY(('_Dates'!Y452),2),MOD(((MIN('_Dates'!Z452,Settings!$B$9))-('_Dates'!Y452)+1),7)),"O",""))-COUNTIFS(INDEX(AllClosureRows,C452,0),"&gt;="&amp;('_Dates'!Y452),INDEX(AllClosureRows,C452,0),"&lt;="&amp;(MIN('_Dates'!Z452,Settings!$B$9))))))</ns0:f>
        <ns0:v>0</ns0:v>
      </ns0:c>
      <ns0:c r="I452" s="0">
        <ns0:f>MAX(0,G452-H452)</ns0:f>
        <ns0:v>0</ns0:v>
      </ns0:c>
      <ns0:c r="J452" s="0">
        <ns0:f>IF(OR(A452=0,F452&lt;&gt;"OK",Bookings!G452="Cancelled",$B$6&gt;0),0,IF('_Dates'!AC452=1,MAX(0,COUNTIFS(rngEngine_B,B452,rngAMStart,"&lt;="&amp;'_Dates'!X452,rngAMEnd,"&gt;="&amp;'_Dates'!W452,rngAMActive,1,rngEngine_F,"OK",rngBookings_F,"&lt;&gt;Cancelled")-1),0)+IF('_Dates'!AD452=1,MAX(0,COUNTIFS(rngEngine_B,B452,rngPMStart,"&lt;="&amp;'_Dates'!Z452,rngPMEnd,"&gt;="&amp;'_Dates'!Y452,rngPMActive,1,rngEngine_F,"OK",rngBookings_F,"&lt;&gt;Cancelled")-1),0))</ns0:f>
        <ns0:v>0</ns0:v>
      </ns0:c>
      <ns0:c r="K452" s="0" t="str">
        <ns0:f>IF(A452=0,"",IF(F452&lt;&gt;"OK",F452,IF(J452&gt;0,"CHECK overlapping entry",IF(AND($B$6=0,G452&lt;=0,Bookings!G452&lt;&gt;"Cancelled"),"CHECK no working days",IF(Bookings!G452="Cancelled","Cancelled","OK")))))</ns0:f>
        <ns0:v/>
      </ns0:c>
      <ns0:c r="L452" s="0">
        <ns0:f>IF(LEFT(K452,5)="CHECK",1,0)</ns0:f>
        <ns0:v>0</ns0:v>
      </ns0:c>
      <ns0:c r="M452" s="0">
        <ns0:f>IF(AND(L452=1,OR(C452=0,IFERROR(INDEX($X$11:$X$60,C452),0)=0)),1,0)</ns0:f>
        <ns0:v>0</ns0:v>
      </ns0:c>
      <ns0:c r="N452" s="0">
        <ns0:f>IF(OR(A452=0,L452&gt;0,$B$6&gt;0,Bookings!G452="Cancelled"),0,G452)</ns0:f>
        <ns0:v>0</ns0:v>
      </ns0:c>
      <ns0:c r="O452" s="0">
        <ns0:f>IF(AND(Bookings!G452="Approved",E452="Yes"),N452,0)</ns0:f>
        <ns0:v>0</ns0:v>
      </ns0:c>
      <ns0:c r="P452" s="0">
        <ns0:f>IF(AND(Bookings!G452="Approved",E452="Yes",L452=0,$B$6=0),H452,0)</ns0:f>
        <ns0:v>0</ns0:v>
      </ns0:c>
      <ns0:c r="Q452" s="0">
        <ns0:f>IF(AND(Bookings!G452="Approved",E452="Yes",L452=0,$B$6=0),I452,0)</ns0:f>
        <ns0:v>0</ns0:v>
      </ns0:c>
      <ns0:c r="R452" s="0">
        <ns0:f>IF(AND(Bookings!G452="Pending",E452="Yes"),N452,0)</ns0:f>
        <ns0:v>0</ns0:v>
      </ns0:c>
      <ns0:c r="S452" s="0">
        <ns0:f>IF(AND(Bookings!G452="Approved",E452="No"),N452,0)</ns0:f>
        <ns0:v>0</ns0:v>
      </ns0:c>
      <ns0:c r="T452" s="0">
        <ns0:f>IFERROR(MATCH(D452,Settings!$G$7:$G$11,0),0)</ns0:f>
        <ns0:v>0</ns0:v>
      </ns0:c>
      <ns0:c r="U452" s="0">
        <ns0:f>IF(N452&gt;0,T452+IF(Bookings!G452="Pending",10,0),0)</ns0:f>
        <ns0:v>0</ns0:v>
      </ns0:c>
      <ns0:c r="V452" s="0">
        <ns0:f>U452</ns0:f>
        <ns0:v>0</ns0:v>
      </ns0:c>
      <ns0:c r="W452" s="0" t="str">
        <ns0:f>IF(C452=0,"",INDEX($AP$11:$AP$60,C452))</ns0:f>
        <ns0:v/>
      </ns0:c>
    </ns0:row>
    <ns0:row r="453">
      <ns0:c r="A453" s="0">
        <ns0:f>IF(COUNTA(Bookings!A453:G453,Bookings!I453)=0,0,1)</ns0:f>
        <ns0:v>0</ns0:v>
      </ns0:c>
      <ns0:c r="B453" s="0" t="str">
        <ns0:f>IFERROR(TRIM(MID(Bookings!A453,FIND(" · ",Bookings!A453)+3,99)),"")</ns0:f>
        <ns0:v/>
      </ns0:c>
      <ns0:c r="C453" s="0">
        <ns0:f>IF(OR(B453="",LEN(B453)&gt;24,ISNUMBER(FIND(" ",B453)),ISNUMBER(FIND("*",B453)),ISNUMBER(FIND("?",B453)),ISNUMBER(FIND("~",B453))),0,IFERROR(MATCH(B453,Team!$A$11:$A$60,0),0))</ns0:f>
        <ns0:v>0</ns0:v>
      </ns0:c>
      <ns0:c r="D453" s="0" t="str">
        <ns0:f>IFERROR(IF(MID(Bookings!F453,LEN(Bookings!F453)-3,3)=" · ",RIGHT(Bookings!F453,1),""),"")</ns0:f>
        <ns0:v/>
      </ns0:c>
      <ns0:c r="E453" s="0" t="str">
        <ns0:f>IFERROR(INDEX(Settings!$H$7:$H$11,MATCH(D453,Settings!$G$7:$G$11,0)),"")</ns0:f>
        <ns0:v/>
      </ns0:c>
      <ns0:c r="F453" s="0" t="str">
        <ns0:f>IF(A453=0,"",IFERROR(IF(OR(B453="",C453=0),"CHECK employee selection",IF(INDEX(Team!$O$11:$O$60,C453)&lt;&gt;"OK","CHECK employee setup",IF(OR('_Dates'!J453=0,'_Dates'!T453=0),"CHECK date: use DD.MM.YYYY",IF('_Dates'!T453&lt;'_Dates'!J453,"CHECK end before start",IF(AND($B$6=0,OR('_Dates'!J453&lt;Settings!$B$7,'_Dates'!T453&gt;Settings!$B$8)),"CHECK split across leave years",IF(OR(NOT(OR('_Dates'!U453="Full day",'_Dates'!U453="AM",'_Dates'!U453="PM")),NOT(OR('_Dates'!V453="Full day",'_Dates'!V453="AM",'_Dates'!V453="PM"))),"CHECK Full day / AM / PM",IF(AND('_Dates'!J453='_Dates'!T453,'_Dates'!U453&lt;&gt;"Full day",'_Dates'!V453&lt;&gt;"Full day",'_Dates'!U453&lt;&gt;'_Dates'!V453),"CHECK same-day portions disagree",IF(AND($B$6=0,OR(AND('_Dates'!U453&lt;&gt;"Full day",'_Dates'!AA453=0),AND('_Dates'!V453&lt;&gt;"Full day",'_Dates'!AB453=0))),"CHECK half-day on non-working date",IF(COUNTIF(Settings!$G$7:$G$11,D453)&lt;&gt;1,"CHECK leave type",IF(AND(Bookings!G453&lt;&gt;"Approved",Bookings!G453&lt;&gt;"Pending",Bookings!G453&lt;&gt;"Cancelled"),"CHECK status","OK")))))))))),"CHECK input"))</ns0:f>
        <ns0:v/>
      </ns0:c>
      <ns0:c r="G453" s="0">
        <ns0:f>IF(OR(F453&lt;&gt;"OK",$B$6&gt;0),0,0.5*(IF(('_Dates'!X453)&lt;('_Dates'!W453),0,INT((('_Dates'!X453)-('_Dates'!W453)+1)/7)*LEN(SUBSTITUTE(W453,"O",""))+LEN(SUBSTITUTE(MID(W453&amp;W453,WEEKDAY(('_Dates'!W453),2),MOD((('_Dates'!X453)-('_Dates'!W453)+1),7)),"O",""))-COUNTIFS(INDEX(AllClosureRows,C453,0),"&gt;="&amp;('_Dates'!W453),INDEX(AllClosureRows,C453,0),"&lt;="&amp;('_Dates'!X453)))+IF(('_Dates'!Z453)&lt;('_Dates'!Y453),0,INT((('_Dates'!Z453)-('_Dates'!Y453)+1)/7)*LEN(SUBSTITUTE(W453,"O",""))+LEN(SUBSTITUTE(MID(W453&amp;W453,WEEKDAY(('_Dates'!Y453),2),MOD((('_Dates'!Z453)-('_Dates'!Y453)+1),7)),"O",""))-COUNTIFS(INDEX(AllClosureRows,C453,0),"&gt;="&amp;('_Dates'!Y453),INDEX(AllClosureRows,C453,0),"&lt;="&amp;('_Dates'!Z453)))))</ns0:f>
        <ns0:v>0</ns0:v>
      </ns0:c>
      <ns0:c r="H453" s="0">
        <ns0:f>IF(OR(F453&lt;&gt;"OK",$B$6&gt;0),0,0.5*(IF((MIN('_Dates'!X453,Settings!$B$9))&lt;('_Dates'!W453),0,INT(((MIN('_Dates'!X453,Settings!$B$9))-('_Dates'!W453)+1)/7)*LEN(SUBSTITUTE(W453,"O",""))+LEN(SUBSTITUTE(MID(W453&amp;W453,WEEKDAY(('_Dates'!W453),2),MOD(((MIN('_Dates'!X453,Settings!$B$9))-('_Dates'!W453)+1),7)),"O",""))-COUNTIFS(INDEX(AllClosureRows,C453,0),"&gt;="&amp;('_Dates'!W453),INDEX(AllClosureRows,C453,0),"&lt;="&amp;(MIN('_Dates'!X453,Settings!$B$9))))+IF((MIN('_Dates'!Z453,Settings!$B$9))&lt;('_Dates'!Y453),0,INT(((MIN('_Dates'!Z453,Settings!$B$9))-('_Dates'!Y453)+1)/7)*LEN(SUBSTITUTE(W453,"O",""))+LEN(SUBSTITUTE(MID(W453&amp;W453,WEEKDAY(('_Dates'!Y453),2),MOD(((MIN('_Dates'!Z453,Settings!$B$9))-('_Dates'!Y453)+1),7)),"O",""))-COUNTIFS(INDEX(AllClosureRows,C453,0),"&gt;="&amp;('_Dates'!Y453),INDEX(AllClosureRows,C453,0),"&lt;="&amp;(MIN('_Dates'!Z453,Settings!$B$9))))))</ns0:f>
        <ns0:v>0</ns0:v>
      </ns0:c>
      <ns0:c r="I453" s="0">
        <ns0:f>MAX(0,G453-H453)</ns0:f>
        <ns0:v>0</ns0:v>
      </ns0:c>
      <ns0:c r="J453" s="0">
        <ns0:f>IF(OR(A453=0,F453&lt;&gt;"OK",Bookings!G453="Cancelled",$B$6&gt;0),0,IF('_Dates'!AC453=1,MAX(0,COUNTIFS(rngEngine_B,B453,rngAMStart,"&lt;="&amp;'_Dates'!X453,rngAMEnd,"&gt;="&amp;'_Dates'!W453,rngAMActive,1,rngEngine_F,"OK",rngBookings_F,"&lt;&gt;Cancelled")-1),0)+IF('_Dates'!AD453=1,MAX(0,COUNTIFS(rngEngine_B,B453,rngPMStart,"&lt;="&amp;'_Dates'!Z453,rngPMEnd,"&gt;="&amp;'_Dates'!Y453,rngPMActive,1,rngEngine_F,"OK",rngBookings_F,"&lt;&gt;Cancelled")-1),0))</ns0:f>
        <ns0:v>0</ns0:v>
      </ns0:c>
      <ns0:c r="K453" s="0" t="str">
        <ns0:f>IF(A453=0,"",IF(F453&lt;&gt;"OK",F453,IF(J453&gt;0,"CHECK overlapping entry",IF(AND($B$6=0,G453&lt;=0,Bookings!G453&lt;&gt;"Cancelled"),"CHECK no working days",IF(Bookings!G453="Cancelled","Cancelled","OK")))))</ns0:f>
        <ns0:v/>
      </ns0:c>
      <ns0:c r="L453" s="0">
        <ns0:f>IF(LEFT(K453,5)="CHECK",1,0)</ns0:f>
        <ns0:v>0</ns0:v>
      </ns0:c>
      <ns0:c r="M453" s="0">
        <ns0:f>IF(AND(L453=1,OR(C453=0,IFERROR(INDEX($X$11:$X$60,C453),0)=0)),1,0)</ns0:f>
        <ns0:v>0</ns0:v>
      </ns0:c>
      <ns0:c r="N453" s="0">
        <ns0:f>IF(OR(A453=0,L453&gt;0,$B$6&gt;0,Bookings!G453="Cancelled"),0,G453)</ns0:f>
        <ns0:v>0</ns0:v>
      </ns0:c>
      <ns0:c r="O453" s="0">
        <ns0:f>IF(AND(Bookings!G453="Approved",E453="Yes"),N453,0)</ns0:f>
        <ns0:v>0</ns0:v>
      </ns0:c>
      <ns0:c r="P453" s="0">
        <ns0:f>IF(AND(Bookings!G453="Approved",E453="Yes",L453=0,$B$6=0),H453,0)</ns0:f>
        <ns0:v>0</ns0:v>
      </ns0:c>
      <ns0:c r="Q453" s="0">
        <ns0:f>IF(AND(Bookings!G453="Approved",E453="Yes",L453=0,$B$6=0),I453,0)</ns0:f>
        <ns0:v>0</ns0:v>
      </ns0:c>
      <ns0:c r="R453" s="0">
        <ns0:f>IF(AND(Bookings!G453="Pending",E453="Yes"),N453,0)</ns0:f>
        <ns0:v>0</ns0:v>
      </ns0:c>
      <ns0:c r="S453" s="0">
        <ns0:f>IF(AND(Bookings!G453="Approved",E453="No"),N453,0)</ns0:f>
        <ns0:v>0</ns0:v>
      </ns0:c>
      <ns0:c r="T453" s="0">
        <ns0:f>IFERROR(MATCH(D453,Settings!$G$7:$G$11,0),0)</ns0:f>
        <ns0:v>0</ns0:v>
      </ns0:c>
      <ns0:c r="U453" s="0">
        <ns0:f>IF(N453&gt;0,T453+IF(Bookings!G453="Pending",10,0),0)</ns0:f>
        <ns0:v>0</ns0:v>
      </ns0:c>
      <ns0:c r="V453" s="0">
        <ns0:f>U453</ns0:f>
        <ns0:v>0</ns0:v>
      </ns0:c>
      <ns0:c r="W453" s="0" t="str">
        <ns0:f>IF(C453=0,"",INDEX($AP$11:$AP$60,C453))</ns0:f>
        <ns0:v/>
      </ns0:c>
    </ns0:row>
    <ns0:row r="454">
      <ns0:c r="A454" s="0">
        <ns0:f>IF(COUNTA(Bookings!A454:G454,Bookings!I454)=0,0,1)</ns0:f>
        <ns0:v>0</ns0:v>
      </ns0:c>
      <ns0:c r="B454" s="0" t="str">
        <ns0:f>IFERROR(TRIM(MID(Bookings!A454,FIND(" · ",Bookings!A454)+3,99)),"")</ns0:f>
        <ns0:v/>
      </ns0:c>
      <ns0:c r="C454" s="0">
        <ns0:f>IF(OR(B454="",LEN(B454)&gt;24,ISNUMBER(FIND(" ",B454)),ISNUMBER(FIND("*",B454)),ISNUMBER(FIND("?",B454)),ISNUMBER(FIND("~",B454))),0,IFERROR(MATCH(B454,Team!$A$11:$A$60,0),0))</ns0:f>
        <ns0:v>0</ns0:v>
      </ns0:c>
      <ns0:c r="D454" s="0" t="str">
        <ns0:f>IFERROR(IF(MID(Bookings!F454,LEN(Bookings!F454)-3,3)=" · ",RIGHT(Bookings!F454,1),""),"")</ns0:f>
        <ns0:v/>
      </ns0:c>
      <ns0:c r="E454" s="0" t="str">
        <ns0:f>IFERROR(INDEX(Settings!$H$7:$H$11,MATCH(D454,Settings!$G$7:$G$11,0)),"")</ns0:f>
        <ns0:v/>
      </ns0:c>
      <ns0:c r="F454" s="0" t="str">
        <ns0:f>IF(A454=0,"",IFERROR(IF(OR(B454="",C454=0),"CHECK employee selection",IF(INDEX(Team!$O$11:$O$60,C454)&lt;&gt;"OK","CHECK employee setup",IF(OR('_Dates'!J454=0,'_Dates'!T454=0),"CHECK date: use DD.MM.YYYY",IF('_Dates'!T454&lt;'_Dates'!J454,"CHECK end before start",IF(AND($B$6=0,OR('_Dates'!J454&lt;Settings!$B$7,'_Dates'!T454&gt;Settings!$B$8)),"CHECK split across leave years",IF(OR(NOT(OR('_Dates'!U454="Full day",'_Dates'!U454="AM",'_Dates'!U454="PM")),NOT(OR('_Dates'!V454="Full day",'_Dates'!V454="AM",'_Dates'!V454="PM"))),"CHECK Full day / AM / PM",IF(AND('_Dates'!J454='_Dates'!T454,'_Dates'!U454&lt;&gt;"Full day",'_Dates'!V454&lt;&gt;"Full day",'_Dates'!U454&lt;&gt;'_Dates'!V454),"CHECK same-day portions disagree",IF(AND($B$6=0,OR(AND('_Dates'!U454&lt;&gt;"Full day",'_Dates'!AA454=0),AND('_Dates'!V454&lt;&gt;"Full day",'_Dates'!AB454=0))),"CHECK half-day on non-working date",IF(COUNTIF(Settings!$G$7:$G$11,D454)&lt;&gt;1,"CHECK leave type",IF(AND(Bookings!G454&lt;&gt;"Approved",Bookings!G454&lt;&gt;"Pending",Bookings!G454&lt;&gt;"Cancelled"),"CHECK status","OK")))))))))),"CHECK input"))</ns0:f>
        <ns0:v/>
      </ns0:c>
      <ns0:c r="G454" s="0">
        <ns0:f>IF(OR(F454&lt;&gt;"OK",$B$6&gt;0),0,0.5*(IF(('_Dates'!X454)&lt;('_Dates'!W454),0,INT((('_Dates'!X454)-('_Dates'!W454)+1)/7)*LEN(SUBSTITUTE(W454,"O",""))+LEN(SUBSTITUTE(MID(W454&amp;W454,WEEKDAY(('_Dates'!W454),2),MOD((('_Dates'!X454)-('_Dates'!W454)+1),7)),"O",""))-COUNTIFS(INDEX(AllClosureRows,C454,0),"&gt;="&amp;('_Dates'!W454),INDEX(AllClosureRows,C454,0),"&lt;="&amp;('_Dates'!X454)))+IF(('_Dates'!Z454)&lt;('_Dates'!Y454),0,INT((('_Dates'!Z454)-('_Dates'!Y454)+1)/7)*LEN(SUBSTITUTE(W454,"O",""))+LEN(SUBSTITUTE(MID(W454&amp;W454,WEEKDAY(('_Dates'!Y454),2),MOD((('_Dates'!Z454)-('_Dates'!Y454)+1),7)),"O",""))-COUNTIFS(INDEX(AllClosureRows,C454,0),"&gt;="&amp;('_Dates'!Y454),INDEX(AllClosureRows,C454,0),"&lt;="&amp;('_Dates'!Z454)))))</ns0:f>
        <ns0:v>0</ns0:v>
      </ns0:c>
      <ns0:c r="H454" s="0">
        <ns0:f>IF(OR(F454&lt;&gt;"OK",$B$6&gt;0),0,0.5*(IF((MIN('_Dates'!X454,Settings!$B$9))&lt;('_Dates'!W454),0,INT(((MIN('_Dates'!X454,Settings!$B$9))-('_Dates'!W454)+1)/7)*LEN(SUBSTITUTE(W454,"O",""))+LEN(SUBSTITUTE(MID(W454&amp;W454,WEEKDAY(('_Dates'!W454),2),MOD(((MIN('_Dates'!X454,Settings!$B$9))-('_Dates'!W454)+1),7)),"O",""))-COUNTIFS(INDEX(AllClosureRows,C454,0),"&gt;="&amp;('_Dates'!W454),INDEX(AllClosureRows,C454,0),"&lt;="&amp;(MIN('_Dates'!X454,Settings!$B$9))))+IF((MIN('_Dates'!Z454,Settings!$B$9))&lt;('_Dates'!Y454),0,INT(((MIN('_Dates'!Z454,Settings!$B$9))-('_Dates'!Y454)+1)/7)*LEN(SUBSTITUTE(W454,"O",""))+LEN(SUBSTITUTE(MID(W454&amp;W454,WEEKDAY(('_Dates'!Y454),2),MOD(((MIN('_Dates'!Z454,Settings!$B$9))-('_Dates'!Y454)+1),7)),"O",""))-COUNTIFS(INDEX(AllClosureRows,C454,0),"&gt;="&amp;('_Dates'!Y454),INDEX(AllClosureRows,C454,0),"&lt;="&amp;(MIN('_Dates'!Z454,Settings!$B$9))))))</ns0:f>
        <ns0:v>0</ns0:v>
      </ns0:c>
      <ns0:c r="I454" s="0">
        <ns0:f>MAX(0,G454-H454)</ns0:f>
        <ns0:v>0</ns0:v>
      </ns0:c>
      <ns0:c r="J454" s="0">
        <ns0:f>IF(OR(A454=0,F454&lt;&gt;"OK",Bookings!G454="Cancelled",$B$6&gt;0),0,IF('_Dates'!AC454=1,MAX(0,COUNTIFS(rngEngine_B,B454,rngAMStart,"&lt;="&amp;'_Dates'!X454,rngAMEnd,"&gt;="&amp;'_Dates'!W454,rngAMActive,1,rngEngine_F,"OK",rngBookings_F,"&lt;&gt;Cancelled")-1),0)+IF('_Dates'!AD454=1,MAX(0,COUNTIFS(rngEngine_B,B454,rngPMStart,"&lt;="&amp;'_Dates'!Z454,rngPMEnd,"&gt;="&amp;'_Dates'!Y454,rngPMActive,1,rngEngine_F,"OK",rngBookings_F,"&lt;&gt;Cancelled")-1),0))</ns0:f>
        <ns0:v>0</ns0:v>
      </ns0:c>
      <ns0:c r="K454" s="0" t="str">
        <ns0:f>IF(A454=0,"",IF(F454&lt;&gt;"OK",F454,IF(J454&gt;0,"CHECK overlapping entry",IF(AND($B$6=0,G454&lt;=0,Bookings!G454&lt;&gt;"Cancelled"),"CHECK no working days",IF(Bookings!G454="Cancelled","Cancelled","OK")))))</ns0:f>
        <ns0:v/>
      </ns0:c>
      <ns0:c r="L454" s="0">
        <ns0:f>IF(LEFT(K454,5)="CHECK",1,0)</ns0:f>
        <ns0:v>0</ns0:v>
      </ns0:c>
      <ns0:c r="M454" s="0">
        <ns0:f>IF(AND(L454=1,OR(C454=0,IFERROR(INDEX($X$11:$X$60,C454),0)=0)),1,0)</ns0:f>
        <ns0:v>0</ns0:v>
      </ns0:c>
      <ns0:c r="N454" s="0">
        <ns0:f>IF(OR(A454=0,L454&gt;0,$B$6&gt;0,Bookings!G454="Cancelled"),0,G454)</ns0:f>
        <ns0:v>0</ns0:v>
      </ns0:c>
      <ns0:c r="O454" s="0">
        <ns0:f>IF(AND(Bookings!G454="Approved",E454="Yes"),N454,0)</ns0:f>
        <ns0:v>0</ns0:v>
      </ns0:c>
      <ns0:c r="P454" s="0">
        <ns0:f>IF(AND(Bookings!G454="Approved",E454="Yes",L454=0,$B$6=0),H454,0)</ns0:f>
        <ns0:v>0</ns0:v>
      </ns0:c>
      <ns0:c r="Q454" s="0">
        <ns0:f>IF(AND(Bookings!G454="Approved",E454="Yes",L454=0,$B$6=0),I454,0)</ns0:f>
        <ns0:v>0</ns0:v>
      </ns0:c>
      <ns0:c r="R454" s="0">
        <ns0:f>IF(AND(Bookings!G454="Pending",E454="Yes"),N454,0)</ns0:f>
        <ns0:v>0</ns0:v>
      </ns0:c>
      <ns0:c r="S454" s="0">
        <ns0:f>IF(AND(Bookings!G454="Approved",E454="No"),N454,0)</ns0:f>
        <ns0:v>0</ns0:v>
      </ns0:c>
      <ns0:c r="T454" s="0">
        <ns0:f>IFERROR(MATCH(D454,Settings!$G$7:$G$11,0),0)</ns0:f>
        <ns0:v>0</ns0:v>
      </ns0:c>
      <ns0:c r="U454" s="0">
        <ns0:f>IF(N454&gt;0,T454+IF(Bookings!G454="Pending",10,0),0)</ns0:f>
        <ns0:v>0</ns0:v>
      </ns0:c>
      <ns0:c r="V454" s="0">
        <ns0:f>U454</ns0:f>
        <ns0:v>0</ns0:v>
      </ns0:c>
      <ns0:c r="W454" s="0" t="str">
        <ns0:f>IF(C454=0,"",INDEX($AP$11:$AP$60,C454))</ns0:f>
        <ns0:v/>
      </ns0:c>
    </ns0:row>
    <ns0:row r="455">
      <ns0:c r="A455" s="0">
        <ns0:f>IF(COUNTA(Bookings!A455:G455,Bookings!I455)=0,0,1)</ns0:f>
        <ns0:v>0</ns0:v>
      </ns0:c>
      <ns0:c r="B455" s="0" t="str">
        <ns0:f>IFERROR(TRIM(MID(Bookings!A455,FIND(" · ",Bookings!A455)+3,99)),"")</ns0:f>
        <ns0:v/>
      </ns0:c>
      <ns0:c r="C455" s="0">
        <ns0:f>IF(OR(B455="",LEN(B455)&gt;24,ISNUMBER(FIND(" ",B455)),ISNUMBER(FIND("*",B455)),ISNUMBER(FIND("?",B455)),ISNUMBER(FIND("~",B455))),0,IFERROR(MATCH(B455,Team!$A$11:$A$60,0),0))</ns0:f>
        <ns0:v>0</ns0:v>
      </ns0:c>
      <ns0:c r="D455" s="0" t="str">
        <ns0:f>IFERROR(IF(MID(Bookings!F455,LEN(Bookings!F455)-3,3)=" · ",RIGHT(Bookings!F455,1),""),"")</ns0:f>
        <ns0:v/>
      </ns0:c>
      <ns0:c r="E455" s="0" t="str">
        <ns0:f>IFERROR(INDEX(Settings!$H$7:$H$11,MATCH(D455,Settings!$G$7:$G$11,0)),"")</ns0:f>
        <ns0:v/>
      </ns0:c>
      <ns0:c r="F455" s="0" t="str">
        <ns0:f>IF(A455=0,"",IFERROR(IF(OR(B455="",C455=0),"CHECK employee selection",IF(INDEX(Team!$O$11:$O$60,C455)&lt;&gt;"OK","CHECK employee setup",IF(OR('_Dates'!J455=0,'_Dates'!T455=0),"CHECK date: use DD.MM.YYYY",IF('_Dates'!T455&lt;'_Dates'!J455,"CHECK end before start",IF(AND($B$6=0,OR('_Dates'!J455&lt;Settings!$B$7,'_Dates'!T455&gt;Settings!$B$8)),"CHECK split across leave years",IF(OR(NOT(OR('_Dates'!U455="Full day",'_Dates'!U455="AM",'_Dates'!U455="PM")),NOT(OR('_Dates'!V455="Full day",'_Dates'!V455="AM",'_Dates'!V455="PM"))),"CHECK Full day / AM / PM",IF(AND('_Dates'!J455='_Dates'!T455,'_Dates'!U455&lt;&gt;"Full day",'_Dates'!V455&lt;&gt;"Full day",'_Dates'!U455&lt;&gt;'_Dates'!V455),"CHECK same-day portions disagree",IF(AND($B$6=0,OR(AND('_Dates'!U455&lt;&gt;"Full day",'_Dates'!AA455=0),AND('_Dates'!V455&lt;&gt;"Full day",'_Dates'!AB455=0))),"CHECK half-day on non-working date",IF(COUNTIF(Settings!$G$7:$G$11,D455)&lt;&gt;1,"CHECK leave type",IF(AND(Bookings!G455&lt;&gt;"Approved",Bookings!G455&lt;&gt;"Pending",Bookings!G455&lt;&gt;"Cancelled"),"CHECK status","OK")))))))))),"CHECK input"))</ns0:f>
        <ns0:v/>
      </ns0:c>
      <ns0:c r="G455" s="0">
        <ns0:f>IF(OR(F455&lt;&gt;"OK",$B$6&gt;0),0,0.5*(IF(('_Dates'!X455)&lt;('_Dates'!W455),0,INT((('_Dates'!X455)-('_Dates'!W455)+1)/7)*LEN(SUBSTITUTE(W455,"O",""))+LEN(SUBSTITUTE(MID(W455&amp;W455,WEEKDAY(('_Dates'!W455),2),MOD((('_Dates'!X455)-('_Dates'!W455)+1),7)),"O",""))-COUNTIFS(INDEX(AllClosureRows,C455,0),"&gt;="&amp;('_Dates'!W455),INDEX(AllClosureRows,C455,0),"&lt;="&amp;('_Dates'!X455)))+IF(('_Dates'!Z455)&lt;('_Dates'!Y455),0,INT((('_Dates'!Z455)-('_Dates'!Y455)+1)/7)*LEN(SUBSTITUTE(W455,"O",""))+LEN(SUBSTITUTE(MID(W455&amp;W455,WEEKDAY(('_Dates'!Y455),2),MOD((('_Dates'!Z455)-('_Dates'!Y455)+1),7)),"O",""))-COUNTIFS(INDEX(AllClosureRows,C455,0),"&gt;="&amp;('_Dates'!Y455),INDEX(AllClosureRows,C455,0),"&lt;="&amp;('_Dates'!Z455)))))</ns0:f>
        <ns0:v>0</ns0:v>
      </ns0:c>
      <ns0:c r="H455" s="0">
        <ns0:f>IF(OR(F455&lt;&gt;"OK",$B$6&gt;0),0,0.5*(IF((MIN('_Dates'!X455,Settings!$B$9))&lt;('_Dates'!W455),0,INT(((MIN('_Dates'!X455,Settings!$B$9))-('_Dates'!W455)+1)/7)*LEN(SUBSTITUTE(W455,"O",""))+LEN(SUBSTITUTE(MID(W455&amp;W455,WEEKDAY(('_Dates'!W455),2),MOD(((MIN('_Dates'!X455,Settings!$B$9))-('_Dates'!W455)+1),7)),"O",""))-COUNTIFS(INDEX(AllClosureRows,C455,0),"&gt;="&amp;('_Dates'!W455),INDEX(AllClosureRows,C455,0),"&lt;="&amp;(MIN('_Dates'!X455,Settings!$B$9))))+IF((MIN('_Dates'!Z455,Settings!$B$9))&lt;('_Dates'!Y455),0,INT(((MIN('_Dates'!Z455,Settings!$B$9))-('_Dates'!Y455)+1)/7)*LEN(SUBSTITUTE(W455,"O",""))+LEN(SUBSTITUTE(MID(W455&amp;W455,WEEKDAY(('_Dates'!Y455),2),MOD(((MIN('_Dates'!Z455,Settings!$B$9))-('_Dates'!Y455)+1),7)),"O",""))-COUNTIFS(INDEX(AllClosureRows,C455,0),"&gt;="&amp;('_Dates'!Y455),INDEX(AllClosureRows,C455,0),"&lt;="&amp;(MIN('_Dates'!Z455,Settings!$B$9))))))</ns0:f>
        <ns0:v>0</ns0:v>
      </ns0:c>
      <ns0:c r="I455" s="0">
        <ns0:f>MAX(0,G455-H455)</ns0:f>
        <ns0:v>0</ns0:v>
      </ns0:c>
      <ns0:c r="J455" s="0">
        <ns0:f>IF(OR(A455=0,F455&lt;&gt;"OK",Bookings!G455="Cancelled",$B$6&gt;0),0,IF('_Dates'!AC455=1,MAX(0,COUNTIFS(rngEngine_B,B455,rngAMStart,"&lt;="&amp;'_Dates'!X455,rngAMEnd,"&gt;="&amp;'_Dates'!W455,rngAMActive,1,rngEngine_F,"OK",rngBookings_F,"&lt;&gt;Cancelled")-1),0)+IF('_Dates'!AD455=1,MAX(0,COUNTIFS(rngEngine_B,B455,rngPMStart,"&lt;="&amp;'_Dates'!Z455,rngPMEnd,"&gt;="&amp;'_Dates'!Y455,rngPMActive,1,rngEngine_F,"OK",rngBookings_F,"&lt;&gt;Cancelled")-1),0))</ns0:f>
        <ns0:v>0</ns0:v>
      </ns0:c>
      <ns0:c r="K455" s="0" t="str">
        <ns0:f>IF(A455=0,"",IF(F455&lt;&gt;"OK",F455,IF(J455&gt;0,"CHECK overlapping entry",IF(AND($B$6=0,G455&lt;=0,Bookings!G455&lt;&gt;"Cancelled"),"CHECK no working days",IF(Bookings!G455="Cancelled","Cancelled","OK")))))</ns0:f>
        <ns0:v/>
      </ns0:c>
      <ns0:c r="L455" s="0">
        <ns0:f>IF(LEFT(K455,5)="CHECK",1,0)</ns0:f>
        <ns0:v>0</ns0:v>
      </ns0:c>
      <ns0:c r="M455" s="0">
        <ns0:f>IF(AND(L455=1,OR(C455=0,IFERROR(INDEX($X$11:$X$60,C455),0)=0)),1,0)</ns0:f>
        <ns0:v>0</ns0:v>
      </ns0:c>
      <ns0:c r="N455" s="0">
        <ns0:f>IF(OR(A455=0,L455&gt;0,$B$6&gt;0,Bookings!G455="Cancelled"),0,G455)</ns0:f>
        <ns0:v>0</ns0:v>
      </ns0:c>
      <ns0:c r="O455" s="0">
        <ns0:f>IF(AND(Bookings!G455="Approved",E455="Yes"),N455,0)</ns0:f>
        <ns0:v>0</ns0:v>
      </ns0:c>
      <ns0:c r="P455" s="0">
        <ns0:f>IF(AND(Bookings!G455="Approved",E455="Yes",L455=0,$B$6=0),H455,0)</ns0:f>
        <ns0:v>0</ns0:v>
      </ns0:c>
      <ns0:c r="Q455" s="0">
        <ns0:f>IF(AND(Bookings!G455="Approved",E455="Yes",L455=0,$B$6=0),I455,0)</ns0:f>
        <ns0:v>0</ns0:v>
      </ns0:c>
      <ns0:c r="R455" s="0">
        <ns0:f>IF(AND(Bookings!G455="Pending",E455="Yes"),N455,0)</ns0:f>
        <ns0:v>0</ns0:v>
      </ns0:c>
      <ns0:c r="S455" s="0">
        <ns0:f>IF(AND(Bookings!G455="Approved",E455="No"),N455,0)</ns0:f>
        <ns0:v>0</ns0:v>
      </ns0:c>
      <ns0:c r="T455" s="0">
        <ns0:f>IFERROR(MATCH(D455,Settings!$G$7:$G$11,0),0)</ns0:f>
        <ns0:v>0</ns0:v>
      </ns0:c>
      <ns0:c r="U455" s="0">
        <ns0:f>IF(N455&gt;0,T455+IF(Bookings!G455="Pending",10,0),0)</ns0:f>
        <ns0:v>0</ns0:v>
      </ns0:c>
      <ns0:c r="V455" s="0">
        <ns0:f>U455</ns0:f>
        <ns0:v>0</ns0:v>
      </ns0:c>
      <ns0:c r="W455" s="0" t="str">
        <ns0:f>IF(C455=0,"",INDEX($AP$11:$AP$60,C455))</ns0:f>
        <ns0:v/>
      </ns0:c>
    </ns0:row>
    <ns0:row r="456">
      <ns0:c r="A456" s="0">
        <ns0:f>IF(COUNTA(Bookings!A456:G456,Bookings!I456)=0,0,1)</ns0:f>
        <ns0:v>0</ns0:v>
      </ns0:c>
      <ns0:c r="B456" s="0" t="str">
        <ns0:f>IFERROR(TRIM(MID(Bookings!A456,FIND(" · ",Bookings!A456)+3,99)),"")</ns0:f>
        <ns0:v/>
      </ns0:c>
      <ns0:c r="C456" s="0">
        <ns0:f>IF(OR(B456="",LEN(B456)&gt;24,ISNUMBER(FIND(" ",B456)),ISNUMBER(FIND("*",B456)),ISNUMBER(FIND("?",B456)),ISNUMBER(FIND("~",B456))),0,IFERROR(MATCH(B456,Team!$A$11:$A$60,0),0))</ns0:f>
        <ns0:v>0</ns0:v>
      </ns0:c>
      <ns0:c r="D456" s="0" t="str">
        <ns0:f>IFERROR(IF(MID(Bookings!F456,LEN(Bookings!F456)-3,3)=" · ",RIGHT(Bookings!F456,1),""),"")</ns0:f>
        <ns0:v/>
      </ns0:c>
      <ns0:c r="E456" s="0" t="str">
        <ns0:f>IFERROR(INDEX(Settings!$H$7:$H$11,MATCH(D456,Settings!$G$7:$G$11,0)),"")</ns0:f>
        <ns0:v/>
      </ns0:c>
      <ns0:c r="F456" s="0" t="str">
        <ns0:f>IF(A456=0,"",IFERROR(IF(OR(B456="",C456=0),"CHECK employee selection",IF(INDEX(Team!$O$11:$O$60,C456)&lt;&gt;"OK","CHECK employee setup",IF(OR('_Dates'!J456=0,'_Dates'!T456=0),"CHECK date: use DD.MM.YYYY",IF('_Dates'!T456&lt;'_Dates'!J456,"CHECK end before start",IF(AND($B$6=0,OR('_Dates'!J456&lt;Settings!$B$7,'_Dates'!T456&gt;Settings!$B$8)),"CHECK split across leave years",IF(OR(NOT(OR('_Dates'!U456="Full day",'_Dates'!U456="AM",'_Dates'!U456="PM")),NOT(OR('_Dates'!V456="Full day",'_Dates'!V456="AM",'_Dates'!V456="PM"))),"CHECK Full day / AM / PM",IF(AND('_Dates'!J456='_Dates'!T456,'_Dates'!U456&lt;&gt;"Full day",'_Dates'!V456&lt;&gt;"Full day",'_Dates'!U456&lt;&gt;'_Dates'!V456),"CHECK same-day portions disagree",IF(AND($B$6=0,OR(AND('_Dates'!U456&lt;&gt;"Full day",'_Dates'!AA456=0),AND('_Dates'!V456&lt;&gt;"Full day",'_Dates'!AB456=0))),"CHECK half-day on non-working date",IF(COUNTIF(Settings!$G$7:$G$11,D456)&lt;&gt;1,"CHECK leave type",IF(AND(Bookings!G456&lt;&gt;"Approved",Bookings!G456&lt;&gt;"Pending",Bookings!G456&lt;&gt;"Cancelled"),"CHECK status","OK")))))))))),"CHECK input"))</ns0:f>
        <ns0:v/>
      </ns0:c>
      <ns0:c r="G456" s="0">
        <ns0:f>IF(OR(F456&lt;&gt;"OK",$B$6&gt;0),0,0.5*(IF(('_Dates'!X456)&lt;('_Dates'!W456),0,INT((('_Dates'!X456)-('_Dates'!W456)+1)/7)*LEN(SUBSTITUTE(W456,"O",""))+LEN(SUBSTITUTE(MID(W456&amp;W456,WEEKDAY(('_Dates'!W456),2),MOD((('_Dates'!X456)-('_Dates'!W456)+1),7)),"O",""))-COUNTIFS(INDEX(AllClosureRows,C456,0),"&gt;="&amp;('_Dates'!W456),INDEX(AllClosureRows,C456,0),"&lt;="&amp;('_Dates'!X456)))+IF(('_Dates'!Z456)&lt;('_Dates'!Y456),0,INT((('_Dates'!Z456)-('_Dates'!Y456)+1)/7)*LEN(SUBSTITUTE(W456,"O",""))+LEN(SUBSTITUTE(MID(W456&amp;W456,WEEKDAY(('_Dates'!Y456),2),MOD((('_Dates'!Z456)-('_Dates'!Y456)+1),7)),"O",""))-COUNTIFS(INDEX(AllClosureRows,C456,0),"&gt;="&amp;('_Dates'!Y456),INDEX(AllClosureRows,C456,0),"&lt;="&amp;('_Dates'!Z456)))))</ns0:f>
        <ns0:v>0</ns0:v>
      </ns0:c>
      <ns0:c r="H456" s="0">
        <ns0:f>IF(OR(F456&lt;&gt;"OK",$B$6&gt;0),0,0.5*(IF((MIN('_Dates'!X456,Settings!$B$9))&lt;('_Dates'!W456),0,INT(((MIN('_Dates'!X456,Settings!$B$9))-('_Dates'!W456)+1)/7)*LEN(SUBSTITUTE(W456,"O",""))+LEN(SUBSTITUTE(MID(W456&amp;W456,WEEKDAY(('_Dates'!W456),2),MOD(((MIN('_Dates'!X456,Settings!$B$9))-('_Dates'!W456)+1),7)),"O",""))-COUNTIFS(INDEX(AllClosureRows,C456,0),"&gt;="&amp;('_Dates'!W456),INDEX(AllClosureRows,C456,0),"&lt;="&amp;(MIN('_Dates'!X456,Settings!$B$9))))+IF((MIN('_Dates'!Z456,Settings!$B$9))&lt;('_Dates'!Y456),0,INT(((MIN('_Dates'!Z456,Settings!$B$9))-('_Dates'!Y456)+1)/7)*LEN(SUBSTITUTE(W456,"O",""))+LEN(SUBSTITUTE(MID(W456&amp;W456,WEEKDAY(('_Dates'!Y456),2),MOD(((MIN('_Dates'!Z456,Settings!$B$9))-('_Dates'!Y456)+1),7)),"O",""))-COUNTIFS(INDEX(AllClosureRows,C456,0),"&gt;="&amp;('_Dates'!Y456),INDEX(AllClosureRows,C456,0),"&lt;="&amp;(MIN('_Dates'!Z456,Settings!$B$9))))))</ns0:f>
        <ns0:v>0</ns0:v>
      </ns0:c>
      <ns0:c r="I456" s="0">
        <ns0:f>MAX(0,G456-H456)</ns0:f>
        <ns0:v>0</ns0:v>
      </ns0:c>
      <ns0:c r="J456" s="0">
        <ns0:f>IF(OR(A456=0,F456&lt;&gt;"OK",Bookings!G456="Cancelled",$B$6&gt;0),0,IF('_Dates'!AC456=1,MAX(0,COUNTIFS(rngEngine_B,B456,rngAMStart,"&lt;="&amp;'_Dates'!X456,rngAMEnd,"&gt;="&amp;'_Dates'!W456,rngAMActive,1,rngEngine_F,"OK",rngBookings_F,"&lt;&gt;Cancelled")-1),0)+IF('_Dates'!AD456=1,MAX(0,COUNTIFS(rngEngine_B,B456,rngPMStart,"&lt;="&amp;'_Dates'!Z456,rngPMEnd,"&gt;="&amp;'_Dates'!Y456,rngPMActive,1,rngEngine_F,"OK",rngBookings_F,"&lt;&gt;Cancelled")-1),0))</ns0:f>
        <ns0:v>0</ns0:v>
      </ns0:c>
      <ns0:c r="K456" s="0" t="str">
        <ns0:f>IF(A456=0,"",IF(F456&lt;&gt;"OK",F456,IF(J456&gt;0,"CHECK overlapping entry",IF(AND($B$6=0,G456&lt;=0,Bookings!G456&lt;&gt;"Cancelled"),"CHECK no working days",IF(Bookings!G456="Cancelled","Cancelled","OK")))))</ns0:f>
        <ns0:v/>
      </ns0:c>
      <ns0:c r="L456" s="0">
        <ns0:f>IF(LEFT(K456,5)="CHECK",1,0)</ns0:f>
        <ns0:v>0</ns0:v>
      </ns0:c>
      <ns0:c r="M456" s="0">
        <ns0:f>IF(AND(L456=1,OR(C456=0,IFERROR(INDEX($X$11:$X$60,C456),0)=0)),1,0)</ns0:f>
        <ns0:v>0</ns0:v>
      </ns0:c>
      <ns0:c r="N456" s="0">
        <ns0:f>IF(OR(A456=0,L456&gt;0,$B$6&gt;0,Bookings!G456="Cancelled"),0,G456)</ns0:f>
        <ns0:v>0</ns0:v>
      </ns0:c>
      <ns0:c r="O456" s="0">
        <ns0:f>IF(AND(Bookings!G456="Approved",E456="Yes"),N456,0)</ns0:f>
        <ns0:v>0</ns0:v>
      </ns0:c>
      <ns0:c r="P456" s="0">
        <ns0:f>IF(AND(Bookings!G456="Approved",E456="Yes",L456=0,$B$6=0),H456,0)</ns0:f>
        <ns0:v>0</ns0:v>
      </ns0:c>
      <ns0:c r="Q456" s="0">
        <ns0:f>IF(AND(Bookings!G456="Approved",E456="Yes",L456=0,$B$6=0),I456,0)</ns0:f>
        <ns0:v>0</ns0:v>
      </ns0:c>
      <ns0:c r="R456" s="0">
        <ns0:f>IF(AND(Bookings!G456="Pending",E456="Yes"),N456,0)</ns0:f>
        <ns0:v>0</ns0:v>
      </ns0:c>
      <ns0:c r="S456" s="0">
        <ns0:f>IF(AND(Bookings!G456="Approved",E456="No"),N456,0)</ns0:f>
        <ns0:v>0</ns0:v>
      </ns0:c>
      <ns0:c r="T456" s="0">
        <ns0:f>IFERROR(MATCH(D456,Settings!$G$7:$G$11,0),0)</ns0:f>
        <ns0:v>0</ns0:v>
      </ns0:c>
      <ns0:c r="U456" s="0">
        <ns0:f>IF(N456&gt;0,T456+IF(Bookings!G456="Pending",10,0),0)</ns0:f>
        <ns0:v>0</ns0:v>
      </ns0:c>
      <ns0:c r="V456" s="0">
        <ns0:f>U456</ns0:f>
        <ns0:v>0</ns0:v>
      </ns0:c>
      <ns0:c r="W456" s="0" t="str">
        <ns0:f>IF(C456=0,"",INDEX($AP$11:$AP$60,C456))</ns0:f>
        <ns0:v/>
      </ns0:c>
    </ns0:row>
    <ns0:row r="457">
      <ns0:c r="A457" s="0">
        <ns0:f>IF(COUNTA(Bookings!A457:G457,Bookings!I457)=0,0,1)</ns0:f>
        <ns0:v>0</ns0:v>
      </ns0:c>
      <ns0:c r="B457" s="0" t="str">
        <ns0:f>IFERROR(TRIM(MID(Bookings!A457,FIND(" · ",Bookings!A457)+3,99)),"")</ns0:f>
        <ns0:v/>
      </ns0:c>
      <ns0:c r="C457" s="0">
        <ns0:f>IF(OR(B457="",LEN(B457)&gt;24,ISNUMBER(FIND(" ",B457)),ISNUMBER(FIND("*",B457)),ISNUMBER(FIND("?",B457)),ISNUMBER(FIND("~",B457))),0,IFERROR(MATCH(B457,Team!$A$11:$A$60,0),0))</ns0:f>
        <ns0:v>0</ns0:v>
      </ns0:c>
      <ns0:c r="D457" s="0" t="str">
        <ns0:f>IFERROR(IF(MID(Bookings!F457,LEN(Bookings!F457)-3,3)=" · ",RIGHT(Bookings!F457,1),""),"")</ns0:f>
        <ns0:v/>
      </ns0:c>
      <ns0:c r="E457" s="0" t="str">
        <ns0:f>IFERROR(INDEX(Settings!$H$7:$H$11,MATCH(D457,Settings!$G$7:$G$11,0)),"")</ns0:f>
        <ns0:v/>
      </ns0:c>
      <ns0:c r="F457" s="0" t="str">
        <ns0:f>IF(A457=0,"",IFERROR(IF(OR(B457="",C457=0),"CHECK employee selection",IF(INDEX(Team!$O$11:$O$60,C457)&lt;&gt;"OK","CHECK employee setup",IF(OR('_Dates'!J457=0,'_Dates'!T457=0),"CHECK date: use DD.MM.YYYY",IF('_Dates'!T457&lt;'_Dates'!J457,"CHECK end before start",IF(AND($B$6=0,OR('_Dates'!J457&lt;Settings!$B$7,'_Dates'!T457&gt;Settings!$B$8)),"CHECK split across leave years",IF(OR(NOT(OR('_Dates'!U457="Full day",'_Dates'!U457="AM",'_Dates'!U457="PM")),NOT(OR('_Dates'!V457="Full day",'_Dates'!V457="AM",'_Dates'!V457="PM"))),"CHECK Full day / AM / PM",IF(AND('_Dates'!J457='_Dates'!T457,'_Dates'!U457&lt;&gt;"Full day",'_Dates'!V457&lt;&gt;"Full day",'_Dates'!U457&lt;&gt;'_Dates'!V457),"CHECK same-day portions disagree",IF(AND($B$6=0,OR(AND('_Dates'!U457&lt;&gt;"Full day",'_Dates'!AA457=0),AND('_Dates'!V457&lt;&gt;"Full day",'_Dates'!AB457=0))),"CHECK half-day on non-working date",IF(COUNTIF(Settings!$G$7:$G$11,D457)&lt;&gt;1,"CHECK leave type",IF(AND(Bookings!G457&lt;&gt;"Approved",Bookings!G457&lt;&gt;"Pending",Bookings!G457&lt;&gt;"Cancelled"),"CHECK status","OK")))))))))),"CHECK input"))</ns0:f>
        <ns0:v/>
      </ns0:c>
      <ns0:c r="G457" s="0">
        <ns0:f>IF(OR(F457&lt;&gt;"OK",$B$6&gt;0),0,0.5*(IF(('_Dates'!X457)&lt;('_Dates'!W457),0,INT((('_Dates'!X457)-('_Dates'!W457)+1)/7)*LEN(SUBSTITUTE(W457,"O",""))+LEN(SUBSTITUTE(MID(W457&amp;W457,WEEKDAY(('_Dates'!W457),2),MOD((('_Dates'!X457)-('_Dates'!W457)+1),7)),"O",""))-COUNTIFS(INDEX(AllClosureRows,C457,0),"&gt;="&amp;('_Dates'!W457),INDEX(AllClosureRows,C457,0),"&lt;="&amp;('_Dates'!X457)))+IF(('_Dates'!Z457)&lt;('_Dates'!Y457),0,INT((('_Dates'!Z457)-('_Dates'!Y457)+1)/7)*LEN(SUBSTITUTE(W457,"O",""))+LEN(SUBSTITUTE(MID(W457&amp;W457,WEEKDAY(('_Dates'!Y457),2),MOD((('_Dates'!Z457)-('_Dates'!Y457)+1),7)),"O",""))-COUNTIFS(INDEX(AllClosureRows,C457,0),"&gt;="&amp;('_Dates'!Y457),INDEX(AllClosureRows,C457,0),"&lt;="&amp;('_Dates'!Z457)))))</ns0:f>
        <ns0:v>0</ns0:v>
      </ns0:c>
      <ns0:c r="H457" s="0">
        <ns0:f>IF(OR(F457&lt;&gt;"OK",$B$6&gt;0),0,0.5*(IF((MIN('_Dates'!X457,Settings!$B$9))&lt;('_Dates'!W457),0,INT(((MIN('_Dates'!X457,Settings!$B$9))-('_Dates'!W457)+1)/7)*LEN(SUBSTITUTE(W457,"O",""))+LEN(SUBSTITUTE(MID(W457&amp;W457,WEEKDAY(('_Dates'!W457),2),MOD(((MIN('_Dates'!X457,Settings!$B$9))-('_Dates'!W457)+1),7)),"O",""))-COUNTIFS(INDEX(AllClosureRows,C457,0),"&gt;="&amp;('_Dates'!W457),INDEX(AllClosureRows,C457,0),"&lt;="&amp;(MIN('_Dates'!X457,Settings!$B$9))))+IF((MIN('_Dates'!Z457,Settings!$B$9))&lt;('_Dates'!Y457),0,INT(((MIN('_Dates'!Z457,Settings!$B$9))-('_Dates'!Y457)+1)/7)*LEN(SUBSTITUTE(W457,"O",""))+LEN(SUBSTITUTE(MID(W457&amp;W457,WEEKDAY(('_Dates'!Y457),2),MOD(((MIN('_Dates'!Z457,Settings!$B$9))-('_Dates'!Y457)+1),7)),"O",""))-COUNTIFS(INDEX(AllClosureRows,C457,0),"&gt;="&amp;('_Dates'!Y457),INDEX(AllClosureRows,C457,0),"&lt;="&amp;(MIN('_Dates'!Z457,Settings!$B$9))))))</ns0:f>
        <ns0:v>0</ns0:v>
      </ns0:c>
      <ns0:c r="I457" s="0">
        <ns0:f>MAX(0,G457-H457)</ns0:f>
        <ns0:v>0</ns0:v>
      </ns0:c>
      <ns0:c r="J457" s="0">
        <ns0:f>IF(OR(A457=0,F457&lt;&gt;"OK",Bookings!G457="Cancelled",$B$6&gt;0),0,IF('_Dates'!AC457=1,MAX(0,COUNTIFS(rngEngine_B,B457,rngAMStart,"&lt;="&amp;'_Dates'!X457,rngAMEnd,"&gt;="&amp;'_Dates'!W457,rngAMActive,1,rngEngine_F,"OK",rngBookings_F,"&lt;&gt;Cancelled")-1),0)+IF('_Dates'!AD457=1,MAX(0,COUNTIFS(rngEngine_B,B457,rngPMStart,"&lt;="&amp;'_Dates'!Z457,rngPMEnd,"&gt;="&amp;'_Dates'!Y457,rngPMActive,1,rngEngine_F,"OK",rngBookings_F,"&lt;&gt;Cancelled")-1),0))</ns0:f>
        <ns0:v>0</ns0:v>
      </ns0:c>
      <ns0:c r="K457" s="0" t="str">
        <ns0:f>IF(A457=0,"",IF(F457&lt;&gt;"OK",F457,IF(J457&gt;0,"CHECK overlapping entry",IF(AND($B$6=0,G457&lt;=0,Bookings!G457&lt;&gt;"Cancelled"),"CHECK no working days",IF(Bookings!G457="Cancelled","Cancelled","OK")))))</ns0:f>
        <ns0:v/>
      </ns0:c>
      <ns0:c r="L457" s="0">
        <ns0:f>IF(LEFT(K457,5)="CHECK",1,0)</ns0:f>
        <ns0:v>0</ns0:v>
      </ns0:c>
      <ns0:c r="M457" s="0">
        <ns0:f>IF(AND(L457=1,OR(C457=0,IFERROR(INDEX($X$11:$X$60,C457),0)=0)),1,0)</ns0:f>
        <ns0:v>0</ns0:v>
      </ns0:c>
      <ns0:c r="N457" s="0">
        <ns0:f>IF(OR(A457=0,L457&gt;0,$B$6&gt;0,Bookings!G457="Cancelled"),0,G457)</ns0:f>
        <ns0:v>0</ns0:v>
      </ns0:c>
      <ns0:c r="O457" s="0">
        <ns0:f>IF(AND(Bookings!G457="Approved",E457="Yes"),N457,0)</ns0:f>
        <ns0:v>0</ns0:v>
      </ns0:c>
      <ns0:c r="P457" s="0">
        <ns0:f>IF(AND(Bookings!G457="Approved",E457="Yes",L457=0,$B$6=0),H457,0)</ns0:f>
        <ns0:v>0</ns0:v>
      </ns0:c>
      <ns0:c r="Q457" s="0">
        <ns0:f>IF(AND(Bookings!G457="Approved",E457="Yes",L457=0,$B$6=0),I457,0)</ns0:f>
        <ns0:v>0</ns0:v>
      </ns0:c>
      <ns0:c r="R457" s="0">
        <ns0:f>IF(AND(Bookings!G457="Pending",E457="Yes"),N457,0)</ns0:f>
        <ns0:v>0</ns0:v>
      </ns0:c>
      <ns0:c r="S457" s="0">
        <ns0:f>IF(AND(Bookings!G457="Approved",E457="No"),N457,0)</ns0:f>
        <ns0:v>0</ns0:v>
      </ns0:c>
      <ns0:c r="T457" s="0">
        <ns0:f>IFERROR(MATCH(D457,Settings!$G$7:$G$11,0),0)</ns0:f>
        <ns0:v>0</ns0:v>
      </ns0:c>
      <ns0:c r="U457" s="0">
        <ns0:f>IF(N457&gt;0,T457+IF(Bookings!G457="Pending",10,0),0)</ns0:f>
        <ns0:v>0</ns0:v>
      </ns0:c>
      <ns0:c r="V457" s="0">
        <ns0:f>U457</ns0:f>
        <ns0:v>0</ns0:v>
      </ns0:c>
      <ns0:c r="W457" s="0" t="str">
        <ns0:f>IF(C457=0,"",INDEX($AP$11:$AP$60,C457))</ns0:f>
        <ns0:v/>
      </ns0:c>
    </ns0:row>
    <ns0:row r="458">
      <ns0:c r="A458" s="0">
        <ns0:f>IF(COUNTA(Bookings!A458:G458,Bookings!I458)=0,0,1)</ns0:f>
        <ns0:v>0</ns0:v>
      </ns0:c>
      <ns0:c r="B458" s="0" t="str">
        <ns0:f>IFERROR(TRIM(MID(Bookings!A458,FIND(" · ",Bookings!A458)+3,99)),"")</ns0:f>
        <ns0:v/>
      </ns0:c>
      <ns0:c r="C458" s="0">
        <ns0:f>IF(OR(B458="",LEN(B458)&gt;24,ISNUMBER(FIND(" ",B458)),ISNUMBER(FIND("*",B458)),ISNUMBER(FIND("?",B458)),ISNUMBER(FIND("~",B458))),0,IFERROR(MATCH(B458,Team!$A$11:$A$60,0),0))</ns0:f>
        <ns0:v>0</ns0:v>
      </ns0:c>
      <ns0:c r="D458" s="0" t="str">
        <ns0:f>IFERROR(IF(MID(Bookings!F458,LEN(Bookings!F458)-3,3)=" · ",RIGHT(Bookings!F458,1),""),"")</ns0:f>
        <ns0:v/>
      </ns0:c>
      <ns0:c r="E458" s="0" t="str">
        <ns0:f>IFERROR(INDEX(Settings!$H$7:$H$11,MATCH(D458,Settings!$G$7:$G$11,0)),"")</ns0:f>
        <ns0:v/>
      </ns0:c>
      <ns0:c r="F458" s="0" t="str">
        <ns0:f>IF(A458=0,"",IFERROR(IF(OR(B458="",C458=0),"CHECK employee selection",IF(INDEX(Team!$O$11:$O$60,C458)&lt;&gt;"OK","CHECK employee setup",IF(OR('_Dates'!J458=0,'_Dates'!T458=0),"CHECK date: use DD.MM.YYYY",IF('_Dates'!T458&lt;'_Dates'!J458,"CHECK end before start",IF(AND($B$6=0,OR('_Dates'!J458&lt;Settings!$B$7,'_Dates'!T458&gt;Settings!$B$8)),"CHECK split across leave years",IF(OR(NOT(OR('_Dates'!U458="Full day",'_Dates'!U458="AM",'_Dates'!U458="PM")),NOT(OR('_Dates'!V458="Full day",'_Dates'!V458="AM",'_Dates'!V458="PM"))),"CHECK Full day / AM / PM",IF(AND('_Dates'!J458='_Dates'!T458,'_Dates'!U458&lt;&gt;"Full day",'_Dates'!V458&lt;&gt;"Full day",'_Dates'!U458&lt;&gt;'_Dates'!V458),"CHECK same-day portions disagree",IF(AND($B$6=0,OR(AND('_Dates'!U458&lt;&gt;"Full day",'_Dates'!AA458=0),AND('_Dates'!V458&lt;&gt;"Full day",'_Dates'!AB458=0))),"CHECK half-day on non-working date",IF(COUNTIF(Settings!$G$7:$G$11,D458)&lt;&gt;1,"CHECK leave type",IF(AND(Bookings!G458&lt;&gt;"Approved",Bookings!G458&lt;&gt;"Pending",Bookings!G458&lt;&gt;"Cancelled"),"CHECK status","OK")))))))))),"CHECK input"))</ns0:f>
        <ns0:v/>
      </ns0:c>
      <ns0:c r="G458" s="0">
        <ns0:f>IF(OR(F458&lt;&gt;"OK",$B$6&gt;0),0,0.5*(IF(('_Dates'!X458)&lt;('_Dates'!W458),0,INT((('_Dates'!X458)-('_Dates'!W458)+1)/7)*LEN(SUBSTITUTE(W458,"O",""))+LEN(SUBSTITUTE(MID(W458&amp;W458,WEEKDAY(('_Dates'!W458),2),MOD((('_Dates'!X458)-('_Dates'!W458)+1),7)),"O",""))-COUNTIFS(INDEX(AllClosureRows,C458,0),"&gt;="&amp;('_Dates'!W458),INDEX(AllClosureRows,C458,0),"&lt;="&amp;('_Dates'!X458)))+IF(('_Dates'!Z458)&lt;('_Dates'!Y458),0,INT((('_Dates'!Z458)-('_Dates'!Y458)+1)/7)*LEN(SUBSTITUTE(W458,"O",""))+LEN(SUBSTITUTE(MID(W458&amp;W458,WEEKDAY(('_Dates'!Y458),2),MOD((('_Dates'!Z458)-('_Dates'!Y458)+1),7)),"O",""))-COUNTIFS(INDEX(AllClosureRows,C458,0),"&gt;="&amp;('_Dates'!Y458),INDEX(AllClosureRows,C458,0),"&lt;="&amp;('_Dates'!Z458)))))</ns0:f>
        <ns0:v>0</ns0:v>
      </ns0:c>
      <ns0:c r="H458" s="0">
        <ns0:f>IF(OR(F458&lt;&gt;"OK",$B$6&gt;0),0,0.5*(IF((MIN('_Dates'!X458,Settings!$B$9))&lt;('_Dates'!W458),0,INT(((MIN('_Dates'!X458,Settings!$B$9))-('_Dates'!W458)+1)/7)*LEN(SUBSTITUTE(W458,"O",""))+LEN(SUBSTITUTE(MID(W458&amp;W458,WEEKDAY(('_Dates'!W458),2),MOD(((MIN('_Dates'!X458,Settings!$B$9))-('_Dates'!W458)+1),7)),"O",""))-COUNTIFS(INDEX(AllClosureRows,C458,0),"&gt;="&amp;('_Dates'!W458),INDEX(AllClosureRows,C458,0),"&lt;="&amp;(MIN('_Dates'!X458,Settings!$B$9))))+IF((MIN('_Dates'!Z458,Settings!$B$9))&lt;('_Dates'!Y458),0,INT(((MIN('_Dates'!Z458,Settings!$B$9))-('_Dates'!Y458)+1)/7)*LEN(SUBSTITUTE(W458,"O",""))+LEN(SUBSTITUTE(MID(W458&amp;W458,WEEKDAY(('_Dates'!Y458),2),MOD(((MIN('_Dates'!Z458,Settings!$B$9))-('_Dates'!Y458)+1),7)),"O",""))-COUNTIFS(INDEX(AllClosureRows,C458,0),"&gt;="&amp;('_Dates'!Y458),INDEX(AllClosureRows,C458,0),"&lt;="&amp;(MIN('_Dates'!Z458,Settings!$B$9))))))</ns0:f>
        <ns0:v>0</ns0:v>
      </ns0:c>
      <ns0:c r="I458" s="0">
        <ns0:f>MAX(0,G458-H458)</ns0:f>
        <ns0:v>0</ns0:v>
      </ns0:c>
      <ns0:c r="J458" s="0">
        <ns0:f>IF(OR(A458=0,F458&lt;&gt;"OK",Bookings!G458="Cancelled",$B$6&gt;0),0,IF('_Dates'!AC458=1,MAX(0,COUNTIFS(rngEngine_B,B458,rngAMStart,"&lt;="&amp;'_Dates'!X458,rngAMEnd,"&gt;="&amp;'_Dates'!W458,rngAMActive,1,rngEngine_F,"OK",rngBookings_F,"&lt;&gt;Cancelled")-1),0)+IF('_Dates'!AD458=1,MAX(0,COUNTIFS(rngEngine_B,B458,rngPMStart,"&lt;="&amp;'_Dates'!Z458,rngPMEnd,"&gt;="&amp;'_Dates'!Y458,rngPMActive,1,rngEngine_F,"OK",rngBookings_F,"&lt;&gt;Cancelled")-1),0))</ns0:f>
        <ns0:v>0</ns0:v>
      </ns0:c>
      <ns0:c r="K458" s="0" t="str">
        <ns0:f>IF(A458=0,"",IF(F458&lt;&gt;"OK",F458,IF(J458&gt;0,"CHECK overlapping entry",IF(AND($B$6=0,G458&lt;=0,Bookings!G458&lt;&gt;"Cancelled"),"CHECK no working days",IF(Bookings!G458="Cancelled","Cancelled","OK")))))</ns0:f>
        <ns0:v/>
      </ns0:c>
      <ns0:c r="L458" s="0">
        <ns0:f>IF(LEFT(K458,5)="CHECK",1,0)</ns0:f>
        <ns0:v>0</ns0:v>
      </ns0:c>
      <ns0:c r="M458" s="0">
        <ns0:f>IF(AND(L458=1,OR(C458=0,IFERROR(INDEX($X$11:$X$60,C458),0)=0)),1,0)</ns0:f>
        <ns0:v>0</ns0:v>
      </ns0:c>
      <ns0:c r="N458" s="0">
        <ns0:f>IF(OR(A458=0,L458&gt;0,$B$6&gt;0,Bookings!G458="Cancelled"),0,G458)</ns0:f>
        <ns0:v>0</ns0:v>
      </ns0:c>
      <ns0:c r="O458" s="0">
        <ns0:f>IF(AND(Bookings!G458="Approved",E458="Yes"),N458,0)</ns0:f>
        <ns0:v>0</ns0:v>
      </ns0:c>
      <ns0:c r="P458" s="0">
        <ns0:f>IF(AND(Bookings!G458="Approved",E458="Yes",L458=0,$B$6=0),H458,0)</ns0:f>
        <ns0:v>0</ns0:v>
      </ns0:c>
      <ns0:c r="Q458" s="0">
        <ns0:f>IF(AND(Bookings!G458="Approved",E458="Yes",L458=0,$B$6=0),I458,0)</ns0:f>
        <ns0:v>0</ns0:v>
      </ns0:c>
      <ns0:c r="R458" s="0">
        <ns0:f>IF(AND(Bookings!G458="Pending",E458="Yes"),N458,0)</ns0:f>
        <ns0:v>0</ns0:v>
      </ns0:c>
      <ns0:c r="S458" s="0">
        <ns0:f>IF(AND(Bookings!G458="Approved",E458="No"),N458,0)</ns0:f>
        <ns0:v>0</ns0:v>
      </ns0:c>
      <ns0:c r="T458" s="0">
        <ns0:f>IFERROR(MATCH(D458,Settings!$G$7:$G$11,0),0)</ns0:f>
        <ns0:v>0</ns0:v>
      </ns0:c>
      <ns0:c r="U458" s="0">
        <ns0:f>IF(N458&gt;0,T458+IF(Bookings!G458="Pending",10,0),0)</ns0:f>
        <ns0:v>0</ns0:v>
      </ns0:c>
      <ns0:c r="V458" s="0">
        <ns0:f>U458</ns0:f>
        <ns0:v>0</ns0:v>
      </ns0:c>
      <ns0:c r="W458" s="0" t="str">
        <ns0:f>IF(C458=0,"",INDEX($AP$11:$AP$60,C458))</ns0:f>
        <ns0:v/>
      </ns0:c>
    </ns0:row>
    <ns0:row r="459">
      <ns0:c r="A459" s="0">
        <ns0:f>IF(COUNTA(Bookings!A459:G459,Bookings!I459)=0,0,1)</ns0:f>
        <ns0:v>0</ns0:v>
      </ns0:c>
      <ns0:c r="B459" s="0" t="str">
        <ns0:f>IFERROR(TRIM(MID(Bookings!A459,FIND(" · ",Bookings!A459)+3,99)),"")</ns0:f>
        <ns0:v/>
      </ns0:c>
      <ns0:c r="C459" s="0">
        <ns0:f>IF(OR(B459="",LEN(B459)&gt;24,ISNUMBER(FIND(" ",B459)),ISNUMBER(FIND("*",B459)),ISNUMBER(FIND("?",B459)),ISNUMBER(FIND("~",B459))),0,IFERROR(MATCH(B459,Team!$A$11:$A$60,0),0))</ns0:f>
        <ns0:v>0</ns0:v>
      </ns0:c>
      <ns0:c r="D459" s="0" t="str">
        <ns0:f>IFERROR(IF(MID(Bookings!F459,LEN(Bookings!F459)-3,3)=" · ",RIGHT(Bookings!F459,1),""),"")</ns0:f>
        <ns0:v/>
      </ns0:c>
      <ns0:c r="E459" s="0" t="str">
        <ns0:f>IFERROR(INDEX(Settings!$H$7:$H$11,MATCH(D459,Settings!$G$7:$G$11,0)),"")</ns0:f>
        <ns0:v/>
      </ns0:c>
      <ns0:c r="F459" s="0" t="str">
        <ns0:f>IF(A459=0,"",IFERROR(IF(OR(B459="",C459=0),"CHECK employee selection",IF(INDEX(Team!$O$11:$O$60,C459)&lt;&gt;"OK","CHECK employee setup",IF(OR('_Dates'!J459=0,'_Dates'!T459=0),"CHECK date: use DD.MM.YYYY",IF('_Dates'!T459&lt;'_Dates'!J459,"CHECK end before start",IF(AND($B$6=0,OR('_Dates'!J459&lt;Settings!$B$7,'_Dates'!T459&gt;Settings!$B$8)),"CHECK split across leave years",IF(OR(NOT(OR('_Dates'!U459="Full day",'_Dates'!U459="AM",'_Dates'!U459="PM")),NOT(OR('_Dates'!V459="Full day",'_Dates'!V459="AM",'_Dates'!V459="PM"))),"CHECK Full day / AM / PM",IF(AND('_Dates'!J459='_Dates'!T459,'_Dates'!U459&lt;&gt;"Full day",'_Dates'!V459&lt;&gt;"Full day",'_Dates'!U459&lt;&gt;'_Dates'!V459),"CHECK same-day portions disagree",IF(AND($B$6=0,OR(AND('_Dates'!U459&lt;&gt;"Full day",'_Dates'!AA459=0),AND('_Dates'!V459&lt;&gt;"Full day",'_Dates'!AB459=0))),"CHECK half-day on non-working date",IF(COUNTIF(Settings!$G$7:$G$11,D459)&lt;&gt;1,"CHECK leave type",IF(AND(Bookings!G459&lt;&gt;"Approved",Bookings!G459&lt;&gt;"Pending",Bookings!G459&lt;&gt;"Cancelled"),"CHECK status","OK")))))))))),"CHECK input"))</ns0:f>
        <ns0:v/>
      </ns0:c>
      <ns0:c r="G459" s="0">
        <ns0:f>IF(OR(F459&lt;&gt;"OK",$B$6&gt;0),0,0.5*(IF(('_Dates'!X459)&lt;('_Dates'!W459),0,INT((('_Dates'!X459)-('_Dates'!W459)+1)/7)*LEN(SUBSTITUTE(W459,"O",""))+LEN(SUBSTITUTE(MID(W459&amp;W459,WEEKDAY(('_Dates'!W459),2),MOD((('_Dates'!X459)-('_Dates'!W459)+1),7)),"O",""))-COUNTIFS(INDEX(AllClosureRows,C459,0),"&gt;="&amp;('_Dates'!W459),INDEX(AllClosureRows,C459,0),"&lt;="&amp;('_Dates'!X459)))+IF(('_Dates'!Z459)&lt;('_Dates'!Y459),0,INT((('_Dates'!Z459)-('_Dates'!Y459)+1)/7)*LEN(SUBSTITUTE(W459,"O",""))+LEN(SUBSTITUTE(MID(W459&amp;W459,WEEKDAY(('_Dates'!Y459),2),MOD((('_Dates'!Z459)-('_Dates'!Y459)+1),7)),"O",""))-COUNTIFS(INDEX(AllClosureRows,C459,0),"&gt;="&amp;('_Dates'!Y459),INDEX(AllClosureRows,C459,0),"&lt;="&amp;('_Dates'!Z459)))))</ns0:f>
        <ns0:v>0</ns0:v>
      </ns0:c>
      <ns0:c r="H459" s="0">
        <ns0:f>IF(OR(F459&lt;&gt;"OK",$B$6&gt;0),0,0.5*(IF((MIN('_Dates'!X459,Settings!$B$9))&lt;('_Dates'!W459),0,INT(((MIN('_Dates'!X459,Settings!$B$9))-('_Dates'!W459)+1)/7)*LEN(SUBSTITUTE(W459,"O",""))+LEN(SUBSTITUTE(MID(W459&amp;W459,WEEKDAY(('_Dates'!W459),2),MOD(((MIN('_Dates'!X459,Settings!$B$9))-('_Dates'!W459)+1),7)),"O",""))-COUNTIFS(INDEX(AllClosureRows,C459,0),"&gt;="&amp;('_Dates'!W459),INDEX(AllClosureRows,C459,0),"&lt;="&amp;(MIN('_Dates'!X459,Settings!$B$9))))+IF((MIN('_Dates'!Z459,Settings!$B$9))&lt;('_Dates'!Y459),0,INT(((MIN('_Dates'!Z459,Settings!$B$9))-('_Dates'!Y459)+1)/7)*LEN(SUBSTITUTE(W459,"O",""))+LEN(SUBSTITUTE(MID(W459&amp;W459,WEEKDAY(('_Dates'!Y459),2),MOD(((MIN('_Dates'!Z459,Settings!$B$9))-('_Dates'!Y459)+1),7)),"O",""))-COUNTIFS(INDEX(AllClosureRows,C459,0),"&gt;="&amp;('_Dates'!Y459),INDEX(AllClosureRows,C459,0),"&lt;="&amp;(MIN('_Dates'!Z459,Settings!$B$9))))))</ns0:f>
        <ns0:v>0</ns0:v>
      </ns0:c>
      <ns0:c r="I459" s="0">
        <ns0:f>MAX(0,G459-H459)</ns0:f>
        <ns0:v>0</ns0:v>
      </ns0:c>
      <ns0:c r="J459" s="0">
        <ns0:f>IF(OR(A459=0,F459&lt;&gt;"OK",Bookings!G459="Cancelled",$B$6&gt;0),0,IF('_Dates'!AC459=1,MAX(0,COUNTIFS(rngEngine_B,B459,rngAMStart,"&lt;="&amp;'_Dates'!X459,rngAMEnd,"&gt;="&amp;'_Dates'!W459,rngAMActive,1,rngEngine_F,"OK",rngBookings_F,"&lt;&gt;Cancelled")-1),0)+IF('_Dates'!AD459=1,MAX(0,COUNTIFS(rngEngine_B,B459,rngPMStart,"&lt;="&amp;'_Dates'!Z459,rngPMEnd,"&gt;="&amp;'_Dates'!Y459,rngPMActive,1,rngEngine_F,"OK",rngBookings_F,"&lt;&gt;Cancelled")-1),0))</ns0:f>
        <ns0:v>0</ns0:v>
      </ns0:c>
      <ns0:c r="K459" s="0" t="str">
        <ns0:f>IF(A459=0,"",IF(F459&lt;&gt;"OK",F459,IF(J459&gt;0,"CHECK overlapping entry",IF(AND($B$6=0,G459&lt;=0,Bookings!G459&lt;&gt;"Cancelled"),"CHECK no working days",IF(Bookings!G459="Cancelled","Cancelled","OK")))))</ns0:f>
        <ns0:v/>
      </ns0:c>
      <ns0:c r="L459" s="0">
        <ns0:f>IF(LEFT(K459,5)="CHECK",1,0)</ns0:f>
        <ns0:v>0</ns0:v>
      </ns0:c>
      <ns0:c r="M459" s="0">
        <ns0:f>IF(AND(L459=1,OR(C459=0,IFERROR(INDEX($X$11:$X$60,C459),0)=0)),1,0)</ns0:f>
        <ns0:v>0</ns0:v>
      </ns0:c>
      <ns0:c r="N459" s="0">
        <ns0:f>IF(OR(A459=0,L459&gt;0,$B$6&gt;0,Bookings!G459="Cancelled"),0,G459)</ns0:f>
        <ns0:v>0</ns0:v>
      </ns0:c>
      <ns0:c r="O459" s="0">
        <ns0:f>IF(AND(Bookings!G459="Approved",E459="Yes"),N459,0)</ns0:f>
        <ns0:v>0</ns0:v>
      </ns0:c>
      <ns0:c r="P459" s="0">
        <ns0:f>IF(AND(Bookings!G459="Approved",E459="Yes",L459=0,$B$6=0),H459,0)</ns0:f>
        <ns0:v>0</ns0:v>
      </ns0:c>
      <ns0:c r="Q459" s="0">
        <ns0:f>IF(AND(Bookings!G459="Approved",E459="Yes",L459=0,$B$6=0),I459,0)</ns0:f>
        <ns0:v>0</ns0:v>
      </ns0:c>
      <ns0:c r="R459" s="0">
        <ns0:f>IF(AND(Bookings!G459="Pending",E459="Yes"),N459,0)</ns0:f>
        <ns0:v>0</ns0:v>
      </ns0:c>
      <ns0:c r="S459" s="0">
        <ns0:f>IF(AND(Bookings!G459="Approved",E459="No"),N459,0)</ns0:f>
        <ns0:v>0</ns0:v>
      </ns0:c>
      <ns0:c r="T459" s="0">
        <ns0:f>IFERROR(MATCH(D459,Settings!$G$7:$G$11,0),0)</ns0:f>
        <ns0:v>0</ns0:v>
      </ns0:c>
      <ns0:c r="U459" s="0">
        <ns0:f>IF(N459&gt;0,T459+IF(Bookings!G459="Pending",10,0),0)</ns0:f>
        <ns0:v>0</ns0:v>
      </ns0:c>
      <ns0:c r="V459" s="0">
        <ns0:f>U459</ns0:f>
        <ns0:v>0</ns0:v>
      </ns0:c>
      <ns0:c r="W459" s="0" t="str">
        <ns0:f>IF(C459=0,"",INDEX($AP$11:$AP$60,C459))</ns0:f>
        <ns0:v/>
      </ns0:c>
    </ns0:row>
    <ns0:row r="460">
      <ns0:c r="A460" s="0">
        <ns0:f>IF(COUNTA(Bookings!A460:G460,Bookings!I460)=0,0,1)</ns0:f>
        <ns0:v>0</ns0:v>
      </ns0:c>
      <ns0:c r="B460" s="0" t="str">
        <ns0:f>IFERROR(TRIM(MID(Bookings!A460,FIND(" · ",Bookings!A460)+3,99)),"")</ns0:f>
        <ns0:v/>
      </ns0:c>
      <ns0:c r="C460" s="0">
        <ns0:f>IF(OR(B460="",LEN(B460)&gt;24,ISNUMBER(FIND(" ",B460)),ISNUMBER(FIND("*",B460)),ISNUMBER(FIND("?",B460)),ISNUMBER(FIND("~",B460))),0,IFERROR(MATCH(B460,Team!$A$11:$A$60,0),0))</ns0:f>
        <ns0:v>0</ns0:v>
      </ns0:c>
      <ns0:c r="D460" s="0" t="str">
        <ns0:f>IFERROR(IF(MID(Bookings!F460,LEN(Bookings!F460)-3,3)=" · ",RIGHT(Bookings!F460,1),""),"")</ns0:f>
        <ns0:v/>
      </ns0:c>
      <ns0:c r="E460" s="0" t="str">
        <ns0:f>IFERROR(INDEX(Settings!$H$7:$H$11,MATCH(D460,Settings!$G$7:$G$11,0)),"")</ns0:f>
        <ns0:v/>
      </ns0:c>
      <ns0:c r="F460" s="0" t="str">
        <ns0:f>IF(A460=0,"",IFERROR(IF(OR(B460="",C460=0),"CHECK employee selection",IF(INDEX(Team!$O$11:$O$60,C460)&lt;&gt;"OK","CHECK employee setup",IF(OR('_Dates'!J460=0,'_Dates'!T460=0),"CHECK date: use DD.MM.YYYY",IF('_Dates'!T460&lt;'_Dates'!J460,"CHECK end before start",IF(AND($B$6=0,OR('_Dates'!J460&lt;Settings!$B$7,'_Dates'!T460&gt;Settings!$B$8)),"CHECK split across leave years",IF(OR(NOT(OR('_Dates'!U460="Full day",'_Dates'!U460="AM",'_Dates'!U460="PM")),NOT(OR('_Dates'!V460="Full day",'_Dates'!V460="AM",'_Dates'!V460="PM"))),"CHECK Full day / AM / PM",IF(AND('_Dates'!J460='_Dates'!T460,'_Dates'!U460&lt;&gt;"Full day",'_Dates'!V460&lt;&gt;"Full day",'_Dates'!U460&lt;&gt;'_Dates'!V460),"CHECK same-day portions disagree",IF(AND($B$6=0,OR(AND('_Dates'!U460&lt;&gt;"Full day",'_Dates'!AA460=0),AND('_Dates'!V460&lt;&gt;"Full day",'_Dates'!AB460=0))),"CHECK half-day on non-working date",IF(COUNTIF(Settings!$G$7:$G$11,D460)&lt;&gt;1,"CHECK leave type",IF(AND(Bookings!G460&lt;&gt;"Approved",Bookings!G460&lt;&gt;"Pending",Bookings!G460&lt;&gt;"Cancelled"),"CHECK status","OK")))))))))),"CHECK input"))</ns0:f>
        <ns0:v/>
      </ns0:c>
      <ns0:c r="G460" s="0">
        <ns0:f>IF(OR(F460&lt;&gt;"OK",$B$6&gt;0),0,0.5*(IF(('_Dates'!X460)&lt;('_Dates'!W460),0,INT((('_Dates'!X460)-('_Dates'!W460)+1)/7)*LEN(SUBSTITUTE(W460,"O",""))+LEN(SUBSTITUTE(MID(W460&amp;W460,WEEKDAY(('_Dates'!W460),2),MOD((('_Dates'!X460)-('_Dates'!W460)+1),7)),"O",""))-COUNTIFS(INDEX(AllClosureRows,C460,0),"&gt;="&amp;('_Dates'!W460),INDEX(AllClosureRows,C460,0),"&lt;="&amp;('_Dates'!X460)))+IF(('_Dates'!Z460)&lt;('_Dates'!Y460),0,INT((('_Dates'!Z460)-('_Dates'!Y460)+1)/7)*LEN(SUBSTITUTE(W460,"O",""))+LEN(SUBSTITUTE(MID(W460&amp;W460,WEEKDAY(('_Dates'!Y460),2),MOD((('_Dates'!Z460)-('_Dates'!Y460)+1),7)),"O",""))-COUNTIFS(INDEX(AllClosureRows,C460,0),"&gt;="&amp;('_Dates'!Y460),INDEX(AllClosureRows,C460,0),"&lt;="&amp;('_Dates'!Z460)))))</ns0:f>
        <ns0:v>0</ns0:v>
      </ns0:c>
      <ns0:c r="H460" s="0">
        <ns0:f>IF(OR(F460&lt;&gt;"OK",$B$6&gt;0),0,0.5*(IF((MIN('_Dates'!X460,Settings!$B$9))&lt;('_Dates'!W460),0,INT(((MIN('_Dates'!X460,Settings!$B$9))-('_Dates'!W460)+1)/7)*LEN(SUBSTITUTE(W460,"O",""))+LEN(SUBSTITUTE(MID(W460&amp;W460,WEEKDAY(('_Dates'!W460),2),MOD(((MIN('_Dates'!X460,Settings!$B$9))-('_Dates'!W460)+1),7)),"O",""))-COUNTIFS(INDEX(AllClosureRows,C460,0),"&gt;="&amp;('_Dates'!W460),INDEX(AllClosureRows,C460,0),"&lt;="&amp;(MIN('_Dates'!X460,Settings!$B$9))))+IF((MIN('_Dates'!Z460,Settings!$B$9))&lt;('_Dates'!Y460),0,INT(((MIN('_Dates'!Z460,Settings!$B$9))-('_Dates'!Y460)+1)/7)*LEN(SUBSTITUTE(W460,"O",""))+LEN(SUBSTITUTE(MID(W460&amp;W460,WEEKDAY(('_Dates'!Y460),2),MOD(((MIN('_Dates'!Z460,Settings!$B$9))-('_Dates'!Y460)+1),7)),"O",""))-COUNTIFS(INDEX(AllClosureRows,C460,0),"&gt;="&amp;('_Dates'!Y460),INDEX(AllClosureRows,C460,0),"&lt;="&amp;(MIN('_Dates'!Z460,Settings!$B$9))))))</ns0:f>
        <ns0:v>0</ns0:v>
      </ns0:c>
      <ns0:c r="I460" s="0">
        <ns0:f>MAX(0,G460-H460)</ns0:f>
        <ns0:v>0</ns0:v>
      </ns0:c>
      <ns0:c r="J460" s="0">
        <ns0:f>IF(OR(A460=0,F460&lt;&gt;"OK",Bookings!G460="Cancelled",$B$6&gt;0),0,IF('_Dates'!AC460=1,MAX(0,COUNTIFS(rngEngine_B,B460,rngAMStart,"&lt;="&amp;'_Dates'!X460,rngAMEnd,"&gt;="&amp;'_Dates'!W460,rngAMActive,1,rngEngine_F,"OK",rngBookings_F,"&lt;&gt;Cancelled")-1),0)+IF('_Dates'!AD460=1,MAX(0,COUNTIFS(rngEngine_B,B460,rngPMStart,"&lt;="&amp;'_Dates'!Z460,rngPMEnd,"&gt;="&amp;'_Dates'!Y460,rngPMActive,1,rngEngine_F,"OK",rngBookings_F,"&lt;&gt;Cancelled")-1),0))</ns0:f>
        <ns0:v>0</ns0:v>
      </ns0:c>
      <ns0:c r="K460" s="0" t="str">
        <ns0:f>IF(A460=0,"",IF(F460&lt;&gt;"OK",F460,IF(J460&gt;0,"CHECK overlapping entry",IF(AND($B$6=0,G460&lt;=0,Bookings!G460&lt;&gt;"Cancelled"),"CHECK no working days",IF(Bookings!G460="Cancelled","Cancelled","OK")))))</ns0:f>
        <ns0:v/>
      </ns0:c>
      <ns0:c r="L460" s="0">
        <ns0:f>IF(LEFT(K460,5)="CHECK",1,0)</ns0:f>
        <ns0:v>0</ns0:v>
      </ns0:c>
      <ns0:c r="M460" s="0">
        <ns0:f>IF(AND(L460=1,OR(C460=0,IFERROR(INDEX($X$11:$X$60,C460),0)=0)),1,0)</ns0:f>
        <ns0:v>0</ns0:v>
      </ns0:c>
      <ns0:c r="N460" s="0">
        <ns0:f>IF(OR(A460=0,L460&gt;0,$B$6&gt;0,Bookings!G460="Cancelled"),0,G460)</ns0:f>
        <ns0:v>0</ns0:v>
      </ns0:c>
      <ns0:c r="O460" s="0">
        <ns0:f>IF(AND(Bookings!G460="Approved",E460="Yes"),N460,0)</ns0:f>
        <ns0:v>0</ns0:v>
      </ns0:c>
      <ns0:c r="P460" s="0">
        <ns0:f>IF(AND(Bookings!G460="Approved",E460="Yes",L460=0,$B$6=0),H460,0)</ns0:f>
        <ns0:v>0</ns0:v>
      </ns0:c>
      <ns0:c r="Q460" s="0">
        <ns0:f>IF(AND(Bookings!G460="Approved",E460="Yes",L460=0,$B$6=0),I460,0)</ns0:f>
        <ns0:v>0</ns0:v>
      </ns0:c>
      <ns0:c r="R460" s="0">
        <ns0:f>IF(AND(Bookings!G460="Pending",E460="Yes"),N460,0)</ns0:f>
        <ns0:v>0</ns0:v>
      </ns0:c>
      <ns0:c r="S460" s="0">
        <ns0:f>IF(AND(Bookings!G460="Approved",E460="No"),N460,0)</ns0:f>
        <ns0:v>0</ns0:v>
      </ns0:c>
      <ns0:c r="T460" s="0">
        <ns0:f>IFERROR(MATCH(D460,Settings!$G$7:$G$11,0),0)</ns0:f>
        <ns0:v>0</ns0:v>
      </ns0:c>
      <ns0:c r="U460" s="0">
        <ns0:f>IF(N460&gt;0,T460+IF(Bookings!G460="Pending",10,0),0)</ns0:f>
        <ns0:v>0</ns0:v>
      </ns0:c>
      <ns0:c r="V460" s="0">
        <ns0:f>U460</ns0:f>
        <ns0:v>0</ns0:v>
      </ns0:c>
      <ns0:c r="W460" s="0" t="str">
        <ns0:f>IF(C460=0,"",INDEX($AP$11:$AP$60,C460))</ns0:f>
        <ns0:v/>
      </ns0:c>
    </ns0:row>
    <ns0:row r="461">
      <ns0:c r="A461" s="0">
        <ns0:f>IF(COUNTA(Bookings!A461:G461,Bookings!I461)=0,0,1)</ns0:f>
        <ns0:v>0</ns0:v>
      </ns0:c>
      <ns0:c r="B461" s="0" t="str">
        <ns0:f>IFERROR(TRIM(MID(Bookings!A461,FIND(" · ",Bookings!A461)+3,99)),"")</ns0:f>
        <ns0:v/>
      </ns0:c>
      <ns0:c r="C461" s="0">
        <ns0:f>IF(OR(B461="",LEN(B461)&gt;24,ISNUMBER(FIND(" ",B461)),ISNUMBER(FIND("*",B461)),ISNUMBER(FIND("?",B461)),ISNUMBER(FIND("~",B461))),0,IFERROR(MATCH(B461,Team!$A$11:$A$60,0),0))</ns0:f>
        <ns0:v>0</ns0:v>
      </ns0:c>
      <ns0:c r="D461" s="0" t="str">
        <ns0:f>IFERROR(IF(MID(Bookings!F461,LEN(Bookings!F461)-3,3)=" · ",RIGHT(Bookings!F461,1),""),"")</ns0:f>
        <ns0:v/>
      </ns0:c>
      <ns0:c r="E461" s="0" t="str">
        <ns0:f>IFERROR(INDEX(Settings!$H$7:$H$11,MATCH(D461,Settings!$G$7:$G$11,0)),"")</ns0:f>
        <ns0:v/>
      </ns0:c>
      <ns0:c r="F461" s="0" t="str">
        <ns0:f>IF(A461=0,"",IFERROR(IF(OR(B461="",C461=0),"CHECK employee selection",IF(INDEX(Team!$O$11:$O$60,C461)&lt;&gt;"OK","CHECK employee setup",IF(OR('_Dates'!J461=0,'_Dates'!T461=0),"CHECK date: use DD.MM.YYYY",IF('_Dates'!T461&lt;'_Dates'!J461,"CHECK end before start",IF(AND($B$6=0,OR('_Dates'!J461&lt;Settings!$B$7,'_Dates'!T461&gt;Settings!$B$8)),"CHECK split across leave years",IF(OR(NOT(OR('_Dates'!U461="Full day",'_Dates'!U461="AM",'_Dates'!U461="PM")),NOT(OR('_Dates'!V461="Full day",'_Dates'!V461="AM",'_Dates'!V461="PM"))),"CHECK Full day / AM / PM",IF(AND('_Dates'!J461='_Dates'!T461,'_Dates'!U461&lt;&gt;"Full day",'_Dates'!V461&lt;&gt;"Full day",'_Dates'!U461&lt;&gt;'_Dates'!V461),"CHECK same-day portions disagree",IF(AND($B$6=0,OR(AND('_Dates'!U461&lt;&gt;"Full day",'_Dates'!AA461=0),AND('_Dates'!V461&lt;&gt;"Full day",'_Dates'!AB461=0))),"CHECK half-day on non-working date",IF(COUNTIF(Settings!$G$7:$G$11,D461)&lt;&gt;1,"CHECK leave type",IF(AND(Bookings!G461&lt;&gt;"Approved",Bookings!G461&lt;&gt;"Pending",Bookings!G461&lt;&gt;"Cancelled"),"CHECK status","OK")))))))))),"CHECK input"))</ns0:f>
        <ns0:v/>
      </ns0:c>
      <ns0:c r="G461" s="0">
        <ns0:f>IF(OR(F461&lt;&gt;"OK",$B$6&gt;0),0,0.5*(IF(('_Dates'!X461)&lt;('_Dates'!W461),0,INT((('_Dates'!X461)-('_Dates'!W461)+1)/7)*LEN(SUBSTITUTE(W461,"O",""))+LEN(SUBSTITUTE(MID(W461&amp;W461,WEEKDAY(('_Dates'!W461),2),MOD((('_Dates'!X461)-('_Dates'!W461)+1),7)),"O",""))-COUNTIFS(INDEX(AllClosureRows,C461,0),"&gt;="&amp;('_Dates'!W461),INDEX(AllClosureRows,C461,0),"&lt;="&amp;('_Dates'!X461)))+IF(('_Dates'!Z461)&lt;('_Dates'!Y461),0,INT((('_Dates'!Z461)-('_Dates'!Y461)+1)/7)*LEN(SUBSTITUTE(W461,"O",""))+LEN(SUBSTITUTE(MID(W461&amp;W461,WEEKDAY(('_Dates'!Y461),2),MOD((('_Dates'!Z461)-('_Dates'!Y461)+1),7)),"O",""))-COUNTIFS(INDEX(AllClosureRows,C461,0),"&gt;="&amp;('_Dates'!Y461),INDEX(AllClosureRows,C461,0),"&lt;="&amp;('_Dates'!Z461)))))</ns0:f>
        <ns0:v>0</ns0:v>
      </ns0:c>
      <ns0:c r="H461" s="0">
        <ns0:f>IF(OR(F461&lt;&gt;"OK",$B$6&gt;0),0,0.5*(IF((MIN('_Dates'!X461,Settings!$B$9))&lt;('_Dates'!W461),0,INT(((MIN('_Dates'!X461,Settings!$B$9))-('_Dates'!W461)+1)/7)*LEN(SUBSTITUTE(W461,"O",""))+LEN(SUBSTITUTE(MID(W461&amp;W461,WEEKDAY(('_Dates'!W461),2),MOD(((MIN('_Dates'!X461,Settings!$B$9))-('_Dates'!W461)+1),7)),"O",""))-COUNTIFS(INDEX(AllClosureRows,C461,0),"&gt;="&amp;('_Dates'!W461),INDEX(AllClosureRows,C461,0),"&lt;="&amp;(MIN('_Dates'!X461,Settings!$B$9))))+IF((MIN('_Dates'!Z461,Settings!$B$9))&lt;('_Dates'!Y461),0,INT(((MIN('_Dates'!Z461,Settings!$B$9))-('_Dates'!Y461)+1)/7)*LEN(SUBSTITUTE(W461,"O",""))+LEN(SUBSTITUTE(MID(W461&amp;W461,WEEKDAY(('_Dates'!Y461),2),MOD(((MIN('_Dates'!Z461,Settings!$B$9))-('_Dates'!Y461)+1),7)),"O",""))-COUNTIFS(INDEX(AllClosureRows,C461,0),"&gt;="&amp;('_Dates'!Y461),INDEX(AllClosureRows,C461,0),"&lt;="&amp;(MIN('_Dates'!Z461,Settings!$B$9))))))</ns0:f>
        <ns0:v>0</ns0:v>
      </ns0:c>
      <ns0:c r="I461" s="0">
        <ns0:f>MAX(0,G461-H461)</ns0:f>
        <ns0:v>0</ns0:v>
      </ns0:c>
      <ns0:c r="J461" s="0">
        <ns0:f>IF(OR(A461=0,F461&lt;&gt;"OK",Bookings!G461="Cancelled",$B$6&gt;0),0,IF('_Dates'!AC461=1,MAX(0,COUNTIFS(rngEngine_B,B461,rngAMStart,"&lt;="&amp;'_Dates'!X461,rngAMEnd,"&gt;="&amp;'_Dates'!W461,rngAMActive,1,rngEngine_F,"OK",rngBookings_F,"&lt;&gt;Cancelled")-1),0)+IF('_Dates'!AD461=1,MAX(0,COUNTIFS(rngEngine_B,B461,rngPMStart,"&lt;="&amp;'_Dates'!Z461,rngPMEnd,"&gt;="&amp;'_Dates'!Y461,rngPMActive,1,rngEngine_F,"OK",rngBookings_F,"&lt;&gt;Cancelled")-1),0))</ns0:f>
        <ns0:v>0</ns0:v>
      </ns0:c>
      <ns0:c r="K461" s="0" t="str">
        <ns0:f>IF(A461=0,"",IF(F461&lt;&gt;"OK",F461,IF(J461&gt;0,"CHECK overlapping entry",IF(AND($B$6=0,G461&lt;=0,Bookings!G461&lt;&gt;"Cancelled"),"CHECK no working days",IF(Bookings!G461="Cancelled","Cancelled","OK")))))</ns0:f>
        <ns0:v/>
      </ns0:c>
      <ns0:c r="L461" s="0">
        <ns0:f>IF(LEFT(K461,5)="CHECK",1,0)</ns0:f>
        <ns0:v>0</ns0:v>
      </ns0:c>
      <ns0:c r="M461" s="0">
        <ns0:f>IF(AND(L461=1,OR(C461=0,IFERROR(INDEX($X$11:$X$60,C461),0)=0)),1,0)</ns0:f>
        <ns0:v>0</ns0:v>
      </ns0:c>
      <ns0:c r="N461" s="0">
        <ns0:f>IF(OR(A461=0,L461&gt;0,$B$6&gt;0,Bookings!G461="Cancelled"),0,G461)</ns0:f>
        <ns0:v>0</ns0:v>
      </ns0:c>
      <ns0:c r="O461" s="0">
        <ns0:f>IF(AND(Bookings!G461="Approved",E461="Yes"),N461,0)</ns0:f>
        <ns0:v>0</ns0:v>
      </ns0:c>
      <ns0:c r="P461" s="0">
        <ns0:f>IF(AND(Bookings!G461="Approved",E461="Yes",L461=0,$B$6=0),H461,0)</ns0:f>
        <ns0:v>0</ns0:v>
      </ns0:c>
      <ns0:c r="Q461" s="0">
        <ns0:f>IF(AND(Bookings!G461="Approved",E461="Yes",L461=0,$B$6=0),I461,0)</ns0:f>
        <ns0:v>0</ns0:v>
      </ns0:c>
      <ns0:c r="R461" s="0">
        <ns0:f>IF(AND(Bookings!G461="Pending",E461="Yes"),N461,0)</ns0:f>
        <ns0:v>0</ns0:v>
      </ns0:c>
      <ns0:c r="S461" s="0">
        <ns0:f>IF(AND(Bookings!G461="Approved",E461="No"),N461,0)</ns0:f>
        <ns0:v>0</ns0:v>
      </ns0:c>
      <ns0:c r="T461" s="0">
        <ns0:f>IFERROR(MATCH(D461,Settings!$G$7:$G$11,0),0)</ns0:f>
        <ns0:v>0</ns0:v>
      </ns0:c>
      <ns0:c r="U461" s="0">
        <ns0:f>IF(N461&gt;0,T461+IF(Bookings!G461="Pending",10,0),0)</ns0:f>
        <ns0:v>0</ns0:v>
      </ns0:c>
      <ns0:c r="V461" s="0">
        <ns0:f>U461</ns0:f>
        <ns0:v>0</ns0:v>
      </ns0:c>
      <ns0:c r="W461" s="0" t="str">
        <ns0:f>IF(C461=0,"",INDEX($AP$11:$AP$60,C461))</ns0:f>
        <ns0:v/>
      </ns0:c>
    </ns0:row>
    <ns0:row r="462">
      <ns0:c r="A462" s="0">
        <ns0:f>IF(COUNTA(Bookings!A462:G462,Bookings!I462)=0,0,1)</ns0:f>
        <ns0:v>0</ns0:v>
      </ns0:c>
      <ns0:c r="B462" s="0" t="str">
        <ns0:f>IFERROR(TRIM(MID(Bookings!A462,FIND(" · ",Bookings!A462)+3,99)),"")</ns0:f>
        <ns0:v/>
      </ns0:c>
      <ns0:c r="C462" s="0">
        <ns0:f>IF(OR(B462="",LEN(B462)&gt;24,ISNUMBER(FIND(" ",B462)),ISNUMBER(FIND("*",B462)),ISNUMBER(FIND("?",B462)),ISNUMBER(FIND("~",B462))),0,IFERROR(MATCH(B462,Team!$A$11:$A$60,0),0))</ns0:f>
        <ns0:v>0</ns0:v>
      </ns0:c>
      <ns0:c r="D462" s="0" t="str">
        <ns0:f>IFERROR(IF(MID(Bookings!F462,LEN(Bookings!F462)-3,3)=" · ",RIGHT(Bookings!F462,1),""),"")</ns0:f>
        <ns0:v/>
      </ns0:c>
      <ns0:c r="E462" s="0" t="str">
        <ns0:f>IFERROR(INDEX(Settings!$H$7:$H$11,MATCH(D462,Settings!$G$7:$G$11,0)),"")</ns0:f>
        <ns0:v/>
      </ns0:c>
      <ns0:c r="F462" s="0" t="str">
        <ns0:f>IF(A462=0,"",IFERROR(IF(OR(B462="",C462=0),"CHECK employee selection",IF(INDEX(Team!$O$11:$O$60,C462)&lt;&gt;"OK","CHECK employee setup",IF(OR('_Dates'!J462=0,'_Dates'!T462=0),"CHECK date: use DD.MM.YYYY",IF('_Dates'!T462&lt;'_Dates'!J462,"CHECK end before start",IF(AND($B$6=0,OR('_Dates'!J462&lt;Settings!$B$7,'_Dates'!T462&gt;Settings!$B$8)),"CHECK split across leave years",IF(OR(NOT(OR('_Dates'!U462="Full day",'_Dates'!U462="AM",'_Dates'!U462="PM")),NOT(OR('_Dates'!V462="Full day",'_Dates'!V462="AM",'_Dates'!V462="PM"))),"CHECK Full day / AM / PM",IF(AND('_Dates'!J462='_Dates'!T462,'_Dates'!U462&lt;&gt;"Full day",'_Dates'!V462&lt;&gt;"Full day",'_Dates'!U462&lt;&gt;'_Dates'!V462),"CHECK same-day portions disagree",IF(AND($B$6=0,OR(AND('_Dates'!U462&lt;&gt;"Full day",'_Dates'!AA462=0),AND('_Dates'!V462&lt;&gt;"Full day",'_Dates'!AB462=0))),"CHECK half-day on non-working date",IF(COUNTIF(Settings!$G$7:$G$11,D462)&lt;&gt;1,"CHECK leave type",IF(AND(Bookings!G462&lt;&gt;"Approved",Bookings!G462&lt;&gt;"Pending",Bookings!G462&lt;&gt;"Cancelled"),"CHECK status","OK")))))))))),"CHECK input"))</ns0:f>
        <ns0:v/>
      </ns0:c>
      <ns0:c r="G462" s="0">
        <ns0:f>IF(OR(F462&lt;&gt;"OK",$B$6&gt;0),0,0.5*(IF(('_Dates'!X462)&lt;('_Dates'!W462),0,INT((('_Dates'!X462)-('_Dates'!W462)+1)/7)*LEN(SUBSTITUTE(W462,"O",""))+LEN(SUBSTITUTE(MID(W462&amp;W462,WEEKDAY(('_Dates'!W462),2),MOD((('_Dates'!X462)-('_Dates'!W462)+1),7)),"O",""))-COUNTIFS(INDEX(AllClosureRows,C462,0),"&gt;="&amp;('_Dates'!W462),INDEX(AllClosureRows,C462,0),"&lt;="&amp;('_Dates'!X462)))+IF(('_Dates'!Z462)&lt;('_Dates'!Y462),0,INT((('_Dates'!Z462)-('_Dates'!Y462)+1)/7)*LEN(SUBSTITUTE(W462,"O",""))+LEN(SUBSTITUTE(MID(W462&amp;W462,WEEKDAY(('_Dates'!Y462),2),MOD((('_Dates'!Z462)-('_Dates'!Y462)+1),7)),"O",""))-COUNTIFS(INDEX(AllClosureRows,C462,0),"&gt;="&amp;('_Dates'!Y462),INDEX(AllClosureRows,C462,0),"&lt;="&amp;('_Dates'!Z462)))))</ns0:f>
        <ns0:v>0</ns0:v>
      </ns0:c>
      <ns0:c r="H462" s="0">
        <ns0:f>IF(OR(F462&lt;&gt;"OK",$B$6&gt;0),0,0.5*(IF((MIN('_Dates'!X462,Settings!$B$9))&lt;('_Dates'!W462),0,INT(((MIN('_Dates'!X462,Settings!$B$9))-('_Dates'!W462)+1)/7)*LEN(SUBSTITUTE(W462,"O",""))+LEN(SUBSTITUTE(MID(W462&amp;W462,WEEKDAY(('_Dates'!W462),2),MOD(((MIN('_Dates'!X462,Settings!$B$9))-('_Dates'!W462)+1),7)),"O",""))-COUNTIFS(INDEX(AllClosureRows,C462,0),"&gt;="&amp;('_Dates'!W462),INDEX(AllClosureRows,C462,0),"&lt;="&amp;(MIN('_Dates'!X462,Settings!$B$9))))+IF((MIN('_Dates'!Z462,Settings!$B$9))&lt;('_Dates'!Y462),0,INT(((MIN('_Dates'!Z462,Settings!$B$9))-('_Dates'!Y462)+1)/7)*LEN(SUBSTITUTE(W462,"O",""))+LEN(SUBSTITUTE(MID(W462&amp;W462,WEEKDAY(('_Dates'!Y462),2),MOD(((MIN('_Dates'!Z462,Settings!$B$9))-('_Dates'!Y462)+1),7)),"O",""))-COUNTIFS(INDEX(AllClosureRows,C462,0),"&gt;="&amp;('_Dates'!Y462),INDEX(AllClosureRows,C462,0),"&lt;="&amp;(MIN('_Dates'!Z462,Settings!$B$9))))))</ns0:f>
        <ns0:v>0</ns0:v>
      </ns0:c>
      <ns0:c r="I462" s="0">
        <ns0:f>MAX(0,G462-H462)</ns0:f>
        <ns0:v>0</ns0:v>
      </ns0:c>
      <ns0:c r="J462" s="0">
        <ns0:f>IF(OR(A462=0,F462&lt;&gt;"OK",Bookings!G462="Cancelled",$B$6&gt;0),0,IF('_Dates'!AC462=1,MAX(0,COUNTIFS(rngEngine_B,B462,rngAMStart,"&lt;="&amp;'_Dates'!X462,rngAMEnd,"&gt;="&amp;'_Dates'!W462,rngAMActive,1,rngEngine_F,"OK",rngBookings_F,"&lt;&gt;Cancelled")-1),0)+IF('_Dates'!AD462=1,MAX(0,COUNTIFS(rngEngine_B,B462,rngPMStart,"&lt;="&amp;'_Dates'!Z462,rngPMEnd,"&gt;="&amp;'_Dates'!Y462,rngPMActive,1,rngEngine_F,"OK",rngBookings_F,"&lt;&gt;Cancelled")-1),0))</ns0:f>
        <ns0:v>0</ns0:v>
      </ns0:c>
      <ns0:c r="K462" s="0" t="str">
        <ns0:f>IF(A462=0,"",IF(F462&lt;&gt;"OK",F462,IF(J462&gt;0,"CHECK overlapping entry",IF(AND($B$6=0,G462&lt;=0,Bookings!G462&lt;&gt;"Cancelled"),"CHECK no working days",IF(Bookings!G462="Cancelled","Cancelled","OK")))))</ns0:f>
        <ns0:v/>
      </ns0:c>
      <ns0:c r="L462" s="0">
        <ns0:f>IF(LEFT(K462,5)="CHECK",1,0)</ns0:f>
        <ns0:v>0</ns0:v>
      </ns0:c>
      <ns0:c r="M462" s="0">
        <ns0:f>IF(AND(L462=1,OR(C462=0,IFERROR(INDEX($X$11:$X$60,C462),0)=0)),1,0)</ns0:f>
        <ns0:v>0</ns0:v>
      </ns0:c>
      <ns0:c r="N462" s="0">
        <ns0:f>IF(OR(A462=0,L462&gt;0,$B$6&gt;0,Bookings!G462="Cancelled"),0,G462)</ns0:f>
        <ns0:v>0</ns0:v>
      </ns0:c>
      <ns0:c r="O462" s="0">
        <ns0:f>IF(AND(Bookings!G462="Approved",E462="Yes"),N462,0)</ns0:f>
        <ns0:v>0</ns0:v>
      </ns0:c>
      <ns0:c r="P462" s="0">
        <ns0:f>IF(AND(Bookings!G462="Approved",E462="Yes",L462=0,$B$6=0),H462,0)</ns0:f>
        <ns0:v>0</ns0:v>
      </ns0:c>
      <ns0:c r="Q462" s="0">
        <ns0:f>IF(AND(Bookings!G462="Approved",E462="Yes",L462=0,$B$6=0),I462,0)</ns0:f>
        <ns0:v>0</ns0:v>
      </ns0:c>
      <ns0:c r="R462" s="0">
        <ns0:f>IF(AND(Bookings!G462="Pending",E462="Yes"),N462,0)</ns0:f>
        <ns0:v>0</ns0:v>
      </ns0:c>
      <ns0:c r="S462" s="0">
        <ns0:f>IF(AND(Bookings!G462="Approved",E462="No"),N462,0)</ns0:f>
        <ns0:v>0</ns0:v>
      </ns0:c>
      <ns0:c r="T462" s="0">
        <ns0:f>IFERROR(MATCH(D462,Settings!$G$7:$G$11,0),0)</ns0:f>
        <ns0:v>0</ns0:v>
      </ns0:c>
      <ns0:c r="U462" s="0">
        <ns0:f>IF(N462&gt;0,T462+IF(Bookings!G462="Pending",10,0),0)</ns0:f>
        <ns0:v>0</ns0:v>
      </ns0:c>
      <ns0:c r="V462" s="0">
        <ns0:f>U462</ns0:f>
        <ns0:v>0</ns0:v>
      </ns0:c>
      <ns0:c r="W462" s="0" t="str">
        <ns0:f>IF(C462=0,"",INDEX($AP$11:$AP$60,C462))</ns0:f>
        <ns0:v/>
      </ns0:c>
    </ns0:row>
    <ns0:row r="463">
      <ns0:c r="A463" s="0">
        <ns0:f>IF(COUNTA(Bookings!A463:G463,Bookings!I463)=0,0,1)</ns0:f>
        <ns0:v>0</ns0:v>
      </ns0:c>
      <ns0:c r="B463" s="0" t="str">
        <ns0:f>IFERROR(TRIM(MID(Bookings!A463,FIND(" · ",Bookings!A463)+3,99)),"")</ns0:f>
        <ns0:v/>
      </ns0:c>
      <ns0:c r="C463" s="0">
        <ns0:f>IF(OR(B463="",LEN(B463)&gt;24,ISNUMBER(FIND(" ",B463)),ISNUMBER(FIND("*",B463)),ISNUMBER(FIND("?",B463)),ISNUMBER(FIND("~",B463))),0,IFERROR(MATCH(B463,Team!$A$11:$A$60,0),0))</ns0:f>
        <ns0:v>0</ns0:v>
      </ns0:c>
      <ns0:c r="D463" s="0" t="str">
        <ns0:f>IFERROR(IF(MID(Bookings!F463,LEN(Bookings!F463)-3,3)=" · ",RIGHT(Bookings!F463,1),""),"")</ns0:f>
        <ns0:v/>
      </ns0:c>
      <ns0:c r="E463" s="0" t="str">
        <ns0:f>IFERROR(INDEX(Settings!$H$7:$H$11,MATCH(D463,Settings!$G$7:$G$11,0)),"")</ns0:f>
        <ns0:v/>
      </ns0:c>
      <ns0:c r="F463" s="0" t="str">
        <ns0:f>IF(A463=0,"",IFERROR(IF(OR(B463="",C463=0),"CHECK employee selection",IF(INDEX(Team!$O$11:$O$60,C463)&lt;&gt;"OK","CHECK employee setup",IF(OR('_Dates'!J463=0,'_Dates'!T463=0),"CHECK date: use DD.MM.YYYY",IF('_Dates'!T463&lt;'_Dates'!J463,"CHECK end before start",IF(AND($B$6=0,OR('_Dates'!J463&lt;Settings!$B$7,'_Dates'!T463&gt;Settings!$B$8)),"CHECK split across leave years",IF(OR(NOT(OR('_Dates'!U463="Full day",'_Dates'!U463="AM",'_Dates'!U463="PM")),NOT(OR('_Dates'!V463="Full day",'_Dates'!V463="AM",'_Dates'!V463="PM"))),"CHECK Full day / AM / PM",IF(AND('_Dates'!J463='_Dates'!T463,'_Dates'!U463&lt;&gt;"Full day",'_Dates'!V463&lt;&gt;"Full day",'_Dates'!U463&lt;&gt;'_Dates'!V463),"CHECK same-day portions disagree",IF(AND($B$6=0,OR(AND('_Dates'!U463&lt;&gt;"Full day",'_Dates'!AA463=0),AND('_Dates'!V463&lt;&gt;"Full day",'_Dates'!AB463=0))),"CHECK half-day on non-working date",IF(COUNTIF(Settings!$G$7:$G$11,D463)&lt;&gt;1,"CHECK leave type",IF(AND(Bookings!G463&lt;&gt;"Approved",Bookings!G463&lt;&gt;"Pending",Bookings!G463&lt;&gt;"Cancelled"),"CHECK status","OK")))))))))),"CHECK input"))</ns0:f>
        <ns0:v/>
      </ns0:c>
      <ns0:c r="G463" s="0">
        <ns0:f>IF(OR(F463&lt;&gt;"OK",$B$6&gt;0),0,0.5*(IF(('_Dates'!X463)&lt;('_Dates'!W463),0,INT((('_Dates'!X463)-('_Dates'!W463)+1)/7)*LEN(SUBSTITUTE(W463,"O",""))+LEN(SUBSTITUTE(MID(W463&amp;W463,WEEKDAY(('_Dates'!W463),2),MOD((('_Dates'!X463)-('_Dates'!W463)+1),7)),"O",""))-COUNTIFS(INDEX(AllClosureRows,C463,0),"&gt;="&amp;('_Dates'!W463),INDEX(AllClosureRows,C463,0),"&lt;="&amp;('_Dates'!X463)))+IF(('_Dates'!Z463)&lt;('_Dates'!Y463),0,INT((('_Dates'!Z463)-('_Dates'!Y463)+1)/7)*LEN(SUBSTITUTE(W463,"O",""))+LEN(SUBSTITUTE(MID(W463&amp;W463,WEEKDAY(('_Dates'!Y463),2),MOD((('_Dates'!Z463)-('_Dates'!Y463)+1),7)),"O",""))-COUNTIFS(INDEX(AllClosureRows,C463,0),"&gt;="&amp;('_Dates'!Y463),INDEX(AllClosureRows,C463,0),"&lt;="&amp;('_Dates'!Z463)))))</ns0:f>
        <ns0:v>0</ns0:v>
      </ns0:c>
      <ns0:c r="H463" s="0">
        <ns0:f>IF(OR(F463&lt;&gt;"OK",$B$6&gt;0),0,0.5*(IF((MIN('_Dates'!X463,Settings!$B$9))&lt;('_Dates'!W463),0,INT(((MIN('_Dates'!X463,Settings!$B$9))-('_Dates'!W463)+1)/7)*LEN(SUBSTITUTE(W463,"O",""))+LEN(SUBSTITUTE(MID(W463&amp;W463,WEEKDAY(('_Dates'!W463),2),MOD(((MIN('_Dates'!X463,Settings!$B$9))-('_Dates'!W463)+1),7)),"O",""))-COUNTIFS(INDEX(AllClosureRows,C463,0),"&gt;="&amp;('_Dates'!W463),INDEX(AllClosureRows,C463,0),"&lt;="&amp;(MIN('_Dates'!X463,Settings!$B$9))))+IF((MIN('_Dates'!Z463,Settings!$B$9))&lt;('_Dates'!Y463),0,INT(((MIN('_Dates'!Z463,Settings!$B$9))-('_Dates'!Y463)+1)/7)*LEN(SUBSTITUTE(W463,"O",""))+LEN(SUBSTITUTE(MID(W463&amp;W463,WEEKDAY(('_Dates'!Y463),2),MOD(((MIN('_Dates'!Z463,Settings!$B$9))-('_Dates'!Y463)+1),7)),"O",""))-COUNTIFS(INDEX(AllClosureRows,C463,0),"&gt;="&amp;('_Dates'!Y463),INDEX(AllClosureRows,C463,0),"&lt;="&amp;(MIN('_Dates'!Z463,Settings!$B$9))))))</ns0:f>
        <ns0:v>0</ns0:v>
      </ns0:c>
      <ns0:c r="I463" s="0">
        <ns0:f>MAX(0,G463-H463)</ns0:f>
        <ns0:v>0</ns0:v>
      </ns0:c>
      <ns0:c r="J463" s="0">
        <ns0:f>IF(OR(A463=0,F463&lt;&gt;"OK",Bookings!G463="Cancelled",$B$6&gt;0),0,IF('_Dates'!AC463=1,MAX(0,COUNTIFS(rngEngine_B,B463,rngAMStart,"&lt;="&amp;'_Dates'!X463,rngAMEnd,"&gt;="&amp;'_Dates'!W463,rngAMActive,1,rngEngine_F,"OK",rngBookings_F,"&lt;&gt;Cancelled")-1),0)+IF('_Dates'!AD463=1,MAX(0,COUNTIFS(rngEngine_B,B463,rngPMStart,"&lt;="&amp;'_Dates'!Z463,rngPMEnd,"&gt;="&amp;'_Dates'!Y463,rngPMActive,1,rngEngine_F,"OK",rngBookings_F,"&lt;&gt;Cancelled")-1),0))</ns0:f>
        <ns0:v>0</ns0:v>
      </ns0:c>
      <ns0:c r="K463" s="0" t="str">
        <ns0:f>IF(A463=0,"",IF(F463&lt;&gt;"OK",F463,IF(J463&gt;0,"CHECK overlapping entry",IF(AND($B$6=0,G463&lt;=0,Bookings!G463&lt;&gt;"Cancelled"),"CHECK no working days",IF(Bookings!G463="Cancelled","Cancelled","OK")))))</ns0:f>
        <ns0:v/>
      </ns0:c>
      <ns0:c r="L463" s="0">
        <ns0:f>IF(LEFT(K463,5)="CHECK",1,0)</ns0:f>
        <ns0:v>0</ns0:v>
      </ns0:c>
      <ns0:c r="M463" s="0">
        <ns0:f>IF(AND(L463=1,OR(C463=0,IFERROR(INDEX($X$11:$X$60,C463),0)=0)),1,0)</ns0:f>
        <ns0:v>0</ns0:v>
      </ns0:c>
      <ns0:c r="N463" s="0">
        <ns0:f>IF(OR(A463=0,L463&gt;0,$B$6&gt;0,Bookings!G463="Cancelled"),0,G463)</ns0:f>
        <ns0:v>0</ns0:v>
      </ns0:c>
      <ns0:c r="O463" s="0">
        <ns0:f>IF(AND(Bookings!G463="Approved",E463="Yes"),N463,0)</ns0:f>
        <ns0:v>0</ns0:v>
      </ns0:c>
      <ns0:c r="P463" s="0">
        <ns0:f>IF(AND(Bookings!G463="Approved",E463="Yes",L463=0,$B$6=0),H463,0)</ns0:f>
        <ns0:v>0</ns0:v>
      </ns0:c>
      <ns0:c r="Q463" s="0">
        <ns0:f>IF(AND(Bookings!G463="Approved",E463="Yes",L463=0,$B$6=0),I463,0)</ns0:f>
        <ns0:v>0</ns0:v>
      </ns0:c>
      <ns0:c r="R463" s="0">
        <ns0:f>IF(AND(Bookings!G463="Pending",E463="Yes"),N463,0)</ns0:f>
        <ns0:v>0</ns0:v>
      </ns0:c>
      <ns0:c r="S463" s="0">
        <ns0:f>IF(AND(Bookings!G463="Approved",E463="No"),N463,0)</ns0:f>
        <ns0:v>0</ns0:v>
      </ns0:c>
      <ns0:c r="T463" s="0">
        <ns0:f>IFERROR(MATCH(D463,Settings!$G$7:$G$11,0),0)</ns0:f>
        <ns0:v>0</ns0:v>
      </ns0:c>
      <ns0:c r="U463" s="0">
        <ns0:f>IF(N463&gt;0,T463+IF(Bookings!G463="Pending",10,0),0)</ns0:f>
        <ns0:v>0</ns0:v>
      </ns0:c>
      <ns0:c r="V463" s="0">
        <ns0:f>U463</ns0:f>
        <ns0:v>0</ns0:v>
      </ns0:c>
      <ns0:c r="W463" s="0" t="str">
        <ns0:f>IF(C463=0,"",INDEX($AP$11:$AP$60,C463))</ns0:f>
        <ns0:v/>
      </ns0:c>
    </ns0:row>
    <ns0:row r="464">
      <ns0:c r="A464" s="0">
        <ns0:f>IF(COUNTA(Bookings!A464:G464,Bookings!I464)=0,0,1)</ns0:f>
        <ns0:v>0</ns0:v>
      </ns0:c>
      <ns0:c r="B464" s="0" t="str">
        <ns0:f>IFERROR(TRIM(MID(Bookings!A464,FIND(" · ",Bookings!A464)+3,99)),"")</ns0:f>
        <ns0:v/>
      </ns0:c>
      <ns0:c r="C464" s="0">
        <ns0:f>IF(OR(B464="",LEN(B464)&gt;24,ISNUMBER(FIND(" ",B464)),ISNUMBER(FIND("*",B464)),ISNUMBER(FIND("?",B464)),ISNUMBER(FIND("~",B464))),0,IFERROR(MATCH(B464,Team!$A$11:$A$60,0),0))</ns0:f>
        <ns0:v>0</ns0:v>
      </ns0:c>
      <ns0:c r="D464" s="0" t="str">
        <ns0:f>IFERROR(IF(MID(Bookings!F464,LEN(Bookings!F464)-3,3)=" · ",RIGHT(Bookings!F464,1),""),"")</ns0:f>
        <ns0:v/>
      </ns0:c>
      <ns0:c r="E464" s="0" t="str">
        <ns0:f>IFERROR(INDEX(Settings!$H$7:$H$11,MATCH(D464,Settings!$G$7:$G$11,0)),"")</ns0:f>
        <ns0:v/>
      </ns0:c>
      <ns0:c r="F464" s="0" t="str">
        <ns0:f>IF(A464=0,"",IFERROR(IF(OR(B464="",C464=0),"CHECK employee selection",IF(INDEX(Team!$O$11:$O$60,C464)&lt;&gt;"OK","CHECK employee setup",IF(OR('_Dates'!J464=0,'_Dates'!T464=0),"CHECK date: use DD.MM.YYYY",IF('_Dates'!T464&lt;'_Dates'!J464,"CHECK end before start",IF(AND($B$6=0,OR('_Dates'!J464&lt;Settings!$B$7,'_Dates'!T464&gt;Settings!$B$8)),"CHECK split across leave years",IF(OR(NOT(OR('_Dates'!U464="Full day",'_Dates'!U464="AM",'_Dates'!U464="PM")),NOT(OR('_Dates'!V464="Full day",'_Dates'!V464="AM",'_Dates'!V464="PM"))),"CHECK Full day / AM / PM",IF(AND('_Dates'!J464='_Dates'!T464,'_Dates'!U464&lt;&gt;"Full day",'_Dates'!V464&lt;&gt;"Full day",'_Dates'!U464&lt;&gt;'_Dates'!V464),"CHECK same-day portions disagree",IF(AND($B$6=0,OR(AND('_Dates'!U464&lt;&gt;"Full day",'_Dates'!AA464=0),AND('_Dates'!V464&lt;&gt;"Full day",'_Dates'!AB464=0))),"CHECK half-day on non-working date",IF(COUNTIF(Settings!$G$7:$G$11,D464)&lt;&gt;1,"CHECK leave type",IF(AND(Bookings!G464&lt;&gt;"Approved",Bookings!G464&lt;&gt;"Pending",Bookings!G464&lt;&gt;"Cancelled"),"CHECK status","OK")))))))))),"CHECK input"))</ns0:f>
        <ns0:v/>
      </ns0:c>
      <ns0:c r="G464" s="0">
        <ns0:f>IF(OR(F464&lt;&gt;"OK",$B$6&gt;0),0,0.5*(IF(('_Dates'!X464)&lt;('_Dates'!W464),0,INT((('_Dates'!X464)-('_Dates'!W464)+1)/7)*LEN(SUBSTITUTE(W464,"O",""))+LEN(SUBSTITUTE(MID(W464&amp;W464,WEEKDAY(('_Dates'!W464),2),MOD((('_Dates'!X464)-('_Dates'!W464)+1),7)),"O",""))-COUNTIFS(INDEX(AllClosureRows,C464,0),"&gt;="&amp;('_Dates'!W464),INDEX(AllClosureRows,C464,0),"&lt;="&amp;('_Dates'!X464)))+IF(('_Dates'!Z464)&lt;('_Dates'!Y464),0,INT((('_Dates'!Z464)-('_Dates'!Y464)+1)/7)*LEN(SUBSTITUTE(W464,"O",""))+LEN(SUBSTITUTE(MID(W464&amp;W464,WEEKDAY(('_Dates'!Y464),2),MOD((('_Dates'!Z464)-('_Dates'!Y464)+1),7)),"O",""))-COUNTIFS(INDEX(AllClosureRows,C464,0),"&gt;="&amp;('_Dates'!Y464),INDEX(AllClosureRows,C464,0),"&lt;="&amp;('_Dates'!Z464)))))</ns0:f>
        <ns0:v>0</ns0:v>
      </ns0:c>
      <ns0:c r="H464" s="0">
        <ns0:f>IF(OR(F464&lt;&gt;"OK",$B$6&gt;0),0,0.5*(IF((MIN('_Dates'!X464,Settings!$B$9))&lt;('_Dates'!W464),0,INT(((MIN('_Dates'!X464,Settings!$B$9))-('_Dates'!W464)+1)/7)*LEN(SUBSTITUTE(W464,"O",""))+LEN(SUBSTITUTE(MID(W464&amp;W464,WEEKDAY(('_Dates'!W464),2),MOD(((MIN('_Dates'!X464,Settings!$B$9))-('_Dates'!W464)+1),7)),"O",""))-COUNTIFS(INDEX(AllClosureRows,C464,0),"&gt;="&amp;('_Dates'!W464),INDEX(AllClosureRows,C464,0),"&lt;="&amp;(MIN('_Dates'!X464,Settings!$B$9))))+IF((MIN('_Dates'!Z464,Settings!$B$9))&lt;('_Dates'!Y464),0,INT(((MIN('_Dates'!Z464,Settings!$B$9))-('_Dates'!Y464)+1)/7)*LEN(SUBSTITUTE(W464,"O",""))+LEN(SUBSTITUTE(MID(W464&amp;W464,WEEKDAY(('_Dates'!Y464),2),MOD(((MIN('_Dates'!Z464,Settings!$B$9))-('_Dates'!Y464)+1),7)),"O",""))-COUNTIFS(INDEX(AllClosureRows,C464,0),"&gt;="&amp;('_Dates'!Y464),INDEX(AllClosureRows,C464,0),"&lt;="&amp;(MIN('_Dates'!Z464,Settings!$B$9))))))</ns0:f>
        <ns0:v>0</ns0:v>
      </ns0:c>
      <ns0:c r="I464" s="0">
        <ns0:f>MAX(0,G464-H464)</ns0:f>
        <ns0:v>0</ns0:v>
      </ns0:c>
      <ns0:c r="J464" s="0">
        <ns0:f>IF(OR(A464=0,F464&lt;&gt;"OK",Bookings!G464="Cancelled",$B$6&gt;0),0,IF('_Dates'!AC464=1,MAX(0,COUNTIFS(rngEngine_B,B464,rngAMStart,"&lt;="&amp;'_Dates'!X464,rngAMEnd,"&gt;="&amp;'_Dates'!W464,rngAMActive,1,rngEngine_F,"OK",rngBookings_F,"&lt;&gt;Cancelled")-1),0)+IF('_Dates'!AD464=1,MAX(0,COUNTIFS(rngEngine_B,B464,rngPMStart,"&lt;="&amp;'_Dates'!Z464,rngPMEnd,"&gt;="&amp;'_Dates'!Y464,rngPMActive,1,rngEngine_F,"OK",rngBookings_F,"&lt;&gt;Cancelled")-1),0))</ns0:f>
        <ns0:v>0</ns0:v>
      </ns0:c>
      <ns0:c r="K464" s="0" t="str">
        <ns0:f>IF(A464=0,"",IF(F464&lt;&gt;"OK",F464,IF(J464&gt;0,"CHECK overlapping entry",IF(AND($B$6=0,G464&lt;=0,Bookings!G464&lt;&gt;"Cancelled"),"CHECK no working days",IF(Bookings!G464="Cancelled","Cancelled","OK")))))</ns0:f>
        <ns0:v/>
      </ns0:c>
      <ns0:c r="L464" s="0">
        <ns0:f>IF(LEFT(K464,5)="CHECK",1,0)</ns0:f>
        <ns0:v>0</ns0:v>
      </ns0:c>
      <ns0:c r="M464" s="0">
        <ns0:f>IF(AND(L464=1,OR(C464=0,IFERROR(INDEX($X$11:$X$60,C464),0)=0)),1,0)</ns0:f>
        <ns0:v>0</ns0:v>
      </ns0:c>
      <ns0:c r="N464" s="0">
        <ns0:f>IF(OR(A464=0,L464&gt;0,$B$6&gt;0,Bookings!G464="Cancelled"),0,G464)</ns0:f>
        <ns0:v>0</ns0:v>
      </ns0:c>
      <ns0:c r="O464" s="0">
        <ns0:f>IF(AND(Bookings!G464="Approved",E464="Yes"),N464,0)</ns0:f>
        <ns0:v>0</ns0:v>
      </ns0:c>
      <ns0:c r="P464" s="0">
        <ns0:f>IF(AND(Bookings!G464="Approved",E464="Yes",L464=0,$B$6=0),H464,0)</ns0:f>
        <ns0:v>0</ns0:v>
      </ns0:c>
      <ns0:c r="Q464" s="0">
        <ns0:f>IF(AND(Bookings!G464="Approved",E464="Yes",L464=0,$B$6=0),I464,0)</ns0:f>
        <ns0:v>0</ns0:v>
      </ns0:c>
      <ns0:c r="R464" s="0">
        <ns0:f>IF(AND(Bookings!G464="Pending",E464="Yes"),N464,0)</ns0:f>
        <ns0:v>0</ns0:v>
      </ns0:c>
      <ns0:c r="S464" s="0">
        <ns0:f>IF(AND(Bookings!G464="Approved",E464="No"),N464,0)</ns0:f>
        <ns0:v>0</ns0:v>
      </ns0:c>
      <ns0:c r="T464" s="0">
        <ns0:f>IFERROR(MATCH(D464,Settings!$G$7:$G$11,0),0)</ns0:f>
        <ns0:v>0</ns0:v>
      </ns0:c>
      <ns0:c r="U464" s="0">
        <ns0:f>IF(N464&gt;0,T464+IF(Bookings!G464="Pending",10,0),0)</ns0:f>
        <ns0:v>0</ns0:v>
      </ns0:c>
      <ns0:c r="V464" s="0">
        <ns0:f>U464</ns0:f>
        <ns0:v>0</ns0:v>
      </ns0:c>
      <ns0:c r="W464" s="0" t="str">
        <ns0:f>IF(C464=0,"",INDEX($AP$11:$AP$60,C464))</ns0:f>
        <ns0:v/>
      </ns0:c>
    </ns0:row>
    <ns0:row r="465">
      <ns0:c r="A465" s="0">
        <ns0:f>IF(COUNTA(Bookings!A465:G465,Bookings!I465)=0,0,1)</ns0:f>
        <ns0:v>0</ns0:v>
      </ns0:c>
      <ns0:c r="B465" s="0" t="str">
        <ns0:f>IFERROR(TRIM(MID(Bookings!A465,FIND(" · ",Bookings!A465)+3,99)),"")</ns0:f>
        <ns0:v/>
      </ns0:c>
      <ns0:c r="C465" s="0">
        <ns0:f>IF(OR(B465="",LEN(B465)&gt;24,ISNUMBER(FIND(" ",B465)),ISNUMBER(FIND("*",B465)),ISNUMBER(FIND("?",B465)),ISNUMBER(FIND("~",B465))),0,IFERROR(MATCH(B465,Team!$A$11:$A$60,0),0))</ns0:f>
        <ns0:v>0</ns0:v>
      </ns0:c>
      <ns0:c r="D465" s="0" t="str">
        <ns0:f>IFERROR(IF(MID(Bookings!F465,LEN(Bookings!F465)-3,3)=" · ",RIGHT(Bookings!F465,1),""),"")</ns0:f>
        <ns0:v/>
      </ns0:c>
      <ns0:c r="E465" s="0" t="str">
        <ns0:f>IFERROR(INDEX(Settings!$H$7:$H$11,MATCH(D465,Settings!$G$7:$G$11,0)),"")</ns0:f>
        <ns0:v/>
      </ns0:c>
      <ns0:c r="F465" s="0" t="str">
        <ns0:f>IF(A465=0,"",IFERROR(IF(OR(B465="",C465=0),"CHECK employee selection",IF(INDEX(Team!$O$11:$O$60,C465)&lt;&gt;"OK","CHECK employee setup",IF(OR('_Dates'!J465=0,'_Dates'!T465=0),"CHECK date: use DD.MM.YYYY",IF('_Dates'!T465&lt;'_Dates'!J465,"CHECK end before start",IF(AND($B$6=0,OR('_Dates'!J465&lt;Settings!$B$7,'_Dates'!T465&gt;Settings!$B$8)),"CHECK split across leave years",IF(OR(NOT(OR('_Dates'!U465="Full day",'_Dates'!U465="AM",'_Dates'!U465="PM")),NOT(OR('_Dates'!V465="Full day",'_Dates'!V465="AM",'_Dates'!V465="PM"))),"CHECK Full day / AM / PM",IF(AND('_Dates'!J465='_Dates'!T465,'_Dates'!U465&lt;&gt;"Full day",'_Dates'!V465&lt;&gt;"Full day",'_Dates'!U465&lt;&gt;'_Dates'!V465),"CHECK same-day portions disagree",IF(AND($B$6=0,OR(AND('_Dates'!U465&lt;&gt;"Full day",'_Dates'!AA465=0),AND('_Dates'!V465&lt;&gt;"Full day",'_Dates'!AB465=0))),"CHECK half-day on non-working date",IF(COUNTIF(Settings!$G$7:$G$11,D465)&lt;&gt;1,"CHECK leave type",IF(AND(Bookings!G465&lt;&gt;"Approved",Bookings!G465&lt;&gt;"Pending",Bookings!G465&lt;&gt;"Cancelled"),"CHECK status","OK")))))))))),"CHECK input"))</ns0:f>
        <ns0:v/>
      </ns0:c>
      <ns0:c r="G465" s="0">
        <ns0:f>IF(OR(F465&lt;&gt;"OK",$B$6&gt;0),0,0.5*(IF(('_Dates'!X465)&lt;('_Dates'!W465),0,INT((('_Dates'!X465)-('_Dates'!W465)+1)/7)*LEN(SUBSTITUTE(W465,"O",""))+LEN(SUBSTITUTE(MID(W465&amp;W465,WEEKDAY(('_Dates'!W465),2),MOD((('_Dates'!X465)-('_Dates'!W465)+1),7)),"O",""))-COUNTIFS(INDEX(AllClosureRows,C465,0),"&gt;="&amp;('_Dates'!W465),INDEX(AllClosureRows,C465,0),"&lt;="&amp;('_Dates'!X465)))+IF(('_Dates'!Z465)&lt;('_Dates'!Y465),0,INT((('_Dates'!Z465)-('_Dates'!Y465)+1)/7)*LEN(SUBSTITUTE(W465,"O",""))+LEN(SUBSTITUTE(MID(W465&amp;W465,WEEKDAY(('_Dates'!Y465),2),MOD((('_Dates'!Z465)-('_Dates'!Y465)+1),7)),"O",""))-COUNTIFS(INDEX(AllClosureRows,C465,0),"&gt;="&amp;('_Dates'!Y465),INDEX(AllClosureRows,C465,0),"&lt;="&amp;('_Dates'!Z465)))))</ns0:f>
        <ns0:v>0</ns0:v>
      </ns0:c>
      <ns0:c r="H465" s="0">
        <ns0:f>IF(OR(F465&lt;&gt;"OK",$B$6&gt;0),0,0.5*(IF((MIN('_Dates'!X465,Settings!$B$9))&lt;('_Dates'!W465),0,INT(((MIN('_Dates'!X465,Settings!$B$9))-('_Dates'!W465)+1)/7)*LEN(SUBSTITUTE(W465,"O",""))+LEN(SUBSTITUTE(MID(W465&amp;W465,WEEKDAY(('_Dates'!W465),2),MOD(((MIN('_Dates'!X465,Settings!$B$9))-('_Dates'!W465)+1),7)),"O",""))-COUNTIFS(INDEX(AllClosureRows,C465,0),"&gt;="&amp;('_Dates'!W465),INDEX(AllClosureRows,C465,0),"&lt;="&amp;(MIN('_Dates'!X465,Settings!$B$9))))+IF((MIN('_Dates'!Z465,Settings!$B$9))&lt;('_Dates'!Y465),0,INT(((MIN('_Dates'!Z465,Settings!$B$9))-('_Dates'!Y465)+1)/7)*LEN(SUBSTITUTE(W465,"O",""))+LEN(SUBSTITUTE(MID(W465&amp;W465,WEEKDAY(('_Dates'!Y465),2),MOD(((MIN('_Dates'!Z465,Settings!$B$9))-('_Dates'!Y465)+1),7)),"O",""))-COUNTIFS(INDEX(AllClosureRows,C465,0),"&gt;="&amp;('_Dates'!Y465),INDEX(AllClosureRows,C465,0),"&lt;="&amp;(MIN('_Dates'!Z465,Settings!$B$9))))))</ns0:f>
        <ns0:v>0</ns0:v>
      </ns0:c>
      <ns0:c r="I465" s="0">
        <ns0:f>MAX(0,G465-H465)</ns0:f>
        <ns0:v>0</ns0:v>
      </ns0:c>
      <ns0:c r="J465" s="0">
        <ns0:f>IF(OR(A465=0,F465&lt;&gt;"OK",Bookings!G465="Cancelled",$B$6&gt;0),0,IF('_Dates'!AC465=1,MAX(0,COUNTIFS(rngEngine_B,B465,rngAMStart,"&lt;="&amp;'_Dates'!X465,rngAMEnd,"&gt;="&amp;'_Dates'!W465,rngAMActive,1,rngEngine_F,"OK",rngBookings_F,"&lt;&gt;Cancelled")-1),0)+IF('_Dates'!AD465=1,MAX(0,COUNTIFS(rngEngine_B,B465,rngPMStart,"&lt;="&amp;'_Dates'!Z465,rngPMEnd,"&gt;="&amp;'_Dates'!Y465,rngPMActive,1,rngEngine_F,"OK",rngBookings_F,"&lt;&gt;Cancelled")-1),0))</ns0:f>
        <ns0:v>0</ns0:v>
      </ns0:c>
      <ns0:c r="K465" s="0" t="str">
        <ns0:f>IF(A465=0,"",IF(F465&lt;&gt;"OK",F465,IF(J465&gt;0,"CHECK overlapping entry",IF(AND($B$6=0,G465&lt;=0,Bookings!G465&lt;&gt;"Cancelled"),"CHECK no working days",IF(Bookings!G465="Cancelled","Cancelled","OK")))))</ns0:f>
        <ns0:v/>
      </ns0:c>
      <ns0:c r="L465" s="0">
        <ns0:f>IF(LEFT(K465,5)="CHECK",1,0)</ns0:f>
        <ns0:v>0</ns0:v>
      </ns0:c>
      <ns0:c r="M465" s="0">
        <ns0:f>IF(AND(L465=1,OR(C465=0,IFERROR(INDEX($X$11:$X$60,C465),0)=0)),1,0)</ns0:f>
        <ns0:v>0</ns0:v>
      </ns0:c>
      <ns0:c r="N465" s="0">
        <ns0:f>IF(OR(A465=0,L465&gt;0,$B$6&gt;0,Bookings!G465="Cancelled"),0,G465)</ns0:f>
        <ns0:v>0</ns0:v>
      </ns0:c>
      <ns0:c r="O465" s="0">
        <ns0:f>IF(AND(Bookings!G465="Approved",E465="Yes"),N465,0)</ns0:f>
        <ns0:v>0</ns0:v>
      </ns0:c>
      <ns0:c r="P465" s="0">
        <ns0:f>IF(AND(Bookings!G465="Approved",E465="Yes",L465=0,$B$6=0),H465,0)</ns0:f>
        <ns0:v>0</ns0:v>
      </ns0:c>
      <ns0:c r="Q465" s="0">
        <ns0:f>IF(AND(Bookings!G465="Approved",E465="Yes",L465=0,$B$6=0),I465,0)</ns0:f>
        <ns0:v>0</ns0:v>
      </ns0:c>
      <ns0:c r="R465" s="0">
        <ns0:f>IF(AND(Bookings!G465="Pending",E465="Yes"),N465,0)</ns0:f>
        <ns0:v>0</ns0:v>
      </ns0:c>
      <ns0:c r="S465" s="0">
        <ns0:f>IF(AND(Bookings!G465="Approved",E465="No"),N465,0)</ns0:f>
        <ns0:v>0</ns0:v>
      </ns0:c>
      <ns0:c r="T465" s="0">
        <ns0:f>IFERROR(MATCH(D465,Settings!$G$7:$G$11,0),0)</ns0:f>
        <ns0:v>0</ns0:v>
      </ns0:c>
      <ns0:c r="U465" s="0">
        <ns0:f>IF(N465&gt;0,T465+IF(Bookings!G465="Pending",10,0),0)</ns0:f>
        <ns0:v>0</ns0:v>
      </ns0:c>
      <ns0:c r="V465" s="0">
        <ns0:f>U465</ns0:f>
        <ns0:v>0</ns0:v>
      </ns0:c>
      <ns0:c r="W465" s="0" t="str">
        <ns0:f>IF(C465=0,"",INDEX($AP$11:$AP$60,C465))</ns0:f>
        <ns0:v/>
      </ns0:c>
    </ns0:row>
    <ns0:row r="466">
      <ns0:c r="A466" s="0">
        <ns0:f>IF(COUNTA(Bookings!A466:G466,Bookings!I466)=0,0,1)</ns0:f>
        <ns0:v>0</ns0:v>
      </ns0:c>
      <ns0:c r="B466" s="0" t="str">
        <ns0:f>IFERROR(TRIM(MID(Bookings!A466,FIND(" · ",Bookings!A466)+3,99)),"")</ns0:f>
        <ns0:v/>
      </ns0:c>
      <ns0:c r="C466" s="0">
        <ns0:f>IF(OR(B466="",LEN(B466)&gt;24,ISNUMBER(FIND(" ",B466)),ISNUMBER(FIND("*",B466)),ISNUMBER(FIND("?",B466)),ISNUMBER(FIND("~",B466))),0,IFERROR(MATCH(B466,Team!$A$11:$A$60,0),0))</ns0:f>
        <ns0:v>0</ns0:v>
      </ns0:c>
      <ns0:c r="D466" s="0" t="str">
        <ns0:f>IFERROR(IF(MID(Bookings!F466,LEN(Bookings!F466)-3,3)=" · ",RIGHT(Bookings!F466,1),""),"")</ns0:f>
        <ns0:v/>
      </ns0:c>
      <ns0:c r="E466" s="0" t="str">
        <ns0:f>IFERROR(INDEX(Settings!$H$7:$H$11,MATCH(D466,Settings!$G$7:$G$11,0)),"")</ns0:f>
        <ns0:v/>
      </ns0:c>
      <ns0:c r="F466" s="0" t="str">
        <ns0:f>IF(A466=0,"",IFERROR(IF(OR(B466="",C466=0),"CHECK employee selection",IF(INDEX(Team!$O$11:$O$60,C466)&lt;&gt;"OK","CHECK employee setup",IF(OR('_Dates'!J466=0,'_Dates'!T466=0),"CHECK date: use DD.MM.YYYY",IF('_Dates'!T466&lt;'_Dates'!J466,"CHECK end before start",IF(AND($B$6=0,OR('_Dates'!J466&lt;Settings!$B$7,'_Dates'!T466&gt;Settings!$B$8)),"CHECK split across leave years",IF(OR(NOT(OR('_Dates'!U466="Full day",'_Dates'!U466="AM",'_Dates'!U466="PM")),NOT(OR('_Dates'!V466="Full day",'_Dates'!V466="AM",'_Dates'!V466="PM"))),"CHECK Full day / AM / PM",IF(AND('_Dates'!J466='_Dates'!T466,'_Dates'!U466&lt;&gt;"Full day",'_Dates'!V466&lt;&gt;"Full day",'_Dates'!U466&lt;&gt;'_Dates'!V466),"CHECK same-day portions disagree",IF(AND($B$6=0,OR(AND('_Dates'!U466&lt;&gt;"Full day",'_Dates'!AA466=0),AND('_Dates'!V466&lt;&gt;"Full day",'_Dates'!AB466=0))),"CHECK half-day on non-working date",IF(COUNTIF(Settings!$G$7:$G$11,D466)&lt;&gt;1,"CHECK leave type",IF(AND(Bookings!G466&lt;&gt;"Approved",Bookings!G466&lt;&gt;"Pending",Bookings!G466&lt;&gt;"Cancelled"),"CHECK status","OK")))))))))),"CHECK input"))</ns0:f>
        <ns0:v/>
      </ns0:c>
      <ns0:c r="G466" s="0">
        <ns0:f>IF(OR(F466&lt;&gt;"OK",$B$6&gt;0),0,0.5*(IF(('_Dates'!X466)&lt;('_Dates'!W466),0,INT((('_Dates'!X466)-('_Dates'!W466)+1)/7)*LEN(SUBSTITUTE(W466,"O",""))+LEN(SUBSTITUTE(MID(W466&amp;W466,WEEKDAY(('_Dates'!W466),2),MOD((('_Dates'!X466)-('_Dates'!W466)+1),7)),"O",""))-COUNTIFS(INDEX(AllClosureRows,C466,0),"&gt;="&amp;('_Dates'!W466),INDEX(AllClosureRows,C466,0),"&lt;="&amp;('_Dates'!X466)))+IF(('_Dates'!Z466)&lt;('_Dates'!Y466),0,INT((('_Dates'!Z466)-('_Dates'!Y466)+1)/7)*LEN(SUBSTITUTE(W466,"O",""))+LEN(SUBSTITUTE(MID(W466&amp;W466,WEEKDAY(('_Dates'!Y466),2),MOD((('_Dates'!Z466)-('_Dates'!Y466)+1),7)),"O",""))-COUNTIFS(INDEX(AllClosureRows,C466,0),"&gt;="&amp;('_Dates'!Y466),INDEX(AllClosureRows,C466,0),"&lt;="&amp;('_Dates'!Z466)))))</ns0:f>
        <ns0:v>0</ns0:v>
      </ns0:c>
      <ns0:c r="H466" s="0">
        <ns0:f>IF(OR(F466&lt;&gt;"OK",$B$6&gt;0),0,0.5*(IF((MIN('_Dates'!X466,Settings!$B$9))&lt;('_Dates'!W466),0,INT(((MIN('_Dates'!X466,Settings!$B$9))-('_Dates'!W466)+1)/7)*LEN(SUBSTITUTE(W466,"O",""))+LEN(SUBSTITUTE(MID(W466&amp;W466,WEEKDAY(('_Dates'!W466),2),MOD(((MIN('_Dates'!X466,Settings!$B$9))-('_Dates'!W466)+1),7)),"O",""))-COUNTIFS(INDEX(AllClosureRows,C466,0),"&gt;="&amp;('_Dates'!W466),INDEX(AllClosureRows,C466,0),"&lt;="&amp;(MIN('_Dates'!X466,Settings!$B$9))))+IF((MIN('_Dates'!Z466,Settings!$B$9))&lt;('_Dates'!Y466),0,INT(((MIN('_Dates'!Z466,Settings!$B$9))-('_Dates'!Y466)+1)/7)*LEN(SUBSTITUTE(W466,"O",""))+LEN(SUBSTITUTE(MID(W466&amp;W466,WEEKDAY(('_Dates'!Y466),2),MOD(((MIN('_Dates'!Z466,Settings!$B$9))-('_Dates'!Y466)+1),7)),"O",""))-COUNTIFS(INDEX(AllClosureRows,C466,0),"&gt;="&amp;('_Dates'!Y466),INDEX(AllClosureRows,C466,0),"&lt;="&amp;(MIN('_Dates'!Z466,Settings!$B$9))))))</ns0:f>
        <ns0:v>0</ns0:v>
      </ns0:c>
      <ns0:c r="I466" s="0">
        <ns0:f>MAX(0,G466-H466)</ns0:f>
        <ns0:v>0</ns0:v>
      </ns0:c>
      <ns0:c r="J466" s="0">
        <ns0:f>IF(OR(A466=0,F466&lt;&gt;"OK",Bookings!G466="Cancelled",$B$6&gt;0),0,IF('_Dates'!AC466=1,MAX(0,COUNTIFS(rngEngine_B,B466,rngAMStart,"&lt;="&amp;'_Dates'!X466,rngAMEnd,"&gt;="&amp;'_Dates'!W466,rngAMActive,1,rngEngine_F,"OK",rngBookings_F,"&lt;&gt;Cancelled")-1),0)+IF('_Dates'!AD466=1,MAX(0,COUNTIFS(rngEngine_B,B466,rngPMStart,"&lt;="&amp;'_Dates'!Z466,rngPMEnd,"&gt;="&amp;'_Dates'!Y466,rngPMActive,1,rngEngine_F,"OK",rngBookings_F,"&lt;&gt;Cancelled")-1),0))</ns0:f>
        <ns0:v>0</ns0:v>
      </ns0:c>
      <ns0:c r="K466" s="0" t="str">
        <ns0:f>IF(A466=0,"",IF(F466&lt;&gt;"OK",F466,IF(J466&gt;0,"CHECK overlapping entry",IF(AND($B$6=0,G466&lt;=0,Bookings!G466&lt;&gt;"Cancelled"),"CHECK no working days",IF(Bookings!G466="Cancelled","Cancelled","OK")))))</ns0:f>
        <ns0:v/>
      </ns0:c>
      <ns0:c r="L466" s="0">
        <ns0:f>IF(LEFT(K466,5)="CHECK",1,0)</ns0:f>
        <ns0:v>0</ns0:v>
      </ns0:c>
      <ns0:c r="M466" s="0">
        <ns0:f>IF(AND(L466=1,OR(C466=0,IFERROR(INDEX($X$11:$X$60,C466),0)=0)),1,0)</ns0:f>
        <ns0:v>0</ns0:v>
      </ns0:c>
      <ns0:c r="N466" s="0">
        <ns0:f>IF(OR(A466=0,L466&gt;0,$B$6&gt;0,Bookings!G466="Cancelled"),0,G466)</ns0:f>
        <ns0:v>0</ns0:v>
      </ns0:c>
      <ns0:c r="O466" s="0">
        <ns0:f>IF(AND(Bookings!G466="Approved",E466="Yes"),N466,0)</ns0:f>
        <ns0:v>0</ns0:v>
      </ns0:c>
      <ns0:c r="P466" s="0">
        <ns0:f>IF(AND(Bookings!G466="Approved",E466="Yes",L466=0,$B$6=0),H466,0)</ns0:f>
        <ns0:v>0</ns0:v>
      </ns0:c>
      <ns0:c r="Q466" s="0">
        <ns0:f>IF(AND(Bookings!G466="Approved",E466="Yes",L466=0,$B$6=0),I466,0)</ns0:f>
        <ns0:v>0</ns0:v>
      </ns0:c>
      <ns0:c r="R466" s="0">
        <ns0:f>IF(AND(Bookings!G466="Pending",E466="Yes"),N466,0)</ns0:f>
        <ns0:v>0</ns0:v>
      </ns0:c>
      <ns0:c r="S466" s="0">
        <ns0:f>IF(AND(Bookings!G466="Approved",E466="No"),N466,0)</ns0:f>
        <ns0:v>0</ns0:v>
      </ns0:c>
      <ns0:c r="T466" s="0">
        <ns0:f>IFERROR(MATCH(D466,Settings!$G$7:$G$11,0),0)</ns0:f>
        <ns0:v>0</ns0:v>
      </ns0:c>
      <ns0:c r="U466" s="0">
        <ns0:f>IF(N466&gt;0,T466+IF(Bookings!G466="Pending",10,0),0)</ns0:f>
        <ns0:v>0</ns0:v>
      </ns0:c>
      <ns0:c r="V466" s="0">
        <ns0:f>U466</ns0:f>
        <ns0:v>0</ns0:v>
      </ns0:c>
      <ns0:c r="W466" s="0" t="str">
        <ns0:f>IF(C466=0,"",INDEX($AP$11:$AP$60,C466))</ns0:f>
        <ns0:v/>
      </ns0:c>
    </ns0:row>
    <ns0:row r="467">
      <ns0:c r="A467" s="0">
        <ns0:f>IF(COUNTA(Bookings!A467:G467,Bookings!I467)=0,0,1)</ns0:f>
        <ns0:v>0</ns0:v>
      </ns0:c>
      <ns0:c r="B467" s="0" t="str">
        <ns0:f>IFERROR(TRIM(MID(Bookings!A467,FIND(" · ",Bookings!A467)+3,99)),"")</ns0:f>
        <ns0:v/>
      </ns0:c>
      <ns0:c r="C467" s="0">
        <ns0:f>IF(OR(B467="",LEN(B467)&gt;24,ISNUMBER(FIND(" ",B467)),ISNUMBER(FIND("*",B467)),ISNUMBER(FIND("?",B467)),ISNUMBER(FIND("~",B467))),0,IFERROR(MATCH(B467,Team!$A$11:$A$60,0),0))</ns0:f>
        <ns0:v>0</ns0:v>
      </ns0:c>
      <ns0:c r="D467" s="0" t="str">
        <ns0:f>IFERROR(IF(MID(Bookings!F467,LEN(Bookings!F467)-3,3)=" · ",RIGHT(Bookings!F467,1),""),"")</ns0:f>
        <ns0:v/>
      </ns0:c>
      <ns0:c r="E467" s="0" t="str">
        <ns0:f>IFERROR(INDEX(Settings!$H$7:$H$11,MATCH(D467,Settings!$G$7:$G$11,0)),"")</ns0:f>
        <ns0:v/>
      </ns0:c>
      <ns0:c r="F467" s="0" t="str">
        <ns0:f>IF(A467=0,"",IFERROR(IF(OR(B467="",C467=0),"CHECK employee selection",IF(INDEX(Team!$O$11:$O$60,C467)&lt;&gt;"OK","CHECK employee setup",IF(OR('_Dates'!J467=0,'_Dates'!T467=0),"CHECK date: use DD.MM.YYYY",IF('_Dates'!T467&lt;'_Dates'!J467,"CHECK end before start",IF(AND($B$6=0,OR('_Dates'!J467&lt;Settings!$B$7,'_Dates'!T467&gt;Settings!$B$8)),"CHECK split across leave years",IF(OR(NOT(OR('_Dates'!U467="Full day",'_Dates'!U467="AM",'_Dates'!U467="PM")),NOT(OR('_Dates'!V467="Full day",'_Dates'!V467="AM",'_Dates'!V467="PM"))),"CHECK Full day / AM / PM",IF(AND('_Dates'!J467='_Dates'!T467,'_Dates'!U467&lt;&gt;"Full day",'_Dates'!V467&lt;&gt;"Full day",'_Dates'!U467&lt;&gt;'_Dates'!V467),"CHECK same-day portions disagree",IF(AND($B$6=0,OR(AND('_Dates'!U467&lt;&gt;"Full day",'_Dates'!AA467=0),AND('_Dates'!V467&lt;&gt;"Full day",'_Dates'!AB467=0))),"CHECK half-day on non-working date",IF(COUNTIF(Settings!$G$7:$G$11,D467)&lt;&gt;1,"CHECK leave type",IF(AND(Bookings!G467&lt;&gt;"Approved",Bookings!G467&lt;&gt;"Pending",Bookings!G467&lt;&gt;"Cancelled"),"CHECK status","OK")))))))))),"CHECK input"))</ns0:f>
        <ns0:v/>
      </ns0:c>
      <ns0:c r="G467" s="0">
        <ns0:f>IF(OR(F467&lt;&gt;"OK",$B$6&gt;0),0,0.5*(IF(('_Dates'!X467)&lt;('_Dates'!W467),0,INT((('_Dates'!X467)-('_Dates'!W467)+1)/7)*LEN(SUBSTITUTE(W467,"O",""))+LEN(SUBSTITUTE(MID(W467&amp;W467,WEEKDAY(('_Dates'!W467),2),MOD((('_Dates'!X467)-('_Dates'!W467)+1),7)),"O",""))-COUNTIFS(INDEX(AllClosureRows,C467,0),"&gt;="&amp;('_Dates'!W467),INDEX(AllClosureRows,C467,0),"&lt;="&amp;('_Dates'!X467)))+IF(('_Dates'!Z467)&lt;('_Dates'!Y467),0,INT((('_Dates'!Z467)-('_Dates'!Y467)+1)/7)*LEN(SUBSTITUTE(W467,"O",""))+LEN(SUBSTITUTE(MID(W467&amp;W467,WEEKDAY(('_Dates'!Y467),2),MOD((('_Dates'!Z467)-('_Dates'!Y467)+1),7)),"O",""))-COUNTIFS(INDEX(AllClosureRows,C467,0),"&gt;="&amp;('_Dates'!Y467),INDEX(AllClosureRows,C467,0),"&lt;="&amp;('_Dates'!Z467)))))</ns0:f>
        <ns0:v>0</ns0:v>
      </ns0:c>
      <ns0:c r="H467" s="0">
        <ns0:f>IF(OR(F467&lt;&gt;"OK",$B$6&gt;0),0,0.5*(IF((MIN('_Dates'!X467,Settings!$B$9))&lt;('_Dates'!W467),0,INT(((MIN('_Dates'!X467,Settings!$B$9))-('_Dates'!W467)+1)/7)*LEN(SUBSTITUTE(W467,"O",""))+LEN(SUBSTITUTE(MID(W467&amp;W467,WEEKDAY(('_Dates'!W467),2),MOD(((MIN('_Dates'!X467,Settings!$B$9))-('_Dates'!W467)+1),7)),"O",""))-COUNTIFS(INDEX(AllClosureRows,C467,0),"&gt;="&amp;('_Dates'!W467),INDEX(AllClosureRows,C467,0),"&lt;="&amp;(MIN('_Dates'!X467,Settings!$B$9))))+IF((MIN('_Dates'!Z467,Settings!$B$9))&lt;('_Dates'!Y467),0,INT(((MIN('_Dates'!Z467,Settings!$B$9))-('_Dates'!Y467)+1)/7)*LEN(SUBSTITUTE(W467,"O",""))+LEN(SUBSTITUTE(MID(W467&amp;W467,WEEKDAY(('_Dates'!Y467),2),MOD(((MIN('_Dates'!Z467,Settings!$B$9))-('_Dates'!Y467)+1),7)),"O",""))-COUNTIFS(INDEX(AllClosureRows,C467,0),"&gt;="&amp;('_Dates'!Y467),INDEX(AllClosureRows,C467,0),"&lt;="&amp;(MIN('_Dates'!Z467,Settings!$B$9))))))</ns0:f>
        <ns0:v>0</ns0:v>
      </ns0:c>
      <ns0:c r="I467" s="0">
        <ns0:f>MAX(0,G467-H467)</ns0:f>
        <ns0:v>0</ns0:v>
      </ns0:c>
      <ns0:c r="J467" s="0">
        <ns0:f>IF(OR(A467=0,F467&lt;&gt;"OK",Bookings!G467="Cancelled",$B$6&gt;0),0,IF('_Dates'!AC467=1,MAX(0,COUNTIFS(rngEngine_B,B467,rngAMStart,"&lt;="&amp;'_Dates'!X467,rngAMEnd,"&gt;="&amp;'_Dates'!W467,rngAMActive,1,rngEngine_F,"OK",rngBookings_F,"&lt;&gt;Cancelled")-1),0)+IF('_Dates'!AD467=1,MAX(0,COUNTIFS(rngEngine_B,B467,rngPMStart,"&lt;="&amp;'_Dates'!Z467,rngPMEnd,"&gt;="&amp;'_Dates'!Y467,rngPMActive,1,rngEngine_F,"OK",rngBookings_F,"&lt;&gt;Cancelled")-1),0))</ns0:f>
        <ns0:v>0</ns0:v>
      </ns0:c>
      <ns0:c r="K467" s="0" t="str">
        <ns0:f>IF(A467=0,"",IF(F467&lt;&gt;"OK",F467,IF(J467&gt;0,"CHECK overlapping entry",IF(AND($B$6=0,G467&lt;=0,Bookings!G467&lt;&gt;"Cancelled"),"CHECK no working days",IF(Bookings!G467="Cancelled","Cancelled","OK")))))</ns0:f>
        <ns0:v/>
      </ns0:c>
      <ns0:c r="L467" s="0">
        <ns0:f>IF(LEFT(K467,5)="CHECK",1,0)</ns0:f>
        <ns0:v>0</ns0:v>
      </ns0:c>
      <ns0:c r="M467" s="0">
        <ns0:f>IF(AND(L467=1,OR(C467=0,IFERROR(INDEX($X$11:$X$60,C467),0)=0)),1,0)</ns0:f>
        <ns0:v>0</ns0:v>
      </ns0:c>
      <ns0:c r="N467" s="0">
        <ns0:f>IF(OR(A467=0,L467&gt;0,$B$6&gt;0,Bookings!G467="Cancelled"),0,G467)</ns0:f>
        <ns0:v>0</ns0:v>
      </ns0:c>
      <ns0:c r="O467" s="0">
        <ns0:f>IF(AND(Bookings!G467="Approved",E467="Yes"),N467,0)</ns0:f>
        <ns0:v>0</ns0:v>
      </ns0:c>
      <ns0:c r="P467" s="0">
        <ns0:f>IF(AND(Bookings!G467="Approved",E467="Yes",L467=0,$B$6=0),H467,0)</ns0:f>
        <ns0:v>0</ns0:v>
      </ns0:c>
      <ns0:c r="Q467" s="0">
        <ns0:f>IF(AND(Bookings!G467="Approved",E467="Yes",L467=0,$B$6=0),I467,0)</ns0:f>
        <ns0:v>0</ns0:v>
      </ns0:c>
      <ns0:c r="R467" s="0">
        <ns0:f>IF(AND(Bookings!G467="Pending",E467="Yes"),N467,0)</ns0:f>
        <ns0:v>0</ns0:v>
      </ns0:c>
      <ns0:c r="S467" s="0">
        <ns0:f>IF(AND(Bookings!G467="Approved",E467="No"),N467,0)</ns0:f>
        <ns0:v>0</ns0:v>
      </ns0:c>
      <ns0:c r="T467" s="0">
        <ns0:f>IFERROR(MATCH(D467,Settings!$G$7:$G$11,0),0)</ns0:f>
        <ns0:v>0</ns0:v>
      </ns0:c>
      <ns0:c r="U467" s="0">
        <ns0:f>IF(N467&gt;0,T467+IF(Bookings!G467="Pending",10,0),0)</ns0:f>
        <ns0:v>0</ns0:v>
      </ns0:c>
      <ns0:c r="V467" s="0">
        <ns0:f>U467</ns0:f>
        <ns0:v>0</ns0:v>
      </ns0:c>
      <ns0:c r="W467" s="0" t="str">
        <ns0:f>IF(C467=0,"",INDEX($AP$11:$AP$60,C467))</ns0:f>
        <ns0:v/>
      </ns0:c>
    </ns0:row>
    <ns0:row r="468">
      <ns0:c r="A468" s="0">
        <ns0:f>IF(COUNTA(Bookings!A468:G468,Bookings!I468)=0,0,1)</ns0:f>
        <ns0:v>0</ns0:v>
      </ns0:c>
      <ns0:c r="B468" s="0" t="str">
        <ns0:f>IFERROR(TRIM(MID(Bookings!A468,FIND(" · ",Bookings!A468)+3,99)),"")</ns0:f>
        <ns0:v/>
      </ns0:c>
      <ns0:c r="C468" s="0">
        <ns0:f>IF(OR(B468="",LEN(B468)&gt;24,ISNUMBER(FIND(" ",B468)),ISNUMBER(FIND("*",B468)),ISNUMBER(FIND("?",B468)),ISNUMBER(FIND("~",B468))),0,IFERROR(MATCH(B468,Team!$A$11:$A$60,0),0))</ns0:f>
        <ns0:v>0</ns0:v>
      </ns0:c>
      <ns0:c r="D468" s="0" t="str">
        <ns0:f>IFERROR(IF(MID(Bookings!F468,LEN(Bookings!F468)-3,3)=" · ",RIGHT(Bookings!F468,1),""),"")</ns0:f>
        <ns0:v/>
      </ns0:c>
      <ns0:c r="E468" s="0" t="str">
        <ns0:f>IFERROR(INDEX(Settings!$H$7:$H$11,MATCH(D468,Settings!$G$7:$G$11,0)),"")</ns0:f>
        <ns0:v/>
      </ns0:c>
      <ns0:c r="F468" s="0" t="str">
        <ns0:f>IF(A468=0,"",IFERROR(IF(OR(B468="",C468=0),"CHECK employee selection",IF(INDEX(Team!$O$11:$O$60,C468)&lt;&gt;"OK","CHECK employee setup",IF(OR('_Dates'!J468=0,'_Dates'!T468=0),"CHECK date: use DD.MM.YYYY",IF('_Dates'!T468&lt;'_Dates'!J468,"CHECK end before start",IF(AND($B$6=0,OR('_Dates'!J468&lt;Settings!$B$7,'_Dates'!T468&gt;Settings!$B$8)),"CHECK split across leave years",IF(OR(NOT(OR('_Dates'!U468="Full day",'_Dates'!U468="AM",'_Dates'!U468="PM")),NOT(OR('_Dates'!V468="Full day",'_Dates'!V468="AM",'_Dates'!V468="PM"))),"CHECK Full day / AM / PM",IF(AND('_Dates'!J468='_Dates'!T468,'_Dates'!U468&lt;&gt;"Full day",'_Dates'!V468&lt;&gt;"Full day",'_Dates'!U468&lt;&gt;'_Dates'!V468),"CHECK same-day portions disagree",IF(AND($B$6=0,OR(AND('_Dates'!U468&lt;&gt;"Full day",'_Dates'!AA468=0),AND('_Dates'!V468&lt;&gt;"Full day",'_Dates'!AB468=0))),"CHECK half-day on non-working date",IF(COUNTIF(Settings!$G$7:$G$11,D468)&lt;&gt;1,"CHECK leave type",IF(AND(Bookings!G468&lt;&gt;"Approved",Bookings!G468&lt;&gt;"Pending",Bookings!G468&lt;&gt;"Cancelled"),"CHECK status","OK")))))))))),"CHECK input"))</ns0:f>
        <ns0:v/>
      </ns0:c>
      <ns0:c r="G468" s="0">
        <ns0:f>IF(OR(F468&lt;&gt;"OK",$B$6&gt;0),0,0.5*(IF(('_Dates'!X468)&lt;('_Dates'!W468),0,INT((('_Dates'!X468)-('_Dates'!W468)+1)/7)*LEN(SUBSTITUTE(W468,"O",""))+LEN(SUBSTITUTE(MID(W468&amp;W468,WEEKDAY(('_Dates'!W468),2),MOD((('_Dates'!X468)-('_Dates'!W468)+1),7)),"O",""))-COUNTIFS(INDEX(AllClosureRows,C468,0),"&gt;="&amp;('_Dates'!W468),INDEX(AllClosureRows,C468,0),"&lt;="&amp;('_Dates'!X468)))+IF(('_Dates'!Z468)&lt;('_Dates'!Y468),0,INT((('_Dates'!Z468)-('_Dates'!Y468)+1)/7)*LEN(SUBSTITUTE(W468,"O",""))+LEN(SUBSTITUTE(MID(W468&amp;W468,WEEKDAY(('_Dates'!Y468),2),MOD((('_Dates'!Z468)-('_Dates'!Y468)+1),7)),"O",""))-COUNTIFS(INDEX(AllClosureRows,C468,0),"&gt;="&amp;('_Dates'!Y468),INDEX(AllClosureRows,C468,0),"&lt;="&amp;('_Dates'!Z468)))))</ns0:f>
        <ns0:v>0</ns0:v>
      </ns0:c>
      <ns0:c r="H468" s="0">
        <ns0:f>IF(OR(F468&lt;&gt;"OK",$B$6&gt;0),0,0.5*(IF((MIN('_Dates'!X468,Settings!$B$9))&lt;('_Dates'!W468),0,INT(((MIN('_Dates'!X468,Settings!$B$9))-('_Dates'!W468)+1)/7)*LEN(SUBSTITUTE(W468,"O",""))+LEN(SUBSTITUTE(MID(W468&amp;W468,WEEKDAY(('_Dates'!W468),2),MOD(((MIN('_Dates'!X468,Settings!$B$9))-('_Dates'!W468)+1),7)),"O",""))-COUNTIFS(INDEX(AllClosureRows,C468,0),"&gt;="&amp;('_Dates'!W468),INDEX(AllClosureRows,C468,0),"&lt;="&amp;(MIN('_Dates'!X468,Settings!$B$9))))+IF((MIN('_Dates'!Z468,Settings!$B$9))&lt;('_Dates'!Y468),0,INT(((MIN('_Dates'!Z468,Settings!$B$9))-('_Dates'!Y468)+1)/7)*LEN(SUBSTITUTE(W468,"O",""))+LEN(SUBSTITUTE(MID(W468&amp;W468,WEEKDAY(('_Dates'!Y468),2),MOD(((MIN('_Dates'!Z468,Settings!$B$9))-('_Dates'!Y468)+1),7)),"O",""))-COUNTIFS(INDEX(AllClosureRows,C468,0),"&gt;="&amp;('_Dates'!Y468),INDEX(AllClosureRows,C468,0),"&lt;="&amp;(MIN('_Dates'!Z468,Settings!$B$9))))))</ns0:f>
        <ns0:v>0</ns0:v>
      </ns0:c>
      <ns0:c r="I468" s="0">
        <ns0:f>MAX(0,G468-H468)</ns0:f>
        <ns0:v>0</ns0:v>
      </ns0:c>
      <ns0:c r="J468" s="0">
        <ns0:f>IF(OR(A468=0,F468&lt;&gt;"OK",Bookings!G468="Cancelled",$B$6&gt;0),0,IF('_Dates'!AC468=1,MAX(0,COUNTIFS(rngEngine_B,B468,rngAMStart,"&lt;="&amp;'_Dates'!X468,rngAMEnd,"&gt;="&amp;'_Dates'!W468,rngAMActive,1,rngEngine_F,"OK",rngBookings_F,"&lt;&gt;Cancelled")-1),0)+IF('_Dates'!AD468=1,MAX(0,COUNTIFS(rngEngine_B,B468,rngPMStart,"&lt;="&amp;'_Dates'!Z468,rngPMEnd,"&gt;="&amp;'_Dates'!Y468,rngPMActive,1,rngEngine_F,"OK",rngBookings_F,"&lt;&gt;Cancelled")-1),0))</ns0:f>
        <ns0:v>0</ns0:v>
      </ns0:c>
      <ns0:c r="K468" s="0" t="str">
        <ns0:f>IF(A468=0,"",IF(F468&lt;&gt;"OK",F468,IF(J468&gt;0,"CHECK overlapping entry",IF(AND($B$6=0,G468&lt;=0,Bookings!G468&lt;&gt;"Cancelled"),"CHECK no working days",IF(Bookings!G468="Cancelled","Cancelled","OK")))))</ns0:f>
        <ns0:v/>
      </ns0:c>
      <ns0:c r="L468" s="0">
        <ns0:f>IF(LEFT(K468,5)="CHECK",1,0)</ns0:f>
        <ns0:v>0</ns0:v>
      </ns0:c>
      <ns0:c r="M468" s="0">
        <ns0:f>IF(AND(L468=1,OR(C468=0,IFERROR(INDEX($X$11:$X$60,C468),0)=0)),1,0)</ns0:f>
        <ns0:v>0</ns0:v>
      </ns0:c>
      <ns0:c r="N468" s="0">
        <ns0:f>IF(OR(A468=0,L468&gt;0,$B$6&gt;0,Bookings!G468="Cancelled"),0,G468)</ns0:f>
        <ns0:v>0</ns0:v>
      </ns0:c>
      <ns0:c r="O468" s="0">
        <ns0:f>IF(AND(Bookings!G468="Approved",E468="Yes"),N468,0)</ns0:f>
        <ns0:v>0</ns0:v>
      </ns0:c>
      <ns0:c r="P468" s="0">
        <ns0:f>IF(AND(Bookings!G468="Approved",E468="Yes",L468=0,$B$6=0),H468,0)</ns0:f>
        <ns0:v>0</ns0:v>
      </ns0:c>
      <ns0:c r="Q468" s="0">
        <ns0:f>IF(AND(Bookings!G468="Approved",E468="Yes",L468=0,$B$6=0),I468,0)</ns0:f>
        <ns0:v>0</ns0:v>
      </ns0:c>
      <ns0:c r="R468" s="0">
        <ns0:f>IF(AND(Bookings!G468="Pending",E468="Yes"),N468,0)</ns0:f>
        <ns0:v>0</ns0:v>
      </ns0:c>
      <ns0:c r="S468" s="0">
        <ns0:f>IF(AND(Bookings!G468="Approved",E468="No"),N468,0)</ns0:f>
        <ns0:v>0</ns0:v>
      </ns0:c>
      <ns0:c r="T468" s="0">
        <ns0:f>IFERROR(MATCH(D468,Settings!$G$7:$G$11,0),0)</ns0:f>
        <ns0:v>0</ns0:v>
      </ns0:c>
      <ns0:c r="U468" s="0">
        <ns0:f>IF(N468&gt;0,T468+IF(Bookings!G468="Pending",10,0),0)</ns0:f>
        <ns0:v>0</ns0:v>
      </ns0:c>
      <ns0:c r="V468" s="0">
        <ns0:f>U468</ns0:f>
        <ns0:v>0</ns0:v>
      </ns0:c>
      <ns0:c r="W468" s="0" t="str">
        <ns0:f>IF(C468=0,"",INDEX($AP$11:$AP$60,C468))</ns0:f>
        <ns0:v/>
      </ns0:c>
    </ns0:row>
    <ns0:row r="469">
      <ns0:c r="A469" s="0">
        <ns0:f>IF(COUNTA(Bookings!A469:G469,Bookings!I469)=0,0,1)</ns0:f>
        <ns0:v>0</ns0:v>
      </ns0:c>
      <ns0:c r="B469" s="0" t="str">
        <ns0:f>IFERROR(TRIM(MID(Bookings!A469,FIND(" · ",Bookings!A469)+3,99)),"")</ns0:f>
        <ns0:v/>
      </ns0:c>
      <ns0:c r="C469" s="0">
        <ns0:f>IF(OR(B469="",LEN(B469)&gt;24,ISNUMBER(FIND(" ",B469)),ISNUMBER(FIND("*",B469)),ISNUMBER(FIND("?",B469)),ISNUMBER(FIND("~",B469))),0,IFERROR(MATCH(B469,Team!$A$11:$A$60,0),0))</ns0:f>
        <ns0:v>0</ns0:v>
      </ns0:c>
      <ns0:c r="D469" s="0" t="str">
        <ns0:f>IFERROR(IF(MID(Bookings!F469,LEN(Bookings!F469)-3,3)=" · ",RIGHT(Bookings!F469,1),""),"")</ns0:f>
        <ns0:v/>
      </ns0:c>
      <ns0:c r="E469" s="0" t="str">
        <ns0:f>IFERROR(INDEX(Settings!$H$7:$H$11,MATCH(D469,Settings!$G$7:$G$11,0)),"")</ns0:f>
        <ns0:v/>
      </ns0:c>
      <ns0:c r="F469" s="0" t="str">
        <ns0:f>IF(A469=0,"",IFERROR(IF(OR(B469="",C469=0),"CHECK employee selection",IF(INDEX(Team!$O$11:$O$60,C469)&lt;&gt;"OK","CHECK employee setup",IF(OR('_Dates'!J469=0,'_Dates'!T469=0),"CHECK date: use DD.MM.YYYY",IF('_Dates'!T469&lt;'_Dates'!J469,"CHECK end before start",IF(AND($B$6=0,OR('_Dates'!J469&lt;Settings!$B$7,'_Dates'!T469&gt;Settings!$B$8)),"CHECK split across leave years",IF(OR(NOT(OR('_Dates'!U469="Full day",'_Dates'!U469="AM",'_Dates'!U469="PM")),NOT(OR('_Dates'!V469="Full day",'_Dates'!V469="AM",'_Dates'!V469="PM"))),"CHECK Full day / AM / PM",IF(AND('_Dates'!J469='_Dates'!T469,'_Dates'!U469&lt;&gt;"Full day",'_Dates'!V469&lt;&gt;"Full day",'_Dates'!U469&lt;&gt;'_Dates'!V469),"CHECK same-day portions disagree",IF(AND($B$6=0,OR(AND('_Dates'!U469&lt;&gt;"Full day",'_Dates'!AA469=0),AND('_Dates'!V469&lt;&gt;"Full day",'_Dates'!AB469=0))),"CHECK half-day on non-working date",IF(COUNTIF(Settings!$G$7:$G$11,D469)&lt;&gt;1,"CHECK leave type",IF(AND(Bookings!G469&lt;&gt;"Approved",Bookings!G469&lt;&gt;"Pending",Bookings!G469&lt;&gt;"Cancelled"),"CHECK status","OK")))))))))),"CHECK input"))</ns0:f>
        <ns0:v/>
      </ns0:c>
      <ns0:c r="G469" s="0">
        <ns0:f>IF(OR(F469&lt;&gt;"OK",$B$6&gt;0),0,0.5*(IF(('_Dates'!X469)&lt;('_Dates'!W469),0,INT((('_Dates'!X469)-('_Dates'!W469)+1)/7)*LEN(SUBSTITUTE(W469,"O",""))+LEN(SUBSTITUTE(MID(W469&amp;W469,WEEKDAY(('_Dates'!W469),2),MOD((('_Dates'!X469)-('_Dates'!W469)+1),7)),"O",""))-COUNTIFS(INDEX(AllClosureRows,C469,0),"&gt;="&amp;('_Dates'!W469),INDEX(AllClosureRows,C469,0),"&lt;="&amp;('_Dates'!X469)))+IF(('_Dates'!Z469)&lt;('_Dates'!Y469),0,INT((('_Dates'!Z469)-('_Dates'!Y469)+1)/7)*LEN(SUBSTITUTE(W469,"O",""))+LEN(SUBSTITUTE(MID(W469&amp;W469,WEEKDAY(('_Dates'!Y469),2),MOD((('_Dates'!Z469)-('_Dates'!Y469)+1),7)),"O",""))-COUNTIFS(INDEX(AllClosureRows,C469,0),"&gt;="&amp;('_Dates'!Y469),INDEX(AllClosureRows,C469,0),"&lt;="&amp;('_Dates'!Z469)))))</ns0:f>
        <ns0:v>0</ns0:v>
      </ns0:c>
      <ns0:c r="H469" s="0">
        <ns0:f>IF(OR(F469&lt;&gt;"OK",$B$6&gt;0),0,0.5*(IF((MIN('_Dates'!X469,Settings!$B$9))&lt;('_Dates'!W469),0,INT(((MIN('_Dates'!X469,Settings!$B$9))-('_Dates'!W469)+1)/7)*LEN(SUBSTITUTE(W469,"O",""))+LEN(SUBSTITUTE(MID(W469&amp;W469,WEEKDAY(('_Dates'!W469),2),MOD(((MIN('_Dates'!X469,Settings!$B$9))-('_Dates'!W469)+1),7)),"O",""))-COUNTIFS(INDEX(AllClosureRows,C469,0),"&gt;="&amp;('_Dates'!W469),INDEX(AllClosureRows,C469,0),"&lt;="&amp;(MIN('_Dates'!X469,Settings!$B$9))))+IF((MIN('_Dates'!Z469,Settings!$B$9))&lt;('_Dates'!Y469),0,INT(((MIN('_Dates'!Z469,Settings!$B$9))-('_Dates'!Y469)+1)/7)*LEN(SUBSTITUTE(W469,"O",""))+LEN(SUBSTITUTE(MID(W469&amp;W469,WEEKDAY(('_Dates'!Y469),2),MOD(((MIN('_Dates'!Z469,Settings!$B$9))-('_Dates'!Y469)+1),7)),"O",""))-COUNTIFS(INDEX(AllClosureRows,C469,0),"&gt;="&amp;('_Dates'!Y469),INDEX(AllClosureRows,C469,0),"&lt;="&amp;(MIN('_Dates'!Z469,Settings!$B$9))))))</ns0:f>
        <ns0:v>0</ns0:v>
      </ns0:c>
      <ns0:c r="I469" s="0">
        <ns0:f>MAX(0,G469-H469)</ns0:f>
        <ns0:v>0</ns0:v>
      </ns0:c>
      <ns0:c r="J469" s="0">
        <ns0:f>IF(OR(A469=0,F469&lt;&gt;"OK",Bookings!G469="Cancelled",$B$6&gt;0),0,IF('_Dates'!AC469=1,MAX(0,COUNTIFS(rngEngine_B,B469,rngAMStart,"&lt;="&amp;'_Dates'!X469,rngAMEnd,"&gt;="&amp;'_Dates'!W469,rngAMActive,1,rngEngine_F,"OK",rngBookings_F,"&lt;&gt;Cancelled")-1),0)+IF('_Dates'!AD469=1,MAX(0,COUNTIFS(rngEngine_B,B469,rngPMStart,"&lt;="&amp;'_Dates'!Z469,rngPMEnd,"&gt;="&amp;'_Dates'!Y469,rngPMActive,1,rngEngine_F,"OK",rngBookings_F,"&lt;&gt;Cancelled")-1),0))</ns0:f>
        <ns0:v>0</ns0:v>
      </ns0:c>
      <ns0:c r="K469" s="0" t="str">
        <ns0:f>IF(A469=0,"",IF(F469&lt;&gt;"OK",F469,IF(J469&gt;0,"CHECK overlapping entry",IF(AND($B$6=0,G469&lt;=0,Bookings!G469&lt;&gt;"Cancelled"),"CHECK no working days",IF(Bookings!G469="Cancelled","Cancelled","OK")))))</ns0:f>
        <ns0:v/>
      </ns0:c>
      <ns0:c r="L469" s="0">
        <ns0:f>IF(LEFT(K469,5)="CHECK",1,0)</ns0:f>
        <ns0:v>0</ns0:v>
      </ns0:c>
      <ns0:c r="M469" s="0">
        <ns0:f>IF(AND(L469=1,OR(C469=0,IFERROR(INDEX($X$11:$X$60,C469),0)=0)),1,0)</ns0:f>
        <ns0:v>0</ns0:v>
      </ns0:c>
      <ns0:c r="N469" s="0">
        <ns0:f>IF(OR(A469=0,L469&gt;0,$B$6&gt;0,Bookings!G469="Cancelled"),0,G469)</ns0:f>
        <ns0:v>0</ns0:v>
      </ns0:c>
      <ns0:c r="O469" s="0">
        <ns0:f>IF(AND(Bookings!G469="Approved",E469="Yes"),N469,0)</ns0:f>
        <ns0:v>0</ns0:v>
      </ns0:c>
      <ns0:c r="P469" s="0">
        <ns0:f>IF(AND(Bookings!G469="Approved",E469="Yes",L469=0,$B$6=0),H469,0)</ns0:f>
        <ns0:v>0</ns0:v>
      </ns0:c>
      <ns0:c r="Q469" s="0">
        <ns0:f>IF(AND(Bookings!G469="Approved",E469="Yes",L469=0,$B$6=0),I469,0)</ns0:f>
        <ns0:v>0</ns0:v>
      </ns0:c>
      <ns0:c r="R469" s="0">
        <ns0:f>IF(AND(Bookings!G469="Pending",E469="Yes"),N469,0)</ns0:f>
        <ns0:v>0</ns0:v>
      </ns0:c>
      <ns0:c r="S469" s="0">
        <ns0:f>IF(AND(Bookings!G469="Approved",E469="No"),N469,0)</ns0:f>
        <ns0:v>0</ns0:v>
      </ns0:c>
      <ns0:c r="T469" s="0">
        <ns0:f>IFERROR(MATCH(D469,Settings!$G$7:$G$11,0),0)</ns0:f>
        <ns0:v>0</ns0:v>
      </ns0:c>
      <ns0:c r="U469" s="0">
        <ns0:f>IF(N469&gt;0,T469+IF(Bookings!G469="Pending",10,0),0)</ns0:f>
        <ns0:v>0</ns0:v>
      </ns0:c>
      <ns0:c r="V469" s="0">
        <ns0:f>U469</ns0:f>
        <ns0:v>0</ns0:v>
      </ns0:c>
      <ns0:c r="W469" s="0" t="str">
        <ns0:f>IF(C469=0,"",INDEX($AP$11:$AP$60,C469))</ns0:f>
        <ns0:v/>
      </ns0:c>
    </ns0:row>
    <ns0:row r="470">
      <ns0:c r="A470" s="0">
        <ns0:f>IF(COUNTA(Bookings!A470:G470,Bookings!I470)=0,0,1)</ns0:f>
        <ns0:v>0</ns0:v>
      </ns0:c>
      <ns0:c r="B470" s="0" t="str">
        <ns0:f>IFERROR(TRIM(MID(Bookings!A470,FIND(" · ",Bookings!A470)+3,99)),"")</ns0:f>
        <ns0:v/>
      </ns0:c>
      <ns0:c r="C470" s="0">
        <ns0:f>IF(OR(B470="",LEN(B470)&gt;24,ISNUMBER(FIND(" ",B470)),ISNUMBER(FIND("*",B470)),ISNUMBER(FIND("?",B470)),ISNUMBER(FIND("~",B470))),0,IFERROR(MATCH(B470,Team!$A$11:$A$60,0),0))</ns0:f>
        <ns0:v>0</ns0:v>
      </ns0:c>
      <ns0:c r="D470" s="0" t="str">
        <ns0:f>IFERROR(IF(MID(Bookings!F470,LEN(Bookings!F470)-3,3)=" · ",RIGHT(Bookings!F470,1),""),"")</ns0:f>
        <ns0:v/>
      </ns0:c>
      <ns0:c r="E470" s="0" t="str">
        <ns0:f>IFERROR(INDEX(Settings!$H$7:$H$11,MATCH(D470,Settings!$G$7:$G$11,0)),"")</ns0:f>
        <ns0:v/>
      </ns0:c>
      <ns0:c r="F470" s="0" t="str">
        <ns0:f>IF(A470=0,"",IFERROR(IF(OR(B470="",C470=0),"CHECK employee selection",IF(INDEX(Team!$O$11:$O$60,C470)&lt;&gt;"OK","CHECK employee setup",IF(OR('_Dates'!J470=0,'_Dates'!T470=0),"CHECK date: use DD.MM.YYYY",IF('_Dates'!T470&lt;'_Dates'!J470,"CHECK end before start",IF(AND($B$6=0,OR('_Dates'!J470&lt;Settings!$B$7,'_Dates'!T470&gt;Settings!$B$8)),"CHECK split across leave years",IF(OR(NOT(OR('_Dates'!U470="Full day",'_Dates'!U470="AM",'_Dates'!U470="PM")),NOT(OR('_Dates'!V470="Full day",'_Dates'!V470="AM",'_Dates'!V470="PM"))),"CHECK Full day / AM / PM",IF(AND('_Dates'!J470='_Dates'!T470,'_Dates'!U470&lt;&gt;"Full day",'_Dates'!V470&lt;&gt;"Full day",'_Dates'!U470&lt;&gt;'_Dates'!V470),"CHECK same-day portions disagree",IF(AND($B$6=0,OR(AND('_Dates'!U470&lt;&gt;"Full day",'_Dates'!AA470=0),AND('_Dates'!V470&lt;&gt;"Full day",'_Dates'!AB470=0))),"CHECK half-day on non-working date",IF(COUNTIF(Settings!$G$7:$G$11,D470)&lt;&gt;1,"CHECK leave type",IF(AND(Bookings!G470&lt;&gt;"Approved",Bookings!G470&lt;&gt;"Pending",Bookings!G470&lt;&gt;"Cancelled"),"CHECK status","OK")))))))))),"CHECK input"))</ns0:f>
        <ns0:v/>
      </ns0:c>
      <ns0:c r="G470" s="0">
        <ns0:f>IF(OR(F470&lt;&gt;"OK",$B$6&gt;0),0,0.5*(IF(('_Dates'!X470)&lt;('_Dates'!W470),0,INT((('_Dates'!X470)-('_Dates'!W470)+1)/7)*LEN(SUBSTITUTE(W470,"O",""))+LEN(SUBSTITUTE(MID(W470&amp;W470,WEEKDAY(('_Dates'!W470),2),MOD((('_Dates'!X470)-('_Dates'!W470)+1),7)),"O",""))-COUNTIFS(INDEX(AllClosureRows,C470,0),"&gt;="&amp;('_Dates'!W470),INDEX(AllClosureRows,C470,0),"&lt;="&amp;('_Dates'!X470)))+IF(('_Dates'!Z470)&lt;('_Dates'!Y470),0,INT((('_Dates'!Z470)-('_Dates'!Y470)+1)/7)*LEN(SUBSTITUTE(W470,"O",""))+LEN(SUBSTITUTE(MID(W470&amp;W470,WEEKDAY(('_Dates'!Y470),2),MOD((('_Dates'!Z470)-('_Dates'!Y470)+1),7)),"O",""))-COUNTIFS(INDEX(AllClosureRows,C470,0),"&gt;="&amp;('_Dates'!Y470),INDEX(AllClosureRows,C470,0),"&lt;="&amp;('_Dates'!Z470)))))</ns0:f>
        <ns0:v>0</ns0:v>
      </ns0:c>
      <ns0:c r="H470" s="0">
        <ns0:f>IF(OR(F470&lt;&gt;"OK",$B$6&gt;0),0,0.5*(IF((MIN('_Dates'!X470,Settings!$B$9))&lt;('_Dates'!W470),0,INT(((MIN('_Dates'!X470,Settings!$B$9))-('_Dates'!W470)+1)/7)*LEN(SUBSTITUTE(W470,"O",""))+LEN(SUBSTITUTE(MID(W470&amp;W470,WEEKDAY(('_Dates'!W470),2),MOD(((MIN('_Dates'!X470,Settings!$B$9))-('_Dates'!W470)+1),7)),"O",""))-COUNTIFS(INDEX(AllClosureRows,C470,0),"&gt;="&amp;('_Dates'!W470),INDEX(AllClosureRows,C470,0),"&lt;="&amp;(MIN('_Dates'!X470,Settings!$B$9))))+IF((MIN('_Dates'!Z470,Settings!$B$9))&lt;('_Dates'!Y470),0,INT(((MIN('_Dates'!Z470,Settings!$B$9))-('_Dates'!Y470)+1)/7)*LEN(SUBSTITUTE(W470,"O",""))+LEN(SUBSTITUTE(MID(W470&amp;W470,WEEKDAY(('_Dates'!Y470),2),MOD(((MIN('_Dates'!Z470,Settings!$B$9))-('_Dates'!Y470)+1),7)),"O",""))-COUNTIFS(INDEX(AllClosureRows,C470,0),"&gt;="&amp;('_Dates'!Y470),INDEX(AllClosureRows,C470,0),"&lt;="&amp;(MIN('_Dates'!Z470,Settings!$B$9))))))</ns0:f>
        <ns0:v>0</ns0:v>
      </ns0:c>
      <ns0:c r="I470" s="0">
        <ns0:f>MAX(0,G470-H470)</ns0:f>
        <ns0:v>0</ns0:v>
      </ns0:c>
      <ns0:c r="J470" s="0">
        <ns0:f>IF(OR(A470=0,F470&lt;&gt;"OK",Bookings!G470="Cancelled",$B$6&gt;0),0,IF('_Dates'!AC470=1,MAX(0,COUNTIFS(rngEngine_B,B470,rngAMStart,"&lt;="&amp;'_Dates'!X470,rngAMEnd,"&gt;="&amp;'_Dates'!W470,rngAMActive,1,rngEngine_F,"OK",rngBookings_F,"&lt;&gt;Cancelled")-1),0)+IF('_Dates'!AD470=1,MAX(0,COUNTIFS(rngEngine_B,B470,rngPMStart,"&lt;="&amp;'_Dates'!Z470,rngPMEnd,"&gt;="&amp;'_Dates'!Y470,rngPMActive,1,rngEngine_F,"OK",rngBookings_F,"&lt;&gt;Cancelled")-1),0))</ns0:f>
        <ns0:v>0</ns0:v>
      </ns0:c>
      <ns0:c r="K470" s="0" t="str">
        <ns0:f>IF(A470=0,"",IF(F470&lt;&gt;"OK",F470,IF(J470&gt;0,"CHECK overlapping entry",IF(AND($B$6=0,G470&lt;=0,Bookings!G470&lt;&gt;"Cancelled"),"CHECK no working days",IF(Bookings!G470="Cancelled","Cancelled","OK")))))</ns0:f>
        <ns0:v/>
      </ns0:c>
      <ns0:c r="L470" s="0">
        <ns0:f>IF(LEFT(K470,5)="CHECK",1,0)</ns0:f>
        <ns0:v>0</ns0:v>
      </ns0:c>
      <ns0:c r="M470" s="0">
        <ns0:f>IF(AND(L470=1,OR(C470=0,IFERROR(INDEX($X$11:$X$60,C470),0)=0)),1,0)</ns0:f>
        <ns0:v>0</ns0:v>
      </ns0:c>
      <ns0:c r="N470" s="0">
        <ns0:f>IF(OR(A470=0,L470&gt;0,$B$6&gt;0,Bookings!G470="Cancelled"),0,G470)</ns0:f>
        <ns0:v>0</ns0:v>
      </ns0:c>
      <ns0:c r="O470" s="0">
        <ns0:f>IF(AND(Bookings!G470="Approved",E470="Yes"),N470,0)</ns0:f>
        <ns0:v>0</ns0:v>
      </ns0:c>
      <ns0:c r="P470" s="0">
        <ns0:f>IF(AND(Bookings!G470="Approved",E470="Yes",L470=0,$B$6=0),H470,0)</ns0:f>
        <ns0:v>0</ns0:v>
      </ns0:c>
      <ns0:c r="Q470" s="0">
        <ns0:f>IF(AND(Bookings!G470="Approved",E470="Yes",L470=0,$B$6=0),I470,0)</ns0:f>
        <ns0:v>0</ns0:v>
      </ns0:c>
      <ns0:c r="R470" s="0">
        <ns0:f>IF(AND(Bookings!G470="Pending",E470="Yes"),N470,0)</ns0:f>
        <ns0:v>0</ns0:v>
      </ns0:c>
      <ns0:c r="S470" s="0">
        <ns0:f>IF(AND(Bookings!G470="Approved",E470="No"),N470,0)</ns0:f>
        <ns0:v>0</ns0:v>
      </ns0:c>
      <ns0:c r="T470" s="0">
        <ns0:f>IFERROR(MATCH(D470,Settings!$G$7:$G$11,0),0)</ns0:f>
        <ns0:v>0</ns0:v>
      </ns0:c>
      <ns0:c r="U470" s="0">
        <ns0:f>IF(N470&gt;0,T470+IF(Bookings!G470="Pending",10,0),0)</ns0:f>
        <ns0:v>0</ns0:v>
      </ns0:c>
      <ns0:c r="V470" s="0">
        <ns0:f>U470</ns0:f>
        <ns0:v>0</ns0:v>
      </ns0:c>
      <ns0:c r="W470" s="0" t="str">
        <ns0:f>IF(C470=0,"",INDEX($AP$11:$AP$60,C470))</ns0:f>
        <ns0:v/>
      </ns0:c>
    </ns0:row>
    <ns0:row r="471">
      <ns0:c r="A471" s="0">
        <ns0:f>IF(COUNTA(Bookings!A471:G471,Bookings!I471)=0,0,1)</ns0:f>
        <ns0:v>0</ns0:v>
      </ns0:c>
      <ns0:c r="B471" s="0" t="str">
        <ns0:f>IFERROR(TRIM(MID(Bookings!A471,FIND(" · ",Bookings!A471)+3,99)),"")</ns0:f>
        <ns0:v/>
      </ns0:c>
      <ns0:c r="C471" s="0">
        <ns0:f>IF(OR(B471="",LEN(B471)&gt;24,ISNUMBER(FIND(" ",B471)),ISNUMBER(FIND("*",B471)),ISNUMBER(FIND("?",B471)),ISNUMBER(FIND("~",B471))),0,IFERROR(MATCH(B471,Team!$A$11:$A$60,0),0))</ns0:f>
        <ns0:v>0</ns0:v>
      </ns0:c>
      <ns0:c r="D471" s="0" t="str">
        <ns0:f>IFERROR(IF(MID(Bookings!F471,LEN(Bookings!F471)-3,3)=" · ",RIGHT(Bookings!F471,1),""),"")</ns0:f>
        <ns0:v/>
      </ns0:c>
      <ns0:c r="E471" s="0" t="str">
        <ns0:f>IFERROR(INDEX(Settings!$H$7:$H$11,MATCH(D471,Settings!$G$7:$G$11,0)),"")</ns0:f>
        <ns0:v/>
      </ns0:c>
      <ns0:c r="F471" s="0" t="str">
        <ns0:f>IF(A471=0,"",IFERROR(IF(OR(B471="",C471=0),"CHECK employee selection",IF(INDEX(Team!$O$11:$O$60,C471)&lt;&gt;"OK","CHECK employee setup",IF(OR('_Dates'!J471=0,'_Dates'!T471=0),"CHECK date: use DD.MM.YYYY",IF('_Dates'!T471&lt;'_Dates'!J471,"CHECK end before start",IF(AND($B$6=0,OR('_Dates'!J471&lt;Settings!$B$7,'_Dates'!T471&gt;Settings!$B$8)),"CHECK split across leave years",IF(OR(NOT(OR('_Dates'!U471="Full day",'_Dates'!U471="AM",'_Dates'!U471="PM")),NOT(OR('_Dates'!V471="Full day",'_Dates'!V471="AM",'_Dates'!V471="PM"))),"CHECK Full day / AM / PM",IF(AND('_Dates'!J471='_Dates'!T471,'_Dates'!U471&lt;&gt;"Full day",'_Dates'!V471&lt;&gt;"Full day",'_Dates'!U471&lt;&gt;'_Dates'!V471),"CHECK same-day portions disagree",IF(AND($B$6=0,OR(AND('_Dates'!U471&lt;&gt;"Full day",'_Dates'!AA471=0),AND('_Dates'!V471&lt;&gt;"Full day",'_Dates'!AB471=0))),"CHECK half-day on non-working date",IF(COUNTIF(Settings!$G$7:$G$11,D471)&lt;&gt;1,"CHECK leave type",IF(AND(Bookings!G471&lt;&gt;"Approved",Bookings!G471&lt;&gt;"Pending",Bookings!G471&lt;&gt;"Cancelled"),"CHECK status","OK")))))))))),"CHECK input"))</ns0:f>
        <ns0:v/>
      </ns0:c>
      <ns0:c r="G471" s="0">
        <ns0:f>IF(OR(F471&lt;&gt;"OK",$B$6&gt;0),0,0.5*(IF(('_Dates'!X471)&lt;('_Dates'!W471),0,INT((('_Dates'!X471)-('_Dates'!W471)+1)/7)*LEN(SUBSTITUTE(W471,"O",""))+LEN(SUBSTITUTE(MID(W471&amp;W471,WEEKDAY(('_Dates'!W471),2),MOD((('_Dates'!X471)-('_Dates'!W471)+1),7)),"O",""))-COUNTIFS(INDEX(AllClosureRows,C471,0),"&gt;="&amp;('_Dates'!W471),INDEX(AllClosureRows,C471,0),"&lt;="&amp;('_Dates'!X471)))+IF(('_Dates'!Z471)&lt;('_Dates'!Y471),0,INT((('_Dates'!Z471)-('_Dates'!Y471)+1)/7)*LEN(SUBSTITUTE(W471,"O",""))+LEN(SUBSTITUTE(MID(W471&amp;W471,WEEKDAY(('_Dates'!Y471),2),MOD((('_Dates'!Z471)-('_Dates'!Y471)+1),7)),"O",""))-COUNTIFS(INDEX(AllClosureRows,C471,0),"&gt;="&amp;('_Dates'!Y471),INDEX(AllClosureRows,C471,0),"&lt;="&amp;('_Dates'!Z471)))))</ns0:f>
        <ns0:v>0</ns0:v>
      </ns0:c>
      <ns0:c r="H471" s="0">
        <ns0:f>IF(OR(F471&lt;&gt;"OK",$B$6&gt;0),0,0.5*(IF((MIN('_Dates'!X471,Settings!$B$9))&lt;('_Dates'!W471),0,INT(((MIN('_Dates'!X471,Settings!$B$9))-('_Dates'!W471)+1)/7)*LEN(SUBSTITUTE(W471,"O",""))+LEN(SUBSTITUTE(MID(W471&amp;W471,WEEKDAY(('_Dates'!W471),2),MOD(((MIN('_Dates'!X471,Settings!$B$9))-('_Dates'!W471)+1),7)),"O",""))-COUNTIFS(INDEX(AllClosureRows,C471,0),"&gt;="&amp;('_Dates'!W471),INDEX(AllClosureRows,C471,0),"&lt;="&amp;(MIN('_Dates'!X471,Settings!$B$9))))+IF((MIN('_Dates'!Z471,Settings!$B$9))&lt;('_Dates'!Y471),0,INT(((MIN('_Dates'!Z471,Settings!$B$9))-('_Dates'!Y471)+1)/7)*LEN(SUBSTITUTE(W471,"O",""))+LEN(SUBSTITUTE(MID(W471&amp;W471,WEEKDAY(('_Dates'!Y471),2),MOD(((MIN('_Dates'!Z471,Settings!$B$9))-('_Dates'!Y471)+1),7)),"O",""))-COUNTIFS(INDEX(AllClosureRows,C471,0),"&gt;="&amp;('_Dates'!Y471),INDEX(AllClosureRows,C471,0),"&lt;="&amp;(MIN('_Dates'!Z471,Settings!$B$9))))))</ns0:f>
        <ns0:v>0</ns0:v>
      </ns0:c>
      <ns0:c r="I471" s="0">
        <ns0:f>MAX(0,G471-H471)</ns0:f>
        <ns0:v>0</ns0:v>
      </ns0:c>
      <ns0:c r="J471" s="0">
        <ns0:f>IF(OR(A471=0,F471&lt;&gt;"OK",Bookings!G471="Cancelled",$B$6&gt;0),0,IF('_Dates'!AC471=1,MAX(0,COUNTIFS(rngEngine_B,B471,rngAMStart,"&lt;="&amp;'_Dates'!X471,rngAMEnd,"&gt;="&amp;'_Dates'!W471,rngAMActive,1,rngEngine_F,"OK",rngBookings_F,"&lt;&gt;Cancelled")-1),0)+IF('_Dates'!AD471=1,MAX(0,COUNTIFS(rngEngine_B,B471,rngPMStart,"&lt;="&amp;'_Dates'!Z471,rngPMEnd,"&gt;="&amp;'_Dates'!Y471,rngPMActive,1,rngEngine_F,"OK",rngBookings_F,"&lt;&gt;Cancelled")-1),0))</ns0:f>
        <ns0:v>0</ns0:v>
      </ns0:c>
      <ns0:c r="K471" s="0" t="str">
        <ns0:f>IF(A471=0,"",IF(F471&lt;&gt;"OK",F471,IF(J471&gt;0,"CHECK overlapping entry",IF(AND($B$6=0,G471&lt;=0,Bookings!G471&lt;&gt;"Cancelled"),"CHECK no working days",IF(Bookings!G471="Cancelled","Cancelled","OK")))))</ns0:f>
        <ns0:v/>
      </ns0:c>
      <ns0:c r="L471" s="0">
        <ns0:f>IF(LEFT(K471,5)="CHECK",1,0)</ns0:f>
        <ns0:v>0</ns0:v>
      </ns0:c>
      <ns0:c r="M471" s="0">
        <ns0:f>IF(AND(L471=1,OR(C471=0,IFERROR(INDEX($X$11:$X$60,C471),0)=0)),1,0)</ns0:f>
        <ns0:v>0</ns0:v>
      </ns0:c>
      <ns0:c r="N471" s="0">
        <ns0:f>IF(OR(A471=0,L471&gt;0,$B$6&gt;0,Bookings!G471="Cancelled"),0,G471)</ns0:f>
        <ns0:v>0</ns0:v>
      </ns0:c>
      <ns0:c r="O471" s="0">
        <ns0:f>IF(AND(Bookings!G471="Approved",E471="Yes"),N471,0)</ns0:f>
        <ns0:v>0</ns0:v>
      </ns0:c>
      <ns0:c r="P471" s="0">
        <ns0:f>IF(AND(Bookings!G471="Approved",E471="Yes",L471=0,$B$6=0),H471,0)</ns0:f>
        <ns0:v>0</ns0:v>
      </ns0:c>
      <ns0:c r="Q471" s="0">
        <ns0:f>IF(AND(Bookings!G471="Approved",E471="Yes",L471=0,$B$6=0),I471,0)</ns0:f>
        <ns0:v>0</ns0:v>
      </ns0:c>
      <ns0:c r="R471" s="0">
        <ns0:f>IF(AND(Bookings!G471="Pending",E471="Yes"),N471,0)</ns0:f>
        <ns0:v>0</ns0:v>
      </ns0:c>
      <ns0:c r="S471" s="0">
        <ns0:f>IF(AND(Bookings!G471="Approved",E471="No"),N471,0)</ns0:f>
        <ns0:v>0</ns0:v>
      </ns0:c>
      <ns0:c r="T471" s="0">
        <ns0:f>IFERROR(MATCH(D471,Settings!$G$7:$G$11,0),0)</ns0:f>
        <ns0:v>0</ns0:v>
      </ns0:c>
      <ns0:c r="U471" s="0">
        <ns0:f>IF(N471&gt;0,T471+IF(Bookings!G471="Pending",10,0),0)</ns0:f>
        <ns0:v>0</ns0:v>
      </ns0:c>
      <ns0:c r="V471" s="0">
        <ns0:f>U471</ns0:f>
        <ns0:v>0</ns0:v>
      </ns0:c>
      <ns0:c r="W471" s="0" t="str">
        <ns0:f>IF(C471=0,"",INDEX($AP$11:$AP$60,C471))</ns0:f>
        <ns0:v/>
      </ns0:c>
    </ns0:row>
    <ns0:row r="472">
      <ns0:c r="A472" s="0">
        <ns0:f>IF(COUNTA(Bookings!A472:G472,Bookings!I472)=0,0,1)</ns0:f>
        <ns0:v>0</ns0:v>
      </ns0:c>
      <ns0:c r="B472" s="0" t="str">
        <ns0:f>IFERROR(TRIM(MID(Bookings!A472,FIND(" · ",Bookings!A472)+3,99)),"")</ns0:f>
        <ns0:v/>
      </ns0:c>
      <ns0:c r="C472" s="0">
        <ns0:f>IF(OR(B472="",LEN(B472)&gt;24,ISNUMBER(FIND(" ",B472)),ISNUMBER(FIND("*",B472)),ISNUMBER(FIND("?",B472)),ISNUMBER(FIND("~",B472))),0,IFERROR(MATCH(B472,Team!$A$11:$A$60,0),0))</ns0:f>
        <ns0:v>0</ns0:v>
      </ns0:c>
      <ns0:c r="D472" s="0" t="str">
        <ns0:f>IFERROR(IF(MID(Bookings!F472,LEN(Bookings!F472)-3,3)=" · ",RIGHT(Bookings!F472,1),""),"")</ns0:f>
        <ns0:v/>
      </ns0:c>
      <ns0:c r="E472" s="0" t="str">
        <ns0:f>IFERROR(INDEX(Settings!$H$7:$H$11,MATCH(D472,Settings!$G$7:$G$11,0)),"")</ns0:f>
        <ns0:v/>
      </ns0:c>
      <ns0:c r="F472" s="0" t="str">
        <ns0:f>IF(A472=0,"",IFERROR(IF(OR(B472="",C472=0),"CHECK employee selection",IF(INDEX(Team!$O$11:$O$60,C472)&lt;&gt;"OK","CHECK employee setup",IF(OR('_Dates'!J472=0,'_Dates'!T472=0),"CHECK date: use DD.MM.YYYY",IF('_Dates'!T472&lt;'_Dates'!J472,"CHECK end before start",IF(AND($B$6=0,OR('_Dates'!J472&lt;Settings!$B$7,'_Dates'!T472&gt;Settings!$B$8)),"CHECK split across leave years",IF(OR(NOT(OR('_Dates'!U472="Full day",'_Dates'!U472="AM",'_Dates'!U472="PM")),NOT(OR('_Dates'!V472="Full day",'_Dates'!V472="AM",'_Dates'!V472="PM"))),"CHECK Full day / AM / PM",IF(AND('_Dates'!J472='_Dates'!T472,'_Dates'!U472&lt;&gt;"Full day",'_Dates'!V472&lt;&gt;"Full day",'_Dates'!U472&lt;&gt;'_Dates'!V472),"CHECK same-day portions disagree",IF(AND($B$6=0,OR(AND('_Dates'!U472&lt;&gt;"Full day",'_Dates'!AA472=0),AND('_Dates'!V472&lt;&gt;"Full day",'_Dates'!AB472=0))),"CHECK half-day on non-working date",IF(COUNTIF(Settings!$G$7:$G$11,D472)&lt;&gt;1,"CHECK leave type",IF(AND(Bookings!G472&lt;&gt;"Approved",Bookings!G472&lt;&gt;"Pending",Bookings!G472&lt;&gt;"Cancelled"),"CHECK status","OK")))))))))),"CHECK input"))</ns0:f>
        <ns0:v/>
      </ns0:c>
      <ns0:c r="G472" s="0">
        <ns0:f>IF(OR(F472&lt;&gt;"OK",$B$6&gt;0),0,0.5*(IF(('_Dates'!X472)&lt;('_Dates'!W472),0,INT((('_Dates'!X472)-('_Dates'!W472)+1)/7)*LEN(SUBSTITUTE(W472,"O",""))+LEN(SUBSTITUTE(MID(W472&amp;W472,WEEKDAY(('_Dates'!W472),2),MOD((('_Dates'!X472)-('_Dates'!W472)+1),7)),"O",""))-COUNTIFS(INDEX(AllClosureRows,C472,0),"&gt;="&amp;('_Dates'!W472),INDEX(AllClosureRows,C472,0),"&lt;="&amp;('_Dates'!X472)))+IF(('_Dates'!Z472)&lt;('_Dates'!Y472),0,INT((('_Dates'!Z472)-('_Dates'!Y472)+1)/7)*LEN(SUBSTITUTE(W472,"O",""))+LEN(SUBSTITUTE(MID(W472&amp;W472,WEEKDAY(('_Dates'!Y472),2),MOD((('_Dates'!Z472)-('_Dates'!Y472)+1),7)),"O",""))-COUNTIFS(INDEX(AllClosureRows,C472,0),"&gt;="&amp;('_Dates'!Y472),INDEX(AllClosureRows,C472,0),"&lt;="&amp;('_Dates'!Z472)))))</ns0:f>
        <ns0:v>0</ns0:v>
      </ns0:c>
      <ns0:c r="H472" s="0">
        <ns0:f>IF(OR(F472&lt;&gt;"OK",$B$6&gt;0),0,0.5*(IF((MIN('_Dates'!X472,Settings!$B$9))&lt;('_Dates'!W472),0,INT(((MIN('_Dates'!X472,Settings!$B$9))-('_Dates'!W472)+1)/7)*LEN(SUBSTITUTE(W472,"O",""))+LEN(SUBSTITUTE(MID(W472&amp;W472,WEEKDAY(('_Dates'!W472),2),MOD(((MIN('_Dates'!X472,Settings!$B$9))-('_Dates'!W472)+1),7)),"O",""))-COUNTIFS(INDEX(AllClosureRows,C472,0),"&gt;="&amp;('_Dates'!W472),INDEX(AllClosureRows,C472,0),"&lt;="&amp;(MIN('_Dates'!X472,Settings!$B$9))))+IF((MIN('_Dates'!Z472,Settings!$B$9))&lt;('_Dates'!Y472),0,INT(((MIN('_Dates'!Z472,Settings!$B$9))-('_Dates'!Y472)+1)/7)*LEN(SUBSTITUTE(W472,"O",""))+LEN(SUBSTITUTE(MID(W472&amp;W472,WEEKDAY(('_Dates'!Y472),2),MOD(((MIN('_Dates'!Z472,Settings!$B$9))-('_Dates'!Y472)+1),7)),"O",""))-COUNTIFS(INDEX(AllClosureRows,C472,0),"&gt;="&amp;('_Dates'!Y472),INDEX(AllClosureRows,C472,0),"&lt;="&amp;(MIN('_Dates'!Z472,Settings!$B$9))))))</ns0:f>
        <ns0:v>0</ns0:v>
      </ns0:c>
      <ns0:c r="I472" s="0">
        <ns0:f>MAX(0,G472-H472)</ns0:f>
        <ns0:v>0</ns0:v>
      </ns0:c>
      <ns0:c r="J472" s="0">
        <ns0:f>IF(OR(A472=0,F472&lt;&gt;"OK",Bookings!G472="Cancelled",$B$6&gt;0),0,IF('_Dates'!AC472=1,MAX(0,COUNTIFS(rngEngine_B,B472,rngAMStart,"&lt;="&amp;'_Dates'!X472,rngAMEnd,"&gt;="&amp;'_Dates'!W472,rngAMActive,1,rngEngine_F,"OK",rngBookings_F,"&lt;&gt;Cancelled")-1),0)+IF('_Dates'!AD472=1,MAX(0,COUNTIFS(rngEngine_B,B472,rngPMStart,"&lt;="&amp;'_Dates'!Z472,rngPMEnd,"&gt;="&amp;'_Dates'!Y472,rngPMActive,1,rngEngine_F,"OK",rngBookings_F,"&lt;&gt;Cancelled")-1),0))</ns0:f>
        <ns0:v>0</ns0:v>
      </ns0:c>
      <ns0:c r="K472" s="0" t="str">
        <ns0:f>IF(A472=0,"",IF(F472&lt;&gt;"OK",F472,IF(J472&gt;0,"CHECK overlapping entry",IF(AND($B$6=0,G472&lt;=0,Bookings!G472&lt;&gt;"Cancelled"),"CHECK no working days",IF(Bookings!G472="Cancelled","Cancelled","OK")))))</ns0:f>
        <ns0:v/>
      </ns0:c>
      <ns0:c r="L472" s="0">
        <ns0:f>IF(LEFT(K472,5)="CHECK",1,0)</ns0:f>
        <ns0:v>0</ns0:v>
      </ns0:c>
      <ns0:c r="M472" s="0">
        <ns0:f>IF(AND(L472=1,OR(C472=0,IFERROR(INDEX($X$11:$X$60,C472),0)=0)),1,0)</ns0:f>
        <ns0:v>0</ns0:v>
      </ns0:c>
      <ns0:c r="N472" s="0">
        <ns0:f>IF(OR(A472=0,L472&gt;0,$B$6&gt;0,Bookings!G472="Cancelled"),0,G472)</ns0:f>
        <ns0:v>0</ns0:v>
      </ns0:c>
      <ns0:c r="O472" s="0">
        <ns0:f>IF(AND(Bookings!G472="Approved",E472="Yes"),N472,0)</ns0:f>
        <ns0:v>0</ns0:v>
      </ns0:c>
      <ns0:c r="P472" s="0">
        <ns0:f>IF(AND(Bookings!G472="Approved",E472="Yes",L472=0,$B$6=0),H472,0)</ns0:f>
        <ns0:v>0</ns0:v>
      </ns0:c>
      <ns0:c r="Q472" s="0">
        <ns0:f>IF(AND(Bookings!G472="Approved",E472="Yes",L472=0,$B$6=0),I472,0)</ns0:f>
        <ns0:v>0</ns0:v>
      </ns0:c>
      <ns0:c r="R472" s="0">
        <ns0:f>IF(AND(Bookings!G472="Pending",E472="Yes"),N472,0)</ns0:f>
        <ns0:v>0</ns0:v>
      </ns0:c>
      <ns0:c r="S472" s="0">
        <ns0:f>IF(AND(Bookings!G472="Approved",E472="No"),N472,0)</ns0:f>
        <ns0:v>0</ns0:v>
      </ns0:c>
      <ns0:c r="T472" s="0">
        <ns0:f>IFERROR(MATCH(D472,Settings!$G$7:$G$11,0),0)</ns0:f>
        <ns0:v>0</ns0:v>
      </ns0:c>
      <ns0:c r="U472" s="0">
        <ns0:f>IF(N472&gt;0,T472+IF(Bookings!G472="Pending",10,0),0)</ns0:f>
        <ns0:v>0</ns0:v>
      </ns0:c>
      <ns0:c r="V472" s="0">
        <ns0:f>U472</ns0:f>
        <ns0:v>0</ns0:v>
      </ns0:c>
      <ns0:c r="W472" s="0" t="str">
        <ns0:f>IF(C472=0,"",INDEX($AP$11:$AP$60,C472))</ns0:f>
        <ns0:v/>
      </ns0:c>
    </ns0:row>
    <ns0:row r="473">
      <ns0:c r="A473" s="0">
        <ns0:f>IF(COUNTA(Bookings!A473:G473,Bookings!I473)=0,0,1)</ns0:f>
        <ns0:v>0</ns0:v>
      </ns0:c>
      <ns0:c r="B473" s="0" t="str">
        <ns0:f>IFERROR(TRIM(MID(Bookings!A473,FIND(" · ",Bookings!A473)+3,99)),"")</ns0:f>
        <ns0:v/>
      </ns0:c>
      <ns0:c r="C473" s="0">
        <ns0:f>IF(OR(B473="",LEN(B473)&gt;24,ISNUMBER(FIND(" ",B473)),ISNUMBER(FIND("*",B473)),ISNUMBER(FIND("?",B473)),ISNUMBER(FIND("~",B473))),0,IFERROR(MATCH(B473,Team!$A$11:$A$60,0),0))</ns0:f>
        <ns0:v>0</ns0:v>
      </ns0:c>
      <ns0:c r="D473" s="0" t="str">
        <ns0:f>IFERROR(IF(MID(Bookings!F473,LEN(Bookings!F473)-3,3)=" · ",RIGHT(Bookings!F473,1),""),"")</ns0:f>
        <ns0:v/>
      </ns0:c>
      <ns0:c r="E473" s="0" t="str">
        <ns0:f>IFERROR(INDEX(Settings!$H$7:$H$11,MATCH(D473,Settings!$G$7:$G$11,0)),"")</ns0:f>
        <ns0:v/>
      </ns0:c>
      <ns0:c r="F473" s="0" t="str">
        <ns0:f>IF(A473=0,"",IFERROR(IF(OR(B473="",C473=0),"CHECK employee selection",IF(INDEX(Team!$O$11:$O$60,C473)&lt;&gt;"OK","CHECK employee setup",IF(OR('_Dates'!J473=0,'_Dates'!T473=0),"CHECK date: use DD.MM.YYYY",IF('_Dates'!T473&lt;'_Dates'!J473,"CHECK end before start",IF(AND($B$6=0,OR('_Dates'!J473&lt;Settings!$B$7,'_Dates'!T473&gt;Settings!$B$8)),"CHECK split across leave years",IF(OR(NOT(OR('_Dates'!U473="Full day",'_Dates'!U473="AM",'_Dates'!U473="PM")),NOT(OR('_Dates'!V473="Full day",'_Dates'!V473="AM",'_Dates'!V473="PM"))),"CHECK Full day / AM / PM",IF(AND('_Dates'!J473='_Dates'!T473,'_Dates'!U473&lt;&gt;"Full day",'_Dates'!V473&lt;&gt;"Full day",'_Dates'!U473&lt;&gt;'_Dates'!V473),"CHECK same-day portions disagree",IF(AND($B$6=0,OR(AND('_Dates'!U473&lt;&gt;"Full day",'_Dates'!AA473=0),AND('_Dates'!V473&lt;&gt;"Full day",'_Dates'!AB473=0))),"CHECK half-day on non-working date",IF(COUNTIF(Settings!$G$7:$G$11,D473)&lt;&gt;1,"CHECK leave type",IF(AND(Bookings!G473&lt;&gt;"Approved",Bookings!G473&lt;&gt;"Pending",Bookings!G473&lt;&gt;"Cancelled"),"CHECK status","OK")))))))))),"CHECK input"))</ns0:f>
        <ns0:v/>
      </ns0:c>
      <ns0:c r="G473" s="0">
        <ns0:f>IF(OR(F473&lt;&gt;"OK",$B$6&gt;0),0,0.5*(IF(('_Dates'!X473)&lt;('_Dates'!W473),0,INT((('_Dates'!X473)-('_Dates'!W473)+1)/7)*LEN(SUBSTITUTE(W473,"O",""))+LEN(SUBSTITUTE(MID(W473&amp;W473,WEEKDAY(('_Dates'!W473),2),MOD((('_Dates'!X473)-('_Dates'!W473)+1),7)),"O",""))-COUNTIFS(INDEX(AllClosureRows,C473,0),"&gt;="&amp;('_Dates'!W473),INDEX(AllClosureRows,C473,0),"&lt;="&amp;('_Dates'!X473)))+IF(('_Dates'!Z473)&lt;('_Dates'!Y473),0,INT((('_Dates'!Z473)-('_Dates'!Y473)+1)/7)*LEN(SUBSTITUTE(W473,"O",""))+LEN(SUBSTITUTE(MID(W473&amp;W473,WEEKDAY(('_Dates'!Y473),2),MOD((('_Dates'!Z473)-('_Dates'!Y473)+1),7)),"O",""))-COUNTIFS(INDEX(AllClosureRows,C473,0),"&gt;="&amp;('_Dates'!Y473),INDEX(AllClosureRows,C473,0),"&lt;="&amp;('_Dates'!Z473)))))</ns0:f>
        <ns0:v>0</ns0:v>
      </ns0:c>
      <ns0:c r="H473" s="0">
        <ns0:f>IF(OR(F473&lt;&gt;"OK",$B$6&gt;0),0,0.5*(IF((MIN('_Dates'!X473,Settings!$B$9))&lt;('_Dates'!W473),0,INT(((MIN('_Dates'!X473,Settings!$B$9))-('_Dates'!W473)+1)/7)*LEN(SUBSTITUTE(W473,"O",""))+LEN(SUBSTITUTE(MID(W473&amp;W473,WEEKDAY(('_Dates'!W473),2),MOD(((MIN('_Dates'!X473,Settings!$B$9))-('_Dates'!W473)+1),7)),"O",""))-COUNTIFS(INDEX(AllClosureRows,C473,0),"&gt;="&amp;('_Dates'!W473),INDEX(AllClosureRows,C473,0),"&lt;="&amp;(MIN('_Dates'!X473,Settings!$B$9))))+IF((MIN('_Dates'!Z473,Settings!$B$9))&lt;('_Dates'!Y473),0,INT(((MIN('_Dates'!Z473,Settings!$B$9))-('_Dates'!Y473)+1)/7)*LEN(SUBSTITUTE(W473,"O",""))+LEN(SUBSTITUTE(MID(W473&amp;W473,WEEKDAY(('_Dates'!Y473),2),MOD(((MIN('_Dates'!Z473,Settings!$B$9))-('_Dates'!Y473)+1),7)),"O",""))-COUNTIFS(INDEX(AllClosureRows,C473,0),"&gt;="&amp;('_Dates'!Y473),INDEX(AllClosureRows,C473,0),"&lt;="&amp;(MIN('_Dates'!Z473,Settings!$B$9))))))</ns0:f>
        <ns0:v>0</ns0:v>
      </ns0:c>
      <ns0:c r="I473" s="0">
        <ns0:f>MAX(0,G473-H473)</ns0:f>
        <ns0:v>0</ns0:v>
      </ns0:c>
      <ns0:c r="J473" s="0">
        <ns0:f>IF(OR(A473=0,F473&lt;&gt;"OK",Bookings!G473="Cancelled",$B$6&gt;0),0,IF('_Dates'!AC473=1,MAX(0,COUNTIFS(rngEngine_B,B473,rngAMStart,"&lt;="&amp;'_Dates'!X473,rngAMEnd,"&gt;="&amp;'_Dates'!W473,rngAMActive,1,rngEngine_F,"OK",rngBookings_F,"&lt;&gt;Cancelled")-1),0)+IF('_Dates'!AD473=1,MAX(0,COUNTIFS(rngEngine_B,B473,rngPMStart,"&lt;="&amp;'_Dates'!Z473,rngPMEnd,"&gt;="&amp;'_Dates'!Y473,rngPMActive,1,rngEngine_F,"OK",rngBookings_F,"&lt;&gt;Cancelled")-1),0))</ns0:f>
        <ns0:v>0</ns0:v>
      </ns0:c>
      <ns0:c r="K473" s="0" t="str">
        <ns0:f>IF(A473=0,"",IF(F473&lt;&gt;"OK",F473,IF(J473&gt;0,"CHECK overlapping entry",IF(AND($B$6=0,G473&lt;=0,Bookings!G473&lt;&gt;"Cancelled"),"CHECK no working days",IF(Bookings!G473="Cancelled","Cancelled","OK")))))</ns0:f>
        <ns0:v/>
      </ns0:c>
      <ns0:c r="L473" s="0">
        <ns0:f>IF(LEFT(K473,5)="CHECK",1,0)</ns0:f>
        <ns0:v>0</ns0:v>
      </ns0:c>
      <ns0:c r="M473" s="0">
        <ns0:f>IF(AND(L473=1,OR(C473=0,IFERROR(INDEX($X$11:$X$60,C473),0)=0)),1,0)</ns0:f>
        <ns0:v>0</ns0:v>
      </ns0:c>
      <ns0:c r="N473" s="0">
        <ns0:f>IF(OR(A473=0,L473&gt;0,$B$6&gt;0,Bookings!G473="Cancelled"),0,G473)</ns0:f>
        <ns0:v>0</ns0:v>
      </ns0:c>
      <ns0:c r="O473" s="0">
        <ns0:f>IF(AND(Bookings!G473="Approved",E473="Yes"),N473,0)</ns0:f>
        <ns0:v>0</ns0:v>
      </ns0:c>
      <ns0:c r="P473" s="0">
        <ns0:f>IF(AND(Bookings!G473="Approved",E473="Yes",L473=0,$B$6=0),H473,0)</ns0:f>
        <ns0:v>0</ns0:v>
      </ns0:c>
      <ns0:c r="Q473" s="0">
        <ns0:f>IF(AND(Bookings!G473="Approved",E473="Yes",L473=0,$B$6=0),I473,0)</ns0:f>
        <ns0:v>0</ns0:v>
      </ns0:c>
      <ns0:c r="R473" s="0">
        <ns0:f>IF(AND(Bookings!G473="Pending",E473="Yes"),N473,0)</ns0:f>
        <ns0:v>0</ns0:v>
      </ns0:c>
      <ns0:c r="S473" s="0">
        <ns0:f>IF(AND(Bookings!G473="Approved",E473="No"),N473,0)</ns0:f>
        <ns0:v>0</ns0:v>
      </ns0:c>
      <ns0:c r="T473" s="0">
        <ns0:f>IFERROR(MATCH(D473,Settings!$G$7:$G$11,0),0)</ns0:f>
        <ns0:v>0</ns0:v>
      </ns0:c>
      <ns0:c r="U473" s="0">
        <ns0:f>IF(N473&gt;0,T473+IF(Bookings!G473="Pending",10,0),0)</ns0:f>
        <ns0:v>0</ns0:v>
      </ns0:c>
      <ns0:c r="V473" s="0">
        <ns0:f>U473</ns0:f>
        <ns0:v>0</ns0:v>
      </ns0:c>
      <ns0:c r="W473" s="0" t="str">
        <ns0:f>IF(C473=0,"",INDEX($AP$11:$AP$60,C473))</ns0:f>
        <ns0:v/>
      </ns0:c>
    </ns0:row>
    <ns0:row r="474">
      <ns0:c r="A474" s="0">
        <ns0:f>IF(COUNTA(Bookings!A474:G474,Bookings!I474)=0,0,1)</ns0:f>
        <ns0:v>0</ns0:v>
      </ns0:c>
      <ns0:c r="B474" s="0" t="str">
        <ns0:f>IFERROR(TRIM(MID(Bookings!A474,FIND(" · ",Bookings!A474)+3,99)),"")</ns0:f>
        <ns0:v/>
      </ns0:c>
      <ns0:c r="C474" s="0">
        <ns0:f>IF(OR(B474="",LEN(B474)&gt;24,ISNUMBER(FIND(" ",B474)),ISNUMBER(FIND("*",B474)),ISNUMBER(FIND("?",B474)),ISNUMBER(FIND("~",B474))),0,IFERROR(MATCH(B474,Team!$A$11:$A$60,0),0))</ns0:f>
        <ns0:v>0</ns0:v>
      </ns0:c>
      <ns0:c r="D474" s="0" t="str">
        <ns0:f>IFERROR(IF(MID(Bookings!F474,LEN(Bookings!F474)-3,3)=" · ",RIGHT(Bookings!F474,1),""),"")</ns0:f>
        <ns0:v/>
      </ns0:c>
      <ns0:c r="E474" s="0" t="str">
        <ns0:f>IFERROR(INDEX(Settings!$H$7:$H$11,MATCH(D474,Settings!$G$7:$G$11,0)),"")</ns0:f>
        <ns0:v/>
      </ns0:c>
      <ns0:c r="F474" s="0" t="str">
        <ns0:f>IF(A474=0,"",IFERROR(IF(OR(B474="",C474=0),"CHECK employee selection",IF(INDEX(Team!$O$11:$O$60,C474)&lt;&gt;"OK","CHECK employee setup",IF(OR('_Dates'!J474=0,'_Dates'!T474=0),"CHECK date: use DD.MM.YYYY",IF('_Dates'!T474&lt;'_Dates'!J474,"CHECK end before start",IF(AND($B$6=0,OR('_Dates'!J474&lt;Settings!$B$7,'_Dates'!T474&gt;Settings!$B$8)),"CHECK split across leave years",IF(OR(NOT(OR('_Dates'!U474="Full day",'_Dates'!U474="AM",'_Dates'!U474="PM")),NOT(OR('_Dates'!V474="Full day",'_Dates'!V474="AM",'_Dates'!V474="PM"))),"CHECK Full day / AM / PM",IF(AND('_Dates'!J474='_Dates'!T474,'_Dates'!U474&lt;&gt;"Full day",'_Dates'!V474&lt;&gt;"Full day",'_Dates'!U474&lt;&gt;'_Dates'!V474),"CHECK same-day portions disagree",IF(AND($B$6=0,OR(AND('_Dates'!U474&lt;&gt;"Full day",'_Dates'!AA474=0),AND('_Dates'!V474&lt;&gt;"Full day",'_Dates'!AB474=0))),"CHECK half-day on non-working date",IF(COUNTIF(Settings!$G$7:$G$11,D474)&lt;&gt;1,"CHECK leave type",IF(AND(Bookings!G474&lt;&gt;"Approved",Bookings!G474&lt;&gt;"Pending",Bookings!G474&lt;&gt;"Cancelled"),"CHECK status","OK")))))))))),"CHECK input"))</ns0:f>
        <ns0:v/>
      </ns0:c>
      <ns0:c r="G474" s="0">
        <ns0:f>IF(OR(F474&lt;&gt;"OK",$B$6&gt;0),0,0.5*(IF(('_Dates'!X474)&lt;('_Dates'!W474),0,INT((('_Dates'!X474)-('_Dates'!W474)+1)/7)*LEN(SUBSTITUTE(W474,"O",""))+LEN(SUBSTITUTE(MID(W474&amp;W474,WEEKDAY(('_Dates'!W474),2),MOD((('_Dates'!X474)-('_Dates'!W474)+1),7)),"O",""))-COUNTIFS(INDEX(AllClosureRows,C474,0),"&gt;="&amp;('_Dates'!W474),INDEX(AllClosureRows,C474,0),"&lt;="&amp;('_Dates'!X474)))+IF(('_Dates'!Z474)&lt;('_Dates'!Y474),0,INT((('_Dates'!Z474)-('_Dates'!Y474)+1)/7)*LEN(SUBSTITUTE(W474,"O",""))+LEN(SUBSTITUTE(MID(W474&amp;W474,WEEKDAY(('_Dates'!Y474),2),MOD((('_Dates'!Z474)-('_Dates'!Y474)+1),7)),"O",""))-COUNTIFS(INDEX(AllClosureRows,C474,0),"&gt;="&amp;('_Dates'!Y474),INDEX(AllClosureRows,C474,0),"&lt;="&amp;('_Dates'!Z474)))))</ns0:f>
        <ns0:v>0</ns0:v>
      </ns0:c>
      <ns0:c r="H474" s="0">
        <ns0:f>IF(OR(F474&lt;&gt;"OK",$B$6&gt;0),0,0.5*(IF((MIN('_Dates'!X474,Settings!$B$9))&lt;('_Dates'!W474),0,INT(((MIN('_Dates'!X474,Settings!$B$9))-('_Dates'!W474)+1)/7)*LEN(SUBSTITUTE(W474,"O",""))+LEN(SUBSTITUTE(MID(W474&amp;W474,WEEKDAY(('_Dates'!W474),2),MOD(((MIN('_Dates'!X474,Settings!$B$9))-('_Dates'!W474)+1),7)),"O",""))-COUNTIFS(INDEX(AllClosureRows,C474,0),"&gt;="&amp;('_Dates'!W474),INDEX(AllClosureRows,C474,0),"&lt;="&amp;(MIN('_Dates'!X474,Settings!$B$9))))+IF((MIN('_Dates'!Z474,Settings!$B$9))&lt;('_Dates'!Y474),0,INT(((MIN('_Dates'!Z474,Settings!$B$9))-('_Dates'!Y474)+1)/7)*LEN(SUBSTITUTE(W474,"O",""))+LEN(SUBSTITUTE(MID(W474&amp;W474,WEEKDAY(('_Dates'!Y474),2),MOD(((MIN('_Dates'!Z474,Settings!$B$9))-('_Dates'!Y474)+1),7)),"O",""))-COUNTIFS(INDEX(AllClosureRows,C474,0),"&gt;="&amp;('_Dates'!Y474),INDEX(AllClosureRows,C474,0),"&lt;="&amp;(MIN('_Dates'!Z474,Settings!$B$9))))))</ns0:f>
        <ns0:v>0</ns0:v>
      </ns0:c>
      <ns0:c r="I474" s="0">
        <ns0:f>MAX(0,G474-H474)</ns0:f>
        <ns0:v>0</ns0:v>
      </ns0:c>
      <ns0:c r="J474" s="0">
        <ns0:f>IF(OR(A474=0,F474&lt;&gt;"OK",Bookings!G474="Cancelled",$B$6&gt;0),0,IF('_Dates'!AC474=1,MAX(0,COUNTIFS(rngEngine_B,B474,rngAMStart,"&lt;="&amp;'_Dates'!X474,rngAMEnd,"&gt;="&amp;'_Dates'!W474,rngAMActive,1,rngEngine_F,"OK",rngBookings_F,"&lt;&gt;Cancelled")-1),0)+IF('_Dates'!AD474=1,MAX(0,COUNTIFS(rngEngine_B,B474,rngPMStart,"&lt;="&amp;'_Dates'!Z474,rngPMEnd,"&gt;="&amp;'_Dates'!Y474,rngPMActive,1,rngEngine_F,"OK",rngBookings_F,"&lt;&gt;Cancelled")-1),0))</ns0:f>
        <ns0:v>0</ns0:v>
      </ns0:c>
      <ns0:c r="K474" s="0" t="str">
        <ns0:f>IF(A474=0,"",IF(F474&lt;&gt;"OK",F474,IF(J474&gt;0,"CHECK overlapping entry",IF(AND($B$6=0,G474&lt;=0,Bookings!G474&lt;&gt;"Cancelled"),"CHECK no working days",IF(Bookings!G474="Cancelled","Cancelled","OK")))))</ns0:f>
        <ns0:v/>
      </ns0:c>
      <ns0:c r="L474" s="0">
        <ns0:f>IF(LEFT(K474,5)="CHECK",1,0)</ns0:f>
        <ns0:v>0</ns0:v>
      </ns0:c>
      <ns0:c r="M474" s="0">
        <ns0:f>IF(AND(L474=1,OR(C474=0,IFERROR(INDEX($X$11:$X$60,C474),0)=0)),1,0)</ns0:f>
        <ns0:v>0</ns0:v>
      </ns0:c>
      <ns0:c r="N474" s="0">
        <ns0:f>IF(OR(A474=0,L474&gt;0,$B$6&gt;0,Bookings!G474="Cancelled"),0,G474)</ns0:f>
        <ns0:v>0</ns0:v>
      </ns0:c>
      <ns0:c r="O474" s="0">
        <ns0:f>IF(AND(Bookings!G474="Approved",E474="Yes"),N474,0)</ns0:f>
        <ns0:v>0</ns0:v>
      </ns0:c>
      <ns0:c r="P474" s="0">
        <ns0:f>IF(AND(Bookings!G474="Approved",E474="Yes",L474=0,$B$6=0),H474,0)</ns0:f>
        <ns0:v>0</ns0:v>
      </ns0:c>
      <ns0:c r="Q474" s="0">
        <ns0:f>IF(AND(Bookings!G474="Approved",E474="Yes",L474=0,$B$6=0),I474,0)</ns0:f>
        <ns0:v>0</ns0:v>
      </ns0:c>
      <ns0:c r="R474" s="0">
        <ns0:f>IF(AND(Bookings!G474="Pending",E474="Yes"),N474,0)</ns0:f>
        <ns0:v>0</ns0:v>
      </ns0:c>
      <ns0:c r="S474" s="0">
        <ns0:f>IF(AND(Bookings!G474="Approved",E474="No"),N474,0)</ns0:f>
        <ns0:v>0</ns0:v>
      </ns0:c>
      <ns0:c r="T474" s="0">
        <ns0:f>IFERROR(MATCH(D474,Settings!$G$7:$G$11,0),0)</ns0:f>
        <ns0:v>0</ns0:v>
      </ns0:c>
      <ns0:c r="U474" s="0">
        <ns0:f>IF(N474&gt;0,T474+IF(Bookings!G474="Pending",10,0),0)</ns0:f>
        <ns0:v>0</ns0:v>
      </ns0:c>
      <ns0:c r="V474" s="0">
        <ns0:f>U474</ns0:f>
        <ns0:v>0</ns0:v>
      </ns0:c>
      <ns0:c r="W474" s="0" t="str">
        <ns0:f>IF(C474=0,"",INDEX($AP$11:$AP$60,C474))</ns0:f>
        <ns0:v/>
      </ns0:c>
    </ns0:row>
    <ns0:row r="475">
      <ns0:c r="A475" s="0">
        <ns0:f>IF(COUNTA(Bookings!A475:G475,Bookings!I475)=0,0,1)</ns0:f>
        <ns0:v>0</ns0:v>
      </ns0:c>
      <ns0:c r="B475" s="0" t="str">
        <ns0:f>IFERROR(TRIM(MID(Bookings!A475,FIND(" · ",Bookings!A475)+3,99)),"")</ns0:f>
        <ns0:v/>
      </ns0:c>
      <ns0:c r="C475" s="0">
        <ns0:f>IF(OR(B475="",LEN(B475)&gt;24,ISNUMBER(FIND(" ",B475)),ISNUMBER(FIND("*",B475)),ISNUMBER(FIND("?",B475)),ISNUMBER(FIND("~",B475))),0,IFERROR(MATCH(B475,Team!$A$11:$A$60,0),0))</ns0:f>
        <ns0:v>0</ns0:v>
      </ns0:c>
      <ns0:c r="D475" s="0" t="str">
        <ns0:f>IFERROR(IF(MID(Bookings!F475,LEN(Bookings!F475)-3,3)=" · ",RIGHT(Bookings!F475,1),""),"")</ns0:f>
        <ns0:v/>
      </ns0:c>
      <ns0:c r="E475" s="0" t="str">
        <ns0:f>IFERROR(INDEX(Settings!$H$7:$H$11,MATCH(D475,Settings!$G$7:$G$11,0)),"")</ns0:f>
        <ns0:v/>
      </ns0:c>
      <ns0:c r="F475" s="0" t="str">
        <ns0:f>IF(A475=0,"",IFERROR(IF(OR(B475="",C475=0),"CHECK employee selection",IF(INDEX(Team!$O$11:$O$60,C475)&lt;&gt;"OK","CHECK employee setup",IF(OR('_Dates'!J475=0,'_Dates'!T475=0),"CHECK date: use DD.MM.YYYY",IF('_Dates'!T475&lt;'_Dates'!J475,"CHECK end before start",IF(AND($B$6=0,OR('_Dates'!J475&lt;Settings!$B$7,'_Dates'!T475&gt;Settings!$B$8)),"CHECK split across leave years",IF(OR(NOT(OR('_Dates'!U475="Full day",'_Dates'!U475="AM",'_Dates'!U475="PM")),NOT(OR('_Dates'!V475="Full day",'_Dates'!V475="AM",'_Dates'!V475="PM"))),"CHECK Full day / AM / PM",IF(AND('_Dates'!J475='_Dates'!T475,'_Dates'!U475&lt;&gt;"Full day",'_Dates'!V475&lt;&gt;"Full day",'_Dates'!U475&lt;&gt;'_Dates'!V475),"CHECK same-day portions disagree",IF(AND($B$6=0,OR(AND('_Dates'!U475&lt;&gt;"Full day",'_Dates'!AA475=0),AND('_Dates'!V475&lt;&gt;"Full day",'_Dates'!AB475=0))),"CHECK half-day on non-working date",IF(COUNTIF(Settings!$G$7:$G$11,D475)&lt;&gt;1,"CHECK leave type",IF(AND(Bookings!G475&lt;&gt;"Approved",Bookings!G475&lt;&gt;"Pending",Bookings!G475&lt;&gt;"Cancelled"),"CHECK status","OK")))))))))),"CHECK input"))</ns0:f>
        <ns0:v/>
      </ns0:c>
      <ns0:c r="G475" s="0">
        <ns0:f>IF(OR(F475&lt;&gt;"OK",$B$6&gt;0),0,0.5*(IF(('_Dates'!X475)&lt;('_Dates'!W475),0,INT((('_Dates'!X475)-('_Dates'!W475)+1)/7)*LEN(SUBSTITUTE(W475,"O",""))+LEN(SUBSTITUTE(MID(W475&amp;W475,WEEKDAY(('_Dates'!W475),2),MOD((('_Dates'!X475)-('_Dates'!W475)+1),7)),"O",""))-COUNTIFS(INDEX(AllClosureRows,C475,0),"&gt;="&amp;('_Dates'!W475),INDEX(AllClosureRows,C475,0),"&lt;="&amp;('_Dates'!X475)))+IF(('_Dates'!Z475)&lt;('_Dates'!Y475),0,INT((('_Dates'!Z475)-('_Dates'!Y475)+1)/7)*LEN(SUBSTITUTE(W475,"O",""))+LEN(SUBSTITUTE(MID(W475&amp;W475,WEEKDAY(('_Dates'!Y475),2),MOD((('_Dates'!Z475)-('_Dates'!Y475)+1),7)),"O",""))-COUNTIFS(INDEX(AllClosureRows,C475,0),"&gt;="&amp;('_Dates'!Y475),INDEX(AllClosureRows,C475,0),"&lt;="&amp;('_Dates'!Z475)))))</ns0:f>
        <ns0:v>0</ns0:v>
      </ns0:c>
      <ns0:c r="H475" s="0">
        <ns0:f>IF(OR(F475&lt;&gt;"OK",$B$6&gt;0),0,0.5*(IF((MIN('_Dates'!X475,Settings!$B$9))&lt;('_Dates'!W475),0,INT(((MIN('_Dates'!X475,Settings!$B$9))-('_Dates'!W475)+1)/7)*LEN(SUBSTITUTE(W475,"O",""))+LEN(SUBSTITUTE(MID(W475&amp;W475,WEEKDAY(('_Dates'!W475),2),MOD(((MIN('_Dates'!X475,Settings!$B$9))-('_Dates'!W475)+1),7)),"O",""))-COUNTIFS(INDEX(AllClosureRows,C475,0),"&gt;="&amp;('_Dates'!W475),INDEX(AllClosureRows,C475,0),"&lt;="&amp;(MIN('_Dates'!X475,Settings!$B$9))))+IF((MIN('_Dates'!Z475,Settings!$B$9))&lt;('_Dates'!Y475),0,INT(((MIN('_Dates'!Z475,Settings!$B$9))-('_Dates'!Y475)+1)/7)*LEN(SUBSTITUTE(W475,"O",""))+LEN(SUBSTITUTE(MID(W475&amp;W475,WEEKDAY(('_Dates'!Y475),2),MOD(((MIN('_Dates'!Z475,Settings!$B$9))-('_Dates'!Y475)+1),7)),"O",""))-COUNTIFS(INDEX(AllClosureRows,C475,0),"&gt;="&amp;('_Dates'!Y475),INDEX(AllClosureRows,C475,0),"&lt;="&amp;(MIN('_Dates'!Z475,Settings!$B$9))))))</ns0:f>
        <ns0:v>0</ns0:v>
      </ns0:c>
      <ns0:c r="I475" s="0">
        <ns0:f>MAX(0,G475-H475)</ns0:f>
        <ns0:v>0</ns0:v>
      </ns0:c>
      <ns0:c r="J475" s="0">
        <ns0:f>IF(OR(A475=0,F475&lt;&gt;"OK",Bookings!G475="Cancelled",$B$6&gt;0),0,IF('_Dates'!AC475=1,MAX(0,COUNTIFS(rngEngine_B,B475,rngAMStart,"&lt;="&amp;'_Dates'!X475,rngAMEnd,"&gt;="&amp;'_Dates'!W475,rngAMActive,1,rngEngine_F,"OK",rngBookings_F,"&lt;&gt;Cancelled")-1),0)+IF('_Dates'!AD475=1,MAX(0,COUNTIFS(rngEngine_B,B475,rngPMStart,"&lt;="&amp;'_Dates'!Z475,rngPMEnd,"&gt;="&amp;'_Dates'!Y475,rngPMActive,1,rngEngine_F,"OK",rngBookings_F,"&lt;&gt;Cancelled")-1),0))</ns0:f>
        <ns0:v>0</ns0:v>
      </ns0:c>
      <ns0:c r="K475" s="0" t="str">
        <ns0:f>IF(A475=0,"",IF(F475&lt;&gt;"OK",F475,IF(J475&gt;0,"CHECK overlapping entry",IF(AND($B$6=0,G475&lt;=0,Bookings!G475&lt;&gt;"Cancelled"),"CHECK no working days",IF(Bookings!G475="Cancelled","Cancelled","OK")))))</ns0:f>
        <ns0:v/>
      </ns0:c>
      <ns0:c r="L475" s="0">
        <ns0:f>IF(LEFT(K475,5)="CHECK",1,0)</ns0:f>
        <ns0:v>0</ns0:v>
      </ns0:c>
      <ns0:c r="M475" s="0">
        <ns0:f>IF(AND(L475=1,OR(C475=0,IFERROR(INDEX($X$11:$X$60,C475),0)=0)),1,0)</ns0:f>
        <ns0:v>0</ns0:v>
      </ns0:c>
      <ns0:c r="N475" s="0">
        <ns0:f>IF(OR(A475=0,L475&gt;0,$B$6&gt;0,Bookings!G475="Cancelled"),0,G475)</ns0:f>
        <ns0:v>0</ns0:v>
      </ns0:c>
      <ns0:c r="O475" s="0">
        <ns0:f>IF(AND(Bookings!G475="Approved",E475="Yes"),N475,0)</ns0:f>
        <ns0:v>0</ns0:v>
      </ns0:c>
      <ns0:c r="P475" s="0">
        <ns0:f>IF(AND(Bookings!G475="Approved",E475="Yes",L475=0,$B$6=0),H475,0)</ns0:f>
        <ns0:v>0</ns0:v>
      </ns0:c>
      <ns0:c r="Q475" s="0">
        <ns0:f>IF(AND(Bookings!G475="Approved",E475="Yes",L475=0,$B$6=0),I475,0)</ns0:f>
        <ns0:v>0</ns0:v>
      </ns0:c>
      <ns0:c r="R475" s="0">
        <ns0:f>IF(AND(Bookings!G475="Pending",E475="Yes"),N475,0)</ns0:f>
        <ns0:v>0</ns0:v>
      </ns0:c>
      <ns0:c r="S475" s="0">
        <ns0:f>IF(AND(Bookings!G475="Approved",E475="No"),N475,0)</ns0:f>
        <ns0:v>0</ns0:v>
      </ns0:c>
      <ns0:c r="T475" s="0">
        <ns0:f>IFERROR(MATCH(D475,Settings!$G$7:$G$11,0),0)</ns0:f>
        <ns0:v>0</ns0:v>
      </ns0:c>
      <ns0:c r="U475" s="0">
        <ns0:f>IF(N475&gt;0,T475+IF(Bookings!G475="Pending",10,0),0)</ns0:f>
        <ns0:v>0</ns0:v>
      </ns0:c>
      <ns0:c r="V475" s="0">
        <ns0:f>U475</ns0:f>
        <ns0:v>0</ns0:v>
      </ns0:c>
      <ns0:c r="W475" s="0" t="str">
        <ns0:f>IF(C475=0,"",INDEX($AP$11:$AP$60,C475))</ns0:f>
        <ns0:v/>
      </ns0:c>
    </ns0:row>
    <ns0:row r="476">
      <ns0:c r="A476" s="0">
        <ns0:f>IF(COUNTA(Bookings!A476:G476,Bookings!I476)=0,0,1)</ns0:f>
        <ns0:v>0</ns0:v>
      </ns0:c>
      <ns0:c r="B476" s="0" t="str">
        <ns0:f>IFERROR(TRIM(MID(Bookings!A476,FIND(" · ",Bookings!A476)+3,99)),"")</ns0:f>
        <ns0:v/>
      </ns0:c>
      <ns0:c r="C476" s="0">
        <ns0:f>IF(OR(B476="",LEN(B476)&gt;24,ISNUMBER(FIND(" ",B476)),ISNUMBER(FIND("*",B476)),ISNUMBER(FIND("?",B476)),ISNUMBER(FIND("~",B476))),0,IFERROR(MATCH(B476,Team!$A$11:$A$60,0),0))</ns0:f>
        <ns0:v>0</ns0:v>
      </ns0:c>
      <ns0:c r="D476" s="0" t="str">
        <ns0:f>IFERROR(IF(MID(Bookings!F476,LEN(Bookings!F476)-3,3)=" · ",RIGHT(Bookings!F476,1),""),"")</ns0:f>
        <ns0:v/>
      </ns0:c>
      <ns0:c r="E476" s="0" t="str">
        <ns0:f>IFERROR(INDEX(Settings!$H$7:$H$11,MATCH(D476,Settings!$G$7:$G$11,0)),"")</ns0:f>
        <ns0:v/>
      </ns0:c>
      <ns0:c r="F476" s="0" t="str">
        <ns0:f>IF(A476=0,"",IFERROR(IF(OR(B476="",C476=0),"CHECK employee selection",IF(INDEX(Team!$O$11:$O$60,C476)&lt;&gt;"OK","CHECK employee setup",IF(OR('_Dates'!J476=0,'_Dates'!T476=0),"CHECK date: use DD.MM.YYYY",IF('_Dates'!T476&lt;'_Dates'!J476,"CHECK end before start",IF(AND($B$6=0,OR('_Dates'!J476&lt;Settings!$B$7,'_Dates'!T476&gt;Settings!$B$8)),"CHECK split across leave years",IF(OR(NOT(OR('_Dates'!U476="Full day",'_Dates'!U476="AM",'_Dates'!U476="PM")),NOT(OR('_Dates'!V476="Full day",'_Dates'!V476="AM",'_Dates'!V476="PM"))),"CHECK Full day / AM / PM",IF(AND('_Dates'!J476='_Dates'!T476,'_Dates'!U476&lt;&gt;"Full day",'_Dates'!V476&lt;&gt;"Full day",'_Dates'!U476&lt;&gt;'_Dates'!V476),"CHECK same-day portions disagree",IF(AND($B$6=0,OR(AND('_Dates'!U476&lt;&gt;"Full day",'_Dates'!AA476=0),AND('_Dates'!V476&lt;&gt;"Full day",'_Dates'!AB476=0))),"CHECK half-day on non-working date",IF(COUNTIF(Settings!$G$7:$G$11,D476)&lt;&gt;1,"CHECK leave type",IF(AND(Bookings!G476&lt;&gt;"Approved",Bookings!G476&lt;&gt;"Pending",Bookings!G476&lt;&gt;"Cancelled"),"CHECK status","OK")))))))))),"CHECK input"))</ns0:f>
        <ns0:v/>
      </ns0:c>
      <ns0:c r="G476" s="0">
        <ns0:f>IF(OR(F476&lt;&gt;"OK",$B$6&gt;0),0,0.5*(IF(('_Dates'!X476)&lt;('_Dates'!W476),0,INT((('_Dates'!X476)-('_Dates'!W476)+1)/7)*LEN(SUBSTITUTE(W476,"O",""))+LEN(SUBSTITUTE(MID(W476&amp;W476,WEEKDAY(('_Dates'!W476),2),MOD((('_Dates'!X476)-('_Dates'!W476)+1),7)),"O",""))-COUNTIFS(INDEX(AllClosureRows,C476,0),"&gt;="&amp;('_Dates'!W476),INDEX(AllClosureRows,C476,0),"&lt;="&amp;('_Dates'!X476)))+IF(('_Dates'!Z476)&lt;('_Dates'!Y476),0,INT((('_Dates'!Z476)-('_Dates'!Y476)+1)/7)*LEN(SUBSTITUTE(W476,"O",""))+LEN(SUBSTITUTE(MID(W476&amp;W476,WEEKDAY(('_Dates'!Y476),2),MOD((('_Dates'!Z476)-('_Dates'!Y476)+1),7)),"O",""))-COUNTIFS(INDEX(AllClosureRows,C476,0),"&gt;="&amp;('_Dates'!Y476),INDEX(AllClosureRows,C476,0),"&lt;="&amp;('_Dates'!Z476)))))</ns0:f>
        <ns0:v>0</ns0:v>
      </ns0:c>
      <ns0:c r="H476" s="0">
        <ns0:f>IF(OR(F476&lt;&gt;"OK",$B$6&gt;0),0,0.5*(IF((MIN('_Dates'!X476,Settings!$B$9))&lt;('_Dates'!W476),0,INT(((MIN('_Dates'!X476,Settings!$B$9))-('_Dates'!W476)+1)/7)*LEN(SUBSTITUTE(W476,"O",""))+LEN(SUBSTITUTE(MID(W476&amp;W476,WEEKDAY(('_Dates'!W476),2),MOD(((MIN('_Dates'!X476,Settings!$B$9))-('_Dates'!W476)+1),7)),"O",""))-COUNTIFS(INDEX(AllClosureRows,C476,0),"&gt;="&amp;('_Dates'!W476),INDEX(AllClosureRows,C476,0),"&lt;="&amp;(MIN('_Dates'!X476,Settings!$B$9))))+IF((MIN('_Dates'!Z476,Settings!$B$9))&lt;('_Dates'!Y476),0,INT(((MIN('_Dates'!Z476,Settings!$B$9))-('_Dates'!Y476)+1)/7)*LEN(SUBSTITUTE(W476,"O",""))+LEN(SUBSTITUTE(MID(W476&amp;W476,WEEKDAY(('_Dates'!Y476),2),MOD(((MIN('_Dates'!Z476,Settings!$B$9))-('_Dates'!Y476)+1),7)),"O",""))-COUNTIFS(INDEX(AllClosureRows,C476,0),"&gt;="&amp;('_Dates'!Y476),INDEX(AllClosureRows,C476,0),"&lt;="&amp;(MIN('_Dates'!Z476,Settings!$B$9))))))</ns0:f>
        <ns0:v>0</ns0:v>
      </ns0:c>
      <ns0:c r="I476" s="0">
        <ns0:f>MAX(0,G476-H476)</ns0:f>
        <ns0:v>0</ns0:v>
      </ns0:c>
      <ns0:c r="J476" s="0">
        <ns0:f>IF(OR(A476=0,F476&lt;&gt;"OK",Bookings!G476="Cancelled",$B$6&gt;0),0,IF('_Dates'!AC476=1,MAX(0,COUNTIFS(rngEngine_B,B476,rngAMStart,"&lt;="&amp;'_Dates'!X476,rngAMEnd,"&gt;="&amp;'_Dates'!W476,rngAMActive,1,rngEngine_F,"OK",rngBookings_F,"&lt;&gt;Cancelled")-1),0)+IF('_Dates'!AD476=1,MAX(0,COUNTIFS(rngEngine_B,B476,rngPMStart,"&lt;="&amp;'_Dates'!Z476,rngPMEnd,"&gt;="&amp;'_Dates'!Y476,rngPMActive,1,rngEngine_F,"OK",rngBookings_F,"&lt;&gt;Cancelled")-1),0))</ns0:f>
        <ns0:v>0</ns0:v>
      </ns0:c>
      <ns0:c r="K476" s="0" t="str">
        <ns0:f>IF(A476=0,"",IF(F476&lt;&gt;"OK",F476,IF(J476&gt;0,"CHECK overlapping entry",IF(AND($B$6=0,G476&lt;=0,Bookings!G476&lt;&gt;"Cancelled"),"CHECK no working days",IF(Bookings!G476="Cancelled","Cancelled","OK")))))</ns0:f>
        <ns0:v/>
      </ns0:c>
      <ns0:c r="L476" s="0">
        <ns0:f>IF(LEFT(K476,5)="CHECK",1,0)</ns0:f>
        <ns0:v>0</ns0:v>
      </ns0:c>
      <ns0:c r="M476" s="0">
        <ns0:f>IF(AND(L476=1,OR(C476=0,IFERROR(INDEX($X$11:$X$60,C476),0)=0)),1,0)</ns0:f>
        <ns0:v>0</ns0:v>
      </ns0:c>
      <ns0:c r="N476" s="0">
        <ns0:f>IF(OR(A476=0,L476&gt;0,$B$6&gt;0,Bookings!G476="Cancelled"),0,G476)</ns0:f>
        <ns0:v>0</ns0:v>
      </ns0:c>
      <ns0:c r="O476" s="0">
        <ns0:f>IF(AND(Bookings!G476="Approved",E476="Yes"),N476,0)</ns0:f>
        <ns0:v>0</ns0:v>
      </ns0:c>
      <ns0:c r="P476" s="0">
        <ns0:f>IF(AND(Bookings!G476="Approved",E476="Yes",L476=0,$B$6=0),H476,0)</ns0:f>
        <ns0:v>0</ns0:v>
      </ns0:c>
      <ns0:c r="Q476" s="0">
        <ns0:f>IF(AND(Bookings!G476="Approved",E476="Yes",L476=0,$B$6=0),I476,0)</ns0:f>
        <ns0:v>0</ns0:v>
      </ns0:c>
      <ns0:c r="R476" s="0">
        <ns0:f>IF(AND(Bookings!G476="Pending",E476="Yes"),N476,0)</ns0:f>
        <ns0:v>0</ns0:v>
      </ns0:c>
      <ns0:c r="S476" s="0">
        <ns0:f>IF(AND(Bookings!G476="Approved",E476="No"),N476,0)</ns0:f>
        <ns0:v>0</ns0:v>
      </ns0:c>
      <ns0:c r="T476" s="0">
        <ns0:f>IFERROR(MATCH(D476,Settings!$G$7:$G$11,0),0)</ns0:f>
        <ns0:v>0</ns0:v>
      </ns0:c>
      <ns0:c r="U476" s="0">
        <ns0:f>IF(N476&gt;0,T476+IF(Bookings!G476="Pending",10,0),0)</ns0:f>
        <ns0:v>0</ns0:v>
      </ns0:c>
      <ns0:c r="V476" s="0">
        <ns0:f>U476</ns0:f>
        <ns0:v>0</ns0:v>
      </ns0:c>
      <ns0:c r="W476" s="0" t="str">
        <ns0:f>IF(C476=0,"",INDEX($AP$11:$AP$60,C476))</ns0:f>
        <ns0:v/>
      </ns0:c>
    </ns0:row>
    <ns0:row r="477">
      <ns0:c r="A477" s="0">
        <ns0:f>IF(COUNTA(Bookings!A477:G477,Bookings!I477)=0,0,1)</ns0:f>
        <ns0:v>0</ns0:v>
      </ns0:c>
      <ns0:c r="B477" s="0" t="str">
        <ns0:f>IFERROR(TRIM(MID(Bookings!A477,FIND(" · ",Bookings!A477)+3,99)),"")</ns0:f>
        <ns0:v/>
      </ns0:c>
      <ns0:c r="C477" s="0">
        <ns0:f>IF(OR(B477="",LEN(B477)&gt;24,ISNUMBER(FIND(" ",B477)),ISNUMBER(FIND("*",B477)),ISNUMBER(FIND("?",B477)),ISNUMBER(FIND("~",B477))),0,IFERROR(MATCH(B477,Team!$A$11:$A$60,0),0))</ns0:f>
        <ns0:v>0</ns0:v>
      </ns0:c>
      <ns0:c r="D477" s="0" t="str">
        <ns0:f>IFERROR(IF(MID(Bookings!F477,LEN(Bookings!F477)-3,3)=" · ",RIGHT(Bookings!F477,1),""),"")</ns0:f>
        <ns0:v/>
      </ns0:c>
      <ns0:c r="E477" s="0" t="str">
        <ns0:f>IFERROR(INDEX(Settings!$H$7:$H$11,MATCH(D477,Settings!$G$7:$G$11,0)),"")</ns0:f>
        <ns0:v/>
      </ns0:c>
      <ns0:c r="F477" s="0" t="str">
        <ns0:f>IF(A477=0,"",IFERROR(IF(OR(B477="",C477=0),"CHECK employee selection",IF(INDEX(Team!$O$11:$O$60,C477)&lt;&gt;"OK","CHECK employee setup",IF(OR('_Dates'!J477=0,'_Dates'!T477=0),"CHECK date: use DD.MM.YYYY",IF('_Dates'!T477&lt;'_Dates'!J477,"CHECK end before start",IF(AND($B$6=0,OR('_Dates'!J477&lt;Settings!$B$7,'_Dates'!T477&gt;Settings!$B$8)),"CHECK split across leave years",IF(OR(NOT(OR('_Dates'!U477="Full day",'_Dates'!U477="AM",'_Dates'!U477="PM")),NOT(OR('_Dates'!V477="Full day",'_Dates'!V477="AM",'_Dates'!V477="PM"))),"CHECK Full day / AM / PM",IF(AND('_Dates'!J477='_Dates'!T477,'_Dates'!U477&lt;&gt;"Full day",'_Dates'!V477&lt;&gt;"Full day",'_Dates'!U477&lt;&gt;'_Dates'!V477),"CHECK same-day portions disagree",IF(AND($B$6=0,OR(AND('_Dates'!U477&lt;&gt;"Full day",'_Dates'!AA477=0),AND('_Dates'!V477&lt;&gt;"Full day",'_Dates'!AB477=0))),"CHECK half-day on non-working date",IF(COUNTIF(Settings!$G$7:$G$11,D477)&lt;&gt;1,"CHECK leave type",IF(AND(Bookings!G477&lt;&gt;"Approved",Bookings!G477&lt;&gt;"Pending",Bookings!G477&lt;&gt;"Cancelled"),"CHECK status","OK")))))))))),"CHECK input"))</ns0:f>
        <ns0:v/>
      </ns0:c>
      <ns0:c r="G477" s="0">
        <ns0:f>IF(OR(F477&lt;&gt;"OK",$B$6&gt;0),0,0.5*(IF(('_Dates'!X477)&lt;('_Dates'!W477),0,INT((('_Dates'!X477)-('_Dates'!W477)+1)/7)*LEN(SUBSTITUTE(W477,"O",""))+LEN(SUBSTITUTE(MID(W477&amp;W477,WEEKDAY(('_Dates'!W477),2),MOD((('_Dates'!X477)-('_Dates'!W477)+1),7)),"O",""))-COUNTIFS(INDEX(AllClosureRows,C477,0),"&gt;="&amp;('_Dates'!W477),INDEX(AllClosureRows,C477,0),"&lt;="&amp;('_Dates'!X477)))+IF(('_Dates'!Z477)&lt;('_Dates'!Y477),0,INT((('_Dates'!Z477)-('_Dates'!Y477)+1)/7)*LEN(SUBSTITUTE(W477,"O",""))+LEN(SUBSTITUTE(MID(W477&amp;W477,WEEKDAY(('_Dates'!Y477),2),MOD((('_Dates'!Z477)-('_Dates'!Y477)+1),7)),"O",""))-COUNTIFS(INDEX(AllClosureRows,C477,0),"&gt;="&amp;('_Dates'!Y477),INDEX(AllClosureRows,C477,0),"&lt;="&amp;('_Dates'!Z477)))))</ns0:f>
        <ns0:v>0</ns0:v>
      </ns0:c>
      <ns0:c r="H477" s="0">
        <ns0:f>IF(OR(F477&lt;&gt;"OK",$B$6&gt;0),0,0.5*(IF((MIN('_Dates'!X477,Settings!$B$9))&lt;('_Dates'!W477),0,INT(((MIN('_Dates'!X477,Settings!$B$9))-('_Dates'!W477)+1)/7)*LEN(SUBSTITUTE(W477,"O",""))+LEN(SUBSTITUTE(MID(W477&amp;W477,WEEKDAY(('_Dates'!W477),2),MOD(((MIN('_Dates'!X477,Settings!$B$9))-('_Dates'!W477)+1),7)),"O",""))-COUNTIFS(INDEX(AllClosureRows,C477,0),"&gt;="&amp;('_Dates'!W477),INDEX(AllClosureRows,C477,0),"&lt;="&amp;(MIN('_Dates'!X477,Settings!$B$9))))+IF((MIN('_Dates'!Z477,Settings!$B$9))&lt;('_Dates'!Y477),0,INT(((MIN('_Dates'!Z477,Settings!$B$9))-('_Dates'!Y477)+1)/7)*LEN(SUBSTITUTE(W477,"O",""))+LEN(SUBSTITUTE(MID(W477&amp;W477,WEEKDAY(('_Dates'!Y477),2),MOD(((MIN('_Dates'!Z477,Settings!$B$9))-('_Dates'!Y477)+1),7)),"O",""))-COUNTIFS(INDEX(AllClosureRows,C477,0),"&gt;="&amp;('_Dates'!Y477),INDEX(AllClosureRows,C477,0),"&lt;="&amp;(MIN('_Dates'!Z477,Settings!$B$9))))))</ns0:f>
        <ns0:v>0</ns0:v>
      </ns0:c>
      <ns0:c r="I477" s="0">
        <ns0:f>MAX(0,G477-H477)</ns0:f>
        <ns0:v>0</ns0:v>
      </ns0:c>
      <ns0:c r="J477" s="0">
        <ns0:f>IF(OR(A477=0,F477&lt;&gt;"OK",Bookings!G477="Cancelled",$B$6&gt;0),0,IF('_Dates'!AC477=1,MAX(0,COUNTIFS(rngEngine_B,B477,rngAMStart,"&lt;="&amp;'_Dates'!X477,rngAMEnd,"&gt;="&amp;'_Dates'!W477,rngAMActive,1,rngEngine_F,"OK",rngBookings_F,"&lt;&gt;Cancelled")-1),0)+IF('_Dates'!AD477=1,MAX(0,COUNTIFS(rngEngine_B,B477,rngPMStart,"&lt;="&amp;'_Dates'!Z477,rngPMEnd,"&gt;="&amp;'_Dates'!Y477,rngPMActive,1,rngEngine_F,"OK",rngBookings_F,"&lt;&gt;Cancelled")-1),0))</ns0:f>
        <ns0:v>0</ns0:v>
      </ns0:c>
      <ns0:c r="K477" s="0" t="str">
        <ns0:f>IF(A477=0,"",IF(F477&lt;&gt;"OK",F477,IF(J477&gt;0,"CHECK overlapping entry",IF(AND($B$6=0,G477&lt;=0,Bookings!G477&lt;&gt;"Cancelled"),"CHECK no working days",IF(Bookings!G477="Cancelled","Cancelled","OK")))))</ns0:f>
        <ns0:v/>
      </ns0:c>
      <ns0:c r="L477" s="0">
        <ns0:f>IF(LEFT(K477,5)="CHECK",1,0)</ns0:f>
        <ns0:v>0</ns0:v>
      </ns0:c>
      <ns0:c r="M477" s="0">
        <ns0:f>IF(AND(L477=1,OR(C477=0,IFERROR(INDEX($X$11:$X$60,C477),0)=0)),1,0)</ns0:f>
        <ns0:v>0</ns0:v>
      </ns0:c>
      <ns0:c r="N477" s="0">
        <ns0:f>IF(OR(A477=0,L477&gt;0,$B$6&gt;0,Bookings!G477="Cancelled"),0,G477)</ns0:f>
        <ns0:v>0</ns0:v>
      </ns0:c>
      <ns0:c r="O477" s="0">
        <ns0:f>IF(AND(Bookings!G477="Approved",E477="Yes"),N477,0)</ns0:f>
        <ns0:v>0</ns0:v>
      </ns0:c>
      <ns0:c r="P477" s="0">
        <ns0:f>IF(AND(Bookings!G477="Approved",E477="Yes",L477=0,$B$6=0),H477,0)</ns0:f>
        <ns0:v>0</ns0:v>
      </ns0:c>
      <ns0:c r="Q477" s="0">
        <ns0:f>IF(AND(Bookings!G477="Approved",E477="Yes",L477=0,$B$6=0),I477,0)</ns0:f>
        <ns0:v>0</ns0:v>
      </ns0:c>
      <ns0:c r="R477" s="0">
        <ns0:f>IF(AND(Bookings!G477="Pending",E477="Yes"),N477,0)</ns0:f>
        <ns0:v>0</ns0:v>
      </ns0:c>
      <ns0:c r="S477" s="0">
        <ns0:f>IF(AND(Bookings!G477="Approved",E477="No"),N477,0)</ns0:f>
        <ns0:v>0</ns0:v>
      </ns0:c>
      <ns0:c r="T477" s="0">
        <ns0:f>IFERROR(MATCH(D477,Settings!$G$7:$G$11,0),0)</ns0:f>
        <ns0:v>0</ns0:v>
      </ns0:c>
      <ns0:c r="U477" s="0">
        <ns0:f>IF(N477&gt;0,T477+IF(Bookings!G477="Pending",10,0),0)</ns0:f>
        <ns0:v>0</ns0:v>
      </ns0:c>
      <ns0:c r="V477" s="0">
        <ns0:f>U477</ns0:f>
        <ns0:v>0</ns0:v>
      </ns0:c>
      <ns0:c r="W477" s="0" t="str">
        <ns0:f>IF(C477=0,"",INDEX($AP$11:$AP$60,C477))</ns0:f>
        <ns0:v/>
      </ns0:c>
    </ns0:row>
    <ns0:row r="478">
      <ns0:c r="A478" s="0">
        <ns0:f>IF(COUNTA(Bookings!A478:G478,Bookings!I478)=0,0,1)</ns0:f>
        <ns0:v>0</ns0:v>
      </ns0:c>
      <ns0:c r="B478" s="0" t="str">
        <ns0:f>IFERROR(TRIM(MID(Bookings!A478,FIND(" · ",Bookings!A478)+3,99)),"")</ns0:f>
        <ns0:v/>
      </ns0:c>
      <ns0:c r="C478" s="0">
        <ns0:f>IF(OR(B478="",LEN(B478)&gt;24,ISNUMBER(FIND(" ",B478)),ISNUMBER(FIND("*",B478)),ISNUMBER(FIND("?",B478)),ISNUMBER(FIND("~",B478))),0,IFERROR(MATCH(B478,Team!$A$11:$A$60,0),0))</ns0:f>
        <ns0:v>0</ns0:v>
      </ns0:c>
      <ns0:c r="D478" s="0" t="str">
        <ns0:f>IFERROR(IF(MID(Bookings!F478,LEN(Bookings!F478)-3,3)=" · ",RIGHT(Bookings!F478,1),""),"")</ns0:f>
        <ns0:v/>
      </ns0:c>
      <ns0:c r="E478" s="0" t="str">
        <ns0:f>IFERROR(INDEX(Settings!$H$7:$H$11,MATCH(D478,Settings!$G$7:$G$11,0)),"")</ns0:f>
        <ns0:v/>
      </ns0:c>
      <ns0:c r="F478" s="0" t="str">
        <ns0:f>IF(A478=0,"",IFERROR(IF(OR(B478="",C478=0),"CHECK employee selection",IF(INDEX(Team!$O$11:$O$60,C478)&lt;&gt;"OK","CHECK employee setup",IF(OR('_Dates'!J478=0,'_Dates'!T478=0),"CHECK date: use DD.MM.YYYY",IF('_Dates'!T478&lt;'_Dates'!J478,"CHECK end before start",IF(AND($B$6=0,OR('_Dates'!J478&lt;Settings!$B$7,'_Dates'!T478&gt;Settings!$B$8)),"CHECK split across leave years",IF(OR(NOT(OR('_Dates'!U478="Full day",'_Dates'!U478="AM",'_Dates'!U478="PM")),NOT(OR('_Dates'!V478="Full day",'_Dates'!V478="AM",'_Dates'!V478="PM"))),"CHECK Full day / AM / PM",IF(AND('_Dates'!J478='_Dates'!T478,'_Dates'!U478&lt;&gt;"Full day",'_Dates'!V478&lt;&gt;"Full day",'_Dates'!U478&lt;&gt;'_Dates'!V478),"CHECK same-day portions disagree",IF(AND($B$6=0,OR(AND('_Dates'!U478&lt;&gt;"Full day",'_Dates'!AA478=0),AND('_Dates'!V478&lt;&gt;"Full day",'_Dates'!AB478=0))),"CHECK half-day on non-working date",IF(COUNTIF(Settings!$G$7:$G$11,D478)&lt;&gt;1,"CHECK leave type",IF(AND(Bookings!G478&lt;&gt;"Approved",Bookings!G478&lt;&gt;"Pending",Bookings!G478&lt;&gt;"Cancelled"),"CHECK status","OK")))))))))),"CHECK input"))</ns0:f>
        <ns0:v/>
      </ns0:c>
      <ns0:c r="G478" s="0">
        <ns0:f>IF(OR(F478&lt;&gt;"OK",$B$6&gt;0),0,0.5*(IF(('_Dates'!X478)&lt;('_Dates'!W478),0,INT((('_Dates'!X478)-('_Dates'!W478)+1)/7)*LEN(SUBSTITUTE(W478,"O",""))+LEN(SUBSTITUTE(MID(W478&amp;W478,WEEKDAY(('_Dates'!W478),2),MOD((('_Dates'!X478)-('_Dates'!W478)+1),7)),"O",""))-COUNTIFS(INDEX(AllClosureRows,C478,0),"&gt;="&amp;('_Dates'!W478),INDEX(AllClosureRows,C478,0),"&lt;="&amp;('_Dates'!X478)))+IF(('_Dates'!Z478)&lt;('_Dates'!Y478),0,INT((('_Dates'!Z478)-('_Dates'!Y478)+1)/7)*LEN(SUBSTITUTE(W478,"O",""))+LEN(SUBSTITUTE(MID(W478&amp;W478,WEEKDAY(('_Dates'!Y478),2),MOD((('_Dates'!Z478)-('_Dates'!Y478)+1),7)),"O",""))-COUNTIFS(INDEX(AllClosureRows,C478,0),"&gt;="&amp;('_Dates'!Y478),INDEX(AllClosureRows,C478,0),"&lt;="&amp;('_Dates'!Z478)))))</ns0:f>
        <ns0:v>0</ns0:v>
      </ns0:c>
      <ns0:c r="H478" s="0">
        <ns0:f>IF(OR(F478&lt;&gt;"OK",$B$6&gt;0),0,0.5*(IF((MIN('_Dates'!X478,Settings!$B$9))&lt;('_Dates'!W478),0,INT(((MIN('_Dates'!X478,Settings!$B$9))-('_Dates'!W478)+1)/7)*LEN(SUBSTITUTE(W478,"O",""))+LEN(SUBSTITUTE(MID(W478&amp;W478,WEEKDAY(('_Dates'!W478),2),MOD(((MIN('_Dates'!X478,Settings!$B$9))-('_Dates'!W478)+1),7)),"O",""))-COUNTIFS(INDEX(AllClosureRows,C478,0),"&gt;="&amp;('_Dates'!W478),INDEX(AllClosureRows,C478,0),"&lt;="&amp;(MIN('_Dates'!X478,Settings!$B$9))))+IF((MIN('_Dates'!Z478,Settings!$B$9))&lt;('_Dates'!Y478),0,INT(((MIN('_Dates'!Z478,Settings!$B$9))-('_Dates'!Y478)+1)/7)*LEN(SUBSTITUTE(W478,"O",""))+LEN(SUBSTITUTE(MID(W478&amp;W478,WEEKDAY(('_Dates'!Y478),2),MOD(((MIN('_Dates'!Z478,Settings!$B$9))-('_Dates'!Y478)+1),7)),"O",""))-COUNTIFS(INDEX(AllClosureRows,C478,0),"&gt;="&amp;('_Dates'!Y478),INDEX(AllClosureRows,C478,0),"&lt;="&amp;(MIN('_Dates'!Z478,Settings!$B$9))))))</ns0:f>
        <ns0:v>0</ns0:v>
      </ns0:c>
      <ns0:c r="I478" s="0">
        <ns0:f>MAX(0,G478-H478)</ns0:f>
        <ns0:v>0</ns0:v>
      </ns0:c>
      <ns0:c r="J478" s="0">
        <ns0:f>IF(OR(A478=0,F478&lt;&gt;"OK",Bookings!G478="Cancelled",$B$6&gt;0),0,IF('_Dates'!AC478=1,MAX(0,COUNTIFS(rngEngine_B,B478,rngAMStart,"&lt;="&amp;'_Dates'!X478,rngAMEnd,"&gt;="&amp;'_Dates'!W478,rngAMActive,1,rngEngine_F,"OK",rngBookings_F,"&lt;&gt;Cancelled")-1),0)+IF('_Dates'!AD478=1,MAX(0,COUNTIFS(rngEngine_B,B478,rngPMStart,"&lt;="&amp;'_Dates'!Z478,rngPMEnd,"&gt;="&amp;'_Dates'!Y478,rngPMActive,1,rngEngine_F,"OK",rngBookings_F,"&lt;&gt;Cancelled")-1),0))</ns0:f>
        <ns0:v>0</ns0:v>
      </ns0:c>
      <ns0:c r="K478" s="0" t="str">
        <ns0:f>IF(A478=0,"",IF(F478&lt;&gt;"OK",F478,IF(J478&gt;0,"CHECK overlapping entry",IF(AND($B$6=0,G478&lt;=0,Bookings!G478&lt;&gt;"Cancelled"),"CHECK no working days",IF(Bookings!G478="Cancelled","Cancelled","OK")))))</ns0:f>
        <ns0:v/>
      </ns0:c>
      <ns0:c r="L478" s="0">
        <ns0:f>IF(LEFT(K478,5)="CHECK",1,0)</ns0:f>
        <ns0:v>0</ns0:v>
      </ns0:c>
      <ns0:c r="M478" s="0">
        <ns0:f>IF(AND(L478=1,OR(C478=0,IFERROR(INDEX($X$11:$X$60,C478),0)=0)),1,0)</ns0:f>
        <ns0:v>0</ns0:v>
      </ns0:c>
      <ns0:c r="N478" s="0">
        <ns0:f>IF(OR(A478=0,L478&gt;0,$B$6&gt;0,Bookings!G478="Cancelled"),0,G478)</ns0:f>
        <ns0:v>0</ns0:v>
      </ns0:c>
      <ns0:c r="O478" s="0">
        <ns0:f>IF(AND(Bookings!G478="Approved",E478="Yes"),N478,0)</ns0:f>
        <ns0:v>0</ns0:v>
      </ns0:c>
      <ns0:c r="P478" s="0">
        <ns0:f>IF(AND(Bookings!G478="Approved",E478="Yes",L478=0,$B$6=0),H478,0)</ns0:f>
        <ns0:v>0</ns0:v>
      </ns0:c>
      <ns0:c r="Q478" s="0">
        <ns0:f>IF(AND(Bookings!G478="Approved",E478="Yes",L478=0,$B$6=0),I478,0)</ns0:f>
        <ns0:v>0</ns0:v>
      </ns0:c>
      <ns0:c r="R478" s="0">
        <ns0:f>IF(AND(Bookings!G478="Pending",E478="Yes"),N478,0)</ns0:f>
        <ns0:v>0</ns0:v>
      </ns0:c>
      <ns0:c r="S478" s="0">
        <ns0:f>IF(AND(Bookings!G478="Approved",E478="No"),N478,0)</ns0:f>
        <ns0:v>0</ns0:v>
      </ns0:c>
      <ns0:c r="T478" s="0">
        <ns0:f>IFERROR(MATCH(D478,Settings!$G$7:$G$11,0),0)</ns0:f>
        <ns0:v>0</ns0:v>
      </ns0:c>
      <ns0:c r="U478" s="0">
        <ns0:f>IF(N478&gt;0,T478+IF(Bookings!G478="Pending",10,0),0)</ns0:f>
        <ns0:v>0</ns0:v>
      </ns0:c>
      <ns0:c r="V478" s="0">
        <ns0:f>U478</ns0:f>
        <ns0:v>0</ns0:v>
      </ns0:c>
      <ns0:c r="W478" s="0" t="str">
        <ns0:f>IF(C478=0,"",INDEX($AP$11:$AP$60,C478))</ns0:f>
        <ns0:v/>
      </ns0:c>
    </ns0:row>
    <ns0:row r="479">
      <ns0:c r="A479" s="0">
        <ns0:f>IF(COUNTA(Bookings!A479:G479,Bookings!I479)=0,0,1)</ns0:f>
        <ns0:v>0</ns0:v>
      </ns0:c>
      <ns0:c r="B479" s="0" t="str">
        <ns0:f>IFERROR(TRIM(MID(Bookings!A479,FIND(" · ",Bookings!A479)+3,99)),"")</ns0:f>
        <ns0:v/>
      </ns0:c>
      <ns0:c r="C479" s="0">
        <ns0:f>IF(OR(B479="",LEN(B479)&gt;24,ISNUMBER(FIND(" ",B479)),ISNUMBER(FIND("*",B479)),ISNUMBER(FIND("?",B479)),ISNUMBER(FIND("~",B479))),0,IFERROR(MATCH(B479,Team!$A$11:$A$60,0),0))</ns0:f>
        <ns0:v>0</ns0:v>
      </ns0:c>
      <ns0:c r="D479" s="0" t="str">
        <ns0:f>IFERROR(IF(MID(Bookings!F479,LEN(Bookings!F479)-3,3)=" · ",RIGHT(Bookings!F479,1),""),"")</ns0:f>
        <ns0:v/>
      </ns0:c>
      <ns0:c r="E479" s="0" t="str">
        <ns0:f>IFERROR(INDEX(Settings!$H$7:$H$11,MATCH(D479,Settings!$G$7:$G$11,0)),"")</ns0:f>
        <ns0:v/>
      </ns0:c>
      <ns0:c r="F479" s="0" t="str">
        <ns0:f>IF(A479=0,"",IFERROR(IF(OR(B479="",C479=0),"CHECK employee selection",IF(INDEX(Team!$O$11:$O$60,C479)&lt;&gt;"OK","CHECK employee setup",IF(OR('_Dates'!J479=0,'_Dates'!T479=0),"CHECK date: use DD.MM.YYYY",IF('_Dates'!T479&lt;'_Dates'!J479,"CHECK end before start",IF(AND($B$6=0,OR('_Dates'!J479&lt;Settings!$B$7,'_Dates'!T479&gt;Settings!$B$8)),"CHECK split across leave years",IF(OR(NOT(OR('_Dates'!U479="Full day",'_Dates'!U479="AM",'_Dates'!U479="PM")),NOT(OR('_Dates'!V479="Full day",'_Dates'!V479="AM",'_Dates'!V479="PM"))),"CHECK Full day / AM / PM",IF(AND('_Dates'!J479='_Dates'!T479,'_Dates'!U479&lt;&gt;"Full day",'_Dates'!V479&lt;&gt;"Full day",'_Dates'!U479&lt;&gt;'_Dates'!V479),"CHECK same-day portions disagree",IF(AND($B$6=0,OR(AND('_Dates'!U479&lt;&gt;"Full day",'_Dates'!AA479=0),AND('_Dates'!V479&lt;&gt;"Full day",'_Dates'!AB479=0))),"CHECK half-day on non-working date",IF(COUNTIF(Settings!$G$7:$G$11,D479)&lt;&gt;1,"CHECK leave type",IF(AND(Bookings!G479&lt;&gt;"Approved",Bookings!G479&lt;&gt;"Pending",Bookings!G479&lt;&gt;"Cancelled"),"CHECK status","OK")))))))))),"CHECK input"))</ns0:f>
        <ns0:v/>
      </ns0:c>
      <ns0:c r="G479" s="0">
        <ns0:f>IF(OR(F479&lt;&gt;"OK",$B$6&gt;0),0,0.5*(IF(('_Dates'!X479)&lt;('_Dates'!W479),0,INT((('_Dates'!X479)-('_Dates'!W479)+1)/7)*LEN(SUBSTITUTE(W479,"O",""))+LEN(SUBSTITUTE(MID(W479&amp;W479,WEEKDAY(('_Dates'!W479),2),MOD((('_Dates'!X479)-('_Dates'!W479)+1),7)),"O",""))-COUNTIFS(INDEX(AllClosureRows,C479,0),"&gt;="&amp;('_Dates'!W479),INDEX(AllClosureRows,C479,0),"&lt;="&amp;('_Dates'!X479)))+IF(('_Dates'!Z479)&lt;('_Dates'!Y479),0,INT((('_Dates'!Z479)-('_Dates'!Y479)+1)/7)*LEN(SUBSTITUTE(W479,"O",""))+LEN(SUBSTITUTE(MID(W479&amp;W479,WEEKDAY(('_Dates'!Y479),2),MOD((('_Dates'!Z479)-('_Dates'!Y479)+1),7)),"O",""))-COUNTIFS(INDEX(AllClosureRows,C479,0),"&gt;="&amp;('_Dates'!Y479),INDEX(AllClosureRows,C479,0),"&lt;="&amp;('_Dates'!Z479)))))</ns0:f>
        <ns0:v>0</ns0:v>
      </ns0:c>
      <ns0:c r="H479" s="0">
        <ns0:f>IF(OR(F479&lt;&gt;"OK",$B$6&gt;0),0,0.5*(IF((MIN('_Dates'!X479,Settings!$B$9))&lt;('_Dates'!W479),0,INT(((MIN('_Dates'!X479,Settings!$B$9))-('_Dates'!W479)+1)/7)*LEN(SUBSTITUTE(W479,"O",""))+LEN(SUBSTITUTE(MID(W479&amp;W479,WEEKDAY(('_Dates'!W479),2),MOD(((MIN('_Dates'!X479,Settings!$B$9))-('_Dates'!W479)+1),7)),"O",""))-COUNTIFS(INDEX(AllClosureRows,C479,0),"&gt;="&amp;('_Dates'!W479),INDEX(AllClosureRows,C479,0),"&lt;="&amp;(MIN('_Dates'!X479,Settings!$B$9))))+IF((MIN('_Dates'!Z479,Settings!$B$9))&lt;('_Dates'!Y479),0,INT(((MIN('_Dates'!Z479,Settings!$B$9))-('_Dates'!Y479)+1)/7)*LEN(SUBSTITUTE(W479,"O",""))+LEN(SUBSTITUTE(MID(W479&amp;W479,WEEKDAY(('_Dates'!Y479),2),MOD(((MIN('_Dates'!Z479,Settings!$B$9))-('_Dates'!Y479)+1),7)),"O",""))-COUNTIFS(INDEX(AllClosureRows,C479,0),"&gt;="&amp;('_Dates'!Y479),INDEX(AllClosureRows,C479,0),"&lt;="&amp;(MIN('_Dates'!Z479,Settings!$B$9))))))</ns0:f>
        <ns0:v>0</ns0:v>
      </ns0:c>
      <ns0:c r="I479" s="0">
        <ns0:f>MAX(0,G479-H479)</ns0:f>
        <ns0:v>0</ns0:v>
      </ns0:c>
      <ns0:c r="J479" s="0">
        <ns0:f>IF(OR(A479=0,F479&lt;&gt;"OK",Bookings!G479="Cancelled",$B$6&gt;0),0,IF('_Dates'!AC479=1,MAX(0,COUNTIFS(rngEngine_B,B479,rngAMStart,"&lt;="&amp;'_Dates'!X479,rngAMEnd,"&gt;="&amp;'_Dates'!W479,rngAMActive,1,rngEngine_F,"OK",rngBookings_F,"&lt;&gt;Cancelled")-1),0)+IF('_Dates'!AD479=1,MAX(0,COUNTIFS(rngEngine_B,B479,rngPMStart,"&lt;="&amp;'_Dates'!Z479,rngPMEnd,"&gt;="&amp;'_Dates'!Y479,rngPMActive,1,rngEngine_F,"OK",rngBookings_F,"&lt;&gt;Cancelled")-1),0))</ns0:f>
        <ns0:v>0</ns0:v>
      </ns0:c>
      <ns0:c r="K479" s="0" t="str">
        <ns0:f>IF(A479=0,"",IF(F479&lt;&gt;"OK",F479,IF(J479&gt;0,"CHECK overlapping entry",IF(AND($B$6=0,G479&lt;=0,Bookings!G479&lt;&gt;"Cancelled"),"CHECK no working days",IF(Bookings!G479="Cancelled","Cancelled","OK")))))</ns0:f>
        <ns0:v/>
      </ns0:c>
      <ns0:c r="L479" s="0">
        <ns0:f>IF(LEFT(K479,5)="CHECK",1,0)</ns0:f>
        <ns0:v>0</ns0:v>
      </ns0:c>
      <ns0:c r="M479" s="0">
        <ns0:f>IF(AND(L479=1,OR(C479=0,IFERROR(INDEX($X$11:$X$60,C479),0)=0)),1,0)</ns0:f>
        <ns0:v>0</ns0:v>
      </ns0:c>
      <ns0:c r="N479" s="0">
        <ns0:f>IF(OR(A479=0,L479&gt;0,$B$6&gt;0,Bookings!G479="Cancelled"),0,G479)</ns0:f>
        <ns0:v>0</ns0:v>
      </ns0:c>
      <ns0:c r="O479" s="0">
        <ns0:f>IF(AND(Bookings!G479="Approved",E479="Yes"),N479,0)</ns0:f>
        <ns0:v>0</ns0:v>
      </ns0:c>
      <ns0:c r="P479" s="0">
        <ns0:f>IF(AND(Bookings!G479="Approved",E479="Yes",L479=0,$B$6=0),H479,0)</ns0:f>
        <ns0:v>0</ns0:v>
      </ns0:c>
      <ns0:c r="Q479" s="0">
        <ns0:f>IF(AND(Bookings!G479="Approved",E479="Yes",L479=0,$B$6=0),I479,0)</ns0:f>
        <ns0:v>0</ns0:v>
      </ns0:c>
      <ns0:c r="R479" s="0">
        <ns0:f>IF(AND(Bookings!G479="Pending",E479="Yes"),N479,0)</ns0:f>
        <ns0:v>0</ns0:v>
      </ns0:c>
      <ns0:c r="S479" s="0">
        <ns0:f>IF(AND(Bookings!G479="Approved",E479="No"),N479,0)</ns0:f>
        <ns0:v>0</ns0:v>
      </ns0:c>
      <ns0:c r="T479" s="0">
        <ns0:f>IFERROR(MATCH(D479,Settings!$G$7:$G$11,0),0)</ns0:f>
        <ns0:v>0</ns0:v>
      </ns0:c>
      <ns0:c r="U479" s="0">
        <ns0:f>IF(N479&gt;0,T479+IF(Bookings!G479="Pending",10,0),0)</ns0:f>
        <ns0:v>0</ns0:v>
      </ns0:c>
      <ns0:c r="V479" s="0">
        <ns0:f>U479</ns0:f>
        <ns0:v>0</ns0:v>
      </ns0:c>
      <ns0:c r="W479" s="0" t="str">
        <ns0:f>IF(C479=0,"",INDEX($AP$11:$AP$60,C479))</ns0:f>
        <ns0:v/>
      </ns0:c>
    </ns0:row>
    <ns0:row r="480">
      <ns0:c r="A480" s="0">
        <ns0:f>IF(COUNTA(Bookings!A480:G480,Bookings!I480)=0,0,1)</ns0:f>
        <ns0:v>0</ns0:v>
      </ns0:c>
      <ns0:c r="B480" s="0" t="str">
        <ns0:f>IFERROR(TRIM(MID(Bookings!A480,FIND(" · ",Bookings!A480)+3,99)),"")</ns0:f>
        <ns0:v/>
      </ns0:c>
      <ns0:c r="C480" s="0">
        <ns0:f>IF(OR(B480="",LEN(B480)&gt;24,ISNUMBER(FIND(" ",B480)),ISNUMBER(FIND("*",B480)),ISNUMBER(FIND("?",B480)),ISNUMBER(FIND("~",B480))),0,IFERROR(MATCH(B480,Team!$A$11:$A$60,0),0))</ns0:f>
        <ns0:v>0</ns0:v>
      </ns0:c>
      <ns0:c r="D480" s="0" t="str">
        <ns0:f>IFERROR(IF(MID(Bookings!F480,LEN(Bookings!F480)-3,3)=" · ",RIGHT(Bookings!F480,1),""),"")</ns0:f>
        <ns0:v/>
      </ns0:c>
      <ns0:c r="E480" s="0" t="str">
        <ns0:f>IFERROR(INDEX(Settings!$H$7:$H$11,MATCH(D480,Settings!$G$7:$G$11,0)),"")</ns0:f>
        <ns0:v/>
      </ns0:c>
      <ns0:c r="F480" s="0" t="str">
        <ns0:f>IF(A480=0,"",IFERROR(IF(OR(B480="",C480=0),"CHECK employee selection",IF(INDEX(Team!$O$11:$O$60,C480)&lt;&gt;"OK","CHECK employee setup",IF(OR('_Dates'!J480=0,'_Dates'!T480=0),"CHECK date: use DD.MM.YYYY",IF('_Dates'!T480&lt;'_Dates'!J480,"CHECK end before start",IF(AND($B$6=0,OR('_Dates'!J480&lt;Settings!$B$7,'_Dates'!T480&gt;Settings!$B$8)),"CHECK split across leave years",IF(OR(NOT(OR('_Dates'!U480="Full day",'_Dates'!U480="AM",'_Dates'!U480="PM")),NOT(OR('_Dates'!V480="Full day",'_Dates'!V480="AM",'_Dates'!V480="PM"))),"CHECK Full day / AM / PM",IF(AND('_Dates'!J480='_Dates'!T480,'_Dates'!U480&lt;&gt;"Full day",'_Dates'!V480&lt;&gt;"Full day",'_Dates'!U480&lt;&gt;'_Dates'!V480),"CHECK same-day portions disagree",IF(AND($B$6=0,OR(AND('_Dates'!U480&lt;&gt;"Full day",'_Dates'!AA480=0),AND('_Dates'!V480&lt;&gt;"Full day",'_Dates'!AB480=0))),"CHECK half-day on non-working date",IF(COUNTIF(Settings!$G$7:$G$11,D480)&lt;&gt;1,"CHECK leave type",IF(AND(Bookings!G480&lt;&gt;"Approved",Bookings!G480&lt;&gt;"Pending",Bookings!G480&lt;&gt;"Cancelled"),"CHECK status","OK")))))))))),"CHECK input"))</ns0:f>
        <ns0:v/>
      </ns0:c>
      <ns0:c r="G480" s="0">
        <ns0:f>IF(OR(F480&lt;&gt;"OK",$B$6&gt;0),0,0.5*(IF(('_Dates'!X480)&lt;('_Dates'!W480),0,INT((('_Dates'!X480)-('_Dates'!W480)+1)/7)*LEN(SUBSTITUTE(W480,"O",""))+LEN(SUBSTITUTE(MID(W480&amp;W480,WEEKDAY(('_Dates'!W480),2),MOD((('_Dates'!X480)-('_Dates'!W480)+1),7)),"O",""))-COUNTIFS(INDEX(AllClosureRows,C480,0),"&gt;="&amp;('_Dates'!W480),INDEX(AllClosureRows,C480,0),"&lt;="&amp;('_Dates'!X480)))+IF(('_Dates'!Z480)&lt;('_Dates'!Y480),0,INT((('_Dates'!Z480)-('_Dates'!Y480)+1)/7)*LEN(SUBSTITUTE(W480,"O",""))+LEN(SUBSTITUTE(MID(W480&amp;W480,WEEKDAY(('_Dates'!Y480),2),MOD((('_Dates'!Z480)-('_Dates'!Y480)+1),7)),"O",""))-COUNTIFS(INDEX(AllClosureRows,C480,0),"&gt;="&amp;('_Dates'!Y480),INDEX(AllClosureRows,C480,0),"&lt;="&amp;('_Dates'!Z480)))))</ns0:f>
        <ns0:v>0</ns0:v>
      </ns0:c>
      <ns0:c r="H480" s="0">
        <ns0:f>IF(OR(F480&lt;&gt;"OK",$B$6&gt;0),0,0.5*(IF((MIN('_Dates'!X480,Settings!$B$9))&lt;('_Dates'!W480),0,INT(((MIN('_Dates'!X480,Settings!$B$9))-('_Dates'!W480)+1)/7)*LEN(SUBSTITUTE(W480,"O",""))+LEN(SUBSTITUTE(MID(W480&amp;W480,WEEKDAY(('_Dates'!W480),2),MOD(((MIN('_Dates'!X480,Settings!$B$9))-('_Dates'!W480)+1),7)),"O",""))-COUNTIFS(INDEX(AllClosureRows,C480,0),"&gt;="&amp;('_Dates'!W480),INDEX(AllClosureRows,C480,0),"&lt;="&amp;(MIN('_Dates'!X480,Settings!$B$9))))+IF((MIN('_Dates'!Z480,Settings!$B$9))&lt;('_Dates'!Y480),0,INT(((MIN('_Dates'!Z480,Settings!$B$9))-('_Dates'!Y480)+1)/7)*LEN(SUBSTITUTE(W480,"O",""))+LEN(SUBSTITUTE(MID(W480&amp;W480,WEEKDAY(('_Dates'!Y480),2),MOD(((MIN('_Dates'!Z480,Settings!$B$9))-('_Dates'!Y480)+1),7)),"O",""))-COUNTIFS(INDEX(AllClosureRows,C480,0),"&gt;="&amp;('_Dates'!Y480),INDEX(AllClosureRows,C480,0),"&lt;="&amp;(MIN('_Dates'!Z480,Settings!$B$9))))))</ns0:f>
        <ns0:v>0</ns0:v>
      </ns0:c>
      <ns0:c r="I480" s="0">
        <ns0:f>MAX(0,G480-H480)</ns0:f>
        <ns0:v>0</ns0:v>
      </ns0:c>
      <ns0:c r="J480" s="0">
        <ns0:f>IF(OR(A480=0,F480&lt;&gt;"OK",Bookings!G480="Cancelled",$B$6&gt;0),0,IF('_Dates'!AC480=1,MAX(0,COUNTIFS(rngEngine_B,B480,rngAMStart,"&lt;="&amp;'_Dates'!X480,rngAMEnd,"&gt;="&amp;'_Dates'!W480,rngAMActive,1,rngEngine_F,"OK",rngBookings_F,"&lt;&gt;Cancelled")-1),0)+IF('_Dates'!AD480=1,MAX(0,COUNTIFS(rngEngine_B,B480,rngPMStart,"&lt;="&amp;'_Dates'!Z480,rngPMEnd,"&gt;="&amp;'_Dates'!Y480,rngPMActive,1,rngEngine_F,"OK",rngBookings_F,"&lt;&gt;Cancelled")-1),0))</ns0:f>
        <ns0:v>0</ns0:v>
      </ns0:c>
      <ns0:c r="K480" s="0" t="str">
        <ns0:f>IF(A480=0,"",IF(F480&lt;&gt;"OK",F480,IF(J480&gt;0,"CHECK overlapping entry",IF(AND($B$6=0,G480&lt;=0,Bookings!G480&lt;&gt;"Cancelled"),"CHECK no working days",IF(Bookings!G480="Cancelled","Cancelled","OK")))))</ns0:f>
        <ns0:v/>
      </ns0:c>
      <ns0:c r="L480" s="0">
        <ns0:f>IF(LEFT(K480,5)="CHECK",1,0)</ns0:f>
        <ns0:v>0</ns0:v>
      </ns0:c>
      <ns0:c r="M480" s="0">
        <ns0:f>IF(AND(L480=1,OR(C480=0,IFERROR(INDEX($X$11:$X$60,C480),0)=0)),1,0)</ns0:f>
        <ns0:v>0</ns0:v>
      </ns0:c>
      <ns0:c r="N480" s="0">
        <ns0:f>IF(OR(A480=0,L480&gt;0,$B$6&gt;0,Bookings!G480="Cancelled"),0,G480)</ns0:f>
        <ns0:v>0</ns0:v>
      </ns0:c>
      <ns0:c r="O480" s="0">
        <ns0:f>IF(AND(Bookings!G480="Approved",E480="Yes"),N480,0)</ns0:f>
        <ns0:v>0</ns0:v>
      </ns0:c>
      <ns0:c r="P480" s="0">
        <ns0:f>IF(AND(Bookings!G480="Approved",E480="Yes",L480=0,$B$6=0),H480,0)</ns0:f>
        <ns0:v>0</ns0:v>
      </ns0:c>
      <ns0:c r="Q480" s="0">
        <ns0:f>IF(AND(Bookings!G480="Approved",E480="Yes",L480=0,$B$6=0),I480,0)</ns0:f>
        <ns0:v>0</ns0:v>
      </ns0:c>
      <ns0:c r="R480" s="0">
        <ns0:f>IF(AND(Bookings!G480="Pending",E480="Yes"),N480,0)</ns0:f>
        <ns0:v>0</ns0:v>
      </ns0:c>
      <ns0:c r="S480" s="0">
        <ns0:f>IF(AND(Bookings!G480="Approved",E480="No"),N480,0)</ns0:f>
        <ns0:v>0</ns0:v>
      </ns0:c>
      <ns0:c r="T480" s="0">
        <ns0:f>IFERROR(MATCH(D480,Settings!$G$7:$G$11,0),0)</ns0:f>
        <ns0:v>0</ns0:v>
      </ns0:c>
      <ns0:c r="U480" s="0">
        <ns0:f>IF(N480&gt;0,T480+IF(Bookings!G480="Pending",10,0),0)</ns0:f>
        <ns0:v>0</ns0:v>
      </ns0:c>
      <ns0:c r="V480" s="0">
        <ns0:f>U480</ns0:f>
        <ns0:v>0</ns0:v>
      </ns0:c>
      <ns0:c r="W480" s="0" t="str">
        <ns0:f>IF(C480=0,"",INDEX($AP$11:$AP$60,C480))</ns0:f>
        <ns0:v/>
      </ns0:c>
    </ns0:row>
    <ns0:row r="481">
      <ns0:c r="A481" s="0">
        <ns0:f>IF(COUNTA(Bookings!A481:G481,Bookings!I481)=0,0,1)</ns0:f>
        <ns0:v>0</ns0:v>
      </ns0:c>
      <ns0:c r="B481" s="0" t="str">
        <ns0:f>IFERROR(TRIM(MID(Bookings!A481,FIND(" · ",Bookings!A481)+3,99)),"")</ns0:f>
        <ns0:v/>
      </ns0:c>
      <ns0:c r="C481" s="0">
        <ns0:f>IF(OR(B481="",LEN(B481)&gt;24,ISNUMBER(FIND(" ",B481)),ISNUMBER(FIND("*",B481)),ISNUMBER(FIND("?",B481)),ISNUMBER(FIND("~",B481))),0,IFERROR(MATCH(B481,Team!$A$11:$A$60,0),0))</ns0:f>
        <ns0:v>0</ns0:v>
      </ns0:c>
      <ns0:c r="D481" s="0" t="str">
        <ns0:f>IFERROR(IF(MID(Bookings!F481,LEN(Bookings!F481)-3,3)=" · ",RIGHT(Bookings!F481,1),""),"")</ns0:f>
        <ns0:v/>
      </ns0:c>
      <ns0:c r="E481" s="0" t="str">
        <ns0:f>IFERROR(INDEX(Settings!$H$7:$H$11,MATCH(D481,Settings!$G$7:$G$11,0)),"")</ns0:f>
        <ns0:v/>
      </ns0:c>
      <ns0:c r="F481" s="0" t="str">
        <ns0:f>IF(A481=0,"",IFERROR(IF(OR(B481="",C481=0),"CHECK employee selection",IF(INDEX(Team!$O$11:$O$60,C481)&lt;&gt;"OK","CHECK employee setup",IF(OR('_Dates'!J481=0,'_Dates'!T481=0),"CHECK date: use DD.MM.YYYY",IF('_Dates'!T481&lt;'_Dates'!J481,"CHECK end before start",IF(AND($B$6=0,OR('_Dates'!J481&lt;Settings!$B$7,'_Dates'!T481&gt;Settings!$B$8)),"CHECK split across leave years",IF(OR(NOT(OR('_Dates'!U481="Full day",'_Dates'!U481="AM",'_Dates'!U481="PM")),NOT(OR('_Dates'!V481="Full day",'_Dates'!V481="AM",'_Dates'!V481="PM"))),"CHECK Full day / AM / PM",IF(AND('_Dates'!J481='_Dates'!T481,'_Dates'!U481&lt;&gt;"Full day",'_Dates'!V481&lt;&gt;"Full day",'_Dates'!U481&lt;&gt;'_Dates'!V481),"CHECK same-day portions disagree",IF(AND($B$6=0,OR(AND('_Dates'!U481&lt;&gt;"Full day",'_Dates'!AA481=0),AND('_Dates'!V481&lt;&gt;"Full day",'_Dates'!AB481=0))),"CHECK half-day on non-working date",IF(COUNTIF(Settings!$G$7:$G$11,D481)&lt;&gt;1,"CHECK leave type",IF(AND(Bookings!G481&lt;&gt;"Approved",Bookings!G481&lt;&gt;"Pending",Bookings!G481&lt;&gt;"Cancelled"),"CHECK status","OK")))))))))),"CHECK input"))</ns0:f>
        <ns0:v/>
      </ns0:c>
      <ns0:c r="G481" s="0">
        <ns0:f>IF(OR(F481&lt;&gt;"OK",$B$6&gt;0),0,0.5*(IF(('_Dates'!X481)&lt;('_Dates'!W481),0,INT((('_Dates'!X481)-('_Dates'!W481)+1)/7)*LEN(SUBSTITUTE(W481,"O",""))+LEN(SUBSTITUTE(MID(W481&amp;W481,WEEKDAY(('_Dates'!W481),2),MOD((('_Dates'!X481)-('_Dates'!W481)+1),7)),"O",""))-COUNTIFS(INDEX(AllClosureRows,C481,0),"&gt;="&amp;('_Dates'!W481),INDEX(AllClosureRows,C481,0),"&lt;="&amp;('_Dates'!X481)))+IF(('_Dates'!Z481)&lt;('_Dates'!Y481),0,INT((('_Dates'!Z481)-('_Dates'!Y481)+1)/7)*LEN(SUBSTITUTE(W481,"O",""))+LEN(SUBSTITUTE(MID(W481&amp;W481,WEEKDAY(('_Dates'!Y481),2),MOD((('_Dates'!Z481)-('_Dates'!Y481)+1),7)),"O",""))-COUNTIFS(INDEX(AllClosureRows,C481,0),"&gt;="&amp;('_Dates'!Y481),INDEX(AllClosureRows,C481,0),"&lt;="&amp;('_Dates'!Z481)))))</ns0:f>
        <ns0:v>0</ns0:v>
      </ns0:c>
      <ns0:c r="H481" s="0">
        <ns0:f>IF(OR(F481&lt;&gt;"OK",$B$6&gt;0),0,0.5*(IF((MIN('_Dates'!X481,Settings!$B$9))&lt;('_Dates'!W481),0,INT(((MIN('_Dates'!X481,Settings!$B$9))-('_Dates'!W481)+1)/7)*LEN(SUBSTITUTE(W481,"O",""))+LEN(SUBSTITUTE(MID(W481&amp;W481,WEEKDAY(('_Dates'!W481),2),MOD(((MIN('_Dates'!X481,Settings!$B$9))-('_Dates'!W481)+1),7)),"O",""))-COUNTIFS(INDEX(AllClosureRows,C481,0),"&gt;="&amp;('_Dates'!W481),INDEX(AllClosureRows,C481,0),"&lt;="&amp;(MIN('_Dates'!X481,Settings!$B$9))))+IF((MIN('_Dates'!Z481,Settings!$B$9))&lt;('_Dates'!Y481),0,INT(((MIN('_Dates'!Z481,Settings!$B$9))-('_Dates'!Y481)+1)/7)*LEN(SUBSTITUTE(W481,"O",""))+LEN(SUBSTITUTE(MID(W481&amp;W481,WEEKDAY(('_Dates'!Y481),2),MOD(((MIN('_Dates'!Z481,Settings!$B$9))-('_Dates'!Y481)+1),7)),"O",""))-COUNTIFS(INDEX(AllClosureRows,C481,0),"&gt;="&amp;('_Dates'!Y481),INDEX(AllClosureRows,C481,0),"&lt;="&amp;(MIN('_Dates'!Z481,Settings!$B$9))))))</ns0:f>
        <ns0:v>0</ns0:v>
      </ns0:c>
      <ns0:c r="I481" s="0">
        <ns0:f>MAX(0,G481-H481)</ns0:f>
        <ns0:v>0</ns0:v>
      </ns0:c>
      <ns0:c r="J481" s="0">
        <ns0:f>IF(OR(A481=0,F481&lt;&gt;"OK",Bookings!G481="Cancelled",$B$6&gt;0),0,IF('_Dates'!AC481=1,MAX(0,COUNTIFS(rngEngine_B,B481,rngAMStart,"&lt;="&amp;'_Dates'!X481,rngAMEnd,"&gt;="&amp;'_Dates'!W481,rngAMActive,1,rngEngine_F,"OK",rngBookings_F,"&lt;&gt;Cancelled")-1),0)+IF('_Dates'!AD481=1,MAX(0,COUNTIFS(rngEngine_B,B481,rngPMStart,"&lt;="&amp;'_Dates'!Z481,rngPMEnd,"&gt;="&amp;'_Dates'!Y481,rngPMActive,1,rngEngine_F,"OK",rngBookings_F,"&lt;&gt;Cancelled")-1),0))</ns0:f>
        <ns0:v>0</ns0:v>
      </ns0:c>
      <ns0:c r="K481" s="0" t="str">
        <ns0:f>IF(A481=0,"",IF(F481&lt;&gt;"OK",F481,IF(J481&gt;0,"CHECK overlapping entry",IF(AND($B$6=0,G481&lt;=0,Bookings!G481&lt;&gt;"Cancelled"),"CHECK no working days",IF(Bookings!G481="Cancelled","Cancelled","OK")))))</ns0:f>
        <ns0:v/>
      </ns0:c>
      <ns0:c r="L481" s="0">
        <ns0:f>IF(LEFT(K481,5)="CHECK",1,0)</ns0:f>
        <ns0:v>0</ns0:v>
      </ns0:c>
      <ns0:c r="M481" s="0">
        <ns0:f>IF(AND(L481=1,OR(C481=0,IFERROR(INDEX($X$11:$X$60,C481),0)=0)),1,0)</ns0:f>
        <ns0:v>0</ns0:v>
      </ns0:c>
      <ns0:c r="N481" s="0">
        <ns0:f>IF(OR(A481=0,L481&gt;0,$B$6&gt;0,Bookings!G481="Cancelled"),0,G481)</ns0:f>
        <ns0:v>0</ns0:v>
      </ns0:c>
      <ns0:c r="O481" s="0">
        <ns0:f>IF(AND(Bookings!G481="Approved",E481="Yes"),N481,0)</ns0:f>
        <ns0:v>0</ns0:v>
      </ns0:c>
      <ns0:c r="P481" s="0">
        <ns0:f>IF(AND(Bookings!G481="Approved",E481="Yes",L481=0,$B$6=0),H481,0)</ns0:f>
        <ns0:v>0</ns0:v>
      </ns0:c>
      <ns0:c r="Q481" s="0">
        <ns0:f>IF(AND(Bookings!G481="Approved",E481="Yes",L481=0,$B$6=0),I481,0)</ns0:f>
        <ns0:v>0</ns0:v>
      </ns0:c>
      <ns0:c r="R481" s="0">
        <ns0:f>IF(AND(Bookings!G481="Pending",E481="Yes"),N481,0)</ns0:f>
        <ns0:v>0</ns0:v>
      </ns0:c>
      <ns0:c r="S481" s="0">
        <ns0:f>IF(AND(Bookings!G481="Approved",E481="No"),N481,0)</ns0:f>
        <ns0:v>0</ns0:v>
      </ns0:c>
      <ns0:c r="T481" s="0">
        <ns0:f>IFERROR(MATCH(D481,Settings!$G$7:$G$11,0),0)</ns0:f>
        <ns0:v>0</ns0:v>
      </ns0:c>
      <ns0:c r="U481" s="0">
        <ns0:f>IF(N481&gt;0,T481+IF(Bookings!G481="Pending",10,0),0)</ns0:f>
        <ns0:v>0</ns0:v>
      </ns0:c>
      <ns0:c r="V481" s="0">
        <ns0:f>U481</ns0:f>
        <ns0:v>0</ns0:v>
      </ns0:c>
      <ns0:c r="W481" s="0" t="str">
        <ns0:f>IF(C481=0,"",INDEX($AP$11:$AP$60,C481))</ns0:f>
        <ns0:v/>
      </ns0:c>
    </ns0:row>
    <ns0:row r="482">
      <ns0:c r="A482" s="0">
        <ns0:f>IF(COUNTA(Bookings!A482:G482,Bookings!I482)=0,0,1)</ns0:f>
        <ns0:v>0</ns0:v>
      </ns0:c>
      <ns0:c r="B482" s="0" t="str">
        <ns0:f>IFERROR(TRIM(MID(Bookings!A482,FIND(" · ",Bookings!A482)+3,99)),"")</ns0:f>
        <ns0:v/>
      </ns0:c>
      <ns0:c r="C482" s="0">
        <ns0:f>IF(OR(B482="",LEN(B482)&gt;24,ISNUMBER(FIND(" ",B482)),ISNUMBER(FIND("*",B482)),ISNUMBER(FIND("?",B482)),ISNUMBER(FIND("~",B482))),0,IFERROR(MATCH(B482,Team!$A$11:$A$60,0),0))</ns0:f>
        <ns0:v>0</ns0:v>
      </ns0:c>
      <ns0:c r="D482" s="0" t="str">
        <ns0:f>IFERROR(IF(MID(Bookings!F482,LEN(Bookings!F482)-3,3)=" · ",RIGHT(Bookings!F482,1),""),"")</ns0:f>
        <ns0:v/>
      </ns0:c>
      <ns0:c r="E482" s="0" t="str">
        <ns0:f>IFERROR(INDEX(Settings!$H$7:$H$11,MATCH(D482,Settings!$G$7:$G$11,0)),"")</ns0:f>
        <ns0:v/>
      </ns0:c>
      <ns0:c r="F482" s="0" t="str">
        <ns0:f>IF(A482=0,"",IFERROR(IF(OR(B482="",C482=0),"CHECK employee selection",IF(INDEX(Team!$O$11:$O$60,C482)&lt;&gt;"OK","CHECK employee setup",IF(OR('_Dates'!J482=0,'_Dates'!T482=0),"CHECK date: use DD.MM.YYYY",IF('_Dates'!T482&lt;'_Dates'!J482,"CHECK end before start",IF(AND($B$6=0,OR('_Dates'!J482&lt;Settings!$B$7,'_Dates'!T482&gt;Settings!$B$8)),"CHECK split across leave years",IF(OR(NOT(OR('_Dates'!U482="Full day",'_Dates'!U482="AM",'_Dates'!U482="PM")),NOT(OR('_Dates'!V482="Full day",'_Dates'!V482="AM",'_Dates'!V482="PM"))),"CHECK Full day / AM / PM",IF(AND('_Dates'!J482='_Dates'!T482,'_Dates'!U482&lt;&gt;"Full day",'_Dates'!V482&lt;&gt;"Full day",'_Dates'!U482&lt;&gt;'_Dates'!V482),"CHECK same-day portions disagree",IF(AND($B$6=0,OR(AND('_Dates'!U482&lt;&gt;"Full day",'_Dates'!AA482=0),AND('_Dates'!V482&lt;&gt;"Full day",'_Dates'!AB482=0))),"CHECK half-day on non-working date",IF(COUNTIF(Settings!$G$7:$G$11,D482)&lt;&gt;1,"CHECK leave type",IF(AND(Bookings!G482&lt;&gt;"Approved",Bookings!G482&lt;&gt;"Pending",Bookings!G482&lt;&gt;"Cancelled"),"CHECK status","OK")))))))))),"CHECK input"))</ns0:f>
        <ns0:v/>
      </ns0:c>
      <ns0:c r="G482" s="0">
        <ns0:f>IF(OR(F482&lt;&gt;"OK",$B$6&gt;0),0,0.5*(IF(('_Dates'!X482)&lt;('_Dates'!W482),0,INT((('_Dates'!X482)-('_Dates'!W482)+1)/7)*LEN(SUBSTITUTE(W482,"O",""))+LEN(SUBSTITUTE(MID(W482&amp;W482,WEEKDAY(('_Dates'!W482),2),MOD((('_Dates'!X482)-('_Dates'!W482)+1),7)),"O",""))-COUNTIFS(INDEX(AllClosureRows,C482,0),"&gt;="&amp;('_Dates'!W482),INDEX(AllClosureRows,C482,0),"&lt;="&amp;('_Dates'!X482)))+IF(('_Dates'!Z482)&lt;('_Dates'!Y482),0,INT((('_Dates'!Z482)-('_Dates'!Y482)+1)/7)*LEN(SUBSTITUTE(W482,"O",""))+LEN(SUBSTITUTE(MID(W482&amp;W482,WEEKDAY(('_Dates'!Y482),2),MOD((('_Dates'!Z482)-('_Dates'!Y482)+1),7)),"O",""))-COUNTIFS(INDEX(AllClosureRows,C482,0),"&gt;="&amp;('_Dates'!Y482),INDEX(AllClosureRows,C482,0),"&lt;="&amp;('_Dates'!Z482)))))</ns0:f>
        <ns0:v>0</ns0:v>
      </ns0:c>
      <ns0:c r="H482" s="0">
        <ns0:f>IF(OR(F482&lt;&gt;"OK",$B$6&gt;0),0,0.5*(IF((MIN('_Dates'!X482,Settings!$B$9))&lt;('_Dates'!W482),0,INT(((MIN('_Dates'!X482,Settings!$B$9))-('_Dates'!W482)+1)/7)*LEN(SUBSTITUTE(W482,"O",""))+LEN(SUBSTITUTE(MID(W482&amp;W482,WEEKDAY(('_Dates'!W482),2),MOD(((MIN('_Dates'!X482,Settings!$B$9))-('_Dates'!W482)+1),7)),"O",""))-COUNTIFS(INDEX(AllClosureRows,C482,0),"&gt;="&amp;('_Dates'!W482),INDEX(AllClosureRows,C482,0),"&lt;="&amp;(MIN('_Dates'!X482,Settings!$B$9))))+IF((MIN('_Dates'!Z482,Settings!$B$9))&lt;('_Dates'!Y482),0,INT(((MIN('_Dates'!Z482,Settings!$B$9))-('_Dates'!Y482)+1)/7)*LEN(SUBSTITUTE(W482,"O",""))+LEN(SUBSTITUTE(MID(W482&amp;W482,WEEKDAY(('_Dates'!Y482),2),MOD(((MIN('_Dates'!Z482,Settings!$B$9))-('_Dates'!Y482)+1),7)),"O",""))-COUNTIFS(INDEX(AllClosureRows,C482,0),"&gt;="&amp;('_Dates'!Y482),INDEX(AllClosureRows,C482,0),"&lt;="&amp;(MIN('_Dates'!Z482,Settings!$B$9))))))</ns0:f>
        <ns0:v>0</ns0:v>
      </ns0:c>
      <ns0:c r="I482" s="0">
        <ns0:f>MAX(0,G482-H482)</ns0:f>
        <ns0:v>0</ns0:v>
      </ns0:c>
      <ns0:c r="J482" s="0">
        <ns0:f>IF(OR(A482=0,F482&lt;&gt;"OK",Bookings!G482="Cancelled",$B$6&gt;0),0,IF('_Dates'!AC482=1,MAX(0,COUNTIFS(rngEngine_B,B482,rngAMStart,"&lt;="&amp;'_Dates'!X482,rngAMEnd,"&gt;="&amp;'_Dates'!W482,rngAMActive,1,rngEngine_F,"OK",rngBookings_F,"&lt;&gt;Cancelled")-1),0)+IF('_Dates'!AD482=1,MAX(0,COUNTIFS(rngEngine_B,B482,rngPMStart,"&lt;="&amp;'_Dates'!Z482,rngPMEnd,"&gt;="&amp;'_Dates'!Y482,rngPMActive,1,rngEngine_F,"OK",rngBookings_F,"&lt;&gt;Cancelled")-1),0))</ns0:f>
        <ns0:v>0</ns0:v>
      </ns0:c>
      <ns0:c r="K482" s="0" t="str">
        <ns0:f>IF(A482=0,"",IF(F482&lt;&gt;"OK",F482,IF(J482&gt;0,"CHECK overlapping entry",IF(AND($B$6=0,G482&lt;=0,Bookings!G482&lt;&gt;"Cancelled"),"CHECK no working days",IF(Bookings!G482="Cancelled","Cancelled","OK")))))</ns0:f>
        <ns0:v/>
      </ns0:c>
      <ns0:c r="L482" s="0">
        <ns0:f>IF(LEFT(K482,5)="CHECK",1,0)</ns0:f>
        <ns0:v>0</ns0:v>
      </ns0:c>
      <ns0:c r="M482" s="0">
        <ns0:f>IF(AND(L482=1,OR(C482=0,IFERROR(INDEX($X$11:$X$60,C482),0)=0)),1,0)</ns0:f>
        <ns0:v>0</ns0:v>
      </ns0:c>
      <ns0:c r="N482" s="0">
        <ns0:f>IF(OR(A482=0,L482&gt;0,$B$6&gt;0,Bookings!G482="Cancelled"),0,G482)</ns0:f>
        <ns0:v>0</ns0:v>
      </ns0:c>
      <ns0:c r="O482" s="0">
        <ns0:f>IF(AND(Bookings!G482="Approved",E482="Yes"),N482,0)</ns0:f>
        <ns0:v>0</ns0:v>
      </ns0:c>
      <ns0:c r="P482" s="0">
        <ns0:f>IF(AND(Bookings!G482="Approved",E482="Yes",L482=0,$B$6=0),H482,0)</ns0:f>
        <ns0:v>0</ns0:v>
      </ns0:c>
      <ns0:c r="Q482" s="0">
        <ns0:f>IF(AND(Bookings!G482="Approved",E482="Yes",L482=0,$B$6=0),I482,0)</ns0:f>
        <ns0:v>0</ns0:v>
      </ns0:c>
      <ns0:c r="R482" s="0">
        <ns0:f>IF(AND(Bookings!G482="Pending",E482="Yes"),N482,0)</ns0:f>
        <ns0:v>0</ns0:v>
      </ns0:c>
      <ns0:c r="S482" s="0">
        <ns0:f>IF(AND(Bookings!G482="Approved",E482="No"),N482,0)</ns0:f>
        <ns0:v>0</ns0:v>
      </ns0:c>
      <ns0:c r="T482" s="0">
        <ns0:f>IFERROR(MATCH(D482,Settings!$G$7:$G$11,0),0)</ns0:f>
        <ns0:v>0</ns0:v>
      </ns0:c>
      <ns0:c r="U482" s="0">
        <ns0:f>IF(N482&gt;0,T482+IF(Bookings!G482="Pending",10,0),0)</ns0:f>
        <ns0:v>0</ns0:v>
      </ns0:c>
      <ns0:c r="V482" s="0">
        <ns0:f>U482</ns0:f>
        <ns0:v>0</ns0:v>
      </ns0:c>
      <ns0:c r="W482" s="0" t="str">
        <ns0:f>IF(C482=0,"",INDEX($AP$11:$AP$60,C482))</ns0:f>
        <ns0:v/>
      </ns0:c>
    </ns0:row>
    <ns0:row r="483">
      <ns0:c r="A483" s="0">
        <ns0:f>IF(COUNTA(Bookings!A483:G483,Bookings!I483)=0,0,1)</ns0:f>
        <ns0:v>0</ns0:v>
      </ns0:c>
      <ns0:c r="B483" s="0" t="str">
        <ns0:f>IFERROR(TRIM(MID(Bookings!A483,FIND(" · ",Bookings!A483)+3,99)),"")</ns0:f>
        <ns0:v/>
      </ns0:c>
      <ns0:c r="C483" s="0">
        <ns0:f>IF(OR(B483="",LEN(B483)&gt;24,ISNUMBER(FIND(" ",B483)),ISNUMBER(FIND("*",B483)),ISNUMBER(FIND("?",B483)),ISNUMBER(FIND("~",B483))),0,IFERROR(MATCH(B483,Team!$A$11:$A$60,0),0))</ns0:f>
        <ns0:v>0</ns0:v>
      </ns0:c>
      <ns0:c r="D483" s="0" t="str">
        <ns0:f>IFERROR(IF(MID(Bookings!F483,LEN(Bookings!F483)-3,3)=" · ",RIGHT(Bookings!F483,1),""),"")</ns0:f>
        <ns0:v/>
      </ns0:c>
      <ns0:c r="E483" s="0" t="str">
        <ns0:f>IFERROR(INDEX(Settings!$H$7:$H$11,MATCH(D483,Settings!$G$7:$G$11,0)),"")</ns0:f>
        <ns0:v/>
      </ns0:c>
      <ns0:c r="F483" s="0" t="str">
        <ns0:f>IF(A483=0,"",IFERROR(IF(OR(B483="",C483=0),"CHECK employee selection",IF(INDEX(Team!$O$11:$O$60,C483)&lt;&gt;"OK","CHECK employee setup",IF(OR('_Dates'!J483=0,'_Dates'!T483=0),"CHECK date: use DD.MM.YYYY",IF('_Dates'!T483&lt;'_Dates'!J483,"CHECK end before start",IF(AND($B$6=0,OR('_Dates'!J483&lt;Settings!$B$7,'_Dates'!T483&gt;Settings!$B$8)),"CHECK split across leave years",IF(OR(NOT(OR('_Dates'!U483="Full day",'_Dates'!U483="AM",'_Dates'!U483="PM")),NOT(OR('_Dates'!V483="Full day",'_Dates'!V483="AM",'_Dates'!V483="PM"))),"CHECK Full day / AM / PM",IF(AND('_Dates'!J483='_Dates'!T483,'_Dates'!U483&lt;&gt;"Full day",'_Dates'!V483&lt;&gt;"Full day",'_Dates'!U483&lt;&gt;'_Dates'!V483),"CHECK same-day portions disagree",IF(AND($B$6=0,OR(AND('_Dates'!U483&lt;&gt;"Full day",'_Dates'!AA483=0),AND('_Dates'!V483&lt;&gt;"Full day",'_Dates'!AB483=0))),"CHECK half-day on non-working date",IF(COUNTIF(Settings!$G$7:$G$11,D483)&lt;&gt;1,"CHECK leave type",IF(AND(Bookings!G483&lt;&gt;"Approved",Bookings!G483&lt;&gt;"Pending",Bookings!G483&lt;&gt;"Cancelled"),"CHECK status","OK")))))))))),"CHECK input"))</ns0:f>
        <ns0:v/>
      </ns0:c>
      <ns0:c r="G483" s="0">
        <ns0:f>IF(OR(F483&lt;&gt;"OK",$B$6&gt;0),0,0.5*(IF(('_Dates'!X483)&lt;('_Dates'!W483),0,INT((('_Dates'!X483)-('_Dates'!W483)+1)/7)*LEN(SUBSTITUTE(W483,"O",""))+LEN(SUBSTITUTE(MID(W483&amp;W483,WEEKDAY(('_Dates'!W483),2),MOD((('_Dates'!X483)-('_Dates'!W483)+1),7)),"O",""))-COUNTIFS(INDEX(AllClosureRows,C483,0),"&gt;="&amp;('_Dates'!W483),INDEX(AllClosureRows,C483,0),"&lt;="&amp;('_Dates'!X483)))+IF(('_Dates'!Z483)&lt;('_Dates'!Y483),0,INT((('_Dates'!Z483)-('_Dates'!Y483)+1)/7)*LEN(SUBSTITUTE(W483,"O",""))+LEN(SUBSTITUTE(MID(W483&amp;W483,WEEKDAY(('_Dates'!Y483),2),MOD((('_Dates'!Z483)-('_Dates'!Y483)+1),7)),"O",""))-COUNTIFS(INDEX(AllClosureRows,C483,0),"&gt;="&amp;('_Dates'!Y483),INDEX(AllClosureRows,C483,0),"&lt;="&amp;('_Dates'!Z483)))))</ns0:f>
        <ns0:v>0</ns0:v>
      </ns0:c>
      <ns0:c r="H483" s="0">
        <ns0:f>IF(OR(F483&lt;&gt;"OK",$B$6&gt;0),0,0.5*(IF((MIN('_Dates'!X483,Settings!$B$9))&lt;('_Dates'!W483),0,INT(((MIN('_Dates'!X483,Settings!$B$9))-('_Dates'!W483)+1)/7)*LEN(SUBSTITUTE(W483,"O",""))+LEN(SUBSTITUTE(MID(W483&amp;W483,WEEKDAY(('_Dates'!W483),2),MOD(((MIN('_Dates'!X483,Settings!$B$9))-('_Dates'!W483)+1),7)),"O",""))-COUNTIFS(INDEX(AllClosureRows,C483,0),"&gt;="&amp;('_Dates'!W483),INDEX(AllClosureRows,C483,0),"&lt;="&amp;(MIN('_Dates'!X483,Settings!$B$9))))+IF((MIN('_Dates'!Z483,Settings!$B$9))&lt;('_Dates'!Y483),0,INT(((MIN('_Dates'!Z483,Settings!$B$9))-('_Dates'!Y483)+1)/7)*LEN(SUBSTITUTE(W483,"O",""))+LEN(SUBSTITUTE(MID(W483&amp;W483,WEEKDAY(('_Dates'!Y483),2),MOD(((MIN('_Dates'!Z483,Settings!$B$9))-('_Dates'!Y483)+1),7)),"O",""))-COUNTIFS(INDEX(AllClosureRows,C483,0),"&gt;="&amp;('_Dates'!Y483),INDEX(AllClosureRows,C483,0),"&lt;="&amp;(MIN('_Dates'!Z483,Settings!$B$9))))))</ns0:f>
        <ns0:v>0</ns0:v>
      </ns0:c>
      <ns0:c r="I483" s="0">
        <ns0:f>MAX(0,G483-H483)</ns0:f>
        <ns0:v>0</ns0:v>
      </ns0:c>
      <ns0:c r="J483" s="0">
        <ns0:f>IF(OR(A483=0,F483&lt;&gt;"OK",Bookings!G483="Cancelled",$B$6&gt;0),0,IF('_Dates'!AC483=1,MAX(0,COUNTIFS(rngEngine_B,B483,rngAMStart,"&lt;="&amp;'_Dates'!X483,rngAMEnd,"&gt;="&amp;'_Dates'!W483,rngAMActive,1,rngEngine_F,"OK",rngBookings_F,"&lt;&gt;Cancelled")-1),0)+IF('_Dates'!AD483=1,MAX(0,COUNTIFS(rngEngine_B,B483,rngPMStart,"&lt;="&amp;'_Dates'!Z483,rngPMEnd,"&gt;="&amp;'_Dates'!Y483,rngPMActive,1,rngEngine_F,"OK",rngBookings_F,"&lt;&gt;Cancelled")-1),0))</ns0:f>
        <ns0:v>0</ns0:v>
      </ns0:c>
      <ns0:c r="K483" s="0" t="str">
        <ns0:f>IF(A483=0,"",IF(F483&lt;&gt;"OK",F483,IF(J483&gt;0,"CHECK overlapping entry",IF(AND($B$6=0,G483&lt;=0,Bookings!G483&lt;&gt;"Cancelled"),"CHECK no working days",IF(Bookings!G483="Cancelled","Cancelled","OK")))))</ns0:f>
        <ns0:v/>
      </ns0:c>
      <ns0:c r="L483" s="0">
        <ns0:f>IF(LEFT(K483,5)="CHECK",1,0)</ns0:f>
        <ns0:v>0</ns0:v>
      </ns0:c>
      <ns0:c r="M483" s="0">
        <ns0:f>IF(AND(L483=1,OR(C483=0,IFERROR(INDEX($X$11:$X$60,C483),0)=0)),1,0)</ns0:f>
        <ns0:v>0</ns0:v>
      </ns0:c>
      <ns0:c r="N483" s="0">
        <ns0:f>IF(OR(A483=0,L483&gt;0,$B$6&gt;0,Bookings!G483="Cancelled"),0,G483)</ns0:f>
        <ns0:v>0</ns0:v>
      </ns0:c>
      <ns0:c r="O483" s="0">
        <ns0:f>IF(AND(Bookings!G483="Approved",E483="Yes"),N483,0)</ns0:f>
        <ns0:v>0</ns0:v>
      </ns0:c>
      <ns0:c r="P483" s="0">
        <ns0:f>IF(AND(Bookings!G483="Approved",E483="Yes",L483=0,$B$6=0),H483,0)</ns0:f>
        <ns0:v>0</ns0:v>
      </ns0:c>
      <ns0:c r="Q483" s="0">
        <ns0:f>IF(AND(Bookings!G483="Approved",E483="Yes",L483=0,$B$6=0),I483,0)</ns0:f>
        <ns0:v>0</ns0:v>
      </ns0:c>
      <ns0:c r="R483" s="0">
        <ns0:f>IF(AND(Bookings!G483="Pending",E483="Yes"),N483,0)</ns0:f>
        <ns0:v>0</ns0:v>
      </ns0:c>
      <ns0:c r="S483" s="0">
        <ns0:f>IF(AND(Bookings!G483="Approved",E483="No"),N483,0)</ns0:f>
        <ns0:v>0</ns0:v>
      </ns0:c>
      <ns0:c r="T483" s="0">
        <ns0:f>IFERROR(MATCH(D483,Settings!$G$7:$G$11,0),0)</ns0:f>
        <ns0:v>0</ns0:v>
      </ns0:c>
      <ns0:c r="U483" s="0">
        <ns0:f>IF(N483&gt;0,T483+IF(Bookings!G483="Pending",10,0),0)</ns0:f>
        <ns0:v>0</ns0:v>
      </ns0:c>
      <ns0:c r="V483" s="0">
        <ns0:f>U483</ns0:f>
        <ns0:v>0</ns0:v>
      </ns0:c>
      <ns0:c r="W483" s="0" t="str">
        <ns0:f>IF(C483=0,"",INDEX($AP$11:$AP$60,C483))</ns0:f>
        <ns0:v/>
      </ns0:c>
    </ns0:row>
    <ns0:row r="484">
      <ns0:c r="A484" s="0">
        <ns0:f>IF(COUNTA(Bookings!A484:G484,Bookings!I484)=0,0,1)</ns0:f>
        <ns0:v>0</ns0:v>
      </ns0:c>
      <ns0:c r="B484" s="0" t="str">
        <ns0:f>IFERROR(TRIM(MID(Bookings!A484,FIND(" · ",Bookings!A484)+3,99)),"")</ns0:f>
        <ns0:v/>
      </ns0:c>
      <ns0:c r="C484" s="0">
        <ns0:f>IF(OR(B484="",LEN(B484)&gt;24,ISNUMBER(FIND(" ",B484)),ISNUMBER(FIND("*",B484)),ISNUMBER(FIND("?",B484)),ISNUMBER(FIND("~",B484))),0,IFERROR(MATCH(B484,Team!$A$11:$A$60,0),0))</ns0:f>
        <ns0:v>0</ns0:v>
      </ns0:c>
      <ns0:c r="D484" s="0" t="str">
        <ns0:f>IFERROR(IF(MID(Bookings!F484,LEN(Bookings!F484)-3,3)=" · ",RIGHT(Bookings!F484,1),""),"")</ns0:f>
        <ns0:v/>
      </ns0:c>
      <ns0:c r="E484" s="0" t="str">
        <ns0:f>IFERROR(INDEX(Settings!$H$7:$H$11,MATCH(D484,Settings!$G$7:$G$11,0)),"")</ns0:f>
        <ns0:v/>
      </ns0:c>
      <ns0:c r="F484" s="0" t="str">
        <ns0:f>IF(A484=0,"",IFERROR(IF(OR(B484="",C484=0),"CHECK employee selection",IF(INDEX(Team!$O$11:$O$60,C484)&lt;&gt;"OK","CHECK employee setup",IF(OR('_Dates'!J484=0,'_Dates'!T484=0),"CHECK date: use DD.MM.YYYY",IF('_Dates'!T484&lt;'_Dates'!J484,"CHECK end before start",IF(AND($B$6=0,OR('_Dates'!J484&lt;Settings!$B$7,'_Dates'!T484&gt;Settings!$B$8)),"CHECK split across leave years",IF(OR(NOT(OR('_Dates'!U484="Full day",'_Dates'!U484="AM",'_Dates'!U484="PM")),NOT(OR('_Dates'!V484="Full day",'_Dates'!V484="AM",'_Dates'!V484="PM"))),"CHECK Full day / AM / PM",IF(AND('_Dates'!J484='_Dates'!T484,'_Dates'!U484&lt;&gt;"Full day",'_Dates'!V484&lt;&gt;"Full day",'_Dates'!U484&lt;&gt;'_Dates'!V484),"CHECK same-day portions disagree",IF(AND($B$6=0,OR(AND('_Dates'!U484&lt;&gt;"Full day",'_Dates'!AA484=0),AND('_Dates'!V484&lt;&gt;"Full day",'_Dates'!AB484=0))),"CHECK half-day on non-working date",IF(COUNTIF(Settings!$G$7:$G$11,D484)&lt;&gt;1,"CHECK leave type",IF(AND(Bookings!G484&lt;&gt;"Approved",Bookings!G484&lt;&gt;"Pending",Bookings!G484&lt;&gt;"Cancelled"),"CHECK status","OK")))))))))),"CHECK input"))</ns0:f>
        <ns0:v/>
      </ns0:c>
      <ns0:c r="G484" s="0">
        <ns0:f>IF(OR(F484&lt;&gt;"OK",$B$6&gt;0),0,0.5*(IF(('_Dates'!X484)&lt;('_Dates'!W484),0,INT((('_Dates'!X484)-('_Dates'!W484)+1)/7)*LEN(SUBSTITUTE(W484,"O",""))+LEN(SUBSTITUTE(MID(W484&amp;W484,WEEKDAY(('_Dates'!W484),2),MOD((('_Dates'!X484)-('_Dates'!W484)+1),7)),"O",""))-COUNTIFS(INDEX(AllClosureRows,C484,0),"&gt;="&amp;('_Dates'!W484),INDEX(AllClosureRows,C484,0),"&lt;="&amp;('_Dates'!X484)))+IF(('_Dates'!Z484)&lt;('_Dates'!Y484),0,INT((('_Dates'!Z484)-('_Dates'!Y484)+1)/7)*LEN(SUBSTITUTE(W484,"O",""))+LEN(SUBSTITUTE(MID(W484&amp;W484,WEEKDAY(('_Dates'!Y484),2),MOD((('_Dates'!Z484)-('_Dates'!Y484)+1),7)),"O",""))-COUNTIFS(INDEX(AllClosureRows,C484,0),"&gt;="&amp;('_Dates'!Y484),INDEX(AllClosureRows,C484,0),"&lt;="&amp;('_Dates'!Z484)))))</ns0:f>
        <ns0:v>0</ns0:v>
      </ns0:c>
      <ns0:c r="H484" s="0">
        <ns0:f>IF(OR(F484&lt;&gt;"OK",$B$6&gt;0),0,0.5*(IF((MIN('_Dates'!X484,Settings!$B$9))&lt;('_Dates'!W484),0,INT(((MIN('_Dates'!X484,Settings!$B$9))-('_Dates'!W484)+1)/7)*LEN(SUBSTITUTE(W484,"O",""))+LEN(SUBSTITUTE(MID(W484&amp;W484,WEEKDAY(('_Dates'!W484),2),MOD(((MIN('_Dates'!X484,Settings!$B$9))-('_Dates'!W484)+1),7)),"O",""))-COUNTIFS(INDEX(AllClosureRows,C484,0),"&gt;="&amp;('_Dates'!W484),INDEX(AllClosureRows,C484,0),"&lt;="&amp;(MIN('_Dates'!X484,Settings!$B$9))))+IF((MIN('_Dates'!Z484,Settings!$B$9))&lt;('_Dates'!Y484),0,INT(((MIN('_Dates'!Z484,Settings!$B$9))-('_Dates'!Y484)+1)/7)*LEN(SUBSTITUTE(W484,"O",""))+LEN(SUBSTITUTE(MID(W484&amp;W484,WEEKDAY(('_Dates'!Y484),2),MOD(((MIN('_Dates'!Z484,Settings!$B$9))-('_Dates'!Y484)+1),7)),"O",""))-COUNTIFS(INDEX(AllClosureRows,C484,0),"&gt;="&amp;('_Dates'!Y484),INDEX(AllClosureRows,C484,0),"&lt;="&amp;(MIN('_Dates'!Z484,Settings!$B$9))))))</ns0:f>
        <ns0:v>0</ns0:v>
      </ns0:c>
      <ns0:c r="I484" s="0">
        <ns0:f>MAX(0,G484-H484)</ns0:f>
        <ns0:v>0</ns0:v>
      </ns0:c>
      <ns0:c r="J484" s="0">
        <ns0:f>IF(OR(A484=0,F484&lt;&gt;"OK",Bookings!G484="Cancelled",$B$6&gt;0),0,IF('_Dates'!AC484=1,MAX(0,COUNTIFS(rngEngine_B,B484,rngAMStart,"&lt;="&amp;'_Dates'!X484,rngAMEnd,"&gt;="&amp;'_Dates'!W484,rngAMActive,1,rngEngine_F,"OK",rngBookings_F,"&lt;&gt;Cancelled")-1),0)+IF('_Dates'!AD484=1,MAX(0,COUNTIFS(rngEngine_B,B484,rngPMStart,"&lt;="&amp;'_Dates'!Z484,rngPMEnd,"&gt;="&amp;'_Dates'!Y484,rngPMActive,1,rngEngine_F,"OK",rngBookings_F,"&lt;&gt;Cancelled")-1),0))</ns0:f>
        <ns0:v>0</ns0:v>
      </ns0:c>
      <ns0:c r="K484" s="0" t="str">
        <ns0:f>IF(A484=0,"",IF(F484&lt;&gt;"OK",F484,IF(J484&gt;0,"CHECK overlapping entry",IF(AND($B$6=0,G484&lt;=0,Bookings!G484&lt;&gt;"Cancelled"),"CHECK no working days",IF(Bookings!G484="Cancelled","Cancelled","OK")))))</ns0:f>
        <ns0:v/>
      </ns0:c>
      <ns0:c r="L484" s="0">
        <ns0:f>IF(LEFT(K484,5)="CHECK",1,0)</ns0:f>
        <ns0:v>0</ns0:v>
      </ns0:c>
      <ns0:c r="M484" s="0">
        <ns0:f>IF(AND(L484=1,OR(C484=0,IFERROR(INDEX($X$11:$X$60,C484),0)=0)),1,0)</ns0:f>
        <ns0:v>0</ns0:v>
      </ns0:c>
      <ns0:c r="N484" s="0">
        <ns0:f>IF(OR(A484=0,L484&gt;0,$B$6&gt;0,Bookings!G484="Cancelled"),0,G484)</ns0:f>
        <ns0:v>0</ns0:v>
      </ns0:c>
      <ns0:c r="O484" s="0">
        <ns0:f>IF(AND(Bookings!G484="Approved",E484="Yes"),N484,0)</ns0:f>
        <ns0:v>0</ns0:v>
      </ns0:c>
      <ns0:c r="P484" s="0">
        <ns0:f>IF(AND(Bookings!G484="Approved",E484="Yes",L484=0,$B$6=0),H484,0)</ns0:f>
        <ns0:v>0</ns0:v>
      </ns0:c>
      <ns0:c r="Q484" s="0">
        <ns0:f>IF(AND(Bookings!G484="Approved",E484="Yes",L484=0,$B$6=0),I484,0)</ns0:f>
        <ns0:v>0</ns0:v>
      </ns0:c>
      <ns0:c r="R484" s="0">
        <ns0:f>IF(AND(Bookings!G484="Pending",E484="Yes"),N484,0)</ns0:f>
        <ns0:v>0</ns0:v>
      </ns0:c>
      <ns0:c r="S484" s="0">
        <ns0:f>IF(AND(Bookings!G484="Approved",E484="No"),N484,0)</ns0:f>
        <ns0:v>0</ns0:v>
      </ns0:c>
      <ns0:c r="T484" s="0">
        <ns0:f>IFERROR(MATCH(D484,Settings!$G$7:$G$11,0),0)</ns0:f>
        <ns0:v>0</ns0:v>
      </ns0:c>
      <ns0:c r="U484" s="0">
        <ns0:f>IF(N484&gt;0,T484+IF(Bookings!G484="Pending",10,0),0)</ns0:f>
        <ns0:v>0</ns0:v>
      </ns0:c>
      <ns0:c r="V484" s="0">
        <ns0:f>U484</ns0:f>
        <ns0:v>0</ns0:v>
      </ns0:c>
      <ns0:c r="W484" s="0" t="str">
        <ns0:f>IF(C484=0,"",INDEX($AP$11:$AP$60,C484))</ns0:f>
        <ns0:v/>
      </ns0:c>
    </ns0:row>
    <ns0:row r="485">
      <ns0:c r="A485" s="0">
        <ns0:f>IF(COUNTA(Bookings!A485:G485,Bookings!I485)=0,0,1)</ns0:f>
        <ns0:v>0</ns0:v>
      </ns0:c>
      <ns0:c r="B485" s="0" t="str">
        <ns0:f>IFERROR(TRIM(MID(Bookings!A485,FIND(" · ",Bookings!A485)+3,99)),"")</ns0:f>
        <ns0:v/>
      </ns0:c>
      <ns0:c r="C485" s="0">
        <ns0:f>IF(OR(B485="",LEN(B485)&gt;24,ISNUMBER(FIND(" ",B485)),ISNUMBER(FIND("*",B485)),ISNUMBER(FIND("?",B485)),ISNUMBER(FIND("~",B485))),0,IFERROR(MATCH(B485,Team!$A$11:$A$60,0),0))</ns0:f>
        <ns0:v>0</ns0:v>
      </ns0:c>
      <ns0:c r="D485" s="0" t="str">
        <ns0:f>IFERROR(IF(MID(Bookings!F485,LEN(Bookings!F485)-3,3)=" · ",RIGHT(Bookings!F485,1),""),"")</ns0:f>
        <ns0:v/>
      </ns0:c>
      <ns0:c r="E485" s="0" t="str">
        <ns0:f>IFERROR(INDEX(Settings!$H$7:$H$11,MATCH(D485,Settings!$G$7:$G$11,0)),"")</ns0:f>
        <ns0:v/>
      </ns0:c>
      <ns0:c r="F485" s="0" t="str">
        <ns0:f>IF(A485=0,"",IFERROR(IF(OR(B485="",C485=0),"CHECK employee selection",IF(INDEX(Team!$O$11:$O$60,C485)&lt;&gt;"OK","CHECK employee setup",IF(OR('_Dates'!J485=0,'_Dates'!T485=0),"CHECK date: use DD.MM.YYYY",IF('_Dates'!T485&lt;'_Dates'!J485,"CHECK end before start",IF(AND($B$6=0,OR('_Dates'!J485&lt;Settings!$B$7,'_Dates'!T485&gt;Settings!$B$8)),"CHECK split across leave years",IF(OR(NOT(OR('_Dates'!U485="Full day",'_Dates'!U485="AM",'_Dates'!U485="PM")),NOT(OR('_Dates'!V485="Full day",'_Dates'!V485="AM",'_Dates'!V485="PM"))),"CHECK Full day / AM / PM",IF(AND('_Dates'!J485='_Dates'!T485,'_Dates'!U485&lt;&gt;"Full day",'_Dates'!V485&lt;&gt;"Full day",'_Dates'!U485&lt;&gt;'_Dates'!V485),"CHECK same-day portions disagree",IF(AND($B$6=0,OR(AND('_Dates'!U485&lt;&gt;"Full day",'_Dates'!AA485=0),AND('_Dates'!V485&lt;&gt;"Full day",'_Dates'!AB485=0))),"CHECK half-day on non-working date",IF(COUNTIF(Settings!$G$7:$G$11,D485)&lt;&gt;1,"CHECK leave type",IF(AND(Bookings!G485&lt;&gt;"Approved",Bookings!G485&lt;&gt;"Pending",Bookings!G485&lt;&gt;"Cancelled"),"CHECK status","OK")))))))))),"CHECK input"))</ns0:f>
        <ns0:v/>
      </ns0:c>
      <ns0:c r="G485" s="0">
        <ns0:f>IF(OR(F485&lt;&gt;"OK",$B$6&gt;0),0,0.5*(IF(('_Dates'!X485)&lt;('_Dates'!W485),0,INT((('_Dates'!X485)-('_Dates'!W485)+1)/7)*LEN(SUBSTITUTE(W485,"O",""))+LEN(SUBSTITUTE(MID(W485&amp;W485,WEEKDAY(('_Dates'!W485),2),MOD((('_Dates'!X485)-('_Dates'!W485)+1),7)),"O",""))-COUNTIFS(INDEX(AllClosureRows,C485,0),"&gt;="&amp;('_Dates'!W485),INDEX(AllClosureRows,C485,0),"&lt;="&amp;('_Dates'!X485)))+IF(('_Dates'!Z485)&lt;('_Dates'!Y485),0,INT((('_Dates'!Z485)-('_Dates'!Y485)+1)/7)*LEN(SUBSTITUTE(W485,"O",""))+LEN(SUBSTITUTE(MID(W485&amp;W485,WEEKDAY(('_Dates'!Y485),2),MOD((('_Dates'!Z485)-('_Dates'!Y485)+1),7)),"O",""))-COUNTIFS(INDEX(AllClosureRows,C485,0),"&gt;="&amp;('_Dates'!Y485),INDEX(AllClosureRows,C485,0),"&lt;="&amp;('_Dates'!Z485)))))</ns0:f>
        <ns0:v>0</ns0:v>
      </ns0:c>
      <ns0:c r="H485" s="0">
        <ns0:f>IF(OR(F485&lt;&gt;"OK",$B$6&gt;0),0,0.5*(IF((MIN('_Dates'!X485,Settings!$B$9))&lt;('_Dates'!W485),0,INT(((MIN('_Dates'!X485,Settings!$B$9))-('_Dates'!W485)+1)/7)*LEN(SUBSTITUTE(W485,"O",""))+LEN(SUBSTITUTE(MID(W485&amp;W485,WEEKDAY(('_Dates'!W485),2),MOD(((MIN('_Dates'!X485,Settings!$B$9))-('_Dates'!W485)+1),7)),"O",""))-COUNTIFS(INDEX(AllClosureRows,C485,0),"&gt;="&amp;('_Dates'!W485),INDEX(AllClosureRows,C485,0),"&lt;="&amp;(MIN('_Dates'!X485,Settings!$B$9))))+IF((MIN('_Dates'!Z485,Settings!$B$9))&lt;('_Dates'!Y485),0,INT(((MIN('_Dates'!Z485,Settings!$B$9))-('_Dates'!Y485)+1)/7)*LEN(SUBSTITUTE(W485,"O",""))+LEN(SUBSTITUTE(MID(W485&amp;W485,WEEKDAY(('_Dates'!Y485),2),MOD(((MIN('_Dates'!Z485,Settings!$B$9))-('_Dates'!Y485)+1),7)),"O",""))-COUNTIFS(INDEX(AllClosureRows,C485,0),"&gt;="&amp;('_Dates'!Y485),INDEX(AllClosureRows,C485,0),"&lt;="&amp;(MIN('_Dates'!Z485,Settings!$B$9))))))</ns0:f>
        <ns0:v>0</ns0:v>
      </ns0:c>
      <ns0:c r="I485" s="0">
        <ns0:f>MAX(0,G485-H485)</ns0:f>
        <ns0:v>0</ns0:v>
      </ns0:c>
      <ns0:c r="J485" s="0">
        <ns0:f>IF(OR(A485=0,F485&lt;&gt;"OK",Bookings!G485="Cancelled",$B$6&gt;0),0,IF('_Dates'!AC485=1,MAX(0,COUNTIFS(rngEngine_B,B485,rngAMStart,"&lt;="&amp;'_Dates'!X485,rngAMEnd,"&gt;="&amp;'_Dates'!W485,rngAMActive,1,rngEngine_F,"OK",rngBookings_F,"&lt;&gt;Cancelled")-1),0)+IF('_Dates'!AD485=1,MAX(0,COUNTIFS(rngEngine_B,B485,rngPMStart,"&lt;="&amp;'_Dates'!Z485,rngPMEnd,"&gt;="&amp;'_Dates'!Y485,rngPMActive,1,rngEngine_F,"OK",rngBookings_F,"&lt;&gt;Cancelled")-1),0))</ns0:f>
        <ns0:v>0</ns0:v>
      </ns0:c>
      <ns0:c r="K485" s="0" t="str">
        <ns0:f>IF(A485=0,"",IF(F485&lt;&gt;"OK",F485,IF(J485&gt;0,"CHECK overlapping entry",IF(AND($B$6=0,G485&lt;=0,Bookings!G485&lt;&gt;"Cancelled"),"CHECK no working days",IF(Bookings!G485="Cancelled","Cancelled","OK")))))</ns0:f>
        <ns0:v/>
      </ns0:c>
      <ns0:c r="L485" s="0">
        <ns0:f>IF(LEFT(K485,5)="CHECK",1,0)</ns0:f>
        <ns0:v>0</ns0:v>
      </ns0:c>
      <ns0:c r="M485" s="0">
        <ns0:f>IF(AND(L485=1,OR(C485=0,IFERROR(INDEX($X$11:$X$60,C485),0)=0)),1,0)</ns0:f>
        <ns0:v>0</ns0:v>
      </ns0:c>
      <ns0:c r="N485" s="0">
        <ns0:f>IF(OR(A485=0,L485&gt;0,$B$6&gt;0,Bookings!G485="Cancelled"),0,G485)</ns0:f>
        <ns0:v>0</ns0:v>
      </ns0:c>
      <ns0:c r="O485" s="0">
        <ns0:f>IF(AND(Bookings!G485="Approved",E485="Yes"),N485,0)</ns0:f>
        <ns0:v>0</ns0:v>
      </ns0:c>
      <ns0:c r="P485" s="0">
        <ns0:f>IF(AND(Bookings!G485="Approved",E485="Yes",L485=0,$B$6=0),H485,0)</ns0:f>
        <ns0:v>0</ns0:v>
      </ns0:c>
      <ns0:c r="Q485" s="0">
        <ns0:f>IF(AND(Bookings!G485="Approved",E485="Yes",L485=0,$B$6=0),I485,0)</ns0:f>
        <ns0:v>0</ns0:v>
      </ns0:c>
      <ns0:c r="R485" s="0">
        <ns0:f>IF(AND(Bookings!G485="Pending",E485="Yes"),N485,0)</ns0:f>
        <ns0:v>0</ns0:v>
      </ns0:c>
      <ns0:c r="S485" s="0">
        <ns0:f>IF(AND(Bookings!G485="Approved",E485="No"),N485,0)</ns0:f>
        <ns0:v>0</ns0:v>
      </ns0:c>
      <ns0:c r="T485" s="0">
        <ns0:f>IFERROR(MATCH(D485,Settings!$G$7:$G$11,0),0)</ns0:f>
        <ns0:v>0</ns0:v>
      </ns0:c>
      <ns0:c r="U485" s="0">
        <ns0:f>IF(N485&gt;0,T485+IF(Bookings!G485="Pending",10,0),0)</ns0:f>
        <ns0:v>0</ns0:v>
      </ns0:c>
      <ns0:c r="V485" s="0">
        <ns0:f>U485</ns0:f>
        <ns0:v>0</ns0:v>
      </ns0:c>
      <ns0:c r="W485" s="0" t="str">
        <ns0:f>IF(C485=0,"",INDEX($AP$11:$AP$60,C485))</ns0:f>
        <ns0:v/>
      </ns0:c>
    </ns0:row>
    <ns0:row r="486">
      <ns0:c r="A486" s="0">
        <ns0:f>IF(COUNTA(Bookings!A486:G486,Bookings!I486)=0,0,1)</ns0:f>
        <ns0:v>0</ns0:v>
      </ns0:c>
      <ns0:c r="B486" s="0" t="str">
        <ns0:f>IFERROR(TRIM(MID(Bookings!A486,FIND(" · ",Bookings!A486)+3,99)),"")</ns0:f>
        <ns0:v/>
      </ns0:c>
      <ns0:c r="C486" s="0">
        <ns0:f>IF(OR(B486="",LEN(B486)&gt;24,ISNUMBER(FIND(" ",B486)),ISNUMBER(FIND("*",B486)),ISNUMBER(FIND("?",B486)),ISNUMBER(FIND("~",B486))),0,IFERROR(MATCH(B486,Team!$A$11:$A$60,0),0))</ns0:f>
        <ns0:v>0</ns0:v>
      </ns0:c>
      <ns0:c r="D486" s="0" t="str">
        <ns0:f>IFERROR(IF(MID(Bookings!F486,LEN(Bookings!F486)-3,3)=" · ",RIGHT(Bookings!F486,1),""),"")</ns0:f>
        <ns0:v/>
      </ns0:c>
      <ns0:c r="E486" s="0" t="str">
        <ns0:f>IFERROR(INDEX(Settings!$H$7:$H$11,MATCH(D486,Settings!$G$7:$G$11,0)),"")</ns0:f>
        <ns0:v/>
      </ns0:c>
      <ns0:c r="F486" s="0" t="str">
        <ns0:f>IF(A486=0,"",IFERROR(IF(OR(B486="",C486=0),"CHECK employee selection",IF(INDEX(Team!$O$11:$O$60,C486)&lt;&gt;"OK","CHECK employee setup",IF(OR('_Dates'!J486=0,'_Dates'!T486=0),"CHECK date: use DD.MM.YYYY",IF('_Dates'!T486&lt;'_Dates'!J486,"CHECK end before start",IF(AND($B$6=0,OR('_Dates'!J486&lt;Settings!$B$7,'_Dates'!T486&gt;Settings!$B$8)),"CHECK split across leave years",IF(OR(NOT(OR('_Dates'!U486="Full day",'_Dates'!U486="AM",'_Dates'!U486="PM")),NOT(OR('_Dates'!V486="Full day",'_Dates'!V486="AM",'_Dates'!V486="PM"))),"CHECK Full day / AM / PM",IF(AND('_Dates'!J486='_Dates'!T486,'_Dates'!U486&lt;&gt;"Full day",'_Dates'!V486&lt;&gt;"Full day",'_Dates'!U486&lt;&gt;'_Dates'!V486),"CHECK same-day portions disagree",IF(AND($B$6=0,OR(AND('_Dates'!U486&lt;&gt;"Full day",'_Dates'!AA486=0),AND('_Dates'!V486&lt;&gt;"Full day",'_Dates'!AB486=0))),"CHECK half-day on non-working date",IF(COUNTIF(Settings!$G$7:$G$11,D486)&lt;&gt;1,"CHECK leave type",IF(AND(Bookings!G486&lt;&gt;"Approved",Bookings!G486&lt;&gt;"Pending",Bookings!G486&lt;&gt;"Cancelled"),"CHECK status","OK")))))))))),"CHECK input"))</ns0:f>
        <ns0:v/>
      </ns0:c>
      <ns0:c r="G486" s="0">
        <ns0:f>IF(OR(F486&lt;&gt;"OK",$B$6&gt;0),0,0.5*(IF(('_Dates'!X486)&lt;('_Dates'!W486),0,INT((('_Dates'!X486)-('_Dates'!W486)+1)/7)*LEN(SUBSTITUTE(W486,"O",""))+LEN(SUBSTITUTE(MID(W486&amp;W486,WEEKDAY(('_Dates'!W486),2),MOD((('_Dates'!X486)-('_Dates'!W486)+1),7)),"O",""))-COUNTIFS(INDEX(AllClosureRows,C486,0),"&gt;="&amp;('_Dates'!W486),INDEX(AllClosureRows,C486,0),"&lt;="&amp;('_Dates'!X486)))+IF(('_Dates'!Z486)&lt;('_Dates'!Y486),0,INT((('_Dates'!Z486)-('_Dates'!Y486)+1)/7)*LEN(SUBSTITUTE(W486,"O",""))+LEN(SUBSTITUTE(MID(W486&amp;W486,WEEKDAY(('_Dates'!Y486),2),MOD((('_Dates'!Z486)-('_Dates'!Y486)+1),7)),"O",""))-COUNTIFS(INDEX(AllClosureRows,C486,0),"&gt;="&amp;('_Dates'!Y486),INDEX(AllClosureRows,C486,0),"&lt;="&amp;('_Dates'!Z486)))))</ns0:f>
        <ns0:v>0</ns0:v>
      </ns0:c>
      <ns0:c r="H486" s="0">
        <ns0:f>IF(OR(F486&lt;&gt;"OK",$B$6&gt;0),0,0.5*(IF((MIN('_Dates'!X486,Settings!$B$9))&lt;('_Dates'!W486),0,INT(((MIN('_Dates'!X486,Settings!$B$9))-('_Dates'!W486)+1)/7)*LEN(SUBSTITUTE(W486,"O",""))+LEN(SUBSTITUTE(MID(W486&amp;W486,WEEKDAY(('_Dates'!W486),2),MOD(((MIN('_Dates'!X486,Settings!$B$9))-('_Dates'!W486)+1),7)),"O",""))-COUNTIFS(INDEX(AllClosureRows,C486,0),"&gt;="&amp;('_Dates'!W486),INDEX(AllClosureRows,C486,0),"&lt;="&amp;(MIN('_Dates'!X486,Settings!$B$9))))+IF((MIN('_Dates'!Z486,Settings!$B$9))&lt;('_Dates'!Y486),0,INT(((MIN('_Dates'!Z486,Settings!$B$9))-('_Dates'!Y486)+1)/7)*LEN(SUBSTITUTE(W486,"O",""))+LEN(SUBSTITUTE(MID(W486&amp;W486,WEEKDAY(('_Dates'!Y486),2),MOD(((MIN('_Dates'!Z486,Settings!$B$9))-('_Dates'!Y486)+1),7)),"O",""))-COUNTIFS(INDEX(AllClosureRows,C486,0),"&gt;="&amp;('_Dates'!Y486),INDEX(AllClosureRows,C486,0),"&lt;="&amp;(MIN('_Dates'!Z486,Settings!$B$9))))))</ns0:f>
        <ns0:v>0</ns0:v>
      </ns0:c>
      <ns0:c r="I486" s="0">
        <ns0:f>MAX(0,G486-H486)</ns0:f>
        <ns0:v>0</ns0:v>
      </ns0:c>
      <ns0:c r="J486" s="0">
        <ns0:f>IF(OR(A486=0,F486&lt;&gt;"OK",Bookings!G486="Cancelled",$B$6&gt;0),0,IF('_Dates'!AC486=1,MAX(0,COUNTIFS(rngEngine_B,B486,rngAMStart,"&lt;="&amp;'_Dates'!X486,rngAMEnd,"&gt;="&amp;'_Dates'!W486,rngAMActive,1,rngEngine_F,"OK",rngBookings_F,"&lt;&gt;Cancelled")-1),0)+IF('_Dates'!AD486=1,MAX(0,COUNTIFS(rngEngine_B,B486,rngPMStart,"&lt;="&amp;'_Dates'!Z486,rngPMEnd,"&gt;="&amp;'_Dates'!Y486,rngPMActive,1,rngEngine_F,"OK",rngBookings_F,"&lt;&gt;Cancelled")-1),0))</ns0:f>
        <ns0:v>0</ns0:v>
      </ns0:c>
      <ns0:c r="K486" s="0" t="str">
        <ns0:f>IF(A486=0,"",IF(F486&lt;&gt;"OK",F486,IF(J486&gt;0,"CHECK overlapping entry",IF(AND($B$6=0,G486&lt;=0,Bookings!G486&lt;&gt;"Cancelled"),"CHECK no working days",IF(Bookings!G486="Cancelled","Cancelled","OK")))))</ns0:f>
        <ns0:v/>
      </ns0:c>
      <ns0:c r="L486" s="0">
        <ns0:f>IF(LEFT(K486,5)="CHECK",1,0)</ns0:f>
        <ns0:v>0</ns0:v>
      </ns0:c>
      <ns0:c r="M486" s="0">
        <ns0:f>IF(AND(L486=1,OR(C486=0,IFERROR(INDEX($X$11:$X$60,C486),0)=0)),1,0)</ns0:f>
        <ns0:v>0</ns0:v>
      </ns0:c>
      <ns0:c r="N486" s="0">
        <ns0:f>IF(OR(A486=0,L486&gt;0,$B$6&gt;0,Bookings!G486="Cancelled"),0,G486)</ns0:f>
        <ns0:v>0</ns0:v>
      </ns0:c>
      <ns0:c r="O486" s="0">
        <ns0:f>IF(AND(Bookings!G486="Approved",E486="Yes"),N486,0)</ns0:f>
        <ns0:v>0</ns0:v>
      </ns0:c>
      <ns0:c r="P486" s="0">
        <ns0:f>IF(AND(Bookings!G486="Approved",E486="Yes",L486=0,$B$6=0),H486,0)</ns0:f>
        <ns0:v>0</ns0:v>
      </ns0:c>
      <ns0:c r="Q486" s="0">
        <ns0:f>IF(AND(Bookings!G486="Approved",E486="Yes",L486=0,$B$6=0),I486,0)</ns0:f>
        <ns0:v>0</ns0:v>
      </ns0:c>
      <ns0:c r="R486" s="0">
        <ns0:f>IF(AND(Bookings!G486="Pending",E486="Yes"),N486,0)</ns0:f>
        <ns0:v>0</ns0:v>
      </ns0:c>
      <ns0:c r="S486" s="0">
        <ns0:f>IF(AND(Bookings!G486="Approved",E486="No"),N486,0)</ns0:f>
        <ns0:v>0</ns0:v>
      </ns0:c>
      <ns0:c r="T486" s="0">
        <ns0:f>IFERROR(MATCH(D486,Settings!$G$7:$G$11,0),0)</ns0:f>
        <ns0:v>0</ns0:v>
      </ns0:c>
      <ns0:c r="U486" s="0">
        <ns0:f>IF(N486&gt;0,T486+IF(Bookings!G486="Pending",10,0),0)</ns0:f>
        <ns0:v>0</ns0:v>
      </ns0:c>
      <ns0:c r="V486" s="0">
        <ns0:f>U486</ns0:f>
        <ns0:v>0</ns0:v>
      </ns0:c>
      <ns0:c r="W486" s="0" t="str">
        <ns0:f>IF(C486=0,"",INDEX($AP$11:$AP$60,C486))</ns0:f>
        <ns0:v/>
      </ns0:c>
    </ns0:row>
    <ns0:row r="487">
      <ns0:c r="A487" s="0">
        <ns0:f>IF(COUNTA(Bookings!A487:G487,Bookings!I487)=0,0,1)</ns0:f>
        <ns0:v>0</ns0:v>
      </ns0:c>
      <ns0:c r="B487" s="0" t="str">
        <ns0:f>IFERROR(TRIM(MID(Bookings!A487,FIND(" · ",Bookings!A487)+3,99)),"")</ns0:f>
        <ns0:v/>
      </ns0:c>
      <ns0:c r="C487" s="0">
        <ns0:f>IF(OR(B487="",LEN(B487)&gt;24,ISNUMBER(FIND(" ",B487)),ISNUMBER(FIND("*",B487)),ISNUMBER(FIND("?",B487)),ISNUMBER(FIND("~",B487))),0,IFERROR(MATCH(B487,Team!$A$11:$A$60,0),0))</ns0:f>
        <ns0:v>0</ns0:v>
      </ns0:c>
      <ns0:c r="D487" s="0" t="str">
        <ns0:f>IFERROR(IF(MID(Bookings!F487,LEN(Bookings!F487)-3,3)=" · ",RIGHT(Bookings!F487,1),""),"")</ns0:f>
        <ns0:v/>
      </ns0:c>
      <ns0:c r="E487" s="0" t="str">
        <ns0:f>IFERROR(INDEX(Settings!$H$7:$H$11,MATCH(D487,Settings!$G$7:$G$11,0)),"")</ns0:f>
        <ns0:v/>
      </ns0:c>
      <ns0:c r="F487" s="0" t="str">
        <ns0:f>IF(A487=0,"",IFERROR(IF(OR(B487="",C487=0),"CHECK employee selection",IF(INDEX(Team!$O$11:$O$60,C487)&lt;&gt;"OK","CHECK employee setup",IF(OR('_Dates'!J487=0,'_Dates'!T487=0),"CHECK date: use DD.MM.YYYY",IF('_Dates'!T487&lt;'_Dates'!J487,"CHECK end before start",IF(AND($B$6=0,OR('_Dates'!J487&lt;Settings!$B$7,'_Dates'!T487&gt;Settings!$B$8)),"CHECK split across leave years",IF(OR(NOT(OR('_Dates'!U487="Full day",'_Dates'!U487="AM",'_Dates'!U487="PM")),NOT(OR('_Dates'!V487="Full day",'_Dates'!V487="AM",'_Dates'!V487="PM"))),"CHECK Full day / AM / PM",IF(AND('_Dates'!J487='_Dates'!T487,'_Dates'!U487&lt;&gt;"Full day",'_Dates'!V487&lt;&gt;"Full day",'_Dates'!U487&lt;&gt;'_Dates'!V487),"CHECK same-day portions disagree",IF(AND($B$6=0,OR(AND('_Dates'!U487&lt;&gt;"Full day",'_Dates'!AA487=0),AND('_Dates'!V487&lt;&gt;"Full day",'_Dates'!AB487=0))),"CHECK half-day on non-working date",IF(COUNTIF(Settings!$G$7:$G$11,D487)&lt;&gt;1,"CHECK leave type",IF(AND(Bookings!G487&lt;&gt;"Approved",Bookings!G487&lt;&gt;"Pending",Bookings!G487&lt;&gt;"Cancelled"),"CHECK status","OK")))))))))),"CHECK input"))</ns0:f>
        <ns0:v/>
      </ns0:c>
      <ns0:c r="G487" s="0">
        <ns0:f>IF(OR(F487&lt;&gt;"OK",$B$6&gt;0),0,0.5*(IF(('_Dates'!X487)&lt;('_Dates'!W487),0,INT((('_Dates'!X487)-('_Dates'!W487)+1)/7)*LEN(SUBSTITUTE(W487,"O",""))+LEN(SUBSTITUTE(MID(W487&amp;W487,WEEKDAY(('_Dates'!W487),2),MOD((('_Dates'!X487)-('_Dates'!W487)+1),7)),"O",""))-COUNTIFS(INDEX(AllClosureRows,C487,0),"&gt;="&amp;('_Dates'!W487),INDEX(AllClosureRows,C487,0),"&lt;="&amp;('_Dates'!X487)))+IF(('_Dates'!Z487)&lt;('_Dates'!Y487),0,INT((('_Dates'!Z487)-('_Dates'!Y487)+1)/7)*LEN(SUBSTITUTE(W487,"O",""))+LEN(SUBSTITUTE(MID(W487&amp;W487,WEEKDAY(('_Dates'!Y487),2),MOD((('_Dates'!Z487)-('_Dates'!Y487)+1),7)),"O",""))-COUNTIFS(INDEX(AllClosureRows,C487,0),"&gt;="&amp;('_Dates'!Y487),INDEX(AllClosureRows,C487,0),"&lt;="&amp;('_Dates'!Z487)))))</ns0:f>
        <ns0:v>0</ns0:v>
      </ns0:c>
      <ns0:c r="H487" s="0">
        <ns0:f>IF(OR(F487&lt;&gt;"OK",$B$6&gt;0),0,0.5*(IF((MIN('_Dates'!X487,Settings!$B$9))&lt;('_Dates'!W487),0,INT(((MIN('_Dates'!X487,Settings!$B$9))-('_Dates'!W487)+1)/7)*LEN(SUBSTITUTE(W487,"O",""))+LEN(SUBSTITUTE(MID(W487&amp;W487,WEEKDAY(('_Dates'!W487),2),MOD(((MIN('_Dates'!X487,Settings!$B$9))-('_Dates'!W487)+1),7)),"O",""))-COUNTIFS(INDEX(AllClosureRows,C487,0),"&gt;="&amp;('_Dates'!W487),INDEX(AllClosureRows,C487,0),"&lt;="&amp;(MIN('_Dates'!X487,Settings!$B$9))))+IF((MIN('_Dates'!Z487,Settings!$B$9))&lt;('_Dates'!Y487),0,INT(((MIN('_Dates'!Z487,Settings!$B$9))-('_Dates'!Y487)+1)/7)*LEN(SUBSTITUTE(W487,"O",""))+LEN(SUBSTITUTE(MID(W487&amp;W487,WEEKDAY(('_Dates'!Y487),2),MOD(((MIN('_Dates'!Z487,Settings!$B$9))-('_Dates'!Y487)+1),7)),"O",""))-COUNTIFS(INDEX(AllClosureRows,C487,0),"&gt;="&amp;('_Dates'!Y487),INDEX(AllClosureRows,C487,0),"&lt;="&amp;(MIN('_Dates'!Z487,Settings!$B$9))))))</ns0:f>
        <ns0:v>0</ns0:v>
      </ns0:c>
      <ns0:c r="I487" s="0">
        <ns0:f>MAX(0,G487-H487)</ns0:f>
        <ns0:v>0</ns0:v>
      </ns0:c>
      <ns0:c r="J487" s="0">
        <ns0:f>IF(OR(A487=0,F487&lt;&gt;"OK",Bookings!G487="Cancelled",$B$6&gt;0),0,IF('_Dates'!AC487=1,MAX(0,COUNTIFS(rngEngine_B,B487,rngAMStart,"&lt;="&amp;'_Dates'!X487,rngAMEnd,"&gt;="&amp;'_Dates'!W487,rngAMActive,1,rngEngine_F,"OK",rngBookings_F,"&lt;&gt;Cancelled")-1),0)+IF('_Dates'!AD487=1,MAX(0,COUNTIFS(rngEngine_B,B487,rngPMStart,"&lt;="&amp;'_Dates'!Z487,rngPMEnd,"&gt;="&amp;'_Dates'!Y487,rngPMActive,1,rngEngine_F,"OK",rngBookings_F,"&lt;&gt;Cancelled")-1),0))</ns0:f>
        <ns0:v>0</ns0:v>
      </ns0:c>
      <ns0:c r="K487" s="0" t="str">
        <ns0:f>IF(A487=0,"",IF(F487&lt;&gt;"OK",F487,IF(J487&gt;0,"CHECK overlapping entry",IF(AND($B$6=0,G487&lt;=0,Bookings!G487&lt;&gt;"Cancelled"),"CHECK no working days",IF(Bookings!G487="Cancelled","Cancelled","OK")))))</ns0:f>
        <ns0:v/>
      </ns0:c>
      <ns0:c r="L487" s="0">
        <ns0:f>IF(LEFT(K487,5)="CHECK",1,0)</ns0:f>
        <ns0:v>0</ns0:v>
      </ns0:c>
      <ns0:c r="M487" s="0">
        <ns0:f>IF(AND(L487=1,OR(C487=0,IFERROR(INDEX($X$11:$X$60,C487),0)=0)),1,0)</ns0:f>
        <ns0:v>0</ns0:v>
      </ns0:c>
      <ns0:c r="N487" s="0">
        <ns0:f>IF(OR(A487=0,L487&gt;0,$B$6&gt;0,Bookings!G487="Cancelled"),0,G487)</ns0:f>
        <ns0:v>0</ns0:v>
      </ns0:c>
      <ns0:c r="O487" s="0">
        <ns0:f>IF(AND(Bookings!G487="Approved",E487="Yes"),N487,0)</ns0:f>
        <ns0:v>0</ns0:v>
      </ns0:c>
      <ns0:c r="P487" s="0">
        <ns0:f>IF(AND(Bookings!G487="Approved",E487="Yes",L487=0,$B$6=0),H487,0)</ns0:f>
        <ns0:v>0</ns0:v>
      </ns0:c>
      <ns0:c r="Q487" s="0">
        <ns0:f>IF(AND(Bookings!G487="Approved",E487="Yes",L487=0,$B$6=0),I487,0)</ns0:f>
        <ns0:v>0</ns0:v>
      </ns0:c>
      <ns0:c r="R487" s="0">
        <ns0:f>IF(AND(Bookings!G487="Pending",E487="Yes"),N487,0)</ns0:f>
        <ns0:v>0</ns0:v>
      </ns0:c>
      <ns0:c r="S487" s="0">
        <ns0:f>IF(AND(Bookings!G487="Approved",E487="No"),N487,0)</ns0:f>
        <ns0:v>0</ns0:v>
      </ns0:c>
      <ns0:c r="T487" s="0">
        <ns0:f>IFERROR(MATCH(D487,Settings!$G$7:$G$11,0),0)</ns0:f>
        <ns0:v>0</ns0:v>
      </ns0:c>
      <ns0:c r="U487" s="0">
        <ns0:f>IF(N487&gt;0,T487+IF(Bookings!G487="Pending",10,0),0)</ns0:f>
        <ns0:v>0</ns0:v>
      </ns0:c>
      <ns0:c r="V487" s="0">
        <ns0:f>U487</ns0:f>
        <ns0:v>0</ns0:v>
      </ns0:c>
      <ns0:c r="W487" s="0" t="str">
        <ns0:f>IF(C487=0,"",INDEX($AP$11:$AP$60,C487))</ns0:f>
        <ns0:v/>
      </ns0:c>
    </ns0:row>
    <ns0:row r="488">
      <ns0:c r="A488" s="0">
        <ns0:f>IF(COUNTA(Bookings!A488:G488,Bookings!I488)=0,0,1)</ns0:f>
        <ns0:v>0</ns0:v>
      </ns0:c>
      <ns0:c r="B488" s="0" t="str">
        <ns0:f>IFERROR(TRIM(MID(Bookings!A488,FIND(" · ",Bookings!A488)+3,99)),"")</ns0:f>
        <ns0:v/>
      </ns0:c>
      <ns0:c r="C488" s="0">
        <ns0:f>IF(OR(B488="",LEN(B488)&gt;24,ISNUMBER(FIND(" ",B488)),ISNUMBER(FIND("*",B488)),ISNUMBER(FIND("?",B488)),ISNUMBER(FIND("~",B488))),0,IFERROR(MATCH(B488,Team!$A$11:$A$60,0),0))</ns0:f>
        <ns0:v>0</ns0:v>
      </ns0:c>
      <ns0:c r="D488" s="0" t="str">
        <ns0:f>IFERROR(IF(MID(Bookings!F488,LEN(Bookings!F488)-3,3)=" · ",RIGHT(Bookings!F488,1),""),"")</ns0:f>
        <ns0:v/>
      </ns0:c>
      <ns0:c r="E488" s="0" t="str">
        <ns0:f>IFERROR(INDEX(Settings!$H$7:$H$11,MATCH(D488,Settings!$G$7:$G$11,0)),"")</ns0:f>
        <ns0:v/>
      </ns0:c>
      <ns0:c r="F488" s="0" t="str">
        <ns0:f>IF(A488=0,"",IFERROR(IF(OR(B488="",C488=0),"CHECK employee selection",IF(INDEX(Team!$O$11:$O$60,C488)&lt;&gt;"OK","CHECK employee setup",IF(OR('_Dates'!J488=0,'_Dates'!T488=0),"CHECK date: use DD.MM.YYYY",IF('_Dates'!T488&lt;'_Dates'!J488,"CHECK end before start",IF(AND($B$6=0,OR('_Dates'!J488&lt;Settings!$B$7,'_Dates'!T488&gt;Settings!$B$8)),"CHECK split across leave years",IF(OR(NOT(OR('_Dates'!U488="Full day",'_Dates'!U488="AM",'_Dates'!U488="PM")),NOT(OR('_Dates'!V488="Full day",'_Dates'!V488="AM",'_Dates'!V488="PM"))),"CHECK Full day / AM / PM",IF(AND('_Dates'!J488='_Dates'!T488,'_Dates'!U488&lt;&gt;"Full day",'_Dates'!V488&lt;&gt;"Full day",'_Dates'!U488&lt;&gt;'_Dates'!V488),"CHECK same-day portions disagree",IF(AND($B$6=0,OR(AND('_Dates'!U488&lt;&gt;"Full day",'_Dates'!AA488=0),AND('_Dates'!V488&lt;&gt;"Full day",'_Dates'!AB488=0))),"CHECK half-day on non-working date",IF(COUNTIF(Settings!$G$7:$G$11,D488)&lt;&gt;1,"CHECK leave type",IF(AND(Bookings!G488&lt;&gt;"Approved",Bookings!G488&lt;&gt;"Pending",Bookings!G488&lt;&gt;"Cancelled"),"CHECK status","OK")))))))))),"CHECK input"))</ns0:f>
        <ns0:v/>
      </ns0:c>
      <ns0:c r="G488" s="0">
        <ns0:f>IF(OR(F488&lt;&gt;"OK",$B$6&gt;0),0,0.5*(IF(('_Dates'!X488)&lt;('_Dates'!W488),0,INT((('_Dates'!X488)-('_Dates'!W488)+1)/7)*LEN(SUBSTITUTE(W488,"O",""))+LEN(SUBSTITUTE(MID(W488&amp;W488,WEEKDAY(('_Dates'!W488),2),MOD((('_Dates'!X488)-('_Dates'!W488)+1),7)),"O",""))-COUNTIFS(INDEX(AllClosureRows,C488,0),"&gt;="&amp;('_Dates'!W488),INDEX(AllClosureRows,C488,0),"&lt;="&amp;('_Dates'!X488)))+IF(('_Dates'!Z488)&lt;('_Dates'!Y488),0,INT((('_Dates'!Z488)-('_Dates'!Y488)+1)/7)*LEN(SUBSTITUTE(W488,"O",""))+LEN(SUBSTITUTE(MID(W488&amp;W488,WEEKDAY(('_Dates'!Y488),2),MOD((('_Dates'!Z488)-('_Dates'!Y488)+1),7)),"O",""))-COUNTIFS(INDEX(AllClosureRows,C488,0),"&gt;="&amp;('_Dates'!Y488),INDEX(AllClosureRows,C488,0),"&lt;="&amp;('_Dates'!Z488)))))</ns0:f>
        <ns0:v>0</ns0:v>
      </ns0:c>
      <ns0:c r="H488" s="0">
        <ns0:f>IF(OR(F488&lt;&gt;"OK",$B$6&gt;0),0,0.5*(IF((MIN('_Dates'!X488,Settings!$B$9))&lt;('_Dates'!W488),0,INT(((MIN('_Dates'!X488,Settings!$B$9))-('_Dates'!W488)+1)/7)*LEN(SUBSTITUTE(W488,"O",""))+LEN(SUBSTITUTE(MID(W488&amp;W488,WEEKDAY(('_Dates'!W488),2),MOD(((MIN('_Dates'!X488,Settings!$B$9))-('_Dates'!W488)+1),7)),"O",""))-COUNTIFS(INDEX(AllClosureRows,C488,0),"&gt;="&amp;('_Dates'!W488),INDEX(AllClosureRows,C488,0),"&lt;="&amp;(MIN('_Dates'!X488,Settings!$B$9))))+IF((MIN('_Dates'!Z488,Settings!$B$9))&lt;('_Dates'!Y488),0,INT(((MIN('_Dates'!Z488,Settings!$B$9))-('_Dates'!Y488)+1)/7)*LEN(SUBSTITUTE(W488,"O",""))+LEN(SUBSTITUTE(MID(W488&amp;W488,WEEKDAY(('_Dates'!Y488),2),MOD(((MIN('_Dates'!Z488,Settings!$B$9))-('_Dates'!Y488)+1),7)),"O",""))-COUNTIFS(INDEX(AllClosureRows,C488,0),"&gt;="&amp;('_Dates'!Y488),INDEX(AllClosureRows,C488,0),"&lt;="&amp;(MIN('_Dates'!Z488,Settings!$B$9))))))</ns0:f>
        <ns0:v>0</ns0:v>
      </ns0:c>
      <ns0:c r="I488" s="0">
        <ns0:f>MAX(0,G488-H488)</ns0:f>
        <ns0:v>0</ns0:v>
      </ns0:c>
      <ns0:c r="J488" s="0">
        <ns0:f>IF(OR(A488=0,F488&lt;&gt;"OK",Bookings!G488="Cancelled",$B$6&gt;0),0,IF('_Dates'!AC488=1,MAX(0,COUNTIFS(rngEngine_B,B488,rngAMStart,"&lt;="&amp;'_Dates'!X488,rngAMEnd,"&gt;="&amp;'_Dates'!W488,rngAMActive,1,rngEngine_F,"OK",rngBookings_F,"&lt;&gt;Cancelled")-1),0)+IF('_Dates'!AD488=1,MAX(0,COUNTIFS(rngEngine_B,B488,rngPMStart,"&lt;="&amp;'_Dates'!Z488,rngPMEnd,"&gt;="&amp;'_Dates'!Y488,rngPMActive,1,rngEngine_F,"OK",rngBookings_F,"&lt;&gt;Cancelled")-1),0))</ns0:f>
        <ns0:v>0</ns0:v>
      </ns0:c>
      <ns0:c r="K488" s="0" t="str">
        <ns0:f>IF(A488=0,"",IF(F488&lt;&gt;"OK",F488,IF(J488&gt;0,"CHECK overlapping entry",IF(AND($B$6=0,G488&lt;=0,Bookings!G488&lt;&gt;"Cancelled"),"CHECK no working days",IF(Bookings!G488="Cancelled","Cancelled","OK")))))</ns0:f>
        <ns0:v/>
      </ns0:c>
      <ns0:c r="L488" s="0">
        <ns0:f>IF(LEFT(K488,5)="CHECK",1,0)</ns0:f>
        <ns0:v>0</ns0:v>
      </ns0:c>
      <ns0:c r="M488" s="0">
        <ns0:f>IF(AND(L488=1,OR(C488=0,IFERROR(INDEX($X$11:$X$60,C488),0)=0)),1,0)</ns0:f>
        <ns0:v>0</ns0:v>
      </ns0:c>
      <ns0:c r="N488" s="0">
        <ns0:f>IF(OR(A488=0,L488&gt;0,$B$6&gt;0,Bookings!G488="Cancelled"),0,G488)</ns0:f>
        <ns0:v>0</ns0:v>
      </ns0:c>
      <ns0:c r="O488" s="0">
        <ns0:f>IF(AND(Bookings!G488="Approved",E488="Yes"),N488,0)</ns0:f>
        <ns0:v>0</ns0:v>
      </ns0:c>
      <ns0:c r="P488" s="0">
        <ns0:f>IF(AND(Bookings!G488="Approved",E488="Yes",L488=0,$B$6=0),H488,0)</ns0:f>
        <ns0:v>0</ns0:v>
      </ns0:c>
      <ns0:c r="Q488" s="0">
        <ns0:f>IF(AND(Bookings!G488="Approved",E488="Yes",L488=0,$B$6=0),I488,0)</ns0:f>
        <ns0:v>0</ns0:v>
      </ns0:c>
      <ns0:c r="R488" s="0">
        <ns0:f>IF(AND(Bookings!G488="Pending",E488="Yes"),N488,0)</ns0:f>
        <ns0:v>0</ns0:v>
      </ns0:c>
      <ns0:c r="S488" s="0">
        <ns0:f>IF(AND(Bookings!G488="Approved",E488="No"),N488,0)</ns0:f>
        <ns0:v>0</ns0:v>
      </ns0:c>
      <ns0:c r="T488" s="0">
        <ns0:f>IFERROR(MATCH(D488,Settings!$G$7:$G$11,0),0)</ns0:f>
        <ns0:v>0</ns0:v>
      </ns0:c>
      <ns0:c r="U488" s="0">
        <ns0:f>IF(N488&gt;0,T488+IF(Bookings!G488="Pending",10,0),0)</ns0:f>
        <ns0:v>0</ns0:v>
      </ns0:c>
      <ns0:c r="V488" s="0">
        <ns0:f>U488</ns0:f>
        <ns0:v>0</ns0:v>
      </ns0:c>
      <ns0:c r="W488" s="0" t="str">
        <ns0:f>IF(C488=0,"",INDEX($AP$11:$AP$60,C488))</ns0:f>
        <ns0:v/>
      </ns0:c>
    </ns0:row>
    <ns0:row r="489">
      <ns0:c r="A489" s="0">
        <ns0:f>IF(COUNTA(Bookings!A489:G489,Bookings!I489)=0,0,1)</ns0:f>
        <ns0:v>0</ns0:v>
      </ns0:c>
      <ns0:c r="B489" s="0" t="str">
        <ns0:f>IFERROR(TRIM(MID(Bookings!A489,FIND(" · ",Bookings!A489)+3,99)),"")</ns0:f>
        <ns0:v/>
      </ns0:c>
      <ns0:c r="C489" s="0">
        <ns0:f>IF(OR(B489="",LEN(B489)&gt;24,ISNUMBER(FIND(" ",B489)),ISNUMBER(FIND("*",B489)),ISNUMBER(FIND("?",B489)),ISNUMBER(FIND("~",B489))),0,IFERROR(MATCH(B489,Team!$A$11:$A$60,0),0))</ns0:f>
        <ns0:v>0</ns0:v>
      </ns0:c>
      <ns0:c r="D489" s="0" t="str">
        <ns0:f>IFERROR(IF(MID(Bookings!F489,LEN(Bookings!F489)-3,3)=" · ",RIGHT(Bookings!F489,1),""),"")</ns0:f>
        <ns0:v/>
      </ns0:c>
      <ns0:c r="E489" s="0" t="str">
        <ns0:f>IFERROR(INDEX(Settings!$H$7:$H$11,MATCH(D489,Settings!$G$7:$G$11,0)),"")</ns0:f>
        <ns0:v/>
      </ns0:c>
      <ns0:c r="F489" s="0" t="str">
        <ns0:f>IF(A489=0,"",IFERROR(IF(OR(B489="",C489=0),"CHECK employee selection",IF(INDEX(Team!$O$11:$O$60,C489)&lt;&gt;"OK","CHECK employee setup",IF(OR('_Dates'!J489=0,'_Dates'!T489=0),"CHECK date: use DD.MM.YYYY",IF('_Dates'!T489&lt;'_Dates'!J489,"CHECK end before start",IF(AND($B$6=0,OR('_Dates'!J489&lt;Settings!$B$7,'_Dates'!T489&gt;Settings!$B$8)),"CHECK split across leave years",IF(OR(NOT(OR('_Dates'!U489="Full day",'_Dates'!U489="AM",'_Dates'!U489="PM")),NOT(OR('_Dates'!V489="Full day",'_Dates'!V489="AM",'_Dates'!V489="PM"))),"CHECK Full day / AM / PM",IF(AND('_Dates'!J489='_Dates'!T489,'_Dates'!U489&lt;&gt;"Full day",'_Dates'!V489&lt;&gt;"Full day",'_Dates'!U489&lt;&gt;'_Dates'!V489),"CHECK same-day portions disagree",IF(AND($B$6=0,OR(AND('_Dates'!U489&lt;&gt;"Full day",'_Dates'!AA489=0),AND('_Dates'!V489&lt;&gt;"Full day",'_Dates'!AB489=0))),"CHECK half-day on non-working date",IF(COUNTIF(Settings!$G$7:$G$11,D489)&lt;&gt;1,"CHECK leave type",IF(AND(Bookings!G489&lt;&gt;"Approved",Bookings!G489&lt;&gt;"Pending",Bookings!G489&lt;&gt;"Cancelled"),"CHECK status","OK")))))))))),"CHECK input"))</ns0:f>
        <ns0:v/>
      </ns0:c>
      <ns0:c r="G489" s="0">
        <ns0:f>IF(OR(F489&lt;&gt;"OK",$B$6&gt;0),0,0.5*(IF(('_Dates'!X489)&lt;('_Dates'!W489),0,INT((('_Dates'!X489)-('_Dates'!W489)+1)/7)*LEN(SUBSTITUTE(W489,"O",""))+LEN(SUBSTITUTE(MID(W489&amp;W489,WEEKDAY(('_Dates'!W489),2),MOD((('_Dates'!X489)-('_Dates'!W489)+1),7)),"O",""))-COUNTIFS(INDEX(AllClosureRows,C489,0),"&gt;="&amp;('_Dates'!W489),INDEX(AllClosureRows,C489,0),"&lt;="&amp;('_Dates'!X489)))+IF(('_Dates'!Z489)&lt;('_Dates'!Y489),0,INT((('_Dates'!Z489)-('_Dates'!Y489)+1)/7)*LEN(SUBSTITUTE(W489,"O",""))+LEN(SUBSTITUTE(MID(W489&amp;W489,WEEKDAY(('_Dates'!Y489),2),MOD((('_Dates'!Z489)-('_Dates'!Y489)+1),7)),"O",""))-COUNTIFS(INDEX(AllClosureRows,C489,0),"&gt;="&amp;('_Dates'!Y489),INDEX(AllClosureRows,C489,0),"&lt;="&amp;('_Dates'!Z489)))))</ns0:f>
        <ns0:v>0</ns0:v>
      </ns0:c>
      <ns0:c r="H489" s="0">
        <ns0:f>IF(OR(F489&lt;&gt;"OK",$B$6&gt;0),0,0.5*(IF((MIN('_Dates'!X489,Settings!$B$9))&lt;('_Dates'!W489),0,INT(((MIN('_Dates'!X489,Settings!$B$9))-('_Dates'!W489)+1)/7)*LEN(SUBSTITUTE(W489,"O",""))+LEN(SUBSTITUTE(MID(W489&amp;W489,WEEKDAY(('_Dates'!W489),2),MOD(((MIN('_Dates'!X489,Settings!$B$9))-('_Dates'!W489)+1),7)),"O",""))-COUNTIFS(INDEX(AllClosureRows,C489,0),"&gt;="&amp;('_Dates'!W489),INDEX(AllClosureRows,C489,0),"&lt;="&amp;(MIN('_Dates'!X489,Settings!$B$9))))+IF((MIN('_Dates'!Z489,Settings!$B$9))&lt;('_Dates'!Y489),0,INT(((MIN('_Dates'!Z489,Settings!$B$9))-('_Dates'!Y489)+1)/7)*LEN(SUBSTITUTE(W489,"O",""))+LEN(SUBSTITUTE(MID(W489&amp;W489,WEEKDAY(('_Dates'!Y489),2),MOD(((MIN('_Dates'!Z489,Settings!$B$9))-('_Dates'!Y489)+1),7)),"O",""))-COUNTIFS(INDEX(AllClosureRows,C489,0),"&gt;="&amp;('_Dates'!Y489),INDEX(AllClosureRows,C489,0),"&lt;="&amp;(MIN('_Dates'!Z489,Settings!$B$9))))))</ns0:f>
        <ns0:v>0</ns0:v>
      </ns0:c>
      <ns0:c r="I489" s="0">
        <ns0:f>MAX(0,G489-H489)</ns0:f>
        <ns0:v>0</ns0:v>
      </ns0:c>
      <ns0:c r="J489" s="0">
        <ns0:f>IF(OR(A489=0,F489&lt;&gt;"OK",Bookings!G489="Cancelled",$B$6&gt;0),0,IF('_Dates'!AC489=1,MAX(0,COUNTIFS(rngEngine_B,B489,rngAMStart,"&lt;="&amp;'_Dates'!X489,rngAMEnd,"&gt;="&amp;'_Dates'!W489,rngAMActive,1,rngEngine_F,"OK",rngBookings_F,"&lt;&gt;Cancelled")-1),0)+IF('_Dates'!AD489=1,MAX(0,COUNTIFS(rngEngine_B,B489,rngPMStart,"&lt;="&amp;'_Dates'!Z489,rngPMEnd,"&gt;="&amp;'_Dates'!Y489,rngPMActive,1,rngEngine_F,"OK",rngBookings_F,"&lt;&gt;Cancelled")-1),0))</ns0:f>
        <ns0:v>0</ns0:v>
      </ns0:c>
      <ns0:c r="K489" s="0" t="str">
        <ns0:f>IF(A489=0,"",IF(F489&lt;&gt;"OK",F489,IF(J489&gt;0,"CHECK overlapping entry",IF(AND($B$6=0,G489&lt;=0,Bookings!G489&lt;&gt;"Cancelled"),"CHECK no working days",IF(Bookings!G489="Cancelled","Cancelled","OK")))))</ns0:f>
        <ns0:v/>
      </ns0:c>
      <ns0:c r="L489" s="0">
        <ns0:f>IF(LEFT(K489,5)="CHECK",1,0)</ns0:f>
        <ns0:v>0</ns0:v>
      </ns0:c>
      <ns0:c r="M489" s="0">
        <ns0:f>IF(AND(L489=1,OR(C489=0,IFERROR(INDEX($X$11:$X$60,C489),0)=0)),1,0)</ns0:f>
        <ns0:v>0</ns0:v>
      </ns0:c>
      <ns0:c r="N489" s="0">
        <ns0:f>IF(OR(A489=0,L489&gt;0,$B$6&gt;0,Bookings!G489="Cancelled"),0,G489)</ns0:f>
        <ns0:v>0</ns0:v>
      </ns0:c>
      <ns0:c r="O489" s="0">
        <ns0:f>IF(AND(Bookings!G489="Approved",E489="Yes"),N489,0)</ns0:f>
        <ns0:v>0</ns0:v>
      </ns0:c>
      <ns0:c r="P489" s="0">
        <ns0:f>IF(AND(Bookings!G489="Approved",E489="Yes",L489=0,$B$6=0),H489,0)</ns0:f>
        <ns0:v>0</ns0:v>
      </ns0:c>
      <ns0:c r="Q489" s="0">
        <ns0:f>IF(AND(Bookings!G489="Approved",E489="Yes",L489=0,$B$6=0),I489,0)</ns0:f>
        <ns0:v>0</ns0:v>
      </ns0:c>
      <ns0:c r="R489" s="0">
        <ns0:f>IF(AND(Bookings!G489="Pending",E489="Yes"),N489,0)</ns0:f>
        <ns0:v>0</ns0:v>
      </ns0:c>
      <ns0:c r="S489" s="0">
        <ns0:f>IF(AND(Bookings!G489="Approved",E489="No"),N489,0)</ns0:f>
        <ns0:v>0</ns0:v>
      </ns0:c>
      <ns0:c r="T489" s="0">
        <ns0:f>IFERROR(MATCH(D489,Settings!$G$7:$G$11,0),0)</ns0:f>
        <ns0:v>0</ns0:v>
      </ns0:c>
      <ns0:c r="U489" s="0">
        <ns0:f>IF(N489&gt;0,T489+IF(Bookings!G489="Pending",10,0),0)</ns0:f>
        <ns0:v>0</ns0:v>
      </ns0:c>
      <ns0:c r="V489" s="0">
        <ns0:f>U489</ns0:f>
        <ns0:v>0</ns0:v>
      </ns0:c>
      <ns0:c r="W489" s="0" t="str">
        <ns0:f>IF(C489=0,"",INDEX($AP$11:$AP$60,C489))</ns0:f>
        <ns0:v/>
      </ns0:c>
    </ns0:row>
    <ns0:row r="490">
      <ns0:c r="A490" s="0">
        <ns0:f>IF(COUNTA(Bookings!A490:G490,Bookings!I490)=0,0,1)</ns0:f>
        <ns0:v>0</ns0:v>
      </ns0:c>
      <ns0:c r="B490" s="0" t="str">
        <ns0:f>IFERROR(TRIM(MID(Bookings!A490,FIND(" · ",Bookings!A490)+3,99)),"")</ns0:f>
        <ns0:v/>
      </ns0:c>
      <ns0:c r="C490" s="0">
        <ns0:f>IF(OR(B490="",LEN(B490)&gt;24,ISNUMBER(FIND(" ",B490)),ISNUMBER(FIND("*",B490)),ISNUMBER(FIND("?",B490)),ISNUMBER(FIND("~",B490))),0,IFERROR(MATCH(B490,Team!$A$11:$A$60,0),0))</ns0:f>
        <ns0:v>0</ns0:v>
      </ns0:c>
      <ns0:c r="D490" s="0" t="str">
        <ns0:f>IFERROR(IF(MID(Bookings!F490,LEN(Bookings!F490)-3,3)=" · ",RIGHT(Bookings!F490,1),""),"")</ns0:f>
        <ns0:v/>
      </ns0:c>
      <ns0:c r="E490" s="0" t="str">
        <ns0:f>IFERROR(INDEX(Settings!$H$7:$H$11,MATCH(D490,Settings!$G$7:$G$11,0)),"")</ns0:f>
        <ns0:v/>
      </ns0:c>
      <ns0:c r="F490" s="0" t="str">
        <ns0:f>IF(A490=0,"",IFERROR(IF(OR(B490="",C490=0),"CHECK employee selection",IF(INDEX(Team!$O$11:$O$60,C490)&lt;&gt;"OK","CHECK employee setup",IF(OR('_Dates'!J490=0,'_Dates'!T490=0),"CHECK date: use DD.MM.YYYY",IF('_Dates'!T490&lt;'_Dates'!J490,"CHECK end before start",IF(AND($B$6=0,OR('_Dates'!J490&lt;Settings!$B$7,'_Dates'!T490&gt;Settings!$B$8)),"CHECK split across leave years",IF(OR(NOT(OR('_Dates'!U490="Full day",'_Dates'!U490="AM",'_Dates'!U490="PM")),NOT(OR('_Dates'!V490="Full day",'_Dates'!V490="AM",'_Dates'!V490="PM"))),"CHECK Full day / AM / PM",IF(AND('_Dates'!J490='_Dates'!T490,'_Dates'!U490&lt;&gt;"Full day",'_Dates'!V490&lt;&gt;"Full day",'_Dates'!U490&lt;&gt;'_Dates'!V490),"CHECK same-day portions disagree",IF(AND($B$6=0,OR(AND('_Dates'!U490&lt;&gt;"Full day",'_Dates'!AA490=0),AND('_Dates'!V490&lt;&gt;"Full day",'_Dates'!AB490=0))),"CHECK half-day on non-working date",IF(COUNTIF(Settings!$G$7:$G$11,D490)&lt;&gt;1,"CHECK leave type",IF(AND(Bookings!G490&lt;&gt;"Approved",Bookings!G490&lt;&gt;"Pending",Bookings!G490&lt;&gt;"Cancelled"),"CHECK status","OK")))))))))),"CHECK input"))</ns0:f>
        <ns0:v/>
      </ns0:c>
      <ns0:c r="G490" s="0">
        <ns0:f>IF(OR(F490&lt;&gt;"OK",$B$6&gt;0),0,0.5*(IF(('_Dates'!X490)&lt;('_Dates'!W490),0,INT((('_Dates'!X490)-('_Dates'!W490)+1)/7)*LEN(SUBSTITUTE(W490,"O",""))+LEN(SUBSTITUTE(MID(W490&amp;W490,WEEKDAY(('_Dates'!W490),2),MOD((('_Dates'!X490)-('_Dates'!W490)+1),7)),"O",""))-COUNTIFS(INDEX(AllClosureRows,C490,0),"&gt;="&amp;('_Dates'!W490),INDEX(AllClosureRows,C490,0),"&lt;="&amp;('_Dates'!X490)))+IF(('_Dates'!Z490)&lt;('_Dates'!Y490),0,INT((('_Dates'!Z490)-('_Dates'!Y490)+1)/7)*LEN(SUBSTITUTE(W490,"O",""))+LEN(SUBSTITUTE(MID(W490&amp;W490,WEEKDAY(('_Dates'!Y490),2),MOD((('_Dates'!Z490)-('_Dates'!Y490)+1),7)),"O",""))-COUNTIFS(INDEX(AllClosureRows,C490,0),"&gt;="&amp;('_Dates'!Y490),INDEX(AllClosureRows,C490,0),"&lt;="&amp;('_Dates'!Z490)))))</ns0:f>
        <ns0:v>0</ns0:v>
      </ns0:c>
      <ns0:c r="H490" s="0">
        <ns0:f>IF(OR(F490&lt;&gt;"OK",$B$6&gt;0),0,0.5*(IF((MIN('_Dates'!X490,Settings!$B$9))&lt;('_Dates'!W490),0,INT(((MIN('_Dates'!X490,Settings!$B$9))-('_Dates'!W490)+1)/7)*LEN(SUBSTITUTE(W490,"O",""))+LEN(SUBSTITUTE(MID(W490&amp;W490,WEEKDAY(('_Dates'!W490),2),MOD(((MIN('_Dates'!X490,Settings!$B$9))-('_Dates'!W490)+1),7)),"O",""))-COUNTIFS(INDEX(AllClosureRows,C490,0),"&gt;="&amp;('_Dates'!W490),INDEX(AllClosureRows,C490,0),"&lt;="&amp;(MIN('_Dates'!X490,Settings!$B$9))))+IF((MIN('_Dates'!Z490,Settings!$B$9))&lt;('_Dates'!Y490),0,INT(((MIN('_Dates'!Z490,Settings!$B$9))-('_Dates'!Y490)+1)/7)*LEN(SUBSTITUTE(W490,"O",""))+LEN(SUBSTITUTE(MID(W490&amp;W490,WEEKDAY(('_Dates'!Y490),2),MOD(((MIN('_Dates'!Z490,Settings!$B$9))-('_Dates'!Y490)+1),7)),"O",""))-COUNTIFS(INDEX(AllClosureRows,C490,0),"&gt;="&amp;('_Dates'!Y490),INDEX(AllClosureRows,C490,0),"&lt;="&amp;(MIN('_Dates'!Z490,Settings!$B$9))))))</ns0:f>
        <ns0:v>0</ns0:v>
      </ns0:c>
      <ns0:c r="I490" s="0">
        <ns0:f>MAX(0,G490-H490)</ns0:f>
        <ns0:v>0</ns0:v>
      </ns0:c>
      <ns0:c r="J490" s="0">
        <ns0:f>IF(OR(A490=0,F490&lt;&gt;"OK",Bookings!G490="Cancelled",$B$6&gt;0),0,IF('_Dates'!AC490=1,MAX(0,COUNTIFS(rngEngine_B,B490,rngAMStart,"&lt;="&amp;'_Dates'!X490,rngAMEnd,"&gt;="&amp;'_Dates'!W490,rngAMActive,1,rngEngine_F,"OK",rngBookings_F,"&lt;&gt;Cancelled")-1),0)+IF('_Dates'!AD490=1,MAX(0,COUNTIFS(rngEngine_B,B490,rngPMStart,"&lt;="&amp;'_Dates'!Z490,rngPMEnd,"&gt;="&amp;'_Dates'!Y490,rngPMActive,1,rngEngine_F,"OK",rngBookings_F,"&lt;&gt;Cancelled")-1),0))</ns0:f>
        <ns0:v>0</ns0:v>
      </ns0:c>
      <ns0:c r="K490" s="0" t="str">
        <ns0:f>IF(A490=0,"",IF(F490&lt;&gt;"OK",F490,IF(J490&gt;0,"CHECK overlapping entry",IF(AND($B$6=0,G490&lt;=0,Bookings!G490&lt;&gt;"Cancelled"),"CHECK no working days",IF(Bookings!G490="Cancelled","Cancelled","OK")))))</ns0:f>
        <ns0:v/>
      </ns0:c>
      <ns0:c r="L490" s="0">
        <ns0:f>IF(LEFT(K490,5)="CHECK",1,0)</ns0:f>
        <ns0:v>0</ns0:v>
      </ns0:c>
      <ns0:c r="M490" s="0">
        <ns0:f>IF(AND(L490=1,OR(C490=0,IFERROR(INDEX($X$11:$X$60,C490),0)=0)),1,0)</ns0:f>
        <ns0:v>0</ns0:v>
      </ns0:c>
      <ns0:c r="N490" s="0">
        <ns0:f>IF(OR(A490=0,L490&gt;0,$B$6&gt;0,Bookings!G490="Cancelled"),0,G490)</ns0:f>
        <ns0:v>0</ns0:v>
      </ns0:c>
      <ns0:c r="O490" s="0">
        <ns0:f>IF(AND(Bookings!G490="Approved",E490="Yes"),N490,0)</ns0:f>
        <ns0:v>0</ns0:v>
      </ns0:c>
      <ns0:c r="P490" s="0">
        <ns0:f>IF(AND(Bookings!G490="Approved",E490="Yes",L490=0,$B$6=0),H490,0)</ns0:f>
        <ns0:v>0</ns0:v>
      </ns0:c>
      <ns0:c r="Q490" s="0">
        <ns0:f>IF(AND(Bookings!G490="Approved",E490="Yes",L490=0,$B$6=0),I490,0)</ns0:f>
        <ns0:v>0</ns0:v>
      </ns0:c>
      <ns0:c r="R490" s="0">
        <ns0:f>IF(AND(Bookings!G490="Pending",E490="Yes"),N490,0)</ns0:f>
        <ns0:v>0</ns0:v>
      </ns0:c>
      <ns0:c r="S490" s="0">
        <ns0:f>IF(AND(Bookings!G490="Approved",E490="No"),N490,0)</ns0:f>
        <ns0:v>0</ns0:v>
      </ns0:c>
      <ns0:c r="T490" s="0">
        <ns0:f>IFERROR(MATCH(D490,Settings!$G$7:$G$11,0),0)</ns0:f>
        <ns0:v>0</ns0:v>
      </ns0:c>
      <ns0:c r="U490" s="0">
        <ns0:f>IF(N490&gt;0,T490+IF(Bookings!G490="Pending",10,0),0)</ns0:f>
        <ns0:v>0</ns0:v>
      </ns0:c>
      <ns0:c r="V490" s="0">
        <ns0:f>U490</ns0:f>
        <ns0:v>0</ns0:v>
      </ns0:c>
      <ns0:c r="W490" s="0" t="str">
        <ns0:f>IF(C490=0,"",INDEX($AP$11:$AP$60,C490))</ns0:f>
        <ns0:v/>
      </ns0:c>
    </ns0:row>
    <ns0:row r="491">
      <ns0:c r="A491" s="0">
        <ns0:f>IF(COUNTA(Bookings!A491:G491,Bookings!I491)=0,0,1)</ns0:f>
        <ns0:v>0</ns0:v>
      </ns0:c>
      <ns0:c r="B491" s="0" t="str">
        <ns0:f>IFERROR(TRIM(MID(Bookings!A491,FIND(" · ",Bookings!A491)+3,99)),"")</ns0:f>
        <ns0:v/>
      </ns0:c>
      <ns0:c r="C491" s="0">
        <ns0:f>IF(OR(B491="",LEN(B491)&gt;24,ISNUMBER(FIND(" ",B491)),ISNUMBER(FIND("*",B491)),ISNUMBER(FIND("?",B491)),ISNUMBER(FIND("~",B491))),0,IFERROR(MATCH(B491,Team!$A$11:$A$60,0),0))</ns0:f>
        <ns0:v>0</ns0:v>
      </ns0:c>
      <ns0:c r="D491" s="0" t="str">
        <ns0:f>IFERROR(IF(MID(Bookings!F491,LEN(Bookings!F491)-3,3)=" · ",RIGHT(Bookings!F491,1),""),"")</ns0:f>
        <ns0:v/>
      </ns0:c>
      <ns0:c r="E491" s="0" t="str">
        <ns0:f>IFERROR(INDEX(Settings!$H$7:$H$11,MATCH(D491,Settings!$G$7:$G$11,0)),"")</ns0:f>
        <ns0:v/>
      </ns0:c>
      <ns0:c r="F491" s="0" t="str">
        <ns0:f>IF(A491=0,"",IFERROR(IF(OR(B491="",C491=0),"CHECK employee selection",IF(INDEX(Team!$O$11:$O$60,C491)&lt;&gt;"OK","CHECK employee setup",IF(OR('_Dates'!J491=0,'_Dates'!T491=0),"CHECK date: use DD.MM.YYYY",IF('_Dates'!T491&lt;'_Dates'!J491,"CHECK end before start",IF(AND($B$6=0,OR('_Dates'!J491&lt;Settings!$B$7,'_Dates'!T491&gt;Settings!$B$8)),"CHECK split across leave years",IF(OR(NOT(OR('_Dates'!U491="Full day",'_Dates'!U491="AM",'_Dates'!U491="PM")),NOT(OR('_Dates'!V491="Full day",'_Dates'!V491="AM",'_Dates'!V491="PM"))),"CHECK Full day / AM / PM",IF(AND('_Dates'!J491='_Dates'!T491,'_Dates'!U491&lt;&gt;"Full day",'_Dates'!V491&lt;&gt;"Full day",'_Dates'!U491&lt;&gt;'_Dates'!V491),"CHECK same-day portions disagree",IF(AND($B$6=0,OR(AND('_Dates'!U491&lt;&gt;"Full day",'_Dates'!AA491=0),AND('_Dates'!V491&lt;&gt;"Full day",'_Dates'!AB491=0))),"CHECK half-day on non-working date",IF(COUNTIF(Settings!$G$7:$G$11,D491)&lt;&gt;1,"CHECK leave type",IF(AND(Bookings!G491&lt;&gt;"Approved",Bookings!G491&lt;&gt;"Pending",Bookings!G491&lt;&gt;"Cancelled"),"CHECK status","OK")))))))))),"CHECK input"))</ns0:f>
        <ns0:v/>
      </ns0:c>
      <ns0:c r="G491" s="0">
        <ns0:f>IF(OR(F491&lt;&gt;"OK",$B$6&gt;0),0,0.5*(IF(('_Dates'!X491)&lt;('_Dates'!W491),0,INT((('_Dates'!X491)-('_Dates'!W491)+1)/7)*LEN(SUBSTITUTE(W491,"O",""))+LEN(SUBSTITUTE(MID(W491&amp;W491,WEEKDAY(('_Dates'!W491),2),MOD((('_Dates'!X491)-('_Dates'!W491)+1),7)),"O",""))-COUNTIFS(INDEX(AllClosureRows,C491,0),"&gt;="&amp;('_Dates'!W491),INDEX(AllClosureRows,C491,0),"&lt;="&amp;('_Dates'!X491)))+IF(('_Dates'!Z491)&lt;('_Dates'!Y491),0,INT((('_Dates'!Z491)-('_Dates'!Y491)+1)/7)*LEN(SUBSTITUTE(W491,"O",""))+LEN(SUBSTITUTE(MID(W491&amp;W491,WEEKDAY(('_Dates'!Y491),2),MOD((('_Dates'!Z491)-('_Dates'!Y491)+1),7)),"O",""))-COUNTIFS(INDEX(AllClosureRows,C491,0),"&gt;="&amp;('_Dates'!Y491),INDEX(AllClosureRows,C491,0),"&lt;="&amp;('_Dates'!Z491)))))</ns0:f>
        <ns0:v>0</ns0:v>
      </ns0:c>
      <ns0:c r="H491" s="0">
        <ns0:f>IF(OR(F491&lt;&gt;"OK",$B$6&gt;0),0,0.5*(IF((MIN('_Dates'!X491,Settings!$B$9))&lt;('_Dates'!W491),0,INT(((MIN('_Dates'!X491,Settings!$B$9))-('_Dates'!W491)+1)/7)*LEN(SUBSTITUTE(W491,"O",""))+LEN(SUBSTITUTE(MID(W491&amp;W491,WEEKDAY(('_Dates'!W491),2),MOD(((MIN('_Dates'!X491,Settings!$B$9))-('_Dates'!W491)+1),7)),"O",""))-COUNTIFS(INDEX(AllClosureRows,C491,0),"&gt;="&amp;('_Dates'!W491),INDEX(AllClosureRows,C491,0),"&lt;="&amp;(MIN('_Dates'!X491,Settings!$B$9))))+IF((MIN('_Dates'!Z491,Settings!$B$9))&lt;('_Dates'!Y491),0,INT(((MIN('_Dates'!Z491,Settings!$B$9))-('_Dates'!Y491)+1)/7)*LEN(SUBSTITUTE(W491,"O",""))+LEN(SUBSTITUTE(MID(W491&amp;W491,WEEKDAY(('_Dates'!Y491),2),MOD(((MIN('_Dates'!Z491,Settings!$B$9))-('_Dates'!Y491)+1),7)),"O",""))-COUNTIFS(INDEX(AllClosureRows,C491,0),"&gt;="&amp;('_Dates'!Y491),INDEX(AllClosureRows,C491,0),"&lt;="&amp;(MIN('_Dates'!Z491,Settings!$B$9))))))</ns0:f>
        <ns0:v>0</ns0:v>
      </ns0:c>
      <ns0:c r="I491" s="0">
        <ns0:f>MAX(0,G491-H491)</ns0:f>
        <ns0:v>0</ns0:v>
      </ns0:c>
      <ns0:c r="J491" s="0">
        <ns0:f>IF(OR(A491=0,F491&lt;&gt;"OK",Bookings!G491="Cancelled",$B$6&gt;0),0,IF('_Dates'!AC491=1,MAX(0,COUNTIFS(rngEngine_B,B491,rngAMStart,"&lt;="&amp;'_Dates'!X491,rngAMEnd,"&gt;="&amp;'_Dates'!W491,rngAMActive,1,rngEngine_F,"OK",rngBookings_F,"&lt;&gt;Cancelled")-1),0)+IF('_Dates'!AD491=1,MAX(0,COUNTIFS(rngEngine_B,B491,rngPMStart,"&lt;="&amp;'_Dates'!Z491,rngPMEnd,"&gt;="&amp;'_Dates'!Y491,rngPMActive,1,rngEngine_F,"OK",rngBookings_F,"&lt;&gt;Cancelled")-1),0))</ns0:f>
        <ns0:v>0</ns0:v>
      </ns0:c>
      <ns0:c r="K491" s="0" t="str">
        <ns0:f>IF(A491=0,"",IF(F491&lt;&gt;"OK",F491,IF(J491&gt;0,"CHECK overlapping entry",IF(AND($B$6=0,G491&lt;=0,Bookings!G491&lt;&gt;"Cancelled"),"CHECK no working days",IF(Bookings!G491="Cancelled","Cancelled","OK")))))</ns0:f>
        <ns0:v/>
      </ns0:c>
      <ns0:c r="L491" s="0">
        <ns0:f>IF(LEFT(K491,5)="CHECK",1,0)</ns0:f>
        <ns0:v>0</ns0:v>
      </ns0:c>
      <ns0:c r="M491" s="0">
        <ns0:f>IF(AND(L491=1,OR(C491=0,IFERROR(INDEX($X$11:$X$60,C491),0)=0)),1,0)</ns0:f>
        <ns0:v>0</ns0:v>
      </ns0:c>
      <ns0:c r="N491" s="0">
        <ns0:f>IF(OR(A491=0,L491&gt;0,$B$6&gt;0,Bookings!G491="Cancelled"),0,G491)</ns0:f>
        <ns0:v>0</ns0:v>
      </ns0:c>
      <ns0:c r="O491" s="0">
        <ns0:f>IF(AND(Bookings!G491="Approved",E491="Yes"),N491,0)</ns0:f>
        <ns0:v>0</ns0:v>
      </ns0:c>
      <ns0:c r="P491" s="0">
        <ns0:f>IF(AND(Bookings!G491="Approved",E491="Yes",L491=0,$B$6=0),H491,0)</ns0:f>
        <ns0:v>0</ns0:v>
      </ns0:c>
      <ns0:c r="Q491" s="0">
        <ns0:f>IF(AND(Bookings!G491="Approved",E491="Yes",L491=0,$B$6=0),I491,0)</ns0:f>
        <ns0:v>0</ns0:v>
      </ns0:c>
      <ns0:c r="R491" s="0">
        <ns0:f>IF(AND(Bookings!G491="Pending",E491="Yes"),N491,0)</ns0:f>
        <ns0:v>0</ns0:v>
      </ns0:c>
      <ns0:c r="S491" s="0">
        <ns0:f>IF(AND(Bookings!G491="Approved",E491="No"),N491,0)</ns0:f>
        <ns0:v>0</ns0:v>
      </ns0:c>
      <ns0:c r="T491" s="0">
        <ns0:f>IFERROR(MATCH(D491,Settings!$G$7:$G$11,0),0)</ns0:f>
        <ns0:v>0</ns0:v>
      </ns0:c>
      <ns0:c r="U491" s="0">
        <ns0:f>IF(N491&gt;0,T491+IF(Bookings!G491="Pending",10,0),0)</ns0:f>
        <ns0:v>0</ns0:v>
      </ns0:c>
      <ns0:c r="V491" s="0">
        <ns0:f>U491</ns0:f>
        <ns0:v>0</ns0:v>
      </ns0:c>
      <ns0:c r="W491" s="0" t="str">
        <ns0:f>IF(C491=0,"",INDEX($AP$11:$AP$60,C491))</ns0:f>
        <ns0:v/>
      </ns0:c>
    </ns0:row>
    <ns0:row r="492">
      <ns0:c r="A492" s="0">
        <ns0:f>IF(COUNTA(Bookings!A492:G492,Bookings!I492)=0,0,1)</ns0:f>
        <ns0:v>0</ns0:v>
      </ns0:c>
      <ns0:c r="B492" s="0" t="str">
        <ns0:f>IFERROR(TRIM(MID(Bookings!A492,FIND(" · ",Bookings!A492)+3,99)),"")</ns0:f>
        <ns0:v/>
      </ns0:c>
      <ns0:c r="C492" s="0">
        <ns0:f>IF(OR(B492="",LEN(B492)&gt;24,ISNUMBER(FIND(" ",B492)),ISNUMBER(FIND("*",B492)),ISNUMBER(FIND("?",B492)),ISNUMBER(FIND("~",B492))),0,IFERROR(MATCH(B492,Team!$A$11:$A$60,0),0))</ns0:f>
        <ns0:v>0</ns0:v>
      </ns0:c>
      <ns0:c r="D492" s="0" t="str">
        <ns0:f>IFERROR(IF(MID(Bookings!F492,LEN(Bookings!F492)-3,3)=" · ",RIGHT(Bookings!F492,1),""),"")</ns0:f>
        <ns0:v/>
      </ns0:c>
      <ns0:c r="E492" s="0" t="str">
        <ns0:f>IFERROR(INDEX(Settings!$H$7:$H$11,MATCH(D492,Settings!$G$7:$G$11,0)),"")</ns0:f>
        <ns0:v/>
      </ns0:c>
      <ns0:c r="F492" s="0" t="str">
        <ns0:f>IF(A492=0,"",IFERROR(IF(OR(B492="",C492=0),"CHECK employee selection",IF(INDEX(Team!$O$11:$O$60,C492)&lt;&gt;"OK","CHECK employee setup",IF(OR('_Dates'!J492=0,'_Dates'!T492=0),"CHECK date: use DD.MM.YYYY",IF('_Dates'!T492&lt;'_Dates'!J492,"CHECK end before start",IF(AND($B$6=0,OR('_Dates'!J492&lt;Settings!$B$7,'_Dates'!T492&gt;Settings!$B$8)),"CHECK split across leave years",IF(OR(NOT(OR('_Dates'!U492="Full day",'_Dates'!U492="AM",'_Dates'!U492="PM")),NOT(OR('_Dates'!V492="Full day",'_Dates'!V492="AM",'_Dates'!V492="PM"))),"CHECK Full day / AM / PM",IF(AND('_Dates'!J492='_Dates'!T492,'_Dates'!U492&lt;&gt;"Full day",'_Dates'!V492&lt;&gt;"Full day",'_Dates'!U492&lt;&gt;'_Dates'!V492),"CHECK same-day portions disagree",IF(AND($B$6=0,OR(AND('_Dates'!U492&lt;&gt;"Full day",'_Dates'!AA492=0),AND('_Dates'!V492&lt;&gt;"Full day",'_Dates'!AB492=0))),"CHECK half-day on non-working date",IF(COUNTIF(Settings!$G$7:$G$11,D492)&lt;&gt;1,"CHECK leave type",IF(AND(Bookings!G492&lt;&gt;"Approved",Bookings!G492&lt;&gt;"Pending",Bookings!G492&lt;&gt;"Cancelled"),"CHECK status","OK")))))))))),"CHECK input"))</ns0:f>
        <ns0:v/>
      </ns0:c>
      <ns0:c r="G492" s="0">
        <ns0:f>IF(OR(F492&lt;&gt;"OK",$B$6&gt;0),0,0.5*(IF(('_Dates'!X492)&lt;('_Dates'!W492),0,INT((('_Dates'!X492)-('_Dates'!W492)+1)/7)*LEN(SUBSTITUTE(W492,"O",""))+LEN(SUBSTITUTE(MID(W492&amp;W492,WEEKDAY(('_Dates'!W492),2),MOD((('_Dates'!X492)-('_Dates'!W492)+1),7)),"O",""))-COUNTIFS(INDEX(AllClosureRows,C492,0),"&gt;="&amp;('_Dates'!W492),INDEX(AllClosureRows,C492,0),"&lt;="&amp;('_Dates'!X492)))+IF(('_Dates'!Z492)&lt;('_Dates'!Y492),0,INT((('_Dates'!Z492)-('_Dates'!Y492)+1)/7)*LEN(SUBSTITUTE(W492,"O",""))+LEN(SUBSTITUTE(MID(W492&amp;W492,WEEKDAY(('_Dates'!Y492),2),MOD((('_Dates'!Z492)-('_Dates'!Y492)+1),7)),"O",""))-COUNTIFS(INDEX(AllClosureRows,C492,0),"&gt;="&amp;('_Dates'!Y492),INDEX(AllClosureRows,C492,0),"&lt;="&amp;('_Dates'!Z492)))))</ns0:f>
        <ns0:v>0</ns0:v>
      </ns0:c>
      <ns0:c r="H492" s="0">
        <ns0:f>IF(OR(F492&lt;&gt;"OK",$B$6&gt;0),0,0.5*(IF((MIN('_Dates'!X492,Settings!$B$9))&lt;('_Dates'!W492),0,INT(((MIN('_Dates'!X492,Settings!$B$9))-('_Dates'!W492)+1)/7)*LEN(SUBSTITUTE(W492,"O",""))+LEN(SUBSTITUTE(MID(W492&amp;W492,WEEKDAY(('_Dates'!W492),2),MOD(((MIN('_Dates'!X492,Settings!$B$9))-('_Dates'!W492)+1),7)),"O",""))-COUNTIFS(INDEX(AllClosureRows,C492,0),"&gt;="&amp;('_Dates'!W492),INDEX(AllClosureRows,C492,0),"&lt;="&amp;(MIN('_Dates'!X492,Settings!$B$9))))+IF((MIN('_Dates'!Z492,Settings!$B$9))&lt;('_Dates'!Y492),0,INT(((MIN('_Dates'!Z492,Settings!$B$9))-('_Dates'!Y492)+1)/7)*LEN(SUBSTITUTE(W492,"O",""))+LEN(SUBSTITUTE(MID(W492&amp;W492,WEEKDAY(('_Dates'!Y492),2),MOD(((MIN('_Dates'!Z492,Settings!$B$9))-('_Dates'!Y492)+1),7)),"O",""))-COUNTIFS(INDEX(AllClosureRows,C492,0),"&gt;="&amp;('_Dates'!Y492),INDEX(AllClosureRows,C492,0),"&lt;="&amp;(MIN('_Dates'!Z492,Settings!$B$9))))))</ns0:f>
        <ns0:v>0</ns0:v>
      </ns0:c>
      <ns0:c r="I492" s="0">
        <ns0:f>MAX(0,G492-H492)</ns0:f>
        <ns0:v>0</ns0:v>
      </ns0:c>
      <ns0:c r="J492" s="0">
        <ns0:f>IF(OR(A492=0,F492&lt;&gt;"OK",Bookings!G492="Cancelled",$B$6&gt;0),0,IF('_Dates'!AC492=1,MAX(0,COUNTIFS(rngEngine_B,B492,rngAMStart,"&lt;="&amp;'_Dates'!X492,rngAMEnd,"&gt;="&amp;'_Dates'!W492,rngAMActive,1,rngEngine_F,"OK",rngBookings_F,"&lt;&gt;Cancelled")-1),0)+IF('_Dates'!AD492=1,MAX(0,COUNTIFS(rngEngine_B,B492,rngPMStart,"&lt;="&amp;'_Dates'!Z492,rngPMEnd,"&gt;="&amp;'_Dates'!Y492,rngPMActive,1,rngEngine_F,"OK",rngBookings_F,"&lt;&gt;Cancelled")-1),0))</ns0:f>
        <ns0:v>0</ns0:v>
      </ns0:c>
      <ns0:c r="K492" s="0" t="str">
        <ns0:f>IF(A492=0,"",IF(F492&lt;&gt;"OK",F492,IF(J492&gt;0,"CHECK overlapping entry",IF(AND($B$6=0,G492&lt;=0,Bookings!G492&lt;&gt;"Cancelled"),"CHECK no working days",IF(Bookings!G492="Cancelled","Cancelled","OK")))))</ns0:f>
        <ns0:v/>
      </ns0:c>
      <ns0:c r="L492" s="0">
        <ns0:f>IF(LEFT(K492,5)="CHECK",1,0)</ns0:f>
        <ns0:v>0</ns0:v>
      </ns0:c>
      <ns0:c r="M492" s="0">
        <ns0:f>IF(AND(L492=1,OR(C492=0,IFERROR(INDEX($X$11:$X$60,C492),0)=0)),1,0)</ns0:f>
        <ns0:v>0</ns0:v>
      </ns0:c>
      <ns0:c r="N492" s="0">
        <ns0:f>IF(OR(A492=0,L492&gt;0,$B$6&gt;0,Bookings!G492="Cancelled"),0,G492)</ns0:f>
        <ns0:v>0</ns0:v>
      </ns0:c>
      <ns0:c r="O492" s="0">
        <ns0:f>IF(AND(Bookings!G492="Approved",E492="Yes"),N492,0)</ns0:f>
        <ns0:v>0</ns0:v>
      </ns0:c>
      <ns0:c r="P492" s="0">
        <ns0:f>IF(AND(Bookings!G492="Approved",E492="Yes",L492=0,$B$6=0),H492,0)</ns0:f>
        <ns0:v>0</ns0:v>
      </ns0:c>
      <ns0:c r="Q492" s="0">
        <ns0:f>IF(AND(Bookings!G492="Approved",E492="Yes",L492=0,$B$6=0),I492,0)</ns0:f>
        <ns0:v>0</ns0:v>
      </ns0:c>
      <ns0:c r="R492" s="0">
        <ns0:f>IF(AND(Bookings!G492="Pending",E492="Yes"),N492,0)</ns0:f>
        <ns0:v>0</ns0:v>
      </ns0:c>
      <ns0:c r="S492" s="0">
        <ns0:f>IF(AND(Bookings!G492="Approved",E492="No"),N492,0)</ns0:f>
        <ns0:v>0</ns0:v>
      </ns0:c>
      <ns0:c r="T492" s="0">
        <ns0:f>IFERROR(MATCH(D492,Settings!$G$7:$G$11,0),0)</ns0:f>
        <ns0:v>0</ns0:v>
      </ns0:c>
      <ns0:c r="U492" s="0">
        <ns0:f>IF(N492&gt;0,T492+IF(Bookings!G492="Pending",10,0),0)</ns0:f>
        <ns0:v>0</ns0:v>
      </ns0:c>
      <ns0:c r="V492" s="0">
        <ns0:f>U492</ns0:f>
        <ns0:v>0</ns0:v>
      </ns0:c>
      <ns0:c r="W492" s="0" t="str">
        <ns0:f>IF(C492=0,"",INDEX($AP$11:$AP$60,C492))</ns0:f>
        <ns0:v/>
      </ns0:c>
    </ns0:row>
    <ns0:row r="493">
      <ns0:c r="A493" s="0">
        <ns0:f>IF(COUNTA(Bookings!A493:G493,Bookings!I493)=0,0,1)</ns0:f>
        <ns0:v>0</ns0:v>
      </ns0:c>
      <ns0:c r="B493" s="0" t="str">
        <ns0:f>IFERROR(TRIM(MID(Bookings!A493,FIND(" · ",Bookings!A493)+3,99)),"")</ns0:f>
        <ns0:v/>
      </ns0:c>
      <ns0:c r="C493" s="0">
        <ns0:f>IF(OR(B493="",LEN(B493)&gt;24,ISNUMBER(FIND(" ",B493)),ISNUMBER(FIND("*",B493)),ISNUMBER(FIND("?",B493)),ISNUMBER(FIND("~",B493))),0,IFERROR(MATCH(B493,Team!$A$11:$A$60,0),0))</ns0:f>
        <ns0:v>0</ns0:v>
      </ns0:c>
      <ns0:c r="D493" s="0" t="str">
        <ns0:f>IFERROR(IF(MID(Bookings!F493,LEN(Bookings!F493)-3,3)=" · ",RIGHT(Bookings!F493,1),""),"")</ns0:f>
        <ns0:v/>
      </ns0:c>
      <ns0:c r="E493" s="0" t="str">
        <ns0:f>IFERROR(INDEX(Settings!$H$7:$H$11,MATCH(D493,Settings!$G$7:$G$11,0)),"")</ns0:f>
        <ns0:v/>
      </ns0:c>
      <ns0:c r="F493" s="0" t="str">
        <ns0:f>IF(A493=0,"",IFERROR(IF(OR(B493="",C493=0),"CHECK employee selection",IF(INDEX(Team!$O$11:$O$60,C493)&lt;&gt;"OK","CHECK employee setup",IF(OR('_Dates'!J493=0,'_Dates'!T493=0),"CHECK date: use DD.MM.YYYY",IF('_Dates'!T493&lt;'_Dates'!J493,"CHECK end before start",IF(AND($B$6=0,OR('_Dates'!J493&lt;Settings!$B$7,'_Dates'!T493&gt;Settings!$B$8)),"CHECK split across leave years",IF(OR(NOT(OR('_Dates'!U493="Full day",'_Dates'!U493="AM",'_Dates'!U493="PM")),NOT(OR('_Dates'!V493="Full day",'_Dates'!V493="AM",'_Dates'!V493="PM"))),"CHECK Full day / AM / PM",IF(AND('_Dates'!J493='_Dates'!T493,'_Dates'!U493&lt;&gt;"Full day",'_Dates'!V493&lt;&gt;"Full day",'_Dates'!U493&lt;&gt;'_Dates'!V493),"CHECK same-day portions disagree",IF(AND($B$6=0,OR(AND('_Dates'!U493&lt;&gt;"Full day",'_Dates'!AA493=0),AND('_Dates'!V493&lt;&gt;"Full day",'_Dates'!AB493=0))),"CHECK half-day on non-working date",IF(COUNTIF(Settings!$G$7:$G$11,D493)&lt;&gt;1,"CHECK leave type",IF(AND(Bookings!G493&lt;&gt;"Approved",Bookings!G493&lt;&gt;"Pending",Bookings!G493&lt;&gt;"Cancelled"),"CHECK status","OK")))))))))),"CHECK input"))</ns0:f>
        <ns0:v/>
      </ns0:c>
      <ns0:c r="G493" s="0">
        <ns0:f>IF(OR(F493&lt;&gt;"OK",$B$6&gt;0),0,0.5*(IF(('_Dates'!X493)&lt;('_Dates'!W493),0,INT((('_Dates'!X493)-('_Dates'!W493)+1)/7)*LEN(SUBSTITUTE(W493,"O",""))+LEN(SUBSTITUTE(MID(W493&amp;W493,WEEKDAY(('_Dates'!W493),2),MOD((('_Dates'!X493)-('_Dates'!W493)+1),7)),"O",""))-COUNTIFS(INDEX(AllClosureRows,C493,0),"&gt;="&amp;('_Dates'!W493),INDEX(AllClosureRows,C493,0),"&lt;="&amp;('_Dates'!X493)))+IF(('_Dates'!Z493)&lt;('_Dates'!Y493),0,INT((('_Dates'!Z493)-('_Dates'!Y493)+1)/7)*LEN(SUBSTITUTE(W493,"O",""))+LEN(SUBSTITUTE(MID(W493&amp;W493,WEEKDAY(('_Dates'!Y493),2),MOD((('_Dates'!Z493)-('_Dates'!Y493)+1),7)),"O",""))-COUNTIFS(INDEX(AllClosureRows,C493,0),"&gt;="&amp;('_Dates'!Y493),INDEX(AllClosureRows,C493,0),"&lt;="&amp;('_Dates'!Z493)))))</ns0:f>
        <ns0:v>0</ns0:v>
      </ns0:c>
      <ns0:c r="H493" s="0">
        <ns0:f>IF(OR(F493&lt;&gt;"OK",$B$6&gt;0),0,0.5*(IF((MIN('_Dates'!X493,Settings!$B$9))&lt;('_Dates'!W493),0,INT(((MIN('_Dates'!X493,Settings!$B$9))-('_Dates'!W493)+1)/7)*LEN(SUBSTITUTE(W493,"O",""))+LEN(SUBSTITUTE(MID(W493&amp;W493,WEEKDAY(('_Dates'!W493),2),MOD(((MIN('_Dates'!X493,Settings!$B$9))-('_Dates'!W493)+1),7)),"O",""))-COUNTIFS(INDEX(AllClosureRows,C493,0),"&gt;="&amp;('_Dates'!W493),INDEX(AllClosureRows,C493,0),"&lt;="&amp;(MIN('_Dates'!X493,Settings!$B$9))))+IF((MIN('_Dates'!Z493,Settings!$B$9))&lt;('_Dates'!Y493),0,INT(((MIN('_Dates'!Z493,Settings!$B$9))-('_Dates'!Y493)+1)/7)*LEN(SUBSTITUTE(W493,"O",""))+LEN(SUBSTITUTE(MID(W493&amp;W493,WEEKDAY(('_Dates'!Y493),2),MOD(((MIN('_Dates'!Z493,Settings!$B$9))-('_Dates'!Y493)+1),7)),"O",""))-COUNTIFS(INDEX(AllClosureRows,C493,0),"&gt;="&amp;('_Dates'!Y493),INDEX(AllClosureRows,C493,0),"&lt;="&amp;(MIN('_Dates'!Z493,Settings!$B$9))))))</ns0:f>
        <ns0:v>0</ns0:v>
      </ns0:c>
      <ns0:c r="I493" s="0">
        <ns0:f>MAX(0,G493-H493)</ns0:f>
        <ns0:v>0</ns0:v>
      </ns0:c>
      <ns0:c r="J493" s="0">
        <ns0:f>IF(OR(A493=0,F493&lt;&gt;"OK",Bookings!G493="Cancelled",$B$6&gt;0),0,IF('_Dates'!AC493=1,MAX(0,COUNTIFS(rngEngine_B,B493,rngAMStart,"&lt;="&amp;'_Dates'!X493,rngAMEnd,"&gt;="&amp;'_Dates'!W493,rngAMActive,1,rngEngine_F,"OK",rngBookings_F,"&lt;&gt;Cancelled")-1),0)+IF('_Dates'!AD493=1,MAX(0,COUNTIFS(rngEngine_B,B493,rngPMStart,"&lt;="&amp;'_Dates'!Z493,rngPMEnd,"&gt;="&amp;'_Dates'!Y493,rngPMActive,1,rngEngine_F,"OK",rngBookings_F,"&lt;&gt;Cancelled")-1),0))</ns0:f>
        <ns0:v>0</ns0:v>
      </ns0:c>
      <ns0:c r="K493" s="0" t="str">
        <ns0:f>IF(A493=0,"",IF(F493&lt;&gt;"OK",F493,IF(J493&gt;0,"CHECK overlapping entry",IF(AND($B$6=0,G493&lt;=0,Bookings!G493&lt;&gt;"Cancelled"),"CHECK no working days",IF(Bookings!G493="Cancelled","Cancelled","OK")))))</ns0:f>
        <ns0:v/>
      </ns0:c>
      <ns0:c r="L493" s="0">
        <ns0:f>IF(LEFT(K493,5)="CHECK",1,0)</ns0:f>
        <ns0:v>0</ns0:v>
      </ns0:c>
      <ns0:c r="M493" s="0">
        <ns0:f>IF(AND(L493=1,OR(C493=0,IFERROR(INDEX($X$11:$X$60,C493),0)=0)),1,0)</ns0:f>
        <ns0:v>0</ns0:v>
      </ns0:c>
      <ns0:c r="N493" s="0">
        <ns0:f>IF(OR(A493=0,L493&gt;0,$B$6&gt;0,Bookings!G493="Cancelled"),0,G493)</ns0:f>
        <ns0:v>0</ns0:v>
      </ns0:c>
      <ns0:c r="O493" s="0">
        <ns0:f>IF(AND(Bookings!G493="Approved",E493="Yes"),N493,0)</ns0:f>
        <ns0:v>0</ns0:v>
      </ns0:c>
      <ns0:c r="P493" s="0">
        <ns0:f>IF(AND(Bookings!G493="Approved",E493="Yes",L493=0,$B$6=0),H493,0)</ns0:f>
        <ns0:v>0</ns0:v>
      </ns0:c>
      <ns0:c r="Q493" s="0">
        <ns0:f>IF(AND(Bookings!G493="Approved",E493="Yes",L493=0,$B$6=0),I493,0)</ns0:f>
        <ns0:v>0</ns0:v>
      </ns0:c>
      <ns0:c r="R493" s="0">
        <ns0:f>IF(AND(Bookings!G493="Pending",E493="Yes"),N493,0)</ns0:f>
        <ns0:v>0</ns0:v>
      </ns0:c>
      <ns0:c r="S493" s="0">
        <ns0:f>IF(AND(Bookings!G493="Approved",E493="No"),N493,0)</ns0:f>
        <ns0:v>0</ns0:v>
      </ns0:c>
      <ns0:c r="T493" s="0">
        <ns0:f>IFERROR(MATCH(D493,Settings!$G$7:$G$11,0),0)</ns0:f>
        <ns0:v>0</ns0:v>
      </ns0:c>
      <ns0:c r="U493" s="0">
        <ns0:f>IF(N493&gt;0,T493+IF(Bookings!G493="Pending",10,0),0)</ns0:f>
        <ns0:v>0</ns0:v>
      </ns0:c>
      <ns0:c r="V493" s="0">
        <ns0:f>U493</ns0:f>
        <ns0:v>0</ns0:v>
      </ns0:c>
      <ns0:c r="W493" s="0" t="str">
        <ns0:f>IF(C493=0,"",INDEX($AP$11:$AP$60,C493))</ns0:f>
        <ns0:v/>
      </ns0:c>
    </ns0:row>
    <ns0:row r="494">
      <ns0:c r="A494" s="0">
        <ns0:f>IF(COUNTA(Bookings!A494:G494,Bookings!I494)=0,0,1)</ns0:f>
        <ns0:v>0</ns0:v>
      </ns0:c>
      <ns0:c r="B494" s="0" t="str">
        <ns0:f>IFERROR(TRIM(MID(Bookings!A494,FIND(" · ",Bookings!A494)+3,99)),"")</ns0:f>
        <ns0:v/>
      </ns0:c>
      <ns0:c r="C494" s="0">
        <ns0:f>IF(OR(B494="",LEN(B494)&gt;24,ISNUMBER(FIND(" ",B494)),ISNUMBER(FIND("*",B494)),ISNUMBER(FIND("?",B494)),ISNUMBER(FIND("~",B494))),0,IFERROR(MATCH(B494,Team!$A$11:$A$60,0),0))</ns0:f>
        <ns0:v>0</ns0:v>
      </ns0:c>
      <ns0:c r="D494" s="0" t="str">
        <ns0:f>IFERROR(IF(MID(Bookings!F494,LEN(Bookings!F494)-3,3)=" · ",RIGHT(Bookings!F494,1),""),"")</ns0:f>
        <ns0:v/>
      </ns0:c>
      <ns0:c r="E494" s="0" t="str">
        <ns0:f>IFERROR(INDEX(Settings!$H$7:$H$11,MATCH(D494,Settings!$G$7:$G$11,0)),"")</ns0:f>
        <ns0:v/>
      </ns0:c>
      <ns0:c r="F494" s="0" t="str">
        <ns0:f>IF(A494=0,"",IFERROR(IF(OR(B494="",C494=0),"CHECK employee selection",IF(INDEX(Team!$O$11:$O$60,C494)&lt;&gt;"OK","CHECK employee setup",IF(OR('_Dates'!J494=0,'_Dates'!T494=0),"CHECK date: use DD.MM.YYYY",IF('_Dates'!T494&lt;'_Dates'!J494,"CHECK end before start",IF(AND($B$6=0,OR('_Dates'!J494&lt;Settings!$B$7,'_Dates'!T494&gt;Settings!$B$8)),"CHECK split across leave years",IF(OR(NOT(OR('_Dates'!U494="Full day",'_Dates'!U494="AM",'_Dates'!U494="PM")),NOT(OR('_Dates'!V494="Full day",'_Dates'!V494="AM",'_Dates'!V494="PM"))),"CHECK Full day / AM / PM",IF(AND('_Dates'!J494='_Dates'!T494,'_Dates'!U494&lt;&gt;"Full day",'_Dates'!V494&lt;&gt;"Full day",'_Dates'!U494&lt;&gt;'_Dates'!V494),"CHECK same-day portions disagree",IF(AND($B$6=0,OR(AND('_Dates'!U494&lt;&gt;"Full day",'_Dates'!AA494=0),AND('_Dates'!V494&lt;&gt;"Full day",'_Dates'!AB494=0))),"CHECK half-day on non-working date",IF(COUNTIF(Settings!$G$7:$G$11,D494)&lt;&gt;1,"CHECK leave type",IF(AND(Bookings!G494&lt;&gt;"Approved",Bookings!G494&lt;&gt;"Pending",Bookings!G494&lt;&gt;"Cancelled"),"CHECK status","OK")))))))))),"CHECK input"))</ns0:f>
        <ns0:v/>
      </ns0:c>
      <ns0:c r="G494" s="0">
        <ns0:f>IF(OR(F494&lt;&gt;"OK",$B$6&gt;0),0,0.5*(IF(('_Dates'!X494)&lt;('_Dates'!W494),0,INT((('_Dates'!X494)-('_Dates'!W494)+1)/7)*LEN(SUBSTITUTE(W494,"O",""))+LEN(SUBSTITUTE(MID(W494&amp;W494,WEEKDAY(('_Dates'!W494),2),MOD((('_Dates'!X494)-('_Dates'!W494)+1),7)),"O",""))-COUNTIFS(INDEX(AllClosureRows,C494,0),"&gt;="&amp;('_Dates'!W494),INDEX(AllClosureRows,C494,0),"&lt;="&amp;('_Dates'!X494)))+IF(('_Dates'!Z494)&lt;('_Dates'!Y494),0,INT((('_Dates'!Z494)-('_Dates'!Y494)+1)/7)*LEN(SUBSTITUTE(W494,"O",""))+LEN(SUBSTITUTE(MID(W494&amp;W494,WEEKDAY(('_Dates'!Y494),2),MOD((('_Dates'!Z494)-('_Dates'!Y494)+1),7)),"O",""))-COUNTIFS(INDEX(AllClosureRows,C494,0),"&gt;="&amp;('_Dates'!Y494),INDEX(AllClosureRows,C494,0),"&lt;="&amp;('_Dates'!Z494)))))</ns0:f>
        <ns0:v>0</ns0:v>
      </ns0:c>
      <ns0:c r="H494" s="0">
        <ns0:f>IF(OR(F494&lt;&gt;"OK",$B$6&gt;0),0,0.5*(IF((MIN('_Dates'!X494,Settings!$B$9))&lt;('_Dates'!W494),0,INT(((MIN('_Dates'!X494,Settings!$B$9))-('_Dates'!W494)+1)/7)*LEN(SUBSTITUTE(W494,"O",""))+LEN(SUBSTITUTE(MID(W494&amp;W494,WEEKDAY(('_Dates'!W494),2),MOD(((MIN('_Dates'!X494,Settings!$B$9))-('_Dates'!W494)+1),7)),"O",""))-COUNTIFS(INDEX(AllClosureRows,C494,0),"&gt;="&amp;('_Dates'!W494),INDEX(AllClosureRows,C494,0),"&lt;="&amp;(MIN('_Dates'!X494,Settings!$B$9))))+IF((MIN('_Dates'!Z494,Settings!$B$9))&lt;('_Dates'!Y494),0,INT(((MIN('_Dates'!Z494,Settings!$B$9))-('_Dates'!Y494)+1)/7)*LEN(SUBSTITUTE(W494,"O",""))+LEN(SUBSTITUTE(MID(W494&amp;W494,WEEKDAY(('_Dates'!Y494),2),MOD(((MIN('_Dates'!Z494,Settings!$B$9))-('_Dates'!Y494)+1),7)),"O",""))-COUNTIFS(INDEX(AllClosureRows,C494,0),"&gt;="&amp;('_Dates'!Y494),INDEX(AllClosureRows,C494,0),"&lt;="&amp;(MIN('_Dates'!Z494,Settings!$B$9))))))</ns0:f>
        <ns0:v>0</ns0:v>
      </ns0:c>
      <ns0:c r="I494" s="0">
        <ns0:f>MAX(0,G494-H494)</ns0:f>
        <ns0:v>0</ns0:v>
      </ns0:c>
      <ns0:c r="J494" s="0">
        <ns0:f>IF(OR(A494=0,F494&lt;&gt;"OK",Bookings!G494="Cancelled",$B$6&gt;0),0,IF('_Dates'!AC494=1,MAX(0,COUNTIFS(rngEngine_B,B494,rngAMStart,"&lt;="&amp;'_Dates'!X494,rngAMEnd,"&gt;="&amp;'_Dates'!W494,rngAMActive,1,rngEngine_F,"OK",rngBookings_F,"&lt;&gt;Cancelled")-1),0)+IF('_Dates'!AD494=1,MAX(0,COUNTIFS(rngEngine_B,B494,rngPMStart,"&lt;="&amp;'_Dates'!Z494,rngPMEnd,"&gt;="&amp;'_Dates'!Y494,rngPMActive,1,rngEngine_F,"OK",rngBookings_F,"&lt;&gt;Cancelled")-1),0))</ns0:f>
        <ns0:v>0</ns0:v>
      </ns0:c>
      <ns0:c r="K494" s="0" t="str">
        <ns0:f>IF(A494=0,"",IF(F494&lt;&gt;"OK",F494,IF(J494&gt;0,"CHECK overlapping entry",IF(AND($B$6=0,G494&lt;=0,Bookings!G494&lt;&gt;"Cancelled"),"CHECK no working days",IF(Bookings!G494="Cancelled","Cancelled","OK")))))</ns0:f>
        <ns0:v/>
      </ns0:c>
      <ns0:c r="L494" s="0">
        <ns0:f>IF(LEFT(K494,5)="CHECK",1,0)</ns0:f>
        <ns0:v>0</ns0:v>
      </ns0:c>
      <ns0:c r="M494" s="0">
        <ns0:f>IF(AND(L494=1,OR(C494=0,IFERROR(INDEX($X$11:$X$60,C494),0)=0)),1,0)</ns0:f>
        <ns0:v>0</ns0:v>
      </ns0:c>
      <ns0:c r="N494" s="0">
        <ns0:f>IF(OR(A494=0,L494&gt;0,$B$6&gt;0,Bookings!G494="Cancelled"),0,G494)</ns0:f>
        <ns0:v>0</ns0:v>
      </ns0:c>
      <ns0:c r="O494" s="0">
        <ns0:f>IF(AND(Bookings!G494="Approved",E494="Yes"),N494,0)</ns0:f>
        <ns0:v>0</ns0:v>
      </ns0:c>
      <ns0:c r="P494" s="0">
        <ns0:f>IF(AND(Bookings!G494="Approved",E494="Yes",L494=0,$B$6=0),H494,0)</ns0:f>
        <ns0:v>0</ns0:v>
      </ns0:c>
      <ns0:c r="Q494" s="0">
        <ns0:f>IF(AND(Bookings!G494="Approved",E494="Yes",L494=0,$B$6=0),I494,0)</ns0:f>
        <ns0:v>0</ns0:v>
      </ns0:c>
      <ns0:c r="R494" s="0">
        <ns0:f>IF(AND(Bookings!G494="Pending",E494="Yes"),N494,0)</ns0:f>
        <ns0:v>0</ns0:v>
      </ns0:c>
      <ns0:c r="S494" s="0">
        <ns0:f>IF(AND(Bookings!G494="Approved",E494="No"),N494,0)</ns0:f>
        <ns0:v>0</ns0:v>
      </ns0:c>
      <ns0:c r="T494" s="0">
        <ns0:f>IFERROR(MATCH(D494,Settings!$G$7:$G$11,0),0)</ns0:f>
        <ns0:v>0</ns0:v>
      </ns0:c>
      <ns0:c r="U494" s="0">
        <ns0:f>IF(N494&gt;0,T494+IF(Bookings!G494="Pending",10,0),0)</ns0:f>
        <ns0:v>0</ns0:v>
      </ns0:c>
      <ns0:c r="V494" s="0">
        <ns0:f>U494</ns0:f>
        <ns0:v>0</ns0:v>
      </ns0:c>
      <ns0:c r="W494" s="0" t="str">
        <ns0:f>IF(C494=0,"",INDEX($AP$11:$AP$60,C494))</ns0:f>
        <ns0:v/>
      </ns0:c>
    </ns0:row>
    <ns0:row r="495">
      <ns0:c r="A495" s="0">
        <ns0:f>IF(COUNTA(Bookings!A495:G495,Bookings!I495)=0,0,1)</ns0:f>
        <ns0:v>0</ns0:v>
      </ns0:c>
      <ns0:c r="B495" s="0" t="str">
        <ns0:f>IFERROR(TRIM(MID(Bookings!A495,FIND(" · ",Bookings!A495)+3,99)),"")</ns0:f>
        <ns0:v/>
      </ns0:c>
      <ns0:c r="C495" s="0">
        <ns0:f>IF(OR(B495="",LEN(B495)&gt;24,ISNUMBER(FIND(" ",B495)),ISNUMBER(FIND("*",B495)),ISNUMBER(FIND("?",B495)),ISNUMBER(FIND("~",B495))),0,IFERROR(MATCH(B495,Team!$A$11:$A$60,0),0))</ns0:f>
        <ns0:v>0</ns0:v>
      </ns0:c>
      <ns0:c r="D495" s="0" t="str">
        <ns0:f>IFERROR(IF(MID(Bookings!F495,LEN(Bookings!F495)-3,3)=" · ",RIGHT(Bookings!F495,1),""),"")</ns0:f>
        <ns0:v/>
      </ns0:c>
      <ns0:c r="E495" s="0" t="str">
        <ns0:f>IFERROR(INDEX(Settings!$H$7:$H$11,MATCH(D495,Settings!$G$7:$G$11,0)),"")</ns0:f>
        <ns0:v/>
      </ns0:c>
      <ns0:c r="F495" s="0" t="str">
        <ns0:f>IF(A495=0,"",IFERROR(IF(OR(B495="",C495=0),"CHECK employee selection",IF(INDEX(Team!$O$11:$O$60,C495)&lt;&gt;"OK","CHECK employee setup",IF(OR('_Dates'!J495=0,'_Dates'!T495=0),"CHECK date: use DD.MM.YYYY",IF('_Dates'!T495&lt;'_Dates'!J495,"CHECK end before start",IF(AND($B$6=0,OR('_Dates'!J495&lt;Settings!$B$7,'_Dates'!T495&gt;Settings!$B$8)),"CHECK split across leave years",IF(OR(NOT(OR('_Dates'!U495="Full day",'_Dates'!U495="AM",'_Dates'!U495="PM")),NOT(OR('_Dates'!V495="Full day",'_Dates'!V495="AM",'_Dates'!V495="PM"))),"CHECK Full day / AM / PM",IF(AND('_Dates'!J495='_Dates'!T495,'_Dates'!U495&lt;&gt;"Full day",'_Dates'!V495&lt;&gt;"Full day",'_Dates'!U495&lt;&gt;'_Dates'!V495),"CHECK same-day portions disagree",IF(AND($B$6=0,OR(AND('_Dates'!U495&lt;&gt;"Full day",'_Dates'!AA495=0),AND('_Dates'!V495&lt;&gt;"Full day",'_Dates'!AB495=0))),"CHECK half-day on non-working date",IF(COUNTIF(Settings!$G$7:$G$11,D495)&lt;&gt;1,"CHECK leave type",IF(AND(Bookings!G495&lt;&gt;"Approved",Bookings!G495&lt;&gt;"Pending",Bookings!G495&lt;&gt;"Cancelled"),"CHECK status","OK")))))))))),"CHECK input"))</ns0:f>
        <ns0:v/>
      </ns0:c>
      <ns0:c r="G495" s="0">
        <ns0:f>IF(OR(F495&lt;&gt;"OK",$B$6&gt;0),0,0.5*(IF(('_Dates'!X495)&lt;('_Dates'!W495),0,INT((('_Dates'!X495)-('_Dates'!W495)+1)/7)*LEN(SUBSTITUTE(W495,"O",""))+LEN(SUBSTITUTE(MID(W495&amp;W495,WEEKDAY(('_Dates'!W495),2),MOD((('_Dates'!X495)-('_Dates'!W495)+1),7)),"O",""))-COUNTIFS(INDEX(AllClosureRows,C495,0),"&gt;="&amp;('_Dates'!W495),INDEX(AllClosureRows,C495,0),"&lt;="&amp;('_Dates'!X495)))+IF(('_Dates'!Z495)&lt;('_Dates'!Y495),0,INT((('_Dates'!Z495)-('_Dates'!Y495)+1)/7)*LEN(SUBSTITUTE(W495,"O",""))+LEN(SUBSTITUTE(MID(W495&amp;W495,WEEKDAY(('_Dates'!Y495),2),MOD((('_Dates'!Z495)-('_Dates'!Y495)+1),7)),"O",""))-COUNTIFS(INDEX(AllClosureRows,C495,0),"&gt;="&amp;('_Dates'!Y495),INDEX(AllClosureRows,C495,0),"&lt;="&amp;('_Dates'!Z495)))))</ns0:f>
        <ns0:v>0</ns0:v>
      </ns0:c>
      <ns0:c r="H495" s="0">
        <ns0:f>IF(OR(F495&lt;&gt;"OK",$B$6&gt;0),0,0.5*(IF((MIN('_Dates'!X495,Settings!$B$9))&lt;('_Dates'!W495),0,INT(((MIN('_Dates'!X495,Settings!$B$9))-('_Dates'!W495)+1)/7)*LEN(SUBSTITUTE(W495,"O",""))+LEN(SUBSTITUTE(MID(W495&amp;W495,WEEKDAY(('_Dates'!W495),2),MOD(((MIN('_Dates'!X495,Settings!$B$9))-('_Dates'!W495)+1),7)),"O",""))-COUNTIFS(INDEX(AllClosureRows,C495,0),"&gt;="&amp;('_Dates'!W495),INDEX(AllClosureRows,C495,0),"&lt;="&amp;(MIN('_Dates'!X495,Settings!$B$9))))+IF((MIN('_Dates'!Z495,Settings!$B$9))&lt;('_Dates'!Y495),0,INT(((MIN('_Dates'!Z495,Settings!$B$9))-('_Dates'!Y495)+1)/7)*LEN(SUBSTITUTE(W495,"O",""))+LEN(SUBSTITUTE(MID(W495&amp;W495,WEEKDAY(('_Dates'!Y495),2),MOD(((MIN('_Dates'!Z495,Settings!$B$9))-('_Dates'!Y495)+1),7)),"O",""))-COUNTIFS(INDEX(AllClosureRows,C495,0),"&gt;="&amp;('_Dates'!Y495),INDEX(AllClosureRows,C495,0),"&lt;="&amp;(MIN('_Dates'!Z495,Settings!$B$9))))))</ns0:f>
        <ns0:v>0</ns0:v>
      </ns0:c>
      <ns0:c r="I495" s="0">
        <ns0:f>MAX(0,G495-H495)</ns0:f>
        <ns0:v>0</ns0:v>
      </ns0:c>
      <ns0:c r="J495" s="0">
        <ns0:f>IF(OR(A495=0,F495&lt;&gt;"OK",Bookings!G495="Cancelled",$B$6&gt;0),0,IF('_Dates'!AC495=1,MAX(0,COUNTIFS(rngEngine_B,B495,rngAMStart,"&lt;="&amp;'_Dates'!X495,rngAMEnd,"&gt;="&amp;'_Dates'!W495,rngAMActive,1,rngEngine_F,"OK",rngBookings_F,"&lt;&gt;Cancelled")-1),0)+IF('_Dates'!AD495=1,MAX(0,COUNTIFS(rngEngine_B,B495,rngPMStart,"&lt;="&amp;'_Dates'!Z495,rngPMEnd,"&gt;="&amp;'_Dates'!Y495,rngPMActive,1,rngEngine_F,"OK",rngBookings_F,"&lt;&gt;Cancelled")-1),0))</ns0:f>
        <ns0:v>0</ns0:v>
      </ns0:c>
      <ns0:c r="K495" s="0" t="str">
        <ns0:f>IF(A495=0,"",IF(F495&lt;&gt;"OK",F495,IF(J495&gt;0,"CHECK overlapping entry",IF(AND($B$6=0,G495&lt;=0,Bookings!G495&lt;&gt;"Cancelled"),"CHECK no working days",IF(Bookings!G495="Cancelled","Cancelled","OK")))))</ns0:f>
        <ns0:v/>
      </ns0:c>
      <ns0:c r="L495" s="0">
        <ns0:f>IF(LEFT(K495,5)="CHECK",1,0)</ns0:f>
        <ns0:v>0</ns0:v>
      </ns0:c>
      <ns0:c r="M495" s="0">
        <ns0:f>IF(AND(L495=1,OR(C495=0,IFERROR(INDEX($X$11:$X$60,C495),0)=0)),1,0)</ns0:f>
        <ns0:v>0</ns0:v>
      </ns0:c>
      <ns0:c r="N495" s="0">
        <ns0:f>IF(OR(A495=0,L495&gt;0,$B$6&gt;0,Bookings!G495="Cancelled"),0,G495)</ns0:f>
        <ns0:v>0</ns0:v>
      </ns0:c>
      <ns0:c r="O495" s="0">
        <ns0:f>IF(AND(Bookings!G495="Approved",E495="Yes"),N495,0)</ns0:f>
        <ns0:v>0</ns0:v>
      </ns0:c>
      <ns0:c r="P495" s="0">
        <ns0:f>IF(AND(Bookings!G495="Approved",E495="Yes",L495=0,$B$6=0),H495,0)</ns0:f>
        <ns0:v>0</ns0:v>
      </ns0:c>
      <ns0:c r="Q495" s="0">
        <ns0:f>IF(AND(Bookings!G495="Approved",E495="Yes",L495=0,$B$6=0),I495,0)</ns0:f>
        <ns0:v>0</ns0:v>
      </ns0:c>
      <ns0:c r="R495" s="0">
        <ns0:f>IF(AND(Bookings!G495="Pending",E495="Yes"),N495,0)</ns0:f>
        <ns0:v>0</ns0:v>
      </ns0:c>
      <ns0:c r="S495" s="0">
        <ns0:f>IF(AND(Bookings!G495="Approved",E495="No"),N495,0)</ns0:f>
        <ns0:v>0</ns0:v>
      </ns0:c>
      <ns0:c r="T495" s="0">
        <ns0:f>IFERROR(MATCH(D495,Settings!$G$7:$G$11,0),0)</ns0:f>
        <ns0:v>0</ns0:v>
      </ns0:c>
      <ns0:c r="U495" s="0">
        <ns0:f>IF(N495&gt;0,T495+IF(Bookings!G495="Pending",10,0),0)</ns0:f>
        <ns0:v>0</ns0:v>
      </ns0:c>
      <ns0:c r="V495" s="0">
        <ns0:f>U495</ns0:f>
        <ns0:v>0</ns0:v>
      </ns0:c>
      <ns0:c r="W495" s="0" t="str">
        <ns0:f>IF(C495=0,"",INDEX($AP$11:$AP$60,C495))</ns0:f>
        <ns0:v/>
      </ns0:c>
    </ns0:row>
    <ns0:row r="496">
      <ns0:c r="A496" s="0">
        <ns0:f>IF(COUNTA(Bookings!A496:G496,Bookings!I496)=0,0,1)</ns0:f>
        <ns0:v>0</ns0:v>
      </ns0:c>
      <ns0:c r="B496" s="0" t="str">
        <ns0:f>IFERROR(TRIM(MID(Bookings!A496,FIND(" · ",Bookings!A496)+3,99)),"")</ns0:f>
        <ns0:v/>
      </ns0:c>
      <ns0:c r="C496" s="0">
        <ns0:f>IF(OR(B496="",LEN(B496)&gt;24,ISNUMBER(FIND(" ",B496)),ISNUMBER(FIND("*",B496)),ISNUMBER(FIND("?",B496)),ISNUMBER(FIND("~",B496))),0,IFERROR(MATCH(B496,Team!$A$11:$A$60,0),0))</ns0:f>
        <ns0:v>0</ns0:v>
      </ns0:c>
      <ns0:c r="D496" s="0" t="str">
        <ns0:f>IFERROR(IF(MID(Bookings!F496,LEN(Bookings!F496)-3,3)=" · ",RIGHT(Bookings!F496,1),""),"")</ns0:f>
        <ns0:v/>
      </ns0:c>
      <ns0:c r="E496" s="0" t="str">
        <ns0:f>IFERROR(INDEX(Settings!$H$7:$H$11,MATCH(D496,Settings!$G$7:$G$11,0)),"")</ns0:f>
        <ns0:v/>
      </ns0:c>
      <ns0:c r="F496" s="0" t="str">
        <ns0:f>IF(A496=0,"",IFERROR(IF(OR(B496="",C496=0),"CHECK employee selection",IF(INDEX(Team!$O$11:$O$60,C496)&lt;&gt;"OK","CHECK employee setup",IF(OR('_Dates'!J496=0,'_Dates'!T496=0),"CHECK date: use DD.MM.YYYY",IF('_Dates'!T496&lt;'_Dates'!J496,"CHECK end before start",IF(AND($B$6=0,OR('_Dates'!J496&lt;Settings!$B$7,'_Dates'!T496&gt;Settings!$B$8)),"CHECK split across leave years",IF(OR(NOT(OR('_Dates'!U496="Full day",'_Dates'!U496="AM",'_Dates'!U496="PM")),NOT(OR('_Dates'!V496="Full day",'_Dates'!V496="AM",'_Dates'!V496="PM"))),"CHECK Full day / AM / PM",IF(AND('_Dates'!J496='_Dates'!T496,'_Dates'!U496&lt;&gt;"Full day",'_Dates'!V496&lt;&gt;"Full day",'_Dates'!U496&lt;&gt;'_Dates'!V496),"CHECK same-day portions disagree",IF(AND($B$6=0,OR(AND('_Dates'!U496&lt;&gt;"Full day",'_Dates'!AA496=0),AND('_Dates'!V496&lt;&gt;"Full day",'_Dates'!AB496=0))),"CHECK half-day on non-working date",IF(COUNTIF(Settings!$G$7:$G$11,D496)&lt;&gt;1,"CHECK leave type",IF(AND(Bookings!G496&lt;&gt;"Approved",Bookings!G496&lt;&gt;"Pending",Bookings!G496&lt;&gt;"Cancelled"),"CHECK status","OK")))))))))),"CHECK input"))</ns0:f>
        <ns0:v/>
      </ns0:c>
      <ns0:c r="G496" s="0">
        <ns0:f>IF(OR(F496&lt;&gt;"OK",$B$6&gt;0),0,0.5*(IF(('_Dates'!X496)&lt;('_Dates'!W496),0,INT((('_Dates'!X496)-('_Dates'!W496)+1)/7)*LEN(SUBSTITUTE(W496,"O",""))+LEN(SUBSTITUTE(MID(W496&amp;W496,WEEKDAY(('_Dates'!W496),2),MOD((('_Dates'!X496)-('_Dates'!W496)+1),7)),"O",""))-COUNTIFS(INDEX(AllClosureRows,C496,0),"&gt;="&amp;('_Dates'!W496),INDEX(AllClosureRows,C496,0),"&lt;="&amp;('_Dates'!X496)))+IF(('_Dates'!Z496)&lt;('_Dates'!Y496),0,INT((('_Dates'!Z496)-('_Dates'!Y496)+1)/7)*LEN(SUBSTITUTE(W496,"O",""))+LEN(SUBSTITUTE(MID(W496&amp;W496,WEEKDAY(('_Dates'!Y496),2),MOD((('_Dates'!Z496)-('_Dates'!Y496)+1),7)),"O",""))-COUNTIFS(INDEX(AllClosureRows,C496,0),"&gt;="&amp;('_Dates'!Y496),INDEX(AllClosureRows,C496,0),"&lt;="&amp;('_Dates'!Z496)))))</ns0:f>
        <ns0:v>0</ns0:v>
      </ns0:c>
      <ns0:c r="H496" s="0">
        <ns0:f>IF(OR(F496&lt;&gt;"OK",$B$6&gt;0),0,0.5*(IF((MIN('_Dates'!X496,Settings!$B$9))&lt;('_Dates'!W496),0,INT(((MIN('_Dates'!X496,Settings!$B$9))-('_Dates'!W496)+1)/7)*LEN(SUBSTITUTE(W496,"O",""))+LEN(SUBSTITUTE(MID(W496&amp;W496,WEEKDAY(('_Dates'!W496),2),MOD(((MIN('_Dates'!X496,Settings!$B$9))-('_Dates'!W496)+1),7)),"O",""))-COUNTIFS(INDEX(AllClosureRows,C496,0),"&gt;="&amp;('_Dates'!W496),INDEX(AllClosureRows,C496,0),"&lt;="&amp;(MIN('_Dates'!X496,Settings!$B$9))))+IF((MIN('_Dates'!Z496,Settings!$B$9))&lt;('_Dates'!Y496),0,INT(((MIN('_Dates'!Z496,Settings!$B$9))-('_Dates'!Y496)+1)/7)*LEN(SUBSTITUTE(W496,"O",""))+LEN(SUBSTITUTE(MID(W496&amp;W496,WEEKDAY(('_Dates'!Y496),2),MOD(((MIN('_Dates'!Z496,Settings!$B$9))-('_Dates'!Y496)+1),7)),"O",""))-COUNTIFS(INDEX(AllClosureRows,C496,0),"&gt;="&amp;('_Dates'!Y496),INDEX(AllClosureRows,C496,0),"&lt;="&amp;(MIN('_Dates'!Z496,Settings!$B$9))))))</ns0:f>
        <ns0:v>0</ns0:v>
      </ns0:c>
      <ns0:c r="I496" s="0">
        <ns0:f>MAX(0,G496-H496)</ns0:f>
        <ns0:v>0</ns0:v>
      </ns0:c>
      <ns0:c r="J496" s="0">
        <ns0:f>IF(OR(A496=0,F496&lt;&gt;"OK",Bookings!G496="Cancelled",$B$6&gt;0),0,IF('_Dates'!AC496=1,MAX(0,COUNTIFS(rngEngine_B,B496,rngAMStart,"&lt;="&amp;'_Dates'!X496,rngAMEnd,"&gt;="&amp;'_Dates'!W496,rngAMActive,1,rngEngine_F,"OK",rngBookings_F,"&lt;&gt;Cancelled")-1),0)+IF('_Dates'!AD496=1,MAX(0,COUNTIFS(rngEngine_B,B496,rngPMStart,"&lt;="&amp;'_Dates'!Z496,rngPMEnd,"&gt;="&amp;'_Dates'!Y496,rngPMActive,1,rngEngine_F,"OK",rngBookings_F,"&lt;&gt;Cancelled")-1),0))</ns0:f>
        <ns0:v>0</ns0:v>
      </ns0:c>
      <ns0:c r="K496" s="0" t="str">
        <ns0:f>IF(A496=0,"",IF(F496&lt;&gt;"OK",F496,IF(J496&gt;0,"CHECK overlapping entry",IF(AND($B$6=0,G496&lt;=0,Bookings!G496&lt;&gt;"Cancelled"),"CHECK no working days",IF(Bookings!G496="Cancelled","Cancelled","OK")))))</ns0:f>
        <ns0:v/>
      </ns0:c>
      <ns0:c r="L496" s="0">
        <ns0:f>IF(LEFT(K496,5)="CHECK",1,0)</ns0:f>
        <ns0:v>0</ns0:v>
      </ns0:c>
      <ns0:c r="M496" s="0">
        <ns0:f>IF(AND(L496=1,OR(C496=0,IFERROR(INDEX($X$11:$X$60,C496),0)=0)),1,0)</ns0:f>
        <ns0:v>0</ns0:v>
      </ns0:c>
      <ns0:c r="N496" s="0">
        <ns0:f>IF(OR(A496=0,L496&gt;0,$B$6&gt;0,Bookings!G496="Cancelled"),0,G496)</ns0:f>
        <ns0:v>0</ns0:v>
      </ns0:c>
      <ns0:c r="O496" s="0">
        <ns0:f>IF(AND(Bookings!G496="Approved",E496="Yes"),N496,0)</ns0:f>
        <ns0:v>0</ns0:v>
      </ns0:c>
      <ns0:c r="P496" s="0">
        <ns0:f>IF(AND(Bookings!G496="Approved",E496="Yes",L496=0,$B$6=0),H496,0)</ns0:f>
        <ns0:v>0</ns0:v>
      </ns0:c>
      <ns0:c r="Q496" s="0">
        <ns0:f>IF(AND(Bookings!G496="Approved",E496="Yes",L496=0,$B$6=0),I496,0)</ns0:f>
        <ns0:v>0</ns0:v>
      </ns0:c>
      <ns0:c r="R496" s="0">
        <ns0:f>IF(AND(Bookings!G496="Pending",E496="Yes"),N496,0)</ns0:f>
        <ns0:v>0</ns0:v>
      </ns0:c>
      <ns0:c r="S496" s="0">
        <ns0:f>IF(AND(Bookings!G496="Approved",E496="No"),N496,0)</ns0:f>
        <ns0:v>0</ns0:v>
      </ns0:c>
      <ns0:c r="T496" s="0">
        <ns0:f>IFERROR(MATCH(D496,Settings!$G$7:$G$11,0),0)</ns0:f>
        <ns0:v>0</ns0:v>
      </ns0:c>
      <ns0:c r="U496" s="0">
        <ns0:f>IF(N496&gt;0,T496+IF(Bookings!G496="Pending",10,0),0)</ns0:f>
        <ns0:v>0</ns0:v>
      </ns0:c>
      <ns0:c r="V496" s="0">
        <ns0:f>U496</ns0:f>
        <ns0:v>0</ns0:v>
      </ns0:c>
      <ns0:c r="W496" s="0" t="str">
        <ns0:f>IF(C496=0,"",INDEX($AP$11:$AP$60,C496))</ns0:f>
        <ns0:v/>
      </ns0:c>
    </ns0:row>
    <ns0:row r="497">
      <ns0:c r="A497" s="0">
        <ns0:f>IF(COUNTA(Bookings!A497:G497,Bookings!I497)=0,0,1)</ns0:f>
        <ns0:v>0</ns0:v>
      </ns0:c>
      <ns0:c r="B497" s="0" t="str">
        <ns0:f>IFERROR(TRIM(MID(Bookings!A497,FIND(" · ",Bookings!A497)+3,99)),"")</ns0:f>
        <ns0:v/>
      </ns0:c>
      <ns0:c r="C497" s="0">
        <ns0:f>IF(OR(B497="",LEN(B497)&gt;24,ISNUMBER(FIND(" ",B497)),ISNUMBER(FIND("*",B497)),ISNUMBER(FIND("?",B497)),ISNUMBER(FIND("~",B497))),0,IFERROR(MATCH(B497,Team!$A$11:$A$60,0),0))</ns0:f>
        <ns0:v>0</ns0:v>
      </ns0:c>
      <ns0:c r="D497" s="0" t="str">
        <ns0:f>IFERROR(IF(MID(Bookings!F497,LEN(Bookings!F497)-3,3)=" · ",RIGHT(Bookings!F497,1),""),"")</ns0:f>
        <ns0:v/>
      </ns0:c>
      <ns0:c r="E497" s="0" t="str">
        <ns0:f>IFERROR(INDEX(Settings!$H$7:$H$11,MATCH(D497,Settings!$G$7:$G$11,0)),"")</ns0:f>
        <ns0:v/>
      </ns0:c>
      <ns0:c r="F497" s="0" t="str">
        <ns0:f>IF(A497=0,"",IFERROR(IF(OR(B497="",C497=0),"CHECK employee selection",IF(INDEX(Team!$O$11:$O$60,C497)&lt;&gt;"OK","CHECK employee setup",IF(OR('_Dates'!J497=0,'_Dates'!T497=0),"CHECK date: use DD.MM.YYYY",IF('_Dates'!T497&lt;'_Dates'!J497,"CHECK end before start",IF(AND($B$6=0,OR('_Dates'!J497&lt;Settings!$B$7,'_Dates'!T497&gt;Settings!$B$8)),"CHECK split across leave years",IF(OR(NOT(OR('_Dates'!U497="Full day",'_Dates'!U497="AM",'_Dates'!U497="PM")),NOT(OR('_Dates'!V497="Full day",'_Dates'!V497="AM",'_Dates'!V497="PM"))),"CHECK Full day / AM / PM",IF(AND('_Dates'!J497='_Dates'!T497,'_Dates'!U497&lt;&gt;"Full day",'_Dates'!V497&lt;&gt;"Full day",'_Dates'!U497&lt;&gt;'_Dates'!V497),"CHECK same-day portions disagree",IF(AND($B$6=0,OR(AND('_Dates'!U497&lt;&gt;"Full day",'_Dates'!AA497=0),AND('_Dates'!V497&lt;&gt;"Full day",'_Dates'!AB497=0))),"CHECK half-day on non-working date",IF(COUNTIF(Settings!$G$7:$G$11,D497)&lt;&gt;1,"CHECK leave type",IF(AND(Bookings!G497&lt;&gt;"Approved",Bookings!G497&lt;&gt;"Pending",Bookings!G497&lt;&gt;"Cancelled"),"CHECK status","OK")))))))))),"CHECK input"))</ns0:f>
        <ns0:v/>
      </ns0:c>
      <ns0:c r="G497" s="0">
        <ns0:f>IF(OR(F497&lt;&gt;"OK",$B$6&gt;0),0,0.5*(IF(('_Dates'!X497)&lt;('_Dates'!W497),0,INT((('_Dates'!X497)-('_Dates'!W497)+1)/7)*LEN(SUBSTITUTE(W497,"O",""))+LEN(SUBSTITUTE(MID(W497&amp;W497,WEEKDAY(('_Dates'!W497),2),MOD((('_Dates'!X497)-('_Dates'!W497)+1),7)),"O",""))-COUNTIFS(INDEX(AllClosureRows,C497,0),"&gt;="&amp;('_Dates'!W497),INDEX(AllClosureRows,C497,0),"&lt;="&amp;('_Dates'!X497)))+IF(('_Dates'!Z497)&lt;('_Dates'!Y497),0,INT((('_Dates'!Z497)-('_Dates'!Y497)+1)/7)*LEN(SUBSTITUTE(W497,"O",""))+LEN(SUBSTITUTE(MID(W497&amp;W497,WEEKDAY(('_Dates'!Y497),2),MOD((('_Dates'!Z497)-('_Dates'!Y497)+1),7)),"O",""))-COUNTIFS(INDEX(AllClosureRows,C497,0),"&gt;="&amp;('_Dates'!Y497),INDEX(AllClosureRows,C497,0),"&lt;="&amp;('_Dates'!Z497)))))</ns0:f>
        <ns0:v>0</ns0:v>
      </ns0:c>
      <ns0:c r="H497" s="0">
        <ns0:f>IF(OR(F497&lt;&gt;"OK",$B$6&gt;0),0,0.5*(IF((MIN('_Dates'!X497,Settings!$B$9))&lt;('_Dates'!W497),0,INT(((MIN('_Dates'!X497,Settings!$B$9))-('_Dates'!W497)+1)/7)*LEN(SUBSTITUTE(W497,"O",""))+LEN(SUBSTITUTE(MID(W497&amp;W497,WEEKDAY(('_Dates'!W497),2),MOD(((MIN('_Dates'!X497,Settings!$B$9))-('_Dates'!W497)+1),7)),"O",""))-COUNTIFS(INDEX(AllClosureRows,C497,0),"&gt;="&amp;('_Dates'!W497),INDEX(AllClosureRows,C497,0),"&lt;="&amp;(MIN('_Dates'!X497,Settings!$B$9))))+IF((MIN('_Dates'!Z497,Settings!$B$9))&lt;('_Dates'!Y497),0,INT(((MIN('_Dates'!Z497,Settings!$B$9))-('_Dates'!Y497)+1)/7)*LEN(SUBSTITUTE(W497,"O",""))+LEN(SUBSTITUTE(MID(W497&amp;W497,WEEKDAY(('_Dates'!Y497),2),MOD(((MIN('_Dates'!Z497,Settings!$B$9))-('_Dates'!Y497)+1),7)),"O",""))-COUNTIFS(INDEX(AllClosureRows,C497,0),"&gt;="&amp;('_Dates'!Y497),INDEX(AllClosureRows,C497,0),"&lt;="&amp;(MIN('_Dates'!Z497,Settings!$B$9))))))</ns0:f>
        <ns0:v>0</ns0:v>
      </ns0:c>
      <ns0:c r="I497" s="0">
        <ns0:f>MAX(0,G497-H497)</ns0:f>
        <ns0:v>0</ns0:v>
      </ns0:c>
      <ns0:c r="J497" s="0">
        <ns0:f>IF(OR(A497=0,F497&lt;&gt;"OK",Bookings!G497="Cancelled",$B$6&gt;0),0,IF('_Dates'!AC497=1,MAX(0,COUNTIFS(rngEngine_B,B497,rngAMStart,"&lt;="&amp;'_Dates'!X497,rngAMEnd,"&gt;="&amp;'_Dates'!W497,rngAMActive,1,rngEngine_F,"OK",rngBookings_F,"&lt;&gt;Cancelled")-1),0)+IF('_Dates'!AD497=1,MAX(0,COUNTIFS(rngEngine_B,B497,rngPMStart,"&lt;="&amp;'_Dates'!Z497,rngPMEnd,"&gt;="&amp;'_Dates'!Y497,rngPMActive,1,rngEngine_F,"OK",rngBookings_F,"&lt;&gt;Cancelled")-1),0))</ns0:f>
        <ns0:v>0</ns0:v>
      </ns0:c>
      <ns0:c r="K497" s="0" t="str">
        <ns0:f>IF(A497=0,"",IF(F497&lt;&gt;"OK",F497,IF(J497&gt;0,"CHECK overlapping entry",IF(AND($B$6=0,G497&lt;=0,Bookings!G497&lt;&gt;"Cancelled"),"CHECK no working days",IF(Bookings!G497="Cancelled","Cancelled","OK")))))</ns0:f>
        <ns0:v/>
      </ns0:c>
      <ns0:c r="L497" s="0">
        <ns0:f>IF(LEFT(K497,5)="CHECK",1,0)</ns0:f>
        <ns0:v>0</ns0:v>
      </ns0:c>
      <ns0:c r="M497" s="0">
        <ns0:f>IF(AND(L497=1,OR(C497=0,IFERROR(INDEX($X$11:$X$60,C497),0)=0)),1,0)</ns0:f>
        <ns0:v>0</ns0:v>
      </ns0:c>
      <ns0:c r="N497" s="0">
        <ns0:f>IF(OR(A497=0,L497&gt;0,$B$6&gt;0,Bookings!G497="Cancelled"),0,G497)</ns0:f>
        <ns0:v>0</ns0:v>
      </ns0:c>
      <ns0:c r="O497" s="0">
        <ns0:f>IF(AND(Bookings!G497="Approved",E497="Yes"),N497,0)</ns0:f>
        <ns0:v>0</ns0:v>
      </ns0:c>
      <ns0:c r="P497" s="0">
        <ns0:f>IF(AND(Bookings!G497="Approved",E497="Yes",L497=0,$B$6=0),H497,0)</ns0:f>
        <ns0:v>0</ns0:v>
      </ns0:c>
      <ns0:c r="Q497" s="0">
        <ns0:f>IF(AND(Bookings!G497="Approved",E497="Yes",L497=0,$B$6=0),I497,0)</ns0:f>
        <ns0:v>0</ns0:v>
      </ns0:c>
      <ns0:c r="R497" s="0">
        <ns0:f>IF(AND(Bookings!G497="Pending",E497="Yes"),N497,0)</ns0:f>
        <ns0:v>0</ns0:v>
      </ns0:c>
      <ns0:c r="S497" s="0">
        <ns0:f>IF(AND(Bookings!G497="Approved",E497="No"),N497,0)</ns0:f>
        <ns0:v>0</ns0:v>
      </ns0:c>
      <ns0:c r="T497" s="0">
        <ns0:f>IFERROR(MATCH(D497,Settings!$G$7:$G$11,0),0)</ns0:f>
        <ns0:v>0</ns0:v>
      </ns0:c>
      <ns0:c r="U497" s="0">
        <ns0:f>IF(N497&gt;0,T497+IF(Bookings!G497="Pending",10,0),0)</ns0:f>
        <ns0:v>0</ns0:v>
      </ns0:c>
      <ns0:c r="V497" s="0">
        <ns0:f>U497</ns0:f>
        <ns0:v>0</ns0:v>
      </ns0:c>
      <ns0:c r="W497" s="0" t="str">
        <ns0:f>IF(C497=0,"",INDEX($AP$11:$AP$60,C497))</ns0:f>
        <ns0:v/>
      </ns0:c>
    </ns0:row>
    <ns0:row r="498">
      <ns0:c r="A498" s="0">
        <ns0:f>IF(COUNTA(Bookings!A498:G498,Bookings!I498)=0,0,1)</ns0:f>
        <ns0:v>0</ns0:v>
      </ns0:c>
      <ns0:c r="B498" s="0" t="str">
        <ns0:f>IFERROR(TRIM(MID(Bookings!A498,FIND(" · ",Bookings!A498)+3,99)),"")</ns0:f>
        <ns0:v/>
      </ns0:c>
      <ns0:c r="C498" s="0">
        <ns0:f>IF(OR(B498="",LEN(B498)&gt;24,ISNUMBER(FIND(" ",B498)),ISNUMBER(FIND("*",B498)),ISNUMBER(FIND("?",B498)),ISNUMBER(FIND("~",B498))),0,IFERROR(MATCH(B498,Team!$A$11:$A$60,0),0))</ns0:f>
        <ns0:v>0</ns0:v>
      </ns0:c>
      <ns0:c r="D498" s="0" t="str">
        <ns0:f>IFERROR(IF(MID(Bookings!F498,LEN(Bookings!F498)-3,3)=" · ",RIGHT(Bookings!F498,1),""),"")</ns0:f>
        <ns0:v/>
      </ns0:c>
      <ns0:c r="E498" s="0" t="str">
        <ns0:f>IFERROR(INDEX(Settings!$H$7:$H$11,MATCH(D498,Settings!$G$7:$G$11,0)),"")</ns0:f>
        <ns0:v/>
      </ns0:c>
      <ns0:c r="F498" s="0" t="str">
        <ns0:f>IF(A498=0,"",IFERROR(IF(OR(B498="",C498=0),"CHECK employee selection",IF(INDEX(Team!$O$11:$O$60,C498)&lt;&gt;"OK","CHECK employee setup",IF(OR('_Dates'!J498=0,'_Dates'!T498=0),"CHECK date: use DD.MM.YYYY",IF('_Dates'!T498&lt;'_Dates'!J498,"CHECK end before start",IF(AND($B$6=0,OR('_Dates'!J498&lt;Settings!$B$7,'_Dates'!T498&gt;Settings!$B$8)),"CHECK split across leave years",IF(OR(NOT(OR('_Dates'!U498="Full day",'_Dates'!U498="AM",'_Dates'!U498="PM")),NOT(OR('_Dates'!V498="Full day",'_Dates'!V498="AM",'_Dates'!V498="PM"))),"CHECK Full day / AM / PM",IF(AND('_Dates'!J498='_Dates'!T498,'_Dates'!U498&lt;&gt;"Full day",'_Dates'!V498&lt;&gt;"Full day",'_Dates'!U498&lt;&gt;'_Dates'!V498),"CHECK same-day portions disagree",IF(AND($B$6=0,OR(AND('_Dates'!U498&lt;&gt;"Full day",'_Dates'!AA498=0),AND('_Dates'!V498&lt;&gt;"Full day",'_Dates'!AB498=0))),"CHECK half-day on non-working date",IF(COUNTIF(Settings!$G$7:$G$11,D498)&lt;&gt;1,"CHECK leave type",IF(AND(Bookings!G498&lt;&gt;"Approved",Bookings!G498&lt;&gt;"Pending",Bookings!G498&lt;&gt;"Cancelled"),"CHECK status","OK")))))))))),"CHECK input"))</ns0:f>
        <ns0:v/>
      </ns0:c>
      <ns0:c r="G498" s="0">
        <ns0:f>IF(OR(F498&lt;&gt;"OK",$B$6&gt;0),0,0.5*(IF(('_Dates'!X498)&lt;('_Dates'!W498),0,INT((('_Dates'!X498)-('_Dates'!W498)+1)/7)*LEN(SUBSTITUTE(W498,"O",""))+LEN(SUBSTITUTE(MID(W498&amp;W498,WEEKDAY(('_Dates'!W498),2),MOD((('_Dates'!X498)-('_Dates'!W498)+1),7)),"O",""))-COUNTIFS(INDEX(AllClosureRows,C498,0),"&gt;="&amp;('_Dates'!W498),INDEX(AllClosureRows,C498,0),"&lt;="&amp;('_Dates'!X498)))+IF(('_Dates'!Z498)&lt;('_Dates'!Y498),0,INT((('_Dates'!Z498)-('_Dates'!Y498)+1)/7)*LEN(SUBSTITUTE(W498,"O",""))+LEN(SUBSTITUTE(MID(W498&amp;W498,WEEKDAY(('_Dates'!Y498),2),MOD((('_Dates'!Z498)-('_Dates'!Y498)+1),7)),"O",""))-COUNTIFS(INDEX(AllClosureRows,C498,0),"&gt;="&amp;('_Dates'!Y498),INDEX(AllClosureRows,C498,0),"&lt;="&amp;('_Dates'!Z498)))))</ns0:f>
        <ns0:v>0</ns0:v>
      </ns0:c>
      <ns0:c r="H498" s="0">
        <ns0:f>IF(OR(F498&lt;&gt;"OK",$B$6&gt;0),0,0.5*(IF((MIN('_Dates'!X498,Settings!$B$9))&lt;('_Dates'!W498),0,INT(((MIN('_Dates'!X498,Settings!$B$9))-('_Dates'!W498)+1)/7)*LEN(SUBSTITUTE(W498,"O",""))+LEN(SUBSTITUTE(MID(W498&amp;W498,WEEKDAY(('_Dates'!W498),2),MOD(((MIN('_Dates'!X498,Settings!$B$9))-('_Dates'!W498)+1),7)),"O",""))-COUNTIFS(INDEX(AllClosureRows,C498,0),"&gt;="&amp;('_Dates'!W498),INDEX(AllClosureRows,C498,0),"&lt;="&amp;(MIN('_Dates'!X498,Settings!$B$9))))+IF((MIN('_Dates'!Z498,Settings!$B$9))&lt;('_Dates'!Y498),0,INT(((MIN('_Dates'!Z498,Settings!$B$9))-('_Dates'!Y498)+1)/7)*LEN(SUBSTITUTE(W498,"O",""))+LEN(SUBSTITUTE(MID(W498&amp;W498,WEEKDAY(('_Dates'!Y498),2),MOD(((MIN('_Dates'!Z498,Settings!$B$9))-('_Dates'!Y498)+1),7)),"O",""))-COUNTIFS(INDEX(AllClosureRows,C498,0),"&gt;="&amp;('_Dates'!Y498),INDEX(AllClosureRows,C498,0),"&lt;="&amp;(MIN('_Dates'!Z498,Settings!$B$9))))))</ns0:f>
        <ns0:v>0</ns0:v>
      </ns0:c>
      <ns0:c r="I498" s="0">
        <ns0:f>MAX(0,G498-H498)</ns0:f>
        <ns0:v>0</ns0:v>
      </ns0:c>
      <ns0:c r="J498" s="0">
        <ns0:f>IF(OR(A498=0,F498&lt;&gt;"OK",Bookings!G498="Cancelled",$B$6&gt;0),0,IF('_Dates'!AC498=1,MAX(0,COUNTIFS(rngEngine_B,B498,rngAMStart,"&lt;="&amp;'_Dates'!X498,rngAMEnd,"&gt;="&amp;'_Dates'!W498,rngAMActive,1,rngEngine_F,"OK",rngBookings_F,"&lt;&gt;Cancelled")-1),0)+IF('_Dates'!AD498=1,MAX(0,COUNTIFS(rngEngine_B,B498,rngPMStart,"&lt;="&amp;'_Dates'!Z498,rngPMEnd,"&gt;="&amp;'_Dates'!Y498,rngPMActive,1,rngEngine_F,"OK",rngBookings_F,"&lt;&gt;Cancelled")-1),0))</ns0:f>
        <ns0:v>0</ns0:v>
      </ns0:c>
      <ns0:c r="K498" s="0" t="str">
        <ns0:f>IF(A498=0,"",IF(F498&lt;&gt;"OK",F498,IF(J498&gt;0,"CHECK overlapping entry",IF(AND($B$6=0,G498&lt;=0,Bookings!G498&lt;&gt;"Cancelled"),"CHECK no working days",IF(Bookings!G498="Cancelled","Cancelled","OK")))))</ns0:f>
        <ns0:v/>
      </ns0:c>
      <ns0:c r="L498" s="0">
        <ns0:f>IF(LEFT(K498,5)="CHECK",1,0)</ns0:f>
        <ns0:v>0</ns0:v>
      </ns0:c>
      <ns0:c r="M498" s="0">
        <ns0:f>IF(AND(L498=1,OR(C498=0,IFERROR(INDEX($X$11:$X$60,C498),0)=0)),1,0)</ns0:f>
        <ns0:v>0</ns0:v>
      </ns0:c>
      <ns0:c r="N498" s="0">
        <ns0:f>IF(OR(A498=0,L498&gt;0,$B$6&gt;0,Bookings!G498="Cancelled"),0,G498)</ns0:f>
        <ns0:v>0</ns0:v>
      </ns0:c>
      <ns0:c r="O498" s="0">
        <ns0:f>IF(AND(Bookings!G498="Approved",E498="Yes"),N498,0)</ns0:f>
        <ns0:v>0</ns0:v>
      </ns0:c>
      <ns0:c r="P498" s="0">
        <ns0:f>IF(AND(Bookings!G498="Approved",E498="Yes",L498=0,$B$6=0),H498,0)</ns0:f>
        <ns0:v>0</ns0:v>
      </ns0:c>
      <ns0:c r="Q498" s="0">
        <ns0:f>IF(AND(Bookings!G498="Approved",E498="Yes",L498=0,$B$6=0),I498,0)</ns0:f>
        <ns0:v>0</ns0:v>
      </ns0:c>
      <ns0:c r="R498" s="0">
        <ns0:f>IF(AND(Bookings!G498="Pending",E498="Yes"),N498,0)</ns0:f>
        <ns0:v>0</ns0:v>
      </ns0:c>
      <ns0:c r="S498" s="0">
        <ns0:f>IF(AND(Bookings!G498="Approved",E498="No"),N498,0)</ns0:f>
        <ns0:v>0</ns0:v>
      </ns0:c>
      <ns0:c r="T498" s="0">
        <ns0:f>IFERROR(MATCH(D498,Settings!$G$7:$G$11,0),0)</ns0:f>
        <ns0:v>0</ns0:v>
      </ns0:c>
      <ns0:c r="U498" s="0">
        <ns0:f>IF(N498&gt;0,T498+IF(Bookings!G498="Pending",10,0),0)</ns0:f>
        <ns0:v>0</ns0:v>
      </ns0:c>
      <ns0:c r="V498" s="0">
        <ns0:f>U498</ns0:f>
        <ns0:v>0</ns0:v>
      </ns0:c>
      <ns0:c r="W498" s="0" t="str">
        <ns0:f>IF(C498=0,"",INDEX($AP$11:$AP$60,C498))</ns0:f>
        <ns0:v/>
      </ns0:c>
    </ns0:row>
    <ns0:row r="499">
      <ns0:c r="A499" s="0">
        <ns0:f>IF(COUNTA(Bookings!A499:G499,Bookings!I499)=0,0,1)</ns0:f>
        <ns0:v>0</ns0:v>
      </ns0:c>
      <ns0:c r="B499" s="0" t="str">
        <ns0:f>IFERROR(TRIM(MID(Bookings!A499,FIND(" · ",Bookings!A499)+3,99)),"")</ns0:f>
        <ns0:v/>
      </ns0:c>
      <ns0:c r="C499" s="0">
        <ns0:f>IF(OR(B499="",LEN(B499)&gt;24,ISNUMBER(FIND(" ",B499)),ISNUMBER(FIND("*",B499)),ISNUMBER(FIND("?",B499)),ISNUMBER(FIND("~",B499))),0,IFERROR(MATCH(B499,Team!$A$11:$A$60,0),0))</ns0:f>
        <ns0:v>0</ns0:v>
      </ns0:c>
      <ns0:c r="D499" s="0" t="str">
        <ns0:f>IFERROR(IF(MID(Bookings!F499,LEN(Bookings!F499)-3,3)=" · ",RIGHT(Bookings!F499,1),""),"")</ns0:f>
        <ns0:v/>
      </ns0:c>
      <ns0:c r="E499" s="0" t="str">
        <ns0:f>IFERROR(INDEX(Settings!$H$7:$H$11,MATCH(D499,Settings!$G$7:$G$11,0)),"")</ns0:f>
        <ns0:v/>
      </ns0:c>
      <ns0:c r="F499" s="0" t="str">
        <ns0:f>IF(A499=0,"",IFERROR(IF(OR(B499="",C499=0),"CHECK employee selection",IF(INDEX(Team!$O$11:$O$60,C499)&lt;&gt;"OK","CHECK employee setup",IF(OR('_Dates'!J499=0,'_Dates'!T499=0),"CHECK date: use DD.MM.YYYY",IF('_Dates'!T499&lt;'_Dates'!J499,"CHECK end before start",IF(AND($B$6=0,OR('_Dates'!J499&lt;Settings!$B$7,'_Dates'!T499&gt;Settings!$B$8)),"CHECK split across leave years",IF(OR(NOT(OR('_Dates'!U499="Full day",'_Dates'!U499="AM",'_Dates'!U499="PM")),NOT(OR('_Dates'!V499="Full day",'_Dates'!V499="AM",'_Dates'!V499="PM"))),"CHECK Full day / AM / PM",IF(AND('_Dates'!J499='_Dates'!T499,'_Dates'!U499&lt;&gt;"Full day",'_Dates'!V499&lt;&gt;"Full day",'_Dates'!U499&lt;&gt;'_Dates'!V499),"CHECK same-day portions disagree",IF(AND($B$6=0,OR(AND('_Dates'!U499&lt;&gt;"Full day",'_Dates'!AA499=0),AND('_Dates'!V499&lt;&gt;"Full day",'_Dates'!AB499=0))),"CHECK half-day on non-working date",IF(COUNTIF(Settings!$G$7:$G$11,D499)&lt;&gt;1,"CHECK leave type",IF(AND(Bookings!G499&lt;&gt;"Approved",Bookings!G499&lt;&gt;"Pending",Bookings!G499&lt;&gt;"Cancelled"),"CHECK status","OK")))))))))),"CHECK input"))</ns0:f>
        <ns0:v/>
      </ns0:c>
      <ns0:c r="G499" s="0">
        <ns0:f>IF(OR(F499&lt;&gt;"OK",$B$6&gt;0),0,0.5*(IF(('_Dates'!X499)&lt;('_Dates'!W499),0,INT((('_Dates'!X499)-('_Dates'!W499)+1)/7)*LEN(SUBSTITUTE(W499,"O",""))+LEN(SUBSTITUTE(MID(W499&amp;W499,WEEKDAY(('_Dates'!W499),2),MOD((('_Dates'!X499)-('_Dates'!W499)+1),7)),"O",""))-COUNTIFS(INDEX(AllClosureRows,C499,0),"&gt;="&amp;('_Dates'!W499),INDEX(AllClosureRows,C499,0),"&lt;="&amp;('_Dates'!X499)))+IF(('_Dates'!Z499)&lt;('_Dates'!Y499),0,INT((('_Dates'!Z499)-('_Dates'!Y499)+1)/7)*LEN(SUBSTITUTE(W499,"O",""))+LEN(SUBSTITUTE(MID(W499&amp;W499,WEEKDAY(('_Dates'!Y499),2),MOD((('_Dates'!Z499)-('_Dates'!Y499)+1),7)),"O",""))-COUNTIFS(INDEX(AllClosureRows,C499,0),"&gt;="&amp;('_Dates'!Y499),INDEX(AllClosureRows,C499,0),"&lt;="&amp;('_Dates'!Z499)))))</ns0:f>
        <ns0:v>0</ns0:v>
      </ns0:c>
      <ns0:c r="H499" s="0">
        <ns0:f>IF(OR(F499&lt;&gt;"OK",$B$6&gt;0),0,0.5*(IF((MIN('_Dates'!X499,Settings!$B$9))&lt;('_Dates'!W499),0,INT(((MIN('_Dates'!X499,Settings!$B$9))-('_Dates'!W499)+1)/7)*LEN(SUBSTITUTE(W499,"O",""))+LEN(SUBSTITUTE(MID(W499&amp;W499,WEEKDAY(('_Dates'!W499),2),MOD(((MIN('_Dates'!X499,Settings!$B$9))-('_Dates'!W499)+1),7)),"O",""))-COUNTIFS(INDEX(AllClosureRows,C499,0),"&gt;="&amp;('_Dates'!W499),INDEX(AllClosureRows,C499,0),"&lt;="&amp;(MIN('_Dates'!X499,Settings!$B$9))))+IF((MIN('_Dates'!Z499,Settings!$B$9))&lt;('_Dates'!Y499),0,INT(((MIN('_Dates'!Z499,Settings!$B$9))-('_Dates'!Y499)+1)/7)*LEN(SUBSTITUTE(W499,"O",""))+LEN(SUBSTITUTE(MID(W499&amp;W499,WEEKDAY(('_Dates'!Y499),2),MOD(((MIN('_Dates'!Z499,Settings!$B$9))-('_Dates'!Y499)+1),7)),"O",""))-COUNTIFS(INDEX(AllClosureRows,C499,0),"&gt;="&amp;('_Dates'!Y499),INDEX(AllClosureRows,C499,0),"&lt;="&amp;(MIN('_Dates'!Z499,Settings!$B$9))))))</ns0:f>
        <ns0:v>0</ns0:v>
      </ns0:c>
      <ns0:c r="I499" s="0">
        <ns0:f>MAX(0,G499-H499)</ns0:f>
        <ns0:v>0</ns0:v>
      </ns0:c>
      <ns0:c r="J499" s="0">
        <ns0:f>IF(OR(A499=0,F499&lt;&gt;"OK",Bookings!G499="Cancelled",$B$6&gt;0),0,IF('_Dates'!AC499=1,MAX(0,COUNTIFS(rngEngine_B,B499,rngAMStart,"&lt;="&amp;'_Dates'!X499,rngAMEnd,"&gt;="&amp;'_Dates'!W499,rngAMActive,1,rngEngine_F,"OK",rngBookings_F,"&lt;&gt;Cancelled")-1),0)+IF('_Dates'!AD499=1,MAX(0,COUNTIFS(rngEngine_B,B499,rngPMStart,"&lt;="&amp;'_Dates'!Z499,rngPMEnd,"&gt;="&amp;'_Dates'!Y499,rngPMActive,1,rngEngine_F,"OK",rngBookings_F,"&lt;&gt;Cancelled")-1),0))</ns0:f>
        <ns0:v>0</ns0:v>
      </ns0:c>
      <ns0:c r="K499" s="0" t="str">
        <ns0:f>IF(A499=0,"",IF(F499&lt;&gt;"OK",F499,IF(J499&gt;0,"CHECK overlapping entry",IF(AND($B$6=0,G499&lt;=0,Bookings!G499&lt;&gt;"Cancelled"),"CHECK no working days",IF(Bookings!G499="Cancelled","Cancelled","OK")))))</ns0:f>
        <ns0:v/>
      </ns0:c>
      <ns0:c r="L499" s="0">
        <ns0:f>IF(LEFT(K499,5)="CHECK",1,0)</ns0:f>
        <ns0:v>0</ns0:v>
      </ns0:c>
      <ns0:c r="M499" s="0">
        <ns0:f>IF(AND(L499=1,OR(C499=0,IFERROR(INDEX($X$11:$X$60,C499),0)=0)),1,0)</ns0:f>
        <ns0:v>0</ns0:v>
      </ns0:c>
      <ns0:c r="N499" s="0">
        <ns0:f>IF(OR(A499=0,L499&gt;0,$B$6&gt;0,Bookings!G499="Cancelled"),0,G499)</ns0:f>
        <ns0:v>0</ns0:v>
      </ns0:c>
      <ns0:c r="O499" s="0">
        <ns0:f>IF(AND(Bookings!G499="Approved",E499="Yes"),N499,0)</ns0:f>
        <ns0:v>0</ns0:v>
      </ns0:c>
      <ns0:c r="P499" s="0">
        <ns0:f>IF(AND(Bookings!G499="Approved",E499="Yes",L499=0,$B$6=0),H499,0)</ns0:f>
        <ns0:v>0</ns0:v>
      </ns0:c>
      <ns0:c r="Q499" s="0">
        <ns0:f>IF(AND(Bookings!G499="Approved",E499="Yes",L499=0,$B$6=0),I499,0)</ns0:f>
        <ns0:v>0</ns0:v>
      </ns0:c>
      <ns0:c r="R499" s="0">
        <ns0:f>IF(AND(Bookings!G499="Pending",E499="Yes"),N499,0)</ns0:f>
        <ns0:v>0</ns0:v>
      </ns0:c>
      <ns0:c r="S499" s="0">
        <ns0:f>IF(AND(Bookings!G499="Approved",E499="No"),N499,0)</ns0:f>
        <ns0:v>0</ns0:v>
      </ns0:c>
      <ns0:c r="T499" s="0">
        <ns0:f>IFERROR(MATCH(D499,Settings!$G$7:$G$11,0),0)</ns0:f>
        <ns0:v>0</ns0:v>
      </ns0:c>
      <ns0:c r="U499" s="0">
        <ns0:f>IF(N499&gt;0,T499+IF(Bookings!G499="Pending",10,0),0)</ns0:f>
        <ns0:v>0</ns0:v>
      </ns0:c>
      <ns0:c r="V499" s="0">
        <ns0:f>U499</ns0:f>
        <ns0:v>0</ns0:v>
      </ns0:c>
      <ns0:c r="W499" s="0" t="str">
        <ns0:f>IF(C499=0,"",INDEX($AP$11:$AP$60,C499))</ns0:f>
        <ns0:v/>
      </ns0:c>
    </ns0:row>
    <ns0:row r="500">
      <ns0:c r="A500" s="0">
        <ns0:f>IF(COUNTA(Bookings!A500:G500,Bookings!I500)=0,0,1)</ns0:f>
        <ns0:v>0</ns0:v>
      </ns0:c>
      <ns0:c r="B500" s="0" t="str">
        <ns0:f>IFERROR(TRIM(MID(Bookings!A500,FIND(" · ",Bookings!A500)+3,99)),"")</ns0:f>
        <ns0:v/>
      </ns0:c>
      <ns0:c r="C500" s="0">
        <ns0:f>IF(OR(B500="",LEN(B500)&gt;24,ISNUMBER(FIND(" ",B500)),ISNUMBER(FIND("*",B500)),ISNUMBER(FIND("?",B500)),ISNUMBER(FIND("~",B500))),0,IFERROR(MATCH(B500,Team!$A$11:$A$60,0),0))</ns0:f>
        <ns0:v>0</ns0:v>
      </ns0:c>
      <ns0:c r="D500" s="0" t="str">
        <ns0:f>IFERROR(IF(MID(Bookings!F500,LEN(Bookings!F500)-3,3)=" · ",RIGHT(Bookings!F500,1),""),"")</ns0:f>
        <ns0:v/>
      </ns0:c>
      <ns0:c r="E500" s="0" t="str">
        <ns0:f>IFERROR(INDEX(Settings!$H$7:$H$11,MATCH(D500,Settings!$G$7:$G$11,0)),"")</ns0:f>
        <ns0:v/>
      </ns0:c>
      <ns0:c r="F500" s="0" t="str">
        <ns0:f>IF(A500=0,"",IFERROR(IF(OR(B500="",C500=0),"CHECK employee selection",IF(INDEX(Team!$O$11:$O$60,C500)&lt;&gt;"OK","CHECK employee setup",IF(OR('_Dates'!J500=0,'_Dates'!T500=0),"CHECK date: use DD.MM.YYYY",IF('_Dates'!T500&lt;'_Dates'!J500,"CHECK end before start",IF(AND($B$6=0,OR('_Dates'!J500&lt;Settings!$B$7,'_Dates'!T500&gt;Settings!$B$8)),"CHECK split across leave years",IF(OR(NOT(OR('_Dates'!U500="Full day",'_Dates'!U500="AM",'_Dates'!U500="PM")),NOT(OR('_Dates'!V500="Full day",'_Dates'!V500="AM",'_Dates'!V500="PM"))),"CHECK Full day / AM / PM",IF(AND('_Dates'!J500='_Dates'!T500,'_Dates'!U500&lt;&gt;"Full day",'_Dates'!V500&lt;&gt;"Full day",'_Dates'!U500&lt;&gt;'_Dates'!V500),"CHECK same-day portions disagree",IF(AND($B$6=0,OR(AND('_Dates'!U500&lt;&gt;"Full day",'_Dates'!AA500=0),AND('_Dates'!V500&lt;&gt;"Full day",'_Dates'!AB500=0))),"CHECK half-day on non-working date",IF(COUNTIF(Settings!$G$7:$G$11,D500)&lt;&gt;1,"CHECK leave type",IF(AND(Bookings!G500&lt;&gt;"Approved",Bookings!G500&lt;&gt;"Pending",Bookings!G500&lt;&gt;"Cancelled"),"CHECK status","OK")))))))))),"CHECK input"))</ns0:f>
        <ns0:v/>
      </ns0:c>
      <ns0:c r="G500" s="0">
        <ns0:f>IF(OR(F500&lt;&gt;"OK",$B$6&gt;0),0,0.5*(IF(('_Dates'!X500)&lt;('_Dates'!W500),0,INT((('_Dates'!X500)-('_Dates'!W500)+1)/7)*LEN(SUBSTITUTE(W500,"O",""))+LEN(SUBSTITUTE(MID(W500&amp;W500,WEEKDAY(('_Dates'!W500),2),MOD((('_Dates'!X500)-('_Dates'!W500)+1),7)),"O",""))-COUNTIFS(INDEX(AllClosureRows,C500,0),"&gt;="&amp;('_Dates'!W500),INDEX(AllClosureRows,C500,0),"&lt;="&amp;('_Dates'!X500)))+IF(('_Dates'!Z500)&lt;('_Dates'!Y500),0,INT((('_Dates'!Z500)-('_Dates'!Y500)+1)/7)*LEN(SUBSTITUTE(W500,"O",""))+LEN(SUBSTITUTE(MID(W500&amp;W500,WEEKDAY(('_Dates'!Y500),2),MOD((('_Dates'!Z500)-('_Dates'!Y500)+1),7)),"O",""))-COUNTIFS(INDEX(AllClosureRows,C500,0),"&gt;="&amp;('_Dates'!Y500),INDEX(AllClosureRows,C500,0),"&lt;="&amp;('_Dates'!Z500)))))</ns0:f>
        <ns0:v>0</ns0:v>
      </ns0:c>
      <ns0:c r="H500" s="0">
        <ns0:f>IF(OR(F500&lt;&gt;"OK",$B$6&gt;0),0,0.5*(IF((MIN('_Dates'!X500,Settings!$B$9))&lt;('_Dates'!W500),0,INT(((MIN('_Dates'!X500,Settings!$B$9))-('_Dates'!W500)+1)/7)*LEN(SUBSTITUTE(W500,"O",""))+LEN(SUBSTITUTE(MID(W500&amp;W500,WEEKDAY(('_Dates'!W500),2),MOD(((MIN('_Dates'!X500,Settings!$B$9))-('_Dates'!W500)+1),7)),"O",""))-COUNTIFS(INDEX(AllClosureRows,C500,0),"&gt;="&amp;('_Dates'!W500),INDEX(AllClosureRows,C500,0),"&lt;="&amp;(MIN('_Dates'!X500,Settings!$B$9))))+IF((MIN('_Dates'!Z500,Settings!$B$9))&lt;('_Dates'!Y500),0,INT(((MIN('_Dates'!Z500,Settings!$B$9))-('_Dates'!Y500)+1)/7)*LEN(SUBSTITUTE(W500,"O",""))+LEN(SUBSTITUTE(MID(W500&amp;W500,WEEKDAY(('_Dates'!Y500),2),MOD(((MIN('_Dates'!Z500,Settings!$B$9))-('_Dates'!Y500)+1),7)),"O",""))-COUNTIFS(INDEX(AllClosureRows,C500,0),"&gt;="&amp;('_Dates'!Y500),INDEX(AllClosureRows,C500,0),"&lt;="&amp;(MIN('_Dates'!Z500,Settings!$B$9))))))</ns0:f>
        <ns0:v>0</ns0:v>
      </ns0:c>
      <ns0:c r="I500" s="0">
        <ns0:f>MAX(0,G500-H500)</ns0:f>
        <ns0:v>0</ns0:v>
      </ns0:c>
      <ns0:c r="J500" s="0">
        <ns0:f>IF(OR(A500=0,F500&lt;&gt;"OK",Bookings!G500="Cancelled",$B$6&gt;0),0,IF('_Dates'!AC500=1,MAX(0,COUNTIFS(rngEngine_B,B500,rngAMStart,"&lt;="&amp;'_Dates'!X500,rngAMEnd,"&gt;="&amp;'_Dates'!W500,rngAMActive,1,rngEngine_F,"OK",rngBookings_F,"&lt;&gt;Cancelled")-1),0)+IF('_Dates'!AD500=1,MAX(0,COUNTIFS(rngEngine_B,B500,rngPMStart,"&lt;="&amp;'_Dates'!Z500,rngPMEnd,"&gt;="&amp;'_Dates'!Y500,rngPMActive,1,rngEngine_F,"OK",rngBookings_F,"&lt;&gt;Cancelled")-1),0))</ns0:f>
        <ns0:v>0</ns0:v>
      </ns0:c>
      <ns0:c r="K500" s="0" t="str">
        <ns0:f>IF(A500=0,"",IF(F500&lt;&gt;"OK",F500,IF(J500&gt;0,"CHECK overlapping entry",IF(AND($B$6=0,G500&lt;=0,Bookings!G500&lt;&gt;"Cancelled"),"CHECK no working days",IF(Bookings!G500="Cancelled","Cancelled","OK")))))</ns0:f>
        <ns0:v/>
      </ns0:c>
      <ns0:c r="L500" s="0">
        <ns0:f>IF(LEFT(K500,5)="CHECK",1,0)</ns0:f>
        <ns0:v>0</ns0:v>
      </ns0:c>
      <ns0:c r="M500" s="0">
        <ns0:f>IF(AND(L500=1,OR(C500=0,IFERROR(INDEX($X$11:$X$60,C500),0)=0)),1,0)</ns0:f>
        <ns0:v>0</ns0:v>
      </ns0:c>
      <ns0:c r="N500" s="0">
        <ns0:f>IF(OR(A500=0,L500&gt;0,$B$6&gt;0,Bookings!G500="Cancelled"),0,G500)</ns0:f>
        <ns0:v>0</ns0:v>
      </ns0:c>
      <ns0:c r="O500" s="0">
        <ns0:f>IF(AND(Bookings!G500="Approved",E500="Yes"),N500,0)</ns0:f>
        <ns0:v>0</ns0:v>
      </ns0:c>
      <ns0:c r="P500" s="0">
        <ns0:f>IF(AND(Bookings!G500="Approved",E500="Yes",L500=0,$B$6=0),H500,0)</ns0:f>
        <ns0:v>0</ns0:v>
      </ns0:c>
      <ns0:c r="Q500" s="0">
        <ns0:f>IF(AND(Bookings!G500="Approved",E500="Yes",L500=0,$B$6=0),I500,0)</ns0:f>
        <ns0:v>0</ns0:v>
      </ns0:c>
      <ns0:c r="R500" s="0">
        <ns0:f>IF(AND(Bookings!G500="Pending",E500="Yes"),N500,0)</ns0:f>
        <ns0:v>0</ns0:v>
      </ns0:c>
      <ns0:c r="S500" s="0">
        <ns0:f>IF(AND(Bookings!G500="Approved",E500="No"),N500,0)</ns0:f>
        <ns0:v>0</ns0:v>
      </ns0:c>
      <ns0:c r="T500" s="0">
        <ns0:f>IFERROR(MATCH(D500,Settings!$G$7:$G$11,0),0)</ns0:f>
        <ns0:v>0</ns0:v>
      </ns0:c>
      <ns0:c r="U500" s="0">
        <ns0:f>IF(N500&gt;0,T500+IF(Bookings!G500="Pending",10,0),0)</ns0:f>
        <ns0:v>0</ns0:v>
      </ns0:c>
      <ns0:c r="V500" s="0">
        <ns0:f>U500</ns0:f>
        <ns0:v>0</ns0:v>
      </ns0:c>
      <ns0:c r="W500" s="0" t="str">
        <ns0:f>IF(C500=0,"",INDEX($AP$11:$AP$60,C500))</ns0:f>
        <ns0:v/>
      </ns0:c>
    </ns0:row>
    <ns0:row r="501">
      <ns0:c r="A501" s="0">
        <ns0:f>IF(COUNTA(Bookings!A501:G501,Bookings!I501)=0,0,1)</ns0:f>
        <ns0:v>0</ns0:v>
      </ns0:c>
      <ns0:c r="B501" s="0" t="str">
        <ns0:f>IFERROR(TRIM(MID(Bookings!A501,FIND(" · ",Bookings!A501)+3,99)),"")</ns0:f>
        <ns0:v/>
      </ns0:c>
      <ns0:c r="C501" s="0">
        <ns0:f>IF(OR(B501="",LEN(B501)&gt;24,ISNUMBER(FIND(" ",B501)),ISNUMBER(FIND("*",B501)),ISNUMBER(FIND("?",B501)),ISNUMBER(FIND("~",B501))),0,IFERROR(MATCH(B501,Team!$A$11:$A$60,0),0))</ns0:f>
        <ns0:v>0</ns0:v>
      </ns0:c>
      <ns0:c r="D501" s="0" t="str">
        <ns0:f>IFERROR(IF(MID(Bookings!F501,LEN(Bookings!F501)-3,3)=" · ",RIGHT(Bookings!F501,1),""),"")</ns0:f>
        <ns0:v/>
      </ns0:c>
      <ns0:c r="E501" s="0" t="str">
        <ns0:f>IFERROR(INDEX(Settings!$H$7:$H$11,MATCH(D501,Settings!$G$7:$G$11,0)),"")</ns0:f>
        <ns0:v/>
      </ns0:c>
      <ns0:c r="F501" s="0" t="str">
        <ns0:f>IF(A501=0,"",IFERROR(IF(OR(B501="",C501=0),"CHECK employee selection",IF(INDEX(Team!$O$11:$O$60,C501)&lt;&gt;"OK","CHECK employee setup",IF(OR('_Dates'!J501=0,'_Dates'!T501=0),"CHECK date: use DD.MM.YYYY",IF('_Dates'!T501&lt;'_Dates'!J501,"CHECK end before start",IF(AND($B$6=0,OR('_Dates'!J501&lt;Settings!$B$7,'_Dates'!T501&gt;Settings!$B$8)),"CHECK split across leave years",IF(OR(NOT(OR('_Dates'!U501="Full day",'_Dates'!U501="AM",'_Dates'!U501="PM")),NOT(OR('_Dates'!V501="Full day",'_Dates'!V501="AM",'_Dates'!V501="PM"))),"CHECK Full day / AM / PM",IF(AND('_Dates'!J501='_Dates'!T501,'_Dates'!U501&lt;&gt;"Full day",'_Dates'!V501&lt;&gt;"Full day",'_Dates'!U501&lt;&gt;'_Dates'!V501),"CHECK same-day portions disagree",IF(AND($B$6=0,OR(AND('_Dates'!U501&lt;&gt;"Full day",'_Dates'!AA501=0),AND('_Dates'!V501&lt;&gt;"Full day",'_Dates'!AB501=0))),"CHECK half-day on non-working date",IF(COUNTIF(Settings!$G$7:$G$11,D501)&lt;&gt;1,"CHECK leave type",IF(AND(Bookings!G501&lt;&gt;"Approved",Bookings!G501&lt;&gt;"Pending",Bookings!G501&lt;&gt;"Cancelled"),"CHECK status","OK")))))))))),"CHECK input"))</ns0:f>
        <ns0:v/>
      </ns0:c>
      <ns0:c r="G501" s="0">
        <ns0:f>IF(OR(F501&lt;&gt;"OK",$B$6&gt;0),0,0.5*(IF(('_Dates'!X501)&lt;('_Dates'!W501),0,INT((('_Dates'!X501)-('_Dates'!W501)+1)/7)*LEN(SUBSTITUTE(W501,"O",""))+LEN(SUBSTITUTE(MID(W501&amp;W501,WEEKDAY(('_Dates'!W501),2),MOD((('_Dates'!X501)-('_Dates'!W501)+1),7)),"O",""))-COUNTIFS(INDEX(AllClosureRows,C501,0),"&gt;="&amp;('_Dates'!W501),INDEX(AllClosureRows,C501,0),"&lt;="&amp;('_Dates'!X501)))+IF(('_Dates'!Z501)&lt;('_Dates'!Y501),0,INT((('_Dates'!Z501)-('_Dates'!Y501)+1)/7)*LEN(SUBSTITUTE(W501,"O",""))+LEN(SUBSTITUTE(MID(W501&amp;W501,WEEKDAY(('_Dates'!Y501),2),MOD((('_Dates'!Z501)-('_Dates'!Y501)+1),7)),"O",""))-COUNTIFS(INDEX(AllClosureRows,C501,0),"&gt;="&amp;('_Dates'!Y501),INDEX(AllClosureRows,C501,0),"&lt;="&amp;('_Dates'!Z501)))))</ns0:f>
        <ns0:v>0</ns0:v>
      </ns0:c>
      <ns0:c r="H501" s="0">
        <ns0:f>IF(OR(F501&lt;&gt;"OK",$B$6&gt;0),0,0.5*(IF((MIN('_Dates'!X501,Settings!$B$9))&lt;('_Dates'!W501),0,INT(((MIN('_Dates'!X501,Settings!$B$9))-('_Dates'!W501)+1)/7)*LEN(SUBSTITUTE(W501,"O",""))+LEN(SUBSTITUTE(MID(W501&amp;W501,WEEKDAY(('_Dates'!W501),2),MOD(((MIN('_Dates'!X501,Settings!$B$9))-('_Dates'!W501)+1),7)),"O",""))-COUNTIFS(INDEX(AllClosureRows,C501,0),"&gt;="&amp;('_Dates'!W501),INDEX(AllClosureRows,C501,0),"&lt;="&amp;(MIN('_Dates'!X501,Settings!$B$9))))+IF((MIN('_Dates'!Z501,Settings!$B$9))&lt;('_Dates'!Y501),0,INT(((MIN('_Dates'!Z501,Settings!$B$9))-('_Dates'!Y501)+1)/7)*LEN(SUBSTITUTE(W501,"O",""))+LEN(SUBSTITUTE(MID(W501&amp;W501,WEEKDAY(('_Dates'!Y501),2),MOD(((MIN('_Dates'!Z501,Settings!$B$9))-('_Dates'!Y501)+1),7)),"O",""))-COUNTIFS(INDEX(AllClosureRows,C501,0),"&gt;="&amp;('_Dates'!Y501),INDEX(AllClosureRows,C501,0),"&lt;="&amp;(MIN('_Dates'!Z501,Settings!$B$9))))))</ns0:f>
        <ns0:v>0</ns0:v>
      </ns0:c>
      <ns0:c r="I501" s="0">
        <ns0:f>MAX(0,G501-H501)</ns0:f>
        <ns0:v>0</ns0:v>
      </ns0:c>
      <ns0:c r="J501" s="0">
        <ns0:f>IF(OR(A501=0,F501&lt;&gt;"OK",Bookings!G501="Cancelled",$B$6&gt;0),0,IF('_Dates'!AC501=1,MAX(0,COUNTIFS(rngEngine_B,B501,rngAMStart,"&lt;="&amp;'_Dates'!X501,rngAMEnd,"&gt;="&amp;'_Dates'!W501,rngAMActive,1,rngEngine_F,"OK",rngBookings_F,"&lt;&gt;Cancelled")-1),0)+IF('_Dates'!AD501=1,MAX(0,COUNTIFS(rngEngine_B,B501,rngPMStart,"&lt;="&amp;'_Dates'!Z501,rngPMEnd,"&gt;="&amp;'_Dates'!Y501,rngPMActive,1,rngEngine_F,"OK",rngBookings_F,"&lt;&gt;Cancelled")-1),0))</ns0:f>
        <ns0:v>0</ns0:v>
      </ns0:c>
      <ns0:c r="K501" s="0" t="str">
        <ns0:f>IF(A501=0,"",IF(F501&lt;&gt;"OK",F501,IF(J501&gt;0,"CHECK overlapping entry",IF(AND($B$6=0,G501&lt;=0,Bookings!G501&lt;&gt;"Cancelled"),"CHECK no working days",IF(Bookings!G501="Cancelled","Cancelled","OK")))))</ns0:f>
        <ns0:v/>
      </ns0:c>
      <ns0:c r="L501" s="0">
        <ns0:f>IF(LEFT(K501,5)="CHECK",1,0)</ns0:f>
        <ns0:v>0</ns0:v>
      </ns0:c>
      <ns0:c r="M501" s="0">
        <ns0:f>IF(AND(L501=1,OR(C501=0,IFERROR(INDEX($X$11:$X$60,C501),0)=0)),1,0)</ns0:f>
        <ns0:v>0</ns0:v>
      </ns0:c>
      <ns0:c r="N501" s="0">
        <ns0:f>IF(OR(A501=0,L501&gt;0,$B$6&gt;0,Bookings!G501="Cancelled"),0,G501)</ns0:f>
        <ns0:v>0</ns0:v>
      </ns0:c>
      <ns0:c r="O501" s="0">
        <ns0:f>IF(AND(Bookings!G501="Approved",E501="Yes"),N501,0)</ns0:f>
        <ns0:v>0</ns0:v>
      </ns0:c>
      <ns0:c r="P501" s="0">
        <ns0:f>IF(AND(Bookings!G501="Approved",E501="Yes",L501=0,$B$6=0),H501,0)</ns0:f>
        <ns0:v>0</ns0:v>
      </ns0:c>
      <ns0:c r="Q501" s="0">
        <ns0:f>IF(AND(Bookings!G501="Approved",E501="Yes",L501=0,$B$6=0),I501,0)</ns0:f>
        <ns0:v>0</ns0:v>
      </ns0:c>
      <ns0:c r="R501" s="0">
        <ns0:f>IF(AND(Bookings!G501="Pending",E501="Yes"),N501,0)</ns0:f>
        <ns0:v>0</ns0:v>
      </ns0:c>
      <ns0:c r="S501" s="0">
        <ns0:f>IF(AND(Bookings!G501="Approved",E501="No"),N501,0)</ns0:f>
        <ns0:v>0</ns0:v>
      </ns0:c>
      <ns0:c r="T501" s="0">
        <ns0:f>IFERROR(MATCH(D501,Settings!$G$7:$G$11,0),0)</ns0:f>
        <ns0:v>0</ns0:v>
      </ns0:c>
      <ns0:c r="U501" s="0">
        <ns0:f>IF(N501&gt;0,T501+IF(Bookings!G501="Pending",10,0),0)</ns0:f>
        <ns0:v>0</ns0:v>
      </ns0:c>
      <ns0:c r="V501" s="0">
        <ns0:f>U501</ns0:f>
        <ns0:v>0</ns0:v>
      </ns0:c>
      <ns0:c r="W501" s="0" t="str">
        <ns0:f>IF(C501=0,"",INDEX($AP$11:$AP$60,C501))</ns0:f>
        <ns0:v/>
      </ns0:c>
    </ns0:row>
    <ns0:row r="502">
      <ns0:c r="A502" s="0">
        <ns0:f>IF(COUNTA(Bookings!A502:G502,Bookings!I502)=0,0,1)</ns0:f>
        <ns0:v>0</ns0:v>
      </ns0:c>
      <ns0:c r="B502" s="0" t="str">
        <ns0:f>IFERROR(TRIM(MID(Bookings!A502,FIND(" · ",Bookings!A502)+3,99)),"")</ns0:f>
        <ns0:v/>
      </ns0:c>
      <ns0:c r="C502" s="0">
        <ns0:f>IF(OR(B502="",LEN(B502)&gt;24,ISNUMBER(FIND(" ",B502)),ISNUMBER(FIND("*",B502)),ISNUMBER(FIND("?",B502)),ISNUMBER(FIND("~",B502))),0,IFERROR(MATCH(B502,Team!$A$11:$A$60,0),0))</ns0:f>
        <ns0:v>0</ns0:v>
      </ns0:c>
      <ns0:c r="D502" s="0" t="str">
        <ns0:f>IFERROR(IF(MID(Bookings!F502,LEN(Bookings!F502)-3,3)=" · ",RIGHT(Bookings!F502,1),""),"")</ns0:f>
        <ns0:v/>
      </ns0:c>
      <ns0:c r="E502" s="0" t="str">
        <ns0:f>IFERROR(INDEX(Settings!$H$7:$H$11,MATCH(D502,Settings!$G$7:$G$11,0)),"")</ns0:f>
        <ns0:v/>
      </ns0:c>
      <ns0:c r="F502" s="0" t="str">
        <ns0:f>IF(A502=0,"",IFERROR(IF(OR(B502="",C502=0),"CHECK employee selection",IF(INDEX(Team!$O$11:$O$60,C502)&lt;&gt;"OK","CHECK employee setup",IF(OR('_Dates'!J502=0,'_Dates'!T502=0),"CHECK date: use DD.MM.YYYY",IF('_Dates'!T502&lt;'_Dates'!J502,"CHECK end before start",IF(AND($B$6=0,OR('_Dates'!J502&lt;Settings!$B$7,'_Dates'!T502&gt;Settings!$B$8)),"CHECK split across leave years",IF(OR(NOT(OR('_Dates'!U502="Full day",'_Dates'!U502="AM",'_Dates'!U502="PM")),NOT(OR('_Dates'!V502="Full day",'_Dates'!V502="AM",'_Dates'!V502="PM"))),"CHECK Full day / AM / PM",IF(AND('_Dates'!J502='_Dates'!T502,'_Dates'!U502&lt;&gt;"Full day",'_Dates'!V502&lt;&gt;"Full day",'_Dates'!U502&lt;&gt;'_Dates'!V502),"CHECK same-day portions disagree",IF(AND($B$6=0,OR(AND('_Dates'!U502&lt;&gt;"Full day",'_Dates'!AA502=0),AND('_Dates'!V502&lt;&gt;"Full day",'_Dates'!AB502=0))),"CHECK half-day on non-working date",IF(COUNTIF(Settings!$G$7:$G$11,D502)&lt;&gt;1,"CHECK leave type",IF(AND(Bookings!G502&lt;&gt;"Approved",Bookings!G502&lt;&gt;"Pending",Bookings!G502&lt;&gt;"Cancelled"),"CHECK status","OK")))))))))),"CHECK input"))</ns0:f>
        <ns0:v/>
      </ns0:c>
      <ns0:c r="G502" s="0">
        <ns0:f>IF(OR(F502&lt;&gt;"OK",$B$6&gt;0),0,0.5*(IF(('_Dates'!X502)&lt;('_Dates'!W502),0,INT((('_Dates'!X502)-('_Dates'!W502)+1)/7)*LEN(SUBSTITUTE(W502,"O",""))+LEN(SUBSTITUTE(MID(W502&amp;W502,WEEKDAY(('_Dates'!W502),2),MOD((('_Dates'!X502)-('_Dates'!W502)+1),7)),"O",""))-COUNTIFS(INDEX(AllClosureRows,C502,0),"&gt;="&amp;('_Dates'!W502),INDEX(AllClosureRows,C502,0),"&lt;="&amp;('_Dates'!X502)))+IF(('_Dates'!Z502)&lt;('_Dates'!Y502),0,INT((('_Dates'!Z502)-('_Dates'!Y502)+1)/7)*LEN(SUBSTITUTE(W502,"O",""))+LEN(SUBSTITUTE(MID(W502&amp;W502,WEEKDAY(('_Dates'!Y502),2),MOD((('_Dates'!Z502)-('_Dates'!Y502)+1),7)),"O",""))-COUNTIFS(INDEX(AllClosureRows,C502,0),"&gt;="&amp;('_Dates'!Y502),INDEX(AllClosureRows,C502,0),"&lt;="&amp;('_Dates'!Z502)))))</ns0:f>
        <ns0:v>0</ns0:v>
      </ns0:c>
      <ns0:c r="H502" s="0">
        <ns0:f>IF(OR(F502&lt;&gt;"OK",$B$6&gt;0),0,0.5*(IF((MIN('_Dates'!X502,Settings!$B$9))&lt;('_Dates'!W502),0,INT(((MIN('_Dates'!X502,Settings!$B$9))-('_Dates'!W502)+1)/7)*LEN(SUBSTITUTE(W502,"O",""))+LEN(SUBSTITUTE(MID(W502&amp;W502,WEEKDAY(('_Dates'!W502),2),MOD(((MIN('_Dates'!X502,Settings!$B$9))-('_Dates'!W502)+1),7)),"O",""))-COUNTIFS(INDEX(AllClosureRows,C502,0),"&gt;="&amp;('_Dates'!W502),INDEX(AllClosureRows,C502,0),"&lt;="&amp;(MIN('_Dates'!X502,Settings!$B$9))))+IF((MIN('_Dates'!Z502,Settings!$B$9))&lt;('_Dates'!Y502),0,INT(((MIN('_Dates'!Z502,Settings!$B$9))-('_Dates'!Y502)+1)/7)*LEN(SUBSTITUTE(W502,"O",""))+LEN(SUBSTITUTE(MID(W502&amp;W502,WEEKDAY(('_Dates'!Y502),2),MOD(((MIN('_Dates'!Z502,Settings!$B$9))-('_Dates'!Y502)+1),7)),"O",""))-COUNTIFS(INDEX(AllClosureRows,C502,0),"&gt;="&amp;('_Dates'!Y502),INDEX(AllClosureRows,C502,0),"&lt;="&amp;(MIN('_Dates'!Z502,Settings!$B$9))))))</ns0:f>
        <ns0:v>0</ns0:v>
      </ns0:c>
      <ns0:c r="I502" s="0">
        <ns0:f>MAX(0,G502-H502)</ns0:f>
        <ns0:v>0</ns0:v>
      </ns0:c>
      <ns0:c r="J502" s="0">
        <ns0:f>IF(OR(A502=0,F502&lt;&gt;"OK",Bookings!G502="Cancelled",$B$6&gt;0),0,IF('_Dates'!AC502=1,MAX(0,COUNTIFS(rngEngine_B,B502,rngAMStart,"&lt;="&amp;'_Dates'!X502,rngAMEnd,"&gt;="&amp;'_Dates'!W502,rngAMActive,1,rngEngine_F,"OK",rngBookings_F,"&lt;&gt;Cancelled")-1),0)+IF('_Dates'!AD502=1,MAX(0,COUNTIFS(rngEngine_B,B502,rngPMStart,"&lt;="&amp;'_Dates'!Z502,rngPMEnd,"&gt;="&amp;'_Dates'!Y502,rngPMActive,1,rngEngine_F,"OK",rngBookings_F,"&lt;&gt;Cancelled")-1),0))</ns0:f>
        <ns0:v>0</ns0:v>
      </ns0:c>
      <ns0:c r="K502" s="0" t="str">
        <ns0:f>IF(A502=0,"",IF(F502&lt;&gt;"OK",F502,IF(J502&gt;0,"CHECK overlapping entry",IF(AND($B$6=0,G502&lt;=0,Bookings!G502&lt;&gt;"Cancelled"),"CHECK no working days",IF(Bookings!G502="Cancelled","Cancelled","OK")))))</ns0:f>
        <ns0:v/>
      </ns0:c>
      <ns0:c r="L502" s="0">
        <ns0:f>IF(LEFT(K502,5)="CHECK",1,0)</ns0:f>
        <ns0:v>0</ns0:v>
      </ns0:c>
      <ns0:c r="M502" s="0">
        <ns0:f>IF(AND(L502=1,OR(C502=0,IFERROR(INDEX($X$11:$X$60,C502),0)=0)),1,0)</ns0:f>
        <ns0:v>0</ns0:v>
      </ns0:c>
      <ns0:c r="N502" s="0">
        <ns0:f>IF(OR(A502=0,L502&gt;0,$B$6&gt;0,Bookings!G502="Cancelled"),0,G502)</ns0:f>
        <ns0:v>0</ns0:v>
      </ns0:c>
      <ns0:c r="O502" s="0">
        <ns0:f>IF(AND(Bookings!G502="Approved",E502="Yes"),N502,0)</ns0:f>
        <ns0:v>0</ns0:v>
      </ns0:c>
      <ns0:c r="P502" s="0">
        <ns0:f>IF(AND(Bookings!G502="Approved",E502="Yes",L502=0,$B$6=0),H502,0)</ns0:f>
        <ns0:v>0</ns0:v>
      </ns0:c>
      <ns0:c r="Q502" s="0">
        <ns0:f>IF(AND(Bookings!G502="Approved",E502="Yes",L502=0,$B$6=0),I502,0)</ns0:f>
        <ns0:v>0</ns0:v>
      </ns0:c>
      <ns0:c r="R502" s="0">
        <ns0:f>IF(AND(Bookings!G502="Pending",E502="Yes"),N502,0)</ns0:f>
        <ns0:v>0</ns0:v>
      </ns0:c>
      <ns0:c r="S502" s="0">
        <ns0:f>IF(AND(Bookings!G502="Approved",E502="No"),N502,0)</ns0:f>
        <ns0:v>0</ns0:v>
      </ns0:c>
      <ns0:c r="T502" s="0">
        <ns0:f>IFERROR(MATCH(D502,Settings!$G$7:$G$11,0),0)</ns0:f>
        <ns0:v>0</ns0:v>
      </ns0:c>
      <ns0:c r="U502" s="0">
        <ns0:f>IF(N502&gt;0,T502+IF(Bookings!G502="Pending",10,0),0)</ns0:f>
        <ns0:v>0</ns0:v>
      </ns0:c>
      <ns0:c r="V502" s="0">
        <ns0:f>U502</ns0:f>
        <ns0:v>0</ns0:v>
      </ns0:c>
      <ns0:c r="W502" s="0" t="str">
        <ns0:f>IF(C502=0,"",INDEX($AP$11:$AP$60,C502))</ns0:f>
        <ns0:v/>
      </ns0:c>
    </ns0:row>
    <ns0:row r="503">
      <ns0:c r="A503" s="0">
        <ns0:f>IF(COUNTA(Bookings!A503:G503,Bookings!I503)=0,0,1)</ns0:f>
        <ns0:v>0</ns0:v>
      </ns0:c>
      <ns0:c r="B503" s="0" t="str">
        <ns0:f>IFERROR(TRIM(MID(Bookings!A503,FIND(" · ",Bookings!A503)+3,99)),"")</ns0:f>
        <ns0:v/>
      </ns0:c>
      <ns0:c r="C503" s="0">
        <ns0:f>IF(OR(B503="",LEN(B503)&gt;24,ISNUMBER(FIND(" ",B503)),ISNUMBER(FIND("*",B503)),ISNUMBER(FIND("?",B503)),ISNUMBER(FIND("~",B503))),0,IFERROR(MATCH(B503,Team!$A$11:$A$60,0),0))</ns0:f>
        <ns0:v>0</ns0:v>
      </ns0:c>
      <ns0:c r="D503" s="0" t="str">
        <ns0:f>IFERROR(IF(MID(Bookings!F503,LEN(Bookings!F503)-3,3)=" · ",RIGHT(Bookings!F503,1),""),"")</ns0:f>
        <ns0:v/>
      </ns0:c>
      <ns0:c r="E503" s="0" t="str">
        <ns0:f>IFERROR(INDEX(Settings!$H$7:$H$11,MATCH(D503,Settings!$G$7:$G$11,0)),"")</ns0:f>
        <ns0:v/>
      </ns0:c>
      <ns0:c r="F503" s="0" t="str">
        <ns0:f>IF(A503=0,"",IFERROR(IF(OR(B503="",C503=0),"CHECK employee selection",IF(INDEX(Team!$O$11:$O$60,C503)&lt;&gt;"OK","CHECK employee setup",IF(OR('_Dates'!J503=0,'_Dates'!T503=0),"CHECK date: use DD.MM.YYYY",IF('_Dates'!T503&lt;'_Dates'!J503,"CHECK end before start",IF(AND($B$6=0,OR('_Dates'!J503&lt;Settings!$B$7,'_Dates'!T503&gt;Settings!$B$8)),"CHECK split across leave years",IF(OR(NOT(OR('_Dates'!U503="Full day",'_Dates'!U503="AM",'_Dates'!U503="PM")),NOT(OR('_Dates'!V503="Full day",'_Dates'!V503="AM",'_Dates'!V503="PM"))),"CHECK Full day / AM / PM",IF(AND('_Dates'!J503='_Dates'!T503,'_Dates'!U503&lt;&gt;"Full day",'_Dates'!V503&lt;&gt;"Full day",'_Dates'!U503&lt;&gt;'_Dates'!V503),"CHECK same-day portions disagree",IF(AND($B$6=0,OR(AND('_Dates'!U503&lt;&gt;"Full day",'_Dates'!AA503=0),AND('_Dates'!V503&lt;&gt;"Full day",'_Dates'!AB503=0))),"CHECK half-day on non-working date",IF(COUNTIF(Settings!$G$7:$G$11,D503)&lt;&gt;1,"CHECK leave type",IF(AND(Bookings!G503&lt;&gt;"Approved",Bookings!G503&lt;&gt;"Pending",Bookings!G503&lt;&gt;"Cancelled"),"CHECK status","OK")))))))))),"CHECK input"))</ns0:f>
        <ns0:v/>
      </ns0:c>
      <ns0:c r="G503" s="0">
        <ns0:f>IF(OR(F503&lt;&gt;"OK",$B$6&gt;0),0,0.5*(IF(('_Dates'!X503)&lt;('_Dates'!W503),0,INT((('_Dates'!X503)-('_Dates'!W503)+1)/7)*LEN(SUBSTITUTE(W503,"O",""))+LEN(SUBSTITUTE(MID(W503&amp;W503,WEEKDAY(('_Dates'!W503),2),MOD((('_Dates'!X503)-('_Dates'!W503)+1),7)),"O",""))-COUNTIFS(INDEX(AllClosureRows,C503,0),"&gt;="&amp;('_Dates'!W503),INDEX(AllClosureRows,C503,0),"&lt;="&amp;('_Dates'!X503)))+IF(('_Dates'!Z503)&lt;('_Dates'!Y503),0,INT((('_Dates'!Z503)-('_Dates'!Y503)+1)/7)*LEN(SUBSTITUTE(W503,"O",""))+LEN(SUBSTITUTE(MID(W503&amp;W503,WEEKDAY(('_Dates'!Y503),2),MOD((('_Dates'!Z503)-('_Dates'!Y503)+1),7)),"O",""))-COUNTIFS(INDEX(AllClosureRows,C503,0),"&gt;="&amp;('_Dates'!Y503),INDEX(AllClosureRows,C503,0),"&lt;="&amp;('_Dates'!Z503)))))</ns0:f>
        <ns0:v>0</ns0:v>
      </ns0:c>
      <ns0:c r="H503" s="0">
        <ns0:f>IF(OR(F503&lt;&gt;"OK",$B$6&gt;0),0,0.5*(IF((MIN('_Dates'!X503,Settings!$B$9))&lt;('_Dates'!W503),0,INT(((MIN('_Dates'!X503,Settings!$B$9))-('_Dates'!W503)+1)/7)*LEN(SUBSTITUTE(W503,"O",""))+LEN(SUBSTITUTE(MID(W503&amp;W503,WEEKDAY(('_Dates'!W503),2),MOD(((MIN('_Dates'!X503,Settings!$B$9))-('_Dates'!W503)+1),7)),"O",""))-COUNTIFS(INDEX(AllClosureRows,C503,0),"&gt;="&amp;('_Dates'!W503),INDEX(AllClosureRows,C503,0),"&lt;="&amp;(MIN('_Dates'!X503,Settings!$B$9))))+IF((MIN('_Dates'!Z503,Settings!$B$9))&lt;('_Dates'!Y503),0,INT(((MIN('_Dates'!Z503,Settings!$B$9))-('_Dates'!Y503)+1)/7)*LEN(SUBSTITUTE(W503,"O",""))+LEN(SUBSTITUTE(MID(W503&amp;W503,WEEKDAY(('_Dates'!Y503),2),MOD(((MIN('_Dates'!Z503,Settings!$B$9))-('_Dates'!Y503)+1),7)),"O",""))-COUNTIFS(INDEX(AllClosureRows,C503,0),"&gt;="&amp;('_Dates'!Y503),INDEX(AllClosureRows,C503,0),"&lt;="&amp;(MIN('_Dates'!Z503,Settings!$B$9))))))</ns0:f>
        <ns0:v>0</ns0:v>
      </ns0:c>
      <ns0:c r="I503" s="0">
        <ns0:f>MAX(0,G503-H503)</ns0:f>
        <ns0:v>0</ns0:v>
      </ns0:c>
      <ns0:c r="J503" s="0">
        <ns0:f>IF(OR(A503=0,F503&lt;&gt;"OK",Bookings!G503="Cancelled",$B$6&gt;0),0,IF('_Dates'!AC503=1,MAX(0,COUNTIFS(rngEngine_B,B503,rngAMStart,"&lt;="&amp;'_Dates'!X503,rngAMEnd,"&gt;="&amp;'_Dates'!W503,rngAMActive,1,rngEngine_F,"OK",rngBookings_F,"&lt;&gt;Cancelled")-1),0)+IF('_Dates'!AD503=1,MAX(0,COUNTIFS(rngEngine_B,B503,rngPMStart,"&lt;="&amp;'_Dates'!Z503,rngPMEnd,"&gt;="&amp;'_Dates'!Y503,rngPMActive,1,rngEngine_F,"OK",rngBookings_F,"&lt;&gt;Cancelled")-1),0))</ns0:f>
        <ns0:v>0</ns0:v>
      </ns0:c>
      <ns0:c r="K503" s="0" t="str">
        <ns0:f>IF(A503=0,"",IF(F503&lt;&gt;"OK",F503,IF(J503&gt;0,"CHECK overlapping entry",IF(AND($B$6=0,G503&lt;=0,Bookings!G503&lt;&gt;"Cancelled"),"CHECK no working days",IF(Bookings!G503="Cancelled","Cancelled","OK")))))</ns0:f>
        <ns0:v/>
      </ns0:c>
      <ns0:c r="L503" s="0">
        <ns0:f>IF(LEFT(K503,5)="CHECK",1,0)</ns0:f>
        <ns0:v>0</ns0:v>
      </ns0:c>
      <ns0:c r="M503" s="0">
        <ns0:f>IF(AND(L503=1,OR(C503=0,IFERROR(INDEX($X$11:$X$60,C503),0)=0)),1,0)</ns0:f>
        <ns0:v>0</ns0:v>
      </ns0:c>
      <ns0:c r="N503" s="0">
        <ns0:f>IF(OR(A503=0,L503&gt;0,$B$6&gt;0,Bookings!G503="Cancelled"),0,G503)</ns0:f>
        <ns0:v>0</ns0:v>
      </ns0:c>
      <ns0:c r="O503" s="0">
        <ns0:f>IF(AND(Bookings!G503="Approved",E503="Yes"),N503,0)</ns0:f>
        <ns0:v>0</ns0:v>
      </ns0:c>
      <ns0:c r="P503" s="0">
        <ns0:f>IF(AND(Bookings!G503="Approved",E503="Yes",L503=0,$B$6=0),H503,0)</ns0:f>
        <ns0:v>0</ns0:v>
      </ns0:c>
      <ns0:c r="Q503" s="0">
        <ns0:f>IF(AND(Bookings!G503="Approved",E503="Yes",L503=0,$B$6=0),I503,0)</ns0:f>
        <ns0:v>0</ns0:v>
      </ns0:c>
      <ns0:c r="R503" s="0">
        <ns0:f>IF(AND(Bookings!G503="Pending",E503="Yes"),N503,0)</ns0:f>
        <ns0:v>0</ns0:v>
      </ns0:c>
      <ns0:c r="S503" s="0">
        <ns0:f>IF(AND(Bookings!G503="Approved",E503="No"),N503,0)</ns0:f>
        <ns0:v>0</ns0:v>
      </ns0:c>
      <ns0:c r="T503" s="0">
        <ns0:f>IFERROR(MATCH(D503,Settings!$G$7:$G$11,0),0)</ns0:f>
        <ns0:v>0</ns0:v>
      </ns0:c>
      <ns0:c r="U503" s="0">
        <ns0:f>IF(N503&gt;0,T503+IF(Bookings!G503="Pending",10,0),0)</ns0:f>
        <ns0:v>0</ns0:v>
      </ns0:c>
      <ns0:c r="V503" s="0">
        <ns0:f>U503</ns0:f>
        <ns0:v>0</ns0:v>
      </ns0:c>
      <ns0:c r="W503" s="0" t="str">
        <ns0:f>IF(C503=0,"",INDEX($AP$11:$AP$60,C503))</ns0:f>
        <ns0:v/>
      </ns0:c>
    </ns0:row>
    <ns0:row r="504">
      <ns0:c r="A504" s="0">
        <ns0:f>IF(COUNTA(Bookings!A504:G504,Bookings!I504)=0,0,1)</ns0:f>
        <ns0:v>0</ns0:v>
      </ns0:c>
      <ns0:c r="B504" s="0" t="str">
        <ns0:f>IFERROR(TRIM(MID(Bookings!A504,FIND(" · ",Bookings!A504)+3,99)),"")</ns0:f>
        <ns0:v/>
      </ns0:c>
      <ns0:c r="C504" s="0">
        <ns0:f>IF(OR(B504="",LEN(B504)&gt;24,ISNUMBER(FIND(" ",B504)),ISNUMBER(FIND("*",B504)),ISNUMBER(FIND("?",B504)),ISNUMBER(FIND("~",B504))),0,IFERROR(MATCH(B504,Team!$A$11:$A$60,0),0))</ns0:f>
        <ns0:v>0</ns0:v>
      </ns0:c>
      <ns0:c r="D504" s="0" t="str">
        <ns0:f>IFERROR(IF(MID(Bookings!F504,LEN(Bookings!F504)-3,3)=" · ",RIGHT(Bookings!F504,1),""),"")</ns0:f>
        <ns0:v/>
      </ns0:c>
      <ns0:c r="E504" s="0" t="str">
        <ns0:f>IFERROR(INDEX(Settings!$H$7:$H$11,MATCH(D504,Settings!$G$7:$G$11,0)),"")</ns0:f>
        <ns0:v/>
      </ns0:c>
      <ns0:c r="F504" s="0" t="str">
        <ns0:f>IF(A504=0,"",IFERROR(IF(OR(B504="",C504=0),"CHECK employee selection",IF(INDEX(Team!$O$11:$O$60,C504)&lt;&gt;"OK","CHECK employee setup",IF(OR('_Dates'!J504=0,'_Dates'!T504=0),"CHECK date: use DD.MM.YYYY",IF('_Dates'!T504&lt;'_Dates'!J504,"CHECK end before start",IF(AND($B$6=0,OR('_Dates'!J504&lt;Settings!$B$7,'_Dates'!T504&gt;Settings!$B$8)),"CHECK split across leave years",IF(OR(NOT(OR('_Dates'!U504="Full day",'_Dates'!U504="AM",'_Dates'!U504="PM")),NOT(OR('_Dates'!V504="Full day",'_Dates'!V504="AM",'_Dates'!V504="PM"))),"CHECK Full day / AM / PM",IF(AND('_Dates'!J504='_Dates'!T504,'_Dates'!U504&lt;&gt;"Full day",'_Dates'!V504&lt;&gt;"Full day",'_Dates'!U504&lt;&gt;'_Dates'!V504),"CHECK same-day portions disagree",IF(AND($B$6=0,OR(AND('_Dates'!U504&lt;&gt;"Full day",'_Dates'!AA504=0),AND('_Dates'!V504&lt;&gt;"Full day",'_Dates'!AB504=0))),"CHECK half-day on non-working date",IF(COUNTIF(Settings!$G$7:$G$11,D504)&lt;&gt;1,"CHECK leave type",IF(AND(Bookings!G504&lt;&gt;"Approved",Bookings!G504&lt;&gt;"Pending",Bookings!G504&lt;&gt;"Cancelled"),"CHECK status","OK")))))))))),"CHECK input"))</ns0:f>
        <ns0:v/>
      </ns0:c>
      <ns0:c r="G504" s="0">
        <ns0:f>IF(OR(F504&lt;&gt;"OK",$B$6&gt;0),0,0.5*(IF(('_Dates'!X504)&lt;('_Dates'!W504),0,INT((('_Dates'!X504)-('_Dates'!W504)+1)/7)*LEN(SUBSTITUTE(W504,"O",""))+LEN(SUBSTITUTE(MID(W504&amp;W504,WEEKDAY(('_Dates'!W504),2),MOD((('_Dates'!X504)-('_Dates'!W504)+1),7)),"O",""))-COUNTIFS(INDEX(AllClosureRows,C504,0),"&gt;="&amp;('_Dates'!W504),INDEX(AllClosureRows,C504,0),"&lt;="&amp;('_Dates'!X504)))+IF(('_Dates'!Z504)&lt;('_Dates'!Y504),0,INT((('_Dates'!Z504)-('_Dates'!Y504)+1)/7)*LEN(SUBSTITUTE(W504,"O",""))+LEN(SUBSTITUTE(MID(W504&amp;W504,WEEKDAY(('_Dates'!Y504),2),MOD((('_Dates'!Z504)-('_Dates'!Y504)+1),7)),"O",""))-COUNTIFS(INDEX(AllClosureRows,C504,0),"&gt;="&amp;('_Dates'!Y504),INDEX(AllClosureRows,C504,0),"&lt;="&amp;('_Dates'!Z504)))))</ns0:f>
        <ns0:v>0</ns0:v>
      </ns0:c>
      <ns0:c r="H504" s="0">
        <ns0:f>IF(OR(F504&lt;&gt;"OK",$B$6&gt;0),0,0.5*(IF((MIN('_Dates'!X504,Settings!$B$9))&lt;('_Dates'!W504),0,INT(((MIN('_Dates'!X504,Settings!$B$9))-('_Dates'!W504)+1)/7)*LEN(SUBSTITUTE(W504,"O",""))+LEN(SUBSTITUTE(MID(W504&amp;W504,WEEKDAY(('_Dates'!W504),2),MOD(((MIN('_Dates'!X504,Settings!$B$9))-('_Dates'!W504)+1),7)),"O",""))-COUNTIFS(INDEX(AllClosureRows,C504,0),"&gt;="&amp;('_Dates'!W504),INDEX(AllClosureRows,C504,0),"&lt;="&amp;(MIN('_Dates'!X504,Settings!$B$9))))+IF((MIN('_Dates'!Z504,Settings!$B$9))&lt;('_Dates'!Y504),0,INT(((MIN('_Dates'!Z504,Settings!$B$9))-('_Dates'!Y504)+1)/7)*LEN(SUBSTITUTE(W504,"O",""))+LEN(SUBSTITUTE(MID(W504&amp;W504,WEEKDAY(('_Dates'!Y504),2),MOD(((MIN('_Dates'!Z504,Settings!$B$9))-('_Dates'!Y504)+1),7)),"O",""))-COUNTIFS(INDEX(AllClosureRows,C504,0),"&gt;="&amp;('_Dates'!Y504),INDEX(AllClosureRows,C504,0),"&lt;="&amp;(MIN('_Dates'!Z504,Settings!$B$9))))))</ns0:f>
        <ns0:v>0</ns0:v>
      </ns0:c>
      <ns0:c r="I504" s="0">
        <ns0:f>MAX(0,G504-H504)</ns0:f>
        <ns0:v>0</ns0:v>
      </ns0:c>
      <ns0:c r="J504" s="0">
        <ns0:f>IF(OR(A504=0,F504&lt;&gt;"OK",Bookings!G504="Cancelled",$B$6&gt;0),0,IF('_Dates'!AC504=1,MAX(0,COUNTIFS(rngEngine_B,B504,rngAMStart,"&lt;="&amp;'_Dates'!X504,rngAMEnd,"&gt;="&amp;'_Dates'!W504,rngAMActive,1,rngEngine_F,"OK",rngBookings_F,"&lt;&gt;Cancelled")-1),0)+IF('_Dates'!AD504=1,MAX(0,COUNTIFS(rngEngine_B,B504,rngPMStart,"&lt;="&amp;'_Dates'!Z504,rngPMEnd,"&gt;="&amp;'_Dates'!Y504,rngPMActive,1,rngEngine_F,"OK",rngBookings_F,"&lt;&gt;Cancelled")-1),0))</ns0:f>
        <ns0:v>0</ns0:v>
      </ns0:c>
      <ns0:c r="K504" s="0" t="str">
        <ns0:f>IF(A504=0,"",IF(F504&lt;&gt;"OK",F504,IF(J504&gt;0,"CHECK overlapping entry",IF(AND($B$6=0,G504&lt;=0,Bookings!G504&lt;&gt;"Cancelled"),"CHECK no working days",IF(Bookings!G504="Cancelled","Cancelled","OK")))))</ns0:f>
        <ns0:v/>
      </ns0:c>
      <ns0:c r="L504" s="0">
        <ns0:f>IF(LEFT(K504,5)="CHECK",1,0)</ns0:f>
        <ns0:v>0</ns0:v>
      </ns0:c>
      <ns0:c r="M504" s="0">
        <ns0:f>IF(AND(L504=1,OR(C504=0,IFERROR(INDEX($X$11:$X$60,C504),0)=0)),1,0)</ns0:f>
        <ns0:v>0</ns0:v>
      </ns0:c>
      <ns0:c r="N504" s="0">
        <ns0:f>IF(OR(A504=0,L504&gt;0,$B$6&gt;0,Bookings!G504="Cancelled"),0,G504)</ns0:f>
        <ns0:v>0</ns0:v>
      </ns0:c>
      <ns0:c r="O504" s="0">
        <ns0:f>IF(AND(Bookings!G504="Approved",E504="Yes"),N504,0)</ns0:f>
        <ns0:v>0</ns0:v>
      </ns0:c>
      <ns0:c r="P504" s="0">
        <ns0:f>IF(AND(Bookings!G504="Approved",E504="Yes",L504=0,$B$6=0),H504,0)</ns0:f>
        <ns0:v>0</ns0:v>
      </ns0:c>
      <ns0:c r="Q504" s="0">
        <ns0:f>IF(AND(Bookings!G504="Approved",E504="Yes",L504=0,$B$6=0),I504,0)</ns0:f>
        <ns0:v>0</ns0:v>
      </ns0:c>
      <ns0:c r="R504" s="0">
        <ns0:f>IF(AND(Bookings!G504="Pending",E504="Yes"),N504,0)</ns0:f>
        <ns0:v>0</ns0:v>
      </ns0:c>
      <ns0:c r="S504" s="0">
        <ns0:f>IF(AND(Bookings!G504="Approved",E504="No"),N504,0)</ns0:f>
        <ns0:v>0</ns0:v>
      </ns0:c>
      <ns0:c r="T504" s="0">
        <ns0:f>IFERROR(MATCH(D504,Settings!$G$7:$G$11,0),0)</ns0:f>
        <ns0:v>0</ns0:v>
      </ns0:c>
      <ns0:c r="U504" s="0">
        <ns0:f>IF(N504&gt;0,T504+IF(Bookings!G504="Pending",10,0),0)</ns0:f>
        <ns0:v>0</ns0:v>
      </ns0:c>
      <ns0:c r="V504" s="0">
        <ns0:f>U504</ns0:f>
        <ns0:v>0</ns0:v>
      </ns0:c>
      <ns0:c r="W504" s="0" t="str">
        <ns0:f>IF(C504=0,"",INDEX($AP$11:$AP$60,C504))</ns0:f>
        <ns0:v/>
      </ns0:c>
    </ns0:row>
    <ns0:row r="505">
      <ns0:c r="A505" s="0">
        <ns0:f>IF(COUNTA(Bookings!A505:G505,Bookings!I505)=0,0,1)</ns0:f>
        <ns0:v>0</ns0:v>
      </ns0:c>
      <ns0:c r="B505" s="0" t="str">
        <ns0:f>IFERROR(TRIM(MID(Bookings!A505,FIND(" · ",Bookings!A505)+3,99)),"")</ns0:f>
        <ns0:v/>
      </ns0:c>
      <ns0:c r="C505" s="0">
        <ns0:f>IF(OR(B505="",LEN(B505)&gt;24,ISNUMBER(FIND(" ",B505)),ISNUMBER(FIND("*",B505)),ISNUMBER(FIND("?",B505)),ISNUMBER(FIND("~",B505))),0,IFERROR(MATCH(B505,Team!$A$11:$A$60,0),0))</ns0:f>
        <ns0:v>0</ns0:v>
      </ns0:c>
      <ns0:c r="D505" s="0" t="str">
        <ns0:f>IFERROR(IF(MID(Bookings!F505,LEN(Bookings!F505)-3,3)=" · ",RIGHT(Bookings!F505,1),""),"")</ns0:f>
        <ns0:v/>
      </ns0:c>
      <ns0:c r="E505" s="0" t="str">
        <ns0:f>IFERROR(INDEX(Settings!$H$7:$H$11,MATCH(D505,Settings!$G$7:$G$11,0)),"")</ns0:f>
        <ns0:v/>
      </ns0:c>
      <ns0:c r="F505" s="0" t="str">
        <ns0:f>IF(A505=0,"",IFERROR(IF(OR(B505="",C505=0),"CHECK employee selection",IF(INDEX(Team!$O$11:$O$60,C505)&lt;&gt;"OK","CHECK employee setup",IF(OR('_Dates'!J505=0,'_Dates'!T505=0),"CHECK date: use DD.MM.YYYY",IF('_Dates'!T505&lt;'_Dates'!J505,"CHECK end before start",IF(AND($B$6=0,OR('_Dates'!J505&lt;Settings!$B$7,'_Dates'!T505&gt;Settings!$B$8)),"CHECK split across leave years",IF(OR(NOT(OR('_Dates'!U505="Full day",'_Dates'!U505="AM",'_Dates'!U505="PM")),NOT(OR('_Dates'!V505="Full day",'_Dates'!V505="AM",'_Dates'!V505="PM"))),"CHECK Full day / AM / PM",IF(AND('_Dates'!J505='_Dates'!T505,'_Dates'!U505&lt;&gt;"Full day",'_Dates'!V505&lt;&gt;"Full day",'_Dates'!U505&lt;&gt;'_Dates'!V505),"CHECK same-day portions disagree",IF(AND($B$6=0,OR(AND('_Dates'!U505&lt;&gt;"Full day",'_Dates'!AA505=0),AND('_Dates'!V505&lt;&gt;"Full day",'_Dates'!AB505=0))),"CHECK half-day on non-working date",IF(COUNTIF(Settings!$G$7:$G$11,D505)&lt;&gt;1,"CHECK leave type",IF(AND(Bookings!G505&lt;&gt;"Approved",Bookings!G505&lt;&gt;"Pending",Bookings!G505&lt;&gt;"Cancelled"),"CHECK status","OK")))))))))),"CHECK input"))</ns0:f>
        <ns0:v/>
      </ns0:c>
      <ns0:c r="G505" s="0">
        <ns0:f>IF(OR(F505&lt;&gt;"OK",$B$6&gt;0),0,0.5*(IF(('_Dates'!X505)&lt;('_Dates'!W505),0,INT((('_Dates'!X505)-('_Dates'!W505)+1)/7)*LEN(SUBSTITUTE(W505,"O",""))+LEN(SUBSTITUTE(MID(W505&amp;W505,WEEKDAY(('_Dates'!W505),2),MOD((('_Dates'!X505)-('_Dates'!W505)+1),7)),"O",""))-COUNTIFS(INDEX(AllClosureRows,C505,0),"&gt;="&amp;('_Dates'!W505),INDEX(AllClosureRows,C505,0),"&lt;="&amp;('_Dates'!X505)))+IF(('_Dates'!Z505)&lt;('_Dates'!Y505),0,INT((('_Dates'!Z505)-('_Dates'!Y505)+1)/7)*LEN(SUBSTITUTE(W505,"O",""))+LEN(SUBSTITUTE(MID(W505&amp;W505,WEEKDAY(('_Dates'!Y505),2),MOD((('_Dates'!Z505)-('_Dates'!Y505)+1),7)),"O",""))-COUNTIFS(INDEX(AllClosureRows,C505,0),"&gt;="&amp;('_Dates'!Y505),INDEX(AllClosureRows,C505,0),"&lt;="&amp;('_Dates'!Z505)))))</ns0:f>
        <ns0:v>0</ns0:v>
      </ns0:c>
      <ns0:c r="H505" s="0">
        <ns0:f>IF(OR(F505&lt;&gt;"OK",$B$6&gt;0),0,0.5*(IF((MIN('_Dates'!X505,Settings!$B$9))&lt;('_Dates'!W505),0,INT(((MIN('_Dates'!X505,Settings!$B$9))-('_Dates'!W505)+1)/7)*LEN(SUBSTITUTE(W505,"O",""))+LEN(SUBSTITUTE(MID(W505&amp;W505,WEEKDAY(('_Dates'!W505),2),MOD(((MIN('_Dates'!X505,Settings!$B$9))-('_Dates'!W505)+1),7)),"O",""))-COUNTIFS(INDEX(AllClosureRows,C505,0),"&gt;="&amp;('_Dates'!W505),INDEX(AllClosureRows,C505,0),"&lt;="&amp;(MIN('_Dates'!X505,Settings!$B$9))))+IF((MIN('_Dates'!Z505,Settings!$B$9))&lt;('_Dates'!Y505),0,INT(((MIN('_Dates'!Z505,Settings!$B$9))-('_Dates'!Y505)+1)/7)*LEN(SUBSTITUTE(W505,"O",""))+LEN(SUBSTITUTE(MID(W505&amp;W505,WEEKDAY(('_Dates'!Y505),2),MOD(((MIN('_Dates'!Z505,Settings!$B$9))-('_Dates'!Y505)+1),7)),"O",""))-COUNTIFS(INDEX(AllClosureRows,C505,0),"&gt;="&amp;('_Dates'!Y505),INDEX(AllClosureRows,C505,0),"&lt;="&amp;(MIN('_Dates'!Z505,Settings!$B$9))))))</ns0:f>
        <ns0:v>0</ns0:v>
      </ns0:c>
      <ns0:c r="I505" s="0">
        <ns0:f>MAX(0,G505-H505)</ns0:f>
        <ns0:v>0</ns0:v>
      </ns0:c>
      <ns0:c r="J505" s="0">
        <ns0:f>IF(OR(A505=0,F505&lt;&gt;"OK",Bookings!G505="Cancelled",$B$6&gt;0),0,IF('_Dates'!AC505=1,MAX(0,COUNTIFS(rngEngine_B,B505,rngAMStart,"&lt;="&amp;'_Dates'!X505,rngAMEnd,"&gt;="&amp;'_Dates'!W505,rngAMActive,1,rngEngine_F,"OK",rngBookings_F,"&lt;&gt;Cancelled")-1),0)+IF('_Dates'!AD505=1,MAX(0,COUNTIFS(rngEngine_B,B505,rngPMStart,"&lt;="&amp;'_Dates'!Z505,rngPMEnd,"&gt;="&amp;'_Dates'!Y505,rngPMActive,1,rngEngine_F,"OK",rngBookings_F,"&lt;&gt;Cancelled")-1),0))</ns0:f>
        <ns0:v>0</ns0:v>
      </ns0:c>
      <ns0:c r="K505" s="0" t="str">
        <ns0:f>IF(A505=0,"",IF(F505&lt;&gt;"OK",F505,IF(J505&gt;0,"CHECK overlapping entry",IF(AND($B$6=0,G505&lt;=0,Bookings!G505&lt;&gt;"Cancelled"),"CHECK no working days",IF(Bookings!G505="Cancelled","Cancelled","OK")))))</ns0:f>
        <ns0:v/>
      </ns0:c>
      <ns0:c r="L505" s="0">
        <ns0:f>IF(LEFT(K505,5)="CHECK",1,0)</ns0:f>
        <ns0:v>0</ns0:v>
      </ns0:c>
      <ns0:c r="M505" s="0">
        <ns0:f>IF(AND(L505=1,OR(C505=0,IFERROR(INDEX($X$11:$X$60,C505),0)=0)),1,0)</ns0:f>
        <ns0:v>0</ns0:v>
      </ns0:c>
      <ns0:c r="N505" s="0">
        <ns0:f>IF(OR(A505=0,L505&gt;0,$B$6&gt;0,Bookings!G505="Cancelled"),0,G505)</ns0:f>
        <ns0:v>0</ns0:v>
      </ns0:c>
      <ns0:c r="O505" s="0">
        <ns0:f>IF(AND(Bookings!G505="Approved",E505="Yes"),N505,0)</ns0:f>
        <ns0:v>0</ns0:v>
      </ns0:c>
      <ns0:c r="P505" s="0">
        <ns0:f>IF(AND(Bookings!G505="Approved",E505="Yes",L505=0,$B$6=0),H505,0)</ns0:f>
        <ns0:v>0</ns0:v>
      </ns0:c>
      <ns0:c r="Q505" s="0">
        <ns0:f>IF(AND(Bookings!G505="Approved",E505="Yes",L505=0,$B$6=0),I505,0)</ns0:f>
        <ns0:v>0</ns0:v>
      </ns0:c>
      <ns0:c r="R505" s="0">
        <ns0:f>IF(AND(Bookings!G505="Pending",E505="Yes"),N505,0)</ns0:f>
        <ns0:v>0</ns0:v>
      </ns0:c>
      <ns0:c r="S505" s="0">
        <ns0:f>IF(AND(Bookings!G505="Approved",E505="No"),N505,0)</ns0:f>
        <ns0:v>0</ns0:v>
      </ns0:c>
      <ns0:c r="T505" s="0">
        <ns0:f>IFERROR(MATCH(D505,Settings!$G$7:$G$11,0),0)</ns0:f>
        <ns0:v>0</ns0:v>
      </ns0:c>
      <ns0:c r="U505" s="0">
        <ns0:f>IF(N505&gt;0,T505+IF(Bookings!G505="Pending",10,0),0)</ns0:f>
        <ns0:v>0</ns0:v>
      </ns0:c>
      <ns0:c r="V505" s="0">
        <ns0:f>U505</ns0:f>
        <ns0:v>0</ns0:v>
      </ns0:c>
      <ns0:c r="W505" s="0" t="str">
        <ns0:f>IF(C505=0,"",INDEX($AP$11:$AP$60,C505))</ns0:f>
        <ns0:v/>
      </ns0:c>
    </ns0:row>
    <ns0:row r="506">
      <ns0:c r="A506" s="0">
        <ns0:f>IF(COUNTA(Bookings!A506:G506,Bookings!I506)=0,0,1)</ns0:f>
        <ns0:v>0</ns0:v>
      </ns0:c>
      <ns0:c r="B506" s="0" t="str">
        <ns0:f>IFERROR(TRIM(MID(Bookings!A506,FIND(" · ",Bookings!A506)+3,99)),"")</ns0:f>
        <ns0:v/>
      </ns0:c>
      <ns0:c r="C506" s="0">
        <ns0:f>IF(OR(B506="",LEN(B506)&gt;24,ISNUMBER(FIND(" ",B506)),ISNUMBER(FIND("*",B506)),ISNUMBER(FIND("?",B506)),ISNUMBER(FIND("~",B506))),0,IFERROR(MATCH(B506,Team!$A$11:$A$60,0),0))</ns0:f>
        <ns0:v>0</ns0:v>
      </ns0:c>
      <ns0:c r="D506" s="0" t="str">
        <ns0:f>IFERROR(IF(MID(Bookings!F506,LEN(Bookings!F506)-3,3)=" · ",RIGHT(Bookings!F506,1),""),"")</ns0:f>
        <ns0:v/>
      </ns0:c>
      <ns0:c r="E506" s="0" t="str">
        <ns0:f>IFERROR(INDEX(Settings!$H$7:$H$11,MATCH(D506,Settings!$G$7:$G$11,0)),"")</ns0:f>
        <ns0:v/>
      </ns0:c>
      <ns0:c r="F506" s="0" t="str">
        <ns0:f>IF(A506=0,"",IFERROR(IF(OR(B506="",C506=0),"CHECK employee selection",IF(INDEX(Team!$O$11:$O$60,C506)&lt;&gt;"OK","CHECK employee setup",IF(OR('_Dates'!J506=0,'_Dates'!T506=0),"CHECK date: use DD.MM.YYYY",IF('_Dates'!T506&lt;'_Dates'!J506,"CHECK end before start",IF(AND($B$6=0,OR('_Dates'!J506&lt;Settings!$B$7,'_Dates'!T506&gt;Settings!$B$8)),"CHECK split across leave years",IF(OR(NOT(OR('_Dates'!U506="Full day",'_Dates'!U506="AM",'_Dates'!U506="PM")),NOT(OR('_Dates'!V506="Full day",'_Dates'!V506="AM",'_Dates'!V506="PM"))),"CHECK Full day / AM / PM",IF(AND('_Dates'!J506='_Dates'!T506,'_Dates'!U506&lt;&gt;"Full day",'_Dates'!V506&lt;&gt;"Full day",'_Dates'!U506&lt;&gt;'_Dates'!V506),"CHECK same-day portions disagree",IF(AND($B$6=0,OR(AND('_Dates'!U506&lt;&gt;"Full day",'_Dates'!AA506=0),AND('_Dates'!V506&lt;&gt;"Full day",'_Dates'!AB506=0))),"CHECK half-day on non-working date",IF(COUNTIF(Settings!$G$7:$G$11,D506)&lt;&gt;1,"CHECK leave type",IF(AND(Bookings!G506&lt;&gt;"Approved",Bookings!G506&lt;&gt;"Pending",Bookings!G506&lt;&gt;"Cancelled"),"CHECK status","OK")))))))))),"CHECK input"))</ns0:f>
        <ns0:v/>
      </ns0:c>
      <ns0:c r="G506" s="0">
        <ns0:f>IF(OR(F506&lt;&gt;"OK",$B$6&gt;0),0,0.5*(IF(('_Dates'!X506)&lt;('_Dates'!W506),0,INT((('_Dates'!X506)-('_Dates'!W506)+1)/7)*LEN(SUBSTITUTE(W506,"O",""))+LEN(SUBSTITUTE(MID(W506&amp;W506,WEEKDAY(('_Dates'!W506),2),MOD((('_Dates'!X506)-('_Dates'!W506)+1),7)),"O",""))-COUNTIFS(INDEX(AllClosureRows,C506,0),"&gt;="&amp;('_Dates'!W506),INDEX(AllClosureRows,C506,0),"&lt;="&amp;('_Dates'!X506)))+IF(('_Dates'!Z506)&lt;('_Dates'!Y506),0,INT((('_Dates'!Z506)-('_Dates'!Y506)+1)/7)*LEN(SUBSTITUTE(W506,"O",""))+LEN(SUBSTITUTE(MID(W506&amp;W506,WEEKDAY(('_Dates'!Y506),2),MOD((('_Dates'!Z506)-('_Dates'!Y506)+1),7)),"O",""))-COUNTIFS(INDEX(AllClosureRows,C506,0),"&gt;="&amp;('_Dates'!Y506),INDEX(AllClosureRows,C506,0),"&lt;="&amp;('_Dates'!Z506)))))</ns0:f>
        <ns0:v>0</ns0:v>
      </ns0:c>
      <ns0:c r="H506" s="0">
        <ns0:f>IF(OR(F506&lt;&gt;"OK",$B$6&gt;0),0,0.5*(IF((MIN('_Dates'!X506,Settings!$B$9))&lt;('_Dates'!W506),0,INT(((MIN('_Dates'!X506,Settings!$B$9))-('_Dates'!W506)+1)/7)*LEN(SUBSTITUTE(W506,"O",""))+LEN(SUBSTITUTE(MID(W506&amp;W506,WEEKDAY(('_Dates'!W506),2),MOD(((MIN('_Dates'!X506,Settings!$B$9))-('_Dates'!W506)+1),7)),"O",""))-COUNTIFS(INDEX(AllClosureRows,C506,0),"&gt;="&amp;('_Dates'!W506),INDEX(AllClosureRows,C506,0),"&lt;="&amp;(MIN('_Dates'!X506,Settings!$B$9))))+IF((MIN('_Dates'!Z506,Settings!$B$9))&lt;('_Dates'!Y506),0,INT(((MIN('_Dates'!Z506,Settings!$B$9))-('_Dates'!Y506)+1)/7)*LEN(SUBSTITUTE(W506,"O",""))+LEN(SUBSTITUTE(MID(W506&amp;W506,WEEKDAY(('_Dates'!Y506),2),MOD(((MIN('_Dates'!Z506,Settings!$B$9))-('_Dates'!Y506)+1),7)),"O",""))-COUNTIFS(INDEX(AllClosureRows,C506,0),"&gt;="&amp;('_Dates'!Y506),INDEX(AllClosureRows,C506,0),"&lt;="&amp;(MIN('_Dates'!Z506,Settings!$B$9))))))</ns0:f>
        <ns0:v>0</ns0:v>
      </ns0:c>
      <ns0:c r="I506" s="0">
        <ns0:f>MAX(0,G506-H506)</ns0:f>
        <ns0:v>0</ns0:v>
      </ns0:c>
      <ns0:c r="J506" s="0">
        <ns0:f>IF(OR(A506=0,F506&lt;&gt;"OK",Bookings!G506="Cancelled",$B$6&gt;0),0,IF('_Dates'!AC506=1,MAX(0,COUNTIFS(rngEngine_B,B506,rngAMStart,"&lt;="&amp;'_Dates'!X506,rngAMEnd,"&gt;="&amp;'_Dates'!W506,rngAMActive,1,rngEngine_F,"OK",rngBookings_F,"&lt;&gt;Cancelled")-1),0)+IF('_Dates'!AD506=1,MAX(0,COUNTIFS(rngEngine_B,B506,rngPMStart,"&lt;="&amp;'_Dates'!Z506,rngPMEnd,"&gt;="&amp;'_Dates'!Y506,rngPMActive,1,rngEngine_F,"OK",rngBookings_F,"&lt;&gt;Cancelled")-1),0))</ns0:f>
        <ns0:v>0</ns0:v>
      </ns0:c>
      <ns0:c r="K506" s="0" t="str">
        <ns0:f>IF(A506=0,"",IF(F506&lt;&gt;"OK",F506,IF(J506&gt;0,"CHECK overlapping entry",IF(AND($B$6=0,G506&lt;=0,Bookings!G506&lt;&gt;"Cancelled"),"CHECK no working days",IF(Bookings!G506="Cancelled","Cancelled","OK")))))</ns0:f>
        <ns0:v/>
      </ns0:c>
      <ns0:c r="L506" s="0">
        <ns0:f>IF(LEFT(K506,5)="CHECK",1,0)</ns0:f>
        <ns0:v>0</ns0:v>
      </ns0:c>
      <ns0:c r="M506" s="0">
        <ns0:f>IF(AND(L506=1,OR(C506=0,IFERROR(INDEX($X$11:$X$60,C506),0)=0)),1,0)</ns0:f>
        <ns0:v>0</ns0:v>
      </ns0:c>
      <ns0:c r="N506" s="0">
        <ns0:f>IF(OR(A506=0,L506&gt;0,$B$6&gt;0,Bookings!G506="Cancelled"),0,G506)</ns0:f>
        <ns0:v>0</ns0:v>
      </ns0:c>
      <ns0:c r="O506" s="0">
        <ns0:f>IF(AND(Bookings!G506="Approved",E506="Yes"),N506,0)</ns0:f>
        <ns0:v>0</ns0:v>
      </ns0:c>
      <ns0:c r="P506" s="0">
        <ns0:f>IF(AND(Bookings!G506="Approved",E506="Yes",L506=0,$B$6=0),H506,0)</ns0:f>
        <ns0:v>0</ns0:v>
      </ns0:c>
      <ns0:c r="Q506" s="0">
        <ns0:f>IF(AND(Bookings!G506="Approved",E506="Yes",L506=0,$B$6=0),I506,0)</ns0:f>
        <ns0:v>0</ns0:v>
      </ns0:c>
      <ns0:c r="R506" s="0">
        <ns0:f>IF(AND(Bookings!G506="Pending",E506="Yes"),N506,0)</ns0:f>
        <ns0:v>0</ns0:v>
      </ns0:c>
      <ns0:c r="S506" s="0">
        <ns0:f>IF(AND(Bookings!G506="Approved",E506="No"),N506,0)</ns0:f>
        <ns0:v>0</ns0:v>
      </ns0:c>
      <ns0:c r="T506" s="0">
        <ns0:f>IFERROR(MATCH(D506,Settings!$G$7:$G$11,0),0)</ns0:f>
        <ns0:v>0</ns0:v>
      </ns0:c>
      <ns0:c r="U506" s="0">
        <ns0:f>IF(N506&gt;0,T506+IF(Bookings!G506="Pending",10,0),0)</ns0:f>
        <ns0:v>0</ns0:v>
      </ns0:c>
      <ns0:c r="V506" s="0">
        <ns0:f>U506</ns0:f>
        <ns0:v>0</ns0:v>
      </ns0:c>
      <ns0:c r="W506" s="0" t="str">
        <ns0:f>IF(C506=0,"",INDEX($AP$11:$AP$60,C506))</ns0:f>
        <ns0:v/>
      </ns0:c>
    </ns0:row>
    <ns0:row r="507">
      <ns0:c r="A507" s="0">
        <ns0:f>IF(COUNTA(Bookings!A507:G507,Bookings!I507)=0,0,1)</ns0:f>
        <ns0:v>0</ns0:v>
      </ns0:c>
      <ns0:c r="B507" s="0" t="str">
        <ns0:f>IFERROR(TRIM(MID(Bookings!A507,FIND(" · ",Bookings!A507)+3,99)),"")</ns0:f>
        <ns0:v/>
      </ns0:c>
      <ns0:c r="C507" s="0">
        <ns0:f>IF(OR(B507="",LEN(B507)&gt;24,ISNUMBER(FIND(" ",B507)),ISNUMBER(FIND("*",B507)),ISNUMBER(FIND("?",B507)),ISNUMBER(FIND("~",B507))),0,IFERROR(MATCH(B507,Team!$A$11:$A$60,0),0))</ns0:f>
        <ns0:v>0</ns0:v>
      </ns0:c>
      <ns0:c r="D507" s="0" t="str">
        <ns0:f>IFERROR(IF(MID(Bookings!F507,LEN(Bookings!F507)-3,3)=" · ",RIGHT(Bookings!F507,1),""),"")</ns0:f>
        <ns0:v/>
      </ns0:c>
      <ns0:c r="E507" s="0" t="str">
        <ns0:f>IFERROR(INDEX(Settings!$H$7:$H$11,MATCH(D507,Settings!$G$7:$G$11,0)),"")</ns0:f>
        <ns0:v/>
      </ns0:c>
      <ns0:c r="F507" s="0" t="str">
        <ns0:f>IF(A507=0,"",IFERROR(IF(OR(B507="",C507=0),"CHECK employee selection",IF(INDEX(Team!$O$11:$O$60,C507)&lt;&gt;"OK","CHECK employee setup",IF(OR('_Dates'!J507=0,'_Dates'!T507=0),"CHECK date: use DD.MM.YYYY",IF('_Dates'!T507&lt;'_Dates'!J507,"CHECK end before start",IF(AND($B$6=0,OR('_Dates'!J507&lt;Settings!$B$7,'_Dates'!T507&gt;Settings!$B$8)),"CHECK split across leave years",IF(OR(NOT(OR('_Dates'!U507="Full day",'_Dates'!U507="AM",'_Dates'!U507="PM")),NOT(OR('_Dates'!V507="Full day",'_Dates'!V507="AM",'_Dates'!V507="PM"))),"CHECK Full day / AM / PM",IF(AND('_Dates'!J507='_Dates'!T507,'_Dates'!U507&lt;&gt;"Full day",'_Dates'!V507&lt;&gt;"Full day",'_Dates'!U507&lt;&gt;'_Dates'!V507),"CHECK same-day portions disagree",IF(AND($B$6=0,OR(AND('_Dates'!U507&lt;&gt;"Full day",'_Dates'!AA507=0),AND('_Dates'!V507&lt;&gt;"Full day",'_Dates'!AB507=0))),"CHECK half-day on non-working date",IF(COUNTIF(Settings!$G$7:$G$11,D507)&lt;&gt;1,"CHECK leave type",IF(AND(Bookings!G507&lt;&gt;"Approved",Bookings!G507&lt;&gt;"Pending",Bookings!G507&lt;&gt;"Cancelled"),"CHECK status","OK")))))))))),"CHECK input"))</ns0:f>
        <ns0:v/>
      </ns0:c>
      <ns0:c r="G507" s="0">
        <ns0:f>IF(OR(F507&lt;&gt;"OK",$B$6&gt;0),0,0.5*(IF(('_Dates'!X507)&lt;('_Dates'!W507),0,INT((('_Dates'!X507)-('_Dates'!W507)+1)/7)*LEN(SUBSTITUTE(W507,"O",""))+LEN(SUBSTITUTE(MID(W507&amp;W507,WEEKDAY(('_Dates'!W507),2),MOD((('_Dates'!X507)-('_Dates'!W507)+1),7)),"O",""))-COUNTIFS(INDEX(AllClosureRows,C507,0),"&gt;="&amp;('_Dates'!W507),INDEX(AllClosureRows,C507,0),"&lt;="&amp;('_Dates'!X507)))+IF(('_Dates'!Z507)&lt;('_Dates'!Y507),0,INT((('_Dates'!Z507)-('_Dates'!Y507)+1)/7)*LEN(SUBSTITUTE(W507,"O",""))+LEN(SUBSTITUTE(MID(W507&amp;W507,WEEKDAY(('_Dates'!Y507),2),MOD((('_Dates'!Z507)-('_Dates'!Y507)+1),7)),"O",""))-COUNTIFS(INDEX(AllClosureRows,C507,0),"&gt;="&amp;('_Dates'!Y507),INDEX(AllClosureRows,C507,0),"&lt;="&amp;('_Dates'!Z507)))))</ns0:f>
        <ns0:v>0</ns0:v>
      </ns0:c>
      <ns0:c r="H507" s="0">
        <ns0:f>IF(OR(F507&lt;&gt;"OK",$B$6&gt;0),0,0.5*(IF((MIN('_Dates'!X507,Settings!$B$9))&lt;('_Dates'!W507),0,INT(((MIN('_Dates'!X507,Settings!$B$9))-('_Dates'!W507)+1)/7)*LEN(SUBSTITUTE(W507,"O",""))+LEN(SUBSTITUTE(MID(W507&amp;W507,WEEKDAY(('_Dates'!W507),2),MOD(((MIN('_Dates'!X507,Settings!$B$9))-('_Dates'!W507)+1),7)),"O",""))-COUNTIFS(INDEX(AllClosureRows,C507,0),"&gt;="&amp;('_Dates'!W507),INDEX(AllClosureRows,C507,0),"&lt;="&amp;(MIN('_Dates'!X507,Settings!$B$9))))+IF((MIN('_Dates'!Z507,Settings!$B$9))&lt;('_Dates'!Y507),0,INT(((MIN('_Dates'!Z507,Settings!$B$9))-('_Dates'!Y507)+1)/7)*LEN(SUBSTITUTE(W507,"O",""))+LEN(SUBSTITUTE(MID(W507&amp;W507,WEEKDAY(('_Dates'!Y507),2),MOD(((MIN('_Dates'!Z507,Settings!$B$9))-('_Dates'!Y507)+1),7)),"O",""))-COUNTIFS(INDEX(AllClosureRows,C507,0),"&gt;="&amp;('_Dates'!Y507),INDEX(AllClosureRows,C507,0),"&lt;="&amp;(MIN('_Dates'!Z507,Settings!$B$9))))))</ns0:f>
        <ns0:v>0</ns0:v>
      </ns0:c>
      <ns0:c r="I507" s="0">
        <ns0:f>MAX(0,G507-H507)</ns0:f>
        <ns0:v>0</ns0:v>
      </ns0:c>
      <ns0:c r="J507" s="0">
        <ns0:f>IF(OR(A507=0,F507&lt;&gt;"OK",Bookings!G507="Cancelled",$B$6&gt;0),0,IF('_Dates'!AC507=1,MAX(0,COUNTIFS(rngEngine_B,B507,rngAMStart,"&lt;="&amp;'_Dates'!X507,rngAMEnd,"&gt;="&amp;'_Dates'!W507,rngAMActive,1,rngEngine_F,"OK",rngBookings_F,"&lt;&gt;Cancelled")-1),0)+IF('_Dates'!AD507=1,MAX(0,COUNTIFS(rngEngine_B,B507,rngPMStart,"&lt;="&amp;'_Dates'!Z507,rngPMEnd,"&gt;="&amp;'_Dates'!Y507,rngPMActive,1,rngEngine_F,"OK",rngBookings_F,"&lt;&gt;Cancelled")-1),0))</ns0:f>
        <ns0:v>0</ns0:v>
      </ns0:c>
      <ns0:c r="K507" s="0" t="str">
        <ns0:f>IF(A507=0,"",IF(F507&lt;&gt;"OK",F507,IF(J507&gt;0,"CHECK overlapping entry",IF(AND($B$6=0,G507&lt;=0,Bookings!G507&lt;&gt;"Cancelled"),"CHECK no working days",IF(Bookings!G507="Cancelled","Cancelled","OK")))))</ns0:f>
        <ns0:v/>
      </ns0:c>
      <ns0:c r="L507" s="0">
        <ns0:f>IF(LEFT(K507,5)="CHECK",1,0)</ns0:f>
        <ns0:v>0</ns0:v>
      </ns0:c>
      <ns0:c r="M507" s="0">
        <ns0:f>IF(AND(L507=1,OR(C507=0,IFERROR(INDEX($X$11:$X$60,C507),0)=0)),1,0)</ns0:f>
        <ns0:v>0</ns0:v>
      </ns0:c>
      <ns0:c r="N507" s="0">
        <ns0:f>IF(OR(A507=0,L507&gt;0,$B$6&gt;0,Bookings!G507="Cancelled"),0,G507)</ns0:f>
        <ns0:v>0</ns0:v>
      </ns0:c>
      <ns0:c r="O507" s="0">
        <ns0:f>IF(AND(Bookings!G507="Approved",E507="Yes"),N507,0)</ns0:f>
        <ns0:v>0</ns0:v>
      </ns0:c>
      <ns0:c r="P507" s="0">
        <ns0:f>IF(AND(Bookings!G507="Approved",E507="Yes",L507=0,$B$6=0),H507,0)</ns0:f>
        <ns0:v>0</ns0:v>
      </ns0:c>
      <ns0:c r="Q507" s="0">
        <ns0:f>IF(AND(Bookings!G507="Approved",E507="Yes",L507=0,$B$6=0),I507,0)</ns0:f>
        <ns0:v>0</ns0:v>
      </ns0:c>
      <ns0:c r="R507" s="0">
        <ns0:f>IF(AND(Bookings!G507="Pending",E507="Yes"),N507,0)</ns0:f>
        <ns0:v>0</ns0:v>
      </ns0:c>
      <ns0:c r="S507" s="0">
        <ns0:f>IF(AND(Bookings!G507="Approved",E507="No"),N507,0)</ns0:f>
        <ns0:v>0</ns0:v>
      </ns0:c>
      <ns0:c r="T507" s="0">
        <ns0:f>IFERROR(MATCH(D507,Settings!$G$7:$G$11,0),0)</ns0:f>
        <ns0:v>0</ns0:v>
      </ns0:c>
      <ns0:c r="U507" s="0">
        <ns0:f>IF(N507&gt;0,T507+IF(Bookings!G507="Pending",10,0),0)</ns0:f>
        <ns0:v>0</ns0:v>
      </ns0:c>
      <ns0:c r="V507" s="0">
        <ns0:f>U507</ns0:f>
        <ns0:v>0</ns0:v>
      </ns0:c>
      <ns0:c r="W507" s="0" t="str">
        <ns0:f>IF(C507=0,"",INDEX($AP$11:$AP$60,C507))</ns0:f>
        <ns0:v/>
      </ns0:c>
    </ns0:row>
    <ns0:row r="508">
      <ns0:c r="A508" s="0">
        <ns0:f>IF(COUNTA(Bookings!A508:G508,Bookings!I508)=0,0,1)</ns0:f>
        <ns0:v>0</ns0:v>
      </ns0:c>
      <ns0:c r="B508" s="0" t="str">
        <ns0:f>IFERROR(TRIM(MID(Bookings!A508,FIND(" · ",Bookings!A508)+3,99)),"")</ns0:f>
        <ns0:v/>
      </ns0:c>
      <ns0:c r="C508" s="0">
        <ns0:f>IF(OR(B508="",LEN(B508)&gt;24,ISNUMBER(FIND(" ",B508)),ISNUMBER(FIND("*",B508)),ISNUMBER(FIND("?",B508)),ISNUMBER(FIND("~",B508))),0,IFERROR(MATCH(B508,Team!$A$11:$A$60,0),0))</ns0:f>
        <ns0:v>0</ns0:v>
      </ns0:c>
      <ns0:c r="D508" s="0" t="str">
        <ns0:f>IFERROR(IF(MID(Bookings!F508,LEN(Bookings!F508)-3,3)=" · ",RIGHT(Bookings!F508,1),""),"")</ns0:f>
        <ns0:v/>
      </ns0:c>
      <ns0:c r="E508" s="0" t="str">
        <ns0:f>IFERROR(INDEX(Settings!$H$7:$H$11,MATCH(D508,Settings!$G$7:$G$11,0)),"")</ns0:f>
        <ns0:v/>
      </ns0:c>
      <ns0:c r="F508" s="0" t="str">
        <ns0:f>IF(A508=0,"",IFERROR(IF(OR(B508="",C508=0),"CHECK employee selection",IF(INDEX(Team!$O$11:$O$60,C508)&lt;&gt;"OK","CHECK employee setup",IF(OR('_Dates'!J508=0,'_Dates'!T508=0),"CHECK date: use DD.MM.YYYY",IF('_Dates'!T508&lt;'_Dates'!J508,"CHECK end before start",IF(AND($B$6=0,OR('_Dates'!J508&lt;Settings!$B$7,'_Dates'!T508&gt;Settings!$B$8)),"CHECK split across leave years",IF(OR(NOT(OR('_Dates'!U508="Full day",'_Dates'!U508="AM",'_Dates'!U508="PM")),NOT(OR('_Dates'!V508="Full day",'_Dates'!V508="AM",'_Dates'!V508="PM"))),"CHECK Full day / AM / PM",IF(AND('_Dates'!J508='_Dates'!T508,'_Dates'!U508&lt;&gt;"Full day",'_Dates'!V508&lt;&gt;"Full day",'_Dates'!U508&lt;&gt;'_Dates'!V508),"CHECK same-day portions disagree",IF(AND($B$6=0,OR(AND('_Dates'!U508&lt;&gt;"Full day",'_Dates'!AA508=0),AND('_Dates'!V508&lt;&gt;"Full day",'_Dates'!AB508=0))),"CHECK half-day on non-working date",IF(COUNTIF(Settings!$G$7:$G$11,D508)&lt;&gt;1,"CHECK leave type",IF(AND(Bookings!G508&lt;&gt;"Approved",Bookings!G508&lt;&gt;"Pending",Bookings!G508&lt;&gt;"Cancelled"),"CHECK status","OK")))))))))),"CHECK input"))</ns0:f>
        <ns0:v/>
      </ns0:c>
      <ns0:c r="G508" s="0">
        <ns0:f>IF(OR(F508&lt;&gt;"OK",$B$6&gt;0),0,0.5*(IF(('_Dates'!X508)&lt;('_Dates'!W508),0,INT((('_Dates'!X508)-('_Dates'!W508)+1)/7)*LEN(SUBSTITUTE(W508,"O",""))+LEN(SUBSTITUTE(MID(W508&amp;W508,WEEKDAY(('_Dates'!W508),2),MOD((('_Dates'!X508)-('_Dates'!W508)+1),7)),"O",""))-COUNTIFS(INDEX(AllClosureRows,C508,0),"&gt;="&amp;('_Dates'!W508),INDEX(AllClosureRows,C508,0),"&lt;="&amp;('_Dates'!X508)))+IF(('_Dates'!Z508)&lt;('_Dates'!Y508),0,INT((('_Dates'!Z508)-('_Dates'!Y508)+1)/7)*LEN(SUBSTITUTE(W508,"O",""))+LEN(SUBSTITUTE(MID(W508&amp;W508,WEEKDAY(('_Dates'!Y508),2),MOD((('_Dates'!Z508)-('_Dates'!Y508)+1),7)),"O",""))-COUNTIFS(INDEX(AllClosureRows,C508,0),"&gt;="&amp;('_Dates'!Y508),INDEX(AllClosureRows,C508,0),"&lt;="&amp;('_Dates'!Z508)))))</ns0:f>
        <ns0:v>0</ns0:v>
      </ns0:c>
      <ns0:c r="H508" s="0">
        <ns0:f>IF(OR(F508&lt;&gt;"OK",$B$6&gt;0),0,0.5*(IF((MIN('_Dates'!X508,Settings!$B$9))&lt;('_Dates'!W508),0,INT(((MIN('_Dates'!X508,Settings!$B$9))-('_Dates'!W508)+1)/7)*LEN(SUBSTITUTE(W508,"O",""))+LEN(SUBSTITUTE(MID(W508&amp;W508,WEEKDAY(('_Dates'!W508),2),MOD(((MIN('_Dates'!X508,Settings!$B$9))-('_Dates'!W508)+1),7)),"O",""))-COUNTIFS(INDEX(AllClosureRows,C508,0),"&gt;="&amp;('_Dates'!W508),INDEX(AllClosureRows,C508,0),"&lt;="&amp;(MIN('_Dates'!X508,Settings!$B$9))))+IF((MIN('_Dates'!Z508,Settings!$B$9))&lt;('_Dates'!Y508),0,INT(((MIN('_Dates'!Z508,Settings!$B$9))-('_Dates'!Y508)+1)/7)*LEN(SUBSTITUTE(W508,"O",""))+LEN(SUBSTITUTE(MID(W508&amp;W508,WEEKDAY(('_Dates'!Y508),2),MOD(((MIN('_Dates'!Z508,Settings!$B$9))-('_Dates'!Y508)+1),7)),"O",""))-COUNTIFS(INDEX(AllClosureRows,C508,0),"&gt;="&amp;('_Dates'!Y508),INDEX(AllClosureRows,C508,0),"&lt;="&amp;(MIN('_Dates'!Z508,Settings!$B$9))))))</ns0:f>
        <ns0:v>0</ns0:v>
      </ns0:c>
      <ns0:c r="I508" s="0">
        <ns0:f>MAX(0,G508-H508)</ns0:f>
        <ns0:v>0</ns0:v>
      </ns0:c>
      <ns0:c r="J508" s="0">
        <ns0:f>IF(OR(A508=0,F508&lt;&gt;"OK",Bookings!G508="Cancelled",$B$6&gt;0),0,IF('_Dates'!AC508=1,MAX(0,COUNTIFS(rngEngine_B,B508,rngAMStart,"&lt;="&amp;'_Dates'!X508,rngAMEnd,"&gt;="&amp;'_Dates'!W508,rngAMActive,1,rngEngine_F,"OK",rngBookings_F,"&lt;&gt;Cancelled")-1),0)+IF('_Dates'!AD508=1,MAX(0,COUNTIFS(rngEngine_B,B508,rngPMStart,"&lt;="&amp;'_Dates'!Z508,rngPMEnd,"&gt;="&amp;'_Dates'!Y508,rngPMActive,1,rngEngine_F,"OK",rngBookings_F,"&lt;&gt;Cancelled")-1),0))</ns0:f>
        <ns0:v>0</ns0:v>
      </ns0:c>
      <ns0:c r="K508" s="0" t="str">
        <ns0:f>IF(A508=0,"",IF(F508&lt;&gt;"OK",F508,IF(J508&gt;0,"CHECK overlapping entry",IF(AND($B$6=0,G508&lt;=0,Bookings!G508&lt;&gt;"Cancelled"),"CHECK no working days",IF(Bookings!G508="Cancelled","Cancelled","OK")))))</ns0:f>
        <ns0:v/>
      </ns0:c>
      <ns0:c r="L508" s="0">
        <ns0:f>IF(LEFT(K508,5)="CHECK",1,0)</ns0:f>
        <ns0:v>0</ns0:v>
      </ns0:c>
      <ns0:c r="M508" s="0">
        <ns0:f>IF(AND(L508=1,OR(C508=0,IFERROR(INDEX($X$11:$X$60,C508),0)=0)),1,0)</ns0:f>
        <ns0:v>0</ns0:v>
      </ns0:c>
      <ns0:c r="N508" s="0">
        <ns0:f>IF(OR(A508=0,L508&gt;0,$B$6&gt;0,Bookings!G508="Cancelled"),0,G508)</ns0:f>
        <ns0:v>0</ns0:v>
      </ns0:c>
      <ns0:c r="O508" s="0">
        <ns0:f>IF(AND(Bookings!G508="Approved",E508="Yes"),N508,0)</ns0:f>
        <ns0:v>0</ns0:v>
      </ns0:c>
      <ns0:c r="P508" s="0">
        <ns0:f>IF(AND(Bookings!G508="Approved",E508="Yes",L508=0,$B$6=0),H508,0)</ns0:f>
        <ns0:v>0</ns0:v>
      </ns0:c>
      <ns0:c r="Q508" s="0">
        <ns0:f>IF(AND(Bookings!G508="Approved",E508="Yes",L508=0,$B$6=0),I508,0)</ns0:f>
        <ns0:v>0</ns0:v>
      </ns0:c>
      <ns0:c r="R508" s="0">
        <ns0:f>IF(AND(Bookings!G508="Pending",E508="Yes"),N508,0)</ns0:f>
        <ns0:v>0</ns0:v>
      </ns0:c>
      <ns0:c r="S508" s="0">
        <ns0:f>IF(AND(Bookings!G508="Approved",E508="No"),N508,0)</ns0:f>
        <ns0:v>0</ns0:v>
      </ns0:c>
      <ns0:c r="T508" s="0">
        <ns0:f>IFERROR(MATCH(D508,Settings!$G$7:$G$11,0),0)</ns0:f>
        <ns0:v>0</ns0:v>
      </ns0:c>
      <ns0:c r="U508" s="0">
        <ns0:f>IF(N508&gt;0,T508+IF(Bookings!G508="Pending",10,0),0)</ns0:f>
        <ns0:v>0</ns0:v>
      </ns0:c>
      <ns0:c r="V508" s="0">
        <ns0:f>U508</ns0:f>
        <ns0:v>0</ns0:v>
      </ns0:c>
      <ns0:c r="W508" s="0" t="str">
        <ns0:f>IF(C508=0,"",INDEX($AP$11:$AP$60,C508))</ns0:f>
        <ns0:v/>
      </ns0:c>
    </ns0:row>
    <ns0:row r="509">
      <ns0:c r="A509" s="0">
        <ns0:f>IF(COUNTA(Bookings!A509:G509,Bookings!I509)=0,0,1)</ns0:f>
        <ns0:v>0</ns0:v>
      </ns0:c>
      <ns0:c r="B509" s="0" t="str">
        <ns0:f>IFERROR(TRIM(MID(Bookings!A509,FIND(" · ",Bookings!A509)+3,99)),"")</ns0:f>
        <ns0:v/>
      </ns0:c>
      <ns0:c r="C509" s="0">
        <ns0:f>IF(OR(B509="",LEN(B509)&gt;24,ISNUMBER(FIND(" ",B509)),ISNUMBER(FIND("*",B509)),ISNUMBER(FIND("?",B509)),ISNUMBER(FIND("~",B509))),0,IFERROR(MATCH(B509,Team!$A$11:$A$60,0),0))</ns0:f>
        <ns0:v>0</ns0:v>
      </ns0:c>
      <ns0:c r="D509" s="0" t="str">
        <ns0:f>IFERROR(IF(MID(Bookings!F509,LEN(Bookings!F509)-3,3)=" · ",RIGHT(Bookings!F509,1),""),"")</ns0:f>
        <ns0:v/>
      </ns0:c>
      <ns0:c r="E509" s="0" t="str">
        <ns0:f>IFERROR(INDEX(Settings!$H$7:$H$11,MATCH(D509,Settings!$G$7:$G$11,0)),"")</ns0:f>
        <ns0:v/>
      </ns0:c>
      <ns0:c r="F509" s="0" t="str">
        <ns0:f>IF(A509=0,"",IFERROR(IF(OR(B509="",C509=0),"CHECK employee selection",IF(INDEX(Team!$O$11:$O$60,C509)&lt;&gt;"OK","CHECK employee setup",IF(OR('_Dates'!J509=0,'_Dates'!T509=0),"CHECK date: use DD.MM.YYYY",IF('_Dates'!T509&lt;'_Dates'!J509,"CHECK end before start",IF(AND($B$6=0,OR('_Dates'!J509&lt;Settings!$B$7,'_Dates'!T509&gt;Settings!$B$8)),"CHECK split across leave years",IF(OR(NOT(OR('_Dates'!U509="Full day",'_Dates'!U509="AM",'_Dates'!U509="PM")),NOT(OR('_Dates'!V509="Full day",'_Dates'!V509="AM",'_Dates'!V509="PM"))),"CHECK Full day / AM / PM",IF(AND('_Dates'!J509='_Dates'!T509,'_Dates'!U509&lt;&gt;"Full day",'_Dates'!V509&lt;&gt;"Full day",'_Dates'!U509&lt;&gt;'_Dates'!V509),"CHECK same-day portions disagree",IF(AND($B$6=0,OR(AND('_Dates'!U509&lt;&gt;"Full day",'_Dates'!AA509=0),AND('_Dates'!V509&lt;&gt;"Full day",'_Dates'!AB509=0))),"CHECK half-day on non-working date",IF(COUNTIF(Settings!$G$7:$G$11,D509)&lt;&gt;1,"CHECK leave type",IF(AND(Bookings!G509&lt;&gt;"Approved",Bookings!G509&lt;&gt;"Pending",Bookings!G509&lt;&gt;"Cancelled"),"CHECK status","OK")))))))))),"CHECK input"))</ns0:f>
        <ns0:v/>
      </ns0:c>
      <ns0:c r="G509" s="0">
        <ns0:f>IF(OR(F509&lt;&gt;"OK",$B$6&gt;0),0,0.5*(IF(('_Dates'!X509)&lt;('_Dates'!W509),0,INT((('_Dates'!X509)-('_Dates'!W509)+1)/7)*LEN(SUBSTITUTE(W509,"O",""))+LEN(SUBSTITUTE(MID(W509&amp;W509,WEEKDAY(('_Dates'!W509),2),MOD((('_Dates'!X509)-('_Dates'!W509)+1),7)),"O",""))-COUNTIFS(INDEX(AllClosureRows,C509,0),"&gt;="&amp;('_Dates'!W509),INDEX(AllClosureRows,C509,0),"&lt;="&amp;('_Dates'!X509)))+IF(('_Dates'!Z509)&lt;('_Dates'!Y509),0,INT((('_Dates'!Z509)-('_Dates'!Y509)+1)/7)*LEN(SUBSTITUTE(W509,"O",""))+LEN(SUBSTITUTE(MID(W509&amp;W509,WEEKDAY(('_Dates'!Y509),2),MOD((('_Dates'!Z509)-('_Dates'!Y509)+1),7)),"O",""))-COUNTIFS(INDEX(AllClosureRows,C509,0),"&gt;="&amp;('_Dates'!Y509),INDEX(AllClosureRows,C509,0),"&lt;="&amp;('_Dates'!Z509)))))</ns0:f>
        <ns0:v>0</ns0:v>
      </ns0:c>
      <ns0:c r="H509" s="0">
        <ns0:f>IF(OR(F509&lt;&gt;"OK",$B$6&gt;0),0,0.5*(IF((MIN('_Dates'!X509,Settings!$B$9))&lt;('_Dates'!W509),0,INT(((MIN('_Dates'!X509,Settings!$B$9))-('_Dates'!W509)+1)/7)*LEN(SUBSTITUTE(W509,"O",""))+LEN(SUBSTITUTE(MID(W509&amp;W509,WEEKDAY(('_Dates'!W509),2),MOD(((MIN('_Dates'!X509,Settings!$B$9))-('_Dates'!W509)+1),7)),"O",""))-COUNTIFS(INDEX(AllClosureRows,C509,0),"&gt;="&amp;('_Dates'!W509),INDEX(AllClosureRows,C509,0),"&lt;="&amp;(MIN('_Dates'!X509,Settings!$B$9))))+IF((MIN('_Dates'!Z509,Settings!$B$9))&lt;('_Dates'!Y509),0,INT(((MIN('_Dates'!Z509,Settings!$B$9))-('_Dates'!Y509)+1)/7)*LEN(SUBSTITUTE(W509,"O",""))+LEN(SUBSTITUTE(MID(W509&amp;W509,WEEKDAY(('_Dates'!Y509),2),MOD(((MIN('_Dates'!Z509,Settings!$B$9))-('_Dates'!Y509)+1),7)),"O",""))-COUNTIFS(INDEX(AllClosureRows,C509,0),"&gt;="&amp;('_Dates'!Y509),INDEX(AllClosureRows,C509,0),"&lt;="&amp;(MIN('_Dates'!Z509,Settings!$B$9))))))</ns0:f>
        <ns0:v>0</ns0:v>
      </ns0:c>
      <ns0:c r="I509" s="0">
        <ns0:f>MAX(0,G509-H509)</ns0:f>
        <ns0:v>0</ns0:v>
      </ns0:c>
      <ns0:c r="J509" s="0">
        <ns0:f>IF(OR(A509=0,F509&lt;&gt;"OK",Bookings!G509="Cancelled",$B$6&gt;0),0,IF('_Dates'!AC509=1,MAX(0,COUNTIFS(rngEngine_B,B509,rngAMStart,"&lt;="&amp;'_Dates'!X509,rngAMEnd,"&gt;="&amp;'_Dates'!W509,rngAMActive,1,rngEngine_F,"OK",rngBookings_F,"&lt;&gt;Cancelled")-1),0)+IF('_Dates'!AD509=1,MAX(0,COUNTIFS(rngEngine_B,B509,rngPMStart,"&lt;="&amp;'_Dates'!Z509,rngPMEnd,"&gt;="&amp;'_Dates'!Y509,rngPMActive,1,rngEngine_F,"OK",rngBookings_F,"&lt;&gt;Cancelled")-1),0))</ns0:f>
        <ns0:v>0</ns0:v>
      </ns0:c>
      <ns0:c r="K509" s="0" t="str">
        <ns0:f>IF(A509=0,"",IF(F509&lt;&gt;"OK",F509,IF(J509&gt;0,"CHECK overlapping entry",IF(AND($B$6=0,G509&lt;=0,Bookings!G509&lt;&gt;"Cancelled"),"CHECK no working days",IF(Bookings!G509="Cancelled","Cancelled","OK")))))</ns0:f>
        <ns0:v/>
      </ns0:c>
      <ns0:c r="L509" s="0">
        <ns0:f>IF(LEFT(K509,5)="CHECK",1,0)</ns0:f>
        <ns0:v>0</ns0:v>
      </ns0:c>
      <ns0:c r="M509" s="0">
        <ns0:f>IF(AND(L509=1,OR(C509=0,IFERROR(INDEX($X$11:$X$60,C509),0)=0)),1,0)</ns0:f>
        <ns0:v>0</ns0:v>
      </ns0:c>
      <ns0:c r="N509" s="0">
        <ns0:f>IF(OR(A509=0,L509&gt;0,$B$6&gt;0,Bookings!G509="Cancelled"),0,G509)</ns0:f>
        <ns0:v>0</ns0:v>
      </ns0:c>
      <ns0:c r="O509" s="0">
        <ns0:f>IF(AND(Bookings!G509="Approved",E509="Yes"),N509,0)</ns0:f>
        <ns0:v>0</ns0:v>
      </ns0:c>
      <ns0:c r="P509" s="0">
        <ns0:f>IF(AND(Bookings!G509="Approved",E509="Yes",L509=0,$B$6=0),H509,0)</ns0:f>
        <ns0:v>0</ns0:v>
      </ns0:c>
      <ns0:c r="Q509" s="0">
        <ns0:f>IF(AND(Bookings!G509="Approved",E509="Yes",L509=0,$B$6=0),I509,0)</ns0:f>
        <ns0:v>0</ns0:v>
      </ns0:c>
      <ns0:c r="R509" s="0">
        <ns0:f>IF(AND(Bookings!G509="Pending",E509="Yes"),N509,0)</ns0:f>
        <ns0:v>0</ns0:v>
      </ns0:c>
      <ns0:c r="S509" s="0">
        <ns0:f>IF(AND(Bookings!G509="Approved",E509="No"),N509,0)</ns0:f>
        <ns0:v>0</ns0:v>
      </ns0:c>
      <ns0:c r="T509" s="0">
        <ns0:f>IFERROR(MATCH(D509,Settings!$G$7:$G$11,0),0)</ns0:f>
        <ns0:v>0</ns0:v>
      </ns0:c>
      <ns0:c r="U509" s="0">
        <ns0:f>IF(N509&gt;0,T509+IF(Bookings!G509="Pending",10,0),0)</ns0:f>
        <ns0:v>0</ns0:v>
      </ns0:c>
      <ns0:c r="V509" s="0">
        <ns0:f>U509</ns0:f>
        <ns0:v>0</ns0:v>
      </ns0:c>
      <ns0:c r="W509" s="0" t="str">
        <ns0:f>IF(C509=0,"",INDEX($AP$11:$AP$60,C509))</ns0:f>
        <ns0:v/>
      </ns0:c>
    </ns0:row>
    <ns0:row r="510">
      <ns0:c r="A510" s="0">
        <ns0:f>IF(COUNTA(Bookings!A510:G510,Bookings!I510)=0,0,1)</ns0:f>
        <ns0:v>0</ns0:v>
      </ns0:c>
      <ns0:c r="B510" s="0" t="str">
        <ns0:f>IFERROR(TRIM(MID(Bookings!A510,FIND(" · ",Bookings!A510)+3,99)),"")</ns0:f>
        <ns0:v/>
      </ns0:c>
      <ns0:c r="C510" s="0">
        <ns0:f>IF(OR(B510="",LEN(B510)&gt;24,ISNUMBER(FIND(" ",B510)),ISNUMBER(FIND("*",B510)),ISNUMBER(FIND("?",B510)),ISNUMBER(FIND("~",B510))),0,IFERROR(MATCH(B510,Team!$A$11:$A$60,0),0))</ns0:f>
        <ns0:v>0</ns0:v>
      </ns0:c>
      <ns0:c r="D510" s="0" t="str">
        <ns0:f>IFERROR(IF(MID(Bookings!F510,LEN(Bookings!F510)-3,3)=" · ",RIGHT(Bookings!F510,1),""),"")</ns0:f>
        <ns0:v/>
      </ns0:c>
      <ns0:c r="E510" s="0" t="str">
        <ns0:f>IFERROR(INDEX(Settings!$H$7:$H$11,MATCH(D510,Settings!$G$7:$G$11,0)),"")</ns0:f>
        <ns0:v/>
      </ns0:c>
      <ns0:c r="F510" s="0" t="str">
        <ns0:f>IF(A510=0,"",IFERROR(IF(OR(B510="",C510=0),"CHECK employee selection",IF(INDEX(Team!$O$11:$O$60,C510)&lt;&gt;"OK","CHECK employee setup",IF(OR('_Dates'!J510=0,'_Dates'!T510=0),"CHECK date: use DD.MM.YYYY",IF('_Dates'!T510&lt;'_Dates'!J510,"CHECK end before start",IF(AND($B$6=0,OR('_Dates'!J510&lt;Settings!$B$7,'_Dates'!T510&gt;Settings!$B$8)),"CHECK split across leave years",IF(OR(NOT(OR('_Dates'!U510="Full day",'_Dates'!U510="AM",'_Dates'!U510="PM")),NOT(OR('_Dates'!V510="Full day",'_Dates'!V510="AM",'_Dates'!V510="PM"))),"CHECK Full day / AM / PM",IF(AND('_Dates'!J510='_Dates'!T510,'_Dates'!U510&lt;&gt;"Full day",'_Dates'!V510&lt;&gt;"Full day",'_Dates'!U510&lt;&gt;'_Dates'!V510),"CHECK same-day portions disagree",IF(AND($B$6=0,OR(AND('_Dates'!U510&lt;&gt;"Full day",'_Dates'!AA510=0),AND('_Dates'!V510&lt;&gt;"Full day",'_Dates'!AB510=0))),"CHECK half-day on non-working date",IF(COUNTIF(Settings!$G$7:$G$11,D510)&lt;&gt;1,"CHECK leave type",IF(AND(Bookings!G510&lt;&gt;"Approved",Bookings!G510&lt;&gt;"Pending",Bookings!G510&lt;&gt;"Cancelled"),"CHECK status","OK")))))))))),"CHECK input"))</ns0:f>
        <ns0:v/>
      </ns0:c>
      <ns0:c r="G510" s="0">
        <ns0:f>IF(OR(F510&lt;&gt;"OK",$B$6&gt;0),0,0.5*(IF(('_Dates'!X510)&lt;('_Dates'!W510),0,INT((('_Dates'!X510)-('_Dates'!W510)+1)/7)*LEN(SUBSTITUTE(W510,"O",""))+LEN(SUBSTITUTE(MID(W510&amp;W510,WEEKDAY(('_Dates'!W510),2),MOD((('_Dates'!X510)-('_Dates'!W510)+1),7)),"O",""))-COUNTIFS(INDEX(AllClosureRows,C510,0),"&gt;="&amp;('_Dates'!W510),INDEX(AllClosureRows,C510,0),"&lt;="&amp;('_Dates'!X510)))+IF(('_Dates'!Z510)&lt;('_Dates'!Y510),0,INT((('_Dates'!Z510)-('_Dates'!Y510)+1)/7)*LEN(SUBSTITUTE(W510,"O",""))+LEN(SUBSTITUTE(MID(W510&amp;W510,WEEKDAY(('_Dates'!Y510),2),MOD((('_Dates'!Z510)-('_Dates'!Y510)+1),7)),"O",""))-COUNTIFS(INDEX(AllClosureRows,C510,0),"&gt;="&amp;('_Dates'!Y510),INDEX(AllClosureRows,C510,0),"&lt;="&amp;('_Dates'!Z510)))))</ns0:f>
        <ns0:v>0</ns0:v>
      </ns0:c>
      <ns0:c r="H510" s="0">
        <ns0:f>IF(OR(F510&lt;&gt;"OK",$B$6&gt;0),0,0.5*(IF((MIN('_Dates'!X510,Settings!$B$9))&lt;('_Dates'!W510),0,INT(((MIN('_Dates'!X510,Settings!$B$9))-('_Dates'!W510)+1)/7)*LEN(SUBSTITUTE(W510,"O",""))+LEN(SUBSTITUTE(MID(W510&amp;W510,WEEKDAY(('_Dates'!W510),2),MOD(((MIN('_Dates'!X510,Settings!$B$9))-('_Dates'!W510)+1),7)),"O",""))-COUNTIFS(INDEX(AllClosureRows,C510,0),"&gt;="&amp;('_Dates'!W510),INDEX(AllClosureRows,C510,0),"&lt;="&amp;(MIN('_Dates'!X510,Settings!$B$9))))+IF((MIN('_Dates'!Z510,Settings!$B$9))&lt;('_Dates'!Y510),0,INT(((MIN('_Dates'!Z510,Settings!$B$9))-('_Dates'!Y510)+1)/7)*LEN(SUBSTITUTE(W510,"O",""))+LEN(SUBSTITUTE(MID(W510&amp;W510,WEEKDAY(('_Dates'!Y510),2),MOD(((MIN('_Dates'!Z510,Settings!$B$9))-('_Dates'!Y510)+1),7)),"O",""))-COUNTIFS(INDEX(AllClosureRows,C510,0),"&gt;="&amp;('_Dates'!Y510),INDEX(AllClosureRows,C510,0),"&lt;="&amp;(MIN('_Dates'!Z510,Settings!$B$9))))))</ns0:f>
        <ns0:v>0</ns0:v>
      </ns0:c>
      <ns0:c r="I510" s="0">
        <ns0:f>MAX(0,G510-H510)</ns0:f>
        <ns0:v>0</ns0:v>
      </ns0:c>
      <ns0:c r="J510" s="0">
        <ns0:f>IF(OR(A510=0,F510&lt;&gt;"OK",Bookings!G510="Cancelled",$B$6&gt;0),0,IF('_Dates'!AC510=1,MAX(0,COUNTIFS(rngEngine_B,B510,rngAMStart,"&lt;="&amp;'_Dates'!X510,rngAMEnd,"&gt;="&amp;'_Dates'!W510,rngAMActive,1,rngEngine_F,"OK",rngBookings_F,"&lt;&gt;Cancelled")-1),0)+IF('_Dates'!AD510=1,MAX(0,COUNTIFS(rngEngine_B,B510,rngPMStart,"&lt;="&amp;'_Dates'!Z510,rngPMEnd,"&gt;="&amp;'_Dates'!Y510,rngPMActive,1,rngEngine_F,"OK",rngBookings_F,"&lt;&gt;Cancelled")-1),0))</ns0:f>
        <ns0:v>0</ns0:v>
      </ns0:c>
      <ns0:c r="K510" s="0" t="str">
        <ns0:f>IF(A510=0,"",IF(F510&lt;&gt;"OK",F510,IF(J510&gt;0,"CHECK overlapping entry",IF(AND($B$6=0,G510&lt;=0,Bookings!G510&lt;&gt;"Cancelled"),"CHECK no working days",IF(Bookings!G510="Cancelled","Cancelled","OK")))))</ns0:f>
        <ns0:v/>
      </ns0:c>
      <ns0:c r="L510" s="0">
        <ns0:f>IF(LEFT(K510,5)="CHECK",1,0)</ns0:f>
        <ns0:v>0</ns0:v>
      </ns0:c>
      <ns0:c r="M510" s="0">
        <ns0:f>IF(AND(L510=1,OR(C510=0,IFERROR(INDEX($X$11:$X$60,C510),0)=0)),1,0)</ns0:f>
        <ns0:v>0</ns0:v>
      </ns0:c>
      <ns0:c r="N510" s="0">
        <ns0:f>IF(OR(A510=0,L510&gt;0,$B$6&gt;0,Bookings!G510="Cancelled"),0,G510)</ns0:f>
        <ns0:v>0</ns0:v>
      </ns0:c>
      <ns0:c r="O510" s="0">
        <ns0:f>IF(AND(Bookings!G510="Approved",E510="Yes"),N510,0)</ns0:f>
        <ns0:v>0</ns0:v>
      </ns0:c>
      <ns0:c r="P510" s="0">
        <ns0:f>IF(AND(Bookings!G510="Approved",E510="Yes",L510=0,$B$6=0),H510,0)</ns0:f>
        <ns0:v>0</ns0:v>
      </ns0:c>
      <ns0:c r="Q510" s="0">
        <ns0:f>IF(AND(Bookings!G510="Approved",E510="Yes",L510=0,$B$6=0),I510,0)</ns0:f>
        <ns0:v>0</ns0:v>
      </ns0:c>
      <ns0:c r="R510" s="0">
        <ns0:f>IF(AND(Bookings!G510="Pending",E510="Yes"),N510,0)</ns0:f>
        <ns0:v>0</ns0:v>
      </ns0:c>
      <ns0:c r="S510" s="0">
        <ns0:f>IF(AND(Bookings!G510="Approved",E510="No"),N510,0)</ns0:f>
        <ns0:v>0</ns0:v>
      </ns0:c>
      <ns0:c r="T510" s="0">
        <ns0:f>IFERROR(MATCH(D510,Settings!$G$7:$G$11,0),0)</ns0:f>
        <ns0:v>0</ns0:v>
      </ns0:c>
      <ns0:c r="U510" s="0">
        <ns0:f>IF(N510&gt;0,T510+IF(Bookings!G510="Pending",10,0),0)</ns0:f>
        <ns0:v>0</ns0:v>
      </ns0:c>
      <ns0:c r="V510" s="0">
        <ns0:f>U510</ns0:f>
        <ns0:v>0</ns0:v>
      </ns0:c>
      <ns0:c r="W510" s="0" t="str">
        <ns0:f>IF(C510=0,"",INDEX($AP$11:$AP$60,C510))</ns0:f>
        <ns0:v/>
      </ns0:c>
    </ns0:row>
    <ns0:row r="511">
      <ns0:c r="A511" s="0">
        <ns0:f>IF(COUNTA(Bookings!A511:G511,Bookings!I511)=0,0,1)</ns0:f>
        <ns0:v>0</ns0:v>
      </ns0:c>
      <ns0:c r="B511" s="0" t="str">
        <ns0:f>IFERROR(TRIM(MID(Bookings!A511,FIND(" · ",Bookings!A511)+3,99)),"")</ns0:f>
        <ns0:v/>
      </ns0:c>
      <ns0:c r="C511" s="0">
        <ns0:f>IF(OR(B511="",LEN(B511)&gt;24,ISNUMBER(FIND(" ",B511)),ISNUMBER(FIND("*",B511)),ISNUMBER(FIND("?",B511)),ISNUMBER(FIND("~",B511))),0,IFERROR(MATCH(B511,Team!$A$11:$A$60,0),0))</ns0:f>
        <ns0:v>0</ns0:v>
      </ns0:c>
      <ns0:c r="D511" s="0" t="str">
        <ns0:f>IFERROR(IF(MID(Bookings!F511,LEN(Bookings!F511)-3,3)=" · ",RIGHT(Bookings!F511,1),""),"")</ns0:f>
        <ns0:v/>
      </ns0:c>
      <ns0:c r="E511" s="0" t="str">
        <ns0:f>IFERROR(INDEX(Settings!$H$7:$H$11,MATCH(D511,Settings!$G$7:$G$11,0)),"")</ns0:f>
        <ns0:v/>
      </ns0:c>
      <ns0:c r="F511" s="0" t="str">
        <ns0:f>IF(A511=0,"",IFERROR(IF(OR(B511="",C511=0),"CHECK employee selection",IF(INDEX(Team!$O$11:$O$60,C511)&lt;&gt;"OK","CHECK employee setup",IF(OR('_Dates'!J511=0,'_Dates'!T511=0),"CHECK date: use DD.MM.YYYY",IF('_Dates'!T511&lt;'_Dates'!J511,"CHECK end before start",IF(AND($B$6=0,OR('_Dates'!J511&lt;Settings!$B$7,'_Dates'!T511&gt;Settings!$B$8)),"CHECK split across leave years",IF(OR(NOT(OR('_Dates'!U511="Full day",'_Dates'!U511="AM",'_Dates'!U511="PM")),NOT(OR('_Dates'!V511="Full day",'_Dates'!V511="AM",'_Dates'!V511="PM"))),"CHECK Full day / AM / PM",IF(AND('_Dates'!J511='_Dates'!T511,'_Dates'!U511&lt;&gt;"Full day",'_Dates'!V511&lt;&gt;"Full day",'_Dates'!U511&lt;&gt;'_Dates'!V511),"CHECK same-day portions disagree",IF(AND($B$6=0,OR(AND('_Dates'!U511&lt;&gt;"Full day",'_Dates'!AA511=0),AND('_Dates'!V511&lt;&gt;"Full day",'_Dates'!AB511=0))),"CHECK half-day on non-working date",IF(COUNTIF(Settings!$G$7:$G$11,D511)&lt;&gt;1,"CHECK leave type",IF(AND(Bookings!G511&lt;&gt;"Approved",Bookings!G511&lt;&gt;"Pending",Bookings!G511&lt;&gt;"Cancelled"),"CHECK status","OK")))))))))),"CHECK input"))</ns0:f>
        <ns0:v/>
      </ns0:c>
      <ns0:c r="G511" s="0">
        <ns0:f>IF(OR(F511&lt;&gt;"OK",$B$6&gt;0),0,0.5*(IF(('_Dates'!X511)&lt;('_Dates'!W511),0,INT((('_Dates'!X511)-('_Dates'!W511)+1)/7)*LEN(SUBSTITUTE(W511,"O",""))+LEN(SUBSTITUTE(MID(W511&amp;W511,WEEKDAY(('_Dates'!W511),2),MOD((('_Dates'!X511)-('_Dates'!W511)+1),7)),"O",""))-COUNTIFS(INDEX(AllClosureRows,C511,0),"&gt;="&amp;('_Dates'!W511),INDEX(AllClosureRows,C511,0),"&lt;="&amp;('_Dates'!X511)))+IF(('_Dates'!Z511)&lt;('_Dates'!Y511),0,INT((('_Dates'!Z511)-('_Dates'!Y511)+1)/7)*LEN(SUBSTITUTE(W511,"O",""))+LEN(SUBSTITUTE(MID(W511&amp;W511,WEEKDAY(('_Dates'!Y511),2),MOD((('_Dates'!Z511)-('_Dates'!Y511)+1),7)),"O",""))-COUNTIFS(INDEX(AllClosureRows,C511,0),"&gt;="&amp;('_Dates'!Y511),INDEX(AllClosureRows,C511,0),"&lt;="&amp;('_Dates'!Z511)))))</ns0:f>
        <ns0:v>0</ns0:v>
      </ns0:c>
      <ns0:c r="H511" s="0">
        <ns0:f>IF(OR(F511&lt;&gt;"OK",$B$6&gt;0),0,0.5*(IF((MIN('_Dates'!X511,Settings!$B$9))&lt;('_Dates'!W511),0,INT(((MIN('_Dates'!X511,Settings!$B$9))-('_Dates'!W511)+1)/7)*LEN(SUBSTITUTE(W511,"O",""))+LEN(SUBSTITUTE(MID(W511&amp;W511,WEEKDAY(('_Dates'!W511),2),MOD(((MIN('_Dates'!X511,Settings!$B$9))-('_Dates'!W511)+1),7)),"O",""))-COUNTIFS(INDEX(AllClosureRows,C511,0),"&gt;="&amp;('_Dates'!W511),INDEX(AllClosureRows,C511,0),"&lt;="&amp;(MIN('_Dates'!X511,Settings!$B$9))))+IF((MIN('_Dates'!Z511,Settings!$B$9))&lt;('_Dates'!Y511),0,INT(((MIN('_Dates'!Z511,Settings!$B$9))-('_Dates'!Y511)+1)/7)*LEN(SUBSTITUTE(W511,"O",""))+LEN(SUBSTITUTE(MID(W511&amp;W511,WEEKDAY(('_Dates'!Y511),2),MOD(((MIN('_Dates'!Z511,Settings!$B$9))-('_Dates'!Y511)+1),7)),"O",""))-COUNTIFS(INDEX(AllClosureRows,C511,0),"&gt;="&amp;('_Dates'!Y511),INDEX(AllClosureRows,C511,0),"&lt;="&amp;(MIN('_Dates'!Z511,Settings!$B$9))))))</ns0:f>
        <ns0:v>0</ns0:v>
      </ns0:c>
      <ns0:c r="I511" s="0">
        <ns0:f>MAX(0,G511-H511)</ns0:f>
        <ns0:v>0</ns0:v>
      </ns0:c>
      <ns0:c r="J511" s="0">
        <ns0:f>IF(OR(A511=0,F511&lt;&gt;"OK",Bookings!G511="Cancelled",$B$6&gt;0),0,IF('_Dates'!AC511=1,MAX(0,COUNTIFS(rngEngine_B,B511,rngAMStart,"&lt;="&amp;'_Dates'!X511,rngAMEnd,"&gt;="&amp;'_Dates'!W511,rngAMActive,1,rngEngine_F,"OK",rngBookings_F,"&lt;&gt;Cancelled")-1),0)+IF('_Dates'!AD511=1,MAX(0,COUNTIFS(rngEngine_B,B511,rngPMStart,"&lt;="&amp;'_Dates'!Z511,rngPMEnd,"&gt;="&amp;'_Dates'!Y511,rngPMActive,1,rngEngine_F,"OK",rngBookings_F,"&lt;&gt;Cancelled")-1),0))</ns0:f>
        <ns0:v>0</ns0:v>
      </ns0:c>
      <ns0:c r="K511" s="0" t="str">
        <ns0:f>IF(A511=0,"",IF(F511&lt;&gt;"OK",F511,IF(J511&gt;0,"CHECK overlapping entry",IF(AND($B$6=0,G511&lt;=0,Bookings!G511&lt;&gt;"Cancelled"),"CHECK no working days",IF(Bookings!G511="Cancelled","Cancelled","OK")))))</ns0:f>
        <ns0:v/>
      </ns0:c>
      <ns0:c r="L511" s="0">
        <ns0:f>IF(LEFT(K511,5)="CHECK",1,0)</ns0:f>
        <ns0:v>0</ns0:v>
      </ns0:c>
      <ns0:c r="M511" s="0">
        <ns0:f>IF(AND(L511=1,OR(C511=0,IFERROR(INDEX($X$11:$X$60,C511),0)=0)),1,0)</ns0:f>
        <ns0:v>0</ns0:v>
      </ns0:c>
      <ns0:c r="N511" s="0">
        <ns0:f>IF(OR(A511=0,L511&gt;0,$B$6&gt;0,Bookings!G511="Cancelled"),0,G511)</ns0:f>
        <ns0:v>0</ns0:v>
      </ns0:c>
      <ns0:c r="O511" s="0">
        <ns0:f>IF(AND(Bookings!G511="Approved",E511="Yes"),N511,0)</ns0:f>
        <ns0:v>0</ns0:v>
      </ns0:c>
      <ns0:c r="P511" s="0">
        <ns0:f>IF(AND(Bookings!G511="Approved",E511="Yes",L511=0,$B$6=0),H511,0)</ns0:f>
        <ns0:v>0</ns0:v>
      </ns0:c>
      <ns0:c r="Q511" s="0">
        <ns0:f>IF(AND(Bookings!G511="Approved",E511="Yes",L511=0,$B$6=0),I511,0)</ns0:f>
        <ns0:v>0</ns0:v>
      </ns0:c>
      <ns0:c r="R511" s="0">
        <ns0:f>IF(AND(Bookings!G511="Pending",E511="Yes"),N511,0)</ns0:f>
        <ns0:v>0</ns0:v>
      </ns0:c>
      <ns0:c r="S511" s="0">
        <ns0:f>IF(AND(Bookings!G511="Approved",E511="No"),N511,0)</ns0:f>
        <ns0:v>0</ns0:v>
      </ns0:c>
      <ns0:c r="T511" s="0">
        <ns0:f>IFERROR(MATCH(D511,Settings!$G$7:$G$11,0),0)</ns0:f>
        <ns0:v>0</ns0:v>
      </ns0:c>
      <ns0:c r="U511" s="0">
        <ns0:f>IF(N511&gt;0,T511+IF(Bookings!G511="Pending",10,0),0)</ns0:f>
        <ns0:v>0</ns0:v>
      </ns0:c>
      <ns0:c r="V511" s="0">
        <ns0:f>U511</ns0:f>
        <ns0:v>0</ns0:v>
      </ns0:c>
      <ns0:c r="W511" s="0" t="str">
        <ns0:f>IF(C511=0,"",INDEX($AP$11:$AP$60,C511))</ns0:f>
        <ns0:v/>
      </ns0:c>
    </ns0:row>
    <ns0:row r="512">
      <ns0:c r="A512" s="0">
        <ns0:f>IF(COUNTA(Bookings!A512:G512,Bookings!I512)=0,0,1)</ns0:f>
        <ns0:v>0</ns0:v>
      </ns0:c>
      <ns0:c r="B512" s="0" t="str">
        <ns0:f>IFERROR(TRIM(MID(Bookings!A512,FIND(" · ",Bookings!A512)+3,99)),"")</ns0:f>
        <ns0:v/>
      </ns0:c>
      <ns0:c r="C512" s="0">
        <ns0:f>IF(OR(B512="",LEN(B512)&gt;24,ISNUMBER(FIND(" ",B512)),ISNUMBER(FIND("*",B512)),ISNUMBER(FIND("?",B512)),ISNUMBER(FIND("~",B512))),0,IFERROR(MATCH(B512,Team!$A$11:$A$60,0),0))</ns0:f>
        <ns0:v>0</ns0:v>
      </ns0:c>
      <ns0:c r="D512" s="0" t="str">
        <ns0:f>IFERROR(IF(MID(Bookings!F512,LEN(Bookings!F512)-3,3)=" · ",RIGHT(Bookings!F512,1),""),"")</ns0:f>
        <ns0:v/>
      </ns0:c>
      <ns0:c r="E512" s="0" t="str">
        <ns0:f>IFERROR(INDEX(Settings!$H$7:$H$11,MATCH(D512,Settings!$G$7:$G$11,0)),"")</ns0:f>
        <ns0:v/>
      </ns0:c>
      <ns0:c r="F512" s="0" t="str">
        <ns0:f>IF(A512=0,"",IFERROR(IF(OR(B512="",C512=0),"CHECK employee selection",IF(INDEX(Team!$O$11:$O$60,C512)&lt;&gt;"OK","CHECK employee setup",IF(OR('_Dates'!J512=0,'_Dates'!T512=0),"CHECK date: use DD.MM.YYYY",IF('_Dates'!T512&lt;'_Dates'!J512,"CHECK end before start",IF(AND($B$6=0,OR('_Dates'!J512&lt;Settings!$B$7,'_Dates'!T512&gt;Settings!$B$8)),"CHECK split across leave years",IF(OR(NOT(OR('_Dates'!U512="Full day",'_Dates'!U512="AM",'_Dates'!U512="PM")),NOT(OR('_Dates'!V512="Full day",'_Dates'!V512="AM",'_Dates'!V512="PM"))),"CHECK Full day / AM / PM",IF(AND('_Dates'!J512='_Dates'!T512,'_Dates'!U512&lt;&gt;"Full day",'_Dates'!V512&lt;&gt;"Full day",'_Dates'!U512&lt;&gt;'_Dates'!V512),"CHECK same-day portions disagree",IF(AND($B$6=0,OR(AND('_Dates'!U512&lt;&gt;"Full day",'_Dates'!AA512=0),AND('_Dates'!V512&lt;&gt;"Full day",'_Dates'!AB512=0))),"CHECK half-day on non-working date",IF(COUNTIF(Settings!$G$7:$G$11,D512)&lt;&gt;1,"CHECK leave type",IF(AND(Bookings!G512&lt;&gt;"Approved",Bookings!G512&lt;&gt;"Pending",Bookings!G512&lt;&gt;"Cancelled"),"CHECK status","OK")))))))))),"CHECK input"))</ns0:f>
        <ns0:v/>
      </ns0:c>
      <ns0:c r="G512" s="0">
        <ns0:f>IF(OR(F512&lt;&gt;"OK",$B$6&gt;0),0,0.5*(IF(('_Dates'!X512)&lt;('_Dates'!W512),0,INT((('_Dates'!X512)-('_Dates'!W512)+1)/7)*LEN(SUBSTITUTE(W512,"O",""))+LEN(SUBSTITUTE(MID(W512&amp;W512,WEEKDAY(('_Dates'!W512),2),MOD((('_Dates'!X512)-('_Dates'!W512)+1),7)),"O",""))-COUNTIFS(INDEX(AllClosureRows,C512,0),"&gt;="&amp;('_Dates'!W512),INDEX(AllClosureRows,C512,0),"&lt;="&amp;('_Dates'!X512)))+IF(('_Dates'!Z512)&lt;('_Dates'!Y512),0,INT((('_Dates'!Z512)-('_Dates'!Y512)+1)/7)*LEN(SUBSTITUTE(W512,"O",""))+LEN(SUBSTITUTE(MID(W512&amp;W512,WEEKDAY(('_Dates'!Y512),2),MOD((('_Dates'!Z512)-('_Dates'!Y512)+1),7)),"O",""))-COUNTIFS(INDEX(AllClosureRows,C512,0),"&gt;="&amp;('_Dates'!Y512),INDEX(AllClosureRows,C512,0),"&lt;="&amp;('_Dates'!Z512)))))</ns0:f>
        <ns0:v>0</ns0:v>
      </ns0:c>
      <ns0:c r="H512" s="0">
        <ns0:f>IF(OR(F512&lt;&gt;"OK",$B$6&gt;0),0,0.5*(IF((MIN('_Dates'!X512,Settings!$B$9))&lt;('_Dates'!W512),0,INT(((MIN('_Dates'!X512,Settings!$B$9))-('_Dates'!W512)+1)/7)*LEN(SUBSTITUTE(W512,"O",""))+LEN(SUBSTITUTE(MID(W512&amp;W512,WEEKDAY(('_Dates'!W512),2),MOD(((MIN('_Dates'!X512,Settings!$B$9))-('_Dates'!W512)+1),7)),"O",""))-COUNTIFS(INDEX(AllClosureRows,C512,0),"&gt;="&amp;('_Dates'!W512),INDEX(AllClosureRows,C512,0),"&lt;="&amp;(MIN('_Dates'!X512,Settings!$B$9))))+IF((MIN('_Dates'!Z512,Settings!$B$9))&lt;('_Dates'!Y512),0,INT(((MIN('_Dates'!Z512,Settings!$B$9))-('_Dates'!Y512)+1)/7)*LEN(SUBSTITUTE(W512,"O",""))+LEN(SUBSTITUTE(MID(W512&amp;W512,WEEKDAY(('_Dates'!Y512),2),MOD(((MIN('_Dates'!Z512,Settings!$B$9))-('_Dates'!Y512)+1),7)),"O",""))-COUNTIFS(INDEX(AllClosureRows,C512,0),"&gt;="&amp;('_Dates'!Y512),INDEX(AllClosureRows,C512,0),"&lt;="&amp;(MIN('_Dates'!Z512,Settings!$B$9))))))</ns0:f>
        <ns0:v>0</ns0:v>
      </ns0:c>
      <ns0:c r="I512" s="0">
        <ns0:f>MAX(0,G512-H512)</ns0:f>
        <ns0:v>0</ns0:v>
      </ns0:c>
      <ns0:c r="J512" s="0">
        <ns0:f>IF(OR(A512=0,F512&lt;&gt;"OK",Bookings!G512="Cancelled",$B$6&gt;0),0,IF('_Dates'!AC512=1,MAX(0,COUNTIFS(rngEngine_B,B512,rngAMStart,"&lt;="&amp;'_Dates'!X512,rngAMEnd,"&gt;="&amp;'_Dates'!W512,rngAMActive,1,rngEngine_F,"OK",rngBookings_F,"&lt;&gt;Cancelled")-1),0)+IF('_Dates'!AD512=1,MAX(0,COUNTIFS(rngEngine_B,B512,rngPMStart,"&lt;="&amp;'_Dates'!Z512,rngPMEnd,"&gt;="&amp;'_Dates'!Y512,rngPMActive,1,rngEngine_F,"OK",rngBookings_F,"&lt;&gt;Cancelled")-1),0))</ns0:f>
        <ns0:v>0</ns0:v>
      </ns0:c>
      <ns0:c r="K512" s="0" t="str">
        <ns0:f>IF(A512=0,"",IF(F512&lt;&gt;"OK",F512,IF(J512&gt;0,"CHECK overlapping entry",IF(AND($B$6=0,G512&lt;=0,Bookings!G512&lt;&gt;"Cancelled"),"CHECK no working days",IF(Bookings!G512="Cancelled","Cancelled","OK")))))</ns0:f>
        <ns0:v/>
      </ns0:c>
      <ns0:c r="L512" s="0">
        <ns0:f>IF(LEFT(K512,5)="CHECK",1,0)</ns0:f>
        <ns0:v>0</ns0:v>
      </ns0:c>
      <ns0:c r="M512" s="0">
        <ns0:f>IF(AND(L512=1,OR(C512=0,IFERROR(INDEX($X$11:$X$60,C512),0)=0)),1,0)</ns0:f>
        <ns0:v>0</ns0:v>
      </ns0:c>
      <ns0:c r="N512" s="0">
        <ns0:f>IF(OR(A512=0,L512&gt;0,$B$6&gt;0,Bookings!G512="Cancelled"),0,G512)</ns0:f>
        <ns0:v>0</ns0:v>
      </ns0:c>
      <ns0:c r="O512" s="0">
        <ns0:f>IF(AND(Bookings!G512="Approved",E512="Yes"),N512,0)</ns0:f>
        <ns0:v>0</ns0:v>
      </ns0:c>
      <ns0:c r="P512" s="0">
        <ns0:f>IF(AND(Bookings!G512="Approved",E512="Yes",L512=0,$B$6=0),H512,0)</ns0:f>
        <ns0:v>0</ns0:v>
      </ns0:c>
      <ns0:c r="Q512" s="0">
        <ns0:f>IF(AND(Bookings!G512="Approved",E512="Yes",L512=0,$B$6=0),I512,0)</ns0:f>
        <ns0:v>0</ns0:v>
      </ns0:c>
      <ns0:c r="R512" s="0">
        <ns0:f>IF(AND(Bookings!G512="Pending",E512="Yes"),N512,0)</ns0:f>
        <ns0:v>0</ns0:v>
      </ns0:c>
      <ns0:c r="S512" s="0">
        <ns0:f>IF(AND(Bookings!G512="Approved",E512="No"),N512,0)</ns0:f>
        <ns0:v>0</ns0:v>
      </ns0:c>
      <ns0:c r="T512" s="0">
        <ns0:f>IFERROR(MATCH(D512,Settings!$G$7:$G$11,0),0)</ns0:f>
        <ns0:v>0</ns0:v>
      </ns0:c>
      <ns0:c r="U512" s="0">
        <ns0:f>IF(N512&gt;0,T512+IF(Bookings!G512="Pending",10,0),0)</ns0:f>
        <ns0:v>0</ns0:v>
      </ns0:c>
      <ns0:c r="V512" s="0">
        <ns0:f>U512</ns0:f>
        <ns0:v>0</ns0:v>
      </ns0:c>
      <ns0:c r="W512" s="0" t="str">
        <ns0:f>IF(C512=0,"",INDEX($AP$11:$AP$60,C512))</ns0:f>
        <ns0:v/>
      </ns0:c>
    </ns0:row>
    <ns0:row r="513">
      <ns0:c r="A513" s="0">
        <ns0:f>IF(COUNTA(Bookings!A513:G513,Bookings!I513)=0,0,1)</ns0:f>
        <ns0:v>0</ns0:v>
      </ns0:c>
      <ns0:c r="B513" s="0" t="str">
        <ns0:f>IFERROR(TRIM(MID(Bookings!A513,FIND(" · ",Bookings!A513)+3,99)),"")</ns0:f>
        <ns0:v/>
      </ns0:c>
      <ns0:c r="C513" s="0">
        <ns0:f>IF(OR(B513="",LEN(B513)&gt;24,ISNUMBER(FIND(" ",B513)),ISNUMBER(FIND("*",B513)),ISNUMBER(FIND("?",B513)),ISNUMBER(FIND("~",B513))),0,IFERROR(MATCH(B513,Team!$A$11:$A$60,0),0))</ns0:f>
        <ns0:v>0</ns0:v>
      </ns0:c>
      <ns0:c r="D513" s="0" t="str">
        <ns0:f>IFERROR(IF(MID(Bookings!F513,LEN(Bookings!F513)-3,3)=" · ",RIGHT(Bookings!F513,1),""),"")</ns0:f>
        <ns0:v/>
      </ns0:c>
      <ns0:c r="E513" s="0" t="str">
        <ns0:f>IFERROR(INDEX(Settings!$H$7:$H$11,MATCH(D513,Settings!$G$7:$G$11,0)),"")</ns0:f>
        <ns0:v/>
      </ns0:c>
      <ns0:c r="F513" s="0" t="str">
        <ns0:f>IF(A513=0,"",IFERROR(IF(OR(B513="",C513=0),"CHECK employee selection",IF(INDEX(Team!$O$11:$O$60,C513)&lt;&gt;"OK","CHECK employee setup",IF(OR('_Dates'!J513=0,'_Dates'!T513=0),"CHECK date: use DD.MM.YYYY",IF('_Dates'!T513&lt;'_Dates'!J513,"CHECK end before start",IF(AND($B$6=0,OR('_Dates'!J513&lt;Settings!$B$7,'_Dates'!T513&gt;Settings!$B$8)),"CHECK split across leave years",IF(OR(NOT(OR('_Dates'!U513="Full day",'_Dates'!U513="AM",'_Dates'!U513="PM")),NOT(OR('_Dates'!V513="Full day",'_Dates'!V513="AM",'_Dates'!V513="PM"))),"CHECK Full day / AM / PM",IF(AND('_Dates'!J513='_Dates'!T513,'_Dates'!U513&lt;&gt;"Full day",'_Dates'!V513&lt;&gt;"Full day",'_Dates'!U513&lt;&gt;'_Dates'!V513),"CHECK same-day portions disagree",IF(AND($B$6=0,OR(AND('_Dates'!U513&lt;&gt;"Full day",'_Dates'!AA513=0),AND('_Dates'!V513&lt;&gt;"Full day",'_Dates'!AB513=0))),"CHECK half-day on non-working date",IF(COUNTIF(Settings!$G$7:$G$11,D513)&lt;&gt;1,"CHECK leave type",IF(AND(Bookings!G513&lt;&gt;"Approved",Bookings!G513&lt;&gt;"Pending",Bookings!G513&lt;&gt;"Cancelled"),"CHECK status","OK")))))))))),"CHECK input"))</ns0:f>
        <ns0:v/>
      </ns0:c>
      <ns0:c r="G513" s="0">
        <ns0:f>IF(OR(F513&lt;&gt;"OK",$B$6&gt;0),0,0.5*(IF(('_Dates'!X513)&lt;('_Dates'!W513),0,INT((('_Dates'!X513)-('_Dates'!W513)+1)/7)*LEN(SUBSTITUTE(W513,"O",""))+LEN(SUBSTITUTE(MID(W513&amp;W513,WEEKDAY(('_Dates'!W513),2),MOD((('_Dates'!X513)-('_Dates'!W513)+1),7)),"O",""))-COUNTIFS(INDEX(AllClosureRows,C513,0),"&gt;="&amp;('_Dates'!W513),INDEX(AllClosureRows,C513,0),"&lt;="&amp;('_Dates'!X513)))+IF(('_Dates'!Z513)&lt;('_Dates'!Y513),0,INT((('_Dates'!Z513)-('_Dates'!Y513)+1)/7)*LEN(SUBSTITUTE(W513,"O",""))+LEN(SUBSTITUTE(MID(W513&amp;W513,WEEKDAY(('_Dates'!Y513),2),MOD((('_Dates'!Z513)-('_Dates'!Y513)+1),7)),"O",""))-COUNTIFS(INDEX(AllClosureRows,C513,0),"&gt;="&amp;('_Dates'!Y513),INDEX(AllClosureRows,C513,0),"&lt;="&amp;('_Dates'!Z513)))))</ns0:f>
        <ns0:v>0</ns0:v>
      </ns0:c>
      <ns0:c r="H513" s="0">
        <ns0:f>IF(OR(F513&lt;&gt;"OK",$B$6&gt;0),0,0.5*(IF((MIN('_Dates'!X513,Settings!$B$9))&lt;('_Dates'!W513),0,INT(((MIN('_Dates'!X513,Settings!$B$9))-('_Dates'!W513)+1)/7)*LEN(SUBSTITUTE(W513,"O",""))+LEN(SUBSTITUTE(MID(W513&amp;W513,WEEKDAY(('_Dates'!W513),2),MOD(((MIN('_Dates'!X513,Settings!$B$9))-('_Dates'!W513)+1),7)),"O",""))-COUNTIFS(INDEX(AllClosureRows,C513,0),"&gt;="&amp;('_Dates'!W513),INDEX(AllClosureRows,C513,0),"&lt;="&amp;(MIN('_Dates'!X513,Settings!$B$9))))+IF((MIN('_Dates'!Z513,Settings!$B$9))&lt;('_Dates'!Y513),0,INT(((MIN('_Dates'!Z513,Settings!$B$9))-('_Dates'!Y513)+1)/7)*LEN(SUBSTITUTE(W513,"O",""))+LEN(SUBSTITUTE(MID(W513&amp;W513,WEEKDAY(('_Dates'!Y513),2),MOD(((MIN('_Dates'!Z513,Settings!$B$9))-('_Dates'!Y513)+1),7)),"O",""))-COUNTIFS(INDEX(AllClosureRows,C513,0),"&gt;="&amp;('_Dates'!Y513),INDEX(AllClosureRows,C513,0),"&lt;="&amp;(MIN('_Dates'!Z513,Settings!$B$9))))))</ns0:f>
        <ns0:v>0</ns0:v>
      </ns0:c>
      <ns0:c r="I513" s="0">
        <ns0:f>MAX(0,G513-H513)</ns0:f>
        <ns0:v>0</ns0:v>
      </ns0:c>
      <ns0:c r="J513" s="0">
        <ns0:f>IF(OR(A513=0,F513&lt;&gt;"OK",Bookings!G513="Cancelled",$B$6&gt;0),0,IF('_Dates'!AC513=1,MAX(0,COUNTIFS(rngEngine_B,B513,rngAMStart,"&lt;="&amp;'_Dates'!X513,rngAMEnd,"&gt;="&amp;'_Dates'!W513,rngAMActive,1,rngEngine_F,"OK",rngBookings_F,"&lt;&gt;Cancelled")-1),0)+IF('_Dates'!AD513=1,MAX(0,COUNTIFS(rngEngine_B,B513,rngPMStart,"&lt;="&amp;'_Dates'!Z513,rngPMEnd,"&gt;="&amp;'_Dates'!Y513,rngPMActive,1,rngEngine_F,"OK",rngBookings_F,"&lt;&gt;Cancelled")-1),0))</ns0:f>
        <ns0:v>0</ns0:v>
      </ns0:c>
      <ns0:c r="K513" s="0" t="str">
        <ns0:f>IF(A513=0,"",IF(F513&lt;&gt;"OK",F513,IF(J513&gt;0,"CHECK overlapping entry",IF(AND($B$6=0,G513&lt;=0,Bookings!G513&lt;&gt;"Cancelled"),"CHECK no working days",IF(Bookings!G513="Cancelled","Cancelled","OK")))))</ns0:f>
        <ns0:v/>
      </ns0:c>
      <ns0:c r="L513" s="0">
        <ns0:f>IF(LEFT(K513,5)="CHECK",1,0)</ns0:f>
        <ns0:v>0</ns0:v>
      </ns0:c>
      <ns0:c r="M513" s="0">
        <ns0:f>IF(AND(L513=1,OR(C513=0,IFERROR(INDEX($X$11:$X$60,C513),0)=0)),1,0)</ns0:f>
        <ns0:v>0</ns0:v>
      </ns0:c>
      <ns0:c r="N513" s="0">
        <ns0:f>IF(OR(A513=0,L513&gt;0,$B$6&gt;0,Bookings!G513="Cancelled"),0,G513)</ns0:f>
        <ns0:v>0</ns0:v>
      </ns0:c>
      <ns0:c r="O513" s="0">
        <ns0:f>IF(AND(Bookings!G513="Approved",E513="Yes"),N513,0)</ns0:f>
        <ns0:v>0</ns0:v>
      </ns0:c>
      <ns0:c r="P513" s="0">
        <ns0:f>IF(AND(Bookings!G513="Approved",E513="Yes",L513=0,$B$6=0),H513,0)</ns0:f>
        <ns0:v>0</ns0:v>
      </ns0:c>
      <ns0:c r="Q513" s="0">
        <ns0:f>IF(AND(Bookings!G513="Approved",E513="Yes",L513=0,$B$6=0),I513,0)</ns0:f>
        <ns0:v>0</ns0:v>
      </ns0:c>
      <ns0:c r="R513" s="0">
        <ns0:f>IF(AND(Bookings!G513="Pending",E513="Yes"),N513,0)</ns0:f>
        <ns0:v>0</ns0:v>
      </ns0:c>
      <ns0:c r="S513" s="0">
        <ns0:f>IF(AND(Bookings!G513="Approved",E513="No"),N513,0)</ns0:f>
        <ns0:v>0</ns0:v>
      </ns0:c>
      <ns0:c r="T513" s="0">
        <ns0:f>IFERROR(MATCH(D513,Settings!$G$7:$G$11,0),0)</ns0:f>
        <ns0:v>0</ns0:v>
      </ns0:c>
      <ns0:c r="U513" s="0">
        <ns0:f>IF(N513&gt;0,T513+IF(Bookings!G513="Pending",10,0),0)</ns0:f>
        <ns0:v>0</ns0:v>
      </ns0:c>
      <ns0:c r="V513" s="0">
        <ns0:f>U513</ns0:f>
        <ns0:v>0</ns0:v>
      </ns0:c>
      <ns0:c r="W513" s="0" t="str">
        <ns0:f>IF(C513=0,"",INDEX($AP$11:$AP$60,C513))</ns0:f>
        <ns0:v/>
      </ns0:c>
    </ns0:row>
    <ns0:row r="514">
      <ns0:c r="A514" s="0">
        <ns0:f>IF(COUNTA(Bookings!A514:G514,Bookings!I514)=0,0,1)</ns0:f>
        <ns0:v>0</ns0:v>
      </ns0:c>
      <ns0:c r="B514" s="0" t="str">
        <ns0:f>IFERROR(TRIM(MID(Bookings!A514,FIND(" · ",Bookings!A514)+3,99)),"")</ns0:f>
        <ns0:v/>
      </ns0:c>
      <ns0:c r="C514" s="0">
        <ns0:f>IF(OR(B514="",LEN(B514)&gt;24,ISNUMBER(FIND(" ",B514)),ISNUMBER(FIND("*",B514)),ISNUMBER(FIND("?",B514)),ISNUMBER(FIND("~",B514))),0,IFERROR(MATCH(B514,Team!$A$11:$A$60,0),0))</ns0:f>
        <ns0:v>0</ns0:v>
      </ns0:c>
      <ns0:c r="D514" s="0" t="str">
        <ns0:f>IFERROR(IF(MID(Bookings!F514,LEN(Bookings!F514)-3,3)=" · ",RIGHT(Bookings!F514,1),""),"")</ns0:f>
        <ns0:v/>
      </ns0:c>
      <ns0:c r="E514" s="0" t="str">
        <ns0:f>IFERROR(INDEX(Settings!$H$7:$H$11,MATCH(D514,Settings!$G$7:$G$11,0)),"")</ns0:f>
        <ns0:v/>
      </ns0:c>
      <ns0:c r="F514" s="0" t="str">
        <ns0:f>IF(A514=0,"",IFERROR(IF(OR(B514="",C514=0),"CHECK employee selection",IF(INDEX(Team!$O$11:$O$60,C514)&lt;&gt;"OK","CHECK employee setup",IF(OR('_Dates'!J514=0,'_Dates'!T514=0),"CHECK date: use DD.MM.YYYY",IF('_Dates'!T514&lt;'_Dates'!J514,"CHECK end before start",IF(AND($B$6=0,OR('_Dates'!J514&lt;Settings!$B$7,'_Dates'!T514&gt;Settings!$B$8)),"CHECK split across leave years",IF(OR(NOT(OR('_Dates'!U514="Full day",'_Dates'!U514="AM",'_Dates'!U514="PM")),NOT(OR('_Dates'!V514="Full day",'_Dates'!V514="AM",'_Dates'!V514="PM"))),"CHECK Full day / AM / PM",IF(AND('_Dates'!J514='_Dates'!T514,'_Dates'!U514&lt;&gt;"Full day",'_Dates'!V514&lt;&gt;"Full day",'_Dates'!U514&lt;&gt;'_Dates'!V514),"CHECK same-day portions disagree",IF(AND($B$6=0,OR(AND('_Dates'!U514&lt;&gt;"Full day",'_Dates'!AA514=0),AND('_Dates'!V514&lt;&gt;"Full day",'_Dates'!AB514=0))),"CHECK half-day on non-working date",IF(COUNTIF(Settings!$G$7:$G$11,D514)&lt;&gt;1,"CHECK leave type",IF(AND(Bookings!G514&lt;&gt;"Approved",Bookings!G514&lt;&gt;"Pending",Bookings!G514&lt;&gt;"Cancelled"),"CHECK status","OK")))))))))),"CHECK input"))</ns0:f>
        <ns0:v/>
      </ns0:c>
      <ns0:c r="G514" s="0">
        <ns0:f>IF(OR(F514&lt;&gt;"OK",$B$6&gt;0),0,0.5*(IF(('_Dates'!X514)&lt;('_Dates'!W514),0,INT((('_Dates'!X514)-('_Dates'!W514)+1)/7)*LEN(SUBSTITUTE(W514,"O",""))+LEN(SUBSTITUTE(MID(W514&amp;W514,WEEKDAY(('_Dates'!W514),2),MOD((('_Dates'!X514)-('_Dates'!W514)+1),7)),"O",""))-COUNTIFS(INDEX(AllClosureRows,C514,0),"&gt;="&amp;('_Dates'!W514),INDEX(AllClosureRows,C514,0),"&lt;="&amp;('_Dates'!X514)))+IF(('_Dates'!Z514)&lt;('_Dates'!Y514),0,INT((('_Dates'!Z514)-('_Dates'!Y514)+1)/7)*LEN(SUBSTITUTE(W514,"O",""))+LEN(SUBSTITUTE(MID(W514&amp;W514,WEEKDAY(('_Dates'!Y514),2),MOD((('_Dates'!Z514)-('_Dates'!Y514)+1),7)),"O",""))-COUNTIFS(INDEX(AllClosureRows,C514,0),"&gt;="&amp;('_Dates'!Y514),INDEX(AllClosureRows,C514,0),"&lt;="&amp;('_Dates'!Z514)))))</ns0:f>
        <ns0:v>0</ns0:v>
      </ns0:c>
      <ns0:c r="H514" s="0">
        <ns0:f>IF(OR(F514&lt;&gt;"OK",$B$6&gt;0),0,0.5*(IF((MIN('_Dates'!X514,Settings!$B$9))&lt;('_Dates'!W514),0,INT(((MIN('_Dates'!X514,Settings!$B$9))-('_Dates'!W514)+1)/7)*LEN(SUBSTITUTE(W514,"O",""))+LEN(SUBSTITUTE(MID(W514&amp;W514,WEEKDAY(('_Dates'!W514),2),MOD(((MIN('_Dates'!X514,Settings!$B$9))-('_Dates'!W514)+1),7)),"O",""))-COUNTIFS(INDEX(AllClosureRows,C514,0),"&gt;="&amp;('_Dates'!W514),INDEX(AllClosureRows,C514,0),"&lt;="&amp;(MIN('_Dates'!X514,Settings!$B$9))))+IF((MIN('_Dates'!Z514,Settings!$B$9))&lt;('_Dates'!Y514),0,INT(((MIN('_Dates'!Z514,Settings!$B$9))-('_Dates'!Y514)+1)/7)*LEN(SUBSTITUTE(W514,"O",""))+LEN(SUBSTITUTE(MID(W514&amp;W514,WEEKDAY(('_Dates'!Y514),2),MOD(((MIN('_Dates'!Z514,Settings!$B$9))-('_Dates'!Y514)+1),7)),"O",""))-COUNTIFS(INDEX(AllClosureRows,C514,0),"&gt;="&amp;('_Dates'!Y514),INDEX(AllClosureRows,C514,0),"&lt;="&amp;(MIN('_Dates'!Z514,Settings!$B$9))))))</ns0:f>
        <ns0:v>0</ns0:v>
      </ns0:c>
      <ns0:c r="I514" s="0">
        <ns0:f>MAX(0,G514-H514)</ns0:f>
        <ns0:v>0</ns0:v>
      </ns0:c>
      <ns0:c r="J514" s="0">
        <ns0:f>IF(OR(A514=0,F514&lt;&gt;"OK",Bookings!G514="Cancelled",$B$6&gt;0),0,IF('_Dates'!AC514=1,MAX(0,COUNTIFS(rngEngine_B,B514,rngAMStart,"&lt;="&amp;'_Dates'!X514,rngAMEnd,"&gt;="&amp;'_Dates'!W514,rngAMActive,1,rngEngine_F,"OK",rngBookings_F,"&lt;&gt;Cancelled")-1),0)+IF('_Dates'!AD514=1,MAX(0,COUNTIFS(rngEngine_B,B514,rngPMStart,"&lt;="&amp;'_Dates'!Z514,rngPMEnd,"&gt;="&amp;'_Dates'!Y514,rngPMActive,1,rngEngine_F,"OK",rngBookings_F,"&lt;&gt;Cancelled")-1),0))</ns0:f>
        <ns0:v>0</ns0:v>
      </ns0:c>
      <ns0:c r="K514" s="0" t="str">
        <ns0:f>IF(A514=0,"",IF(F514&lt;&gt;"OK",F514,IF(J514&gt;0,"CHECK overlapping entry",IF(AND($B$6=0,G514&lt;=0,Bookings!G514&lt;&gt;"Cancelled"),"CHECK no working days",IF(Bookings!G514="Cancelled","Cancelled","OK")))))</ns0:f>
        <ns0:v/>
      </ns0:c>
      <ns0:c r="L514" s="0">
        <ns0:f>IF(LEFT(K514,5)="CHECK",1,0)</ns0:f>
        <ns0:v>0</ns0:v>
      </ns0:c>
      <ns0:c r="M514" s="0">
        <ns0:f>IF(AND(L514=1,OR(C514=0,IFERROR(INDEX($X$11:$X$60,C514),0)=0)),1,0)</ns0:f>
        <ns0:v>0</ns0:v>
      </ns0:c>
      <ns0:c r="N514" s="0">
        <ns0:f>IF(OR(A514=0,L514&gt;0,$B$6&gt;0,Bookings!G514="Cancelled"),0,G514)</ns0:f>
        <ns0:v>0</ns0:v>
      </ns0:c>
      <ns0:c r="O514" s="0">
        <ns0:f>IF(AND(Bookings!G514="Approved",E514="Yes"),N514,0)</ns0:f>
        <ns0:v>0</ns0:v>
      </ns0:c>
      <ns0:c r="P514" s="0">
        <ns0:f>IF(AND(Bookings!G514="Approved",E514="Yes",L514=0,$B$6=0),H514,0)</ns0:f>
        <ns0:v>0</ns0:v>
      </ns0:c>
      <ns0:c r="Q514" s="0">
        <ns0:f>IF(AND(Bookings!G514="Approved",E514="Yes",L514=0,$B$6=0),I514,0)</ns0:f>
        <ns0:v>0</ns0:v>
      </ns0:c>
      <ns0:c r="R514" s="0">
        <ns0:f>IF(AND(Bookings!G514="Pending",E514="Yes"),N514,0)</ns0:f>
        <ns0:v>0</ns0:v>
      </ns0:c>
      <ns0:c r="S514" s="0">
        <ns0:f>IF(AND(Bookings!G514="Approved",E514="No"),N514,0)</ns0:f>
        <ns0:v>0</ns0:v>
      </ns0:c>
      <ns0:c r="T514" s="0">
        <ns0:f>IFERROR(MATCH(D514,Settings!$G$7:$G$11,0),0)</ns0:f>
        <ns0:v>0</ns0:v>
      </ns0:c>
      <ns0:c r="U514" s="0">
        <ns0:f>IF(N514&gt;0,T514+IF(Bookings!G514="Pending",10,0),0)</ns0:f>
        <ns0:v>0</ns0:v>
      </ns0:c>
      <ns0:c r="V514" s="0">
        <ns0:f>U514</ns0:f>
        <ns0:v>0</ns0:v>
      </ns0:c>
      <ns0:c r="W514" s="0" t="str">
        <ns0:f>IF(C514=0,"",INDEX($AP$11:$AP$60,C514))</ns0:f>
        <ns0:v/>
      </ns0:c>
    </ns0:row>
    <ns0:row r="515">
      <ns0:c r="A515" s="0">
        <ns0:f>IF(COUNTA(Bookings!A515:G515,Bookings!I515)=0,0,1)</ns0:f>
        <ns0:v>0</ns0:v>
      </ns0:c>
      <ns0:c r="B515" s="0" t="str">
        <ns0:f>IFERROR(TRIM(MID(Bookings!A515,FIND(" · ",Bookings!A515)+3,99)),"")</ns0:f>
        <ns0:v/>
      </ns0:c>
      <ns0:c r="C515" s="0">
        <ns0:f>IF(OR(B515="",LEN(B515)&gt;24,ISNUMBER(FIND(" ",B515)),ISNUMBER(FIND("*",B515)),ISNUMBER(FIND("?",B515)),ISNUMBER(FIND("~",B515))),0,IFERROR(MATCH(B515,Team!$A$11:$A$60,0),0))</ns0:f>
        <ns0:v>0</ns0:v>
      </ns0:c>
      <ns0:c r="D515" s="0" t="str">
        <ns0:f>IFERROR(IF(MID(Bookings!F515,LEN(Bookings!F515)-3,3)=" · ",RIGHT(Bookings!F515,1),""),"")</ns0:f>
        <ns0:v/>
      </ns0:c>
      <ns0:c r="E515" s="0" t="str">
        <ns0:f>IFERROR(INDEX(Settings!$H$7:$H$11,MATCH(D515,Settings!$G$7:$G$11,0)),"")</ns0:f>
        <ns0:v/>
      </ns0:c>
      <ns0:c r="F515" s="0" t="str">
        <ns0:f>IF(A515=0,"",IFERROR(IF(OR(B515="",C515=0),"CHECK employee selection",IF(INDEX(Team!$O$11:$O$60,C515)&lt;&gt;"OK","CHECK employee setup",IF(OR('_Dates'!J515=0,'_Dates'!T515=0),"CHECK date: use DD.MM.YYYY",IF('_Dates'!T515&lt;'_Dates'!J515,"CHECK end before start",IF(AND($B$6=0,OR('_Dates'!J515&lt;Settings!$B$7,'_Dates'!T515&gt;Settings!$B$8)),"CHECK split across leave years",IF(OR(NOT(OR('_Dates'!U515="Full day",'_Dates'!U515="AM",'_Dates'!U515="PM")),NOT(OR('_Dates'!V515="Full day",'_Dates'!V515="AM",'_Dates'!V515="PM"))),"CHECK Full day / AM / PM",IF(AND('_Dates'!J515='_Dates'!T515,'_Dates'!U515&lt;&gt;"Full day",'_Dates'!V515&lt;&gt;"Full day",'_Dates'!U515&lt;&gt;'_Dates'!V515),"CHECK same-day portions disagree",IF(AND($B$6=0,OR(AND('_Dates'!U515&lt;&gt;"Full day",'_Dates'!AA515=0),AND('_Dates'!V515&lt;&gt;"Full day",'_Dates'!AB515=0))),"CHECK half-day on non-working date",IF(COUNTIF(Settings!$G$7:$G$11,D515)&lt;&gt;1,"CHECK leave type",IF(AND(Bookings!G515&lt;&gt;"Approved",Bookings!G515&lt;&gt;"Pending",Bookings!G515&lt;&gt;"Cancelled"),"CHECK status","OK")))))))))),"CHECK input"))</ns0:f>
        <ns0:v/>
      </ns0:c>
      <ns0:c r="G515" s="0">
        <ns0:f>IF(OR(F515&lt;&gt;"OK",$B$6&gt;0),0,0.5*(IF(('_Dates'!X515)&lt;('_Dates'!W515),0,INT((('_Dates'!X515)-('_Dates'!W515)+1)/7)*LEN(SUBSTITUTE(W515,"O",""))+LEN(SUBSTITUTE(MID(W515&amp;W515,WEEKDAY(('_Dates'!W515),2),MOD((('_Dates'!X515)-('_Dates'!W515)+1),7)),"O",""))-COUNTIFS(INDEX(AllClosureRows,C515,0),"&gt;="&amp;('_Dates'!W515),INDEX(AllClosureRows,C515,0),"&lt;="&amp;('_Dates'!X515)))+IF(('_Dates'!Z515)&lt;('_Dates'!Y515),0,INT((('_Dates'!Z515)-('_Dates'!Y515)+1)/7)*LEN(SUBSTITUTE(W515,"O",""))+LEN(SUBSTITUTE(MID(W515&amp;W515,WEEKDAY(('_Dates'!Y515),2),MOD((('_Dates'!Z515)-('_Dates'!Y515)+1),7)),"O",""))-COUNTIFS(INDEX(AllClosureRows,C515,0),"&gt;="&amp;('_Dates'!Y515),INDEX(AllClosureRows,C515,0),"&lt;="&amp;('_Dates'!Z515)))))</ns0:f>
        <ns0:v>0</ns0:v>
      </ns0:c>
      <ns0:c r="H515" s="0">
        <ns0:f>IF(OR(F515&lt;&gt;"OK",$B$6&gt;0),0,0.5*(IF((MIN('_Dates'!X515,Settings!$B$9))&lt;('_Dates'!W515),0,INT(((MIN('_Dates'!X515,Settings!$B$9))-('_Dates'!W515)+1)/7)*LEN(SUBSTITUTE(W515,"O",""))+LEN(SUBSTITUTE(MID(W515&amp;W515,WEEKDAY(('_Dates'!W515),2),MOD(((MIN('_Dates'!X515,Settings!$B$9))-('_Dates'!W515)+1),7)),"O",""))-COUNTIFS(INDEX(AllClosureRows,C515,0),"&gt;="&amp;('_Dates'!W515),INDEX(AllClosureRows,C515,0),"&lt;="&amp;(MIN('_Dates'!X515,Settings!$B$9))))+IF((MIN('_Dates'!Z515,Settings!$B$9))&lt;('_Dates'!Y515),0,INT(((MIN('_Dates'!Z515,Settings!$B$9))-('_Dates'!Y515)+1)/7)*LEN(SUBSTITUTE(W515,"O",""))+LEN(SUBSTITUTE(MID(W515&amp;W515,WEEKDAY(('_Dates'!Y515),2),MOD(((MIN('_Dates'!Z515,Settings!$B$9))-('_Dates'!Y515)+1),7)),"O",""))-COUNTIFS(INDEX(AllClosureRows,C515,0),"&gt;="&amp;('_Dates'!Y515),INDEX(AllClosureRows,C515,0),"&lt;="&amp;(MIN('_Dates'!Z515,Settings!$B$9))))))</ns0:f>
        <ns0:v>0</ns0:v>
      </ns0:c>
      <ns0:c r="I515" s="0">
        <ns0:f>MAX(0,G515-H515)</ns0:f>
        <ns0:v>0</ns0:v>
      </ns0:c>
      <ns0:c r="J515" s="0">
        <ns0:f>IF(OR(A515=0,F515&lt;&gt;"OK",Bookings!G515="Cancelled",$B$6&gt;0),0,IF('_Dates'!AC515=1,MAX(0,COUNTIFS(rngEngine_B,B515,rngAMStart,"&lt;="&amp;'_Dates'!X515,rngAMEnd,"&gt;="&amp;'_Dates'!W515,rngAMActive,1,rngEngine_F,"OK",rngBookings_F,"&lt;&gt;Cancelled")-1),0)+IF('_Dates'!AD515=1,MAX(0,COUNTIFS(rngEngine_B,B515,rngPMStart,"&lt;="&amp;'_Dates'!Z515,rngPMEnd,"&gt;="&amp;'_Dates'!Y515,rngPMActive,1,rngEngine_F,"OK",rngBookings_F,"&lt;&gt;Cancelled")-1),0))</ns0:f>
        <ns0:v>0</ns0:v>
      </ns0:c>
      <ns0:c r="K515" s="0" t="str">
        <ns0:f>IF(A515=0,"",IF(F515&lt;&gt;"OK",F515,IF(J515&gt;0,"CHECK overlapping entry",IF(AND($B$6=0,G515&lt;=0,Bookings!G515&lt;&gt;"Cancelled"),"CHECK no working days",IF(Bookings!G515="Cancelled","Cancelled","OK")))))</ns0:f>
        <ns0:v/>
      </ns0:c>
      <ns0:c r="L515" s="0">
        <ns0:f>IF(LEFT(K515,5)="CHECK",1,0)</ns0:f>
        <ns0:v>0</ns0:v>
      </ns0:c>
      <ns0:c r="M515" s="0">
        <ns0:f>IF(AND(L515=1,OR(C515=0,IFERROR(INDEX($X$11:$X$60,C515),0)=0)),1,0)</ns0:f>
        <ns0:v>0</ns0:v>
      </ns0:c>
      <ns0:c r="N515" s="0">
        <ns0:f>IF(OR(A515=0,L515&gt;0,$B$6&gt;0,Bookings!G515="Cancelled"),0,G515)</ns0:f>
        <ns0:v>0</ns0:v>
      </ns0:c>
      <ns0:c r="O515" s="0">
        <ns0:f>IF(AND(Bookings!G515="Approved",E515="Yes"),N515,0)</ns0:f>
        <ns0:v>0</ns0:v>
      </ns0:c>
      <ns0:c r="P515" s="0">
        <ns0:f>IF(AND(Bookings!G515="Approved",E515="Yes",L515=0,$B$6=0),H515,0)</ns0:f>
        <ns0:v>0</ns0:v>
      </ns0:c>
      <ns0:c r="Q515" s="0">
        <ns0:f>IF(AND(Bookings!G515="Approved",E515="Yes",L515=0,$B$6=0),I515,0)</ns0:f>
        <ns0:v>0</ns0:v>
      </ns0:c>
      <ns0:c r="R515" s="0">
        <ns0:f>IF(AND(Bookings!G515="Pending",E515="Yes"),N515,0)</ns0:f>
        <ns0:v>0</ns0:v>
      </ns0:c>
      <ns0:c r="S515" s="0">
        <ns0:f>IF(AND(Bookings!G515="Approved",E515="No"),N515,0)</ns0:f>
        <ns0:v>0</ns0:v>
      </ns0:c>
      <ns0:c r="T515" s="0">
        <ns0:f>IFERROR(MATCH(D515,Settings!$G$7:$G$11,0),0)</ns0:f>
        <ns0:v>0</ns0:v>
      </ns0:c>
      <ns0:c r="U515" s="0">
        <ns0:f>IF(N515&gt;0,T515+IF(Bookings!G515="Pending",10,0),0)</ns0:f>
        <ns0:v>0</ns0:v>
      </ns0:c>
      <ns0:c r="V515" s="0">
        <ns0:f>U515</ns0:f>
        <ns0:v>0</ns0:v>
      </ns0:c>
      <ns0:c r="W515" s="0" t="str">
        <ns0:f>IF(C515=0,"",INDEX($AP$11:$AP$60,C515))</ns0:f>
        <ns0:v/>
      </ns0:c>
    </ns0:row>
    <ns0:row r="516">
      <ns0:c r="A516" s="0">
        <ns0:f>IF(COUNTA(Bookings!A516:G516,Bookings!I516)=0,0,1)</ns0:f>
        <ns0:v>0</ns0:v>
      </ns0:c>
      <ns0:c r="B516" s="0" t="str">
        <ns0:f>IFERROR(TRIM(MID(Bookings!A516,FIND(" · ",Bookings!A516)+3,99)),"")</ns0:f>
        <ns0:v/>
      </ns0:c>
      <ns0:c r="C516" s="0">
        <ns0:f>IF(OR(B516="",LEN(B516)&gt;24,ISNUMBER(FIND(" ",B516)),ISNUMBER(FIND("*",B516)),ISNUMBER(FIND("?",B516)),ISNUMBER(FIND("~",B516))),0,IFERROR(MATCH(B516,Team!$A$11:$A$60,0),0))</ns0:f>
        <ns0:v>0</ns0:v>
      </ns0:c>
      <ns0:c r="D516" s="0" t="str">
        <ns0:f>IFERROR(IF(MID(Bookings!F516,LEN(Bookings!F516)-3,3)=" · ",RIGHT(Bookings!F516,1),""),"")</ns0:f>
        <ns0:v/>
      </ns0:c>
      <ns0:c r="E516" s="0" t="str">
        <ns0:f>IFERROR(INDEX(Settings!$H$7:$H$11,MATCH(D516,Settings!$G$7:$G$11,0)),"")</ns0:f>
        <ns0:v/>
      </ns0:c>
      <ns0:c r="F516" s="0" t="str">
        <ns0:f>IF(A516=0,"",IFERROR(IF(OR(B516="",C516=0),"CHECK employee selection",IF(INDEX(Team!$O$11:$O$60,C516)&lt;&gt;"OK","CHECK employee setup",IF(OR('_Dates'!J516=0,'_Dates'!T516=0),"CHECK date: use DD.MM.YYYY",IF('_Dates'!T516&lt;'_Dates'!J516,"CHECK end before start",IF(AND($B$6=0,OR('_Dates'!J516&lt;Settings!$B$7,'_Dates'!T516&gt;Settings!$B$8)),"CHECK split across leave years",IF(OR(NOT(OR('_Dates'!U516="Full day",'_Dates'!U516="AM",'_Dates'!U516="PM")),NOT(OR('_Dates'!V516="Full day",'_Dates'!V516="AM",'_Dates'!V516="PM"))),"CHECK Full day / AM / PM",IF(AND('_Dates'!J516='_Dates'!T516,'_Dates'!U516&lt;&gt;"Full day",'_Dates'!V516&lt;&gt;"Full day",'_Dates'!U516&lt;&gt;'_Dates'!V516),"CHECK same-day portions disagree",IF(AND($B$6=0,OR(AND('_Dates'!U516&lt;&gt;"Full day",'_Dates'!AA516=0),AND('_Dates'!V516&lt;&gt;"Full day",'_Dates'!AB516=0))),"CHECK half-day on non-working date",IF(COUNTIF(Settings!$G$7:$G$11,D516)&lt;&gt;1,"CHECK leave type",IF(AND(Bookings!G516&lt;&gt;"Approved",Bookings!G516&lt;&gt;"Pending",Bookings!G516&lt;&gt;"Cancelled"),"CHECK status","OK")))))))))),"CHECK input"))</ns0:f>
        <ns0:v/>
      </ns0:c>
      <ns0:c r="G516" s="0">
        <ns0:f>IF(OR(F516&lt;&gt;"OK",$B$6&gt;0),0,0.5*(IF(('_Dates'!X516)&lt;('_Dates'!W516),0,INT((('_Dates'!X516)-('_Dates'!W516)+1)/7)*LEN(SUBSTITUTE(W516,"O",""))+LEN(SUBSTITUTE(MID(W516&amp;W516,WEEKDAY(('_Dates'!W516),2),MOD((('_Dates'!X516)-('_Dates'!W516)+1),7)),"O",""))-COUNTIFS(INDEX(AllClosureRows,C516,0),"&gt;="&amp;('_Dates'!W516),INDEX(AllClosureRows,C516,0),"&lt;="&amp;('_Dates'!X516)))+IF(('_Dates'!Z516)&lt;('_Dates'!Y516),0,INT((('_Dates'!Z516)-('_Dates'!Y516)+1)/7)*LEN(SUBSTITUTE(W516,"O",""))+LEN(SUBSTITUTE(MID(W516&amp;W516,WEEKDAY(('_Dates'!Y516),2),MOD((('_Dates'!Z516)-('_Dates'!Y516)+1),7)),"O",""))-COUNTIFS(INDEX(AllClosureRows,C516,0),"&gt;="&amp;('_Dates'!Y516),INDEX(AllClosureRows,C516,0),"&lt;="&amp;('_Dates'!Z516)))))</ns0:f>
        <ns0:v>0</ns0:v>
      </ns0:c>
      <ns0:c r="H516" s="0">
        <ns0:f>IF(OR(F516&lt;&gt;"OK",$B$6&gt;0),0,0.5*(IF((MIN('_Dates'!X516,Settings!$B$9))&lt;('_Dates'!W516),0,INT(((MIN('_Dates'!X516,Settings!$B$9))-('_Dates'!W516)+1)/7)*LEN(SUBSTITUTE(W516,"O",""))+LEN(SUBSTITUTE(MID(W516&amp;W516,WEEKDAY(('_Dates'!W516),2),MOD(((MIN('_Dates'!X516,Settings!$B$9))-('_Dates'!W516)+1),7)),"O",""))-COUNTIFS(INDEX(AllClosureRows,C516,0),"&gt;="&amp;('_Dates'!W516),INDEX(AllClosureRows,C516,0),"&lt;="&amp;(MIN('_Dates'!X516,Settings!$B$9))))+IF((MIN('_Dates'!Z516,Settings!$B$9))&lt;('_Dates'!Y516),0,INT(((MIN('_Dates'!Z516,Settings!$B$9))-('_Dates'!Y516)+1)/7)*LEN(SUBSTITUTE(W516,"O",""))+LEN(SUBSTITUTE(MID(W516&amp;W516,WEEKDAY(('_Dates'!Y516),2),MOD(((MIN('_Dates'!Z516,Settings!$B$9))-('_Dates'!Y516)+1),7)),"O",""))-COUNTIFS(INDEX(AllClosureRows,C516,0),"&gt;="&amp;('_Dates'!Y516),INDEX(AllClosureRows,C516,0),"&lt;="&amp;(MIN('_Dates'!Z516,Settings!$B$9))))))</ns0:f>
        <ns0:v>0</ns0:v>
      </ns0:c>
      <ns0:c r="I516" s="0">
        <ns0:f>MAX(0,G516-H516)</ns0:f>
        <ns0:v>0</ns0:v>
      </ns0:c>
      <ns0:c r="J516" s="0">
        <ns0:f>IF(OR(A516=0,F516&lt;&gt;"OK",Bookings!G516="Cancelled",$B$6&gt;0),0,IF('_Dates'!AC516=1,MAX(0,COUNTIFS(rngEngine_B,B516,rngAMStart,"&lt;="&amp;'_Dates'!X516,rngAMEnd,"&gt;="&amp;'_Dates'!W516,rngAMActive,1,rngEngine_F,"OK",rngBookings_F,"&lt;&gt;Cancelled")-1),0)+IF('_Dates'!AD516=1,MAX(0,COUNTIFS(rngEngine_B,B516,rngPMStart,"&lt;="&amp;'_Dates'!Z516,rngPMEnd,"&gt;="&amp;'_Dates'!Y516,rngPMActive,1,rngEngine_F,"OK",rngBookings_F,"&lt;&gt;Cancelled")-1),0))</ns0:f>
        <ns0:v>0</ns0:v>
      </ns0:c>
      <ns0:c r="K516" s="0" t="str">
        <ns0:f>IF(A516=0,"",IF(F516&lt;&gt;"OK",F516,IF(J516&gt;0,"CHECK overlapping entry",IF(AND($B$6=0,G516&lt;=0,Bookings!G516&lt;&gt;"Cancelled"),"CHECK no working days",IF(Bookings!G516="Cancelled","Cancelled","OK")))))</ns0:f>
        <ns0:v/>
      </ns0:c>
      <ns0:c r="L516" s="0">
        <ns0:f>IF(LEFT(K516,5)="CHECK",1,0)</ns0:f>
        <ns0:v>0</ns0:v>
      </ns0:c>
      <ns0:c r="M516" s="0">
        <ns0:f>IF(AND(L516=1,OR(C516=0,IFERROR(INDEX($X$11:$X$60,C516),0)=0)),1,0)</ns0:f>
        <ns0:v>0</ns0:v>
      </ns0:c>
      <ns0:c r="N516" s="0">
        <ns0:f>IF(OR(A516=0,L516&gt;0,$B$6&gt;0,Bookings!G516="Cancelled"),0,G516)</ns0:f>
        <ns0:v>0</ns0:v>
      </ns0:c>
      <ns0:c r="O516" s="0">
        <ns0:f>IF(AND(Bookings!G516="Approved",E516="Yes"),N516,0)</ns0:f>
        <ns0:v>0</ns0:v>
      </ns0:c>
      <ns0:c r="P516" s="0">
        <ns0:f>IF(AND(Bookings!G516="Approved",E516="Yes",L516=0,$B$6=0),H516,0)</ns0:f>
        <ns0:v>0</ns0:v>
      </ns0:c>
      <ns0:c r="Q516" s="0">
        <ns0:f>IF(AND(Bookings!G516="Approved",E516="Yes",L516=0,$B$6=0),I516,0)</ns0:f>
        <ns0:v>0</ns0:v>
      </ns0:c>
      <ns0:c r="R516" s="0">
        <ns0:f>IF(AND(Bookings!G516="Pending",E516="Yes"),N516,0)</ns0:f>
        <ns0:v>0</ns0:v>
      </ns0:c>
      <ns0:c r="S516" s="0">
        <ns0:f>IF(AND(Bookings!G516="Approved",E516="No"),N516,0)</ns0:f>
        <ns0:v>0</ns0:v>
      </ns0:c>
      <ns0:c r="T516" s="0">
        <ns0:f>IFERROR(MATCH(D516,Settings!$G$7:$G$11,0),0)</ns0:f>
        <ns0:v>0</ns0:v>
      </ns0:c>
      <ns0:c r="U516" s="0">
        <ns0:f>IF(N516&gt;0,T516+IF(Bookings!G516="Pending",10,0),0)</ns0:f>
        <ns0:v>0</ns0:v>
      </ns0:c>
      <ns0:c r="V516" s="0">
        <ns0:f>U516</ns0:f>
        <ns0:v>0</ns0:v>
      </ns0:c>
      <ns0:c r="W516" s="0" t="str">
        <ns0:f>IF(C516=0,"",INDEX($AP$11:$AP$60,C516))</ns0:f>
        <ns0:v/>
      </ns0:c>
    </ns0:row>
    <ns0:row r="517">
      <ns0:c r="A517" s="0">
        <ns0:f>IF(COUNTA(Bookings!A517:G517,Bookings!I517)=0,0,1)</ns0:f>
        <ns0:v>0</ns0:v>
      </ns0:c>
      <ns0:c r="B517" s="0" t="str">
        <ns0:f>IFERROR(TRIM(MID(Bookings!A517,FIND(" · ",Bookings!A517)+3,99)),"")</ns0:f>
        <ns0:v/>
      </ns0:c>
      <ns0:c r="C517" s="0">
        <ns0:f>IF(OR(B517="",LEN(B517)&gt;24,ISNUMBER(FIND(" ",B517)),ISNUMBER(FIND("*",B517)),ISNUMBER(FIND("?",B517)),ISNUMBER(FIND("~",B517))),0,IFERROR(MATCH(B517,Team!$A$11:$A$60,0),0))</ns0:f>
        <ns0:v>0</ns0:v>
      </ns0:c>
      <ns0:c r="D517" s="0" t="str">
        <ns0:f>IFERROR(IF(MID(Bookings!F517,LEN(Bookings!F517)-3,3)=" · ",RIGHT(Bookings!F517,1),""),"")</ns0:f>
        <ns0:v/>
      </ns0:c>
      <ns0:c r="E517" s="0" t="str">
        <ns0:f>IFERROR(INDEX(Settings!$H$7:$H$11,MATCH(D517,Settings!$G$7:$G$11,0)),"")</ns0:f>
        <ns0:v/>
      </ns0:c>
      <ns0:c r="F517" s="0" t="str">
        <ns0:f>IF(A517=0,"",IFERROR(IF(OR(B517="",C517=0),"CHECK employee selection",IF(INDEX(Team!$O$11:$O$60,C517)&lt;&gt;"OK","CHECK employee setup",IF(OR('_Dates'!J517=0,'_Dates'!T517=0),"CHECK date: use DD.MM.YYYY",IF('_Dates'!T517&lt;'_Dates'!J517,"CHECK end before start",IF(AND($B$6=0,OR('_Dates'!J517&lt;Settings!$B$7,'_Dates'!T517&gt;Settings!$B$8)),"CHECK split across leave years",IF(OR(NOT(OR('_Dates'!U517="Full day",'_Dates'!U517="AM",'_Dates'!U517="PM")),NOT(OR('_Dates'!V517="Full day",'_Dates'!V517="AM",'_Dates'!V517="PM"))),"CHECK Full day / AM / PM",IF(AND('_Dates'!J517='_Dates'!T517,'_Dates'!U517&lt;&gt;"Full day",'_Dates'!V517&lt;&gt;"Full day",'_Dates'!U517&lt;&gt;'_Dates'!V517),"CHECK same-day portions disagree",IF(AND($B$6=0,OR(AND('_Dates'!U517&lt;&gt;"Full day",'_Dates'!AA517=0),AND('_Dates'!V517&lt;&gt;"Full day",'_Dates'!AB517=0))),"CHECK half-day on non-working date",IF(COUNTIF(Settings!$G$7:$G$11,D517)&lt;&gt;1,"CHECK leave type",IF(AND(Bookings!G517&lt;&gt;"Approved",Bookings!G517&lt;&gt;"Pending",Bookings!G517&lt;&gt;"Cancelled"),"CHECK status","OK")))))))))),"CHECK input"))</ns0:f>
        <ns0:v/>
      </ns0:c>
      <ns0:c r="G517" s="0">
        <ns0:f>IF(OR(F517&lt;&gt;"OK",$B$6&gt;0),0,0.5*(IF(('_Dates'!X517)&lt;('_Dates'!W517),0,INT((('_Dates'!X517)-('_Dates'!W517)+1)/7)*LEN(SUBSTITUTE(W517,"O",""))+LEN(SUBSTITUTE(MID(W517&amp;W517,WEEKDAY(('_Dates'!W517),2),MOD((('_Dates'!X517)-('_Dates'!W517)+1),7)),"O",""))-COUNTIFS(INDEX(AllClosureRows,C517,0),"&gt;="&amp;('_Dates'!W517),INDEX(AllClosureRows,C517,0),"&lt;="&amp;('_Dates'!X517)))+IF(('_Dates'!Z517)&lt;('_Dates'!Y517),0,INT((('_Dates'!Z517)-('_Dates'!Y517)+1)/7)*LEN(SUBSTITUTE(W517,"O",""))+LEN(SUBSTITUTE(MID(W517&amp;W517,WEEKDAY(('_Dates'!Y517),2),MOD((('_Dates'!Z517)-('_Dates'!Y517)+1),7)),"O",""))-COUNTIFS(INDEX(AllClosureRows,C517,0),"&gt;="&amp;('_Dates'!Y517),INDEX(AllClosureRows,C517,0),"&lt;="&amp;('_Dates'!Z517)))))</ns0:f>
        <ns0:v>0</ns0:v>
      </ns0:c>
      <ns0:c r="H517" s="0">
        <ns0:f>IF(OR(F517&lt;&gt;"OK",$B$6&gt;0),0,0.5*(IF((MIN('_Dates'!X517,Settings!$B$9))&lt;('_Dates'!W517),0,INT(((MIN('_Dates'!X517,Settings!$B$9))-('_Dates'!W517)+1)/7)*LEN(SUBSTITUTE(W517,"O",""))+LEN(SUBSTITUTE(MID(W517&amp;W517,WEEKDAY(('_Dates'!W517),2),MOD(((MIN('_Dates'!X517,Settings!$B$9))-('_Dates'!W517)+1),7)),"O",""))-COUNTIFS(INDEX(AllClosureRows,C517,0),"&gt;="&amp;('_Dates'!W517),INDEX(AllClosureRows,C517,0),"&lt;="&amp;(MIN('_Dates'!X517,Settings!$B$9))))+IF((MIN('_Dates'!Z517,Settings!$B$9))&lt;('_Dates'!Y517),0,INT(((MIN('_Dates'!Z517,Settings!$B$9))-('_Dates'!Y517)+1)/7)*LEN(SUBSTITUTE(W517,"O",""))+LEN(SUBSTITUTE(MID(W517&amp;W517,WEEKDAY(('_Dates'!Y517),2),MOD(((MIN('_Dates'!Z517,Settings!$B$9))-('_Dates'!Y517)+1),7)),"O",""))-COUNTIFS(INDEX(AllClosureRows,C517,0),"&gt;="&amp;('_Dates'!Y517),INDEX(AllClosureRows,C517,0),"&lt;="&amp;(MIN('_Dates'!Z517,Settings!$B$9))))))</ns0:f>
        <ns0:v>0</ns0:v>
      </ns0:c>
      <ns0:c r="I517" s="0">
        <ns0:f>MAX(0,G517-H517)</ns0:f>
        <ns0:v>0</ns0:v>
      </ns0:c>
      <ns0:c r="J517" s="0">
        <ns0:f>IF(OR(A517=0,F517&lt;&gt;"OK",Bookings!G517="Cancelled",$B$6&gt;0),0,IF('_Dates'!AC517=1,MAX(0,COUNTIFS(rngEngine_B,B517,rngAMStart,"&lt;="&amp;'_Dates'!X517,rngAMEnd,"&gt;="&amp;'_Dates'!W517,rngAMActive,1,rngEngine_F,"OK",rngBookings_F,"&lt;&gt;Cancelled")-1),0)+IF('_Dates'!AD517=1,MAX(0,COUNTIFS(rngEngine_B,B517,rngPMStart,"&lt;="&amp;'_Dates'!Z517,rngPMEnd,"&gt;="&amp;'_Dates'!Y517,rngPMActive,1,rngEngine_F,"OK",rngBookings_F,"&lt;&gt;Cancelled")-1),0))</ns0:f>
        <ns0:v>0</ns0:v>
      </ns0:c>
      <ns0:c r="K517" s="0" t="str">
        <ns0:f>IF(A517=0,"",IF(F517&lt;&gt;"OK",F517,IF(J517&gt;0,"CHECK overlapping entry",IF(AND($B$6=0,G517&lt;=0,Bookings!G517&lt;&gt;"Cancelled"),"CHECK no working days",IF(Bookings!G517="Cancelled","Cancelled","OK")))))</ns0:f>
        <ns0:v/>
      </ns0:c>
      <ns0:c r="L517" s="0">
        <ns0:f>IF(LEFT(K517,5)="CHECK",1,0)</ns0:f>
        <ns0:v>0</ns0:v>
      </ns0:c>
      <ns0:c r="M517" s="0">
        <ns0:f>IF(AND(L517=1,OR(C517=0,IFERROR(INDEX($X$11:$X$60,C517),0)=0)),1,0)</ns0:f>
        <ns0:v>0</ns0:v>
      </ns0:c>
      <ns0:c r="N517" s="0">
        <ns0:f>IF(OR(A517=0,L517&gt;0,$B$6&gt;0,Bookings!G517="Cancelled"),0,G517)</ns0:f>
        <ns0:v>0</ns0:v>
      </ns0:c>
      <ns0:c r="O517" s="0">
        <ns0:f>IF(AND(Bookings!G517="Approved",E517="Yes"),N517,0)</ns0:f>
        <ns0:v>0</ns0:v>
      </ns0:c>
      <ns0:c r="P517" s="0">
        <ns0:f>IF(AND(Bookings!G517="Approved",E517="Yes",L517=0,$B$6=0),H517,0)</ns0:f>
        <ns0:v>0</ns0:v>
      </ns0:c>
      <ns0:c r="Q517" s="0">
        <ns0:f>IF(AND(Bookings!G517="Approved",E517="Yes",L517=0,$B$6=0),I517,0)</ns0:f>
        <ns0:v>0</ns0:v>
      </ns0:c>
      <ns0:c r="R517" s="0">
        <ns0:f>IF(AND(Bookings!G517="Pending",E517="Yes"),N517,0)</ns0:f>
        <ns0:v>0</ns0:v>
      </ns0:c>
      <ns0:c r="S517" s="0">
        <ns0:f>IF(AND(Bookings!G517="Approved",E517="No"),N517,0)</ns0:f>
        <ns0:v>0</ns0:v>
      </ns0:c>
      <ns0:c r="T517" s="0">
        <ns0:f>IFERROR(MATCH(D517,Settings!$G$7:$G$11,0),0)</ns0:f>
        <ns0:v>0</ns0:v>
      </ns0:c>
      <ns0:c r="U517" s="0">
        <ns0:f>IF(N517&gt;0,T517+IF(Bookings!G517="Pending",10,0),0)</ns0:f>
        <ns0:v>0</ns0:v>
      </ns0:c>
      <ns0:c r="V517" s="0">
        <ns0:f>U517</ns0:f>
        <ns0:v>0</ns0:v>
      </ns0:c>
      <ns0:c r="W517" s="0" t="str">
        <ns0:f>IF(C517=0,"",INDEX($AP$11:$AP$60,C517))</ns0:f>
        <ns0:v/>
      </ns0:c>
    </ns0:row>
    <ns0:row r="518">
      <ns0:c r="A518" s="0">
        <ns0:f>IF(COUNTA(Bookings!A518:G518,Bookings!I518)=0,0,1)</ns0:f>
        <ns0:v>0</ns0:v>
      </ns0:c>
      <ns0:c r="B518" s="0" t="str">
        <ns0:f>IFERROR(TRIM(MID(Bookings!A518,FIND(" · ",Bookings!A518)+3,99)),"")</ns0:f>
        <ns0:v/>
      </ns0:c>
      <ns0:c r="C518" s="0">
        <ns0:f>IF(OR(B518="",LEN(B518)&gt;24,ISNUMBER(FIND(" ",B518)),ISNUMBER(FIND("*",B518)),ISNUMBER(FIND("?",B518)),ISNUMBER(FIND("~",B518))),0,IFERROR(MATCH(B518,Team!$A$11:$A$60,0),0))</ns0:f>
        <ns0:v>0</ns0:v>
      </ns0:c>
      <ns0:c r="D518" s="0" t="str">
        <ns0:f>IFERROR(IF(MID(Bookings!F518,LEN(Bookings!F518)-3,3)=" · ",RIGHT(Bookings!F518,1),""),"")</ns0:f>
        <ns0:v/>
      </ns0:c>
      <ns0:c r="E518" s="0" t="str">
        <ns0:f>IFERROR(INDEX(Settings!$H$7:$H$11,MATCH(D518,Settings!$G$7:$G$11,0)),"")</ns0:f>
        <ns0:v/>
      </ns0:c>
      <ns0:c r="F518" s="0" t="str">
        <ns0:f>IF(A518=0,"",IFERROR(IF(OR(B518="",C518=0),"CHECK employee selection",IF(INDEX(Team!$O$11:$O$60,C518)&lt;&gt;"OK","CHECK employee setup",IF(OR('_Dates'!J518=0,'_Dates'!T518=0),"CHECK date: use DD.MM.YYYY",IF('_Dates'!T518&lt;'_Dates'!J518,"CHECK end before start",IF(AND($B$6=0,OR('_Dates'!J518&lt;Settings!$B$7,'_Dates'!T518&gt;Settings!$B$8)),"CHECK split across leave years",IF(OR(NOT(OR('_Dates'!U518="Full day",'_Dates'!U518="AM",'_Dates'!U518="PM")),NOT(OR('_Dates'!V518="Full day",'_Dates'!V518="AM",'_Dates'!V518="PM"))),"CHECK Full day / AM / PM",IF(AND('_Dates'!J518='_Dates'!T518,'_Dates'!U518&lt;&gt;"Full day",'_Dates'!V518&lt;&gt;"Full day",'_Dates'!U518&lt;&gt;'_Dates'!V518),"CHECK same-day portions disagree",IF(AND($B$6=0,OR(AND('_Dates'!U518&lt;&gt;"Full day",'_Dates'!AA518=0),AND('_Dates'!V518&lt;&gt;"Full day",'_Dates'!AB518=0))),"CHECK half-day on non-working date",IF(COUNTIF(Settings!$G$7:$G$11,D518)&lt;&gt;1,"CHECK leave type",IF(AND(Bookings!G518&lt;&gt;"Approved",Bookings!G518&lt;&gt;"Pending",Bookings!G518&lt;&gt;"Cancelled"),"CHECK status","OK")))))))))),"CHECK input"))</ns0:f>
        <ns0:v/>
      </ns0:c>
      <ns0:c r="G518" s="0">
        <ns0:f>IF(OR(F518&lt;&gt;"OK",$B$6&gt;0),0,0.5*(IF(('_Dates'!X518)&lt;('_Dates'!W518),0,INT((('_Dates'!X518)-('_Dates'!W518)+1)/7)*LEN(SUBSTITUTE(W518,"O",""))+LEN(SUBSTITUTE(MID(W518&amp;W518,WEEKDAY(('_Dates'!W518),2),MOD((('_Dates'!X518)-('_Dates'!W518)+1),7)),"O",""))-COUNTIFS(INDEX(AllClosureRows,C518,0),"&gt;="&amp;('_Dates'!W518),INDEX(AllClosureRows,C518,0),"&lt;="&amp;('_Dates'!X518)))+IF(('_Dates'!Z518)&lt;('_Dates'!Y518),0,INT((('_Dates'!Z518)-('_Dates'!Y518)+1)/7)*LEN(SUBSTITUTE(W518,"O",""))+LEN(SUBSTITUTE(MID(W518&amp;W518,WEEKDAY(('_Dates'!Y518),2),MOD((('_Dates'!Z518)-('_Dates'!Y518)+1),7)),"O",""))-COUNTIFS(INDEX(AllClosureRows,C518,0),"&gt;="&amp;('_Dates'!Y518),INDEX(AllClosureRows,C518,0),"&lt;="&amp;('_Dates'!Z518)))))</ns0:f>
        <ns0:v>0</ns0:v>
      </ns0:c>
      <ns0:c r="H518" s="0">
        <ns0:f>IF(OR(F518&lt;&gt;"OK",$B$6&gt;0),0,0.5*(IF((MIN('_Dates'!X518,Settings!$B$9))&lt;('_Dates'!W518),0,INT(((MIN('_Dates'!X518,Settings!$B$9))-('_Dates'!W518)+1)/7)*LEN(SUBSTITUTE(W518,"O",""))+LEN(SUBSTITUTE(MID(W518&amp;W518,WEEKDAY(('_Dates'!W518),2),MOD(((MIN('_Dates'!X518,Settings!$B$9))-('_Dates'!W518)+1),7)),"O",""))-COUNTIFS(INDEX(AllClosureRows,C518,0),"&gt;="&amp;('_Dates'!W518),INDEX(AllClosureRows,C518,0),"&lt;="&amp;(MIN('_Dates'!X518,Settings!$B$9))))+IF((MIN('_Dates'!Z518,Settings!$B$9))&lt;('_Dates'!Y518),0,INT(((MIN('_Dates'!Z518,Settings!$B$9))-('_Dates'!Y518)+1)/7)*LEN(SUBSTITUTE(W518,"O",""))+LEN(SUBSTITUTE(MID(W518&amp;W518,WEEKDAY(('_Dates'!Y518),2),MOD(((MIN('_Dates'!Z518,Settings!$B$9))-('_Dates'!Y518)+1),7)),"O",""))-COUNTIFS(INDEX(AllClosureRows,C518,0),"&gt;="&amp;('_Dates'!Y518),INDEX(AllClosureRows,C518,0),"&lt;="&amp;(MIN('_Dates'!Z518,Settings!$B$9))))))</ns0:f>
        <ns0:v>0</ns0:v>
      </ns0:c>
      <ns0:c r="I518" s="0">
        <ns0:f>MAX(0,G518-H518)</ns0:f>
        <ns0:v>0</ns0:v>
      </ns0:c>
      <ns0:c r="J518" s="0">
        <ns0:f>IF(OR(A518=0,F518&lt;&gt;"OK",Bookings!G518="Cancelled",$B$6&gt;0),0,IF('_Dates'!AC518=1,MAX(0,COUNTIFS(rngEngine_B,B518,rngAMStart,"&lt;="&amp;'_Dates'!X518,rngAMEnd,"&gt;="&amp;'_Dates'!W518,rngAMActive,1,rngEngine_F,"OK",rngBookings_F,"&lt;&gt;Cancelled")-1),0)+IF('_Dates'!AD518=1,MAX(0,COUNTIFS(rngEngine_B,B518,rngPMStart,"&lt;="&amp;'_Dates'!Z518,rngPMEnd,"&gt;="&amp;'_Dates'!Y518,rngPMActive,1,rngEngine_F,"OK",rngBookings_F,"&lt;&gt;Cancelled")-1),0))</ns0:f>
        <ns0:v>0</ns0:v>
      </ns0:c>
      <ns0:c r="K518" s="0" t="str">
        <ns0:f>IF(A518=0,"",IF(F518&lt;&gt;"OK",F518,IF(J518&gt;0,"CHECK overlapping entry",IF(AND($B$6=0,G518&lt;=0,Bookings!G518&lt;&gt;"Cancelled"),"CHECK no working days",IF(Bookings!G518="Cancelled","Cancelled","OK")))))</ns0:f>
        <ns0:v/>
      </ns0:c>
      <ns0:c r="L518" s="0">
        <ns0:f>IF(LEFT(K518,5)="CHECK",1,0)</ns0:f>
        <ns0:v>0</ns0:v>
      </ns0:c>
      <ns0:c r="M518" s="0">
        <ns0:f>IF(AND(L518=1,OR(C518=0,IFERROR(INDEX($X$11:$X$60,C518),0)=0)),1,0)</ns0:f>
        <ns0:v>0</ns0:v>
      </ns0:c>
      <ns0:c r="N518" s="0">
        <ns0:f>IF(OR(A518=0,L518&gt;0,$B$6&gt;0,Bookings!G518="Cancelled"),0,G518)</ns0:f>
        <ns0:v>0</ns0:v>
      </ns0:c>
      <ns0:c r="O518" s="0">
        <ns0:f>IF(AND(Bookings!G518="Approved",E518="Yes"),N518,0)</ns0:f>
        <ns0:v>0</ns0:v>
      </ns0:c>
      <ns0:c r="P518" s="0">
        <ns0:f>IF(AND(Bookings!G518="Approved",E518="Yes",L518=0,$B$6=0),H518,0)</ns0:f>
        <ns0:v>0</ns0:v>
      </ns0:c>
      <ns0:c r="Q518" s="0">
        <ns0:f>IF(AND(Bookings!G518="Approved",E518="Yes",L518=0,$B$6=0),I518,0)</ns0:f>
        <ns0:v>0</ns0:v>
      </ns0:c>
      <ns0:c r="R518" s="0">
        <ns0:f>IF(AND(Bookings!G518="Pending",E518="Yes"),N518,0)</ns0:f>
        <ns0:v>0</ns0:v>
      </ns0:c>
      <ns0:c r="S518" s="0">
        <ns0:f>IF(AND(Bookings!G518="Approved",E518="No"),N518,0)</ns0:f>
        <ns0:v>0</ns0:v>
      </ns0:c>
      <ns0:c r="T518" s="0">
        <ns0:f>IFERROR(MATCH(D518,Settings!$G$7:$G$11,0),0)</ns0:f>
        <ns0:v>0</ns0:v>
      </ns0:c>
      <ns0:c r="U518" s="0">
        <ns0:f>IF(N518&gt;0,T518+IF(Bookings!G518="Pending",10,0),0)</ns0:f>
        <ns0:v>0</ns0:v>
      </ns0:c>
      <ns0:c r="V518" s="0">
        <ns0:f>U518</ns0:f>
        <ns0:v>0</ns0:v>
      </ns0:c>
      <ns0:c r="W518" s="0" t="str">
        <ns0:f>IF(C518=0,"",INDEX($AP$11:$AP$60,C518))</ns0:f>
        <ns0:v/>
      </ns0:c>
    </ns0:row>
    <ns0:row r="519">
      <ns0:c r="A519" s="0">
        <ns0:f>IF(COUNTA(Bookings!A519:G519,Bookings!I519)=0,0,1)</ns0:f>
        <ns0:v>0</ns0:v>
      </ns0:c>
      <ns0:c r="B519" s="0" t="str">
        <ns0:f>IFERROR(TRIM(MID(Bookings!A519,FIND(" · ",Bookings!A519)+3,99)),"")</ns0:f>
        <ns0:v/>
      </ns0:c>
      <ns0:c r="C519" s="0">
        <ns0:f>IF(OR(B519="",LEN(B519)&gt;24,ISNUMBER(FIND(" ",B519)),ISNUMBER(FIND("*",B519)),ISNUMBER(FIND("?",B519)),ISNUMBER(FIND("~",B519))),0,IFERROR(MATCH(B519,Team!$A$11:$A$60,0),0))</ns0:f>
        <ns0:v>0</ns0:v>
      </ns0:c>
      <ns0:c r="D519" s="0" t="str">
        <ns0:f>IFERROR(IF(MID(Bookings!F519,LEN(Bookings!F519)-3,3)=" · ",RIGHT(Bookings!F519,1),""),"")</ns0:f>
        <ns0:v/>
      </ns0:c>
      <ns0:c r="E519" s="0" t="str">
        <ns0:f>IFERROR(INDEX(Settings!$H$7:$H$11,MATCH(D519,Settings!$G$7:$G$11,0)),"")</ns0:f>
        <ns0:v/>
      </ns0:c>
      <ns0:c r="F519" s="0" t="str">
        <ns0:f>IF(A519=0,"",IFERROR(IF(OR(B519="",C519=0),"CHECK employee selection",IF(INDEX(Team!$O$11:$O$60,C519)&lt;&gt;"OK","CHECK employee setup",IF(OR('_Dates'!J519=0,'_Dates'!T519=0),"CHECK date: use DD.MM.YYYY",IF('_Dates'!T519&lt;'_Dates'!J519,"CHECK end before start",IF(AND($B$6=0,OR('_Dates'!J519&lt;Settings!$B$7,'_Dates'!T519&gt;Settings!$B$8)),"CHECK split across leave years",IF(OR(NOT(OR('_Dates'!U519="Full day",'_Dates'!U519="AM",'_Dates'!U519="PM")),NOT(OR('_Dates'!V519="Full day",'_Dates'!V519="AM",'_Dates'!V519="PM"))),"CHECK Full day / AM / PM",IF(AND('_Dates'!J519='_Dates'!T519,'_Dates'!U519&lt;&gt;"Full day",'_Dates'!V519&lt;&gt;"Full day",'_Dates'!U519&lt;&gt;'_Dates'!V519),"CHECK same-day portions disagree",IF(AND($B$6=0,OR(AND('_Dates'!U519&lt;&gt;"Full day",'_Dates'!AA519=0),AND('_Dates'!V519&lt;&gt;"Full day",'_Dates'!AB519=0))),"CHECK half-day on non-working date",IF(COUNTIF(Settings!$G$7:$G$11,D519)&lt;&gt;1,"CHECK leave type",IF(AND(Bookings!G519&lt;&gt;"Approved",Bookings!G519&lt;&gt;"Pending",Bookings!G519&lt;&gt;"Cancelled"),"CHECK status","OK")))))))))),"CHECK input"))</ns0:f>
        <ns0:v/>
      </ns0:c>
      <ns0:c r="G519" s="0">
        <ns0:f>IF(OR(F519&lt;&gt;"OK",$B$6&gt;0),0,0.5*(IF(('_Dates'!X519)&lt;('_Dates'!W519),0,INT((('_Dates'!X519)-('_Dates'!W519)+1)/7)*LEN(SUBSTITUTE(W519,"O",""))+LEN(SUBSTITUTE(MID(W519&amp;W519,WEEKDAY(('_Dates'!W519),2),MOD((('_Dates'!X519)-('_Dates'!W519)+1),7)),"O",""))-COUNTIFS(INDEX(AllClosureRows,C519,0),"&gt;="&amp;('_Dates'!W519),INDEX(AllClosureRows,C519,0),"&lt;="&amp;('_Dates'!X519)))+IF(('_Dates'!Z519)&lt;('_Dates'!Y519),0,INT((('_Dates'!Z519)-('_Dates'!Y519)+1)/7)*LEN(SUBSTITUTE(W519,"O",""))+LEN(SUBSTITUTE(MID(W519&amp;W519,WEEKDAY(('_Dates'!Y519),2),MOD((('_Dates'!Z519)-('_Dates'!Y519)+1),7)),"O",""))-COUNTIFS(INDEX(AllClosureRows,C519,0),"&gt;="&amp;('_Dates'!Y519),INDEX(AllClosureRows,C519,0),"&lt;="&amp;('_Dates'!Z519)))))</ns0:f>
        <ns0:v>0</ns0:v>
      </ns0:c>
      <ns0:c r="H519" s="0">
        <ns0:f>IF(OR(F519&lt;&gt;"OK",$B$6&gt;0),0,0.5*(IF((MIN('_Dates'!X519,Settings!$B$9))&lt;('_Dates'!W519),0,INT(((MIN('_Dates'!X519,Settings!$B$9))-('_Dates'!W519)+1)/7)*LEN(SUBSTITUTE(W519,"O",""))+LEN(SUBSTITUTE(MID(W519&amp;W519,WEEKDAY(('_Dates'!W519),2),MOD(((MIN('_Dates'!X519,Settings!$B$9))-('_Dates'!W519)+1),7)),"O",""))-COUNTIFS(INDEX(AllClosureRows,C519,0),"&gt;="&amp;('_Dates'!W519),INDEX(AllClosureRows,C519,0),"&lt;="&amp;(MIN('_Dates'!X519,Settings!$B$9))))+IF((MIN('_Dates'!Z519,Settings!$B$9))&lt;('_Dates'!Y519),0,INT(((MIN('_Dates'!Z519,Settings!$B$9))-('_Dates'!Y519)+1)/7)*LEN(SUBSTITUTE(W519,"O",""))+LEN(SUBSTITUTE(MID(W519&amp;W519,WEEKDAY(('_Dates'!Y519),2),MOD(((MIN('_Dates'!Z519,Settings!$B$9))-('_Dates'!Y519)+1),7)),"O",""))-COUNTIFS(INDEX(AllClosureRows,C519,0),"&gt;="&amp;('_Dates'!Y519),INDEX(AllClosureRows,C519,0),"&lt;="&amp;(MIN('_Dates'!Z519,Settings!$B$9))))))</ns0:f>
        <ns0:v>0</ns0:v>
      </ns0:c>
      <ns0:c r="I519" s="0">
        <ns0:f>MAX(0,G519-H519)</ns0:f>
        <ns0:v>0</ns0:v>
      </ns0:c>
      <ns0:c r="J519" s="0">
        <ns0:f>IF(OR(A519=0,F519&lt;&gt;"OK",Bookings!G519="Cancelled",$B$6&gt;0),0,IF('_Dates'!AC519=1,MAX(0,COUNTIFS(rngEngine_B,B519,rngAMStart,"&lt;="&amp;'_Dates'!X519,rngAMEnd,"&gt;="&amp;'_Dates'!W519,rngAMActive,1,rngEngine_F,"OK",rngBookings_F,"&lt;&gt;Cancelled")-1),0)+IF('_Dates'!AD519=1,MAX(0,COUNTIFS(rngEngine_B,B519,rngPMStart,"&lt;="&amp;'_Dates'!Z519,rngPMEnd,"&gt;="&amp;'_Dates'!Y519,rngPMActive,1,rngEngine_F,"OK",rngBookings_F,"&lt;&gt;Cancelled")-1),0))</ns0:f>
        <ns0:v>0</ns0:v>
      </ns0:c>
      <ns0:c r="K519" s="0" t="str">
        <ns0:f>IF(A519=0,"",IF(F519&lt;&gt;"OK",F519,IF(J519&gt;0,"CHECK overlapping entry",IF(AND($B$6=0,G519&lt;=0,Bookings!G519&lt;&gt;"Cancelled"),"CHECK no working days",IF(Bookings!G519="Cancelled","Cancelled","OK")))))</ns0:f>
        <ns0:v/>
      </ns0:c>
      <ns0:c r="L519" s="0">
        <ns0:f>IF(LEFT(K519,5)="CHECK",1,0)</ns0:f>
        <ns0:v>0</ns0:v>
      </ns0:c>
      <ns0:c r="M519" s="0">
        <ns0:f>IF(AND(L519=1,OR(C519=0,IFERROR(INDEX($X$11:$X$60,C519),0)=0)),1,0)</ns0:f>
        <ns0:v>0</ns0:v>
      </ns0:c>
      <ns0:c r="N519" s="0">
        <ns0:f>IF(OR(A519=0,L519&gt;0,$B$6&gt;0,Bookings!G519="Cancelled"),0,G519)</ns0:f>
        <ns0:v>0</ns0:v>
      </ns0:c>
      <ns0:c r="O519" s="0">
        <ns0:f>IF(AND(Bookings!G519="Approved",E519="Yes"),N519,0)</ns0:f>
        <ns0:v>0</ns0:v>
      </ns0:c>
      <ns0:c r="P519" s="0">
        <ns0:f>IF(AND(Bookings!G519="Approved",E519="Yes",L519=0,$B$6=0),H519,0)</ns0:f>
        <ns0:v>0</ns0:v>
      </ns0:c>
      <ns0:c r="Q519" s="0">
        <ns0:f>IF(AND(Bookings!G519="Approved",E519="Yes",L519=0,$B$6=0),I519,0)</ns0:f>
        <ns0:v>0</ns0:v>
      </ns0:c>
      <ns0:c r="R519" s="0">
        <ns0:f>IF(AND(Bookings!G519="Pending",E519="Yes"),N519,0)</ns0:f>
        <ns0:v>0</ns0:v>
      </ns0:c>
      <ns0:c r="S519" s="0">
        <ns0:f>IF(AND(Bookings!G519="Approved",E519="No"),N519,0)</ns0:f>
        <ns0:v>0</ns0:v>
      </ns0:c>
      <ns0:c r="T519" s="0">
        <ns0:f>IFERROR(MATCH(D519,Settings!$G$7:$G$11,0),0)</ns0:f>
        <ns0:v>0</ns0:v>
      </ns0:c>
      <ns0:c r="U519" s="0">
        <ns0:f>IF(N519&gt;0,T519+IF(Bookings!G519="Pending",10,0),0)</ns0:f>
        <ns0:v>0</ns0:v>
      </ns0:c>
      <ns0:c r="V519" s="0">
        <ns0:f>U519</ns0:f>
        <ns0:v>0</ns0:v>
      </ns0:c>
      <ns0:c r="W519" s="0" t="str">
        <ns0:f>IF(C519=0,"",INDEX($AP$11:$AP$60,C519))</ns0:f>
        <ns0:v/>
      </ns0:c>
    </ns0:row>
    <ns0:row r="520">
      <ns0:c r="A520" s="0">
        <ns0:f>IF(COUNTA(Bookings!A520:G520,Bookings!I520)=0,0,1)</ns0:f>
        <ns0:v>0</ns0:v>
      </ns0:c>
      <ns0:c r="B520" s="0" t="str">
        <ns0:f>IFERROR(TRIM(MID(Bookings!A520,FIND(" · ",Bookings!A520)+3,99)),"")</ns0:f>
        <ns0:v/>
      </ns0:c>
      <ns0:c r="C520" s="0">
        <ns0:f>IF(OR(B520="",LEN(B520)&gt;24,ISNUMBER(FIND(" ",B520)),ISNUMBER(FIND("*",B520)),ISNUMBER(FIND("?",B520)),ISNUMBER(FIND("~",B520))),0,IFERROR(MATCH(B520,Team!$A$11:$A$60,0),0))</ns0:f>
        <ns0:v>0</ns0:v>
      </ns0:c>
      <ns0:c r="D520" s="0" t="str">
        <ns0:f>IFERROR(IF(MID(Bookings!F520,LEN(Bookings!F520)-3,3)=" · ",RIGHT(Bookings!F520,1),""),"")</ns0:f>
        <ns0:v/>
      </ns0:c>
      <ns0:c r="E520" s="0" t="str">
        <ns0:f>IFERROR(INDEX(Settings!$H$7:$H$11,MATCH(D520,Settings!$G$7:$G$11,0)),"")</ns0:f>
        <ns0:v/>
      </ns0:c>
      <ns0:c r="F520" s="0" t="str">
        <ns0:f>IF(A520=0,"",IFERROR(IF(OR(B520="",C520=0),"CHECK employee selection",IF(INDEX(Team!$O$11:$O$60,C520)&lt;&gt;"OK","CHECK employee setup",IF(OR('_Dates'!J520=0,'_Dates'!T520=0),"CHECK date: use DD.MM.YYYY",IF('_Dates'!T520&lt;'_Dates'!J520,"CHECK end before start",IF(AND($B$6=0,OR('_Dates'!J520&lt;Settings!$B$7,'_Dates'!T520&gt;Settings!$B$8)),"CHECK split across leave years",IF(OR(NOT(OR('_Dates'!U520="Full day",'_Dates'!U520="AM",'_Dates'!U520="PM")),NOT(OR('_Dates'!V520="Full day",'_Dates'!V520="AM",'_Dates'!V520="PM"))),"CHECK Full day / AM / PM",IF(AND('_Dates'!J520='_Dates'!T520,'_Dates'!U520&lt;&gt;"Full day",'_Dates'!V520&lt;&gt;"Full day",'_Dates'!U520&lt;&gt;'_Dates'!V520),"CHECK same-day portions disagree",IF(AND($B$6=0,OR(AND('_Dates'!U520&lt;&gt;"Full day",'_Dates'!AA520=0),AND('_Dates'!V520&lt;&gt;"Full day",'_Dates'!AB520=0))),"CHECK half-day on non-working date",IF(COUNTIF(Settings!$G$7:$G$11,D520)&lt;&gt;1,"CHECK leave type",IF(AND(Bookings!G520&lt;&gt;"Approved",Bookings!G520&lt;&gt;"Pending",Bookings!G520&lt;&gt;"Cancelled"),"CHECK status","OK")))))))))),"CHECK input"))</ns0:f>
        <ns0:v/>
      </ns0:c>
      <ns0:c r="G520" s="0">
        <ns0:f>IF(OR(F520&lt;&gt;"OK",$B$6&gt;0),0,0.5*(IF(('_Dates'!X520)&lt;('_Dates'!W520),0,INT((('_Dates'!X520)-('_Dates'!W520)+1)/7)*LEN(SUBSTITUTE(W520,"O",""))+LEN(SUBSTITUTE(MID(W520&amp;W520,WEEKDAY(('_Dates'!W520),2),MOD((('_Dates'!X520)-('_Dates'!W520)+1),7)),"O",""))-COUNTIFS(INDEX(AllClosureRows,C520,0),"&gt;="&amp;('_Dates'!W520),INDEX(AllClosureRows,C520,0),"&lt;="&amp;('_Dates'!X520)))+IF(('_Dates'!Z520)&lt;('_Dates'!Y520),0,INT((('_Dates'!Z520)-('_Dates'!Y520)+1)/7)*LEN(SUBSTITUTE(W520,"O",""))+LEN(SUBSTITUTE(MID(W520&amp;W520,WEEKDAY(('_Dates'!Y520),2),MOD((('_Dates'!Z520)-('_Dates'!Y520)+1),7)),"O",""))-COUNTIFS(INDEX(AllClosureRows,C520,0),"&gt;="&amp;('_Dates'!Y520),INDEX(AllClosureRows,C520,0),"&lt;="&amp;('_Dates'!Z520)))))</ns0:f>
        <ns0:v>0</ns0:v>
      </ns0:c>
      <ns0:c r="H520" s="0">
        <ns0:f>IF(OR(F520&lt;&gt;"OK",$B$6&gt;0),0,0.5*(IF((MIN('_Dates'!X520,Settings!$B$9))&lt;('_Dates'!W520),0,INT(((MIN('_Dates'!X520,Settings!$B$9))-('_Dates'!W520)+1)/7)*LEN(SUBSTITUTE(W520,"O",""))+LEN(SUBSTITUTE(MID(W520&amp;W520,WEEKDAY(('_Dates'!W520),2),MOD(((MIN('_Dates'!X520,Settings!$B$9))-('_Dates'!W520)+1),7)),"O",""))-COUNTIFS(INDEX(AllClosureRows,C520,0),"&gt;="&amp;('_Dates'!W520),INDEX(AllClosureRows,C520,0),"&lt;="&amp;(MIN('_Dates'!X520,Settings!$B$9))))+IF((MIN('_Dates'!Z520,Settings!$B$9))&lt;('_Dates'!Y520),0,INT(((MIN('_Dates'!Z520,Settings!$B$9))-('_Dates'!Y520)+1)/7)*LEN(SUBSTITUTE(W520,"O",""))+LEN(SUBSTITUTE(MID(W520&amp;W520,WEEKDAY(('_Dates'!Y520),2),MOD(((MIN('_Dates'!Z520,Settings!$B$9))-('_Dates'!Y520)+1),7)),"O",""))-COUNTIFS(INDEX(AllClosureRows,C520,0),"&gt;="&amp;('_Dates'!Y520),INDEX(AllClosureRows,C520,0),"&lt;="&amp;(MIN('_Dates'!Z520,Settings!$B$9))))))</ns0:f>
        <ns0:v>0</ns0:v>
      </ns0:c>
      <ns0:c r="I520" s="0">
        <ns0:f>MAX(0,G520-H520)</ns0:f>
        <ns0:v>0</ns0:v>
      </ns0:c>
      <ns0:c r="J520" s="0">
        <ns0:f>IF(OR(A520=0,F520&lt;&gt;"OK",Bookings!G520="Cancelled",$B$6&gt;0),0,IF('_Dates'!AC520=1,MAX(0,COUNTIFS(rngEngine_B,B520,rngAMStart,"&lt;="&amp;'_Dates'!X520,rngAMEnd,"&gt;="&amp;'_Dates'!W520,rngAMActive,1,rngEngine_F,"OK",rngBookings_F,"&lt;&gt;Cancelled")-1),0)+IF('_Dates'!AD520=1,MAX(0,COUNTIFS(rngEngine_B,B520,rngPMStart,"&lt;="&amp;'_Dates'!Z520,rngPMEnd,"&gt;="&amp;'_Dates'!Y520,rngPMActive,1,rngEngine_F,"OK",rngBookings_F,"&lt;&gt;Cancelled")-1),0))</ns0:f>
        <ns0:v>0</ns0:v>
      </ns0:c>
      <ns0:c r="K520" s="0" t="str">
        <ns0:f>IF(A520=0,"",IF(F520&lt;&gt;"OK",F520,IF(J520&gt;0,"CHECK overlapping entry",IF(AND($B$6=0,G520&lt;=0,Bookings!G520&lt;&gt;"Cancelled"),"CHECK no working days",IF(Bookings!G520="Cancelled","Cancelled","OK")))))</ns0:f>
        <ns0:v/>
      </ns0:c>
      <ns0:c r="L520" s="0">
        <ns0:f>IF(LEFT(K520,5)="CHECK",1,0)</ns0:f>
        <ns0:v>0</ns0:v>
      </ns0:c>
      <ns0:c r="M520" s="0">
        <ns0:f>IF(AND(L520=1,OR(C520=0,IFERROR(INDEX($X$11:$X$60,C520),0)=0)),1,0)</ns0:f>
        <ns0:v>0</ns0:v>
      </ns0:c>
      <ns0:c r="N520" s="0">
        <ns0:f>IF(OR(A520=0,L520&gt;0,$B$6&gt;0,Bookings!G520="Cancelled"),0,G520)</ns0:f>
        <ns0:v>0</ns0:v>
      </ns0:c>
      <ns0:c r="O520" s="0">
        <ns0:f>IF(AND(Bookings!G520="Approved",E520="Yes"),N520,0)</ns0:f>
        <ns0:v>0</ns0:v>
      </ns0:c>
      <ns0:c r="P520" s="0">
        <ns0:f>IF(AND(Bookings!G520="Approved",E520="Yes",L520=0,$B$6=0),H520,0)</ns0:f>
        <ns0:v>0</ns0:v>
      </ns0:c>
      <ns0:c r="Q520" s="0">
        <ns0:f>IF(AND(Bookings!G520="Approved",E520="Yes",L520=0,$B$6=0),I520,0)</ns0:f>
        <ns0:v>0</ns0:v>
      </ns0:c>
      <ns0:c r="R520" s="0">
        <ns0:f>IF(AND(Bookings!G520="Pending",E520="Yes"),N520,0)</ns0:f>
        <ns0:v>0</ns0:v>
      </ns0:c>
      <ns0:c r="S520" s="0">
        <ns0:f>IF(AND(Bookings!G520="Approved",E520="No"),N520,0)</ns0:f>
        <ns0:v>0</ns0:v>
      </ns0:c>
      <ns0:c r="T520" s="0">
        <ns0:f>IFERROR(MATCH(D520,Settings!$G$7:$G$11,0),0)</ns0:f>
        <ns0:v>0</ns0:v>
      </ns0:c>
      <ns0:c r="U520" s="0">
        <ns0:f>IF(N520&gt;0,T520+IF(Bookings!G520="Pending",10,0),0)</ns0:f>
        <ns0:v>0</ns0:v>
      </ns0:c>
      <ns0:c r="V520" s="0">
        <ns0:f>U520</ns0:f>
        <ns0:v>0</ns0:v>
      </ns0:c>
      <ns0:c r="W520" s="0" t="str">
        <ns0:f>IF(C520=0,"",INDEX($AP$11:$AP$60,C520))</ns0:f>
        <ns0:v/>
      </ns0:c>
    </ns0:row>
    <ns0:row r="521">
      <ns0:c r="A521" s="0">
        <ns0:f>IF(COUNTA(Bookings!A521:G521,Bookings!I521)=0,0,1)</ns0:f>
        <ns0:v>0</ns0:v>
      </ns0:c>
      <ns0:c r="B521" s="0" t="str">
        <ns0:f>IFERROR(TRIM(MID(Bookings!A521,FIND(" · ",Bookings!A521)+3,99)),"")</ns0:f>
        <ns0:v/>
      </ns0:c>
      <ns0:c r="C521" s="0">
        <ns0:f>IF(OR(B521="",LEN(B521)&gt;24,ISNUMBER(FIND(" ",B521)),ISNUMBER(FIND("*",B521)),ISNUMBER(FIND("?",B521)),ISNUMBER(FIND("~",B521))),0,IFERROR(MATCH(B521,Team!$A$11:$A$60,0),0))</ns0:f>
        <ns0:v>0</ns0:v>
      </ns0:c>
      <ns0:c r="D521" s="0" t="str">
        <ns0:f>IFERROR(IF(MID(Bookings!F521,LEN(Bookings!F521)-3,3)=" · ",RIGHT(Bookings!F521,1),""),"")</ns0:f>
        <ns0:v/>
      </ns0:c>
      <ns0:c r="E521" s="0" t="str">
        <ns0:f>IFERROR(INDEX(Settings!$H$7:$H$11,MATCH(D521,Settings!$G$7:$G$11,0)),"")</ns0:f>
        <ns0:v/>
      </ns0:c>
      <ns0:c r="F521" s="0" t="str">
        <ns0:f>IF(A521=0,"",IFERROR(IF(OR(B521="",C521=0),"CHECK employee selection",IF(INDEX(Team!$O$11:$O$60,C521)&lt;&gt;"OK","CHECK employee setup",IF(OR('_Dates'!J521=0,'_Dates'!T521=0),"CHECK date: use DD.MM.YYYY",IF('_Dates'!T521&lt;'_Dates'!J521,"CHECK end before start",IF(AND($B$6=0,OR('_Dates'!J521&lt;Settings!$B$7,'_Dates'!T521&gt;Settings!$B$8)),"CHECK split across leave years",IF(OR(NOT(OR('_Dates'!U521="Full day",'_Dates'!U521="AM",'_Dates'!U521="PM")),NOT(OR('_Dates'!V521="Full day",'_Dates'!V521="AM",'_Dates'!V521="PM"))),"CHECK Full day / AM / PM",IF(AND('_Dates'!J521='_Dates'!T521,'_Dates'!U521&lt;&gt;"Full day",'_Dates'!V521&lt;&gt;"Full day",'_Dates'!U521&lt;&gt;'_Dates'!V521),"CHECK same-day portions disagree",IF(AND($B$6=0,OR(AND('_Dates'!U521&lt;&gt;"Full day",'_Dates'!AA521=0),AND('_Dates'!V521&lt;&gt;"Full day",'_Dates'!AB521=0))),"CHECK half-day on non-working date",IF(COUNTIF(Settings!$G$7:$G$11,D521)&lt;&gt;1,"CHECK leave type",IF(AND(Bookings!G521&lt;&gt;"Approved",Bookings!G521&lt;&gt;"Pending",Bookings!G521&lt;&gt;"Cancelled"),"CHECK status","OK")))))))))),"CHECK input"))</ns0:f>
        <ns0:v/>
      </ns0:c>
      <ns0:c r="G521" s="0">
        <ns0:f>IF(OR(F521&lt;&gt;"OK",$B$6&gt;0),0,0.5*(IF(('_Dates'!X521)&lt;('_Dates'!W521),0,INT((('_Dates'!X521)-('_Dates'!W521)+1)/7)*LEN(SUBSTITUTE(W521,"O",""))+LEN(SUBSTITUTE(MID(W521&amp;W521,WEEKDAY(('_Dates'!W521),2),MOD((('_Dates'!X521)-('_Dates'!W521)+1),7)),"O",""))-COUNTIFS(INDEX(AllClosureRows,C521,0),"&gt;="&amp;('_Dates'!W521),INDEX(AllClosureRows,C521,0),"&lt;="&amp;('_Dates'!X521)))+IF(('_Dates'!Z521)&lt;('_Dates'!Y521),0,INT((('_Dates'!Z521)-('_Dates'!Y521)+1)/7)*LEN(SUBSTITUTE(W521,"O",""))+LEN(SUBSTITUTE(MID(W521&amp;W521,WEEKDAY(('_Dates'!Y521),2),MOD((('_Dates'!Z521)-('_Dates'!Y521)+1),7)),"O",""))-COUNTIFS(INDEX(AllClosureRows,C521,0),"&gt;="&amp;('_Dates'!Y521),INDEX(AllClosureRows,C521,0),"&lt;="&amp;('_Dates'!Z521)))))</ns0:f>
        <ns0:v>0</ns0:v>
      </ns0:c>
      <ns0:c r="H521" s="0">
        <ns0:f>IF(OR(F521&lt;&gt;"OK",$B$6&gt;0),0,0.5*(IF((MIN('_Dates'!X521,Settings!$B$9))&lt;('_Dates'!W521),0,INT(((MIN('_Dates'!X521,Settings!$B$9))-('_Dates'!W521)+1)/7)*LEN(SUBSTITUTE(W521,"O",""))+LEN(SUBSTITUTE(MID(W521&amp;W521,WEEKDAY(('_Dates'!W521),2),MOD(((MIN('_Dates'!X521,Settings!$B$9))-('_Dates'!W521)+1),7)),"O",""))-COUNTIFS(INDEX(AllClosureRows,C521,0),"&gt;="&amp;('_Dates'!W521),INDEX(AllClosureRows,C521,0),"&lt;="&amp;(MIN('_Dates'!X521,Settings!$B$9))))+IF((MIN('_Dates'!Z521,Settings!$B$9))&lt;('_Dates'!Y521),0,INT(((MIN('_Dates'!Z521,Settings!$B$9))-('_Dates'!Y521)+1)/7)*LEN(SUBSTITUTE(W521,"O",""))+LEN(SUBSTITUTE(MID(W521&amp;W521,WEEKDAY(('_Dates'!Y521),2),MOD(((MIN('_Dates'!Z521,Settings!$B$9))-('_Dates'!Y521)+1),7)),"O",""))-COUNTIFS(INDEX(AllClosureRows,C521,0),"&gt;="&amp;('_Dates'!Y521),INDEX(AllClosureRows,C521,0),"&lt;="&amp;(MIN('_Dates'!Z521,Settings!$B$9))))))</ns0:f>
        <ns0:v>0</ns0:v>
      </ns0:c>
      <ns0:c r="I521" s="0">
        <ns0:f>MAX(0,G521-H521)</ns0:f>
        <ns0:v>0</ns0:v>
      </ns0:c>
      <ns0:c r="J521" s="0">
        <ns0:f>IF(OR(A521=0,F521&lt;&gt;"OK",Bookings!G521="Cancelled",$B$6&gt;0),0,IF('_Dates'!AC521=1,MAX(0,COUNTIFS(rngEngine_B,B521,rngAMStart,"&lt;="&amp;'_Dates'!X521,rngAMEnd,"&gt;="&amp;'_Dates'!W521,rngAMActive,1,rngEngine_F,"OK",rngBookings_F,"&lt;&gt;Cancelled")-1),0)+IF('_Dates'!AD521=1,MAX(0,COUNTIFS(rngEngine_B,B521,rngPMStart,"&lt;="&amp;'_Dates'!Z521,rngPMEnd,"&gt;="&amp;'_Dates'!Y521,rngPMActive,1,rngEngine_F,"OK",rngBookings_F,"&lt;&gt;Cancelled")-1),0))</ns0:f>
        <ns0:v>0</ns0:v>
      </ns0:c>
      <ns0:c r="K521" s="0" t="str">
        <ns0:f>IF(A521=0,"",IF(F521&lt;&gt;"OK",F521,IF(J521&gt;0,"CHECK overlapping entry",IF(AND($B$6=0,G521&lt;=0,Bookings!G521&lt;&gt;"Cancelled"),"CHECK no working days",IF(Bookings!G521="Cancelled","Cancelled","OK")))))</ns0:f>
        <ns0:v/>
      </ns0:c>
      <ns0:c r="L521" s="0">
        <ns0:f>IF(LEFT(K521,5)="CHECK",1,0)</ns0:f>
        <ns0:v>0</ns0:v>
      </ns0:c>
      <ns0:c r="M521" s="0">
        <ns0:f>IF(AND(L521=1,OR(C521=0,IFERROR(INDEX($X$11:$X$60,C521),0)=0)),1,0)</ns0:f>
        <ns0:v>0</ns0:v>
      </ns0:c>
      <ns0:c r="N521" s="0">
        <ns0:f>IF(OR(A521=0,L521&gt;0,$B$6&gt;0,Bookings!G521="Cancelled"),0,G521)</ns0:f>
        <ns0:v>0</ns0:v>
      </ns0:c>
      <ns0:c r="O521" s="0">
        <ns0:f>IF(AND(Bookings!G521="Approved",E521="Yes"),N521,0)</ns0:f>
        <ns0:v>0</ns0:v>
      </ns0:c>
      <ns0:c r="P521" s="0">
        <ns0:f>IF(AND(Bookings!G521="Approved",E521="Yes",L521=0,$B$6=0),H521,0)</ns0:f>
        <ns0:v>0</ns0:v>
      </ns0:c>
      <ns0:c r="Q521" s="0">
        <ns0:f>IF(AND(Bookings!G521="Approved",E521="Yes",L521=0,$B$6=0),I521,0)</ns0:f>
        <ns0:v>0</ns0:v>
      </ns0:c>
      <ns0:c r="R521" s="0">
        <ns0:f>IF(AND(Bookings!G521="Pending",E521="Yes"),N521,0)</ns0:f>
        <ns0:v>0</ns0:v>
      </ns0:c>
      <ns0:c r="S521" s="0">
        <ns0:f>IF(AND(Bookings!G521="Approved",E521="No"),N521,0)</ns0:f>
        <ns0:v>0</ns0:v>
      </ns0:c>
      <ns0:c r="T521" s="0">
        <ns0:f>IFERROR(MATCH(D521,Settings!$G$7:$G$11,0),0)</ns0:f>
        <ns0:v>0</ns0:v>
      </ns0:c>
      <ns0:c r="U521" s="0">
        <ns0:f>IF(N521&gt;0,T521+IF(Bookings!G521="Pending",10,0),0)</ns0:f>
        <ns0:v>0</ns0:v>
      </ns0:c>
      <ns0:c r="V521" s="0">
        <ns0:f>U521</ns0:f>
        <ns0:v>0</ns0:v>
      </ns0:c>
      <ns0:c r="W521" s="0" t="str">
        <ns0:f>IF(C521=0,"",INDEX($AP$11:$AP$60,C521))</ns0:f>
        <ns0:v/>
      </ns0:c>
    </ns0:row>
    <ns0:row r="522">
      <ns0:c r="A522" s="0">
        <ns0:f>IF(COUNTA(Bookings!A522:G522,Bookings!I522)=0,0,1)</ns0:f>
        <ns0:v>0</ns0:v>
      </ns0:c>
      <ns0:c r="B522" s="0" t="str">
        <ns0:f>IFERROR(TRIM(MID(Bookings!A522,FIND(" · ",Bookings!A522)+3,99)),"")</ns0:f>
        <ns0:v/>
      </ns0:c>
      <ns0:c r="C522" s="0">
        <ns0:f>IF(OR(B522="",LEN(B522)&gt;24,ISNUMBER(FIND(" ",B522)),ISNUMBER(FIND("*",B522)),ISNUMBER(FIND("?",B522)),ISNUMBER(FIND("~",B522))),0,IFERROR(MATCH(B522,Team!$A$11:$A$60,0),0))</ns0:f>
        <ns0:v>0</ns0:v>
      </ns0:c>
      <ns0:c r="D522" s="0" t="str">
        <ns0:f>IFERROR(IF(MID(Bookings!F522,LEN(Bookings!F522)-3,3)=" · ",RIGHT(Bookings!F522,1),""),"")</ns0:f>
        <ns0:v/>
      </ns0:c>
      <ns0:c r="E522" s="0" t="str">
        <ns0:f>IFERROR(INDEX(Settings!$H$7:$H$11,MATCH(D522,Settings!$G$7:$G$11,0)),"")</ns0:f>
        <ns0:v/>
      </ns0:c>
      <ns0:c r="F522" s="0" t="str">
        <ns0:f>IF(A522=0,"",IFERROR(IF(OR(B522="",C522=0),"CHECK employee selection",IF(INDEX(Team!$O$11:$O$60,C522)&lt;&gt;"OK","CHECK employee setup",IF(OR('_Dates'!J522=0,'_Dates'!T522=0),"CHECK date: use DD.MM.YYYY",IF('_Dates'!T522&lt;'_Dates'!J522,"CHECK end before start",IF(AND($B$6=0,OR('_Dates'!J522&lt;Settings!$B$7,'_Dates'!T522&gt;Settings!$B$8)),"CHECK split across leave years",IF(OR(NOT(OR('_Dates'!U522="Full day",'_Dates'!U522="AM",'_Dates'!U522="PM")),NOT(OR('_Dates'!V522="Full day",'_Dates'!V522="AM",'_Dates'!V522="PM"))),"CHECK Full day / AM / PM",IF(AND('_Dates'!J522='_Dates'!T522,'_Dates'!U522&lt;&gt;"Full day",'_Dates'!V522&lt;&gt;"Full day",'_Dates'!U522&lt;&gt;'_Dates'!V522),"CHECK same-day portions disagree",IF(AND($B$6=0,OR(AND('_Dates'!U522&lt;&gt;"Full day",'_Dates'!AA522=0),AND('_Dates'!V522&lt;&gt;"Full day",'_Dates'!AB522=0))),"CHECK half-day on non-working date",IF(COUNTIF(Settings!$G$7:$G$11,D522)&lt;&gt;1,"CHECK leave type",IF(AND(Bookings!G522&lt;&gt;"Approved",Bookings!G522&lt;&gt;"Pending",Bookings!G522&lt;&gt;"Cancelled"),"CHECK status","OK")))))))))),"CHECK input"))</ns0:f>
        <ns0:v/>
      </ns0:c>
      <ns0:c r="G522" s="0">
        <ns0:f>IF(OR(F522&lt;&gt;"OK",$B$6&gt;0),0,0.5*(IF(('_Dates'!X522)&lt;('_Dates'!W522),0,INT((('_Dates'!X522)-('_Dates'!W522)+1)/7)*LEN(SUBSTITUTE(W522,"O",""))+LEN(SUBSTITUTE(MID(W522&amp;W522,WEEKDAY(('_Dates'!W522),2),MOD((('_Dates'!X522)-('_Dates'!W522)+1),7)),"O",""))-COUNTIFS(INDEX(AllClosureRows,C522,0),"&gt;="&amp;('_Dates'!W522),INDEX(AllClosureRows,C522,0),"&lt;="&amp;('_Dates'!X522)))+IF(('_Dates'!Z522)&lt;('_Dates'!Y522),0,INT((('_Dates'!Z522)-('_Dates'!Y522)+1)/7)*LEN(SUBSTITUTE(W522,"O",""))+LEN(SUBSTITUTE(MID(W522&amp;W522,WEEKDAY(('_Dates'!Y522),2),MOD((('_Dates'!Z522)-('_Dates'!Y522)+1),7)),"O",""))-COUNTIFS(INDEX(AllClosureRows,C522,0),"&gt;="&amp;('_Dates'!Y522),INDEX(AllClosureRows,C522,0),"&lt;="&amp;('_Dates'!Z522)))))</ns0:f>
        <ns0:v>0</ns0:v>
      </ns0:c>
      <ns0:c r="H522" s="0">
        <ns0:f>IF(OR(F522&lt;&gt;"OK",$B$6&gt;0),0,0.5*(IF((MIN('_Dates'!X522,Settings!$B$9))&lt;('_Dates'!W522),0,INT(((MIN('_Dates'!X522,Settings!$B$9))-('_Dates'!W522)+1)/7)*LEN(SUBSTITUTE(W522,"O",""))+LEN(SUBSTITUTE(MID(W522&amp;W522,WEEKDAY(('_Dates'!W522),2),MOD(((MIN('_Dates'!X522,Settings!$B$9))-('_Dates'!W522)+1),7)),"O",""))-COUNTIFS(INDEX(AllClosureRows,C522,0),"&gt;="&amp;('_Dates'!W522),INDEX(AllClosureRows,C522,0),"&lt;="&amp;(MIN('_Dates'!X522,Settings!$B$9))))+IF((MIN('_Dates'!Z522,Settings!$B$9))&lt;('_Dates'!Y522),0,INT(((MIN('_Dates'!Z522,Settings!$B$9))-('_Dates'!Y522)+1)/7)*LEN(SUBSTITUTE(W522,"O",""))+LEN(SUBSTITUTE(MID(W522&amp;W522,WEEKDAY(('_Dates'!Y522),2),MOD(((MIN('_Dates'!Z522,Settings!$B$9))-('_Dates'!Y522)+1),7)),"O",""))-COUNTIFS(INDEX(AllClosureRows,C522,0),"&gt;="&amp;('_Dates'!Y522),INDEX(AllClosureRows,C522,0),"&lt;="&amp;(MIN('_Dates'!Z522,Settings!$B$9))))))</ns0:f>
        <ns0:v>0</ns0:v>
      </ns0:c>
      <ns0:c r="I522" s="0">
        <ns0:f>MAX(0,G522-H522)</ns0:f>
        <ns0:v>0</ns0:v>
      </ns0:c>
      <ns0:c r="J522" s="0">
        <ns0:f>IF(OR(A522=0,F522&lt;&gt;"OK",Bookings!G522="Cancelled",$B$6&gt;0),0,IF('_Dates'!AC522=1,MAX(0,COUNTIFS(rngEngine_B,B522,rngAMStart,"&lt;="&amp;'_Dates'!X522,rngAMEnd,"&gt;="&amp;'_Dates'!W522,rngAMActive,1,rngEngine_F,"OK",rngBookings_F,"&lt;&gt;Cancelled")-1),0)+IF('_Dates'!AD522=1,MAX(0,COUNTIFS(rngEngine_B,B522,rngPMStart,"&lt;="&amp;'_Dates'!Z522,rngPMEnd,"&gt;="&amp;'_Dates'!Y522,rngPMActive,1,rngEngine_F,"OK",rngBookings_F,"&lt;&gt;Cancelled")-1),0))</ns0:f>
        <ns0:v>0</ns0:v>
      </ns0:c>
      <ns0:c r="K522" s="0" t="str">
        <ns0:f>IF(A522=0,"",IF(F522&lt;&gt;"OK",F522,IF(J522&gt;0,"CHECK overlapping entry",IF(AND($B$6=0,G522&lt;=0,Bookings!G522&lt;&gt;"Cancelled"),"CHECK no working days",IF(Bookings!G522="Cancelled","Cancelled","OK")))))</ns0:f>
        <ns0:v/>
      </ns0:c>
      <ns0:c r="L522" s="0">
        <ns0:f>IF(LEFT(K522,5)="CHECK",1,0)</ns0:f>
        <ns0:v>0</ns0:v>
      </ns0:c>
      <ns0:c r="M522" s="0">
        <ns0:f>IF(AND(L522=1,OR(C522=0,IFERROR(INDEX($X$11:$X$60,C522),0)=0)),1,0)</ns0:f>
        <ns0:v>0</ns0:v>
      </ns0:c>
      <ns0:c r="N522" s="0">
        <ns0:f>IF(OR(A522=0,L522&gt;0,$B$6&gt;0,Bookings!G522="Cancelled"),0,G522)</ns0:f>
        <ns0:v>0</ns0:v>
      </ns0:c>
      <ns0:c r="O522" s="0">
        <ns0:f>IF(AND(Bookings!G522="Approved",E522="Yes"),N522,0)</ns0:f>
        <ns0:v>0</ns0:v>
      </ns0:c>
      <ns0:c r="P522" s="0">
        <ns0:f>IF(AND(Bookings!G522="Approved",E522="Yes",L522=0,$B$6=0),H522,0)</ns0:f>
        <ns0:v>0</ns0:v>
      </ns0:c>
      <ns0:c r="Q522" s="0">
        <ns0:f>IF(AND(Bookings!G522="Approved",E522="Yes",L522=0,$B$6=0),I522,0)</ns0:f>
        <ns0:v>0</ns0:v>
      </ns0:c>
      <ns0:c r="R522" s="0">
        <ns0:f>IF(AND(Bookings!G522="Pending",E522="Yes"),N522,0)</ns0:f>
        <ns0:v>0</ns0:v>
      </ns0:c>
      <ns0:c r="S522" s="0">
        <ns0:f>IF(AND(Bookings!G522="Approved",E522="No"),N522,0)</ns0:f>
        <ns0:v>0</ns0:v>
      </ns0:c>
      <ns0:c r="T522" s="0">
        <ns0:f>IFERROR(MATCH(D522,Settings!$G$7:$G$11,0),0)</ns0:f>
        <ns0:v>0</ns0:v>
      </ns0:c>
      <ns0:c r="U522" s="0">
        <ns0:f>IF(N522&gt;0,T522+IF(Bookings!G522="Pending",10,0),0)</ns0:f>
        <ns0:v>0</ns0:v>
      </ns0:c>
      <ns0:c r="V522" s="0">
        <ns0:f>U522</ns0:f>
        <ns0:v>0</ns0:v>
      </ns0:c>
      <ns0:c r="W522" s="0" t="str">
        <ns0:f>IF(C522=0,"",INDEX($AP$11:$AP$60,C522))</ns0:f>
        <ns0:v/>
      </ns0:c>
    </ns0:row>
    <ns0:row r="523">
      <ns0:c r="A523" s="0">
        <ns0:f>IF(COUNTA(Bookings!A523:G523,Bookings!I523)=0,0,1)</ns0:f>
        <ns0:v>0</ns0:v>
      </ns0:c>
      <ns0:c r="B523" s="0" t="str">
        <ns0:f>IFERROR(TRIM(MID(Bookings!A523,FIND(" · ",Bookings!A523)+3,99)),"")</ns0:f>
        <ns0:v/>
      </ns0:c>
      <ns0:c r="C523" s="0">
        <ns0:f>IF(OR(B523="",LEN(B523)&gt;24,ISNUMBER(FIND(" ",B523)),ISNUMBER(FIND("*",B523)),ISNUMBER(FIND("?",B523)),ISNUMBER(FIND("~",B523))),0,IFERROR(MATCH(B523,Team!$A$11:$A$60,0),0))</ns0:f>
        <ns0:v>0</ns0:v>
      </ns0:c>
      <ns0:c r="D523" s="0" t="str">
        <ns0:f>IFERROR(IF(MID(Bookings!F523,LEN(Bookings!F523)-3,3)=" · ",RIGHT(Bookings!F523,1),""),"")</ns0:f>
        <ns0:v/>
      </ns0:c>
      <ns0:c r="E523" s="0" t="str">
        <ns0:f>IFERROR(INDEX(Settings!$H$7:$H$11,MATCH(D523,Settings!$G$7:$G$11,0)),"")</ns0:f>
        <ns0:v/>
      </ns0:c>
      <ns0:c r="F523" s="0" t="str">
        <ns0:f>IF(A523=0,"",IFERROR(IF(OR(B523="",C523=0),"CHECK employee selection",IF(INDEX(Team!$O$11:$O$60,C523)&lt;&gt;"OK","CHECK employee setup",IF(OR('_Dates'!J523=0,'_Dates'!T523=0),"CHECK date: use DD.MM.YYYY",IF('_Dates'!T523&lt;'_Dates'!J523,"CHECK end before start",IF(AND($B$6=0,OR('_Dates'!J523&lt;Settings!$B$7,'_Dates'!T523&gt;Settings!$B$8)),"CHECK split across leave years",IF(OR(NOT(OR('_Dates'!U523="Full day",'_Dates'!U523="AM",'_Dates'!U523="PM")),NOT(OR('_Dates'!V523="Full day",'_Dates'!V523="AM",'_Dates'!V523="PM"))),"CHECK Full day / AM / PM",IF(AND('_Dates'!J523='_Dates'!T523,'_Dates'!U523&lt;&gt;"Full day",'_Dates'!V523&lt;&gt;"Full day",'_Dates'!U523&lt;&gt;'_Dates'!V523),"CHECK same-day portions disagree",IF(AND($B$6=0,OR(AND('_Dates'!U523&lt;&gt;"Full day",'_Dates'!AA523=0),AND('_Dates'!V523&lt;&gt;"Full day",'_Dates'!AB523=0))),"CHECK half-day on non-working date",IF(COUNTIF(Settings!$G$7:$G$11,D523)&lt;&gt;1,"CHECK leave type",IF(AND(Bookings!G523&lt;&gt;"Approved",Bookings!G523&lt;&gt;"Pending",Bookings!G523&lt;&gt;"Cancelled"),"CHECK status","OK")))))))))),"CHECK input"))</ns0:f>
        <ns0:v/>
      </ns0:c>
      <ns0:c r="G523" s="0">
        <ns0:f>IF(OR(F523&lt;&gt;"OK",$B$6&gt;0),0,0.5*(IF(('_Dates'!X523)&lt;('_Dates'!W523),0,INT((('_Dates'!X523)-('_Dates'!W523)+1)/7)*LEN(SUBSTITUTE(W523,"O",""))+LEN(SUBSTITUTE(MID(W523&amp;W523,WEEKDAY(('_Dates'!W523),2),MOD((('_Dates'!X523)-('_Dates'!W523)+1),7)),"O",""))-COUNTIFS(INDEX(AllClosureRows,C523,0),"&gt;="&amp;('_Dates'!W523),INDEX(AllClosureRows,C523,0),"&lt;="&amp;('_Dates'!X523)))+IF(('_Dates'!Z523)&lt;('_Dates'!Y523),0,INT((('_Dates'!Z523)-('_Dates'!Y523)+1)/7)*LEN(SUBSTITUTE(W523,"O",""))+LEN(SUBSTITUTE(MID(W523&amp;W523,WEEKDAY(('_Dates'!Y523),2),MOD((('_Dates'!Z523)-('_Dates'!Y523)+1),7)),"O",""))-COUNTIFS(INDEX(AllClosureRows,C523,0),"&gt;="&amp;('_Dates'!Y523),INDEX(AllClosureRows,C523,0),"&lt;="&amp;('_Dates'!Z523)))))</ns0:f>
        <ns0:v>0</ns0:v>
      </ns0:c>
      <ns0:c r="H523" s="0">
        <ns0:f>IF(OR(F523&lt;&gt;"OK",$B$6&gt;0),0,0.5*(IF((MIN('_Dates'!X523,Settings!$B$9))&lt;('_Dates'!W523),0,INT(((MIN('_Dates'!X523,Settings!$B$9))-('_Dates'!W523)+1)/7)*LEN(SUBSTITUTE(W523,"O",""))+LEN(SUBSTITUTE(MID(W523&amp;W523,WEEKDAY(('_Dates'!W523),2),MOD(((MIN('_Dates'!X523,Settings!$B$9))-('_Dates'!W523)+1),7)),"O",""))-COUNTIFS(INDEX(AllClosureRows,C523,0),"&gt;="&amp;('_Dates'!W523),INDEX(AllClosureRows,C523,0),"&lt;="&amp;(MIN('_Dates'!X523,Settings!$B$9))))+IF((MIN('_Dates'!Z523,Settings!$B$9))&lt;('_Dates'!Y523),0,INT(((MIN('_Dates'!Z523,Settings!$B$9))-('_Dates'!Y523)+1)/7)*LEN(SUBSTITUTE(W523,"O",""))+LEN(SUBSTITUTE(MID(W523&amp;W523,WEEKDAY(('_Dates'!Y523),2),MOD(((MIN('_Dates'!Z523,Settings!$B$9))-('_Dates'!Y523)+1),7)),"O",""))-COUNTIFS(INDEX(AllClosureRows,C523,0),"&gt;="&amp;('_Dates'!Y523),INDEX(AllClosureRows,C523,0),"&lt;="&amp;(MIN('_Dates'!Z523,Settings!$B$9))))))</ns0:f>
        <ns0:v>0</ns0:v>
      </ns0:c>
      <ns0:c r="I523" s="0">
        <ns0:f>MAX(0,G523-H523)</ns0:f>
        <ns0:v>0</ns0:v>
      </ns0:c>
      <ns0:c r="J523" s="0">
        <ns0:f>IF(OR(A523=0,F523&lt;&gt;"OK",Bookings!G523="Cancelled",$B$6&gt;0),0,IF('_Dates'!AC523=1,MAX(0,COUNTIFS(rngEngine_B,B523,rngAMStart,"&lt;="&amp;'_Dates'!X523,rngAMEnd,"&gt;="&amp;'_Dates'!W523,rngAMActive,1,rngEngine_F,"OK",rngBookings_F,"&lt;&gt;Cancelled")-1),0)+IF('_Dates'!AD523=1,MAX(0,COUNTIFS(rngEngine_B,B523,rngPMStart,"&lt;="&amp;'_Dates'!Z523,rngPMEnd,"&gt;="&amp;'_Dates'!Y523,rngPMActive,1,rngEngine_F,"OK",rngBookings_F,"&lt;&gt;Cancelled")-1),0))</ns0:f>
        <ns0:v>0</ns0:v>
      </ns0:c>
      <ns0:c r="K523" s="0" t="str">
        <ns0:f>IF(A523=0,"",IF(F523&lt;&gt;"OK",F523,IF(J523&gt;0,"CHECK overlapping entry",IF(AND($B$6=0,G523&lt;=0,Bookings!G523&lt;&gt;"Cancelled"),"CHECK no working days",IF(Bookings!G523="Cancelled","Cancelled","OK")))))</ns0:f>
        <ns0:v/>
      </ns0:c>
      <ns0:c r="L523" s="0">
        <ns0:f>IF(LEFT(K523,5)="CHECK",1,0)</ns0:f>
        <ns0:v>0</ns0:v>
      </ns0:c>
      <ns0:c r="M523" s="0">
        <ns0:f>IF(AND(L523=1,OR(C523=0,IFERROR(INDEX($X$11:$X$60,C523),0)=0)),1,0)</ns0:f>
        <ns0:v>0</ns0:v>
      </ns0:c>
      <ns0:c r="N523" s="0">
        <ns0:f>IF(OR(A523=0,L523&gt;0,$B$6&gt;0,Bookings!G523="Cancelled"),0,G523)</ns0:f>
        <ns0:v>0</ns0:v>
      </ns0:c>
      <ns0:c r="O523" s="0">
        <ns0:f>IF(AND(Bookings!G523="Approved",E523="Yes"),N523,0)</ns0:f>
        <ns0:v>0</ns0:v>
      </ns0:c>
      <ns0:c r="P523" s="0">
        <ns0:f>IF(AND(Bookings!G523="Approved",E523="Yes",L523=0,$B$6=0),H523,0)</ns0:f>
        <ns0:v>0</ns0:v>
      </ns0:c>
      <ns0:c r="Q523" s="0">
        <ns0:f>IF(AND(Bookings!G523="Approved",E523="Yes",L523=0,$B$6=0),I523,0)</ns0:f>
        <ns0:v>0</ns0:v>
      </ns0:c>
      <ns0:c r="R523" s="0">
        <ns0:f>IF(AND(Bookings!G523="Pending",E523="Yes"),N523,0)</ns0:f>
        <ns0:v>0</ns0:v>
      </ns0:c>
      <ns0:c r="S523" s="0">
        <ns0:f>IF(AND(Bookings!G523="Approved",E523="No"),N523,0)</ns0:f>
        <ns0:v>0</ns0:v>
      </ns0:c>
      <ns0:c r="T523" s="0">
        <ns0:f>IFERROR(MATCH(D523,Settings!$G$7:$G$11,0),0)</ns0:f>
        <ns0:v>0</ns0:v>
      </ns0:c>
      <ns0:c r="U523" s="0">
        <ns0:f>IF(N523&gt;0,T523+IF(Bookings!G523="Pending",10,0),0)</ns0:f>
        <ns0:v>0</ns0:v>
      </ns0:c>
      <ns0:c r="V523" s="0">
        <ns0:f>U523</ns0:f>
        <ns0:v>0</ns0:v>
      </ns0:c>
      <ns0:c r="W523" s="0" t="str">
        <ns0:f>IF(C523=0,"",INDEX($AP$11:$AP$60,C523))</ns0:f>
        <ns0:v/>
      </ns0:c>
    </ns0:row>
    <ns0:row r="524">
      <ns0:c r="A524" s="0">
        <ns0:f>IF(COUNTA(Bookings!A524:G524,Bookings!I524)=0,0,1)</ns0:f>
        <ns0:v>0</ns0:v>
      </ns0:c>
      <ns0:c r="B524" s="0" t="str">
        <ns0:f>IFERROR(TRIM(MID(Bookings!A524,FIND(" · ",Bookings!A524)+3,99)),"")</ns0:f>
        <ns0:v/>
      </ns0:c>
      <ns0:c r="C524" s="0">
        <ns0:f>IF(OR(B524="",LEN(B524)&gt;24,ISNUMBER(FIND(" ",B524)),ISNUMBER(FIND("*",B524)),ISNUMBER(FIND("?",B524)),ISNUMBER(FIND("~",B524))),0,IFERROR(MATCH(B524,Team!$A$11:$A$60,0),0))</ns0:f>
        <ns0:v>0</ns0:v>
      </ns0:c>
      <ns0:c r="D524" s="0" t="str">
        <ns0:f>IFERROR(IF(MID(Bookings!F524,LEN(Bookings!F524)-3,3)=" · ",RIGHT(Bookings!F524,1),""),"")</ns0:f>
        <ns0:v/>
      </ns0:c>
      <ns0:c r="E524" s="0" t="str">
        <ns0:f>IFERROR(INDEX(Settings!$H$7:$H$11,MATCH(D524,Settings!$G$7:$G$11,0)),"")</ns0:f>
        <ns0:v/>
      </ns0:c>
      <ns0:c r="F524" s="0" t="str">
        <ns0:f>IF(A524=0,"",IFERROR(IF(OR(B524="",C524=0),"CHECK employee selection",IF(INDEX(Team!$O$11:$O$60,C524)&lt;&gt;"OK","CHECK employee setup",IF(OR('_Dates'!J524=0,'_Dates'!T524=0),"CHECK date: use DD.MM.YYYY",IF('_Dates'!T524&lt;'_Dates'!J524,"CHECK end before start",IF(AND($B$6=0,OR('_Dates'!J524&lt;Settings!$B$7,'_Dates'!T524&gt;Settings!$B$8)),"CHECK split across leave years",IF(OR(NOT(OR('_Dates'!U524="Full day",'_Dates'!U524="AM",'_Dates'!U524="PM")),NOT(OR('_Dates'!V524="Full day",'_Dates'!V524="AM",'_Dates'!V524="PM"))),"CHECK Full day / AM / PM",IF(AND('_Dates'!J524='_Dates'!T524,'_Dates'!U524&lt;&gt;"Full day",'_Dates'!V524&lt;&gt;"Full day",'_Dates'!U524&lt;&gt;'_Dates'!V524),"CHECK same-day portions disagree",IF(AND($B$6=0,OR(AND('_Dates'!U524&lt;&gt;"Full day",'_Dates'!AA524=0),AND('_Dates'!V524&lt;&gt;"Full day",'_Dates'!AB524=0))),"CHECK half-day on non-working date",IF(COUNTIF(Settings!$G$7:$G$11,D524)&lt;&gt;1,"CHECK leave type",IF(AND(Bookings!G524&lt;&gt;"Approved",Bookings!G524&lt;&gt;"Pending",Bookings!G524&lt;&gt;"Cancelled"),"CHECK status","OK")))))))))),"CHECK input"))</ns0:f>
        <ns0:v/>
      </ns0:c>
      <ns0:c r="G524" s="0">
        <ns0:f>IF(OR(F524&lt;&gt;"OK",$B$6&gt;0),0,0.5*(IF(('_Dates'!X524)&lt;('_Dates'!W524),0,INT((('_Dates'!X524)-('_Dates'!W524)+1)/7)*LEN(SUBSTITUTE(W524,"O",""))+LEN(SUBSTITUTE(MID(W524&amp;W524,WEEKDAY(('_Dates'!W524),2),MOD((('_Dates'!X524)-('_Dates'!W524)+1),7)),"O",""))-COUNTIFS(INDEX(AllClosureRows,C524,0),"&gt;="&amp;('_Dates'!W524),INDEX(AllClosureRows,C524,0),"&lt;="&amp;('_Dates'!X524)))+IF(('_Dates'!Z524)&lt;('_Dates'!Y524),0,INT((('_Dates'!Z524)-('_Dates'!Y524)+1)/7)*LEN(SUBSTITUTE(W524,"O",""))+LEN(SUBSTITUTE(MID(W524&amp;W524,WEEKDAY(('_Dates'!Y524),2),MOD((('_Dates'!Z524)-('_Dates'!Y524)+1),7)),"O",""))-COUNTIFS(INDEX(AllClosureRows,C524,0),"&gt;="&amp;('_Dates'!Y524),INDEX(AllClosureRows,C524,0),"&lt;="&amp;('_Dates'!Z524)))))</ns0:f>
        <ns0:v>0</ns0:v>
      </ns0:c>
      <ns0:c r="H524" s="0">
        <ns0:f>IF(OR(F524&lt;&gt;"OK",$B$6&gt;0),0,0.5*(IF((MIN('_Dates'!X524,Settings!$B$9))&lt;('_Dates'!W524),0,INT(((MIN('_Dates'!X524,Settings!$B$9))-('_Dates'!W524)+1)/7)*LEN(SUBSTITUTE(W524,"O",""))+LEN(SUBSTITUTE(MID(W524&amp;W524,WEEKDAY(('_Dates'!W524),2),MOD(((MIN('_Dates'!X524,Settings!$B$9))-('_Dates'!W524)+1),7)),"O",""))-COUNTIFS(INDEX(AllClosureRows,C524,0),"&gt;="&amp;('_Dates'!W524),INDEX(AllClosureRows,C524,0),"&lt;="&amp;(MIN('_Dates'!X524,Settings!$B$9))))+IF((MIN('_Dates'!Z524,Settings!$B$9))&lt;('_Dates'!Y524),0,INT(((MIN('_Dates'!Z524,Settings!$B$9))-('_Dates'!Y524)+1)/7)*LEN(SUBSTITUTE(W524,"O",""))+LEN(SUBSTITUTE(MID(W524&amp;W524,WEEKDAY(('_Dates'!Y524),2),MOD(((MIN('_Dates'!Z524,Settings!$B$9))-('_Dates'!Y524)+1),7)),"O",""))-COUNTIFS(INDEX(AllClosureRows,C524,0),"&gt;="&amp;('_Dates'!Y524),INDEX(AllClosureRows,C524,0),"&lt;="&amp;(MIN('_Dates'!Z524,Settings!$B$9))))))</ns0:f>
        <ns0:v>0</ns0:v>
      </ns0:c>
      <ns0:c r="I524" s="0">
        <ns0:f>MAX(0,G524-H524)</ns0:f>
        <ns0:v>0</ns0:v>
      </ns0:c>
      <ns0:c r="J524" s="0">
        <ns0:f>IF(OR(A524=0,F524&lt;&gt;"OK",Bookings!G524="Cancelled",$B$6&gt;0),0,IF('_Dates'!AC524=1,MAX(0,COUNTIFS(rngEngine_B,B524,rngAMStart,"&lt;="&amp;'_Dates'!X524,rngAMEnd,"&gt;="&amp;'_Dates'!W524,rngAMActive,1,rngEngine_F,"OK",rngBookings_F,"&lt;&gt;Cancelled")-1),0)+IF('_Dates'!AD524=1,MAX(0,COUNTIFS(rngEngine_B,B524,rngPMStart,"&lt;="&amp;'_Dates'!Z524,rngPMEnd,"&gt;="&amp;'_Dates'!Y524,rngPMActive,1,rngEngine_F,"OK",rngBookings_F,"&lt;&gt;Cancelled")-1),0))</ns0:f>
        <ns0:v>0</ns0:v>
      </ns0:c>
      <ns0:c r="K524" s="0" t="str">
        <ns0:f>IF(A524=0,"",IF(F524&lt;&gt;"OK",F524,IF(J524&gt;0,"CHECK overlapping entry",IF(AND($B$6=0,G524&lt;=0,Bookings!G524&lt;&gt;"Cancelled"),"CHECK no working days",IF(Bookings!G524="Cancelled","Cancelled","OK")))))</ns0:f>
        <ns0:v/>
      </ns0:c>
      <ns0:c r="L524" s="0">
        <ns0:f>IF(LEFT(K524,5)="CHECK",1,0)</ns0:f>
        <ns0:v>0</ns0:v>
      </ns0:c>
      <ns0:c r="M524" s="0">
        <ns0:f>IF(AND(L524=1,OR(C524=0,IFERROR(INDEX($X$11:$X$60,C524),0)=0)),1,0)</ns0:f>
        <ns0:v>0</ns0:v>
      </ns0:c>
      <ns0:c r="N524" s="0">
        <ns0:f>IF(OR(A524=0,L524&gt;0,$B$6&gt;0,Bookings!G524="Cancelled"),0,G524)</ns0:f>
        <ns0:v>0</ns0:v>
      </ns0:c>
      <ns0:c r="O524" s="0">
        <ns0:f>IF(AND(Bookings!G524="Approved",E524="Yes"),N524,0)</ns0:f>
        <ns0:v>0</ns0:v>
      </ns0:c>
      <ns0:c r="P524" s="0">
        <ns0:f>IF(AND(Bookings!G524="Approved",E524="Yes",L524=0,$B$6=0),H524,0)</ns0:f>
        <ns0:v>0</ns0:v>
      </ns0:c>
      <ns0:c r="Q524" s="0">
        <ns0:f>IF(AND(Bookings!G524="Approved",E524="Yes",L524=0,$B$6=0),I524,0)</ns0:f>
        <ns0:v>0</ns0:v>
      </ns0:c>
      <ns0:c r="R524" s="0">
        <ns0:f>IF(AND(Bookings!G524="Pending",E524="Yes"),N524,0)</ns0:f>
        <ns0:v>0</ns0:v>
      </ns0:c>
      <ns0:c r="S524" s="0">
        <ns0:f>IF(AND(Bookings!G524="Approved",E524="No"),N524,0)</ns0:f>
        <ns0:v>0</ns0:v>
      </ns0:c>
      <ns0:c r="T524" s="0">
        <ns0:f>IFERROR(MATCH(D524,Settings!$G$7:$G$11,0),0)</ns0:f>
        <ns0:v>0</ns0:v>
      </ns0:c>
      <ns0:c r="U524" s="0">
        <ns0:f>IF(N524&gt;0,T524+IF(Bookings!G524="Pending",10,0),0)</ns0:f>
        <ns0:v>0</ns0:v>
      </ns0:c>
      <ns0:c r="V524" s="0">
        <ns0:f>U524</ns0:f>
        <ns0:v>0</ns0:v>
      </ns0:c>
      <ns0:c r="W524" s="0" t="str">
        <ns0:f>IF(C524=0,"",INDEX($AP$11:$AP$60,C524))</ns0:f>
        <ns0:v/>
      </ns0:c>
    </ns0:row>
    <ns0:row r="525">
      <ns0:c r="A525" s="0">
        <ns0:f>IF(COUNTA(Bookings!A525:G525,Bookings!I525)=0,0,1)</ns0:f>
        <ns0:v>0</ns0:v>
      </ns0:c>
      <ns0:c r="B525" s="0" t="str">
        <ns0:f>IFERROR(TRIM(MID(Bookings!A525,FIND(" · ",Bookings!A525)+3,99)),"")</ns0:f>
        <ns0:v/>
      </ns0:c>
      <ns0:c r="C525" s="0">
        <ns0:f>IF(OR(B525="",LEN(B525)&gt;24,ISNUMBER(FIND(" ",B525)),ISNUMBER(FIND("*",B525)),ISNUMBER(FIND("?",B525)),ISNUMBER(FIND("~",B525))),0,IFERROR(MATCH(B525,Team!$A$11:$A$60,0),0))</ns0:f>
        <ns0:v>0</ns0:v>
      </ns0:c>
      <ns0:c r="D525" s="0" t="str">
        <ns0:f>IFERROR(IF(MID(Bookings!F525,LEN(Bookings!F525)-3,3)=" · ",RIGHT(Bookings!F525,1),""),"")</ns0:f>
        <ns0:v/>
      </ns0:c>
      <ns0:c r="E525" s="0" t="str">
        <ns0:f>IFERROR(INDEX(Settings!$H$7:$H$11,MATCH(D525,Settings!$G$7:$G$11,0)),"")</ns0:f>
        <ns0:v/>
      </ns0:c>
      <ns0:c r="F525" s="0" t="str">
        <ns0:f>IF(A525=0,"",IFERROR(IF(OR(B525="",C525=0),"CHECK employee selection",IF(INDEX(Team!$O$11:$O$60,C525)&lt;&gt;"OK","CHECK employee setup",IF(OR('_Dates'!J525=0,'_Dates'!T525=0),"CHECK date: use DD.MM.YYYY",IF('_Dates'!T525&lt;'_Dates'!J525,"CHECK end before start",IF(AND($B$6=0,OR('_Dates'!J525&lt;Settings!$B$7,'_Dates'!T525&gt;Settings!$B$8)),"CHECK split across leave years",IF(OR(NOT(OR('_Dates'!U525="Full day",'_Dates'!U525="AM",'_Dates'!U525="PM")),NOT(OR('_Dates'!V525="Full day",'_Dates'!V525="AM",'_Dates'!V525="PM"))),"CHECK Full day / AM / PM",IF(AND('_Dates'!J525='_Dates'!T525,'_Dates'!U525&lt;&gt;"Full day",'_Dates'!V525&lt;&gt;"Full day",'_Dates'!U525&lt;&gt;'_Dates'!V525),"CHECK same-day portions disagree",IF(AND($B$6=0,OR(AND('_Dates'!U525&lt;&gt;"Full day",'_Dates'!AA525=0),AND('_Dates'!V525&lt;&gt;"Full day",'_Dates'!AB525=0))),"CHECK half-day on non-working date",IF(COUNTIF(Settings!$G$7:$G$11,D525)&lt;&gt;1,"CHECK leave type",IF(AND(Bookings!G525&lt;&gt;"Approved",Bookings!G525&lt;&gt;"Pending",Bookings!G525&lt;&gt;"Cancelled"),"CHECK status","OK")))))))))),"CHECK input"))</ns0:f>
        <ns0:v/>
      </ns0:c>
      <ns0:c r="G525" s="0">
        <ns0:f>IF(OR(F525&lt;&gt;"OK",$B$6&gt;0),0,0.5*(IF(('_Dates'!X525)&lt;('_Dates'!W525),0,INT((('_Dates'!X525)-('_Dates'!W525)+1)/7)*LEN(SUBSTITUTE(W525,"O",""))+LEN(SUBSTITUTE(MID(W525&amp;W525,WEEKDAY(('_Dates'!W525),2),MOD((('_Dates'!X525)-('_Dates'!W525)+1),7)),"O",""))-COUNTIFS(INDEX(AllClosureRows,C525,0),"&gt;="&amp;('_Dates'!W525),INDEX(AllClosureRows,C525,0),"&lt;="&amp;('_Dates'!X525)))+IF(('_Dates'!Z525)&lt;('_Dates'!Y525),0,INT((('_Dates'!Z525)-('_Dates'!Y525)+1)/7)*LEN(SUBSTITUTE(W525,"O",""))+LEN(SUBSTITUTE(MID(W525&amp;W525,WEEKDAY(('_Dates'!Y525),2),MOD((('_Dates'!Z525)-('_Dates'!Y525)+1),7)),"O",""))-COUNTIFS(INDEX(AllClosureRows,C525,0),"&gt;="&amp;('_Dates'!Y525),INDEX(AllClosureRows,C525,0),"&lt;="&amp;('_Dates'!Z525)))))</ns0:f>
        <ns0:v>0</ns0:v>
      </ns0:c>
      <ns0:c r="H525" s="0">
        <ns0:f>IF(OR(F525&lt;&gt;"OK",$B$6&gt;0),0,0.5*(IF((MIN('_Dates'!X525,Settings!$B$9))&lt;('_Dates'!W525),0,INT(((MIN('_Dates'!X525,Settings!$B$9))-('_Dates'!W525)+1)/7)*LEN(SUBSTITUTE(W525,"O",""))+LEN(SUBSTITUTE(MID(W525&amp;W525,WEEKDAY(('_Dates'!W525),2),MOD(((MIN('_Dates'!X525,Settings!$B$9))-('_Dates'!W525)+1),7)),"O",""))-COUNTIFS(INDEX(AllClosureRows,C525,0),"&gt;="&amp;('_Dates'!W525),INDEX(AllClosureRows,C525,0),"&lt;="&amp;(MIN('_Dates'!X525,Settings!$B$9))))+IF((MIN('_Dates'!Z525,Settings!$B$9))&lt;('_Dates'!Y525),0,INT(((MIN('_Dates'!Z525,Settings!$B$9))-('_Dates'!Y525)+1)/7)*LEN(SUBSTITUTE(W525,"O",""))+LEN(SUBSTITUTE(MID(W525&amp;W525,WEEKDAY(('_Dates'!Y525),2),MOD(((MIN('_Dates'!Z525,Settings!$B$9))-('_Dates'!Y525)+1),7)),"O",""))-COUNTIFS(INDEX(AllClosureRows,C525,0),"&gt;="&amp;('_Dates'!Y525),INDEX(AllClosureRows,C525,0),"&lt;="&amp;(MIN('_Dates'!Z525,Settings!$B$9))))))</ns0:f>
        <ns0:v>0</ns0:v>
      </ns0:c>
      <ns0:c r="I525" s="0">
        <ns0:f>MAX(0,G525-H525)</ns0:f>
        <ns0:v>0</ns0:v>
      </ns0:c>
      <ns0:c r="J525" s="0">
        <ns0:f>IF(OR(A525=0,F525&lt;&gt;"OK",Bookings!G525="Cancelled",$B$6&gt;0),0,IF('_Dates'!AC525=1,MAX(0,COUNTIFS(rngEngine_B,B525,rngAMStart,"&lt;="&amp;'_Dates'!X525,rngAMEnd,"&gt;="&amp;'_Dates'!W525,rngAMActive,1,rngEngine_F,"OK",rngBookings_F,"&lt;&gt;Cancelled")-1),0)+IF('_Dates'!AD525=1,MAX(0,COUNTIFS(rngEngine_B,B525,rngPMStart,"&lt;="&amp;'_Dates'!Z525,rngPMEnd,"&gt;="&amp;'_Dates'!Y525,rngPMActive,1,rngEngine_F,"OK",rngBookings_F,"&lt;&gt;Cancelled")-1),0))</ns0:f>
        <ns0:v>0</ns0:v>
      </ns0:c>
      <ns0:c r="K525" s="0" t="str">
        <ns0:f>IF(A525=0,"",IF(F525&lt;&gt;"OK",F525,IF(J525&gt;0,"CHECK overlapping entry",IF(AND($B$6=0,G525&lt;=0,Bookings!G525&lt;&gt;"Cancelled"),"CHECK no working days",IF(Bookings!G525="Cancelled","Cancelled","OK")))))</ns0:f>
        <ns0:v/>
      </ns0:c>
      <ns0:c r="L525" s="0">
        <ns0:f>IF(LEFT(K525,5)="CHECK",1,0)</ns0:f>
        <ns0:v>0</ns0:v>
      </ns0:c>
      <ns0:c r="M525" s="0">
        <ns0:f>IF(AND(L525=1,OR(C525=0,IFERROR(INDEX($X$11:$X$60,C525),0)=0)),1,0)</ns0:f>
        <ns0:v>0</ns0:v>
      </ns0:c>
      <ns0:c r="N525" s="0">
        <ns0:f>IF(OR(A525=0,L525&gt;0,$B$6&gt;0,Bookings!G525="Cancelled"),0,G525)</ns0:f>
        <ns0:v>0</ns0:v>
      </ns0:c>
      <ns0:c r="O525" s="0">
        <ns0:f>IF(AND(Bookings!G525="Approved",E525="Yes"),N525,0)</ns0:f>
        <ns0:v>0</ns0:v>
      </ns0:c>
      <ns0:c r="P525" s="0">
        <ns0:f>IF(AND(Bookings!G525="Approved",E525="Yes",L525=0,$B$6=0),H525,0)</ns0:f>
        <ns0:v>0</ns0:v>
      </ns0:c>
      <ns0:c r="Q525" s="0">
        <ns0:f>IF(AND(Bookings!G525="Approved",E525="Yes",L525=0,$B$6=0),I525,0)</ns0:f>
        <ns0:v>0</ns0:v>
      </ns0:c>
      <ns0:c r="R525" s="0">
        <ns0:f>IF(AND(Bookings!G525="Pending",E525="Yes"),N525,0)</ns0:f>
        <ns0:v>0</ns0:v>
      </ns0:c>
      <ns0:c r="S525" s="0">
        <ns0:f>IF(AND(Bookings!G525="Approved",E525="No"),N525,0)</ns0:f>
        <ns0:v>0</ns0:v>
      </ns0:c>
      <ns0:c r="T525" s="0">
        <ns0:f>IFERROR(MATCH(D525,Settings!$G$7:$G$11,0),0)</ns0:f>
        <ns0:v>0</ns0:v>
      </ns0:c>
      <ns0:c r="U525" s="0">
        <ns0:f>IF(N525&gt;0,T525+IF(Bookings!G525="Pending",10,0),0)</ns0:f>
        <ns0:v>0</ns0:v>
      </ns0:c>
      <ns0:c r="V525" s="0">
        <ns0:f>U525</ns0:f>
        <ns0:v>0</ns0:v>
      </ns0:c>
      <ns0:c r="W525" s="0" t="str">
        <ns0:f>IF(C525=0,"",INDEX($AP$11:$AP$60,C525))</ns0:f>
        <ns0:v/>
      </ns0:c>
    </ns0:row>
    <ns0:row r="526">
      <ns0:c r="A526" s="0">
        <ns0:f>IF(COUNTA(Bookings!A526:G526,Bookings!I526)=0,0,1)</ns0:f>
        <ns0:v>0</ns0:v>
      </ns0:c>
      <ns0:c r="B526" s="0" t="str">
        <ns0:f>IFERROR(TRIM(MID(Bookings!A526,FIND(" · ",Bookings!A526)+3,99)),"")</ns0:f>
        <ns0:v/>
      </ns0:c>
      <ns0:c r="C526" s="0">
        <ns0:f>IF(OR(B526="",LEN(B526)&gt;24,ISNUMBER(FIND(" ",B526)),ISNUMBER(FIND("*",B526)),ISNUMBER(FIND("?",B526)),ISNUMBER(FIND("~",B526))),0,IFERROR(MATCH(B526,Team!$A$11:$A$60,0),0))</ns0:f>
        <ns0:v>0</ns0:v>
      </ns0:c>
      <ns0:c r="D526" s="0" t="str">
        <ns0:f>IFERROR(IF(MID(Bookings!F526,LEN(Bookings!F526)-3,3)=" · ",RIGHT(Bookings!F526,1),""),"")</ns0:f>
        <ns0:v/>
      </ns0:c>
      <ns0:c r="E526" s="0" t="str">
        <ns0:f>IFERROR(INDEX(Settings!$H$7:$H$11,MATCH(D526,Settings!$G$7:$G$11,0)),"")</ns0:f>
        <ns0:v/>
      </ns0:c>
      <ns0:c r="F526" s="0" t="str">
        <ns0:f>IF(A526=0,"",IFERROR(IF(OR(B526="",C526=0),"CHECK employee selection",IF(INDEX(Team!$O$11:$O$60,C526)&lt;&gt;"OK","CHECK employee setup",IF(OR('_Dates'!J526=0,'_Dates'!T526=0),"CHECK date: use DD.MM.YYYY",IF('_Dates'!T526&lt;'_Dates'!J526,"CHECK end before start",IF(AND($B$6=0,OR('_Dates'!J526&lt;Settings!$B$7,'_Dates'!T526&gt;Settings!$B$8)),"CHECK split across leave years",IF(OR(NOT(OR('_Dates'!U526="Full day",'_Dates'!U526="AM",'_Dates'!U526="PM")),NOT(OR('_Dates'!V526="Full day",'_Dates'!V526="AM",'_Dates'!V526="PM"))),"CHECK Full day / AM / PM",IF(AND('_Dates'!J526='_Dates'!T526,'_Dates'!U526&lt;&gt;"Full day",'_Dates'!V526&lt;&gt;"Full day",'_Dates'!U526&lt;&gt;'_Dates'!V526),"CHECK same-day portions disagree",IF(AND($B$6=0,OR(AND('_Dates'!U526&lt;&gt;"Full day",'_Dates'!AA526=0),AND('_Dates'!V526&lt;&gt;"Full day",'_Dates'!AB526=0))),"CHECK half-day on non-working date",IF(COUNTIF(Settings!$G$7:$G$11,D526)&lt;&gt;1,"CHECK leave type",IF(AND(Bookings!G526&lt;&gt;"Approved",Bookings!G526&lt;&gt;"Pending",Bookings!G526&lt;&gt;"Cancelled"),"CHECK status","OK")))))))))),"CHECK input"))</ns0:f>
        <ns0:v/>
      </ns0:c>
      <ns0:c r="G526" s="0">
        <ns0:f>IF(OR(F526&lt;&gt;"OK",$B$6&gt;0),0,0.5*(IF(('_Dates'!X526)&lt;('_Dates'!W526),0,INT((('_Dates'!X526)-('_Dates'!W526)+1)/7)*LEN(SUBSTITUTE(W526,"O",""))+LEN(SUBSTITUTE(MID(W526&amp;W526,WEEKDAY(('_Dates'!W526),2),MOD((('_Dates'!X526)-('_Dates'!W526)+1),7)),"O",""))-COUNTIFS(INDEX(AllClosureRows,C526,0),"&gt;="&amp;('_Dates'!W526),INDEX(AllClosureRows,C526,0),"&lt;="&amp;('_Dates'!X526)))+IF(('_Dates'!Z526)&lt;('_Dates'!Y526),0,INT((('_Dates'!Z526)-('_Dates'!Y526)+1)/7)*LEN(SUBSTITUTE(W526,"O",""))+LEN(SUBSTITUTE(MID(W526&amp;W526,WEEKDAY(('_Dates'!Y526),2),MOD((('_Dates'!Z526)-('_Dates'!Y526)+1),7)),"O",""))-COUNTIFS(INDEX(AllClosureRows,C526,0),"&gt;="&amp;('_Dates'!Y526),INDEX(AllClosureRows,C526,0),"&lt;="&amp;('_Dates'!Z526)))))</ns0:f>
        <ns0:v>0</ns0:v>
      </ns0:c>
      <ns0:c r="H526" s="0">
        <ns0:f>IF(OR(F526&lt;&gt;"OK",$B$6&gt;0),0,0.5*(IF((MIN('_Dates'!X526,Settings!$B$9))&lt;('_Dates'!W526),0,INT(((MIN('_Dates'!X526,Settings!$B$9))-('_Dates'!W526)+1)/7)*LEN(SUBSTITUTE(W526,"O",""))+LEN(SUBSTITUTE(MID(W526&amp;W526,WEEKDAY(('_Dates'!W526),2),MOD(((MIN('_Dates'!X526,Settings!$B$9))-('_Dates'!W526)+1),7)),"O",""))-COUNTIFS(INDEX(AllClosureRows,C526,0),"&gt;="&amp;('_Dates'!W526),INDEX(AllClosureRows,C526,0),"&lt;="&amp;(MIN('_Dates'!X526,Settings!$B$9))))+IF((MIN('_Dates'!Z526,Settings!$B$9))&lt;('_Dates'!Y526),0,INT(((MIN('_Dates'!Z526,Settings!$B$9))-('_Dates'!Y526)+1)/7)*LEN(SUBSTITUTE(W526,"O",""))+LEN(SUBSTITUTE(MID(W526&amp;W526,WEEKDAY(('_Dates'!Y526),2),MOD(((MIN('_Dates'!Z526,Settings!$B$9))-('_Dates'!Y526)+1),7)),"O",""))-COUNTIFS(INDEX(AllClosureRows,C526,0),"&gt;="&amp;('_Dates'!Y526),INDEX(AllClosureRows,C526,0),"&lt;="&amp;(MIN('_Dates'!Z526,Settings!$B$9))))))</ns0:f>
        <ns0:v>0</ns0:v>
      </ns0:c>
      <ns0:c r="I526" s="0">
        <ns0:f>MAX(0,G526-H526)</ns0:f>
        <ns0:v>0</ns0:v>
      </ns0:c>
      <ns0:c r="J526" s="0">
        <ns0:f>IF(OR(A526=0,F526&lt;&gt;"OK",Bookings!G526="Cancelled",$B$6&gt;0),0,IF('_Dates'!AC526=1,MAX(0,COUNTIFS(rngEngine_B,B526,rngAMStart,"&lt;="&amp;'_Dates'!X526,rngAMEnd,"&gt;="&amp;'_Dates'!W526,rngAMActive,1,rngEngine_F,"OK",rngBookings_F,"&lt;&gt;Cancelled")-1),0)+IF('_Dates'!AD526=1,MAX(0,COUNTIFS(rngEngine_B,B526,rngPMStart,"&lt;="&amp;'_Dates'!Z526,rngPMEnd,"&gt;="&amp;'_Dates'!Y526,rngPMActive,1,rngEngine_F,"OK",rngBookings_F,"&lt;&gt;Cancelled")-1),0))</ns0:f>
        <ns0:v>0</ns0:v>
      </ns0:c>
      <ns0:c r="K526" s="0" t="str">
        <ns0:f>IF(A526=0,"",IF(F526&lt;&gt;"OK",F526,IF(J526&gt;0,"CHECK overlapping entry",IF(AND($B$6=0,G526&lt;=0,Bookings!G526&lt;&gt;"Cancelled"),"CHECK no working days",IF(Bookings!G526="Cancelled","Cancelled","OK")))))</ns0:f>
        <ns0:v/>
      </ns0:c>
      <ns0:c r="L526" s="0">
        <ns0:f>IF(LEFT(K526,5)="CHECK",1,0)</ns0:f>
        <ns0:v>0</ns0:v>
      </ns0:c>
      <ns0:c r="M526" s="0">
        <ns0:f>IF(AND(L526=1,OR(C526=0,IFERROR(INDEX($X$11:$X$60,C526),0)=0)),1,0)</ns0:f>
        <ns0:v>0</ns0:v>
      </ns0:c>
      <ns0:c r="N526" s="0">
        <ns0:f>IF(OR(A526=0,L526&gt;0,$B$6&gt;0,Bookings!G526="Cancelled"),0,G526)</ns0:f>
        <ns0:v>0</ns0:v>
      </ns0:c>
      <ns0:c r="O526" s="0">
        <ns0:f>IF(AND(Bookings!G526="Approved",E526="Yes"),N526,0)</ns0:f>
        <ns0:v>0</ns0:v>
      </ns0:c>
      <ns0:c r="P526" s="0">
        <ns0:f>IF(AND(Bookings!G526="Approved",E526="Yes",L526=0,$B$6=0),H526,0)</ns0:f>
        <ns0:v>0</ns0:v>
      </ns0:c>
      <ns0:c r="Q526" s="0">
        <ns0:f>IF(AND(Bookings!G526="Approved",E526="Yes",L526=0,$B$6=0),I526,0)</ns0:f>
        <ns0:v>0</ns0:v>
      </ns0:c>
      <ns0:c r="R526" s="0">
        <ns0:f>IF(AND(Bookings!G526="Pending",E526="Yes"),N526,0)</ns0:f>
        <ns0:v>0</ns0:v>
      </ns0:c>
      <ns0:c r="S526" s="0">
        <ns0:f>IF(AND(Bookings!G526="Approved",E526="No"),N526,0)</ns0:f>
        <ns0:v>0</ns0:v>
      </ns0:c>
      <ns0:c r="T526" s="0">
        <ns0:f>IFERROR(MATCH(D526,Settings!$G$7:$G$11,0),0)</ns0:f>
        <ns0:v>0</ns0:v>
      </ns0:c>
      <ns0:c r="U526" s="0">
        <ns0:f>IF(N526&gt;0,T526+IF(Bookings!G526="Pending",10,0),0)</ns0:f>
        <ns0:v>0</ns0:v>
      </ns0:c>
      <ns0:c r="V526" s="0">
        <ns0:f>U526</ns0:f>
        <ns0:v>0</ns0:v>
      </ns0:c>
      <ns0:c r="W526" s="0" t="str">
        <ns0:f>IF(C526=0,"",INDEX($AP$11:$AP$60,C526))</ns0:f>
        <ns0:v/>
      </ns0:c>
    </ns0:row>
    <ns0:row r="527">
      <ns0:c r="A527" s="0">
        <ns0:f>IF(COUNTA(Bookings!A527:G527,Bookings!I527)=0,0,1)</ns0:f>
        <ns0:v>0</ns0:v>
      </ns0:c>
      <ns0:c r="B527" s="0" t="str">
        <ns0:f>IFERROR(TRIM(MID(Bookings!A527,FIND(" · ",Bookings!A527)+3,99)),"")</ns0:f>
        <ns0:v/>
      </ns0:c>
      <ns0:c r="C527" s="0">
        <ns0:f>IF(OR(B527="",LEN(B527)&gt;24,ISNUMBER(FIND(" ",B527)),ISNUMBER(FIND("*",B527)),ISNUMBER(FIND("?",B527)),ISNUMBER(FIND("~",B527))),0,IFERROR(MATCH(B527,Team!$A$11:$A$60,0),0))</ns0:f>
        <ns0:v>0</ns0:v>
      </ns0:c>
      <ns0:c r="D527" s="0" t="str">
        <ns0:f>IFERROR(IF(MID(Bookings!F527,LEN(Bookings!F527)-3,3)=" · ",RIGHT(Bookings!F527,1),""),"")</ns0:f>
        <ns0:v/>
      </ns0:c>
      <ns0:c r="E527" s="0" t="str">
        <ns0:f>IFERROR(INDEX(Settings!$H$7:$H$11,MATCH(D527,Settings!$G$7:$G$11,0)),"")</ns0:f>
        <ns0:v/>
      </ns0:c>
      <ns0:c r="F527" s="0" t="str">
        <ns0:f>IF(A527=0,"",IFERROR(IF(OR(B527="",C527=0),"CHECK employee selection",IF(INDEX(Team!$O$11:$O$60,C527)&lt;&gt;"OK","CHECK employee setup",IF(OR('_Dates'!J527=0,'_Dates'!T527=0),"CHECK date: use DD.MM.YYYY",IF('_Dates'!T527&lt;'_Dates'!J527,"CHECK end before start",IF(AND($B$6=0,OR('_Dates'!J527&lt;Settings!$B$7,'_Dates'!T527&gt;Settings!$B$8)),"CHECK split across leave years",IF(OR(NOT(OR('_Dates'!U527="Full day",'_Dates'!U527="AM",'_Dates'!U527="PM")),NOT(OR('_Dates'!V527="Full day",'_Dates'!V527="AM",'_Dates'!V527="PM"))),"CHECK Full day / AM / PM",IF(AND('_Dates'!J527='_Dates'!T527,'_Dates'!U527&lt;&gt;"Full day",'_Dates'!V527&lt;&gt;"Full day",'_Dates'!U527&lt;&gt;'_Dates'!V527),"CHECK same-day portions disagree",IF(AND($B$6=0,OR(AND('_Dates'!U527&lt;&gt;"Full day",'_Dates'!AA527=0),AND('_Dates'!V527&lt;&gt;"Full day",'_Dates'!AB527=0))),"CHECK half-day on non-working date",IF(COUNTIF(Settings!$G$7:$G$11,D527)&lt;&gt;1,"CHECK leave type",IF(AND(Bookings!G527&lt;&gt;"Approved",Bookings!G527&lt;&gt;"Pending",Bookings!G527&lt;&gt;"Cancelled"),"CHECK status","OK")))))))))),"CHECK input"))</ns0:f>
        <ns0:v/>
      </ns0:c>
      <ns0:c r="G527" s="0">
        <ns0:f>IF(OR(F527&lt;&gt;"OK",$B$6&gt;0),0,0.5*(IF(('_Dates'!X527)&lt;('_Dates'!W527),0,INT((('_Dates'!X527)-('_Dates'!W527)+1)/7)*LEN(SUBSTITUTE(W527,"O",""))+LEN(SUBSTITUTE(MID(W527&amp;W527,WEEKDAY(('_Dates'!W527),2),MOD((('_Dates'!X527)-('_Dates'!W527)+1),7)),"O",""))-COUNTIFS(INDEX(AllClosureRows,C527,0),"&gt;="&amp;('_Dates'!W527),INDEX(AllClosureRows,C527,0),"&lt;="&amp;('_Dates'!X527)))+IF(('_Dates'!Z527)&lt;('_Dates'!Y527),0,INT((('_Dates'!Z527)-('_Dates'!Y527)+1)/7)*LEN(SUBSTITUTE(W527,"O",""))+LEN(SUBSTITUTE(MID(W527&amp;W527,WEEKDAY(('_Dates'!Y527),2),MOD((('_Dates'!Z527)-('_Dates'!Y527)+1),7)),"O",""))-COUNTIFS(INDEX(AllClosureRows,C527,0),"&gt;="&amp;('_Dates'!Y527),INDEX(AllClosureRows,C527,0),"&lt;="&amp;('_Dates'!Z527)))))</ns0:f>
        <ns0:v>0</ns0:v>
      </ns0:c>
      <ns0:c r="H527" s="0">
        <ns0:f>IF(OR(F527&lt;&gt;"OK",$B$6&gt;0),0,0.5*(IF((MIN('_Dates'!X527,Settings!$B$9))&lt;('_Dates'!W527),0,INT(((MIN('_Dates'!X527,Settings!$B$9))-('_Dates'!W527)+1)/7)*LEN(SUBSTITUTE(W527,"O",""))+LEN(SUBSTITUTE(MID(W527&amp;W527,WEEKDAY(('_Dates'!W527),2),MOD(((MIN('_Dates'!X527,Settings!$B$9))-('_Dates'!W527)+1),7)),"O",""))-COUNTIFS(INDEX(AllClosureRows,C527,0),"&gt;="&amp;('_Dates'!W527),INDEX(AllClosureRows,C527,0),"&lt;="&amp;(MIN('_Dates'!X527,Settings!$B$9))))+IF((MIN('_Dates'!Z527,Settings!$B$9))&lt;('_Dates'!Y527),0,INT(((MIN('_Dates'!Z527,Settings!$B$9))-('_Dates'!Y527)+1)/7)*LEN(SUBSTITUTE(W527,"O",""))+LEN(SUBSTITUTE(MID(W527&amp;W527,WEEKDAY(('_Dates'!Y527),2),MOD(((MIN('_Dates'!Z527,Settings!$B$9))-('_Dates'!Y527)+1),7)),"O",""))-COUNTIFS(INDEX(AllClosureRows,C527,0),"&gt;="&amp;('_Dates'!Y527),INDEX(AllClosureRows,C527,0),"&lt;="&amp;(MIN('_Dates'!Z527,Settings!$B$9))))))</ns0:f>
        <ns0:v>0</ns0:v>
      </ns0:c>
      <ns0:c r="I527" s="0">
        <ns0:f>MAX(0,G527-H527)</ns0:f>
        <ns0:v>0</ns0:v>
      </ns0:c>
      <ns0:c r="J527" s="0">
        <ns0:f>IF(OR(A527=0,F527&lt;&gt;"OK",Bookings!G527="Cancelled",$B$6&gt;0),0,IF('_Dates'!AC527=1,MAX(0,COUNTIFS(rngEngine_B,B527,rngAMStart,"&lt;="&amp;'_Dates'!X527,rngAMEnd,"&gt;="&amp;'_Dates'!W527,rngAMActive,1,rngEngine_F,"OK",rngBookings_F,"&lt;&gt;Cancelled")-1),0)+IF('_Dates'!AD527=1,MAX(0,COUNTIFS(rngEngine_B,B527,rngPMStart,"&lt;="&amp;'_Dates'!Z527,rngPMEnd,"&gt;="&amp;'_Dates'!Y527,rngPMActive,1,rngEngine_F,"OK",rngBookings_F,"&lt;&gt;Cancelled")-1),0))</ns0:f>
        <ns0:v>0</ns0:v>
      </ns0:c>
      <ns0:c r="K527" s="0" t="str">
        <ns0:f>IF(A527=0,"",IF(F527&lt;&gt;"OK",F527,IF(J527&gt;0,"CHECK overlapping entry",IF(AND($B$6=0,G527&lt;=0,Bookings!G527&lt;&gt;"Cancelled"),"CHECK no working days",IF(Bookings!G527="Cancelled","Cancelled","OK")))))</ns0:f>
        <ns0:v/>
      </ns0:c>
      <ns0:c r="L527" s="0">
        <ns0:f>IF(LEFT(K527,5)="CHECK",1,0)</ns0:f>
        <ns0:v>0</ns0:v>
      </ns0:c>
      <ns0:c r="M527" s="0">
        <ns0:f>IF(AND(L527=1,OR(C527=0,IFERROR(INDEX($X$11:$X$60,C527),0)=0)),1,0)</ns0:f>
        <ns0:v>0</ns0:v>
      </ns0:c>
      <ns0:c r="N527" s="0">
        <ns0:f>IF(OR(A527=0,L527&gt;0,$B$6&gt;0,Bookings!G527="Cancelled"),0,G527)</ns0:f>
        <ns0:v>0</ns0:v>
      </ns0:c>
      <ns0:c r="O527" s="0">
        <ns0:f>IF(AND(Bookings!G527="Approved",E527="Yes"),N527,0)</ns0:f>
        <ns0:v>0</ns0:v>
      </ns0:c>
      <ns0:c r="P527" s="0">
        <ns0:f>IF(AND(Bookings!G527="Approved",E527="Yes",L527=0,$B$6=0),H527,0)</ns0:f>
        <ns0:v>0</ns0:v>
      </ns0:c>
      <ns0:c r="Q527" s="0">
        <ns0:f>IF(AND(Bookings!G527="Approved",E527="Yes",L527=0,$B$6=0),I527,0)</ns0:f>
        <ns0:v>0</ns0:v>
      </ns0:c>
      <ns0:c r="R527" s="0">
        <ns0:f>IF(AND(Bookings!G527="Pending",E527="Yes"),N527,0)</ns0:f>
        <ns0:v>0</ns0:v>
      </ns0:c>
      <ns0:c r="S527" s="0">
        <ns0:f>IF(AND(Bookings!G527="Approved",E527="No"),N527,0)</ns0:f>
        <ns0:v>0</ns0:v>
      </ns0:c>
      <ns0:c r="T527" s="0">
        <ns0:f>IFERROR(MATCH(D527,Settings!$G$7:$G$11,0),0)</ns0:f>
        <ns0:v>0</ns0:v>
      </ns0:c>
      <ns0:c r="U527" s="0">
        <ns0:f>IF(N527&gt;0,T527+IF(Bookings!G527="Pending",10,0),0)</ns0:f>
        <ns0:v>0</ns0:v>
      </ns0:c>
      <ns0:c r="V527" s="0">
        <ns0:f>U527</ns0:f>
        <ns0:v>0</ns0:v>
      </ns0:c>
      <ns0:c r="W527" s="0" t="str">
        <ns0:f>IF(C527=0,"",INDEX($AP$11:$AP$60,C527))</ns0:f>
        <ns0:v/>
      </ns0:c>
    </ns0:row>
    <ns0:row r="528">
      <ns0:c r="A528" s="0">
        <ns0:f>IF(COUNTA(Bookings!A528:G528,Bookings!I528)=0,0,1)</ns0:f>
        <ns0:v>0</ns0:v>
      </ns0:c>
      <ns0:c r="B528" s="0" t="str">
        <ns0:f>IFERROR(TRIM(MID(Bookings!A528,FIND(" · ",Bookings!A528)+3,99)),"")</ns0:f>
        <ns0:v/>
      </ns0:c>
      <ns0:c r="C528" s="0">
        <ns0:f>IF(OR(B528="",LEN(B528)&gt;24,ISNUMBER(FIND(" ",B528)),ISNUMBER(FIND("*",B528)),ISNUMBER(FIND("?",B528)),ISNUMBER(FIND("~",B528))),0,IFERROR(MATCH(B528,Team!$A$11:$A$60,0),0))</ns0:f>
        <ns0:v>0</ns0:v>
      </ns0:c>
      <ns0:c r="D528" s="0" t="str">
        <ns0:f>IFERROR(IF(MID(Bookings!F528,LEN(Bookings!F528)-3,3)=" · ",RIGHT(Bookings!F528,1),""),"")</ns0:f>
        <ns0:v/>
      </ns0:c>
      <ns0:c r="E528" s="0" t="str">
        <ns0:f>IFERROR(INDEX(Settings!$H$7:$H$11,MATCH(D528,Settings!$G$7:$G$11,0)),"")</ns0:f>
        <ns0:v/>
      </ns0:c>
      <ns0:c r="F528" s="0" t="str">
        <ns0:f>IF(A528=0,"",IFERROR(IF(OR(B528="",C528=0),"CHECK employee selection",IF(INDEX(Team!$O$11:$O$60,C528)&lt;&gt;"OK","CHECK employee setup",IF(OR('_Dates'!J528=0,'_Dates'!T528=0),"CHECK date: use DD.MM.YYYY",IF('_Dates'!T528&lt;'_Dates'!J528,"CHECK end before start",IF(AND($B$6=0,OR('_Dates'!J528&lt;Settings!$B$7,'_Dates'!T528&gt;Settings!$B$8)),"CHECK split across leave years",IF(OR(NOT(OR('_Dates'!U528="Full day",'_Dates'!U528="AM",'_Dates'!U528="PM")),NOT(OR('_Dates'!V528="Full day",'_Dates'!V528="AM",'_Dates'!V528="PM"))),"CHECK Full day / AM / PM",IF(AND('_Dates'!J528='_Dates'!T528,'_Dates'!U528&lt;&gt;"Full day",'_Dates'!V528&lt;&gt;"Full day",'_Dates'!U528&lt;&gt;'_Dates'!V528),"CHECK same-day portions disagree",IF(AND($B$6=0,OR(AND('_Dates'!U528&lt;&gt;"Full day",'_Dates'!AA528=0),AND('_Dates'!V528&lt;&gt;"Full day",'_Dates'!AB528=0))),"CHECK half-day on non-working date",IF(COUNTIF(Settings!$G$7:$G$11,D528)&lt;&gt;1,"CHECK leave type",IF(AND(Bookings!G528&lt;&gt;"Approved",Bookings!G528&lt;&gt;"Pending",Bookings!G528&lt;&gt;"Cancelled"),"CHECK status","OK")))))))))),"CHECK input"))</ns0:f>
        <ns0:v/>
      </ns0:c>
      <ns0:c r="G528" s="0">
        <ns0:f>IF(OR(F528&lt;&gt;"OK",$B$6&gt;0),0,0.5*(IF(('_Dates'!X528)&lt;('_Dates'!W528),0,INT((('_Dates'!X528)-('_Dates'!W528)+1)/7)*LEN(SUBSTITUTE(W528,"O",""))+LEN(SUBSTITUTE(MID(W528&amp;W528,WEEKDAY(('_Dates'!W528),2),MOD((('_Dates'!X528)-('_Dates'!W528)+1),7)),"O",""))-COUNTIFS(INDEX(AllClosureRows,C528,0),"&gt;="&amp;('_Dates'!W528),INDEX(AllClosureRows,C528,0),"&lt;="&amp;('_Dates'!X528)))+IF(('_Dates'!Z528)&lt;('_Dates'!Y528),0,INT((('_Dates'!Z528)-('_Dates'!Y528)+1)/7)*LEN(SUBSTITUTE(W528,"O",""))+LEN(SUBSTITUTE(MID(W528&amp;W528,WEEKDAY(('_Dates'!Y528),2),MOD((('_Dates'!Z528)-('_Dates'!Y528)+1),7)),"O",""))-COUNTIFS(INDEX(AllClosureRows,C528,0),"&gt;="&amp;('_Dates'!Y528),INDEX(AllClosureRows,C528,0),"&lt;="&amp;('_Dates'!Z528)))))</ns0:f>
        <ns0:v>0</ns0:v>
      </ns0:c>
      <ns0:c r="H528" s="0">
        <ns0:f>IF(OR(F528&lt;&gt;"OK",$B$6&gt;0),0,0.5*(IF((MIN('_Dates'!X528,Settings!$B$9))&lt;('_Dates'!W528),0,INT(((MIN('_Dates'!X528,Settings!$B$9))-('_Dates'!W528)+1)/7)*LEN(SUBSTITUTE(W528,"O",""))+LEN(SUBSTITUTE(MID(W528&amp;W528,WEEKDAY(('_Dates'!W528),2),MOD(((MIN('_Dates'!X528,Settings!$B$9))-('_Dates'!W528)+1),7)),"O",""))-COUNTIFS(INDEX(AllClosureRows,C528,0),"&gt;="&amp;('_Dates'!W528),INDEX(AllClosureRows,C528,0),"&lt;="&amp;(MIN('_Dates'!X528,Settings!$B$9))))+IF((MIN('_Dates'!Z528,Settings!$B$9))&lt;('_Dates'!Y528),0,INT(((MIN('_Dates'!Z528,Settings!$B$9))-('_Dates'!Y528)+1)/7)*LEN(SUBSTITUTE(W528,"O",""))+LEN(SUBSTITUTE(MID(W528&amp;W528,WEEKDAY(('_Dates'!Y528),2),MOD(((MIN('_Dates'!Z528,Settings!$B$9))-('_Dates'!Y528)+1),7)),"O",""))-COUNTIFS(INDEX(AllClosureRows,C528,0),"&gt;="&amp;('_Dates'!Y528),INDEX(AllClosureRows,C528,0),"&lt;="&amp;(MIN('_Dates'!Z528,Settings!$B$9))))))</ns0:f>
        <ns0:v>0</ns0:v>
      </ns0:c>
      <ns0:c r="I528" s="0">
        <ns0:f>MAX(0,G528-H528)</ns0:f>
        <ns0:v>0</ns0:v>
      </ns0:c>
      <ns0:c r="J528" s="0">
        <ns0:f>IF(OR(A528=0,F528&lt;&gt;"OK",Bookings!G528="Cancelled",$B$6&gt;0),0,IF('_Dates'!AC528=1,MAX(0,COUNTIFS(rngEngine_B,B528,rngAMStart,"&lt;="&amp;'_Dates'!X528,rngAMEnd,"&gt;="&amp;'_Dates'!W528,rngAMActive,1,rngEngine_F,"OK",rngBookings_F,"&lt;&gt;Cancelled")-1),0)+IF('_Dates'!AD528=1,MAX(0,COUNTIFS(rngEngine_B,B528,rngPMStart,"&lt;="&amp;'_Dates'!Z528,rngPMEnd,"&gt;="&amp;'_Dates'!Y528,rngPMActive,1,rngEngine_F,"OK",rngBookings_F,"&lt;&gt;Cancelled")-1),0))</ns0:f>
        <ns0:v>0</ns0:v>
      </ns0:c>
      <ns0:c r="K528" s="0" t="str">
        <ns0:f>IF(A528=0,"",IF(F528&lt;&gt;"OK",F528,IF(J528&gt;0,"CHECK overlapping entry",IF(AND($B$6=0,G528&lt;=0,Bookings!G528&lt;&gt;"Cancelled"),"CHECK no working days",IF(Bookings!G528="Cancelled","Cancelled","OK")))))</ns0:f>
        <ns0:v/>
      </ns0:c>
      <ns0:c r="L528" s="0">
        <ns0:f>IF(LEFT(K528,5)="CHECK",1,0)</ns0:f>
        <ns0:v>0</ns0:v>
      </ns0:c>
      <ns0:c r="M528" s="0">
        <ns0:f>IF(AND(L528=1,OR(C528=0,IFERROR(INDEX($X$11:$X$60,C528),0)=0)),1,0)</ns0:f>
        <ns0:v>0</ns0:v>
      </ns0:c>
      <ns0:c r="N528" s="0">
        <ns0:f>IF(OR(A528=0,L528&gt;0,$B$6&gt;0,Bookings!G528="Cancelled"),0,G528)</ns0:f>
        <ns0:v>0</ns0:v>
      </ns0:c>
      <ns0:c r="O528" s="0">
        <ns0:f>IF(AND(Bookings!G528="Approved",E528="Yes"),N528,0)</ns0:f>
        <ns0:v>0</ns0:v>
      </ns0:c>
      <ns0:c r="P528" s="0">
        <ns0:f>IF(AND(Bookings!G528="Approved",E528="Yes",L528=0,$B$6=0),H528,0)</ns0:f>
        <ns0:v>0</ns0:v>
      </ns0:c>
      <ns0:c r="Q528" s="0">
        <ns0:f>IF(AND(Bookings!G528="Approved",E528="Yes",L528=0,$B$6=0),I528,0)</ns0:f>
        <ns0:v>0</ns0:v>
      </ns0:c>
      <ns0:c r="R528" s="0">
        <ns0:f>IF(AND(Bookings!G528="Pending",E528="Yes"),N528,0)</ns0:f>
        <ns0:v>0</ns0:v>
      </ns0:c>
      <ns0:c r="S528" s="0">
        <ns0:f>IF(AND(Bookings!G528="Approved",E528="No"),N528,0)</ns0:f>
        <ns0:v>0</ns0:v>
      </ns0:c>
      <ns0:c r="T528" s="0">
        <ns0:f>IFERROR(MATCH(D528,Settings!$G$7:$G$11,0),0)</ns0:f>
        <ns0:v>0</ns0:v>
      </ns0:c>
      <ns0:c r="U528" s="0">
        <ns0:f>IF(N528&gt;0,T528+IF(Bookings!G528="Pending",10,0),0)</ns0:f>
        <ns0:v>0</ns0:v>
      </ns0:c>
      <ns0:c r="V528" s="0">
        <ns0:f>U528</ns0:f>
        <ns0:v>0</ns0:v>
      </ns0:c>
      <ns0:c r="W528" s="0" t="str">
        <ns0:f>IF(C528=0,"",INDEX($AP$11:$AP$60,C528))</ns0:f>
        <ns0:v/>
      </ns0:c>
    </ns0:row>
    <ns0:row r="529">
      <ns0:c r="A529" s="0">
        <ns0:f>IF(COUNTA(Bookings!A529:G529,Bookings!I529)=0,0,1)</ns0:f>
        <ns0:v>0</ns0:v>
      </ns0:c>
      <ns0:c r="B529" s="0" t="str">
        <ns0:f>IFERROR(TRIM(MID(Bookings!A529,FIND(" · ",Bookings!A529)+3,99)),"")</ns0:f>
        <ns0:v/>
      </ns0:c>
      <ns0:c r="C529" s="0">
        <ns0:f>IF(OR(B529="",LEN(B529)&gt;24,ISNUMBER(FIND(" ",B529)),ISNUMBER(FIND("*",B529)),ISNUMBER(FIND("?",B529)),ISNUMBER(FIND("~",B529))),0,IFERROR(MATCH(B529,Team!$A$11:$A$60,0),0))</ns0:f>
        <ns0:v>0</ns0:v>
      </ns0:c>
      <ns0:c r="D529" s="0" t="str">
        <ns0:f>IFERROR(IF(MID(Bookings!F529,LEN(Bookings!F529)-3,3)=" · ",RIGHT(Bookings!F529,1),""),"")</ns0:f>
        <ns0:v/>
      </ns0:c>
      <ns0:c r="E529" s="0" t="str">
        <ns0:f>IFERROR(INDEX(Settings!$H$7:$H$11,MATCH(D529,Settings!$G$7:$G$11,0)),"")</ns0:f>
        <ns0:v/>
      </ns0:c>
      <ns0:c r="F529" s="0" t="str">
        <ns0:f>IF(A529=0,"",IFERROR(IF(OR(B529="",C529=0),"CHECK employee selection",IF(INDEX(Team!$O$11:$O$60,C529)&lt;&gt;"OK","CHECK employee setup",IF(OR('_Dates'!J529=0,'_Dates'!T529=0),"CHECK date: use DD.MM.YYYY",IF('_Dates'!T529&lt;'_Dates'!J529,"CHECK end before start",IF(AND($B$6=0,OR('_Dates'!J529&lt;Settings!$B$7,'_Dates'!T529&gt;Settings!$B$8)),"CHECK split across leave years",IF(OR(NOT(OR('_Dates'!U529="Full day",'_Dates'!U529="AM",'_Dates'!U529="PM")),NOT(OR('_Dates'!V529="Full day",'_Dates'!V529="AM",'_Dates'!V529="PM"))),"CHECK Full day / AM / PM",IF(AND('_Dates'!J529='_Dates'!T529,'_Dates'!U529&lt;&gt;"Full day",'_Dates'!V529&lt;&gt;"Full day",'_Dates'!U529&lt;&gt;'_Dates'!V529),"CHECK same-day portions disagree",IF(AND($B$6=0,OR(AND('_Dates'!U529&lt;&gt;"Full day",'_Dates'!AA529=0),AND('_Dates'!V529&lt;&gt;"Full day",'_Dates'!AB529=0))),"CHECK half-day on non-working date",IF(COUNTIF(Settings!$G$7:$G$11,D529)&lt;&gt;1,"CHECK leave type",IF(AND(Bookings!G529&lt;&gt;"Approved",Bookings!G529&lt;&gt;"Pending",Bookings!G529&lt;&gt;"Cancelled"),"CHECK status","OK")))))))))),"CHECK input"))</ns0:f>
        <ns0:v/>
      </ns0:c>
      <ns0:c r="G529" s="0">
        <ns0:f>IF(OR(F529&lt;&gt;"OK",$B$6&gt;0),0,0.5*(IF(('_Dates'!X529)&lt;('_Dates'!W529),0,INT((('_Dates'!X529)-('_Dates'!W529)+1)/7)*LEN(SUBSTITUTE(W529,"O",""))+LEN(SUBSTITUTE(MID(W529&amp;W529,WEEKDAY(('_Dates'!W529),2),MOD((('_Dates'!X529)-('_Dates'!W529)+1),7)),"O",""))-COUNTIFS(INDEX(AllClosureRows,C529,0),"&gt;="&amp;('_Dates'!W529),INDEX(AllClosureRows,C529,0),"&lt;="&amp;('_Dates'!X529)))+IF(('_Dates'!Z529)&lt;('_Dates'!Y529),0,INT((('_Dates'!Z529)-('_Dates'!Y529)+1)/7)*LEN(SUBSTITUTE(W529,"O",""))+LEN(SUBSTITUTE(MID(W529&amp;W529,WEEKDAY(('_Dates'!Y529),2),MOD((('_Dates'!Z529)-('_Dates'!Y529)+1),7)),"O",""))-COUNTIFS(INDEX(AllClosureRows,C529,0),"&gt;="&amp;('_Dates'!Y529),INDEX(AllClosureRows,C529,0),"&lt;="&amp;('_Dates'!Z529)))))</ns0:f>
        <ns0:v>0</ns0:v>
      </ns0:c>
      <ns0:c r="H529" s="0">
        <ns0:f>IF(OR(F529&lt;&gt;"OK",$B$6&gt;0),0,0.5*(IF((MIN('_Dates'!X529,Settings!$B$9))&lt;('_Dates'!W529),0,INT(((MIN('_Dates'!X529,Settings!$B$9))-('_Dates'!W529)+1)/7)*LEN(SUBSTITUTE(W529,"O",""))+LEN(SUBSTITUTE(MID(W529&amp;W529,WEEKDAY(('_Dates'!W529),2),MOD(((MIN('_Dates'!X529,Settings!$B$9))-('_Dates'!W529)+1),7)),"O",""))-COUNTIFS(INDEX(AllClosureRows,C529,0),"&gt;="&amp;('_Dates'!W529),INDEX(AllClosureRows,C529,0),"&lt;="&amp;(MIN('_Dates'!X529,Settings!$B$9))))+IF((MIN('_Dates'!Z529,Settings!$B$9))&lt;('_Dates'!Y529),0,INT(((MIN('_Dates'!Z529,Settings!$B$9))-('_Dates'!Y529)+1)/7)*LEN(SUBSTITUTE(W529,"O",""))+LEN(SUBSTITUTE(MID(W529&amp;W529,WEEKDAY(('_Dates'!Y529),2),MOD(((MIN('_Dates'!Z529,Settings!$B$9))-('_Dates'!Y529)+1),7)),"O",""))-COUNTIFS(INDEX(AllClosureRows,C529,0),"&gt;="&amp;('_Dates'!Y529),INDEX(AllClosureRows,C529,0),"&lt;="&amp;(MIN('_Dates'!Z529,Settings!$B$9))))))</ns0:f>
        <ns0:v>0</ns0:v>
      </ns0:c>
      <ns0:c r="I529" s="0">
        <ns0:f>MAX(0,G529-H529)</ns0:f>
        <ns0:v>0</ns0:v>
      </ns0:c>
      <ns0:c r="J529" s="0">
        <ns0:f>IF(OR(A529=0,F529&lt;&gt;"OK",Bookings!G529="Cancelled",$B$6&gt;0),0,IF('_Dates'!AC529=1,MAX(0,COUNTIFS(rngEngine_B,B529,rngAMStart,"&lt;="&amp;'_Dates'!X529,rngAMEnd,"&gt;="&amp;'_Dates'!W529,rngAMActive,1,rngEngine_F,"OK",rngBookings_F,"&lt;&gt;Cancelled")-1),0)+IF('_Dates'!AD529=1,MAX(0,COUNTIFS(rngEngine_B,B529,rngPMStart,"&lt;="&amp;'_Dates'!Z529,rngPMEnd,"&gt;="&amp;'_Dates'!Y529,rngPMActive,1,rngEngine_F,"OK",rngBookings_F,"&lt;&gt;Cancelled")-1),0))</ns0:f>
        <ns0:v>0</ns0:v>
      </ns0:c>
      <ns0:c r="K529" s="0" t="str">
        <ns0:f>IF(A529=0,"",IF(F529&lt;&gt;"OK",F529,IF(J529&gt;0,"CHECK overlapping entry",IF(AND($B$6=0,G529&lt;=0,Bookings!G529&lt;&gt;"Cancelled"),"CHECK no working days",IF(Bookings!G529="Cancelled","Cancelled","OK")))))</ns0:f>
        <ns0:v/>
      </ns0:c>
      <ns0:c r="L529" s="0">
        <ns0:f>IF(LEFT(K529,5)="CHECK",1,0)</ns0:f>
        <ns0:v>0</ns0:v>
      </ns0:c>
      <ns0:c r="M529" s="0">
        <ns0:f>IF(AND(L529=1,OR(C529=0,IFERROR(INDEX($X$11:$X$60,C529),0)=0)),1,0)</ns0:f>
        <ns0:v>0</ns0:v>
      </ns0:c>
      <ns0:c r="N529" s="0">
        <ns0:f>IF(OR(A529=0,L529&gt;0,$B$6&gt;0,Bookings!G529="Cancelled"),0,G529)</ns0:f>
        <ns0:v>0</ns0:v>
      </ns0:c>
      <ns0:c r="O529" s="0">
        <ns0:f>IF(AND(Bookings!G529="Approved",E529="Yes"),N529,0)</ns0:f>
        <ns0:v>0</ns0:v>
      </ns0:c>
      <ns0:c r="P529" s="0">
        <ns0:f>IF(AND(Bookings!G529="Approved",E529="Yes",L529=0,$B$6=0),H529,0)</ns0:f>
        <ns0:v>0</ns0:v>
      </ns0:c>
      <ns0:c r="Q529" s="0">
        <ns0:f>IF(AND(Bookings!G529="Approved",E529="Yes",L529=0,$B$6=0),I529,0)</ns0:f>
        <ns0:v>0</ns0:v>
      </ns0:c>
      <ns0:c r="R529" s="0">
        <ns0:f>IF(AND(Bookings!G529="Pending",E529="Yes"),N529,0)</ns0:f>
        <ns0:v>0</ns0:v>
      </ns0:c>
      <ns0:c r="S529" s="0">
        <ns0:f>IF(AND(Bookings!G529="Approved",E529="No"),N529,0)</ns0:f>
        <ns0:v>0</ns0:v>
      </ns0:c>
      <ns0:c r="T529" s="0">
        <ns0:f>IFERROR(MATCH(D529,Settings!$G$7:$G$11,0),0)</ns0:f>
        <ns0:v>0</ns0:v>
      </ns0:c>
      <ns0:c r="U529" s="0">
        <ns0:f>IF(N529&gt;0,T529+IF(Bookings!G529="Pending",10,0),0)</ns0:f>
        <ns0:v>0</ns0:v>
      </ns0:c>
      <ns0:c r="V529" s="0">
        <ns0:f>U529</ns0:f>
        <ns0:v>0</ns0:v>
      </ns0:c>
      <ns0:c r="W529" s="0" t="str">
        <ns0:f>IF(C529=0,"",INDEX($AP$11:$AP$60,C529))</ns0:f>
        <ns0:v/>
      </ns0:c>
    </ns0:row>
    <ns0:row r="530">
      <ns0:c r="A530" s="0">
        <ns0:f>IF(COUNTA(Bookings!A530:G530,Bookings!I530)=0,0,1)</ns0:f>
        <ns0:v>0</ns0:v>
      </ns0:c>
      <ns0:c r="B530" s="0" t="str">
        <ns0:f>IFERROR(TRIM(MID(Bookings!A530,FIND(" · ",Bookings!A530)+3,99)),"")</ns0:f>
        <ns0:v/>
      </ns0:c>
      <ns0:c r="C530" s="0">
        <ns0:f>IF(OR(B530="",LEN(B530)&gt;24,ISNUMBER(FIND(" ",B530)),ISNUMBER(FIND("*",B530)),ISNUMBER(FIND("?",B530)),ISNUMBER(FIND("~",B530))),0,IFERROR(MATCH(B530,Team!$A$11:$A$60,0),0))</ns0:f>
        <ns0:v>0</ns0:v>
      </ns0:c>
      <ns0:c r="D530" s="0" t="str">
        <ns0:f>IFERROR(IF(MID(Bookings!F530,LEN(Bookings!F530)-3,3)=" · ",RIGHT(Bookings!F530,1),""),"")</ns0:f>
        <ns0:v/>
      </ns0:c>
      <ns0:c r="E530" s="0" t="str">
        <ns0:f>IFERROR(INDEX(Settings!$H$7:$H$11,MATCH(D530,Settings!$G$7:$G$11,0)),"")</ns0:f>
        <ns0:v/>
      </ns0:c>
      <ns0:c r="F530" s="0" t="str">
        <ns0:f>IF(A530=0,"",IFERROR(IF(OR(B530="",C530=0),"CHECK employee selection",IF(INDEX(Team!$O$11:$O$60,C530)&lt;&gt;"OK","CHECK employee setup",IF(OR('_Dates'!J530=0,'_Dates'!T530=0),"CHECK date: use DD.MM.YYYY",IF('_Dates'!T530&lt;'_Dates'!J530,"CHECK end before start",IF(AND($B$6=0,OR('_Dates'!J530&lt;Settings!$B$7,'_Dates'!T530&gt;Settings!$B$8)),"CHECK split across leave years",IF(OR(NOT(OR('_Dates'!U530="Full day",'_Dates'!U530="AM",'_Dates'!U530="PM")),NOT(OR('_Dates'!V530="Full day",'_Dates'!V530="AM",'_Dates'!V530="PM"))),"CHECK Full day / AM / PM",IF(AND('_Dates'!J530='_Dates'!T530,'_Dates'!U530&lt;&gt;"Full day",'_Dates'!V530&lt;&gt;"Full day",'_Dates'!U530&lt;&gt;'_Dates'!V530),"CHECK same-day portions disagree",IF(AND($B$6=0,OR(AND('_Dates'!U530&lt;&gt;"Full day",'_Dates'!AA530=0),AND('_Dates'!V530&lt;&gt;"Full day",'_Dates'!AB530=0))),"CHECK half-day on non-working date",IF(COUNTIF(Settings!$G$7:$G$11,D530)&lt;&gt;1,"CHECK leave type",IF(AND(Bookings!G530&lt;&gt;"Approved",Bookings!G530&lt;&gt;"Pending",Bookings!G530&lt;&gt;"Cancelled"),"CHECK status","OK")))))))))),"CHECK input"))</ns0:f>
        <ns0:v/>
      </ns0:c>
      <ns0:c r="G530" s="0">
        <ns0:f>IF(OR(F530&lt;&gt;"OK",$B$6&gt;0),0,0.5*(IF(('_Dates'!X530)&lt;('_Dates'!W530),0,INT((('_Dates'!X530)-('_Dates'!W530)+1)/7)*LEN(SUBSTITUTE(W530,"O",""))+LEN(SUBSTITUTE(MID(W530&amp;W530,WEEKDAY(('_Dates'!W530),2),MOD((('_Dates'!X530)-('_Dates'!W530)+1),7)),"O",""))-COUNTIFS(INDEX(AllClosureRows,C530,0),"&gt;="&amp;('_Dates'!W530),INDEX(AllClosureRows,C530,0),"&lt;="&amp;('_Dates'!X530)))+IF(('_Dates'!Z530)&lt;('_Dates'!Y530),0,INT((('_Dates'!Z530)-('_Dates'!Y530)+1)/7)*LEN(SUBSTITUTE(W530,"O",""))+LEN(SUBSTITUTE(MID(W530&amp;W530,WEEKDAY(('_Dates'!Y530),2),MOD((('_Dates'!Z530)-('_Dates'!Y530)+1),7)),"O",""))-COUNTIFS(INDEX(AllClosureRows,C530,0),"&gt;="&amp;('_Dates'!Y530),INDEX(AllClosureRows,C530,0),"&lt;="&amp;('_Dates'!Z530)))))</ns0:f>
        <ns0:v>0</ns0:v>
      </ns0:c>
      <ns0:c r="H530" s="0">
        <ns0:f>IF(OR(F530&lt;&gt;"OK",$B$6&gt;0),0,0.5*(IF((MIN('_Dates'!X530,Settings!$B$9))&lt;('_Dates'!W530),0,INT(((MIN('_Dates'!X530,Settings!$B$9))-('_Dates'!W530)+1)/7)*LEN(SUBSTITUTE(W530,"O",""))+LEN(SUBSTITUTE(MID(W530&amp;W530,WEEKDAY(('_Dates'!W530),2),MOD(((MIN('_Dates'!X530,Settings!$B$9))-('_Dates'!W530)+1),7)),"O",""))-COUNTIFS(INDEX(AllClosureRows,C530,0),"&gt;="&amp;('_Dates'!W530),INDEX(AllClosureRows,C530,0),"&lt;="&amp;(MIN('_Dates'!X530,Settings!$B$9))))+IF((MIN('_Dates'!Z530,Settings!$B$9))&lt;('_Dates'!Y530),0,INT(((MIN('_Dates'!Z530,Settings!$B$9))-('_Dates'!Y530)+1)/7)*LEN(SUBSTITUTE(W530,"O",""))+LEN(SUBSTITUTE(MID(W530&amp;W530,WEEKDAY(('_Dates'!Y530),2),MOD(((MIN('_Dates'!Z530,Settings!$B$9))-('_Dates'!Y530)+1),7)),"O",""))-COUNTIFS(INDEX(AllClosureRows,C530,0),"&gt;="&amp;('_Dates'!Y530),INDEX(AllClosureRows,C530,0),"&lt;="&amp;(MIN('_Dates'!Z530,Settings!$B$9))))))</ns0:f>
        <ns0:v>0</ns0:v>
      </ns0:c>
      <ns0:c r="I530" s="0">
        <ns0:f>MAX(0,G530-H530)</ns0:f>
        <ns0:v>0</ns0:v>
      </ns0:c>
      <ns0:c r="J530" s="0">
        <ns0:f>IF(OR(A530=0,F530&lt;&gt;"OK",Bookings!G530="Cancelled",$B$6&gt;0),0,IF('_Dates'!AC530=1,MAX(0,COUNTIFS(rngEngine_B,B530,rngAMStart,"&lt;="&amp;'_Dates'!X530,rngAMEnd,"&gt;="&amp;'_Dates'!W530,rngAMActive,1,rngEngine_F,"OK",rngBookings_F,"&lt;&gt;Cancelled")-1),0)+IF('_Dates'!AD530=1,MAX(0,COUNTIFS(rngEngine_B,B530,rngPMStart,"&lt;="&amp;'_Dates'!Z530,rngPMEnd,"&gt;="&amp;'_Dates'!Y530,rngPMActive,1,rngEngine_F,"OK",rngBookings_F,"&lt;&gt;Cancelled")-1),0))</ns0:f>
        <ns0:v>0</ns0:v>
      </ns0:c>
      <ns0:c r="K530" s="0" t="str">
        <ns0:f>IF(A530=0,"",IF(F530&lt;&gt;"OK",F530,IF(J530&gt;0,"CHECK overlapping entry",IF(AND($B$6=0,G530&lt;=0,Bookings!G530&lt;&gt;"Cancelled"),"CHECK no working days",IF(Bookings!G530="Cancelled","Cancelled","OK")))))</ns0:f>
        <ns0:v/>
      </ns0:c>
      <ns0:c r="L530" s="0">
        <ns0:f>IF(LEFT(K530,5)="CHECK",1,0)</ns0:f>
        <ns0:v>0</ns0:v>
      </ns0:c>
      <ns0:c r="M530" s="0">
        <ns0:f>IF(AND(L530=1,OR(C530=0,IFERROR(INDEX($X$11:$X$60,C530),0)=0)),1,0)</ns0:f>
        <ns0:v>0</ns0:v>
      </ns0:c>
      <ns0:c r="N530" s="0">
        <ns0:f>IF(OR(A530=0,L530&gt;0,$B$6&gt;0,Bookings!G530="Cancelled"),0,G530)</ns0:f>
        <ns0:v>0</ns0:v>
      </ns0:c>
      <ns0:c r="O530" s="0">
        <ns0:f>IF(AND(Bookings!G530="Approved",E530="Yes"),N530,0)</ns0:f>
        <ns0:v>0</ns0:v>
      </ns0:c>
      <ns0:c r="P530" s="0">
        <ns0:f>IF(AND(Bookings!G530="Approved",E530="Yes",L530=0,$B$6=0),H530,0)</ns0:f>
        <ns0:v>0</ns0:v>
      </ns0:c>
      <ns0:c r="Q530" s="0">
        <ns0:f>IF(AND(Bookings!G530="Approved",E530="Yes",L530=0,$B$6=0),I530,0)</ns0:f>
        <ns0:v>0</ns0:v>
      </ns0:c>
      <ns0:c r="R530" s="0">
        <ns0:f>IF(AND(Bookings!G530="Pending",E530="Yes"),N530,0)</ns0:f>
        <ns0:v>0</ns0:v>
      </ns0:c>
      <ns0:c r="S530" s="0">
        <ns0:f>IF(AND(Bookings!G530="Approved",E530="No"),N530,0)</ns0:f>
        <ns0:v>0</ns0:v>
      </ns0:c>
      <ns0:c r="T530" s="0">
        <ns0:f>IFERROR(MATCH(D530,Settings!$G$7:$G$11,0),0)</ns0:f>
        <ns0:v>0</ns0:v>
      </ns0:c>
      <ns0:c r="U530" s="0">
        <ns0:f>IF(N530&gt;0,T530+IF(Bookings!G530="Pending",10,0),0)</ns0:f>
        <ns0:v>0</ns0:v>
      </ns0:c>
      <ns0:c r="V530" s="0">
        <ns0:f>U530</ns0:f>
        <ns0:v>0</ns0:v>
      </ns0:c>
      <ns0:c r="W530" s="0" t="str">
        <ns0:f>IF(C530=0,"",INDEX($AP$11:$AP$60,C530))</ns0:f>
        <ns0:v/>
      </ns0:c>
    </ns0:row>
    <ns0:row r="531">
      <ns0:c r="A531" s="0">
        <ns0:f>IF(COUNTA(Bookings!A531:G531,Bookings!I531)=0,0,1)</ns0:f>
        <ns0:v>0</ns0:v>
      </ns0:c>
      <ns0:c r="B531" s="0" t="str">
        <ns0:f>IFERROR(TRIM(MID(Bookings!A531,FIND(" · ",Bookings!A531)+3,99)),"")</ns0:f>
        <ns0:v/>
      </ns0:c>
      <ns0:c r="C531" s="0">
        <ns0:f>IF(OR(B531="",LEN(B531)&gt;24,ISNUMBER(FIND(" ",B531)),ISNUMBER(FIND("*",B531)),ISNUMBER(FIND("?",B531)),ISNUMBER(FIND("~",B531))),0,IFERROR(MATCH(B531,Team!$A$11:$A$60,0),0))</ns0:f>
        <ns0:v>0</ns0:v>
      </ns0:c>
      <ns0:c r="D531" s="0" t="str">
        <ns0:f>IFERROR(IF(MID(Bookings!F531,LEN(Bookings!F531)-3,3)=" · ",RIGHT(Bookings!F531,1),""),"")</ns0:f>
        <ns0:v/>
      </ns0:c>
      <ns0:c r="E531" s="0" t="str">
        <ns0:f>IFERROR(INDEX(Settings!$H$7:$H$11,MATCH(D531,Settings!$G$7:$G$11,0)),"")</ns0:f>
        <ns0:v/>
      </ns0:c>
      <ns0:c r="F531" s="0" t="str">
        <ns0:f>IF(A531=0,"",IFERROR(IF(OR(B531="",C531=0),"CHECK employee selection",IF(INDEX(Team!$O$11:$O$60,C531)&lt;&gt;"OK","CHECK employee setup",IF(OR('_Dates'!J531=0,'_Dates'!T531=0),"CHECK date: use DD.MM.YYYY",IF('_Dates'!T531&lt;'_Dates'!J531,"CHECK end before start",IF(AND($B$6=0,OR('_Dates'!J531&lt;Settings!$B$7,'_Dates'!T531&gt;Settings!$B$8)),"CHECK split across leave years",IF(OR(NOT(OR('_Dates'!U531="Full day",'_Dates'!U531="AM",'_Dates'!U531="PM")),NOT(OR('_Dates'!V531="Full day",'_Dates'!V531="AM",'_Dates'!V531="PM"))),"CHECK Full day / AM / PM",IF(AND('_Dates'!J531='_Dates'!T531,'_Dates'!U531&lt;&gt;"Full day",'_Dates'!V531&lt;&gt;"Full day",'_Dates'!U531&lt;&gt;'_Dates'!V531),"CHECK same-day portions disagree",IF(AND($B$6=0,OR(AND('_Dates'!U531&lt;&gt;"Full day",'_Dates'!AA531=0),AND('_Dates'!V531&lt;&gt;"Full day",'_Dates'!AB531=0))),"CHECK half-day on non-working date",IF(COUNTIF(Settings!$G$7:$G$11,D531)&lt;&gt;1,"CHECK leave type",IF(AND(Bookings!G531&lt;&gt;"Approved",Bookings!G531&lt;&gt;"Pending",Bookings!G531&lt;&gt;"Cancelled"),"CHECK status","OK")))))))))),"CHECK input"))</ns0:f>
        <ns0:v/>
      </ns0:c>
      <ns0:c r="G531" s="0">
        <ns0:f>IF(OR(F531&lt;&gt;"OK",$B$6&gt;0),0,0.5*(IF(('_Dates'!X531)&lt;('_Dates'!W531),0,INT((('_Dates'!X531)-('_Dates'!W531)+1)/7)*LEN(SUBSTITUTE(W531,"O",""))+LEN(SUBSTITUTE(MID(W531&amp;W531,WEEKDAY(('_Dates'!W531),2),MOD((('_Dates'!X531)-('_Dates'!W531)+1),7)),"O",""))-COUNTIFS(INDEX(AllClosureRows,C531,0),"&gt;="&amp;('_Dates'!W531),INDEX(AllClosureRows,C531,0),"&lt;="&amp;('_Dates'!X531)))+IF(('_Dates'!Z531)&lt;('_Dates'!Y531),0,INT((('_Dates'!Z531)-('_Dates'!Y531)+1)/7)*LEN(SUBSTITUTE(W531,"O",""))+LEN(SUBSTITUTE(MID(W531&amp;W531,WEEKDAY(('_Dates'!Y531),2),MOD((('_Dates'!Z531)-('_Dates'!Y531)+1),7)),"O",""))-COUNTIFS(INDEX(AllClosureRows,C531,0),"&gt;="&amp;('_Dates'!Y531),INDEX(AllClosureRows,C531,0),"&lt;="&amp;('_Dates'!Z531)))))</ns0:f>
        <ns0:v>0</ns0:v>
      </ns0:c>
      <ns0:c r="H531" s="0">
        <ns0:f>IF(OR(F531&lt;&gt;"OK",$B$6&gt;0),0,0.5*(IF((MIN('_Dates'!X531,Settings!$B$9))&lt;('_Dates'!W531),0,INT(((MIN('_Dates'!X531,Settings!$B$9))-('_Dates'!W531)+1)/7)*LEN(SUBSTITUTE(W531,"O",""))+LEN(SUBSTITUTE(MID(W531&amp;W531,WEEKDAY(('_Dates'!W531),2),MOD(((MIN('_Dates'!X531,Settings!$B$9))-('_Dates'!W531)+1),7)),"O",""))-COUNTIFS(INDEX(AllClosureRows,C531,0),"&gt;="&amp;('_Dates'!W531),INDEX(AllClosureRows,C531,0),"&lt;="&amp;(MIN('_Dates'!X531,Settings!$B$9))))+IF((MIN('_Dates'!Z531,Settings!$B$9))&lt;('_Dates'!Y531),0,INT(((MIN('_Dates'!Z531,Settings!$B$9))-('_Dates'!Y531)+1)/7)*LEN(SUBSTITUTE(W531,"O",""))+LEN(SUBSTITUTE(MID(W531&amp;W531,WEEKDAY(('_Dates'!Y531),2),MOD(((MIN('_Dates'!Z531,Settings!$B$9))-('_Dates'!Y531)+1),7)),"O",""))-COUNTIFS(INDEX(AllClosureRows,C531,0),"&gt;="&amp;('_Dates'!Y531),INDEX(AllClosureRows,C531,0),"&lt;="&amp;(MIN('_Dates'!Z531,Settings!$B$9))))))</ns0:f>
        <ns0:v>0</ns0:v>
      </ns0:c>
      <ns0:c r="I531" s="0">
        <ns0:f>MAX(0,G531-H531)</ns0:f>
        <ns0:v>0</ns0:v>
      </ns0:c>
      <ns0:c r="J531" s="0">
        <ns0:f>IF(OR(A531=0,F531&lt;&gt;"OK",Bookings!G531="Cancelled",$B$6&gt;0),0,IF('_Dates'!AC531=1,MAX(0,COUNTIFS(rngEngine_B,B531,rngAMStart,"&lt;="&amp;'_Dates'!X531,rngAMEnd,"&gt;="&amp;'_Dates'!W531,rngAMActive,1,rngEngine_F,"OK",rngBookings_F,"&lt;&gt;Cancelled")-1),0)+IF('_Dates'!AD531=1,MAX(0,COUNTIFS(rngEngine_B,B531,rngPMStart,"&lt;="&amp;'_Dates'!Z531,rngPMEnd,"&gt;="&amp;'_Dates'!Y531,rngPMActive,1,rngEngine_F,"OK",rngBookings_F,"&lt;&gt;Cancelled")-1),0))</ns0:f>
        <ns0:v>0</ns0:v>
      </ns0:c>
      <ns0:c r="K531" s="0" t="str">
        <ns0:f>IF(A531=0,"",IF(F531&lt;&gt;"OK",F531,IF(J531&gt;0,"CHECK overlapping entry",IF(AND($B$6=0,G531&lt;=0,Bookings!G531&lt;&gt;"Cancelled"),"CHECK no working days",IF(Bookings!G531="Cancelled","Cancelled","OK")))))</ns0:f>
        <ns0:v/>
      </ns0:c>
      <ns0:c r="L531" s="0">
        <ns0:f>IF(LEFT(K531,5)="CHECK",1,0)</ns0:f>
        <ns0:v>0</ns0:v>
      </ns0:c>
      <ns0:c r="M531" s="0">
        <ns0:f>IF(AND(L531=1,OR(C531=0,IFERROR(INDEX($X$11:$X$60,C531),0)=0)),1,0)</ns0:f>
        <ns0:v>0</ns0:v>
      </ns0:c>
      <ns0:c r="N531" s="0">
        <ns0:f>IF(OR(A531=0,L531&gt;0,$B$6&gt;0,Bookings!G531="Cancelled"),0,G531)</ns0:f>
        <ns0:v>0</ns0:v>
      </ns0:c>
      <ns0:c r="O531" s="0">
        <ns0:f>IF(AND(Bookings!G531="Approved",E531="Yes"),N531,0)</ns0:f>
        <ns0:v>0</ns0:v>
      </ns0:c>
      <ns0:c r="P531" s="0">
        <ns0:f>IF(AND(Bookings!G531="Approved",E531="Yes",L531=0,$B$6=0),H531,0)</ns0:f>
        <ns0:v>0</ns0:v>
      </ns0:c>
      <ns0:c r="Q531" s="0">
        <ns0:f>IF(AND(Bookings!G531="Approved",E531="Yes",L531=0,$B$6=0),I531,0)</ns0:f>
        <ns0:v>0</ns0:v>
      </ns0:c>
      <ns0:c r="R531" s="0">
        <ns0:f>IF(AND(Bookings!G531="Pending",E531="Yes"),N531,0)</ns0:f>
        <ns0:v>0</ns0:v>
      </ns0:c>
      <ns0:c r="S531" s="0">
        <ns0:f>IF(AND(Bookings!G531="Approved",E531="No"),N531,0)</ns0:f>
        <ns0:v>0</ns0:v>
      </ns0:c>
      <ns0:c r="T531" s="0">
        <ns0:f>IFERROR(MATCH(D531,Settings!$G$7:$G$11,0),0)</ns0:f>
        <ns0:v>0</ns0:v>
      </ns0:c>
      <ns0:c r="U531" s="0">
        <ns0:f>IF(N531&gt;0,T531+IF(Bookings!G531="Pending",10,0),0)</ns0:f>
        <ns0:v>0</ns0:v>
      </ns0:c>
      <ns0:c r="V531" s="0">
        <ns0:f>U531</ns0:f>
        <ns0:v>0</ns0:v>
      </ns0:c>
      <ns0:c r="W531" s="0" t="str">
        <ns0:f>IF(C531=0,"",INDEX($AP$11:$AP$60,C531))</ns0:f>
        <ns0:v/>
      </ns0:c>
    </ns0:row>
    <ns0:row r="532">
      <ns0:c r="A532" s="0">
        <ns0:f>IF(COUNTA(Bookings!A532:G532,Bookings!I532)=0,0,1)</ns0:f>
        <ns0:v>0</ns0:v>
      </ns0:c>
      <ns0:c r="B532" s="0" t="str">
        <ns0:f>IFERROR(TRIM(MID(Bookings!A532,FIND(" · ",Bookings!A532)+3,99)),"")</ns0:f>
        <ns0:v/>
      </ns0:c>
      <ns0:c r="C532" s="0">
        <ns0:f>IF(OR(B532="",LEN(B532)&gt;24,ISNUMBER(FIND(" ",B532)),ISNUMBER(FIND("*",B532)),ISNUMBER(FIND("?",B532)),ISNUMBER(FIND("~",B532))),0,IFERROR(MATCH(B532,Team!$A$11:$A$60,0),0))</ns0:f>
        <ns0:v>0</ns0:v>
      </ns0:c>
      <ns0:c r="D532" s="0" t="str">
        <ns0:f>IFERROR(IF(MID(Bookings!F532,LEN(Bookings!F532)-3,3)=" · ",RIGHT(Bookings!F532,1),""),"")</ns0:f>
        <ns0:v/>
      </ns0:c>
      <ns0:c r="E532" s="0" t="str">
        <ns0:f>IFERROR(INDEX(Settings!$H$7:$H$11,MATCH(D532,Settings!$G$7:$G$11,0)),"")</ns0:f>
        <ns0:v/>
      </ns0:c>
      <ns0:c r="F532" s="0" t="str">
        <ns0:f>IF(A532=0,"",IFERROR(IF(OR(B532="",C532=0),"CHECK employee selection",IF(INDEX(Team!$O$11:$O$60,C532)&lt;&gt;"OK","CHECK employee setup",IF(OR('_Dates'!J532=0,'_Dates'!T532=0),"CHECK date: use DD.MM.YYYY",IF('_Dates'!T532&lt;'_Dates'!J532,"CHECK end before start",IF(AND($B$6=0,OR('_Dates'!J532&lt;Settings!$B$7,'_Dates'!T532&gt;Settings!$B$8)),"CHECK split across leave years",IF(OR(NOT(OR('_Dates'!U532="Full day",'_Dates'!U532="AM",'_Dates'!U532="PM")),NOT(OR('_Dates'!V532="Full day",'_Dates'!V532="AM",'_Dates'!V532="PM"))),"CHECK Full day / AM / PM",IF(AND('_Dates'!J532='_Dates'!T532,'_Dates'!U532&lt;&gt;"Full day",'_Dates'!V532&lt;&gt;"Full day",'_Dates'!U532&lt;&gt;'_Dates'!V532),"CHECK same-day portions disagree",IF(AND($B$6=0,OR(AND('_Dates'!U532&lt;&gt;"Full day",'_Dates'!AA532=0),AND('_Dates'!V532&lt;&gt;"Full day",'_Dates'!AB532=0))),"CHECK half-day on non-working date",IF(COUNTIF(Settings!$G$7:$G$11,D532)&lt;&gt;1,"CHECK leave type",IF(AND(Bookings!G532&lt;&gt;"Approved",Bookings!G532&lt;&gt;"Pending",Bookings!G532&lt;&gt;"Cancelled"),"CHECK status","OK")))))))))),"CHECK input"))</ns0:f>
        <ns0:v/>
      </ns0:c>
      <ns0:c r="G532" s="0">
        <ns0:f>IF(OR(F532&lt;&gt;"OK",$B$6&gt;0),0,0.5*(IF(('_Dates'!X532)&lt;('_Dates'!W532),0,INT((('_Dates'!X532)-('_Dates'!W532)+1)/7)*LEN(SUBSTITUTE(W532,"O",""))+LEN(SUBSTITUTE(MID(W532&amp;W532,WEEKDAY(('_Dates'!W532),2),MOD((('_Dates'!X532)-('_Dates'!W532)+1),7)),"O",""))-COUNTIFS(INDEX(AllClosureRows,C532,0),"&gt;="&amp;('_Dates'!W532),INDEX(AllClosureRows,C532,0),"&lt;="&amp;('_Dates'!X532)))+IF(('_Dates'!Z532)&lt;('_Dates'!Y532),0,INT((('_Dates'!Z532)-('_Dates'!Y532)+1)/7)*LEN(SUBSTITUTE(W532,"O",""))+LEN(SUBSTITUTE(MID(W532&amp;W532,WEEKDAY(('_Dates'!Y532),2),MOD((('_Dates'!Z532)-('_Dates'!Y532)+1),7)),"O",""))-COUNTIFS(INDEX(AllClosureRows,C532,0),"&gt;="&amp;('_Dates'!Y532),INDEX(AllClosureRows,C532,0),"&lt;="&amp;('_Dates'!Z532)))))</ns0:f>
        <ns0:v>0</ns0:v>
      </ns0:c>
      <ns0:c r="H532" s="0">
        <ns0:f>IF(OR(F532&lt;&gt;"OK",$B$6&gt;0),0,0.5*(IF((MIN('_Dates'!X532,Settings!$B$9))&lt;('_Dates'!W532),0,INT(((MIN('_Dates'!X532,Settings!$B$9))-('_Dates'!W532)+1)/7)*LEN(SUBSTITUTE(W532,"O",""))+LEN(SUBSTITUTE(MID(W532&amp;W532,WEEKDAY(('_Dates'!W532),2),MOD(((MIN('_Dates'!X532,Settings!$B$9))-('_Dates'!W532)+1),7)),"O",""))-COUNTIFS(INDEX(AllClosureRows,C532,0),"&gt;="&amp;('_Dates'!W532),INDEX(AllClosureRows,C532,0),"&lt;="&amp;(MIN('_Dates'!X532,Settings!$B$9))))+IF((MIN('_Dates'!Z532,Settings!$B$9))&lt;('_Dates'!Y532),0,INT(((MIN('_Dates'!Z532,Settings!$B$9))-('_Dates'!Y532)+1)/7)*LEN(SUBSTITUTE(W532,"O",""))+LEN(SUBSTITUTE(MID(W532&amp;W532,WEEKDAY(('_Dates'!Y532),2),MOD(((MIN('_Dates'!Z532,Settings!$B$9))-('_Dates'!Y532)+1),7)),"O",""))-COUNTIFS(INDEX(AllClosureRows,C532,0),"&gt;="&amp;('_Dates'!Y532),INDEX(AllClosureRows,C532,0),"&lt;="&amp;(MIN('_Dates'!Z532,Settings!$B$9))))))</ns0:f>
        <ns0:v>0</ns0:v>
      </ns0:c>
      <ns0:c r="I532" s="0">
        <ns0:f>MAX(0,G532-H532)</ns0:f>
        <ns0:v>0</ns0:v>
      </ns0:c>
      <ns0:c r="J532" s="0">
        <ns0:f>IF(OR(A532=0,F532&lt;&gt;"OK",Bookings!G532="Cancelled",$B$6&gt;0),0,IF('_Dates'!AC532=1,MAX(0,COUNTIFS(rngEngine_B,B532,rngAMStart,"&lt;="&amp;'_Dates'!X532,rngAMEnd,"&gt;="&amp;'_Dates'!W532,rngAMActive,1,rngEngine_F,"OK",rngBookings_F,"&lt;&gt;Cancelled")-1),0)+IF('_Dates'!AD532=1,MAX(0,COUNTIFS(rngEngine_B,B532,rngPMStart,"&lt;="&amp;'_Dates'!Z532,rngPMEnd,"&gt;="&amp;'_Dates'!Y532,rngPMActive,1,rngEngine_F,"OK",rngBookings_F,"&lt;&gt;Cancelled")-1),0))</ns0:f>
        <ns0:v>0</ns0:v>
      </ns0:c>
      <ns0:c r="K532" s="0" t="str">
        <ns0:f>IF(A532=0,"",IF(F532&lt;&gt;"OK",F532,IF(J532&gt;0,"CHECK overlapping entry",IF(AND($B$6=0,G532&lt;=0,Bookings!G532&lt;&gt;"Cancelled"),"CHECK no working days",IF(Bookings!G532="Cancelled","Cancelled","OK")))))</ns0:f>
        <ns0:v/>
      </ns0:c>
      <ns0:c r="L532" s="0">
        <ns0:f>IF(LEFT(K532,5)="CHECK",1,0)</ns0:f>
        <ns0:v>0</ns0:v>
      </ns0:c>
      <ns0:c r="M532" s="0">
        <ns0:f>IF(AND(L532=1,OR(C532=0,IFERROR(INDEX($X$11:$X$60,C532),0)=0)),1,0)</ns0:f>
        <ns0:v>0</ns0:v>
      </ns0:c>
      <ns0:c r="N532" s="0">
        <ns0:f>IF(OR(A532=0,L532&gt;0,$B$6&gt;0,Bookings!G532="Cancelled"),0,G532)</ns0:f>
        <ns0:v>0</ns0:v>
      </ns0:c>
      <ns0:c r="O532" s="0">
        <ns0:f>IF(AND(Bookings!G532="Approved",E532="Yes"),N532,0)</ns0:f>
        <ns0:v>0</ns0:v>
      </ns0:c>
      <ns0:c r="P532" s="0">
        <ns0:f>IF(AND(Bookings!G532="Approved",E532="Yes",L532=0,$B$6=0),H532,0)</ns0:f>
        <ns0:v>0</ns0:v>
      </ns0:c>
      <ns0:c r="Q532" s="0">
        <ns0:f>IF(AND(Bookings!G532="Approved",E532="Yes",L532=0,$B$6=0),I532,0)</ns0:f>
        <ns0:v>0</ns0:v>
      </ns0:c>
      <ns0:c r="R532" s="0">
        <ns0:f>IF(AND(Bookings!G532="Pending",E532="Yes"),N532,0)</ns0:f>
        <ns0:v>0</ns0:v>
      </ns0:c>
      <ns0:c r="S532" s="0">
        <ns0:f>IF(AND(Bookings!G532="Approved",E532="No"),N532,0)</ns0:f>
        <ns0:v>0</ns0:v>
      </ns0:c>
      <ns0:c r="T532" s="0">
        <ns0:f>IFERROR(MATCH(D532,Settings!$G$7:$G$11,0),0)</ns0:f>
        <ns0:v>0</ns0:v>
      </ns0:c>
      <ns0:c r="U532" s="0">
        <ns0:f>IF(N532&gt;0,T532+IF(Bookings!G532="Pending",10,0),0)</ns0:f>
        <ns0:v>0</ns0:v>
      </ns0:c>
      <ns0:c r="V532" s="0">
        <ns0:f>U532</ns0:f>
        <ns0:v>0</ns0:v>
      </ns0:c>
      <ns0:c r="W532" s="0" t="str">
        <ns0:f>IF(C532=0,"",INDEX($AP$11:$AP$60,C532))</ns0:f>
        <ns0:v/>
      </ns0:c>
    </ns0:row>
    <ns0:row r="533">
      <ns0:c r="A533" s="0">
        <ns0:f>IF(COUNTA(Bookings!A533:G533,Bookings!I533)=0,0,1)</ns0:f>
        <ns0:v>0</ns0:v>
      </ns0:c>
      <ns0:c r="B533" s="0" t="str">
        <ns0:f>IFERROR(TRIM(MID(Bookings!A533,FIND(" · ",Bookings!A533)+3,99)),"")</ns0:f>
        <ns0:v/>
      </ns0:c>
      <ns0:c r="C533" s="0">
        <ns0:f>IF(OR(B533="",LEN(B533)&gt;24,ISNUMBER(FIND(" ",B533)),ISNUMBER(FIND("*",B533)),ISNUMBER(FIND("?",B533)),ISNUMBER(FIND("~",B533))),0,IFERROR(MATCH(B533,Team!$A$11:$A$60,0),0))</ns0:f>
        <ns0:v>0</ns0:v>
      </ns0:c>
      <ns0:c r="D533" s="0" t="str">
        <ns0:f>IFERROR(IF(MID(Bookings!F533,LEN(Bookings!F533)-3,3)=" · ",RIGHT(Bookings!F533,1),""),"")</ns0:f>
        <ns0:v/>
      </ns0:c>
      <ns0:c r="E533" s="0" t="str">
        <ns0:f>IFERROR(INDEX(Settings!$H$7:$H$11,MATCH(D533,Settings!$G$7:$G$11,0)),"")</ns0:f>
        <ns0:v/>
      </ns0:c>
      <ns0:c r="F533" s="0" t="str">
        <ns0:f>IF(A533=0,"",IFERROR(IF(OR(B533="",C533=0),"CHECK employee selection",IF(INDEX(Team!$O$11:$O$60,C533)&lt;&gt;"OK","CHECK employee setup",IF(OR('_Dates'!J533=0,'_Dates'!T533=0),"CHECK date: use DD.MM.YYYY",IF('_Dates'!T533&lt;'_Dates'!J533,"CHECK end before start",IF(AND($B$6=0,OR('_Dates'!J533&lt;Settings!$B$7,'_Dates'!T533&gt;Settings!$B$8)),"CHECK split across leave years",IF(OR(NOT(OR('_Dates'!U533="Full day",'_Dates'!U533="AM",'_Dates'!U533="PM")),NOT(OR('_Dates'!V533="Full day",'_Dates'!V533="AM",'_Dates'!V533="PM"))),"CHECK Full day / AM / PM",IF(AND('_Dates'!J533='_Dates'!T533,'_Dates'!U533&lt;&gt;"Full day",'_Dates'!V533&lt;&gt;"Full day",'_Dates'!U533&lt;&gt;'_Dates'!V533),"CHECK same-day portions disagree",IF(AND($B$6=0,OR(AND('_Dates'!U533&lt;&gt;"Full day",'_Dates'!AA533=0),AND('_Dates'!V533&lt;&gt;"Full day",'_Dates'!AB533=0))),"CHECK half-day on non-working date",IF(COUNTIF(Settings!$G$7:$G$11,D533)&lt;&gt;1,"CHECK leave type",IF(AND(Bookings!G533&lt;&gt;"Approved",Bookings!G533&lt;&gt;"Pending",Bookings!G533&lt;&gt;"Cancelled"),"CHECK status","OK")))))))))),"CHECK input"))</ns0:f>
        <ns0:v/>
      </ns0:c>
      <ns0:c r="G533" s="0">
        <ns0:f>IF(OR(F533&lt;&gt;"OK",$B$6&gt;0),0,0.5*(IF(('_Dates'!X533)&lt;('_Dates'!W533),0,INT((('_Dates'!X533)-('_Dates'!W533)+1)/7)*LEN(SUBSTITUTE(W533,"O",""))+LEN(SUBSTITUTE(MID(W533&amp;W533,WEEKDAY(('_Dates'!W533),2),MOD((('_Dates'!X533)-('_Dates'!W533)+1),7)),"O",""))-COUNTIFS(INDEX(AllClosureRows,C533,0),"&gt;="&amp;('_Dates'!W533),INDEX(AllClosureRows,C533,0),"&lt;="&amp;('_Dates'!X533)))+IF(('_Dates'!Z533)&lt;('_Dates'!Y533),0,INT((('_Dates'!Z533)-('_Dates'!Y533)+1)/7)*LEN(SUBSTITUTE(W533,"O",""))+LEN(SUBSTITUTE(MID(W533&amp;W533,WEEKDAY(('_Dates'!Y533),2),MOD((('_Dates'!Z533)-('_Dates'!Y533)+1),7)),"O",""))-COUNTIFS(INDEX(AllClosureRows,C533,0),"&gt;="&amp;('_Dates'!Y533),INDEX(AllClosureRows,C533,0),"&lt;="&amp;('_Dates'!Z533)))))</ns0:f>
        <ns0:v>0</ns0:v>
      </ns0:c>
      <ns0:c r="H533" s="0">
        <ns0:f>IF(OR(F533&lt;&gt;"OK",$B$6&gt;0),0,0.5*(IF((MIN('_Dates'!X533,Settings!$B$9))&lt;('_Dates'!W533),0,INT(((MIN('_Dates'!X533,Settings!$B$9))-('_Dates'!W533)+1)/7)*LEN(SUBSTITUTE(W533,"O",""))+LEN(SUBSTITUTE(MID(W533&amp;W533,WEEKDAY(('_Dates'!W533),2),MOD(((MIN('_Dates'!X533,Settings!$B$9))-('_Dates'!W533)+1),7)),"O",""))-COUNTIFS(INDEX(AllClosureRows,C533,0),"&gt;="&amp;('_Dates'!W533),INDEX(AllClosureRows,C533,0),"&lt;="&amp;(MIN('_Dates'!X533,Settings!$B$9))))+IF((MIN('_Dates'!Z533,Settings!$B$9))&lt;('_Dates'!Y533),0,INT(((MIN('_Dates'!Z533,Settings!$B$9))-('_Dates'!Y533)+1)/7)*LEN(SUBSTITUTE(W533,"O",""))+LEN(SUBSTITUTE(MID(W533&amp;W533,WEEKDAY(('_Dates'!Y533),2),MOD(((MIN('_Dates'!Z533,Settings!$B$9))-('_Dates'!Y533)+1),7)),"O",""))-COUNTIFS(INDEX(AllClosureRows,C533,0),"&gt;="&amp;('_Dates'!Y533),INDEX(AllClosureRows,C533,0),"&lt;="&amp;(MIN('_Dates'!Z533,Settings!$B$9))))))</ns0:f>
        <ns0:v>0</ns0:v>
      </ns0:c>
      <ns0:c r="I533" s="0">
        <ns0:f>MAX(0,G533-H533)</ns0:f>
        <ns0:v>0</ns0:v>
      </ns0:c>
      <ns0:c r="J533" s="0">
        <ns0:f>IF(OR(A533=0,F533&lt;&gt;"OK",Bookings!G533="Cancelled",$B$6&gt;0),0,IF('_Dates'!AC533=1,MAX(0,COUNTIFS(rngEngine_B,B533,rngAMStart,"&lt;="&amp;'_Dates'!X533,rngAMEnd,"&gt;="&amp;'_Dates'!W533,rngAMActive,1,rngEngine_F,"OK",rngBookings_F,"&lt;&gt;Cancelled")-1),0)+IF('_Dates'!AD533=1,MAX(0,COUNTIFS(rngEngine_B,B533,rngPMStart,"&lt;="&amp;'_Dates'!Z533,rngPMEnd,"&gt;="&amp;'_Dates'!Y533,rngPMActive,1,rngEngine_F,"OK",rngBookings_F,"&lt;&gt;Cancelled")-1),0))</ns0:f>
        <ns0:v>0</ns0:v>
      </ns0:c>
      <ns0:c r="K533" s="0" t="str">
        <ns0:f>IF(A533=0,"",IF(F533&lt;&gt;"OK",F533,IF(J533&gt;0,"CHECK overlapping entry",IF(AND($B$6=0,G533&lt;=0,Bookings!G533&lt;&gt;"Cancelled"),"CHECK no working days",IF(Bookings!G533="Cancelled","Cancelled","OK")))))</ns0:f>
        <ns0:v/>
      </ns0:c>
      <ns0:c r="L533" s="0">
        <ns0:f>IF(LEFT(K533,5)="CHECK",1,0)</ns0:f>
        <ns0:v>0</ns0:v>
      </ns0:c>
      <ns0:c r="M533" s="0">
        <ns0:f>IF(AND(L533=1,OR(C533=0,IFERROR(INDEX($X$11:$X$60,C533),0)=0)),1,0)</ns0:f>
        <ns0:v>0</ns0:v>
      </ns0:c>
      <ns0:c r="N533" s="0">
        <ns0:f>IF(OR(A533=0,L533&gt;0,$B$6&gt;0,Bookings!G533="Cancelled"),0,G533)</ns0:f>
        <ns0:v>0</ns0:v>
      </ns0:c>
      <ns0:c r="O533" s="0">
        <ns0:f>IF(AND(Bookings!G533="Approved",E533="Yes"),N533,0)</ns0:f>
        <ns0:v>0</ns0:v>
      </ns0:c>
      <ns0:c r="P533" s="0">
        <ns0:f>IF(AND(Bookings!G533="Approved",E533="Yes",L533=0,$B$6=0),H533,0)</ns0:f>
        <ns0:v>0</ns0:v>
      </ns0:c>
      <ns0:c r="Q533" s="0">
        <ns0:f>IF(AND(Bookings!G533="Approved",E533="Yes",L533=0,$B$6=0),I533,0)</ns0:f>
        <ns0:v>0</ns0:v>
      </ns0:c>
      <ns0:c r="R533" s="0">
        <ns0:f>IF(AND(Bookings!G533="Pending",E533="Yes"),N533,0)</ns0:f>
        <ns0:v>0</ns0:v>
      </ns0:c>
      <ns0:c r="S533" s="0">
        <ns0:f>IF(AND(Bookings!G533="Approved",E533="No"),N533,0)</ns0:f>
        <ns0:v>0</ns0:v>
      </ns0:c>
      <ns0:c r="T533" s="0">
        <ns0:f>IFERROR(MATCH(D533,Settings!$G$7:$G$11,0),0)</ns0:f>
        <ns0:v>0</ns0:v>
      </ns0:c>
      <ns0:c r="U533" s="0">
        <ns0:f>IF(N533&gt;0,T533+IF(Bookings!G533="Pending",10,0),0)</ns0:f>
        <ns0:v>0</ns0:v>
      </ns0:c>
      <ns0:c r="V533" s="0">
        <ns0:f>U533</ns0:f>
        <ns0:v>0</ns0:v>
      </ns0:c>
      <ns0:c r="W533" s="0" t="str">
        <ns0:f>IF(C533=0,"",INDEX($AP$11:$AP$60,C533))</ns0:f>
        <ns0:v/>
      </ns0:c>
    </ns0:row>
    <ns0:row r="534">
      <ns0:c r="A534" s="0">
        <ns0:f>IF(COUNTA(Bookings!A534:G534,Bookings!I534)=0,0,1)</ns0:f>
        <ns0:v>0</ns0:v>
      </ns0:c>
      <ns0:c r="B534" s="0" t="str">
        <ns0:f>IFERROR(TRIM(MID(Bookings!A534,FIND(" · ",Bookings!A534)+3,99)),"")</ns0:f>
        <ns0:v/>
      </ns0:c>
      <ns0:c r="C534" s="0">
        <ns0:f>IF(OR(B534="",LEN(B534)&gt;24,ISNUMBER(FIND(" ",B534)),ISNUMBER(FIND("*",B534)),ISNUMBER(FIND("?",B534)),ISNUMBER(FIND("~",B534))),0,IFERROR(MATCH(B534,Team!$A$11:$A$60,0),0))</ns0:f>
        <ns0:v>0</ns0:v>
      </ns0:c>
      <ns0:c r="D534" s="0" t="str">
        <ns0:f>IFERROR(IF(MID(Bookings!F534,LEN(Bookings!F534)-3,3)=" · ",RIGHT(Bookings!F534,1),""),"")</ns0:f>
        <ns0:v/>
      </ns0:c>
      <ns0:c r="E534" s="0" t="str">
        <ns0:f>IFERROR(INDEX(Settings!$H$7:$H$11,MATCH(D534,Settings!$G$7:$G$11,0)),"")</ns0:f>
        <ns0:v/>
      </ns0:c>
      <ns0:c r="F534" s="0" t="str">
        <ns0:f>IF(A534=0,"",IFERROR(IF(OR(B534="",C534=0),"CHECK employee selection",IF(INDEX(Team!$O$11:$O$60,C534)&lt;&gt;"OK","CHECK employee setup",IF(OR('_Dates'!J534=0,'_Dates'!T534=0),"CHECK date: use DD.MM.YYYY",IF('_Dates'!T534&lt;'_Dates'!J534,"CHECK end before start",IF(AND($B$6=0,OR('_Dates'!J534&lt;Settings!$B$7,'_Dates'!T534&gt;Settings!$B$8)),"CHECK split across leave years",IF(OR(NOT(OR('_Dates'!U534="Full day",'_Dates'!U534="AM",'_Dates'!U534="PM")),NOT(OR('_Dates'!V534="Full day",'_Dates'!V534="AM",'_Dates'!V534="PM"))),"CHECK Full day / AM / PM",IF(AND('_Dates'!J534='_Dates'!T534,'_Dates'!U534&lt;&gt;"Full day",'_Dates'!V534&lt;&gt;"Full day",'_Dates'!U534&lt;&gt;'_Dates'!V534),"CHECK same-day portions disagree",IF(AND($B$6=0,OR(AND('_Dates'!U534&lt;&gt;"Full day",'_Dates'!AA534=0),AND('_Dates'!V534&lt;&gt;"Full day",'_Dates'!AB534=0))),"CHECK half-day on non-working date",IF(COUNTIF(Settings!$G$7:$G$11,D534)&lt;&gt;1,"CHECK leave type",IF(AND(Bookings!G534&lt;&gt;"Approved",Bookings!G534&lt;&gt;"Pending",Bookings!G534&lt;&gt;"Cancelled"),"CHECK status","OK")))))))))),"CHECK input"))</ns0:f>
        <ns0:v/>
      </ns0:c>
      <ns0:c r="G534" s="0">
        <ns0:f>IF(OR(F534&lt;&gt;"OK",$B$6&gt;0),0,0.5*(IF(('_Dates'!X534)&lt;('_Dates'!W534),0,INT((('_Dates'!X534)-('_Dates'!W534)+1)/7)*LEN(SUBSTITUTE(W534,"O",""))+LEN(SUBSTITUTE(MID(W534&amp;W534,WEEKDAY(('_Dates'!W534),2),MOD((('_Dates'!X534)-('_Dates'!W534)+1),7)),"O",""))-COUNTIFS(INDEX(AllClosureRows,C534,0),"&gt;="&amp;('_Dates'!W534),INDEX(AllClosureRows,C534,0),"&lt;="&amp;('_Dates'!X534)))+IF(('_Dates'!Z534)&lt;('_Dates'!Y534),0,INT((('_Dates'!Z534)-('_Dates'!Y534)+1)/7)*LEN(SUBSTITUTE(W534,"O",""))+LEN(SUBSTITUTE(MID(W534&amp;W534,WEEKDAY(('_Dates'!Y534),2),MOD((('_Dates'!Z534)-('_Dates'!Y534)+1),7)),"O",""))-COUNTIFS(INDEX(AllClosureRows,C534,0),"&gt;="&amp;('_Dates'!Y534),INDEX(AllClosureRows,C534,0),"&lt;="&amp;('_Dates'!Z534)))))</ns0:f>
        <ns0:v>0</ns0:v>
      </ns0:c>
      <ns0:c r="H534" s="0">
        <ns0:f>IF(OR(F534&lt;&gt;"OK",$B$6&gt;0),0,0.5*(IF((MIN('_Dates'!X534,Settings!$B$9))&lt;('_Dates'!W534),0,INT(((MIN('_Dates'!X534,Settings!$B$9))-('_Dates'!W534)+1)/7)*LEN(SUBSTITUTE(W534,"O",""))+LEN(SUBSTITUTE(MID(W534&amp;W534,WEEKDAY(('_Dates'!W534),2),MOD(((MIN('_Dates'!X534,Settings!$B$9))-('_Dates'!W534)+1),7)),"O",""))-COUNTIFS(INDEX(AllClosureRows,C534,0),"&gt;="&amp;('_Dates'!W534),INDEX(AllClosureRows,C534,0),"&lt;="&amp;(MIN('_Dates'!X534,Settings!$B$9))))+IF((MIN('_Dates'!Z534,Settings!$B$9))&lt;('_Dates'!Y534),0,INT(((MIN('_Dates'!Z534,Settings!$B$9))-('_Dates'!Y534)+1)/7)*LEN(SUBSTITUTE(W534,"O",""))+LEN(SUBSTITUTE(MID(W534&amp;W534,WEEKDAY(('_Dates'!Y534),2),MOD(((MIN('_Dates'!Z534,Settings!$B$9))-('_Dates'!Y534)+1),7)),"O",""))-COUNTIFS(INDEX(AllClosureRows,C534,0),"&gt;="&amp;('_Dates'!Y534),INDEX(AllClosureRows,C534,0),"&lt;="&amp;(MIN('_Dates'!Z534,Settings!$B$9))))))</ns0:f>
        <ns0:v>0</ns0:v>
      </ns0:c>
      <ns0:c r="I534" s="0">
        <ns0:f>MAX(0,G534-H534)</ns0:f>
        <ns0:v>0</ns0:v>
      </ns0:c>
      <ns0:c r="J534" s="0">
        <ns0:f>IF(OR(A534=0,F534&lt;&gt;"OK",Bookings!G534="Cancelled",$B$6&gt;0),0,IF('_Dates'!AC534=1,MAX(0,COUNTIFS(rngEngine_B,B534,rngAMStart,"&lt;="&amp;'_Dates'!X534,rngAMEnd,"&gt;="&amp;'_Dates'!W534,rngAMActive,1,rngEngine_F,"OK",rngBookings_F,"&lt;&gt;Cancelled")-1),0)+IF('_Dates'!AD534=1,MAX(0,COUNTIFS(rngEngine_B,B534,rngPMStart,"&lt;="&amp;'_Dates'!Z534,rngPMEnd,"&gt;="&amp;'_Dates'!Y534,rngPMActive,1,rngEngine_F,"OK",rngBookings_F,"&lt;&gt;Cancelled")-1),0))</ns0:f>
        <ns0:v>0</ns0:v>
      </ns0:c>
      <ns0:c r="K534" s="0" t="str">
        <ns0:f>IF(A534=0,"",IF(F534&lt;&gt;"OK",F534,IF(J534&gt;0,"CHECK overlapping entry",IF(AND($B$6=0,G534&lt;=0,Bookings!G534&lt;&gt;"Cancelled"),"CHECK no working days",IF(Bookings!G534="Cancelled","Cancelled","OK")))))</ns0:f>
        <ns0:v/>
      </ns0:c>
      <ns0:c r="L534" s="0">
        <ns0:f>IF(LEFT(K534,5)="CHECK",1,0)</ns0:f>
        <ns0:v>0</ns0:v>
      </ns0:c>
      <ns0:c r="M534" s="0">
        <ns0:f>IF(AND(L534=1,OR(C534=0,IFERROR(INDEX($X$11:$X$60,C534),0)=0)),1,0)</ns0:f>
        <ns0:v>0</ns0:v>
      </ns0:c>
      <ns0:c r="N534" s="0">
        <ns0:f>IF(OR(A534=0,L534&gt;0,$B$6&gt;0,Bookings!G534="Cancelled"),0,G534)</ns0:f>
        <ns0:v>0</ns0:v>
      </ns0:c>
      <ns0:c r="O534" s="0">
        <ns0:f>IF(AND(Bookings!G534="Approved",E534="Yes"),N534,0)</ns0:f>
        <ns0:v>0</ns0:v>
      </ns0:c>
      <ns0:c r="P534" s="0">
        <ns0:f>IF(AND(Bookings!G534="Approved",E534="Yes",L534=0,$B$6=0),H534,0)</ns0:f>
        <ns0:v>0</ns0:v>
      </ns0:c>
      <ns0:c r="Q534" s="0">
        <ns0:f>IF(AND(Bookings!G534="Approved",E534="Yes",L534=0,$B$6=0),I534,0)</ns0:f>
        <ns0:v>0</ns0:v>
      </ns0:c>
      <ns0:c r="R534" s="0">
        <ns0:f>IF(AND(Bookings!G534="Pending",E534="Yes"),N534,0)</ns0:f>
        <ns0:v>0</ns0:v>
      </ns0:c>
      <ns0:c r="S534" s="0">
        <ns0:f>IF(AND(Bookings!G534="Approved",E534="No"),N534,0)</ns0:f>
        <ns0:v>0</ns0:v>
      </ns0:c>
      <ns0:c r="T534" s="0">
        <ns0:f>IFERROR(MATCH(D534,Settings!$G$7:$G$11,0),0)</ns0:f>
        <ns0:v>0</ns0:v>
      </ns0:c>
      <ns0:c r="U534" s="0">
        <ns0:f>IF(N534&gt;0,T534+IF(Bookings!G534="Pending",10,0),0)</ns0:f>
        <ns0:v>0</ns0:v>
      </ns0:c>
      <ns0:c r="V534" s="0">
        <ns0:f>U534</ns0:f>
        <ns0:v>0</ns0:v>
      </ns0:c>
      <ns0:c r="W534" s="0" t="str">
        <ns0:f>IF(C534=0,"",INDEX($AP$11:$AP$60,C534))</ns0:f>
        <ns0:v/>
      </ns0:c>
    </ns0:row>
    <ns0:row r="535">
      <ns0:c r="A535" s="0">
        <ns0:f>IF(COUNTA(Bookings!A535:G535,Bookings!I535)=0,0,1)</ns0:f>
        <ns0:v>0</ns0:v>
      </ns0:c>
      <ns0:c r="B535" s="0" t="str">
        <ns0:f>IFERROR(TRIM(MID(Bookings!A535,FIND(" · ",Bookings!A535)+3,99)),"")</ns0:f>
        <ns0:v/>
      </ns0:c>
      <ns0:c r="C535" s="0">
        <ns0:f>IF(OR(B535="",LEN(B535)&gt;24,ISNUMBER(FIND(" ",B535)),ISNUMBER(FIND("*",B535)),ISNUMBER(FIND("?",B535)),ISNUMBER(FIND("~",B535))),0,IFERROR(MATCH(B535,Team!$A$11:$A$60,0),0))</ns0:f>
        <ns0:v>0</ns0:v>
      </ns0:c>
      <ns0:c r="D535" s="0" t="str">
        <ns0:f>IFERROR(IF(MID(Bookings!F535,LEN(Bookings!F535)-3,3)=" · ",RIGHT(Bookings!F535,1),""),"")</ns0:f>
        <ns0:v/>
      </ns0:c>
      <ns0:c r="E535" s="0" t="str">
        <ns0:f>IFERROR(INDEX(Settings!$H$7:$H$11,MATCH(D535,Settings!$G$7:$G$11,0)),"")</ns0:f>
        <ns0:v/>
      </ns0:c>
      <ns0:c r="F535" s="0" t="str">
        <ns0:f>IF(A535=0,"",IFERROR(IF(OR(B535="",C535=0),"CHECK employee selection",IF(INDEX(Team!$O$11:$O$60,C535)&lt;&gt;"OK","CHECK employee setup",IF(OR('_Dates'!J535=0,'_Dates'!T535=0),"CHECK date: use DD.MM.YYYY",IF('_Dates'!T535&lt;'_Dates'!J535,"CHECK end before start",IF(AND($B$6=0,OR('_Dates'!J535&lt;Settings!$B$7,'_Dates'!T535&gt;Settings!$B$8)),"CHECK split across leave years",IF(OR(NOT(OR('_Dates'!U535="Full day",'_Dates'!U535="AM",'_Dates'!U535="PM")),NOT(OR('_Dates'!V535="Full day",'_Dates'!V535="AM",'_Dates'!V535="PM"))),"CHECK Full day / AM / PM",IF(AND('_Dates'!J535='_Dates'!T535,'_Dates'!U535&lt;&gt;"Full day",'_Dates'!V535&lt;&gt;"Full day",'_Dates'!U535&lt;&gt;'_Dates'!V535),"CHECK same-day portions disagree",IF(AND($B$6=0,OR(AND('_Dates'!U535&lt;&gt;"Full day",'_Dates'!AA535=0),AND('_Dates'!V535&lt;&gt;"Full day",'_Dates'!AB535=0))),"CHECK half-day on non-working date",IF(COUNTIF(Settings!$G$7:$G$11,D535)&lt;&gt;1,"CHECK leave type",IF(AND(Bookings!G535&lt;&gt;"Approved",Bookings!G535&lt;&gt;"Pending",Bookings!G535&lt;&gt;"Cancelled"),"CHECK status","OK")))))))))),"CHECK input"))</ns0:f>
        <ns0:v/>
      </ns0:c>
      <ns0:c r="G535" s="0">
        <ns0:f>IF(OR(F535&lt;&gt;"OK",$B$6&gt;0),0,0.5*(IF(('_Dates'!X535)&lt;('_Dates'!W535),0,INT((('_Dates'!X535)-('_Dates'!W535)+1)/7)*LEN(SUBSTITUTE(W535,"O",""))+LEN(SUBSTITUTE(MID(W535&amp;W535,WEEKDAY(('_Dates'!W535),2),MOD((('_Dates'!X535)-('_Dates'!W535)+1),7)),"O",""))-COUNTIFS(INDEX(AllClosureRows,C535,0),"&gt;="&amp;('_Dates'!W535),INDEX(AllClosureRows,C535,0),"&lt;="&amp;('_Dates'!X535)))+IF(('_Dates'!Z535)&lt;('_Dates'!Y535),0,INT((('_Dates'!Z535)-('_Dates'!Y535)+1)/7)*LEN(SUBSTITUTE(W535,"O",""))+LEN(SUBSTITUTE(MID(W535&amp;W535,WEEKDAY(('_Dates'!Y535),2),MOD((('_Dates'!Z535)-('_Dates'!Y535)+1),7)),"O",""))-COUNTIFS(INDEX(AllClosureRows,C535,0),"&gt;="&amp;('_Dates'!Y535),INDEX(AllClosureRows,C535,0),"&lt;="&amp;('_Dates'!Z535)))))</ns0:f>
        <ns0:v>0</ns0:v>
      </ns0:c>
      <ns0:c r="H535" s="0">
        <ns0:f>IF(OR(F535&lt;&gt;"OK",$B$6&gt;0),0,0.5*(IF((MIN('_Dates'!X535,Settings!$B$9))&lt;('_Dates'!W535),0,INT(((MIN('_Dates'!X535,Settings!$B$9))-('_Dates'!W535)+1)/7)*LEN(SUBSTITUTE(W535,"O",""))+LEN(SUBSTITUTE(MID(W535&amp;W535,WEEKDAY(('_Dates'!W535),2),MOD(((MIN('_Dates'!X535,Settings!$B$9))-('_Dates'!W535)+1),7)),"O",""))-COUNTIFS(INDEX(AllClosureRows,C535,0),"&gt;="&amp;('_Dates'!W535),INDEX(AllClosureRows,C535,0),"&lt;="&amp;(MIN('_Dates'!X535,Settings!$B$9))))+IF((MIN('_Dates'!Z535,Settings!$B$9))&lt;('_Dates'!Y535),0,INT(((MIN('_Dates'!Z535,Settings!$B$9))-('_Dates'!Y535)+1)/7)*LEN(SUBSTITUTE(W535,"O",""))+LEN(SUBSTITUTE(MID(W535&amp;W535,WEEKDAY(('_Dates'!Y535),2),MOD(((MIN('_Dates'!Z535,Settings!$B$9))-('_Dates'!Y535)+1),7)),"O",""))-COUNTIFS(INDEX(AllClosureRows,C535,0),"&gt;="&amp;('_Dates'!Y535),INDEX(AllClosureRows,C535,0),"&lt;="&amp;(MIN('_Dates'!Z535,Settings!$B$9))))))</ns0:f>
        <ns0:v>0</ns0:v>
      </ns0:c>
      <ns0:c r="I535" s="0">
        <ns0:f>MAX(0,G535-H535)</ns0:f>
        <ns0:v>0</ns0:v>
      </ns0:c>
      <ns0:c r="J535" s="0">
        <ns0:f>IF(OR(A535=0,F535&lt;&gt;"OK",Bookings!G535="Cancelled",$B$6&gt;0),0,IF('_Dates'!AC535=1,MAX(0,COUNTIFS(rngEngine_B,B535,rngAMStart,"&lt;="&amp;'_Dates'!X535,rngAMEnd,"&gt;="&amp;'_Dates'!W535,rngAMActive,1,rngEngine_F,"OK",rngBookings_F,"&lt;&gt;Cancelled")-1),0)+IF('_Dates'!AD535=1,MAX(0,COUNTIFS(rngEngine_B,B535,rngPMStart,"&lt;="&amp;'_Dates'!Z535,rngPMEnd,"&gt;="&amp;'_Dates'!Y535,rngPMActive,1,rngEngine_F,"OK",rngBookings_F,"&lt;&gt;Cancelled")-1),0))</ns0:f>
        <ns0:v>0</ns0:v>
      </ns0:c>
      <ns0:c r="K535" s="0" t="str">
        <ns0:f>IF(A535=0,"",IF(F535&lt;&gt;"OK",F535,IF(J535&gt;0,"CHECK overlapping entry",IF(AND($B$6=0,G535&lt;=0,Bookings!G535&lt;&gt;"Cancelled"),"CHECK no working days",IF(Bookings!G535="Cancelled","Cancelled","OK")))))</ns0:f>
        <ns0:v/>
      </ns0:c>
      <ns0:c r="L535" s="0">
        <ns0:f>IF(LEFT(K535,5)="CHECK",1,0)</ns0:f>
        <ns0:v>0</ns0:v>
      </ns0:c>
      <ns0:c r="M535" s="0">
        <ns0:f>IF(AND(L535=1,OR(C535=0,IFERROR(INDEX($X$11:$X$60,C535),0)=0)),1,0)</ns0:f>
        <ns0:v>0</ns0:v>
      </ns0:c>
      <ns0:c r="N535" s="0">
        <ns0:f>IF(OR(A535=0,L535&gt;0,$B$6&gt;0,Bookings!G535="Cancelled"),0,G535)</ns0:f>
        <ns0:v>0</ns0:v>
      </ns0:c>
      <ns0:c r="O535" s="0">
        <ns0:f>IF(AND(Bookings!G535="Approved",E535="Yes"),N535,0)</ns0:f>
        <ns0:v>0</ns0:v>
      </ns0:c>
      <ns0:c r="P535" s="0">
        <ns0:f>IF(AND(Bookings!G535="Approved",E535="Yes",L535=0,$B$6=0),H535,0)</ns0:f>
        <ns0:v>0</ns0:v>
      </ns0:c>
      <ns0:c r="Q535" s="0">
        <ns0:f>IF(AND(Bookings!G535="Approved",E535="Yes",L535=0,$B$6=0),I535,0)</ns0:f>
        <ns0:v>0</ns0:v>
      </ns0:c>
      <ns0:c r="R535" s="0">
        <ns0:f>IF(AND(Bookings!G535="Pending",E535="Yes"),N535,0)</ns0:f>
        <ns0:v>0</ns0:v>
      </ns0:c>
      <ns0:c r="S535" s="0">
        <ns0:f>IF(AND(Bookings!G535="Approved",E535="No"),N535,0)</ns0:f>
        <ns0:v>0</ns0:v>
      </ns0:c>
      <ns0:c r="T535" s="0">
        <ns0:f>IFERROR(MATCH(D535,Settings!$G$7:$G$11,0),0)</ns0:f>
        <ns0:v>0</ns0:v>
      </ns0:c>
      <ns0:c r="U535" s="0">
        <ns0:f>IF(N535&gt;0,T535+IF(Bookings!G535="Pending",10,0),0)</ns0:f>
        <ns0:v>0</ns0:v>
      </ns0:c>
      <ns0:c r="V535" s="0">
        <ns0:f>U535</ns0:f>
        <ns0:v>0</ns0:v>
      </ns0:c>
      <ns0:c r="W535" s="0" t="str">
        <ns0:f>IF(C535=0,"",INDEX($AP$11:$AP$60,C535))</ns0:f>
        <ns0:v/>
      </ns0:c>
    </ns0:row>
    <ns0:row r="536">
      <ns0:c r="A536" s="0">
        <ns0:f>IF(COUNTA(Bookings!A536:G536,Bookings!I536)=0,0,1)</ns0:f>
        <ns0:v>0</ns0:v>
      </ns0:c>
      <ns0:c r="B536" s="0" t="str">
        <ns0:f>IFERROR(TRIM(MID(Bookings!A536,FIND(" · ",Bookings!A536)+3,99)),"")</ns0:f>
        <ns0:v/>
      </ns0:c>
      <ns0:c r="C536" s="0">
        <ns0:f>IF(OR(B536="",LEN(B536)&gt;24,ISNUMBER(FIND(" ",B536)),ISNUMBER(FIND("*",B536)),ISNUMBER(FIND("?",B536)),ISNUMBER(FIND("~",B536))),0,IFERROR(MATCH(B536,Team!$A$11:$A$60,0),0))</ns0:f>
        <ns0:v>0</ns0:v>
      </ns0:c>
      <ns0:c r="D536" s="0" t="str">
        <ns0:f>IFERROR(IF(MID(Bookings!F536,LEN(Bookings!F536)-3,3)=" · ",RIGHT(Bookings!F536,1),""),"")</ns0:f>
        <ns0:v/>
      </ns0:c>
      <ns0:c r="E536" s="0" t="str">
        <ns0:f>IFERROR(INDEX(Settings!$H$7:$H$11,MATCH(D536,Settings!$G$7:$G$11,0)),"")</ns0:f>
        <ns0:v/>
      </ns0:c>
      <ns0:c r="F536" s="0" t="str">
        <ns0:f>IF(A536=0,"",IFERROR(IF(OR(B536="",C536=0),"CHECK employee selection",IF(INDEX(Team!$O$11:$O$60,C536)&lt;&gt;"OK","CHECK employee setup",IF(OR('_Dates'!J536=0,'_Dates'!T536=0),"CHECK date: use DD.MM.YYYY",IF('_Dates'!T536&lt;'_Dates'!J536,"CHECK end before start",IF(AND($B$6=0,OR('_Dates'!J536&lt;Settings!$B$7,'_Dates'!T536&gt;Settings!$B$8)),"CHECK split across leave years",IF(OR(NOT(OR('_Dates'!U536="Full day",'_Dates'!U536="AM",'_Dates'!U536="PM")),NOT(OR('_Dates'!V536="Full day",'_Dates'!V536="AM",'_Dates'!V536="PM"))),"CHECK Full day / AM / PM",IF(AND('_Dates'!J536='_Dates'!T536,'_Dates'!U536&lt;&gt;"Full day",'_Dates'!V536&lt;&gt;"Full day",'_Dates'!U536&lt;&gt;'_Dates'!V536),"CHECK same-day portions disagree",IF(AND($B$6=0,OR(AND('_Dates'!U536&lt;&gt;"Full day",'_Dates'!AA536=0),AND('_Dates'!V536&lt;&gt;"Full day",'_Dates'!AB536=0))),"CHECK half-day on non-working date",IF(COUNTIF(Settings!$G$7:$G$11,D536)&lt;&gt;1,"CHECK leave type",IF(AND(Bookings!G536&lt;&gt;"Approved",Bookings!G536&lt;&gt;"Pending",Bookings!G536&lt;&gt;"Cancelled"),"CHECK status","OK")))))))))),"CHECK input"))</ns0:f>
        <ns0:v/>
      </ns0:c>
      <ns0:c r="G536" s="0">
        <ns0:f>IF(OR(F536&lt;&gt;"OK",$B$6&gt;0),0,0.5*(IF(('_Dates'!X536)&lt;('_Dates'!W536),0,INT((('_Dates'!X536)-('_Dates'!W536)+1)/7)*LEN(SUBSTITUTE(W536,"O",""))+LEN(SUBSTITUTE(MID(W536&amp;W536,WEEKDAY(('_Dates'!W536),2),MOD((('_Dates'!X536)-('_Dates'!W536)+1),7)),"O",""))-COUNTIFS(INDEX(AllClosureRows,C536,0),"&gt;="&amp;('_Dates'!W536),INDEX(AllClosureRows,C536,0),"&lt;="&amp;('_Dates'!X536)))+IF(('_Dates'!Z536)&lt;('_Dates'!Y536),0,INT((('_Dates'!Z536)-('_Dates'!Y536)+1)/7)*LEN(SUBSTITUTE(W536,"O",""))+LEN(SUBSTITUTE(MID(W536&amp;W536,WEEKDAY(('_Dates'!Y536),2),MOD((('_Dates'!Z536)-('_Dates'!Y536)+1),7)),"O",""))-COUNTIFS(INDEX(AllClosureRows,C536,0),"&gt;="&amp;('_Dates'!Y536),INDEX(AllClosureRows,C536,0),"&lt;="&amp;('_Dates'!Z536)))))</ns0:f>
        <ns0:v>0</ns0:v>
      </ns0:c>
      <ns0:c r="H536" s="0">
        <ns0:f>IF(OR(F536&lt;&gt;"OK",$B$6&gt;0),0,0.5*(IF((MIN('_Dates'!X536,Settings!$B$9))&lt;('_Dates'!W536),0,INT(((MIN('_Dates'!X536,Settings!$B$9))-('_Dates'!W536)+1)/7)*LEN(SUBSTITUTE(W536,"O",""))+LEN(SUBSTITUTE(MID(W536&amp;W536,WEEKDAY(('_Dates'!W536),2),MOD(((MIN('_Dates'!X536,Settings!$B$9))-('_Dates'!W536)+1),7)),"O",""))-COUNTIFS(INDEX(AllClosureRows,C536,0),"&gt;="&amp;('_Dates'!W536),INDEX(AllClosureRows,C536,0),"&lt;="&amp;(MIN('_Dates'!X536,Settings!$B$9))))+IF((MIN('_Dates'!Z536,Settings!$B$9))&lt;('_Dates'!Y536),0,INT(((MIN('_Dates'!Z536,Settings!$B$9))-('_Dates'!Y536)+1)/7)*LEN(SUBSTITUTE(W536,"O",""))+LEN(SUBSTITUTE(MID(W536&amp;W536,WEEKDAY(('_Dates'!Y536),2),MOD(((MIN('_Dates'!Z536,Settings!$B$9))-('_Dates'!Y536)+1),7)),"O",""))-COUNTIFS(INDEX(AllClosureRows,C536,0),"&gt;="&amp;('_Dates'!Y536),INDEX(AllClosureRows,C536,0),"&lt;="&amp;(MIN('_Dates'!Z536,Settings!$B$9))))))</ns0:f>
        <ns0:v>0</ns0:v>
      </ns0:c>
      <ns0:c r="I536" s="0">
        <ns0:f>MAX(0,G536-H536)</ns0:f>
        <ns0:v>0</ns0:v>
      </ns0:c>
      <ns0:c r="J536" s="0">
        <ns0:f>IF(OR(A536=0,F536&lt;&gt;"OK",Bookings!G536="Cancelled",$B$6&gt;0),0,IF('_Dates'!AC536=1,MAX(0,COUNTIFS(rngEngine_B,B536,rngAMStart,"&lt;="&amp;'_Dates'!X536,rngAMEnd,"&gt;="&amp;'_Dates'!W536,rngAMActive,1,rngEngine_F,"OK",rngBookings_F,"&lt;&gt;Cancelled")-1),0)+IF('_Dates'!AD536=1,MAX(0,COUNTIFS(rngEngine_B,B536,rngPMStart,"&lt;="&amp;'_Dates'!Z536,rngPMEnd,"&gt;="&amp;'_Dates'!Y536,rngPMActive,1,rngEngine_F,"OK",rngBookings_F,"&lt;&gt;Cancelled")-1),0))</ns0:f>
        <ns0:v>0</ns0:v>
      </ns0:c>
      <ns0:c r="K536" s="0" t="str">
        <ns0:f>IF(A536=0,"",IF(F536&lt;&gt;"OK",F536,IF(J536&gt;0,"CHECK overlapping entry",IF(AND($B$6=0,G536&lt;=0,Bookings!G536&lt;&gt;"Cancelled"),"CHECK no working days",IF(Bookings!G536="Cancelled","Cancelled","OK")))))</ns0:f>
        <ns0:v/>
      </ns0:c>
      <ns0:c r="L536" s="0">
        <ns0:f>IF(LEFT(K536,5)="CHECK",1,0)</ns0:f>
        <ns0:v>0</ns0:v>
      </ns0:c>
      <ns0:c r="M536" s="0">
        <ns0:f>IF(AND(L536=1,OR(C536=0,IFERROR(INDEX($X$11:$X$60,C536),0)=0)),1,0)</ns0:f>
        <ns0:v>0</ns0:v>
      </ns0:c>
      <ns0:c r="N536" s="0">
        <ns0:f>IF(OR(A536=0,L536&gt;0,$B$6&gt;0,Bookings!G536="Cancelled"),0,G536)</ns0:f>
        <ns0:v>0</ns0:v>
      </ns0:c>
      <ns0:c r="O536" s="0">
        <ns0:f>IF(AND(Bookings!G536="Approved",E536="Yes"),N536,0)</ns0:f>
        <ns0:v>0</ns0:v>
      </ns0:c>
      <ns0:c r="P536" s="0">
        <ns0:f>IF(AND(Bookings!G536="Approved",E536="Yes",L536=0,$B$6=0),H536,0)</ns0:f>
        <ns0:v>0</ns0:v>
      </ns0:c>
      <ns0:c r="Q536" s="0">
        <ns0:f>IF(AND(Bookings!G536="Approved",E536="Yes",L536=0,$B$6=0),I536,0)</ns0:f>
        <ns0:v>0</ns0:v>
      </ns0:c>
      <ns0:c r="R536" s="0">
        <ns0:f>IF(AND(Bookings!G536="Pending",E536="Yes"),N536,0)</ns0:f>
        <ns0:v>0</ns0:v>
      </ns0:c>
      <ns0:c r="S536" s="0">
        <ns0:f>IF(AND(Bookings!G536="Approved",E536="No"),N536,0)</ns0:f>
        <ns0:v>0</ns0:v>
      </ns0:c>
      <ns0:c r="T536" s="0">
        <ns0:f>IFERROR(MATCH(D536,Settings!$G$7:$G$11,0),0)</ns0:f>
        <ns0:v>0</ns0:v>
      </ns0:c>
      <ns0:c r="U536" s="0">
        <ns0:f>IF(N536&gt;0,T536+IF(Bookings!G536="Pending",10,0),0)</ns0:f>
        <ns0:v>0</ns0:v>
      </ns0:c>
      <ns0:c r="V536" s="0">
        <ns0:f>U536</ns0:f>
        <ns0:v>0</ns0:v>
      </ns0:c>
      <ns0:c r="W536" s="0" t="str">
        <ns0:f>IF(C536=0,"",INDEX($AP$11:$AP$60,C536))</ns0:f>
        <ns0:v/>
      </ns0:c>
    </ns0:row>
    <ns0:row r="537">
      <ns0:c r="A537" s="0">
        <ns0:f>IF(COUNTA(Bookings!A537:G537,Bookings!I537)=0,0,1)</ns0:f>
        <ns0:v>0</ns0:v>
      </ns0:c>
      <ns0:c r="B537" s="0" t="str">
        <ns0:f>IFERROR(TRIM(MID(Bookings!A537,FIND(" · ",Bookings!A537)+3,99)),"")</ns0:f>
        <ns0:v/>
      </ns0:c>
      <ns0:c r="C537" s="0">
        <ns0:f>IF(OR(B537="",LEN(B537)&gt;24,ISNUMBER(FIND(" ",B537)),ISNUMBER(FIND("*",B537)),ISNUMBER(FIND("?",B537)),ISNUMBER(FIND("~",B537))),0,IFERROR(MATCH(B537,Team!$A$11:$A$60,0),0))</ns0:f>
        <ns0:v>0</ns0:v>
      </ns0:c>
      <ns0:c r="D537" s="0" t="str">
        <ns0:f>IFERROR(IF(MID(Bookings!F537,LEN(Bookings!F537)-3,3)=" · ",RIGHT(Bookings!F537,1),""),"")</ns0:f>
        <ns0:v/>
      </ns0:c>
      <ns0:c r="E537" s="0" t="str">
        <ns0:f>IFERROR(INDEX(Settings!$H$7:$H$11,MATCH(D537,Settings!$G$7:$G$11,0)),"")</ns0:f>
        <ns0:v/>
      </ns0:c>
      <ns0:c r="F537" s="0" t="str">
        <ns0:f>IF(A537=0,"",IFERROR(IF(OR(B537="",C537=0),"CHECK employee selection",IF(INDEX(Team!$O$11:$O$60,C537)&lt;&gt;"OK","CHECK employee setup",IF(OR('_Dates'!J537=0,'_Dates'!T537=0),"CHECK date: use DD.MM.YYYY",IF('_Dates'!T537&lt;'_Dates'!J537,"CHECK end before start",IF(AND($B$6=0,OR('_Dates'!J537&lt;Settings!$B$7,'_Dates'!T537&gt;Settings!$B$8)),"CHECK split across leave years",IF(OR(NOT(OR('_Dates'!U537="Full day",'_Dates'!U537="AM",'_Dates'!U537="PM")),NOT(OR('_Dates'!V537="Full day",'_Dates'!V537="AM",'_Dates'!V537="PM"))),"CHECK Full day / AM / PM",IF(AND('_Dates'!J537='_Dates'!T537,'_Dates'!U537&lt;&gt;"Full day",'_Dates'!V537&lt;&gt;"Full day",'_Dates'!U537&lt;&gt;'_Dates'!V537),"CHECK same-day portions disagree",IF(AND($B$6=0,OR(AND('_Dates'!U537&lt;&gt;"Full day",'_Dates'!AA537=0),AND('_Dates'!V537&lt;&gt;"Full day",'_Dates'!AB537=0))),"CHECK half-day on non-working date",IF(COUNTIF(Settings!$G$7:$G$11,D537)&lt;&gt;1,"CHECK leave type",IF(AND(Bookings!G537&lt;&gt;"Approved",Bookings!G537&lt;&gt;"Pending",Bookings!G537&lt;&gt;"Cancelled"),"CHECK status","OK")))))))))),"CHECK input"))</ns0:f>
        <ns0:v/>
      </ns0:c>
      <ns0:c r="G537" s="0">
        <ns0:f>IF(OR(F537&lt;&gt;"OK",$B$6&gt;0),0,0.5*(IF(('_Dates'!X537)&lt;('_Dates'!W537),0,INT((('_Dates'!X537)-('_Dates'!W537)+1)/7)*LEN(SUBSTITUTE(W537,"O",""))+LEN(SUBSTITUTE(MID(W537&amp;W537,WEEKDAY(('_Dates'!W537),2),MOD((('_Dates'!X537)-('_Dates'!W537)+1),7)),"O",""))-COUNTIFS(INDEX(AllClosureRows,C537,0),"&gt;="&amp;('_Dates'!W537),INDEX(AllClosureRows,C537,0),"&lt;="&amp;('_Dates'!X537)))+IF(('_Dates'!Z537)&lt;('_Dates'!Y537),0,INT((('_Dates'!Z537)-('_Dates'!Y537)+1)/7)*LEN(SUBSTITUTE(W537,"O",""))+LEN(SUBSTITUTE(MID(W537&amp;W537,WEEKDAY(('_Dates'!Y537),2),MOD((('_Dates'!Z537)-('_Dates'!Y537)+1),7)),"O",""))-COUNTIFS(INDEX(AllClosureRows,C537,0),"&gt;="&amp;('_Dates'!Y537),INDEX(AllClosureRows,C537,0),"&lt;="&amp;('_Dates'!Z537)))))</ns0:f>
        <ns0:v>0</ns0:v>
      </ns0:c>
      <ns0:c r="H537" s="0">
        <ns0:f>IF(OR(F537&lt;&gt;"OK",$B$6&gt;0),0,0.5*(IF((MIN('_Dates'!X537,Settings!$B$9))&lt;('_Dates'!W537),0,INT(((MIN('_Dates'!X537,Settings!$B$9))-('_Dates'!W537)+1)/7)*LEN(SUBSTITUTE(W537,"O",""))+LEN(SUBSTITUTE(MID(W537&amp;W537,WEEKDAY(('_Dates'!W537),2),MOD(((MIN('_Dates'!X537,Settings!$B$9))-('_Dates'!W537)+1),7)),"O",""))-COUNTIFS(INDEX(AllClosureRows,C537,0),"&gt;="&amp;('_Dates'!W537),INDEX(AllClosureRows,C537,0),"&lt;="&amp;(MIN('_Dates'!X537,Settings!$B$9))))+IF((MIN('_Dates'!Z537,Settings!$B$9))&lt;('_Dates'!Y537),0,INT(((MIN('_Dates'!Z537,Settings!$B$9))-('_Dates'!Y537)+1)/7)*LEN(SUBSTITUTE(W537,"O",""))+LEN(SUBSTITUTE(MID(W537&amp;W537,WEEKDAY(('_Dates'!Y537),2),MOD(((MIN('_Dates'!Z537,Settings!$B$9))-('_Dates'!Y537)+1),7)),"O",""))-COUNTIFS(INDEX(AllClosureRows,C537,0),"&gt;="&amp;('_Dates'!Y537),INDEX(AllClosureRows,C537,0),"&lt;="&amp;(MIN('_Dates'!Z537,Settings!$B$9))))))</ns0:f>
        <ns0:v>0</ns0:v>
      </ns0:c>
      <ns0:c r="I537" s="0">
        <ns0:f>MAX(0,G537-H537)</ns0:f>
        <ns0:v>0</ns0:v>
      </ns0:c>
      <ns0:c r="J537" s="0">
        <ns0:f>IF(OR(A537=0,F537&lt;&gt;"OK",Bookings!G537="Cancelled",$B$6&gt;0),0,IF('_Dates'!AC537=1,MAX(0,COUNTIFS(rngEngine_B,B537,rngAMStart,"&lt;="&amp;'_Dates'!X537,rngAMEnd,"&gt;="&amp;'_Dates'!W537,rngAMActive,1,rngEngine_F,"OK",rngBookings_F,"&lt;&gt;Cancelled")-1),0)+IF('_Dates'!AD537=1,MAX(0,COUNTIFS(rngEngine_B,B537,rngPMStart,"&lt;="&amp;'_Dates'!Z537,rngPMEnd,"&gt;="&amp;'_Dates'!Y537,rngPMActive,1,rngEngine_F,"OK",rngBookings_F,"&lt;&gt;Cancelled")-1),0))</ns0:f>
        <ns0:v>0</ns0:v>
      </ns0:c>
      <ns0:c r="K537" s="0" t="str">
        <ns0:f>IF(A537=0,"",IF(F537&lt;&gt;"OK",F537,IF(J537&gt;0,"CHECK overlapping entry",IF(AND($B$6=0,G537&lt;=0,Bookings!G537&lt;&gt;"Cancelled"),"CHECK no working days",IF(Bookings!G537="Cancelled","Cancelled","OK")))))</ns0:f>
        <ns0:v/>
      </ns0:c>
      <ns0:c r="L537" s="0">
        <ns0:f>IF(LEFT(K537,5)="CHECK",1,0)</ns0:f>
        <ns0:v>0</ns0:v>
      </ns0:c>
      <ns0:c r="M537" s="0">
        <ns0:f>IF(AND(L537=1,OR(C537=0,IFERROR(INDEX($X$11:$X$60,C537),0)=0)),1,0)</ns0:f>
        <ns0:v>0</ns0:v>
      </ns0:c>
      <ns0:c r="N537" s="0">
        <ns0:f>IF(OR(A537=0,L537&gt;0,$B$6&gt;0,Bookings!G537="Cancelled"),0,G537)</ns0:f>
        <ns0:v>0</ns0:v>
      </ns0:c>
      <ns0:c r="O537" s="0">
        <ns0:f>IF(AND(Bookings!G537="Approved",E537="Yes"),N537,0)</ns0:f>
        <ns0:v>0</ns0:v>
      </ns0:c>
      <ns0:c r="P537" s="0">
        <ns0:f>IF(AND(Bookings!G537="Approved",E537="Yes",L537=0,$B$6=0),H537,0)</ns0:f>
        <ns0:v>0</ns0:v>
      </ns0:c>
      <ns0:c r="Q537" s="0">
        <ns0:f>IF(AND(Bookings!G537="Approved",E537="Yes",L537=0,$B$6=0),I537,0)</ns0:f>
        <ns0:v>0</ns0:v>
      </ns0:c>
      <ns0:c r="R537" s="0">
        <ns0:f>IF(AND(Bookings!G537="Pending",E537="Yes"),N537,0)</ns0:f>
        <ns0:v>0</ns0:v>
      </ns0:c>
      <ns0:c r="S537" s="0">
        <ns0:f>IF(AND(Bookings!G537="Approved",E537="No"),N537,0)</ns0:f>
        <ns0:v>0</ns0:v>
      </ns0:c>
      <ns0:c r="T537" s="0">
        <ns0:f>IFERROR(MATCH(D537,Settings!$G$7:$G$11,0),0)</ns0:f>
        <ns0:v>0</ns0:v>
      </ns0:c>
      <ns0:c r="U537" s="0">
        <ns0:f>IF(N537&gt;0,T537+IF(Bookings!G537="Pending",10,0),0)</ns0:f>
        <ns0:v>0</ns0:v>
      </ns0:c>
      <ns0:c r="V537" s="0">
        <ns0:f>U537</ns0:f>
        <ns0:v>0</ns0:v>
      </ns0:c>
      <ns0:c r="W537" s="0" t="str">
        <ns0:f>IF(C537=0,"",INDEX($AP$11:$AP$60,C537))</ns0:f>
        <ns0:v/>
      </ns0:c>
    </ns0:row>
    <ns0:row r="538">
      <ns0:c r="A538" s="0">
        <ns0:f>IF(COUNTA(Bookings!A538:G538,Bookings!I538)=0,0,1)</ns0:f>
        <ns0:v>0</ns0:v>
      </ns0:c>
      <ns0:c r="B538" s="0" t="str">
        <ns0:f>IFERROR(TRIM(MID(Bookings!A538,FIND(" · ",Bookings!A538)+3,99)),"")</ns0:f>
        <ns0:v/>
      </ns0:c>
      <ns0:c r="C538" s="0">
        <ns0:f>IF(OR(B538="",LEN(B538)&gt;24,ISNUMBER(FIND(" ",B538)),ISNUMBER(FIND("*",B538)),ISNUMBER(FIND("?",B538)),ISNUMBER(FIND("~",B538))),0,IFERROR(MATCH(B538,Team!$A$11:$A$60,0),0))</ns0:f>
        <ns0:v>0</ns0:v>
      </ns0:c>
      <ns0:c r="D538" s="0" t="str">
        <ns0:f>IFERROR(IF(MID(Bookings!F538,LEN(Bookings!F538)-3,3)=" · ",RIGHT(Bookings!F538,1),""),"")</ns0:f>
        <ns0:v/>
      </ns0:c>
      <ns0:c r="E538" s="0" t="str">
        <ns0:f>IFERROR(INDEX(Settings!$H$7:$H$11,MATCH(D538,Settings!$G$7:$G$11,0)),"")</ns0:f>
        <ns0:v/>
      </ns0:c>
      <ns0:c r="F538" s="0" t="str">
        <ns0:f>IF(A538=0,"",IFERROR(IF(OR(B538="",C538=0),"CHECK employee selection",IF(INDEX(Team!$O$11:$O$60,C538)&lt;&gt;"OK","CHECK employee setup",IF(OR('_Dates'!J538=0,'_Dates'!T538=0),"CHECK date: use DD.MM.YYYY",IF('_Dates'!T538&lt;'_Dates'!J538,"CHECK end before start",IF(AND($B$6=0,OR('_Dates'!J538&lt;Settings!$B$7,'_Dates'!T538&gt;Settings!$B$8)),"CHECK split across leave years",IF(OR(NOT(OR('_Dates'!U538="Full day",'_Dates'!U538="AM",'_Dates'!U538="PM")),NOT(OR('_Dates'!V538="Full day",'_Dates'!V538="AM",'_Dates'!V538="PM"))),"CHECK Full day / AM / PM",IF(AND('_Dates'!J538='_Dates'!T538,'_Dates'!U538&lt;&gt;"Full day",'_Dates'!V538&lt;&gt;"Full day",'_Dates'!U538&lt;&gt;'_Dates'!V538),"CHECK same-day portions disagree",IF(AND($B$6=0,OR(AND('_Dates'!U538&lt;&gt;"Full day",'_Dates'!AA538=0),AND('_Dates'!V538&lt;&gt;"Full day",'_Dates'!AB538=0))),"CHECK half-day on non-working date",IF(COUNTIF(Settings!$G$7:$G$11,D538)&lt;&gt;1,"CHECK leave type",IF(AND(Bookings!G538&lt;&gt;"Approved",Bookings!G538&lt;&gt;"Pending",Bookings!G538&lt;&gt;"Cancelled"),"CHECK status","OK")))))))))),"CHECK input"))</ns0:f>
        <ns0:v/>
      </ns0:c>
      <ns0:c r="G538" s="0">
        <ns0:f>IF(OR(F538&lt;&gt;"OK",$B$6&gt;0),0,0.5*(IF(('_Dates'!X538)&lt;('_Dates'!W538),0,INT((('_Dates'!X538)-('_Dates'!W538)+1)/7)*LEN(SUBSTITUTE(W538,"O",""))+LEN(SUBSTITUTE(MID(W538&amp;W538,WEEKDAY(('_Dates'!W538),2),MOD((('_Dates'!X538)-('_Dates'!W538)+1),7)),"O",""))-COUNTIFS(INDEX(AllClosureRows,C538,0),"&gt;="&amp;('_Dates'!W538),INDEX(AllClosureRows,C538,0),"&lt;="&amp;('_Dates'!X538)))+IF(('_Dates'!Z538)&lt;('_Dates'!Y538),0,INT((('_Dates'!Z538)-('_Dates'!Y538)+1)/7)*LEN(SUBSTITUTE(W538,"O",""))+LEN(SUBSTITUTE(MID(W538&amp;W538,WEEKDAY(('_Dates'!Y538),2),MOD((('_Dates'!Z538)-('_Dates'!Y538)+1),7)),"O",""))-COUNTIFS(INDEX(AllClosureRows,C538,0),"&gt;="&amp;('_Dates'!Y538),INDEX(AllClosureRows,C538,0),"&lt;="&amp;('_Dates'!Z538)))))</ns0:f>
        <ns0:v>0</ns0:v>
      </ns0:c>
      <ns0:c r="H538" s="0">
        <ns0:f>IF(OR(F538&lt;&gt;"OK",$B$6&gt;0),0,0.5*(IF((MIN('_Dates'!X538,Settings!$B$9))&lt;('_Dates'!W538),0,INT(((MIN('_Dates'!X538,Settings!$B$9))-('_Dates'!W538)+1)/7)*LEN(SUBSTITUTE(W538,"O",""))+LEN(SUBSTITUTE(MID(W538&amp;W538,WEEKDAY(('_Dates'!W538),2),MOD(((MIN('_Dates'!X538,Settings!$B$9))-('_Dates'!W538)+1),7)),"O",""))-COUNTIFS(INDEX(AllClosureRows,C538,0),"&gt;="&amp;('_Dates'!W538),INDEX(AllClosureRows,C538,0),"&lt;="&amp;(MIN('_Dates'!X538,Settings!$B$9))))+IF((MIN('_Dates'!Z538,Settings!$B$9))&lt;('_Dates'!Y538),0,INT(((MIN('_Dates'!Z538,Settings!$B$9))-('_Dates'!Y538)+1)/7)*LEN(SUBSTITUTE(W538,"O",""))+LEN(SUBSTITUTE(MID(W538&amp;W538,WEEKDAY(('_Dates'!Y538),2),MOD(((MIN('_Dates'!Z538,Settings!$B$9))-('_Dates'!Y538)+1),7)),"O",""))-COUNTIFS(INDEX(AllClosureRows,C538,0),"&gt;="&amp;('_Dates'!Y538),INDEX(AllClosureRows,C538,0),"&lt;="&amp;(MIN('_Dates'!Z538,Settings!$B$9))))))</ns0:f>
        <ns0:v>0</ns0:v>
      </ns0:c>
      <ns0:c r="I538" s="0">
        <ns0:f>MAX(0,G538-H538)</ns0:f>
        <ns0:v>0</ns0:v>
      </ns0:c>
      <ns0:c r="J538" s="0">
        <ns0:f>IF(OR(A538=0,F538&lt;&gt;"OK",Bookings!G538="Cancelled",$B$6&gt;0),0,IF('_Dates'!AC538=1,MAX(0,COUNTIFS(rngEngine_B,B538,rngAMStart,"&lt;="&amp;'_Dates'!X538,rngAMEnd,"&gt;="&amp;'_Dates'!W538,rngAMActive,1,rngEngine_F,"OK",rngBookings_F,"&lt;&gt;Cancelled")-1),0)+IF('_Dates'!AD538=1,MAX(0,COUNTIFS(rngEngine_B,B538,rngPMStart,"&lt;="&amp;'_Dates'!Z538,rngPMEnd,"&gt;="&amp;'_Dates'!Y538,rngPMActive,1,rngEngine_F,"OK",rngBookings_F,"&lt;&gt;Cancelled")-1),0))</ns0:f>
        <ns0:v>0</ns0:v>
      </ns0:c>
      <ns0:c r="K538" s="0" t="str">
        <ns0:f>IF(A538=0,"",IF(F538&lt;&gt;"OK",F538,IF(J538&gt;0,"CHECK overlapping entry",IF(AND($B$6=0,G538&lt;=0,Bookings!G538&lt;&gt;"Cancelled"),"CHECK no working days",IF(Bookings!G538="Cancelled","Cancelled","OK")))))</ns0:f>
        <ns0:v/>
      </ns0:c>
      <ns0:c r="L538" s="0">
        <ns0:f>IF(LEFT(K538,5)="CHECK",1,0)</ns0:f>
        <ns0:v>0</ns0:v>
      </ns0:c>
      <ns0:c r="M538" s="0">
        <ns0:f>IF(AND(L538=1,OR(C538=0,IFERROR(INDEX($X$11:$X$60,C538),0)=0)),1,0)</ns0:f>
        <ns0:v>0</ns0:v>
      </ns0:c>
      <ns0:c r="N538" s="0">
        <ns0:f>IF(OR(A538=0,L538&gt;0,$B$6&gt;0,Bookings!G538="Cancelled"),0,G538)</ns0:f>
        <ns0:v>0</ns0:v>
      </ns0:c>
      <ns0:c r="O538" s="0">
        <ns0:f>IF(AND(Bookings!G538="Approved",E538="Yes"),N538,0)</ns0:f>
        <ns0:v>0</ns0:v>
      </ns0:c>
      <ns0:c r="P538" s="0">
        <ns0:f>IF(AND(Bookings!G538="Approved",E538="Yes",L538=0,$B$6=0),H538,0)</ns0:f>
        <ns0:v>0</ns0:v>
      </ns0:c>
      <ns0:c r="Q538" s="0">
        <ns0:f>IF(AND(Bookings!G538="Approved",E538="Yes",L538=0,$B$6=0),I538,0)</ns0:f>
        <ns0:v>0</ns0:v>
      </ns0:c>
      <ns0:c r="R538" s="0">
        <ns0:f>IF(AND(Bookings!G538="Pending",E538="Yes"),N538,0)</ns0:f>
        <ns0:v>0</ns0:v>
      </ns0:c>
      <ns0:c r="S538" s="0">
        <ns0:f>IF(AND(Bookings!G538="Approved",E538="No"),N538,0)</ns0:f>
        <ns0:v>0</ns0:v>
      </ns0:c>
      <ns0:c r="T538" s="0">
        <ns0:f>IFERROR(MATCH(D538,Settings!$G$7:$G$11,0),0)</ns0:f>
        <ns0:v>0</ns0:v>
      </ns0:c>
      <ns0:c r="U538" s="0">
        <ns0:f>IF(N538&gt;0,T538+IF(Bookings!G538="Pending",10,0),0)</ns0:f>
        <ns0:v>0</ns0:v>
      </ns0:c>
      <ns0:c r="V538" s="0">
        <ns0:f>U538</ns0:f>
        <ns0:v>0</ns0:v>
      </ns0:c>
      <ns0:c r="W538" s="0" t="str">
        <ns0:f>IF(C538=0,"",INDEX($AP$11:$AP$60,C538))</ns0:f>
        <ns0:v/>
      </ns0:c>
    </ns0:row>
    <ns0:row r="539">
      <ns0:c r="A539" s="0">
        <ns0:f>IF(COUNTA(Bookings!A539:G539,Bookings!I539)=0,0,1)</ns0:f>
        <ns0:v>0</ns0:v>
      </ns0:c>
      <ns0:c r="B539" s="0" t="str">
        <ns0:f>IFERROR(TRIM(MID(Bookings!A539,FIND(" · ",Bookings!A539)+3,99)),"")</ns0:f>
        <ns0:v/>
      </ns0:c>
      <ns0:c r="C539" s="0">
        <ns0:f>IF(OR(B539="",LEN(B539)&gt;24,ISNUMBER(FIND(" ",B539)),ISNUMBER(FIND("*",B539)),ISNUMBER(FIND("?",B539)),ISNUMBER(FIND("~",B539))),0,IFERROR(MATCH(B539,Team!$A$11:$A$60,0),0))</ns0:f>
        <ns0:v>0</ns0:v>
      </ns0:c>
      <ns0:c r="D539" s="0" t="str">
        <ns0:f>IFERROR(IF(MID(Bookings!F539,LEN(Bookings!F539)-3,3)=" · ",RIGHT(Bookings!F539,1),""),"")</ns0:f>
        <ns0:v/>
      </ns0:c>
      <ns0:c r="E539" s="0" t="str">
        <ns0:f>IFERROR(INDEX(Settings!$H$7:$H$11,MATCH(D539,Settings!$G$7:$G$11,0)),"")</ns0:f>
        <ns0:v/>
      </ns0:c>
      <ns0:c r="F539" s="0" t="str">
        <ns0:f>IF(A539=0,"",IFERROR(IF(OR(B539="",C539=0),"CHECK employee selection",IF(INDEX(Team!$O$11:$O$60,C539)&lt;&gt;"OK","CHECK employee setup",IF(OR('_Dates'!J539=0,'_Dates'!T539=0),"CHECK date: use DD.MM.YYYY",IF('_Dates'!T539&lt;'_Dates'!J539,"CHECK end before start",IF(AND($B$6=0,OR('_Dates'!J539&lt;Settings!$B$7,'_Dates'!T539&gt;Settings!$B$8)),"CHECK split across leave years",IF(OR(NOT(OR('_Dates'!U539="Full day",'_Dates'!U539="AM",'_Dates'!U539="PM")),NOT(OR('_Dates'!V539="Full day",'_Dates'!V539="AM",'_Dates'!V539="PM"))),"CHECK Full day / AM / PM",IF(AND('_Dates'!J539='_Dates'!T539,'_Dates'!U539&lt;&gt;"Full day",'_Dates'!V539&lt;&gt;"Full day",'_Dates'!U539&lt;&gt;'_Dates'!V539),"CHECK same-day portions disagree",IF(AND($B$6=0,OR(AND('_Dates'!U539&lt;&gt;"Full day",'_Dates'!AA539=0),AND('_Dates'!V539&lt;&gt;"Full day",'_Dates'!AB539=0))),"CHECK half-day on non-working date",IF(COUNTIF(Settings!$G$7:$G$11,D539)&lt;&gt;1,"CHECK leave type",IF(AND(Bookings!G539&lt;&gt;"Approved",Bookings!G539&lt;&gt;"Pending",Bookings!G539&lt;&gt;"Cancelled"),"CHECK status","OK")))))))))),"CHECK input"))</ns0:f>
        <ns0:v/>
      </ns0:c>
      <ns0:c r="G539" s="0">
        <ns0:f>IF(OR(F539&lt;&gt;"OK",$B$6&gt;0),0,0.5*(IF(('_Dates'!X539)&lt;('_Dates'!W539),0,INT((('_Dates'!X539)-('_Dates'!W539)+1)/7)*LEN(SUBSTITUTE(W539,"O",""))+LEN(SUBSTITUTE(MID(W539&amp;W539,WEEKDAY(('_Dates'!W539),2),MOD((('_Dates'!X539)-('_Dates'!W539)+1),7)),"O",""))-COUNTIFS(INDEX(AllClosureRows,C539,0),"&gt;="&amp;('_Dates'!W539),INDEX(AllClosureRows,C539,0),"&lt;="&amp;('_Dates'!X539)))+IF(('_Dates'!Z539)&lt;('_Dates'!Y539),0,INT((('_Dates'!Z539)-('_Dates'!Y539)+1)/7)*LEN(SUBSTITUTE(W539,"O",""))+LEN(SUBSTITUTE(MID(W539&amp;W539,WEEKDAY(('_Dates'!Y539),2),MOD((('_Dates'!Z539)-('_Dates'!Y539)+1),7)),"O",""))-COUNTIFS(INDEX(AllClosureRows,C539,0),"&gt;="&amp;('_Dates'!Y539),INDEX(AllClosureRows,C539,0),"&lt;="&amp;('_Dates'!Z539)))))</ns0:f>
        <ns0:v>0</ns0:v>
      </ns0:c>
      <ns0:c r="H539" s="0">
        <ns0:f>IF(OR(F539&lt;&gt;"OK",$B$6&gt;0),0,0.5*(IF((MIN('_Dates'!X539,Settings!$B$9))&lt;('_Dates'!W539),0,INT(((MIN('_Dates'!X539,Settings!$B$9))-('_Dates'!W539)+1)/7)*LEN(SUBSTITUTE(W539,"O",""))+LEN(SUBSTITUTE(MID(W539&amp;W539,WEEKDAY(('_Dates'!W539),2),MOD(((MIN('_Dates'!X539,Settings!$B$9))-('_Dates'!W539)+1),7)),"O",""))-COUNTIFS(INDEX(AllClosureRows,C539,0),"&gt;="&amp;('_Dates'!W539),INDEX(AllClosureRows,C539,0),"&lt;="&amp;(MIN('_Dates'!X539,Settings!$B$9))))+IF((MIN('_Dates'!Z539,Settings!$B$9))&lt;('_Dates'!Y539),0,INT(((MIN('_Dates'!Z539,Settings!$B$9))-('_Dates'!Y539)+1)/7)*LEN(SUBSTITUTE(W539,"O",""))+LEN(SUBSTITUTE(MID(W539&amp;W539,WEEKDAY(('_Dates'!Y539),2),MOD(((MIN('_Dates'!Z539,Settings!$B$9))-('_Dates'!Y539)+1),7)),"O",""))-COUNTIFS(INDEX(AllClosureRows,C539,0),"&gt;="&amp;('_Dates'!Y539),INDEX(AllClosureRows,C539,0),"&lt;="&amp;(MIN('_Dates'!Z539,Settings!$B$9))))))</ns0:f>
        <ns0:v>0</ns0:v>
      </ns0:c>
      <ns0:c r="I539" s="0">
        <ns0:f>MAX(0,G539-H539)</ns0:f>
        <ns0:v>0</ns0:v>
      </ns0:c>
      <ns0:c r="J539" s="0">
        <ns0:f>IF(OR(A539=0,F539&lt;&gt;"OK",Bookings!G539="Cancelled",$B$6&gt;0),0,IF('_Dates'!AC539=1,MAX(0,COUNTIFS(rngEngine_B,B539,rngAMStart,"&lt;="&amp;'_Dates'!X539,rngAMEnd,"&gt;="&amp;'_Dates'!W539,rngAMActive,1,rngEngine_F,"OK",rngBookings_F,"&lt;&gt;Cancelled")-1),0)+IF('_Dates'!AD539=1,MAX(0,COUNTIFS(rngEngine_B,B539,rngPMStart,"&lt;="&amp;'_Dates'!Z539,rngPMEnd,"&gt;="&amp;'_Dates'!Y539,rngPMActive,1,rngEngine_F,"OK",rngBookings_F,"&lt;&gt;Cancelled")-1),0))</ns0:f>
        <ns0:v>0</ns0:v>
      </ns0:c>
      <ns0:c r="K539" s="0" t="str">
        <ns0:f>IF(A539=0,"",IF(F539&lt;&gt;"OK",F539,IF(J539&gt;0,"CHECK overlapping entry",IF(AND($B$6=0,G539&lt;=0,Bookings!G539&lt;&gt;"Cancelled"),"CHECK no working days",IF(Bookings!G539="Cancelled","Cancelled","OK")))))</ns0:f>
        <ns0:v/>
      </ns0:c>
      <ns0:c r="L539" s="0">
        <ns0:f>IF(LEFT(K539,5)="CHECK",1,0)</ns0:f>
        <ns0:v>0</ns0:v>
      </ns0:c>
      <ns0:c r="M539" s="0">
        <ns0:f>IF(AND(L539=1,OR(C539=0,IFERROR(INDEX($X$11:$X$60,C539),0)=0)),1,0)</ns0:f>
        <ns0:v>0</ns0:v>
      </ns0:c>
      <ns0:c r="N539" s="0">
        <ns0:f>IF(OR(A539=0,L539&gt;0,$B$6&gt;0,Bookings!G539="Cancelled"),0,G539)</ns0:f>
        <ns0:v>0</ns0:v>
      </ns0:c>
      <ns0:c r="O539" s="0">
        <ns0:f>IF(AND(Bookings!G539="Approved",E539="Yes"),N539,0)</ns0:f>
        <ns0:v>0</ns0:v>
      </ns0:c>
      <ns0:c r="P539" s="0">
        <ns0:f>IF(AND(Bookings!G539="Approved",E539="Yes",L539=0,$B$6=0),H539,0)</ns0:f>
        <ns0:v>0</ns0:v>
      </ns0:c>
      <ns0:c r="Q539" s="0">
        <ns0:f>IF(AND(Bookings!G539="Approved",E539="Yes",L539=0,$B$6=0),I539,0)</ns0:f>
        <ns0:v>0</ns0:v>
      </ns0:c>
      <ns0:c r="R539" s="0">
        <ns0:f>IF(AND(Bookings!G539="Pending",E539="Yes"),N539,0)</ns0:f>
        <ns0:v>0</ns0:v>
      </ns0:c>
      <ns0:c r="S539" s="0">
        <ns0:f>IF(AND(Bookings!G539="Approved",E539="No"),N539,0)</ns0:f>
        <ns0:v>0</ns0:v>
      </ns0:c>
      <ns0:c r="T539" s="0">
        <ns0:f>IFERROR(MATCH(D539,Settings!$G$7:$G$11,0),0)</ns0:f>
        <ns0:v>0</ns0:v>
      </ns0:c>
      <ns0:c r="U539" s="0">
        <ns0:f>IF(N539&gt;0,T539+IF(Bookings!G539="Pending",10,0),0)</ns0:f>
        <ns0:v>0</ns0:v>
      </ns0:c>
      <ns0:c r="V539" s="0">
        <ns0:f>U539</ns0:f>
        <ns0:v>0</ns0:v>
      </ns0:c>
      <ns0:c r="W539" s="0" t="str">
        <ns0:f>IF(C539=0,"",INDEX($AP$11:$AP$60,C539))</ns0:f>
        <ns0:v/>
      </ns0:c>
    </ns0:row>
    <ns0:row r="540">
      <ns0:c r="A540" s="0">
        <ns0:f>IF(COUNTA(Bookings!A540:G540,Bookings!I540)=0,0,1)</ns0:f>
        <ns0:v>0</ns0:v>
      </ns0:c>
      <ns0:c r="B540" s="0" t="str">
        <ns0:f>IFERROR(TRIM(MID(Bookings!A540,FIND(" · ",Bookings!A540)+3,99)),"")</ns0:f>
        <ns0:v/>
      </ns0:c>
      <ns0:c r="C540" s="0">
        <ns0:f>IF(OR(B540="",LEN(B540)&gt;24,ISNUMBER(FIND(" ",B540)),ISNUMBER(FIND("*",B540)),ISNUMBER(FIND("?",B540)),ISNUMBER(FIND("~",B540))),0,IFERROR(MATCH(B540,Team!$A$11:$A$60,0),0))</ns0:f>
        <ns0:v>0</ns0:v>
      </ns0:c>
      <ns0:c r="D540" s="0" t="str">
        <ns0:f>IFERROR(IF(MID(Bookings!F540,LEN(Bookings!F540)-3,3)=" · ",RIGHT(Bookings!F540,1),""),"")</ns0:f>
        <ns0:v/>
      </ns0:c>
      <ns0:c r="E540" s="0" t="str">
        <ns0:f>IFERROR(INDEX(Settings!$H$7:$H$11,MATCH(D540,Settings!$G$7:$G$11,0)),"")</ns0:f>
        <ns0:v/>
      </ns0:c>
      <ns0:c r="F540" s="0" t="str">
        <ns0:f>IF(A540=0,"",IFERROR(IF(OR(B540="",C540=0),"CHECK employee selection",IF(INDEX(Team!$O$11:$O$60,C540)&lt;&gt;"OK","CHECK employee setup",IF(OR('_Dates'!J540=0,'_Dates'!T540=0),"CHECK date: use DD.MM.YYYY",IF('_Dates'!T540&lt;'_Dates'!J540,"CHECK end before start",IF(AND($B$6=0,OR('_Dates'!J540&lt;Settings!$B$7,'_Dates'!T540&gt;Settings!$B$8)),"CHECK split across leave years",IF(OR(NOT(OR('_Dates'!U540="Full day",'_Dates'!U540="AM",'_Dates'!U540="PM")),NOT(OR('_Dates'!V540="Full day",'_Dates'!V540="AM",'_Dates'!V540="PM"))),"CHECK Full day / AM / PM",IF(AND('_Dates'!J540='_Dates'!T540,'_Dates'!U540&lt;&gt;"Full day",'_Dates'!V540&lt;&gt;"Full day",'_Dates'!U540&lt;&gt;'_Dates'!V540),"CHECK same-day portions disagree",IF(AND($B$6=0,OR(AND('_Dates'!U540&lt;&gt;"Full day",'_Dates'!AA540=0),AND('_Dates'!V540&lt;&gt;"Full day",'_Dates'!AB540=0))),"CHECK half-day on non-working date",IF(COUNTIF(Settings!$G$7:$G$11,D540)&lt;&gt;1,"CHECK leave type",IF(AND(Bookings!G540&lt;&gt;"Approved",Bookings!G540&lt;&gt;"Pending",Bookings!G540&lt;&gt;"Cancelled"),"CHECK status","OK")))))))))),"CHECK input"))</ns0:f>
        <ns0:v/>
      </ns0:c>
      <ns0:c r="G540" s="0">
        <ns0:f>IF(OR(F540&lt;&gt;"OK",$B$6&gt;0),0,0.5*(IF(('_Dates'!X540)&lt;('_Dates'!W540),0,INT((('_Dates'!X540)-('_Dates'!W540)+1)/7)*LEN(SUBSTITUTE(W540,"O",""))+LEN(SUBSTITUTE(MID(W540&amp;W540,WEEKDAY(('_Dates'!W540),2),MOD((('_Dates'!X540)-('_Dates'!W540)+1),7)),"O",""))-COUNTIFS(INDEX(AllClosureRows,C540,0),"&gt;="&amp;('_Dates'!W540),INDEX(AllClosureRows,C540,0),"&lt;="&amp;('_Dates'!X540)))+IF(('_Dates'!Z540)&lt;('_Dates'!Y540),0,INT((('_Dates'!Z540)-('_Dates'!Y540)+1)/7)*LEN(SUBSTITUTE(W540,"O",""))+LEN(SUBSTITUTE(MID(W540&amp;W540,WEEKDAY(('_Dates'!Y540),2),MOD((('_Dates'!Z540)-('_Dates'!Y540)+1),7)),"O",""))-COUNTIFS(INDEX(AllClosureRows,C540,0),"&gt;="&amp;('_Dates'!Y540),INDEX(AllClosureRows,C540,0),"&lt;="&amp;('_Dates'!Z540)))))</ns0:f>
        <ns0:v>0</ns0:v>
      </ns0:c>
      <ns0:c r="H540" s="0">
        <ns0:f>IF(OR(F540&lt;&gt;"OK",$B$6&gt;0),0,0.5*(IF((MIN('_Dates'!X540,Settings!$B$9))&lt;('_Dates'!W540),0,INT(((MIN('_Dates'!X540,Settings!$B$9))-('_Dates'!W540)+1)/7)*LEN(SUBSTITUTE(W540,"O",""))+LEN(SUBSTITUTE(MID(W540&amp;W540,WEEKDAY(('_Dates'!W540),2),MOD(((MIN('_Dates'!X540,Settings!$B$9))-('_Dates'!W540)+1),7)),"O",""))-COUNTIFS(INDEX(AllClosureRows,C540,0),"&gt;="&amp;('_Dates'!W540),INDEX(AllClosureRows,C540,0),"&lt;="&amp;(MIN('_Dates'!X540,Settings!$B$9))))+IF((MIN('_Dates'!Z540,Settings!$B$9))&lt;('_Dates'!Y540),0,INT(((MIN('_Dates'!Z540,Settings!$B$9))-('_Dates'!Y540)+1)/7)*LEN(SUBSTITUTE(W540,"O",""))+LEN(SUBSTITUTE(MID(W540&amp;W540,WEEKDAY(('_Dates'!Y540),2),MOD(((MIN('_Dates'!Z540,Settings!$B$9))-('_Dates'!Y540)+1),7)),"O",""))-COUNTIFS(INDEX(AllClosureRows,C540,0),"&gt;="&amp;('_Dates'!Y540),INDEX(AllClosureRows,C540,0),"&lt;="&amp;(MIN('_Dates'!Z540,Settings!$B$9))))))</ns0:f>
        <ns0:v>0</ns0:v>
      </ns0:c>
      <ns0:c r="I540" s="0">
        <ns0:f>MAX(0,G540-H540)</ns0:f>
        <ns0:v>0</ns0:v>
      </ns0:c>
      <ns0:c r="J540" s="0">
        <ns0:f>IF(OR(A540=0,F540&lt;&gt;"OK",Bookings!G540="Cancelled",$B$6&gt;0),0,IF('_Dates'!AC540=1,MAX(0,COUNTIFS(rngEngine_B,B540,rngAMStart,"&lt;="&amp;'_Dates'!X540,rngAMEnd,"&gt;="&amp;'_Dates'!W540,rngAMActive,1,rngEngine_F,"OK",rngBookings_F,"&lt;&gt;Cancelled")-1),0)+IF('_Dates'!AD540=1,MAX(0,COUNTIFS(rngEngine_B,B540,rngPMStart,"&lt;="&amp;'_Dates'!Z540,rngPMEnd,"&gt;="&amp;'_Dates'!Y540,rngPMActive,1,rngEngine_F,"OK",rngBookings_F,"&lt;&gt;Cancelled")-1),0))</ns0:f>
        <ns0:v>0</ns0:v>
      </ns0:c>
      <ns0:c r="K540" s="0" t="str">
        <ns0:f>IF(A540=0,"",IF(F540&lt;&gt;"OK",F540,IF(J540&gt;0,"CHECK overlapping entry",IF(AND($B$6=0,G540&lt;=0,Bookings!G540&lt;&gt;"Cancelled"),"CHECK no working days",IF(Bookings!G540="Cancelled","Cancelled","OK")))))</ns0:f>
        <ns0:v/>
      </ns0:c>
      <ns0:c r="L540" s="0">
        <ns0:f>IF(LEFT(K540,5)="CHECK",1,0)</ns0:f>
        <ns0:v>0</ns0:v>
      </ns0:c>
      <ns0:c r="M540" s="0">
        <ns0:f>IF(AND(L540=1,OR(C540=0,IFERROR(INDEX($X$11:$X$60,C540),0)=0)),1,0)</ns0:f>
        <ns0:v>0</ns0:v>
      </ns0:c>
      <ns0:c r="N540" s="0">
        <ns0:f>IF(OR(A540=0,L540&gt;0,$B$6&gt;0,Bookings!G540="Cancelled"),0,G540)</ns0:f>
        <ns0:v>0</ns0:v>
      </ns0:c>
      <ns0:c r="O540" s="0">
        <ns0:f>IF(AND(Bookings!G540="Approved",E540="Yes"),N540,0)</ns0:f>
        <ns0:v>0</ns0:v>
      </ns0:c>
      <ns0:c r="P540" s="0">
        <ns0:f>IF(AND(Bookings!G540="Approved",E540="Yes",L540=0,$B$6=0),H540,0)</ns0:f>
        <ns0:v>0</ns0:v>
      </ns0:c>
      <ns0:c r="Q540" s="0">
        <ns0:f>IF(AND(Bookings!G540="Approved",E540="Yes",L540=0,$B$6=0),I540,0)</ns0:f>
        <ns0:v>0</ns0:v>
      </ns0:c>
      <ns0:c r="R540" s="0">
        <ns0:f>IF(AND(Bookings!G540="Pending",E540="Yes"),N540,0)</ns0:f>
        <ns0:v>0</ns0:v>
      </ns0:c>
      <ns0:c r="S540" s="0">
        <ns0:f>IF(AND(Bookings!G540="Approved",E540="No"),N540,0)</ns0:f>
        <ns0:v>0</ns0:v>
      </ns0:c>
      <ns0:c r="T540" s="0">
        <ns0:f>IFERROR(MATCH(D540,Settings!$G$7:$G$11,0),0)</ns0:f>
        <ns0:v>0</ns0:v>
      </ns0:c>
      <ns0:c r="U540" s="0">
        <ns0:f>IF(N540&gt;0,T540+IF(Bookings!G540="Pending",10,0),0)</ns0:f>
        <ns0:v>0</ns0:v>
      </ns0:c>
      <ns0:c r="V540" s="0">
        <ns0:f>U540</ns0:f>
        <ns0:v>0</ns0:v>
      </ns0:c>
      <ns0:c r="W540" s="0" t="str">
        <ns0:f>IF(C540=0,"",INDEX($AP$11:$AP$60,C540))</ns0:f>
        <ns0:v/>
      </ns0:c>
    </ns0:row>
    <ns0:row r="541">
      <ns0:c r="A541" s="0">
        <ns0:f>IF(COUNTA(Bookings!A541:G541,Bookings!I541)=0,0,1)</ns0:f>
        <ns0:v>0</ns0:v>
      </ns0:c>
      <ns0:c r="B541" s="0" t="str">
        <ns0:f>IFERROR(TRIM(MID(Bookings!A541,FIND(" · ",Bookings!A541)+3,99)),"")</ns0:f>
        <ns0:v/>
      </ns0:c>
      <ns0:c r="C541" s="0">
        <ns0:f>IF(OR(B541="",LEN(B541)&gt;24,ISNUMBER(FIND(" ",B541)),ISNUMBER(FIND("*",B541)),ISNUMBER(FIND("?",B541)),ISNUMBER(FIND("~",B541))),0,IFERROR(MATCH(B541,Team!$A$11:$A$60,0),0))</ns0:f>
        <ns0:v>0</ns0:v>
      </ns0:c>
      <ns0:c r="D541" s="0" t="str">
        <ns0:f>IFERROR(IF(MID(Bookings!F541,LEN(Bookings!F541)-3,3)=" · ",RIGHT(Bookings!F541,1),""),"")</ns0:f>
        <ns0:v/>
      </ns0:c>
      <ns0:c r="E541" s="0" t="str">
        <ns0:f>IFERROR(INDEX(Settings!$H$7:$H$11,MATCH(D541,Settings!$G$7:$G$11,0)),"")</ns0:f>
        <ns0:v/>
      </ns0:c>
      <ns0:c r="F541" s="0" t="str">
        <ns0:f>IF(A541=0,"",IFERROR(IF(OR(B541="",C541=0),"CHECK employee selection",IF(INDEX(Team!$O$11:$O$60,C541)&lt;&gt;"OK","CHECK employee setup",IF(OR('_Dates'!J541=0,'_Dates'!T541=0),"CHECK date: use DD.MM.YYYY",IF('_Dates'!T541&lt;'_Dates'!J541,"CHECK end before start",IF(AND($B$6=0,OR('_Dates'!J541&lt;Settings!$B$7,'_Dates'!T541&gt;Settings!$B$8)),"CHECK split across leave years",IF(OR(NOT(OR('_Dates'!U541="Full day",'_Dates'!U541="AM",'_Dates'!U541="PM")),NOT(OR('_Dates'!V541="Full day",'_Dates'!V541="AM",'_Dates'!V541="PM"))),"CHECK Full day / AM / PM",IF(AND('_Dates'!J541='_Dates'!T541,'_Dates'!U541&lt;&gt;"Full day",'_Dates'!V541&lt;&gt;"Full day",'_Dates'!U541&lt;&gt;'_Dates'!V541),"CHECK same-day portions disagree",IF(AND($B$6=0,OR(AND('_Dates'!U541&lt;&gt;"Full day",'_Dates'!AA541=0),AND('_Dates'!V541&lt;&gt;"Full day",'_Dates'!AB541=0))),"CHECK half-day on non-working date",IF(COUNTIF(Settings!$G$7:$G$11,D541)&lt;&gt;1,"CHECK leave type",IF(AND(Bookings!G541&lt;&gt;"Approved",Bookings!G541&lt;&gt;"Pending",Bookings!G541&lt;&gt;"Cancelled"),"CHECK status","OK")))))))))),"CHECK input"))</ns0:f>
        <ns0:v/>
      </ns0:c>
      <ns0:c r="G541" s="0">
        <ns0:f>IF(OR(F541&lt;&gt;"OK",$B$6&gt;0),0,0.5*(IF(('_Dates'!X541)&lt;('_Dates'!W541),0,INT((('_Dates'!X541)-('_Dates'!W541)+1)/7)*LEN(SUBSTITUTE(W541,"O",""))+LEN(SUBSTITUTE(MID(W541&amp;W541,WEEKDAY(('_Dates'!W541),2),MOD((('_Dates'!X541)-('_Dates'!W541)+1),7)),"O",""))-COUNTIFS(INDEX(AllClosureRows,C541,0),"&gt;="&amp;('_Dates'!W541),INDEX(AllClosureRows,C541,0),"&lt;="&amp;('_Dates'!X541)))+IF(('_Dates'!Z541)&lt;('_Dates'!Y541),0,INT((('_Dates'!Z541)-('_Dates'!Y541)+1)/7)*LEN(SUBSTITUTE(W541,"O",""))+LEN(SUBSTITUTE(MID(W541&amp;W541,WEEKDAY(('_Dates'!Y541),2),MOD((('_Dates'!Z541)-('_Dates'!Y541)+1),7)),"O",""))-COUNTIFS(INDEX(AllClosureRows,C541,0),"&gt;="&amp;('_Dates'!Y541),INDEX(AllClosureRows,C541,0),"&lt;="&amp;('_Dates'!Z541)))))</ns0:f>
        <ns0:v>0</ns0:v>
      </ns0:c>
      <ns0:c r="H541" s="0">
        <ns0:f>IF(OR(F541&lt;&gt;"OK",$B$6&gt;0),0,0.5*(IF((MIN('_Dates'!X541,Settings!$B$9))&lt;('_Dates'!W541),0,INT(((MIN('_Dates'!X541,Settings!$B$9))-('_Dates'!W541)+1)/7)*LEN(SUBSTITUTE(W541,"O",""))+LEN(SUBSTITUTE(MID(W541&amp;W541,WEEKDAY(('_Dates'!W541),2),MOD(((MIN('_Dates'!X541,Settings!$B$9))-('_Dates'!W541)+1),7)),"O",""))-COUNTIFS(INDEX(AllClosureRows,C541,0),"&gt;="&amp;('_Dates'!W541),INDEX(AllClosureRows,C541,0),"&lt;="&amp;(MIN('_Dates'!X541,Settings!$B$9))))+IF((MIN('_Dates'!Z541,Settings!$B$9))&lt;('_Dates'!Y541),0,INT(((MIN('_Dates'!Z541,Settings!$B$9))-('_Dates'!Y541)+1)/7)*LEN(SUBSTITUTE(W541,"O",""))+LEN(SUBSTITUTE(MID(W541&amp;W541,WEEKDAY(('_Dates'!Y541),2),MOD(((MIN('_Dates'!Z541,Settings!$B$9))-('_Dates'!Y541)+1),7)),"O",""))-COUNTIFS(INDEX(AllClosureRows,C541,0),"&gt;="&amp;('_Dates'!Y541),INDEX(AllClosureRows,C541,0),"&lt;="&amp;(MIN('_Dates'!Z541,Settings!$B$9))))))</ns0:f>
        <ns0:v>0</ns0:v>
      </ns0:c>
      <ns0:c r="I541" s="0">
        <ns0:f>MAX(0,G541-H541)</ns0:f>
        <ns0:v>0</ns0:v>
      </ns0:c>
      <ns0:c r="J541" s="0">
        <ns0:f>IF(OR(A541=0,F541&lt;&gt;"OK",Bookings!G541="Cancelled",$B$6&gt;0),0,IF('_Dates'!AC541=1,MAX(0,COUNTIFS(rngEngine_B,B541,rngAMStart,"&lt;="&amp;'_Dates'!X541,rngAMEnd,"&gt;="&amp;'_Dates'!W541,rngAMActive,1,rngEngine_F,"OK",rngBookings_F,"&lt;&gt;Cancelled")-1),0)+IF('_Dates'!AD541=1,MAX(0,COUNTIFS(rngEngine_B,B541,rngPMStart,"&lt;="&amp;'_Dates'!Z541,rngPMEnd,"&gt;="&amp;'_Dates'!Y541,rngPMActive,1,rngEngine_F,"OK",rngBookings_F,"&lt;&gt;Cancelled")-1),0))</ns0:f>
        <ns0:v>0</ns0:v>
      </ns0:c>
      <ns0:c r="K541" s="0" t="str">
        <ns0:f>IF(A541=0,"",IF(F541&lt;&gt;"OK",F541,IF(J541&gt;0,"CHECK overlapping entry",IF(AND($B$6=0,G541&lt;=0,Bookings!G541&lt;&gt;"Cancelled"),"CHECK no working days",IF(Bookings!G541="Cancelled","Cancelled","OK")))))</ns0:f>
        <ns0:v/>
      </ns0:c>
      <ns0:c r="L541" s="0">
        <ns0:f>IF(LEFT(K541,5)="CHECK",1,0)</ns0:f>
        <ns0:v>0</ns0:v>
      </ns0:c>
      <ns0:c r="M541" s="0">
        <ns0:f>IF(AND(L541=1,OR(C541=0,IFERROR(INDEX($X$11:$X$60,C541),0)=0)),1,0)</ns0:f>
        <ns0:v>0</ns0:v>
      </ns0:c>
      <ns0:c r="N541" s="0">
        <ns0:f>IF(OR(A541=0,L541&gt;0,$B$6&gt;0,Bookings!G541="Cancelled"),0,G541)</ns0:f>
        <ns0:v>0</ns0:v>
      </ns0:c>
      <ns0:c r="O541" s="0">
        <ns0:f>IF(AND(Bookings!G541="Approved",E541="Yes"),N541,0)</ns0:f>
        <ns0:v>0</ns0:v>
      </ns0:c>
      <ns0:c r="P541" s="0">
        <ns0:f>IF(AND(Bookings!G541="Approved",E541="Yes",L541=0,$B$6=0),H541,0)</ns0:f>
        <ns0:v>0</ns0:v>
      </ns0:c>
      <ns0:c r="Q541" s="0">
        <ns0:f>IF(AND(Bookings!G541="Approved",E541="Yes",L541=0,$B$6=0),I541,0)</ns0:f>
        <ns0:v>0</ns0:v>
      </ns0:c>
      <ns0:c r="R541" s="0">
        <ns0:f>IF(AND(Bookings!G541="Pending",E541="Yes"),N541,0)</ns0:f>
        <ns0:v>0</ns0:v>
      </ns0:c>
      <ns0:c r="S541" s="0">
        <ns0:f>IF(AND(Bookings!G541="Approved",E541="No"),N541,0)</ns0:f>
        <ns0:v>0</ns0:v>
      </ns0:c>
      <ns0:c r="T541" s="0">
        <ns0:f>IFERROR(MATCH(D541,Settings!$G$7:$G$11,0),0)</ns0:f>
        <ns0:v>0</ns0:v>
      </ns0:c>
      <ns0:c r="U541" s="0">
        <ns0:f>IF(N541&gt;0,T541+IF(Bookings!G541="Pending",10,0),0)</ns0:f>
        <ns0:v>0</ns0:v>
      </ns0:c>
      <ns0:c r="V541" s="0">
        <ns0:f>U541</ns0:f>
        <ns0:v>0</ns0:v>
      </ns0:c>
      <ns0:c r="W541" s="0" t="str">
        <ns0:f>IF(C541=0,"",INDEX($AP$11:$AP$60,C541))</ns0:f>
        <ns0:v/>
      </ns0:c>
    </ns0:row>
    <ns0:row r="542">
      <ns0:c r="A542" s="0">
        <ns0:f>IF(COUNTA(Bookings!A542:G542,Bookings!I542)=0,0,1)</ns0:f>
        <ns0:v>0</ns0:v>
      </ns0:c>
      <ns0:c r="B542" s="0" t="str">
        <ns0:f>IFERROR(TRIM(MID(Bookings!A542,FIND(" · ",Bookings!A542)+3,99)),"")</ns0:f>
        <ns0:v/>
      </ns0:c>
      <ns0:c r="C542" s="0">
        <ns0:f>IF(OR(B542="",LEN(B542)&gt;24,ISNUMBER(FIND(" ",B542)),ISNUMBER(FIND("*",B542)),ISNUMBER(FIND("?",B542)),ISNUMBER(FIND("~",B542))),0,IFERROR(MATCH(B542,Team!$A$11:$A$60,0),0))</ns0:f>
        <ns0:v>0</ns0:v>
      </ns0:c>
      <ns0:c r="D542" s="0" t="str">
        <ns0:f>IFERROR(IF(MID(Bookings!F542,LEN(Bookings!F542)-3,3)=" · ",RIGHT(Bookings!F542,1),""),"")</ns0:f>
        <ns0:v/>
      </ns0:c>
      <ns0:c r="E542" s="0" t="str">
        <ns0:f>IFERROR(INDEX(Settings!$H$7:$H$11,MATCH(D542,Settings!$G$7:$G$11,0)),"")</ns0:f>
        <ns0:v/>
      </ns0:c>
      <ns0:c r="F542" s="0" t="str">
        <ns0:f>IF(A542=0,"",IFERROR(IF(OR(B542="",C542=0),"CHECK employee selection",IF(INDEX(Team!$O$11:$O$60,C542)&lt;&gt;"OK","CHECK employee setup",IF(OR('_Dates'!J542=0,'_Dates'!T542=0),"CHECK date: use DD.MM.YYYY",IF('_Dates'!T542&lt;'_Dates'!J542,"CHECK end before start",IF(AND($B$6=0,OR('_Dates'!J542&lt;Settings!$B$7,'_Dates'!T542&gt;Settings!$B$8)),"CHECK split across leave years",IF(OR(NOT(OR('_Dates'!U542="Full day",'_Dates'!U542="AM",'_Dates'!U542="PM")),NOT(OR('_Dates'!V542="Full day",'_Dates'!V542="AM",'_Dates'!V542="PM"))),"CHECK Full day / AM / PM",IF(AND('_Dates'!J542='_Dates'!T542,'_Dates'!U542&lt;&gt;"Full day",'_Dates'!V542&lt;&gt;"Full day",'_Dates'!U542&lt;&gt;'_Dates'!V542),"CHECK same-day portions disagree",IF(AND($B$6=0,OR(AND('_Dates'!U542&lt;&gt;"Full day",'_Dates'!AA542=0),AND('_Dates'!V542&lt;&gt;"Full day",'_Dates'!AB542=0))),"CHECK half-day on non-working date",IF(COUNTIF(Settings!$G$7:$G$11,D542)&lt;&gt;1,"CHECK leave type",IF(AND(Bookings!G542&lt;&gt;"Approved",Bookings!G542&lt;&gt;"Pending",Bookings!G542&lt;&gt;"Cancelled"),"CHECK status","OK")))))))))),"CHECK input"))</ns0:f>
        <ns0:v/>
      </ns0:c>
      <ns0:c r="G542" s="0">
        <ns0:f>IF(OR(F542&lt;&gt;"OK",$B$6&gt;0),0,0.5*(IF(('_Dates'!X542)&lt;('_Dates'!W542),0,INT((('_Dates'!X542)-('_Dates'!W542)+1)/7)*LEN(SUBSTITUTE(W542,"O",""))+LEN(SUBSTITUTE(MID(W542&amp;W542,WEEKDAY(('_Dates'!W542),2),MOD((('_Dates'!X542)-('_Dates'!W542)+1),7)),"O",""))-COUNTIFS(INDEX(AllClosureRows,C542,0),"&gt;="&amp;('_Dates'!W542),INDEX(AllClosureRows,C542,0),"&lt;="&amp;('_Dates'!X542)))+IF(('_Dates'!Z542)&lt;('_Dates'!Y542),0,INT((('_Dates'!Z542)-('_Dates'!Y542)+1)/7)*LEN(SUBSTITUTE(W542,"O",""))+LEN(SUBSTITUTE(MID(W542&amp;W542,WEEKDAY(('_Dates'!Y542),2),MOD((('_Dates'!Z542)-('_Dates'!Y542)+1),7)),"O",""))-COUNTIFS(INDEX(AllClosureRows,C542,0),"&gt;="&amp;('_Dates'!Y542),INDEX(AllClosureRows,C542,0),"&lt;="&amp;('_Dates'!Z542)))))</ns0:f>
        <ns0:v>0</ns0:v>
      </ns0:c>
      <ns0:c r="H542" s="0">
        <ns0:f>IF(OR(F542&lt;&gt;"OK",$B$6&gt;0),0,0.5*(IF((MIN('_Dates'!X542,Settings!$B$9))&lt;('_Dates'!W542),0,INT(((MIN('_Dates'!X542,Settings!$B$9))-('_Dates'!W542)+1)/7)*LEN(SUBSTITUTE(W542,"O",""))+LEN(SUBSTITUTE(MID(W542&amp;W542,WEEKDAY(('_Dates'!W542),2),MOD(((MIN('_Dates'!X542,Settings!$B$9))-('_Dates'!W542)+1),7)),"O",""))-COUNTIFS(INDEX(AllClosureRows,C542,0),"&gt;="&amp;('_Dates'!W542),INDEX(AllClosureRows,C542,0),"&lt;="&amp;(MIN('_Dates'!X542,Settings!$B$9))))+IF((MIN('_Dates'!Z542,Settings!$B$9))&lt;('_Dates'!Y542),0,INT(((MIN('_Dates'!Z542,Settings!$B$9))-('_Dates'!Y542)+1)/7)*LEN(SUBSTITUTE(W542,"O",""))+LEN(SUBSTITUTE(MID(W542&amp;W542,WEEKDAY(('_Dates'!Y542),2),MOD(((MIN('_Dates'!Z542,Settings!$B$9))-('_Dates'!Y542)+1),7)),"O",""))-COUNTIFS(INDEX(AllClosureRows,C542,0),"&gt;="&amp;('_Dates'!Y542),INDEX(AllClosureRows,C542,0),"&lt;="&amp;(MIN('_Dates'!Z542,Settings!$B$9))))))</ns0:f>
        <ns0:v>0</ns0:v>
      </ns0:c>
      <ns0:c r="I542" s="0">
        <ns0:f>MAX(0,G542-H542)</ns0:f>
        <ns0:v>0</ns0:v>
      </ns0:c>
      <ns0:c r="J542" s="0">
        <ns0:f>IF(OR(A542=0,F542&lt;&gt;"OK",Bookings!G542="Cancelled",$B$6&gt;0),0,IF('_Dates'!AC542=1,MAX(0,COUNTIFS(rngEngine_B,B542,rngAMStart,"&lt;="&amp;'_Dates'!X542,rngAMEnd,"&gt;="&amp;'_Dates'!W542,rngAMActive,1,rngEngine_F,"OK",rngBookings_F,"&lt;&gt;Cancelled")-1),0)+IF('_Dates'!AD542=1,MAX(0,COUNTIFS(rngEngine_B,B542,rngPMStart,"&lt;="&amp;'_Dates'!Z542,rngPMEnd,"&gt;="&amp;'_Dates'!Y542,rngPMActive,1,rngEngine_F,"OK",rngBookings_F,"&lt;&gt;Cancelled")-1),0))</ns0:f>
        <ns0:v>0</ns0:v>
      </ns0:c>
      <ns0:c r="K542" s="0" t="str">
        <ns0:f>IF(A542=0,"",IF(F542&lt;&gt;"OK",F542,IF(J542&gt;0,"CHECK overlapping entry",IF(AND($B$6=0,G542&lt;=0,Bookings!G542&lt;&gt;"Cancelled"),"CHECK no working days",IF(Bookings!G542="Cancelled","Cancelled","OK")))))</ns0:f>
        <ns0:v/>
      </ns0:c>
      <ns0:c r="L542" s="0">
        <ns0:f>IF(LEFT(K542,5)="CHECK",1,0)</ns0:f>
        <ns0:v>0</ns0:v>
      </ns0:c>
      <ns0:c r="M542" s="0">
        <ns0:f>IF(AND(L542=1,OR(C542=0,IFERROR(INDEX($X$11:$X$60,C542),0)=0)),1,0)</ns0:f>
        <ns0:v>0</ns0:v>
      </ns0:c>
      <ns0:c r="N542" s="0">
        <ns0:f>IF(OR(A542=0,L542&gt;0,$B$6&gt;0,Bookings!G542="Cancelled"),0,G542)</ns0:f>
        <ns0:v>0</ns0:v>
      </ns0:c>
      <ns0:c r="O542" s="0">
        <ns0:f>IF(AND(Bookings!G542="Approved",E542="Yes"),N542,0)</ns0:f>
        <ns0:v>0</ns0:v>
      </ns0:c>
      <ns0:c r="P542" s="0">
        <ns0:f>IF(AND(Bookings!G542="Approved",E542="Yes",L542=0,$B$6=0),H542,0)</ns0:f>
        <ns0:v>0</ns0:v>
      </ns0:c>
      <ns0:c r="Q542" s="0">
        <ns0:f>IF(AND(Bookings!G542="Approved",E542="Yes",L542=0,$B$6=0),I542,0)</ns0:f>
        <ns0:v>0</ns0:v>
      </ns0:c>
      <ns0:c r="R542" s="0">
        <ns0:f>IF(AND(Bookings!G542="Pending",E542="Yes"),N542,0)</ns0:f>
        <ns0:v>0</ns0:v>
      </ns0:c>
      <ns0:c r="S542" s="0">
        <ns0:f>IF(AND(Bookings!G542="Approved",E542="No"),N542,0)</ns0:f>
        <ns0:v>0</ns0:v>
      </ns0:c>
      <ns0:c r="T542" s="0">
        <ns0:f>IFERROR(MATCH(D542,Settings!$G$7:$G$11,0),0)</ns0:f>
        <ns0:v>0</ns0:v>
      </ns0:c>
      <ns0:c r="U542" s="0">
        <ns0:f>IF(N542&gt;0,T542+IF(Bookings!G542="Pending",10,0),0)</ns0:f>
        <ns0:v>0</ns0:v>
      </ns0:c>
      <ns0:c r="V542" s="0">
        <ns0:f>U542</ns0:f>
        <ns0:v>0</ns0:v>
      </ns0:c>
      <ns0:c r="W542" s="0" t="str">
        <ns0:f>IF(C542=0,"",INDEX($AP$11:$AP$60,C542))</ns0:f>
        <ns0:v/>
      </ns0:c>
    </ns0:row>
    <ns0:row r="543">
      <ns0:c r="A543" s="0">
        <ns0:f>IF(COUNTA(Bookings!A543:G543,Bookings!I543)=0,0,1)</ns0:f>
        <ns0:v>0</ns0:v>
      </ns0:c>
      <ns0:c r="B543" s="0" t="str">
        <ns0:f>IFERROR(TRIM(MID(Bookings!A543,FIND(" · ",Bookings!A543)+3,99)),"")</ns0:f>
        <ns0:v/>
      </ns0:c>
      <ns0:c r="C543" s="0">
        <ns0:f>IF(OR(B543="",LEN(B543)&gt;24,ISNUMBER(FIND(" ",B543)),ISNUMBER(FIND("*",B543)),ISNUMBER(FIND("?",B543)),ISNUMBER(FIND("~",B543))),0,IFERROR(MATCH(B543,Team!$A$11:$A$60,0),0))</ns0:f>
        <ns0:v>0</ns0:v>
      </ns0:c>
      <ns0:c r="D543" s="0" t="str">
        <ns0:f>IFERROR(IF(MID(Bookings!F543,LEN(Bookings!F543)-3,3)=" · ",RIGHT(Bookings!F543,1),""),"")</ns0:f>
        <ns0:v/>
      </ns0:c>
      <ns0:c r="E543" s="0" t="str">
        <ns0:f>IFERROR(INDEX(Settings!$H$7:$H$11,MATCH(D543,Settings!$G$7:$G$11,0)),"")</ns0:f>
        <ns0:v/>
      </ns0:c>
      <ns0:c r="F543" s="0" t="str">
        <ns0:f>IF(A543=0,"",IFERROR(IF(OR(B543="",C543=0),"CHECK employee selection",IF(INDEX(Team!$O$11:$O$60,C543)&lt;&gt;"OK","CHECK employee setup",IF(OR('_Dates'!J543=0,'_Dates'!T543=0),"CHECK date: use DD.MM.YYYY",IF('_Dates'!T543&lt;'_Dates'!J543,"CHECK end before start",IF(AND($B$6=0,OR('_Dates'!J543&lt;Settings!$B$7,'_Dates'!T543&gt;Settings!$B$8)),"CHECK split across leave years",IF(OR(NOT(OR('_Dates'!U543="Full day",'_Dates'!U543="AM",'_Dates'!U543="PM")),NOT(OR('_Dates'!V543="Full day",'_Dates'!V543="AM",'_Dates'!V543="PM"))),"CHECK Full day / AM / PM",IF(AND('_Dates'!J543='_Dates'!T543,'_Dates'!U543&lt;&gt;"Full day",'_Dates'!V543&lt;&gt;"Full day",'_Dates'!U543&lt;&gt;'_Dates'!V543),"CHECK same-day portions disagree",IF(AND($B$6=0,OR(AND('_Dates'!U543&lt;&gt;"Full day",'_Dates'!AA543=0),AND('_Dates'!V543&lt;&gt;"Full day",'_Dates'!AB543=0))),"CHECK half-day on non-working date",IF(COUNTIF(Settings!$G$7:$G$11,D543)&lt;&gt;1,"CHECK leave type",IF(AND(Bookings!G543&lt;&gt;"Approved",Bookings!G543&lt;&gt;"Pending",Bookings!G543&lt;&gt;"Cancelled"),"CHECK status","OK")))))))))),"CHECK input"))</ns0:f>
        <ns0:v/>
      </ns0:c>
      <ns0:c r="G543" s="0">
        <ns0:f>IF(OR(F543&lt;&gt;"OK",$B$6&gt;0),0,0.5*(IF(('_Dates'!X543)&lt;('_Dates'!W543),0,INT((('_Dates'!X543)-('_Dates'!W543)+1)/7)*LEN(SUBSTITUTE(W543,"O",""))+LEN(SUBSTITUTE(MID(W543&amp;W543,WEEKDAY(('_Dates'!W543),2),MOD((('_Dates'!X543)-('_Dates'!W543)+1),7)),"O",""))-COUNTIFS(INDEX(AllClosureRows,C543,0),"&gt;="&amp;('_Dates'!W543),INDEX(AllClosureRows,C543,0),"&lt;="&amp;('_Dates'!X543)))+IF(('_Dates'!Z543)&lt;('_Dates'!Y543),0,INT((('_Dates'!Z543)-('_Dates'!Y543)+1)/7)*LEN(SUBSTITUTE(W543,"O",""))+LEN(SUBSTITUTE(MID(W543&amp;W543,WEEKDAY(('_Dates'!Y543),2),MOD((('_Dates'!Z543)-('_Dates'!Y543)+1),7)),"O",""))-COUNTIFS(INDEX(AllClosureRows,C543,0),"&gt;="&amp;('_Dates'!Y543),INDEX(AllClosureRows,C543,0),"&lt;="&amp;('_Dates'!Z543)))))</ns0:f>
        <ns0:v>0</ns0:v>
      </ns0:c>
      <ns0:c r="H543" s="0">
        <ns0:f>IF(OR(F543&lt;&gt;"OK",$B$6&gt;0),0,0.5*(IF((MIN('_Dates'!X543,Settings!$B$9))&lt;('_Dates'!W543),0,INT(((MIN('_Dates'!X543,Settings!$B$9))-('_Dates'!W543)+1)/7)*LEN(SUBSTITUTE(W543,"O",""))+LEN(SUBSTITUTE(MID(W543&amp;W543,WEEKDAY(('_Dates'!W543),2),MOD(((MIN('_Dates'!X543,Settings!$B$9))-('_Dates'!W543)+1),7)),"O",""))-COUNTIFS(INDEX(AllClosureRows,C543,0),"&gt;="&amp;('_Dates'!W543),INDEX(AllClosureRows,C543,0),"&lt;="&amp;(MIN('_Dates'!X543,Settings!$B$9))))+IF((MIN('_Dates'!Z543,Settings!$B$9))&lt;('_Dates'!Y543),0,INT(((MIN('_Dates'!Z543,Settings!$B$9))-('_Dates'!Y543)+1)/7)*LEN(SUBSTITUTE(W543,"O",""))+LEN(SUBSTITUTE(MID(W543&amp;W543,WEEKDAY(('_Dates'!Y543),2),MOD(((MIN('_Dates'!Z543,Settings!$B$9))-('_Dates'!Y543)+1),7)),"O",""))-COUNTIFS(INDEX(AllClosureRows,C543,0),"&gt;="&amp;('_Dates'!Y543),INDEX(AllClosureRows,C543,0),"&lt;="&amp;(MIN('_Dates'!Z543,Settings!$B$9))))))</ns0:f>
        <ns0:v>0</ns0:v>
      </ns0:c>
      <ns0:c r="I543" s="0">
        <ns0:f>MAX(0,G543-H543)</ns0:f>
        <ns0:v>0</ns0:v>
      </ns0:c>
      <ns0:c r="J543" s="0">
        <ns0:f>IF(OR(A543=0,F543&lt;&gt;"OK",Bookings!G543="Cancelled",$B$6&gt;0),0,IF('_Dates'!AC543=1,MAX(0,COUNTIFS(rngEngine_B,B543,rngAMStart,"&lt;="&amp;'_Dates'!X543,rngAMEnd,"&gt;="&amp;'_Dates'!W543,rngAMActive,1,rngEngine_F,"OK",rngBookings_F,"&lt;&gt;Cancelled")-1),0)+IF('_Dates'!AD543=1,MAX(0,COUNTIFS(rngEngine_B,B543,rngPMStart,"&lt;="&amp;'_Dates'!Z543,rngPMEnd,"&gt;="&amp;'_Dates'!Y543,rngPMActive,1,rngEngine_F,"OK",rngBookings_F,"&lt;&gt;Cancelled")-1),0))</ns0:f>
        <ns0:v>0</ns0:v>
      </ns0:c>
      <ns0:c r="K543" s="0" t="str">
        <ns0:f>IF(A543=0,"",IF(F543&lt;&gt;"OK",F543,IF(J543&gt;0,"CHECK overlapping entry",IF(AND($B$6=0,G543&lt;=0,Bookings!G543&lt;&gt;"Cancelled"),"CHECK no working days",IF(Bookings!G543="Cancelled","Cancelled","OK")))))</ns0:f>
        <ns0:v/>
      </ns0:c>
      <ns0:c r="L543" s="0">
        <ns0:f>IF(LEFT(K543,5)="CHECK",1,0)</ns0:f>
        <ns0:v>0</ns0:v>
      </ns0:c>
      <ns0:c r="M543" s="0">
        <ns0:f>IF(AND(L543=1,OR(C543=0,IFERROR(INDEX($X$11:$X$60,C543),0)=0)),1,0)</ns0:f>
        <ns0:v>0</ns0:v>
      </ns0:c>
      <ns0:c r="N543" s="0">
        <ns0:f>IF(OR(A543=0,L543&gt;0,$B$6&gt;0,Bookings!G543="Cancelled"),0,G543)</ns0:f>
        <ns0:v>0</ns0:v>
      </ns0:c>
      <ns0:c r="O543" s="0">
        <ns0:f>IF(AND(Bookings!G543="Approved",E543="Yes"),N543,0)</ns0:f>
        <ns0:v>0</ns0:v>
      </ns0:c>
      <ns0:c r="P543" s="0">
        <ns0:f>IF(AND(Bookings!G543="Approved",E543="Yes",L543=0,$B$6=0),H543,0)</ns0:f>
        <ns0:v>0</ns0:v>
      </ns0:c>
      <ns0:c r="Q543" s="0">
        <ns0:f>IF(AND(Bookings!G543="Approved",E543="Yes",L543=0,$B$6=0),I543,0)</ns0:f>
        <ns0:v>0</ns0:v>
      </ns0:c>
      <ns0:c r="R543" s="0">
        <ns0:f>IF(AND(Bookings!G543="Pending",E543="Yes"),N543,0)</ns0:f>
        <ns0:v>0</ns0:v>
      </ns0:c>
      <ns0:c r="S543" s="0">
        <ns0:f>IF(AND(Bookings!G543="Approved",E543="No"),N543,0)</ns0:f>
        <ns0:v>0</ns0:v>
      </ns0:c>
      <ns0:c r="T543" s="0">
        <ns0:f>IFERROR(MATCH(D543,Settings!$G$7:$G$11,0),0)</ns0:f>
        <ns0:v>0</ns0:v>
      </ns0:c>
      <ns0:c r="U543" s="0">
        <ns0:f>IF(N543&gt;0,T543+IF(Bookings!G543="Pending",10,0),0)</ns0:f>
        <ns0:v>0</ns0:v>
      </ns0:c>
      <ns0:c r="V543" s="0">
        <ns0:f>U543</ns0:f>
        <ns0:v>0</ns0:v>
      </ns0:c>
      <ns0:c r="W543" s="0" t="str">
        <ns0:f>IF(C543=0,"",INDEX($AP$11:$AP$60,C543))</ns0:f>
        <ns0:v/>
      </ns0:c>
    </ns0:row>
    <ns0:row r="544">
      <ns0:c r="A544" s="0">
        <ns0:f>IF(COUNTA(Bookings!A544:G544,Bookings!I544)=0,0,1)</ns0:f>
        <ns0:v>0</ns0:v>
      </ns0:c>
      <ns0:c r="B544" s="0" t="str">
        <ns0:f>IFERROR(TRIM(MID(Bookings!A544,FIND(" · ",Bookings!A544)+3,99)),"")</ns0:f>
        <ns0:v/>
      </ns0:c>
      <ns0:c r="C544" s="0">
        <ns0:f>IF(OR(B544="",LEN(B544)&gt;24,ISNUMBER(FIND(" ",B544)),ISNUMBER(FIND("*",B544)),ISNUMBER(FIND("?",B544)),ISNUMBER(FIND("~",B544))),0,IFERROR(MATCH(B544,Team!$A$11:$A$60,0),0))</ns0:f>
        <ns0:v>0</ns0:v>
      </ns0:c>
      <ns0:c r="D544" s="0" t="str">
        <ns0:f>IFERROR(IF(MID(Bookings!F544,LEN(Bookings!F544)-3,3)=" · ",RIGHT(Bookings!F544,1),""),"")</ns0:f>
        <ns0:v/>
      </ns0:c>
      <ns0:c r="E544" s="0" t="str">
        <ns0:f>IFERROR(INDEX(Settings!$H$7:$H$11,MATCH(D544,Settings!$G$7:$G$11,0)),"")</ns0:f>
        <ns0:v/>
      </ns0:c>
      <ns0:c r="F544" s="0" t="str">
        <ns0:f>IF(A544=0,"",IFERROR(IF(OR(B544="",C544=0),"CHECK employee selection",IF(INDEX(Team!$O$11:$O$60,C544)&lt;&gt;"OK","CHECK employee setup",IF(OR('_Dates'!J544=0,'_Dates'!T544=0),"CHECK date: use DD.MM.YYYY",IF('_Dates'!T544&lt;'_Dates'!J544,"CHECK end before start",IF(AND($B$6=0,OR('_Dates'!J544&lt;Settings!$B$7,'_Dates'!T544&gt;Settings!$B$8)),"CHECK split across leave years",IF(OR(NOT(OR('_Dates'!U544="Full day",'_Dates'!U544="AM",'_Dates'!U544="PM")),NOT(OR('_Dates'!V544="Full day",'_Dates'!V544="AM",'_Dates'!V544="PM"))),"CHECK Full day / AM / PM",IF(AND('_Dates'!J544='_Dates'!T544,'_Dates'!U544&lt;&gt;"Full day",'_Dates'!V544&lt;&gt;"Full day",'_Dates'!U544&lt;&gt;'_Dates'!V544),"CHECK same-day portions disagree",IF(AND($B$6=0,OR(AND('_Dates'!U544&lt;&gt;"Full day",'_Dates'!AA544=0),AND('_Dates'!V544&lt;&gt;"Full day",'_Dates'!AB544=0))),"CHECK half-day on non-working date",IF(COUNTIF(Settings!$G$7:$G$11,D544)&lt;&gt;1,"CHECK leave type",IF(AND(Bookings!G544&lt;&gt;"Approved",Bookings!G544&lt;&gt;"Pending",Bookings!G544&lt;&gt;"Cancelled"),"CHECK status","OK")))))))))),"CHECK input"))</ns0:f>
        <ns0:v/>
      </ns0:c>
      <ns0:c r="G544" s="0">
        <ns0:f>IF(OR(F544&lt;&gt;"OK",$B$6&gt;0),0,0.5*(IF(('_Dates'!X544)&lt;('_Dates'!W544),0,INT((('_Dates'!X544)-('_Dates'!W544)+1)/7)*LEN(SUBSTITUTE(W544,"O",""))+LEN(SUBSTITUTE(MID(W544&amp;W544,WEEKDAY(('_Dates'!W544),2),MOD((('_Dates'!X544)-('_Dates'!W544)+1),7)),"O",""))-COUNTIFS(INDEX(AllClosureRows,C544,0),"&gt;="&amp;('_Dates'!W544),INDEX(AllClosureRows,C544,0),"&lt;="&amp;('_Dates'!X544)))+IF(('_Dates'!Z544)&lt;('_Dates'!Y544),0,INT((('_Dates'!Z544)-('_Dates'!Y544)+1)/7)*LEN(SUBSTITUTE(W544,"O",""))+LEN(SUBSTITUTE(MID(W544&amp;W544,WEEKDAY(('_Dates'!Y544),2),MOD((('_Dates'!Z544)-('_Dates'!Y544)+1),7)),"O",""))-COUNTIFS(INDEX(AllClosureRows,C544,0),"&gt;="&amp;('_Dates'!Y544),INDEX(AllClosureRows,C544,0),"&lt;="&amp;('_Dates'!Z544)))))</ns0:f>
        <ns0:v>0</ns0:v>
      </ns0:c>
      <ns0:c r="H544" s="0">
        <ns0:f>IF(OR(F544&lt;&gt;"OK",$B$6&gt;0),0,0.5*(IF((MIN('_Dates'!X544,Settings!$B$9))&lt;('_Dates'!W544),0,INT(((MIN('_Dates'!X544,Settings!$B$9))-('_Dates'!W544)+1)/7)*LEN(SUBSTITUTE(W544,"O",""))+LEN(SUBSTITUTE(MID(W544&amp;W544,WEEKDAY(('_Dates'!W544),2),MOD(((MIN('_Dates'!X544,Settings!$B$9))-('_Dates'!W544)+1),7)),"O",""))-COUNTIFS(INDEX(AllClosureRows,C544,0),"&gt;="&amp;('_Dates'!W544),INDEX(AllClosureRows,C544,0),"&lt;="&amp;(MIN('_Dates'!X544,Settings!$B$9))))+IF((MIN('_Dates'!Z544,Settings!$B$9))&lt;('_Dates'!Y544),0,INT(((MIN('_Dates'!Z544,Settings!$B$9))-('_Dates'!Y544)+1)/7)*LEN(SUBSTITUTE(W544,"O",""))+LEN(SUBSTITUTE(MID(W544&amp;W544,WEEKDAY(('_Dates'!Y544),2),MOD(((MIN('_Dates'!Z544,Settings!$B$9))-('_Dates'!Y544)+1),7)),"O",""))-COUNTIFS(INDEX(AllClosureRows,C544,0),"&gt;="&amp;('_Dates'!Y544),INDEX(AllClosureRows,C544,0),"&lt;="&amp;(MIN('_Dates'!Z544,Settings!$B$9))))))</ns0:f>
        <ns0:v>0</ns0:v>
      </ns0:c>
      <ns0:c r="I544" s="0">
        <ns0:f>MAX(0,G544-H544)</ns0:f>
        <ns0:v>0</ns0:v>
      </ns0:c>
      <ns0:c r="J544" s="0">
        <ns0:f>IF(OR(A544=0,F544&lt;&gt;"OK",Bookings!G544="Cancelled",$B$6&gt;0),0,IF('_Dates'!AC544=1,MAX(0,COUNTIFS(rngEngine_B,B544,rngAMStart,"&lt;="&amp;'_Dates'!X544,rngAMEnd,"&gt;="&amp;'_Dates'!W544,rngAMActive,1,rngEngine_F,"OK",rngBookings_F,"&lt;&gt;Cancelled")-1),0)+IF('_Dates'!AD544=1,MAX(0,COUNTIFS(rngEngine_B,B544,rngPMStart,"&lt;="&amp;'_Dates'!Z544,rngPMEnd,"&gt;="&amp;'_Dates'!Y544,rngPMActive,1,rngEngine_F,"OK",rngBookings_F,"&lt;&gt;Cancelled")-1),0))</ns0:f>
        <ns0:v>0</ns0:v>
      </ns0:c>
      <ns0:c r="K544" s="0" t="str">
        <ns0:f>IF(A544=0,"",IF(F544&lt;&gt;"OK",F544,IF(J544&gt;0,"CHECK overlapping entry",IF(AND($B$6=0,G544&lt;=0,Bookings!G544&lt;&gt;"Cancelled"),"CHECK no working days",IF(Bookings!G544="Cancelled","Cancelled","OK")))))</ns0:f>
        <ns0:v/>
      </ns0:c>
      <ns0:c r="L544" s="0">
        <ns0:f>IF(LEFT(K544,5)="CHECK",1,0)</ns0:f>
        <ns0:v>0</ns0:v>
      </ns0:c>
      <ns0:c r="M544" s="0">
        <ns0:f>IF(AND(L544=1,OR(C544=0,IFERROR(INDEX($X$11:$X$60,C544),0)=0)),1,0)</ns0:f>
        <ns0:v>0</ns0:v>
      </ns0:c>
      <ns0:c r="N544" s="0">
        <ns0:f>IF(OR(A544=0,L544&gt;0,$B$6&gt;0,Bookings!G544="Cancelled"),0,G544)</ns0:f>
        <ns0:v>0</ns0:v>
      </ns0:c>
      <ns0:c r="O544" s="0">
        <ns0:f>IF(AND(Bookings!G544="Approved",E544="Yes"),N544,0)</ns0:f>
        <ns0:v>0</ns0:v>
      </ns0:c>
      <ns0:c r="P544" s="0">
        <ns0:f>IF(AND(Bookings!G544="Approved",E544="Yes",L544=0,$B$6=0),H544,0)</ns0:f>
        <ns0:v>0</ns0:v>
      </ns0:c>
      <ns0:c r="Q544" s="0">
        <ns0:f>IF(AND(Bookings!G544="Approved",E544="Yes",L544=0,$B$6=0),I544,0)</ns0:f>
        <ns0:v>0</ns0:v>
      </ns0:c>
      <ns0:c r="R544" s="0">
        <ns0:f>IF(AND(Bookings!G544="Pending",E544="Yes"),N544,0)</ns0:f>
        <ns0:v>0</ns0:v>
      </ns0:c>
      <ns0:c r="S544" s="0">
        <ns0:f>IF(AND(Bookings!G544="Approved",E544="No"),N544,0)</ns0:f>
        <ns0:v>0</ns0:v>
      </ns0:c>
      <ns0:c r="T544" s="0">
        <ns0:f>IFERROR(MATCH(D544,Settings!$G$7:$G$11,0),0)</ns0:f>
        <ns0:v>0</ns0:v>
      </ns0:c>
      <ns0:c r="U544" s="0">
        <ns0:f>IF(N544&gt;0,T544+IF(Bookings!G544="Pending",10,0),0)</ns0:f>
        <ns0:v>0</ns0:v>
      </ns0:c>
      <ns0:c r="V544" s="0">
        <ns0:f>U544</ns0:f>
        <ns0:v>0</ns0:v>
      </ns0:c>
      <ns0:c r="W544" s="0" t="str">
        <ns0:f>IF(C544=0,"",INDEX($AP$11:$AP$60,C544))</ns0:f>
        <ns0:v/>
      </ns0:c>
    </ns0:row>
    <ns0:row r="545">
      <ns0:c r="A545" s="0">
        <ns0:f>IF(COUNTA(Bookings!A545:G545,Bookings!I545)=0,0,1)</ns0:f>
        <ns0:v>0</ns0:v>
      </ns0:c>
      <ns0:c r="B545" s="0" t="str">
        <ns0:f>IFERROR(TRIM(MID(Bookings!A545,FIND(" · ",Bookings!A545)+3,99)),"")</ns0:f>
        <ns0:v/>
      </ns0:c>
      <ns0:c r="C545" s="0">
        <ns0:f>IF(OR(B545="",LEN(B545)&gt;24,ISNUMBER(FIND(" ",B545)),ISNUMBER(FIND("*",B545)),ISNUMBER(FIND("?",B545)),ISNUMBER(FIND("~",B545))),0,IFERROR(MATCH(B545,Team!$A$11:$A$60,0),0))</ns0:f>
        <ns0:v>0</ns0:v>
      </ns0:c>
      <ns0:c r="D545" s="0" t="str">
        <ns0:f>IFERROR(IF(MID(Bookings!F545,LEN(Bookings!F545)-3,3)=" · ",RIGHT(Bookings!F545,1),""),"")</ns0:f>
        <ns0:v/>
      </ns0:c>
      <ns0:c r="E545" s="0" t="str">
        <ns0:f>IFERROR(INDEX(Settings!$H$7:$H$11,MATCH(D545,Settings!$G$7:$G$11,0)),"")</ns0:f>
        <ns0:v/>
      </ns0:c>
      <ns0:c r="F545" s="0" t="str">
        <ns0:f>IF(A545=0,"",IFERROR(IF(OR(B545="",C545=0),"CHECK employee selection",IF(INDEX(Team!$O$11:$O$60,C545)&lt;&gt;"OK","CHECK employee setup",IF(OR('_Dates'!J545=0,'_Dates'!T545=0),"CHECK date: use DD.MM.YYYY",IF('_Dates'!T545&lt;'_Dates'!J545,"CHECK end before start",IF(AND($B$6=0,OR('_Dates'!J545&lt;Settings!$B$7,'_Dates'!T545&gt;Settings!$B$8)),"CHECK split across leave years",IF(OR(NOT(OR('_Dates'!U545="Full day",'_Dates'!U545="AM",'_Dates'!U545="PM")),NOT(OR('_Dates'!V545="Full day",'_Dates'!V545="AM",'_Dates'!V545="PM"))),"CHECK Full day / AM / PM",IF(AND('_Dates'!J545='_Dates'!T545,'_Dates'!U545&lt;&gt;"Full day",'_Dates'!V545&lt;&gt;"Full day",'_Dates'!U545&lt;&gt;'_Dates'!V545),"CHECK same-day portions disagree",IF(AND($B$6=0,OR(AND('_Dates'!U545&lt;&gt;"Full day",'_Dates'!AA545=0),AND('_Dates'!V545&lt;&gt;"Full day",'_Dates'!AB545=0))),"CHECK half-day on non-working date",IF(COUNTIF(Settings!$G$7:$G$11,D545)&lt;&gt;1,"CHECK leave type",IF(AND(Bookings!G545&lt;&gt;"Approved",Bookings!G545&lt;&gt;"Pending",Bookings!G545&lt;&gt;"Cancelled"),"CHECK status","OK")))))))))),"CHECK input"))</ns0:f>
        <ns0:v/>
      </ns0:c>
      <ns0:c r="G545" s="0">
        <ns0:f>IF(OR(F545&lt;&gt;"OK",$B$6&gt;0),0,0.5*(IF(('_Dates'!X545)&lt;('_Dates'!W545),0,INT((('_Dates'!X545)-('_Dates'!W545)+1)/7)*LEN(SUBSTITUTE(W545,"O",""))+LEN(SUBSTITUTE(MID(W545&amp;W545,WEEKDAY(('_Dates'!W545),2),MOD((('_Dates'!X545)-('_Dates'!W545)+1),7)),"O",""))-COUNTIFS(INDEX(AllClosureRows,C545,0),"&gt;="&amp;('_Dates'!W545),INDEX(AllClosureRows,C545,0),"&lt;="&amp;('_Dates'!X545)))+IF(('_Dates'!Z545)&lt;('_Dates'!Y545),0,INT((('_Dates'!Z545)-('_Dates'!Y545)+1)/7)*LEN(SUBSTITUTE(W545,"O",""))+LEN(SUBSTITUTE(MID(W545&amp;W545,WEEKDAY(('_Dates'!Y545),2),MOD((('_Dates'!Z545)-('_Dates'!Y545)+1),7)),"O",""))-COUNTIFS(INDEX(AllClosureRows,C545,0),"&gt;="&amp;('_Dates'!Y545),INDEX(AllClosureRows,C545,0),"&lt;="&amp;('_Dates'!Z545)))))</ns0:f>
        <ns0:v>0</ns0:v>
      </ns0:c>
      <ns0:c r="H545" s="0">
        <ns0:f>IF(OR(F545&lt;&gt;"OK",$B$6&gt;0),0,0.5*(IF((MIN('_Dates'!X545,Settings!$B$9))&lt;('_Dates'!W545),0,INT(((MIN('_Dates'!X545,Settings!$B$9))-('_Dates'!W545)+1)/7)*LEN(SUBSTITUTE(W545,"O",""))+LEN(SUBSTITUTE(MID(W545&amp;W545,WEEKDAY(('_Dates'!W545),2),MOD(((MIN('_Dates'!X545,Settings!$B$9))-('_Dates'!W545)+1),7)),"O",""))-COUNTIFS(INDEX(AllClosureRows,C545,0),"&gt;="&amp;('_Dates'!W545),INDEX(AllClosureRows,C545,0),"&lt;="&amp;(MIN('_Dates'!X545,Settings!$B$9))))+IF((MIN('_Dates'!Z545,Settings!$B$9))&lt;('_Dates'!Y545),0,INT(((MIN('_Dates'!Z545,Settings!$B$9))-('_Dates'!Y545)+1)/7)*LEN(SUBSTITUTE(W545,"O",""))+LEN(SUBSTITUTE(MID(W545&amp;W545,WEEKDAY(('_Dates'!Y545),2),MOD(((MIN('_Dates'!Z545,Settings!$B$9))-('_Dates'!Y545)+1),7)),"O",""))-COUNTIFS(INDEX(AllClosureRows,C545,0),"&gt;="&amp;('_Dates'!Y545),INDEX(AllClosureRows,C545,0),"&lt;="&amp;(MIN('_Dates'!Z545,Settings!$B$9))))))</ns0:f>
        <ns0:v>0</ns0:v>
      </ns0:c>
      <ns0:c r="I545" s="0">
        <ns0:f>MAX(0,G545-H545)</ns0:f>
        <ns0:v>0</ns0:v>
      </ns0:c>
      <ns0:c r="J545" s="0">
        <ns0:f>IF(OR(A545=0,F545&lt;&gt;"OK",Bookings!G545="Cancelled",$B$6&gt;0),0,IF('_Dates'!AC545=1,MAX(0,COUNTIFS(rngEngine_B,B545,rngAMStart,"&lt;="&amp;'_Dates'!X545,rngAMEnd,"&gt;="&amp;'_Dates'!W545,rngAMActive,1,rngEngine_F,"OK",rngBookings_F,"&lt;&gt;Cancelled")-1),0)+IF('_Dates'!AD545=1,MAX(0,COUNTIFS(rngEngine_B,B545,rngPMStart,"&lt;="&amp;'_Dates'!Z545,rngPMEnd,"&gt;="&amp;'_Dates'!Y545,rngPMActive,1,rngEngine_F,"OK",rngBookings_F,"&lt;&gt;Cancelled")-1),0))</ns0:f>
        <ns0:v>0</ns0:v>
      </ns0:c>
      <ns0:c r="K545" s="0" t="str">
        <ns0:f>IF(A545=0,"",IF(F545&lt;&gt;"OK",F545,IF(J545&gt;0,"CHECK overlapping entry",IF(AND($B$6=0,G545&lt;=0,Bookings!G545&lt;&gt;"Cancelled"),"CHECK no working days",IF(Bookings!G545="Cancelled","Cancelled","OK")))))</ns0:f>
        <ns0:v/>
      </ns0:c>
      <ns0:c r="L545" s="0">
        <ns0:f>IF(LEFT(K545,5)="CHECK",1,0)</ns0:f>
        <ns0:v>0</ns0:v>
      </ns0:c>
      <ns0:c r="M545" s="0">
        <ns0:f>IF(AND(L545=1,OR(C545=0,IFERROR(INDEX($X$11:$X$60,C545),0)=0)),1,0)</ns0:f>
        <ns0:v>0</ns0:v>
      </ns0:c>
      <ns0:c r="N545" s="0">
        <ns0:f>IF(OR(A545=0,L545&gt;0,$B$6&gt;0,Bookings!G545="Cancelled"),0,G545)</ns0:f>
        <ns0:v>0</ns0:v>
      </ns0:c>
      <ns0:c r="O545" s="0">
        <ns0:f>IF(AND(Bookings!G545="Approved",E545="Yes"),N545,0)</ns0:f>
        <ns0:v>0</ns0:v>
      </ns0:c>
      <ns0:c r="P545" s="0">
        <ns0:f>IF(AND(Bookings!G545="Approved",E545="Yes",L545=0,$B$6=0),H545,0)</ns0:f>
        <ns0:v>0</ns0:v>
      </ns0:c>
      <ns0:c r="Q545" s="0">
        <ns0:f>IF(AND(Bookings!G545="Approved",E545="Yes",L545=0,$B$6=0),I545,0)</ns0:f>
        <ns0:v>0</ns0:v>
      </ns0:c>
      <ns0:c r="R545" s="0">
        <ns0:f>IF(AND(Bookings!G545="Pending",E545="Yes"),N545,0)</ns0:f>
        <ns0:v>0</ns0:v>
      </ns0:c>
      <ns0:c r="S545" s="0">
        <ns0:f>IF(AND(Bookings!G545="Approved",E545="No"),N545,0)</ns0:f>
        <ns0:v>0</ns0:v>
      </ns0:c>
      <ns0:c r="T545" s="0">
        <ns0:f>IFERROR(MATCH(D545,Settings!$G$7:$G$11,0),0)</ns0:f>
        <ns0:v>0</ns0:v>
      </ns0:c>
      <ns0:c r="U545" s="0">
        <ns0:f>IF(N545&gt;0,T545+IF(Bookings!G545="Pending",10,0),0)</ns0:f>
        <ns0:v>0</ns0:v>
      </ns0:c>
      <ns0:c r="V545" s="0">
        <ns0:f>U545</ns0:f>
        <ns0:v>0</ns0:v>
      </ns0:c>
      <ns0:c r="W545" s="0" t="str">
        <ns0:f>IF(C545=0,"",INDEX($AP$11:$AP$60,C545))</ns0:f>
        <ns0:v/>
      </ns0:c>
    </ns0:row>
    <ns0:row r="546">
      <ns0:c r="A546" s="0">
        <ns0:f>IF(COUNTA(Bookings!A546:G546,Bookings!I546)=0,0,1)</ns0:f>
        <ns0:v>0</ns0:v>
      </ns0:c>
      <ns0:c r="B546" s="0" t="str">
        <ns0:f>IFERROR(TRIM(MID(Bookings!A546,FIND(" · ",Bookings!A546)+3,99)),"")</ns0:f>
        <ns0:v/>
      </ns0:c>
      <ns0:c r="C546" s="0">
        <ns0:f>IF(OR(B546="",LEN(B546)&gt;24,ISNUMBER(FIND(" ",B546)),ISNUMBER(FIND("*",B546)),ISNUMBER(FIND("?",B546)),ISNUMBER(FIND("~",B546))),0,IFERROR(MATCH(B546,Team!$A$11:$A$60,0),0))</ns0:f>
        <ns0:v>0</ns0:v>
      </ns0:c>
      <ns0:c r="D546" s="0" t="str">
        <ns0:f>IFERROR(IF(MID(Bookings!F546,LEN(Bookings!F546)-3,3)=" · ",RIGHT(Bookings!F546,1),""),"")</ns0:f>
        <ns0:v/>
      </ns0:c>
      <ns0:c r="E546" s="0" t="str">
        <ns0:f>IFERROR(INDEX(Settings!$H$7:$H$11,MATCH(D546,Settings!$G$7:$G$11,0)),"")</ns0:f>
        <ns0:v/>
      </ns0:c>
      <ns0:c r="F546" s="0" t="str">
        <ns0:f>IF(A546=0,"",IFERROR(IF(OR(B546="",C546=0),"CHECK employee selection",IF(INDEX(Team!$O$11:$O$60,C546)&lt;&gt;"OK","CHECK employee setup",IF(OR('_Dates'!J546=0,'_Dates'!T546=0),"CHECK date: use DD.MM.YYYY",IF('_Dates'!T546&lt;'_Dates'!J546,"CHECK end before start",IF(AND($B$6=0,OR('_Dates'!J546&lt;Settings!$B$7,'_Dates'!T546&gt;Settings!$B$8)),"CHECK split across leave years",IF(OR(NOT(OR('_Dates'!U546="Full day",'_Dates'!U546="AM",'_Dates'!U546="PM")),NOT(OR('_Dates'!V546="Full day",'_Dates'!V546="AM",'_Dates'!V546="PM"))),"CHECK Full day / AM / PM",IF(AND('_Dates'!J546='_Dates'!T546,'_Dates'!U546&lt;&gt;"Full day",'_Dates'!V546&lt;&gt;"Full day",'_Dates'!U546&lt;&gt;'_Dates'!V546),"CHECK same-day portions disagree",IF(AND($B$6=0,OR(AND('_Dates'!U546&lt;&gt;"Full day",'_Dates'!AA546=0),AND('_Dates'!V546&lt;&gt;"Full day",'_Dates'!AB546=0))),"CHECK half-day on non-working date",IF(COUNTIF(Settings!$G$7:$G$11,D546)&lt;&gt;1,"CHECK leave type",IF(AND(Bookings!G546&lt;&gt;"Approved",Bookings!G546&lt;&gt;"Pending",Bookings!G546&lt;&gt;"Cancelled"),"CHECK status","OK")))))))))),"CHECK input"))</ns0:f>
        <ns0:v/>
      </ns0:c>
      <ns0:c r="G546" s="0">
        <ns0:f>IF(OR(F546&lt;&gt;"OK",$B$6&gt;0),0,0.5*(IF(('_Dates'!X546)&lt;('_Dates'!W546),0,INT((('_Dates'!X546)-('_Dates'!W546)+1)/7)*LEN(SUBSTITUTE(W546,"O",""))+LEN(SUBSTITUTE(MID(W546&amp;W546,WEEKDAY(('_Dates'!W546),2),MOD((('_Dates'!X546)-('_Dates'!W546)+1),7)),"O",""))-COUNTIFS(INDEX(AllClosureRows,C546,0),"&gt;="&amp;('_Dates'!W546),INDEX(AllClosureRows,C546,0),"&lt;="&amp;('_Dates'!X546)))+IF(('_Dates'!Z546)&lt;('_Dates'!Y546),0,INT((('_Dates'!Z546)-('_Dates'!Y546)+1)/7)*LEN(SUBSTITUTE(W546,"O",""))+LEN(SUBSTITUTE(MID(W546&amp;W546,WEEKDAY(('_Dates'!Y546),2),MOD((('_Dates'!Z546)-('_Dates'!Y546)+1),7)),"O",""))-COUNTIFS(INDEX(AllClosureRows,C546,0),"&gt;="&amp;('_Dates'!Y546),INDEX(AllClosureRows,C546,0),"&lt;="&amp;('_Dates'!Z546)))))</ns0:f>
        <ns0:v>0</ns0:v>
      </ns0:c>
      <ns0:c r="H546" s="0">
        <ns0:f>IF(OR(F546&lt;&gt;"OK",$B$6&gt;0),0,0.5*(IF((MIN('_Dates'!X546,Settings!$B$9))&lt;('_Dates'!W546),0,INT(((MIN('_Dates'!X546,Settings!$B$9))-('_Dates'!W546)+1)/7)*LEN(SUBSTITUTE(W546,"O",""))+LEN(SUBSTITUTE(MID(W546&amp;W546,WEEKDAY(('_Dates'!W546),2),MOD(((MIN('_Dates'!X546,Settings!$B$9))-('_Dates'!W546)+1),7)),"O",""))-COUNTIFS(INDEX(AllClosureRows,C546,0),"&gt;="&amp;('_Dates'!W546),INDEX(AllClosureRows,C546,0),"&lt;="&amp;(MIN('_Dates'!X546,Settings!$B$9))))+IF((MIN('_Dates'!Z546,Settings!$B$9))&lt;('_Dates'!Y546),0,INT(((MIN('_Dates'!Z546,Settings!$B$9))-('_Dates'!Y546)+1)/7)*LEN(SUBSTITUTE(W546,"O",""))+LEN(SUBSTITUTE(MID(W546&amp;W546,WEEKDAY(('_Dates'!Y546),2),MOD(((MIN('_Dates'!Z546,Settings!$B$9))-('_Dates'!Y546)+1),7)),"O",""))-COUNTIFS(INDEX(AllClosureRows,C546,0),"&gt;="&amp;('_Dates'!Y546),INDEX(AllClosureRows,C546,0),"&lt;="&amp;(MIN('_Dates'!Z546,Settings!$B$9))))))</ns0:f>
        <ns0:v>0</ns0:v>
      </ns0:c>
      <ns0:c r="I546" s="0">
        <ns0:f>MAX(0,G546-H546)</ns0:f>
        <ns0:v>0</ns0:v>
      </ns0:c>
      <ns0:c r="J546" s="0">
        <ns0:f>IF(OR(A546=0,F546&lt;&gt;"OK",Bookings!G546="Cancelled",$B$6&gt;0),0,IF('_Dates'!AC546=1,MAX(0,COUNTIFS(rngEngine_B,B546,rngAMStart,"&lt;="&amp;'_Dates'!X546,rngAMEnd,"&gt;="&amp;'_Dates'!W546,rngAMActive,1,rngEngine_F,"OK",rngBookings_F,"&lt;&gt;Cancelled")-1),0)+IF('_Dates'!AD546=1,MAX(0,COUNTIFS(rngEngine_B,B546,rngPMStart,"&lt;="&amp;'_Dates'!Z546,rngPMEnd,"&gt;="&amp;'_Dates'!Y546,rngPMActive,1,rngEngine_F,"OK",rngBookings_F,"&lt;&gt;Cancelled")-1),0))</ns0:f>
        <ns0:v>0</ns0:v>
      </ns0:c>
      <ns0:c r="K546" s="0" t="str">
        <ns0:f>IF(A546=0,"",IF(F546&lt;&gt;"OK",F546,IF(J546&gt;0,"CHECK overlapping entry",IF(AND($B$6=0,G546&lt;=0,Bookings!G546&lt;&gt;"Cancelled"),"CHECK no working days",IF(Bookings!G546="Cancelled","Cancelled","OK")))))</ns0:f>
        <ns0:v/>
      </ns0:c>
      <ns0:c r="L546" s="0">
        <ns0:f>IF(LEFT(K546,5)="CHECK",1,0)</ns0:f>
        <ns0:v>0</ns0:v>
      </ns0:c>
      <ns0:c r="M546" s="0">
        <ns0:f>IF(AND(L546=1,OR(C546=0,IFERROR(INDEX($X$11:$X$60,C546),0)=0)),1,0)</ns0:f>
        <ns0:v>0</ns0:v>
      </ns0:c>
      <ns0:c r="N546" s="0">
        <ns0:f>IF(OR(A546=0,L546&gt;0,$B$6&gt;0,Bookings!G546="Cancelled"),0,G546)</ns0:f>
        <ns0:v>0</ns0:v>
      </ns0:c>
      <ns0:c r="O546" s="0">
        <ns0:f>IF(AND(Bookings!G546="Approved",E546="Yes"),N546,0)</ns0:f>
        <ns0:v>0</ns0:v>
      </ns0:c>
      <ns0:c r="P546" s="0">
        <ns0:f>IF(AND(Bookings!G546="Approved",E546="Yes",L546=0,$B$6=0),H546,0)</ns0:f>
        <ns0:v>0</ns0:v>
      </ns0:c>
      <ns0:c r="Q546" s="0">
        <ns0:f>IF(AND(Bookings!G546="Approved",E546="Yes",L546=0,$B$6=0),I546,0)</ns0:f>
        <ns0:v>0</ns0:v>
      </ns0:c>
      <ns0:c r="R546" s="0">
        <ns0:f>IF(AND(Bookings!G546="Pending",E546="Yes"),N546,0)</ns0:f>
        <ns0:v>0</ns0:v>
      </ns0:c>
      <ns0:c r="S546" s="0">
        <ns0:f>IF(AND(Bookings!G546="Approved",E546="No"),N546,0)</ns0:f>
        <ns0:v>0</ns0:v>
      </ns0:c>
      <ns0:c r="T546" s="0">
        <ns0:f>IFERROR(MATCH(D546,Settings!$G$7:$G$11,0),0)</ns0:f>
        <ns0:v>0</ns0:v>
      </ns0:c>
      <ns0:c r="U546" s="0">
        <ns0:f>IF(N546&gt;0,T546+IF(Bookings!G546="Pending",10,0),0)</ns0:f>
        <ns0:v>0</ns0:v>
      </ns0:c>
      <ns0:c r="V546" s="0">
        <ns0:f>U546</ns0:f>
        <ns0:v>0</ns0:v>
      </ns0:c>
      <ns0:c r="W546" s="0" t="str">
        <ns0:f>IF(C546=0,"",INDEX($AP$11:$AP$60,C546))</ns0:f>
        <ns0:v/>
      </ns0:c>
    </ns0:row>
    <ns0:row r="547">
      <ns0:c r="A547" s="0">
        <ns0:f>IF(COUNTA(Bookings!A547:G547,Bookings!I547)=0,0,1)</ns0:f>
        <ns0:v>0</ns0:v>
      </ns0:c>
      <ns0:c r="B547" s="0" t="str">
        <ns0:f>IFERROR(TRIM(MID(Bookings!A547,FIND(" · ",Bookings!A547)+3,99)),"")</ns0:f>
        <ns0:v/>
      </ns0:c>
      <ns0:c r="C547" s="0">
        <ns0:f>IF(OR(B547="",LEN(B547)&gt;24,ISNUMBER(FIND(" ",B547)),ISNUMBER(FIND("*",B547)),ISNUMBER(FIND("?",B547)),ISNUMBER(FIND("~",B547))),0,IFERROR(MATCH(B547,Team!$A$11:$A$60,0),0))</ns0:f>
        <ns0:v>0</ns0:v>
      </ns0:c>
      <ns0:c r="D547" s="0" t="str">
        <ns0:f>IFERROR(IF(MID(Bookings!F547,LEN(Bookings!F547)-3,3)=" · ",RIGHT(Bookings!F547,1),""),"")</ns0:f>
        <ns0:v/>
      </ns0:c>
      <ns0:c r="E547" s="0" t="str">
        <ns0:f>IFERROR(INDEX(Settings!$H$7:$H$11,MATCH(D547,Settings!$G$7:$G$11,0)),"")</ns0:f>
        <ns0:v/>
      </ns0:c>
      <ns0:c r="F547" s="0" t="str">
        <ns0:f>IF(A547=0,"",IFERROR(IF(OR(B547="",C547=0),"CHECK employee selection",IF(INDEX(Team!$O$11:$O$60,C547)&lt;&gt;"OK","CHECK employee setup",IF(OR('_Dates'!J547=0,'_Dates'!T547=0),"CHECK date: use DD.MM.YYYY",IF('_Dates'!T547&lt;'_Dates'!J547,"CHECK end before start",IF(AND($B$6=0,OR('_Dates'!J547&lt;Settings!$B$7,'_Dates'!T547&gt;Settings!$B$8)),"CHECK split across leave years",IF(OR(NOT(OR('_Dates'!U547="Full day",'_Dates'!U547="AM",'_Dates'!U547="PM")),NOT(OR('_Dates'!V547="Full day",'_Dates'!V547="AM",'_Dates'!V547="PM"))),"CHECK Full day / AM / PM",IF(AND('_Dates'!J547='_Dates'!T547,'_Dates'!U547&lt;&gt;"Full day",'_Dates'!V547&lt;&gt;"Full day",'_Dates'!U547&lt;&gt;'_Dates'!V547),"CHECK same-day portions disagree",IF(AND($B$6=0,OR(AND('_Dates'!U547&lt;&gt;"Full day",'_Dates'!AA547=0),AND('_Dates'!V547&lt;&gt;"Full day",'_Dates'!AB547=0))),"CHECK half-day on non-working date",IF(COUNTIF(Settings!$G$7:$G$11,D547)&lt;&gt;1,"CHECK leave type",IF(AND(Bookings!G547&lt;&gt;"Approved",Bookings!G547&lt;&gt;"Pending",Bookings!G547&lt;&gt;"Cancelled"),"CHECK status","OK")))))))))),"CHECK input"))</ns0:f>
        <ns0:v/>
      </ns0:c>
      <ns0:c r="G547" s="0">
        <ns0:f>IF(OR(F547&lt;&gt;"OK",$B$6&gt;0),0,0.5*(IF(('_Dates'!X547)&lt;('_Dates'!W547),0,INT((('_Dates'!X547)-('_Dates'!W547)+1)/7)*LEN(SUBSTITUTE(W547,"O",""))+LEN(SUBSTITUTE(MID(W547&amp;W547,WEEKDAY(('_Dates'!W547),2),MOD((('_Dates'!X547)-('_Dates'!W547)+1),7)),"O",""))-COUNTIFS(INDEX(AllClosureRows,C547,0),"&gt;="&amp;('_Dates'!W547),INDEX(AllClosureRows,C547,0),"&lt;="&amp;('_Dates'!X547)))+IF(('_Dates'!Z547)&lt;('_Dates'!Y547),0,INT((('_Dates'!Z547)-('_Dates'!Y547)+1)/7)*LEN(SUBSTITUTE(W547,"O",""))+LEN(SUBSTITUTE(MID(W547&amp;W547,WEEKDAY(('_Dates'!Y547),2),MOD((('_Dates'!Z547)-('_Dates'!Y547)+1),7)),"O",""))-COUNTIFS(INDEX(AllClosureRows,C547,0),"&gt;="&amp;('_Dates'!Y547),INDEX(AllClosureRows,C547,0),"&lt;="&amp;('_Dates'!Z547)))))</ns0:f>
        <ns0:v>0</ns0:v>
      </ns0:c>
      <ns0:c r="H547" s="0">
        <ns0:f>IF(OR(F547&lt;&gt;"OK",$B$6&gt;0),0,0.5*(IF((MIN('_Dates'!X547,Settings!$B$9))&lt;('_Dates'!W547),0,INT(((MIN('_Dates'!X547,Settings!$B$9))-('_Dates'!W547)+1)/7)*LEN(SUBSTITUTE(W547,"O",""))+LEN(SUBSTITUTE(MID(W547&amp;W547,WEEKDAY(('_Dates'!W547),2),MOD(((MIN('_Dates'!X547,Settings!$B$9))-('_Dates'!W547)+1),7)),"O",""))-COUNTIFS(INDEX(AllClosureRows,C547,0),"&gt;="&amp;('_Dates'!W547),INDEX(AllClosureRows,C547,0),"&lt;="&amp;(MIN('_Dates'!X547,Settings!$B$9))))+IF((MIN('_Dates'!Z547,Settings!$B$9))&lt;('_Dates'!Y547),0,INT(((MIN('_Dates'!Z547,Settings!$B$9))-('_Dates'!Y547)+1)/7)*LEN(SUBSTITUTE(W547,"O",""))+LEN(SUBSTITUTE(MID(W547&amp;W547,WEEKDAY(('_Dates'!Y547),2),MOD(((MIN('_Dates'!Z547,Settings!$B$9))-('_Dates'!Y547)+1),7)),"O",""))-COUNTIFS(INDEX(AllClosureRows,C547,0),"&gt;="&amp;('_Dates'!Y547),INDEX(AllClosureRows,C547,0),"&lt;="&amp;(MIN('_Dates'!Z547,Settings!$B$9))))))</ns0:f>
        <ns0:v>0</ns0:v>
      </ns0:c>
      <ns0:c r="I547" s="0">
        <ns0:f>MAX(0,G547-H547)</ns0:f>
        <ns0:v>0</ns0:v>
      </ns0:c>
      <ns0:c r="J547" s="0">
        <ns0:f>IF(OR(A547=0,F547&lt;&gt;"OK",Bookings!G547="Cancelled",$B$6&gt;0),0,IF('_Dates'!AC547=1,MAX(0,COUNTIFS(rngEngine_B,B547,rngAMStart,"&lt;="&amp;'_Dates'!X547,rngAMEnd,"&gt;="&amp;'_Dates'!W547,rngAMActive,1,rngEngine_F,"OK",rngBookings_F,"&lt;&gt;Cancelled")-1),0)+IF('_Dates'!AD547=1,MAX(0,COUNTIFS(rngEngine_B,B547,rngPMStart,"&lt;="&amp;'_Dates'!Z547,rngPMEnd,"&gt;="&amp;'_Dates'!Y547,rngPMActive,1,rngEngine_F,"OK",rngBookings_F,"&lt;&gt;Cancelled")-1),0))</ns0:f>
        <ns0:v>0</ns0:v>
      </ns0:c>
      <ns0:c r="K547" s="0" t="str">
        <ns0:f>IF(A547=0,"",IF(F547&lt;&gt;"OK",F547,IF(J547&gt;0,"CHECK overlapping entry",IF(AND($B$6=0,G547&lt;=0,Bookings!G547&lt;&gt;"Cancelled"),"CHECK no working days",IF(Bookings!G547="Cancelled","Cancelled","OK")))))</ns0:f>
        <ns0:v/>
      </ns0:c>
      <ns0:c r="L547" s="0">
        <ns0:f>IF(LEFT(K547,5)="CHECK",1,0)</ns0:f>
        <ns0:v>0</ns0:v>
      </ns0:c>
      <ns0:c r="M547" s="0">
        <ns0:f>IF(AND(L547=1,OR(C547=0,IFERROR(INDEX($X$11:$X$60,C547),0)=0)),1,0)</ns0:f>
        <ns0:v>0</ns0:v>
      </ns0:c>
      <ns0:c r="N547" s="0">
        <ns0:f>IF(OR(A547=0,L547&gt;0,$B$6&gt;0,Bookings!G547="Cancelled"),0,G547)</ns0:f>
        <ns0:v>0</ns0:v>
      </ns0:c>
      <ns0:c r="O547" s="0">
        <ns0:f>IF(AND(Bookings!G547="Approved",E547="Yes"),N547,0)</ns0:f>
        <ns0:v>0</ns0:v>
      </ns0:c>
      <ns0:c r="P547" s="0">
        <ns0:f>IF(AND(Bookings!G547="Approved",E547="Yes",L547=0,$B$6=0),H547,0)</ns0:f>
        <ns0:v>0</ns0:v>
      </ns0:c>
      <ns0:c r="Q547" s="0">
        <ns0:f>IF(AND(Bookings!G547="Approved",E547="Yes",L547=0,$B$6=0),I547,0)</ns0:f>
        <ns0:v>0</ns0:v>
      </ns0:c>
      <ns0:c r="R547" s="0">
        <ns0:f>IF(AND(Bookings!G547="Pending",E547="Yes"),N547,0)</ns0:f>
        <ns0:v>0</ns0:v>
      </ns0:c>
      <ns0:c r="S547" s="0">
        <ns0:f>IF(AND(Bookings!G547="Approved",E547="No"),N547,0)</ns0:f>
        <ns0:v>0</ns0:v>
      </ns0:c>
      <ns0:c r="T547" s="0">
        <ns0:f>IFERROR(MATCH(D547,Settings!$G$7:$G$11,0),0)</ns0:f>
        <ns0:v>0</ns0:v>
      </ns0:c>
      <ns0:c r="U547" s="0">
        <ns0:f>IF(N547&gt;0,T547+IF(Bookings!G547="Pending",10,0),0)</ns0:f>
        <ns0:v>0</ns0:v>
      </ns0:c>
      <ns0:c r="V547" s="0">
        <ns0:f>U547</ns0:f>
        <ns0:v>0</ns0:v>
      </ns0:c>
      <ns0:c r="W547" s="0" t="str">
        <ns0:f>IF(C547=0,"",INDEX($AP$11:$AP$60,C547))</ns0:f>
        <ns0:v/>
      </ns0:c>
    </ns0:row>
    <ns0:row r="548">
      <ns0:c r="A548" s="0">
        <ns0:f>IF(COUNTA(Bookings!A548:G548,Bookings!I548)=0,0,1)</ns0:f>
        <ns0:v>0</ns0:v>
      </ns0:c>
      <ns0:c r="B548" s="0" t="str">
        <ns0:f>IFERROR(TRIM(MID(Bookings!A548,FIND(" · ",Bookings!A548)+3,99)),"")</ns0:f>
        <ns0:v/>
      </ns0:c>
      <ns0:c r="C548" s="0">
        <ns0:f>IF(OR(B548="",LEN(B548)&gt;24,ISNUMBER(FIND(" ",B548)),ISNUMBER(FIND("*",B548)),ISNUMBER(FIND("?",B548)),ISNUMBER(FIND("~",B548))),0,IFERROR(MATCH(B548,Team!$A$11:$A$60,0),0))</ns0:f>
        <ns0:v>0</ns0:v>
      </ns0:c>
      <ns0:c r="D548" s="0" t="str">
        <ns0:f>IFERROR(IF(MID(Bookings!F548,LEN(Bookings!F548)-3,3)=" · ",RIGHT(Bookings!F548,1),""),"")</ns0:f>
        <ns0:v/>
      </ns0:c>
      <ns0:c r="E548" s="0" t="str">
        <ns0:f>IFERROR(INDEX(Settings!$H$7:$H$11,MATCH(D548,Settings!$G$7:$G$11,0)),"")</ns0:f>
        <ns0:v/>
      </ns0:c>
      <ns0:c r="F548" s="0" t="str">
        <ns0:f>IF(A548=0,"",IFERROR(IF(OR(B548="",C548=0),"CHECK employee selection",IF(INDEX(Team!$O$11:$O$60,C548)&lt;&gt;"OK","CHECK employee setup",IF(OR('_Dates'!J548=0,'_Dates'!T548=0),"CHECK date: use DD.MM.YYYY",IF('_Dates'!T548&lt;'_Dates'!J548,"CHECK end before start",IF(AND($B$6=0,OR('_Dates'!J548&lt;Settings!$B$7,'_Dates'!T548&gt;Settings!$B$8)),"CHECK split across leave years",IF(OR(NOT(OR('_Dates'!U548="Full day",'_Dates'!U548="AM",'_Dates'!U548="PM")),NOT(OR('_Dates'!V548="Full day",'_Dates'!V548="AM",'_Dates'!V548="PM"))),"CHECK Full day / AM / PM",IF(AND('_Dates'!J548='_Dates'!T548,'_Dates'!U548&lt;&gt;"Full day",'_Dates'!V548&lt;&gt;"Full day",'_Dates'!U548&lt;&gt;'_Dates'!V548),"CHECK same-day portions disagree",IF(AND($B$6=0,OR(AND('_Dates'!U548&lt;&gt;"Full day",'_Dates'!AA548=0),AND('_Dates'!V548&lt;&gt;"Full day",'_Dates'!AB548=0))),"CHECK half-day on non-working date",IF(COUNTIF(Settings!$G$7:$G$11,D548)&lt;&gt;1,"CHECK leave type",IF(AND(Bookings!G548&lt;&gt;"Approved",Bookings!G548&lt;&gt;"Pending",Bookings!G548&lt;&gt;"Cancelled"),"CHECK status","OK")))))))))),"CHECK input"))</ns0:f>
        <ns0:v/>
      </ns0:c>
      <ns0:c r="G548" s="0">
        <ns0:f>IF(OR(F548&lt;&gt;"OK",$B$6&gt;0),0,0.5*(IF(('_Dates'!X548)&lt;('_Dates'!W548),0,INT((('_Dates'!X548)-('_Dates'!W548)+1)/7)*LEN(SUBSTITUTE(W548,"O",""))+LEN(SUBSTITUTE(MID(W548&amp;W548,WEEKDAY(('_Dates'!W548),2),MOD((('_Dates'!X548)-('_Dates'!W548)+1),7)),"O",""))-COUNTIFS(INDEX(AllClosureRows,C548,0),"&gt;="&amp;('_Dates'!W548),INDEX(AllClosureRows,C548,0),"&lt;="&amp;('_Dates'!X548)))+IF(('_Dates'!Z548)&lt;('_Dates'!Y548),0,INT((('_Dates'!Z548)-('_Dates'!Y548)+1)/7)*LEN(SUBSTITUTE(W548,"O",""))+LEN(SUBSTITUTE(MID(W548&amp;W548,WEEKDAY(('_Dates'!Y548),2),MOD((('_Dates'!Z548)-('_Dates'!Y548)+1),7)),"O",""))-COUNTIFS(INDEX(AllClosureRows,C548,0),"&gt;="&amp;('_Dates'!Y548),INDEX(AllClosureRows,C548,0),"&lt;="&amp;('_Dates'!Z548)))))</ns0:f>
        <ns0:v>0</ns0:v>
      </ns0:c>
      <ns0:c r="H548" s="0">
        <ns0:f>IF(OR(F548&lt;&gt;"OK",$B$6&gt;0),0,0.5*(IF((MIN('_Dates'!X548,Settings!$B$9))&lt;('_Dates'!W548),0,INT(((MIN('_Dates'!X548,Settings!$B$9))-('_Dates'!W548)+1)/7)*LEN(SUBSTITUTE(W548,"O",""))+LEN(SUBSTITUTE(MID(W548&amp;W548,WEEKDAY(('_Dates'!W548),2),MOD(((MIN('_Dates'!X548,Settings!$B$9))-('_Dates'!W548)+1),7)),"O",""))-COUNTIFS(INDEX(AllClosureRows,C548,0),"&gt;="&amp;('_Dates'!W548),INDEX(AllClosureRows,C548,0),"&lt;="&amp;(MIN('_Dates'!X548,Settings!$B$9))))+IF((MIN('_Dates'!Z548,Settings!$B$9))&lt;('_Dates'!Y548),0,INT(((MIN('_Dates'!Z548,Settings!$B$9))-('_Dates'!Y548)+1)/7)*LEN(SUBSTITUTE(W548,"O",""))+LEN(SUBSTITUTE(MID(W548&amp;W548,WEEKDAY(('_Dates'!Y548),2),MOD(((MIN('_Dates'!Z548,Settings!$B$9))-('_Dates'!Y548)+1),7)),"O",""))-COUNTIFS(INDEX(AllClosureRows,C548,0),"&gt;="&amp;('_Dates'!Y548),INDEX(AllClosureRows,C548,0),"&lt;="&amp;(MIN('_Dates'!Z548,Settings!$B$9))))))</ns0:f>
        <ns0:v>0</ns0:v>
      </ns0:c>
      <ns0:c r="I548" s="0">
        <ns0:f>MAX(0,G548-H548)</ns0:f>
        <ns0:v>0</ns0:v>
      </ns0:c>
      <ns0:c r="J548" s="0">
        <ns0:f>IF(OR(A548=0,F548&lt;&gt;"OK",Bookings!G548="Cancelled",$B$6&gt;0),0,IF('_Dates'!AC548=1,MAX(0,COUNTIFS(rngEngine_B,B548,rngAMStart,"&lt;="&amp;'_Dates'!X548,rngAMEnd,"&gt;="&amp;'_Dates'!W548,rngAMActive,1,rngEngine_F,"OK",rngBookings_F,"&lt;&gt;Cancelled")-1),0)+IF('_Dates'!AD548=1,MAX(0,COUNTIFS(rngEngine_B,B548,rngPMStart,"&lt;="&amp;'_Dates'!Z548,rngPMEnd,"&gt;="&amp;'_Dates'!Y548,rngPMActive,1,rngEngine_F,"OK",rngBookings_F,"&lt;&gt;Cancelled")-1),0))</ns0:f>
        <ns0:v>0</ns0:v>
      </ns0:c>
      <ns0:c r="K548" s="0" t="str">
        <ns0:f>IF(A548=0,"",IF(F548&lt;&gt;"OK",F548,IF(J548&gt;0,"CHECK overlapping entry",IF(AND($B$6=0,G548&lt;=0,Bookings!G548&lt;&gt;"Cancelled"),"CHECK no working days",IF(Bookings!G548="Cancelled","Cancelled","OK")))))</ns0:f>
        <ns0:v/>
      </ns0:c>
      <ns0:c r="L548" s="0">
        <ns0:f>IF(LEFT(K548,5)="CHECK",1,0)</ns0:f>
        <ns0:v>0</ns0:v>
      </ns0:c>
      <ns0:c r="M548" s="0">
        <ns0:f>IF(AND(L548=1,OR(C548=0,IFERROR(INDEX($X$11:$X$60,C548),0)=0)),1,0)</ns0:f>
        <ns0:v>0</ns0:v>
      </ns0:c>
      <ns0:c r="N548" s="0">
        <ns0:f>IF(OR(A548=0,L548&gt;0,$B$6&gt;0,Bookings!G548="Cancelled"),0,G548)</ns0:f>
        <ns0:v>0</ns0:v>
      </ns0:c>
      <ns0:c r="O548" s="0">
        <ns0:f>IF(AND(Bookings!G548="Approved",E548="Yes"),N548,0)</ns0:f>
        <ns0:v>0</ns0:v>
      </ns0:c>
      <ns0:c r="P548" s="0">
        <ns0:f>IF(AND(Bookings!G548="Approved",E548="Yes",L548=0,$B$6=0),H548,0)</ns0:f>
        <ns0:v>0</ns0:v>
      </ns0:c>
      <ns0:c r="Q548" s="0">
        <ns0:f>IF(AND(Bookings!G548="Approved",E548="Yes",L548=0,$B$6=0),I548,0)</ns0:f>
        <ns0:v>0</ns0:v>
      </ns0:c>
      <ns0:c r="R548" s="0">
        <ns0:f>IF(AND(Bookings!G548="Pending",E548="Yes"),N548,0)</ns0:f>
        <ns0:v>0</ns0:v>
      </ns0:c>
      <ns0:c r="S548" s="0">
        <ns0:f>IF(AND(Bookings!G548="Approved",E548="No"),N548,0)</ns0:f>
        <ns0:v>0</ns0:v>
      </ns0:c>
      <ns0:c r="T548" s="0">
        <ns0:f>IFERROR(MATCH(D548,Settings!$G$7:$G$11,0),0)</ns0:f>
        <ns0:v>0</ns0:v>
      </ns0:c>
      <ns0:c r="U548" s="0">
        <ns0:f>IF(N548&gt;0,T548+IF(Bookings!G548="Pending",10,0),0)</ns0:f>
        <ns0:v>0</ns0:v>
      </ns0:c>
      <ns0:c r="V548" s="0">
        <ns0:f>U548</ns0:f>
        <ns0:v>0</ns0:v>
      </ns0:c>
      <ns0:c r="W548" s="0" t="str">
        <ns0:f>IF(C548=0,"",INDEX($AP$11:$AP$60,C548))</ns0:f>
        <ns0:v/>
      </ns0:c>
    </ns0:row>
    <ns0:row r="549">
      <ns0:c r="A549" s="0">
        <ns0:f>IF(COUNTA(Bookings!A549:G549,Bookings!I549)=0,0,1)</ns0:f>
        <ns0:v>0</ns0:v>
      </ns0:c>
      <ns0:c r="B549" s="0" t="str">
        <ns0:f>IFERROR(TRIM(MID(Bookings!A549,FIND(" · ",Bookings!A549)+3,99)),"")</ns0:f>
        <ns0:v/>
      </ns0:c>
      <ns0:c r="C549" s="0">
        <ns0:f>IF(OR(B549="",LEN(B549)&gt;24,ISNUMBER(FIND(" ",B549)),ISNUMBER(FIND("*",B549)),ISNUMBER(FIND("?",B549)),ISNUMBER(FIND("~",B549))),0,IFERROR(MATCH(B549,Team!$A$11:$A$60,0),0))</ns0:f>
        <ns0:v>0</ns0:v>
      </ns0:c>
      <ns0:c r="D549" s="0" t="str">
        <ns0:f>IFERROR(IF(MID(Bookings!F549,LEN(Bookings!F549)-3,3)=" · ",RIGHT(Bookings!F549,1),""),"")</ns0:f>
        <ns0:v/>
      </ns0:c>
      <ns0:c r="E549" s="0" t="str">
        <ns0:f>IFERROR(INDEX(Settings!$H$7:$H$11,MATCH(D549,Settings!$G$7:$G$11,0)),"")</ns0:f>
        <ns0:v/>
      </ns0:c>
      <ns0:c r="F549" s="0" t="str">
        <ns0:f>IF(A549=0,"",IFERROR(IF(OR(B549="",C549=0),"CHECK employee selection",IF(INDEX(Team!$O$11:$O$60,C549)&lt;&gt;"OK","CHECK employee setup",IF(OR('_Dates'!J549=0,'_Dates'!T549=0),"CHECK date: use DD.MM.YYYY",IF('_Dates'!T549&lt;'_Dates'!J549,"CHECK end before start",IF(AND($B$6=0,OR('_Dates'!J549&lt;Settings!$B$7,'_Dates'!T549&gt;Settings!$B$8)),"CHECK split across leave years",IF(OR(NOT(OR('_Dates'!U549="Full day",'_Dates'!U549="AM",'_Dates'!U549="PM")),NOT(OR('_Dates'!V549="Full day",'_Dates'!V549="AM",'_Dates'!V549="PM"))),"CHECK Full day / AM / PM",IF(AND('_Dates'!J549='_Dates'!T549,'_Dates'!U549&lt;&gt;"Full day",'_Dates'!V549&lt;&gt;"Full day",'_Dates'!U549&lt;&gt;'_Dates'!V549),"CHECK same-day portions disagree",IF(AND($B$6=0,OR(AND('_Dates'!U549&lt;&gt;"Full day",'_Dates'!AA549=0),AND('_Dates'!V549&lt;&gt;"Full day",'_Dates'!AB549=0))),"CHECK half-day on non-working date",IF(COUNTIF(Settings!$G$7:$G$11,D549)&lt;&gt;1,"CHECK leave type",IF(AND(Bookings!G549&lt;&gt;"Approved",Bookings!G549&lt;&gt;"Pending",Bookings!G549&lt;&gt;"Cancelled"),"CHECK status","OK")))))))))),"CHECK input"))</ns0:f>
        <ns0:v/>
      </ns0:c>
      <ns0:c r="G549" s="0">
        <ns0:f>IF(OR(F549&lt;&gt;"OK",$B$6&gt;0),0,0.5*(IF(('_Dates'!X549)&lt;('_Dates'!W549),0,INT((('_Dates'!X549)-('_Dates'!W549)+1)/7)*LEN(SUBSTITUTE(W549,"O",""))+LEN(SUBSTITUTE(MID(W549&amp;W549,WEEKDAY(('_Dates'!W549),2),MOD((('_Dates'!X549)-('_Dates'!W549)+1),7)),"O",""))-COUNTIFS(INDEX(AllClosureRows,C549,0),"&gt;="&amp;('_Dates'!W549),INDEX(AllClosureRows,C549,0),"&lt;="&amp;('_Dates'!X549)))+IF(('_Dates'!Z549)&lt;('_Dates'!Y549),0,INT((('_Dates'!Z549)-('_Dates'!Y549)+1)/7)*LEN(SUBSTITUTE(W549,"O",""))+LEN(SUBSTITUTE(MID(W549&amp;W549,WEEKDAY(('_Dates'!Y549),2),MOD((('_Dates'!Z549)-('_Dates'!Y549)+1),7)),"O",""))-COUNTIFS(INDEX(AllClosureRows,C549,0),"&gt;="&amp;('_Dates'!Y549),INDEX(AllClosureRows,C549,0),"&lt;="&amp;('_Dates'!Z549)))))</ns0:f>
        <ns0:v>0</ns0:v>
      </ns0:c>
      <ns0:c r="H549" s="0">
        <ns0:f>IF(OR(F549&lt;&gt;"OK",$B$6&gt;0),0,0.5*(IF((MIN('_Dates'!X549,Settings!$B$9))&lt;('_Dates'!W549),0,INT(((MIN('_Dates'!X549,Settings!$B$9))-('_Dates'!W549)+1)/7)*LEN(SUBSTITUTE(W549,"O",""))+LEN(SUBSTITUTE(MID(W549&amp;W549,WEEKDAY(('_Dates'!W549),2),MOD(((MIN('_Dates'!X549,Settings!$B$9))-('_Dates'!W549)+1),7)),"O",""))-COUNTIFS(INDEX(AllClosureRows,C549,0),"&gt;="&amp;('_Dates'!W549),INDEX(AllClosureRows,C549,0),"&lt;="&amp;(MIN('_Dates'!X549,Settings!$B$9))))+IF((MIN('_Dates'!Z549,Settings!$B$9))&lt;('_Dates'!Y549),0,INT(((MIN('_Dates'!Z549,Settings!$B$9))-('_Dates'!Y549)+1)/7)*LEN(SUBSTITUTE(W549,"O",""))+LEN(SUBSTITUTE(MID(W549&amp;W549,WEEKDAY(('_Dates'!Y549),2),MOD(((MIN('_Dates'!Z549,Settings!$B$9))-('_Dates'!Y549)+1),7)),"O",""))-COUNTIFS(INDEX(AllClosureRows,C549,0),"&gt;="&amp;('_Dates'!Y549),INDEX(AllClosureRows,C549,0),"&lt;="&amp;(MIN('_Dates'!Z549,Settings!$B$9))))))</ns0:f>
        <ns0:v>0</ns0:v>
      </ns0:c>
      <ns0:c r="I549" s="0">
        <ns0:f>MAX(0,G549-H549)</ns0:f>
        <ns0:v>0</ns0:v>
      </ns0:c>
      <ns0:c r="J549" s="0">
        <ns0:f>IF(OR(A549=0,F549&lt;&gt;"OK",Bookings!G549="Cancelled",$B$6&gt;0),0,IF('_Dates'!AC549=1,MAX(0,COUNTIFS(rngEngine_B,B549,rngAMStart,"&lt;="&amp;'_Dates'!X549,rngAMEnd,"&gt;="&amp;'_Dates'!W549,rngAMActive,1,rngEngine_F,"OK",rngBookings_F,"&lt;&gt;Cancelled")-1),0)+IF('_Dates'!AD549=1,MAX(0,COUNTIFS(rngEngine_B,B549,rngPMStart,"&lt;="&amp;'_Dates'!Z549,rngPMEnd,"&gt;="&amp;'_Dates'!Y549,rngPMActive,1,rngEngine_F,"OK",rngBookings_F,"&lt;&gt;Cancelled")-1),0))</ns0:f>
        <ns0:v>0</ns0:v>
      </ns0:c>
      <ns0:c r="K549" s="0" t="str">
        <ns0:f>IF(A549=0,"",IF(F549&lt;&gt;"OK",F549,IF(J549&gt;0,"CHECK overlapping entry",IF(AND($B$6=0,G549&lt;=0,Bookings!G549&lt;&gt;"Cancelled"),"CHECK no working days",IF(Bookings!G549="Cancelled","Cancelled","OK")))))</ns0:f>
        <ns0:v/>
      </ns0:c>
      <ns0:c r="L549" s="0">
        <ns0:f>IF(LEFT(K549,5)="CHECK",1,0)</ns0:f>
        <ns0:v>0</ns0:v>
      </ns0:c>
      <ns0:c r="M549" s="0">
        <ns0:f>IF(AND(L549=1,OR(C549=0,IFERROR(INDEX($X$11:$X$60,C549),0)=0)),1,0)</ns0:f>
        <ns0:v>0</ns0:v>
      </ns0:c>
      <ns0:c r="N549" s="0">
        <ns0:f>IF(OR(A549=0,L549&gt;0,$B$6&gt;0,Bookings!G549="Cancelled"),0,G549)</ns0:f>
        <ns0:v>0</ns0:v>
      </ns0:c>
      <ns0:c r="O549" s="0">
        <ns0:f>IF(AND(Bookings!G549="Approved",E549="Yes"),N549,0)</ns0:f>
        <ns0:v>0</ns0:v>
      </ns0:c>
      <ns0:c r="P549" s="0">
        <ns0:f>IF(AND(Bookings!G549="Approved",E549="Yes",L549=0,$B$6=0),H549,0)</ns0:f>
        <ns0:v>0</ns0:v>
      </ns0:c>
      <ns0:c r="Q549" s="0">
        <ns0:f>IF(AND(Bookings!G549="Approved",E549="Yes",L549=0,$B$6=0),I549,0)</ns0:f>
        <ns0:v>0</ns0:v>
      </ns0:c>
      <ns0:c r="R549" s="0">
        <ns0:f>IF(AND(Bookings!G549="Pending",E549="Yes"),N549,0)</ns0:f>
        <ns0:v>0</ns0:v>
      </ns0:c>
      <ns0:c r="S549" s="0">
        <ns0:f>IF(AND(Bookings!G549="Approved",E549="No"),N549,0)</ns0:f>
        <ns0:v>0</ns0:v>
      </ns0:c>
      <ns0:c r="T549" s="0">
        <ns0:f>IFERROR(MATCH(D549,Settings!$G$7:$G$11,0),0)</ns0:f>
        <ns0:v>0</ns0:v>
      </ns0:c>
      <ns0:c r="U549" s="0">
        <ns0:f>IF(N549&gt;0,T549+IF(Bookings!G549="Pending",10,0),0)</ns0:f>
        <ns0:v>0</ns0:v>
      </ns0:c>
      <ns0:c r="V549" s="0">
        <ns0:f>U549</ns0:f>
        <ns0:v>0</ns0:v>
      </ns0:c>
      <ns0:c r="W549" s="0" t="str">
        <ns0:f>IF(C549=0,"",INDEX($AP$11:$AP$60,C549))</ns0:f>
        <ns0:v/>
      </ns0:c>
    </ns0:row>
    <ns0:row r="550">
      <ns0:c r="A550" s="0">
        <ns0:f>IF(COUNTA(Bookings!A550:G550,Bookings!I550)=0,0,1)</ns0:f>
        <ns0:v>0</ns0:v>
      </ns0:c>
      <ns0:c r="B550" s="0" t="str">
        <ns0:f>IFERROR(TRIM(MID(Bookings!A550,FIND(" · ",Bookings!A550)+3,99)),"")</ns0:f>
        <ns0:v/>
      </ns0:c>
      <ns0:c r="C550" s="0">
        <ns0:f>IF(OR(B550="",LEN(B550)&gt;24,ISNUMBER(FIND(" ",B550)),ISNUMBER(FIND("*",B550)),ISNUMBER(FIND("?",B550)),ISNUMBER(FIND("~",B550))),0,IFERROR(MATCH(B550,Team!$A$11:$A$60,0),0))</ns0:f>
        <ns0:v>0</ns0:v>
      </ns0:c>
      <ns0:c r="D550" s="0" t="str">
        <ns0:f>IFERROR(IF(MID(Bookings!F550,LEN(Bookings!F550)-3,3)=" · ",RIGHT(Bookings!F550,1),""),"")</ns0:f>
        <ns0:v/>
      </ns0:c>
      <ns0:c r="E550" s="0" t="str">
        <ns0:f>IFERROR(INDEX(Settings!$H$7:$H$11,MATCH(D550,Settings!$G$7:$G$11,0)),"")</ns0:f>
        <ns0:v/>
      </ns0:c>
      <ns0:c r="F550" s="0" t="str">
        <ns0:f>IF(A550=0,"",IFERROR(IF(OR(B550="",C550=0),"CHECK employee selection",IF(INDEX(Team!$O$11:$O$60,C550)&lt;&gt;"OK","CHECK employee setup",IF(OR('_Dates'!J550=0,'_Dates'!T550=0),"CHECK date: use DD.MM.YYYY",IF('_Dates'!T550&lt;'_Dates'!J550,"CHECK end before start",IF(AND($B$6=0,OR('_Dates'!J550&lt;Settings!$B$7,'_Dates'!T550&gt;Settings!$B$8)),"CHECK split across leave years",IF(OR(NOT(OR('_Dates'!U550="Full day",'_Dates'!U550="AM",'_Dates'!U550="PM")),NOT(OR('_Dates'!V550="Full day",'_Dates'!V550="AM",'_Dates'!V550="PM"))),"CHECK Full day / AM / PM",IF(AND('_Dates'!J550='_Dates'!T550,'_Dates'!U550&lt;&gt;"Full day",'_Dates'!V550&lt;&gt;"Full day",'_Dates'!U550&lt;&gt;'_Dates'!V550),"CHECK same-day portions disagree",IF(AND($B$6=0,OR(AND('_Dates'!U550&lt;&gt;"Full day",'_Dates'!AA550=0),AND('_Dates'!V550&lt;&gt;"Full day",'_Dates'!AB550=0))),"CHECK half-day on non-working date",IF(COUNTIF(Settings!$G$7:$G$11,D550)&lt;&gt;1,"CHECK leave type",IF(AND(Bookings!G550&lt;&gt;"Approved",Bookings!G550&lt;&gt;"Pending",Bookings!G550&lt;&gt;"Cancelled"),"CHECK status","OK")))))))))),"CHECK input"))</ns0:f>
        <ns0:v/>
      </ns0:c>
      <ns0:c r="G550" s="0">
        <ns0:f>IF(OR(F550&lt;&gt;"OK",$B$6&gt;0),0,0.5*(IF(('_Dates'!X550)&lt;('_Dates'!W550),0,INT((('_Dates'!X550)-('_Dates'!W550)+1)/7)*LEN(SUBSTITUTE(W550,"O",""))+LEN(SUBSTITUTE(MID(W550&amp;W550,WEEKDAY(('_Dates'!W550),2),MOD((('_Dates'!X550)-('_Dates'!W550)+1),7)),"O",""))-COUNTIFS(INDEX(AllClosureRows,C550,0),"&gt;="&amp;('_Dates'!W550),INDEX(AllClosureRows,C550,0),"&lt;="&amp;('_Dates'!X550)))+IF(('_Dates'!Z550)&lt;('_Dates'!Y550),0,INT((('_Dates'!Z550)-('_Dates'!Y550)+1)/7)*LEN(SUBSTITUTE(W550,"O",""))+LEN(SUBSTITUTE(MID(W550&amp;W550,WEEKDAY(('_Dates'!Y550),2),MOD((('_Dates'!Z550)-('_Dates'!Y550)+1),7)),"O",""))-COUNTIFS(INDEX(AllClosureRows,C550,0),"&gt;="&amp;('_Dates'!Y550),INDEX(AllClosureRows,C550,0),"&lt;="&amp;('_Dates'!Z550)))))</ns0:f>
        <ns0:v>0</ns0:v>
      </ns0:c>
      <ns0:c r="H550" s="0">
        <ns0:f>IF(OR(F550&lt;&gt;"OK",$B$6&gt;0),0,0.5*(IF((MIN('_Dates'!X550,Settings!$B$9))&lt;('_Dates'!W550),0,INT(((MIN('_Dates'!X550,Settings!$B$9))-('_Dates'!W550)+1)/7)*LEN(SUBSTITUTE(W550,"O",""))+LEN(SUBSTITUTE(MID(W550&amp;W550,WEEKDAY(('_Dates'!W550),2),MOD(((MIN('_Dates'!X550,Settings!$B$9))-('_Dates'!W550)+1),7)),"O",""))-COUNTIFS(INDEX(AllClosureRows,C550,0),"&gt;="&amp;('_Dates'!W550),INDEX(AllClosureRows,C550,0),"&lt;="&amp;(MIN('_Dates'!X550,Settings!$B$9))))+IF((MIN('_Dates'!Z550,Settings!$B$9))&lt;('_Dates'!Y550),0,INT(((MIN('_Dates'!Z550,Settings!$B$9))-('_Dates'!Y550)+1)/7)*LEN(SUBSTITUTE(W550,"O",""))+LEN(SUBSTITUTE(MID(W550&amp;W550,WEEKDAY(('_Dates'!Y550),2),MOD(((MIN('_Dates'!Z550,Settings!$B$9))-('_Dates'!Y550)+1),7)),"O",""))-COUNTIFS(INDEX(AllClosureRows,C550,0),"&gt;="&amp;('_Dates'!Y550),INDEX(AllClosureRows,C550,0),"&lt;="&amp;(MIN('_Dates'!Z550,Settings!$B$9))))))</ns0:f>
        <ns0:v>0</ns0:v>
      </ns0:c>
      <ns0:c r="I550" s="0">
        <ns0:f>MAX(0,G550-H550)</ns0:f>
        <ns0:v>0</ns0:v>
      </ns0:c>
      <ns0:c r="J550" s="0">
        <ns0:f>IF(OR(A550=0,F550&lt;&gt;"OK",Bookings!G550="Cancelled",$B$6&gt;0),0,IF('_Dates'!AC550=1,MAX(0,COUNTIFS(rngEngine_B,B550,rngAMStart,"&lt;="&amp;'_Dates'!X550,rngAMEnd,"&gt;="&amp;'_Dates'!W550,rngAMActive,1,rngEngine_F,"OK",rngBookings_F,"&lt;&gt;Cancelled")-1),0)+IF('_Dates'!AD550=1,MAX(0,COUNTIFS(rngEngine_B,B550,rngPMStart,"&lt;="&amp;'_Dates'!Z550,rngPMEnd,"&gt;="&amp;'_Dates'!Y550,rngPMActive,1,rngEngine_F,"OK",rngBookings_F,"&lt;&gt;Cancelled")-1),0))</ns0:f>
        <ns0:v>0</ns0:v>
      </ns0:c>
      <ns0:c r="K550" s="0" t="str">
        <ns0:f>IF(A550=0,"",IF(F550&lt;&gt;"OK",F550,IF(J550&gt;0,"CHECK overlapping entry",IF(AND($B$6=0,G550&lt;=0,Bookings!G550&lt;&gt;"Cancelled"),"CHECK no working days",IF(Bookings!G550="Cancelled","Cancelled","OK")))))</ns0:f>
        <ns0:v/>
      </ns0:c>
      <ns0:c r="L550" s="0">
        <ns0:f>IF(LEFT(K550,5)="CHECK",1,0)</ns0:f>
        <ns0:v>0</ns0:v>
      </ns0:c>
      <ns0:c r="M550" s="0">
        <ns0:f>IF(AND(L550=1,OR(C550=0,IFERROR(INDEX($X$11:$X$60,C550),0)=0)),1,0)</ns0:f>
        <ns0:v>0</ns0:v>
      </ns0:c>
      <ns0:c r="N550" s="0">
        <ns0:f>IF(OR(A550=0,L550&gt;0,$B$6&gt;0,Bookings!G550="Cancelled"),0,G550)</ns0:f>
        <ns0:v>0</ns0:v>
      </ns0:c>
      <ns0:c r="O550" s="0">
        <ns0:f>IF(AND(Bookings!G550="Approved",E550="Yes"),N550,0)</ns0:f>
        <ns0:v>0</ns0:v>
      </ns0:c>
      <ns0:c r="P550" s="0">
        <ns0:f>IF(AND(Bookings!G550="Approved",E550="Yes",L550=0,$B$6=0),H550,0)</ns0:f>
        <ns0:v>0</ns0:v>
      </ns0:c>
      <ns0:c r="Q550" s="0">
        <ns0:f>IF(AND(Bookings!G550="Approved",E550="Yes",L550=0,$B$6=0),I550,0)</ns0:f>
        <ns0:v>0</ns0:v>
      </ns0:c>
      <ns0:c r="R550" s="0">
        <ns0:f>IF(AND(Bookings!G550="Pending",E550="Yes"),N550,0)</ns0:f>
        <ns0:v>0</ns0:v>
      </ns0:c>
      <ns0:c r="S550" s="0">
        <ns0:f>IF(AND(Bookings!G550="Approved",E550="No"),N550,0)</ns0:f>
        <ns0:v>0</ns0:v>
      </ns0:c>
      <ns0:c r="T550" s="0">
        <ns0:f>IFERROR(MATCH(D550,Settings!$G$7:$G$11,0),0)</ns0:f>
        <ns0:v>0</ns0:v>
      </ns0:c>
      <ns0:c r="U550" s="0">
        <ns0:f>IF(N550&gt;0,T550+IF(Bookings!G550="Pending",10,0),0)</ns0:f>
        <ns0:v>0</ns0:v>
      </ns0:c>
      <ns0:c r="V550" s="0">
        <ns0:f>U550</ns0:f>
        <ns0:v>0</ns0:v>
      </ns0:c>
      <ns0:c r="W550" s="0" t="str">
        <ns0:f>IF(C550=0,"",INDEX($AP$11:$AP$60,C550))</ns0:f>
        <ns0:v/>
      </ns0:c>
    </ns0:row>
    <ns0:row r="551">
      <ns0:c r="A551" s="0">
        <ns0:f>IF(COUNTA(Bookings!A551:G551,Bookings!I551)=0,0,1)</ns0:f>
        <ns0:v>0</ns0:v>
      </ns0:c>
      <ns0:c r="B551" s="0" t="str">
        <ns0:f>IFERROR(TRIM(MID(Bookings!A551,FIND(" · ",Bookings!A551)+3,99)),"")</ns0:f>
        <ns0:v/>
      </ns0:c>
      <ns0:c r="C551" s="0">
        <ns0:f>IF(OR(B551="",LEN(B551)&gt;24,ISNUMBER(FIND(" ",B551)),ISNUMBER(FIND("*",B551)),ISNUMBER(FIND("?",B551)),ISNUMBER(FIND("~",B551))),0,IFERROR(MATCH(B551,Team!$A$11:$A$60,0),0))</ns0:f>
        <ns0:v>0</ns0:v>
      </ns0:c>
      <ns0:c r="D551" s="0" t="str">
        <ns0:f>IFERROR(IF(MID(Bookings!F551,LEN(Bookings!F551)-3,3)=" · ",RIGHT(Bookings!F551,1),""),"")</ns0:f>
        <ns0:v/>
      </ns0:c>
      <ns0:c r="E551" s="0" t="str">
        <ns0:f>IFERROR(INDEX(Settings!$H$7:$H$11,MATCH(D551,Settings!$G$7:$G$11,0)),"")</ns0:f>
        <ns0:v/>
      </ns0:c>
      <ns0:c r="F551" s="0" t="str">
        <ns0:f>IF(A551=0,"",IFERROR(IF(OR(B551="",C551=0),"CHECK employee selection",IF(INDEX(Team!$O$11:$O$60,C551)&lt;&gt;"OK","CHECK employee setup",IF(OR('_Dates'!J551=0,'_Dates'!T551=0),"CHECK date: use DD.MM.YYYY",IF('_Dates'!T551&lt;'_Dates'!J551,"CHECK end before start",IF(AND($B$6=0,OR('_Dates'!J551&lt;Settings!$B$7,'_Dates'!T551&gt;Settings!$B$8)),"CHECK split across leave years",IF(OR(NOT(OR('_Dates'!U551="Full day",'_Dates'!U551="AM",'_Dates'!U551="PM")),NOT(OR('_Dates'!V551="Full day",'_Dates'!V551="AM",'_Dates'!V551="PM"))),"CHECK Full day / AM / PM",IF(AND('_Dates'!J551='_Dates'!T551,'_Dates'!U551&lt;&gt;"Full day",'_Dates'!V551&lt;&gt;"Full day",'_Dates'!U551&lt;&gt;'_Dates'!V551),"CHECK same-day portions disagree",IF(AND($B$6=0,OR(AND('_Dates'!U551&lt;&gt;"Full day",'_Dates'!AA551=0),AND('_Dates'!V551&lt;&gt;"Full day",'_Dates'!AB551=0))),"CHECK half-day on non-working date",IF(COUNTIF(Settings!$G$7:$G$11,D551)&lt;&gt;1,"CHECK leave type",IF(AND(Bookings!G551&lt;&gt;"Approved",Bookings!G551&lt;&gt;"Pending",Bookings!G551&lt;&gt;"Cancelled"),"CHECK status","OK")))))))))),"CHECK input"))</ns0:f>
        <ns0:v/>
      </ns0:c>
      <ns0:c r="G551" s="0">
        <ns0:f>IF(OR(F551&lt;&gt;"OK",$B$6&gt;0),0,0.5*(IF(('_Dates'!X551)&lt;('_Dates'!W551),0,INT((('_Dates'!X551)-('_Dates'!W551)+1)/7)*LEN(SUBSTITUTE(W551,"O",""))+LEN(SUBSTITUTE(MID(W551&amp;W551,WEEKDAY(('_Dates'!W551),2),MOD((('_Dates'!X551)-('_Dates'!W551)+1),7)),"O",""))-COUNTIFS(INDEX(AllClosureRows,C551,0),"&gt;="&amp;('_Dates'!W551),INDEX(AllClosureRows,C551,0),"&lt;="&amp;('_Dates'!X551)))+IF(('_Dates'!Z551)&lt;('_Dates'!Y551),0,INT((('_Dates'!Z551)-('_Dates'!Y551)+1)/7)*LEN(SUBSTITUTE(W551,"O",""))+LEN(SUBSTITUTE(MID(W551&amp;W551,WEEKDAY(('_Dates'!Y551),2),MOD((('_Dates'!Z551)-('_Dates'!Y551)+1),7)),"O",""))-COUNTIFS(INDEX(AllClosureRows,C551,0),"&gt;="&amp;('_Dates'!Y551),INDEX(AllClosureRows,C551,0),"&lt;="&amp;('_Dates'!Z551)))))</ns0:f>
        <ns0:v>0</ns0:v>
      </ns0:c>
      <ns0:c r="H551" s="0">
        <ns0:f>IF(OR(F551&lt;&gt;"OK",$B$6&gt;0),0,0.5*(IF((MIN('_Dates'!X551,Settings!$B$9))&lt;('_Dates'!W551),0,INT(((MIN('_Dates'!X551,Settings!$B$9))-('_Dates'!W551)+1)/7)*LEN(SUBSTITUTE(W551,"O",""))+LEN(SUBSTITUTE(MID(W551&amp;W551,WEEKDAY(('_Dates'!W551),2),MOD(((MIN('_Dates'!X551,Settings!$B$9))-('_Dates'!W551)+1),7)),"O",""))-COUNTIFS(INDEX(AllClosureRows,C551,0),"&gt;="&amp;('_Dates'!W551),INDEX(AllClosureRows,C551,0),"&lt;="&amp;(MIN('_Dates'!X551,Settings!$B$9))))+IF((MIN('_Dates'!Z551,Settings!$B$9))&lt;('_Dates'!Y551),0,INT(((MIN('_Dates'!Z551,Settings!$B$9))-('_Dates'!Y551)+1)/7)*LEN(SUBSTITUTE(W551,"O",""))+LEN(SUBSTITUTE(MID(W551&amp;W551,WEEKDAY(('_Dates'!Y551),2),MOD(((MIN('_Dates'!Z551,Settings!$B$9))-('_Dates'!Y551)+1),7)),"O",""))-COUNTIFS(INDEX(AllClosureRows,C551,0),"&gt;="&amp;('_Dates'!Y551),INDEX(AllClosureRows,C551,0),"&lt;="&amp;(MIN('_Dates'!Z551,Settings!$B$9))))))</ns0:f>
        <ns0:v>0</ns0:v>
      </ns0:c>
      <ns0:c r="I551" s="0">
        <ns0:f>MAX(0,G551-H551)</ns0:f>
        <ns0:v>0</ns0:v>
      </ns0:c>
      <ns0:c r="J551" s="0">
        <ns0:f>IF(OR(A551=0,F551&lt;&gt;"OK",Bookings!G551="Cancelled",$B$6&gt;0),0,IF('_Dates'!AC551=1,MAX(0,COUNTIFS(rngEngine_B,B551,rngAMStart,"&lt;="&amp;'_Dates'!X551,rngAMEnd,"&gt;="&amp;'_Dates'!W551,rngAMActive,1,rngEngine_F,"OK",rngBookings_F,"&lt;&gt;Cancelled")-1),0)+IF('_Dates'!AD551=1,MAX(0,COUNTIFS(rngEngine_B,B551,rngPMStart,"&lt;="&amp;'_Dates'!Z551,rngPMEnd,"&gt;="&amp;'_Dates'!Y551,rngPMActive,1,rngEngine_F,"OK",rngBookings_F,"&lt;&gt;Cancelled")-1),0))</ns0:f>
        <ns0:v>0</ns0:v>
      </ns0:c>
      <ns0:c r="K551" s="0" t="str">
        <ns0:f>IF(A551=0,"",IF(F551&lt;&gt;"OK",F551,IF(J551&gt;0,"CHECK overlapping entry",IF(AND($B$6=0,G551&lt;=0,Bookings!G551&lt;&gt;"Cancelled"),"CHECK no working days",IF(Bookings!G551="Cancelled","Cancelled","OK")))))</ns0:f>
        <ns0:v/>
      </ns0:c>
      <ns0:c r="L551" s="0">
        <ns0:f>IF(LEFT(K551,5)="CHECK",1,0)</ns0:f>
        <ns0:v>0</ns0:v>
      </ns0:c>
      <ns0:c r="M551" s="0">
        <ns0:f>IF(AND(L551=1,OR(C551=0,IFERROR(INDEX($X$11:$X$60,C551),0)=0)),1,0)</ns0:f>
        <ns0:v>0</ns0:v>
      </ns0:c>
      <ns0:c r="N551" s="0">
        <ns0:f>IF(OR(A551=0,L551&gt;0,$B$6&gt;0,Bookings!G551="Cancelled"),0,G551)</ns0:f>
        <ns0:v>0</ns0:v>
      </ns0:c>
      <ns0:c r="O551" s="0">
        <ns0:f>IF(AND(Bookings!G551="Approved",E551="Yes"),N551,0)</ns0:f>
        <ns0:v>0</ns0:v>
      </ns0:c>
      <ns0:c r="P551" s="0">
        <ns0:f>IF(AND(Bookings!G551="Approved",E551="Yes",L551=0,$B$6=0),H551,0)</ns0:f>
        <ns0:v>0</ns0:v>
      </ns0:c>
      <ns0:c r="Q551" s="0">
        <ns0:f>IF(AND(Bookings!G551="Approved",E551="Yes",L551=0,$B$6=0),I551,0)</ns0:f>
        <ns0:v>0</ns0:v>
      </ns0:c>
      <ns0:c r="R551" s="0">
        <ns0:f>IF(AND(Bookings!G551="Pending",E551="Yes"),N551,0)</ns0:f>
        <ns0:v>0</ns0:v>
      </ns0:c>
      <ns0:c r="S551" s="0">
        <ns0:f>IF(AND(Bookings!G551="Approved",E551="No"),N551,0)</ns0:f>
        <ns0:v>0</ns0:v>
      </ns0:c>
      <ns0:c r="T551" s="0">
        <ns0:f>IFERROR(MATCH(D551,Settings!$G$7:$G$11,0),0)</ns0:f>
        <ns0:v>0</ns0:v>
      </ns0:c>
      <ns0:c r="U551" s="0">
        <ns0:f>IF(N551&gt;0,T551+IF(Bookings!G551="Pending",10,0),0)</ns0:f>
        <ns0:v>0</ns0:v>
      </ns0:c>
      <ns0:c r="V551" s="0">
        <ns0:f>U551</ns0:f>
        <ns0:v>0</ns0:v>
      </ns0:c>
      <ns0:c r="W551" s="0" t="str">
        <ns0:f>IF(C551=0,"",INDEX($AP$11:$AP$60,C551))</ns0:f>
        <ns0:v/>
      </ns0:c>
    </ns0:row>
    <ns0:row r="552">
      <ns0:c r="A552" s="0">
        <ns0:f>IF(COUNTA(Bookings!A552:G552,Bookings!I552)=0,0,1)</ns0:f>
        <ns0:v>0</ns0:v>
      </ns0:c>
      <ns0:c r="B552" s="0" t="str">
        <ns0:f>IFERROR(TRIM(MID(Bookings!A552,FIND(" · ",Bookings!A552)+3,99)),"")</ns0:f>
        <ns0:v/>
      </ns0:c>
      <ns0:c r="C552" s="0">
        <ns0:f>IF(OR(B552="",LEN(B552)&gt;24,ISNUMBER(FIND(" ",B552)),ISNUMBER(FIND("*",B552)),ISNUMBER(FIND("?",B552)),ISNUMBER(FIND("~",B552))),0,IFERROR(MATCH(B552,Team!$A$11:$A$60,0),0))</ns0:f>
        <ns0:v>0</ns0:v>
      </ns0:c>
      <ns0:c r="D552" s="0" t="str">
        <ns0:f>IFERROR(IF(MID(Bookings!F552,LEN(Bookings!F552)-3,3)=" · ",RIGHT(Bookings!F552,1),""),"")</ns0:f>
        <ns0:v/>
      </ns0:c>
      <ns0:c r="E552" s="0" t="str">
        <ns0:f>IFERROR(INDEX(Settings!$H$7:$H$11,MATCH(D552,Settings!$G$7:$G$11,0)),"")</ns0:f>
        <ns0:v/>
      </ns0:c>
      <ns0:c r="F552" s="0" t="str">
        <ns0:f>IF(A552=0,"",IFERROR(IF(OR(B552="",C552=0),"CHECK employee selection",IF(INDEX(Team!$O$11:$O$60,C552)&lt;&gt;"OK","CHECK employee setup",IF(OR('_Dates'!J552=0,'_Dates'!T552=0),"CHECK date: use DD.MM.YYYY",IF('_Dates'!T552&lt;'_Dates'!J552,"CHECK end before start",IF(AND($B$6=0,OR('_Dates'!J552&lt;Settings!$B$7,'_Dates'!T552&gt;Settings!$B$8)),"CHECK split across leave years",IF(OR(NOT(OR('_Dates'!U552="Full day",'_Dates'!U552="AM",'_Dates'!U552="PM")),NOT(OR('_Dates'!V552="Full day",'_Dates'!V552="AM",'_Dates'!V552="PM"))),"CHECK Full day / AM / PM",IF(AND('_Dates'!J552='_Dates'!T552,'_Dates'!U552&lt;&gt;"Full day",'_Dates'!V552&lt;&gt;"Full day",'_Dates'!U552&lt;&gt;'_Dates'!V552),"CHECK same-day portions disagree",IF(AND($B$6=0,OR(AND('_Dates'!U552&lt;&gt;"Full day",'_Dates'!AA552=0),AND('_Dates'!V552&lt;&gt;"Full day",'_Dates'!AB552=0))),"CHECK half-day on non-working date",IF(COUNTIF(Settings!$G$7:$G$11,D552)&lt;&gt;1,"CHECK leave type",IF(AND(Bookings!G552&lt;&gt;"Approved",Bookings!G552&lt;&gt;"Pending",Bookings!G552&lt;&gt;"Cancelled"),"CHECK status","OK")))))))))),"CHECK input"))</ns0:f>
        <ns0:v/>
      </ns0:c>
      <ns0:c r="G552" s="0">
        <ns0:f>IF(OR(F552&lt;&gt;"OK",$B$6&gt;0),0,0.5*(IF(('_Dates'!X552)&lt;('_Dates'!W552),0,INT((('_Dates'!X552)-('_Dates'!W552)+1)/7)*LEN(SUBSTITUTE(W552,"O",""))+LEN(SUBSTITUTE(MID(W552&amp;W552,WEEKDAY(('_Dates'!W552),2),MOD((('_Dates'!X552)-('_Dates'!W552)+1),7)),"O",""))-COUNTIFS(INDEX(AllClosureRows,C552,0),"&gt;="&amp;('_Dates'!W552),INDEX(AllClosureRows,C552,0),"&lt;="&amp;('_Dates'!X552)))+IF(('_Dates'!Z552)&lt;('_Dates'!Y552),0,INT((('_Dates'!Z552)-('_Dates'!Y552)+1)/7)*LEN(SUBSTITUTE(W552,"O",""))+LEN(SUBSTITUTE(MID(W552&amp;W552,WEEKDAY(('_Dates'!Y552),2),MOD((('_Dates'!Z552)-('_Dates'!Y552)+1),7)),"O",""))-COUNTIFS(INDEX(AllClosureRows,C552,0),"&gt;="&amp;('_Dates'!Y552),INDEX(AllClosureRows,C552,0),"&lt;="&amp;('_Dates'!Z552)))))</ns0:f>
        <ns0:v>0</ns0:v>
      </ns0:c>
      <ns0:c r="H552" s="0">
        <ns0:f>IF(OR(F552&lt;&gt;"OK",$B$6&gt;0),0,0.5*(IF((MIN('_Dates'!X552,Settings!$B$9))&lt;('_Dates'!W552),0,INT(((MIN('_Dates'!X552,Settings!$B$9))-('_Dates'!W552)+1)/7)*LEN(SUBSTITUTE(W552,"O",""))+LEN(SUBSTITUTE(MID(W552&amp;W552,WEEKDAY(('_Dates'!W552),2),MOD(((MIN('_Dates'!X552,Settings!$B$9))-('_Dates'!W552)+1),7)),"O",""))-COUNTIFS(INDEX(AllClosureRows,C552,0),"&gt;="&amp;('_Dates'!W552),INDEX(AllClosureRows,C552,0),"&lt;="&amp;(MIN('_Dates'!X552,Settings!$B$9))))+IF((MIN('_Dates'!Z552,Settings!$B$9))&lt;('_Dates'!Y552),0,INT(((MIN('_Dates'!Z552,Settings!$B$9))-('_Dates'!Y552)+1)/7)*LEN(SUBSTITUTE(W552,"O",""))+LEN(SUBSTITUTE(MID(W552&amp;W552,WEEKDAY(('_Dates'!Y552),2),MOD(((MIN('_Dates'!Z552,Settings!$B$9))-('_Dates'!Y552)+1),7)),"O",""))-COUNTIFS(INDEX(AllClosureRows,C552,0),"&gt;="&amp;('_Dates'!Y552),INDEX(AllClosureRows,C552,0),"&lt;="&amp;(MIN('_Dates'!Z552,Settings!$B$9))))))</ns0:f>
        <ns0:v>0</ns0:v>
      </ns0:c>
      <ns0:c r="I552" s="0">
        <ns0:f>MAX(0,G552-H552)</ns0:f>
        <ns0:v>0</ns0:v>
      </ns0:c>
      <ns0:c r="J552" s="0">
        <ns0:f>IF(OR(A552=0,F552&lt;&gt;"OK",Bookings!G552="Cancelled",$B$6&gt;0),0,IF('_Dates'!AC552=1,MAX(0,COUNTIFS(rngEngine_B,B552,rngAMStart,"&lt;="&amp;'_Dates'!X552,rngAMEnd,"&gt;="&amp;'_Dates'!W552,rngAMActive,1,rngEngine_F,"OK",rngBookings_F,"&lt;&gt;Cancelled")-1),0)+IF('_Dates'!AD552=1,MAX(0,COUNTIFS(rngEngine_B,B552,rngPMStart,"&lt;="&amp;'_Dates'!Z552,rngPMEnd,"&gt;="&amp;'_Dates'!Y552,rngPMActive,1,rngEngine_F,"OK",rngBookings_F,"&lt;&gt;Cancelled")-1),0))</ns0:f>
        <ns0:v>0</ns0:v>
      </ns0:c>
      <ns0:c r="K552" s="0" t="str">
        <ns0:f>IF(A552=0,"",IF(F552&lt;&gt;"OK",F552,IF(J552&gt;0,"CHECK overlapping entry",IF(AND($B$6=0,G552&lt;=0,Bookings!G552&lt;&gt;"Cancelled"),"CHECK no working days",IF(Bookings!G552="Cancelled","Cancelled","OK")))))</ns0:f>
        <ns0:v/>
      </ns0:c>
      <ns0:c r="L552" s="0">
        <ns0:f>IF(LEFT(K552,5)="CHECK",1,0)</ns0:f>
        <ns0:v>0</ns0:v>
      </ns0:c>
      <ns0:c r="M552" s="0">
        <ns0:f>IF(AND(L552=1,OR(C552=0,IFERROR(INDEX($X$11:$X$60,C552),0)=0)),1,0)</ns0:f>
        <ns0:v>0</ns0:v>
      </ns0:c>
      <ns0:c r="N552" s="0">
        <ns0:f>IF(OR(A552=0,L552&gt;0,$B$6&gt;0,Bookings!G552="Cancelled"),0,G552)</ns0:f>
        <ns0:v>0</ns0:v>
      </ns0:c>
      <ns0:c r="O552" s="0">
        <ns0:f>IF(AND(Bookings!G552="Approved",E552="Yes"),N552,0)</ns0:f>
        <ns0:v>0</ns0:v>
      </ns0:c>
      <ns0:c r="P552" s="0">
        <ns0:f>IF(AND(Bookings!G552="Approved",E552="Yes",L552=0,$B$6=0),H552,0)</ns0:f>
        <ns0:v>0</ns0:v>
      </ns0:c>
      <ns0:c r="Q552" s="0">
        <ns0:f>IF(AND(Bookings!G552="Approved",E552="Yes",L552=0,$B$6=0),I552,0)</ns0:f>
        <ns0:v>0</ns0:v>
      </ns0:c>
      <ns0:c r="R552" s="0">
        <ns0:f>IF(AND(Bookings!G552="Pending",E552="Yes"),N552,0)</ns0:f>
        <ns0:v>0</ns0:v>
      </ns0:c>
      <ns0:c r="S552" s="0">
        <ns0:f>IF(AND(Bookings!G552="Approved",E552="No"),N552,0)</ns0:f>
        <ns0:v>0</ns0:v>
      </ns0:c>
      <ns0:c r="T552" s="0">
        <ns0:f>IFERROR(MATCH(D552,Settings!$G$7:$G$11,0),0)</ns0:f>
        <ns0:v>0</ns0:v>
      </ns0:c>
      <ns0:c r="U552" s="0">
        <ns0:f>IF(N552&gt;0,T552+IF(Bookings!G552="Pending",10,0),0)</ns0:f>
        <ns0:v>0</ns0:v>
      </ns0:c>
      <ns0:c r="V552" s="0">
        <ns0:f>U552</ns0:f>
        <ns0:v>0</ns0:v>
      </ns0:c>
      <ns0:c r="W552" s="0" t="str">
        <ns0:f>IF(C552=0,"",INDEX($AP$11:$AP$60,C552))</ns0:f>
        <ns0:v/>
      </ns0:c>
    </ns0:row>
    <ns0:row r="553">
      <ns0:c r="A553" s="0">
        <ns0:f>IF(COUNTA(Bookings!A553:G553,Bookings!I553)=0,0,1)</ns0:f>
        <ns0:v>0</ns0:v>
      </ns0:c>
      <ns0:c r="B553" s="0" t="str">
        <ns0:f>IFERROR(TRIM(MID(Bookings!A553,FIND(" · ",Bookings!A553)+3,99)),"")</ns0:f>
        <ns0:v/>
      </ns0:c>
      <ns0:c r="C553" s="0">
        <ns0:f>IF(OR(B553="",LEN(B553)&gt;24,ISNUMBER(FIND(" ",B553)),ISNUMBER(FIND("*",B553)),ISNUMBER(FIND("?",B553)),ISNUMBER(FIND("~",B553))),0,IFERROR(MATCH(B553,Team!$A$11:$A$60,0),0))</ns0:f>
        <ns0:v>0</ns0:v>
      </ns0:c>
      <ns0:c r="D553" s="0" t="str">
        <ns0:f>IFERROR(IF(MID(Bookings!F553,LEN(Bookings!F553)-3,3)=" · ",RIGHT(Bookings!F553,1),""),"")</ns0:f>
        <ns0:v/>
      </ns0:c>
      <ns0:c r="E553" s="0" t="str">
        <ns0:f>IFERROR(INDEX(Settings!$H$7:$H$11,MATCH(D553,Settings!$G$7:$G$11,0)),"")</ns0:f>
        <ns0:v/>
      </ns0:c>
      <ns0:c r="F553" s="0" t="str">
        <ns0:f>IF(A553=0,"",IFERROR(IF(OR(B553="",C553=0),"CHECK employee selection",IF(INDEX(Team!$O$11:$O$60,C553)&lt;&gt;"OK","CHECK employee setup",IF(OR('_Dates'!J553=0,'_Dates'!T553=0),"CHECK date: use DD.MM.YYYY",IF('_Dates'!T553&lt;'_Dates'!J553,"CHECK end before start",IF(AND($B$6=0,OR('_Dates'!J553&lt;Settings!$B$7,'_Dates'!T553&gt;Settings!$B$8)),"CHECK split across leave years",IF(OR(NOT(OR('_Dates'!U553="Full day",'_Dates'!U553="AM",'_Dates'!U553="PM")),NOT(OR('_Dates'!V553="Full day",'_Dates'!V553="AM",'_Dates'!V553="PM"))),"CHECK Full day / AM / PM",IF(AND('_Dates'!J553='_Dates'!T553,'_Dates'!U553&lt;&gt;"Full day",'_Dates'!V553&lt;&gt;"Full day",'_Dates'!U553&lt;&gt;'_Dates'!V553),"CHECK same-day portions disagree",IF(AND($B$6=0,OR(AND('_Dates'!U553&lt;&gt;"Full day",'_Dates'!AA553=0),AND('_Dates'!V553&lt;&gt;"Full day",'_Dates'!AB553=0))),"CHECK half-day on non-working date",IF(COUNTIF(Settings!$G$7:$G$11,D553)&lt;&gt;1,"CHECK leave type",IF(AND(Bookings!G553&lt;&gt;"Approved",Bookings!G553&lt;&gt;"Pending",Bookings!G553&lt;&gt;"Cancelled"),"CHECK status","OK")))))))))),"CHECK input"))</ns0:f>
        <ns0:v/>
      </ns0:c>
      <ns0:c r="G553" s="0">
        <ns0:f>IF(OR(F553&lt;&gt;"OK",$B$6&gt;0),0,0.5*(IF(('_Dates'!X553)&lt;('_Dates'!W553),0,INT((('_Dates'!X553)-('_Dates'!W553)+1)/7)*LEN(SUBSTITUTE(W553,"O",""))+LEN(SUBSTITUTE(MID(W553&amp;W553,WEEKDAY(('_Dates'!W553),2),MOD((('_Dates'!X553)-('_Dates'!W553)+1),7)),"O",""))-COUNTIFS(INDEX(AllClosureRows,C553,0),"&gt;="&amp;('_Dates'!W553),INDEX(AllClosureRows,C553,0),"&lt;="&amp;('_Dates'!X553)))+IF(('_Dates'!Z553)&lt;('_Dates'!Y553),0,INT((('_Dates'!Z553)-('_Dates'!Y553)+1)/7)*LEN(SUBSTITUTE(W553,"O",""))+LEN(SUBSTITUTE(MID(W553&amp;W553,WEEKDAY(('_Dates'!Y553),2),MOD((('_Dates'!Z553)-('_Dates'!Y553)+1),7)),"O",""))-COUNTIFS(INDEX(AllClosureRows,C553,0),"&gt;="&amp;('_Dates'!Y553),INDEX(AllClosureRows,C553,0),"&lt;="&amp;('_Dates'!Z553)))))</ns0:f>
        <ns0:v>0</ns0:v>
      </ns0:c>
      <ns0:c r="H553" s="0">
        <ns0:f>IF(OR(F553&lt;&gt;"OK",$B$6&gt;0),0,0.5*(IF((MIN('_Dates'!X553,Settings!$B$9))&lt;('_Dates'!W553),0,INT(((MIN('_Dates'!X553,Settings!$B$9))-('_Dates'!W553)+1)/7)*LEN(SUBSTITUTE(W553,"O",""))+LEN(SUBSTITUTE(MID(W553&amp;W553,WEEKDAY(('_Dates'!W553),2),MOD(((MIN('_Dates'!X553,Settings!$B$9))-('_Dates'!W553)+1),7)),"O",""))-COUNTIFS(INDEX(AllClosureRows,C553,0),"&gt;="&amp;('_Dates'!W553),INDEX(AllClosureRows,C553,0),"&lt;="&amp;(MIN('_Dates'!X553,Settings!$B$9))))+IF((MIN('_Dates'!Z553,Settings!$B$9))&lt;('_Dates'!Y553),0,INT(((MIN('_Dates'!Z553,Settings!$B$9))-('_Dates'!Y553)+1)/7)*LEN(SUBSTITUTE(W553,"O",""))+LEN(SUBSTITUTE(MID(W553&amp;W553,WEEKDAY(('_Dates'!Y553),2),MOD(((MIN('_Dates'!Z553,Settings!$B$9))-('_Dates'!Y553)+1),7)),"O",""))-COUNTIFS(INDEX(AllClosureRows,C553,0),"&gt;="&amp;('_Dates'!Y553),INDEX(AllClosureRows,C553,0),"&lt;="&amp;(MIN('_Dates'!Z553,Settings!$B$9))))))</ns0:f>
        <ns0:v>0</ns0:v>
      </ns0:c>
      <ns0:c r="I553" s="0">
        <ns0:f>MAX(0,G553-H553)</ns0:f>
        <ns0:v>0</ns0:v>
      </ns0:c>
      <ns0:c r="J553" s="0">
        <ns0:f>IF(OR(A553=0,F553&lt;&gt;"OK",Bookings!G553="Cancelled",$B$6&gt;0),0,IF('_Dates'!AC553=1,MAX(0,COUNTIFS(rngEngine_B,B553,rngAMStart,"&lt;="&amp;'_Dates'!X553,rngAMEnd,"&gt;="&amp;'_Dates'!W553,rngAMActive,1,rngEngine_F,"OK",rngBookings_F,"&lt;&gt;Cancelled")-1),0)+IF('_Dates'!AD553=1,MAX(0,COUNTIFS(rngEngine_B,B553,rngPMStart,"&lt;="&amp;'_Dates'!Z553,rngPMEnd,"&gt;="&amp;'_Dates'!Y553,rngPMActive,1,rngEngine_F,"OK",rngBookings_F,"&lt;&gt;Cancelled")-1),0))</ns0:f>
        <ns0:v>0</ns0:v>
      </ns0:c>
      <ns0:c r="K553" s="0" t="str">
        <ns0:f>IF(A553=0,"",IF(F553&lt;&gt;"OK",F553,IF(J553&gt;0,"CHECK overlapping entry",IF(AND($B$6=0,G553&lt;=0,Bookings!G553&lt;&gt;"Cancelled"),"CHECK no working days",IF(Bookings!G553="Cancelled","Cancelled","OK")))))</ns0:f>
        <ns0:v/>
      </ns0:c>
      <ns0:c r="L553" s="0">
        <ns0:f>IF(LEFT(K553,5)="CHECK",1,0)</ns0:f>
        <ns0:v>0</ns0:v>
      </ns0:c>
      <ns0:c r="M553" s="0">
        <ns0:f>IF(AND(L553=1,OR(C553=0,IFERROR(INDEX($X$11:$X$60,C553),0)=0)),1,0)</ns0:f>
        <ns0:v>0</ns0:v>
      </ns0:c>
      <ns0:c r="N553" s="0">
        <ns0:f>IF(OR(A553=0,L553&gt;0,$B$6&gt;0,Bookings!G553="Cancelled"),0,G553)</ns0:f>
        <ns0:v>0</ns0:v>
      </ns0:c>
      <ns0:c r="O553" s="0">
        <ns0:f>IF(AND(Bookings!G553="Approved",E553="Yes"),N553,0)</ns0:f>
        <ns0:v>0</ns0:v>
      </ns0:c>
      <ns0:c r="P553" s="0">
        <ns0:f>IF(AND(Bookings!G553="Approved",E553="Yes",L553=0,$B$6=0),H553,0)</ns0:f>
        <ns0:v>0</ns0:v>
      </ns0:c>
      <ns0:c r="Q553" s="0">
        <ns0:f>IF(AND(Bookings!G553="Approved",E553="Yes",L553=0,$B$6=0),I553,0)</ns0:f>
        <ns0:v>0</ns0:v>
      </ns0:c>
      <ns0:c r="R553" s="0">
        <ns0:f>IF(AND(Bookings!G553="Pending",E553="Yes"),N553,0)</ns0:f>
        <ns0:v>0</ns0:v>
      </ns0:c>
      <ns0:c r="S553" s="0">
        <ns0:f>IF(AND(Bookings!G553="Approved",E553="No"),N553,0)</ns0:f>
        <ns0:v>0</ns0:v>
      </ns0:c>
      <ns0:c r="T553" s="0">
        <ns0:f>IFERROR(MATCH(D553,Settings!$G$7:$G$11,0),0)</ns0:f>
        <ns0:v>0</ns0:v>
      </ns0:c>
      <ns0:c r="U553" s="0">
        <ns0:f>IF(N553&gt;0,T553+IF(Bookings!G553="Pending",10,0),0)</ns0:f>
        <ns0:v>0</ns0:v>
      </ns0:c>
      <ns0:c r="V553" s="0">
        <ns0:f>U553</ns0:f>
        <ns0:v>0</ns0:v>
      </ns0:c>
      <ns0:c r="W553" s="0" t="str">
        <ns0:f>IF(C553=0,"",INDEX($AP$11:$AP$60,C553))</ns0:f>
        <ns0:v/>
      </ns0:c>
    </ns0:row>
    <ns0:row r="554">
      <ns0:c r="A554" s="0">
        <ns0:f>IF(COUNTA(Bookings!A554:G554,Bookings!I554)=0,0,1)</ns0:f>
        <ns0:v>0</ns0:v>
      </ns0:c>
      <ns0:c r="B554" s="0" t="str">
        <ns0:f>IFERROR(TRIM(MID(Bookings!A554,FIND(" · ",Bookings!A554)+3,99)),"")</ns0:f>
        <ns0:v/>
      </ns0:c>
      <ns0:c r="C554" s="0">
        <ns0:f>IF(OR(B554="",LEN(B554)&gt;24,ISNUMBER(FIND(" ",B554)),ISNUMBER(FIND("*",B554)),ISNUMBER(FIND("?",B554)),ISNUMBER(FIND("~",B554))),0,IFERROR(MATCH(B554,Team!$A$11:$A$60,0),0))</ns0:f>
        <ns0:v>0</ns0:v>
      </ns0:c>
      <ns0:c r="D554" s="0" t="str">
        <ns0:f>IFERROR(IF(MID(Bookings!F554,LEN(Bookings!F554)-3,3)=" · ",RIGHT(Bookings!F554,1),""),"")</ns0:f>
        <ns0:v/>
      </ns0:c>
      <ns0:c r="E554" s="0" t="str">
        <ns0:f>IFERROR(INDEX(Settings!$H$7:$H$11,MATCH(D554,Settings!$G$7:$G$11,0)),"")</ns0:f>
        <ns0:v/>
      </ns0:c>
      <ns0:c r="F554" s="0" t="str">
        <ns0:f>IF(A554=0,"",IFERROR(IF(OR(B554="",C554=0),"CHECK employee selection",IF(INDEX(Team!$O$11:$O$60,C554)&lt;&gt;"OK","CHECK employee setup",IF(OR('_Dates'!J554=0,'_Dates'!T554=0),"CHECK date: use DD.MM.YYYY",IF('_Dates'!T554&lt;'_Dates'!J554,"CHECK end before start",IF(AND($B$6=0,OR('_Dates'!J554&lt;Settings!$B$7,'_Dates'!T554&gt;Settings!$B$8)),"CHECK split across leave years",IF(OR(NOT(OR('_Dates'!U554="Full day",'_Dates'!U554="AM",'_Dates'!U554="PM")),NOT(OR('_Dates'!V554="Full day",'_Dates'!V554="AM",'_Dates'!V554="PM"))),"CHECK Full day / AM / PM",IF(AND('_Dates'!J554='_Dates'!T554,'_Dates'!U554&lt;&gt;"Full day",'_Dates'!V554&lt;&gt;"Full day",'_Dates'!U554&lt;&gt;'_Dates'!V554),"CHECK same-day portions disagree",IF(AND($B$6=0,OR(AND('_Dates'!U554&lt;&gt;"Full day",'_Dates'!AA554=0),AND('_Dates'!V554&lt;&gt;"Full day",'_Dates'!AB554=0))),"CHECK half-day on non-working date",IF(COUNTIF(Settings!$G$7:$G$11,D554)&lt;&gt;1,"CHECK leave type",IF(AND(Bookings!G554&lt;&gt;"Approved",Bookings!G554&lt;&gt;"Pending",Bookings!G554&lt;&gt;"Cancelled"),"CHECK status","OK")))))))))),"CHECK input"))</ns0:f>
        <ns0:v/>
      </ns0:c>
      <ns0:c r="G554" s="0">
        <ns0:f>IF(OR(F554&lt;&gt;"OK",$B$6&gt;0),0,0.5*(IF(('_Dates'!X554)&lt;('_Dates'!W554),0,INT((('_Dates'!X554)-('_Dates'!W554)+1)/7)*LEN(SUBSTITUTE(W554,"O",""))+LEN(SUBSTITUTE(MID(W554&amp;W554,WEEKDAY(('_Dates'!W554),2),MOD((('_Dates'!X554)-('_Dates'!W554)+1),7)),"O",""))-COUNTIFS(INDEX(AllClosureRows,C554,0),"&gt;="&amp;('_Dates'!W554),INDEX(AllClosureRows,C554,0),"&lt;="&amp;('_Dates'!X554)))+IF(('_Dates'!Z554)&lt;('_Dates'!Y554),0,INT((('_Dates'!Z554)-('_Dates'!Y554)+1)/7)*LEN(SUBSTITUTE(W554,"O",""))+LEN(SUBSTITUTE(MID(W554&amp;W554,WEEKDAY(('_Dates'!Y554),2),MOD((('_Dates'!Z554)-('_Dates'!Y554)+1),7)),"O",""))-COUNTIFS(INDEX(AllClosureRows,C554,0),"&gt;="&amp;('_Dates'!Y554),INDEX(AllClosureRows,C554,0),"&lt;="&amp;('_Dates'!Z554)))))</ns0:f>
        <ns0:v>0</ns0:v>
      </ns0:c>
      <ns0:c r="H554" s="0">
        <ns0:f>IF(OR(F554&lt;&gt;"OK",$B$6&gt;0),0,0.5*(IF((MIN('_Dates'!X554,Settings!$B$9))&lt;('_Dates'!W554),0,INT(((MIN('_Dates'!X554,Settings!$B$9))-('_Dates'!W554)+1)/7)*LEN(SUBSTITUTE(W554,"O",""))+LEN(SUBSTITUTE(MID(W554&amp;W554,WEEKDAY(('_Dates'!W554),2),MOD(((MIN('_Dates'!X554,Settings!$B$9))-('_Dates'!W554)+1),7)),"O",""))-COUNTIFS(INDEX(AllClosureRows,C554,0),"&gt;="&amp;('_Dates'!W554),INDEX(AllClosureRows,C554,0),"&lt;="&amp;(MIN('_Dates'!X554,Settings!$B$9))))+IF((MIN('_Dates'!Z554,Settings!$B$9))&lt;('_Dates'!Y554),0,INT(((MIN('_Dates'!Z554,Settings!$B$9))-('_Dates'!Y554)+1)/7)*LEN(SUBSTITUTE(W554,"O",""))+LEN(SUBSTITUTE(MID(W554&amp;W554,WEEKDAY(('_Dates'!Y554),2),MOD(((MIN('_Dates'!Z554,Settings!$B$9))-('_Dates'!Y554)+1),7)),"O",""))-COUNTIFS(INDEX(AllClosureRows,C554,0),"&gt;="&amp;('_Dates'!Y554),INDEX(AllClosureRows,C554,0),"&lt;="&amp;(MIN('_Dates'!Z554,Settings!$B$9))))))</ns0:f>
        <ns0:v>0</ns0:v>
      </ns0:c>
      <ns0:c r="I554" s="0">
        <ns0:f>MAX(0,G554-H554)</ns0:f>
        <ns0:v>0</ns0:v>
      </ns0:c>
      <ns0:c r="J554" s="0">
        <ns0:f>IF(OR(A554=0,F554&lt;&gt;"OK",Bookings!G554="Cancelled",$B$6&gt;0),0,IF('_Dates'!AC554=1,MAX(0,COUNTIFS(rngEngine_B,B554,rngAMStart,"&lt;="&amp;'_Dates'!X554,rngAMEnd,"&gt;="&amp;'_Dates'!W554,rngAMActive,1,rngEngine_F,"OK",rngBookings_F,"&lt;&gt;Cancelled")-1),0)+IF('_Dates'!AD554=1,MAX(0,COUNTIFS(rngEngine_B,B554,rngPMStart,"&lt;="&amp;'_Dates'!Z554,rngPMEnd,"&gt;="&amp;'_Dates'!Y554,rngPMActive,1,rngEngine_F,"OK",rngBookings_F,"&lt;&gt;Cancelled")-1),0))</ns0:f>
        <ns0:v>0</ns0:v>
      </ns0:c>
      <ns0:c r="K554" s="0" t="str">
        <ns0:f>IF(A554=0,"",IF(F554&lt;&gt;"OK",F554,IF(J554&gt;0,"CHECK overlapping entry",IF(AND($B$6=0,G554&lt;=0,Bookings!G554&lt;&gt;"Cancelled"),"CHECK no working days",IF(Bookings!G554="Cancelled","Cancelled","OK")))))</ns0:f>
        <ns0:v/>
      </ns0:c>
      <ns0:c r="L554" s="0">
        <ns0:f>IF(LEFT(K554,5)="CHECK",1,0)</ns0:f>
        <ns0:v>0</ns0:v>
      </ns0:c>
      <ns0:c r="M554" s="0">
        <ns0:f>IF(AND(L554=1,OR(C554=0,IFERROR(INDEX($X$11:$X$60,C554),0)=0)),1,0)</ns0:f>
        <ns0:v>0</ns0:v>
      </ns0:c>
      <ns0:c r="N554" s="0">
        <ns0:f>IF(OR(A554=0,L554&gt;0,$B$6&gt;0,Bookings!G554="Cancelled"),0,G554)</ns0:f>
        <ns0:v>0</ns0:v>
      </ns0:c>
      <ns0:c r="O554" s="0">
        <ns0:f>IF(AND(Bookings!G554="Approved",E554="Yes"),N554,0)</ns0:f>
        <ns0:v>0</ns0:v>
      </ns0:c>
      <ns0:c r="P554" s="0">
        <ns0:f>IF(AND(Bookings!G554="Approved",E554="Yes",L554=0,$B$6=0),H554,0)</ns0:f>
        <ns0:v>0</ns0:v>
      </ns0:c>
      <ns0:c r="Q554" s="0">
        <ns0:f>IF(AND(Bookings!G554="Approved",E554="Yes",L554=0,$B$6=0),I554,0)</ns0:f>
        <ns0:v>0</ns0:v>
      </ns0:c>
      <ns0:c r="R554" s="0">
        <ns0:f>IF(AND(Bookings!G554="Pending",E554="Yes"),N554,0)</ns0:f>
        <ns0:v>0</ns0:v>
      </ns0:c>
      <ns0:c r="S554" s="0">
        <ns0:f>IF(AND(Bookings!G554="Approved",E554="No"),N554,0)</ns0:f>
        <ns0:v>0</ns0:v>
      </ns0:c>
      <ns0:c r="T554" s="0">
        <ns0:f>IFERROR(MATCH(D554,Settings!$G$7:$G$11,0),0)</ns0:f>
        <ns0:v>0</ns0:v>
      </ns0:c>
      <ns0:c r="U554" s="0">
        <ns0:f>IF(N554&gt;0,T554+IF(Bookings!G554="Pending",10,0),0)</ns0:f>
        <ns0:v>0</ns0:v>
      </ns0:c>
      <ns0:c r="V554" s="0">
        <ns0:f>U554</ns0:f>
        <ns0:v>0</ns0:v>
      </ns0:c>
      <ns0:c r="W554" s="0" t="str">
        <ns0:f>IF(C554=0,"",INDEX($AP$11:$AP$60,C554))</ns0:f>
        <ns0:v/>
      </ns0:c>
    </ns0:row>
    <ns0:row r="555">
      <ns0:c r="A555" s="0">
        <ns0:f>IF(COUNTA(Bookings!A555:G555,Bookings!I555)=0,0,1)</ns0:f>
        <ns0:v>0</ns0:v>
      </ns0:c>
      <ns0:c r="B555" s="0" t="str">
        <ns0:f>IFERROR(TRIM(MID(Bookings!A555,FIND(" · ",Bookings!A555)+3,99)),"")</ns0:f>
        <ns0:v/>
      </ns0:c>
      <ns0:c r="C555" s="0">
        <ns0:f>IF(OR(B555="",LEN(B555)&gt;24,ISNUMBER(FIND(" ",B555)),ISNUMBER(FIND("*",B555)),ISNUMBER(FIND("?",B555)),ISNUMBER(FIND("~",B555))),0,IFERROR(MATCH(B555,Team!$A$11:$A$60,0),0))</ns0:f>
        <ns0:v>0</ns0:v>
      </ns0:c>
      <ns0:c r="D555" s="0" t="str">
        <ns0:f>IFERROR(IF(MID(Bookings!F555,LEN(Bookings!F555)-3,3)=" · ",RIGHT(Bookings!F555,1),""),"")</ns0:f>
        <ns0:v/>
      </ns0:c>
      <ns0:c r="E555" s="0" t="str">
        <ns0:f>IFERROR(INDEX(Settings!$H$7:$H$11,MATCH(D555,Settings!$G$7:$G$11,0)),"")</ns0:f>
        <ns0:v/>
      </ns0:c>
      <ns0:c r="F555" s="0" t="str">
        <ns0:f>IF(A555=0,"",IFERROR(IF(OR(B555="",C555=0),"CHECK employee selection",IF(INDEX(Team!$O$11:$O$60,C555)&lt;&gt;"OK","CHECK employee setup",IF(OR('_Dates'!J555=0,'_Dates'!T555=0),"CHECK date: use DD.MM.YYYY",IF('_Dates'!T555&lt;'_Dates'!J555,"CHECK end before start",IF(AND($B$6=0,OR('_Dates'!J555&lt;Settings!$B$7,'_Dates'!T555&gt;Settings!$B$8)),"CHECK split across leave years",IF(OR(NOT(OR('_Dates'!U555="Full day",'_Dates'!U555="AM",'_Dates'!U555="PM")),NOT(OR('_Dates'!V555="Full day",'_Dates'!V555="AM",'_Dates'!V555="PM"))),"CHECK Full day / AM / PM",IF(AND('_Dates'!J555='_Dates'!T555,'_Dates'!U555&lt;&gt;"Full day",'_Dates'!V555&lt;&gt;"Full day",'_Dates'!U555&lt;&gt;'_Dates'!V555),"CHECK same-day portions disagree",IF(AND($B$6=0,OR(AND('_Dates'!U555&lt;&gt;"Full day",'_Dates'!AA555=0),AND('_Dates'!V555&lt;&gt;"Full day",'_Dates'!AB555=0))),"CHECK half-day on non-working date",IF(COUNTIF(Settings!$G$7:$G$11,D555)&lt;&gt;1,"CHECK leave type",IF(AND(Bookings!G555&lt;&gt;"Approved",Bookings!G555&lt;&gt;"Pending",Bookings!G555&lt;&gt;"Cancelled"),"CHECK status","OK")))))))))),"CHECK input"))</ns0:f>
        <ns0:v/>
      </ns0:c>
      <ns0:c r="G555" s="0">
        <ns0:f>IF(OR(F555&lt;&gt;"OK",$B$6&gt;0),0,0.5*(IF(('_Dates'!X555)&lt;('_Dates'!W555),0,INT((('_Dates'!X555)-('_Dates'!W555)+1)/7)*LEN(SUBSTITUTE(W555,"O",""))+LEN(SUBSTITUTE(MID(W555&amp;W555,WEEKDAY(('_Dates'!W555),2),MOD((('_Dates'!X555)-('_Dates'!W555)+1),7)),"O",""))-COUNTIFS(INDEX(AllClosureRows,C555,0),"&gt;="&amp;('_Dates'!W555),INDEX(AllClosureRows,C555,0),"&lt;="&amp;('_Dates'!X555)))+IF(('_Dates'!Z555)&lt;('_Dates'!Y555),0,INT((('_Dates'!Z555)-('_Dates'!Y555)+1)/7)*LEN(SUBSTITUTE(W555,"O",""))+LEN(SUBSTITUTE(MID(W555&amp;W555,WEEKDAY(('_Dates'!Y555),2),MOD((('_Dates'!Z555)-('_Dates'!Y555)+1),7)),"O",""))-COUNTIFS(INDEX(AllClosureRows,C555,0),"&gt;="&amp;('_Dates'!Y555),INDEX(AllClosureRows,C555,0),"&lt;="&amp;('_Dates'!Z555)))))</ns0:f>
        <ns0:v>0</ns0:v>
      </ns0:c>
      <ns0:c r="H555" s="0">
        <ns0:f>IF(OR(F555&lt;&gt;"OK",$B$6&gt;0),0,0.5*(IF((MIN('_Dates'!X555,Settings!$B$9))&lt;('_Dates'!W555),0,INT(((MIN('_Dates'!X555,Settings!$B$9))-('_Dates'!W555)+1)/7)*LEN(SUBSTITUTE(W555,"O",""))+LEN(SUBSTITUTE(MID(W555&amp;W555,WEEKDAY(('_Dates'!W555),2),MOD(((MIN('_Dates'!X555,Settings!$B$9))-('_Dates'!W555)+1),7)),"O",""))-COUNTIFS(INDEX(AllClosureRows,C555,0),"&gt;="&amp;('_Dates'!W555),INDEX(AllClosureRows,C555,0),"&lt;="&amp;(MIN('_Dates'!X555,Settings!$B$9))))+IF((MIN('_Dates'!Z555,Settings!$B$9))&lt;('_Dates'!Y555),0,INT(((MIN('_Dates'!Z555,Settings!$B$9))-('_Dates'!Y555)+1)/7)*LEN(SUBSTITUTE(W555,"O",""))+LEN(SUBSTITUTE(MID(W555&amp;W555,WEEKDAY(('_Dates'!Y555),2),MOD(((MIN('_Dates'!Z555,Settings!$B$9))-('_Dates'!Y555)+1),7)),"O",""))-COUNTIFS(INDEX(AllClosureRows,C555,0),"&gt;="&amp;('_Dates'!Y555),INDEX(AllClosureRows,C555,0),"&lt;="&amp;(MIN('_Dates'!Z555,Settings!$B$9))))))</ns0:f>
        <ns0:v>0</ns0:v>
      </ns0:c>
      <ns0:c r="I555" s="0">
        <ns0:f>MAX(0,G555-H555)</ns0:f>
        <ns0:v>0</ns0:v>
      </ns0:c>
      <ns0:c r="J555" s="0">
        <ns0:f>IF(OR(A555=0,F555&lt;&gt;"OK",Bookings!G555="Cancelled",$B$6&gt;0),0,IF('_Dates'!AC555=1,MAX(0,COUNTIFS(rngEngine_B,B555,rngAMStart,"&lt;="&amp;'_Dates'!X555,rngAMEnd,"&gt;="&amp;'_Dates'!W555,rngAMActive,1,rngEngine_F,"OK",rngBookings_F,"&lt;&gt;Cancelled")-1),0)+IF('_Dates'!AD555=1,MAX(0,COUNTIFS(rngEngine_B,B555,rngPMStart,"&lt;="&amp;'_Dates'!Z555,rngPMEnd,"&gt;="&amp;'_Dates'!Y555,rngPMActive,1,rngEngine_F,"OK",rngBookings_F,"&lt;&gt;Cancelled")-1),0))</ns0:f>
        <ns0:v>0</ns0:v>
      </ns0:c>
      <ns0:c r="K555" s="0" t="str">
        <ns0:f>IF(A555=0,"",IF(F555&lt;&gt;"OK",F555,IF(J555&gt;0,"CHECK overlapping entry",IF(AND($B$6=0,G555&lt;=0,Bookings!G555&lt;&gt;"Cancelled"),"CHECK no working days",IF(Bookings!G555="Cancelled","Cancelled","OK")))))</ns0:f>
        <ns0:v/>
      </ns0:c>
      <ns0:c r="L555" s="0">
        <ns0:f>IF(LEFT(K555,5)="CHECK",1,0)</ns0:f>
        <ns0:v>0</ns0:v>
      </ns0:c>
      <ns0:c r="M555" s="0">
        <ns0:f>IF(AND(L555=1,OR(C555=0,IFERROR(INDEX($X$11:$X$60,C555),0)=0)),1,0)</ns0:f>
        <ns0:v>0</ns0:v>
      </ns0:c>
      <ns0:c r="N555" s="0">
        <ns0:f>IF(OR(A555=0,L555&gt;0,$B$6&gt;0,Bookings!G555="Cancelled"),0,G555)</ns0:f>
        <ns0:v>0</ns0:v>
      </ns0:c>
      <ns0:c r="O555" s="0">
        <ns0:f>IF(AND(Bookings!G555="Approved",E555="Yes"),N555,0)</ns0:f>
        <ns0:v>0</ns0:v>
      </ns0:c>
      <ns0:c r="P555" s="0">
        <ns0:f>IF(AND(Bookings!G555="Approved",E555="Yes",L555=0,$B$6=0),H555,0)</ns0:f>
        <ns0:v>0</ns0:v>
      </ns0:c>
      <ns0:c r="Q555" s="0">
        <ns0:f>IF(AND(Bookings!G555="Approved",E555="Yes",L555=0,$B$6=0),I555,0)</ns0:f>
        <ns0:v>0</ns0:v>
      </ns0:c>
      <ns0:c r="R555" s="0">
        <ns0:f>IF(AND(Bookings!G555="Pending",E555="Yes"),N555,0)</ns0:f>
        <ns0:v>0</ns0:v>
      </ns0:c>
      <ns0:c r="S555" s="0">
        <ns0:f>IF(AND(Bookings!G555="Approved",E555="No"),N555,0)</ns0:f>
        <ns0:v>0</ns0:v>
      </ns0:c>
      <ns0:c r="T555" s="0">
        <ns0:f>IFERROR(MATCH(D555,Settings!$G$7:$G$11,0),0)</ns0:f>
        <ns0:v>0</ns0:v>
      </ns0:c>
      <ns0:c r="U555" s="0">
        <ns0:f>IF(N555&gt;0,T555+IF(Bookings!G555="Pending",10,0),0)</ns0:f>
        <ns0:v>0</ns0:v>
      </ns0:c>
      <ns0:c r="V555" s="0">
        <ns0:f>U555</ns0:f>
        <ns0:v>0</ns0:v>
      </ns0:c>
      <ns0:c r="W555" s="0" t="str">
        <ns0:f>IF(C555=0,"",INDEX($AP$11:$AP$60,C555))</ns0:f>
        <ns0:v/>
      </ns0:c>
    </ns0:row>
    <ns0:row r="556">
      <ns0:c r="A556" s="0">
        <ns0:f>IF(COUNTA(Bookings!A556:G556,Bookings!I556)=0,0,1)</ns0:f>
        <ns0:v>0</ns0:v>
      </ns0:c>
      <ns0:c r="B556" s="0" t="str">
        <ns0:f>IFERROR(TRIM(MID(Bookings!A556,FIND(" · ",Bookings!A556)+3,99)),"")</ns0:f>
        <ns0:v/>
      </ns0:c>
      <ns0:c r="C556" s="0">
        <ns0:f>IF(OR(B556="",LEN(B556)&gt;24,ISNUMBER(FIND(" ",B556)),ISNUMBER(FIND("*",B556)),ISNUMBER(FIND("?",B556)),ISNUMBER(FIND("~",B556))),0,IFERROR(MATCH(B556,Team!$A$11:$A$60,0),0))</ns0:f>
        <ns0:v>0</ns0:v>
      </ns0:c>
      <ns0:c r="D556" s="0" t="str">
        <ns0:f>IFERROR(IF(MID(Bookings!F556,LEN(Bookings!F556)-3,3)=" · ",RIGHT(Bookings!F556,1),""),"")</ns0:f>
        <ns0:v/>
      </ns0:c>
      <ns0:c r="E556" s="0" t="str">
        <ns0:f>IFERROR(INDEX(Settings!$H$7:$H$11,MATCH(D556,Settings!$G$7:$G$11,0)),"")</ns0:f>
        <ns0:v/>
      </ns0:c>
      <ns0:c r="F556" s="0" t="str">
        <ns0:f>IF(A556=0,"",IFERROR(IF(OR(B556="",C556=0),"CHECK employee selection",IF(INDEX(Team!$O$11:$O$60,C556)&lt;&gt;"OK","CHECK employee setup",IF(OR('_Dates'!J556=0,'_Dates'!T556=0),"CHECK date: use DD.MM.YYYY",IF('_Dates'!T556&lt;'_Dates'!J556,"CHECK end before start",IF(AND($B$6=0,OR('_Dates'!J556&lt;Settings!$B$7,'_Dates'!T556&gt;Settings!$B$8)),"CHECK split across leave years",IF(OR(NOT(OR('_Dates'!U556="Full day",'_Dates'!U556="AM",'_Dates'!U556="PM")),NOT(OR('_Dates'!V556="Full day",'_Dates'!V556="AM",'_Dates'!V556="PM"))),"CHECK Full day / AM / PM",IF(AND('_Dates'!J556='_Dates'!T556,'_Dates'!U556&lt;&gt;"Full day",'_Dates'!V556&lt;&gt;"Full day",'_Dates'!U556&lt;&gt;'_Dates'!V556),"CHECK same-day portions disagree",IF(AND($B$6=0,OR(AND('_Dates'!U556&lt;&gt;"Full day",'_Dates'!AA556=0),AND('_Dates'!V556&lt;&gt;"Full day",'_Dates'!AB556=0))),"CHECK half-day on non-working date",IF(COUNTIF(Settings!$G$7:$G$11,D556)&lt;&gt;1,"CHECK leave type",IF(AND(Bookings!G556&lt;&gt;"Approved",Bookings!G556&lt;&gt;"Pending",Bookings!G556&lt;&gt;"Cancelled"),"CHECK status","OK")))))))))),"CHECK input"))</ns0:f>
        <ns0:v/>
      </ns0:c>
      <ns0:c r="G556" s="0">
        <ns0:f>IF(OR(F556&lt;&gt;"OK",$B$6&gt;0),0,0.5*(IF(('_Dates'!X556)&lt;('_Dates'!W556),0,INT((('_Dates'!X556)-('_Dates'!W556)+1)/7)*LEN(SUBSTITUTE(W556,"O",""))+LEN(SUBSTITUTE(MID(W556&amp;W556,WEEKDAY(('_Dates'!W556),2),MOD((('_Dates'!X556)-('_Dates'!W556)+1),7)),"O",""))-COUNTIFS(INDEX(AllClosureRows,C556,0),"&gt;="&amp;('_Dates'!W556),INDEX(AllClosureRows,C556,0),"&lt;="&amp;('_Dates'!X556)))+IF(('_Dates'!Z556)&lt;('_Dates'!Y556),0,INT((('_Dates'!Z556)-('_Dates'!Y556)+1)/7)*LEN(SUBSTITUTE(W556,"O",""))+LEN(SUBSTITUTE(MID(W556&amp;W556,WEEKDAY(('_Dates'!Y556),2),MOD((('_Dates'!Z556)-('_Dates'!Y556)+1),7)),"O",""))-COUNTIFS(INDEX(AllClosureRows,C556,0),"&gt;="&amp;('_Dates'!Y556),INDEX(AllClosureRows,C556,0),"&lt;="&amp;('_Dates'!Z556)))))</ns0:f>
        <ns0:v>0</ns0:v>
      </ns0:c>
      <ns0:c r="H556" s="0">
        <ns0:f>IF(OR(F556&lt;&gt;"OK",$B$6&gt;0),0,0.5*(IF((MIN('_Dates'!X556,Settings!$B$9))&lt;('_Dates'!W556),0,INT(((MIN('_Dates'!X556,Settings!$B$9))-('_Dates'!W556)+1)/7)*LEN(SUBSTITUTE(W556,"O",""))+LEN(SUBSTITUTE(MID(W556&amp;W556,WEEKDAY(('_Dates'!W556),2),MOD(((MIN('_Dates'!X556,Settings!$B$9))-('_Dates'!W556)+1),7)),"O",""))-COUNTIFS(INDEX(AllClosureRows,C556,0),"&gt;="&amp;('_Dates'!W556),INDEX(AllClosureRows,C556,0),"&lt;="&amp;(MIN('_Dates'!X556,Settings!$B$9))))+IF((MIN('_Dates'!Z556,Settings!$B$9))&lt;('_Dates'!Y556),0,INT(((MIN('_Dates'!Z556,Settings!$B$9))-('_Dates'!Y556)+1)/7)*LEN(SUBSTITUTE(W556,"O",""))+LEN(SUBSTITUTE(MID(W556&amp;W556,WEEKDAY(('_Dates'!Y556),2),MOD(((MIN('_Dates'!Z556,Settings!$B$9))-('_Dates'!Y556)+1),7)),"O",""))-COUNTIFS(INDEX(AllClosureRows,C556,0),"&gt;="&amp;('_Dates'!Y556),INDEX(AllClosureRows,C556,0),"&lt;="&amp;(MIN('_Dates'!Z556,Settings!$B$9))))))</ns0:f>
        <ns0:v>0</ns0:v>
      </ns0:c>
      <ns0:c r="I556" s="0">
        <ns0:f>MAX(0,G556-H556)</ns0:f>
        <ns0:v>0</ns0:v>
      </ns0:c>
      <ns0:c r="J556" s="0">
        <ns0:f>IF(OR(A556=0,F556&lt;&gt;"OK",Bookings!G556="Cancelled",$B$6&gt;0),0,IF('_Dates'!AC556=1,MAX(0,COUNTIFS(rngEngine_B,B556,rngAMStart,"&lt;="&amp;'_Dates'!X556,rngAMEnd,"&gt;="&amp;'_Dates'!W556,rngAMActive,1,rngEngine_F,"OK",rngBookings_F,"&lt;&gt;Cancelled")-1),0)+IF('_Dates'!AD556=1,MAX(0,COUNTIFS(rngEngine_B,B556,rngPMStart,"&lt;="&amp;'_Dates'!Z556,rngPMEnd,"&gt;="&amp;'_Dates'!Y556,rngPMActive,1,rngEngine_F,"OK",rngBookings_F,"&lt;&gt;Cancelled")-1),0))</ns0:f>
        <ns0:v>0</ns0:v>
      </ns0:c>
      <ns0:c r="K556" s="0" t="str">
        <ns0:f>IF(A556=0,"",IF(F556&lt;&gt;"OK",F556,IF(J556&gt;0,"CHECK overlapping entry",IF(AND($B$6=0,G556&lt;=0,Bookings!G556&lt;&gt;"Cancelled"),"CHECK no working days",IF(Bookings!G556="Cancelled","Cancelled","OK")))))</ns0:f>
        <ns0:v/>
      </ns0:c>
      <ns0:c r="L556" s="0">
        <ns0:f>IF(LEFT(K556,5)="CHECK",1,0)</ns0:f>
        <ns0:v>0</ns0:v>
      </ns0:c>
      <ns0:c r="M556" s="0">
        <ns0:f>IF(AND(L556=1,OR(C556=0,IFERROR(INDEX($X$11:$X$60,C556),0)=0)),1,0)</ns0:f>
        <ns0:v>0</ns0:v>
      </ns0:c>
      <ns0:c r="N556" s="0">
        <ns0:f>IF(OR(A556=0,L556&gt;0,$B$6&gt;0,Bookings!G556="Cancelled"),0,G556)</ns0:f>
        <ns0:v>0</ns0:v>
      </ns0:c>
      <ns0:c r="O556" s="0">
        <ns0:f>IF(AND(Bookings!G556="Approved",E556="Yes"),N556,0)</ns0:f>
        <ns0:v>0</ns0:v>
      </ns0:c>
      <ns0:c r="P556" s="0">
        <ns0:f>IF(AND(Bookings!G556="Approved",E556="Yes",L556=0,$B$6=0),H556,0)</ns0:f>
        <ns0:v>0</ns0:v>
      </ns0:c>
      <ns0:c r="Q556" s="0">
        <ns0:f>IF(AND(Bookings!G556="Approved",E556="Yes",L556=0,$B$6=0),I556,0)</ns0:f>
        <ns0:v>0</ns0:v>
      </ns0:c>
      <ns0:c r="R556" s="0">
        <ns0:f>IF(AND(Bookings!G556="Pending",E556="Yes"),N556,0)</ns0:f>
        <ns0:v>0</ns0:v>
      </ns0:c>
      <ns0:c r="S556" s="0">
        <ns0:f>IF(AND(Bookings!G556="Approved",E556="No"),N556,0)</ns0:f>
        <ns0:v>0</ns0:v>
      </ns0:c>
      <ns0:c r="T556" s="0">
        <ns0:f>IFERROR(MATCH(D556,Settings!$G$7:$G$11,0),0)</ns0:f>
        <ns0:v>0</ns0:v>
      </ns0:c>
      <ns0:c r="U556" s="0">
        <ns0:f>IF(N556&gt;0,T556+IF(Bookings!G556="Pending",10,0),0)</ns0:f>
        <ns0:v>0</ns0:v>
      </ns0:c>
      <ns0:c r="V556" s="0">
        <ns0:f>U556</ns0:f>
        <ns0:v>0</ns0:v>
      </ns0:c>
      <ns0:c r="W556" s="0" t="str">
        <ns0:f>IF(C556=0,"",INDEX($AP$11:$AP$60,C556))</ns0:f>
        <ns0:v/>
      </ns0:c>
    </ns0:row>
    <ns0:row r="557">
      <ns0:c r="A557" s="0">
        <ns0:f>IF(COUNTA(Bookings!A557:G557,Bookings!I557)=0,0,1)</ns0:f>
        <ns0:v>0</ns0:v>
      </ns0:c>
      <ns0:c r="B557" s="0" t="str">
        <ns0:f>IFERROR(TRIM(MID(Bookings!A557,FIND(" · ",Bookings!A557)+3,99)),"")</ns0:f>
        <ns0:v/>
      </ns0:c>
      <ns0:c r="C557" s="0">
        <ns0:f>IF(OR(B557="",LEN(B557)&gt;24,ISNUMBER(FIND(" ",B557)),ISNUMBER(FIND("*",B557)),ISNUMBER(FIND("?",B557)),ISNUMBER(FIND("~",B557))),0,IFERROR(MATCH(B557,Team!$A$11:$A$60,0),0))</ns0:f>
        <ns0:v>0</ns0:v>
      </ns0:c>
      <ns0:c r="D557" s="0" t="str">
        <ns0:f>IFERROR(IF(MID(Bookings!F557,LEN(Bookings!F557)-3,3)=" · ",RIGHT(Bookings!F557,1),""),"")</ns0:f>
        <ns0:v/>
      </ns0:c>
      <ns0:c r="E557" s="0" t="str">
        <ns0:f>IFERROR(INDEX(Settings!$H$7:$H$11,MATCH(D557,Settings!$G$7:$G$11,0)),"")</ns0:f>
        <ns0:v/>
      </ns0:c>
      <ns0:c r="F557" s="0" t="str">
        <ns0:f>IF(A557=0,"",IFERROR(IF(OR(B557="",C557=0),"CHECK employee selection",IF(INDEX(Team!$O$11:$O$60,C557)&lt;&gt;"OK","CHECK employee setup",IF(OR('_Dates'!J557=0,'_Dates'!T557=0),"CHECK date: use DD.MM.YYYY",IF('_Dates'!T557&lt;'_Dates'!J557,"CHECK end before start",IF(AND($B$6=0,OR('_Dates'!J557&lt;Settings!$B$7,'_Dates'!T557&gt;Settings!$B$8)),"CHECK split across leave years",IF(OR(NOT(OR('_Dates'!U557="Full day",'_Dates'!U557="AM",'_Dates'!U557="PM")),NOT(OR('_Dates'!V557="Full day",'_Dates'!V557="AM",'_Dates'!V557="PM"))),"CHECK Full day / AM / PM",IF(AND('_Dates'!J557='_Dates'!T557,'_Dates'!U557&lt;&gt;"Full day",'_Dates'!V557&lt;&gt;"Full day",'_Dates'!U557&lt;&gt;'_Dates'!V557),"CHECK same-day portions disagree",IF(AND($B$6=0,OR(AND('_Dates'!U557&lt;&gt;"Full day",'_Dates'!AA557=0),AND('_Dates'!V557&lt;&gt;"Full day",'_Dates'!AB557=0))),"CHECK half-day on non-working date",IF(COUNTIF(Settings!$G$7:$G$11,D557)&lt;&gt;1,"CHECK leave type",IF(AND(Bookings!G557&lt;&gt;"Approved",Bookings!G557&lt;&gt;"Pending",Bookings!G557&lt;&gt;"Cancelled"),"CHECK status","OK")))))))))),"CHECK input"))</ns0:f>
        <ns0:v/>
      </ns0:c>
      <ns0:c r="G557" s="0">
        <ns0:f>IF(OR(F557&lt;&gt;"OK",$B$6&gt;0),0,0.5*(IF(('_Dates'!X557)&lt;('_Dates'!W557),0,INT((('_Dates'!X557)-('_Dates'!W557)+1)/7)*LEN(SUBSTITUTE(W557,"O",""))+LEN(SUBSTITUTE(MID(W557&amp;W557,WEEKDAY(('_Dates'!W557),2),MOD((('_Dates'!X557)-('_Dates'!W557)+1),7)),"O",""))-COUNTIFS(INDEX(AllClosureRows,C557,0),"&gt;="&amp;('_Dates'!W557),INDEX(AllClosureRows,C557,0),"&lt;="&amp;('_Dates'!X557)))+IF(('_Dates'!Z557)&lt;('_Dates'!Y557),0,INT((('_Dates'!Z557)-('_Dates'!Y557)+1)/7)*LEN(SUBSTITUTE(W557,"O",""))+LEN(SUBSTITUTE(MID(W557&amp;W557,WEEKDAY(('_Dates'!Y557),2),MOD((('_Dates'!Z557)-('_Dates'!Y557)+1),7)),"O",""))-COUNTIFS(INDEX(AllClosureRows,C557,0),"&gt;="&amp;('_Dates'!Y557),INDEX(AllClosureRows,C557,0),"&lt;="&amp;('_Dates'!Z557)))))</ns0:f>
        <ns0:v>0</ns0:v>
      </ns0:c>
      <ns0:c r="H557" s="0">
        <ns0:f>IF(OR(F557&lt;&gt;"OK",$B$6&gt;0),0,0.5*(IF((MIN('_Dates'!X557,Settings!$B$9))&lt;('_Dates'!W557),0,INT(((MIN('_Dates'!X557,Settings!$B$9))-('_Dates'!W557)+1)/7)*LEN(SUBSTITUTE(W557,"O",""))+LEN(SUBSTITUTE(MID(W557&amp;W557,WEEKDAY(('_Dates'!W557),2),MOD(((MIN('_Dates'!X557,Settings!$B$9))-('_Dates'!W557)+1),7)),"O",""))-COUNTIFS(INDEX(AllClosureRows,C557,0),"&gt;="&amp;('_Dates'!W557),INDEX(AllClosureRows,C557,0),"&lt;="&amp;(MIN('_Dates'!X557,Settings!$B$9))))+IF((MIN('_Dates'!Z557,Settings!$B$9))&lt;('_Dates'!Y557),0,INT(((MIN('_Dates'!Z557,Settings!$B$9))-('_Dates'!Y557)+1)/7)*LEN(SUBSTITUTE(W557,"O",""))+LEN(SUBSTITUTE(MID(W557&amp;W557,WEEKDAY(('_Dates'!Y557),2),MOD(((MIN('_Dates'!Z557,Settings!$B$9))-('_Dates'!Y557)+1),7)),"O",""))-COUNTIFS(INDEX(AllClosureRows,C557,0),"&gt;="&amp;('_Dates'!Y557),INDEX(AllClosureRows,C557,0),"&lt;="&amp;(MIN('_Dates'!Z557,Settings!$B$9))))))</ns0:f>
        <ns0:v>0</ns0:v>
      </ns0:c>
      <ns0:c r="I557" s="0">
        <ns0:f>MAX(0,G557-H557)</ns0:f>
        <ns0:v>0</ns0:v>
      </ns0:c>
      <ns0:c r="J557" s="0">
        <ns0:f>IF(OR(A557=0,F557&lt;&gt;"OK",Bookings!G557="Cancelled",$B$6&gt;0),0,IF('_Dates'!AC557=1,MAX(0,COUNTIFS(rngEngine_B,B557,rngAMStart,"&lt;="&amp;'_Dates'!X557,rngAMEnd,"&gt;="&amp;'_Dates'!W557,rngAMActive,1,rngEngine_F,"OK",rngBookings_F,"&lt;&gt;Cancelled")-1),0)+IF('_Dates'!AD557=1,MAX(0,COUNTIFS(rngEngine_B,B557,rngPMStart,"&lt;="&amp;'_Dates'!Z557,rngPMEnd,"&gt;="&amp;'_Dates'!Y557,rngPMActive,1,rngEngine_F,"OK",rngBookings_F,"&lt;&gt;Cancelled")-1),0))</ns0:f>
        <ns0:v>0</ns0:v>
      </ns0:c>
      <ns0:c r="K557" s="0" t="str">
        <ns0:f>IF(A557=0,"",IF(F557&lt;&gt;"OK",F557,IF(J557&gt;0,"CHECK overlapping entry",IF(AND($B$6=0,G557&lt;=0,Bookings!G557&lt;&gt;"Cancelled"),"CHECK no working days",IF(Bookings!G557="Cancelled","Cancelled","OK")))))</ns0:f>
        <ns0:v/>
      </ns0:c>
      <ns0:c r="L557" s="0">
        <ns0:f>IF(LEFT(K557,5)="CHECK",1,0)</ns0:f>
        <ns0:v>0</ns0:v>
      </ns0:c>
      <ns0:c r="M557" s="0">
        <ns0:f>IF(AND(L557=1,OR(C557=0,IFERROR(INDEX($X$11:$X$60,C557),0)=0)),1,0)</ns0:f>
        <ns0:v>0</ns0:v>
      </ns0:c>
      <ns0:c r="N557" s="0">
        <ns0:f>IF(OR(A557=0,L557&gt;0,$B$6&gt;0,Bookings!G557="Cancelled"),0,G557)</ns0:f>
        <ns0:v>0</ns0:v>
      </ns0:c>
      <ns0:c r="O557" s="0">
        <ns0:f>IF(AND(Bookings!G557="Approved",E557="Yes"),N557,0)</ns0:f>
        <ns0:v>0</ns0:v>
      </ns0:c>
      <ns0:c r="P557" s="0">
        <ns0:f>IF(AND(Bookings!G557="Approved",E557="Yes",L557=0,$B$6=0),H557,0)</ns0:f>
        <ns0:v>0</ns0:v>
      </ns0:c>
      <ns0:c r="Q557" s="0">
        <ns0:f>IF(AND(Bookings!G557="Approved",E557="Yes",L557=0,$B$6=0),I557,0)</ns0:f>
        <ns0:v>0</ns0:v>
      </ns0:c>
      <ns0:c r="R557" s="0">
        <ns0:f>IF(AND(Bookings!G557="Pending",E557="Yes"),N557,0)</ns0:f>
        <ns0:v>0</ns0:v>
      </ns0:c>
      <ns0:c r="S557" s="0">
        <ns0:f>IF(AND(Bookings!G557="Approved",E557="No"),N557,0)</ns0:f>
        <ns0:v>0</ns0:v>
      </ns0:c>
      <ns0:c r="T557" s="0">
        <ns0:f>IFERROR(MATCH(D557,Settings!$G$7:$G$11,0),0)</ns0:f>
        <ns0:v>0</ns0:v>
      </ns0:c>
      <ns0:c r="U557" s="0">
        <ns0:f>IF(N557&gt;0,T557+IF(Bookings!G557="Pending",10,0),0)</ns0:f>
        <ns0:v>0</ns0:v>
      </ns0:c>
      <ns0:c r="V557" s="0">
        <ns0:f>U557</ns0:f>
        <ns0:v>0</ns0:v>
      </ns0:c>
      <ns0:c r="W557" s="0" t="str">
        <ns0:f>IF(C557=0,"",INDEX($AP$11:$AP$60,C557))</ns0:f>
        <ns0:v/>
      </ns0:c>
    </ns0:row>
    <ns0:row r="558">
      <ns0:c r="A558" s="0">
        <ns0:f>IF(COUNTA(Bookings!A558:G558,Bookings!I558)=0,0,1)</ns0:f>
        <ns0:v>0</ns0:v>
      </ns0:c>
      <ns0:c r="B558" s="0" t="str">
        <ns0:f>IFERROR(TRIM(MID(Bookings!A558,FIND(" · ",Bookings!A558)+3,99)),"")</ns0:f>
        <ns0:v/>
      </ns0:c>
      <ns0:c r="C558" s="0">
        <ns0:f>IF(OR(B558="",LEN(B558)&gt;24,ISNUMBER(FIND(" ",B558)),ISNUMBER(FIND("*",B558)),ISNUMBER(FIND("?",B558)),ISNUMBER(FIND("~",B558))),0,IFERROR(MATCH(B558,Team!$A$11:$A$60,0),0))</ns0:f>
        <ns0:v>0</ns0:v>
      </ns0:c>
      <ns0:c r="D558" s="0" t="str">
        <ns0:f>IFERROR(IF(MID(Bookings!F558,LEN(Bookings!F558)-3,3)=" · ",RIGHT(Bookings!F558,1),""),"")</ns0:f>
        <ns0:v/>
      </ns0:c>
      <ns0:c r="E558" s="0" t="str">
        <ns0:f>IFERROR(INDEX(Settings!$H$7:$H$11,MATCH(D558,Settings!$G$7:$G$11,0)),"")</ns0:f>
        <ns0:v/>
      </ns0:c>
      <ns0:c r="F558" s="0" t="str">
        <ns0:f>IF(A558=0,"",IFERROR(IF(OR(B558="",C558=0),"CHECK employee selection",IF(INDEX(Team!$O$11:$O$60,C558)&lt;&gt;"OK","CHECK employee setup",IF(OR('_Dates'!J558=0,'_Dates'!T558=0),"CHECK date: use DD.MM.YYYY",IF('_Dates'!T558&lt;'_Dates'!J558,"CHECK end before start",IF(AND($B$6=0,OR('_Dates'!J558&lt;Settings!$B$7,'_Dates'!T558&gt;Settings!$B$8)),"CHECK split across leave years",IF(OR(NOT(OR('_Dates'!U558="Full day",'_Dates'!U558="AM",'_Dates'!U558="PM")),NOT(OR('_Dates'!V558="Full day",'_Dates'!V558="AM",'_Dates'!V558="PM"))),"CHECK Full day / AM / PM",IF(AND('_Dates'!J558='_Dates'!T558,'_Dates'!U558&lt;&gt;"Full day",'_Dates'!V558&lt;&gt;"Full day",'_Dates'!U558&lt;&gt;'_Dates'!V558),"CHECK same-day portions disagree",IF(AND($B$6=0,OR(AND('_Dates'!U558&lt;&gt;"Full day",'_Dates'!AA558=0),AND('_Dates'!V558&lt;&gt;"Full day",'_Dates'!AB558=0))),"CHECK half-day on non-working date",IF(COUNTIF(Settings!$G$7:$G$11,D558)&lt;&gt;1,"CHECK leave type",IF(AND(Bookings!G558&lt;&gt;"Approved",Bookings!G558&lt;&gt;"Pending",Bookings!G558&lt;&gt;"Cancelled"),"CHECK status","OK")))))))))),"CHECK input"))</ns0:f>
        <ns0:v/>
      </ns0:c>
      <ns0:c r="G558" s="0">
        <ns0:f>IF(OR(F558&lt;&gt;"OK",$B$6&gt;0),0,0.5*(IF(('_Dates'!X558)&lt;('_Dates'!W558),0,INT((('_Dates'!X558)-('_Dates'!W558)+1)/7)*LEN(SUBSTITUTE(W558,"O",""))+LEN(SUBSTITUTE(MID(W558&amp;W558,WEEKDAY(('_Dates'!W558),2),MOD((('_Dates'!X558)-('_Dates'!W558)+1),7)),"O",""))-COUNTIFS(INDEX(AllClosureRows,C558,0),"&gt;="&amp;('_Dates'!W558),INDEX(AllClosureRows,C558,0),"&lt;="&amp;('_Dates'!X558)))+IF(('_Dates'!Z558)&lt;('_Dates'!Y558),0,INT((('_Dates'!Z558)-('_Dates'!Y558)+1)/7)*LEN(SUBSTITUTE(W558,"O",""))+LEN(SUBSTITUTE(MID(W558&amp;W558,WEEKDAY(('_Dates'!Y558),2),MOD((('_Dates'!Z558)-('_Dates'!Y558)+1),7)),"O",""))-COUNTIFS(INDEX(AllClosureRows,C558,0),"&gt;="&amp;('_Dates'!Y558),INDEX(AllClosureRows,C558,0),"&lt;="&amp;('_Dates'!Z558)))))</ns0:f>
        <ns0:v>0</ns0:v>
      </ns0:c>
      <ns0:c r="H558" s="0">
        <ns0:f>IF(OR(F558&lt;&gt;"OK",$B$6&gt;0),0,0.5*(IF((MIN('_Dates'!X558,Settings!$B$9))&lt;('_Dates'!W558),0,INT(((MIN('_Dates'!X558,Settings!$B$9))-('_Dates'!W558)+1)/7)*LEN(SUBSTITUTE(W558,"O",""))+LEN(SUBSTITUTE(MID(W558&amp;W558,WEEKDAY(('_Dates'!W558),2),MOD(((MIN('_Dates'!X558,Settings!$B$9))-('_Dates'!W558)+1),7)),"O",""))-COUNTIFS(INDEX(AllClosureRows,C558,0),"&gt;="&amp;('_Dates'!W558),INDEX(AllClosureRows,C558,0),"&lt;="&amp;(MIN('_Dates'!X558,Settings!$B$9))))+IF((MIN('_Dates'!Z558,Settings!$B$9))&lt;('_Dates'!Y558),0,INT(((MIN('_Dates'!Z558,Settings!$B$9))-('_Dates'!Y558)+1)/7)*LEN(SUBSTITUTE(W558,"O",""))+LEN(SUBSTITUTE(MID(W558&amp;W558,WEEKDAY(('_Dates'!Y558),2),MOD(((MIN('_Dates'!Z558,Settings!$B$9))-('_Dates'!Y558)+1),7)),"O",""))-COUNTIFS(INDEX(AllClosureRows,C558,0),"&gt;="&amp;('_Dates'!Y558),INDEX(AllClosureRows,C558,0),"&lt;="&amp;(MIN('_Dates'!Z558,Settings!$B$9))))))</ns0:f>
        <ns0:v>0</ns0:v>
      </ns0:c>
      <ns0:c r="I558" s="0">
        <ns0:f>MAX(0,G558-H558)</ns0:f>
        <ns0:v>0</ns0:v>
      </ns0:c>
      <ns0:c r="J558" s="0">
        <ns0:f>IF(OR(A558=0,F558&lt;&gt;"OK",Bookings!G558="Cancelled",$B$6&gt;0),0,IF('_Dates'!AC558=1,MAX(0,COUNTIFS(rngEngine_B,B558,rngAMStart,"&lt;="&amp;'_Dates'!X558,rngAMEnd,"&gt;="&amp;'_Dates'!W558,rngAMActive,1,rngEngine_F,"OK",rngBookings_F,"&lt;&gt;Cancelled")-1),0)+IF('_Dates'!AD558=1,MAX(0,COUNTIFS(rngEngine_B,B558,rngPMStart,"&lt;="&amp;'_Dates'!Z558,rngPMEnd,"&gt;="&amp;'_Dates'!Y558,rngPMActive,1,rngEngine_F,"OK",rngBookings_F,"&lt;&gt;Cancelled")-1),0))</ns0:f>
        <ns0:v>0</ns0:v>
      </ns0:c>
      <ns0:c r="K558" s="0" t="str">
        <ns0:f>IF(A558=0,"",IF(F558&lt;&gt;"OK",F558,IF(J558&gt;0,"CHECK overlapping entry",IF(AND($B$6=0,G558&lt;=0,Bookings!G558&lt;&gt;"Cancelled"),"CHECK no working days",IF(Bookings!G558="Cancelled","Cancelled","OK")))))</ns0:f>
        <ns0:v/>
      </ns0:c>
      <ns0:c r="L558" s="0">
        <ns0:f>IF(LEFT(K558,5)="CHECK",1,0)</ns0:f>
        <ns0:v>0</ns0:v>
      </ns0:c>
      <ns0:c r="M558" s="0">
        <ns0:f>IF(AND(L558=1,OR(C558=0,IFERROR(INDEX($X$11:$X$60,C558),0)=0)),1,0)</ns0:f>
        <ns0:v>0</ns0:v>
      </ns0:c>
      <ns0:c r="N558" s="0">
        <ns0:f>IF(OR(A558=0,L558&gt;0,$B$6&gt;0,Bookings!G558="Cancelled"),0,G558)</ns0:f>
        <ns0:v>0</ns0:v>
      </ns0:c>
      <ns0:c r="O558" s="0">
        <ns0:f>IF(AND(Bookings!G558="Approved",E558="Yes"),N558,0)</ns0:f>
        <ns0:v>0</ns0:v>
      </ns0:c>
      <ns0:c r="P558" s="0">
        <ns0:f>IF(AND(Bookings!G558="Approved",E558="Yes",L558=0,$B$6=0),H558,0)</ns0:f>
        <ns0:v>0</ns0:v>
      </ns0:c>
      <ns0:c r="Q558" s="0">
        <ns0:f>IF(AND(Bookings!G558="Approved",E558="Yes",L558=0,$B$6=0),I558,0)</ns0:f>
        <ns0:v>0</ns0:v>
      </ns0:c>
      <ns0:c r="R558" s="0">
        <ns0:f>IF(AND(Bookings!G558="Pending",E558="Yes"),N558,0)</ns0:f>
        <ns0:v>0</ns0:v>
      </ns0:c>
      <ns0:c r="S558" s="0">
        <ns0:f>IF(AND(Bookings!G558="Approved",E558="No"),N558,0)</ns0:f>
        <ns0:v>0</ns0:v>
      </ns0:c>
      <ns0:c r="T558" s="0">
        <ns0:f>IFERROR(MATCH(D558,Settings!$G$7:$G$11,0),0)</ns0:f>
        <ns0:v>0</ns0:v>
      </ns0:c>
      <ns0:c r="U558" s="0">
        <ns0:f>IF(N558&gt;0,T558+IF(Bookings!G558="Pending",10,0),0)</ns0:f>
        <ns0:v>0</ns0:v>
      </ns0:c>
      <ns0:c r="V558" s="0">
        <ns0:f>U558</ns0:f>
        <ns0:v>0</ns0:v>
      </ns0:c>
      <ns0:c r="W558" s="0" t="str">
        <ns0:f>IF(C558=0,"",INDEX($AP$11:$AP$60,C558))</ns0:f>
        <ns0:v/>
      </ns0:c>
    </ns0:row>
    <ns0:row r="559">
      <ns0:c r="A559" s="0">
        <ns0:f>IF(COUNTA(Bookings!A559:G559,Bookings!I559)=0,0,1)</ns0:f>
        <ns0:v>0</ns0:v>
      </ns0:c>
      <ns0:c r="B559" s="0" t="str">
        <ns0:f>IFERROR(TRIM(MID(Bookings!A559,FIND(" · ",Bookings!A559)+3,99)),"")</ns0:f>
        <ns0:v/>
      </ns0:c>
      <ns0:c r="C559" s="0">
        <ns0:f>IF(OR(B559="",LEN(B559)&gt;24,ISNUMBER(FIND(" ",B559)),ISNUMBER(FIND("*",B559)),ISNUMBER(FIND("?",B559)),ISNUMBER(FIND("~",B559))),0,IFERROR(MATCH(B559,Team!$A$11:$A$60,0),0))</ns0:f>
        <ns0:v>0</ns0:v>
      </ns0:c>
      <ns0:c r="D559" s="0" t="str">
        <ns0:f>IFERROR(IF(MID(Bookings!F559,LEN(Bookings!F559)-3,3)=" · ",RIGHT(Bookings!F559,1),""),"")</ns0:f>
        <ns0:v/>
      </ns0:c>
      <ns0:c r="E559" s="0" t="str">
        <ns0:f>IFERROR(INDEX(Settings!$H$7:$H$11,MATCH(D559,Settings!$G$7:$G$11,0)),"")</ns0:f>
        <ns0:v/>
      </ns0:c>
      <ns0:c r="F559" s="0" t="str">
        <ns0:f>IF(A559=0,"",IFERROR(IF(OR(B559="",C559=0),"CHECK employee selection",IF(INDEX(Team!$O$11:$O$60,C559)&lt;&gt;"OK","CHECK employee setup",IF(OR('_Dates'!J559=0,'_Dates'!T559=0),"CHECK date: use DD.MM.YYYY",IF('_Dates'!T559&lt;'_Dates'!J559,"CHECK end before start",IF(AND($B$6=0,OR('_Dates'!J559&lt;Settings!$B$7,'_Dates'!T559&gt;Settings!$B$8)),"CHECK split across leave years",IF(OR(NOT(OR('_Dates'!U559="Full day",'_Dates'!U559="AM",'_Dates'!U559="PM")),NOT(OR('_Dates'!V559="Full day",'_Dates'!V559="AM",'_Dates'!V559="PM"))),"CHECK Full day / AM / PM",IF(AND('_Dates'!J559='_Dates'!T559,'_Dates'!U559&lt;&gt;"Full day",'_Dates'!V559&lt;&gt;"Full day",'_Dates'!U559&lt;&gt;'_Dates'!V559),"CHECK same-day portions disagree",IF(AND($B$6=0,OR(AND('_Dates'!U559&lt;&gt;"Full day",'_Dates'!AA559=0),AND('_Dates'!V559&lt;&gt;"Full day",'_Dates'!AB559=0))),"CHECK half-day on non-working date",IF(COUNTIF(Settings!$G$7:$G$11,D559)&lt;&gt;1,"CHECK leave type",IF(AND(Bookings!G559&lt;&gt;"Approved",Bookings!G559&lt;&gt;"Pending",Bookings!G559&lt;&gt;"Cancelled"),"CHECK status","OK")))))))))),"CHECK input"))</ns0:f>
        <ns0:v/>
      </ns0:c>
      <ns0:c r="G559" s="0">
        <ns0:f>IF(OR(F559&lt;&gt;"OK",$B$6&gt;0),0,0.5*(IF(('_Dates'!X559)&lt;('_Dates'!W559),0,INT((('_Dates'!X559)-('_Dates'!W559)+1)/7)*LEN(SUBSTITUTE(W559,"O",""))+LEN(SUBSTITUTE(MID(W559&amp;W559,WEEKDAY(('_Dates'!W559),2),MOD((('_Dates'!X559)-('_Dates'!W559)+1),7)),"O",""))-COUNTIFS(INDEX(AllClosureRows,C559,0),"&gt;="&amp;('_Dates'!W559),INDEX(AllClosureRows,C559,0),"&lt;="&amp;('_Dates'!X559)))+IF(('_Dates'!Z559)&lt;('_Dates'!Y559),0,INT((('_Dates'!Z559)-('_Dates'!Y559)+1)/7)*LEN(SUBSTITUTE(W559,"O",""))+LEN(SUBSTITUTE(MID(W559&amp;W559,WEEKDAY(('_Dates'!Y559),2),MOD((('_Dates'!Z559)-('_Dates'!Y559)+1),7)),"O",""))-COUNTIFS(INDEX(AllClosureRows,C559,0),"&gt;="&amp;('_Dates'!Y559),INDEX(AllClosureRows,C559,0),"&lt;="&amp;('_Dates'!Z559)))))</ns0:f>
        <ns0:v>0</ns0:v>
      </ns0:c>
      <ns0:c r="H559" s="0">
        <ns0:f>IF(OR(F559&lt;&gt;"OK",$B$6&gt;0),0,0.5*(IF((MIN('_Dates'!X559,Settings!$B$9))&lt;('_Dates'!W559),0,INT(((MIN('_Dates'!X559,Settings!$B$9))-('_Dates'!W559)+1)/7)*LEN(SUBSTITUTE(W559,"O",""))+LEN(SUBSTITUTE(MID(W559&amp;W559,WEEKDAY(('_Dates'!W559),2),MOD(((MIN('_Dates'!X559,Settings!$B$9))-('_Dates'!W559)+1),7)),"O",""))-COUNTIFS(INDEX(AllClosureRows,C559,0),"&gt;="&amp;('_Dates'!W559),INDEX(AllClosureRows,C559,0),"&lt;="&amp;(MIN('_Dates'!X559,Settings!$B$9))))+IF((MIN('_Dates'!Z559,Settings!$B$9))&lt;('_Dates'!Y559),0,INT(((MIN('_Dates'!Z559,Settings!$B$9))-('_Dates'!Y559)+1)/7)*LEN(SUBSTITUTE(W559,"O",""))+LEN(SUBSTITUTE(MID(W559&amp;W559,WEEKDAY(('_Dates'!Y559),2),MOD(((MIN('_Dates'!Z559,Settings!$B$9))-('_Dates'!Y559)+1),7)),"O",""))-COUNTIFS(INDEX(AllClosureRows,C559,0),"&gt;="&amp;('_Dates'!Y559),INDEX(AllClosureRows,C559,0),"&lt;="&amp;(MIN('_Dates'!Z559,Settings!$B$9))))))</ns0:f>
        <ns0:v>0</ns0:v>
      </ns0:c>
      <ns0:c r="I559" s="0">
        <ns0:f>MAX(0,G559-H559)</ns0:f>
        <ns0:v>0</ns0:v>
      </ns0:c>
      <ns0:c r="J559" s="0">
        <ns0:f>IF(OR(A559=0,F559&lt;&gt;"OK",Bookings!G559="Cancelled",$B$6&gt;0),0,IF('_Dates'!AC559=1,MAX(0,COUNTIFS(rngEngine_B,B559,rngAMStart,"&lt;="&amp;'_Dates'!X559,rngAMEnd,"&gt;="&amp;'_Dates'!W559,rngAMActive,1,rngEngine_F,"OK",rngBookings_F,"&lt;&gt;Cancelled")-1),0)+IF('_Dates'!AD559=1,MAX(0,COUNTIFS(rngEngine_B,B559,rngPMStart,"&lt;="&amp;'_Dates'!Z559,rngPMEnd,"&gt;="&amp;'_Dates'!Y559,rngPMActive,1,rngEngine_F,"OK",rngBookings_F,"&lt;&gt;Cancelled")-1),0))</ns0:f>
        <ns0:v>0</ns0:v>
      </ns0:c>
      <ns0:c r="K559" s="0" t="str">
        <ns0:f>IF(A559=0,"",IF(F559&lt;&gt;"OK",F559,IF(J559&gt;0,"CHECK overlapping entry",IF(AND($B$6=0,G559&lt;=0,Bookings!G559&lt;&gt;"Cancelled"),"CHECK no working days",IF(Bookings!G559="Cancelled","Cancelled","OK")))))</ns0:f>
        <ns0:v/>
      </ns0:c>
      <ns0:c r="L559" s="0">
        <ns0:f>IF(LEFT(K559,5)="CHECK",1,0)</ns0:f>
        <ns0:v>0</ns0:v>
      </ns0:c>
      <ns0:c r="M559" s="0">
        <ns0:f>IF(AND(L559=1,OR(C559=0,IFERROR(INDEX($X$11:$X$60,C559),0)=0)),1,0)</ns0:f>
        <ns0:v>0</ns0:v>
      </ns0:c>
      <ns0:c r="N559" s="0">
        <ns0:f>IF(OR(A559=0,L559&gt;0,$B$6&gt;0,Bookings!G559="Cancelled"),0,G559)</ns0:f>
        <ns0:v>0</ns0:v>
      </ns0:c>
      <ns0:c r="O559" s="0">
        <ns0:f>IF(AND(Bookings!G559="Approved",E559="Yes"),N559,0)</ns0:f>
        <ns0:v>0</ns0:v>
      </ns0:c>
      <ns0:c r="P559" s="0">
        <ns0:f>IF(AND(Bookings!G559="Approved",E559="Yes",L559=0,$B$6=0),H559,0)</ns0:f>
        <ns0:v>0</ns0:v>
      </ns0:c>
      <ns0:c r="Q559" s="0">
        <ns0:f>IF(AND(Bookings!G559="Approved",E559="Yes",L559=0,$B$6=0),I559,0)</ns0:f>
        <ns0:v>0</ns0:v>
      </ns0:c>
      <ns0:c r="R559" s="0">
        <ns0:f>IF(AND(Bookings!G559="Pending",E559="Yes"),N559,0)</ns0:f>
        <ns0:v>0</ns0:v>
      </ns0:c>
      <ns0:c r="S559" s="0">
        <ns0:f>IF(AND(Bookings!G559="Approved",E559="No"),N559,0)</ns0:f>
        <ns0:v>0</ns0:v>
      </ns0:c>
      <ns0:c r="T559" s="0">
        <ns0:f>IFERROR(MATCH(D559,Settings!$G$7:$G$11,0),0)</ns0:f>
        <ns0:v>0</ns0:v>
      </ns0:c>
      <ns0:c r="U559" s="0">
        <ns0:f>IF(N559&gt;0,T559+IF(Bookings!G559="Pending",10,0),0)</ns0:f>
        <ns0:v>0</ns0:v>
      </ns0:c>
      <ns0:c r="V559" s="0">
        <ns0:f>U559</ns0:f>
        <ns0:v>0</ns0:v>
      </ns0:c>
      <ns0:c r="W559" s="0" t="str">
        <ns0:f>IF(C559=0,"",INDEX($AP$11:$AP$60,C559))</ns0:f>
        <ns0:v/>
      </ns0:c>
    </ns0:row>
    <ns0:row r="560">
      <ns0:c r="A560" s="0">
        <ns0:f>IF(COUNTA(Bookings!A560:G560,Bookings!I560)=0,0,1)</ns0:f>
        <ns0:v>0</ns0:v>
      </ns0:c>
      <ns0:c r="B560" s="0" t="str">
        <ns0:f>IFERROR(TRIM(MID(Bookings!A560,FIND(" · ",Bookings!A560)+3,99)),"")</ns0:f>
        <ns0:v/>
      </ns0:c>
      <ns0:c r="C560" s="0">
        <ns0:f>IF(OR(B560="",LEN(B560)&gt;24,ISNUMBER(FIND(" ",B560)),ISNUMBER(FIND("*",B560)),ISNUMBER(FIND("?",B560)),ISNUMBER(FIND("~",B560))),0,IFERROR(MATCH(B560,Team!$A$11:$A$60,0),0))</ns0:f>
        <ns0:v>0</ns0:v>
      </ns0:c>
      <ns0:c r="D560" s="0" t="str">
        <ns0:f>IFERROR(IF(MID(Bookings!F560,LEN(Bookings!F560)-3,3)=" · ",RIGHT(Bookings!F560,1),""),"")</ns0:f>
        <ns0:v/>
      </ns0:c>
      <ns0:c r="E560" s="0" t="str">
        <ns0:f>IFERROR(INDEX(Settings!$H$7:$H$11,MATCH(D560,Settings!$G$7:$G$11,0)),"")</ns0:f>
        <ns0:v/>
      </ns0:c>
      <ns0:c r="F560" s="0" t="str">
        <ns0:f>IF(A560=0,"",IFERROR(IF(OR(B560="",C560=0),"CHECK employee selection",IF(INDEX(Team!$O$11:$O$60,C560)&lt;&gt;"OK","CHECK employee setup",IF(OR('_Dates'!J560=0,'_Dates'!T560=0),"CHECK date: use DD.MM.YYYY",IF('_Dates'!T560&lt;'_Dates'!J560,"CHECK end before start",IF(AND($B$6=0,OR('_Dates'!J560&lt;Settings!$B$7,'_Dates'!T560&gt;Settings!$B$8)),"CHECK split across leave years",IF(OR(NOT(OR('_Dates'!U560="Full day",'_Dates'!U560="AM",'_Dates'!U560="PM")),NOT(OR('_Dates'!V560="Full day",'_Dates'!V560="AM",'_Dates'!V560="PM"))),"CHECK Full day / AM / PM",IF(AND('_Dates'!J560='_Dates'!T560,'_Dates'!U560&lt;&gt;"Full day",'_Dates'!V560&lt;&gt;"Full day",'_Dates'!U560&lt;&gt;'_Dates'!V560),"CHECK same-day portions disagree",IF(AND($B$6=0,OR(AND('_Dates'!U560&lt;&gt;"Full day",'_Dates'!AA560=0),AND('_Dates'!V560&lt;&gt;"Full day",'_Dates'!AB560=0))),"CHECK half-day on non-working date",IF(COUNTIF(Settings!$G$7:$G$11,D560)&lt;&gt;1,"CHECK leave type",IF(AND(Bookings!G560&lt;&gt;"Approved",Bookings!G560&lt;&gt;"Pending",Bookings!G560&lt;&gt;"Cancelled"),"CHECK status","OK")))))))))),"CHECK input"))</ns0:f>
        <ns0:v/>
      </ns0:c>
      <ns0:c r="G560" s="0">
        <ns0:f>IF(OR(F560&lt;&gt;"OK",$B$6&gt;0),0,0.5*(IF(('_Dates'!X560)&lt;('_Dates'!W560),0,INT((('_Dates'!X560)-('_Dates'!W560)+1)/7)*LEN(SUBSTITUTE(W560,"O",""))+LEN(SUBSTITUTE(MID(W560&amp;W560,WEEKDAY(('_Dates'!W560),2),MOD((('_Dates'!X560)-('_Dates'!W560)+1),7)),"O",""))-COUNTIFS(INDEX(AllClosureRows,C560,0),"&gt;="&amp;('_Dates'!W560),INDEX(AllClosureRows,C560,0),"&lt;="&amp;('_Dates'!X560)))+IF(('_Dates'!Z560)&lt;('_Dates'!Y560),0,INT((('_Dates'!Z560)-('_Dates'!Y560)+1)/7)*LEN(SUBSTITUTE(W560,"O",""))+LEN(SUBSTITUTE(MID(W560&amp;W560,WEEKDAY(('_Dates'!Y560),2),MOD((('_Dates'!Z560)-('_Dates'!Y560)+1),7)),"O",""))-COUNTIFS(INDEX(AllClosureRows,C560,0),"&gt;="&amp;('_Dates'!Y560),INDEX(AllClosureRows,C560,0),"&lt;="&amp;('_Dates'!Z560)))))</ns0:f>
        <ns0:v>0</ns0:v>
      </ns0:c>
      <ns0:c r="H560" s="0">
        <ns0:f>IF(OR(F560&lt;&gt;"OK",$B$6&gt;0),0,0.5*(IF((MIN('_Dates'!X560,Settings!$B$9))&lt;('_Dates'!W560),0,INT(((MIN('_Dates'!X560,Settings!$B$9))-('_Dates'!W560)+1)/7)*LEN(SUBSTITUTE(W560,"O",""))+LEN(SUBSTITUTE(MID(W560&amp;W560,WEEKDAY(('_Dates'!W560),2),MOD(((MIN('_Dates'!X560,Settings!$B$9))-('_Dates'!W560)+1),7)),"O",""))-COUNTIFS(INDEX(AllClosureRows,C560,0),"&gt;="&amp;('_Dates'!W560),INDEX(AllClosureRows,C560,0),"&lt;="&amp;(MIN('_Dates'!X560,Settings!$B$9))))+IF((MIN('_Dates'!Z560,Settings!$B$9))&lt;('_Dates'!Y560),0,INT(((MIN('_Dates'!Z560,Settings!$B$9))-('_Dates'!Y560)+1)/7)*LEN(SUBSTITUTE(W560,"O",""))+LEN(SUBSTITUTE(MID(W560&amp;W560,WEEKDAY(('_Dates'!Y560),2),MOD(((MIN('_Dates'!Z560,Settings!$B$9))-('_Dates'!Y560)+1),7)),"O",""))-COUNTIFS(INDEX(AllClosureRows,C560,0),"&gt;="&amp;('_Dates'!Y560),INDEX(AllClosureRows,C560,0),"&lt;="&amp;(MIN('_Dates'!Z560,Settings!$B$9))))))</ns0:f>
        <ns0:v>0</ns0:v>
      </ns0:c>
      <ns0:c r="I560" s="0">
        <ns0:f>MAX(0,G560-H560)</ns0:f>
        <ns0:v>0</ns0:v>
      </ns0:c>
      <ns0:c r="J560" s="0">
        <ns0:f>IF(OR(A560=0,F560&lt;&gt;"OK",Bookings!G560="Cancelled",$B$6&gt;0),0,IF('_Dates'!AC560=1,MAX(0,COUNTIFS(rngEngine_B,B560,rngAMStart,"&lt;="&amp;'_Dates'!X560,rngAMEnd,"&gt;="&amp;'_Dates'!W560,rngAMActive,1,rngEngine_F,"OK",rngBookings_F,"&lt;&gt;Cancelled")-1),0)+IF('_Dates'!AD560=1,MAX(0,COUNTIFS(rngEngine_B,B560,rngPMStart,"&lt;="&amp;'_Dates'!Z560,rngPMEnd,"&gt;="&amp;'_Dates'!Y560,rngPMActive,1,rngEngine_F,"OK",rngBookings_F,"&lt;&gt;Cancelled")-1),0))</ns0:f>
        <ns0:v>0</ns0:v>
      </ns0:c>
      <ns0:c r="K560" s="0" t="str">
        <ns0:f>IF(A560=0,"",IF(F560&lt;&gt;"OK",F560,IF(J560&gt;0,"CHECK overlapping entry",IF(AND($B$6=0,G560&lt;=0,Bookings!G560&lt;&gt;"Cancelled"),"CHECK no working days",IF(Bookings!G560="Cancelled","Cancelled","OK")))))</ns0:f>
        <ns0:v/>
      </ns0:c>
      <ns0:c r="L560" s="0">
        <ns0:f>IF(LEFT(K560,5)="CHECK",1,0)</ns0:f>
        <ns0:v>0</ns0:v>
      </ns0:c>
      <ns0:c r="M560" s="0">
        <ns0:f>IF(AND(L560=1,OR(C560=0,IFERROR(INDEX($X$11:$X$60,C560),0)=0)),1,0)</ns0:f>
        <ns0:v>0</ns0:v>
      </ns0:c>
      <ns0:c r="N560" s="0">
        <ns0:f>IF(OR(A560=0,L560&gt;0,$B$6&gt;0,Bookings!G560="Cancelled"),0,G560)</ns0:f>
        <ns0:v>0</ns0:v>
      </ns0:c>
      <ns0:c r="O560" s="0">
        <ns0:f>IF(AND(Bookings!G560="Approved",E560="Yes"),N560,0)</ns0:f>
        <ns0:v>0</ns0:v>
      </ns0:c>
      <ns0:c r="P560" s="0">
        <ns0:f>IF(AND(Bookings!G560="Approved",E560="Yes",L560=0,$B$6=0),H560,0)</ns0:f>
        <ns0:v>0</ns0:v>
      </ns0:c>
      <ns0:c r="Q560" s="0">
        <ns0:f>IF(AND(Bookings!G560="Approved",E560="Yes",L560=0,$B$6=0),I560,0)</ns0:f>
        <ns0:v>0</ns0:v>
      </ns0:c>
      <ns0:c r="R560" s="0">
        <ns0:f>IF(AND(Bookings!G560="Pending",E560="Yes"),N560,0)</ns0:f>
        <ns0:v>0</ns0:v>
      </ns0:c>
      <ns0:c r="S560" s="0">
        <ns0:f>IF(AND(Bookings!G560="Approved",E560="No"),N560,0)</ns0:f>
        <ns0:v>0</ns0:v>
      </ns0:c>
      <ns0:c r="T560" s="0">
        <ns0:f>IFERROR(MATCH(D560,Settings!$G$7:$G$11,0),0)</ns0:f>
        <ns0:v>0</ns0:v>
      </ns0:c>
      <ns0:c r="U560" s="0">
        <ns0:f>IF(N560&gt;0,T560+IF(Bookings!G560="Pending",10,0),0)</ns0:f>
        <ns0:v>0</ns0:v>
      </ns0:c>
      <ns0:c r="V560" s="0">
        <ns0:f>U560</ns0:f>
        <ns0:v>0</ns0:v>
      </ns0:c>
      <ns0:c r="W560" s="0" t="str">
        <ns0:f>IF(C560=0,"",INDEX($AP$11:$AP$60,C560))</ns0:f>
        <ns0:v/>
      </ns0:c>
    </ns0:row>
    <ns0:row r="561">
      <ns0:c r="A561" s="0">
        <ns0:f>IF(COUNTA(Bookings!A561:G561,Bookings!I561)=0,0,1)</ns0:f>
        <ns0:v>0</ns0:v>
      </ns0:c>
      <ns0:c r="B561" s="0" t="str">
        <ns0:f>IFERROR(TRIM(MID(Bookings!A561,FIND(" · ",Bookings!A561)+3,99)),"")</ns0:f>
        <ns0:v/>
      </ns0:c>
      <ns0:c r="C561" s="0">
        <ns0:f>IF(OR(B561="",LEN(B561)&gt;24,ISNUMBER(FIND(" ",B561)),ISNUMBER(FIND("*",B561)),ISNUMBER(FIND("?",B561)),ISNUMBER(FIND("~",B561))),0,IFERROR(MATCH(B561,Team!$A$11:$A$60,0),0))</ns0:f>
        <ns0:v>0</ns0:v>
      </ns0:c>
      <ns0:c r="D561" s="0" t="str">
        <ns0:f>IFERROR(IF(MID(Bookings!F561,LEN(Bookings!F561)-3,3)=" · ",RIGHT(Bookings!F561,1),""),"")</ns0:f>
        <ns0:v/>
      </ns0:c>
      <ns0:c r="E561" s="0" t="str">
        <ns0:f>IFERROR(INDEX(Settings!$H$7:$H$11,MATCH(D561,Settings!$G$7:$G$11,0)),"")</ns0:f>
        <ns0:v/>
      </ns0:c>
      <ns0:c r="F561" s="0" t="str">
        <ns0:f>IF(A561=0,"",IFERROR(IF(OR(B561="",C561=0),"CHECK employee selection",IF(INDEX(Team!$O$11:$O$60,C561)&lt;&gt;"OK","CHECK employee setup",IF(OR('_Dates'!J561=0,'_Dates'!T561=0),"CHECK date: use DD.MM.YYYY",IF('_Dates'!T561&lt;'_Dates'!J561,"CHECK end before start",IF(AND($B$6=0,OR('_Dates'!J561&lt;Settings!$B$7,'_Dates'!T561&gt;Settings!$B$8)),"CHECK split across leave years",IF(OR(NOT(OR('_Dates'!U561="Full day",'_Dates'!U561="AM",'_Dates'!U561="PM")),NOT(OR('_Dates'!V561="Full day",'_Dates'!V561="AM",'_Dates'!V561="PM"))),"CHECK Full day / AM / PM",IF(AND('_Dates'!J561='_Dates'!T561,'_Dates'!U561&lt;&gt;"Full day",'_Dates'!V561&lt;&gt;"Full day",'_Dates'!U561&lt;&gt;'_Dates'!V561),"CHECK same-day portions disagree",IF(AND($B$6=0,OR(AND('_Dates'!U561&lt;&gt;"Full day",'_Dates'!AA561=0),AND('_Dates'!V561&lt;&gt;"Full day",'_Dates'!AB561=0))),"CHECK half-day on non-working date",IF(COUNTIF(Settings!$G$7:$G$11,D561)&lt;&gt;1,"CHECK leave type",IF(AND(Bookings!G561&lt;&gt;"Approved",Bookings!G561&lt;&gt;"Pending",Bookings!G561&lt;&gt;"Cancelled"),"CHECK status","OK")))))))))),"CHECK input"))</ns0:f>
        <ns0:v/>
      </ns0:c>
      <ns0:c r="G561" s="0">
        <ns0:f>IF(OR(F561&lt;&gt;"OK",$B$6&gt;0),0,0.5*(IF(('_Dates'!X561)&lt;('_Dates'!W561),0,INT((('_Dates'!X561)-('_Dates'!W561)+1)/7)*LEN(SUBSTITUTE(W561,"O",""))+LEN(SUBSTITUTE(MID(W561&amp;W561,WEEKDAY(('_Dates'!W561),2),MOD((('_Dates'!X561)-('_Dates'!W561)+1),7)),"O",""))-COUNTIFS(INDEX(AllClosureRows,C561,0),"&gt;="&amp;('_Dates'!W561),INDEX(AllClosureRows,C561,0),"&lt;="&amp;('_Dates'!X561)))+IF(('_Dates'!Z561)&lt;('_Dates'!Y561),0,INT((('_Dates'!Z561)-('_Dates'!Y561)+1)/7)*LEN(SUBSTITUTE(W561,"O",""))+LEN(SUBSTITUTE(MID(W561&amp;W561,WEEKDAY(('_Dates'!Y561),2),MOD((('_Dates'!Z561)-('_Dates'!Y561)+1),7)),"O",""))-COUNTIFS(INDEX(AllClosureRows,C561,0),"&gt;="&amp;('_Dates'!Y561),INDEX(AllClosureRows,C561,0),"&lt;="&amp;('_Dates'!Z561)))))</ns0:f>
        <ns0:v>0</ns0:v>
      </ns0:c>
      <ns0:c r="H561" s="0">
        <ns0:f>IF(OR(F561&lt;&gt;"OK",$B$6&gt;0),0,0.5*(IF((MIN('_Dates'!X561,Settings!$B$9))&lt;('_Dates'!W561),0,INT(((MIN('_Dates'!X561,Settings!$B$9))-('_Dates'!W561)+1)/7)*LEN(SUBSTITUTE(W561,"O",""))+LEN(SUBSTITUTE(MID(W561&amp;W561,WEEKDAY(('_Dates'!W561),2),MOD(((MIN('_Dates'!X561,Settings!$B$9))-('_Dates'!W561)+1),7)),"O",""))-COUNTIFS(INDEX(AllClosureRows,C561,0),"&gt;="&amp;('_Dates'!W561),INDEX(AllClosureRows,C561,0),"&lt;="&amp;(MIN('_Dates'!X561,Settings!$B$9))))+IF((MIN('_Dates'!Z561,Settings!$B$9))&lt;('_Dates'!Y561),0,INT(((MIN('_Dates'!Z561,Settings!$B$9))-('_Dates'!Y561)+1)/7)*LEN(SUBSTITUTE(W561,"O",""))+LEN(SUBSTITUTE(MID(W561&amp;W561,WEEKDAY(('_Dates'!Y561),2),MOD(((MIN('_Dates'!Z561,Settings!$B$9))-('_Dates'!Y561)+1),7)),"O",""))-COUNTIFS(INDEX(AllClosureRows,C561,0),"&gt;="&amp;('_Dates'!Y561),INDEX(AllClosureRows,C561,0),"&lt;="&amp;(MIN('_Dates'!Z561,Settings!$B$9))))))</ns0:f>
        <ns0:v>0</ns0:v>
      </ns0:c>
      <ns0:c r="I561" s="0">
        <ns0:f>MAX(0,G561-H561)</ns0:f>
        <ns0:v>0</ns0:v>
      </ns0:c>
      <ns0:c r="J561" s="0">
        <ns0:f>IF(OR(A561=0,F561&lt;&gt;"OK",Bookings!G561="Cancelled",$B$6&gt;0),0,IF('_Dates'!AC561=1,MAX(0,COUNTIFS(rngEngine_B,B561,rngAMStart,"&lt;="&amp;'_Dates'!X561,rngAMEnd,"&gt;="&amp;'_Dates'!W561,rngAMActive,1,rngEngine_F,"OK",rngBookings_F,"&lt;&gt;Cancelled")-1),0)+IF('_Dates'!AD561=1,MAX(0,COUNTIFS(rngEngine_B,B561,rngPMStart,"&lt;="&amp;'_Dates'!Z561,rngPMEnd,"&gt;="&amp;'_Dates'!Y561,rngPMActive,1,rngEngine_F,"OK",rngBookings_F,"&lt;&gt;Cancelled")-1),0))</ns0:f>
        <ns0:v>0</ns0:v>
      </ns0:c>
      <ns0:c r="K561" s="0" t="str">
        <ns0:f>IF(A561=0,"",IF(F561&lt;&gt;"OK",F561,IF(J561&gt;0,"CHECK overlapping entry",IF(AND($B$6=0,G561&lt;=0,Bookings!G561&lt;&gt;"Cancelled"),"CHECK no working days",IF(Bookings!G561="Cancelled","Cancelled","OK")))))</ns0:f>
        <ns0:v/>
      </ns0:c>
      <ns0:c r="L561" s="0">
        <ns0:f>IF(LEFT(K561,5)="CHECK",1,0)</ns0:f>
        <ns0:v>0</ns0:v>
      </ns0:c>
      <ns0:c r="M561" s="0">
        <ns0:f>IF(AND(L561=1,OR(C561=0,IFERROR(INDEX($X$11:$X$60,C561),0)=0)),1,0)</ns0:f>
        <ns0:v>0</ns0:v>
      </ns0:c>
      <ns0:c r="N561" s="0">
        <ns0:f>IF(OR(A561=0,L561&gt;0,$B$6&gt;0,Bookings!G561="Cancelled"),0,G561)</ns0:f>
        <ns0:v>0</ns0:v>
      </ns0:c>
      <ns0:c r="O561" s="0">
        <ns0:f>IF(AND(Bookings!G561="Approved",E561="Yes"),N561,0)</ns0:f>
        <ns0:v>0</ns0:v>
      </ns0:c>
      <ns0:c r="P561" s="0">
        <ns0:f>IF(AND(Bookings!G561="Approved",E561="Yes",L561=0,$B$6=0),H561,0)</ns0:f>
        <ns0:v>0</ns0:v>
      </ns0:c>
      <ns0:c r="Q561" s="0">
        <ns0:f>IF(AND(Bookings!G561="Approved",E561="Yes",L561=0,$B$6=0),I561,0)</ns0:f>
        <ns0:v>0</ns0:v>
      </ns0:c>
      <ns0:c r="R561" s="0">
        <ns0:f>IF(AND(Bookings!G561="Pending",E561="Yes"),N561,0)</ns0:f>
        <ns0:v>0</ns0:v>
      </ns0:c>
      <ns0:c r="S561" s="0">
        <ns0:f>IF(AND(Bookings!G561="Approved",E561="No"),N561,0)</ns0:f>
        <ns0:v>0</ns0:v>
      </ns0:c>
      <ns0:c r="T561" s="0">
        <ns0:f>IFERROR(MATCH(D561,Settings!$G$7:$G$11,0),0)</ns0:f>
        <ns0:v>0</ns0:v>
      </ns0:c>
      <ns0:c r="U561" s="0">
        <ns0:f>IF(N561&gt;0,T561+IF(Bookings!G561="Pending",10,0),0)</ns0:f>
        <ns0:v>0</ns0:v>
      </ns0:c>
      <ns0:c r="V561" s="0">
        <ns0:f>U561</ns0:f>
        <ns0:v>0</ns0:v>
      </ns0:c>
      <ns0:c r="W561" s="0" t="str">
        <ns0:f>IF(C561=0,"",INDEX($AP$11:$AP$60,C561))</ns0:f>
        <ns0:v/>
      </ns0:c>
    </ns0:row>
    <ns0:row r="562">
      <ns0:c r="A562" s="0">
        <ns0:f>IF(COUNTA(Bookings!A562:G562,Bookings!I562)=0,0,1)</ns0:f>
        <ns0:v>0</ns0:v>
      </ns0:c>
      <ns0:c r="B562" s="0" t="str">
        <ns0:f>IFERROR(TRIM(MID(Bookings!A562,FIND(" · ",Bookings!A562)+3,99)),"")</ns0:f>
        <ns0:v/>
      </ns0:c>
      <ns0:c r="C562" s="0">
        <ns0:f>IF(OR(B562="",LEN(B562)&gt;24,ISNUMBER(FIND(" ",B562)),ISNUMBER(FIND("*",B562)),ISNUMBER(FIND("?",B562)),ISNUMBER(FIND("~",B562))),0,IFERROR(MATCH(B562,Team!$A$11:$A$60,0),0))</ns0:f>
        <ns0:v>0</ns0:v>
      </ns0:c>
      <ns0:c r="D562" s="0" t="str">
        <ns0:f>IFERROR(IF(MID(Bookings!F562,LEN(Bookings!F562)-3,3)=" · ",RIGHT(Bookings!F562,1),""),"")</ns0:f>
        <ns0:v/>
      </ns0:c>
      <ns0:c r="E562" s="0" t="str">
        <ns0:f>IFERROR(INDEX(Settings!$H$7:$H$11,MATCH(D562,Settings!$G$7:$G$11,0)),"")</ns0:f>
        <ns0:v/>
      </ns0:c>
      <ns0:c r="F562" s="0" t="str">
        <ns0:f>IF(A562=0,"",IFERROR(IF(OR(B562="",C562=0),"CHECK employee selection",IF(INDEX(Team!$O$11:$O$60,C562)&lt;&gt;"OK","CHECK employee setup",IF(OR('_Dates'!J562=0,'_Dates'!T562=0),"CHECK date: use DD.MM.YYYY",IF('_Dates'!T562&lt;'_Dates'!J562,"CHECK end before start",IF(AND($B$6=0,OR('_Dates'!J562&lt;Settings!$B$7,'_Dates'!T562&gt;Settings!$B$8)),"CHECK split across leave years",IF(OR(NOT(OR('_Dates'!U562="Full day",'_Dates'!U562="AM",'_Dates'!U562="PM")),NOT(OR('_Dates'!V562="Full day",'_Dates'!V562="AM",'_Dates'!V562="PM"))),"CHECK Full day / AM / PM",IF(AND('_Dates'!J562='_Dates'!T562,'_Dates'!U562&lt;&gt;"Full day",'_Dates'!V562&lt;&gt;"Full day",'_Dates'!U562&lt;&gt;'_Dates'!V562),"CHECK same-day portions disagree",IF(AND($B$6=0,OR(AND('_Dates'!U562&lt;&gt;"Full day",'_Dates'!AA562=0),AND('_Dates'!V562&lt;&gt;"Full day",'_Dates'!AB562=0))),"CHECK half-day on non-working date",IF(COUNTIF(Settings!$G$7:$G$11,D562)&lt;&gt;1,"CHECK leave type",IF(AND(Bookings!G562&lt;&gt;"Approved",Bookings!G562&lt;&gt;"Pending",Bookings!G562&lt;&gt;"Cancelled"),"CHECK status","OK")))))))))),"CHECK input"))</ns0:f>
        <ns0:v/>
      </ns0:c>
      <ns0:c r="G562" s="0">
        <ns0:f>IF(OR(F562&lt;&gt;"OK",$B$6&gt;0),0,0.5*(IF(('_Dates'!X562)&lt;('_Dates'!W562),0,INT((('_Dates'!X562)-('_Dates'!W562)+1)/7)*LEN(SUBSTITUTE(W562,"O",""))+LEN(SUBSTITUTE(MID(W562&amp;W562,WEEKDAY(('_Dates'!W562),2),MOD((('_Dates'!X562)-('_Dates'!W562)+1),7)),"O",""))-COUNTIFS(INDEX(AllClosureRows,C562,0),"&gt;="&amp;('_Dates'!W562),INDEX(AllClosureRows,C562,0),"&lt;="&amp;('_Dates'!X562)))+IF(('_Dates'!Z562)&lt;('_Dates'!Y562),0,INT((('_Dates'!Z562)-('_Dates'!Y562)+1)/7)*LEN(SUBSTITUTE(W562,"O",""))+LEN(SUBSTITUTE(MID(W562&amp;W562,WEEKDAY(('_Dates'!Y562),2),MOD((('_Dates'!Z562)-('_Dates'!Y562)+1),7)),"O",""))-COUNTIFS(INDEX(AllClosureRows,C562,0),"&gt;="&amp;('_Dates'!Y562),INDEX(AllClosureRows,C562,0),"&lt;="&amp;('_Dates'!Z562)))))</ns0:f>
        <ns0:v>0</ns0:v>
      </ns0:c>
      <ns0:c r="H562" s="0">
        <ns0:f>IF(OR(F562&lt;&gt;"OK",$B$6&gt;0),0,0.5*(IF((MIN('_Dates'!X562,Settings!$B$9))&lt;('_Dates'!W562),0,INT(((MIN('_Dates'!X562,Settings!$B$9))-('_Dates'!W562)+1)/7)*LEN(SUBSTITUTE(W562,"O",""))+LEN(SUBSTITUTE(MID(W562&amp;W562,WEEKDAY(('_Dates'!W562),2),MOD(((MIN('_Dates'!X562,Settings!$B$9))-('_Dates'!W562)+1),7)),"O",""))-COUNTIFS(INDEX(AllClosureRows,C562,0),"&gt;="&amp;('_Dates'!W562),INDEX(AllClosureRows,C562,0),"&lt;="&amp;(MIN('_Dates'!X562,Settings!$B$9))))+IF((MIN('_Dates'!Z562,Settings!$B$9))&lt;('_Dates'!Y562),0,INT(((MIN('_Dates'!Z562,Settings!$B$9))-('_Dates'!Y562)+1)/7)*LEN(SUBSTITUTE(W562,"O",""))+LEN(SUBSTITUTE(MID(W562&amp;W562,WEEKDAY(('_Dates'!Y562),2),MOD(((MIN('_Dates'!Z562,Settings!$B$9))-('_Dates'!Y562)+1),7)),"O",""))-COUNTIFS(INDEX(AllClosureRows,C562,0),"&gt;="&amp;('_Dates'!Y562),INDEX(AllClosureRows,C562,0),"&lt;="&amp;(MIN('_Dates'!Z562,Settings!$B$9))))))</ns0:f>
        <ns0:v>0</ns0:v>
      </ns0:c>
      <ns0:c r="I562" s="0">
        <ns0:f>MAX(0,G562-H562)</ns0:f>
        <ns0:v>0</ns0:v>
      </ns0:c>
      <ns0:c r="J562" s="0">
        <ns0:f>IF(OR(A562=0,F562&lt;&gt;"OK",Bookings!G562="Cancelled",$B$6&gt;0),0,IF('_Dates'!AC562=1,MAX(0,COUNTIFS(rngEngine_B,B562,rngAMStart,"&lt;="&amp;'_Dates'!X562,rngAMEnd,"&gt;="&amp;'_Dates'!W562,rngAMActive,1,rngEngine_F,"OK",rngBookings_F,"&lt;&gt;Cancelled")-1),0)+IF('_Dates'!AD562=1,MAX(0,COUNTIFS(rngEngine_B,B562,rngPMStart,"&lt;="&amp;'_Dates'!Z562,rngPMEnd,"&gt;="&amp;'_Dates'!Y562,rngPMActive,1,rngEngine_F,"OK",rngBookings_F,"&lt;&gt;Cancelled")-1),0))</ns0:f>
        <ns0:v>0</ns0:v>
      </ns0:c>
      <ns0:c r="K562" s="0" t="str">
        <ns0:f>IF(A562=0,"",IF(F562&lt;&gt;"OK",F562,IF(J562&gt;0,"CHECK overlapping entry",IF(AND($B$6=0,G562&lt;=0,Bookings!G562&lt;&gt;"Cancelled"),"CHECK no working days",IF(Bookings!G562="Cancelled","Cancelled","OK")))))</ns0:f>
        <ns0:v/>
      </ns0:c>
      <ns0:c r="L562" s="0">
        <ns0:f>IF(LEFT(K562,5)="CHECK",1,0)</ns0:f>
        <ns0:v>0</ns0:v>
      </ns0:c>
      <ns0:c r="M562" s="0">
        <ns0:f>IF(AND(L562=1,OR(C562=0,IFERROR(INDEX($X$11:$X$60,C562),0)=0)),1,0)</ns0:f>
        <ns0:v>0</ns0:v>
      </ns0:c>
      <ns0:c r="N562" s="0">
        <ns0:f>IF(OR(A562=0,L562&gt;0,$B$6&gt;0,Bookings!G562="Cancelled"),0,G562)</ns0:f>
        <ns0:v>0</ns0:v>
      </ns0:c>
      <ns0:c r="O562" s="0">
        <ns0:f>IF(AND(Bookings!G562="Approved",E562="Yes"),N562,0)</ns0:f>
        <ns0:v>0</ns0:v>
      </ns0:c>
      <ns0:c r="P562" s="0">
        <ns0:f>IF(AND(Bookings!G562="Approved",E562="Yes",L562=0,$B$6=0),H562,0)</ns0:f>
        <ns0:v>0</ns0:v>
      </ns0:c>
      <ns0:c r="Q562" s="0">
        <ns0:f>IF(AND(Bookings!G562="Approved",E562="Yes",L562=0,$B$6=0),I562,0)</ns0:f>
        <ns0:v>0</ns0:v>
      </ns0:c>
      <ns0:c r="R562" s="0">
        <ns0:f>IF(AND(Bookings!G562="Pending",E562="Yes"),N562,0)</ns0:f>
        <ns0:v>0</ns0:v>
      </ns0:c>
      <ns0:c r="S562" s="0">
        <ns0:f>IF(AND(Bookings!G562="Approved",E562="No"),N562,0)</ns0:f>
        <ns0:v>0</ns0:v>
      </ns0:c>
      <ns0:c r="T562" s="0">
        <ns0:f>IFERROR(MATCH(D562,Settings!$G$7:$G$11,0),0)</ns0:f>
        <ns0:v>0</ns0:v>
      </ns0:c>
      <ns0:c r="U562" s="0">
        <ns0:f>IF(N562&gt;0,T562+IF(Bookings!G562="Pending",10,0),0)</ns0:f>
        <ns0:v>0</ns0:v>
      </ns0:c>
      <ns0:c r="V562" s="0">
        <ns0:f>U562</ns0:f>
        <ns0:v>0</ns0:v>
      </ns0:c>
      <ns0:c r="W562" s="0" t="str">
        <ns0:f>IF(C562=0,"",INDEX($AP$11:$AP$60,C562))</ns0:f>
        <ns0:v/>
      </ns0:c>
    </ns0:row>
    <ns0:row r="563">
      <ns0:c r="A563" s="0">
        <ns0:f>IF(COUNTA(Bookings!A563:G563,Bookings!I563)=0,0,1)</ns0:f>
        <ns0:v>0</ns0:v>
      </ns0:c>
      <ns0:c r="B563" s="0" t="str">
        <ns0:f>IFERROR(TRIM(MID(Bookings!A563,FIND(" · ",Bookings!A563)+3,99)),"")</ns0:f>
        <ns0:v/>
      </ns0:c>
      <ns0:c r="C563" s="0">
        <ns0:f>IF(OR(B563="",LEN(B563)&gt;24,ISNUMBER(FIND(" ",B563)),ISNUMBER(FIND("*",B563)),ISNUMBER(FIND("?",B563)),ISNUMBER(FIND("~",B563))),0,IFERROR(MATCH(B563,Team!$A$11:$A$60,0),0))</ns0:f>
        <ns0:v>0</ns0:v>
      </ns0:c>
      <ns0:c r="D563" s="0" t="str">
        <ns0:f>IFERROR(IF(MID(Bookings!F563,LEN(Bookings!F563)-3,3)=" · ",RIGHT(Bookings!F563,1),""),"")</ns0:f>
        <ns0:v/>
      </ns0:c>
      <ns0:c r="E563" s="0" t="str">
        <ns0:f>IFERROR(INDEX(Settings!$H$7:$H$11,MATCH(D563,Settings!$G$7:$G$11,0)),"")</ns0:f>
        <ns0:v/>
      </ns0:c>
      <ns0:c r="F563" s="0" t="str">
        <ns0:f>IF(A563=0,"",IFERROR(IF(OR(B563="",C563=0),"CHECK employee selection",IF(INDEX(Team!$O$11:$O$60,C563)&lt;&gt;"OK","CHECK employee setup",IF(OR('_Dates'!J563=0,'_Dates'!T563=0),"CHECK date: use DD.MM.YYYY",IF('_Dates'!T563&lt;'_Dates'!J563,"CHECK end before start",IF(AND($B$6=0,OR('_Dates'!J563&lt;Settings!$B$7,'_Dates'!T563&gt;Settings!$B$8)),"CHECK split across leave years",IF(OR(NOT(OR('_Dates'!U563="Full day",'_Dates'!U563="AM",'_Dates'!U563="PM")),NOT(OR('_Dates'!V563="Full day",'_Dates'!V563="AM",'_Dates'!V563="PM"))),"CHECK Full day / AM / PM",IF(AND('_Dates'!J563='_Dates'!T563,'_Dates'!U563&lt;&gt;"Full day",'_Dates'!V563&lt;&gt;"Full day",'_Dates'!U563&lt;&gt;'_Dates'!V563),"CHECK same-day portions disagree",IF(AND($B$6=0,OR(AND('_Dates'!U563&lt;&gt;"Full day",'_Dates'!AA563=0),AND('_Dates'!V563&lt;&gt;"Full day",'_Dates'!AB563=0))),"CHECK half-day on non-working date",IF(COUNTIF(Settings!$G$7:$G$11,D563)&lt;&gt;1,"CHECK leave type",IF(AND(Bookings!G563&lt;&gt;"Approved",Bookings!G563&lt;&gt;"Pending",Bookings!G563&lt;&gt;"Cancelled"),"CHECK status","OK")))))))))),"CHECK input"))</ns0:f>
        <ns0:v/>
      </ns0:c>
      <ns0:c r="G563" s="0">
        <ns0:f>IF(OR(F563&lt;&gt;"OK",$B$6&gt;0),0,0.5*(IF(('_Dates'!X563)&lt;('_Dates'!W563),0,INT((('_Dates'!X563)-('_Dates'!W563)+1)/7)*LEN(SUBSTITUTE(W563,"O",""))+LEN(SUBSTITUTE(MID(W563&amp;W563,WEEKDAY(('_Dates'!W563),2),MOD((('_Dates'!X563)-('_Dates'!W563)+1),7)),"O",""))-COUNTIFS(INDEX(AllClosureRows,C563,0),"&gt;="&amp;('_Dates'!W563),INDEX(AllClosureRows,C563,0),"&lt;="&amp;('_Dates'!X563)))+IF(('_Dates'!Z563)&lt;('_Dates'!Y563),0,INT((('_Dates'!Z563)-('_Dates'!Y563)+1)/7)*LEN(SUBSTITUTE(W563,"O",""))+LEN(SUBSTITUTE(MID(W563&amp;W563,WEEKDAY(('_Dates'!Y563),2),MOD((('_Dates'!Z563)-('_Dates'!Y563)+1),7)),"O",""))-COUNTIFS(INDEX(AllClosureRows,C563,0),"&gt;="&amp;('_Dates'!Y563),INDEX(AllClosureRows,C563,0),"&lt;="&amp;('_Dates'!Z563)))))</ns0:f>
        <ns0:v>0</ns0:v>
      </ns0:c>
      <ns0:c r="H563" s="0">
        <ns0:f>IF(OR(F563&lt;&gt;"OK",$B$6&gt;0),0,0.5*(IF((MIN('_Dates'!X563,Settings!$B$9))&lt;('_Dates'!W563),0,INT(((MIN('_Dates'!X563,Settings!$B$9))-('_Dates'!W563)+1)/7)*LEN(SUBSTITUTE(W563,"O",""))+LEN(SUBSTITUTE(MID(W563&amp;W563,WEEKDAY(('_Dates'!W563),2),MOD(((MIN('_Dates'!X563,Settings!$B$9))-('_Dates'!W563)+1),7)),"O",""))-COUNTIFS(INDEX(AllClosureRows,C563,0),"&gt;="&amp;('_Dates'!W563),INDEX(AllClosureRows,C563,0),"&lt;="&amp;(MIN('_Dates'!X563,Settings!$B$9))))+IF((MIN('_Dates'!Z563,Settings!$B$9))&lt;('_Dates'!Y563),0,INT(((MIN('_Dates'!Z563,Settings!$B$9))-('_Dates'!Y563)+1)/7)*LEN(SUBSTITUTE(W563,"O",""))+LEN(SUBSTITUTE(MID(W563&amp;W563,WEEKDAY(('_Dates'!Y563),2),MOD(((MIN('_Dates'!Z563,Settings!$B$9))-('_Dates'!Y563)+1),7)),"O",""))-COUNTIFS(INDEX(AllClosureRows,C563,0),"&gt;="&amp;('_Dates'!Y563),INDEX(AllClosureRows,C563,0),"&lt;="&amp;(MIN('_Dates'!Z563,Settings!$B$9))))))</ns0:f>
        <ns0:v>0</ns0:v>
      </ns0:c>
      <ns0:c r="I563" s="0">
        <ns0:f>MAX(0,G563-H563)</ns0:f>
        <ns0:v>0</ns0:v>
      </ns0:c>
      <ns0:c r="J563" s="0">
        <ns0:f>IF(OR(A563=0,F563&lt;&gt;"OK",Bookings!G563="Cancelled",$B$6&gt;0),0,IF('_Dates'!AC563=1,MAX(0,COUNTIFS(rngEngine_B,B563,rngAMStart,"&lt;="&amp;'_Dates'!X563,rngAMEnd,"&gt;="&amp;'_Dates'!W563,rngAMActive,1,rngEngine_F,"OK",rngBookings_F,"&lt;&gt;Cancelled")-1),0)+IF('_Dates'!AD563=1,MAX(0,COUNTIFS(rngEngine_B,B563,rngPMStart,"&lt;="&amp;'_Dates'!Z563,rngPMEnd,"&gt;="&amp;'_Dates'!Y563,rngPMActive,1,rngEngine_F,"OK",rngBookings_F,"&lt;&gt;Cancelled")-1),0))</ns0:f>
        <ns0:v>0</ns0:v>
      </ns0:c>
      <ns0:c r="K563" s="0" t="str">
        <ns0:f>IF(A563=0,"",IF(F563&lt;&gt;"OK",F563,IF(J563&gt;0,"CHECK overlapping entry",IF(AND($B$6=0,G563&lt;=0,Bookings!G563&lt;&gt;"Cancelled"),"CHECK no working days",IF(Bookings!G563="Cancelled","Cancelled","OK")))))</ns0:f>
        <ns0:v/>
      </ns0:c>
      <ns0:c r="L563" s="0">
        <ns0:f>IF(LEFT(K563,5)="CHECK",1,0)</ns0:f>
        <ns0:v>0</ns0:v>
      </ns0:c>
      <ns0:c r="M563" s="0">
        <ns0:f>IF(AND(L563=1,OR(C563=0,IFERROR(INDEX($X$11:$X$60,C563),0)=0)),1,0)</ns0:f>
        <ns0:v>0</ns0:v>
      </ns0:c>
      <ns0:c r="N563" s="0">
        <ns0:f>IF(OR(A563=0,L563&gt;0,$B$6&gt;0,Bookings!G563="Cancelled"),0,G563)</ns0:f>
        <ns0:v>0</ns0:v>
      </ns0:c>
      <ns0:c r="O563" s="0">
        <ns0:f>IF(AND(Bookings!G563="Approved",E563="Yes"),N563,0)</ns0:f>
        <ns0:v>0</ns0:v>
      </ns0:c>
      <ns0:c r="P563" s="0">
        <ns0:f>IF(AND(Bookings!G563="Approved",E563="Yes",L563=0,$B$6=0),H563,0)</ns0:f>
        <ns0:v>0</ns0:v>
      </ns0:c>
      <ns0:c r="Q563" s="0">
        <ns0:f>IF(AND(Bookings!G563="Approved",E563="Yes",L563=0,$B$6=0),I563,0)</ns0:f>
        <ns0:v>0</ns0:v>
      </ns0:c>
      <ns0:c r="R563" s="0">
        <ns0:f>IF(AND(Bookings!G563="Pending",E563="Yes"),N563,0)</ns0:f>
        <ns0:v>0</ns0:v>
      </ns0:c>
      <ns0:c r="S563" s="0">
        <ns0:f>IF(AND(Bookings!G563="Approved",E563="No"),N563,0)</ns0:f>
        <ns0:v>0</ns0:v>
      </ns0:c>
      <ns0:c r="T563" s="0">
        <ns0:f>IFERROR(MATCH(D563,Settings!$G$7:$G$11,0),0)</ns0:f>
        <ns0:v>0</ns0:v>
      </ns0:c>
      <ns0:c r="U563" s="0">
        <ns0:f>IF(N563&gt;0,T563+IF(Bookings!G563="Pending",10,0),0)</ns0:f>
        <ns0:v>0</ns0:v>
      </ns0:c>
      <ns0:c r="V563" s="0">
        <ns0:f>U563</ns0:f>
        <ns0:v>0</ns0:v>
      </ns0:c>
      <ns0:c r="W563" s="0" t="str">
        <ns0:f>IF(C563=0,"",INDEX($AP$11:$AP$60,C563))</ns0:f>
        <ns0:v/>
      </ns0:c>
    </ns0:row>
    <ns0:row r="564">
      <ns0:c r="A564" s="0">
        <ns0:f>IF(COUNTA(Bookings!A564:G564,Bookings!I564)=0,0,1)</ns0:f>
        <ns0:v>0</ns0:v>
      </ns0:c>
      <ns0:c r="B564" s="0" t="str">
        <ns0:f>IFERROR(TRIM(MID(Bookings!A564,FIND(" · ",Bookings!A564)+3,99)),"")</ns0:f>
        <ns0:v/>
      </ns0:c>
      <ns0:c r="C564" s="0">
        <ns0:f>IF(OR(B564="",LEN(B564)&gt;24,ISNUMBER(FIND(" ",B564)),ISNUMBER(FIND("*",B564)),ISNUMBER(FIND("?",B564)),ISNUMBER(FIND("~",B564))),0,IFERROR(MATCH(B564,Team!$A$11:$A$60,0),0))</ns0:f>
        <ns0:v>0</ns0:v>
      </ns0:c>
      <ns0:c r="D564" s="0" t="str">
        <ns0:f>IFERROR(IF(MID(Bookings!F564,LEN(Bookings!F564)-3,3)=" · ",RIGHT(Bookings!F564,1),""),"")</ns0:f>
        <ns0:v/>
      </ns0:c>
      <ns0:c r="E564" s="0" t="str">
        <ns0:f>IFERROR(INDEX(Settings!$H$7:$H$11,MATCH(D564,Settings!$G$7:$G$11,0)),"")</ns0:f>
        <ns0:v/>
      </ns0:c>
      <ns0:c r="F564" s="0" t="str">
        <ns0:f>IF(A564=0,"",IFERROR(IF(OR(B564="",C564=0),"CHECK employee selection",IF(INDEX(Team!$O$11:$O$60,C564)&lt;&gt;"OK","CHECK employee setup",IF(OR('_Dates'!J564=0,'_Dates'!T564=0),"CHECK date: use DD.MM.YYYY",IF('_Dates'!T564&lt;'_Dates'!J564,"CHECK end before start",IF(AND($B$6=0,OR('_Dates'!J564&lt;Settings!$B$7,'_Dates'!T564&gt;Settings!$B$8)),"CHECK split across leave years",IF(OR(NOT(OR('_Dates'!U564="Full day",'_Dates'!U564="AM",'_Dates'!U564="PM")),NOT(OR('_Dates'!V564="Full day",'_Dates'!V564="AM",'_Dates'!V564="PM"))),"CHECK Full day / AM / PM",IF(AND('_Dates'!J564='_Dates'!T564,'_Dates'!U564&lt;&gt;"Full day",'_Dates'!V564&lt;&gt;"Full day",'_Dates'!U564&lt;&gt;'_Dates'!V564),"CHECK same-day portions disagree",IF(AND($B$6=0,OR(AND('_Dates'!U564&lt;&gt;"Full day",'_Dates'!AA564=0),AND('_Dates'!V564&lt;&gt;"Full day",'_Dates'!AB564=0))),"CHECK half-day on non-working date",IF(COUNTIF(Settings!$G$7:$G$11,D564)&lt;&gt;1,"CHECK leave type",IF(AND(Bookings!G564&lt;&gt;"Approved",Bookings!G564&lt;&gt;"Pending",Bookings!G564&lt;&gt;"Cancelled"),"CHECK status","OK")))))))))),"CHECK input"))</ns0:f>
        <ns0:v/>
      </ns0:c>
      <ns0:c r="G564" s="0">
        <ns0:f>IF(OR(F564&lt;&gt;"OK",$B$6&gt;0),0,0.5*(IF(('_Dates'!X564)&lt;('_Dates'!W564),0,INT((('_Dates'!X564)-('_Dates'!W564)+1)/7)*LEN(SUBSTITUTE(W564,"O",""))+LEN(SUBSTITUTE(MID(W564&amp;W564,WEEKDAY(('_Dates'!W564),2),MOD((('_Dates'!X564)-('_Dates'!W564)+1),7)),"O",""))-COUNTIFS(INDEX(AllClosureRows,C564,0),"&gt;="&amp;('_Dates'!W564),INDEX(AllClosureRows,C564,0),"&lt;="&amp;('_Dates'!X564)))+IF(('_Dates'!Z564)&lt;('_Dates'!Y564),0,INT((('_Dates'!Z564)-('_Dates'!Y564)+1)/7)*LEN(SUBSTITUTE(W564,"O",""))+LEN(SUBSTITUTE(MID(W564&amp;W564,WEEKDAY(('_Dates'!Y564),2),MOD((('_Dates'!Z564)-('_Dates'!Y564)+1),7)),"O",""))-COUNTIFS(INDEX(AllClosureRows,C564,0),"&gt;="&amp;('_Dates'!Y564),INDEX(AllClosureRows,C564,0),"&lt;="&amp;('_Dates'!Z564)))))</ns0:f>
        <ns0:v>0</ns0:v>
      </ns0:c>
      <ns0:c r="H564" s="0">
        <ns0:f>IF(OR(F564&lt;&gt;"OK",$B$6&gt;0),0,0.5*(IF((MIN('_Dates'!X564,Settings!$B$9))&lt;('_Dates'!W564),0,INT(((MIN('_Dates'!X564,Settings!$B$9))-('_Dates'!W564)+1)/7)*LEN(SUBSTITUTE(W564,"O",""))+LEN(SUBSTITUTE(MID(W564&amp;W564,WEEKDAY(('_Dates'!W564),2),MOD(((MIN('_Dates'!X564,Settings!$B$9))-('_Dates'!W564)+1),7)),"O",""))-COUNTIFS(INDEX(AllClosureRows,C564,0),"&gt;="&amp;('_Dates'!W564),INDEX(AllClosureRows,C564,0),"&lt;="&amp;(MIN('_Dates'!X564,Settings!$B$9))))+IF((MIN('_Dates'!Z564,Settings!$B$9))&lt;('_Dates'!Y564),0,INT(((MIN('_Dates'!Z564,Settings!$B$9))-('_Dates'!Y564)+1)/7)*LEN(SUBSTITUTE(W564,"O",""))+LEN(SUBSTITUTE(MID(W564&amp;W564,WEEKDAY(('_Dates'!Y564),2),MOD(((MIN('_Dates'!Z564,Settings!$B$9))-('_Dates'!Y564)+1),7)),"O",""))-COUNTIFS(INDEX(AllClosureRows,C564,0),"&gt;="&amp;('_Dates'!Y564),INDEX(AllClosureRows,C564,0),"&lt;="&amp;(MIN('_Dates'!Z564,Settings!$B$9))))))</ns0:f>
        <ns0:v>0</ns0:v>
      </ns0:c>
      <ns0:c r="I564" s="0">
        <ns0:f>MAX(0,G564-H564)</ns0:f>
        <ns0:v>0</ns0:v>
      </ns0:c>
      <ns0:c r="J564" s="0">
        <ns0:f>IF(OR(A564=0,F564&lt;&gt;"OK",Bookings!G564="Cancelled",$B$6&gt;0),0,IF('_Dates'!AC564=1,MAX(0,COUNTIFS(rngEngine_B,B564,rngAMStart,"&lt;="&amp;'_Dates'!X564,rngAMEnd,"&gt;="&amp;'_Dates'!W564,rngAMActive,1,rngEngine_F,"OK",rngBookings_F,"&lt;&gt;Cancelled")-1),0)+IF('_Dates'!AD564=1,MAX(0,COUNTIFS(rngEngine_B,B564,rngPMStart,"&lt;="&amp;'_Dates'!Z564,rngPMEnd,"&gt;="&amp;'_Dates'!Y564,rngPMActive,1,rngEngine_F,"OK",rngBookings_F,"&lt;&gt;Cancelled")-1),0))</ns0:f>
        <ns0:v>0</ns0:v>
      </ns0:c>
      <ns0:c r="K564" s="0" t="str">
        <ns0:f>IF(A564=0,"",IF(F564&lt;&gt;"OK",F564,IF(J564&gt;0,"CHECK overlapping entry",IF(AND($B$6=0,G564&lt;=0,Bookings!G564&lt;&gt;"Cancelled"),"CHECK no working days",IF(Bookings!G564="Cancelled","Cancelled","OK")))))</ns0:f>
        <ns0:v/>
      </ns0:c>
      <ns0:c r="L564" s="0">
        <ns0:f>IF(LEFT(K564,5)="CHECK",1,0)</ns0:f>
        <ns0:v>0</ns0:v>
      </ns0:c>
      <ns0:c r="M564" s="0">
        <ns0:f>IF(AND(L564=1,OR(C564=0,IFERROR(INDEX($X$11:$X$60,C564),0)=0)),1,0)</ns0:f>
        <ns0:v>0</ns0:v>
      </ns0:c>
      <ns0:c r="N564" s="0">
        <ns0:f>IF(OR(A564=0,L564&gt;0,$B$6&gt;0,Bookings!G564="Cancelled"),0,G564)</ns0:f>
        <ns0:v>0</ns0:v>
      </ns0:c>
      <ns0:c r="O564" s="0">
        <ns0:f>IF(AND(Bookings!G564="Approved",E564="Yes"),N564,0)</ns0:f>
        <ns0:v>0</ns0:v>
      </ns0:c>
      <ns0:c r="P564" s="0">
        <ns0:f>IF(AND(Bookings!G564="Approved",E564="Yes",L564=0,$B$6=0),H564,0)</ns0:f>
        <ns0:v>0</ns0:v>
      </ns0:c>
      <ns0:c r="Q564" s="0">
        <ns0:f>IF(AND(Bookings!G564="Approved",E564="Yes",L564=0,$B$6=0),I564,0)</ns0:f>
        <ns0:v>0</ns0:v>
      </ns0:c>
      <ns0:c r="R564" s="0">
        <ns0:f>IF(AND(Bookings!G564="Pending",E564="Yes"),N564,0)</ns0:f>
        <ns0:v>0</ns0:v>
      </ns0:c>
      <ns0:c r="S564" s="0">
        <ns0:f>IF(AND(Bookings!G564="Approved",E564="No"),N564,0)</ns0:f>
        <ns0:v>0</ns0:v>
      </ns0:c>
      <ns0:c r="T564" s="0">
        <ns0:f>IFERROR(MATCH(D564,Settings!$G$7:$G$11,0),0)</ns0:f>
        <ns0:v>0</ns0:v>
      </ns0:c>
      <ns0:c r="U564" s="0">
        <ns0:f>IF(N564&gt;0,T564+IF(Bookings!G564="Pending",10,0),0)</ns0:f>
        <ns0:v>0</ns0:v>
      </ns0:c>
      <ns0:c r="V564" s="0">
        <ns0:f>U564</ns0:f>
        <ns0:v>0</ns0:v>
      </ns0:c>
      <ns0:c r="W564" s="0" t="str">
        <ns0:f>IF(C564=0,"",INDEX($AP$11:$AP$60,C564))</ns0:f>
        <ns0:v/>
      </ns0:c>
    </ns0:row>
    <ns0:row r="565">
      <ns0:c r="A565" s="0">
        <ns0:f>IF(COUNTA(Bookings!A565:G565,Bookings!I565)=0,0,1)</ns0:f>
        <ns0:v>0</ns0:v>
      </ns0:c>
      <ns0:c r="B565" s="0" t="str">
        <ns0:f>IFERROR(TRIM(MID(Bookings!A565,FIND(" · ",Bookings!A565)+3,99)),"")</ns0:f>
        <ns0:v/>
      </ns0:c>
      <ns0:c r="C565" s="0">
        <ns0:f>IF(OR(B565="",LEN(B565)&gt;24,ISNUMBER(FIND(" ",B565)),ISNUMBER(FIND("*",B565)),ISNUMBER(FIND("?",B565)),ISNUMBER(FIND("~",B565))),0,IFERROR(MATCH(B565,Team!$A$11:$A$60,0),0))</ns0:f>
        <ns0:v>0</ns0:v>
      </ns0:c>
      <ns0:c r="D565" s="0" t="str">
        <ns0:f>IFERROR(IF(MID(Bookings!F565,LEN(Bookings!F565)-3,3)=" · ",RIGHT(Bookings!F565,1),""),"")</ns0:f>
        <ns0:v/>
      </ns0:c>
      <ns0:c r="E565" s="0" t="str">
        <ns0:f>IFERROR(INDEX(Settings!$H$7:$H$11,MATCH(D565,Settings!$G$7:$G$11,0)),"")</ns0:f>
        <ns0:v/>
      </ns0:c>
      <ns0:c r="F565" s="0" t="str">
        <ns0:f>IF(A565=0,"",IFERROR(IF(OR(B565="",C565=0),"CHECK employee selection",IF(INDEX(Team!$O$11:$O$60,C565)&lt;&gt;"OK","CHECK employee setup",IF(OR('_Dates'!J565=0,'_Dates'!T565=0),"CHECK date: use DD.MM.YYYY",IF('_Dates'!T565&lt;'_Dates'!J565,"CHECK end before start",IF(AND($B$6=0,OR('_Dates'!J565&lt;Settings!$B$7,'_Dates'!T565&gt;Settings!$B$8)),"CHECK split across leave years",IF(OR(NOT(OR('_Dates'!U565="Full day",'_Dates'!U565="AM",'_Dates'!U565="PM")),NOT(OR('_Dates'!V565="Full day",'_Dates'!V565="AM",'_Dates'!V565="PM"))),"CHECK Full day / AM / PM",IF(AND('_Dates'!J565='_Dates'!T565,'_Dates'!U565&lt;&gt;"Full day",'_Dates'!V565&lt;&gt;"Full day",'_Dates'!U565&lt;&gt;'_Dates'!V565),"CHECK same-day portions disagree",IF(AND($B$6=0,OR(AND('_Dates'!U565&lt;&gt;"Full day",'_Dates'!AA565=0),AND('_Dates'!V565&lt;&gt;"Full day",'_Dates'!AB565=0))),"CHECK half-day on non-working date",IF(COUNTIF(Settings!$G$7:$G$11,D565)&lt;&gt;1,"CHECK leave type",IF(AND(Bookings!G565&lt;&gt;"Approved",Bookings!G565&lt;&gt;"Pending",Bookings!G565&lt;&gt;"Cancelled"),"CHECK status","OK")))))))))),"CHECK input"))</ns0:f>
        <ns0:v/>
      </ns0:c>
      <ns0:c r="G565" s="0">
        <ns0:f>IF(OR(F565&lt;&gt;"OK",$B$6&gt;0),0,0.5*(IF(('_Dates'!X565)&lt;('_Dates'!W565),0,INT((('_Dates'!X565)-('_Dates'!W565)+1)/7)*LEN(SUBSTITUTE(W565,"O",""))+LEN(SUBSTITUTE(MID(W565&amp;W565,WEEKDAY(('_Dates'!W565),2),MOD((('_Dates'!X565)-('_Dates'!W565)+1),7)),"O",""))-COUNTIFS(INDEX(AllClosureRows,C565,0),"&gt;="&amp;('_Dates'!W565),INDEX(AllClosureRows,C565,0),"&lt;="&amp;('_Dates'!X565)))+IF(('_Dates'!Z565)&lt;('_Dates'!Y565),0,INT((('_Dates'!Z565)-('_Dates'!Y565)+1)/7)*LEN(SUBSTITUTE(W565,"O",""))+LEN(SUBSTITUTE(MID(W565&amp;W565,WEEKDAY(('_Dates'!Y565),2),MOD((('_Dates'!Z565)-('_Dates'!Y565)+1),7)),"O",""))-COUNTIFS(INDEX(AllClosureRows,C565,0),"&gt;="&amp;('_Dates'!Y565),INDEX(AllClosureRows,C565,0),"&lt;="&amp;('_Dates'!Z565)))))</ns0:f>
        <ns0:v>0</ns0:v>
      </ns0:c>
      <ns0:c r="H565" s="0">
        <ns0:f>IF(OR(F565&lt;&gt;"OK",$B$6&gt;0),0,0.5*(IF((MIN('_Dates'!X565,Settings!$B$9))&lt;('_Dates'!W565),0,INT(((MIN('_Dates'!X565,Settings!$B$9))-('_Dates'!W565)+1)/7)*LEN(SUBSTITUTE(W565,"O",""))+LEN(SUBSTITUTE(MID(W565&amp;W565,WEEKDAY(('_Dates'!W565),2),MOD(((MIN('_Dates'!X565,Settings!$B$9))-('_Dates'!W565)+1),7)),"O",""))-COUNTIFS(INDEX(AllClosureRows,C565,0),"&gt;="&amp;('_Dates'!W565),INDEX(AllClosureRows,C565,0),"&lt;="&amp;(MIN('_Dates'!X565,Settings!$B$9))))+IF((MIN('_Dates'!Z565,Settings!$B$9))&lt;('_Dates'!Y565),0,INT(((MIN('_Dates'!Z565,Settings!$B$9))-('_Dates'!Y565)+1)/7)*LEN(SUBSTITUTE(W565,"O",""))+LEN(SUBSTITUTE(MID(W565&amp;W565,WEEKDAY(('_Dates'!Y565),2),MOD(((MIN('_Dates'!Z565,Settings!$B$9))-('_Dates'!Y565)+1),7)),"O",""))-COUNTIFS(INDEX(AllClosureRows,C565,0),"&gt;="&amp;('_Dates'!Y565),INDEX(AllClosureRows,C565,0),"&lt;="&amp;(MIN('_Dates'!Z565,Settings!$B$9))))))</ns0:f>
        <ns0:v>0</ns0:v>
      </ns0:c>
      <ns0:c r="I565" s="0">
        <ns0:f>MAX(0,G565-H565)</ns0:f>
        <ns0:v>0</ns0:v>
      </ns0:c>
      <ns0:c r="J565" s="0">
        <ns0:f>IF(OR(A565=0,F565&lt;&gt;"OK",Bookings!G565="Cancelled",$B$6&gt;0),0,IF('_Dates'!AC565=1,MAX(0,COUNTIFS(rngEngine_B,B565,rngAMStart,"&lt;="&amp;'_Dates'!X565,rngAMEnd,"&gt;="&amp;'_Dates'!W565,rngAMActive,1,rngEngine_F,"OK",rngBookings_F,"&lt;&gt;Cancelled")-1),0)+IF('_Dates'!AD565=1,MAX(0,COUNTIFS(rngEngine_B,B565,rngPMStart,"&lt;="&amp;'_Dates'!Z565,rngPMEnd,"&gt;="&amp;'_Dates'!Y565,rngPMActive,1,rngEngine_F,"OK",rngBookings_F,"&lt;&gt;Cancelled")-1),0))</ns0:f>
        <ns0:v>0</ns0:v>
      </ns0:c>
      <ns0:c r="K565" s="0" t="str">
        <ns0:f>IF(A565=0,"",IF(F565&lt;&gt;"OK",F565,IF(J565&gt;0,"CHECK overlapping entry",IF(AND($B$6=0,G565&lt;=0,Bookings!G565&lt;&gt;"Cancelled"),"CHECK no working days",IF(Bookings!G565="Cancelled","Cancelled","OK")))))</ns0:f>
        <ns0:v/>
      </ns0:c>
      <ns0:c r="L565" s="0">
        <ns0:f>IF(LEFT(K565,5)="CHECK",1,0)</ns0:f>
        <ns0:v>0</ns0:v>
      </ns0:c>
      <ns0:c r="M565" s="0">
        <ns0:f>IF(AND(L565=1,OR(C565=0,IFERROR(INDEX($X$11:$X$60,C565),0)=0)),1,0)</ns0:f>
        <ns0:v>0</ns0:v>
      </ns0:c>
      <ns0:c r="N565" s="0">
        <ns0:f>IF(OR(A565=0,L565&gt;0,$B$6&gt;0,Bookings!G565="Cancelled"),0,G565)</ns0:f>
        <ns0:v>0</ns0:v>
      </ns0:c>
      <ns0:c r="O565" s="0">
        <ns0:f>IF(AND(Bookings!G565="Approved",E565="Yes"),N565,0)</ns0:f>
        <ns0:v>0</ns0:v>
      </ns0:c>
      <ns0:c r="P565" s="0">
        <ns0:f>IF(AND(Bookings!G565="Approved",E565="Yes",L565=0,$B$6=0),H565,0)</ns0:f>
        <ns0:v>0</ns0:v>
      </ns0:c>
      <ns0:c r="Q565" s="0">
        <ns0:f>IF(AND(Bookings!G565="Approved",E565="Yes",L565=0,$B$6=0),I565,0)</ns0:f>
        <ns0:v>0</ns0:v>
      </ns0:c>
      <ns0:c r="R565" s="0">
        <ns0:f>IF(AND(Bookings!G565="Pending",E565="Yes"),N565,0)</ns0:f>
        <ns0:v>0</ns0:v>
      </ns0:c>
      <ns0:c r="S565" s="0">
        <ns0:f>IF(AND(Bookings!G565="Approved",E565="No"),N565,0)</ns0:f>
        <ns0:v>0</ns0:v>
      </ns0:c>
      <ns0:c r="T565" s="0">
        <ns0:f>IFERROR(MATCH(D565,Settings!$G$7:$G$11,0),0)</ns0:f>
        <ns0:v>0</ns0:v>
      </ns0:c>
      <ns0:c r="U565" s="0">
        <ns0:f>IF(N565&gt;0,T565+IF(Bookings!G565="Pending",10,0),0)</ns0:f>
        <ns0:v>0</ns0:v>
      </ns0:c>
      <ns0:c r="V565" s="0">
        <ns0:f>U565</ns0:f>
        <ns0:v>0</ns0:v>
      </ns0:c>
      <ns0:c r="W565" s="0" t="str">
        <ns0:f>IF(C565=0,"",INDEX($AP$11:$AP$60,C565))</ns0:f>
        <ns0:v/>
      </ns0:c>
    </ns0:row>
    <ns0:row r="566">
      <ns0:c r="A566" s="0">
        <ns0:f>IF(COUNTA(Bookings!A566:G566,Bookings!I566)=0,0,1)</ns0:f>
        <ns0:v>0</ns0:v>
      </ns0:c>
      <ns0:c r="B566" s="0" t="str">
        <ns0:f>IFERROR(TRIM(MID(Bookings!A566,FIND(" · ",Bookings!A566)+3,99)),"")</ns0:f>
        <ns0:v/>
      </ns0:c>
      <ns0:c r="C566" s="0">
        <ns0:f>IF(OR(B566="",LEN(B566)&gt;24,ISNUMBER(FIND(" ",B566)),ISNUMBER(FIND("*",B566)),ISNUMBER(FIND("?",B566)),ISNUMBER(FIND("~",B566))),0,IFERROR(MATCH(B566,Team!$A$11:$A$60,0),0))</ns0:f>
        <ns0:v>0</ns0:v>
      </ns0:c>
      <ns0:c r="D566" s="0" t="str">
        <ns0:f>IFERROR(IF(MID(Bookings!F566,LEN(Bookings!F566)-3,3)=" · ",RIGHT(Bookings!F566,1),""),"")</ns0:f>
        <ns0:v/>
      </ns0:c>
      <ns0:c r="E566" s="0" t="str">
        <ns0:f>IFERROR(INDEX(Settings!$H$7:$H$11,MATCH(D566,Settings!$G$7:$G$11,0)),"")</ns0:f>
        <ns0:v/>
      </ns0:c>
      <ns0:c r="F566" s="0" t="str">
        <ns0:f>IF(A566=0,"",IFERROR(IF(OR(B566="",C566=0),"CHECK employee selection",IF(INDEX(Team!$O$11:$O$60,C566)&lt;&gt;"OK","CHECK employee setup",IF(OR('_Dates'!J566=0,'_Dates'!T566=0),"CHECK date: use DD.MM.YYYY",IF('_Dates'!T566&lt;'_Dates'!J566,"CHECK end before start",IF(AND($B$6=0,OR('_Dates'!J566&lt;Settings!$B$7,'_Dates'!T566&gt;Settings!$B$8)),"CHECK split across leave years",IF(OR(NOT(OR('_Dates'!U566="Full day",'_Dates'!U566="AM",'_Dates'!U566="PM")),NOT(OR('_Dates'!V566="Full day",'_Dates'!V566="AM",'_Dates'!V566="PM"))),"CHECK Full day / AM / PM",IF(AND('_Dates'!J566='_Dates'!T566,'_Dates'!U566&lt;&gt;"Full day",'_Dates'!V566&lt;&gt;"Full day",'_Dates'!U566&lt;&gt;'_Dates'!V566),"CHECK same-day portions disagree",IF(AND($B$6=0,OR(AND('_Dates'!U566&lt;&gt;"Full day",'_Dates'!AA566=0),AND('_Dates'!V566&lt;&gt;"Full day",'_Dates'!AB566=0))),"CHECK half-day on non-working date",IF(COUNTIF(Settings!$G$7:$G$11,D566)&lt;&gt;1,"CHECK leave type",IF(AND(Bookings!G566&lt;&gt;"Approved",Bookings!G566&lt;&gt;"Pending",Bookings!G566&lt;&gt;"Cancelled"),"CHECK status","OK")))))))))),"CHECK input"))</ns0:f>
        <ns0:v/>
      </ns0:c>
      <ns0:c r="G566" s="0">
        <ns0:f>IF(OR(F566&lt;&gt;"OK",$B$6&gt;0),0,0.5*(IF(('_Dates'!X566)&lt;('_Dates'!W566),0,INT((('_Dates'!X566)-('_Dates'!W566)+1)/7)*LEN(SUBSTITUTE(W566,"O",""))+LEN(SUBSTITUTE(MID(W566&amp;W566,WEEKDAY(('_Dates'!W566),2),MOD((('_Dates'!X566)-('_Dates'!W566)+1),7)),"O",""))-COUNTIFS(INDEX(AllClosureRows,C566,0),"&gt;="&amp;('_Dates'!W566),INDEX(AllClosureRows,C566,0),"&lt;="&amp;('_Dates'!X566)))+IF(('_Dates'!Z566)&lt;('_Dates'!Y566),0,INT((('_Dates'!Z566)-('_Dates'!Y566)+1)/7)*LEN(SUBSTITUTE(W566,"O",""))+LEN(SUBSTITUTE(MID(W566&amp;W566,WEEKDAY(('_Dates'!Y566),2),MOD((('_Dates'!Z566)-('_Dates'!Y566)+1),7)),"O",""))-COUNTIFS(INDEX(AllClosureRows,C566,0),"&gt;="&amp;('_Dates'!Y566),INDEX(AllClosureRows,C566,0),"&lt;="&amp;('_Dates'!Z566)))))</ns0:f>
        <ns0:v>0</ns0:v>
      </ns0:c>
      <ns0:c r="H566" s="0">
        <ns0:f>IF(OR(F566&lt;&gt;"OK",$B$6&gt;0),0,0.5*(IF((MIN('_Dates'!X566,Settings!$B$9))&lt;('_Dates'!W566),0,INT(((MIN('_Dates'!X566,Settings!$B$9))-('_Dates'!W566)+1)/7)*LEN(SUBSTITUTE(W566,"O",""))+LEN(SUBSTITUTE(MID(W566&amp;W566,WEEKDAY(('_Dates'!W566),2),MOD(((MIN('_Dates'!X566,Settings!$B$9))-('_Dates'!W566)+1),7)),"O",""))-COUNTIFS(INDEX(AllClosureRows,C566,0),"&gt;="&amp;('_Dates'!W566),INDEX(AllClosureRows,C566,0),"&lt;="&amp;(MIN('_Dates'!X566,Settings!$B$9))))+IF((MIN('_Dates'!Z566,Settings!$B$9))&lt;('_Dates'!Y566),0,INT(((MIN('_Dates'!Z566,Settings!$B$9))-('_Dates'!Y566)+1)/7)*LEN(SUBSTITUTE(W566,"O",""))+LEN(SUBSTITUTE(MID(W566&amp;W566,WEEKDAY(('_Dates'!Y566),2),MOD(((MIN('_Dates'!Z566,Settings!$B$9))-('_Dates'!Y566)+1),7)),"O",""))-COUNTIFS(INDEX(AllClosureRows,C566,0),"&gt;="&amp;('_Dates'!Y566),INDEX(AllClosureRows,C566,0),"&lt;="&amp;(MIN('_Dates'!Z566,Settings!$B$9))))))</ns0:f>
        <ns0:v>0</ns0:v>
      </ns0:c>
      <ns0:c r="I566" s="0">
        <ns0:f>MAX(0,G566-H566)</ns0:f>
        <ns0:v>0</ns0:v>
      </ns0:c>
      <ns0:c r="J566" s="0">
        <ns0:f>IF(OR(A566=0,F566&lt;&gt;"OK",Bookings!G566="Cancelled",$B$6&gt;0),0,IF('_Dates'!AC566=1,MAX(0,COUNTIFS(rngEngine_B,B566,rngAMStart,"&lt;="&amp;'_Dates'!X566,rngAMEnd,"&gt;="&amp;'_Dates'!W566,rngAMActive,1,rngEngine_F,"OK",rngBookings_F,"&lt;&gt;Cancelled")-1),0)+IF('_Dates'!AD566=1,MAX(0,COUNTIFS(rngEngine_B,B566,rngPMStart,"&lt;="&amp;'_Dates'!Z566,rngPMEnd,"&gt;="&amp;'_Dates'!Y566,rngPMActive,1,rngEngine_F,"OK",rngBookings_F,"&lt;&gt;Cancelled")-1),0))</ns0:f>
        <ns0:v>0</ns0:v>
      </ns0:c>
      <ns0:c r="K566" s="0" t="str">
        <ns0:f>IF(A566=0,"",IF(F566&lt;&gt;"OK",F566,IF(J566&gt;0,"CHECK overlapping entry",IF(AND($B$6=0,G566&lt;=0,Bookings!G566&lt;&gt;"Cancelled"),"CHECK no working days",IF(Bookings!G566="Cancelled","Cancelled","OK")))))</ns0:f>
        <ns0:v/>
      </ns0:c>
      <ns0:c r="L566" s="0">
        <ns0:f>IF(LEFT(K566,5)="CHECK",1,0)</ns0:f>
        <ns0:v>0</ns0:v>
      </ns0:c>
      <ns0:c r="M566" s="0">
        <ns0:f>IF(AND(L566=1,OR(C566=0,IFERROR(INDEX($X$11:$X$60,C566),0)=0)),1,0)</ns0:f>
        <ns0:v>0</ns0:v>
      </ns0:c>
      <ns0:c r="N566" s="0">
        <ns0:f>IF(OR(A566=0,L566&gt;0,$B$6&gt;0,Bookings!G566="Cancelled"),0,G566)</ns0:f>
        <ns0:v>0</ns0:v>
      </ns0:c>
      <ns0:c r="O566" s="0">
        <ns0:f>IF(AND(Bookings!G566="Approved",E566="Yes"),N566,0)</ns0:f>
        <ns0:v>0</ns0:v>
      </ns0:c>
      <ns0:c r="P566" s="0">
        <ns0:f>IF(AND(Bookings!G566="Approved",E566="Yes",L566=0,$B$6=0),H566,0)</ns0:f>
        <ns0:v>0</ns0:v>
      </ns0:c>
      <ns0:c r="Q566" s="0">
        <ns0:f>IF(AND(Bookings!G566="Approved",E566="Yes",L566=0,$B$6=0),I566,0)</ns0:f>
        <ns0:v>0</ns0:v>
      </ns0:c>
      <ns0:c r="R566" s="0">
        <ns0:f>IF(AND(Bookings!G566="Pending",E566="Yes"),N566,0)</ns0:f>
        <ns0:v>0</ns0:v>
      </ns0:c>
      <ns0:c r="S566" s="0">
        <ns0:f>IF(AND(Bookings!G566="Approved",E566="No"),N566,0)</ns0:f>
        <ns0:v>0</ns0:v>
      </ns0:c>
      <ns0:c r="T566" s="0">
        <ns0:f>IFERROR(MATCH(D566,Settings!$G$7:$G$11,0),0)</ns0:f>
        <ns0:v>0</ns0:v>
      </ns0:c>
      <ns0:c r="U566" s="0">
        <ns0:f>IF(N566&gt;0,T566+IF(Bookings!G566="Pending",10,0),0)</ns0:f>
        <ns0:v>0</ns0:v>
      </ns0:c>
      <ns0:c r="V566" s="0">
        <ns0:f>U566</ns0:f>
        <ns0:v>0</ns0:v>
      </ns0:c>
      <ns0:c r="W566" s="0" t="str">
        <ns0:f>IF(C566=0,"",INDEX($AP$11:$AP$60,C566))</ns0:f>
        <ns0:v/>
      </ns0:c>
    </ns0:row>
    <ns0:row r="567">
      <ns0:c r="A567" s="0">
        <ns0:f>IF(COUNTA(Bookings!A567:G567,Bookings!I567)=0,0,1)</ns0:f>
        <ns0:v>0</ns0:v>
      </ns0:c>
      <ns0:c r="B567" s="0" t="str">
        <ns0:f>IFERROR(TRIM(MID(Bookings!A567,FIND(" · ",Bookings!A567)+3,99)),"")</ns0:f>
        <ns0:v/>
      </ns0:c>
      <ns0:c r="C567" s="0">
        <ns0:f>IF(OR(B567="",LEN(B567)&gt;24,ISNUMBER(FIND(" ",B567)),ISNUMBER(FIND("*",B567)),ISNUMBER(FIND("?",B567)),ISNUMBER(FIND("~",B567))),0,IFERROR(MATCH(B567,Team!$A$11:$A$60,0),0))</ns0:f>
        <ns0:v>0</ns0:v>
      </ns0:c>
      <ns0:c r="D567" s="0" t="str">
        <ns0:f>IFERROR(IF(MID(Bookings!F567,LEN(Bookings!F567)-3,3)=" · ",RIGHT(Bookings!F567,1),""),"")</ns0:f>
        <ns0:v/>
      </ns0:c>
      <ns0:c r="E567" s="0" t="str">
        <ns0:f>IFERROR(INDEX(Settings!$H$7:$H$11,MATCH(D567,Settings!$G$7:$G$11,0)),"")</ns0:f>
        <ns0:v/>
      </ns0:c>
      <ns0:c r="F567" s="0" t="str">
        <ns0:f>IF(A567=0,"",IFERROR(IF(OR(B567="",C567=0),"CHECK employee selection",IF(INDEX(Team!$O$11:$O$60,C567)&lt;&gt;"OK","CHECK employee setup",IF(OR('_Dates'!J567=0,'_Dates'!T567=0),"CHECK date: use DD.MM.YYYY",IF('_Dates'!T567&lt;'_Dates'!J567,"CHECK end before start",IF(AND($B$6=0,OR('_Dates'!J567&lt;Settings!$B$7,'_Dates'!T567&gt;Settings!$B$8)),"CHECK split across leave years",IF(OR(NOT(OR('_Dates'!U567="Full day",'_Dates'!U567="AM",'_Dates'!U567="PM")),NOT(OR('_Dates'!V567="Full day",'_Dates'!V567="AM",'_Dates'!V567="PM"))),"CHECK Full day / AM / PM",IF(AND('_Dates'!J567='_Dates'!T567,'_Dates'!U567&lt;&gt;"Full day",'_Dates'!V567&lt;&gt;"Full day",'_Dates'!U567&lt;&gt;'_Dates'!V567),"CHECK same-day portions disagree",IF(AND($B$6=0,OR(AND('_Dates'!U567&lt;&gt;"Full day",'_Dates'!AA567=0),AND('_Dates'!V567&lt;&gt;"Full day",'_Dates'!AB567=0))),"CHECK half-day on non-working date",IF(COUNTIF(Settings!$G$7:$G$11,D567)&lt;&gt;1,"CHECK leave type",IF(AND(Bookings!G567&lt;&gt;"Approved",Bookings!G567&lt;&gt;"Pending",Bookings!G567&lt;&gt;"Cancelled"),"CHECK status","OK")))))))))),"CHECK input"))</ns0:f>
        <ns0:v/>
      </ns0:c>
      <ns0:c r="G567" s="0">
        <ns0:f>IF(OR(F567&lt;&gt;"OK",$B$6&gt;0),0,0.5*(IF(('_Dates'!X567)&lt;('_Dates'!W567),0,INT((('_Dates'!X567)-('_Dates'!W567)+1)/7)*LEN(SUBSTITUTE(W567,"O",""))+LEN(SUBSTITUTE(MID(W567&amp;W567,WEEKDAY(('_Dates'!W567),2),MOD((('_Dates'!X567)-('_Dates'!W567)+1),7)),"O",""))-COUNTIFS(INDEX(AllClosureRows,C567,0),"&gt;="&amp;('_Dates'!W567),INDEX(AllClosureRows,C567,0),"&lt;="&amp;('_Dates'!X567)))+IF(('_Dates'!Z567)&lt;('_Dates'!Y567),0,INT((('_Dates'!Z567)-('_Dates'!Y567)+1)/7)*LEN(SUBSTITUTE(W567,"O",""))+LEN(SUBSTITUTE(MID(W567&amp;W567,WEEKDAY(('_Dates'!Y567),2),MOD((('_Dates'!Z567)-('_Dates'!Y567)+1),7)),"O",""))-COUNTIFS(INDEX(AllClosureRows,C567,0),"&gt;="&amp;('_Dates'!Y567),INDEX(AllClosureRows,C567,0),"&lt;="&amp;('_Dates'!Z567)))))</ns0:f>
        <ns0:v>0</ns0:v>
      </ns0:c>
      <ns0:c r="H567" s="0">
        <ns0:f>IF(OR(F567&lt;&gt;"OK",$B$6&gt;0),0,0.5*(IF((MIN('_Dates'!X567,Settings!$B$9))&lt;('_Dates'!W567),0,INT(((MIN('_Dates'!X567,Settings!$B$9))-('_Dates'!W567)+1)/7)*LEN(SUBSTITUTE(W567,"O",""))+LEN(SUBSTITUTE(MID(W567&amp;W567,WEEKDAY(('_Dates'!W567),2),MOD(((MIN('_Dates'!X567,Settings!$B$9))-('_Dates'!W567)+1),7)),"O",""))-COUNTIFS(INDEX(AllClosureRows,C567,0),"&gt;="&amp;('_Dates'!W567),INDEX(AllClosureRows,C567,0),"&lt;="&amp;(MIN('_Dates'!X567,Settings!$B$9))))+IF((MIN('_Dates'!Z567,Settings!$B$9))&lt;('_Dates'!Y567),0,INT(((MIN('_Dates'!Z567,Settings!$B$9))-('_Dates'!Y567)+1)/7)*LEN(SUBSTITUTE(W567,"O",""))+LEN(SUBSTITUTE(MID(W567&amp;W567,WEEKDAY(('_Dates'!Y567),2),MOD(((MIN('_Dates'!Z567,Settings!$B$9))-('_Dates'!Y567)+1),7)),"O",""))-COUNTIFS(INDEX(AllClosureRows,C567,0),"&gt;="&amp;('_Dates'!Y567),INDEX(AllClosureRows,C567,0),"&lt;="&amp;(MIN('_Dates'!Z567,Settings!$B$9))))))</ns0:f>
        <ns0:v>0</ns0:v>
      </ns0:c>
      <ns0:c r="I567" s="0">
        <ns0:f>MAX(0,G567-H567)</ns0:f>
        <ns0:v>0</ns0:v>
      </ns0:c>
      <ns0:c r="J567" s="0">
        <ns0:f>IF(OR(A567=0,F567&lt;&gt;"OK",Bookings!G567="Cancelled",$B$6&gt;0),0,IF('_Dates'!AC567=1,MAX(0,COUNTIFS(rngEngine_B,B567,rngAMStart,"&lt;="&amp;'_Dates'!X567,rngAMEnd,"&gt;="&amp;'_Dates'!W567,rngAMActive,1,rngEngine_F,"OK",rngBookings_F,"&lt;&gt;Cancelled")-1),0)+IF('_Dates'!AD567=1,MAX(0,COUNTIFS(rngEngine_B,B567,rngPMStart,"&lt;="&amp;'_Dates'!Z567,rngPMEnd,"&gt;="&amp;'_Dates'!Y567,rngPMActive,1,rngEngine_F,"OK",rngBookings_F,"&lt;&gt;Cancelled")-1),0))</ns0:f>
        <ns0:v>0</ns0:v>
      </ns0:c>
      <ns0:c r="K567" s="0" t="str">
        <ns0:f>IF(A567=0,"",IF(F567&lt;&gt;"OK",F567,IF(J567&gt;0,"CHECK overlapping entry",IF(AND($B$6=0,G567&lt;=0,Bookings!G567&lt;&gt;"Cancelled"),"CHECK no working days",IF(Bookings!G567="Cancelled","Cancelled","OK")))))</ns0:f>
        <ns0:v/>
      </ns0:c>
      <ns0:c r="L567" s="0">
        <ns0:f>IF(LEFT(K567,5)="CHECK",1,0)</ns0:f>
        <ns0:v>0</ns0:v>
      </ns0:c>
      <ns0:c r="M567" s="0">
        <ns0:f>IF(AND(L567=1,OR(C567=0,IFERROR(INDEX($X$11:$X$60,C567),0)=0)),1,0)</ns0:f>
        <ns0:v>0</ns0:v>
      </ns0:c>
      <ns0:c r="N567" s="0">
        <ns0:f>IF(OR(A567=0,L567&gt;0,$B$6&gt;0,Bookings!G567="Cancelled"),0,G567)</ns0:f>
        <ns0:v>0</ns0:v>
      </ns0:c>
      <ns0:c r="O567" s="0">
        <ns0:f>IF(AND(Bookings!G567="Approved",E567="Yes"),N567,0)</ns0:f>
        <ns0:v>0</ns0:v>
      </ns0:c>
      <ns0:c r="P567" s="0">
        <ns0:f>IF(AND(Bookings!G567="Approved",E567="Yes",L567=0,$B$6=0),H567,0)</ns0:f>
        <ns0:v>0</ns0:v>
      </ns0:c>
      <ns0:c r="Q567" s="0">
        <ns0:f>IF(AND(Bookings!G567="Approved",E567="Yes",L567=0,$B$6=0),I567,0)</ns0:f>
        <ns0:v>0</ns0:v>
      </ns0:c>
      <ns0:c r="R567" s="0">
        <ns0:f>IF(AND(Bookings!G567="Pending",E567="Yes"),N567,0)</ns0:f>
        <ns0:v>0</ns0:v>
      </ns0:c>
      <ns0:c r="S567" s="0">
        <ns0:f>IF(AND(Bookings!G567="Approved",E567="No"),N567,0)</ns0:f>
        <ns0:v>0</ns0:v>
      </ns0:c>
      <ns0:c r="T567" s="0">
        <ns0:f>IFERROR(MATCH(D567,Settings!$G$7:$G$11,0),0)</ns0:f>
        <ns0:v>0</ns0:v>
      </ns0:c>
      <ns0:c r="U567" s="0">
        <ns0:f>IF(N567&gt;0,T567+IF(Bookings!G567="Pending",10,0),0)</ns0:f>
        <ns0:v>0</ns0:v>
      </ns0:c>
      <ns0:c r="V567" s="0">
        <ns0:f>U567</ns0:f>
        <ns0:v>0</ns0:v>
      </ns0:c>
      <ns0:c r="W567" s="0" t="str">
        <ns0:f>IF(C567=0,"",INDEX($AP$11:$AP$60,C567))</ns0:f>
        <ns0:v/>
      </ns0:c>
    </ns0:row>
    <ns0:row r="568">
      <ns0:c r="A568" s="0">
        <ns0:f>IF(COUNTA(Bookings!A568:G568,Bookings!I568)=0,0,1)</ns0:f>
        <ns0:v>0</ns0:v>
      </ns0:c>
      <ns0:c r="B568" s="0" t="str">
        <ns0:f>IFERROR(TRIM(MID(Bookings!A568,FIND(" · ",Bookings!A568)+3,99)),"")</ns0:f>
        <ns0:v/>
      </ns0:c>
      <ns0:c r="C568" s="0">
        <ns0:f>IF(OR(B568="",LEN(B568)&gt;24,ISNUMBER(FIND(" ",B568)),ISNUMBER(FIND("*",B568)),ISNUMBER(FIND("?",B568)),ISNUMBER(FIND("~",B568))),0,IFERROR(MATCH(B568,Team!$A$11:$A$60,0),0))</ns0:f>
        <ns0:v>0</ns0:v>
      </ns0:c>
      <ns0:c r="D568" s="0" t="str">
        <ns0:f>IFERROR(IF(MID(Bookings!F568,LEN(Bookings!F568)-3,3)=" · ",RIGHT(Bookings!F568,1),""),"")</ns0:f>
        <ns0:v/>
      </ns0:c>
      <ns0:c r="E568" s="0" t="str">
        <ns0:f>IFERROR(INDEX(Settings!$H$7:$H$11,MATCH(D568,Settings!$G$7:$G$11,0)),"")</ns0:f>
        <ns0:v/>
      </ns0:c>
      <ns0:c r="F568" s="0" t="str">
        <ns0:f>IF(A568=0,"",IFERROR(IF(OR(B568="",C568=0),"CHECK employee selection",IF(INDEX(Team!$O$11:$O$60,C568)&lt;&gt;"OK","CHECK employee setup",IF(OR('_Dates'!J568=0,'_Dates'!T568=0),"CHECK date: use DD.MM.YYYY",IF('_Dates'!T568&lt;'_Dates'!J568,"CHECK end before start",IF(AND($B$6=0,OR('_Dates'!J568&lt;Settings!$B$7,'_Dates'!T568&gt;Settings!$B$8)),"CHECK split across leave years",IF(OR(NOT(OR('_Dates'!U568="Full day",'_Dates'!U568="AM",'_Dates'!U568="PM")),NOT(OR('_Dates'!V568="Full day",'_Dates'!V568="AM",'_Dates'!V568="PM"))),"CHECK Full day / AM / PM",IF(AND('_Dates'!J568='_Dates'!T568,'_Dates'!U568&lt;&gt;"Full day",'_Dates'!V568&lt;&gt;"Full day",'_Dates'!U568&lt;&gt;'_Dates'!V568),"CHECK same-day portions disagree",IF(AND($B$6=0,OR(AND('_Dates'!U568&lt;&gt;"Full day",'_Dates'!AA568=0),AND('_Dates'!V568&lt;&gt;"Full day",'_Dates'!AB568=0))),"CHECK half-day on non-working date",IF(COUNTIF(Settings!$G$7:$G$11,D568)&lt;&gt;1,"CHECK leave type",IF(AND(Bookings!G568&lt;&gt;"Approved",Bookings!G568&lt;&gt;"Pending",Bookings!G568&lt;&gt;"Cancelled"),"CHECK status","OK")))))))))),"CHECK input"))</ns0:f>
        <ns0:v/>
      </ns0:c>
      <ns0:c r="G568" s="0">
        <ns0:f>IF(OR(F568&lt;&gt;"OK",$B$6&gt;0),0,0.5*(IF(('_Dates'!X568)&lt;('_Dates'!W568),0,INT((('_Dates'!X568)-('_Dates'!W568)+1)/7)*LEN(SUBSTITUTE(W568,"O",""))+LEN(SUBSTITUTE(MID(W568&amp;W568,WEEKDAY(('_Dates'!W568),2),MOD((('_Dates'!X568)-('_Dates'!W568)+1),7)),"O",""))-COUNTIFS(INDEX(AllClosureRows,C568,0),"&gt;="&amp;('_Dates'!W568),INDEX(AllClosureRows,C568,0),"&lt;="&amp;('_Dates'!X568)))+IF(('_Dates'!Z568)&lt;('_Dates'!Y568),0,INT((('_Dates'!Z568)-('_Dates'!Y568)+1)/7)*LEN(SUBSTITUTE(W568,"O",""))+LEN(SUBSTITUTE(MID(W568&amp;W568,WEEKDAY(('_Dates'!Y568),2),MOD((('_Dates'!Z568)-('_Dates'!Y568)+1),7)),"O",""))-COUNTIFS(INDEX(AllClosureRows,C568,0),"&gt;="&amp;('_Dates'!Y568),INDEX(AllClosureRows,C568,0),"&lt;="&amp;('_Dates'!Z568)))))</ns0:f>
        <ns0:v>0</ns0:v>
      </ns0:c>
      <ns0:c r="H568" s="0">
        <ns0:f>IF(OR(F568&lt;&gt;"OK",$B$6&gt;0),0,0.5*(IF((MIN('_Dates'!X568,Settings!$B$9))&lt;('_Dates'!W568),0,INT(((MIN('_Dates'!X568,Settings!$B$9))-('_Dates'!W568)+1)/7)*LEN(SUBSTITUTE(W568,"O",""))+LEN(SUBSTITUTE(MID(W568&amp;W568,WEEKDAY(('_Dates'!W568),2),MOD(((MIN('_Dates'!X568,Settings!$B$9))-('_Dates'!W568)+1),7)),"O",""))-COUNTIFS(INDEX(AllClosureRows,C568,0),"&gt;="&amp;('_Dates'!W568),INDEX(AllClosureRows,C568,0),"&lt;="&amp;(MIN('_Dates'!X568,Settings!$B$9))))+IF((MIN('_Dates'!Z568,Settings!$B$9))&lt;('_Dates'!Y568),0,INT(((MIN('_Dates'!Z568,Settings!$B$9))-('_Dates'!Y568)+1)/7)*LEN(SUBSTITUTE(W568,"O",""))+LEN(SUBSTITUTE(MID(W568&amp;W568,WEEKDAY(('_Dates'!Y568),2),MOD(((MIN('_Dates'!Z568,Settings!$B$9))-('_Dates'!Y568)+1),7)),"O",""))-COUNTIFS(INDEX(AllClosureRows,C568,0),"&gt;="&amp;('_Dates'!Y568),INDEX(AllClosureRows,C568,0),"&lt;="&amp;(MIN('_Dates'!Z568,Settings!$B$9))))))</ns0:f>
        <ns0:v>0</ns0:v>
      </ns0:c>
      <ns0:c r="I568" s="0">
        <ns0:f>MAX(0,G568-H568)</ns0:f>
        <ns0:v>0</ns0:v>
      </ns0:c>
      <ns0:c r="J568" s="0">
        <ns0:f>IF(OR(A568=0,F568&lt;&gt;"OK",Bookings!G568="Cancelled",$B$6&gt;0),0,IF('_Dates'!AC568=1,MAX(0,COUNTIFS(rngEngine_B,B568,rngAMStart,"&lt;="&amp;'_Dates'!X568,rngAMEnd,"&gt;="&amp;'_Dates'!W568,rngAMActive,1,rngEngine_F,"OK",rngBookings_F,"&lt;&gt;Cancelled")-1),0)+IF('_Dates'!AD568=1,MAX(0,COUNTIFS(rngEngine_B,B568,rngPMStart,"&lt;="&amp;'_Dates'!Z568,rngPMEnd,"&gt;="&amp;'_Dates'!Y568,rngPMActive,1,rngEngine_F,"OK",rngBookings_F,"&lt;&gt;Cancelled")-1),0))</ns0:f>
        <ns0:v>0</ns0:v>
      </ns0:c>
      <ns0:c r="K568" s="0" t="str">
        <ns0:f>IF(A568=0,"",IF(F568&lt;&gt;"OK",F568,IF(J568&gt;0,"CHECK overlapping entry",IF(AND($B$6=0,G568&lt;=0,Bookings!G568&lt;&gt;"Cancelled"),"CHECK no working days",IF(Bookings!G568="Cancelled","Cancelled","OK")))))</ns0:f>
        <ns0:v/>
      </ns0:c>
      <ns0:c r="L568" s="0">
        <ns0:f>IF(LEFT(K568,5)="CHECK",1,0)</ns0:f>
        <ns0:v>0</ns0:v>
      </ns0:c>
      <ns0:c r="M568" s="0">
        <ns0:f>IF(AND(L568=1,OR(C568=0,IFERROR(INDEX($X$11:$X$60,C568),0)=0)),1,0)</ns0:f>
        <ns0:v>0</ns0:v>
      </ns0:c>
      <ns0:c r="N568" s="0">
        <ns0:f>IF(OR(A568=0,L568&gt;0,$B$6&gt;0,Bookings!G568="Cancelled"),0,G568)</ns0:f>
        <ns0:v>0</ns0:v>
      </ns0:c>
      <ns0:c r="O568" s="0">
        <ns0:f>IF(AND(Bookings!G568="Approved",E568="Yes"),N568,0)</ns0:f>
        <ns0:v>0</ns0:v>
      </ns0:c>
      <ns0:c r="P568" s="0">
        <ns0:f>IF(AND(Bookings!G568="Approved",E568="Yes",L568=0,$B$6=0),H568,0)</ns0:f>
        <ns0:v>0</ns0:v>
      </ns0:c>
      <ns0:c r="Q568" s="0">
        <ns0:f>IF(AND(Bookings!G568="Approved",E568="Yes",L568=0,$B$6=0),I568,0)</ns0:f>
        <ns0:v>0</ns0:v>
      </ns0:c>
      <ns0:c r="R568" s="0">
        <ns0:f>IF(AND(Bookings!G568="Pending",E568="Yes"),N568,0)</ns0:f>
        <ns0:v>0</ns0:v>
      </ns0:c>
      <ns0:c r="S568" s="0">
        <ns0:f>IF(AND(Bookings!G568="Approved",E568="No"),N568,0)</ns0:f>
        <ns0:v>0</ns0:v>
      </ns0:c>
      <ns0:c r="T568" s="0">
        <ns0:f>IFERROR(MATCH(D568,Settings!$G$7:$G$11,0),0)</ns0:f>
        <ns0:v>0</ns0:v>
      </ns0:c>
      <ns0:c r="U568" s="0">
        <ns0:f>IF(N568&gt;0,T568+IF(Bookings!G568="Pending",10,0),0)</ns0:f>
        <ns0:v>0</ns0:v>
      </ns0:c>
      <ns0:c r="V568" s="0">
        <ns0:f>U568</ns0:f>
        <ns0:v>0</ns0:v>
      </ns0:c>
      <ns0:c r="W568" s="0" t="str">
        <ns0:f>IF(C568=0,"",INDEX($AP$11:$AP$60,C568))</ns0:f>
        <ns0:v/>
      </ns0:c>
    </ns0:row>
    <ns0:row r="569">
      <ns0:c r="A569" s="0">
        <ns0:f>IF(COUNTA(Bookings!A569:G569,Bookings!I569)=0,0,1)</ns0:f>
        <ns0:v>0</ns0:v>
      </ns0:c>
      <ns0:c r="B569" s="0" t="str">
        <ns0:f>IFERROR(TRIM(MID(Bookings!A569,FIND(" · ",Bookings!A569)+3,99)),"")</ns0:f>
        <ns0:v/>
      </ns0:c>
      <ns0:c r="C569" s="0">
        <ns0:f>IF(OR(B569="",LEN(B569)&gt;24,ISNUMBER(FIND(" ",B569)),ISNUMBER(FIND("*",B569)),ISNUMBER(FIND("?",B569)),ISNUMBER(FIND("~",B569))),0,IFERROR(MATCH(B569,Team!$A$11:$A$60,0),0))</ns0:f>
        <ns0:v>0</ns0:v>
      </ns0:c>
      <ns0:c r="D569" s="0" t="str">
        <ns0:f>IFERROR(IF(MID(Bookings!F569,LEN(Bookings!F569)-3,3)=" · ",RIGHT(Bookings!F569,1),""),"")</ns0:f>
        <ns0:v/>
      </ns0:c>
      <ns0:c r="E569" s="0" t="str">
        <ns0:f>IFERROR(INDEX(Settings!$H$7:$H$11,MATCH(D569,Settings!$G$7:$G$11,0)),"")</ns0:f>
        <ns0:v/>
      </ns0:c>
      <ns0:c r="F569" s="0" t="str">
        <ns0:f>IF(A569=0,"",IFERROR(IF(OR(B569="",C569=0),"CHECK employee selection",IF(INDEX(Team!$O$11:$O$60,C569)&lt;&gt;"OK","CHECK employee setup",IF(OR('_Dates'!J569=0,'_Dates'!T569=0),"CHECK date: use DD.MM.YYYY",IF('_Dates'!T569&lt;'_Dates'!J569,"CHECK end before start",IF(AND($B$6=0,OR('_Dates'!J569&lt;Settings!$B$7,'_Dates'!T569&gt;Settings!$B$8)),"CHECK split across leave years",IF(OR(NOT(OR('_Dates'!U569="Full day",'_Dates'!U569="AM",'_Dates'!U569="PM")),NOT(OR('_Dates'!V569="Full day",'_Dates'!V569="AM",'_Dates'!V569="PM"))),"CHECK Full day / AM / PM",IF(AND('_Dates'!J569='_Dates'!T569,'_Dates'!U569&lt;&gt;"Full day",'_Dates'!V569&lt;&gt;"Full day",'_Dates'!U569&lt;&gt;'_Dates'!V569),"CHECK same-day portions disagree",IF(AND($B$6=0,OR(AND('_Dates'!U569&lt;&gt;"Full day",'_Dates'!AA569=0),AND('_Dates'!V569&lt;&gt;"Full day",'_Dates'!AB569=0))),"CHECK half-day on non-working date",IF(COUNTIF(Settings!$G$7:$G$11,D569)&lt;&gt;1,"CHECK leave type",IF(AND(Bookings!G569&lt;&gt;"Approved",Bookings!G569&lt;&gt;"Pending",Bookings!G569&lt;&gt;"Cancelled"),"CHECK status","OK")))))))))),"CHECK input"))</ns0:f>
        <ns0:v/>
      </ns0:c>
      <ns0:c r="G569" s="0">
        <ns0:f>IF(OR(F569&lt;&gt;"OK",$B$6&gt;0),0,0.5*(IF(('_Dates'!X569)&lt;('_Dates'!W569),0,INT((('_Dates'!X569)-('_Dates'!W569)+1)/7)*LEN(SUBSTITUTE(W569,"O",""))+LEN(SUBSTITUTE(MID(W569&amp;W569,WEEKDAY(('_Dates'!W569),2),MOD((('_Dates'!X569)-('_Dates'!W569)+1),7)),"O",""))-COUNTIFS(INDEX(AllClosureRows,C569,0),"&gt;="&amp;('_Dates'!W569),INDEX(AllClosureRows,C569,0),"&lt;="&amp;('_Dates'!X569)))+IF(('_Dates'!Z569)&lt;('_Dates'!Y569),0,INT((('_Dates'!Z569)-('_Dates'!Y569)+1)/7)*LEN(SUBSTITUTE(W569,"O",""))+LEN(SUBSTITUTE(MID(W569&amp;W569,WEEKDAY(('_Dates'!Y569),2),MOD((('_Dates'!Z569)-('_Dates'!Y569)+1),7)),"O",""))-COUNTIFS(INDEX(AllClosureRows,C569,0),"&gt;="&amp;('_Dates'!Y569),INDEX(AllClosureRows,C569,0),"&lt;="&amp;('_Dates'!Z569)))))</ns0:f>
        <ns0:v>0</ns0:v>
      </ns0:c>
      <ns0:c r="H569" s="0">
        <ns0:f>IF(OR(F569&lt;&gt;"OK",$B$6&gt;0),0,0.5*(IF((MIN('_Dates'!X569,Settings!$B$9))&lt;('_Dates'!W569),0,INT(((MIN('_Dates'!X569,Settings!$B$9))-('_Dates'!W569)+1)/7)*LEN(SUBSTITUTE(W569,"O",""))+LEN(SUBSTITUTE(MID(W569&amp;W569,WEEKDAY(('_Dates'!W569),2),MOD(((MIN('_Dates'!X569,Settings!$B$9))-('_Dates'!W569)+1),7)),"O",""))-COUNTIFS(INDEX(AllClosureRows,C569,0),"&gt;="&amp;('_Dates'!W569),INDEX(AllClosureRows,C569,0),"&lt;="&amp;(MIN('_Dates'!X569,Settings!$B$9))))+IF((MIN('_Dates'!Z569,Settings!$B$9))&lt;('_Dates'!Y569),0,INT(((MIN('_Dates'!Z569,Settings!$B$9))-('_Dates'!Y569)+1)/7)*LEN(SUBSTITUTE(W569,"O",""))+LEN(SUBSTITUTE(MID(W569&amp;W569,WEEKDAY(('_Dates'!Y569),2),MOD(((MIN('_Dates'!Z569,Settings!$B$9))-('_Dates'!Y569)+1),7)),"O",""))-COUNTIFS(INDEX(AllClosureRows,C569,0),"&gt;="&amp;('_Dates'!Y569),INDEX(AllClosureRows,C569,0),"&lt;="&amp;(MIN('_Dates'!Z569,Settings!$B$9))))))</ns0:f>
        <ns0:v>0</ns0:v>
      </ns0:c>
      <ns0:c r="I569" s="0">
        <ns0:f>MAX(0,G569-H569)</ns0:f>
        <ns0:v>0</ns0:v>
      </ns0:c>
      <ns0:c r="J569" s="0">
        <ns0:f>IF(OR(A569=0,F569&lt;&gt;"OK",Bookings!G569="Cancelled",$B$6&gt;0),0,IF('_Dates'!AC569=1,MAX(0,COUNTIFS(rngEngine_B,B569,rngAMStart,"&lt;="&amp;'_Dates'!X569,rngAMEnd,"&gt;="&amp;'_Dates'!W569,rngAMActive,1,rngEngine_F,"OK",rngBookings_F,"&lt;&gt;Cancelled")-1),0)+IF('_Dates'!AD569=1,MAX(0,COUNTIFS(rngEngine_B,B569,rngPMStart,"&lt;="&amp;'_Dates'!Z569,rngPMEnd,"&gt;="&amp;'_Dates'!Y569,rngPMActive,1,rngEngine_F,"OK",rngBookings_F,"&lt;&gt;Cancelled")-1),0))</ns0:f>
        <ns0:v>0</ns0:v>
      </ns0:c>
      <ns0:c r="K569" s="0" t="str">
        <ns0:f>IF(A569=0,"",IF(F569&lt;&gt;"OK",F569,IF(J569&gt;0,"CHECK overlapping entry",IF(AND($B$6=0,G569&lt;=0,Bookings!G569&lt;&gt;"Cancelled"),"CHECK no working days",IF(Bookings!G569="Cancelled","Cancelled","OK")))))</ns0:f>
        <ns0:v/>
      </ns0:c>
      <ns0:c r="L569" s="0">
        <ns0:f>IF(LEFT(K569,5)="CHECK",1,0)</ns0:f>
        <ns0:v>0</ns0:v>
      </ns0:c>
      <ns0:c r="M569" s="0">
        <ns0:f>IF(AND(L569=1,OR(C569=0,IFERROR(INDEX($X$11:$X$60,C569),0)=0)),1,0)</ns0:f>
        <ns0:v>0</ns0:v>
      </ns0:c>
      <ns0:c r="N569" s="0">
        <ns0:f>IF(OR(A569=0,L569&gt;0,$B$6&gt;0,Bookings!G569="Cancelled"),0,G569)</ns0:f>
        <ns0:v>0</ns0:v>
      </ns0:c>
      <ns0:c r="O569" s="0">
        <ns0:f>IF(AND(Bookings!G569="Approved",E569="Yes"),N569,0)</ns0:f>
        <ns0:v>0</ns0:v>
      </ns0:c>
      <ns0:c r="P569" s="0">
        <ns0:f>IF(AND(Bookings!G569="Approved",E569="Yes",L569=0,$B$6=0),H569,0)</ns0:f>
        <ns0:v>0</ns0:v>
      </ns0:c>
      <ns0:c r="Q569" s="0">
        <ns0:f>IF(AND(Bookings!G569="Approved",E569="Yes",L569=0,$B$6=0),I569,0)</ns0:f>
        <ns0:v>0</ns0:v>
      </ns0:c>
      <ns0:c r="R569" s="0">
        <ns0:f>IF(AND(Bookings!G569="Pending",E569="Yes"),N569,0)</ns0:f>
        <ns0:v>0</ns0:v>
      </ns0:c>
      <ns0:c r="S569" s="0">
        <ns0:f>IF(AND(Bookings!G569="Approved",E569="No"),N569,0)</ns0:f>
        <ns0:v>0</ns0:v>
      </ns0:c>
      <ns0:c r="T569" s="0">
        <ns0:f>IFERROR(MATCH(D569,Settings!$G$7:$G$11,0),0)</ns0:f>
        <ns0:v>0</ns0:v>
      </ns0:c>
      <ns0:c r="U569" s="0">
        <ns0:f>IF(N569&gt;0,T569+IF(Bookings!G569="Pending",10,0),0)</ns0:f>
        <ns0:v>0</ns0:v>
      </ns0:c>
      <ns0:c r="V569" s="0">
        <ns0:f>U569</ns0:f>
        <ns0:v>0</ns0:v>
      </ns0:c>
      <ns0:c r="W569" s="0" t="str">
        <ns0:f>IF(C569=0,"",INDEX($AP$11:$AP$60,C569))</ns0:f>
        <ns0:v/>
      </ns0:c>
    </ns0:row>
    <ns0:row r="570">
      <ns0:c r="A570" s="0">
        <ns0:f>IF(COUNTA(Bookings!A570:G570,Bookings!I570)=0,0,1)</ns0:f>
        <ns0:v>0</ns0:v>
      </ns0:c>
      <ns0:c r="B570" s="0" t="str">
        <ns0:f>IFERROR(TRIM(MID(Bookings!A570,FIND(" · ",Bookings!A570)+3,99)),"")</ns0:f>
        <ns0:v/>
      </ns0:c>
      <ns0:c r="C570" s="0">
        <ns0:f>IF(OR(B570="",LEN(B570)&gt;24,ISNUMBER(FIND(" ",B570)),ISNUMBER(FIND("*",B570)),ISNUMBER(FIND("?",B570)),ISNUMBER(FIND("~",B570))),0,IFERROR(MATCH(B570,Team!$A$11:$A$60,0),0))</ns0:f>
        <ns0:v>0</ns0:v>
      </ns0:c>
      <ns0:c r="D570" s="0" t="str">
        <ns0:f>IFERROR(IF(MID(Bookings!F570,LEN(Bookings!F570)-3,3)=" · ",RIGHT(Bookings!F570,1),""),"")</ns0:f>
        <ns0:v/>
      </ns0:c>
      <ns0:c r="E570" s="0" t="str">
        <ns0:f>IFERROR(INDEX(Settings!$H$7:$H$11,MATCH(D570,Settings!$G$7:$G$11,0)),"")</ns0:f>
        <ns0:v/>
      </ns0:c>
      <ns0:c r="F570" s="0" t="str">
        <ns0:f>IF(A570=0,"",IFERROR(IF(OR(B570="",C570=0),"CHECK employee selection",IF(INDEX(Team!$O$11:$O$60,C570)&lt;&gt;"OK","CHECK employee setup",IF(OR('_Dates'!J570=0,'_Dates'!T570=0),"CHECK date: use DD.MM.YYYY",IF('_Dates'!T570&lt;'_Dates'!J570,"CHECK end before start",IF(AND($B$6=0,OR('_Dates'!J570&lt;Settings!$B$7,'_Dates'!T570&gt;Settings!$B$8)),"CHECK split across leave years",IF(OR(NOT(OR('_Dates'!U570="Full day",'_Dates'!U570="AM",'_Dates'!U570="PM")),NOT(OR('_Dates'!V570="Full day",'_Dates'!V570="AM",'_Dates'!V570="PM"))),"CHECK Full day / AM / PM",IF(AND('_Dates'!J570='_Dates'!T570,'_Dates'!U570&lt;&gt;"Full day",'_Dates'!V570&lt;&gt;"Full day",'_Dates'!U570&lt;&gt;'_Dates'!V570),"CHECK same-day portions disagree",IF(AND($B$6=0,OR(AND('_Dates'!U570&lt;&gt;"Full day",'_Dates'!AA570=0),AND('_Dates'!V570&lt;&gt;"Full day",'_Dates'!AB570=0))),"CHECK half-day on non-working date",IF(COUNTIF(Settings!$G$7:$G$11,D570)&lt;&gt;1,"CHECK leave type",IF(AND(Bookings!G570&lt;&gt;"Approved",Bookings!G570&lt;&gt;"Pending",Bookings!G570&lt;&gt;"Cancelled"),"CHECK status","OK")))))))))),"CHECK input"))</ns0:f>
        <ns0:v/>
      </ns0:c>
      <ns0:c r="G570" s="0">
        <ns0:f>IF(OR(F570&lt;&gt;"OK",$B$6&gt;0),0,0.5*(IF(('_Dates'!X570)&lt;('_Dates'!W570),0,INT((('_Dates'!X570)-('_Dates'!W570)+1)/7)*LEN(SUBSTITUTE(W570,"O",""))+LEN(SUBSTITUTE(MID(W570&amp;W570,WEEKDAY(('_Dates'!W570),2),MOD((('_Dates'!X570)-('_Dates'!W570)+1),7)),"O",""))-COUNTIFS(INDEX(AllClosureRows,C570,0),"&gt;="&amp;('_Dates'!W570),INDEX(AllClosureRows,C570,0),"&lt;="&amp;('_Dates'!X570)))+IF(('_Dates'!Z570)&lt;('_Dates'!Y570),0,INT((('_Dates'!Z570)-('_Dates'!Y570)+1)/7)*LEN(SUBSTITUTE(W570,"O",""))+LEN(SUBSTITUTE(MID(W570&amp;W570,WEEKDAY(('_Dates'!Y570),2),MOD((('_Dates'!Z570)-('_Dates'!Y570)+1),7)),"O",""))-COUNTIFS(INDEX(AllClosureRows,C570,0),"&gt;="&amp;('_Dates'!Y570),INDEX(AllClosureRows,C570,0),"&lt;="&amp;('_Dates'!Z570)))))</ns0:f>
        <ns0:v>0</ns0:v>
      </ns0:c>
      <ns0:c r="H570" s="0">
        <ns0:f>IF(OR(F570&lt;&gt;"OK",$B$6&gt;0),0,0.5*(IF((MIN('_Dates'!X570,Settings!$B$9))&lt;('_Dates'!W570),0,INT(((MIN('_Dates'!X570,Settings!$B$9))-('_Dates'!W570)+1)/7)*LEN(SUBSTITUTE(W570,"O",""))+LEN(SUBSTITUTE(MID(W570&amp;W570,WEEKDAY(('_Dates'!W570),2),MOD(((MIN('_Dates'!X570,Settings!$B$9))-('_Dates'!W570)+1),7)),"O",""))-COUNTIFS(INDEX(AllClosureRows,C570,0),"&gt;="&amp;('_Dates'!W570),INDEX(AllClosureRows,C570,0),"&lt;="&amp;(MIN('_Dates'!X570,Settings!$B$9))))+IF((MIN('_Dates'!Z570,Settings!$B$9))&lt;('_Dates'!Y570),0,INT(((MIN('_Dates'!Z570,Settings!$B$9))-('_Dates'!Y570)+1)/7)*LEN(SUBSTITUTE(W570,"O",""))+LEN(SUBSTITUTE(MID(W570&amp;W570,WEEKDAY(('_Dates'!Y570),2),MOD(((MIN('_Dates'!Z570,Settings!$B$9))-('_Dates'!Y570)+1),7)),"O",""))-COUNTIFS(INDEX(AllClosureRows,C570,0),"&gt;="&amp;('_Dates'!Y570),INDEX(AllClosureRows,C570,0),"&lt;="&amp;(MIN('_Dates'!Z570,Settings!$B$9))))))</ns0:f>
        <ns0:v>0</ns0:v>
      </ns0:c>
      <ns0:c r="I570" s="0">
        <ns0:f>MAX(0,G570-H570)</ns0:f>
        <ns0:v>0</ns0:v>
      </ns0:c>
      <ns0:c r="J570" s="0">
        <ns0:f>IF(OR(A570=0,F570&lt;&gt;"OK",Bookings!G570="Cancelled",$B$6&gt;0),0,IF('_Dates'!AC570=1,MAX(0,COUNTIFS(rngEngine_B,B570,rngAMStart,"&lt;="&amp;'_Dates'!X570,rngAMEnd,"&gt;="&amp;'_Dates'!W570,rngAMActive,1,rngEngine_F,"OK",rngBookings_F,"&lt;&gt;Cancelled")-1),0)+IF('_Dates'!AD570=1,MAX(0,COUNTIFS(rngEngine_B,B570,rngPMStart,"&lt;="&amp;'_Dates'!Z570,rngPMEnd,"&gt;="&amp;'_Dates'!Y570,rngPMActive,1,rngEngine_F,"OK",rngBookings_F,"&lt;&gt;Cancelled")-1),0))</ns0:f>
        <ns0:v>0</ns0:v>
      </ns0:c>
      <ns0:c r="K570" s="0" t="str">
        <ns0:f>IF(A570=0,"",IF(F570&lt;&gt;"OK",F570,IF(J570&gt;0,"CHECK overlapping entry",IF(AND($B$6=0,G570&lt;=0,Bookings!G570&lt;&gt;"Cancelled"),"CHECK no working days",IF(Bookings!G570="Cancelled","Cancelled","OK")))))</ns0:f>
        <ns0:v/>
      </ns0:c>
      <ns0:c r="L570" s="0">
        <ns0:f>IF(LEFT(K570,5)="CHECK",1,0)</ns0:f>
        <ns0:v>0</ns0:v>
      </ns0:c>
      <ns0:c r="M570" s="0">
        <ns0:f>IF(AND(L570=1,OR(C570=0,IFERROR(INDEX($X$11:$X$60,C570),0)=0)),1,0)</ns0:f>
        <ns0:v>0</ns0:v>
      </ns0:c>
      <ns0:c r="N570" s="0">
        <ns0:f>IF(OR(A570=0,L570&gt;0,$B$6&gt;0,Bookings!G570="Cancelled"),0,G570)</ns0:f>
        <ns0:v>0</ns0:v>
      </ns0:c>
      <ns0:c r="O570" s="0">
        <ns0:f>IF(AND(Bookings!G570="Approved",E570="Yes"),N570,0)</ns0:f>
        <ns0:v>0</ns0:v>
      </ns0:c>
      <ns0:c r="P570" s="0">
        <ns0:f>IF(AND(Bookings!G570="Approved",E570="Yes",L570=0,$B$6=0),H570,0)</ns0:f>
        <ns0:v>0</ns0:v>
      </ns0:c>
      <ns0:c r="Q570" s="0">
        <ns0:f>IF(AND(Bookings!G570="Approved",E570="Yes",L570=0,$B$6=0),I570,0)</ns0:f>
        <ns0:v>0</ns0:v>
      </ns0:c>
      <ns0:c r="R570" s="0">
        <ns0:f>IF(AND(Bookings!G570="Pending",E570="Yes"),N570,0)</ns0:f>
        <ns0:v>0</ns0:v>
      </ns0:c>
      <ns0:c r="S570" s="0">
        <ns0:f>IF(AND(Bookings!G570="Approved",E570="No"),N570,0)</ns0:f>
        <ns0:v>0</ns0:v>
      </ns0:c>
      <ns0:c r="T570" s="0">
        <ns0:f>IFERROR(MATCH(D570,Settings!$G$7:$G$11,0),0)</ns0:f>
        <ns0:v>0</ns0:v>
      </ns0:c>
      <ns0:c r="U570" s="0">
        <ns0:f>IF(N570&gt;0,T570+IF(Bookings!G570="Pending",10,0),0)</ns0:f>
        <ns0:v>0</ns0:v>
      </ns0:c>
      <ns0:c r="V570" s="0">
        <ns0:f>U570</ns0:f>
        <ns0:v>0</ns0:v>
      </ns0:c>
      <ns0:c r="W570" s="0" t="str">
        <ns0:f>IF(C570=0,"",INDEX($AP$11:$AP$60,C570))</ns0:f>
        <ns0:v/>
      </ns0:c>
    </ns0:row>
    <ns0:row r="571">
      <ns0:c r="A571" s="0">
        <ns0:f>IF(COUNTA(Bookings!A571:G571,Bookings!I571)=0,0,1)</ns0:f>
        <ns0:v>0</ns0:v>
      </ns0:c>
      <ns0:c r="B571" s="0" t="str">
        <ns0:f>IFERROR(TRIM(MID(Bookings!A571,FIND(" · ",Bookings!A571)+3,99)),"")</ns0:f>
        <ns0:v/>
      </ns0:c>
      <ns0:c r="C571" s="0">
        <ns0:f>IF(OR(B571="",LEN(B571)&gt;24,ISNUMBER(FIND(" ",B571)),ISNUMBER(FIND("*",B571)),ISNUMBER(FIND("?",B571)),ISNUMBER(FIND("~",B571))),0,IFERROR(MATCH(B571,Team!$A$11:$A$60,0),0))</ns0:f>
        <ns0:v>0</ns0:v>
      </ns0:c>
      <ns0:c r="D571" s="0" t="str">
        <ns0:f>IFERROR(IF(MID(Bookings!F571,LEN(Bookings!F571)-3,3)=" · ",RIGHT(Bookings!F571,1),""),"")</ns0:f>
        <ns0:v/>
      </ns0:c>
      <ns0:c r="E571" s="0" t="str">
        <ns0:f>IFERROR(INDEX(Settings!$H$7:$H$11,MATCH(D571,Settings!$G$7:$G$11,0)),"")</ns0:f>
        <ns0:v/>
      </ns0:c>
      <ns0:c r="F571" s="0" t="str">
        <ns0:f>IF(A571=0,"",IFERROR(IF(OR(B571="",C571=0),"CHECK employee selection",IF(INDEX(Team!$O$11:$O$60,C571)&lt;&gt;"OK","CHECK employee setup",IF(OR('_Dates'!J571=0,'_Dates'!T571=0),"CHECK date: use DD.MM.YYYY",IF('_Dates'!T571&lt;'_Dates'!J571,"CHECK end before start",IF(AND($B$6=0,OR('_Dates'!J571&lt;Settings!$B$7,'_Dates'!T571&gt;Settings!$B$8)),"CHECK split across leave years",IF(OR(NOT(OR('_Dates'!U571="Full day",'_Dates'!U571="AM",'_Dates'!U571="PM")),NOT(OR('_Dates'!V571="Full day",'_Dates'!V571="AM",'_Dates'!V571="PM"))),"CHECK Full day / AM / PM",IF(AND('_Dates'!J571='_Dates'!T571,'_Dates'!U571&lt;&gt;"Full day",'_Dates'!V571&lt;&gt;"Full day",'_Dates'!U571&lt;&gt;'_Dates'!V571),"CHECK same-day portions disagree",IF(AND($B$6=0,OR(AND('_Dates'!U571&lt;&gt;"Full day",'_Dates'!AA571=0),AND('_Dates'!V571&lt;&gt;"Full day",'_Dates'!AB571=0))),"CHECK half-day on non-working date",IF(COUNTIF(Settings!$G$7:$G$11,D571)&lt;&gt;1,"CHECK leave type",IF(AND(Bookings!G571&lt;&gt;"Approved",Bookings!G571&lt;&gt;"Pending",Bookings!G571&lt;&gt;"Cancelled"),"CHECK status","OK")))))))))),"CHECK input"))</ns0:f>
        <ns0:v/>
      </ns0:c>
      <ns0:c r="G571" s="0">
        <ns0:f>IF(OR(F571&lt;&gt;"OK",$B$6&gt;0),0,0.5*(IF(('_Dates'!X571)&lt;('_Dates'!W571),0,INT((('_Dates'!X571)-('_Dates'!W571)+1)/7)*LEN(SUBSTITUTE(W571,"O",""))+LEN(SUBSTITUTE(MID(W571&amp;W571,WEEKDAY(('_Dates'!W571),2),MOD((('_Dates'!X571)-('_Dates'!W571)+1),7)),"O",""))-COUNTIFS(INDEX(AllClosureRows,C571,0),"&gt;="&amp;('_Dates'!W571),INDEX(AllClosureRows,C571,0),"&lt;="&amp;('_Dates'!X571)))+IF(('_Dates'!Z571)&lt;('_Dates'!Y571),0,INT((('_Dates'!Z571)-('_Dates'!Y571)+1)/7)*LEN(SUBSTITUTE(W571,"O",""))+LEN(SUBSTITUTE(MID(W571&amp;W571,WEEKDAY(('_Dates'!Y571),2),MOD((('_Dates'!Z571)-('_Dates'!Y571)+1),7)),"O",""))-COUNTIFS(INDEX(AllClosureRows,C571,0),"&gt;="&amp;('_Dates'!Y571),INDEX(AllClosureRows,C571,0),"&lt;="&amp;('_Dates'!Z571)))))</ns0:f>
        <ns0:v>0</ns0:v>
      </ns0:c>
      <ns0:c r="H571" s="0">
        <ns0:f>IF(OR(F571&lt;&gt;"OK",$B$6&gt;0),0,0.5*(IF((MIN('_Dates'!X571,Settings!$B$9))&lt;('_Dates'!W571),0,INT(((MIN('_Dates'!X571,Settings!$B$9))-('_Dates'!W571)+1)/7)*LEN(SUBSTITUTE(W571,"O",""))+LEN(SUBSTITUTE(MID(W571&amp;W571,WEEKDAY(('_Dates'!W571),2),MOD(((MIN('_Dates'!X571,Settings!$B$9))-('_Dates'!W571)+1),7)),"O",""))-COUNTIFS(INDEX(AllClosureRows,C571,0),"&gt;="&amp;('_Dates'!W571),INDEX(AllClosureRows,C571,0),"&lt;="&amp;(MIN('_Dates'!X571,Settings!$B$9))))+IF((MIN('_Dates'!Z571,Settings!$B$9))&lt;('_Dates'!Y571),0,INT(((MIN('_Dates'!Z571,Settings!$B$9))-('_Dates'!Y571)+1)/7)*LEN(SUBSTITUTE(W571,"O",""))+LEN(SUBSTITUTE(MID(W571&amp;W571,WEEKDAY(('_Dates'!Y571),2),MOD(((MIN('_Dates'!Z571,Settings!$B$9))-('_Dates'!Y571)+1),7)),"O",""))-COUNTIFS(INDEX(AllClosureRows,C571,0),"&gt;="&amp;('_Dates'!Y571),INDEX(AllClosureRows,C571,0),"&lt;="&amp;(MIN('_Dates'!Z571,Settings!$B$9))))))</ns0:f>
        <ns0:v>0</ns0:v>
      </ns0:c>
      <ns0:c r="I571" s="0">
        <ns0:f>MAX(0,G571-H571)</ns0:f>
        <ns0:v>0</ns0:v>
      </ns0:c>
      <ns0:c r="J571" s="0">
        <ns0:f>IF(OR(A571=0,F571&lt;&gt;"OK",Bookings!G571="Cancelled",$B$6&gt;0),0,IF('_Dates'!AC571=1,MAX(0,COUNTIFS(rngEngine_B,B571,rngAMStart,"&lt;="&amp;'_Dates'!X571,rngAMEnd,"&gt;="&amp;'_Dates'!W571,rngAMActive,1,rngEngine_F,"OK",rngBookings_F,"&lt;&gt;Cancelled")-1),0)+IF('_Dates'!AD571=1,MAX(0,COUNTIFS(rngEngine_B,B571,rngPMStart,"&lt;="&amp;'_Dates'!Z571,rngPMEnd,"&gt;="&amp;'_Dates'!Y571,rngPMActive,1,rngEngine_F,"OK",rngBookings_F,"&lt;&gt;Cancelled")-1),0))</ns0:f>
        <ns0:v>0</ns0:v>
      </ns0:c>
      <ns0:c r="K571" s="0" t="str">
        <ns0:f>IF(A571=0,"",IF(F571&lt;&gt;"OK",F571,IF(J571&gt;0,"CHECK overlapping entry",IF(AND($B$6=0,G571&lt;=0,Bookings!G571&lt;&gt;"Cancelled"),"CHECK no working days",IF(Bookings!G571="Cancelled","Cancelled","OK")))))</ns0:f>
        <ns0:v/>
      </ns0:c>
      <ns0:c r="L571" s="0">
        <ns0:f>IF(LEFT(K571,5)="CHECK",1,0)</ns0:f>
        <ns0:v>0</ns0:v>
      </ns0:c>
      <ns0:c r="M571" s="0">
        <ns0:f>IF(AND(L571=1,OR(C571=0,IFERROR(INDEX($X$11:$X$60,C571),0)=0)),1,0)</ns0:f>
        <ns0:v>0</ns0:v>
      </ns0:c>
      <ns0:c r="N571" s="0">
        <ns0:f>IF(OR(A571=0,L571&gt;0,$B$6&gt;0,Bookings!G571="Cancelled"),0,G571)</ns0:f>
        <ns0:v>0</ns0:v>
      </ns0:c>
      <ns0:c r="O571" s="0">
        <ns0:f>IF(AND(Bookings!G571="Approved",E571="Yes"),N571,0)</ns0:f>
        <ns0:v>0</ns0:v>
      </ns0:c>
      <ns0:c r="P571" s="0">
        <ns0:f>IF(AND(Bookings!G571="Approved",E571="Yes",L571=0,$B$6=0),H571,0)</ns0:f>
        <ns0:v>0</ns0:v>
      </ns0:c>
      <ns0:c r="Q571" s="0">
        <ns0:f>IF(AND(Bookings!G571="Approved",E571="Yes",L571=0,$B$6=0),I571,0)</ns0:f>
        <ns0:v>0</ns0:v>
      </ns0:c>
      <ns0:c r="R571" s="0">
        <ns0:f>IF(AND(Bookings!G571="Pending",E571="Yes"),N571,0)</ns0:f>
        <ns0:v>0</ns0:v>
      </ns0:c>
      <ns0:c r="S571" s="0">
        <ns0:f>IF(AND(Bookings!G571="Approved",E571="No"),N571,0)</ns0:f>
        <ns0:v>0</ns0:v>
      </ns0:c>
      <ns0:c r="T571" s="0">
        <ns0:f>IFERROR(MATCH(D571,Settings!$G$7:$G$11,0),0)</ns0:f>
        <ns0:v>0</ns0:v>
      </ns0:c>
      <ns0:c r="U571" s="0">
        <ns0:f>IF(N571&gt;0,T571+IF(Bookings!G571="Pending",10,0),0)</ns0:f>
        <ns0:v>0</ns0:v>
      </ns0:c>
      <ns0:c r="V571" s="0">
        <ns0:f>U571</ns0:f>
        <ns0:v>0</ns0:v>
      </ns0:c>
      <ns0:c r="W571" s="0" t="str">
        <ns0:f>IF(C571=0,"",INDEX($AP$11:$AP$60,C571))</ns0:f>
        <ns0:v/>
      </ns0:c>
    </ns0:row>
    <ns0:row r="572">
      <ns0:c r="A572" s="0">
        <ns0:f>IF(COUNTA(Bookings!A572:G572,Bookings!I572)=0,0,1)</ns0:f>
        <ns0:v>0</ns0:v>
      </ns0:c>
      <ns0:c r="B572" s="0" t="str">
        <ns0:f>IFERROR(TRIM(MID(Bookings!A572,FIND(" · ",Bookings!A572)+3,99)),"")</ns0:f>
        <ns0:v/>
      </ns0:c>
      <ns0:c r="C572" s="0">
        <ns0:f>IF(OR(B572="",LEN(B572)&gt;24,ISNUMBER(FIND(" ",B572)),ISNUMBER(FIND("*",B572)),ISNUMBER(FIND("?",B572)),ISNUMBER(FIND("~",B572))),0,IFERROR(MATCH(B572,Team!$A$11:$A$60,0),0))</ns0:f>
        <ns0:v>0</ns0:v>
      </ns0:c>
      <ns0:c r="D572" s="0" t="str">
        <ns0:f>IFERROR(IF(MID(Bookings!F572,LEN(Bookings!F572)-3,3)=" · ",RIGHT(Bookings!F572,1),""),"")</ns0:f>
        <ns0:v/>
      </ns0:c>
      <ns0:c r="E572" s="0" t="str">
        <ns0:f>IFERROR(INDEX(Settings!$H$7:$H$11,MATCH(D572,Settings!$G$7:$G$11,0)),"")</ns0:f>
        <ns0:v/>
      </ns0:c>
      <ns0:c r="F572" s="0" t="str">
        <ns0:f>IF(A572=0,"",IFERROR(IF(OR(B572="",C572=0),"CHECK employee selection",IF(INDEX(Team!$O$11:$O$60,C572)&lt;&gt;"OK","CHECK employee setup",IF(OR('_Dates'!J572=0,'_Dates'!T572=0),"CHECK date: use DD.MM.YYYY",IF('_Dates'!T572&lt;'_Dates'!J572,"CHECK end before start",IF(AND($B$6=0,OR('_Dates'!J572&lt;Settings!$B$7,'_Dates'!T572&gt;Settings!$B$8)),"CHECK split across leave years",IF(OR(NOT(OR('_Dates'!U572="Full day",'_Dates'!U572="AM",'_Dates'!U572="PM")),NOT(OR('_Dates'!V572="Full day",'_Dates'!V572="AM",'_Dates'!V572="PM"))),"CHECK Full day / AM / PM",IF(AND('_Dates'!J572='_Dates'!T572,'_Dates'!U572&lt;&gt;"Full day",'_Dates'!V572&lt;&gt;"Full day",'_Dates'!U572&lt;&gt;'_Dates'!V572),"CHECK same-day portions disagree",IF(AND($B$6=0,OR(AND('_Dates'!U572&lt;&gt;"Full day",'_Dates'!AA572=0),AND('_Dates'!V572&lt;&gt;"Full day",'_Dates'!AB572=0))),"CHECK half-day on non-working date",IF(COUNTIF(Settings!$G$7:$G$11,D572)&lt;&gt;1,"CHECK leave type",IF(AND(Bookings!G572&lt;&gt;"Approved",Bookings!G572&lt;&gt;"Pending",Bookings!G572&lt;&gt;"Cancelled"),"CHECK status","OK")))))))))),"CHECK input"))</ns0:f>
        <ns0:v/>
      </ns0:c>
      <ns0:c r="G572" s="0">
        <ns0:f>IF(OR(F572&lt;&gt;"OK",$B$6&gt;0),0,0.5*(IF(('_Dates'!X572)&lt;('_Dates'!W572),0,INT((('_Dates'!X572)-('_Dates'!W572)+1)/7)*LEN(SUBSTITUTE(W572,"O",""))+LEN(SUBSTITUTE(MID(W572&amp;W572,WEEKDAY(('_Dates'!W572),2),MOD((('_Dates'!X572)-('_Dates'!W572)+1),7)),"O",""))-COUNTIFS(INDEX(AllClosureRows,C572,0),"&gt;="&amp;('_Dates'!W572),INDEX(AllClosureRows,C572,0),"&lt;="&amp;('_Dates'!X572)))+IF(('_Dates'!Z572)&lt;('_Dates'!Y572),0,INT((('_Dates'!Z572)-('_Dates'!Y572)+1)/7)*LEN(SUBSTITUTE(W572,"O",""))+LEN(SUBSTITUTE(MID(W572&amp;W572,WEEKDAY(('_Dates'!Y572),2),MOD((('_Dates'!Z572)-('_Dates'!Y572)+1),7)),"O",""))-COUNTIFS(INDEX(AllClosureRows,C572,0),"&gt;="&amp;('_Dates'!Y572),INDEX(AllClosureRows,C572,0),"&lt;="&amp;('_Dates'!Z572)))))</ns0:f>
        <ns0:v>0</ns0:v>
      </ns0:c>
      <ns0:c r="H572" s="0">
        <ns0:f>IF(OR(F572&lt;&gt;"OK",$B$6&gt;0),0,0.5*(IF((MIN('_Dates'!X572,Settings!$B$9))&lt;('_Dates'!W572),0,INT(((MIN('_Dates'!X572,Settings!$B$9))-('_Dates'!W572)+1)/7)*LEN(SUBSTITUTE(W572,"O",""))+LEN(SUBSTITUTE(MID(W572&amp;W572,WEEKDAY(('_Dates'!W572),2),MOD(((MIN('_Dates'!X572,Settings!$B$9))-('_Dates'!W572)+1),7)),"O",""))-COUNTIFS(INDEX(AllClosureRows,C572,0),"&gt;="&amp;('_Dates'!W572),INDEX(AllClosureRows,C572,0),"&lt;="&amp;(MIN('_Dates'!X572,Settings!$B$9))))+IF((MIN('_Dates'!Z572,Settings!$B$9))&lt;('_Dates'!Y572),0,INT(((MIN('_Dates'!Z572,Settings!$B$9))-('_Dates'!Y572)+1)/7)*LEN(SUBSTITUTE(W572,"O",""))+LEN(SUBSTITUTE(MID(W572&amp;W572,WEEKDAY(('_Dates'!Y572),2),MOD(((MIN('_Dates'!Z572,Settings!$B$9))-('_Dates'!Y572)+1),7)),"O",""))-COUNTIFS(INDEX(AllClosureRows,C572,0),"&gt;="&amp;('_Dates'!Y572),INDEX(AllClosureRows,C572,0),"&lt;="&amp;(MIN('_Dates'!Z572,Settings!$B$9))))))</ns0:f>
        <ns0:v>0</ns0:v>
      </ns0:c>
      <ns0:c r="I572" s="0">
        <ns0:f>MAX(0,G572-H572)</ns0:f>
        <ns0:v>0</ns0:v>
      </ns0:c>
      <ns0:c r="J572" s="0">
        <ns0:f>IF(OR(A572=0,F572&lt;&gt;"OK",Bookings!G572="Cancelled",$B$6&gt;0),0,IF('_Dates'!AC572=1,MAX(0,COUNTIFS(rngEngine_B,B572,rngAMStart,"&lt;="&amp;'_Dates'!X572,rngAMEnd,"&gt;="&amp;'_Dates'!W572,rngAMActive,1,rngEngine_F,"OK",rngBookings_F,"&lt;&gt;Cancelled")-1),0)+IF('_Dates'!AD572=1,MAX(0,COUNTIFS(rngEngine_B,B572,rngPMStart,"&lt;="&amp;'_Dates'!Z572,rngPMEnd,"&gt;="&amp;'_Dates'!Y572,rngPMActive,1,rngEngine_F,"OK",rngBookings_F,"&lt;&gt;Cancelled")-1),0))</ns0:f>
        <ns0:v>0</ns0:v>
      </ns0:c>
      <ns0:c r="K572" s="0" t="str">
        <ns0:f>IF(A572=0,"",IF(F572&lt;&gt;"OK",F572,IF(J572&gt;0,"CHECK overlapping entry",IF(AND($B$6=0,G572&lt;=0,Bookings!G572&lt;&gt;"Cancelled"),"CHECK no working days",IF(Bookings!G572="Cancelled","Cancelled","OK")))))</ns0:f>
        <ns0:v/>
      </ns0:c>
      <ns0:c r="L572" s="0">
        <ns0:f>IF(LEFT(K572,5)="CHECK",1,0)</ns0:f>
        <ns0:v>0</ns0:v>
      </ns0:c>
      <ns0:c r="M572" s="0">
        <ns0:f>IF(AND(L572=1,OR(C572=0,IFERROR(INDEX($X$11:$X$60,C572),0)=0)),1,0)</ns0:f>
        <ns0:v>0</ns0:v>
      </ns0:c>
      <ns0:c r="N572" s="0">
        <ns0:f>IF(OR(A572=0,L572&gt;0,$B$6&gt;0,Bookings!G572="Cancelled"),0,G572)</ns0:f>
        <ns0:v>0</ns0:v>
      </ns0:c>
      <ns0:c r="O572" s="0">
        <ns0:f>IF(AND(Bookings!G572="Approved",E572="Yes"),N572,0)</ns0:f>
        <ns0:v>0</ns0:v>
      </ns0:c>
      <ns0:c r="P572" s="0">
        <ns0:f>IF(AND(Bookings!G572="Approved",E572="Yes",L572=0,$B$6=0),H572,0)</ns0:f>
        <ns0:v>0</ns0:v>
      </ns0:c>
      <ns0:c r="Q572" s="0">
        <ns0:f>IF(AND(Bookings!G572="Approved",E572="Yes",L572=0,$B$6=0),I572,0)</ns0:f>
        <ns0:v>0</ns0:v>
      </ns0:c>
      <ns0:c r="R572" s="0">
        <ns0:f>IF(AND(Bookings!G572="Pending",E572="Yes"),N572,0)</ns0:f>
        <ns0:v>0</ns0:v>
      </ns0:c>
      <ns0:c r="S572" s="0">
        <ns0:f>IF(AND(Bookings!G572="Approved",E572="No"),N572,0)</ns0:f>
        <ns0:v>0</ns0:v>
      </ns0:c>
      <ns0:c r="T572" s="0">
        <ns0:f>IFERROR(MATCH(D572,Settings!$G$7:$G$11,0),0)</ns0:f>
        <ns0:v>0</ns0:v>
      </ns0:c>
      <ns0:c r="U572" s="0">
        <ns0:f>IF(N572&gt;0,T572+IF(Bookings!G572="Pending",10,0),0)</ns0:f>
        <ns0:v>0</ns0:v>
      </ns0:c>
      <ns0:c r="V572" s="0">
        <ns0:f>U572</ns0:f>
        <ns0:v>0</ns0:v>
      </ns0:c>
      <ns0:c r="W572" s="0" t="str">
        <ns0:f>IF(C572=0,"",INDEX($AP$11:$AP$60,C572))</ns0:f>
        <ns0:v/>
      </ns0:c>
    </ns0:row>
    <ns0:row r="573">
      <ns0:c r="A573" s="0">
        <ns0:f>IF(COUNTA(Bookings!A573:G573,Bookings!I573)=0,0,1)</ns0:f>
        <ns0:v>0</ns0:v>
      </ns0:c>
      <ns0:c r="B573" s="0" t="str">
        <ns0:f>IFERROR(TRIM(MID(Bookings!A573,FIND(" · ",Bookings!A573)+3,99)),"")</ns0:f>
        <ns0:v/>
      </ns0:c>
      <ns0:c r="C573" s="0">
        <ns0:f>IF(OR(B573="",LEN(B573)&gt;24,ISNUMBER(FIND(" ",B573)),ISNUMBER(FIND("*",B573)),ISNUMBER(FIND("?",B573)),ISNUMBER(FIND("~",B573))),0,IFERROR(MATCH(B573,Team!$A$11:$A$60,0),0))</ns0:f>
        <ns0:v>0</ns0:v>
      </ns0:c>
      <ns0:c r="D573" s="0" t="str">
        <ns0:f>IFERROR(IF(MID(Bookings!F573,LEN(Bookings!F573)-3,3)=" · ",RIGHT(Bookings!F573,1),""),"")</ns0:f>
        <ns0:v/>
      </ns0:c>
      <ns0:c r="E573" s="0" t="str">
        <ns0:f>IFERROR(INDEX(Settings!$H$7:$H$11,MATCH(D573,Settings!$G$7:$G$11,0)),"")</ns0:f>
        <ns0:v/>
      </ns0:c>
      <ns0:c r="F573" s="0" t="str">
        <ns0:f>IF(A573=0,"",IFERROR(IF(OR(B573="",C573=0),"CHECK employee selection",IF(INDEX(Team!$O$11:$O$60,C573)&lt;&gt;"OK","CHECK employee setup",IF(OR('_Dates'!J573=0,'_Dates'!T573=0),"CHECK date: use DD.MM.YYYY",IF('_Dates'!T573&lt;'_Dates'!J573,"CHECK end before start",IF(AND($B$6=0,OR('_Dates'!J573&lt;Settings!$B$7,'_Dates'!T573&gt;Settings!$B$8)),"CHECK split across leave years",IF(OR(NOT(OR('_Dates'!U573="Full day",'_Dates'!U573="AM",'_Dates'!U573="PM")),NOT(OR('_Dates'!V573="Full day",'_Dates'!V573="AM",'_Dates'!V573="PM"))),"CHECK Full day / AM / PM",IF(AND('_Dates'!J573='_Dates'!T573,'_Dates'!U573&lt;&gt;"Full day",'_Dates'!V573&lt;&gt;"Full day",'_Dates'!U573&lt;&gt;'_Dates'!V573),"CHECK same-day portions disagree",IF(AND($B$6=0,OR(AND('_Dates'!U573&lt;&gt;"Full day",'_Dates'!AA573=0),AND('_Dates'!V573&lt;&gt;"Full day",'_Dates'!AB573=0))),"CHECK half-day on non-working date",IF(COUNTIF(Settings!$G$7:$G$11,D573)&lt;&gt;1,"CHECK leave type",IF(AND(Bookings!G573&lt;&gt;"Approved",Bookings!G573&lt;&gt;"Pending",Bookings!G573&lt;&gt;"Cancelled"),"CHECK status","OK")))))))))),"CHECK input"))</ns0:f>
        <ns0:v/>
      </ns0:c>
      <ns0:c r="G573" s="0">
        <ns0:f>IF(OR(F573&lt;&gt;"OK",$B$6&gt;0),0,0.5*(IF(('_Dates'!X573)&lt;('_Dates'!W573),0,INT((('_Dates'!X573)-('_Dates'!W573)+1)/7)*LEN(SUBSTITUTE(W573,"O",""))+LEN(SUBSTITUTE(MID(W573&amp;W573,WEEKDAY(('_Dates'!W573),2),MOD((('_Dates'!X573)-('_Dates'!W573)+1),7)),"O",""))-COUNTIFS(INDEX(AllClosureRows,C573,0),"&gt;="&amp;('_Dates'!W573),INDEX(AllClosureRows,C573,0),"&lt;="&amp;('_Dates'!X573)))+IF(('_Dates'!Z573)&lt;('_Dates'!Y573),0,INT((('_Dates'!Z573)-('_Dates'!Y573)+1)/7)*LEN(SUBSTITUTE(W573,"O",""))+LEN(SUBSTITUTE(MID(W573&amp;W573,WEEKDAY(('_Dates'!Y573),2),MOD((('_Dates'!Z573)-('_Dates'!Y573)+1),7)),"O",""))-COUNTIFS(INDEX(AllClosureRows,C573,0),"&gt;="&amp;('_Dates'!Y573),INDEX(AllClosureRows,C573,0),"&lt;="&amp;('_Dates'!Z573)))))</ns0:f>
        <ns0:v>0</ns0:v>
      </ns0:c>
      <ns0:c r="H573" s="0">
        <ns0:f>IF(OR(F573&lt;&gt;"OK",$B$6&gt;0),0,0.5*(IF((MIN('_Dates'!X573,Settings!$B$9))&lt;('_Dates'!W573),0,INT(((MIN('_Dates'!X573,Settings!$B$9))-('_Dates'!W573)+1)/7)*LEN(SUBSTITUTE(W573,"O",""))+LEN(SUBSTITUTE(MID(W573&amp;W573,WEEKDAY(('_Dates'!W573),2),MOD(((MIN('_Dates'!X573,Settings!$B$9))-('_Dates'!W573)+1),7)),"O",""))-COUNTIFS(INDEX(AllClosureRows,C573,0),"&gt;="&amp;('_Dates'!W573),INDEX(AllClosureRows,C573,0),"&lt;="&amp;(MIN('_Dates'!X573,Settings!$B$9))))+IF((MIN('_Dates'!Z573,Settings!$B$9))&lt;('_Dates'!Y573),0,INT(((MIN('_Dates'!Z573,Settings!$B$9))-('_Dates'!Y573)+1)/7)*LEN(SUBSTITUTE(W573,"O",""))+LEN(SUBSTITUTE(MID(W573&amp;W573,WEEKDAY(('_Dates'!Y573),2),MOD(((MIN('_Dates'!Z573,Settings!$B$9))-('_Dates'!Y573)+1),7)),"O",""))-COUNTIFS(INDEX(AllClosureRows,C573,0),"&gt;="&amp;('_Dates'!Y573),INDEX(AllClosureRows,C573,0),"&lt;="&amp;(MIN('_Dates'!Z573,Settings!$B$9))))))</ns0:f>
        <ns0:v>0</ns0:v>
      </ns0:c>
      <ns0:c r="I573" s="0">
        <ns0:f>MAX(0,G573-H573)</ns0:f>
        <ns0:v>0</ns0:v>
      </ns0:c>
      <ns0:c r="J573" s="0">
        <ns0:f>IF(OR(A573=0,F573&lt;&gt;"OK",Bookings!G573="Cancelled",$B$6&gt;0),0,IF('_Dates'!AC573=1,MAX(0,COUNTIFS(rngEngine_B,B573,rngAMStart,"&lt;="&amp;'_Dates'!X573,rngAMEnd,"&gt;="&amp;'_Dates'!W573,rngAMActive,1,rngEngine_F,"OK",rngBookings_F,"&lt;&gt;Cancelled")-1),0)+IF('_Dates'!AD573=1,MAX(0,COUNTIFS(rngEngine_B,B573,rngPMStart,"&lt;="&amp;'_Dates'!Z573,rngPMEnd,"&gt;="&amp;'_Dates'!Y573,rngPMActive,1,rngEngine_F,"OK",rngBookings_F,"&lt;&gt;Cancelled")-1),0))</ns0:f>
        <ns0:v>0</ns0:v>
      </ns0:c>
      <ns0:c r="K573" s="0" t="str">
        <ns0:f>IF(A573=0,"",IF(F573&lt;&gt;"OK",F573,IF(J573&gt;0,"CHECK overlapping entry",IF(AND($B$6=0,G573&lt;=0,Bookings!G573&lt;&gt;"Cancelled"),"CHECK no working days",IF(Bookings!G573="Cancelled","Cancelled","OK")))))</ns0:f>
        <ns0:v/>
      </ns0:c>
      <ns0:c r="L573" s="0">
        <ns0:f>IF(LEFT(K573,5)="CHECK",1,0)</ns0:f>
        <ns0:v>0</ns0:v>
      </ns0:c>
      <ns0:c r="M573" s="0">
        <ns0:f>IF(AND(L573=1,OR(C573=0,IFERROR(INDEX($X$11:$X$60,C573),0)=0)),1,0)</ns0:f>
        <ns0:v>0</ns0:v>
      </ns0:c>
      <ns0:c r="N573" s="0">
        <ns0:f>IF(OR(A573=0,L573&gt;0,$B$6&gt;0,Bookings!G573="Cancelled"),0,G573)</ns0:f>
        <ns0:v>0</ns0:v>
      </ns0:c>
      <ns0:c r="O573" s="0">
        <ns0:f>IF(AND(Bookings!G573="Approved",E573="Yes"),N573,0)</ns0:f>
        <ns0:v>0</ns0:v>
      </ns0:c>
      <ns0:c r="P573" s="0">
        <ns0:f>IF(AND(Bookings!G573="Approved",E573="Yes",L573=0,$B$6=0),H573,0)</ns0:f>
        <ns0:v>0</ns0:v>
      </ns0:c>
      <ns0:c r="Q573" s="0">
        <ns0:f>IF(AND(Bookings!G573="Approved",E573="Yes",L573=0,$B$6=0),I573,0)</ns0:f>
        <ns0:v>0</ns0:v>
      </ns0:c>
      <ns0:c r="R573" s="0">
        <ns0:f>IF(AND(Bookings!G573="Pending",E573="Yes"),N573,0)</ns0:f>
        <ns0:v>0</ns0:v>
      </ns0:c>
      <ns0:c r="S573" s="0">
        <ns0:f>IF(AND(Bookings!G573="Approved",E573="No"),N573,0)</ns0:f>
        <ns0:v>0</ns0:v>
      </ns0:c>
      <ns0:c r="T573" s="0">
        <ns0:f>IFERROR(MATCH(D573,Settings!$G$7:$G$11,0),0)</ns0:f>
        <ns0:v>0</ns0:v>
      </ns0:c>
      <ns0:c r="U573" s="0">
        <ns0:f>IF(N573&gt;0,T573+IF(Bookings!G573="Pending",10,0),0)</ns0:f>
        <ns0:v>0</ns0:v>
      </ns0:c>
      <ns0:c r="V573" s="0">
        <ns0:f>U573</ns0:f>
        <ns0:v>0</ns0:v>
      </ns0:c>
      <ns0:c r="W573" s="0" t="str">
        <ns0:f>IF(C573=0,"",INDEX($AP$11:$AP$60,C573))</ns0:f>
        <ns0:v/>
      </ns0:c>
    </ns0:row>
    <ns0:row r="574">
      <ns0:c r="A574" s="0">
        <ns0:f>IF(COUNTA(Bookings!A574:G574,Bookings!I574)=0,0,1)</ns0:f>
        <ns0:v>0</ns0:v>
      </ns0:c>
      <ns0:c r="B574" s="0" t="str">
        <ns0:f>IFERROR(TRIM(MID(Bookings!A574,FIND(" · ",Bookings!A574)+3,99)),"")</ns0:f>
        <ns0:v/>
      </ns0:c>
      <ns0:c r="C574" s="0">
        <ns0:f>IF(OR(B574="",LEN(B574)&gt;24,ISNUMBER(FIND(" ",B574)),ISNUMBER(FIND("*",B574)),ISNUMBER(FIND("?",B574)),ISNUMBER(FIND("~",B574))),0,IFERROR(MATCH(B574,Team!$A$11:$A$60,0),0))</ns0:f>
        <ns0:v>0</ns0:v>
      </ns0:c>
      <ns0:c r="D574" s="0" t="str">
        <ns0:f>IFERROR(IF(MID(Bookings!F574,LEN(Bookings!F574)-3,3)=" · ",RIGHT(Bookings!F574,1),""),"")</ns0:f>
        <ns0:v/>
      </ns0:c>
      <ns0:c r="E574" s="0" t="str">
        <ns0:f>IFERROR(INDEX(Settings!$H$7:$H$11,MATCH(D574,Settings!$G$7:$G$11,0)),"")</ns0:f>
        <ns0:v/>
      </ns0:c>
      <ns0:c r="F574" s="0" t="str">
        <ns0:f>IF(A574=0,"",IFERROR(IF(OR(B574="",C574=0),"CHECK employee selection",IF(INDEX(Team!$O$11:$O$60,C574)&lt;&gt;"OK","CHECK employee setup",IF(OR('_Dates'!J574=0,'_Dates'!T574=0),"CHECK date: use DD.MM.YYYY",IF('_Dates'!T574&lt;'_Dates'!J574,"CHECK end before start",IF(AND($B$6=0,OR('_Dates'!J574&lt;Settings!$B$7,'_Dates'!T574&gt;Settings!$B$8)),"CHECK split across leave years",IF(OR(NOT(OR('_Dates'!U574="Full day",'_Dates'!U574="AM",'_Dates'!U574="PM")),NOT(OR('_Dates'!V574="Full day",'_Dates'!V574="AM",'_Dates'!V574="PM"))),"CHECK Full day / AM / PM",IF(AND('_Dates'!J574='_Dates'!T574,'_Dates'!U574&lt;&gt;"Full day",'_Dates'!V574&lt;&gt;"Full day",'_Dates'!U574&lt;&gt;'_Dates'!V574),"CHECK same-day portions disagree",IF(AND($B$6=0,OR(AND('_Dates'!U574&lt;&gt;"Full day",'_Dates'!AA574=0),AND('_Dates'!V574&lt;&gt;"Full day",'_Dates'!AB574=0))),"CHECK half-day on non-working date",IF(COUNTIF(Settings!$G$7:$G$11,D574)&lt;&gt;1,"CHECK leave type",IF(AND(Bookings!G574&lt;&gt;"Approved",Bookings!G574&lt;&gt;"Pending",Bookings!G574&lt;&gt;"Cancelled"),"CHECK status","OK")))))))))),"CHECK input"))</ns0:f>
        <ns0:v/>
      </ns0:c>
      <ns0:c r="G574" s="0">
        <ns0:f>IF(OR(F574&lt;&gt;"OK",$B$6&gt;0),0,0.5*(IF(('_Dates'!X574)&lt;('_Dates'!W574),0,INT((('_Dates'!X574)-('_Dates'!W574)+1)/7)*LEN(SUBSTITUTE(W574,"O",""))+LEN(SUBSTITUTE(MID(W574&amp;W574,WEEKDAY(('_Dates'!W574),2),MOD((('_Dates'!X574)-('_Dates'!W574)+1),7)),"O",""))-COUNTIFS(INDEX(AllClosureRows,C574,0),"&gt;="&amp;('_Dates'!W574),INDEX(AllClosureRows,C574,0),"&lt;="&amp;('_Dates'!X574)))+IF(('_Dates'!Z574)&lt;('_Dates'!Y574),0,INT((('_Dates'!Z574)-('_Dates'!Y574)+1)/7)*LEN(SUBSTITUTE(W574,"O",""))+LEN(SUBSTITUTE(MID(W574&amp;W574,WEEKDAY(('_Dates'!Y574),2),MOD((('_Dates'!Z574)-('_Dates'!Y574)+1),7)),"O",""))-COUNTIFS(INDEX(AllClosureRows,C574,0),"&gt;="&amp;('_Dates'!Y574),INDEX(AllClosureRows,C574,0),"&lt;="&amp;('_Dates'!Z574)))))</ns0:f>
        <ns0:v>0</ns0:v>
      </ns0:c>
      <ns0:c r="H574" s="0">
        <ns0:f>IF(OR(F574&lt;&gt;"OK",$B$6&gt;0),0,0.5*(IF((MIN('_Dates'!X574,Settings!$B$9))&lt;('_Dates'!W574),0,INT(((MIN('_Dates'!X574,Settings!$B$9))-('_Dates'!W574)+1)/7)*LEN(SUBSTITUTE(W574,"O",""))+LEN(SUBSTITUTE(MID(W574&amp;W574,WEEKDAY(('_Dates'!W574),2),MOD(((MIN('_Dates'!X574,Settings!$B$9))-('_Dates'!W574)+1),7)),"O",""))-COUNTIFS(INDEX(AllClosureRows,C574,0),"&gt;="&amp;('_Dates'!W574),INDEX(AllClosureRows,C574,0),"&lt;="&amp;(MIN('_Dates'!X574,Settings!$B$9))))+IF((MIN('_Dates'!Z574,Settings!$B$9))&lt;('_Dates'!Y574),0,INT(((MIN('_Dates'!Z574,Settings!$B$9))-('_Dates'!Y574)+1)/7)*LEN(SUBSTITUTE(W574,"O",""))+LEN(SUBSTITUTE(MID(W574&amp;W574,WEEKDAY(('_Dates'!Y574),2),MOD(((MIN('_Dates'!Z574,Settings!$B$9))-('_Dates'!Y574)+1),7)),"O",""))-COUNTIFS(INDEX(AllClosureRows,C574,0),"&gt;="&amp;('_Dates'!Y574),INDEX(AllClosureRows,C574,0),"&lt;="&amp;(MIN('_Dates'!Z574,Settings!$B$9))))))</ns0:f>
        <ns0:v>0</ns0:v>
      </ns0:c>
      <ns0:c r="I574" s="0">
        <ns0:f>MAX(0,G574-H574)</ns0:f>
        <ns0:v>0</ns0:v>
      </ns0:c>
      <ns0:c r="J574" s="0">
        <ns0:f>IF(OR(A574=0,F574&lt;&gt;"OK",Bookings!G574="Cancelled",$B$6&gt;0),0,IF('_Dates'!AC574=1,MAX(0,COUNTIFS(rngEngine_B,B574,rngAMStart,"&lt;="&amp;'_Dates'!X574,rngAMEnd,"&gt;="&amp;'_Dates'!W574,rngAMActive,1,rngEngine_F,"OK",rngBookings_F,"&lt;&gt;Cancelled")-1),0)+IF('_Dates'!AD574=1,MAX(0,COUNTIFS(rngEngine_B,B574,rngPMStart,"&lt;="&amp;'_Dates'!Z574,rngPMEnd,"&gt;="&amp;'_Dates'!Y574,rngPMActive,1,rngEngine_F,"OK",rngBookings_F,"&lt;&gt;Cancelled")-1),0))</ns0:f>
        <ns0:v>0</ns0:v>
      </ns0:c>
      <ns0:c r="K574" s="0" t="str">
        <ns0:f>IF(A574=0,"",IF(F574&lt;&gt;"OK",F574,IF(J574&gt;0,"CHECK overlapping entry",IF(AND($B$6=0,G574&lt;=0,Bookings!G574&lt;&gt;"Cancelled"),"CHECK no working days",IF(Bookings!G574="Cancelled","Cancelled","OK")))))</ns0:f>
        <ns0:v/>
      </ns0:c>
      <ns0:c r="L574" s="0">
        <ns0:f>IF(LEFT(K574,5)="CHECK",1,0)</ns0:f>
        <ns0:v>0</ns0:v>
      </ns0:c>
      <ns0:c r="M574" s="0">
        <ns0:f>IF(AND(L574=1,OR(C574=0,IFERROR(INDEX($X$11:$X$60,C574),0)=0)),1,0)</ns0:f>
        <ns0:v>0</ns0:v>
      </ns0:c>
      <ns0:c r="N574" s="0">
        <ns0:f>IF(OR(A574=0,L574&gt;0,$B$6&gt;0,Bookings!G574="Cancelled"),0,G574)</ns0:f>
        <ns0:v>0</ns0:v>
      </ns0:c>
      <ns0:c r="O574" s="0">
        <ns0:f>IF(AND(Bookings!G574="Approved",E574="Yes"),N574,0)</ns0:f>
        <ns0:v>0</ns0:v>
      </ns0:c>
      <ns0:c r="P574" s="0">
        <ns0:f>IF(AND(Bookings!G574="Approved",E574="Yes",L574=0,$B$6=0),H574,0)</ns0:f>
        <ns0:v>0</ns0:v>
      </ns0:c>
      <ns0:c r="Q574" s="0">
        <ns0:f>IF(AND(Bookings!G574="Approved",E574="Yes",L574=0,$B$6=0),I574,0)</ns0:f>
        <ns0:v>0</ns0:v>
      </ns0:c>
      <ns0:c r="R574" s="0">
        <ns0:f>IF(AND(Bookings!G574="Pending",E574="Yes"),N574,0)</ns0:f>
        <ns0:v>0</ns0:v>
      </ns0:c>
      <ns0:c r="S574" s="0">
        <ns0:f>IF(AND(Bookings!G574="Approved",E574="No"),N574,0)</ns0:f>
        <ns0:v>0</ns0:v>
      </ns0:c>
      <ns0:c r="T574" s="0">
        <ns0:f>IFERROR(MATCH(D574,Settings!$G$7:$G$11,0),0)</ns0:f>
        <ns0:v>0</ns0:v>
      </ns0:c>
      <ns0:c r="U574" s="0">
        <ns0:f>IF(N574&gt;0,T574+IF(Bookings!G574="Pending",10,0),0)</ns0:f>
        <ns0:v>0</ns0:v>
      </ns0:c>
      <ns0:c r="V574" s="0">
        <ns0:f>U574</ns0:f>
        <ns0:v>0</ns0:v>
      </ns0:c>
      <ns0:c r="W574" s="0" t="str">
        <ns0:f>IF(C574=0,"",INDEX($AP$11:$AP$60,C574))</ns0:f>
        <ns0:v/>
      </ns0:c>
    </ns0:row>
    <ns0:row r="575">
      <ns0:c r="A575" s="0">
        <ns0:f>IF(COUNTA(Bookings!A575:G575,Bookings!I575)=0,0,1)</ns0:f>
        <ns0:v>0</ns0:v>
      </ns0:c>
      <ns0:c r="B575" s="0" t="str">
        <ns0:f>IFERROR(TRIM(MID(Bookings!A575,FIND(" · ",Bookings!A575)+3,99)),"")</ns0:f>
        <ns0:v/>
      </ns0:c>
      <ns0:c r="C575" s="0">
        <ns0:f>IF(OR(B575="",LEN(B575)&gt;24,ISNUMBER(FIND(" ",B575)),ISNUMBER(FIND("*",B575)),ISNUMBER(FIND("?",B575)),ISNUMBER(FIND("~",B575))),0,IFERROR(MATCH(B575,Team!$A$11:$A$60,0),0))</ns0:f>
        <ns0:v>0</ns0:v>
      </ns0:c>
      <ns0:c r="D575" s="0" t="str">
        <ns0:f>IFERROR(IF(MID(Bookings!F575,LEN(Bookings!F575)-3,3)=" · ",RIGHT(Bookings!F575,1),""),"")</ns0:f>
        <ns0:v/>
      </ns0:c>
      <ns0:c r="E575" s="0" t="str">
        <ns0:f>IFERROR(INDEX(Settings!$H$7:$H$11,MATCH(D575,Settings!$G$7:$G$11,0)),"")</ns0:f>
        <ns0:v/>
      </ns0:c>
      <ns0:c r="F575" s="0" t="str">
        <ns0:f>IF(A575=0,"",IFERROR(IF(OR(B575="",C575=0),"CHECK employee selection",IF(INDEX(Team!$O$11:$O$60,C575)&lt;&gt;"OK","CHECK employee setup",IF(OR('_Dates'!J575=0,'_Dates'!T575=0),"CHECK date: use DD.MM.YYYY",IF('_Dates'!T575&lt;'_Dates'!J575,"CHECK end before start",IF(AND($B$6=0,OR('_Dates'!J575&lt;Settings!$B$7,'_Dates'!T575&gt;Settings!$B$8)),"CHECK split across leave years",IF(OR(NOT(OR('_Dates'!U575="Full day",'_Dates'!U575="AM",'_Dates'!U575="PM")),NOT(OR('_Dates'!V575="Full day",'_Dates'!V575="AM",'_Dates'!V575="PM"))),"CHECK Full day / AM / PM",IF(AND('_Dates'!J575='_Dates'!T575,'_Dates'!U575&lt;&gt;"Full day",'_Dates'!V575&lt;&gt;"Full day",'_Dates'!U575&lt;&gt;'_Dates'!V575),"CHECK same-day portions disagree",IF(AND($B$6=0,OR(AND('_Dates'!U575&lt;&gt;"Full day",'_Dates'!AA575=0),AND('_Dates'!V575&lt;&gt;"Full day",'_Dates'!AB575=0))),"CHECK half-day on non-working date",IF(COUNTIF(Settings!$G$7:$G$11,D575)&lt;&gt;1,"CHECK leave type",IF(AND(Bookings!G575&lt;&gt;"Approved",Bookings!G575&lt;&gt;"Pending",Bookings!G575&lt;&gt;"Cancelled"),"CHECK status","OK")))))))))),"CHECK input"))</ns0:f>
        <ns0:v/>
      </ns0:c>
      <ns0:c r="G575" s="0">
        <ns0:f>IF(OR(F575&lt;&gt;"OK",$B$6&gt;0),0,0.5*(IF(('_Dates'!X575)&lt;('_Dates'!W575),0,INT((('_Dates'!X575)-('_Dates'!W575)+1)/7)*LEN(SUBSTITUTE(W575,"O",""))+LEN(SUBSTITUTE(MID(W575&amp;W575,WEEKDAY(('_Dates'!W575),2),MOD((('_Dates'!X575)-('_Dates'!W575)+1),7)),"O",""))-COUNTIFS(INDEX(AllClosureRows,C575,0),"&gt;="&amp;('_Dates'!W575),INDEX(AllClosureRows,C575,0),"&lt;="&amp;('_Dates'!X575)))+IF(('_Dates'!Z575)&lt;('_Dates'!Y575),0,INT((('_Dates'!Z575)-('_Dates'!Y575)+1)/7)*LEN(SUBSTITUTE(W575,"O",""))+LEN(SUBSTITUTE(MID(W575&amp;W575,WEEKDAY(('_Dates'!Y575),2),MOD((('_Dates'!Z575)-('_Dates'!Y575)+1),7)),"O",""))-COUNTIFS(INDEX(AllClosureRows,C575,0),"&gt;="&amp;('_Dates'!Y575),INDEX(AllClosureRows,C575,0),"&lt;="&amp;('_Dates'!Z575)))))</ns0:f>
        <ns0:v>0</ns0:v>
      </ns0:c>
      <ns0:c r="H575" s="0">
        <ns0:f>IF(OR(F575&lt;&gt;"OK",$B$6&gt;0),0,0.5*(IF((MIN('_Dates'!X575,Settings!$B$9))&lt;('_Dates'!W575),0,INT(((MIN('_Dates'!X575,Settings!$B$9))-('_Dates'!W575)+1)/7)*LEN(SUBSTITUTE(W575,"O",""))+LEN(SUBSTITUTE(MID(W575&amp;W575,WEEKDAY(('_Dates'!W575),2),MOD(((MIN('_Dates'!X575,Settings!$B$9))-('_Dates'!W575)+1),7)),"O",""))-COUNTIFS(INDEX(AllClosureRows,C575,0),"&gt;="&amp;('_Dates'!W575),INDEX(AllClosureRows,C575,0),"&lt;="&amp;(MIN('_Dates'!X575,Settings!$B$9))))+IF((MIN('_Dates'!Z575,Settings!$B$9))&lt;('_Dates'!Y575),0,INT(((MIN('_Dates'!Z575,Settings!$B$9))-('_Dates'!Y575)+1)/7)*LEN(SUBSTITUTE(W575,"O",""))+LEN(SUBSTITUTE(MID(W575&amp;W575,WEEKDAY(('_Dates'!Y575),2),MOD(((MIN('_Dates'!Z575,Settings!$B$9))-('_Dates'!Y575)+1),7)),"O",""))-COUNTIFS(INDEX(AllClosureRows,C575,0),"&gt;="&amp;('_Dates'!Y575),INDEX(AllClosureRows,C575,0),"&lt;="&amp;(MIN('_Dates'!Z575,Settings!$B$9))))))</ns0:f>
        <ns0:v>0</ns0:v>
      </ns0:c>
      <ns0:c r="I575" s="0">
        <ns0:f>MAX(0,G575-H575)</ns0:f>
        <ns0:v>0</ns0:v>
      </ns0:c>
      <ns0:c r="J575" s="0">
        <ns0:f>IF(OR(A575=0,F575&lt;&gt;"OK",Bookings!G575="Cancelled",$B$6&gt;0),0,IF('_Dates'!AC575=1,MAX(0,COUNTIFS(rngEngine_B,B575,rngAMStart,"&lt;="&amp;'_Dates'!X575,rngAMEnd,"&gt;="&amp;'_Dates'!W575,rngAMActive,1,rngEngine_F,"OK",rngBookings_F,"&lt;&gt;Cancelled")-1),0)+IF('_Dates'!AD575=1,MAX(0,COUNTIFS(rngEngine_B,B575,rngPMStart,"&lt;="&amp;'_Dates'!Z575,rngPMEnd,"&gt;="&amp;'_Dates'!Y575,rngPMActive,1,rngEngine_F,"OK",rngBookings_F,"&lt;&gt;Cancelled")-1),0))</ns0:f>
        <ns0:v>0</ns0:v>
      </ns0:c>
      <ns0:c r="K575" s="0" t="str">
        <ns0:f>IF(A575=0,"",IF(F575&lt;&gt;"OK",F575,IF(J575&gt;0,"CHECK overlapping entry",IF(AND($B$6=0,G575&lt;=0,Bookings!G575&lt;&gt;"Cancelled"),"CHECK no working days",IF(Bookings!G575="Cancelled","Cancelled","OK")))))</ns0:f>
        <ns0:v/>
      </ns0:c>
      <ns0:c r="L575" s="0">
        <ns0:f>IF(LEFT(K575,5)="CHECK",1,0)</ns0:f>
        <ns0:v>0</ns0:v>
      </ns0:c>
      <ns0:c r="M575" s="0">
        <ns0:f>IF(AND(L575=1,OR(C575=0,IFERROR(INDEX($X$11:$X$60,C575),0)=0)),1,0)</ns0:f>
        <ns0:v>0</ns0:v>
      </ns0:c>
      <ns0:c r="N575" s="0">
        <ns0:f>IF(OR(A575=0,L575&gt;0,$B$6&gt;0,Bookings!G575="Cancelled"),0,G575)</ns0:f>
        <ns0:v>0</ns0:v>
      </ns0:c>
      <ns0:c r="O575" s="0">
        <ns0:f>IF(AND(Bookings!G575="Approved",E575="Yes"),N575,0)</ns0:f>
        <ns0:v>0</ns0:v>
      </ns0:c>
      <ns0:c r="P575" s="0">
        <ns0:f>IF(AND(Bookings!G575="Approved",E575="Yes",L575=0,$B$6=0),H575,0)</ns0:f>
        <ns0:v>0</ns0:v>
      </ns0:c>
      <ns0:c r="Q575" s="0">
        <ns0:f>IF(AND(Bookings!G575="Approved",E575="Yes",L575=0,$B$6=0),I575,0)</ns0:f>
        <ns0:v>0</ns0:v>
      </ns0:c>
      <ns0:c r="R575" s="0">
        <ns0:f>IF(AND(Bookings!G575="Pending",E575="Yes"),N575,0)</ns0:f>
        <ns0:v>0</ns0:v>
      </ns0:c>
      <ns0:c r="S575" s="0">
        <ns0:f>IF(AND(Bookings!G575="Approved",E575="No"),N575,0)</ns0:f>
        <ns0:v>0</ns0:v>
      </ns0:c>
      <ns0:c r="T575" s="0">
        <ns0:f>IFERROR(MATCH(D575,Settings!$G$7:$G$11,0),0)</ns0:f>
        <ns0:v>0</ns0:v>
      </ns0:c>
      <ns0:c r="U575" s="0">
        <ns0:f>IF(N575&gt;0,T575+IF(Bookings!G575="Pending",10,0),0)</ns0:f>
        <ns0:v>0</ns0:v>
      </ns0:c>
      <ns0:c r="V575" s="0">
        <ns0:f>U575</ns0:f>
        <ns0:v>0</ns0:v>
      </ns0:c>
      <ns0:c r="W575" s="0" t="str">
        <ns0:f>IF(C575=0,"",INDEX($AP$11:$AP$60,C575))</ns0:f>
        <ns0:v/>
      </ns0:c>
    </ns0:row>
    <ns0:row r="576">
      <ns0:c r="A576" s="0">
        <ns0:f>IF(COUNTA(Bookings!A576:G576,Bookings!I576)=0,0,1)</ns0:f>
        <ns0:v>0</ns0:v>
      </ns0:c>
      <ns0:c r="B576" s="0" t="str">
        <ns0:f>IFERROR(TRIM(MID(Bookings!A576,FIND(" · ",Bookings!A576)+3,99)),"")</ns0:f>
        <ns0:v/>
      </ns0:c>
      <ns0:c r="C576" s="0">
        <ns0:f>IF(OR(B576="",LEN(B576)&gt;24,ISNUMBER(FIND(" ",B576)),ISNUMBER(FIND("*",B576)),ISNUMBER(FIND("?",B576)),ISNUMBER(FIND("~",B576))),0,IFERROR(MATCH(B576,Team!$A$11:$A$60,0),0))</ns0:f>
        <ns0:v>0</ns0:v>
      </ns0:c>
      <ns0:c r="D576" s="0" t="str">
        <ns0:f>IFERROR(IF(MID(Bookings!F576,LEN(Bookings!F576)-3,3)=" · ",RIGHT(Bookings!F576,1),""),"")</ns0:f>
        <ns0:v/>
      </ns0:c>
      <ns0:c r="E576" s="0" t="str">
        <ns0:f>IFERROR(INDEX(Settings!$H$7:$H$11,MATCH(D576,Settings!$G$7:$G$11,0)),"")</ns0:f>
        <ns0:v/>
      </ns0:c>
      <ns0:c r="F576" s="0" t="str">
        <ns0:f>IF(A576=0,"",IFERROR(IF(OR(B576="",C576=0),"CHECK employee selection",IF(INDEX(Team!$O$11:$O$60,C576)&lt;&gt;"OK","CHECK employee setup",IF(OR('_Dates'!J576=0,'_Dates'!T576=0),"CHECK date: use DD.MM.YYYY",IF('_Dates'!T576&lt;'_Dates'!J576,"CHECK end before start",IF(AND($B$6=0,OR('_Dates'!J576&lt;Settings!$B$7,'_Dates'!T576&gt;Settings!$B$8)),"CHECK split across leave years",IF(OR(NOT(OR('_Dates'!U576="Full day",'_Dates'!U576="AM",'_Dates'!U576="PM")),NOT(OR('_Dates'!V576="Full day",'_Dates'!V576="AM",'_Dates'!V576="PM"))),"CHECK Full day / AM / PM",IF(AND('_Dates'!J576='_Dates'!T576,'_Dates'!U576&lt;&gt;"Full day",'_Dates'!V576&lt;&gt;"Full day",'_Dates'!U576&lt;&gt;'_Dates'!V576),"CHECK same-day portions disagree",IF(AND($B$6=0,OR(AND('_Dates'!U576&lt;&gt;"Full day",'_Dates'!AA576=0),AND('_Dates'!V576&lt;&gt;"Full day",'_Dates'!AB576=0))),"CHECK half-day on non-working date",IF(COUNTIF(Settings!$G$7:$G$11,D576)&lt;&gt;1,"CHECK leave type",IF(AND(Bookings!G576&lt;&gt;"Approved",Bookings!G576&lt;&gt;"Pending",Bookings!G576&lt;&gt;"Cancelled"),"CHECK status","OK")))))))))),"CHECK input"))</ns0:f>
        <ns0:v/>
      </ns0:c>
      <ns0:c r="G576" s="0">
        <ns0:f>IF(OR(F576&lt;&gt;"OK",$B$6&gt;0),0,0.5*(IF(('_Dates'!X576)&lt;('_Dates'!W576),0,INT((('_Dates'!X576)-('_Dates'!W576)+1)/7)*LEN(SUBSTITUTE(W576,"O",""))+LEN(SUBSTITUTE(MID(W576&amp;W576,WEEKDAY(('_Dates'!W576),2),MOD((('_Dates'!X576)-('_Dates'!W576)+1),7)),"O",""))-COUNTIFS(INDEX(AllClosureRows,C576,0),"&gt;="&amp;('_Dates'!W576),INDEX(AllClosureRows,C576,0),"&lt;="&amp;('_Dates'!X576)))+IF(('_Dates'!Z576)&lt;('_Dates'!Y576),0,INT((('_Dates'!Z576)-('_Dates'!Y576)+1)/7)*LEN(SUBSTITUTE(W576,"O",""))+LEN(SUBSTITUTE(MID(W576&amp;W576,WEEKDAY(('_Dates'!Y576),2),MOD((('_Dates'!Z576)-('_Dates'!Y576)+1),7)),"O",""))-COUNTIFS(INDEX(AllClosureRows,C576,0),"&gt;="&amp;('_Dates'!Y576),INDEX(AllClosureRows,C576,0),"&lt;="&amp;('_Dates'!Z576)))))</ns0:f>
        <ns0:v>0</ns0:v>
      </ns0:c>
      <ns0:c r="H576" s="0">
        <ns0:f>IF(OR(F576&lt;&gt;"OK",$B$6&gt;0),0,0.5*(IF((MIN('_Dates'!X576,Settings!$B$9))&lt;('_Dates'!W576),0,INT(((MIN('_Dates'!X576,Settings!$B$9))-('_Dates'!W576)+1)/7)*LEN(SUBSTITUTE(W576,"O",""))+LEN(SUBSTITUTE(MID(W576&amp;W576,WEEKDAY(('_Dates'!W576),2),MOD(((MIN('_Dates'!X576,Settings!$B$9))-('_Dates'!W576)+1),7)),"O",""))-COUNTIFS(INDEX(AllClosureRows,C576,0),"&gt;="&amp;('_Dates'!W576),INDEX(AllClosureRows,C576,0),"&lt;="&amp;(MIN('_Dates'!X576,Settings!$B$9))))+IF((MIN('_Dates'!Z576,Settings!$B$9))&lt;('_Dates'!Y576),0,INT(((MIN('_Dates'!Z576,Settings!$B$9))-('_Dates'!Y576)+1)/7)*LEN(SUBSTITUTE(W576,"O",""))+LEN(SUBSTITUTE(MID(W576&amp;W576,WEEKDAY(('_Dates'!Y576),2),MOD(((MIN('_Dates'!Z576,Settings!$B$9))-('_Dates'!Y576)+1),7)),"O",""))-COUNTIFS(INDEX(AllClosureRows,C576,0),"&gt;="&amp;('_Dates'!Y576),INDEX(AllClosureRows,C576,0),"&lt;="&amp;(MIN('_Dates'!Z576,Settings!$B$9))))))</ns0:f>
        <ns0:v>0</ns0:v>
      </ns0:c>
      <ns0:c r="I576" s="0">
        <ns0:f>MAX(0,G576-H576)</ns0:f>
        <ns0:v>0</ns0:v>
      </ns0:c>
      <ns0:c r="J576" s="0">
        <ns0:f>IF(OR(A576=0,F576&lt;&gt;"OK",Bookings!G576="Cancelled",$B$6&gt;0),0,IF('_Dates'!AC576=1,MAX(0,COUNTIFS(rngEngine_B,B576,rngAMStart,"&lt;="&amp;'_Dates'!X576,rngAMEnd,"&gt;="&amp;'_Dates'!W576,rngAMActive,1,rngEngine_F,"OK",rngBookings_F,"&lt;&gt;Cancelled")-1),0)+IF('_Dates'!AD576=1,MAX(0,COUNTIFS(rngEngine_B,B576,rngPMStart,"&lt;="&amp;'_Dates'!Z576,rngPMEnd,"&gt;="&amp;'_Dates'!Y576,rngPMActive,1,rngEngine_F,"OK",rngBookings_F,"&lt;&gt;Cancelled")-1),0))</ns0:f>
        <ns0:v>0</ns0:v>
      </ns0:c>
      <ns0:c r="K576" s="0" t="str">
        <ns0:f>IF(A576=0,"",IF(F576&lt;&gt;"OK",F576,IF(J576&gt;0,"CHECK overlapping entry",IF(AND($B$6=0,G576&lt;=0,Bookings!G576&lt;&gt;"Cancelled"),"CHECK no working days",IF(Bookings!G576="Cancelled","Cancelled","OK")))))</ns0:f>
        <ns0:v/>
      </ns0:c>
      <ns0:c r="L576" s="0">
        <ns0:f>IF(LEFT(K576,5)="CHECK",1,0)</ns0:f>
        <ns0:v>0</ns0:v>
      </ns0:c>
      <ns0:c r="M576" s="0">
        <ns0:f>IF(AND(L576=1,OR(C576=0,IFERROR(INDEX($X$11:$X$60,C576),0)=0)),1,0)</ns0:f>
        <ns0:v>0</ns0:v>
      </ns0:c>
      <ns0:c r="N576" s="0">
        <ns0:f>IF(OR(A576=0,L576&gt;0,$B$6&gt;0,Bookings!G576="Cancelled"),0,G576)</ns0:f>
        <ns0:v>0</ns0:v>
      </ns0:c>
      <ns0:c r="O576" s="0">
        <ns0:f>IF(AND(Bookings!G576="Approved",E576="Yes"),N576,0)</ns0:f>
        <ns0:v>0</ns0:v>
      </ns0:c>
      <ns0:c r="P576" s="0">
        <ns0:f>IF(AND(Bookings!G576="Approved",E576="Yes",L576=0,$B$6=0),H576,0)</ns0:f>
        <ns0:v>0</ns0:v>
      </ns0:c>
      <ns0:c r="Q576" s="0">
        <ns0:f>IF(AND(Bookings!G576="Approved",E576="Yes",L576=0,$B$6=0),I576,0)</ns0:f>
        <ns0:v>0</ns0:v>
      </ns0:c>
      <ns0:c r="R576" s="0">
        <ns0:f>IF(AND(Bookings!G576="Pending",E576="Yes"),N576,0)</ns0:f>
        <ns0:v>0</ns0:v>
      </ns0:c>
      <ns0:c r="S576" s="0">
        <ns0:f>IF(AND(Bookings!G576="Approved",E576="No"),N576,0)</ns0:f>
        <ns0:v>0</ns0:v>
      </ns0:c>
      <ns0:c r="T576" s="0">
        <ns0:f>IFERROR(MATCH(D576,Settings!$G$7:$G$11,0),0)</ns0:f>
        <ns0:v>0</ns0:v>
      </ns0:c>
      <ns0:c r="U576" s="0">
        <ns0:f>IF(N576&gt;0,T576+IF(Bookings!G576="Pending",10,0),0)</ns0:f>
        <ns0:v>0</ns0:v>
      </ns0:c>
      <ns0:c r="V576" s="0">
        <ns0:f>U576</ns0:f>
        <ns0:v>0</ns0:v>
      </ns0:c>
      <ns0:c r="W576" s="0" t="str">
        <ns0:f>IF(C576=0,"",INDEX($AP$11:$AP$60,C576))</ns0:f>
        <ns0:v/>
      </ns0:c>
    </ns0:row>
    <ns0:row r="577">
      <ns0:c r="A577" s="0">
        <ns0:f>IF(COUNTA(Bookings!A577:G577,Bookings!I577)=0,0,1)</ns0:f>
        <ns0:v>0</ns0:v>
      </ns0:c>
      <ns0:c r="B577" s="0" t="str">
        <ns0:f>IFERROR(TRIM(MID(Bookings!A577,FIND(" · ",Bookings!A577)+3,99)),"")</ns0:f>
        <ns0:v/>
      </ns0:c>
      <ns0:c r="C577" s="0">
        <ns0:f>IF(OR(B577="",LEN(B577)&gt;24,ISNUMBER(FIND(" ",B577)),ISNUMBER(FIND("*",B577)),ISNUMBER(FIND("?",B577)),ISNUMBER(FIND("~",B577))),0,IFERROR(MATCH(B577,Team!$A$11:$A$60,0),0))</ns0:f>
        <ns0:v>0</ns0:v>
      </ns0:c>
      <ns0:c r="D577" s="0" t="str">
        <ns0:f>IFERROR(IF(MID(Bookings!F577,LEN(Bookings!F577)-3,3)=" · ",RIGHT(Bookings!F577,1),""),"")</ns0:f>
        <ns0:v/>
      </ns0:c>
      <ns0:c r="E577" s="0" t="str">
        <ns0:f>IFERROR(INDEX(Settings!$H$7:$H$11,MATCH(D577,Settings!$G$7:$G$11,0)),"")</ns0:f>
        <ns0:v/>
      </ns0:c>
      <ns0:c r="F577" s="0" t="str">
        <ns0:f>IF(A577=0,"",IFERROR(IF(OR(B577="",C577=0),"CHECK employee selection",IF(INDEX(Team!$O$11:$O$60,C577)&lt;&gt;"OK","CHECK employee setup",IF(OR('_Dates'!J577=0,'_Dates'!T577=0),"CHECK date: use DD.MM.YYYY",IF('_Dates'!T577&lt;'_Dates'!J577,"CHECK end before start",IF(AND($B$6=0,OR('_Dates'!J577&lt;Settings!$B$7,'_Dates'!T577&gt;Settings!$B$8)),"CHECK split across leave years",IF(OR(NOT(OR('_Dates'!U577="Full day",'_Dates'!U577="AM",'_Dates'!U577="PM")),NOT(OR('_Dates'!V577="Full day",'_Dates'!V577="AM",'_Dates'!V577="PM"))),"CHECK Full day / AM / PM",IF(AND('_Dates'!J577='_Dates'!T577,'_Dates'!U577&lt;&gt;"Full day",'_Dates'!V577&lt;&gt;"Full day",'_Dates'!U577&lt;&gt;'_Dates'!V577),"CHECK same-day portions disagree",IF(AND($B$6=0,OR(AND('_Dates'!U577&lt;&gt;"Full day",'_Dates'!AA577=0),AND('_Dates'!V577&lt;&gt;"Full day",'_Dates'!AB577=0))),"CHECK half-day on non-working date",IF(COUNTIF(Settings!$G$7:$G$11,D577)&lt;&gt;1,"CHECK leave type",IF(AND(Bookings!G577&lt;&gt;"Approved",Bookings!G577&lt;&gt;"Pending",Bookings!G577&lt;&gt;"Cancelled"),"CHECK status","OK")))))))))),"CHECK input"))</ns0:f>
        <ns0:v/>
      </ns0:c>
      <ns0:c r="G577" s="0">
        <ns0:f>IF(OR(F577&lt;&gt;"OK",$B$6&gt;0),0,0.5*(IF(('_Dates'!X577)&lt;('_Dates'!W577),0,INT((('_Dates'!X577)-('_Dates'!W577)+1)/7)*LEN(SUBSTITUTE(W577,"O",""))+LEN(SUBSTITUTE(MID(W577&amp;W577,WEEKDAY(('_Dates'!W577),2),MOD((('_Dates'!X577)-('_Dates'!W577)+1),7)),"O",""))-COUNTIFS(INDEX(AllClosureRows,C577,0),"&gt;="&amp;('_Dates'!W577),INDEX(AllClosureRows,C577,0),"&lt;="&amp;('_Dates'!X577)))+IF(('_Dates'!Z577)&lt;('_Dates'!Y577),0,INT((('_Dates'!Z577)-('_Dates'!Y577)+1)/7)*LEN(SUBSTITUTE(W577,"O",""))+LEN(SUBSTITUTE(MID(W577&amp;W577,WEEKDAY(('_Dates'!Y577),2),MOD((('_Dates'!Z577)-('_Dates'!Y577)+1),7)),"O",""))-COUNTIFS(INDEX(AllClosureRows,C577,0),"&gt;="&amp;('_Dates'!Y577),INDEX(AllClosureRows,C577,0),"&lt;="&amp;('_Dates'!Z577)))))</ns0:f>
        <ns0:v>0</ns0:v>
      </ns0:c>
      <ns0:c r="H577" s="0">
        <ns0:f>IF(OR(F577&lt;&gt;"OK",$B$6&gt;0),0,0.5*(IF((MIN('_Dates'!X577,Settings!$B$9))&lt;('_Dates'!W577),0,INT(((MIN('_Dates'!X577,Settings!$B$9))-('_Dates'!W577)+1)/7)*LEN(SUBSTITUTE(W577,"O",""))+LEN(SUBSTITUTE(MID(W577&amp;W577,WEEKDAY(('_Dates'!W577),2),MOD(((MIN('_Dates'!X577,Settings!$B$9))-('_Dates'!W577)+1),7)),"O",""))-COUNTIFS(INDEX(AllClosureRows,C577,0),"&gt;="&amp;('_Dates'!W577),INDEX(AllClosureRows,C577,0),"&lt;="&amp;(MIN('_Dates'!X577,Settings!$B$9))))+IF((MIN('_Dates'!Z577,Settings!$B$9))&lt;('_Dates'!Y577),0,INT(((MIN('_Dates'!Z577,Settings!$B$9))-('_Dates'!Y577)+1)/7)*LEN(SUBSTITUTE(W577,"O",""))+LEN(SUBSTITUTE(MID(W577&amp;W577,WEEKDAY(('_Dates'!Y577),2),MOD(((MIN('_Dates'!Z577,Settings!$B$9))-('_Dates'!Y577)+1),7)),"O",""))-COUNTIFS(INDEX(AllClosureRows,C577,0),"&gt;="&amp;('_Dates'!Y577),INDEX(AllClosureRows,C577,0),"&lt;="&amp;(MIN('_Dates'!Z577,Settings!$B$9))))))</ns0:f>
        <ns0:v>0</ns0:v>
      </ns0:c>
      <ns0:c r="I577" s="0">
        <ns0:f>MAX(0,G577-H577)</ns0:f>
        <ns0:v>0</ns0:v>
      </ns0:c>
      <ns0:c r="J577" s="0">
        <ns0:f>IF(OR(A577=0,F577&lt;&gt;"OK",Bookings!G577="Cancelled",$B$6&gt;0),0,IF('_Dates'!AC577=1,MAX(0,COUNTIFS(rngEngine_B,B577,rngAMStart,"&lt;="&amp;'_Dates'!X577,rngAMEnd,"&gt;="&amp;'_Dates'!W577,rngAMActive,1,rngEngine_F,"OK",rngBookings_F,"&lt;&gt;Cancelled")-1),0)+IF('_Dates'!AD577=1,MAX(0,COUNTIFS(rngEngine_B,B577,rngPMStart,"&lt;="&amp;'_Dates'!Z577,rngPMEnd,"&gt;="&amp;'_Dates'!Y577,rngPMActive,1,rngEngine_F,"OK",rngBookings_F,"&lt;&gt;Cancelled")-1),0))</ns0:f>
        <ns0:v>0</ns0:v>
      </ns0:c>
      <ns0:c r="K577" s="0" t="str">
        <ns0:f>IF(A577=0,"",IF(F577&lt;&gt;"OK",F577,IF(J577&gt;0,"CHECK overlapping entry",IF(AND($B$6=0,G577&lt;=0,Bookings!G577&lt;&gt;"Cancelled"),"CHECK no working days",IF(Bookings!G577="Cancelled","Cancelled","OK")))))</ns0:f>
        <ns0:v/>
      </ns0:c>
      <ns0:c r="L577" s="0">
        <ns0:f>IF(LEFT(K577,5)="CHECK",1,0)</ns0:f>
        <ns0:v>0</ns0:v>
      </ns0:c>
      <ns0:c r="M577" s="0">
        <ns0:f>IF(AND(L577=1,OR(C577=0,IFERROR(INDEX($X$11:$X$60,C577),0)=0)),1,0)</ns0:f>
        <ns0:v>0</ns0:v>
      </ns0:c>
      <ns0:c r="N577" s="0">
        <ns0:f>IF(OR(A577=0,L577&gt;0,$B$6&gt;0,Bookings!G577="Cancelled"),0,G577)</ns0:f>
        <ns0:v>0</ns0:v>
      </ns0:c>
      <ns0:c r="O577" s="0">
        <ns0:f>IF(AND(Bookings!G577="Approved",E577="Yes"),N577,0)</ns0:f>
        <ns0:v>0</ns0:v>
      </ns0:c>
      <ns0:c r="P577" s="0">
        <ns0:f>IF(AND(Bookings!G577="Approved",E577="Yes",L577=0,$B$6=0),H577,0)</ns0:f>
        <ns0:v>0</ns0:v>
      </ns0:c>
      <ns0:c r="Q577" s="0">
        <ns0:f>IF(AND(Bookings!G577="Approved",E577="Yes",L577=0,$B$6=0),I577,0)</ns0:f>
        <ns0:v>0</ns0:v>
      </ns0:c>
      <ns0:c r="R577" s="0">
        <ns0:f>IF(AND(Bookings!G577="Pending",E577="Yes"),N577,0)</ns0:f>
        <ns0:v>0</ns0:v>
      </ns0:c>
      <ns0:c r="S577" s="0">
        <ns0:f>IF(AND(Bookings!G577="Approved",E577="No"),N577,0)</ns0:f>
        <ns0:v>0</ns0:v>
      </ns0:c>
      <ns0:c r="T577" s="0">
        <ns0:f>IFERROR(MATCH(D577,Settings!$G$7:$G$11,0),0)</ns0:f>
        <ns0:v>0</ns0:v>
      </ns0:c>
      <ns0:c r="U577" s="0">
        <ns0:f>IF(N577&gt;0,T577+IF(Bookings!G577="Pending",10,0),0)</ns0:f>
        <ns0:v>0</ns0:v>
      </ns0:c>
      <ns0:c r="V577" s="0">
        <ns0:f>U577</ns0:f>
        <ns0:v>0</ns0:v>
      </ns0:c>
      <ns0:c r="W577" s="0" t="str">
        <ns0:f>IF(C577=0,"",INDEX($AP$11:$AP$60,C577))</ns0:f>
        <ns0:v/>
      </ns0:c>
    </ns0:row>
    <ns0:row r="578">
      <ns0:c r="A578" s="0">
        <ns0:f>IF(COUNTA(Bookings!A578:G578,Bookings!I578)=0,0,1)</ns0:f>
        <ns0:v>0</ns0:v>
      </ns0:c>
      <ns0:c r="B578" s="0" t="str">
        <ns0:f>IFERROR(TRIM(MID(Bookings!A578,FIND(" · ",Bookings!A578)+3,99)),"")</ns0:f>
        <ns0:v/>
      </ns0:c>
      <ns0:c r="C578" s="0">
        <ns0:f>IF(OR(B578="",LEN(B578)&gt;24,ISNUMBER(FIND(" ",B578)),ISNUMBER(FIND("*",B578)),ISNUMBER(FIND("?",B578)),ISNUMBER(FIND("~",B578))),0,IFERROR(MATCH(B578,Team!$A$11:$A$60,0),0))</ns0:f>
        <ns0:v>0</ns0:v>
      </ns0:c>
      <ns0:c r="D578" s="0" t="str">
        <ns0:f>IFERROR(IF(MID(Bookings!F578,LEN(Bookings!F578)-3,3)=" · ",RIGHT(Bookings!F578,1),""),"")</ns0:f>
        <ns0:v/>
      </ns0:c>
      <ns0:c r="E578" s="0" t="str">
        <ns0:f>IFERROR(INDEX(Settings!$H$7:$H$11,MATCH(D578,Settings!$G$7:$G$11,0)),"")</ns0:f>
        <ns0:v/>
      </ns0:c>
      <ns0:c r="F578" s="0" t="str">
        <ns0:f>IF(A578=0,"",IFERROR(IF(OR(B578="",C578=0),"CHECK employee selection",IF(INDEX(Team!$O$11:$O$60,C578)&lt;&gt;"OK","CHECK employee setup",IF(OR('_Dates'!J578=0,'_Dates'!T578=0),"CHECK date: use DD.MM.YYYY",IF('_Dates'!T578&lt;'_Dates'!J578,"CHECK end before start",IF(AND($B$6=0,OR('_Dates'!J578&lt;Settings!$B$7,'_Dates'!T578&gt;Settings!$B$8)),"CHECK split across leave years",IF(OR(NOT(OR('_Dates'!U578="Full day",'_Dates'!U578="AM",'_Dates'!U578="PM")),NOT(OR('_Dates'!V578="Full day",'_Dates'!V578="AM",'_Dates'!V578="PM"))),"CHECK Full day / AM / PM",IF(AND('_Dates'!J578='_Dates'!T578,'_Dates'!U578&lt;&gt;"Full day",'_Dates'!V578&lt;&gt;"Full day",'_Dates'!U578&lt;&gt;'_Dates'!V578),"CHECK same-day portions disagree",IF(AND($B$6=0,OR(AND('_Dates'!U578&lt;&gt;"Full day",'_Dates'!AA578=0),AND('_Dates'!V578&lt;&gt;"Full day",'_Dates'!AB578=0))),"CHECK half-day on non-working date",IF(COUNTIF(Settings!$G$7:$G$11,D578)&lt;&gt;1,"CHECK leave type",IF(AND(Bookings!G578&lt;&gt;"Approved",Bookings!G578&lt;&gt;"Pending",Bookings!G578&lt;&gt;"Cancelled"),"CHECK status","OK")))))))))),"CHECK input"))</ns0:f>
        <ns0:v/>
      </ns0:c>
      <ns0:c r="G578" s="0">
        <ns0:f>IF(OR(F578&lt;&gt;"OK",$B$6&gt;0),0,0.5*(IF(('_Dates'!X578)&lt;('_Dates'!W578),0,INT((('_Dates'!X578)-('_Dates'!W578)+1)/7)*LEN(SUBSTITUTE(W578,"O",""))+LEN(SUBSTITUTE(MID(W578&amp;W578,WEEKDAY(('_Dates'!W578),2),MOD((('_Dates'!X578)-('_Dates'!W578)+1),7)),"O",""))-COUNTIFS(INDEX(AllClosureRows,C578,0),"&gt;="&amp;('_Dates'!W578),INDEX(AllClosureRows,C578,0),"&lt;="&amp;('_Dates'!X578)))+IF(('_Dates'!Z578)&lt;('_Dates'!Y578),0,INT((('_Dates'!Z578)-('_Dates'!Y578)+1)/7)*LEN(SUBSTITUTE(W578,"O",""))+LEN(SUBSTITUTE(MID(W578&amp;W578,WEEKDAY(('_Dates'!Y578),2),MOD((('_Dates'!Z578)-('_Dates'!Y578)+1),7)),"O",""))-COUNTIFS(INDEX(AllClosureRows,C578,0),"&gt;="&amp;('_Dates'!Y578),INDEX(AllClosureRows,C578,0),"&lt;="&amp;('_Dates'!Z578)))))</ns0:f>
        <ns0:v>0</ns0:v>
      </ns0:c>
      <ns0:c r="H578" s="0">
        <ns0:f>IF(OR(F578&lt;&gt;"OK",$B$6&gt;0),0,0.5*(IF((MIN('_Dates'!X578,Settings!$B$9))&lt;('_Dates'!W578),0,INT(((MIN('_Dates'!X578,Settings!$B$9))-('_Dates'!W578)+1)/7)*LEN(SUBSTITUTE(W578,"O",""))+LEN(SUBSTITUTE(MID(W578&amp;W578,WEEKDAY(('_Dates'!W578),2),MOD(((MIN('_Dates'!X578,Settings!$B$9))-('_Dates'!W578)+1),7)),"O",""))-COUNTIFS(INDEX(AllClosureRows,C578,0),"&gt;="&amp;('_Dates'!W578),INDEX(AllClosureRows,C578,0),"&lt;="&amp;(MIN('_Dates'!X578,Settings!$B$9))))+IF((MIN('_Dates'!Z578,Settings!$B$9))&lt;('_Dates'!Y578),0,INT(((MIN('_Dates'!Z578,Settings!$B$9))-('_Dates'!Y578)+1)/7)*LEN(SUBSTITUTE(W578,"O",""))+LEN(SUBSTITUTE(MID(W578&amp;W578,WEEKDAY(('_Dates'!Y578),2),MOD(((MIN('_Dates'!Z578,Settings!$B$9))-('_Dates'!Y578)+1),7)),"O",""))-COUNTIFS(INDEX(AllClosureRows,C578,0),"&gt;="&amp;('_Dates'!Y578),INDEX(AllClosureRows,C578,0),"&lt;="&amp;(MIN('_Dates'!Z578,Settings!$B$9))))))</ns0:f>
        <ns0:v>0</ns0:v>
      </ns0:c>
      <ns0:c r="I578" s="0">
        <ns0:f>MAX(0,G578-H578)</ns0:f>
        <ns0:v>0</ns0:v>
      </ns0:c>
      <ns0:c r="J578" s="0">
        <ns0:f>IF(OR(A578=0,F578&lt;&gt;"OK",Bookings!G578="Cancelled",$B$6&gt;0),0,IF('_Dates'!AC578=1,MAX(0,COUNTIFS(rngEngine_B,B578,rngAMStart,"&lt;="&amp;'_Dates'!X578,rngAMEnd,"&gt;="&amp;'_Dates'!W578,rngAMActive,1,rngEngine_F,"OK",rngBookings_F,"&lt;&gt;Cancelled")-1),0)+IF('_Dates'!AD578=1,MAX(0,COUNTIFS(rngEngine_B,B578,rngPMStart,"&lt;="&amp;'_Dates'!Z578,rngPMEnd,"&gt;="&amp;'_Dates'!Y578,rngPMActive,1,rngEngine_F,"OK",rngBookings_F,"&lt;&gt;Cancelled")-1),0))</ns0:f>
        <ns0:v>0</ns0:v>
      </ns0:c>
      <ns0:c r="K578" s="0" t="str">
        <ns0:f>IF(A578=0,"",IF(F578&lt;&gt;"OK",F578,IF(J578&gt;0,"CHECK overlapping entry",IF(AND($B$6=0,G578&lt;=0,Bookings!G578&lt;&gt;"Cancelled"),"CHECK no working days",IF(Bookings!G578="Cancelled","Cancelled","OK")))))</ns0:f>
        <ns0:v/>
      </ns0:c>
      <ns0:c r="L578" s="0">
        <ns0:f>IF(LEFT(K578,5)="CHECK",1,0)</ns0:f>
        <ns0:v>0</ns0:v>
      </ns0:c>
      <ns0:c r="M578" s="0">
        <ns0:f>IF(AND(L578=1,OR(C578=0,IFERROR(INDEX($X$11:$X$60,C578),0)=0)),1,0)</ns0:f>
        <ns0:v>0</ns0:v>
      </ns0:c>
      <ns0:c r="N578" s="0">
        <ns0:f>IF(OR(A578=0,L578&gt;0,$B$6&gt;0,Bookings!G578="Cancelled"),0,G578)</ns0:f>
        <ns0:v>0</ns0:v>
      </ns0:c>
      <ns0:c r="O578" s="0">
        <ns0:f>IF(AND(Bookings!G578="Approved",E578="Yes"),N578,0)</ns0:f>
        <ns0:v>0</ns0:v>
      </ns0:c>
      <ns0:c r="P578" s="0">
        <ns0:f>IF(AND(Bookings!G578="Approved",E578="Yes",L578=0,$B$6=0),H578,0)</ns0:f>
        <ns0:v>0</ns0:v>
      </ns0:c>
      <ns0:c r="Q578" s="0">
        <ns0:f>IF(AND(Bookings!G578="Approved",E578="Yes",L578=0,$B$6=0),I578,0)</ns0:f>
        <ns0:v>0</ns0:v>
      </ns0:c>
      <ns0:c r="R578" s="0">
        <ns0:f>IF(AND(Bookings!G578="Pending",E578="Yes"),N578,0)</ns0:f>
        <ns0:v>0</ns0:v>
      </ns0:c>
      <ns0:c r="S578" s="0">
        <ns0:f>IF(AND(Bookings!G578="Approved",E578="No"),N578,0)</ns0:f>
        <ns0:v>0</ns0:v>
      </ns0:c>
      <ns0:c r="T578" s="0">
        <ns0:f>IFERROR(MATCH(D578,Settings!$G$7:$G$11,0),0)</ns0:f>
        <ns0:v>0</ns0:v>
      </ns0:c>
      <ns0:c r="U578" s="0">
        <ns0:f>IF(N578&gt;0,T578+IF(Bookings!G578="Pending",10,0),0)</ns0:f>
        <ns0:v>0</ns0:v>
      </ns0:c>
      <ns0:c r="V578" s="0">
        <ns0:f>U578</ns0:f>
        <ns0:v>0</ns0:v>
      </ns0:c>
      <ns0:c r="W578" s="0" t="str">
        <ns0:f>IF(C578=0,"",INDEX($AP$11:$AP$60,C578))</ns0:f>
        <ns0:v/>
      </ns0:c>
    </ns0:row>
    <ns0:row r="579">
      <ns0:c r="A579" s="0">
        <ns0:f>IF(COUNTA(Bookings!A579:G579,Bookings!I579)=0,0,1)</ns0:f>
        <ns0:v>0</ns0:v>
      </ns0:c>
      <ns0:c r="B579" s="0" t="str">
        <ns0:f>IFERROR(TRIM(MID(Bookings!A579,FIND(" · ",Bookings!A579)+3,99)),"")</ns0:f>
        <ns0:v/>
      </ns0:c>
      <ns0:c r="C579" s="0">
        <ns0:f>IF(OR(B579="",LEN(B579)&gt;24,ISNUMBER(FIND(" ",B579)),ISNUMBER(FIND("*",B579)),ISNUMBER(FIND("?",B579)),ISNUMBER(FIND("~",B579))),0,IFERROR(MATCH(B579,Team!$A$11:$A$60,0),0))</ns0:f>
        <ns0:v>0</ns0:v>
      </ns0:c>
      <ns0:c r="D579" s="0" t="str">
        <ns0:f>IFERROR(IF(MID(Bookings!F579,LEN(Bookings!F579)-3,3)=" · ",RIGHT(Bookings!F579,1),""),"")</ns0:f>
        <ns0:v/>
      </ns0:c>
      <ns0:c r="E579" s="0" t="str">
        <ns0:f>IFERROR(INDEX(Settings!$H$7:$H$11,MATCH(D579,Settings!$G$7:$G$11,0)),"")</ns0:f>
        <ns0:v/>
      </ns0:c>
      <ns0:c r="F579" s="0" t="str">
        <ns0:f>IF(A579=0,"",IFERROR(IF(OR(B579="",C579=0),"CHECK employee selection",IF(INDEX(Team!$O$11:$O$60,C579)&lt;&gt;"OK","CHECK employee setup",IF(OR('_Dates'!J579=0,'_Dates'!T579=0),"CHECK date: use DD.MM.YYYY",IF('_Dates'!T579&lt;'_Dates'!J579,"CHECK end before start",IF(AND($B$6=0,OR('_Dates'!J579&lt;Settings!$B$7,'_Dates'!T579&gt;Settings!$B$8)),"CHECK split across leave years",IF(OR(NOT(OR('_Dates'!U579="Full day",'_Dates'!U579="AM",'_Dates'!U579="PM")),NOT(OR('_Dates'!V579="Full day",'_Dates'!V579="AM",'_Dates'!V579="PM"))),"CHECK Full day / AM / PM",IF(AND('_Dates'!J579='_Dates'!T579,'_Dates'!U579&lt;&gt;"Full day",'_Dates'!V579&lt;&gt;"Full day",'_Dates'!U579&lt;&gt;'_Dates'!V579),"CHECK same-day portions disagree",IF(AND($B$6=0,OR(AND('_Dates'!U579&lt;&gt;"Full day",'_Dates'!AA579=0),AND('_Dates'!V579&lt;&gt;"Full day",'_Dates'!AB579=0))),"CHECK half-day on non-working date",IF(COUNTIF(Settings!$G$7:$G$11,D579)&lt;&gt;1,"CHECK leave type",IF(AND(Bookings!G579&lt;&gt;"Approved",Bookings!G579&lt;&gt;"Pending",Bookings!G579&lt;&gt;"Cancelled"),"CHECK status","OK")))))))))),"CHECK input"))</ns0:f>
        <ns0:v/>
      </ns0:c>
      <ns0:c r="G579" s="0">
        <ns0:f>IF(OR(F579&lt;&gt;"OK",$B$6&gt;0),0,0.5*(IF(('_Dates'!X579)&lt;('_Dates'!W579),0,INT((('_Dates'!X579)-('_Dates'!W579)+1)/7)*LEN(SUBSTITUTE(W579,"O",""))+LEN(SUBSTITUTE(MID(W579&amp;W579,WEEKDAY(('_Dates'!W579),2),MOD((('_Dates'!X579)-('_Dates'!W579)+1),7)),"O",""))-COUNTIFS(INDEX(AllClosureRows,C579,0),"&gt;="&amp;('_Dates'!W579),INDEX(AllClosureRows,C579,0),"&lt;="&amp;('_Dates'!X579)))+IF(('_Dates'!Z579)&lt;('_Dates'!Y579),0,INT((('_Dates'!Z579)-('_Dates'!Y579)+1)/7)*LEN(SUBSTITUTE(W579,"O",""))+LEN(SUBSTITUTE(MID(W579&amp;W579,WEEKDAY(('_Dates'!Y579),2),MOD((('_Dates'!Z579)-('_Dates'!Y579)+1),7)),"O",""))-COUNTIFS(INDEX(AllClosureRows,C579,0),"&gt;="&amp;('_Dates'!Y579),INDEX(AllClosureRows,C579,0),"&lt;="&amp;('_Dates'!Z579)))))</ns0:f>
        <ns0:v>0</ns0:v>
      </ns0:c>
      <ns0:c r="H579" s="0">
        <ns0:f>IF(OR(F579&lt;&gt;"OK",$B$6&gt;0),0,0.5*(IF((MIN('_Dates'!X579,Settings!$B$9))&lt;('_Dates'!W579),0,INT(((MIN('_Dates'!X579,Settings!$B$9))-('_Dates'!W579)+1)/7)*LEN(SUBSTITUTE(W579,"O",""))+LEN(SUBSTITUTE(MID(W579&amp;W579,WEEKDAY(('_Dates'!W579),2),MOD(((MIN('_Dates'!X579,Settings!$B$9))-('_Dates'!W579)+1),7)),"O",""))-COUNTIFS(INDEX(AllClosureRows,C579,0),"&gt;="&amp;('_Dates'!W579),INDEX(AllClosureRows,C579,0),"&lt;="&amp;(MIN('_Dates'!X579,Settings!$B$9))))+IF((MIN('_Dates'!Z579,Settings!$B$9))&lt;('_Dates'!Y579),0,INT(((MIN('_Dates'!Z579,Settings!$B$9))-('_Dates'!Y579)+1)/7)*LEN(SUBSTITUTE(W579,"O",""))+LEN(SUBSTITUTE(MID(W579&amp;W579,WEEKDAY(('_Dates'!Y579),2),MOD(((MIN('_Dates'!Z579,Settings!$B$9))-('_Dates'!Y579)+1),7)),"O",""))-COUNTIFS(INDEX(AllClosureRows,C579,0),"&gt;="&amp;('_Dates'!Y579),INDEX(AllClosureRows,C579,0),"&lt;="&amp;(MIN('_Dates'!Z579,Settings!$B$9))))))</ns0:f>
        <ns0:v>0</ns0:v>
      </ns0:c>
      <ns0:c r="I579" s="0">
        <ns0:f>MAX(0,G579-H579)</ns0:f>
        <ns0:v>0</ns0:v>
      </ns0:c>
      <ns0:c r="J579" s="0">
        <ns0:f>IF(OR(A579=0,F579&lt;&gt;"OK",Bookings!G579="Cancelled",$B$6&gt;0),0,IF('_Dates'!AC579=1,MAX(0,COUNTIFS(rngEngine_B,B579,rngAMStart,"&lt;="&amp;'_Dates'!X579,rngAMEnd,"&gt;="&amp;'_Dates'!W579,rngAMActive,1,rngEngine_F,"OK",rngBookings_F,"&lt;&gt;Cancelled")-1),0)+IF('_Dates'!AD579=1,MAX(0,COUNTIFS(rngEngine_B,B579,rngPMStart,"&lt;="&amp;'_Dates'!Z579,rngPMEnd,"&gt;="&amp;'_Dates'!Y579,rngPMActive,1,rngEngine_F,"OK",rngBookings_F,"&lt;&gt;Cancelled")-1),0))</ns0:f>
        <ns0:v>0</ns0:v>
      </ns0:c>
      <ns0:c r="K579" s="0" t="str">
        <ns0:f>IF(A579=0,"",IF(F579&lt;&gt;"OK",F579,IF(J579&gt;0,"CHECK overlapping entry",IF(AND($B$6=0,G579&lt;=0,Bookings!G579&lt;&gt;"Cancelled"),"CHECK no working days",IF(Bookings!G579="Cancelled","Cancelled","OK")))))</ns0:f>
        <ns0:v/>
      </ns0:c>
      <ns0:c r="L579" s="0">
        <ns0:f>IF(LEFT(K579,5)="CHECK",1,0)</ns0:f>
        <ns0:v>0</ns0:v>
      </ns0:c>
      <ns0:c r="M579" s="0">
        <ns0:f>IF(AND(L579=1,OR(C579=0,IFERROR(INDEX($X$11:$X$60,C579),0)=0)),1,0)</ns0:f>
        <ns0:v>0</ns0:v>
      </ns0:c>
      <ns0:c r="N579" s="0">
        <ns0:f>IF(OR(A579=0,L579&gt;0,$B$6&gt;0,Bookings!G579="Cancelled"),0,G579)</ns0:f>
        <ns0:v>0</ns0:v>
      </ns0:c>
      <ns0:c r="O579" s="0">
        <ns0:f>IF(AND(Bookings!G579="Approved",E579="Yes"),N579,0)</ns0:f>
        <ns0:v>0</ns0:v>
      </ns0:c>
      <ns0:c r="P579" s="0">
        <ns0:f>IF(AND(Bookings!G579="Approved",E579="Yes",L579=0,$B$6=0),H579,0)</ns0:f>
        <ns0:v>0</ns0:v>
      </ns0:c>
      <ns0:c r="Q579" s="0">
        <ns0:f>IF(AND(Bookings!G579="Approved",E579="Yes",L579=0,$B$6=0),I579,0)</ns0:f>
        <ns0:v>0</ns0:v>
      </ns0:c>
      <ns0:c r="R579" s="0">
        <ns0:f>IF(AND(Bookings!G579="Pending",E579="Yes"),N579,0)</ns0:f>
        <ns0:v>0</ns0:v>
      </ns0:c>
      <ns0:c r="S579" s="0">
        <ns0:f>IF(AND(Bookings!G579="Approved",E579="No"),N579,0)</ns0:f>
        <ns0:v>0</ns0:v>
      </ns0:c>
      <ns0:c r="T579" s="0">
        <ns0:f>IFERROR(MATCH(D579,Settings!$G$7:$G$11,0),0)</ns0:f>
        <ns0:v>0</ns0:v>
      </ns0:c>
      <ns0:c r="U579" s="0">
        <ns0:f>IF(N579&gt;0,T579+IF(Bookings!G579="Pending",10,0),0)</ns0:f>
        <ns0:v>0</ns0:v>
      </ns0:c>
      <ns0:c r="V579" s="0">
        <ns0:f>U579</ns0:f>
        <ns0:v>0</ns0:v>
      </ns0:c>
      <ns0:c r="W579" s="0" t="str">
        <ns0:f>IF(C579=0,"",INDEX($AP$11:$AP$60,C579))</ns0:f>
        <ns0:v/>
      </ns0:c>
    </ns0:row>
    <ns0:row r="580">
      <ns0:c r="A580" s="0">
        <ns0:f>IF(COUNTA(Bookings!A580:G580,Bookings!I580)=0,0,1)</ns0:f>
        <ns0:v>0</ns0:v>
      </ns0:c>
      <ns0:c r="B580" s="0" t="str">
        <ns0:f>IFERROR(TRIM(MID(Bookings!A580,FIND(" · ",Bookings!A580)+3,99)),"")</ns0:f>
        <ns0:v/>
      </ns0:c>
      <ns0:c r="C580" s="0">
        <ns0:f>IF(OR(B580="",LEN(B580)&gt;24,ISNUMBER(FIND(" ",B580)),ISNUMBER(FIND("*",B580)),ISNUMBER(FIND("?",B580)),ISNUMBER(FIND("~",B580))),0,IFERROR(MATCH(B580,Team!$A$11:$A$60,0),0))</ns0:f>
        <ns0:v>0</ns0:v>
      </ns0:c>
      <ns0:c r="D580" s="0" t="str">
        <ns0:f>IFERROR(IF(MID(Bookings!F580,LEN(Bookings!F580)-3,3)=" · ",RIGHT(Bookings!F580,1),""),"")</ns0:f>
        <ns0:v/>
      </ns0:c>
      <ns0:c r="E580" s="0" t="str">
        <ns0:f>IFERROR(INDEX(Settings!$H$7:$H$11,MATCH(D580,Settings!$G$7:$G$11,0)),"")</ns0:f>
        <ns0:v/>
      </ns0:c>
      <ns0:c r="F580" s="0" t="str">
        <ns0:f>IF(A580=0,"",IFERROR(IF(OR(B580="",C580=0),"CHECK employee selection",IF(INDEX(Team!$O$11:$O$60,C580)&lt;&gt;"OK","CHECK employee setup",IF(OR('_Dates'!J580=0,'_Dates'!T580=0),"CHECK date: use DD.MM.YYYY",IF('_Dates'!T580&lt;'_Dates'!J580,"CHECK end before start",IF(AND($B$6=0,OR('_Dates'!J580&lt;Settings!$B$7,'_Dates'!T580&gt;Settings!$B$8)),"CHECK split across leave years",IF(OR(NOT(OR('_Dates'!U580="Full day",'_Dates'!U580="AM",'_Dates'!U580="PM")),NOT(OR('_Dates'!V580="Full day",'_Dates'!V580="AM",'_Dates'!V580="PM"))),"CHECK Full day / AM / PM",IF(AND('_Dates'!J580='_Dates'!T580,'_Dates'!U580&lt;&gt;"Full day",'_Dates'!V580&lt;&gt;"Full day",'_Dates'!U580&lt;&gt;'_Dates'!V580),"CHECK same-day portions disagree",IF(AND($B$6=0,OR(AND('_Dates'!U580&lt;&gt;"Full day",'_Dates'!AA580=0),AND('_Dates'!V580&lt;&gt;"Full day",'_Dates'!AB580=0))),"CHECK half-day on non-working date",IF(COUNTIF(Settings!$G$7:$G$11,D580)&lt;&gt;1,"CHECK leave type",IF(AND(Bookings!G580&lt;&gt;"Approved",Bookings!G580&lt;&gt;"Pending",Bookings!G580&lt;&gt;"Cancelled"),"CHECK status","OK")))))))))),"CHECK input"))</ns0:f>
        <ns0:v/>
      </ns0:c>
      <ns0:c r="G580" s="0">
        <ns0:f>IF(OR(F580&lt;&gt;"OK",$B$6&gt;0),0,0.5*(IF(('_Dates'!X580)&lt;('_Dates'!W580),0,INT((('_Dates'!X580)-('_Dates'!W580)+1)/7)*LEN(SUBSTITUTE(W580,"O",""))+LEN(SUBSTITUTE(MID(W580&amp;W580,WEEKDAY(('_Dates'!W580),2),MOD((('_Dates'!X580)-('_Dates'!W580)+1),7)),"O",""))-COUNTIFS(INDEX(AllClosureRows,C580,0),"&gt;="&amp;('_Dates'!W580),INDEX(AllClosureRows,C580,0),"&lt;="&amp;('_Dates'!X580)))+IF(('_Dates'!Z580)&lt;('_Dates'!Y580),0,INT((('_Dates'!Z580)-('_Dates'!Y580)+1)/7)*LEN(SUBSTITUTE(W580,"O",""))+LEN(SUBSTITUTE(MID(W580&amp;W580,WEEKDAY(('_Dates'!Y580),2),MOD((('_Dates'!Z580)-('_Dates'!Y580)+1),7)),"O",""))-COUNTIFS(INDEX(AllClosureRows,C580,0),"&gt;="&amp;('_Dates'!Y580),INDEX(AllClosureRows,C580,0),"&lt;="&amp;('_Dates'!Z580)))))</ns0:f>
        <ns0:v>0</ns0:v>
      </ns0:c>
      <ns0:c r="H580" s="0">
        <ns0:f>IF(OR(F580&lt;&gt;"OK",$B$6&gt;0),0,0.5*(IF((MIN('_Dates'!X580,Settings!$B$9))&lt;('_Dates'!W580),0,INT(((MIN('_Dates'!X580,Settings!$B$9))-('_Dates'!W580)+1)/7)*LEN(SUBSTITUTE(W580,"O",""))+LEN(SUBSTITUTE(MID(W580&amp;W580,WEEKDAY(('_Dates'!W580),2),MOD(((MIN('_Dates'!X580,Settings!$B$9))-('_Dates'!W580)+1),7)),"O",""))-COUNTIFS(INDEX(AllClosureRows,C580,0),"&gt;="&amp;('_Dates'!W580),INDEX(AllClosureRows,C580,0),"&lt;="&amp;(MIN('_Dates'!X580,Settings!$B$9))))+IF((MIN('_Dates'!Z580,Settings!$B$9))&lt;('_Dates'!Y580),0,INT(((MIN('_Dates'!Z580,Settings!$B$9))-('_Dates'!Y580)+1)/7)*LEN(SUBSTITUTE(W580,"O",""))+LEN(SUBSTITUTE(MID(W580&amp;W580,WEEKDAY(('_Dates'!Y580),2),MOD(((MIN('_Dates'!Z580,Settings!$B$9))-('_Dates'!Y580)+1),7)),"O",""))-COUNTIFS(INDEX(AllClosureRows,C580,0),"&gt;="&amp;('_Dates'!Y580),INDEX(AllClosureRows,C580,0),"&lt;="&amp;(MIN('_Dates'!Z580,Settings!$B$9))))))</ns0:f>
        <ns0:v>0</ns0:v>
      </ns0:c>
      <ns0:c r="I580" s="0">
        <ns0:f>MAX(0,G580-H580)</ns0:f>
        <ns0:v>0</ns0:v>
      </ns0:c>
      <ns0:c r="J580" s="0">
        <ns0:f>IF(OR(A580=0,F580&lt;&gt;"OK",Bookings!G580="Cancelled",$B$6&gt;0),0,IF('_Dates'!AC580=1,MAX(0,COUNTIFS(rngEngine_B,B580,rngAMStart,"&lt;="&amp;'_Dates'!X580,rngAMEnd,"&gt;="&amp;'_Dates'!W580,rngAMActive,1,rngEngine_F,"OK",rngBookings_F,"&lt;&gt;Cancelled")-1),0)+IF('_Dates'!AD580=1,MAX(0,COUNTIFS(rngEngine_B,B580,rngPMStart,"&lt;="&amp;'_Dates'!Z580,rngPMEnd,"&gt;="&amp;'_Dates'!Y580,rngPMActive,1,rngEngine_F,"OK",rngBookings_F,"&lt;&gt;Cancelled")-1),0))</ns0:f>
        <ns0:v>0</ns0:v>
      </ns0:c>
      <ns0:c r="K580" s="0" t="str">
        <ns0:f>IF(A580=0,"",IF(F580&lt;&gt;"OK",F580,IF(J580&gt;0,"CHECK overlapping entry",IF(AND($B$6=0,G580&lt;=0,Bookings!G580&lt;&gt;"Cancelled"),"CHECK no working days",IF(Bookings!G580="Cancelled","Cancelled","OK")))))</ns0:f>
        <ns0:v/>
      </ns0:c>
      <ns0:c r="L580" s="0">
        <ns0:f>IF(LEFT(K580,5)="CHECK",1,0)</ns0:f>
        <ns0:v>0</ns0:v>
      </ns0:c>
      <ns0:c r="M580" s="0">
        <ns0:f>IF(AND(L580=1,OR(C580=0,IFERROR(INDEX($X$11:$X$60,C580),0)=0)),1,0)</ns0:f>
        <ns0:v>0</ns0:v>
      </ns0:c>
      <ns0:c r="N580" s="0">
        <ns0:f>IF(OR(A580=0,L580&gt;0,$B$6&gt;0,Bookings!G580="Cancelled"),0,G580)</ns0:f>
        <ns0:v>0</ns0:v>
      </ns0:c>
      <ns0:c r="O580" s="0">
        <ns0:f>IF(AND(Bookings!G580="Approved",E580="Yes"),N580,0)</ns0:f>
        <ns0:v>0</ns0:v>
      </ns0:c>
      <ns0:c r="P580" s="0">
        <ns0:f>IF(AND(Bookings!G580="Approved",E580="Yes",L580=0,$B$6=0),H580,0)</ns0:f>
        <ns0:v>0</ns0:v>
      </ns0:c>
      <ns0:c r="Q580" s="0">
        <ns0:f>IF(AND(Bookings!G580="Approved",E580="Yes",L580=0,$B$6=0),I580,0)</ns0:f>
        <ns0:v>0</ns0:v>
      </ns0:c>
      <ns0:c r="R580" s="0">
        <ns0:f>IF(AND(Bookings!G580="Pending",E580="Yes"),N580,0)</ns0:f>
        <ns0:v>0</ns0:v>
      </ns0:c>
      <ns0:c r="S580" s="0">
        <ns0:f>IF(AND(Bookings!G580="Approved",E580="No"),N580,0)</ns0:f>
        <ns0:v>0</ns0:v>
      </ns0:c>
      <ns0:c r="T580" s="0">
        <ns0:f>IFERROR(MATCH(D580,Settings!$G$7:$G$11,0),0)</ns0:f>
        <ns0:v>0</ns0:v>
      </ns0:c>
      <ns0:c r="U580" s="0">
        <ns0:f>IF(N580&gt;0,T580+IF(Bookings!G580="Pending",10,0),0)</ns0:f>
        <ns0:v>0</ns0:v>
      </ns0:c>
      <ns0:c r="V580" s="0">
        <ns0:f>U580</ns0:f>
        <ns0:v>0</ns0:v>
      </ns0:c>
      <ns0:c r="W580" s="0" t="str">
        <ns0:f>IF(C580=0,"",INDEX($AP$11:$AP$60,C580))</ns0:f>
        <ns0:v/>
      </ns0:c>
    </ns0:row>
    <ns0:row r="581">
      <ns0:c r="A581" s="0">
        <ns0:f>IF(COUNTA(Bookings!A581:G581,Bookings!I581)=0,0,1)</ns0:f>
        <ns0:v>0</ns0:v>
      </ns0:c>
      <ns0:c r="B581" s="0" t="str">
        <ns0:f>IFERROR(TRIM(MID(Bookings!A581,FIND(" · ",Bookings!A581)+3,99)),"")</ns0:f>
        <ns0:v/>
      </ns0:c>
      <ns0:c r="C581" s="0">
        <ns0:f>IF(OR(B581="",LEN(B581)&gt;24,ISNUMBER(FIND(" ",B581)),ISNUMBER(FIND("*",B581)),ISNUMBER(FIND("?",B581)),ISNUMBER(FIND("~",B581))),0,IFERROR(MATCH(B581,Team!$A$11:$A$60,0),0))</ns0:f>
        <ns0:v>0</ns0:v>
      </ns0:c>
      <ns0:c r="D581" s="0" t="str">
        <ns0:f>IFERROR(IF(MID(Bookings!F581,LEN(Bookings!F581)-3,3)=" · ",RIGHT(Bookings!F581,1),""),"")</ns0:f>
        <ns0:v/>
      </ns0:c>
      <ns0:c r="E581" s="0" t="str">
        <ns0:f>IFERROR(INDEX(Settings!$H$7:$H$11,MATCH(D581,Settings!$G$7:$G$11,0)),"")</ns0:f>
        <ns0:v/>
      </ns0:c>
      <ns0:c r="F581" s="0" t="str">
        <ns0:f>IF(A581=0,"",IFERROR(IF(OR(B581="",C581=0),"CHECK employee selection",IF(INDEX(Team!$O$11:$O$60,C581)&lt;&gt;"OK","CHECK employee setup",IF(OR('_Dates'!J581=0,'_Dates'!T581=0),"CHECK date: use DD.MM.YYYY",IF('_Dates'!T581&lt;'_Dates'!J581,"CHECK end before start",IF(AND($B$6=0,OR('_Dates'!J581&lt;Settings!$B$7,'_Dates'!T581&gt;Settings!$B$8)),"CHECK split across leave years",IF(OR(NOT(OR('_Dates'!U581="Full day",'_Dates'!U581="AM",'_Dates'!U581="PM")),NOT(OR('_Dates'!V581="Full day",'_Dates'!V581="AM",'_Dates'!V581="PM"))),"CHECK Full day / AM / PM",IF(AND('_Dates'!J581='_Dates'!T581,'_Dates'!U581&lt;&gt;"Full day",'_Dates'!V581&lt;&gt;"Full day",'_Dates'!U581&lt;&gt;'_Dates'!V581),"CHECK same-day portions disagree",IF(AND($B$6=0,OR(AND('_Dates'!U581&lt;&gt;"Full day",'_Dates'!AA581=0),AND('_Dates'!V581&lt;&gt;"Full day",'_Dates'!AB581=0))),"CHECK half-day on non-working date",IF(COUNTIF(Settings!$G$7:$G$11,D581)&lt;&gt;1,"CHECK leave type",IF(AND(Bookings!G581&lt;&gt;"Approved",Bookings!G581&lt;&gt;"Pending",Bookings!G581&lt;&gt;"Cancelled"),"CHECK status","OK")))))))))),"CHECK input"))</ns0:f>
        <ns0:v/>
      </ns0:c>
      <ns0:c r="G581" s="0">
        <ns0:f>IF(OR(F581&lt;&gt;"OK",$B$6&gt;0),0,0.5*(IF(('_Dates'!X581)&lt;('_Dates'!W581),0,INT((('_Dates'!X581)-('_Dates'!W581)+1)/7)*LEN(SUBSTITUTE(W581,"O",""))+LEN(SUBSTITUTE(MID(W581&amp;W581,WEEKDAY(('_Dates'!W581),2),MOD((('_Dates'!X581)-('_Dates'!W581)+1),7)),"O",""))-COUNTIFS(INDEX(AllClosureRows,C581,0),"&gt;="&amp;('_Dates'!W581),INDEX(AllClosureRows,C581,0),"&lt;="&amp;('_Dates'!X581)))+IF(('_Dates'!Z581)&lt;('_Dates'!Y581),0,INT((('_Dates'!Z581)-('_Dates'!Y581)+1)/7)*LEN(SUBSTITUTE(W581,"O",""))+LEN(SUBSTITUTE(MID(W581&amp;W581,WEEKDAY(('_Dates'!Y581),2),MOD((('_Dates'!Z581)-('_Dates'!Y581)+1),7)),"O",""))-COUNTIFS(INDEX(AllClosureRows,C581,0),"&gt;="&amp;('_Dates'!Y581),INDEX(AllClosureRows,C581,0),"&lt;="&amp;('_Dates'!Z581)))))</ns0:f>
        <ns0:v>0</ns0:v>
      </ns0:c>
      <ns0:c r="H581" s="0">
        <ns0:f>IF(OR(F581&lt;&gt;"OK",$B$6&gt;0),0,0.5*(IF((MIN('_Dates'!X581,Settings!$B$9))&lt;('_Dates'!W581),0,INT(((MIN('_Dates'!X581,Settings!$B$9))-('_Dates'!W581)+1)/7)*LEN(SUBSTITUTE(W581,"O",""))+LEN(SUBSTITUTE(MID(W581&amp;W581,WEEKDAY(('_Dates'!W581),2),MOD(((MIN('_Dates'!X581,Settings!$B$9))-('_Dates'!W581)+1),7)),"O",""))-COUNTIFS(INDEX(AllClosureRows,C581,0),"&gt;="&amp;('_Dates'!W581),INDEX(AllClosureRows,C581,0),"&lt;="&amp;(MIN('_Dates'!X581,Settings!$B$9))))+IF((MIN('_Dates'!Z581,Settings!$B$9))&lt;('_Dates'!Y581),0,INT(((MIN('_Dates'!Z581,Settings!$B$9))-('_Dates'!Y581)+1)/7)*LEN(SUBSTITUTE(W581,"O",""))+LEN(SUBSTITUTE(MID(W581&amp;W581,WEEKDAY(('_Dates'!Y581),2),MOD(((MIN('_Dates'!Z581,Settings!$B$9))-('_Dates'!Y581)+1),7)),"O",""))-COUNTIFS(INDEX(AllClosureRows,C581,0),"&gt;="&amp;('_Dates'!Y581),INDEX(AllClosureRows,C581,0),"&lt;="&amp;(MIN('_Dates'!Z581,Settings!$B$9))))))</ns0:f>
        <ns0:v>0</ns0:v>
      </ns0:c>
      <ns0:c r="I581" s="0">
        <ns0:f>MAX(0,G581-H581)</ns0:f>
        <ns0:v>0</ns0:v>
      </ns0:c>
      <ns0:c r="J581" s="0">
        <ns0:f>IF(OR(A581=0,F581&lt;&gt;"OK",Bookings!G581="Cancelled",$B$6&gt;0),0,IF('_Dates'!AC581=1,MAX(0,COUNTIFS(rngEngine_B,B581,rngAMStart,"&lt;="&amp;'_Dates'!X581,rngAMEnd,"&gt;="&amp;'_Dates'!W581,rngAMActive,1,rngEngine_F,"OK",rngBookings_F,"&lt;&gt;Cancelled")-1),0)+IF('_Dates'!AD581=1,MAX(0,COUNTIFS(rngEngine_B,B581,rngPMStart,"&lt;="&amp;'_Dates'!Z581,rngPMEnd,"&gt;="&amp;'_Dates'!Y581,rngPMActive,1,rngEngine_F,"OK",rngBookings_F,"&lt;&gt;Cancelled")-1),0))</ns0:f>
        <ns0:v>0</ns0:v>
      </ns0:c>
      <ns0:c r="K581" s="0" t="str">
        <ns0:f>IF(A581=0,"",IF(F581&lt;&gt;"OK",F581,IF(J581&gt;0,"CHECK overlapping entry",IF(AND($B$6=0,G581&lt;=0,Bookings!G581&lt;&gt;"Cancelled"),"CHECK no working days",IF(Bookings!G581="Cancelled","Cancelled","OK")))))</ns0:f>
        <ns0:v/>
      </ns0:c>
      <ns0:c r="L581" s="0">
        <ns0:f>IF(LEFT(K581,5)="CHECK",1,0)</ns0:f>
        <ns0:v>0</ns0:v>
      </ns0:c>
      <ns0:c r="M581" s="0">
        <ns0:f>IF(AND(L581=1,OR(C581=0,IFERROR(INDEX($X$11:$X$60,C581),0)=0)),1,0)</ns0:f>
        <ns0:v>0</ns0:v>
      </ns0:c>
      <ns0:c r="N581" s="0">
        <ns0:f>IF(OR(A581=0,L581&gt;0,$B$6&gt;0,Bookings!G581="Cancelled"),0,G581)</ns0:f>
        <ns0:v>0</ns0:v>
      </ns0:c>
      <ns0:c r="O581" s="0">
        <ns0:f>IF(AND(Bookings!G581="Approved",E581="Yes"),N581,0)</ns0:f>
        <ns0:v>0</ns0:v>
      </ns0:c>
      <ns0:c r="P581" s="0">
        <ns0:f>IF(AND(Bookings!G581="Approved",E581="Yes",L581=0,$B$6=0),H581,0)</ns0:f>
        <ns0:v>0</ns0:v>
      </ns0:c>
      <ns0:c r="Q581" s="0">
        <ns0:f>IF(AND(Bookings!G581="Approved",E581="Yes",L581=0,$B$6=0),I581,0)</ns0:f>
        <ns0:v>0</ns0:v>
      </ns0:c>
      <ns0:c r="R581" s="0">
        <ns0:f>IF(AND(Bookings!G581="Pending",E581="Yes"),N581,0)</ns0:f>
        <ns0:v>0</ns0:v>
      </ns0:c>
      <ns0:c r="S581" s="0">
        <ns0:f>IF(AND(Bookings!G581="Approved",E581="No"),N581,0)</ns0:f>
        <ns0:v>0</ns0:v>
      </ns0:c>
      <ns0:c r="T581" s="0">
        <ns0:f>IFERROR(MATCH(D581,Settings!$G$7:$G$11,0),0)</ns0:f>
        <ns0:v>0</ns0:v>
      </ns0:c>
      <ns0:c r="U581" s="0">
        <ns0:f>IF(N581&gt;0,T581+IF(Bookings!G581="Pending",10,0),0)</ns0:f>
        <ns0:v>0</ns0:v>
      </ns0:c>
      <ns0:c r="V581" s="0">
        <ns0:f>U581</ns0:f>
        <ns0:v>0</ns0:v>
      </ns0:c>
      <ns0:c r="W581" s="0" t="str">
        <ns0:f>IF(C581=0,"",INDEX($AP$11:$AP$60,C581))</ns0:f>
        <ns0:v/>
      </ns0:c>
    </ns0:row>
    <ns0:row r="582">
      <ns0:c r="A582" s="0">
        <ns0:f>IF(COUNTA(Bookings!A582:G582,Bookings!I582)=0,0,1)</ns0:f>
        <ns0:v>0</ns0:v>
      </ns0:c>
      <ns0:c r="B582" s="0" t="str">
        <ns0:f>IFERROR(TRIM(MID(Bookings!A582,FIND(" · ",Bookings!A582)+3,99)),"")</ns0:f>
        <ns0:v/>
      </ns0:c>
      <ns0:c r="C582" s="0">
        <ns0:f>IF(OR(B582="",LEN(B582)&gt;24,ISNUMBER(FIND(" ",B582)),ISNUMBER(FIND("*",B582)),ISNUMBER(FIND("?",B582)),ISNUMBER(FIND("~",B582))),0,IFERROR(MATCH(B582,Team!$A$11:$A$60,0),0))</ns0:f>
        <ns0:v>0</ns0:v>
      </ns0:c>
      <ns0:c r="D582" s="0" t="str">
        <ns0:f>IFERROR(IF(MID(Bookings!F582,LEN(Bookings!F582)-3,3)=" · ",RIGHT(Bookings!F582,1),""),"")</ns0:f>
        <ns0:v/>
      </ns0:c>
      <ns0:c r="E582" s="0" t="str">
        <ns0:f>IFERROR(INDEX(Settings!$H$7:$H$11,MATCH(D582,Settings!$G$7:$G$11,0)),"")</ns0:f>
        <ns0:v/>
      </ns0:c>
      <ns0:c r="F582" s="0" t="str">
        <ns0:f>IF(A582=0,"",IFERROR(IF(OR(B582="",C582=0),"CHECK employee selection",IF(INDEX(Team!$O$11:$O$60,C582)&lt;&gt;"OK","CHECK employee setup",IF(OR('_Dates'!J582=0,'_Dates'!T582=0),"CHECK date: use DD.MM.YYYY",IF('_Dates'!T582&lt;'_Dates'!J582,"CHECK end before start",IF(AND($B$6=0,OR('_Dates'!J582&lt;Settings!$B$7,'_Dates'!T582&gt;Settings!$B$8)),"CHECK split across leave years",IF(OR(NOT(OR('_Dates'!U582="Full day",'_Dates'!U582="AM",'_Dates'!U582="PM")),NOT(OR('_Dates'!V582="Full day",'_Dates'!V582="AM",'_Dates'!V582="PM"))),"CHECK Full day / AM / PM",IF(AND('_Dates'!J582='_Dates'!T582,'_Dates'!U582&lt;&gt;"Full day",'_Dates'!V582&lt;&gt;"Full day",'_Dates'!U582&lt;&gt;'_Dates'!V582),"CHECK same-day portions disagree",IF(AND($B$6=0,OR(AND('_Dates'!U582&lt;&gt;"Full day",'_Dates'!AA582=0),AND('_Dates'!V582&lt;&gt;"Full day",'_Dates'!AB582=0))),"CHECK half-day on non-working date",IF(COUNTIF(Settings!$G$7:$G$11,D582)&lt;&gt;1,"CHECK leave type",IF(AND(Bookings!G582&lt;&gt;"Approved",Bookings!G582&lt;&gt;"Pending",Bookings!G582&lt;&gt;"Cancelled"),"CHECK status","OK")))))))))),"CHECK input"))</ns0:f>
        <ns0:v/>
      </ns0:c>
      <ns0:c r="G582" s="0">
        <ns0:f>IF(OR(F582&lt;&gt;"OK",$B$6&gt;0),0,0.5*(IF(('_Dates'!X582)&lt;('_Dates'!W582),0,INT((('_Dates'!X582)-('_Dates'!W582)+1)/7)*LEN(SUBSTITUTE(W582,"O",""))+LEN(SUBSTITUTE(MID(W582&amp;W582,WEEKDAY(('_Dates'!W582),2),MOD((('_Dates'!X582)-('_Dates'!W582)+1),7)),"O",""))-COUNTIFS(INDEX(AllClosureRows,C582,0),"&gt;="&amp;('_Dates'!W582),INDEX(AllClosureRows,C582,0),"&lt;="&amp;('_Dates'!X582)))+IF(('_Dates'!Z582)&lt;('_Dates'!Y582),0,INT((('_Dates'!Z582)-('_Dates'!Y582)+1)/7)*LEN(SUBSTITUTE(W582,"O",""))+LEN(SUBSTITUTE(MID(W582&amp;W582,WEEKDAY(('_Dates'!Y582),2),MOD((('_Dates'!Z582)-('_Dates'!Y582)+1),7)),"O",""))-COUNTIFS(INDEX(AllClosureRows,C582,0),"&gt;="&amp;('_Dates'!Y582),INDEX(AllClosureRows,C582,0),"&lt;="&amp;('_Dates'!Z582)))))</ns0:f>
        <ns0:v>0</ns0:v>
      </ns0:c>
      <ns0:c r="H582" s="0">
        <ns0:f>IF(OR(F582&lt;&gt;"OK",$B$6&gt;0),0,0.5*(IF((MIN('_Dates'!X582,Settings!$B$9))&lt;('_Dates'!W582),0,INT(((MIN('_Dates'!X582,Settings!$B$9))-('_Dates'!W582)+1)/7)*LEN(SUBSTITUTE(W582,"O",""))+LEN(SUBSTITUTE(MID(W582&amp;W582,WEEKDAY(('_Dates'!W582),2),MOD(((MIN('_Dates'!X582,Settings!$B$9))-('_Dates'!W582)+1),7)),"O",""))-COUNTIFS(INDEX(AllClosureRows,C582,0),"&gt;="&amp;('_Dates'!W582),INDEX(AllClosureRows,C582,0),"&lt;="&amp;(MIN('_Dates'!X582,Settings!$B$9))))+IF((MIN('_Dates'!Z582,Settings!$B$9))&lt;('_Dates'!Y582),0,INT(((MIN('_Dates'!Z582,Settings!$B$9))-('_Dates'!Y582)+1)/7)*LEN(SUBSTITUTE(W582,"O",""))+LEN(SUBSTITUTE(MID(W582&amp;W582,WEEKDAY(('_Dates'!Y582),2),MOD(((MIN('_Dates'!Z582,Settings!$B$9))-('_Dates'!Y582)+1),7)),"O",""))-COUNTIFS(INDEX(AllClosureRows,C582,0),"&gt;="&amp;('_Dates'!Y582),INDEX(AllClosureRows,C582,0),"&lt;="&amp;(MIN('_Dates'!Z582,Settings!$B$9))))))</ns0:f>
        <ns0:v>0</ns0:v>
      </ns0:c>
      <ns0:c r="I582" s="0">
        <ns0:f>MAX(0,G582-H582)</ns0:f>
        <ns0:v>0</ns0:v>
      </ns0:c>
      <ns0:c r="J582" s="0">
        <ns0:f>IF(OR(A582=0,F582&lt;&gt;"OK",Bookings!G582="Cancelled",$B$6&gt;0),0,IF('_Dates'!AC582=1,MAX(0,COUNTIFS(rngEngine_B,B582,rngAMStart,"&lt;="&amp;'_Dates'!X582,rngAMEnd,"&gt;="&amp;'_Dates'!W582,rngAMActive,1,rngEngine_F,"OK",rngBookings_F,"&lt;&gt;Cancelled")-1),0)+IF('_Dates'!AD582=1,MAX(0,COUNTIFS(rngEngine_B,B582,rngPMStart,"&lt;="&amp;'_Dates'!Z582,rngPMEnd,"&gt;="&amp;'_Dates'!Y582,rngPMActive,1,rngEngine_F,"OK",rngBookings_F,"&lt;&gt;Cancelled")-1),0))</ns0:f>
        <ns0:v>0</ns0:v>
      </ns0:c>
      <ns0:c r="K582" s="0" t="str">
        <ns0:f>IF(A582=0,"",IF(F582&lt;&gt;"OK",F582,IF(J582&gt;0,"CHECK overlapping entry",IF(AND($B$6=0,G582&lt;=0,Bookings!G582&lt;&gt;"Cancelled"),"CHECK no working days",IF(Bookings!G582="Cancelled","Cancelled","OK")))))</ns0:f>
        <ns0:v/>
      </ns0:c>
      <ns0:c r="L582" s="0">
        <ns0:f>IF(LEFT(K582,5)="CHECK",1,0)</ns0:f>
        <ns0:v>0</ns0:v>
      </ns0:c>
      <ns0:c r="M582" s="0">
        <ns0:f>IF(AND(L582=1,OR(C582=0,IFERROR(INDEX($X$11:$X$60,C582),0)=0)),1,0)</ns0:f>
        <ns0:v>0</ns0:v>
      </ns0:c>
      <ns0:c r="N582" s="0">
        <ns0:f>IF(OR(A582=0,L582&gt;0,$B$6&gt;0,Bookings!G582="Cancelled"),0,G582)</ns0:f>
        <ns0:v>0</ns0:v>
      </ns0:c>
      <ns0:c r="O582" s="0">
        <ns0:f>IF(AND(Bookings!G582="Approved",E582="Yes"),N582,0)</ns0:f>
        <ns0:v>0</ns0:v>
      </ns0:c>
      <ns0:c r="P582" s="0">
        <ns0:f>IF(AND(Bookings!G582="Approved",E582="Yes",L582=0,$B$6=0),H582,0)</ns0:f>
        <ns0:v>0</ns0:v>
      </ns0:c>
      <ns0:c r="Q582" s="0">
        <ns0:f>IF(AND(Bookings!G582="Approved",E582="Yes",L582=0,$B$6=0),I582,0)</ns0:f>
        <ns0:v>0</ns0:v>
      </ns0:c>
      <ns0:c r="R582" s="0">
        <ns0:f>IF(AND(Bookings!G582="Pending",E582="Yes"),N582,0)</ns0:f>
        <ns0:v>0</ns0:v>
      </ns0:c>
      <ns0:c r="S582" s="0">
        <ns0:f>IF(AND(Bookings!G582="Approved",E582="No"),N582,0)</ns0:f>
        <ns0:v>0</ns0:v>
      </ns0:c>
      <ns0:c r="T582" s="0">
        <ns0:f>IFERROR(MATCH(D582,Settings!$G$7:$G$11,0),0)</ns0:f>
        <ns0:v>0</ns0:v>
      </ns0:c>
      <ns0:c r="U582" s="0">
        <ns0:f>IF(N582&gt;0,T582+IF(Bookings!G582="Pending",10,0),0)</ns0:f>
        <ns0:v>0</ns0:v>
      </ns0:c>
      <ns0:c r="V582" s="0">
        <ns0:f>U582</ns0:f>
        <ns0:v>0</ns0:v>
      </ns0:c>
      <ns0:c r="W582" s="0" t="str">
        <ns0:f>IF(C582=0,"",INDEX($AP$11:$AP$60,C582))</ns0:f>
        <ns0:v/>
      </ns0:c>
    </ns0:row>
    <ns0:row r="583">
      <ns0:c r="A583" s="0">
        <ns0:f>IF(COUNTA(Bookings!A583:G583,Bookings!I583)=0,0,1)</ns0:f>
        <ns0:v>0</ns0:v>
      </ns0:c>
      <ns0:c r="B583" s="0" t="str">
        <ns0:f>IFERROR(TRIM(MID(Bookings!A583,FIND(" · ",Bookings!A583)+3,99)),"")</ns0:f>
        <ns0:v/>
      </ns0:c>
      <ns0:c r="C583" s="0">
        <ns0:f>IF(OR(B583="",LEN(B583)&gt;24,ISNUMBER(FIND(" ",B583)),ISNUMBER(FIND("*",B583)),ISNUMBER(FIND("?",B583)),ISNUMBER(FIND("~",B583))),0,IFERROR(MATCH(B583,Team!$A$11:$A$60,0),0))</ns0:f>
        <ns0:v>0</ns0:v>
      </ns0:c>
      <ns0:c r="D583" s="0" t="str">
        <ns0:f>IFERROR(IF(MID(Bookings!F583,LEN(Bookings!F583)-3,3)=" · ",RIGHT(Bookings!F583,1),""),"")</ns0:f>
        <ns0:v/>
      </ns0:c>
      <ns0:c r="E583" s="0" t="str">
        <ns0:f>IFERROR(INDEX(Settings!$H$7:$H$11,MATCH(D583,Settings!$G$7:$G$11,0)),"")</ns0:f>
        <ns0:v/>
      </ns0:c>
      <ns0:c r="F583" s="0" t="str">
        <ns0:f>IF(A583=0,"",IFERROR(IF(OR(B583="",C583=0),"CHECK employee selection",IF(INDEX(Team!$O$11:$O$60,C583)&lt;&gt;"OK","CHECK employee setup",IF(OR('_Dates'!J583=0,'_Dates'!T583=0),"CHECK date: use DD.MM.YYYY",IF('_Dates'!T583&lt;'_Dates'!J583,"CHECK end before start",IF(AND($B$6=0,OR('_Dates'!J583&lt;Settings!$B$7,'_Dates'!T583&gt;Settings!$B$8)),"CHECK split across leave years",IF(OR(NOT(OR('_Dates'!U583="Full day",'_Dates'!U583="AM",'_Dates'!U583="PM")),NOT(OR('_Dates'!V583="Full day",'_Dates'!V583="AM",'_Dates'!V583="PM"))),"CHECK Full day / AM / PM",IF(AND('_Dates'!J583='_Dates'!T583,'_Dates'!U583&lt;&gt;"Full day",'_Dates'!V583&lt;&gt;"Full day",'_Dates'!U583&lt;&gt;'_Dates'!V583),"CHECK same-day portions disagree",IF(AND($B$6=0,OR(AND('_Dates'!U583&lt;&gt;"Full day",'_Dates'!AA583=0),AND('_Dates'!V583&lt;&gt;"Full day",'_Dates'!AB583=0))),"CHECK half-day on non-working date",IF(COUNTIF(Settings!$G$7:$G$11,D583)&lt;&gt;1,"CHECK leave type",IF(AND(Bookings!G583&lt;&gt;"Approved",Bookings!G583&lt;&gt;"Pending",Bookings!G583&lt;&gt;"Cancelled"),"CHECK status","OK")))))))))),"CHECK input"))</ns0:f>
        <ns0:v/>
      </ns0:c>
      <ns0:c r="G583" s="0">
        <ns0:f>IF(OR(F583&lt;&gt;"OK",$B$6&gt;0),0,0.5*(IF(('_Dates'!X583)&lt;('_Dates'!W583),0,INT((('_Dates'!X583)-('_Dates'!W583)+1)/7)*LEN(SUBSTITUTE(W583,"O",""))+LEN(SUBSTITUTE(MID(W583&amp;W583,WEEKDAY(('_Dates'!W583),2),MOD((('_Dates'!X583)-('_Dates'!W583)+1),7)),"O",""))-COUNTIFS(INDEX(AllClosureRows,C583,0),"&gt;="&amp;('_Dates'!W583),INDEX(AllClosureRows,C583,0),"&lt;="&amp;('_Dates'!X583)))+IF(('_Dates'!Z583)&lt;('_Dates'!Y583),0,INT((('_Dates'!Z583)-('_Dates'!Y583)+1)/7)*LEN(SUBSTITUTE(W583,"O",""))+LEN(SUBSTITUTE(MID(W583&amp;W583,WEEKDAY(('_Dates'!Y583),2),MOD((('_Dates'!Z583)-('_Dates'!Y583)+1),7)),"O",""))-COUNTIFS(INDEX(AllClosureRows,C583,0),"&gt;="&amp;('_Dates'!Y583),INDEX(AllClosureRows,C583,0),"&lt;="&amp;('_Dates'!Z583)))))</ns0:f>
        <ns0:v>0</ns0:v>
      </ns0:c>
      <ns0:c r="H583" s="0">
        <ns0:f>IF(OR(F583&lt;&gt;"OK",$B$6&gt;0),0,0.5*(IF((MIN('_Dates'!X583,Settings!$B$9))&lt;('_Dates'!W583),0,INT(((MIN('_Dates'!X583,Settings!$B$9))-('_Dates'!W583)+1)/7)*LEN(SUBSTITUTE(W583,"O",""))+LEN(SUBSTITUTE(MID(W583&amp;W583,WEEKDAY(('_Dates'!W583),2),MOD(((MIN('_Dates'!X583,Settings!$B$9))-('_Dates'!W583)+1),7)),"O",""))-COUNTIFS(INDEX(AllClosureRows,C583,0),"&gt;="&amp;('_Dates'!W583),INDEX(AllClosureRows,C583,0),"&lt;="&amp;(MIN('_Dates'!X583,Settings!$B$9))))+IF((MIN('_Dates'!Z583,Settings!$B$9))&lt;('_Dates'!Y583),0,INT(((MIN('_Dates'!Z583,Settings!$B$9))-('_Dates'!Y583)+1)/7)*LEN(SUBSTITUTE(W583,"O",""))+LEN(SUBSTITUTE(MID(W583&amp;W583,WEEKDAY(('_Dates'!Y583),2),MOD(((MIN('_Dates'!Z583,Settings!$B$9))-('_Dates'!Y583)+1),7)),"O",""))-COUNTIFS(INDEX(AllClosureRows,C583,0),"&gt;="&amp;('_Dates'!Y583),INDEX(AllClosureRows,C583,0),"&lt;="&amp;(MIN('_Dates'!Z583,Settings!$B$9))))))</ns0:f>
        <ns0:v>0</ns0:v>
      </ns0:c>
      <ns0:c r="I583" s="0">
        <ns0:f>MAX(0,G583-H583)</ns0:f>
        <ns0:v>0</ns0:v>
      </ns0:c>
      <ns0:c r="J583" s="0">
        <ns0:f>IF(OR(A583=0,F583&lt;&gt;"OK",Bookings!G583="Cancelled",$B$6&gt;0),0,IF('_Dates'!AC583=1,MAX(0,COUNTIFS(rngEngine_B,B583,rngAMStart,"&lt;="&amp;'_Dates'!X583,rngAMEnd,"&gt;="&amp;'_Dates'!W583,rngAMActive,1,rngEngine_F,"OK",rngBookings_F,"&lt;&gt;Cancelled")-1),0)+IF('_Dates'!AD583=1,MAX(0,COUNTIFS(rngEngine_B,B583,rngPMStart,"&lt;="&amp;'_Dates'!Z583,rngPMEnd,"&gt;="&amp;'_Dates'!Y583,rngPMActive,1,rngEngine_F,"OK",rngBookings_F,"&lt;&gt;Cancelled")-1),0))</ns0:f>
        <ns0:v>0</ns0:v>
      </ns0:c>
      <ns0:c r="K583" s="0" t="str">
        <ns0:f>IF(A583=0,"",IF(F583&lt;&gt;"OK",F583,IF(J583&gt;0,"CHECK overlapping entry",IF(AND($B$6=0,G583&lt;=0,Bookings!G583&lt;&gt;"Cancelled"),"CHECK no working days",IF(Bookings!G583="Cancelled","Cancelled","OK")))))</ns0:f>
        <ns0:v/>
      </ns0:c>
      <ns0:c r="L583" s="0">
        <ns0:f>IF(LEFT(K583,5)="CHECK",1,0)</ns0:f>
        <ns0:v>0</ns0:v>
      </ns0:c>
      <ns0:c r="M583" s="0">
        <ns0:f>IF(AND(L583=1,OR(C583=0,IFERROR(INDEX($X$11:$X$60,C583),0)=0)),1,0)</ns0:f>
        <ns0:v>0</ns0:v>
      </ns0:c>
      <ns0:c r="N583" s="0">
        <ns0:f>IF(OR(A583=0,L583&gt;0,$B$6&gt;0,Bookings!G583="Cancelled"),0,G583)</ns0:f>
        <ns0:v>0</ns0:v>
      </ns0:c>
      <ns0:c r="O583" s="0">
        <ns0:f>IF(AND(Bookings!G583="Approved",E583="Yes"),N583,0)</ns0:f>
        <ns0:v>0</ns0:v>
      </ns0:c>
      <ns0:c r="P583" s="0">
        <ns0:f>IF(AND(Bookings!G583="Approved",E583="Yes",L583=0,$B$6=0),H583,0)</ns0:f>
        <ns0:v>0</ns0:v>
      </ns0:c>
      <ns0:c r="Q583" s="0">
        <ns0:f>IF(AND(Bookings!G583="Approved",E583="Yes",L583=0,$B$6=0),I583,0)</ns0:f>
        <ns0:v>0</ns0:v>
      </ns0:c>
      <ns0:c r="R583" s="0">
        <ns0:f>IF(AND(Bookings!G583="Pending",E583="Yes"),N583,0)</ns0:f>
        <ns0:v>0</ns0:v>
      </ns0:c>
      <ns0:c r="S583" s="0">
        <ns0:f>IF(AND(Bookings!G583="Approved",E583="No"),N583,0)</ns0:f>
        <ns0:v>0</ns0:v>
      </ns0:c>
      <ns0:c r="T583" s="0">
        <ns0:f>IFERROR(MATCH(D583,Settings!$G$7:$G$11,0),0)</ns0:f>
        <ns0:v>0</ns0:v>
      </ns0:c>
      <ns0:c r="U583" s="0">
        <ns0:f>IF(N583&gt;0,T583+IF(Bookings!G583="Pending",10,0),0)</ns0:f>
        <ns0:v>0</ns0:v>
      </ns0:c>
      <ns0:c r="V583" s="0">
        <ns0:f>U583</ns0:f>
        <ns0:v>0</ns0:v>
      </ns0:c>
      <ns0:c r="W583" s="0" t="str">
        <ns0:f>IF(C583=0,"",INDEX($AP$11:$AP$60,C583))</ns0:f>
        <ns0:v/>
      </ns0:c>
    </ns0:row>
    <ns0:row r="584">
      <ns0:c r="A584" s="0">
        <ns0:f>IF(COUNTA(Bookings!A584:G584,Bookings!I584)=0,0,1)</ns0:f>
        <ns0:v>0</ns0:v>
      </ns0:c>
      <ns0:c r="B584" s="0" t="str">
        <ns0:f>IFERROR(TRIM(MID(Bookings!A584,FIND(" · ",Bookings!A584)+3,99)),"")</ns0:f>
        <ns0:v/>
      </ns0:c>
      <ns0:c r="C584" s="0">
        <ns0:f>IF(OR(B584="",LEN(B584)&gt;24,ISNUMBER(FIND(" ",B584)),ISNUMBER(FIND("*",B584)),ISNUMBER(FIND("?",B584)),ISNUMBER(FIND("~",B584))),0,IFERROR(MATCH(B584,Team!$A$11:$A$60,0),0))</ns0:f>
        <ns0:v>0</ns0:v>
      </ns0:c>
      <ns0:c r="D584" s="0" t="str">
        <ns0:f>IFERROR(IF(MID(Bookings!F584,LEN(Bookings!F584)-3,3)=" · ",RIGHT(Bookings!F584,1),""),"")</ns0:f>
        <ns0:v/>
      </ns0:c>
      <ns0:c r="E584" s="0" t="str">
        <ns0:f>IFERROR(INDEX(Settings!$H$7:$H$11,MATCH(D584,Settings!$G$7:$G$11,0)),"")</ns0:f>
        <ns0:v/>
      </ns0:c>
      <ns0:c r="F584" s="0" t="str">
        <ns0:f>IF(A584=0,"",IFERROR(IF(OR(B584="",C584=0),"CHECK employee selection",IF(INDEX(Team!$O$11:$O$60,C584)&lt;&gt;"OK","CHECK employee setup",IF(OR('_Dates'!J584=0,'_Dates'!T584=0),"CHECK date: use DD.MM.YYYY",IF('_Dates'!T584&lt;'_Dates'!J584,"CHECK end before start",IF(AND($B$6=0,OR('_Dates'!J584&lt;Settings!$B$7,'_Dates'!T584&gt;Settings!$B$8)),"CHECK split across leave years",IF(OR(NOT(OR('_Dates'!U584="Full day",'_Dates'!U584="AM",'_Dates'!U584="PM")),NOT(OR('_Dates'!V584="Full day",'_Dates'!V584="AM",'_Dates'!V584="PM"))),"CHECK Full day / AM / PM",IF(AND('_Dates'!J584='_Dates'!T584,'_Dates'!U584&lt;&gt;"Full day",'_Dates'!V584&lt;&gt;"Full day",'_Dates'!U584&lt;&gt;'_Dates'!V584),"CHECK same-day portions disagree",IF(AND($B$6=0,OR(AND('_Dates'!U584&lt;&gt;"Full day",'_Dates'!AA584=0),AND('_Dates'!V584&lt;&gt;"Full day",'_Dates'!AB584=0))),"CHECK half-day on non-working date",IF(COUNTIF(Settings!$G$7:$G$11,D584)&lt;&gt;1,"CHECK leave type",IF(AND(Bookings!G584&lt;&gt;"Approved",Bookings!G584&lt;&gt;"Pending",Bookings!G584&lt;&gt;"Cancelled"),"CHECK status","OK")))))))))),"CHECK input"))</ns0:f>
        <ns0:v/>
      </ns0:c>
      <ns0:c r="G584" s="0">
        <ns0:f>IF(OR(F584&lt;&gt;"OK",$B$6&gt;0),0,0.5*(IF(('_Dates'!X584)&lt;('_Dates'!W584),0,INT((('_Dates'!X584)-('_Dates'!W584)+1)/7)*LEN(SUBSTITUTE(W584,"O",""))+LEN(SUBSTITUTE(MID(W584&amp;W584,WEEKDAY(('_Dates'!W584),2),MOD((('_Dates'!X584)-('_Dates'!W584)+1),7)),"O",""))-COUNTIFS(INDEX(AllClosureRows,C584,0),"&gt;="&amp;('_Dates'!W584),INDEX(AllClosureRows,C584,0),"&lt;="&amp;('_Dates'!X584)))+IF(('_Dates'!Z584)&lt;('_Dates'!Y584),0,INT((('_Dates'!Z584)-('_Dates'!Y584)+1)/7)*LEN(SUBSTITUTE(W584,"O",""))+LEN(SUBSTITUTE(MID(W584&amp;W584,WEEKDAY(('_Dates'!Y584),2),MOD((('_Dates'!Z584)-('_Dates'!Y584)+1),7)),"O",""))-COUNTIFS(INDEX(AllClosureRows,C584,0),"&gt;="&amp;('_Dates'!Y584),INDEX(AllClosureRows,C584,0),"&lt;="&amp;('_Dates'!Z584)))))</ns0:f>
        <ns0:v>0</ns0:v>
      </ns0:c>
      <ns0:c r="H584" s="0">
        <ns0:f>IF(OR(F584&lt;&gt;"OK",$B$6&gt;0),0,0.5*(IF((MIN('_Dates'!X584,Settings!$B$9))&lt;('_Dates'!W584),0,INT(((MIN('_Dates'!X584,Settings!$B$9))-('_Dates'!W584)+1)/7)*LEN(SUBSTITUTE(W584,"O",""))+LEN(SUBSTITUTE(MID(W584&amp;W584,WEEKDAY(('_Dates'!W584),2),MOD(((MIN('_Dates'!X584,Settings!$B$9))-('_Dates'!W584)+1),7)),"O",""))-COUNTIFS(INDEX(AllClosureRows,C584,0),"&gt;="&amp;('_Dates'!W584),INDEX(AllClosureRows,C584,0),"&lt;="&amp;(MIN('_Dates'!X584,Settings!$B$9))))+IF((MIN('_Dates'!Z584,Settings!$B$9))&lt;('_Dates'!Y584),0,INT(((MIN('_Dates'!Z584,Settings!$B$9))-('_Dates'!Y584)+1)/7)*LEN(SUBSTITUTE(W584,"O",""))+LEN(SUBSTITUTE(MID(W584&amp;W584,WEEKDAY(('_Dates'!Y584),2),MOD(((MIN('_Dates'!Z584,Settings!$B$9))-('_Dates'!Y584)+1),7)),"O",""))-COUNTIFS(INDEX(AllClosureRows,C584,0),"&gt;="&amp;('_Dates'!Y584),INDEX(AllClosureRows,C584,0),"&lt;="&amp;(MIN('_Dates'!Z584,Settings!$B$9))))))</ns0:f>
        <ns0:v>0</ns0:v>
      </ns0:c>
      <ns0:c r="I584" s="0">
        <ns0:f>MAX(0,G584-H584)</ns0:f>
        <ns0:v>0</ns0:v>
      </ns0:c>
      <ns0:c r="J584" s="0">
        <ns0:f>IF(OR(A584=0,F584&lt;&gt;"OK",Bookings!G584="Cancelled",$B$6&gt;0),0,IF('_Dates'!AC584=1,MAX(0,COUNTIFS(rngEngine_B,B584,rngAMStart,"&lt;="&amp;'_Dates'!X584,rngAMEnd,"&gt;="&amp;'_Dates'!W584,rngAMActive,1,rngEngine_F,"OK",rngBookings_F,"&lt;&gt;Cancelled")-1),0)+IF('_Dates'!AD584=1,MAX(0,COUNTIFS(rngEngine_B,B584,rngPMStart,"&lt;="&amp;'_Dates'!Z584,rngPMEnd,"&gt;="&amp;'_Dates'!Y584,rngPMActive,1,rngEngine_F,"OK",rngBookings_F,"&lt;&gt;Cancelled")-1),0))</ns0:f>
        <ns0:v>0</ns0:v>
      </ns0:c>
      <ns0:c r="K584" s="0" t="str">
        <ns0:f>IF(A584=0,"",IF(F584&lt;&gt;"OK",F584,IF(J584&gt;0,"CHECK overlapping entry",IF(AND($B$6=0,G584&lt;=0,Bookings!G584&lt;&gt;"Cancelled"),"CHECK no working days",IF(Bookings!G584="Cancelled","Cancelled","OK")))))</ns0:f>
        <ns0:v/>
      </ns0:c>
      <ns0:c r="L584" s="0">
        <ns0:f>IF(LEFT(K584,5)="CHECK",1,0)</ns0:f>
        <ns0:v>0</ns0:v>
      </ns0:c>
      <ns0:c r="M584" s="0">
        <ns0:f>IF(AND(L584=1,OR(C584=0,IFERROR(INDEX($X$11:$X$60,C584),0)=0)),1,0)</ns0:f>
        <ns0:v>0</ns0:v>
      </ns0:c>
      <ns0:c r="N584" s="0">
        <ns0:f>IF(OR(A584=0,L584&gt;0,$B$6&gt;0,Bookings!G584="Cancelled"),0,G584)</ns0:f>
        <ns0:v>0</ns0:v>
      </ns0:c>
      <ns0:c r="O584" s="0">
        <ns0:f>IF(AND(Bookings!G584="Approved",E584="Yes"),N584,0)</ns0:f>
        <ns0:v>0</ns0:v>
      </ns0:c>
      <ns0:c r="P584" s="0">
        <ns0:f>IF(AND(Bookings!G584="Approved",E584="Yes",L584=0,$B$6=0),H584,0)</ns0:f>
        <ns0:v>0</ns0:v>
      </ns0:c>
      <ns0:c r="Q584" s="0">
        <ns0:f>IF(AND(Bookings!G584="Approved",E584="Yes",L584=0,$B$6=0),I584,0)</ns0:f>
        <ns0:v>0</ns0:v>
      </ns0:c>
      <ns0:c r="R584" s="0">
        <ns0:f>IF(AND(Bookings!G584="Pending",E584="Yes"),N584,0)</ns0:f>
        <ns0:v>0</ns0:v>
      </ns0:c>
      <ns0:c r="S584" s="0">
        <ns0:f>IF(AND(Bookings!G584="Approved",E584="No"),N584,0)</ns0:f>
        <ns0:v>0</ns0:v>
      </ns0:c>
      <ns0:c r="T584" s="0">
        <ns0:f>IFERROR(MATCH(D584,Settings!$G$7:$G$11,0),0)</ns0:f>
        <ns0:v>0</ns0:v>
      </ns0:c>
      <ns0:c r="U584" s="0">
        <ns0:f>IF(N584&gt;0,T584+IF(Bookings!G584="Pending",10,0),0)</ns0:f>
        <ns0:v>0</ns0:v>
      </ns0:c>
      <ns0:c r="V584" s="0">
        <ns0:f>U584</ns0:f>
        <ns0:v>0</ns0:v>
      </ns0:c>
      <ns0:c r="W584" s="0" t="str">
        <ns0:f>IF(C584=0,"",INDEX($AP$11:$AP$60,C584))</ns0:f>
        <ns0:v/>
      </ns0:c>
    </ns0:row>
    <ns0:row r="585">
      <ns0:c r="A585" s="0">
        <ns0:f>IF(COUNTA(Bookings!A585:G585,Bookings!I585)=0,0,1)</ns0:f>
        <ns0:v>0</ns0:v>
      </ns0:c>
      <ns0:c r="B585" s="0" t="str">
        <ns0:f>IFERROR(TRIM(MID(Bookings!A585,FIND(" · ",Bookings!A585)+3,99)),"")</ns0:f>
        <ns0:v/>
      </ns0:c>
      <ns0:c r="C585" s="0">
        <ns0:f>IF(OR(B585="",LEN(B585)&gt;24,ISNUMBER(FIND(" ",B585)),ISNUMBER(FIND("*",B585)),ISNUMBER(FIND("?",B585)),ISNUMBER(FIND("~",B585))),0,IFERROR(MATCH(B585,Team!$A$11:$A$60,0),0))</ns0:f>
        <ns0:v>0</ns0:v>
      </ns0:c>
      <ns0:c r="D585" s="0" t="str">
        <ns0:f>IFERROR(IF(MID(Bookings!F585,LEN(Bookings!F585)-3,3)=" · ",RIGHT(Bookings!F585,1),""),"")</ns0:f>
        <ns0:v/>
      </ns0:c>
      <ns0:c r="E585" s="0" t="str">
        <ns0:f>IFERROR(INDEX(Settings!$H$7:$H$11,MATCH(D585,Settings!$G$7:$G$11,0)),"")</ns0:f>
        <ns0:v/>
      </ns0:c>
      <ns0:c r="F585" s="0" t="str">
        <ns0:f>IF(A585=0,"",IFERROR(IF(OR(B585="",C585=0),"CHECK employee selection",IF(INDEX(Team!$O$11:$O$60,C585)&lt;&gt;"OK","CHECK employee setup",IF(OR('_Dates'!J585=0,'_Dates'!T585=0),"CHECK date: use DD.MM.YYYY",IF('_Dates'!T585&lt;'_Dates'!J585,"CHECK end before start",IF(AND($B$6=0,OR('_Dates'!J585&lt;Settings!$B$7,'_Dates'!T585&gt;Settings!$B$8)),"CHECK split across leave years",IF(OR(NOT(OR('_Dates'!U585="Full day",'_Dates'!U585="AM",'_Dates'!U585="PM")),NOT(OR('_Dates'!V585="Full day",'_Dates'!V585="AM",'_Dates'!V585="PM"))),"CHECK Full day / AM / PM",IF(AND('_Dates'!J585='_Dates'!T585,'_Dates'!U585&lt;&gt;"Full day",'_Dates'!V585&lt;&gt;"Full day",'_Dates'!U585&lt;&gt;'_Dates'!V585),"CHECK same-day portions disagree",IF(AND($B$6=0,OR(AND('_Dates'!U585&lt;&gt;"Full day",'_Dates'!AA585=0),AND('_Dates'!V585&lt;&gt;"Full day",'_Dates'!AB585=0))),"CHECK half-day on non-working date",IF(COUNTIF(Settings!$G$7:$G$11,D585)&lt;&gt;1,"CHECK leave type",IF(AND(Bookings!G585&lt;&gt;"Approved",Bookings!G585&lt;&gt;"Pending",Bookings!G585&lt;&gt;"Cancelled"),"CHECK status","OK")))))))))),"CHECK input"))</ns0:f>
        <ns0:v/>
      </ns0:c>
      <ns0:c r="G585" s="0">
        <ns0:f>IF(OR(F585&lt;&gt;"OK",$B$6&gt;0),0,0.5*(IF(('_Dates'!X585)&lt;('_Dates'!W585),0,INT((('_Dates'!X585)-('_Dates'!W585)+1)/7)*LEN(SUBSTITUTE(W585,"O",""))+LEN(SUBSTITUTE(MID(W585&amp;W585,WEEKDAY(('_Dates'!W585),2),MOD((('_Dates'!X585)-('_Dates'!W585)+1),7)),"O",""))-COUNTIFS(INDEX(AllClosureRows,C585,0),"&gt;="&amp;('_Dates'!W585),INDEX(AllClosureRows,C585,0),"&lt;="&amp;('_Dates'!X585)))+IF(('_Dates'!Z585)&lt;('_Dates'!Y585),0,INT((('_Dates'!Z585)-('_Dates'!Y585)+1)/7)*LEN(SUBSTITUTE(W585,"O",""))+LEN(SUBSTITUTE(MID(W585&amp;W585,WEEKDAY(('_Dates'!Y585),2),MOD((('_Dates'!Z585)-('_Dates'!Y585)+1),7)),"O",""))-COUNTIFS(INDEX(AllClosureRows,C585,0),"&gt;="&amp;('_Dates'!Y585),INDEX(AllClosureRows,C585,0),"&lt;="&amp;('_Dates'!Z585)))))</ns0:f>
        <ns0:v>0</ns0:v>
      </ns0:c>
      <ns0:c r="H585" s="0">
        <ns0:f>IF(OR(F585&lt;&gt;"OK",$B$6&gt;0),0,0.5*(IF((MIN('_Dates'!X585,Settings!$B$9))&lt;('_Dates'!W585),0,INT(((MIN('_Dates'!X585,Settings!$B$9))-('_Dates'!W585)+1)/7)*LEN(SUBSTITUTE(W585,"O",""))+LEN(SUBSTITUTE(MID(W585&amp;W585,WEEKDAY(('_Dates'!W585),2),MOD(((MIN('_Dates'!X585,Settings!$B$9))-('_Dates'!W585)+1),7)),"O",""))-COUNTIFS(INDEX(AllClosureRows,C585,0),"&gt;="&amp;('_Dates'!W585),INDEX(AllClosureRows,C585,0),"&lt;="&amp;(MIN('_Dates'!X585,Settings!$B$9))))+IF((MIN('_Dates'!Z585,Settings!$B$9))&lt;('_Dates'!Y585),0,INT(((MIN('_Dates'!Z585,Settings!$B$9))-('_Dates'!Y585)+1)/7)*LEN(SUBSTITUTE(W585,"O",""))+LEN(SUBSTITUTE(MID(W585&amp;W585,WEEKDAY(('_Dates'!Y585),2),MOD(((MIN('_Dates'!Z585,Settings!$B$9))-('_Dates'!Y585)+1),7)),"O",""))-COUNTIFS(INDEX(AllClosureRows,C585,0),"&gt;="&amp;('_Dates'!Y585),INDEX(AllClosureRows,C585,0),"&lt;="&amp;(MIN('_Dates'!Z585,Settings!$B$9))))))</ns0:f>
        <ns0:v>0</ns0:v>
      </ns0:c>
      <ns0:c r="I585" s="0">
        <ns0:f>MAX(0,G585-H585)</ns0:f>
        <ns0:v>0</ns0:v>
      </ns0:c>
      <ns0:c r="J585" s="0">
        <ns0:f>IF(OR(A585=0,F585&lt;&gt;"OK",Bookings!G585="Cancelled",$B$6&gt;0),0,IF('_Dates'!AC585=1,MAX(0,COUNTIFS(rngEngine_B,B585,rngAMStart,"&lt;="&amp;'_Dates'!X585,rngAMEnd,"&gt;="&amp;'_Dates'!W585,rngAMActive,1,rngEngine_F,"OK",rngBookings_F,"&lt;&gt;Cancelled")-1),0)+IF('_Dates'!AD585=1,MAX(0,COUNTIFS(rngEngine_B,B585,rngPMStart,"&lt;="&amp;'_Dates'!Z585,rngPMEnd,"&gt;="&amp;'_Dates'!Y585,rngPMActive,1,rngEngine_F,"OK",rngBookings_F,"&lt;&gt;Cancelled")-1),0))</ns0:f>
        <ns0:v>0</ns0:v>
      </ns0:c>
      <ns0:c r="K585" s="0" t="str">
        <ns0:f>IF(A585=0,"",IF(F585&lt;&gt;"OK",F585,IF(J585&gt;0,"CHECK overlapping entry",IF(AND($B$6=0,G585&lt;=0,Bookings!G585&lt;&gt;"Cancelled"),"CHECK no working days",IF(Bookings!G585="Cancelled","Cancelled","OK")))))</ns0:f>
        <ns0:v/>
      </ns0:c>
      <ns0:c r="L585" s="0">
        <ns0:f>IF(LEFT(K585,5)="CHECK",1,0)</ns0:f>
        <ns0:v>0</ns0:v>
      </ns0:c>
      <ns0:c r="M585" s="0">
        <ns0:f>IF(AND(L585=1,OR(C585=0,IFERROR(INDEX($X$11:$X$60,C585),0)=0)),1,0)</ns0:f>
        <ns0:v>0</ns0:v>
      </ns0:c>
      <ns0:c r="N585" s="0">
        <ns0:f>IF(OR(A585=0,L585&gt;0,$B$6&gt;0,Bookings!G585="Cancelled"),0,G585)</ns0:f>
        <ns0:v>0</ns0:v>
      </ns0:c>
      <ns0:c r="O585" s="0">
        <ns0:f>IF(AND(Bookings!G585="Approved",E585="Yes"),N585,0)</ns0:f>
        <ns0:v>0</ns0:v>
      </ns0:c>
      <ns0:c r="P585" s="0">
        <ns0:f>IF(AND(Bookings!G585="Approved",E585="Yes",L585=0,$B$6=0),H585,0)</ns0:f>
        <ns0:v>0</ns0:v>
      </ns0:c>
      <ns0:c r="Q585" s="0">
        <ns0:f>IF(AND(Bookings!G585="Approved",E585="Yes",L585=0,$B$6=0),I585,0)</ns0:f>
        <ns0:v>0</ns0:v>
      </ns0:c>
      <ns0:c r="R585" s="0">
        <ns0:f>IF(AND(Bookings!G585="Pending",E585="Yes"),N585,0)</ns0:f>
        <ns0:v>0</ns0:v>
      </ns0:c>
      <ns0:c r="S585" s="0">
        <ns0:f>IF(AND(Bookings!G585="Approved",E585="No"),N585,0)</ns0:f>
        <ns0:v>0</ns0:v>
      </ns0:c>
      <ns0:c r="T585" s="0">
        <ns0:f>IFERROR(MATCH(D585,Settings!$G$7:$G$11,0),0)</ns0:f>
        <ns0:v>0</ns0:v>
      </ns0:c>
      <ns0:c r="U585" s="0">
        <ns0:f>IF(N585&gt;0,T585+IF(Bookings!G585="Pending",10,0),0)</ns0:f>
        <ns0:v>0</ns0:v>
      </ns0:c>
      <ns0:c r="V585" s="0">
        <ns0:f>U585</ns0:f>
        <ns0:v>0</ns0:v>
      </ns0:c>
      <ns0:c r="W585" s="0" t="str">
        <ns0:f>IF(C585=0,"",INDEX($AP$11:$AP$60,C585))</ns0:f>
        <ns0:v/>
      </ns0:c>
    </ns0:row>
    <ns0:row r="586">
      <ns0:c r="A586" s="0">
        <ns0:f>IF(COUNTA(Bookings!A586:G586,Bookings!I586)=0,0,1)</ns0:f>
        <ns0:v>0</ns0:v>
      </ns0:c>
      <ns0:c r="B586" s="0" t="str">
        <ns0:f>IFERROR(TRIM(MID(Bookings!A586,FIND(" · ",Bookings!A586)+3,99)),"")</ns0:f>
        <ns0:v/>
      </ns0:c>
      <ns0:c r="C586" s="0">
        <ns0:f>IF(OR(B586="",LEN(B586)&gt;24,ISNUMBER(FIND(" ",B586)),ISNUMBER(FIND("*",B586)),ISNUMBER(FIND("?",B586)),ISNUMBER(FIND("~",B586))),0,IFERROR(MATCH(B586,Team!$A$11:$A$60,0),0))</ns0:f>
        <ns0:v>0</ns0:v>
      </ns0:c>
      <ns0:c r="D586" s="0" t="str">
        <ns0:f>IFERROR(IF(MID(Bookings!F586,LEN(Bookings!F586)-3,3)=" · ",RIGHT(Bookings!F586,1),""),"")</ns0:f>
        <ns0:v/>
      </ns0:c>
      <ns0:c r="E586" s="0" t="str">
        <ns0:f>IFERROR(INDEX(Settings!$H$7:$H$11,MATCH(D586,Settings!$G$7:$G$11,0)),"")</ns0:f>
        <ns0:v/>
      </ns0:c>
      <ns0:c r="F586" s="0" t="str">
        <ns0:f>IF(A586=0,"",IFERROR(IF(OR(B586="",C586=0),"CHECK employee selection",IF(INDEX(Team!$O$11:$O$60,C586)&lt;&gt;"OK","CHECK employee setup",IF(OR('_Dates'!J586=0,'_Dates'!T586=0),"CHECK date: use DD.MM.YYYY",IF('_Dates'!T586&lt;'_Dates'!J586,"CHECK end before start",IF(AND($B$6=0,OR('_Dates'!J586&lt;Settings!$B$7,'_Dates'!T586&gt;Settings!$B$8)),"CHECK split across leave years",IF(OR(NOT(OR('_Dates'!U586="Full day",'_Dates'!U586="AM",'_Dates'!U586="PM")),NOT(OR('_Dates'!V586="Full day",'_Dates'!V586="AM",'_Dates'!V586="PM"))),"CHECK Full day / AM / PM",IF(AND('_Dates'!J586='_Dates'!T586,'_Dates'!U586&lt;&gt;"Full day",'_Dates'!V586&lt;&gt;"Full day",'_Dates'!U586&lt;&gt;'_Dates'!V586),"CHECK same-day portions disagree",IF(AND($B$6=0,OR(AND('_Dates'!U586&lt;&gt;"Full day",'_Dates'!AA586=0),AND('_Dates'!V586&lt;&gt;"Full day",'_Dates'!AB586=0))),"CHECK half-day on non-working date",IF(COUNTIF(Settings!$G$7:$G$11,D586)&lt;&gt;1,"CHECK leave type",IF(AND(Bookings!G586&lt;&gt;"Approved",Bookings!G586&lt;&gt;"Pending",Bookings!G586&lt;&gt;"Cancelled"),"CHECK status","OK")))))))))),"CHECK input"))</ns0:f>
        <ns0:v/>
      </ns0:c>
      <ns0:c r="G586" s="0">
        <ns0:f>IF(OR(F586&lt;&gt;"OK",$B$6&gt;0),0,0.5*(IF(('_Dates'!X586)&lt;('_Dates'!W586),0,INT((('_Dates'!X586)-('_Dates'!W586)+1)/7)*LEN(SUBSTITUTE(W586,"O",""))+LEN(SUBSTITUTE(MID(W586&amp;W586,WEEKDAY(('_Dates'!W586),2),MOD((('_Dates'!X586)-('_Dates'!W586)+1),7)),"O",""))-COUNTIFS(INDEX(AllClosureRows,C586,0),"&gt;="&amp;('_Dates'!W586),INDEX(AllClosureRows,C586,0),"&lt;="&amp;('_Dates'!X586)))+IF(('_Dates'!Z586)&lt;('_Dates'!Y586),0,INT((('_Dates'!Z586)-('_Dates'!Y586)+1)/7)*LEN(SUBSTITUTE(W586,"O",""))+LEN(SUBSTITUTE(MID(W586&amp;W586,WEEKDAY(('_Dates'!Y586),2),MOD((('_Dates'!Z586)-('_Dates'!Y586)+1),7)),"O",""))-COUNTIFS(INDEX(AllClosureRows,C586,0),"&gt;="&amp;('_Dates'!Y586),INDEX(AllClosureRows,C586,0),"&lt;="&amp;('_Dates'!Z586)))))</ns0:f>
        <ns0:v>0</ns0:v>
      </ns0:c>
      <ns0:c r="H586" s="0">
        <ns0:f>IF(OR(F586&lt;&gt;"OK",$B$6&gt;0),0,0.5*(IF((MIN('_Dates'!X586,Settings!$B$9))&lt;('_Dates'!W586),0,INT(((MIN('_Dates'!X586,Settings!$B$9))-('_Dates'!W586)+1)/7)*LEN(SUBSTITUTE(W586,"O",""))+LEN(SUBSTITUTE(MID(W586&amp;W586,WEEKDAY(('_Dates'!W586),2),MOD(((MIN('_Dates'!X586,Settings!$B$9))-('_Dates'!W586)+1),7)),"O",""))-COUNTIFS(INDEX(AllClosureRows,C586,0),"&gt;="&amp;('_Dates'!W586),INDEX(AllClosureRows,C586,0),"&lt;="&amp;(MIN('_Dates'!X586,Settings!$B$9))))+IF((MIN('_Dates'!Z586,Settings!$B$9))&lt;('_Dates'!Y586),0,INT(((MIN('_Dates'!Z586,Settings!$B$9))-('_Dates'!Y586)+1)/7)*LEN(SUBSTITUTE(W586,"O",""))+LEN(SUBSTITUTE(MID(W586&amp;W586,WEEKDAY(('_Dates'!Y586),2),MOD(((MIN('_Dates'!Z586,Settings!$B$9))-('_Dates'!Y586)+1),7)),"O",""))-COUNTIFS(INDEX(AllClosureRows,C586,0),"&gt;="&amp;('_Dates'!Y586),INDEX(AllClosureRows,C586,0),"&lt;="&amp;(MIN('_Dates'!Z586,Settings!$B$9))))))</ns0:f>
        <ns0:v>0</ns0:v>
      </ns0:c>
      <ns0:c r="I586" s="0">
        <ns0:f>MAX(0,G586-H586)</ns0:f>
        <ns0:v>0</ns0:v>
      </ns0:c>
      <ns0:c r="J586" s="0">
        <ns0:f>IF(OR(A586=0,F586&lt;&gt;"OK",Bookings!G586="Cancelled",$B$6&gt;0),0,IF('_Dates'!AC586=1,MAX(0,COUNTIFS(rngEngine_B,B586,rngAMStart,"&lt;="&amp;'_Dates'!X586,rngAMEnd,"&gt;="&amp;'_Dates'!W586,rngAMActive,1,rngEngine_F,"OK",rngBookings_F,"&lt;&gt;Cancelled")-1),0)+IF('_Dates'!AD586=1,MAX(0,COUNTIFS(rngEngine_B,B586,rngPMStart,"&lt;="&amp;'_Dates'!Z586,rngPMEnd,"&gt;="&amp;'_Dates'!Y586,rngPMActive,1,rngEngine_F,"OK",rngBookings_F,"&lt;&gt;Cancelled")-1),0))</ns0:f>
        <ns0:v>0</ns0:v>
      </ns0:c>
      <ns0:c r="K586" s="0" t="str">
        <ns0:f>IF(A586=0,"",IF(F586&lt;&gt;"OK",F586,IF(J586&gt;0,"CHECK overlapping entry",IF(AND($B$6=0,G586&lt;=0,Bookings!G586&lt;&gt;"Cancelled"),"CHECK no working days",IF(Bookings!G586="Cancelled","Cancelled","OK")))))</ns0:f>
        <ns0:v/>
      </ns0:c>
      <ns0:c r="L586" s="0">
        <ns0:f>IF(LEFT(K586,5)="CHECK",1,0)</ns0:f>
        <ns0:v>0</ns0:v>
      </ns0:c>
      <ns0:c r="M586" s="0">
        <ns0:f>IF(AND(L586=1,OR(C586=0,IFERROR(INDEX($X$11:$X$60,C586),0)=0)),1,0)</ns0:f>
        <ns0:v>0</ns0:v>
      </ns0:c>
      <ns0:c r="N586" s="0">
        <ns0:f>IF(OR(A586=0,L586&gt;0,$B$6&gt;0,Bookings!G586="Cancelled"),0,G586)</ns0:f>
        <ns0:v>0</ns0:v>
      </ns0:c>
      <ns0:c r="O586" s="0">
        <ns0:f>IF(AND(Bookings!G586="Approved",E586="Yes"),N586,0)</ns0:f>
        <ns0:v>0</ns0:v>
      </ns0:c>
      <ns0:c r="P586" s="0">
        <ns0:f>IF(AND(Bookings!G586="Approved",E586="Yes",L586=0,$B$6=0),H586,0)</ns0:f>
        <ns0:v>0</ns0:v>
      </ns0:c>
      <ns0:c r="Q586" s="0">
        <ns0:f>IF(AND(Bookings!G586="Approved",E586="Yes",L586=0,$B$6=0),I586,0)</ns0:f>
        <ns0:v>0</ns0:v>
      </ns0:c>
      <ns0:c r="R586" s="0">
        <ns0:f>IF(AND(Bookings!G586="Pending",E586="Yes"),N586,0)</ns0:f>
        <ns0:v>0</ns0:v>
      </ns0:c>
      <ns0:c r="S586" s="0">
        <ns0:f>IF(AND(Bookings!G586="Approved",E586="No"),N586,0)</ns0:f>
        <ns0:v>0</ns0:v>
      </ns0:c>
      <ns0:c r="T586" s="0">
        <ns0:f>IFERROR(MATCH(D586,Settings!$G$7:$G$11,0),0)</ns0:f>
        <ns0:v>0</ns0:v>
      </ns0:c>
      <ns0:c r="U586" s="0">
        <ns0:f>IF(N586&gt;0,T586+IF(Bookings!G586="Pending",10,0),0)</ns0:f>
        <ns0:v>0</ns0:v>
      </ns0:c>
      <ns0:c r="V586" s="0">
        <ns0:f>U586</ns0:f>
        <ns0:v>0</ns0:v>
      </ns0:c>
      <ns0:c r="W586" s="0" t="str">
        <ns0:f>IF(C586=0,"",INDEX($AP$11:$AP$60,C586))</ns0:f>
        <ns0:v/>
      </ns0:c>
    </ns0:row>
    <ns0:row r="587">
      <ns0:c r="A587" s="0">
        <ns0:f>IF(COUNTA(Bookings!A587:G587,Bookings!I587)=0,0,1)</ns0:f>
        <ns0:v>0</ns0:v>
      </ns0:c>
      <ns0:c r="B587" s="0" t="str">
        <ns0:f>IFERROR(TRIM(MID(Bookings!A587,FIND(" · ",Bookings!A587)+3,99)),"")</ns0:f>
        <ns0:v/>
      </ns0:c>
      <ns0:c r="C587" s="0">
        <ns0:f>IF(OR(B587="",LEN(B587)&gt;24,ISNUMBER(FIND(" ",B587)),ISNUMBER(FIND("*",B587)),ISNUMBER(FIND("?",B587)),ISNUMBER(FIND("~",B587))),0,IFERROR(MATCH(B587,Team!$A$11:$A$60,0),0))</ns0:f>
        <ns0:v>0</ns0:v>
      </ns0:c>
      <ns0:c r="D587" s="0" t="str">
        <ns0:f>IFERROR(IF(MID(Bookings!F587,LEN(Bookings!F587)-3,3)=" · ",RIGHT(Bookings!F587,1),""),"")</ns0:f>
        <ns0:v/>
      </ns0:c>
      <ns0:c r="E587" s="0" t="str">
        <ns0:f>IFERROR(INDEX(Settings!$H$7:$H$11,MATCH(D587,Settings!$G$7:$G$11,0)),"")</ns0:f>
        <ns0:v/>
      </ns0:c>
      <ns0:c r="F587" s="0" t="str">
        <ns0:f>IF(A587=0,"",IFERROR(IF(OR(B587="",C587=0),"CHECK employee selection",IF(INDEX(Team!$O$11:$O$60,C587)&lt;&gt;"OK","CHECK employee setup",IF(OR('_Dates'!J587=0,'_Dates'!T587=0),"CHECK date: use DD.MM.YYYY",IF('_Dates'!T587&lt;'_Dates'!J587,"CHECK end before start",IF(AND($B$6=0,OR('_Dates'!J587&lt;Settings!$B$7,'_Dates'!T587&gt;Settings!$B$8)),"CHECK split across leave years",IF(OR(NOT(OR('_Dates'!U587="Full day",'_Dates'!U587="AM",'_Dates'!U587="PM")),NOT(OR('_Dates'!V587="Full day",'_Dates'!V587="AM",'_Dates'!V587="PM"))),"CHECK Full day / AM / PM",IF(AND('_Dates'!J587='_Dates'!T587,'_Dates'!U587&lt;&gt;"Full day",'_Dates'!V587&lt;&gt;"Full day",'_Dates'!U587&lt;&gt;'_Dates'!V587),"CHECK same-day portions disagree",IF(AND($B$6=0,OR(AND('_Dates'!U587&lt;&gt;"Full day",'_Dates'!AA587=0),AND('_Dates'!V587&lt;&gt;"Full day",'_Dates'!AB587=0))),"CHECK half-day on non-working date",IF(COUNTIF(Settings!$G$7:$G$11,D587)&lt;&gt;1,"CHECK leave type",IF(AND(Bookings!G587&lt;&gt;"Approved",Bookings!G587&lt;&gt;"Pending",Bookings!G587&lt;&gt;"Cancelled"),"CHECK status","OK")))))))))),"CHECK input"))</ns0:f>
        <ns0:v/>
      </ns0:c>
      <ns0:c r="G587" s="0">
        <ns0:f>IF(OR(F587&lt;&gt;"OK",$B$6&gt;0),0,0.5*(IF(('_Dates'!X587)&lt;('_Dates'!W587),0,INT((('_Dates'!X587)-('_Dates'!W587)+1)/7)*LEN(SUBSTITUTE(W587,"O",""))+LEN(SUBSTITUTE(MID(W587&amp;W587,WEEKDAY(('_Dates'!W587),2),MOD((('_Dates'!X587)-('_Dates'!W587)+1),7)),"O",""))-COUNTIFS(INDEX(AllClosureRows,C587,0),"&gt;="&amp;('_Dates'!W587),INDEX(AllClosureRows,C587,0),"&lt;="&amp;('_Dates'!X587)))+IF(('_Dates'!Z587)&lt;('_Dates'!Y587),0,INT((('_Dates'!Z587)-('_Dates'!Y587)+1)/7)*LEN(SUBSTITUTE(W587,"O",""))+LEN(SUBSTITUTE(MID(W587&amp;W587,WEEKDAY(('_Dates'!Y587),2),MOD((('_Dates'!Z587)-('_Dates'!Y587)+1),7)),"O",""))-COUNTIFS(INDEX(AllClosureRows,C587,0),"&gt;="&amp;('_Dates'!Y587),INDEX(AllClosureRows,C587,0),"&lt;="&amp;('_Dates'!Z587)))))</ns0:f>
        <ns0:v>0</ns0:v>
      </ns0:c>
      <ns0:c r="H587" s="0">
        <ns0:f>IF(OR(F587&lt;&gt;"OK",$B$6&gt;0),0,0.5*(IF((MIN('_Dates'!X587,Settings!$B$9))&lt;('_Dates'!W587),0,INT(((MIN('_Dates'!X587,Settings!$B$9))-('_Dates'!W587)+1)/7)*LEN(SUBSTITUTE(W587,"O",""))+LEN(SUBSTITUTE(MID(W587&amp;W587,WEEKDAY(('_Dates'!W587),2),MOD(((MIN('_Dates'!X587,Settings!$B$9))-('_Dates'!W587)+1),7)),"O",""))-COUNTIFS(INDEX(AllClosureRows,C587,0),"&gt;="&amp;('_Dates'!W587),INDEX(AllClosureRows,C587,0),"&lt;="&amp;(MIN('_Dates'!X587,Settings!$B$9))))+IF((MIN('_Dates'!Z587,Settings!$B$9))&lt;('_Dates'!Y587),0,INT(((MIN('_Dates'!Z587,Settings!$B$9))-('_Dates'!Y587)+1)/7)*LEN(SUBSTITUTE(W587,"O",""))+LEN(SUBSTITUTE(MID(W587&amp;W587,WEEKDAY(('_Dates'!Y587),2),MOD(((MIN('_Dates'!Z587,Settings!$B$9))-('_Dates'!Y587)+1),7)),"O",""))-COUNTIFS(INDEX(AllClosureRows,C587,0),"&gt;="&amp;('_Dates'!Y587),INDEX(AllClosureRows,C587,0),"&lt;="&amp;(MIN('_Dates'!Z587,Settings!$B$9))))))</ns0:f>
        <ns0:v>0</ns0:v>
      </ns0:c>
      <ns0:c r="I587" s="0">
        <ns0:f>MAX(0,G587-H587)</ns0:f>
        <ns0:v>0</ns0:v>
      </ns0:c>
      <ns0:c r="J587" s="0">
        <ns0:f>IF(OR(A587=0,F587&lt;&gt;"OK",Bookings!G587="Cancelled",$B$6&gt;0),0,IF('_Dates'!AC587=1,MAX(0,COUNTIFS(rngEngine_B,B587,rngAMStart,"&lt;="&amp;'_Dates'!X587,rngAMEnd,"&gt;="&amp;'_Dates'!W587,rngAMActive,1,rngEngine_F,"OK",rngBookings_F,"&lt;&gt;Cancelled")-1),0)+IF('_Dates'!AD587=1,MAX(0,COUNTIFS(rngEngine_B,B587,rngPMStart,"&lt;="&amp;'_Dates'!Z587,rngPMEnd,"&gt;="&amp;'_Dates'!Y587,rngPMActive,1,rngEngine_F,"OK",rngBookings_F,"&lt;&gt;Cancelled")-1),0))</ns0:f>
        <ns0:v>0</ns0:v>
      </ns0:c>
      <ns0:c r="K587" s="0" t="str">
        <ns0:f>IF(A587=0,"",IF(F587&lt;&gt;"OK",F587,IF(J587&gt;0,"CHECK overlapping entry",IF(AND($B$6=0,G587&lt;=0,Bookings!G587&lt;&gt;"Cancelled"),"CHECK no working days",IF(Bookings!G587="Cancelled","Cancelled","OK")))))</ns0:f>
        <ns0:v/>
      </ns0:c>
      <ns0:c r="L587" s="0">
        <ns0:f>IF(LEFT(K587,5)="CHECK",1,0)</ns0:f>
        <ns0:v>0</ns0:v>
      </ns0:c>
      <ns0:c r="M587" s="0">
        <ns0:f>IF(AND(L587=1,OR(C587=0,IFERROR(INDEX($X$11:$X$60,C587),0)=0)),1,0)</ns0:f>
        <ns0:v>0</ns0:v>
      </ns0:c>
      <ns0:c r="N587" s="0">
        <ns0:f>IF(OR(A587=0,L587&gt;0,$B$6&gt;0,Bookings!G587="Cancelled"),0,G587)</ns0:f>
        <ns0:v>0</ns0:v>
      </ns0:c>
      <ns0:c r="O587" s="0">
        <ns0:f>IF(AND(Bookings!G587="Approved",E587="Yes"),N587,0)</ns0:f>
        <ns0:v>0</ns0:v>
      </ns0:c>
      <ns0:c r="P587" s="0">
        <ns0:f>IF(AND(Bookings!G587="Approved",E587="Yes",L587=0,$B$6=0),H587,0)</ns0:f>
        <ns0:v>0</ns0:v>
      </ns0:c>
      <ns0:c r="Q587" s="0">
        <ns0:f>IF(AND(Bookings!G587="Approved",E587="Yes",L587=0,$B$6=0),I587,0)</ns0:f>
        <ns0:v>0</ns0:v>
      </ns0:c>
      <ns0:c r="R587" s="0">
        <ns0:f>IF(AND(Bookings!G587="Pending",E587="Yes"),N587,0)</ns0:f>
        <ns0:v>0</ns0:v>
      </ns0:c>
      <ns0:c r="S587" s="0">
        <ns0:f>IF(AND(Bookings!G587="Approved",E587="No"),N587,0)</ns0:f>
        <ns0:v>0</ns0:v>
      </ns0:c>
      <ns0:c r="T587" s="0">
        <ns0:f>IFERROR(MATCH(D587,Settings!$G$7:$G$11,0),0)</ns0:f>
        <ns0:v>0</ns0:v>
      </ns0:c>
      <ns0:c r="U587" s="0">
        <ns0:f>IF(N587&gt;0,T587+IF(Bookings!G587="Pending",10,0),0)</ns0:f>
        <ns0:v>0</ns0:v>
      </ns0:c>
      <ns0:c r="V587" s="0">
        <ns0:f>U587</ns0:f>
        <ns0:v>0</ns0:v>
      </ns0:c>
      <ns0:c r="W587" s="0" t="str">
        <ns0:f>IF(C587=0,"",INDEX($AP$11:$AP$60,C587))</ns0:f>
        <ns0:v/>
      </ns0:c>
    </ns0:row>
    <ns0:row r="588">
      <ns0:c r="A588" s="0">
        <ns0:f>IF(COUNTA(Bookings!A588:G588,Bookings!I588)=0,0,1)</ns0:f>
        <ns0:v>0</ns0:v>
      </ns0:c>
      <ns0:c r="B588" s="0" t="str">
        <ns0:f>IFERROR(TRIM(MID(Bookings!A588,FIND(" · ",Bookings!A588)+3,99)),"")</ns0:f>
        <ns0:v/>
      </ns0:c>
      <ns0:c r="C588" s="0">
        <ns0:f>IF(OR(B588="",LEN(B588)&gt;24,ISNUMBER(FIND(" ",B588)),ISNUMBER(FIND("*",B588)),ISNUMBER(FIND("?",B588)),ISNUMBER(FIND("~",B588))),0,IFERROR(MATCH(B588,Team!$A$11:$A$60,0),0))</ns0:f>
        <ns0:v>0</ns0:v>
      </ns0:c>
      <ns0:c r="D588" s="0" t="str">
        <ns0:f>IFERROR(IF(MID(Bookings!F588,LEN(Bookings!F588)-3,3)=" · ",RIGHT(Bookings!F588,1),""),"")</ns0:f>
        <ns0:v/>
      </ns0:c>
      <ns0:c r="E588" s="0" t="str">
        <ns0:f>IFERROR(INDEX(Settings!$H$7:$H$11,MATCH(D588,Settings!$G$7:$G$11,0)),"")</ns0:f>
        <ns0:v/>
      </ns0:c>
      <ns0:c r="F588" s="0" t="str">
        <ns0:f>IF(A588=0,"",IFERROR(IF(OR(B588="",C588=0),"CHECK employee selection",IF(INDEX(Team!$O$11:$O$60,C588)&lt;&gt;"OK","CHECK employee setup",IF(OR('_Dates'!J588=0,'_Dates'!T588=0),"CHECK date: use DD.MM.YYYY",IF('_Dates'!T588&lt;'_Dates'!J588,"CHECK end before start",IF(AND($B$6=0,OR('_Dates'!J588&lt;Settings!$B$7,'_Dates'!T588&gt;Settings!$B$8)),"CHECK split across leave years",IF(OR(NOT(OR('_Dates'!U588="Full day",'_Dates'!U588="AM",'_Dates'!U588="PM")),NOT(OR('_Dates'!V588="Full day",'_Dates'!V588="AM",'_Dates'!V588="PM"))),"CHECK Full day / AM / PM",IF(AND('_Dates'!J588='_Dates'!T588,'_Dates'!U588&lt;&gt;"Full day",'_Dates'!V588&lt;&gt;"Full day",'_Dates'!U588&lt;&gt;'_Dates'!V588),"CHECK same-day portions disagree",IF(AND($B$6=0,OR(AND('_Dates'!U588&lt;&gt;"Full day",'_Dates'!AA588=0),AND('_Dates'!V588&lt;&gt;"Full day",'_Dates'!AB588=0))),"CHECK half-day on non-working date",IF(COUNTIF(Settings!$G$7:$G$11,D588)&lt;&gt;1,"CHECK leave type",IF(AND(Bookings!G588&lt;&gt;"Approved",Bookings!G588&lt;&gt;"Pending",Bookings!G588&lt;&gt;"Cancelled"),"CHECK status","OK")))))))))),"CHECK input"))</ns0:f>
        <ns0:v/>
      </ns0:c>
      <ns0:c r="G588" s="0">
        <ns0:f>IF(OR(F588&lt;&gt;"OK",$B$6&gt;0),0,0.5*(IF(('_Dates'!X588)&lt;('_Dates'!W588),0,INT((('_Dates'!X588)-('_Dates'!W588)+1)/7)*LEN(SUBSTITUTE(W588,"O",""))+LEN(SUBSTITUTE(MID(W588&amp;W588,WEEKDAY(('_Dates'!W588),2),MOD((('_Dates'!X588)-('_Dates'!W588)+1),7)),"O",""))-COUNTIFS(INDEX(AllClosureRows,C588,0),"&gt;="&amp;('_Dates'!W588),INDEX(AllClosureRows,C588,0),"&lt;="&amp;('_Dates'!X588)))+IF(('_Dates'!Z588)&lt;('_Dates'!Y588),0,INT((('_Dates'!Z588)-('_Dates'!Y588)+1)/7)*LEN(SUBSTITUTE(W588,"O",""))+LEN(SUBSTITUTE(MID(W588&amp;W588,WEEKDAY(('_Dates'!Y588),2),MOD((('_Dates'!Z588)-('_Dates'!Y588)+1),7)),"O",""))-COUNTIFS(INDEX(AllClosureRows,C588,0),"&gt;="&amp;('_Dates'!Y588),INDEX(AllClosureRows,C588,0),"&lt;="&amp;('_Dates'!Z588)))))</ns0:f>
        <ns0:v>0</ns0:v>
      </ns0:c>
      <ns0:c r="H588" s="0">
        <ns0:f>IF(OR(F588&lt;&gt;"OK",$B$6&gt;0),0,0.5*(IF((MIN('_Dates'!X588,Settings!$B$9))&lt;('_Dates'!W588),0,INT(((MIN('_Dates'!X588,Settings!$B$9))-('_Dates'!W588)+1)/7)*LEN(SUBSTITUTE(W588,"O",""))+LEN(SUBSTITUTE(MID(W588&amp;W588,WEEKDAY(('_Dates'!W588),2),MOD(((MIN('_Dates'!X588,Settings!$B$9))-('_Dates'!W588)+1),7)),"O",""))-COUNTIFS(INDEX(AllClosureRows,C588,0),"&gt;="&amp;('_Dates'!W588),INDEX(AllClosureRows,C588,0),"&lt;="&amp;(MIN('_Dates'!X588,Settings!$B$9))))+IF((MIN('_Dates'!Z588,Settings!$B$9))&lt;('_Dates'!Y588),0,INT(((MIN('_Dates'!Z588,Settings!$B$9))-('_Dates'!Y588)+1)/7)*LEN(SUBSTITUTE(W588,"O",""))+LEN(SUBSTITUTE(MID(W588&amp;W588,WEEKDAY(('_Dates'!Y588),2),MOD(((MIN('_Dates'!Z588,Settings!$B$9))-('_Dates'!Y588)+1),7)),"O",""))-COUNTIFS(INDEX(AllClosureRows,C588,0),"&gt;="&amp;('_Dates'!Y588),INDEX(AllClosureRows,C588,0),"&lt;="&amp;(MIN('_Dates'!Z588,Settings!$B$9))))))</ns0:f>
        <ns0:v>0</ns0:v>
      </ns0:c>
      <ns0:c r="I588" s="0">
        <ns0:f>MAX(0,G588-H588)</ns0:f>
        <ns0:v>0</ns0:v>
      </ns0:c>
      <ns0:c r="J588" s="0">
        <ns0:f>IF(OR(A588=0,F588&lt;&gt;"OK",Bookings!G588="Cancelled",$B$6&gt;0),0,IF('_Dates'!AC588=1,MAX(0,COUNTIFS(rngEngine_B,B588,rngAMStart,"&lt;="&amp;'_Dates'!X588,rngAMEnd,"&gt;="&amp;'_Dates'!W588,rngAMActive,1,rngEngine_F,"OK",rngBookings_F,"&lt;&gt;Cancelled")-1),0)+IF('_Dates'!AD588=1,MAX(0,COUNTIFS(rngEngine_B,B588,rngPMStart,"&lt;="&amp;'_Dates'!Z588,rngPMEnd,"&gt;="&amp;'_Dates'!Y588,rngPMActive,1,rngEngine_F,"OK",rngBookings_F,"&lt;&gt;Cancelled")-1),0))</ns0:f>
        <ns0:v>0</ns0:v>
      </ns0:c>
      <ns0:c r="K588" s="0" t="str">
        <ns0:f>IF(A588=0,"",IF(F588&lt;&gt;"OK",F588,IF(J588&gt;0,"CHECK overlapping entry",IF(AND($B$6=0,G588&lt;=0,Bookings!G588&lt;&gt;"Cancelled"),"CHECK no working days",IF(Bookings!G588="Cancelled","Cancelled","OK")))))</ns0:f>
        <ns0:v/>
      </ns0:c>
      <ns0:c r="L588" s="0">
        <ns0:f>IF(LEFT(K588,5)="CHECK",1,0)</ns0:f>
        <ns0:v>0</ns0:v>
      </ns0:c>
      <ns0:c r="M588" s="0">
        <ns0:f>IF(AND(L588=1,OR(C588=0,IFERROR(INDEX($X$11:$X$60,C588),0)=0)),1,0)</ns0:f>
        <ns0:v>0</ns0:v>
      </ns0:c>
      <ns0:c r="N588" s="0">
        <ns0:f>IF(OR(A588=0,L588&gt;0,$B$6&gt;0,Bookings!G588="Cancelled"),0,G588)</ns0:f>
        <ns0:v>0</ns0:v>
      </ns0:c>
      <ns0:c r="O588" s="0">
        <ns0:f>IF(AND(Bookings!G588="Approved",E588="Yes"),N588,0)</ns0:f>
        <ns0:v>0</ns0:v>
      </ns0:c>
      <ns0:c r="P588" s="0">
        <ns0:f>IF(AND(Bookings!G588="Approved",E588="Yes",L588=0,$B$6=0),H588,0)</ns0:f>
        <ns0:v>0</ns0:v>
      </ns0:c>
      <ns0:c r="Q588" s="0">
        <ns0:f>IF(AND(Bookings!G588="Approved",E588="Yes",L588=0,$B$6=0),I588,0)</ns0:f>
        <ns0:v>0</ns0:v>
      </ns0:c>
      <ns0:c r="R588" s="0">
        <ns0:f>IF(AND(Bookings!G588="Pending",E588="Yes"),N588,0)</ns0:f>
        <ns0:v>0</ns0:v>
      </ns0:c>
      <ns0:c r="S588" s="0">
        <ns0:f>IF(AND(Bookings!G588="Approved",E588="No"),N588,0)</ns0:f>
        <ns0:v>0</ns0:v>
      </ns0:c>
      <ns0:c r="T588" s="0">
        <ns0:f>IFERROR(MATCH(D588,Settings!$G$7:$G$11,0),0)</ns0:f>
        <ns0:v>0</ns0:v>
      </ns0:c>
      <ns0:c r="U588" s="0">
        <ns0:f>IF(N588&gt;0,T588+IF(Bookings!G588="Pending",10,0),0)</ns0:f>
        <ns0:v>0</ns0:v>
      </ns0:c>
      <ns0:c r="V588" s="0">
        <ns0:f>U588</ns0:f>
        <ns0:v>0</ns0:v>
      </ns0:c>
      <ns0:c r="W588" s="0" t="str">
        <ns0:f>IF(C588=0,"",INDEX($AP$11:$AP$60,C588))</ns0:f>
        <ns0:v/>
      </ns0:c>
    </ns0:row>
    <ns0:row r="589">
      <ns0:c r="A589" s="0">
        <ns0:f>IF(COUNTA(Bookings!A589:G589,Bookings!I589)=0,0,1)</ns0:f>
        <ns0:v>0</ns0:v>
      </ns0:c>
      <ns0:c r="B589" s="0" t="str">
        <ns0:f>IFERROR(TRIM(MID(Bookings!A589,FIND(" · ",Bookings!A589)+3,99)),"")</ns0:f>
        <ns0:v/>
      </ns0:c>
      <ns0:c r="C589" s="0">
        <ns0:f>IF(OR(B589="",LEN(B589)&gt;24,ISNUMBER(FIND(" ",B589)),ISNUMBER(FIND("*",B589)),ISNUMBER(FIND("?",B589)),ISNUMBER(FIND("~",B589))),0,IFERROR(MATCH(B589,Team!$A$11:$A$60,0),0))</ns0:f>
        <ns0:v>0</ns0:v>
      </ns0:c>
      <ns0:c r="D589" s="0" t="str">
        <ns0:f>IFERROR(IF(MID(Bookings!F589,LEN(Bookings!F589)-3,3)=" · ",RIGHT(Bookings!F589,1),""),"")</ns0:f>
        <ns0:v/>
      </ns0:c>
      <ns0:c r="E589" s="0" t="str">
        <ns0:f>IFERROR(INDEX(Settings!$H$7:$H$11,MATCH(D589,Settings!$G$7:$G$11,0)),"")</ns0:f>
        <ns0:v/>
      </ns0:c>
      <ns0:c r="F589" s="0" t="str">
        <ns0:f>IF(A589=0,"",IFERROR(IF(OR(B589="",C589=0),"CHECK employee selection",IF(INDEX(Team!$O$11:$O$60,C589)&lt;&gt;"OK","CHECK employee setup",IF(OR('_Dates'!J589=0,'_Dates'!T589=0),"CHECK date: use DD.MM.YYYY",IF('_Dates'!T589&lt;'_Dates'!J589,"CHECK end before start",IF(AND($B$6=0,OR('_Dates'!J589&lt;Settings!$B$7,'_Dates'!T589&gt;Settings!$B$8)),"CHECK split across leave years",IF(OR(NOT(OR('_Dates'!U589="Full day",'_Dates'!U589="AM",'_Dates'!U589="PM")),NOT(OR('_Dates'!V589="Full day",'_Dates'!V589="AM",'_Dates'!V589="PM"))),"CHECK Full day / AM / PM",IF(AND('_Dates'!J589='_Dates'!T589,'_Dates'!U589&lt;&gt;"Full day",'_Dates'!V589&lt;&gt;"Full day",'_Dates'!U589&lt;&gt;'_Dates'!V589),"CHECK same-day portions disagree",IF(AND($B$6=0,OR(AND('_Dates'!U589&lt;&gt;"Full day",'_Dates'!AA589=0),AND('_Dates'!V589&lt;&gt;"Full day",'_Dates'!AB589=0))),"CHECK half-day on non-working date",IF(COUNTIF(Settings!$G$7:$G$11,D589)&lt;&gt;1,"CHECK leave type",IF(AND(Bookings!G589&lt;&gt;"Approved",Bookings!G589&lt;&gt;"Pending",Bookings!G589&lt;&gt;"Cancelled"),"CHECK status","OK")))))))))),"CHECK input"))</ns0:f>
        <ns0:v/>
      </ns0:c>
      <ns0:c r="G589" s="0">
        <ns0:f>IF(OR(F589&lt;&gt;"OK",$B$6&gt;0),0,0.5*(IF(('_Dates'!X589)&lt;('_Dates'!W589),0,INT((('_Dates'!X589)-('_Dates'!W589)+1)/7)*LEN(SUBSTITUTE(W589,"O",""))+LEN(SUBSTITUTE(MID(W589&amp;W589,WEEKDAY(('_Dates'!W589),2),MOD((('_Dates'!X589)-('_Dates'!W589)+1),7)),"O",""))-COUNTIFS(INDEX(AllClosureRows,C589,0),"&gt;="&amp;('_Dates'!W589),INDEX(AllClosureRows,C589,0),"&lt;="&amp;('_Dates'!X589)))+IF(('_Dates'!Z589)&lt;('_Dates'!Y589),0,INT((('_Dates'!Z589)-('_Dates'!Y589)+1)/7)*LEN(SUBSTITUTE(W589,"O",""))+LEN(SUBSTITUTE(MID(W589&amp;W589,WEEKDAY(('_Dates'!Y589),2),MOD((('_Dates'!Z589)-('_Dates'!Y589)+1),7)),"O",""))-COUNTIFS(INDEX(AllClosureRows,C589,0),"&gt;="&amp;('_Dates'!Y589),INDEX(AllClosureRows,C589,0),"&lt;="&amp;('_Dates'!Z589)))))</ns0:f>
        <ns0:v>0</ns0:v>
      </ns0:c>
      <ns0:c r="H589" s="0">
        <ns0:f>IF(OR(F589&lt;&gt;"OK",$B$6&gt;0),0,0.5*(IF((MIN('_Dates'!X589,Settings!$B$9))&lt;('_Dates'!W589),0,INT(((MIN('_Dates'!X589,Settings!$B$9))-('_Dates'!W589)+1)/7)*LEN(SUBSTITUTE(W589,"O",""))+LEN(SUBSTITUTE(MID(W589&amp;W589,WEEKDAY(('_Dates'!W589),2),MOD(((MIN('_Dates'!X589,Settings!$B$9))-('_Dates'!W589)+1),7)),"O",""))-COUNTIFS(INDEX(AllClosureRows,C589,0),"&gt;="&amp;('_Dates'!W589),INDEX(AllClosureRows,C589,0),"&lt;="&amp;(MIN('_Dates'!X589,Settings!$B$9))))+IF((MIN('_Dates'!Z589,Settings!$B$9))&lt;('_Dates'!Y589),0,INT(((MIN('_Dates'!Z589,Settings!$B$9))-('_Dates'!Y589)+1)/7)*LEN(SUBSTITUTE(W589,"O",""))+LEN(SUBSTITUTE(MID(W589&amp;W589,WEEKDAY(('_Dates'!Y589),2),MOD(((MIN('_Dates'!Z589,Settings!$B$9))-('_Dates'!Y589)+1),7)),"O",""))-COUNTIFS(INDEX(AllClosureRows,C589,0),"&gt;="&amp;('_Dates'!Y589),INDEX(AllClosureRows,C589,0),"&lt;="&amp;(MIN('_Dates'!Z589,Settings!$B$9))))))</ns0:f>
        <ns0:v>0</ns0:v>
      </ns0:c>
      <ns0:c r="I589" s="0">
        <ns0:f>MAX(0,G589-H589)</ns0:f>
        <ns0:v>0</ns0:v>
      </ns0:c>
      <ns0:c r="J589" s="0">
        <ns0:f>IF(OR(A589=0,F589&lt;&gt;"OK",Bookings!G589="Cancelled",$B$6&gt;0),0,IF('_Dates'!AC589=1,MAX(0,COUNTIFS(rngEngine_B,B589,rngAMStart,"&lt;="&amp;'_Dates'!X589,rngAMEnd,"&gt;="&amp;'_Dates'!W589,rngAMActive,1,rngEngine_F,"OK",rngBookings_F,"&lt;&gt;Cancelled")-1),0)+IF('_Dates'!AD589=1,MAX(0,COUNTIFS(rngEngine_B,B589,rngPMStart,"&lt;="&amp;'_Dates'!Z589,rngPMEnd,"&gt;="&amp;'_Dates'!Y589,rngPMActive,1,rngEngine_F,"OK",rngBookings_F,"&lt;&gt;Cancelled")-1),0))</ns0:f>
        <ns0:v>0</ns0:v>
      </ns0:c>
      <ns0:c r="K589" s="0" t="str">
        <ns0:f>IF(A589=0,"",IF(F589&lt;&gt;"OK",F589,IF(J589&gt;0,"CHECK overlapping entry",IF(AND($B$6=0,G589&lt;=0,Bookings!G589&lt;&gt;"Cancelled"),"CHECK no working days",IF(Bookings!G589="Cancelled","Cancelled","OK")))))</ns0:f>
        <ns0:v/>
      </ns0:c>
      <ns0:c r="L589" s="0">
        <ns0:f>IF(LEFT(K589,5)="CHECK",1,0)</ns0:f>
        <ns0:v>0</ns0:v>
      </ns0:c>
      <ns0:c r="M589" s="0">
        <ns0:f>IF(AND(L589=1,OR(C589=0,IFERROR(INDEX($X$11:$X$60,C589),0)=0)),1,0)</ns0:f>
        <ns0:v>0</ns0:v>
      </ns0:c>
      <ns0:c r="N589" s="0">
        <ns0:f>IF(OR(A589=0,L589&gt;0,$B$6&gt;0,Bookings!G589="Cancelled"),0,G589)</ns0:f>
        <ns0:v>0</ns0:v>
      </ns0:c>
      <ns0:c r="O589" s="0">
        <ns0:f>IF(AND(Bookings!G589="Approved",E589="Yes"),N589,0)</ns0:f>
        <ns0:v>0</ns0:v>
      </ns0:c>
      <ns0:c r="P589" s="0">
        <ns0:f>IF(AND(Bookings!G589="Approved",E589="Yes",L589=0,$B$6=0),H589,0)</ns0:f>
        <ns0:v>0</ns0:v>
      </ns0:c>
      <ns0:c r="Q589" s="0">
        <ns0:f>IF(AND(Bookings!G589="Approved",E589="Yes",L589=0,$B$6=0),I589,0)</ns0:f>
        <ns0:v>0</ns0:v>
      </ns0:c>
      <ns0:c r="R589" s="0">
        <ns0:f>IF(AND(Bookings!G589="Pending",E589="Yes"),N589,0)</ns0:f>
        <ns0:v>0</ns0:v>
      </ns0:c>
      <ns0:c r="S589" s="0">
        <ns0:f>IF(AND(Bookings!G589="Approved",E589="No"),N589,0)</ns0:f>
        <ns0:v>0</ns0:v>
      </ns0:c>
      <ns0:c r="T589" s="0">
        <ns0:f>IFERROR(MATCH(D589,Settings!$G$7:$G$11,0),0)</ns0:f>
        <ns0:v>0</ns0:v>
      </ns0:c>
      <ns0:c r="U589" s="0">
        <ns0:f>IF(N589&gt;0,T589+IF(Bookings!G589="Pending",10,0),0)</ns0:f>
        <ns0:v>0</ns0:v>
      </ns0:c>
      <ns0:c r="V589" s="0">
        <ns0:f>U589</ns0:f>
        <ns0:v>0</ns0:v>
      </ns0:c>
      <ns0:c r="W589" s="0" t="str">
        <ns0:f>IF(C589=0,"",INDEX($AP$11:$AP$60,C589))</ns0:f>
        <ns0:v/>
      </ns0:c>
    </ns0:row>
    <ns0:row r="590">
      <ns0:c r="A590" s="0">
        <ns0:f>IF(COUNTA(Bookings!A590:G590,Bookings!I590)=0,0,1)</ns0:f>
        <ns0:v>0</ns0:v>
      </ns0:c>
      <ns0:c r="B590" s="0" t="str">
        <ns0:f>IFERROR(TRIM(MID(Bookings!A590,FIND(" · ",Bookings!A590)+3,99)),"")</ns0:f>
        <ns0:v/>
      </ns0:c>
      <ns0:c r="C590" s="0">
        <ns0:f>IF(OR(B590="",LEN(B590)&gt;24,ISNUMBER(FIND(" ",B590)),ISNUMBER(FIND("*",B590)),ISNUMBER(FIND("?",B590)),ISNUMBER(FIND("~",B590))),0,IFERROR(MATCH(B590,Team!$A$11:$A$60,0),0))</ns0:f>
        <ns0:v>0</ns0:v>
      </ns0:c>
      <ns0:c r="D590" s="0" t="str">
        <ns0:f>IFERROR(IF(MID(Bookings!F590,LEN(Bookings!F590)-3,3)=" · ",RIGHT(Bookings!F590,1),""),"")</ns0:f>
        <ns0:v/>
      </ns0:c>
      <ns0:c r="E590" s="0" t="str">
        <ns0:f>IFERROR(INDEX(Settings!$H$7:$H$11,MATCH(D590,Settings!$G$7:$G$11,0)),"")</ns0:f>
        <ns0:v/>
      </ns0:c>
      <ns0:c r="F590" s="0" t="str">
        <ns0:f>IF(A590=0,"",IFERROR(IF(OR(B590="",C590=0),"CHECK employee selection",IF(INDEX(Team!$O$11:$O$60,C590)&lt;&gt;"OK","CHECK employee setup",IF(OR('_Dates'!J590=0,'_Dates'!T590=0),"CHECK date: use DD.MM.YYYY",IF('_Dates'!T590&lt;'_Dates'!J590,"CHECK end before start",IF(AND($B$6=0,OR('_Dates'!J590&lt;Settings!$B$7,'_Dates'!T590&gt;Settings!$B$8)),"CHECK split across leave years",IF(OR(NOT(OR('_Dates'!U590="Full day",'_Dates'!U590="AM",'_Dates'!U590="PM")),NOT(OR('_Dates'!V590="Full day",'_Dates'!V590="AM",'_Dates'!V590="PM"))),"CHECK Full day / AM / PM",IF(AND('_Dates'!J590='_Dates'!T590,'_Dates'!U590&lt;&gt;"Full day",'_Dates'!V590&lt;&gt;"Full day",'_Dates'!U590&lt;&gt;'_Dates'!V590),"CHECK same-day portions disagree",IF(AND($B$6=0,OR(AND('_Dates'!U590&lt;&gt;"Full day",'_Dates'!AA590=0),AND('_Dates'!V590&lt;&gt;"Full day",'_Dates'!AB590=0))),"CHECK half-day on non-working date",IF(COUNTIF(Settings!$G$7:$G$11,D590)&lt;&gt;1,"CHECK leave type",IF(AND(Bookings!G590&lt;&gt;"Approved",Bookings!G590&lt;&gt;"Pending",Bookings!G590&lt;&gt;"Cancelled"),"CHECK status","OK")))))))))),"CHECK input"))</ns0:f>
        <ns0:v/>
      </ns0:c>
      <ns0:c r="G590" s="0">
        <ns0:f>IF(OR(F590&lt;&gt;"OK",$B$6&gt;0),0,0.5*(IF(('_Dates'!X590)&lt;('_Dates'!W590),0,INT((('_Dates'!X590)-('_Dates'!W590)+1)/7)*LEN(SUBSTITUTE(W590,"O",""))+LEN(SUBSTITUTE(MID(W590&amp;W590,WEEKDAY(('_Dates'!W590),2),MOD((('_Dates'!X590)-('_Dates'!W590)+1),7)),"O",""))-COUNTIFS(INDEX(AllClosureRows,C590,0),"&gt;="&amp;('_Dates'!W590),INDEX(AllClosureRows,C590,0),"&lt;="&amp;('_Dates'!X590)))+IF(('_Dates'!Z590)&lt;('_Dates'!Y590),0,INT((('_Dates'!Z590)-('_Dates'!Y590)+1)/7)*LEN(SUBSTITUTE(W590,"O",""))+LEN(SUBSTITUTE(MID(W590&amp;W590,WEEKDAY(('_Dates'!Y590),2),MOD((('_Dates'!Z590)-('_Dates'!Y590)+1),7)),"O",""))-COUNTIFS(INDEX(AllClosureRows,C590,0),"&gt;="&amp;('_Dates'!Y590),INDEX(AllClosureRows,C590,0),"&lt;="&amp;('_Dates'!Z590)))))</ns0:f>
        <ns0:v>0</ns0:v>
      </ns0:c>
      <ns0:c r="H590" s="0">
        <ns0:f>IF(OR(F590&lt;&gt;"OK",$B$6&gt;0),0,0.5*(IF((MIN('_Dates'!X590,Settings!$B$9))&lt;('_Dates'!W590),0,INT(((MIN('_Dates'!X590,Settings!$B$9))-('_Dates'!W590)+1)/7)*LEN(SUBSTITUTE(W590,"O",""))+LEN(SUBSTITUTE(MID(W590&amp;W590,WEEKDAY(('_Dates'!W590),2),MOD(((MIN('_Dates'!X590,Settings!$B$9))-('_Dates'!W590)+1),7)),"O",""))-COUNTIFS(INDEX(AllClosureRows,C590,0),"&gt;="&amp;('_Dates'!W590),INDEX(AllClosureRows,C590,0),"&lt;="&amp;(MIN('_Dates'!X590,Settings!$B$9))))+IF((MIN('_Dates'!Z590,Settings!$B$9))&lt;('_Dates'!Y590),0,INT(((MIN('_Dates'!Z590,Settings!$B$9))-('_Dates'!Y590)+1)/7)*LEN(SUBSTITUTE(W590,"O",""))+LEN(SUBSTITUTE(MID(W590&amp;W590,WEEKDAY(('_Dates'!Y590),2),MOD(((MIN('_Dates'!Z590,Settings!$B$9))-('_Dates'!Y590)+1),7)),"O",""))-COUNTIFS(INDEX(AllClosureRows,C590,0),"&gt;="&amp;('_Dates'!Y590),INDEX(AllClosureRows,C590,0),"&lt;="&amp;(MIN('_Dates'!Z590,Settings!$B$9))))))</ns0:f>
        <ns0:v>0</ns0:v>
      </ns0:c>
      <ns0:c r="I590" s="0">
        <ns0:f>MAX(0,G590-H590)</ns0:f>
        <ns0:v>0</ns0:v>
      </ns0:c>
      <ns0:c r="J590" s="0">
        <ns0:f>IF(OR(A590=0,F590&lt;&gt;"OK",Bookings!G590="Cancelled",$B$6&gt;0),0,IF('_Dates'!AC590=1,MAX(0,COUNTIFS(rngEngine_B,B590,rngAMStart,"&lt;="&amp;'_Dates'!X590,rngAMEnd,"&gt;="&amp;'_Dates'!W590,rngAMActive,1,rngEngine_F,"OK",rngBookings_F,"&lt;&gt;Cancelled")-1),0)+IF('_Dates'!AD590=1,MAX(0,COUNTIFS(rngEngine_B,B590,rngPMStart,"&lt;="&amp;'_Dates'!Z590,rngPMEnd,"&gt;="&amp;'_Dates'!Y590,rngPMActive,1,rngEngine_F,"OK",rngBookings_F,"&lt;&gt;Cancelled")-1),0))</ns0:f>
        <ns0:v>0</ns0:v>
      </ns0:c>
      <ns0:c r="K590" s="0" t="str">
        <ns0:f>IF(A590=0,"",IF(F590&lt;&gt;"OK",F590,IF(J590&gt;0,"CHECK overlapping entry",IF(AND($B$6=0,G590&lt;=0,Bookings!G590&lt;&gt;"Cancelled"),"CHECK no working days",IF(Bookings!G590="Cancelled","Cancelled","OK")))))</ns0:f>
        <ns0:v/>
      </ns0:c>
      <ns0:c r="L590" s="0">
        <ns0:f>IF(LEFT(K590,5)="CHECK",1,0)</ns0:f>
        <ns0:v>0</ns0:v>
      </ns0:c>
      <ns0:c r="M590" s="0">
        <ns0:f>IF(AND(L590=1,OR(C590=0,IFERROR(INDEX($X$11:$X$60,C590),0)=0)),1,0)</ns0:f>
        <ns0:v>0</ns0:v>
      </ns0:c>
      <ns0:c r="N590" s="0">
        <ns0:f>IF(OR(A590=0,L590&gt;0,$B$6&gt;0,Bookings!G590="Cancelled"),0,G590)</ns0:f>
        <ns0:v>0</ns0:v>
      </ns0:c>
      <ns0:c r="O590" s="0">
        <ns0:f>IF(AND(Bookings!G590="Approved",E590="Yes"),N590,0)</ns0:f>
        <ns0:v>0</ns0:v>
      </ns0:c>
      <ns0:c r="P590" s="0">
        <ns0:f>IF(AND(Bookings!G590="Approved",E590="Yes",L590=0,$B$6=0),H590,0)</ns0:f>
        <ns0:v>0</ns0:v>
      </ns0:c>
      <ns0:c r="Q590" s="0">
        <ns0:f>IF(AND(Bookings!G590="Approved",E590="Yes",L590=0,$B$6=0),I590,0)</ns0:f>
        <ns0:v>0</ns0:v>
      </ns0:c>
      <ns0:c r="R590" s="0">
        <ns0:f>IF(AND(Bookings!G590="Pending",E590="Yes"),N590,0)</ns0:f>
        <ns0:v>0</ns0:v>
      </ns0:c>
      <ns0:c r="S590" s="0">
        <ns0:f>IF(AND(Bookings!G590="Approved",E590="No"),N590,0)</ns0:f>
        <ns0:v>0</ns0:v>
      </ns0:c>
      <ns0:c r="T590" s="0">
        <ns0:f>IFERROR(MATCH(D590,Settings!$G$7:$G$11,0),0)</ns0:f>
        <ns0:v>0</ns0:v>
      </ns0:c>
      <ns0:c r="U590" s="0">
        <ns0:f>IF(N590&gt;0,T590+IF(Bookings!G590="Pending",10,0),0)</ns0:f>
        <ns0:v>0</ns0:v>
      </ns0:c>
      <ns0:c r="V590" s="0">
        <ns0:f>U590</ns0:f>
        <ns0:v>0</ns0:v>
      </ns0:c>
      <ns0:c r="W590" s="0" t="str">
        <ns0:f>IF(C590=0,"",INDEX($AP$11:$AP$60,C590))</ns0:f>
        <ns0:v/>
      </ns0:c>
    </ns0:row>
    <ns0:row r="591">
      <ns0:c r="A591" s="0">
        <ns0:f>IF(COUNTA(Bookings!A591:G591,Bookings!I591)=0,0,1)</ns0:f>
        <ns0:v>0</ns0:v>
      </ns0:c>
      <ns0:c r="B591" s="0" t="str">
        <ns0:f>IFERROR(TRIM(MID(Bookings!A591,FIND(" · ",Bookings!A591)+3,99)),"")</ns0:f>
        <ns0:v/>
      </ns0:c>
      <ns0:c r="C591" s="0">
        <ns0:f>IF(OR(B591="",LEN(B591)&gt;24,ISNUMBER(FIND(" ",B591)),ISNUMBER(FIND("*",B591)),ISNUMBER(FIND("?",B591)),ISNUMBER(FIND("~",B591))),0,IFERROR(MATCH(B591,Team!$A$11:$A$60,0),0))</ns0:f>
        <ns0:v>0</ns0:v>
      </ns0:c>
      <ns0:c r="D591" s="0" t="str">
        <ns0:f>IFERROR(IF(MID(Bookings!F591,LEN(Bookings!F591)-3,3)=" · ",RIGHT(Bookings!F591,1),""),"")</ns0:f>
        <ns0:v/>
      </ns0:c>
      <ns0:c r="E591" s="0" t="str">
        <ns0:f>IFERROR(INDEX(Settings!$H$7:$H$11,MATCH(D591,Settings!$G$7:$G$11,0)),"")</ns0:f>
        <ns0:v/>
      </ns0:c>
      <ns0:c r="F591" s="0" t="str">
        <ns0:f>IF(A591=0,"",IFERROR(IF(OR(B591="",C591=0),"CHECK employee selection",IF(INDEX(Team!$O$11:$O$60,C591)&lt;&gt;"OK","CHECK employee setup",IF(OR('_Dates'!J591=0,'_Dates'!T591=0),"CHECK date: use DD.MM.YYYY",IF('_Dates'!T591&lt;'_Dates'!J591,"CHECK end before start",IF(AND($B$6=0,OR('_Dates'!J591&lt;Settings!$B$7,'_Dates'!T591&gt;Settings!$B$8)),"CHECK split across leave years",IF(OR(NOT(OR('_Dates'!U591="Full day",'_Dates'!U591="AM",'_Dates'!U591="PM")),NOT(OR('_Dates'!V591="Full day",'_Dates'!V591="AM",'_Dates'!V591="PM"))),"CHECK Full day / AM / PM",IF(AND('_Dates'!J591='_Dates'!T591,'_Dates'!U591&lt;&gt;"Full day",'_Dates'!V591&lt;&gt;"Full day",'_Dates'!U591&lt;&gt;'_Dates'!V591),"CHECK same-day portions disagree",IF(AND($B$6=0,OR(AND('_Dates'!U591&lt;&gt;"Full day",'_Dates'!AA591=0),AND('_Dates'!V591&lt;&gt;"Full day",'_Dates'!AB591=0))),"CHECK half-day on non-working date",IF(COUNTIF(Settings!$G$7:$G$11,D591)&lt;&gt;1,"CHECK leave type",IF(AND(Bookings!G591&lt;&gt;"Approved",Bookings!G591&lt;&gt;"Pending",Bookings!G591&lt;&gt;"Cancelled"),"CHECK status","OK")))))))))),"CHECK input"))</ns0:f>
        <ns0:v/>
      </ns0:c>
      <ns0:c r="G591" s="0">
        <ns0:f>IF(OR(F591&lt;&gt;"OK",$B$6&gt;0),0,0.5*(IF(('_Dates'!X591)&lt;('_Dates'!W591),0,INT((('_Dates'!X591)-('_Dates'!W591)+1)/7)*LEN(SUBSTITUTE(W591,"O",""))+LEN(SUBSTITUTE(MID(W591&amp;W591,WEEKDAY(('_Dates'!W591),2),MOD((('_Dates'!X591)-('_Dates'!W591)+1),7)),"O",""))-COUNTIFS(INDEX(AllClosureRows,C591,0),"&gt;="&amp;('_Dates'!W591),INDEX(AllClosureRows,C591,0),"&lt;="&amp;('_Dates'!X591)))+IF(('_Dates'!Z591)&lt;('_Dates'!Y591),0,INT((('_Dates'!Z591)-('_Dates'!Y591)+1)/7)*LEN(SUBSTITUTE(W591,"O",""))+LEN(SUBSTITUTE(MID(W591&amp;W591,WEEKDAY(('_Dates'!Y591),2),MOD((('_Dates'!Z591)-('_Dates'!Y591)+1),7)),"O",""))-COUNTIFS(INDEX(AllClosureRows,C591,0),"&gt;="&amp;('_Dates'!Y591),INDEX(AllClosureRows,C591,0),"&lt;="&amp;('_Dates'!Z591)))))</ns0:f>
        <ns0:v>0</ns0:v>
      </ns0:c>
      <ns0:c r="H591" s="0">
        <ns0:f>IF(OR(F591&lt;&gt;"OK",$B$6&gt;0),0,0.5*(IF((MIN('_Dates'!X591,Settings!$B$9))&lt;('_Dates'!W591),0,INT(((MIN('_Dates'!X591,Settings!$B$9))-('_Dates'!W591)+1)/7)*LEN(SUBSTITUTE(W591,"O",""))+LEN(SUBSTITUTE(MID(W591&amp;W591,WEEKDAY(('_Dates'!W591),2),MOD(((MIN('_Dates'!X591,Settings!$B$9))-('_Dates'!W591)+1),7)),"O",""))-COUNTIFS(INDEX(AllClosureRows,C591,0),"&gt;="&amp;('_Dates'!W591),INDEX(AllClosureRows,C591,0),"&lt;="&amp;(MIN('_Dates'!X591,Settings!$B$9))))+IF((MIN('_Dates'!Z591,Settings!$B$9))&lt;('_Dates'!Y591),0,INT(((MIN('_Dates'!Z591,Settings!$B$9))-('_Dates'!Y591)+1)/7)*LEN(SUBSTITUTE(W591,"O",""))+LEN(SUBSTITUTE(MID(W591&amp;W591,WEEKDAY(('_Dates'!Y591),2),MOD(((MIN('_Dates'!Z591,Settings!$B$9))-('_Dates'!Y591)+1),7)),"O",""))-COUNTIFS(INDEX(AllClosureRows,C591,0),"&gt;="&amp;('_Dates'!Y591),INDEX(AllClosureRows,C591,0),"&lt;="&amp;(MIN('_Dates'!Z591,Settings!$B$9))))))</ns0:f>
        <ns0:v>0</ns0:v>
      </ns0:c>
      <ns0:c r="I591" s="0">
        <ns0:f>MAX(0,G591-H591)</ns0:f>
        <ns0:v>0</ns0:v>
      </ns0:c>
      <ns0:c r="J591" s="0">
        <ns0:f>IF(OR(A591=0,F591&lt;&gt;"OK",Bookings!G591="Cancelled",$B$6&gt;0),0,IF('_Dates'!AC591=1,MAX(0,COUNTIFS(rngEngine_B,B591,rngAMStart,"&lt;="&amp;'_Dates'!X591,rngAMEnd,"&gt;="&amp;'_Dates'!W591,rngAMActive,1,rngEngine_F,"OK",rngBookings_F,"&lt;&gt;Cancelled")-1),0)+IF('_Dates'!AD591=1,MAX(0,COUNTIFS(rngEngine_B,B591,rngPMStart,"&lt;="&amp;'_Dates'!Z591,rngPMEnd,"&gt;="&amp;'_Dates'!Y591,rngPMActive,1,rngEngine_F,"OK",rngBookings_F,"&lt;&gt;Cancelled")-1),0))</ns0:f>
        <ns0:v>0</ns0:v>
      </ns0:c>
      <ns0:c r="K591" s="0" t="str">
        <ns0:f>IF(A591=0,"",IF(F591&lt;&gt;"OK",F591,IF(J591&gt;0,"CHECK overlapping entry",IF(AND($B$6=0,G591&lt;=0,Bookings!G591&lt;&gt;"Cancelled"),"CHECK no working days",IF(Bookings!G591="Cancelled","Cancelled","OK")))))</ns0:f>
        <ns0:v/>
      </ns0:c>
      <ns0:c r="L591" s="0">
        <ns0:f>IF(LEFT(K591,5)="CHECK",1,0)</ns0:f>
        <ns0:v>0</ns0:v>
      </ns0:c>
      <ns0:c r="M591" s="0">
        <ns0:f>IF(AND(L591=1,OR(C591=0,IFERROR(INDEX($X$11:$X$60,C591),0)=0)),1,0)</ns0:f>
        <ns0:v>0</ns0:v>
      </ns0:c>
      <ns0:c r="N591" s="0">
        <ns0:f>IF(OR(A591=0,L591&gt;0,$B$6&gt;0,Bookings!G591="Cancelled"),0,G591)</ns0:f>
        <ns0:v>0</ns0:v>
      </ns0:c>
      <ns0:c r="O591" s="0">
        <ns0:f>IF(AND(Bookings!G591="Approved",E591="Yes"),N591,0)</ns0:f>
        <ns0:v>0</ns0:v>
      </ns0:c>
      <ns0:c r="P591" s="0">
        <ns0:f>IF(AND(Bookings!G591="Approved",E591="Yes",L591=0,$B$6=0),H591,0)</ns0:f>
        <ns0:v>0</ns0:v>
      </ns0:c>
      <ns0:c r="Q591" s="0">
        <ns0:f>IF(AND(Bookings!G591="Approved",E591="Yes",L591=0,$B$6=0),I591,0)</ns0:f>
        <ns0:v>0</ns0:v>
      </ns0:c>
      <ns0:c r="R591" s="0">
        <ns0:f>IF(AND(Bookings!G591="Pending",E591="Yes"),N591,0)</ns0:f>
        <ns0:v>0</ns0:v>
      </ns0:c>
      <ns0:c r="S591" s="0">
        <ns0:f>IF(AND(Bookings!G591="Approved",E591="No"),N591,0)</ns0:f>
        <ns0:v>0</ns0:v>
      </ns0:c>
      <ns0:c r="T591" s="0">
        <ns0:f>IFERROR(MATCH(D591,Settings!$G$7:$G$11,0),0)</ns0:f>
        <ns0:v>0</ns0:v>
      </ns0:c>
      <ns0:c r="U591" s="0">
        <ns0:f>IF(N591&gt;0,T591+IF(Bookings!G591="Pending",10,0),0)</ns0:f>
        <ns0:v>0</ns0:v>
      </ns0:c>
      <ns0:c r="V591" s="0">
        <ns0:f>U591</ns0:f>
        <ns0:v>0</ns0:v>
      </ns0:c>
      <ns0:c r="W591" s="0" t="str">
        <ns0:f>IF(C591=0,"",INDEX($AP$11:$AP$60,C591))</ns0:f>
        <ns0:v/>
      </ns0:c>
    </ns0:row>
    <ns0:row r="592">
      <ns0:c r="A592" s="0">
        <ns0:f>IF(COUNTA(Bookings!A592:G592,Bookings!I592)=0,0,1)</ns0:f>
        <ns0:v>0</ns0:v>
      </ns0:c>
      <ns0:c r="B592" s="0" t="str">
        <ns0:f>IFERROR(TRIM(MID(Bookings!A592,FIND(" · ",Bookings!A592)+3,99)),"")</ns0:f>
        <ns0:v/>
      </ns0:c>
      <ns0:c r="C592" s="0">
        <ns0:f>IF(OR(B592="",LEN(B592)&gt;24,ISNUMBER(FIND(" ",B592)),ISNUMBER(FIND("*",B592)),ISNUMBER(FIND("?",B592)),ISNUMBER(FIND("~",B592))),0,IFERROR(MATCH(B592,Team!$A$11:$A$60,0),0))</ns0:f>
        <ns0:v>0</ns0:v>
      </ns0:c>
      <ns0:c r="D592" s="0" t="str">
        <ns0:f>IFERROR(IF(MID(Bookings!F592,LEN(Bookings!F592)-3,3)=" · ",RIGHT(Bookings!F592,1),""),"")</ns0:f>
        <ns0:v/>
      </ns0:c>
      <ns0:c r="E592" s="0" t="str">
        <ns0:f>IFERROR(INDEX(Settings!$H$7:$H$11,MATCH(D592,Settings!$G$7:$G$11,0)),"")</ns0:f>
        <ns0:v/>
      </ns0:c>
      <ns0:c r="F592" s="0" t="str">
        <ns0:f>IF(A592=0,"",IFERROR(IF(OR(B592="",C592=0),"CHECK employee selection",IF(INDEX(Team!$O$11:$O$60,C592)&lt;&gt;"OK","CHECK employee setup",IF(OR('_Dates'!J592=0,'_Dates'!T592=0),"CHECK date: use DD.MM.YYYY",IF('_Dates'!T592&lt;'_Dates'!J592,"CHECK end before start",IF(AND($B$6=0,OR('_Dates'!J592&lt;Settings!$B$7,'_Dates'!T592&gt;Settings!$B$8)),"CHECK split across leave years",IF(OR(NOT(OR('_Dates'!U592="Full day",'_Dates'!U592="AM",'_Dates'!U592="PM")),NOT(OR('_Dates'!V592="Full day",'_Dates'!V592="AM",'_Dates'!V592="PM"))),"CHECK Full day / AM / PM",IF(AND('_Dates'!J592='_Dates'!T592,'_Dates'!U592&lt;&gt;"Full day",'_Dates'!V592&lt;&gt;"Full day",'_Dates'!U592&lt;&gt;'_Dates'!V592),"CHECK same-day portions disagree",IF(AND($B$6=0,OR(AND('_Dates'!U592&lt;&gt;"Full day",'_Dates'!AA592=0),AND('_Dates'!V592&lt;&gt;"Full day",'_Dates'!AB592=0))),"CHECK half-day on non-working date",IF(COUNTIF(Settings!$G$7:$G$11,D592)&lt;&gt;1,"CHECK leave type",IF(AND(Bookings!G592&lt;&gt;"Approved",Bookings!G592&lt;&gt;"Pending",Bookings!G592&lt;&gt;"Cancelled"),"CHECK status","OK")))))))))),"CHECK input"))</ns0:f>
        <ns0:v/>
      </ns0:c>
      <ns0:c r="G592" s="0">
        <ns0:f>IF(OR(F592&lt;&gt;"OK",$B$6&gt;0),0,0.5*(IF(('_Dates'!X592)&lt;('_Dates'!W592),0,INT((('_Dates'!X592)-('_Dates'!W592)+1)/7)*LEN(SUBSTITUTE(W592,"O",""))+LEN(SUBSTITUTE(MID(W592&amp;W592,WEEKDAY(('_Dates'!W592),2),MOD((('_Dates'!X592)-('_Dates'!W592)+1),7)),"O",""))-COUNTIFS(INDEX(AllClosureRows,C592,0),"&gt;="&amp;('_Dates'!W592),INDEX(AllClosureRows,C592,0),"&lt;="&amp;('_Dates'!X592)))+IF(('_Dates'!Z592)&lt;('_Dates'!Y592),0,INT((('_Dates'!Z592)-('_Dates'!Y592)+1)/7)*LEN(SUBSTITUTE(W592,"O",""))+LEN(SUBSTITUTE(MID(W592&amp;W592,WEEKDAY(('_Dates'!Y592),2),MOD((('_Dates'!Z592)-('_Dates'!Y592)+1),7)),"O",""))-COUNTIFS(INDEX(AllClosureRows,C592,0),"&gt;="&amp;('_Dates'!Y592),INDEX(AllClosureRows,C592,0),"&lt;="&amp;('_Dates'!Z592)))))</ns0:f>
        <ns0:v>0</ns0:v>
      </ns0:c>
      <ns0:c r="H592" s="0">
        <ns0:f>IF(OR(F592&lt;&gt;"OK",$B$6&gt;0),0,0.5*(IF((MIN('_Dates'!X592,Settings!$B$9))&lt;('_Dates'!W592),0,INT(((MIN('_Dates'!X592,Settings!$B$9))-('_Dates'!W592)+1)/7)*LEN(SUBSTITUTE(W592,"O",""))+LEN(SUBSTITUTE(MID(W592&amp;W592,WEEKDAY(('_Dates'!W592),2),MOD(((MIN('_Dates'!X592,Settings!$B$9))-('_Dates'!W592)+1),7)),"O",""))-COUNTIFS(INDEX(AllClosureRows,C592,0),"&gt;="&amp;('_Dates'!W592),INDEX(AllClosureRows,C592,0),"&lt;="&amp;(MIN('_Dates'!X592,Settings!$B$9))))+IF((MIN('_Dates'!Z592,Settings!$B$9))&lt;('_Dates'!Y592),0,INT(((MIN('_Dates'!Z592,Settings!$B$9))-('_Dates'!Y592)+1)/7)*LEN(SUBSTITUTE(W592,"O",""))+LEN(SUBSTITUTE(MID(W592&amp;W592,WEEKDAY(('_Dates'!Y592),2),MOD(((MIN('_Dates'!Z592,Settings!$B$9))-('_Dates'!Y592)+1),7)),"O",""))-COUNTIFS(INDEX(AllClosureRows,C592,0),"&gt;="&amp;('_Dates'!Y592),INDEX(AllClosureRows,C592,0),"&lt;="&amp;(MIN('_Dates'!Z592,Settings!$B$9))))))</ns0:f>
        <ns0:v>0</ns0:v>
      </ns0:c>
      <ns0:c r="I592" s="0">
        <ns0:f>MAX(0,G592-H592)</ns0:f>
        <ns0:v>0</ns0:v>
      </ns0:c>
      <ns0:c r="J592" s="0">
        <ns0:f>IF(OR(A592=0,F592&lt;&gt;"OK",Bookings!G592="Cancelled",$B$6&gt;0),0,IF('_Dates'!AC592=1,MAX(0,COUNTIFS(rngEngine_B,B592,rngAMStart,"&lt;="&amp;'_Dates'!X592,rngAMEnd,"&gt;="&amp;'_Dates'!W592,rngAMActive,1,rngEngine_F,"OK",rngBookings_F,"&lt;&gt;Cancelled")-1),0)+IF('_Dates'!AD592=1,MAX(0,COUNTIFS(rngEngine_B,B592,rngPMStart,"&lt;="&amp;'_Dates'!Z592,rngPMEnd,"&gt;="&amp;'_Dates'!Y592,rngPMActive,1,rngEngine_F,"OK",rngBookings_F,"&lt;&gt;Cancelled")-1),0))</ns0:f>
        <ns0:v>0</ns0:v>
      </ns0:c>
      <ns0:c r="K592" s="0" t="str">
        <ns0:f>IF(A592=0,"",IF(F592&lt;&gt;"OK",F592,IF(J592&gt;0,"CHECK overlapping entry",IF(AND($B$6=0,G592&lt;=0,Bookings!G592&lt;&gt;"Cancelled"),"CHECK no working days",IF(Bookings!G592="Cancelled","Cancelled","OK")))))</ns0:f>
        <ns0:v/>
      </ns0:c>
      <ns0:c r="L592" s="0">
        <ns0:f>IF(LEFT(K592,5)="CHECK",1,0)</ns0:f>
        <ns0:v>0</ns0:v>
      </ns0:c>
      <ns0:c r="M592" s="0">
        <ns0:f>IF(AND(L592=1,OR(C592=0,IFERROR(INDEX($X$11:$X$60,C592),0)=0)),1,0)</ns0:f>
        <ns0:v>0</ns0:v>
      </ns0:c>
      <ns0:c r="N592" s="0">
        <ns0:f>IF(OR(A592=0,L592&gt;0,$B$6&gt;0,Bookings!G592="Cancelled"),0,G592)</ns0:f>
        <ns0:v>0</ns0:v>
      </ns0:c>
      <ns0:c r="O592" s="0">
        <ns0:f>IF(AND(Bookings!G592="Approved",E592="Yes"),N592,0)</ns0:f>
        <ns0:v>0</ns0:v>
      </ns0:c>
      <ns0:c r="P592" s="0">
        <ns0:f>IF(AND(Bookings!G592="Approved",E592="Yes",L592=0,$B$6=0),H592,0)</ns0:f>
        <ns0:v>0</ns0:v>
      </ns0:c>
      <ns0:c r="Q592" s="0">
        <ns0:f>IF(AND(Bookings!G592="Approved",E592="Yes",L592=0,$B$6=0),I592,0)</ns0:f>
        <ns0:v>0</ns0:v>
      </ns0:c>
      <ns0:c r="R592" s="0">
        <ns0:f>IF(AND(Bookings!G592="Pending",E592="Yes"),N592,0)</ns0:f>
        <ns0:v>0</ns0:v>
      </ns0:c>
      <ns0:c r="S592" s="0">
        <ns0:f>IF(AND(Bookings!G592="Approved",E592="No"),N592,0)</ns0:f>
        <ns0:v>0</ns0:v>
      </ns0:c>
      <ns0:c r="T592" s="0">
        <ns0:f>IFERROR(MATCH(D592,Settings!$G$7:$G$11,0),0)</ns0:f>
        <ns0:v>0</ns0:v>
      </ns0:c>
      <ns0:c r="U592" s="0">
        <ns0:f>IF(N592&gt;0,T592+IF(Bookings!G592="Pending",10,0),0)</ns0:f>
        <ns0:v>0</ns0:v>
      </ns0:c>
      <ns0:c r="V592" s="0">
        <ns0:f>U592</ns0:f>
        <ns0:v>0</ns0:v>
      </ns0:c>
      <ns0:c r="W592" s="0" t="str">
        <ns0:f>IF(C592=0,"",INDEX($AP$11:$AP$60,C592))</ns0:f>
        <ns0:v/>
      </ns0:c>
    </ns0:row>
    <ns0:row r="593">
      <ns0:c r="A593" s="0">
        <ns0:f>IF(COUNTA(Bookings!A593:G593,Bookings!I593)=0,0,1)</ns0:f>
        <ns0:v>0</ns0:v>
      </ns0:c>
      <ns0:c r="B593" s="0" t="str">
        <ns0:f>IFERROR(TRIM(MID(Bookings!A593,FIND(" · ",Bookings!A593)+3,99)),"")</ns0:f>
        <ns0:v/>
      </ns0:c>
      <ns0:c r="C593" s="0">
        <ns0:f>IF(OR(B593="",LEN(B593)&gt;24,ISNUMBER(FIND(" ",B593)),ISNUMBER(FIND("*",B593)),ISNUMBER(FIND("?",B593)),ISNUMBER(FIND("~",B593))),0,IFERROR(MATCH(B593,Team!$A$11:$A$60,0),0))</ns0:f>
        <ns0:v>0</ns0:v>
      </ns0:c>
      <ns0:c r="D593" s="0" t="str">
        <ns0:f>IFERROR(IF(MID(Bookings!F593,LEN(Bookings!F593)-3,3)=" · ",RIGHT(Bookings!F593,1),""),"")</ns0:f>
        <ns0:v/>
      </ns0:c>
      <ns0:c r="E593" s="0" t="str">
        <ns0:f>IFERROR(INDEX(Settings!$H$7:$H$11,MATCH(D593,Settings!$G$7:$G$11,0)),"")</ns0:f>
        <ns0:v/>
      </ns0:c>
      <ns0:c r="F593" s="0" t="str">
        <ns0:f>IF(A593=0,"",IFERROR(IF(OR(B593="",C593=0),"CHECK employee selection",IF(INDEX(Team!$O$11:$O$60,C593)&lt;&gt;"OK","CHECK employee setup",IF(OR('_Dates'!J593=0,'_Dates'!T593=0),"CHECK date: use DD.MM.YYYY",IF('_Dates'!T593&lt;'_Dates'!J593,"CHECK end before start",IF(AND($B$6=0,OR('_Dates'!J593&lt;Settings!$B$7,'_Dates'!T593&gt;Settings!$B$8)),"CHECK split across leave years",IF(OR(NOT(OR('_Dates'!U593="Full day",'_Dates'!U593="AM",'_Dates'!U593="PM")),NOT(OR('_Dates'!V593="Full day",'_Dates'!V593="AM",'_Dates'!V593="PM"))),"CHECK Full day / AM / PM",IF(AND('_Dates'!J593='_Dates'!T593,'_Dates'!U593&lt;&gt;"Full day",'_Dates'!V593&lt;&gt;"Full day",'_Dates'!U593&lt;&gt;'_Dates'!V593),"CHECK same-day portions disagree",IF(AND($B$6=0,OR(AND('_Dates'!U593&lt;&gt;"Full day",'_Dates'!AA593=0),AND('_Dates'!V593&lt;&gt;"Full day",'_Dates'!AB593=0))),"CHECK half-day on non-working date",IF(COUNTIF(Settings!$G$7:$G$11,D593)&lt;&gt;1,"CHECK leave type",IF(AND(Bookings!G593&lt;&gt;"Approved",Bookings!G593&lt;&gt;"Pending",Bookings!G593&lt;&gt;"Cancelled"),"CHECK status","OK")))))))))),"CHECK input"))</ns0:f>
        <ns0:v/>
      </ns0:c>
      <ns0:c r="G593" s="0">
        <ns0:f>IF(OR(F593&lt;&gt;"OK",$B$6&gt;0),0,0.5*(IF(('_Dates'!X593)&lt;('_Dates'!W593),0,INT((('_Dates'!X593)-('_Dates'!W593)+1)/7)*LEN(SUBSTITUTE(W593,"O",""))+LEN(SUBSTITUTE(MID(W593&amp;W593,WEEKDAY(('_Dates'!W593),2),MOD((('_Dates'!X593)-('_Dates'!W593)+1),7)),"O",""))-COUNTIFS(INDEX(AllClosureRows,C593,0),"&gt;="&amp;('_Dates'!W593),INDEX(AllClosureRows,C593,0),"&lt;="&amp;('_Dates'!X593)))+IF(('_Dates'!Z593)&lt;('_Dates'!Y593),0,INT((('_Dates'!Z593)-('_Dates'!Y593)+1)/7)*LEN(SUBSTITUTE(W593,"O",""))+LEN(SUBSTITUTE(MID(W593&amp;W593,WEEKDAY(('_Dates'!Y593),2),MOD((('_Dates'!Z593)-('_Dates'!Y593)+1),7)),"O",""))-COUNTIFS(INDEX(AllClosureRows,C593,0),"&gt;="&amp;('_Dates'!Y593),INDEX(AllClosureRows,C593,0),"&lt;="&amp;('_Dates'!Z593)))))</ns0:f>
        <ns0:v>0</ns0:v>
      </ns0:c>
      <ns0:c r="H593" s="0">
        <ns0:f>IF(OR(F593&lt;&gt;"OK",$B$6&gt;0),0,0.5*(IF((MIN('_Dates'!X593,Settings!$B$9))&lt;('_Dates'!W593),0,INT(((MIN('_Dates'!X593,Settings!$B$9))-('_Dates'!W593)+1)/7)*LEN(SUBSTITUTE(W593,"O",""))+LEN(SUBSTITUTE(MID(W593&amp;W593,WEEKDAY(('_Dates'!W593),2),MOD(((MIN('_Dates'!X593,Settings!$B$9))-('_Dates'!W593)+1),7)),"O",""))-COUNTIFS(INDEX(AllClosureRows,C593,0),"&gt;="&amp;('_Dates'!W593),INDEX(AllClosureRows,C593,0),"&lt;="&amp;(MIN('_Dates'!X593,Settings!$B$9))))+IF((MIN('_Dates'!Z593,Settings!$B$9))&lt;('_Dates'!Y593),0,INT(((MIN('_Dates'!Z593,Settings!$B$9))-('_Dates'!Y593)+1)/7)*LEN(SUBSTITUTE(W593,"O",""))+LEN(SUBSTITUTE(MID(W593&amp;W593,WEEKDAY(('_Dates'!Y593),2),MOD(((MIN('_Dates'!Z593,Settings!$B$9))-('_Dates'!Y593)+1),7)),"O",""))-COUNTIFS(INDEX(AllClosureRows,C593,0),"&gt;="&amp;('_Dates'!Y593),INDEX(AllClosureRows,C593,0),"&lt;="&amp;(MIN('_Dates'!Z593,Settings!$B$9))))))</ns0:f>
        <ns0:v>0</ns0:v>
      </ns0:c>
      <ns0:c r="I593" s="0">
        <ns0:f>MAX(0,G593-H593)</ns0:f>
        <ns0:v>0</ns0:v>
      </ns0:c>
      <ns0:c r="J593" s="0">
        <ns0:f>IF(OR(A593=0,F593&lt;&gt;"OK",Bookings!G593="Cancelled",$B$6&gt;0),0,IF('_Dates'!AC593=1,MAX(0,COUNTIFS(rngEngine_B,B593,rngAMStart,"&lt;="&amp;'_Dates'!X593,rngAMEnd,"&gt;="&amp;'_Dates'!W593,rngAMActive,1,rngEngine_F,"OK",rngBookings_F,"&lt;&gt;Cancelled")-1),0)+IF('_Dates'!AD593=1,MAX(0,COUNTIFS(rngEngine_B,B593,rngPMStart,"&lt;="&amp;'_Dates'!Z593,rngPMEnd,"&gt;="&amp;'_Dates'!Y593,rngPMActive,1,rngEngine_F,"OK",rngBookings_F,"&lt;&gt;Cancelled")-1),0))</ns0:f>
        <ns0:v>0</ns0:v>
      </ns0:c>
      <ns0:c r="K593" s="0" t="str">
        <ns0:f>IF(A593=0,"",IF(F593&lt;&gt;"OK",F593,IF(J593&gt;0,"CHECK overlapping entry",IF(AND($B$6=0,G593&lt;=0,Bookings!G593&lt;&gt;"Cancelled"),"CHECK no working days",IF(Bookings!G593="Cancelled","Cancelled","OK")))))</ns0:f>
        <ns0:v/>
      </ns0:c>
      <ns0:c r="L593" s="0">
        <ns0:f>IF(LEFT(K593,5)="CHECK",1,0)</ns0:f>
        <ns0:v>0</ns0:v>
      </ns0:c>
      <ns0:c r="M593" s="0">
        <ns0:f>IF(AND(L593=1,OR(C593=0,IFERROR(INDEX($X$11:$X$60,C593),0)=0)),1,0)</ns0:f>
        <ns0:v>0</ns0:v>
      </ns0:c>
      <ns0:c r="N593" s="0">
        <ns0:f>IF(OR(A593=0,L593&gt;0,$B$6&gt;0,Bookings!G593="Cancelled"),0,G593)</ns0:f>
        <ns0:v>0</ns0:v>
      </ns0:c>
      <ns0:c r="O593" s="0">
        <ns0:f>IF(AND(Bookings!G593="Approved",E593="Yes"),N593,0)</ns0:f>
        <ns0:v>0</ns0:v>
      </ns0:c>
      <ns0:c r="P593" s="0">
        <ns0:f>IF(AND(Bookings!G593="Approved",E593="Yes",L593=0,$B$6=0),H593,0)</ns0:f>
        <ns0:v>0</ns0:v>
      </ns0:c>
      <ns0:c r="Q593" s="0">
        <ns0:f>IF(AND(Bookings!G593="Approved",E593="Yes",L593=0,$B$6=0),I593,0)</ns0:f>
        <ns0:v>0</ns0:v>
      </ns0:c>
      <ns0:c r="R593" s="0">
        <ns0:f>IF(AND(Bookings!G593="Pending",E593="Yes"),N593,0)</ns0:f>
        <ns0:v>0</ns0:v>
      </ns0:c>
      <ns0:c r="S593" s="0">
        <ns0:f>IF(AND(Bookings!G593="Approved",E593="No"),N593,0)</ns0:f>
        <ns0:v>0</ns0:v>
      </ns0:c>
      <ns0:c r="T593" s="0">
        <ns0:f>IFERROR(MATCH(D593,Settings!$G$7:$G$11,0),0)</ns0:f>
        <ns0:v>0</ns0:v>
      </ns0:c>
      <ns0:c r="U593" s="0">
        <ns0:f>IF(N593&gt;0,T593+IF(Bookings!G593="Pending",10,0),0)</ns0:f>
        <ns0:v>0</ns0:v>
      </ns0:c>
      <ns0:c r="V593" s="0">
        <ns0:f>U593</ns0:f>
        <ns0:v>0</ns0:v>
      </ns0:c>
      <ns0:c r="W593" s="0" t="str">
        <ns0:f>IF(C593=0,"",INDEX($AP$11:$AP$60,C593))</ns0:f>
        <ns0:v/>
      </ns0:c>
    </ns0:row>
    <ns0:row r="594">
      <ns0:c r="A594" s="0">
        <ns0:f>IF(COUNTA(Bookings!A594:G594,Bookings!I594)=0,0,1)</ns0:f>
        <ns0:v>0</ns0:v>
      </ns0:c>
      <ns0:c r="B594" s="0" t="str">
        <ns0:f>IFERROR(TRIM(MID(Bookings!A594,FIND(" · ",Bookings!A594)+3,99)),"")</ns0:f>
        <ns0:v/>
      </ns0:c>
      <ns0:c r="C594" s="0">
        <ns0:f>IF(OR(B594="",LEN(B594)&gt;24,ISNUMBER(FIND(" ",B594)),ISNUMBER(FIND("*",B594)),ISNUMBER(FIND("?",B594)),ISNUMBER(FIND("~",B594))),0,IFERROR(MATCH(B594,Team!$A$11:$A$60,0),0))</ns0:f>
        <ns0:v>0</ns0:v>
      </ns0:c>
      <ns0:c r="D594" s="0" t="str">
        <ns0:f>IFERROR(IF(MID(Bookings!F594,LEN(Bookings!F594)-3,3)=" · ",RIGHT(Bookings!F594,1),""),"")</ns0:f>
        <ns0:v/>
      </ns0:c>
      <ns0:c r="E594" s="0" t="str">
        <ns0:f>IFERROR(INDEX(Settings!$H$7:$H$11,MATCH(D594,Settings!$G$7:$G$11,0)),"")</ns0:f>
        <ns0:v/>
      </ns0:c>
      <ns0:c r="F594" s="0" t="str">
        <ns0:f>IF(A594=0,"",IFERROR(IF(OR(B594="",C594=0),"CHECK employee selection",IF(INDEX(Team!$O$11:$O$60,C594)&lt;&gt;"OK","CHECK employee setup",IF(OR('_Dates'!J594=0,'_Dates'!T594=0),"CHECK date: use DD.MM.YYYY",IF('_Dates'!T594&lt;'_Dates'!J594,"CHECK end before start",IF(AND($B$6=0,OR('_Dates'!J594&lt;Settings!$B$7,'_Dates'!T594&gt;Settings!$B$8)),"CHECK split across leave years",IF(OR(NOT(OR('_Dates'!U594="Full day",'_Dates'!U594="AM",'_Dates'!U594="PM")),NOT(OR('_Dates'!V594="Full day",'_Dates'!V594="AM",'_Dates'!V594="PM"))),"CHECK Full day / AM / PM",IF(AND('_Dates'!J594='_Dates'!T594,'_Dates'!U594&lt;&gt;"Full day",'_Dates'!V594&lt;&gt;"Full day",'_Dates'!U594&lt;&gt;'_Dates'!V594),"CHECK same-day portions disagree",IF(AND($B$6=0,OR(AND('_Dates'!U594&lt;&gt;"Full day",'_Dates'!AA594=0),AND('_Dates'!V594&lt;&gt;"Full day",'_Dates'!AB594=0))),"CHECK half-day on non-working date",IF(COUNTIF(Settings!$G$7:$G$11,D594)&lt;&gt;1,"CHECK leave type",IF(AND(Bookings!G594&lt;&gt;"Approved",Bookings!G594&lt;&gt;"Pending",Bookings!G594&lt;&gt;"Cancelled"),"CHECK status","OK")))))))))),"CHECK input"))</ns0:f>
        <ns0:v/>
      </ns0:c>
      <ns0:c r="G594" s="0">
        <ns0:f>IF(OR(F594&lt;&gt;"OK",$B$6&gt;0),0,0.5*(IF(('_Dates'!X594)&lt;('_Dates'!W594),0,INT((('_Dates'!X594)-('_Dates'!W594)+1)/7)*LEN(SUBSTITUTE(W594,"O",""))+LEN(SUBSTITUTE(MID(W594&amp;W594,WEEKDAY(('_Dates'!W594),2),MOD((('_Dates'!X594)-('_Dates'!W594)+1),7)),"O",""))-COUNTIFS(INDEX(AllClosureRows,C594,0),"&gt;="&amp;('_Dates'!W594),INDEX(AllClosureRows,C594,0),"&lt;="&amp;('_Dates'!X594)))+IF(('_Dates'!Z594)&lt;('_Dates'!Y594),0,INT((('_Dates'!Z594)-('_Dates'!Y594)+1)/7)*LEN(SUBSTITUTE(W594,"O",""))+LEN(SUBSTITUTE(MID(W594&amp;W594,WEEKDAY(('_Dates'!Y594),2),MOD((('_Dates'!Z594)-('_Dates'!Y594)+1),7)),"O",""))-COUNTIFS(INDEX(AllClosureRows,C594,0),"&gt;="&amp;('_Dates'!Y594),INDEX(AllClosureRows,C594,0),"&lt;="&amp;('_Dates'!Z594)))))</ns0:f>
        <ns0:v>0</ns0:v>
      </ns0:c>
      <ns0:c r="H594" s="0">
        <ns0:f>IF(OR(F594&lt;&gt;"OK",$B$6&gt;0),0,0.5*(IF((MIN('_Dates'!X594,Settings!$B$9))&lt;('_Dates'!W594),0,INT(((MIN('_Dates'!X594,Settings!$B$9))-('_Dates'!W594)+1)/7)*LEN(SUBSTITUTE(W594,"O",""))+LEN(SUBSTITUTE(MID(W594&amp;W594,WEEKDAY(('_Dates'!W594),2),MOD(((MIN('_Dates'!X594,Settings!$B$9))-('_Dates'!W594)+1),7)),"O",""))-COUNTIFS(INDEX(AllClosureRows,C594,0),"&gt;="&amp;('_Dates'!W594),INDEX(AllClosureRows,C594,0),"&lt;="&amp;(MIN('_Dates'!X594,Settings!$B$9))))+IF((MIN('_Dates'!Z594,Settings!$B$9))&lt;('_Dates'!Y594),0,INT(((MIN('_Dates'!Z594,Settings!$B$9))-('_Dates'!Y594)+1)/7)*LEN(SUBSTITUTE(W594,"O",""))+LEN(SUBSTITUTE(MID(W594&amp;W594,WEEKDAY(('_Dates'!Y594),2),MOD(((MIN('_Dates'!Z594,Settings!$B$9))-('_Dates'!Y594)+1),7)),"O",""))-COUNTIFS(INDEX(AllClosureRows,C594,0),"&gt;="&amp;('_Dates'!Y594),INDEX(AllClosureRows,C594,0),"&lt;="&amp;(MIN('_Dates'!Z594,Settings!$B$9))))))</ns0:f>
        <ns0:v>0</ns0:v>
      </ns0:c>
      <ns0:c r="I594" s="0">
        <ns0:f>MAX(0,G594-H594)</ns0:f>
        <ns0:v>0</ns0:v>
      </ns0:c>
      <ns0:c r="J594" s="0">
        <ns0:f>IF(OR(A594=0,F594&lt;&gt;"OK",Bookings!G594="Cancelled",$B$6&gt;0),0,IF('_Dates'!AC594=1,MAX(0,COUNTIFS(rngEngine_B,B594,rngAMStart,"&lt;="&amp;'_Dates'!X594,rngAMEnd,"&gt;="&amp;'_Dates'!W594,rngAMActive,1,rngEngine_F,"OK",rngBookings_F,"&lt;&gt;Cancelled")-1),0)+IF('_Dates'!AD594=1,MAX(0,COUNTIFS(rngEngine_B,B594,rngPMStart,"&lt;="&amp;'_Dates'!Z594,rngPMEnd,"&gt;="&amp;'_Dates'!Y594,rngPMActive,1,rngEngine_F,"OK",rngBookings_F,"&lt;&gt;Cancelled")-1),0))</ns0:f>
        <ns0:v>0</ns0:v>
      </ns0:c>
      <ns0:c r="K594" s="0" t="str">
        <ns0:f>IF(A594=0,"",IF(F594&lt;&gt;"OK",F594,IF(J594&gt;0,"CHECK overlapping entry",IF(AND($B$6=0,G594&lt;=0,Bookings!G594&lt;&gt;"Cancelled"),"CHECK no working days",IF(Bookings!G594="Cancelled","Cancelled","OK")))))</ns0:f>
        <ns0:v/>
      </ns0:c>
      <ns0:c r="L594" s="0">
        <ns0:f>IF(LEFT(K594,5)="CHECK",1,0)</ns0:f>
        <ns0:v>0</ns0:v>
      </ns0:c>
      <ns0:c r="M594" s="0">
        <ns0:f>IF(AND(L594=1,OR(C594=0,IFERROR(INDEX($X$11:$X$60,C594),0)=0)),1,0)</ns0:f>
        <ns0:v>0</ns0:v>
      </ns0:c>
      <ns0:c r="N594" s="0">
        <ns0:f>IF(OR(A594=0,L594&gt;0,$B$6&gt;0,Bookings!G594="Cancelled"),0,G594)</ns0:f>
        <ns0:v>0</ns0:v>
      </ns0:c>
      <ns0:c r="O594" s="0">
        <ns0:f>IF(AND(Bookings!G594="Approved",E594="Yes"),N594,0)</ns0:f>
        <ns0:v>0</ns0:v>
      </ns0:c>
      <ns0:c r="P594" s="0">
        <ns0:f>IF(AND(Bookings!G594="Approved",E594="Yes",L594=0,$B$6=0),H594,0)</ns0:f>
        <ns0:v>0</ns0:v>
      </ns0:c>
      <ns0:c r="Q594" s="0">
        <ns0:f>IF(AND(Bookings!G594="Approved",E594="Yes",L594=0,$B$6=0),I594,0)</ns0:f>
        <ns0:v>0</ns0:v>
      </ns0:c>
      <ns0:c r="R594" s="0">
        <ns0:f>IF(AND(Bookings!G594="Pending",E594="Yes"),N594,0)</ns0:f>
        <ns0:v>0</ns0:v>
      </ns0:c>
      <ns0:c r="S594" s="0">
        <ns0:f>IF(AND(Bookings!G594="Approved",E594="No"),N594,0)</ns0:f>
        <ns0:v>0</ns0:v>
      </ns0:c>
      <ns0:c r="T594" s="0">
        <ns0:f>IFERROR(MATCH(D594,Settings!$G$7:$G$11,0),0)</ns0:f>
        <ns0:v>0</ns0:v>
      </ns0:c>
      <ns0:c r="U594" s="0">
        <ns0:f>IF(N594&gt;0,T594+IF(Bookings!G594="Pending",10,0),0)</ns0:f>
        <ns0:v>0</ns0:v>
      </ns0:c>
      <ns0:c r="V594" s="0">
        <ns0:f>U594</ns0:f>
        <ns0:v>0</ns0:v>
      </ns0:c>
      <ns0:c r="W594" s="0" t="str">
        <ns0:f>IF(C594=0,"",INDEX($AP$11:$AP$60,C594))</ns0:f>
        <ns0:v/>
      </ns0:c>
    </ns0:row>
    <ns0:row r="595">
      <ns0:c r="A595" s="0">
        <ns0:f>IF(COUNTA(Bookings!A595:G595,Bookings!I595)=0,0,1)</ns0:f>
        <ns0:v>0</ns0:v>
      </ns0:c>
      <ns0:c r="B595" s="0" t="str">
        <ns0:f>IFERROR(TRIM(MID(Bookings!A595,FIND(" · ",Bookings!A595)+3,99)),"")</ns0:f>
        <ns0:v/>
      </ns0:c>
      <ns0:c r="C595" s="0">
        <ns0:f>IF(OR(B595="",LEN(B595)&gt;24,ISNUMBER(FIND(" ",B595)),ISNUMBER(FIND("*",B595)),ISNUMBER(FIND("?",B595)),ISNUMBER(FIND("~",B595))),0,IFERROR(MATCH(B595,Team!$A$11:$A$60,0),0))</ns0:f>
        <ns0:v>0</ns0:v>
      </ns0:c>
      <ns0:c r="D595" s="0" t="str">
        <ns0:f>IFERROR(IF(MID(Bookings!F595,LEN(Bookings!F595)-3,3)=" · ",RIGHT(Bookings!F595,1),""),"")</ns0:f>
        <ns0:v/>
      </ns0:c>
      <ns0:c r="E595" s="0" t="str">
        <ns0:f>IFERROR(INDEX(Settings!$H$7:$H$11,MATCH(D595,Settings!$G$7:$G$11,0)),"")</ns0:f>
        <ns0:v/>
      </ns0:c>
      <ns0:c r="F595" s="0" t="str">
        <ns0:f>IF(A595=0,"",IFERROR(IF(OR(B595="",C595=0),"CHECK employee selection",IF(INDEX(Team!$O$11:$O$60,C595)&lt;&gt;"OK","CHECK employee setup",IF(OR('_Dates'!J595=0,'_Dates'!T595=0),"CHECK date: use DD.MM.YYYY",IF('_Dates'!T595&lt;'_Dates'!J595,"CHECK end before start",IF(AND($B$6=0,OR('_Dates'!J595&lt;Settings!$B$7,'_Dates'!T595&gt;Settings!$B$8)),"CHECK split across leave years",IF(OR(NOT(OR('_Dates'!U595="Full day",'_Dates'!U595="AM",'_Dates'!U595="PM")),NOT(OR('_Dates'!V595="Full day",'_Dates'!V595="AM",'_Dates'!V595="PM"))),"CHECK Full day / AM / PM",IF(AND('_Dates'!J595='_Dates'!T595,'_Dates'!U595&lt;&gt;"Full day",'_Dates'!V595&lt;&gt;"Full day",'_Dates'!U595&lt;&gt;'_Dates'!V595),"CHECK same-day portions disagree",IF(AND($B$6=0,OR(AND('_Dates'!U595&lt;&gt;"Full day",'_Dates'!AA595=0),AND('_Dates'!V595&lt;&gt;"Full day",'_Dates'!AB595=0))),"CHECK half-day on non-working date",IF(COUNTIF(Settings!$G$7:$G$11,D595)&lt;&gt;1,"CHECK leave type",IF(AND(Bookings!G595&lt;&gt;"Approved",Bookings!G595&lt;&gt;"Pending",Bookings!G595&lt;&gt;"Cancelled"),"CHECK status","OK")))))))))),"CHECK input"))</ns0:f>
        <ns0:v/>
      </ns0:c>
      <ns0:c r="G595" s="0">
        <ns0:f>IF(OR(F595&lt;&gt;"OK",$B$6&gt;0),0,0.5*(IF(('_Dates'!X595)&lt;('_Dates'!W595),0,INT((('_Dates'!X595)-('_Dates'!W595)+1)/7)*LEN(SUBSTITUTE(W595,"O",""))+LEN(SUBSTITUTE(MID(W595&amp;W595,WEEKDAY(('_Dates'!W595),2),MOD((('_Dates'!X595)-('_Dates'!W595)+1),7)),"O",""))-COUNTIFS(INDEX(AllClosureRows,C595,0),"&gt;="&amp;('_Dates'!W595),INDEX(AllClosureRows,C595,0),"&lt;="&amp;('_Dates'!X595)))+IF(('_Dates'!Z595)&lt;('_Dates'!Y595),0,INT((('_Dates'!Z595)-('_Dates'!Y595)+1)/7)*LEN(SUBSTITUTE(W595,"O",""))+LEN(SUBSTITUTE(MID(W595&amp;W595,WEEKDAY(('_Dates'!Y595),2),MOD((('_Dates'!Z595)-('_Dates'!Y595)+1),7)),"O",""))-COUNTIFS(INDEX(AllClosureRows,C595,0),"&gt;="&amp;('_Dates'!Y595),INDEX(AllClosureRows,C595,0),"&lt;="&amp;('_Dates'!Z595)))))</ns0:f>
        <ns0:v>0</ns0:v>
      </ns0:c>
      <ns0:c r="H595" s="0">
        <ns0:f>IF(OR(F595&lt;&gt;"OK",$B$6&gt;0),0,0.5*(IF((MIN('_Dates'!X595,Settings!$B$9))&lt;('_Dates'!W595),0,INT(((MIN('_Dates'!X595,Settings!$B$9))-('_Dates'!W595)+1)/7)*LEN(SUBSTITUTE(W595,"O",""))+LEN(SUBSTITUTE(MID(W595&amp;W595,WEEKDAY(('_Dates'!W595),2),MOD(((MIN('_Dates'!X595,Settings!$B$9))-('_Dates'!W595)+1),7)),"O",""))-COUNTIFS(INDEX(AllClosureRows,C595,0),"&gt;="&amp;('_Dates'!W595),INDEX(AllClosureRows,C595,0),"&lt;="&amp;(MIN('_Dates'!X595,Settings!$B$9))))+IF((MIN('_Dates'!Z595,Settings!$B$9))&lt;('_Dates'!Y595),0,INT(((MIN('_Dates'!Z595,Settings!$B$9))-('_Dates'!Y595)+1)/7)*LEN(SUBSTITUTE(W595,"O",""))+LEN(SUBSTITUTE(MID(W595&amp;W595,WEEKDAY(('_Dates'!Y595),2),MOD(((MIN('_Dates'!Z595,Settings!$B$9))-('_Dates'!Y595)+1),7)),"O",""))-COUNTIFS(INDEX(AllClosureRows,C595,0),"&gt;="&amp;('_Dates'!Y595),INDEX(AllClosureRows,C595,0),"&lt;="&amp;(MIN('_Dates'!Z595,Settings!$B$9))))))</ns0:f>
        <ns0:v>0</ns0:v>
      </ns0:c>
      <ns0:c r="I595" s="0">
        <ns0:f>MAX(0,G595-H595)</ns0:f>
        <ns0:v>0</ns0:v>
      </ns0:c>
      <ns0:c r="J595" s="0">
        <ns0:f>IF(OR(A595=0,F595&lt;&gt;"OK",Bookings!G595="Cancelled",$B$6&gt;0),0,IF('_Dates'!AC595=1,MAX(0,COUNTIFS(rngEngine_B,B595,rngAMStart,"&lt;="&amp;'_Dates'!X595,rngAMEnd,"&gt;="&amp;'_Dates'!W595,rngAMActive,1,rngEngine_F,"OK",rngBookings_F,"&lt;&gt;Cancelled")-1),0)+IF('_Dates'!AD595=1,MAX(0,COUNTIFS(rngEngine_B,B595,rngPMStart,"&lt;="&amp;'_Dates'!Z595,rngPMEnd,"&gt;="&amp;'_Dates'!Y595,rngPMActive,1,rngEngine_F,"OK",rngBookings_F,"&lt;&gt;Cancelled")-1),0))</ns0:f>
        <ns0:v>0</ns0:v>
      </ns0:c>
      <ns0:c r="K595" s="0" t="str">
        <ns0:f>IF(A595=0,"",IF(F595&lt;&gt;"OK",F595,IF(J595&gt;0,"CHECK overlapping entry",IF(AND($B$6=0,G595&lt;=0,Bookings!G595&lt;&gt;"Cancelled"),"CHECK no working days",IF(Bookings!G595="Cancelled","Cancelled","OK")))))</ns0:f>
        <ns0:v/>
      </ns0:c>
      <ns0:c r="L595" s="0">
        <ns0:f>IF(LEFT(K595,5)="CHECK",1,0)</ns0:f>
        <ns0:v>0</ns0:v>
      </ns0:c>
      <ns0:c r="M595" s="0">
        <ns0:f>IF(AND(L595=1,OR(C595=0,IFERROR(INDEX($X$11:$X$60,C595),0)=0)),1,0)</ns0:f>
        <ns0:v>0</ns0:v>
      </ns0:c>
      <ns0:c r="N595" s="0">
        <ns0:f>IF(OR(A595=0,L595&gt;0,$B$6&gt;0,Bookings!G595="Cancelled"),0,G595)</ns0:f>
        <ns0:v>0</ns0:v>
      </ns0:c>
      <ns0:c r="O595" s="0">
        <ns0:f>IF(AND(Bookings!G595="Approved",E595="Yes"),N595,0)</ns0:f>
        <ns0:v>0</ns0:v>
      </ns0:c>
      <ns0:c r="P595" s="0">
        <ns0:f>IF(AND(Bookings!G595="Approved",E595="Yes",L595=0,$B$6=0),H595,0)</ns0:f>
        <ns0:v>0</ns0:v>
      </ns0:c>
      <ns0:c r="Q595" s="0">
        <ns0:f>IF(AND(Bookings!G595="Approved",E595="Yes",L595=0,$B$6=0),I595,0)</ns0:f>
        <ns0:v>0</ns0:v>
      </ns0:c>
      <ns0:c r="R595" s="0">
        <ns0:f>IF(AND(Bookings!G595="Pending",E595="Yes"),N595,0)</ns0:f>
        <ns0:v>0</ns0:v>
      </ns0:c>
      <ns0:c r="S595" s="0">
        <ns0:f>IF(AND(Bookings!G595="Approved",E595="No"),N595,0)</ns0:f>
        <ns0:v>0</ns0:v>
      </ns0:c>
      <ns0:c r="T595" s="0">
        <ns0:f>IFERROR(MATCH(D595,Settings!$G$7:$G$11,0),0)</ns0:f>
        <ns0:v>0</ns0:v>
      </ns0:c>
      <ns0:c r="U595" s="0">
        <ns0:f>IF(N595&gt;0,T595+IF(Bookings!G595="Pending",10,0),0)</ns0:f>
        <ns0:v>0</ns0:v>
      </ns0:c>
      <ns0:c r="V595" s="0">
        <ns0:f>U595</ns0:f>
        <ns0:v>0</ns0:v>
      </ns0:c>
      <ns0:c r="W595" s="0" t="str">
        <ns0:f>IF(C595=0,"",INDEX($AP$11:$AP$60,C595))</ns0:f>
        <ns0:v/>
      </ns0:c>
    </ns0:row>
    <ns0:row r="596">
      <ns0:c r="A596" s="0">
        <ns0:f>IF(COUNTA(Bookings!A596:G596,Bookings!I596)=0,0,1)</ns0:f>
        <ns0:v>0</ns0:v>
      </ns0:c>
      <ns0:c r="B596" s="0" t="str">
        <ns0:f>IFERROR(TRIM(MID(Bookings!A596,FIND(" · ",Bookings!A596)+3,99)),"")</ns0:f>
        <ns0:v/>
      </ns0:c>
      <ns0:c r="C596" s="0">
        <ns0:f>IF(OR(B596="",LEN(B596)&gt;24,ISNUMBER(FIND(" ",B596)),ISNUMBER(FIND("*",B596)),ISNUMBER(FIND("?",B596)),ISNUMBER(FIND("~",B596))),0,IFERROR(MATCH(B596,Team!$A$11:$A$60,0),0))</ns0:f>
        <ns0:v>0</ns0:v>
      </ns0:c>
      <ns0:c r="D596" s="0" t="str">
        <ns0:f>IFERROR(IF(MID(Bookings!F596,LEN(Bookings!F596)-3,3)=" · ",RIGHT(Bookings!F596,1),""),"")</ns0:f>
        <ns0:v/>
      </ns0:c>
      <ns0:c r="E596" s="0" t="str">
        <ns0:f>IFERROR(INDEX(Settings!$H$7:$H$11,MATCH(D596,Settings!$G$7:$G$11,0)),"")</ns0:f>
        <ns0:v/>
      </ns0:c>
      <ns0:c r="F596" s="0" t="str">
        <ns0:f>IF(A596=0,"",IFERROR(IF(OR(B596="",C596=0),"CHECK employee selection",IF(INDEX(Team!$O$11:$O$60,C596)&lt;&gt;"OK","CHECK employee setup",IF(OR('_Dates'!J596=0,'_Dates'!T596=0),"CHECK date: use DD.MM.YYYY",IF('_Dates'!T596&lt;'_Dates'!J596,"CHECK end before start",IF(AND($B$6=0,OR('_Dates'!J596&lt;Settings!$B$7,'_Dates'!T596&gt;Settings!$B$8)),"CHECK split across leave years",IF(OR(NOT(OR('_Dates'!U596="Full day",'_Dates'!U596="AM",'_Dates'!U596="PM")),NOT(OR('_Dates'!V596="Full day",'_Dates'!V596="AM",'_Dates'!V596="PM"))),"CHECK Full day / AM / PM",IF(AND('_Dates'!J596='_Dates'!T596,'_Dates'!U596&lt;&gt;"Full day",'_Dates'!V596&lt;&gt;"Full day",'_Dates'!U596&lt;&gt;'_Dates'!V596),"CHECK same-day portions disagree",IF(AND($B$6=0,OR(AND('_Dates'!U596&lt;&gt;"Full day",'_Dates'!AA596=0),AND('_Dates'!V596&lt;&gt;"Full day",'_Dates'!AB596=0))),"CHECK half-day on non-working date",IF(COUNTIF(Settings!$G$7:$G$11,D596)&lt;&gt;1,"CHECK leave type",IF(AND(Bookings!G596&lt;&gt;"Approved",Bookings!G596&lt;&gt;"Pending",Bookings!G596&lt;&gt;"Cancelled"),"CHECK status","OK")))))))))),"CHECK input"))</ns0:f>
        <ns0:v/>
      </ns0:c>
      <ns0:c r="G596" s="0">
        <ns0:f>IF(OR(F596&lt;&gt;"OK",$B$6&gt;0),0,0.5*(IF(('_Dates'!X596)&lt;('_Dates'!W596),0,INT((('_Dates'!X596)-('_Dates'!W596)+1)/7)*LEN(SUBSTITUTE(W596,"O",""))+LEN(SUBSTITUTE(MID(W596&amp;W596,WEEKDAY(('_Dates'!W596),2),MOD((('_Dates'!X596)-('_Dates'!W596)+1),7)),"O",""))-COUNTIFS(INDEX(AllClosureRows,C596,0),"&gt;="&amp;('_Dates'!W596),INDEX(AllClosureRows,C596,0),"&lt;="&amp;('_Dates'!X596)))+IF(('_Dates'!Z596)&lt;('_Dates'!Y596),0,INT((('_Dates'!Z596)-('_Dates'!Y596)+1)/7)*LEN(SUBSTITUTE(W596,"O",""))+LEN(SUBSTITUTE(MID(W596&amp;W596,WEEKDAY(('_Dates'!Y596),2),MOD((('_Dates'!Z596)-('_Dates'!Y596)+1),7)),"O",""))-COUNTIFS(INDEX(AllClosureRows,C596,0),"&gt;="&amp;('_Dates'!Y596),INDEX(AllClosureRows,C596,0),"&lt;="&amp;('_Dates'!Z596)))))</ns0:f>
        <ns0:v>0</ns0:v>
      </ns0:c>
      <ns0:c r="H596" s="0">
        <ns0:f>IF(OR(F596&lt;&gt;"OK",$B$6&gt;0),0,0.5*(IF((MIN('_Dates'!X596,Settings!$B$9))&lt;('_Dates'!W596),0,INT(((MIN('_Dates'!X596,Settings!$B$9))-('_Dates'!W596)+1)/7)*LEN(SUBSTITUTE(W596,"O",""))+LEN(SUBSTITUTE(MID(W596&amp;W596,WEEKDAY(('_Dates'!W596),2),MOD(((MIN('_Dates'!X596,Settings!$B$9))-('_Dates'!W596)+1),7)),"O",""))-COUNTIFS(INDEX(AllClosureRows,C596,0),"&gt;="&amp;('_Dates'!W596),INDEX(AllClosureRows,C596,0),"&lt;="&amp;(MIN('_Dates'!X596,Settings!$B$9))))+IF((MIN('_Dates'!Z596,Settings!$B$9))&lt;('_Dates'!Y596),0,INT(((MIN('_Dates'!Z596,Settings!$B$9))-('_Dates'!Y596)+1)/7)*LEN(SUBSTITUTE(W596,"O",""))+LEN(SUBSTITUTE(MID(W596&amp;W596,WEEKDAY(('_Dates'!Y596),2),MOD(((MIN('_Dates'!Z596,Settings!$B$9))-('_Dates'!Y596)+1),7)),"O",""))-COUNTIFS(INDEX(AllClosureRows,C596,0),"&gt;="&amp;('_Dates'!Y596),INDEX(AllClosureRows,C596,0),"&lt;="&amp;(MIN('_Dates'!Z596,Settings!$B$9))))))</ns0:f>
        <ns0:v>0</ns0:v>
      </ns0:c>
      <ns0:c r="I596" s="0">
        <ns0:f>MAX(0,G596-H596)</ns0:f>
        <ns0:v>0</ns0:v>
      </ns0:c>
      <ns0:c r="J596" s="0">
        <ns0:f>IF(OR(A596=0,F596&lt;&gt;"OK",Bookings!G596="Cancelled",$B$6&gt;0),0,IF('_Dates'!AC596=1,MAX(0,COUNTIFS(rngEngine_B,B596,rngAMStart,"&lt;="&amp;'_Dates'!X596,rngAMEnd,"&gt;="&amp;'_Dates'!W596,rngAMActive,1,rngEngine_F,"OK",rngBookings_F,"&lt;&gt;Cancelled")-1),0)+IF('_Dates'!AD596=1,MAX(0,COUNTIFS(rngEngine_B,B596,rngPMStart,"&lt;="&amp;'_Dates'!Z596,rngPMEnd,"&gt;="&amp;'_Dates'!Y596,rngPMActive,1,rngEngine_F,"OK",rngBookings_F,"&lt;&gt;Cancelled")-1),0))</ns0:f>
        <ns0:v>0</ns0:v>
      </ns0:c>
      <ns0:c r="K596" s="0" t="str">
        <ns0:f>IF(A596=0,"",IF(F596&lt;&gt;"OK",F596,IF(J596&gt;0,"CHECK overlapping entry",IF(AND($B$6=0,G596&lt;=0,Bookings!G596&lt;&gt;"Cancelled"),"CHECK no working days",IF(Bookings!G596="Cancelled","Cancelled","OK")))))</ns0:f>
        <ns0:v/>
      </ns0:c>
      <ns0:c r="L596" s="0">
        <ns0:f>IF(LEFT(K596,5)="CHECK",1,0)</ns0:f>
        <ns0:v>0</ns0:v>
      </ns0:c>
      <ns0:c r="M596" s="0">
        <ns0:f>IF(AND(L596=1,OR(C596=0,IFERROR(INDEX($X$11:$X$60,C596),0)=0)),1,0)</ns0:f>
        <ns0:v>0</ns0:v>
      </ns0:c>
      <ns0:c r="N596" s="0">
        <ns0:f>IF(OR(A596=0,L596&gt;0,$B$6&gt;0,Bookings!G596="Cancelled"),0,G596)</ns0:f>
        <ns0:v>0</ns0:v>
      </ns0:c>
      <ns0:c r="O596" s="0">
        <ns0:f>IF(AND(Bookings!G596="Approved",E596="Yes"),N596,0)</ns0:f>
        <ns0:v>0</ns0:v>
      </ns0:c>
      <ns0:c r="P596" s="0">
        <ns0:f>IF(AND(Bookings!G596="Approved",E596="Yes",L596=0,$B$6=0),H596,0)</ns0:f>
        <ns0:v>0</ns0:v>
      </ns0:c>
      <ns0:c r="Q596" s="0">
        <ns0:f>IF(AND(Bookings!G596="Approved",E596="Yes",L596=0,$B$6=0),I596,0)</ns0:f>
        <ns0:v>0</ns0:v>
      </ns0:c>
      <ns0:c r="R596" s="0">
        <ns0:f>IF(AND(Bookings!G596="Pending",E596="Yes"),N596,0)</ns0:f>
        <ns0:v>0</ns0:v>
      </ns0:c>
      <ns0:c r="S596" s="0">
        <ns0:f>IF(AND(Bookings!G596="Approved",E596="No"),N596,0)</ns0:f>
        <ns0:v>0</ns0:v>
      </ns0:c>
      <ns0:c r="T596" s="0">
        <ns0:f>IFERROR(MATCH(D596,Settings!$G$7:$G$11,0),0)</ns0:f>
        <ns0:v>0</ns0:v>
      </ns0:c>
      <ns0:c r="U596" s="0">
        <ns0:f>IF(N596&gt;0,T596+IF(Bookings!G596="Pending",10,0),0)</ns0:f>
        <ns0:v>0</ns0:v>
      </ns0:c>
      <ns0:c r="V596" s="0">
        <ns0:f>U596</ns0:f>
        <ns0:v>0</ns0:v>
      </ns0:c>
      <ns0:c r="W596" s="0" t="str">
        <ns0:f>IF(C596=0,"",INDEX($AP$11:$AP$60,C596))</ns0:f>
        <ns0:v/>
      </ns0:c>
    </ns0:row>
    <ns0:row r="597">
      <ns0:c r="A597" s="0">
        <ns0:f>IF(COUNTA(Bookings!A597:G597,Bookings!I597)=0,0,1)</ns0:f>
        <ns0:v>0</ns0:v>
      </ns0:c>
      <ns0:c r="B597" s="0" t="str">
        <ns0:f>IFERROR(TRIM(MID(Bookings!A597,FIND(" · ",Bookings!A597)+3,99)),"")</ns0:f>
        <ns0:v/>
      </ns0:c>
      <ns0:c r="C597" s="0">
        <ns0:f>IF(OR(B597="",LEN(B597)&gt;24,ISNUMBER(FIND(" ",B597)),ISNUMBER(FIND("*",B597)),ISNUMBER(FIND("?",B597)),ISNUMBER(FIND("~",B597))),0,IFERROR(MATCH(B597,Team!$A$11:$A$60,0),0))</ns0:f>
        <ns0:v>0</ns0:v>
      </ns0:c>
      <ns0:c r="D597" s="0" t="str">
        <ns0:f>IFERROR(IF(MID(Bookings!F597,LEN(Bookings!F597)-3,3)=" · ",RIGHT(Bookings!F597,1),""),"")</ns0:f>
        <ns0:v/>
      </ns0:c>
      <ns0:c r="E597" s="0" t="str">
        <ns0:f>IFERROR(INDEX(Settings!$H$7:$H$11,MATCH(D597,Settings!$G$7:$G$11,0)),"")</ns0:f>
        <ns0:v/>
      </ns0:c>
      <ns0:c r="F597" s="0" t="str">
        <ns0:f>IF(A597=0,"",IFERROR(IF(OR(B597="",C597=0),"CHECK employee selection",IF(INDEX(Team!$O$11:$O$60,C597)&lt;&gt;"OK","CHECK employee setup",IF(OR('_Dates'!J597=0,'_Dates'!T597=0),"CHECK date: use DD.MM.YYYY",IF('_Dates'!T597&lt;'_Dates'!J597,"CHECK end before start",IF(AND($B$6=0,OR('_Dates'!J597&lt;Settings!$B$7,'_Dates'!T597&gt;Settings!$B$8)),"CHECK split across leave years",IF(OR(NOT(OR('_Dates'!U597="Full day",'_Dates'!U597="AM",'_Dates'!U597="PM")),NOT(OR('_Dates'!V597="Full day",'_Dates'!V597="AM",'_Dates'!V597="PM"))),"CHECK Full day / AM / PM",IF(AND('_Dates'!J597='_Dates'!T597,'_Dates'!U597&lt;&gt;"Full day",'_Dates'!V597&lt;&gt;"Full day",'_Dates'!U597&lt;&gt;'_Dates'!V597),"CHECK same-day portions disagree",IF(AND($B$6=0,OR(AND('_Dates'!U597&lt;&gt;"Full day",'_Dates'!AA597=0),AND('_Dates'!V597&lt;&gt;"Full day",'_Dates'!AB597=0))),"CHECK half-day on non-working date",IF(COUNTIF(Settings!$G$7:$G$11,D597)&lt;&gt;1,"CHECK leave type",IF(AND(Bookings!G597&lt;&gt;"Approved",Bookings!G597&lt;&gt;"Pending",Bookings!G597&lt;&gt;"Cancelled"),"CHECK status","OK")))))))))),"CHECK input"))</ns0:f>
        <ns0:v/>
      </ns0:c>
      <ns0:c r="G597" s="0">
        <ns0:f>IF(OR(F597&lt;&gt;"OK",$B$6&gt;0),0,0.5*(IF(('_Dates'!X597)&lt;('_Dates'!W597),0,INT((('_Dates'!X597)-('_Dates'!W597)+1)/7)*LEN(SUBSTITUTE(W597,"O",""))+LEN(SUBSTITUTE(MID(W597&amp;W597,WEEKDAY(('_Dates'!W597),2),MOD((('_Dates'!X597)-('_Dates'!W597)+1),7)),"O",""))-COUNTIFS(INDEX(AllClosureRows,C597,0),"&gt;="&amp;('_Dates'!W597),INDEX(AllClosureRows,C597,0),"&lt;="&amp;('_Dates'!X597)))+IF(('_Dates'!Z597)&lt;('_Dates'!Y597),0,INT((('_Dates'!Z597)-('_Dates'!Y597)+1)/7)*LEN(SUBSTITUTE(W597,"O",""))+LEN(SUBSTITUTE(MID(W597&amp;W597,WEEKDAY(('_Dates'!Y597),2),MOD((('_Dates'!Z597)-('_Dates'!Y597)+1),7)),"O",""))-COUNTIFS(INDEX(AllClosureRows,C597,0),"&gt;="&amp;('_Dates'!Y597),INDEX(AllClosureRows,C597,0),"&lt;="&amp;('_Dates'!Z597)))))</ns0:f>
        <ns0:v>0</ns0:v>
      </ns0:c>
      <ns0:c r="H597" s="0">
        <ns0:f>IF(OR(F597&lt;&gt;"OK",$B$6&gt;0),0,0.5*(IF((MIN('_Dates'!X597,Settings!$B$9))&lt;('_Dates'!W597),0,INT(((MIN('_Dates'!X597,Settings!$B$9))-('_Dates'!W597)+1)/7)*LEN(SUBSTITUTE(W597,"O",""))+LEN(SUBSTITUTE(MID(W597&amp;W597,WEEKDAY(('_Dates'!W597),2),MOD(((MIN('_Dates'!X597,Settings!$B$9))-('_Dates'!W597)+1),7)),"O",""))-COUNTIFS(INDEX(AllClosureRows,C597,0),"&gt;="&amp;('_Dates'!W597),INDEX(AllClosureRows,C597,0),"&lt;="&amp;(MIN('_Dates'!X597,Settings!$B$9))))+IF((MIN('_Dates'!Z597,Settings!$B$9))&lt;('_Dates'!Y597),0,INT(((MIN('_Dates'!Z597,Settings!$B$9))-('_Dates'!Y597)+1)/7)*LEN(SUBSTITUTE(W597,"O",""))+LEN(SUBSTITUTE(MID(W597&amp;W597,WEEKDAY(('_Dates'!Y597),2),MOD(((MIN('_Dates'!Z597,Settings!$B$9))-('_Dates'!Y597)+1),7)),"O",""))-COUNTIFS(INDEX(AllClosureRows,C597,0),"&gt;="&amp;('_Dates'!Y597),INDEX(AllClosureRows,C597,0),"&lt;="&amp;(MIN('_Dates'!Z597,Settings!$B$9))))))</ns0:f>
        <ns0:v>0</ns0:v>
      </ns0:c>
      <ns0:c r="I597" s="0">
        <ns0:f>MAX(0,G597-H597)</ns0:f>
        <ns0:v>0</ns0:v>
      </ns0:c>
      <ns0:c r="J597" s="0">
        <ns0:f>IF(OR(A597=0,F597&lt;&gt;"OK",Bookings!G597="Cancelled",$B$6&gt;0),0,IF('_Dates'!AC597=1,MAX(0,COUNTIFS(rngEngine_B,B597,rngAMStart,"&lt;="&amp;'_Dates'!X597,rngAMEnd,"&gt;="&amp;'_Dates'!W597,rngAMActive,1,rngEngine_F,"OK",rngBookings_F,"&lt;&gt;Cancelled")-1),0)+IF('_Dates'!AD597=1,MAX(0,COUNTIFS(rngEngine_B,B597,rngPMStart,"&lt;="&amp;'_Dates'!Z597,rngPMEnd,"&gt;="&amp;'_Dates'!Y597,rngPMActive,1,rngEngine_F,"OK",rngBookings_F,"&lt;&gt;Cancelled")-1),0))</ns0:f>
        <ns0:v>0</ns0:v>
      </ns0:c>
      <ns0:c r="K597" s="0" t="str">
        <ns0:f>IF(A597=0,"",IF(F597&lt;&gt;"OK",F597,IF(J597&gt;0,"CHECK overlapping entry",IF(AND($B$6=0,G597&lt;=0,Bookings!G597&lt;&gt;"Cancelled"),"CHECK no working days",IF(Bookings!G597="Cancelled","Cancelled","OK")))))</ns0:f>
        <ns0:v/>
      </ns0:c>
      <ns0:c r="L597" s="0">
        <ns0:f>IF(LEFT(K597,5)="CHECK",1,0)</ns0:f>
        <ns0:v>0</ns0:v>
      </ns0:c>
      <ns0:c r="M597" s="0">
        <ns0:f>IF(AND(L597=1,OR(C597=0,IFERROR(INDEX($X$11:$X$60,C597),0)=0)),1,0)</ns0:f>
        <ns0:v>0</ns0:v>
      </ns0:c>
      <ns0:c r="N597" s="0">
        <ns0:f>IF(OR(A597=0,L597&gt;0,$B$6&gt;0,Bookings!G597="Cancelled"),0,G597)</ns0:f>
        <ns0:v>0</ns0:v>
      </ns0:c>
      <ns0:c r="O597" s="0">
        <ns0:f>IF(AND(Bookings!G597="Approved",E597="Yes"),N597,0)</ns0:f>
        <ns0:v>0</ns0:v>
      </ns0:c>
      <ns0:c r="P597" s="0">
        <ns0:f>IF(AND(Bookings!G597="Approved",E597="Yes",L597=0,$B$6=0),H597,0)</ns0:f>
        <ns0:v>0</ns0:v>
      </ns0:c>
      <ns0:c r="Q597" s="0">
        <ns0:f>IF(AND(Bookings!G597="Approved",E597="Yes",L597=0,$B$6=0),I597,0)</ns0:f>
        <ns0:v>0</ns0:v>
      </ns0:c>
      <ns0:c r="R597" s="0">
        <ns0:f>IF(AND(Bookings!G597="Pending",E597="Yes"),N597,0)</ns0:f>
        <ns0:v>0</ns0:v>
      </ns0:c>
      <ns0:c r="S597" s="0">
        <ns0:f>IF(AND(Bookings!G597="Approved",E597="No"),N597,0)</ns0:f>
        <ns0:v>0</ns0:v>
      </ns0:c>
      <ns0:c r="T597" s="0">
        <ns0:f>IFERROR(MATCH(D597,Settings!$G$7:$G$11,0),0)</ns0:f>
        <ns0:v>0</ns0:v>
      </ns0:c>
      <ns0:c r="U597" s="0">
        <ns0:f>IF(N597&gt;0,T597+IF(Bookings!G597="Pending",10,0),0)</ns0:f>
        <ns0:v>0</ns0:v>
      </ns0:c>
      <ns0:c r="V597" s="0">
        <ns0:f>U597</ns0:f>
        <ns0:v>0</ns0:v>
      </ns0:c>
      <ns0:c r="W597" s="0" t="str">
        <ns0:f>IF(C597=0,"",INDEX($AP$11:$AP$60,C597))</ns0:f>
        <ns0:v/>
      </ns0:c>
    </ns0:row>
    <ns0:row r="598">
      <ns0:c r="A598" s="0">
        <ns0:f>IF(COUNTA(Bookings!A598:G598,Bookings!I598)=0,0,1)</ns0:f>
        <ns0:v>0</ns0:v>
      </ns0:c>
      <ns0:c r="B598" s="0" t="str">
        <ns0:f>IFERROR(TRIM(MID(Bookings!A598,FIND(" · ",Bookings!A598)+3,99)),"")</ns0:f>
        <ns0:v/>
      </ns0:c>
      <ns0:c r="C598" s="0">
        <ns0:f>IF(OR(B598="",LEN(B598)&gt;24,ISNUMBER(FIND(" ",B598)),ISNUMBER(FIND("*",B598)),ISNUMBER(FIND("?",B598)),ISNUMBER(FIND("~",B598))),0,IFERROR(MATCH(B598,Team!$A$11:$A$60,0),0))</ns0:f>
        <ns0:v>0</ns0:v>
      </ns0:c>
      <ns0:c r="D598" s="0" t="str">
        <ns0:f>IFERROR(IF(MID(Bookings!F598,LEN(Bookings!F598)-3,3)=" · ",RIGHT(Bookings!F598,1),""),"")</ns0:f>
        <ns0:v/>
      </ns0:c>
      <ns0:c r="E598" s="0" t="str">
        <ns0:f>IFERROR(INDEX(Settings!$H$7:$H$11,MATCH(D598,Settings!$G$7:$G$11,0)),"")</ns0:f>
        <ns0:v/>
      </ns0:c>
      <ns0:c r="F598" s="0" t="str">
        <ns0:f>IF(A598=0,"",IFERROR(IF(OR(B598="",C598=0),"CHECK employee selection",IF(INDEX(Team!$O$11:$O$60,C598)&lt;&gt;"OK","CHECK employee setup",IF(OR('_Dates'!J598=0,'_Dates'!T598=0),"CHECK date: use DD.MM.YYYY",IF('_Dates'!T598&lt;'_Dates'!J598,"CHECK end before start",IF(AND($B$6=0,OR('_Dates'!J598&lt;Settings!$B$7,'_Dates'!T598&gt;Settings!$B$8)),"CHECK split across leave years",IF(OR(NOT(OR('_Dates'!U598="Full day",'_Dates'!U598="AM",'_Dates'!U598="PM")),NOT(OR('_Dates'!V598="Full day",'_Dates'!V598="AM",'_Dates'!V598="PM"))),"CHECK Full day / AM / PM",IF(AND('_Dates'!J598='_Dates'!T598,'_Dates'!U598&lt;&gt;"Full day",'_Dates'!V598&lt;&gt;"Full day",'_Dates'!U598&lt;&gt;'_Dates'!V598),"CHECK same-day portions disagree",IF(AND($B$6=0,OR(AND('_Dates'!U598&lt;&gt;"Full day",'_Dates'!AA598=0),AND('_Dates'!V598&lt;&gt;"Full day",'_Dates'!AB598=0))),"CHECK half-day on non-working date",IF(COUNTIF(Settings!$G$7:$G$11,D598)&lt;&gt;1,"CHECK leave type",IF(AND(Bookings!G598&lt;&gt;"Approved",Bookings!G598&lt;&gt;"Pending",Bookings!G598&lt;&gt;"Cancelled"),"CHECK status","OK")))))))))),"CHECK input"))</ns0:f>
        <ns0:v/>
      </ns0:c>
      <ns0:c r="G598" s="0">
        <ns0:f>IF(OR(F598&lt;&gt;"OK",$B$6&gt;0),0,0.5*(IF(('_Dates'!X598)&lt;('_Dates'!W598),0,INT((('_Dates'!X598)-('_Dates'!W598)+1)/7)*LEN(SUBSTITUTE(W598,"O",""))+LEN(SUBSTITUTE(MID(W598&amp;W598,WEEKDAY(('_Dates'!W598),2),MOD((('_Dates'!X598)-('_Dates'!W598)+1),7)),"O",""))-COUNTIFS(INDEX(AllClosureRows,C598,0),"&gt;="&amp;('_Dates'!W598),INDEX(AllClosureRows,C598,0),"&lt;="&amp;('_Dates'!X598)))+IF(('_Dates'!Z598)&lt;('_Dates'!Y598),0,INT((('_Dates'!Z598)-('_Dates'!Y598)+1)/7)*LEN(SUBSTITUTE(W598,"O",""))+LEN(SUBSTITUTE(MID(W598&amp;W598,WEEKDAY(('_Dates'!Y598),2),MOD((('_Dates'!Z598)-('_Dates'!Y598)+1),7)),"O",""))-COUNTIFS(INDEX(AllClosureRows,C598,0),"&gt;="&amp;('_Dates'!Y598),INDEX(AllClosureRows,C598,0),"&lt;="&amp;('_Dates'!Z598)))))</ns0:f>
        <ns0:v>0</ns0:v>
      </ns0:c>
      <ns0:c r="H598" s="0">
        <ns0:f>IF(OR(F598&lt;&gt;"OK",$B$6&gt;0),0,0.5*(IF((MIN('_Dates'!X598,Settings!$B$9))&lt;('_Dates'!W598),0,INT(((MIN('_Dates'!X598,Settings!$B$9))-('_Dates'!W598)+1)/7)*LEN(SUBSTITUTE(W598,"O",""))+LEN(SUBSTITUTE(MID(W598&amp;W598,WEEKDAY(('_Dates'!W598),2),MOD(((MIN('_Dates'!X598,Settings!$B$9))-('_Dates'!W598)+1),7)),"O",""))-COUNTIFS(INDEX(AllClosureRows,C598,0),"&gt;="&amp;('_Dates'!W598),INDEX(AllClosureRows,C598,0),"&lt;="&amp;(MIN('_Dates'!X598,Settings!$B$9))))+IF((MIN('_Dates'!Z598,Settings!$B$9))&lt;('_Dates'!Y598),0,INT(((MIN('_Dates'!Z598,Settings!$B$9))-('_Dates'!Y598)+1)/7)*LEN(SUBSTITUTE(W598,"O",""))+LEN(SUBSTITUTE(MID(W598&amp;W598,WEEKDAY(('_Dates'!Y598),2),MOD(((MIN('_Dates'!Z598,Settings!$B$9))-('_Dates'!Y598)+1),7)),"O",""))-COUNTIFS(INDEX(AllClosureRows,C598,0),"&gt;="&amp;('_Dates'!Y598),INDEX(AllClosureRows,C598,0),"&lt;="&amp;(MIN('_Dates'!Z598,Settings!$B$9))))))</ns0:f>
        <ns0:v>0</ns0:v>
      </ns0:c>
      <ns0:c r="I598" s="0">
        <ns0:f>MAX(0,G598-H598)</ns0:f>
        <ns0:v>0</ns0:v>
      </ns0:c>
      <ns0:c r="J598" s="0">
        <ns0:f>IF(OR(A598=0,F598&lt;&gt;"OK",Bookings!G598="Cancelled",$B$6&gt;0),0,IF('_Dates'!AC598=1,MAX(0,COUNTIFS(rngEngine_B,B598,rngAMStart,"&lt;="&amp;'_Dates'!X598,rngAMEnd,"&gt;="&amp;'_Dates'!W598,rngAMActive,1,rngEngine_F,"OK",rngBookings_F,"&lt;&gt;Cancelled")-1),0)+IF('_Dates'!AD598=1,MAX(0,COUNTIFS(rngEngine_B,B598,rngPMStart,"&lt;="&amp;'_Dates'!Z598,rngPMEnd,"&gt;="&amp;'_Dates'!Y598,rngPMActive,1,rngEngine_F,"OK",rngBookings_F,"&lt;&gt;Cancelled")-1),0))</ns0:f>
        <ns0:v>0</ns0:v>
      </ns0:c>
      <ns0:c r="K598" s="0" t="str">
        <ns0:f>IF(A598=0,"",IF(F598&lt;&gt;"OK",F598,IF(J598&gt;0,"CHECK overlapping entry",IF(AND($B$6=0,G598&lt;=0,Bookings!G598&lt;&gt;"Cancelled"),"CHECK no working days",IF(Bookings!G598="Cancelled","Cancelled","OK")))))</ns0:f>
        <ns0:v/>
      </ns0:c>
      <ns0:c r="L598" s="0">
        <ns0:f>IF(LEFT(K598,5)="CHECK",1,0)</ns0:f>
        <ns0:v>0</ns0:v>
      </ns0:c>
      <ns0:c r="M598" s="0">
        <ns0:f>IF(AND(L598=1,OR(C598=0,IFERROR(INDEX($X$11:$X$60,C598),0)=0)),1,0)</ns0:f>
        <ns0:v>0</ns0:v>
      </ns0:c>
      <ns0:c r="N598" s="0">
        <ns0:f>IF(OR(A598=0,L598&gt;0,$B$6&gt;0,Bookings!G598="Cancelled"),0,G598)</ns0:f>
        <ns0:v>0</ns0:v>
      </ns0:c>
      <ns0:c r="O598" s="0">
        <ns0:f>IF(AND(Bookings!G598="Approved",E598="Yes"),N598,0)</ns0:f>
        <ns0:v>0</ns0:v>
      </ns0:c>
      <ns0:c r="P598" s="0">
        <ns0:f>IF(AND(Bookings!G598="Approved",E598="Yes",L598=0,$B$6=0),H598,0)</ns0:f>
        <ns0:v>0</ns0:v>
      </ns0:c>
      <ns0:c r="Q598" s="0">
        <ns0:f>IF(AND(Bookings!G598="Approved",E598="Yes",L598=0,$B$6=0),I598,0)</ns0:f>
        <ns0:v>0</ns0:v>
      </ns0:c>
      <ns0:c r="R598" s="0">
        <ns0:f>IF(AND(Bookings!G598="Pending",E598="Yes"),N598,0)</ns0:f>
        <ns0:v>0</ns0:v>
      </ns0:c>
      <ns0:c r="S598" s="0">
        <ns0:f>IF(AND(Bookings!G598="Approved",E598="No"),N598,0)</ns0:f>
        <ns0:v>0</ns0:v>
      </ns0:c>
      <ns0:c r="T598" s="0">
        <ns0:f>IFERROR(MATCH(D598,Settings!$G$7:$G$11,0),0)</ns0:f>
        <ns0:v>0</ns0:v>
      </ns0:c>
      <ns0:c r="U598" s="0">
        <ns0:f>IF(N598&gt;0,T598+IF(Bookings!G598="Pending",10,0),0)</ns0:f>
        <ns0:v>0</ns0:v>
      </ns0:c>
      <ns0:c r="V598" s="0">
        <ns0:f>U598</ns0:f>
        <ns0:v>0</ns0:v>
      </ns0:c>
      <ns0:c r="W598" s="0" t="str">
        <ns0:f>IF(C598=0,"",INDEX($AP$11:$AP$60,C598))</ns0:f>
        <ns0:v/>
      </ns0:c>
    </ns0:row>
    <ns0:row r="599">
      <ns0:c r="A599" s="0">
        <ns0:f>IF(COUNTA(Bookings!A599:G599,Bookings!I599)=0,0,1)</ns0:f>
        <ns0:v>0</ns0:v>
      </ns0:c>
      <ns0:c r="B599" s="0" t="str">
        <ns0:f>IFERROR(TRIM(MID(Bookings!A599,FIND(" · ",Bookings!A599)+3,99)),"")</ns0:f>
        <ns0:v/>
      </ns0:c>
      <ns0:c r="C599" s="0">
        <ns0:f>IF(OR(B599="",LEN(B599)&gt;24,ISNUMBER(FIND(" ",B599)),ISNUMBER(FIND("*",B599)),ISNUMBER(FIND("?",B599)),ISNUMBER(FIND("~",B599))),0,IFERROR(MATCH(B599,Team!$A$11:$A$60,0),0))</ns0:f>
        <ns0:v>0</ns0:v>
      </ns0:c>
      <ns0:c r="D599" s="0" t="str">
        <ns0:f>IFERROR(IF(MID(Bookings!F599,LEN(Bookings!F599)-3,3)=" · ",RIGHT(Bookings!F599,1),""),"")</ns0:f>
        <ns0:v/>
      </ns0:c>
      <ns0:c r="E599" s="0" t="str">
        <ns0:f>IFERROR(INDEX(Settings!$H$7:$H$11,MATCH(D599,Settings!$G$7:$G$11,0)),"")</ns0:f>
        <ns0:v/>
      </ns0:c>
      <ns0:c r="F599" s="0" t="str">
        <ns0:f>IF(A599=0,"",IFERROR(IF(OR(B599="",C599=0),"CHECK employee selection",IF(INDEX(Team!$O$11:$O$60,C599)&lt;&gt;"OK","CHECK employee setup",IF(OR('_Dates'!J599=0,'_Dates'!T599=0),"CHECK date: use DD.MM.YYYY",IF('_Dates'!T599&lt;'_Dates'!J599,"CHECK end before start",IF(AND($B$6=0,OR('_Dates'!J599&lt;Settings!$B$7,'_Dates'!T599&gt;Settings!$B$8)),"CHECK split across leave years",IF(OR(NOT(OR('_Dates'!U599="Full day",'_Dates'!U599="AM",'_Dates'!U599="PM")),NOT(OR('_Dates'!V599="Full day",'_Dates'!V599="AM",'_Dates'!V599="PM"))),"CHECK Full day / AM / PM",IF(AND('_Dates'!J599='_Dates'!T599,'_Dates'!U599&lt;&gt;"Full day",'_Dates'!V599&lt;&gt;"Full day",'_Dates'!U599&lt;&gt;'_Dates'!V599),"CHECK same-day portions disagree",IF(AND($B$6=0,OR(AND('_Dates'!U599&lt;&gt;"Full day",'_Dates'!AA599=0),AND('_Dates'!V599&lt;&gt;"Full day",'_Dates'!AB599=0))),"CHECK half-day on non-working date",IF(COUNTIF(Settings!$G$7:$G$11,D599)&lt;&gt;1,"CHECK leave type",IF(AND(Bookings!G599&lt;&gt;"Approved",Bookings!G599&lt;&gt;"Pending",Bookings!G599&lt;&gt;"Cancelled"),"CHECK status","OK")))))))))),"CHECK input"))</ns0:f>
        <ns0:v/>
      </ns0:c>
      <ns0:c r="G599" s="0">
        <ns0:f>IF(OR(F599&lt;&gt;"OK",$B$6&gt;0),0,0.5*(IF(('_Dates'!X599)&lt;('_Dates'!W599),0,INT((('_Dates'!X599)-('_Dates'!W599)+1)/7)*LEN(SUBSTITUTE(W599,"O",""))+LEN(SUBSTITUTE(MID(W599&amp;W599,WEEKDAY(('_Dates'!W599),2),MOD((('_Dates'!X599)-('_Dates'!W599)+1),7)),"O",""))-COUNTIFS(INDEX(AllClosureRows,C599,0),"&gt;="&amp;('_Dates'!W599),INDEX(AllClosureRows,C599,0),"&lt;="&amp;('_Dates'!X599)))+IF(('_Dates'!Z599)&lt;('_Dates'!Y599),0,INT((('_Dates'!Z599)-('_Dates'!Y599)+1)/7)*LEN(SUBSTITUTE(W599,"O",""))+LEN(SUBSTITUTE(MID(W599&amp;W599,WEEKDAY(('_Dates'!Y599),2),MOD((('_Dates'!Z599)-('_Dates'!Y599)+1),7)),"O",""))-COUNTIFS(INDEX(AllClosureRows,C599,0),"&gt;="&amp;('_Dates'!Y599),INDEX(AllClosureRows,C599,0),"&lt;="&amp;('_Dates'!Z599)))))</ns0:f>
        <ns0:v>0</ns0:v>
      </ns0:c>
      <ns0:c r="H599" s="0">
        <ns0:f>IF(OR(F599&lt;&gt;"OK",$B$6&gt;0),0,0.5*(IF((MIN('_Dates'!X599,Settings!$B$9))&lt;('_Dates'!W599),0,INT(((MIN('_Dates'!X599,Settings!$B$9))-('_Dates'!W599)+1)/7)*LEN(SUBSTITUTE(W599,"O",""))+LEN(SUBSTITUTE(MID(W599&amp;W599,WEEKDAY(('_Dates'!W599),2),MOD(((MIN('_Dates'!X599,Settings!$B$9))-('_Dates'!W599)+1),7)),"O",""))-COUNTIFS(INDEX(AllClosureRows,C599,0),"&gt;="&amp;('_Dates'!W599),INDEX(AllClosureRows,C599,0),"&lt;="&amp;(MIN('_Dates'!X599,Settings!$B$9))))+IF((MIN('_Dates'!Z599,Settings!$B$9))&lt;('_Dates'!Y599),0,INT(((MIN('_Dates'!Z599,Settings!$B$9))-('_Dates'!Y599)+1)/7)*LEN(SUBSTITUTE(W599,"O",""))+LEN(SUBSTITUTE(MID(W599&amp;W599,WEEKDAY(('_Dates'!Y599),2),MOD(((MIN('_Dates'!Z599,Settings!$B$9))-('_Dates'!Y599)+1),7)),"O",""))-COUNTIFS(INDEX(AllClosureRows,C599,0),"&gt;="&amp;('_Dates'!Y599),INDEX(AllClosureRows,C599,0),"&lt;="&amp;(MIN('_Dates'!Z599,Settings!$B$9))))))</ns0:f>
        <ns0:v>0</ns0:v>
      </ns0:c>
      <ns0:c r="I599" s="0">
        <ns0:f>MAX(0,G599-H599)</ns0:f>
        <ns0:v>0</ns0:v>
      </ns0:c>
      <ns0:c r="J599" s="0">
        <ns0:f>IF(OR(A599=0,F599&lt;&gt;"OK",Bookings!G599="Cancelled",$B$6&gt;0),0,IF('_Dates'!AC599=1,MAX(0,COUNTIFS(rngEngine_B,B599,rngAMStart,"&lt;="&amp;'_Dates'!X599,rngAMEnd,"&gt;="&amp;'_Dates'!W599,rngAMActive,1,rngEngine_F,"OK",rngBookings_F,"&lt;&gt;Cancelled")-1),0)+IF('_Dates'!AD599=1,MAX(0,COUNTIFS(rngEngine_B,B599,rngPMStart,"&lt;="&amp;'_Dates'!Z599,rngPMEnd,"&gt;="&amp;'_Dates'!Y599,rngPMActive,1,rngEngine_F,"OK",rngBookings_F,"&lt;&gt;Cancelled")-1),0))</ns0:f>
        <ns0:v>0</ns0:v>
      </ns0:c>
      <ns0:c r="K599" s="0" t="str">
        <ns0:f>IF(A599=0,"",IF(F599&lt;&gt;"OK",F599,IF(J599&gt;0,"CHECK overlapping entry",IF(AND($B$6=0,G599&lt;=0,Bookings!G599&lt;&gt;"Cancelled"),"CHECK no working days",IF(Bookings!G599="Cancelled","Cancelled","OK")))))</ns0:f>
        <ns0:v/>
      </ns0:c>
      <ns0:c r="L599" s="0">
        <ns0:f>IF(LEFT(K599,5)="CHECK",1,0)</ns0:f>
        <ns0:v>0</ns0:v>
      </ns0:c>
      <ns0:c r="M599" s="0">
        <ns0:f>IF(AND(L599=1,OR(C599=0,IFERROR(INDEX($X$11:$X$60,C599),0)=0)),1,0)</ns0:f>
        <ns0:v>0</ns0:v>
      </ns0:c>
      <ns0:c r="N599" s="0">
        <ns0:f>IF(OR(A599=0,L599&gt;0,$B$6&gt;0,Bookings!G599="Cancelled"),0,G599)</ns0:f>
        <ns0:v>0</ns0:v>
      </ns0:c>
      <ns0:c r="O599" s="0">
        <ns0:f>IF(AND(Bookings!G599="Approved",E599="Yes"),N599,0)</ns0:f>
        <ns0:v>0</ns0:v>
      </ns0:c>
      <ns0:c r="P599" s="0">
        <ns0:f>IF(AND(Bookings!G599="Approved",E599="Yes",L599=0,$B$6=0),H599,0)</ns0:f>
        <ns0:v>0</ns0:v>
      </ns0:c>
      <ns0:c r="Q599" s="0">
        <ns0:f>IF(AND(Bookings!G599="Approved",E599="Yes",L599=0,$B$6=0),I599,0)</ns0:f>
        <ns0:v>0</ns0:v>
      </ns0:c>
      <ns0:c r="R599" s="0">
        <ns0:f>IF(AND(Bookings!G599="Pending",E599="Yes"),N599,0)</ns0:f>
        <ns0:v>0</ns0:v>
      </ns0:c>
      <ns0:c r="S599" s="0">
        <ns0:f>IF(AND(Bookings!G599="Approved",E599="No"),N599,0)</ns0:f>
        <ns0:v>0</ns0:v>
      </ns0:c>
      <ns0:c r="T599" s="0">
        <ns0:f>IFERROR(MATCH(D599,Settings!$G$7:$G$11,0),0)</ns0:f>
        <ns0:v>0</ns0:v>
      </ns0:c>
      <ns0:c r="U599" s="0">
        <ns0:f>IF(N599&gt;0,T599+IF(Bookings!G599="Pending",10,0),0)</ns0:f>
        <ns0:v>0</ns0:v>
      </ns0:c>
      <ns0:c r="V599" s="0">
        <ns0:f>U599</ns0:f>
        <ns0:v>0</ns0:v>
      </ns0:c>
      <ns0:c r="W599" s="0" t="str">
        <ns0:f>IF(C599=0,"",INDEX($AP$11:$AP$60,C599))</ns0:f>
        <ns0:v/>
      </ns0:c>
    </ns0:row>
    <ns0:row r="600">
      <ns0:c r="A600" s="0">
        <ns0:f>IF(COUNTA(Bookings!A600:G600,Bookings!I600)=0,0,1)</ns0:f>
        <ns0:v>0</ns0:v>
      </ns0:c>
      <ns0:c r="B600" s="0" t="str">
        <ns0:f>IFERROR(TRIM(MID(Bookings!A600,FIND(" · ",Bookings!A600)+3,99)),"")</ns0:f>
        <ns0:v/>
      </ns0:c>
      <ns0:c r="C600" s="0">
        <ns0:f>IF(OR(B600="",LEN(B600)&gt;24,ISNUMBER(FIND(" ",B600)),ISNUMBER(FIND("*",B600)),ISNUMBER(FIND("?",B600)),ISNUMBER(FIND("~",B600))),0,IFERROR(MATCH(B600,Team!$A$11:$A$60,0),0))</ns0:f>
        <ns0:v>0</ns0:v>
      </ns0:c>
      <ns0:c r="D600" s="0" t="str">
        <ns0:f>IFERROR(IF(MID(Bookings!F600,LEN(Bookings!F600)-3,3)=" · ",RIGHT(Bookings!F600,1),""),"")</ns0:f>
        <ns0:v/>
      </ns0:c>
      <ns0:c r="E600" s="0" t="str">
        <ns0:f>IFERROR(INDEX(Settings!$H$7:$H$11,MATCH(D600,Settings!$G$7:$G$11,0)),"")</ns0:f>
        <ns0:v/>
      </ns0:c>
      <ns0:c r="F600" s="0" t="str">
        <ns0:f>IF(A600=0,"",IFERROR(IF(OR(B600="",C600=0),"CHECK employee selection",IF(INDEX(Team!$O$11:$O$60,C600)&lt;&gt;"OK","CHECK employee setup",IF(OR('_Dates'!J600=0,'_Dates'!T600=0),"CHECK date: use DD.MM.YYYY",IF('_Dates'!T600&lt;'_Dates'!J600,"CHECK end before start",IF(AND($B$6=0,OR('_Dates'!J600&lt;Settings!$B$7,'_Dates'!T600&gt;Settings!$B$8)),"CHECK split across leave years",IF(OR(NOT(OR('_Dates'!U600="Full day",'_Dates'!U600="AM",'_Dates'!U600="PM")),NOT(OR('_Dates'!V600="Full day",'_Dates'!V600="AM",'_Dates'!V600="PM"))),"CHECK Full day / AM / PM",IF(AND('_Dates'!J600='_Dates'!T600,'_Dates'!U600&lt;&gt;"Full day",'_Dates'!V600&lt;&gt;"Full day",'_Dates'!U600&lt;&gt;'_Dates'!V600),"CHECK same-day portions disagree",IF(AND($B$6=0,OR(AND('_Dates'!U600&lt;&gt;"Full day",'_Dates'!AA600=0),AND('_Dates'!V600&lt;&gt;"Full day",'_Dates'!AB600=0))),"CHECK half-day on non-working date",IF(COUNTIF(Settings!$G$7:$G$11,D600)&lt;&gt;1,"CHECK leave type",IF(AND(Bookings!G600&lt;&gt;"Approved",Bookings!G600&lt;&gt;"Pending",Bookings!G600&lt;&gt;"Cancelled"),"CHECK status","OK")))))))))),"CHECK input"))</ns0:f>
        <ns0:v/>
      </ns0:c>
      <ns0:c r="G600" s="0">
        <ns0:f>IF(OR(F600&lt;&gt;"OK",$B$6&gt;0),0,0.5*(IF(('_Dates'!X600)&lt;('_Dates'!W600),0,INT((('_Dates'!X600)-('_Dates'!W600)+1)/7)*LEN(SUBSTITUTE(W600,"O",""))+LEN(SUBSTITUTE(MID(W600&amp;W600,WEEKDAY(('_Dates'!W600),2),MOD((('_Dates'!X600)-('_Dates'!W600)+1),7)),"O",""))-COUNTIFS(INDEX(AllClosureRows,C600,0),"&gt;="&amp;('_Dates'!W600),INDEX(AllClosureRows,C600,0),"&lt;="&amp;('_Dates'!X600)))+IF(('_Dates'!Z600)&lt;('_Dates'!Y600),0,INT((('_Dates'!Z600)-('_Dates'!Y600)+1)/7)*LEN(SUBSTITUTE(W600,"O",""))+LEN(SUBSTITUTE(MID(W600&amp;W600,WEEKDAY(('_Dates'!Y600),2),MOD((('_Dates'!Z600)-('_Dates'!Y600)+1),7)),"O",""))-COUNTIFS(INDEX(AllClosureRows,C600,0),"&gt;="&amp;('_Dates'!Y600),INDEX(AllClosureRows,C600,0),"&lt;="&amp;('_Dates'!Z600)))))</ns0:f>
        <ns0:v>0</ns0:v>
      </ns0:c>
      <ns0:c r="H600" s="0">
        <ns0:f>IF(OR(F600&lt;&gt;"OK",$B$6&gt;0),0,0.5*(IF((MIN('_Dates'!X600,Settings!$B$9))&lt;('_Dates'!W600),0,INT(((MIN('_Dates'!X600,Settings!$B$9))-('_Dates'!W600)+1)/7)*LEN(SUBSTITUTE(W600,"O",""))+LEN(SUBSTITUTE(MID(W600&amp;W600,WEEKDAY(('_Dates'!W600),2),MOD(((MIN('_Dates'!X600,Settings!$B$9))-('_Dates'!W600)+1),7)),"O",""))-COUNTIFS(INDEX(AllClosureRows,C600,0),"&gt;="&amp;('_Dates'!W600),INDEX(AllClosureRows,C600,0),"&lt;="&amp;(MIN('_Dates'!X600,Settings!$B$9))))+IF((MIN('_Dates'!Z600,Settings!$B$9))&lt;('_Dates'!Y600),0,INT(((MIN('_Dates'!Z600,Settings!$B$9))-('_Dates'!Y600)+1)/7)*LEN(SUBSTITUTE(W600,"O",""))+LEN(SUBSTITUTE(MID(W600&amp;W600,WEEKDAY(('_Dates'!Y600),2),MOD(((MIN('_Dates'!Z600,Settings!$B$9))-('_Dates'!Y600)+1),7)),"O",""))-COUNTIFS(INDEX(AllClosureRows,C600,0),"&gt;="&amp;('_Dates'!Y600),INDEX(AllClosureRows,C600,0),"&lt;="&amp;(MIN('_Dates'!Z600,Settings!$B$9))))))</ns0:f>
        <ns0:v>0</ns0:v>
      </ns0:c>
      <ns0:c r="I600" s="0">
        <ns0:f>MAX(0,G600-H600)</ns0:f>
        <ns0:v>0</ns0:v>
      </ns0:c>
      <ns0:c r="J600" s="0">
        <ns0:f>IF(OR(A600=0,F600&lt;&gt;"OK",Bookings!G600="Cancelled",$B$6&gt;0),0,IF('_Dates'!AC600=1,MAX(0,COUNTIFS(rngEngine_B,B600,rngAMStart,"&lt;="&amp;'_Dates'!X600,rngAMEnd,"&gt;="&amp;'_Dates'!W600,rngAMActive,1,rngEngine_F,"OK",rngBookings_F,"&lt;&gt;Cancelled")-1),0)+IF('_Dates'!AD600=1,MAX(0,COUNTIFS(rngEngine_B,B600,rngPMStart,"&lt;="&amp;'_Dates'!Z600,rngPMEnd,"&gt;="&amp;'_Dates'!Y600,rngPMActive,1,rngEngine_F,"OK",rngBookings_F,"&lt;&gt;Cancelled")-1),0))</ns0:f>
        <ns0:v>0</ns0:v>
      </ns0:c>
      <ns0:c r="K600" s="0" t="str">
        <ns0:f>IF(A600=0,"",IF(F600&lt;&gt;"OK",F600,IF(J600&gt;0,"CHECK overlapping entry",IF(AND($B$6=0,G600&lt;=0,Bookings!G600&lt;&gt;"Cancelled"),"CHECK no working days",IF(Bookings!G600="Cancelled","Cancelled","OK")))))</ns0:f>
        <ns0:v/>
      </ns0:c>
      <ns0:c r="L600" s="0">
        <ns0:f>IF(LEFT(K600,5)="CHECK",1,0)</ns0:f>
        <ns0:v>0</ns0:v>
      </ns0:c>
      <ns0:c r="M600" s="0">
        <ns0:f>IF(AND(L600=1,OR(C600=0,IFERROR(INDEX($X$11:$X$60,C600),0)=0)),1,0)</ns0:f>
        <ns0:v>0</ns0:v>
      </ns0:c>
      <ns0:c r="N600" s="0">
        <ns0:f>IF(OR(A600=0,L600&gt;0,$B$6&gt;0,Bookings!G600="Cancelled"),0,G600)</ns0:f>
        <ns0:v>0</ns0:v>
      </ns0:c>
      <ns0:c r="O600" s="0">
        <ns0:f>IF(AND(Bookings!G600="Approved",E600="Yes"),N600,0)</ns0:f>
        <ns0:v>0</ns0:v>
      </ns0:c>
      <ns0:c r="P600" s="0">
        <ns0:f>IF(AND(Bookings!G600="Approved",E600="Yes",L600=0,$B$6=0),H600,0)</ns0:f>
        <ns0:v>0</ns0:v>
      </ns0:c>
      <ns0:c r="Q600" s="0">
        <ns0:f>IF(AND(Bookings!G600="Approved",E600="Yes",L600=0,$B$6=0),I600,0)</ns0:f>
        <ns0:v>0</ns0:v>
      </ns0:c>
      <ns0:c r="R600" s="0">
        <ns0:f>IF(AND(Bookings!G600="Pending",E600="Yes"),N600,0)</ns0:f>
        <ns0:v>0</ns0:v>
      </ns0:c>
      <ns0:c r="S600" s="0">
        <ns0:f>IF(AND(Bookings!G600="Approved",E600="No"),N600,0)</ns0:f>
        <ns0:v>0</ns0:v>
      </ns0:c>
      <ns0:c r="T600" s="0">
        <ns0:f>IFERROR(MATCH(D600,Settings!$G$7:$G$11,0),0)</ns0:f>
        <ns0:v>0</ns0:v>
      </ns0:c>
      <ns0:c r="U600" s="0">
        <ns0:f>IF(N600&gt;0,T600+IF(Bookings!G600="Pending",10,0),0)</ns0:f>
        <ns0:v>0</ns0:v>
      </ns0:c>
      <ns0:c r="V600" s="0">
        <ns0:f>U600</ns0:f>
        <ns0:v>0</ns0:v>
      </ns0:c>
      <ns0:c r="W600" s="0" t="str">
        <ns0:f>IF(C600=0,"",INDEX($AP$11:$AP$60,C600))</ns0:f>
        <ns0:v/>
      </ns0:c>
    </ns0:row>
    <ns0:row r="601">
      <ns0:c r="A601" s="0">
        <ns0:f>IF(COUNTA(Bookings!A601:G601,Bookings!I601)=0,0,1)</ns0:f>
        <ns0:v>0</ns0:v>
      </ns0:c>
      <ns0:c r="B601" s="0" t="str">
        <ns0:f>IFERROR(TRIM(MID(Bookings!A601,FIND(" · ",Bookings!A601)+3,99)),"")</ns0:f>
        <ns0:v/>
      </ns0:c>
      <ns0:c r="C601" s="0">
        <ns0:f>IF(OR(B601="",LEN(B601)&gt;24,ISNUMBER(FIND(" ",B601)),ISNUMBER(FIND("*",B601)),ISNUMBER(FIND("?",B601)),ISNUMBER(FIND("~",B601))),0,IFERROR(MATCH(B601,Team!$A$11:$A$60,0),0))</ns0:f>
        <ns0:v>0</ns0:v>
      </ns0:c>
      <ns0:c r="D601" s="0" t="str">
        <ns0:f>IFERROR(IF(MID(Bookings!F601,LEN(Bookings!F601)-3,3)=" · ",RIGHT(Bookings!F601,1),""),"")</ns0:f>
        <ns0:v/>
      </ns0:c>
      <ns0:c r="E601" s="0" t="str">
        <ns0:f>IFERROR(INDEX(Settings!$H$7:$H$11,MATCH(D601,Settings!$G$7:$G$11,0)),"")</ns0:f>
        <ns0:v/>
      </ns0:c>
      <ns0:c r="F601" s="0" t="str">
        <ns0:f>IF(A601=0,"",IFERROR(IF(OR(B601="",C601=0),"CHECK employee selection",IF(INDEX(Team!$O$11:$O$60,C601)&lt;&gt;"OK","CHECK employee setup",IF(OR('_Dates'!J601=0,'_Dates'!T601=0),"CHECK date: use DD.MM.YYYY",IF('_Dates'!T601&lt;'_Dates'!J601,"CHECK end before start",IF(AND($B$6=0,OR('_Dates'!J601&lt;Settings!$B$7,'_Dates'!T601&gt;Settings!$B$8)),"CHECK split across leave years",IF(OR(NOT(OR('_Dates'!U601="Full day",'_Dates'!U601="AM",'_Dates'!U601="PM")),NOT(OR('_Dates'!V601="Full day",'_Dates'!V601="AM",'_Dates'!V601="PM"))),"CHECK Full day / AM / PM",IF(AND('_Dates'!J601='_Dates'!T601,'_Dates'!U601&lt;&gt;"Full day",'_Dates'!V601&lt;&gt;"Full day",'_Dates'!U601&lt;&gt;'_Dates'!V601),"CHECK same-day portions disagree",IF(AND($B$6=0,OR(AND('_Dates'!U601&lt;&gt;"Full day",'_Dates'!AA601=0),AND('_Dates'!V601&lt;&gt;"Full day",'_Dates'!AB601=0))),"CHECK half-day on non-working date",IF(COUNTIF(Settings!$G$7:$G$11,D601)&lt;&gt;1,"CHECK leave type",IF(AND(Bookings!G601&lt;&gt;"Approved",Bookings!G601&lt;&gt;"Pending",Bookings!G601&lt;&gt;"Cancelled"),"CHECK status","OK")))))))))),"CHECK input"))</ns0:f>
        <ns0:v/>
      </ns0:c>
      <ns0:c r="G601" s="0">
        <ns0:f>IF(OR(F601&lt;&gt;"OK",$B$6&gt;0),0,0.5*(IF(('_Dates'!X601)&lt;('_Dates'!W601),0,INT((('_Dates'!X601)-('_Dates'!W601)+1)/7)*LEN(SUBSTITUTE(W601,"O",""))+LEN(SUBSTITUTE(MID(W601&amp;W601,WEEKDAY(('_Dates'!W601),2),MOD((('_Dates'!X601)-('_Dates'!W601)+1),7)),"O",""))-COUNTIFS(INDEX(AllClosureRows,C601,0),"&gt;="&amp;('_Dates'!W601),INDEX(AllClosureRows,C601,0),"&lt;="&amp;('_Dates'!X601)))+IF(('_Dates'!Z601)&lt;('_Dates'!Y601),0,INT((('_Dates'!Z601)-('_Dates'!Y601)+1)/7)*LEN(SUBSTITUTE(W601,"O",""))+LEN(SUBSTITUTE(MID(W601&amp;W601,WEEKDAY(('_Dates'!Y601),2),MOD((('_Dates'!Z601)-('_Dates'!Y601)+1),7)),"O",""))-COUNTIFS(INDEX(AllClosureRows,C601,0),"&gt;="&amp;('_Dates'!Y601),INDEX(AllClosureRows,C601,0),"&lt;="&amp;('_Dates'!Z601)))))</ns0:f>
        <ns0:v>0</ns0:v>
      </ns0:c>
      <ns0:c r="H601" s="0">
        <ns0:f>IF(OR(F601&lt;&gt;"OK",$B$6&gt;0),0,0.5*(IF((MIN('_Dates'!X601,Settings!$B$9))&lt;('_Dates'!W601),0,INT(((MIN('_Dates'!X601,Settings!$B$9))-('_Dates'!W601)+1)/7)*LEN(SUBSTITUTE(W601,"O",""))+LEN(SUBSTITUTE(MID(W601&amp;W601,WEEKDAY(('_Dates'!W601),2),MOD(((MIN('_Dates'!X601,Settings!$B$9))-('_Dates'!W601)+1),7)),"O",""))-COUNTIFS(INDEX(AllClosureRows,C601,0),"&gt;="&amp;('_Dates'!W601),INDEX(AllClosureRows,C601,0),"&lt;="&amp;(MIN('_Dates'!X601,Settings!$B$9))))+IF((MIN('_Dates'!Z601,Settings!$B$9))&lt;('_Dates'!Y601),0,INT(((MIN('_Dates'!Z601,Settings!$B$9))-('_Dates'!Y601)+1)/7)*LEN(SUBSTITUTE(W601,"O",""))+LEN(SUBSTITUTE(MID(W601&amp;W601,WEEKDAY(('_Dates'!Y601),2),MOD(((MIN('_Dates'!Z601,Settings!$B$9))-('_Dates'!Y601)+1),7)),"O",""))-COUNTIFS(INDEX(AllClosureRows,C601,0),"&gt;="&amp;('_Dates'!Y601),INDEX(AllClosureRows,C601,0),"&lt;="&amp;(MIN('_Dates'!Z601,Settings!$B$9))))))</ns0:f>
        <ns0:v>0</ns0:v>
      </ns0:c>
      <ns0:c r="I601" s="0">
        <ns0:f>MAX(0,G601-H601)</ns0:f>
        <ns0:v>0</ns0:v>
      </ns0:c>
      <ns0:c r="J601" s="0">
        <ns0:f>IF(OR(A601=0,F601&lt;&gt;"OK",Bookings!G601="Cancelled",$B$6&gt;0),0,IF('_Dates'!AC601=1,MAX(0,COUNTIFS(rngEngine_B,B601,rngAMStart,"&lt;="&amp;'_Dates'!X601,rngAMEnd,"&gt;="&amp;'_Dates'!W601,rngAMActive,1,rngEngine_F,"OK",rngBookings_F,"&lt;&gt;Cancelled")-1),0)+IF('_Dates'!AD601=1,MAX(0,COUNTIFS(rngEngine_B,B601,rngPMStart,"&lt;="&amp;'_Dates'!Z601,rngPMEnd,"&gt;="&amp;'_Dates'!Y601,rngPMActive,1,rngEngine_F,"OK",rngBookings_F,"&lt;&gt;Cancelled")-1),0))</ns0:f>
        <ns0:v>0</ns0:v>
      </ns0:c>
      <ns0:c r="K601" s="0" t="str">
        <ns0:f>IF(A601=0,"",IF(F601&lt;&gt;"OK",F601,IF(J601&gt;0,"CHECK overlapping entry",IF(AND($B$6=0,G601&lt;=0,Bookings!G601&lt;&gt;"Cancelled"),"CHECK no working days",IF(Bookings!G601="Cancelled","Cancelled","OK")))))</ns0:f>
        <ns0:v/>
      </ns0:c>
      <ns0:c r="L601" s="0">
        <ns0:f>IF(LEFT(K601,5)="CHECK",1,0)</ns0:f>
        <ns0:v>0</ns0:v>
      </ns0:c>
      <ns0:c r="M601" s="0">
        <ns0:f>IF(AND(L601=1,OR(C601=0,IFERROR(INDEX($X$11:$X$60,C601),0)=0)),1,0)</ns0:f>
        <ns0:v>0</ns0:v>
      </ns0:c>
      <ns0:c r="N601" s="0">
        <ns0:f>IF(OR(A601=0,L601&gt;0,$B$6&gt;0,Bookings!G601="Cancelled"),0,G601)</ns0:f>
        <ns0:v>0</ns0:v>
      </ns0:c>
      <ns0:c r="O601" s="0">
        <ns0:f>IF(AND(Bookings!G601="Approved",E601="Yes"),N601,0)</ns0:f>
        <ns0:v>0</ns0:v>
      </ns0:c>
      <ns0:c r="P601" s="0">
        <ns0:f>IF(AND(Bookings!G601="Approved",E601="Yes",L601=0,$B$6=0),H601,0)</ns0:f>
        <ns0:v>0</ns0:v>
      </ns0:c>
      <ns0:c r="Q601" s="0">
        <ns0:f>IF(AND(Bookings!G601="Approved",E601="Yes",L601=0,$B$6=0),I601,0)</ns0:f>
        <ns0:v>0</ns0:v>
      </ns0:c>
      <ns0:c r="R601" s="0">
        <ns0:f>IF(AND(Bookings!G601="Pending",E601="Yes"),N601,0)</ns0:f>
        <ns0:v>0</ns0:v>
      </ns0:c>
      <ns0:c r="S601" s="0">
        <ns0:f>IF(AND(Bookings!G601="Approved",E601="No"),N601,0)</ns0:f>
        <ns0:v>0</ns0:v>
      </ns0:c>
      <ns0:c r="T601" s="0">
        <ns0:f>IFERROR(MATCH(D601,Settings!$G$7:$G$11,0),0)</ns0:f>
        <ns0:v>0</ns0:v>
      </ns0:c>
      <ns0:c r="U601" s="0">
        <ns0:f>IF(N601&gt;0,T601+IF(Bookings!G601="Pending",10,0),0)</ns0:f>
        <ns0:v>0</ns0:v>
      </ns0:c>
      <ns0:c r="V601" s="0">
        <ns0:f>U601</ns0:f>
        <ns0:v>0</ns0:v>
      </ns0:c>
      <ns0:c r="W601" s="0" t="str">
        <ns0:f>IF(C601=0,"",INDEX($AP$11:$AP$60,C601))</ns0:f>
        <ns0:v/>
      </ns0:c>
    </ns0:row>
    <ns0:row r="602">
      <ns0:c r="A602" s="0">
        <ns0:f>IF(COUNTA(Bookings!A602:G602,Bookings!I602)=0,0,1)</ns0:f>
        <ns0:v>0</ns0:v>
      </ns0:c>
      <ns0:c r="B602" s="0" t="str">
        <ns0:f>IFERROR(TRIM(MID(Bookings!A602,FIND(" · ",Bookings!A602)+3,99)),"")</ns0:f>
        <ns0:v/>
      </ns0:c>
      <ns0:c r="C602" s="0">
        <ns0:f>IF(OR(B602="",LEN(B602)&gt;24,ISNUMBER(FIND(" ",B602)),ISNUMBER(FIND("*",B602)),ISNUMBER(FIND("?",B602)),ISNUMBER(FIND("~",B602))),0,IFERROR(MATCH(B602,Team!$A$11:$A$60,0),0))</ns0:f>
        <ns0:v>0</ns0:v>
      </ns0:c>
      <ns0:c r="D602" s="0" t="str">
        <ns0:f>IFERROR(IF(MID(Bookings!F602,LEN(Bookings!F602)-3,3)=" · ",RIGHT(Bookings!F602,1),""),"")</ns0:f>
        <ns0:v/>
      </ns0:c>
      <ns0:c r="E602" s="0" t="str">
        <ns0:f>IFERROR(INDEX(Settings!$H$7:$H$11,MATCH(D602,Settings!$G$7:$G$11,0)),"")</ns0:f>
        <ns0:v/>
      </ns0:c>
      <ns0:c r="F602" s="0" t="str">
        <ns0:f>IF(A602=0,"",IFERROR(IF(OR(B602="",C602=0),"CHECK employee selection",IF(INDEX(Team!$O$11:$O$60,C602)&lt;&gt;"OK","CHECK employee setup",IF(OR('_Dates'!J602=0,'_Dates'!T602=0),"CHECK date: use DD.MM.YYYY",IF('_Dates'!T602&lt;'_Dates'!J602,"CHECK end before start",IF(AND($B$6=0,OR('_Dates'!J602&lt;Settings!$B$7,'_Dates'!T602&gt;Settings!$B$8)),"CHECK split across leave years",IF(OR(NOT(OR('_Dates'!U602="Full day",'_Dates'!U602="AM",'_Dates'!U602="PM")),NOT(OR('_Dates'!V602="Full day",'_Dates'!V602="AM",'_Dates'!V602="PM"))),"CHECK Full day / AM / PM",IF(AND('_Dates'!J602='_Dates'!T602,'_Dates'!U602&lt;&gt;"Full day",'_Dates'!V602&lt;&gt;"Full day",'_Dates'!U602&lt;&gt;'_Dates'!V602),"CHECK same-day portions disagree",IF(AND($B$6=0,OR(AND('_Dates'!U602&lt;&gt;"Full day",'_Dates'!AA602=0),AND('_Dates'!V602&lt;&gt;"Full day",'_Dates'!AB602=0))),"CHECK half-day on non-working date",IF(COUNTIF(Settings!$G$7:$G$11,D602)&lt;&gt;1,"CHECK leave type",IF(AND(Bookings!G602&lt;&gt;"Approved",Bookings!G602&lt;&gt;"Pending",Bookings!G602&lt;&gt;"Cancelled"),"CHECK status","OK")))))))))),"CHECK input"))</ns0:f>
        <ns0:v/>
      </ns0:c>
      <ns0:c r="G602" s="0">
        <ns0:f>IF(OR(F602&lt;&gt;"OK",$B$6&gt;0),0,0.5*(IF(('_Dates'!X602)&lt;('_Dates'!W602),0,INT((('_Dates'!X602)-('_Dates'!W602)+1)/7)*LEN(SUBSTITUTE(W602,"O",""))+LEN(SUBSTITUTE(MID(W602&amp;W602,WEEKDAY(('_Dates'!W602),2),MOD((('_Dates'!X602)-('_Dates'!W602)+1),7)),"O",""))-COUNTIFS(INDEX(AllClosureRows,C602,0),"&gt;="&amp;('_Dates'!W602),INDEX(AllClosureRows,C602,0),"&lt;="&amp;('_Dates'!X602)))+IF(('_Dates'!Z602)&lt;('_Dates'!Y602),0,INT((('_Dates'!Z602)-('_Dates'!Y602)+1)/7)*LEN(SUBSTITUTE(W602,"O",""))+LEN(SUBSTITUTE(MID(W602&amp;W602,WEEKDAY(('_Dates'!Y602),2),MOD((('_Dates'!Z602)-('_Dates'!Y602)+1),7)),"O",""))-COUNTIFS(INDEX(AllClosureRows,C602,0),"&gt;="&amp;('_Dates'!Y602),INDEX(AllClosureRows,C602,0),"&lt;="&amp;('_Dates'!Z602)))))</ns0:f>
        <ns0:v>0</ns0:v>
      </ns0:c>
      <ns0:c r="H602" s="0">
        <ns0:f>IF(OR(F602&lt;&gt;"OK",$B$6&gt;0),0,0.5*(IF((MIN('_Dates'!X602,Settings!$B$9))&lt;('_Dates'!W602),0,INT(((MIN('_Dates'!X602,Settings!$B$9))-('_Dates'!W602)+1)/7)*LEN(SUBSTITUTE(W602,"O",""))+LEN(SUBSTITUTE(MID(W602&amp;W602,WEEKDAY(('_Dates'!W602),2),MOD(((MIN('_Dates'!X602,Settings!$B$9))-('_Dates'!W602)+1),7)),"O",""))-COUNTIFS(INDEX(AllClosureRows,C602,0),"&gt;="&amp;('_Dates'!W602),INDEX(AllClosureRows,C602,0),"&lt;="&amp;(MIN('_Dates'!X602,Settings!$B$9))))+IF((MIN('_Dates'!Z602,Settings!$B$9))&lt;('_Dates'!Y602),0,INT(((MIN('_Dates'!Z602,Settings!$B$9))-('_Dates'!Y602)+1)/7)*LEN(SUBSTITUTE(W602,"O",""))+LEN(SUBSTITUTE(MID(W602&amp;W602,WEEKDAY(('_Dates'!Y602),2),MOD(((MIN('_Dates'!Z602,Settings!$B$9))-('_Dates'!Y602)+1),7)),"O",""))-COUNTIFS(INDEX(AllClosureRows,C602,0),"&gt;="&amp;('_Dates'!Y602),INDEX(AllClosureRows,C602,0),"&lt;="&amp;(MIN('_Dates'!Z602,Settings!$B$9))))))</ns0:f>
        <ns0:v>0</ns0:v>
      </ns0:c>
      <ns0:c r="I602" s="0">
        <ns0:f>MAX(0,G602-H602)</ns0:f>
        <ns0:v>0</ns0:v>
      </ns0:c>
      <ns0:c r="J602" s="0">
        <ns0:f>IF(OR(A602=0,F602&lt;&gt;"OK",Bookings!G602="Cancelled",$B$6&gt;0),0,IF('_Dates'!AC602=1,MAX(0,COUNTIFS(rngEngine_B,B602,rngAMStart,"&lt;="&amp;'_Dates'!X602,rngAMEnd,"&gt;="&amp;'_Dates'!W602,rngAMActive,1,rngEngine_F,"OK",rngBookings_F,"&lt;&gt;Cancelled")-1),0)+IF('_Dates'!AD602=1,MAX(0,COUNTIFS(rngEngine_B,B602,rngPMStart,"&lt;="&amp;'_Dates'!Z602,rngPMEnd,"&gt;="&amp;'_Dates'!Y602,rngPMActive,1,rngEngine_F,"OK",rngBookings_F,"&lt;&gt;Cancelled")-1),0))</ns0:f>
        <ns0:v>0</ns0:v>
      </ns0:c>
      <ns0:c r="K602" s="0" t="str">
        <ns0:f>IF(A602=0,"",IF(F602&lt;&gt;"OK",F602,IF(J602&gt;0,"CHECK overlapping entry",IF(AND($B$6=0,G602&lt;=0,Bookings!G602&lt;&gt;"Cancelled"),"CHECK no working days",IF(Bookings!G602="Cancelled","Cancelled","OK")))))</ns0:f>
        <ns0:v/>
      </ns0:c>
      <ns0:c r="L602" s="0">
        <ns0:f>IF(LEFT(K602,5)="CHECK",1,0)</ns0:f>
        <ns0:v>0</ns0:v>
      </ns0:c>
      <ns0:c r="M602" s="0">
        <ns0:f>IF(AND(L602=1,OR(C602=0,IFERROR(INDEX($X$11:$X$60,C602),0)=0)),1,0)</ns0:f>
        <ns0:v>0</ns0:v>
      </ns0:c>
      <ns0:c r="N602" s="0">
        <ns0:f>IF(OR(A602=0,L602&gt;0,$B$6&gt;0,Bookings!G602="Cancelled"),0,G602)</ns0:f>
        <ns0:v>0</ns0:v>
      </ns0:c>
      <ns0:c r="O602" s="0">
        <ns0:f>IF(AND(Bookings!G602="Approved",E602="Yes"),N602,0)</ns0:f>
        <ns0:v>0</ns0:v>
      </ns0:c>
      <ns0:c r="P602" s="0">
        <ns0:f>IF(AND(Bookings!G602="Approved",E602="Yes",L602=0,$B$6=0),H602,0)</ns0:f>
        <ns0:v>0</ns0:v>
      </ns0:c>
      <ns0:c r="Q602" s="0">
        <ns0:f>IF(AND(Bookings!G602="Approved",E602="Yes",L602=0,$B$6=0),I602,0)</ns0:f>
        <ns0:v>0</ns0:v>
      </ns0:c>
      <ns0:c r="R602" s="0">
        <ns0:f>IF(AND(Bookings!G602="Pending",E602="Yes"),N602,0)</ns0:f>
        <ns0:v>0</ns0:v>
      </ns0:c>
      <ns0:c r="S602" s="0">
        <ns0:f>IF(AND(Bookings!G602="Approved",E602="No"),N602,0)</ns0:f>
        <ns0:v>0</ns0:v>
      </ns0:c>
      <ns0:c r="T602" s="0">
        <ns0:f>IFERROR(MATCH(D602,Settings!$G$7:$G$11,0),0)</ns0:f>
        <ns0:v>0</ns0:v>
      </ns0:c>
      <ns0:c r="U602" s="0">
        <ns0:f>IF(N602&gt;0,T602+IF(Bookings!G602="Pending",10,0),0)</ns0:f>
        <ns0:v>0</ns0:v>
      </ns0:c>
      <ns0:c r="V602" s="0">
        <ns0:f>U602</ns0:f>
        <ns0:v>0</ns0:v>
      </ns0:c>
      <ns0:c r="W602" s="0" t="str">
        <ns0:f>IF(C602=0,"",INDEX($AP$11:$AP$60,C602))</ns0:f>
        <ns0:v/>
      </ns0:c>
    </ns0:row>
    <ns0:row r="603">
      <ns0:c r="A603" s="0">
        <ns0:f>IF(COUNTA(Bookings!A603:G603,Bookings!I603)=0,0,1)</ns0:f>
        <ns0:v>0</ns0:v>
      </ns0:c>
      <ns0:c r="B603" s="0" t="str">
        <ns0:f>IFERROR(TRIM(MID(Bookings!A603,FIND(" · ",Bookings!A603)+3,99)),"")</ns0:f>
        <ns0:v/>
      </ns0:c>
      <ns0:c r="C603" s="0">
        <ns0:f>IF(OR(B603="",LEN(B603)&gt;24,ISNUMBER(FIND(" ",B603)),ISNUMBER(FIND("*",B603)),ISNUMBER(FIND("?",B603)),ISNUMBER(FIND("~",B603))),0,IFERROR(MATCH(B603,Team!$A$11:$A$60,0),0))</ns0:f>
        <ns0:v>0</ns0:v>
      </ns0:c>
      <ns0:c r="D603" s="0" t="str">
        <ns0:f>IFERROR(IF(MID(Bookings!F603,LEN(Bookings!F603)-3,3)=" · ",RIGHT(Bookings!F603,1),""),"")</ns0:f>
        <ns0:v/>
      </ns0:c>
      <ns0:c r="E603" s="0" t="str">
        <ns0:f>IFERROR(INDEX(Settings!$H$7:$H$11,MATCH(D603,Settings!$G$7:$G$11,0)),"")</ns0:f>
        <ns0:v/>
      </ns0:c>
      <ns0:c r="F603" s="0" t="str">
        <ns0:f>IF(A603=0,"",IFERROR(IF(OR(B603="",C603=0),"CHECK employee selection",IF(INDEX(Team!$O$11:$O$60,C603)&lt;&gt;"OK","CHECK employee setup",IF(OR('_Dates'!J603=0,'_Dates'!T603=0),"CHECK date: use DD.MM.YYYY",IF('_Dates'!T603&lt;'_Dates'!J603,"CHECK end before start",IF(AND($B$6=0,OR('_Dates'!J603&lt;Settings!$B$7,'_Dates'!T603&gt;Settings!$B$8)),"CHECK split across leave years",IF(OR(NOT(OR('_Dates'!U603="Full day",'_Dates'!U603="AM",'_Dates'!U603="PM")),NOT(OR('_Dates'!V603="Full day",'_Dates'!V603="AM",'_Dates'!V603="PM"))),"CHECK Full day / AM / PM",IF(AND('_Dates'!J603='_Dates'!T603,'_Dates'!U603&lt;&gt;"Full day",'_Dates'!V603&lt;&gt;"Full day",'_Dates'!U603&lt;&gt;'_Dates'!V603),"CHECK same-day portions disagree",IF(AND($B$6=0,OR(AND('_Dates'!U603&lt;&gt;"Full day",'_Dates'!AA603=0),AND('_Dates'!V603&lt;&gt;"Full day",'_Dates'!AB603=0))),"CHECK half-day on non-working date",IF(COUNTIF(Settings!$G$7:$G$11,D603)&lt;&gt;1,"CHECK leave type",IF(AND(Bookings!G603&lt;&gt;"Approved",Bookings!G603&lt;&gt;"Pending",Bookings!G603&lt;&gt;"Cancelled"),"CHECK status","OK")))))))))),"CHECK input"))</ns0:f>
        <ns0:v/>
      </ns0:c>
      <ns0:c r="G603" s="0">
        <ns0:f>IF(OR(F603&lt;&gt;"OK",$B$6&gt;0),0,0.5*(IF(('_Dates'!X603)&lt;('_Dates'!W603),0,INT((('_Dates'!X603)-('_Dates'!W603)+1)/7)*LEN(SUBSTITUTE(W603,"O",""))+LEN(SUBSTITUTE(MID(W603&amp;W603,WEEKDAY(('_Dates'!W603),2),MOD((('_Dates'!X603)-('_Dates'!W603)+1),7)),"O",""))-COUNTIFS(INDEX(AllClosureRows,C603,0),"&gt;="&amp;('_Dates'!W603),INDEX(AllClosureRows,C603,0),"&lt;="&amp;('_Dates'!X603)))+IF(('_Dates'!Z603)&lt;('_Dates'!Y603),0,INT((('_Dates'!Z603)-('_Dates'!Y603)+1)/7)*LEN(SUBSTITUTE(W603,"O",""))+LEN(SUBSTITUTE(MID(W603&amp;W603,WEEKDAY(('_Dates'!Y603),2),MOD((('_Dates'!Z603)-('_Dates'!Y603)+1),7)),"O",""))-COUNTIFS(INDEX(AllClosureRows,C603,0),"&gt;="&amp;('_Dates'!Y603),INDEX(AllClosureRows,C603,0),"&lt;="&amp;('_Dates'!Z603)))))</ns0:f>
        <ns0:v>0</ns0:v>
      </ns0:c>
      <ns0:c r="H603" s="0">
        <ns0:f>IF(OR(F603&lt;&gt;"OK",$B$6&gt;0),0,0.5*(IF((MIN('_Dates'!X603,Settings!$B$9))&lt;('_Dates'!W603),0,INT(((MIN('_Dates'!X603,Settings!$B$9))-('_Dates'!W603)+1)/7)*LEN(SUBSTITUTE(W603,"O",""))+LEN(SUBSTITUTE(MID(W603&amp;W603,WEEKDAY(('_Dates'!W603),2),MOD(((MIN('_Dates'!X603,Settings!$B$9))-('_Dates'!W603)+1),7)),"O",""))-COUNTIFS(INDEX(AllClosureRows,C603,0),"&gt;="&amp;('_Dates'!W603),INDEX(AllClosureRows,C603,0),"&lt;="&amp;(MIN('_Dates'!X603,Settings!$B$9))))+IF((MIN('_Dates'!Z603,Settings!$B$9))&lt;('_Dates'!Y603),0,INT(((MIN('_Dates'!Z603,Settings!$B$9))-('_Dates'!Y603)+1)/7)*LEN(SUBSTITUTE(W603,"O",""))+LEN(SUBSTITUTE(MID(W603&amp;W603,WEEKDAY(('_Dates'!Y603),2),MOD(((MIN('_Dates'!Z603,Settings!$B$9))-('_Dates'!Y603)+1),7)),"O",""))-COUNTIFS(INDEX(AllClosureRows,C603,0),"&gt;="&amp;('_Dates'!Y603),INDEX(AllClosureRows,C603,0),"&lt;="&amp;(MIN('_Dates'!Z603,Settings!$B$9))))))</ns0:f>
        <ns0:v>0</ns0:v>
      </ns0:c>
      <ns0:c r="I603" s="0">
        <ns0:f>MAX(0,G603-H603)</ns0:f>
        <ns0:v>0</ns0:v>
      </ns0:c>
      <ns0:c r="J603" s="0">
        <ns0:f>IF(OR(A603=0,F603&lt;&gt;"OK",Bookings!G603="Cancelled",$B$6&gt;0),0,IF('_Dates'!AC603=1,MAX(0,COUNTIFS(rngEngine_B,B603,rngAMStart,"&lt;="&amp;'_Dates'!X603,rngAMEnd,"&gt;="&amp;'_Dates'!W603,rngAMActive,1,rngEngine_F,"OK",rngBookings_F,"&lt;&gt;Cancelled")-1),0)+IF('_Dates'!AD603=1,MAX(0,COUNTIFS(rngEngine_B,B603,rngPMStart,"&lt;="&amp;'_Dates'!Z603,rngPMEnd,"&gt;="&amp;'_Dates'!Y603,rngPMActive,1,rngEngine_F,"OK",rngBookings_F,"&lt;&gt;Cancelled")-1),0))</ns0:f>
        <ns0:v>0</ns0:v>
      </ns0:c>
      <ns0:c r="K603" s="0" t="str">
        <ns0:f>IF(A603=0,"",IF(F603&lt;&gt;"OK",F603,IF(J603&gt;0,"CHECK overlapping entry",IF(AND($B$6=0,G603&lt;=0,Bookings!G603&lt;&gt;"Cancelled"),"CHECK no working days",IF(Bookings!G603="Cancelled","Cancelled","OK")))))</ns0:f>
        <ns0:v/>
      </ns0:c>
      <ns0:c r="L603" s="0">
        <ns0:f>IF(LEFT(K603,5)="CHECK",1,0)</ns0:f>
        <ns0:v>0</ns0:v>
      </ns0:c>
      <ns0:c r="M603" s="0">
        <ns0:f>IF(AND(L603=1,OR(C603=0,IFERROR(INDEX($X$11:$X$60,C603),0)=0)),1,0)</ns0:f>
        <ns0:v>0</ns0:v>
      </ns0:c>
      <ns0:c r="N603" s="0">
        <ns0:f>IF(OR(A603=0,L603&gt;0,$B$6&gt;0,Bookings!G603="Cancelled"),0,G603)</ns0:f>
        <ns0:v>0</ns0:v>
      </ns0:c>
      <ns0:c r="O603" s="0">
        <ns0:f>IF(AND(Bookings!G603="Approved",E603="Yes"),N603,0)</ns0:f>
        <ns0:v>0</ns0:v>
      </ns0:c>
      <ns0:c r="P603" s="0">
        <ns0:f>IF(AND(Bookings!G603="Approved",E603="Yes",L603=0,$B$6=0),H603,0)</ns0:f>
        <ns0:v>0</ns0:v>
      </ns0:c>
      <ns0:c r="Q603" s="0">
        <ns0:f>IF(AND(Bookings!G603="Approved",E603="Yes",L603=0,$B$6=0),I603,0)</ns0:f>
        <ns0:v>0</ns0:v>
      </ns0:c>
      <ns0:c r="R603" s="0">
        <ns0:f>IF(AND(Bookings!G603="Pending",E603="Yes"),N603,0)</ns0:f>
        <ns0:v>0</ns0:v>
      </ns0:c>
      <ns0:c r="S603" s="0">
        <ns0:f>IF(AND(Bookings!G603="Approved",E603="No"),N603,0)</ns0:f>
        <ns0:v>0</ns0:v>
      </ns0:c>
      <ns0:c r="T603" s="0">
        <ns0:f>IFERROR(MATCH(D603,Settings!$G$7:$G$11,0),0)</ns0:f>
        <ns0:v>0</ns0:v>
      </ns0:c>
      <ns0:c r="U603" s="0">
        <ns0:f>IF(N603&gt;0,T603+IF(Bookings!G603="Pending",10,0),0)</ns0:f>
        <ns0:v>0</ns0:v>
      </ns0:c>
      <ns0:c r="V603" s="0">
        <ns0:f>U603</ns0:f>
        <ns0:v>0</ns0:v>
      </ns0:c>
      <ns0:c r="W603" s="0" t="str">
        <ns0:f>IF(C603=0,"",INDEX($AP$11:$AP$60,C603))</ns0:f>
        <ns0:v/>
      </ns0:c>
    </ns0:row>
    <ns0:row r="604">
      <ns0:c r="A604" s="0">
        <ns0:f>IF(COUNTA(Bookings!A604:G604,Bookings!I604)=0,0,1)</ns0:f>
        <ns0:v>0</ns0:v>
      </ns0:c>
      <ns0:c r="B604" s="0" t="str">
        <ns0:f>IFERROR(TRIM(MID(Bookings!A604,FIND(" · ",Bookings!A604)+3,99)),"")</ns0:f>
        <ns0:v/>
      </ns0:c>
      <ns0:c r="C604" s="0">
        <ns0:f>IF(OR(B604="",LEN(B604)&gt;24,ISNUMBER(FIND(" ",B604)),ISNUMBER(FIND("*",B604)),ISNUMBER(FIND("?",B604)),ISNUMBER(FIND("~",B604))),0,IFERROR(MATCH(B604,Team!$A$11:$A$60,0),0))</ns0:f>
        <ns0:v>0</ns0:v>
      </ns0:c>
      <ns0:c r="D604" s="0" t="str">
        <ns0:f>IFERROR(IF(MID(Bookings!F604,LEN(Bookings!F604)-3,3)=" · ",RIGHT(Bookings!F604,1),""),"")</ns0:f>
        <ns0:v/>
      </ns0:c>
      <ns0:c r="E604" s="0" t="str">
        <ns0:f>IFERROR(INDEX(Settings!$H$7:$H$11,MATCH(D604,Settings!$G$7:$G$11,0)),"")</ns0:f>
        <ns0:v/>
      </ns0:c>
      <ns0:c r="F604" s="0" t="str">
        <ns0:f>IF(A604=0,"",IFERROR(IF(OR(B604="",C604=0),"CHECK employee selection",IF(INDEX(Team!$O$11:$O$60,C604)&lt;&gt;"OK","CHECK employee setup",IF(OR('_Dates'!J604=0,'_Dates'!T604=0),"CHECK date: use DD.MM.YYYY",IF('_Dates'!T604&lt;'_Dates'!J604,"CHECK end before start",IF(AND($B$6=0,OR('_Dates'!J604&lt;Settings!$B$7,'_Dates'!T604&gt;Settings!$B$8)),"CHECK split across leave years",IF(OR(NOT(OR('_Dates'!U604="Full day",'_Dates'!U604="AM",'_Dates'!U604="PM")),NOT(OR('_Dates'!V604="Full day",'_Dates'!V604="AM",'_Dates'!V604="PM"))),"CHECK Full day / AM / PM",IF(AND('_Dates'!J604='_Dates'!T604,'_Dates'!U604&lt;&gt;"Full day",'_Dates'!V604&lt;&gt;"Full day",'_Dates'!U604&lt;&gt;'_Dates'!V604),"CHECK same-day portions disagree",IF(AND($B$6=0,OR(AND('_Dates'!U604&lt;&gt;"Full day",'_Dates'!AA604=0),AND('_Dates'!V604&lt;&gt;"Full day",'_Dates'!AB604=0))),"CHECK half-day on non-working date",IF(COUNTIF(Settings!$G$7:$G$11,D604)&lt;&gt;1,"CHECK leave type",IF(AND(Bookings!G604&lt;&gt;"Approved",Bookings!G604&lt;&gt;"Pending",Bookings!G604&lt;&gt;"Cancelled"),"CHECK status","OK")))))))))),"CHECK input"))</ns0:f>
        <ns0:v/>
      </ns0:c>
      <ns0:c r="G604" s="0">
        <ns0:f>IF(OR(F604&lt;&gt;"OK",$B$6&gt;0),0,0.5*(IF(('_Dates'!X604)&lt;('_Dates'!W604),0,INT((('_Dates'!X604)-('_Dates'!W604)+1)/7)*LEN(SUBSTITUTE(W604,"O",""))+LEN(SUBSTITUTE(MID(W604&amp;W604,WEEKDAY(('_Dates'!W604),2),MOD((('_Dates'!X604)-('_Dates'!W604)+1),7)),"O",""))-COUNTIFS(INDEX(AllClosureRows,C604,0),"&gt;="&amp;('_Dates'!W604),INDEX(AllClosureRows,C604,0),"&lt;="&amp;('_Dates'!X604)))+IF(('_Dates'!Z604)&lt;('_Dates'!Y604),0,INT((('_Dates'!Z604)-('_Dates'!Y604)+1)/7)*LEN(SUBSTITUTE(W604,"O",""))+LEN(SUBSTITUTE(MID(W604&amp;W604,WEEKDAY(('_Dates'!Y604),2),MOD((('_Dates'!Z604)-('_Dates'!Y604)+1),7)),"O",""))-COUNTIFS(INDEX(AllClosureRows,C604,0),"&gt;="&amp;('_Dates'!Y604),INDEX(AllClosureRows,C604,0),"&lt;="&amp;('_Dates'!Z604)))))</ns0:f>
        <ns0:v>0</ns0:v>
      </ns0:c>
      <ns0:c r="H604" s="0">
        <ns0:f>IF(OR(F604&lt;&gt;"OK",$B$6&gt;0),0,0.5*(IF((MIN('_Dates'!X604,Settings!$B$9))&lt;('_Dates'!W604),0,INT(((MIN('_Dates'!X604,Settings!$B$9))-('_Dates'!W604)+1)/7)*LEN(SUBSTITUTE(W604,"O",""))+LEN(SUBSTITUTE(MID(W604&amp;W604,WEEKDAY(('_Dates'!W604),2),MOD(((MIN('_Dates'!X604,Settings!$B$9))-('_Dates'!W604)+1),7)),"O",""))-COUNTIFS(INDEX(AllClosureRows,C604,0),"&gt;="&amp;('_Dates'!W604),INDEX(AllClosureRows,C604,0),"&lt;="&amp;(MIN('_Dates'!X604,Settings!$B$9))))+IF((MIN('_Dates'!Z604,Settings!$B$9))&lt;('_Dates'!Y604),0,INT(((MIN('_Dates'!Z604,Settings!$B$9))-('_Dates'!Y604)+1)/7)*LEN(SUBSTITUTE(W604,"O",""))+LEN(SUBSTITUTE(MID(W604&amp;W604,WEEKDAY(('_Dates'!Y604),2),MOD(((MIN('_Dates'!Z604,Settings!$B$9))-('_Dates'!Y604)+1),7)),"O",""))-COUNTIFS(INDEX(AllClosureRows,C604,0),"&gt;="&amp;('_Dates'!Y604),INDEX(AllClosureRows,C604,0),"&lt;="&amp;(MIN('_Dates'!Z604,Settings!$B$9))))))</ns0:f>
        <ns0:v>0</ns0:v>
      </ns0:c>
      <ns0:c r="I604" s="0">
        <ns0:f>MAX(0,G604-H604)</ns0:f>
        <ns0:v>0</ns0:v>
      </ns0:c>
      <ns0:c r="J604" s="0">
        <ns0:f>IF(OR(A604=0,F604&lt;&gt;"OK",Bookings!G604="Cancelled",$B$6&gt;0),0,IF('_Dates'!AC604=1,MAX(0,COUNTIFS(rngEngine_B,B604,rngAMStart,"&lt;="&amp;'_Dates'!X604,rngAMEnd,"&gt;="&amp;'_Dates'!W604,rngAMActive,1,rngEngine_F,"OK",rngBookings_F,"&lt;&gt;Cancelled")-1),0)+IF('_Dates'!AD604=1,MAX(0,COUNTIFS(rngEngine_B,B604,rngPMStart,"&lt;="&amp;'_Dates'!Z604,rngPMEnd,"&gt;="&amp;'_Dates'!Y604,rngPMActive,1,rngEngine_F,"OK",rngBookings_F,"&lt;&gt;Cancelled")-1),0))</ns0:f>
        <ns0:v>0</ns0:v>
      </ns0:c>
      <ns0:c r="K604" s="0" t="str">
        <ns0:f>IF(A604=0,"",IF(F604&lt;&gt;"OK",F604,IF(J604&gt;0,"CHECK overlapping entry",IF(AND($B$6=0,G604&lt;=0,Bookings!G604&lt;&gt;"Cancelled"),"CHECK no working days",IF(Bookings!G604="Cancelled","Cancelled","OK")))))</ns0:f>
        <ns0:v/>
      </ns0:c>
      <ns0:c r="L604" s="0">
        <ns0:f>IF(LEFT(K604,5)="CHECK",1,0)</ns0:f>
        <ns0:v>0</ns0:v>
      </ns0:c>
      <ns0:c r="M604" s="0">
        <ns0:f>IF(AND(L604=1,OR(C604=0,IFERROR(INDEX($X$11:$X$60,C604),0)=0)),1,0)</ns0:f>
        <ns0:v>0</ns0:v>
      </ns0:c>
      <ns0:c r="N604" s="0">
        <ns0:f>IF(OR(A604=0,L604&gt;0,$B$6&gt;0,Bookings!G604="Cancelled"),0,G604)</ns0:f>
        <ns0:v>0</ns0:v>
      </ns0:c>
      <ns0:c r="O604" s="0">
        <ns0:f>IF(AND(Bookings!G604="Approved",E604="Yes"),N604,0)</ns0:f>
        <ns0:v>0</ns0:v>
      </ns0:c>
      <ns0:c r="P604" s="0">
        <ns0:f>IF(AND(Bookings!G604="Approved",E604="Yes",L604=0,$B$6=0),H604,0)</ns0:f>
        <ns0:v>0</ns0:v>
      </ns0:c>
      <ns0:c r="Q604" s="0">
        <ns0:f>IF(AND(Bookings!G604="Approved",E604="Yes",L604=0,$B$6=0),I604,0)</ns0:f>
        <ns0:v>0</ns0:v>
      </ns0:c>
      <ns0:c r="R604" s="0">
        <ns0:f>IF(AND(Bookings!G604="Pending",E604="Yes"),N604,0)</ns0:f>
        <ns0:v>0</ns0:v>
      </ns0:c>
      <ns0:c r="S604" s="0">
        <ns0:f>IF(AND(Bookings!G604="Approved",E604="No"),N604,0)</ns0:f>
        <ns0:v>0</ns0:v>
      </ns0:c>
      <ns0:c r="T604" s="0">
        <ns0:f>IFERROR(MATCH(D604,Settings!$G$7:$G$11,0),0)</ns0:f>
        <ns0:v>0</ns0:v>
      </ns0:c>
      <ns0:c r="U604" s="0">
        <ns0:f>IF(N604&gt;0,T604+IF(Bookings!G604="Pending",10,0),0)</ns0:f>
        <ns0:v>0</ns0:v>
      </ns0:c>
      <ns0:c r="V604" s="0">
        <ns0:f>U604</ns0:f>
        <ns0:v>0</ns0:v>
      </ns0:c>
      <ns0:c r="W604" s="0" t="str">
        <ns0:f>IF(C604=0,"",INDEX($AP$11:$AP$60,C604))</ns0:f>
        <ns0:v/>
      </ns0:c>
    </ns0:row>
    <ns0:row r="605">
      <ns0:c r="A605" s="0">
        <ns0:f>IF(COUNTA(Bookings!A605:G605,Bookings!I605)=0,0,1)</ns0:f>
        <ns0:v>0</ns0:v>
      </ns0:c>
      <ns0:c r="B605" s="0" t="str">
        <ns0:f>IFERROR(TRIM(MID(Bookings!A605,FIND(" · ",Bookings!A605)+3,99)),"")</ns0:f>
        <ns0:v/>
      </ns0:c>
      <ns0:c r="C605" s="0">
        <ns0:f>IF(OR(B605="",LEN(B605)&gt;24,ISNUMBER(FIND(" ",B605)),ISNUMBER(FIND("*",B605)),ISNUMBER(FIND("?",B605)),ISNUMBER(FIND("~",B605))),0,IFERROR(MATCH(B605,Team!$A$11:$A$60,0),0))</ns0:f>
        <ns0:v>0</ns0:v>
      </ns0:c>
      <ns0:c r="D605" s="0" t="str">
        <ns0:f>IFERROR(IF(MID(Bookings!F605,LEN(Bookings!F605)-3,3)=" · ",RIGHT(Bookings!F605,1),""),"")</ns0:f>
        <ns0:v/>
      </ns0:c>
      <ns0:c r="E605" s="0" t="str">
        <ns0:f>IFERROR(INDEX(Settings!$H$7:$H$11,MATCH(D605,Settings!$G$7:$G$11,0)),"")</ns0:f>
        <ns0:v/>
      </ns0:c>
      <ns0:c r="F605" s="0" t="str">
        <ns0:f>IF(A605=0,"",IFERROR(IF(OR(B605="",C605=0),"CHECK employee selection",IF(INDEX(Team!$O$11:$O$60,C605)&lt;&gt;"OK","CHECK employee setup",IF(OR('_Dates'!J605=0,'_Dates'!T605=0),"CHECK date: use DD.MM.YYYY",IF('_Dates'!T605&lt;'_Dates'!J605,"CHECK end before start",IF(AND($B$6=0,OR('_Dates'!J605&lt;Settings!$B$7,'_Dates'!T605&gt;Settings!$B$8)),"CHECK split across leave years",IF(OR(NOT(OR('_Dates'!U605="Full day",'_Dates'!U605="AM",'_Dates'!U605="PM")),NOT(OR('_Dates'!V605="Full day",'_Dates'!V605="AM",'_Dates'!V605="PM"))),"CHECK Full day / AM / PM",IF(AND('_Dates'!J605='_Dates'!T605,'_Dates'!U605&lt;&gt;"Full day",'_Dates'!V605&lt;&gt;"Full day",'_Dates'!U605&lt;&gt;'_Dates'!V605),"CHECK same-day portions disagree",IF(AND($B$6=0,OR(AND('_Dates'!U605&lt;&gt;"Full day",'_Dates'!AA605=0),AND('_Dates'!V605&lt;&gt;"Full day",'_Dates'!AB605=0))),"CHECK half-day on non-working date",IF(COUNTIF(Settings!$G$7:$G$11,D605)&lt;&gt;1,"CHECK leave type",IF(AND(Bookings!G605&lt;&gt;"Approved",Bookings!G605&lt;&gt;"Pending",Bookings!G605&lt;&gt;"Cancelled"),"CHECK status","OK")))))))))),"CHECK input"))</ns0:f>
        <ns0:v/>
      </ns0:c>
      <ns0:c r="G605" s="0">
        <ns0:f>IF(OR(F605&lt;&gt;"OK",$B$6&gt;0),0,0.5*(IF(('_Dates'!X605)&lt;('_Dates'!W605),0,INT((('_Dates'!X605)-('_Dates'!W605)+1)/7)*LEN(SUBSTITUTE(W605,"O",""))+LEN(SUBSTITUTE(MID(W605&amp;W605,WEEKDAY(('_Dates'!W605),2),MOD((('_Dates'!X605)-('_Dates'!W605)+1),7)),"O",""))-COUNTIFS(INDEX(AllClosureRows,C605,0),"&gt;="&amp;('_Dates'!W605),INDEX(AllClosureRows,C605,0),"&lt;="&amp;('_Dates'!X605)))+IF(('_Dates'!Z605)&lt;('_Dates'!Y605),0,INT((('_Dates'!Z605)-('_Dates'!Y605)+1)/7)*LEN(SUBSTITUTE(W605,"O",""))+LEN(SUBSTITUTE(MID(W605&amp;W605,WEEKDAY(('_Dates'!Y605),2),MOD((('_Dates'!Z605)-('_Dates'!Y605)+1),7)),"O",""))-COUNTIFS(INDEX(AllClosureRows,C605,0),"&gt;="&amp;('_Dates'!Y605),INDEX(AllClosureRows,C605,0),"&lt;="&amp;('_Dates'!Z605)))))</ns0:f>
        <ns0:v>0</ns0:v>
      </ns0:c>
      <ns0:c r="H605" s="0">
        <ns0:f>IF(OR(F605&lt;&gt;"OK",$B$6&gt;0),0,0.5*(IF((MIN('_Dates'!X605,Settings!$B$9))&lt;('_Dates'!W605),0,INT(((MIN('_Dates'!X605,Settings!$B$9))-('_Dates'!W605)+1)/7)*LEN(SUBSTITUTE(W605,"O",""))+LEN(SUBSTITUTE(MID(W605&amp;W605,WEEKDAY(('_Dates'!W605),2),MOD(((MIN('_Dates'!X605,Settings!$B$9))-('_Dates'!W605)+1),7)),"O",""))-COUNTIFS(INDEX(AllClosureRows,C605,0),"&gt;="&amp;('_Dates'!W605),INDEX(AllClosureRows,C605,0),"&lt;="&amp;(MIN('_Dates'!X605,Settings!$B$9))))+IF((MIN('_Dates'!Z605,Settings!$B$9))&lt;('_Dates'!Y605),0,INT(((MIN('_Dates'!Z605,Settings!$B$9))-('_Dates'!Y605)+1)/7)*LEN(SUBSTITUTE(W605,"O",""))+LEN(SUBSTITUTE(MID(W605&amp;W605,WEEKDAY(('_Dates'!Y605),2),MOD(((MIN('_Dates'!Z605,Settings!$B$9))-('_Dates'!Y605)+1),7)),"O",""))-COUNTIFS(INDEX(AllClosureRows,C605,0),"&gt;="&amp;('_Dates'!Y605),INDEX(AllClosureRows,C605,0),"&lt;="&amp;(MIN('_Dates'!Z605,Settings!$B$9))))))</ns0:f>
        <ns0:v>0</ns0:v>
      </ns0:c>
      <ns0:c r="I605" s="0">
        <ns0:f>MAX(0,G605-H605)</ns0:f>
        <ns0:v>0</ns0:v>
      </ns0:c>
      <ns0:c r="J605" s="0">
        <ns0:f>IF(OR(A605=0,F605&lt;&gt;"OK",Bookings!G605="Cancelled",$B$6&gt;0),0,IF('_Dates'!AC605=1,MAX(0,COUNTIFS(rngEngine_B,B605,rngAMStart,"&lt;="&amp;'_Dates'!X605,rngAMEnd,"&gt;="&amp;'_Dates'!W605,rngAMActive,1,rngEngine_F,"OK",rngBookings_F,"&lt;&gt;Cancelled")-1),0)+IF('_Dates'!AD605=1,MAX(0,COUNTIFS(rngEngine_B,B605,rngPMStart,"&lt;="&amp;'_Dates'!Z605,rngPMEnd,"&gt;="&amp;'_Dates'!Y605,rngPMActive,1,rngEngine_F,"OK",rngBookings_F,"&lt;&gt;Cancelled")-1),0))</ns0:f>
        <ns0:v>0</ns0:v>
      </ns0:c>
      <ns0:c r="K605" s="0" t="str">
        <ns0:f>IF(A605=0,"",IF(F605&lt;&gt;"OK",F605,IF(J605&gt;0,"CHECK overlapping entry",IF(AND($B$6=0,G605&lt;=0,Bookings!G605&lt;&gt;"Cancelled"),"CHECK no working days",IF(Bookings!G605="Cancelled","Cancelled","OK")))))</ns0:f>
        <ns0:v/>
      </ns0:c>
      <ns0:c r="L605" s="0">
        <ns0:f>IF(LEFT(K605,5)="CHECK",1,0)</ns0:f>
        <ns0:v>0</ns0:v>
      </ns0:c>
      <ns0:c r="M605" s="0">
        <ns0:f>IF(AND(L605=1,OR(C605=0,IFERROR(INDEX($X$11:$X$60,C605),0)=0)),1,0)</ns0:f>
        <ns0:v>0</ns0:v>
      </ns0:c>
      <ns0:c r="N605" s="0">
        <ns0:f>IF(OR(A605=0,L605&gt;0,$B$6&gt;0,Bookings!G605="Cancelled"),0,G605)</ns0:f>
        <ns0:v>0</ns0:v>
      </ns0:c>
      <ns0:c r="O605" s="0">
        <ns0:f>IF(AND(Bookings!G605="Approved",E605="Yes"),N605,0)</ns0:f>
        <ns0:v>0</ns0:v>
      </ns0:c>
      <ns0:c r="P605" s="0">
        <ns0:f>IF(AND(Bookings!G605="Approved",E605="Yes",L605=0,$B$6=0),H605,0)</ns0:f>
        <ns0:v>0</ns0:v>
      </ns0:c>
      <ns0:c r="Q605" s="0">
        <ns0:f>IF(AND(Bookings!G605="Approved",E605="Yes",L605=0,$B$6=0),I605,0)</ns0:f>
        <ns0:v>0</ns0:v>
      </ns0:c>
      <ns0:c r="R605" s="0">
        <ns0:f>IF(AND(Bookings!G605="Pending",E605="Yes"),N605,0)</ns0:f>
        <ns0:v>0</ns0:v>
      </ns0:c>
      <ns0:c r="S605" s="0">
        <ns0:f>IF(AND(Bookings!G605="Approved",E605="No"),N605,0)</ns0:f>
        <ns0:v>0</ns0:v>
      </ns0:c>
      <ns0:c r="T605" s="0">
        <ns0:f>IFERROR(MATCH(D605,Settings!$G$7:$G$11,0),0)</ns0:f>
        <ns0:v>0</ns0:v>
      </ns0:c>
      <ns0:c r="U605" s="0">
        <ns0:f>IF(N605&gt;0,T605+IF(Bookings!G605="Pending",10,0),0)</ns0:f>
        <ns0:v>0</ns0:v>
      </ns0:c>
      <ns0:c r="V605" s="0">
        <ns0:f>U605</ns0:f>
        <ns0:v>0</ns0:v>
      </ns0:c>
      <ns0:c r="W605" s="0" t="str">
        <ns0:f>IF(C605=0,"",INDEX($AP$11:$AP$60,C605))</ns0:f>
        <ns0:v/>
      </ns0:c>
    </ns0:row>
    <ns0:row r="606">
      <ns0:c r="A606" s="0">
        <ns0:f>IF(COUNTA(Bookings!A606:G606,Bookings!I606)=0,0,1)</ns0:f>
        <ns0:v>0</ns0:v>
      </ns0:c>
      <ns0:c r="B606" s="0" t="str">
        <ns0:f>IFERROR(TRIM(MID(Bookings!A606,FIND(" · ",Bookings!A606)+3,99)),"")</ns0:f>
        <ns0:v/>
      </ns0:c>
      <ns0:c r="C606" s="0">
        <ns0:f>IF(OR(B606="",LEN(B606)&gt;24,ISNUMBER(FIND(" ",B606)),ISNUMBER(FIND("*",B606)),ISNUMBER(FIND("?",B606)),ISNUMBER(FIND("~",B606))),0,IFERROR(MATCH(B606,Team!$A$11:$A$60,0),0))</ns0:f>
        <ns0:v>0</ns0:v>
      </ns0:c>
      <ns0:c r="D606" s="0" t="str">
        <ns0:f>IFERROR(IF(MID(Bookings!F606,LEN(Bookings!F606)-3,3)=" · ",RIGHT(Bookings!F606,1),""),"")</ns0:f>
        <ns0:v/>
      </ns0:c>
      <ns0:c r="E606" s="0" t="str">
        <ns0:f>IFERROR(INDEX(Settings!$H$7:$H$11,MATCH(D606,Settings!$G$7:$G$11,0)),"")</ns0:f>
        <ns0:v/>
      </ns0:c>
      <ns0:c r="F606" s="0" t="str">
        <ns0:f>IF(A606=0,"",IFERROR(IF(OR(B606="",C606=0),"CHECK employee selection",IF(INDEX(Team!$O$11:$O$60,C606)&lt;&gt;"OK","CHECK employee setup",IF(OR('_Dates'!J606=0,'_Dates'!T606=0),"CHECK date: use DD.MM.YYYY",IF('_Dates'!T606&lt;'_Dates'!J606,"CHECK end before start",IF(AND($B$6=0,OR('_Dates'!J606&lt;Settings!$B$7,'_Dates'!T606&gt;Settings!$B$8)),"CHECK split across leave years",IF(OR(NOT(OR('_Dates'!U606="Full day",'_Dates'!U606="AM",'_Dates'!U606="PM")),NOT(OR('_Dates'!V606="Full day",'_Dates'!V606="AM",'_Dates'!V606="PM"))),"CHECK Full day / AM / PM",IF(AND('_Dates'!J606='_Dates'!T606,'_Dates'!U606&lt;&gt;"Full day",'_Dates'!V606&lt;&gt;"Full day",'_Dates'!U606&lt;&gt;'_Dates'!V606),"CHECK same-day portions disagree",IF(AND($B$6=0,OR(AND('_Dates'!U606&lt;&gt;"Full day",'_Dates'!AA606=0),AND('_Dates'!V606&lt;&gt;"Full day",'_Dates'!AB606=0))),"CHECK half-day on non-working date",IF(COUNTIF(Settings!$G$7:$G$11,D606)&lt;&gt;1,"CHECK leave type",IF(AND(Bookings!G606&lt;&gt;"Approved",Bookings!G606&lt;&gt;"Pending",Bookings!G606&lt;&gt;"Cancelled"),"CHECK status","OK")))))))))),"CHECK input"))</ns0:f>
        <ns0:v/>
      </ns0:c>
      <ns0:c r="G606" s="0">
        <ns0:f>IF(OR(F606&lt;&gt;"OK",$B$6&gt;0),0,0.5*(IF(('_Dates'!X606)&lt;('_Dates'!W606),0,INT((('_Dates'!X606)-('_Dates'!W606)+1)/7)*LEN(SUBSTITUTE(W606,"O",""))+LEN(SUBSTITUTE(MID(W606&amp;W606,WEEKDAY(('_Dates'!W606),2),MOD((('_Dates'!X606)-('_Dates'!W606)+1),7)),"O",""))-COUNTIFS(INDEX(AllClosureRows,C606,0),"&gt;="&amp;('_Dates'!W606),INDEX(AllClosureRows,C606,0),"&lt;="&amp;('_Dates'!X606)))+IF(('_Dates'!Z606)&lt;('_Dates'!Y606),0,INT((('_Dates'!Z606)-('_Dates'!Y606)+1)/7)*LEN(SUBSTITUTE(W606,"O",""))+LEN(SUBSTITUTE(MID(W606&amp;W606,WEEKDAY(('_Dates'!Y606),2),MOD((('_Dates'!Z606)-('_Dates'!Y606)+1),7)),"O",""))-COUNTIFS(INDEX(AllClosureRows,C606,0),"&gt;="&amp;('_Dates'!Y606),INDEX(AllClosureRows,C606,0),"&lt;="&amp;('_Dates'!Z606)))))</ns0:f>
        <ns0:v>0</ns0:v>
      </ns0:c>
      <ns0:c r="H606" s="0">
        <ns0:f>IF(OR(F606&lt;&gt;"OK",$B$6&gt;0),0,0.5*(IF((MIN('_Dates'!X606,Settings!$B$9))&lt;('_Dates'!W606),0,INT(((MIN('_Dates'!X606,Settings!$B$9))-('_Dates'!W606)+1)/7)*LEN(SUBSTITUTE(W606,"O",""))+LEN(SUBSTITUTE(MID(W606&amp;W606,WEEKDAY(('_Dates'!W606),2),MOD(((MIN('_Dates'!X606,Settings!$B$9))-('_Dates'!W606)+1),7)),"O",""))-COUNTIFS(INDEX(AllClosureRows,C606,0),"&gt;="&amp;('_Dates'!W606),INDEX(AllClosureRows,C606,0),"&lt;="&amp;(MIN('_Dates'!X606,Settings!$B$9))))+IF((MIN('_Dates'!Z606,Settings!$B$9))&lt;('_Dates'!Y606),0,INT(((MIN('_Dates'!Z606,Settings!$B$9))-('_Dates'!Y606)+1)/7)*LEN(SUBSTITUTE(W606,"O",""))+LEN(SUBSTITUTE(MID(W606&amp;W606,WEEKDAY(('_Dates'!Y606),2),MOD(((MIN('_Dates'!Z606,Settings!$B$9))-('_Dates'!Y606)+1),7)),"O",""))-COUNTIFS(INDEX(AllClosureRows,C606,0),"&gt;="&amp;('_Dates'!Y606),INDEX(AllClosureRows,C606,0),"&lt;="&amp;(MIN('_Dates'!Z606,Settings!$B$9))))))</ns0:f>
        <ns0:v>0</ns0:v>
      </ns0:c>
      <ns0:c r="I606" s="0">
        <ns0:f>MAX(0,G606-H606)</ns0:f>
        <ns0:v>0</ns0:v>
      </ns0:c>
      <ns0:c r="J606" s="0">
        <ns0:f>IF(OR(A606=0,F606&lt;&gt;"OK",Bookings!G606="Cancelled",$B$6&gt;0),0,IF('_Dates'!AC606=1,MAX(0,COUNTIFS(rngEngine_B,B606,rngAMStart,"&lt;="&amp;'_Dates'!X606,rngAMEnd,"&gt;="&amp;'_Dates'!W606,rngAMActive,1,rngEngine_F,"OK",rngBookings_F,"&lt;&gt;Cancelled")-1),0)+IF('_Dates'!AD606=1,MAX(0,COUNTIFS(rngEngine_B,B606,rngPMStart,"&lt;="&amp;'_Dates'!Z606,rngPMEnd,"&gt;="&amp;'_Dates'!Y606,rngPMActive,1,rngEngine_F,"OK",rngBookings_F,"&lt;&gt;Cancelled")-1),0))</ns0:f>
        <ns0:v>0</ns0:v>
      </ns0:c>
      <ns0:c r="K606" s="0" t="str">
        <ns0:f>IF(A606=0,"",IF(F606&lt;&gt;"OK",F606,IF(J606&gt;0,"CHECK overlapping entry",IF(AND($B$6=0,G606&lt;=0,Bookings!G606&lt;&gt;"Cancelled"),"CHECK no working days",IF(Bookings!G606="Cancelled","Cancelled","OK")))))</ns0:f>
        <ns0:v/>
      </ns0:c>
      <ns0:c r="L606" s="0">
        <ns0:f>IF(LEFT(K606,5)="CHECK",1,0)</ns0:f>
        <ns0:v>0</ns0:v>
      </ns0:c>
      <ns0:c r="M606" s="0">
        <ns0:f>IF(AND(L606=1,OR(C606=0,IFERROR(INDEX($X$11:$X$60,C606),0)=0)),1,0)</ns0:f>
        <ns0:v>0</ns0:v>
      </ns0:c>
      <ns0:c r="N606" s="0">
        <ns0:f>IF(OR(A606=0,L606&gt;0,$B$6&gt;0,Bookings!G606="Cancelled"),0,G606)</ns0:f>
        <ns0:v>0</ns0:v>
      </ns0:c>
      <ns0:c r="O606" s="0">
        <ns0:f>IF(AND(Bookings!G606="Approved",E606="Yes"),N606,0)</ns0:f>
        <ns0:v>0</ns0:v>
      </ns0:c>
      <ns0:c r="P606" s="0">
        <ns0:f>IF(AND(Bookings!G606="Approved",E606="Yes",L606=0,$B$6=0),H606,0)</ns0:f>
        <ns0:v>0</ns0:v>
      </ns0:c>
      <ns0:c r="Q606" s="0">
        <ns0:f>IF(AND(Bookings!G606="Approved",E606="Yes",L606=0,$B$6=0),I606,0)</ns0:f>
        <ns0:v>0</ns0:v>
      </ns0:c>
      <ns0:c r="R606" s="0">
        <ns0:f>IF(AND(Bookings!G606="Pending",E606="Yes"),N606,0)</ns0:f>
        <ns0:v>0</ns0:v>
      </ns0:c>
      <ns0:c r="S606" s="0">
        <ns0:f>IF(AND(Bookings!G606="Approved",E606="No"),N606,0)</ns0:f>
        <ns0:v>0</ns0:v>
      </ns0:c>
      <ns0:c r="T606" s="0">
        <ns0:f>IFERROR(MATCH(D606,Settings!$G$7:$G$11,0),0)</ns0:f>
        <ns0:v>0</ns0:v>
      </ns0:c>
      <ns0:c r="U606" s="0">
        <ns0:f>IF(N606&gt;0,T606+IF(Bookings!G606="Pending",10,0),0)</ns0:f>
        <ns0:v>0</ns0:v>
      </ns0:c>
      <ns0:c r="V606" s="0">
        <ns0:f>U606</ns0:f>
        <ns0:v>0</ns0:v>
      </ns0:c>
      <ns0:c r="W606" s="0" t="str">
        <ns0:f>IF(C606=0,"",INDEX($AP$11:$AP$60,C606))</ns0:f>
        <ns0:v/>
      </ns0:c>
    </ns0:row>
    <ns0:row r="607">
      <ns0:c r="A607" s="0">
        <ns0:f>IF(COUNTA(Bookings!A607:G607,Bookings!I607)=0,0,1)</ns0:f>
        <ns0:v>0</ns0:v>
      </ns0:c>
      <ns0:c r="B607" s="0" t="str">
        <ns0:f>IFERROR(TRIM(MID(Bookings!A607,FIND(" · ",Bookings!A607)+3,99)),"")</ns0:f>
        <ns0:v/>
      </ns0:c>
      <ns0:c r="C607" s="0">
        <ns0:f>IF(OR(B607="",LEN(B607)&gt;24,ISNUMBER(FIND(" ",B607)),ISNUMBER(FIND("*",B607)),ISNUMBER(FIND("?",B607)),ISNUMBER(FIND("~",B607))),0,IFERROR(MATCH(B607,Team!$A$11:$A$60,0),0))</ns0:f>
        <ns0:v>0</ns0:v>
      </ns0:c>
      <ns0:c r="D607" s="0" t="str">
        <ns0:f>IFERROR(IF(MID(Bookings!F607,LEN(Bookings!F607)-3,3)=" · ",RIGHT(Bookings!F607,1),""),"")</ns0:f>
        <ns0:v/>
      </ns0:c>
      <ns0:c r="E607" s="0" t="str">
        <ns0:f>IFERROR(INDEX(Settings!$H$7:$H$11,MATCH(D607,Settings!$G$7:$G$11,0)),"")</ns0:f>
        <ns0:v/>
      </ns0:c>
      <ns0:c r="F607" s="0" t="str">
        <ns0:f>IF(A607=0,"",IFERROR(IF(OR(B607="",C607=0),"CHECK employee selection",IF(INDEX(Team!$O$11:$O$60,C607)&lt;&gt;"OK","CHECK employee setup",IF(OR('_Dates'!J607=0,'_Dates'!T607=0),"CHECK date: use DD.MM.YYYY",IF('_Dates'!T607&lt;'_Dates'!J607,"CHECK end before start",IF(AND($B$6=0,OR('_Dates'!J607&lt;Settings!$B$7,'_Dates'!T607&gt;Settings!$B$8)),"CHECK split across leave years",IF(OR(NOT(OR('_Dates'!U607="Full day",'_Dates'!U607="AM",'_Dates'!U607="PM")),NOT(OR('_Dates'!V607="Full day",'_Dates'!V607="AM",'_Dates'!V607="PM"))),"CHECK Full day / AM / PM",IF(AND('_Dates'!J607='_Dates'!T607,'_Dates'!U607&lt;&gt;"Full day",'_Dates'!V607&lt;&gt;"Full day",'_Dates'!U607&lt;&gt;'_Dates'!V607),"CHECK same-day portions disagree",IF(AND($B$6=0,OR(AND('_Dates'!U607&lt;&gt;"Full day",'_Dates'!AA607=0),AND('_Dates'!V607&lt;&gt;"Full day",'_Dates'!AB607=0))),"CHECK half-day on non-working date",IF(COUNTIF(Settings!$G$7:$G$11,D607)&lt;&gt;1,"CHECK leave type",IF(AND(Bookings!G607&lt;&gt;"Approved",Bookings!G607&lt;&gt;"Pending",Bookings!G607&lt;&gt;"Cancelled"),"CHECK status","OK")))))))))),"CHECK input"))</ns0:f>
        <ns0:v/>
      </ns0:c>
      <ns0:c r="G607" s="0">
        <ns0:f>IF(OR(F607&lt;&gt;"OK",$B$6&gt;0),0,0.5*(IF(('_Dates'!X607)&lt;('_Dates'!W607),0,INT((('_Dates'!X607)-('_Dates'!W607)+1)/7)*LEN(SUBSTITUTE(W607,"O",""))+LEN(SUBSTITUTE(MID(W607&amp;W607,WEEKDAY(('_Dates'!W607),2),MOD((('_Dates'!X607)-('_Dates'!W607)+1),7)),"O",""))-COUNTIFS(INDEX(AllClosureRows,C607,0),"&gt;="&amp;('_Dates'!W607),INDEX(AllClosureRows,C607,0),"&lt;="&amp;('_Dates'!X607)))+IF(('_Dates'!Z607)&lt;('_Dates'!Y607),0,INT((('_Dates'!Z607)-('_Dates'!Y607)+1)/7)*LEN(SUBSTITUTE(W607,"O",""))+LEN(SUBSTITUTE(MID(W607&amp;W607,WEEKDAY(('_Dates'!Y607),2),MOD((('_Dates'!Z607)-('_Dates'!Y607)+1),7)),"O",""))-COUNTIFS(INDEX(AllClosureRows,C607,0),"&gt;="&amp;('_Dates'!Y607),INDEX(AllClosureRows,C607,0),"&lt;="&amp;('_Dates'!Z607)))))</ns0:f>
        <ns0:v>0</ns0:v>
      </ns0:c>
      <ns0:c r="H607" s="0">
        <ns0:f>IF(OR(F607&lt;&gt;"OK",$B$6&gt;0),0,0.5*(IF((MIN('_Dates'!X607,Settings!$B$9))&lt;('_Dates'!W607),0,INT(((MIN('_Dates'!X607,Settings!$B$9))-('_Dates'!W607)+1)/7)*LEN(SUBSTITUTE(W607,"O",""))+LEN(SUBSTITUTE(MID(W607&amp;W607,WEEKDAY(('_Dates'!W607),2),MOD(((MIN('_Dates'!X607,Settings!$B$9))-('_Dates'!W607)+1),7)),"O",""))-COUNTIFS(INDEX(AllClosureRows,C607,0),"&gt;="&amp;('_Dates'!W607),INDEX(AllClosureRows,C607,0),"&lt;="&amp;(MIN('_Dates'!X607,Settings!$B$9))))+IF((MIN('_Dates'!Z607,Settings!$B$9))&lt;('_Dates'!Y607),0,INT(((MIN('_Dates'!Z607,Settings!$B$9))-('_Dates'!Y607)+1)/7)*LEN(SUBSTITUTE(W607,"O",""))+LEN(SUBSTITUTE(MID(W607&amp;W607,WEEKDAY(('_Dates'!Y607),2),MOD(((MIN('_Dates'!Z607,Settings!$B$9))-('_Dates'!Y607)+1),7)),"O",""))-COUNTIFS(INDEX(AllClosureRows,C607,0),"&gt;="&amp;('_Dates'!Y607),INDEX(AllClosureRows,C607,0),"&lt;="&amp;(MIN('_Dates'!Z607,Settings!$B$9))))))</ns0:f>
        <ns0:v>0</ns0:v>
      </ns0:c>
      <ns0:c r="I607" s="0">
        <ns0:f>MAX(0,G607-H607)</ns0:f>
        <ns0:v>0</ns0:v>
      </ns0:c>
      <ns0:c r="J607" s="0">
        <ns0:f>IF(OR(A607=0,F607&lt;&gt;"OK",Bookings!G607="Cancelled",$B$6&gt;0),0,IF('_Dates'!AC607=1,MAX(0,COUNTIFS(rngEngine_B,B607,rngAMStart,"&lt;="&amp;'_Dates'!X607,rngAMEnd,"&gt;="&amp;'_Dates'!W607,rngAMActive,1,rngEngine_F,"OK",rngBookings_F,"&lt;&gt;Cancelled")-1),0)+IF('_Dates'!AD607=1,MAX(0,COUNTIFS(rngEngine_B,B607,rngPMStart,"&lt;="&amp;'_Dates'!Z607,rngPMEnd,"&gt;="&amp;'_Dates'!Y607,rngPMActive,1,rngEngine_F,"OK",rngBookings_F,"&lt;&gt;Cancelled")-1),0))</ns0:f>
        <ns0:v>0</ns0:v>
      </ns0:c>
      <ns0:c r="K607" s="0" t="str">
        <ns0:f>IF(A607=0,"",IF(F607&lt;&gt;"OK",F607,IF(J607&gt;0,"CHECK overlapping entry",IF(AND($B$6=0,G607&lt;=0,Bookings!G607&lt;&gt;"Cancelled"),"CHECK no working days",IF(Bookings!G607="Cancelled","Cancelled","OK")))))</ns0:f>
        <ns0:v/>
      </ns0:c>
      <ns0:c r="L607" s="0">
        <ns0:f>IF(LEFT(K607,5)="CHECK",1,0)</ns0:f>
        <ns0:v>0</ns0:v>
      </ns0:c>
      <ns0:c r="M607" s="0">
        <ns0:f>IF(AND(L607=1,OR(C607=0,IFERROR(INDEX($X$11:$X$60,C607),0)=0)),1,0)</ns0:f>
        <ns0:v>0</ns0:v>
      </ns0:c>
      <ns0:c r="N607" s="0">
        <ns0:f>IF(OR(A607=0,L607&gt;0,$B$6&gt;0,Bookings!G607="Cancelled"),0,G607)</ns0:f>
        <ns0:v>0</ns0:v>
      </ns0:c>
      <ns0:c r="O607" s="0">
        <ns0:f>IF(AND(Bookings!G607="Approved",E607="Yes"),N607,0)</ns0:f>
        <ns0:v>0</ns0:v>
      </ns0:c>
      <ns0:c r="P607" s="0">
        <ns0:f>IF(AND(Bookings!G607="Approved",E607="Yes",L607=0,$B$6=0),H607,0)</ns0:f>
        <ns0:v>0</ns0:v>
      </ns0:c>
      <ns0:c r="Q607" s="0">
        <ns0:f>IF(AND(Bookings!G607="Approved",E607="Yes",L607=0,$B$6=0),I607,0)</ns0:f>
        <ns0:v>0</ns0:v>
      </ns0:c>
      <ns0:c r="R607" s="0">
        <ns0:f>IF(AND(Bookings!G607="Pending",E607="Yes"),N607,0)</ns0:f>
        <ns0:v>0</ns0:v>
      </ns0:c>
      <ns0:c r="S607" s="0">
        <ns0:f>IF(AND(Bookings!G607="Approved",E607="No"),N607,0)</ns0:f>
        <ns0:v>0</ns0:v>
      </ns0:c>
      <ns0:c r="T607" s="0">
        <ns0:f>IFERROR(MATCH(D607,Settings!$G$7:$G$11,0),0)</ns0:f>
        <ns0:v>0</ns0:v>
      </ns0:c>
      <ns0:c r="U607" s="0">
        <ns0:f>IF(N607&gt;0,T607+IF(Bookings!G607="Pending",10,0),0)</ns0:f>
        <ns0:v>0</ns0:v>
      </ns0:c>
      <ns0:c r="V607" s="0">
        <ns0:f>U607</ns0:f>
        <ns0:v>0</ns0:v>
      </ns0:c>
      <ns0:c r="W607" s="0" t="str">
        <ns0:f>IF(C607=0,"",INDEX($AP$11:$AP$60,C607))</ns0:f>
        <ns0:v/>
      </ns0:c>
    </ns0:row>
    <ns0:row r="608">
      <ns0:c r="A608" s="0">
        <ns0:f>IF(COUNTA(Bookings!A608:G608,Bookings!I608)=0,0,1)</ns0:f>
        <ns0:v>0</ns0:v>
      </ns0:c>
      <ns0:c r="B608" s="0" t="str">
        <ns0:f>IFERROR(TRIM(MID(Bookings!A608,FIND(" · ",Bookings!A608)+3,99)),"")</ns0:f>
        <ns0:v/>
      </ns0:c>
      <ns0:c r="C608" s="0">
        <ns0:f>IF(OR(B608="",LEN(B608)&gt;24,ISNUMBER(FIND(" ",B608)),ISNUMBER(FIND("*",B608)),ISNUMBER(FIND("?",B608)),ISNUMBER(FIND("~",B608))),0,IFERROR(MATCH(B608,Team!$A$11:$A$60,0),0))</ns0:f>
        <ns0:v>0</ns0:v>
      </ns0:c>
      <ns0:c r="D608" s="0" t="str">
        <ns0:f>IFERROR(IF(MID(Bookings!F608,LEN(Bookings!F608)-3,3)=" · ",RIGHT(Bookings!F608,1),""),"")</ns0:f>
        <ns0:v/>
      </ns0:c>
      <ns0:c r="E608" s="0" t="str">
        <ns0:f>IFERROR(INDEX(Settings!$H$7:$H$11,MATCH(D608,Settings!$G$7:$G$11,0)),"")</ns0:f>
        <ns0:v/>
      </ns0:c>
      <ns0:c r="F608" s="0" t="str">
        <ns0:f>IF(A608=0,"",IFERROR(IF(OR(B608="",C608=0),"CHECK employee selection",IF(INDEX(Team!$O$11:$O$60,C608)&lt;&gt;"OK","CHECK employee setup",IF(OR('_Dates'!J608=0,'_Dates'!T608=0),"CHECK date: use DD.MM.YYYY",IF('_Dates'!T608&lt;'_Dates'!J608,"CHECK end before start",IF(AND($B$6=0,OR('_Dates'!J608&lt;Settings!$B$7,'_Dates'!T608&gt;Settings!$B$8)),"CHECK split across leave years",IF(OR(NOT(OR('_Dates'!U608="Full day",'_Dates'!U608="AM",'_Dates'!U608="PM")),NOT(OR('_Dates'!V608="Full day",'_Dates'!V608="AM",'_Dates'!V608="PM"))),"CHECK Full day / AM / PM",IF(AND('_Dates'!J608='_Dates'!T608,'_Dates'!U608&lt;&gt;"Full day",'_Dates'!V608&lt;&gt;"Full day",'_Dates'!U608&lt;&gt;'_Dates'!V608),"CHECK same-day portions disagree",IF(AND($B$6=0,OR(AND('_Dates'!U608&lt;&gt;"Full day",'_Dates'!AA608=0),AND('_Dates'!V608&lt;&gt;"Full day",'_Dates'!AB608=0))),"CHECK half-day on non-working date",IF(COUNTIF(Settings!$G$7:$G$11,D608)&lt;&gt;1,"CHECK leave type",IF(AND(Bookings!G608&lt;&gt;"Approved",Bookings!G608&lt;&gt;"Pending",Bookings!G608&lt;&gt;"Cancelled"),"CHECK status","OK")))))))))),"CHECK input"))</ns0:f>
        <ns0:v/>
      </ns0:c>
      <ns0:c r="G608" s="0">
        <ns0:f>IF(OR(F608&lt;&gt;"OK",$B$6&gt;0),0,0.5*(IF(('_Dates'!X608)&lt;('_Dates'!W608),0,INT((('_Dates'!X608)-('_Dates'!W608)+1)/7)*LEN(SUBSTITUTE(W608,"O",""))+LEN(SUBSTITUTE(MID(W608&amp;W608,WEEKDAY(('_Dates'!W608),2),MOD((('_Dates'!X608)-('_Dates'!W608)+1),7)),"O",""))-COUNTIFS(INDEX(AllClosureRows,C608,0),"&gt;="&amp;('_Dates'!W608),INDEX(AllClosureRows,C608,0),"&lt;="&amp;('_Dates'!X608)))+IF(('_Dates'!Z608)&lt;('_Dates'!Y608),0,INT((('_Dates'!Z608)-('_Dates'!Y608)+1)/7)*LEN(SUBSTITUTE(W608,"O",""))+LEN(SUBSTITUTE(MID(W608&amp;W608,WEEKDAY(('_Dates'!Y608),2),MOD((('_Dates'!Z608)-('_Dates'!Y608)+1),7)),"O",""))-COUNTIFS(INDEX(AllClosureRows,C608,0),"&gt;="&amp;('_Dates'!Y608),INDEX(AllClosureRows,C608,0),"&lt;="&amp;('_Dates'!Z608)))))</ns0:f>
        <ns0:v>0</ns0:v>
      </ns0:c>
      <ns0:c r="H608" s="0">
        <ns0:f>IF(OR(F608&lt;&gt;"OK",$B$6&gt;0),0,0.5*(IF((MIN('_Dates'!X608,Settings!$B$9))&lt;('_Dates'!W608),0,INT(((MIN('_Dates'!X608,Settings!$B$9))-('_Dates'!W608)+1)/7)*LEN(SUBSTITUTE(W608,"O",""))+LEN(SUBSTITUTE(MID(W608&amp;W608,WEEKDAY(('_Dates'!W608),2),MOD(((MIN('_Dates'!X608,Settings!$B$9))-('_Dates'!W608)+1),7)),"O",""))-COUNTIFS(INDEX(AllClosureRows,C608,0),"&gt;="&amp;('_Dates'!W608),INDEX(AllClosureRows,C608,0),"&lt;="&amp;(MIN('_Dates'!X608,Settings!$B$9))))+IF((MIN('_Dates'!Z608,Settings!$B$9))&lt;('_Dates'!Y608),0,INT(((MIN('_Dates'!Z608,Settings!$B$9))-('_Dates'!Y608)+1)/7)*LEN(SUBSTITUTE(W608,"O",""))+LEN(SUBSTITUTE(MID(W608&amp;W608,WEEKDAY(('_Dates'!Y608),2),MOD(((MIN('_Dates'!Z608,Settings!$B$9))-('_Dates'!Y608)+1),7)),"O",""))-COUNTIFS(INDEX(AllClosureRows,C608,0),"&gt;="&amp;('_Dates'!Y608),INDEX(AllClosureRows,C608,0),"&lt;="&amp;(MIN('_Dates'!Z608,Settings!$B$9))))))</ns0:f>
        <ns0:v>0</ns0:v>
      </ns0:c>
      <ns0:c r="I608" s="0">
        <ns0:f>MAX(0,G608-H608)</ns0:f>
        <ns0:v>0</ns0:v>
      </ns0:c>
      <ns0:c r="J608" s="0">
        <ns0:f>IF(OR(A608=0,F608&lt;&gt;"OK",Bookings!G608="Cancelled",$B$6&gt;0),0,IF('_Dates'!AC608=1,MAX(0,COUNTIFS(rngEngine_B,B608,rngAMStart,"&lt;="&amp;'_Dates'!X608,rngAMEnd,"&gt;="&amp;'_Dates'!W608,rngAMActive,1,rngEngine_F,"OK",rngBookings_F,"&lt;&gt;Cancelled")-1),0)+IF('_Dates'!AD608=1,MAX(0,COUNTIFS(rngEngine_B,B608,rngPMStart,"&lt;="&amp;'_Dates'!Z608,rngPMEnd,"&gt;="&amp;'_Dates'!Y608,rngPMActive,1,rngEngine_F,"OK",rngBookings_F,"&lt;&gt;Cancelled")-1),0))</ns0:f>
        <ns0:v>0</ns0:v>
      </ns0:c>
      <ns0:c r="K608" s="0" t="str">
        <ns0:f>IF(A608=0,"",IF(F608&lt;&gt;"OK",F608,IF(J608&gt;0,"CHECK overlapping entry",IF(AND($B$6=0,G608&lt;=0,Bookings!G608&lt;&gt;"Cancelled"),"CHECK no working days",IF(Bookings!G608="Cancelled","Cancelled","OK")))))</ns0:f>
        <ns0:v/>
      </ns0:c>
      <ns0:c r="L608" s="0">
        <ns0:f>IF(LEFT(K608,5)="CHECK",1,0)</ns0:f>
        <ns0:v>0</ns0:v>
      </ns0:c>
      <ns0:c r="M608" s="0">
        <ns0:f>IF(AND(L608=1,OR(C608=0,IFERROR(INDEX($X$11:$X$60,C608),0)=0)),1,0)</ns0:f>
        <ns0:v>0</ns0:v>
      </ns0:c>
      <ns0:c r="N608" s="0">
        <ns0:f>IF(OR(A608=0,L608&gt;0,$B$6&gt;0,Bookings!G608="Cancelled"),0,G608)</ns0:f>
        <ns0:v>0</ns0:v>
      </ns0:c>
      <ns0:c r="O608" s="0">
        <ns0:f>IF(AND(Bookings!G608="Approved",E608="Yes"),N608,0)</ns0:f>
        <ns0:v>0</ns0:v>
      </ns0:c>
      <ns0:c r="P608" s="0">
        <ns0:f>IF(AND(Bookings!G608="Approved",E608="Yes",L608=0,$B$6=0),H608,0)</ns0:f>
        <ns0:v>0</ns0:v>
      </ns0:c>
      <ns0:c r="Q608" s="0">
        <ns0:f>IF(AND(Bookings!G608="Approved",E608="Yes",L608=0,$B$6=0),I608,0)</ns0:f>
        <ns0:v>0</ns0:v>
      </ns0:c>
      <ns0:c r="R608" s="0">
        <ns0:f>IF(AND(Bookings!G608="Pending",E608="Yes"),N608,0)</ns0:f>
        <ns0:v>0</ns0:v>
      </ns0:c>
      <ns0:c r="S608" s="0">
        <ns0:f>IF(AND(Bookings!G608="Approved",E608="No"),N608,0)</ns0:f>
        <ns0:v>0</ns0:v>
      </ns0:c>
      <ns0:c r="T608" s="0">
        <ns0:f>IFERROR(MATCH(D608,Settings!$G$7:$G$11,0),0)</ns0:f>
        <ns0:v>0</ns0:v>
      </ns0:c>
      <ns0:c r="U608" s="0">
        <ns0:f>IF(N608&gt;0,T608+IF(Bookings!G608="Pending",10,0),0)</ns0:f>
        <ns0:v>0</ns0:v>
      </ns0:c>
      <ns0:c r="V608" s="0">
        <ns0:f>U608</ns0:f>
        <ns0:v>0</ns0:v>
      </ns0:c>
      <ns0:c r="W608" s="0" t="str">
        <ns0:f>IF(C608=0,"",INDEX($AP$11:$AP$60,C608))</ns0:f>
        <ns0:v/>
      </ns0:c>
    </ns0:row>
    <ns0:row r="609">
      <ns0:c r="A609" s="0">
        <ns0:f>IF(COUNTA(Bookings!A609:G609,Bookings!I609)=0,0,1)</ns0:f>
        <ns0:v>0</ns0:v>
      </ns0:c>
      <ns0:c r="B609" s="0" t="str">
        <ns0:f>IFERROR(TRIM(MID(Bookings!A609,FIND(" · ",Bookings!A609)+3,99)),"")</ns0:f>
        <ns0:v/>
      </ns0:c>
      <ns0:c r="C609" s="0">
        <ns0:f>IF(OR(B609="",LEN(B609)&gt;24,ISNUMBER(FIND(" ",B609)),ISNUMBER(FIND("*",B609)),ISNUMBER(FIND("?",B609)),ISNUMBER(FIND("~",B609))),0,IFERROR(MATCH(B609,Team!$A$11:$A$60,0),0))</ns0:f>
        <ns0:v>0</ns0:v>
      </ns0:c>
      <ns0:c r="D609" s="0" t="str">
        <ns0:f>IFERROR(IF(MID(Bookings!F609,LEN(Bookings!F609)-3,3)=" · ",RIGHT(Bookings!F609,1),""),"")</ns0:f>
        <ns0:v/>
      </ns0:c>
      <ns0:c r="E609" s="0" t="str">
        <ns0:f>IFERROR(INDEX(Settings!$H$7:$H$11,MATCH(D609,Settings!$G$7:$G$11,0)),"")</ns0:f>
        <ns0:v/>
      </ns0:c>
      <ns0:c r="F609" s="0" t="str">
        <ns0:f>IF(A609=0,"",IFERROR(IF(OR(B609="",C609=0),"CHECK employee selection",IF(INDEX(Team!$O$11:$O$60,C609)&lt;&gt;"OK","CHECK employee setup",IF(OR('_Dates'!J609=0,'_Dates'!T609=0),"CHECK date: use DD.MM.YYYY",IF('_Dates'!T609&lt;'_Dates'!J609,"CHECK end before start",IF(AND($B$6=0,OR('_Dates'!J609&lt;Settings!$B$7,'_Dates'!T609&gt;Settings!$B$8)),"CHECK split across leave years",IF(OR(NOT(OR('_Dates'!U609="Full day",'_Dates'!U609="AM",'_Dates'!U609="PM")),NOT(OR('_Dates'!V609="Full day",'_Dates'!V609="AM",'_Dates'!V609="PM"))),"CHECK Full day / AM / PM",IF(AND('_Dates'!J609='_Dates'!T609,'_Dates'!U609&lt;&gt;"Full day",'_Dates'!V609&lt;&gt;"Full day",'_Dates'!U609&lt;&gt;'_Dates'!V609),"CHECK same-day portions disagree",IF(AND($B$6=0,OR(AND('_Dates'!U609&lt;&gt;"Full day",'_Dates'!AA609=0),AND('_Dates'!V609&lt;&gt;"Full day",'_Dates'!AB609=0))),"CHECK half-day on non-working date",IF(COUNTIF(Settings!$G$7:$G$11,D609)&lt;&gt;1,"CHECK leave type",IF(AND(Bookings!G609&lt;&gt;"Approved",Bookings!G609&lt;&gt;"Pending",Bookings!G609&lt;&gt;"Cancelled"),"CHECK status","OK")))))))))),"CHECK input"))</ns0:f>
        <ns0:v/>
      </ns0:c>
      <ns0:c r="G609" s="0">
        <ns0:f>IF(OR(F609&lt;&gt;"OK",$B$6&gt;0),0,0.5*(IF(('_Dates'!X609)&lt;('_Dates'!W609),0,INT((('_Dates'!X609)-('_Dates'!W609)+1)/7)*LEN(SUBSTITUTE(W609,"O",""))+LEN(SUBSTITUTE(MID(W609&amp;W609,WEEKDAY(('_Dates'!W609),2),MOD((('_Dates'!X609)-('_Dates'!W609)+1),7)),"O",""))-COUNTIFS(INDEX(AllClosureRows,C609,0),"&gt;="&amp;('_Dates'!W609),INDEX(AllClosureRows,C609,0),"&lt;="&amp;('_Dates'!X609)))+IF(('_Dates'!Z609)&lt;('_Dates'!Y609),0,INT((('_Dates'!Z609)-('_Dates'!Y609)+1)/7)*LEN(SUBSTITUTE(W609,"O",""))+LEN(SUBSTITUTE(MID(W609&amp;W609,WEEKDAY(('_Dates'!Y609),2),MOD((('_Dates'!Z609)-('_Dates'!Y609)+1),7)),"O",""))-COUNTIFS(INDEX(AllClosureRows,C609,0),"&gt;="&amp;('_Dates'!Y609),INDEX(AllClosureRows,C609,0),"&lt;="&amp;('_Dates'!Z609)))))</ns0:f>
        <ns0:v>0</ns0:v>
      </ns0:c>
      <ns0:c r="H609" s="0">
        <ns0:f>IF(OR(F609&lt;&gt;"OK",$B$6&gt;0),0,0.5*(IF((MIN('_Dates'!X609,Settings!$B$9))&lt;('_Dates'!W609),0,INT(((MIN('_Dates'!X609,Settings!$B$9))-('_Dates'!W609)+1)/7)*LEN(SUBSTITUTE(W609,"O",""))+LEN(SUBSTITUTE(MID(W609&amp;W609,WEEKDAY(('_Dates'!W609),2),MOD(((MIN('_Dates'!X609,Settings!$B$9))-('_Dates'!W609)+1),7)),"O",""))-COUNTIFS(INDEX(AllClosureRows,C609,0),"&gt;="&amp;('_Dates'!W609),INDEX(AllClosureRows,C609,0),"&lt;="&amp;(MIN('_Dates'!X609,Settings!$B$9))))+IF((MIN('_Dates'!Z609,Settings!$B$9))&lt;('_Dates'!Y609),0,INT(((MIN('_Dates'!Z609,Settings!$B$9))-('_Dates'!Y609)+1)/7)*LEN(SUBSTITUTE(W609,"O",""))+LEN(SUBSTITUTE(MID(W609&amp;W609,WEEKDAY(('_Dates'!Y609),2),MOD(((MIN('_Dates'!Z609,Settings!$B$9))-('_Dates'!Y609)+1),7)),"O",""))-COUNTIFS(INDEX(AllClosureRows,C609,0),"&gt;="&amp;('_Dates'!Y609),INDEX(AllClosureRows,C609,0),"&lt;="&amp;(MIN('_Dates'!Z609,Settings!$B$9))))))</ns0:f>
        <ns0:v>0</ns0:v>
      </ns0:c>
      <ns0:c r="I609" s="0">
        <ns0:f>MAX(0,G609-H609)</ns0:f>
        <ns0:v>0</ns0:v>
      </ns0:c>
      <ns0:c r="J609" s="0">
        <ns0:f>IF(OR(A609=0,F609&lt;&gt;"OK",Bookings!G609="Cancelled",$B$6&gt;0),0,IF('_Dates'!AC609=1,MAX(0,COUNTIFS(rngEngine_B,B609,rngAMStart,"&lt;="&amp;'_Dates'!X609,rngAMEnd,"&gt;="&amp;'_Dates'!W609,rngAMActive,1,rngEngine_F,"OK",rngBookings_F,"&lt;&gt;Cancelled")-1),0)+IF('_Dates'!AD609=1,MAX(0,COUNTIFS(rngEngine_B,B609,rngPMStart,"&lt;="&amp;'_Dates'!Z609,rngPMEnd,"&gt;="&amp;'_Dates'!Y609,rngPMActive,1,rngEngine_F,"OK",rngBookings_F,"&lt;&gt;Cancelled")-1),0))</ns0:f>
        <ns0:v>0</ns0:v>
      </ns0:c>
      <ns0:c r="K609" s="0" t="str">
        <ns0:f>IF(A609=0,"",IF(F609&lt;&gt;"OK",F609,IF(J609&gt;0,"CHECK overlapping entry",IF(AND($B$6=0,G609&lt;=0,Bookings!G609&lt;&gt;"Cancelled"),"CHECK no working days",IF(Bookings!G609="Cancelled","Cancelled","OK")))))</ns0:f>
        <ns0:v/>
      </ns0:c>
      <ns0:c r="L609" s="0">
        <ns0:f>IF(LEFT(K609,5)="CHECK",1,0)</ns0:f>
        <ns0:v>0</ns0:v>
      </ns0:c>
      <ns0:c r="M609" s="0">
        <ns0:f>IF(AND(L609=1,OR(C609=0,IFERROR(INDEX($X$11:$X$60,C609),0)=0)),1,0)</ns0:f>
        <ns0:v>0</ns0:v>
      </ns0:c>
      <ns0:c r="N609" s="0">
        <ns0:f>IF(OR(A609=0,L609&gt;0,$B$6&gt;0,Bookings!G609="Cancelled"),0,G609)</ns0:f>
        <ns0:v>0</ns0:v>
      </ns0:c>
      <ns0:c r="O609" s="0">
        <ns0:f>IF(AND(Bookings!G609="Approved",E609="Yes"),N609,0)</ns0:f>
        <ns0:v>0</ns0:v>
      </ns0:c>
      <ns0:c r="P609" s="0">
        <ns0:f>IF(AND(Bookings!G609="Approved",E609="Yes",L609=0,$B$6=0),H609,0)</ns0:f>
        <ns0:v>0</ns0:v>
      </ns0:c>
      <ns0:c r="Q609" s="0">
        <ns0:f>IF(AND(Bookings!G609="Approved",E609="Yes",L609=0,$B$6=0),I609,0)</ns0:f>
        <ns0:v>0</ns0:v>
      </ns0:c>
      <ns0:c r="R609" s="0">
        <ns0:f>IF(AND(Bookings!G609="Pending",E609="Yes"),N609,0)</ns0:f>
        <ns0:v>0</ns0:v>
      </ns0:c>
      <ns0:c r="S609" s="0">
        <ns0:f>IF(AND(Bookings!G609="Approved",E609="No"),N609,0)</ns0:f>
        <ns0:v>0</ns0:v>
      </ns0:c>
      <ns0:c r="T609" s="0">
        <ns0:f>IFERROR(MATCH(D609,Settings!$G$7:$G$11,0),0)</ns0:f>
        <ns0:v>0</ns0:v>
      </ns0:c>
      <ns0:c r="U609" s="0">
        <ns0:f>IF(N609&gt;0,T609+IF(Bookings!G609="Pending",10,0),0)</ns0:f>
        <ns0:v>0</ns0:v>
      </ns0:c>
      <ns0:c r="V609" s="0">
        <ns0:f>U609</ns0:f>
        <ns0:v>0</ns0:v>
      </ns0:c>
      <ns0:c r="W609" s="0" t="str">
        <ns0:f>IF(C609=0,"",INDEX($AP$11:$AP$60,C609))</ns0:f>
        <ns0:v/>
      </ns0:c>
    </ns0:row>
    <ns0:row r="610">
      <ns0:c r="A610" s="0">
        <ns0:f>IF(COUNTA(Bookings!A610:G610,Bookings!I610)=0,0,1)</ns0:f>
        <ns0:v>0</ns0:v>
      </ns0:c>
      <ns0:c r="B610" s="0" t="str">
        <ns0:f>IFERROR(TRIM(MID(Bookings!A610,FIND(" · ",Bookings!A610)+3,99)),"")</ns0:f>
        <ns0:v/>
      </ns0:c>
      <ns0:c r="C610" s="0">
        <ns0:f>IF(OR(B610="",LEN(B610)&gt;24,ISNUMBER(FIND(" ",B610)),ISNUMBER(FIND("*",B610)),ISNUMBER(FIND("?",B610)),ISNUMBER(FIND("~",B610))),0,IFERROR(MATCH(B610,Team!$A$11:$A$60,0),0))</ns0:f>
        <ns0:v>0</ns0:v>
      </ns0:c>
      <ns0:c r="D610" s="0" t="str">
        <ns0:f>IFERROR(IF(MID(Bookings!F610,LEN(Bookings!F610)-3,3)=" · ",RIGHT(Bookings!F610,1),""),"")</ns0:f>
        <ns0:v/>
      </ns0:c>
      <ns0:c r="E610" s="0" t="str">
        <ns0:f>IFERROR(INDEX(Settings!$H$7:$H$11,MATCH(D610,Settings!$G$7:$G$11,0)),"")</ns0:f>
        <ns0:v/>
      </ns0:c>
      <ns0:c r="F610" s="0" t="str">
        <ns0:f>IF(A610=0,"",IFERROR(IF(OR(B610="",C610=0),"CHECK employee selection",IF(INDEX(Team!$O$11:$O$60,C610)&lt;&gt;"OK","CHECK employee setup",IF(OR('_Dates'!J610=0,'_Dates'!T610=0),"CHECK date: use DD.MM.YYYY",IF('_Dates'!T610&lt;'_Dates'!J610,"CHECK end before start",IF(AND($B$6=0,OR('_Dates'!J610&lt;Settings!$B$7,'_Dates'!T610&gt;Settings!$B$8)),"CHECK split across leave years",IF(OR(NOT(OR('_Dates'!U610="Full day",'_Dates'!U610="AM",'_Dates'!U610="PM")),NOT(OR('_Dates'!V610="Full day",'_Dates'!V610="AM",'_Dates'!V610="PM"))),"CHECK Full day / AM / PM",IF(AND('_Dates'!J610='_Dates'!T610,'_Dates'!U610&lt;&gt;"Full day",'_Dates'!V610&lt;&gt;"Full day",'_Dates'!U610&lt;&gt;'_Dates'!V610),"CHECK same-day portions disagree",IF(AND($B$6=0,OR(AND('_Dates'!U610&lt;&gt;"Full day",'_Dates'!AA610=0),AND('_Dates'!V610&lt;&gt;"Full day",'_Dates'!AB610=0))),"CHECK half-day on non-working date",IF(COUNTIF(Settings!$G$7:$G$11,D610)&lt;&gt;1,"CHECK leave type",IF(AND(Bookings!G610&lt;&gt;"Approved",Bookings!G610&lt;&gt;"Pending",Bookings!G610&lt;&gt;"Cancelled"),"CHECK status","OK")))))))))),"CHECK input"))</ns0:f>
        <ns0:v/>
      </ns0:c>
      <ns0:c r="G610" s="0">
        <ns0:f>IF(OR(F610&lt;&gt;"OK",$B$6&gt;0),0,0.5*(IF(('_Dates'!X610)&lt;('_Dates'!W610),0,INT((('_Dates'!X610)-('_Dates'!W610)+1)/7)*LEN(SUBSTITUTE(W610,"O",""))+LEN(SUBSTITUTE(MID(W610&amp;W610,WEEKDAY(('_Dates'!W610),2),MOD((('_Dates'!X610)-('_Dates'!W610)+1),7)),"O",""))-COUNTIFS(INDEX(AllClosureRows,C610,0),"&gt;="&amp;('_Dates'!W610),INDEX(AllClosureRows,C610,0),"&lt;="&amp;('_Dates'!X610)))+IF(('_Dates'!Z610)&lt;('_Dates'!Y610),0,INT((('_Dates'!Z610)-('_Dates'!Y610)+1)/7)*LEN(SUBSTITUTE(W610,"O",""))+LEN(SUBSTITUTE(MID(W610&amp;W610,WEEKDAY(('_Dates'!Y610),2),MOD((('_Dates'!Z610)-('_Dates'!Y610)+1),7)),"O",""))-COUNTIFS(INDEX(AllClosureRows,C610,0),"&gt;="&amp;('_Dates'!Y610),INDEX(AllClosureRows,C610,0),"&lt;="&amp;('_Dates'!Z610)))))</ns0:f>
        <ns0:v>0</ns0:v>
      </ns0:c>
      <ns0:c r="H610" s="0">
        <ns0:f>IF(OR(F610&lt;&gt;"OK",$B$6&gt;0),0,0.5*(IF((MIN('_Dates'!X610,Settings!$B$9))&lt;('_Dates'!W610),0,INT(((MIN('_Dates'!X610,Settings!$B$9))-('_Dates'!W610)+1)/7)*LEN(SUBSTITUTE(W610,"O",""))+LEN(SUBSTITUTE(MID(W610&amp;W610,WEEKDAY(('_Dates'!W610),2),MOD(((MIN('_Dates'!X610,Settings!$B$9))-('_Dates'!W610)+1),7)),"O",""))-COUNTIFS(INDEX(AllClosureRows,C610,0),"&gt;="&amp;('_Dates'!W610),INDEX(AllClosureRows,C610,0),"&lt;="&amp;(MIN('_Dates'!X610,Settings!$B$9))))+IF((MIN('_Dates'!Z610,Settings!$B$9))&lt;('_Dates'!Y610),0,INT(((MIN('_Dates'!Z610,Settings!$B$9))-('_Dates'!Y610)+1)/7)*LEN(SUBSTITUTE(W610,"O",""))+LEN(SUBSTITUTE(MID(W610&amp;W610,WEEKDAY(('_Dates'!Y610),2),MOD(((MIN('_Dates'!Z610,Settings!$B$9))-('_Dates'!Y610)+1),7)),"O",""))-COUNTIFS(INDEX(AllClosureRows,C610,0),"&gt;="&amp;('_Dates'!Y610),INDEX(AllClosureRows,C610,0),"&lt;="&amp;(MIN('_Dates'!Z610,Settings!$B$9))))))</ns0:f>
        <ns0:v>0</ns0:v>
      </ns0:c>
      <ns0:c r="I610" s="0">
        <ns0:f>MAX(0,G610-H610)</ns0:f>
        <ns0:v>0</ns0:v>
      </ns0:c>
      <ns0:c r="J610" s="0">
        <ns0:f>IF(OR(A610=0,F610&lt;&gt;"OK",Bookings!G610="Cancelled",$B$6&gt;0),0,IF('_Dates'!AC610=1,MAX(0,COUNTIFS(rngEngine_B,B610,rngAMStart,"&lt;="&amp;'_Dates'!X610,rngAMEnd,"&gt;="&amp;'_Dates'!W610,rngAMActive,1,rngEngine_F,"OK",rngBookings_F,"&lt;&gt;Cancelled")-1),0)+IF('_Dates'!AD610=1,MAX(0,COUNTIFS(rngEngine_B,B610,rngPMStart,"&lt;="&amp;'_Dates'!Z610,rngPMEnd,"&gt;="&amp;'_Dates'!Y610,rngPMActive,1,rngEngine_F,"OK",rngBookings_F,"&lt;&gt;Cancelled")-1),0))</ns0:f>
        <ns0:v>0</ns0:v>
      </ns0:c>
      <ns0:c r="K610" s="0" t="str">
        <ns0:f>IF(A610=0,"",IF(F610&lt;&gt;"OK",F610,IF(J610&gt;0,"CHECK overlapping entry",IF(AND($B$6=0,G610&lt;=0,Bookings!G610&lt;&gt;"Cancelled"),"CHECK no working days",IF(Bookings!G610="Cancelled","Cancelled","OK")))))</ns0:f>
        <ns0:v/>
      </ns0:c>
      <ns0:c r="L610" s="0">
        <ns0:f>IF(LEFT(K610,5)="CHECK",1,0)</ns0:f>
        <ns0:v>0</ns0:v>
      </ns0:c>
      <ns0:c r="M610" s="0">
        <ns0:f>IF(AND(L610=1,OR(C610=0,IFERROR(INDEX($X$11:$X$60,C610),0)=0)),1,0)</ns0:f>
        <ns0:v>0</ns0:v>
      </ns0:c>
      <ns0:c r="N610" s="0">
        <ns0:f>IF(OR(A610=0,L610&gt;0,$B$6&gt;0,Bookings!G610="Cancelled"),0,G610)</ns0:f>
        <ns0:v>0</ns0:v>
      </ns0:c>
      <ns0:c r="O610" s="0">
        <ns0:f>IF(AND(Bookings!G610="Approved",E610="Yes"),N610,0)</ns0:f>
        <ns0:v>0</ns0:v>
      </ns0:c>
      <ns0:c r="P610" s="0">
        <ns0:f>IF(AND(Bookings!G610="Approved",E610="Yes",L610=0,$B$6=0),H610,0)</ns0:f>
        <ns0:v>0</ns0:v>
      </ns0:c>
      <ns0:c r="Q610" s="0">
        <ns0:f>IF(AND(Bookings!G610="Approved",E610="Yes",L610=0,$B$6=0),I610,0)</ns0:f>
        <ns0:v>0</ns0:v>
      </ns0:c>
      <ns0:c r="R610" s="0">
        <ns0:f>IF(AND(Bookings!G610="Pending",E610="Yes"),N610,0)</ns0:f>
        <ns0:v>0</ns0:v>
      </ns0:c>
      <ns0:c r="S610" s="0">
        <ns0:f>IF(AND(Bookings!G610="Approved",E610="No"),N610,0)</ns0:f>
        <ns0:v>0</ns0:v>
      </ns0:c>
      <ns0:c r="T610" s="0">
        <ns0:f>IFERROR(MATCH(D610,Settings!$G$7:$G$11,0),0)</ns0:f>
        <ns0:v>0</ns0:v>
      </ns0:c>
      <ns0:c r="U610" s="0">
        <ns0:f>IF(N610&gt;0,T610+IF(Bookings!G610="Pending",10,0),0)</ns0:f>
        <ns0:v>0</ns0:v>
      </ns0:c>
      <ns0:c r="V610" s="0">
        <ns0:f>U610</ns0:f>
        <ns0:v>0</ns0:v>
      </ns0:c>
      <ns0:c r="W610" s="0" t="str">
        <ns0:f>IF(C610=0,"",INDEX($AP$11:$AP$60,C610))</ns0:f>
        <ns0:v/>
      </ns0:c>
    </ns0:row>
    <ns0:row r="611">
      <ns0:c r="A611" s="0">
        <ns0:f>IF(COUNTA(Bookings!A611:G611,Bookings!I611)=0,0,1)</ns0:f>
        <ns0:v>0</ns0:v>
      </ns0:c>
      <ns0:c r="B611" s="0" t="str">
        <ns0:f>IFERROR(TRIM(MID(Bookings!A611,FIND(" · ",Bookings!A611)+3,99)),"")</ns0:f>
        <ns0:v/>
      </ns0:c>
      <ns0:c r="C611" s="0">
        <ns0:f>IF(OR(B611="",LEN(B611)&gt;24,ISNUMBER(FIND(" ",B611)),ISNUMBER(FIND("*",B611)),ISNUMBER(FIND("?",B611)),ISNUMBER(FIND("~",B611))),0,IFERROR(MATCH(B611,Team!$A$11:$A$60,0),0))</ns0:f>
        <ns0:v>0</ns0:v>
      </ns0:c>
      <ns0:c r="D611" s="0" t="str">
        <ns0:f>IFERROR(IF(MID(Bookings!F611,LEN(Bookings!F611)-3,3)=" · ",RIGHT(Bookings!F611,1),""),"")</ns0:f>
        <ns0:v/>
      </ns0:c>
      <ns0:c r="E611" s="0" t="str">
        <ns0:f>IFERROR(INDEX(Settings!$H$7:$H$11,MATCH(D611,Settings!$G$7:$G$11,0)),"")</ns0:f>
        <ns0:v/>
      </ns0:c>
      <ns0:c r="F611" s="0" t="str">
        <ns0:f>IF(A611=0,"",IFERROR(IF(OR(B611="",C611=0),"CHECK employee selection",IF(INDEX(Team!$O$11:$O$60,C611)&lt;&gt;"OK","CHECK employee setup",IF(OR('_Dates'!J611=0,'_Dates'!T611=0),"CHECK date: use DD.MM.YYYY",IF('_Dates'!T611&lt;'_Dates'!J611,"CHECK end before start",IF(AND($B$6=0,OR('_Dates'!J611&lt;Settings!$B$7,'_Dates'!T611&gt;Settings!$B$8)),"CHECK split across leave years",IF(OR(NOT(OR('_Dates'!U611="Full day",'_Dates'!U611="AM",'_Dates'!U611="PM")),NOT(OR('_Dates'!V611="Full day",'_Dates'!V611="AM",'_Dates'!V611="PM"))),"CHECK Full day / AM / PM",IF(AND('_Dates'!J611='_Dates'!T611,'_Dates'!U611&lt;&gt;"Full day",'_Dates'!V611&lt;&gt;"Full day",'_Dates'!U611&lt;&gt;'_Dates'!V611),"CHECK same-day portions disagree",IF(AND($B$6=0,OR(AND('_Dates'!U611&lt;&gt;"Full day",'_Dates'!AA611=0),AND('_Dates'!V611&lt;&gt;"Full day",'_Dates'!AB611=0))),"CHECK half-day on non-working date",IF(COUNTIF(Settings!$G$7:$G$11,D611)&lt;&gt;1,"CHECK leave type",IF(AND(Bookings!G611&lt;&gt;"Approved",Bookings!G611&lt;&gt;"Pending",Bookings!G611&lt;&gt;"Cancelled"),"CHECK status","OK")))))))))),"CHECK input"))</ns0:f>
        <ns0:v/>
      </ns0:c>
      <ns0:c r="G611" s="0">
        <ns0:f>IF(OR(F611&lt;&gt;"OK",$B$6&gt;0),0,0.5*(IF(('_Dates'!X611)&lt;('_Dates'!W611),0,INT((('_Dates'!X611)-('_Dates'!W611)+1)/7)*LEN(SUBSTITUTE(W611,"O",""))+LEN(SUBSTITUTE(MID(W611&amp;W611,WEEKDAY(('_Dates'!W611),2),MOD((('_Dates'!X611)-('_Dates'!W611)+1),7)),"O",""))-COUNTIFS(INDEX(AllClosureRows,C611,0),"&gt;="&amp;('_Dates'!W611),INDEX(AllClosureRows,C611,0),"&lt;="&amp;('_Dates'!X611)))+IF(('_Dates'!Z611)&lt;('_Dates'!Y611),0,INT((('_Dates'!Z611)-('_Dates'!Y611)+1)/7)*LEN(SUBSTITUTE(W611,"O",""))+LEN(SUBSTITUTE(MID(W611&amp;W611,WEEKDAY(('_Dates'!Y611),2),MOD((('_Dates'!Z611)-('_Dates'!Y611)+1),7)),"O",""))-COUNTIFS(INDEX(AllClosureRows,C611,0),"&gt;="&amp;('_Dates'!Y611),INDEX(AllClosureRows,C611,0),"&lt;="&amp;('_Dates'!Z611)))))</ns0:f>
        <ns0:v>0</ns0:v>
      </ns0:c>
      <ns0:c r="H611" s="0">
        <ns0:f>IF(OR(F611&lt;&gt;"OK",$B$6&gt;0),0,0.5*(IF((MIN('_Dates'!X611,Settings!$B$9))&lt;('_Dates'!W611),0,INT(((MIN('_Dates'!X611,Settings!$B$9))-('_Dates'!W611)+1)/7)*LEN(SUBSTITUTE(W611,"O",""))+LEN(SUBSTITUTE(MID(W611&amp;W611,WEEKDAY(('_Dates'!W611),2),MOD(((MIN('_Dates'!X611,Settings!$B$9))-('_Dates'!W611)+1),7)),"O",""))-COUNTIFS(INDEX(AllClosureRows,C611,0),"&gt;="&amp;('_Dates'!W611),INDEX(AllClosureRows,C611,0),"&lt;="&amp;(MIN('_Dates'!X611,Settings!$B$9))))+IF((MIN('_Dates'!Z611,Settings!$B$9))&lt;('_Dates'!Y611),0,INT(((MIN('_Dates'!Z611,Settings!$B$9))-('_Dates'!Y611)+1)/7)*LEN(SUBSTITUTE(W611,"O",""))+LEN(SUBSTITUTE(MID(W611&amp;W611,WEEKDAY(('_Dates'!Y611),2),MOD(((MIN('_Dates'!Z611,Settings!$B$9))-('_Dates'!Y611)+1),7)),"O",""))-COUNTIFS(INDEX(AllClosureRows,C611,0),"&gt;="&amp;('_Dates'!Y611),INDEX(AllClosureRows,C611,0),"&lt;="&amp;(MIN('_Dates'!Z611,Settings!$B$9))))))</ns0:f>
        <ns0:v>0</ns0:v>
      </ns0:c>
      <ns0:c r="I611" s="0">
        <ns0:f>MAX(0,G611-H611)</ns0:f>
        <ns0:v>0</ns0:v>
      </ns0:c>
      <ns0:c r="J611" s="0">
        <ns0:f>IF(OR(A611=0,F611&lt;&gt;"OK",Bookings!G611="Cancelled",$B$6&gt;0),0,IF('_Dates'!AC611=1,MAX(0,COUNTIFS(rngEngine_B,B611,rngAMStart,"&lt;="&amp;'_Dates'!X611,rngAMEnd,"&gt;="&amp;'_Dates'!W611,rngAMActive,1,rngEngine_F,"OK",rngBookings_F,"&lt;&gt;Cancelled")-1),0)+IF('_Dates'!AD611=1,MAX(0,COUNTIFS(rngEngine_B,B611,rngPMStart,"&lt;="&amp;'_Dates'!Z611,rngPMEnd,"&gt;="&amp;'_Dates'!Y611,rngPMActive,1,rngEngine_F,"OK",rngBookings_F,"&lt;&gt;Cancelled")-1),0))</ns0:f>
        <ns0:v>0</ns0:v>
      </ns0:c>
      <ns0:c r="K611" s="0" t="str">
        <ns0:f>IF(A611=0,"",IF(F611&lt;&gt;"OK",F611,IF(J611&gt;0,"CHECK overlapping entry",IF(AND($B$6=0,G611&lt;=0,Bookings!G611&lt;&gt;"Cancelled"),"CHECK no working days",IF(Bookings!G611="Cancelled","Cancelled","OK")))))</ns0:f>
        <ns0:v/>
      </ns0:c>
      <ns0:c r="L611" s="0">
        <ns0:f>IF(LEFT(K611,5)="CHECK",1,0)</ns0:f>
        <ns0:v>0</ns0:v>
      </ns0:c>
      <ns0:c r="M611" s="0">
        <ns0:f>IF(AND(L611=1,OR(C611=0,IFERROR(INDEX($X$11:$X$60,C611),0)=0)),1,0)</ns0:f>
        <ns0:v>0</ns0:v>
      </ns0:c>
      <ns0:c r="N611" s="0">
        <ns0:f>IF(OR(A611=0,L611&gt;0,$B$6&gt;0,Bookings!G611="Cancelled"),0,G611)</ns0:f>
        <ns0:v>0</ns0:v>
      </ns0:c>
      <ns0:c r="O611" s="0">
        <ns0:f>IF(AND(Bookings!G611="Approved",E611="Yes"),N611,0)</ns0:f>
        <ns0:v>0</ns0:v>
      </ns0:c>
      <ns0:c r="P611" s="0">
        <ns0:f>IF(AND(Bookings!G611="Approved",E611="Yes",L611=0,$B$6=0),H611,0)</ns0:f>
        <ns0:v>0</ns0:v>
      </ns0:c>
      <ns0:c r="Q611" s="0">
        <ns0:f>IF(AND(Bookings!G611="Approved",E611="Yes",L611=0,$B$6=0),I611,0)</ns0:f>
        <ns0:v>0</ns0:v>
      </ns0:c>
      <ns0:c r="R611" s="0">
        <ns0:f>IF(AND(Bookings!G611="Pending",E611="Yes"),N611,0)</ns0:f>
        <ns0:v>0</ns0:v>
      </ns0:c>
      <ns0:c r="S611" s="0">
        <ns0:f>IF(AND(Bookings!G611="Approved",E611="No"),N611,0)</ns0:f>
        <ns0:v>0</ns0:v>
      </ns0:c>
      <ns0:c r="T611" s="0">
        <ns0:f>IFERROR(MATCH(D611,Settings!$G$7:$G$11,0),0)</ns0:f>
        <ns0:v>0</ns0:v>
      </ns0:c>
      <ns0:c r="U611" s="0">
        <ns0:f>IF(N611&gt;0,T611+IF(Bookings!G611="Pending",10,0),0)</ns0:f>
        <ns0:v>0</ns0:v>
      </ns0:c>
      <ns0:c r="V611" s="0">
        <ns0:f>U611</ns0:f>
        <ns0:v>0</ns0:v>
      </ns0:c>
      <ns0:c r="W611" s="0" t="str">
        <ns0:f>IF(C611=0,"",INDEX($AP$11:$AP$60,C611))</ns0:f>
        <ns0:v/>
      </ns0:c>
    </ns0:row>
    <ns0:row r="612">
      <ns0:c r="A612" s="0">
        <ns0:f>IF(COUNTA(Bookings!A612:G612,Bookings!I612)=0,0,1)</ns0:f>
        <ns0:v>0</ns0:v>
      </ns0:c>
      <ns0:c r="B612" s="0" t="str">
        <ns0:f>IFERROR(TRIM(MID(Bookings!A612,FIND(" · ",Bookings!A612)+3,99)),"")</ns0:f>
        <ns0:v/>
      </ns0:c>
      <ns0:c r="C612" s="0">
        <ns0:f>IF(OR(B612="",LEN(B612)&gt;24,ISNUMBER(FIND(" ",B612)),ISNUMBER(FIND("*",B612)),ISNUMBER(FIND("?",B612)),ISNUMBER(FIND("~",B612))),0,IFERROR(MATCH(B612,Team!$A$11:$A$60,0),0))</ns0:f>
        <ns0:v>0</ns0:v>
      </ns0:c>
      <ns0:c r="D612" s="0" t="str">
        <ns0:f>IFERROR(IF(MID(Bookings!F612,LEN(Bookings!F612)-3,3)=" · ",RIGHT(Bookings!F612,1),""),"")</ns0:f>
        <ns0:v/>
      </ns0:c>
      <ns0:c r="E612" s="0" t="str">
        <ns0:f>IFERROR(INDEX(Settings!$H$7:$H$11,MATCH(D612,Settings!$G$7:$G$11,0)),"")</ns0:f>
        <ns0:v/>
      </ns0:c>
      <ns0:c r="F612" s="0" t="str">
        <ns0:f>IF(A612=0,"",IFERROR(IF(OR(B612="",C612=0),"CHECK employee selection",IF(INDEX(Team!$O$11:$O$60,C612)&lt;&gt;"OK","CHECK employee setup",IF(OR('_Dates'!J612=0,'_Dates'!T612=0),"CHECK date: use DD.MM.YYYY",IF('_Dates'!T612&lt;'_Dates'!J612,"CHECK end before start",IF(AND($B$6=0,OR('_Dates'!J612&lt;Settings!$B$7,'_Dates'!T612&gt;Settings!$B$8)),"CHECK split across leave years",IF(OR(NOT(OR('_Dates'!U612="Full day",'_Dates'!U612="AM",'_Dates'!U612="PM")),NOT(OR('_Dates'!V612="Full day",'_Dates'!V612="AM",'_Dates'!V612="PM"))),"CHECK Full day / AM / PM",IF(AND('_Dates'!J612='_Dates'!T612,'_Dates'!U612&lt;&gt;"Full day",'_Dates'!V612&lt;&gt;"Full day",'_Dates'!U612&lt;&gt;'_Dates'!V612),"CHECK same-day portions disagree",IF(AND($B$6=0,OR(AND('_Dates'!U612&lt;&gt;"Full day",'_Dates'!AA612=0),AND('_Dates'!V612&lt;&gt;"Full day",'_Dates'!AB612=0))),"CHECK half-day on non-working date",IF(COUNTIF(Settings!$G$7:$G$11,D612)&lt;&gt;1,"CHECK leave type",IF(AND(Bookings!G612&lt;&gt;"Approved",Bookings!G612&lt;&gt;"Pending",Bookings!G612&lt;&gt;"Cancelled"),"CHECK status","OK")))))))))),"CHECK input"))</ns0:f>
        <ns0:v/>
      </ns0:c>
      <ns0:c r="G612" s="0">
        <ns0:f>IF(OR(F612&lt;&gt;"OK",$B$6&gt;0),0,0.5*(IF(('_Dates'!X612)&lt;('_Dates'!W612),0,INT((('_Dates'!X612)-('_Dates'!W612)+1)/7)*LEN(SUBSTITUTE(W612,"O",""))+LEN(SUBSTITUTE(MID(W612&amp;W612,WEEKDAY(('_Dates'!W612),2),MOD((('_Dates'!X612)-('_Dates'!W612)+1),7)),"O",""))-COUNTIFS(INDEX(AllClosureRows,C612,0),"&gt;="&amp;('_Dates'!W612),INDEX(AllClosureRows,C612,0),"&lt;="&amp;('_Dates'!X612)))+IF(('_Dates'!Z612)&lt;('_Dates'!Y612),0,INT((('_Dates'!Z612)-('_Dates'!Y612)+1)/7)*LEN(SUBSTITUTE(W612,"O",""))+LEN(SUBSTITUTE(MID(W612&amp;W612,WEEKDAY(('_Dates'!Y612),2),MOD((('_Dates'!Z612)-('_Dates'!Y612)+1),7)),"O",""))-COUNTIFS(INDEX(AllClosureRows,C612,0),"&gt;="&amp;('_Dates'!Y612),INDEX(AllClosureRows,C612,0),"&lt;="&amp;('_Dates'!Z612)))))</ns0:f>
        <ns0:v>0</ns0:v>
      </ns0:c>
      <ns0:c r="H612" s="0">
        <ns0:f>IF(OR(F612&lt;&gt;"OK",$B$6&gt;0),0,0.5*(IF((MIN('_Dates'!X612,Settings!$B$9))&lt;('_Dates'!W612),0,INT(((MIN('_Dates'!X612,Settings!$B$9))-('_Dates'!W612)+1)/7)*LEN(SUBSTITUTE(W612,"O",""))+LEN(SUBSTITUTE(MID(W612&amp;W612,WEEKDAY(('_Dates'!W612),2),MOD(((MIN('_Dates'!X612,Settings!$B$9))-('_Dates'!W612)+1),7)),"O",""))-COUNTIFS(INDEX(AllClosureRows,C612,0),"&gt;="&amp;('_Dates'!W612),INDEX(AllClosureRows,C612,0),"&lt;="&amp;(MIN('_Dates'!X612,Settings!$B$9))))+IF((MIN('_Dates'!Z612,Settings!$B$9))&lt;('_Dates'!Y612),0,INT(((MIN('_Dates'!Z612,Settings!$B$9))-('_Dates'!Y612)+1)/7)*LEN(SUBSTITUTE(W612,"O",""))+LEN(SUBSTITUTE(MID(W612&amp;W612,WEEKDAY(('_Dates'!Y612),2),MOD(((MIN('_Dates'!Z612,Settings!$B$9))-('_Dates'!Y612)+1),7)),"O",""))-COUNTIFS(INDEX(AllClosureRows,C612,0),"&gt;="&amp;('_Dates'!Y612),INDEX(AllClosureRows,C612,0),"&lt;="&amp;(MIN('_Dates'!Z612,Settings!$B$9))))))</ns0:f>
        <ns0:v>0</ns0:v>
      </ns0:c>
      <ns0:c r="I612" s="0">
        <ns0:f>MAX(0,G612-H612)</ns0:f>
        <ns0:v>0</ns0:v>
      </ns0:c>
      <ns0:c r="J612" s="0">
        <ns0:f>IF(OR(A612=0,F612&lt;&gt;"OK",Bookings!G612="Cancelled",$B$6&gt;0),0,IF('_Dates'!AC612=1,MAX(0,COUNTIFS(rngEngine_B,B612,rngAMStart,"&lt;="&amp;'_Dates'!X612,rngAMEnd,"&gt;="&amp;'_Dates'!W612,rngAMActive,1,rngEngine_F,"OK",rngBookings_F,"&lt;&gt;Cancelled")-1),0)+IF('_Dates'!AD612=1,MAX(0,COUNTIFS(rngEngine_B,B612,rngPMStart,"&lt;="&amp;'_Dates'!Z612,rngPMEnd,"&gt;="&amp;'_Dates'!Y612,rngPMActive,1,rngEngine_F,"OK",rngBookings_F,"&lt;&gt;Cancelled")-1),0))</ns0:f>
        <ns0:v>0</ns0:v>
      </ns0:c>
      <ns0:c r="K612" s="0" t="str">
        <ns0:f>IF(A612=0,"",IF(F612&lt;&gt;"OK",F612,IF(J612&gt;0,"CHECK overlapping entry",IF(AND($B$6=0,G612&lt;=0,Bookings!G612&lt;&gt;"Cancelled"),"CHECK no working days",IF(Bookings!G612="Cancelled","Cancelled","OK")))))</ns0:f>
        <ns0:v/>
      </ns0:c>
      <ns0:c r="L612" s="0">
        <ns0:f>IF(LEFT(K612,5)="CHECK",1,0)</ns0:f>
        <ns0:v>0</ns0:v>
      </ns0:c>
      <ns0:c r="M612" s="0">
        <ns0:f>IF(AND(L612=1,OR(C612=0,IFERROR(INDEX($X$11:$X$60,C612),0)=0)),1,0)</ns0:f>
        <ns0:v>0</ns0:v>
      </ns0:c>
      <ns0:c r="N612" s="0">
        <ns0:f>IF(OR(A612=0,L612&gt;0,$B$6&gt;0,Bookings!G612="Cancelled"),0,G612)</ns0:f>
        <ns0:v>0</ns0:v>
      </ns0:c>
      <ns0:c r="O612" s="0">
        <ns0:f>IF(AND(Bookings!G612="Approved",E612="Yes"),N612,0)</ns0:f>
        <ns0:v>0</ns0:v>
      </ns0:c>
      <ns0:c r="P612" s="0">
        <ns0:f>IF(AND(Bookings!G612="Approved",E612="Yes",L612=0,$B$6=0),H612,0)</ns0:f>
        <ns0:v>0</ns0:v>
      </ns0:c>
      <ns0:c r="Q612" s="0">
        <ns0:f>IF(AND(Bookings!G612="Approved",E612="Yes",L612=0,$B$6=0),I612,0)</ns0:f>
        <ns0:v>0</ns0:v>
      </ns0:c>
      <ns0:c r="R612" s="0">
        <ns0:f>IF(AND(Bookings!G612="Pending",E612="Yes"),N612,0)</ns0:f>
        <ns0:v>0</ns0:v>
      </ns0:c>
      <ns0:c r="S612" s="0">
        <ns0:f>IF(AND(Bookings!G612="Approved",E612="No"),N612,0)</ns0:f>
        <ns0:v>0</ns0:v>
      </ns0:c>
      <ns0:c r="T612" s="0">
        <ns0:f>IFERROR(MATCH(D612,Settings!$G$7:$G$11,0),0)</ns0:f>
        <ns0:v>0</ns0:v>
      </ns0:c>
      <ns0:c r="U612" s="0">
        <ns0:f>IF(N612&gt;0,T612+IF(Bookings!G612="Pending",10,0),0)</ns0:f>
        <ns0:v>0</ns0:v>
      </ns0:c>
      <ns0:c r="V612" s="0">
        <ns0:f>U612</ns0:f>
        <ns0:v>0</ns0:v>
      </ns0:c>
      <ns0:c r="W612" s="0" t="str">
        <ns0:f>IF(C612=0,"",INDEX($AP$11:$AP$60,C612))</ns0:f>
        <ns0:v/>
      </ns0:c>
    </ns0:row>
    <ns0:row r="613">
      <ns0:c r="A613" s="0">
        <ns0:f>IF(COUNTA(Bookings!A613:G613,Bookings!I613)=0,0,1)</ns0:f>
        <ns0:v>0</ns0:v>
      </ns0:c>
      <ns0:c r="B613" s="0" t="str">
        <ns0:f>IFERROR(TRIM(MID(Bookings!A613,FIND(" · ",Bookings!A613)+3,99)),"")</ns0:f>
        <ns0:v/>
      </ns0:c>
      <ns0:c r="C613" s="0">
        <ns0:f>IF(OR(B613="",LEN(B613)&gt;24,ISNUMBER(FIND(" ",B613)),ISNUMBER(FIND("*",B613)),ISNUMBER(FIND("?",B613)),ISNUMBER(FIND("~",B613))),0,IFERROR(MATCH(B613,Team!$A$11:$A$60,0),0))</ns0:f>
        <ns0:v>0</ns0:v>
      </ns0:c>
      <ns0:c r="D613" s="0" t="str">
        <ns0:f>IFERROR(IF(MID(Bookings!F613,LEN(Bookings!F613)-3,3)=" · ",RIGHT(Bookings!F613,1),""),"")</ns0:f>
        <ns0:v/>
      </ns0:c>
      <ns0:c r="E613" s="0" t="str">
        <ns0:f>IFERROR(INDEX(Settings!$H$7:$H$11,MATCH(D613,Settings!$G$7:$G$11,0)),"")</ns0:f>
        <ns0:v/>
      </ns0:c>
      <ns0:c r="F613" s="0" t="str">
        <ns0:f>IF(A613=0,"",IFERROR(IF(OR(B613="",C613=0),"CHECK employee selection",IF(INDEX(Team!$O$11:$O$60,C613)&lt;&gt;"OK","CHECK employee setup",IF(OR('_Dates'!J613=0,'_Dates'!T613=0),"CHECK date: use DD.MM.YYYY",IF('_Dates'!T613&lt;'_Dates'!J613,"CHECK end before start",IF(AND($B$6=0,OR('_Dates'!J613&lt;Settings!$B$7,'_Dates'!T613&gt;Settings!$B$8)),"CHECK split across leave years",IF(OR(NOT(OR('_Dates'!U613="Full day",'_Dates'!U613="AM",'_Dates'!U613="PM")),NOT(OR('_Dates'!V613="Full day",'_Dates'!V613="AM",'_Dates'!V613="PM"))),"CHECK Full day / AM / PM",IF(AND('_Dates'!J613='_Dates'!T613,'_Dates'!U613&lt;&gt;"Full day",'_Dates'!V613&lt;&gt;"Full day",'_Dates'!U613&lt;&gt;'_Dates'!V613),"CHECK same-day portions disagree",IF(AND($B$6=0,OR(AND('_Dates'!U613&lt;&gt;"Full day",'_Dates'!AA613=0),AND('_Dates'!V613&lt;&gt;"Full day",'_Dates'!AB613=0))),"CHECK half-day on non-working date",IF(COUNTIF(Settings!$G$7:$G$11,D613)&lt;&gt;1,"CHECK leave type",IF(AND(Bookings!G613&lt;&gt;"Approved",Bookings!G613&lt;&gt;"Pending",Bookings!G613&lt;&gt;"Cancelled"),"CHECK status","OK")))))))))),"CHECK input"))</ns0:f>
        <ns0:v/>
      </ns0:c>
      <ns0:c r="G613" s="0">
        <ns0:f>IF(OR(F613&lt;&gt;"OK",$B$6&gt;0),0,0.5*(IF(('_Dates'!X613)&lt;('_Dates'!W613),0,INT((('_Dates'!X613)-('_Dates'!W613)+1)/7)*LEN(SUBSTITUTE(W613,"O",""))+LEN(SUBSTITUTE(MID(W613&amp;W613,WEEKDAY(('_Dates'!W613),2),MOD((('_Dates'!X613)-('_Dates'!W613)+1),7)),"O",""))-COUNTIFS(INDEX(AllClosureRows,C613,0),"&gt;="&amp;('_Dates'!W613),INDEX(AllClosureRows,C613,0),"&lt;="&amp;('_Dates'!X613)))+IF(('_Dates'!Z613)&lt;('_Dates'!Y613),0,INT((('_Dates'!Z613)-('_Dates'!Y613)+1)/7)*LEN(SUBSTITUTE(W613,"O",""))+LEN(SUBSTITUTE(MID(W613&amp;W613,WEEKDAY(('_Dates'!Y613),2),MOD((('_Dates'!Z613)-('_Dates'!Y613)+1),7)),"O",""))-COUNTIFS(INDEX(AllClosureRows,C613,0),"&gt;="&amp;('_Dates'!Y613),INDEX(AllClosureRows,C613,0),"&lt;="&amp;('_Dates'!Z613)))))</ns0:f>
        <ns0:v>0</ns0:v>
      </ns0:c>
      <ns0:c r="H613" s="0">
        <ns0:f>IF(OR(F613&lt;&gt;"OK",$B$6&gt;0),0,0.5*(IF((MIN('_Dates'!X613,Settings!$B$9))&lt;('_Dates'!W613),0,INT(((MIN('_Dates'!X613,Settings!$B$9))-('_Dates'!W613)+1)/7)*LEN(SUBSTITUTE(W613,"O",""))+LEN(SUBSTITUTE(MID(W613&amp;W613,WEEKDAY(('_Dates'!W613),2),MOD(((MIN('_Dates'!X613,Settings!$B$9))-('_Dates'!W613)+1),7)),"O",""))-COUNTIFS(INDEX(AllClosureRows,C613,0),"&gt;="&amp;('_Dates'!W613),INDEX(AllClosureRows,C613,0),"&lt;="&amp;(MIN('_Dates'!X613,Settings!$B$9))))+IF((MIN('_Dates'!Z613,Settings!$B$9))&lt;('_Dates'!Y613),0,INT(((MIN('_Dates'!Z613,Settings!$B$9))-('_Dates'!Y613)+1)/7)*LEN(SUBSTITUTE(W613,"O",""))+LEN(SUBSTITUTE(MID(W613&amp;W613,WEEKDAY(('_Dates'!Y613),2),MOD(((MIN('_Dates'!Z613,Settings!$B$9))-('_Dates'!Y613)+1),7)),"O",""))-COUNTIFS(INDEX(AllClosureRows,C613,0),"&gt;="&amp;('_Dates'!Y613),INDEX(AllClosureRows,C613,0),"&lt;="&amp;(MIN('_Dates'!Z613,Settings!$B$9))))))</ns0:f>
        <ns0:v>0</ns0:v>
      </ns0:c>
      <ns0:c r="I613" s="0">
        <ns0:f>MAX(0,G613-H613)</ns0:f>
        <ns0:v>0</ns0:v>
      </ns0:c>
      <ns0:c r="J613" s="0">
        <ns0:f>IF(OR(A613=0,F613&lt;&gt;"OK",Bookings!G613="Cancelled",$B$6&gt;0),0,IF('_Dates'!AC613=1,MAX(0,COUNTIFS(rngEngine_B,B613,rngAMStart,"&lt;="&amp;'_Dates'!X613,rngAMEnd,"&gt;="&amp;'_Dates'!W613,rngAMActive,1,rngEngine_F,"OK",rngBookings_F,"&lt;&gt;Cancelled")-1),0)+IF('_Dates'!AD613=1,MAX(0,COUNTIFS(rngEngine_B,B613,rngPMStart,"&lt;="&amp;'_Dates'!Z613,rngPMEnd,"&gt;="&amp;'_Dates'!Y613,rngPMActive,1,rngEngine_F,"OK",rngBookings_F,"&lt;&gt;Cancelled")-1),0))</ns0:f>
        <ns0:v>0</ns0:v>
      </ns0:c>
      <ns0:c r="K613" s="0" t="str">
        <ns0:f>IF(A613=0,"",IF(F613&lt;&gt;"OK",F613,IF(J613&gt;0,"CHECK overlapping entry",IF(AND($B$6=0,G613&lt;=0,Bookings!G613&lt;&gt;"Cancelled"),"CHECK no working days",IF(Bookings!G613="Cancelled","Cancelled","OK")))))</ns0:f>
        <ns0:v/>
      </ns0:c>
      <ns0:c r="L613" s="0">
        <ns0:f>IF(LEFT(K613,5)="CHECK",1,0)</ns0:f>
        <ns0:v>0</ns0:v>
      </ns0:c>
      <ns0:c r="M613" s="0">
        <ns0:f>IF(AND(L613=1,OR(C613=0,IFERROR(INDEX($X$11:$X$60,C613),0)=0)),1,0)</ns0:f>
        <ns0:v>0</ns0:v>
      </ns0:c>
      <ns0:c r="N613" s="0">
        <ns0:f>IF(OR(A613=0,L613&gt;0,$B$6&gt;0,Bookings!G613="Cancelled"),0,G613)</ns0:f>
        <ns0:v>0</ns0:v>
      </ns0:c>
      <ns0:c r="O613" s="0">
        <ns0:f>IF(AND(Bookings!G613="Approved",E613="Yes"),N613,0)</ns0:f>
        <ns0:v>0</ns0:v>
      </ns0:c>
      <ns0:c r="P613" s="0">
        <ns0:f>IF(AND(Bookings!G613="Approved",E613="Yes",L613=0,$B$6=0),H613,0)</ns0:f>
        <ns0:v>0</ns0:v>
      </ns0:c>
      <ns0:c r="Q613" s="0">
        <ns0:f>IF(AND(Bookings!G613="Approved",E613="Yes",L613=0,$B$6=0),I613,0)</ns0:f>
        <ns0:v>0</ns0:v>
      </ns0:c>
      <ns0:c r="R613" s="0">
        <ns0:f>IF(AND(Bookings!G613="Pending",E613="Yes"),N613,0)</ns0:f>
        <ns0:v>0</ns0:v>
      </ns0:c>
      <ns0:c r="S613" s="0">
        <ns0:f>IF(AND(Bookings!G613="Approved",E613="No"),N613,0)</ns0:f>
        <ns0:v>0</ns0:v>
      </ns0:c>
      <ns0:c r="T613" s="0">
        <ns0:f>IFERROR(MATCH(D613,Settings!$G$7:$G$11,0),0)</ns0:f>
        <ns0:v>0</ns0:v>
      </ns0:c>
      <ns0:c r="U613" s="0">
        <ns0:f>IF(N613&gt;0,T613+IF(Bookings!G613="Pending",10,0),0)</ns0:f>
        <ns0:v>0</ns0:v>
      </ns0:c>
      <ns0:c r="V613" s="0">
        <ns0:f>U613</ns0:f>
        <ns0:v>0</ns0:v>
      </ns0:c>
      <ns0:c r="W613" s="0" t="str">
        <ns0:f>IF(C613=0,"",INDEX($AP$11:$AP$60,C613))</ns0:f>
        <ns0:v/>
      </ns0:c>
    </ns0:row>
    <ns0:row r="614">
      <ns0:c r="A614" s="0">
        <ns0:f>IF(COUNTA(Bookings!A614:G614,Bookings!I614)=0,0,1)</ns0:f>
        <ns0:v>0</ns0:v>
      </ns0:c>
      <ns0:c r="B614" s="0" t="str">
        <ns0:f>IFERROR(TRIM(MID(Bookings!A614,FIND(" · ",Bookings!A614)+3,99)),"")</ns0:f>
        <ns0:v/>
      </ns0:c>
      <ns0:c r="C614" s="0">
        <ns0:f>IF(OR(B614="",LEN(B614)&gt;24,ISNUMBER(FIND(" ",B614)),ISNUMBER(FIND("*",B614)),ISNUMBER(FIND("?",B614)),ISNUMBER(FIND("~",B614))),0,IFERROR(MATCH(B614,Team!$A$11:$A$60,0),0))</ns0:f>
        <ns0:v>0</ns0:v>
      </ns0:c>
      <ns0:c r="D614" s="0" t="str">
        <ns0:f>IFERROR(IF(MID(Bookings!F614,LEN(Bookings!F614)-3,3)=" · ",RIGHT(Bookings!F614,1),""),"")</ns0:f>
        <ns0:v/>
      </ns0:c>
      <ns0:c r="E614" s="0" t="str">
        <ns0:f>IFERROR(INDEX(Settings!$H$7:$H$11,MATCH(D614,Settings!$G$7:$G$11,0)),"")</ns0:f>
        <ns0:v/>
      </ns0:c>
      <ns0:c r="F614" s="0" t="str">
        <ns0:f>IF(A614=0,"",IFERROR(IF(OR(B614="",C614=0),"CHECK employee selection",IF(INDEX(Team!$O$11:$O$60,C614)&lt;&gt;"OK","CHECK employee setup",IF(OR('_Dates'!J614=0,'_Dates'!T614=0),"CHECK date: use DD.MM.YYYY",IF('_Dates'!T614&lt;'_Dates'!J614,"CHECK end before start",IF(AND($B$6=0,OR('_Dates'!J614&lt;Settings!$B$7,'_Dates'!T614&gt;Settings!$B$8)),"CHECK split across leave years",IF(OR(NOT(OR('_Dates'!U614="Full day",'_Dates'!U614="AM",'_Dates'!U614="PM")),NOT(OR('_Dates'!V614="Full day",'_Dates'!V614="AM",'_Dates'!V614="PM"))),"CHECK Full day / AM / PM",IF(AND('_Dates'!J614='_Dates'!T614,'_Dates'!U614&lt;&gt;"Full day",'_Dates'!V614&lt;&gt;"Full day",'_Dates'!U614&lt;&gt;'_Dates'!V614),"CHECK same-day portions disagree",IF(AND($B$6=0,OR(AND('_Dates'!U614&lt;&gt;"Full day",'_Dates'!AA614=0),AND('_Dates'!V614&lt;&gt;"Full day",'_Dates'!AB614=0))),"CHECK half-day on non-working date",IF(COUNTIF(Settings!$G$7:$G$11,D614)&lt;&gt;1,"CHECK leave type",IF(AND(Bookings!G614&lt;&gt;"Approved",Bookings!G614&lt;&gt;"Pending",Bookings!G614&lt;&gt;"Cancelled"),"CHECK status","OK")))))))))),"CHECK input"))</ns0:f>
        <ns0:v/>
      </ns0:c>
      <ns0:c r="G614" s="0">
        <ns0:f>IF(OR(F614&lt;&gt;"OK",$B$6&gt;0),0,0.5*(IF(('_Dates'!X614)&lt;('_Dates'!W614),0,INT((('_Dates'!X614)-('_Dates'!W614)+1)/7)*LEN(SUBSTITUTE(W614,"O",""))+LEN(SUBSTITUTE(MID(W614&amp;W614,WEEKDAY(('_Dates'!W614),2),MOD((('_Dates'!X614)-('_Dates'!W614)+1),7)),"O",""))-COUNTIFS(INDEX(AllClosureRows,C614,0),"&gt;="&amp;('_Dates'!W614),INDEX(AllClosureRows,C614,0),"&lt;="&amp;('_Dates'!X614)))+IF(('_Dates'!Z614)&lt;('_Dates'!Y614),0,INT((('_Dates'!Z614)-('_Dates'!Y614)+1)/7)*LEN(SUBSTITUTE(W614,"O",""))+LEN(SUBSTITUTE(MID(W614&amp;W614,WEEKDAY(('_Dates'!Y614),2),MOD((('_Dates'!Z614)-('_Dates'!Y614)+1),7)),"O",""))-COUNTIFS(INDEX(AllClosureRows,C614,0),"&gt;="&amp;('_Dates'!Y614),INDEX(AllClosureRows,C614,0),"&lt;="&amp;('_Dates'!Z614)))))</ns0:f>
        <ns0:v>0</ns0:v>
      </ns0:c>
      <ns0:c r="H614" s="0">
        <ns0:f>IF(OR(F614&lt;&gt;"OK",$B$6&gt;0),0,0.5*(IF((MIN('_Dates'!X614,Settings!$B$9))&lt;('_Dates'!W614),0,INT(((MIN('_Dates'!X614,Settings!$B$9))-('_Dates'!W614)+1)/7)*LEN(SUBSTITUTE(W614,"O",""))+LEN(SUBSTITUTE(MID(W614&amp;W614,WEEKDAY(('_Dates'!W614),2),MOD(((MIN('_Dates'!X614,Settings!$B$9))-('_Dates'!W614)+1),7)),"O",""))-COUNTIFS(INDEX(AllClosureRows,C614,0),"&gt;="&amp;('_Dates'!W614),INDEX(AllClosureRows,C614,0),"&lt;="&amp;(MIN('_Dates'!X614,Settings!$B$9))))+IF((MIN('_Dates'!Z614,Settings!$B$9))&lt;('_Dates'!Y614),0,INT(((MIN('_Dates'!Z614,Settings!$B$9))-('_Dates'!Y614)+1)/7)*LEN(SUBSTITUTE(W614,"O",""))+LEN(SUBSTITUTE(MID(W614&amp;W614,WEEKDAY(('_Dates'!Y614),2),MOD(((MIN('_Dates'!Z614,Settings!$B$9))-('_Dates'!Y614)+1),7)),"O",""))-COUNTIFS(INDEX(AllClosureRows,C614,0),"&gt;="&amp;('_Dates'!Y614),INDEX(AllClosureRows,C614,0),"&lt;="&amp;(MIN('_Dates'!Z614,Settings!$B$9))))))</ns0:f>
        <ns0:v>0</ns0:v>
      </ns0:c>
      <ns0:c r="I614" s="0">
        <ns0:f>MAX(0,G614-H614)</ns0:f>
        <ns0:v>0</ns0:v>
      </ns0:c>
      <ns0:c r="J614" s="0">
        <ns0:f>IF(OR(A614=0,F614&lt;&gt;"OK",Bookings!G614="Cancelled",$B$6&gt;0),0,IF('_Dates'!AC614=1,MAX(0,COUNTIFS(rngEngine_B,B614,rngAMStart,"&lt;="&amp;'_Dates'!X614,rngAMEnd,"&gt;="&amp;'_Dates'!W614,rngAMActive,1,rngEngine_F,"OK",rngBookings_F,"&lt;&gt;Cancelled")-1),0)+IF('_Dates'!AD614=1,MAX(0,COUNTIFS(rngEngine_B,B614,rngPMStart,"&lt;="&amp;'_Dates'!Z614,rngPMEnd,"&gt;="&amp;'_Dates'!Y614,rngPMActive,1,rngEngine_F,"OK",rngBookings_F,"&lt;&gt;Cancelled")-1),0))</ns0:f>
        <ns0:v>0</ns0:v>
      </ns0:c>
      <ns0:c r="K614" s="0" t="str">
        <ns0:f>IF(A614=0,"",IF(F614&lt;&gt;"OK",F614,IF(J614&gt;0,"CHECK overlapping entry",IF(AND($B$6=0,G614&lt;=0,Bookings!G614&lt;&gt;"Cancelled"),"CHECK no working days",IF(Bookings!G614="Cancelled","Cancelled","OK")))))</ns0:f>
        <ns0:v/>
      </ns0:c>
      <ns0:c r="L614" s="0">
        <ns0:f>IF(LEFT(K614,5)="CHECK",1,0)</ns0:f>
        <ns0:v>0</ns0:v>
      </ns0:c>
      <ns0:c r="M614" s="0">
        <ns0:f>IF(AND(L614=1,OR(C614=0,IFERROR(INDEX($X$11:$X$60,C614),0)=0)),1,0)</ns0:f>
        <ns0:v>0</ns0:v>
      </ns0:c>
      <ns0:c r="N614" s="0">
        <ns0:f>IF(OR(A614=0,L614&gt;0,$B$6&gt;0,Bookings!G614="Cancelled"),0,G614)</ns0:f>
        <ns0:v>0</ns0:v>
      </ns0:c>
      <ns0:c r="O614" s="0">
        <ns0:f>IF(AND(Bookings!G614="Approved",E614="Yes"),N614,0)</ns0:f>
        <ns0:v>0</ns0:v>
      </ns0:c>
      <ns0:c r="P614" s="0">
        <ns0:f>IF(AND(Bookings!G614="Approved",E614="Yes",L614=0,$B$6=0),H614,0)</ns0:f>
        <ns0:v>0</ns0:v>
      </ns0:c>
      <ns0:c r="Q614" s="0">
        <ns0:f>IF(AND(Bookings!G614="Approved",E614="Yes",L614=0,$B$6=0),I614,0)</ns0:f>
        <ns0:v>0</ns0:v>
      </ns0:c>
      <ns0:c r="R614" s="0">
        <ns0:f>IF(AND(Bookings!G614="Pending",E614="Yes"),N614,0)</ns0:f>
        <ns0:v>0</ns0:v>
      </ns0:c>
      <ns0:c r="S614" s="0">
        <ns0:f>IF(AND(Bookings!G614="Approved",E614="No"),N614,0)</ns0:f>
        <ns0:v>0</ns0:v>
      </ns0:c>
      <ns0:c r="T614" s="0">
        <ns0:f>IFERROR(MATCH(D614,Settings!$G$7:$G$11,0),0)</ns0:f>
        <ns0:v>0</ns0:v>
      </ns0:c>
      <ns0:c r="U614" s="0">
        <ns0:f>IF(N614&gt;0,T614+IF(Bookings!G614="Pending",10,0),0)</ns0:f>
        <ns0:v>0</ns0:v>
      </ns0:c>
      <ns0:c r="V614" s="0">
        <ns0:f>U614</ns0:f>
        <ns0:v>0</ns0:v>
      </ns0:c>
      <ns0:c r="W614" s="0" t="str">
        <ns0:f>IF(C614=0,"",INDEX($AP$11:$AP$60,C614))</ns0:f>
        <ns0:v/>
      </ns0:c>
    </ns0:row>
    <ns0:row r="615">
      <ns0:c r="A615" s="0">
        <ns0:f>IF(COUNTA(Bookings!A615:G615,Bookings!I615)=0,0,1)</ns0:f>
        <ns0:v>0</ns0:v>
      </ns0:c>
      <ns0:c r="B615" s="0" t="str">
        <ns0:f>IFERROR(TRIM(MID(Bookings!A615,FIND(" · ",Bookings!A615)+3,99)),"")</ns0:f>
        <ns0:v/>
      </ns0:c>
      <ns0:c r="C615" s="0">
        <ns0:f>IF(OR(B615="",LEN(B615)&gt;24,ISNUMBER(FIND(" ",B615)),ISNUMBER(FIND("*",B615)),ISNUMBER(FIND("?",B615)),ISNUMBER(FIND("~",B615))),0,IFERROR(MATCH(B615,Team!$A$11:$A$60,0),0))</ns0:f>
        <ns0:v>0</ns0:v>
      </ns0:c>
      <ns0:c r="D615" s="0" t="str">
        <ns0:f>IFERROR(IF(MID(Bookings!F615,LEN(Bookings!F615)-3,3)=" · ",RIGHT(Bookings!F615,1),""),"")</ns0:f>
        <ns0:v/>
      </ns0:c>
      <ns0:c r="E615" s="0" t="str">
        <ns0:f>IFERROR(INDEX(Settings!$H$7:$H$11,MATCH(D615,Settings!$G$7:$G$11,0)),"")</ns0:f>
        <ns0:v/>
      </ns0:c>
      <ns0:c r="F615" s="0" t="str">
        <ns0:f>IF(A615=0,"",IFERROR(IF(OR(B615="",C615=0),"CHECK employee selection",IF(INDEX(Team!$O$11:$O$60,C615)&lt;&gt;"OK","CHECK employee setup",IF(OR('_Dates'!J615=0,'_Dates'!T615=0),"CHECK date: use DD.MM.YYYY",IF('_Dates'!T615&lt;'_Dates'!J615,"CHECK end before start",IF(AND($B$6=0,OR('_Dates'!J615&lt;Settings!$B$7,'_Dates'!T615&gt;Settings!$B$8)),"CHECK split across leave years",IF(OR(NOT(OR('_Dates'!U615="Full day",'_Dates'!U615="AM",'_Dates'!U615="PM")),NOT(OR('_Dates'!V615="Full day",'_Dates'!V615="AM",'_Dates'!V615="PM"))),"CHECK Full day / AM / PM",IF(AND('_Dates'!J615='_Dates'!T615,'_Dates'!U615&lt;&gt;"Full day",'_Dates'!V615&lt;&gt;"Full day",'_Dates'!U615&lt;&gt;'_Dates'!V615),"CHECK same-day portions disagree",IF(AND($B$6=0,OR(AND('_Dates'!U615&lt;&gt;"Full day",'_Dates'!AA615=0),AND('_Dates'!V615&lt;&gt;"Full day",'_Dates'!AB615=0))),"CHECK half-day on non-working date",IF(COUNTIF(Settings!$G$7:$G$11,D615)&lt;&gt;1,"CHECK leave type",IF(AND(Bookings!G615&lt;&gt;"Approved",Bookings!G615&lt;&gt;"Pending",Bookings!G615&lt;&gt;"Cancelled"),"CHECK status","OK")))))))))),"CHECK input"))</ns0:f>
        <ns0:v/>
      </ns0:c>
      <ns0:c r="G615" s="0">
        <ns0:f>IF(OR(F615&lt;&gt;"OK",$B$6&gt;0),0,0.5*(IF(('_Dates'!X615)&lt;('_Dates'!W615),0,INT((('_Dates'!X615)-('_Dates'!W615)+1)/7)*LEN(SUBSTITUTE(W615,"O",""))+LEN(SUBSTITUTE(MID(W615&amp;W615,WEEKDAY(('_Dates'!W615),2),MOD((('_Dates'!X615)-('_Dates'!W615)+1),7)),"O",""))-COUNTIFS(INDEX(AllClosureRows,C615,0),"&gt;="&amp;('_Dates'!W615),INDEX(AllClosureRows,C615,0),"&lt;="&amp;('_Dates'!X615)))+IF(('_Dates'!Z615)&lt;('_Dates'!Y615),0,INT((('_Dates'!Z615)-('_Dates'!Y615)+1)/7)*LEN(SUBSTITUTE(W615,"O",""))+LEN(SUBSTITUTE(MID(W615&amp;W615,WEEKDAY(('_Dates'!Y615),2),MOD((('_Dates'!Z615)-('_Dates'!Y615)+1),7)),"O",""))-COUNTIFS(INDEX(AllClosureRows,C615,0),"&gt;="&amp;('_Dates'!Y615),INDEX(AllClosureRows,C615,0),"&lt;="&amp;('_Dates'!Z615)))))</ns0:f>
        <ns0:v>0</ns0:v>
      </ns0:c>
      <ns0:c r="H615" s="0">
        <ns0:f>IF(OR(F615&lt;&gt;"OK",$B$6&gt;0),0,0.5*(IF((MIN('_Dates'!X615,Settings!$B$9))&lt;('_Dates'!W615),0,INT(((MIN('_Dates'!X615,Settings!$B$9))-('_Dates'!W615)+1)/7)*LEN(SUBSTITUTE(W615,"O",""))+LEN(SUBSTITUTE(MID(W615&amp;W615,WEEKDAY(('_Dates'!W615),2),MOD(((MIN('_Dates'!X615,Settings!$B$9))-('_Dates'!W615)+1),7)),"O",""))-COUNTIFS(INDEX(AllClosureRows,C615,0),"&gt;="&amp;('_Dates'!W615),INDEX(AllClosureRows,C615,0),"&lt;="&amp;(MIN('_Dates'!X615,Settings!$B$9))))+IF((MIN('_Dates'!Z615,Settings!$B$9))&lt;('_Dates'!Y615),0,INT(((MIN('_Dates'!Z615,Settings!$B$9))-('_Dates'!Y615)+1)/7)*LEN(SUBSTITUTE(W615,"O",""))+LEN(SUBSTITUTE(MID(W615&amp;W615,WEEKDAY(('_Dates'!Y615),2),MOD(((MIN('_Dates'!Z615,Settings!$B$9))-('_Dates'!Y615)+1),7)),"O",""))-COUNTIFS(INDEX(AllClosureRows,C615,0),"&gt;="&amp;('_Dates'!Y615),INDEX(AllClosureRows,C615,0),"&lt;="&amp;(MIN('_Dates'!Z615,Settings!$B$9))))))</ns0:f>
        <ns0:v>0</ns0:v>
      </ns0:c>
      <ns0:c r="I615" s="0">
        <ns0:f>MAX(0,G615-H615)</ns0:f>
        <ns0:v>0</ns0:v>
      </ns0:c>
      <ns0:c r="J615" s="0">
        <ns0:f>IF(OR(A615=0,F615&lt;&gt;"OK",Bookings!G615="Cancelled",$B$6&gt;0),0,IF('_Dates'!AC615=1,MAX(0,COUNTIFS(rngEngine_B,B615,rngAMStart,"&lt;="&amp;'_Dates'!X615,rngAMEnd,"&gt;="&amp;'_Dates'!W615,rngAMActive,1,rngEngine_F,"OK",rngBookings_F,"&lt;&gt;Cancelled")-1),0)+IF('_Dates'!AD615=1,MAX(0,COUNTIFS(rngEngine_B,B615,rngPMStart,"&lt;="&amp;'_Dates'!Z615,rngPMEnd,"&gt;="&amp;'_Dates'!Y615,rngPMActive,1,rngEngine_F,"OK",rngBookings_F,"&lt;&gt;Cancelled")-1),0))</ns0:f>
        <ns0:v>0</ns0:v>
      </ns0:c>
      <ns0:c r="K615" s="0" t="str">
        <ns0:f>IF(A615=0,"",IF(F615&lt;&gt;"OK",F615,IF(J615&gt;0,"CHECK overlapping entry",IF(AND($B$6=0,G615&lt;=0,Bookings!G615&lt;&gt;"Cancelled"),"CHECK no working days",IF(Bookings!G615="Cancelled","Cancelled","OK")))))</ns0:f>
        <ns0:v/>
      </ns0:c>
      <ns0:c r="L615" s="0">
        <ns0:f>IF(LEFT(K615,5)="CHECK",1,0)</ns0:f>
        <ns0:v>0</ns0:v>
      </ns0:c>
      <ns0:c r="M615" s="0">
        <ns0:f>IF(AND(L615=1,OR(C615=0,IFERROR(INDEX($X$11:$X$60,C615),0)=0)),1,0)</ns0:f>
        <ns0:v>0</ns0:v>
      </ns0:c>
      <ns0:c r="N615" s="0">
        <ns0:f>IF(OR(A615=0,L615&gt;0,$B$6&gt;0,Bookings!G615="Cancelled"),0,G615)</ns0:f>
        <ns0:v>0</ns0:v>
      </ns0:c>
      <ns0:c r="O615" s="0">
        <ns0:f>IF(AND(Bookings!G615="Approved",E615="Yes"),N615,0)</ns0:f>
        <ns0:v>0</ns0:v>
      </ns0:c>
      <ns0:c r="P615" s="0">
        <ns0:f>IF(AND(Bookings!G615="Approved",E615="Yes",L615=0,$B$6=0),H615,0)</ns0:f>
        <ns0:v>0</ns0:v>
      </ns0:c>
      <ns0:c r="Q615" s="0">
        <ns0:f>IF(AND(Bookings!G615="Approved",E615="Yes",L615=0,$B$6=0),I615,0)</ns0:f>
        <ns0:v>0</ns0:v>
      </ns0:c>
      <ns0:c r="R615" s="0">
        <ns0:f>IF(AND(Bookings!G615="Pending",E615="Yes"),N615,0)</ns0:f>
        <ns0:v>0</ns0:v>
      </ns0:c>
      <ns0:c r="S615" s="0">
        <ns0:f>IF(AND(Bookings!G615="Approved",E615="No"),N615,0)</ns0:f>
        <ns0:v>0</ns0:v>
      </ns0:c>
      <ns0:c r="T615" s="0">
        <ns0:f>IFERROR(MATCH(D615,Settings!$G$7:$G$11,0),0)</ns0:f>
        <ns0:v>0</ns0:v>
      </ns0:c>
      <ns0:c r="U615" s="0">
        <ns0:f>IF(N615&gt;0,T615+IF(Bookings!G615="Pending",10,0),0)</ns0:f>
        <ns0:v>0</ns0:v>
      </ns0:c>
      <ns0:c r="V615" s="0">
        <ns0:f>U615</ns0:f>
        <ns0:v>0</ns0:v>
      </ns0:c>
      <ns0:c r="W615" s="0" t="str">
        <ns0:f>IF(C615=0,"",INDEX($AP$11:$AP$60,C615))</ns0:f>
        <ns0:v/>
      </ns0:c>
    </ns0:row>
    <ns0:row r="616">
      <ns0:c r="A616" s="0">
        <ns0:f>IF(COUNTA(Bookings!A616:G616,Bookings!I616)=0,0,1)</ns0:f>
        <ns0:v>0</ns0:v>
      </ns0:c>
      <ns0:c r="B616" s="0" t="str">
        <ns0:f>IFERROR(TRIM(MID(Bookings!A616,FIND(" · ",Bookings!A616)+3,99)),"")</ns0:f>
        <ns0:v/>
      </ns0:c>
      <ns0:c r="C616" s="0">
        <ns0:f>IF(OR(B616="",LEN(B616)&gt;24,ISNUMBER(FIND(" ",B616)),ISNUMBER(FIND("*",B616)),ISNUMBER(FIND("?",B616)),ISNUMBER(FIND("~",B616))),0,IFERROR(MATCH(B616,Team!$A$11:$A$60,0),0))</ns0:f>
        <ns0:v>0</ns0:v>
      </ns0:c>
      <ns0:c r="D616" s="0" t="str">
        <ns0:f>IFERROR(IF(MID(Bookings!F616,LEN(Bookings!F616)-3,3)=" · ",RIGHT(Bookings!F616,1),""),"")</ns0:f>
        <ns0:v/>
      </ns0:c>
      <ns0:c r="E616" s="0" t="str">
        <ns0:f>IFERROR(INDEX(Settings!$H$7:$H$11,MATCH(D616,Settings!$G$7:$G$11,0)),"")</ns0:f>
        <ns0:v/>
      </ns0:c>
      <ns0:c r="F616" s="0" t="str">
        <ns0:f>IF(A616=0,"",IFERROR(IF(OR(B616="",C616=0),"CHECK employee selection",IF(INDEX(Team!$O$11:$O$60,C616)&lt;&gt;"OK","CHECK employee setup",IF(OR('_Dates'!J616=0,'_Dates'!T616=0),"CHECK date: use DD.MM.YYYY",IF('_Dates'!T616&lt;'_Dates'!J616,"CHECK end before start",IF(AND($B$6=0,OR('_Dates'!J616&lt;Settings!$B$7,'_Dates'!T616&gt;Settings!$B$8)),"CHECK split across leave years",IF(OR(NOT(OR('_Dates'!U616="Full day",'_Dates'!U616="AM",'_Dates'!U616="PM")),NOT(OR('_Dates'!V616="Full day",'_Dates'!V616="AM",'_Dates'!V616="PM"))),"CHECK Full day / AM / PM",IF(AND('_Dates'!J616='_Dates'!T616,'_Dates'!U616&lt;&gt;"Full day",'_Dates'!V616&lt;&gt;"Full day",'_Dates'!U616&lt;&gt;'_Dates'!V616),"CHECK same-day portions disagree",IF(AND($B$6=0,OR(AND('_Dates'!U616&lt;&gt;"Full day",'_Dates'!AA616=0),AND('_Dates'!V616&lt;&gt;"Full day",'_Dates'!AB616=0))),"CHECK half-day on non-working date",IF(COUNTIF(Settings!$G$7:$G$11,D616)&lt;&gt;1,"CHECK leave type",IF(AND(Bookings!G616&lt;&gt;"Approved",Bookings!G616&lt;&gt;"Pending",Bookings!G616&lt;&gt;"Cancelled"),"CHECK status","OK")))))))))),"CHECK input"))</ns0:f>
        <ns0:v/>
      </ns0:c>
      <ns0:c r="G616" s="0">
        <ns0:f>IF(OR(F616&lt;&gt;"OK",$B$6&gt;0),0,0.5*(IF(('_Dates'!X616)&lt;('_Dates'!W616),0,INT((('_Dates'!X616)-('_Dates'!W616)+1)/7)*LEN(SUBSTITUTE(W616,"O",""))+LEN(SUBSTITUTE(MID(W616&amp;W616,WEEKDAY(('_Dates'!W616),2),MOD((('_Dates'!X616)-('_Dates'!W616)+1),7)),"O",""))-COUNTIFS(INDEX(AllClosureRows,C616,0),"&gt;="&amp;('_Dates'!W616),INDEX(AllClosureRows,C616,0),"&lt;="&amp;('_Dates'!X616)))+IF(('_Dates'!Z616)&lt;('_Dates'!Y616),0,INT((('_Dates'!Z616)-('_Dates'!Y616)+1)/7)*LEN(SUBSTITUTE(W616,"O",""))+LEN(SUBSTITUTE(MID(W616&amp;W616,WEEKDAY(('_Dates'!Y616),2),MOD((('_Dates'!Z616)-('_Dates'!Y616)+1),7)),"O",""))-COUNTIFS(INDEX(AllClosureRows,C616,0),"&gt;="&amp;('_Dates'!Y616),INDEX(AllClosureRows,C616,0),"&lt;="&amp;('_Dates'!Z616)))))</ns0:f>
        <ns0:v>0</ns0:v>
      </ns0:c>
      <ns0:c r="H616" s="0">
        <ns0:f>IF(OR(F616&lt;&gt;"OK",$B$6&gt;0),0,0.5*(IF((MIN('_Dates'!X616,Settings!$B$9))&lt;('_Dates'!W616),0,INT(((MIN('_Dates'!X616,Settings!$B$9))-('_Dates'!W616)+1)/7)*LEN(SUBSTITUTE(W616,"O",""))+LEN(SUBSTITUTE(MID(W616&amp;W616,WEEKDAY(('_Dates'!W616),2),MOD(((MIN('_Dates'!X616,Settings!$B$9))-('_Dates'!W616)+1),7)),"O",""))-COUNTIFS(INDEX(AllClosureRows,C616,0),"&gt;="&amp;('_Dates'!W616),INDEX(AllClosureRows,C616,0),"&lt;="&amp;(MIN('_Dates'!X616,Settings!$B$9))))+IF((MIN('_Dates'!Z616,Settings!$B$9))&lt;('_Dates'!Y616),0,INT(((MIN('_Dates'!Z616,Settings!$B$9))-('_Dates'!Y616)+1)/7)*LEN(SUBSTITUTE(W616,"O",""))+LEN(SUBSTITUTE(MID(W616&amp;W616,WEEKDAY(('_Dates'!Y616),2),MOD(((MIN('_Dates'!Z616,Settings!$B$9))-('_Dates'!Y616)+1),7)),"O",""))-COUNTIFS(INDEX(AllClosureRows,C616,0),"&gt;="&amp;('_Dates'!Y616),INDEX(AllClosureRows,C616,0),"&lt;="&amp;(MIN('_Dates'!Z616,Settings!$B$9))))))</ns0:f>
        <ns0:v>0</ns0:v>
      </ns0:c>
      <ns0:c r="I616" s="0">
        <ns0:f>MAX(0,G616-H616)</ns0:f>
        <ns0:v>0</ns0:v>
      </ns0:c>
      <ns0:c r="J616" s="0">
        <ns0:f>IF(OR(A616=0,F616&lt;&gt;"OK",Bookings!G616="Cancelled",$B$6&gt;0),0,IF('_Dates'!AC616=1,MAX(0,COUNTIFS(rngEngine_B,B616,rngAMStart,"&lt;="&amp;'_Dates'!X616,rngAMEnd,"&gt;="&amp;'_Dates'!W616,rngAMActive,1,rngEngine_F,"OK",rngBookings_F,"&lt;&gt;Cancelled")-1),0)+IF('_Dates'!AD616=1,MAX(0,COUNTIFS(rngEngine_B,B616,rngPMStart,"&lt;="&amp;'_Dates'!Z616,rngPMEnd,"&gt;="&amp;'_Dates'!Y616,rngPMActive,1,rngEngine_F,"OK",rngBookings_F,"&lt;&gt;Cancelled")-1),0))</ns0:f>
        <ns0:v>0</ns0:v>
      </ns0:c>
      <ns0:c r="K616" s="0" t="str">
        <ns0:f>IF(A616=0,"",IF(F616&lt;&gt;"OK",F616,IF(J616&gt;0,"CHECK overlapping entry",IF(AND($B$6=0,G616&lt;=0,Bookings!G616&lt;&gt;"Cancelled"),"CHECK no working days",IF(Bookings!G616="Cancelled","Cancelled","OK")))))</ns0:f>
        <ns0:v/>
      </ns0:c>
      <ns0:c r="L616" s="0">
        <ns0:f>IF(LEFT(K616,5)="CHECK",1,0)</ns0:f>
        <ns0:v>0</ns0:v>
      </ns0:c>
      <ns0:c r="M616" s="0">
        <ns0:f>IF(AND(L616=1,OR(C616=0,IFERROR(INDEX($X$11:$X$60,C616),0)=0)),1,0)</ns0:f>
        <ns0:v>0</ns0:v>
      </ns0:c>
      <ns0:c r="N616" s="0">
        <ns0:f>IF(OR(A616=0,L616&gt;0,$B$6&gt;0,Bookings!G616="Cancelled"),0,G616)</ns0:f>
        <ns0:v>0</ns0:v>
      </ns0:c>
      <ns0:c r="O616" s="0">
        <ns0:f>IF(AND(Bookings!G616="Approved",E616="Yes"),N616,0)</ns0:f>
        <ns0:v>0</ns0:v>
      </ns0:c>
      <ns0:c r="P616" s="0">
        <ns0:f>IF(AND(Bookings!G616="Approved",E616="Yes",L616=0,$B$6=0),H616,0)</ns0:f>
        <ns0:v>0</ns0:v>
      </ns0:c>
      <ns0:c r="Q616" s="0">
        <ns0:f>IF(AND(Bookings!G616="Approved",E616="Yes",L616=0,$B$6=0),I616,0)</ns0:f>
        <ns0:v>0</ns0:v>
      </ns0:c>
      <ns0:c r="R616" s="0">
        <ns0:f>IF(AND(Bookings!G616="Pending",E616="Yes"),N616,0)</ns0:f>
        <ns0:v>0</ns0:v>
      </ns0:c>
      <ns0:c r="S616" s="0">
        <ns0:f>IF(AND(Bookings!G616="Approved",E616="No"),N616,0)</ns0:f>
        <ns0:v>0</ns0:v>
      </ns0:c>
      <ns0:c r="T616" s="0">
        <ns0:f>IFERROR(MATCH(D616,Settings!$G$7:$G$11,0),0)</ns0:f>
        <ns0:v>0</ns0:v>
      </ns0:c>
      <ns0:c r="U616" s="0">
        <ns0:f>IF(N616&gt;0,T616+IF(Bookings!G616="Pending",10,0),0)</ns0:f>
        <ns0:v>0</ns0:v>
      </ns0:c>
      <ns0:c r="V616" s="0">
        <ns0:f>U616</ns0:f>
        <ns0:v>0</ns0:v>
      </ns0:c>
      <ns0:c r="W616" s="0" t="str">
        <ns0:f>IF(C616=0,"",INDEX($AP$11:$AP$60,C616))</ns0:f>
        <ns0:v/>
      </ns0:c>
    </ns0:row>
    <ns0:row r="617">
      <ns0:c r="A617" s="0">
        <ns0:f>IF(COUNTA(Bookings!A617:G617,Bookings!I617)=0,0,1)</ns0:f>
        <ns0:v>0</ns0:v>
      </ns0:c>
      <ns0:c r="B617" s="0" t="str">
        <ns0:f>IFERROR(TRIM(MID(Bookings!A617,FIND(" · ",Bookings!A617)+3,99)),"")</ns0:f>
        <ns0:v/>
      </ns0:c>
      <ns0:c r="C617" s="0">
        <ns0:f>IF(OR(B617="",LEN(B617)&gt;24,ISNUMBER(FIND(" ",B617)),ISNUMBER(FIND("*",B617)),ISNUMBER(FIND("?",B617)),ISNUMBER(FIND("~",B617))),0,IFERROR(MATCH(B617,Team!$A$11:$A$60,0),0))</ns0:f>
        <ns0:v>0</ns0:v>
      </ns0:c>
      <ns0:c r="D617" s="0" t="str">
        <ns0:f>IFERROR(IF(MID(Bookings!F617,LEN(Bookings!F617)-3,3)=" · ",RIGHT(Bookings!F617,1),""),"")</ns0:f>
        <ns0:v/>
      </ns0:c>
      <ns0:c r="E617" s="0" t="str">
        <ns0:f>IFERROR(INDEX(Settings!$H$7:$H$11,MATCH(D617,Settings!$G$7:$G$11,0)),"")</ns0:f>
        <ns0:v/>
      </ns0:c>
      <ns0:c r="F617" s="0" t="str">
        <ns0:f>IF(A617=0,"",IFERROR(IF(OR(B617="",C617=0),"CHECK employee selection",IF(INDEX(Team!$O$11:$O$60,C617)&lt;&gt;"OK","CHECK employee setup",IF(OR('_Dates'!J617=0,'_Dates'!T617=0),"CHECK date: use DD.MM.YYYY",IF('_Dates'!T617&lt;'_Dates'!J617,"CHECK end before start",IF(AND($B$6=0,OR('_Dates'!J617&lt;Settings!$B$7,'_Dates'!T617&gt;Settings!$B$8)),"CHECK split across leave years",IF(OR(NOT(OR('_Dates'!U617="Full day",'_Dates'!U617="AM",'_Dates'!U617="PM")),NOT(OR('_Dates'!V617="Full day",'_Dates'!V617="AM",'_Dates'!V617="PM"))),"CHECK Full day / AM / PM",IF(AND('_Dates'!J617='_Dates'!T617,'_Dates'!U617&lt;&gt;"Full day",'_Dates'!V617&lt;&gt;"Full day",'_Dates'!U617&lt;&gt;'_Dates'!V617),"CHECK same-day portions disagree",IF(AND($B$6=0,OR(AND('_Dates'!U617&lt;&gt;"Full day",'_Dates'!AA617=0),AND('_Dates'!V617&lt;&gt;"Full day",'_Dates'!AB617=0))),"CHECK half-day on non-working date",IF(COUNTIF(Settings!$G$7:$G$11,D617)&lt;&gt;1,"CHECK leave type",IF(AND(Bookings!G617&lt;&gt;"Approved",Bookings!G617&lt;&gt;"Pending",Bookings!G617&lt;&gt;"Cancelled"),"CHECK status","OK")))))))))),"CHECK input"))</ns0:f>
        <ns0:v/>
      </ns0:c>
      <ns0:c r="G617" s="0">
        <ns0:f>IF(OR(F617&lt;&gt;"OK",$B$6&gt;0),0,0.5*(IF(('_Dates'!X617)&lt;('_Dates'!W617),0,INT((('_Dates'!X617)-('_Dates'!W617)+1)/7)*LEN(SUBSTITUTE(W617,"O",""))+LEN(SUBSTITUTE(MID(W617&amp;W617,WEEKDAY(('_Dates'!W617),2),MOD((('_Dates'!X617)-('_Dates'!W617)+1),7)),"O",""))-COUNTIFS(INDEX(AllClosureRows,C617,0),"&gt;="&amp;('_Dates'!W617),INDEX(AllClosureRows,C617,0),"&lt;="&amp;('_Dates'!X617)))+IF(('_Dates'!Z617)&lt;('_Dates'!Y617),0,INT((('_Dates'!Z617)-('_Dates'!Y617)+1)/7)*LEN(SUBSTITUTE(W617,"O",""))+LEN(SUBSTITUTE(MID(W617&amp;W617,WEEKDAY(('_Dates'!Y617),2),MOD((('_Dates'!Z617)-('_Dates'!Y617)+1),7)),"O",""))-COUNTIFS(INDEX(AllClosureRows,C617,0),"&gt;="&amp;('_Dates'!Y617),INDEX(AllClosureRows,C617,0),"&lt;="&amp;('_Dates'!Z617)))))</ns0:f>
        <ns0:v>0</ns0:v>
      </ns0:c>
      <ns0:c r="H617" s="0">
        <ns0:f>IF(OR(F617&lt;&gt;"OK",$B$6&gt;0),0,0.5*(IF((MIN('_Dates'!X617,Settings!$B$9))&lt;('_Dates'!W617),0,INT(((MIN('_Dates'!X617,Settings!$B$9))-('_Dates'!W617)+1)/7)*LEN(SUBSTITUTE(W617,"O",""))+LEN(SUBSTITUTE(MID(W617&amp;W617,WEEKDAY(('_Dates'!W617),2),MOD(((MIN('_Dates'!X617,Settings!$B$9))-('_Dates'!W617)+1),7)),"O",""))-COUNTIFS(INDEX(AllClosureRows,C617,0),"&gt;="&amp;('_Dates'!W617),INDEX(AllClosureRows,C617,0),"&lt;="&amp;(MIN('_Dates'!X617,Settings!$B$9))))+IF((MIN('_Dates'!Z617,Settings!$B$9))&lt;('_Dates'!Y617),0,INT(((MIN('_Dates'!Z617,Settings!$B$9))-('_Dates'!Y617)+1)/7)*LEN(SUBSTITUTE(W617,"O",""))+LEN(SUBSTITUTE(MID(W617&amp;W617,WEEKDAY(('_Dates'!Y617),2),MOD(((MIN('_Dates'!Z617,Settings!$B$9))-('_Dates'!Y617)+1),7)),"O",""))-COUNTIFS(INDEX(AllClosureRows,C617,0),"&gt;="&amp;('_Dates'!Y617),INDEX(AllClosureRows,C617,0),"&lt;="&amp;(MIN('_Dates'!Z617,Settings!$B$9))))))</ns0:f>
        <ns0:v>0</ns0:v>
      </ns0:c>
      <ns0:c r="I617" s="0">
        <ns0:f>MAX(0,G617-H617)</ns0:f>
        <ns0:v>0</ns0:v>
      </ns0:c>
      <ns0:c r="J617" s="0">
        <ns0:f>IF(OR(A617=0,F617&lt;&gt;"OK",Bookings!G617="Cancelled",$B$6&gt;0),0,IF('_Dates'!AC617=1,MAX(0,COUNTIFS(rngEngine_B,B617,rngAMStart,"&lt;="&amp;'_Dates'!X617,rngAMEnd,"&gt;="&amp;'_Dates'!W617,rngAMActive,1,rngEngine_F,"OK",rngBookings_F,"&lt;&gt;Cancelled")-1),0)+IF('_Dates'!AD617=1,MAX(0,COUNTIFS(rngEngine_B,B617,rngPMStart,"&lt;="&amp;'_Dates'!Z617,rngPMEnd,"&gt;="&amp;'_Dates'!Y617,rngPMActive,1,rngEngine_F,"OK",rngBookings_F,"&lt;&gt;Cancelled")-1),0))</ns0:f>
        <ns0:v>0</ns0:v>
      </ns0:c>
      <ns0:c r="K617" s="0" t="str">
        <ns0:f>IF(A617=0,"",IF(F617&lt;&gt;"OK",F617,IF(J617&gt;0,"CHECK overlapping entry",IF(AND($B$6=0,G617&lt;=0,Bookings!G617&lt;&gt;"Cancelled"),"CHECK no working days",IF(Bookings!G617="Cancelled","Cancelled","OK")))))</ns0:f>
        <ns0:v/>
      </ns0:c>
      <ns0:c r="L617" s="0">
        <ns0:f>IF(LEFT(K617,5)="CHECK",1,0)</ns0:f>
        <ns0:v>0</ns0:v>
      </ns0:c>
      <ns0:c r="M617" s="0">
        <ns0:f>IF(AND(L617=1,OR(C617=0,IFERROR(INDEX($X$11:$X$60,C617),0)=0)),1,0)</ns0:f>
        <ns0:v>0</ns0:v>
      </ns0:c>
      <ns0:c r="N617" s="0">
        <ns0:f>IF(OR(A617=0,L617&gt;0,$B$6&gt;0,Bookings!G617="Cancelled"),0,G617)</ns0:f>
        <ns0:v>0</ns0:v>
      </ns0:c>
      <ns0:c r="O617" s="0">
        <ns0:f>IF(AND(Bookings!G617="Approved",E617="Yes"),N617,0)</ns0:f>
        <ns0:v>0</ns0:v>
      </ns0:c>
      <ns0:c r="P617" s="0">
        <ns0:f>IF(AND(Bookings!G617="Approved",E617="Yes",L617=0,$B$6=0),H617,0)</ns0:f>
        <ns0:v>0</ns0:v>
      </ns0:c>
      <ns0:c r="Q617" s="0">
        <ns0:f>IF(AND(Bookings!G617="Approved",E617="Yes",L617=0,$B$6=0),I617,0)</ns0:f>
        <ns0:v>0</ns0:v>
      </ns0:c>
      <ns0:c r="R617" s="0">
        <ns0:f>IF(AND(Bookings!G617="Pending",E617="Yes"),N617,0)</ns0:f>
        <ns0:v>0</ns0:v>
      </ns0:c>
      <ns0:c r="S617" s="0">
        <ns0:f>IF(AND(Bookings!G617="Approved",E617="No"),N617,0)</ns0:f>
        <ns0:v>0</ns0:v>
      </ns0:c>
      <ns0:c r="T617" s="0">
        <ns0:f>IFERROR(MATCH(D617,Settings!$G$7:$G$11,0),0)</ns0:f>
        <ns0:v>0</ns0:v>
      </ns0:c>
      <ns0:c r="U617" s="0">
        <ns0:f>IF(N617&gt;0,T617+IF(Bookings!G617="Pending",10,0),0)</ns0:f>
        <ns0:v>0</ns0:v>
      </ns0:c>
      <ns0:c r="V617" s="0">
        <ns0:f>U617</ns0:f>
        <ns0:v>0</ns0:v>
      </ns0:c>
      <ns0:c r="W617" s="0" t="str">
        <ns0:f>IF(C617=0,"",INDEX($AP$11:$AP$60,C617))</ns0:f>
        <ns0:v/>
      </ns0:c>
    </ns0:row>
    <ns0:row r="618">
      <ns0:c r="A618" s="0">
        <ns0:f>IF(COUNTA(Bookings!A618:G618,Bookings!I618)=0,0,1)</ns0:f>
        <ns0:v>0</ns0:v>
      </ns0:c>
      <ns0:c r="B618" s="0" t="str">
        <ns0:f>IFERROR(TRIM(MID(Bookings!A618,FIND(" · ",Bookings!A618)+3,99)),"")</ns0:f>
        <ns0:v/>
      </ns0:c>
      <ns0:c r="C618" s="0">
        <ns0:f>IF(OR(B618="",LEN(B618)&gt;24,ISNUMBER(FIND(" ",B618)),ISNUMBER(FIND("*",B618)),ISNUMBER(FIND("?",B618)),ISNUMBER(FIND("~",B618))),0,IFERROR(MATCH(B618,Team!$A$11:$A$60,0),0))</ns0:f>
        <ns0:v>0</ns0:v>
      </ns0:c>
      <ns0:c r="D618" s="0" t="str">
        <ns0:f>IFERROR(IF(MID(Bookings!F618,LEN(Bookings!F618)-3,3)=" · ",RIGHT(Bookings!F618,1),""),"")</ns0:f>
        <ns0:v/>
      </ns0:c>
      <ns0:c r="E618" s="0" t="str">
        <ns0:f>IFERROR(INDEX(Settings!$H$7:$H$11,MATCH(D618,Settings!$G$7:$G$11,0)),"")</ns0:f>
        <ns0:v/>
      </ns0:c>
      <ns0:c r="F618" s="0" t="str">
        <ns0:f>IF(A618=0,"",IFERROR(IF(OR(B618="",C618=0),"CHECK employee selection",IF(INDEX(Team!$O$11:$O$60,C618)&lt;&gt;"OK","CHECK employee setup",IF(OR('_Dates'!J618=0,'_Dates'!T618=0),"CHECK date: use DD.MM.YYYY",IF('_Dates'!T618&lt;'_Dates'!J618,"CHECK end before start",IF(AND($B$6=0,OR('_Dates'!J618&lt;Settings!$B$7,'_Dates'!T618&gt;Settings!$B$8)),"CHECK split across leave years",IF(OR(NOT(OR('_Dates'!U618="Full day",'_Dates'!U618="AM",'_Dates'!U618="PM")),NOT(OR('_Dates'!V618="Full day",'_Dates'!V618="AM",'_Dates'!V618="PM"))),"CHECK Full day / AM / PM",IF(AND('_Dates'!J618='_Dates'!T618,'_Dates'!U618&lt;&gt;"Full day",'_Dates'!V618&lt;&gt;"Full day",'_Dates'!U618&lt;&gt;'_Dates'!V618),"CHECK same-day portions disagree",IF(AND($B$6=0,OR(AND('_Dates'!U618&lt;&gt;"Full day",'_Dates'!AA618=0),AND('_Dates'!V618&lt;&gt;"Full day",'_Dates'!AB618=0))),"CHECK half-day on non-working date",IF(COUNTIF(Settings!$G$7:$G$11,D618)&lt;&gt;1,"CHECK leave type",IF(AND(Bookings!G618&lt;&gt;"Approved",Bookings!G618&lt;&gt;"Pending",Bookings!G618&lt;&gt;"Cancelled"),"CHECK status","OK")))))))))),"CHECK input"))</ns0:f>
        <ns0:v/>
      </ns0:c>
      <ns0:c r="G618" s="0">
        <ns0:f>IF(OR(F618&lt;&gt;"OK",$B$6&gt;0),0,0.5*(IF(('_Dates'!X618)&lt;('_Dates'!W618),0,INT((('_Dates'!X618)-('_Dates'!W618)+1)/7)*LEN(SUBSTITUTE(W618,"O",""))+LEN(SUBSTITUTE(MID(W618&amp;W618,WEEKDAY(('_Dates'!W618),2),MOD((('_Dates'!X618)-('_Dates'!W618)+1),7)),"O",""))-COUNTIFS(INDEX(AllClosureRows,C618,0),"&gt;="&amp;('_Dates'!W618),INDEX(AllClosureRows,C618,0),"&lt;="&amp;('_Dates'!X618)))+IF(('_Dates'!Z618)&lt;('_Dates'!Y618),0,INT((('_Dates'!Z618)-('_Dates'!Y618)+1)/7)*LEN(SUBSTITUTE(W618,"O",""))+LEN(SUBSTITUTE(MID(W618&amp;W618,WEEKDAY(('_Dates'!Y618),2),MOD((('_Dates'!Z618)-('_Dates'!Y618)+1),7)),"O",""))-COUNTIFS(INDEX(AllClosureRows,C618,0),"&gt;="&amp;('_Dates'!Y618),INDEX(AllClosureRows,C618,0),"&lt;="&amp;('_Dates'!Z618)))))</ns0:f>
        <ns0:v>0</ns0:v>
      </ns0:c>
      <ns0:c r="H618" s="0">
        <ns0:f>IF(OR(F618&lt;&gt;"OK",$B$6&gt;0),0,0.5*(IF((MIN('_Dates'!X618,Settings!$B$9))&lt;('_Dates'!W618),0,INT(((MIN('_Dates'!X618,Settings!$B$9))-('_Dates'!W618)+1)/7)*LEN(SUBSTITUTE(W618,"O",""))+LEN(SUBSTITUTE(MID(W618&amp;W618,WEEKDAY(('_Dates'!W618),2),MOD(((MIN('_Dates'!X618,Settings!$B$9))-('_Dates'!W618)+1),7)),"O",""))-COUNTIFS(INDEX(AllClosureRows,C618,0),"&gt;="&amp;('_Dates'!W618),INDEX(AllClosureRows,C618,0),"&lt;="&amp;(MIN('_Dates'!X618,Settings!$B$9))))+IF((MIN('_Dates'!Z618,Settings!$B$9))&lt;('_Dates'!Y618),0,INT(((MIN('_Dates'!Z618,Settings!$B$9))-('_Dates'!Y618)+1)/7)*LEN(SUBSTITUTE(W618,"O",""))+LEN(SUBSTITUTE(MID(W618&amp;W618,WEEKDAY(('_Dates'!Y618),2),MOD(((MIN('_Dates'!Z618,Settings!$B$9))-('_Dates'!Y618)+1),7)),"O",""))-COUNTIFS(INDEX(AllClosureRows,C618,0),"&gt;="&amp;('_Dates'!Y618),INDEX(AllClosureRows,C618,0),"&lt;="&amp;(MIN('_Dates'!Z618,Settings!$B$9))))))</ns0:f>
        <ns0:v>0</ns0:v>
      </ns0:c>
      <ns0:c r="I618" s="0">
        <ns0:f>MAX(0,G618-H618)</ns0:f>
        <ns0:v>0</ns0:v>
      </ns0:c>
      <ns0:c r="J618" s="0">
        <ns0:f>IF(OR(A618=0,F618&lt;&gt;"OK",Bookings!G618="Cancelled",$B$6&gt;0),0,IF('_Dates'!AC618=1,MAX(0,COUNTIFS(rngEngine_B,B618,rngAMStart,"&lt;="&amp;'_Dates'!X618,rngAMEnd,"&gt;="&amp;'_Dates'!W618,rngAMActive,1,rngEngine_F,"OK",rngBookings_F,"&lt;&gt;Cancelled")-1),0)+IF('_Dates'!AD618=1,MAX(0,COUNTIFS(rngEngine_B,B618,rngPMStart,"&lt;="&amp;'_Dates'!Z618,rngPMEnd,"&gt;="&amp;'_Dates'!Y618,rngPMActive,1,rngEngine_F,"OK",rngBookings_F,"&lt;&gt;Cancelled")-1),0))</ns0:f>
        <ns0:v>0</ns0:v>
      </ns0:c>
      <ns0:c r="K618" s="0" t="str">
        <ns0:f>IF(A618=0,"",IF(F618&lt;&gt;"OK",F618,IF(J618&gt;0,"CHECK overlapping entry",IF(AND($B$6=0,G618&lt;=0,Bookings!G618&lt;&gt;"Cancelled"),"CHECK no working days",IF(Bookings!G618="Cancelled","Cancelled","OK")))))</ns0:f>
        <ns0:v/>
      </ns0:c>
      <ns0:c r="L618" s="0">
        <ns0:f>IF(LEFT(K618,5)="CHECK",1,0)</ns0:f>
        <ns0:v>0</ns0:v>
      </ns0:c>
      <ns0:c r="M618" s="0">
        <ns0:f>IF(AND(L618=1,OR(C618=0,IFERROR(INDEX($X$11:$X$60,C618),0)=0)),1,0)</ns0:f>
        <ns0:v>0</ns0:v>
      </ns0:c>
      <ns0:c r="N618" s="0">
        <ns0:f>IF(OR(A618=0,L618&gt;0,$B$6&gt;0,Bookings!G618="Cancelled"),0,G618)</ns0:f>
        <ns0:v>0</ns0:v>
      </ns0:c>
      <ns0:c r="O618" s="0">
        <ns0:f>IF(AND(Bookings!G618="Approved",E618="Yes"),N618,0)</ns0:f>
        <ns0:v>0</ns0:v>
      </ns0:c>
      <ns0:c r="P618" s="0">
        <ns0:f>IF(AND(Bookings!G618="Approved",E618="Yes",L618=0,$B$6=0),H618,0)</ns0:f>
        <ns0:v>0</ns0:v>
      </ns0:c>
      <ns0:c r="Q618" s="0">
        <ns0:f>IF(AND(Bookings!G618="Approved",E618="Yes",L618=0,$B$6=0),I618,0)</ns0:f>
        <ns0:v>0</ns0:v>
      </ns0:c>
      <ns0:c r="R618" s="0">
        <ns0:f>IF(AND(Bookings!G618="Pending",E618="Yes"),N618,0)</ns0:f>
        <ns0:v>0</ns0:v>
      </ns0:c>
      <ns0:c r="S618" s="0">
        <ns0:f>IF(AND(Bookings!G618="Approved",E618="No"),N618,0)</ns0:f>
        <ns0:v>0</ns0:v>
      </ns0:c>
      <ns0:c r="T618" s="0">
        <ns0:f>IFERROR(MATCH(D618,Settings!$G$7:$G$11,0),0)</ns0:f>
        <ns0:v>0</ns0:v>
      </ns0:c>
      <ns0:c r="U618" s="0">
        <ns0:f>IF(N618&gt;0,T618+IF(Bookings!G618="Pending",10,0),0)</ns0:f>
        <ns0:v>0</ns0:v>
      </ns0:c>
      <ns0:c r="V618" s="0">
        <ns0:f>U618</ns0:f>
        <ns0:v>0</ns0:v>
      </ns0:c>
      <ns0:c r="W618" s="0" t="str">
        <ns0:f>IF(C618=0,"",INDEX($AP$11:$AP$60,C618))</ns0:f>
        <ns0:v/>
      </ns0:c>
    </ns0:row>
    <ns0:row r="619">
      <ns0:c r="A619" s="0">
        <ns0:f>IF(COUNTA(Bookings!A619:G619,Bookings!I619)=0,0,1)</ns0:f>
        <ns0:v>0</ns0:v>
      </ns0:c>
      <ns0:c r="B619" s="0" t="str">
        <ns0:f>IFERROR(TRIM(MID(Bookings!A619,FIND(" · ",Bookings!A619)+3,99)),"")</ns0:f>
        <ns0:v/>
      </ns0:c>
      <ns0:c r="C619" s="0">
        <ns0:f>IF(OR(B619="",LEN(B619)&gt;24,ISNUMBER(FIND(" ",B619)),ISNUMBER(FIND("*",B619)),ISNUMBER(FIND("?",B619)),ISNUMBER(FIND("~",B619))),0,IFERROR(MATCH(B619,Team!$A$11:$A$60,0),0))</ns0:f>
        <ns0:v>0</ns0:v>
      </ns0:c>
      <ns0:c r="D619" s="0" t="str">
        <ns0:f>IFERROR(IF(MID(Bookings!F619,LEN(Bookings!F619)-3,3)=" · ",RIGHT(Bookings!F619,1),""),"")</ns0:f>
        <ns0:v/>
      </ns0:c>
      <ns0:c r="E619" s="0" t="str">
        <ns0:f>IFERROR(INDEX(Settings!$H$7:$H$11,MATCH(D619,Settings!$G$7:$G$11,0)),"")</ns0:f>
        <ns0:v/>
      </ns0:c>
      <ns0:c r="F619" s="0" t="str">
        <ns0:f>IF(A619=0,"",IFERROR(IF(OR(B619="",C619=0),"CHECK employee selection",IF(INDEX(Team!$O$11:$O$60,C619)&lt;&gt;"OK","CHECK employee setup",IF(OR('_Dates'!J619=0,'_Dates'!T619=0),"CHECK date: use DD.MM.YYYY",IF('_Dates'!T619&lt;'_Dates'!J619,"CHECK end before start",IF(AND($B$6=0,OR('_Dates'!J619&lt;Settings!$B$7,'_Dates'!T619&gt;Settings!$B$8)),"CHECK split across leave years",IF(OR(NOT(OR('_Dates'!U619="Full day",'_Dates'!U619="AM",'_Dates'!U619="PM")),NOT(OR('_Dates'!V619="Full day",'_Dates'!V619="AM",'_Dates'!V619="PM"))),"CHECK Full day / AM / PM",IF(AND('_Dates'!J619='_Dates'!T619,'_Dates'!U619&lt;&gt;"Full day",'_Dates'!V619&lt;&gt;"Full day",'_Dates'!U619&lt;&gt;'_Dates'!V619),"CHECK same-day portions disagree",IF(AND($B$6=0,OR(AND('_Dates'!U619&lt;&gt;"Full day",'_Dates'!AA619=0),AND('_Dates'!V619&lt;&gt;"Full day",'_Dates'!AB619=0))),"CHECK half-day on non-working date",IF(COUNTIF(Settings!$G$7:$G$11,D619)&lt;&gt;1,"CHECK leave type",IF(AND(Bookings!G619&lt;&gt;"Approved",Bookings!G619&lt;&gt;"Pending",Bookings!G619&lt;&gt;"Cancelled"),"CHECK status","OK")))))))))),"CHECK input"))</ns0:f>
        <ns0:v/>
      </ns0:c>
      <ns0:c r="G619" s="0">
        <ns0:f>IF(OR(F619&lt;&gt;"OK",$B$6&gt;0),0,0.5*(IF(('_Dates'!X619)&lt;('_Dates'!W619),0,INT((('_Dates'!X619)-('_Dates'!W619)+1)/7)*LEN(SUBSTITUTE(W619,"O",""))+LEN(SUBSTITUTE(MID(W619&amp;W619,WEEKDAY(('_Dates'!W619),2),MOD((('_Dates'!X619)-('_Dates'!W619)+1),7)),"O",""))-COUNTIFS(INDEX(AllClosureRows,C619,0),"&gt;="&amp;('_Dates'!W619),INDEX(AllClosureRows,C619,0),"&lt;="&amp;('_Dates'!X619)))+IF(('_Dates'!Z619)&lt;('_Dates'!Y619),0,INT((('_Dates'!Z619)-('_Dates'!Y619)+1)/7)*LEN(SUBSTITUTE(W619,"O",""))+LEN(SUBSTITUTE(MID(W619&amp;W619,WEEKDAY(('_Dates'!Y619),2),MOD((('_Dates'!Z619)-('_Dates'!Y619)+1),7)),"O",""))-COUNTIFS(INDEX(AllClosureRows,C619,0),"&gt;="&amp;('_Dates'!Y619),INDEX(AllClosureRows,C619,0),"&lt;="&amp;('_Dates'!Z619)))))</ns0:f>
        <ns0:v>0</ns0:v>
      </ns0:c>
      <ns0:c r="H619" s="0">
        <ns0:f>IF(OR(F619&lt;&gt;"OK",$B$6&gt;0),0,0.5*(IF((MIN('_Dates'!X619,Settings!$B$9))&lt;('_Dates'!W619),0,INT(((MIN('_Dates'!X619,Settings!$B$9))-('_Dates'!W619)+1)/7)*LEN(SUBSTITUTE(W619,"O",""))+LEN(SUBSTITUTE(MID(W619&amp;W619,WEEKDAY(('_Dates'!W619),2),MOD(((MIN('_Dates'!X619,Settings!$B$9))-('_Dates'!W619)+1),7)),"O",""))-COUNTIFS(INDEX(AllClosureRows,C619,0),"&gt;="&amp;('_Dates'!W619),INDEX(AllClosureRows,C619,0),"&lt;="&amp;(MIN('_Dates'!X619,Settings!$B$9))))+IF((MIN('_Dates'!Z619,Settings!$B$9))&lt;('_Dates'!Y619),0,INT(((MIN('_Dates'!Z619,Settings!$B$9))-('_Dates'!Y619)+1)/7)*LEN(SUBSTITUTE(W619,"O",""))+LEN(SUBSTITUTE(MID(W619&amp;W619,WEEKDAY(('_Dates'!Y619),2),MOD(((MIN('_Dates'!Z619,Settings!$B$9))-('_Dates'!Y619)+1),7)),"O",""))-COUNTIFS(INDEX(AllClosureRows,C619,0),"&gt;="&amp;('_Dates'!Y619),INDEX(AllClosureRows,C619,0),"&lt;="&amp;(MIN('_Dates'!Z619,Settings!$B$9))))))</ns0:f>
        <ns0:v>0</ns0:v>
      </ns0:c>
      <ns0:c r="I619" s="0">
        <ns0:f>MAX(0,G619-H619)</ns0:f>
        <ns0:v>0</ns0:v>
      </ns0:c>
      <ns0:c r="J619" s="0">
        <ns0:f>IF(OR(A619=0,F619&lt;&gt;"OK",Bookings!G619="Cancelled",$B$6&gt;0),0,IF('_Dates'!AC619=1,MAX(0,COUNTIFS(rngEngine_B,B619,rngAMStart,"&lt;="&amp;'_Dates'!X619,rngAMEnd,"&gt;="&amp;'_Dates'!W619,rngAMActive,1,rngEngine_F,"OK",rngBookings_F,"&lt;&gt;Cancelled")-1),0)+IF('_Dates'!AD619=1,MAX(0,COUNTIFS(rngEngine_B,B619,rngPMStart,"&lt;="&amp;'_Dates'!Z619,rngPMEnd,"&gt;="&amp;'_Dates'!Y619,rngPMActive,1,rngEngine_F,"OK",rngBookings_F,"&lt;&gt;Cancelled")-1),0))</ns0:f>
        <ns0:v>0</ns0:v>
      </ns0:c>
      <ns0:c r="K619" s="0" t="str">
        <ns0:f>IF(A619=0,"",IF(F619&lt;&gt;"OK",F619,IF(J619&gt;0,"CHECK overlapping entry",IF(AND($B$6=0,G619&lt;=0,Bookings!G619&lt;&gt;"Cancelled"),"CHECK no working days",IF(Bookings!G619="Cancelled","Cancelled","OK")))))</ns0:f>
        <ns0:v/>
      </ns0:c>
      <ns0:c r="L619" s="0">
        <ns0:f>IF(LEFT(K619,5)="CHECK",1,0)</ns0:f>
        <ns0:v>0</ns0:v>
      </ns0:c>
      <ns0:c r="M619" s="0">
        <ns0:f>IF(AND(L619=1,OR(C619=0,IFERROR(INDEX($X$11:$X$60,C619),0)=0)),1,0)</ns0:f>
        <ns0:v>0</ns0:v>
      </ns0:c>
      <ns0:c r="N619" s="0">
        <ns0:f>IF(OR(A619=0,L619&gt;0,$B$6&gt;0,Bookings!G619="Cancelled"),0,G619)</ns0:f>
        <ns0:v>0</ns0:v>
      </ns0:c>
      <ns0:c r="O619" s="0">
        <ns0:f>IF(AND(Bookings!G619="Approved",E619="Yes"),N619,0)</ns0:f>
        <ns0:v>0</ns0:v>
      </ns0:c>
      <ns0:c r="P619" s="0">
        <ns0:f>IF(AND(Bookings!G619="Approved",E619="Yes",L619=0,$B$6=0),H619,0)</ns0:f>
        <ns0:v>0</ns0:v>
      </ns0:c>
      <ns0:c r="Q619" s="0">
        <ns0:f>IF(AND(Bookings!G619="Approved",E619="Yes",L619=0,$B$6=0),I619,0)</ns0:f>
        <ns0:v>0</ns0:v>
      </ns0:c>
      <ns0:c r="R619" s="0">
        <ns0:f>IF(AND(Bookings!G619="Pending",E619="Yes"),N619,0)</ns0:f>
        <ns0:v>0</ns0:v>
      </ns0:c>
      <ns0:c r="S619" s="0">
        <ns0:f>IF(AND(Bookings!G619="Approved",E619="No"),N619,0)</ns0:f>
        <ns0:v>0</ns0:v>
      </ns0:c>
      <ns0:c r="T619" s="0">
        <ns0:f>IFERROR(MATCH(D619,Settings!$G$7:$G$11,0),0)</ns0:f>
        <ns0:v>0</ns0:v>
      </ns0:c>
      <ns0:c r="U619" s="0">
        <ns0:f>IF(N619&gt;0,T619+IF(Bookings!G619="Pending",10,0),0)</ns0:f>
        <ns0:v>0</ns0:v>
      </ns0:c>
      <ns0:c r="V619" s="0">
        <ns0:f>U619</ns0:f>
        <ns0:v>0</ns0:v>
      </ns0:c>
      <ns0:c r="W619" s="0" t="str">
        <ns0:f>IF(C619=0,"",INDEX($AP$11:$AP$60,C619))</ns0:f>
        <ns0:v/>
      </ns0:c>
    </ns0:row>
    <ns0:row r="620">
      <ns0:c r="A620" s="0">
        <ns0:f>IF(COUNTA(Bookings!A620:G620,Bookings!I620)=0,0,1)</ns0:f>
        <ns0:v>0</ns0:v>
      </ns0:c>
      <ns0:c r="B620" s="0" t="str">
        <ns0:f>IFERROR(TRIM(MID(Bookings!A620,FIND(" · ",Bookings!A620)+3,99)),"")</ns0:f>
        <ns0:v/>
      </ns0:c>
      <ns0:c r="C620" s="0">
        <ns0:f>IF(OR(B620="",LEN(B620)&gt;24,ISNUMBER(FIND(" ",B620)),ISNUMBER(FIND("*",B620)),ISNUMBER(FIND("?",B620)),ISNUMBER(FIND("~",B620))),0,IFERROR(MATCH(B620,Team!$A$11:$A$60,0),0))</ns0:f>
        <ns0:v>0</ns0:v>
      </ns0:c>
      <ns0:c r="D620" s="0" t="str">
        <ns0:f>IFERROR(IF(MID(Bookings!F620,LEN(Bookings!F620)-3,3)=" · ",RIGHT(Bookings!F620,1),""),"")</ns0:f>
        <ns0:v/>
      </ns0:c>
      <ns0:c r="E620" s="0" t="str">
        <ns0:f>IFERROR(INDEX(Settings!$H$7:$H$11,MATCH(D620,Settings!$G$7:$G$11,0)),"")</ns0:f>
        <ns0:v/>
      </ns0:c>
      <ns0:c r="F620" s="0" t="str">
        <ns0:f>IF(A620=0,"",IFERROR(IF(OR(B620="",C620=0),"CHECK employee selection",IF(INDEX(Team!$O$11:$O$60,C620)&lt;&gt;"OK","CHECK employee setup",IF(OR('_Dates'!J620=0,'_Dates'!T620=0),"CHECK date: use DD.MM.YYYY",IF('_Dates'!T620&lt;'_Dates'!J620,"CHECK end before start",IF(AND($B$6=0,OR('_Dates'!J620&lt;Settings!$B$7,'_Dates'!T620&gt;Settings!$B$8)),"CHECK split across leave years",IF(OR(NOT(OR('_Dates'!U620="Full day",'_Dates'!U620="AM",'_Dates'!U620="PM")),NOT(OR('_Dates'!V620="Full day",'_Dates'!V620="AM",'_Dates'!V620="PM"))),"CHECK Full day / AM / PM",IF(AND('_Dates'!J620='_Dates'!T620,'_Dates'!U620&lt;&gt;"Full day",'_Dates'!V620&lt;&gt;"Full day",'_Dates'!U620&lt;&gt;'_Dates'!V620),"CHECK same-day portions disagree",IF(AND($B$6=0,OR(AND('_Dates'!U620&lt;&gt;"Full day",'_Dates'!AA620=0),AND('_Dates'!V620&lt;&gt;"Full day",'_Dates'!AB620=0))),"CHECK half-day on non-working date",IF(COUNTIF(Settings!$G$7:$G$11,D620)&lt;&gt;1,"CHECK leave type",IF(AND(Bookings!G620&lt;&gt;"Approved",Bookings!G620&lt;&gt;"Pending",Bookings!G620&lt;&gt;"Cancelled"),"CHECK status","OK")))))))))),"CHECK input"))</ns0:f>
        <ns0:v/>
      </ns0:c>
      <ns0:c r="G620" s="0">
        <ns0:f>IF(OR(F620&lt;&gt;"OK",$B$6&gt;0),0,0.5*(IF(('_Dates'!X620)&lt;('_Dates'!W620),0,INT((('_Dates'!X620)-('_Dates'!W620)+1)/7)*LEN(SUBSTITUTE(W620,"O",""))+LEN(SUBSTITUTE(MID(W620&amp;W620,WEEKDAY(('_Dates'!W620),2),MOD((('_Dates'!X620)-('_Dates'!W620)+1),7)),"O",""))-COUNTIFS(INDEX(AllClosureRows,C620,0),"&gt;="&amp;('_Dates'!W620),INDEX(AllClosureRows,C620,0),"&lt;="&amp;('_Dates'!X620)))+IF(('_Dates'!Z620)&lt;('_Dates'!Y620),0,INT((('_Dates'!Z620)-('_Dates'!Y620)+1)/7)*LEN(SUBSTITUTE(W620,"O",""))+LEN(SUBSTITUTE(MID(W620&amp;W620,WEEKDAY(('_Dates'!Y620),2),MOD((('_Dates'!Z620)-('_Dates'!Y620)+1),7)),"O",""))-COUNTIFS(INDEX(AllClosureRows,C620,0),"&gt;="&amp;('_Dates'!Y620),INDEX(AllClosureRows,C620,0),"&lt;="&amp;('_Dates'!Z620)))))</ns0:f>
        <ns0:v>0</ns0:v>
      </ns0:c>
      <ns0:c r="H620" s="0">
        <ns0:f>IF(OR(F620&lt;&gt;"OK",$B$6&gt;0),0,0.5*(IF((MIN('_Dates'!X620,Settings!$B$9))&lt;('_Dates'!W620),0,INT(((MIN('_Dates'!X620,Settings!$B$9))-('_Dates'!W620)+1)/7)*LEN(SUBSTITUTE(W620,"O",""))+LEN(SUBSTITUTE(MID(W620&amp;W620,WEEKDAY(('_Dates'!W620),2),MOD(((MIN('_Dates'!X620,Settings!$B$9))-('_Dates'!W620)+1),7)),"O",""))-COUNTIFS(INDEX(AllClosureRows,C620,0),"&gt;="&amp;('_Dates'!W620),INDEX(AllClosureRows,C620,0),"&lt;="&amp;(MIN('_Dates'!X620,Settings!$B$9))))+IF((MIN('_Dates'!Z620,Settings!$B$9))&lt;('_Dates'!Y620),0,INT(((MIN('_Dates'!Z620,Settings!$B$9))-('_Dates'!Y620)+1)/7)*LEN(SUBSTITUTE(W620,"O",""))+LEN(SUBSTITUTE(MID(W620&amp;W620,WEEKDAY(('_Dates'!Y620),2),MOD(((MIN('_Dates'!Z620,Settings!$B$9))-('_Dates'!Y620)+1),7)),"O",""))-COUNTIFS(INDEX(AllClosureRows,C620,0),"&gt;="&amp;('_Dates'!Y620),INDEX(AllClosureRows,C620,0),"&lt;="&amp;(MIN('_Dates'!Z620,Settings!$B$9))))))</ns0:f>
        <ns0:v>0</ns0:v>
      </ns0:c>
      <ns0:c r="I620" s="0">
        <ns0:f>MAX(0,G620-H620)</ns0:f>
        <ns0:v>0</ns0:v>
      </ns0:c>
      <ns0:c r="J620" s="0">
        <ns0:f>IF(OR(A620=0,F620&lt;&gt;"OK",Bookings!G620="Cancelled",$B$6&gt;0),0,IF('_Dates'!AC620=1,MAX(0,COUNTIFS(rngEngine_B,B620,rngAMStart,"&lt;="&amp;'_Dates'!X620,rngAMEnd,"&gt;="&amp;'_Dates'!W620,rngAMActive,1,rngEngine_F,"OK",rngBookings_F,"&lt;&gt;Cancelled")-1),0)+IF('_Dates'!AD620=1,MAX(0,COUNTIFS(rngEngine_B,B620,rngPMStart,"&lt;="&amp;'_Dates'!Z620,rngPMEnd,"&gt;="&amp;'_Dates'!Y620,rngPMActive,1,rngEngine_F,"OK",rngBookings_F,"&lt;&gt;Cancelled")-1),0))</ns0:f>
        <ns0:v>0</ns0:v>
      </ns0:c>
      <ns0:c r="K620" s="0" t="str">
        <ns0:f>IF(A620=0,"",IF(F620&lt;&gt;"OK",F620,IF(J620&gt;0,"CHECK overlapping entry",IF(AND($B$6=0,G620&lt;=0,Bookings!G620&lt;&gt;"Cancelled"),"CHECK no working days",IF(Bookings!G620="Cancelled","Cancelled","OK")))))</ns0:f>
        <ns0:v/>
      </ns0:c>
      <ns0:c r="L620" s="0">
        <ns0:f>IF(LEFT(K620,5)="CHECK",1,0)</ns0:f>
        <ns0:v>0</ns0:v>
      </ns0:c>
      <ns0:c r="M620" s="0">
        <ns0:f>IF(AND(L620=1,OR(C620=0,IFERROR(INDEX($X$11:$X$60,C620),0)=0)),1,0)</ns0:f>
        <ns0:v>0</ns0:v>
      </ns0:c>
      <ns0:c r="N620" s="0">
        <ns0:f>IF(OR(A620=0,L620&gt;0,$B$6&gt;0,Bookings!G620="Cancelled"),0,G620)</ns0:f>
        <ns0:v>0</ns0:v>
      </ns0:c>
      <ns0:c r="O620" s="0">
        <ns0:f>IF(AND(Bookings!G620="Approved",E620="Yes"),N620,0)</ns0:f>
        <ns0:v>0</ns0:v>
      </ns0:c>
      <ns0:c r="P620" s="0">
        <ns0:f>IF(AND(Bookings!G620="Approved",E620="Yes",L620=0,$B$6=0),H620,0)</ns0:f>
        <ns0:v>0</ns0:v>
      </ns0:c>
      <ns0:c r="Q620" s="0">
        <ns0:f>IF(AND(Bookings!G620="Approved",E620="Yes",L620=0,$B$6=0),I620,0)</ns0:f>
        <ns0:v>0</ns0:v>
      </ns0:c>
      <ns0:c r="R620" s="0">
        <ns0:f>IF(AND(Bookings!G620="Pending",E620="Yes"),N620,0)</ns0:f>
        <ns0:v>0</ns0:v>
      </ns0:c>
      <ns0:c r="S620" s="0">
        <ns0:f>IF(AND(Bookings!G620="Approved",E620="No"),N620,0)</ns0:f>
        <ns0:v>0</ns0:v>
      </ns0:c>
      <ns0:c r="T620" s="0">
        <ns0:f>IFERROR(MATCH(D620,Settings!$G$7:$G$11,0),0)</ns0:f>
        <ns0:v>0</ns0:v>
      </ns0:c>
      <ns0:c r="U620" s="0">
        <ns0:f>IF(N620&gt;0,T620+IF(Bookings!G620="Pending",10,0),0)</ns0:f>
        <ns0:v>0</ns0:v>
      </ns0:c>
      <ns0:c r="V620" s="0">
        <ns0:f>U620</ns0:f>
        <ns0:v>0</ns0:v>
      </ns0:c>
      <ns0:c r="W620" s="0" t="str">
        <ns0:f>IF(C620=0,"",INDEX($AP$11:$AP$60,C620))</ns0:f>
        <ns0:v/>
      </ns0:c>
    </ns0:row>
    <ns0:row r="621">
      <ns0:c r="A621" s="0">
        <ns0:f>IF(COUNTA(Bookings!A621:G621,Bookings!I621)=0,0,1)</ns0:f>
        <ns0:v>0</ns0:v>
      </ns0:c>
      <ns0:c r="B621" s="0" t="str">
        <ns0:f>IFERROR(TRIM(MID(Bookings!A621,FIND(" · ",Bookings!A621)+3,99)),"")</ns0:f>
        <ns0:v/>
      </ns0:c>
      <ns0:c r="C621" s="0">
        <ns0:f>IF(OR(B621="",LEN(B621)&gt;24,ISNUMBER(FIND(" ",B621)),ISNUMBER(FIND("*",B621)),ISNUMBER(FIND("?",B621)),ISNUMBER(FIND("~",B621))),0,IFERROR(MATCH(B621,Team!$A$11:$A$60,0),0))</ns0:f>
        <ns0:v>0</ns0:v>
      </ns0:c>
      <ns0:c r="D621" s="0" t="str">
        <ns0:f>IFERROR(IF(MID(Bookings!F621,LEN(Bookings!F621)-3,3)=" · ",RIGHT(Bookings!F621,1),""),"")</ns0:f>
        <ns0:v/>
      </ns0:c>
      <ns0:c r="E621" s="0" t="str">
        <ns0:f>IFERROR(INDEX(Settings!$H$7:$H$11,MATCH(D621,Settings!$G$7:$G$11,0)),"")</ns0:f>
        <ns0:v/>
      </ns0:c>
      <ns0:c r="F621" s="0" t="str">
        <ns0:f>IF(A621=0,"",IFERROR(IF(OR(B621="",C621=0),"CHECK employee selection",IF(INDEX(Team!$O$11:$O$60,C621)&lt;&gt;"OK","CHECK employee setup",IF(OR('_Dates'!J621=0,'_Dates'!T621=0),"CHECK date: use DD.MM.YYYY",IF('_Dates'!T621&lt;'_Dates'!J621,"CHECK end before start",IF(AND($B$6=0,OR('_Dates'!J621&lt;Settings!$B$7,'_Dates'!T621&gt;Settings!$B$8)),"CHECK split across leave years",IF(OR(NOT(OR('_Dates'!U621="Full day",'_Dates'!U621="AM",'_Dates'!U621="PM")),NOT(OR('_Dates'!V621="Full day",'_Dates'!V621="AM",'_Dates'!V621="PM"))),"CHECK Full day / AM / PM",IF(AND('_Dates'!J621='_Dates'!T621,'_Dates'!U621&lt;&gt;"Full day",'_Dates'!V621&lt;&gt;"Full day",'_Dates'!U621&lt;&gt;'_Dates'!V621),"CHECK same-day portions disagree",IF(AND($B$6=0,OR(AND('_Dates'!U621&lt;&gt;"Full day",'_Dates'!AA621=0),AND('_Dates'!V621&lt;&gt;"Full day",'_Dates'!AB621=0))),"CHECK half-day on non-working date",IF(COUNTIF(Settings!$G$7:$G$11,D621)&lt;&gt;1,"CHECK leave type",IF(AND(Bookings!G621&lt;&gt;"Approved",Bookings!G621&lt;&gt;"Pending",Bookings!G621&lt;&gt;"Cancelled"),"CHECK status","OK")))))))))),"CHECK input"))</ns0:f>
        <ns0:v/>
      </ns0:c>
      <ns0:c r="G621" s="0">
        <ns0:f>IF(OR(F621&lt;&gt;"OK",$B$6&gt;0),0,0.5*(IF(('_Dates'!X621)&lt;('_Dates'!W621),0,INT((('_Dates'!X621)-('_Dates'!W621)+1)/7)*LEN(SUBSTITUTE(W621,"O",""))+LEN(SUBSTITUTE(MID(W621&amp;W621,WEEKDAY(('_Dates'!W621),2),MOD((('_Dates'!X621)-('_Dates'!W621)+1),7)),"O",""))-COUNTIFS(INDEX(AllClosureRows,C621,0),"&gt;="&amp;('_Dates'!W621),INDEX(AllClosureRows,C621,0),"&lt;="&amp;('_Dates'!X621)))+IF(('_Dates'!Z621)&lt;('_Dates'!Y621),0,INT((('_Dates'!Z621)-('_Dates'!Y621)+1)/7)*LEN(SUBSTITUTE(W621,"O",""))+LEN(SUBSTITUTE(MID(W621&amp;W621,WEEKDAY(('_Dates'!Y621),2),MOD((('_Dates'!Z621)-('_Dates'!Y621)+1),7)),"O",""))-COUNTIFS(INDEX(AllClosureRows,C621,0),"&gt;="&amp;('_Dates'!Y621),INDEX(AllClosureRows,C621,0),"&lt;="&amp;('_Dates'!Z621)))))</ns0:f>
        <ns0:v>0</ns0:v>
      </ns0:c>
      <ns0:c r="H621" s="0">
        <ns0:f>IF(OR(F621&lt;&gt;"OK",$B$6&gt;0),0,0.5*(IF((MIN('_Dates'!X621,Settings!$B$9))&lt;('_Dates'!W621),0,INT(((MIN('_Dates'!X621,Settings!$B$9))-('_Dates'!W621)+1)/7)*LEN(SUBSTITUTE(W621,"O",""))+LEN(SUBSTITUTE(MID(W621&amp;W621,WEEKDAY(('_Dates'!W621),2),MOD(((MIN('_Dates'!X621,Settings!$B$9))-('_Dates'!W621)+1),7)),"O",""))-COUNTIFS(INDEX(AllClosureRows,C621,0),"&gt;="&amp;('_Dates'!W621),INDEX(AllClosureRows,C621,0),"&lt;="&amp;(MIN('_Dates'!X621,Settings!$B$9))))+IF((MIN('_Dates'!Z621,Settings!$B$9))&lt;('_Dates'!Y621),0,INT(((MIN('_Dates'!Z621,Settings!$B$9))-('_Dates'!Y621)+1)/7)*LEN(SUBSTITUTE(W621,"O",""))+LEN(SUBSTITUTE(MID(W621&amp;W621,WEEKDAY(('_Dates'!Y621),2),MOD(((MIN('_Dates'!Z621,Settings!$B$9))-('_Dates'!Y621)+1),7)),"O",""))-COUNTIFS(INDEX(AllClosureRows,C621,0),"&gt;="&amp;('_Dates'!Y621),INDEX(AllClosureRows,C621,0),"&lt;="&amp;(MIN('_Dates'!Z621,Settings!$B$9))))))</ns0:f>
        <ns0:v>0</ns0:v>
      </ns0:c>
      <ns0:c r="I621" s="0">
        <ns0:f>MAX(0,G621-H621)</ns0:f>
        <ns0:v>0</ns0:v>
      </ns0:c>
      <ns0:c r="J621" s="0">
        <ns0:f>IF(OR(A621=0,F621&lt;&gt;"OK",Bookings!G621="Cancelled",$B$6&gt;0),0,IF('_Dates'!AC621=1,MAX(0,COUNTIFS(rngEngine_B,B621,rngAMStart,"&lt;="&amp;'_Dates'!X621,rngAMEnd,"&gt;="&amp;'_Dates'!W621,rngAMActive,1,rngEngine_F,"OK",rngBookings_F,"&lt;&gt;Cancelled")-1),0)+IF('_Dates'!AD621=1,MAX(0,COUNTIFS(rngEngine_B,B621,rngPMStart,"&lt;="&amp;'_Dates'!Z621,rngPMEnd,"&gt;="&amp;'_Dates'!Y621,rngPMActive,1,rngEngine_F,"OK",rngBookings_F,"&lt;&gt;Cancelled")-1),0))</ns0:f>
        <ns0:v>0</ns0:v>
      </ns0:c>
      <ns0:c r="K621" s="0" t="str">
        <ns0:f>IF(A621=0,"",IF(F621&lt;&gt;"OK",F621,IF(J621&gt;0,"CHECK overlapping entry",IF(AND($B$6=0,G621&lt;=0,Bookings!G621&lt;&gt;"Cancelled"),"CHECK no working days",IF(Bookings!G621="Cancelled","Cancelled","OK")))))</ns0:f>
        <ns0:v/>
      </ns0:c>
      <ns0:c r="L621" s="0">
        <ns0:f>IF(LEFT(K621,5)="CHECK",1,0)</ns0:f>
        <ns0:v>0</ns0:v>
      </ns0:c>
      <ns0:c r="M621" s="0">
        <ns0:f>IF(AND(L621=1,OR(C621=0,IFERROR(INDEX($X$11:$X$60,C621),0)=0)),1,0)</ns0:f>
        <ns0:v>0</ns0:v>
      </ns0:c>
      <ns0:c r="N621" s="0">
        <ns0:f>IF(OR(A621=0,L621&gt;0,$B$6&gt;0,Bookings!G621="Cancelled"),0,G621)</ns0:f>
        <ns0:v>0</ns0:v>
      </ns0:c>
      <ns0:c r="O621" s="0">
        <ns0:f>IF(AND(Bookings!G621="Approved",E621="Yes"),N621,0)</ns0:f>
        <ns0:v>0</ns0:v>
      </ns0:c>
      <ns0:c r="P621" s="0">
        <ns0:f>IF(AND(Bookings!G621="Approved",E621="Yes",L621=0,$B$6=0),H621,0)</ns0:f>
        <ns0:v>0</ns0:v>
      </ns0:c>
      <ns0:c r="Q621" s="0">
        <ns0:f>IF(AND(Bookings!G621="Approved",E621="Yes",L621=0,$B$6=0),I621,0)</ns0:f>
        <ns0:v>0</ns0:v>
      </ns0:c>
      <ns0:c r="R621" s="0">
        <ns0:f>IF(AND(Bookings!G621="Pending",E621="Yes"),N621,0)</ns0:f>
        <ns0:v>0</ns0:v>
      </ns0:c>
      <ns0:c r="S621" s="0">
        <ns0:f>IF(AND(Bookings!G621="Approved",E621="No"),N621,0)</ns0:f>
        <ns0:v>0</ns0:v>
      </ns0:c>
      <ns0:c r="T621" s="0">
        <ns0:f>IFERROR(MATCH(D621,Settings!$G$7:$G$11,0),0)</ns0:f>
        <ns0:v>0</ns0:v>
      </ns0:c>
      <ns0:c r="U621" s="0">
        <ns0:f>IF(N621&gt;0,T621+IF(Bookings!G621="Pending",10,0),0)</ns0:f>
        <ns0:v>0</ns0:v>
      </ns0:c>
      <ns0:c r="V621" s="0">
        <ns0:f>U621</ns0:f>
        <ns0:v>0</ns0:v>
      </ns0:c>
      <ns0:c r="W621" s="0" t="str">
        <ns0:f>IF(C621=0,"",INDEX($AP$11:$AP$60,C621))</ns0:f>
        <ns0:v/>
      </ns0:c>
    </ns0:row>
    <ns0:row r="622">
      <ns0:c r="A622" s="0">
        <ns0:f>IF(COUNTA(Bookings!A622:G622,Bookings!I622)=0,0,1)</ns0:f>
        <ns0:v>0</ns0:v>
      </ns0:c>
      <ns0:c r="B622" s="0" t="str">
        <ns0:f>IFERROR(TRIM(MID(Bookings!A622,FIND(" · ",Bookings!A622)+3,99)),"")</ns0:f>
        <ns0:v/>
      </ns0:c>
      <ns0:c r="C622" s="0">
        <ns0:f>IF(OR(B622="",LEN(B622)&gt;24,ISNUMBER(FIND(" ",B622)),ISNUMBER(FIND("*",B622)),ISNUMBER(FIND("?",B622)),ISNUMBER(FIND("~",B622))),0,IFERROR(MATCH(B622,Team!$A$11:$A$60,0),0))</ns0:f>
        <ns0:v>0</ns0:v>
      </ns0:c>
      <ns0:c r="D622" s="0" t="str">
        <ns0:f>IFERROR(IF(MID(Bookings!F622,LEN(Bookings!F622)-3,3)=" · ",RIGHT(Bookings!F622,1),""),"")</ns0:f>
        <ns0:v/>
      </ns0:c>
      <ns0:c r="E622" s="0" t="str">
        <ns0:f>IFERROR(INDEX(Settings!$H$7:$H$11,MATCH(D622,Settings!$G$7:$G$11,0)),"")</ns0:f>
        <ns0:v/>
      </ns0:c>
      <ns0:c r="F622" s="0" t="str">
        <ns0:f>IF(A622=0,"",IFERROR(IF(OR(B622="",C622=0),"CHECK employee selection",IF(INDEX(Team!$O$11:$O$60,C622)&lt;&gt;"OK","CHECK employee setup",IF(OR('_Dates'!J622=0,'_Dates'!T622=0),"CHECK date: use DD.MM.YYYY",IF('_Dates'!T622&lt;'_Dates'!J622,"CHECK end before start",IF(AND($B$6=0,OR('_Dates'!J622&lt;Settings!$B$7,'_Dates'!T622&gt;Settings!$B$8)),"CHECK split across leave years",IF(OR(NOT(OR('_Dates'!U622="Full day",'_Dates'!U622="AM",'_Dates'!U622="PM")),NOT(OR('_Dates'!V622="Full day",'_Dates'!V622="AM",'_Dates'!V622="PM"))),"CHECK Full day / AM / PM",IF(AND('_Dates'!J622='_Dates'!T622,'_Dates'!U622&lt;&gt;"Full day",'_Dates'!V622&lt;&gt;"Full day",'_Dates'!U622&lt;&gt;'_Dates'!V622),"CHECK same-day portions disagree",IF(AND($B$6=0,OR(AND('_Dates'!U622&lt;&gt;"Full day",'_Dates'!AA622=0),AND('_Dates'!V622&lt;&gt;"Full day",'_Dates'!AB622=0))),"CHECK half-day on non-working date",IF(COUNTIF(Settings!$G$7:$G$11,D622)&lt;&gt;1,"CHECK leave type",IF(AND(Bookings!G622&lt;&gt;"Approved",Bookings!G622&lt;&gt;"Pending",Bookings!G622&lt;&gt;"Cancelled"),"CHECK status","OK")))))))))),"CHECK input"))</ns0:f>
        <ns0:v/>
      </ns0:c>
      <ns0:c r="G622" s="0">
        <ns0:f>IF(OR(F622&lt;&gt;"OK",$B$6&gt;0),0,0.5*(IF(('_Dates'!X622)&lt;('_Dates'!W622),0,INT((('_Dates'!X622)-('_Dates'!W622)+1)/7)*LEN(SUBSTITUTE(W622,"O",""))+LEN(SUBSTITUTE(MID(W622&amp;W622,WEEKDAY(('_Dates'!W622),2),MOD((('_Dates'!X622)-('_Dates'!W622)+1),7)),"O",""))-COUNTIFS(INDEX(AllClosureRows,C622,0),"&gt;="&amp;('_Dates'!W622),INDEX(AllClosureRows,C622,0),"&lt;="&amp;('_Dates'!X622)))+IF(('_Dates'!Z622)&lt;('_Dates'!Y622),0,INT((('_Dates'!Z622)-('_Dates'!Y622)+1)/7)*LEN(SUBSTITUTE(W622,"O",""))+LEN(SUBSTITUTE(MID(W622&amp;W622,WEEKDAY(('_Dates'!Y622),2),MOD((('_Dates'!Z622)-('_Dates'!Y622)+1),7)),"O",""))-COUNTIFS(INDEX(AllClosureRows,C622,0),"&gt;="&amp;('_Dates'!Y622),INDEX(AllClosureRows,C622,0),"&lt;="&amp;('_Dates'!Z622)))))</ns0:f>
        <ns0:v>0</ns0:v>
      </ns0:c>
      <ns0:c r="H622" s="0">
        <ns0:f>IF(OR(F622&lt;&gt;"OK",$B$6&gt;0),0,0.5*(IF((MIN('_Dates'!X622,Settings!$B$9))&lt;('_Dates'!W622),0,INT(((MIN('_Dates'!X622,Settings!$B$9))-('_Dates'!W622)+1)/7)*LEN(SUBSTITUTE(W622,"O",""))+LEN(SUBSTITUTE(MID(W622&amp;W622,WEEKDAY(('_Dates'!W622),2),MOD(((MIN('_Dates'!X622,Settings!$B$9))-('_Dates'!W622)+1),7)),"O",""))-COUNTIFS(INDEX(AllClosureRows,C622,0),"&gt;="&amp;('_Dates'!W622),INDEX(AllClosureRows,C622,0),"&lt;="&amp;(MIN('_Dates'!X622,Settings!$B$9))))+IF((MIN('_Dates'!Z622,Settings!$B$9))&lt;('_Dates'!Y622),0,INT(((MIN('_Dates'!Z622,Settings!$B$9))-('_Dates'!Y622)+1)/7)*LEN(SUBSTITUTE(W622,"O",""))+LEN(SUBSTITUTE(MID(W622&amp;W622,WEEKDAY(('_Dates'!Y622),2),MOD(((MIN('_Dates'!Z622,Settings!$B$9))-('_Dates'!Y622)+1),7)),"O",""))-COUNTIFS(INDEX(AllClosureRows,C622,0),"&gt;="&amp;('_Dates'!Y622),INDEX(AllClosureRows,C622,0),"&lt;="&amp;(MIN('_Dates'!Z622,Settings!$B$9))))))</ns0:f>
        <ns0:v>0</ns0:v>
      </ns0:c>
      <ns0:c r="I622" s="0">
        <ns0:f>MAX(0,G622-H622)</ns0:f>
        <ns0:v>0</ns0:v>
      </ns0:c>
      <ns0:c r="J622" s="0">
        <ns0:f>IF(OR(A622=0,F622&lt;&gt;"OK",Bookings!G622="Cancelled",$B$6&gt;0),0,IF('_Dates'!AC622=1,MAX(0,COUNTIFS(rngEngine_B,B622,rngAMStart,"&lt;="&amp;'_Dates'!X622,rngAMEnd,"&gt;="&amp;'_Dates'!W622,rngAMActive,1,rngEngine_F,"OK",rngBookings_F,"&lt;&gt;Cancelled")-1),0)+IF('_Dates'!AD622=1,MAX(0,COUNTIFS(rngEngine_B,B622,rngPMStart,"&lt;="&amp;'_Dates'!Z622,rngPMEnd,"&gt;="&amp;'_Dates'!Y622,rngPMActive,1,rngEngine_F,"OK",rngBookings_F,"&lt;&gt;Cancelled")-1),0))</ns0:f>
        <ns0:v>0</ns0:v>
      </ns0:c>
      <ns0:c r="K622" s="0" t="str">
        <ns0:f>IF(A622=0,"",IF(F622&lt;&gt;"OK",F622,IF(J622&gt;0,"CHECK overlapping entry",IF(AND($B$6=0,G622&lt;=0,Bookings!G622&lt;&gt;"Cancelled"),"CHECK no working days",IF(Bookings!G622="Cancelled","Cancelled","OK")))))</ns0:f>
        <ns0:v/>
      </ns0:c>
      <ns0:c r="L622" s="0">
        <ns0:f>IF(LEFT(K622,5)="CHECK",1,0)</ns0:f>
        <ns0:v>0</ns0:v>
      </ns0:c>
      <ns0:c r="M622" s="0">
        <ns0:f>IF(AND(L622=1,OR(C622=0,IFERROR(INDEX($X$11:$X$60,C622),0)=0)),1,0)</ns0:f>
        <ns0:v>0</ns0:v>
      </ns0:c>
      <ns0:c r="N622" s="0">
        <ns0:f>IF(OR(A622=0,L622&gt;0,$B$6&gt;0,Bookings!G622="Cancelled"),0,G622)</ns0:f>
        <ns0:v>0</ns0:v>
      </ns0:c>
      <ns0:c r="O622" s="0">
        <ns0:f>IF(AND(Bookings!G622="Approved",E622="Yes"),N622,0)</ns0:f>
        <ns0:v>0</ns0:v>
      </ns0:c>
      <ns0:c r="P622" s="0">
        <ns0:f>IF(AND(Bookings!G622="Approved",E622="Yes",L622=0,$B$6=0),H622,0)</ns0:f>
        <ns0:v>0</ns0:v>
      </ns0:c>
      <ns0:c r="Q622" s="0">
        <ns0:f>IF(AND(Bookings!G622="Approved",E622="Yes",L622=0,$B$6=0),I622,0)</ns0:f>
        <ns0:v>0</ns0:v>
      </ns0:c>
      <ns0:c r="R622" s="0">
        <ns0:f>IF(AND(Bookings!G622="Pending",E622="Yes"),N622,0)</ns0:f>
        <ns0:v>0</ns0:v>
      </ns0:c>
      <ns0:c r="S622" s="0">
        <ns0:f>IF(AND(Bookings!G622="Approved",E622="No"),N622,0)</ns0:f>
        <ns0:v>0</ns0:v>
      </ns0:c>
      <ns0:c r="T622" s="0">
        <ns0:f>IFERROR(MATCH(D622,Settings!$G$7:$G$11,0),0)</ns0:f>
        <ns0:v>0</ns0:v>
      </ns0:c>
      <ns0:c r="U622" s="0">
        <ns0:f>IF(N622&gt;0,T622+IF(Bookings!G622="Pending",10,0),0)</ns0:f>
        <ns0:v>0</ns0:v>
      </ns0:c>
      <ns0:c r="V622" s="0">
        <ns0:f>U622</ns0:f>
        <ns0:v>0</ns0:v>
      </ns0:c>
      <ns0:c r="W622" s="0" t="str">
        <ns0:f>IF(C622=0,"",INDEX($AP$11:$AP$60,C622))</ns0:f>
        <ns0:v/>
      </ns0:c>
    </ns0:row>
    <ns0:row r="623">
      <ns0:c r="A623" s="0">
        <ns0:f>IF(COUNTA(Bookings!A623:G623,Bookings!I623)=0,0,1)</ns0:f>
        <ns0:v>0</ns0:v>
      </ns0:c>
      <ns0:c r="B623" s="0" t="str">
        <ns0:f>IFERROR(TRIM(MID(Bookings!A623,FIND(" · ",Bookings!A623)+3,99)),"")</ns0:f>
        <ns0:v/>
      </ns0:c>
      <ns0:c r="C623" s="0">
        <ns0:f>IF(OR(B623="",LEN(B623)&gt;24,ISNUMBER(FIND(" ",B623)),ISNUMBER(FIND("*",B623)),ISNUMBER(FIND("?",B623)),ISNUMBER(FIND("~",B623))),0,IFERROR(MATCH(B623,Team!$A$11:$A$60,0),0))</ns0:f>
        <ns0:v>0</ns0:v>
      </ns0:c>
      <ns0:c r="D623" s="0" t="str">
        <ns0:f>IFERROR(IF(MID(Bookings!F623,LEN(Bookings!F623)-3,3)=" · ",RIGHT(Bookings!F623,1),""),"")</ns0:f>
        <ns0:v/>
      </ns0:c>
      <ns0:c r="E623" s="0" t="str">
        <ns0:f>IFERROR(INDEX(Settings!$H$7:$H$11,MATCH(D623,Settings!$G$7:$G$11,0)),"")</ns0:f>
        <ns0:v/>
      </ns0:c>
      <ns0:c r="F623" s="0" t="str">
        <ns0:f>IF(A623=0,"",IFERROR(IF(OR(B623="",C623=0),"CHECK employee selection",IF(INDEX(Team!$O$11:$O$60,C623)&lt;&gt;"OK","CHECK employee setup",IF(OR('_Dates'!J623=0,'_Dates'!T623=0),"CHECK date: use DD.MM.YYYY",IF('_Dates'!T623&lt;'_Dates'!J623,"CHECK end before start",IF(AND($B$6=0,OR('_Dates'!J623&lt;Settings!$B$7,'_Dates'!T623&gt;Settings!$B$8)),"CHECK split across leave years",IF(OR(NOT(OR('_Dates'!U623="Full day",'_Dates'!U623="AM",'_Dates'!U623="PM")),NOT(OR('_Dates'!V623="Full day",'_Dates'!V623="AM",'_Dates'!V623="PM"))),"CHECK Full day / AM / PM",IF(AND('_Dates'!J623='_Dates'!T623,'_Dates'!U623&lt;&gt;"Full day",'_Dates'!V623&lt;&gt;"Full day",'_Dates'!U623&lt;&gt;'_Dates'!V623),"CHECK same-day portions disagree",IF(AND($B$6=0,OR(AND('_Dates'!U623&lt;&gt;"Full day",'_Dates'!AA623=0),AND('_Dates'!V623&lt;&gt;"Full day",'_Dates'!AB623=0))),"CHECK half-day on non-working date",IF(COUNTIF(Settings!$G$7:$G$11,D623)&lt;&gt;1,"CHECK leave type",IF(AND(Bookings!G623&lt;&gt;"Approved",Bookings!G623&lt;&gt;"Pending",Bookings!G623&lt;&gt;"Cancelled"),"CHECK status","OK")))))))))),"CHECK input"))</ns0:f>
        <ns0:v/>
      </ns0:c>
      <ns0:c r="G623" s="0">
        <ns0:f>IF(OR(F623&lt;&gt;"OK",$B$6&gt;0),0,0.5*(IF(('_Dates'!X623)&lt;('_Dates'!W623),0,INT((('_Dates'!X623)-('_Dates'!W623)+1)/7)*LEN(SUBSTITUTE(W623,"O",""))+LEN(SUBSTITUTE(MID(W623&amp;W623,WEEKDAY(('_Dates'!W623),2),MOD((('_Dates'!X623)-('_Dates'!W623)+1),7)),"O",""))-COUNTIFS(INDEX(AllClosureRows,C623,0),"&gt;="&amp;('_Dates'!W623),INDEX(AllClosureRows,C623,0),"&lt;="&amp;('_Dates'!X623)))+IF(('_Dates'!Z623)&lt;('_Dates'!Y623),0,INT((('_Dates'!Z623)-('_Dates'!Y623)+1)/7)*LEN(SUBSTITUTE(W623,"O",""))+LEN(SUBSTITUTE(MID(W623&amp;W623,WEEKDAY(('_Dates'!Y623),2),MOD((('_Dates'!Z623)-('_Dates'!Y623)+1),7)),"O",""))-COUNTIFS(INDEX(AllClosureRows,C623,0),"&gt;="&amp;('_Dates'!Y623),INDEX(AllClosureRows,C623,0),"&lt;="&amp;('_Dates'!Z623)))))</ns0:f>
        <ns0:v>0</ns0:v>
      </ns0:c>
      <ns0:c r="H623" s="0">
        <ns0:f>IF(OR(F623&lt;&gt;"OK",$B$6&gt;0),0,0.5*(IF((MIN('_Dates'!X623,Settings!$B$9))&lt;('_Dates'!W623),0,INT(((MIN('_Dates'!X623,Settings!$B$9))-('_Dates'!W623)+1)/7)*LEN(SUBSTITUTE(W623,"O",""))+LEN(SUBSTITUTE(MID(W623&amp;W623,WEEKDAY(('_Dates'!W623),2),MOD(((MIN('_Dates'!X623,Settings!$B$9))-('_Dates'!W623)+1),7)),"O",""))-COUNTIFS(INDEX(AllClosureRows,C623,0),"&gt;="&amp;('_Dates'!W623),INDEX(AllClosureRows,C623,0),"&lt;="&amp;(MIN('_Dates'!X623,Settings!$B$9))))+IF((MIN('_Dates'!Z623,Settings!$B$9))&lt;('_Dates'!Y623),0,INT(((MIN('_Dates'!Z623,Settings!$B$9))-('_Dates'!Y623)+1)/7)*LEN(SUBSTITUTE(W623,"O",""))+LEN(SUBSTITUTE(MID(W623&amp;W623,WEEKDAY(('_Dates'!Y623),2),MOD(((MIN('_Dates'!Z623,Settings!$B$9))-('_Dates'!Y623)+1),7)),"O",""))-COUNTIFS(INDEX(AllClosureRows,C623,0),"&gt;="&amp;('_Dates'!Y623),INDEX(AllClosureRows,C623,0),"&lt;="&amp;(MIN('_Dates'!Z623,Settings!$B$9))))))</ns0:f>
        <ns0:v>0</ns0:v>
      </ns0:c>
      <ns0:c r="I623" s="0">
        <ns0:f>MAX(0,G623-H623)</ns0:f>
        <ns0:v>0</ns0:v>
      </ns0:c>
      <ns0:c r="J623" s="0">
        <ns0:f>IF(OR(A623=0,F623&lt;&gt;"OK",Bookings!G623="Cancelled",$B$6&gt;0),0,IF('_Dates'!AC623=1,MAX(0,COUNTIFS(rngEngine_B,B623,rngAMStart,"&lt;="&amp;'_Dates'!X623,rngAMEnd,"&gt;="&amp;'_Dates'!W623,rngAMActive,1,rngEngine_F,"OK",rngBookings_F,"&lt;&gt;Cancelled")-1),0)+IF('_Dates'!AD623=1,MAX(0,COUNTIFS(rngEngine_B,B623,rngPMStart,"&lt;="&amp;'_Dates'!Z623,rngPMEnd,"&gt;="&amp;'_Dates'!Y623,rngPMActive,1,rngEngine_F,"OK",rngBookings_F,"&lt;&gt;Cancelled")-1),0))</ns0:f>
        <ns0:v>0</ns0:v>
      </ns0:c>
      <ns0:c r="K623" s="0" t="str">
        <ns0:f>IF(A623=0,"",IF(F623&lt;&gt;"OK",F623,IF(J623&gt;0,"CHECK overlapping entry",IF(AND($B$6=0,G623&lt;=0,Bookings!G623&lt;&gt;"Cancelled"),"CHECK no working days",IF(Bookings!G623="Cancelled","Cancelled","OK")))))</ns0:f>
        <ns0:v/>
      </ns0:c>
      <ns0:c r="L623" s="0">
        <ns0:f>IF(LEFT(K623,5)="CHECK",1,0)</ns0:f>
        <ns0:v>0</ns0:v>
      </ns0:c>
      <ns0:c r="M623" s="0">
        <ns0:f>IF(AND(L623=1,OR(C623=0,IFERROR(INDEX($X$11:$X$60,C623),0)=0)),1,0)</ns0:f>
        <ns0:v>0</ns0:v>
      </ns0:c>
      <ns0:c r="N623" s="0">
        <ns0:f>IF(OR(A623=0,L623&gt;0,$B$6&gt;0,Bookings!G623="Cancelled"),0,G623)</ns0:f>
        <ns0:v>0</ns0:v>
      </ns0:c>
      <ns0:c r="O623" s="0">
        <ns0:f>IF(AND(Bookings!G623="Approved",E623="Yes"),N623,0)</ns0:f>
        <ns0:v>0</ns0:v>
      </ns0:c>
      <ns0:c r="P623" s="0">
        <ns0:f>IF(AND(Bookings!G623="Approved",E623="Yes",L623=0,$B$6=0),H623,0)</ns0:f>
        <ns0:v>0</ns0:v>
      </ns0:c>
      <ns0:c r="Q623" s="0">
        <ns0:f>IF(AND(Bookings!G623="Approved",E623="Yes",L623=0,$B$6=0),I623,0)</ns0:f>
        <ns0:v>0</ns0:v>
      </ns0:c>
      <ns0:c r="R623" s="0">
        <ns0:f>IF(AND(Bookings!G623="Pending",E623="Yes"),N623,0)</ns0:f>
        <ns0:v>0</ns0:v>
      </ns0:c>
      <ns0:c r="S623" s="0">
        <ns0:f>IF(AND(Bookings!G623="Approved",E623="No"),N623,0)</ns0:f>
        <ns0:v>0</ns0:v>
      </ns0:c>
      <ns0:c r="T623" s="0">
        <ns0:f>IFERROR(MATCH(D623,Settings!$G$7:$G$11,0),0)</ns0:f>
        <ns0:v>0</ns0:v>
      </ns0:c>
      <ns0:c r="U623" s="0">
        <ns0:f>IF(N623&gt;0,T623+IF(Bookings!G623="Pending",10,0),0)</ns0:f>
        <ns0:v>0</ns0:v>
      </ns0:c>
      <ns0:c r="V623" s="0">
        <ns0:f>U623</ns0:f>
        <ns0:v>0</ns0:v>
      </ns0:c>
      <ns0:c r="W623" s="0" t="str">
        <ns0:f>IF(C623=0,"",INDEX($AP$11:$AP$60,C623))</ns0:f>
        <ns0:v/>
      </ns0:c>
    </ns0:row>
    <ns0:row r="624">
      <ns0:c r="A624" s="0">
        <ns0:f>IF(COUNTA(Bookings!A624:G624,Bookings!I624)=0,0,1)</ns0:f>
        <ns0:v>0</ns0:v>
      </ns0:c>
      <ns0:c r="B624" s="0" t="str">
        <ns0:f>IFERROR(TRIM(MID(Bookings!A624,FIND(" · ",Bookings!A624)+3,99)),"")</ns0:f>
        <ns0:v/>
      </ns0:c>
      <ns0:c r="C624" s="0">
        <ns0:f>IF(OR(B624="",LEN(B624)&gt;24,ISNUMBER(FIND(" ",B624)),ISNUMBER(FIND("*",B624)),ISNUMBER(FIND("?",B624)),ISNUMBER(FIND("~",B624))),0,IFERROR(MATCH(B624,Team!$A$11:$A$60,0),0))</ns0:f>
        <ns0:v>0</ns0:v>
      </ns0:c>
      <ns0:c r="D624" s="0" t="str">
        <ns0:f>IFERROR(IF(MID(Bookings!F624,LEN(Bookings!F624)-3,3)=" · ",RIGHT(Bookings!F624,1),""),"")</ns0:f>
        <ns0:v/>
      </ns0:c>
      <ns0:c r="E624" s="0" t="str">
        <ns0:f>IFERROR(INDEX(Settings!$H$7:$H$11,MATCH(D624,Settings!$G$7:$G$11,0)),"")</ns0:f>
        <ns0:v/>
      </ns0:c>
      <ns0:c r="F624" s="0" t="str">
        <ns0:f>IF(A624=0,"",IFERROR(IF(OR(B624="",C624=0),"CHECK employee selection",IF(INDEX(Team!$O$11:$O$60,C624)&lt;&gt;"OK","CHECK employee setup",IF(OR('_Dates'!J624=0,'_Dates'!T624=0),"CHECK date: use DD.MM.YYYY",IF('_Dates'!T624&lt;'_Dates'!J624,"CHECK end before start",IF(AND($B$6=0,OR('_Dates'!J624&lt;Settings!$B$7,'_Dates'!T624&gt;Settings!$B$8)),"CHECK split across leave years",IF(OR(NOT(OR('_Dates'!U624="Full day",'_Dates'!U624="AM",'_Dates'!U624="PM")),NOT(OR('_Dates'!V624="Full day",'_Dates'!V624="AM",'_Dates'!V624="PM"))),"CHECK Full day / AM / PM",IF(AND('_Dates'!J624='_Dates'!T624,'_Dates'!U624&lt;&gt;"Full day",'_Dates'!V624&lt;&gt;"Full day",'_Dates'!U624&lt;&gt;'_Dates'!V624),"CHECK same-day portions disagree",IF(AND($B$6=0,OR(AND('_Dates'!U624&lt;&gt;"Full day",'_Dates'!AA624=0),AND('_Dates'!V624&lt;&gt;"Full day",'_Dates'!AB624=0))),"CHECK half-day on non-working date",IF(COUNTIF(Settings!$G$7:$G$11,D624)&lt;&gt;1,"CHECK leave type",IF(AND(Bookings!G624&lt;&gt;"Approved",Bookings!G624&lt;&gt;"Pending",Bookings!G624&lt;&gt;"Cancelled"),"CHECK status","OK")))))))))),"CHECK input"))</ns0:f>
        <ns0:v/>
      </ns0:c>
      <ns0:c r="G624" s="0">
        <ns0:f>IF(OR(F624&lt;&gt;"OK",$B$6&gt;0),0,0.5*(IF(('_Dates'!X624)&lt;('_Dates'!W624),0,INT((('_Dates'!X624)-('_Dates'!W624)+1)/7)*LEN(SUBSTITUTE(W624,"O",""))+LEN(SUBSTITUTE(MID(W624&amp;W624,WEEKDAY(('_Dates'!W624),2),MOD((('_Dates'!X624)-('_Dates'!W624)+1),7)),"O",""))-COUNTIFS(INDEX(AllClosureRows,C624,0),"&gt;="&amp;('_Dates'!W624),INDEX(AllClosureRows,C624,0),"&lt;="&amp;('_Dates'!X624)))+IF(('_Dates'!Z624)&lt;('_Dates'!Y624),0,INT((('_Dates'!Z624)-('_Dates'!Y624)+1)/7)*LEN(SUBSTITUTE(W624,"O",""))+LEN(SUBSTITUTE(MID(W624&amp;W624,WEEKDAY(('_Dates'!Y624),2),MOD((('_Dates'!Z624)-('_Dates'!Y624)+1),7)),"O",""))-COUNTIFS(INDEX(AllClosureRows,C624,0),"&gt;="&amp;('_Dates'!Y624),INDEX(AllClosureRows,C624,0),"&lt;="&amp;('_Dates'!Z624)))))</ns0:f>
        <ns0:v>0</ns0:v>
      </ns0:c>
      <ns0:c r="H624" s="0">
        <ns0:f>IF(OR(F624&lt;&gt;"OK",$B$6&gt;0),0,0.5*(IF((MIN('_Dates'!X624,Settings!$B$9))&lt;('_Dates'!W624),0,INT(((MIN('_Dates'!X624,Settings!$B$9))-('_Dates'!W624)+1)/7)*LEN(SUBSTITUTE(W624,"O",""))+LEN(SUBSTITUTE(MID(W624&amp;W624,WEEKDAY(('_Dates'!W624),2),MOD(((MIN('_Dates'!X624,Settings!$B$9))-('_Dates'!W624)+1),7)),"O",""))-COUNTIFS(INDEX(AllClosureRows,C624,0),"&gt;="&amp;('_Dates'!W624),INDEX(AllClosureRows,C624,0),"&lt;="&amp;(MIN('_Dates'!X624,Settings!$B$9))))+IF((MIN('_Dates'!Z624,Settings!$B$9))&lt;('_Dates'!Y624),0,INT(((MIN('_Dates'!Z624,Settings!$B$9))-('_Dates'!Y624)+1)/7)*LEN(SUBSTITUTE(W624,"O",""))+LEN(SUBSTITUTE(MID(W624&amp;W624,WEEKDAY(('_Dates'!Y624),2),MOD(((MIN('_Dates'!Z624,Settings!$B$9))-('_Dates'!Y624)+1),7)),"O",""))-COUNTIFS(INDEX(AllClosureRows,C624,0),"&gt;="&amp;('_Dates'!Y624),INDEX(AllClosureRows,C624,0),"&lt;="&amp;(MIN('_Dates'!Z624,Settings!$B$9))))))</ns0:f>
        <ns0:v>0</ns0:v>
      </ns0:c>
      <ns0:c r="I624" s="0">
        <ns0:f>MAX(0,G624-H624)</ns0:f>
        <ns0:v>0</ns0:v>
      </ns0:c>
      <ns0:c r="J624" s="0">
        <ns0:f>IF(OR(A624=0,F624&lt;&gt;"OK",Bookings!G624="Cancelled",$B$6&gt;0),0,IF('_Dates'!AC624=1,MAX(0,COUNTIFS(rngEngine_B,B624,rngAMStart,"&lt;="&amp;'_Dates'!X624,rngAMEnd,"&gt;="&amp;'_Dates'!W624,rngAMActive,1,rngEngine_F,"OK",rngBookings_F,"&lt;&gt;Cancelled")-1),0)+IF('_Dates'!AD624=1,MAX(0,COUNTIFS(rngEngine_B,B624,rngPMStart,"&lt;="&amp;'_Dates'!Z624,rngPMEnd,"&gt;="&amp;'_Dates'!Y624,rngPMActive,1,rngEngine_F,"OK",rngBookings_F,"&lt;&gt;Cancelled")-1),0))</ns0:f>
        <ns0:v>0</ns0:v>
      </ns0:c>
      <ns0:c r="K624" s="0" t="str">
        <ns0:f>IF(A624=0,"",IF(F624&lt;&gt;"OK",F624,IF(J624&gt;0,"CHECK overlapping entry",IF(AND($B$6=0,G624&lt;=0,Bookings!G624&lt;&gt;"Cancelled"),"CHECK no working days",IF(Bookings!G624="Cancelled","Cancelled","OK")))))</ns0:f>
        <ns0:v/>
      </ns0:c>
      <ns0:c r="L624" s="0">
        <ns0:f>IF(LEFT(K624,5)="CHECK",1,0)</ns0:f>
        <ns0:v>0</ns0:v>
      </ns0:c>
      <ns0:c r="M624" s="0">
        <ns0:f>IF(AND(L624=1,OR(C624=0,IFERROR(INDEX($X$11:$X$60,C624),0)=0)),1,0)</ns0:f>
        <ns0:v>0</ns0:v>
      </ns0:c>
      <ns0:c r="N624" s="0">
        <ns0:f>IF(OR(A624=0,L624&gt;0,$B$6&gt;0,Bookings!G624="Cancelled"),0,G624)</ns0:f>
        <ns0:v>0</ns0:v>
      </ns0:c>
      <ns0:c r="O624" s="0">
        <ns0:f>IF(AND(Bookings!G624="Approved",E624="Yes"),N624,0)</ns0:f>
        <ns0:v>0</ns0:v>
      </ns0:c>
      <ns0:c r="P624" s="0">
        <ns0:f>IF(AND(Bookings!G624="Approved",E624="Yes",L624=0,$B$6=0),H624,0)</ns0:f>
        <ns0:v>0</ns0:v>
      </ns0:c>
      <ns0:c r="Q624" s="0">
        <ns0:f>IF(AND(Bookings!G624="Approved",E624="Yes",L624=0,$B$6=0),I624,0)</ns0:f>
        <ns0:v>0</ns0:v>
      </ns0:c>
      <ns0:c r="R624" s="0">
        <ns0:f>IF(AND(Bookings!G624="Pending",E624="Yes"),N624,0)</ns0:f>
        <ns0:v>0</ns0:v>
      </ns0:c>
      <ns0:c r="S624" s="0">
        <ns0:f>IF(AND(Bookings!G624="Approved",E624="No"),N624,0)</ns0:f>
        <ns0:v>0</ns0:v>
      </ns0:c>
      <ns0:c r="T624" s="0">
        <ns0:f>IFERROR(MATCH(D624,Settings!$G$7:$G$11,0),0)</ns0:f>
        <ns0:v>0</ns0:v>
      </ns0:c>
      <ns0:c r="U624" s="0">
        <ns0:f>IF(N624&gt;0,T624+IF(Bookings!G624="Pending",10,0),0)</ns0:f>
        <ns0:v>0</ns0:v>
      </ns0:c>
      <ns0:c r="V624" s="0">
        <ns0:f>U624</ns0:f>
        <ns0:v>0</ns0:v>
      </ns0:c>
      <ns0:c r="W624" s="0" t="str">
        <ns0:f>IF(C624=0,"",INDEX($AP$11:$AP$60,C624))</ns0:f>
        <ns0:v/>
      </ns0:c>
    </ns0:row>
    <ns0:row r="625">
      <ns0:c r="A625" s="0">
        <ns0:f>IF(COUNTA(Bookings!A625:G625,Bookings!I625)=0,0,1)</ns0:f>
        <ns0:v>0</ns0:v>
      </ns0:c>
      <ns0:c r="B625" s="0" t="str">
        <ns0:f>IFERROR(TRIM(MID(Bookings!A625,FIND(" · ",Bookings!A625)+3,99)),"")</ns0:f>
        <ns0:v/>
      </ns0:c>
      <ns0:c r="C625" s="0">
        <ns0:f>IF(OR(B625="",LEN(B625)&gt;24,ISNUMBER(FIND(" ",B625)),ISNUMBER(FIND("*",B625)),ISNUMBER(FIND("?",B625)),ISNUMBER(FIND("~",B625))),0,IFERROR(MATCH(B625,Team!$A$11:$A$60,0),0))</ns0:f>
        <ns0:v>0</ns0:v>
      </ns0:c>
      <ns0:c r="D625" s="0" t="str">
        <ns0:f>IFERROR(IF(MID(Bookings!F625,LEN(Bookings!F625)-3,3)=" · ",RIGHT(Bookings!F625,1),""),"")</ns0:f>
        <ns0:v/>
      </ns0:c>
      <ns0:c r="E625" s="0" t="str">
        <ns0:f>IFERROR(INDEX(Settings!$H$7:$H$11,MATCH(D625,Settings!$G$7:$G$11,0)),"")</ns0:f>
        <ns0:v/>
      </ns0:c>
      <ns0:c r="F625" s="0" t="str">
        <ns0:f>IF(A625=0,"",IFERROR(IF(OR(B625="",C625=0),"CHECK employee selection",IF(INDEX(Team!$O$11:$O$60,C625)&lt;&gt;"OK","CHECK employee setup",IF(OR('_Dates'!J625=0,'_Dates'!T625=0),"CHECK date: use DD.MM.YYYY",IF('_Dates'!T625&lt;'_Dates'!J625,"CHECK end before start",IF(AND($B$6=0,OR('_Dates'!J625&lt;Settings!$B$7,'_Dates'!T625&gt;Settings!$B$8)),"CHECK split across leave years",IF(OR(NOT(OR('_Dates'!U625="Full day",'_Dates'!U625="AM",'_Dates'!U625="PM")),NOT(OR('_Dates'!V625="Full day",'_Dates'!V625="AM",'_Dates'!V625="PM"))),"CHECK Full day / AM / PM",IF(AND('_Dates'!J625='_Dates'!T625,'_Dates'!U625&lt;&gt;"Full day",'_Dates'!V625&lt;&gt;"Full day",'_Dates'!U625&lt;&gt;'_Dates'!V625),"CHECK same-day portions disagree",IF(AND($B$6=0,OR(AND('_Dates'!U625&lt;&gt;"Full day",'_Dates'!AA625=0),AND('_Dates'!V625&lt;&gt;"Full day",'_Dates'!AB625=0))),"CHECK half-day on non-working date",IF(COUNTIF(Settings!$G$7:$G$11,D625)&lt;&gt;1,"CHECK leave type",IF(AND(Bookings!G625&lt;&gt;"Approved",Bookings!G625&lt;&gt;"Pending",Bookings!G625&lt;&gt;"Cancelled"),"CHECK status","OK")))))))))),"CHECK input"))</ns0:f>
        <ns0:v/>
      </ns0:c>
      <ns0:c r="G625" s="0">
        <ns0:f>IF(OR(F625&lt;&gt;"OK",$B$6&gt;0),0,0.5*(IF(('_Dates'!X625)&lt;('_Dates'!W625),0,INT((('_Dates'!X625)-('_Dates'!W625)+1)/7)*LEN(SUBSTITUTE(W625,"O",""))+LEN(SUBSTITUTE(MID(W625&amp;W625,WEEKDAY(('_Dates'!W625),2),MOD((('_Dates'!X625)-('_Dates'!W625)+1),7)),"O",""))-COUNTIFS(INDEX(AllClosureRows,C625,0),"&gt;="&amp;('_Dates'!W625),INDEX(AllClosureRows,C625,0),"&lt;="&amp;('_Dates'!X625)))+IF(('_Dates'!Z625)&lt;('_Dates'!Y625),0,INT((('_Dates'!Z625)-('_Dates'!Y625)+1)/7)*LEN(SUBSTITUTE(W625,"O",""))+LEN(SUBSTITUTE(MID(W625&amp;W625,WEEKDAY(('_Dates'!Y625),2),MOD((('_Dates'!Z625)-('_Dates'!Y625)+1),7)),"O",""))-COUNTIFS(INDEX(AllClosureRows,C625,0),"&gt;="&amp;('_Dates'!Y625),INDEX(AllClosureRows,C625,0),"&lt;="&amp;('_Dates'!Z625)))))</ns0:f>
        <ns0:v>0</ns0:v>
      </ns0:c>
      <ns0:c r="H625" s="0">
        <ns0:f>IF(OR(F625&lt;&gt;"OK",$B$6&gt;0),0,0.5*(IF((MIN('_Dates'!X625,Settings!$B$9))&lt;('_Dates'!W625),0,INT(((MIN('_Dates'!X625,Settings!$B$9))-('_Dates'!W625)+1)/7)*LEN(SUBSTITUTE(W625,"O",""))+LEN(SUBSTITUTE(MID(W625&amp;W625,WEEKDAY(('_Dates'!W625),2),MOD(((MIN('_Dates'!X625,Settings!$B$9))-('_Dates'!W625)+1),7)),"O",""))-COUNTIFS(INDEX(AllClosureRows,C625,0),"&gt;="&amp;('_Dates'!W625),INDEX(AllClosureRows,C625,0),"&lt;="&amp;(MIN('_Dates'!X625,Settings!$B$9))))+IF((MIN('_Dates'!Z625,Settings!$B$9))&lt;('_Dates'!Y625),0,INT(((MIN('_Dates'!Z625,Settings!$B$9))-('_Dates'!Y625)+1)/7)*LEN(SUBSTITUTE(W625,"O",""))+LEN(SUBSTITUTE(MID(W625&amp;W625,WEEKDAY(('_Dates'!Y625),2),MOD(((MIN('_Dates'!Z625,Settings!$B$9))-('_Dates'!Y625)+1),7)),"O",""))-COUNTIFS(INDEX(AllClosureRows,C625,0),"&gt;="&amp;('_Dates'!Y625),INDEX(AllClosureRows,C625,0),"&lt;="&amp;(MIN('_Dates'!Z625,Settings!$B$9))))))</ns0:f>
        <ns0:v>0</ns0:v>
      </ns0:c>
      <ns0:c r="I625" s="0">
        <ns0:f>MAX(0,G625-H625)</ns0:f>
        <ns0:v>0</ns0:v>
      </ns0:c>
      <ns0:c r="J625" s="0">
        <ns0:f>IF(OR(A625=0,F625&lt;&gt;"OK",Bookings!G625="Cancelled",$B$6&gt;0),0,IF('_Dates'!AC625=1,MAX(0,COUNTIFS(rngEngine_B,B625,rngAMStart,"&lt;="&amp;'_Dates'!X625,rngAMEnd,"&gt;="&amp;'_Dates'!W625,rngAMActive,1,rngEngine_F,"OK",rngBookings_F,"&lt;&gt;Cancelled")-1),0)+IF('_Dates'!AD625=1,MAX(0,COUNTIFS(rngEngine_B,B625,rngPMStart,"&lt;="&amp;'_Dates'!Z625,rngPMEnd,"&gt;="&amp;'_Dates'!Y625,rngPMActive,1,rngEngine_F,"OK",rngBookings_F,"&lt;&gt;Cancelled")-1),0))</ns0:f>
        <ns0:v>0</ns0:v>
      </ns0:c>
      <ns0:c r="K625" s="0" t="str">
        <ns0:f>IF(A625=0,"",IF(F625&lt;&gt;"OK",F625,IF(J625&gt;0,"CHECK overlapping entry",IF(AND($B$6=0,G625&lt;=0,Bookings!G625&lt;&gt;"Cancelled"),"CHECK no working days",IF(Bookings!G625="Cancelled","Cancelled","OK")))))</ns0:f>
        <ns0:v/>
      </ns0:c>
      <ns0:c r="L625" s="0">
        <ns0:f>IF(LEFT(K625,5)="CHECK",1,0)</ns0:f>
        <ns0:v>0</ns0:v>
      </ns0:c>
      <ns0:c r="M625" s="0">
        <ns0:f>IF(AND(L625=1,OR(C625=0,IFERROR(INDEX($X$11:$X$60,C625),0)=0)),1,0)</ns0:f>
        <ns0:v>0</ns0:v>
      </ns0:c>
      <ns0:c r="N625" s="0">
        <ns0:f>IF(OR(A625=0,L625&gt;0,$B$6&gt;0,Bookings!G625="Cancelled"),0,G625)</ns0:f>
        <ns0:v>0</ns0:v>
      </ns0:c>
      <ns0:c r="O625" s="0">
        <ns0:f>IF(AND(Bookings!G625="Approved",E625="Yes"),N625,0)</ns0:f>
        <ns0:v>0</ns0:v>
      </ns0:c>
      <ns0:c r="P625" s="0">
        <ns0:f>IF(AND(Bookings!G625="Approved",E625="Yes",L625=0,$B$6=0),H625,0)</ns0:f>
        <ns0:v>0</ns0:v>
      </ns0:c>
      <ns0:c r="Q625" s="0">
        <ns0:f>IF(AND(Bookings!G625="Approved",E625="Yes",L625=0,$B$6=0),I625,0)</ns0:f>
        <ns0:v>0</ns0:v>
      </ns0:c>
      <ns0:c r="R625" s="0">
        <ns0:f>IF(AND(Bookings!G625="Pending",E625="Yes"),N625,0)</ns0:f>
        <ns0:v>0</ns0:v>
      </ns0:c>
      <ns0:c r="S625" s="0">
        <ns0:f>IF(AND(Bookings!G625="Approved",E625="No"),N625,0)</ns0:f>
        <ns0:v>0</ns0:v>
      </ns0:c>
      <ns0:c r="T625" s="0">
        <ns0:f>IFERROR(MATCH(D625,Settings!$G$7:$G$11,0),0)</ns0:f>
        <ns0:v>0</ns0:v>
      </ns0:c>
      <ns0:c r="U625" s="0">
        <ns0:f>IF(N625&gt;0,T625+IF(Bookings!G625="Pending",10,0),0)</ns0:f>
        <ns0:v>0</ns0:v>
      </ns0:c>
      <ns0:c r="V625" s="0">
        <ns0:f>U625</ns0:f>
        <ns0:v>0</ns0:v>
      </ns0:c>
      <ns0:c r="W625" s="0" t="str">
        <ns0:f>IF(C625=0,"",INDEX($AP$11:$AP$60,C625))</ns0:f>
        <ns0:v/>
      </ns0:c>
    </ns0:row>
    <ns0:row r="626">
      <ns0:c r="A626" s="0">
        <ns0:f>IF(COUNTA(Bookings!A626:G626,Bookings!I626)=0,0,1)</ns0:f>
        <ns0:v>0</ns0:v>
      </ns0:c>
      <ns0:c r="B626" s="0" t="str">
        <ns0:f>IFERROR(TRIM(MID(Bookings!A626,FIND(" · ",Bookings!A626)+3,99)),"")</ns0:f>
        <ns0:v/>
      </ns0:c>
      <ns0:c r="C626" s="0">
        <ns0:f>IF(OR(B626="",LEN(B626)&gt;24,ISNUMBER(FIND(" ",B626)),ISNUMBER(FIND("*",B626)),ISNUMBER(FIND("?",B626)),ISNUMBER(FIND("~",B626))),0,IFERROR(MATCH(B626,Team!$A$11:$A$60,0),0))</ns0:f>
        <ns0:v>0</ns0:v>
      </ns0:c>
      <ns0:c r="D626" s="0" t="str">
        <ns0:f>IFERROR(IF(MID(Bookings!F626,LEN(Bookings!F626)-3,3)=" · ",RIGHT(Bookings!F626,1),""),"")</ns0:f>
        <ns0:v/>
      </ns0:c>
      <ns0:c r="E626" s="0" t="str">
        <ns0:f>IFERROR(INDEX(Settings!$H$7:$H$11,MATCH(D626,Settings!$G$7:$G$11,0)),"")</ns0:f>
        <ns0:v/>
      </ns0:c>
      <ns0:c r="F626" s="0" t="str">
        <ns0:f>IF(A626=0,"",IFERROR(IF(OR(B626="",C626=0),"CHECK employee selection",IF(INDEX(Team!$O$11:$O$60,C626)&lt;&gt;"OK","CHECK employee setup",IF(OR('_Dates'!J626=0,'_Dates'!T626=0),"CHECK date: use DD.MM.YYYY",IF('_Dates'!T626&lt;'_Dates'!J626,"CHECK end before start",IF(AND($B$6=0,OR('_Dates'!J626&lt;Settings!$B$7,'_Dates'!T626&gt;Settings!$B$8)),"CHECK split across leave years",IF(OR(NOT(OR('_Dates'!U626="Full day",'_Dates'!U626="AM",'_Dates'!U626="PM")),NOT(OR('_Dates'!V626="Full day",'_Dates'!V626="AM",'_Dates'!V626="PM"))),"CHECK Full day / AM / PM",IF(AND('_Dates'!J626='_Dates'!T626,'_Dates'!U626&lt;&gt;"Full day",'_Dates'!V626&lt;&gt;"Full day",'_Dates'!U626&lt;&gt;'_Dates'!V626),"CHECK same-day portions disagree",IF(AND($B$6=0,OR(AND('_Dates'!U626&lt;&gt;"Full day",'_Dates'!AA626=0),AND('_Dates'!V626&lt;&gt;"Full day",'_Dates'!AB626=0))),"CHECK half-day on non-working date",IF(COUNTIF(Settings!$G$7:$G$11,D626)&lt;&gt;1,"CHECK leave type",IF(AND(Bookings!G626&lt;&gt;"Approved",Bookings!G626&lt;&gt;"Pending",Bookings!G626&lt;&gt;"Cancelled"),"CHECK status","OK")))))))))),"CHECK input"))</ns0:f>
        <ns0:v/>
      </ns0:c>
      <ns0:c r="G626" s="0">
        <ns0:f>IF(OR(F626&lt;&gt;"OK",$B$6&gt;0),0,0.5*(IF(('_Dates'!X626)&lt;('_Dates'!W626),0,INT((('_Dates'!X626)-('_Dates'!W626)+1)/7)*LEN(SUBSTITUTE(W626,"O",""))+LEN(SUBSTITUTE(MID(W626&amp;W626,WEEKDAY(('_Dates'!W626),2),MOD((('_Dates'!X626)-('_Dates'!W626)+1),7)),"O",""))-COUNTIFS(INDEX(AllClosureRows,C626,0),"&gt;="&amp;('_Dates'!W626),INDEX(AllClosureRows,C626,0),"&lt;="&amp;('_Dates'!X626)))+IF(('_Dates'!Z626)&lt;('_Dates'!Y626),0,INT((('_Dates'!Z626)-('_Dates'!Y626)+1)/7)*LEN(SUBSTITUTE(W626,"O",""))+LEN(SUBSTITUTE(MID(W626&amp;W626,WEEKDAY(('_Dates'!Y626),2),MOD((('_Dates'!Z626)-('_Dates'!Y626)+1),7)),"O",""))-COUNTIFS(INDEX(AllClosureRows,C626,0),"&gt;="&amp;('_Dates'!Y626),INDEX(AllClosureRows,C626,0),"&lt;="&amp;('_Dates'!Z626)))))</ns0:f>
        <ns0:v>0</ns0:v>
      </ns0:c>
      <ns0:c r="H626" s="0">
        <ns0:f>IF(OR(F626&lt;&gt;"OK",$B$6&gt;0),0,0.5*(IF((MIN('_Dates'!X626,Settings!$B$9))&lt;('_Dates'!W626),0,INT(((MIN('_Dates'!X626,Settings!$B$9))-('_Dates'!W626)+1)/7)*LEN(SUBSTITUTE(W626,"O",""))+LEN(SUBSTITUTE(MID(W626&amp;W626,WEEKDAY(('_Dates'!W626),2),MOD(((MIN('_Dates'!X626,Settings!$B$9))-('_Dates'!W626)+1),7)),"O",""))-COUNTIFS(INDEX(AllClosureRows,C626,0),"&gt;="&amp;('_Dates'!W626),INDEX(AllClosureRows,C626,0),"&lt;="&amp;(MIN('_Dates'!X626,Settings!$B$9))))+IF((MIN('_Dates'!Z626,Settings!$B$9))&lt;('_Dates'!Y626),0,INT(((MIN('_Dates'!Z626,Settings!$B$9))-('_Dates'!Y626)+1)/7)*LEN(SUBSTITUTE(W626,"O",""))+LEN(SUBSTITUTE(MID(W626&amp;W626,WEEKDAY(('_Dates'!Y626),2),MOD(((MIN('_Dates'!Z626,Settings!$B$9))-('_Dates'!Y626)+1),7)),"O",""))-COUNTIFS(INDEX(AllClosureRows,C626,0),"&gt;="&amp;('_Dates'!Y626),INDEX(AllClosureRows,C626,0),"&lt;="&amp;(MIN('_Dates'!Z626,Settings!$B$9))))))</ns0:f>
        <ns0:v>0</ns0:v>
      </ns0:c>
      <ns0:c r="I626" s="0">
        <ns0:f>MAX(0,G626-H626)</ns0:f>
        <ns0:v>0</ns0:v>
      </ns0:c>
      <ns0:c r="J626" s="0">
        <ns0:f>IF(OR(A626=0,F626&lt;&gt;"OK",Bookings!G626="Cancelled",$B$6&gt;0),0,IF('_Dates'!AC626=1,MAX(0,COUNTIFS(rngEngine_B,B626,rngAMStart,"&lt;="&amp;'_Dates'!X626,rngAMEnd,"&gt;="&amp;'_Dates'!W626,rngAMActive,1,rngEngine_F,"OK",rngBookings_F,"&lt;&gt;Cancelled")-1),0)+IF('_Dates'!AD626=1,MAX(0,COUNTIFS(rngEngine_B,B626,rngPMStart,"&lt;="&amp;'_Dates'!Z626,rngPMEnd,"&gt;="&amp;'_Dates'!Y626,rngPMActive,1,rngEngine_F,"OK",rngBookings_F,"&lt;&gt;Cancelled")-1),0))</ns0:f>
        <ns0:v>0</ns0:v>
      </ns0:c>
      <ns0:c r="K626" s="0" t="str">
        <ns0:f>IF(A626=0,"",IF(F626&lt;&gt;"OK",F626,IF(J626&gt;0,"CHECK overlapping entry",IF(AND($B$6=0,G626&lt;=0,Bookings!G626&lt;&gt;"Cancelled"),"CHECK no working days",IF(Bookings!G626="Cancelled","Cancelled","OK")))))</ns0:f>
        <ns0:v/>
      </ns0:c>
      <ns0:c r="L626" s="0">
        <ns0:f>IF(LEFT(K626,5)="CHECK",1,0)</ns0:f>
        <ns0:v>0</ns0:v>
      </ns0:c>
      <ns0:c r="M626" s="0">
        <ns0:f>IF(AND(L626=1,OR(C626=0,IFERROR(INDEX($X$11:$X$60,C626),0)=0)),1,0)</ns0:f>
        <ns0:v>0</ns0:v>
      </ns0:c>
      <ns0:c r="N626" s="0">
        <ns0:f>IF(OR(A626=0,L626&gt;0,$B$6&gt;0,Bookings!G626="Cancelled"),0,G626)</ns0:f>
        <ns0:v>0</ns0:v>
      </ns0:c>
      <ns0:c r="O626" s="0">
        <ns0:f>IF(AND(Bookings!G626="Approved",E626="Yes"),N626,0)</ns0:f>
        <ns0:v>0</ns0:v>
      </ns0:c>
      <ns0:c r="P626" s="0">
        <ns0:f>IF(AND(Bookings!G626="Approved",E626="Yes",L626=0,$B$6=0),H626,0)</ns0:f>
        <ns0:v>0</ns0:v>
      </ns0:c>
      <ns0:c r="Q626" s="0">
        <ns0:f>IF(AND(Bookings!G626="Approved",E626="Yes",L626=0,$B$6=0),I626,0)</ns0:f>
        <ns0:v>0</ns0:v>
      </ns0:c>
      <ns0:c r="R626" s="0">
        <ns0:f>IF(AND(Bookings!G626="Pending",E626="Yes"),N626,0)</ns0:f>
        <ns0:v>0</ns0:v>
      </ns0:c>
      <ns0:c r="S626" s="0">
        <ns0:f>IF(AND(Bookings!G626="Approved",E626="No"),N626,0)</ns0:f>
        <ns0:v>0</ns0:v>
      </ns0:c>
      <ns0:c r="T626" s="0">
        <ns0:f>IFERROR(MATCH(D626,Settings!$G$7:$G$11,0),0)</ns0:f>
        <ns0:v>0</ns0:v>
      </ns0:c>
      <ns0:c r="U626" s="0">
        <ns0:f>IF(N626&gt;0,T626+IF(Bookings!G626="Pending",10,0),0)</ns0:f>
        <ns0:v>0</ns0:v>
      </ns0:c>
      <ns0:c r="V626" s="0">
        <ns0:f>U626</ns0:f>
        <ns0:v>0</ns0:v>
      </ns0:c>
      <ns0:c r="W626" s="0" t="str">
        <ns0:f>IF(C626=0,"",INDEX($AP$11:$AP$60,C626))</ns0:f>
        <ns0:v/>
      </ns0:c>
    </ns0:row>
    <ns0:row r="627">
      <ns0:c r="A627" s="0">
        <ns0:f>IF(COUNTA(Bookings!A627:G627,Bookings!I627)=0,0,1)</ns0:f>
        <ns0:v>0</ns0:v>
      </ns0:c>
      <ns0:c r="B627" s="0" t="str">
        <ns0:f>IFERROR(TRIM(MID(Bookings!A627,FIND(" · ",Bookings!A627)+3,99)),"")</ns0:f>
        <ns0:v/>
      </ns0:c>
      <ns0:c r="C627" s="0">
        <ns0:f>IF(OR(B627="",LEN(B627)&gt;24,ISNUMBER(FIND(" ",B627)),ISNUMBER(FIND("*",B627)),ISNUMBER(FIND("?",B627)),ISNUMBER(FIND("~",B627))),0,IFERROR(MATCH(B627,Team!$A$11:$A$60,0),0))</ns0:f>
        <ns0:v>0</ns0:v>
      </ns0:c>
      <ns0:c r="D627" s="0" t="str">
        <ns0:f>IFERROR(IF(MID(Bookings!F627,LEN(Bookings!F627)-3,3)=" · ",RIGHT(Bookings!F627,1),""),"")</ns0:f>
        <ns0:v/>
      </ns0:c>
      <ns0:c r="E627" s="0" t="str">
        <ns0:f>IFERROR(INDEX(Settings!$H$7:$H$11,MATCH(D627,Settings!$G$7:$G$11,0)),"")</ns0:f>
        <ns0:v/>
      </ns0:c>
      <ns0:c r="F627" s="0" t="str">
        <ns0:f>IF(A627=0,"",IFERROR(IF(OR(B627="",C627=0),"CHECK employee selection",IF(INDEX(Team!$O$11:$O$60,C627)&lt;&gt;"OK","CHECK employee setup",IF(OR('_Dates'!J627=0,'_Dates'!T627=0),"CHECK date: use DD.MM.YYYY",IF('_Dates'!T627&lt;'_Dates'!J627,"CHECK end before start",IF(AND($B$6=0,OR('_Dates'!J627&lt;Settings!$B$7,'_Dates'!T627&gt;Settings!$B$8)),"CHECK split across leave years",IF(OR(NOT(OR('_Dates'!U627="Full day",'_Dates'!U627="AM",'_Dates'!U627="PM")),NOT(OR('_Dates'!V627="Full day",'_Dates'!V627="AM",'_Dates'!V627="PM"))),"CHECK Full day / AM / PM",IF(AND('_Dates'!J627='_Dates'!T627,'_Dates'!U627&lt;&gt;"Full day",'_Dates'!V627&lt;&gt;"Full day",'_Dates'!U627&lt;&gt;'_Dates'!V627),"CHECK same-day portions disagree",IF(AND($B$6=0,OR(AND('_Dates'!U627&lt;&gt;"Full day",'_Dates'!AA627=0),AND('_Dates'!V627&lt;&gt;"Full day",'_Dates'!AB627=0))),"CHECK half-day on non-working date",IF(COUNTIF(Settings!$G$7:$G$11,D627)&lt;&gt;1,"CHECK leave type",IF(AND(Bookings!G627&lt;&gt;"Approved",Bookings!G627&lt;&gt;"Pending",Bookings!G627&lt;&gt;"Cancelled"),"CHECK status","OK")))))))))),"CHECK input"))</ns0:f>
        <ns0:v/>
      </ns0:c>
      <ns0:c r="G627" s="0">
        <ns0:f>IF(OR(F627&lt;&gt;"OK",$B$6&gt;0),0,0.5*(IF(('_Dates'!X627)&lt;('_Dates'!W627),0,INT((('_Dates'!X627)-('_Dates'!W627)+1)/7)*LEN(SUBSTITUTE(W627,"O",""))+LEN(SUBSTITUTE(MID(W627&amp;W627,WEEKDAY(('_Dates'!W627),2),MOD((('_Dates'!X627)-('_Dates'!W627)+1),7)),"O",""))-COUNTIFS(INDEX(AllClosureRows,C627,0),"&gt;="&amp;('_Dates'!W627),INDEX(AllClosureRows,C627,0),"&lt;="&amp;('_Dates'!X627)))+IF(('_Dates'!Z627)&lt;('_Dates'!Y627),0,INT((('_Dates'!Z627)-('_Dates'!Y627)+1)/7)*LEN(SUBSTITUTE(W627,"O",""))+LEN(SUBSTITUTE(MID(W627&amp;W627,WEEKDAY(('_Dates'!Y627),2),MOD((('_Dates'!Z627)-('_Dates'!Y627)+1),7)),"O",""))-COUNTIFS(INDEX(AllClosureRows,C627,0),"&gt;="&amp;('_Dates'!Y627),INDEX(AllClosureRows,C627,0),"&lt;="&amp;('_Dates'!Z627)))))</ns0:f>
        <ns0:v>0</ns0:v>
      </ns0:c>
      <ns0:c r="H627" s="0">
        <ns0:f>IF(OR(F627&lt;&gt;"OK",$B$6&gt;0),0,0.5*(IF((MIN('_Dates'!X627,Settings!$B$9))&lt;('_Dates'!W627),0,INT(((MIN('_Dates'!X627,Settings!$B$9))-('_Dates'!W627)+1)/7)*LEN(SUBSTITUTE(W627,"O",""))+LEN(SUBSTITUTE(MID(W627&amp;W627,WEEKDAY(('_Dates'!W627),2),MOD(((MIN('_Dates'!X627,Settings!$B$9))-('_Dates'!W627)+1),7)),"O",""))-COUNTIFS(INDEX(AllClosureRows,C627,0),"&gt;="&amp;('_Dates'!W627),INDEX(AllClosureRows,C627,0),"&lt;="&amp;(MIN('_Dates'!X627,Settings!$B$9))))+IF((MIN('_Dates'!Z627,Settings!$B$9))&lt;('_Dates'!Y627),0,INT(((MIN('_Dates'!Z627,Settings!$B$9))-('_Dates'!Y627)+1)/7)*LEN(SUBSTITUTE(W627,"O",""))+LEN(SUBSTITUTE(MID(W627&amp;W627,WEEKDAY(('_Dates'!Y627),2),MOD(((MIN('_Dates'!Z627,Settings!$B$9))-('_Dates'!Y627)+1),7)),"O",""))-COUNTIFS(INDEX(AllClosureRows,C627,0),"&gt;="&amp;('_Dates'!Y627),INDEX(AllClosureRows,C627,0),"&lt;="&amp;(MIN('_Dates'!Z627,Settings!$B$9))))))</ns0:f>
        <ns0:v>0</ns0:v>
      </ns0:c>
      <ns0:c r="I627" s="0">
        <ns0:f>MAX(0,G627-H627)</ns0:f>
        <ns0:v>0</ns0:v>
      </ns0:c>
      <ns0:c r="J627" s="0">
        <ns0:f>IF(OR(A627=0,F627&lt;&gt;"OK",Bookings!G627="Cancelled",$B$6&gt;0),0,IF('_Dates'!AC627=1,MAX(0,COUNTIFS(rngEngine_B,B627,rngAMStart,"&lt;="&amp;'_Dates'!X627,rngAMEnd,"&gt;="&amp;'_Dates'!W627,rngAMActive,1,rngEngine_F,"OK",rngBookings_F,"&lt;&gt;Cancelled")-1),0)+IF('_Dates'!AD627=1,MAX(0,COUNTIFS(rngEngine_B,B627,rngPMStart,"&lt;="&amp;'_Dates'!Z627,rngPMEnd,"&gt;="&amp;'_Dates'!Y627,rngPMActive,1,rngEngine_F,"OK",rngBookings_F,"&lt;&gt;Cancelled")-1),0))</ns0:f>
        <ns0:v>0</ns0:v>
      </ns0:c>
      <ns0:c r="K627" s="0" t="str">
        <ns0:f>IF(A627=0,"",IF(F627&lt;&gt;"OK",F627,IF(J627&gt;0,"CHECK overlapping entry",IF(AND($B$6=0,G627&lt;=0,Bookings!G627&lt;&gt;"Cancelled"),"CHECK no working days",IF(Bookings!G627="Cancelled","Cancelled","OK")))))</ns0:f>
        <ns0:v/>
      </ns0:c>
      <ns0:c r="L627" s="0">
        <ns0:f>IF(LEFT(K627,5)="CHECK",1,0)</ns0:f>
        <ns0:v>0</ns0:v>
      </ns0:c>
      <ns0:c r="M627" s="0">
        <ns0:f>IF(AND(L627=1,OR(C627=0,IFERROR(INDEX($X$11:$X$60,C627),0)=0)),1,0)</ns0:f>
        <ns0:v>0</ns0:v>
      </ns0:c>
      <ns0:c r="N627" s="0">
        <ns0:f>IF(OR(A627=0,L627&gt;0,$B$6&gt;0,Bookings!G627="Cancelled"),0,G627)</ns0:f>
        <ns0:v>0</ns0:v>
      </ns0:c>
      <ns0:c r="O627" s="0">
        <ns0:f>IF(AND(Bookings!G627="Approved",E627="Yes"),N627,0)</ns0:f>
        <ns0:v>0</ns0:v>
      </ns0:c>
      <ns0:c r="P627" s="0">
        <ns0:f>IF(AND(Bookings!G627="Approved",E627="Yes",L627=0,$B$6=0),H627,0)</ns0:f>
        <ns0:v>0</ns0:v>
      </ns0:c>
      <ns0:c r="Q627" s="0">
        <ns0:f>IF(AND(Bookings!G627="Approved",E627="Yes",L627=0,$B$6=0),I627,0)</ns0:f>
        <ns0:v>0</ns0:v>
      </ns0:c>
      <ns0:c r="R627" s="0">
        <ns0:f>IF(AND(Bookings!G627="Pending",E627="Yes"),N627,0)</ns0:f>
        <ns0:v>0</ns0:v>
      </ns0:c>
      <ns0:c r="S627" s="0">
        <ns0:f>IF(AND(Bookings!G627="Approved",E627="No"),N627,0)</ns0:f>
        <ns0:v>0</ns0:v>
      </ns0:c>
      <ns0:c r="T627" s="0">
        <ns0:f>IFERROR(MATCH(D627,Settings!$G$7:$G$11,0),0)</ns0:f>
        <ns0:v>0</ns0:v>
      </ns0:c>
      <ns0:c r="U627" s="0">
        <ns0:f>IF(N627&gt;0,T627+IF(Bookings!G627="Pending",10,0),0)</ns0:f>
        <ns0:v>0</ns0:v>
      </ns0:c>
      <ns0:c r="V627" s="0">
        <ns0:f>U627</ns0:f>
        <ns0:v>0</ns0:v>
      </ns0:c>
      <ns0:c r="W627" s="0" t="str">
        <ns0:f>IF(C627=0,"",INDEX($AP$11:$AP$60,C627))</ns0:f>
        <ns0:v/>
      </ns0:c>
    </ns0:row>
    <ns0:row r="628">
      <ns0:c r="A628" s="0">
        <ns0:f>IF(COUNTA(Bookings!A628:G628,Bookings!I628)=0,0,1)</ns0:f>
        <ns0:v>0</ns0:v>
      </ns0:c>
      <ns0:c r="B628" s="0" t="str">
        <ns0:f>IFERROR(TRIM(MID(Bookings!A628,FIND(" · ",Bookings!A628)+3,99)),"")</ns0:f>
        <ns0:v/>
      </ns0:c>
      <ns0:c r="C628" s="0">
        <ns0:f>IF(OR(B628="",LEN(B628)&gt;24,ISNUMBER(FIND(" ",B628)),ISNUMBER(FIND("*",B628)),ISNUMBER(FIND("?",B628)),ISNUMBER(FIND("~",B628))),0,IFERROR(MATCH(B628,Team!$A$11:$A$60,0),0))</ns0:f>
        <ns0:v>0</ns0:v>
      </ns0:c>
      <ns0:c r="D628" s="0" t="str">
        <ns0:f>IFERROR(IF(MID(Bookings!F628,LEN(Bookings!F628)-3,3)=" · ",RIGHT(Bookings!F628,1),""),"")</ns0:f>
        <ns0:v/>
      </ns0:c>
      <ns0:c r="E628" s="0" t="str">
        <ns0:f>IFERROR(INDEX(Settings!$H$7:$H$11,MATCH(D628,Settings!$G$7:$G$11,0)),"")</ns0:f>
        <ns0:v/>
      </ns0:c>
      <ns0:c r="F628" s="0" t="str">
        <ns0:f>IF(A628=0,"",IFERROR(IF(OR(B628="",C628=0),"CHECK employee selection",IF(INDEX(Team!$O$11:$O$60,C628)&lt;&gt;"OK","CHECK employee setup",IF(OR('_Dates'!J628=0,'_Dates'!T628=0),"CHECK date: use DD.MM.YYYY",IF('_Dates'!T628&lt;'_Dates'!J628,"CHECK end before start",IF(AND($B$6=0,OR('_Dates'!J628&lt;Settings!$B$7,'_Dates'!T628&gt;Settings!$B$8)),"CHECK split across leave years",IF(OR(NOT(OR('_Dates'!U628="Full day",'_Dates'!U628="AM",'_Dates'!U628="PM")),NOT(OR('_Dates'!V628="Full day",'_Dates'!V628="AM",'_Dates'!V628="PM"))),"CHECK Full day / AM / PM",IF(AND('_Dates'!J628='_Dates'!T628,'_Dates'!U628&lt;&gt;"Full day",'_Dates'!V628&lt;&gt;"Full day",'_Dates'!U628&lt;&gt;'_Dates'!V628),"CHECK same-day portions disagree",IF(AND($B$6=0,OR(AND('_Dates'!U628&lt;&gt;"Full day",'_Dates'!AA628=0),AND('_Dates'!V628&lt;&gt;"Full day",'_Dates'!AB628=0))),"CHECK half-day on non-working date",IF(COUNTIF(Settings!$G$7:$G$11,D628)&lt;&gt;1,"CHECK leave type",IF(AND(Bookings!G628&lt;&gt;"Approved",Bookings!G628&lt;&gt;"Pending",Bookings!G628&lt;&gt;"Cancelled"),"CHECK status","OK")))))))))),"CHECK input"))</ns0:f>
        <ns0:v/>
      </ns0:c>
      <ns0:c r="G628" s="0">
        <ns0:f>IF(OR(F628&lt;&gt;"OK",$B$6&gt;0),0,0.5*(IF(('_Dates'!X628)&lt;('_Dates'!W628),0,INT((('_Dates'!X628)-('_Dates'!W628)+1)/7)*LEN(SUBSTITUTE(W628,"O",""))+LEN(SUBSTITUTE(MID(W628&amp;W628,WEEKDAY(('_Dates'!W628),2),MOD((('_Dates'!X628)-('_Dates'!W628)+1),7)),"O",""))-COUNTIFS(INDEX(AllClosureRows,C628,0),"&gt;="&amp;('_Dates'!W628),INDEX(AllClosureRows,C628,0),"&lt;="&amp;('_Dates'!X628)))+IF(('_Dates'!Z628)&lt;('_Dates'!Y628),0,INT((('_Dates'!Z628)-('_Dates'!Y628)+1)/7)*LEN(SUBSTITUTE(W628,"O",""))+LEN(SUBSTITUTE(MID(W628&amp;W628,WEEKDAY(('_Dates'!Y628),2),MOD((('_Dates'!Z628)-('_Dates'!Y628)+1),7)),"O",""))-COUNTIFS(INDEX(AllClosureRows,C628,0),"&gt;="&amp;('_Dates'!Y628),INDEX(AllClosureRows,C628,0),"&lt;="&amp;('_Dates'!Z628)))))</ns0:f>
        <ns0:v>0</ns0:v>
      </ns0:c>
      <ns0:c r="H628" s="0">
        <ns0:f>IF(OR(F628&lt;&gt;"OK",$B$6&gt;0),0,0.5*(IF((MIN('_Dates'!X628,Settings!$B$9))&lt;('_Dates'!W628),0,INT(((MIN('_Dates'!X628,Settings!$B$9))-('_Dates'!W628)+1)/7)*LEN(SUBSTITUTE(W628,"O",""))+LEN(SUBSTITUTE(MID(W628&amp;W628,WEEKDAY(('_Dates'!W628),2),MOD(((MIN('_Dates'!X628,Settings!$B$9))-('_Dates'!W628)+1),7)),"O",""))-COUNTIFS(INDEX(AllClosureRows,C628,0),"&gt;="&amp;('_Dates'!W628),INDEX(AllClosureRows,C628,0),"&lt;="&amp;(MIN('_Dates'!X628,Settings!$B$9))))+IF((MIN('_Dates'!Z628,Settings!$B$9))&lt;('_Dates'!Y628),0,INT(((MIN('_Dates'!Z628,Settings!$B$9))-('_Dates'!Y628)+1)/7)*LEN(SUBSTITUTE(W628,"O",""))+LEN(SUBSTITUTE(MID(W628&amp;W628,WEEKDAY(('_Dates'!Y628),2),MOD(((MIN('_Dates'!Z628,Settings!$B$9))-('_Dates'!Y628)+1),7)),"O",""))-COUNTIFS(INDEX(AllClosureRows,C628,0),"&gt;="&amp;('_Dates'!Y628),INDEX(AllClosureRows,C628,0),"&lt;="&amp;(MIN('_Dates'!Z628,Settings!$B$9))))))</ns0:f>
        <ns0:v>0</ns0:v>
      </ns0:c>
      <ns0:c r="I628" s="0">
        <ns0:f>MAX(0,G628-H628)</ns0:f>
        <ns0:v>0</ns0:v>
      </ns0:c>
      <ns0:c r="J628" s="0">
        <ns0:f>IF(OR(A628=0,F628&lt;&gt;"OK",Bookings!G628="Cancelled",$B$6&gt;0),0,IF('_Dates'!AC628=1,MAX(0,COUNTIFS(rngEngine_B,B628,rngAMStart,"&lt;="&amp;'_Dates'!X628,rngAMEnd,"&gt;="&amp;'_Dates'!W628,rngAMActive,1,rngEngine_F,"OK",rngBookings_F,"&lt;&gt;Cancelled")-1),0)+IF('_Dates'!AD628=1,MAX(0,COUNTIFS(rngEngine_B,B628,rngPMStart,"&lt;="&amp;'_Dates'!Z628,rngPMEnd,"&gt;="&amp;'_Dates'!Y628,rngPMActive,1,rngEngine_F,"OK",rngBookings_F,"&lt;&gt;Cancelled")-1),0))</ns0:f>
        <ns0:v>0</ns0:v>
      </ns0:c>
      <ns0:c r="K628" s="0" t="str">
        <ns0:f>IF(A628=0,"",IF(F628&lt;&gt;"OK",F628,IF(J628&gt;0,"CHECK overlapping entry",IF(AND($B$6=0,G628&lt;=0,Bookings!G628&lt;&gt;"Cancelled"),"CHECK no working days",IF(Bookings!G628="Cancelled","Cancelled","OK")))))</ns0:f>
        <ns0:v/>
      </ns0:c>
      <ns0:c r="L628" s="0">
        <ns0:f>IF(LEFT(K628,5)="CHECK",1,0)</ns0:f>
        <ns0:v>0</ns0:v>
      </ns0:c>
      <ns0:c r="M628" s="0">
        <ns0:f>IF(AND(L628=1,OR(C628=0,IFERROR(INDEX($X$11:$X$60,C628),0)=0)),1,0)</ns0:f>
        <ns0:v>0</ns0:v>
      </ns0:c>
      <ns0:c r="N628" s="0">
        <ns0:f>IF(OR(A628=0,L628&gt;0,$B$6&gt;0,Bookings!G628="Cancelled"),0,G628)</ns0:f>
        <ns0:v>0</ns0:v>
      </ns0:c>
      <ns0:c r="O628" s="0">
        <ns0:f>IF(AND(Bookings!G628="Approved",E628="Yes"),N628,0)</ns0:f>
        <ns0:v>0</ns0:v>
      </ns0:c>
      <ns0:c r="P628" s="0">
        <ns0:f>IF(AND(Bookings!G628="Approved",E628="Yes",L628=0,$B$6=0),H628,0)</ns0:f>
        <ns0:v>0</ns0:v>
      </ns0:c>
      <ns0:c r="Q628" s="0">
        <ns0:f>IF(AND(Bookings!G628="Approved",E628="Yes",L628=0,$B$6=0),I628,0)</ns0:f>
        <ns0:v>0</ns0:v>
      </ns0:c>
      <ns0:c r="R628" s="0">
        <ns0:f>IF(AND(Bookings!G628="Pending",E628="Yes"),N628,0)</ns0:f>
        <ns0:v>0</ns0:v>
      </ns0:c>
      <ns0:c r="S628" s="0">
        <ns0:f>IF(AND(Bookings!G628="Approved",E628="No"),N628,0)</ns0:f>
        <ns0:v>0</ns0:v>
      </ns0:c>
      <ns0:c r="T628" s="0">
        <ns0:f>IFERROR(MATCH(D628,Settings!$G$7:$G$11,0),0)</ns0:f>
        <ns0:v>0</ns0:v>
      </ns0:c>
      <ns0:c r="U628" s="0">
        <ns0:f>IF(N628&gt;0,T628+IF(Bookings!G628="Pending",10,0),0)</ns0:f>
        <ns0:v>0</ns0:v>
      </ns0:c>
      <ns0:c r="V628" s="0">
        <ns0:f>U628</ns0:f>
        <ns0:v>0</ns0:v>
      </ns0:c>
      <ns0:c r="W628" s="0" t="str">
        <ns0:f>IF(C628=0,"",INDEX($AP$11:$AP$60,C628))</ns0:f>
        <ns0:v/>
      </ns0:c>
    </ns0:row>
    <ns0:row r="629">
      <ns0:c r="A629" s="0">
        <ns0:f>IF(COUNTA(Bookings!A629:G629,Bookings!I629)=0,0,1)</ns0:f>
        <ns0:v>0</ns0:v>
      </ns0:c>
      <ns0:c r="B629" s="0" t="str">
        <ns0:f>IFERROR(TRIM(MID(Bookings!A629,FIND(" · ",Bookings!A629)+3,99)),"")</ns0:f>
        <ns0:v/>
      </ns0:c>
      <ns0:c r="C629" s="0">
        <ns0:f>IF(OR(B629="",LEN(B629)&gt;24,ISNUMBER(FIND(" ",B629)),ISNUMBER(FIND("*",B629)),ISNUMBER(FIND("?",B629)),ISNUMBER(FIND("~",B629))),0,IFERROR(MATCH(B629,Team!$A$11:$A$60,0),0))</ns0:f>
        <ns0:v>0</ns0:v>
      </ns0:c>
      <ns0:c r="D629" s="0" t="str">
        <ns0:f>IFERROR(IF(MID(Bookings!F629,LEN(Bookings!F629)-3,3)=" · ",RIGHT(Bookings!F629,1),""),"")</ns0:f>
        <ns0:v/>
      </ns0:c>
      <ns0:c r="E629" s="0" t="str">
        <ns0:f>IFERROR(INDEX(Settings!$H$7:$H$11,MATCH(D629,Settings!$G$7:$G$11,0)),"")</ns0:f>
        <ns0:v/>
      </ns0:c>
      <ns0:c r="F629" s="0" t="str">
        <ns0:f>IF(A629=0,"",IFERROR(IF(OR(B629="",C629=0),"CHECK employee selection",IF(INDEX(Team!$O$11:$O$60,C629)&lt;&gt;"OK","CHECK employee setup",IF(OR('_Dates'!J629=0,'_Dates'!T629=0),"CHECK date: use DD.MM.YYYY",IF('_Dates'!T629&lt;'_Dates'!J629,"CHECK end before start",IF(AND($B$6=0,OR('_Dates'!J629&lt;Settings!$B$7,'_Dates'!T629&gt;Settings!$B$8)),"CHECK split across leave years",IF(OR(NOT(OR('_Dates'!U629="Full day",'_Dates'!U629="AM",'_Dates'!U629="PM")),NOT(OR('_Dates'!V629="Full day",'_Dates'!V629="AM",'_Dates'!V629="PM"))),"CHECK Full day / AM / PM",IF(AND('_Dates'!J629='_Dates'!T629,'_Dates'!U629&lt;&gt;"Full day",'_Dates'!V629&lt;&gt;"Full day",'_Dates'!U629&lt;&gt;'_Dates'!V629),"CHECK same-day portions disagree",IF(AND($B$6=0,OR(AND('_Dates'!U629&lt;&gt;"Full day",'_Dates'!AA629=0),AND('_Dates'!V629&lt;&gt;"Full day",'_Dates'!AB629=0))),"CHECK half-day on non-working date",IF(COUNTIF(Settings!$G$7:$G$11,D629)&lt;&gt;1,"CHECK leave type",IF(AND(Bookings!G629&lt;&gt;"Approved",Bookings!G629&lt;&gt;"Pending",Bookings!G629&lt;&gt;"Cancelled"),"CHECK status","OK")))))))))),"CHECK input"))</ns0:f>
        <ns0:v/>
      </ns0:c>
      <ns0:c r="G629" s="0">
        <ns0:f>IF(OR(F629&lt;&gt;"OK",$B$6&gt;0),0,0.5*(IF(('_Dates'!X629)&lt;('_Dates'!W629),0,INT((('_Dates'!X629)-('_Dates'!W629)+1)/7)*LEN(SUBSTITUTE(W629,"O",""))+LEN(SUBSTITUTE(MID(W629&amp;W629,WEEKDAY(('_Dates'!W629),2),MOD((('_Dates'!X629)-('_Dates'!W629)+1),7)),"O",""))-COUNTIFS(INDEX(AllClosureRows,C629,0),"&gt;="&amp;('_Dates'!W629),INDEX(AllClosureRows,C629,0),"&lt;="&amp;('_Dates'!X629)))+IF(('_Dates'!Z629)&lt;('_Dates'!Y629),0,INT((('_Dates'!Z629)-('_Dates'!Y629)+1)/7)*LEN(SUBSTITUTE(W629,"O",""))+LEN(SUBSTITUTE(MID(W629&amp;W629,WEEKDAY(('_Dates'!Y629),2),MOD((('_Dates'!Z629)-('_Dates'!Y629)+1),7)),"O",""))-COUNTIFS(INDEX(AllClosureRows,C629,0),"&gt;="&amp;('_Dates'!Y629),INDEX(AllClosureRows,C629,0),"&lt;="&amp;('_Dates'!Z629)))))</ns0:f>
        <ns0:v>0</ns0:v>
      </ns0:c>
      <ns0:c r="H629" s="0">
        <ns0:f>IF(OR(F629&lt;&gt;"OK",$B$6&gt;0),0,0.5*(IF((MIN('_Dates'!X629,Settings!$B$9))&lt;('_Dates'!W629),0,INT(((MIN('_Dates'!X629,Settings!$B$9))-('_Dates'!W629)+1)/7)*LEN(SUBSTITUTE(W629,"O",""))+LEN(SUBSTITUTE(MID(W629&amp;W629,WEEKDAY(('_Dates'!W629),2),MOD(((MIN('_Dates'!X629,Settings!$B$9))-('_Dates'!W629)+1),7)),"O",""))-COUNTIFS(INDEX(AllClosureRows,C629,0),"&gt;="&amp;('_Dates'!W629),INDEX(AllClosureRows,C629,0),"&lt;="&amp;(MIN('_Dates'!X629,Settings!$B$9))))+IF((MIN('_Dates'!Z629,Settings!$B$9))&lt;('_Dates'!Y629),0,INT(((MIN('_Dates'!Z629,Settings!$B$9))-('_Dates'!Y629)+1)/7)*LEN(SUBSTITUTE(W629,"O",""))+LEN(SUBSTITUTE(MID(W629&amp;W629,WEEKDAY(('_Dates'!Y629),2),MOD(((MIN('_Dates'!Z629,Settings!$B$9))-('_Dates'!Y629)+1),7)),"O",""))-COUNTIFS(INDEX(AllClosureRows,C629,0),"&gt;="&amp;('_Dates'!Y629),INDEX(AllClosureRows,C629,0),"&lt;="&amp;(MIN('_Dates'!Z629,Settings!$B$9))))))</ns0:f>
        <ns0:v>0</ns0:v>
      </ns0:c>
      <ns0:c r="I629" s="0">
        <ns0:f>MAX(0,G629-H629)</ns0:f>
        <ns0:v>0</ns0:v>
      </ns0:c>
      <ns0:c r="J629" s="0">
        <ns0:f>IF(OR(A629=0,F629&lt;&gt;"OK",Bookings!G629="Cancelled",$B$6&gt;0),0,IF('_Dates'!AC629=1,MAX(0,COUNTIFS(rngEngine_B,B629,rngAMStart,"&lt;="&amp;'_Dates'!X629,rngAMEnd,"&gt;="&amp;'_Dates'!W629,rngAMActive,1,rngEngine_F,"OK",rngBookings_F,"&lt;&gt;Cancelled")-1),0)+IF('_Dates'!AD629=1,MAX(0,COUNTIFS(rngEngine_B,B629,rngPMStart,"&lt;="&amp;'_Dates'!Z629,rngPMEnd,"&gt;="&amp;'_Dates'!Y629,rngPMActive,1,rngEngine_F,"OK",rngBookings_F,"&lt;&gt;Cancelled")-1),0))</ns0:f>
        <ns0:v>0</ns0:v>
      </ns0:c>
      <ns0:c r="K629" s="0" t="str">
        <ns0:f>IF(A629=0,"",IF(F629&lt;&gt;"OK",F629,IF(J629&gt;0,"CHECK overlapping entry",IF(AND($B$6=0,G629&lt;=0,Bookings!G629&lt;&gt;"Cancelled"),"CHECK no working days",IF(Bookings!G629="Cancelled","Cancelled","OK")))))</ns0:f>
        <ns0:v/>
      </ns0:c>
      <ns0:c r="L629" s="0">
        <ns0:f>IF(LEFT(K629,5)="CHECK",1,0)</ns0:f>
        <ns0:v>0</ns0:v>
      </ns0:c>
      <ns0:c r="M629" s="0">
        <ns0:f>IF(AND(L629=1,OR(C629=0,IFERROR(INDEX($X$11:$X$60,C629),0)=0)),1,0)</ns0:f>
        <ns0:v>0</ns0:v>
      </ns0:c>
      <ns0:c r="N629" s="0">
        <ns0:f>IF(OR(A629=0,L629&gt;0,$B$6&gt;0,Bookings!G629="Cancelled"),0,G629)</ns0:f>
        <ns0:v>0</ns0:v>
      </ns0:c>
      <ns0:c r="O629" s="0">
        <ns0:f>IF(AND(Bookings!G629="Approved",E629="Yes"),N629,0)</ns0:f>
        <ns0:v>0</ns0:v>
      </ns0:c>
      <ns0:c r="P629" s="0">
        <ns0:f>IF(AND(Bookings!G629="Approved",E629="Yes",L629=0,$B$6=0),H629,0)</ns0:f>
        <ns0:v>0</ns0:v>
      </ns0:c>
      <ns0:c r="Q629" s="0">
        <ns0:f>IF(AND(Bookings!G629="Approved",E629="Yes",L629=0,$B$6=0),I629,0)</ns0:f>
        <ns0:v>0</ns0:v>
      </ns0:c>
      <ns0:c r="R629" s="0">
        <ns0:f>IF(AND(Bookings!G629="Pending",E629="Yes"),N629,0)</ns0:f>
        <ns0:v>0</ns0:v>
      </ns0:c>
      <ns0:c r="S629" s="0">
        <ns0:f>IF(AND(Bookings!G629="Approved",E629="No"),N629,0)</ns0:f>
        <ns0:v>0</ns0:v>
      </ns0:c>
      <ns0:c r="T629" s="0">
        <ns0:f>IFERROR(MATCH(D629,Settings!$G$7:$G$11,0),0)</ns0:f>
        <ns0:v>0</ns0:v>
      </ns0:c>
      <ns0:c r="U629" s="0">
        <ns0:f>IF(N629&gt;0,T629+IF(Bookings!G629="Pending",10,0),0)</ns0:f>
        <ns0:v>0</ns0:v>
      </ns0:c>
      <ns0:c r="V629" s="0">
        <ns0:f>U629</ns0:f>
        <ns0:v>0</ns0:v>
      </ns0:c>
      <ns0:c r="W629" s="0" t="str">
        <ns0:f>IF(C629=0,"",INDEX($AP$11:$AP$60,C629))</ns0:f>
        <ns0:v/>
      </ns0:c>
    </ns0:row>
    <ns0:row r="630">
      <ns0:c r="A630" s="0">
        <ns0:f>IF(COUNTA(Bookings!A630:G630,Bookings!I630)=0,0,1)</ns0:f>
        <ns0:v>0</ns0:v>
      </ns0:c>
      <ns0:c r="B630" s="0" t="str">
        <ns0:f>IFERROR(TRIM(MID(Bookings!A630,FIND(" · ",Bookings!A630)+3,99)),"")</ns0:f>
        <ns0:v/>
      </ns0:c>
      <ns0:c r="C630" s="0">
        <ns0:f>IF(OR(B630="",LEN(B630)&gt;24,ISNUMBER(FIND(" ",B630)),ISNUMBER(FIND("*",B630)),ISNUMBER(FIND("?",B630)),ISNUMBER(FIND("~",B630))),0,IFERROR(MATCH(B630,Team!$A$11:$A$60,0),0))</ns0:f>
        <ns0:v>0</ns0:v>
      </ns0:c>
      <ns0:c r="D630" s="0" t="str">
        <ns0:f>IFERROR(IF(MID(Bookings!F630,LEN(Bookings!F630)-3,3)=" · ",RIGHT(Bookings!F630,1),""),"")</ns0:f>
        <ns0:v/>
      </ns0:c>
      <ns0:c r="E630" s="0" t="str">
        <ns0:f>IFERROR(INDEX(Settings!$H$7:$H$11,MATCH(D630,Settings!$G$7:$G$11,0)),"")</ns0:f>
        <ns0:v/>
      </ns0:c>
      <ns0:c r="F630" s="0" t="str">
        <ns0:f>IF(A630=0,"",IFERROR(IF(OR(B630="",C630=0),"CHECK employee selection",IF(INDEX(Team!$O$11:$O$60,C630)&lt;&gt;"OK","CHECK employee setup",IF(OR('_Dates'!J630=0,'_Dates'!T630=0),"CHECK date: use DD.MM.YYYY",IF('_Dates'!T630&lt;'_Dates'!J630,"CHECK end before start",IF(AND($B$6=0,OR('_Dates'!J630&lt;Settings!$B$7,'_Dates'!T630&gt;Settings!$B$8)),"CHECK split across leave years",IF(OR(NOT(OR('_Dates'!U630="Full day",'_Dates'!U630="AM",'_Dates'!U630="PM")),NOT(OR('_Dates'!V630="Full day",'_Dates'!V630="AM",'_Dates'!V630="PM"))),"CHECK Full day / AM / PM",IF(AND('_Dates'!J630='_Dates'!T630,'_Dates'!U630&lt;&gt;"Full day",'_Dates'!V630&lt;&gt;"Full day",'_Dates'!U630&lt;&gt;'_Dates'!V630),"CHECK same-day portions disagree",IF(AND($B$6=0,OR(AND('_Dates'!U630&lt;&gt;"Full day",'_Dates'!AA630=0),AND('_Dates'!V630&lt;&gt;"Full day",'_Dates'!AB630=0))),"CHECK half-day on non-working date",IF(COUNTIF(Settings!$G$7:$G$11,D630)&lt;&gt;1,"CHECK leave type",IF(AND(Bookings!G630&lt;&gt;"Approved",Bookings!G630&lt;&gt;"Pending",Bookings!G630&lt;&gt;"Cancelled"),"CHECK status","OK")))))))))),"CHECK input"))</ns0:f>
        <ns0:v/>
      </ns0:c>
      <ns0:c r="G630" s="0">
        <ns0:f>IF(OR(F630&lt;&gt;"OK",$B$6&gt;0),0,0.5*(IF(('_Dates'!X630)&lt;('_Dates'!W630),0,INT((('_Dates'!X630)-('_Dates'!W630)+1)/7)*LEN(SUBSTITUTE(W630,"O",""))+LEN(SUBSTITUTE(MID(W630&amp;W630,WEEKDAY(('_Dates'!W630),2),MOD((('_Dates'!X630)-('_Dates'!W630)+1),7)),"O",""))-COUNTIFS(INDEX(AllClosureRows,C630,0),"&gt;="&amp;('_Dates'!W630),INDEX(AllClosureRows,C630,0),"&lt;="&amp;('_Dates'!X630)))+IF(('_Dates'!Z630)&lt;('_Dates'!Y630),0,INT((('_Dates'!Z630)-('_Dates'!Y630)+1)/7)*LEN(SUBSTITUTE(W630,"O",""))+LEN(SUBSTITUTE(MID(W630&amp;W630,WEEKDAY(('_Dates'!Y630),2),MOD((('_Dates'!Z630)-('_Dates'!Y630)+1),7)),"O",""))-COUNTIFS(INDEX(AllClosureRows,C630,0),"&gt;="&amp;('_Dates'!Y630),INDEX(AllClosureRows,C630,0),"&lt;="&amp;('_Dates'!Z630)))))</ns0:f>
        <ns0:v>0</ns0:v>
      </ns0:c>
      <ns0:c r="H630" s="0">
        <ns0:f>IF(OR(F630&lt;&gt;"OK",$B$6&gt;0),0,0.5*(IF((MIN('_Dates'!X630,Settings!$B$9))&lt;('_Dates'!W630),0,INT(((MIN('_Dates'!X630,Settings!$B$9))-('_Dates'!W630)+1)/7)*LEN(SUBSTITUTE(W630,"O",""))+LEN(SUBSTITUTE(MID(W630&amp;W630,WEEKDAY(('_Dates'!W630),2),MOD(((MIN('_Dates'!X630,Settings!$B$9))-('_Dates'!W630)+1),7)),"O",""))-COUNTIFS(INDEX(AllClosureRows,C630,0),"&gt;="&amp;('_Dates'!W630),INDEX(AllClosureRows,C630,0),"&lt;="&amp;(MIN('_Dates'!X630,Settings!$B$9))))+IF((MIN('_Dates'!Z630,Settings!$B$9))&lt;('_Dates'!Y630),0,INT(((MIN('_Dates'!Z630,Settings!$B$9))-('_Dates'!Y630)+1)/7)*LEN(SUBSTITUTE(W630,"O",""))+LEN(SUBSTITUTE(MID(W630&amp;W630,WEEKDAY(('_Dates'!Y630),2),MOD(((MIN('_Dates'!Z630,Settings!$B$9))-('_Dates'!Y630)+1),7)),"O",""))-COUNTIFS(INDEX(AllClosureRows,C630,0),"&gt;="&amp;('_Dates'!Y630),INDEX(AllClosureRows,C630,0),"&lt;="&amp;(MIN('_Dates'!Z630,Settings!$B$9))))))</ns0:f>
        <ns0:v>0</ns0:v>
      </ns0:c>
      <ns0:c r="I630" s="0">
        <ns0:f>MAX(0,G630-H630)</ns0:f>
        <ns0:v>0</ns0:v>
      </ns0:c>
      <ns0:c r="J630" s="0">
        <ns0:f>IF(OR(A630=0,F630&lt;&gt;"OK",Bookings!G630="Cancelled",$B$6&gt;0),0,IF('_Dates'!AC630=1,MAX(0,COUNTIFS(rngEngine_B,B630,rngAMStart,"&lt;="&amp;'_Dates'!X630,rngAMEnd,"&gt;="&amp;'_Dates'!W630,rngAMActive,1,rngEngine_F,"OK",rngBookings_F,"&lt;&gt;Cancelled")-1),0)+IF('_Dates'!AD630=1,MAX(0,COUNTIFS(rngEngine_B,B630,rngPMStart,"&lt;="&amp;'_Dates'!Z630,rngPMEnd,"&gt;="&amp;'_Dates'!Y630,rngPMActive,1,rngEngine_F,"OK",rngBookings_F,"&lt;&gt;Cancelled")-1),0))</ns0:f>
        <ns0:v>0</ns0:v>
      </ns0:c>
      <ns0:c r="K630" s="0" t="str">
        <ns0:f>IF(A630=0,"",IF(F630&lt;&gt;"OK",F630,IF(J630&gt;0,"CHECK overlapping entry",IF(AND($B$6=0,G630&lt;=0,Bookings!G630&lt;&gt;"Cancelled"),"CHECK no working days",IF(Bookings!G630="Cancelled","Cancelled","OK")))))</ns0:f>
        <ns0:v/>
      </ns0:c>
      <ns0:c r="L630" s="0">
        <ns0:f>IF(LEFT(K630,5)="CHECK",1,0)</ns0:f>
        <ns0:v>0</ns0:v>
      </ns0:c>
      <ns0:c r="M630" s="0">
        <ns0:f>IF(AND(L630=1,OR(C630=0,IFERROR(INDEX($X$11:$X$60,C630),0)=0)),1,0)</ns0:f>
        <ns0:v>0</ns0:v>
      </ns0:c>
      <ns0:c r="N630" s="0">
        <ns0:f>IF(OR(A630=0,L630&gt;0,$B$6&gt;0,Bookings!G630="Cancelled"),0,G630)</ns0:f>
        <ns0:v>0</ns0:v>
      </ns0:c>
      <ns0:c r="O630" s="0">
        <ns0:f>IF(AND(Bookings!G630="Approved",E630="Yes"),N630,0)</ns0:f>
        <ns0:v>0</ns0:v>
      </ns0:c>
      <ns0:c r="P630" s="0">
        <ns0:f>IF(AND(Bookings!G630="Approved",E630="Yes",L630=0,$B$6=0),H630,0)</ns0:f>
        <ns0:v>0</ns0:v>
      </ns0:c>
      <ns0:c r="Q630" s="0">
        <ns0:f>IF(AND(Bookings!G630="Approved",E630="Yes",L630=0,$B$6=0),I630,0)</ns0:f>
        <ns0:v>0</ns0:v>
      </ns0:c>
      <ns0:c r="R630" s="0">
        <ns0:f>IF(AND(Bookings!G630="Pending",E630="Yes"),N630,0)</ns0:f>
        <ns0:v>0</ns0:v>
      </ns0:c>
      <ns0:c r="S630" s="0">
        <ns0:f>IF(AND(Bookings!G630="Approved",E630="No"),N630,0)</ns0:f>
        <ns0:v>0</ns0:v>
      </ns0:c>
      <ns0:c r="T630" s="0">
        <ns0:f>IFERROR(MATCH(D630,Settings!$G$7:$G$11,0),0)</ns0:f>
        <ns0:v>0</ns0:v>
      </ns0:c>
      <ns0:c r="U630" s="0">
        <ns0:f>IF(N630&gt;0,T630+IF(Bookings!G630="Pending",10,0),0)</ns0:f>
        <ns0:v>0</ns0:v>
      </ns0:c>
      <ns0:c r="V630" s="0">
        <ns0:f>U630</ns0:f>
        <ns0:v>0</ns0:v>
      </ns0:c>
      <ns0:c r="W630" s="0" t="str">
        <ns0:f>IF(C630=0,"",INDEX($AP$11:$AP$60,C630))</ns0:f>
        <ns0:v/>
      </ns0:c>
    </ns0:row>
    <ns0:row r="631">
      <ns0:c r="A631" s="0">
        <ns0:f>IF(COUNTA(Bookings!A631:G631,Bookings!I631)=0,0,1)</ns0:f>
        <ns0:v>0</ns0:v>
      </ns0:c>
      <ns0:c r="B631" s="0" t="str">
        <ns0:f>IFERROR(TRIM(MID(Bookings!A631,FIND(" · ",Bookings!A631)+3,99)),"")</ns0:f>
        <ns0:v/>
      </ns0:c>
      <ns0:c r="C631" s="0">
        <ns0:f>IF(OR(B631="",LEN(B631)&gt;24,ISNUMBER(FIND(" ",B631)),ISNUMBER(FIND("*",B631)),ISNUMBER(FIND("?",B631)),ISNUMBER(FIND("~",B631))),0,IFERROR(MATCH(B631,Team!$A$11:$A$60,0),0))</ns0:f>
        <ns0:v>0</ns0:v>
      </ns0:c>
      <ns0:c r="D631" s="0" t="str">
        <ns0:f>IFERROR(IF(MID(Bookings!F631,LEN(Bookings!F631)-3,3)=" · ",RIGHT(Bookings!F631,1),""),"")</ns0:f>
        <ns0:v/>
      </ns0:c>
      <ns0:c r="E631" s="0" t="str">
        <ns0:f>IFERROR(INDEX(Settings!$H$7:$H$11,MATCH(D631,Settings!$G$7:$G$11,0)),"")</ns0:f>
        <ns0:v/>
      </ns0:c>
      <ns0:c r="F631" s="0" t="str">
        <ns0:f>IF(A631=0,"",IFERROR(IF(OR(B631="",C631=0),"CHECK employee selection",IF(INDEX(Team!$O$11:$O$60,C631)&lt;&gt;"OK","CHECK employee setup",IF(OR('_Dates'!J631=0,'_Dates'!T631=0),"CHECK date: use DD.MM.YYYY",IF('_Dates'!T631&lt;'_Dates'!J631,"CHECK end before start",IF(AND($B$6=0,OR('_Dates'!J631&lt;Settings!$B$7,'_Dates'!T631&gt;Settings!$B$8)),"CHECK split across leave years",IF(OR(NOT(OR('_Dates'!U631="Full day",'_Dates'!U631="AM",'_Dates'!U631="PM")),NOT(OR('_Dates'!V631="Full day",'_Dates'!V631="AM",'_Dates'!V631="PM"))),"CHECK Full day / AM / PM",IF(AND('_Dates'!J631='_Dates'!T631,'_Dates'!U631&lt;&gt;"Full day",'_Dates'!V631&lt;&gt;"Full day",'_Dates'!U631&lt;&gt;'_Dates'!V631),"CHECK same-day portions disagree",IF(AND($B$6=0,OR(AND('_Dates'!U631&lt;&gt;"Full day",'_Dates'!AA631=0),AND('_Dates'!V631&lt;&gt;"Full day",'_Dates'!AB631=0))),"CHECK half-day on non-working date",IF(COUNTIF(Settings!$G$7:$G$11,D631)&lt;&gt;1,"CHECK leave type",IF(AND(Bookings!G631&lt;&gt;"Approved",Bookings!G631&lt;&gt;"Pending",Bookings!G631&lt;&gt;"Cancelled"),"CHECK status","OK")))))))))),"CHECK input"))</ns0:f>
        <ns0:v/>
      </ns0:c>
      <ns0:c r="G631" s="0">
        <ns0:f>IF(OR(F631&lt;&gt;"OK",$B$6&gt;0),0,0.5*(IF(('_Dates'!X631)&lt;('_Dates'!W631),0,INT((('_Dates'!X631)-('_Dates'!W631)+1)/7)*LEN(SUBSTITUTE(W631,"O",""))+LEN(SUBSTITUTE(MID(W631&amp;W631,WEEKDAY(('_Dates'!W631),2),MOD((('_Dates'!X631)-('_Dates'!W631)+1),7)),"O",""))-COUNTIFS(INDEX(AllClosureRows,C631,0),"&gt;="&amp;('_Dates'!W631),INDEX(AllClosureRows,C631,0),"&lt;="&amp;('_Dates'!X631)))+IF(('_Dates'!Z631)&lt;('_Dates'!Y631),0,INT((('_Dates'!Z631)-('_Dates'!Y631)+1)/7)*LEN(SUBSTITUTE(W631,"O",""))+LEN(SUBSTITUTE(MID(W631&amp;W631,WEEKDAY(('_Dates'!Y631),2),MOD((('_Dates'!Z631)-('_Dates'!Y631)+1),7)),"O",""))-COUNTIFS(INDEX(AllClosureRows,C631,0),"&gt;="&amp;('_Dates'!Y631),INDEX(AllClosureRows,C631,0),"&lt;="&amp;('_Dates'!Z631)))))</ns0:f>
        <ns0:v>0</ns0:v>
      </ns0:c>
      <ns0:c r="H631" s="0">
        <ns0:f>IF(OR(F631&lt;&gt;"OK",$B$6&gt;0),0,0.5*(IF((MIN('_Dates'!X631,Settings!$B$9))&lt;('_Dates'!W631),0,INT(((MIN('_Dates'!X631,Settings!$B$9))-('_Dates'!W631)+1)/7)*LEN(SUBSTITUTE(W631,"O",""))+LEN(SUBSTITUTE(MID(W631&amp;W631,WEEKDAY(('_Dates'!W631),2),MOD(((MIN('_Dates'!X631,Settings!$B$9))-('_Dates'!W631)+1),7)),"O",""))-COUNTIFS(INDEX(AllClosureRows,C631,0),"&gt;="&amp;('_Dates'!W631),INDEX(AllClosureRows,C631,0),"&lt;="&amp;(MIN('_Dates'!X631,Settings!$B$9))))+IF((MIN('_Dates'!Z631,Settings!$B$9))&lt;('_Dates'!Y631),0,INT(((MIN('_Dates'!Z631,Settings!$B$9))-('_Dates'!Y631)+1)/7)*LEN(SUBSTITUTE(W631,"O",""))+LEN(SUBSTITUTE(MID(W631&amp;W631,WEEKDAY(('_Dates'!Y631),2),MOD(((MIN('_Dates'!Z631,Settings!$B$9))-('_Dates'!Y631)+1),7)),"O",""))-COUNTIFS(INDEX(AllClosureRows,C631,0),"&gt;="&amp;('_Dates'!Y631),INDEX(AllClosureRows,C631,0),"&lt;="&amp;(MIN('_Dates'!Z631,Settings!$B$9))))))</ns0:f>
        <ns0:v>0</ns0:v>
      </ns0:c>
      <ns0:c r="I631" s="0">
        <ns0:f>MAX(0,G631-H631)</ns0:f>
        <ns0:v>0</ns0:v>
      </ns0:c>
      <ns0:c r="J631" s="0">
        <ns0:f>IF(OR(A631=0,F631&lt;&gt;"OK",Bookings!G631="Cancelled",$B$6&gt;0),0,IF('_Dates'!AC631=1,MAX(0,COUNTIFS(rngEngine_B,B631,rngAMStart,"&lt;="&amp;'_Dates'!X631,rngAMEnd,"&gt;="&amp;'_Dates'!W631,rngAMActive,1,rngEngine_F,"OK",rngBookings_F,"&lt;&gt;Cancelled")-1),0)+IF('_Dates'!AD631=1,MAX(0,COUNTIFS(rngEngine_B,B631,rngPMStart,"&lt;="&amp;'_Dates'!Z631,rngPMEnd,"&gt;="&amp;'_Dates'!Y631,rngPMActive,1,rngEngine_F,"OK",rngBookings_F,"&lt;&gt;Cancelled")-1),0))</ns0:f>
        <ns0:v>0</ns0:v>
      </ns0:c>
      <ns0:c r="K631" s="0" t="str">
        <ns0:f>IF(A631=0,"",IF(F631&lt;&gt;"OK",F631,IF(J631&gt;0,"CHECK overlapping entry",IF(AND($B$6=0,G631&lt;=0,Bookings!G631&lt;&gt;"Cancelled"),"CHECK no working days",IF(Bookings!G631="Cancelled","Cancelled","OK")))))</ns0:f>
        <ns0:v/>
      </ns0:c>
      <ns0:c r="L631" s="0">
        <ns0:f>IF(LEFT(K631,5)="CHECK",1,0)</ns0:f>
        <ns0:v>0</ns0:v>
      </ns0:c>
      <ns0:c r="M631" s="0">
        <ns0:f>IF(AND(L631=1,OR(C631=0,IFERROR(INDEX($X$11:$X$60,C631),0)=0)),1,0)</ns0:f>
        <ns0:v>0</ns0:v>
      </ns0:c>
      <ns0:c r="N631" s="0">
        <ns0:f>IF(OR(A631=0,L631&gt;0,$B$6&gt;0,Bookings!G631="Cancelled"),0,G631)</ns0:f>
        <ns0:v>0</ns0:v>
      </ns0:c>
      <ns0:c r="O631" s="0">
        <ns0:f>IF(AND(Bookings!G631="Approved",E631="Yes"),N631,0)</ns0:f>
        <ns0:v>0</ns0:v>
      </ns0:c>
      <ns0:c r="P631" s="0">
        <ns0:f>IF(AND(Bookings!G631="Approved",E631="Yes",L631=0,$B$6=0),H631,0)</ns0:f>
        <ns0:v>0</ns0:v>
      </ns0:c>
      <ns0:c r="Q631" s="0">
        <ns0:f>IF(AND(Bookings!G631="Approved",E631="Yes",L631=0,$B$6=0),I631,0)</ns0:f>
        <ns0:v>0</ns0:v>
      </ns0:c>
      <ns0:c r="R631" s="0">
        <ns0:f>IF(AND(Bookings!G631="Pending",E631="Yes"),N631,0)</ns0:f>
        <ns0:v>0</ns0:v>
      </ns0:c>
      <ns0:c r="S631" s="0">
        <ns0:f>IF(AND(Bookings!G631="Approved",E631="No"),N631,0)</ns0:f>
        <ns0:v>0</ns0:v>
      </ns0:c>
      <ns0:c r="T631" s="0">
        <ns0:f>IFERROR(MATCH(D631,Settings!$G$7:$G$11,0),0)</ns0:f>
        <ns0:v>0</ns0:v>
      </ns0:c>
      <ns0:c r="U631" s="0">
        <ns0:f>IF(N631&gt;0,T631+IF(Bookings!G631="Pending",10,0),0)</ns0:f>
        <ns0:v>0</ns0:v>
      </ns0:c>
      <ns0:c r="V631" s="0">
        <ns0:f>U631</ns0:f>
        <ns0:v>0</ns0:v>
      </ns0:c>
      <ns0:c r="W631" s="0" t="str">
        <ns0:f>IF(C631=0,"",INDEX($AP$11:$AP$60,C631))</ns0:f>
        <ns0:v/>
      </ns0:c>
    </ns0:row>
    <ns0:row r="632">
      <ns0:c r="A632" s="0">
        <ns0:f>IF(COUNTA(Bookings!A632:G632,Bookings!I632)=0,0,1)</ns0:f>
        <ns0:v>0</ns0:v>
      </ns0:c>
      <ns0:c r="B632" s="0" t="str">
        <ns0:f>IFERROR(TRIM(MID(Bookings!A632,FIND(" · ",Bookings!A632)+3,99)),"")</ns0:f>
        <ns0:v/>
      </ns0:c>
      <ns0:c r="C632" s="0">
        <ns0:f>IF(OR(B632="",LEN(B632)&gt;24,ISNUMBER(FIND(" ",B632)),ISNUMBER(FIND("*",B632)),ISNUMBER(FIND("?",B632)),ISNUMBER(FIND("~",B632))),0,IFERROR(MATCH(B632,Team!$A$11:$A$60,0),0))</ns0:f>
        <ns0:v>0</ns0:v>
      </ns0:c>
      <ns0:c r="D632" s="0" t="str">
        <ns0:f>IFERROR(IF(MID(Bookings!F632,LEN(Bookings!F632)-3,3)=" · ",RIGHT(Bookings!F632,1),""),"")</ns0:f>
        <ns0:v/>
      </ns0:c>
      <ns0:c r="E632" s="0" t="str">
        <ns0:f>IFERROR(INDEX(Settings!$H$7:$H$11,MATCH(D632,Settings!$G$7:$G$11,0)),"")</ns0:f>
        <ns0:v/>
      </ns0:c>
      <ns0:c r="F632" s="0" t="str">
        <ns0:f>IF(A632=0,"",IFERROR(IF(OR(B632="",C632=0),"CHECK employee selection",IF(INDEX(Team!$O$11:$O$60,C632)&lt;&gt;"OK","CHECK employee setup",IF(OR('_Dates'!J632=0,'_Dates'!T632=0),"CHECK date: use DD.MM.YYYY",IF('_Dates'!T632&lt;'_Dates'!J632,"CHECK end before start",IF(AND($B$6=0,OR('_Dates'!J632&lt;Settings!$B$7,'_Dates'!T632&gt;Settings!$B$8)),"CHECK split across leave years",IF(OR(NOT(OR('_Dates'!U632="Full day",'_Dates'!U632="AM",'_Dates'!U632="PM")),NOT(OR('_Dates'!V632="Full day",'_Dates'!V632="AM",'_Dates'!V632="PM"))),"CHECK Full day / AM / PM",IF(AND('_Dates'!J632='_Dates'!T632,'_Dates'!U632&lt;&gt;"Full day",'_Dates'!V632&lt;&gt;"Full day",'_Dates'!U632&lt;&gt;'_Dates'!V632),"CHECK same-day portions disagree",IF(AND($B$6=0,OR(AND('_Dates'!U632&lt;&gt;"Full day",'_Dates'!AA632=0),AND('_Dates'!V632&lt;&gt;"Full day",'_Dates'!AB632=0))),"CHECK half-day on non-working date",IF(COUNTIF(Settings!$G$7:$G$11,D632)&lt;&gt;1,"CHECK leave type",IF(AND(Bookings!G632&lt;&gt;"Approved",Bookings!G632&lt;&gt;"Pending",Bookings!G632&lt;&gt;"Cancelled"),"CHECK status","OK")))))))))),"CHECK input"))</ns0:f>
        <ns0:v/>
      </ns0:c>
      <ns0:c r="G632" s="0">
        <ns0:f>IF(OR(F632&lt;&gt;"OK",$B$6&gt;0),0,0.5*(IF(('_Dates'!X632)&lt;('_Dates'!W632),0,INT((('_Dates'!X632)-('_Dates'!W632)+1)/7)*LEN(SUBSTITUTE(W632,"O",""))+LEN(SUBSTITUTE(MID(W632&amp;W632,WEEKDAY(('_Dates'!W632),2),MOD((('_Dates'!X632)-('_Dates'!W632)+1),7)),"O",""))-COUNTIFS(INDEX(AllClosureRows,C632,0),"&gt;="&amp;('_Dates'!W632),INDEX(AllClosureRows,C632,0),"&lt;="&amp;('_Dates'!X632)))+IF(('_Dates'!Z632)&lt;('_Dates'!Y632),0,INT((('_Dates'!Z632)-('_Dates'!Y632)+1)/7)*LEN(SUBSTITUTE(W632,"O",""))+LEN(SUBSTITUTE(MID(W632&amp;W632,WEEKDAY(('_Dates'!Y632),2),MOD((('_Dates'!Z632)-('_Dates'!Y632)+1),7)),"O",""))-COUNTIFS(INDEX(AllClosureRows,C632,0),"&gt;="&amp;('_Dates'!Y632),INDEX(AllClosureRows,C632,0),"&lt;="&amp;('_Dates'!Z632)))))</ns0:f>
        <ns0:v>0</ns0:v>
      </ns0:c>
      <ns0:c r="H632" s="0">
        <ns0:f>IF(OR(F632&lt;&gt;"OK",$B$6&gt;0),0,0.5*(IF((MIN('_Dates'!X632,Settings!$B$9))&lt;('_Dates'!W632),0,INT(((MIN('_Dates'!X632,Settings!$B$9))-('_Dates'!W632)+1)/7)*LEN(SUBSTITUTE(W632,"O",""))+LEN(SUBSTITUTE(MID(W632&amp;W632,WEEKDAY(('_Dates'!W632),2),MOD(((MIN('_Dates'!X632,Settings!$B$9))-('_Dates'!W632)+1),7)),"O",""))-COUNTIFS(INDEX(AllClosureRows,C632,0),"&gt;="&amp;('_Dates'!W632),INDEX(AllClosureRows,C632,0),"&lt;="&amp;(MIN('_Dates'!X632,Settings!$B$9))))+IF((MIN('_Dates'!Z632,Settings!$B$9))&lt;('_Dates'!Y632),0,INT(((MIN('_Dates'!Z632,Settings!$B$9))-('_Dates'!Y632)+1)/7)*LEN(SUBSTITUTE(W632,"O",""))+LEN(SUBSTITUTE(MID(W632&amp;W632,WEEKDAY(('_Dates'!Y632),2),MOD(((MIN('_Dates'!Z632,Settings!$B$9))-('_Dates'!Y632)+1),7)),"O",""))-COUNTIFS(INDEX(AllClosureRows,C632,0),"&gt;="&amp;('_Dates'!Y632),INDEX(AllClosureRows,C632,0),"&lt;="&amp;(MIN('_Dates'!Z632,Settings!$B$9))))))</ns0:f>
        <ns0:v>0</ns0:v>
      </ns0:c>
      <ns0:c r="I632" s="0">
        <ns0:f>MAX(0,G632-H632)</ns0:f>
        <ns0:v>0</ns0:v>
      </ns0:c>
      <ns0:c r="J632" s="0">
        <ns0:f>IF(OR(A632=0,F632&lt;&gt;"OK",Bookings!G632="Cancelled",$B$6&gt;0),0,IF('_Dates'!AC632=1,MAX(0,COUNTIFS(rngEngine_B,B632,rngAMStart,"&lt;="&amp;'_Dates'!X632,rngAMEnd,"&gt;="&amp;'_Dates'!W632,rngAMActive,1,rngEngine_F,"OK",rngBookings_F,"&lt;&gt;Cancelled")-1),0)+IF('_Dates'!AD632=1,MAX(0,COUNTIFS(rngEngine_B,B632,rngPMStart,"&lt;="&amp;'_Dates'!Z632,rngPMEnd,"&gt;="&amp;'_Dates'!Y632,rngPMActive,1,rngEngine_F,"OK",rngBookings_F,"&lt;&gt;Cancelled")-1),0))</ns0:f>
        <ns0:v>0</ns0:v>
      </ns0:c>
      <ns0:c r="K632" s="0" t="str">
        <ns0:f>IF(A632=0,"",IF(F632&lt;&gt;"OK",F632,IF(J632&gt;0,"CHECK overlapping entry",IF(AND($B$6=0,G632&lt;=0,Bookings!G632&lt;&gt;"Cancelled"),"CHECK no working days",IF(Bookings!G632="Cancelled","Cancelled","OK")))))</ns0:f>
        <ns0:v/>
      </ns0:c>
      <ns0:c r="L632" s="0">
        <ns0:f>IF(LEFT(K632,5)="CHECK",1,0)</ns0:f>
        <ns0:v>0</ns0:v>
      </ns0:c>
      <ns0:c r="M632" s="0">
        <ns0:f>IF(AND(L632=1,OR(C632=0,IFERROR(INDEX($X$11:$X$60,C632),0)=0)),1,0)</ns0:f>
        <ns0:v>0</ns0:v>
      </ns0:c>
      <ns0:c r="N632" s="0">
        <ns0:f>IF(OR(A632=0,L632&gt;0,$B$6&gt;0,Bookings!G632="Cancelled"),0,G632)</ns0:f>
        <ns0:v>0</ns0:v>
      </ns0:c>
      <ns0:c r="O632" s="0">
        <ns0:f>IF(AND(Bookings!G632="Approved",E632="Yes"),N632,0)</ns0:f>
        <ns0:v>0</ns0:v>
      </ns0:c>
      <ns0:c r="P632" s="0">
        <ns0:f>IF(AND(Bookings!G632="Approved",E632="Yes",L632=0,$B$6=0),H632,0)</ns0:f>
        <ns0:v>0</ns0:v>
      </ns0:c>
      <ns0:c r="Q632" s="0">
        <ns0:f>IF(AND(Bookings!G632="Approved",E632="Yes",L632=0,$B$6=0),I632,0)</ns0:f>
        <ns0:v>0</ns0:v>
      </ns0:c>
      <ns0:c r="R632" s="0">
        <ns0:f>IF(AND(Bookings!G632="Pending",E632="Yes"),N632,0)</ns0:f>
        <ns0:v>0</ns0:v>
      </ns0:c>
      <ns0:c r="S632" s="0">
        <ns0:f>IF(AND(Bookings!G632="Approved",E632="No"),N632,0)</ns0:f>
        <ns0:v>0</ns0:v>
      </ns0:c>
      <ns0:c r="T632" s="0">
        <ns0:f>IFERROR(MATCH(D632,Settings!$G$7:$G$11,0),0)</ns0:f>
        <ns0:v>0</ns0:v>
      </ns0:c>
      <ns0:c r="U632" s="0">
        <ns0:f>IF(N632&gt;0,T632+IF(Bookings!G632="Pending",10,0),0)</ns0:f>
        <ns0:v>0</ns0:v>
      </ns0:c>
      <ns0:c r="V632" s="0">
        <ns0:f>U632</ns0:f>
        <ns0:v>0</ns0:v>
      </ns0:c>
      <ns0:c r="W632" s="0" t="str">
        <ns0:f>IF(C632=0,"",INDEX($AP$11:$AP$60,C632))</ns0:f>
        <ns0:v/>
      </ns0:c>
    </ns0:row>
    <ns0:row r="633">
      <ns0:c r="A633" s="0">
        <ns0:f>IF(COUNTA(Bookings!A633:G633,Bookings!I633)=0,0,1)</ns0:f>
        <ns0:v>0</ns0:v>
      </ns0:c>
      <ns0:c r="B633" s="0" t="str">
        <ns0:f>IFERROR(TRIM(MID(Bookings!A633,FIND(" · ",Bookings!A633)+3,99)),"")</ns0:f>
        <ns0:v/>
      </ns0:c>
      <ns0:c r="C633" s="0">
        <ns0:f>IF(OR(B633="",LEN(B633)&gt;24,ISNUMBER(FIND(" ",B633)),ISNUMBER(FIND("*",B633)),ISNUMBER(FIND("?",B633)),ISNUMBER(FIND("~",B633))),0,IFERROR(MATCH(B633,Team!$A$11:$A$60,0),0))</ns0:f>
        <ns0:v>0</ns0:v>
      </ns0:c>
      <ns0:c r="D633" s="0" t="str">
        <ns0:f>IFERROR(IF(MID(Bookings!F633,LEN(Bookings!F633)-3,3)=" · ",RIGHT(Bookings!F633,1),""),"")</ns0:f>
        <ns0:v/>
      </ns0:c>
      <ns0:c r="E633" s="0" t="str">
        <ns0:f>IFERROR(INDEX(Settings!$H$7:$H$11,MATCH(D633,Settings!$G$7:$G$11,0)),"")</ns0:f>
        <ns0:v/>
      </ns0:c>
      <ns0:c r="F633" s="0" t="str">
        <ns0:f>IF(A633=0,"",IFERROR(IF(OR(B633="",C633=0),"CHECK employee selection",IF(INDEX(Team!$O$11:$O$60,C633)&lt;&gt;"OK","CHECK employee setup",IF(OR('_Dates'!J633=0,'_Dates'!T633=0),"CHECK date: use DD.MM.YYYY",IF('_Dates'!T633&lt;'_Dates'!J633,"CHECK end before start",IF(AND($B$6=0,OR('_Dates'!J633&lt;Settings!$B$7,'_Dates'!T633&gt;Settings!$B$8)),"CHECK split across leave years",IF(OR(NOT(OR('_Dates'!U633="Full day",'_Dates'!U633="AM",'_Dates'!U633="PM")),NOT(OR('_Dates'!V633="Full day",'_Dates'!V633="AM",'_Dates'!V633="PM"))),"CHECK Full day / AM / PM",IF(AND('_Dates'!J633='_Dates'!T633,'_Dates'!U633&lt;&gt;"Full day",'_Dates'!V633&lt;&gt;"Full day",'_Dates'!U633&lt;&gt;'_Dates'!V633),"CHECK same-day portions disagree",IF(AND($B$6=0,OR(AND('_Dates'!U633&lt;&gt;"Full day",'_Dates'!AA633=0),AND('_Dates'!V633&lt;&gt;"Full day",'_Dates'!AB633=0))),"CHECK half-day on non-working date",IF(COUNTIF(Settings!$G$7:$G$11,D633)&lt;&gt;1,"CHECK leave type",IF(AND(Bookings!G633&lt;&gt;"Approved",Bookings!G633&lt;&gt;"Pending",Bookings!G633&lt;&gt;"Cancelled"),"CHECK status","OK")))))))))),"CHECK input"))</ns0:f>
        <ns0:v/>
      </ns0:c>
      <ns0:c r="G633" s="0">
        <ns0:f>IF(OR(F633&lt;&gt;"OK",$B$6&gt;0),0,0.5*(IF(('_Dates'!X633)&lt;('_Dates'!W633),0,INT((('_Dates'!X633)-('_Dates'!W633)+1)/7)*LEN(SUBSTITUTE(W633,"O",""))+LEN(SUBSTITUTE(MID(W633&amp;W633,WEEKDAY(('_Dates'!W633),2),MOD((('_Dates'!X633)-('_Dates'!W633)+1),7)),"O",""))-COUNTIFS(INDEX(AllClosureRows,C633,0),"&gt;="&amp;('_Dates'!W633),INDEX(AllClosureRows,C633,0),"&lt;="&amp;('_Dates'!X633)))+IF(('_Dates'!Z633)&lt;('_Dates'!Y633),0,INT((('_Dates'!Z633)-('_Dates'!Y633)+1)/7)*LEN(SUBSTITUTE(W633,"O",""))+LEN(SUBSTITUTE(MID(W633&amp;W633,WEEKDAY(('_Dates'!Y633),2),MOD((('_Dates'!Z633)-('_Dates'!Y633)+1),7)),"O",""))-COUNTIFS(INDEX(AllClosureRows,C633,0),"&gt;="&amp;('_Dates'!Y633),INDEX(AllClosureRows,C633,0),"&lt;="&amp;('_Dates'!Z633)))))</ns0:f>
        <ns0:v>0</ns0:v>
      </ns0:c>
      <ns0:c r="H633" s="0">
        <ns0:f>IF(OR(F633&lt;&gt;"OK",$B$6&gt;0),0,0.5*(IF((MIN('_Dates'!X633,Settings!$B$9))&lt;('_Dates'!W633),0,INT(((MIN('_Dates'!X633,Settings!$B$9))-('_Dates'!W633)+1)/7)*LEN(SUBSTITUTE(W633,"O",""))+LEN(SUBSTITUTE(MID(W633&amp;W633,WEEKDAY(('_Dates'!W633),2),MOD(((MIN('_Dates'!X633,Settings!$B$9))-('_Dates'!W633)+1),7)),"O",""))-COUNTIFS(INDEX(AllClosureRows,C633,0),"&gt;="&amp;('_Dates'!W633),INDEX(AllClosureRows,C633,0),"&lt;="&amp;(MIN('_Dates'!X633,Settings!$B$9))))+IF((MIN('_Dates'!Z633,Settings!$B$9))&lt;('_Dates'!Y633),0,INT(((MIN('_Dates'!Z633,Settings!$B$9))-('_Dates'!Y633)+1)/7)*LEN(SUBSTITUTE(W633,"O",""))+LEN(SUBSTITUTE(MID(W633&amp;W633,WEEKDAY(('_Dates'!Y633),2),MOD(((MIN('_Dates'!Z633,Settings!$B$9))-('_Dates'!Y633)+1),7)),"O",""))-COUNTIFS(INDEX(AllClosureRows,C633,0),"&gt;="&amp;('_Dates'!Y633),INDEX(AllClosureRows,C633,0),"&lt;="&amp;(MIN('_Dates'!Z633,Settings!$B$9))))))</ns0:f>
        <ns0:v>0</ns0:v>
      </ns0:c>
      <ns0:c r="I633" s="0">
        <ns0:f>MAX(0,G633-H633)</ns0:f>
        <ns0:v>0</ns0:v>
      </ns0:c>
      <ns0:c r="J633" s="0">
        <ns0:f>IF(OR(A633=0,F633&lt;&gt;"OK",Bookings!G633="Cancelled",$B$6&gt;0),0,IF('_Dates'!AC633=1,MAX(0,COUNTIFS(rngEngine_B,B633,rngAMStart,"&lt;="&amp;'_Dates'!X633,rngAMEnd,"&gt;="&amp;'_Dates'!W633,rngAMActive,1,rngEngine_F,"OK",rngBookings_F,"&lt;&gt;Cancelled")-1),0)+IF('_Dates'!AD633=1,MAX(0,COUNTIFS(rngEngine_B,B633,rngPMStart,"&lt;="&amp;'_Dates'!Z633,rngPMEnd,"&gt;="&amp;'_Dates'!Y633,rngPMActive,1,rngEngine_F,"OK",rngBookings_F,"&lt;&gt;Cancelled")-1),0))</ns0:f>
        <ns0:v>0</ns0:v>
      </ns0:c>
      <ns0:c r="K633" s="0" t="str">
        <ns0:f>IF(A633=0,"",IF(F633&lt;&gt;"OK",F633,IF(J633&gt;0,"CHECK overlapping entry",IF(AND($B$6=0,G633&lt;=0,Bookings!G633&lt;&gt;"Cancelled"),"CHECK no working days",IF(Bookings!G633="Cancelled","Cancelled","OK")))))</ns0:f>
        <ns0:v/>
      </ns0:c>
      <ns0:c r="L633" s="0">
        <ns0:f>IF(LEFT(K633,5)="CHECK",1,0)</ns0:f>
        <ns0:v>0</ns0:v>
      </ns0:c>
      <ns0:c r="M633" s="0">
        <ns0:f>IF(AND(L633=1,OR(C633=0,IFERROR(INDEX($X$11:$X$60,C633),0)=0)),1,0)</ns0:f>
        <ns0:v>0</ns0:v>
      </ns0:c>
      <ns0:c r="N633" s="0">
        <ns0:f>IF(OR(A633=0,L633&gt;0,$B$6&gt;0,Bookings!G633="Cancelled"),0,G633)</ns0:f>
        <ns0:v>0</ns0:v>
      </ns0:c>
      <ns0:c r="O633" s="0">
        <ns0:f>IF(AND(Bookings!G633="Approved",E633="Yes"),N633,0)</ns0:f>
        <ns0:v>0</ns0:v>
      </ns0:c>
      <ns0:c r="P633" s="0">
        <ns0:f>IF(AND(Bookings!G633="Approved",E633="Yes",L633=0,$B$6=0),H633,0)</ns0:f>
        <ns0:v>0</ns0:v>
      </ns0:c>
      <ns0:c r="Q633" s="0">
        <ns0:f>IF(AND(Bookings!G633="Approved",E633="Yes",L633=0,$B$6=0),I633,0)</ns0:f>
        <ns0:v>0</ns0:v>
      </ns0:c>
      <ns0:c r="R633" s="0">
        <ns0:f>IF(AND(Bookings!G633="Pending",E633="Yes"),N633,0)</ns0:f>
        <ns0:v>0</ns0:v>
      </ns0:c>
      <ns0:c r="S633" s="0">
        <ns0:f>IF(AND(Bookings!G633="Approved",E633="No"),N633,0)</ns0:f>
        <ns0:v>0</ns0:v>
      </ns0:c>
      <ns0:c r="T633" s="0">
        <ns0:f>IFERROR(MATCH(D633,Settings!$G$7:$G$11,0),0)</ns0:f>
        <ns0:v>0</ns0:v>
      </ns0:c>
      <ns0:c r="U633" s="0">
        <ns0:f>IF(N633&gt;0,T633+IF(Bookings!G633="Pending",10,0),0)</ns0:f>
        <ns0:v>0</ns0:v>
      </ns0:c>
      <ns0:c r="V633" s="0">
        <ns0:f>U633</ns0:f>
        <ns0:v>0</ns0:v>
      </ns0:c>
      <ns0:c r="W633" s="0" t="str">
        <ns0:f>IF(C633=0,"",INDEX($AP$11:$AP$60,C633))</ns0:f>
        <ns0:v/>
      </ns0:c>
    </ns0:row>
    <ns0:row r="634">
      <ns0:c r="A634" s="0">
        <ns0:f>IF(COUNTA(Bookings!A634:G634,Bookings!I634)=0,0,1)</ns0:f>
        <ns0:v>0</ns0:v>
      </ns0:c>
      <ns0:c r="B634" s="0" t="str">
        <ns0:f>IFERROR(TRIM(MID(Bookings!A634,FIND(" · ",Bookings!A634)+3,99)),"")</ns0:f>
        <ns0:v/>
      </ns0:c>
      <ns0:c r="C634" s="0">
        <ns0:f>IF(OR(B634="",LEN(B634)&gt;24,ISNUMBER(FIND(" ",B634)),ISNUMBER(FIND("*",B634)),ISNUMBER(FIND("?",B634)),ISNUMBER(FIND("~",B634))),0,IFERROR(MATCH(B634,Team!$A$11:$A$60,0),0))</ns0:f>
        <ns0:v>0</ns0:v>
      </ns0:c>
      <ns0:c r="D634" s="0" t="str">
        <ns0:f>IFERROR(IF(MID(Bookings!F634,LEN(Bookings!F634)-3,3)=" · ",RIGHT(Bookings!F634,1),""),"")</ns0:f>
        <ns0:v/>
      </ns0:c>
      <ns0:c r="E634" s="0" t="str">
        <ns0:f>IFERROR(INDEX(Settings!$H$7:$H$11,MATCH(D634,Settings!$G$7:$G$11,0)),"")</ns0:f>
        <ns0:v/>
      </ns0:c>
      <ns0:c r="F634" s="0" t="str">
        <ns0:f>IF(A634=0,"",IFERROR(IF(OR(B634="",C634=0),"CHECK employee selection",IF(INDEX(Team!$O$11:$O$60,C634)&lt;&gt;"OK","CHECK employee setup",IF(OR('_Dates'!J634=0,'_Dates'!T634=0),"CHECK date: use DD.MM.YYYY",IF('_Dates'!T634&lt;'_Dates'!J634,"CHECK end before start",IF(AND($B$6=0,OR('_Dates'!J634&lt;Settings!$B$7,'_Dates'!T634&gt;Settings!$B$8)),"CHECK split across leave years",IF(OR(NOT(OR('_Dates'!U634="Full day",'_Dates'!U634="AM",'_Dates'!U634="PM")),NOT(OR('_Dates'!V634="Full day",'_Dates'!V634="AM",'_Dates'!V634="PM"))),"CHECK Full day / AM / PM",IF(AND('_Dates'!J634='_Dates'!T634,'_Dates'!U634&lt;&gt;"Full day",'_Dates'!V634&lt;&gt;"Full day",'_Dates'!U634&lt;&gt;'_Dates'!V634),"CHECK same-day portions disagree",IF(AND($B$6=0,OR(AND('_Dates'!U634&lt;&gt;"Full day",'_Dates'!AA634=0),AND('_Dates'!V634&lt;&gt;"Full day",'_Dates'!AB634=0))),"CHECK half-day on non-working date",IF(COUNTIF(Settings!$G$7:$G$11,D634)&lt;&gt;1,"CHECK leave type",IF(AND(Bookings!G634&lt;&gt;"Approved",Bookings!G634&lt;&gt;"Pending",Bookings!G634&lt;&gt;"Cancelled"),"CHECK status","OK")))))))))),"CHECK input"))</ns0:f>
        <ns0:v/>
      </ns0:c>
      <ns0:c r="G634" s="0">
        <ns0:f>IF(OR(F634&lt;&gt;"OK",$B$6&gt;0),0,0.5*(IF(('_Dates'!X634)&lt;('_Dates'!W634),0,INT((('_Dates'!X634)-('_Dates'!W634)+1)/7)*LEN(SUBSTITUTE(W634,"O",""))+LEN(SUBSTITUTE(MID(W634&amp;W634,WEEKDAY(('_Dates'!W634),2),MOD((('_Dates'!X634)-('_Dates'!W634)+1),7)),"O",""))-COUNTIFS(INDEX(AllClosureRows,C634,0),"&gt;="&amp;('_Dates'!W634),INDEX(AllClosureRows,C634,0),"&lt;="&amp;('_Dates'!X634)))+IF(('_Dates'!Z634)&lt;('_Dates'!Y634),0,INT((('_Dates'!Z634)-('_Dates'!Y634)+1)/7)*LEN(SUBSTITUTE(W634,"O",""))+LEN(SUBSTITUTE(MID(W634&amp;W634,WEEKDAY(('_Dates'!Y634),2),MOD((('_Dates'!Z634)-('_Dates'!Y634)+1),7)),"O",""))-COUNTIFS(INDEX(AllClosureRows,C634,0),"&gt;="&amp;('_Dates'!Y634),INDEX(AllClosureRows,C634,0),"&lt;="&amp;('_Dates'!Z634)))))</ns0:f>
        <ns0:v>0</ns0:v>
      </ns0:c>
      <ns0:c r="H634" s="0">
        <ns0:f>IF(OR(F634&lt;&gt;"OK",$B$6&gt;0),0,0.5*(IF((MIN('_Dates'!X634,Settings!$B$9))&lt;('_Dates'!W634),0,INT(((MIN('_Dates'!X634,Settings!$B$9))-('_Dates'!W634)+1)/7)*LEN(SUBSTITUTE(W634,"O",""))+LEN(SUBSTITUTE(MID(W634&amp;W634,WEEKDAY(('_Dates'!W634),2),MOD(((MIN('_Dates'!X634,Settings!$B$9))-('_Dates'!W634)+1),7)),"O",""))-COUNTIFS(INDEX(AllClosureRows,C634,0),"&gt;="&amp;('_Dates'!W634),INDEX(AllClosureRows,C634,0),"&lt;="&amp;(MIN('_Dates'!X634,Settings!$B$9))))+IF((MIN('_Dates'!Z634,Settings!$B$9))&lt;('_Dates'!Y634),0,INT(((MIN('_Dates'!Z634,Settings!$B$9))-('_Dates'!Y634)+1)/7)*LEN(SUBSTITUTE(W634,"O",""))+LEN(SUBSTITUTE(MID(W634&amp;W634,WEEKDAY(('_Dates'!Y634),2),MOD(((MIN('_Dates'!Z634,Settings!$B$9))-('_Dates'!Y634)+1),7)),"O",""))-COUNTIFS(INDEX(AllClosureRows,C634,0),"&gt;="&amp;('_Dates'!Y634),INDEX(AllClosureRows,C634,0),"&lt;="&amp;(MIN('_Dates'!Z634,Settings!$B$9))))))</ns0:f>
        <ns0:v>0</ns0:v>
      </ns0:c>
      <ns0:c r="I634" s="0">
        <ns0:f>MAX(0,G634-H634)</ns0:f>
        <ns0:v>0</ns0:v>
      </ns0:c>
      <ns0:c r="J634" s="0">
        <ns0:f>IF(OR(A634=0,F634&lt;&gt;"OK",Bookings!G634="Cancelled",$B$6&gt;0),0,IF('_Dates'!AC634=1,MAX(0,COUNTIFS(rngEngine_B,B634,rngAMStart,"&lt;="&amp;'_Dates'!X634,rngAMEnd,"&gt;="&amp;'_Dates'!W634,rngAMActive,1,rngEngine_F,"OK",rngBookings_F,"&lt;&gt;Cancelled")-1),0)+IF('_Dates'!AD634=1,MAX(0,COUNTIFS(rngEngine_B,B634,rngPMStart,"&lt;="&amp;'_Dates'!Z634,rngPMEnd,"&gt;="&amp;'_Dates'!Y634,rngPMActive,1,rngEngine_F,"OK",rngBookings_F,"&lt;&gt;Cancelled")-1),0))</ns0:f>
        <ns0:v>0</ns0:v>
      </ns0:c>
      <ns0:c r="K634" s="0" t="str">
        <ns0:f>IF(A634=0,"",IF(F634&lt;&gt;"OK",F634,IF(J634&gt;0,"CHECK overlapping entry",IF(AND($B$6=0,G634&lt;=0,Bookings!G634&lt;&gt;"Cancelled"),"CHECK no working days",IF(Bookings!G634="Cancelled","Cancelled","OK")))))</ns0:f>
        <ns0:v/>
      </ns0:c>
      <ns0:c r="L634" s="0">
        <ns0:f>IF(LEFT(K634,5)="CHECK",1,0)</ns0:f>
        <ns0:v>0</ns0:v>
      </ns0:c>
      <ns0:c r="M634" s="0">
        <ns0:f>IF(AND(L634=1,OR(C634=0,IFERROR(INDEX($X$11:$X$60,C634),0)=0)),1,0)</ns0:f>
        <ns0:v>0</ns0:v>
      </ns0:c>
      <ns0:c r="N634" s="0">
        <ns0:f>IF(OR(A634=0,L634&gt;0,$B$6&gt;0,Bookings!G634="Cancelled"),0,G634)</ns0:f>
        <ns0:v>0</ns0:v>
      </ns0:c>
      <ns0:c r="O634" s="0">
        <ns0:f>IF(AND(Bookings!G634="Approved",E634="Yes"),N634,0)</ns0:f>
        <ns0:v>0</ns0:v>
      </ns0:c>
      <ns0:c r="P634" s="0">
        <ns0:f>IF(AND(Bookings!G634="Approved",E634="Yes",L634=0,$B$6=0),H634,0)</ns0:f>
        <ns0:v>0</ns0:v>
      </ns0:c>
      <ns0:c r="Q634" s="0">
        <ns0:f>IF(AND(Bookings!G634="Approved",E634="Yes",L634=0,$B$6=0),I634,0)</ns0:f>
        <ns0:v>0</ns0:v>
      </ns0:c>
      <ns0:c r="R634" s="0">
        <ns0:f>IF(AND(Bookings!G634="Pending",E634="Yes"),N634,0)</ns0:f>
        <ns0:v>0</ns0:v>
      </ns0:c>
      <ns0:c r="S634" s="0">
        <ns0:f>IF(AND(Bookings!G634="Approved",E634="No"),N634,0)</ns0:f>
        <ns0:v>0</ns0:v>
      </ns0:c>
      <ns0:c r="T634" s="0">
        <ns0:f>IFERROR(MATCH(D634,Settings!$G$7:$G$11,0),0)</ns0:f>
        <ns0:v>0</ns0:v>
      </ns0:c>
      <ns0:c r="U634" s="0">
        <ns0:f>IF(N634&gt;0,T634+IF(Bookings!G634="Pending",10,0),0)</ns0:f>
        <ns0:v>0</ns0:v>
      </ns0:c>
      <ns0:c r="V634" s="0">
        <ns0:f>U634</ns0:f>
        <ns0:v>0</ns0:v>
      </ns0:c>
      <ns0:c r="W634" s="0" t="str">
        <ns0:f>IF(C634=0,"",INDEX($AP$11:$AP$60,C634))</ns0:f>
        <ns0:v/>
      </ns0:c>
    </ns0:row>
    <ns0:row r="635">
      <ns0:c r="A635" s="0">
        <ns0:f>IF(COUNTA(Bookings!A635:G635,Bookings!I635)=0,0,1)</ns0:f>
        <ns0:v>0</ns0:v>
      </ns0:c>
      <ns0:c r="B635" s="0" t="str">
        <ns0:f>IFERROR(TRIM(MID(Bookings!A635,FIND(" · ",Bookings!A635)+3,99)),"")</ns0:f>
        <ns0:v/>
      </ns0:c>
      <ns0:c r="C635" s="0">
        <ns0:f>IF(OR(B635="",LEN(B635)&gt;24,ISNUMBER(FIND(" ",B635)),ISNUMBER(FIND("*",B635)),ISNUMBER(FIND("?",B635)),ISNUMBER(FIND("~",B635))),0,IFERROR(MATCH(B635,Team!$A$11:$A$60,0),0))</ns0:f>
        <ns0:v>0</ns0:v>
      </ns0:c>
      <ns0:c r="D635" s="0" t="str">
        <ns0:f>IFERROR(IF(MID(Bookings!F635,LEN(Bookings!F635)-3,3)=" · ",RIGHT(Bookings!F635,1),""),"")</ns0:f>
        <ns0:v/>
      </ns0:c>
      <ns0:c r="E635" s="0" t="str">
        <ns0:f>IFERROR(INDEX(Settings!$H$7:$H$11,MATCH(D635,Settings!$G$7:$G$11,0)),"")</ns0:f>
        <ns0:v/>
      </ns0:c>
      <ns0:c r="F635" s="0" t="str">
        <ns0:f>IF(A635=0,"",IFERROR(IF(OR(B635="",C635=0),"CHECK employee selection",IF(INDEX(Team!$O$11:$O$60,C635)&lt;&gt;"OK","CHECK employee setup",IF(OR('_Dates'!J635=0,'_Dates'!T635=0),"CHECK date: use DD.MM.YYYY",IF('_Dates'!T635&lt;'_Dates'!J635,"CHECK end before start",IF(AND($B$6=0,OR('_Dates'!J635&lt;Settings!$B$7,'_Dates'!T635&gt;Settings!$B$8)),"CHECK split across leave years",IF(OR(NOT(OR('_Dates'!U635="Full day",'_Dates'!U635="AM",'_Dates'!U635="PM")),NOT(OR('_Dates'!V635="Full day",'_Dates'!V635="AM",'_Dates'!V635="PM"))),"CHECK Full day / AM / PM",IF(AND('_Dates'!J635='_Dates'!T635,'_Dates'!U635&lt;&gt;"Full day",'_Dates'!V635&lt;&gt;"Full day",'_Dates'!U635&lt;&gt;'_Dates'!V635),"CHECK same-day portions disagree",IF(AND($B$6=0,OR(AND('_Dates'!U635&lt;&gt;"Full day",'_Dates'!AA635=0),AND('_Dates'!V635&lt;&gt;"Full day",'_Dates'!AB635=0))),"CHECK half-day on non-working date",IF(COUNTIF(Settings!$G$7:$G$11,D635)&lt;&gt;1,"CHECK leave type",IF(AND(Bookings!G635&lt;&gt;"Approved",Bookings!G635&lt;&gt;"Pending",Bookings!G635&lt;&gt;"Cancelled"),"CHECK status","OK")))))))))),"CHECK input"))</ns0:f>
        <ns0:v/>
      </ns0:c>
      <ns0:c r="G635" s="0">
        <ns0:f>IF(OR(F635&lt;&gt;"OK",$B$6&gt;0),0,0.5*(IF(('_Dates'!X635)&lt;('_Dates'!W635),0,INT((('_Dates'!X635)-('_Dates'!W635)+1)/7)*LEN(SUBSTITUTE(W635,"O",""))+LEN(SUBSTITUTE(MID(W635&amp;W635,WEEKDAY(('_Dates'!W635),2),MOD((('_Dates'!X635)-('_Dates'!W635)+1),7)),"O",""))-COUNTIFS(INDEX(AllClosureRows,C635,0),"&gt;="&amp;('_Dates'!W635),INDEX(AllClosureRows,C635,0),"&lt;="&amp;('_Dates'!X635)))+IF(('_Dates'!Z635)&lt;('_Dates'!Y635),0,INT((('_Dates'!Z635)-('_Dates'!Y635)+1)/7)*LEN(SUBSTITUTE(W635,"O",""))+LEN(SUBSTITUTE(MID(W635&amp;W635,WEEKDAY(('_Dates'!Y635),2),MOD((('_Dates'!Z635)-('_Dates'!Y635)+1),7)),"O",""))-COUNTIFS(INDEX(AllClosureRows,C635,0),"&gt;="&amp;('_Dates'!Y635),INDEX(AllClosureRows,C635,0),"&lt;="&amp;('_Dates'!Z635)))))</ns0:f>
        <ns0:v>0</ns0:v>
      </ns0:c>
      <ns0:c r="H635" s="0">
        <ns0:f>IF(OR(F635&lt;&gt;"OK",$B$6&gt;0),0,0.5*(IF((MIN('_Dates'!X635,Settings!$B$9))&lt;('_Dates'!W635),0,INT(((MIN('_Dates'!X635,Settings!$B$9))-('_Dates'!W635)+1)/7)*LEN(SUBSTITUTE(W635,"O",""))+LEN(SUBSTITUTE(MID(W635&amp;W635,WEEKDAY(('_Dates'!W635),2),MOD(((MIN('_Dates'!X635,Settings!$B$9))-('_Dates'!W635)+1),7)),"O",""))-COUNTIFS(INDEX(AllClosureRows,C635,0),"&gt;="&amp;('_Dates'!W635),INDEX(AllClosureRows,C635,0),"&lt;="&amp;(MIN('_Dates'!X635,Settings!$B$9))))+IF((MIN('_Dates'!Z635,Settings!$B$9))&lt;('_Dates'!Y635),0,INT(((MIN('_Dates'!Z635,Settings!$B$9))-('_Dates'!Y635)+1)/7)*LEN(SUBSTITUTE(W635,"O",""))+LEN(SUBSTITUTE(MID(W635&amp;W635,WEEKDAY(('_Dates'!Y635),2),MOD(((MIN('_Dates'!Z635,Settings!$B$9))-('_Dates'!Y635)+1),7)),"O",""))-COUNTIFS(INDEX(AllClosureRows,C635,0),"&gt;="&amp;('_Dates'!Y635),INDEX(AllClosureRows,C635,0),"&lt;="&amp;(MIN('_Dates'!Z635,Settings!$B$9))))))</ns0:f>
        <ns0:v>0</ns0:v>
      </ns0:c>
      <ns0:c r="I635" s="0">
        <ns0:f>MAX(0,G635-H635)</ns0:f>
        <ns0:v>0</ns0:v>
      </ns0:c>
      <ns0:c r="J635" s="0">
        <ns0:f>IF(OR(A635=0,F635&lt;&gt;"OK",Bookings!G635="Cancelled",$B$6&gt;0),0,IF('_Dates'!AC635=1,MAX(0,COUNTIFS(rngEngine_B,B635,rngAMStart,"&lt;="&amp;'_Dates'!X635,rngAMEnd,"&gt;="&amp;'_Dates'!W635,rngAMActive,1,rngEngine_F,"OK",rngBookings_F,"&lt;&gt;Cancelled")-1),0)+IF('_Dates'!AD635=1,MAX(0,COUNTIFS(rngEngine_B,B635,rngPMStart,"&lt;="&amp;'_Dates'!Z635,rngPMEnd,"&gt;="&amp;'_Dates'!Y635,rngPMActive,1,rngEngine_F,"OK",rngBookings_F,"&lt;&gt;Cancelled")-1),0))</ns0:f>
        <ns0:v>0</ns0:v>
      </ns0:c>
      <ns0:c r="K635" s="0" t="str">
        <ns0:f>IF(A635=0,"",IF(F635&lt;&gt;"OK",F635,IF(J635&gt;0,"CHECK overlapping entry",IF(AND($B$6=0,G635&lt;=0,Bookings!G635&lt;&gt;"Cancelled"),"CHECK no working days",IF(Bookings!G635="Cancelled","Cancelled","OK")))))</ns0:f>
        <ns0:v/>
      </ns0:c>
      <ns0:c r="L635" s="0">
        <ns0:f>IF(LEFT(K635,5)="CHECK",1,0)</ns0:f>
        <ns0:v>0</ns0:v>
      </ns0:c>
      <ns0:c r="M635" s="0">
        <ns0:f>IF(AND(L635=1,OR(C635=0,IFERROR(INDEX($X$11:$X$60,C635),0)=0)),1,0)</ns0:f>
        <ns0:v>0</ns0:v>
      </ns0:c>
      <ns0:c r="N635" s="0">
        <ns0:f>IF(OR(A635=0,L635&gt;0,$B$6&gt;0,Bookings!G635="Cancelled"),0,G635)</ns0:f>
        <ns0:v>0</ns0:v>
      </ns0:c>
      <ns0:c r="O635" s="0">
        <ns0:f>IF(AND(Bookings!G635="Approved",E635="Yes"),N635,0)</ns0:f>
        <ns0:v>0</ns0:v>
      </ns0:c>
      <ns0:c r="P635" s="0">
        <ns0:f>IF(AND(Bookings!G635="Approved",E635="Yes",L635=0,$B$6=0),H635,0)</ns0:f>
        <ns0:v>0</ns0:v>
      </ns0:c>
      <ns0:c r="Q635" s="0">
        <ns0:f>IF(AND(Bookings!G635="Approved",E635="Yes",L635=0,$B$6=0),I635,0)</ns0:f>
        <ns0:v>0</ns0:v>
      </ns0:c>
      <ns0:c r="R635" s="0">
        <ns0:f>IF(AND(Bookings!G635="Pending",E635="Yes"),N635,0)</ns0:f>
        <ns0:v>0</ns0:v>
      </ns0:c>
      <ns0:c r="S635" s="0">
        <ns0:f>IF(AND(Bookings!G635="Approved",E635="No"),N635,0)</ns0:f>
        <ns0:v>0</ns0:v>
      </ns0:c>
      <ns0:c r="T635" s="0">
        <ns0:f>IFERROR(MATCH(D635,Settings!$G$7:$G$11,0),0)</ns0:f>
        <ns0:v>0</ns0:v>
      </ns0:c>
      <ns0:c r="U635" s="0">
        <ns0:f>IF(N635&gt;0,T635+IF(Bookings!G635="Pending",10,0),0)</ns0:f>
        <ns0:v>0</ns0:v>
      </ns0:c>
      <ns0:c r="V635" s="0">
        <ns0:f>U635</ns0:f>
        <ns0:v>0</ns0:v>
      </ns0:c>
      <ns0:c r="W635" s="0" t="str">
        <ns0:f>IF(C635=0,"",INDEX($AP$11:$AP$60,C635))</ns0:f>
        <ns0:v/>
      </ns0:c>
    </ns0:row>
    <ns0:row r="636">
      <ns0:c r="A636" s="0">
        <ns0:f>IF(COUNTA(Bookings!A636:G636,Bookings!I636)=0,0,1)</ns0:f>
        <ns0:v>0</ns0:v>
      </ns0:c>
      <ns0:c r="B636" s="0" t="str">
        <ns0:f>IFERROR(TRIM(MID(Bookings!A636,FIND(" · ",Bookings!A636)+3,99)),"")</ns0:f>
        <ns0:v/>
      </ns0:c>
      <ns0:c r="C636" s="0">
        <ns0:f>IF(OR(B636="",LEN(B636)&gt;24,ISNUMBER(FIND(" ",B636)),ISNUMBER(FIND("*",B636)),ISNUMBER(FIND("?",B636)),ISNUMBER(FIND("~",B636))),0,IFERROR(MATCH(B636,Team!$A$11:$A$60,0),0))</ns0:f>
        <ns0:v>0</ns0:v>
      </ns0:c>
      <ns0:c r="D636" s="0" t="str">
        <ns0:f>IFERROR(IF(MID(Bookings!F636,LEN(Bookings!F636)-3,3)=" · ",RIGHT(Bookings!F636,1),""),"")</ns0:f>
        <ns0:v/>
      </ns0:c>
      <ns0:c r="E636" s="0" t="str">
        <ns0:f>IFERROR(INDEX(Settings!$H$7:$H$11,MATCH(D636,Settings!$G$7:$G$11,0)),"")</ns0:f>
        <ns0:v/>
      </ns0:c>
      <ns0:c r="F636" s="0" t="str">
        <ns0:f>IF(A636=0,"",IFERROR(IF(OR(B636="",C636=0),"CHECK employee selection",IF(INDEX(Team!$O$11:$O$60,C636)&lt;&gt;"OK","CHECK employee setup",IF(OR('_Dates'!J636=0,'_Dates'!T636=0),"CHECK date: use DD.MM.YYYY",IF('_Dates'!T636&lt;'_Dates'!J636,"CHECK end before start",IF(AND($B$6=0,OR('_Dates'!J636&lt;Settings!$B$7,'_Dates'!T636&gt;Settings!$B$8)),"CHECK split across leave years",IF(OR(NOT(OR('_Dates'!U636="Full day",'_Dates'!U636="AM",'_Dates'!U636="PM")),NOT(OR('_Dates'!V636="Full day",'_Dates'!V636="AM",'_Dates'!V636="PM"))),"CHECK Full day / AM / PM",IF(AND('_Dates'!J636='_Dates'!T636,'_Dates'!U636&lt;&gt;"Full day",'_Dates'!V636&lt;&gt;"Full day",'_Dates'!U636&lt;&gt;'_Dates'!V636),"CHECK same-day portions disagree",IF(AND($B$6=0,OR(AND('_Dates'!U636&lt;&gt;"Full day",'_Dates'!AA636=0),AND('_Dates'!V636&lt;&gt;"Full day",'_Dates'!AB636=0))),"CHECK half-day on non-working date",IF(COUNTIF(Settings!$G$7:$G$11,D636)&lt;&gt;1,"CHECK leave type",IF(AND(Bookings!G636&lt;&gt;"Approved",Bookings!G636&lt;&gt;"Pending",Bookings!G636&lt;&gt;"Cancelled"),"CHECK status","OK")))))))))),"CHECK input"))</ns0:f>
        <ns0:v/>
      </ns0:c>
      <ns0:c r="G636" s="0">
        <ns0:f>IF(OR(F636&lt;&gt;"OK",$B$6&gt;0),0,0.5*(IF(('_Dates'!X636)&lt;('_Dates'!W636),0,INT((('_Dates'!X636)-('_Dates'!W636)+1)/7)*LEN(SUBSTITUTE(W636,"O",""))+LEN(SUBSTITUTE(MID(W636&amp;W636,WEEKDAY(('_Dates'!W636),2),MOD((('_Dates'!X636)-('_Dates'!W636)+1),7)),"O",""))-COUNTIFS(INDEX(AllClosureRows,C636,0),"&gt;="&amp;('_Dates'!W636),INDEX(AllClosureRows,C636,0),"&lt;="&amp;('_Dates'!X636)))+IF(('_Dates'!Z636)&lt;('_Dates'!Y636),0,INT((('_Dates'!Z636)-('_Dates'!Y636)+1)/7)*LEN(SUBSTITUTE(W636,"O",""))+LEN(SUBSTITUTE(MID(W636&amp;W636,WEEKDAY(('_Dates'!Y636),2),MOD((('_Dates'!Z636)-('_Dates'!Y636)+1),7)),"O",""))-COUNTIFS(INDEX(AllClosureRows,C636,0),"&gt;="&amp;('_Dates'!Y636),INDEX(AllClosureRows,C636,0),"&lt;="&amp;('_Dates'!Z636)))))</ns0:f>
        <ns0:v>0</ns0:v>
      </ns0:c>
      <ns0:c r="H636" s="0">
        <ns0:f>IF(OR(F636&lt;&gt;"OK",$B$6&gt;0),0,0.5*(IF((MIN('_Dates'!X636,Settings!$B$9))&lt;('_Dates'!W636),0,INT(((MIN('_Dates'!X636,Settings!$B$9))-('_Dates'!W636)+1)/7)*LEN(SUBSTITUTE(W636,"O",""))+LEN(SUBSTITUTE(MID(W636&amp;W636,WEEKDAY(('_Dates'!W636),2),MOD(((MIN('_Dates'!X636,Settings!$B$9))-('_Dates'!W636)+1),7)),"O",""))-COUNTIFS(INDEX(AllClosureRows,C636,0),"&gt;="&amp;('_Dates'!W636),INDEX(AllClosureRows,C636,0),"&lt;="&amp;(MIN('_Dates'!X636,Settings!$B$9))))+IF((MIN('_Dates'!Z636,Settings!$B$9))&lt;('_Dates'!Y636),0,INT(((MIN('_Dates'!Z636,Settings!$B$9))-('_Dates'!Y636)+1)/7)*LEN(SUBSTITUTE(W636,"O",""))+LEN(SUBSTITUTE(MID(W636&amp;W636,WEEKDAY(('_Dates'!Y636),2),MOD(((MIN('_Dates'!Z636,Settings!$B$9))-('_Dates'!Y636)+1),7)),"O",""))-COUNTIFS(INDEX(AllClosureRows,C636,0),"&gt;="&amp;('_Dates'!Y636),INDEX(AllClosureRows,C636,0),"&lt;="&amp;(MIN('_Dates'!Z636,Settings!$B$9))))))</ns0:f>
        <ns0:v>0</ns0:v>
      </ns0:c>
      <ns0:c r="I636" s="0">
        <ns0:f>MAX(0,G636-H636)</ns0:f>
        <ns0:v>0</ns0:v>
      </ns0:c>
      <ns0:c r="J636" s="0">
        <ns0:f>IF(OR(A636=0,F636&lt;&gt;"OK",Bookings!G636="Cancelled",$B$6&gt;0),0,IF('_Dates'!AC636=1,MAX(0,COUNTIFS(rngEngine_B,B636,rngAMStart,"&lt;="&amp;'_Dates'!X636,rngAMEnd,"&gt;="&amp;'_Dates'!W636,rngAMActive,1,rngEngine_F,"OK",rngBookings_F,"&lt;&gt;Cancelled")-1),0)+IF('_Dates'!AD636=1,MAX(0,COUNTIFS(rngEngine_B,B636,rngPMStart,"&lt;="&amp;'_Dates'!Z636,rngPMEnd,"&gt;="&amp;'_Dates'!Y636,rngPMActive,1,rngEngine_F,"OK",rngBookings_F,"&lt;&gt;Cancelled")-1),0))</ns0:f>
        <ns0:v>0</ns0:v>
      </ns0:c>
      <ns0:c r="K636" s="0" t="str">
        <ns0:f>IF(A636=0,"",IF(F636&lt;&gt;"OK",F636,IF(J636&gt;0,"CHECK overlapping entry",IF(AND($B$6=0,G636&lt;=0,Bookings!G636&lt;&gt;"Cancelled"),"CHECK no working days",IF(Bookings!G636="Cancelled","Cancelled","OK")))))</ns0:f>
        <ns0:v/>
      </ns0:c>
      <ns0:c r="L636" s="0">
        <ns0:f>IF(LEFT(K636,5)="CHECK",1,0)</ns0:f>
        <ns0:v>0</ns0:v>
      </ns0:c>
      <ns0:c r="M636" s="0">
        <ns0:f>IF(AND(L636=1,OR(C636=0,IFERROR(INDEX($X$11:$X$60,C636),0)=0)),1,0)</ns0:f>
        <ns0:v>0</ns0:v>
      </ns0:c>
      <ns0:c r="N636" s="0">
        <ns0:f>IF(OR(A636=0,L636&gt;0,$B$6&gt;0,Bookings!G636="Cancelled"),0,G636)</ns0:f>
        <ns0:v>0</ns0:v>
      </ns0:c>
      <ns0:c r="O636" s="0">
        <ns0:f>IF(AND(Bookings!G636="Approved",E636="Yes"),N636,0)</ns0:f>
        <ns0:v>0</ns0:v>
      </ns0:c>
      <ns0:c r="P636" s="0">
        <ns0:f>IF(AND(Bookings!G636="Approved",E636="Yes",L636=0,$B$6=0),H636,0)</ns0:f>
        <ns0:v>0</ns0:v>
      </ns0:c>
      <ns0:c r="Q636" s="0">
        <ns0:f>IF(AND(Bookings!G636="Approved",E636="Yes",L636=0,$B$6=0),I636,0)</ns0:f>
        <ns0:v>0</ns0:v>
      </ns0:c>
      <ns0:c r="R636" s="0">
        <ns0:f>IF(AND(Bookings!G636="Pending",E636="Yes"),N636,0)</ns0:f>
        <ns0:v>0</ns0:v>
      </ns0:c>
      <ns0:c r="S636" s="0">
        <ns0:f>IF(AND(Bookings!G636="Approved",E636="No"),N636,0)</ns0:f>
        <ns0:v>0</ns0:v>
      </ns0:c>
      <ns0:c r="T636" s="0">
        <ns0:f>IFERROR(MATCH(D636,Settings!$G$7:$G$11,0),0)</ns0:f>
        <ns0:v>0</ns0:v>
      </ns0:c>
      <ns0:c r="U636" s="0">
        <ns0:f>IF(N636&gt;0,T636+IF(Bookings!G636="Pending",10,0),0)</ns0:f>
        <ns0:v>0</ns0:v>
      </ns0:c>
      <ns0:c r="V636" s="0">
        <ns0:f>U636</ns0:f>
        <ns0:v>0</ns0:v>
      </ns0:c>
      <ns0:c r="W636" s="0" t="str">
        <ns0:f>IF(C636=0,"",INDEX($AP$11:$AP$60,C636))</ns0:f>
        <ns0:v/>
      </ns0:c>
    </ns0:row>
    <ns0:row r="637">
      <ns0:c r="A637" s="0">
        <ns0:f>IF(COUNTA(Bookings!A637:G637,Bookings!I637)=0,0,1)</ns0:f>
        <ns0:v>0</ns0:v>
      </ns0:c>
      <ns0:c r="B637" s="0" t="str">
        <ns0:f>IFERROR(TRIM(MID(Bookings!A637,FIND(" · ",Bookings!A637)+3,99)),"")</ns0:f>
        <ns0:v/>
      </ns0:c>
      <ns0:c r="C637" s="0">
        <ns0:f>IF(OR(B637="",LEN(B637)&gt;24,ISNUMBER(FIND(" ",B637)),ISNUMBER(FIND("*",B637)),ISNUMBER(FIND("?",B637)),ISNUMBER(FIND("~",B637))),0,IFERROR(MATCH(B637,Team!$A$11:$A$60,0),0))</ns0:f>
        <ns0:v>0</ns0:v>
      </ns0:c>
      <ns0:c r="D637" s="0" t="str">
        <ns0:f>IFERROR(IF(MID(Bookings!F637,LEN(Bookings!F637)-3,3)=" · ",RIGHT(Bookings!F637,1),""),"")</ns0:f>
        <ns0:v/>
      </ns0:c>
      <ns0:c r="E637" s="0" t="str">
        <ns0:f>IFERROR(INDEX(Settings!$H$7:$H$11,MATCH(D637,Settings!$G$7:$G$11,0)),"")</ns0:f>
        <ns0:v/>
      </ns0:c>
      <ns0:c r="F637" s="0" t="str">
        <ns0:f>IF(A637=0,"",IFERROR(IF(OR(B637="",C637=0),"CHECK employee selection",IF(INDEX(Team!$O$11:$O$60,C637)&lt;&gt;"OK","CHECK employee setup",IF(OR('_Dates'!J637=0,'_Dates'!T637=0),"CHECK date: use DD.MM.YYYY",IF('_Dates'!T637&lt;'_Dates'!J637,"CHECK end before start",IF(AND($B$6=0,OR('_Dates'!J637&lt;Settings!$B$7,'_Dates'!T637&gt;Settings!$B$8)),"CHECK split across leave years",IF(OR(NOT(OR('_Dates'!U637="Full day",'_Dates'!U637="AM",'_Dates'!U637="PM")),NOT(OR('_Dates'!V637="Full day",'_Dates'!V637="AM",'_Dates'!V637="PM"))),"CHECK Full day / AM / PM",IF(AND('_Dates'!J637='_Dates'!T637,'_Dates'!U637&lt;&gt;"Full day",'_Dates'!V637&lt;&gt;"Full day",'_Dates'!U637&lt;&gt;'_Dates'!V637),"CHECK same-day portions disagree",IF(AND($B$6=0,OR(AND('_Dates'!U637&lt;&gt;"Full day",'_Dates'!AA637=0),AND('_Dates'!V637&lt;&gt;"Full day",'_Dates'!AB637=0))),"CHECK half-day on non-working date",IF(COUNTIF(Settings!$G$7:$G$11,D637)&lt;&gt;1,"CHECK leave type",IF(AND(Bookings!G637&lt;&gt;"Approved",Bookings!G637&lt;&gt;"Pending",Bookings!G637&lt;&gt;"Cancelled"),"CHECK status","OK")))))))))),"CHECK input"))</ns0:f>
        <ns0:v/>
      </ns0:c>
      <ns0:c r="G637" s="0">
        <ns0:f>IF(OR(F637&lt;&gt;"OK",$B$6&gt;0),0,0.5*(IF(('_Dates'!X637)&lt;('_Dates'!W637),0,INT((('_Dates'!X637)-('_Dates'!W637)+1)/7)*LEN(SUBSTITUTE(W637,"O",""))+LEN(SUBSTITUTE(MID(W637&amp;W637,WEEKDAY(('_Dates'!W637),2),MOD((('_Dates'!X637)-('_Dates'!W637)+1),7)),"O",""))-COUNTIFS(INDEX(AllClosureRows,C637,0),"&gt;="&amp;('_Dates'!W637),INDEX(AllClosureRows,C637,0),"&lt;="&amp;('_Dates'!X637)))+IF(('_Dates'!Z637)&lt;('_Dates'!Y637),0,INT((('_Dates'!Z637)-('_Dates'!Y637)+1)/7)*LEN(SUBSTITUTE(W637,"O",""))+LEN(SUBSTITUTE(MID(W637&amp;W637,WEEKDAY(('_Dates'!Y637),2),MOD((('_Dates'!Z637)-('_Dates'!Y637)+1),7)),"O",""))-COUNTIFS(INDEX(AllClosureRows,C637,0),"&gt;="&amp;('_Dates'!Y637),INDEX(AllClosureRows,C637,0),"&lt;="&amp;('_Dates'!Z637)))))</ns0:f>
        <ns0:v>0</ns0:v>
      </ns0:c>
      <ns0:c r="H637" s="0">
        <ns0:f>IF(OR(F637&lt;&gt;"OK",$B$6&gt;0),0,0.5*(IF((MIN('_Dates'!X637,Settings!$B$9))&lt;('_Dates'!W637),0,INT(((MIN('_Dates'!X637,Settings!$B$9))-('_Dates'!W637)+1)/7)*LEN(SUBSTITUTE(W637,"O",""))+LEN(SUBSTITUTE(MID(W637&amp;W637,WEEKDAY(('_Dates'!W637),2),MOD(((MIN('_Dates'!X637,Settings!$B$9))-('_Dates'!W637)+1),7)),"O",""))-COUNTIFS(INDEX(AllClosureRows,C637,0),"&gt;="&amp;('_Dates'!W637),INDEX(AllClosureRows,C637,0),"&lt;="&amp;(MIN('_Dates'!X637,Settings!$B$9))))+IF((MIN('_Dates'!Z637,Settings!$B$9))&lt;('_Dates'!Y637),0,INT(((MIN('_Dates'!Z637,Settings!$B$9))-('_Dates'!Y637)+1)/7)*LEN(SUBSTITUTE(W637,"O",""))+LEN(SUBSTITUTE(MID(W637&amp;W637,WEEKDAY(('_Dates'!Y637),2),MOD(((MIN('_Dates'!Z637,Settings!$B$9))-('_Dates'!Y637)+1),7)),"O",""))-COUNTIFS(INDEX(AllClosureRows,C637,0),"&gt;="&amp;('_Dates'!Y637),INDEX(AllClosureRows,C637,0),"&lt;="&amp;(MIN('_Dates'!Z637,Settings!$B$9))))))</ns0:f>
        <ns0:v>0</ns0:v>
      </ns0:c>
      <ns0:c r="I637" s="0">
        <ns0:f>MAX(0,G637-H637)</ns0:f>
        <ns0:v>0</ns0:v>
      </ns0:c>
      <ns0:c r="J637" s="0">
        <ns0:f>IF(OR(A637=0,F637&lt;&gt;"OK",Bookings!G637="Cancelled",$B$6&gt;0),0,IF('_Dates'!AC637=1,MAX(0,COUNTIFS(rngEngine_B,B637,rngAMStart,"&lt;="&amp;'_Dates'!X637,rngAMEnd,"&gt;="&amp;'_Dates'!W637,rngAMActive,1,rngEngine_F,"OK",rngBookings_F,"&lt;&gt;Cancelled")-1),0)+IF('_Dates'!AD637=1,MAX(0,COUNTIFS(rngEngine_B,B637,rngPMStart,"&lt;="&amp;'_Dates'!Z637,rngPMEnd,"&gt;="&amp;'_Dates'!Y637,rngPMActive,1,rngEngine_F,"OK",rngBookings_F,"&lt;&gt;Cancelled")-1),0))</ns0:f>
        <ns0:v>0</ns0:v>
      </ns0:c>
      <ns0:c r="K637" s="0" t="str">
        <ns0:f>IF(A637=0,"",IF(F637&lt;&gt;"OK",F637,IF(J637&gt;0,"CHECK overlapping entry",IF(AND($B$6=0,G637&lt;=0,Bookings!G637&lt;&gt;"Cancelled"),"CHECK no working days",IF(Bookings!G637="Cancelled","Cancelled","OK")))))</ns0:f>
        <ns0:v/>
      </ns0:c>
      <ns0:c r="L637" s="0">
        <ns0:f>IF(LEFT(K637,5)="CHECK",1,0)</ns0:f>
        <ns0:v>0</ns0:v>
      </ns0:c>
      <ns0:c r="M637" s="0">
        <ns0:f>IF(AND(L637=1,OR(C637=0,IFERROR(INDEX($X$11:$X$60,C637),0)=0)),1,0)</ns0:f>
        <ns0:v>0</ns0:v>
      </ns0:c>
      <ns0:c r="N637" s="0">
        <ns0:f>IF(OR(A637=0,L637&gt;0,$B$6&gt;0,Bookings!G637="Cancelled"),0,G637)</ns0:f>
        <ns0:v>0</ns0:v>
      </ns0:c>
      <ns0:c r="O637" s="0">
        <ns0:f>IF(AND(Bookings!G637="Approved",E637="Yes"),N637,0)</ns0:f>
        <ns0:v>0</ns0:v>
      </ns0:c>
      <ns0:c r="P637" s="0">
        <ns0:f>IF(AND(Bookings!G637="Approved",E637="Yes",L637=0,$B$6=0),H637,0)</ns0:f>
        <ns0:v>0</ns0:v>
      </ns0:c>
      <ns0:c r="Q637" s="0">
        <ns0:f>IF(AND(Bookings!G637="Approved",E637="Yes",L637=0,$B$6=0),I637,0)</ns0:f>
        <ns0:v>0</ns0:v>
      </ns0:c>
      <ns0:c r="R637" s="0">
        <ns0:f>IF(AND(Bookings!G637="Pending",E637="Yes"),N637,0)</ns0:f>
        <ns0:v>0</ns0:v>
      </ns0:c>
      <ns0:c r="S637" s="0">
        <ns0:f>IF(AND(Bookings!G637="Approved",E637="No"),N637,0)</ns0:f>
        <ns0:v>0</ns0:v>
      </ns0:c>
      <ns0:c r="T637" s="0">
        <ns0:f>IFERROR(MATCH(D637,Settings!$G$7:$G$11,0),0)</ns0:f>
        <ns0:v>0</ns0:v>
      </ns0:c>
      <ns0:c r="U637" s="0">
        <ns0:f>IF(N637&gt;0,T637+IF(Bookings!G637="Pending",10,0),0)</ns0:f>
        <ns0:v>0</ns0:v>
      </ns0:c>
      <ns0:c r="V637" s="0">
        <ns0:f>U637</ns0:f>
        <ns0:v>0</ns0:v>
      </ns0:c>
      <ns0:c r="W637" s="0" t="str">
        <ns0:f>IF(C637=0,"",INDEX($AP$11:$AP$60,C637))</ns0:f>
        <ns0:v/>
      </ns0:c>
    </ns0:row>
    <ns0:row r="638">
      <ns0:c r="A638" s="0">
        <ns0:f>IF(COUNTA(Bookings!A638:G638,Bookings!I638)=0,0,1)</ns0:f>
        <ns0:v>0</ns0:v>
      </ns0:c>
      <ns0:c r="B638" s="0" t="str">
        <ns0:f>IFERROR(TRIM(MID(Bookings!A638,FIND(" · ",Bookings!A638)+3,99)),"")</ns0:f>
        <ns0:v/>
      </ns0:c>
      <ns0:c r="C638" s="0">
        <ns0:f>IF(OR(B638="",LEN(B638)&gt;24,ISNUMBER(FIND(" ",B638)),ISNUMBER(FIND("*",B638)),ISNUMBER(FIND("?",B638)),ISNUMBER(FIND("~",B638))),0,IFERROR(MATCH(B638,Team!$A$11:$A$60,0),0))</ns0:f>
        <ns0:v>0</ns0:v>
      </ns0:c>
      <ns0:c r="D638" s="0" t="str">
        <ns0:f>IFERROR(IF(MID(Bookings!F638,LEN(Bookings!F638)-3,3)=" · ",RIGHT(Bookings!F638,1),""),"")</ns0:f>
        <ns0:v/>
      </ns0:c>
      <ns0:c r="E638" s="0" t="str">
        <ns0:f>IFERROR(INDEX(Settings!$H$7:$H$11,MATCH(D638,Settings!$G$7:$G$11,0)),"")</ns0:f>
        <ns0:v/>
      </ns0:c>
      <ns0:c r="F638" s="0" t="str">
        <ns0:f>IF(A638=0,"",IFERROR(IF(OR(B638="",C638=0),"CHECK employee selection",IF(INDEX(Team!$O$11:$O$60,C638)&lt;&gt;"OK","CHECK employee setup",IF(OR('_Dates'!J638=0,'_Dates'!T638=0),"CHECK date: use DD.MM.YYYY",IF('_Dates'!T638&lt;'_Dates'!J638,"CHECK end before start",IF(AND($B$6=0,OR('_Dates'!J638&lt;Settings!$B$7,'_Dates'!T638&gt;Settings!$B$8)),"CHECK split across leave years",IF(OR(NOT(OR('_Dates'!U638="Full day",'_Dates'!U638="AM",'_Dates'!U638="PM")),NOT(OR('_Dates'!V638="Full day",'_Dates'!V638="AM",'_Dates'!V638="PM"))),"CHECK Full day / AM / PM",IF(AND('_Dates'!J638='_Dates'!T638,'_Dates'!U638&lt;&gt;"Full day",'_Dates'!V638&lt;&gt;"Full day",'_Dates'!U638&lt;&gt;'_Dates'!V638),"CHECK same-day portions disagree",IF(AND($B$6=0,OR(AND('_Dates'!U638&lt;&gt;"Full day",'_Dates'!AA638=0),AND('_Dates'!V638&lt;&gt;"Full day",'_Dates'!AB638=0))),"CHECK half-day on non-working date",IF(COUNTIF(Settings!$G$7:$G$11,D638)&lt;&gt;1,"CHECK leave type",IF(AND(Bookings!G638&lt;&gt;"Approved",Bookings!G638&lt;&gt;"Pending",Bookings!G638&lt;&gt;"Cancelled"),"CHECK status","OK")))))))))),"CHECK input"))</ns0:f>
        <ns0:v/>
      </ns0:c>
      <ns0:c r="G638" s="0">
        <ns0:f>IF(OR(F638&lt;&gt;"OK",$B$6&gt;0),0,0.5*(IF(('_Dates'!X638)&lt;('_Dates'!W638),0,INT((('_Dates'!X638)-('_Dates'!W638)+1)/7)*LEN(SUBSTITUTE(W638,"O",""))+LEN(SUBSTITUTE(MID(W638&amp;W638,WEEKDAY(('_Dates'!W638),2),MOD((('_Dates'!X638)-('_Dates'!W638)+1),7)),"O",""))-COUNTIFS(INDEX(AllClosureRows,C638,0),"&gt;="&amp;('_Dates'!W638),INDEX(AllClosureRows,C638,0),"&lt;="&amp;('_Dates'!X638)))+IF(('_Dates'!Z638)&lt;('_Dates'!Y638),0,INT((('_Dates'!Z638)-('_Dates'!Y638)+1)/7)*LEN(SUBSTITUTE(W638,"O",""))+LEN(SUBSTITUTE(MID(W638&amp;W638,WEEKDAY(('_Dates'!Y638),2),MOD((('_Dates'!Z638)-('_Dates'!Y638)+1),7)),"O",""))-COUNTIFS(INDEX(AllClosureRows,C638,0),"&gt;="&amp;('_Dates'!Y638),INDEX(AllClosureRows,C638,0),"&lt;="&amp;('_Dates'!Z638)))))</ns0:f>
        <ns0:v>0</ns0:v>
      </ns0:c>
      <ns0:c r="H638" s="0">
        <ns0:f>IF(OR(F638&lt;&gt;"OK",$B$6&gt;0),0,0.5*(IF((MIN('_Dates'!X638,Settings!$B$9))&lt;('_Dates'!W638),0,INT(((MIN('_Dates'!X638,Settings!$B$9))-('_Dates'!W638)+1)/7)*LEN(SUBSTITUTE(W638,"O",""))+LEN(SUBSTITUTE(MID(W638&amp;W638,WEEKDAY(('_Dates'!W638),2),MOD(((MIN('_Dates'!X638,Settings!$B$9))-('_Dates'!W638)+1),7)),"O",""))-COUNTIFS(INDEX(AllClosureRows,C638,0),"&gt;="&amp;('_Dates'!W638),INDEX(AllClosureRows,C638,0),"&lt;="&amp;(MIN('_Dates'!X638,Settings!$B$9))))+IF((MIN('_Dates'!Z638,Settings!$B$9))&lt;('_Dates'!Y638),0,INT(((MIN('_Dates'!Z638,Settings!$B$9))-('_Dates'!Y638)+1)/7)*LEN(SUBSTITUTE(W638,"O",""))+LEN(SUBSTITUTE(MID(W638&amp;W638,WEEKDAY(('_Dates'!Y638),2),MOD(((MIN('_Dates'!Z638,Settings!$B$9))-('_Dates'!Y638)+1),7)),"O",""))-COUNTIFS(INDEX(AllClosureRows,C638,0),"&gt;="&amp;('_Dates'!Y638),INDEX(AllClosureRows,C638,0),"&lt;="&amp;(MIN('_Dates'!Z638,Settings!$B$9))))))</ns0:f>
        <ns0:v>0</ns0:v>
      </ns0:c>
      <ns0:c r="I638" s="0">
        <ns0:f>MAX(0,G638-H638)</ns0:f>
        <ns0:v>0</ns0:v>
      </ns0:c>
      <ns0:c r="J638" s="0">
        <ns0:f>IF(OR(A638=0,F638&lt;&gt;"OK",Bookings!G638="Cancelled",$B$6&gt;0),0,IF('_Dates'!AC638=1,MAX(0,COUNTIFS(rngEngine_B,B638,rngAMStart,"&lt;="&amp;'_Dates'!X638,rngAMEnd,"&gt;="&amp;'_Dates'!W638,rngAMActive,1,rngEngine_F,"OK",rngBookings_F,"&lt;&gt;Cancelled")-1),0)+IF('_Dates'!AD638=1,MAX(0,COUNTIFS(rngEngine_B,B638,rngPMStart,"&lt;="&amp;'_Dates'!Z638,rngPMEnd,"&gt;="&amp;'_Dates'!Y638,rngPMActive,1,rngEngine_F,"OK",rngBookings_F,"&lt;&gt;Cancelled")-1),0))</ns0:f>
        <ns0:v>0</ns0:v>
      </ns0:c>
      <ns0:c r="K638" s="0" t="str">
        <ns0:f>IF(A638=0,"",IF(F638&lt;&gt;"OK",F638,IF(J638&gt;0,"CHECK overlapping entry",IF(AND($B$6=0,G638&lt;=0,Bookings!G638&lt;&gt;"Cancelled"),"CHECK no working days",IF(Bookings!G638="Cancelled","Cancelled","OK")))))</ns0:f>
        <ns0:v/>
      </ns0:c>
      <ns0:c r="L638" s="0">
        <ns0:f>IF(LEFT(K638,5)="CHECK",1,0)</ns0:f>
        <ns0:v>0</ns0:v>
      </ns0:c>
      <ns0:c r="M638" s="0">
        <ns0:f>IF(AND(L638=1,OR(C638=0,IFERROR(INDEX($X$11:$X$60,C638),0)=0)),1,0)</ns0:f>
        <ns0:v>0</ns0:v>
      </ns0:c>
      <ns0:c r="N638" s="0">
        <ns0:f>IF(OR(A638=0,L638&gt;0,$B$6&gt;0,Bookings!G638="Cancelled"),0,G638)</ns0:f>
        <ns0:v>0</ns0:v>
      </ns0:c>
      <ns0:c r="O638" s="0">
        <ns0:f>IF(AND(Bookings!G638="Approved",E638="Yes"),N638,0)</ns0:f>
        <ns0:v>0</ns0:v>
      </ns0:c>
      <ns0:c r="P638" s="0">
        <ns0:f>IF(AND(Bookings!G638="Approved",E638="Yes",L638=0,$B$6=0),H638,0)</ns0:f>
        <ns0:v>0</ns0:v>
      </ns0:c>
      <ns0:c r="Q638" s="0">
        <ns0:f>IF(AND(Bookings!G638="Approved",E638="Yes",L638=0,$B$6=0),I638,0)</ns0:f>
        <ns0:v>0</ns0:v>
      </ns0:c>
      <ns0:c r="R638" s="0">
        <ns0:f>IF(AND(Bookings!G638="Pending",E638="Yes"),N638,0)</ns0:f>
        <ns0:v>0</ns0:v>
      </ns0:c>
      <ns0:c r="S638" s="0">
        <ns0:f>IF(AND(Bookings!G638="Approved",E638="No"),N638,0)</ns0:f>
        <ns0:v>0</ns0:v>
      </ns0:c>
      <ns0:c r="T638" s="0">
        <ns0:f>IFERROR(MATCH(D638,Settings!$G$7:$G$11,0),0)</ns0:f>
        <ns0:v>0</ns0:v>
      </ns0:c>
      <ns0:c r="U638" s="0">
        <ns0:f>IF(N638&gt;0,T638+IF(Bookings!G638="Pending",10,0),0)</ns0:f>
        <ns0:v>0</ns0:v>
      </ns0:c>
      <ns0:c r="V638" s="0">
        <ns0:f>U638</ns0:f>
        <ns0:v>0</ns0:v>
      </ns0:c>
      <ns0:c r="W638" s="0" t="str">
        <ns0:f>IF(C638=0,"",INDEX($AP$11:$AP$60,C638))</ns0:f>
        <ns0:v/>
      </ns0:c>
    </ns0:row>
    <ns0:row r="639">
      <ns0:c r="A639" s="0">
        <ns0:f>IF(COUNTA(Bookings!A639:G639,Bookings!I639)=0,0,1)</ns0:f>
        <ns0:v>0</ns0:v>
      </ns0:c>
      <ns0:c r="B639" s="0" t="str">
        <ns0:f>IFERROR(TRIM(MID(Bookings!A639,FIND(" · ",Bookings!A639)+3,99)),"")</ns0:f>
        <ns0:v/>
      </ns0:c>
      <ns0:c r="C639" s="0">
        <ns0:f>IF(OR(B639="",LEN(B639)&gt;24,ISNUMBER(FIND(" ",B639)),ISNUMBER(FIND("*",B639)),ISNUMBER(FIND("?",B639)),ISNUMBER(FIND("~",B639))),0,IFERROR(MATCH(B639,Team!$A$11:$A$60,0),0))</ns0:f>
        <ns0:v>0</ns0:v>
      </ns0:c>
      <ns0:c r="D639" s="0" t="str">
        <ns0:f>IFERROR(IF(MID(Bookings!F639,LEN(Bookings!F639)-3,3)=" · ",RIGHT(Bookings!F639,1),""),"")</ns0:f>
        <ns0:v/>
      </ns0:c>
      <ns0:c r="E639" s="0" t="str">
        <ns0:f>IFERROR(INDEX(Settings!$H$7:$H$11,MATCH(D639,Settings!$G$7:$G$11,0)),"")</ns0:f>
        <ns0:v/>
      </ns0:c>
      <ns0:c r="F639" s="0" t="str">
        <ns0:f>IF(A639=0,"",IFERROR(IF(OR(B639="",C639=0),"CHECK employee selection",IF(INDEX(Team!$O$11:$O$60,C639)&lt;&gt;"OK","CHECK employee setup",IF(OR('_Dates'!J639=0,'_Dates'!T639=0),"CHECK date: use DD.MM.YYYY",IF('_Dates'!T639&lt;'_Dates'!J639,"CHECK end before start",IF(AND($B$6=0,OR('_Dates'!J639&lt;Settings!$B$7,'_Dates'!T639&gt;Settings!$B$8)),"CHECK split across leave years",IF(OR(NOT(OR('_Dates'!U639="Full day",'_Dates'!U639="AM",'_Dates'!U639="PM")),NOT(OR('_Dates'!V639="Full day",'_Dates'!V639="AM",'_Dates'!V639="PM"))),"CHECK Full day / AM / PM",IF(AND('_Dates'!J639='_Dates'!T639,'_Dates'!U639&lt;&gt;"Full day",'_Dates'!V639&lt;&gt;"Full day",'_Dates'!U639&lt;&gt;'_Dates'!V639),"CHECK same-day portions disagree",IF(AND($B$6=0,OR(AND('_Dates'!U639&lt;&gt;"Full day",'_Dates'!AA639=0),AND('_Dates'!V639&lt;&gt;"Full day",'_Dates'!AB639=0))),"CHECK half-day on non-working date",IF(COUNTIF(Settings!$G$7:$G$11,D639)&lt;&gt;1,"CHECK leave type",IF(AND(Bookings!G639&lt;&gt;"Approved",Bookings!G639&lt;&gt;"Pending",Bookings!G639&lt;&gt;"Cancelled"),"CHECK status","OK")))))))))),"CHECK input"))</ns0:f>
        <ns0:v/>
      </ns0:c>
      <ns0:c r="G639" s="0">
        <ns0:f>IF(OR(F639&lt;&gt;"OK",$B$6&gt;0),0,0.5*(IF(('_Dates'!X639)&lt;('_Dates'!W639),0,INT((('_Dates'!X639)-('_Dates'!W639)+1)/7)*LEN(SUBSTITUTE(W639,"O",""))+LEN(SUBSTITUTE(MID(W639&amp;W639,WEEKDAY(('_Dates'!W639),2),MOD((('_Dates'!X639)-('_Dates'!W639)+1),7)),"O",""))-COUNTIFS(INDEX(AllClosureRows,C639,0),"&gt;="&amp;('_Dates'!W639),INDEX(AllClosureRows,C639,0),"&lt;="&amp;('_Dates'!X639)))+IF(('_Dates'!Z639)&lt;('_Dates'!Y639),0,INT((('_Dates'!Z639)-('_Dates'!Y639)+1)/7)*LEN(SUBSTITUTE(W639,"O",""))+LEN(SUBSTITUTE(MID(W639&amp;W639,WEEKDAY(('_Dates'!Y639),2),MOD((('_Dates'!Z639)-('_Dates'!Y639)+1),7)),"O",""))-COUNTIFS(INDEX(AllClosureRows,C639,0),"&gt;="&amp;('_Dates'!Y639),INDEX(AllClosureRows,C639,0),"&lt;="&amp;('_Dates'!Z639)))))</ns0:f>
        <ns0:v>0</ns0:v>
      </ns0:c>
      <ns0:c r="H639" s="0">
        <ns0:f>IF(OR(F639&lt;&gt;"OK",$B$6&gt;0),0,0.5*(IF((MIN('_Dates'!X639,Settings!$B$9))&lt;('_Dates'!W639),0,INT(((MIN('_Dates'!X639,Settings!$B$9))-('_Dates'!W639)+1)/7)*LEN(SUBSTITUTE(W639,"O",""))+LEN(SUBSTITUTE(MID(W639&amp;W639,WEEKDAY(('_Dates'!W639),2),MOD(((MIN('_Dates'!X639,Settings!$B$9))-('_Dates'!W639)+1),7)),"O",""))-COUNTIFS(INDEX(AllClosureRows,C639,0),"&gt;="&amp;('_Dates'!W639),INDEX(AllClosureRows,C639,0),"&lt;="&amp;(MIN('_Dates'!X639,Settings!$B$9))))+IF((MIN('_Dates'!Z639,Settings!$B$9))&lt;('_Dates'!Y639),0,INT(((MIN('_Dates'!Z639,Settings!$B$9))-('_Dates'!Y639)+1)/7)*LEN(SUBSTITUTE(W639,"O",""))+LEN(SUBSTITUTE(MID(W639&amp;W639,WEEKDAY(('_Dates'!Y639),2),MOD(((MIN('_Dates'!Z639,Settings!$B$9))-('_Dates'!Y639)+1),7)),"O",""))-COUNTIFS(INDEX(AllClosureRows,C639,0),"&gt;="&amp;('_Dates'!Y639),INDEX(AllClosureRows,C639,0),"&lt;="&amp;(MIN('_Dates'!Z639,Settings!$B$9))))))</ns0:f>
        <ns0:v>0</ns0:v>
      </ns0:c>
      <ns0:c r="I639" s="0">
        <ns0:f>MAX(0,G639-H639)</ns0:f>
        <ns0:v>0</ns0:v>
      </ns0:c>
      <ns0:c r="J639" s="0">
        <ns0:f>IF(OR(A639=0,F639&lt;&gt;"OK",Bookings!G639="Cancelled",$B$6&gt;0),0,IF('_Dates'!AC639=1,MAX(0,COUNTIFS(rngEngine_B,B639,rngAMStart,"&lt;="&amp;'_Dates'!X639,rngAMEnd,"&gt;="&amp;'_Dates'!W639,rngAMActive,1,rngEngine_F,"OK",rngBookings_F,"&lt;&gt;Cancelled")-1),0)+IF('_Dates'!AD639=1,MAX(0,COUNTIFS(rngEngine_B,B639,rngPMStart,"&lt;="&amp;'_Dates'!Z639,rngPMEnd,"&gt;="&amp;'_Dates'!Y639,rngPMActive,1,rngEngine_F,"OK",rngBookings_F,"&lt;&gt;Cancelled")-1),0))</ns0:f>
        <ns0:v>0</ns0:v>
      </ns0:c>
      <ns0:c r="K639" s="0" t="str">
        <ns0:f>IF(A639=0,"",IF(F639&lt;&gt;"OK",F639,IF(J639&gt;0,"CHECK overlapping entry",IF(AND($B$6=0,G639&lt;=0,Bookings!G639&lt;&gt;"Cancelled"),"CHECK no working days",IF(Bookings!G639="Cancelled","Cancelled","OK")))))</ns0:f>
        <ns0:v/>
      </ns0:c>
      <ns0:c r="L639" s="0">
        <ns0:f>IF(LEFT(K639,5)="CHECK",1,0)</ns0:f>
        <ns0:v>0</ns0:v>
      </ns0:c>
      <ns0:c r="M639" s="0">
        <ns0:f>IF(AND(L639=1,OR(C639=0,IFERROR(INDEX($X$11:$X$60,C639),0)=0)),1,0)</ns0:f>
        <ns0:v>0</ns0:v>
      </ns0:c>
      <ns0:c r="N639" s="0">
        <ns0:f>IF(OR(A639=0,L639&gt;0,$B$6&gt;0,Bookings!G639="Cancelled"),0,G639)</ns0:f>
        <ns0:v>0</ns0:v>
      </ns0:c>
      <ns0:c r="O639" s="0">
        <ns0:f>IF(AND(Bookings!G639="Approved",E639="Yes"),N639,0)</ns0:f>
        <ns0:v>0</ns0:v>
      </ns0:c>
      <ns0:c r="P639" s="0">
        <ns0:f>IF(AND(Bookings!G639="Approved",E639="Yes",L639=0,$B$6=0),H639,0)</ns0:f>
        <ns0:v>0</ns0:v>
      </ns0:c>
      <ns0:c r="Q639" s="0">
        <ns0:f>IF(AND(Bookings!G639="Approved",E639="Yes",L639=0,$B$6=0),I639,0)</ns0:f>
        <ns0:v>0</ns0:v>
      </ns0:c>
      <ns0:c r="R639" s="0">
        <ns0:f>IF(AND(Bookings!G639="Pending",E639="Yes"),N639,0)</ns0:f>
        <ns0:v>0</ns0:v>
      </ns0:c>
      <ns0:c r="S639" s="0">
        <ns0:f>IF(AND(Bookings!G639="Approved",E639="No"),N639,0)</ns0:f>
        <ns0:v>0</ns0:v>
      </ns0:c>
      <ns0:c r="T639" s="0">
        <ns0:f>IFERROR(MATCH(D639,Settings!$G$7:$G$11,0),0)</ns0:f>
        <ns0:v>0</ns0:v>
      </ns0:c>
      <ns0:c r="U639" s="0">
        <ns0:f>IF(N639&gt;0,T639+IF(Bookings!G639="Pending",10,0),0)</ns0:f>
        <ns0:v>0</ns0:v>
      </ns0:c>
      <ns0:c r="V639" s="0">
        <ns0:f>U639</ns0:f>
        <ns0:v>0</ns0:v>
      </ns0:c>
      <ns0:c r="W639" s="0" t="str">
        <ns0:f>IF(C639=0,"",INDEX($AP$11:$AP$60,C639))</ns0:f>
        <ns0:v/>
      </ns0:c>
    </ns0:row>
    <ns0:row r="640">
      <ns0:c r="A640" s="0">
        <ns0:f>IF(COUNTA(Bookings!A640:G640,Bookings!I640)=0,0,1)</ns0:f>
        <ns0:v>0</ns0:v>
      </ns0:c>
      <ns0:c r="B640" s="0" t="str">
        <ns0:f>IFERROR(TRIM(MID(Bookings!A640,FIND(" · ",Bookings!A640)+3,99)),"")</ns0:f>
        <ns0:v/>
      </ns0:c>
      <ns0:c r="C640" s="0">
        <ns0:f>IF(OR(B640="",LEN(B640)&gt;24,ISNUMBER(FIND(" ",B640)),ISNUMBER(FIND("*",B640)),ISNUMBER(FIND("?",B640)),ISNUMBER(FIND("~",B640))),0,IFERROR(MATCH(B640,Team!$A$11:$A$60,0),0))</ns0:f>
        <ns0:v>0</ns0:v>
      </ns0:c>
      <ns0:c r="D640" s="0" t="str">
        <ns0:f>IFERROR(IF(MID(Bookings!F640,LEN(Bookings!F640)-3,3)=" · ",RIGHT(Bookings!F640,1),""),"")</ns0:f>
        <ns0:v/>
      </ns0:c>
      <ns0:c r="E640" s="0" t="str">
        <ns0:f>IFERROR(INDEX(Settings!$H$7:$H$11,MATCH(D640,Settings!$G$7:$G$11,0)),"")</ns0:f>
        <ns0:v/>
      </ns0:c>
      <ns0:c r="F640" s="0" t="str">
        <ns0:f>IF(A640=0,"",IFERROR(IF(OR(B640="",C640=0),"CHECK employee selection",IF(INDEX(Team!$O$11:$O$60,C640)&lt;&gt;"OK","CHECK employee setup",IF(OR('_Dates'!J640=0,'_Dates'!T640=0),"CHECK date: use DD.MM.YYYY",IF('_Dates'!T640&lt;'_Dates'!J640,"CHECK end before start",IF(AND($B$6=0,OR('_Dates'!J640&lt;Settings!$B$7,'_Dates'!T640&gt;Settings!$B$8)),"CHECK split across leave years",IF(OR(NOT(OR('_Dates'!U640="Full day",'_Dates'!U640="AM",'_Dates'!U640="PM")),NOT(OR('_Dates'!V640="Full day",'_Dates'!V640="AM",'_Dates'!V640="PM"))),"CHECK Full day / AM / PM",IF(AND('_Dates'!J640='_Dates'!T640,'_Dates'!U640&lt;&gt;"Full day",'_Dates'!V640&lt;&gt;"Full day",'_Dates'!U640&lt;&gt;'_Dates'!V640),"CHECK same-day portions disagree",IF(AND($B$6=0,OR(AND('_Dates'!U640&lt;&gt;"Full day",'_Dates'!AA640=0),AND('_Dates'!V640&lt;&gt;"Full day",'_Dates'!AB640=0))),"CHECK half-day on non-working date",IF(COUNTIF(Settings!$G$7:$G$11,D640)&lt;&gt;1,"CHECK leave type",IF(AND(Bookings!G640&lt;&gt;"Approved",Bookings!G640&lt;&gt;"Pending",Bookings!G640&lt;&gt;"Cancelled"),"CHECK status","OK")))))))))),"CHECK input"))</ns0:f>
        <ns0:v/>
      </ns0:c>
      <ns0:c r="G640" s="0">
        <ns0:f>IF(OR(F640&lt;&gt;"OK",$B$6&gt;0),0,0.5*(IF(('_Dates'!X640)&lt;('_Dates'!W640),0,INT((('_Dates'!X640)-('_Dates'!W640)+1)/7)*LEN(SUBSTITUTE(W640,"O",""))+LEN(SUBSTITUTE(MID(W640&amp;W640,WEEKDAY(('_Dates'!W640),2),MOD((('_Dates'!X640)-('_Dates'!W640)+1),7)),"O",""))-COUNTIFS(INDEX(AllClosureRows,C640,0),"&gt;="&amp;('_Dates'!W640),INDEX(AllClosureRows,C640,0),"&lt;="&amp;('_Dates'!X640)))+IF(('_Dates'!Z640)&lt;('_Dates'!Y640),0,INT((('_Dates'!Z640)-('_Dates'!Y640)+1)/7)*LEN(SUBSTITUTE(W640,"O",""))+LEN(SUBSTITUTE(MID(W640&amp;W640,WEEKDAY(('_Dates'!Y640),2),MOD((('_Dates'!Z640)-('_Dates'!Y640)+1),7)),"O",""))-COUNTIFS(INDEX(AllClosureRows,C640,0),"&gt;="&amp;('_Dates'!Y640),INDEX(AllClosureRows,C640,0),"&lt;="&amp;('_Dates'!Z640)))))</ns0:f>
        <ns0:v>0</ns0:v>
      </ns0:c>
      <ns0:c r="H640" s="0">
        <ns0:f>IF(OR(F640&lt;&gt;"OK",$B$6&gt;0),0,0.5*(IF((MIN('_Dates'!X640,Settings!$B$9))&lt;('_Dates'!W640),0,INT(((MIN('_Dates'!X640,Settings!$B$9))-('_Dates'!W640)+1)/7)*LEN(SUBSTITUTE(W640,"O",""))+LEN(SUBSTITUTE(MID(W640&amp;W640,WEEKDAY(('_Dates'!W640),2),MOD(((MIN('_Dates'!X640,Settings!$B$9))-('_Dates'!W640)+1),7)),"O",""))-COUNTIFS(INDEX(AllClosureRows,C640,0),"&gt;="&amp;('_Dates'!W640),INDEX(AllClosureRows,C640,0),"&lt;="&amp;(MIN('_Dates'!X640,Settings!$B$9))))+IF((MIN('_Dates'!Z640,Settings!$B$9))&lt;('_Dates'!Y640),0,INT(((MIN('_Dates'!Z640,Settings!$B$9))-('_Dates'!Y640)+1)/7)*LEN(SUBSTITUTE(W640,"O",""))+LEN(SUBSTITUTE(MID(W640&amp;W640,WEEKDAY(('_Dates'!Y640),2),MOD(((MIN('_Dates'!Z640,Settings!$B$9))-('_Dates'!Y640)+1),7)),"O",""))-COUNTIFS(INDEX(AllClosureRows,C640,0),"&gt;="&amp;('_Dates'!Y640),INDEX(AllClosureRows,C640,0),"&lt;="&amp;(MIN('_Dates'!Z640,Settings!$B$9))))))</ns0:f>
        <ns0:v>0</ns0:v>
      </ns0:c>
      <ns0:c r="I640" s="0">
        <ns0:f>MAX(0,G640-H640)</ns0:f>
        <ns0:v>0</ns0:v>
      </ns0:c>
      <ns0:c r="J640" s="0">
        <ns0:f>IF(OR(A640=0,F640&lt;&gt;"OK",Bookings!G640="Cancelled",$B$6&gt;0),0,IF('_Dates'!AC640=1,MAX(0,COUNTIFS(rngEngine_B,B640,rngAMStart,"&lt;="&amp;'_Dates'!X640,rngAMEnd,"&gt;="&amp;'_Dates'!W640,rngAMActive,1,rngEngine_F,"OK",rngBookings_F,"&lt;&gt;Cancelled")-1),0)+IF('_Dates'!AD640=1,MAX(0,COUNTIFS(rngEngine_B,B640,rngPMStart,"&lt;="&amp;'_Dates'!Z640,rngPMEnd,"&gt;="&amp;'_Dates'!Y640,rngPMActive,1,rngEngine_F,"OK",rngBookings_F,"&lt;&gt;Cancelled")-1),0))</ns0:f>
        <ns0:v>0</ns0:v>
      </ns0:c>
      <ns0:c r="K640" s="0" t="str">
        <ns0:f>IF(A640=0,"",IF(F640&lt;&gt;"OK",F640,IF(J640&gt;0,"CHECK overlapping entry",IF(AND($B$6=0,G640&lt;=0,Bookings!G640&lt;&gt;"Cancelled"),"CHECK no working days",IF(Bookings!G640="Cancelled","Cancelled","OK")))))</ns0:f>
        <ns0:v/>
      </ns0:c>
      <ns0:c r="L640" s="0">
        <ns0:f>IF(LEFT(K640,5)="CHECK",1,0)</ns0:f>
        <ns0:v>0</ns0:v>
      </ns0:c>
      <ns0:c r="M640" s="0">
        <ns0:f>IF(AND(L640=1,OR(C640=0,IFERROR(INDEX($X$11:$X$60,C640),0)=0)),1,0)</ns0:f>
        <ns0:v>0</ns0:v>
      </ns0:c>
      <ns0:c r="N640" s="0">
        <ns0:f>IF(OR(A640=0,L640&gt;0,$B$6&gt;0,Bookings!G640="Cancelled"),0,G640)</ns0:f>
        <ns0:v>0</ns0:v>
      </ns0:c>
      <ns0:c r="O640" s="0">
        <ns0:f>IF(AND(Bookings!G640="Approved",E640="Yes"),N640,0)</ns0:f>
        <ns0:v>0</ns0:v>
      </ns0:c>
      <ns0:c r="P640" s="0">
        <ns0:f>IF(AND(Bookings!G640="Approved",E640="Yes",L640=0,$B$6=0),H640,0)</ns0:f>
        <ns0:v>0</ns0:v>
      </ns0:c>
      <ns0:c r="Q640" s="0">
        <ns0:f>IF(AND(Bookings!G640="Approved",E640="Yes",L640=0,$B$6=0),I640,0)</ns0:f>
        <ns0:v>0</ns0:v>
      </ns0:c>
      <ns0:c r="R640" s="0">
        <ns0:f>IF(AND(Bookings!G640="Pending",E640="Yes"),N640,0)</ns0:f>
        <ns0:v>0</ns0:v>
      </ns0:c>
      <ns0:c r="S640" s="0">
        <ns0:f>IF(AND(Bookings!G640="Approved",E640="No"),N640,0)</ns0:f>
        <ns0:v>0</ns0:v>
      </ns0:c>
      <ns0:c r="T640" s="0">
        <ns0:f>IFERROR(MATCH(D640,Settings!$G$7:$G$11,0),0)</ns0:f>
        <ns0:v>0</ns0:v>
      </ns0:c>
      <ns0:c r="U640" s="0">
        <ns0:f>IF(N640&gt;0,T640+IF(Bookings!G640="Pending",10,0),0)</ns0:f>
        <ns0:v>0</ns0:v>
      </ns0:c>
      <ns0:c r="V640" s="0">
        <ns0:f>U640</ns0:f>
        <ns0:v>0</ns0:v>
      </ns0:c>
      <ns0:c r="W640" s="0" t="str">
        <ns0:f>IF(C640=0,"",INDEX($AP$11:$AP$60,C640))</ns0:f>
        <ns0:v/>
      </ns0:c>
    </ns0:row>
    <ns0:row r="641">
      <ns0:c r="A641" s="0">
        <ns0:f>IF(COUNTA(Bookings!A641:G641,Bookings!I641)=0,0,1)</ns0:f>
        <ns0:v>0</ns0:v>
      </ns0:c>
      <ns0:c r="B641" s="0" t="str">
        <ns0:f>IFERROR(TRIM(MID(Bookings!A641,FIND(" · ",Bookings!A641)+3,99)),"")</ns0:f>
        <ns0:v/>
      </ns0:c>
      <ns0:c r="C641" s="0">
        <ns0:f>IF(OR(B641="",LEN(B641)&gt;24,ISNUMBER(FIND(" ",B641)),ISNUMBER(FIND("*",B641)),ISNUMBER(FIND("?",B641)),ISNUMBER(FIND("~",B641))),0,IFERROR(MATCH(B641,Team!$A$11:$A$60,0),0))</ns0:f>
        <ns0:v>0</ns0:v>
      </ns0:c>
      <ns0:c r="D641" s="0" t="str">
        <ns0:f>IFERROR(IF(MID(Bookings!F641,LEN(Bookings!F641)-3,3)=" · ",RIGHT(Bookings!F641,1),""),"")</ns0:f>
        <ns0:v/>
      </ns0:c>
      <ns0:c r="E641" s="0" t="str">
        <ns0:f>IFERROR(INDEX(Settings!$H$7:$H$11,MATCH(D641,Settings!$G$7:$G$11,0)),"")</ns0:f>
        <ns0:v/>
      </ns0:c>
      <ns0:c r="F641" s="0" t="str">
        <ns0:f>IF(A641=0,"",IFERROR(IF(OR(B641="",C641=0),"CHECK employee selection",IF(INDEX(Team!$O$11:$O$60,C641)&lt;&gt;"OK","CHECK employee setup",IF(OR('_Dates'!J641=0,'_Dates'!T641=0),"CHECK date: use DD.MM.YYYY",IF('_Dates'!T641&lt;'_Dates'!J641,"CHECK end before start",IF(AND($B$6=0,OR('_Dates'!J641&lt;Settings!$B$7,'_Dates'!T641&gt;Settings!$B$8)),"CHECK split across leave years",IF(OR(NOT(OR('_Dates'!U641="Full day",'_Dates'!U641="AM",'_Dates'!U641="PM")),NOT(OR('_Dates'!V641="Full day",'_Dates'!V641="AM",'_Dates'!V641="PM"))),"CHECK Full day / AM / PM",IF(AND('_Dates'!J641='_Dates'!T641,'_Dates'!U641&lt;&gt;"Full day",'_Dates'!V641&lt;&gt;"Full day",'_Dates'!U641&lt;&gt;'_Dates'!V641),"CHECK same-day portions disagree",IF(AND($B$6=0,OR(AND('_Dates'!U641&lt;&gt;"Full day",'_Dates'!AA641=0),AND('_Dates'!V641&lt;&gt;"Full day",'_Dates'!AB641=0))),"CHECK half-day on non-working date",IF(COUNTIF(Settings!$G$7:$G$11,D641)&lt;&gt;1,"CHECK leave type",IF(AND(Bookings!G641&lt;&gt;"Approved",Bookings!G641&lt;&gt;"Pending",Bookings!G641&lt;&gt;"Cancelled"),"CHECK status","OK")))))))))),"CHECK input"))</ns0:f>
        <ns0:v/>
      </ns0:c>
      <ns0:c r="G641" s="0">
        <ns0:f>IF(OR(F641&lt;&gt;"OK",$B$6&gt;0),0,0.5*(IF(('_Dates'!X641)&lt;('_Dates'!W641),0,INT((('_Dates'!X641)-('_Dates'!W641)+1)/7)*LEN(SUBSTITUTE(W641,"O",""))+LEN(SUBSTITUTE(MID(W641&amp;W641,WEEKDAY(('_Dates'!W641),2),MOD((('_Dates'!X641)-('_Dates'!W641)+1),7)),"O",""))-COUNTIFS(INDEX(AllClosureRows,C641,0),"&gt;="&amp;('_Dates'!W641),INDEX(AllClosureRows,C641,0),"&lt;="&amp;('_Dates'!X641)))+IF(('_Dates'!Z641)&lt;('_Dates'!Y641),0,INT((('_Dates'!Z641)-('_Dates'!Y641)+1)/7)*LEN(SUBSTITUTE(W641,"O",""))+LEN(SUBSTITUTE(MID(W641&amp;W641,WEEKDAY(('_Dates'!Y641),2),MOD((('_Dates'!Z641)-('_Dates'!Y641)+1),7)),"O",""))-COUNTIFS(INDEX(AllClosureRows,C641,0),"&gt;="&amp;('_Dates'!Y641),INDEX(AllClosureRows,C641,0),"&lt;="&amp;('_Dates'!Z641)))))</ns0:f>
        <ns0:v>0</ns0:v>
      </ns0:c>
      <ns0:c r="H641" s="0">
        <ns0:f>IF(OR(F641&lt;&gt;"OK",$B$6&gt;0),0,0.5*(IF((MIN('_Dates'!X641,Settings!$B$9))&lt;('_Dates'!W641),0,INT(((MIN('_Dates'!X641,Settings!$B$9))-('_Dates'!W641)+1)/7)*LEN(SUBSTITUTE(W641,"O",""))+LEN(SUBSTITUTE(MID(W641&amp;W641,WEEKDAY(('_Dates'!W641),2),MOD(((MIN('_Dates'!X641,Settings!$B$9))-('_Dates'!W641)+1),7)),"O",""))-COUNTIFS(INDEX(AllClosureRows,C641,0),"&gt;="&amp;('_Dates'!W641),INDEX(AllClosureRows,C641,0),"&lt;="&amp;(MIN('_Dates'!X641,Settings!$B$9))))+IF((MIN('_Dates'!Z641,Settings!$B$9))&lt;('_Dates'!Y641),0,INT(((MIN('_Dates'!Z641,Settings!$B$9))-('_Dates'!Y641)+1)/7)*LEN(SUBSTITUTE(W641,"O",""))+LEN(SUBSTITUTE(MID(W641&amp;W641,WEEKDAY(('_Dates'!Y641),2),MOD(((MIN('_Dates'!Z641,Settings!$B$9))-('_Dates'!Y641)+1),7)),"O",""))-COUNTIFS(INDEX(AllClosureRows,C641,0),"&gt;="&amp;('_Dates'!Y641),INDEX(AllClosureRows,C641,0),"&lt;="&amp;(MIN('_Dates'!Z641,Settings!$B$9))))))</ns0:f>
        <ns0:v>0</ns0:v>
      </ns0:c>
      <ns0:c r="I641" s="0">
        <ns0:f>MAX(0,G641-H641)</ns0:f>
        <ns0:v>0</ns0:v>
      </ns0:c>
      <ns0:c r="J641" s="0">
        <ns0:f>IF(OR(A641=0,F641&lt;&gt;"OK",Bookings!G641="Cancelled",$B$6&gt;0),0,IF('_Dates'!AC641=1,MAX(0,COUNTIFS(rngEngine_B,B641,rngAMStart,"&lt;="&amp;'_Dates'!X641,rngAMEnd,"&gt;="&amp;'_Dates'!W641,rngAMActive,1,rngEngine_F,"OK",rngBookings_F,"&lt;&gt;Cancelled")-1),0)+IF('_Dates'!AD641=1,MAX(0,COUNTIFS(rngEngine_B,B641,rngPMStart,"&lt;="&amp;'_Dates'!Z641,rngPMEnd,"&gt;="&amp;'_Dates'!Y641,rngPMActive,1,rngEngine_F,"OK",rngBookings_F,"&lt;&gt;Cancelled")-1),0))</ns0:f>
        <ns0:v>0</ns0:v>
      </ns0:c>
      <ns0:c r="K641" s="0" t="str">
        <ns0:f>IF(A641=0,"",IF(F641&lt;&gt;"OK",F641,IF(J641&gt;0,"CHECK overlapping entry",IF(AND($B$6=0,G641&lt;=0,Bookings!G641&lt;&gt;"Cancelled"),"CHECK no working days",IF(Bookings!G641="Cancelled","Cancelled","OK")))))</ns0:f>
        <ns0:v/>
      </ns0:c>
      <ns0:c r="L641" s="0">
        <ns0:f>IF(LEFT(K641,5)="CHECK",1,0)</ns0:f>
        <ns0:v>0</ns0:v>
      </ns0:c>
      <ns0:c r="M641" s="0">
        <ns0:f>IF(AND(L641=1,OR(C641=0,IFERROR(INDEX($X$11:$X$60,C641),0)=0)),1,0)</ns0:f>
        <ns0:v>0</ns0:v>
      </ns0:c>
      <ns0:c r="N641" s="0">
        <ns0:f>IF(OR(A641=0,L641&gt;0,$B$6&gt;0,Bookings!G641="Cancelled"),0,G641)</ns0:f>
        <ns0:v>0</ns0:v>
      </ns0:c>
      <ns0:c r="O641" s="0">
        <ns0:f>IF(AND(Bookings!G641="Approved",E641="Yes"),N641,0)</ns0:f>
        <ns0:v>0</ns0:v>
      </ns0:c>
      <ns0:c r="P641" s="0">
        <ns0:f>IF(AND(Bookings!G641="Approved",E641="Yes",L641=0,$B$6=0),H641,0)</ns0:f>
        <ns0:v>0</ns0:v>
      </ns0:c>
      <ns0:c r="Q641" s="0">
        <ns0:f>IF(AND(Bookings!G641="Approved",E641="Yes",L641=0,$B$6=0),I641,0)</ns0:f>
        <ns0:v>0</ns0:v>
      </ns0:c>
      <ns0:c r="R641" s="0">
        <ns0:f>IF(AND(Bookings!G641="Pending",E641="Yes"),N641,0)</ns0:f>
        <ns0:v>0</ns0:v>
      </ns0:c>
      <ns0:c r="S641" s="0">
        <ns0:f>IF(AND(Bookings!G641="Approved",E641="No"),N641,0)</ns0:f>
        <ns0:v>0</ns0:v>
      </ns0:c>
      <ns0:c r="T641" s="0">
        <ns0:f>IFERROR(MATCH(D641,Settings!$G$7:$G$11,0),0)</ns0:f>
        <ns0:v>0</ns0:v>
      </ns0:c>
      <ns0:c r="U641" s="0">
        <ns0:f>IF(N641&gt;0,T641+IF(Bookings!G641="Pending",10,0),0)</ns0:f>
        <ns0:v>0</ns0:v>
      </ns0:c>
      <ns0:c r="V641" s="0">
        <ns0:f>U641</ns0:f>
        <ns0:v>0</ns0:v>
      </ns0:c>
      <ns0:c r="W641" s="0" t="str">
        <ns0:f>IF(C641=0,"",INDEX($AP$11:$AP$60,C641))</ns0:f>
        <ns0:v/>
      </ns0:c>
    </ns0:row>
    <ns0:row r="642">
      <ns0:c r="A642" s="0">
        <ns0:f>IF(COUNTA(Bookings!A642:G642,Bookings!I642)=0,0,1)</ns0:f>
        <ns0:v>0</ns0:v>
      </ns0:c>
      <ns0:c r="B642" s="0" t="str">
        <ns0:f>IFERROR(TRIM(MID(Bookings!A642,FIND(" · ",Bookings!A642)+3,99)),"")</ns0:f>
        <ns0:v/>
      </ns0:c>
      <ns0:c r="C642" s="0">
        <ns0:f>IF(OR(B642="",LEN(B642)&gt;24,ISNUMBER(FIND(" ",B642)),ISNUMBER(FIND("*",B642)),ISNUMBER(FIND("?",B642)),ISNUMBER(FIND("~",B642))),0,IFERROR(MATCH(B642,Team!$A$11:$A$60,0),0))</ns0:f>
        <ns0:v>0</ns0:v>
      </ns0:c>
      <ns0:c r="D642" s="0" t="str">
        <ns0:f>IFERROR(IF(MID(Bookings!F642,LEN(Bookings!F642)-3,3)=" · ",RIGHT(Bookings!F642,1),""),"")</ns0:f>
        <ns0:v/>
      </ns0:c>
      <ns0:c r="E642" s="0" t="str">
        <ns0:f>IFERROR(INDEX(Settings!$H$7:$H$11,MATCH(D642,Settings!$G$7:$G$11,0)),"")</ns0:f>
        <ns0:v/>
      </ns0:c>
      <ns0:c r="F642" s="0" t="str">
        <ns0:f>IF(A642=0,"",IFERROR(IF(OR(B642="",C642=0),"CHECK employee selection",IF(INDEX(Team!$O$11:$O$60,C642)&lt;&gt;"OK","CHECK employee setup",IF(OR('_Dates'!J642=0,'_Dates'!T642=0),"CHECK date: use DD.MM.YYYY",IF('_Dates'!T642&lt;'_Dates'!J642,"CHECK end before start",IF(AND($B$6=0,OR('_Dates'!J642&lt;Settings!$B$7,'_Dates'!T642&gt;Settings!$B$8)),"CHECK split across leave years",IF(OR(NOT(OR('_Dates'!U642="Full day",'_Dates'!U642="AM",'_Dates'!U642="PM")),NOT(OR('_Dates'!V642="Full day",'_Dates'!V642="AM",'_Dates'!V642="PM"))),"CHECK Full day / AM / PM",IF(AND('_Dates'!J642='_Dates'!T642,'_Dates'!U642&lt;&gt;"Full day",'_Dates'!V642&lt;&gt;"Full day",'_Dates'!U642&lt;&gt;'_Dates'!V642),"CHECK same-day portions disagree",IF(AND($B$6=0,OR(AND('_Dates'!U642&lt;&gt;"Full day",'_Dates'!AA642=0),AND('_Dates'!V642&lt;&gt;"Full day",'_Dates'!AB642=0))),"CHECK half-day on non-working date",IF(COUNTIF(Settings!$G$7:$G$11,D642)&lt;&gt;1,"CHECK leave type",IF(AND(Bookings!G642&lt;&gt;"Approved",Bookings!G642&lt;&gt;"Pending",Bookings!G642&lt;&gt;"Cancelled"),"CHECK status","OK")))))))))),"CHECK input"))</ns0:f>
        <ns0:v/>
      </ns0:c>
      <ns0:c r="G642" s="0">
        <ns0:f>IF(OR(F642&lt;&gt;"OK",$B$6&gt;0),0,0.5*(IF(('_Dates'!X642)&lt;('_Dates'!W642),0,INT((('_Dates'!X642)-('_Dates'!W642)+1)/7)*LEN(SUBSTITUTE(W642,"O",""))+LEN(SUBSTITUTE(MID(W642&amp;W642,WEEKDAY(('_Dates'!W642),2),MOD((('_Dates'!X642)-('_Dates'!W642)+1),7)),"O",""))-COUNTIFS(INDEX(AllClosureRows,C642,0),"&gt;="&amp;('_Dates'!W642),INDEX(AllClosureRows,C642,0),"&lt;="&amp;('_Dates'!X642)))+IF(('_Dates'!Z642)&lt;('_Dates'!Y642),0,INT((('_Dates'!Z642)-('_Dates'!Y642)+1)/7)*LEN(SUBSTITUTE(W642,"O",""))+LEN(SUBSTITUTE(MID(W642&amp;W642,WEEKDAY(('_Dates'!Y642),2),MOD((('_Dates'!Z642)-('_Dates'!Y642)+1),7)),"O",""))-COUNTIFS(INDEX(AllClosureRows,C642,0),"&gt;="&amp;('_Dates'!Y642),INDEX(AllClosureRows,C642,0),"&lt;="&amp;('_Dates'!Z642)))))</ns0:f>
        <ns0:v>0</ns0:v>
      </ns0:c>
      <ns0:c r="H642" s="0">
        <ns0:f>IF(OR(F642&lt;&gt;"OK",$B$6&gt;0),0,0.5*(IF((MIN('_Dates'!X642,Settings!$B$9))&lt;('_Dates'!W642),0,INT(((MIN('_Dates'!X642,Settings!$B$9))-('_Dates'!W642)+1)/7)*LEN(SUBSTITUTE(W642,"O",""))+LEN(SUBSTITUTE(MID(W642&amp;W642,WEEKDAY(('_Dates'!W642),2),MOD(((MIN('_Dates'!X642,Settings!$B$9))-('_Dates'!W642)+1),7)),"O",""))-COUNTIFS(INDEX(AllClosureRows,C642,0),"&gt;="&amp;('_Dates'!W642),INDEX(AllClosureRows,C642,0),"&lt;="&amp;(MIN('_Dates'!X642,Settings!$B$9))))+IF((MIN('_Dates'!Z642,Settings!$B$9))&lt;('_Dates'!Y642),0,INT(((MIN('_Dates'!Z642,Settings!$B$9))-('_Dates'!Y642)+1)/7)*LEN(SUBSTITUTE(W642,"O",""))+LEN(SUBSTITUTE(MID(W642&amp;W642,WEEKDAY(('_Dates'!Y642),2),MOD(((MIN('_Dates'!Z642,Settings!$B$9))-('_Dates'!Y642)+1),7)),"O",""))-COUNTIFS(INDEX(AllClosureRows,C642,0),"&gt;="&amp;('_Dates'!Y642),INDEX(AllClosureRows,C642,0),"&lt;="&amp;(MIN('_Dates'!Z642,Settings!$B$9))))))</ns0:f>
        <ns0:v>0</ns0:v>
      </ns0:c>
      <ns0:c r="I642" s="0">
        <ns0:f>MAX(0,G642-H642)</ns0:f>
        <ns0:v>0</ns0:v>
      </ns0:c>
      <ns0:c r="J642" s="0">
        <ns0:f>IF(OR(A642=0,F642&lt;&gt;"OK",Bookings!G642="Cancelled",$B$6&gt;0),0,IF('_Dates'!AC642=1,MAX(0,COUNTIFS(rngEngine_B,B642,rngAMStart,"&lt;="&amp;'_Dates'!X642,rngAMEnd,"&gt;="&amp;'_Dates'!W642,rngAMActive,1,rngEngine_F,"OK",rngBookings_F,"&lt;&gt;Cancelled")-1),0)+IF('_Dates'!AD642=1,MAX(0,COUNTIFS(rngEngine_B,B642,rngPMStart,"&lt;="&amp;'_Dates'!Z642,rngPMEnd,"&gt;="&amp;'_Dates'!Y642,rngPMActive,1,rngEngine_F,"OK",rngBookings_F,"&lt;&gt;Cancelled")-1),0))</ns0:f>
        <ns0:v>0</ns0:v>
      </ns0:c>
      <ns0:c r="K642" s="0" t="str">
        <ns0:f>IF(A642=0,"",IF(F642&lt;&gt;"OK",F642,IF(J642&gt;0,"CHECK overlapping entry",IF(AND($B$6=0,G642&lt;=0,Bookings!G642&lt;&gt;"Cancelled"),"CHECK no working days",IF(Bookings!G642="Cancelled","Cancelled","OK")))))</ns0:f>
        <ns0:v/>
      </ns0:c>
      <ns0:c r="L642" s="0">
        <ns0:f>IF(LEFT(K642,5)="CHECK",1,0)</ns0:f>
        <ns0:v>0</ns0:v>
      </ns0:c>
      <ns0:c r="M642" s="0">
        <ns0:f>IF(AND(L642=1,OR(C642=0,IFERROR(INDEX($X$11:$X$60,C642),0)=0)),1,0)</ns0:f>
        <ns0:v>0</ns0:v>
      </ns0:c>
      <ns0:c r="N642" s="0">
        <ns0:f>IF(OR(A642=0,L642&gt;0,$B$6&gt;0,Bookings!G642="Cancelled"),0,G642)</ns0:f>
        <ns0:v>0</ns0:v>
      </ns0:c>
      <ns0:c r="O642" s="0">
        <ns0:f>IF(AND(Bookings!G642="Approved",E642="Yes"),N642,0)</ns0:f>
        <ns0:v>0</ns0:v>
      </ns0:c>
      <ns0:c r="P642" s="0">
        <ns0:f>IF(AND(Bookings!G642="Approved",E642="Yes",L642=0,$B$6=0),H642,0)</ns0:f>
        <ns0:v>0</ns0:v>
      </ns0:c>
      <ns0:c r="Q642" s="0">
        <ns0:f>IF(AND(Bookings!G642="Approved",E642="Yes",L642=0,$B$6=0),I642,0)</ns0:f>
        <ns0:v>0</ns0:v>
      </ns0:c>
      <ns0:c r="R642" s="0">
        <ns0:f>IF(AND(Bookings!G642="Pending",E642="Yes"),N642,0)</ns0:f>
        <ns0:v>0</ns0:v>
      </ns0:c>
      <ns0:c r="S642" s="0">
        <ns0:f>IF(AND(Bookings!G642="Approved",E642="No"),N642,0)</ns0:f>
        <ns0:v>0</ns0:v>
      </ns0:c>
      <ns0:c r="T642" s="0">
        <ns0:f>IFERROR(MATCH(D642,Settings!$G$7:$G$11,0),0)</ns0:f>
        <ns0:v>0</ns0:v>
      </ns0:c>
      <ns0:c r="U642" s="0">
        <ns0:f>IF(N642&gt;0,T642+IF(Bookings!G642="Pending",10,0),0)</ns0:f>
        <ns0:v>0</ns0:v>
      </ns0:c>
      <ns0:c r="V642" s="0">
        <ns0:f>U642</ns0:f>
        <ns0:v>0</ns0:v>
      </ns0:c>
      <ns0:c r="W642" s="0" t="str">
        <ns0:f>IF(C642=0,"",INDEX($AP$11:$AP$60,C642))</ns0:f>
        <ns0:v/>
      </ns0:c>
    </ns0:row>
    <ns0:row r="643">
      <ns0:c r="A643" s="0">
        <ns0:f>IF(COUNTA(Bookings!A643:G643,Bookings!I643)=0,0,1)</ns0:f>
        <ns0:v>0</ns0:v>
      </ns0:c>
      <ns0:c r="B643" s="0" t="str">
        <ns0:f>IFERROR(TRIM(MID(Bookings!A643,FIND(" · ",Bookings!A643)+3,99)),"")</ns0:f>
        <ns0:v/>
      </ns0:c>
      <ns0:c r="C643" s="0">
        <ns0:f>IF(OR(B643="",LEN(B643)&gt;24,ISNUMBER(FIND(" ",B643)),ISNUMBER(FIND("*",B643)),ISNUMBER(FIND("?",B643)),ISNUMBER(FIND("~",B643))),0,IFERROR(MATCH(B643,Team!$A$11:$A$60,0),0))</ns0:f>
        <ns0:v>0</ns0:v>
      </ns0:c>
      <ns0:c r="D643" s="0" t="str">
        <ns0:f>IFERROR(IF(MID(Bookings!F643,LEN(Bookings!F643)-3,3)=" · ",RIGHT(Bookings!F643,1),""),"")</ns0:f>
        <ns0:v/>
      </ns0:c>
      <ns0:c r="E643" s="0" t="str">
        <ns0:f>IFERROR(INDEX(Settings!$H$7:$H$11,MATCH(D643,Settings!$G$7:$G$11,0)),"")</ns0:f>
        <ns0:v/>
      </ns0:c>
      <ns0:c r="F643" s="0" t="str">
        <ns0:f>IF(A643=0,"",IFERROR(IF(OR(B643="",C643=0),"CHECK employee selection",IF(INDEX(Team!$O$11:$O$60,C643)&lt;&gt;"OK","CHECK employee setup",IF(OR('_Dates'!J643=0,'_Dates'!T643=0),"CHECK date: use DD.MM.YYYY",IF('_Dates'!T643&lt;'_Dates'!J643,"CHECK end before start",IF(AND($B$6=0,OR('_Dates'!J643&lt;Settings!$B$7,'_Dates'!T643&gt;Settings!$B$8)),"CHECK split across leave years",IF(OR(NOT(OR('_Dates'!U643="Full day",'_Dates'!U643="AM",'_Dates'!U643="PM")),NOT(OR('_Dates'!V643="Full day",'_Dates'!V643="AM",'_Dates'!V643="PM"))),"CHECK Full day / AM / PM",IF(AND('_Dates'!J643='_Dates'!T643,'_Dates'!U643&lt;&gt;"Full day",'_Dates'!V643&lt;&gt;"Full day",'_Dates'!U643&lt;&gt;'_Dates'!V643),"CHECK same-day portions disagree",IF(AND($B$6=0,OR(AND('_Dates'!U643&lt;&gt;"Full day",'_Dates'!AA643=0),AND('_Dates'!V643&lt;&gt;"Full day",'_Dates'!AB643=0))),"CHECK half-day on non-working date",IF(COUNTIF(Settings!$G$7:$G$11,D643)&lt;&gt;1,"CHECK leave type",IF(AND(Bookings!G643&lt;&gt;"Approved",Bookings!G643&lt;&gt;"Pending",Bookings!G643&lt;&gt;"Cancelled"),"CHECK status","OK")))))))))),"CHECK input"))</ns0:f>
        <ns0:v/>
      </ns0:c>
      <ns0:c r="G643" s="0">
        <ns0:f>IF(OR(F643&lt;&gt;"OK",$B$6&gt;0),0,0.5*(IF(('_Dates'!X643)&lt;('_Dates'!W643),0,INT((('_Dates'!X643)-('_Dates'!W643)+1)/7)*LEN(SUBSTITUTE(W643,"O",""))+LEN(SUBSTITUTE(MID(W643&amp;W643,WEEKDAY(('_Dates'!W643),2),MOD((('_Dates'!X643)-('_Dates'!W643)+1),7)),"O",""))-COUNTIFS(INDEX(AllClosureRows,C643,0),"&gt;="&amp;('_Dates'!W643),INDEX(AllClosureRows,C643,0),"&lt;="&amp;('_Dates'!X643)))+IF(('_Dates'!Z643)&lt;('_Dates'!Y643),0,INT((('_Dates'!Z643)-('_Dates'!Y643)+1)/7)*LEN(SUBSTITUTE(W643,"O",""))+LEN(SUBSTITUTE(MID(W643&amp;W643,WEEKDAY(('_Dates'!Y643),2),MOD((('_Dates'!Z643)-('_Dates'!Y643)+1),7)),"O",""))-COUNTIFS(INDEX(AllClosureRows,C643,0),"&gt;="&amp;('_Dates'!Y643),INDEX(AllClosureRows,C643,0),"&lt;="&amp;('_Dates'!Z643)))))</ns0:f>
        <ns0:v>0</ns0:v>
      </ns0:c>
      <ns0:c r="H643" s="0">
        <ns0:f>IF(OR(F643&lt;&gt;"OK",$B$6&gt;0),0,0.5*(IF((MIN('_Dates'!X643,Settings!$B$9))&lt;('_Dates'!W643),0,INT(((MIN('_Dates'!X643,Settings!$B$9))-('_Dates'!W643)+1)/7)*LEN(SUBSTITUTE(W643,"O",""))+LEN(SUBSTITUTE(MID(W643&amp;W643,WEEKDAY(('_Dates'!W643),2),MOD(((MIN('_Dates'!X643,Settings!$B$9))-('_Dates'!W643)+1),7)),"O",""))-COUNTIFS(INDEX(AllClosureRows,C643,0),"&gt;="&amp;('_Dates'!W643),INDEX(AllClosureRows,C643,0),"&lt;="&amp;(MIN('_Dates'!X643,Settings!$B$9))))+IF((MIN('_Dates'!Z643,Settings!$B$9))&lt;('_Dates'!Y643),0,INT(((MIN('_Dates'!Z643,Settings!$B$9))-('_Dates'!Y643)+1)/7)*LEN(SUBSTITUTE(W643,"O",""))+LEN(SUBSTITUTE(MID(W643&amp;W643,WEEKDAY(('_Dates'!Y643),2),MOD(((MIN('_Dates'!Z643,Settings!$B$9))-('_Dates'!Y643)+1),7)),"O",""))-COUNTIFS(INDEX(AllClosureRows,C643,0),"&gt;="&amp;('_Dates'!Y643),INDEX(AllClosureRows,C643,0),"&lt;="&amp;(MIN('_Dates'!Z643,Settings!$B$9))))))</ns0:f>
        <ns0:v>0</ns0:v>
      </ns0:c>
      <ns0:c r="I643" s="0">
        <ns0:f>MAX(0,G643-H643)</ns0:f>
        <ns0:v>0</ns0:v>
      </ns0:c>
      <ns0:c r="J643" s="0">
        <ns0:f>IF(OR(A643=0,F643&lt;&gt;"OK",Bookings!G643="Cancelled",$B$6&gt;0),0,IF('_Dates'!AC643=1,MAX(0,COUNTIFS(rngEngine_B,B643,rngAMStart,"&lt;="&amp;'_Dates'!X643,rngAMEnd,"&gt;="&amp;'_Dates'!W643,rngAMActive,1,rngEngine_F,"OK",rngBookings_F,"&lt;&gt;Cancelled")-1),0)+IF('_Dates'!AD643=1,MAX(0,COUNTIFS(rngEngine_B,B643,rngPMStart,"&lt;="&amp;'_Dates'!Z643,rngPMEnd,"&gt;="&amp;'_Dates'!Y643,rngPMActive,1,rngEngine_F,"OK",rngBookings_F,"&lt;&gt;Cancelled")-1),0))</ns0:f>
        <ns0:v>0</ns0:v>
      </ns0:c>
      <ns0:c r="K643" s="0" t="str">
        <ns0:f>IF(A643=0,"",IF(F643&lt;&gt;"OK",F643,IF(J643&gt;0,"CHECK overlapping entry",IF(AND($B$6=0,G643&lt;=0,Bookings!G643&lt;&gt;"Cancelled"),"CHECK no working days",IF(Bookings!G643="Cancelled","Cancelled","OK")))))</ns0:f>
        <ns0:v/>
      </ns0:c>
      <ns0:c r="L643" s="0">
        <ns0:f>IF(LEFT(K643,5)="CHECK",1,0)</ns0:f>
        <ns0:v>0</ns0:v>
      </ns0:c>
      <ns0:c r="M643" s="0">
        <ns0:f>IF(AND(L643=1,OR(C643=0,IFERROR(INDEX($X$11:$X$60,C643),0)=0)),1,0)</ns0:f>
        <ns0:v>0</ns0:v>
      </ns0:c>
      <ns0:c r="N643" s="0">
        <ns0:f>IF(OR(A643=0,L643&gt;0,$B$6&gt;0,Bookings!G643="Cancelled"),0,G643)</ns0:f>
        <ns0:v>0</ns0:v>
      </ns0:c>
      <ns0:c r="O643" s="0">
        <ns0:f>IF(AND(Bookings!G643="Approved",E643="Yes"),N643,0)</ns0:f>
        <ns0:v>0</ns0:v>
      </ns0:c>
      <ns0:c r="P643" s="0">
        <ns0:f>IF(AND(Bookings!G643="Approved",E643="Yes",L643=0,$B$6=0),H643,0)</ns0:f>
        <ns0:v>0</ns0:v>
      </ns0:c>
      <ns0:c r="Q643" s="0">
        <ns0:f>IF(AND(Bookings!G643="Approved",E643="Yes",L643=0,$B$6=0),I643,0)</ns0:f>
        <ns0:v>0</ns0:v>
      </ns0:c>
      <ns0:c r="R643" s="0">
        <ns0:f>IF(AND(Bookings!G643="Pending",E643="Yes"),N643,0)</ns0:f>
        <ns0:v>0</ns0:v>
      </ns0:c>
      <ns0:c r="S643" s="0">
        <ns0:f>IF(AND(Bookings!G643="Approved",E643="No"),N643,0)</ns0:f>
        <ns0:v>0</ns0:v>
      </ns0:c>
      <ns0:c r="T643" s="0">
        <ns0:f>IFERROR(MATCH(D643,Settings!$G$7:$G$11,0),0)</ns0:f>
        <ns0:v>0</ns0:v>
      </ns0:c>
      <ns0:c r="U643" s="0">
        <ns0:f>IF(N643&gt;0,T643+IF(Bookings!G643="Pending",10,0),0)</ns0:f>
        <ns0:v>0</ns0:v>
      </ns0:c>
      <ns0:c r="V643" s="0">
        <ns0:f>U643</ns0:f>
        <ns0:v>0</ns0:v>
      </ns0:c>
      <ns0:c r="W643" s="0" t="str">
        <ns0:f>IF(C643=0,"",INDEX($AP$11:$AP$60,C643))</ns0:f>
        <ns0:v/>
      </ns0:c>
    </ns0:row>
    <ns0:row r="644">
      <ns0:c r="A644" s="0">
        <ns0:f>IF(COUNTA(Bookings!A644:G644,Bookings!I644)=0,0,1)</ns0:f>
        <ns0:v>0</ns0:v>
      </ns0:c>
      <ns0:c r="B644" s="0" t="str">
        <ns0:f>IFERROR(TRIM(MID(Bookings!A644,FIND(" · ",Bookings!A644)+3,99)),"")</ns0:f>
        <ns0:v/>
      </ns0:c>
      <ns0:c r="C644" s="0">
        <ns0:f>IF(OR(B644="",LEN(B644)&gt;24,ISNUMBER(FIND(" ",B644)),ISNUMBER(FIND("*",B644)),ISNUMBER(FIND("?",B644)),ISNUMBER(FIND("~",B644))),0,IFERROR(MATCH(B644,Team!$A$11:$A$60,0),0))</ns0:f>
        <ns0:v>0</ns0:v>
      </ns0:c>
      <ns0:c r="D644" s="0" t="str">
        <ns0:f>IFERROR(IF(MID(Bookings!F644,LEN(Bookings!F644)-3,3)=" · ",RIGHT(Bookings!F644,1),""),"")</ns0:f>
        <ns0:v/>
      </ns0:c>
      <ns0:c r="E644" s="0" t="str">
        <ns0:f>IFERROR(INDEX(Settings!$H$7:$H$11,MATCH(D644,Settings!$G$7:$G$11,0)),"")</ns0:f>
        <ns0:v/>
      </ns0:c>
      <ns0:c r="F644" s="0" t="str">
        <ns0:f>IF(A644=0,"",IFERROR(IF(OR(B644="",C644=0),"CHECK employee selection",IF(INDEX(Team!$O$11:$O$60,C644)&lt;&gt;"OK","CHECK employee setup",IF(OR('_Dates'!J644=0,'_Dates'!T644=0),"CHECK date: use DD.MM.YYYY",IF('_Dates'!T644&lt;'_Dates'!J644,"CHECK end before start",IF(AND($B$6=0,OR('_Dates'!J644&lt;Settings!$B$7,'_Dates'!T644&gt;Settings!$B$8)),"CHECK split across leave years",IF(OR(NOT(OR('_Dates'!U644="Full day",'_Dates'!U644="AM",'_Dates'!U644="PM")),NOT(OR('_Dates'!V644="Full day",'_Dates'!V644="AM",'_Dates'!V644="PM"))),"CHECK Full day / AM / PM",IF(AND('_Dates'!J644='_Dates'!T644,'_Dates'!U644&lt;&gt;"Full day",'_Dates'!V644&lt;&gt;"Full day",'_Dates'!U644&lt;&gt;'_Dates'!V644),"CHECK same-day portions disagree",IF(AND($B$6=0,OR(AND('_Dates'!U644&lt;&gt;"Full day",'_Dates'!AA644=0),AND('_Dates'!V644&lt;&gt;"Full day",'_Dates'!AB644=0))),"CHECK half-day on non-working date",IF(COUNTIF(Settings!$G$7:$G$11,D644)&lt;&gt;1,"CHECK leave type",IF(AND(Bookings!G644&lt;&gt;"Approved",Bookings!G644&lt;&gt;"Pending",Bookings!G644&lt;&gt;"Cancelled"),"CHECK status","OK")))))))))),"CHECK input"))</ns0:f>
        <ns0:v/>
      </ns0:c>
      <ns0:c r="G644" s="0">
        <ns0:f>IF(OR(F644&lt;&gt;"OK",$B$6&gt;0),0,0.5*(IF(('_Dates'!X644)&lt;('_Dates'!W644),0,INT((('_Dates'!X644)-('_Dates'!W644)+1)/7)*LEN(SUBSTITUTE(W644,"O",""))+LEN(SUBSTITUTE(MID(W644&amp;W644,WEEKDAY(('_Dates'!W644),2),MOD((('_Dates'!X644)-('_Dates'!W644)+1),7)),"O",""))-COUNTIFS(INDEX(AllClosureRows,C644,0),"&gt;="&amp;('_Dates'!W644),INDEX(AllClosureRows,C644,0),"&lt;="&amp;('_Dates'!X644)))+IF(('_Dates'!Z644)&lt;('_Dates'!Y644),0,INT((('_Dates'!Z644)-('_Dates'!Y644)+1)/7)*LEN(SUBSTITUTE(W644,"O",""))+LEN(SUBSTITUTE(MID(W644&amp;W644,WEEKDAY(('_Dates'!Y644),2),MOD((('_Dates'!Z644)-('_Dates'!Y644)+1),7)),"O",""))-COUNTIFS(INDEX(AllClosureRows,C644,0),"&gt;="&amp;('_Dates'!Y644),INDEX(AllClosureRows,C644,0),"&lt;="&amp;('_Dates'!Z644)))))</ns0:f>
        <ns0:v>0</ns0:v>
      </ns0:c>
      <ns0:c r="H644" s="0">
        <ns0:f>IF(OR(F644&lt;&gt;"OK",$B$6&gt;0),0,0.5*(IF((MIN('_Dates'!X644,Settings!$B$9))&lt;('_Dates'!W644),0,INT(((MIN('_Dates'!X644,Settings!$B$9))-('_Dates'!W644)+1)/7)*LEN(SUBSTITUTE(W644,"O",""))+LEN(SUBSTITUTE(MID(W644&amp;W644,WEEKDAY(('_Dates'!W644),2),MOD(((MIN('_Dates'!X644,Settings!$B$9))-('_Dates'!W644)+1),7)),"O",""))-COUNTIFS(INDEX(AllClosureRows,C644,0),"&gt;="&amp;('_Dates'!W644),INDEX(AllClosureRows,C644,0),"&lt;="&amp;(MIN('_Dates'!X644,Settings!$B$9))))+IF((MIN('_Dates'!Z644,Settings!$B$9))&lt;('_Dates'!Y644),0,INT(((MIN('_Dates'!Z644,Settings!$B$9))-('_Dates'!Y644)+1)/7)*LEN(SUBSTITUTE(W644,"O",""))+LEN(SUBSTITUTE(MID(W644&amp;W644,WEEKDAY(('_Dates'!Y644),2),MOD(((MIN('_Dates'!Z644,Settings!$B$9))-('_Dates'!Y644)+1),7)),"O",""))-COUNTIFS(INDEX(AllClosureRows,C644,0),"&gt;="&amp;('_Dates'!Y644),INDEX(AllClosureRows,C644,0),"&lt;="&amp;(MIN('_Dates'!Z644,Settings!$B$9))))))</ns0:f>
        <ns0:v>0</ns0:v>
      </ns0:c>
      <ns0:c r="I644" s="0">
        <ns0:f>MAX(0,G644-H644)</ns0:f>
        <ns0:v>0</ns0:v>
      </ns0:c>
      <ns0:c r="J644" s="0">
        <ns0:f>IF(OR(A644=0,F644&lt;&gt;"OK",Bookings!G644="Cancelled",$B$6&gt;0),0,IF('_Dates'!AC644=1,MAX(0,COUNTIFS(rngEngine_B,B644,rngAMStart,"&lt;="&amp;'_Dates'!X644,rngAMEnd,"&gt;="&amp;'_Dates'!W644,rngAMActive,1,rngEngine_F,"OK",rngBookings_F,"&lt;&gt;Cancelled")-1),0)+IF('_Dates'!AD644=1,MAX(0,COUNTIFS(rngEngine_B,B644,rngPMStart,"&lt;="&amp;'_Dates'!Z644,rngPMEnd,"&gt;="&amp;'_Dates'!Y644,rngPMActive,1,rngEngine_F,"OK",rngBookings_F,"&lt;&gt;Cancelled")-1),0))</ns0:f>
        <ns0:v>0</ns0:v>
      </ns0:c>
      <ns0:c r="K644" s="0" t="str">
        <ns0:f>IF(A644=0,"",IF(F644&lt;&gt;"OK",F644,IF(J644&gt;0,"CHECK overlapping entry",IF(AND($B$6=0,G644&lt;=0,Bookings!G644&lt;&gt;"Cancelled"),"CHECK no working days",IF(Bookings!G644="Cancelled","Cancelled","OK")))))</ns0:f>
        <ns0:v/>
      </ns0:c>
      <ns0:c r="L644" s="0">
        <ns0:f>IF(LEFT(K644,5)="CHECK",1,0)</ns0:f>
        <ns0:v>0</ns0:v>
      </ns0:c>
      <ns0:c r="M644" s="0">
        <ns0:f>IF(AND(L644=1,OR(C644=0,IFERROR(INDEX($X$11:$X$60,C644),0)=0)),1,0)</ns0:f>
        <ns0:v>0</ns0:v>
      </ns0:c>
      <ns0:c r="N644" s="0">
        <ns0:f>IF(OR(A644=0,L644&gt;0,$B$6&gt;0,Bookings!G644="Cancelled"),0,G644)</ns0:f>
        <ns0:v>0</ns0:v>
      </ns0:c>
      <ns0:c r="O644" s="0">
        <ns0:f>IF(AND(Bookings!G644="Approved",E644="Yes"),N644,0)</ns0:f>
        <ns0:v>0</ns0:v>
      </ns0:c>
      <ns0:c r="P644" s="0">
        <ns0:f>IF(AND(Bookings!G644="Approved",E644="Yes",L644=0,$B$6=0),H644,0)</ns0:f>
        <ns0:v>0</ns0:v>
      </ns0:c>
      <ns0:c r="Q644" s="0">
        <ns0:f>IF(AND(Bookings!G644="Approved",E644="Yes",L644=0,$B$6=0),I644,0)</ns0:f>
        <ns0:v>0</ns0:v>
      </ns0:c>
      <ns0:c r="R644" s="0">
        <ns0:f>IF(AND(Bookings!G644="Pending",E644="Yes"),N644,0)</ns0:f>
        <ns0:v>0</ns0:v>
      </ns0:c>
      <ns0:c r="S644" s="0">
        <ns0:f>IF(AND(Bookings!G644="Approved",E644="No"),N644,0)</ns0:f>
        <ns0:v>0</ns0:v>
      </ns0:c>
      <ns0:c r="T644" s="0">
        <ns0:f>IFERROR(MATCH(D644,Settings!$G$7:$G$11,0),0)</ns0:f>
        <ns0:v>0</ns0:v>
      </ns0:c>
      <ns0:c r="U644" s="0">
        <ns0:f>IF(N644&gt;0,T644+IF(Bookings!G644="Pending",10,0),0)</ns0:f>
        <ns0:v>0</ns0:v>
      </ns0:c>
      <ns0:c r="V644" s="0">
        <ns0:f>U644</ns0:f>
        <ns0:v>0</ns0:v>
      </ns0:c>
      <ns0:c r="W644" s="0" t="str">
        <ns0:f>IF(C644=0,"",INDEX($AP$11:$AP$60,C644))</ns0:f>
        <ns0:v/>
      </ns0:c>
    </ns0:row>
    <ns0:row r="645">
      <ns0:c r="A645" s="0">
        <ns0:f>IF(COUNTA(Bookings!A645:G645,Bookings!I645)=0,0,1)</ns0:f>
        <ns0:v>0</ns0:v>
      </ns0:c>
      <ns0:c r="B645" s="0" t="str">
        <ns0:f>IFERROR(TRIM(MID(Bookings!A645,FIND(" · ",Bookings!A645)+3,99)),"")</ns0:f>
        <ns0:v/>
      </ns0:c>
      <ns0:c r="C645" s="0">
        <ns0:f>IF(OR(B645="",LEN(B645)&gt;24,ISNUMBER(FIND(" ",B645)),ISNUMBER(FIND("*",B645)),ISNUMBER(FIND("?",B645)),ISNUMBER(FIND("~",B645))),0,IFERROR(MATCH(B645,Team!$A$11:$A$60,0),0))</ns0:f>
        <ns0:v>0</ns0:v>
      </ns0:c>
      <ns0:c r="D645" s="0" t="str">
        <ns0:f>IFERROR(IF(MID(Bookings!F645,LEN(Bookings!F645)-3,3)=" · ",RIGHT(Bookings!F645,1),""),"")</ns0:f>
        <ns0:v/>
      </ns0:c>
      <ns0:c r="E645" s="0" t="str">
        <ns0:f>IFERROR(INDEX(Settings!$H$7:$H$11,MATCH(D645,Settings!$G$7:$G$11,0)),"")</ns0:f>
        <ns0:v/>
      </ns0:c>
      <ns0:c r="F645" s="0" t="str">
        <ns0:f>IF(A645=0,"",IFERROR(IF(OR(B645="",C645=0),"CHECK employee selection",IF(INDEX(Team!$O$11:$O$60,C645)&lt;&gt;"OK","CHECK employee setup",IF(OR('_Dates'!J645=0,'_Dates'!T645=0),"CHECK date: use DD.MM.YYYY",IF('_Dates'!T645&lt;'_Dates'!J645,"CHECK end before start",IF(AND($B$6=0,OR('_Dates'!J645&lt;Settings!$B$7,'_Dates'!T645&gt;Settings!$B$8)),"CHECK split across leave years",IF(OR(NOT(OR('_Dates'!U645="Full day",'_Dates'!U645="AM",'_Dates'!U645="PM")),NOT(OR('_Dates'!V645="Full day",'_Dates'!V645="AM",'_Dates'!V645="PM"))),"CHECK Full day / AM / PM",IF(AND('_Dates'!J645='_Dates'!T645,'_Dates'!U645&lt;&gt;"Full day",'_Dates'!V645&lt;&gt;"Full day",'_Dates'!U645&lt;&gt;'_Dates'!V645),"CHECK same-day portions disagree",IF(AND($B$6=0,OR(AND('_Dates'!U645&lt;&gt;"Full day",'_Dates'!AA645=0),AND('_Dates'!V645&lt;&gt;"Full day",'_Dates'!AB645=0))),"CHECK half-day on non-working date",IF(COUNTIF(Settings!$G$7:$G$11,D645)&lt;&gt;1,"CHECK leave type",IF(AND(Bookings!G645&lt;&gt;"Approved",Bookings!G645&lt;&gt;"Pending",Bookings!G645&lt;&gt;"Cancelled"),"CHECK status","OK")))))))))),"CHECK input"))</ns0:f>
        <ns0:v/>
      </ns0:c>
      <ns0:c r="G645" s="0">
        <ns0:f>IF(OR(F645&lt;&gt;"OK",$B$6&gt;0),0,0.5*(IF(('_Dates'!X645)&lt;('_Dates'!W645),0,INT((('_Dates'!X645)-('_Dates'!W645)+1)/7)*LEN(SUBSTITUTE(W645,"O",""))+LEN(SUBSTITUTE(MID(W645&amp;W645,WEEKDAY(('_Dates'!W645),2),MOD((('_Dates'!X645)-('_Dates'!W645)+1),7)),"O",""))-COUNTIFS(INDEX(AllClosureRows,C645,0),"&gt;="&amp;('_Dates'!W645),INDEX(AllClosureRows,C645,0),"&lt;="&amp;('_Dates'!X645)))+IF(('_Dates'!Z645)&lt;('_Dates'!Y645),0,INT((('_Dates'!Z645)-('_Dates'!Y645)+1)/7)*LEN(SUBSTITUTE(W645,"O",""))+LEN(SUBSTITUTE(MID(W645&amp;W645,WEEKDAY(('_Dates'!Y645),2),MOD((('_Dates'!Z645)-('_Dates'!Y645)+1),7)),"O",""))-COUNTIFS(INDEX(AllClosureRows,C645,0),"&gt;="&amp;('_Dates'!Y645),INDEX(AllClosureRows,C645,0),"&lt;="&amp;('_Dates'!Z645)))))</ns0:f>
        <ns0:v>0</ns0:v>
      </ns0:c>
      <ns0:c r="H645" s="0">
        <ns0:f>IF(OR(F645&lt;&gt;"OK",$B$6&gt;0),0,0.5*(IF((MIN('_Dates'!X645,Settings!$B$9))&lt;('_Dates'!W645),0,INT(((MIN('_Dates'!X645,Settings!$B$9))-('_Dates'!W645)+1)/7)*LEN(SUBSTITUTE(W645,"O",""))+LEN(SUBSTITUTE(MID(W645&amp;W645,WEEKDAY(('_Dates'!W645),2),MOD(((MIN('_Dates'!X645,Settings!$B$9))-('_Dates'!W645)+1),7)),"O",""))-COUNTIFS(INDEX(AllClosureRows,C645,0),"&gt;="&amp;('_Dates'!W645),INDEX(AllClosureRows,C645,0),"&lt;="&amp;(MIN('_Dates'!X645,Settings!$B$9))))+IF((MIN('_Dates'!Z645,Settings!$B$9))&lt;('_Dates'!Y645),0,INT(((MIN('_Dates'!Z645,Settings!$B$9))-('_Dates'!Y645)+1)/7)*LEN(SUBSTITUTE(W645,"O",""))+LEN(SUBSTITUTE(MID(W645&amp;W645,WEEKDAY(('_Dates'!Y645),2),MOD(((MIN('_Dates'!Z645,Settings!$B$9))-('_Dates'!Y645)+1),7)),"O",""))-COUNTIFS(INDEX(AllClosureRows,C645,0),"&gt;="&amp;('_Dates'!Y645),INDEX(AllClosureRows,C645,0),"&lt;="&amp;(MIN('_Dates'!Z645,Settings!$B$9))))))</ns0:f>
        <ns0:v>0</ns0:v>
      </ns0:c>
      <ns0:c r="I645" s="0">
        <ns0:f>MAX(0,G645-H645)</ns0:f>
        <ns0:v>0</ns0:v>
      </ns0:c>
      <ns0:c r="J645" s="0">
        <ns0:f>IF(OR(A645=0,F645&lt;&gt;"OK",Bookings!G645="Cancelled",$B$6&gt;0),0,IF('_Dates'!AC645=1,MAX(0,COUNTIFS(rngEngine_B,B645,rngAMStart,"&lt;="&amp;'_Dates'!X645,rngAMEnd,"&gt;="&amp;'_Dates'!W645,rngAMActive,1,rngEngine_F,"OK",rngBookings_F,"&lt;&gt;Cancelled")-1),0)+IF('_Dates'!AD645=1,MAX(0,COUNTIFS(rngEngine_B,B645,rngPMStart,"&lt;="&amp;'_Dates'!Z645,rngPMEnd,"&gt;="&amp;'_Dates'!Y645,rngPMActive,1,rngEngine_F,"OK",rngBookings_F,"&lt;&gt;Cancelled")-1),0))</ns0:f>
        <ns0:v>0</ns0:v>
      </ns0:c>
      <ns0:c r="K645" s="0" t="str">
        <ns0:f>IF(A645=0,"",IF(F645&lt;&gt;"OK",F645,IF(J645&gt;0,"CHECK overlapping entry",IF(AND($B$6=0,G645&lt;=0,Bookings!G645&lt;&gt;"Cancelled"),"CHECK no working days",IF(Bookings!G645="Cancelled","Cancelled","OK")))))</ns0:f>
        <ns0:v/>
      </ns0:c>
      <ns0:c r="L645" s="0">
        <ns0:f>IF(LEFT(K645,5)="CHECK",1,0)</ns0:f>
        <ns0:v>0</ns0:v>
      </ns0:c>
      <ns0:c r="M645" s="0">
        <ns0:f>IF(AND(L645=1,OR(C645=0,IFERROR(INDEX($X$11:$X$60,C645),0)=0)),1,0)</ns0:f>
        <ns0:v>0</ns0:v>
      </ns0:c>
      <ns0:c r="N645" s="0">
        <ns0:f>IF(OR(A645=0,L645&gt;0,$B$6&gt;0,Bookings!G645="Cancelled"),0,G645)</ns0:f>
        <ns0:v>0</ns0:v>
      </ns0:c>
      <ns0:c r="O645" s="0">
        <ns0:f>IF(AND(Bookings!G645="Approved",E645="Yes"),N645,0)</ns0:f>
        <ns0:v>0</ns0:v>
      </ns0:c>
      <ns0:c r="P645" s="0">
        <ns0:f>IF(AND(Bookings!G645="Approved",E645="Yes",L645=0,$B$6=0),H645,0)</ns0:f>
        <ns0:v>0</ns0:v>
      </ns0:c>
      <ns0:c r="Q645" s="0">
        <ns0:f>IF(AND(Bookings!G645="Approved",E645="Yes",L645=0,$B$6=0),I645,0)</ns0:f>
        <ns0:v>0</ns0:v>
      </ns0:c>
      <ns0:c r="R645" s="0">
        <ns0:f>IF(AND(Bookings!G645="Pending",E645="Yes"),N645,0)</ns0:f>
        <ns0:v>0</ns0:v>
      </ns0:c>
      <ns0:c r="S645" s="0">
        <ns0:f>IF(AND(Bookings!G645="Approved",E645="No"),N645,0)</ns0:f>
        <ns0:v>0</ns0:v>
      </ns0:c>
      <ns0:c r="T645" s="0">
        <ns0:f>IFERROR(MATCH(D645,Settings!$G$7:$G$11,0),0)</ns0:f>
        <ns0:v>0</ns0:v>
      </ns0:c>
      <ns0:c r="U645" s="0">
        <ns0:f>IF(N645&gt;0,T645+IF(Bookings!G645="Pending",10,0),0)</ns0:f>
        <ns0:v>0</ns0:v>
      </ns0:c>
      <ns0:c r="V645" s="0">
        <ns0:f>U645</ns0:f>
        <ns0:v>0</ns0:v>
      </ns0:c>
      <ns0:c r="W645" s="0" t="str">
        <ns0:f>IF(C645=0,"",INDEX($AP$11:$AP$60,C645))</ns0:f>
        <ns0:v/>
      </ns0:c>
    </ns0:row>
    <ns0:row r="646">
      <ns0:c r="A646" s="0">
        <ns0:f>IF(COUNTA(Bookings!A646:G646,Bookings!I646)=0,0,1)</ns0:f>
        <ns0:v>0</ns0:v>
      </ns0:c>
      <ns0:c r="B646" s="0" t="str">
        <ns0:f>IFERROR(TRIM(MID(Bookings!A646,FIND(" · ",Bookings!A646)+3,99)),"")</ns0:f>
        <ns0:v/>
      </ns0:c>
      <ns0:c r="C646" s="0">
        <ns0:f>IF(OR(B646="",LEN(B646)&gt;24,ISNUMBER(FIND(" ",B646)),ISNUMBER(FIND("*",B646)),ISNUMBER(FIND("?",B646)),ISNUMBER(FIND("~",B646))),0,IFERROR(MATCH(B646,Team!$A$11:$A$60,0),0))</ns0:f>
        <ns0:v>0</ns0:v>
      </ns0:c>
      <ns0:c r="D646" s="0" t="str">
        <ns0:f>IFERROR(IF(MID(Bookings!F646,LEN(Bookings!F646)-3,3)=" · ",RIGHT(Bookings!F646,1),""),"")</ns0:f>
        <ns0:v/>
      </ns0:c>
      <ns0:c r="E646" s="0" t="str">
        <ns0:f>IFERROR(INDEX(Settings!$H$7:$H$11,MATCH(D646,Settings!$G$7:$G$11,0)),"")</ns0:f>
        <ns0:v/>
      </ns0:c>
      <ns0:c r="F646" s="0" t="str">
        <ns0:f>IF(A646=0,"",IFERROR(IF(OR(B646="",C646=0),"CHECK employee selection",IF(INDEX(Team!$O$11:$O$60,C646)&lt;&gt;"OK","CHECK employee setup",IF(OR('_Dates'!J646=0,'_Dates'!T646=0),"CHECK date: use DD.MM.YYYY",IF('_Dates'!T646&lt;'_Dates'!J646,"CHECK end before start",IF(AND($B$6=0,OR('_Dates'!J646&lt;Settings!$B$7,'_Dates'!T646&gt;Settings!$B$8)),"CHECK split across leave years",IF(OR(NOT(OR('_Dates'!U646="Full day",'_Dates'!U646="AM",'_Dates'!U646="PM")),NOT(OR('_Dates'!V646="Full day",'_Dates'!V646="AM",'_Dates'!V646="PM"))),"CHECK Full day / AM / PM",IF(AND('_Dates'!J646='_Dates'!T646,'_Dates'!U646&lt;&gt;"Full day",'_Dates'!V646&lt;&gt;"Full day",'_Dates'!U646&lt;&gt;'_Dates'!V646),"CHECK same-day portions disagree",IF(AND($B$6=0,OR(AND('_Dates'!U646&lt;&gt;"Full day",'_Dates'!AA646=0),AND('_Dates'!V646&lt;&gt;"Full day",'_Dates'!AB646=0))),"CHECK half-day on non-working date",IF(COUNTIF(Settings!$G$7:$G$11,D646)&lt;&gt;1,"CHECK leave type",IF(AND(Bookings!G646&lt;&gt;"Approved",Bookings!G646&lt;&gt;"Pending",Bookings!G646&lt;&gt;"Cancelled"),"CHECK status","OK")))))))))),"CHECK input"))</ns0:f>
        <ns0:v/>
      </ns0:c>
      <ns0:c r="G646" s="0">
        <ns0:f>IF(OR(F646&lt;&gt;"OK",$B$6&gt;0),0,0.5*(IF(('_Dates'!X646)&lt;('_Dates'!W646),0,INT((('_Dates'!X646)-('_Dates'!W646)+1)/7)*LEN(SUBSTITUTE(W646,"O",""))+LEN(SUBSTITUTE(MID(W646&amp;W646,WEEKDAY(('_Dates'!W646),2),MOD((('_Dates'!X646)-('_Dates'!W646)+1),7)),"O",""))-COUNTIFS(INDEX(AllClosureRows,C646,0),"&gt;="&amp;('_Dates'!W646),INDEX(AllClosureRows,C646,0),"&lt;="&amp;('_Dates'!X646)))+IF(('_Dates'!Z646)&lt;('_Dates'!Y646),0,INT((('_Dates'!Z646)-('_Dates'!Y646)+1)/7)*LEN(SUBSTITUTE(W646,"O",""))+LEN(SUBSTITUTE(MID(W646&amp;W646,WEEKDAY(('_Dates'!Y646),2),MOD((('_Dates'!Z646)-('_Dates'!Y646)+1),7)),"O",""))-COUNTIFS(INDEX(AllClosureRows,C646,0),"&gt;="&amp;('_Dates'!Y646),INDEX(AllClosureRows,C646,0),"&lt;="&amp;('_Dates'!Z646)))))</ns0:f>
        <ns0:v>0</ns0:v>
      </ns0:c>
      <ns0:c r="H646" s="0">
        <ns0:f>IF(OR(F646&lt;&gt;"OK",$B$6&gt;0),0,0.5*(IF((MIN('_Dates'!X646,Settings!$B$9))&lt;('_Dates'!W646),0,INT(((MIN('_Dates'!X646,Settings!$B$9))-('_Dates'!W646)+1)/7)*LEN(SUBSTITUTE(W646,"O",""))+LEN(SUBSTITUTE(MID(W646&amp;W646,WEEKDAY(('_Dates'!W646),2),MOD(((MIN('_Dates'!X646,Settings!$B$9))-('_Dates'!W646)+1),7)),"O",""))-COUNTIFS(INDEX(AllClosureRows,C646,0),"&gt;="&amp;('_Dates'!W646),INDEX(AllClosureRows,C646,0),"&lt;="&amp;(MIN('_Dates'!X646,Settings!$B$9))))+IF((MIN('_Dates'!Z646,Settings!$B$9))&lt;('_Dates'!Y646),0,INT(((MIN('_Dates'!Z646,Settings!$B$9))-('_Dates'!Y646)+1)/7)*LEN(SUBSTITUTE(W646,"O",""))+LEN(SUBSTITUTE(MID(W646&amp;W646,WEEKDAY(('_Dates'!Y646),2),MOD(((MIN('_Dates'!Z646,Settings!$B$9))-('_Dates'!Y646)+1),7)),"O",""))-COUNTIFS(INDEX(AllClosureRows,C646,0),"&gt;="&amp;('_Dates'!Y646),INDEX(AllClosureRows,C646,0),"&lt;="&amp;(MIN('_Dates'!Z646,Settings!$B$9))))))</ns0:f>
        <ns0:v>0</ns0:v>
      </ns0:c>
      <ns0:c r="I646" s="0">
        <ns0:f>MAX(0,G646-H646)</ns0:f>
        <ns0:v>0</ns0:v>
      </ns0:c>
      <ns0:c r="J646" s="0">
        <ns0:f>IF(OR(A646=0,F646&lt;&gt;"OK",Bookings!G646="Cancelled",$B$6&gt;0),0,IF('_Dates'!AC646=1,MAX(0,COUNTIFS(rngEngine_B,B646,rngAMStart,"&lt;="&amp;'_Dates'!X646,rngAMEnd,"&gt;="&amp;'_Dates'!W646,rngAMActive,1,rngEngine_F,"OK",rngBookings_F,"&lt;&gt;Cancelled")-1),0)+IF('_Dates'!AD646=1,MAX(0,COUNTIFS(rngEngine_B,B646,rngPMStart,"&lt;="&amp;'_Dates'!Z646,rngPMEnd,"&gt;="&amp;'_Dates'!Y646,rngPMActive,1,rngEngine_F,"OK",rngBookings_F,"&lt;&gt;Cancelled")-1),0))</ns0:f>
        <ns0:v>0</ns0:v>
      </ns0:c>
      <ns0:c r="K646" s="0" t="str">
        <ns0:f>IF(A646=0,"",IF(F646&lt;&gt;"OK",F646,IF(J646&gt;0,"CHECK overlapping entry",IF(AND($B$6=0,G646&lt;=0,Bookings!G646&lt;&gt;"Cancelled"),"CHECK no working days",IF(Bookings!G646="Cancelled","Cancelled","OK")))))</ns0:f>
        <ns0:v/>
      </ns0:c>
      <ns0:c r="L646" s="0">
        <ns0:f>IF(LEFT(K646,5)="CHECK",1,0)</ns0:f>
        <ns0:v>0</ns0:v>
      </ns0:c>
      <ns0:c r="M646" s="0">
        <ns0:f>IF(AND(L646=1,OR(C646=0,IFERROR(INDEX($X$11:$X$60,C646),0)=0)),1,0)</ns0:f>
        <ns0:v>0</ns0:v>
      </ns0:c>
      <ns0:c r="N646" s="0">
        <ns0:f>IF(OR(A646=0,L646&gt;0,$B$6&gt;0,Bookings!G646="Cancelled"),0,G646)</ns0:f>
        <ns0:v>0</ns0:v>
      </ns0:c>
      <ns0:c r="O646" s="0">
        <ns0:f>IF(AND(Bookings!G646="Approved",E646="Yes"),N646,0)</ns0:f>
        <ns0:v>0</ns0:v>
      </ns0:c>
      <ns0:c r="P646" s="0">
        <ns0:f>IF(AND(Bookings!G646="Approved",E646="Yes",L646=0,$B$6=0),H646,0)</ns0:f>
        <ns0:v>0</ns0:v>
      </ns0:c>
      <ns0:c r="Q646" s="0">
        <ns0:f>IF(AND(Bookings!G646="Approved",E646="Yes",L646=0,$B$6=0),I646,0)</ns0:f>
        <ns0:v>0</ns0:v>
      </ns0:c>
      <ns0:c r="R646" s="0">
        <ns0:f>IF(AND(Bookings!G646="Pending",E646="Yes"),N646,0)</ns0:f>
        <ns0:v>0</ns0:v>
      </ns0:c>
      <ns0:c r="S646" s="0">
        <ns0:f>IF(AND(Bookings!G646="Approved",E646="No"),N646,0)</ns0:f>
        <ns0:v>0</ns0:v>
      </ns0:c>
      <ns0:c r="T646" s="0">
        <ns0:f>IFERROR(MATCH(D646,Settings!$G$7:$G$11,0),0)</ns0:f>
        <ns0:v>0</ns0:v>
      </ns0:c>
      <ns0:c r="U646" s="0">
        <ns0:f>IF(N646&gt;0,T646+IF(Bookings!G646="Pending",10,0),0)</ns0:f>
        <ns0:v>0</ns0:v>
      </ns0:c>
      <ns0:c r="V646" s="0">
        <ns0:f>U646</ns0:f>
        <ns0:v>0</ns0:v>
      </ns0:c>
      <ns0:c r="W646" s="0" t="str">
        <ns0:f>IF(C646=0,"",INDEX($AP$11:$AP$60,C646))</ns0:f>
        <ns0:v/>
      </ns0:c>
    </ns0:row>
    <ns0:row r="647">
      <ns0:c r="A647" s="0">
        <ns0:f>IF(COUNTA(Bookings!A647:G647,Bookings!I647)=0,0,1)</ns0:f>
        <ns0:v>0</ns0:v>
      </ns0:c>
      <ns0:c r="B647" s="0" t="str">
        <ns0:f>IFERROR(TRIM(MID(Bookings!A647,FIND(" · ",Bookings!A647)+3,99)),"")</ns0:f>
        <ns0:v/>
      </ns0:c>
      <ns0:c r="C647" s="0">
        <ns0:f>IF(OR(B647="",LEN(B647)&gt;24,ISNUMBER(FIND(" ",B647)),ISNUMBER(FIND("*",B647)),ISNUMBER(FIND("?",B647)),ISNUMBER(FIND("~",B647))),0,IFERROR(MATCH(B647,Team!$A$11:$A$60,0),0))</ns0:f>
        <ns0:v>0</ns0:v>
      </ns0:c>
      <ns0:c r="D647" s="0" t="str">
        <ns0:f>IFERROR(IF(MID(Bookings!F647,LEN(Bookings!F647)-3,3)=" · ",RIGHT(Bookings!F647,1),""),"")</ns0:f>
        <ns0:v/>
      </ns0:c>
      <ns0:c r="E647" s="0" t="str">
        <ns0:f>IFERROR(INDEX(Settings!$H$7:$H$11,MATCH(D647,Settings!$G$7:$G$11,0)),"")</ns0:f>
        <ns0:v/>
      </ns0:c>
      <ns0:c r="F647" s="0" t="str">
        <ns0:f>IF(A647=0,"",IFERROR(IF(OR(B647="",C647=0),"CHECK employee selection",IF(INDEX(Team!$O$11:$O$60,C647)&lt;&gt;"OK","CHECK employee setup",IF(OR('_Dates'!J647=0,'_Dates'!T647=0),"CHECK date: use DD.MM.YYYY",IF('_Dates'!T647&lt;'_Dates'!J647,"CHECK end before start",IF(AND($B$6=0,OR('_Dates'!J647&lt;Settings!$B$7,'_Dates'!T647&gt;Settings!$B$8)),"CHECK split across leave years",IF(OR(NOT(OR('_Dates'!U647="Full day",'_Dates'!U647="AM",'_Dates'!U647="PM")),NOT(OR('_Dates'!V647="Full day",'_Dates'!V647="AM",'_Dates'!V647="PM"))),"CHECK Full day / AM / PM",IF(AND('_Dates'!J647='_Dates'!T647,'_Dates'!U647&lt;&gt;"Full day",'_Dates'!V647&lt;&gt;"Full day",'_Dates'!U647&lt;&gt;'_Dates'!V647),"CHECK same-day portions disagree",IF(AND($B$6=0,OR(AND('_Dates'!U647&lt;&gt;"Full day",'_Dates'!AA647=0),AND('_Dates'!V647&lt;&gt;"Full day",'_Dates'!AB647=0))),"CHECK half-day on non-working date",IF(COUNTIF(Settings!$G$7:$G$11,D647)&lt;&gt;1,"CHECK leave type",IF(AND(Bookings!G647&lt;&gt;"Approved",Bookings!G647&lt;&gt;"Pending",Bookings!G647&lt;&gt;"Cancelled"),"CHECK status","OK")))))))))),"CHECK input"))</ns0:f>
        <ns0:v/>
      </ns0:c>
      <ns0:c r="G647" s="0">
        <ns0:f>IF(OR(F647&lt;&gt;"OK",$B$6&gt;0),0,0.5*(IF(('_Dates'!X647)&lt;('_Dates'!W647),0,INT((('_Dates'!X647)-('_Dates'!W647)+1)/7)*LEN(SUBSTITUTE(W647,"O",""))+LEN(SUBSTITUTE(MID(W647&amp;W647,WEEKDAY(('_Dates'!W647),2),MOD((('_Dates'!X647)-('_Dates'!W647)+1),7)),"O",""))-COUNTIFS(INDEX(AllClosureRows,C647,0),"&gt;="&amp;('_Dates'!W647),INDEX(AllClosureRows,C647,0),"&lt;="&amp;('_Dates'!X647)))+IF(('_Dates'!Z647)&lt;('_Dates'!Y647),0,INT((('_Dates'!Z647)-('_Dates'!Y647)+1)/7)*LEN(SUBSTITUTE(W647,"O",""))+LEN(SUBSTITUTE(MID(W647&amp;W647,WEEKDAY(('_Dates'!Y647),2),MOD((('_Dates'!Z647)-('_Dates'!Y647)+1),7)),"O",""))-COUNTIFS(INDEX(AllClosureRows,C647,0),"&gt;="&amp;('_Dates'!Y647),INDEX(AllClosureRows,C647,0),"&lt;="&amp;('_Dates'!Z647)))))</ns0:f>
        <ns0:v>0</ns0:v>
      </ns0:c>
      <ns0:c r="H647" s="0">
        <ns0:f>IF(OR(F647&lt;&gt;"OK",$B$6&gt;0),0,0.5*(IF((MIN('_Dates'!X647,Settings!$B$9))&lt;('_Dates'!W647),0,INT(((MIN('_Dates'!X647,Settings!$B$9))-('_Dates'!W647)+1)/7)*LEN(SUBSTITUTE(W647,"O",""))+LEN(SUBSTITUTE(MID(W647&amp;W647,WEEKDAY(('_Dates'!W647),2),MOD(((MIN('_Dates'!X647,Settings!$B$9))-('_Dates'!W647)+1),7)),"O",""))-COUNTIFS(INDEX(AllClosureRows,C647,0),"&gt;="&amp;('_Dates'!W647),INDEX(AllClosureRows,C647,0),"&lt;="&amp;(MIN('_Dates'!X647,Settings!$B$9))))+IF((MIN('_Dates'!Z647,Settings!$B$9))&lt;('_Dates'!Y647),0,INT(((MIN('_Dates'!Z647,Settings!$B$9))-('_Dates'!Y647)+1)/7)*LEN(SUBSTITUTE(W647,"O",""))+LEN(SUBSTITUTE(MID(W647&amp;W647,WEEKDAY(('_Dates'!Y647),2),MOD(((MIN('_Dates'!Z647,Settings!$B$9))-('_Dates'!Y647)+1),7)),"O",""))-COUNTIFS(INDEX(AllClosureRows,C647,0),"&gt;="&amp;('_Dates'!Y647),INDEX(AllClosureRows,C647,0),"&lt;="&amp;(MIN('_Dates'!Z647,Settings!$B$9))))))</ns0:f>
        <ns0:v>0</ns0:v>
      </ns0:c>
      <ns0:c r="I647" s="0">
        <ns0:f>MAX(0,G647-H647)</ns0:f>
        <ns0:v>0</ns0:v>
      </ns0:c>
      <ns0:c r="J647" s="0">
        <ns0:f>IF(OR(A647=0,F647&lt;&gt;"OK",Bookings!G647="Cancelled",$B$6&gt;0),0,IF('_Dates'!AC647=1,MAX(0,COUNTIFS(rngEngine_B,B647,rngAMStart,"&lt;="&amp;'_Dates'!X647,rngAMEnd,"&gt;="&amp;'_Dates'!W647,rngAMActive,1,rngEngine_F,"OK",rngBookings_F,"&lt;&gt;Cancelled")-1),0)+IF('_Dates'!AD647=1,MAX(0,COUNTIFS(rngEngine_B,B647,rngPMStart,"&lt;="&amp;'_Dates'!Z647,rngPMEnd,"&gt;="&amp;'_Dates'!Y647,rngPMActive,1,rngEngine_F,"OK",rngBookings_F,"&lt;&gt;Cancelled")-1),0))</ns0:f>
        <ns0:v>0</ns0:v>
      </ns0:c>
      <ns0:c r="K647" s="0" t="str">
        <ns0:f>IF(A647=0,"",IF(F647&lt;&gt;"OK",F647,IF(J647&gt;0,"CHECK overlapping entry",IF(AND($B$6=0,G647&lt;=0,Bookings!G647&lt;&gt;"Cancelled"),"CHECK no working days",IF(Bookings!G647="Cancelled","Cancelled","OK")))))</ns0:f>
        <ns0:v/>
      </ns0:c>
      <ns0:c r="L647" s="0">
        <ns0:f>IF(LEFT(K647,5)="CHECK",1,0)</ns0:f>
        <ns0:v>0</ns0:v>
      </ns0:c>
      <ns0:c r="M647" s="0">
        <ns0:f>IF(AND(L647=1,OR(C647=0,IFERROR(INDEX($X$11:$X$60,C647),0)=0)),1,0)</ns0:f>
        <ns0:v>0</ns0:v>
      </ns0:c>
      <ns0:c r="N647" s="0">
        <ns0:f>IF(OR(A647=0,L647&gt;0,$B$6&gt;0,Bookings!G647="Cancelled"),0,G647)</ns0:f>
        <ns0:v>0</ns0:v>
      </ns0:c>
      <ns0:c r="O647" s="0">
        <ns0:f>IF(AND(Bookings!G647="Approved",E647="Yes"),N647,0)</ns0:f>
        <ns0:v>0</ns0:v>
      </ns0:c>
      <ns0:c r="P647" s="0">
        <ns0:f>IF(AND(Bookings!G647="Approved",E647="Yes",L647=0,$B$6=0),H647,0)</ns0:f>
        <ns0:v>0</ns0:v>
      </ns0:c>
      <ns0:c r="Q647" s="0">
        <ns0:f>IF(AND(Bookings!G647="Approved",E647="Yes",L647=0,$B$6=0),I647,0)</ns0:f>
        <ns0:v>0</ns0:v>
      </ns0:c>
      <ns0:c r="R647" s="0">
        <ns0:f>IF(AND(Bookings!G647="Pending",E647="Yes"),N647,0)</ns0:f>
        <ns0:v>0</ns0:v>
      </ns0:c>
      <ns0:c r="S647" s="0">
        <ns0:f>IF(AND(Bookings!G647="Approved",E647="No"),N647,0)</ns0:f>
        <ns0:v>0</ns0:v>
      </ns0:c>
      <ns0:c r="T647" s="0">
        <ns0:f>IFERROR(MATCH(D647,Settings!$G$7:$G$11,0),0)</ns0:f>
        <ns0:v>0</ns0:v>
      </ns0:c>
      <ns0:c r="U647" s="0">
        <ns0:f>IF(N647&gt;0,T647+IF(Bookings!G647="Pending",10,0),0)</ns0:f>
        <ns0:v>0</ns0:v>
      </ns0:c>
      <ns0:c r="V647" s="0">
        <ns0:f>U647</ns0:f>
        <ns0:v>0</ns0:v>
      </ns0:c>
      <ns0:c r="W647" s="0" t="str">
        <ns0:f>IF(C647=0,"",INDEX($AP$11:$AP$60,C647))</ns0:f>
        <ns0:v/>
      </ns0:c>
    </ns0:row>
    <ns0:row r="648">
      <ns0:c r="A648" s="0">
        <ns0:f>IF(COUNTA(Bookings!A648:G648,Bookings!I648)=0,0,1)</ns0:f>
        <ns0:v>0</ns0:v>
      </ns0:c>
      <ns0:c r="B648" s="0" t="str">
        <ns0:f>IFERROR(TRIM(MID(Bookings!A648,FIND(" · ",Bookings!A648)+3,99)),"")</ns0:f>
        <ns0:v/>
      </ns0:c>
      <ns0:c r="C648" s="0">
        <ns0:f>IF(OR(B648="",LEN(B648)&gt;24,ISNUMBER(FIND(" ",B648)),ISNUMBER(FIND("*",B648)),ISNUMBER(FIND("?",B648)),ISNUMBER(FIND("~",B648))),0,IFERROR(MATCH(B648,Team!$A$11:$A$60,0),0))</ns0:f>
        <ns0:v>0</ns0:v>
      </ns0:c>
      <ns0:c r="D648" s="0" t="str">
        <ns0:f>IFERROR(IF(MID(Bookings!F648,LEN(Bookings!F648)-3,3)=" · ",RIGHT(Bookings!F648,1),""),"")</ns0:f>
        <ns0:v/>
      </ns0:c>
      <ns0:c r="E648" s="0" t="str">
        <ns0:f>IFERROR(INDEX(Settings!$H$7:$H$11,MATCH(D648,Settings!$G$7:$G$11,0)),"")</ns0:f>
        <ns0:v/>
      </ns0:c>
      <ns0:c r="F648" s="0" t="str">
        <ns0:f>IF(A648=0,"",IFERROR(IF(OR(B648="",C648=0),"CHECK employee selection",IF(INDEX(Team!$O$11:$O$60,C648)&lt;&gt;"OK","CHECK employee setup",IF(OR('_Dates'!J648=0,'_Dates'!T648=0),"CHECK date: use DD.MM.YYYY",IF('_Dates'!T648&lt;'_Dates'!J648,"CHECK end before start",IF(AND($B$6=0,OR('_Dates'!J648&lt;Settings!$B$7,'_Dates'!T648&gt;Settings!$B$8)),"CHECK split across leave years",IF(OR(NOT(OR('_Dates'!U648="Full day",'_Dates'!U648="AM",'_Dates'!U648="PM")),NOT(OR('_Dates'!V648="Full day",'_Dates'!V648="AM",'_Dates'!V648="PM"))),"CHECK Full day / AM / PM",IF(AND('_Dates'!J648='_Dates'!T648,'_Dates'!U648&lt;&gt;"Full day",'_Dates'!V648&lt;&gt;"Full day",'_Dates'!U648&lt;&gt;'_Dates'!V648),"CHECK same-day portions disagree",IF(AND($B$6=0,OR(AND('_Dates'!U648&lt;&gt;"Full day",'_Dates'!AA648=0),AND('_Dates'!V648&lt;&gt;"Full day",'_Dates'!AB648=0))),"CHECK half-day on non-working date",IF(COUNTIF(Settings!$G$7:$G$11,D648)&lt;&gt;1,"CHECK leave type",IF(AND(Bookings!G648&lt;&gt;"Approved",Bookings!G648&lt;&gt;"Pending",Bookings!G648&lt;&gt;"Cancelled"),"CHECK status","OK")))))))))),"CHECK input"))</ns0:f>
        <ns0:v/>
      </ns0:c>
      <ns0:c r="G648" s="0">
        <ns0:f>IF(OR(F648&lt;&gt;"OK",$B$6&gt;0),0,0.5*(IF(('_Dates'!X648)&lt;('_Dates'!W648),0,INT((('_Dates'!X648)-('_Dates'!W648)+1)/7)*LEN(SUBSTITUTE(W648,"O",""))+LEN(SUBSTITUTE(MID(W648&amp;W648,WEEKDAY(('_Dates'!W648),2),MOD((('_Dates'!X648)-('_Dates'!W648)+1),7)),"O",""))-COUNTIFS(INDEX(AllClosureRows,C648,0),"&gt;="&amp;('_Dates'!W648),INDEX(AllClosureRows,C648,0),"&lt;="&amp;('_Dates'!X648)))+IF(('_Dates'!Z648)&lt;('_Dates'!Y648),0,INT((('_Dates'!Z648)-('_Dates'!Y648)+1)/7)*LEN(SUBSTITUTE(W648,"O",""))+LEN(SUBSTITUTE(MID(W648&amp;W648,WEEKDAY(('_Dates'!Y648),2),MOD((('_Dates'!Z648)-('_Dates'!Y648)+1),7)),"O",""))-COUNTIFS(INDEX(AllClosureRows,C648,0),"&gt;="&amp;('_Dates'!Y648),INDEX(AllClosureRows,C648,0),"&lt;="&amp;('_Dates'!Z648)))))</ns0:f>
        <ns0:v>0</ns0:v>
      </ns0:c>
      <ns0:c r="H648" s="0">
        <ns0:f>IF(OR(F648&lt;&gt;"OK",$B$6&gt;0),0,0.5*(IF((MIN('_Dates'!X648,Settings!$B$9))&lt;('_Dates'!W648),0,INT(((MIN('_Dates'!X648,Settings!$B$9))-('_Dates'!W648)+1)/7)*LEN(SUBSTITUTE(W648,"O",""))+LEN(SUBSTITUTE(MID(W648&amp;W648,WEEKDAY(('_Dates'!W648),2),MOD(((MIN('_Dates'!X648,Settings!$B$9))-('_Dates'!W648)+1),7)),"O",""))-COUNTIFS(INDEX(AllClosureRows,C648,0),"&gt;="&amp;('_Dates'!W648),INDEX(AllClosureRows,C648,0),"&lt;="&amp;(MIN('_Dates'!X648,Settings!$B$9))))+IF((MIN('_Dates'!Z648,Settings!$B$9))&lt;('_Dates'!Y648),0,INT(((MIN('_Dates'!Z648,Settings!$B$9))-('_Dates'!Y648)+1)/7)*LEN(SUBSTITUTE(W648,"O",""))+LEN(SUBSTITUTE(MID(W648&amp;W648,WEEKDAY(('_Dates'!Y648),2),MOD(((MIN('_Dates'!Z648,Settings!$B$9))-('_Dates'!Y648)+1),7)),"O",""))-COUNTIFS(INDEX(AllClosureRows,C648,0),"&gt;="&amp;('_Dates'!Y648),INDEX(AllClosureRows,C648,0),"&lt;="&amp;(MIN('_Dates'!Z648,Settings!$B$9))))))</ns0:f>
        <ns0:v>0</ns0:v>
      </ns0:c>
      <ns0:c r="I648" s="0">
        <ns0:f>MAX(0,G648-H648)</ns0:f>
        <ns0:v>0</ns0:v>
      </ns0:c>
      <ns0:c r="J648" s="0">
        <ns0:f>IF(OR(A648=0,F648&lt;&gt;"OK",Bookings!G648="Cancelled",$B$6&gt;0),0,IF('_Dates'!AC648=1,MAX(0,COUNTIFS(rngEngine_B,B648,rngAMStart,"&lt;="&amp;'_Dates'!X648,rngAMEnd,"&gt;="&amp;'_Dates'!W648,rngAMActive,1,rngEngine_F,"OK",rngBookings_F,"&lt;&gt;Cancelled")-1),0)+IF('_Dates'!AD648=1,MAX(0,COUNTIFS(rngEngine_B,B648,rngPMStart,"&lt;="&amp;'_Dates'!Z648,rngPMEnd,"&gt;="&amp;'_Dates'!Y648,rngPMActive,1,rngEngine_F,"OK",rngBookings_F,"&lt;&gt;Cancelled")-1),0))</ns0:f>
        <ns0:v>0</ns0:v>
      </ns0:c>
      <ns0:c r="K648" s="0" t="str">
        <ns0:f>IF(A648=0,"",IF(F648&lt;&gt;"OK",F648,IF(J648&gt;0,"CHECK overlapping entry",IF(AND($B$6=0,G648&lt;=0,Bookings!G648&lt;&gt;"Cancelled"),"CHECK no working days",IF(Bookings!G648="Cancelled","Cancelled","OK")))))</ns0:f>
        <ns0:v/>
      </ns0:c>
      <ns0:c r="L648" s="0">
        <ns0:f>IF(LEFT(K648,5)="CHECK",1,0)</ns0:f>
        <ns0:v>0</ns0:v>
      </ns0:c>
      <ns0:c r="M648" s="0">
        <ns0:f>IF(AND(L648=1,OR(C648=0,IFERROR(INDEX($X$11:$X$60,C648),0)=0)),1,0)</ns0:f>
        <ns0:v>0</ns0:v>
      </ns0:c>
      <ns0:c r="N648" s="0">
        <ns0:f>IF(OR(A648=0,L648&gt;0,$B$6&gt;0,Bookings!G648="Cancelled"),0,G648)</ns0:f>
        <ns0:v>0</ns0:v>
      </ns0:c>
      <ns0:c r="O648" s="0">
        <ns0:f>IF(AND(Bookings!G648="Approved",E648="Yes"),N648,0)</ns0:f>
        <ns0:v>0</ns0:v>
      </ns0:c>
      <ns0:c r="P648" s="0">
        <ns0:f>IF(AND(Bookings!G648="Approved",E648="Yes",L648=0,$B$6=0),H648,0)</ns0:f>
        <ns0:v>0</ns0:v>
      </ns0:c>
      <ns0:c r="Q648" s="0">
        <ns0:f>IF(AND(Bookings!G648="Approved",E648="Yes",L648=0,$B$6=0),I648,0)</ns0:f>
        <ns0:v>0</ns0:v>
      </ns0:c>
      <ns0:c r="R648" s="0">
        <ns0:f>IF(AND(Bookings!G648="Pending",E648="Yes"),N648,0)</ns0:f>
        <ns0:v>0</ns0:v>
      </ns0:c>
      <ns0:c r="S648" s="0">
        <ns0:f>IF(AND(Bookings!G648="Approved",E648="No"),N648,0)</ns0:f>
        <ns0:v>0</ns0:v>
      </ns0:c>
      <ns0:c r="T648" s="0">
        <ns0:f>IFERROR(MATCH(D648,Settings!$G$7:$G$11,0),0)</ns0:f>
        <ns0:v>0</ns0:v>
      </ns0:c>
      <ns0:c r="U648" s="0">
        <ns0:f>IF(N648&gt;0,T648+IF(Bookings!G648="Pending",10,0),0)</ns0:f>
        <ns0:v>0</ns0:v>
      </ns0:c>
      <ns0:c r="V648" s="0">
        <ns0:f>U648</ns0:f>
        <ns0:v>0</ns0:v>
      </ns0:c>
      <ns0:c r="W648" s="0" t="str">
        <ns0:f>IF(C648=0,"",INDEX($AP$11:$AP$60,C648))</ns0:f>
        <ns0:v/>
      </ns0:c>
    </ns0:row>
    <ns0:row r="649">
      <ns0:c r="A649" s="0">
        <ns0:f>IF(COUNTA(Bookings!A649:G649,Bookings!I649)=0,0,1)</ns0:f>
        <ns0:v>0</ns0:v>
      </ns0:c>
      <ns0:c r="B649" s="0" t="str">
        <ns0:f>IFERROR(TRIM(MID(Bookings!A649,FIND(" · ",Bookings!A649)+3,99)),"")</ns0:f>
        <ns0:v/>
      </ns0:c>
      <ns0:c r="C649" s="0">
        <ns0:f>IF(OR(B649="",LEN(B649)&gt;24,ISNUMBER(FIND(" ",B649)),ISNUMBER(FIND("*",B649)),ISNUMBER(FIND("?",B649)),ISNUMBER(FIND("~",B649))),0,IFERROR(MATCH(B649,Team!$A$11:$A$60,0),0))</ns0:f>
        <ns0:v>0</ns0:v>
      </ns0:c>
      <ns0:c r="D649" s="0" t="str">
        <ns0:f>IFERROR(IF(MID(Bookings!F649,LEN(Bookings!F649)-3,3)=" · ",RIGHT(Bookings!F649,1),""),"")</ns0:f>
        <ns0:v/>
      </ns0:c>
      <ns0:c r="E649" s="0" t="str">
        <ns0:f>IFERROR(INDEX(Settings!$H$7:$H$11,MATCH(D649,Settings!$G$7:$G$11,0)),"")</ns0:f>
        <ns0:v/>
      </ns0:c>
      <ns0:c r="F649" s="0" t="str">
        <ns0:f>IF(A649=0,"",IFERROR(IF(OR(B649="",C649=0),"CHECK employee selection",IF(INDEX(Team!$O$11:$O$60,C649)&lt;&gt;"OK","CHECK employee setup",IF(OR('_Dates'!J649=0,'_Dates'!T649=0),"CHECK date: use DD.MM.YYYY",IF('_Dates'!T649&lt;'_Dates'!J649,"CHECK end before start",IF(AND($B$6=0,OR('_Dates'!J649&lt;Settings!$B$7,'_Dates'!T649&gt;Settings!$B$8)),"CHECK split across leave years",IF(OR(NOT(OR('_Dates'!U649="Full day",'_Dates'!U649="AM",'_Dates'!U649="PM")),NOT(OR('_Dates'!V649="Full day",'_Dates'!V649="AM",'_Dates'!V649="PM"))),"CHECK Full day / AM / PM",IF(AND('_Dates'!J649='_Dates'!T649,'_Dates'!U649&lt;&gt;"Full day",'_Dates'!V649&lt;&gt;"Full day",'_Dates'!U649&lt;&gt;'_Dates'!V649),"CHECK same-day portions disagree",IF(AND($B$6=0,OR(AND('_Dates'!U649&lt;&gt;"Full day",'_Dates'!AA649=0),AND('_Dates'!V649&lt;&gt;"Full day",'_Dates'!AB649=0))),"CHECK half-day on non-working date",IF(COUNTIF(Settings!$G$7:$G$11,D649)&lt;&gt;1,"CHECK leave type",IF(AND(Bookings!G649&lt;&gt;"Approved",Bookings!G649&lt;&gt;"Pending",Bookings!G649&lt;&gt;"Cancelled"),"CHECK status","OK")))))))))),"CHECK input"))</ns0:f>
        <ns0:v/>
      </ns0:c>
      <ns0:c r="G649" s="0">
        <ns0:f>IF(OR(F649&lt;&gt;"OK",$B$6&gt;0),0,0.5*(IF(('_Dates'!X649)&lt;('_Dates'!W649),0,INT((('_Dates'!X649)-('_Dates'!W649)+1)/7)*LEN(SUBSTITUTE(W649,"O",""))+LEN(SUBSTITUTE(MID(W649&amp;W649,WEEKDAY(('_Dates'!W649),2),MOD((('_Dates'!X649)-('_Dates'!W649)+1),7)),"O",""))-COUNTIFS(INDEX(AllClosureRows,C649,0),"&gt;="&amp;('_Dates'!W649),INDEX(AllClosureRows,C649,0),"&lt;="&amp;('_Dates'!X649)))+IF(('_Dates'!Z649)&lt;('_Dates'!Y649),0,INT((('_Dates'!Z649)-('_Dates'!Y649)+1)/7)*LEN(SUBSTITUTE(W649,"O",""))+LEN(SUBSTITUTE(MID(W649&amp;W649,WEEKDAY(('_Dates'!Y649),2),MOD((('_Dates'!Z649)-('_Dates'!Y649)+1),7)),"O",""))-COUNTIFS(INDEX(AllClosureRows,C649,0),"&gt;="&amp;('_Dates'!Y649),INDEX(AllClosureRows,C649,0),"&lt;="&amp;('_Dates'!Z649)))))</ns0:f>
        <ns0:v>0</ns0:v>
      </ns0:c>
      <ns0:c r="H649" s="0">
        <ns0:f>IF(OR(F649&lt;&gt;"OK",$B$6&gt;0),0,0.5*(IF((MIN('_Dates'!X649,Settings!$B$9))&lt;('_Dates'!W649),0,INT(((MIN('_Dates'!X649,Settings!$B$9))-('_Dates'!W649)+1)/7)*LEN(SUBSTITUTE(W649,"O",""))+LEN(SUBSTITUTE(MID(W649&amp;W649,WEEKDAY(('_Dates'!W649),2),MOD(((MIN('_Dates'!X649,Settings!$B$9))-('_Dates'!W649)+1),7)),"O",""))-COUNTIFS(INDEX(AllClosureRows,C649,0),"&gt;="&amp;('_Dates'!W649),INDEX(AllClosureRows,C649,0),"&lt;="&amp;(MIN('_Dates'!X649,Settings!$B$9))))+IF((MIN('_Dates'!Z649,Settings!$B$9))&lt;('_Dates'!Y649),0,INT(((MIN('_Dates'!Z649,Settings!$B$9))-('_Dates'!Y649)+1)/7)*LEN(SUBSTITUTE(W649,"O",""))+LEN(SUBSTITUTE(MID(W649&amp;W649,WEEKDAY(('_Dates'!Y649),2),MOD(((MIN('_Dates'!Z649,Settings!$B$9))-('_Dates'!Y649)+1),7)),"O",""))-COUNTIFS(INDEX(AllClosureRows,C649,0),"&gt;="&amp;('_Dates'!Y649),INDEX(AllClosureRows,C649,0),"&lt;="&amp;(MIN('_Dates'!Z649,Settings!$B$9))))))</ns0:f>
        <ns0:v>0</ns0:v>
      </ns0:c>
      <ns0:c r="I649" s="0">
        <ns0:f>MAX(0,G649-H649)</ns0:f>
        <ns0:v>0</ns0:v>
      </ns0:c>
      <ns0:c r="J649" s="0">
        <ns0:f>IF(OR(A649=0,F649&lt;&gt;"OK",Bookings!G649="Cancelled",$B$6&gt;0),0,IF('_Dates'!AC649=1,MAX(0,COUNTIFS(rngEngine_B,B649,rngAMStart,"&lt;="&amp;'_Dates'!X649,rngAMEnd,"&gt;="&amp;'_Dates'!W649,rngAMActive,1,rngEngine_F,"OK",rngBookings_F,"&lt;&gt;Cancelled")-1),0)+IF('_Dates'!AD649=1,MAX(0,COUNTIFS(rngEngine_B,B649,rngPMStart,"&lt;="&amp;'_Dates'!Z649,rngPMEnd,"&gt;="&amp;'_Dates'!Y649,rngPMActive,1,rngEngine_F,"OK",rngBookings_F,"&lt;&gt;Cancelled")-1),0))</ns0:f>
        <ns0:v>0</ns0:v>
      </ns0:c>
      <ns0:c r="K649" s="0" t="str">
        <ns0:f>IF(A649=0,"",IF(F649&lt;&gt;"OK",F649,IF(J649&gt;0,"CHECK overlapping entry",IF(AND($B$6=0,G649&lt;=0,Bookings!G649&lt;&gt;"Cancelled"),"CHECK no working days",IF(Bookings!G649="Cancelled","Cancelled","OK")))))</ns0:f>
        <ns0:v/>
      </ns0:c>
      <ns0:c r="L649" s="0">
        <ns0:f>IF(LEFT(K649,5)="CHECK",1,0)</ns0:f>
        <ns0:v>0</ns0:v>
      </ns0:c>
      <ns0:c r="M649" s="0">
        <ns0:f>IF(AND(L649=1,OR(C649=0,IFERROR(INDEX($X$11:$X$60,C649),0)=0)),1,0)</ns0:f>
        <ns0:v>0</ns0:v>
      </ns0:c>
      <ns0:c r="N649" s="0">
        <ns0:f>IF(OR(A649=0,L649&gt;0,$B$6&gt;0,Bookings!G649="Cancelled"),0,G649)</ns0:f>
        <ns0:v>0</ns0:v>
      </ns0:c>
      <ns0:c r="O649" s="0">
        <ns0:f>IF(AND(Bookings!G649="Approved",E649="Yes"),N649,0)</ns0:f>
        <ns0:v>0</ns0:v>
      </ns0:c>
      <ns0:c r="P649" s="0">
        <ns0:f>IF(AND(Bookings!G649="Approved",E649="Yes",L649=0,$B$6=0),H649,0)</ns0:f>
        <ns0:v>0</ns0:v>
      </ns0:c>
      <ns0:c r="Q649" s="0">
        <ns0:f>IF(AND(Bookings!G649="Approved",E649="Yes",L649=0,$B$6=0),I649,0)</ns0:f>
        <ns0:v>0</ns0:v>
      </ns0:c>
      <ns0:c r="R649" s="0">
        <ns0:f>IF(AND(Bookings!G649="Pending",E649="Yes"),N649,0)</ns0:f>
        <ns0:v>0</ns0:v>
      </ns0:c>
      <ns0:c r="S649" s="0">
        <ns0:f>IF(AND(Bookings!G649="Approved",E649="No"),N649,0)</ns0:f>
        <ns0:v>0</ns0:v>
      </ns0:c>
      <ns0:c r="T649" s="0">
        <ns0:f>IFERROR(MATCH(D649,Settings!$G$7:$G$11,0),0)</ns0:f>
        <ns0:v>0</ns0:v>
      </ns0:c>
      <ns0:c r="U649" s="0">
        <ns0:f>IF(N649&gt;0,T649+IF(Bookings!G649="Pending",10,0),0)</ns0:f>
        <ns0:v>0</ns0:v>
      </ns0:c>
      <ns0:c r="V649" s="0">
        <ns0:f>U649</ns0:f>
        <ns0:v>0</ns0:v>
      </ns0:c>
      <ns0:c r="W649" s="0" t="str">
        <ns0:f>IF(C649=0,"",INDEX($AP$11:$AP$60,C649))</ns0:f>
        <ns0:v/>
      </ns0:c>
    </ns0:row>
    <ns0:row r="650">
      <ns0:c r="A650" s="0">
        <ns0:f>IF(COUNTA(Bookings!A650:G650,Bookings!I650)=0,0,1)</ns0:f>
        <ns0:v>0</ns0:v>
      </ns0:c>
      <ns0:c r="B650" s="0" t="str">
        <ns0:f>IFERROR(TRIM(MID(Bookings!A650,FIND(" · ",Bookings!A650)+3,99)),"")</ns0:f>
        <ns0:v/>
      </ns0:c>
      <ns0:c r="C650" s="0">
        <ns0:f>IF(OR(B650="",LEN(B650)&gt;24,ISNUMBER(FIND(" ",B650)),ISNUMBER(FIND("*",B650)),ISNUMBER(FIND("?",B650)),ISNUMBER(FIND("~",B650))),0,IFERROR(MATCH(B650,Team!$A$11:$A$60,0),0))</ns0:f>
        <ns0:v>0</ns0:v>
      </ns0:c>
      <ns0:c r="D650" s="0" t="str">
        <ns0:f>IFERROR(IF(MID(Bookings!F650,LEN(Bookings!F650)-3,3)=" · ",RIGHT(Bookings!F650,1),""),"")</ns0:f>
        <ns0:v/>
      </ns0:c>
      <ns0:c r="E650" s="0" t="str">
        <ns0:f>IFERROR(INDEX(Settings!$H$7:$H$11,MATCH(D650,Settings!$G$7:$G$11,0)),"")</ns0:f>
        <ns0:v/>
      </ns0:c>
      <ns0:c r="F650" s="0" t="str">
        <ns0:f>IF(A650=0,"",IFERROR(IF(OR(B650="",C650=0),"CHECK employee selection",IF(INDEX(Team!$O$11:$O$60,C650)&lt;&gt;"OK","CHECK employee setup",IF(OR('_Dates'!J650=0,'_Dates'!T650=0),"CHECK date: use DD.MM.YYYY",IF('_Dates'!T650&lt;'_Dates'!J650,"CHECK end before start",IF(AND($B$6=0,OR('_Dates'!J650&lt;Settings!$B$7,'_Dates'!T650&gt;Settings!$B$8)),"CHECK split across leave years",IF(OR(NOT(OR('_Dates'!U650="Full day",'_Dates'!U650="AM",'_Dates'!U650="PM")),NOT(OR('_Dates'!V650="Full day",'_Dates'!V650="AM",'_Dates'!V650="PM"))),"CHECK Full day / AM / PM",IF(AND('_Dates'!J650='_Dates'!T650,'_Dates'!U650&lt;&gt;"Full day",'_Dates'!V650&lt;&gt;"Full day",'_Dates'!U650&lt;&gt;'_Dates'!V650),"CHECK same-day portions disagree",IF(AND($B$6=0,OR(AND('_Dates'!U650&lt;&gt;"Full day",'_Dates'!AA650=0),AND('_Dates'!V650&lt;&gt;"Full day",'_Dates'!AB650=0))),"CHECK half-day on non-working date",IF(COUNTIF(Settings!$G$7:$G$11,D650)&lt;&gt;1,"CHECK leave type",IF(AND(Bookings!G650&lt;&gt;"Approved",Bookings!G650&lt;&gt;"Pending",Bookings!G650&lt;&gt;"Cancelled"),"CHECK status","OK")))))))))),"CHECK input"))</ns0:f>
        <ns0:v/>
      </ns0:c>
      <ns0:c r="G650" s="0">
        <ns0:f>IF(OR(F650&lt;&gt;"OK",$B$6&gt;0),0,0.5*(IF(('_Dates'!X650)&lt;('_Dates'!W650),0,INT((('_Dates'!X650)-('_Dates'!W650)+1)/7)*LEN(SUBSTITUTE(W650,"O",""))+LEN(SUBSTITUTE(MID(W650&amp;W650,WEEKDAY(('_Dates'!W650),2),MOD((('_Dates'!X650)-('_Dates'!W650)+1),7)),"O",""))-COUNTIFS(INDEX(AllClosureRows,C650,0),"&gt;="&amp;('_Dates'!W650),INDEX(AllClosureRows,C650,0),"&lt;="&amp;('_Dates'!X650)))+IF(('_Dates'!Z650)&lt;('_Dates'!Y650),0,INT((('_Dates'!Z650)-('_Dates'!Y650)+1)/7)*LEN(SUBSTITUTE(W650,"O",""))+LEN(SUBSTITUTE(MID(W650&amp;W650,WEEKDAY(('_Dates'!Y650),2),MOD((('_Dates'!Z650)-('_Dates'!Y650)+1),7)),"O",""))-COUNTIFS(INDEX(AllClosureRows,C650,0),"&gt;="&amp;('_Dates'!Y650),INDEX(AllClosureRows,C650,0),"&lt;="&amp;('_Dates'!Z650)))))</ns0:f>
        <ns0:v>0</ns0:v>
      </ns0:c>
      <ns0:c r="H650" s="0">
        <ns0:f>IF(OR(F650&lt;&gt;"OK",$B$6&gt;0),0,0.5*(IF((MIN('_Dates'!X650,Settings!$B$9))&lt;('_Dates'!W650),0,INT(((MIN('_Dates'!X650,Settings!$B$9))-('_Dates'!W650)+1)/7)*LEN(SUBSTITUTE(W650,"O",""))+LEN(SUBSTITUTE(MID(W650&amp;W650,WEEKDAY(('_Dates'!W650),2),MOD(((MIN('_Dates'!X650,Settings!$B$9))-('_Dates'!W650)+1),7)),"O",""))-COUNTIFS(INDEX(AllClosureRows,C650,0),"&gt;="&amp;('_Dates'!W650),INDEX(AllClosureRows,C650,0),"&lt;="&amp;(MIN('_Dates'!X650,Settings!$B$9))))+IF((MIN('_Dates'!Z650,Settings!$B$9))&lt;('_Dates'!Y650),0,INT(((MIN('_Dates'!Z650,Settings!$B$9))-('_Dates'!Y650)+1)/7)*LEN(SUBSTITUTE(W650,"O",""))+LEN(SUBSTITUTE(MID(W650&amp;W650,WEEKDAY(('_Dates'!Y650),2),MOD(((MIN('_Dates'!Z650,Settings!$B$9))-('_Dates'!Y650)+1),7)),"O",""))-COUNTIFS(INDEX(AllClosureRows,C650,0),"&gt;="&amp;('_Dates'!Y650),INDEX(AllClosureRows,C650,0),"&lt;="&amp;(MIN('_Dates'!Z650,Settings!$B$9))))))</ns0:f>
        <ns0:v>0</ns0:v>
      </ns0:c>
      <ns0:c r="I650" s="0">
        <ns0:f>MAX(0,G650-H650)</ns0:f>
        <ns0:v>0</ns0:v>
      </ns0:c>
      <ns0:c r="J650" s="0">
        <ns0:f>IF(OR(A650=0,F650&lt;&gt;"OK",Bookings!G650="Cancelled",$B$6&gt;0),0,IF('_Dates'!AC650=1,MAX(0,COUNTIFS(rngEngine_B,B650,rngAMStart,"&lt;="&amp;'_Dates'!X650,rngAMEnd,"&gt;="&amp;'_Dates'!W650,rngAMActive,1,rngEngine_F,"OK",rngBookings_F,"&lt;&gt;Cancelled")-1),0)+IF('_Dates'!AD650=1,MAX(0,COUNTIFS(rngEngine_B,B650,rngPMStart,"&lt;="&amp;'_Dates'!Z650,rngPMEnd,"&gt;="&amp;'_Dates'!Y650,rngPMActive,1,rngEngine_F,"OK",rngBookings_F,"&lt;&gt;Cancelled")-1),0))</ns0:f>
        <ns0:v>0</ns0:v>
      </ns0:c>
      <ns0:c r="K650" s="0" t="str">
        <ns0:f>IF(A650=0,"",IF(F650&lt;&gt;"OK",F650,IF(J650&gt;0,"CHECK overlapping entry",IF(AND($B$6=0,G650&lt;=0,Bookings!G650&lt;&gt;"Cancelled"),"CHECK no working days",IF(Bookings!G650="Cancelled","Cancelled","OK")))))</ns0:f>
        <ns0:v/>
      </ns0:c>
      <ns0:c r="L650" s="0">
        <ns0:f>IF(LEFT(K650,5)="CHECK",1,0)</ns0:f>
        <ns0:v>0</ns0:v>
      </ns0:c>
      <ns0:c r="M650" s="0">
        <ns0:f>IF(AND(L650=1,OR(C650=0,IFERROR(INDEX($X$11:$X$60,C650),0)=0)),1,0)</ns0:f>
        <ns0:v>0</ns0:v>
      </ns0:c>
      <ns0:c r="N650" s="0">
        <ns0:f>IF(OR(A650=0,L650&gt;0,$B$6&gt;0,Bookings!G650="Cancelled"),0,G650)</ns0:f>
        <ns0:v>0</ns0:v>
      </ns0:c>
      <ns0:c r="O650" s="0">
        <ns0:f>IF(AND(Bookings!G650="Approved",E650="Yes"),N650,0)</ns0:f>
        <ns0:v>0</ns0:v>
      </ns0:c>
      <ns0:c r="P650" s="0">
        <ns0:f>IF(AND(Bookings!G650="Approved",E650="Yes",L650=0,$B$6=0),H650,0)</ns0:f>
        <ns0:v>0</ns0:v>
      </ns0:c>
      <ns0:c r="Q650" s="0">
        <ns0:f>IF(AND(Bookings!G650="Approved",E650="Yes",L650=0,$B$6=0),I650,0)</ns0:f>
        <ns0:v>0</ns0:v>
      </ns0:c>
      <ns0:c r="R650" s="0">
        <ns0:f>IF(AND(Bookings!G650="Pending",E650="Yes"),N650,0)</ns0:f>
        <ns0:v>0</ns0:v>
      </ns0:c>
      <ns0:c r="S650" s="0">
        <ns0:f>IF(AND(Bookings!G650="Approved",E650="No"),N650,0)</ns0:f>
        <ns0:v>0</ns0:v>
      </ns0:c>
      <ns0:c r="T650" s="0">
        <ns0:f>IFERROR(MATCH(D650,Settings!$G$7:$G$11,0),0)</ns0:f>
        <ns0:v>0</ns0:v>
      </ns0:c>
      <ns0:c r="U650" s="0">
        <ns0:f>IF(N650&gt;0,T650+IF(Bookings!G650="Pending",10,0),0)</ns0:f>
        <ns0:v>0</ns0:v>
      </ns0:c>
      <ns0:c r="V650" s="0">
        <ns0:f>U650</ns0:f>
        <ns0:v>0</ns0:v>
      </ns0:c>
      <ns0:c r="W650" s="0" t="str">
        <ns0:f>IF(C650=0,"",INDEX($AP$11:$AP$60,C650))</ns0:f>
        <ns0:v/>
      </ns0:c>
    </ns0:row>
    <ns0:row r="651">
      <ns0:c r="A651" s="0">
        <ns0:f>IF(COUNTA(Bookings!A651:G651,Bookings!I651)=0,0,1)</ns0:f>
        <ns0:v>0</ns0:v>
      </ns0:c>
      <ns0:c r="B651" s="0" t="str">
        <ns0:f>IFERROR(TRIM(MID(Bookings!A651,FIND(" · ",Bookings!A651)+3,99)),"")</ns0:f>
        <ns0:v/>
      </ns0:c>
      <ns0:c r="C651" s="0">
        <ns0:f>IF(OR(B651="",LEN(B651)&gt;24,ISNUMBER(FIND(" ",B651)),ISNUMBER(FIND("*",B651)),ISNUMBER(FIND("?",B651)),ISNUMBER(FIND("~",B651))),0,IFERROR(MATCH(B651,Team!$A$11:$A$60,0),0))</ns0:f>
        <ns0:v>0</ns0:v>
      </ns0:c>
      <ns0:c r="D651" s="0" t="str">
        <ns0:f>IFERROR(IF(MID(Bookings!F651,LEN(Bookings!F651)-3,3)=" · ",RIGHT(Bookings!F651,1),""),"")</ns0:f>
        <ns0:v/>
      </ns0:c>
      <ns0:c r="E651" s="0" t="str">
        <ns0:f>IFERROR(INDEX(Settings!$H$7:$H$11,MATCH(D651,Settings!$G$7:$G$11,0)),"")</ns0:f>
        <ns0:v/>
      </ns0:c>
      <ns0:c r="F651" s="0" t="str">
        <ns0:f>IF(A651=0,"",IFERROR(IF(OR(B651="",C651=0),"CHECK employee selection",IF(INDEX(Team!$O$11:$O$60,C651)&lt;&gt;"OK","CHECK employee setup",IF(OR('_Dates'!J651=0,'_Dates'!T651=0),"CHECK date: use DD.MM.YYYY",IF('_Dates'!T651&lt;'_Dates'!J651,"CHECK end before start",IF(AND($B$6=0,OR('_Dates'!J651&lt;Settings!$B$7,'_Dates'!T651&gt;Settings!$B$8)),"CHECK split across leave years",IF(OR(NOT(OR('_Dates'!U651="Full day",'_Dates'!U651="AM",'_Dates'!U651="PM")),NOT(OR('_Dates'!V651="Full day",'_Dates'!V651="AM",'_Dates'!V651="PM"))),"CHECK Full day / AM / PM",IF(AND('_Dates'!J651='_Dates'!T651,'_Dates'!U651&lt;&gt;"Full day",'_Dates'!V651&lt;&gt;"Full day",'_Dates'!U651&lt;&gt;'_Dates'!V651),"CHECK same-day portions disagree",IF(AND($B$6=0,OR(AND('_Dates'!U651&lt;&gt;"Full day",'_Dates'!AA651=0),AND('_Dates'!V651&lt;&gt;"Full day",'_Dates'!AB651=0))),"CHECK half-day on non-working date",IF(COUNTIF(Settings!$G$7:$G$11,D651)&lt;&gt;1,"CHECK leave type",IF(AND(Bookings!G651&lt;&gt;"Approved",Bookings!G651&lt;&gt;"Pending",Bookings!G651&lt;&gt;"Cancelled"),"CHECK status","OK")))))))))),"CHECK input"))</ns0:f>
        <ns0:v/>
      </ns0:c>
      <ns0:c r="G651" s="0">
        <ns0:f>IF(OR(F651&lt;&gt;"OK",$B$6&gt;0),0,0.5*(IF(('_Dates'!X651)&lt;('_Dates'!W651),0,INT((('_Dates'!X651)-('_Dates'!W651)+1)/7)*LEN(SUBSTITUTE(W651,"O",""))+LEN(SUBSTITUTE(MID(W651&amp;W651,WEEKDAY(('_Dates'!W651),2),MOD((('_Dates'!X651)-('_Dates'!W651)+1),7)),"O",""))-COUNTIFS(INDEX(AllClosureRows,C651,0),"&gt;="&amp;('_Dates'!W651),INDEX(AllClosureRows,C651,0),"&lt;="&amp;('_Dates'!X651)))+IF(('_Dates'!Z651)&lt;('_Dates'!Y651),0,INT((('_Dates'!Z651)-('_Dates'!Y651)+1)/7)*LEN(SUBSTITUTE(W651,"O",""))+LEN(SUBSTITUTE(MID(W651&amp;W651,WEEKDAY(('_Dates'!Y651),2),MOD((('_Dates'!Z651)-('_Dates'!Y651)+1),7)),"O",""))-COUNTIFS(INDEX(AllClosureRows,C651,0),"&gt;="&amp;('_Dates'!Y651),INDEX(AllClosureRows,C651,0),"&lt;="&amp;('_Dates'!Z651)))))</ns0:f>
        <ns0:v>0</ns0:v>
      </ns0:c>
      <ns0:c r="H651" s="0">
        <ns0:f>IF(OR(F651&lt;&gt;"OK",$B$6&gt;0),0,0.5*(IF((MIN('_Dates'!X651,Settings!$B$9))&lt;('_Dates'!W651),0,INT(((MIN('_Dates'!X651,Settings!$B$9))-('_Dates'!W651)+1)/7)*LEN(SUBSTITUTE(W651,"O",""))+LEN(SUBSTITUTE(MID(W651&amp;W651,WEEKDAY(('_Dates'!W651),2),MOD(((MIN('_Dates'!X651,Settings!$B$9))-('_Dates'!W651)+1),7)),"O",""))-COUNTIFS(INDEX(AllClosureRows,C651,0),"&gt;="&amp;('_Dates'!W651),INDEX(AllClosureRows,C651,0),"&lt;="&amp;(MIN('_Dates'!X651,Settings!$B$9))))+IF((MIN('_Dates'!Z651,Settings!$B$9))&lt;('_Dates'!Y651),0,INT(((MIN('_Dates'!Z651,Settings!$B$9))-('_Dates'!Y651)+1)/7)*LEN(SUBSTITUTE(W651,"O",""))+LEN(SUBSTITUTE(MID(W651&amp;W651,WEEKDAY(('_Dates'!Y651),2),MOD(((MIN('_Dates'!Z651,Settings!$B$9))-('_Dates'!Y651)+1),7)),"O",""))-COUNTIFS(INDEX(AllClosureRows,C651,0),"&gt;="&amp;('_Dates'!Y651),INDEX(AllClosureRows,C651,0),"&lt;="&amp;(MIN('_Dates'!Z651,Settings!$B$9))))))</ns0:f>
        <ns0:v>0</ns0:v>
      </ns0:c>
      <ns0:c r="I651" s="0">
        <ns0:f>MAX(0,G651-H651)</ns0:f>
        <ns0:v>0</ns0:v>
      </ns0:c>
      <ns0:c r="J651" s="0">
        <ns0:f>IF(OR(A651=0,F651&lt;&gt;"OK",Bookings!G651="Cancelled",$B$6&gt;0),0,IF('_Dates'!AC651=1,MAX(0,COUNTIFS(rngEngine_B,B651,rngAMStart,"&lt;="&amp;'_Dates'!X651,rngAMEnd,"&gt;="&amp;'_Dates'!W651,rngAMActive,1,rngEngine_F,"OK",rngBookings_F,"&lt;&gt;Cancelled")-1),0)+IF('_Dates'!AD651=1,MAX(0,COUNTIFS(rngEngine_B,B651,rngPMStart,"&lt;="&amp;'_Dates'!Z651,rngPMEnd,"&gt;="&amp;'_Dates'!Y651,rngPMActive,1,rngEngine_F,"OK",rngBookings_F,"&lt;&gt;Cancelled")-1),0))</ns0:f>
        <ns0:v>0</ns0:v>
      </ns0:c>
      <ns0:c r="K651" s="0" t="str">
        <ns0:f>IF(A651=0,"",IF(F651&lt;&gt;"OK",F651,IF(J651&gt;0,"CHECK overlapping entry",IF(AND($B$6=0,G651&lt;=0,Bookings!G651&lt;&gt;"Cancelled"),"CHECK no working days",IF(Bookings!G651="Cancelled","Cancelled","OK")))))</ns0:f>
        <ns0:v/>
      </ns0:c>
      <ns0:c r="L651" s="0">
        <ns0:f>IF(LEFT(K651,5)="CHECK",1,0)</ns0:f>
        <ns0:v>0</ns0:v>
      </ns0:c>
      <ns0:c r="M651" s="0">
        <ns0:f>IF(AND(L651=1,OR(C651=0,IFERROR(INDEX($X$11:$X$60,C651),0)=0)),1,0)</ns0:f>
        <ns0:v>0</ns0:v>
      </ns0:c>
      <ns0:c r="N651" s="0">
        <ns0:f>IF(OR(A651=0,L651&gt;0,$B$6&gt;0,Bookings!G651="Cancelled"),0,G651)</ns0:f>
        <ns0:v>0</ns0:v>
      </ns0:c>
      <ns0:c r="O651" s="0">
        <ns0:f>IF(AND(Bookings!G651="Approved",E651="Yes"),N651,0)</ns0:f>
        <ns0:v>0</ns0:v>
      </ns0:c>
      <ns0:c r="P651" s="0">
        <ns0:f>IF(AND(Bookings!G651="Approved",E651="Yes",L651=0,$B$6=0),H651,0)</ns0:f>
        <ns0:v>0</ns0:v>
      </ns0:c>
      <ns0:c r="Q651" s="0">
        <ns0:f>IF(AND(Bookings!G651="Approved",E651="Yes",L651=0,$B$6=0),I651,0)</ns0:f>
        <ns0:v>0</ns0:v>
      </ns0:c>
      <ns0:c r="R651" s="0">
        <ns0:f>IF(AND(Bookings!G651="Pending",E651="Yes"),N651,0)</ns0:f>
        <ns0:v>0</ns0:v>
      </ns0:c>
      <ns0:c r="S651" s="0">
        <ns0:f>IF(AND(Bookings!G651="Approved",E651="No"),N651,0)</ns0:f>
        <ns0:v>0</ns0:v>
      </ns0:c>
      <ns0:c r="T651" s="0">
        <ns0:f>IFERROR(MATCH(D651,Settings!$G$7:$G$11,0),0)</ns0:f>
        <ns0:v>0</ns0:v>
      </ns0:c>
      <ns0:c r="U651" s="0">
        <ns0:f>IF(N651&gt;0,T651+IF(Bookings!G651="Pending",10,0),0)</ns0:f>
        <ns0:v>0</ns0:v>
      </ns0:c>
      <ns0:c r="V651" s="0">
        <ns0:f>U651</ns0:f>
        <ns0:v>0</ns0:v>
      </ns0:c>
      <ns0:c r="W651" s="0" t="str">
        <ns0:f>IF(C651=0,"",INDEX($AP$11:$AP$60,C651))</ns0:f>
        <ns0:v/>
      </ns0:c>
    </ns0:row>
    <ns0:row r="652">
      <ns0:c r="A652" s="0">
        <ns0:f>IF(COUNTA(Bookings!A652:G652,Bookings!I652)=0,0,1)</ns0:f>
        <ns0:v>0</ns0:v>
      </ns0:c>
      <ns0:c r="B652" s="0" t="str">
        <ns0:f>IFERROR(TRIM(MID(Bookings!A652,FIND(" · ",Bookings!A652)+3,99)),"")</ns0:f>
        <ns0:v/>
      </ns0:c>
      <ns0:c r="C652" s="0">
        <ns0:f>IF(OR(B652="",LEN(B652)&gt;24,ISNUMBER(FIND(" ",B652)),ISNUMBER(FIND("*",B652)),ISNUMBER(FIND("?",B652)),ISNUMBER(FIND("~",B652))),0,IFERROR(MATCH(B652,Team!$A$11:$A$60,0),0))</ns0:f>
        <ns0:v>0</ns0:v>
      </ns0:c>
      <ns0:c r="D652" s="0" t="str">
        <ns0:f>IFERROR(IF(MID(Bookings!F652,LEN(Bookings!F652)-3,3)=" · ",RIGHT(Bookings!F652,1),""),"")</ns0:f>
        <ns0:v/>
      </ns0:c>
      <ns0:c r="E652" s="0" t="str">
        <ns0:f>IFERROR(INDEX(Settings!$H$7:$H$11,MATCH(D652,Settings!$G$7:$G$11,0)),"")</ns0:f>
        <ns0:v/>
      </ns0:c>
      <ns0:c r="F652" s="0" t="str">
        <ns0:f>IF(A652=0,"",IFERROR(IF(OR(B652="",C652=0),"CHECK employee selection",IF(INDEX(Team!$O$11:$O$60,C652)&lt;&gt;"OK","CHECK employee setup",IF(OR('_Dates'!J652=0,'_Dates'!T652=0),"CHECK date: use DD.MM.YYYY",IF('_Dates'!T652&lt;'_Dates'!J652,"CHECK end before start",IF(AND($B$6=0,OR('_Dates'!J652&lt;Settings!$B$7,'_Dates'!T652&gt;Settings!$B$8)),"CHECK split across leave years",IF(OR(NOT(OR('_Dates'!U652="Full day",'_Dates'!U652="AM",'_Dates'!U652="PM")),NOT(OR('_Dates'!V652="Full day",'_Dates'!V652="AM",'_Dates'!V652="PM"))),"CHECK Full day / AM / PM",IF(AND('_Dates'!J652='_Dates'!T652,'_Dates'!U652&lt;&gt;"Full day",'_Dates'!V652&lt;&gt;"Full day",'_Dates'!U652&lt;&gt;'_Dates'!V652),"CHECK same-day portions disagree",IF(AND($B$6=0,OR(AND('_Dates'!U652&lt;&gt;"Full day",'_Dates'!AA652=0),AND('_Dates'!V652&lt;&gt;"Full day",'_Dates'!AB652=0))),"CHECK half-day on non-working date",IF(COUNTIF(Settings!$G$7:$G$11,D652)&lt;&gt;1,"CHECK leave type",IF(AND(Bookings!G652&lt;&gt;"Approved",Bookings!G652&lt;&gt;"Pending",Bookings!G652&lt;&gt;"Cancelled"),"CHECK status","OK")))))))))),"CHECK input"))</ns0:f>
        <ns0:v/>
      </ns0:c>
      <ns0:c r="G652" s="0">
        <ns0:f>IF(OR(F652&lt;&gt;"OK",$B$6&gt;0),0,0.5*(IF(('_Dates'!X652)&lt;('_Dates'!W652),0,INT((('_Dates'!X652)-('_Dates'!W652)+1)/7)*LEN(SUBSTITUTE(W652,"O",""))+LEN(SUBSTITUTE(MID(W652&amp;W652,WEEKDAY(('_Dates'!W652),2),MOD((('_Dates'!X652)-('_Dates'!W652)+1),7)),"O",""))-COUNTIFS(INDEX(AllClosureRows,C652,0),"&gt;="&amp;('_Dates'!W652),INDEX(AllClosureRows,C652,0),"&lt;="&amp;('_Dates'!X652)))+IF(('_Dates'!Z652)&lt;('_Dates'!Y652),0,INT((('_Dates'!Z652)-('_Dates'!Y652)+1)/7)*LEN(SUBSTITUTE(W652,"O",""))+LEN(SUBSTITUTE(MID(W652&amp;W652,WEEKDAY(('_Dates'!Y652),2),MOD((('_Dates'!Z652)-('_Dates'!Y652)+1),7)),"O",""))-COUNTIFS(INDEX(AllClosureRows,C652,0),"&gt;="&amp;('_Dates'!Y652),INDEX(AllClosureRows,C652,0),"&lt;="&amp;('_Dates'!Z652)))))</ns0:f>
        <ns0:v>0</ns0:v>
      </ns0:c>
      <ns0:c r="H652" s="0">
        <ns0:f>IF(OR(F652&lt;&gt;"OK",$B$6&gt;0),0,0.5*(IF((MIN('_Dates'!X652,Settings!$B$9))&lt;('_Dates'!W652),0,INT(((MIN('_Dates'!X652,Settings!$B$9))-('_Dates'!W652)+1)/7)*LEN(SUBSTITUTE(W652,"O",""))+LEN(SUBSTITUTE(MID(W652&amp;W652,WEEKDAY(('_Dates'!W652),2),MOD(((MIN('_Dates'!X652,Settings!$B$9))-('_Dates'!W652)+1),7)),"O",""))-COUNTIFS(INDEX(AllClosureRows,C652,0),"&gt;="&amp;('_Dates'!W652),INDEX(AllClosureRows,C652,0),"&lt;="&amp;(MIN('_Dates'!X652,Settings!$B$9))))+IF((MIN('_Dates'!Z652,Settings!$B$9))&lt;('_Dates'!Y652),0,INT(((MIN('_Dates'!Z652,Settings!$B$9))-('_Dates'!Y652)+1)/7)*LEN(SUBSTITUTE(W652,"O",""))+LEN(SUBSTITUTE(MID(W652&amp;W652,WEEKDAY(('_Dates'!Y652),2),MOD(((MIN('_Dates'!Z652,Settings!$B$9))-('_Dates'!Y652)+1),7)),"O",""))-COUNTIFS(INDEX(AllClosureRows,C652,0),"&gt;="&amp;('_Dates'!Y652),INDEX(AllClosureRows,C652,0),"&lt;="&amp;(MIN('_Dates'!Z652,Settings!$B$9))))))</ns0:f>
        <ns0:v>0</ns0:v>
      </ns0:c>
      <ns0:c r="I652" s="0">
        <ns0:f>MAX(0,G652-H652)</ns0:f>
        <ns0:v>0</ns0:v>
      </ns0:c>
      <ns0:c r="J652" s="0">
        <ns0:f>IF(OR(A652=0,F652&lt;&gt;"OK",Bookings!G652="Cancelled",$B$6&gt;0),0,IF('_Dates'!AC652=1,MAX(0,COUNTIFS(rngEngine_B,B652,rngAMStart,"&lt;="&amp;'_Dates'!X652,rngAMEnd,"&gt;="&amp;'_Dates'!W652,rngAMActive,1,rngEngine_F,"OK",rngBookings_F,"&lt;&gt;Cancelled")-1),0)+IF('_Dates'!AD652=1,MAX(0,COUNTIFS(rngEngine_B,B652,rngPMStart,"&lt;="&amp;'_Dates'!Z652,rngPMEnd,"&gt;="&amp;'_Dates'!Y652,rngPMActive,1,rngEngine_F,"OK",rngBookings_F,"&lt;&gt;Cancelled")-1),0))</ns0:f>
        <ns0:v>0</ns0:v>
      </ns0:c>
      <ns0:c r="K652" s="0" t="str">
        <ns0:f>IF(A652=0,"",IF(F652&lt;&gt;"OK",F652,IF(J652&gt;0,"CHECK overlapping entry",IF(AND($B$6=0,G652&lt;=0,Bookings!G652&lt;&gt;"Cancelled"),"CHECK no working days",IF(Bookings!G652="Cancelled","Cancelled","OK")))))</ns0:f>
        <ns0:v/>
      </ns0:c>
      <ns0:c r="L652" s="0">
        <ns0:f>IF(LEFT(K652,5)="CHECK",1,0)</ns0:f>
        <ns0:v>0</ns0:v>
      </ns0:c>
      <ns0:c r="M652" s="0">
        <ns0:f>IF(AND(L652=1,OR(C652=0,IFERROR(INDEX($X$11:$X$60,C652),0)=0)),1,0)</ns0:f>
        <ns0:v>0</ns0:v>
      </ns0:c>
      <ns0:c r="N652" s="0">
        <ns0:f>IF(OR(A652=0,L652&gt;0,$B$6&gt;0,Bookings!G652="Cancelled"),0,G652)</ns0:f>
        <ns0:v>0</ns0:v>
      </ns0:c>
      <ns0:c r="O652" s="0">
        <ns0:f>IF(AND(Bookings!G652="Approved",E652="Yes"),N652,0)</ns0:f>
        <ns0:v>0</ns0:v>
      </ns0:c>
      <ns0:c r="P652" s="0">
        <ns0:f>IF(AND(Bookings!G652="Approved",E652="Yes",L652=0,$B$6=0),H652,0)</ns0:f>
        <ns0:v>0</ns0:v>
      </ns0:c>
      <ns0:c r="Q652" s="0">
        <ns0:f>IF(AND(Bookings!G652="Approved",E652="Yes",L652=0,$B$6=0),I652,0)</ns0:f>
        <ns0:v>0</ns0:v>
      </ns0:c>
      <ns0:c r="R652" s="0">
        <ns0:f>IF(AND(Bookings!G652="Pending",E652="Yes"),N652,0)</ns0:f>
        <ns0:v>0</ns0:v>
      </ns0:c>
      <ns0:c r="S652" s="0">
        <ns0:f>IF(AND(Bookings!G652="Approved",E652="No"),N652,0)</ns0:f>
        <ns0:v>0</ns0:v>
      </ns0:c>
      <ns0:c r="T652" s="0">
        <ns0:f>IFERROR(MATCH(D652,Settings!$G$7:$G$11,0),0)</ns0:f>
        <ns0:v>0</ns0:v>
      </ns0:c>
      <ns0:c r="U652" s="0">
        <ns0:f>IF(N652&gt;0,T652+IF(Bookings!G652="Pending",10,0),0)</ns0:f>
        <ns0:v>0</ns0:v>
      </ns0:c>
      <ns0:c r="V652" s="0">
        <ns0:f>U652</ns0:f>
        <ns0:v>0</ns0:v>
      </ns0:c>
      <ns0:c r="W652" s="0" t="str">
        <ns0:f>IF(C652=0,"",INDEX($AP$11:$AP$60,C652))</ns0:f>
        <ns0:v/>
      </ns0:c>
    </ns0:row>
    <ns0:row r="653">
      <ns0:c r="A653" s="0">
        <ns0:f>IF(COUNTA(Bookings!A653:G653,Bookings!I653)=0,0,1)</ns0:f>
        <ns0:v>0</ns0:v>
      </ns0:c>
      <ns0:c r="B653" s="0" t="str">
        <ns0:f>IFERROR(TRIM(MID(Bookings!A653,FIND(" · ",Bookings!A653)+3,99)),"")</ns0:f>
        <ns0:v/>
      </ns0:c>
      <ns0:c r="C653" s="0">
        <ns0:f>IF(OR(B653="",LEN(B653)&gt;24,ISNUMBER(FIND(" ",B653)),ISNUMBER(FIND("*",B653)),ISNUMBER(FIND("?",B653)),ISNUMBER(FIND("~",B653))),0,IFERROR(MATCH(B653,Team!$A$11:$A$60,0),0))</ns0:f>
        <ns0:v>0</ns0:v>
      </ns0:c>
      <ns0:c r="D653" s="0" t="str">
        <ns0:f>IFERROR(IF(MID(Bookings!F653,LEN(Bookings!F653)-3,3)=" · ",RIGHT(Bookings!F653,1),""),"")</ns0:f>
        <ns0:v/>
      </ns0:c>
      <ns0:c r="E653" s="0" t="str">
        <ns0:f>IFERROR(INDEX(Settings!$H$7:$H$11,MATCH(D653,Settings!$G$7:$G$11,0)),"")</ns0:f>
        <ns0:v/>
      </ns0:c>
      <ns0:c r="F653" s="0" t="str">
        <ns0:f>IF(A653=0,"",IFERROR(IF(OR(B653="",C653=0),"CHECK employee selection",IF(INDEX(Team!$O$11:$O$60,C653)&lt;&gt;"OK","CHECK employee setup",IF(OR('_Dates'!J653=0,'_Dates'!T653=0),"CHECK date: use DD.MM.YYYY",IF('_Dates'!T653&lt;'_Dates'!J653,"CHECK end before start",IF(AND($B$6=0,OR('_Dates'!J653&lt;Settings!$B$7,'_Dates'!T653&gt;Settings!$B$8)),"CHECK split across leave years",IF(OR(NOT(OR('_Dates'!U653="Full day",'_Dates'!U653="AM",'_Dates'!U653="PM")),NOT(OR('_Dates'!V653="Full day",'_Dates'!V653="AM",'_Dates'!V653="PM"))),"CHECK Full day / AM / PM",IF(AND('_Dates'!J653='_Dates'!T653,'_Dates'!U653&lt;&gt;"Full day",'_Dates'!V653&lt;&gt;"Full day",'_Dates'!U653&lt;&gt;'_Dates'!V653),"CHECK same-day portions disagree",IF(AND($B$6=0,OR(AND('_Dates'!U653&lt;&gt;"Full day",'_Dates'!AA653=0),AND('_Dates'!V653&lt;&gt;"Full day",'_Dates'!AB653=0))),"CHECK half-day on non-working date",IF(COUNTIF(Settings!$G$7:$G$11,D653)&lt;&gt;1,"CHECK leave type",IF(AND(Bookings!G653&lt;&gt;"Approved",Bookings!G653&lt;&gt;"Pending",Bookings!G653&lt;&gt;"Cancelled"),"CHECK status","OK")))))))))),"CHECK input"))</ns0:f>
        <ns0:v/>
      </ns0:c>
      <ns0:c r="G653" s="0">
        <ns0:f>IF(OR(F653&lt;&gt;"OK",$B$6&gt;0),0,0.5*(IF(('_Dates'!X653)&lt;('_Dates'!W653),0,INT((('_Dates'!X653)-('_Dates'!W653)+1)/7)*LEN(SUBSTITUTE(W653,"O",""))+LEN(SUBSTITUTE(MID(W653&amp;W653,WEEKDAY(('_Dates'!W653),2),MOD((('_Dates'!X653)-('_Dates'!W653)+1),7)),"O",""))-COUNTIFS(INDEX(AllClosureRows,C653,0),"&gt;="&amp;('_Dates'!W653),INDEX(AllClosureRows,C653,0),"&lt;="&amp;('_Dates'!X653)))+IF(('_Dates'!Z653)&lt;('_Dates'!Y653),0,INT((('_Dates'!Z653)-('_Dates'!Y653)+1)/7)*LEN(SUBSTITUTE(W653,"O",""))+LEN(SUBSTITUTE(MID(W653&amp;W653,WEEKDAY(('_Dates'!Y653),2),MOD((('_Dates'!Z653)-('_Dates'!Y653)+1),7)),"O",""))-COUNTIFS(INDEX(AllClosureRows,C653,0),"&gt;="&amp;('_Dates'!Y653),INDEX(AllClosureRows,C653,0),"&lt;="&amp;('_Dates'!Z653)))))</ns0:f>
        <ns0:v>0</ns0:v>
      </ns0:c>
      <ns0:c r="H653" s="0">
        <ns0:f>IF(OR(F653&lt;&gt;"OK",$B$6&gt;0),0,0.5*(IF((MIN('_Dates'!X653,Settings!$B$9))&lt;('_Dates'!W653),0,INT(((MIN('_Dates'!X653,Settings!$B$9))-('_Dates'!W653)+1)/7)*LEN(SUBSTITUTE(W653,"O",""))+LEN(SUBSTITUTE(MID(W653&amp;W653,WEEKDAY(('_Dates'!W653),2),MOD(((MIN('_Dates'!X653,Settings!$B$9))-('_Dates'!W653)+1),7)),"O",""))-COUNTIFS(INDEX(AllClosureRows,C653,0),"&gt;="&amp;('_Dates'!W653),INDEX(AllClosureRows,C653,0),"&lt;="&amp;(MIN('_Dates'!X653,Settings!$B$9))))+IF((MIN('_Dates'!Z653,Settings!$B$9))&lt;('_Dates'!Y653),0,INT(((MIN('_Dates'!Z653,Settings!$B$9))-('_Dates'!Y653)+1)/7)*LEN(SUBSTITUTE(W653,"O",""))+LEN(SUBSTITUTE(MID(W653&amp;W653,WEEKDAY(('_Dates'!Y653),2),MOD(((MIN('_Dates'!Z653,Settings!$B$9))-('_Dates'!Y653)+1),7)),"O",""))-COUNTIFS(INDEX(AllClosureRows,C653,0),"&gt;="&amp;('_Dates'!Y653),INDEX(AllClosureRows,C653,0),"&lt;="&amp;(MIN('_Dates'!Z653,Settings!$B$9))))))</ns0:f>
        <ns0:v>0</ns0:v>
      </ns0:c>
      <ns0:c r="I653" s="0">
        <ns0:f>MAX(0,G653-H653)</ns0:f>
        <ns0:v>0</ns0:v>
      </ns0:c>
      <ns0:c r="J653" s="0">
        <ns0:f>IF(OR(A653=0,F653&lt;&gt;"OK",Bookings!G653="Cancelled",$B$6&gt;0),0,IF('_Dates'!AC653=1,MAX(0,COUNTIFS(rngEngine_B,B653,rngAMStart,"&lt;="&amp;'_Dates'!X653,rngAMEnd,"&gt;="&amp;'_Dates'!W653,rngAMActive,1,rngEngine_F,"OK",rngBookings_F,"&lt;&gt;Cancelled")-1),0)+IF('_Dates'!AD653=1,MAX(0,COUNTIFS(rngEngine_B,B653,rngPMStart,"&lt;="&amp;'_Dates'!Z653,rngPMEnd,"&gt;="&amp;'_Dates'!Y653,rngPMActive,1,rngEngine_F,"OK",rngBookings_F,"&lt;&gt;Cancelled")-1),0))</ns0:f>
        <ns0:v>0</ns0:v>
      </ns0:c>
      <ns0:c r="K653" s="0" t="str">
        <ns0:f>IF(A653=0,"",IF(F653&lt;&gt;"OK",F653,IF(J653&gt;0,"CHECK overlapping entry",IF(AND($B$6=0,G653&lt;=0,Bookings!G653&lt;&gt;"Cancelled"),"CHECK no working days",IF(Bookings!G653="Cancelled","Cancelled","OK")))))</ns0:f>
        <ns0:v/>
      </ns0:c>
      <ns0:c r="L653" s="0">
        <ns0:f>IF(LEFT(K653,5)="CHECK",1,0)</ns0:f>
        <ns0:v>0</ns0:v>
      </ns0:c>
      <ns0:c r="M653" s="0">
        <ns0:f>IF(AND(L653=1,OR(C653=0,IFERROR(INDEX($X$11:$X$60,C653),0)=0)),1,0)</ns0:f>
        <ns0:v>0</ns0:v>
      </ns0:c>
      <ns0:c r="N653" s="0">
        <ns0:f>IF(OR(A653=0,L653&gt;0,$B$6&gt;0,Bookings!G653="Cancelled"),0,G653)</ns0:f>
        <ns0:v>0</ns0:v>
      </ns0:c>
      <ns0:c r="O653" s="0">
        <ns0:f>IF(AND(Bookings!G653="Approved",E653="Yes"),N653,0)</ns0:f>
        <ns0:v>0</ns0:v>
      </ns0:c>
      <ns0:c r="P653" s="0">
        <ns0:f>IF(AND(Bookings!G653="Approved",E653="Yes",L653=0,$B$6=0),H653,0)</ns0:f>
        <ns0:v>0</ns0:v>
      </ns0:c>
      <ns0:c r="Q653" s="0">
        <ns0:f>IF(AND(Bookings!G653="Approved",E653="Yes",L653=0,$B$6=0),I653,0)</ns0:f>
        <ns0:v>0</ns0:v>
      </ns0:c>
      <ns0:c r="R653" s="0">
        <ns0:f>IF(AND(Bookings!G653="Pending",E653="Yes"),N653,0)</ns0:f>
        <ns0:v>0</ns0:v>
      </ns0:c>
      <ns0:c r="S653" s="0">
        <ns0:f>IF(AND(Bookings!G653="Approved",E653="No"),N653,0)</ns0:f>
        <ns0:v>0</ns0:v>
      </ns0:c>
      <ns0:c r="T653" s="0">
        <ns0:f>IFERROR(MATCH(D653,Settings!$G$7:$G$11,0),0)</ns0:f>
        <ns0:v>0</ns0:v>
      </ns0:c>
      <ns0:c r="U653" s="0">
        <ns0:f>IF(N653&gt;0,T653+IF(Bookings!G653="Pending",10,0),0)</ns0:f>
        <ns0:v>0</ns0:v>
      </ns0:c>
      <ns0:c r="V653" s="0">
        <ns0:f>U653</ns0:f>
        <ns0:v>0</ns0:v>
      </ns0:c>
      <ns0:c r="W653" s="0" t="str">
        <ns0:f>IF(C653=0,"",INDEX($AP$11:$AP$60,C653))</ns0:f>
        <ns0:v/>
      </ns0:c>
    </ns0:row>
    <ns0:row r="654">
      <ns0:c r="A654" s="0">
        <ns0:f>IF(COUNTA(Bookings!A654:G654,Bookings!I654)=0,0,1)</ns0:f>
        <ns0:v>0</ns0:v>
      </ns0:c>
      <ns0:c r="B654" s="0" t="str">
        <ns0:f>IFERROR(TRIM(MID(Bookings!A654,FIND(" · ",Bookings!A654)+3,99)),"")</ns0:f>
        <ns0:v/>
      </ns0:c>
      <ns0:c r="C654" s="0">
        <ns0:f>IF(OR(B654="",LEN(B654)&gt;24,ISNUMBER(FIND(" ",B654)),ISNUMBER(FIND("*",B654)),ISNUMBER(FIND("?",B654)),ISNUMBER(FIND("~",B654))),0,IFERROR(MATCH(B654,Team!$A$11:$A$60,0),0))</ns0:f>
        <ns0:v>0</ns0:v>
      </ns0:c>
      <ns0:c r="D654" s="0" t="str">
        <ns0:f>IFERROR(IF(MID(Bookings!F654,LEN(Bookings!F654)-3,3)=" · ",RIGHT(Bookings!F654,1),""),"")</ns0:f>
        <ns0:v/>
      </ns0:c>
      <ns0:c r="E654" s="0" t="str">
        <ns0:f>IFERROR(INDEX(Settings!$H$7:$H$11,MATCH(D654,Settings!$G$7:$G$11,0)),"")</ns0:f>
        <ns0:v/>
      </ns0:c>
      <ns0:c r="F654" s="0" t="str">
        <ns0:f>IF(A654=0,"",IFERROR(IF(OR(B654="",C654=0),"CHECK employee selection",IF(INDEX(Team!$O$11:$O$60,C654)&lt;&gt;"OK","CHECK employee setup",IF(OR('_Dates'!J654=0,'_Dates'!T654=0),"CHECK date: use DD.MM.YYYY",IF('_Dates'!T654&lt;'_Dates'!J654,"CHECK end before start",IF(AND($B$6=0,OR('_Dates'!J654&lt;Settings!$B$7,'_Dates'!T654&gt;Settings!$B$8)),"CHECK split across leave years",IF(OR(NOT(OR('_Dates'!U654="Full day",'_Dates'!U654="AM",'_Dates'!U654="PM")),NOT(OR('_Dates'!V654="Full day",'_Dates'!V654="AM",'_Dates'!V654="PM"))),"CHECK Full day / AM / PM",IF(AND('_Dates'!J654='_Dates'!T654,'_Dates'!U654&lt;&gt;"Full day",'_Dates'!V654&lt;&gt;"Full day",'_Dates'!U654&lt;&gt;'_Dates'!V654),"CHECK same-day portions disagree",IF(AND($B$6=0,OR(AND('_Dates'!U654&lt;&gt;"Full day",'_Dates'!AA654=0),AND('_Dates'!V654&lt;&gt;"Full day",'_Dates'!AB654=0))),"CHECK half-day on non-working date",IF(COUNTIF(Settings!$G$7:$G$11,D654)&lt;&gt;1,"CHECK leave type",IF(AND(Bookings!G654&lt;&gt;"Approved",Bookings!G654&lt;&gt;"Pending",Bookings!G654&lt;&gt;"Cancelled"),"CHECK status","OK")))))))))),"CHECK input"))</ns0:f>
        <ns0:v/>
      </ns0:c>
      <ns0:c r="G654" s="0">
        <ns0:f>IF(OR(F654&lt;&gt;"OK",$B$6&gt;0),0,0.5*(IF(('_Dates'!X654)&lt;('_Dates'!W654),0,INT((('_Dates'!X654)-('_Dates'!W654)+1)/7)*LEN(SUBSTITUTE(W654,"O",""))+LEN(SUBSTITUTE(MID(W654&amp;W654,WEEKDAY(('_Dates'!W654),2),MOD((('_Dates'!X654)-('_Dates'!W654)+1),7)),"O",""))-COUNTIFS(INDEX(AllClosureRows,C654,0),"&gt;="&amp;('_Dates'!W654),INDEX(AllClosureRows,C654,0),"&lt;="&amp;('_Dates'!X654)))+IF(('_Dates'!Z654)&lt;('_Dates'!Y654),0,INT((('_Dates'!Z654)-('_Dates'!Y654)+1)/7)*LEN(SUBSTITUTE(W654,"O",""))+LEN(SUBSTITUTE(MID(W654&amp;W654,WEEKDAY(('_Dates'!Y654),2),MOD((('_Dates'!Z654)-('_Dates'!Y654)+1),7)),"O",""))-COUNTIFS(INDEX(AllClosureRows,C654,0),"&gt;="&amp;('_Dates'!Y654),INDEX(AllClosureRows,C654,0),"&lt;="&amp;('_Dates'!Z654)))))</ns0:f>
        <ns0:v>0</ns0:v>
      </ns0:c>
      <ns0:c r="H654" s="0">
        <ns0:f>IF(OR(F654&lt;&gt;"OK",$B$6&gt;0),0,0.5*(IF((MIN('_Dates'!X654,Settings!$B$9))&lt;('_Dates'!W654),0,INT(((MIN('_Dates'!X654,Settings!$B$9))-('_Dates'!W654)+1)/7)*LEN(SUBSTITUTE(W654,"O",""))+LEN(SUBSTITUTE(MID(W654&amp;W654,WEEKDAY(('_Dates'!W654),2),MOD(((MIN('_Dates'!X654,Settings!$B$9))-('_Dates'!W654)+1),7)),"O",""))-COUNTIFS(INDEX(AllClosureRows,C654,0),"&gt;="&amp;('_Dates'!W654),INDEX(AllClosureRows,C654,0),"&lt;="&amp;(MIN('_Dates'!X654,Settings!$B$9))))+IF((MIN('_Dates'!Z654,Settings!$B$9))&lt;('_Dates'!Y654),0,INT(((MIN('_Dates'!Z654,Settings!$B$9))-('_Dates'!Y654)+1)/7)*LEN(SUBSTITUTE(W654,"O",""))+LEN(SUBSTITUTE(MID(W654&amp;W654,WEEKDAY(('_Dates'!Y654),2),MOD(((MIN('_Dates'!Z654,Settings!$B$9))-('_Dates'!Y654)+1),7)),"O",""))-COUNTIFS(INDEX(AllClosureRows,C654,0),"&gt;="&amp;('_Dates'!Y654),INDEX(AllClosureRows,C654,0),"&lt;="&amp;(MIN('_Dates'!Z654,Settings!$B$9))))))</ns0:f>
        <ns0:v>0</ns0:v>
      </ns0:c>
      <ns0:c r="I654" s="0">
        <ns0:f>MAX(0,G654-H654)</ns0:f>
        <ns0:v>0</ns0:v>
      </ns0:c>
      <ns0:c r="J654" s="0">
        <ns0:f>IF(OR(A654=0,F654&lt;&gt;"OK",Bookings!G654="Cancelled",$B$6&gt;0),0,IF('_Dates'!AC654=1,MAX(0,COUNTIFS(rngEngine_B,B654,rngAMStart,"&lt;="&amp;'_Dates'!X654,rngAMEnd,"&gt;="&amp;'_Dates'!W654,rngAMActive,1,rngEngine_F,"OK",rngBookings_F,"&lt;&gt;Cancelled")-1),0)+IF('_Dates'!AD654=1,MAX(0,COUNTIFS(rngEngine_B,B654,rngPMStart,"&lt;="&amp;'_Dates'!Z654,rngPMEnd,"&gt;="&amp;'_Dates'!Y654,rngPMActive,1,rngEngine_F,"OK",rngBookings_F,"&lt;&gt;Cancelled")-1),0))</ns0:f>
        <ns0:v>0</ns0:v>
      </ns0:c>
      <ns0:c r="K654" s="0" t="str">
        <ns0:f>IF(A654=0,"",IF(F654&lt;&gt;"OK",F654,IF(J654&gt;0,"CHECK overlapping entry",IF(AND($B$6=0,G654&lt;=0,Bookings!G654&lt;&gt;"Cancelled"),"CHECK no working days",IF(Bookings!G654="Cancelled","Cancelled","OK")))))</ns0:f>
        <ns0:v/>
      </ns0:c>
      <ns0:c r="L654" s="0">
        <ns0:f>IF(LEFT(K654,5)="CHECK",1,0)</ns0:f>
        <ns0:v>0</ns0:v>
      </ns0:c>
      <ns0:c r="M654" s="0">
        <ns0:f>IF(AND(L654=1,OR(C654=0,IFERROR(INDEX($X$11:$X$60,C654),0)=0)),1,0)</ns0:f>
        <ns0:v>0</ns0:v>
      </ns0:c>
      <ns0:c r="N654" s="0">
        <ns0:f>IF(OR(A654=0,L654&gt;0,$B$6&gt;0,Bookings!G654="Cancelled"),0,G654)</ns0:f>
        <ns0:v>0</ns0:v>
      </ns0:c>
      <ns0:c r="O654" s="0">
        <ns0:f>IF(AND(Bookings!G654="Approved",E654="Yes"),N654,0)</ns0:f>
        <ns0:v>0</ns0:v>
      </ns0:c>
      <ns0:c r="P654" s="0">
        <ns0:f>IF(AND(Bookings!G654="Approved",E654="Yes",L654=0,$B$6=0),H654,0)</ns0:f>
        <ns0:v>0</ns0:v>
      </ns0:c>
      <ns0:c r="Q654" s="0">
        <ns0:f>IF(AND(Bookings!G654="Approved",E654="Yes",L654=0,$B$6=0),I654,0)</ns0:f>
        <ns0:v>0</ns0:v>
      </ns0:c>
      <ns0:c r="R654" s="0">
        <ns0:f>IF(AND(Bookings!G654="Pending",E654="Yes"),N654,0)</ns0:f>
        <ns0:v>0</ns0:v>
      </ns0:c>
      <ns0:c r="S654" s="0">
        <ns0:f>IF(AND(Bookings!G654="Approved",E654="No"),N654,0)</ns0:f>
        <ns0:v>0</ns0:v>
      </ns0:c>
      <ns0:c r="T654" s="0">
        <ns0:f>IFERROR(MATCH(D654,Settings!$G$7:$G$11,0),0)</ns0:f>
        <ns0:v>0</ns0:v>
      </ns0:c>
      <ns0:c r="U654" s="0">
        <ns0:f>IF(N654&gt;0,T654+IF(Bookings!G654="Pending",10,0),0)</ns0:f>
        <ns0:v>0</ns0:v>
      </ns0:c>
      <ns0:c r="V654" s="0">
        <ns0:f>U654</ns0:f>
        <ns0:v>0</ns0:v>
      </ns0:c>
      <ns0:c r="W654" s="0" t="str">
        <ns0:f>IF(C654=0,"",INDEX($AP$11:$AP$60,C654))</ns0:f>
        <ns0:v/>
      </ns0:c>
    </ns0:row>
    <ns0:row r="655">
      <ns0:c r="A655" s="0">
        <ns0:f>IF(COUNTA(Bookings!A655:G655,Bookings!I655)=0,0,1)</ns0:f>
        <ns0:v>0</ns0:v>
      </ns0:c>
      <ns0:c r="B655" s="0" t="str">
        <ns0:f>IFERROR(TRIM(MID(Bookings!A655,FIND(" · ",Bookings!A655)+3,99)),"")</ns0:f>
        <ns0:v/>
      </ns0:c>
      <ns0:c r="C655" s="0">
        <ns0:f>IF(OR(B655="",LEN(B655)&gt;24,ISNUMBER(FIND(" ",B655)),ISNUMBER(FIND("*",B655)),ISNUMBER(FIND("?",B655)),ISNUMBER(FIND("~",B655))),0,IFERROR(MATCH(B655,Team!$A$11:$A$60,0),0))</ns0:f>
        <ns0:v>0</ns0:v>
      </ns0:c>
      <ns0:c r="D655" s="0" t="str">
        <ns0:f>IFERROR(IF(MID(Bookings!F655,LEN(Bookings!F655)-3,3)=" · ",RIGHT(Bookings!F655,1),""),"")</ns0:f>
        <ns0:v/>
      </ns0:c>
      <ns0:c r="E655" s="0" t="str">
        <ns0:f>IFERROR(INDEX(Settings!$H$7:$H$11,MATCH(D655,Settings!$G$7:$G$11,0)),"")</ns0:f>
        <ns0:v/>
      </ns0:c>
      <ns0:c r="F655" s="0" t="str">
        <ns0:f>IF(A655=0,"",IFERROR(IF(OR(B655="",C655=0),"CHECK employee selection",IF(INDEX(Team!$O$11:$O$60,C655)&lt;&gt;"OK","CHECK employee setup",IF(OR('_Dates'!J655=0,'_Dates'!T655=0),"CHECK date: use DD.MM.YYYY",IF('_Dates'!T655&lt;'_Dates'!J655,"CHECK end before start",IF(AND($B$6=0,OR('_Dates'!J655&lt;Settings!$B$7,'_Dates'!T655&gt;Settings!$B$8)),"CHECK split across leave years",IF(OR(NOT(OR('_Dates'!U655="Full day",'_Dates'!U655="AM",'_Dates'!U655="PM")),NOT(OR('_Dates'!V655="Full day",'_Dates'!V655="AM",'_Dates'!V655="PM"))),"CHECK Full day / AM / PM",IF(AND('_Dates'!J655='_Dates'!T655,'_Dates'!U655&lt;&gt;"Full day",'_Dates'!V655&lt;&gt;"Full day",'_Dates'!U655&lt;&gt;'_Dates'!V655),"CHECK same-day portions disagree",IF(AND($B$6=0,OR(AND('_Dates'!U655&lt;&gt;"Full day",'_Dates'!AA655=0),AND('_Dates'!V655&lt;&gt;"Full day",'_Dates'!AB655=0))),"CHECK half-day on non-working date",IF(COUNTIF(Settings!$G$7:$G$11,D655)&lt;&gt;1,"CHECK leave type",IF(AND(Bookings!G655&lt;&gt;"Approved",Bookings!G655&lt;&gt;"Pending",Bookings!G655&lt;&gt;"Cancelled"),"CHECK status","OK")))))))))),"CHECK input"))</ns0:f>
        <ns0:v/>
      </ns0:c>
      <ns0:c r="G655" s="0">
        <ns0:f>IF(OR(F655&lt;&gt;"OK",$B$6&gt;0),0,0.5*(IF(('_Dates'!X655)&lt;('_Dates'!W655),0,INT((('_Dates'!X655)-('_Dates'!W655)+1)/7)*LEN(SUBSTITUTE(W655,"O",""))+LEN(SUBSTITUTE(MID(W655&amp;W655,WEEKDAY(('_Dates'!W655),2),MOD((('_Dates'!X655)-('_Dates'!W655)+1),7)),"O",""))-COUNTIFS(INDEX(AllClosureRows,C655,0),"&gt;="&amp;('_Dates'!W655),INDEX(AllClosureRows,C655,0),"&lt;="&amp;('_Dates'!X655)))+IF(('_Dates'!Z655)&lt;('_Dates'!Y655),0,INT((('_Dates'!Z655)-('_Dates'!Y655)+1)/7)*LEN(SUBSTITUTE(W655,"O",""))+LEN(SUBSTITUTE(MID(W655&amp;W655,WEEKDAY(('_Dates'!Y655),2),MOD((('_Dates'!Z655)-('_Dates'!Y655)+1),7)),"O",""))-COUNTIFS(INDEX(AllClosureRows,C655,0),"&gt;="&amp;('_Dates'!Y655),INDEX(AllClosureRows,C655,0),"&lt;="&amp;('_Dates'!Z655)))))</ns0:f>
        <ns0:v>0</ns0:v>
      </ns0:c>
      <ns0:c r="H655" s="0">
        <ns0:f>IF(OR(F655&lt;&gt;"OK",$B$6&gt;0),0,0.5*(IF((MIN('_Dates'!X655,Settings!$B$9))&lt;('_Dates'!W655),0,INT(((MIN('_Dates'!X655,Settings!$B$9))-('_Dates'!W655)+1)/7)*LEN(SUBSTITUTE(W655,"O",""))+LEN(SUBSTITUTE(MID(W655&amp;W655,WEEKDAY(('_Dates'!W655),2),MOD(((MIN('_Dates'!X655,Settings!$B$9))-('_Dates'!W655)+1),7)),"O",""))-COUNTIFS(INDEX(AllClosureRows,C655,0),"&gt;="&amp;('_Dates'!W655),INDEX(AllClosureRows,C655,0),"&lt;="&amp;(MIN('_Dates'!X655,Settings!$B$9))))+IF((MIN('_Dates'!Z655,Settings!$B$9))&lt;('_Dates'!Y655),0,INT(((MIN('_Dates'!Z655,Settings!$B$9))-('_Dates'!Y655)+1)/7)*LEN(SUBSTITUTE(W655,"O",""))+LEN(SUBSTITUTE(MID(W655&amp;W655,WEEKDAY(('_Dates'!Y655),2),MOD(((MIN('_Dates'!Z655,Settings!$B$9))-('_Dates'!Y655)+1),7)),"O",""))-COUNTIFS(INDEX(AllClosureRows,C655,0),"&gt;="&amp;('_Dates'!Y655),INDEX(AllClosureRows,C655,0),"&lt;="&amp;(MIN('_Dates'!Z655,Settings!$B$9))))))</ns0:f>
        <ns0:v>0</ns0:v>
      </ns0:c>
      <ns0:c r="I655" s="0">
        <ns0:f>MAX(0,G655-H655)</ns0:f>
        <ns0:v>0</ns0:v>
      </ns0:c>
      <ns0:c r="J655" s="0">
        <ns0:f>IF(OR(A655=0,F655&lt;&gt;"OK",Bookings!G655="Cancelled",$B$6&gt;0),0,IF('_Dates'!AC655=1,MAX(0,COUNTIFS(rngEngine_B,B655,rngAMStart,"&lt;="&amp;'_Dates'!X655,rngAMEnd,"&gt;="&amp;'_Dates'!W655,rngAMActive,1,rngEngine_F,"OK",rngBookings_F,"&lt;&gt;Cancelled")-1),0)+IF('_Dates'!AD655=1,MAX(0,COUNTIFS(rngEngine_B,B655,rngPMStart,"&lt;="&amp;'_Dates'!Z655,rngPMEnd,"&gt;="&amp;'_Dates'!Y655,rngPMActive,1,rngEngine_F,"OK",rngBookings_F,"&lt;&gt;Cancelled")-1),0))</ns0:f>
        <ns0:v>0</ns0:v>
      </ns0:c>
      <ns0:c r="K655" s="0" t="str">
        <ns0:f>IF(A655=0,"",IF(F655&lt;&gt;"OK",F655,IF(J655&gt;0,"CHECK overlapping entry",IF(AND($B$6=0,G655&lt;=0,Bookings!G655&lt;&gt;"Cancelled"),"CHECK no working days",IF(Bookings!G655="Cancelled","Cancelled","OK")))))</ns0:f>
        <ns0:v/>
      </ns0:c>
      <ns0:c r="L655" s="0">
        <ns0:f>IF(LEFT(K655,5)="CHECK",1,0)</ns0:f>
        <ns0:v>0</ns0:v>
      </ns0:c>
      <ns0:c r="M655" s="0">
        <ns0:f>IF(AND(L655=1,OR(C655=0,IFERROR(INDEX($X$11:$X$60,C655),0)=0)),1,0)</ns0:f>
        <ns0:v>0</ns0:v>
      </ns0:c>
      <ns0:c r="N655" s="0">
        <ns0:f>IF(OR(A655=0,L655&gt;0,$B$6&gt;0,Bookings!G655="Cancelled"),0,G655)</ns0:f>
        <ns0:v>0</ns0:v>
      </ns0:c>
      <ns0:c r="O655" s="0">
        <ns0:f>IF(AND(Bookings!G655="Approved",E655="Yes"),N655,0)</ns0:f>
        <ns0:v>0</ns0:v>
      </ns0:c>
      <ns0:c r="P655" s="0">
        <ns0:f>IF(AND(Bookings!G655="Approved",E655="Yes",L655=0,$B$6=0),H655,0)</ns0:f>
        <ns0:v>0</ns0:v>
      </ns0:c>
      <ns0:c r="Q655" s="0">
        <ns0:f>IF(AND(Bookings!G655="Approved",E655="Yes",L655=0,$B$6=0),I655,0)</ns0:f>
        <ns0:v>0</ns0:v>
      </ns0:c>
      <ns0:c r="R655" s="0">
        <ns0:f>IF(AND(Bookings!G655="Pending",E655="Yes"),N655,0)</ns0:f>
        <ns0:v>0</ns0:v>
      </ns0:c>
      <ns0:c r="S655" s="0">
        <ns0:f>IF(AND(Bookings!G655="Approved",E655="No"),N655,0)</ns0:f>
        <ns0:v>0</ns0:v>
      </ns0:c>
      <ns0:c r="T655" s="0">
        <ns0:f>IFERROR(MATCH(D655,Settings!$G$7:$G$11,0),0)</ns0:f>
        <ns0:v>0</ns0:v>
      </ns0:c>
      <ns0:c r="U655" s="0">
        <ns0:f>IF(N655&gt;0,T655+IF(Bookings!G655="Pending",10,0),0)</ns0:f>
        <ns0:v>0</ns0:v>
      </ns0:c>
      <ns0:c r="V655" s="0">
        <ns0:f>U655</ns0:f>
        <ns0:v>0</ns0:v>
      </ns0:c>
      <ns0:c r="W655" s="0" t="str">
        <ns0:f>IF(C655=0,"",INDEX($AP$11:$AP$60,C655))</ns0:f>
        <ns0:v/>
      </ns0:c>
    </ns0:row>
    <ns0:row r="656">
      <ns0:c r="A656" s="0">
        <ns0:f>IF(COUNTA(Bookings!A656:G656,Bookings!I656)=0,0,1)</ns0:f>
        <ns0:v>0</ns0:v>
      </ns0:c>
      <ns0:c r="B656" s="0" t="str">
        <ns0:f>IFERROR(TRIM(MID(Bookings!A656,FIND(" · ",Bookings!A656)+3,99)),"")</ns0:f>
        <ns0:v/>
      </ns0:c>
      <ns0:c r="C656" s="0">
        <ns0:f>IF(OR(B656="",LEN(B656)&gt;24,ISNUMBER(FIND(" ",B656)),ISNUMBER(FIND("*",B656)),ISNUMBER(FIND("?",B656)),ISNUMBER(FIND("~",B656))),0,IFERROR(MATCH(B656,Team!$A$11:$A$60,0),0))</ns0:f>
        <ns0:v>0</ns0:v>
      </ns0:c>
      <ns0:c r="D656" s="0" t="str">
        <ns0:f>IFERROR(IF(MID(Bookings!F656,LEN(Bookings!F656)-3,3)=" · ",RIGHT(Bookings!F656,1),""),"")</ns0:f>
        <ns0:v/>
      </ns0:c>
      <ns0:c r="E656" s="0" t="str">
        <ns0:f>IFERROR(INDEX(Settings!$H$7:$H$11,MATCH(D656,Settings!$G$7:$G$11,0)),"")</ns0:f>
        <ns0:v/>
      </ns0:c>
      <ns0:c r="F656" s="0" t="str">
        <ns0:f>IF(A656=0,"",IFERROR(IF(OR(B656="",C656=0),"CHECK employee selection",IF(INDEX(Team!$O$11:$O$60,C656)&lt;&gt;"OK","CHECK employee setup",IF(OR('_Dates'!J656=0,'_Dates'!T656=0),"CHECK date: use DD.MM.YYYY",IF('_Dates'!T656&lt;'_Dates'!J656,"CHECK end before start",IF(AND($B$6=0,OR('_Dates'!J656&lt;Settings!$B$7,'_Dates'!T656&gt;Settings!$B$8)),"CHECK split across leave years",IF(OR(NOT(OR('_Dates'!U656="Full day",'_Dates'!U656="AM",'_Dates'!U656="PM")),NOT(OR('_Dates'!V656="Full day",'_Dates'!V656="AM",'_Dates'!V656="PM"))),"CHECK Full day / AM / PM",IF(AND('_Dates'!J656='_Dates'!T656,'_Dates'!U656&lt;&gt;"Full day",'_Dates'!V656&lt;&gt;"Full day",'_Dates'!U656&lt;&gt;'_Dates'!V656),"CHECK same-day portions disagree",IF(AND($B$6=0,OR(AND('_Dates'!U656&lt;&gt;"Full day",'_Dates'!AA656=0),AND('_Dates'!V656&lt;&gt;"Full day",'_Dates'!AB656=0))),"CHECK half-day on non-working date",IF(COUNTIF(Settings!$G$7:$G$11,D656)&lt;&gt;1,"CHECK leave type",IF(AND(Bookings!G656&lt;&gt;"Approved",Bookings!G656&lt;&gt;"Pending",Bookings!G656&lt;&gt;"Cancelled"),"CHECK status","OK")))))))))),"CHECK input"))</ns0:f>
        <ns0:v/>
      </ns0:c>
      <ns0:c r="G656" s="0">
        <ns0:f>IF(OR(F656&lt;&gt;"OK",$B$6&gt;0),0,0.5*(IF(('_Dates'!X656)&lt;('_Dates'!W656),0,INT((('_Dates'!X656)-('_Dates'!W656)+1)/7)*LEN(SUBSTITUTE(W656,"O",""))+LEN(SUBSTITUTE(MID(W656&amp;W656,WEEKDAY(('_Dates'!W656),2),MOD((('_Dates'!X656)-('_Dates'!W656)+1),7)),"O",""))-COUNTIFS(INDEX(AllClosureRows,C656,0),"&gt;="&amp;('_Dates'!W656),INDEX(AllClosureRows,C656,0),"&lt;="&amp;('_Dates'!X656)))+IF(('_Dates'!Z656)&lt;('_Dates'!Y656),0,INT((('_Dates'!Z656)-('_Dates'!Y656)+1)/7)*LEN(SUBSTITUTE(W656,"O",""))+LEN(SUBSTITUTE(MID(W656&amp;W656,WEEKDAY(('_Dates'!Y656),2),MOD((('_Dates'!Z656)-('_Dates'!Y656)+1),7)),"O",""))-COUNTIFS(INDEX(AllClosureRows,C656,0),"&gt;="&amp;('_Dates'!Y656),INDEX(AllClosureRows,C656,0),"&lt;="&amp;('_Dates'!Z656)))))</ns0:f>
        <ns0:v>0</ns0:v>
      </ns0:c>
      <ns0:c r="H656" s="0">
        <ns0:f>IF(OR(F656&lt;&gt;"OK",$B$6&gt;0),0,0.5*(IF((MIN('_Dates'!X656,Settings!$B$9))&lt;('_Dates'!W656),0,INT(((MIN('_Dates'!X656,Settings!$B$9))-('_Dates'!W656)+1)/7)*LEN(SUBSTITUTE(W656,"O",""))+LEN(SUBSTITUTE(MID(W656&amp;W656,WEEKDAY(('_Dates'!W656),2),MOD(((MIN('_Dates'!X656,Settings!$B$9))-('_Dates'!W656)+1),7)),"O",""))-COUNTIFS(INDEX(AllClosureRows,C656,0),"&gt;="&amp;('_Dates'!W656),INDEX(AllClosureRows,C656,0),"&lt;="&amp;(MIN('_Dates'!X656,Settings!$B$9))))+IF((MIN('_Dates'!Z656,Settings!$B$9))&lt;('_Dates'!Y656),0,INT(((MIN('_Dates'!Z656,Settings!$B$9))-('_Dates'!Y656)+1)/7)*LEN(SUBSTITUTE(W656,"O",""))+LEN(SUBSTITUTE(MID(W656&amp;W656,WEEKDAY(('_Dates'!Y656),2),MOD(((MIN('_Dates'!Z656,Settings!$B$9))-('_Dates'!Y656)+1),7)),"O",""))-COUNTIFS(INDEX(AllClosureRows,C656,0),"&gt;="&amp;('_Dates'!Y656),INDEX(AllClosureRows,C656,0),"&lt;="&amp;(MIN('_Dates'!Z656,Settings!$B$9))))))</ns0:f>
        <ns0:v>0</ns0:v>
      </ns0:c>
      <ns0:c r="I656" s="0">
        <ns0:f>MAX(0,G656-H656)</ns0:f>
        <ns0:v>0</ns0:v>
      </ns0:c>
      <ns0:c r="J656" s="0">
        <ns0:f>IF(OR(A656=0,F656&lt;&gt;"OK",Bookings!G656="Cancelled",$B$6&gt;0),0,IF('_Dates'!AC656=1,MAX(0,COUNTIFS(rngEngine_B,B656,rngAMStart,"&lt;="&amp;'_Dates'!X656,rngAMEnd,"&gt;="&amp;'_Dates'!W656,rngAMActive,1,rngEngine_F,"OK",rngBookings_F,"&lt;&gt;Cancelled")-1),0)+IF('_Dates'!AD656=1,MAX(0,COUNTIFS(rngEngine_B,B656,rngPMStart,"&lt;="&amp;'_Dates'!Z656,rngPMEnd,"&gt;="&amp;'_Dates'!Y656,rngPMActive,1,rngEngine_F,"OK",rngBookings_F,"&lt;&gt;Cancelled")-1),0))</ns0:f>
        <ns0:v>0</ns0:v>
      </ns0:c>
      <ns0:c r="K656" s="0" t="str">
        <ns0:f>IF(A656=0,"",IF(F656&lt;&gt;"OK",F656,IF(J656&gt;0,"CHECK overlapping entry",IF(AND($B$6=0,G656&lt;=0,Bookings!G656&lt;&gt;"Cancelled"),"CHECK no working days",IF(Bookings!G656="Cancelled","Cancelled","OK")))))</ns0:f>
        <ns0:v/>
      </ns0:c>
      <ns0:c r="L656" s="0">
        <ns0:f>IF(LEFT(K656,5)="CHECK",1,0)</ns0:f>
        <ns0:v>0</ns0:v>
      </ns0:c>
      <ns0:c r="M656" s="0">
        <ns0:f>IF(AND(L656=1,OR(C656=0,IFERROR(INDEX($X$11:$X$60,C656),0)=0)),1,0)</ns0:f>
        <ns0:v>0</ns0:v>
      </ns0:c>
      <ns0:c r="N656" s="0">
        <ns0:f>IF(OR(A656=0,L656&gt;0,$B$6&gt;0,Bookings!G656="Cancelled"),0,G656)</ns0:f>
        <ns0:v>0</ns0:v>
      </ns0:c>
      <ns0:c r="O656" s="0">
        <ns0:f>IF(AND(Bookings!G656="Approved",E656="Yes"),N656,0)</ns0:f>
        <ns0:v>0</ns0:v>
      </ns0:c>
      <ns0:c r="P656" s="0">
        <ns0:f>IF(AND(Bookings!G656="Approved",E656="Yes",L656=0,$B$6=0),H656,0)</ns0:f>
        <ns0:v>0</ns0:v>
      </ns0:c>
      <ns0:c r="Q656" s="0">
        <ns0:f>IF(AND(Bookings!G656="Approved",E656="Yes",L656=0,$B$6=0),I656,0)</ns0:f>
        <ns0:v>0</ns0:v>
      </ns0:c>
      <ns0:c r="R656" s="0">
        <ns0:f>IF(AND(Bookings!G656="Pending",E656="Yes"),N656,0)</ns0:f>
        <ns0:v>0</ns0:v>
      </ns0:c>
      <ns0:c r="S656" s="0">
        <ns0:f>IF(AND(Bookings!G656="Approved",E656="No"),N656,0)</ns0:f>
        <ns0:v>0</ns0:v>
      </ns0:c>
      <ns0:c r="T656" s="0">
        <ns0:f>IFERROR(MATCH(D656,Settings!$G$7:$G$11,0),0)</ns0:f>
        <ns0:v>0</ns0:v>
      </ns0:c>
      <ns0:c r="U656" s="0">
        <ns0:f>IF(N656&gt;0,T656+IF(Bookings!G656="Pending",10,0),0)</ns0:f>
        <ns0:v>0</ns0:v>
      </ns0:c>
      <ns0:c r="V656" s="0">
        <ns0:f>U656</ns0:f>
        <ns0:v>0</ns0:v>
      </ns0:c>
      <ns0:c r="W656" s="0" t="str">
        <ns0:f>IF(C656=0,"",INDEX($AP$11:$AP$60,C656))</ns0:f>
        <ns0:v/>
      </ns0:c>
    </ns0:row>
    <ns0:row r="657">
      <ns0:c r="A657" s="0">
        <ns0:f>IF(COUNTA(Bookings!A657:G657,Bookings!I657)=0,0,1)</ns0:f>
        <ns0:v>0</ns0:v>
      </ns0:c>
      <ns0:c r="B657" s="0" t="str">
        <ns0:f>IFERROR(TRIM(MID(Bookings!A657,FIND(" · ",Bookings!A657)+3,99)),"")</ns0:f>
        <ns0:v/>
      </ns0:c>
      <ns0:c r="C657" s="0">
        <ns0:f>IF(OR(B657="",LEN(B657)&gt;24,ISNUMBER(FIND(" ",B657)),ISNUMBER(FIND("*",B657)),ISNUMBER(FIND("?",B657)),ISNUMBER(FIND("~",B657))),0,IFERROR(MATCH(B657,Team!$A$11:$A$60,0),0))</ns0:f>
        <ns0:v>0</ns0:v>
      </ns0:c>
      <ns0:c r="D657" s="0" t="str">
        <ns0:f>IFERROR(IF(MID(Bookings!F657,LEN(Bookings!F657)-3,3)=" · ",RIGHT(Bookings!F657,1),""),"")</ns0:f>
        <ns0:v/>
      </ns0:c>
      <ns0:c r="E657" s="0" t="str">
        <ns0:f>IFERROR(INDEX(Settings!$H$7:$H$11,MATCH(D657,Settings!$G$7:$G$11,0)),"")</ns0:f>
        <ns0:v/>
      </ns0:c>
      <ns0:c r="F657" s="0" t="str">
        <ns0:f>IF(A657=0,"",IFERROR(IF(OR(B657="",C657=0),"CHECK employee selection",IF(INDEX(Team!$O$11:$O$60,C657)&lt;&gt;"OK","CHECK employee setup",IF(OR('_Dates'!J657=0,'_Dates'!T657=0),"CHECK date: use DD.MM.YYYY",IF('_Dates'!T657&lt;'_Dates'!J657,"CHECK end before start",IF(AND($B$6=0,OR('_Dates'!J657&lt;Settings!$B$7,'_Dates'!T657&gt;Settings!$B$8)),"CHECK split across leave years",IF(OR(NOT(OR('_Dates'!U657="Full day",'_Dates'!U657="AM",'_Dates'!U657="PM")),NOT(OR('_Dates'!V657="Full day",'_Dates'!V657="AM",'_Dates'!V657="PM"))),"CHECK Full day / AM / PM",IF(AND('_Dates'!J657='_Dates'!T657,'_Dates'!U657&lt;&gt;"Full day",'_Dates'!V657&lt;&gt;"Full day",'_Dates'!U657&lt;&gt;'_Dates'!V657),"CHECK same-day portions disagree",IF(AND($B$6=0,OR(AND('_Dates'!U657&lt;&gt;"Full day",'_Dates'!AA657=0),AND('_Dates'!V657&lt;&gt;"Full day",'_Dates'!AB657=0))),"CHECK half-day on non-working date",IF(COUNTIF(Settings!$G$7:$G$11,D657)&lt;&gt;1,"CHECK leave type",IF(AND(Bookings!G657&lt;&gt;"Approved",Bookings!G657&lt;&gt;"Pending",Bookings!G657&lt;&gt;"Cancelled"),"CHECK status","OK")))))))))),"CHECK input"))</ns0:f>
        <ns0:v/>
      </ns0:c>
      <ns0:c r="G657" s="0">
        <ns0:f>IF(OR(F657&lt;&gt;"OK",$B$6&gt;0),0,0.5*(IF(('_Dates'!X657)&lt;('_Dates'!W657),0,INT((('_Dates'!X657)-('_Dates'!W657)+1)/7)*LEN(SUBSTITUTE(W657,"O",""))+LEN(SUBSTITUTE(MID(W657&amp;W657,WEEKDAY(('_Dates'!W657),2),MOD((('_Dates'!X657)-('_Dates'!W657)+1),7)),"O",""))-COUNTIFS(INDEX(AllClosureRows,C657,0),"&gt;="&amp;('_Dates'!W657),INDEX(AllClosureRows,C657,0),"&lt;="&amp;('_Dates'!X657)))+IF(('_Dates'!Z657)&lt;('_Dates'!Y657),0,INT((('_Dates'!Z657)-('_Dates'!Y657)+1)/7)*LEN(SUBSTITUTE(W657,"O",""))+LEN(SUBSTITUTE(MID(W657&amp;W657,WEEKDAY(('_Dates'!Y657),2),MOD((('_Dates'!Z657)-('_Dates'!Y657)+1),7)),"O",""))-COUNTIFS(INDEX(AllClosureRows,C657,0),"&gt;="&amp;('_Dates'!Y657),INDEX(AllClosureRows,C657,0),"&lt;="&amp;('_Dates'!Z657)))))</ns0:f>
        <ns0:v>0</ns0:v>
      </ns0:c>
      <ns0:c r="H657" s="0">
        <ns0:f>IF(OR(F657&lt;&gt;"OK",$B$6&gt;0),0,0.5*(IF((MIN('_Dates'!X657,Settings!$B$9))&lt;('_Dates'!W657),0,INT(((MIN('_Dates'!X657,Settings!$B$9))-('_Dates'!W657)+1)/7)*LEN(SUBSTITUTE(W657,"O",""))+LEN(SUBSTITUTE(MID(W657&amp;W657,WEEKDAY(('_Dates'!W657),2),MOD(((MIN('_Dates'!X657,Settings!$B$9))-('_Dates'!W657)+1),7)),"O",""))-COUNTIFS(INDEX(AllClosureRows,C657,0),"&gt;="&amp;('_Dates'!W657),INDEX(AllClosureRows,C657,0),"&lt;="&amp;(MIN('_Dates'!X657,Settings!$B$9))))+IF((MIN('_Dates'!Z657,Settings!$B$9))&lt;('_Dates'!Y657),0,INT(((MIN('_Dates'!Z657,Settings!$B$9))-('_Dates'!Y657)+1)/7)*LEN(SUBSTITUTE(W657,"O",""))+LEN(SUBSTITUTE(MID(W657&amp;W657,WEEKDAY(('_Dates'!Y657),2),MOD(((MIN('_Dates'!Z657,Settings!$B$9))-('_Dates'!Y657)+1),7)),"O",""))-COUNTIFS(INDEX(AllClosureRows,C657,0),"&gt;="&amp;('_Dates'!Y657),INDEX(AllClosureRows,C657,0),"&lt;="&amp;(MIN('_Dates'!Z657,Settings!$B$9))))))</ns0:f>
        <ns0:v>0</ns0:v>
      </ns0:c>
      <ns0:c r="I657" s="0">
        <ns0:f>MAX(0,G657-H657)</ns0:f>
        <ns0:v>0</ns0:v>
      </ns0:c>
      <ns0:c r="J657" s="0">
        <ns0:f>IF(OR(A657=0,F657&lt;&gt;"OK",Bookings!G657="Cancelled",$B$6&gt;0),0,IF('_Dates'!AC657=1,MAX(0,COUNTIFS(rngEngine_B,B657,rngAMStart,"&lt;="&amp;'_Dates'!X657,rngAMEnd,"&gt;="&amp;'_Dates'!W657,rngAMActive,1,rngEngine_F,"OK",rngBookings_F,"&lt;&gt;Cancelled")-1),0)+IF('_Dates'!AD657=1,MAX(0,COUNTIFS(rngEngine_B,B657,rngPMStart,"&lt;="&amp;'_Dates'!Z657,rngPMEnd,"&gt;="&amp;'_Dates'!Y657,rngPMActive,1,rngEngine_F,"OK",rngBookings_F,"&lt;&gt;Cancelled")-1),0))</ns0:f>
        <ns0:v>0</ns0:v>
      </ns0:c>
      <ns0:c r="K657" s="0" t="str">
        <ns0:f>IF(A657=0,"",IF(F657&lt;&gt;"OK",F657,IF(J657&gt;0,"CHECK overlapping entry",IF(AND($B$6=0,G657&lt;=0,Bookings!G657&lt;&gt;"Cancelled"),"CHECK no working days",IF(Bookings!G657="Cancelled","Cancelled","OK")))))</ns0:f>
        <ns0:v/>
      </ns0:c>
      <ns0:c r="L657" s="0">
        <ns0:f>IF(LEFT(K657,5)="CHECK",1,0)</ns0:f>
        <ns0:v>0</ns0:v>
      </ns0:c>
      <ns0:c r="M657" s="0">
        <ns0:f>IF(AND(L657=1,OR(C657=0,IFERROR(INDEX($X$11:$X$60,C657),0)=0)),1,0)</ns0:f>
        <ns0:v>0</ns0:v>
      </ns0:c>
      <ns0:c r="N657" s="0">
        <ns0:f>IF(OR(A657=0,L657&gt;0,$B$6&gt;0,Bookings!G657="Cancelled"),0,G657)</ns0:f>
        <ns0:v>0</ns0:v>
      </ns0:c>
      <ns0:c r="O657" s="0">
        <ns0:f>IF(AND(Bookings!G657="Approved",E657="Yes"),N657,0)</ns0:f>
        <ns0:v>0</ns0:v>
      </ns0:c>
      <ns0:c r="P657" s="0">
        <ns0:f>IF(AND(Bookings!G657="Approved",E657="Yes",L657=0,$B$6=0),H657,0)</ns0:f>
        <ns0:v>0</ns0:v>
      </ns0:c>
      <ns0:c r="Q657" s="0">
        <ns0:f>IF(AND(Bookings!G657="Approved",E657="Yes",L657=0,$B$6=0),I657,0)</ns0:f>
        <ns0:v>0</ns0:v>
      </ns0:c>
      <ns0:c r="R657" s="0">
        <ns0:f>IF(AND(Bookings!G657="Pending",E657="Yes"),N657,0)</ns0:f>
        <ns0:v>0</ns0:v>
      </ns0:c>
      <ns0:c r="S657" s="0">
        <ns0:f>IF(AND(Bookings!G657="Approved",E657="No"),N657,0)</ns0:f>
        <ns0:v>0</ns0:v>
      </ns0:c>
      <ns0:c r="T657" s="0">
        <ns0:f>IFERROR(MATCH(D657,Settings!$G$7:$G$11,0),0)</ns0:f>
        <ns0:v>0</ns0:v>
      </ns0:c>
      <ns0:c r="U657" s="0">
        <ns0:f>IF(N657&gt;0,T657+IF(Bookings!G657="Pending",10,0),0)</ns0:f>
        <ns0:v>0</ns0:v>
      </ns0:c>
      <ns0:c r="V657" s="0">
        <ns0:f>U657</ns0:f>
        <ns0:v>0</ns0:v>
      </ns0:c>
      <ns0:c r="W657" s="0" t="str">
        <ns0:f>IF(C657=0,"",INDEX($AP$11:$AP$60,C657))</ns0:f>
        <ns0:v/>
      </ns0:c>
    </ns0:row>
    <ns0:row r="658">
      <ns0:c r="A658" s="0">
        <ns0:f>IF(COUNTA(Bookings!A658:G658,Bookings!I658)=0,0,1)</ns0:f>
        <ns0:v>0</ns0:v>
      </ns0:c>
      <ns0:c r="B658" s="0" t="str">
        <ns0:f>IFERROR(TRIM(MID(Bookings!A658,FIND(" · ",Bookings!A658)+3,99)),"")</ns0:f>
        <ns0:v/>
      </ns0:c>
      <ns0:c r="C658" s="0">
        <ns0:f>IF(OR(B658="",LEN(B658)&gt;24,ISNUMBER(FIND(" ",B658)),ISNUMBER(FIND("*",B658)),ISNUMBER(FIND("?",B658)),ISNUMBER(FIND("~",B658))),0,IFERROR(MATCH(B658,Team!$A$11:$A$60,0),0))</ns0:f>
        <ns0:v>0</ns0:v>
      </ns0:c>
      <ns0:c r="D658" s="0" t="str">
        <ns0:f>IFERROR(IF(MID(Bookings!F658,LEN(Bookings!F658)-3,3)=" · ",RIGHT(Bookings!F658,1),""),"")</ns0:f>
        <ns0:v/>
      </ns0:c>
      <ns0:c r="E658" s="0" t="str">
        <ns0:f>IFERROR(INDEX(Settings!$H$7:$H$11,MATCH(D658,Settings!$G$7:$G$11,0)),"")</ns0:f>
        <ns0:v/>
      </ns0:c>
      <ns0:c r="F658" s="0" t="str">
        <ns0:f>IF(A658=0,"",IFERROR(IF(OR(B658="",C658=0),"CHECK employee selection",IF(INDEX(Team!$O$11:$O$60,C658)&lt;&gt;"OK","CHECK employee setup",IF(OR('_Dates'!J658=0,'_Dates'!T658=0),"CHECK date: use DD.MM.YYYY",IF('_Dates'!T658&lt;'_Dates'!J658,"CHECK end before start",IF(AND($B$6=0,OR('_Dates'!J658&lt;Settings!$B$7,'_Dates'!T658&gt;Settings!$B$8)),"CHECK split across leave years",IF(OR(NOT(OR('_Dates'!U658="Full day",'_Dates'!U658="AM",'_Dates'!U658="PM")),NOT(OR('_Dates'!V658="Full day",'_Dates'!V658="AM",'_Dates'!V658="PM"))),"CHECK Full day / AM / PM",IF(AND('_Dates'!J658='_Dates'!T658,'_Dates'!U658&lt;&gt;"Full day",'_Dates'!V658&lt;&gt;"Full day",'_Dates'!U658&lt;&gt;'_Dates'!V658),"CHECK same-day portions disagree",IF(AND($B$6=0,OR(AND('_Dates'!U658&lt;&gt;"Full day",'_Dates'!AA658=0),AND('_Dates'!V658&lt;&gt;"Full day",'_Dates'!AB658=0))),"CHECK half-day on non-working date",IF(COUNTIF(Settings!$G$7:$G$11,D658)&lt;&gt;1,"CHECK leave type",IF(AND(Bookings!G658&lt;&gt;"Approved",Bookings!G658&lt;&gt;"Pending",Bookings!G658&lt;&gt;"Cancelled"),"CHECK status","OK")))))))))),"CHECK input"))</ns0:f>
        <ns0:v/>
      </ns0:c>
      <ns0:c r="G658" s="0">
        <ns0:f>IF(OR(F658&lt;&gt;"OK",$B$6&gt;0),0,0.5*(IF(('_Dates'!X658)&lt;('_Dates'!W658),0,INT((('_Dates'!X658)-('_Dates'!W658)+1)/7)*LEN(SUBSTITUTE(W658,"O",""))+LEN(SUBSTITUTE(MID(W658&amp;W658,WEEKDAY(('_Dates'!W658),2),MOD((('_Dates'!X658)-('_Dates'!W658)+1),7)),"O",""))-COUNTIFS(INDEX(AllClosureRows,C658,0),"&gt;="&amp;('_Dates'!W658),INDEX(AllClosureRows,C658,0),"&lt;="&amp;('_Dates'!X658)))+IF(('_Dates'!Z658)&lt;('_Dates'!Y658),0,INT((('_Dates'!Z658)-('_Dates'!Y658)+1)/7)*LEN(SUBSTITUTE(W658,"O",""))+LEN(SUBSTITUTE(MID(W658&amp;W658,WEEKDAY(('_Dates'!Y658),2),MOD((('_Dates'!Z658)-('_Dates'!Y658)+1),7)),"O",""))-COUNTIFS(INDEX(AllClosureRows,C658,0),"&gt;="&amp;('_Dates'!Y658),INDEX(AllClosureRows,C658,0),"&lt;="&amp;('_Dates'!Z658)))))</ns0:f>
        <ns0:v>0</ns0:v>
      </ns0:c>
      <ns0:c r="H658" s="0">
        <ns0:f>IF(OR(F658&lt;&gt;"OK",$B$6&gt;0),0,0.5*(IF((MIN('_Dates'!X658,Settings!$B$9))&lt;('_Dates'!W658),0,INT(((MIN('_Dates'!X658,Settings!$B$9))-('_Dates'!W658)+1)/7)*LEN(SUBSTITUTE(W658,"O",""))+LEN(SUBSTITUTE(MID(W658&amp;W658,WEEKDAY(('_Dates'!W658),2),MOD(((MIN('_Dates'!X658,Settings!$B$9))-('_Dates'!W658)+1),7)),"O",""))-COUNTIFS(INDEX(AllClosureRows,C658,0),"&gt;="&amp;('_Dates'!W658),INDEX(AllClosureRows,C658,0),"&lt;="&amp;(MIN('_Dates'!X658,Settings!$B$9))))+IF((MIN('_Dates'!Z658,Settings!$B$9))&lt;('_Dates'!Y658),0,INT(((MIN('_Dates'!Z658,Settings!$B$9))-('_Dates'!Y658)+1)/7)*LEN(SUBSTITUTE(W658,"O",""))+LEN(SUBSTITUTE(MID(W658&amp;W658,WEEKDAY(('_Dates'!Y658),2),MOD(((MIN('_Dates'!Z658,Settings!$B$9))-('_Dates'!Y658)+1),7)),"O",""))-COUNTIFS(INDEX(AllClosureRows,C658,0),"&gt;="&amp;('_Dates'!Y658),INDEX(AllClosureRows,C658,0),"&lt;="&amp;(MIN('_Dates'!Z658,Settings!$B$9))))))</ns0:f>
        <ns0:v>0</ns0:v>
      </ns0:c>
      <ns0:c r="I658" s="0">
        <ns0:f>MAX(0,G658-H658)</ns0:f>
        <ns0:v>0</ns0:v>
      </ns0:c>
      <ns0:c r="J658" s="0">
        <ns0:f>IF(OR(A658=0,F658&lt;&gt;"OK",Bookings!G658="Cancelled",$B$6&gt;0),0,IF('_Dates'!AC658=1,MAX(0,COUNTIFS(rngEngine_B,B658,rngAMStart,"&lt;="&amp;'_Dates'!X658,rngAMEnd,"&gt;="&amp;'_Dates'!W658,rngAMActive,1,rngEngine_F,"OK",rngBookings_F,"&lt;&gt;Cancelled")-1),0)+IF('_Dates'!AD658=1,MAX(0,COUNTIFS(rngEngine_B,B658,rngPMStart,"&lt;="&amp;'_Dates'!Z658,rngPMEnd,"&gt;="&amp;'_Dates'!Y658,rngPMActive,1,rngEngine_F,"OK",rngBookings_F,"&lt;&gt;Cancelled")-1),0))</ns0:f>
        <ns0:v>0</ns0:v>
      </ns0:c>
      <ns0:c r="K658" s="0" t="str">
        <ns0:f>IF(A658=0,"",IF(F658&lt;&gt;"OK",F658,IF(J658&gt;0,"CHECK overlapping entry",IF(AND($B$6=0,G658&lt;=0,Bookings!G658&lt;&gt;"Cancelled"),"CHECK no working days",IF(Bookings!G658="Cancelled","Cancelled","OK")))))</ns0:f>
        <ns0:v/>
      </ns0:c>
      <ns0:c r="L658" s="0">
        <ns0:f>IF(LEFT(K658,5)="CHECK",1,0)</ns0:f>
        <ns0:v>0</ns0:v>
      </ns0:c>
      <ns0:c r="M658" s="0">
        <ns0:f>IF(AND(L658=1,OR(C658=0,IFERROR(INDEX($X$11:$X$60,C658),0)=0)),1,0)</ns0:f>
        <ns0:v>0</ns0:v>
      </ns0:c>
      <ns0:c r="N658" s="0">
        <ns0:f>IF(OR(A658=0,L658&gt;0,$B$6&gt;0,Bookings!G658="Cancelled"),0,G658)</ns0:f>
        <ns0:v>0</ns0:v>
      </ns0:c>
      <ns0:c r="O658" s="0">
        <ns0:f>IF(AND(Bookings!G658="Approved",E658="Yes"),N658,0)</ns0:f>
        <ns0:v>0</ns0:v>
      </ns0:c>
      <ns0:c r="P658" s="0">
        <ns0:f>IF(AND(Bookings!G658="Approved",E658="Yes",L658=0,$B$6=0),H658,0)</ns0:f>
        <ns0:v>0</ns0:v>
      </ns0:c>
      <ns0:c r="Q658" s="0">
        <ns0:f>IF(AND(Bookings!G658="Approved",E658="Yes",L658=0,$B$6=0),I658,0)</ns0:f>
        <ns0:v>0</ns0:v>
      </ns0:c>
      <ns0:c r="R658" s="0">
        <ns0:f>IF(AND(Bookings!G658="Pending",E658="Yes"),N658,0)</ns0:f>
        <ns0:v>0</ns0:v>
      </ns0:c>
      <ns0:c r="S658" s="0">
        <ns0:f>IF(AND(Bookings!G658="Approved",E658="No"),N658,0)</ns0:f>
        <ns0:v>0</ns0:v>
      </ns0:c>
      <ns0:c r="T658" s="0">
        <ns0:f>IFERROR(MATCH(D658,Settings!$G$7:$G$11,0),0)</ns0:f>
        <ns0:v>0</ns0:v>
      </ns0:c>
      <ns0:c r="U658" s="0">
        <ns0:f>IF(N658&gt;0,T658+IF(Bookings!G658="Pending",10,0),0)</ns0:f>
        <ns0:v>0</ns0:v>
      </ns0:c>
      <ns0:c r="V658" s="0">
        <ns0:f>U658</ns0:f>
        <ns0:v>0</ns0:v>
      </ns0:c>
      <ns0:c r="W658" s="0" t="str">
        <ns0:f>IF(C658=0,"",INDEX($AP$11:$AP$60,C658))</ns0:f>
        <ns0:v/>
      </ns0:c>
    </ns0:row>
    <ns0:row r="659">
      <ns0:c r="A659" s="0">
        <ns0:f>IF(COUNTA(Bookings!A659:G659,Bookings!I659)=0,0,1)</ns0:f>
        <ns0:v>0</ns0:v>
      </ns0:c>
      <ns0:c r="B659" s="0" t="str">
        <ns0:f>IFERROR(TRIM(MID(Bookings!A659,FIND(" · ",Bookings!A659)+3,99)),"")</ns0:f>
        <ns0:v/>
      </ns0:c>
      <ns0:c r="C659" s="0">
        <ns0:f>IF(OR(B659="",LEN(B659)&gt;24,ISNUMBER(FIND(" ",B659)),ISNUMBER(FIND("*",B659)),ISNUMBER(FIND("?",B659)),ISNUMBER(FIND("~",B659))),0,IFERROR(MATCH(B659,Team!$A$11:$A$60,0),0))</ns0:f>
        <ns0:v>0</ns0:v>
      </ns0:c>
      <ns0:c r="D659" s="0" t="str">
        <ns0:f>IFERROR(IF(MID(Bookings!F659,LEN(Bookings!F659)-3,3)=" · ",RIGHT(Bookings!F659,1),""),"")</ns0:f>
        <ns0:v/>
      </ns0:c>
      <ns0:c r="E659" s="0" t="str">
        <ns0:f>IFERROR(INDEX(Settings!$H$7:$H$11,MATCH(D659,Settings!$G$7:$G$11,0)),"")</ns0:f>
        <ns0:v/>
      </ns0:c>
      <ns0:c r="F659" s="0" t="str">
        <ns0:f>IF(A659=0,"",IFERROR(IF(OR(B659="",C659=0),"CHECK employee selection",IF(INDEX(Team!$O$11:$O$60,C659)&lt;&gt;"OK","CHECK employee setup",IF(OR('_Dates'!J659=0,'_Dates'!T659=0),"CHECK date: use DD.MM.YYYY",IF('_Dates'!T659&lt;'_Dates'!J659,"CHECK end before start",IF(AND($B$6=0,OR('_Dates'!J659&lt;Settings!$B$7,'_Dates'!T659&gt;Settings!$B$8)),"CHECK split across leave years",IF(OR(NOT(OR('_Dates'!U659="Full day",'_Dates'!U659="AM",'_Dates'!U659="PM")),NOT(OR('_Dates'!V659="Full day",'_Dates'!V659="AM",'_Dates'!V659="PM"))),"CHECK Full day / AM / PM",IF(AND('_Dates'!J659='_Dates'!T659,'_Dates'!U659&lt;&gt;"Full day",'_Dates'!V659&lt;&gt;"Full day",'_Dates'!U659&lt;&gt;'_Dates'!V659),"CHECK same-day portions disagree",IF(AND($B$6=0,OR(AND('_Dates'!U659&lt;&gt;"Full day",'_Dates'!AA659=0),AND('_Dates'!V659&lt;&gt;"Full day",'_Dates'!AB659=0))),"CHECK half-day on non-working date",IF(COUNTIF(Settings!$G$7:$G$11,D659)&lt;&gt;1,"CHECK leave type",IF(AND(Bookings!G659&lt;&gt;"Approved",Bookings!G659&lt;&gt;"Pending",Bookings!G659&lt;&gt;"Cancelled"),"CHECK status","OK")))))))))),"CHECK input"))</ns0:f>
        <ns0:v/>
      </ns0:c>
      <ns0:c r="G659" s="0">
        <ns0:f>IF(OR(F659&lt;&gt;"OK",$B$6&gt;0),0,0.5*(IF(('_Dates'!X659)&lt;('_Dates'!W659),0,INT((('_Dates'!X659)-('_Dates'!W659)+1)/7)*LEN(SUBSTITUTE(W659,"O",""))+LEN(SUBSTITUTE(MID(W659&amp;W659,WEEKDAY(('_Dates'!W659),2),MOD((('_Dates'!X659)-('_Dates'!W659)+1),7)),"O",""))-COUNTIFS(INDEX(AllClosureRows,C659,0),"&gt;="&amp;('_Dates'!W659),INDEX(AllClosureRows,C659,0),"&lt;="&amp;('_Dates'!X659)))+IF(('_Dates'!Z659)&lt;('_Dates'!Y659),0,INT((('_Dates'!Z659)-('_Dates'!Y659)+1)/7)*LEN(SUBSTITUTE(W659,"O",""))+LEN(SUBSTITUTE(MID(W659&amp;W659,WEEKDAY(('_Dates'!Y659),2),MOD((('_Dates'!Z659)-('_Dates'!Y659)+1),7)),"O",""))-COUNTIFS(INDEX(AllClosureRows,C659,0),"&gt;="&amp;('_Dates'!Y659),INDEX(AllClosureRows,C659,0),"&lt;="&amp;('_Dates'!Z659)))))</ns0:f>
        <ns0:v>0</ns0:v>
      </ns0:c>
      <ns0:c r="H659" s="0">
        <ns0:f>IF(OR(F659&lt;&gt;"OK",$B$6&gt;0),0,0.5*(IF((MIN('_Dates'!X659,Settings!$B$9))&lt;('_Dates'!W659),0,INT(((MIN('_Dates'!X659,Settings!$B$9))-('_Dates'!W659)+1)/7)*LEN(SUBSTITUTE(W659,"O",""))+LEN(SUBSTITUTE(MID(W659&amp;W659,WEEKDAY(('_Dates'!W659),2),MOD(((MIN('_Dates'!X659,Settings!$B$9))-('_Dates'!W659)+1),7)),"O",""))-COUNTIFS(INDEX(AllClosureRows,C659,0),"&gt;="&amp;('_Dates'!W659),INDEX(AllClosureRows,C659,0),"&lt;="&amp;(MIN('_Dates'!X659,Settings!$B$9))))+IF((MIN('_Dates'!Z659,Settings!$B$9))&lt;('_Dates'!Y659),0,INT(((MIN('_Dates'!Z659,Settings!$B$9))-('_Dates'!Y659)+1)/7)*LEN(SUBSTITUTE(W659,"O",""))+LEN(SUBSTITUTE(MID(W659&amp;W659,WEEKDAY(('_Dates'!Y659),2),MOD(((MIN('_Dates'!Z659,Settings!$B$9))-('_Dates'!Y659)+1),7)),"O",""))-COUNTIFS(INDEX(AllClosureRows,C659,0),"&gt;="&amp;('_Dates'!Y659),INDEX(AllClosureRows,C659,0),"&lt;="&amp;(MIN('_Dates'!Z659,Settings!$B$9))))))</ns0:f>
        <ns0:v>0</ns0:v>
      </ns0:c>
      <ns0:c r="I659" s="0">
        <ns0:f>MAX(0,G659-H659)</ns0:f>
        <ns0:v>0</ns0:v>
      </ns0:c>
      <ns0:c r="J659" s="0">
        <ns0:f>IF(OR(A659=0,F659&lt;&gt;"OK",Bookings!G659="Cancelled",$B$6&gt;0),0,IF('_Dates'!AC659=1,MAX(0,COUNTIFS(rngEngine_B,B659,rngAMStart,"&lt;="&amp;'_Dates'!X659,rngAMEnd,"&gt;="&amp;'_Dates'!W659,rngAMActive,1,rngEngine_F,"OK",rngBookings_F,"&lt;&gt;Cancelled")-1),0)+IF('_Dates'!AD659=1,MAX(0,COUNTIFS(rngEngine_B,B659,rngPMStart,"&lt;="&amp;'_Dates'!Z659,rngPMEnd,"&gt;="&amp;'_Dates'!Y659,rngPMActive,1,rngEngine_F,"OK",rngBookings_F,"&lt;&gt;Cancelled")-1),0))</ns0:f>
        <ns0:v>0</ns0:v>
      </ns0:c>
      <ns0:c r="K659" s="0" t="str">
        <ns0:f>IF(A659=0,"",IF(F659&lt;&gt;"OK",F659,IF(J659&gt;0,"CHECK overlapping entry",IF(AND($B$6=0,G659&lt;=0,Bookings!G659&lt;&gt;"Cancelled"),"CHECK no working days",IF(Bookings!G659="Cancelled","Cancelled","OK")))))</ns0:f>
        <ns0:v/>
      </ns0:c>
      <ns0:c r="L659" s="0">
        <ns0:f>IF(LEFT(K659,5)="CHECK",1,0)</ns0:f>
        <ns0:v>0</ns0:v>
      </ns0:c>
      <ns0:c r="M659" s="0">
        <ns0:f>IF(AND(L659=1,OR(C659=0,IFERROR(INDEX($X$11:$X$60,C659),0)=0)),1,0)</ns0:f>
        <ns0:v>0</ns0:v>
      </ns0:c>
      <ns0:c r="N659" s="0">
        <ns0:f>IF(OR(A659=0,L659&gt;0,$B$6&gt;0,Bookings!G659="Cancelled"),0,G659)</ns0:f>
        <ns0:v>0</ns0:v>
      </ns0:c>
      <ns0:c r="O659" s="0">
        <ns0:f>IF(AND(Bookings!G659="Approved",E659="Yes"),N659,0)</ns0:f>
        <ns0:v>0</ns0:v>
      </ns0:c>
      <ns0:c r="P659" s="0">
        <ns0:f>IF(AND(Bookings!G659="Approved",E659="Yes",L659=0,$B$6=0),H659,0)</ns0:f>
        <ns0:v>0</ns0:v>
      </ns0:c>
      <ns0:c r="Q659" s="0">
        <ns0:f>IF(AND(Bookings!G659="Approved",E659="Yes",L659=0,$B$6=0),I659,0)</ns0:f>
        <ns0:v>0</ns0:v>
      </ns0:c>
      <ns0:c r="R659" s="0">
        <ns0:f>IF(AND(Bookings!G659="Pending",E659="Yes"),N659,0)</ns0:f>
        <ns0:v>0</ns0:v>
      </ns0:c>
      <ns0:c r="S659" s="0">
        <ns0:f>IF(AND(Bookings!G659="Approved",E659="No"),N659,0)</ns0:f>
        <ns0:v>0</ns0:v>
      </ns0:c>
      <ns0:c r="T659" s="0">
        <ns0:f>IFERROR(MATCH(D659,Settings!$G$7:$G$11,0),0)</ns0:f>
        <ns0:v>0</ns0:v>
      </ns0:c>
      <ns0:c r="U659" s="0">
        <ns0:f>IF(N659&gt;0,T659+IF(Bookings!G659="Pending",10,0),0)</ns0:f>
        <ns0:v>0</ns0:v>
      </ns0:c>
      <ns0:c r="V659" s="0">
        <ns0:f>U659</ns0:f>
        <ns0:v>0</ns0:v>
      </ns0:c>
      <ns0:c r="W659" s="0" t="str">
        <ns0:f>IF(C659=0,"",INDEX($AP$11:$AP$60,C659))</ns0:f>
        <ns0:v/>
      </ns0:c>
    </ns0:row>
    <ns0:row r="660">
      <ns0:c r="A660" s="0">
        <ns0:f>IF(COUNTA(Bookings!A660:G660,Bookings!I660)=0,0,1)</ns0:f>
        <ns0:v>0</ns0:v>
      </ns0:c>
      <ns0:c r="B660" s="0" t="str">
        <ns0:f>IFERROR(TRIM(MID(Bookings!A660,FIND(" · ",Bookings!A660)+3,99)),"")</ns0:f>
        <ns0:v/>
      </ns0:c>
      <ns0:c r="C660" s="0">
        <ns0:f>IF(OR(B660="",LEN(B660)&gt;24,ISNUMBER(FIND(" ",B660)),ISNUMBER(FIND("*",B660)),ISNUMBER(FIND("?",B660)),ISNUMBER(FIND("~",B660))),0,IFERROR(MATCH(B660,Team!$A$11:$A$60,0),0))</ns0:f>
        <ns0:v>0</ns0:v>
      </ns0:c>
      <ns0:c r="D660" s="0" t="str">
        <ns0:f>IFERROR(IF(MID(Bookings!F660,LEN(Bookings!F660)-3,3)=" · ",RIGHT(Bookings!F660,1),""),"")</ns0:f>
        <ns0:v/>
      </ns0:c>
      <ns0:c r="E660" s="0" t="str">
        <ns0:f>IFERROR(INDEX(Settings!$H$7:$H$11,MATCH(D660,Settings!$G$7:$G$11,0)),"")</ns0:f>
        <ns0:v/>
      </ns0:c>
      <ns0:c r="F660" s="0" t="str">
        <ns0:f>IF(A660=0,"",IFERROR(IF(OR(B660="",C660=0),"CHECK employee selection",IF(INDEX(Team!$O$11:$O$60,C660)&lt;&gt;"OK","CHECK employee setup",IF(OR('_Dates'!J660=0,'_Dates'!T660=0),"CHECK date: use DD.MM.YYYY",IF('_Dates'!T660&lt;'_Dates'!J660,"CHECK end before start",IF(AND($B$6=0,OR('_Dates'!J660&lt;Settings!$B$7,'_Dates'!T660&gt;Settings!$B$8)),"CHECK split across leave years",IF(OR(NOT(OR('_Dates'!U660="Full day",'_Dates'!U660="AM",'_Dates'!U660="PM")),NOT(OR('_Dates'!V660="Full day",'_Dates'!V660="AM",'_Dates'!V660="PM"))),"CHECK Full day / AM / PM",IF(AND('_Dates'!J660='_Dates'!T660,'_Dates'!U660&lt;&gt;"Full day",'_Dates'!V660&lt;&gt;"Full day",'_Dates'!U660&lt;&gt;'_Dates'!V660),"CHECK same-day portions disagree",IF(AND($B$6=0,OR(AND('_Dates'!U660&lt;&gt;"Full day",'_Dates'!AA660=0),AND('_Dates'!V660&lt;&gt;"Full day",'_Dates'!AB660=0))),"CHECK half-day on non-working date",IF(COUNTIF(Settings!$G$7:$G$11,D660)&lt;&gt;1,"CHECK leave type",IF(AND(Bookings!G660&lt;&gt;"Approved",Bookings!G660&lt;&gt;"Pending",Bookings!G660&lt;&gt;"Cancelled"),"CHECK status","OK")))))))))),"CHECK input"))</ns0:f>
        <ns0:v/>
      </ns0:c>
      <ns0:c r="G660" s="0">
        <ns0:f>IF(OR(F660&lt;&gt;"OK",$B$6&gt;0),0,0.5*(IF(('_Dates'!X660)&lt;('_Dates'!W660),0,INT((('_Dates'!X660)-('_Dates'!W660)+1)/7)*LEN(SUBSTITUTE(W660,"O",""))+LEN(SUBSTITUTE(MID(W660&amp;W660,WEEKDAY(('_Dates'!W660),2),MOD((('_Dates'!X660)-('_Dates'!W660)+1),7)),"O",""))-COUNTIFS(INDEX(AllClosureRows,C660,0),"&gt;="&amp;('_Dates'!W660),INDEX(AllClosureRows,C660,0),"&lt;="&amp;('_Dates'!X660)))+IF(('_Dates'!Z660)&lt;('_Dates'!Y660),0,INT((('_Dates'!Z660)-('_Dates'!Y660)+1)/7)*LEN(SUBSTITUTE(W660,"O",""))+LEN(SUBSTITUTE(MID(W660&amp;W660,WEEKDAY(('_Dates'!Y660),2),MOD((('_Dates'!Z660)-('_Dates'!Y660)+1),7)),"O",""))-COUNTIFS(INDEX(AllClosureRows,C660,0),"&gt;="&amp;('_Dates'!Y660),INDEX(AllClosureRows,C660,0),"&lt;="&amp;('_Dates'!Z660)))))</ns0:f>
        <ns0:v>0</ns0:v>
      </ns0:c>
      <ns0:c r="H660" s="0">
        <ns0:f>IF(OR(F660&lt;&gt;"OK",$B$6&gt;0),0,0.5*(IF((MIN('_Dates'!X660,Settings!$B$9))&lt;('_Dates'!W660),0,INT(((MIN('_Dates'!X660,Settings!$B$9))-('_Dates'!W660)+1)/7)*LEN(SUBSTITUTE(W660,"O",""))+LEN(SUBSTITUTE(MID(W660&amp;W660,WEEKDAY(('_Dates'!W660),2),MOD(((MIN('_Dates'!X660,Settings!$B$9))-('_Dates'!W660)+1),7)),"O",""))-COUNTIFS(INDEX(AllClosureRows,C660,0),"&gt;="&amp;('_Dates'!W660),INDEX(AllClosureRows,C660,0),"&lt;="&amp;(MIN('_Dates'!X660,Settings!$B$9))))+IF((MIN('_Dates'!Z660,Settings!$B$9))&lt;('_Dates'!Y660),0,INT(((MIN('_Dates'!Z660,Settings!$B$9))-('_Dates'!Y660)+1)/7)*LEN(SUBSTITUTE(W660,"O",""))+LEN(SUBSTITUTE(MID(W660&amp;W660,WEEKDAY(('_Dates'!Y660),2),MOD(((MIN('_Dates'!Z660,Settings!$B$9))-('_Dates'!Y660)+1),7)),"O",""))-COUNTIFS(INDEX(AllClosureRows,C660,0),"&gt;="&amp;('_Dates'!Y660),INDEX(AllClosureRows,C660,0),"&lt;="&amp;(MIN('_Dates'!Z660,Settings!$B$9))))))</ns0:f>
        <ns0:v>0</ns0:v>
      </ns0:c>
      <ns0:c r="I660" s="0">
        <ns0:f>MAX(0,G660-H660)</ns0:f>
        <ns0:v>0</ns0:v>
      </ns0:c>
      <ns0:c r="J660" s="0">
        <ns0:f>IF(OR(A660=0,F660&lt;&gt;"OK",Bookings!G660="Cancelled",$B$6&gt;0),0,IF('_Dates'!AC660=1,MAX(0,COUNTIFS(rngEngine_B,B660,rngAMStart,"&lt;="&amp;'_Dates'!X660,rngAMEnd,"&gt;="&amp;'_Dates'!W660,rngAMActive,1,rngEngine_F,"OK",rngBookings_F,"&lt;&gt;Cancelled")-1),0)+IF('_Dates'!AD660=1,MAX(0,COUNTIFS(rngEngine_B,B660,rngPMStart,"&lt;="&amp;'_Dates'!Z660,rngPMEnd,"&gt;="&amp;'_Dates'!Y660,rngPMActive,1,rngEngine_F,"OK",rngBookings_F,"&lt;&gt;Cancelled")-1),0))</ns0:f>
        <ns0:v>0</ns0:v>
      </ns0:c>
      <ns0:c r="K660" s="0" t="str">
        <ns0:f>IF(A660=0,"",IF(F660&lt;&gt;"OK",F660,IF(J660&gt;0,"CHECK overlapping entry",IF(AND($B$6=0,G660&lt;=0,Bookings!G660&lt;&gt;"Cancelled"),"CHECK no working days",IF(Bookings!G660="Cancelled","Cancelled","OK")))))</ns0:f>
        <ns0:v/>
      </ns0:c>
      <ns0:c r="L660" s="0">
        <ns0:f>IF(LEFT(K660,5)="CHECK",1,0)</ns0:f>
        <ns0:v>0</ns0:v>
      </ns0:c>
      <ns0:c r="M660" s="0">
        <ns0:f>IF(AND(L660=1,OR(C660=0,IFERROR(INDEX($X$11:$X$60,C660),0)=0)),1,0)</ns0:f>
        <ns0:v>0</ns0:v>
      </ns0:c>
      <ns0:c r="N660" s="0">
        <ns0:f>IF(OR(A660=0,L660&gt;0,$B$6&gt;0,Bookings!G660="Cancelled"),0,G660)</ns0:f>
        <ns0:v>0</ns0:v>
      </ns0:c>
      <ns0:c r="O660" s="0">
        <ns0:f>IF(AND(Bookings!G660="Approved",E660="Yes"),N660,0)</ns0:f>
        <ns0:v>0</ns0:v>
      </ns0:c>
      <ns0:c r="P660" s="0">
        <ns0:f>IF(AND(Bookings!G660="Approved",E660="Yes",L660=0,$B$6=0),H660,0)</ns0:f>
        <ns0:v>0</ns0:v>
      </ns0:c>
      <ns0:c r="Q660" s="0">
        <ns0:f>IF(AND(Bookings!G660="Approved",E660="Yes",L660=0,$B$6=0),I660,0)</ns0:f>
        <ns0:v>0</ns0:v>
      </ns0:c>
      <ns0:c r="R660" s="0">
        <ns0:f>IF(AND(Bookings!G660="Pending",E660="Yes"),N660,0)</ns0:f>
        <ns0:v>0</ns0:v>
      </ns0:c>
      <ns0:c r="S660" s="0">
        <ns0:f>IF(AND(Bookings!G660="Approved",E660="No"),N660,0)</ns0:f>
        <ns0:v>0</ns0:v>
      </ns0:c>
      <ns0:c r="T660" s="0">
        <ns0:f>IFERROR(MATCH(D660,Settings!$G$7:$G$11,0),0)</ns0:f>
        <ns0:v>0</ns0:v>
      </ns0:c>
      <ns0:c r="U660" s="0">
        <ns0:f>IF(N660&gt;0,T660+IF(Bookings!G660="Pending",10,0),0)</ns0:f>
        <ns0:v>0</ns0:v>
      </ns0:c>
      <ns0:c r="V660" s="0">
        <ns0:f>U660</ns0:f>
        <ns0:v>0</ns0:v>
      </ns0:c>
      <ns0:c r="W660" s="0" t="str">
        <ns0:f>IF(C660=0,"",INDEX($AP$11:$AP$60,C660))</ns0:f>
        <ns0:v/>
      </ns0:c>
    </ns0:row>
    <ns0:row r="661">
      <ns0:c r="A661" s="0">
        <ns0:f>IF(COUNTA(Bookings!A661:G661,Bookings!I661)=0,0,1)</ns0:f>
        <ns0:v>0</ns0:v>
      </ns0:c>
      <ns0:c r="B661" s="0" t="str">
        <ns0:f>IFERROR(TRIM(MID(Bookings!A661,FIND(" · ",Bookings!A661)+3,99)),"")</ns0:f>
        <ns0:v/>
      </ns0:c>
      <ns0:c r="C661" s="0">
        <ns0:f>IF(OR(B661="",LEN(B661)&gt;24,ISNUMBER(FIND(" ",B661)),ISNUMBER(FIND("*",B661)),ISNUMBER(FIND("?",B661)),ISNUMBER(FIND("~",B661))),0,IFERROR(MATCH(B661,Team!$A$11:$A$60,0),0))</ns0:f>
        <ns0:v>0</ns0:v>
      </ns0:c>
      <ns0:c r="D661" s="0" t="str">
        <ns0:f>IFERROR(IF(MID(Bookings!F661,LEN(Bookings!F661)-3,3)=" · ",RIGHT(Bookings!F661,1),""),"")</ns0:f>
        <ns0:v/>
      </ns0:c>
      <ns0:c r="E661" s="0" t="str">
        <ns0:f>IFERROR(INDEX(Settings!$H$7:$H$11,MATCH(D661,Settings!$G$7:$G$11,0)),"")</ns0:f>
        <ns0:v/>
      </ns0:c>
      <ns0:c r="F661" s="0" t="str">
        <ns0:f>IF(A661=0,"",IFERROR(IF(OR(B661="",C661=0),"CHECK employee selection",IF(INDEX(Team!$O$11:$O$60,C661)&lt;&gt;"OK","CHECK employee setup",IF(OR('_Dates'!J661=0,'_Dates'!T661=0),"CHECK date: use DD.MM.YYYY",IF('_Dates'!T661&lt;'_Dates'!J661,"CHECK end before start",IF(AND($B$6=0,OR('_Dates'!J661&lt;Settings!$B$7,'_Dates'!T661&gt;Settings!$B$8)),"CHECK split across leave years",IF(OR(NOT(OR('_Dates'!U661="Full day",'_Dates'!U661="AM",'_Dates'!U661="PM")),NOT(OR('_Dates'!V661="Full day",'_Dates'!V661="AM",'_Dates'!V661="PM"))),"CHECK Full day / AM / PM",IF(AND('_Dates'!J661='_Dates'!T661,'_Dates'!U661&lt;&gt;"Full day",'_Dates'!V661&lt;&gt;"Full day",'_Dates'!U661&lt;&gt;'_Dates'!V661),"CHECK same-day portions disagree",IF(AND($B$6=0,OR(AND('_Dates'!U661&lt;&gt;"Full day",'_Dates'!AA661=0),AND('_Dates'!V661&lt;&gt;"Full day",'_Dates'!AB661=0))),"CHECK half-day on non-working date",IF(COUNTIF(Settings!$G$7:$G$11,D661)&lt;&gt;1,"CHECK leave type",IF(AND(Bookings!G661&lt;&gt;"Approved",Bookings!G661&lt;&gt;"Pending",Bookings!G661&lt;&gt;"Cancelled"),"CHECK status","OK")))))))))),"CHECK input"))</ns0:f>
        <ns0:v/>
      </ns0:c>
      <ns0:c r="G661" s="0">
        <ns0:f>IF(OR(F661&lt;&gt;"OK",$B$6&gt;0),0,0.5*(IF(('_Dates'!X661)&lt;('_Dates'!W661),0,INT((('_Dates'!X661)-('_Dates'!W661)+1)/7)*LEN(SUBSTITUTE(W661,"O",""))+LEN(SUBSTITUTE(MID(W661&amp;W661,WEEKDAY(('_Dates'!W661),2),MOD((('_Dates'!X661)-('_Dates'!W661)+1),7)),"O",""))-COUNTIFS(INDEX(AllClosureRows,C661,0),"&gt;="&amp;('_Dates'!W661),INDEX(AllClosureRows,C661,0),"&lt;="&amp;('_Dates'!X661)))+IF(('_Dates'!Z661)&lt;('_Dates'!Y661),0,INT((('_Dates'!Z661)-('_Dates'!Y661)+1)/7)*LEN(SUBSTITUTE(W661,"O",""))+LEN(SUBSTITUTE(MID(W661&amp;W661,WEEKDAY(('_Dates'!Y661),2),MOD((('_Dates'!Z661)-('_Dates'!Y661)+1),7)),"O",""))-COUNTIFS(INDEX(AllClosureRows,C661,0),"&gt;="&amp;('_Dates'!Y661),INDEX(AllClosureRows,C661,0),"&lt;="&amp;('_Dates'!Z661)))))</ns0:f>
        <ns0:v>0</ns0:v>
      </ns0:c>
      <ns0:c r="H661" s="0">
        <ns0:f>IF(OR(F661&lt;&gt;"OK",$B$6&gt;0),0,0.5*(IF((MIN('_Dates'!X661,Settings!$B$9))&lt;('_Dates'!W661),0,INT(((MIN('_Dates'!X661,Settings!$B$9))-('_Dates'!W661)+1)/7)*LEN(SUBSTITUTE(W661,"O",""))+LEN(SUBSTITUTE(MID(W661&amp;W661,WEEKDAY(('_Dates'!W661),2),MOD(((MIN('_Dates'!X661,Settings!$B$9))-('_Dates'!W661)+1),7)),"O",""))-COUNTIFS(INDEX(AllClosureRows,C661,0),"&gt;="&amp;('_Dates'!W661),INDEX(AllClosureRows,C661,0),"&lt;="&amp;(MIN('_Dates'!X661,Settings!$B$9))))+IF((MIN('_Dates'!Z661,Settings!$B$9))&lt;('_Dates'!Y661),0,INT(((MIN('_Dates'!Z661,Settings!$B$9))-('_Dates'!Y661)+1)/7)*LEN(SUBSTITUTE(W661,"O",""))+LEN(SUBSTITUTE(MID(W661&amp;W661,WEEKDAY(('_Dates'!Y661),2),MOD(((MIN('_Dates'!Z661,Settings!$B$9))-('_Dates'!Y661)+1),7)),"O",""))-COUNTIFS(INDEX(AllClosureRows,C661,0),"&gt;="&amp;('_Dates'!Y661),INDEX(AllClosureRows,C661,0),"&lt;="&amp;(MIN('_Dates'!Z661,Settings!$B$9))))))</ns0:f>
        <ns0:v>0</ns0:v>
      </ns0:c>
      <ns0:c r="I661" s="0">
        <ns0:f>MAX(0,G661-H661)</ns0:f>
        <ns0:v>0</ns0:v>
      </ns0:c>
      <ns0:c r="J661" s="0">
        <ns0:f>IF(OR(A661=0,F661&lt;&gt;"OK",Bookings!G661="Cancelled",$B$6&gt;0),0,IF('_Dates'!AC661=1,MAX(0,COUNTIFS(rngEngine_B,B661,rngAMStart,"&lt;="&amp;'_Dates'!X661,rngAMEnd,"&gt;="&amp;'_Dates'!W661,rngAMActive,1,rngEngine_F,"OK",rngBookings_F,"&lt;&gt;Cancelled")-1),0)+IF('_Dates'!AD661=1,MAX(0,COUNTIFS(rngEngine_B,B661,rngPMStart,"&lt;="&amp;'_Dates'!Z661,rngPMEnd,"&gt;="&amp;'_Dates'!Y661,rngPMActive,1,rngEngine_F,"OK",rngBookings_F,"&lt;&gt;Cancelled")-1),0))</ns0:f>
        <ns0:v>0</ns0:v>
      </ns0:c>
      <ns0:c r="K661" s="0" t="str">
        <ns0:f>IF(A661=0,"",IF(F661&lt;&gt;"OK",F661,IF(J661&gt;0,"CHECK overlapping entry",IF(AND($B$6=0,G661&lt;=0,Bookings!G661&lt;&gt;"Cancelled"),"CHECK no working days",IF(Bookings!G661="Cancelled","Cancelled","OK")))))</ns0:f>
        <ns0:v/>
      </ns0:c>
      <ns0:c r="L661" s="0">
        <ns0:f>IF(LEFT(K661,5)="CHECK",1,0)</ns0:f>
        <ns0:v>0</ns0:v>
      </ns0:c>
      <ns0:c r="M661" s="0">
        <ns0:f>IF(AND(L661=1,OR(C661=0,IFERROR(INDEX($X$11:$X$60,C661),0)=0)),1,0)</ns0:f>
        <ns0:v>0</ns0:v>
      </ns0:c>
      <ns0:c r="N661" s="0">
        <ns0:f>IF(OR(A661=0,L661&gt;0,$B$6&gt;0,Bookings!G661="Cancelled"),0,G661)</ns0:f>
        <ns0:v>0</ns0:v>
      </ns0:c>
      <ns0:c r="O661" s="0">
        <ns0:f>IF(AND(Bookings!G661="Approved",E661="Yes"),N661,0)</ns0:f>
        <ns0:v>0</ns0:v>
      </ns0:c>
      <ns0:c r="P661" s="0">
        <ns0:f>IF(AND(Bookings!G661="Approved",E661="Yes",L661=0,$B$6=0),H661,0)</ns0:f>
        <ns0:v>0</ns0:v>
      </ns0:c>
      <ns0:c r="Q661" s="0">
        <ns0:f>IF(AND(Bookings!G661="Approved",E661="Yes",L661=0,$B$6=0),I661,0)</ns0:f>
        <ns0:v>0</ns0:v>
      </ns0:c>
      <ns0:c r="R661" s="0">
        <ns0:f>IF(AND(Bookings!G661="Pending",E661="Yes"),N661,0)</ns0:f>
        <ns0:v>0</ns0:v>
      </ns0:c>
      <ns0:c r="S661" s="0">
        <ns0:f>IF(AND(Bookings!G661="Approved",E661="No"),N661,0)</ns0:f>
        <ns0:v>0</ns0:v>
      </ns0:c>
      <ns0:c r="T661" s="0">
        <ns0:f>IFERROR(MATCH(D661,Settings!$G$7:$G$11,0),0)</ns0:f>
        <ns0:v>0</ns0:v>
      </ns0:c>
      <ns0:c r="U661" s="0">
        <ns0:f>IF(N661&gt;0,T661+IF(Bookings!G661="Pending",10,0),0)</ns0:f>
        <ns0:v>0</ns0:v>
      </ns0:c>
      <ns0:c r="V661" s="0">
        <ns0:f>U661</ns0:f>
        <ns0:v>0</ns0:v>
      </ns0:c>
      <ns0:c r="W661" s="0" t="str">
        <ns0:f>IF(C661=0,"",INDEX($AP$11:$AP$60,C661))</ns0:f>
        <ns0:v/>
      </ns0:c>
    </ns0:row>
    <ns0:row r="662">
      <ns0:c r="A662" s="0">
        <ns0:f>IF(COUNTA(Bookings!A662:G662,Bookings!I662)=0,0,1)</ns0:f>
        <ns0:v>0</ns0:v>
      </ns0:c>
      <ns0:c r="B662" s="0" t="str">
        <ns0:f>IFERROR(TRIM(MID(Bookings!A662,FIND(" · ",Bookings!A662)+3,99)),"")</ns0:f>
        <ns0:v/>
      </ns0:c>
      <ns0:c r="C662" s="0">
        <ns0:f>IF(OR(B662="",LEN(B662)&gt;24,ISNUMBER(FIND(" ",B662)),ISNUMBER(FIND("*",B662)),ISNUMBER(FIND("?",B662)),ISNUMBER(FIND("~",B662))),0,IFERROR(MATCH(B662,Team!$A$11:$A$60,0),0))</ns0:f>
        <ns0:v>0</ns0:v>
      </ns0:c>
      <ns0:c r="D662" s="0" t="str">
        <ns0:f>IFERROR(IF(MID(Bookings!F662,LEN(Bookings!F662)-3,3)=" · ",RIGHT(Bookings!F662,1),""),"")</ns0:f>
        <ns0:v/>
      </ns0:c>
      <ns0:c r="E662" s="0" t="str">
        <ns0:f>IFERROR(INDEX(Settings!$H$7:$H$11,MATCH(D662,Settings!$G$7:$G$11,0)),"")</ns0:f>
        <ns0:v/>
      </ns0:c>
      <ns0:c r="F662" s="0" t="str">
        <ns0:f>IF(A662=0,"",IFERROR(IF(OR(B662="",C662=0),"CHECK employee selection",IF(INDEX(Team!$O$11:$O$60,C662)&lt;&gt;"OK","CHECK employee setup",IF(OR('_Dates'!J662=0,'_Dates'!T662=0),"CHECK date: use DD.MM.YYYY",IF('_Dates'!T662&lt;'_Dates'!J662,"CHECK end before start",IF(AND($B$6=0,OR('_Dates'!J662&lt;Settings!$B$7,'_Dates'!T662&gt;Settings!$B$8)),"CHECK split across leave years",IF(OR(NOT(OR('_Dates'!U662="Full day",'_Dates'!U662="AM",'_Dates'!U662="PM")),NOT(OR('_Dates'!V662="Full day",'_Dates'!V662="AM",'_Dates'!V662="PM"))),"CHECK Full day / AM / PM",IF(AND('_Dates'!J662='_Dates'!T662,'_Dates'!U662&lt;&gt;"Full day",'_Dates'!V662&lt;&gt;"Full day",'_Dates'!U662&lt;&gt;'_Dates'!V662),"CHECK same-day portions disagree",IF(AND($B$6=0,OR(AND('_Dates'!U662&lt;&gt;"Full day",'_Dates'!AA662=0),AND('_Dates'!V662&lt;&gt;"Full day",'_Dates'!AB662=0))),"CHECK half-day on non-working date",IF(COUNTIF(Settings!$G$7:$G$11,D662)&lt;&gt;1,"CHECK leave type",IF(AND(Bookings!G662&lt;&gt;"Approved",Bookings!G662&lt;&gt;"Pending",Bookings!G662&lt;&gt;"Cancelled"),"CHECK status","OK")))))))))),"CHECK input"))</ns0:f>
        <ns0:v/>
      </ns0:c>
      <ns0:c r="G662" s="0">
        <ns0:f>IF(OR(F662&lt;&gt;"OK",$B$6&gt;0),0,0.5*(IF(('_Dates'!X662)&lt;('_Dates'!W662),0,INT((('_Dates'!X662)-('_Dates'!W662)+1)/7)*LEN(SUBSTITUTE(W662,"O",""))+LEN(SUBSTITUTE(MID(W662&amp;W662,WEEKDAY(('_Dates'!W662),2),MOD((('_Dates'!X662)-('_Dates'!W662)+1),7)),"O",""))-COUNTIFS(INDEX(AllClosureRows,C662,0),"&gt;="&amp;('_Dates'!W662),INDEX(AllClosureRows,C662,0),"&lt;="&amp;('_Dates'!X662)))+IF(('_Dates'!Z662)&lt;('_Dates'!Y662),0,INT((('_Dates'!Z662)-('_Dates'!Y662)+1)/7)*LEN(SUBSTITUTE(W662,"O",""))+LEN(SUBSTITUTE(MID(W662&amp;W662,WEEKDAY(('_Dates'!Y662),2),MOD((('_Dates'!Z662)-('_Dates'!Y662)+1),7)),"O",""))-COUNTIFS(INDEX(AllClosureRows,C662,0),"&gt;="&amp;('_Dates'!Y662),INDEX(AllClosureRows,C662,0),"&lt;="&amp;('_Dates'!Z662)))))</ns0:f>
        <ns0:v>0</ns0:v>
      </ns0:c>
      <ns0:c r="H662" s="0">
        <ns0:f>IF(OR(F662&lt;&gt;"OK",$B$6&gt;0),0,0.5*(IF((MIN('_Dates'!X662,Settings!$B$9))&lt;('_Dates'!W662),0,INT(((MIN('_Dates'!X662,Settings!$B$9))-('_Dates'!W662)+1)/7)*LEN(SUBSTITUTE(W662,"O",""))+LEN(SUBSTITUTE(MID(W662&amp;W662,WEEKDAY(('_Dates'!W662),2),MOD(((MIN('_Dates'!X662,Settings!$B$9))-('_Dates'!W662)+1),7)),"O",""))-COUNTIFS(INDEX(AllClosureRows,C662,0),"&gt;="&amp;('_Dates'!W662),INDEX(AllClosureRows,C662,0),"&lt;="&amp;(MIN('_Dates'!X662,Settings!$B$9))))+IF((MIN('_Dates'!Z662,Settings!$B$9))&lt;('_Dates'!Y662),0,INT(((MIN('_Dates'!Z662,Settings!$B$9))-('_Dates'!Y662)+1)/7)*LEN(SUBSTITUTE(W662,"O",""))+LEN(SUBSTITUTE(MID(W662&amp;W662,WEEKDAY(('_Dates'!Y662),2),MOD(((MIN('_Dates'!Z662,Settings!$B$9))-('_Dates'!Y662)+1),7)),"O",""))-COUNTIFS(INDEX(AllClosureRows,C662,0),"&gt;="&amp;('_Dates'!Y662),INDEX(AllClosureRows,C662,0),"&lt;="&amp;(MIN('_Dates'!Z662,Settings!$B$9))))))</ns0:f>
        <ns0:v>0</ns0:v>
      </ns0:c>
      <ns0:c r="I662" s="0">
        <ns0:f>MAX(0,G662-H662)</ns0:f>
        <ns0:v>0</ns0:v>
      </ns0:c>
      <ns0:c r="J662" s="0">
        <ns0:f>IF(OR(A662=0,F662&lt;&gt;"OK",Bookings!G662="Cancelled",$B$6&gt;0),0,IF('_Dates'!AC662=1,MAX(0,COUNTIFS(rngEngine_B,B662,rngAMStart,"&lt;="&amp;'_Dates'!X662,rngAMEnd,"&gt;="&amp;'_Dates'!W662,rngAMActive,1,rngEngine_F,"OK",rngBookings_F,"&lt;&gt;Cancelled")-1),0)+IF('_Dates'!AD662=1,MAX(0,COUNTIFS(rngEngine_B,B662,rngPMStart,"&lt;="&amp;'_Dates'!Z662,rngPMEnd,"&gt;="&amp;'_Dates'!Y662,rngPMActive,1,rngEngine_F,"OK",rngBookings_F,"&lt;&gt;Cancelled")-1),0))</ns0:f>
        <ns0:v>0</ns0:v>
      </ns0:c>
      <ns0:c r="K662" s="0" t="str">
        <ns0:f>IF(A662=0,"",IF(F662&lt;&gt;"OK",F662,IF(J662&gt;0,"CHECK overlapping entry",IF(AND($B$6=0,G662&lt;=0,Bookings!G662&lt;&gt;"Cancelled"),"CHECK no working days",IF(Bookings!G662="Cancelled","Cancelled","OK")))))</ns0:f>
        <ns0:v/>
      </ns0:c>
      <ns0:c r="L662" s="0">
        <ns0:f>IF(LEFT(K662,5)="CHECK",1,0)</ns0:f>
        <ns0:v>0</ns0:v>
      </ns0:c>
      <ns0:c r="M662" s="0">
        <ns0:f>IF(AND(L662=1,OR(C662=0,IFERROR(INDEX($X$11:$X$60,C662),0)=0)),1,0)</ns0:f>
        <ns0:v>0</ns0:v>
      </ns0:c>
      <ns0:c r="N662" s="0">
        <ns0:f>IF(OR(A662=0,L662&gt;0,$B$6&gt;0,Bookings!G662="Cancelled"),0,G662)</ns0:f>
        <ns0:v>0</ns0:v>
      </ns0:c>
      <ns0:c r="O662" s="0">
        <ns0:f>IF(AND(Bookings!G662="Approved",E662="Yes"),N662,0)</ns0:f>
        <ns0:v>0</ns0:v>
      </ns0:c>
      <ns0:c r="P662" s="0">
        <ns0:f>IF(AND(Bookings!G662="Approved",E662="Yes",L662=0,$B$6=0),H662,0)</ns0:f>
        <ns0:v>0</ns0:v>
      </ns0:c>
      <ns0:c r="Q662" s="0">
        <ns0:f>IF(AND(Bookings!G662="Approved",E662="Yes",L662=0,$B$6=0),I662,0)</ns0:f>
        <ns0:v>0</ns0:v>
      </ns0:c>
      <ns0:c r="R662" s="0">
        <ns0:f>IF(AND(Bookings!G662="Pending",E662="Yes"),N662,0)</ns0:f>
        <ns0:v>0</ns0:v>
      </ns0:c>
      <ns0:c r="S662" s="0">
        <ns0:f>IF(AND(Bookings!G662="Approved",E662="No"),N662,0)</ns0:f>
        <ns0:v>0</ns0:v>
      </ns0:c>
      <ns0:c r="T662" s="0">
        <ns0:f>IFERROR(MATCH(D662,Settings!$G$7:$G$11,0),0)</ns0:f>
        <ns0:v>0</ns0:v>
      </ns0:c>
      <ns0:c r="U662" s="0">
        <ns0:f>IF(N662&gt;0,T662+IF(Bookings!G662="Pending",10,0),0)</ns0:f>
        <ns0:v>0</ns0:v>
      </ns0:c>
      <ns0:c r="V662" s="0">
        <ns0:f>U662</ns0:f>
        <ns0:v>0</ns0:v>
      </ns0:c>
      <ns0:c r="W662" s="0" t="str">
        <ns0:f>IF(C662=0,"",INDEX($AP$11:$AP$60,C662))</ns0:f>
        <ns0:v/>
      </ns0:c>
    </ns0:row>
    <ns0:row r="663">
      <ns0:c r="A663" s="0">
        <ns0:f>IF(COUNTA(Bookings!A663:G663,Bookings!I663)=0,0,1)</ns0:f>
        <ns0:v>0</ns0:v>
      </ns0:c>
      <ns0:c r="B663" s="0" t="str">
        <ns0:f>IFERROR(TRIM(MID(Bookings!A663,FIND(" · ",Bookings!A663)+3,99)),"")</ns0:f>
        <ns0:v/>
      </ns0:c>
      <ns0:c r="C663" s="0">
        <ns0:f>IF(OR(B663="",LEN(B663)&gt;24,ISNUMBER(FIND(" ",B663)),ISNUMBER(FIND("*",B663)),ISNUMBER(FIND("?",B663)),ISNUMBER(FIND("~",B663))),0,IFERROR(MATCH(B663,Team!$A$11:$A$60,0),0))</ns0:f>
        <ns0:v>0</ns0:v>
      </ns0:c>
      <ns0:c r="D663" s="0" t="str">
        <ns0:f>IFERROR(IF(MID(Bookings!F663,LEN(Bookings!F663)-3,3)=" · ",RIGHT(Bookings!F663,1),""),"")</ns0:f>
        <ns0:v/>
      </ns0:c>
      <ns0:c r="E663" s="0" t="str">
        <ns0:f>IFERROR(INDEX(Settings!$H$7:$H$11,MATCH(D663,Settings!$G$7:$G$11,0)),"")</ns0:f>
        <ns0:v/>
      </ns0:c>
      <ns0:c r="F663" s="0" t="str">
        <ns0:f>IF(A663=0,"",IFERROR(IF(OR(B663="",C663=0),"CHECK employee selection",IF(INDEX(Team!$O$11:$O$60,C663)&lt;&gt;"OK","CHECK employee setup",IF(OR('_Dates'!J663=0,'_Dates'!T663=0),"CHECK date: use DD.MM.YYYY",IF('_Dates'!T663&lt;'_Dates'!J663,"CHECK end before start",IF(AND($B$6=0,OR('_Dates'!J663&lt;Settings!$B$7,'_Dates'!T663&gt;Settings!$B$8)),"CHECK split across leave years",IF(OR(NOT(OR('_Dates'!U663="Full day",'_Dates'!U663="AM",'_Dates'!U663="PM")),NOT(OR('_Dates'!V663="Full day",'_Dates'!V663="AM",'_Dates'!V663="PM"))),"CHECK Full day / AM / PM",IF(AND('_Dates'!J663='_Dates'!T663,'_Dates'!U663&lt;&gt;"Full day",'_Dates'!V663&lt;&gt;"Full day",'_Dates'!U663&lt;&gt;'_Dates'!V663),"CHECK same-day portions disagree",IF(AND($B$6=0,OR(AND('_Dates'!U663&lt;&gt;"Full day",'_Dates'!AA663=0),AND('_Dates'!V663&lt;&gt;"Full day",'_Dates'!AB663=0))),"CHECK half-day on non-working date",IF(COUNTIF(Settings!$G$7:$G$11,D663)&lt;&gt;1,"CHECK leave type",IF(AND(Bookings!G663&lt;&gt;"Approved",Bookings!G663&lt;&gt;"Pending",Bookings!G663&lt;&gt;"Cancelled"),"CHECK status","OK")))))))))),"CHECK input"))</ns0:f>
        <ns0:v/>
      </ns0:c>
      <ns0:c r="G663" s="0">
        <ns0:f>IF(OR(F663&lt;&gt;"OK",$B$6&gt;0),0,0.5*(IF(('_Dates'!X663)&lt;('_Dates'!W663),0,INT((('_Dates'!X663)-('_Dates'!W663)+1)/7)*LEN(SUBSTITUTE(W663,"O",""))+LEN(SUBSTITUTE(MID(W663&amp;W663,WEEKDAY(('_Dates'!W663),2),MOD((('_Dates'!X663)-('_Dates'!W663)+1),7)),"O",""))-COUNTIFS(INDEX(AllClosureRows,C663,0),"&gt;="&amp;('_Dates'!W663),INDEX(AllClosureRows,C663,0),"&lt;="&amp;('_Dates'!X663)))+IF(('_Dates'!Z663)&lt;('_Dates'!Y663),0,INT((('_Dates'!Z663)-('_Dates'!Y663)+1)/7)*LEN(SUBSTITUTE(W663,"O",""))+LEN(SUBSTITUTE(MID(W663&amp;W663,WEEKDAY(('_Dates'!Y663),2),MOD((('_Dates'!Z663)-('_Dates'!Y663)+1),7)),"O",""))-COUNTIFS(INDEX(AllClosureRows,C663,0),"&gt;="&amp;('_Dates'!Y663),INDEX(AllClosureRows,C663,0),"&lt;="&amp;('_Dates'!Z663)))))</ns0:f>
        <ns0:v>0</ns0:v>
      </ns0:c>
      <ns0:c r="H663" s="0">
        <ns0:f>IF(OR(F663&lt;&gt;"OK",$B$6&gt;0),0,0.5*(IF((MIN('_Dates'!X663,Settings!$B$9))&lt;('_Dates'!W663),0,INT(((MIN('_Dates'!X663,Settings!$B$9))-('_Dates'!W663)+1)/7)*LEN(SUBSTITUTE(W663,"O",""))+LEN(SUBSTITUTE(MID(W663&amp;W663,WEEKDAY(('_Dates'!W663),2),MOD(((MIN('_Dates'!X663,Settings!$B$9))-('_Dates'!W663)+1),7)),"O",""))-COUNTIFS(INDEX(AllClosureRows,C663,0),"&gt;="&amp;('_Dates'!W663),INDEX(AllClosureRows,C663,0),"&lt;="&amp;(MIN('_Dates'!X663,Settings!$B$9))))+IF((MIN('_Dates'!Z663,Settings!$B$9))&lt;('_Dates'!Y663),0,INT(((MIN('_Dates'!Z663,Settings!$B$9))-('_Dates'!Y663)+1)/7)*LEN(SUBSTITUTE(W663,"O",""))+LEN(SUBSTITUTE(MID(W663&amp;W663,WEEKDAY(('_Dates'!Y663),2),MOD(((MIN('_Dates'!Z663,Settings!$B$9))-('_Dates'!Y663)+1),7)),"O",""))-COUNTIFS(INDEX(AllClosureRows,C663,0),"&gt;="&amp;('_Dates'!Y663),INDEX(AllClosureRows,C663,0),"&lt;="&amp;(MIN('_Dates'!Z663,Settings!$B$9))))))</ns0:f>
        <ns0:v>0</ns0:v>
      </ns0:c>
      <ns0:c r="I663" s="0">
        <ns0:f>MAX(0,G663-H663)</ns0:f>
        <ns0:v>0</ns0:v>
      </ns0:c>
      <ns0:c r="J663" s="0">
        <ns0:f>IF(OR(A663=0,F663&lt;&gt;"OK",Bookings!G663="Cancelled",$B$6&gt;0),0,IF('_Dates'!AC663=1,MAX(0,COUNTIFS(rngEngine_B,B663,rngAMStart,"&lt;="&amp;'_Dates'!X663,rngAMEnd,"&gt;="&amp;'_Dates'!W663,rngAMActive,1,rngEngine_F,"OK",rngBookings_F,"&lt;&gt;Cancelled")-1),0)+IF('_Dates'!AD663=1,MAX(0,COUNTIFS(rngEngine_B,B663,rngPMStart,"&lt;="&amp;'_Dates'!Z663,rngPMEnd,"&gt;="&amp;'_Dates'!Y663,rngPMActive,1,rngEngine_F,"OK",rngBookings_F,"&lt;&gt;Cancelled")-1),0))</ns0:f>
        <ns0:v>0</ns0:v>
      </ns0:c>
      <ns0:c r="K663" s="0" t="str">
        <ns0:f>IF(A663=0,"",IF(F663&lt;&gt;"OK",F663,IF(J663&gt;0,"CHECK overlapping entry",IF(AND($B$6=0,G663&lt;=0,Bookings!G663&lt;&gt;"Cancelled"),"CHECK no working days",IF(Bookings!G663="Cancelled","Cancelled","OK")))))</ns0:f>
        <ns0:v/>
      </ns0:c>
      <ns0:c r="L663" s="0">
        <ns0:f>IF(LEFT(K663,5)="CHECK",1,0)</ns0:f>
        <ns0:v>0</ns0:v>
      </ns0:c>
      <ns0:c r="M663" s="0">
        <ns0:f>IF(AND(L663=1,OR(C663=0,IFERROR(INDEX($X$11:$X$60,C663),0)=0)),1,0)</ns0:f>
        <ns0:v>0</ns0:v>
      </ns0:c>
      <ns0:c r="N663" s="0">
        <ns0:f>IF(OR(A663=0,L663&gt;0,$B$6&gt;0,Bookings!G663="Cancelled"),0,G663)</ns0:f>
        <ns0:v>0</ns0:v>
      </ns0:c>
      <ns0:c r="O663" s="0">
        <ns0:f>IF(AND(Bookings!G663="Approved",E663="Yes"),N663,0)</ns0:f>
        <ns0:v>0</ns0:v>
      </ns0:c>
      <ns0:c r="P663" s="0">
        <ns0:f>IF(AND(Bookings!G663="Approved",E663="Yes",L663=0,$B$6=0),H663,0)</ns0:f>
        <ns0:v>0</ns0:v>
      </ns0:c>
      <ns0:c r="Q663" s="0">
        <ns0:f>IF(AND(Bookings!G663="Approved",E663="Yes",L663=0,$B$6=0),I663,0)</ns0:f>
        <ns0:v>0</ns0:v>
      </ns0:c>
      <ns0:c r="R663" s="0">
        <ns0:f>IF(AND(Bookings!G663="Pending",E663="Yes"),N663,0)</ns0:f>
        <ns0:v>0</ns0:v>
      </ns0:c>
      <ns0:c r="S663" s="0">
        <ns0:f>IF(AND(Bookings!G663="Approved",E663="No"),N663,0)</ns0:f>
        <ns0:v>0</ns0:v>
      </ns0:c>
      <ns0:c r="T663" s="0">
        <ns0:f>IFERROR(MATCH(D663,Settings!$G$7:$G$11,0),0)</ns0:f>
        <ns0:v>0</ns0:v>
      </ns0:c>
      <ns0:c r="U663" s="0">
        <ns0:f>IF(N663&gt;0,T663+IF(Bookings!G663="Pending",10,0),0)</ns0:f>
        <ns0:v>0</ns0:v>
      </ns0:c>
      <ns0:c r="V663" s="0">
        <ns0:f>U663</ns0:f>
        <ns0:v>0</ns0:v>
      </ns0:c>
      <ns0:c r="W663" s="0" t="str">
        <ns0:f>IF(C663=0,"",INDEX($AP$11:$AP$60,C663))</ns0:f>
        <ns0:v/>
      </ns0:c>
    </ns0:row>
    <ns0:row r="664">
      <ns0:c r="A664" s="0">
        <ns0:f>IF(COUNTA(Bookings!A664:G664,Bookings!I664)=0,0,1)</ns0:f>
        <ns0:v>0</ns0:v>
      </ns0:c>
      <ns0:c r="B664" s="0" t="str">
        <ns0:f>IFERROR(TRIM(MID(Bookings!A664,FIND(" · ",Bookings!A664)+3,99)),"")</ns0:f>
        <ns0:v/>
      </ns0:c>
      <ns0:c r="C664" s="0">
        <ns0:f>IF(OR(B664="",LEN(B664)&gt;24,ISNUMBER(FIND(" ",B664)),ISNUMBER(FIND("*",B664)),ISNUMBER(FIND("?",B664)),ISNUMBER(FIND("~",B664))),0,IFERROR(MATCH(B664,Team!$A$11:$A$60,0),0))</ns0:f>
        <ns0:v>0</ns0:v>
      </ns0:c>
      <ns0:c r="D664" s="0" t="str">
        <ns0:f>IFERROR(IF(MID(Bookings!F664,LEN(Bookings!F664)-3,3)=" · ",RIGHT(Bookings!F664,1),""),"")</ns0:f>
        <ns0:v/>
      </ns0:c>
      <ns0:c r="E664" s="0" t="str">
        <ns0:f>IFERROR(INDEX(Settings!$H$7:$H$11,MATCH(D664,Settings!$G$7:$G$11,0)),"")</ns0:f>
        <ns0:v/>
      </ns0:c>
      <ns0:c r="F664" s="0" t="str">
        <ns0:f>IF(A664=0,"",IFERROR(IF(OR(B664="",C664=0),"CHECK employee selection",IF(INDEX(Team!$O$11:$O$60,C664)&lt;&gt;"OK","CHECK employee setup",IF(OR('_Dates'!J664=0,'_Dates'!T664=0),"CHECK date: use DD.MM.YYYY",IF('_Dates'!T664&lt;'_Dates'!J664,"CHECK end before start",IF(AND($B$6=0,OR('_Dates'!J664&lt;Settings!$B$7,'_Dates'!T664&gt;Settings!$B$8)),"CHECK split across leave years",IF(OR(NOT(OR('_Dates'!U664="Full day",'_Dates'!U664="AM",'_Dates'!U664="PM")),NOT(OR('_Dates'!V664="Full day",'_Dates'!V664="AM",'_Dates'!V664="PM"))),"CHECK Full day / AM / PM",IF(AND('_Dates'!J664='_Dates'!T664,'_Dates'!U664&lt;&gt;"Full day",'_Dates'!V664&lt;&gt;"Full day",'_Dates'!U664&lt;&gt;'_Dates'!V664),"CHECK same-day portions disagree",IF(AND($B$6=0,OR(AND('_Dates'!U664&lt;&gt;"Full day",'_Dates'!AA664=0),AND('_Dates'!V664&lt;&gt;"Full day",'_Dates'!AB664=0))),"CHECK half-day on non-working date",IF(COUNTIF(Settings!$G$7:$G$11,D664)&lt;&gt;1,"CHECK leave type",IF(AND(Bookings!G664&lt;&gt;"Approved",Bookings!G664&lt;&gt;"Pending",Bookings!G664&lt;&gt;"Cancelled"),"CHECK status","OK")))))))))),"CHECK input"))</ns0:f>
        <ns0:v/>
      </ns0:c>
      <ns0:c r="G664" s="0">
        <ns0:f>IF(OR(F664&lt;&gt;"OK",$B$6&gt;0),0,0.5*(IF(('_Dates'!X664)&lt;('_Dates'!W664),0,INT((('_Dates'!X664)-('_Dates'!W664)+1)/7)*LEN(SUBSTITUTE(W664,"O",""))+LEN(SUBSTITUTE(MID(W664&amp;W664,WEEKDAY(('_Dates'!W664),2),MOD((('_Dates'!X664)-('_Dates'!W664)+1),7)),"O",""))-COUNTIFS(INDEX(AllClosureRows,C664,0),"&gt;="&amp;('_Dates'!W664),INDEX(AllClosureRows,C664,0),"&lt;="&amp;('_Dates'!X664)))+IF(('_Dates'!Z664)&lt;('_Dates'!Y664),0,INT((('_Dates'!Z664)-('_Dates'!Y664)+1)/7)*LEN(SUBSTITUTE(W664,"O",""))+LEN(SUBSTITUTE(MID(W664&amp;W664,WEEKDAY(('_Dates'!Y664),2),MOD((('_Dates'!Z664)-('_Dates'!Y664)+1),7)),"O",""))-COUNTIFS(INDEX(AllClosureRows,C664,0),"&gt;="&amp;('_Dates'!Y664),INDEX(AllClosureRows,C664,0),"&lt;="&amp;('_Dates'!Z664)))))</ns0:f>
        <ns0:v>0</ns0:v>
      </ns0:c>
      <ns0:c r="H664" s="0">
        <ns0:f>IF(OR(F664&lt;&gt;"OK",$B$6&gt;0),0,0.5*(IF((MIN('_Dates'!X664,Settings!$B$9))&lt;('_Dates'!W664),0,INT(((MIN('_Dates'!X664,Settings!$B$9))-('_Dates'!W664)+1)/7)*LEN(SUBSTITUTE(W664,"O",""))+LEN(SUBSTITUTE(MID(W664&amp;W664,WEEKDAY(('_Dates'!W664),2),MOD(((MIN('_Dates'!X664,Settings!$B$9))-('_Dates'!W664)+1),7)),"O",""))-COUNTIFS(INDEX(AllClosureRows,C664,0),"&gt;="&amp;('_Dates'!W664),INDEX(AllClosureRows,C664,0),"&lt;="&amp;(MIN('_Dates'!X664,Settings!$B$9))))+IF((MIN('_Dates'!Z664,Settings!$B$9))&lt;('_Dates'!Y664),0,INT(((MIN('_Dates'!Z664,Settings!$B$9))-('_Dates'!Y664)+1)/7)*LEN(SUBSTITUTE(W664,"O",""))+LEN(SUBSTITUTE(MID(W664&amp;W664,WEEKDAY(('_Dates'!Y664),2),MOD(((MIN('_Dates'!Z664,Settings!$B$9))-('_Dates'!Y664)+1),7)),"O",""))-COUNTIFS(INDEX(AllClosureRows,C664,0),"&gt;="&amp;('_Dates'!Y664),INDEX(AllClosureRows,C664,0),"&lt;="&amp;(MIN('_Dates'!Z664,Settings!$B$9))))))</ns0:f>
        <ns0:v>0</ns0:v>
      </ns0:c>
      <ns0:c r="I664" s="0">
        <ns0:f>MAX(0,G664-H664)</ns0:f>
        <ns0:v>0</ns0:v>
      </ns0:c>
      <ns0:c r="J664" s="0">
        <ns0:f>IF(OR(A664=0,F664&lt;&gt;"OK",Bookings!G664="Cancelled",$B$6&gt;0),0,IF('_Dates'!AC664=1,MAX(0,COUNTIFS(rngEngine_B,B664,rngAMStart,"&lt;="&amp;'_Dates'!X664,rngAMEnd,"&gt;="&amp;'_Dates'!W664,rngAMActive,1,rngEngine_F,"OK",rngBookings_F,"&lt;&gt;Cancelled")-1),0)+IF('_Dates'!AD664=1,MAX(0,COUNTIFS(rngEngine_B,B664,rngPMStart,"&lt;="&amp;'_Dates'!Z664,rngPMEnd,"&gt;="&amp;'_Dates'!Y664,rngPMActive,1,rngEngine_F,"OK",rngBookings_F,"&lt;&gt;Cancelled")-1),0))</ns0:f>
        <ns0:v>0</ns0:v>
      </ns0:c>
      <ns0:c r="K664" s="0" t="str">
        <ns0:f>IF(A664=0,"",IF(F664&lt;&gt;"OK",F664,IF(J664&gt;0,"CHECK overlapping entry",IF(AND($B$6=0,G664&lt;=0,Bookings!G664&lt;&gt;"Cancelled"),"CHECK no working days",IF(Bookings!G664="Cancelled","Cancelled","OK")))))</ns0:f>
        <ns0:v/>
      </ns0:c>
      <ns0:c r="L664" s="0">
        <ns0:f>IF(LEFT(K664,5)="CHECK",1,0)</ns0:f>
        <ns0:v>0</ns0:v>
      </ns0:c>
      <ns0:c r="M664" s="0">
        <ns0:f>IF(AND(L664=1,OR(C664=0,IFERROR(INDEX($X$11:$X$60,C664),0)=0)),1,0)</ns0:f>
        <ns0:v>0</ns0:v>
      </ns0:c>
      <ns0:c r="N664" s="0">
        <ns0:f>IF(OR(A664=0,L664&gt;0,$B$6&gt;0,Bookings!G664="Cancelled"),0,G664)</ns0:f>
        <ns0:v>0</ns0:v>
      </ns0:c>
      <ns0:c r="O664" s="0">
        <ns0:f>IF(AND(Bookings!G664="Approved",E664="Yes"),N664,0)</ns0:f>
        <ns0:v>0</ns0:v>
      </ns0:c>
      <ns0:c r="P664" s="0">
        <ns0:f>IF(AND(Bookings!G664="Approved",E664="Yes",L664=0,$B$6=0),H664,0)</ns0:f>
        <ns0:v>0</ns0:v>
      </ns0:c>
      <ns0:c r="Q664" s="0">
        <ns0:f>IF(AND(Bookings!G664="Approved",E664="Yes",L664=0,$B$6=0),I664,0)</ns0:f>
        <ns0:v>0</ns0:v>
      </ns0:c>
      <ns0:c r="R664" s="0">
        <ns0:f>IF(AND(Bookings!G664="Pending",E664="Yes"),N664,0)</ns0:f>
        <ns0:v>0</ns0:v>
      </ns0:c>
      <ns0:c r="S664" s="0">
        <ns0:f>IF(AND(Bookings!G664="Approved",E664="No"),N664,0)</ns0:f>
        <ns0:v>0</ns0:v>
      </ns0:c>
      <ns0:c r="T664" s="0">
        <ns0:f>IFERROR(MATCH(D664,Settings!$G$7:$G$11,0),0)</ns0:f>
        <ns0:v>0</ns0:v>
      </ns0:c>
      <ns0:c r="U664" s="0">
        <ns0:f>IF(N664&gt;0,T664+IF(Bookings!G664="Pending",10,0),0)</ns0:f>
        <ns0:v>0</ns0:v>
      </ns0:c>
      <ns0:c r="V664" s="0">
        <ns0:f>U664</ns0:f>
        <ns0:v>0</ns0:v>
      </ns0:c>
      <ns0:c r="W664" s="0" t="str">
        <ns0:f>IF(C664=0,"",INDEX($AP$11:$AP$60,C664))</ns0:f>
        <ns0:v/>
      </ns0:c>
    </ns0:row>
    <ns0:row r="665">
      <ns0:c r="A665" s="0">
        <ns0:f>IF(COUNTA(Bookings!A665:G665,Bookings!I665)=0,0,1)</ns0:f>
        <ns0:v>0</ns0:v>
      </ns0:c>
      <ns0:c r="B665" s="0" t="str">
        <ns0:f>IFERROR(TRIM(MID(Bookings!A665,FIND(" · ",Bookings!A665)+3,99)),"")</ns0:f>
        <ns0:v/>
      </ns0:c>
      <ns0:c r="C665" s="0">
        <ns0:f>IF(OR(B665="",LEN(B665)&gt;24,ISNUMBER(FIND(" ",B665)),ISNUMBER(FIND("*",B665)),ISNUMBER(FIND("?",B665)),ISNUMBER(FIND("~",B665))),0,IFERROR(MATCH(B665,Team!$A$11:$A$60,0),0))</ns0:f>
        <ns0:v>0</ns0:v>
      </ns0:c>
      <ns0:c r="D665" s="0" t="str">
        <ns0:f>IFERROR(IF(MID(Bookings!F665,LEN(Bookings!F665)-3,3)=" · ",RIGHT(Bookings!F665,1),""),"")</ns0:f>
        <ns0:v/>
      </ns0:c>
      <ns0:c r="E665" s="0" t="str">
        <ns0:f>IFERROR(INDEX(Settings!$H$7:$H$11,MATCH(D665,Settings!$G$7:$G$11,0)),"")</ns0:f>
        <ns0:v/>
      </ns0:c>
      <ns0:c r="F665" s="0" t="str">
        <ns0:f>IF(A665=0,"",IFERROR(IF(OR(B665="",C665=0),"CHECK employee selection",IF(INDEX(Team!$O$11:$O$60,C665)&lt;&gt;"OK","CHECK employee setup",IF(OR('_Dates'!J665=0,'_Dates'!T665=0),"CHECK date: use DD.MM.YYYY",IF('_Dates'!T665&lt;'_Dates'!J665,"CHECK end before start",IF(AND($B$6=0,OR('_Dates'!J665&lt;Settings!$B$7,'_Dates'!T665&gt;Settings!$B$8)),"CHECK split across leave years",IF(OR(NOT(OR('_Dates'!U665="Full day",'_Dates'!U665="AM",'_Dates'!U665="PM")),NOT(OR('_Dates'!V665="Full day",'_Dates'!V665="AM",'_Dates'!V665="PM"))),"CHECK Full day / AM / PM",IF(AND('_Dates'!J665='_Dates'!T665,'_Dates'!U665&lt;&gt;"Full day",'_Dates'!V665&lt;&gt;"Full day",'_Dates'!U665&lt;&gt;'_Dates'!V665),"CHECK same-day portions disagree",IF(AND($B$6=0,OR(AND('_Dates'!U665&lt;&gt;"Full day",'_Dates'!AA665=0),AND('_Dates'!V665&lt;&gt;"Full day",'_Dates'!AB665=0))),"CHECK half-day on non-working date",IF(COUNTIF(Settings!$G$7:$G$11,D665)&lt;&gt;1,"CHECK leave type",IF(AND(Bookings!G665&lt;&gt;"Approved",Bookings!G665&lt;&gt;"Pending",Bookings!G665&lt;&gt;"Cancelled"),"CHECK status","OK")))))))))),"CHECK input"))</ns0:f>
        <ns0:v/>
      </ns0:c>
      <ns0:c r="G665" s="0">
        <ns0:f>IF(OR(F665&lt;&gt;"OK",$B$6&gt;0),0,0.5*(IF(('_Dates'!X665)&lt;('_Dates'!W665),0,INT((('_Dates'!X665)-('_Dates'!W665)+1)/7)*LEN(SUBSTITUTE(W665,"O",""))+LEN(SUBSTITUTE(MID(W665&amp;W665,WEEKDAY(('_Dates'!W665),2),MOD((('_Dates'!X665)-('_Dates'!W665)+1),7)),"O",""))-COUNTIFS(INDEX(AllClosureRows,C665,0),"&gt;="&amp;('_Dates'!W665),INDEX(AllClosureRows,C665,0),"&lt;="&amp;('_Dates'!X665)))+IF(('_Dates'!Z665)&lt;('_Dates'!Y665),0,INT((('_Dates'!Z665)-('_Dates'!Y665)+1)/7)*LEN(SUBSTITUTE(W665,"O",""))+LEN(SUBSTITUTE(MID(W665&amp;W665,WEEKDAY(('_Dates'!Y665),2),MOD((('_Dates'!Z665)-('_Dates'!Y665)+1),7)),"O",""))-COUNTIFS(INDEX(AllClosureRows,C665,0),"&gt;="&amp;('_Dates'!Y665),INDEX(AllClosureRows,C665,0),"&lt;="&amp;('_Dates'!Z665)))))</ns0:f>
        <ns0:v>0</ns0:v>
      </ns0:c>
      <ns0:c r="H665" s="0">
        <ns0:f>IF(OR(F665&lt;&gt;"OK",$B$6&gt;0),0,0.5*(IF((MIN('_Dates'!X665,Settings!$B$9))&lt;('_Dates'!W665),0,INT(((MIN('_Dates'!X665,Settings!$B$9))-('_Dates'!W665)+1)/7)*LEN(SUBSTITUTE(W665,"O",""))+LEN(SUBSTITUTE(MID(W665&amp;W665,WEEKDAY(('_Dates'!W665),2),MOD(((MIN('_Dates'!X665,Settings!$B$9))-('_Dates'!W665)+1),7)),"O",""))-COUNTIFS(INDEX(AllClosureRows,C665,0),"&gt;="&amp;('_Dates'!W665),INDEX(AllClosureRows,C665,0),"&lt;="&amp;(MIN('_Dates'!X665,Settings!$B$9))))+IF((MIN('_Dates'!Z665,Settings!$B$9))&lt;('_Dates'!Y665),0,INT(((MIN('_Dates'!Z665,Settings!$B$9))-('_Dates'!Y665)+1)/7)*LEN(SUBSTITUTE(W665,"O",""))+LEN(SUBSTITUTE(MID(W665&amp;W665,WEEKDAY(('_Dates'!Y665),2),MOD(((MIN('_Dates'!Z665,Settings!$B$9))-('_Dates'!Y665)+1),7)),"O",""))-COUNTIFS(INDEX(AllClosureRows,C665,0),"&gt;="&amp;('_Dates'!Y665),INDEX(AllClosureRows,C665,0),"&lt;="&amp;(MIN('_Dates'!Z665,Settings!$B$9))))))</ns0:f>
        <ns0:v>0</ns0:v>
      </ns0:c>
      <ns0:c r="I665" s="0">
        <ns0:f>MAX(0,G665-H665)</ns0:f>
        <ns0:v>0</ns0:v>
      </ns0:c>
      <ns0:c r="J665" s="0">
        <ns0:f>IF(OR(A665=0,F665&lt;&gt;"OK",Bookings!G665="Cancelled",$B$6&gt;0),0,IF('_Dates'!AC665=1,MAX(0,COUNTIFS(rngEngine_B,B665,rngAMStart,"&lt;="&amp;'_Dates'!X665,rngAMEnd,"&gt;="&amp;'_Dates'!W665,rngAMActive,1,rngEngine_F,"OK",rngBookings_F,"&lt;&gt;Cancelled")-1),0)+IF('_Dates'!AD665=1,MAX(0,COUNTIFS(rngEngine_B,B665,rngPMStart,"&lt;="&amp;'_Dates'!Z665,rngPMEnd,"&gt;="&amp;'_Dates'!Y665,rngPMActive,1,rngEngine_F,"OK",rngBookings_F,"&lt;&gt;Cancelled")-1),0))</ns0:f>
        <ns0:v>0</ns0:v>
      </ns0:c>
      <ns0:c r="K665" s="0" t="str">
        <ns0:f>IF(A665=0,"",IF(F665&lt;&gt;"OK",F665,IF(J665&gt;0,"CHECK overlapping entry",IF(AND($B$6=0,G665&lt;=0,Bookings!G665&lt;&gt;"Cancelled"),"CHECK no working days",IF(Bookings!G665="Cancelled","Cancelled","OK")))))</ns0:f>
        <ns0:v/>
      </ns0:c>
      <ns0:c r="L665" s="0">
        <ns0:f>IF(LEFT(K665,5)="CHECK",1,0)</ns0:f>
        <ns0:v>0</ns0:v>
      </ns0:c>
      <ns0:c r="M665" s="0">
        <ns0:f>IF(AND(L665=1,OR(C665=0,IFERROR(INDEX($X$11:$X$60,C665),0)=0)),1,0)</ns0:f>
        <ns0:v>0</ns0:v>
      </ns0:c>
      <ns0:c r="N665" s="0">
        <ns0:f>IF(OR(A665=0,L665&gt;0,$B$6&gt;0,Bookings!G665="Cancelled"),0,G665)</ns0:f>
        <ns0:v>0</ns0:v>
      </ns0:c>
      <ns0:c r="O665" s="0">
        <ns0:f>IF(AND(Bookings!G665="Approved",E665="Yes"),N665,0)</ns0:f>
        <ns0:v>0</ns0:v>
      </ns0:c>
      <ns0:c r="P665" s="0">
        <ns0:f>IF(AND(Bookings!G665="Approved",E665="Yes",L665=0,$B$6=0),H665,0)</ns0:f>
        <ns0:v>0</ns0:v>
      </ns0:c>
      <ns0:c r="Q665" s="0">
        <ns0:f>IF(AND(Bookings!G665="Approved",E665="Yes",L665=0,$B$6=0),I665,0)</ns0:f>
        <ns0:v>0</ns0:v>
      </ns0:c>
      <ns0:c r="R665" s="0">
        <ns0:f>IF(AND(Bookings!G665="Pending",E665="Yes"),N665,0)</ns0:f>
        <ns0:v>0</ns0:v>
      </ns0:c>
      <ns0:c r="S665" s="0">
        <ns0:f>IF(AND(Bookings!G665="Approved",E665="No"),N665,0)</ns0:f>
        <ns0:v>0</ns0:v>
      </ns0:c>
      <ns0:c r="T665" s="0">
        <ns0:f>IFERROR(MATCH(D665,Settings!$G$7:$G$11,0),0)</ns0:f>
        <ns0:v>0</ns0:v>
      </ns0:c>
      <ns0:c r="U665" s="0">
        <ns0:f>IF(N665&gt;0,T665+IF(Bookings!G665="Pending",10,0),0)</ns0:f>
        <ns0:v>0</ns0:v>
      </ns0:c>
      <ns0:c r="V665" s="0">
        <ns0:f>U665</ns0:f>
        <ns0:v>0</ns0:v>
      </ns0:c>
      <ns0:c r="W665" s="0" t="str">
        <ns0:f>IF(C665=0,"",INDEX($AP$11:$AP$60,C665))</ns0:f>
        <ns0:v/>
      </ns0:c>
    </ns0:row>
    <ns0:row r="666">
      <ns0:c r="A666" s="0">
        <ns0:f>IF(COUNTA(Bookings!A666:G666,Bookings!I666)=0,0,1)</ns0:f>
        <ns0:v>0</ns0:v>
      </ns0:c>
      <ns0:c r="B666" s="0" t="str">
        <ns0:f>IFERROR(TRIM(MID(Bookings!A666,FIND(" · ",Bookings!A666)+3,99)),"")</ns0:f>
        <ns0:v/>
      </ns0:c>
      <ns0:c r="C666" s="0">
        <ns0:f>IF(OR(B666="",LEN(B666)&gt;24,ISNUMBER(FIND(" ",B666)),ISNUMBER(FIND("*",B666)),ISNUMBER(FIND("?",B666)),ISNUMBER(FIND("~",B666))),0,IFERROR(MATCH(B666,Team!$A$11:$A$60,0),0))</ns0:f>
        <ns0:v>0</ns0:v>
      </ns0:c>
      <ns0:c r="D666" s="0" t="str">
        <ns0:f>IFERROR(IF(MID(Bookings!F666,LEN(Bookings!F666)-3,3)=" · ",RIGHT(Bookings!F666,1),""),"")</ns0:f>
        <ns0:v/>
      </ns0:c>
      <ns0:c r="E666" s="0" t="str">
        <ns0:f>IFERROR(INDEX(Settings!$H$7:$H$11,MATCH(D666,Settings!$G$7:$G$11,0)),"")</ns0:f>
        <ns0:v/>
      </ns0:c>
      <ns0:c r="F666" s="0" t="str">
        <ns0:f>IF(A666=0,"",IFERROR(IF(OR(B666="",C666=0),"CHECK employee selection",IF(INDEX(Team!$O$11:$O$60,C666)&lt;&gt;"OK","CHECK employee setup",IF(OR('_Dates'!J666=0,'_Dates'!T666=0),"CHECK date: use DD.MM.YYYY",IF('_Dates'!T666&lt;'_Dates'!J666,"CHECK end before start",IF(AND($B$6=0,OR('_Dates'!J666&lt;Settings!$B$7,'_Dates'!T666&gt;Settings!$B$8)),"CHECK split across leave years",IF(OR(NOT(OR('_Dates'!U666="Full day",'_Dates'!U666="AM",'_Dates'!U666="PM")),NOT(OR('_Dates'!V666="Full day",'_Dates'!V666="AM",'_Dates'!V666="PM"))),"CHECK Full day / AM / PM",IF(AND('_Dates'!J666='_Dates'!T666,'_Dates'!U666&lt;&gt;"Full day",'_Dates'!V666&lt;&gt;"Full day",'_Dates'!U666&lt;&gt;'_Dates'!V666),"CHECK same-day portions disagree",IF(AND($B$6=0,OR(AND('_Dates'!U666&lt;&gt;"Full day",'_Dates'!AA666=0),AND('_Dates'!V666&lt;&gt;"Full day",'_Dates'!AB666=0))),"CHECK half-day on non-working date",IF(COUNTIF(Settings!$G$7:$G$11,D666)&lt;&gt;1,"CHECK leave type",IF(AND(Bookings!G666&lt;&gt;"Approved",Bookings!G666&lt;&gt;"Pending",Bookings!G666&lt;&gt;"Cancelled"),"CHECK status","OK")))))))))),"CHECK input"))</ns0:f>
        <ns0:v/>
      </ns0:c>
      <ns0:c r="G666" s="0">
        <ns0:f>IF(OR(F666&lt;&gt;"OK",$B$6&gt;0),0,0.5*(IF(('_Dates'!X666)&lt;('_Dates'!W666),0,INT((('_Dates'!X666)-('_Dates'!W666)+1)/7)*LEN(SUBSTITUTE(W666,"O",""))+LEN(SUBSTITUTE(MID(W666&amp;W666,WEEKDAY(('_Dates'!W666),2),MOD((('_Dates'!X666)-('_Dates'!W666)+1),7)),"O",""))-COUNTIFS(INDEX(AllClosureRows,C666,0),"&gt;="&amp;('_Dates'!W666),INDEX(AllClosureRows,C666,0),"&lt;="&amp;('_Dates'!X666)))+IF(('_Dates'!Z666)&lt;('_Dates'!Y666),0,INT((('_Dates'!Z666)-('_Dates'!Y666)+1)/7)*LEN(SUBSTITUTE(W666,"O",""))+LEN(SUBSTITUTE(MID(W666&amp;W666,WEEKDAY(('_Dates'!Y666),2),MOD((('_Dates'!Z666)-('_Dates'!Y666)+1),7)),"O",""))-COUNTIFS(INDEX(AllClosureRows,C666,0),"&gt;="&amp;('_Dates'!Y666),INDEX(AllClosureRows,C666,0),"&lt;="&amp;('_Dates'!Z666)))))</ns0:f>
        <ns0:v>0</ns0:v>
      </ns0:c>
      <ns0:c r="H666" s="0">
        <ns0:f>IF(OR(F666&lt;&gt;"OK",$B$6&gt;0),0,0.5*(IF((MIN('_Dates'!X666,Settings!$B$9))&lt;('_Dates'!W666),0,INT(((MIN('_Dates'!X666,Settings!$B$9))-('_Dates'!W666)+1)/7)*LEN(SUBSTITUTE(W666,"O",""))+LEN(SUBSTITUTE(MID(W666&amp;W666,WEEKDAY(('_Dates'!W666),2),MOD(((MIN('_Dates'!X666,Settings!$B$9))-('_Dates'!W666)+1),7)),"O",""))-COUNTIFS(INDEX(AllClosureRows,C666,0),"&gt;="&amp;('_Dates'!W666),INDEX(AllClosureRows,C666,0),"&lt;="&amp;(MIN('_Dates'!X666,Settings!$B$9))))+IF((MIN('_Dates'!Z666,Settings!$B$9))&lt;('_Dates'!Y666),0,INT(((MIN('_Dates'!Z666,Settings!$B$9))-('_Dates'!Y666)+1)/7)*LEN(SUBSTITUTE(W666,"O",""))+LEN(SUBSTITUTE(MID(W666&amp;W666,WEEKDAY(('_Dates'!Y666),2),MOD(((MIN('_Dates'!Z666,Settings!$B$9))-('_Dates'!Y666)+1),7)),"O",""))-COUNTIFS(INDEX(AllClosureRows,C666,0),"&gt;="&amp;('_Dates'!Y666),INDEX(AllClosureRows,C666,0),"&lt;="&amp;(MIN('_Dates'!Z666,Settings!$B$9))))))</ns0:f>
        <ns0:v>0</ns0:v>
      </ns0:c>
      <ns0:c r="I666" s="0">
        <ns0:f>MAX(0,G666-H666)</ns0:f>
        <ns0:v>0</ns0:v>
      </ns0:c>
      <ns0:c r="J666" s="0">
        <ns0:f>IF(OR(A666=0,F666&lt;&gt;"OK",Bookings!G666="Cancelled",$B$6&gt;0),0,IF('_Dates'!AC666=1,MAX(0,COUNTIFS(rngEngine_B,B666,rngAMStart,"&lt;="&amp;'_Dates'!X666,rngAMEnd,"&gt;="&amp;'_Dates'!W666,rngAMActive,1,rngEngine_F,"OK",rngBookings_F,"&lt;&gt;Cancelled")-1),0)+IF('_Dates'!AD666=1,MAX(0,COUNTIFS(rngEngine_B,B666,rngPMStart,"&lt;="&amp;'_Dates'!Z666,rngPMEnd,"&gt;="&amp;'_Dates'!Y666,rngPMActive,1,rngEngine_F,"OK",rngBookings_F,"&lt;&gt;Cancelled")-1),0))</ns0:f>
        <ns0:v>0</ns0:v>
      </ns0:c>
      <ns0:c r="K666" s="0" t="str">
        <ns0:f>IF(A666=0,"",IF(F666&lt;&gt;"OK",F666,IF(J666&gt;0,"CHECK overlapping entry",IF(AND($B$6=0,G666&lt;=0,Bookings!G666&lt;&gt;"Cancelled"),"CHECK no working days",IF(Bookings!G666="Cancelled","Cancelled","OK")))))</ns0:f>
        <ns0:v/>
      </ns0:c>
      <ns0:c r="L666" s="0">
        <ns0:f>IF(LEFT(K666,5)="CHECK",1,0)</ns0:f>
        <ns0:v>0</ns0:v>
      </ns0:c>
      <ns0:c r="M666" s="0">
        <ns0:f>IF(AND(L666=1,OR(C666=0,IFERROR(INDEX($X$11:$X$60,C666),0)=0)),1,0)</ns0:f>
        <ns0:v>0</ns0:v>
      </ns0:c>
      <ns0:c r="N666" s="0">
        <ns0:f>IF(OR(A666=0,L666&gt;0,$B$6&gt;0,Bookings!G666="Cancelled"),0,G666)</ns0:f>
        <ns0:v>0</ns0:v>
      </ns0:c>
      <ns0:c r="O666" s="0">
        <ns0:f>IF(AND(Bookings!G666="Approved",E666="Yes"),N666,0)</ns0:f>
        <ns0:v>0</ns0:v>
      </ns0:c>
      <ns0:c r="P666" s="0">
        <ns0:f>IF(AND(Bookings!G666="Approved",E666="Yes",L666=0,$B$6=0),H666,0)</ns0:f>
        <ns0:v>0</ns0:v>
      </ns0:c>
      <ns0:c r="Q666" s="0">
        <ns0:f>IF(AND(Bookings!G666="Approved",E666="Yes",L666=0,$B$6=0),I666,0)</ns0:f>
        <ns0:v>0</ns0:v>
      </ns0:c>
      <ns0:c r="R666" s="0">
        <ns0:f>IF(AND(Bookings!G666="Pending",E666="Yes"),N666,0)</ns0:f>
        <ns0:v>0</ns0:v>
      </ns0:c>
      <ns0:c r="S666" s="0">
        <ns0:f>IF(AND(Bookings!G666="Approved",E666="No"),N666,0)</ns0:f>
        <ns0:v>0</ns0:v>
      </ns0:c>
      <ns0:c r="T666" s="0">
        <ns0:f>IFERROR(MATCH(D666,Settings!$G$7:$G$11,0),0)</ns0:f>
        <ns0:v>0</ns0:v>
      </ns0:c>
      <ns0:c r="U666" s="0">
        <ns0:f>IF(N666&gt;0,T666+IF(Bookings!G666="Pending",10,0),0)</ns0:f>
        <ns0:v>0</ns0:v>
      </ns0:c>
      <ns0:c r="V666" s="0">
        <ns0:f>U666</ns0:f>
        <ns0:v>0</ns0:v>
      </ns0:c>
      <ns0:c r="W666" s="0" t="str">
        <ns0:f>IF(C666=0,"",INDEX($AP$11:$AP$60,C666))</ns0:f>
        <ns0:v/>
      </ns0:c>
    </ns0:row>
    <ns0:row r="667">
      <ns0:c r="A667" s="0">
        <ns0:f>IF(COUNTA(Bookings!A667:G667,Bookings!I667)=0,0,1)</ns0:f>
        <ns0:v>0</ns0:v>
      </ns0:c>
      <ns0:c r="B667" s="0" t="str">
        <ns0:f>IFERROR(TRIM(MID(Bookings!A667,FIND(" · ",Bookings!A667)+3,99)),"")</ns0:f>
        <ns0:v/>
      </ns0:c>
      <ns0:c r="C667" s="0">
        <ns0:f>IF(OR(B667="",LEN(B667)&gt;24,ISNUMBER(FIND(" ",B667)),ISNUMBER(FIND("*",B667)),ISNUMBER(FIND("?",B667)),ISNUMBER(FIND("~",B667))),0,IFERROR(MATCH(B667,Team!$A$11:$A$60,0),0))</ns0:f>
        <ns0:v>0</ns0:v>
      </ns0:c>
      <ns0:c r="D667" s="0" t="str">
        <ns0:f>IFERROR(IF(MID(Bookings!F667,LEN(Bookings!F667)-3,3)=" · ",RIGHT(Bookings!F667,1),""),"")</ns0:f>
        <ns0:v/>
      </ns0:c>
      <ns0:c r="E667" s="0" t="str">
        <ns0:f>IFERROR(INDEX(Settings!$H$7:$H$11,MATCH(D667,Settings!$G$7:$G$11,0)),"")</ns0:f>
        <ns0:v/>
      </ns0:c>
      <ns0:c r="F667" s="0" t="str">
        <ns0:f>IF(A667=0,"",IFERROR(IF(OR(B667="",C667=0),"CHECK employee selection",IF(INDEX(Team!$O$11:$O$60,C667)&lt;&gt;"OK","CHECK employee setup",IF(OR('_Dates'!J667=0,'_Dates'!T667=0),"CHECK date: use DD.MM.YYYY",IF('_Dates'!T667&lt;'_Dates'!J667,"CHECK end before start",IF(AND($B$6=0,OR('_Dates'!J667&lt;Settings!$B$7,'_Dates'!T667&gt;Settings!$B$8)),"CHECK split across leave years",IF(OR(NOT(OR('_Dates'!U667="Full day",'_Dates'!U667="AM",'_Dates'!U667="PM")),NOT(OR('_Dates'!V667="Full day",'_Dates'!V667="AM",'_Dates'!V667="PM"))),"CHECK Full day / AM / PM",IF(AND('_Dates'!J667='_Dates'!T667,'_Dates'!U667&lt;&gt;"Full day",'_Dates'!V667&lt;&gt;"Full day",'_Dates'!U667&lt;&gt;'_Dates'!V667),"CHECK same-day portions disagree",IF(AND($B$6=0,OR(AND('_Dates'!U667&lt;&gt;"Full day",'_Dates'!AA667=0),AND('_Dates'!V667&lt;&gt;"Full day",'_Dates'!AB667=0))),"CHECK half-day on non-working date",IF(COUNTIF(Settings!$G$7:$G$11,D667)&lt;&gt;1,"CHECK leave type",IF(AND(Bookings!G667&lt;&gt;"Approved",Bookings!G667&lt;&gt;"Pending",Bookings!G667&lt;&gt;"Cancelled"),"CHECK status","OK")))))))))),"CHECK input"))</ns0:f>
        <ns0:v/>
      </ns0:c>
      <ns0:c r="G667" s="0">
        <ns0:f>IF(OR(F667&lt;&gt;"OK",$B$6&gt;0),0,0.5*(IF(('_Dates'!X667)&lt;('_Dates'!W667),0,INT((('_Dates'!X667)-('_Dates'!W667)+1)/7)*LEN(SUBSTITUTE(W667,"O",""))+LEN(SUBSTITUTE(MID(W667&amp;W667,WEEKDAY(('_Dates'!W667),2),MOD((('_Dates'!X667)-('_Dates'!W667)+1),7)),"O",""))-COUNTIFS(INDEX(AllClosureRows,C667,0),"&gt;="&amp;('_Dates'!W667),INDEX(AllClosureRows,C667,0),"&lt;="&amp;('_Dates'!X667)))+IF(('_Dates'!Z667)&lt;('_Dates'!Y667),0,INT((('_Dates'!Z667)-('_Dates'!Y667)+1)/7)*LEN(SUBSTITUTE(W667,"O",""))+LEN(SUBSTITUTE(MID(W667&amp;W667,WEEKDAY(('_Dates'!Y667),2),MOD((('_Dates'!Z667)-('_Dates'!Y667)+1),7)),"O",""))-COUNTIFS(INDEX(AllClosureRows,C667,0),"&gt;="&amp;('_Dates'!Y667),INDEX(AllClosureRows,C667,0),"&lt;="&amp;('_Dates'!Z667)))))</ns0:f>
        <ns0:v>0</ns0:v>
      </ns0:c>
      <ns0:c r="H667" s="0">
        <ns0:f>IF(OR(F667&lt;&gt;"OK",$B$6&gt;0),0,0.5*(IF((MIN('_Dates'!X667,Settings!$B$9))&lt;('_Dates'!W667),0,INT(((MIN('_Dates'!X667,Settings!$B$9))-('_Dates'!W667)+1)/7)*LEN(SUBSTITUTE(W667,"O",""))+LEN(SUBSTITUTE(MID(W667&amp;W667,WEEKDAY(('_Dates'!W667),2),MOD(((MIN('_Dates'!X667,Settings!$B$9))-('_Dates'!W667)+1),7)),"O",""))-COUNTIFS(INDEX(AllClosureRows,C667,0),"&gt;="&amp;('_Dates'!W667),INDEX(AllClosureRows,C667,0),"&lt;="&amp;(MIN('_Dates'!X667,Settings!$B$9))))+IF((MIN('_Dates'!Z667,Settings!$B$9))&lt;('_Dates'!Y667),0,INT(((MIN('_Dates'!Z667,Settings!$B$9))-('_Dates'!Y667)+1)/7)*LEN(SUBSTITUTE(W667,"O",""))+LEN(SUBSTITUTE(MID(W667&amp;W667,WEEKDAY(('_Dates'!Y667),2),MOD(((MIN('_Dates'!Z667,Settings!$B$9))-('_Dates'!Y667)+1),7)),"O",""))-COUNTIFS(INDEX(AllClosureRows,C667,0),"&gt;="&amp;('_Dates'!Y667),INDEX(AllClosureRows,C667,0),"&lt;="&amp;(MIN('_Dates'!Z667,Settings!$B$9))))))</ns0:f>
        <ns0:v>0</ns0:v>
      </ns0:c>
      <ns0:c r="I667" s="0">
        <ns0:f>MAX(0,G667-H667)</ns0:f>
        <ns0:v>0</ns0:v>
      </ns0:c>
      <ns0:c r="J667" s="0">
        <ns0:f>IF(OR(A667=0,F667&lt;&gt;"OK",Bookings!G667="Cancelled",$B$6&gt;0),0,IF('_Dates'!AC667=1,MAX(0,COUNTIFS(rngEngine_B,B667,rngAMStart,"&lt;="&amp;'_Dates'!X667,rngAMEnd,"&gt;="&amp;'_Dates'!W667,rngAMActive,1,rngEngine_F,"OK",rngBookings_F,"&lt;&gt;Cancelled")-1),0)+IF('_Dates'!AD667=1,MAX(0,COUNTIFS(rngEngine_B,B667,rngPMStart,"&lt;="&amp;'_Dates'!Z667,rngPMEnd,"&gt;="&amp;'_Dates'!Y667,rngPMActive,1,rngEngine_F,"OK",rngBookings_F,"&lt;&gt;Cancelled")-1),0))</ns0:f>
        <ns0:v>0</ns0:v>
      </ns0:c>
      <ns0:c r="K667" s="0" t="str">
        <ns0:f>IF(A667=0,"",IF(F667&lt;&gt;"OK",F667,IF(J667&gt;0,"CHECK overlapping entry",IF(AND($B$6=0,G667&lt;=0,Bookings!G667&lt;&gt;"Cancelled"),"CHECK no working days",IF(Bookings!G667="Cancelled","Cancelled","OK")))))</ns0:f>
        <ns0:v/>
      </ns0:c>
      <ns0:c r="L667" s="0">
        <ns0:f>IF(LEFT(K667,5)="CHECK",1,0)</ns0:f>
        <ns0:v>0</ns0:v>
      </ns0:c>
      <ns0:c r="M667" s="0">
        <ns0:f>IF(AND(L667=1,OR(C667=0,IFERROR(INDEX($X$11:$X$60,C667),0)=0)),1,0)</ns0:f>
        <ns0:v>0</ns0:v>
      </ns0:c>
      <ns0:c r="N667" s="0">
        <ns0:f>IF(OR(A667=0,L667&gt;0,$B$6&gt;0,Bookings!G667="Cancelled"),0,G667)</ns0:f>
        <ns0:v>0</ns0:v>
      </ns0:c>
      <ns0:c r="O667" s="0">
        <ns0:f>IF(AND(Bookings!G667="Approved",E667="Yes"),N667,0)</ns0:f>
        <ns0:v>0</ns0:v>
      </ns0:c>
      <ns0:c r="P667" s="0">
        <ns0:f>IF(AND(Bookings!G667="Approved",E667="Yes",L667=0,$B$6=0),H667,0)</ns0:f>
        <ns0:v>0</ns0:v>
      </ns0:c>
      <ns0:c r="Q667" s="0">
        <ns0:f>IF(AND(Bookings!G667="Approved",E667="Yes",L667=0,$B$6=0),I667,0)</ns0:f>
        <ns0:v>0</ns0:v>
      </ns0:c>
      <ns0:c r="R667" s="0">
        <ns0:f>IF(AND(Bookings!G667="Pending",E667="Yes"),N667,0)</ns0:f>
        <ns0:v>0</ns0:v>
      </ns0:c>
      <ns0:c r="S667" s="0">
        <ns0:f>IF(AND(Bookings!G667="Approved",E667="No"),N667,0)</ns0:f>
        <ns0:v>0</ns0:v>
      </ns0:c>
      <ns0:c r="T667" s="0">
        <ns0:f>IFERROR(MATCH(D667,Settings!$G$7:$G$11,0),0)</ns0:f>
        <ns0:v>0</ns0:v>
      </ns0:c>
      <ns0:c r="U667" s="0">
        <ns0:f>IF(N667&gt;0,T667+IF(Bookings!G667="Pending",10,0),0)</ns0:f>
        <ns0:v>0</ns0:v>
      </ns0:c>
      <ns0:c r="V667" s="0">
        <ns0:f>U667</ns0:f>
        <ns0:v>0</ns0:v>
      </ns0:c>
      <ns0:c r="W667" s="0" t="str">
        <ns0:f>IF(C667=0,"",INDEX($AP$11:$AP$60,C667))</ns0:f>
        <ns0:v/>
      </ns0:c>
    </ns0:row>
    <ns0:row r="668">
      <ns0:c r="A668" s="0">
        <ns0:f>IF(COUNTA(Bookings!A668:G668,Bookings!I668)=0,0,1)</ns0:f>
        <ns0:v>0</ns0:v>
      </ns0:c>
      <ns0:c r="B668" s="0" t="str">
        <ns0:f>IFERROR(TRIM(MID(Bookings!A668,FIND(" · ",Bookings!A668)+3,99)),"")</ns0:f>
        <ns0:v/>
      </ns0:c>
      <ns0:c r="C668" s="0">
        <ns0:f>IF(OR(B668="",LEN(B668)&gt;24,ISNUMBER(FIND(" ",B668)),ISNUMBER(FIND("*",B668)),ISNUMBER(FIND("?",B668)),ISNUMBER(FIND("~",B668))),0,IFERROR(MATCH(B668,Team!$A$11:$A$60,0),0))</ns0:f>
        <ns0:v>0</ns0:v>
      </ns0:c>
      <ns0:c r="D668" s="0" t="str">
        <ns0:f>IFERROR(IF(MID(Bookings!F668,LEN(Bookings!F668)-3,3)=" · ",RIGHT(Bookings!F668,1),""),"")</ns0:f>
        <ns0:v/>
      </ns0:c>
      <ns0:c r="E668" s="0" t="str">
        <ns0:f>IFERROR(INDEX(Settings!$H$7:$H$11,MATCH(D668,Settings!$G$7:$G$11,0)),"")</ns0:f>
        <ns0:v/>
      </ns0:c>
      <ns0:c r="F668" s="0" t="str">
        <ns0:f>IF(A668=0,"",IFERROR(IF(OR(B668="",C668=0),"CHECK employee selection",IF(INDEX(Team!$O$11:$O$60,C668)&lt;&gt;"OK","CHECK employee setup",IF(OR('_Dates'!J668=0,'_Dates'!T668=0),"CHECK date: use DD.MM.YYYY",IF('_Dates'!T668&lt;'_Dates'!J668,"CHECK end before start",IF(AND($B$6=0,OR('_Dates'!J668&lt;Settings!$B$7,'_Dates'!T668&gt;Settings!$B$8)),"CHECK split across leave years",IF(OR(NOT(OR('_Dates'!U668="Full day",'_Dates'!U668="AM",'_Dates'!U668="PM")),NOT(OR('_Dates'!V668="Full day",'_Dates'!V668="AM",'_Dates'!V668="PM"))),"CHECK Full day / AM / PM",IF(AND('_Dates'!J668='_Dates'!T668,'_Dates'!U668&lt;&gt;"Full day",'_Dates'!V668&lt;&gt;"Full day",'_Dates'!U668&lt;&gt;'_Dates'!V668),"CHECK same-day portions disagree",IF(AND($B$6=0,OR(AND('_Dates'!U668&lt;&gt;"Full day",'_Dates'!AA668=0),AND('_Dates'!V668&lt;&gt;"Full day",'_Dates'!AB668=0))),"CHECK half-day on non-working date",IF(COUNTIF(Settings!$G$7:$G$11,D668)&lt;&gt;1,"CHECK leave type",IF(AND(Bookings!G668&lt;&gt;"Approved",Bookings!G668&lt;&gt;"Pending",Bookings!G668&lt;&gt;"Cancelled"),"CHECK status","OK")))))))))),"CHECK input"))</ns0:f>
        <ns0:v/>
      </ns0:c>
      <ns0:c r="G668" s="0">
        <ns0:f>IF(OR(F668&lt;&gt;"OK",$B$6&gt;0),0,0.5*(IF(('_Dates'!X668)&lt;('_Dates'!W668),0,INT((('_Dates'!X668)-('_Dates'!W668)+1)/7)*LEN(SUBSTITUTE(W668,"O",""))+LEN(SUBSTITUTE(MID(W668&amp;W668,WEEKDAY(('_Dates'!W668),2),MOD((('_Dates'!X668)-('_Dates'!W668)+1),7)),"O",""))-COUNTIFS(INDEX(AllClosureRows,C668,0),"&gt;="&amp;('_Dates'!W668),INDEX(AllClosureRows,C668,0),"&lt;="&amp;('_Dates'!X668)))+IF(('_Dates'!Z668)&lt;('_Dates'!Y668),0,INT((('_Dates'!Z668)-('_Dates'!Y668)+1)/7)*LEN(SUBSTITUTE(W668,"O",""))+LEN(SUBSTITUTE(MID(W668&amp;W668,WEEKDAY(('_Dates'!Y668),2),MOD((('_Dates'!Z668)-('_Dates'!Y668)+1),7)),"O",""))-COUNTIFS(INDEX(AllClosureRows,C668,0),"&gt;="&amp;('_Dates'!Y668),INDEX(AllClosureRows,C668,0),"&lt;="&amp;('_Dates'!Z668)))))</ns0:f>
        <ns0:v>0</ns0:v>
      </ns0:c>
      <ns0:c r="H668" s="0">
        <ns0:f>IF(OR(F668&lt;&gt;"OK",$B$6&gt;0),0,0.5*(IF((MIN('_Dates'!X668,Settings!$B$9))&lt;('_Dates'!W668),0,INT(((MIN('_Dates'!X668,Settings!$B$9))-('_Dates'!W668)+1)/7)*LEN(SUBSTITUTE(W668,"O",""))+LEN(SUBSTITUTE(MID(W668&amp;W668,WEEKDAY(('_Dates'!W668),2),MOD(((MIN('_Dates'!X668,Settings!$B$9))-('_Dates'!W668)+1),7)),"O",""))-COUNTIFS(INDEX(AllClosureRows,C668,0),"&gt;="&amp;('_Dates'!W668),INDEX(AllClosureRows,C668,0),"&lt;="&amp;(MIN('_Dates'!X668,Settings!$B$9))))+IF((MIN('_Dates'!Z668,Settings!$B$9))&lt;('_Dates'!Y668),0,INT(((MIN('_Dates'!Z668,Settings!$B$9))-('_Dates'!Y668)+1)/7)*LEN(SUBSTITUTE(W668,"O",""))+LEN(SUBSTITUTE(MID(W668&amp;W668,WEEKDAY(('_Dates'!Y668),2),MOD(((MIN('_Dates'!Z668,Settings!$B$9))-('_Dates'!Y668)+1),7)),"O",""))-COUNTIFS(INDEX(AllClosureRows,C668,0),"&gt;="&amp;('_Dates'!Y668),INDEX(AllClosureRows,C668,0),"&lt;="&amp;(MIN('_Dates'!Z668,Settings!$B$9))))))</ns0:f>
        <ns0:v>0</ns0:v>
      </ns0:c>
      <ns0:c r="I668" s="0">
        <ns0:f>MAX(0,G668-H668)</ns0:f>
        <ns0:v>0</ns0:v>
      </ns0:c>
      <ns0:c r="J668" s="0">
        <ns0:f>IF(OR(A668=0,F668&lt;&gt;"OK",Bookings!G668="Cancelled",$B$6&gt;0),0,IF('_Dates'!AC668=1,MAX(0,COUNTIFS(rngEngine_B,B668,rngAMStart,"&lt;="&amp;'_Dates'!X668,rngAMEnd,"&gt;="&amp;'_Dates'!W668,rngAMActive,1,rngEngine_F,"OK",rngBookings_F,"&lt;&gt;Cancelled")-1),0)+IF('_Dates'!AD668=1,MAX(0,COUNTIFS(rngEngine_B,B668,rngPMStart,"&lt;="&amp;'_Dates'!Z668,rngPMEnd,"&gt;="&amp;'_Dates'!Y668,rngPMActive,1,rngEngine_F,"OK",rngBookings_F,"&lt;&gt;Cancelled")-1),0))</ns0:f>
        <ns0:v>0</ns0:v>
      </ns0:c>
      <ns0:c r="K668" s="0" t="str">
        <ns0:f>IF(A668=0,"",IF(F668&lt;&gt;"OK",F668,IF(J668&gt;0,"CHECK overlapping entry",IF(AND($B$6=0,G668&lt;=0,Bookings!G668&lt;&gt;"Cancelled"),"CHECK no working days",IF(Bookings!G668="Cancelled","Cancelled","OK")))))</ns0:f>
        <ns0:v/>
      </ns0:c>
      <ns0:c r="L668" s="0">
        <ns0:f>IF(LEFT(K668,5)="CHECK",1,0)</ns0:f>
        <ns0:v>0</ns0:v>
      </ns0:c>
      <ns0:c r="M668" s="0">
        <ns0:f>IF(AND(L668=1,OR(C668=0,IFERROR(INDEX($X$11:$X$60,C668),0)=0)),1,0)</ns0:f>
        <ns0:v>0</ns0:v>
      </ns0:c>
      <ns0:c r="N668" s="0">
        <ns0:f>IF(OR(A668=0,L668&gt;0,$B$6&gt;0,Bookings!G668="Cancelled"),0,G668)</ns0:f>
        <ns0:v>0</ns0:v>
      </ns0:c>
      <ns0:c r="O668" s="0">
        <ns0:f>IF(AND(Bookings!G668="Approved",E668="Yes"),N668,0)</ns0:f>
        <ns0:v>0</ns0:v>
      </ns0:c>
      <ns0:c r="P668" s="0">
        <ns0:f>IF(AND(Bookings!G668="Approved",E668="Yes",L668=0,$B$6=0),H668,0)</ns0:f>
        <ns0:v>0</ns0:v>
      </ns0:c>
      <ns0:c r="Q668" s="0">
        <ns0:f>IF(AND(Bookings!G668="Approved",E668="Yes",L668=0,$B$6=0),I668,0)</ns0:f>
        <ns0:v>0</ns0:v>
      </ns0:c>
      <ns0:c r="R668" s="0">
        <ns0:f>IF(AND(Bookings!G668="Pending",E668="Yes"),N668,0)</ns0:f>
        <ns0:v>0</ns0:v>
      </ns0:c>
      <ns0:c r="S668" s="0">
        <ns0:f>IF(AND(Bookings!G668="Approved",E668="No"),N668,0)</ns0:f>
        <ns0:v>0</ns0:v>
      </ns0:c>
      <ns0:c r="T668" s="0">
        <ns0:f>IFERROR(MATCH(D668,Settings!$G$7:$G$11,0),0)</ns0:f>
        <ns0:v>0</ns0:v>
      </ns0:c>
      <ns0:c r="U668" s="0">
        <ns0:f>IF(N668&gt;0,T668+IF(Bookings!G668="Pending",10,0),0)</ns0:f>
        <ns0:v>0</ns0:v>
      </ns0:c>
      <ns0:c r="V668" s="0">
        <ns0:f>U668</ns0:f>
        <ns0:v>0</ns0:v>
      </ns0:c>
      <ns0:c r="W668" s="0" t="str">
        <ns0:f>IF(C668=0,"",INDEX($AP$11:$AP$60,C668))</ns0:f>
        <ns0:v/>
      </ns0:c>
    </ns0:row>
    <ns0:row r="669">
      <ns0:c r="A669" s="0">
        <ns0:f>IF(COUNTA(Bookings!A669:G669,Bookings!I669)=0,0,1)</ns0:f>
        <ns0:v>0</ns0:v>
      </ns0:c>
      <ns0:c r="B669" s="0" t="str">
        <ns0:f>IFERROR(TRIM(MID(Bookings!A669,FIND(" · ",Bookings!A669)+3,99)),"")</ns0:f>
        <ns0:v/>
      </ns0:c>
      <ns0:c r="C669" s="0">
        <ns0:f>IF(OR(B669="",LEN(B669)&gt;24,ISNUMBER(FIND(" ",B669)),ISNUMBER(FIND("*",B669)),ISNUMBER(FIND("?",B669)),ISNUMBER(FIND("~",B669))),0,IFERROR(MATCH(B669,Team!$A$11:$A$60,0),0))</ns0:f>
        <ns0:v>0</ns0:v>
      </ns0:c>
      <ns0:c r="D669" s="0" t="str">
        <ns0:f>IFERROR(IF(MID(Bookings!F669,LEN(Bookings!F669)-3,3)=" · ",RIGHT(Bookings!F669,1),""),"")</ns0:f>
        <ns0:v/>
      </ns0:c>
      <ns0:c r="E669" s="0" t="str">
        <ns0:f>IFERROR(INDEX(Settings!$H$7:$H$11,MATCH(D669,Settings!$G$7:$G$11,0)),"")</ns0:f>
        <ns0:v/>
      </ns0:c>
      <ns0:c r="F669" s="0" t="str">
        <ns0:f>IF(A669=0,"",IFERROR(IF(OR(B669="",C669=0),"CHECK employee selection",IF(INDEX(Team!$O$11:$O$60,C669)&lt;&gt;"OK","CHECK employee setup",IF(OR('_Dates'!J669=0,'_Dates'!T669=0),"CHECK date: use DD.MM.YYYY",IF('_Dates'!T669&lt;'_Dates'!J669,"CHECK end before start",IF(AND($B$6=0,OR('_Dates'!J669&lt;Settings!$B$7,'_Dates'!T669&gt;Settings!$B$8)),"CHECK split across leave years",IF(OR(NOT(OR('_Dates'!U669="Full day",'_Dates'!U669="AM",'_Dates'!U669="PM")),NOT(OR('_Dates'!V669="Full day",'_Dates'!V669="AM",'_Dates'!V669="PM"))),"CHECK Full day / AM / PM",IF(AND('_Dates'!J669='_Dates'!T669,'_Dates'!U669&lt;&gt;"Full day",'_Dates'!V669&lt;&gt;"Full day",'_Dates'!U669&lt;&gt;'_Dates'!V669),"CHECK same-day portions disagree",IF(AND($B$6=0,OR(AND('_Dates'!U669&lt;&gt;"Full day",'_Dates'!AA669=0),AND('_Dates'!V669&lt;&gt;"Full day",'_Dates'!AB669=0))),"CHECK half-day on non-working date",IF(COUNTIF(Settings!$G$7:$G$11,D669)&lt;&gt;1,"CHECK leave type",IF(AND(Bookings!G669&lt;&gt;"Approved",Bookings!G669&lt;&gt;"Pending",Bookings!G669&lt;&gt;"Cancelled"),"CHECK status","OK")))))))))),"CHECK input"))</ns0:f>
        <ns0:v/>
      </ns0:c>
      <ns0:c r="G669" s="0">
        <ns0:f>IF(OR(F669&lt;&gt;"OK",$B$6&gt;0),0,0.5*(IF(('_Dates'!X669)&lt;('_Dates'!W669),0,INT((('_Dates'!X669)-('_Dates'!W669)+1)/7)*LEN(SUBSTITUTE(W669,"O",""))+LEN(SUBSTITUTE(MID(W669&amp;W669,WEEKDAY(('_Dates'!W669),2),MOD((('_Dates'!X669)-('_Dates'!W669)+1),7)),"O",""))-COUNTIFS(INDEX(AllClosureRows,C669,0),"&gt;="&amp;('_Dates'!W669),INDEX(AllClosureRows,C669,0),"&lt;="&amp;('_Dates'!X669)))+IF(('_Dates'!Z669)&lt;('_Dates'!Y669),0,INT((('_Dates'!Z669)-('_Dates'!Y669)+1)/7)*LEN(SUBSTITUTE(W669,"O",""))+LEN(SUBSTITUTE(MID(W669&amp;W669,WEEKDAY(('_Dates'!Y669),2),MOD((('_Dates'!Z669)-('_Dates'!Y669)+1),7)),"O",""))-COUNTIFS(INDEX(AllClosureRows,C669,0),"&gt;="&amp;('_Dates'!Y669),INDEX(AllClosureRows,C669,0),"&lt;="&amp;('_Dates'!Z669)))))</ns0:f>
        <ns0:v>0</ns0:v>
      </ns0:c>
      <ns0:c r="H669" s="0">
        <ns0:f>IF(OR(F669&lt;&gt;"OK",$B$6&gt;0),0,0.5*(IF((MIN('_Dates'!X669,Settings!$B$9))&lt;('_Dates'!W669),0,INT(((MIN('_Dates'!X669,Settings!$B$9))-('_Dates'!W669)+1)/7)*LEN(SUBSTITUTE(W669,"O",""))+LEN(SUBSTITUTE(MID(W669&amp;W669,WEEKDAY(('_Dates'!W669),2),MOD(((MIN('_Dates'!X669,Settings!$B$9))-('_Dates'!W669)+1),7)),"O",""))-COUNTIFS(INDEX(AllClosureRows,C669,0),"&gt;="&amp;('_Dates'!W669),INDEX(AllClosureRows,C669,0),"&lt;="&amp;(MIN('_Dates'!X669,Settings!$B$9))))+IF((MIN('_Dates'!Z669,Settings!$B$9))&lt;('_Dates'!Y669),0,INT(((MIN('_Dates'!Z669,Settings!$B$9))-('_Dates'!Y669)+1)/7)*LEN(SUBSTITUTE(W669,"O",""))+LEN(SUBSTITUTE(MID(W669&amp;W669,WEEKDAY(('_Dates'!Y669),2),MOD(((MIN('_Dates'!Z669,Settings!$B$9))-('_Dates'!Y669)+1),7)),"O",""))-COUNTIFS(INDEX(AllClosureRows,C669,0),"&gt;="&amp;('_Dates'!Y669),INDEX(AllClosureRows,C669,0),"&lt;="&amp;(MIN('_Dates'!Z669,Settings!$B$9))))))</ns0:f>
        <ns0:v>0</ns0:v>
      </ns0:c>
      <ns0:c r="I669" s="0">
        <ns0:f>MAX(0,G669-H669)</ns0:f>
        <ns0:v>0</ns0:v>
      </ns0:c>
      <ns0:c r="J669" s="0">
        <ns0:f>IF(OR(A669=0,F669&lt;&gt;"OK",Bookings!G669="Cancelled",$B$6&gt;0),0,IF('_Dates'!AC669=1,MAX(0,COUNTIFS(rngEngine_B,B669,rngAMStart,"&lt;="&amp;'_Dates'!X669,rngAMEnd,"&gt;="&amp;'_Dates'!W669,rngAMActive,1,rngEngine_F,"OK",rngBookings_F,"&lt;&gt;Cancelled")-1),0)+IF('_Dates'!AD669=1,MAX(0,COUNTIFS(rngEngine_B,B669,rngPMStart,"&lt;="&amp;'_Dates'!Z669,rngPMEnd,"&gt;="&amp;'_Dates'!Y669,rngPMActive,1,rngEngine_F,"OK",rngBookings_F,"&lt;&gt;Cancelled")-1),0))</ns0:f>
        <ns0:v>0</ns0:v>
      </ns0:c>
      <ns0:c r="K669" s="0" t="str">
        <ns0:f>IF(A669=0,"",IF(F669&lt;&gt;"OK",F669,IF(J669&gt;0,"CHECK overlapping entry",IF(AND($B$6=0,G669&lt;=0,Bookings!G669&lt;&gt;"Cancelled"),"CHECK no working days",IF(Bookings!G669="Cancelled","Cancelled","OK")))))</ns0:f>
        <ns0:v/>
      </ns0:c>
      <ns0:c r="L669" s="0">
        <ns0:f>IF(LEFT(K669,5)="CHECK",1,0)</ns0:f>
        <ns0:v>0</ns0:v>
      </ns0:c>
      <ns0:c r="M669" s="0">
        <ns0:f>IF(AND(L669=1,OR(C669=0,IFERROR(INDEX($X$11:$X$60,C669),0)=0)),1,0)</ns0:f>
        <ns0:v>0</ns0:v>
      </ns0:c>
      <ns0:c r="N669" s="0">
        <ns0:f>IF(OR(A669=0,L669&gt;0,$B$6&gt;0,Bookings!G669="Cancelled"),0,G669)</ns0:f>
        <ns0:v>0</ns0:v>
      </ns0:c>
      <ns0:c r="O669" s="0">
        <ns0:f>IF(AND(Bookings!G669="Approved",E669="Yes"),N669,0)</ns0:f>
        <ns0:v>0</ns0:v>
      </ns0:c>
      <ns0:c r="P669" s="0">
        <ns0:f>IF(AND(Bookings!G669="Approved",E669="Yes",L669=0,$B$6=0),H669,0)</ns0:f>
        <ns0:v>0</ns0:v>
      </ns0:c>
      <ns0:c r="Q669" s="0">
        <ns0:f>IF(AND(Bookings!G669="Approved",E669="Yes",L669=0,$B$6=0),I669,0)</ns0:f>
        <ns0:v>0</ns0:v>
      </ns0:c>
      <ns0:c r="R669" s="0">
        <ns0:f>IF(AND(Bookings!G669="Pending",E669="Yes"),N669,0)</ns0:f>
        <ns0:v>0</ns0:v>
      </ns0:c>
      <ns0:c r="S669" s="0">
        <ns0:f>IF(AND(Bookings!G669="Approved",E669="No"),N669,0)</ns0:f>
        <ns0:v>0</ns0:v>
      </ns0:c>
      <ns0:c r="T669" s="0">
        <ns0:f>IFERROR(MATCH(D669,Settings!$G$7:$G$11,0),0)</ns0:f>
        <ns0:v>0</ns0:v>
      </ns0:c>
      <ns0:c r="U669" s="0">
        <ns0:f>IF(N669&gt;0,T669+IF(Bookings!G669="Pending",10,0),0)</ns0:f>
        <ns0:v>0</ns0:v>
      </ns0:c>
      <ns0:c r="V669" s="0">
        <ns0:f>U669</ns0:f>
        <ns0:v>0</ns0:v>
      </ns0:c>
      <ns0:c r="W669" s="0" t="str">
        <ns0:f>IF(C669=0,"",INDEX($AP$11:$AP$60,C669))</ns0:f>
        <ns0:v/>
      </ns0:c>
    </ns0:row>
    <ns0:row r="670">
      <ns0:c r="A670" s="0">
        <ns0:f>IF(COUNTA(Bookings!A670:G670,Bookings!I670)=0,0,1)</ns0:f>
        <ns0:v>0</ns0:v>
      </ns0:c>
      <ns0:c r="B670" s="0" t="str">
        <ns0:f>IFERROR(TRIM(MID(Bookings!A670,FIND(" · ",Bookings!A670)+3,99)),"")</ns0:f>
        <ns0:v/>
      </ns0:c>
      <ns0:c r="C670" s="0">
        <ns0:f>IF(OR(B670="",LEN(B670)&gt;24,ISNUMBER(FIND(" ",B670)),ISNUMBER(FIND("*",B670)),ISNUMBER(FIND("?",B670)),ISNUMBER(FIND("~",B670))),0,IFERROR(MATCH(B670,Team!$A$11:$A$60,0),0))</ns0:f>
        <ns0:v>0</ns0:v>
      </ns0:c>
      <ns0:c r="D670" s="0" t="str">
        <ns0:f>IFERROR(IF(MID(Bookings!F670,LEN(Bookings!F670)-3,3)=" · ",RIGHT(Bookings!F670,1),""),"")</ns0:f>
        <ns0:v/>
      </ns0:c>
      <ns0:c r="E670" s="0" t="str">
        <ns0:f>IFERROR(INDEX(Settings!$H$7:$H$11,MATCH(D670,Settings!$G$7:$G$11,0)),"")</ns0:f>
        <ns0:v/>
      </ns0:c>
      <ns0:c r="F670" s="0" t="str">
        <ns0:f>IF(A670=0,"",IFERROR(IF(OR(B670="",C670=0),"CHECK employee selection",IF(INDEX(Team!$O$11:$O$60,C670)&lt;&gt;"OK","CHECK employee setup",IF(OR('_Dates'!J670=0,'_Dates'!T670=0),"CHECK date: use DD.MM.YYYY",IF('_Dates'!T670&lt;'_Dates'!J670,"CHECK end before start",IF(AND($B$6=0,OR('_Dates'!J670&lt;Settings!$B$7,'_Dates'!T670&gt;Settings!$B$8)),"CHECK split across leave years",IF(OR(NOT(OR('_Dates'!U670="Full day",'_Dates'!U670="AM",'_Dates'!U670="PM")),NOT(OR('_Dates'!V670="Full day",'_Dates'!V670="AM",'_Dates'!V670="PM"))),"CHECK Full day / AM / PM",IF(AND('_Dates'!J670='_Dates'!T670,'_Dates'!U670&lt;&gt;"Full day",'_Dates'!V670&lt;&gt;"Full day",'_Dates'!U670&lt;&gt;'_Dates'!V670),"CHECK same-day portions disagree",IF(AND($B$6=0,OR(AND('_Dates'!U670&lt;&gt;"Full day",'_Dates'!AA670=0),AND('_Dates'!V670&lt;&gt;"Full day",'_Dates'!AB670=0))),"CHECK half-day on non-working date",IF(COUNTIF(Settings!$G$7:$G$11,D670)&lt;&gt;1,"CHECK leave type",IF(AND(Bookings!G670&lt;&gt;"Approved",Bookings!G670&lt;&gt;"Pending",Bookings!G670&lt;&gt;"Cancelled"),"CHECK status","OK")))))))))),"CHECK input"))</ns0:f>
        <ns0:v/>
      </ns0:c>
      <ns0:c r="G670" s="0">
        <ns0:f>IF(OR(F670&lt;&gt;"OK",$B$6&gt;0),0,0.5*(IF(('_Dates'!X670)&lt;('_Dates'!W670),0,INT((('_Dates'!X670)-('_Dates'!W670)+1)/7)*LEN(SUBSTITUTE(W670,"O",""))+LEN(SUBSTITUTE(MID(W670&amp;W670,WEEKDAY(('_Dates'!W670),2),MOD((('_Dates'!X670)-('_Dates'!W670)+1),7)),"O",""))-COUNTIFS(INDEX(AllClosureRows,C670,0),"&gt;="&amp;('_Dates'!W670),INDEX(AllClosureRows,C670,0),"&lt;="&amp;('_Dates'!X670)))+IF(('_Dates'!Z670)&lt;('_Dates'!Y670),0,INT((('_Dates'!Z670)-('_Dates'!Y670)+1)/7)*LEN(SUBSTITUTE(W670,"O",""))+LEN(SUBSTITUTE(MID(W670&amp;W670,WEEKDAY(('_Dates'!Y670),2),MOD((('_Dates'!Z670)-('_Dates'!Y670)+1),7)),"O",""))-COUNTIFS(INDEX(AllClosureRows,C670,0),"&gt;="&amp;('_Dates'!Y670),INDEX(AllClosureRows,C670,0),"&lt;="&amp;('_Dates'!Z670)))))</ns0:f>
        <ns0:v>0</ns0:v>
      </ns0:c>
      <ns0:c r="H670" s="0">
        <ns0:f>IF(OR(F670&lt;&gt;"OK",$B$6&gt;0),0,0.5*(IF((MIN('_Dates'!X670,Settings!$B$9))&lt;('_Dates'!W670),0,INT(((MIN('_Dates'!X670,Settings!$B$9))-('_Dates'!W670)+1)/7)*LEN(SUBSTITUTE(W670,"O",""))+LEN(SUBSTITUTE(MID(W670&amp;W670,WEEKDAY(('_Dates'!W670),2),MOD(((MIN('_Dates'!X670,Settings!$B$9))-('_Dates'!W670)+1),7)),"O",""))-COUNTIFS(INDEX(AllClosureRows,C670,0),"&gt;="&amp;('_Dates'!W670),INDEX(AllClosureRows,C670,0),"&lt;="&amp;(MIN('_Dates'!X670,Settings!$B$9))))+IF((MIN('_Dates'!Z670,Settings!$B$9))&lt;('_Dates'!Y670),0,INT(((MIN('_Dates'!Z670,Settings!$B$9))-('_Dates'!Y670)+1)/7)*LEN(SUBSTITUTE(W670,"O",""))+LEN(SUBSTITUTE(MID(W670&amp;W670,WEEKDAY(('_Dates'!Y670),2),MOD(((MIN('_Dates'!Z670,Settings!$B$9))-('_Dates'!Y670)+1),7)),"O",""))-COUNTIFS(INDEX(AllClosureRows,C670,0),"&gt;="&amp;('_Dates'!Y670),INDEX(AllClosureRows,C670,0),"&lt;="&amp;(MIN('_Dates'!Z670,Settings!$B$9))))))</ns0:f>
        <ns0:v>0</ns0:v>
      </ns0:c>
      <ns0:c r="I670" s="0">
        <ns0:f>MAX(0,G670-H670)</ns0:f>
        <ns0:v>0</ns0:v>
      </ns0:c>
      <ns0:c r="J670" s="0">
        <ns0:f>IF(OR(A670=0,F670&lt;&gt;"OK",Bookings!G670="Cancelled",$B$6&gt;0),0,IF('_Dates'!AC670=1,MAX(0,COUNTIFS(rngEngine_B,B670,rngAMStart,"&lt;="&amp;'_Dates'!X670,rngAMEnd,"&gt;="&amp;'_Dates'!W670,rngAMActive,1,rngEngine_F,"OK",rngBookings_F,"&lt;&gt;Cancelled")-1),0)+IF('_Dates'!AD670=1,MAX(0,COUNTIFS(rngEngine_B,B670,rngPMStart,"&lt;="&amp;'_Dates'!Z670,rngPMEnd,"&gt;="&amp;'_Dates'!Y670,rngPMActive,1,rngEngine_F,"OK",rngBookings_F,"&lt;&gt;Cancelled")-1),0))</ns0:f>
        <ns0:v>0</ns0:v>
      </ns0:c>
      <ns0:c r="K670" s="0" t="str">
        <ns0:f>IF(A670=0,"",IF(F670&lt;&gt;"OK",F670,IF(J670&gt;0,"CHECK overlapping entry",IF(AND($B$6=0,G670&lt;=0,Bookings!G670&lt;&gt;"Cancelled"),"CHECK no working days",IF(Bookings!G670="Cancelled","Cancelled","OK")))))</ns0:f>
        <ns0:v/>
      </ns0:c>
      <ns0:c r="L670" s="0">
        <ns0:f>IF(LEFT(K670,5)="CHECK",1,0)</ns0:f>
        <ns0:v>0</ns0:v>
      </ns0:c>
      <ns0:c r="M670" s="0">
        <ns0:f>IF(AND(L670=1,OR(C670=0,IFERROR(INDEX($X$11:$X$60,C670),0)=0)),1,0)</ns0:f>
        <ns0:v>0</ns0:v>
      </ns0:c>
      <ns0:c r="N670" s="0">
        <ns0:f>IF(OR(A670=0,L670&gt;0,$B$6&gt;0,Bookings!G670="Cancelled"),0,G670)</ns0:f>
        <ns0:v>0</ns0:v>
      </ns0:c>
      <ns0:c r="O670" s="0">
        <ns0:f>IF(AND(Bookings!G670="Approved",E670="Yes"),N670,0)</ns0:f>
        <ns0:v>0</ns0:v>
      </ns0:c>
      <ns0:c r="P670" s="0">
        <ns0:f>IF(AND(Bookings!G670="Approved",E670="Yes",L670=0,$B$6=0),H670,0)</ns0:f>
        <ns0:v>0</ns0:v>
      </ns0:c>
      <ns0:c r="Q670" s="0">
        <ns0:f>IF(AND(Bookings!G670="Approved",E670="Yes",L670=0,$B$6=0),I670,0)</ns0:f>
        <ns0:v>0</ns0:v>
      </ns0:c>
      <ns0:c r="R670" s="0">
        <ns0:f>IF(AND(Bookings!G670="Pending",E670="Yes"),N670,0)</ns0:f>
        <ns0:v>0</ns0:v>
      </ns0:c>
      <ns0:c r="S670" s="0">
        <ns0:f>IF(AND(Bookings!G670="Approved",E670="No"),N670,0)</ns0:f>
        <ns0:v>0</ns0:v>
      </ns0:c>
      <ns0:c r="T670" s="0">
        <ns0:f>IFERROR(MATCH(D670,Settings!$G$7:$G$11,0),0)</ns0:f>
        <ns0:v>0</ns0:v>
      </ns0:c>
      <ns0:c r="U670" s="0">
        <ns0:f>IF(N670&gt;0,T670+IF(Bookings!G670="Pending",10,0),0)</ns0:f>
        <ns0:v>0</ns0:v>
      </ns0:c>
      <ns0:c r="V670" s="0">
        <ns0:f>U670</ns0:f>
        <ns0:v>0</ns0:v>
      </ns0:c>
      <ns0:c r="W670" s="0" t="str">
        <ns0:f>IF(C670=0,"",INDEX($AP$11:$AP$60,C670))</ns0:f>
        <ns0:v/>
      </ns0:c>
    </ns0:row>
    <ns0:row r="671">
      <ns0:c r="A671" s="0">
        <ns0:f>IF(COUNTA(Bookings!A671:G671,Bookings!I671)=0,0,1)</ns0:f>
        <ns0:v>0</ns0:v>
      </ns0:c>
      <ns0:c r="B671" s="0" t="str">
        <ns0:f>IFERROR(TRIM(MID(Bookings!A671,FIND(" · ",Bookings!A671)+3,99)),"")</ns0:f>
        <ns0:v/>
      </ns0:c>
      <ns0:c r="C671" s="0">
        <ns0:f>IF(OR(B671="",LEN(B671)&gt;24,ISNUMBER(FIND(" ",B671)),ISNUMBER(FIND("*",B671)),ISNUMBER(FIND("?",B671)),ISNUMBER(FIND("~",B671))),0,IFERROR(MATCH(B671,Team!$A$11:$A$60,0),0))</ns0:f>
        <ns0:v>0</ns0:v>
      </ns0:c>
      <ns0:c r="D671" s="0" t="str">
        <ns0:f>IFERROR(IF(MID(Bookings!F671,LEN(Bookings!F671)-3,3)=" · ",RIGHT(Bookings!F671,1),""),"")</ns0:f>
        <ns0:v/>
      </ns0:c>
      <ns0:c r="E671" s="0" t="str">
        <ns0:f>IFERROR(INDEX(Settings!$H$7:$H$11,MATCH(D671,Settings!$G$7:$G$11,0)),"")</ns0:f>
        <ns0:v/>
      </ns0:c>
      <ns0:c r="F671" s="0" t="str">
        <ns0:f>IF(A671=0,"",IFERROR(IF(OR(B671="",C671=0),"CHECK employee selection",IF(INDEX(Team!$O$11:$O$60,C671)&lt;&gt;"OK","CHECK employee setup",IF(OR('_Dates'!J671=0,'_Dates'!T671=0),"CHECK date: use DD.MM.YYYY",IF('_Dates'!T671&lt;'_Dates'!J671,"CHECK end before start",IF(AND($B$6=0,OR('_Dates'!J671&lt;Settings!$B$7,'_Dates'!T671&gt;Settings!$B$8)),"CHECK split across leave years",IF(OR(NOT(OR('_Dates'!U671="Full day",'_Dates'!U671="AM",'_Dates'!U671="PM")),NOT(OR('_Dates'!V671="Full day",'_Dates'!V671="AM",'_Dates'!V671="PM"))),"CHECK Full day / AM / PM",IF(AND('_Dates'!J671='_Dates'!T671,'_Dates'!U671&lt;&gt;"Full day",'_Dates'!V671&lt;&gt;"Full day",'_Dates'!U671&lt;&gt;'_Dates'!V671),"CHECK same-day portions disagree",IF(AND($B$6=0,OR(AND('_Dates'!U671&lt;&gt;"Full day",'_Dates'!AA671=0),AND('_Dates'!V671&lt;&gt;"Full day",'_Dates'!AB671=0))),"CHECK half-day on non-working date",IF(COUNTIF(Settings!$G$7:$G$11,D671)&lt;&gt;1,"CHECK leave type",IF(AND(Bookings!G671&lt;&gt;"Approved",Bookings!G671&lt;&gt;"Pending",Bookings!G671&lt;&gt;"Cancelled"),"CHECK status","OK")))))))))),"CHECK input"))</ns0:f>
        <ns0:v/>
      </ns0:c>
      <ns0:c r="G671" s="0">
        <ns0:f>IF(OR(F671&lt;&gt;"OK",$B$6&gt;0),0,0.5*(IF(('_Dates'!X671)&lt;('_Dates'!W671),0,INT((('_Dates'!X671)-('_Dates'!W671)+1)/7)*LEN(SUBSTITUTE(W671,"O",""))+LEN(SUBSTITUTE(MID(W671&amp;W671,WEEKDAY(('_Dates'!W671),2),MOD((('_Dates'!X671)-('_Dates'!W671)+1),7)),"O",""))-COUNTIFS(INDEX(AllClosureRows,C671,0),"&gt;="&amp;('_Dates'!W671),INDEX(AllClosureRows,C671,0),"&lt;="&amp;('_Dates'!X671)))+IF(('_Dates'!Z671)&lt;('_Dates'!Y671),0,INT((('_Dates'!Z671)-('_Dates'!Y671)+1)/7)*LEN(SUBSTITUTE(W671,"O",""))+LEN(SUBSTITUTE(MID(W671&amp;W671,WEEKDAY(('_Dates'!Y671),2),MOD((('_Dates'!Z671)-('_Dates'!Y671)+1),7)),"O",""))-COUNTIFS(INDEX(AllClosureRows,C671,0),"&gt;="&amp;('_Dates'!Y671),INDEX(AllClosureRows,C671,0),"&lt;="&amp;('_Dates'!Z671)))))</ns0:f>
        <ns0:v>0</ns0:v>
      </ns0:c>
      <ns0:c r="H671" s="0">
        <ns0:f>IF(OR(F671&lt;&gt;"OK",$B$6&gt;0),0,0.5*(IF((MIN('_Dates'!X671,Settings!$B$9))&lt;('_Dates'!W671),0,INT(((MIN('_Dates'!X671,Settings!$B$9))-('_Dates'!W671)+1)/7)*LEN(SUBSTITUTE(W671,"O",""))+LEN(SUBSTITUTE(MID(W671&amp;W671,WEEKDAY(('_Dates'!W671),2),MOD(((MIN('_Dates'!X671,Settings!$B$9))-('_Dates'!W671)+1),7)),"O",""))-COUNTIFS(INDEX(AllClosureRows,C671,0),"&gt;="&amp;('_Dates'!W671),INDEX(AllClosureRows,C671,0),"&lt;="&amp;(MIN('_Dates'!X671,Settings!$B$9))))+IF((MIN('_Dates'!Z671,Settings!$B$9))&lt;('_Dates'!Y671),0,INT(((MIN('_Dates'!Z671,Settings!$B$9))-('_Dates'!Y671)+1)/7)*LEN(SUBSTITUTE(W671,"O",""))+LEN(SUBSTITUTE(MID(W671&amp;W671,WEEKDAY(('_Dates'!Y671),2),MOD(((MIN('_Dates'!Z671,Settings!$B$9))-('_Dates'!Y671)+1),7)),"O",""))-COUNTIFS(INDEX(AllClosureRows,C671,0),"&gt;="&amp;('_Dates'!Y671),INDEX(AllClosureRows,C671,0),"&lt;="&amp;(MIN('_Dates'!Z671,Settings!$B$9))))))</ns0:f>
        <ns0:v>0</ns0:v>
      </ns0:c>
      <ns0:c r="I671" s="0">
        <ns0:f>MAX(0,G671-H671)</ns0:f>
        <ns0:v>0</ns0:v>
      </ns0:c>
      <ns0:c r="J671" s="0">
        <ns0:f>IF(OR(A671=0,F671&lt;&gt;"OK",Bookings!G671="Cancelled",$B$6&gt;0),0,IF('_Dates'!AC671=1,MAX(0,COUNTIFS(rngEngine_B,B671,rngAMStart,"&lt;="&amp;'_Dates'!X671,rngAMEnd,"&gt;="&amp;'_Dates'!W671,rngAMActive,1,rngEngine_F,"OK",rngBookings_F,"&lt;&gt;Cancelled")-1),0)+IF('_Dates'!AD671=1,MAX(0,COUNTIFS(rngEngine_B,B671,rngPMStart,"&lt;="&amp;'_Dates'!Z671,rngPMEnd,"&gt;="&amp;'_Dates'!Y671,rngPMActive,1,rngEngine_F,"OK",rngBookings_F,"&lt;&gt;Cancelled")-1),0))</ns0:f>
        <ns0:v>0</ns0:v>
      </ns0:c>
      <ns0:c r="K671" s="0" t="str">
        <ns0:f>IF(A671=0,"",IF(F671&lt;&gt;"OK",F671,IF(J671&gt;0,"CHECK overlapping entry",IF(AND($B$6=0,G671&lt;=0,Bookings!G671&lt;&gt;"Cancelled"),"CHECK no working days",IF(Bookings!G671="Cancelled","Cancelled","OK")))))</ns0:f>
        <ns0:v/>
      </ns0:c>
      <ns0:c r="L671" s="0">
        <ns0:f>IF(LEFT(K671,5)="CHECK",1,0)</ns0:f>
        <ns0:v>0</ns0:v>
      </ns0:c>
      <ns0:c r="M671" s="0">
        <ns0:f>IF(AND(L671=1,OR(C671=0,IFERROR(INDEX($X$11:$X$60,C671),0)=0)),1,0)</ns0:f>
        <ns0:v>0</ns0:v>
      </ns0:c>
      <ns0:c r="N671" s="0">
        <ns0:f>IF(OR(A671=0,L671&gt;0,$B$6&gt;0,Bookings!G671="Cancelled"),0,G671)</ns0:f>
        <ns0:v>0</ns0:v>
      </ns0:c>
      <ns0:c r="O671" s="0">
        <ns0:f>IF(AND(Bookings!G671="Approved",E671="Yes"),N671,0)</ns0:f>
        <ns0:v>0</ns0:v>
      </ns0:c>
      <ns0:c r="P671" s="0">
        <ns0:f>IF(AND(Bookings!G671="Approved",E671="Yes",L671=0,$B$6=0),H671,0)</ns0:f>
        <ns0:v>0</ns0:v>
      </ns0:c>
      <ns0:c r="Q671" s="0">
        <ns0:f>IF(AND(Bookings!G671="Approved",E671="Yes",L671=0,$B$6=0),I671,0)</ns0:f>
        <ns0:v>0</ns0:v>
      </ns0:c>
      <ns0:c r="R671" s="0">
        <ns0:f>IF(AND(Bookings!G671="Pending",E671="Yes"),N671,0)</ns0:f>
        <ns0:v>0</ns0:v>
      </ns0:c>
      <ns0:c r="S671" s="0">
        <ns0:f>IF(AND(Bookings!G671="Approved",E671="No"),N671,0)</ns0:f>
        <ns0:v>0</ns0:v>
      </ns0:c>
      <ns0:c r="T671" s="0">
        <ns0:f>IFERROR(MATCH(D671,Settings!$G$7:$G$11,0),0)</ns0:f>
        <ns0:v>0</ns0:v>
      </ns0:c>
      <ns0:c r="U671" s="0">
        <ns0:f>IF(N671&gt;0,T671+IF(Bookings!G671="Pending",10,0),0)</ns0:f>
        <ns0:v>0</ns0:v>
      </ns0:c>
      <ns0:c r="V671" s="0">
        <ns0:f>U671</ns0:f>
        <ns0:v>0</ns0:v>
      </ns0:c>
      <ns0:c r="W671" s="0" t="str">
        <ns0:f>IF(C671=0,"",INDEX($AP$11:$AP$60,C671))</ns0:f>
        <ns0:v/>
      </ns0:c>
    </ns0:row>
    <ns0:row r="672">
      <ns0:c r="A672" s="0">
        <ns0:f>IF(COUNTA(Bookings!A672:G672,Bookings!I672)=0,0,1)</ns0:f>
        <ns0:v>0</ns0:v>
      </ns0:c>
      <ns0:c r="B672" s="0" t="str">
        <ns0:f>IFERROR(TRIM(MID(Bookings!A672,FIND(" · ",Bookings!A672)+3,99)),"")</ns0:f>
        <ns0:v/>
      </ns0:c>
      <ns0:c r="C672" s="0">
        <ns0:f>IF(OR(B672="",LEN(B672)&gt;24,ISNUMBER(FIND(" ",B672)),ISNUMBER(FIND("*",B672)),ISNUMBER(FIND("?",B672)),ISNUMBER(FIND("~",B672))),0,IFERROR(MATCH(B672,Team!$A$11:$A$60,0),0))</ns0:f>
        <ns0:v>0</ns0:v>
      </ns0:c>
      <ns0:c r="D672" s="0" t="str">
        <ns0:f>IFERROR(IF(MID(Bookings!F672,LEN(Bookings!F672)-3,3)=" · ",RIGHT(Bookings!F672,1),""),"")</ns0:f>
        <ns0:v/>
      </ns0:c>
      <ns0:c r="E672" s="0" t="str">
        <ns0:f>IFERROR(INDEX(Settings!$H$7:$H$11,MATCH(D672,Settings!$G$7:$G$11,0)),"")</ns0:f>
        <ns0:v/>
      </ns0:c>
      <ns0:c r="F672" s="0" t="str">
        <ns0:f>IF(A672=0,"",IFERROR(IF(OR(B672="",C672=0),"CHECK employee selection",IF(INDEX(Team!$O$11:$O$60,C672)&lt;&gt;"OK","CHECK employee setup",IF(OR('_Dates'!J672=0,'_Dates'!T672=0),"CHECK date: use DD.MM.YYYY",IF('_Dates'!T672&lt;'_Dates'!J672,"CHECK end before start",IF(AND($B$6=0,OR('_Dates'!J672&lt;Settings!$B$7,'_Dates'!T672&gt;Settings!$B$8)),"CHECK split across leave years",IF(OR(NOT(OR('_Dates'!U672="Full day",'_Dates'!U672="AM",'_Dates'!U672="PM")),NOT(OR('_Dates'!V672="Full day",'_Dates'!V672="AM",'_Dates'!V672="PM"))),"CHECK Full day / AM / PM",IF(AND('_Dates'!J672='_Dates'!T672,'_Dates'!U672&lt;&gt;"Full day",'_Dates'!V672&lt;&gt;"Full day",'_Dates'!U672&lt;&gt;'_Dates'!V672),"CHECK same-day portions disagree",IF(AND($B$6=0,OR(AND('_Dates'!U672&lt;&gt;"Full day",'_Dates'!AA672=0),AND('_Dates'!V672&lt;&gt;"Full day",'_Dates'!AB672=0))),"CHECK half-day on non-working date",IF(COUNTIF(Settings!$G$7:$G$11,D672)&lt;&gt;1,"CHECK leave type",IF(AND(Bookings!G672&lt;&gt;"Approved",Bookings!G672&lt;&gt;"Pending",Bookings!G672&lt;&gt;"Cancelled"),"CHECK status","OK")))))))))),"CHECK input"))</ns0:f>
        <ns0:v/>
      </ns0:c>
      <ns0:c r="G672" s="0">
        <ns0:f>IF(OR(F672&lt;&gt;"OK",$B$6&gt;0),0,0.5*(IF(('_Dates'!X672)&lt;('_Dates'!W672),0,INT((('_Dates'!X672)-('_Dates'!W672)+1)/7)*LEN(SUBSTITUTE(W672,"O",""))+LEN(SUBSTITUTE(MID(W672&amp;W672,WEEKDAY(('_Dates'!W672),2),MOD((('_Dates'!X672)-('_Dates'!W672)+1),7)),"O",""))-COUNTIFS(INDEX(AllClosureRows,C672,0),"&gt;="&amp;('_Dates'!W672),INDEX(AllClosureRows,C672,0),"&lt;="&amp;('_Dates'!X672)))+IF(('_Dates'!Z672)&lt;('_Dates'!Y672),0,INT((('_Dates'!Z672)-('_Dates'!Y672)+1)/7)*LEN(SUBSTITUTE(W672,"O",""))+LEN(SUBSTITUTE(MID(W672&amp;W672,WEEKDAY(('_Dates'!Y672),2),MOD((('_Dates'!Z672)-('_Dates'!Y672)+1),7)),"O",""))-COUNTIFS(INDEX(AllClosureRows,C672,0),"&gt;="&amp;('_Dates'!Y672),INDEX(AllClosureRows,C672,0),"&lt;="&amp;('_Dates'!Z672)))))</ns0:f>
        <ns0:v>0</ns0:v>
      </ns0:c>
      <ns0:c r="H672" s="0">
        <ns0:f>IF(OR(F672&lt;&gt;"OK",$B$6&gt;0),0,0.5*(IF((MIN('_Dates'!X672,Settings!$B$9))&lt;('_Dates'!W672),0,INT(((MIN('_Dates'!X672,Settings!$B$9))-('_Dates'!W672)+1)/7)*LEN(SUBSTITUTE(W672,"O",""))+LEN(SUBSTITUTE(MID(W672&amp;W672,WEEKDAY(('_Dates'!W672),2),MOD(((MIN('_Dates'!X672,Settings!$B$9))-('_Dates'!W672)+1),7)),"O",""))-COUNTIFS(INDEX(AllClosureRows,C672,0),"&gt;="&amp;('_Dates'!W672),INDEX(AllClosureRows,C672,0),"&lt;="&amp;(MIN('_Dates'!X672,Settings!$B$9))))+IF((MIN('_Dates'!Z672,Settings!$B$9))&lt;('_Dates'!Y672),0,INT(((MIN('_Dates'!Z672,Settings!$B$9))-('_Dates'!Y672)+1)/7)*LEN(SUBSTITUTE(W672,"O",""))+LEN(SUBSTITUTE(MID(W672&amp;W672,WEEKDAY(('_Dates'!Y672),2),MOD(((MIN('_Dates'!Z672,Settings!$B$9))-('_Dates'!Y672)+1),7)),"O",""))-COUNTIFS(INDEX(AllClosureRows,C672,0),"&gt;="&amp;('_Dates'!Y672),INDEX(AllClosureRows,C672,0),"&lt;="&amp;(MIN('_Dates'!Z672,Settings!$B$9))))))</ns0:f>
        <ns0:v>0</ns0:v>
      </ns0:c>
      <ns0:c r="I672" s="0">
        <ns0:f>MAX(0,G672-H672)</ns0:f>
        <ns0:v>0</ns0:v>
      </ns0:c>
      <ns0:c r="J672" s="0">
        <ns0:f>IF(OR(A672=0,F672&lt;&gt;"OK",Bookings!G672="Cancelled",$B$6&gt;0),0,IF('_Dates'!AC672=1,MAX(0,COUNTIFS(rngEngine_B,B672,rngAMStart,"&lt;="&amp;'_Dates'!X672,rngAMEnd,"&gt;="&amp;'_Dates'!W672,rngAMActive,1,rngEngine_F,"OK",rngBookings_F,"&lt;&gt;Cancelled")-1),0)+IF('_Dates'!AD672=1,MAX(0,COUNTIFS(rngEngine_B,B672,rngPMStart,"&lt;="&amp;'_Dates'!Z672,rngPMEnd,"&gt;="&amp;'_Dates'!Y672,rngPMActive,1,rngEngine_F,"OK",rngBookings_F,"&lt;&gt;Cancelled")-1),0))</ns0:f>
        <ns0:v>0</ns0:v>
      </ns0:c>
      <ns0:c r="K672" s="0" t="str">
        <ns0:f>IF(A672=0,"",IF(F672&lt;&gt;"OK",F672,IF(J672&gt;0,"CHECK overlapping entry",IF(AND($B$6=0,G672&lt;=0,Bookings!G672&lt;&gt;"Cancelled"),"CHECK no working days",IF(Bookings!G672="Cancelled","Cancelled","OK")))))</ns0:f>
        <ns0:v/>
      </ns0:c>
      <ns0:c r="L672" s="0">
        <ns0:f>IF(LEFT(K672,5)="CHECK",1,0)</ns0:f>
        <ns0:v>0</ns0:v>
      </ns0:c>
      <ns0:c r="M672" s="0">
        <ns0:f>IF(AND(L672=1,OR(C672=0,IFERROR(INDEX($X$11:$X$60,C672),0)=0)),1,0)</ns0:f>
        <ns0:v>0</ns0:v>
      </ns0:c>
      <ns0:c r="N672" s="0">
        <ns0:f>IF(OR(A672=0,L672&gt;0,$B$6&gt;0,Bookings!G672="Cancelled"),0,G672)</ns0:f>
        <ns0:v>0</ns0:v>
      </ns0:c>
      <ns0:c r="O672" s="0">
        <ns0:f>IF(AND(Bookings!G672="Approved",E672="Yes"),N672,0)</ns0:f>
        <ns0:v>0</ns0:v>
      </ns0:c>
      <ns0:c r="P672" s="0">
        <ns0:f>IF(AND(Bookings!G672="Approved",E672="Yes",L672=0,$B$6=0),H672,0)</ns0:f>
        <ns0:v>0</ns0:v>
      </ns0:c>
      <ns0:c r="Q672" s="0">
        <ns0:f>IF(AND(Bookings!G672="Approved",E672="Yes",L672=0,$B$6=0),I672,0)</ns0:f>
        <ns0:v>0</ns0:v>
      </ns0:c>
      <ns0:c r="R672" s="0">
        <ns0:f>IF(AND(Bookings!G672="Pending",E672="Yes"),N672,0)</ns0:f>
        <ns0:v>0</ns0:v>
      </ns0:c>
      <ns0:c r="S672" s="0">
        <ns0:f>IF(AND(Bookings!G672="Approved",E672="No"),N672,0)</ns0:f>
        <ns0:v>0</ns0:v>
      </ns0:c>
      <ns0:c r="T672" s="0">
        <ns0:f>IFERROR(MATCH(D672,Settings!$G$7:$G$11,0),0)</ns0:f>
        <ns0:v>0</ns0:v>
      </ns0:c>
      <ns0:c r="U672" s="0">
        <ns0:f>IF(N672&gt;0,T672+IF(Bookings!G672="Pending",10,0),0)</ns0:f>
        <ns0:v>0</ns0:v>
      </ns0:c>
      <ns0:c r="V672" s="0">
        <ns0:f>U672</ns0:f>
        <ns0:v>0</ns0:v>
      </ns0:c>
      <ns0:c r="W672" s="0" t="str">
        <ns0:f>IF(C672=0,"",INDEX($AP$11:$AP$60,C672))</ns0:f>
        <ns0:v/>
      </ns0:c>
    </ns0:row>
    <ns0:row r="673">
      <ns0:c r="A673" s="0">
        <ns0:f>IF(COUNTA(Bookings!A673:G673,Bookings!I673)=0,0,1)</ns0:f>
        <ns0:v>0</ns0:v>
      </ns0:c>
      <ns0:c r="B673" s="0" t="str">
        <ns0:f>IFERROR(TRIM(MID(Bookings!A673,FIND(" · ",Bookings!A673)+3,99)),"")</ns0:f>
        <ns0:v/>
      </ns0:c>
      <ns0:c r="C673" s="0">
        <ns0:f>IF(OR(B673="",LEN(B673)&gt;24,ISNUMBER(FIND(" ",B673)),ISNUMBER(FIND("*",B673)),ISNUMBER(FIND("?",B673)),ISNUMBER(FIND("~",B673))),0,IFERROR(MATCH(B673,Team!$A$11:$A$60,0),0))</ns0:f>
        <ns0:v>0</ns0:v>
      </ns0:c>
      <ns0:c r="D673" s="0" t="str">
        <ns0:f>IFERROR(IF(MID(Bookings!F673,LEN(Bookings!F673)-3,3)=" · ",RIGHT(Bookings!F673,1),""),"")</ns0:f>
        <ns0:v/>
      </ns0:c>
      <ns0:c r="E673" s="0" t="str">
        <ns0:f>IFERROR(INDEX(Settings!$H$7:$H$11,MATCH(D673,Settings!$G$7:$G$11,0)),"")</ns0:f>
        <ns0:v/>
      </ns0:c>
      <ns0:c r="F673" s="0" t="str">
        <ns0:f>IF(A673=0,"",IFERROR(IF(OR(B673="",C673=0),"CHECK employee selection",IF(INDEX(Team!$O$11:$O$60,C673)&lt;&gt;"OK","CHECK employee setup",IF(OR('_Dates'!J673=0,'_Dates'!T673=0),"CHECK date: use DD.MM.YYYY",IF('_Dates'!T673&lt;'_Dates'!J673,"CHECK end before start",IF(AND($B$6=0,OR('_Dates'!J673&lt;Settings!$B$7,'_Dates'!T673&gt;Settings!$B$8)),"CHECK split across leave years",IF(OR(NOT(OR('_Dates'!U673="Full day",'_Dates'!U673="AM",'_Dates'!U673="PM")),NOT(OR('_Dates'!V673="Full day",'_Dates'!V673="AM",'_Dates'!V673="PM"))),"CHECK Full day / AM / PM",IF(AND('_Dates'!J673='_Dates'!T673,'_Dates'!U673&lt;&gt;"Full day",'_Dates'!V673&lt;&gt;"Full day",'_Dates'!U673&lt;&gt;'_Dates'!V673),"CHECK same-day portions disagree",IF(AND($B$6=0,OR(AND('_Dates'!U673&lt;&gt;"Full day",'_Dates'!AA673=0),AND('_Dates'!V673&lt;&gt;"Full day",'_Dates'!AB673=0))),"CHECK half-day on non-working date",IF(COUNTIF(Settings!$G$7:$G$11,D673)&lt;&gt;1,"CHECK leave type",IF(AND(Bookings!G673&lt;&gt;"Approved",Bookings!G673&lt;&gt;"Pending",Bookings!G673&lt;&gt;"Cancelled"),"CHECK status","OK")))))))))),"CHECK input"))</ns0:f>
        <ns0:v/>
      </ns0:c>
      <ns0:c r="G673" s="0">
        <ns0:f>IF(OR(F673&lt;&gt;"OK",$B$6&gt;0),0,0.5*(IF(('_Dates'!X673)&lt;('_Dates'!W673),0,INT((('_Dates'!X673)-('_Dates'!W673)+1)/7)*LEN(SUBSTITUTE(W673,"O",""))+LEN(SUBSTITUTE(MID(W673&amp;W673,WEEKDAY(('_Dates'!W673),2),MOD((('_Dates'!X673)-('_Dates'!W673)+1),7)),"O",""))-COUNTIFS(INDEX(AllClosureRows,C673,0),"&gt;="&amp;('_Dates'!W673),INDEX(AllClosureRows,C673,0),"&lt;="&amp;('_Dates'!X673)))+IF(('_Dates'!Z673)&lt;('_Dates'!Y673),0,INT((('_Dates'!Z673)-('_Dates'!Y673)+1)/7)*LEN(SUBSTITUTE(W673,"O",""))+LEN(SUBSTITUTE(MID(W673&amp;W673,WEEKDAY(('_Dates'!Y673),2),MOD((('_Dates'!Z673)-('_Dates'!Y673)+1),7)),"O",""))-COUNTIFS(INDEX(AllClosureRows,C673,0),"&gt;="&amp;('_Dates'!Y673),INDEX(AllClosureRows,C673,0),"&lt;="&amp;('_Dates'!Z673)))))</ns0:f>
        <ns0:v>0</ns0:v>
      </ns0:c>
      <ns0:c r="H673" s="0">
        <ns0:f>IF(OR(F673&lt;&gt;"OK",$B$6&gt;0),0,0.5*(IF((MIN('_Dates'!X673,Settings!$B$9))&lt;('_Dates'!W673),0,INT(((MIN('_Dates'!X673,Settings!$B$9))-('_Dates'!W673)+1)/7)*LEN(SUBSTITUTE(W673,"O",""))+LEN(SUBSTITUTE(MID(W673&amp;W673,WEEKDAY(('_Dates'!W673),2),MOD(((MIN('_Dates'!X673,Settings!$B$9))-('_Dates'!W673)+1),7)),"O",""))-COUNTIFS(INDEX(AllClosureRows,C673,0),"&gt;="&amp;('_Dates'!W673),INDEX(AllClosureRows,C673,0),"&lt;="&amp;(MIN('_Dates'!X673,Settings!$B$9))))+IF((MIN('_Dates'!Z673,Settings!$B$9))&lt;('_Dates'!Y673),0,INT(((MIN('_Dates'!Z673,Settings!$B$9))-('_Dates'!Y673)+1)/7)*LEN(SUBSTITUTE(W673,"O",""))+LEN(SUBSTITUTE(MID(W673&amp;W673,WEEKDAY(('_Dates'!Y673),2),MOD(((MIN('_Dates'!Z673,Settings!$B$9))-('_Dates'!Y673)+1),7)),"O",""))-COUNTIFS(INDEX(AllClosureRows,C673,0),"&gt;="&amp;('_Dates'!Y673),INDEX(AllClosureRows,C673,0),"&lt;="&amp;(MIN('_Dates'!Z673,Settings!$B$9))))))</ns0:f>
        <ns0:v>0</ns0:v>
      </ns0:c>
      <ns0:c r="I673" s="0">
        <ns0:f>MAX(0,G673-H673)</ns0:f>
        <ns0:v>0</ns0:v>
      </ns0:c>
      <ns0:c r="J673" s="0">
        <ns0:f>IF(OR(A673=0,F673&lt;&gt;"OK",Bookings!G673="Cancelled",$B$6&gt;0),0,IF('_Dates'!AC673=1,MAX(0,COUNTIFS(rngEngine_B,B673,rngAMStart,"&lt;="&amp;'_Dates'!X673,rngAMEnd,"&gt;="&amp;'_Dates'!W673,rngAMActive,1,rngEngine_F,"OK",rngBookings_F,"&lt;&gt;Cancelled")-1),0)+IF('_Dates'!AD673=1,MAX(0,COUNTIFS(rngEngine_B,B673,rngPMStart,"&lt;="&amp;'_Dates'!Z673,rngPMEnd,"&gt;="&amp;'_Dates'!Y673,rngPMActive,1,rngEngine_F,"OK",rngBookings_F,"&lt;&gt;Cancelled")-1),0))</ns0:f>
        <ns0:v>0</ns0:v>
      </ns0:c>
      <ns0:c r="K673" s="0" t="str">
        <ns0:f>IF(A673=0,"",IF(F673&lt;&gt;"OK",F673,IF(J673&gt;0,"CHECK overlapping entry",IF(AND($B$6=0,G673&lt;=0,Bookings!G673&lt;&gt;"Cancelled"),"CHECK no working days",IF(Bookings!G673="Cancelled","Cancelled","OK")))))</ns0:f>
        <ns0:v/>
      </ns0:c>
      <ns0:c r="L673" s="0">
        <ns0:f>IF(LEFT(K673,5)="CHECK",1,0)</ns0:f>
        <ns0:v>0</ns0:v>
      </ns0:c>
      <ns0:c r="M673" s="0">
        <ns0:f>IF(AND(L673=1,OR(C673=0,IFERROR(INDEX($X$11:$X$60,C673),0)=0)),1,0)</ns0:f>
        <ns0:v>0</ns0:v>
      </ns0:c>
      <ns0:c r="N673" s="0">
        <ns0:f>IF(OR(A673=0,L673&gt;0,$B$6&gt;0,Bookings!G673="Cancelled"),0,G673)</ns0:f>
        <ns0:v>0</ns0:v>
      </ns0:c>
      <ns0:c r="O673" s="0">
        <ns0:f>IF(AND(Bookings!G673="Approved",E673="Yes"),N673,0)</ns0:f>
        <ns0:v>0</ns0:v>
      </ns0:c>
      <ns0:c r="P673" s="0">
        <ns0:f>IF(AND(Bookings!G673="Approved",E673="Yes",L673=0,$B$6=0),H673,0)</ns0:f>
        <ns0:v>0</ns0:v>
      </ns0:c>
      <ns0:c r="Q673" s="0">
        <ns0:f>IF(AND(Bookings!G673="Approved",E673="Yes",L673=0,$B$6=0),I673,0)</ns0:f>
        <ns0:v>0</ns0:v>
      </ns0:c>
      <ns0:c r="R673" s="0">
        <ns0:f>IF(AND(Bookings!G673="Pending",E673="Yes"),N673,0)</ns0:f>
        <ns0:v>0</ns0:v>
      </ns0:c>
      <ns0:c r="S673" s="0">
        <ns0:f>IF(AND(Bookings!G673="Approved",E673="No"),N673,0)</ns0:f>
        <ns0:v>0</ns0:v>
      </ns0:c>
      <ns0:c r="T673" s="0">
        <ns0:f>IFERROR(MATCH(D673,Settings!$G$7:$G$11,0),0)</ns0:f>
        <ns0:v>0</ns0:v>
      </ns0:c>
      <ns0:c r="U673" s="0">
        <ns0:f>IF(N673&gt;0,T673+IF(Bookings!G673="Pending",10,0),0)</ns0:f>
        <ns0:v>0</ns0:v>
      </ns0:c>
      <ns0:c r="V673" s="0">
        <ns0:f>U673</ns0:f>
        <ns0:v>0</ns0:v>
      </ns0:c>
      <ns0:c r="W673" s="0" t="str">
        <ns0:f>IF(C673=0,"",INDEX($AP$11:$AP$60,C673))</ns0:f>
        <ns0:v/>
      </ns0:c>
    </ns0:row>
    <ns0:row r="674">
      <ns0:c r="A674" s="0">
        <ns0:f>IF(COUNTA(Bookings!A674:G674,Bookings!I674)=0,0,1)</ns0:f>
        <ns0:v>0</ns0:v>
      </ns0:c>
      <ns0:c r="B674" s="0" t="str">
        <ns0:f>IFERROR(TRIM(MID(Bookings!A674,FIND(" · ",Bookings!A674)+3,99)),"")</ns0:f>
        <ns0:v/>
      </ns0:c>
      <ns0:c r="C674" s="0">
        <ns0:f>IF(OR(B674="",LEN(B674)&gt;24,ISNUMBER(FIND(" ",B674)),ISNUMBER(FIND("*",B674)),ISNUMBER(FIND("?",B674)),ISNUMBER(FIND("~",B674))),0,IFERROR(MATCH(B674,Team!$A$11:$A$60,0),0))</ns0:f>
        <ns0:v>0</ns0:v>
      </ns0:c>
      <ns0:c r="D674" s="0" t="str">
        <ns0:f>IFERROR(IF(MID(Bookings!F674,LEN(Bookings!F674)-3,3)=" · ",RIGHT(Bookings!F674,1),""),"")</ns0:f>
        <ns0:v/>
      </ns0:c>
      <ns0:c r="E674" s="0" t="str">
        <ns0:f>IFERROR(INDEX(Settings!$H$7:$H$11,MATCH(D674,Settings!$G$7:$G$11,0)),"")</ns0:f>
        <ns0:v/>
      </ns0:c>
      <ns0:c r="F674" s="0" t="str">
        <ns0:f>IF(A674=0,"",IFERROR(IF(OR(B674="",C674=0),"CHECK employee selection",IF(INDEX(Team!$O$11:$O$60,C674)&lt;&gt;"OK","CHECK employee setup",IF(OR('_Dates'!J674=0,'_Dates'!T674=0),"CHECK date: use DD.MM.YYYY",IF('_Dates'!T674&lt;'_Dates'!J674,"CHECK end before start",IF(AND($B$6=0,OR('_Dates'!J674&lt;Settings!$B$7,'_Dates'!T674&gt;Settings!$B$8)),"CHECK split across leave years",IF(OR(NOT(OR('_Dates'!U674="Full day",'_Dates'!U674="AM",'_Dates'!U674="PM")),NOT(OR('_Dates'!V674="Full day",'_Dates'!V674="AM",'_Dates'!V674="PM"))),"CHECK Full day / AM / PM",IF(AND('_Dates'!J674='_Dates'!T674,'_Dates'!U674&lt;&gt;"Full day",'_Dates'!V674&lt;&gt;"Full day",'_Dates'!U674&lt;&gt;'_Dates'!V674),"CHECK same-day portions disagree",IF(AND($B$6=0,OR(AND('_Dates'!U674&lt;&gt;"Full day",'_Dates'!AA674=0),AND('_Dates'!V674&lt;&gt;"Full day",'_Dates'!AB674=0))),"CHECK half-day on non-working date",IF(COUNTIF(Settings!$G$7:$G$11,D674)&lt;&gt;1,"CHECK leave type",IF(AND(Bookings!G674&lt;&gt;"Approved",Bookings!G674&lt;&gt;"Pending",Bookings!G674&lt;&gt;"Cancelled"),"CHECK status","OK")))))))))),"CHECK input"))</ns0:f>
        <ns0:v/>
      </ns0:c>
      <ns0:c r="G674" s="0">
        <ns0:f>IF(OR(F674&lt;&gt;"OK",$B$6&gt;0),0,0.5*(IF(('_Dates'!X674)&lt;('_Dates'!W674),0,INT((('_Dates'!X674)-('_Dates'!W674)+1)/7)*LEN(SUBSTITUTE(W674,"O",""))+LEN(SUBSTITUTE(MID(W674&amp;W674,WEEKDAY(('_Dates'!W674),2),MOD((('_Dates'!X674)-('_Dates'!W674)+1),7)),"O",""))-COUNTIFS(INDEX(AllClosureRows,C674,0),"&gt;="&amp;('_Dates'!W674),INDEX(AllClosureRows,C674,0),"&lt;="&amp;('_Dates'!X674)))+IF(('_Dates'!Z674)&lt;('_Dates'!Y674),0,INT((('_Dates'!Z674)-('_Dates'!Y674)+1)/7)*LEN(SUBSTITUTE(W674,"O",""))+LEN(SUBSTITUTE(MID(W674&amp;W674,WEEKDAY(('_Dates'!Y674),2),MOD((('_Dates'!Z674)-('_Dates'!Y674)+1),7)),"O",""))-COUNTIFS(INDEX(AllClosureRows,C674,0),"&gt;="&amp;('_Dates'!Y674),INDEX(AllClosureRows,C674,0),"&lt;="&amp;('_Dates'!Z674)))))</ns0:f>
        <ns0:v>0</ns0:v>
      </ns0:c>
      <ns0:c r="H674" s="0">
        <ns0:f>IF(OR(F674&lt;&gt;"OK",$B$6&gt;0),0,0.5*(IF((MIN('_Dates'!X674,Settings!$B$9))&lt;('_Dates'!W674),0,INT(((MIN('_Dates'!X674,Settings!$B$9))-('_Dates'!W674)+1)/7)*LEN(SUBSTITUTE(W674,"O",""))+LEN(SUBSTITUTE(MID(W674&amp;W674,WEEKDAY(('_Dates'!W674),2),MOD(((MIN('_Dates'!X674,Settings!$B$9))-('_Dates'!W674)+1),7)),"O",""))-COUNTIFS(INDEX(AllClosureRows,C674,0),"&gt;="&amp;('_Dates'!W674),INDEX(AllClosureRows,C674,0),"&lt;="&amp;(MIN('_Dates'!X674,Settings!$B$9))))+IF((MIN('_Dates'!Z674,Settings!$B$9))&lt;('_Dates'!Y674),0,INT(((MIN('_Dates'!Z674,Settings!$B$9))-('_Dates'!Y674)+1)/7)*LEN(SUBSTITUTE(W674,"O",""))+LEN(SUBSTITUTE(MID(W674&amp;W674,WEEKDAY(('_Dates'!Y674),2),MOD(((MIN('_Dates'!Z674,Settings!$B$9))-('_Dates'!Y674)+1),7)),"O",""))-COUNTIFS(INDEX(AllClosureRows,C674,0),"&gt;="&amp;('_Dates'!Y674),INDEX(AllClosureRows,C674,0),"&lt;="&amp;(MIN('_Dates'!Z674,Settings!$B$9))))))</ns0:f>
        <ns0:v>0</ns0:v>
      </ns0:c>
      <ns0:c r="I674" s="0">
        <ns0:f>MAX(0,G674-H674)</ns0:f>
        <ns0:v>0</ns0:v>
      </ns0:c>
      <ns0:c r="J674" s="0">
        <ns0:f>IF(OR(A674=0,F674&lt;&gt;"OK",Bookings!G674="Cancelled",$B$6&gt;0),0,IF('_Dates'!AC674=1,MAX(0,COUNTIFS(rngEngine_B,B674,rngAMStart,"&lt;="&amp;'_Dates'!X674,rngAMEnd,"&gt;="&amp;'_Dates'!W674,rngAMActive,1,rngEngine_F,"OK",rngBookings_F,"&lt;&gt;Cancelled")-1),0)+IF('_Dates'!AD674=1,MAX(0,COUNTIFS(rngEngine_B,B674,rngPMStart,"&lt;="&amp;'_Dates'!Z674,rngPMEnd,"&gt;="&amp;'_Dates'!Y674,rngPMActive,1,rngEngine_F,"OK",rngBookings_F,"&lt;&gt;Cancelled")-1),0))</ns0:f>
        <ns0:v>0</ns0:v>
      </ns0:c>
      <ns0:c r="K674" s="0" t="str">
        <ns0:f>IF(A674=0,"",IF(F674&lt;&gt;"OK",F674,IF(J674&gt;0,"CHECK overlapping entry",IF(AND($B$6=0,G674&lt;=0,Bookings!G674&lt;&gt;"Cancelled"),"CHECK no working days",IF(Bookings!G674="Cancelled","Cancelled","OK")))))</ns0:f>
        <ns0:v/>
      </ns0:c>
      <ns0:c r="L674" s="0">
        <ns0:f>IF(LEFT(K674,5)="CHECK",1,0)</ns0:f>
        <ns0:v>0</ns0:v>
      </ns0:c>
      <ns0:c r="M674" s="0">
        <ns0:f>IF(AND(L674=1,OR(C674=0,IFERROR(INDEX($X$11:$X$60,C674),0)=0)),1,0)</ns0:f>
        <ns0:v>0</ns0:v>
      </ns0:c>
      <ns0:c r="N674" s="0">
        <ns0:f>IF(OR(A674=0,L674&gt;0,$B$6&gt;0,Bookings!G674="Cancelled"),0,G674)</ns0:f>
        <ns0:v>0</ns0:v>
      </ns0:c>
      <ns0:c r="O674" s="0">
        <ns0:f>IF(AND(Bookings!G674="Approved",E674="Yes"),N674,0)</ns0:f>
        <ns0:v>0</ns0:v>
      </ns0:c>
      <ns0:c r="P674" s="0">
        <ns0:f>IF(AND(Bookings!G674="Approved",E674="Yes",L674=0,$B$6=0),H674,0)</ns0:f>
        <ns0:v>0</ns0:v>
      </ns0:c>
      <ns0:c r="Q674" s="0">
        <ns0:f>IF(AND(Bookings!G674="Approved",E674="Yes",L674=0,$B$6=0),I674,0)</ns0:f>
        <ns0:v>0</ns0:v>
      </ns0:c>
      <ns0:c r="R674" s="0">
        <ns0:f>IF(AND(Bookings!G674="Pending",E674="Yes"),N674,0)</ns0:f>
        <ns0:v>0</ns0:v>
      </ns0:c>
      <ns0:c r="S674" s="0">
        <ns0:f>IF(AND(Bookings!G674="Approved",E674="No"),N674,0)</ns0:f>
        <ns0:v>0</ns0:v>
      </ns0:c>
      <ns0:c r="T674" s="0">
        <ns0:f>IFERROR(MATCH(D674,Settings!$G$7:$G$11,0),0)</ns0:f>
        <ns0:v>0</ns0:v>
      </ns0:c>
      <ns0:c r="U674" s="0">
        <ns0:f>IF(N674&gt;0,T674+IF(Bookings!G674="Pending",10,0),0)</ns0:f>
        <ns0:v>0</ns0:v>
      </ns0:c>
      <ns0:c r="V674" s="0">
        <ns0:f>U674</ns0:f>
        <ns0:v>0</ns0:v>
      </ns0:c>
      <ns0:c r="W674" s="0" t="str">
        <ns0:f>IF(C674=0,"",INDEX($AP$11:$AP$60,C674))</ns0:f>
        <ns0:v/>
      </ns0:c>
    </ns0:row>
    <ns0:row r="675">
      <ns0:c r="A675" s="0">
        <ns0:f>IF(COUNTA(Bookings!A675:G675,Bookings!I675)=0,0,1)</ns0:f>
        <ns0:v>0</ns0:v>
      </ns0:c>
      <ns0:c r="B675" s="0" t="str">
        <ns0:f>IFERROR(TRIM(MID(Bookings!A675,FIND(" · ",Bookings!A675)+3,99)),"")</ns0:f>
        <ns0:v/>
      </ns0:c>
      <ns0:c r="C675" s="0">
        <ns0:f>IF(OR(B675="",LEN(B675)&gt;24,ISNUMBER(FIND(" ",B675)),ISNUMBER(FIND("*",B675)),ISNUMBER(FIND("?",B675)),ISNUMBER(FIND("~",B675))),0,IFERROR(MATCH(B675,Team!$A$11:$A$60,0),0))</ns0:f>
        <ns0:v>0</ns0:v>
      </ns0:c>
      <ns0:c r="D675" s="0" t="str">
        <ns0:f>IFERROR(IF(MID(Bookings!F675,LEN(Bookings!F675)-3,3)=" · ",RIGHT(Bookings!F675,1),""),"")</ns0:f>
        <ns0:v/>
      </ns0:c>
      <ns0:c r="E675" s="0" t="str">
        <ns0:f>IFERROR(INDEX(Settings!$H$7:$H$11,MATCH(D675,Settings!$G$7:$G$11,0)),"")</ns0:f>
        <ns0:v/>
      </ns0:c>
      <ns0:c r="F675" s="0" t="str">
        <ns0:f>IF(A675=0,"",IFERROR(IF(OR(B675="",C675=0),"CHECK employee selection",IF(INDEX(Team!$O$11:$O$60,C675)&lt;&gt;"OK","CHECK employee setup",IF(OR('_Dates'!J675=0,'_Dates'!T675=0),"CHECK date: use DD.MM.YYYY",IF('_Dates'!T675&lt;'_Dates'!J675,"CHECK end before start",IF(AND($B$6=0,OR('_Dates'!J675&lt;Settings!$B$7,'_Dates'!T675&gt;Settings!$B$8)),"CHECK split across leave years",IF(OR(NOT(OR('_Dates'!U675="Full day",'_Dates'!U675="AM",'_Dates'!U675="PM")),NOT(OR('_Dates'!V675="Full day",'_Dates'!V675="AM",'_Dates'!V675="PM"))),"CHECK Full day / AM / PM",IF(AND('_Dates'!J675='_Dates'!T675,'_Dates'!U675&lt;&gt;"Full day",'_Dates'!V675&lt;&gt;"Full day",'_Dates'!U675&lt;&gt;'_Dates'!V675),"CHECK same-day portions disagree",IF(AND($B$6=0,OR(AND('_Dates'!U675&lt;&gt;"Full day",'_Dates'!AA675=0),AND('_Dates'!V675&lt;&gt;"Full day",'_Dates'!AB675=0))),"CHECK half-day on non-working date",IF(COUNTIF(Settings!$G$7:$G$11,D675)&lt;&gt;1,"CHECK leave type",IF(AND(Bookings!G675&lt;&gt;"Approved",Bookings!G675&lt;&gt;"Pending",Bookings!G675&lt;&gt;"Cancelled"),"CHECK status","OK")))))))))),"CHECK input"))</ns0:f>
        <ns0:v/>
      </ns0:c>
      <ns0:c r="G675" s="0">
        <ns0:f>IF(OR(F675&lt;&gt;"OK",$B$6&gt;0),0,0.5*(IF(('_Dates'!X675)&lt;('_Dates'!W675),0,INT((('_Dates'!X675)-('_Dates'!W675)+1)/7)*LEN(SUBSTITUTE(W675,"O",""))+LEN(SUBSTITUTE(MID(W675&amp;W675,WEEKDAY(('_Dates'!W675),2),MOD((('_Dates'!X675)-('_Dates'!W675)+1),7)),"O",""))-COUNTIFS(INDEX(AllClosureRows,C675,0),"&gt;="&amp;('_Dates'!W675),INDEX(AllClosureRows,C675,0),"&lt;="&amp;('_Dates'!X675)))+IF(('_Dates'!Z675)&lt;('_Dates'!Y675),0,INT((('_Dates'!Z675)-('_Dates'!Y675)+1)/7)*LEN(SUBSTITUTE(W675,"O",""))+LEN(SUBSTITUTE(MID(W675&amp;W675,WEEKDAY(('_Dates'!Y675),2),MOD((('_Dates'!Z675)-('_Dates'!Y675)+1),7)),"O",""))-COUNTIFS(INDEX(AllClosureRows,C675,0),"&gt;="&amp;('_Dates'!Y675),INDEX(AllClosureRows,C675,0),"&lt;="&amp;('_Dates'!Z675)))))</ns0:f>
        <ns0:v>0</ns0:v>
      </ns0:c>
      <ns0:c r="H675" s="0">
        <ns0:f>IF(OR(F675&lt;&gt;"OK",$B$6&gt;0),0,0.5*(IF((MIN('_Dates'!X675,Settings!$B$9))&lt;('_Dates'!W675),0,INT(((MIN('_Dates'!X675,Settings!$B$9))-('_Dates'!W675)+1)/7)*LEN(SUBSTITUTE(W675,"O",""))+LEN(SUBSTITUTE(MID(W675&amp;W675,WEEKDAY(('_Dates'!W675),2),MOD(((MIN('_Dates'!X675,Settings!$B$9))-('_Dates'!W675)+1),7)),"O",""))-COUNTIFS(INDEX(AllClosureRows,C675,0),"&gt;="&amp;('_Dates'!W675),INDEX(AllClosureRows,C675,0),"&lt;="&amp;(MIN('_Dates'!X675,Settings!$B$9))))+IF((MIN('_Dates'!Z675,Settings!$B$9))&lt;('_Dates'!Y675),0,INT(((MIN('_Dates'!Z675,Settings!$B$9))-('_Dates'!Y675)+1)/7)*LEN(SUBSTITUTE(W675,"O",""))+LEN(SUBSTITUTE(MID(W675&amp;W675,WEEKDAY(('_Dates'!Y675),2),MOD(((MIN('_Dates'!Z675,Settings!$B$9))-('_Dates'!Y675)+1),7)),"O",""))-COUNTIFS(INDEX(AllClosureRows,C675,0),"&gt;="&amp;('_Dates'!Y675),INDEX(AllClosureRows,C675,0),"&lt;="&amp;(MIN('_Dates'!Z675,Settings!$B$9))))))</ns0:f>
        <ns0:v>0</ns0:v>
      </ns0:c>
      <ns0:c r="I675" s="0">
        <ns0:f>MAX(0,G675-H675)</ns0:f>
        <ns0:v>0</ns0:v>
      </ns0:c>
      <ns0:c r="J675" s="0">
        <ns0:f>IF(OR(A675=0,F675&lt;&gt;"OK",Bookings!G675="Cancelled",$B$6&gt;0),0,IF('_Dates'!AC675=1,MAX(0,COUNTIFS(rngEngine_B,B675,rngAMStart,"&lt;="&amp;'_Dates'!X675,rngAMEnd,"&gt;="&amp;'_Dates'!W675,rngAMActive,1,rngEngine_F,"OK",rngBookings_F,"&lt;&gt;Cancelled")-1),0)+IF('_Dates'!AD675=1,MAX(0,COUNTIFS(rngEngine_B,B675,rngPMStart,"&lt;="&amp;'_Dates'!Z675,rngPMEnd,"&gt;="&amp;'_Dates'!Y675,rngPMActive,1,rngEngine_F,"OK",rngBookings_F,"&lt;&gt;Cancelled")-1),0))</ns0:f>
        <ns0:v>0</ns0:v>
      </ns0:c>
      <ns0:c r="K675" s="0" t="str">
        <ns0:f>IF(A675=0,"",IF(F675&lt;&gt;"OK",F675,IF(J675&gt;0,"CHECK overlapping entry",IF(AND($B$6=0,G675&lt;=0,Bookings!G675&lt;&gt;"Cancelled"),"CHECK no working days",IF(Bookings!G675="Cancelled","Cancelled","OK")))))</ns0:f>
        <ns0:v/>
      </ns0:c>
      <ns0:c r="L675" s="0">
        <ns0:f>IF(LEFT(K675,5)="CHECK",1,0)</ns0:f>
        <ns0:v>0</ns0:v>
      </ns0:c>
      <ns0:c r="M675" s="0">
        <ns0:f>IF(AND(L675=1,OR(C675=0,IFERROR(INDEX($X$11:$X$60,C675),0)=0)),1,0)</ns0:f>
        <ns0:v>0</ns0:v>
      </ns0:c>
      <ns0:c r="N675" s="0">
        <ns0:f>IF(OR(A675=0,L675&gt;0,$B$6&gt;0,Bookings!G675="Cancelled"),0,G675)</ns0:f>
        <ns0:v>0</ns0:v>
      </ns0:c>
      <ns0:c r="O675" s="0">
        <ns0:f>IF(AND(Bookings!G675="Approved",E675="Yes"),N675,0)</ns0:f>
        <ns0:v>0</ns0:v>
      </ns0:c>
      <ns0:c r="P675" s="0">
        <ns0:f>IF(AND(Bookings!G675="Approved",E675="Yes",L675=0,$B$6=0),H675,0)</ns0:f>
        <ns0:v>0</ns0:v>
      </ns0:c>
      <ns0:c r="Q675" s="0">
        <ns0:f>IF(AND(Bookings!G675="Approved",E675="Yes",L675=0,$B$6=0),I675,0)</ns0:f>
        <ns0:v>0</ns0:v>
      </ns0:c>
      <ns0:c r="R675" s="0">
        <ns0:f>IF(AND(Bookings!G675="Pending",E675="Yes"),N675,0)</ns0:f>
        <ns0:v>0</ns0:v>
      </ns0:c>
      <ns0:c r="S675" s="0">
        <ns0:f>IF(AND(Bookings!G675="Approved",E675="No"),N675,0)</ns0:f>
        <ns0:v>0</ns0:v>
      </ns0:c>
      <ns0:c r="T675" s="0">
        <ns0:f>IFERROR(MATCH(D675,Settings!$G$7:$G$11,0),0)</ns0:f>
        <ns0:v>0</ns0:v>
      </ns0:c>
      <ns0:c r="U675" s="0">
        <ns0:f>IF(N675&gt;0,T675+IF(Bookings!G675="Pending",10,0),0)</ns0:f>
        <ns0:v>0</ns0:v>
      </ns0:c>
      <ns0:c r="V675" s="0">
        <ns0:f>U675</ns0:f>
        <ns0:v>0</ns0:v>
      </ns0:c>
      <ns0:c r="W675" s="0" t="str">
        <ns0:f>IF(C675=0,"",INDEX($AP$11:$AP$60,C675))</ns0:f>
        <ns0:v/>
      </ns0:c>
    </ns0:row>
    <ns0:row r="676">
      <ns0:c r="A676" s="0">
        <ns0:f>IF(COUNTA(Bookings!A676:G676,Bookings!I676)=0,0,1)</ns0:f>
        <ns0:v>0</ns0:v>
      </ns0:c>
      <ns0:c r="B676" s="0" t="str">
        <ns0:f>IFERROR(TRIM(MID(Bookings!A676,FIND(" · ",Bookings!A676)+3,99)),"")</ns0:f>
        <ns0:v/>
      </ns0:c>
      <ns0:c r="C676" s="0">
        <ns0:f>IF(OR(B676="",LEN(B676)&gt;24,ISNUMBER(FIND(" ",B676)),ISNUMBER(FIND("*",B676)),ISNUMBER(FIND("?",B676)),ISNUMBER(FIND("~",B676))),0,IFERROR(MATCH(B676,Team!$A$11:$A$60,0),0))</ns0:f>
        <ns0:v>0</ns0:v>
      </ns0:c>
      <ns0:c r="D676" s="0" t="str">
        <ns0:f>IFERROR(IF(MID(Bookings!F676,LEN(Bookings!F676)-3,3)=" · ",RIGHT(Bookings!F676,1),""),"")</ns0:f>
        <ns0:v/>
      </ns0:c>
      <ns0:c r="E676" s="0" t="str">
        <ns0:f>IFERROR(INDEX(Settings!$H$7:$H$11,MATCH(D676,Settings!$G$7:$G$11,0)),"")</ns0:f>
        <ns0:v/>
      </ns0:c>
      <ns0:c r="F676" s="0" t="str">
        <ns0:f>IF(A676=0,"",IFERROR(IF(OR(B676="",C676=0),"CHECK employee selection",IF(INDEX(Team!$O$11:$O$60,C676)&lt;&gt;"OK","CHECK employee setup",IF(OR('_Dates'!J676=0,'_Dates'!T676=0),"CHECK date: use DD.MM.YYYY",IF('_Dates'!T676&lt;'_Dates'!J676,"CHECK end before start",IF(AND($B$6=0,OR('_Dates'!J676&lt;Settings!$B$7,'_Dates'!T676&gt;Settings!$B$8)),"CHECK split across leave years",IF(OR(NOT(OR('_Dates'!U676="Full day",'_Dates'!U676="AM",'_Dates'!U676="PM")),NOT(OR('_Dates'!V676="Full day",'_Dates'!V676="AM",'_Dates'!V676="PM"))),"CHECK Full day / AM / PM",IF(AND('_Dates'!J676='_Dates'!T676,'_Dates'!U676&lt;&gt;"Full day",'_Dates'!V676&lt;&gt;"Full day",'_Dates'!U676&lt;&gt;'_Dates'!V676),"CHECK same-day portions disagree",IF(AND($B$6=0,OR(AND('_Dates'!U676&lt;&gt;"Full day",'_Dates'!AA676=0),AND('_Dates'!V676&lt;&gt;"Full day",'_Dates'!AB676=0))),"CHECK half-day on non-working date",IF(COUNTIF(Settings!$G$7:$G$11,D676)&lt;&gt;1,"CHECK leave type",IF(AND(Bookings!G676&lt;&gt;"Approved",Bookings!G676&lt;&gt;"Pending",Bookings!G676&lt;&gt;"Cancelled"),"CHECK status","OK")))))))))),"CHECK input"))</ns0:f>
        <ns0:v/>
      </ns0:c>
      <ns0:c r="G676" s="0">
        <ns0:f>IF(OR(F676&lt;&gt;"OK",$B$6&gt;0),0,0.5*(IF(('_Dates'!X676)&lt;('_Dates'!W676),0,INT((('_Dates'!X676)-('_Dates'!W676)+1)/7)*LEN(SUBSTITUTE(W676,"O",""))+LEN(SUBSTITUTE(MID(W676&amp;W676,WEEKDAY(('_Dates'!W676),2),MOD((('_Dates'!X676)-('_Dates'!W676)+1),7)),"O",""))-COUNTIFS(INDEX(AllClosureRows,C676,0),"&gt;="&amp;('_Dates'!W676),INDEX(AllClosureRows,C676,0),"&lt;="&amp;('_Dates'!X676)))+IF(('_Dates'!Z676)&lt;('_Dates'!Y676),0,INT((('_Dates'!Z676)-('_Dates'!Y676)+1)/7)*LEN(SUBSTITUTE(W676,"O",""))+LEN(SUBSTITUTE(MID(W676&amp;W676,WEEKDAY(('_Dates'!Y676),2),MOD((('_Dates'!Z676)-('_Dates'!Y676)+1),7)),"O",""))-COUNTIFS(INDEX(AllClosureRows,C676,0),"&gt;="&amp;('_Dates'!Y676),INDEX(AllClosureRows,C676,0),"&lt;="&amp;('_Dates'!Z676)))))</ns0:f>
        <ns0:v>0</ns0:v>
      </ns0:c>
      <ns0:c r="H676" s="0">
        <ns0:f>IF(OR(F676&lt;&gt;"OK",$B$6&gt;0),0,0.5*(IF((MIN('_Dates'!X676,Settings!$B$9))&lt;('_Dates'!W676),0,INT(((MIN('_Dates'!X676,Settings!$B$9))-('_Dates'!W676)+1)/7)*LEN(SUBSTITUTE(W676,"O",""))+LEN(SUBSTITUTE(MID(W676&amp;W676,WEEKDAY(('_Dates'!W676),2),MOD(((MIN('_Dates'!X676,Settings!$B$9))-('_Dates'!W676)+1),7)),"O",""))-COUNTIFS(INDEX(AllClosureRows,C676,0),"&gt;="&amp;('_Dates'!W676),INDEX(AllClosureRows,C676,0),"&lt;="&amp;(MIN('_Dates'!X676,Settings!$B$9))))+IF((MIN('_Dates'!Z676,Settings!$B$9))&lt;('_Dates'!Y676),0,INT(((MIN('_Dates'!Z676,Settings!$B$9))-('_Dates'!Y676)+1)/7)*LEN(SUBSTITUTE(W676,"O",""))+LEN(SUBSTITUTE(MID(W676&amp;W676,WEEKDAY(('_Dates'!Y676),2),MOD(((MIN('_Dates'!Z676,Settings!$B$9))-('_Dates'!Y676)+1),7)),"O",""))-COUNTIFS(INDEX(AllClosureRows,C676,0),"&gt;="&amp;('_Dates'!Y676),INDEX(AllClosureRows,C676,0),"&lt;="&amp;(MIN('_Dates'!Z676,Settings!$B$9))))))</ns0:f>
        <ns0:v>0</ns0:v>
      </ns0:c>
      <ns0:c r="I676" s="0">
        <ns0:f>MAX(0,G676-H676)</ns0:f>
        <ns0:v>0</ns0:v>
      </ns0:c>
      <ns0:c r="J676" s="0">
        <ns0:f>IF(OR(A676=0,F676&lt;&gt;"OK",Bookings!G676="Cancelled",$B$6&gt;0),0,IF('_Dates'!AC676=1,MAX(0,COUNTIFS(rngEngine_B,B676,rngAMStart,"&lt;="&amp;'_Dates'!X676,rngAMEnd,"&gt;="&amp;'_Dates'!W676,rngAMActive,1,rngEngine_F,"OK",rngBookings_F,"&lt;&gt;Cancelled")-1),0)+IF('_Dates'!AD676=1,MAX(0,COUNTIFS(rngEngine_B,B676,rngPMStart,"&lt;="&amp;'_Dates'!Z676,rngPMEnd,"&gt;="&amp;'_Dates'!Y676,rngPMActive,1,rngEngine_F,"OK",rngBookings_F,"&lt;&gt;Cancelled")-1),0))</ns0:f>
        <ns0:v>0</ns0:v>
      </ns0:c>
      <ns0:c r="K676" s="0" t="str">
        <ns0:f>IF(A676=0,"",IF(F676&lt;&gt;"OK",F676,IF(J676&gt;0,"CHECK overlapping entry",IF(AND($B$6=0,G676&lt;=0,Bookings!G676&lt;&gt;"Cancelled"),"CHECK no working days",IF(Bookings!G676="Cancelled","Cancelled","OK")))))</ns0:f>
        <ns0:v/>
      </ns0:c>
      <ns0:c r="L676" s="0">
        <ns0:f>IF(LEFT(K676,5)="CHECK",1,0)</ns0:f>
        <ns0:v>0</ns0:v>
      </ns0:c>
      <ns0:c r="M676" s="0">
        <ns0:f>IF(AND(L676=1,OR(C676=0,IFERROR(INDEX($X$11:$X$60,C676),0)=0)),1,0)</ns0:f>
        <ns0:v>0</ns0:v>
      </ns0:c>
      <ns0:c r="N676" s="0">
        <ns0:f>IF(OR(A676=0,L676&gt;0,$B$6&gt;0,Bookings!G676="Cancelled"),0,G676)</ns0:f>
        <ns0:v>0</ns0:v>
      </ns0:c>
      <ns0:c r="O676" s="0">
        <ns0:f>IF(AND(Bookings!G676="Approved",E676="Yes"),N676,0)</ns0:f>
        <ns0:v>0</ns0:v>
      </ns0:c>
      <ns0:c r="P676" s="0">
        <ns0:f>IF(AND(Bookings!G676="Approved",E676="Yes",L676=0,$B$6=0),H676,0)</ns0:f>
        <ns0:v>0</ns0:v>
      </ns0:c>
      <ns0:c r="Q676" s="0">
        <ns0:f>IF(AND(Bookings!G676="Approved",E676="Yes",L676=0,$B$6=0),I676,0)</ns0:f>
        <ns0:v>0</ns0:v>
      </ns0:c>
      <ns0:c r="R676" s="0">
        <ns0:f>IF(AND(Bookings!G676="Pending",E676="Yes"),N676,0)</ns0:f>
        <ns0:v>0</ns0:v>
      </ns0:c>
      <ns0:c r="S676" s="0">
        <ns0:f>IF(AND(Bookings!G676="Approved",E676="No"),N676,0)</ns0:f>
        <ns0:v>0</ns0:v>
      </ns0:c>
      <ns0:c r="T676" s="0">
        <ns0:f>IFERROR(MATCH(D676,Settings!$G$7:$G$11,0),0)</ns0:f>
        <ns0:v>0</ns0:v>
      </ns0:c>
      <ns0:c r="U676" s="0">
        <ns0:f>IF(N676&gt;0,T676+IF(Bookings!G676="Pending",10,0),0)</ns0:f>
        <ns0:v>0</ns0:v>
      </ns0:c>
      <ns0:c r="V676" s="0">
        <ns0:f>U676</ns0:f>
        <ns0:v>0</ns0:v>
      </ns0:c>
      <ns0:c r="W676" s="0" t="str">
        <ns0:f>IF(C676=0,"",INDEX($AP$11:$AP$60,C676))</ns0:f>
        <ns0:v/>
      </ns0:c>
    </ns0:row>
    <ns0:row r="677">
      <ns0:c r="A677" s="0">
        <ns0:f>IF(COUNTA(Bookings!A677:G677,Bookings!I677)=0,0,1)</ns0:f>
        <ns0:v>0</ns0:v>
      </ns0:c>
      <ns0:c r="B677" s="0" t="str">
        <ns0:f>IFERROR(TRIM(MID(Bookings!A677,FIND(" · ",Bookings!A677)+3,99)),"")</ns0:f>
        <ns0:v/>
      </ns0:c>
      <ns0:c r="C677" s="0">
        <ns0:f>IF(OR(B677="",LEN(B677)&gt;24,ISNUMBER(FIND(" ",B677)),ISNUMBER(FIND("*",B677)),ISNUMBER(FIND("?",B677)),ISNUMBER(FIND("~",B677))),0,IFERROR(MATCH(B677,Team!$A$11:$A$60,0),0))</ns0:f>
        <ns0:v>0</ns0:v>
      </ns0:c>
      <ns0:c r="D677" s="0" t="str">
        <ns0:f>IFERROR(IF(MID(Bookings!F677,LEN(Bookings!F677)-3,3)=" · ",RIGHT(Bookings!F677,1),""),"")</ns0:f>
        <ns0:v/>
      </ns0:c>
      <ns0:c r="E677" s="0" t="str">
        <ns0:f>IFERROR(INDEX(Settings!$H$7:$H$11,MATCH(D677,Settings!$G$7:$G$11,0)),"")</ns0:f>
        <ns0:v/>
      </ns0:c>
      <ns0:c r="F677" s="0" t="str">
        <ns0:f>IF(A677=0,"",IFERROR(IF(OR(B677="",C677=0),"CHECK employee selection",IF(INDEX(Team!$O$11:$O$60,C677)&lt;&gt;"OK","CHECK employee setup",IF(OR('_Dates'!J677=0,'_Dates'!T677=0),"CHECK date: use DD.MM.YYYY",IF('_Dates'!T677&lt;'_Dates'!J677,"CHECK end before start",IF(AND($B$6=0,OR('_Dates'!J677&lt;Settings!$B$7,'_Dates'!T677&gt;Settings!$B$8)),"CHECK split across leave years",IF(OR(NOT(OR('_Dates'!U677="Full day",'_Dates'!U677="AM",'_Dates'!U677="PM")),NOT(OR('_Dates'!V677="Full day",'_Dates'!V677="AM",'_Dates'!V677="PM"))),"CHECK Full day / AM / PM",IF(AND('_Dates'!J677='_Dates'!T677,'_Dates'!U677&lt;&gt;"Full day",'_Dates'!V677&lt;&gt;"Full day",'_Dates'!U677&lt;&gt;'_Dates'!V677),"CHECK same-day portions disagree",IF(AND($B$6=0,OR(AND('_Dates'!U677&lt;&gt;"Full day",'_Dates'!AA677=0),AND('_Dates'!V677&lt;&gt;"Full day",'_Dates'!AB677=0))),"CHECK half-day on non-working date",IF(COUNTIF(Settings!$G$7:$G$11,D677)&lt;&gt;1,"CHECK leave type",IF(AND(Bookings!G677&lt;&gt;"Approved",Bookings!G677&lt;&gt;"Pending",Bookings!G677&lt;&gt;"Cancelled"),"CHECK status","OK")))))))))),"CHECK input"))</ns0:f>
        <ns0:v/>
      </ns0:c>
      <ns0:c r="G677" s="0">
        <ns0:f>IF(OR(F677&lt;&gt;"OK",$B$6&gt;0),0,0.5*(IF(('_Dates'!X677)&lt;('_Dates'!W677),0,INT((('_Dates'!X677)-('_Dates'!W677)+1)/7)*LEN(SUBSTITUTE(W677,"O",""))+LEN(SUBSTITUTE(MID(W677&amp;W677,WEEKDAY(('_Dates'!W677),2),MOD((('_Dates'!X677)-('_Dates'!W677)+1),7)),"O",""))-COUNTIFS(INDEX(AllClosureRows,C677,0),"&gt;="&amp;('_Dates'!W677),INDEX(AllClosureRows,C677,0),"&lt;="&amp;('_Dates'!X677)))+IF(('_Dates'!Z677)&lt;('_Dates'!Y677),0,INT((('_Dates'!Z677)-('_Dates'!Y677)+1)/7)*LEN(SUBSTITUTE(W677,"O",""))+LEN(SUBSTITUTE(MID(W677&amp;W677,WEEKDAY(('_Dates'!Y677),2),MOD((('_Dates'!Z677)-('_Dates'!Y677)+1),7)),"O",""))-COUNTIFS(INDEX(AllClosureRows,C677,0),"&gt;="&amp;('_Dates'!Y677),INDEX(AllClosureRows,C677,0),"&lt;="&amp;('_Dates'!Z677)))))</ns0:f>
        <ns0:v>0</ns0:v>
      </ns0:c>
      <ns0:c r="H677" s="0">
        <ns0:f>IF(OR(F677&lt;&gt;"OK",$B$6&gt;0),0,0.5*(IF((MIN('_Dates'!X677,Settings!$B$9))&lt;('_Dates'!W677),0,INT(((MIN('_Dates'!X677,Settings!$B$9))-('_Dates'!W677)+1)/7)*LEN(SUBSTITUTE(W677,"O",""))+LEN(SUBSTITUTE(MID(W677&amp;W677,WEEKDAY(('_Dates'!W677),2),MOD(((MIN('_Dates'!X677,Settings!$B$9))-('_Dates'!W677)+1),7)),"O",""))-COUNTIFS(INDEX(AllClosureRows,C677,0),"&gt;="&amp;('_Dates'!W677),INDEX(AllClosureRows,C677,0),"&lt;="&amp;(MIN('_Dates'!X677,Settings!$B$9))))+IF((MIN('_Dates'!Z677,Settings!$B$9))&lt;('_Dates'!Y677),0,INT(((MIN('_Dates'!Z677,Settings!$B$9))-('_Dates'!Y677)+1)/7)*LEN(SUBSTITUTE(W677,"O",""))+LEN(SUBSTITUTE(MID(W677&amp;W677,WEEKDAY(('_Dates'!Y677),2),MOD(((MIN('_Dates'!Z677,Settings!$B$9))-('_Dates'!Y677)+1),7)),"O",""))-COUNTIFS(INDEX(AllClosureRows,C677,0),"&gt;="&amp;('_Dates'!Y677),INDEX(AllClosureRows,C677,0),"&lt;="&amp;(MIN('_Dates'!Z677,Settings!$B$9))))))</ns0:f>
        <ns0:v>0</ns0:v>
      </ns0:c>
      <ns0:c r="I677" s="0">
        <ns0:f>MAX(0,G677-H677)</ns0:f>
        <ns0:v>0</ns0:v>
      </ns0:c>
      <ns0:c r="J677" s="0">
        <ns0:f>IF(OR(A677=0,F677&lt;&gt;"OK",Bookings!G677="Cancelled",$B$6&gt;0),0,IF('_Dates'!AC677=1,MAX(0,COUNTIFS(rngEngine_B,B677,rngAMStart,"&lt;="&amp;'_Dates'!X677,rngAMEnd,"&gt;="&amp;'_Dates'!W677,rngAMActive,1,rngEngine_F,"OK",rngBookings_F,"&lt;&gt;Cancelled")-1),0)+IF('_Dates'!AD677=1,MAX(0,COUNTIFS(rngEngine_B,B677,rngPMStart,"&lt;="&amp;'_Dates'!Z677,rngPMEnd,"&gt;="&amp;'_Dates'!Y677,rngPMActive,1,rngEngine_F,"OK",rngBookings_F,"&lt;&gt;Cancelled")-1),0))</ns0:f>
        <ns0:v>0</ns0:v>
      </ns0:c>
      <ns0:c r="K677" s="0" t="str">
        <ns0:f>IF(A677=0,"",IF(F677&lt;&gt;"OK",F677,IF(J677&gt;0,"CHECK overlapping entry",IF(AND($B$6=0,G677&lt;=0,Bookings!G677&lt;&gt;"Cancelled"),"CHECK no working days",IF(Bookings!G677="Cancelled","Cancelled","OK")))))</ns0:f>
        <ns0:v/>
      </ns0:c>
      <ns0:c r="L677" s="0">
        <ns0:f>IF(LEFT(K677,5)="CHECK",1,0)</ns0:f>
        <ns0:v>0</ns0:v>
      </ns0:c>
      <ns0:c r="M677" s="0">
        <ns0:f>IF(AND(L677=1,OR(C677=0,IFERROR(INDEX($X$11:$X$60,C677),0)=0)),1,0)</ns0:f>
        <ns0:v>0</ns0:v>
      </ns0:c>
      <ns0:c r="N677" s="0">
        <ns0:f>IF(OR(A677=0,L677&gt;0,$B$6&gt;0,Bookings!G677="Cancelled"),0,G677)</ns0:f>
        <ns0:v>0</ns0:v>
      </ns0:c>
      <ns0:c r="O677" s="0">
        <ns0:f>IF(AND(Bookings!G677="Approved",E677="Yes"),N677,0)</ns0:f>
        <ns0:v>0</ns0:v>
      </ns0:c>
      <ns0:c r="P677" s="0">
        <ns0:f>IF(AND(Bookings!G677="Approved",E677="Yes",L677=0,$B$6=0),H677,0)</ns0:f>
        <ns0:v>0</ns0:v>
      </ns0:c>
      <ns0:c r="Q677" s="0">
        <ns0:f>IF(AND(Bookings!G677="Approved",E677="Yes",L677=0,$B$6=0),I677,0)</ns0:f>
        <ns0:v>0</ns0:v>
      </ns0:c>
      <ns0:c r="R677" s="0">
        <ns0:f>IF(AND(Bookings!G677="Pending",E677="Yes"),N677,0)</ns0:f>
        <ns0:v>0</ns0:v>
      </ns0:c>
      <ns0:c r="S677" s="0">
        <ns0:f>IF(AND(Bookings!G677="Approved",E677="No"),N677,0)</ns0:f>
        <ns0:v>0</ns0:v>
      </ns0:c>
      <ns0:c r="T677" s="0">
        <ns0:f>IFERROR(MATCH(D677,Settings!$G$7:$G$11,0),0)</ns0:f>
        <ns0:v>0</ns0:v>
      </ns0:c>
      <ns0:c r="U677" s="0">
        <ns0:f>IF(N677&gt;0,T677+IF(Bookings!G677="Pending",10,0),0)</ns0:f>
        <ns0:v>0</ns0:v>
      </ns0:c>
      <ns0:c r="V677" s="0">
        <ns0:f>U677</ns0:f>
        <ns0:v>0</ns0:v>
      </ns0:c>
      <ns0:c r="W677" s="0" t="str">
        <ns0:f>IF(C677=0,"",INDEX($AP$11:$AP$60,C677))</ns0:f>
        <ns0:v/>
      </ns0:c>
    </ns0:row>
    <ns0:row r="678">
      <ns0:c r="A678" s="0">
        <ns0:f>IF(COUNTA(Bookings!A678:G678,Bookings!I678)=0,0,1)</ns0:f>
        <ns0:v>0</ns0:v>
      </ns0:c>
      <ns0:c r="B678" s="0" t="str">
        <ns0:f>IFERROR(TRIM(MID(Bookings!A678,FIND(" · ",Bookings!A678)+3,99)),"")</ns0:f>
        <ns0:v/>
      </ns0:c>
      <ns0:c r="C678" s="0">
        <ns0:f>IF(OR(B678="",LEN(B678)&gt;24,ISNUMBER(FIND(" ",B678)),ISNUMBER(FIND("*",B678)),ISNUMBER(FIND("?",B678)),ISNUMBER(FIND("~",B678))),0,IFERROR(MATCH(B678,Team!$A$11:$A$60,0),0))</ns0:f>
        <ns0:v>0</ns0:v>
      </ns0:c>
      <ns0:c r="D678" s="0" t="str">
        <ns0:f>IFERROR(IF(MID(Bookings!F678,LEN(Bookings!F678)-3,3)=" · ",RIGHT(Bookings!F678,1),""),"")</ns0:f>
        <ns0:v/>
      </ns0:c>
      <ns0:c r="E678" s="0" t="str">
        <ns0:f>IFERROR(INDEX(Settings!$H$7:$H$11,MATCH(D678,Settings!$G$7:$G$11,0)),"")</ns0:f>
        <ns0:v/>
      </ns0:c>
      <ns0:c r="F678" s="0" t="str">
        <ns0:f>IF(A678=0,"",IFERROR(IF(OR(B678="",C678=0),"CHECK employee selection",IF(INDEX(Team!$O$11:$O$60,C678)&lt;&gt;"OK","CHECK employee setup",IF(OR('_Dates'!J678=0,'_Dates'!T678=0),"CHECK date: use DD.MM.YYYY",IF('_Dates'!T678&lt;'_Dates'!J678,"CHECK end before start",IF(AND($B$6=0,OR('_Dates'!J678&lt;Settings!$B$7,'_Dates'!T678&gt;Settings!$B$8)),"CHECK split across leave years",IF(OR(NOT(OR('_Dates'!U678="Full day",'_Dates'!U678="AM",'_Dates'!U678="PM")),NOT(OR('_Dates'!V678="Full day",'_Dates'!V678="AM",'_Dates'!V678="PM"))),"CHECK Full day / AM / PM",IF(AND('_Dates'!J678='_Dates'!T678,'_Dates'!U678&lt;&gt;"Full day",'_Dates'!V678&lt;&gt;"Full day",'_Dates'!U678&lt;&gt;'_Dates'!V678),"CHECK same-day portions disagree",IF(AND($B$6=0,OR(AND('_Dates'!U678&lt;&gt;"Full day",'_Dates'!AA678=0),AND('_Dates'!V678&lt;&gt;"Full day",'_Dates'!AB678=0))),"CHECK half-day on non-working date",IF(COUNTIF(Settings!$G$7:$G$11,D678)&lt;&gt;1,"CHECK leave type",IF(AND(Bookings!G678&lt;&gt;"Approved",Bookings!G678&lt;&gt;"Pending",Bookings!G678&lt;&gt;"Cancelled"),"CHECK status","OK")))))))))),"CHECK input"))</ns0:f>
        <ns0:v/>
      </ns0:c>
      <ns0:c r="G678" s="0">
        <ns0:f>IF(OR(F678&lt;&gt;"OK",$B$6&gt;0),0,0.5*(IF(('_Dates'!X678)&lt;('_Dates'!W678),0,INT((('_Dates'!X678)-('_Dates'!W678)+1)/7)*LEN(SUBSTITUTE(W678,"O",""))+LEN(SUBSTITUTE(MID(W678&amp;W678,WEEKDAY(('_Dates'!W678),2),MOD((('_Dates'!X678)-('_Dates'!W678)+1),7)),"O",""))-COUNTIFS(INDEX(AllClosureRows,C678,0),"&gt;="&amp;('_Dates'!W678),INDEX(AllClosureRows,C678,0),"&lt;="&amp;('_Dates'!X678)))+IF(('_Dates'!Z678)&lt;('_Dates'!Y678),0,INT((('_Dates'!Z678)-('_Dates'!Y678)+1)/7)*LEN(SUBSTITUTE(W678,"O",""))+LEN(SUBSTITUTE(MID(W678&amp;W678,WEEKDAY(('_Dates'!Y678),2),MOD((('_Dates'!Z678)-('_Dates'!Y678)+1),7)),"O",""))-COUNTIFS(INDEX(AllClosureRows,C678,0),"&gt;="&amp;('_Dates'!Y678),INDEX(AllClosureRows,C678,0),"&lt;="&amp;('_Dates'!Z678)))))</ns0:f>
        <ns0:v>0</ns0:v>
      </ns0:c>
      <ns0:c r="H678" s="0">
        <ns0:f>IF(OR(F678&lt;&gt;"OK",$B$6&gt;0),0,0.5*(IF((MIN('_Dates'!X678,Settings!$B$9))&lt;('_Dates'!W678),0,INT(((MIN('_Dates'!X678,Settings!$B$9))-('_Dates'!W678)+1)/7)*LEN(SUBSTITUTE(W678,"O",""))+LEN(SUBSTITUTE(MID(W678&amp;W678,WEEKDAY(('_Dates'!W678),2),MOD(((MIN('_Dates'!X678,Settings!$B$9))-('_Dates'!W678)+1),7)),"O",""))-COUNTIFS(INDEX(AllClosureRows,C678,0),"&gt;="&amp;('_Dates'!W678),INDEX(AllClosureRows,C678,0),"&lt;="&amp;(MIN('_Dates'!X678,Settings!$B$9))))+IF((MIN('_Dates'!Z678,Settings!$B$9))&lt;('_Dates'!Y678),0,INT(((MIN('_Dates'!Z678,Settings!$B$9))-('_Dates'!Y678)+1)/7)*LEN(SUBSTITUTE(W678,"O",""))+LEN(SUBSTITUTE(MID(W678&amp;W678,WEEKDAY(('_Dates'!Y678),2),MOD(((MIN('_Dates'!Z678,Settings!$B$9))-('_Dates'!Y678)+1),7)),"O",""))-COUNTIFS(INDEX(AllClosureRows,C678,0),"&gt;="&amp;('_Dates'!Y678),INDEX(AllClosureRows,C678,0),"&lt;="&amp;(MIN('_Dates'!Z678,Settings!$B$9))))))</ns0:f>
        <ns0:v>0</ns0:v>
      </ns0:c>
      <ns0:c r="I678" s="0">
        <ns0:f>MAX(0,G678-H678)</ns0:f>
        <ns0:v>0</ns0:v>
      </ns0:c>
      <ns0:c r="J678" s="0">
        <ns0:f>IF(OR(A678=0,F678&lt;&gt;"OK",Bookings!G678="Cancelled",$B$6&gt;0),0,IF('_Dates'!AC678=1,MAX(0,COUNTIFS(rngEngine_B,B678,rngAMStart,"&lt;="&amp;'_Dates'!X678,rngAMEnd,"&gt;="&amp;'_Dates'!W678,rngAMActive,1,rngEngine_F,"OK",rngBookings_F,"&lt;&gt;Cancelled")-1),0)+IF('_Dates'!AD678=1,MAX(0,COUNTIFS(rngEngine_B,B678,rngPMStart,"&lt;="&amp;'_Dates'!Z678,rngPMEnd,"&gt;="&amp;'_Dates'!Y678,rngPMActive,1,rngEngine_F,"OK",rngBookings_F,"&lt;&gt;Cancelled")-1),0))</ns0:f>
        <ns0:v>0</ns0:v>
      </ns0:c>
      <ns0:c r="K678" s="0" t="str">
        <ns0:f>IF(A678=0,"",IF(F678&lt;&gt;"OK",F678,IF(J678&gt;0,"CHECK overlapping entry",IF(AND($B$6=0,G678&lt;=0,Bookings!G678&lt;&gt;"Cancelled"),"CHECK no working days",IF(Bookings!G678="Cancelled","Cancelled","OK")))))</ns0:f>
        <ns0:v/>
      </ns0:c>
      <ns0:c r="L678" s="0">
        <ns0:f>IF(LEFT(K678,5)="CHECK",1,0)</ns0:f>
        <ns0:v>0</ns0:v>
      </ns0:c>
      <ns0:c r="M678" s="0">
        <ns0:f>IF(AND(L678=1,OR(C678=0,IFERROR(INDEX($X$11:$X$60,C678),0)=0)),1,0)</ns0:f>
        <ns0:v>0</ns0:v>
      </ns0:c>
      <ns0:c r="N678" s="0">
        <ns0:f>IF(OR(A678=0,L678&gt;0,$B$6&gt;0,Bookings!G678="Cancelled"),0,G678)</ns0:f>
        <ns0:v>0</ns0:v>
      </ns0:c>
      <ns0:c r="O678" s="0">
        <ns0:f>IF(AND(Bookings!G678="Approved",E678="Yes"),N678,0)</ns0:f>
        <ns0:v>0</ns0:v>
      </ns0:c>
      <ns0:c r="P678" s="0">
        <ns0:f>IF(AND(Bookings!G678="Approved",E678="Yes",L678=0,$B$6=0),H678,0)</ns0:f>
        <ns0:v>0</ns0:v>
      </ns0:c>
      <ns0:c r="Q678" s="0">
        <ns0:f>IF(AND(Bookings!G678="Approved",E678="Yes",L678=0,$B$6=0),I678,0)</ns0:f>
        <ns0:v>0</ns0:v>
      </ns0:c>
      <ns0:c r="R678" s="0">
        <ns0:f>IF(AND(Bookings!G678="Pending",E678="Yes"),N678,0)</ns0:f>
        <ns0:v>0</ns0:v>
      </ns0:c>
      <ns0:c r="S678" s="0">
        <ns0:f>IF(AND(Bookings!G678="Approved",E678="No"),N678,0)</ns0:f>
        <ns0:v>0</ns0:v>
      </ns0:c>
      <ns0:c r="T678" s="0">
        <ns0:f>IFERROR(MATCH(D678,Settings!$G$7:$G$11,0),0)</ns0:f>
        <ns0:v>0</ns0:v>
      </ns0:c>
      <ns0:c r="U678" s="0">
        <ns0:f>IF(N678&gt;0,T678+IF(Bookings!G678="Pending",10,0),0)</ns0:f>
        <ns0:v>0</ns0:v>
      </ns0:c>
      <ns0:c r="V678" s="0">
        <ns0:f>U678</ns0:f>
        <ns0:v>0</ns0:v>
      </ns0:c>
      <ns0:c r="W678" s="0" t="str">
        <ns0:f>IF(C678=0,"",INDEX($AP$11:$AP$60,C678))</ns0:f>
        <ns0:v/>
      </ns0:c>
    </ns0:row>
    <ns0:row r="679">
      <ns0:c r="A679" s="0">
        <ns0:f>IF(COUNTA(Bookings!A679:G679,Bookings!I679)=0,0,1)</ns0:f>
        <ns0:v>0</ns0:v>
      </ns0:c>
      <ns0:c r="B679" s="0" t="str">
        <ns0:f>IFERROR(TRIM(MID(Bookings!A679,FIND(" · ",Bookings!A679)+3,99)),"")</ns0:f>
        <ns0:v/>
      </ns0:c>
      <ns0:c r="C679" s="0">
        <ns0:f>IF(OR(B679="",LEN(B679)&gt;24,ISNUMBER(FIND(" ",B679)),ISNUMBER(FIND("*",B679)),ISNUMBER(FIND("?",B679)),ISNUMBER(FIND("~",B679))),0,IFERROR(MATCH(B679,Team!$A$11:$A$60,0),0))</ns0:f>
        <ns0:v>0</ns0:v>
      </ns0:c>
      <ns0:c r="D679" s="0" t="str">
        <ns0:f>IFERROR(IF(MID(Bookings!F679,LEN(Bookings!F679)-3,3)=" · ",RIGHT(Bookings!F679,1),""),"")</ns0:f>
        <ns0:v/>
      </ns0:c>
      <ns0:c r="E679" s="0" t="str">
        <ns0:f>IFERROR(INDEX(Settings!$H$7:$H$11,MATCH(D679,Settings!$G$7:$G$11,0)),"")</ns0:f>
        <ns0:v/>
      </ns0:c>
      <ns0:c r="F679" s="0" t="str">
        <ns0:f>IF(A679=0,"",IFERROR(IF(OR(B679="",C679=0),"CHECK employee selection",IF(INDEX(Team!$O$11:$O$60,C679)&lt;&gt;"OK","CHECK employee setup",IF(OR('_Dates'!J679=0,'_Dates'!T679=0),"CHECK date: use DD.MM.YYYY",IF('_Dates'!T679&lt;'_Dates'!J679,"CHECK end before start",IF(AND($B$6=0,OR('_Dates'!J679&lt;Settings!$B$7,'_Dates'!T679&gt;Settings!$B$8)),"CHECK split across leave years",IF(OR(NOT(OR('_Dates'!U679="Full day",'_Dates'!U679="AM",'_Dates'!U679="PM")),NOT(OR('_Dates'!V679="Full day",'_Dates'!V679="AM",'_Dates'!V679="PM"))),"CHECK Full day / AM / PM",IF(AND('_Dates'!J679='_Dates'!T679,'_Dates'!U679&lt;&gt;"Full day",'_Dates'!V679&lt;&gt;"Full day",'_Dates'!U679&lt;&gt;'_Dates'!V679),"CHECK same-day portions disagree",IF(AND($B$6=0,OR(AND('_Dates'!U679&lt;&gt;"Full day",'_Dates'!AA679=0),AND('_Dates'!V679&lt;&gt;"Full day",'_Dates'!AB679=0))),"CHECK half-day on non-working date",IF(COUNTIF(Settings!$G$7:$G$11,D679)&lt;&gt;1,"CHECK leave type",IF(AND(Bookings!G679&lt;&gt;"Approved",Bookings!G679&lt;&gt;"Pending",Bookings!G679&lt;&gt;"Cancelled"),"CHECK status","OK")))))))))),"CHECK input"))</ns0:f>
        <ns0:v/>
      </ns0:c>
      <ns0:c r="G679" s="0">
        <ns0:f>IF(OR(F679&lt;&gt;"OK",$B$6&gt;0),0,0.5*(IF(('_Dates'!X679)&lt;('_Dates'!W679),0,INT((('_Dates'!X679)-('_Dates'!W679)+1)/7)*LEN(SUBSTITUTE(W679,"O",""))+LEN(SUBSTITUTE(MID(W679&amp;W679,WEEKDAY(('_Dates'!W679),2),MOD((('_Dates'!X679)-('_Dates'!W679)+1),7)),"O",""))-COUNTIFS(INDEX(AllClosureRows,C679,0),"&gt;="&amp;('_Dates'!W679),INDEX(AllClosureRows,C679,0),"&lt;="&amp;('_Dates'!X679)))+IF(('_Dates'!Z679)&lt;('_Dates'!Y679),0,INT((('_Dates'!Z679)-('_Dates'!Y679)+1)/7)*LEN(SUBSTITUTE(W679,"O",""))+LEN(SUBSTITUTE(MID(W679&amp;W679,WEEKDAY(('_Dates'!Y679),2),MOD((('_Dates'!Z679)-('_Dates'!Y679)+1),7)),"O",""))-COUNTIFS(INDEX(AllClosureRows,C679,0),"&gt;="&amp;('_Dates'!Y679),INDEX(AllClosureRows,C679,0),"&lt;="&amp;('_Dates'!Z679)))))</ns0:f>
        <ns0:v>0</ns0:v>
      </ns0:c>
      <ns0:c r="H679" s="0">
        <ns0:f>IF(OR(F679&lt;&gt;"OK",$B$6&gt;0),0,0.5*(IF((MIN('_Dates'!X679,Settings!$B$9))&lt;('_Dates'!W679),0,INT(((MIN('_Dates'!X679,Settings!$B$9))-('_Dates'!W679)+1)/7)*LEN(SUBSTITUTE(W679,"O",""))+LEN(SUBSTITUTE(MID(W679&amp;W679,WEEKDAY(('_Dates'!W679),2),MOD(((MIN('_Dates'!X679,Settings!$B$9))-('_Dates'!W679)+1),7)),"O",""))-COUNTIFS(INDEX(AllClosureRows,C679,0),"&gt;="&amp;('_Dates'!W679),INDEX(AllClosureRows,C679,0),"&lt;="&amp;(MIN('_Dates'!X679,Settings!$B$9))))+IF((MIN('_Dates'!Z679,Settings!$B$9))&lt;('_Dates'!Y679),0,INT(((MIN('_Dates'!Z679,Settings!$B$9))-('_Dates'!Y679)+1)/7)*LEN(SUBSTITUTE(W679,"O",""))+LEN(SUBSTITUTE(MID(W679&amp;W679,WEEKDAY(('_Dates'!Y679),2),MOD(((MIN('_Dates'!Z679,Settings!$B$9))-('_Dates'!Y679)+1),7)),"O",""))-COUNTIFS(INDEX(AllClosureRows,C679,0),"&gt;="&amp;('_Dates'!Y679),INDEX(AllClosureRows,C679,0),"&lt;="&amp;(MIN('_Dates'!Z679,Settings!$B$9))))))</ns0:f>
        <ns0:v>0</ns0:v>
      </ns0:c>
      <ns0:c r="I679" s="0">
        <ns0:f>MAX(0,G679-H679)</ns0:f>
        <ns0:v>0</ns0:v>
      </ns0:c>
      <ns0:c r="J679" s="0">
        <ns0:f>IF(OR(A679=0,F679&lt;&gt;"OK",Bookings!G679="Cancelled",$B$6&gt;0),0,IF('_Dates'!AC679=1,MAX(0,COUNTIFS(rngEngine_B,B679,rngAMStart,"&lt;="&amp;'_Dates'!X679,rngAMEnd,"&gt;="&amp;'_Dates'!W679,rngAMActive,1,rngEngine_F,"OK",rngBookings_F,"&lt;&gt;Cancelled")-1),0)+IF('_Dates'!AD679=1,MAX(0,COUNTIFS(rngEngine_B,B679,rngPMStart,"&lt;="&amp;'_Dates'!Z679,rngPMEnd,"&gt;="&amp;'_Dates'!Y679,rngPMActive,1,rngEngine_F,"OK",rngBookings_F,"&lt;&gt;Cancelled")-1),0))</ns0:f>
        <ns0:v>0</ns0:v>
      </ns0:c>
      <ns0:c r="K679" s="0" t="str">
        <ns0:f>IF(A679=0,"",IF(F679&lt;&gt;"OK",F679,IF(J679&gt;0,"CHECK overlapping entry",IF(AND($B$6=0,G679&lt;=0,Bookings!G679&lt;&gt;"Cancelled"),"CHECK no working days",IF(Bookings!G679="Cancelled","Cancelled","OK")))))</ns0:f>
        <ns0:v/>
      </ns0:c>
      <ns0:c r="L679" s="0">
        <ns0:f>IF(LEFT(K679,5)="CHECK",1,0)</ns0:f>
        <ns0:v>0</ns0:v>
      </ns0:c>
      <ns0:c r="M679" s="0">
        <ns0:f>IF(AND(L679=1,OR(C679=0,IFERROR(INDEX($X$11:$X$60,C679),0)=0)),1,0)</ns0:f>
        <ns0:v>0</ns0:v>
      </ns0:c>
      <ns0:c r="N679" s="0">
        <ns0:f>IF(OR(A679=0,L679&gt;0,$B$6&gt;0,Bookings!G679="Cancelled"),0,G679)</ns0:f>
        <ns0:v>0</ns0:v>
      </ns0:c>
      <ns0:c r="O679" s="0">
        <ns0:f>IF(AND(Bookings!G679="Approved",E679="Yes"),N679,0)</ns0:f>
        <ns0:v>0</ns0:v>
      </ns0:c>
      <ns0:c r="P679" s="0">
        <ns0:f>IF(AND(Bookings!G679="Approved",E679="Yes",L679=0,$B$6=0),H679,0)</ns0:f>
        <ns0:v>0</ns0:v>
      </ns0:c>
      <ns0:c r="Q679" s="0">
        <ns0:f>IF(AND(Bookings!G679="Approved",E679="Yes",L679=0,$B$6=0),I679,0)</ns0:f>
        <ns0:v>0</ns0:v>
      </ns0:c>
      <ns0:c r="R679" s="0">
        <ns0:f>IF(AND(Bookings!G679="Pending",E679="Yes"),N679,0)</ns0:f>
        <ns0:v>0</ns0:v>
      </ns0:c>
      <ns0:c r="S679" s="0">
        <ns0:f>IF(AND(Bookings!G679="Approved",E679="No"),N679,0)</ns0:f>
        <ns0:v>0</ns0:v>
      </ns0:c>
      <ns0:c r="T679" s="0">
        <ns0:f>IFERROR(MATCH(D679,Settings!$G$7:$G$11,0),0)</ns0:f>
        <ns0:v>0</ns0:v>
      </ns0:c>
      <ns0:c r="U679" s="0">
        <ns0:f>IF(N679&gt;0,T679+IF(Bookings!G679="Pending",10,0),0)</ns0:f>
        <ns0:v>0</ns0:v>
      </ns0:c>
      <ns0:c r="V679" s="0">
        <ns0:f>U679</ns0:f>
        <ns0:v>0</ns0:v>
      </ns0:c>
      <ns0:c r="W679" s="0" t="str">
        <ns0:f>IF(C679=0,"",INDEX($AP$11:$AP$60,C679))</ns0:f>
        <ns0:v/>
      </ns0:c>
    </ns0:row>
    <ns0:row r="680">
      <ns0:c r="A680" s="0">
        <ns0:f>IF(COUNTA(Bookings!A680:G680,Bookings!I680)=0,0,1)</ns0:f>
        <ns0:v>0</ns0:v>
      </ns0:c>
      <ns0:c r="B680" s="0" t="str">
        <ns0:f>IFERROR(TRIM(MID(Bookings!A680,FIND(" · ",Bookings!A680)+3,99)),"")</ns0:f>
        <ns0:v/>
      </ns0:c>
      <ns0:c r="C680" s="0">
        <ns0:f>IF(OR(B680="",LEN(B680)&gt;24,ISNUMBER(FIND(" ",B680)),ISNUMBER(FIND("*",B680)),ISNUMBER(FIND("?",B680)),ISNUMBER(FIND("~",B680))),0,IFERROR(MATCH(B680,Team!$A$11:$A$60,0),0))</ns0:f>
        <ns0:v>0</ns0:v>
      </ns0:c>
      <ns0:c r="D680" s="0" t="str">
        <ns0:f>IFERROR(IF(MID(Bookings!F680,LEN(Bookings!F680)-3,3)=" · ",RIGHT(Bookings!F680,1),""),"")</ns0:f>
        <ns0:v/>
      </ns0:c>
      <ns0:c r="E680" s="0" t="str">
        <ns0:f>IFERROR(INDEX(Settings!$H$7:$H$11,MATCH(D680,Settings!$G$7:$G$11,0)),"")</ns0:f>
        <ns0:v/>
      </ns0:c>
      <ns0:c r="F680" s="0" t="str">
        <ns0:f>IF(A680=0,"",IFERROR(IF(OR(B680="",C680=0),"CHECK employee selection",IF(INDEX(Team!$O$11:$O$60,C680)&lt;&gt;"OK","CHECK employee setup",IF(OR('_Dates'!J680=0,'_Dates'!T680=0),"CHECK date: use DD.MM.YYYY",IF('_Dates'!T680&lt;'_Dates'!J680,"CHECK end before start",IF(AND($B$6=0,OR('_Dates'!J680&lt;Settings!$B$7,'_Dates'!T680&gt;Settings!$B$8)),"CHECK split across leave years",IF(OR(NOT(OR('_Dates'!U680="Full day",'_Dates'!U680="AM",'_Dates'!U680="PM")),NOT(OR('_Dates'!V680="Full day",'_Dates'!V680="AM",'_Dates'!V680="PM"))),"CHECK Full day / AM / PM",IF(AND('_Dates'!J680='_Dates'!T680,'_Dates'!U680&lt;&gt;"Full day",'_Dates'!V680&lt;&gt;"Full day",'_Dates'!U680&lt;&gt;'_Dates'!V680),"CHECK same-day portions disagree",IF(AND($B$6=0,OR(AND('_Dates'!U680&lt;&gt;"Full day",'_Dates'!AA680=0),AND('_Dates'!V680&lt;&gt;"Full day",'_Dates'!AB680=0))),"CHECK half-day on non-working date",IF(COUNTIF(Settings!$G$7:$G$11,D680)&lt;&gt;1,"CHECK leave type",IF(AND(Bookings!G680&lt;&gt;"Approved",Bookings!G680&lt;&gt;"Pending",Bookings!G680&lt;&gt;"Cancelled"),"CHECK status","OK")))))))))),"CHECK input"))</ns0:f>
        <ns0:v/>
      </ns0:c>
      <ns0:c r="G680" s="0">
        <ns0:f>IF(OR(F680&lt;&gt;"OK",$B$6&gt;0),0,0.5*(IF(('_Dates'!X680)&lt;('_Dates'!W680),0,INT((('_Dates'!X680)-('_Dates'!W680)+1)/7)*LEN(SUBSTITUTE(W680,"O",""))+LEN(SUBSTITUTE(MID(W680&amp;W680,WEEKDAY(('_Dates'!W680),2),MOD((('_Dates'!X680)-('_Dates'!W680)+1),7)),"O",""))-COUNTIFS(INDEX(AllClosureRows,C680,0),"&gt;="&amp;('_Dates'!W680),INDEX(AllClosureRows,C680,0),"&lt;="&amp;('_Dates'!X680)))+IF(('_Dates'!Z680)&lt;('_Dates'!Y680),0,INT((('_Dates'!Z680)-('_Dates'!Y680)+1)/7)*LEN(SUBSTITUTE(W680,"O",""))+LEN(SUBSTITUTE(MID(W680&amp;W680,WEEKDAY(('_Dates'!Y680),2),MOD((('_Dates'!Z680)-('_Dates'!Y680)+1),7)),"O",""))-COUNTIFS(INDEX(AllClosureRows,C680,0),"&gt;="&amp;('_Dates'!Y680),INDEX(AllClosureRows,C680,0),"&lt;="&amp;('_Dates'!Z680)))))</ns0:f>
        <ns0:v>0</ns0:v>
      </ns0:c>
      <ns0:c r="H680" s="0">
        <ns0:f>IF(OR(F680&lt;&gt;"OK",$B$6&gt;0),0,0.5*(IF((MIN('_Dates'!X680,Settings!$B$9))&lt;('_Dates'!W680),0,INT(((MIN('_Dates'!X680,Settings!$B$9))-('_Dates'!W680)+1)/7)*LEN(SUBSTITUTE(W680,"O",""))+LEN(SUBSTITUTE(MID(W680&amp;W680,WEEKDAY(('_Dates'!W680),2),MOD(((MIN('_Dates'!X680,Settings!$B$9))-('_Dates'!W680)+1),7)),"O",""))-COUNTIFS(INDEX(AllClosureRows,C680,0),"&gt;="&amp;('_Dates'!W680),INDEX(AllClosureRows,C680,0),"&lt;="&amp;(MIN('_Dates'!X680,Settings!$B$9))))+IF((MIN('_Dates'!Z680,Settings!$B$9))&lt;('_Dates'!Y680),0,INT(((MIN('_Dates'!Z680,Settings!$B$9))-('_Dates'!Y680)+1)/7)*LEN(SUBSTITUTE(W680,"O",""))+LEN(SUBSTITUTE(MID(W680&amp;W680,WEEKDAY(('_Dates'!Y680),2),MOD(((MIN('_Dates'!Z680,Settings!$B$9))-('_Dates'!Y680)+1),7)),"O",""))-COUNTIFS(INDEX(AllClosureRows,C680,0),"&gt;="&amp;('_Dates'!Y680),INDEX(AllClosureRows,C680,0),"&lt;="&amp;(MIN('_Dates'!Z680,Settings!$B$9))))))</ns0:f>
        <ns0:v>0</ns0:v>
      </ns0:c>
      <ns0:c r="I680" s="0">
        <ns0:f>MAX(0,G680-H680)</ns0:f>
        <ns0:v>0</ns0:v>
      </ns0:c>
      <ns0:c r="J680" s="0">
        <ns0:f>IF(OR(A680=0,F680&lt;&gt;"OK",Bookings!G680="Cancelled",$B$6&gt;0),0,IF('_Dates'!AC680=1,MAX(0,COUNTIFS(rngEngine_B,B680,rngAMStart,"&lt;="&amp;'_Dates'!X680,rngAMEnd,"&gt;="&amp;'_Dates'!W680,rngAMActive,1,rngEngine_F,"OK",rngBookings_F,"&lt;&gt;Cancelled")-1),0)+IF('_Dates'!AD680=1,MAX(0,COUNTIFS(rngEngine_B,B680,rngPMStart,"&lt;="&amp;'_Dates'!Z680,rngPMEnd,"&gt;="&amp;'_Dates'!Y680,rngPMActive,1,rngEngine_F,"OK",rngBookings_F,"&lt;&gt;Cancelled")-1),0))</ns0:f>
        <ns0:v>0</ns0:v>
      </ns0:c>
      <ns0:c r="K680" s="0" t="str">
        <ns0:f>IF(A680=0,"",IF(F680&lt;&gt;"OK",F680,IF(J680&gt;0,"CHECK overlapping entry",IF(AND($B$6=0,G680&lt;=0,Bookings!G680&lt;&gt;"Cancelled"),"CHECK no working days",IF(Bookings!G680="Cancelled","Cancelled","OK")))))</ns0:f>
        <ns0:v/>
      </ns0:c>
      <ns0:c r="L680" s="0">
        <ns0:f>IF(LEFT(K680,5)="CHECK",1,0)</ns0:f>
        <ns0:v>0</ns0:v>
      </ns0:c>
      <ns0:c r="M680" s="0">
        <ns0:f>IF(AND(L680=1,OR(C680=0,IFERROR(INDEX($X$11:$X$60,C680),0)=0)),1,0)</ns0:f>
        <ns0:v>0</ns0:v>
      </ns0:c>
      <ns0:c r="N680" s="0">
        <ns0:f>IF(OR(A680=0,L680&gt;0,$B$6&gt;0,Bookings!G680="Cancelled"),0,G680)</ns0:f>
        <ns0:v>0</ns0:v>
      </ns0:c>
      <ns0:c r="O680" s="0">
        <ns0:f>IF(AND(Bookings!G680="Approved",E680="Yes"),N680,0)</ns0:f>
        <ns0:v>0</ns0:v>
      </ns0:c>
      <ns0:c r="P680" s="0">
        <ns0:f>IF(AND(Bookings!G680="Approved",E680="Yes",L680=0,$B$6=0),H680,0)</ns0:f>
        <ns0:v>0</ns0:v>
      </ns0:c>
      <ns0:c r="Q680" s="0">
        <ns0:f>IF(AND(Bookings!G680="Approved",E680="Yes",L680=0,$B$6=0),I680,0)</ns0:f>
        <ns0:v>0</ns0:v>
      </ns0:c>
      <ns0:c r="R680" s="0">
        <ns0:f>IF(AND(Bookings!G680="Pending",E680="Yes"),N680,0)</ns0:f>
        <ns0:v>0</ns0:v>
      </ns0:c>
      <ns0:c r="S680" s="0">
        <ns0:f>IF(AND(Bookings!G680="Approved",E680="No"),N680,0)</ns0:f>
        <ns0:v>0</ns0:v>
      </ns0:c>
      <ns0:c r="T680" s="0">
        <ns0:f>IFERROR(MATCH(D680,Settings!$G$7:$G$11,0),0)</ns0:f>
        <ns0:v>0</ns0:v>
      </ns0:c>
      <ns0:c r="U680" s="0">
        <ns0:f>IF(N680&gt;0,T680+IF(Bookings!G680="Pending",10,0),0)</ns0:f>
        <ns0:v>0</ns0:v>
      </ns0:c>
      <ns0:c r="V680" s="0">
        <ns0:f>U680</ns0:f>
        <ns0:v>0</ns0:v>
      </ns0:c>
      <ns0:c r="W680" s="0" t="str">
        <ns0:f>IF(C680=0,"",INDEX($AP$11:$AP$60,C680))</ns0:f>
        <ns0:v/>
      </ns0:c>
    </ns0:row>
    <ns0:row r="681">
      <ns0:c r="A681" s="0">
        <ns0:f>IF(COUNTA(Bookings!A681:G681,Bookings!I681)=0,0,1)</ns0:f>
        <ns0:v>0</ns0:v>
      </ns0:c>
      <ns0:c r="B681" s="0" t="str">
        <ns0:f>IFERROR(TRIM(MID(Bookings!A681,FIND(" · ",Bookings!A681)+3,99)),"")</ns0:f>
        <ns0:v/>
      </ns0:c>
      <ns0:c r="C681" s="0">
        <ns0:f>IF(OR(B681="",LEN(B681)&gt;24,ISNUMBER(FIND(" ",B681)),ISNUMBER(FIND("*",B681)),ISNUMBER(FIND("?",B681)),ISNUMBER(FIND("~",B681))),0,IFERROR(MATCH(B681,Team!$A$11:$A$60,0),0))</ns0:f>
        <ns0:v>0</ns0:v>
      </ns0:c>
      <ns0:c r="D681" s="0" t="str">
        <ns0:f>IFERROR(IF(MID(Bookings!F681,LEN(Bookings!F681)-3,3)=" · ",RIGHT(Bookings!F681,1),""),"")</ns0:f>
        <ns0:v/>
      </ns0:c>
      <ns0:c r="E681" s="0" t="str">
        <ns0:f>IFERROR(INDEX(Settings!$H$7:$H$11,MATCH(D681,Settings!$G$7:$G$11,0)),"")</ns0:f>
        <ns0:v/>
      </ns0:c>
      <ns0:c r="F681" s="0" t="str">
        <ns0:f>IF(A681=0,"",IFERROR(IF(OR(B681="",C681=0),"CHECK employee selection",IF(INDEX(Team!$O$11:$O$60,C681)&lt;&gt;"OK","CHECK employee setup",IF(OR('_Dates'!J681=0,'_Dates'!T681=0),"CHECK date: use DD.MM.YYYY",IF('_Dates'!T681&lt;'_Dates'!J681,"CHECK end before start",IF(AND($B$6=0,OR('_Dates'!J681&lt;Settings!$B$7,'_Dates'!T681&gt;Settings!$B$8)),"CHECK split across leave years",IF(OR(NOT(OR('_Dates'!U681="Full day",'_Dates'!U681="AM",'_Dates'!U681="PM")),NOT(OR('_Dates'!V681="Full day",'_Dates'!V681="AM",'_Dates'!V681="PM"))),"CHECK Full day / AM / PM",IF(AND('_Dates'!J681='_Dates'!T681,'_Dates'!U681&lt;&gt;"Full day",'_Dates'!V681&lt;&gt;"Full day",'_Dates'!U681&lt;&gt;'_Dates'!V681),"CHECK same-day portions disagree",IF(AND($B$6=0,OR(AND('_Dates'!U681&lt;&gt;"Full day",'_Dates'!AA681=0),AND('_Dates'!V681&lt;&gt;"Full day",'_Dates'!AB681=0))),"CHECK half-day on non-working date",IF(COUNTIF(Settings!$G$7:$G$11,D681)&lt;&gt;1,"CHECK leave type",IF(AND(Bookings!G681&lt;&gt;"Approved",Bookings!G681&lt;&gt;"Pending",Bookings!G681&lt;&gt;"Cancelled"),"CHECK status","OK")))))))))),"CHECK input"))</ns0:f>
        <ns0:v/>
      </ns0:c>
      <ns0:c r="G681" s="0">
        <ns0:f>IF(OR(F681&lt;&gt;"OK",$B$6&gt;0),0,0.5*(IF(('_Dates'!X681)&lt;('_Dates'!W681),0,INT((('_Dates'!X681)-('_Dates'!W681)+1)/7)*LEN(SUBSTITUTE(W681,"O",""))+LEN(SUBSTITUTE(MID(W681&amp;W681,WEEKDAY(('_Dates'!W681),2),MOD((('_Dates'!X681)-('_Dates'!W681)+1),7)),"O",""))-COUNTIFS(INDEX(AllClosureRows,C681,0),"&gt;="&amp;('_Dates'!W681),INDEX(AllClosureRows,C681,0),"&lt;="&amp;('_Dates'!X681)))+IF(('_Dates'!Z681)&lt;('_Dates'!Y681),0,INT((('_Dates'!Z681)-('_Dates'!Y681)+1)/7)*LEN(SUBSTITUTE(W681,"O",""))+LEN(SUBSTITUTE(MID(W681&amp;W681,WEEKDAY(('_Dates'!Y681),2),MOD((('_Dates'!Z681)-('_Dates'!Y681)+1),7)),"O",""))-COUNTIFS(INDEX(AllClosureRows,C681,0),"&gt;="&amp;('_Dates'!Y681),INDEX(AllClosureRows,C681,0),"&lt;="&amp;('_Dates'!Z681)))))</ns0:f>
        <ns0:v>0</ns0:v>
      </ns0:c>
      <ns0:c r="H681" s="0">
        <ns0:f>IF(OR(F681&lt;&gt;"OK",$B$6&gt;0),0,0.5*(IF((MIN('_Dates'!X681,Settings!$B$9))&lt;('_Dates'!W681),0,INT(((MIN('_Dates'!X681,Settings!$B$9))-('_Dates'!W681)+1)/7)*LEN(SUBSTITUTE(W681,"O",""))+LEN(SUBSTITUTE(MID(W681&amp;W681,WEEKDAY(('_Dates'!W681),2),MOD(((MIN('_Dates'!X681,Settings!$B$9))-('_Dates'!W681)+1),7)),"O",""))-COUNTIFS(INDEX(AllClosureRows,C681,0),"&gt;="&amp;('_Dates'!W681),INDEX(AllClosureRows,C681,0),"&lt;="&amp;(MIN('_Dates'!X681,Settings!$B$9))))+IF((MIN('_Dates'!Z681,Settings!$B$9))&lt;('_Dates'!Y681),0,INT(((MIN('_Dates'!Z681,Settings!$B$9))-('_Dates'!Y681)+1)/7)*LEN(SUBSTITUTE(W681,"O",""))+LEN(SUBSTITUTE(MID(W681&amp;W681,WEEKDAY(('_Dates'!Y681),2),MOD(((MIN('_Dates'!Z681,Settings!$B$9))-('_Dates'!Y681)+1),7)),"O",""))-COUNTIFS(INDEX(AllClosureRows,C681,0),"&gt;="&amp;('_Dates'!Y681),INDEX(AllClosureRows,C681,0),"&lt;="&amp;(MIN('_Dates'!Z681,Settings!$B$9))))))</ns0:f>
        <ns0:v>0</ns0:v>
      </ns0:c>
      <ns0:c r="I681" s="0">
        <ns0:f>MAX(0,G681-H681)</ns0:f>
        <ns0:v>0</ns0:v>
      </ns0:c>
      <ns0:c r="J681" s="0">
        <ns0:f>IF(OR(A681=0,F681&lt;&gt;"OK",Bookings!G681="Cancelled",$B$6&gt;0),0,IF('_Dates'!AC681=1,MAX(0,COUNTIFS(rngEngine_B,B681,rngAMStart,"&lt;="&amp;'_Dates'!X681,rngAMEnd,"&gt;="&amp;'_Dates'!W681,rngAMActive,1,rngEngine_F,"OK",rngBookings_F,"&lt;&gt;Cancelled")-1),0)+IF('_Dates'!AD681=1,MAX(0,COUNTIFS(rngEngine_B,B681,rngPMStart,"&lt;="&amp;'_Dates'!Z681,rngPMEnd,"&gt;="&amp;'_Dates'!Y681,rngPMActive,1,rngEngine_F,"OK",rngBookings_F,"&lt;&gt;Cancelled")-1),0))</ns0:f>
        <ns0:v>0</ns0:v>
      </ns0:c>
      <ns0:c r="K681" s="0" t="str">
        <ns0:f>IF(A681=0,"",IF(F681&lt;&gt;"OK",F681,IF(J681&gt;0,"CHECK overlapping entry",IF(AND($B$6=0,G681&lt;=0,Bookings!G681&lt;&gt;"Cancelled"),"CHECK no working days",IF(Bookings!G681="Cancelled","Cancelled","OK")))))</ns0:f>
        <ns0:v/>
      </ns0:c>
      <ns0:c r="L681" s="0">
        <ns0:f>IF(LEFT(K681,5)="CHECK",1,0)</ns0:f>
        <ns0:v>0</ns0:v>
      </ns0:c>
      <ns0:c r="M681" s="0">
        <ns0:f>IF(AND(L681=1,OR(C681=0,IFERROR(INDEX($X$11:$X$60,C681),0)=0)),1,0)</ns0:f>
        <ns0:v>0</ns0:v>
      </ns0:c>
      <ns0:c r="N681" s="0">
        <ns0:f>IF(OR(A681=0,L681&gt;0,$B$6&gt;0,Bookings!G681="Cancelled"),0,G681)</ns0:f>
        <ns0:v>0</ns0:v>
      </ns0:c>
      <ns0:c r="O681" s="0">
        <ns0:f>IF(AND(Bookings!G681="Approved",E681="Yes"),N681,0)</ns0:f>
        <ns0:v>0</ns0:v>
      </ns0:c>
      <ns0:c r="P681" s="0">
        <ns0:f>IF(AND(Bookings!G681="Approved",E681="Yes",L681=0,$B$6=0),H681,0)</ns0:f>
        <ns0:v>0</ns0:v>
      </ns0:c>
      <ns0:c r="Q681" s="0">
        <ns0:f>IF(AND(Bookings!G681="Approved",E681="Yes",L681=0,$B$6=0),I681,0)</ns0:f>
        <ns0:v>0</ns0:v>
      </ns0:c>
      <ns0:c r="R681" s="0">
        <ns0:f>IF(AND(Bookings!G681="Pending",E681="Yes"),N681,0)</ns0:f>
        <ns0:v>0</ns0:v>
      </ns0:c>
      <ns0:c r="S681" s="0">
        <ns0:f>IF(AND(Bookings!G681="Approved",E681="No"),N681,0)</ns0:f>
        <ns0:v>0</ns0:v>
      </ns0:c>
      <ns0:c r="T681" s="0">
        <ns0:f>IFERROR(MATCH(D681,Settings!$G$7:$G$11,0),0)</ns0:f>
        <ns0:v>0</ns0:v>
      </ns0:c>
      <ns0:c r="U681" s="0">
        <ns0:f>IF(N681&gt;0,T681+IF(Bookings!G681="Pending",10,0),0)</ns0:f>
        <ns0:v>0</ns0:v>
      </ns0:c>
      <ns0:c r="V681" s="0">
        <ns0:f>U681</ns0:f>
        <ns0:v>0</ns0:v>
      </ns0:c>
      <ns0:c r="W681" s="0" t="str">
        <ns0:f>IF(C681=0,"",INDEX($AP$11:$AP$60,C681))</ns0:f>
        <ns0:v/>
      </ns0:c>
    </ns0:row>
    <ns0:row r="682">
      <ns0:c r="A682" s="0">
        <ns0:f>IF(COUNTA(Bookings!A682:G682,Bookings!I682)=0,0,1)</ns0:f>
        <ns0:v>0</ns0:v>
      </ns0:c>
      <ns0:c r="B682" s="0" t="str">
        <ns0:f>IFERROR(TRIM(MID(Bookings!A682,FIND(" · ",Bookings!A682)+3,99)),"")</ns0:f>
        <ns0:v/>
      </ns0:c>
      <ns0:c r="C682" s="0">
        <ns0:f>IF(OR(B682="",LEN(B682)&gt;24,ISNUMBER(FIND(" ",B682)),ISNUMBER(FIND("*",B682)),ISNUMBER(FIND("?",B682)),ISNUMBER(FIND("~",B682))),0,IFERROR(MATCH(B682,Team!$A$11:$A$60,0),0))</ns0:f>
        <ns0:v>0</ns0:v>
      </ns0:c>
      <ns0:c r="D682" s="0" t="str">
        <ns0:f>IFERROR(IF(MID(Bookings!F682,LEN(Bookings!F682)-3,3)=" · ",RIGHT(Bookings!F682,1),""),"")</ns0:f>
        <ns0:v/>
      </ns0:c>
      <ns0:c r="E682" s="0" t="str">
        <ns0:f>IFERROR(INDEX(Settings!$H$7:$H$11,MATCH(D682,Settings!$G$7:$G$11,0)),"")</ns0:f>
        <ns0:v/>
      </ns0:c>
      <ns0:c r="F682" s="0" t="str">
        <ns0:f>IF(A682=0,"",IFERROR(IF(OR(B682="",C682=0),"CHECK employee selection",IF(INDEX(Team!$O$11:$O$60,C682)&lt;&gt;"OK","CHECK employee setup",IF(OR('_Dates'!J682=0,'_Dates'!T682=0),"CHECK date: use DD.MM.YYYY",IF('_Dates'!T682&lt;'_Dates'!J682,"CHECK end before start",IF(AND($B$6=0,OR('_Dates'!J682&lt;Settings!$B$7,'_Dates'!T682&gt;Settings!$B$8)),"CHECK split across leave years",IF(OR(NOT(OR('_Dates'!U682="Full day",'_Dates'!U682="AM",'_Dates'!U682="PM")),NOT(OR('_Dates'!V682="Full day",'_Dates'!V682="AM",'_Dates'!V682="PM"))),"CHECK Full day / AM / PM",IF(AND('_Dates'!J682='_Dates'!T682,'_Dates'!U682&lt;&gt;"Full day",'_Dates'!V682&lt;&gt;"Full day",'_Dates'!U682&lt;&gt;'_Dates'!V682),"CHECK same-day portions disagree",IF(AND($B$6=0,OR(AND('_Dates'!U682&lt;&gt;"Full day",'_Dates'!AA682=0),AND('_Dates'!V682&lt;&gt;"Full day",'_Dates'!AB682=0))),"CHECK half-day on non-working date",IF(COUNTIF(Settings!$G$7:$G$11,D682)&lt;&gt;1,"CHECK leave type",IF(AND(Bookings!G682&lt;&gt;"Approved",Bookings!G682&lt;&gt;"Pending",Bookings!G682&lt;&gt;"Cancelled"),"CHECK status","OK")))))))))),"CHECK input"))</ns0:f>
        <ns0:v/>
      </ns0:c>
      <ns0:c r="G682" s="0">
        <ns0:f>IF(OR(F682&lt;&gt;"OK",$B$6&gt;0),0,0.5*(IF(('_Dates'!X682)&lt;('_Dates'!W682),0,INT((('_Dates'!X682)-('_Dates'!W682)+1)/7)*LEN(SUBSTITUTE(W682,"O",""))+LEN(SUBSTITUTE(MID(W682&amp;W682,WEEKDAY(('_Dates'!W682),2),MOD((('_Dates'!X682)-('_Dates'!W682)+1),7)),"O",""))-COUNTIFS(INDEX(AllClosureRows,C682,0),"&gt;="&amp;('_Dates'!W682),INDEX(AllClosureRows,C682,0),"&lt;="&amp;('_Dates'!X682)))+IF(('_Dates'!Z682)&lt;('_Dates'!Y682),0,INT((('_Dates'!Z682)-('_Dates'!Y682)+1)/7)*LEN(SUBSTITUTE(W682,"O",""))+LEN(SUBSTITUTE(MID(W682&amp;W682,WEEKDAY(('_Dates'!Y682),2),MOD((('_Dates'!Z682)-('_Dates'!Y682)+1),7)),"O",""))-COUNTIFS(INDEX(AllClosureRows,C682,0),"&gt;="&amp;('_Dates'!Y682),INDEX(AllClosureRows,C682,0),"&lt;="&amp;('_Dates'!Z682)))))</ns0:f>
        <ns0:v>0</ns0:v>
      </ns0:c>
      <ns0:c r="H682" s="0">
        <ns0:f>IF(OR(F682&lt;&gt;"OK",$B$6&gt;0),0,0.5*(IF((MIN('_Dates'!X682,Settings!$B$9))&lt;('_Dates'!W682),0,INT(((MIN('_Dates'!X682,Settings!$B$9))-('_Dates'!W682)+1)/7)*LEN(SUBSTITUTE(W682,"O",""))+LEN(SUBSTITUTE(MID(W682&amp;W682,WEEKDAY(('_Dates'!W682),2),MOD(((MIN('_Dates'!X682,Settings!$B$9))-('_Dates'!W682)+1),7)),"O",""))-COUNTIFS(INDEX(AllClosureRows,C682,0),"&gt;="&amp;('_Dates'!W682),INDEX(AllClosureRows,C682,0),"&lt;="&amp;(MIN('_Dates'!X682,Settings!$B$9))))+IF((MIN('_Dates'!Z682,Settings!$B$9))&lt;('_Dates'!Y682),0,INT(((MIN('_Dates'!Z682,Settings!$B$9))-('_Dates'!Y682)+1)/7)*LEN(SUBSTITUTE(W682,"O",""))+LEN(SUBSTITUTE(MID(W682&amp;W682,WEEKDAY(('_Dates'!Y682),2),MOD(((MIN('_Dates'!Z682,Settings!$B$9))-('_Dates'!Y682)+1),7)),"O",""))-COUNTIFS(INDEX(AllClosureRows,C682,0),"&gt;="&amp;('_Dates'!Y682),INDEX(AllClosureRows,C682,0),"&lt;="&amp;(MIN('_Dates'!Z682,Settings!$B$9))))))</ns0:f>
        <ns0:v>0</ns0:v>
      </ns0:c>
      <ns0:c r="I682" s="0">
        <ns0:f>MAX(0,G682-H682)</ns0:f>
        <ns0:v>0</ns0:v>
      </ns0:c>
      <ns0:c r="J682" s="0">
        <ns0:f>IF(OR(A682=0,F682&lt;&gt;"OK",Bookings!G682="Cancelled",$B$6&gt;0),0,IF('_Dates'!AC682=1,MAX(0,COUNTIFS(rngEngine_B,B682,rngAMStart,"&lt;="&amp;'_Dates'!X682,rngAMEnd,"&gt;="&amp;'_Dates'!W682,rngAMActive,1,rngEngine_F,"OK",rngBookings_F,"&lt;&gt;Cancelled")-1),0)+IF('_Dates'!AD682=1,MAX(0,COUNTIFS(rngEngine_B,B682,rngPMStart,"&lt;="&amp;'_Dates'!Z682,rngPMEnd,"&gt;="&amp;'_Dates'!Y682,rngPMActive,1,rngEngine_F,"OK",rngBookings_F,"&lt;&gt;Cancelled")-1),0))</ns0:f>
        <ns0:v>0</ns0:v>
      </ns0:c>
      <ns0:c r="K682" s="0" t="str">
        <ns0:f>IF(A682=0,"",IF(F682&lt;&gt;"OK",F682,IF(J682&gt;0,"CHECK overlapping entry",IF(AND($B$6=0,G682&lt;=0,Bookings!G682&lt;&gt;"Cancelled"),"CHECK no working days",IF(Bookings!G682="Cancelled","Cancelled","OK")))))</ns0:f>
        <ns0:v/>
      </ns0:c>
      <ns0:c r="L682" s="0">
        <ns0:f>IF(LEFT(K682,5)="CHECK",1,0)</ns0:f>
        <ns0:v>0</ns0:v>
      </ns0:c>
      <ns0:c r="M682" s="0">
        <ns0:f>IF(AND(L682=1,OR(C682=0,IFERROR(INDEX($X$11:$X$60,C682),0)=0)),1,0)</ns0:f>
        <ns0:v>0</ns0:v>
      </ns0:c>
      <ns0:c r="N682" s="0">
        <ns0:f>IF(OR(A682=0,L682&gt;0,$B$6&gt;0,Bookings!G682="Cancelled"),0,G682)</ns0:f>
        <ns0:v>0</ns0:v>
      </ns0:c>
      <ns0:c r="O682" s="0">
        <ns0:f>IF(AND(Bookings!G682="Approved",E682="Yes"),N682,0)</ns0:f>
        <ns0:v>0</ns0:v>
      </ns0:c>
      <ns0:c r="P682" s="0">
        <ns0:f>IF(AND(Bookings!G682="Approved",E682="Yes",L682=0,$B$6=0),H682,0)</ns0:f>
        <ns0:v>0</ns0:v>
      </ns0:c>
      <ns0:c r="Q682" s="0">
        <ns0:f>IF(AND(Bookings!G682="Approved",E682="Yes",L682=0,$B$6=0),I682,0)</ns0:f>
        <ns0:v>0</ns0:v>
      </ns0:c>
      <ns0:c r="R682" s="0">
        <ns0:f>IF(AND(Bookings!G682="Pending",E682="Yes"),N682,0)</ns0:f>
        <ns0:v>0</ns0:v>
      </ns0:c>
      <ns0:c r="S682" s="0">
        <ns0:f>IF(AND(Bookings!G682="Approved",E682="No"),N682,0)</ns0:f>
        <ns0:v>0</ns0:v>
      </ns0:c>
      <ns0:c r="T682" s="0">
        <ns0:f>IFERROR(MATCH(D682,Settings!$G$7:$G$11,0),0)</ns0:f>
        <ns0:v>0</ns0:v>
      </ns0:c>
      <ns0:c r="U682" s="0">
        <ns0:f>IF(N682&gt;0,T682+IF(Bookings!G682="Pending",10,0),0)</ns0:f>
        <ns0:v>0</ns0:v>
      </ns0:c>
      <ns0:c r="V682" s="0">
        <ns0:f>U682</ns0:f>
        <ns0:v>0</ns0:v>
      </ns0:c>
      <ns0:c r="W682" s="0" t="str">
        <ns0:f>IF(C682=0,"",INDEX($AP$11:$AP$60,C682))</ns0:f>
        <ns0:v/>
      </ns0:c>
    </ns0:row>
    <ns0:row r="683">
      <ns0:c r="A683" s="0">
        <ns0:f>IF(COUNTA(Bookings!A683:G683,Bookings!I683)=0,0,1)</ns0:f>
        <ns0:v>0</ns0:v>
      </ns0:c>
      <ns0:c r="B683" s="0" t="str">
        <ns0:f>IFERROR(TRIM(MID(Bookings!A683,FIND(" · ",Bookings!A683)+3,99)),"")</ns0:f>
        <ns0:v/>
      </ns0:c>
      <ns0:c r="C683" s="0">
        <ns0:f>IF(OR(B683="",LEN(B683)&gt;24,ISNUMBER(FIND(" ",B683)),ISNUMBER(FIND("*",B683)),ISNUMBER(FIND("?",B683)),ISNUMBER(FIND("~",B683))),0,IFERROR(MATCH(B683,Team!$A$11:$A$60,0),0))</ns0:f>
        <ns0:v>0</ns0:v>
      </ns0:c>
      <ns0:c r="D683" s="0" t="str">
        <ns0:f>IFERROR(IF(MID(Bookings!F683,LEN(Bookings!F683)-3,3)=" · ",RIGHT(Bookings!F683,1),""),"")</ns0:f>
        <ns0:v/>
      </ns0:c>
      <ns0:c r="E683" s="0" t="str">
        <ns0:f>IFERROR(INDEX(Settings!$H$7:$H$11,MATCH(D683,Settings!$G$7:$G$11,0)),"")</ns0:f>
        <ns0:v/>
      </ns0:c>
      <ns0:c r="F683" s="0" t="str">
        <ns0:f>IF(A683=0,"",IFERROR(IF(OR(B683="",C683=0),"CHECK employee selection",IF(INDEX(Team!$O$11:$O$60,C683)&lt;&gt;"OK","CHECK employee setup",IF(OR('_Dates'!J683=0,'_Dates'!T683=0),"CHECK date: use DD.MM.YYYY",IF('_Dates'!T683&lt;'_Dates'!J683,"CHECK end before start",IF(AND($B$6=0,OR('_Dates'!J683&lt;Settings!$B$7,'_Dates'!T683&gt;Settings!$B$8)),"CHECK split across leave years",IF(OR(NOT(OR('_Dates'!U683="Full day",'_Dates'!U683="AM",'_Dates'!U683="PM")),NOT(OR('_Dates'!V683="Full day",'_Dates'!V683="AM",'_Dates'!V683="PM"))),"CHECK Full day / AM / PM",IF(AND('_Dates'!J683='_Dates'!T683,'_Dates'!U683&lt;&gt;"Full day",'_Dates'!V683&lt;&gt;"Full day",'_Dates'!U683&lt;&gt;'_Dates'!V683),"CHECK same-day portions disagree",IF(AND($B$6=0,OR(AND('_Dates'!U683&lt;&gt;"Full day",'_Dates'!AA683=0),AND('_Dates'!V683&lt;&gt;"Full day",'_Dates'!AB683=0))),"CHECK half-day on non-working date",IF(COUNTIF(Settings!$G$7:$G$11,D683)&lt;&gt;1,"CHECK leave type",IF(AND(Bookings!G683&lt;&gt;"Approved",Bookings!G683&lt;&gt;"Pending",Bookings!G683&lt;&gt;"Cancelled"),"CHECK status","OK")))))))))),"CHECK input"))</ns0:f>
        <ns0:v/>
      </ns0:c>
      <ns0:c r="G683" s="0">
        <ns0:f>IF(OR(F683&lt;&gt;"OK",$B$6&gt;0),0,0.5*(IF(('_Dates'!X683)&lt;('_Dates'!W683),0,INT((('_Dates'!X683)-('_Dates'!W683)+1)/7)*LEN(SUBSTITUTE(W683,"O",""))+LEN(SUBSTITUTE(MID(W683&amp;W683,WEEKDAY(('_Dates'!W683),2),MOD((('_Dates'!X683)-('_Dates'!W683)+1),7)),"O",""))-COUNTIFS(INDEX(AllClosureRows,C683,0),"&gt;="&amp;('_Dates'!W683),INDEX(AllClosureRows,C683,0),"&lt;="&amp;('_Dates'!X683)))+IF(('_Dates'!Z683)&lt;('_Dates'!Y683),0,INT((('_Dates'!Z683)-('_Dates'!Y683)+1)/7)*LEN(SUBSTITUTE(W683,"O",""))+LEN(SUBSTITUTE(MID(W683&amp;W683,WEEKDAY(('_Dates'!Y683),2),MOD((('_Dates'!Z683)-('_Dates'!Y683)+1),7)),"O",""))-COUNTIFS(INDEX(AllClosureRows,C683,0),"&gt;="&amp;('_Dates'!Y683),INDEX(AllClosureRows,C683,0),"&lt;="&amp;('_Dates'!Z683)))))</ns0:f>
        <ns0:v>0</ns0:v>
      </ns0:c>
      <ns0:c r="H683" s="0">
        <ns0:f>IF(OR(F683&lt;&gt;"OK",$B$6&gt;0),0,0.5*(IF((MIN('_Dates'!X683,Settings!$B$9))&lt;('_Dates'!W683),0,INT(((MIN('_Dates'!X683,Settings!$B$9))-('_Dates'!W683)+1)/7)*LEN(SUBSTITUTE(W683,"O",""))+LEN(SUBSTITUTE(MID(W683&amp;W683,WEEKDAY(('_Dates'!W683),2),MOD(((MIN('_Dates'!X683,Settings!$B$9))-('_Dates'!W683)+1),7)),"O",""))-COUNTIFS(INDEX(AllClosureRows,C683,0),"&gt;="&amp;('_Dates'!W683),INDEX(AllClosureRows,C683,0),"&lt;="&amp;(MIN('_Dates'!X683,Settings!$B$9))))+IF((MIN('_Dates'!Z683,Settings!$B$9))&lt;('_Dates'!Y683),0,INT(((MIN('_Dates'!Z683,Settings!$B$9))-('_Dates'!Y683)+1)/7)*LEN(SUBSTITUTE(W683,"O",""))+LEN(SUBSTITUTE(MID(W683&amp;W683,WEEKDAY(('_Dates'!Y683),2),MOD(((MIN('_Dates'!Z683,Settings!$B$9))-('_Dates'!Y683)+1),7)),"O",""))-COUNTIFS(INDEX(AllClosureRows,C683,0),"&gt;="&amp;('_Dates'!Y683),INDEX(AllClosureRows,C683,0),"&lt;="&amp;(MIN('_Dates'!Z683,Settings!$B$9))))))</ns0:f>
        <ns0:v>0</ns0:v>
      </ns0:c>
      <ns0:c r="I683" s="0">
        <ns0:f>MAX(0,G683-H683)</ns0:f>
        <ns0:v>0</ns0:v>
      </ns0:c>
      <ns0:c r="J683" s="0">
        <ns0:f>IF(OR(A683=0,F683&lt;&gt;"OK",Bookings!G683="Cancelled",$B$6&gt;0),0,IF('_Dates'!AC683=1,MAX(0,COUNTIFS(rngEngine_B,B683,rngAMStart,"&lt;="&amp;'_Dates'!X683,rngAMEnd,"&gt;="&amp;'_Dates'!W683,rngAMActive,1,rngEngine_F,"OK",rngBookings_F,"&lt;&gt;Cancelled")-1),0)+IF('_Dates'!AD683=1,MAX(0,COUNTIFS(rngEngine_B,B683,rngPMStart,"&lt;="&amp;'_Dates'!Z683,rngPMEnd,"&gt;="&amp;'_Dates'!Y683,rngPMActive,1,rngEngine_F,"OK",rngBookings_F,"&lt;&gt;Cancelled")-1),0))</ns0:f>
        <ns0:v>0</ns0:v>
      </ns0:c>
      <ns0:c r="K683" s="0" t="str">
        <ns0:f>IF(A683=0,"",IF(F683&lt;&gt;"OK",F683,IF(J683&gt;0,"CHECK overlapping entry",IF(AND($B$6=0,G683&lt;=0,Bookings!G683&lt;&gt;"Cancelled"),"CHECK no working days",IF(Bookings!G683="Cancelled","Cancelled","OK")))))</ns0:f>
        <ns0:v/>
      </ns0:c>
      <ns0:c r="L683" s="0">
        <ns0:f>IF(LEFT(K683,5)="CHECK",1,0)</ns0:f>
        <ns0:v>0</ns0:v>
      </ns0:c>
      <ns0:c r="M683" s="0">
        <ns0:f>IF(AND(L683=1,OR(C683=0,IFERROR(INDEX($X$11:$X$60,C683),0)=0)),1,0)</ns0:f>
        <ns0:v>0</ns0:v>
      </ns0:c>
      <ns0:c r="N683" s="0">
        <ns0:f>IF(OR(A683=0,L683&gt;0,$B$6&gt;0,Bookings!G683="Cancelled"),0,G683)</ns0:f>
        <ns0:v>0</ns0:v>
      </ns0:c>
      <ns0:c r="O683" s="0">
        <ns0:f>IF(AND(Bookings!G683="Approved",E683="Yes"),N683,0)</ns0:f>
        <ns0:v>0</ns0:v>
      </ns0:c>
      <ns0:c r="P683" s="0">
        <ns0:f>IF(AND(Bookings!G683="Approved",E683="Yes",L683=0,$B$6=0),H683,0)</ns0:f>
        <ns0:v>0</ns0:v>
      </ns0:c>
      <ns0:c r="Q683" s="0">
        <ns0:f>IF(AND(Bookings!G683="Approved",E683="Yes",L683=0,$B$6=0),I683,0)</ns0:f>
        <ns0:v>0</ns0:v>
      </ns0:c>
      <ns0:c r="R683" s="0">
        <ns0:f>IF(AND(Bookings!G683="Pending",E683="Yes"),N683,0)</ns0:f>
        <ns0:v>0</ns0:v>
      </ns0:c>
      <ns0:c r="S683" s="0">
        <ns0:f>IF(AND(Bookings!G683="Approved",E683="No"),N683,0)</ns0:f>
        <ns0:v>0</ns0:v>
      </ns0:c>
      <ns0:c r="T683" s="0">
        <ns0:f>IFERROR(MATCH(D683,Settings!$G$7:$G$11,0),0)</ns0:f>
        <ns0:v>0</ns0:v>
      </ns0:c>
      <ns0:c r="U683" s="0">
        <ns0:f>IF(N683&gt;0,T683+IF(Bookings!G683="Pending",10,0),0)</ns0:f>
        <ns0:v>0</ns0:v>
      </ns0:c>
      <ns0:c r="V683" s="0">
        <ns0:f>U683</ns0:f>
        <ns0:v>0</ns0:v>
      </ns0:c>
      <ns0:c r="W683" s="0" t="str">
        <ns0:f>IF(C683=0,"",INDEX($AP$11:$AP$60,C683))</ns0:f>
        <ns0:v/>
      </ns0:c>
    </ns0:row>
    <ns0:row r="684">
      <ns0:c r="A684" s="0">
        <ns0:f>IF(COUNTA(Bookings!A684:G684,Bookings!I684)=0,0,1)</ns0:f>
        <ns0:v>0</ns0:v>
      </ns0:c>
      <ns0:c r="B684" s="0" t="str">
        <ns0:f>IFERROR(TRIM(MID(Bookings!A684,FIND(" · ",Bookings!A684)+3,99)),"")</ns0:f>
        <ns0:v/>
      </ns0:c>
      <ns0:c r="C684" s="0">
        <ns0:f>IF(OR(B684="",LEN(B684)&gt;24,ISNUMBER(FIND(" ",B684)),ISNUMBER(FIND("*",B684)),ISNUMBER(FIND("?",B684)),ISNUMBER(FIND("~",B684))),0,IFERROR(MATCH(B684,Team!$A$11:$A$60,0),0))</ns0:f>
        <ns0:v>0</ns0:v>
      </ns0:c>
      <ns0:c r="D684" s="0" t="str">
        <ns0:f>IFERROR(IF(MID(Bookings!F684,LEN(Bookings!F684)-3,3)=" · ",RIGHT(Bookings!F684,1),""),"")</ns0:f>
        <ns0:v/>
      </ns0:c>
      <ns0:c r="E684" s="0" t="str">
        <ns0:f>IFERROR(INDEX(Settings!$H$7:$H$11,MATCH(D684,Settings!$G$7:$G$11,0)),"")</ns0:f>
        <ns0:v/>
      </ns0:c>
      <ns0:c r="F684" s="0" t="str">
        <ns0:f>IF(A684=0,"",IFERROR(IF(OR(B684="",C684=0),"CHECK employee selection",IF(INDEX(Team!$O$11:$O$60,C684)&lt;&gt;"OK","CHECK employee setup",IF(OR('_Dates'!J684=0,'_Dates'!T684=0),"CHECK date: use DD.MM.YYYY",IF('_Dates'!T684&lt;'_Dates'!J684,"CHECK end before start",IF(AND($B$6=0,OR('_Dates'!J684&lt;Settings!$B$7,'_Dates'!T684&gt;Settings!$B$8)),"CHECK split across leave years",IF(OR(NOT(OR('_Dates'!U684="Full day",'_Dates'!U684="AM",'_Dates'!U684="PM")),NOT(OR('_Dates'!V684="Full day",'_Dates'!V684="AM",'_Dates'!V684="PM"))),"CHECK Full day / AM / PM",IF(AND('_Dates'!J684='_Dates'!T684,'_Dates'!U684&lt;&gt;"Full day",'_Dates'!V684&lt;&gt;"Full day",'_Dates'!U684&lt;&gt;'_Dates'!V684),"CHECK same-day portions disagree",IF(AND($B$6=0,OR(AND('_Dates'!U684&lt;&gt;"Full day",'_Dates'!AA684=0),AND('_Dates'!V684&lt;&gt;"Full day",'_Dates'!AB684=0))),"CHECK half-day on non-working date",IF(COUNTIF(Settings!$G$7:$G$11,D684)&lt;&gt;1,"CHECK leave type",IF(AND(Bookings!G684&lt;&gt;"Approved",Bookings!G684&lt;&gt;"Pending",Bookings!G684&lt;&gt;"Cancelled"),"CHECK status","OK")))))))))),"CHECK input"))</ns0:f>
        <ns0:v/>
      </ns0:c>
      <ns0:c r="G684" s="0">
        <ns0:f>IF(OR(F684&lt;&gt;"OK",$B$6&gt;0),0,0.5*(IF(('_Dates'!X684)&lt;('_Dates'!W684),0,INT((('_Dates'!X684)-('_Dates'!W684)+1)/7)*LEN(SUBSTITUTE(W684,"O",""))+LEN(SUBSTITUTE(MID(W684&amp;W684,WEEKDAY(('_Dates'!W684),2),MOD((('_Dates'!X684)-('_Dates'!W684)+1),7)),"O",""))-COUNTIFS(INDEX(AllClosureRows,C684,0),"&gt;="&amp;('_Dates'!W684),INDEX(AllClosureRows,C684,0),"&lt;="&amp;('_Dates'!X684)))+IF(('_Dates'!Z684)&lt;('_Dates'!Y684),0,INT((('_Dates'!Z684)-('_Dates'!Y684)+1)/7)*LEN(SUBSTITUTE(W684,"O",""))+LEN(SUBSTITUTE(MID(W684&amp;W684,WEEKDAY(('_Dates'!Y684),2),MOD((('_Dates'!Z684)-('_Dates'!Y684)+1),7)),"O",""))-COUNTIFS(INDEX(AllClosureRows,C684,0),"&gt;="&amp;('_Dates'!Y684),INDEX(AllClosureRows,C684,0),"&lt;="&amp;('_Dates'!Z684)))))</ns0:f>
        <ns0:v>0</ns0:v>
      </ns0:c>
      <ns0:c r="H684" s="0">
        <ns0:f>IF(OR(F684&lt;&gt;"OK",$B$6&gt;0),0,0.5*(IF((MIN('_Dates'!X684,Settings!$B$9))&lt;('_Dates'!W684),0,INT(((MIN('_Dates'!X684,Settings!$B$9))-('_Dates'!W684)+1)/7)*LEN(SUBSTITUTE(W684,"O",""))+LEN(SUBSTITUTE(MID(W684&amp;W684,WEEKDAY(('_Dates'!W684),2),MOD(((MIN('_Dates'!X684,Settings!$B$9))-('_Dates'!W684)+1),7)),"O",""))-COUNTIFS(INDEX(AllClosureRows,C684,0),"&gt;="&amp;('_Dates'!W684),INDEX(AllClosureRows,C684,0),"&lt;="&amp;(MIN('_Dates'!X684,Settings!$B$9))))+IF((MIN('_Dates'!Z684,Settings!$B$9))&lt;('_Dates'!Y684),0,INT(((MIN('_Dates'!Z684,Settings!$B$9))-('_Dates'!Y684)+1)/7)*LEN(SUBSTITUTE(W684,"O",""))+LEN(SUBSTITUTE(MID(W684&amp;W684,WEEKDAY(('_Dates'!Y684),2),MOD(((MIN('_Dates'!Z684,Settings!$B$9))-('_Dates'!Y684)+1),7)),"O",""))-COUNTIFS(INDEX(AllClosureRows,C684,0),"&gt;="&amp;('_Dates'!Y684),INDEX(AllClosureRows,C684,0),"&lt;="&amp;(MIN('_Dates'!Z684,Settings!$B$9))))))</ns0:f>
        <ns0:v>0</ns0:v>
      </ns0:c>
      <ns0:c r="I684" s="0">
        <ns0:f>MAX(0,G684-H684)</ns0:f>
        <ns0:v>0</ns0:v>
      </ns0:c>
      <ns0:c r="J684" s="0">
        <ns0:f>IF(OR(A684=0,F684&lt;&gt;"OK",Bookings!G684="Cancelled",$B$6&gt;0),0,IF('_Dates'!AC684=1,MAX(0,COUNTIFS(rngEngine_B,B684,rngAMStart,"&lt;="&amp;'_Dates'!X684,rngAMEnd,"&gt;="&amp;'_Dates'!W684,rngAMActive,1,rngEngine_F,"OK",rngBookings_F,"&lt;&gt;Cancelled")-1),0)+IF('_Dates'!AD684=1,MAX(0,COUNTIFS(rngEngine_B,B684,rngPMStart,"&lt;="&amp;'_Dates'!Z684,rngPMEnd,"&gt;="&amp;'_Dates'!Y684,rngPMActive,1,rngEngine_F,"OK",rngBookings_F,"&lt;&gt;Cancelled")-1),0))</ns0:f>
        <ns0:v>0</ns0:v>
      </ns0:c>
      <ns0:c r="K684" s="0" t="str">
        <ns0:f>IF(A684=0,"",IF(F684&lt;&gt;"OK",F684,IF(J684&gt;0,"CHECK overlapping entry",IF(AND($B$6=0,G684&lt;=0,Bookings!G684&lt;&gt;"Cancelled"),"CHECK no working days",IF(Bookings!G684="Cancelled","Cancelled","OK")))))</ns0:f>
        <ns0:v/>
      </ns0:c>
      <ns0:c r="L684" s="0">
        <ns0:f>IF(LEFT(K684,5)="CHECK",1,0)</ns0:f>
        <ns0:v>0</ns0:v>
      </ns0:c>
      <ns0:c r="M684" s="0">
        <ns0:f>IF(AND(L684=1,OR(C684=0,IFERROR(INDEX($X$11:$X$60,C684),0)=0)),1,0)</ns0:f>
        <ns0:v>0</ns0:v>
      </ns0:c>
      <ns0:c r="N684" s="0">
        <ns0:f>IF(OR(A684=0,L684&gt;0,$B$6&gt;0,Bookings!G684="Cancelled"),0,G684)</ns0:f>
        <ns0:v>0</ns0:v>
      </ns0:c>
      <ns0:c r="O684" s="0">
        <ns0:f>IF(AND(Bookings!G684="Approved",E684="Yes"),N684,0)</ns0:f>
        <ns0:v>0</ns0:v>
      </ns0:c>
      <ns0:c r="P684" s="0">
        <ns0:f>IF(AND(Bookings!G684="Approved",E684="Yes",L684=0,$B$6=0),H684,0)</ns0:f>
        <ns0:v>0</ns0:v>
      </ns0:c>
      <ns0:c r="Q684" s="0">
        <ns0:f>IF(AND(Bookings!G684="Approved",E684="Yes",L684=0,$B$6=0),I684,0)</ns0:f>
        <ns0:v>0</ns0:v>
      </ns0:c>
      <ns0:c r="R684" s="0">
        <ns0:f>IF(AND(Bookings!G684="Pending",E684="Yes"),N684,0)</ns0:f>
        <ns0:v>0</ns0:v>
      </ns0:c>
      <ns0:c r="S684" s="0">
        <ns0:f>IF(AND(Bookings!G684="Approved",E684="No"),N684,0)</ns0:f>
        <ns0:v>0</ns0:v>
      </ns0:c>
      <ns0:c r="T684" s="0">
        <ns0:f>IFERROR(MATCH(D684,Settings!$G$7:$G$11,0),0)</ns0:f>
        <ns0:v>0</ns0:v>
      </ns0:c>
      <ns0:c r="U684" s="0">
        <ns0:f>IF(N684&gt;0,T684+IF(Bookings!G684="Pending",10,0),0)</ns0:f>
        <ns0:v>0</ns0:v>
      </ns0:c>
      <ns0:c r="V684" s="0">
        <ns0:f>U684</ns0:f>
        <ns0:v>0</ns0:v>
      </ns0:c>
      <ns0:c r="W684" s="0" t="str">
        <ns0:f>IF(C684=0,"",INDEX($AP$11:$AP$60,C684))</ns0:f>
        <ns0:v/>
      </ns0:c>
    </ns0:row>
    <ns0:row r="685">
      <ns0:c r="A685" s="0">
        <ns0:f>IF(COUNTA(Bookings!A685:G685,Bookings!I685)=0,0,1)</ns0:f>
        <ns0:v>0</ns0:v>
      </ns0:c>
      <ns0:c r="B685" s="0" t="str">
        <ns0:f>IFERROR(TRIM(MID(Bookings!A685,FIND(" · ",Bookings!A685)+3,99)),"")</ns0:f>
        <ns0:v/>
      </ns0:c>
      <ns0:c r="C685" s="0">
        <ns0:f>IF(OR(B685="",LEN(B685)&gt;24,ISNUMBER(FIND(" ",B685)),ISNUMBER(FIND("*",B685)),ISNUMBER(FIND("?",B685)),ISNUMBER(FIND("~",B685))),0,IFERROR(MATCH(B685,Team!$A$11:$A$60,0),0))</ns0:f>
        <ns0:v>0</ns0:v>
      </ns0:c>
      <ns0:c r="D685" s="0" t="str">
        <ns0:f>IFERROR(IF(MID(Bookings!F685,LEN(Bookings!F685)-3,3)=" · ",RIGHT(Bookings!F685,1),""),"")</ns0:f>
        <ns0:v/>
      </ns0:c>
      <ns0:c r="E685" s="0" t="str">
        <ns0:f>IFERROR(INDEX(Settings!$H$7:$H$11,MATCH(D685,Settings!$G$7:$G$11,0)),"")</ns0:f>
        <ns0:v/>
      </ns0:c>
      <ns0:c r="F685" s="0" t="str">
        <ns0:f>IF(A685=0,"",IFERROR(IF(OR(B685="",C685=0),"CHECK employee selection",IF(INDEX(Team!$O$11:$O$60,C685)&lt;&gt;"OK","CHECK employee setup",IF(OR('_Dates'!J685=0,'_Dates'!T685=0),"CHECK date: use DD.MM.YYYY",IF('_Dates'!T685&lt;'_Dates'!J685,"CHECK end before start",IF(AND($B$6=0,OR('_Dates'!J685&lt;Settings!$B$7,'_Dates'!T685&gt;Settings!$B$8)),"CHECK split across leave years",IF(OR(NOT(OR('_Dates'!U685="Full day",'_Dates'!U685="AM",'_Dates'!U685="PM")),NOT(OR('_Dates'!V685="Full day",'_Dates'!V685="AM",'_Dates'!V685="PM"))),"CHECK Full day / AM / PM",IF(AND('_Dates'!J685='_Dates'!T685,'_Dates'!U685&lt;&gt;"Full day",'_Dates'!V685&lt;&gt;"Full day",'_Dates'!U685&lt;&gt;'_Dates'!V685),"CHECK same-day portions disagree",IF(AND($B$6=0,OR(AND('_Dates'!U685&lt;&gt;"Full day",'_Dates'!AA685=0),AND('_Dates'!V685&lt;&gt;"Full day",'_Dates'!AB685=0))),"CHECK half-day on non-working date",IF(COUNTIF(Settings!$G$7:$G$11,D685)&lt;&gt;1,"CHECK leave type",IF(AND(Bookings!G685&lt;&gt;"Approved",Bookings!G685&lt;&gt;"Pending",Bookings!G685&lt;&gt;"Cancelled"),"CHECK status","OK")))))))))),"CHECK input"))</ns0:f>
        <ns0:v/>
      </ns0:c>
      <ns0:c r="G685" s="0">
        <ns0:f>IF(OR(F685&lt;&gt;"OK",$B$6&gt;0),0,0.5*(IF(('_Dates'!X685)&lt;('_Dates'!W685),0,INT((('_Dates'!X685)-('_Dates'!W685)+1)/7)*LEN(SUBSTITUTE(W685,"O",""))+LEN(SUBSTITUTE(MID(W685&amp;W685,WEEKDAY(('_Dates'!W685),2),MOD((('_Dates'!X685)-('_Dates'!W685)+1),7)),"O",""))-COUNTIFS(INDEX(AllClosureRows,C685,0),"&gt;="&amp;('_Dates'!W685),INDEX(AllClosureRows,C685,0),"&lt;="&amp;('_Dates'!X685)))+IF(('_Dates'!Z685)&lt;('_Dates'!Y685),0,INT((('_Dates'!Z685)-('_Dates'!Y685)+1)/7)*LEN(SUBSTITUTE(W685,"O",""))+LEN(SUBSTITUTE(MID(W685&amp;W685,WEEKDAY(('_Dates'!Y685),2),MOD((('_Dates'!Z685)-('_Dates'!Y685)+1),7)),"O",""))-COUNTIFS(INDEX(AllClosureRows,C685,0),"&gt;="&amp;('_Dates'!Y685),INDEX(AllClosureRows,C685,0),"&lt;="&amp;('_Dates'!Z685)))))</ns0:f>
        <ns0:v>0</ns0:v>
      </ns0:c>
      <ns0:c r="H685" s="0">
        <ns0:f>IF(OR(F685&lt;&gt;"OK",$B$6&gt;0),0,0.5*(IF((MIN('_Dates'!X685,Settings!$B$9))&lt;('_Dates'!W685),0,INT(((MIN('_Dates'!X685,Settings!$B$9))-('_Dates'!W685)+1)/7)*LEN(SUBSTITUTE(W685,"O",""))+LEN(SUBSTITUTE(MID(W685&amp;W685,WEEKDAY(('_Dates'!W685),2),MOD(((MIN('_Dates'!X685,Settings!$B$9))-('_Dates'!W685)+1),7)),"O",""))-COUNTIFS(INDEX(AllClosureRows,C685,0),"&gt;="&amp;('_Dates'!W685),INDEX(AllClosureRows,C685,0),"&lt;="&amp;(MIN('_Dates'!X685,Settings!$B$9))))+IF((MIN('_Dates'!Z685,Settings!$B$9))&lt;('_Dates'!Y685),0,INT(((MIN('_Dates'!Z685,Settings!$B$9))-('_Dates'!Y685)+1)/7)*LEN(SUBSTITUTE(W685,"O",""))+LEN(SUBSTITUTE(MID(W685&amp;W685,WEEKDAY(('_Dates'!Y685),2),MOD(((MIN('_Dates'!Z685,Settings!$B$9))-('_Dates'!Y685)+1),7)),"O",""))-COUNTIFS(INDEX(AllClosureRows,C685,0),"&gt;="&amp;('_Dates'!Y685),INDEX(AllClosureRows,C685,0),"&lt;="&amp;(MIN('_Dates'!Z685,Settings!$B$9))))))</ns0:f>
        <ns0:v>0</ns0:v>
      </ns0:c>
      <ns0:c r="I685" s="0">
        <ns0:f>MAX(0,G685-H685)</ns0:f>
        <ns0:v>0</ns0:v>
      </ns0:c>
      <ns0:c r="J685" s="0">
        <ns0:f>IF(OR(A685=0,F685&lt;&gt;"OK",Bookings!G685="Cancelled",$B$6&gt;0),0,IF('_Dates'!AC685=1,MAX(0,COUNTIFS(rngEngine_B,B685,rngAMStart,"&lt;="&amp;'_Dates'!X685,rngAMEnd,"&gt;="&amp;'_Dates'!W685,rngAMActive,1,rngEngine_F,"OK",rngBookings_F,"&lt;&gt;Cancelled")-1),0)+IF('_Dates'!AD685=1,MAX(0,COUNTIFS(rngEngine_B,B685,rngPMStart,"&lt;="&amp;'_Dates'!Z685,rngPMEnd,"&gt;="&amp;'_Dates'!Y685,rngPMActive,1,rngEngine_F,"OK",rngBookings_F,"&lt;&gt;Cancelled")-1),0))</ns0:f>
        <ns0:v>0</ns0:v>
      </ns0:c>
      <ns0:c r="K685" s="0" t="str">
        <ns0:f>IF(A685=0,"",IF(F685&lt;&gt;"OK",F685,IF(J685&gt;0,"CHECK overlapping entry",IF(AND($B$6=0,G685&lt;=0,Bookings!G685&lt;&gt;"Cancelled"),"CHECK no working days",IF(Bookings!G685="Cancelled","Cancelled","OK")))))</ns0:f>
        <ns0:v/>
      </ns0:c>
      <ns0:c r="L685" s="0">
        <ns0:f>IF(LEFT(K685,5)="CHECK",1,0)</ns0:f>
        <ns0:v>0</ns0:v>
      </ns0:c>
      <ns0:c r="M685" s="0">
        <ns0:f>IF(AND(L685=1,OR(C685=0,IFERROR(INDEX($X$11:$X$60,C685),0)=0)),1,0)</ns0:f>
        <ns0:v>0</ns0:v>
      </ns0:c>
      <ns0:c r="N685" s="0">
        <ns0:f>IF(OR(A685=0,L685&gt;0,$B$6&gt;0,Bookings!G685="Cancelled"),0,G685)</ns0:f>
        <ns0:v>0</ns0:v>
      </ns0:c>
      <ns0:c r="O685" s="0">
        <ns0:f>IF(AND(Bookings!G685="Approved",E685="Yes"),N685,0)</ns0:f>
        <ns0:v>0</ns0:v>
      </ns0:c>
      <ns0:c r="P685" s="0">
        <ns0:f>IF(AND(Bookings!G685="Approved",E685="Yes",L685=0,$B$6=0),H685,0)</ns0:f>
        <ns0:v>0</ns0:v>
      </ns0:c>
      <ns0:c r="Q685" s="0">
        <ns0:f>IF(AND(Bookings!G685="Approved",E685="Yes",L685=0,$B$6=0),I685,0)</ns0:f>
        <ns0:v>0</ns0:v>
      </ns0:c>
      <ns0:c r="R685" s="0">
        <ns0:f>IF(AND(Bookings!G685="Pending",E685="Yes"),N685,0)</ns0:f>
        <ns0:v>0</ns0:v>
      </ns0:c>
      <ns0:c r="S685" s="0">
        <ns0:f>IF(AND(Bookings!G685="Approved",E685="No"),N685,0)</ns0:f>
        <ns0:v>0</ns0:v>
      </ns0:c>
      <ns0:c r="T685" s="0">
        <ns0:f>IFERROR(MATCH(D685,Settings!$G$7:$G$11,0),0)</ns0:f>
        <ns0:v>0</ns0:v>
      </ns0:c>
      <ns0:c r="U685" s="0">
        <ns0:f>IF(N685&gt;0,T685+IF(Bookings!G685="Pending",10,0),0)</ns0:f>
        <ns0:v>0</ns0:v>
      </ns0:c>
      <ns0:c r="V685" s="0">
        <ns0:f>U685</ns0:f>
        <ns0:v>0</ns0:v>
      </ns0:c>
      <ns0:c r="W685" s="0" t="str">
        <ns0:f>IF(C685=0,"",INDEX($AP$11:$AP$60,C685))</ns0:f>
        <ns0:v/>
      </ns0:c>
    </ns0:row>
    <ns0:row r="686">
      <ns0:c r="A686" s="0">
        <ns0:f>IF(COUNTA(Bookings!A686:G686,Bookings!I686)=0,0,1)</ns0:f>
        <ns0:v>0</ns0:v>
      </ns0:c>
      <ns0:c r="B686" s="0" t="str">
        <ns0:f>IFERROR(TRIM(MID(Bookings!A686,FIND(" · ",Bookings!A686)+3,99)),"")</ns0:f>
        <ns0:v/>
      </ns0:c>
      <ns0:c r="C686" s="0">
        <ns0:f>IF(OR(B686="",LEN(B686)&gt;24,ISNUMBER(FIND(" ",B686)),ISNUMBER(FIND("*",B686)),ISNUMBER(FIND("?",B686)),ISNUMBER(FIND("~",B686))),0,IFERROR(MATCH(B686,Team!$A$11:$A$60,0),0))</ns0:f>
        <ns0:v>0</ns0:v>
      </ns0:c>
      <ns0:c r="D686" s="0" t="str">
        <ns0:f>IFERROR(IF(MID(Bookings!F686,LEN(Bookings!F686)-3,3)=" · ",RIGHT(Bookings!F686,1),""),"")</ns0:f>
        <ns0:v/>
      </ns0:c>
      <ns0:c r="E686" s="0" t="str">
        <ns0:f>IFERROR(INDEX(Settings!$H$7:$H$11,MATCH(D686,Settings!$G$7:$G$11,0)),"")</ns0:f>
        <ns0:v/>
      </ns0:c>
      <ns0:c r="F686" s="0" t="str">
        <ns0:f>IF(A686=0,"",IFERROR(IF(OR(B686="",C686=0),"CHECK employee selection",IF(INDEX(Team!$O$11:$O$60,C686)&lt;&gt;"OK","CHECK employee setup",IF(OR('_Dates'!J686=0,'_Dates'!T686=0),"CHECK date: use DD.MM.YYYY",IF('_Dates'!T686&lt;'_Dates'!J686,"CHECK end before start",IF(AND($B$6=0,OR('_Dates'!J686&lt;Settings!$B$7,'_Dates'!T686&gt;Settings!$B$8)),"CHECK split across leave years",IF(OR(NOT(OR('_Dates'!U686="Full day",'_Dates'!U686="AM",'_Dates'!U686="PM")),NOT(OR('_Dates'!V686="Full day",'_Dates'!V686="AM",'_Dates'!V686="PM"))),"CHECK Full day / AM / PM",IF(AND('_Dates'!J686='_Dates'!T686,'_Dates'!U686&lt;&gt;"Full day",'_Dates'!V686&lt;&gt;"Full day",'_Dates'!U686&lt;&gt;'_Dates'!V686),"CHECK same-day portions disagree",IF(AND($B$6=0,OR(AND('_Dates'!U686&lt;&gt;"Full day",'_Dates'!AA686=0),AND('_Dates'!V686&lt;&gt;"Full day",'_Dates'!AB686=0))),"CHECK half-day on non-working date",IF(COUNTIF(Settings!$G$7:$G$11,D686)&lt;&gt;1,"CHECK leave type",IF(AND(Bookings!G686&lt;&gt;"Approved",Bookings!G686&lt;&gt;"Pending",Bookings!G686&lt;&gt;"Cancelled"),"CHECK status","OK")))))))))),"CHECK input"))</ns0:f>
        <ns0:v/>
      </ns0:c>
      <ns0:c r="G686" s="0">
        <ns0:f>IF(OR(F686&lt;&gt;"OK",$B$6&gt;0),0,0.5*(IF(('_Dates'!X686)&lt;('_Dates'!W686),0,INT((('_Dates'!X686)-('_Dates'!W686)+1)/7)*LEN(SUBSTITUTE(W686,"O",""))+LEN(SUBSTITUTE(MID(W686&amp;W686,WEEKDAY(('_Dates'!W686),2),MOD((('_Dates'!X686)-('_Dates'!W686)+1),7)),"O",""))-COUNTIFS(INDEX(AllClosureRows,C686,0),"&gt;="&amp;('_Dates'!W686),INDEX(AllClosureRows,C686,0),"&lt;="&amp;('_Dates'!X686)))+IF(('_Dates'!Z686)&lt;('_Dates'!Y686),0,INT((('_Dates'!Z686)-('_Dates'!Y686)+1)/7)*LEN(SUBSTITUTE(W686,"O",""))+LEN(SUBSTITUTE(MID(W686&amp;W686,WEEKDAY(('_Dates'!Y686),2),MOD((('_Dates'!Z686)-('_Dates'!Y686)+1),7)),"O",""))-COUNTIFS(INDEX(AllClosureRows,C686,0),"&gt;="&amp;('_Dates'!Y686),INDEX(AllClosureRows,C686,0),"&lt;="&amp;('_Dates'!Z686)))))</ns0:f>
        <ns0:v>0</ns0:v>
      </ns0:c>
      <ns0:c r="H686" s="0">
        <ns0:f>IF(OR(F686&lt;&gt;"OK",$B$6&gt;0),0,0.5*(IF((MIN('_Dates'!X686,Settings!$B$9))&lt;('_Dates'!W686),0,INT(((MIN('_Dates'!X686,Settings!$B$9))-('_Dates'!W686)+1)/7)*LEN(SUBSTITUTE(W686,"O",""))+LEN(SUBSTITUTE(MID(W686&amp;W686,WEEKDAY(('_Dates'!W686),2),MOD(((MIN('_Dates'!X686,Settings!$B$9))-('_Dates'!W686)+1),7)),"O",""))-COUNTIFS(INDEX(AllClosureRows,C686,0),"&gt;="&amp;('_Dates'!W686),INDEX(AllClosureRows,C686,0),"&lt;="&amp;(MIN('_Dates'!X686,Settings!$B$9))))+IF((MIN('_Dates'!Z686,Settings!$B$9))&lt;('_Dates'!Y686),0,INT(((MIN('_Dates'!Z686,Settings!$B$9))-('_Dates'!Y686)+1)/7)*LEN(SUBSTITUTE(W686,"O",""))+LEN(SUBSTITUTE(MID(W686&amp;W686,WEEKDAY(('_Dates'!Y686),2),MOD(((MIN('_Dates'!Z686,Settings!$B$9))-('_Dates'!Y686)+1),7)),"O",""))-COUNTIFS(INDEX(AllClosureRows,C686,0),"&gt;="&amp;('_Dates'!Y686),INDEX(AllClosureRows,C686,0),"&lt;="&amp;(MIN('_Dates'!Z686,Settings!$B$9))))))</ns0:f>
        <ns0:v>0</ns0:v>
      </ns0:c>
      <ns0:c r="I686" s="0">
        <ns0:f>MAX(0,G686-H686)</ns0:f>
        <ns0:v>0</ns0:v>
      </ns0:c>
      <ns0:c r="J686" s="0">
        <ns0:f>IF(OR(A686=0,F686&lt;&gt;"OK",Bookings!G686="Cancelled",$B$6&gt;0),0,IF('_Dates'!AC686=1,MAX(0,COUNTIFS(rngEngine_B,B686,rngAMStart,"&lt;="&amp;'_Dates'!X686,rngAMEnd,"&gt;="&amp;'_Dates'!W686,rngAMActive,1,rngEngine_F,"OK",rngBookings_F,"&lt;&gt;Cancelled")-1),0)+IF('_Dates'!AD686=1,MAX(0,COUNTIFS(rngEngine_B,B686,rngPMStart,"&lt;="&amp;'_Dates'!Z686,rngPMEnd,"&gt;="&amp;'_Dates'!Y686,rngPMActive,1,rngEngine_F,"OK",rngBookings_F,"&lt;&gt;Cancelled")-1),0))</ns0:f>
        <ns0:v>0</ns0:v>
      </ns0:c>
      <ns0:c r="K686" s="0" t="str">
        <ns0:f>IF(A686=0,"",IF(F686&lt;&gt;"OK",F686,IF(J686&gt;0,"CHECK overlapping entry",IF(AND($B$6=0,G686&lt;=0,Bookings!G686&lt;&gt;"Cancelled"),"CHECK no working days",IF(Bookings!G686="Cancelled","Cancelled","OK")))))</ns0:f>
        <ns0:v/>
      </ns0:c>
      <ns0:c r="L686" s="0">
        <ns0:f>IF(LEFT(K686,5)="CHECK",1,0)</ns0:f>
        <ns0:v>0</ns0:v>
      </ns0:c>
      <ns0:c r="M686" s="0">
        <ns0:f>IF(AND(L686=1,OR(C686=0,IFERROR(INDEX($X$11:$X$60,C686),0)=0)),1,0)</ns0:f>
        <ns0:v>0</ns0:v>
      </ns0:c>
      <ns0:c r="N686" s="0">
        <ns0:f>IF(OR(A686=0,L686&gt;0,$B$6&gt;0,Bookings!G686="Cancelled"),0,G686)</ns0:f>
        <ns0:v>0</ns0:v>
      </ns0:c>
      <ns0:c r="O686" s="0">
        <ns0:f>IF(AND(Bookings!G686="Approved",E686="Yes"),N686,0)</ns0:f>
        <ns0:v>0</ns0:v>
      </ns0:c>
      <ns0:c r="P686" s="0">
        <ns0:f>IF(AND(Bookings!G686="Approved",E686="Yes",L686=0,$B$6=0),H686,0)</ns0:f>
        <ns0:v>0</ns0:v>
      </ns0:c>
      <ns0:c r="Q686" s="0">
        <ns0:f>IF(AND(Bookings!G686="Approved",E686="Yes",L686=0,$B$6=0),I686,0)</ns0:f>
        <ns0:v>0</ns0:v>
      </ns0:c>
      <ns0:c r="R686" s="0">
        <ns0:f>IF(AND(Bookings!G686="Pending",E686="Yes"),N686,0)</ns0:f>
        <ns0:v>0</ns0:v>
      </ns0:c>
      <ns0:c r="S686" s="0">
        <ns0:f>IF(AND(Bookings!G686="Approved",E686="No"),N686,0)</ns0:f>
        <ns0:v>0</ns0:v>
      </ns0:c>
      <ns0:c r="T686" s="0">
        <ns0:f>IFERROR(MATCH(D686,Settings!$G$7:$G$11,0),0)</ns0:f>
        <ns0:v>0</ns0:v>
      </ns0:c>
      <ns0:c r="U686" s="0">
        <ns0:f>IF(N686&gt;0,T686+IF(Bookings!G686="Pending",10,0),0)</ns0:f>
        <ns0:v>0</ns0:v>
      </ns0:c>
      <ns0:c r="V686" s="0">
        <ns0:f>U686</ns0:f>
        <ns0:v>0</ns0:v>
      </ns0:c>
      <ns0:c r="W686" s="0" t="str">
        <ns0:f>IF(C686=0,"",INDEX($AP$11:$AP$60,C686))</ns0:f>
        <ns0:v/>
      </ns0:c>
    </ns0:row>
    <ns0:row r="687">
      <ns0:c r="A687" s="0">
        <ns0:f>IF(COUNTA(Bookings!A687:G687,Bookings!I687)=0,0,1)</ns0:f>
        <ns0:v>0</ns0:v>
      </ns0:c>
      <ns0:c r="B687" s="0" t="str">
        <ns0:f>IFERROR(TRIM(MID(Bookings!A687,FIND(" · ",Bookings!A687)+3,99)),"")</ns0:f>
        <ns0:v/>
      </ns0:c>
      <ns0:c r="C687" s="0">
        <ns0:f>IF(OR(B687="",LEN(B687)&gt;24,ISNUMBER(FIND(" ",B687)),ISNUMBER(FIND("*",B687)),ISNUMBER(FIND("?",B687)),ISNUMBER(FIND("~",B687))),0,IFERROR(MATCH(B687,Team!$A$11:$A$60,0),0))</ns0:f>
        <ns0:v>0</ns0:v>
      </ns0:c>
      <ns0:c r="D687" s="0" t="str">
        <ns0:f>IFERROR(IF(MID(Bookings!F687,LEN(Bookings!F687)-3,3)=" · ",RIGHT(Bookings!F687,1),""),"")</ns0:f>
        <ns0:v/>
      </ns0:c>
      <ns0:c r="E687" s="0" t="str">
        <ns0:f>IFERROR(INDEX(Settings!$H$7:$H$11,MATCH(D687,Settings!$G$7:$G$11,0)),"")</ns0:f>
        <ns0:v/>
      </ns0:c>
      <ns0:c r="F687" s="0" t="str">
        <ns0:f>IF(A687=0,"",IFERROR(IF(OR(B687="",C687=0),"CHECK employee selection",IF(INDEX(Team!$O$11:$O$60,C687)&lt;&gt;"OK","CHECK employee setup",IF(OR('_Dates'!J687=0,'_Dates'!T687=0),"CHECK date: use DD.MM.YYYY",IF('_Dates'!T687&lt;'_Dates'!J687,"CHECK end before start",IF(AND($B$6=0,OR('_Dates'!J687&lt;Settings!$B$7,'_Dates'!T687&gt;Settings!$B$8)),"CHECK split across leave years",IF(OR(NOT(OR('_Dates'!U687="Full day",'_Dates'!U687="AM",'_Dates'!U687="PM")),NOT(OR('_Dates'!V687="Full day",'_Dates'!V687="AM",'_Dates'!V687="PM"))),"CHECK Full day / AM / PM",IF(AND('_Dates'!J687='_Dates'!T687,'_Dates'!U687&lt;&gt;"Full day",'_Dates'!V687&lt;&gt;"Full day",'_Dates'!U687&lt;&gt;'_Dates'!V687),"CHECK same-day portions disagree",IF(AND($B$6=0,OR(AND('_Dates'!U687&lt;&gt;"Full day",'_Dates'!AA687=0),AND('_Dates'!V687&lt;&gt;"Full day",'_Dates'!AB687=0))),"CHECK half-day on non-working date",IF(COUNTIF(Settings!$G$7:$G$11,D687)&lt;&gt;1,"CHECK leave type",IF(AND(Bookings!G687&lt;&gt;"Approved",Bookings!G687&lt;&gt;"Pending",Bookings!G687&lt;&gt;"Cancelled"),"CHECK status","OK")))))))))),"CHECK input"))</ns0:f>
        <ns0:v/>
      </ns0:c>
      <ns0:c r="G687" s="0">
        <ns0:f>IF(OR(F687&lt;&gt;"OK",$B$6&gt;0),0,0.5*(IF(('_Dates'!X687)&lt;('_Dates'!W687),0,INT((('_Dates'!X687)-('_Dates'!W687)+1)/7)*LEN(SUBSTITUTE(W687,"O",""))+LEN(SUBSTITUTE(MID(W687&amp;W687,WEEKDAY(('_Dates'!W687),2),MOD((('_Dates'!X687)-('_Dates'!W687)+1),7)),"O",""))-COUNTIFS(INDEX(AllClosureRows,C687,0),"&gt;="&amp;('_Dates'!W687),INDEX(AllClosureRows,C687,0),"&lt;="&amp;('_Dates'!X687)))+IF(('_Dates'!Z687)&lt;('_Dates'!Y687),0,INT((('_Dates'!Z687)-('_Dates'!Y687)+1)/7)*LEN(SUBSTITUTE(W687,"O",""))+LEN(SUBSTITUTE(MID(W687&amp;W687,WEEKDAY(('_Dates'!Y687),2),MOD((('_Dates'!Z687)-('_Dates'!Y687)+1),7)),"O",""))-COUNTIFS(INDEX(AllClosureRows,C687,0),"&gt;="&amp;('_Dates'!Y687),INDEX(AllClosureRows,C687,0),"&lt;="&amp;('_Dates'!Z687)))))</ns0:f>
        <ns0:v>0</ns0:v>
      </ns0:c>
      <ns0:c r="H687" s="0">
        <ns0:f>IF(OR(F687&lt;&gt;"OK",$B$6&gt;0),0,0.5*(IF((MIN('_Dates'!X687,Settings!$B$9))&lt;('_Dates'!W687),0,INT(((MIN('_Dates'!X687,Settings!$B$9))-('_Dates'!W687)+1)/7)*LEN(SUBSTITUTE(W687,"O",""))+LEN(SUBSTITUTE(MID(W687&amp;W687,WEEKDAY(('_Dates'!W687),2),MOD(((MIN('_Dates'!X687,Settings!$B$9))-('_Dates'!W687)+1),7)),"O",""))-COUNTIFS(INDEX(AllClosureRows,C687,0),"&gt;="&amp;('_Dates'!W687),INDEX(AllClosureRows,C687,0),"&lt;="&amp;(MIN('_Dates'!X687,Settings!$B$9))))+IF((MIN('_Dates'!Z687,Settings!$B$9))&lt;('_Dates'!Y687),0,INT(((MIN('_Dates'!Z687,Settings!$B$9))-('_Dates'!Y687)+1)/7)*LEN(SUBSTITUTE(W687,"O",""))+LEN(SUBSTITUTE(MID(W687&amp;W687,WEEKDAY(('_Dates'!Y687),2),MOD(((MIN('_Dates'!Z687,Settings!$B$9))-('_Dates'!Y687)+1),7)),"O",""))-COUNTIFS(INDEX(AllClosureRows,C687,0),"&gt;="&amp;('_Dates'!Y687),INDEX(AllClosureRows,C687,0),"&lt;="&amp;(MIN('_Dates'!Z687,Settings!$B$9))))))</ns0:f>
        <ns0:v>0</ns0:v>
      </ns0:c>
      <ns0:c r="I687" s="0">
        <ns0:f>MAX(0,G687-H687)</ns0:f>
        <ns0:v>0</ns0:v>
      </ns0:c>
      <ns0:c r="J687" s="0">
        <ns0:f>IF(OR(A687=0,F687&lt;&gt;"OK",Bookings!G687="Cancelled",$B$6&gt;0),0,IF('_Dates'!AC687=1,MAX(0,COUNTIFS(rngEngine_B,B687,rngAMStart,"&lt;="&amp;'_Dates'!X687,rngAMEnd,"&gt;="&amp;'_Dates'!W687,rngAMActive,1,rngEngine_F,"OK",rngBookings_F,"&lt;&gt;Cancelled")-1),0)+IF('_Dates'!AD687=1,MAX(0,COUNTIFS(rngEngine_B,B687,rngPMStart,"&lt;="&amp;'_Dates'!Z687,rngPMEnd,"&gt;="&amp;'_Dates'!Y687,rngPMActive,1,rngEngine_F,"OK",rngBookings_F,"&lt;&gt;Cancelled")-1),0))</ns0:f>
        <ns0:v>0</ns0:v>
      </ns0:c>
      <ns0:c r="K687" s="0" t="str">
        <ns0:f>IF(A687=0,"",IF(F687&lt;&gt;"OK",F687,IF(J687&gt;0,"CHECK overlapping entry",IF(AND($B$6=0,G687&lt;=0,Bookings!G687&lt;&gt;"Cancelled"),"CHECK no working days",IF(Bookings!G687="Cancelled","Cancelled","OK")))))</ns0:f>
        <ns0:v/>
      </ns0:c>
      <ns0:c r="L687" s="0">
        <ns0:f>IF(LEFT(K687,5)="CHECK",1,0)</ns0:f>
        <ns0:v>0</ns0:v>
      </ns0:c>
      <ns0:c r="M687" s="0">
        <ns0:f>IF(AND(L687=1,OR(C687=0,IFERROR(INDEX($X$11:$X$60,C687),0)=0)),1,0)</ns0:f>
        <ns0:v>0</ns0:v>
      </ns0:c>
      <ns0:c r="N687" s="0">
        <ns0:f>IF(OR(A687=0,L687&gt;0,$B$6&gt;0,Bookings!G687="Cancelled"),0,G687)</ns0:f>
        <ns0:v>0</ns0:v>
      </ns0:c>
      <ns0:c r="O687" s="0">
        <ns0:f>IF(AND(Bookings!G687="Approved",E687="Yes"),N687,0)</ns0:f>
        <ns0:v>0</ns0:v>
      </ns0:c>
      <ns0:c r="P687" s="0">
        <ns0:f>IF(AND(Bookings!G687="Approved",E687="Yes",L687=0,$B$6=0),H687,0)</ns0:f>
        <ns0:v>0</ns0:v>
      </ns0:c>
      <ns0:c r="Q687" s="0">
        <ns0:f>IF(AND(Bookings!G687="Approved",E687="Yes",L687=0,$B$6=0),I687,0)</ns0:f>
        <ns0:v>0</ns0:v>
      </ns0:c>
      <ns0:c r="R687" s="0">
        <ns0:f>IF(AND(Bookings!G687="Pending",E687="Yes"),N687,0)</ns0:f>
        <ns0:v>0</ns0:v>
      </ns0:c>
      <ns0:c r="S687" s="0">
        <ns0:f>IF(AND(Bookings!G687="Approved",E687="No"),N687,0)</ns0:f>
        <ns0:v>0</ns0:v>
      </ns0:c>
      <ns0:c r="T687" s="0">
        <ns0:f>IFERROR(MATCH(D687,Settings!$G$7:$G$11,0),0)</ns0:f>
        <ns0:v>0</ns0:v>
      </ns0:c>
      <ns0:c r="U687" s="0">
        <ns0:f>IF(N687&gt;0,T687+IF(Bookings!G687="Pending",10,0),0)</ns0:f>
        <ns0:v>0</ns0:v>
      </ns0:c>
      <ns0:c r="V687" s="0">
        <ns0:f>U687</ns0:f>
        <ns0:v>0</ns0:v>
      </ns0:c>
      <ns0:c r="W687" s="0" t="str">
        <ns0:f>IF(C687=0,"",INDEX($AP$11:$AP$60,C687))</ns0:f>
        <ns0:v/>
      </ns0:c>
    </ns0:row>
    <ns0:row r="688">
      <ns0:c r="A688" s="0">
        <ns0:f>IF(COUNTA(Bookings!A688:G688,Bookings!I688)=0,0,1)</ns0:f>
        <ns0:v>0</ns0:v>
      </ns0:c>
      <ns0:c r="B688" s="0" t="str">
        <ns0:f>IFERROR(TRIM(MID(Bookings!A688,FIND(" · ",Bookings!A688)+3,99)),"")</ns0:f>
        <ns0:v/>
      </ns0:c>
      <ns0:c r="C688" s="0">
        <ns0:f>IF(OR(B688="",LEN(B688)&gt;24,ISNUMBER(FIND(" ",B688)),ISNUMBER(FIND("*",B688)),ISNUMBER(FIND("?",B688)),ISNUMBER(FIND("~",B688))),0,IFERROR(MATCH(B688,Team!$A$11:$A$60,0),0))</ns0:f>
        <ns0:v>0</ns0:v>
      </ns0:c>
      <ns0:c r="D688" s="0" t="str">
        <ns0:f>IFERROR(IF(MID(Bookings!F688,LEN(Bookings!F688)-3,3)=" · ",RIGHT(Bookings!F688,1),""),"")</ns0:f>
        <ns0:v/>
      </ns0:c>
      <ns0:c r="E688" s="0" t="str">
        <ns0:f>IFERROR(INDEX(Settings!$H$7:$H$11,MATCH(D688,Settings!$G$7:$G$11,0)),"")</ns0:f>
        <ns0:v/>
      </ns0:c>
      <ns0:c r="F688" s="0" t="str">
        <ns0:f>IF(A688=0,"",IFERROR(IF(OR(B688="",C688=0),"CHECK employee selection",IF(INDEX(Team!$O$11:$O$60,C688)&lt;&gt;"OK","CHECK employee setup",IF(OR('_Dates'!J688=0,'_Dates'!T688=0),"CHECK date: use DD.MM.YYYY",IF('_Dates'!T688&lt;'_Dates'!J688,"CHECK end before start",IF(AND($B$6=0,OR('_Dates'!J688&lt;Settings!$B$7,'_Dates'!T688&gt;Settings!$B$8)),"CHECK split across leave years",IF(OR(NOT(OR('_Dates'!U688="Full day",'_Dates'!U688="AM",'_Dates'!U688="PM")),NOT(OR('_Dates'!V688="Full day",'_Dates'!V688="AM",'_Dates'!V688="PM"))),"CHECK Full day / AM / PM",IF(AND('_Dates'!J688='_Dates'!T688,'_Dates'!U688&lt;&gt;"Full day",'_Dates'!V688&lt;&gt;"Full day",'_Dates'!U688&lt;&gt;'_Dates'!V688),"CHECK same-day portions disagree",IF(AND($B$6=0,OR(AND('_Dates'!U688&lt;&gt;"Full day",'_Dates'!AA688=0),AND('_Dates'!V688&lt;&gt;"Full day",'_Dates'!AB688=0))),"CHECK half-day on non-working date",IF(COUNTIF(Settings!$G$7:$G$11,D688)&lt;&gt;1,"CHECK leave type",IF(AND(Bookings!G688&lt;&gt;"Approved",Bookings!G688&lt;&gt;"Pending",Bookings!G688&lt;&gt;"Cancelled"),"CHECK status","OK")))))))))),"CHECK input"))</ns0:f>
        <ns0:v/>
      </ns0:c>
      <ns0:c r="G688" s="0">
        <ns0:f>IF(OR(F688&lt;&gt;"OK",$B$6&gt;0),0,0.5*(IF(('_Dates'!X688)&lt;('_Dates'!W688),0,INT((('_Dates'!X688)-('_Dates'!W688)+1)/7)*LEN(SUBSTITUTE(W688,"O",""))+LEN(SUBSTITUTE(MID(W688&amp;W688,WEEKDAY(('_Dates'!W688),2),MOD((('_Dates'!X688)-('_Dates'!W688)+1),7)),"O",""))-COUNTIFS(INDEX(AllClosureRows,C688,0),"&gt;="&amp;('_Dates'!W688),INDEX(AllClosureRows,C688,0),"&lt;="&amp;('_Dates'!X688)))+IF(('_Dates'!Z688)&lt;('_Dates'!Y688),0,INT((('_Dates'!Z688)-('_Dates'!Y688)+1)/7)*LEN(SUBSTITUTE(W688,"O",""))+LEN(SUBSTITUTE(MID(W688&amp;W688,WEEKDAY(('_Dates'!Y688),2),MOD((('_Dates'!Z688)-('_Dates'!Y688)+1),7)),"O",""))-COUNTIFS(INDEX(AllClosureRows,C688,0),"&gt;="&amp;('_Dates'!Y688),INDEX(AllClosureRows,C688,0),"&lt;="&amp;('_Dates'!Z688)))))</ns0:f>
        <ns0:v>0</ns0:v>
      </ns0:c>
      <ns0:c r="H688" s="0">
        <ns0:f>IF(OR(F688&lt;&gt;"OK",$B$6&gt;0),0,0.5*(IF((MIN('_Dates'!X688,Settings!$B$9))&lt;('_Dates'!W688),0,INT(((MIN('_Dates'!X688,Settings!$B$9))-('_Dates'!W688)+1)/7)*LEN(SUBSTITUTE(W688,"O",""))+LEN(SUBSTITUTE(MID(W688&amp;W688,WEEKDAY(('_Dates'!W688),2),MOD(((MIN('_Dates'!X688,Settings!$B$9))-('_Dates'!W688)+1),7)),"O",""))-COUNTIFS(INDEX(AllClosureRows,C688,0),"&gt;="&amp;('_Dates'!W688),INDEX(AllClosureRows,C688,0),"&lt;="&amp;(MIN('_Dates'!X688,Settings!$B$9))))+IF((MIN('_Dates'!Z688,Settings!$B$9))&lt;('_Dates'!Y688),0,INT(((MIN('_Dates'!Z688,Settings!$B$9))-('_Dates'!Y688)+1)/7)*LEN(SUBSTITUTE(W688,"O",""))+LEN(SUBSTITUTE(MID(W688&amp;W688,WEEKDAY(('_Dates'!Y688),2),MOD(((MIN('_Dates'!Z688,Settings!$B$9))-('_Dates'!Y688)+1),7)),"O",""))-COUNTIFS(INDEX(AllClosureRows,C688,0),"&gt;="&amp;('_Dates'!Y688),INDEX(AllClosureRows,C688,0),"&lt;="&amp;(MIN('_Dates'!Z688,Settings!$B$9))))))</ns0:f>
        <ns0:v>0</ns0:v>
      </ns0:c>
      <ns0:c r="I688" s="0">
        <ns0:f>MAX(0,G688-H688)</ns0:f>
        <ns0:v>0</ns0:v>
      </ns0:c>
      <ns0:c r="J688" s="0">
        <ns0:f>IF(OR(A688=0,F688&lt;&gt;"OK",Bookings!G688="Cancelled",$B$6&gt;0),0,IF('_Dates'!AC688=1,MAX(0,COUNTIFS(rngEngine_B,B688,rngAMStart,"&lt;="&amp;'_Dates'!X688,rngAMEnd,"&gt;="&amp;'_Dates'!W688,rngAMActive,1,rngEngine_F,"OK",rngBookings_F,"&lt;&gt;Cancelled")-1),0)+IF('_Dates'!AD688=1,MAX(0,COUNTIFS(rngEngine_B,B688,rngPMStart,"&lt;="&amp;'_Dates'!Z688,rngPMEnd,"&gt;="&amp;'_Dates'!Y688,rngPMActive,1,rngEngine_F,"OK",rngBookings_F,"&lt;&gt;Cancelled")-1),0))</ns0:f>
        <ns0:v>0</ns0:v>
      </ns0:c>
      <ns0:c r="K688" s="0" t="str">
        <ns0:f>IF(A688=0,"",IF(F688&lt;&gt;"OK",F688,IF(J688&gt;0,"CHECK overlapping entry",IF(AND($B$6=0,G688&lt;=0,Bookings!G688&lt;&gt;"Cancelled"),"CHECK no working days",IF(Bookings!G688="Cancelled","Cancelled","OK")))))</ns0:f>
        <ns0:v/>
      </ns0:c>
      <ns0:c r="L688" s="0">
        <ns0:f>IF(LEFT(K688,5)="CHECK",1,0)</ns0:f>
        <ns0:v>0</ns0:v>
      </ns0:c>
      <ns0:c r="M688" s="0">
        <ns0:f>IF(AND(L688=1,OR(C688=0,IFERROR(INDEX($X$11:$X$60,C688),0)=0)),1,0)</ns0:f>
        <ns0:v>0</ns0:v>
      </ns0:c>
      <ns0:c r="N688" s="0">
        <ns0:f>IF(OR(A688=0,L688&gt;0,$B$6&gt;0,Bookings!G688="Cancelled"),0,G688)</ns0:f>
        <ns0:v>0</ns0:v>
      </ns0:c>
      <ns0:c r="O688" s="0">
        <ns0:f>IF(AND(Bookings!G688="Approved",E688="Yes"),N688,0)</ns0:f>
        <ns0:v>0</ns0:v>
      </ns0:c>
      <ns0:c r="P688" s="0">
        <ns0:f>IF(AND(Bookings!G688="Approved",E688="Yes",L688=0,$B$6=0),H688,0)</ns0:f>
        <ns0:v>0</ns0:v>
      </ns0:c>
      <ns0:c r="Q688" s="0">
        <ns0:f>IF(AND(Bookings!G688="Approved",E688="Yes",L688=0,$B$6=0),I688,0)</ns0:f>
        <ns0:v>0</ns0:v>
      </ns0:c>
      <ns0:c r="R688" s="0">
        <ns0:f>IF(AND(Bookings!G688="Pending",E688="Yes"),N688,0)</ns0:f>
        <ns0:v>0</ns0:v>
      </ns0:c>
      <ns0:c r="S688" s="0">
        <ns0:f>IF(AND(Bookings!G688="Approved",E688="No"),N688,0)</ns0:f>
        <ns0:v>0</ns0:v>
      </ns0:c>
      <ns0:c r="T688" s="0">
        <ns0:f>IFERROR(MATCH(D688,Settings!$G$7:$G$11,0),0)</ns0:f>
        <ns0:v>0</ns0:v>
      </ns0:c>
      <ns0:c r="U688" s="0">
        <ns0:f>IF(N688&gt;0,T688+IF(Bookings!G688="Pending",10,0),0)</ns0:f>
        <ns0:v>0</ns0:v>
      </ns0:c>
      <ns0:c r="V688" s="0">
        <ns0:f>U688</ns0:f>
        <ns0:v>0</ns0:v>
      </ns0:c>
      <ns0:c r="W688" s="0" t="str">
        <ns0:f>IF(C688=0,"",INDEX($AP$11:$AP$60,C688))</ns0:f>
        <ns0:v/>
      </ns0:c>
    </ns0:row>
    <ns0:row r="689">
      <ns0:c r="A689" s="0">
        <ns0:f>IF(COUNTA(Bookings!A689:G689,Bookings!I689)=0,0,1)</ns0:f>
        <ns0:v>0</ns0:v>
      </ns0:c>
      <ns0:c r="B689" s="0" t="str">
        <ns0:f>IFERROR(TRIM(MID(Bookings!A689,FIND(" · ",Bookings!A689)+3,99)),"")</ns0:f>
        <ns0:v/>
      </ns0:c>
      <ns0:c r="C689" s="0">
        <ns0:f>IF(OR(B689="",LEN(B689)&gt;24,ISNUMBER(FIND(" ",B689)),ISNUMBER(FIND("*",B689)),ISNUMBER(FIND("?",B689)),ISNUMBER(FIND("~",B689))),0,IFERROR(MATCH(B689,Team!$A$11:$A$60,0),0))</ns0:f>
        <ns0:v>0</ns0:v>
      </ns0:c>
      <ns0:c r="D689" s="0" t="str">
        <ns0:f>IFERROR(IF(MID(Bookings!F689,LEN(Bookings!F689)-3,3)=" · ",RIGHT(Bookings!F689,1),""),"")</ns0:f>
        <ns0:v/>
      </ns0:c>
      <ns0:c r="E689" s="0" t="str">
        <ns0:f>IFERROR(INDEX(Settings!$H$7:$H$11,MATCH(D689,Settings!$G$7:$G$11,0)),"")</ns0:f>
        <ns0:v/>
      </ns0:c>
      <ns0:c r="F689" s="0" t="str">
        <ns0:f>IF(A689=0,"",IFERROR(IF(OR(B689="",C689=0),"CHECK employee selection",IF(INDEX(Team!$O$11:$O$60,C689)&lt;&gt;"OK","CHECK employee setup",IF(OR('_Dates'!J689=0,'_Dates'!T689=0),"CHECK date: use DD.MM.YYYY",IF('_Dates'!T689&lt;'_Dates'!J689,"CHECK end before start",IF(AND($B$6=0,OR('_Dates'!J689&lt;Settings!$B$7,'_Dates'!T689&gt;Settings!$B$8)),"CHECK split across leave years",IF(OR(NOT(OR('_Dates'!U689="Full day",'_Dates'!U689="AM",'_Dates'!U689="PM")),NOT(OR('_Dates'!V689="Full day",'_Dates'!V689="AM",'_Dates'!V689="PM"))),"CHECK Full day / AM / PM",IF(AND('_Dates'!J689='_Dates'!T689,'_Dates'!U689&lt;&gt;"Full day",'_Dates'!V689&lt;&gt;"Full day",'_Dates'!U689&lt;&gt;'_Dates'!V689),"CHECK same-day portions disagree",IF(AND($B$6=0,OR(AND('_Dates'!U689&lt;&gt;"Full day",'_Dates'!AA689=0),AND('_Dates'!V689&lt;&gt;"Full day",'_Dates'!AB689=0))),"CHECK half-day on non-working date",IF(COUNTIF(Settings!$G$7:$G$11,D689)&lt;&gt;1,"CHECK leave type",IF(AND(Bookings!G689&lt;&gt;"Approved",Bookings!G689&lt;&gt;"Pending",Bookings!G689&lt;&gt;"Cancelled"),"CHECK status","OK")))))))))),"CHECK input"))</ns0:f>
        <ns0:v/>
      </ns0:c>
      <ns0:c r="G689" s="0">
        <ns0:f>IF(OR(F689&lt;&gt;"OK",$B$6&gt;0),0,0.5*(IF(('_Dates'!X689)&lt;('_Dates'!W689),0,INT((('_Dates'!X689)-('_Dates'!W689)+1)/7)*LEN(SUBSTITUTE(W689,"O",""))+LEN(SUBSTITUTE(MID(W689&amp;W689,WEEKDAY(('_Dates'!W689),2),MOD((('_Dates'!X689)-('_Dates'!W689)+1),7)),"O",""))-COUNTIFS(INDEX(AllClosureRows,C689,0),"&gt;="&amp;('_Dates'!W689),INDEX(AllClosureRows,C689,0),"&lt;="&amp;('_Dates'!X689)))+IF(('_Dates'!Z689)&lt;('_Dates'!Y689),0,INT((('_Dates'!Z689)-('_Dates'!Y689)+1)/7)*LEN(SUBSTITUTE(W689,"O",""))+LEN(SUBSTITUTE(MID(W689&amp;W689,WEEKDAY(('_Dates'!Y689),2),MOD((('_Dates'!Z689)-('_Dates'!Y689)+1),7)),"O",""))-COUNTIFS(INDEX(AllClosureRows,C689,0),"&gt;="&amp;('_Dates'!Y689),INDEX(AllClosureRows,C689,0),"&lt;="&amp;('_Dates'!Z689)))))</ns0:f>
        <ns0:v>0</ns0:v>
      </ns0:c>
      <ns0:c r="H689" s="0">
        <ns0:f>IF(OR(F689&lt;&gt;"OK",$B$6&gt;0),0,0.5*(IF((MIN('_Dates'!X689,Settings!$B$9))&lt;('_Dates'!W689),0,INT(((MIN('_Dates'!X689,Settings!$B$9))-('_Dates'!W689)+1)/7)*LEN(SUBSTITUTE(W689,"O",""))+LEN(SUBSTITUTE(MID(W689&amp;W689,WEEKDAY(('_Dates'!W689),2),MOD(((MIN('_Dates'!X689,Settings!$B$9))-('_Dates'!W689)+1),7)),"O",""))-COUNTIFS(INDEX(AllClosureRows,C689,0),"&gt;="&amp;('_Dates'!W689),INDEX(AllClosureRows,C689,0),"&lt;="&amp;(MIN('_Dates'!X689,Settings!$B$9))))+IF((MIN('_Dates'!Z689,Settings!$B$9))&lt;('_Dates'!Y689),0,INT(((MIN('_Dates'!Z689,Settings!$B$9))-('_Dates'!Y689)+1)/7)*LEN(SUBSTITUTE(W689,"O",""))+LEN(SUBSTITUTE(MID(W689&amp;W689,WEEKDAY(('_Dates'!Y689),2),MOD(((MIN('_Dates'!Z689,Settings!$B$9))-('_Dates'!Y689)+1),7)),"O",""))-COUNTIFS(INDEX(AllClosureRows,C689,0),"&gt;="&amp;('_Dates'!Y689),INDEX(AllClosureRows,C689,0),"&lt;="&amp;(MIN('_Dates'!Z689,Settings!$B$9))))))</ns0:f>
        <ns0:v>0</ns0:v>
      </ns0:c>
      <ns0:c r="I689" s="0">
        <ns0:f>MAX(0,G689-H689)</ns0:f>
        <ns0:v>0</ns0:v>
      </ns0:c>
      <ns0:c r="J689" s="0">
        <ns0:f>IF(OR(A689=0,F689&lt;&gt;"OK",Bookings!G689="Cancelled",$B$6&gt;0),0,IF('_Dates'!AC689=1,MAX(0,COUNTIFS(rngEngine_B,B689,rngAMStart,"&lt;="&amp;'_Dates'!X689,rngAMEnd,"&gt;="&amp;'_Dates'!W689,rngAMActive,1,rngEngine_F,"OK",rngBookings_F,"&lt;&gt;Cancelled")-1),0)+IF('_Dates'!AD689=1,MAX(0,COUNTIFS(rngEngine_B,B689,rngPMStart,"&lt;="&amp;'_Dates'!Z689,rngPMEnd,"&gt;="&amp;'_Dates'!Y689,rngPMActive,1,rngEngine_F,"OK",rngBookings_F,"&lt;&gt;Cancelled")-1),0))</ns0:f>
        <ns0:v>0</ns0:v>
      </ns0:c>
      <ns0:c r="K689" s="0" t="str">
        <ns0:f>IF(A689=0,"",IF(F689&lt;&gt;"OK",F689,IF(J689&gt;0,"CHECK overlapping entry",IF(AND($B$6=0,G689&lt;=0,Bookings!G689&lt;&gt;"Cancelled"),"CHECK no working days",IF(Bookings!G689="Cancelled","Cancelled","OK")))))</ns0:f>
        <ns0:v/>
      </ns0:c>
      <ns0:c r="L689" s="0">
        <ns0:f>IF(LEFT(K689,5)="CHECK",1,0)</ns0:f>
        <ns0:v>0</ns0:v>
      </ns0:c>
      <ns0:c r="M689" s="0">
        <ns0:f>IF(AND(L689=1,OR(C689=0,IFERROR(INDEX($X$11:$X$60,C689),0)=0)),1,0)</ns0:f>
        <ns0:v>0</ns0:v>
      </ns0:c>
      <ns0:c r="N689" s="0">
        <ns0:f>IF(OR(A689=0,L689&gt;0,$B$6&gt;0,Bookings!G689="Cancelled"),0,G689)</ns0:f>
        <ns0:v>0</ns0:v>
      </ns0:c>
      <ns0:c r="O689" s="0">
        <ns0:f>IF(AND(Bookings!G689="Approved",E689="Yes"),N689,0)</ns0:f>
        <ns0:v>0</ns0:v>
      </ns0:c>
      <ns0:c r="P689" s="0">
        <ns0:f>IF(AND(Bookings!G689="Approved",E689="Yes",L689=0,$B$6=0),H689,0)</ns0:f>
        <ns0:v>0</ns0:v>
      </ns0:c>
      <ns0:c r="Q689" s="0">
        <ns0:f>IF(AND(Bookings!G689="Approved",E689="Yes",L689=0,$B$6=0),I689,0)</ns0:f>
        <ns0:v>0</ns0:v>
      </ns0:c>
      <ns0:c r="R689" s="0">
        <ns0:f>IF(AND(Bookings!G689="Pending",E689="Yes"),N689,0)</ns0:f>
        <ns0:v>0</ns0:v>
      </ns0:c>
      <ns0:c r="S689" s="0">
        <ns0:f>IF(AND(Bookings!G689="Approved",E689="No"),N689,0)</ns0:f>
        <ns0:v>0</ns0:v>
      </ns0:c>
      <ns0:c r="T689" s="0">
        <ns0:f>IFERROR(MATCH(D689,Settings!$G$7:$G$11,0),0)</ns0:f>
        <ns0:v>0</ns0:v>
      </ns0:c>
      <ns0:c r="U689" s="0">
        <ns0:f>IF(N689&gt;0,T689+IF(Bookings!G689="Pending",10,0),0)</ns0:f>
        <ns0:v>0</ns0:v>
      </ns0:c>
      <ns0:c r="V689" s="0">
        <ns0:f>U689</ns0:f>
        <ns0:v>0</ns0:v>
      </ns0:c>
      <ns0:c r="W689" s="0" t="str">
        <ns0:f>IF(C689=0,"",INDEX($AP$11:$AP$60,C689))</ns0:f>
        <ns0:v/>
      </ns0:c>
    </ns0:row>
    <ns0:row r="690">
      <ns0:c r="A690" s="0">
        <ns0:f>IF(COUNTA(Bookings!A690:G690,Bookings!I690)=0,0,1)</ns0:f>
        <ns0:v>0</ns0:v>
      </ns0:c>
      <ns0:c r="B690" s="0" t="str">
        <ns0:f>IFERROR(TRIM(MID(Bookings!A690,FIND(" · ",Bookings!A690)+3,99)),"")</ns0:f>
        <ns0:v/>
      </ns0:c>
      <ns0:c r="C690" s="0">
        <ns0:f>IF(OR(B690="",LEN(B690)&gt;24,ISNUMBER(FIND(" ",B690)),ISNUMBER(FIND("*",B690)),ISNUMBER(FIND("?",B690)),ISNUMBER(FIND("~",B690))),0,IFERROR(MATCH(B690,Team!$A$11:$A$60,0),0))</ns0:f>
        <ns0:v>0</ns0:v>
      </ns0:c>
      <ns0:c r="D690" s="0" t="str">
        <ns0:f>IFERROR(IF(MID(Bookings!F690,LEN(Bookings!F690)-3,3)=" · ",RIGHT(Bookings!F690,1),""),"")</ns0:f>
        <ns0:v/>
      </ns0:c>
      <ns0:c r="E690" s="0" t="str">
        <ns0:f>IFERROR(INDEX(Settings!$H$7:$H$11,MATCH(D690,Settings!$G$7:$G$11,0)),"")</ns0:f>
        <ns0:v/>
      </ns0:c>
      <ns0:c r="F690" s="0" t="str">
        <ns0:f>IF(A690=0,"",IFERROR(IF(OR(B690="",C690=0),"CHECK employee selection",IF(INDEX(Team!$O$11:$O$60,C690)&lt;&gt;"OK","CHECK employee setup",IF(OR('_Dates'!J690=0,'_Dates'!T690=0),"CHECK date: use DD.MM.YYYY",IF('_Dates'!T690&lt;'_Dates'!J690,"CHECK end before start",IF(AND($B$6=0,OR('_Dates'!J690&lt;Settings!$B$7,'_Dates'!T690&gt;Settings!$B$8)),"CHECK split across leave years",IF(OR(NOT(OR('_Dates'!U690="Full day",'_Dates'!U690="AM",'_Dates'!U690="PM")),NOT(OR('_Dates'!V690="Full day",'_Dates'!V690="AM",'_Dates'!V690="PM"))),"CHECK Full day / AM / PM",IF(AND('_Dates'!J690='_Dates'!T690,'_Dates'!U690&lt;&gt;"Full day",'_Dates'!V690&lt;&gt;"Full day",'_Dates'!U690&lt;&gt;'_Dates'!V690),"CHECK same-day portions disagree",IF(AND($B$6=0,OR(AND('_Dates'!U690&lt;&gt;"Full day",'_Dates'!AA690=0),AND('_Dates'!V690&lt;&gt;"Full day",'_Dates'!AB690=0))),"CHECK half-day on non-working date",IF(COUNTIF(Settings!$G$7:$G$11,D690)&lt;&gt;1,"CHECK leave type",IF(AND(Bookings!G690&lt;&gt;"Approved",Bookings!G690&lt;&gt;"Pending",Bookings!G690&lt;&gt;"Cancelled"),"CHECK status","OK")))))))))),"CHECK input"))</ns0:f>
        <ns0:v/>
      </ns0:c>
      <ns0:c r="G690" s="0">
        <ns0:f>IF(OR(F690&lt;&gt;"OK",$B$6&gt;0),0,0.5*(IF(('_Dates'!X690)&lt;('_Dates'!W690),0,INT((('_Dates'!X690)-('_Dates'!W690)+1)/7)*LEN(SUBSTITUTE(W690,"O",""))+LEN(SUBSTITUTE(MID(W690&amp;W690,WEEKDAY(('_Dates'!W690),2),MOD((('_Dates'!X690)-('_Dates'!W690)+1),7)),"O",""))-COUNTIFS(INDEX(AllClosureRows,C690,0),"&gt;="&amp;('_Dates'!W690),INDEX(AllClosureRows,C690,0),"&lt;="&amp;('_Dates'!X690)))+IF(('_Dates'!Z690)&lt;('_Dates'!Y690),0,INT((('_Dates'!Z690)-('_Dates'!Y690)+1)/7)*LEN(SUBSTITUTE(W690,"O",""))+LEN(SUBSTITUTE(MID(W690&amp;W690,WEEKDAY(('_Dates'!Y690),2),MOD((('_Dates'!Z690)-('_Dates'!Y690)+1),7)),"O",""))-COUNTIFS(INDEX(AllClosureRows,C690,0),"&gt;="&amp;('_Dates'!Y690),INDEX(AllClosureRows,C690,0),"&lt;="&amp;('_Dates'!Z690)))))</ns0:f>
        <ns0:v>0</ns0:v>
      </ns0:c>
      <ns0:c r="H690" s="0">
        <ns0:f>IF(OR(F690&lt;&gt;"OK",$B$6&gt;0),0,0.5*(IF((MIN('_Dates'!X690,Settings!$B$9))&lt;('_Dates'!W690),0,INT(((MIN('_Dates'!X690,Settings!$B$9))-('_Dates'!W690)+1)/7)*LEN(SUBSTITUTE(W690,"O",""))+LEN(SUBSTITUTE(MID(W690&amp;W690,WEEKDAY(('_Dates'!W690),2),MOD(((MIN('_Dates'!X690,Settings!$B$9))-('_Dates'!W690)+1),7)),"O",""))-COUNTIFS(INDEX(AllClosureRows,C690,0),"&gt;="&amp;('_Dates'!W690),INDEX(AllClosureRows,C690,0),"&lt;="&amp;(MIN('_Dates'!X690,Settings!$B$9))))+IF((MIN('_Dates'!Z690,Settings!$B$9))&lt;('_Dates'!Y690),0,INT(((MIN('_Dates'!Z690,Settings!$B$9))-('_Dates'!Y690)+1)/7)*LEN(SUBSTITUTE(W690,"O",""))+LEN(SUBSTITUTE(MID(W690&amp;W690,WEEKDAY(('_Dates'!Y690),2),MOD(((MIN('_Dates'!Z690,Settings!$B$9))-('_Dates'!Y690)+1),7)),"O",""))-COUNTIFS(INDEX(AllClosureRows,C690,0),"&gt;="&amp;('_Dates'!Y690),INDEX(AllClosureRows,C690,0),"&lt;="&amp;(MIN('_Dates'!Z690,Settings!$B$9))))))</ns0:f>
        <ns0:v>0</ns0:v>
      </ns0:c>
      <ns0:c r="I690" s="0">
        <ns0:f>MAX(0,G690-H690)</ns0:f>
        <ns0:v>0</ns0:v>
      </ns0:c>
      <ns0:c r="J690" s="0">
        <ns0:f>IF(OR(A690=0,F690&lt;&gt;"OK",Bookings!G690="Cancelled",$B$6&gt;0),0,IF('_Dates'!AC690=1,MAX(0,COUNTIFS(rngEngine_B,B690,rngAMStart,"&lt;="&amp;'_Dates'!X690,rngAMEnd,"&gt;="&amp;'_Dates'!W690,rngAMActive,1,rngEngine_F,"OK",rngBookings_F,"&lt;&gt;Cancelled")-1),0)+IF('_Dates'!AD690=1,MAX(0,COUNTIFS(rngEngine_B,B690,rngPMStart,"&lt;="&amp;'_Dates'!Z690,rngPMEnd,"&gt;="&amp;'_Dates'!Y690,rngPMActive,1,rngEngine_F,"OK",rngBookings_F,"&lt;&gt;Cancelled")-1),0))</ns0:f>
        <ns0:v>0</ns0:v>
      </ns0:c>
      <ns0:c r="K690" s="0" t="str">
        <ns0:f>IF(A690=0,"",IF(F690&lt;&gt;"OK",F690,IF(J690&gt;0,"CHECK overlapping entry",IF(AND($B$6=0,G690&lt;=0,Bookings!G690&lt;&gt;"Cancelled"),"CHECK no working days",IF(Bookings!G690="Cancelled","Cancelled","OK")))))</ns0:f>
        <ns0:v/>
      </ns0:c>
      <ns0:c r="L690" s="0">
        <ns0:f>IF(LEFT(K690,5)="CHECK",1,0)</ns0:f>
        <ns0:v>0</ns0:v>
      </ns0:c>
      <ns0:c r="M690" s="0">
        <ns0:f>IF(AND(L690=1,OR(C690=0,IFERROR(INDEX($X$11:$X$60,C690),0)=0)),1,0)</ns0:f>
        <ns0:v>0</ns0:v>
      </ns0:c>
      <ns0:c r="N690" s="0">
        <ns0:f>IF(OR(A690=0,L690&gt;0,$B$6&gt;0,Bookings!G690="Cancelled"),0,G690)</ns0:f>
        <ns0:v>0</ns0:v>
      </ns0:c>
      <ns0:c r="O690" s="0">
        <ns0:f>IF(AND(Bookings!G690="Approved",E690="Yes"),N690,0)</ns0:f>
        <ns0:v>0</ns0:v>
      </ns0:c>
      <ns0:c r="P690" s="0">
        <ns0:f>IF(AND(Bookings!G690="Approved",E690="Yes",L690=0,$B$6=0),H690,0)</ns0:f>
        <ns0:v>0</ns0:v>
      </ns0:c>
      <ns0:c r="Q690" s="0">
        <ns0:f>IF(AND(Bookings!G690="Approved",E690="Yes",L690=0,$B$6=0),I690,0)</ns0:f>
        <ns0:v>0</ns0:v>
      </ns0:c>
      <ns0:c r="R690" s="0">
        <ns0:f>IF(AND(Bookings!G690="Pending",E690="Yes"),N690,0)</ns0:f>
        <ns0:v>0</ns0:v>
      </ns0:c>
      <ns0:c r="S690" s="0">
        <ns0:f>IF(AND(Bookings!G690="Approved",E690="No"),N690,0)</ns0:f>
        <ns0:v>0</ns0:v>
      </ns0:c>
      <ns0:c r="T690" s="0">
        <ns0:f>IFERROR(MATCH(D690,Settings!$G$7:$G$11,0),0)</ns0:f>
        <ns0:v>0</ns0:v>
      </ns0:c>
      <ns0:c r="U690" s="0">
        <ns0:f>IF(N690&gt;0,T690+IF(Bookings!G690="Pending",10,0),0)</ns0:f>
        <ns0:v>0</ns0:v>
      </ns0:c>
      <ns0:c r="V690" s="0">
        <ns0:f>U690</ns0:f>
        <ns0:v>0</ns0:v>
      </ns0:c>
      <ns0:c r="W690" s="0" t="str">
        <ns0:f>IF(C690=0,"",INDEX($AP$11:$AP$60,C690))</ns0:f>
        <ns0:v/>
      </ns0:c>
    </ns0:row>
    <ns0:row r="691">
      <ns0:c r="A691" s="0">
        <ns0:f>IF(COUNTA(Bookings!A691:G691,Bookings!I691)=0,0,1)</ns0:f>
        <ns0:v>0</ns0:v>
      </ns0:c>
      <ns0:c r="B691" s="0" t="str">
        <ns0:f>IFERROR(TRIM(MID(Bookings!A691,FIND(" · ",Bookings!A691)+3,99)),"")</ns0:f>
        <ns0:v/>
      </ns0:c>
      <ns0:c r="C691" s="0">
        <ns0:f>IF(OR(B691="",LEN(B691)&gt;24,ISNUMBER(FIND(" ",B691)),ISNUMBER(FIND("*",B691)),ISNUMBER(FIND("?",B691)),ISNUMBER(FIND("~",B691))),0,IFERROR(MATCH(B691,Team!$A$11:$A$60,0),0))</ns0:f>
        <ns0:v>0</ns0:v>
      </ns0:c>
      <ns0:c r="D691" s="0" t="str">
        <ns0:f>IFERROR(IF(MID(Bookings!F691,LEN(Bookings!F691)-3,3)=" · ",RIGHT(Bookings!F691,1),""),"")</ns0:f>
        <ns0:v/>
      </ns0:c>
      <ns0:c r="E691" s="0" t="str">
        <ns0:f>IFERROR(INDEX(Settings!$H$7:$H$11,MATCH(D691,Settings!$G$7:$G$11,0)),"")</ns0:f>
        <ns0:v/>
      </ns0:c>
      <ns0:c r="F691" s="0" t="str">
        <ns0:f>IF(A691=0,"",IFERROR(IF(OR(B691="",C691=0),"CHECK employee selection",IF(INDEX(Team!$O$11:$O$60,C691)&lt;&gt;"OK","CHECK employee setup",IF(OR('_Dates'!J691=0,'_Dates'!T691=0),"CHECK date: use DD.MM.YYYY",IF('_Dates'!T691&lt;'_Dates'!J691,"CHECK end before start",IF(AND($B$6=0,OR('_Dates'!J691&lt;Settings!$B$7,'_Dates'!T691&gt;Settings!$B$8)),"CHECK split across leave years",IF(OR(NOT(OR('_Dates'!U691="Full day",'_Dates'!U691="AM",'_Dates'!U691="PM")),NOT(OR('_Dates'!V691="Full day",'_Dates'!V691="AM",'_Dates'!V691="PM"))),"CHECK Full day / AM / PM",IF(AND('_Dates'!J691='_Dates'!T691,'_Dates'!U691&lt;&gt;"Full day",'_Dates'!V691&lt;&gt;"Full day",'_Dates'!U691&lt;&gt;'_Dates'!V691),"CHECK same-day portions disagree",IF(AND($B$6=0,OR(AND('_Dates'!U691&lt;&gt;"Full day",'_Dates'!AA691=0),AND('_Dates'!V691&lt;&gt;"Full day",'_Dates'!AB691=0))),"CHECK half-day on non-working date",IF(COUNTIF(Settings!$G$7:$G$11,D691)&lt;&gt;1,"CHECK leave type",IF(AND(Bookings!G691&lt;&gt;"Approved",Bookings!G691&lt;&gt;"Pending",Bookings!G691&lt;&gt;"Cancelled"),"CHECK status","OK")))))))))),"CHECK input"))</ns0:f>
        <ns0:v/>
      </ns0:c>
      <ns0:c r="G691" s="0">
        <ns0:f>IF(OR(F691&lt;&gt;"OK",$B$6&gt;0),0,0.5*(IF(('_Dates'!X691)&lt;('_Dates'!W691),0,INT((('_Dates'!X691)-('_Dates'!W691)+1)/7)*LEN(SUBSTITUTE(W691,"O",""))+LEN(SUBSTITUTE(MID(W691&amp;W691,WEEKDAY(('_Dates'!W691),2),MOD((('_Dates'!X691)-('_Dates'!W691)+1),7)),"O",""))-COUNTIFS(INDEX(AllClosureRows,C691,0),"&gt;="&amp;('_Dates'!W691),INDEX(AllClosureRows,C691,0),"&lt;="&amp;('_Dates'!X691)))+IF(('_Dates'!Z691)&lt;('_Dates'!Y691),0,INT((('_Dates'!Z691)-('_Dates'!Y691)+1)/7)*LEN(SUBSTITUTE(W691,"O",""))+LEN(SUBSTITUTE(MID(W691&amp;W691,WEEKDAY(('_Dates'!Y691),2),MOD((('_Dates'!Z691)-('_Dates'!Y691)+1),7)),"O",""))-COUNTIFS(INDEX(AllClosureRows,C691,0),"&gt;="&amp;('_Dates'!Y691),INDEX(AllClosureRows,C691,0),"&lt;="&amp;('_Dates'!Z691)))))</ns0:f>
        <ns0:v>0</ns0:v>
      </ns0:c>
      <ns0:c r="H691" s="0">
        <ns0:f>IF(OR(F691&lt;&gt;"OK",$B$6&gt;0),0,0.5*(IF((MIN('_Dates'!X691,Settings!$B$9))&lt;('_Dates'!W691),0,INT(((MIN('_Dates'!X691,Settings!$B$9))-('_Dates'!W691)+1)/7)*LEN(SUBSTITUTE(W691,"O",""))+LEN(SUBSTITUTE(MID(W691&amp;W691,WEEKDAY(('_Dates'!W691),2),MOD(((MIN('_Dates'!X691,Settings!$B$9))-('_Dates'!W691)+1),7)),"O",""))-COUNTIFS(INDEX(AllClosureRows,C691,0),"&gt;="&amp;('_Dates'!W691),INDEX(AllClosureRows,C691,0),"&lt;="&amp;(MIN('_Dates'!X691,Settings!$B$9))))+IF((MIN('_Dates'!Z691,Settings!$B$9))&lt;('_Dates'!Y691),0,INT(((MIN('_Dates'!Z691,Settings!$B$9))-('_Dates'!Y691)+1)/7)*LEN(SUBSTITUTE(W691,"O",""))+LEN(SUBSTITUTE(MID(W691&amp;W691,WEEKDAY(('_Dates'!Y691),2),MOD(((MIN('_Dates'!Z691,Settings!$B$9))-('_Dates'!Y691)+1),7)),"O",""))-COUNTIFS(INDEX(AllClosureRows,C691,0),"&gt;="&amp;('_Dates'!Y691),INDEX(AllClosureRows,C691,0),"&lt;="&amp;(MIN('_Dates'!Z691,Settings!$B$9))))))</ns0:f>
        <ns0:v>0</ns0:v>
      </ns0:c>
      <ns0:c r="I691" s="0">
        <ns0:f>MAX(0,G691-H691)</ns0:f>
        <ns0:v>0</ns0:v>
      </ns0:c>
      <ns0:c r="J691" s="0">
        <ns0:f>IF(OR(A691=0,F691&lt;&gt;"OK",Bookings!G691="Cancelled",$B$6&gt;0),0,IF('_Dates'!AC691=1,MAX(0,COUNTIFS(rngEngine_B,B691,rngAMStart,"&lt;="&amp;'_Dates'!X691,rngAMEnd,"&gt;="&amp;'_Dates'!W691,rngAMActive,1,rngEngine_F,"OK",rngBookings_F,"&lt;&gt;Cancelled")-1),0)+IF('_Dates'!AD691=1,MAX(0,COUNTIFS(rngEngine_B,B691,rngPMStart,"&lt;="&amp;'_Dates'!Z691,rngPMEnd,"&gt;="&amp;'_Dates'!Y691,rngPMActive,1,rngEngine_F,"OK",rngBookings_F,"&lt;&gt;Cancelled")-1),0))</ns0:f>
        <ns0:v>0</ns0:v>
      </ns0:c>
      <ns0:c r="K691" s="0" t="str">
        <ns0:f>IF(A691=0,"",IF(F691&lt;&gt;"OK",F691,IF(J691&gt;0,"CHECK overlapping entry",IF(AND($B$6=0,G691&lt;=0,Bookings!G691&lt;&gt;"Cancelled"),"CHECK no working days",IF(Bookings!G691="Cancelled","Cancelled","OK")))))</ns0:f>
        <ns0:v/>
      </ns0:c>
      <ns0:c r="L691" s="0">
        <ns0:f>IF(LEFT(K691,5)="CHECK",1,0)</ns0:f>
        <ns0:v>0</ns0:v>
      </ns0:c>
      <ns0:c r="M691" s="0">
        <ns0:f>IF(AND(L691=1,OR(C691=0,IFERROR(INDEX($X$11:$X$60,C691),0)=0)),1,0)</ns0:f>
        <ns0:v>0</ns0:v>
      </ns0:c>
      <ns0:c r="N691" s="0">
        <ns0:f>IF(OR(A691=0,L691&gt;0,$B$6&gt;0,Bookings!G691="Cancelled"),0,G691)</ns0:f>
        <ns0:v>0</ns0:v>
      </ns0:c>
      <ns0:c r="O691" s="0">
        <ns0:f>IF(AND(Bookings!G691="Approved",E691="Yes"),N691,0)</ns0:f>
        <ns0:v>0</ns0:v>
      </ns0:c>
      <ns0:c r="P691" s="0">
        <ns0:f>IF(AND(Bookings!G691="Approved",E691="Yes",L691=0,$B$6=0),H691,0)</ns0:f>
        <ns0:v>0</ns0:v>
      </ns0:c>
      <ns0:c r="Q691" s="0">
        <ns0:f>IF(AND(Bookings!G691="Approved",E691="Yes",L691=0,$B$6=0),I691,0)</ns0:f>
        <ns0:v>0</ns0:v>
      </ns0:c>
      <ns0:c r="R691" s="0">
        <ns0:f>IF(AND(Bookings!G691="Pending",E691="Yes"),N691,0)</ns0:f>
        <ns0:v>0</ns0:v>
      </ns0:c>
      <ns0:c r="S691" s="0">
        <ns0:f>IF(AND(Bookings!G691="Approved",E691="No"),N691,0)</ns0:f>
        <ns0:v>0</ns0:v>
      </ns0:c>
      <ns0:c r="T691" s="0">
        <ns0:f>IFERROR(MATCH(D691,Settings!$G$7:$G$11,0),0)</ns0:f>
        <ns0:v>0</ns0:v>
      </ns0:c>
      <ns0:c r="U691" s="0">
        <ns0:f>IF(N691&gt;0,T691+IF(Bookings!G691="Pending",10,0),0)</ns0:f>
        <ns0:v>0</ns0:v>
      </ns0:c>
      <ns0:c r="V691" s="0">
        <ns0:f>U691</ns0:f>
        <ns0:v>0</ns0:v>
      </ns0:c>
      <ns0:c r="W691" s="0" t="str">
        <ns0:f>IF(C691=0,"",INDEX($AP$11:$AP$60,C691))</ns0:f>
        <ns0:v/>
      </ns0:c>
    </ns0:row>
    <ns0:row r="692">
      <ns0:c r="A692" s="0">
        <ns0:f>IF(COUNTA(Bookings!A692:G692,Bookings!I692)=0,0,1)</ns0:f>
        <ns0:v>0</ns0:v>
      </ns0:c>
      <ns0:c r="B692" s="0" t="str">
        <ns0:f>IFERROR(TRIM(MID(Bookings!A692,FIND(" · ",Bookings!A692)+3,99)),"")</ns0:f>
        <ns0:v/>
      </ns0:c>
      <ns0:c r="C692" s="0">
        <ns0:f>IF(OR(B692="",LEN(B692)&gt;24,ISNUMBER(FIND(" ",B692)),ISNUMBER(FIND("*",B692)),ISNUMBER(FIND("?",B692)),ISNUMBER(FIND("~",B692))),0,IFERROR(MATCH(B692,Team!$A$11:$A$60,0),0))</ns0:f>
        <ns0:v>0</ns0:v>
      </ns0:c>
      <ns0:c r="D692" s="0" t="str">
        <ns0:f>IFERROR(IF(MID(Bookings!F692,LEN(Bookings!F692)-3,3)=" · ",RIGHT(Bookings!F692,1),""),"")</ns0:f>
        <ns0:v/>
      </ns0:c>
      <ns0:c r="E692" s="0" t="str">
        <ns0:f>IFERROR(INDEX(Settings!$H$7:$H$11,MATCH(D692,Settings!$G$7:$G$11,0)),"")</ns0:f>
        <ns0:v/>
      </ns0:c>
      <ns0:c r="F692" s="0" t="str">
        <ns0:f>IF(A692=0,"",IFERROR(IF(OR(B692="",C692=0),"CHECK employee selection",IF(INDEX(Team!$O$11:$O$60,C692)&lt;&gt;"OK","CHECK employee setup",IF(OR('_Dates'!J692=0,'_Dates'!T692=0),"CHECK date: use DD.MM.YYYY",IF('_Dates'!T692&lt;'_Dates'!J692,"CHECK end before start",IF(AND($B$6=0,OR('_Dates'!J692&lt;Settings!$B$7,'_Dates'!T692&gt;Settings!$B$8)),"CHECK split across leave years",IF(OR(NOT(OR('_Dates'!U692="Full day",'_Dates'!U692="AM",'_Dates'!U692="PM")),NOT(OR('_Dates'!V692="Full day",'_Dates'!V692="AM",'_Dates'!V692="PM"))),"CHECK Full day / AM / PM",IF(AND('_Dates'!J692='_Dates'!T692,'_Dates'!U692&lt;&gt;"Full day",'_Dates'!V692&lt;&gt;"Full day",'_Dates'!U692&lt;&gt;'_Dates'!V692),"CHECK same-day portions disagree",IF(AND($B$6=0,OR(AND('_Dates'!U692&lt;&gt;"Full day",'_Dates'!AA692=0),AND('_Dates'!V692&lt;&gt;"Full day",'_Dates'!AB692=0))),"CHECK half-day on non-working date",IF(COUNTIF(Settings!$G$7:$G$11,D692)&lt;&gt;1,"CHECK leave type",IF(AND(Bookings!G692&lt;&gt;"Approved",Bookings!G692&lt;&gt;"Pending",Bookings!G692&lt;&gt;"Cancelled"),"CHECK status","OK")))))))))),"CHECK input"))</ns0:f>
        <ns0:v/>
      </ns0:c>
      <ns0:c r="G692" s="0">
        <ns0:f>IF(OR(F692&lt;&gt;"OK",$B$6&gt;0),0,0.5*(IF(('_Dates'!X692)&lt;('_Dates'!W692),0,INT((('_Dates'!X692)-('_Dates'!W692)+1)/7)*LEN(SUBSTITUTE(W692,"O",""))+LEN(SUBSTITUTE(MID(W692&amp;W692,WEEKDAY(('_Dates'!W692),2),MOD((('_Dates'!X692)-('_Dates'!W692)+1),7)),"O",""))-COUNTIFS(INDEX(AllClosureRows,C692,0),"&gt;="&amp;('_Dates'!W692),INDEX(AllClosureRows,C692,0),"&lt;="&amp;('_Dates'!X692)))+IF(('_Dates'!Z692)&lt;('_Dates'!Y692),0,INT((('_Dates'!Z692)-('_Dates'!Y692)+1)/7)*LEN(SUBSTITUTE(W692,"O",""))+LEN(SUBSTITUTE(MID(W692&amp;W692,WEEKDAY(('_Dates'!Y692),2),MOD((('_Dates'!Z692)-('_Dates'!Y692)+1),7)),"O",""))-COUNTIFS(INDEX(AllClosureRows,C692,0),"&gt;="&amp;('_Dates'!Y692),INDEX(AllClosureRows,C692,0),"&lt;="&amp;('_Dates'!Z692)))))</ns0:f>
        <ns0:v>0</ns0:v>
      </ns0:c>
      <ns0:c r="H692" s="0">
        <ns0:f>IF(OR(F692&lt;&gt;"OK",$B$6&gt;0),0,0.5*(IF((MIN('_Dates'!X692,Settings!$B$9))&lt;('_Dates'!W692),0,INT(((MIN('_Dates'!X692,Settings!$B$9))-('_Dates'!W692)+1)/7)*LEN(SUBSTITUTE(W692,"O",""))+LEN(SUBSTITUTE(MID(W692&amp;W692,WEEKDAY(('_Dates'!W692),2),MOD(((MIN('_Dates'!X692,Settings!$B$9))-('_Dates'!W692)+1),7)),"O",""))-COUNTIFS(INDEX(AllClosureRows,C692,0),"&gt;="&amp;('_Dates'!W692),INDEX(AllClosureRows,C692,0),"&lt;="&amp;(MIN('_Dates'!X692,Settings!$B$9))))+IF((MIN('_Dates'!Z692,Settings!$B$9))&lt;('_Dates'!Y692),0,INT(((MIN('_Dates'!Z692,Settings!$B$9))-('_Dates'!Y692)+1)/7)*LEN(SUBSTITUTE(W692,"O",""))+LEN(SUBSTITUTE(MID(W692&amp;W692,WEEKDAY(('_Dates'!Y692),2),MOD(((MIN('_Dates'!Z692,Settings!$B$9))-('_Dates'!Y692)+1),7)),"O",""))-COUNTIFS(INDEX(AllClosureRows,C692,0),"&gt;="&amp;('_Dates'!Y692),INDEX(AllClosureRows,C692,0),"&lt;="&amp;(MIN('_Dates'!Z692,Settings!$B$9))))))</ns0:f>
        <ns0:v>0</ns0:v>
      </ns0:c>
      <ns0:c r="I692" s="0">
        <ns0:f>MAX(0,G692-H692)</ns0:f>
        <ns0:v>0</ns0:v>
      </ns0:c>
      <ns0:c r="J692" s="0">
        <ns0:f>IF(OR(A692=0,F692&lt;&gt;"OK",Bookings!G692="Cancelled",$B$6&gt;0),0,IF('_Dates'!AC692=1,MAX(0,COUNTIFS(rngEngine_B,B692,rngAMStart,"&lt;="&amp;'_Dates'!X692,rngAMEnd,"&gt;="&amp;'_Dates'!W692,rngAMActive,1,rngEngine_F,"OK",rngBookings_F,"&lt;&gt;Cancelled")-1),0)+IF('_Dates'!AD692=1,MAX(0,COUNTIFS(rngEngine_B,B692,rngPMStart,"&lt;="&amp;'_Dates'!Z692,rngPMEnd,"&gt;="&amp;'_Dates'!Y692,rngPMActive,1,rngEngine_F,"OK",rngBookings_F,"&lt;&gt;Cancelled")-1),0))</ns0:f>
        <ns0:v>0</ns0:v>
      </ns0:c>
      <ns0:c r="K692" s="0" t="str">
        <ns0:f>IF(A692=0,"",IF(F692&lt;&gt;"OK",F692,IF(J692&gt;0,"CHECK overlapping entry",IF(AND($B$6=0,G692&lt;=0,Bookings!G692&lt;&gt;"Cancelled"),"CHECK no working days",IF(Bookings!G692="Cancelled","Cancelled","OK")))))</ns0:f>
        <ns0:v/>
      </ns0:c>
      <ns0:c r="L692" s="0">
        <ns0:f>IF(LEFT(K692,5)="CHECK",1,0)</ns0:f>
        <ns0:v>0</ns0:v>
      </ns0:c>
      <ns0:c r="M692" s="0">
        <ns0:f>IF(AND(L692=1,OR(C692=0,IFERROR(INDEX($X$11:$X$60,C692),0)=0)),1,0)</ns0:f>
        <ns0:v>0</ns0:v>
      </ns0:c>
      <ns0:c r="N692" s="0">
        <ns0:f>IF(OR(A692=0,L692&gt;0,$B$6&gt;0,Bookings!G692="Cancelled"),0,G692)</ns0:f>
        <ns0:v>0</ns0:v>
      </ns0:c>
      <ns0:c r="O692" s="0">
        <ns0:f>IF(AND(Bookings!G692="Approved",E692="Yes"),N692,0)</ns0:f>
        <ns0:v>0</ns0:v>
      </ns0:c>
      <ns0:c r="P692" s="0">
        <ns0:f>IF(AND(Bookings!G692="Approved",E692="Yes",L692=0,$B$6=0),H692,0)</ns0:f>
        <ns0:v>0</ns0:v>
      </ns0:c>
      <ns0:c r="Q692" s="0">
        <ns0:f>IF(AND(Bookings!G692="Approved",E692="Yes",L692=0,$B$6=0),I692,0)</ns0:f>
        <ns0:v>0</ns0:v>
      </ns0:c>
      <ns0:c r="R692" s="0">
        <ns0:f>IF(AND(Bookings!G692="Pending",E692="Yes"),N692,0)</ns0:f>
        <ns0:v>0</ns0:v>
      </ns0:c>
      <ns0:c r="S692" s="0">
        <ns0:f>IF(AND(Bookings!G692="Approved",E692="No"),N692,0)</ns0:f>
        <ns0:v>0</ns0:v>
      </ns0:c>
      <ns0:c r="T692" s="0">
        <ns0:f>IFERROR(MATCH(D692,Settings!$G$7:$G$11,0),0)</ns0:f>
        <ns0:v>0</ns0:v>
      </ns0:c>
      <ns0:c r="U692" s="0">
        <ns0:f>IF(N692&gt;0,T692+IF(Bookings!G692="Pending",10,0),0)</ns0:f>
        <ns0:v>0</ns0:v>
      </ns0:c>
      <ns0:c r="V692" s="0">
        <ns0:f>U692</ns0:f>
        <ns0:v>0</ns0:v>
      </ns0:c>
      <ns0:c r="W692" s="0" t="str">
        <ns0:f>IF(C692=0,"",INDEX($AP$11:$AP$60,C692))</ns0:f>
        <ns0:v/>
      </ns0:c>
    </ns0:row>
    <ns0:row r="693">
      <ns0:c r="A693" s="0">
        <ns0:f>IF(COUNTA(Bookings!A693:G693,Bookings!I693)=0,0,1)</ns0:f>
        <ns0:v>0</ns0:v>
      </ns0:c>
      <ns0:c r="B693" s="0" t="str">
        <ns0:f>IFERROR(TRIM(MID(Bookings!A693,FIND(" · ",Bookings!A693)+3,99)),"")</ns0:f>
        <ns0:v/>
      </ns0:c>
      <ns0:c r="C693" s="0">
        <ns0:f>IF(OR(B693="",LEN(B693)&gt;24,ISNUMBER(FIND(" ",B693)),ISNUMBER(FIND("*",B693)),ISNUMBER(FIND("?",B693)),ISNUMBER(FIND("~",B693))),0,IFERROR(MATCH(B693,Team!$A$11:$A$60,0),0))</ns0:f>
        <ns0:v>0</ns0:v>
      </ns0:c>
      <ns0:c r="D693" s="0" t="str">
        <ns0:f>IFERROR(IF(MID(Bookings!F693,LEN(Bookings!F693)-3,3)=" · ",RIGHT(Bookings!F693,1),""),"")</ns0:f>
        <ns0:v/>
      </ns0:c>
      <ns0:c r="E693" s="0" t="str">
        <ns0:f>IFERROR(INDEX(Settings!$H$7:$H$11,MATCH(D693,Settings!$G$7:$G$11,0)),"")</ns0:f>
        <ns0:v/>
      </ns0:c>
      <ns0:c r="F693" s="0" t="str">
        <ns0:f>IF(A693=0,"",IFERROR(IF(OR(B693="",C693=0),"CHECK employee selection",IF(INDEX(Team!$O$11:$O$60,C693)&lt;&gt;"OK","CHECK employee setup",IF(OR('_Dates'!J693=0,'_Dates'!T693=0),"CHECK date: use DD.MM.YYYY",IF('_Dates'!T693&lt;'_Dates'!J693,"CHECK end before start",IF(AND($B$6=0,OR('_Dates'!J693&lt;Settings!$B$7,'_Dates'!T693&gt;Settings!$B$8)),"CHECK split across leave years",IF(OR(NOT(OR('_Dates'!U693="Full day",'_Dates'!U693="AM",'_Dates'!U693="PM")),NOT(OR('_Dates'!V693="Full day",'_Dates'!V693="AM",'_Dates'!V693="PM"))),"CHECK Full day / AM / PM",IF(AND('_Dates'!J693='_Dates'!T693,'_Dates'!U693&lt;&gt;"Full day",'_Dates'!V693&lt;&gt;"Full day",'_Dates'!U693&lt;&gt;'_Dates'!V693),"CHECK same-day portions disagree",IF(AND($B$6=0,OR(AND('_Dates'!U693&lt;&gt;"Full day",'_Dates'!AA693=0),AND('_Dates'!V693&lt;&gt;"Full day",'_Dates'!AB693=0))),"CHECK half-day on non-working date",IF(COUNTIF(Settings!$G$7:$G$11,D693)&lt;&gt;1,"CHECK leave type",IF(AND(Bookings!G693&lt;&gt;"Approved",Bookings!G693&lt;&gt;"Pending",Bookings!G693&lt;&gt;"Cancelled"),"CHECK status","OK")))))))))),"CHECK input"))</ns0:f>
        <ns0:v/>
      </ns0:c>
      <ns0:c r="G693" s="0">
        <ns0:f>IF(OR(F693&lt;&gt;"OK",$B$6&gt;0),0,0.5*(IF(('_Dates'!X693)&lt;('_Dates'!W693),0,INT((('_Dates'!X693)-('_Dates'!W693)+1)/7)*LEN(SUBSTITUTE(W693,"O",""))+LEN(SUBSTITUTE(MID(W693&amp;W693,WEEKDAY(('_Dates'!W693),2),MOD((('_Dates'!X693)-('_Dates'!W693)+1),7)),"O",""))-COUNTIFS(INDEX(AllClosureRows,C693,0),"&gt;="&amp;('_Dates'!W693),INDEX(AllClosureRows,C693,0),"&lt;="&amp;('_Dates'!X693)))+IF(('_Dates'!Z693)&lt;('_Dates'!Y693),0,INT((('_Dates'!Z693)-('_Dates'!Y693)+1)/7)*LEN(SUBSTITUTE(W693,"O",""))+LEN(SUBSTITUTE(MID(W693&amp;W693,WEEKDAY(('_Dates'!Y693),2),MOD((('_Dates'!Z693)-('_Dates'!Y693)+1),7)),"O",""))-COUNTIFS(INDEX(AllClosureRows,C693,0),"&gt;="&amp;('_Dates'!Y693),INDEX(AllClosureRows,C693,0),"&lt;="&amp;('_Dates'!Z693)))))</ns0:f>
        <ns0:v>0</ns0:v>
      </ns0:c>
      <ns0:c r="H693" s="0">
        <ns0:f>IF(OR(F693&lt;&gt;"OK",$B$6&gt;0),0,0.5*(IF((MIN('_Dates'!X693,Settings!$B$9))&lt;('_Dates'!W693),0,INT(((MIN('_Dates'!X693,Settings!$B$9))-('_Dates'!W693)+1)/7)*LEN(SUBSTITUTE(W693,"O",""))+LEN(SUBSTITUTE(MID(W693&amp;W693,WEEKDAY(('_Dates'!W693),2),MOD(((MIN('_Dates'!X693,Settings!$B$9))-('_Dates'!W693)+1),7)),"O",""))-COUNTIFS(INDEX(AllClosureRows,C693,0),"&gt;="&amp;('_Dates'!W693),INDEX(AllClosureRows,C693,0),"&lt;="&amp;(MIN('_Dates'!X693,Settings!$B$9))))+IF((MIN('_Dates'!Z693,Settings!$B$9))&lt;('_Dates'!Y693),0,INT(((MIN('_Dates'!Z693,Settings!$B$9))-('_Dates'!Y693)+1)/7)*LEN(SUBSTITUTE(W693,"O",""))+LEN(SUBSTITUTE(MID(W693&amp;W693,WEEKDAY(('_Dates'!Y693),2),MOD(((MIN('_Dates'!Z693,Settings!$B$9))-('_Dates'!Y693)+1),7)),"O",""))-COUNTIFS(INDEX(AllClosureRows,C693,0),"&gt;="&amp;('_Dates'!Y693),INDEX(AllClosureRows,C693,0),"&lt;="&amp;(MIN('_Dates'!Z693,Settings!$B$9))))))</ns0:f>
        <ns0:v>0</ns0:v>
      </ns0:c>
      <ns0:c r="I693" s="0">
        <ns0:f>MAX(0,G693-H693)</ns0:f>
        <ns0:v>0</ns0:v>
      </ns0:c>
      <ns0:c r="J693" s="0">
        <ns0:f>IF(OR(A693=0,F693&lt;&gt;"OK",Bookings!G693="Cancelled",$B$6&gt;0),0,IF('_Dates'!AC693=1,MAX(0,COUNTIFS(rngEngine_B,B693,rngAMStart,"&lt;="&amp;'_Dates'!X693,rngAMEnd,"&gt;="&amp;'_Dates'!W693,rngAMActive,1,rngEngine_F,"OK",rngBookings_F,"&lt;&gt;Cancelled")-1),0)+IF('_Dates'!AD693=1,MAX(0,COUNTIFS(rngEngine_B,B693,rngPMStart,"&lt;="&amp;'_Dates'!Z693,rngPMEnd,"&gt;="&amp;'_Dates'!Y693,rngPMActive,1,rngEngine_F,"OK",rngBookings_F,"&lt;&gt;Cancelled")-1),0))</ns0:f>
        <ns0:v>0</ns0:v>
      </ns0:c>
      <ns0:c r="K693" s="0" t="str">
        <ns0:f>IF(A693=0,"",IF(F693&lt;&gt;"OK",F693,IF(J693&gt;0,"CHECK overlapping entry",IF(AND($B$6=0,G693&lt;=0,Bookings!G693&lt;&gt;"Cancelled"),"CHECK no working days",IF(Bookings!G693="Cancelled","Cancelled","OK")))))</ns0:f>
        <ns0:v/>
      </ns0:c>
      <ns0:c r="L693" s="0">
        <ns0:f>IF(LEFT(K693,5)="CHECK",1,0)</ns0:f>
        <ns0:v>0</ns0:v>
      </ns0:c>
      <ns0:c r="M693" s="0">
        <ns0:f>IF(AND(L693=1,OR(C693=0,IFERROR(INDEX($X$11:$X$60,C693),0)=0)),1,0)</ns0:f>
        <ns0:v>0</ns0:v>
      </ns0:c>
      <ns0:c r="N693" s="0">
        <ns0:f>IF(OR(A693=0,L693&gt;0,$B$6&gt;0,Bookings!G693="Cancelled"),0,G693)</ns0:f>
        <ns0:v>0</ns0:v>
      </ns0:c>
      <ns0:c r="O693" s="0">
        <ns0:f>IF(AND(Bookings!G693="Approved",E693="Yes"),N693,0)</ns0:f>
        <ns0:v>0</ns0:v>
      </ns0:c>
      <ns0:c r="P693" s="0">
        <ns0:f>IF(AND(Bookings!G693="Approved",E693="Yes",L693=0,$B$6=0),H693,0)</ns0:f>
        <ns0:v>0</ns0:v>
      </ns0:c>
      <ns0:c r="Q693" s="0">
        <ns0:f>IF(AND(Bookings!G693="Approved",E693="Yes",L693=0,$B$6=0),I693,0)</ns0:f>
        <ns0:v>0</ns0:v>
      </ns0:c>
      <ns0:c r="R693" s="0">
        <ns0:f>IF(AND(Bookings!G693="Pending",E693="Yes"),N693,0)</ns0:f>
        <ns0:v>0</ns0:v>
      </ns0:c>
      <ns0:c r="S693" s="0">
        <ns0:f>IF(AND(Bookings!G693="Approved",E693="No"),N693,0)</ns0:f>
        <ns0:v>0</ns0:v>
      </ns0:c>
      <ns0:c r="T693" s="0">
        <ns0:f>IFERROR(MATCH(D693,Settings!$G$7:$G$11,0),0)</ns0:f>
        <ns0:v>0</ns0:v>
      </ns0:c>
      <ns0:c r="U693" s="0">
        <ns0:f>IF(N693&gt;0,T693+IF(Bookings!G693="Pending",10,0),0)</ns0:f>
        <ns0:v>0</ns0:v>
      </ns0:c>
      <ns0:c r="V693" s="0">
        <ns0:f>U693</ns0:f>
        <ns0:v>0</ns0:v>
      </ns0:c>
      <ns0:c r="W693" s="0" t="str">
        <ns0:f>IF(C693=0,"",INDEX($AP$11:$AP$60,C693))</ns0:f>
        <ns0:v/>
      </ns0:c>
    </ns0:row>
    <ns0:row r="694">
      <ns0:c r="A694" s="0">
        <ns0:f>IF(COUNTA(Bookings!A694:G694,Bookings!I694)=0,0,1)</ns0:f>
        <ns0:v>0</ns0:v>
      </ns0:c>
      <ns0:c r="B694" s="0" t="str">
        <ns0:f>IFERROR(TRIM(MID(Bookings!A694,FIND(" · ",Bookings!A694)+3,99)),"")</ns0:f>
        <ns0:v/>
      </ns0:c>
      <ns0:c r="C694" s="0">
        <ns0:f>IF(OR(B694="",LEN(B694)&gt;24,ISNUMBER(FIND(" ",B694)),ISNUMBER(FIND("*",B694)),ISNUMBER(FIND("?",B694)),ISNUMBER(FIND("~",B694))),0,IFERROR(MATCH(B694,Team!$A$11:$A$60,0),0))</ns0:f>
        <ns0:v>0</ns0:v>
      </ns0:c>
      <ns0:c r="D694" s="0" t="str">
        <ns0:f>IFERROR(IF(MID(Bookings!F694,LEN(Bookings!F694)-3,3)=" · ",RIGHT(Bookings!F694,1),""),"")</ns0:f>
        <ns0:v/>
      </ns0:c>
      <ns0:c r="E694" s="0" t="str">
        <ns0:f>IFERROR(INDEX(Settings!$H$7:$H$11,MATCH(D694,Settings!$G$7:$G$11,0)),"")</ns0:f>
        <ns0:v/>
      </ns0:c>
      <ns0:c r="F694" s="0" t="str">
        <ns0:f>IF(A694=0,"",IFERROR(IF(OR(B694="",C694=0),"CHECK employee selection",IF(INDEX(Team!$O$11:$O$60,C694)&lt;&gt;"OK","CHECK employee setup",IF(OR('_Dates'!J694=0,'_Dates'!T694=0),"CHECK date: use DD.MM.YYYY",IF('_Dates'!T694&lt;'_Dates'!J694,"CHECK end before start",IF(AND($B$6=0,OR('_Dates'!J694&lt;Settings!$B$7,'_Dates'!T694&gt;Settings!$B$8)),"CHECK split across leave years",IF(OR(NOT(OR('_Dates'!U694="Full day",'_Dates'!U694="AM",'_Dates'!U694="PM")),NOT(OR('_Dates'!V694="Full day",'_Dates'!V694="AM",'_Dates'!V694="PM"))),"CHECK Full day / AM / PM",IF(AND('_Dates'!J694='_Dates'!T694,'_Dates'!U694&lt;&gt;"Full day",'_Dates'!V694&lt;&gt;"Full day",'_Dates'!U694&lt;&gt;'_Dates'!V694),"CHECK same-day portions disagree",IF(AND($B$6=0,OR(AND('_Dates'!U694&lt;&gt;"Full day",'_Dates'!AA694=0),AND('_Dates'!V694&lt;&gt;"Full day",'_Dates'!AB694=0))),"CHECK half-day on non-working date",IF(COUNTIF(Settings!$G$7:$G$11,D694)&lt;&gt;1,"CHECK leave type",IF(AND(Bookings!G694&lt;&gt;"Approved",Bookings!G694&lt;&gt;"Pending",Bookings!G694&lt;&gt;"Cancelled"),"CHECK status","OK")))))))))),"CHECK input"))</ns0:f>
        <ns0:v/>
      </ns0:c>
      <ns0:c r="G694" s="0">
        <ns0:f>IF(OR(F694&lt;&gt;"OK",$B$6&gt;0),0,0.5*(IF(('_Dates'!X694)&lt;('_Dates'!W694),0,INT((('_Dates'!X694)-('_Dates'!W694)+1)/7)*LEN(SUBSTITUTE(W694,"O",""))+LEN(SUBSTITUTE(MID(W694&amp;W694,WEEKDAY(('_Dates'!W694),2),MOD((('_Dates'!X694)-('_Dates'!W694)+1),7)),"O",""))-COUNTIFS(INDEX(AllClosureRows,C694,0),"&gt;="&amp;('_Dates'!W694),INDEX(AllClosureRows,C694,0),"&lt;="&amp;('_Dates'!X694)))+IF(('_Dates'!Z694)&lt;('_Dates'!Y694),0,INT((('_Dates'!Z694)-('_Dates'!Y694)+1)/7)*LEN(SUBSTITUTE(W694,"O",""))+LEN(SUBSTITUTE(MID(W694&amp;W694,WEEKDAY(('_Dates'!Y694),2),MOD((('_Dates'!Z694)-('_Dates'!Y694)+1),7)),"O",""))-COUNTIFS(INDEX(AllClosureRows,C694,0),"&gt;="&amp;('_Dates'!Y694),INDEX(AllClosureRows,C694,0),"&lt;="&amp;('_Dates'!Z694)))))</ns0:f>
        <ns0:v>0</ns0:v>
      </ns0:c>
      <ns0:c r="H694" s="0">
        <ns0:f>IF(OR(F694&lt;&gt;"OK",$B$6&gt;0),0,0.5*(IF((MIN('_Dates'!X694,Settings!$B$9))&lt;('_Dates'!W694),0,INT(((MIN('_Dates'!X694,Settings!$B$9))-('_Dates'!W694)+1)/7)*LEN(SUBSTITUTE(W694,"O",""))+LEN(SUBSTITUTE(MID(W694&amp;W694,WEEKDAY(('_Dates'!W694),2),MOD(((MIN('_Dates'!X694,Settings!$B$9))-('_Dates'!W694)+1),7)),"O",""))-COUNTIFS(INDEX(AllClosureRows,C694,0),"&gt;="&amp;('_Dates'!W694),INDEX(AllClosureRows,C694,0),"&lt;="&amp;(MIN('_Dates'!X694,Settings!$B$9))))+IF((MIN('_Dates'!Z694,Settings!$B$9))&lt;('_Dates'!Y694),0,INT(((MIN('_Dates'!Z694,Settings!$B$9))-('_Dates'!Y694)+1)/7)*LEN(SUBSTITUTE(W694,"O",""))+LEN(SUBSTITUTE(MID(W694&amp;W694,WEEKDAY(('_Dates'!Y694),2),MOD(((MIN('_Dates'!Z694,Settings!$B$9))-('_Dates'!Y694)+1),7)),"O",""))-COUNTIFS(INDEX(AllClosureRows,C694,0),"&gt;="&amp;('_Dates'!Y694),INDEX(AllClosureRows,C694,0),"&lt;="&amp;(MIN('_Dates'!Z694,Settings!$B$9))))))</ns0:f>
        <ns0:v>0</ns0:v>
      </ns0:c>
      <ns0:c r="I694" s="0">
        <ns0:f>MAX(0,G694-H694)</ns0:f>
        <ns0:v>0</ns0:v>
      </ns0:c>
      <ns0:c r="J694" s="0">
        <ns0:f>IF(OR(A694=0,F694&lt;&gt;"OK",Bookings!G694="Cancelled",$B$6&gt;0),0,IF('_Dates'!AC694=1,MAX(0,COUNTIFS(rngEngine_B,B694,rngAMStart,"&lt;="&amp;'_Dates'!X694,rngAMEnd,"&gt;="&amp;'_Dates'!W694,rngAMActive,1,rngEngine_F,"OK",rngBookings_F,"&lt;&gt;Cancelled")-1),0)+IF('_Dates'!AD694=1,MAX(0,COUNTIFS(rngEngine_B,B694,rngPMStart,"&lt;="&amp;'_Dates'!Z694,rngPMEnd,"&gt;="&amp;'_Dates'!Y694,rngPMActive,1,rngEngine_F,"OK",rngBookings_F,"&lt;&gt;Cancelled")-1),0))</ns0:f>
        <ns0:v>0</ns0:v>
      </ns0:c>
      <ns0:c r="K694" s="0" t="str">
        <ns0:f>IF(A694=0,"",IF(F694&lt;&gt;"OK",F694,IF(J694&gt;0,"CHECK overlapping entry",IF(AND($B$6=0,G694&lt;=0,Bookings!G694&lt;&gt;"Cancelled"),"CHECK no working days",IF(Bookings!G694="Cancelled","Cancelled","OK")))))</ns0:f>
        <ns0:v/>
      </ns0:c>
      <ns0:c r="L694" s="0">
        <ns0:f>IF(LEFT(K694,5)="CHECK",1,0)</ns0:f>
        <ns0:v>0</ns0:v>
      </ns0:c>
      <ns0:c r="M694" s="0">
        <ns0:f>IF(AND(L694=1,OR(C694=0,IFERROR(INDEX($X$11:$X$60,C694),0)=0)),1,0)</ns0:f>
        <ns0:v>0</ns0:v>
      </ns0:c>
      <ns0:c r="N694" s="0">
        <ns0:f>IF(OR(A694=0,L694&gt;0,$B$6&gt;0,Bookings!G694="Cancelled"),0,G694)</ns0:f>
        <ns0:v>0</ns0:v>
      </ns0:c>
      <ns0:c r="O694" s="0">
        <ns0:f>IF(AND(Bookings!G694="Approved",E694="Yes"),N694,0)</ns0:f>
        <ns0:v>0</ns0:v>
      </ns0:c>
      <ns0:c r="P694" s="0">
        <ns0:f>IF(AND(Bookings!G694="Approved",E694="Yes",L694=0,$B$6=0),H694,0)</ns0:f>
        <ns0:v>0</ns0:v>
      </ns0:c>
      <ns0:c r="Q694" s="0">
        <ns0:f>IF(AND(Bookings!G694="Approved",E694="Yes",L694=0,$B$6=0),I694,0)</ns0:f>
        <ns0:v>0</ns0:v>
      </ns0:c>
      <ns0:c r="R694" s="0">
        <ns0:f>IF(AND(Bookings!G694="Pending",E694="Yes"),N694,0)</ns0:f>
        <ns0:v>0</ns0:v>
      </ns0:c>
      <ns0:c r="S694" s="0">
        <ns0:f>IF(AND(Bookings!G694="Approved",E694="No"),N694,0)</ns0:f>
        <ns0:v>0</ns0:v>
      </ns0:c>
      <ns0:c r="T694" s="0">
        <ns0:f>IFERROR(MATCH(D694,Settings!$G$7:$G$11,0),0)</ns0:f>
        <ns0:v>0</ns0:v>
      </ns0:c>
      <ns0:c r="U694" s="0">
        <ns0:f>IF(N694&gt;0,T694+IF(Bookings!G694="Pending",10,0),0)</ns0:f>
        <ns0:v>0</ns0:v>
      </ns0:c>
      <ns0:c r="V694" s="0">
        <ns0:f>U694</ns0:f>
        <ns0:v>0</ns0:v>
      </ns0:c>
      <ns0:c r="W694" s="0" t="str">
        <ns0:f>IF(C694=0,"",INDEX($AP$11:$AP$60,C694))</ns0:f>
        <ns0:v/>
      </ns0:c>
    </ns0:row>
    <ns0:row r="695">
      <ns0:c r="A695" s="0">
        <ns0:f>IF(COUNTA(Bookings!A695:G695,Bookings!I695)=0,0,1)</ns0:f>
        <ns0:v>0</ns0:v>
      </ns0:c>
      <ns0:c r="B695" s="0" t="str">
        <ns0:f>IFERROR(TRIM(MID(Bookings!A695,FIND(" · ",Bookings!A695)+3,99)),"")</ns0:f>
        <ns0:v/>
      </ns0:c>
      <ns0:c r="C695" s="0">
        <ns0:f>IF(OR(B695="",LEN(B695)&gt;24,ISNUMBER(FIND(" ",B695)),ISNUMBER(FIND("*",B695)),ISNUMBER(FIND("?",B695)),ISNUMBER(FIND("~",B695))),0,IFERROR(MATCH(B695,Team!$A$11:$A$60,0),0))</ns0:f>
        <ns0:v>0</ns0:v>
      </ns0:c>
      <ns0:c r="D695" s="0" t="str">
        <ns0:f>IFERROR(IF(MID(Bookings!F695,LEN(Bookings!F695)-3,3)=" · ",RIGHT(Bookings!F695,1),""),"")</ns0:f>
        <ns0:v/>
      </ns0:c>
      <ns0:c r="E695" s="0" t="str">
        <ns0:f>IFERROR(INDEX(Settings!$H$7:$H$11,MATCH(D695,Settings!$G$7:$G$11,0)),"")</ns0:f>
        <ns0:v/>
      </ns0:c>
      <ns0:c r="F695" s="0" t="str">
        <ns0:f>IF(A695=0,"",IFERROR(IF(OR(B695="",C695=0),"CHECK employee selection",IF(INDEX(Team!$O$11:$O$60,C695)&lt;&gt;"OK","CHECK employee setup",IF(OR('_Dates'!J695=0,'_Dates'!T695=0),"CHECK date: use DD.MM.YYYY",IF('_Dates'!T695&lt;'_Dates'!J695,"CHECK end before start",IF(AND($B$6=0,OR('_Dates'!J695&lt;Settings!$B$7,'_Dates'!T695&gt;Settings!$B$8)),"CHECK split across leave years",IF(OR(NOT(OR('_Dates'!U695="Full day",'_Dates'!U695="AM",'_Dates'!U695="PM")),NOT(OR('_Dates'!V695="Full day",'_Dates'!V695="AM",'_Dates'!V695="PM"))),"CHECK Full day / AM / PM",IF(AND('_Dates'!J695='_Dates'!T695,'_Dates'!U695&lt;&gt;"Full day",'_Dates'!V695&lt;&gt;"Full day",'_Dates'!U695&lt;&gt;'_Dates'!V695),"CHECK same-day portions disagree",IF(AND($B$6=0,OR(AND('_Dates'!U695&lt;&gt;"Full day",'_Dates'!AA695=0),AND('_Dates'!V695&lt;&gt;"Full day",'_Dates'!AB695=0))),"CHECK half-day on non-working date",IF(COUNTIF(Settings!$G$7:$G$11,D695)&lt;&gt;1,"CHECK leave type",IF(AND(Bookings!G695&lt;&gt;"Approved",Bookings!G695&lt;&gt;"Pending",Bookings!G695&lt;&gt;"Cancelled"),"CHECK status","OK")))))))))),"CHECK input"))</ns0:f>
        <ns0:v/>
      </ns0:c>
      <ns0:c r="G695" s="0">
        <ns0:f>IF(OR(F695&lt;&gt;"OK",$B$6&gt;0),0,0.5*(IF(('_Dates'!X695)&lt;('_Dates'!W695),0,INT((('_Dates'!X695)-('_Dates'!W695)+1)/7)*LEN(SUBSTITUTE(W695,"O",""))+LEN(SUBSTITUTE(MID(W695&amp;W695,WEEKDAY(('_Dates'!W695),2),MOD((('_Dates'!X695)-('_Dates'!W695)+1),7)),"O",""))-COUNTIFS(INDEX(AllClosureRows,C695,0),"&gt;="&amp;('_Dates'!W695),INDEX(AllClosureRows,C695,0),"&lt;="&amp;('_Dates'!X695)))+IF(('_Dates'!Z695)&lt;('_Dates'!Y695),0,INT((('_Dates'!Z695)-('_Dates'!Y695)+1)/7)*LEN(SUBSTITUTE(W695,"O",""))+LEN(SUBSTITUTE(MID(W695&amp;W695,WEEKDAY(('_Dates'!Y695),2),MOD((('_Dates'!Z695)-('_Dates'!Y695)+1),7)),"O",""))-COUNTIFS(INDEX(AllClosureRows,C695,0),"&gt;="&amp;('_Dates'!Y695),INDEX(AllClosureRows,C695,0),"&lt;="&amp;('_Dates'!Z695)))))</ns0:f>
        <ns0:v>0</ns0:v>
      </ns0:c>
      <ns0:c r="H695" s="0">
        <ns0:f>IF(OR(F695&lt;&gt;"OK",$B$6&gt;0),0,0.5*(IF((MIN('_Dates'!X695,Settings!$B$9))&lt;('_Dates'!W695),0,INT(((MIN('_Dates'!X695,Settings!$B$9))-('_Dates'!W695)+1)/7)*LEN(SUBSTITUTE(W695,"O",""))+LEN(SUBSTITUTE(MID(W695&amp;W695,WEEKDAY(('_Dates'!W695),2),MOD(((MIN('_Dates'!X695,Settings!$B$9))-('_Dates'!W695)+1),7)),"O",""))-COUNTIFS(INDEX(AllClosureRows,C695,0),"&gt;="&amp;('_Dates'!W695),INDEX(AllClosureRows,C695,0),"&lt;="&amp;(MIN('_Dates'!X695,Settings!$B$9))))+IF((MIN('_Dates'!Z695,Settings!$B$9))&lt;('_Dates'!Y695),0,INT(((MIN('_Dates'!Z695,Settings!$B$9))-('_Dates'!Y695)+1)/7)*LEN(SUBSTITUTE(W695,"O",""))+LEN(SUBSTITUTE(MID(W695&amp;W695,WEEKDAY(('_Dates'!Y695),2),MOD(((MIN('_Dates'!Z695,Settings!$B$9))-('_Dates'!Y695)+1),7)),"O",""))-COUNTIFS(INDEX(AllClosureRows,C695,0),"&gt;="&amp;('_Dates'!Y695),INDEX(AllClosureRows,C695,0),"&lt;="&amp;(MIN('_Dates'!Z695,Settings!$B$9))))))</ns0:f>
        <ns0:v>0</ns0:v>
      </ns0:c>
      <ns0:c r="I695" s="0">
        <ns0:f>MAX(0,G695-H695)</ns0:f>
        <ns0:v>0</ns0:v>
      </ns0:c>
      <ns0:c r="J695" s="0">
        <ns0:f>IF(OR(A695=0,F695&lt;&gt;"OK",Bookings!G695="Cancelled",$B$6&gt;0),0,IF('_Dates'!AC695=1,MAX(0,COUNTIFS(rngEngine_B,B695,rngAMStart,"&lt;="&amp;'_Dates'!X695,rngAMEnd,"&gt;="&amp;'_Dates'!W695,rngAMActive,1,rngEngine_F,"OK",rngBookings_F,"&lt;&gt;Cancelled")-1),0)+IF('_Dates'!AD695=1,MAX(0,COUNTIFS(rngEngine_B,B695,rngPMStart,"&lt;="&amp;'_Dates'!Z695,rngPMEnd,"&gt;="&amp;'_Dates'!Y695,rngPMActive,1,rngEngine_F,"OK",rngBookings_F,"&lt;&gt;Cancelled")-1),0))</ns0:f>
        <ns0:v>0</ns0:v>
      </ns0:c>
      <ns0:c r="K695" s="0" t="str">
        <ns0:f>IF(A695=0,"",IF(F695&lt;&gt;"OK",F695,IF(J695&gt;0,"CHECK overlapping entry",IF(AND($B$6=0,G695&lt;=0,Bookings!G695&lt;&gt;"Cancelled"),"CHECK no working days",IF(Bookings!G695="Cancelled","Cancelled","OK")))))</ns0:f>
        <ns0:v/>
      </ns0:c>
      <ns0:c r="L695" s="0">
        <ns0:f>IF(LEFT(K695,5)="CHECK",1,0)</ns0:f>
        <ns0:v>0</ns0:v>
      </ns0:c>
      <ns0:c r="M695" s="0">
        <ns0:f>IF(AND(L695=1,OR(C695=0,IFERROR(INDEX($X$11:$X$60,C695),0)=0)),1,0)</ns0:f>
        <ns0:v>0</ns0:v>
      </ns0:c>
      <ns0:c r="N695" s="0">
        <ns0:f>IF(OR(A695=0,L695&gt;0,$B$6&gt;0,Bookings!G695="Cancelled"),0,G695)</ns0:f>
        <ns0:v>0</ns0:v>
      </ns0:c>
      <ns0:c r="O695" s="0">
        <ns0:f>IF(AND(Bookings!G695="Approved",E695="Yes"),N695,0)</ns0:f>
        <ns0:v>0</ns0:v>
      </ns0:c>
      <ns0:c r="P695" s="0">
        <ns0:f>IF(AND(Bookings!G695="Approved",E695="Yes",L695=0,$B$6=0),H695,0)</ns0:f>
        <ns0:v>0</ns0:v>
      </ns0:c>
      <ns0:c r="Q695" s="0">
        <ns0:f>IF(AND(Bookings!G695="Approved",E695="Yes",L695=0,$B$6=0),I695,0)</ns0:f>
        <ns0:v>0</ns0:v>
      </ns0:c>
      <ns0:c r="R695" s="0">
        <ns0:f>IF(AND(Bookings!G695="Pending",E695="Yes"),N695,0)</ns0:f>
        <ns0:v>0</ns0:v>
      </ns0:c>
      <ns0:c r="S695" s="0">
        <ns0:f>IF(AND(Bookings!G695="Approved",E695="No"),N695,0)</ns0:f>
        <ns0:v>0</ns0:v>
      </ns0:c>
      <ns0:c r="T695" s="0">
        <ns0:f>IFERROR(MATCH(D695,Settings!$G$7:$G$11,0),0)</ns0:f>
        <ns0:v>0</ns0:v>
      </ns0:c>
      <ns0:c r="U695" s="0">
        <ns0:f>IF(N695&gt;0,T695+IF(Bookings!G695="Pending",10,0),0)</ns0:f>
        <ns0:v>0</ns0:v>
      </ns0:c>
      <ns0:c r="V695" s="0">
        <ns0:f>U695</ns0:f>
        <ns0:v>0</ns0:v>
      </ns0:c>
      <ns0:c r="W695" s="0" t="str">
        <ns0:f>IF(C695=0,"",INDEX($AP$11:$AP$60,C695))</ns0:f>
        <ns0:v/>
      </ns0:c>
    </ns0:row>
    <ns0:row r="696">
      <ns0:c r="A696" s="0">
        <ns0:f>IF(COUNTA(Bookings!A696:G696,Bookings!I696)=0,0,1)</ns0:f>
        <ns0:v>0</ns0:v>
      </ns0:c>
      <ns0:c r="B696" s="0" t="str">
        <ns0:f>IFERROR(TRIM(MID(Bookings!A696,FIND(" · ",Bookings!A696)+3,99)),"")</ns0:f>
        <ns0:v/>
      </ns0:c>
      <ns0:c r="C696" s="0">
        <ns0:f>IF(OR(B696="",LEN(B696)&gt;24,ISNUMBER(FIND(" ",B696)),ISNUMBER(FIND("*",B696)),ISNUMBER(FIND("?",B696)),ISNUMBER(FIND("~",B696))),0,IFERROR(MATCH(B696,Team!$A$11:$A$60,0),0))</ns0:f>
        <ns0:v>0</ns0:v>
      </ns0:c>
      <ns0:c r="D696" s="0" t="str">
        <ns0:f>IFERROR(IF(MID(Bookings!F696,LEN(Bookings!F696)-3,3)=" · ",RIGHT(Bookings!F696,1),""),"")</ns0:f>
        <ns0:v/>
      </ns0:c>
      <ns0:c r="E696" s="0" t="str">
        <ns0:f>IFERROR(INDEX(Settings!$H$7:$H$11,MATCH(D696,Settings!$G$7:$G$11,0)),"")</ns0:f>
        <ns0:v/>
      </ns0:c>
      <ns0:c r="F696" s="0" t="str">
        <ns0:f>IF(A696=0,"",IFERROR(IF(OR(B696="",C696=0),"CHECK employee selection",IF(INDEX(Team!$O$11:$O$60,C696)&lt;&gt;"OK","CHECK employee setup",IF(OR('_Dates'!J696=0,'_Dates'!T696=0),"CHECK date: use DD.MM.YYYY",IF('_Dates'!T696&lt;'_Dates'!J696,"CHECK end before start",IF(AND($B$6=0,OR('_Dates'!J696&lt;Settings!$B$7,'_Dates'!T696&gt;Settings!$B$8)),"CHECK split across leave years",IF(OR(NOT(OR('_Dates'!U696="Full day",'_Dates'!U696="AM",'_Dates'!U696="PM")),NOT(OR('_Dates'!V696="Full day",'_Dates'!V696="AM",'_Dates'!V696="PM"))),"CHECK Full day / AM / PM",IF(AND('_Dates'!J696='_Dates'!T696,'_Dates'!U696&lt;&gt;"Full day",'_Dates'!V696&lt;&gt;"Full day",'_Dates'!U696&lt;&gt;'_Dates'!V696),"CHECK same-day portions disagree",IF(AND($B$6=0,OR(AND('_Dates'!U696&lt;&gt;"Full day",'_Dates'!AA696=0),AND('_Dates'!V696&lt;&gt;"Full day",'_Dates'!AB696=0))),"CHECK half-day on non-working date",IF(COUNTIF(Settings!$G$7:$G$11,D696)&lt;&gt;1,"CHECK leave type",IF(AND(Bookings!G696&lt;&gt;"Approved",Bookings!G696&lt;&gt;"Pending",Bookings!G696&lt;&gt;"Cancelled"),"CHECK status","OK")))))))))),"CHECK input"))</ns0:f>
        <ns0:v/>
      </ns0:c>
      <ns0:c r="G696" s="0">
        <ns0:f>IF(OR(F696&lt;&gt;"OK",$B$6&gt;0),0,0.5*(IF(('_Dates'!X696)&lt;('_Dates'!W696),0,INT((('_Dates'!X696)-('_Dates'!W696)+1)/7)*LEN(SUBSTITUTE(W696,"O",""))+LEN(SUBSTITUTE(MID(W696&amp;W696,WEEKDAY(('_Dates'!W696),2),MOD((('_Dates'!X696)-('_Dates'!W696)+1),7)),"O",""))-COUNTIFS(INDEX(AllClosureRows,C696,0),"&gt;="&amp;('_Dates'!W696),INDEX(AllClosureRows,C696,0),"&lt;="&amp;('_Dates'!X696)))+IF(('_Dates'!Z696)&lt;('_Dates'!Y696),0,INT((('_Dates'!Z696)-('_Dates'!Y696)+1)/7)*LEN(SUBSTITUTE(W696,"O",""))+LEN(SUBSTITUTE(MID(W696&amp;W696,WEEKDAY(('_Dates'!Y696),2),MOD((('_Dates'!Z696)-('_Dates'!Y696)+1),7)),"O",""))-COUNTIFS(INDEX(AllClosureRows,C696,0),"&gt;="&amp;('_Dates'!Y696),INDEX(AllClosureRows,C696,0),"&lt;="&amp;('_Dates'!Z696)))))</ns0:f>
        <ns0:v>0</ns0:v>
      </ns0:c>
      <ns0:c r="H696" s="0">
        <ns0:f>IF(OR(F696&lt;&gt;"OK",$B$6&gt;0),0,0.5*(IF((MIN('_Dates'!X696,Settings!$B$9))&lt;('_Dates'!W696),0,INT(((MIN('_Dates'!X696,Settings!$B$9))-('_Dates'!W696)+1)/7)*LEN(SUBSTITUTE(W696,"O",""))+LEN(SUBSTITUTE(MID(W696&amp;W696,WEEKDAY(('_Dates'!W696),2),MOD(((MIN('_Dates'!X696,Settings!$B$9))-('_Dates'!W696)+1),7)),"O",""))-COUNTIFS(INDEX(AllClosureRows,C696,0),"&gt;="&amp;('_Dates'!W696),INDEX(AllClosureRows,C696,0),"&lt;="&amp;(MIN('_Dates'!X696,Settings!$B$9))))+IF((MIN('_Dates'!Z696,Settings!$B$9))&lt;('_Dates'!Y696),0,INT(((MIN('_Dates'!Z696,Settings!$B$9))-('_Dates'!Y696)+1)/7)*LEN(SUBSTITUTE(W696,"O",""))+LEN(SUBSTITUTE(MID(W696&amp;W696,WEEKDAY(('_Dates'!Y696),2),MOD(((MIN('_Dates'!Z696,Settings!$B$9))-('_Dates'!Y696)+1),7)),"O",""))-COUNTIFS(INDEX(AllClosureRows,C696,0),"&gt;="&amp;('_Dates'!Y696),INDEX(AllClosureRows,C696,0),"&lt;="&amp;(MIN('_Dates'!Z696,Settings!$B$9))))))</ns0:f>
        <ns0:v>0</ns0:v>
      </ns0:c>
      <ns0:c r="I696" s="0">
        <ns0:f>MAX(0,G696-H696)</ns0:f>
        <ns0:v>0</ns0:v>
      </ns0:c>
      <ns0:c r="J696" s="0">
        <ns0:f>IF(OR(A696=0,F696&lt;&gt;"OK",Bookings!G696="Cancelled",$B$6&gt;0),0,IF('_Dates'!AC696=1,MAX(0,COUNTIFS(rngEngine_B,B696,rngAMStart,"&lt;="&amp;'_Dates'!X696,rngAMEnd,"&gt;="&amp;'_Dates'!W696,rngAMActive,1,rngEngine_F,"OK",rngBookings_F,"&lt;&gt;Cancelled")-1),0)+IF('_Dates'!AD696=1,MAX(0,COUNTIFS(rngEngine_B,B696,rngPMStart,"&lt;="&amp;'_Dates'!Z696,rngPMEnd,"&gt;="&amp;'_Dates'!Y696,rngPMActive,1,rngEngine_F,"OK",rngBookings_F,"&lt;&gt;Cancelled")-1),0))</ns0:f>
        <ns0:v>0</ns0:v>
      </ns0:c>
      <ns0:c r="K696" s="0" t="str">
        <ns0:f>IF(A696=0,"",IF(F696&lt;&gt;"OK",F696,IF(J696&gt;0,"CHECK overlapping entry",IF(AND($B$6=0,G696&lt;=0,Bookings!G696&lt;&gt;"Cancelled"),"CHECK no working days",IF(Bookings!G696="Cancelled","Cancelled","OK")))))</ns0:f>
        <ns0:v/>
      </ns0:c>
      <ns0:c r="L696" s="0">
        <ns0:f>IF(LEFT(K696,5)="CHECK",1,0)</ns0:f>
        <ns0:v>0</ns0:v>
      </ns0:c>
      <ns0:c r="M696" s="0">
        <ns0:f>IF(AND(L696=1,OR(C696=0,IFERROR(INDEX($X$11:$X$60,C696),0)=0)),1,0)</ns0:f>
        <ns0:v>0</ns0:v>
      </ns0:c>
      <ns0:c r="N696" s="0">
        <ns0:f>IF(OR(A696=0,L696&gt;0,$B$6&gt;0,Bookings!G696="Cancelled"),0,G696)</ns0:f>
        <ns0:v>0</ns0:v>
      </ns0:c>
      <ns0:c r="O696" s="0">
        <ns0:f>IF(AND(Bookings!G696="Approved",E696="Yes"),N696,0)</ns0:f>
        <ns0:v>0</ns0:v>
      </ns0:c>
      <ns0:c r="P696" s="0">
        <ns0:f>IF(AND(Bookings!G696="Approved",E696="Yes",L696=0,$B$6=0),H696,0)</ns0:f>
        <ns0:v>0</ns0:v>
      </ns0:c>
      <ns0:c r="Q696" s="0">
        <ns0:f>IF(AND(Bookings!G696="Approved",E696="Yes",L696=0,$B$6=0),I696,0)</ns0:f>
        <ns0:v>0</ns0:v>
      </ns0:c>
      <ns0:c r="R696" s="0">
        <ns0:f>IF(AND(Bookings!G696="Pending",E696="Yes"),N696,0)</ns0:f>
        <ns0:v>0</ns0:v>
      </ns0:c>
      <ns0:c r="S696" s="0">
        <ns0:f>IF(AND(Bookings!G696="Approved",E696="No"),N696,0)</ns0:f>
        <ns0:v>0</ns0:v>
      </ns0:c>
      <ns0:c r="T696" s="0">
        <ns0:f>IFERROR(MATCH(D696,Settings!$G$7:$G$11,0),0)</ns0:f>
        <ns0:v>0</ns0:v>
      </ns0:c>
      <ns0:c r="U696" s="0">
        <ns0:f>IF(N696&gt;0,T696+IF(Bookings!G696="Pending",10,0),0)</ns0:f>
        <ns0:v>0</ns0:v>
      </ns0:c>
      <ns0:c r="V696" s="0">
        <ns0:f>U696</ns0:f>
        <ns0:v>0</ns0:v>
      </ns0:c>
      <ns0:c r="W696" s="0" t="str">
        <ns0:f>IF(C696=0,"",INDEX($AP$11:$AP$60,C696))</ns0:f>
        <ns0:v/>
      </ns0:c>
    </ns0:row>
    <ns0:row r="697">
      <ns0:c r="A697" s="0">
        <ns0:f>IF(COUNTA(Bookings!A697:G697,Bookings!I697)=0,0,1)</ns0:f>
        <ns0:v>0</ns0:v>
      </ns0:c>
      <ns0:c r="B697" s="0" t="str">
        <ns0:f>IFERROR(TRIM(MID(Bookings!A697,FIND(" · ",Bookings!A697)+3,99)),"")</ns0:f>
        <ns0:v/>
      </ns0:c>
      <ns0:c r="C697" s="0">
        <ns0:f>IF(OR(B697="",LEN(B697)&gt;24,ISNUMBER(FIND(" ",B697)),ISNUMBER(FIND("*",B697)),ISNUMBER(FIND("?",B697)),ISNUMBER(FIND("~",B697))),0,IFERROR(MATCH(B697,Team!$A$11:$A$60,0),0))</ns0:f>
        <ns0:v>0</ns0:v>
      </ns0:c>
      <ns0:c r="D697" s="0" t="str">
        <ns0:f>IFERROR(IF(MID(Bookings!F697,LEN(Bookings!F697)-3,3)=" · ",RIGHT(Bookings!F697,1),""),"")</ns0:f>
        <ns0:v/>
      </ns0:c>
      <ns0:c r="E697" s="0" t="str">
        <ns0:f>IFERROR(INDEX(Settings!$H$7:$H$11,MATCH(D697,Settings!$G$7:$G$11,0)),"")</ns0:f>
        <ns0:v/>
      </ns0:c>
      <ns0:c r="F697" s="0" t="str">
        <ns0:f>IF(A697=0,"",IFERROR(IF(OR(B697="",C697=0),"CHECK employee selection",IF(INDEX(Team!$O$11:$O$60,C697)&lt;&gt;"OK","CHECK employee setup",IF(OR('_Dates'!J697=0,'_Dates'!T697=0),"CHECK date: use DD.MM.YYYY",IF('_Dates'!T697&lt;'_Dates'!J697,"CHECK end before start",IF(AND($B$6=0,OR('_Dates'!J697&lt;Settings!$B$7,'_Dates'!T697&gt;Settings!$B$8)),"CHECK split across leave years",IF(OR(NOT(OR('_Dates'!U697="Full day",'_Dates'!U697="AM",'_Dates'!U697="PM")),NOT(OR('_Dates'!V697="Full day",'_Dates'!V697="AM",'_Dates'!V697="PM"))),"CHECK Full day / AM / PM",IF(AND('_Dates'!J697='_Dates'!T697,'_Dates'!U697&lt;&gt;"Full day",'_Dates'!V697&lt;&gt;"Full day",'_Dates'!U697&lt;&gt;'_Dates'!V697),"CHECK same-day portions disagree",IF(AND($B$6=0,OR(AND('_Dates'!U697&lt;&gt;"Full day",'_Dates'!AA697=0),AND('_Dates'!V697&lt;&gt;"Full day",'_Dates'!AB697=0))),"CHECK half-day on non-working date",IF(COUNTIF(Settings!$G$7:$G$11,D697)&lt;&gt;1,"CHECK leave type",IF(AND(Bookings!G697&lt;&gt;"Approved",Bookings!G697&lt;&gt;"Pending",Bookings!G697&lt;&gt;"Cancelled"),"CHECK status","OK")))))))))),"CHECK input"))</ns0:f>
        <ns0:v/>
      </ns0:c>
      <ns0:c r="G697" s="0">
        <ns0:f>IF(OR(F697&lt;&gt;"OK",$B$6&gt;0),0,0.5*(IF(('_Dates'!X697)&lt;('_Dates'!W697),0,INT((('_Dates'!X697)-('_Dates'!W697)+1)/7)*LEN(SUBSTITUTE(W697,"O",""))+LEN(SUBSTITUTE(MID(W697&amp;W697,WEEKDAY(('_Dates'!W697),2),MOD((('_Dates'!X697)-('_Dates'!W697)+1),7)),"O",""))-COUNTIFS(INDEX(AllClosureRows,C697,0),"&gt;="&amp;('_Dates'!W697),INDEX(AllClosureRows,C697,0),"&lt;="&amp;('_Dates'!X697)))+IF(('_Dates'!Z697)&lt;('_Dates'!Y697),0,INT((('_Dates'!Z697)-('_Dates'!Y697)+1)/7)*LEN(SUBSTITUTE(W697,"O",""))+LEN(SUBSTITUTE(MID(W697&amp;W697,WEEKDAY(('_Dates'!Y697),2),MOD((('_Dates'!Z697)-('_Dates'!Y697)+1),7)),"O",""))-COUNTIFS(INDEX(AllClosureRows,C697,0),"&gt;="&amp;('_Dates'!Y697),INDEX(AllClosureRows,C697,0),"&lt;="&amp;('_Dates'!Z697)))))</ns0:f>
        <ns0:v>0</ns0:v>
      </ns0:c>
      <ns0:c r="H697" s="0">
        <ns0:f>IF(OR(F697&lt;&gt;"OK",$B$6&gt;0),0,0.5*(IF((MIN('_Dates'!X697,Settings!$B$9))&lt;('_Dates'!W697),0,INT(((MIN('_Dates'!X697,Settings!$B$9))-('_Dates'!W697)+1)/7)*LEN(SUBSTITUTE(W697,"O",""))+LEN(SUBSTITUTE(MID(W697&amp;W697,WEEKDAY(('_Dates'!W697),2),MOD(((MIN('_Dates'!X697,Settings!$B$9))-('_Dates'!W697)+1),7)),"O",""))-COUNTIFS(INDEX(AllClosureRows,C697,0),"&gt;="&amp;('_Dates'!W697),INDEX(AllClosureRows,C697,0),"&lt;="&amp;(MIN('_Dates'!X697,Settings!$B$9))))+IF((MIN('_Dates'!Z697,Settings!$B$9))&lt;('_Dates'!Y697),0,INT(((MIN('_Dates'!Z697,Settings!$B$9))-('_Dates'!Y697)+1)/7)*LEN(SUBSTITUTE(W697,"O",""))+LEN(SUBSTITUTE(MID(W697&amp;W697,WEEKDAY(('_Dates'!Y697),2),MOD(((MIN('_Dates'!Z697,Settings!$B$9))-('_Dates'!Y697)+1),7)),"O",""))-COUNTIFS(INDEX(AllClosureRows,C697,0),"&gt;="&amp;('_Dates'!Y697),INDEX(AllClosureRows,C697,0),"&lt;="&amp;(MIN('_Dates'!Z697,Settings!$B$9))))))</ns0:f>
        <ns0:v>0</ns0:v>
      </ns0:c>
      <ns0:c r="I697" s="0">
        <ns0:f>MAX(0,G697-H697)</ns0:f>
        <ns0:v>0</ns0:v>
      </ns0:c>
      <ns0:c r="J697" s="0">
        <ns0:f>IF(OR(A697=0,F697&lt;&gt;"OK",Bookings!G697="Cancelled",$B$6&gt;0),0,IF('_Dates'!AC697=1,MAX(0,COUNTIFS(rngEngine_B,B697,rngAMStart,"&lt;="&amp;'_Dates'!X697,rngAMEnd,"&gt;="&amp;'_Dates'!W697,rngAMActive,1,rngEngine_F,"OK",rngBookings_F,"&lt;&gt;Cancelled")-1),0)+IF('_Dates'!AD697=1,MAX(0,COUNTIFS(rngEngine_B,B697,rngPMStart,"&lt;="&amp;'_Dates'!Z697,rngPMEnd,"&gt;="&amp;'_Dates'!Y697,rngPMActive,1,rngEngine_F,"OK",rngBookings_F,"&lt;&gt;Cancelled")-1),0))</ns0:f>
        <ns0:v>0</ns0:v>
      </ns0:c>
      <ns0:c r="K697" s="0" t="str">
        <ns0:f>IF(A697=0,"",IF(F697&lt;&gt;"OK",F697,IF(J697&gt;0,"CHECK overlapping entry",IF(AND($B$6=0,G697&lt;=0,Bookings!G697&lt;&gt;"Cancelled"),"CHECK no working days",IF(Bookings!G697="Cancelled","Cancelled","OK")))))</ns0:f>
        <ns0:v/>
      </ns0:c>
      <ns0:c r="L697" s="0">
        <ns0:f>IF(LEFT(K697,5)="CHECK",1,0)</ns0:f>
        <ns0:v>0</ns0:v>
      </ns0:c>
      <ns0:c r="M697" s="0">
        <ns0:f>IF(AND(L697=1,OR(C697=0,IFERROR(INDEX($X$11:$X$60,C697),0)=0)),1,0)</ns0:f>
        <ns0:v>0</ns0:v>
      </ns0:c>
      <ns0:c r="N697" s="0">
        <ns0:f>IF(OR(A697=0,L697&gt;0,$B$6&gt;0,Bookings!G697="Cancelled"),0,G697)</ns0:f>
        <ns0:v>0</ns0:v>
      </ns0:c>
      <ns0:c r="O697" s="0">
        <ns0:f>IF(AND(Bookings!G697="Approved",E697="Yes"),N697,0)</ns0:f>
        <ns0:v>0</ns0:v>
      </ns0:c>
      <ns0:c r="P697" s="0">
        <ns0:f>IF(AND(Bookings!G697="Approved",E697="Yes",L697=0,$B$6=0),H697,0)</ns0:f>
        <ns0:v>0</ns0:v>
      </ns0:c>
      <ns0:c r="Q697" s="0">
        <ns0:f>IF(AND(Bookings!G697="Approved",E697="Yes",L697=0,$B$6=0),I697,0)</ns0:f>
        <ns0:v>0</ns0:v>
      </ns0:c>
      <ns0:c r="R697" s="0">
        <ns0:f>IF(AND(Bookings!G697="Pending",E697="Yes"),N697,0)</ns0:f>
        <ns0:v>0</ns0:v>
      </ns0:c>
      <ns0:c r="S697" s="0">
        <ns0:f>IF(AND(Bookings!G697="Approved",E697="No"),N697,0)</ns0:f>
        <ns0:v>0</ns0:v>
      </ns0:c>
      <ns0:c r="T697" s="0">
        <ns0:f>IFERROR(MATCH(D697,Settings!$G$7:$G$11,0),0)</ns0:f>
        <ns0:v>0</ns0:v>
      </ns0:c>
      <ns0:c r="U697" s="0">
        <ns0:f>IF(N697&gt;0,T697+IF(Bookings!G697="Pending",10,0),0)</ns0:f>
        <ns0:v>0</ns0:v>
      </ns0:c>
      <ns0:c r="V697" s="0">
        <ns0:f>U697</ns0:f>
        <ns0:v>0</ns0:v>
      </ns0:c>
      <ns0:c r="W697" s="0" t="str">
        <ns0:f>IF(C697=0,"",INDEX($AP$11:$AP$60,C697))</ns0:f>
        <ns0:v/>
      </ns0:c>
    </ns0:row>
    <ns0:row r="698">
      <ns0:c r="A698" s="0">
        <ns0:f>IF(COUNTA(Bookings!A698:G698,Bookings!I698)=0,0,1)</ns0:f>
        <ns0:v>0</ns0:v>
      </ns0:c>
      <ns0:c r="B698" s="0" t="str">
        <ns0:f>IFERROR(TRIM(MID(Bookings!A698,FIND(" · ",Bookings!A698)+3,99)),"")</ns0:f>
        <ns0:v/>
      </ns0:c>
      <ns0:c r="C698" s="0">
        <ns0:f>IF(OR(B698="",LEN(B698)&gt;24,ISNUMBER(FIND(" ",B698)),ISNUMBER(FIND("*",B698)),ISNUMBER(FIND("?",B698)),ISNUMBER(FIND("~",B698))),0,IFERROR(MATCH(B698,Team!$A$11:$A$60,0),0))</ns0:f>
        <ns0:v>0</ns0:v>
      </ns0:c>
      <ns0:c r="D698" s="0" t="str">
        <ns0:f>IFERROR(IF(MID(Bookings!F698,LEN(Bookings!F698)-3,3)=" · ",RIGHT(Bookings!F698,1),""),"")</ns0:f>
        <ns0:v/>
      </ns0:c>
      <ns0:c r="E698" s="0" t="str">
        <ns0:f>IFERROR(INDEX(Settings!$H$7:$H$11,MATCH(D698,Settings!$G$7:$G$11,0)),"")</ns0:f>
        <ns0:v/>
      </ns0:c>
      <ns0:c r="F698" s="0" t="str">
        <ns0:f>IF(A698=0,"",IFERROR(IF(OR(B698="",C698=0),"CHECK employee selection",IF(INDEX(Team!$O$11:$O$60,C698)&lt;&gt;"OK","CHECK employee setup",IF(OR('_Dates'!J698=0,'_Dates'!T698=0),"CHECK date: use DD.MM.YYYY",IF('_Dates'!T698&lt;'_Dates'!J698,"CHECK end before start",IF(AND($B$6=0,OR('_Dates'!J698&lt;Settings!$B$7,'_Dates'!T698&gt;Settings!$B$8)),"CHECK split across leave years",IF(OR(NOT(OR('_Dates'!U698="Full day",'_Dates'!U698="AM",'_Dates'!U698="PM")),NOT(OR('_Dates'!V698="Full day",'_Dates'!V698="AM",'_Dates'!V698="PM"))),"CHECK Full day / AM / PM",IF(AND('_Dates'!J698='_Dates'!T698,'_Dates'!U698&lt;&gt;"Full day",'_Dates'!V698&lt;&gt;"Full day",'_Dates'!U698&lt;&gt;'_Dates'!V698),"CHECK same-day portions disagree",IF(AND($B$6=0,OR(AND('_Dates'!U698&lt;&gt;"Full day",'_Dates'!AA698=0),AND('_Dates'!V698&lt;&gt;"Full day",'_Dates'!AB698=0))),"CHECK half-day on non-working date",IF(COUNTIF(Settings!$G$7:$G$11,D698)&lt;&gt;1,"CHECK leave type",IF(AND(Bookings!G698&lt;&gt;"Approved",Bookings!G698&lt;&gt;"Pending",Bookings!G698&lt;&gt;"Cancelled"),"CHECK status","OK")))))))))),"CHECK input"))</ns0:f>
        <ns0:v/>
      </ns0:c>
      <ns0:c r="G698" s="0">
        <ns0:f>IF(OR(F698&lt;&gt;"OK",$B$6&gt;0),0,0.5*(IF(('_Dates'!X698)&lt;('_Dates'!W698),0,INT((('_Dates'!X698)-('_Dates'!W698)+1)/7)*LEN(SUBSTITUTE(W698,"O",""))+LEN(SUBSTITUTE(MID(W698&amp;W698,WEEKDAY(('_Dates'!W698),2),MOD((('_Dates'!X698)-('_Dates'!W698)+1),7)),"O",""))-COUNTIFS(INDEX(AllClosureRows,C698,0),"&gt;="&amp;('_Dates'!W698),INDEX(AllClosureRows,C698,0),"&lt;="&amp;('_Dates'!X698)))+IF(('_Dates'!Z698)&lt;('_Dates'!Y698),0,INT((('_Dates'!Z698)-('_Dates'!Y698)+1)/7)*LEN(SUBSTITUTE(W698,"O",""))+LEN(SUBSTITUTE(MID(W698&amp;W698,WEEKDAY(('_Dates'!Y698),2),MOD((('_Dates'!Z698)-('_Dates'!Y698)+1),7)),"O",""))-COUNTIFS(INDEX(AllClosureRows,C698,0),"&gt;="&amp;('_Dates'!Y698),INDEX(AllClosureRows,C698,0),"&lt;="&amp;('_Dates'!Z698)))))</ns0:f>
        <ns0:v>0</ns0:v>
      </ns0:c>
      <ns0:c r="H698" s="0">
        <ns0:f>IF(OR(F698&lt;&gt;"OK",$B$6&gt;0),0,0.5*(IF((MIN('_Dates'!X698,Settings!$B$9))&lt;('_Dates'!W698),0,INT(((MIN('_Dates'!X698,Settings!$B$9))-('_Dates'!W698)+1)/7)*LEN(SUBSTITUTE(W698,"O",""))+LEN(SUBSTITUTE(MID(W698&amp;W698,WEEKDAY(('_Dates'!W698),2),MOD(((MIN('_Dates'!X698,Settings!$B$9))-('_Dates'!W698)+1),7)),"O",""))-COUNTIFS(INDEX(AllClosureRows,C698,0),"&gt;="&amp;('_Dates'!W698),INDEX(AllClosureRows,C698,0),"&lt;="&amp;(MIN('_Dates'!X698,Settings!$B$9))))+IF((MIN('_Dates'!Z698,Settings!$B$9))&lt;('_Dates'!Y698),0,INT(((MIN('_Dates'!Z698,Settings!$B$9))-('_Dates'!Y698)+1)/7)*LEN(SUBSTITUTE(W698,"O",""))+LEN(SUBSTITUTE(MID(W698&amp;W698,WEEKDAY(('_Dates'!Y698),2),MOD(((MIN('_Dates'!Z698,Settings!$B$9))-('_Dates'!Y698)+1),7)),"O",""))-COUNTIFS(INDEX(AllClosureRows,C698,0),"&gt;="&amp;('_Dates'!Y698),INDEX(AllClosureRows,C698,0),"&lt;="&amp;(MIN('_Dates'!Z698,Settings!$B$9))))))</ns0:f>
        <ns0:v>0</ns0:v>
      </ns0:c>
      <ns0:c r="I698" s="0">
        <ns0:f>MAX(0,G698-H698)</ns0:f>
        <ns0:v>0</ns0:v>
      </ns0:c>
      <ns0:c r="J698" s="0">
        <ns0:f>IF(OR(A698=0,F698&lt;&gt;"OK",Bookings!G698="Cancelled",$B$6&gt;0),0,IF('_Dates'!AC698=1,MAX(0,COUNTIFS(rngEngine_B,B698,rngAMStart,"&lt;="&amp;'_Dates'!X698,rngAMEnd,"&gt;="&amp;'_Dates'!W698,rngAMActive,1,rngEngine_F,"OK",rngBookings_F,"&lt;&gt;Cancelled")-1),0)+IF('_Dates'!AD698=1,MAX(0,COUNTIFS(rngEngine_B,B698,rngPMStart,"&lt;="&amp;'_Dates'!Z698,rngPMEnd,"&gt;="&amp;'_Dates'!Y698,rngPMActive,1,rngEngine_F,"OK",rngBookings_F,"&lt;&gt;Cancelled")-1),0))</ns0:f>
        <ns0:v>0</ns0:v>
      </ns0:c>
      <ns0:c r="K698" s="0" t="str">
        <ns0:f>IF(A698=0,"",IF(F698&lt;&gt;"OK",F698,IF(J698&gt;0,"CHECK overlapping entry",IF(AND($B$6=0,G698&lt;=0,Bookings!G698&lt;&gt;"Cancelled"),"CHECK no working days",IF(Bookings!G698="Cancelled","Cancelled","OK")))))</ns0:f>
        <ns0:v/>
      </ns0:c>
      <ns0:c r="L698" s="0">
        <ns0:f>IF(LEFT(K698,5)="CHECK",1,0)</ns0:f>
        <ns0:v>0</ns0:v>
      </ns0:c>
      <ns0:c r="M698" s="0">
        <ns0:f>IF(AND(L698=1,OR(C698=0,IFERROR(INDEX($X$11:$X$60,C698),0)=0)),1,0)</ns0:f>
        <ns0:v>0</ns0:v>
      </ns0:c>
      <ns0:c r="N698" s="0">
        <ns0:f>IF(OR(A698=0,L698&gt;0,$B$6&gt;0,Bookings!G698="Cancelled"),0,G698)</ns0:f>
        <ns0:v>0</ns0:v>
      </ns0:c>
      <ns0:c r="O698" s="0">
        <ns0:f>IF(AND(Bookings!G698="Approved",E698="Yes"),N698,0)</ns0:f>
        <ns0:v>0</ns0:v>
      </ns0:c>
      <ns0:c r="P698" s="0">
        <ns0:f>IF(AND(Bookings!G698="Approved",E698="Yes",L698=0,$B$6=0),H698,0)</ns0:f>
        <ns0:v>0</ns0:v>
      </ns0:c>
      <ns0:c r="Q698" s="0">
        <ns0:f>IF(AND(Bookings!G698="Approved",E698="Yes",L698=0,$B$6=0),I698,0)</ns0:f>
        <ns0:v>0</ns0:v>
      </ns0:c>
      <ns0:c r="R698" s="0">
        <ns0:f>IF(AND(Bookings!G698="Pending",E698="Yes"),N698,0)</ns0:f>
        <ns0:v>0</ns0:v>
      </ns0:c>
      <ns0:c r="S698" s="0">
        <ns0:f>IF(AND(Bookings!G698="Approved",E698="No"),N698,0)</ns0:f>
        <ns0:v>0</ns0:v>
      </ns0:c>
      <ns0:c r="T698" s="0">
        <ns0:f>IFERROR(MATCH(D698,Settings!$G$7:$G$11,0),0)</ns0:f>
        <ns0:v>0</ns0:v>
      </ns0:c>
      <ns0:c r="U698" s="0">
        <ns0:f>IF(N698&gt;0,T698+IF(Bookings!G698="Pending",10,0),0)</ns0:f>
        <ns0:v>0</ns0:v>
      </ns0:c>
      <ns0:c r="V698" s="0">
        <ns0:f>U698</ns0:f>
        <ns0:v>0</ns0:v>
      </ns0:c>
      <ns0:c r="W698" s="0" t="str">
        <ns0:f>IF(C698=0,"",INDEX($AP$11:$AP$60,C698))</ns0:f>
        <ns0:v/>
      </ns0:c>
    </ns0:row>
    <ns0:row r="699">
      <ns0:c r="A699" s="0">
        <ns0:f>IF(COUNTA(Bookings!A699:G699,Bookings!I699)=0,0,1)</ns0:f>
        <ns0:v>0</ns0:v>
      </ns0:c>
      <ns0:c r="B699" s="0" t="str">
        <ns0:f>IFERROR(TRIM(MID(Bookings!A699,FIND(" · ",Bookings!A699)+3,99)),"")</ns0:f>
        <ns0:v/>
      </ns0:c>
      <ns0:c r="C699" s="0">
        <ns0:f>IF(OR(B699="",LEN(B699)&gt;24,ISNUMBER(FIND(" ",B699)),ISNUMBER(FIND("*",B699)),ISNUMBER(FIND("?",B699)),ISNUMBER(FIND("~",B699))),0,IFERROR(MATCH(B699,Team!$A$11:$A$60,0),0))</ns0:f>
        <ns0:v>0</ns0:v>
      </ns0:c>
      <ns0:c r="D699" s="0" t="str">
        <ns0:f>IFERROR(IF(MID(Bookings!F699,LEN(Bookings!F699)-3,3)=" · ",RIGHT(Bookings!F699,1),""),"")</ns0:f>
        <ns0:v/>
      </ns0:c>
      <ns0:c r="E699" s="0" t="str">
        <ns0:f>IFERROR(INDEX(Settings!$H$7:$H$11,MATCH(D699,Settings!$G$7:$G$11,0)),"")</ns0:f>
        <ns0:v/>
      </ns0:c>
      <ns0:c r="F699" s="0" t="str">
        <ns0:f>IF(A699=0,"",IFERROR(IF(OR(B699="",C699=0),"CHECK employee selection",IF(INDEX(Team!$O$11:$O$60,C699)&lt;&gt;"OK","CHECK employee setup",IF(OR('_Dates'!J699=0,'_Dates'!T699=0),"CHECK date: use DD.MM.YYYY",IF('_Dates'!T699&lt;'_Dates'!J699,"CHECK end before start",IF(AND($B$6=0,OR('_Dates'!J699&lt;Settings!$B$7,'_Dates'!T699&gt;Settings!$B$8)),"CHECK split across leave years",IF(OR(NOT(OR('_Dates'!U699="Full day",'_Dates'!U699="AM",'_Dates'!U699="PM")),NOT(OR('_Dates'!V699="Full day",'_Dates'!V699="AM",'_Dates'!V699="PM"))),"CHECK Full day / AM / PM",IF(AND('_Dates'!J699='_Dates'!T699,'_Dates'!U699&lt;&gt;"Full day",'_Dates'!V699&lt;&gt;"Full day",'_Dates'!U699&lt;&gt;'_Dates'!V699),"CHECK same-day portions disagree",IF(AND($B$6=0,OR(AND('_Dates'!U699&lt;&gt;"Full day",'_Dates'!AA699=0),AND('_Dates'!V699&lt;&gt;"Full day",'_Dates'!AB699=0))),"CHECK half-day on non-working date",IF(COUNTIF(Settings!$G$7:$G$11,D699)&lt;&gt;1,"CHECK leave type",IF(AND(Bookings!G699&lt;&gt;"Approved",Bookings!G699&lt;&gt;"Pending",Bookings!G699&lt;&gt;"Cancelled"),"CHECK status","OK")))))))))),"CHECK input"))</ns0:f>
        <ns0:v/>
      </ns0:c>
      <ns0:c r="G699" s="0">
        <ns0:f>IF(OR(F699&lt;&gt;"OK",$B$6&gt;0),0,0.5*(IF(('_Dates'!X699)&lt;('_Dates'!W699),0,INT((('_Dates'!X699)-('_Dates'!W699)+1)/7)*LEN(SUBSTITUTE(W699,"O",""))+LEN(SUBSTITUTE(MID(W699&amp;W699,WEEKDAY(('_Dates'!W699),2),MOD((('_Dates'!X699)-('_Dates'!W699)+1),7)),"O",""))-COUNTIFS(INDEX(AllClosureRows,C699,0),"&gt;="&amp;('_Dates'!W699),INDEX(AllClosureRows,C699,0),"&lt;="&amp;('_Dates'!X699)))+IF(('_Dates'!Z699)&lt;('_Dates'!Y699),0,INT((('_Dates'!Z699)-('_Dates'!Y699)+1)/7)*LEN(SUBSTITUTE(W699,"O",""))+LEN(SUBSTITUTE(MID(W699&amp;W699,WEEKDAY(('_Dates'!Y699),2),MOD((('_Dates'!Z699)-('_Dates'!Y699)+1),7)),"O",""))-COUNTIFS(INDEX(AllClosureRows,C699,0),"&gt;="&amp;('_Dates'!Y699),INDEX(AllClosureRows,C699,0),"&lt;="&amp;('_Dates'!Z699)))))</ns0:f>
        <ns0:v>0</ns0:v>
      </ns0:c>
      <ns0:c r="H699" s="0">
        <ns0:f>IF(OR(F699&lt;&gt;"OK",$B$6&gt;0),0,0.5*(IF((MIN('_Dates'!X699,Settings!$B$9))&lt;('_Dates'!W699),0,INT(((MIN('_Dates'!X699,Settings!$B$9))-('_Dates'!W699)+1)/7)*LEN(SUBSTITUTE(W699,"O",""))+LEN(SUBSTITUTE(MID(W699&amp;W699,WEEKDAY(('_Dates'!W699),2),MOD(((MIN('_Dates'!X699,Settings!$B$9))-('_Dates'!W699)+1),7)),"O",""))-COUNTIFS(INDEX(AllClosureRows,C699,0),"&gt;="&amp;('_Dates'!W699),INDEX(AllClosureRows,C699,0),"&lt;="&amp;(MIN('_Dates'!X699,Settings!$B$9))))+IF((MIN('_Dates'!Z699,Settings!$B$9))&lt;('_Dates'!Y699),0,INT(((MIN('_Dates'!Z699,Settings!$B$9))-('_Dates'!Y699)+1)/7)*LEN(SUBSTITUTE(W699,"O",""))+LEN(SUBSTITUTE(MID(W699&amp;W699,WEEKDAY(('_Dates'!Y699),2),MOD(((MIN('_Dates'!Z699,Settings!$B$9))-('_Dates'!Y699)+1),7)),"O",""))-COUNTIFS(INDEX(AllClosureRows,C699,0),"&gt;="&amp;('_Dates'!Y699),INDEX(AllClosureRows,C699,0),"&lt;="&amp;(MIN('_Dates'!Z699,Settings!$B$9))))))</ns0:f>
        <ns0:v>0</ns0:v>
      </ns0:c>
      <ns0:c r="I699" s="0">
        <ns0:f>MAX(0,G699-H699)</ns0:f>
        <ns0:v>0</ns0:v>
      </ns0:c>
      <ns0:c r="J699" s="0">
        <ns0:f>IF(OR(A699=0,F699&lt;&gt;"OK",Bookings!G699="Cancelled",$B$6&gt;0),0,IF('_Dates'!AC699=1,MAX(0,COUNTIFS(rngEngine_B,B699,rngAMStart,"&lt;="&amp;'_Dates'!X699,rngAMEnd,"&gt;="&amp;'_Dates'!W699,rngAMActive,1,rngEngine_F,"OK",rngBookings_F,"&lt;&gt;Cancelled")-1),0)+IF('_Dates'!AD699=1,MAX(0,COUNTIFS(rngEngine_B,B699,rngPMStart,"&lt;="&amp;'_Dates'!Z699,rngPMEnd,"&gt;="&amp;'_Dates'!Y699,rngPMActive,1,rngEngine_F,"OK",rngBookings_F,"&lt;&gt;Cancelled")-1),0))</ns0:f>
        <ns0:v>0</ns0:v>
      </ns0:c>
      <ns0:c r="K699" s="0" t="str">
        <ns0:f>IF(A699=0,"",IF(F699&lt;&gt;"OK",F699,IF(J699&gt;0,"CHECK overlapping entry",IF(AND($B$6=0,G699&lt;=0,Bookings!G699&lt;&gt;"Cancelled"),"CHECK no working days",IF(Bookings!G699="Cancelled","Cancelled","OK")))))</ns0:f>
        <ns0:v/>
      </ns0:c>
      <ns0:c r="L699" s="0">
        <ns0:f>IF(LEFT(K699,5)="CHECK",1,0)</ns0:f>
        <ns0:v>0</ns0:v>
      </ns0:c>
      <ns0:c r="M699" s="0">
        <ns0:f>IF(AND(L699=1,OR(C699=0,IFERROR(INDEX($X$11:$X$60,C699),0)=0)),1,0)</ns0:f>
        <ns0:v>0</ns0:v>
      </ns0:c>
      <ns0:c r="N699" s="0">
        <ns0:f>IF(OR(A699=0,L699&gt;0,$B$6&gt;0,Bookings!G699="Cancelled"),0,G699)</ns0:f>
        <ns0:v>0</ns0:v>
      </ns0:c>
      <ns0:c r="O699" s="0">
        <ns0:f>IF(AND(Bookings!G699="Approved",E699="Yes"),N699,0)</ns0:f>
        <ns0:v>0</ns0:v>
      </ns0:c>
      <ns0:c r="P699" s="0">
        <ns0:f>IF(AND(Bookings!G699="Approved",E699="Yes",L699=0,$B$6=0),H699,0)</ns0:f>
        <ns0:v>0</ns0:v>
      </ns0:c>
      <ns0:c r="Q699" s="0">
        <ns0:f>IF(AND(Bookings!G699="Approved",E699="Yes",L699=0,$B$6=0),I699,0)</ns0:f>
        <ns0:v>0</ns0:v>
      </ns0:c>
      <ns0:c r="R699" s="0">
        <ns0:f>IF(AND(Bookings!G699="Pending",E699="Yes"),N699,0)</ns0:f>
        <ns0:v>0</ns0:v>
      </ns0:c>
      <ns0:c r="S699" s="0">
        <ns0:f>IF(AND(Bookings!G699="Approved",E699="No"),N699,0)</ns0:f>
        <ns0:v>0</ns0:v>
      </ns0:c>
      <ns0:c r="T699" s="0">
        <ns0:f>IFERROR(MATCH(D699,Settings!$G$7:$G$11,0),0)</ns0:f>
        <ns0:v>0</ns0:v>
      </ns0:c>
      <ns0:c r="U699" s="0">
        <ns0:f>IF(N699&gt;0,T699+IF(Bookings!G699="Pending",10,0),0)</ns0:f>
        <ns0:v>0</ns0:v>
      </ns0:c>
      <ns0:c r="V699" s="0">
        <ns0:f>U699</ns0:f>
        <ns0:v>0</ns0:v>
      </ns0:c>
      <ns0:c r="W699" s="0" t="str">
        <ns0:f>IF(C699=0,"",INDEX($AP$11:$AP$60,C699))</ns0:f>
        <ns0:v/>
      </ns0:c>
    </ns0:row>
    <ns0:row r="700">
      <ns0:c r="A700" s="0">
        <ns0:f>IF(COUNTA(Bookings!A700:G700,Bookings!I700)=0,0,1)</ns0:f>
        <ns0:v>0</ns0:v>
      </ns0:c>
      <ns0:c r="B700" s="0" t="str">
        <ns0:f>IFERROR(TRIM(MID(Bookings!A700,FIND(" · ",Bookings!A700)+3,99)),"")</ns0:f>
        <ns0:v/>
      </ns0:c>
      <ns0:c r="C700" s="0">
        <ns0:f>IF(OR(B700="",LEN(B700)&gt;24,ISNUMBER(FIND(" ",B700)),ISNUMBER(FIND("*",B700)),ISNUMBER(FIND("?",B700)),ISNUMBER(FIND("~",B700))),0,IFERROR(MATCH(B700,Team!$A$11:$A$60,0),0))</ns0:f>
        <ns0:v>0</ns0:v>
      </ns0:c>
      <ns0:c r="D700" s="0" t="str">
        <ns0:f>IFERROR(IF(MID(Bookings!F700,LEN(Bookings!F700)-3,3)=" · ",RIGHT(Bookings!F700,1),""),"")</ns0:f>
        <ns0:v/>
      </ns0:c>
      <ns0:c r="E700" s="0" t="str">
        <ns0:f>IFERROR(INDEX(Settings!$H$7:$H$11,MATCH(D700,Settings!$G$7:$G$11,0)),"")</ns0:f>
        <ns0:v/>
      </ns0:c>
      <ns0:c r="F700" s="0" t="str">
        <ns0:f>IF(A700=0,"",IFERROR(IF(OR(B700="",C700=0),"CHECK employee selection",IF(INDEX(Team!$O$11:$O$60,C700)&lt;&gt;"OK","CHECK employee setup",IF(OR('_Dates'!J700=0,'_Dates'!T700=0),"CHECK date: use DD.MM.YYYY",IF('_Dates'!T700&lt;'_Dates'!J700,"CHECK end before start",IF(AND($B$6=0,OR('_Dates'!J700&lt;Settings!$B$7,'_Dates'!T700&gt;Settings!$B$8)),"CHECK split across leave years",IF(OR(NOT(OR('_Dates'!U700="Full day",'_Dates'!U700="AM",'_Dates'!U700="PM")),NOT(OR('_Dates'!V700="Full day",'_Dates'!V700="AM",'_Dates'!V700="PM"))),"CHECK Full day / AM / PM",IF(AND('_Dates'!J700='_Dates'!T700,'_Dates'!U700&lt;&gt;"Full day",'_Dates'!V700&lt;&gt;"Full day",'_Dates'!U700&lt;&gt;'_Dates'!V700),"CHECK same-day portions disagree",IF(AND($B$6=0,OR(AND('_Dates'!U700&lt;&gt;"Full day",'_Dates'!AA700=0),AND('_Dates'!V700&lt;&gt;"Full day",'_Dates'!AB700=0))),"CHECK half-day on non-working date",IF(COUNTIF(Settings!$G$7:$G$11,D700)&lt;&gt;1,"CHECK leave type",IF(AND(Bookings!G700&lt;&gt;"Approved",Bookings!G700&lt;&gt;"Pending",Bookings!G700&lt;&gt;"Cancelled"),"CHECK status","OK")))))))))),"CHECK input"))</ns0:f>
        <ns0:v/>
      </ns0:c>
      <ns0:c r="G700" s="0">
        <ns0:f>IF(OR(F700&lt;&gt;"OK",$B$6&gt;0),0,0.5*(IF(('_Dates'!X700)&lt;('_Dates'!W700),0,INT((('_Dates'!X700)-('_Dates'!W700)+1)/7)*LEN(SUBSTITUTE(W700,"O",""))+LEN(SUBSTITUTE(MID(W700&amp;W700,WEEKDAY(('_Dates'!W700),2),MOD((('_Dates'!X700)-('_Dates'!W700)+1),7)),"O",""))-COUNTIFS(INDEX(AllClosureRows,C700,0),"&gt;="&amp;('_Dates'!W700),INDEX(AllClosureRows,C700,0),"&lt;="&amp;('_Dates'!X700)))+IF(('_Dates'!Z700)&lt;('_Dates'!Y700),0,INT((('_Dates'!Z700)-('_Dates'!Y700)+1)/7)*LEN(SUBSTITUTE(W700,"O",""))+LEN(SUBSTITUTE(MID(W700&amp;W700,WEEKDAY(('_Dates'!Y700),2),MOD((('_Dates'!Z700)-('_Dates'!Y700)+1),7)),"O",""))-COUNTIFS(INDEX(AllClosureRows,C700,0),"&gt;="&amp;('_Dates'!Y700),INDEX(AllClosureRows,C700,0),"&lt;="&amp;('_Dates'!Z700)))))</ns0:f>
        <ns0:v>0</ns0:v>
      </ns0:c>
      <ns0:c r="H700" s="0">
        <ns0:f>IF(OR(F700&lt;&gt;"OK",$B$6&gt;0),0,0.5*(IF((MIN('_Dates'!X700,Settings!$B$9))&lt;('_Dates'!W700),0,INT(((MIN('_Dates'!X700,Settings!$B$9))-('_Dates'!W700)+1)/7)*LEN(SUBSTITUTE(W700,"O",""))+LEN(SUBSTITUTE(MID(W700&amp;W700,WEEKDAY(('_Dates'!W700),2),MOD(((MIN('_Dates'!X700,Settings!$B$9))-('_Dates'!W700)+1),7)),"O",""))-COUNTIFS(INDEX(AllClosureRows,C700,0),"&gt;="&amp;('_Dates'!W700),INDEX(AllClosureRows,C700,0),"&lt;="&amp;(MIN('_Dates'!X700,Settings!$B$9))))+IF((MIN('_Dates'!Z700,Settings!$B$9))&lt;('_Dates'!Y700),0,INT(((MIN('_Dates'!Z700,Settings!$B$9))-('_Dates'!Y700)+1)/7)*LEN(SUBSTITUTE(W700,"O",""))+LEN(SUBSTITUTE(MID(W700&amp;W700,WEEKDAY(('_Dates'!Y700),2),MOD(((MIN('_Dates'!Z700,Settings!$B$9))-('_Dates'!Y700)+1),7)),"O",""))-COUNTIFS(INDEX(AllClosureRows,C700,0),"&gt;="&amp;('_Dates'!Y700),INDEX(AllClosureRows,C700,0),"&lt;="&amp;(MIN('_Dates'!Z700,Settings!$B$9))))))</ns0:f>
        <ns0:v>0</ns0:v>
      </ns0:c>
      <ns0:c r="I700" s="0">
        <ns0:f>MAX(0,G700-H700)</ns0:f>
        <ns0:v>0</ns0:v>
      </ns0:c>
      <ns0:c r="J700" s="0">
        <ns0:f>IF(OR(A700=0,F700&lt;&gt;"OK",Bookings!G700="Cancelled",$B$6&gt;0),0,IF('_Dates'!AC700=1,MAX(0,COUNTIFS(rngEngine_B,B700,rngAMStart,"&lt;="&amp;'_Dates'!X700,rngAMEnd,"&gt;="&amp;'_Dates'!W700,rngAMActive,1,rngEngine_F,"OK",rngBookings_F,"&lt;&gt;Cancelled")-1),0)+IF('_Dates'!AD700=1,MAX(0,COUNTIFS(rngEngine_B,B700,rngPMStart,"&lt;="&amp;'_Dates'!Z700,rngPMEnd,"&gt;="&amp;'_Dates'!Y700,rngPMActive,1,rngEngine_F,"OK",rngBookings_F,"&lt;&gt;Cancelled")-1),0))</ns0:f>
        <ns0:v>0</ns0:v>
      </ns0:c>
      <ns0:c r="K700" s="0" t="str">
        <ns0:f>IF(A700=0,"",IF(F700&lt;&gt;"OK",F700,IF(J700&gt;0,"CHECK overlapping entry",IF(AND($B$6=0,G700&lt;=0,Bookings!G700&lt;&gt;"Cancelled"),"CHECK no working days",IF(Bookings!G700="Cancelled","Cancelled","OK")))))</ns0:f>
        <ns0:v/>
      </ns0:c>
      <ns0:c r="L700" s="0">
        <ns0:f>IF(LEFT(K700,5)="CHECK",1,0)</ns0:f>
        <ns0:v>0</ns0:v>
      </ns0:c>
      <ns0:c r="M700" s="0">
        <ns0:f>IF(AND(L700=1,OR(C700=0,IFERROR(INDEX($X$11:$X$60,C700),0)=0)),1,0)</ns0:f>
        <ns0:v>0</ns0:v>
      </ns0:c>
      <ns0:c r="N700" s="0">
        <ns0:f>IF(OR(A700=0,L700&gt;0,$B$6&gt;0,Bookings!G700="Cancelled"),0,G700)</ns0:f>
        <ns0:v>0</ns0:v>
      </ns0:c>
      <ns0:c r="O700" s="0">
        <ns0:f>IF(AND(Bookings!G700="Approved",E700="Yes"),N700,0)</ns0:f>
        <ns0:v>0</ns0:v>
      </ns0:c>
      <ns0:c r="P700" s="0">
        <ns0:f>IF(AND(Bookings!G700="Approved",E700="Yes",L700=0,$B$6=0),H700,0)</ns0:f>
        <ns0:v>0</ns0:v>
      </ns0:c>
      <ns0:c r="Q700" s="0">
        <ns0:f>IF(AND(Bookings!G700="Approved",E700="Yes",L700=0,$B$6=0),I700,0)</ns0:f>
        <ns0:v>0</ns0:v>
      </ns0:c>
      <ns0:c r="R700" s="0">
        <ns0:f>IF(AND(Bookings!G700="Pending",E700="Yes"),N700,0)</ns0:f>
        <ns0:v>0</ns0:v>
      </ns0:c>
      <ns0:c r="S700" s="0">
        <ns0:f>IF(AND(Bookings!G700="Approved",E700="No"),N700,0)</ns0:f>
        <ns0:v>0</ns0:v>
      </ns0:c>
      <ns0:c r="T700" s="0">
        <ns0:f>IFERROR(MATCH(D700,Settings!$G$7:$G$11,0),0)</ns0:f>
        <ns0:v>0</ns0:v>
      </ns0:c>
      <ns0:c r="U700" s="0">
        <ns0:f>IF(N700&gt;0,T700+IF(Bookings!G700="Pending",10,0),0)</ns0:f>
        <ns0:v>0</ns0:v>
      </ns0:c>
      <ns0:c r="V700" s="0">
        <ns0:f>U700</ns0:f>
        <ns0:v>0</ns0:v>
      </ns0:c>
      <ns0:c r="W700" s="0" t="str">
        <ns0:f>IF(C700=0,"",INDEX($AP$11:$AP$60,C700))</ns0:f>
        <ns0:v/>
      </ns0:c>
    </ns0:row>
    <ns0:row r="701">
      <ns0:c r="A701" s="0">
        <ns0:f>IF(COUNTA(Bookings!A701:G701,Bookings!I701)=0,0,1)</ns0:f>
        <ns0:v>0</ns0:v>
      </ns0:c>
      <ns0:c r="B701" s="0" t="str">
        <ns0:f>IFERROR(TRIM(MID(Bookings!A701,FIND(" · ",Bookings!A701)+3,99)),"")</ns0:f>
        <ns0:v/>
      </ns0:c>
      <ns0:c r="C701" s="0">
        <ns0:f>IF(OR(B701="",LEN(B701)&gt;24,ISNUMBER(FIND(" ",B701)),ISNUMBER(FIND("*",B701)),ISNUMBER(FIND("?",B701)),ISNUMBER(FIND("~",B701))),0,IFERROR(MATCH(B701,Team!$A$11:$A$60,0),0))</ns0:f>
        <ns0:v>0</ns0:v>
      </ns0:c>
      <ns0:c r="D701" s="0" t="str">
        <ns0:f>IFERROR(IF(MID(Bookings!F701,LEN(Bookings!F701)-3,3)=" · ",RIGHT(Bookings!F701,1),""),"")</ns0:f>
        <ns0:v/>
      </ns0:c>
      <ns0:c r="E701" s="0" t="str">
        <ns0:f>IFERROR(INDEX(Settings!$H$7:$H$11,MATCH(D701,Settings!$G$7:$G$11,0)),"")</ns0:f>
        <ns0:v/>
      </ns0:c>
      <ns0:c r="F701" s="0" t="str">
        <ns0:f>IF(A701=0,"",IFERROR(IF(OR(B701="",C701=0),"CHECK employee selection",IF(INDEX(Team!$O$11:$O$60,C701)&lt;&gt;"OK","CHECK employee setup",IF(OR('_Dates'!J701=0,'_Dates'!T701=0),"CHECK date: use DD.MM.YYYY",IF('_Dates'!T701&lt;'_Dates'!J701,"CHECK end before start",IF(AND($B$6=0,OR('_Dates'!J701&lt;Settings!$B$7,'_Dates'!T701&gt;Settings!$B$8)),"CHECK split across leave years",IF(OR(NOT(OR('_Dates'!U701="Full day",'_Dates'!U701="AM",'_Dates'!U701="PM")),NOT(OR('_Dates'!V701="Full day",'_Dates'!V701="AM",'_Dates'!V701="PM"))),"CHECK Full day / AM / PM",IF(AND('_Dates'!J701='_Dates'!T701,'_Dates'!U701&lt;&gt;"Full day",'_Dates'!V701&lt;&gt;"Full day",'_Dates'!U701&lt;&gt;'_Dates'!V701),"CHECK same-day portions disagree",IF(AND($B$6=0,OR(AND('_Dates'!U701&lt;&gt;"Full day",'_Dates'!AA701=0),AND('_Dates'!V701&lt;&gt;"Full day",'_Dates'!AB701=0))),"CHECK half-day on non-working date",IF(COUNTIF(Settings!$G$7:$G$11,D701)&lt;&gt;1,"CHECK leave type",IF(AND(Bookings!G701&lt;&gt;"Approved",Bookings!G701&lt;&gt;"Pending",Bookings!G701&lt;&gt;"Cancelled"),"CHECK status","OK")))))))))),"CHECK input"))</ns0:f>
        <ns0:v/>
      </ns0:c>
      <ns0:c r="G701" s="0">
        <ns0:f>IF(OR(F701&lt;&gt;"OK",$B$6&gt;0),0,0.5*(IF(('_Dates'!X701)&lt;('_Dates'!W701),0,INT((('_Dates'!X701)-('_Dates'!W701)+1)/7)*LEN(SUBSTITUTE(W701,"O",""))+LEN(SUBSTITUTE(MID(W701&amp;W701,WEEKDAY(('_Dates'!W701),2),MOD((('_Dates'!X701)-('_Dates'!W701)+1),7)),"O",""))-COUNTIFS(INDEX(AllClosureRows,C701,0),"&gt;="&amp;('_Dates'!W701),INDEX(AllClosureRows,C701,0),"&lt;="&amp;('_Dates'!X701)))+IF(('_Dates'!Z701)&lt;('_Dates'!Y701),0,INT((('_Dates'!Z701)-('_Dates'!Y701)+1)/7)*LEN(SUBSTITUTE(W701,"O",""))+LEN(SUBSTITUTE(MID(W701&amp;W701,WEEKDAY(('_Dates'!Y701),2),MOD((('_Dates'!Z701)-('_Dates'!Y701)+1),7)),"O",""))-COUNTIFS(INDEX(AllClosureRows,C701,0),"&gt;="&amp;('_Dates'!Y701),INDEX(AllClosureRows,C701,0),"&lt;="&amp;('_Dates'!Z701)))))</ns0:f>
        <ns0:v>0</ns0:v>
      </ns0:c>
      <ns0:c r="H701" s="0">
        <ns0:f>IF(OR(F701&lt;&gt;"OK",$B$6&gt;0),0,0.5*(IF((MIN('_Dates'!X701,Settings!$B$9))&lt;('_Dates'!W701),0,INT(((MIN('_Dates'!X701,Settings!$B$9))-('_Dates'!W701)+1)/7)*LEN(SUBSTITUTE(W701,"O",""))+LEN(SUBSTITUTE(MID(W701&amp;W701,WEEKDAY(('_Dates'!W701),2),MOD(((MIN('_Dates'!X701,Settings!$B$9))-('_Dates'!W701)+1),7)),"O",""))-COUNTIFS(INDEX(AllClosureRows,C701,0),"&gt;="&amp;('_Dates'!W701),INDEX(AllClosureRows,C701,0),"&lt;="&amp;(MIN('_Dates'!X701,Settings!$B$9))))+IF((MIN('_Dates'!Z701,Settings!$B$9))&lt;('_Dates'!Y701),0,INT(((MIN('_Dates'!Z701,Settings!$B$9))-('_Dates'!Y701)+1)/7)*LEN(SUBSTITUTE(W701,"O",""))+LEN(SUBSTITUTE(MID(W701&amp;W701,WEEKDAY(('_Dates'!Y701),2),MOD(((MIN('_Dates'!Z701,Settings!$B$9))-('_Dates'!Y701)+1),7)),"O",""))-COUNTIFS(INDEX(AllClosureRows,C701,0),"&gt;="&amp;('_Dates'!Y701),INDEX(AllClosureRows,C701,0),"&lt;="&amp;(MIN('_Dates'!Z701,Settings!$B$9))))))</ns0:f>
        <ns0:v>0</ns0:v>
      </ns0:c>
      <ns0:c r="I701" s="0">
        <ns0:f>MAX(0,G701-H701)</ns0:f>
        <ns0:v>0</ns0:v>
      </ns0:c>
      <ns0:c r="J701" s="0">
        <ns0:f>IF(OR(A701=0,F701&lt;&gt;"OK",Bookings!G701="Cancelled",$B$6&gt;0),0,IF('_Dates'!AC701=1,MAX(0,COUNTIFS(rngEngine_B,B701,rngAMStart,"&lt;="&amp;'_Dates'!X701,rngAMEnd,"&gt;="&amp;'_Dates'!W701,rngAMActive,1,rngEngine_F,"OK",rngBookings_F,"&lt;&gt;Cancelled")-1),0)+IF('_Dates'!AD701=1,MAX(0,COUNTIFS(rngEngine_B,B701,rngPMStart,"&lt;="&amp;'_Dates'!Z701,rngPMEnd,"&gt;="&amp;'_Dates'!Y701,rngPMActive,1,rngEngine_F,"OK",rngBookings_F,"&lt;&gt;Cancelled")-1),0))</ns0:f>
        <ns0:v>0</ns0:v>
      </ns0:c>
      <ns0:c r="K701" s="0" t="str">
        <ns0:f>IF(A701=0,"",IF(F701&lt;&gt;"OK",F701,IF(J701&gt;0,"CHECK overlapping entry",IF(AND($B$6=0,G701&lt;=0,Bookings!G701&lt;&gt;"Cancelled"),"CHECK no working days",IF(Bookings!G701="Cancelled","Cancelled","OK")))))</ns0:f>
        <ns0:v/>
      </ns0:c>
      <ns0:c r="L701" s="0">
        <ns0:f>IF(LEFT(K701,5)="CHECK",1,0)</ns0:f>
        <ns0:v>0</ns0:v>
      </ns0:c>
      <ns0:c r="M701" s="0">
        <ns0:f>IF(AND(L701=1,OR(C701=0,IFERROR(INDEX($X$11:$X$60,C701),0)=0)),1,0)</ns0:f>
        <ns0:v>0</ns0:v>
      </ns0:c>
      <ns0:c r="N701" s="0">
        <ns0:f>IF(OR(A701=0,L701&gt;0,$B$6&gt;0,Bookings!G701="Cancelled"),0,G701)</ns0:f>
        <ns0:v>0</ns0:v>
      </ns0:c>
      <ns0:c r="O701" s="0">
        <ns0:f>IF(AND(Bookings!G701="Approved",E701="Yes"),N701,0)</ns0:f>
        <ns0:v>0</ns0:v>
      </ns0:c>
      <ns0:c r="P701" s="0">
        <ns0:f>IF(AND(Bookings!G701="Approved",E701="Yes",L701=0,$B$6=0),H701,0)</ns0:f>
        <ns0:v>0</ns0:v>
      </ns0:c>
      <ns0:c r="Q701" s="0">
        <ns0:f>IF(AND(Bookings!G701="Approved",E701="Yes",L701=0,$B$6=0),I701,0)</ns0:f>
        <ns0:v>0</ns0:v>
      </ns0:c>
      <ns0:c r="R701" s="0">
        <ns0:f>IF(AND(Bookings!G701="Pending",E701="Yes"),N701,0)</ns0:f>
        <ns0:v>0</ns0:v>
      </ns0:c>
      <ns0:c r="S701" s="0">
        <ns0:f>IF(AND(Bookings!G701="Approved",E701="No"),N701,0)</ns0:f>
        <ns0:v>0</ns0:v>
      </ns0:c>
      <ns0:c r="T701" s="0">
        <ns0:f>IFERROR(MATCH(D701,Settings!$G$7:$G$11,0),0)</ns0:f>
        <ns0:v>0</ns0:v>
      </ns0:c>
      <ns0:c r="U701" s="0">
        <ns0:f>IF(N701&gt;0,T701+IF(Bookings!G701="Pending",10,0),0)</ns0:f>
        <ns0:v>0</ns0:v>
      </ns0:c>
      <ns0:c r="V701" s="0">
        <ns0:f>U701</ns0:f>
        <ns0:v>0</ns0:v>
      </ns0:c>
      <ns0:c r="W701" s="0" t="str">
        <ns0:f>IF(C701=0,"",INDEX($AP$11:$AP$60,C701))</ns0:f>
        <ns0:v/>
      </ns0:c>
    </ns0:row>
    <ns0:row r="702">
      <ns0:c r="A702" s="0">
        <ns0:f>IF(COUNTA(Bookings!A702:G702,Bookings!I702)=0,0,1)</ns0:f>
        <ns0:v>0</ns0:v>
      </ns0:c>
      <ns0:c r="B702" s="0" t="str">
        <ns0:f>IFERROR(TRIM(MID(Bookings!A702,FIND(" · ",Bookings!A702)+3,99)),"")</ns0:f>
        <ns0:v/>
      </ns0:c>
      <ns0:c r="C702" s="0">
        <ns0:f>IF(OR(B702="",LEN(B702)&gt;24,ISNUMBER(FIND(" ",B702)),ISNUMBER(FIND("*",B702)),ISNUMBER(FIND("?",B702)),ISNUMBER(FIND("~",B702))),0,IFERROR(MATCH(B702,Team!$A$11:$A$60,0),0))</ns0:f>
        <ns0:v>0</ns0:v>
      </ns0:c>
      <ns0:c r="D702" s="0" t="str">
        <ns0:f>IFERROR(IF(MID(Bookings!F702,LEN(Bookings!F702)-3,3)=" · ",RIGHT(Bookings!F702,1),""),"")</ns0:f>
        <ns0:v/>
      </ns0:c>
      <ns0:c r="E702" s="0" t="str">
        <ns0:f>IFERROR(INDEX(Settings!$H$7:$H$11,MATCH(D702,Settings!$G$7:$G$11,0)),"")</ns0:f>
        <ns0:v/>
      </ns0:c>
      <ns0:c r="F702" s="0" t="str">
        <ns0:f>IF(A702=0,"",IFERROR(IF(OR(B702="",C702=0),"CHECK employee selection",IF(INDEX(Team!$O$11:$O$60,C702)&lt;&gt;"OK","CHECK employee setup",IF(OR('_Dates'!J702=0,'_Dates'!T702=0),"CHECK date: use DD.MM.YYYY",IF('_Dates'!T702&lt;'_Dates'!J702,"CHECK end before start",IF(AND($B$6=0,OR('_Dates'!J702&lt;Settings!$B$7,'_Dates'!T702&gt;Settings!$B$8)),"CHECK split across leave years",IF(OR(NOT(OR('_Dates'!U702="Full day",'_Dates'!U702="AM",'_Dates'!U702="PM")),NOT(OR('_Dates'!V702="Full day",'_Dates'!V702="AM",'_Dates'!V702="PM"))),"CHECK Full day / AM / PM",IF(AND('_Dates'!J702='_Dates'!T702,'_Dates'!U702&lt;&gt;"Full day",'_Dates'!V702&lt;&gt;"Full day",'_Dates'!U702&lt;&gt;'_Dates'!V702),"CHECK same-day portions disagree",IF(AND($B$6=0,OR(AND('_Dates'!U702&lt;&gt;"Full day",'_Dates'!AA702=0),AND('_Dates'!V702&lt;&gt;"Full day",'_Dates'!AB702=0))),"CHECK half-day on non-working date",IF(COUNTIF(Settings!$G$7:$G$11,D702)&lt;&gt;1,"CHECK leave type",IF(AND(Bookings!G702&lt;&gt;"Approved",Bookings!G702&lt;&gt;"Pending",Bookings!G702&lt;&gt;"Cancelled"),"CHECK status","OK")))))))))),"CHECK input"))</ns0:f>
        <ns0:v/>
      </ns0:c>
      <ns0:c r="G702" s="0">
        <ns0:f>IF(OR(F702&lt;&gt;"OK",$B$6&gt;0),0,0.5*(IF(('_Dates'!X702)&lt;('_Dates'!W702),0,INT((('_Dates'!X702)-('_Dates'!W702)+1)/7)*LEN(SUBSTITUTE(W702,"O",""))+LEN(SUBSTITUTE(MID(W702&amp;W702,WEEKDAY(('_Dates'!W702),2),MOD((('_Dates'!X702)-('_Dates'!W702)+1),7)),"O",""))-COUNTIFS(INDEX(AllClosureRows,C702,0),"&gt;="&amp;('_Dates'!W702),INDEX(AllClosureRows,C702,0),"&lt;="&amp;('_Dates'!X702)))+IF(('_Dates'!Z702)&lt;('_Dates'!Y702),0,INT((('_Dates'!Z702)-('_Dates'!Y702)+1)/7)*LEN(SUBSTITUTE(W702,"O",""))+LEN(SUBSTITUTE(MID(W702&amp;W702,WEEKDAY(('_Dates'!Y702),2),MOD((('_Dates'!Z702)-('_Dates'!Y702)+1),7)),"O",""))-COUNTIFS(INDEX(AllClosureRows,C702,0),"&gt;="&amp;('_Dates'!Y702),INDEX(AllClosureRows,C702,0),"&lt;="&amp;('_Dates'!Z702)))))</ns0:f>
        <ns0:v>0</ns0:v>
      </ns0:c>
      <ns0:c r="H702" s="0">
        <ns0:f>IF(OR(F702&lt;&gt;"OK",$B$6&gt;0),0,0.5*(IF((MIN('_Dates'!X702,Settings!$B$9))&lt;('_Dates'!W702),0,INT(((MIN('_Dates'!X702,Settings!$B$9))-('_Dates'!W702)+1)/7)*LEN(SUBSTITUTE(W702,"O",""))+LEN(SUBSTITUTE(MID(W702&amp;W702,WEEKDAY(('_Dates'!W702),2),MOD(((MIN('_Dates'!X702,Settings!$B$9))-('_Dates'!W702)+1),7)),"O",""))-COUNTIFS(INDEX(AllClosureRows,C702,0),"&gt;="&amp;('_Dates'!W702),INDEX(AllClosureRows,C702,0),"&lt;="&amp;(MIN('_Dates'!X702,Settings!$B$9))))+IF((MIN('_Dates'!Z702,Settings!$B$9))&lt;('_Dates'!Y702),0,INT(((MIN('_Dates'!Z702,Settings!$B$9))-('_Dates'!Y702)+1)/7)*LEN(SUBSTITUTE(W702,"O",""))+LEN(SUBSTITUTE(MID(W702&amp;W702,WEEKDAY(('_Dates'!Y702),2),MOD(((MIN('_Dates'!Z702,Settings!$B$9))-('_Dates'!Y702)+1),7)),"O",""))-COUNTIFS(INDEX(AllClosureRows,C702,0),"&gt;="&amp;('_Dates'!Y702),INDEX(AllClosureRows,C702,0),"&lt;="&amp;(MIN('_Dates'!Z702,Settings!$B$9))))))</ns0:f>
        <ns0:v>0</ns0:v>
      </ns0:c>
      <ns0:c r="I702" s="0">
        <ns0:f>MAX(0,G702-H702)</ns0:f>
        <ns0:v>0</ns0:v>
      </ns0:c>
      <ns0:c r="J702" s="0">
        <ns0:f>IF(OR(A702=0,F702&lt;&gt;"OK",Bookings!G702="Cancelled",$B$6&gt;0),0,IF('_Dates'!AC702=1,MAX(0,COUNTIFS(rngEngine_B,B702,rngAMStart,"&lt;="&amp;'_Dates'!X702,rngAMEnd,"&gt;="&amp;'_Dates'!W702,rngAMActive,1,rngEngine_F,"OK",rngBookings_F,"&lt;&gt;Cancelled")-1),0)+IF('_Dates'!AD702=1,MAX(0,COUNTIFS(rngEngine_B,B702,rngPMStart,"&lt;="&amp;'_Dates'!Z702,rngPMEnd,"&gt;="&amp;'_Dates'!Y702,rngPMActive,1,rngEngine_F,"OK",rngBookings_F,"&lt;&gt;Cancelled")-1),0))</ns0:f>
        <ns0:v>0</ns0:v>
      </ns0:c>
      <ns0:c r="K702" s="0" t="str">
        <ns0:f>IF(A702=0,"",IF(F702&lt;&gt;"OK",F702,IF(J702&gt;0,"CHECK overlapping entry",IF(AND($B$6=0,G702&lt;=0,Bookings!G702&lt;&gt;"Cancelled"),"CHECK no working days",IF(Bookings!G702="Cancelled","Cancelled","OK")))))</ns0:f>
        <ns0:v/>
      </ns0:c>
      <ns0:c r="L702" s="0">
        <ns0:f>IF(LEFT(K702,5)="CHECK",1,0)</ns0:f>
        <ns0:v>0</ns0:v>
      </ns0:c>
      <ns0:c r="M702" s="0">
        <ns0:f>IF(AND(L702=1,OR(C702=0,IFERROR(INDEX($X$11:$X$60,C702),0)=0)),1,0)</ns0:f>
        <ns0:v>0</ns0:v>
      </ns0:c>
      <ns0:c r="N702" s="0">
        <ns0:f>IF(OR(A702=0,L702&gt;0,$B$6&gt;0,Bookings!G702="Cancelled"),0,G702)</ns0:f>
        <ns0:v>0</ns0:v>
      </ns0:c>
      <ns0:c r="O702" s="0">
        <ns0:f>IF(AND(Bookings!G702="Approved",E702="Yes"),N702,0)</ns0:f>
        <ns0:v>0</ns0:v>
      </ns0:c>
      <ns0:c r="P702" s="0">
        <ns0:f>IF(AND(Bookings!G702="Approved",E702="Yes",L702=0,$B$6=0),H702,0)</ns0:f>
        <ns0:v>0</ns0:v>
      </ns0:c>
      <ns0:c r="Q702" s="0">
        <ns0:f>IF(AND(Bookings!G702="Approved",E702="Yes",L702=0,$B$6=0),I702,0)</ns0:f>
        <ns0:v>0</ns0:v>
      </ns0:c>
      <ns0:c r="R702" s="0">
        <ns0:f>IF(AND(Bookings!G702="Pending",E702="Yes"),N702,0)</ns0:f>
        <ns0:v>0</ns0:v>
      </ns0:c>
      <ns0:c r="S702" s="0">
        <ns0:f>IF(AND(Bookings!G702="Approved",E702="No"),N702,0)</ns0:f>
        <ns0:v>0</ns0:v>
      </ns0:c>
      <ns0:c r="T702" s="0">
        <ns0:f>IFERROR(MATCH(D702,Settings!$G$7:$G$11,0),0)</ns0:f>
        <ns0:v>0</ns0:v>
      </ns0:c>
      <ns0:c r="U702" s="0">
        <ns0:f>IF(N702&gt;0,T702+IF(Bookings!G702="Pending",10,0),0)</ns0:f>
        <ns0:v>0</ns0:v>
      </ns0:c>
      <ns0:c r="V702" s="0">
        <ns0:f>U702</ns0:f>
        <ns0:v>0</ns0:v>
      </ns0:c>
      <ns0:c r="W702" s="0" t="str">
        <ns0:f>IF(C702=0,"",INDEX($AP$11:$AP$60,C702))</ns0:f>
        <ns0:v/>
      </ns0:c>
    </ns0:row>
    <ns0:row r="703">
      <ns0:c r="A703" s="0">
        <ns0:f>IF(COUNTA(Bookings!A703:G703,Bookings!I703)=0,0,1)</ns0:f>
        <ns0:v>0</ns0:v>
      </ns0:c>
      <ns0:c r="B703" s="0" t="str">
        <ns0:f>IFERROR(TRIM(MID(Bookings!A703,FIND(" · ",Bookings!A703)+3,99)),"")</ns0:f>
        <ns0:v/>
      </ns0:c>
      <ns0:c r="C703" s="0">
        <ns0:f>IF(OR(B703="",LEN(B703)&gt;24,ISNUMBER(FIND(" ",B703)),ISNUMBER(FIND("*",B703)),ISNUMBER(FIND("?",B703)),ISNUMBER(FIND("~",B703))),0,IFERROR(MATCH(B703,Team!$A$11:$A$60,0),0))</ns0:f>
        <ns0:v>0</ns0:v>
      </ns0:c>
      <ns0:c r="D703" s="0" t="str">
        <ns0:f>IFERROR(IF(MID(Bookings!F703,LEN(Bookings!F703)-3,3)=" · ",RIGHT(Bookings!F703,1),""),"")</ns0:f>
        <ns0:v/>
      </ns0:c>
      <ns0:c r="E703" s="0" t="str">
        <ns0:f>IFERROR(INDEX(Settings!$H$7:$H$11,MATCH(D703,Settings!$G$7:$G$11,0)),"")</ns0:f>
        <ns0:v/>
      </ns0:c>
      <ns0:c r="F703" s="0" t="str">
        <ns0:f>IF(A703=0,"",IFERROR(IF(OR(B703="",C703=0),"CHECK employee selection",IF(INDEX(Team!$O$11:$O$60,C703)&lt;&gt;"OK","CHECK employee setup",IF(OR('_Dates'!J703=0,'_Dates'!T703=0),"CHECK date: use DD.MM.YYYY",IF('_Dates'!T703&lt;'_Dates'!J703,"CHECK end before start",IF(AND($B$6=0,OR('_Dates'!J703&lt;Settings!$B$7,'_Dates'!T703&gt;Settings!$B$8)),"CHECK split across leave years",IF(OR(NOT(OR('_Dates'!U703="Full day",'_Dates'!U703="AM",'_Dates'!U703="PM")),NOT(OR('_Dates'!V703="Full day",'_Dates'!V703="AM",'_Dates'!V703="PM"))),"CHECK Full day / AM / PM",IF(AND('_Dates'!J703='_Dates'!T703,'_Dates'!U703&lt;&gt;"Full day",'_Dates'!V703&lt;&gt;"Full day",'_Dates'!U703&lt;&gt;'_Dates'!V703),"CHECK same-day portions disagree",IF(AND($B$6=0,OR(AND('_Dates'!U703&lt;&gt;"Full day",'_Dates'!AA703=0),AND('_Dates'!V703&lt;&gt;"Full day",'_Dates'!AB703=0))),"CHECK half-day on non-working date",IF(COUNTIF(Settings!$G$7:$G$11,D703)&lt;&gt;1,"CHECK leave type",IF(AND(Bookings!G703&lt;&gt;"Approved",Bookings!G703&lt;&gt;"Pending",Bookings!G703&lt;&gt;"Cancelled"),"CHECK status","OK")))))))))),"CHECK input"))</ns0:f>
        <ns0:v/>
      </ns0:c>
      <ns0:c r="G703" s="0">
        <ns0:f>IF(OR(F703&lt;&gt;"OK",$B$6&gt;0),0,0.5*(IF(('_Dates'!X703)&lt;('_Dates'!W703),0,INT((('_Dates'!X703)-('_Dates'!W703)+1)/7)*LEN(SUBSTITUTE(W703,"O",""))+LEN(SUBSTITUTE(MID(W703&amp;W703,WEEKDAY(('_Dates'!W703),2),MOD((('_Dates'!X703)-('_Dates'!W703)+1),7)),"O",""))-COUNTIFS(INDEX(AllClosureRows,C703,0),"&gt;="&amp;('_Dates'!W703),INDEX(AllClosureRows,C703,0),"&lt;="&amp;('_Dates'!X703)))+IF(('_Dates'!Z703)&lt;('_Dates'!Y703),0,INT((('_Dates'!Z703)-('_Dates'!Y703)+1)/7)*LEN(SUBSTITUTE(W703,"O",""))+LEN(SUBSTITUTE(MID(W703&amp;W703,WEEKDAY(('_Dates'!Y703),2),MOD((('_Dates'!Z703)-('_Dates'!Y703)+1),7)),"O",""))-COUNTIFS(INDEX(AllClosureRows,C703,0),"&gt;="&amp;('_Dates'!Y703),INDEX(AllClosureRows,C703,0),"&lt;="&amp;('_Dates'!Z703)))))</ns0:f>
        <ns0:v>0</ns0:v>
      </ns0:c>
      <ns0:c r="H703" s="0">
        <ns0:f>IF(OR(F703&lt;&gt;"OK",$B$6&gt;0),0,0.5*(IF((MIN('_Dates'!X703,Settings!$B$9))&lt;('_Dates'!W703),0,INT(((MIN('_Dates'!X703,Settings!$B$9))-('_Dates'!W703)+1)/7)*LEN(SUBSTITUTE(W703,"O",""))+LEN(SUBSTITUTE(MID(W703&amp;W703,WEEKDAY(('_Dates'!W703),2),MOD(((MIN('_Dates'!X703,Settings!$B$9))-('_Dates'!W703)+1),7)),"O",""))-COUNTIFS(INDEX(AllClosureRows,C703,0),"&gt;="&amp;('_Dates'!W703),INDEX(AllClosureRows,C703,0),"&lt;="&amp;(MIN('_Dates'!X703,Settings!$B$9))))+IF((MIN('_Dates'!Z703,Settings!$B$9))&lt;('_Dates'!Y703),0,INT(((MIN('_Dates'!Z703,Settings!$B$9))-('_Dates'!Y703)+1)/7)*LEN(SUBSTITUTE(W703,"O",""))+LEN(SUBSTITUTE(MID(W703&amp;W703,WEEKDAY(('_Dates'!Y703),2),MOD(((MIN('_Dates'!Z703,Settings!$B$9))-('_Dates'!Y703)+1),7)),"O",""))-COUNTIFS(INDEX(AllClosureRows,C703,0),"&gt;="&amp;('_Dates'!Y703),INDEX(AllClosureRows,C703,0),"&lt;="&amp;(MIN('_Dates'!Z703,Settings!$B$9))))))</ns0:f>
        <ns0:v>0</ns0:v>
      </ns0:c>
      <ns0:c r="I703" s="0">
        <ns0:f>MAX(0,G703-H703)</ns0:f>
        <ns0:v>0</ns0:v>
      </ns0:c>
      <ns0:c r="J703" s="0">
        <ns0:f>IF(OR(A703=0,F703&lt;&gt;"OK",Bookings!G703="Cancelled",$B$6&gt;0),0,IF('_Dates'!AC703=1,MAX(0,COUNTIFS(rngEngine_B,B703,rngAMStart,"&lt;="&amp;'_Dates'!X703,rngAMEnd,"&gt;="&amp;'_Dates'!W703,rngAMActive,1,rngEngine_F,"OK",rngBookings_F,"&lt;&gt;Cancelled")-1),0)+IF('_Dates'!AD703=1,MAX(0,COUNTIFS(rngEngine_B,B703,rngPMStart,"&lt;="&amp;'_Dates'!Z703,rngPMEnd,"&gt;="&amp;'_Dates'!Y703,rngPMActive,1,rngEngine_F,"OK",rngBookings_F,"&lt;&gt;Cancelled")-1),0))</ns0:f>
        <ns0:v>0</ns0:v>
      </ns0:c>
      <ns0:c r="K703" s="0" t="str">
        <ns0:f>IF(A703=0,"",IF(F703&lt;&gt;"OK",F703,IF(J703&gt;0,"CHECK overlapping entry",IF(AND($B$6=0,G703&lt;=0,Bookings!G703&lt;&gt;"Cancelled"),"CHECK no working days",IF(Bookings!G703="Cancelled","Cancelled","OK")))))</ns0:f>
        <ns0:v/>
      </ns0:c>
      <ns0:c r="L703" s="0">
        <ns0:f>IF(LEFT(K703,5)="CHECK",1,0)</ns0:f>
        <ns0:v>0</ns0:v>
      </ns0:c>
      <ns0:c r="M703" s="0">
        <ns0:f>IF(AND(L703=1,OR(C703=0,IFERROR(INDEX($X$11:$X$60,C703),0)=0)),1,0)</ns0:f>
        <ns0:v>0</ns0:v>
      </ns0:c>
      <ns0:c r="N703" s="0">
        <ns0:f>IF(OR(A703=0,L703&gt;0,$B$6&gt;0,Bookings!G703="Cancelled"),0,G703)</ns0:f>
        <ns0:v>0</ns0:v>
      </ns0:c>
      <ns0:c r="O703" s="0">
        <ns0:f>IF(AND(Bookings!G703="Approved",E703="Yes"),N703,0)</ns0:f>
        <ns0:v>0</ns0:v>
      </ns0:c>
      <ns0:c r="P703" s="0">
        <ns0:f>IF(AND(Bookings!G703="Approved",E703="Yes",L703=0,$B$6=0),H703,0)</ns0:f>
        <ns0:v>0</ns0:v>
      </ns0:c>
      <ns0:c r="Q703" s="0">
        <ns0:f>IF(AND(Bookings!G703="Approved",E703="Yes",L703=0,$B$6=0),I703,0)</ns0:f>
        <ns0:v>0</ns0:v>
      </ns0:c>
      <ns0:c r="R703" s="0">
        <ns0:f>IF(AND(Bookings!G703="Pending",E703="Yes"),N703,0)</ns0:f>
        <ns0:v>0</ns0:v>
      </ns0:c>
      <ns0:c r="S703" s="0">
        <ns0:f>IF(AND(Bookings!G703="Approved",E703="No"),N703,0)</ns0:f>
        <ns0:v>0</ns0:v>
      </ns0:c>
      <ns0:c r="T703" s="0">
        <ns0:f>IFERROR(MATCH(D703,Settings!$G$7:$G$11,0),0)</ns0:f>
        <ns0:v>0</ns0:v>
      </ns0:c>
      <ns0:c r="U703" s="0">
        <ns0:f>IF(N703&gt;0,T703+IF(Bookings!G703="Pending",10,0),0)</ns0:f>
        <ns0:v>0</ns0:v>
      </ns0:c>
      <ns0:c r="V703" s="0">
        <ns0:f>U703</ns0:f>
        <ns0:v>0</ns0:v>
      </ns0:c>
      <ns0:c r="W703" s="0" t="str">
        <ns0:f>IF(C703=0,"",INDEX($AP$11:$AP$60,C703))</ns0:f>
        <ns0:v/>
      </ns0:c>
    </ns0:row>
    <ns0:row r="704">
      <ns0:c r="A704" s="0">
        <ns0:f>IF(COUNTA(Bookings!A704:G704,Bookings!I704)=0,0,1)</ns0:f>
        <ns0:v>0</ns0:v>
      </ns0:c>
      <ns0:c r="B704" s="0" t="str">
        <ns0:f>IFERROR(TRIM(MID(Bookings!A704,FIND(" · ",Bookings!A704)+3,99)),"")</ns0:f>
        <ns0:v/>
      </ns0:c>
      <ns0:c r="C704" s="0">
        <ns0:f>IF(OR(B704="",LEN(B704)&gt;24,ISNUMBER(FIND(" ",B704)),ISNUMBER(FIND("*",B704)),ISNUMBER(FIND("?",B704)),ISNUMBER(FIND("~",B704))),0,IFERROR(MATCH(B704,Team!$A$11:$A$60,0),0))</ns0:f>
        <ns0:v>0</ns0:v>
      </ns0:c>
      <ns0:c r="D704" s="0" t="str">
        <ns0:f>IFERROR(IF(MID(Bookings!F704,LEN(Bookings!F704)-3,3)=" · ",RIGHT(Bookings!F704,1),""),"")</ns0:f>
        <ns0:v/>
      </ns0:c>
      <ns0:c r="E704" s="0" t="str">
        <ns0:f>IFERROR(INDEX(Settings!$H$7:$H$11,MATCH(D704,Settings!$G$7:$G$11,0)),"")</ns0:f>
        <ns0:v/>
      </ns0:c>
      <ns0:c r="F704" s="0" t="str">
        <ns0:f>IF(A704=0,"",IFERROR(IF(OR(B704="",C704=0),"CHECK employee selection",IF(INDEX(Team!$O$11:$O$60,C704)&lt;&gt;"OK","CHECK employee setup",IF(OR('_Dates'!J704=0,'_Dates'!T704=0),"CHECK date: use DD.MM.YYYY",IF('_Dates'!T704&lt;'_Dates'!J704,"CHECK end before start",IF(AND($B$6=0,OR('_Dates'!J704&lt;Settings!$B$7,'_Dates'!T704&gt;Settings!$B$8)),"CHECK split across leave years",IF(OR(NOT(OR('_Dates'!U704="Full day",'_Dates'!U704="AM",'_Dates'!U704="PM")),NOT(OR('_Dates'!V704="Full day",'_Dates'!V704="AM",'_Dates'!V704="PM"))),"CHECK Full day / AM / PM",IF(AND('_Dates'!J704='_Dates'!T704,'_Dates'!U704&lt;&gt;"Full day",'_Dates'!V704&lt;&gt;"Full day",'_Dates'!U704&lt;&gt;'_Dates'!V704),"CHECK same-day portions disagree",IF(AND($B$6=0,OR(AND('_Dates'!U704&lt;&gt;"Full day",'_Dates'!AA704=0),AND('_Dates'!V704&lt;&gt;"Full day",'_Dates'!AB704=0))),"CHECK half-day on non-working date",IF(COUNTIF(Settings!$G$7:$G$11,D704)&lt;&gt;1,"CHECK leave type",IF(AND(Bookings!G704&lt;&gt;"Approved",Bookings!G704&lt;&gt;"Pending",Bookings!G704&lt;&gt;"Cancelled"),"CHECK status","OK")))))))))),"CHECK input"))</ns0:f>
        <ns0:v/>
      </ns0:c>
      <ns0:c r="G704" s="0">
        <ns0:f>IF(OR(F704&lt;&gt;"OK",$B$6&gt;0),0,0.5*(IF(('_Dates'!X704)&lt;('_Dates'!W704),0,INT((('_Dates'!X704)-('_Dates'!W704)+1)/7)*LEN(SUBSTITUTE(W704,"O",""))+LEN(SUBSTITUTE(MID(W704&amp;W704,WEEKDAY(('_Dates'!W704),2),MOD((('_Dates'!X704)-('_Dates'!W704)+1),7)),"O",""))-COUNTIFS(INDEX(AllClosureRows,C704,0),"&gt;="&amp;('_Dates'!W704),INDEX(AllClosureRows,C704,0),"&lt;="&amp;('_Dates'!X704)))+IF(('_Dates'!Z704)&lt;('_Dates'!Y704),0,INT((('_Dates'!Z704)-('_Dates'!Y704)+1)/7)*LEN(SUBSTITUTE(W704,"O",""))+LEN(SUBSTITUTE(MID(W704&amp;W704,WEEKDAY(('_Dates'!Y704),2),MOD((('_Dates'!Z704)-('_Dates'!Y704)+1),7)),"O",""))-COUNTIFS(INDEX(AllClosureRows,C704,0),"&gt;="&amp;('_Dates'!Y704),INDEX(AllClosureRows,C704,0),"&lt;="&amp;('_Dates'!Z704)))))</ns0:f>
        <ns0:v>0</ns0:v>
      </ns0:c>
      <ns0:c r="H704" s="0">
        <ns0:f>IF(OR(F704&lt;&gt;"OK",$B$6&gt;0),0,0.5*(IF((MIN('_Dates'!X704,Settings!$B$9))&lt;('_Dates'!W704),0,INT(((MIN('_Dates'!X704,Settings!$B$9))-('_Dates'!W704)+1)/7)*LEN(SUBSTITUTE(W704,"O",""))+LEN(SUBSTITUTE(MID(W704&amp;W704,WEEKDAY(('_Dates'!W704),2),MOD(((MIN('_Dates'!X704,Settings!$B$9))-('_Dates'!W704)+1),7)),"O",""))-COUNTIFS(INDEX(AllClosureRows,C704,0),"&gt;="&amp;('_Dates'!W704),INDEX(AllClosureRows,C704,0),"&lt;="&amp;(MIN('_Dates'!X704,Settings!$B$9))))+IF((MIN('_Dates'!Z704,Settings!$B$9))&lt;('_Dates'!Y704),0,INT(((MIN('_Dates'!Z704,Settings!$B$9))-('_Dates'!Y704)+1)/7)*LEN(SUBSTITUTE(W704,"O",""))+LEN(SUBSTITUTE(MID(W704&amp;W704,WEEKDAY(('_Dates'!Y704),2),MOD(((MIN('_Dates'!Z704,Settings!$B$9))-('_Dates'!Y704)+1),7)),"O",""))-COUNTIFS(INDEX(AllClosureRows,C704,0),"&gt;="&amp;('_Dates'!Y704),INDEX(AllClosureRows,C704,0),"&lt;="&amp;(MIN('_Dates'!Z704,Settings!$B$9))))))</ns0:f>
        <ns0:v>0</ns0:v>
      </ns0:c>
      <ns0:c r="I704" s="0">
        <ns0:f>MAX(0,G704-H704)</ns0:f>
        <ns0:v>0</ns0:v>
      </ns0:c>
      <ns0:c r="J704" s="0">
        <ns0:f>IF(OR(A704=0,F704&lt;&gt;"OK",Bookings!G704="Cancelled",$B$6&gt;0),0,IF('_Dates'!AC704=1,MAX(0,COUNTIFS(rngEngine_B,B704,rngAMStart,"&lt;="&amp;'_Dates'!X704,rngAMEnd,"&gt;="&amp;'_Dates'!W704,rngAMActive,1,rngEngine_F,"OK",rngBookings_F,"&lt;&gt;Cancelled")-1),0)+IF('_Dates'!AD704=1,MAX(0,COUNTIFS(rngEngine_B,B704,rngPMStart,"&lt;="&amp;'_Dates'!Z704,rngPMEnd,"&gt;="&amp;'_Dates'!Y704,rngPMActive,1,rngEngine_F,"OK",rngBookings_F,"&lt;&gt;Cancelled")-1),0))</ns0:f>
        <ns0:v>0</ns0:v>
      </ns0:c>
      <ns0:c r="K704" s="0" t="str">
        <ns0:f>IF(A704=0,"",IF(F704&lt;&gt;"OK",F704,IF(J704&gt;0,"CHECK overlapping entry",IF(AND($B$6=0,G704&lt;=0,Bookings!G704&lt;&gt;"Cancelled"),"CHECK no working days",IF(Bookings!G704="Cancelled","Cancelled","OK")))))</ns0:f>
        <ns0:v/>
      </ns0:c>
      <ns0:c r="L704" s="0">
        <ns0:f>IF(LEFT(K704,5)="CHECK",1,0)</ns0:f>
        <ns0:v>0</ns0:v>
      </ns0:c>
      <ns0:c r="M704" s="0">
        <ns0:f>IF(AND(L704=1,OR(C704=0,IFERROR(INDEX($X$11:$X$60,C704),0)=0)),1,0)</ns0:f>
        <ns0:v>0</ns0:v>
      </ns0:c>
      <ns0:c r="N704" s="0">
        <ns0:f>IF(OR(A704=0,L704&gt;0,$B$6&gt;0,Bookings!G704="Cancelled"),0,G704)</ns0:f>
        <ns0:v>0</ns0:v>
      </ns0:c>
      <ns0:c r="O704" s="0">
        <ns0:f>IF(AND(Bookings!G704="Approved",E704="Yes"),N704,0)</ns0:f>
        <ns0:v>0</ns0:v>
      </ns0:c>
      <ns0:c r="P704" s="0">
        <ns0:f>IF(AND(Bookings!G704="Approved",E704="Yes",L704=0,$B$6=0),H704,0)</ns0:f>
        <ns0:v>0</ns0:v>
      </ns0:c>
      <ns0:c r="Q704" s="0">
        <ns0:f>IF(AND(Bookings!G704="Approved",E704="Yes",L704=0,$B$6=0),I704,0)</ns0:f>
        <ns0:v>0</ns0:v>
      </ns0:c>
      <ns0:c r="R704" s="0">
        <ns0:f>IF(AND(Bookings!G704="Pending",E704="Yes"),N704,0)</ns0:f>
        <ns0:v>0</ns0:v>
      </ns0:c>
      <ns0:c r="S704" s="0">
        <ns0:f>IF(AND(Bookings!G704="Approved",E704="No"),N704,0)</ns0:f>
        <ns0:v>0</ns0:v>
      </ns0:c>
      <ns0:c r="T704" s="0">
        <ns0:f>IFERROR(MATCH(D704,Settings!$G$7:$G$11,0),0)</ns0:f>
        <ns0:v>0</ns0:v>
      </ns0:c>
      <ns0:c r="U704" s="0">
        <ns0:f>IF(N704&gt;0,T704+IF(Bookings!G704="Pending",10,0),0)</ns0:f>
        <ns0:v>0</ns0:v>
      </ns0:c>
      <ns0:c r="V704" s="0">
        <ns0:f>U704</ns0:f>
        <ns0:v>0</ns0:v>
      </ns0:c>
      <ns0:c r="W704" s="0" t="str">
        <ns0:f>IF(C704=0,"",INDEX($AP$11:$AP$60,C704))</ns0:f>
        <ns0:v/>
      </ns0:c>
    </ns0:row>
    <ns0:row r="705">
      <ns0:c r="A705" s="0">
        <ns0:f>IF(COUNTA(Bookings!A705:G705,Bookings!I705)=0,0,1)</ns0:f>
        <ns0:v>0</ns0:v>
      </ns0:c>
      <ns0:c r="B705" s="0" t="str">
        <ns0:f>IFERROR(TRIM(MID(Bookings!A705,FIND(" · ",Bookings!A705)+3,99)),"")</ns0:f>
        <ns0:v/>
      </ns0:c>
      <ns0:c r="C705" s="0">
        <ns0:f>IF(OR(B705="",LEN(B705)&gt;24,ISNUMBER(FIND(" ",B705)),ISNUMBER(FIND("*",B705)),ISNUMBER(FIND("?",B705)),ISNUMBER(FIND("~",B705))),0,IFERROR(MATCH(B705,Team!$A$11:$A$60,0),0))</ns0:f>
        <ns0:v>0</ns0:v>
      </ns0:c>
      <ns0:c r="D705" s="0" t="str">
        <ns0:f>IFERROR(IF(MID(Bookings!F705,LEN(Bookings!F705)-3,3)=" · ",RIGHT(Bookings!F705,1),""),"")</ns0:f>
        <ns0:v/>
      </ns0:c>
      <ns0:c r="E705" s="0" t="str">
        <ns0:f>IFERROR(INDEX(Settings!$H$7:$H$11,MATCH(D705,Settings!$G$7:$G$11,0)),"")</ns0:f>
        <ns0:v/>
      </ns0:c>
      <ns0:c r="F705" s="0" t="str">
        <ns0:f>IF(A705=0,"",IFERROR(IF(OR(B705="",C705=0),"CHECK employee selection",IF(INDEX(Team!$O$11:$O$60,C705)&lt;&gt;"OK","CHECK employee setup",IF(OR('_Dates'!J705=0,'_Dates'!T705=0),"CHECK date: use DD.MM.YYYY",IF('_Dates'!T705&lt;'_Dates'!J705,"CHECK end before start",IF(AND($B$6=0,OR('_Dates'!J705&lt;Settings!$B$7,'_Dates'!T705&gt;Settings!$B$8)),"CHECK split across leave years",IF(OR(NOT(OR('_Dates'!U705="Full day",'_Dates'!U705="AM",'_Dates'!U705="PM")),NOT(OR('_Dates'!V705="Full day",'_Dates'!V705="AM",'_Dates'!V705="PM"))),"CHECK Full day / AM / PM",IF(AND('_Dates'!J705='_Dates'!T705,'_Dates'!U705&lt;&gt;"Full day",'_Dates'!V705&lt;&gt;"Full day",'_Dates'!U705&lt;&gt;'_Dates'!V705),"CHECK same-day portions disagree",IF(AND($B$6=0,OR(AND('_Dates'!U705&lt;&gt;"Full day",'_Dates'!AA705=0),AND('_Dates'!V705&lt;&gt;"Full day",'_Dates'!AB705=0))),"CHECK half-day on non-working date",IF(COUNTIF(Settings!$G$7:$G$11,D705)&lt;&gt;1,"CHECK leave type",IF(AND(Bookings!G705&lt;&gt;"Approved",Bookings!G705&lt;&gt;"Pending",Bookings!G705&lt;&gt;"Cancelled"),"CHECK status","OK")))))))))),"CHECK input"))</ns0:f>
        <ns0:v/>
      </ns0:c>
      <ns0:c r="G705" s="0">
        <ns0:f>IF(OR(F705&lt;&gt;"OK",$B$6&gt;0),0,0.5*(IF(('_Dates'!X705)&lt;('_Dates'!W705),0,INT((('_Dates'!X705)-('_Dates'!W705)+1)/7)*LEN(SUBSTITUTE(W705,"O",""))+LEN(SUBSTITUTE(MID(W705&amp;W705,WEEKDAY(('_Dates'!W705),2),MOD((('_Dates'!X705)-('_Dates'!W705)+1),7)),"O",""))-COUNTIFS(INDEX(AllClosureRows,C705,0),"&gt;="&amp;('_Dates'!W705),INDEX(AllClosureRows,C705,0),"&lt;="&amp;('_Dates'!X705)))+IF(('_Dates'!Z705)&lt;('_Dates'!Y705),0,INT((('_Dates'!Z705)-('_Dates'!Y705)+1)/7)*LEN(SUBSTITUTE(W705,"O",""))+LEN(SUBSTITUTE(MID(W705&amp;W705,WEEKDAY(('_Dates'!Y705),2),MOD((('_Dates'!Z705)-('_Dates'!Y705)+1),7)),"O",""))-COUNTIFS(INDEX(AllClosureRows,C705,0),"&gt;="&amp;('_Dates'!Y705),INDEX(AllClosureRows,C705,0),"&lt;="&amp;('_Dates'!Z705)))))</ns0:f>
        <ns0:v>0</ns0:v>
      </ns0:c>
      <ns0:c r="H705" s="0">
        <ns0:f>IF(OR(F705&lt;&gt;"OK",$B$6&gt;0),0,0.5*(IF((MIN('_Dates'!X705,Settings!$B$9))&lt;('_Dates'!W705),0,INT(((MIN('_Dates'!X705,Settings!$B$9))-('_Dates'!W705)+1)/7)*LEN(SUBSTITUTE(W705,"O",""))+LEN(SUBSTITUTE(MID(W705&amp;W705,WEEKDAY(('_Dates'!W705),2),MOD(((MIN('_Dates'!X705,Settings!$B$9))-('_Dates'!W705)+1),7)),"O",""))-COUNTIFS(INDEX(AllClosureRows,C705,0),"&gt;="&amp;('_Dates'!W705),INDEX(AllClosureRows,C705,0),"&lt;="&amp;(MIN('_Dates'!X705,Settings!$B$9))))+IF((MIN('_Dates'!Z705,Settings!$B$9))&lt;('_Dates'!Y705),0,INT(((MIN('_Dates'!Z705,Settings!$B$9))-('_Dates'!Y705)+1)/7)*LEN(SUBSTITUTE(W705,"O",""))+LEN(SUBSTITUTE(MID(W705&amp;W705,WEEKDAY(('_Dates'!Y705),2),MOD(((MIN('_Dates'!Z705,Settings!$B$9))-('_Dates'!Y705)+1),7)),"O",""))-COUNTIFS(INDEX(AllClosureRows,C705,0),"&gt;="&amp;('_Dates'!Y705),INDEX(AllClosureRows,C705,0),"&lt;="&amp;(MIN('_Dates'!Z705,Settings!$B$9))))))</ns0:f>
        <ns0:v>0</ns0:v>
      </ns0:c>
      <ns0:c r="I705" s="0">
        <ns0:f>MAX(0,G705-H705)</ns0:f>
        <ns0:v>0</ns0:v>
      </ns0:c>
      <ns0:c r="J705" s="0">
        <ns0:f>IF(OR(A705=0,F705&lt;&gt;"OK",Bookings!G705="Cancelled",$B$6&gt;0),0,IF('_Dates'!AC705=1,MAX(0,COUNTIFS(rngEngine_B,B705,rngAMStart,"&lt;="&amp;'_Dates'!X705,rngAMEnd,"&gt;="&amp;'_Dates'!W705,rngAMActive,1,rngEngine_F,"OK",rngBookings_F,"&lt;&gt;Cancelled")-1),0)+IF('_Dates'!AD705=1,MAX(0,COUNTIFS(rngEngine_B,B705,rngPMStart,"&lt;="&amp;'_Dates'!Z705,rngPMEnd,"&gt;="&amp;'_Dates'!Y705,rngPMActive,1,rngEngine_F,"OK",rngBookings_F,"&lt;&gt;Cancelled")-1),0))</ns0:f>
        <ns0:v>0</ns0:v>
      </ns0:c>
      <ns0:c r="K705" s="0" t="str">
        <ns0:f>IF(A705=0,"",IF(F705&lt;&gt;"OK",F705,IF(J705&gt;0,"CHECK overlapping entry",IF(AND($B$6=0,G705&lt;=0,Bookings!G705&lt;&gt;"Cancelled"),"CHECK no working days",IF(Bookings!G705="Cancelled","Cancelled","OK")))))</ns0:f>
        <ns0:v/>
      </ns0:c>
      <ns0:c r="L705" s="0">
        <ns0:f>IF(LEFT(K705,5)="CHECK",1,0)</ns0:f>
        <ns0:v>0</ns0:v>
      </ns0:c>
      <ns0:c r="M705" s="0">
        <ns0:f>IF(AND(L705=1,OR(C705=0,IFERROR(INDEX($X$11:$X$60,C705),0)=0)),1,0)</ns0:f>
        <ns0:v>0</ns0:v>
      </ns0:c>
      <ns0:c r="N705" s="0">
        <ns0:f>IF(OR(A705=0,L705&gt;0,$B$6&gt;0,Bookings!G705="Cancelled"),0,G705)</ns0:f>
        <ns0:v>0</ns0:v>
      </ns0:c>
      <ns0:c r="O705" s="0">
        <ns0:f>IF(AND(Bookings!G705="Approved",E705="Yes"),N705,0)</ns0:f>
        <ns0:v>0</ns0:v>
      </ns0:c>
      <ns0:c r="P705" s="0">
        <ns0:f>IF(AND(Bookings!G705="Approved",E705="Yes",L705=0,$B$6=0),H705,0)</ns0:f>
        <ns0:v>0</ns0:v>
      </ns0:c>
      <ns0:c r="Q705" s="0">
        <ns0:f>IF(AND(Bookings!G705="Approved",E705="Yes",L705=0,$B$6=0),I705,0)</ns0:f>
        <ns0:v>0</ns0:v>
      </ns0:c>
      <ns0:c r="R705" s="0">
        <ns0:f>IF(AND(Bookings!G705="Pending",E705="Yes"),N705,0)</ns0:f>
        <ns0:v>0</ns0:v>
      </ns0:c>
      <ns0:c r="S705" s="0">
        <ns0:f>IF(AND(Bookings!G705="Approved",E705="No"),N705,0)</ns0:f>
        <ns0:v>0</ns0:v>
      </ns0:c>
      <ns0:c r="T705" s="0">
        <ns0:f>IFERROR(MATCH(D705,Settings!$G$7:$G$11,0),0)</ns0:f>
        <ns0:v>0</ns0:v>
      </ns0:c>
      <ns0:c r="U705" s="0">
        <ns0:f>IF(N705&gt;0,T705+IF(Bookings!G705="Pending",10,0),0)</ns0:f>
        <ns0:v>0</ns0:v>
      </ns0:c>
      <ns0:c r="V705" s="0">
        <ns0:f>U705</ns0:f>
        <ns0:v>0</ns0:v>
      </ns0:c>
      <ns0:c r="W705" s="0" t="str">
        <ns0:f>IF(C705=0,"",INDEX($AP$11:$AP$60,C705))</ns0:f>
        <ns0:v/>
      </ns0:c>
    </ns0:row>
    <ns0:row r="706">
      <ns0:c r="A706" s="0">
        <ns0:f>IF(COUNTA(Bookings!A706:G706,Bookings!I706)=0,0,1)</ns0:f>
        <ns0:v>0</ns0:v>
      </ns0:c>
      <ns0:c r="B706" s="0" t="str">
        <ns0:f>IFERROR(TRIM(MID(Bookings!A706,FIND(" · ",Bookings!A706)+3,99)),"")</ns0:f>
        <ns0:v/>
      </ns0:c>
      <ns0:c r="C706" s="0">
        <ns0:f>IF(OR(B706="",LEN(B706)&gt;24,ISNUMBER(FIND(" ",B706)),ISNUMBER(FIND("*",B706)),ISNUMBER(FIND("?",B706)),ISNUMBER(FIND("~",B706))),0,IFERROR(MATCH(B706,Team!$A$11:$A$60,0),0))</ns0:f>
        <ns0:v>0</ns0:v>
      </ns0:c>
      <ns0:c r="D706" s="0" t="str">
        <ns0:f>IFERROR(IF(MID(Bookings!F706,LEN(Bookings!F706)-3,3)=" · ",RIGHT(Bookings!F706,1),""),"")</ns0:f>
        <ns0:v/>
      </ns0:c>
      <ns0:c r="E706" s="0" t="str">
        <ns0:f>IFERROR(INDEX(Settings!$H$7:$H$11,MATCH(D706,Settings!$G$7:$G$11,0)),"")</ns0:f>
        <ns0:v/>
      </ns0:c>
      <ns0:c r="F706" s="0" t="str">
        <ns0:f>IF(A706=0,"",IFERROR(IF(OR(B706="",C706=0),"CHECK employee selection",IF(INDEX(Team!$O$11:$O$60,C706)&lt;&gt;"OK","CHECK employee setup",IF(OR('_Dates'!J706=0,'_Dates'!T706=0),"CHECK date: use DD.MM.YYYY",IF('_Dates'!T706&lt;'_Dates'!J706,"CHECK end before start",IF(AND($B$6=0,OR('_Dates'!J706&lt;Settings!$B$7,'_Dates'!T706&gt;Settings!$B$8)),"CHECK split across leave years",IF(OR(NOT(OR('_Dates'!U706="Full day",'_Dates'!U706="AM",'_Dates'!U706="PM")),NOT(OR('_Dates'!V706="Full day",'_Dates'!V706="AM",'_Dates'!V706="PM"))),"CHECK Full day / AM / PM",IF(AND('_Dates'!J706='_Dates'!T706,'_Dates'!U706&lt;&gt;"Full day",'_Dates'!V706&lt;&gt;"Full day",'_Dates'!U706&lt;&gt;'_Dates'!V706),"CHECK same-day portions disagree",IF(AND($B$6=0,OR(AND('_Dates'!U706&lt;&gt;"Full day",'_Dates'!AA706=0),AND('_Dates'!V706&lt;&gt;"Full day",'_Dates'!AB706=0))),"CHECK half-day on non-working date",IF(COUNTIF(Settings!$G$7:$G$11,D706)&lt;&gt;1,"CHECK leave type",IF(AND(Bookings!G706&lt;&gt;"Approved",Bookings!G706&lt;&gt;"Pending",Bookings!G706&lt;&gt;"Cancelled"),"CHECK status","OK")))))))))),"CHECK input"))</ns0:f>
        <ns0:v/>
      </ns0:c>
      <ns0:c r="G706" s="0">
        <ns0:f>IF(OR(F706&lt;&gt;"OK",$B$6&gt;0),0,0.5*(IF(('_Dates'!X706)&lt;('_Dates'!W706),0,INT((('_Dates'!X706)-('_Dates'!W706)+1)/7)*LEN(SUBSTITUTE(W706,"O",""))+LEN(SUBSTITUTE(MID(W706&amp;W706,WEEKDAY(('_Dates'!W706),2),MOD((('_Dates'!X706)-('_Dates'!W706)+1),7)),"O",""))-COUNTIFS(INDEX(AllClosureRows,C706,0),"&gt;="&amp;('_Dates'!W706),INDEX(AllClosureRows,C706,0),"&lt;="&amp;('_Dates'!X706)))+IF(('_Dates'!Z706)&lt;('_Dates'!Y706),0,INT((('_Dates'!Z706)-('_Dates'!Y706)+1)/7)*LEN(SUBSTITUTE(W706,"O",""))+LEN(SUBSTITUTE(MID(W706&amp;W706,WEEKDAY(('_Dates'!Y706),2),MOD((('_Dates'!Z706)-('_Dates'!Y706)+1),7)),"O",""))-COUNTIFS(INDEX(AllClosureRows,C706,0),"&gt;="&amp;('_Dates'!Y706),INDEX(AllClosureRows,C706,0),"&lt;="&amp;('_Dates'!Z706)))))</ns0:f>
        <ns0:v>0</ns0:v>
      </ns0:c>
      <ns0:c r="H706" s="0">
        <ns0:f>IF(OR(F706&lt;&gt;"OK",$B$6&gt;0),0,0.5*(IF((MIN('_Dates'!X706,Settings!$B$9))&lt;('_Dates'!W706),0,INT(((MIN('_Dates'!X706,Settings!$B$9))-('_Dates'!W706)+1)/7)*LEN(SUBSTITUTE(W706,"O",""))+LEN(SUBSTITUTE(MID(W706&amp;W706,WEEKDAY(('_Dates'!W706),2),MOD(((MIN('_Dates'!X706,Settings!$B$9))-('_Dates'!W706)+1),7)),"O",""))-COUNTIFS(INDEX(AllClosureRows,C706,0),"&gt;="&amp;('_Dates'!W706),INDEX(AllClosureRows,C706,0),"&lt;="&amp;(MIN('_Dates'!X706,Settings!$B$9))))+IF((MIN('_Dates'!Z706,Settings!$B$9))&lt;('_Dates'!Y706),0,INT(((MIN('_Dates'!Z706,Settings!$B$9))-('_Dates'!Y706)+1)/7)*LEN(SUBSTITUTE(W706,"O",""))+LEN(SUBSTITUTE(MID(W706&amp;W706,WEEKDAY(('_Dates'!Y706),2),MOD(((MIN('_Dates'!Z706,Settings!$B$9))-('_Dates'!Y706)+1),7)),"O",""))-COUNTIFS(INDEX(AllClosureRows,C706,0),"&gt;="&amp;('_Dates'!Y706),INDEX(AllClosureRows,C706,0),"&lt;="&amp;(MIN('_Dates'!Z706,Settings!$B$9))))))</ns0:f>
        <ns0:v>0</ns0:v>
      </ns0:c>
      <ns0:c r="I706" s="0">
        <ns0:f>MAX(0,G706-H706)</ns0:f>
        <ns0:v>0</ns0:v>
      </ns0:c>
      <ns0:c r="J706" s="0">
        <ns0:f>IF(OR(A706=0,F706&lt;&gt;"OK",Bookings!G706="Cancelled",$B$6&gt;0),0,IF('_Dates'!AC706=1,MAX(0,COUNTIFS(rngEngine_B,B706,rngAMStart,"&lt;="&amp;'_Dates'!X706,rngAMEnd,"&gt;="&amp;'_Dates'!W706,rngAMActive,1,rngEngine_F,"OK",rngBookings_F,"&lt;&gt;Cancelled")-1),0)+IF('_Dates'!AD706=1,MAX(0,COUNTIFS(rngEngine_B,B706,rngPMStart,"&lt;="&amp;'_Dates'!Z706,rngPMEnd,"&gt;="&amp;'_Dates'!Y706,rngPMActive,1,rngEngine_F,"OK",rngBookings_F,"&lt;&gt;Cancelled")-1),0))</ns0:f>
        <ns0:v>0</ns0:v>
      </ns0:c>
      <ns0:c r="K706" s="0" t="str">
        <ns0:f>IF(A706=0,"",IF(F706&lt;&gt;"OK",F706,IF(J706&gt;0,"CHECK overlapping entry",IF(AND($B$6=0,G706&lt;=0,Bookings!G706&lt;&gt;"Cancelled"),"CHECK no working days",IF(Bookings!G706="Cancelled","Cancelled","OK")))))</ns0:f>
        <ns0:v/>
      </ns0:c>
      <ns0:c r="L706" s="0">
        <ns0:f>IF(LEFT(K706,5)="CHECK",1,0)</ns0:f>
        <ns0:v>0</ns0:v>
      </ns0:c>
      <ns0:c r="M706" s="0">
        <ns0:f>IF(AND(L706=1,OR(C706=0,IFERROR(INDEX($X$11:$X$60,C706),0)=0)),1,0)</ns0:f>
        <ns0:v>0</ns0:v>
      </ns0:c>
      <ns0:c r="N706" s="0">
        <ns0:f>IF(OR(A706=0,L706&gt;0,$B$6&gt;0,Bookings!G706="Cancelled"),0,G706)</ns0:f>
        <ns0:v>0</ns0:v>
      </ns0:c>
      <ns0:c r="O706" s="0">
        <ns0:f>IF(AND(Bookings!G706="Approved",E706="Yes"),N706,0)</ns0:f>
        <ns0:v>0</ns0:v>
      </ns0:c>
      <ns0:c r="P706" s="0">
        <ns0:f>IF(AND(Bookings!G706="Approved",E706="Yes",L706=0,$B$6=0),H706,0)</ns0:f>
        <ns0:v>0</ns0:v>
      </ns0:c>
      <ns0:c r="Q706" s="0">
        <ns0:f>IF(AND(Bookings!G706="Approved",E706="Yes",L706=0,$B$6=0),I706,0)</ns0:f>
        <ns0:v>0</ns0:v>
      </ns0:c>
      <ns0:c r="R706" s="0">
        <ns0:f>IF(AND(Bookings!G706="Pending",E706="Yes"),N706,0)</ns0:f>
        <ns0:v>0</ns0:v>
      </ns0:c>
      <ns0:c r="S706" s="0">
        <ns0:f>IF(AND(Bookings!G706="Approved",E706="No"),N706,0)</ns0:f>
        <ns0:v>0</ns0:v>
      </ns0:c>
      <ns0:c r="T706" s="0">
        <ns0:f>IFERROR(MATCH(D706,Settings!$G$7:$G$11,0),0)</ns0:f>
        <ns0:v>0</ns0:v>
      </ns0:c>
      <ns0:c r="U706" s="0">
        <ns0:f>IF(N706&gt;0,T706+IF(Bookings!G706="Pending",10,0),0)</ns0:f>
        <ns0:v>0</ns0:v>
      </ns0:c>
      <ns0:c r="V706" s="0">
        <ns0:f>U706</ns0:f>
        <ns0:v>0</ns0:v>
      </ns0:c>
      <ns0:c r="W706" s="0" t="str">
        <ns0:f>IF(C706=0,"",INDEX($AP$11:$AP$60,C706))</ns0:f>
        <ns0:v/>
      </ns0:c>
    </ns0:row>
    <ns0:row r="707">
      <ns0:c r="A707" s="0">
        <ns0:f>IF(COUNTA(Bookings!A707:G707,Bookings!I707)=0,0,1)</ns0:f>
        <ns0:v>0</ns0:v>
      </ns0:c>
      <ns0:c r="B707" s="0" t="str">
        <ns0:f>IFERROR(TRIM(MID(Bookings!A707,FIND(" · ",Bookings!A707)+3,99)),"")</ns0:f>
        <ns0:v/>
      </ns0:c>
      <ns0:c r="C707" s="0">
        <ns0:f>IF(OR(B707="",LEN(B707)&gt;24,ISNUMBER(FIND(" ",B707)),ISNUMBER(FIND("*",B707)),ISNUMBER(FIND("?",B707)),ISNUMBER(FIND("~",B707))),0,IFERROR(MATCH(B707,Team!$A$11:$A$60,0),0))</ns0:f>
        <ns0:v>0</ns0:v>
      </ns0:c>
      <ns0:c r="D707" s="0" t="str">
        <ns0:f>IFERROR(IF(MID(Bookings!F707,LEN(Bookings!F707)-3,3)=" · ",RIGHT(Bookings!F707,1),""),"")</ns0:f>
        <ns0:v/>
      </ns0:c>
      <ns0:c r="E707" s="0" t="str">
        <ns0:f>IFERROR(INDEX(Settings!$H$7:$H$11,MATCH(D707,Settings!$G$7:$G$11,0)),"")</ns0:f>
        <ns0:v/>
      </ns0:c>
      <ns0:c r="F707" s="0" t="str">
        <ns0:f>IF(A707=0,"",IFERROR(IF(OR(B707="",C707=0),"CHECK employee selection",IF(INDEX(Team!$O$11:$O$60,C707)&lt;&gt;"OK","CHECK employee setup",IF(OR('_Dates'!J707=0,'_Dates'!T707=0),"CHECK date: use DD.MM.YYYY",IF('_Dates'!T707&lt;'_Dates'!J707,"CHECK end before start",IF(AND($B$6=0,OR('_Dates'!J707&lt;Settings!$B$7,'_Dates'!T707&gt;Settings!$B$8)),"CHECK split across leave years",IF(OR(NOT(OR('_Dates'!U707="Full day",'_Dates'!U707="AM",'_Dates'!U707="PM")),NOT(OR('_Dates'!V707="Full day",'_Dates'!V707="AM",'_Dates'!V707="PM"))),"CHECK Full day / AM / PM",IF(AND('_Dates'!J707='_Dates'!T707,'_Dates'!U707&lt;&gt;"Full day",'_Dates'!V707&lt;&gt;"Full day",'_Dates'!U707&lt;&gt;'_Dates'!V707),"CHECK same-day portions disagree",IF(AND($B$6=0,OR(AND('_Dates'!U707&lt;&gt;"Full day",'_Dates'!AA707=0),AND('_Dates'!V707&lt;&gt;"Full day",'_Dates'!AB707=0))),"CHECK half-day on non-working date",IF(COUNTIF(Settings!$G$7:$G$11,D707)&lt;&gt;1,"CHECK leave type",IF(AND(Bookings!G707&lt;&gt;"Approved",Bookings!G707&lt;&gt;"Pending",Bookings!G707&lt;&gt;"Cancelled"),"CHECK status","OK")))))))))),"CHECK input"))</ns0:f>
        <ns0:v/>
      </ns0:c>
      <ns0:c r="G707" s="0">
        <ns0:f>IF(OR(F707&lt;&gt;"OK",$B$6&gt;0),0,0.5*(IF(('_Dates'!X707)&lt;('_Dates'!W707),0,INT((('_Dates'!X707)-('_Dates'!W707)+1)/7)*LEN(SUBSTITUTE(W707,"O",""))+LEN(SUBSTITUTE(MID(W707&amp;W707,WEEKDAY(('_Dates'!W707),2),MOD((('_Dates'!X707)-('_Dates'!W707)+1),7)),"O",""))-COUNTIFS(INDEX(AllClosureRows,C707,0),"&gt;="&amp;('_Dates'!W707),INDEX(AllClosureRows,C707,0),"&lt;="&amp;('_Dates'!X707)))+IF(('_Dates'!Z707)&lt;('_Dates'!Y707),0,INT((('_Dates'!Z707)-('_Dates'!Y707)+1)/7)*LEN(SUBSTITUTE(W707,"O",""))+LEN(SUBSTITUTE(MID(W707&amp;W707,WEEKDAY(('_Dates'!Y707),2),MOD((('_Dates'!Z707)-('_Dates'!Y707)+1),7)),"O",""))-COUNTIFS(INDEX(AllClosureRows,C707,0),"&gt;="&amp;('_Dates'!Y707),INDEX(AllClosureRows,C707,0),"&lt;="&amp;('_Dates'!Z707)))))</ns0:f>
        <ns0:v>0</ns0:v>
      </ns0:c>
      <ns0:c r="H707" s="0">
        <ns0:f>IF(OR(F707&lt;&gt;"OK",$B$6&gt;0),0,0.5*(IF((MIN('_Dates'!X707,Settings!$B$9))&lt;('_Dates'!W707),0,INT(((MIN('_Dates'!X707,Settings!$B$9))-('_Dates'!W707)+1)/7)*LEN(SUBSTITUTE(W707,"O",""))+LEN(SUBSTITUTE(MID(W707&amp;W707,WEEKDAY(('_Dates'!W707),2),MOD(((MIN('_Dates'!X707,Settings!$B$9))-('_Dates'!W707)+1),7)),"O",""))-COUNTIFS(INDEX(AllClosureRows,C707,0),"&gt;="&amp;('_Dates'!W707),INDEX(AllClosureRows,C707,0),"&lt;="&amp;(MIN('_Dates'!X707,Settings!$B$9))))+IF((MIN('_Dates'!Z707,Settings!$B$9))&lt;('_Dates'!Y707),0,INT(((MIN('_Dates'!Z707,Settings!$B$9))-('_Dates'!Y707)+1)/7)*LEN(SUBSTITUTE(W707,"O",""))+LEN(SUBSTITUTE(MID(W707&amp;W707,WEEKDAY(('_Dates'!Y707),2),MOD(((MIN('_Dates'!Z707,Settings!$B$9))-('_Dates'!Y707)+1),7)),"O",""))-COUNTIFS(INDEX(AllClosureRows,C707,0),"&gt;="&amp;('_Dates'!Y707),INDEX(AllClosureRows,C707,0),"&lt;="&amp;(MIN('_Dates'!Z707,Settings!$B$9))))))</ns0:f>
        <ns0:v>0</ns0:v>
      </ns0:c>
      <ns0:c r="I707" s="0">
        <ns0:f>MAX(0,G707-H707)</ns0:f>
        <ns0:v>0</ns0:v>
      </ns0:c>
      <ns0:c r="J707" s="0">
        <ns0:f>IF(OR(A707=0,F707&lt;&gt;"OK",Bookings!G707="Cancelled",$B$6&gt;0),0,IF('_Dates'!AC707=1,MAX(0,COUNTIFS(rngEngine_B,B707,rngAMStart,"&lt;="&amp;'_Dates'!X707,rngAMEnd,"&gt;="&amp;'_Dates'!W707,rngAMActive,1,rngEngine_F,"OK",rngBookings_F,"&lt;&gt;Cancelled")-1),0)+IF('_Dates'!AD707=1,MAX(0,COUNTIFS(rngEngine_B,B707,rngPMStart,"&lt;="&amp;'_Dates'!Z707,rngPMEnd,"&gt;="&amp;'_Dates'!Y707,rngPMActive,1,rngEngine_F,"OK",rngBookings_F,"&lt;&gt;Cancelled")-1),0))</ns0:f>
        <ns0:v>0</ns0:v>
      </ns0:c>
      <ns0:c r="K707" s="0" t="str">
        <ns0:f>IF(A707=0,"",IF(F707&lt;&gt;"OK",F707,IF(J707&gt;0,"CHECK overlapping entry",IF(AND($B$6=0,G707&lt;=0,Bookings!G707&lt;&gt;"Cancelled"),"CHECK no working days",IF(Bookings!G707="Cancelled","Cancelled","OK")))))</ns0:f>
        <ns0:v/>
      </ns0:c>
      <ns0:c r="L707" s="0">
        <ns0:f>IF(LEFT(K707,5)="CHECK",1,0)</ns0:f>
        <ns0:v>0</ns0:v>
      </ns0:c>
      <ns0:c r="M707" s="0">
        <ns0:f>IF(AND(L707=1,OR(C707=0,IFERROR(INDEX($X$11:$X$60,C707),0)=0)),1,0)</ns0:f>
        <ns0:v>0</ns0:v>
      </ns0:c>
      <ns0:c r="N707" s="0">
        <ns0:f>IF(OR(A707=0,L707&gt;0,$B$6&gt;0,Bookings!G707="Cancelled"),0,G707)</ns0:f>
        <ns0:v>0</ns0:v>
      </ns0:c>
      <ns0:c r="O707" s="0">
        <ns0:f>IF(AND(Bookings!G707="Approved",E707="Yes"),N707,0)</ns0:f>
        <ns0:v>0</ns0:v>
      </ns0:c>
      <ns0:c r="P707" s="0">
        <ns0:f>IF(AND(Bookings!G707="Approved",E707="Yes",L707=0,$B$6=0),H707,0)</ns0:f>
        <ns0:v>0</ns0:v>
      </ns0:c>
      <ns0:c r="Q707" s="0">
        <ns0:f>IF(AND(Bookings!G707="Approved",E707="Yes",L707=0,$B$6=0),I707,0)</ns0:f>
        <ns0:v>0</ns0:v>
      </ns0:c>
      <ns0:c r="R707" s="0">
        <ns0:f>IF(AND(Bookings!G707="Pending",E707="Yes"),N707,0)</ns0:f>
        <ns0:v>0</ns0:v>
      </ns0:c>
      <ns0:c r="S707" s="0">
        <ns0:f>IF(AND(Bookings!G707="Approved",E707="No"),N707,0)</ns0:f>
        <ns0:v>0</ns0:v>
      </ns0:c>
      <ns0:c r="T707" s="0">
        <ns0:f>IFERROR(MATCH(D707,Settings!$G$7:$G$11,0),0)</ns0:f>
        <ns0:v>0</ns0:v>
      </ns0:c>
      <ns0:c r="U707" s="0">
        <ns0:f>IF(N707&gt;0,T707+IF(Bookings!G707="Pending",10,0),0)</ns0:f>
        <ns0:v>0</ns0:v>
      </ns0:c>
      <ns0:c r="V707" s="0">
        <ns0:f>U707</ns0:f>
        <ns0:v>0</ns0:v>
      </ns0:c>
      <ns0:c r="W707" s="0" t="str">
        <ns0:f>IF(C707=0,"",INDEX($AP$11:$AP$60,C707))</ns0:f>
        <ns0:v/>
      </ns0:c>
    </ns0:row>
    <ns0:row r="708">
      <ns0:c r="A708" s="0">
        <ns0:f>IF(COUNTA(Bookings!A708:G708,Bookings!I708)=0,0,1)</ns0:f>
        <ns0:v>0</ns0:v>
      </ns0:c>
      <ns0:c r="B708" s="0" t="str">
        <ns0:f>IFERROR(TRIM(MID(Bookings!A708,FIND(" · ",Bookings!A708)+3,99)),"")</ns0:f>
        <ns0:v/>
      </ns0:c>
      <ns0:c r="C708" s="0">
        <ns0:f>IF(OR(B708="",LEN(B708)&gt;24,ISNUMBER(FIND(" ",B708)),ISNUMBER(FIND("*",B708)),ISNUMBER(FIND("?",B708)),ISNUMBER(FIND("~",B708))),0,IFERROR(MATCH(B708,Team!$A$11:$A$60,0),0))</ns0:f>
        <ns0:v>0</ns0:v>
      </ns0:c>
      <ns0:c r="D708" s="0" t="str">
        <ns0:f>IFERROR(IF(MID(Bookings!F708,LEN(Bookings!F708)-3,3)=" · ",RIGHT(Bookings!F708,1),""),"")</ns0:f>
        <ns0:v/>
      </ns0:c>
      <ns0:c r="E708" s="0" t="str">
        <ns0:f>IFERROR(INDEX(Settings!$H$7:$H$11,MATCH(D708,Settings!$G$7:$G$11,0)),"")</ns0:f>
        <ns0:v/>
      </ns0:c>
      <ns0:c r="F708" s="0" t="str">
        <ns0:f>IF(A708=0,"",IFERROR(IF(OR(B708="",C708=0),"CHECK employee selection",IF(INDEX(Team!$O$11:$O$60,C708)&lt;&gt;"OK","CHECK employee setup",IF(OR('_Dates'!J708=0,'_Dates'!T708=0),"CHECK date: use DD.MM.YYYY",IF('_Dates'!T708&lt;'_Dates'!J708,"CHECK end before start",IF(AND($B$6=0,OR('_Dates'!J708&lt;Settings!$B$7,'_Dates'!T708&gt;Settings!$B$8)),"CHECK split across leave years",IF(OR(NOT(OR('_Dates'!U708="Full day",'_Dates'!U708="AM",'_Dates'!U708="PM")),NOT(OR('_Dates'!V708="Full day",'_Dates'!V708="AM",'_Dates'!V708="PM"))),"CHECK Full day / AM / PM",IF(AND('_Dates'!J708='_Dates'!T708,'_Dates'!U708&lt;&gt;"Full day",'_Dates'!V708&lt;&gt;"Full day",'_Dates'!U708&lt;&gt;'_Dates'!V708),"CHECK same-day portions disagree",IF(AND($B$6=0,OR(AND('_Dates'!U708&lt;&gt;"Full day",'_Dates'!AA708=0),AND('_Dates'!V708&lt;&gt;"Full day",'_Dates'!AB708=0))),"CHECK half-day on non-working date",IF(COUNTIF(Settings!$G$7:$G$11,D708)&lt;&gt;1,"CHECK leave type",IF(AND(Bookings!G708&lt;&gt;"Approved",Bookings!G708&lt;&gt;"Pending",Bookings!G708&lt;&gt;"Cancelled"),"CHECK status","OK")))))))))),"CHECK input"))</ns0:f>
        <ns0:v/>
      </ns0:c>
      <ns0:c r="G708" s="0">
        <ns0:f>IF(OR(F708&lt;&gt;"OK",$B$6&gt;0),0,0.5*(IF(('_Dates'!X708)&lt;('_Dates'!W708),0,INT((('_Dates'!X708)-('_Dates'!W708)+1)/7)*LEN(SUBSTITUTE(W708,"O",""))+LEN(SUBSTITUTE(MID(W708&amp;W708,WEEKDAY(('_Dates'!W708),2),MOD((('_Dates'!X708)-('_Dates'!W708)+1),7)),"O",""))-COUNTIFS(INDEX(AllClosureRows,C708,0),"&gt;="&amp;('_Dates'!W708),INDEX(AllClosureRows,C708,0),"&lt;="&amp;('_Dates'!X708)))+IF(('_Dates'!Z708)&lt;('_Dates'!Y708),0,INT((('_Dates'!Z708)-('_Dates'!Y708)+1)/7)*LEN(SUBSTITUTE(W708,"O",""))+LEN(SUBSTITUTE(MID(W708&amp;W708,WEEKDAY(('_Dates'!Y708),2),MOD((('_Dates'!Z708)-('_Dates'!Y708)+1),7)),"O",""))-COUNTIFS(INDEX(AllClosureRows,C708,0),"&gt;="&amp;('_Dates'!Y708),INDEX(AllClosureRows,C708,0),"&lt;="&amp;('_Dates'!Z708)))))</ns0:f>
        <ns0:v>0</ns0:v>
      </ns0:c>
      <ns0:c r="H708" s="0">
        <ns0:f>IF(OR(F708&lt;&gt;"OK",$B$6&gt;0),0,0.5*(IF((MIN('_Dates'!X708,Settings!$B$9))&lt;('_Dates'!W708),0,INT(((MIN('_Dates'!X708,Settings!$B$9))-('_Dates'!W708)+1)/7)*LEN(SUBSTITUTE(W708,"O",""))+LEN(SUBSTITUTE(MID(W708&amp;W708,WEEKDAY(('_Dates'!W708),2),MOD(((MIN('_Dates'!X708,Settings!$B$9))-('_Dates'!W708)+1),7)),"O",""))-COUNTIFS(INDEX(AllClosureRows,C708,0),"&gt;="&amp;('_Dates'!W708),INDEX(AllClosureRows,C708,0),"&lt;="&amp;(MIN('_Dates'!X708,Settings!$B$9))))+IF((MIN('_Dates'!Z708,Settings!$B$9))&lt;('_Dates'!Y708),0,INT(((MIN('_Dates'!Z708,Settings!$B$9))-('_Dates'!Y708)+1)/7)*LEN(SUBSTITUTE(W708,"O",""))+LEN(SUBSTITUTE(MID(W708&amp;W708,WEEKDAY(('_Dates'!Y708),2),MOD(((MIN('_Dates'!Z708,Settings!$B$9))-('_Dates'!Y708)+1),7)),"O",""))-COUNTIFS(INDEX(AllClosureRows,C708,0),"&gt;="&amp;('_Dates'!Y708),INDEX(AllClosureRows,C708,0),"&lt;="&amp;(MIN('_Dates'!Z708,Settings!$B$9))))))</ns0:f>
        <ns0:v>0</ns0:v>
      </ns0:c>
      <ns0:c r="I708" s="0">
        <ns0:f>MAX(0,G708-H708)</ns0:f>
        <ns0:v>0</ns0:v>
      </ns0:c>
      <ns0:c r="J708" s="0">
        <ns0:f>IF(OR(A708=0,F708&lt;&gt;"OK",Bookings!G708="Cancelled",$B$6&gt;0),0,IF('_Dates'!AC708=1,MAX(0,COUNTIFS(rngEngine_B,B708,rngAMStart,"&lt;="&amp;'_Dates'!X708,rngAMEnd,"&gt;="&amp;'_Dates'!W708,rngAMActive,1,rngEngine_F,"OK",rngBookings_F,"&lt;&gt;Cancelled")-1),0)+IF('_Dates'!AD708=1,MAX(0,COUNTIFS(rngEngine_B,B708,rngPMStart,"&lt;="&amp;'_Dates'!Z708,rngPMEnd,"&gt;="&amp;'_Dates'!Y708,rngPMActive,1,rngEngine_F,"OK",rngBookings_F,"&lt;&gt;Cancelled")-1),0))</ns0:f>
        <ns0:v>0</ns0:v>
      </ns0:c>
      <ns0:c r="K708" s="0" t="str">
        <ns0:f>IF(A708=0,"",IF(F708&lt;&gt;"OK",F708,IF(J708&gt;0,"CHECK overlapping entry",IF(AND($B$6=0,G708&lt;=0,Bookings!G708&lt;&gt;"Cancelled"),"CHECK no working days",IF(Bookings!G708="Cancelled","Cancelled","OK")))))</ns0:f>
        <ns0:v/>
      </ns0:c>
      <ns0:c r="L708" s="0">
        <ns0:f>IF(LEFT(K708,5)="CHECK",1,0)</ns0:f>
        <ns0:v>0</ns0:v>
      </ns0:c>
      <ns0:c r="M708" s="0">
        <ns0:f>IF(AND(L708=1,OR(C708=0,IFERROR(INDEX($X$11:$X$60,C708),0)=0)),1,0)</ns0:f>
        <ns0:v>0</ns0:v>
      </ns0:c>
      <ns0:c r="N708" s="0">
        <ns0:f>IF(OR(A708=0,L708&gt;0,$B$6&gt;0,Bookings!G708="Cancelled"),0,G708)</ns0:f>
        <ns0:v>0</ns0:v>
      </ns0:c>
      <ns0:c r="O708" s="0">
        <ns0:f>IF(AND(Bookings!G708="Approved",E708="Yes"),N708,0)</ns0:f>
        <ns0:v>0</ns0:v>
      </ns0:c>
      <ns0:c r="P708" s="0">
        <ns0:f>IF(AND(Bookings!G708="Approved",E708="Yes",L708=0,$B$6=0),H708,0)</ns0:f>
        <ns0:v>0</ns0:v>
      </ns0:c>
      <ns0:c r="Q708" s="0">
        <ns0:f>IF(AND(Bookings!G708="Approved",E708="Yes",L708=0,$B$6=0),I708,0)</ns0:f>
        <ns0:v>0</ns0:v>
      </ns0:c>
      <ns0:c r="R708" s="0">
        <ns0:f>IF(AND(Bookings!G708="Pending",E708="Yes"),N708,0)</ns0:f>
        <ns0:v>0</ns0:v>
      </ns0:c>
      <ns0:c r="S708" s="0">
        <ns0:f>IF(AND(Bookings!G708="Approved",E708="No"),N708,0)</ns0:f>
        <ns0:v>0</ns0:v>
      </ns0:c>
      <ns0:c r="T708" s="0">
        <ns0:f>IFERROR(MATCH(D708,Settings!$G$7:$G$11,0),0)</ns0:f>
        <ns0:v>0</ns0:v>
      </ns0:c>
      <ns0:c r="U708" s="0">
        <ns0:f>IF(N708&gt;0,T708+IF(Bookings!G708="Pending",10,0),0)</ns0:f>
        <ns0:v>0</ns0:v>
      </ns0:c>
      <ns0:c r="V708" s="0">
        <ns0:f>U708</ns0:f>
        <ns0:v>0</ns0:v>
      </ns0:c>
      <ns0:c r="W708" s="0" t="str">
        <ns0:f>IF(C708=0,"",INDEX($AP$11:$AP$60,C708))</ns0:f>
        <ns0:v/>
      </ns0:c>
    </ns0:row>
    <ns0:row r="709">
      <ns0:c r="A709" s="0">
        <ns0:f>IF(COUNTA(Bookings!A709:G709,Bookings!I709)=0,0,1)</ns0:f>
        <ns0:v>0</ns0:v>
      </ns0:c>
      <ns0:c r="B709" s="0" t="str">
        <ns0:f>IFERROR(TRIM(MID(Bookings!A709,FIND(" · ",Bookings!A709)+3,99)),"")</ns0:f>
        <ns0:v/>
      </ns0:c>
      <ns0:c r="C709" s="0">
        <ns0:f>IF(OR(B709="",LEN(B709)&gt;24,ISNUMBER(FIND(" ",B709)),ISNUMBER(FIND("*",B709)),ISNUMBER(FIND("?",B709)),ISNUMBER(FIND("~",B709))),0,IFERROR(MATCH(B709,Team!$A$11:$A$60,0),0))</ns0:f>
        <ns0:v>0</ns0:v>
      </ns0:c>
      <ns0:c r="D709" s="0" t="str">
        <ns0:f>IFERROR(IF(MID(Bookings!F709,LEN(Bookings!F709)-3,3)=" · ",RIGHT(Bookings!F709,1),""),"")</ns0:f>
        <ns0:v/>
      </ns0:c>
      <ns0:c r="E709" s="0" t="str">
        <ns0:f>IFERROR(INDEX(Settings!$H$7:$H$11,MATCH(D709,Settings!$G$7:$G$11,0)),"")</ns0:f>
        <ns0:v/>
      </ns0:c>
      <ns0:c r="F709" s="0" t="str">
        <ns0:f>IF(A709=0,"",IFERROR(IF(OR(B709="",C709=0),"CHECK employee selection",IF(INDEX(Team!$O$11:$O$60,C709)&lt;&gt;"OK","CHECK employee setup",IF(OR('_Dates'!J709=0,'_Dates'!T709=0),"CHECK date: use DD.MM.YYYY",IF('_Dates'!T709&lt;'_Dates'!J709,"CHECK end before start",IF(AND($B$6=0,OR('_Dates'!J709&lt;Settings!$B$7,'_Dates'!T709&gt;Settings!$B$8)),"CHECK split across leave years",IF(OR(NOT(OR('_Dates'!U709="Full day",'_Dates'!U709="AM",'_Dates'!U709="PM")),NOT(OR('_Dates'!V709="Full day",'_Dates'!V709="AM",'_Dates'!V709="PM"))),"CHECK Full day / AM / PM",IF(AND('_Dates'!J709='_Dates'!T709,'_Dates'!U709&lt;&gt;"Full day",'_Dates'!V709&lt;&gt;"Full day",'_Dates'!U709&lt;&gt;'_Dates'!V709),"CHECK same-day portions disagree",IF(AND($B$6=0,OR(AND('_Dates'!U709&lt;&gt;"Full day",'_Dates'!AA709=0),AND('_Dates'!V709&lt;&gt;"Full day",'_Dates'!AB709=0))),"CHECK half-day on non-working date",IF(COUNTIF(Settings!$G$7:$G$11,D709)&lt;&gt;1,"CHECK leave type",IF(AND(Bookings!G709&lt;&gt;"Approved",Bookings!G709&lt;&gt;"Pending",Bookings!G709&lt;&gt;"Cancelled"),"CHECK status","OK")))))))))),"CHECK input"))</ns0:f>
        <ns0:v/>
      </ns0:c>
      <ns0:c r="G709" s="0">
        <ns0:f>IF(OR(F709&lt;&gt;"OK",$B$6&gt;0),0,0.5*(IF(('_Dates'!X709)&lt;('_Dates'!W709),0,INT((('_Dates'!X709)-('_Dates'!W709)+1)/7)*LEN(SUBSTITUTE(W709,"O",""))+LEN(SUBSTITUTE(MID(W709&amp;W709,WEEKDAY(('_Dates'!W709),2),MOD((('_Dates'!X709)-('_Dates'!W709)+1),7)),"O",""))-COUNTIFS(INDEX(AllClosureRows,C709,0),"&gt;="&amp;('_Dates'!W709),INDEX(AllClosureRows,C709,0),"&lt;="&amp;('_Dates'!X709)))+IF(('_Dates'!Z709)&lt;('_Dates'!Y709),0,INT((('_Dates'!Z709)-('_Dates'!Y709)+1)/7)*LEN(SUBSTITUTE(W709,"O",""))+LEN(SUBSTITUTE(MID(W709&amp;W709,WEEKDAY(('_Dates'!Y709),2),MOD((('_Dates'!Z709)-('_Dates'!Y709)+1),7)),"O",""))-COUNTIFS(INDEX(AllClosureRows,C709,0),"&gt;="&amp;('_Dates'!Y709),INDEX(AllClosureRows,C709,0),"&lt;="&amp;('_Dates'!Z709)))))</ns0:f>
        <ns0:v>0</ns0:v>
      </ns0:c>
      <ns0:c r="H709" s="0">
        <ns0:f>IF(OR(F709&lt;&gt;"OK",$B$6&gt;0),0,0.5*(IF((MIN('_Dates'!X709,Settings!$B$9))&lt;('_Dates'!W709),0,INT(((MIN('_Dates'!X709,Settings!$B$9))-('_Dates'!W709)+1)/7)*LEN(SUBSTITUTE(W709,"O",""))+LEN(SUBSTITUTE(MID(W709&amp;W709,WEEKDAY(('_Dates'!W709),2),MOD(((MIN('_Dates'!X709,Settings!$B$9))-('_Dates'!W709)+1),7)),"O",""))-COUNTIFS(INDEX(AllClosureRows,C709,0),"&gt;="&amp;('_Dates'!W709),INDEX(AllClosureRows,C709,0),"&lt;="&amp;(MIN('_Dates'!X709,Settings!$B$9))))+IF((MIN('_Dates'!Z709,Settings!$B$9))&lt;('_Dates'!Y709),0,INT(((MIN('_Dates'!Z709,Settings!$B$9))-('_Dates'!Y709)+1)/7)*LEN(SUBSTITUTE(W709,"O",""))+LEN(SUBSTITUTE(MID(W709&amp;W709,WEEKDAY(('_Dates'!Y709),2),MOD(((MIN('_Dates'!Z709,Settings!$B$9))-('_Dates'!Y709)+1),7)),"O",""))-COUNTIFS(INDEX(AllClosureRows,C709,0),"&gt;="&amp;('_Dates'!Y709),INDEX(AllClosureRows,C709,0),"&lt;="&amp;(MIN('_Dates'!Z709,Settings!$B$9))))))</ns0:f>
        <ns0:v>0</ns0:v>
      </ns0:c>
      <ns0:c r="I709" s="0">
        <ns0:f>MAX(0,G709-H709)</ns0:f>
        <ns0:v>0</ns0:v>
      </ns0:c>
      <ns0:c r="J709" s="0">
        <ns0:f>IF(OR(A709=0,F709&lt;&gt;"OK",Bookings!G709="Cancelled",$B$6&gt;0),0,IF('_Dates'!AC709=1,MAX(0,COUNTIFS(rngEngine_B,B709,rngAMStart,"&lt;="&amp;'_Dates'!X709,rngAMEnd,"&gt;="&amp;'_Dates'!W709,rngAMActive,1,rngEngine_F,"OK",rngBookings_F,"&lt;&gt;Cancelled")-1),0)+IF('_Dates'!AD709=1,MAX(0,COUNTIFS(rngEngine_B,B709,rngPMStart,"&lt;="&amp;'_Dates'!Z709,rngPMEnd,"&gt;="&amp;'_Dates'!Y709,rngPMActive,1,rngEngine_F,"OK",rngBookings_F,"&lt;&gt;Cancelled")-1),0))</ns0:f>
        <ns0:v>0</ns0:v>
      </ns0:c>
      <ns0:c r="K709" s="0" t="str">
        <ns0:f>IF(A709=0,"",IF(F709&lt;&gt;"OK",F709,IF(J709&gt;0,"CHECK overlapping entry",IF(AND($B$6=0,G709&lt;=0,Bookings!G709&lt;&gt;"Cancelled"),"CHECK no working days",IF(Bookings!G709="Cancelled","Cancelled","OK")))))</ns0:f>
        <ns0:v/>
      </ns0:c>
      <ns0:c r="L709" s="0">
        <ns0:f>IF(LEFT(K709,5)="CHECK",1,0)</ns0:f>
        <ns0:v>0</ns0:v>
      </ns0:c>
      <ns0:c r="M709" s="0">
        <ns0:f>IF(AND(L709=1,OR(C709=0,IFERROR(INDEX($X$11:$X$60,C709),0)=0)),1,0)</ns0:f>
        <ns0:v>0</ns0:v>
      </ns0:c>
      <ns0:c r="N709" s="0">
        <ns0:f>IF(OR(A709=0,L709&gt;0,$B$6&gt;0,Bookings!G709="Cancelled"),0,G709)</ns0:f>
        <ns0:v>0</ns0:v>
      </ns0:c>
      <ns0:c r="O709" s="0">
        <ns0:f>IF(AND(Bookings!G709="Approved",E709="Yes"),N709,0)</ns0:f>
        <ns0:v>0</ns0:v>
      </ns0:c>
      <ns0:c r="P709" s="0">
        <ns0:f>IF(AND(Bookings!G709="Approved",E709="Yes",L709=0,$B$6=0),H709,0)</ns0:f>
        <ns0:v>0</ns0:v>
      </ns0:c>
      <ns0:c r="Q709" s="0">
        <ns0:f>IF(AND(Bookings!G709="Approved",E709="Yes",L709=0,$B$6=0),I709,0)</ns0:f>
        <ns0:v>0</ns0:v>
      </ns0:c>
      <ns0:c r="R709" s="0">
        <ns0:f>IF(AND(Bookings!G709="Pending",E709="Yes"),N709,0)</ns0:f>
        <ns0:v>0</ns0:v>
      </ns0:c>
      <ns0:c r="S709" s="0">
        <ns0:f>IF(AND(Bookings!G709="Approved",E709="No"),N709,0)</ns0:f>
        <ns0:v>0</ns0:v>
      </ns0:c>
      <ns0:c r="T709" s="0">
        <ns0:f>IFERROR(MATCH(D709,Settings!$G$7:$G$11,0),0)</ns0:f>
        <ns0:v>0</ns0:v>
      </ns0:c>
      <ns0:c r="U709" s="0">
        <ns0:f>IF(N709&gt;0,T709+IF(Bookings!G709="Pending",10,0),0)</ns0:f>
        <ns0:v>0</ns0:v>
      </ns0:c>
      <ns0:c r="V709" s="0">
        <ns0:f>U709</ns0:f>
        <ns0:v>0</ns0:v>
      </ns0:c>
      <ns0:c r="W709" s="0" t="str">
        <ns0:f>IF(C709=0,"",INDEX($AP$11:$AP$60,C709))</ns0:f>
        <ns0:v/>
      </ns0:c>
    </ns0:row>
    <ns0:row r="710">
      <ns0:c r="A710" s="0">
        <ns0:f>IF(COUNTA(Bookings!A710:G710,Bookings!I710)=0,0,1)</ns0:f>
        <ns0:v>0</ns0:v>
      </ns0:c>
      <ns0:c r="B710" s="0" t="str">
        <ns0:f>IFERROR(TRIM(MID(Bookings!A710,FIND(" · ",Bookings!A710)+3,99)),"")</ns0:f>
        <ns0:v/>
      </ns0:c>
      <ns0:c r="C710" s="0">
        <ns0:f>IF(OR(B710="",LEN(B710)&gt;24,ISNUMBER(FIND(" ",B710)),ISNUMBER(FIND("*",B710)),ISNUMBER(FIND("?",B710)),ISNUMBER(FIND("~",B710))),0,IFERROR(MATCH(B710,Team!$A$11:$A$60,0),0))</ns0:f>
        <ns0:v>0</ns0:v>
      </ns0:c>
      <ns0:c r="D710" s="0" t="str">
        <ns0:f>IFERROR(IF(MID(Bookings!F710,LEN(Bookings!F710)-3,3)=" · ",RIGHT(Bookings!F710,1),""),"")</ns0:f>
        <ns0:v/>
      </ns0:c>
      <ns0:c r="E710" s="0" t="str">
        <ns0:f>IFERROR(INDEX(Settings!$H$7:$H$11,MATCH(D710,Settings!$G$7:$G$11,0)),"")</ns0:f>
        <ns0:v/>
      </ns0:c>
      <ns0:c r="F710" s="0" t="str">
        <ns0:f>IF(A710=0,"",IFERROR(IF(OR(B710="",C710=0),"CHECK employee selection",IF(INDEX(Team!$O$11:$O$60,C710)&lt;&gt;"OK","CHECK employee setup",IF(OR('_Dates'!J710=0,'_Dates'!T710=0),"CHECK date: use DD.MM.YYYY",IF('_Dates'!T710&lt;'_Dates'!J710,"CHECK end before start",IF(AND($B$6=0,OR('_Dates'!J710&lt;Settings!$B$7,'_Dates'!T710&gt;Settings!$B$8)),"CHECK split across leave years",IF(OR(NOT(OR('_Dates'!U710="Full day",'_Dates'!U710="AM",'_Dates'!U710="PM")),NOT(OR('_Dates'!V710="Full day",'_Dates'!V710="AM",'_Dates'!V710="PM"))),"CHECK Full day / AM / PM",IF(AND('_Dates'!J710='_Dates'!T710,'_Dates'!U710&lt;&gt;"Full day",'_Dates'!V710&lt;&gt;"Full day",'_Dates'!U710&lt;&gt;'_Dates'!V710),"CHECK same-day portions disagree",IF(AND($B$6=0,OR(AND('_Dates'!U710&lt;&gt;"Full day",'_Dates'!AA710=0),AND('_Dates'!V710&lt;&gt;"Full day",'_Dates'!AB710=0))),"CHECK half-day on non-working date",IF(COUNTIF(Settings!$G$7:$G$11,D710)&lt;&gt;1,"CHECK leave type",IF(AND(Bookings!G710&lt;&gt;"Approved",Bookings!G710&lt;&gt;"Pending",Bookings!G710&lt;&gt;"Cancelled"),"CHECK status","OK")))))))))),"CHECK input"))</ns0:f>
        <ns0:v/>
      </ns0:c>
      <ns0:c r="G710" s="0">
        <ns0:f>IF(OR(F710&lt;&gt;"OK",$B$6&gt;0),0,0.5*(IF(('_Dates'!X710)&lt;('_Dates'!W710),0,INT((('_Dates'!X710)-('_Dates'!W710)+1)/7)*LEN(SUBSTITUTE(W710,"O",""))+LEN(SUBSTITUTE(MID(W710&amp;W710,WEEKDAY(('_Dates'!W710),2),MOD((('_Dates'!X710)-('_Dates'!W710)+1),7)),"O",""))-COUNTIFS(INDEX(AllClosureRows,C710,0),"&gt;="&amp;('_Dates'!W710),INDEX(AllClosureRows,C710,0),"&lt;="&amp;('_Dates'!X710)))+IF(('_Dates'!Z710)&lt;('_Dates'!Y710),0,INT((('_Dates'!Z710)-('_Dates'!Y710)+1)/7)*LEN(SUBSTITUTE(W710,"O",""))+LEN(SUBSTITUTE(MID(W710&amp;W710,WEEKDAY(('_Dates'!Y710),2),MOD((('_Dates'!Z710)-('_Dates'!Y710)+1),7)),"O",""))-COUNTIFS(INDEX(AllClosureRows,C710,0),"&gt;="&amp;('_Dates'!Y710),INDEX(AllClosureRows,C710,0),"&lt;="&amp;('_Dates'!Z710)))))</ns0:f>
        <ns0:v>0</ns0:v>
      </ns0:c>
      <ns0:c r="H710" s="0">
        <ns0:f>IF(OR(F710&lt;&gt;"OK",$B$6&gt;0),0,0.5*(IF((MIN('_Dates'!X710,Settings!$B$9))&lt;('_Dates'!W710),0,INT(((MIN('_Dates'!X710,Settings!$B$9))-('_Dates'!W710)+1)/7)*LEN(SUBSTITUTE(W710,"O",""))+LEN(SUBSTITUTE(MID(W710&amp;W710,WEEKDAY(('_Dates'!W710),2),MOD(((MIN('_Dates'!X710,Settings!$B$9))-('_Dates'!W710)+1),7)),"O",""))-COUNTIFS(INDEX(AllClosureRows,C710,0),"&gt;="&amp;('_Dates'!W710),INDEX(AllClosureRows,C710,0),"&lt;="&amp;(MIN('_Dates'!X710,Settings!$B$9))))+IF((MIN('_Dates'!Z710,Settings!$B$9))&lt;('_Dates'!Y710),0,INT(((MIN('_Dates'!Z710,Settings!$B$9))-('_Dates'!Y710)+1)/7)*LEN(SUBSTITUTE(W710,"O",""))+LEN(SUBSTITUTE(MID(W710&amp;W710,WEEKDAY(('_Dates'!Y710),2),MOD(((MIN('_Dates'!Z710,Settings!$B$9))-('_Dates'!Y710)+1),7)),"O",""))-COUNTIFS(INDEX(AllClosureRows,C710,0),"&gt;="&amp;('_Dates'!Y710),INDEX(AllClosureRows,C710,0),"&lt;="&amp;(MIN('_Dates'!Z710,Settings!$B$9))))))</ns0:f>
        <ns0:v>0</ns0:v>
      </ns0:c>
      <ns0:c r="I710" s="0">
        <ns0:f>MAX(0,G710-H710)</ns0:f>
        <ns0:v>0</ns0:v>
      </ns0:c>
      <ns0:c r="J710" s="0">
        <ns0:f>IF(OR(A710=0,F710&lt;&gt;"OK",Bookings!G710="Cancelled",$B$6&gt;0),0,IF('_Dates'!AC710=1,MAX(0,COUNTIFS(rngEngine_B,B710,rngAMStart,"&lt;="&amp;'_Dates'!X710,rngAMEnd,"&gt;="&amp;'_Dates'!W710,rngAMActive,1,rngEngine_F,"OK",rngBookings_F,"&lt;&gt;Cancelled")-1),0)+IF('_Dates'!AD710=1,MAX(0,COUNTIFS(rngEngine_B,B710,rngPMStart,"&lt;="&amp;'_Dates'!Z710,rngPMEnd,"&gt;="&amp;'_Dates'!Y710,rngPMActive,1,rngEngine_F,"OK",rngBookings_F,"&lt;&gt;Cancelled")-1),0))</ns0:f>
        <ns0:v>0</ns0:v>
      </ns0:c>
      <ns0:c r="K710" s="0" t="str">
        <ns0:f>IF(A710=0,"",IF(F710&lt;&gt;"OK",F710,IF(J710&gt;0,"CHECK overlapping entry",IF(AND($B$6=0,G710&lt;=0,Bookings!G710&lt;&gt;"Cancelled"),"CHECK no working days",IF(Bookings!G710="Cancelled","Cancelled","OK")))))</ns0:f>
        <ns0:v/>
      </ns0:c>
      <ns0:c r="L710" s="0">
        <ns0:f>IF(LEFT(K710,5)="CHECK",1,0)</ns0:f>
        <ns0:v>0</ns0:v>
      </ns0:c>
      <ns0:c r="M710" s="0">
        <ns0:f>IF(AND(L710=1,OR(C710=0,IFERROR(INDEX($X$11:$X$60,C710),0)=0)),1,0)</ns0:f>
        <ns0:v>0</ns0:v>
      </ns0:c>
      <ns0:c r="N710" s="0">
        <ns0:f>IF(OR(A710=0,L710&gt;0,$B$6&gt;0,Bookings!G710="Cancelled"),0,G710)</ns0:f>
        <ns0:v>0</ns0:v>
      </ns0:c>
      <ns0:c r="O710" s="0">
        <ns0:f>IF(AND(Bookings!G710="Approved",E710="Yes"),N710,0)</ns0:f>
        <ns0:v>0</ns0:v>
      </ns0:c>
      <ns0:c r="P710" s="0">
        <ns0:f>IF(AND(Bookings!G710="Approved",E710="Yes",L710=0,$B$6=0),H710,0)</ns0:f>
        <ns0:v>0</ns0:v>
      </ns0:c>
      <ns0:c r="Q710" s="0">
        <ns0:f>IF(AND(Bookings!G710="Approved",E710="Yes",L710=0,$B$6=0),I710,0)</ns0:f>
        <ns0:v>0</ns0:v>
      </ns0:c>
      <ns0:c r="R710" s="0">
        <ns0:f>IF(AND(Bookings!G710="Pending",E710="Yes"),N710,0)</ns0:f>
        <ns0:v>0</ns0:v>
      </ns0:c>
      <ns0:c r="S710" s="0">
        <ns0:f>IF(AND(Bookings!G710="Approved",E710="No"),N710,0)</ns0:f>
        <ns0:v>0</ns0:v>
      </ns0:c>
      <ns0:c r="T710" s="0">
        <ns0:f>IFERROR(MATCH(D710,Settings!$G$7:$G$11,0),0)</ns0:f>
        <ns0:v>0</ns0:v>
      </ns0:c>
      <ns0:c r="U710" s="0">
        <ns0:f>IF(N710&gt;0,T710+IF(Bookings!G710="Pending",10,0),0)</ns0:f>
        <ns0:v>0</ns0:v>
      </ns0:c>
      <ns0:c r="V710" s="0">
        <ns0:f>U710</ns0:f>
        <ns0:v>0</ns0:v>
      </ns0:c>
      <ns0:c r="W710" s="0" t="str">
        <ns0:f>IF(C710=0,"",INDEX($AP$11:$AP$60,C710))</ns0:f>
        <ns0:v/>
      </ns0:c>
    </ns0:row>
    <ns0:row r="711">
      <ns0:c r="A711" s="0">
        <ns0:f>IF(COUNTA(Bookings!A711:G711,Bookings!I711)=0,0,1)</ns0:f>
        <ns0:v>0</ns0:v>
      </ns0:c>
      <ns0:c r="B711" s="0" t="str">
        <ns0:f>IFERROR(TRIM(MID(Bookings!A711,FIND(" · ",Bookings!A711)+3,99)),"")</ns0:f>
        <ns0:v/>
      </ns0:c>
      <ns0:c r="C711" s="0">
        <ns0:f>IF(OR(B711="",LEN(B711)&gt;24,ISNUMBER(FIND(" ",B711)),ISNUMBER(FIND("*",B711)),ISNUMBER(FIND("?",B711)),ISNUMBER(FIND("~",B711))),0,IFERROR(MATCH(B711,Team!$A$11:$A$60,0),0))</ns0:f>
        <ns0:v>0</ns0:v>
      </ns0:c>
      <ns0:c r="D711" s="0" t="str">
        <ns0:f>IFERROR(IF(MID(Bookings!F711,LEN(Bookings!F711)-3,3)=" · ",RIGHT(Bookings!F711,1),""),"")</ns0:f>
        <ns0:v/>
      </ns0:c>
      <ns0:c r="E711" s="0" t="str">
        <ns0:f>IFERROR(INDEX(Settings!$H$7:$H$11,MATCH(D711,Settings!$G$7:$G$11,0)),"")</ns0:f>
        <ns0:v/>
      </ns0:c>
      <ns0:c r="F711" s="0" t="str">
        <ns0:f>IF(A711=0,"",IFERROR(IF(OR(B711="",C711=0),"CHECK employee selection",IF(INDEX(Team!$O$11:$O$60,C711)&lt;&gt;"OK","CHECK employee setup",IF(OR('_Dates'!J711=0,'_Dates'!T711=0),"CHECK date: use DD.MM.YYYY",IF('_Dates'!T711&lt;'_Dates'!J711,"CHECK end before start",IF(AND($B$6=0,OR('_Dates'!J711&lt;Settings!$B$7,'_Dates'!T711&gt;Settings!$B$8)),"CHECK split across leave years",IF(OR(NOT(OR('_Dates'!U711="Full day",'_Dates'!U711="AM",'_Dates'!U711="PM")),NOT(OR('_Dates'!V711="Full day",'_Dates'!V711="AM",'_Dates'!V711="PM"))),"CHECK Full day / AM / PM",IF(AND('_Dates'!J711='_Dates'!T711,'_Dates'!U711&lt;&gt;"Full day",'_Dates'!V711&lt;&gt;"Full day",'_Dates'!U711&lt;&gt;'_Dates'!V711),"CHECK same-day portions disagree",IF(AND($B$6=0,OR(AND('_Dates'!U711&lt;&gt;"Full day",'_Dates'!AA711=0),AND('_Dates'!V711&lt;&gt;"Full day",'_Dates'!AB711=0))),"CHECK half-day on non-working date",IF(COUNTIF(Settings!$G$7:$G$11,D711)&lt;&gt;1,"CHECK leave type",IF(AND(Bookings!G711&lt;&gt;"Approved",Bookings!G711&lt;&gt;"Pending",Bookings!G711&lt;&gt;"Cancelled"),"CHECK status","OK")))))))))),"CHECK input"))</ns0:f>
        <ns0:v/>
      </ns0:c>
      <ns0:c r="G711" s="0">
        <ns0:f>IF(OR(F711&lt;&gt;"OK",$B$6&gt;0),0,0.5*(IF(('_Dates'!X711)&lt;('_Dates'!W711),0,INT((('_Dates'!X711)-('_Dates'!W711)+1)/7)*LEN(SUBSTITUTE(W711,"O",""))+LEN(SUBSTITUTE(MID(W711&amp;W711,WEEKDAY(('_Dates'!W711),2),MOD((('_Dates'!X711)-('_Dates'!W711)+1),7)),"O",""))-COUNTIFS(INDEX(AllClosureRows,C711,0),"&gt;="&amp;('_Dates'!W711),INDEX(AllClosureRows,C711,0),"&lt;="&amp;('_Dates'!X711)))+IF(('_Dates'!Z711)&lt;('_Dates'!Y711),0,INT((('_Dates'!Z711)-('_Dates'!Y711)+1)/7)*LEN(SUBSTITUTE(W711,"O",""))+LEN(SUBSTITUTE(MID(W711&amp;W711,WEEKDAY(('_Dates'!Y711),2),MOD((('_Dates'!Z711)-('_Dates'!Y711)+1),7)),"O",""))-COUNTIFS(INDEX(AllClosureRows,C711,0),"&gt;="&amp;('_Dates'!Y711),INDEX(AllClosureRows,C711,0),"&lt;="&amp;('_Dates'!Z711)))))</ns0:f>
        <ns0:v>0</ns0:v>
      </ns0:c>
      <ns0:c r="H711" s="0">
        <ns0:f>IF(OR(F711&lt;&gt;"OK",$B$6&gt;0),0,0.5*(IF((MIN('_Dates'!X711,Settings!$B$9))&lt;('_Dates'!W711),0,INT(((MIN('_Dates'!X711,Settings!$B$9))-('_Dates'!W711)+1)/7)*LEN(SUBSTITUTE(W711,"O",""))+LEN(SUBSTITUTE(MID(W711&amp;W711,WEEKDAY(('_Dates'!W711),2),MOD(((MIN('_Dates'!X711,Settings!$B$9))-('_Dates'!W711)+1),7)),"O",""))-COUNTIFS(INDEX(AllClosureRows,C711,0),"&gt;="&amp;('_Dates'!W711),INDEX(AllClosureRows,C711,0),"&lt;="&amp;(MIN('_Dates'!X711,Settings!$B$9))))+IF((MIN('_Dates'!Z711,Settings!$B$9))&lt;('_Dates'!Y711),0,INT(((MIN('_Dates'!Z711,Settings!$B$9))-('_Dates'!Y711)+1)/7)*LEN(SUBSTITUTE(W711,"O",""))+LEN(SUBSTITUTE(MID(W711&amp;W711,WEEKDAY(('_Dates'!Y711),2),MOD(((MIN('_Dates'!Z711,Settings!$B$9))-('_Dates'!Y711)+1),7)),"O",""))-COUNTIFS(INDEX(AllClosureRows,C711,0),"&gt;="&amp;('_Dates'!Y711),INDEX(AllClosureRows,C711,0),"&lt;="&amp;(MIN('_Dates'!Z711,Settings!$B$9))))))</ns0:f>
        <ns0:v>0</ns0:v>
      </ns0:c>
      <ns0:c r="I711" s="0">
        <ns0:f>MAX(0,G711-H711)</ns0:f>
        <ns0:v>0</ns0:v>
      </ns0:c>
      <ns0:c r="J711" s="0">
        <ns0:f>IF(OR(A711=0,F711&lt;&gt;"OK",Bookings!G711="Cancelled",$B$6&gt;0),0,IF('_Dates'!AC711=1,MAX(0,COUNTIFS(rngEngine_B,B711,rngAMStart,"&lt;="&amp;'_Dates'!X711,rngAMEnd,"&gt;="&amp;'_Dates'!W711,rngAMActive,1,rngEngine_F,"OK",rngBookings_F,"&lt;&gt;Cancelled")-1),0)+IF('_Dates'!AD711=1,MAX(0,COUNTIFS(rngEngine_B,B711,rngPMStart,"&lt;="&amp;'_Dates'!Z711,rngPMEnd,"&gt;="&amp;'_Dates'!Y711,rngPMActive,1,rngEngine_F,"OK",rngBookings_F,"&lt;&gt;Cancelled")-1),0))</ns0:f>
        <ns0:v>0</ns0:v>
      </ns0:c>
      <ns0:c r="K711" s="0" t="str">
        <ns0:f>IF(A711=0,"",IF(F711&lt;&gt;"OK",F711,IF(J711&gt;0,"CHECK overlapping entry",IF(AND($B$6=0,G711&lt;=0,Bookings!G711&lt;&gt;"Cancelled"),"CHECK no working days",IF(Bookings!G711="Cancelled","Cancelled","OK")))))</ns0:f>
        <ns0:v/>
      </ns0:c>
      <ns0:c r="L711" s="0">
        <ns0:f>IF(LEFT(K711,5)="CHECK",1,0)</ns0:f>
        <ns0:v>0</ns0:v>
      </ns0:c>
      <ns0:c r="M711" s="0">
        <ns0:f>IF(AND(L711=1,OR(C711=0,IFERROR(INDEX($X$11:$X$60,C711),0)=0)),1,0)</ns0:f>
        <ns0:v>0</ns0:v>
      </ns0:c>
      <ns0:c r="N711" s="0">
        <ns0:f>IF(OR(A711=0,L711&gt;0,$B$6&gt;0,Bookings!G711="Cancelled"),0,G711)</ns0:f>
        <ns0:v>0</ns0:v>
      </ns0:c>
      <ns0:c r="O711" s="0">
        <ns0:f>IF(AND(Bookings!G711="Approved",E711="Yes"),N711,0)</ns0:f>
        <ns0:v>0</ns0:v>
      </ns0:c>
      <ns0:c r="P711" s="0">
        <ns0:f>IF(AND(Bookings!G711="Approved",E711="Yes",L711=0,$B$6=0),H711,0)</ns0:f>
        <ns0:v>0</ns0:v>
      </ns0:c>
      <ns0:c r="Q711" s="0">
        <ns0:f>IF(AND(Bookings!G711="Approved",E711="Yes",L711=0,$B$6=0),I711,0)</ns0:f>
        <ns0:v>0</ns0:v>
      </ns0:c>
      <ns0:c r="R711" s="0">
        <ns0:f>IF(AND(Bookings!G711="Pending",E711="Yes"),N711,0)</ns0:f>
        <ns0:v>0</ns0:v>
      </ns0:c>
      <ns0:c r="S711" s="0">
        <ns0:f>IF(AND(Bookings!G711="Approved",E711="No"),N711,0)</ns0:f>
        <ns0:v>0</ns0:v>
      </ns0:c>
      <ns0:c r="T711" s="0">
        <ns0:f>IFERROR(MATCH(D711,Settings!$G$7:$G$11,0),0)</ns0:f>
        <ns0:v>0</ns0:v>
      </ns0:c>
      <ns0:c r="U711" s="0">
        <ns0:f>IF(N711&gt;0,T711+IF(Bookings!G711="Pending",10,0),0)</ns0:f>
        <ns0:v>0</ns0:v>
      </ns0:c>
      <ns0:c r="V711" s="0">
        <ns0:f>U711</ns0:f>
        <ns0:v>0</ns0:v>
      </ns0:c>
      <ns0:c r="W711" s="0" t="str">
        <ns0:f>IF(C711=0,"",INDEX($AP$11:$AP$60,C711))</ns0:f>
        <ns0:v/>
      </ns0:c>
    </ns0:row>
    <ns0:row r="712">
      <ns0:c r="A712" s="0">
        <ns0:f>IF(COUNTA(Bookings!A712:G712,Bookings!I712)=0,0,1)</ns0:f>
        <ns0:v>0</ns0:v>
      </ns0:c>
      <ns0:c r="B712" s="0" t="str">
        <ns0:f>IFERROR(TRIM(MID(Bookings!A712,FIND(" · ",Bookings!A712)+3,99)),"")</ns0:f>
        <ns0:v/>
      </ns0:c>
      <ns0:c r="C712" s="0">
        <ns0:f>IF(OR(B712="",LEN(B712)&gt;24,ISNUMBER(FIND(" ",B712)),ISNUMBER(FIND("*",B712)),ISNUMBER(FIND("?",B712)),ISNUMBER(FIND("~",B712))),0,IFERROR(MATCH(B712,Team!$A$11:$A$60,0),0))</ns0:f>
        <ns0:v>0</ns0:v>
      </ns0:c>
      <ns0:c r="D712" s="0" t="str">
        <ns0:f>IFERROR(IF(MID(Bookings!F712,LEN(Bookings!F712)-3,3)=" · ",RIGHT(Bookings!F712,1),""),"")</ns0:f>
        <ns0:v/>
      </ns0:c>
      <ns0:c r="E712" s="0" t="str">
        <ns0:f>IFERROR(INDEX(Settings!$H$7:$H$11,MATCH(D712,Settings!$G$7:$G$11,0)),"")</ns0:f>
        <ns0:v/>
      </ns0:c>
      <ns0:c r="F712" s="0" t="str">
        <ns0:f>IF(A712=0,"",IFERROR(IF(OR(B712="",C712=0),"CHECK employee selection",IF(INDEX(Team!$O$11:$O$60,C712)&lt;&gt;"OK","CHECK employee setup",IF(OR('_Dates'!J712=0,'_Dates'!T712=0),"CHECK date: use DD.MM.YYYY",IF('_Dates'!T712&lt;'_Dates'!J712,"CHECK end before start",IF(AND($B$6=0,OR('_Dates'!J712&lt;Settings!$B$7,'_Dates'!T712&gt;Settings!$B$8)),"CHECK split across leave years",IF(OR(NOT(OR('_Dates'!U712="Full day",'_Dates'!U712="AM",'_Dates'!U712="PM")),NOT(OR('_Dates'!V712="Full day",'_Dates'!V712="AM",'_Dates'!V712="PM"))),"CHECK Full day / AM / PM",IF(AND('_Dates'!J712='_Dates'!T712,'_Dates'!U712&lt;&gt;"Full day",'_Dates'!V712&lt;&gt;"Full day",'_Dates'!U712&lt;&gt;'_Dates'!V712),"CHECK same-day portions disagree",IF(AND($B$6=0,OR(AND('_Dates'!U712&lt;&gt;"Full day",'_Dates'!AA712=0),AND('_Dates'!V712&lt;&gt;"Full day",'_Dates'!AB712=0))),"CHECK half-day on non-working date",IF(COUNTIF(Settings!$G$7:$G$11,D712)&lt;&gt;1,"CHECK leave type",IF(AND(Bookings!G712&lt;&gt;"Approved",Bookings!G712&lt;&gt;"Pending",Bookings!G712&lt;&gt;"Cancelled"),"CHECK status","OK")))))))))),"CHECK input"))</ns0:f>
        <ns0:v/>
      </ns0:c>
      <ns0:c r="G712" s="0">
        <ns0:f>IF(OR(F712&lt;&gt;"OK",$B$6&gt;0),0,0.5*(IF(('_Dates'!X712)&lt;('_Dates'!W712),0,INT((('_Dates'!X712)-('_Dates'!W712)+1)/7)*LEN(SUBSTITUTE(W712,"O",""))+LEN(SUBSTITUTE(MID(W712&amp;W712,WEEKDAY(('_Dates'!W712),2),MOD((('_Dates'!X712)-('_Dates'!W712)+1),7)),"O",""))-COUNTIFS(INDEX(AllClosureRows,C712,0),"&gt;="&amp;('_Dates'!W712),INDEX(AllClosureRows,C712,0),"&lt;="&amp;('_Dates'!X712)))+IF(('_Dates'!Z712)&lt;('_Dates'!Y712),0,INT((('_Dates'!Z712)-('_Dates'!Y712)+1)/7)*LEN(SUBSTITUTE(W712,"O",""))+LEN(SUBSTITUTE(MID(W712&amp;W712,WEEKDAY(('_Dates'!Y712),2),MOD((('_Dates'!Z712)-('_Dates'!Y712)+1),7)),"O",""))-COUNTIFS(INDEX(AllClosureRows,C712,0),"&gt;="&amp;('_Dates'!Y712),INDEX(AllClosureRows,C712,0),"&lt;="&amp;('_Dates'!Z712)))))</ns0:f>
        <ns0:v>0</ns0:v>
      </ns0:c>
      <ns0:c r="H712" s="0">
        <ns0:f>IF(OR(F712&lt;&gt;"OK",$B$6&gt;0),0,0.5*(IF((MIN('_Dates'!X712,Settings!$B$9))&lt;('_Dates'!W712),0,INT(((MIN('_Dates'!X712,Settings!$B$9))-('_Dates'!W712)+1)/7)*LEN(SUBSTITUTE(W712,"O",""))+LEN(SUBSTITUTE(MID(W712&amp;W712,WEEKDAY(('_Dates'!W712),2),MOD(((MIN('_Dates'!X712,Settings!$B$9))-('_Dates'!W712)+1),7)),"O",""))-COUNTIFS(INDEX(AllClosureRows,C712,0),"&gt;="&amp;('_Dates'!W712),INDEX(AllClosureRows,C712,0),"&lt;="&amp;(MIN('_Dates'!X712,Settings!$B$9))))+IF((MIN('_Dates'!Z712,Settings!$B$9))&lt;('_Dates'!Y712),0,INT(((MIN('_Dates'!Z712,Settings!$B$9))-('_Dates'!Y712)+1)/7)*LEN(SUBSTITUTE(W712,"O",""))+LEN(SUBSTITUTE(MID(W712&amp;W712,WEEKDAY(('_Dates'!Y712),2),MOD(((MIN('_Dates'!Z712,Settings!$B$9))-('_Dates'!Y712)+1),7)),"O",""))-COUNTIFS(INDEX(AllClosureRows,C712,0),"&gt;="&amp;('_Dates'!Y712),INDEX(AllClosureRows,C712,0),"&lt;="&amp;(MIN('_Dates'!Z712,Settings!$B$9))))))</ns0:f>
        <ns0:v>0</ns0:v>
      </ns0:c>
      <ns0:c r="I712" s="0">
        <ns0:f>MAX(0,G712-H712)</ns0:f>
        <ns0:v>0</ns0:v>
      </ns0:c>
      <ns0:c r="J712" s="0">
        <ns0:f>IF(OR(A712=0,F712&lt;&gt;"OK",Bookings!G712="Cancelled",$B$6&gt;0),0,IF('_Dates'!AC712=1,MAX(0,COUNTIFS(rngEngine_B,B712,rngAMStart,"&lt;="&amp;'_Dates'!X712,rngAMEnd,"&gt;="&amp;'_Dates'!W712,rngAMActive,1,rngEngine_F,"OK",rngBookings_F,"&lt;&gt;Cancelled")-1),0)+IF('_Dates'!AD712=1,MAX(0,COUNTIFS(rngEngine_B,B712,rngPMStart,"&lt;="&amp;'_Dates'!Z712,rngPMEnd,"&gt;="&amp;'_Dates'!Y712,rngPMActive,1,rngEngine_F,"OK",rngBookings_F,"&lt;&gt;Cancelled")-1),0))</ns0:f>
        <ns0:v>0</ns0:v>
      </ns0:c>
      <ns0:c r="K712" s="0" t="str">
        <ns0:f>IF(A712=0,"",IF(F712&lt;&gt;"OK",F712,IF(J712&gt;0,"CHECK overlapping entry",IF(AND($B$6=0,G712&lt;=0,Bookings!G712&lt;&gt;"Cancelled"),"CHECK no working days",IF(Bookings!G712="Cancelled","Cancelled","OK")))))</ns0:f>
        <ns0:v/>
      </ns0:c>
      <ns0:c r="L712" s="0">
        <ns0:f>IF(LEFT(K712,5)="CHECK",1,0)</ns0:f>
        <ns0:v>0</ns0:v>
      </ns0:c>
      <ns0:c r="M712" s="0">
        <ns0:f>IF(AND(L712=1,OR(C712=0,IFERROR(INDEX($X$11:$X$60,C712),0)=0)),1,0)</ns0:f>
        <ns0:v>0</ns0:v>
      </ns0:c>
      <ns0:c r="N712" s="0">
        <ns0:f>IF(OR(A712=0,L712&gt;0,$B$6&gt;0,Bookings!G712="Cancelled"),0,G712)</ns0:f>
        <ns0:v>0</ns0:v>
      </ns0:c>
      <ns0:c r="O712" s="0">
        <ns0:f>IF(AND(Bookings!G712="Approved",E712="Yes"),N712,0)</ns0:f>
        <ns0:v>0</ns0:v>
      </ns0:c>
      <ns0:c r="P712" s="0">
        <ns0:f>IF(AND(Bookings!G712="Approved",E712="Yes",L712=0,$B$6=0),H712,0)</ns0:f>
        <ns0:v>0</ns0:v>
      </ns0:c>
      <ns0:c r="Q712" s="0">
        <ns0:f>IF(AND(Bookings!G712="Approved",E712="Yes",L712=0,$B$6=0),I712,0)</ns0:f>
        <ns0:v>0</ns0:v>
      </ns0:c>
      <ns0:c r="R712" s="0">
        <ns0:f>IF(AND(Bookings!G712="Pending",E712="Yes"),N712,0)</ns0:f>
        <ns0:v>0</ns0:v>
      </ns0:c>
      <ns0:c r="S712" s="0">
        <ns0:f>IF(AND(Bookings!G712="Approved",E712="No"),N712,0)</ns0:f>
        <ns0:v>0</ns0:v>
      </ns0:c>
      <ns0:c r="T712" s="0">
        <ns0:f>IFERROR(MATCH(D712,Settings!$G$7:$G$11,0),0)</ns0:f>
        <ns0:v>0</ns0:v>
      </ns0:c>
      <ns0:c r="U712" s="0">
        <ns0:f>IF(N712&gt;0,T712+IF(Bookings!G712="Pending",10,0),0)</ns0:f>
        <ns0:v>0</ns0:v>
      </ns0:c>
      <ns0:c r="V712" s="0">
        <ns0:f>U712</ns0:f>
        <ns0:v>0</ns0:v>
      </ns0:c>
      <ns0:c r="W712" s="0" t="str">
        <ns0:f>IF(C712=0,"",INDEX($AP$11:$AP$60,C712))</ns0:f>
        <ns0:v/>
      </ns0:c>
    </ns0:row>
    <ns0:row r="713">
      <ns0:c r="A713" s="0">
        <ns0:f>IF(COUNTA(Bookings!A713:G713,Bookings!I713)=0,0,1)</ns0:f>
        <ns0:v>0</ns0:v>
      </ns0:c>
      <ns0:c r="B713" s="0" t="str">
        <ns0:f>IFERROR(TRIM(MID(Bookings!A713,FIND(" · ",Bookings!A713)+3,99)),"")</ns0:f>
        <ns0:v/>
      </ns0:c>
      <ns0:c r="C713" s="0">
        <ns0:f>IF(OR(B713="",LEN(B713)&gt;24,ISNUMBER(FIND(" ",B713)),ISNUMBER(FIND("*",B713)),ISNUMBER(FIND("?",B713)),ISNUMBER(FIND("~",B713))),0,IFERROR(MATCH(B713,Team!$A$11:$A$60,0),0))</ns0:f>
        <ns0:v>0</ns0:v>
      </ns0:c>
      <ns0:c r="D713" s="0" t="str">
        <ns0:f>IFERROR(IF(MID(Bookings!F713,LEN(Bookings!F713)-3,3)=" · ",RIGHT(Bookings!F713,1),""),"")</ns0:f>
        <ns0:v/>
      </ns0:c>
      <ns0:c r="E713" s="0" t="str">
        <ns0:f>IFERROR(INDEX(Settings!$H$7:$H$11,MATCH(D713,Settings!$G$7:$G$11,0)),"")</ns0:f>
        <ns0:v/>
      </ns0:c>
      <ns0:c r="F713" s="0" t="str">
        <ns0:f>IF(A713=0,"",IFERROR(IF(OR(B713="",C713=0),"CHECK employee selection",IF(INDEX(Team!$O$11:$O$60,C713)&lt;&gt;"OK","CHECK employee setup",IF(OR('_Dates'!J713=0,'_Dates'!T713=0),"CHECK date: use DD.MM.YYYY",IF('_Dates'!T713&lt;'_Dates'!J713,"CHECK end before start",IF(AND($B$6=0,OR('_Dates'!J713&lt;Settings!$B$7,'_Dates'!T713&gt;Settings!$B$8)),"CHECK split across leave years",IF(OR(NOT(OR('_Dates'!U713="Full day",'_Dates'!U713="AM",'_Dates'!U713="PM")),NOT(OR('_Dates'!V713="Full day",'_Dates'!V713="AM",'_Dates'!V713="PM"))),"CHECK Full day / AM / PM",IF(AND('_Dates'!J713='_Dates'!T713,'_Dates'!U713&lt;&gt;"Full day",'_Dates'!V713&lt;&gt;"Full day",'_Dates'!U713&lt;&gt;'_Dates'!V713),"CHECK same-day portions disagree",IF(AND($B$6=0,OR(AND('_Dates'!U713&lt;&gt;"Full day",'_Dates'!AA713=0),AND('_Dates'!V713&lt;&gt;"Full day",'_Dates'!AB713=0))),"CHECK half-day on non-working date",IF(COUNTIF(Settings!$G$7:$G$11,D713)&lt;&gt;1,"CHECK leave type",IF(AND(Bookings!G713&lt;&gt;"Approved",Bookings!G713&lt;&gt;"Pending",Bookings!G713&lt;&gt;"Cancelled"),"CHECK status","OK")))))))))),"CHECK input"))</ns0:f>
        <ns0:v/>
      </ns0:c>
      <ns0:c r="G713" s="0">
        <ns0:f>IF(OR(F713&lt;&gt;"OK",$B$6&gt;0),0,0.5*(IF(('_Dates'!X713)&lt;('_Dates'!W713),0,INT((('_Dates'!X713)-('_Dates'!W713)+1)/7)*LEN(SUBSTITUTE(W713,"O",""))+LEN(SUBSTITUTE(MID(W713&amp;W713,WEEKDAY(('_Dates'!W713),2),MOD((('_Dates'!X713)-('_Dates'!W713)+1),7)),"O",""))-COUNTIFS(INDEX(AllClosureRows,C713,0),"&gt;="&amp;('_Dates'!W713),INDEX(AllClosureRows,C713,0),"&lt;="&amp;('_Dates'!X713)))+IF(('_Dates'!Z713)&lt;('_Dates'!Y713),0,INT((('_Dates'!Z713)-('_Dates'!Y713)+1)/7)*LEN(SUBSTITUTE(W713,"O",""))+LEN(SUBSTITUTE(MID(W713&amp;W713,WEEKDAY(('_Dates'!Y713),2),MOD((('_Dates'!Z713)-('_Dates'!Y713)+1),7)),"O",""))-COUNTIFS(INDEX(AllClosureRows,C713,0),"&gt;="&amp;('_Dates'!Y713),INDEX(AllClosureRows,C713,0),"&lt;="&amp;('_Dates'!Z713)))))</ns0:f>
        <ns0:v>0</ns0:v>
      </ns0:c>
      <ns0:c r="H713" s="0">
        <ns0:f>IF(OR(F713&lt;&gt;"OK",$B$6&gt;0),0,0.5*(IF((MIN('_Dates'!X713,Settings!$B$9))&lt;('_Dates'!W713),0,INT(((MIN('_Dates'!X713,Settings!$B$9))-('_Dates'!W713)+1)/7)*LEN(SUBSTITUTE(W713,"O",""))+LEN(SUBSTITUTE(MID(W713&amp;W713,WEEKDAY(('_Dates'!W713),2),MOD(((MIN('_Dates'!X713,Settings!$B$9))-('_Dates'!W713)+1),7)),"O",""))-COUNTIFS(INDEX(AllClosureRows,C713,0),"&gt;="&amp;('_Dates'!W713),INDEX(AllClosureRows,C713,0),"&lt;="&amp;(MIN('_Dates'!X713,Settings!$B$9))))+IF((MIN('_Dates'!Z713,Settings!$B$9))&lt;('_Dates'!Y713),0,INT(((MIN('_Dates'!Z713,Settings!$B$9))-('_Dates'!Y713)+1)/7)*LEN(SUBSTITUTE(W713,"O",""))+LEN(SUBSTITUTE(MID(W713&amp;W713,WEEKDAY(('_Dates'!Y713),2),MOD(((MIN('_Dates'!Z713,Settings!$B$9))-('_Dates'!Y713)+1),7)),"O",""))-COUNTIFS(INDEX(AllClosureRows,C713,0),"&gt;="&amp;('_Dates'!Y713),INDEX(AllClosureRows,C713,0),"&lt;="&amp;(MIN('_Dates'!Z713,Settings!$B$9))))))</ns0:f>
        <ns0:v>0</ns0:v>
      </ns0:c>
      <ns0:c r="I713" s="0">
        <ns0:f>MAX(0,G713-H713)</ns0:f>
        <ns0:v>0</ns0:v>
      </ns0:c>
      <ns0:c r="J713" s="0">
        <ns0:f>IF(OR(A713=0,F713&lt;&gt;"OK",Bookings!G713="Cancelled",$B$6&gt;0),0,IF('_Dates'!AC713=1,MAX(0,COUNTIFS(rngEngine_B,B713,rngAMStart,"&lt;="&amp;'_Dates'!X713,rngAMEnd,"&gt;="&amp;'_Dates'!W713,rngAMActive,1,rngEngine_F,"OK",rngBookings_F,"&lt;&gt;Cancelled")-1),0)+IF('_Dates'!AD713=1,MAX(0,COUNTIFS(rngEngine_B,B713,rngPMStart,"&lt;="&amp;'_Dates'!Z713,rngPMEnd,"&gt;="&amp;'_Dates'!Y713,rngPMActive,1,rngEngine_F,"OK",rngBookings_F,"&lt;&gt;Cancelled")-1),0))</ns0:f>
        <ns0:v>0</ns0:v>
      </ns0:c>
      <ns0:c r="K713" s="0" t="str">
        <ns0:f>IF(A713=0,"",IF(F713&lt;&gt;"OK",F713,IF(J713&gt;0,"CHECK overlapping entry",IF(AND($B$6=0,G713&lt;=0,Bookings!G713&lt;&gt;"Cancelled"),"CHECK no working days",IF(Bookings!G713="Cancelled","Cancelled","OK")))))</ns0:f>
        <ns0:v/>
      </ns0:c>
      <ns0:c r="L713" s="0">
        <ns0:f>IF(LEFT(K713,5)="CHECK",1,0)</ns0:f>
        <ns0:v>0</ns0:v>
      </ns0:c>
      <ns0:c r="M713" s="0">
        <ns0:f>IF(AND(L713=1,OR(C713=0,IFERROR(INDEX($X$11:$X$60,C713),0)=0)),1,0)</ns0:f>
        <ns0:v>0</ns0:v>
      </ns0:c>
      <ns0:c r="N713" s="0">
        <ns0:f>IF(OR(A713=0,L713&gt;0,$B$6&gt;0,Bookings!G713="Cancelled"),0,G713)</ns0:f>
        <ns0:v>0</ns0:v>
      </ns0:c>
      <ns0:c r="O713" s="0">
        <ns0:f>IF(AND(Bookings!G713="Approved",E713="Yes"),N713,0)</ns0:f>
        <ns0:v>0</ns0:v>
      </ns0:c>
      <ns0:c r="P713" s="0">
        <ns0:f>IF(AND(Bookings!G713="Approved",E713="Yes",L713=0,$B$6=0),H713,0)</ns0:f>
        <ns0:v>0</ns0:v>
      </ns0:c>
      <ns0:c r="Q713" s="0">
        <ns0:f>IF(AND(Bookings!G713="Approved",E713="Yes",L713=0,$B$6=0),I713,0)</ns0:f>
        <ns0:v>0</ns0:v>
      </ns0:c>
      <ns0:c r="R713" s="0">
        <ns0:f>IF(AND(Bookings!G713="Pending",E713="Yes"),N713,0)</ns0:f>
        <ns0:v>0</ns0:v>
      </ns0:c>
      <ns0:c r="S713" s="0">
        <ns0:f>IF(AND(Bookings!G713="Approved",E713="No"),N713,0)</ns0:f>
        <ns0:v>0</ns0:v>
      </ns0:c>
      <ns0:c r="T713" s="0">
        <ns0:f>IFERROR(MATCH(D713,Settings!$G$7:$G$11,0),0)</ns0:f>
        <ns0:v>0</ns0:v>
      </ns0:c>
      <ns0:c r="U713" s="0">
        <ns0:f>IF(N713&gt;0,T713+IF(Bookings!G713="Pending",10,0),0)</ns0:f>
        <ns0:v>0</ns0:v>
      </ns0:c>
      <ns0:c r="V713" s="0">
        <ns0:f>U713</ns0:f>
        <ns0:v>0</ns0:v>
      </ns0:c>
      <ns0:c r="W713" s="0" t="str">
        <ns0:f>IF(C713=0,"",INDEX($AP$11:$AP$60,C713))</ns0:f>
        <ns0:v/>
      </ns0:c>
    </ns0:row>
    <ns0:row r="714">
      <ns0:c r="A714" s="0">
        <ns0:f>IF(COUNTA(Bookings!A714:G714,Bookings!I714)=0,0,1)</ns0:f>
        <ns0:v>0</ns0:v>
      </ns0:c>
      <ns0:c r="B714" s="0" t="str">
        <ns0:f>IFERROR(TRIM(MID(Bookings!A714,FIND(" · ",Bookings!A714)+3,99)),"")</ns0:f>
        <ns0:v/>
      </ns0:c>
      <ns0:c r="C714" s="0">
        <ns0:f>IF(OR(B714="",LEN(B714)&gt;24,ISNUMBER(FIND(" ",B714)),ISNUMBER(FIND("*",B714)),ISNUMBER(FIND("?",B714)),ISNUMBER(FIND("~",B714))),0,IFERROR(MATCH(B714,Team!$A$11:$A$60,0),0))</ns0:f>
        <ns0:v>0</ns0:v>
      </ns0:c>
      <ns0:c r="D714" s="0" t="str">
        <ns0:f>IFERROR(IF(MID(Bookings!F714,LEN(Bookings!F714)-3,3)=" · ",RIGHT(Bookings!F714,1),""),"")</ns0:f>
        <ns0:v/>
      </ns0:c>
      <ns0:c r="E714" s="0" t="str">
        <ns0:f>IFERROR(INDEX(Settings!$H$7:$H$11,MATCH(D714,Settings!$G$7:$G$11,0)),"")</ns0:f>
        <ns0:v/>
      </ns0:c>
      <ns0:c r="F714" s="0" t="str">
        <ns0:f>IF(A714=0,"",IFERROR(IF(OR(B714="",C714=0),"CHECK employee selection",IF(INDEX(Team!$O$11:$O$60,C714)&lt;&gt;"OK","CHECK employee setup",IF(OR('_Dates'!J714=0,'_Dates'!T714=0),"CHECK date: use DD.MM.YYYY",IF('_Dates'!T714&lt;'_Dates'!J714,"CHECK end before start",IF(AND($B$6=0,OR('_Dates'!J714&lt;Settings!$B$7,'_Dates'!T714&gt;Settings!$B$8)),"CHECK split across leave years",IF(OR(NOT(OR('_Dates'!U714="Full day",'_Dates'!U714="AM",'_Dates'!U714="PM")),NOT(OR('_Dates'!V714="Full day",'_Dates'!V714="AM",'_Dates'!V714="PM"))),"CHECK Full day / AM / PM",IF(AND('_Dates'!J714='_Dates'!T714,'_Dates'!U714&lt;&gt;"Full day",'_Dates'!V714&lt;&gt;"Full day",'_Dates'!U714&lt;&gt;'_Dates'!V714),"CHECK same-day portions disagree",IF(AND($B$6=0,OR(AND('_Dates'!U714&lt;&gt;"Full day",'_Dates'!AA714=0),AND('_Dates'!V714&lt;&gt;"Full day",'_Dates'!AB714=0))),"CHECK half-day on non-working date",IF(COUNTIF(Settings!$G$7:$G$11,D714)&lt;&gt;1,"CHECK leave type",IF(AND(Bookings!G714&lt;&gt;"Approved",Bookings!G714&lt;&gt;"Pending",Bookings!G714&lt;&gt;"Cancelled"),"CHECK status","OK")))))))))),"CHECK input"))</ns0:f>
        <ns0:v/>
      </ns0:c>
      <ns0:c r="G714" s="0">
        <ns0:f>IF(OR(F714&lt;&gt;"OK",$B$6&gt;0),0,0.5*(IF(('_Dates'!X714)&lt;('_Dates'!W714),0,INT((('_Dates'!X714)-('_Dates'!W714)+1)/7)*LEN(SUBSTITUTE(W714,"O",""))+LEN(SUBSTITUTE(MID(W714&amp;W714,WEEKDAY(('_Dates'!W714),2),MOD((('_Dates'!X714)-('_Dates'!W714)+1),7)),"O",""))-COUNTIFS(INDEX(AllClosureRows,C714,0),"&gt;="&amp;('_Dates'!W714),INDEX(AllClosureRows,C714,0),"&lt;="&amp;('_Dates'!X714)))+IF(('_Dates'!Z714)&lt;('_Dates'!Y714),0,INT((('_Dates'!Z714)-('_Dates'!Y714)+1)/7)*LEN(SUBSTITUTE(W714,"O",""))+LEN(SUBSTITUTE(MID(W714&amp;W714,WEEKDAY(('_Dates'!Y714),2),MOD((('_Dates'!Z714)-('_Dates'!Y714)+1),7)),"O",""))-COUNTIFS(INDEX(AllClosureRows,C714,0),"&gt;="&amp;('_Dates'!Y714),INDEX(AllClosureRows,C714,0),"&lt;="&amp;('_Dates'!Z714)))))</ns0:f>
        <ns0:v>0</ns0:v>
      </ns0:c>
      <ns0:c r="H714" s="0">
        <ns0:f>IF(OR(F714&lt;&gt;"OK",$B$6&gt;0),0,0.5*(IF((MIN('_Dates'!X714,Settings!$B$9))&lt;('_Dates'!W714),0,INT(((MIN('_Dates'!X714,Settings!$B$9))-('_Dates'!W714)+1)/7)*LEN(SUBSTITUTE(W714,"O",""))+LEN(SUBSTITUTE(MID(W714&amp;W714,WEEKDAY(('_Dates'!W714),2),MOD(((MIN('_Dates'!X714,Settings!$B$9))-('_Dates'!W714)+1),7)),"O",""))-COUNTIFS(INDEX(AllClosureRows,C714,0),"&gt;="&amp;('_Dates'!W714),INDEX(AllClosureRows,C714,0),"&lt;="&amp;(MIN('_Dates'!X714,Settings!$B$9))))+IF((MIN('_Dates'!Z714,Settings!$B$9))&lt;('_Dates'!Y714),0,INT(((MIN('_Dates'!Z714,Settings!$B$9))-('_Dates'!Y714)+1)/7)*LEN(SUBSTITUTE(W714,"O",""))+LEN(SUBSTITUTE(MID(W714&amp;W714,WEEKDAY(('_Dates'!Y714),2),MOD(((MIN('_Dates'!Z714,Settings!$B$9))-('_Dates'!Y714)+1),7)),"O",""))-COUNTIFS(INDEX(AllClosureRows,C714,0),"&gt;="&amp;('_Dates'!Y714),INDEX(AllClosureRows,C714,0),"&lt;="&amp;(MIN('_Dates'!Z714,Settings!$B$9))))))</ns0:f>
        <ns0:v>0</ns0:v>
      </ns0:c>
      <ns0:c r="I714" s="0">
        <ns0:f>MAX(0,G714-H714)</ns0:f>
        <ns0:v>0</ns0:v>
      </ns0:c>
      <ns0:c r="J714" s="0">
        <ns0:f>IF(OR(A714=0,F714&lt;&gt;"OK",Bookings!G714="Cancelled",$B$6&gt;0),0,IF('_Dates'!AC714=1,MAX(0,COUNTIFS(rngEngine_B,B714,rngAMStart,"&lt;="&amp;'_Dates'!X714,rngAMEnd,"&gt;="&amp;'_Dates'!W714,rngAMActive,1,rngEngine_F,"OK",rngBookings_F,"&lt;&gt;Cancelled")-1),0)+IF('_Dates'!AD714=1,MAX(0,COUNTIFS(rngEngine_B,B714,rngPMStart,"&lt;="&amp;'_Dates'!Z714,rngPMEnd,"&gt;="&amp;'_Dates'!Y714,rngPMActive,1,rngEngine_F,"OK",rngBookings_F,"&lt;&gt;Cancelled")-1),0))</ns0:f>
        <ns0:v>0</ns0:v>
      </ns0:c>
      <ns0:c r="K714" s="0" t="str">
        <ns0:f>IF(A714=0,"",IF(F714&lt;&gt;"OK",F714,IF(J714&gt;0,"CHECK overlapping entry",IF(AND($B$6=0,G714&lt;=0,Bookings!G714&lt;&gt;"Cancelled"),"CHECK no working days",IF(Bookings!G714="Cancelled","Cancelled","OK")))))</ns0:f>
        <ns0:v/>
      </ns0:c>
      <ns0:c r="L714" s="0">
        <ns0:f>IF(LEFT(K714,5)="CHECK",1,0)</ns0:f>
        <ns0:v>0</ns0:v>
      </ns0:c>
      <ns0:c r="M714" s="0">
        <ns0:f>IF(AND(L714=1,OR(C714=0,IFERROR(INDEX($X$11:$X$60,C714),0)=0)),1,0)</ns0:f>
        <ns0:v>0</ns0:v>
      </ns0:c>
      <ns0:c r="N714" s="0">
        <ns0:f>IF(OR(A714=0,L714&gt;0,$B$6&gt;0,Bookings!G714="Cancelled"),0,G714)</ns0:f>
        <ns0:v>0</ns0:v>
      </ns0:c>
      <ns0:c r="O714" s="0">
        <ns0:f>IF(AND(Bookings!G714="Approved",E714="Yes"),N714,0)</ns0:f>
        <ns0:v>0</ns0:v>
      </ns0:c>
      <ns0:c r="P714" s="0">
        <ns0:f>IF(AND(Bookings!G714="Approved",E714="Yes",L714=0,$B$6=0),H714,0)</ns0:f>
        <ns0:v>0</ns0:v>
      </ns0:c>
      <ns0:c r="Q714" s="0">
        <ns0:f>IF(AND(Bookings!G714="Approved",E714="Yes",L714=0,$B$6=0),I714,0)</ns0:f>
        <ns0:v>0</ns0:v>
      </ns0:c>
      <ns0:c r="R714" s="0">
        <ns0:f>IF(AND(Bookings!G714="Pending",E714="Yes"),N714,0)</ns0:f>
        <ns0:v>0</ns0:v>
      </ns0:c>
      <ns0:c r="S714" s="0">
        <ns0:f>IF(AND(Bookings!G714="Approved",E714="No"),N714,0)</ns0:f>
        <ns0:v>0</ns0:v>
      </ns0:c>
      <ns0:c r="T714" s="0">
        <ns0:f>IFERROR(MATCH(D714,Settings!$G$7:$G$11,0),0)</ns0:f>
        <ns0:v>0</ns0:v>
      </ns0:c>
      <ns0:c r="U714" s="0">
        <ns0:f>IF(N714&gt;0,T714+IF(Bookings!G714="Pending",10,0),0)</ns0:f>
        <ns0:v>0</ns0:v>
      </ns0:c>
      <ns0:c r="V714" s="0">
        <ns0:f>U714</ns0:f>
        <ns0:v>0</ns0:v>
      </ns0:c>
      <ns0:c r="W714" s="0" t="str">
        <ns0:f>IF(C714=0,"",INDEX($AP$11:$AP$60,C714))</ns0:f>
        <ns0:v/>
      </ns0:c>
    </ns0:row>
    <ns0:row r="715">
      <ns0:c r="A715" s="0">
        <ns0:f>IF(COUNTA(Bookings!A715:G715,Bookings!I715)=0,0,1)</ns0:f>
        <ns0:v>0</ns0:v>
      </ns0:c>
      <ns0:c r="B715" s="0" t="str">
        <ns0:f>IFERROR(TRIM(MID(Bookings!A715,FIND(" · ",Bookings!A715)+3,99)),"")</ns0:f>
        <ns0:v/>
      </ns0:c>
      <ns0:c r="C715" s="0">
        <ns0:f>IF(OR(B715="",LEN(B715)&gt;24,ISNUMBER(FIND(" ",B715)),ISNUMBER(FIND("*",B715)),ISNUMBER(FIND("?",B715)),ISNUMBER(FIND("~",B715))),0,IFERROR(MATCH(B715,Team!$A$11:$A$60,0),0))</ns0:f>
        <ns0:v>0</ns0:v>
      </ns0:c>
      <ns0:c r="D715" s="0" t="str">
        <ns0:f>IFERROR(IF(MID(Bookings!F715,LEN(Bookings!F715)-3,3)=" · ",RIGHT(Bookings!F715,1),""),"")</ns0:f>
        <ns0:v/>
      </ns0:c>
      <ns0:c r="E715" s="0" t="str">
        <ns0:f>IFERROR(INDEX(Settings!$H$7:$H$11,MATCH(D715,Settings!$G$7:$G$11,0)),"")</ns0:f>
        <ns0:v/>
      </ns0:c>
      <ns0:c r="F715" s="0" t="str">
        <ns0:f>IF(A715=0,"",IFERROR(IF(OR(B715="",C715=0),"CHECK employee selection",IF(INDEX(Team!$O$11:$O$60,C715)&lt;&gt;"OK","CHECK employee setup",IF(OR('_Dates'!J715=0,'_Dates'!T715=0),"CHECK date: use DD.MM.YYYY",IF('_Dates'!T715&lt;'_Dates'!J715,"CHECK end before start",IF(AND($B$6=0,OR('_Dates'!J715&lt;Settings!$B$7,'_Dates'!T715&gt;Settings!$B$8)),"CHECK split across leave years",IF(OR(NOT(OR('_Dates'!U715="Full day",'_Dates'!U715="AM",'_Dates'!U715="PM")),NOT(OR('_Dates'!V715="Full day",'_Dates'!V715="AM",'_Dates'!V715="PM"))),"CHECK Full day / AM / PM",IF(AND('_Dates'!J715='_Dates'!T715,'_Dates'!U715&lt;&gt;"Full day",'_Dates'!V715&lt;&gt;"Full day",'_Dates'!U715&lt;&gt;'_Dates'!V715),"CHECK same-day portions disagree",IF(AND($B$6=0,OR(AND('_Dates'!U715&lt;&gt;"Full day",'_Dates'!AA715=0),AND('_Dates'!V715&lt;&gt;"Full day",'_Dates'!AB715=0))),"CHECK half-day on non-working date",IF(COUNTIF(Settings!$G$7:$G$11,D715)&lt;&gt;1,"CHECK leave type",IF(AND(Bookings!G715&lt;&gt;"Approved",Bookings!G715&lt;&gt;"Pending",Bookings!G715&lt;&gt;"Cancelled"),"CHECK status","OK")))))))))),"CHECK input"))</ns0:f>
        <ns0:v/>
      </ns0:c>
      <ns0:c r="G715" s="0">
        <ns0:f>IF(OR(F715&lt;&gt;"OK",$B$6&gt;0),0,0.5*(IF(('_Dates'!X715)&lt;('_Dates'!W715),0,INT((('_Dates'!X715)-('_Dates'!W715)+1)/7)*LEN(SUBSTITUTE(W715,"O",""))+LEN(SUBSTITUTE(MID(W715&amp;W715,WEEKDAY(('_Dates'!W715),2),MOD((('_Dates'!X715)-('_Dates'!W715)+1),7)),"O",""))-COUNTIFS(INDEX(AllClosureRows,C715,0),"&gt;="&amp;('_Dates'!W715),INDEX(AllClosureRows,C715,0),"&lt;="&amp;('_Dates'!X715)))+IF(('_Dates'!Z715)&lt;('_Dates'!Y715),0,INT((('_Dates'!Z715)-('_Dates'!Y715)+1)/7)*LEN(SUBSTITUTE(W715,"O",""))+LEN(SUBSTITUTE(MID(W715&amp;W715,WEEKDAY(('_Dates'!Y715),2),MOD((('_Dates'!Z715)-('_Dates'!Y715)+1),7)),"O",""))-COUNTIFS(INDEX(AllClosureRows,C715,0),"&gt;="&amp;('_Dates'!Y715),INDEX(AllClosureRows,C715,0),"&lt;="&amp;('_Dates'!Z715)))))</ns0:f>
        <ns0:v>0</ns0:v>
      </ns0:c>
      <ns0:c r="H715" s="0">
        <ns0:f>IF(OR(F715&lt;&gt;"OK",$B$6&gt;0),0,0.5*(IF((MIN('_Dates'!X715,Settings!$B$9))&lt;('_Dates'!W715),0,INT(((MIN('_Dates'!X715,Settings!$B$9))-('_Dates'!W715)+1)/7)*LEN(SUBSTITUTE(W715,"O",""))+LEN(SUBSTITUTE(MID(W715&amp;W715,WEEKDAY(('_Dates'!W715),2),MOD(((MIN('_Dates'!X715,Settings!$B$9))-('_Dates'!W715)+1),7)),"O",""))-COUNTIFS(INDEX(AllClosureRows,C715,0),"&gt;="&amp;('_Dates'!W715),INDEX(AllClosureRows,C715,0),"&lt;="&amp;(MIN('_Dates'!X715,Settings!$B$9))))+IF((MIN('_Dates'!Z715,Settings!$B$9))&lt;('_Dates'!Y715),0,INT(((MIN('_Dates'!Z715,Settings!$B$9))-('_Dates'!Y715)+1)/7)*LEN(SUBSTITUTE(W715,"O",""))+LEN(SUBSTITUTE(MID(W715&amp;W715,WEEKDAY(('_Dates'!Y715),2),MOD(((MIN('_Dates'!Z715,Settings!$B$9))-('_Dates'!Y715)+1),7)),"O",""))-COUNTIFS(INDEX(AllClosureRows,C715,0),"&gt;="&amp;('_Dates'!Y715),INDEX(AllClosureRows,C715,0),"&lt;="&amp;(MIN('_Dates'!Z715,Settings!$B$9))))))</ns0:f>
        <ns0:v>0</ns0:v>
      </ns0:c>
      <ns0:c r="I715" s="0">
        <ns0:f>MAX(0,G715-H715)</ns0:f>
        <ns0:v>0</ns0:v>
      </ns0:c>
      <ns0:c r="J715" s="0">
        <ns0:f>IF(OR(A715=0,F715&lt;&gt;"OK",Bookings!G715="Cancelled",$B$6&gt;0),0,IF('_Dates'!AC715=1,MAX(0,COUNTIFS(rngEngine_B,B715,rngAMStart,"&lt;="&amp;'_Dates'!X715,rngAMEnd,"&gt;="&amp;'_Dates'!W715,rngAMActive,1,rngEngine_F,"OK",rngBookings_F,"&lt;&gt;Cancelled")-1),0)+IF('_Dates'!AD715=1,MAX(0,COUNTIFS(rngEngine_B,B715,rngPMStart,"&lt;="&amp;'_Dates'!Z715,rngPMEnd,"&gt;="&amp;'_Dates'!Y715,rngPMActive,1,rngEngine_F,"OK",rngBookings_F,"&lt;&gt;Cancelled")-1),0))</ns0:f>
        <ns0:v>0</ns0:v>
      </ns0:c>
      <ns0:c r="K715" s="0" t="str">
        <ns0:f>IF(A715=0,"",IF(F715&lt;&gt;"OK",F715,IF(J715&gt;0,"CHECK overlapping entry",IF(AND($B$6=0,G715&lt;=0,Bookings!G715&lt;&gt;"Cancelled"),"CHECK no working days",IF(Bookings!G715="Cancelled","Cancelled","OK")))))</ns0:f>
        <ns0:v/>
      </ns0:c>
      <ns0:c r="L715" s="0">
        <ns0:f>IF(LEFT(K715,5)="CHECK",1,0)</ns0:f>
        <ns0:v>0</ns0:v>
      </ns0:c>
      <ns0:c r="M715" s="0">
        <ns0:f>IF(AND(L715=1,OR(C715=0,IFERROR(INDEX($X$11:$X$60,C715),0)=0)),1,0)</ns0:f>
        <ns0:v>0</ns0:v>
      </ns0:c>
      <ns0:c r="N715" s="0">
        <ns0:f>IF(OR(A715=0,L715&gt;0,$B$6&gt;0,Bookings!G715="Cancelled"),0,G715)</ns0:f>
        <ns0:v>0</ns0:v>
      </ns0:c>
      <ns0:c r="O715" s="0">
        <ns0:f>IF(AND(Bookings!G715="Approved",E715="Yes"),N715,0)</ns0:f>
        <ns0:v>0</ns0:v>
      </ns0:c>
      <ns0:c r="P715" s="0">
        <ns0:f>IF(AND(Bookings!G715="Approved",E715="Yes",L715=0,$B$6=0),H715,0)</ns0:f>
        <ns0:v>0</ns0:v>
      </ns0:c>
      <ns0:c r="Q715" s="0">
        <ns0:f>IF(AND(Bookings!G715="Approved",E715="Yes",L715=0,$B$6=0),I715,0)</ns0:f>
        <ns0:v>0</ns0:v>
      </ns0:c>
      <ns0:c r="R715" s="0">
        <ns0:f>IF(AND(Bookings!G715="Pending",E715="Yes"),N715,0)</ns0:f>
        <ns0:v>0</ns0:v>
      </ns0:c>
      <ns0:c r="S715" s="0">
        <ns0:f>IF(AND(Bookings!G715="Approved",E715="No"),N715,0)</ns0:f>
        <ns0:v>0</ns0:v>
      </ns0:c>
      <ns0:c r="T715" s="0">
        <ns0:f>IFERROR(MATCH(D715,Settings!$G$7:$G$11,0),0)</ns0:f>
        <ns0:v>0</ns0:v>
      </ns0:c>
      <ns0:c r="U715" s="0">
        <ns0:f>IF(N715&gt;0,T715+IF(Bookings!G715="Pending",10,0),0)</ns0:f>
        <ns0:v>0</ns0:v>
      </ns0:c>
      <ns0:c r="V715" s="0">
        <ns0:f>U715</ns0:f>
        <ns0:v>0</ns0:v>
      </ns0:c>
      <ns0:c r="W715" s="0" t="str">
        <ns0:f>IF(C715=0,"",INDEX($AP$11:$AP$60,C715))</ns0:f>
        <ns0:v/>
      </ns0:c>
    </ns0:row>
    <ns0:row r="716">
      <ns0:c r="A716" s="0">
        <ns0:f>IF(COUNTA(Bookings!A716:G716,Bookings!I716)=0,0,1)</ns0:f>
        <ns0:v>0</ns0:v>
      </ns0:c>
      <ns0:c r="B716" s="0" t="str">
        <ns0:f>IFERROR(TRIM(MID(Bookings!A716,FIND(" · ",Bookings!A716)+3,99)),"")</ns0:f>
        <ns0:v/>
      </ns0:c>
      <ns0:c r="C716" s="0">
        <ns0:f>IF(OR(B716="",LEN(B716)&gt;24,ISNUMBER(FIND(" ",B716)),ISNUMBER(FIND("*",B716)),ISNUMBER(FIND("?",B716)),ISNUMBER(FIND("~",B716))),0,IFERROR(MATCH(B716,Team!$A$11:$A$60,0),0))</ns0:f>
        <ns0:v>0</ns0:v>
      </ns0:c>
      <ns0:c r="D716" s="0" t="str">
        <ns0:f>IFERROR(IF(MID(Bookings!F716,LEN(Bookings!F716)-3,3)=" · ",RIGHT(Bookings!F716,1),""),"")</ns0:f>
        <ns0:v/>
      </ns0:c>
      <ns0:c r="E716" s="0" t="str">
        <ns0:f>IFERROR(INDEX(Settings!$H$7:$H$11,MATCH(D716,Settings!$G$7:$G$11,0)),"")</ns0:f>
        <ns0:v/>
      </ns0:c>
      <ns0:c r="F716" s="0" t="str">
        <ns0:f>IF(A716=0,"",IFERROR(IF(OR(B716="",C716=0),"CHECK employee selection",IF(INDEX(Team!$O$11:$O$60,C716)&lt;&gt;"OK","CHECK employee setup",IF(OR('_Dates'!J716=0,'_Dates'!T716=0),"CHECK date: use DD.MM.YYYY",IF('_Dates'!T716&lt;'_Dates'!J716,"CHECK end before start",IF(AND($B$6=0,OR('_Dates'!J716&lt;Settings!$B$7,'_Dates'!T716&gt;Settings!$B$8)),"CHECK split across leave years",IF(OR(NOT(OR('_Dates'!U716="Full day",'_Dates'!U716="AM",'_Dates'!U716="PM")),NOT(OR('_Dates'!V716="Full day",'_Dates'!V716="AM",'_Dates'!V716="PM"))),"CHECK Full day / AM / PM",IF(AND('_Dates'!J716='_Dates'!T716,'_Dates'!U716&lt;&gt;"Full day",'_Dates'!V716&lt;&gt;"Full day",'_Dates'!U716&lt;&gt;'_Dates'!V716),"CHECK same-day portions disagree",IF(AND($B$6=0,OR(AND('_Dates'!U716&lt;&gt;"Full day",'_Dates'!AA716=0),AND('_Dates'!V716&lt;&gt;"Full day",'_Dates'!AB716=0))),"CHECK half-day on non-working date",IF(COUNTIF(Settings!$G$7:$G$11,D716)&lt;&gt;1,"CHECK leave type",IF(AND(Bookings!G716&lt;&gt;"Approved",Bookings!G716&lt;&gt;"Pending",Bookings!G716&lt;&gt;"Cancelled"),"CHECK status","OK")))))))))),"CHECK input"))</ns0:f>
        <ns0:v/>
      </ns0:c>
      <ns0:c r="G716" s="0">
        <ns0:f>IF(OR(F716&lt;&gt;"OK",$B$6&gt;0),0,0.5*(IF(('_Dates'!X716)&lt;('_Dates'!W716),0,INT((('_Dates'!X716)-('_Dates'!W716)+1)/7)*LEN(SUBSTITUTE(W716,"O",""))+LEN(SUBSTITUTE(MID(W716&amp;W716,WEEKDAY(('_Dates'!W716),2),MOD((('_Dates'!X716)-('_Dates'!W716)+1),7)),"O",""))-COUNTIFS(INDEX(AllClosureRows,C716,0),"&gt;="&amp;('_Dates'!W716),INDEX(AllClosureRows,C716,0),"&lt;="&amp;('_Dates'!X716)))+IF(('_Dates'!Z716)&lt;('_Dates'!Y716),0,INT((('_Dates'!Z716)-('_Dates'!Y716)+1)/7)*LEN(SUBSTITUTE(W716,"O",""))+LEN(SUBSTITUTE(MID(W716&amp;W716,WEEKDAY(('_Dates'!Y716),2),MOD((('_Dates'!Z716)-('_Dates'!Y716)+1),7)),"O",""))-COUNTIFS(INDEX(AllClosureRows,C716,0),"&gt;="&amp;('_Dates'!Y716),INDEX(AllClosureRows,C716,0),"&lt;="&amp;('_Dates'!Z716)))))</ns0:f>
        <ns0:v>0</ns0:v>
      </ns0:c>
      <ns0:c r="H716" s="0">
        <ns0:f>IF(OR(F716&lt;&gt;"OK",$B$6&gt;0),0,0.5*(IF((MIN('_Dates'!X716,Settings!$B$9))&lt;('_Dates'!W716),0,INT(((MIN('_Dates'!X716,Settings!$B$9))-('_Dates'!W716)+1)/7)*LEN(SUBSTITUTE(W716,"O",""))+LEN(SUBSTITUTE(MID(W716&amp;W716,WEEKDAY(('_Dates'!W716),2),MOD(((MIN('_Dates'!X716,Settings!$B$9))-('_Dates'!W716)+1),7)),"O",""))-COUNTIFS(INDEX(AllClosureRows,C716,0),"&gt;="&amp;('_Dates'!W716),INDEX(AllClosureRows,C716,0),"&lt;="&amp;(MIN('_Dates'!X716,Settings!$B$9))))+IF((MIN('_Dates'!Z716,Settings!$B$9))&lt;('_Dates'!Y716),0,INT(((MIN('_Dates'!Z716,Settings!$B$9))-('_Dates'!Y716)+1)/7)*LEN(SUBSTITUTE(W716,"O",""))+LEN(SUBSTITUTE(MID(W716&amp;W716,WEEKDAY(('_Dates'!Y716),2),MOD(((MIN('_Dates'!Z716,Settings!$B$9))-('_Dates'!Y716)+1),7)),"O",""))-COUNTIFS(INDEX(AllClosureRows,C716,0),"&gt;="&amp;('_Dates'!Y716),INDEX(AllClosureRows,C716,0),"&lt;="&amp;(MIN('_Dates'!Z716,Settings!$B$9))))))</ns0:f>
        <ns0:v>0</ns0:v>
      </ns0:c>
      <ns0:c r="I716" s="0">
        <ns0:f>MAX(0,G716-H716)</ns0:f>
        <ns0:v>0</ns0:v>
      </ns0:c>
      <ns0:c r="J716" s="0">
        <ns0:f>IF(OR(A716=0,F716&lt;&gt;"OK",Bookings!G716="Cancelled",$B$6&gt;0),0,IF('_Dates'!AC716=1,MAX(0,COUNTIFS(rngEngine_B,B716,rngAMStart,"&lt;="&amp;'_Dates'!X716,rngAMEnd,"&gt;="&amp;'_Dates'!W716,rngAMActive,1,rngEngine_F,"OK",rngBookings_F,"&lt;&gt;Cancelled")-1),0)+IF('_Dates'!AD716=1,MAX(0,COUNTIFS(rngEngine_B,B716,rngPMStart,"&lt;="&amp;'_Dates'!Z716,rngPMEnd,"&gt;="&amp;'_Dates'!Y716,rngPMActive,1,rngEngine_F,"OK",rngBookings_F,"&lt;&gt;Cancelled")-1),0))</ns0:f>
        <ns0:v>0</ns0:v>
      </ns0:c>
      <ns0:c r="K716" s="0" t="str">
        <ns0:f>IF(A716=0,"",IF(F716&lt;&gt;"OK",F716,IF(J716&gt;0,"CHECK overlapping entry",IF(AND($B$6=0,G716&lt;=0,Bookings!G716&lt;&gt;"Cancelled"),"CHECK no working days",IF(Bookings!G716="Cancelled","Cancelled","OK")))))</ns0:f>
        <ns0:v/>
      </ns0:c>
      <ns0:c r="L716" s="0">
        <ns0:f>IF(LEFT(K716,5)="CHECK",1,0)</ns0:f>
        <ns0:v>0</ns0:v>
      </ns0:c>
      <ns0:c r="M716" s="0">
        <ns0:f>IF(AND(L716=1,OR(C716=0,IFERROR(INDEX($X$11:$X$60,C716),0)=0)),1,0)</ns0:f>
        <ns0:v>0</ns0:v>
      </ns0:c>
      <ns0:c r="N716" s="0">
        <ns0:f>IF(OR(A716=0,L716&gt;0,$B$6&gt;0,Bookings!G716="Cancelled"),0,G716)</ns0:f>
        <ns0:v>0</ns0:v>
      </ns0:c>
      <ns0:c r="O716" s="0">
        <ns0:f>IF(AND(Bookings!G716="Approved",E716="Yes"),N716,0)</ns0:f>
        <ns0:v>0</ns0:v>
      </ns0:c>
      <ns0:c r="P716" s="0">
        <ns0:f>IF(AND(Bookings!G716="Approved",E716="Yes",L716=0,$B$6=0),H716,0)</ns0:f>
        <ns0:v>0</ns0:v>
      </ns0:c>
      <ns0:c r="Q716" s="0">
        <ns0:f>IF(AND(Bookings!G716="Approved",E716="Yes",L716=0,$B$6=0),I716,0)</ns0:f>
        <ns0:v>0</ns0:v>
      </ns0:c>
      <ns0:c r="R716" s="0">
        <ns0:f>IF(AND(Bookings!G716="Pending",E716="Yes"),N716,0)</ns0:f>
        <ns0:v>0</ns0:v>
      </ns0:c>
      <ns0:c r="S716" s="0">
        <ns0:f>IF(AND(Bookings!G716="Approved",E716="No"),N716,0)</ns0:f>
        <ns0:v>0</ns0:v>
      </ns0:c>
      <ns0:c r="T716" s="0">
        <ns0:f>IFERROR(MATCH(D716,Settings!$G$7:$G$11,0),0)</ns0:f>
        <ns0:v>0</ns0:v>
      </ns0:c>
      <ns0:c r="U716" s="0">
        <ns0:f>IF(N716&gt;0,T716+IF(Bookings!G716="Pending",10,0),0)</ns0:f>
        <ns0:v>0</ns0:v>
      </ns0:c>
      <ns0:c r="V716" s="0">
        <ns0:f>U716</ns0:f>
        <ns0:v>0</ns0:v>
      </ns0:c>
      <ns0:c r="W716" s="0" t="str">
        <ns0:f>IF(C716=0,"",INDEX($AP$11:$AP$60,C716))</ns0:f>
        <ns0:v/>
      </ns0:c>
    </ns0:row>
    <ns0:row r="717">
      <ns0:c r="A717" s="0">
        <ns0:f>IF(COUNTA(Bookings!A717:G717,Bookings!I717)=0,0,1)</ns0:f>
        <ns0:v>0</ns0:v>
      </ns0:c>
      <ns0:c r="B717" s="0" t="str">
        <ns0:f>IFERROR(TRIM(MID(Bookings!A717,FIND(" · ",Bookings!A717)+3,99)),"")</ns0:f>
        <ns0:v/>
      </ns0:c>
      <ns0:c r="C717" s="0">
        <ns0:f>IF(OR(B717="",LEN(B717)&gt;24,ISNUMBER(FIND(" ",B717)),ISNUMBER(FIND("*",B717)),ISNUMBER(FIND("?",B717)),ISNUMBER(FIND("~",B717))),0,IFERROR(MATCH(B717,Team!$A$11:$A$60,0),0))</ns0:f>
        <ns0:v>0</ns0:v>
      </ns0:c>
      <ns0:c r="D717" s="0" t="str">
        <ns0:f>IFERROR(IF(MID(Bookings!F717,LEN(Bookings!F717)-3,3)=" · ",RIGHT(Bookings!F717,1),""),"")</ns0:f>
        <ns0:v/>
      </ns0:c>
      <ns0:c r="E717" s="0" t="str">
        <ns0:f>IFERROR(INDEX(Settings!$H$7:$H$11,MATCH(D717,Settings!$G$7:$G$11,0)),"")</ns0:f>
        <ns0:v/>
      </ns0:c>
      <ns0:c r="F717" s="0" t="str">
        <ns0:f>IF(A717=0,"",IFERROR(IF(OR(B717="",C717=0),"CHECK employee selection",IF(INDEX(Team!$O$11:$O$60,C717)&lt;&gt;"OK","CHECK employee setup",IF(OR('_Dates'!J717=0,'_Dates'!T717=0),"CHECK date: use DD.MM.YYYY",IF('_Dates'!T717&lt;'_Dates'!J717,"CHECK end before start",IF(AND($B$6=0,OR('_Dates'!J717&lt;Settings!$B$7,'_Dates'!T717&gt;Settings!$B$8)),"CHECK split across leave years",IF(OR(NOT(OR('_Dates'!U717="Full day",'_Dates'!U717="AM",'_Dates'!U717="PM")),NOT(OR('_Dates'!V717="Full day",'_Dates'!V717="AM",'_Dates'!V717="PM"))),"CHECK Full day / AM / PM",IF(AND('_Dates'!J717='_Dates'!T717,'_Dates'!U717&lt;&gt;"Full day",'_Dates'!V717&lt;&gt;"Full day",'_Dates'!U717&lt;&gt;'_Dates'!V717),"CHECK same-day portions disagree",IF(AND($B$6=0,OR(AND('_Dates'!U717&lt;&gt;"Full day",'_Dates'!AA717=0),AND('_Dates'!V717&lt;&gt;"Full day",'_Dates'!AB717=0))),"CHECK half-day on non-working date",IF(COUNTIF(Settings!$G$7:$G$11,D717)&lt;&gt;1,"CHECK leave type",IF(AND(Bookings!G717&lt;&gt;"Approved",Bookings!G717&lt;&gt;"Pending",Bookings!G717&lt;&gt;"Cancelled"),"CHECK status","OK")))))))))),"CHECK input"))</ns0:f>
        <ns0:v/>
      </ns0:c>
      <ns0:c r="G717" s="0">
        <ns0:f>IF(OR(F717&lt;&gt;"OK",$B$6&gt;0),0,0.5*(IF(('_Dates'!X717)&lt;('_Dates'!W717),0,INT((('_Dates'!X717)-('_Dates'!W717)+1)/7)*LEN(SUBSTITUTE(W717,"O",""))+LEN(SUBSTITUTE(MID(W717&amp;W717,WEEKDAY(('_Dates'!W717),2),MOD((('_Dates'!X717)-('_Dates'!W717)+1),7)),"O",""))-COUNTIFS(INDEX(AllClosureRows,C717,0),"&gt;="&amp;('_Dates'!W717),INDEX(AllClosureRows,C717,0),"&lt;="&amp;('_Dates'!X717)))+IF(('_Dates'!Z717)&lt;('_Dates'!Y717),0,INT((('_Dates'!Z717)-('_Dates'!Y717)+1)/7)*LEN(SUBSTITUTE(W717,"O",""))+LEN(SUBSTITUTE(MID(W717&amp;W717,WEEKDAY(('_Dates'!Y717),2),MOD((('_Dates'!Z717)-('_Dates'!Y717)+1),7)),"O",""))-COUNTIFS(INDEX(AllClosureRows,C717,0),"&gt;="&amp;('_Dates'!Y717),INDEX(AllClosureRows,C717,0),"&lt;="&amp;('_Dates'!Z717)))))</ns0:f>
        <ns0:v>0</ns0:v>
      </ns0:c>
      <ns0:c r="H717" s="0">
        <ns0:f>IF(OR(F717&lt;&gt;"OK",$B$6&gt;0),0,0.5*(IF((MIN('_Dates'!X717,Settings!$B$9))&lt;('_Dates'!W717),0,INT(((MIN('_Dates'!X717,Settings!$B$9))-('_Dates'!W717)+1)/7)*LEN(SUBSTITUTE(W717,"O",""))+LEN(SUBSTITUTE(MID(W717&amp;W717,WEEKDAY(('_Dates'!W717),2),MOD(((MIN('_Dates'!X717,Settings!$B$9))-('_Dates'!W717)+1),7)),"O",""))-COUNTIFS(INDEX(AllClosureRows,C717,0),"&gt;="&amp;('_Dates'!W717),INDEX(AllClosureRows,C717,0),"&lt;="&amp;(MIN('_Dates'!X717,Settings!$B$9))))+IF((MIN('_Dates'!Z717,Settings!$B$9))&lt;('_Dates'!Y717),0,INT(((MIN('_Dates'!Z717,Settings!$B$9))-('_Dates'!Y717)+1)/7)*LEN(SUBSTITUTE(W717,"O",""))+LEN(SUBSTITUTE(MID(W717&amp;W717,WEEKDAY(('_Dates'!Y717),2),MOD(((MIN('_Dates'!Z717,Settings!$B$9))-('_Dates'!Y717)+1),7)),"O",""))-COUNTIFS(INDEX(AllClosureRows,C717,0),"&gt;="&amp;('_Dates'!Y717),INDEX(AllClosureRows,C717,0),"&lt;="&amp;(MIN('_Dates'!Z717,Settings!$B$9))))))</ns0:f>
        <ns0:v>0</ns0:v>
      </ns0:c>
      <ns0:c r="I717" s="0">
        <ns0:f>MAX(0,G717-H717)</ns0:f>
        <ns0:v>0</ns0:v>
      </ns0:c>
      <ns0:c r="J717" s="0">
        <ns0:f>IF(OR(A717=0,F717&lt;&gt;"OK",Bookings!G717="Cancelled",$B$6&gt;0),0,IF('_Dates'!AC717=1,MAX(0,COUNTIFS(rngEngine_B,B717,rngAMStart,"&lt;="&amp;'_Dates'!X717,rngAMEnd,"&gt;="&amp;'_Dates'!W717,rngAMActive,1,rngEngine_F,"OK",rngBookings_F,"&lt;&gt;Cancelled")-1),0)+IF('_Dates'!AD717=1,MAX(0,COUNTIFS(rngEngine_B,B717,rngPMStart,"&lt;="&amp;'_Dates'!Z717,rngPMEnd,"&gt;="&amp;'_Dates'!Y717,rngPMActive,1,rngEngine_F,"OK",rngBookings_F,"&lt;&gt;Cancelled")-1),0))</ns0:f>
        <ns0:v>0</ns0:v>
      </ns0:c>
      <ns0:c r="K717" s="0" t="str">
        <ns0:f>IF(A717=0,"",IF(F717&lt;&gt;"OK",F717,IF(J717&gt;0,"CHECK overlapping entry",IF(AND($B$6=0,G717&lt;=0,Bookings!G717&lt;&gt;"Cancelled"),"CHECK no working days",IF(Bookings!G717="Cancelled","Cancelled","OK")))))</ns0:f>
        <ns0:v/>
      </ns0:c>
      <ns0:c r="L717" s="0">
        <ns0:f>IF(LEFT(K717,5)="CHECK",1,0)</ns0:f>
        <ns0:v>0</ns0:v>
      </ns0:c>
      <ns0:c r="M717" s="0">
        <ns0:f>IF(AND(L717=1,OR(C717=0,IFERROR(INDEX($X$11:$X$60,C717),0)=0)),1,0)</ns0:f>
        <ns0:v>0</ns0:v>
      </ns0:c>
      <ns0:c r="N717" s="0">
        <ns0:f>IF(OR(A717=0,L717&gt;0,$B$6&gt;0,Bookings!G717="Cancelled"),0,G717)</ns0:f>
        <ns0:v>0</ns0:v>
      </ns0:c>
      <ns0:c r="O717" s="0">
        <ns0:f>IF(AND(Bookings!G717="Approved",E717="Yes"),N717,0)</ns0:f>
        <ns0:v>0</ns0:v>
      </ns0:c>
      <ns0:c r="P717" s="0">
        <ns0:f>IF(AND(Bookings!G717="Approved",E717="Yes",L717=0,$B$6=0),H717,0)</ns0:f>
        <ns0:v>0</ns0:v>
      </ns0:c>
      <ns0:c r="Q717" s="0">
        <ns0:f>IF(AND(Bookings!G717="Approved",E717="Yes",L717=0,$B$6=0),I717,0)</ns0:f>
        <ns0:v>0</ns0:v>
      </ns0:c>
      <ns0:c r="R717" s="0">
        <ns0:f>IF(AND(Bookings!G717="Pending",E717="Yes"),N717,0)</ns0:f>
        <ns0:v>0</ns0:v>
      </ns0:c>
      <ns0:c r="S717" s="0">
        <ns0:f>IF(AND(Bookings!G717="Approved",E717="No"),N717,0)</ns0:f>
        <ns0:v>0</ns0:v>
      </ns0:c>
      <ns0:c r="T717" s="0">
        <ns0:f>IFERROR(MATCH(D717,Settings!$G$7:$G$11,0),0)</ns0:f>
        <ns0:v>0</ns0:v>
      </ns0:c>
      <ns0:c r="U717" s="0">
        <ns0:f>IF(N717&gt;0,T717+IF(Bookings!G717="Pending",10,0),0)</ns0:f>
        <ns0:v>0</ns0:v>
      </ns0:c>
      <ns0:c r="V717" s="0">
        <ns0:f>U717</ns0:f>
        <ns0:v>0</ns0:v>
      </ns0:c>
      <ns0:c r="W717" s="0" t="str">
        <ns0:f>IF(C717=0,"",INDEX($AP$11:$AP$60,C717))</ns0:f>
        <ns0:v/>
      </ns0:c>
    </ns0:row>
    <ns0:row r="718">
      <ns0:c r="A718" s="0">
        <ns0:f>IF(COUNTA(Bookings!A718:G718,Bookings!I718)=0,0,1)</ns0:f>
        <ns0:v>0</ns0:v>
      </ns0:c>
      <ns0:c r="B718" s="0" t="str">
        <ns0:f>IFERROR(TRIM(MID(Bookings!A718,FIND(" · ",Bookings!A718)+3,99)),"")</ns0:f>
        <ns0:v/>
      </ns0:c>
      <ns0:c r="C718" s="0">
        <ns0:f>IF(OR(B718="",LEN(B718)&gt;24,ISNUMBER(FIND(" ",B718)),ISNUMBER(FIND("*",B718)),ISNUMBER(FIND("?",B718)),ISNUMBER(FIND("~",B718))),0,IFERROR(MATCH(B718,Team!$A$11:$A$60,0),0))</ns0:f>
        <ns0:v>0</ns0:v>
      </ns0:c>
      <ns0:c r="D718" s="0" t="str">
        <ns0:f>IFERROR(IF(MID(Bookings!F718,LEN(Bookings!F718)-3,3)=" · ",RIGHT(Bookings!F718,1),""),"")</ns0:f>
        <ns0:v/>
      </ns0:c>
      <ns0:c r="E718" s="0" t="str">
        <ns0:f>IFERROR(INDEX(Settings!$H$7:$H$11,MATCH(D718,Settings!$G$7:$G$11,0)),"")</ns0:f>
        <ns0:v/>
      </ns0:c>
      <ns0:c r="F718" s="0" t="str">
        <ns0:f>IF(A718=0,"",IFERROR(IF(OR(B718="",C718=0),"CHECK employee selection",IF(INDEX(Team!$O$11:$O$60,C718)&lt;&gt;"OK","CHECK employee setup",IF(OR('_Dates'!J718=0,'_Dates'!T718=0),"CHECK date: use DD.MM.YYYY",IF('_Dates'!T718&lt;'_Dates'!J718,"CHECK end before start",IF(AND($B$6=0,OR('_Dates'!J718&lt;Settings!$B$7,'_Dates'!T718&gt;Settings!$B$8)),"CHECK split across leave years",IF(OR(NOT(OR('_Dates'!U718="Full day",'_Dates'!U718="AM",'_Dates'!U718="PM")),NOT(OR('_Dates'!V718="Full day",'_Dates'!V718="AM",'_Dates'!V718="PM"))),"CHECK Full day / AM / PM",IF(AND('_Dates'!J718='_Dates'!T718,'_Dates'!U718&lt;&gt;"Full day",'_Dates'!V718&lt;&gt;"Full day",'_Dates'!U718&lt;&gt;'_Dates'!V718),"CHECK same-day portions disagree",IF(AND($B$6=0,OR(AND('_Dates'!U718&lt;&gt;"Full day",'_Dates'!AA718=0),AND('_Dates'!V718&lt;&gt;"Full day",'_Dates'!AB718=0))),"CHECK half-day on non-working date",IF(COUNTIF(Settings!$G$7:$G$11,D718)&lt;&gt;1,"CHECK leave type",IF(AND(Bookings!G718&lt;&gt;"Approved",Bookings!G718&lt;&gt;"Pending",Bookings!G718&lt;&gt;"Cancelled"),"CHECK status","OK")))))))))),"CHECK input"))</ns0:f>
        <ns0:v/>
      </ns0:c>
      <ns0:c r="G718" s="0">
        <ns0:f>IF(OR(F718&lt;&gt;"OK",$B$6&gt;0),0,0.5*(IF(('_Dates'!X718)&lt;('_Dates'!W718),0,INT((('_Dates'!X718)-('_Dates'!W718)+1)/7)*LEN(SUBSTITUTE(W718,"O",""))+LEN(SUBSTITUTE(MID(W718&amp;W718,WEEKDAY(('_Dates'!W718),2),MOD((('_Dates'!X718)-('_Dates'!W718)+1),7)),"O",""))-COUNTIFS(INDEX(AllClosureRows,C718,0),"&gt;="&amp;('_Dates'!W718),INDEX(AllClosureRows,C718,0),"&lt;="&amp;('_Dates'!X718)))+IF(('_Dates'!Z718)&lt;('_Dates'!Y718),0,INT((('_Dates'!Z718)-('_Dates'!Y718)+1)/7)*LEN(SUBSTITUTE(W718,"O",""))+LEN(SUBSTITUTE(MID(W718&amp;W718,WEEKDAY(('_Dates'!Y718),2),MOD((('_Dates'!Z718)-('_Dates'!Y718)+1),7)),"O",""))-COUNTIFS(INDEX(AllClosureRows,C718,0),"&gt;="&amp;('_Dates'!Y718),INDEX(AllClosureRows,C718,0),"&lt;="&amp;('_Dates'!Z718)))))</ns0:f>
        <ns0:v>0</ns0:v>
      </ns0:c>
      <ns0:c r="H718" s="0">
        <ns0:f>IF(OR(F718&lt;&gt;"OK",$B$6&gt;0),0,0.5*(IF((MIN('_Dates'!X718,Settings!$B$9))&lt;('_Dates'!W718),0,INT(((MIN('_Dates'!X718,Settings!$B$9))-('_Dates'!W718)+1)/7)*LEN(SUBSTITUTE(W718,"O",""))+LEN(SUBSTITUTE(MID(W718&amp;W718,WEEKDAY(('_Dates'!W718),2),MOD(((MIN('_Dates'!X718,Settings!$B$9))-('_Dates'!W718)+1),7)),"O",""))-COUNTIFS(INDEX(AllClosureRows,C718,0),"&gt;="&amp;('_Dates'!W718),INDEX(AllClosureRows,C718,0),"&lt;="&amp;(MIN('_Dates'!X718,Settings!$B$9))))+IF((MIN('_Dates'!Z718,Settings!$B$9))&lt;('_Dates'!Y718),0,INT(((MIN('_Dates'!Z718,Settings!$B$9))-('_Dates'!Y718)+1)/7)*LEN(SUBSTITUTE(W718,"O",""))+LEN(SUBSTITUTE(MID(W718&amp;W718,WEEKDAY(('_Dates'!Y718),2),MOD(((MIN('_Dates'!Z718,Settings!$B$9))-('_Dates'!Y718)+1),7)),"O",""))-COUNTIFS(INDEX(AllClosureRows,C718,0),"&gt;="&amp;('_Dates'!Y718),INDEX(AllClosureRows,C718,0),"&lt;="&amp;(MIN('_Dates'!Z718,Settings!$B$9))))))</ns0:f>
        <ns0:v>0</ns0:v>
      </ns0:c>
      <ns0:c r="I718" s="0">
        <ns0:f>MAX(0,G718-H718)</ns0:f>
        <ns0:v>0</ns0:v>
      </ns0:c>
      <ns0:c r="J718" s="0">
        <ns0:f>IF(OR(A718=0,F718&lt;&gt;"OK",Bookings!G718="Cancelled",$B$6&gt;0),0,IF('_Dates'!AC718=1,MAX(0,COUNTIFS(rngEngine_B,B718,rngAMStart,"&lt;="&amp;'_Dates'!X718,rngAMEnd,"&gt;="&amp;'_Dates'!W718,rngAMActive,1,rngEngine_F,"OK",rngBookings_F,"&lt;&gt;Cancelled")-1),0)+IF('_Dates'!AD718=1,MAX(0,COUNTIFS(rngEngine_B,B718,rngPMStart,"&lt;="&amp;'_Dates'!Z718,rngPMEnd,"&gt;="&amp;'_Dates'!Y718,rngPMActive,1,rngEngine_F,"OK",rngBookings_F,"&lt;&gt;Cancelled")-1),0))</ns0:f>
        <ns0:v>0</ns0:v>
      </ns0:c>
      <ns0:c r="K718" s="0" t="str">
        <ns0:f>IF(A718=0,"",IF(F718&lt;&gt;"OK",F718,IF(J718&gt;0,"CHECK overlapping entry",IF(AND($B$6=0,G718&lt;=0,Bookings!G718&lt;&gt;"Cancelled"),"CHECK no working days",IF(Bookings!G718="Cancelled","Cancelled","OK")))))</ns0:f>
        <ns0:v/>
      </ns0:c>
      <ns0:c r="L718" s="0">
        <ns0:f>IF(LEFT(K718,5)="CHECK",1,0)</ns0:f>
        <ns0:v>0</ns0:v>
      </ns0:c>
      <ns0:c r="M718" s="0">
        <ns0:f>IF(AND(L718=1,OR(C718=0,IFERROR(INDEX($X$11:$X$60,C718),0)=0)),1,0)</ns0:f>
        <ns0:v>0</ns0:v>
      </ns0:c>
      <ns0:c r="N718" s="0">
        <ns0:f>IF(OR(A718=0,L718&gt;0,$B$6&gt;0,Bookings!G718="Cancelled"),0,G718)</ns0:f>
        <ns0:v>0</ns0:v>
      </ns0:c>
      <ns0:c r="O718" s="0">
        <ns0:f>IF(AND(Bookings!G718="Approved",E718="Yes"),N718,0)</ns0:f>
        <ns0:v>0</ns0:v>
      </ns0:c>
      <ns0:c r="P718" s="0">
        <ns0:f>IF(AND(Bookings!G718="Approved",E718="Yes",L718=0,$B$6=0),H718,0)</ns0:f>
        <ns0:v>0</ns0:v>
      </ns0:c>
      <ns0:c r="Q718" s="0">
        <ns0:f>IF(AND(Bookings!G718="Approved",E718="Yes",L718=0,$B$6=0),I718,0)</ns0:f>
        <ns0:v>0</ns0:v>
      </ns0:c>
      <ns0:c r="R718" s="0">
        <ns0:f>IF(AND(Bookings!G718="Pending",E718="Yes"),N718,0)</ns0:f>
        <ns0:v>0</ns0:v>
      </ns0:c>
      <ns0:c r="S718" s="0">
        <ns0:f>IF(AND(Bookings!G718="Approved",E718="No"),N718,0)</ns0:f>
        <ns0:v>0</ns0:v>
      </ns0:c>
      <ns0:c r="T718" s="0">
        <ns0:f>IFERROR(MATCH(D718,Settings!$G$7:$G$11,0),0)</ns0:f>
        <ns0:v>0</ns0:v>
      </ns0:c>
      <ns0:c r="U718" s="0">
        <ns0:f>IF(N718&gt;0,T718+IF(Bookings!G718="Pending",10,0),0)</ns0:f>
        <ns0:v>0</ns0:v>
      </ns0:c>
      <ns0:c r="V718" s="0">
        <ns0:f>U718</ns0:f>
        <ns0:v>0</ns0:v>
      </ns0:c>
      <ns0:c r="W718" s="0" t="str">
        <ns0:f>IF(C718=0,"",INDEX($AP$11:$AP$60,C718))</ns0:f>
        <ns0:v/>
      </ns0:c>
    </ns0:row>
    <ns0:row r="719">
      <ns0:c r="A719" s="0">
        <ns0:f>IF(COUNTA(Bookings!A719:G719,Bookings!I719)=0,0,1)</ns0:f>
        <ns0:v>0</ns0:v>
      </ns0:c>
      <ns0:c r="B719" s="0" t="str">
        <ns0:f>IFERROR(TRIM(MID(Bookings!A719,FIND(" · ",Bookings!A719)+3,99)),"")</ns0:f>
        <ns0:v/>
      </ns0:c>
      <ns0:c r="C719" s="0">
        <ns0:f>IF(OR(B719="",LEN(B719)&gt;24,ISNUMBER(FIND(" ",B719)),ISNUMBER(FIND("*",B719)),ISNUMBER(FIND("?",B719)),ISNUMBER(FIND("~",B719))),0,IFERROR(MATCH(B719,Team!$A$11:$A$60,0),0))</ns0:f>
        <ns0:v>0</ns0:v>
      </ns0:c>
      <ns0:c r="D719" s="0" t="str">
        <ns0:f>IFERROR(IF(MID(Bookings!F719,LEN(Bookings!F719)-3,3)=" · ",RIGHT(Bookings!F719,1),""),"")</ns0:f>
        <ns0:v/>
      </ns0:c>
      <ns0:c r="E719" s="0" t="str">
        <ns0:f>IFERROR(INDEX(Settings!$H$7:$H$11,MATCH(D719,Settings!$G$7:$G$11,0)),"")</ns0:f>
        <ns0:v/>
      </ns0:c>
      <ns0:c r="F719" s="0" t="str">
        <ns0:f>IF(A719=0,"",IFERROR(IF(OR(B719="",C719=0),"CHECK employee selection",IF(INDEX(Team!$O$11:$O$60,C719)&lt;&gt;"OK","CHECK employee setup",IF(OR('_Dates'!J719=0,'_Dates'!T719=0),"CHECK date: use DD.MM.YYYY",IF('_Dates'!T719&lt;'_Dates'!J719,"CHECK end before start",IF(AND($B$6=0,OR('_Dates'!J719&lt;Settings!$B$7,'_Dates'!T719&gt;Settings!$B$8)),"CHECK split across leave years",IF(OR(NOT(OR('_Dates'!U719="Full day",'_Dates'!U719="AM",'_Dates'!U719="PM")),NOT(OR('_Dates'!V719="Full day",'_Dates'!V719="AM",'_Dates'!V719="PM"))),"CHECK Full day / AM / PM",IF(AND('_Dates'!J719='_Dates'!T719,'_Dates'!U719&lt;&gt;"Full day",'_Dates'!V719&lt;&gt;"Full day",'_Dates'!U719&lt;&gt;'_Dates'!V719),"CHECK same-day portions disagree",IF(AND($B$6=0,OR(AND('_Dates'!U719&lt;&gt;"Full day",'_Dates'!AA719=0),AND('_Dates'!V719&lt;&gt;"Full day",'_Dates'!AB719=0))),"CHECK half-day on non-working date",IF(COUNTIF(Settings!$G$7:$G$11,D719)&lt;&gt;1,"CHECK leave type",IF(AND(Bookings!G719&lt;&gt;"Approved",Bookings!G719&lt;&gt;"Pending",Bookings!G719&lt;&gt;"Cancelled"),"CHECK status","OK")))))))))),"CHECK input"))</ns0:f>
        <ns0:v/>
      </ns0:c>
      <ns0:c r="G719" s="0">
        <ns0:f>IF(OR(F719&lt;&gt;"OK",$B$6&gt;0),0,0.5*(IF(('_Dates'!X719)&lt;('_Dates'!W719),0,INT((('_Dates'!X719)-('_Dates'!W719)+1)/7)*LEN(SUBSTITUTE(W719,"O",""))+LEN(SUBSTITUTE(MID(W719&amp;W719,WEEKDAY(('_Dates'!W719),2),MOD((('_Dates'!X719)-('_Dates'!W719)+1),7)),"O",""))-COUNTIFS(INDEX(AllClosureRows,C719,0),"&gt;="&amp;('_Dates'!W719),INDEX(AllClosureRows,C719,0),"&lt;="&amp;('_Dates'!X719)))+IF(('_Dates'!Z719)&lt;('_Dates'!Y719),0,INT((('_Dates'!Z719)-('_Dates'!Y719)+1)/7)*LEN(SUBSTITUTE(W719,"O",""))+LEN(SUBSTITUTE(MID(W719&amp;W719,WEEKDAY(('_Dates'!Y719),2),MOD((('_Dates'!Z719)-('_Dates'!Y719)+1),7)),"O",""))-COUNTIFS(INDEX(AllClosureRows,C719,0),"&gt;="&amp;('_Dates'!Y719),INDEX(AllClosureRows,C719,0),"&lt;="&amp;('_Dates'!Z719)))))</ns0:f>
        <ns0:v>0</ns0:v>
      </ns0:c>
      <ns0:c r="H719" s="0">
        <ns0:f>IF(OR(F719&lt;&gt;"OK",$B$6&gt;0),0,0.5*(IF((MIN('_Dates'!X719,Settings!$B$9))&lt;('_Dates'!W719),0,INT(((MIN('_Dates'!X719,Settings!$B$9))-('_Dates'!W719)+1)/7)*LEN(SUBSTITUTE(W719,"O",""))+LEN(SUBSTITUTE(MID(W719&amp;W719,WEEKDAY(('_Dates'!W719),2),MOD(((MIN('_Dates'!X719,Settings!$B$9))-('_Dates'!W719)+1),7)),"O",""))-COUNTIFS(INDEX(AllClosureRows,C719,0),"&gt;="&amp;('_Dates'!W719),INDEX(AllClosureRows,C719,0),"&lt;="&amp;(MIN('_Dates'!X719,Settings!$B$9))))+IF((MIN('_Dates'!Z719,Settings!$B$9))&lt;('_Dates'!Y719),0,INT(((MIN('_Dates'!Z719,Settings!$B$9))-('_Dates'!Y719)+1)/7)*LEN(SUBSTITUTE(W719,"O",""))+LEN(SUBSTITUTE(MID(W719&amp;W719,WEEKDAY(('_Dates'!Y719),2),MOD(((MIN('_Dates'!Z719,Settings!$B$9))-('_Dates'!Y719)+1),7)),"O",""))-COUNTIFS(INDEX(AllClosureRows,C719,0),"&gt;="&amp;('_Dates'!Y719),INDEX(AllClosureRows,C719,0),"&lt;="&amp;(MIN('_Dates'!Z719,Settings!$B$9))))))</ns0:f>
        <ns0:v>0</ns0:v>
      </ns0:c>
      <ns0:c r="I719" s="0">
        <ns0:f>MAX(0,G719-H719)</ns0:f>
        <ns0:v>0</ns0:v>
      </ns0:c>
      <ns0:c r="J719" s="0">
        <ns0:f>IF(OR(A719=0,F719&lt;&gt;"OK",Bookings!G719="Cancelled",$B$6&gt;0),0,IF('_Dates'!AC719=1,MAX(0,COUNTIFS(rngEngine_B,B719,rngAMStart,"&lt;="&amp;'_Dates'!X719,rngAMEnd,"&gt;="&amp;'_Dates'!W719,rngAMActive,1,rngEngine_F,"OK",rngBookings_F,"&lt;&gt;Cancelled")-1),0)+IF('_Dates'!AD719=1,MAX(0,COUNTIFS(rngEngine_B,B719,rngPMStart,"&lt;="&amp;'_Dates'!Z719,rngPMEnd,"&gt;="&amp;'_Dates'!Y719,rngPMActive,1,rngEngine_F,"OK",rngBookings_F,"&lt;&gt;Cancelled")-1),0))</ns0:f>
        <ns0:v>0</ns0:v>
      </ns0:c>
      <ns0:c r="K719" s="0" t="str">
        <ns0:f>IF(A719=0,"",IF(F719&lt;&gt;"OK",F719,IF(J719&gt;0,"CHECK overlapping entry",IF(AND($B$6=0,G719&lt;=0,Bookings!G719&lt;&gt;"Cancelled"),"CHECK no working days",IF(Bookings!G719="Cancelled","Cancelled","OK")))))</ns0:f>
        <ns0:v/>
      </ns0:c>
      <ns0:c r="L719" s="0">
        <ns0:f>IF(LEFT(K719,5)="CHECK",1,0)</ns0:f>
        <ns0:v>0</ns0:v>
      </ns0:c>
      <ns0:c r="M719" s="0">
        <ns0:f>IF(AND(L719=1,OR(C719=0,IFERROR(INDEX($X$11:$X$60,C719),0)=0)),1,0)</ns0:f>
        <ns0:v>0</ns0:v>
      </ns0:c>
      <ns0:c r="N719" s="0">
        <ns0:f>IF(OR(A719=0,L719&gt;0,$B$6&gt;0,Bookings!G719="Cancelled"),0,G719)</ns0:f>
        <ns0:v>0</ns0:v>
      </ns0:c>
      <ns0:c r="O719" s="0">
        <ns0:f>IF(AND(Bookings!G719="Approved",E719="Yes"),N719,0)</ns0:f>
        <ns0:v>0</ns0:v>
      </ns0:c>
      <ns0:c r="P719" s="0">
        <ns0:f>IF(AND(Bookings!G719="Approved",E719="Yes",L719=0,$B$6=0),H719,0)</ns0:f>
        <ns0:v>0</ns0:v>
      </ns0:c>
      <ns0:c r="Q719" s="0">
        <ns0:f>IF(AND(Bookings!G719="Approved",E719="Yes",L719=0,$B$6=0),I719,0)</ns0:f>
        <ns0:v>0</ns0:v>
      </ns0:c>
      <ns0:c r="R719" s="0">
        <ns0:f>IF(AND(Bookings!G719="Pending",E719="Yes"),N719,0)</ns0:f>
        <ns0:v>0</ns0:v>
      </ns0:c>
      <ns0:c r="S719" s="0">
        <ns0:f>IF(AND(Bookings!G719="Approved",E719="No"),N719,0)</ns0:f>
        <ns0:v>0</ns0:v>
      </ns0:c>
      <ns0:c r="T719" s="0">
        <ns0:f>IFERROR(MATCH(D719,Settings!$G$7:$G$11,0),0)</ns0:f>
        <ns0:v>0</ns0:v>
      </ns0:c>
      <ns0:c r="U719" s="0">
        <ns0:f>IF(N719&gt;0,T719+IF(Bookings!G719="Pending",10,0),0)</ns0:f>
        <ns0:v>0</ns0:v>
      </ns0:c>
      <ns0:c r="V719" s="0">
        <ns0:f>U719</ns0:f>
        <ns0:v>0</ns0:v>
      </ns0:c>
      <ns0:c r="W719" s="0" t="str">
        <ns0:f>IF(C719=0,"",INDEX($AP$11:$AP$60,C719))</ns0:f>
        <ns0:v/>
      </ns0:c>
    </ns0:row>
    <ns0:row r="720">
      <ns0:c r="A720" s="0">
        <ns0:f>IF(COUNTA(Bookings!A720:G720,Bookings!I720)=0,0,1)</ns0:f>
        <ns0:v>0</ns0:v>
      </ns0:c>
      <ns0:c r="B720" s="0" t="str">
        <ns0:f>IFERROR(TRIM(MID(Bookings!A720,FIND(" · ",Bookings!A720)+3,99)),"")</ns0:f>
        <ns0:v/>
      </ns0:c>
      <ns0:c r="C720" s="0">
        <ns0:f>IF(OR(B720="",LEN(B720)&gt;24,ISNUMBER(FIND(" ",B720)),ISNUMBER(FIND("*",B720)),ISNUMBER(FIND("?",B720)),ISNUMBER(FIND("~",B720))),0,IFERROR(MATCH(B720,Team!$A$11:$A$60,0),0))</ns0:f>
        <ns0:v>0</ns0:v>
      </ns0:c>
      <ns0:c r="D720" s="0" t="str">
        <ns0:f>IFERROR(IF(MID(Bookings!F720,LEN(Bookings!F720)-3,3)=" · ",RIGHT(Bookings!F720,1),""),"")</ns0:f>
        <ns0:v/>
      </ns0:c>
      <ns0:c r="E720" s="0" t="str">
        <ns0:f>IFERROR(INDEX(Settings!$H$7:$H$11,MATCH(D720,Settings!$G$7:$G$11,0)),"")</ns0:f>
        <ns0:v/>
      </ns0:c>
      <ns0:c r="F720" s="0" t="str">
        <ns0:f>IF(A720=0,"",IFERROR(IF(OR(B720="",C720=0),"CHECK employee selection",IF(INDEX(Team!$O$11:$O$60,C720)&lt;&gt;"OK","CHECK employee setup",IF(OR('_Dates'!J720=0,'_Dates'!T720=0),"CHECK date: use DD.MM.YYYY",IF('_Dates'!T720&lt;'_Dates'!J720,"CHECK end before start",IF(AND($B$6=0,OR('_Dates'!J720&lt;Settings!$B$7,'_Dates'!T720&gt;Settings!$B$8)),"CHECK split across leave years",IF(OR(NOT(OR('_Dates'!U720="Full day",'_Dates'!U720="AM",'_Dates'!U720="PM")),NOT(OR('_Dates'!V720="Full day",'_Dates'!V720="AM",'_Dates'!V720="PM"))),"CHECK Full day / AM / PM",IF(AND('_Dates'!J720='_Dates'!T720,'_Dates'!U720&lt;&gt;"Full day",'_Dates'!V720&lt;&gt;"Full day",'_Dates'!U720&lt;&gt;'_Dates'!V720),"CHECK same-day portions disagree",IF(AND($B$6=0,OR(AND('_Dates'!U720&lt;&gt;"Full day",'_Dates'!AA720=0),AND('_Dates'!V720&lt;&gt;"Full day",'_Dates'!AB720=0))),"CHECK half-day on non-working date",IF(COUNTIF(Settings!$G$7:$G$11,D720)&lt;&gt;1,"CHECK leave type",IF(AND(Bookings!G720&lt;&gt;"Approved",Bookings!G720&lt;&gt;"Pending",Bookings!G720&lt;&gt;"Cancelled"),"CHECK status","OK")))))))))),"CHECK input"))</ns0:f>
        <ns0:v/>
      </ns0:c>
      <ns0:c r="G720" s="0">
        <ns0:f>IF(OR(F720&lt;&gt;"OK",$B$6&gt;0),0,0.5*(IF(('_Dates'!X720)&lt;('_Dates'!W720),0,INT((('_Dates'!X720)-('_Dates'!W720)+1)/7)*LEN(SUBSTITUTE(W720,"O",""))+LEN(SUBSTITUTE(MID(W720&amp;W720,WEEKDAY(('_Dates'!W720),2),MOD((('_Dates'!X720)-('_Dates'!W720)+1),7)),"O",""))-COUNTIFS(INDEX(AllClosureRows,C720,0),"&gt;="&amp;('_Dates'!W720),INDEX(AllClosureRows,C720,0),"&lt;="&amp;('_Dates'!X720)))+IF(('_Dates'!Z720)&lt;('_Dates'!Y720),0,INT((('_Dates'!Z720)-('_Dates'!Y720)+1)/7)*LEN(SUBSTITUTE(W720,"O",""))+LEN(SUBSTITUTE(MID(W720&amp;W720,WEEKDAY(('_Dates'!Y720),2),MOD((('_Dates'!Z720)-('_Dates'!Y720)+1),7)),"O",""))-COUNTIFS(INDEX(AllClosureRows,C720,0),"&gt;="&amp;('_Dates'!Y720),INDEX(AllClosureRows,C720,0),"&lt;="&amp;('_Dates'!Z720)))))</ns0:f>
        <ns0:v>0</ns0:v>
      </ns0:c>
      <ns0:c r="H720" s="0">
        <ns0:f>IF(OR(F720&lt;&gt;"OK",$B$6&gt;0),0,0.5*(IF((MIN('_Dates'!X720,Settings!$B$9))&lt;('_Dates'!W720),0,INT(((MIN('_Dates'!X720,Settings!$B$9))-('_Dates'!W720)+1)/7)*LEN(SUBSTITUTE(W720,"O",""))+LEN(SUBSTITUTE(MID(W720&amp;W720,WEEKDAY(('_Dates'!W720),2),MOD(((MIN('_Dates'!X720,Settings!$B$9))-('_Dates'!W720)+1),7)),"O",""))-COUNTIFS(INDEX(AllClosureRows,C720,0),"&gt;="&amp;('_Dates'!W720),INDEX(AllClosureRows,C720,0),"&lt;="&amp;(MIN('_Dates'!X720,Settings!$B$9))))+IF((MIN('_Dates'!Z720,Settings!$B$9))&lt;('_Dates'!Y720),0,INT(((MIN('_Dates'!Z720,Settings!$B$9))-('_Dates'!Y720)+1)/7)*LEN(SUBSTITUTE(W720,"O",""))+LEN(SUBSTITUTE(MID(W720&amp;W720,WEEKDAY(('_Dates'!Y720),2),MOD(((MIN('_Dates'!Z720,Settings!$B$9))-('_Dates'!Y720)+1),7)),"O",""))-COUNTIFS(INDEX(AllClosureRows,C720,0),"&gt;="&amp;('_Dates'!Y720),INDEX(AllClosureRows,C720,0),"&lt;="&amp;(MIN('_Dates'!Z720,Settings!$B$9))))))</ns0:f>
        <ns0:v>0</ns0:v>
      </ns0:c>
      <ns0:c r="I720" s="0">
        <ns0:f>MAX(0,G720-H720)</ns0:f>
        <ns0:v>0</ns0:v>
      </ns0:c>
      <ns0:c r="J720" s="0">
        <ns0:f>IF(OR(A720=0,F720&lt;&gt;"OK",Bookings!G720="Cancelled",$B$6&gt;0),0,IF('_Dates'!AC720=1,MAX(0,COUNTIFS(rngEngine_B,B720,rngAMStart,"&lt;="&amp;'_Dates'!X720,rngAMEnd,"&gt;="&amp;'_Dates'!W720,rngAMActive,1,rngEngine_F,"OK",rngBookings_F,"&lt;&gt;Cancelled")-1),0)+IF('_Dates'!AD720=1,MAX(0,COUNTIFS(rngEngine_B,B720,rngPMStart,"&lt;="&amp;'_Dates'!Z720,rngPMEnd,"&gt;="&amp;'_Dates'!Y720,rngPMActive,1,rngEngine_F,"OK",rngBookings_F,"&lt;&gt;Cancelled")-1),0))</ns0:f>
        <ns0:v>0</ns0:v>
      </ns0:c>
      <ns0:c r="K720" s="0" t="str">
        <ns0:f>IF(A720=0,"",IF(F720&lt;&gt;"OK",F720,IF(J720&gt;0,"CHECK overlapping entry",IF(AND($B$6=0,G720&lt;=0,Bookings!G720&lt;&gt;"Cancelled"),"CHECK no working days",IF(Bookings!G720="Cancelled","Cancelled","OK")))))</ns0:f>
        <ns0:v/>
      </ns0:c>
      <ns0:c r="L720" s="0">
        <ns0:f>IF(LEFT(K720,5)="CHECK",1,0)</ns0:f>
        <ns0:v>0</ns0:v>
      </ns0:c>
      <ns0:c r="M720" s="0">
        <ns0:f>IF(AND(L720=1,OR(C720=0,IFERROR(INDEX($X$11:$X$60,C720),0)=0)),1,0)</ns0:f>
        <ns0:v>0</ns0:v>
      </ns0:c>
      <ns0:c r="N720" s="0">
        <ns0:f>IF(OR(A720=0,L720&gt;0,$B$6&gt;0,Bookings!G720="Cancelled"),0,G720)</ns0:f>
        <ns0:v>0</ns0:v>
      </ns0:c>
      <ns0:c r="O720" s="0">
        <ns0:f>IF(AND(Bookings!G720="Approved",E720="Yes"),N720,0)</ns0:f>
        <ns0:v>0</ns0:v>
      </ns0:c>
      <ns0:c r="P720" s="0">
        <ns0:f>IF(AND(Bookings!G720="Approved",E720="Yes",L720=0,$B$6=0),H720,0)</ns0:f>
        <ns0:v>0</ns0:v>
      </ns0:c>
      <ns0:c r="Q720" s="0">
        <ns0:f>IF(AND(Bookings!G720="Approved",E720="Yes",L720=0,$B$6=0),I720,0)</ns0:f>
        <ns0:v>0</ns0:v>
      </ns0:c>
      <ns0:c r="R720" s="0">
        <ns0:f>IF(AND(Bookings!G720="Pending",E720="Yes"),N720,0)</ns0:f>
        <ns0:v>0</ns0:v>
      </ns0:c>
      <ns0:c r="S720" s="0">
        <ns0:f>IF(AND(Bookings!G720="Approved",E720="No"),N720,0)</ns0:f>
        <ns0:v>0</ns0:v>
      </ns0:c>
      <ns0:c r="T720" s="0">
        <ns0:f>IFERROR(MATCH(D720,Settings!$G$7:$G$11,0),0)</ns0:f>
        <ns0:v>0</ns0:v>
      </ns0:c>
      <ns0:c r="U720" s="0">
        <ns0:f>IF(N720&gt;0,T720+IF(Bookings!G720="Pending",10,0),0)</ns0:f>
        <ns0:v>0</ns0:v>
      </ns0:c>
      <ns0:c r="V720" s="0">
        <ns0:f>U720</ns0:f>
        <ns0:v>0</ns0:v>
      </ns0:c>
      <ns0:c r="W720" s="0" t="str">
        <ns0:f>IF(C720=0,"",INDEX($AP$11:$AP$60,C720))</ns0:f>
        <ns0:v/>
      </ns0:c>
    </ns0:row>
    <ns0:row r="721">
      <ns0:c r="A721" s="0">
        <ns0:f>IF(COUNTA(Bookings!A721:G721,Bookings!I721)=0,0,1)</ns0:f>
        <ns0:v>0</ns0:v>
      </ns0:c>
      <ns0:c r="B721" s="0" t="str">
        <ns0:f>IFERROR(TRIM(MID(Bookings!A721,FIND(" · ",Bookings!A721)+3,99)),"")</ns0:f>
        <ns0:v/>
      </ns0:c>
      <ns0:c r="C721" s="0">
        <ns0:f>IF(OR(B721="",LEN(B721)&gt;24,ISNUMBER(FIND(" ",B721)),ISNUMBER(FIND("*",B721)),ISNUMBER(FIND("?",B721)),ISNUMBER(FIND("~",B721))),0,IFERROR(MATCH(B721,Team!$A$11:$A$60,0),0))</ns0:f>
        <ns0:v>0</ns0:v>
      </ns0:c>
      <ns0:c r="D721" s="0" t="str">
        <ns0:f>IFERROR(IF(MID(Bookings!F721,LEN(Bookings!F721)-3,3)=" · ",RIGHT(Bookings!F721,1),""),"")</ns0:f>
        <ns0:v/>
      </ns0:c>
      <ns0:c r="E721" s="0" t="str">
        <ns0:f>IFERROR(INDEX(Settings!$H$7:$H$11,MATCH(D721,Settings!$G$7:$G$11,0)),"")</ns0:f>
        <ns0:v/>
      </ns0:c>
      <ns0:c r="F721" s="0" t="str">
        <ns0:f>IF(A721=0,"",IFERROR(IF(OR(B721="",C721=0),"CHECK employee selection",IF(INDEX(Team!$O$11:$O$60,C721)&lt;&gt;"OK","CHECK employee setup",IF(OR('_Dates'!J721=0,'_Dates'!T721=0),"CHECK date: use DD.MM.YYYY",IF('_Dates'!T721&lt;'_Dates'!J721,"CHECK end before start",IF(AND($B$6=0,OR('_Dates'!J721&lt;Settings!$B$7,'_Dates'!T721&gt;Settings!$B$8)),"CHECK split across leave years",IF(OR(NOT(OR('_Dates'!U721="Full day",'_Dates'!U721="AM",'_Dates'!U721="PM")),NOT(OR('_Dates'!V721="Full day",'_Dates'!V721="AM",'_Dates'!V721="PM"))),"CHECK Full day / AM / PM",IF(AND('_Dates'!J721='_Dates'!T721,'_Dates'!U721&lt;&gt;"Full day",'_Dates'!V721&lt;&gt;"Full day",'_Dates'!U721&lt;&gt;'_Dates'!V721),"CHECK same-day portions disagree",IF(AND($B$6=0,OR(AND('_Dates'!U721&lt;&gt;"Full day",'_Dates'!AA721=0),AND('_Dates'!V721&lt;&gt;"Full day",'_Dates'!AB721=0))),"CHECK half-day on non-working date",IF(COUNTIF(Settings!$G$7:$G$11,D721)&lt;&gt;1,"CHECK leave type",IF(AND(Bookings!G721&lt;&gt;"Approved",Bookings!G721&lt;&gt;"Pending",Bookings!G721&lt;&gt;"Cancelled"),"CHECK status","OK")))))))))),"CHECK input"))</ns0:f>
        <ns0:v/>
      </ns0:c>
      <ns0:c r="G721" s="0">
        <ns0:f>IF(OR(F721&lt;&gt;"OK",$B$6&gt;0),0,0.5*(IF(('_Dates'!X721)&lt;('_Dates'!W721),0,INT((('_Dates'!X721)-('_Dates'!W721)+1)/7)*LEN(SUBSTITUTE(W721,"O",""))+LEN(SUBSTITUTE(MID(W721&amp;W721,WEEKDAY(('_Dates'!W721),2),MOD((('_Dates'!X721)-('_Dates'!W721)+1),7)),"O",""))-COUNTIFS(INDEX(AllClosureRows,C721,0),"&gt;="&amp;('_Dates'!W721),INDEX(AllClosureRows,C721,0),"&lt;="&amp;('_Dates'!X721)))+IF(('_Dates'!Z721)&lt;('_Dates'!Y721),0,INT((('_Dates'!Z721)-('_Dates'!Y721)+1)/7)*LEN(SUBSTITUTE(W721,"O",""))+LEN(SUBSTITUTE(MID(W721&amp;W721,WEEKDAY(('_Dates'!Y721),2),MOD((('_Dates'!Z721)-('_Dates'!Y721)+1),7)),"O",""))-COUNTIFS(INDEX(AllClosureRows,C721,0),"&gt;="&amp;('_Dates'!Y721),INDEX(AllClosureRows,C721,0),"&lt;="&amp;('_Dates'!Z721)))))</ns0:f>
        <ns0:v>0</ns0:v>
      </ns0:c>
      <ns0:c r="H721" s="0">
        <ns0:f>IF(OR(F721&lt;&gt;"OK",$B$6&gt;0),0,0.5*(IF((MIN('_Dates'!X721,Settings!$B$9))&lt;('_Dates'!W721),0,INT(((MIN('_Dates'!X721,Settings!$B$9))-('_Dates'!W721)+1)/7)*LEN(SUBSTITUTE(W721,"O",""))+LEN(SUBSTITUTE(MID(W721&amp;W721,WEEKDAY(('_Dates'!W721),2),MOD(((MIN('_Dates'!X721,Settings!$B$9))-('_Dates'!W721)+1),7)),"O",""))-COUNTIFS(INDEX(AllClosureRows,C721,0),"&gt;="&amp;('_Dates'!W721),INDEX(AllClosureRows,C721,0),"&lt;="&amp;(MIN('_Dates'!X721,Settings!$B$9))))+IF((MIN('_Dates'!Z721,Settings!$B$9))&lt;('_Dates'!Y721),0,INT(((MIN('_Dates'!Z721,Settings!$B$9))-('_Dates'!Y721)+1)/7)*LEN(SUBSTITUTE(W721,"O",""))+LEN(SUBSTITUTE(MID(W721&amp;W721,WEEKDAY(('_Dates'!Y721),2),MOD(((MIN('_Dates'!Z721,Settings!$B$9))-('_Dates'!Y721)+1),7)),"O",""))-COUNTIFS(INDEX(AllClosureRows,C721,0),"&gt;="&amp;('_Dates'!Y721),INDEX(AllClosureRows,C721,0),"&lt;="&amp;(MIN('_Dates'!Z721,Settings!$B$9))))))</ns0:f>
        <ns0:v>0</ns0:v>
      </ns0:c>
      <ns0:c r="I721" s="0">
        <ns0:f>MAX(0,G721-H721)</ns0:f>
        <ns0:v>0</ns0:v>
      </ns0:c>
      <ns0:c r="J721" s="0">
        <ns0:f>IF(OR(A721=0,F721&lt;&gt;"OK",Bookings!G721="Cancelled",$B$6&gt;0),0,IF('_Dates'!AC721=1,MAX(0,COUNTIFS(rngEngine_B,B721,rngAMStart,"&lt;="&amp;'_Dates'!X721,rngAMEnd,"&gt;="&amp;'_Dates'!W721,rngAMActive,1,rngEngine_F,"OK",rngBookings_F,"&lt;&gt;Cancelled")-1),0)+IF('_Dates'!AD721=1,MAX(0,COUNTIFS(rngEngine_B,B721,rngPMStart,"&lt;="&amp;'_Dates'!Z721,rngPMEnd,"&gt;="&amp;'_Dates'!Y721,rngPMActive,1,rngEngine_F,"OK",rngBookings_F,"&lt;&gt;Cancelled")-1),0))</ns0:f>
        <ns0:v>0</ns0:v>
      </ns0:c>
      <ns0:c r="K721" s="0" t="str">
        <ns0:f>IF(A721=0,"",IF(F721&lt;&gt;"OK",F721,IF(J721&gt;0,"CHECK overlapping entry",IF(AND($B$6=0,G721&lt;=0,Bookings!G721&lt;&gt;"Cancelled"),"CHECK no working days",IF(Bookings!G721="Cancelled","Cancelled","OK")))))</ns0:f>
        <ns0:v/>
      </ns0:c>
      <ns0:c r="L721" s="0">
        <ns0:f>IF(LEFT(K721,5)="CHECK",1,0)</ns0:f>
        <ns0:v>0</ns0:v>
      </ns0:c>
      <ns0:c r="M721" s="0">
        <ns0:f>IF(AND(L721=1,OR(C721=0,IFERROR(INDEX($X$11:$X$60,C721),0)=0)),1,0)</ns0:f>
        <ns0:v>0</ns0:v>
      </ns0:c>
      <ns0:c r="N721" s="0">
        <ns0:f>IF(OR(A721=0,L721&gt;0,$B$6&gt;0,Bookings!G721="Cancelled"),0,G721)</ns0:f>
        <ns0:v>0</ns0:v>
      </ns0:c>
      <ns0:c r="O721" s="0">
        <ns0:f>IF(AND(Bookings!G721="Approved",E721="Yes"),N721,0)</ns0:f>
        <ns0:v>0</ns0:v>
      </ns0:c>
      <ns0:c r="P721" s="0">
        <ns0:f>IF(AND(Bookings!G721="Approved",E721="Yes",L721=0,$B$6=0),H721,0)</ns0:f>
        <ns0:v>0</ns0:v>
      </ns0:c>
      <ns0:c r="Q721" s="0">
        <ns0:f>IF(AND(Bookings!G721="Approved",E721="Yes",L721=0,$B$6=0),I721,0)</ns0:f>
        <ns0:v>0</ns0:v>
      </ns0:c>
      <ns0:c r="R721" s="0">
        <ns0:f>IF(AND(Bookings!G721="Pending",E721="Yes"),N721,0)</ns0:f>
        <ns0:v>0</ns0:v>
      </ns0:c>
      <ns0:c r="S721" s="0">
        <ns0:f>IF(AND(Bookings!G721="Approved",E721="No"),N721,0)</ns0:f>
        <ns0:v>0</ns0:v>
      </ns0:c>
      <ns0:c r="T721" s="0">
        <ns0:f>IFERROR(MATCH(D721,Settings!$G$7:$G$11,0),0)</ns0:f>
        <ns0:v>0</ns0:v>
      </ns0:c>
      <ns0:c r="U721" s="0">
        <ns0:f>IF(N721&gt;0,T721+IF(Bookings!G721="Pending",10,0),0)</ns0:f>
        <ns0:v>0</ns0:v>
      </ns0:c>
      <ns0:c r="V721" s="0">
        <ns0:f>U721</ns0:f>
        <ns0:v>0</ns0:v>
      </ns0:c>
      <ns0:c r="W721" s="0" t="str">
        <ns0:f>IF(C721=0,"",INDEX($AP$11:$AP$60,C721))</ns0:f>
        <ns0:v/>
      </ns0:c>
    </ns0:row>
    <ns0:row r="722">
      <ns0:c r="A722" s="0">
        <ns0:f>IF(COUNTA(Bookings!A722:G722,Bookings!I722)=0,0,1)</ns0:f>
        <ns0:v>0</ns0:v>
      </ns0:c>
      <ns0:c r="B722" s="0" t="str">
        <ns0:f>IFERROR(TRIM(MID(Bookings!A722,FIND(" · ",Bookings!A722)+3,99)),"")</ns0:f>
        <ns0:v/>
      </ns0:c>
      <ns0:c r="C722" s="0">
        <ns0:f>IF(OR(B722="",LEN(B722)&gt;24,ISNUMBER(FIND(" ",B722)),ISNUMBER(FIND("*",B722)),ISNUMBER(FIND("?",B722)),ISNUMBER(FIND("~",B722))),0,IFERROR(MATCH(B722,Team!$A$11:$A$60,0),0))</ns0:f>
        <ns0:v>0</ns0:v>
      </ns0:c>
      <ns0:c r="D722" s="0" t="str">
        <ns0:f>IFERROR(IF(MID(Bookings!F722,LEN(Bookings!F722)-3,3)=" · ",RIGHT(Bookings!F722,1),""),"")</ns0:f>
        <ns0:v/>
      </ns0:c>
      <ns0:c r="E722" s="0" t="str">
        <ns0:f>IFERROR(INDEX(Settings!$H$7:$H$11,MATCH(D722,Settings!$G$7:$G$11,0)),"")</ns0:f>
        <ns0:v/>
      </ns0:c>
      <ns0:c r="F722" s="0" t="str">
        <ns0:f>IF(A722=0,"",IFERROR(IF(OR(B722="",C722=0),"CHECK employee selection",IF(INDEX(Team!$O$11:$O$60,C722)&lt;&gt;"OK","CHECK employee setup",IF(OR('_Dates'!J722=0,'_Dates'!T722=0),"CHECK date: use DD.MM.YYYY",IF('_Dates'!T722&lt;'_Dates'!J722,"CHECK end before start",IF(AND($B$6=0,OR('_Dates'!J722&lt;Settings!$B$7,'_Dates'!T722&gt;Settings!$B$8)),"CHECK split across leave years",IF(OR(NOT(OR('_Dates'!U722="Full day",'_Dates'!U722="AM",'_Dates'!U722="PM")),NOT(OR('_Dates'!V722="Full day",'_Dates'!V722="AM",'_Dates'!V722="PM"))),"CHECK Full day / AM / PM",IF(AND('_Dates'!J722='_Dates'!T722,'_Dates'!U722&lt;&gt;"Full day",'_Dates'!V722&lt;&gt;"Full day",'_Dates'!U722&lt;&gt;'_Dates'!V722),"CHECK same-day portions disagree",IF(AND($B$6=0,OR(AND('_Dates'!U722&lt;&gt;"Full day",'_Dates'!AA722=0),AND('_Dates'!V722&lt;&gt;"Full day",'_Dates'!AB722=0))),"CHECK half-day on non-working date",IF(COUNTIF(Settings!$G$7:$G$11,D722)&lt;&gt;1,"CHECK leave type",IF(AND(Bookings!G722&lt;&gt;"Approved",Bookings!G722&lt;&gt;"Pending",Bookings!G722&lt;&gt;"Cancelled"),"CHECK status","OK")))))))))),"CHECK input"))</ns0:f>
        <ns0:v/>
      </ns0:c>
      <ns0:c r="G722" s="0">
        <ns0:f>IF(OR(F722&lt;&gt;"OK",$B$6&gt;0),0,0.5*(IF(('_Dates'!X722)&lt;('_Dates'!W722),0,INT((('_Dates'!X722)-('_Dates'!W722)+1)/7)*LEN(SUBSTITUTE(W722,"O",""))+LEN(SUBSTITUTE(MID(W722&amp;W722,WEEKDAY(('_Dates'!W722),2),MOD((('_Dates'!X722)-('_Dates'!W722)+1),7)),"O",""))-COUNTIFS(INDEX(AllClosureRows,C722,0),"&gt;="&amp;('_Dates'!W722),INDEX(AllClosureRows,C722,0),"&lt;="&amp;('_Dates'!X722)))+IF(('_Dates'!Z722)&lt;('_Dates'!Y722),0,INT((('_Dates'!Z722)-('_Dates'!Y722)+1)/7)*LEN(SUBSTITUTE(W722,"O",""))+LEN(SUBSTITUTE(MID(W722&amp;W722,WEEKDAY(('_Dates'!Y722),2),MOD((('_Dates'!Z722)-('_Dates'!Y722)+1),7)),"O",""))-COUNTIFS(INDEX(AllClosureRows,C722,0),"&gt;="&amp;('_Dates'!Y722),INDEX(AllClosureRows,C722,0),"&lt;="&amp;('_Dates'!Z722)))))</ns0:f>
        <ns0:v>0</ns0:v>
      </ns0:c>
      <ns0:c r="H722" s="0">
        <ns0:f>IF(OR(F722&lt;&gt;"OK",$B$6&gt;0),0,0.5*(IF((MIN('_Dates'!X722,Settings!$B$9))&lt;('_Dates'!W722),0,INT(((MIN('_Dates'!X722,Settings!$B$9))-('_Dates'!W722)+1)/7)*LEN(SUBSTITUTE(W722,"O",""))+LEN(SUBSTITUTE(MID(W722&amp;W722,WEEKDAY(('_Dates'!W722),2),MOD(((MIN('_Dates'!X722,Settings!$B$9))-('_Dates'!W722)+1),7)),"O",""))-COUNTIFS(INDEX(AllClosureRows,C722,0),"&gt;="&amp;('_Dates'!W722),INDEX(AllClosureRows,C722,0),"&lt;="&amp;(MIN('_Dates'!X722,Settings!$B$9))))+IF((MIN('_Dates'!Z722,Settings!$B$9))&lt;('_Dates'!Y722),0,INT(((MIN('_Dates'!Z722,Settings!$B$9))-('_Dates'!Y722)+1)/7)*LEN(SUBSTITUTE(W722,"O",""))+LEN(SUBSTITUTE(MID(W722&amp;W722,WEEKDAY(('_Dates'!Y722),2),MOD(((MIN('_Dates'!Z722,Settings!$B$9))-('_Dates'!Y722)+1),7)),"O",""))-COUNTIFS(INDEX(AllClosureRows,C722,0),"&gt;="&amp;('_Dates'!Y722),INDEX(AllClosureRows,C722,0),"&lt;="&amp;(MIN('_Dates'!Z722,Settings!$B$9))))))</ns0:f>
        <ns0:v>0</ns0:v>
      </ns0:c>
      <ns0:c r="I722" s="0">
        <ns0:f>MAX(0,G722-H722)</ns0:f>
        <ns0:v>0</ns0:v>
      </ns0:c>
      <ns0:c r="J722" s="0">
        <ns0:f>IF(OR(A722=0,F722&lt;&gt;"OK",Bookings!G722="Cancelled",$B$6&gt;0),0,IF('_Dates'!AC722=1,MAX(0,COUNTIFS(rngEngine_B,B722,rngAMStart,"&lt;="&amp;'_Dates'!X722,rngAMEnd,"&gt;="&amp;'_Dates'!W722,rngAMActive,1,rngEngine_F,"OK",rngBookings_F,"&lt;&gt;Cancelled")-1),0)+IF('_Dates'!AD722=1,MAX(0,COUNTIFS(rngEngine_B,B722,rngPMStart,"&lt;="&amp;'_Dates'!Z722,rngPMEnd,"&gt;="&amp;'_Dates'!Y722,rngPMActive,1,rngEngine_F,"OK",rngBookings_F,"&lt;&gt;Cancelled")-1),0))</ns0:f>
        <ns0:v>0</ns0:v>
      </ns0:c>
      <ns0:c r="K722" s="0" t="str">
        <ns0:f>IF(A722=0,"",IF(F722&lt;&gt;"OK",F722,IF(J722&gt;0,"CHECK overlapping entry",IF(AND($B$6=0,G722&lt;=0,Bookings!G722&lt;&gt;"Cancelled"),"CHECK no working days",IF(Bookings!G722="Cancelled","Cancelled","OK")))))</ns0:f>
        <ns0:v/>
      </ns0:c>
      <ns0:c r="L722" s="0">
        <ns0:f>IF(LEFT(K722,5)="CHECK",1,0)</ns0:f>
        <ns0:v>0</ns0:v>
      </ns0:c>
      <ns0:c r="M722" s="0">
        <ns0:f>IF(AND(L722=1,OR(C722=0,IFERROR(INDEX($X$11:$X$60,C722),0)=0)),1,0)</ns0:f>
        <ns0:v>0</ns0:v>
      </ns0:c>
      <ns0:c r="N722" s="0">
        <ns0:f>IF(OR(A722=0,L722&gt;0,$B$6&gt;0,Bookings!G722="Cancelled"),0,G722)</ns0:f>
        <ns0:v>0</ns0:v>
      </ns0:c>
      <ns0:c r="O722" s="0">
        <ns0:f>IF(AND(Bookings!G722="Approved",E722="Yes"),N722,0)</ns0:f>
        <ns0:v>0</ns0:v>
      </ns0:c>
      <ns0:c r="P722" s="0">
        <ns0:f>IF(AND(Bookings!G722="Approved",E722="Yes",L722=0,$B$6=0),H722,0)</ns0:f>
        <ns0:v>0</ns0:v>
      </ns0:c>
      <ns0:c r="Q722" s="0">
        <ns0:f>IF(AND(Bookings!G722="Approved",E722="Yes",L722=0,$B$6=0),I722,0)</ns0:f>
        <ns0:v>0</ns0:v>
      </ns0:c>
      <ns0:c r="R722" s="0">
        <ns0:f>IF(AND(Bookings!G722="Pending",E722="Yes"),N722,0)</ns0:f>
        <ns0:v>0</ns0:v>
      </ns0:c>
      <ns0:c r="S722" s="0">
        <ns0:f>IF(AND(Bookings!G722="Approved",E722="No"),N722,0)</ns0:f>
        <ns0:v>0</ns0:v>
      </ns0:c>
      <ns0:c r="T722" s="0">
        <ns0:f>IFERROR(MATCH(D722,Settings!$G$7:$G$11,0),0)</ns0:f>
        <ns0:v>0</ns0:v>
      </ns0:c>
      <ns0:c r="U722" s="0">
        <ns0:f>IF(N722&gt;0,T722+IF(Bookings!G722="Pending",10,0),0)</ns0:f>
        <ns0:v>0</ns0:v>
      </ns0:c>
      <ns0:c r="V722" s="0">
        <ns0:f>U722</ns0:f>
        <ns0:v>0</ns0:v>
      </ns0:c>
      <ns0:c r="W722" s="0" t="str">
        <ns0:f>IF(C722=0,"",INDEX($AP$11:$AP$60,C722))</ns0:f>
        <ns0:v/>
      </ns0:c>
    </ns0:row>
    <ns0:row r="723">
      <ns0:c r="A723" s="0">
        <ns0:f>IF(COUNTA(Bookings!A723:G723,Bookings!I723)=0,0,1)</ns0:f>
        <ns0:v>0</ns0:v>
      </ns0:c>
      <ns0:c r="B723" s="0" t="str">
        <ns0:f>IFERROR(TRIM(MID(Bookings!A723,FIND(" · ",Bookings!A723)+3,99)),"")</ns0:f>
        <ns0:v/>
      </ns0:c>
      <ns0:c r="C723" s="0">
        <ns0:f>IF(OR(B723="",LEN(B723)&gt;24,ISNUMBER(FIND(" ",B723)),ISNUMBER(FIND("*",B723)),ISNUMBER(FIND("?",B723)),ISNUMBER(FIND("~",B723))),0,IFERROR(MATCH(B723,Team!$A$11:$A$60,0),0))</ns0:f>
        <ns0:v>0</ns0:v>
      </ns0:c>
      <ns0:c r="D723" s="0" t="str">
        <ns0:f>IFERROR(IF(MID(Bookings!F723,LEN(Bookings!F723)-3,3)=" · ",RIGHT(Bookings!F723,1),""),"")</ns0:f>
        <ns0:v/>
      </ns0:c>
      <ns0:c r="E723" s="0" t="str">
        <ns0:f>IFERROR(INDEX(Settings!$H$7:$H$11,MATCH(D723,Settings!$G$7:$G$11,0)),"")</ns0:f>
        <ns0:v/>
      </ns0:c>
      <ns0:c r="F723" s="0" t="str">
        <ns0:f>IF(A723=0,"",IFERROR(IF(OR(B723="",C723=0),"CHECK employee selection",IF(INDEX(Team!$O$11:$O$60,C723)&lt;&gt;"OK","CHECK employee setup",IF(OR('_Dates'!J723=0,'_Dates'!T723=0),"CHECK date: use DD.MM.YYYY",IF('_Dates'!T723&lt;'_Dates'!J723,"CHECK end before start",IF(AND($B$6=0,OR('_Dates'!J723&lt;Settings!$B$7,'_Dates'!T723&gt;Settings!$B$8)),"CHECK split across leave years",IF(OR(NOT(OR('_Dates'!U723="Full day",'_Dates'!U723="AM",'_Dates'!U723="PM")),NOT(OR('_Dates'!V723="Full day",'_Dates'!V723="AM",'_Dates'!V723="PM"))),"CHECK Full day / AM / PM",IF(AND('_Dates'!J723='_Dates'!T723,'_Dates'!U723&lt;&gt;"Full day",'_Dates'!V723&lt;&gt;"Full day",'_Dates'!U723&lt;&gt;'_Dates'!V723),"CHECK same-day portions disagree",IF(AND($B$6=0,OR(AND('_Dates'!U723&lt;&gt;"Full day",'_Dates'!AA723=0),AND('_Dates'!V723&lt;&gt;"Full day",'_Dates'!AB723=0))),"CHECK half-day on non-working date",IF(COUNTIF(Settings!$G$7:$G$11,D723)&lt;&gt;1,"CHECK leave type",IF(AND(Bookings!G723&lt;&gt;"Approved",Bookings!G723&lt;&gt;"Pending",Bookings!G723&lt;&gt;"Cancelled"),"CHECK status","OK")))))))))),"CHECK input"))</ns0:f>
        <ns0:v/>
      </ns0:c>
      <ns0:c r="G723" s="0">
        <ns0:f>IF(OR(F723&lt;&gt;"OK",$B$6&gt;0),0,0.5*(IF(('_Dates'!X723)&lt;('_Dates'!W723),0,INT((('_Dates'!X723)-('_Dates'!W723)+1)/7)*LEN(SUBSTITUTE(W723,"O",""))+LEN(SUBSTITUTE(MID(W723&amp;W723,WEEKDAY(('_Dates'!W723),2),MOD((('_Dates'!X723)-('_Dates'!W723)+1),7)),"O",""))-COUNTIFS(INDEX(AllClosureRows,C723,0),"&gt;="&amp;('_Dates'!W723),INDEX(AllClosureRows,C723,0),"&lt;="&amp;('_Dates'!X723)))+IF(('_Dates'!Z723)&lt;('_Dates'!Y723),0,INT((('_Dates'!Z723)-('_Dates'!Y723)+1)/7)*LEN(SUBSTITUTE(W723,"O",""))+LEN(SUBSTITUTE(MID(W723&amp;W723,WEEKDAY(('_Dates'!Y723),2),MOD((('_Dates'!Z723)-('_Dates'!Y723)+1),7)),"O",""))-COUNTIFS(INDEX(AllClosureRows,C723,0),"&gt;="&amp;('_Dates'!Y723),INDEX(AllClosureRows,C723,0),"&lt;="&amp;('_Dates'!Z723)))))</ns0:f>
        <ns0:v>0</ns0:v>
      </ns0:c>
      <ns0:c r="H723" s="0">
        <ns0:f>IF(OR(F723&lt;&gt;"OK",$B$6&gt;0),0,0.5*(IF((MIN('_Dates'!X723,Settings!$B$9))&lt;('_Dates'!W723),0,INT(((MIN('_Dates'!X723,Settings!$B$9))-('_Dates'!W723)+1)/7)*LEN(SUBSTITUTE(W723,"O",""))+LEN(SUBSTITUTE(MID(W723&amp;W723,WEEKDAY(('_Dates'!W723),2),MOD(((MIN('_Dates'!X723,Settings!$B$9))-('_Dates'!W723)+1),7)),"O",""))-COUNTIFS(INDEX(AllClosureRows,C723,0),"&gt;="&amp;('_Dates'!W723),INDEX(AllClosureRows,C723,0),"&lt;="&amp;(MIN('_Dates'!X723,Settings!$B$9))))+IF((MIN('_Dates'!Z723,Settings!$B$9))&lt;('_Dates'!Y723),0,INT(((MIN('_Dates'!Z723,Settings!$B$9))-('_Dates'!Y723)+1)/7)*LEN(SUBSTITUTE(W723,"O",""))+LEN(SUBSTITUTE(MID(W723&amp;W723,WEEKDAY(('_Dates'!Y723),2),MOD(((MIN('_Dates'!Z723,Settings!$B$9))-('_Dates'!Y723)+1),7)),"O",""))-COUNTIFS(INDEX(AllClosureRows,C723,0),"&gt;="&amp;('_Dates'!Y723),INDEX(AllClosureRows,C723,0),"&lt;="&amp;(MIN('_Dates'!Z723,Settings!$B$9))))))</ns0:f>
        <ns0:v>0</ns0:v>
      </ns0:c>
      <ns0:c r="I723" s="0">
        <ns0:f>MAX(0,G723-H723)</ns0:f>
        <ns0:v>0</ns0:v>
      </ns0:c>
      <ns0:c r="J723" s="0">
        <ns0:f>IF(OR(A723=0,F723&lt;&gt;"OK",Bookings!G723="Cancelled",$B$6&gt;0),0,IF('_Dates'!AC723=1,MAX(0,COUNTIFS(rngEngine_B,B723,rngAMStart,"&lt;="&amp;'_Dates'!X723,rngAMEnd,"&gt;="&amp;'_Dates'!W723,rngAMActive,1,rngEngine_F,"OK",rngBookings_F,"&lt;&gt;Cancelled")-1),0)+IF('_Dates'!AD723=1,MAX(0,COUNTIFS(rngEngine_B,B723,rngPMStart,"&lt;="&amp;'_Dates'!Z723,rngPMEnd,"&gt;="&amp;'_Dates'!Y723,rngPMActive,1,rngEngine_F,"OK",rngBookings_F,"&lt;&gt;Cancelled")-1),0))</ns0:f>
        <ns0:v>0</ns0:v>
      </ns0:c>
      <ns0:c r="K723" s="0" t="str">
        <ns0:f>IF(A723=0,"",IF(F723&lt;&gt;"OK",F723,IF(J723&gt;0,"CHECK overlapping entry",IF(AND($B$6=0,G723&lt;=0,Bookings!G723&lt;&gt;"Cancelled"),"CHECK no working days",IF(Bookings!G723="Cancelled","Cancelled","OK")))))</ns0:f>
        <ns0:v/>
      </ns0:c>
      <ns0:c r="L723" s="0">
        <ns0:f>IF(LEFT(K723,5)="CHECK",1,0)</ns0:f>
        <ns0:v>0</ns0:v>
      </ns0:c>
      <ns0:c r="M723" s="0">
        <ns0:f>IF(AND(L723=1,OR(C723=0,IFERROR(INDEX($X$11:$X$60,C723),0)=0)),1,0)</ns0:f>
        <ns0:v>0</ns0:v>
      </ns0:c>
      <ns0:c r="N723" s="0">
        <ns0:f>IF(OR(A723=0,L723&gt;0,$B$6&gt;0,Bookings!G723="Cancelled"),0,G723)</ns0:f>
        <ns0:v>0</ns0:v>
      </ns0:c>
      <ns0:c r="O723" s="0">
        <ns0:f>IF(AND(Bookings!G723="Approved",E723="Yes"),N723,0)</ns0:f>
        <ns0:v>0</ns0:v>
      </ns0:c>
      <ns0:c r="P723" s="0">
        <ns0:f>IF(AND(Bookings!G723="Approved",E723="Yes",L723=0,$B$6=0),H723,0)</ns0:f>
        <ns0:v>0</ns0:v>
      </ns0:c>
      <ns0:c r="Q723" s="0">
        <ns0:f>IF(AND(Bookings!G723="Approved",E723="Yes",L723=0,$B$6=0),I723,0)</ns0:f>
        <ns0:v>0</ns0:v>
      </ns0:c>
      <ns0:c r="R723" s="0">
        <ns0:f>IF(AND(Bookings!G723="Pending",E723="Yes"),N723,0)</ns0:f>
        <ns0:v>0</ns0:v>
      </ns0:c>
      <ns0:c r="S723" s="0">
        <ns0:f>IF(AND(Bookings!G723="Approved",E723="No"),N723,0)</ns0:f>
        <ns0:v>0</ns0:v>
      </ns0:c>
      <ns0:c r="T723" s="0">
        <ns0:f>IFERROR(MATCH(D723,Settings!$G$7:$G$11,0),0)</ns0:f>
        <ns0:v>0</ns0:v>
      </ns0:c>
      <ns0:c r="U723" s="0">
        <ns0:f>IF(N723&gt;0,T723+IF(Bookings!G723="Pending",10,0),0)</ns0:f>
        <ns0:v>0</ns0:v>
      </ns0:c>
      <ns0:c r="V723" s="0">
        <ns0:f>U723</ns0:f>
        <ns0:v>0</ns0:v>
      </ns0:c>
      <ns0:c r="W723" s="0" t="str">
        <ns0:f>IF(C723=0,"",INDEX($AP$11:$AP$60,C723))</ns0:f>
        <ns0:v/>
      </ns0:c>
    </ns0:row>
    <ns0:row r="724">
      <ns0:c r="A724" s="0">
        <ns0:f>IF(COUNTA(Bookings!A724:G724,Bookings!I724)=0,0,1)</ns0:f>
        <ns0:v>0</ns0:v>
      </ns0:c>
      <ns0:c r="B724" s="0" t="str">
        <ns0:f>IFERROR(TRIM(MID(Bookings!A724,FIND(" · ",Bookings!A724)+3,99)),"")</ns0:f>
        <ns0:v/>
      </ns0:c>
      <ns0:c r="C724" s="0">
        <ns0:f>IF(OR(B724="",LEN(B724)&gt;24,ISNUMBER(FIND(" ",B724)),ISNUMBER(FIND("*",B724)),ISNUMBER(FIND("?",B724)),ISNUMBER(FIND("~",B724))),0,IFERROR(MATCH(B724,Team!$A$11:$A$60,0),0))</ns0:f>
        <ns0:v>0</ns0:v>
      </ns0:c>
      <ns0:c r="D724" s="0" t="str">
        <ns0:f>IFERROR(IF(MID(Bookings!F724,LEN(Bookings!F724)-3,3)=" · ",RIGHT(Bookings!F724,1),""),"")</ns0:f>
        <ns0:v/>
      </ns0:c>
      <ns0:c r="E724" s="0" t="str">
        <ns0:f>IFERROR(INDEX(Settings!$H$7:$H$11,MATCH(D724,Settings!$G$7:$G$11,0)),"")</ns0:f>
        <ns0:v/>
      </ns0:c>
      <ns0:c r="F724" s="0" t="str">
        <ns0:f>IF(A724=0,"",IFERROR(IF(OR(B724="",C724=0),"CHECK employee selection",IF(INDEX(Team!$O$11:$O$60,C724)&lt;&gt;"OK","CHECK employee setup",IF(OR('_Dates'!J724=0,'_Dates'!T724=0),"CHECK date: use DD.MM.YYYY",IF('_Dates'!T724&lt;'_Dates'!J724,"CHECK end before start",IF(AND($B$6=0,OR('_Dates'!J724&lt;Settings!$B$7,'_Dates'!T724&gt;Settings!$B$8)),"CHECK split across leave years",IF(OR(NOT(OR('_Dates'!U724="Full day",'_Dates'!U724="AM",'_Dates'!U724="PM")),NOT(OR('_Dates'!V724="Full day",'_Dates'!V724="AM",'_Dates'!V724="PM"))),"CHECK Full day / AM / PM",IF(AND('_Dates'!J724='_Dates'!T724,'_Dates'!U724&lt;&gt;"Full day",'_Dates'!V724&lt;&gt;"Full day",'_Dates'!U724&lt;&gt;'_Dates'!V724),"CHECK same-day portions disagree",IF(AND($B$6=0,OR(AND('_Dates'!U724&lt;&gt;"Full day",'_Dates'!AA724=0),AND('_Dates'!V724&lt;&gt;"Full day",'_Dates'!AB724=0))),"CHECK half-day on non-working date",IF(COUNTIF(Settings!$G$7:$G$11,D724)&lt;&gt;1,"CHECK leave type",IF(AND(Bookings!G724&lt;&gt;"Approved",Bookings!G724&lt;&gt;"Pending",Bookings!G724&lt;&gt;"Cancelled"),"CHECK status","OK")))))))))),"CHECK input"))</ns0:f>
        <ns0:v/>
      </ns0:c>
      <ns0:c r="G724" s="0">
        <ns0:f>IF(OR(F724&lt;&gt;"OK",$B$6&gt;0),0,0.5*(IF(('_Dates'!X724)&lt;('_Dates'!W724),0,INT((('_Dates'!X724)-('_Dates'!W724)+1)/7)*LEN(SUBSTITUTE(W724,"O",""))+LEN(SUBSTITUTE(MID(W724&amp;W724,WEEKDAY(('_Dates'!W724),2),MOD((('_Dates'!X724)-('_Dates'!W724)+1),7)),"O",""))-COUNTIFS(INDEX(AllClosureRows,C724,0),"&gt;="&amp;('_Dates'!W724),INDEX(AllClosureRows,C724,0),"&lt;="&amp;('_Dates'!X724)))+IF(('_Dates'!Z724)&lt;('_Dates'!Y724),0,INT((('_Dates'!Z724)-('_Dates'!Y724)+1)/7)*LEN(SUBSTITUTE(W724,"O",""))+LEN(SUBSTITUTE(MID(W724&amp;W724,WEEKDAY(('_Dates'!Y724),2),MOD((('_Dates'!Z724)-('_Dates'!Y724)+1),7)),"O",""))-COUNTIFS(INDEX(AllClosureRows,C724,0),"&gt;="&amp;('_Dates'!Y724),INDEX(AllClosureRows,C724,0),"&lt;="&amp;('_Dates'!Z724)))))</ns0:f>
        <ns0:v>0</ns0:v>
      </ns0:c>
      <ns0:c r="H724" s="0">
        <ns0:f>IF(OR(F724&lt;&gt;"OK",$B$6&gt;0),0,0.5*(IF((MIN('_Dates'!X724,Settings!$B$9))&lt;('_Dates'!W724),0,INT(((MIN('_Dates'!X724,Settings!$B$9))-('_Dates'!W724)+1)/7)*LEN(SUBSTITUTE(W724,"O",""))+LEN(SUBSTITUTE(MID(W724&amp;W724,WEEKDAY(('_Dates'!W724),2),MOD(((MIN('_Dates'!X724,Settings!$B$9))-('_Dates'!W724)+1),7)),"O",""))-COUNTIFS(INDEX(AllClosureRows,C724,0),"&gt;="&amp;('_Dates'!W724),INDEX(AllClosureRows,C724,0),"&lt;="&amp;(MIN('_Dates'!X724,Settings!$B$9))))+IF((MIN('_Dates'!Z724,Settings!$B$9))&lt;('_Dates'!Y724),0,INT(((MIN('_Dates'!Z724,Settings!$B$9))-('_Dates'!Y724)+1)/7)*LEN(SUBSTITUTE(W724,"O",""))+LEN(SUBSTITUTE(MID(W724&amp;W724,WEEKDAY(('_Dates'!Y724),2),MOD(((MIN('_Dates'!Z724,Settings!$B$9))-('_Dates'!Y724)+1),7)),"O",""))-COUNTIFS(INDEX(AllClosureRows,C724,0),"&gt;="&amp;('_Dates'!Y724),INDEX(AllClosureRows,C724,0),"&lt;="&amp;(MIN('_Dates'!Z724,Settings!$B$9))))))</ns0:f>
        <ns0:v>0</ns0:v>
      </ns0:c>
      <ns0:c r="I724" s="0">
        <ns0:f>MAX(0,G724-H724)</ns0:f>
        <ns0:v>0</ns0:v>
      </ns0:c>
      <ns0:c r="J724" s="0">
        <ns0:f>IF(OR(A724=0,F724&lt;&gt;"OK",Bookings!G724="Cancelled",$B$6&gt;0),0,IF('_Dates'!AC724=1,MAX(0,COUNTIFS(rngEngine_B,B724,rngAMStart,"&lt;="&amp;'_Dates'!X724,rngAMEnd,"&gt;="&amp;'_Dates'!W724,rngAMActive,1,rngEngine_F,"OK",rngBookings_F,"&lt;&gt;Cancelled")-1),0)+IF('_Dates'!AD724=1,MAX(0,COUNTIFS(rngEngine_B,B724,rngPMStart,"&lt;="&amp;'_Dates'!Z724,rngPMEnd,"&gt;="&amp;'_Dates'!Y724,rngPMActive,1,rngEngine_F,"OK",rngBookings_F,"&lt;&gt;Cancelled")-1),0))</ns0:f>
        <ns0:v>0</ns0:v>
      </ns0:c>
      <ns0:c r="K724" s="0" t="str">
        <ns0:f>IF(A724=0,"",IF(F724&lt;&gt;"OK",F724,IF(J724&gt;0,"CHECK overlapping entry",IF(AND($B$6=0,G724&lt;=0,Bookings!G724&lt;&gt;"Cancelled"),"CHECK no working days",IF(Bookings!G724="Cancelled","Cancelled","OK")))))</ns0:f>
        <ns0:v/>
      </ns0:c>
      <ns0:c r="L724" s="0">
        <ns0:f>IF(LEFT(K724,5)="CHECK",1,0)</ns0:f>
        <ns0:v>0</ns0:v>
      </ns0:c>
      <ns0:c r="M724" s="0">
        <ns0:f>IF(AND(L724=1,OR(C724=0,IFERROR(INDEX($X$11:$X$60,C724),0)=0)),1,0)</ns0:f>
        <ns0:v>0</ns0:v>
      </ns0:c>
      <ns0:c r="N724" s="0">
        <ns0:f>IF(OR(A724=0,L724&gt;0,$B$6&gt;0,Bookings!G724="Cancelled"),0,G724)</ns0:f>
        <ns0:v>0</ns0:v>
      </ns0:c>
      <ns0:c r="O724" s="0">
        <ns0:f>IF(AND(Bookings!G724="Approved",E724="Yes"),N724,0)</ns0:f>
        <ns0:v>0</ns0:v>
      </ns0:c>
      <ns0:c r="P724" s="0">
        <ns0:f>IF(AND(Bookings!G724="Approved",E724="Yes",L724=0,$B$6=0),H724,0)</ns0:f>
        <ns0:v>0</ns0:v>
      </ns0:c>
      <ns0:c r="Q724" s="0">
        <ns0:f>IF(AND(Bookings!G724="Approved",E724="Yes",L724=0,$B$6=0),I724,0)</ns0:f>
        <ns0:v>0</ns0:v>
      </ns0:c>
      <ns0:c r="R724" s="0">
        <ns0:f>IF(AND(Bookings!G724="Pending",E724="Yes"),N724,0)</ns0:f>
        <ns0:v>0</ns0:v>
      </ns0:c>
      <ns0:c r="S724" s="0">
        <ns0:f>IF(AND(Bookings!G724="Approved",E724="No"),N724,0)</ns0:f>
        <ns0:v>0</ns0:v>
      </ns0:c>
      <ns0:c r="T724" s="0">
        <ns0:f>IFERROR(MATCH(D724,Settings!$G$7:$G$11,0),0)</ns0:f>
        <ns0:v>0</ns0:v>
      </ns0:c>
      <ns0:c r="U724" s="0">
        <ns0:f>IF(N724&gt;0,T724+IF(Bookings!G724="Pending",10,0),0)</ns0:f>
        <ns0:v>0</ns0:v>
      </ns0:c>
      <ns0:c r="V724" s="0">
        <ns0:f>U724</ns0:f>
        <ns0:v>0</ns0:v>
      </ns0:c>
      <ns0:c r="W724" s="0" t="str">
        <ns0:f>IF(C724=0,"",INDEX($AP$11:$AP$60,C724))</ns0:f>
        <ns0:v/>
      </ns0:c>
    </ns0:row>
    <ns0:row r="725">
      <ns0:c r="A725" s="0">
        <ns0:f>IF(COUNTA(Bookings!A725:G725,Bookings!I725)=0,0,1)</ns0:f>
        <ns0:v>0</ns0:v>
      </ns0:c>
      <ns0:c r="B725" s="0" t="str">
        <ns0:f>IFERROR(TRIM(MID(Bookings!A725,FIND(" · ",Bookings!A725)+3,99)),"")</ns0:f>
        <ns0:v/>
      </ns0:c>
      <ns0:c r="C725" s="0">
        <ns0:f>IF(OR(B725="",LEN(B725)&gt;24,ISNUMBER(FIND(" ",B725)),ISNUMBER(FIND("*",B725)),ISNUMBER(FIND("?",B725)),ISNUMBER(FIND("~",B725))),0,IFERROR(MATCH(B725,Team!$A$11:$A$60,0),0))</ns0:f>
        <ns0:v>0</ns0:v>
      </ns0:c>
      <ns0:c r="D725" s="0" t="str">
        <ns0:f>IFERROR(IF(MID(Bookings!F725,LEN(Bookings!F725)-3,3)=" · ",RIGHT(Bookings!F725,1),""),"")</ns0:f>
        <ns0:v/>
      </ns0:c>
      <ns0:c r="E725" s="0" t="str">
        <ns0:f>IFERROR(INDEX(Settings!$H$7:$H$11,MATCH(D725,Settings!$G$7:$G$11,0)),"")</ns0:f>
        <ns0:v/>
      </ns0:c>
      <ns0:c r="F725" s="0" t="str">
        <ns0:f>IF(A725=0,"",IFERROR(IF(OR(B725="",C725=0),"CHECK employee selection",IF(INDEX(Team!$O$11:$O$60,C725)&lt;&gt;"OK","CHECK employee setup",IF(OR('_Dates'!J725=0,'_Dates'!T725=0),"CHECK date: use DD.MM.YYYY",IF('_Dates'!T725&lt;'_Dates'!J725,"CHECK end before start",IF(AND($B$6=0,OR('_Dates'!J725&lt;Settings!$B$7,'_Dates'!T725&gt;Settings!$B$8)),"CHECK split across leave years",IF(OR(NOT(OR('_Dates'!U725="Full day",'_Dates'!U725="AM",'_Dates'!U725="PM")),NOT(OR('_Dates'!V725="Full day",'_Dates'!V725="AM",'_Dates'!V725="PM"))),"CHECK Full day / AM / PM",IF(AND('_Dates'!J725='_Dates'!T725,'_Dates'!U725&lt;&gt;"Full day",'_Dates'!V725&lt;&gt;"Full day",'_Dates'!U725&lt;&gt;'_Dates'!V725),"CHECK same-day portions disagree",IF(AND($B$6=0,OR(AND('_Dates'!U725&lt;&gt;"Full day",'_Dates'!AA725=0),AND('_Dates'!V725&lt;&gt;"Full day",'_Dates'!AB725=0))),"CHECK half-day on non-working date",IF(COUNTIF(Settings!$G$7:$G$11,D725)&lt;&gt;1,"CHECK leave type",IF(AND(Bookings!G725&lt;&gt;"Approved",Bookings!G725&lt;&gt;"Pending",Bookings!G725&lt;&gt;"Cancelled"),"CHECK status","OK")))))))))),"CHECK input"))</ns0:f>
        <ns0:v/>
      </ns0:c>
      <ns0:c r="G725" s="0">
        <ns0:f>IF(OR(F725&lt;&gt;"OK",$B$6&gt;0),0,0.5*(IF(('_Dates'!X725)&lt;('_Dates'!W725),0,INT((('_Dates'!X725)-('_Dates'!W725)+1)/7)*LEN(SUBSTITUTE(W725,"O",""))+LEN(SUBSTITUTE(MID(W725&amp;W725,WEEKDAY(('_Dates'!W725),2),MOD((('_Dates'!X725)-('_Dates'!W725)+1),7)),"O",""))-COUNTIFS(INDEX(AllClosureRows,C725,0),"&gt;="&amp;('_Dates'!W725),INDEX(AllClosureRows,C725,0),"&lt;="&amp;('_Dates'!X725)))+IF(('_Dates'!Z725)&lt;('_Dates'!Y725),0,INT((('_Dates'!Z725)-('_Dates'!Y725)+1)/7)*LEN(SUBSTITUTE(W725,"O",""))+LEN(SUBSTITUTE(MID(W725&amp;W725,WEEKDAY(('_Dates'!Y725),2),MOD((('_Dates'!Z725)-('_Dates'!Y725)+1),7)),"O",""))-COUNTIFS(INDEX(AllClosureRows,C725,0),"&gt;="&amp;('_Dates'!Y725),INDEX(AllClosureRows,C725,0),"&lt;="&amp;('_Dates'!Z725)))))</ns0:f>
        <ns0:v>0</ns0:v>
      </ns0:c>
      <ns0:c r="H725" s="0">
        <ns0:f>IF(OR(F725&lt;&gt;"OK",$B$6&gt;0),0,0.5*(IF((MIN('_Dates'!X725,Settings!$B$9))&lt;('_Dates'!W725),0,INT(((MIN('_Dates'!X725,Settings!$B$9))-('_Dates'!W725)+1)/7)*LEN(SUBSTITUTE(W725,"O",""))+LEN(SUBSTITUTE(MID(W725&amp;W725,WEEKDAY(('_Dates'!W725),2),MOD(((MIN('_Dates'!X725,Settings!$B$9))-('_Dates'!W725)+1),7)),"O",""))-COUNTIFS(INDEX(AllClosureRows,C725,0),"&gt;="&amp;('_Dates'!W725),INDEX(AllClosureRows,C725,0),"&lt;="&amp;(MIN('_Dates'!X725,Settings!$B$9))))+IF((MIN('_Dates'!Z725,Settings!$B$9))&lt;('_Dates'!Y725),0,INT(((MIN('_Dates'!Z725,Settings!$B$9))-('_Dates'!Y725)+1)/7)*LEN(SUBSTITUTE(W725,"O",""))+LEN(SUBSTITUTE(MID(W725&amp;W725,WEEKDAY(('_Dates'!Y725),2),MOD(((MIN('_Dates'!Z725,Settings!$B$9))-('_Dates'!Y725)+1),7)),"O",""))-COUNTIFS(INDEX(AllClosureRows,C725,0),"&gt;="&amp;('_Dates'!Y725),INDEX(AllClosureRows,C725,0),"&lt;="&amp;(MIN('_Dates'!Z725,Settings!$B$9))))))</ns0:f>
        <ns0:v>0</ns0:v>
      </ns0:c>
      <ns0:c r="I725" s="0">
        <ns0:f>MAX(0,G725-H725)</ns0:f>
        <ns0:v>0</ns0:v>
      </ns0:c>
      <ns0:c r="J725" s="0">
        <ns0:f>IF(OR(A725=0,F725&lt;&gt;"OK",Bookings!G725="Cancelled",$B$6&gt;0),0,IF('_Dates'!AC725=1,MAX(0,COUNTIFS(rngEngine_B,B725,rngAMStart,"&lt;="&amp;'_Dates'!X725,rngAMEnd,"&gt;="&amp;'_Dates'!W725,rngAMActive,1,rngEngine_F,"OK",rngBookings_F,"&lt;&gt;Cancelled")-1),0)+IF('_Dates'!AD725=1,MAX(0,COUNTIFS(rngEngine_B,B725,rngPMStart,"&lt;="&amp;'_Dates'!Z725,rngPMEnd,"&gt;="&amp;'_Dates'!Y725,rngPMActive,1,rngEngine_F,"OK",rngBookings_F,"&lt;&gt;Cancelled")-1),0))</ns0:f>
        <ns0:v>0</ns0:v>
      </ns0:c>
      <ns0:c r="K725" s="0" t="str">
        <ns0:f>IF(A725=0,"",IF(F725&lt;&gt;"OK",F725,IF(J725&gt;0,"CHECK overlapping entry",IF(AND($B$6=0,G725&lt;=0,Bookings!G725&lt;&gt;"Cancelled"),"CHECK no working days",IF(Bookings!G725="Cancelled","Cancelled","OK")))))</ns0:f>
        <ns0:v/>
      </ns0:c>
      <ns0:c r="L725" s="0">
        <ns0:f>IF(LEFT(K725,5)="CHECK",1,0)</ns0:f>
        <ns0:v>0</ns0:v>
      </ns0:c>
      <ns0:c r="M725" s="0">
        <ns0:f>IF(AND(L725=1,OR(C725=0,IFERROR(INDEX($X$11:$X$60,C725),0)=0)),1,0)</ns0:f>
        <ns0:v>0</ns0:v>
      </ns0:c>
      <ns0:c r="N725" s="0">
        <ns0:f>IF(OR(A725=0,L725&gt;0,$B$6&gt;0,Bookings!G725="Cancelled"),0,G725)</ns0:f>
        <ns0:v>0</ns0:v>
      </ns0:c>
      <ns0:c r="O725" s="0">
        <ns0:f>IF(AND(Bookings!G725="Approved",E725="Yes"),N725,0)</ns0:f>
        <ns0:v>0</ns0:v>
      </ns0:c>
      <ns0:c r="P725" s="0">
        <ns0:f>IF(AND(Bookings!G725="Approved",E725="Yes",L725=0,$B$6=0),H725,0)</ns0:f>
        <ns0:v>0</ns0:v>
      </ns0:c>
      <ns0:c r="Q725" s="0">
        <ns0:f>IF(AND(Bookings!G725="Approved",E725="Yes",L725=0,$B$6=0),I725,0)</ns0:f>
        <ns0:v>0</ns0:v>
      </ns0:c>
      <ns0:c r="R725" s="0">
        <ns0:f>IF(AND(Bookings!G725="Pending",E725="Yes"),N725,0)</ns0:f>
        <ns0:v>0</ns0:v>
      </ns0:c>
      <ns0:c r="S725" s="0">
        <ns0:f>IF(AND(Bookings!G725="Approved",E725="No"),N725,0)</ns0:f>
        <ns0:v>0</ns0:v>
      </ns0:c>
      <ns0:c r="T725" s="0">
        <ns0:f>IFERROR(MATCH(D725,Settings!$G$7:$G$11,0),0)</ns0:f>
        <ns0:v>0</ns0:v>
      </ns0:c>
      <ns0:c r="U725" s="0">
        <ns0:f>IF(N725&gt;0,T725+IF(Bookings!G725="Pending",10,0),0)</ns0:f>
        <ns0:v>0</ns0:v>
      </ns0:c>
      <ns0:c r="V725" s="0">
        <ns0:f>U725</ns0:f>
        <ns0:v>0</ns0:v>
      </ns0:c>
      <ns0:c r="W725" s="0" t="str">
        <ns0:f>IF(C725=0,"",INDEX($AP$11:$AP$60,C725))</ns0:f>
        <ns0:v/>
      </ns0:c>
    </ns0:row>
    <ns0:row r="726">
      <ns0:c r="A726" s="0">
        <ns0:f>IF(COUNTA(Bookings!A726:G726,Bookings!I726)=0,0,1)</ns0:f>
        <ns0:v>0</ns0:v>
      </ns0:c>
      <ns0:c r="B726" s="0" t="str">
        <ns0:f>IFERROR(TRIM(MID(Bookings!A726,FIND(" · ",Bookings!A726)+3,99)),"")</ns0:f>
        <ns0:v/>
      </ns0:c>
      <ns0:c r="C726" s="0">
        <ns0:f>IF(OR(B726="",LEN(B726)&gt;24,ISNUMBER(FIND(" ",B726)),ISNUMBER(FIND("*",B726)),ISNUMBER(FIND("?",B726)),ISNUMBER(FIND("~",B726))),0,IFERROR(MATCH(B726,Team!$A$11:$A$60,0),0))</ns0:f>
        <ns0:v>0</ns0:v>
      </ns0:c>
      <ns0:c r="D726" s="0" t="str">
        <ns0:f>IFERROR(IF(MID(Bookings!F726,LEN(Bookings!F726)-3,3)=" · ",RIGHT(Bookings!F726,1),""),"")</ns0:f>
        <ns0:v/>
      </ns0:c>
      <ns0:c r="E726" s="0" t="str">
        <ns0:f>IFERROR(INDEX(Settings!$H$7:$H$11,MATCH(D726,Settings!$G$7:$G$11,0)),"")</ns0:f>
        <ns0:v/>
      </ns0:c>
      <ns0:c r="F726" s="0" t="str">
        <ns0:f>IF(A726=0,"",IFERROR(IF(OR(B726="",C726=0),"CHECK employee selection",IF(INDEX(Team!$O$11:$O$60,C726)&lt;&gt;"OK","CHECK employee setup",IF(OR('_Dates'!J726=0,'_Dates'!T726=0),"CHECK date: use DD.MM.YYYY",IF('_Dates'!T726&lt;'_Dates'!J726,"CHECK end before start",IF(AND($B$6=0,OR('_Dates'!J726&lt;Settings!$B$7,'_Dates'!T726&gt;Settings!$B$8)),"CHECK split across leave years",IF(OR(NOT(OR('_Dates'!U726="Full day",'_Dates'!U726="AM",'_Dates'!U726="PM")),NOT(OR('_Dates'!V726="Full day",'_Dates'!V726="AM",'_Dates'!V726="PM"))),"CHECK Full day / AM / PM",IF(AND('_Dates'!J726='_Dates'!T726,'_Dates'!U726&lt;&gt;"Full day",'_Dates'!V726&lt;&gt;"Full day",'_Dates'!U726&lt;&gt;'_Dates'!V726),"CHECK same-day portions disagree",IF(AND($B$6=0,OR(AND('_Dates'!U726&lt;&gt;"Full day",'_Dates'!AA726=0),AND('_Dates'!V726&lt;&gt;"Full day",'_Dates'!AB726=0))),"CHECK half-day on non-working date",IF(COUNTIF(Settings!$G$7:$G$11,D726)&lt;&gt;1,"CHECK leave type",IF(AND(Bookings!G726&lt;&gt;"Approved",Bookings!G726&lt;&gt;"Pending",Bookings!G726&lt;&gt;"Cancelled"),"CHECK status","OK")))))))))),"CHECK input"))</ns0:f>
        <ns0:v/>
      </ns0:c>
      <ns0:c r="G726" s="0">
        <ns0:f>IF(OR(F726&lt;&gt;"OK",$B$6&gt;0),0,0.5*(IF(('_Dates'!X726)&lt;('_Dates'!W726),0,INT((('_Dates'!X726)-('_Dates'!W726)+1)/7)*LEN(SUBSTITUTE(W726,"O",""))+LEN(SUBSTITUTE(MID(W726&amp;W726,WEEKDAY(('_Dates'!W726),2),MOD((('_Dates'!X726)-('_Dates'!W726)+1),7)),"O",""))-COUNTIFS(INDEX(AllClosureRows,C726,0),"&gt;="&amp;('_Dates'!W726),INDEX(AllClosureRows,C726,0),"&lt;="&amp;('_Dates'!X726)))+IF(('_Dates'!Z726)&lt;('_Dates'!Y726),0,INT((('_Dates'!Z726)-('_Dates'!Y726)+1)/7)*LEN(SUBSTITUTE(W726,"O",""))+LEN(SUBSTITUTE(MID(W726&amp;W726,WEEKDAY(('_Dates'!Y726),2),MOD((('_Dates'!Z726)-('_Dates'!Y726)+1),7)),"O",""))-COUNTIFS(INDEX(AllClosureRows,C726,0),"&gt;="&amp;('_Dates'!Y726),INDEX(AllClosureRows,C726,0),"&lt;="&amp;('_Dates'!Z726)))))</ns0:f>
        <ns0:v>0</ns0:v>
      </ns0:c>
      <ns0:c r="H726" s="0">
        <ns0:f>IF(OR(F726&lt;&gt;"OK",$B$6&gt;0),0,0.5*(IF((MIN('_Dates'!X726,Settings!$B$9))&lt;('_Dates'!W726),0,INT(((MIN('_Dates'!X726,Settings!$B$9))-('_Dates'!W726)+1)/7)*LEN(SUBSTITUTE(W726,"O",""))+LEN(SUBSTITUTE(MID(W726&amp;W726,WEEKDAY(('_Dates'!W726),2),MOD(((MIN('_Dates'!X726,Settings!$B$9))-('_Dates'!W726)+1),7)),"O",""))-COUNTIFS(INDEX(AllClosureRows,C726,0),"&gt;="&amp;('_Dates'!W726),INDEX(AllClosureRows,C726,0),"&lt;="&amp;(MIN('_Dates'!X726,Settings!$B$9))))+IF((MIN('_Dates'!Z726,Settings!$B$9))&lt;('_Dates'!Y726),0,INT(((MIN('_Dates'!Z726,Settings!$B$9))-('_Dates'!Y726)+1)/7)*LEN(SUBSTITUTE(W726,"O",""))+LEN(SUBSTITUTE(MID(W726&amp;W726,WEEKDAY(('_Dates'!Y726),2),MOD(((MIN('_Dates'!Z726,Settings!$B$9))-('_Dates'!Y726)+1),7)),"O",""))-COUNTIFS(INDEX(AllClosureRows,C726,0),"&gt;="&amp;('_Dates'!Y726),INDEX(AllClosureRows,C726,0),"&lt;="&amp;(MIN('_Dates'!Z726,Settings!$B$9))))))</ns0:f>
        <ns0:v>0</ns0:v>
      </ns0:c>
      <ns0:c r="I726" s="0">
        <ns0:f>MAX(0,G726-H726)</ns0:f>
        <ns0:v>0</ns0:v>
      </ns0:c>
      <ns0:c r="J726" s="0">
        <ns0:f>IF(OR(A726=0,F726&lt;&gt;"OK",Bookings!G726="Cancelled",$B$6&gt;0),0,IF('_Dates'!AC726=1,MAX(0,COUNTIFS(rngEngine_B,B726,rngAMStart,"&lt;="&amp;'_Dates'!X726,rngAMEnd,"&gt;="&amp;'_Dates'!W726,rngAMActive,1,rngEngine_F,"OK",rngBookings_F,"&lt;&gt;Cancelled")-1),0)+IF('_Dates'!AD726=1,MAX(0,COUNTIFS(rngEngine_B,B726,rngPMStart,"&lt;="&amp;'_Dates'!Z726,rngPMEnd,"&gt;="&amp;'_Dates'!Y726,rngPMActive,1,rngEngine_F,"OK",rngBookings_F,"&lt;&gt;Cancelled")-1),0))</ns0:f>
        <ns0:v>0</ns0:v>
      </ns0:c>
      <ns0:c r="K726" s="0" t="str">
        <ns0:f>IF(A726=0,"",IF(F726&lt;&gt;"OK",F726,IF(J726&gt;0,"CHECK overlapping entry",IF(AND($B$6=0,G726&lt;=0,Bookings!G726&lt;&gt;"Cancelled"),"CHECK no working days",IF(Bookings!G726="Cancelled","Cancelled","OK")))))</ns0:f>
        <ns0:v/>
      </ns0:c>
      <ns0:c r="L726" s="0">
        <ns0:f>IF(LEFT(K726,5)="CHECK",1,0)</ns0:f>
        <ns0:v>0</ns0:v>
      </ns0:c>
      <ns0:c r="M726" s="0">
        <ns0:f>IF(AND(L726=1,OR(C726=0,IFERROR(INDEX($X$11:$X$60,C726),0)=0)),1,0)</ns0:f>
        <ns0:v>0</ns0:v>
      </ns0:c>
      <ns0:c r="N726" s="0">
        <ns0:f>IF(OR(A726=0,L726&gt;0,$B$6&gt;0,Bookings!G726="Cancelled"),0,G726)</ns0:f>
        <ns0:v>0</ns0:v>
      </ns0:c>
      <ns0:c r="O726" s="0">
        <ns0:f>IF(AND(Bookings!G726="Approved",E726="Yes"),N726,0)</ns0:f>
        <ns0:v>0</ns0:v>
      </ns0:c>
      <ns0:c r="P726" s="0">
        <ns0:f>IF(AND(Bookings!G726="Approved",E726="Yes",L726=0,$B$6=0),H726,0)</ns0:f>
        <ns0:v>0</ns0:v>
      </ns0:c>
      <ns0:c r="Q726" s="0">
        <ns0:f>IF(AND(Bookings!G726="Approved",E726="Yes",L726=0,$B$6=0),I726,0)</ns0:f>
        <ns0:v>0</ns0:v>
      </ns0:c>
      <ns0:c r="R726" s="0">
        <ns0:f>IF(AND(Bookings!G726="Pending",E726="Yes"),N726,0)</ns0:f>
        <ns0:v>0</ns0:v>
      </ns0:c>
      <ns0:c r="S726" s="0">
        <ns0:f>IF(AND(Bookings!G726="Approved",E726="No"),N726,0)</ns0:f>
        <ns0:v>0</ns0:v>
      </ns0:c>
      <ns0:c r="T726" s="0">
        <ns0:f>IFERROR(MATCH(D726,Settings!$G$7:$G$11,0),0)</ns0:f>
        <ns0:v>0</ns0:v>
      </ns0:c>
      <ns0:c r="U726" s="0">
        <ns0:f>IF(N726&gt;0,T726+IF(Bookings!G726="Pending",10,0),0)</ns0:f>
        <ns0:v>0</ns0:v>
      </ns0:c>
      <ns0:c r="V726" s="0">
        <ns0:f>U726</ns0:f>
        <ns0:v>0</ns0:v>
      </ns0:c>
      <ns0:c r="W726" s="0" t="str">
        <ns0:f>IF(C726=0,"",INDEX($AP$11:$AP$60,C726))</ns0:f>
        <ns0:v/>
      </ns0:c>
    </ns0:row>
    <ns0:row r="727">
      <ns0:c r="A727" s="0">
        <ns0:f>IF(COUNTA(Bookings!A727:G727,Bookings!I727)=0,0,1)</ns0:f>
        <ns0:v>0</ns0:v>
      </ns0:c>
      <ns0:c r="B727" s="0" t="str">
        <ns0:f>IFERROR(TRIM(MID(Bookings!A727,FIND(" · ",Bookings!A727)+3,99)),"")</ns0:f>
        <ns0:v/>
      </ns0:c>
      <ns0:c r="C727" s="0">
        <ns0:f>IF(OR(B727="",LEN(B727)&gt;24,ISNUMBER(FIND(" ",B727)),ISNUMBER(FIND("*",B727)),ISNUMBER(FIND("?",B727)),ISNUMBER(FIND("~",B727))),0,IFERROR(MATCH(B727,Team!$A$11:$A$60,0),0))</ns0:f>
        <ns0:v>0</ns0:v>
      </ns0:c>
      <ns0:c r="D727" s="0" t="str">
        <ns0:f>IFERROR(IF(MID(Bookings!F727,LEN(Bookings!F727)-3,3)=" · ",RIGHT(Bookings!F727,1),""),"")</ns0:f>
        <ns0:v/>
      </ns0:c>
      <ns0:c r="E727" s="0" t="str">
        <ns0:f>IFERROR(INDEX(Settings!$H$7:$H$11,MATCH(D727,Settings!$G$7:$G$11,0)),"")</ns0:f>
        <ns0:v/>
      </ns0:c>
      <ns0:c r="F727" s="0" t="str">
        <ns0:f>IF(A727=0,"",IFERROR(IF(OR(B727="",C727=0),"CHECK employee selection",IF(INDEX(Team!$O$11:$O$60,C727)&lt;&gt;"OK","CHECK employee setup",IF(OR('_Dates'!J727=0,'_Dates'!T727=0),"CHECK date: use DD.MM.YYYY",IF('_Dates'!T727&lt;'_Dates'!J727,"CHECK end before start",IF(AND($B$6=0,OR('_Dates'!J727&lt;Settings!$B$7,'_Dates'!T727&gt;Settings!$B$8)),"CHECK split across leave years",IF(OR(NOT(OR('_Dates'!U727="Full day",'_Dates'!U727="AM",'_Dates'!U727="PM")),NOT(OR('_Dates'!V727="Full day",'_Dates'!V727="AM",'_Dates'!V727="PM"))),"CHECK Full day / AM / PM",IF(AND('_Dates'!J727='_Dates'!T727,'_Dates'!U727&lt;&gt;"Full day",'_Dates'!V727&lt;&gt;"Full day",'_Dates'!U727&lt;&gt;'_Dates'!V727),"CHECK same-day portions disagree",IF(AND($B$6=0,OR(AND('_Dates'!U727&lt;&gt;"Full day",'_Dates'!AA727=0),AND('_Dates'!V727&lt;&gt;"Full day",'_Dates'!AB727=0))),"CHECK half-day on non-working date",IF(COUNTIF(Settings!$G$7:$G$11,D727)&lt;&gt;1,"CHECK leave type",IF(AND(Bookings!G727&lt;&gt;"Approved",Bookings!G727&lt;&gt;"Pending",Bookings!G727&lt;&gt;"Cancelled"),"CHECK status","OK")))))))))),"CHECK input"))</ns0:f>
        <ns0:v/>
      </ns0:c>
      <ns0:c r="G727" s="0">
        <ns0:f>IF(OR(F727&lt;&gt;"OK",$B$6&gt;0),0,0.5*(IF(('_Dates'!X727)&lt;('_Dates'!W727),0,INT((('_Dates'!X727)-('_Dates'!W727)+1)/7)*LEN(SUBSTITUTE(W727,"O",""))+LEN(SUBSTITUTE(MID(W727&amp;W727,WEEKDAY(('_Dates'!W727),2),MOD((('_Dates'!X727)-('_Dates'!W727)+1),7)),"O",""))-COUNTIFS(INDEX(AllClosureRows,C727,0),"&gt;="&amp;('_Dates'!W727),INDEX(AllClosureRows,C727,0),"&lt;="&amp;('_Dates'!X727)))+IF(('_Dates'!Z727)&lt;('_Dates'!Y727),0,INT((('_Dates'!Z727)-('_Dates'!Y727)+1)/7)*LEN(SUBSTITUTE(W727,"O",""))+LEN(SUBSTITUTE(MID(W727&amp;W727,WEEKDAY(('_Dates'!Y727),2),MOD((('_Dates'!Z727)-('_Dates'!Y727)+1),7)),"O",""))-COUNTIFS(INDEX(AllClosureRows,C727,0),"&gt;="&amp;('_Dates'!Y727),INDEX(AllClosureRows,C727,0),"&lt;="&amp;('_Dates'!Z727)))))</ns0:f>
        <ns0:v>0</ns0:v>
      </ns0:c>
      <ns0:c r="H727" s="0">
        <ns0:f>IF(OR(F727&lt;&gt;"OK",$B$6&gt;0),0,0.5*(IF((MIN('_Dates'!X727,Settings!$B$9))&lt;('_Dates'!W727),0,INT(((MIN('_Dates'!X727,Settings!$B$9))-('_Dates'!W727)+1)/7)*LEN(SUBSTITUTE(W727,"O",""))+LEN(SUBSTITUTE(MID(W727&amp;W727,WEEKDAY(('_Dates'!W727),2),MOD(((MIN('_Dates'!X727,Settings!$B$9))-('_Dates'!W727)+1),7)),"O",""))-COUNTIFS(INDEX(AllClosureRows,C727,0),"&gt;="&amp;('_Dates'!W727),INDEX(AllClosureRows,C727,0),"&lt;="&amp;(MIN('_Dates'!X727,Settings!$B$9))))+IF((MIN('_Dates'!Z727,Settings!$B$9))&lt;('_Dates'!Y727),0,INT(((MIN('_Dates'!Z727,Settings!$B$9))-('_Dates'!Y727)+1)/7)*LEN(SUBSTITUTE(W727,"O",""))+LEN(SUBSTITUTE(MID(W727&amp;W727,WEEKDAY(('_Dates'!Y727),2),MOD(((MIN('_Dates'!Z727,Settings!$B$9))-('_Dates'!Y727)+1),7)),"O",""))-COUNTIFS(INDEX(AllClosureRows,C727,0),"&gt;="&amp;('_Dates'!Y727),INDEX(AllClosureRows,C727,0),"&lt;="&amp;(MIN('_Dates'!Z727,Settings!$B$9))))))</ns0:f>
        <ns0:v>0</ns0:v>
      </ns0:c>
      <ns0:c r="I727" s="0">
        <ns0:f>MAX(0,G727-H727)</ns0:f>
        <ns0:v>0</ns0:v>
      </ns0:c>
      <ns0:c r="J727" s="0">
        <ns0:f>IF(OR(A727=0,F727&lt;&gt;"OK",Bookings!G727="Cancelled",$B$6&gt;0),0,IF('_Dates'!AC727=1,MAX(0,COUNTIFS(rngEngine_B,B727,rngAMStart,"&lt;="&amp;'_Dates'!X727,rngAMEnd,"&gt;="&amp;'_Dates'!W727,rngAMActive,1,rngEngine_F,"OK",rngBookings_F,"&lt;&gt;Cancelled")-1),0)+IF('_Dates'!AD727=1,MAX(0,COUNTIFS(rngEngine_B,B727,rngPMStart,"&lt;="&amp;'_Dates'!Z727,rngPMEnd,"&gt;="&amp;'_Dates'!Y727,rngPMActive,1,rngEngine_F,"OK",rngBookings_F,"&lt;&gt;Cancelled")-1),0))</ns0:f>
        <ns0:v>0</ns0:v>
      </ns0:c>
      <ns0:c r="K727" s="0" t="str">
        <ns0:f>IF(A727=0,"",IF(F727&lt;&gt;"OK",F727,IF(J727&gt;0,"CHECK overlapping entry",IF(AND($B$6=0,G727&lt;=0,Bookings!G727&lt;&gt;"Cancelled"),"CHECK no working days",IF(Bookings!G727="Cancelled","Cancelled","OK")))))</ns0:f>
        <ns0:v/>
      </ns0:c>
      <ns0:c r="L727" s="0">
        <ns0:f>IF(LEFT(K727,5)="CHECK",1,0)</ns0:f>
        <ns0:v>0</ns0:v>
      </ns0:c>
      <ns0:c r="M727" s="0">
        <ns0:f>IF(AND(L727=1,OR(C727=0,IFERROR(INDEX($X$11:$X$60,C727),0)=0)),1,0)</ns0:f>
        <ns0:v>0</ns0:v>
      </ns0:c>
      <ns0:c r="N727" s="0">
        <ns0:f>IF(OR(A727=0,L727&gt;0,$B$6&gt;0,Bookings!G727="Cancelled"),0,G727)</ns0:f>
        <ns0:v>0</ns0:v>
      </ns0:c>
      <ns0:c r="O727" s="0">
        <ns0:f>IF(AND(Bookings!G727="Approved",E727="Yes"),N727,0)</ns0:f>
        <ns0:v>0</ns0:v>
      </ns0:c>
      <ns0:c r="P727" s="0">
        <ns0:f>IF(AND(Bookings!G727="Approved",E727="Yes",L727=0,$B$6=0),H727,0)</ns0:f>
        <ns0:v>0</ns0:v>
      </ns0:c>
      <ns0:c r="Q727" s="0">
        <ns0:f>IF(AND(Bookings!G727="Approved",E727="Yes",L727=0,$B$6=0),I727,0)</ns0:f>
        <ns0:v>0</ns0:v>
      </ns0:c>
      <ns0:c r="R727" s="0">
        <ns0:f>IF(AND(Bookings!G727="Pending",E727="Yes"),N727,0)</ns0:f>
        <ns0:v>0</ns0:v>
      </ns0:c>
      <ns0:c r="S727" s="0">
        <ns0:f>IF(AND(Bookings!G727="Approved",E727="No"),N727,0)</ns0:f>
        <ns0:v>0</ns0:v>
      </ns0:c>
      <ns0:c r="T727" s="0">
        <ns0:f>IFERROR(MATCH(D727,Settings!$G$7:$G$11,0),0)</ns0:f>
        <ns0:v>0</ns0:v>
      </ns0:c>
      <ns0:c r="U727" s="0">
        <ns0:f>IF(N727&gt;0,T727+IF(Bookings!G727="Pending",10,0),0)</ns0:f>
        <ns0:v>0</ns0:v>
      </ns0:c>
      <ns0:c r="V727" s="0">
        <ns0:f>U727</ns0:f>
        <ns0:v>0</ns0:v>
      </ns0:c>
      <ns0:c r="W727" s="0" t="str">
        <ns0:f>IF(C727=0,"",INDEX($AP$11:$AP$60,C727))</ns0:f>
        <ns0:v/>
      </ns0:c>
    </ns0:row>
    <ns0:row r="728">
      <ns0:c r="A728" s="0">
        <ns0:f>IF(COUNTA(Bookings!A728:G728,Bookings!I728)=0,0,1)</ns0:f>
        <ns0:v>0</ns0:v>
      </ns0:c>
      <ns0:c r="B728" s="0" t="str">
        <ns0:f>IFERROR(TRIM(MID(Bookings!A728,FIND(" · ",Bookings!A728)+3,99)),"")</ns0:f>
        <ns0:v/>
      </ns0:c>
      <ns0:c r="C728" s="0">
        <ns0:f>IF(OR(B728="",LEN(B728)&gt;24,ISNUMBER(FIND(" ",B728)),ISNUMBER(FIND("*",B728)),ISNUMBER(FIND("?",B728)),ISNUMBER(FIND("~",B728))),0,IFERROR(MATCH(B728,Team!$A$11:$A$60,0),0))</ns0:f>
        <ns0:v>0</ns0:v>
      </ns0:c>
      <ns0:c r="D728" s="0" t="str">
        <ns0:f>IFERROR(IF(MID(Bookings!F728,LEN(Bookings!F728)-3,3)=" · ",RIGHT(Bookings!F728,1),""),"")</ns0:f>
        <ns0:v/>
      </ns0:c>
      <ns0:c r="E728" s="0" t="str">
        <ns0:f>IFERROR(INDEX(Settings!$H$7:$H$11,MATCH(D728,Settings!$G$7:$G$11,0)),"")</ns0:f>
        <ns0:v/>
      </ns0:c>
      <ns0:c r="F728" s="0" t="str">
        <ns0:f>IF(A728=0,"",IFERROR(IF(OR(B728="",C728=0),"CHECK employee selection",IF(INDEX(Team!$O$11:$O$60,C728)&lt;&gt;"OK","CHECK employee setup",IF(OR('_Dates'!J728=0,'_Dates'!T728=0),"CHECK date: use DD.MM.YYYY",IF('_Dates'!T728&lt;'_Dates'!J728,"CHECK end before start",IF(AND($B$6=0,OR('_Dates'!J728&lt;Settings!$B$7,'_Dates'!T728&gt;Settings!$B$8)),"CHECK split across leave years",IF(OR(NOT(OR('_Dates'!U728="Full day",'_Dates'!U728="AM",'_Dates'!U728="PM")),NOT(OR('_Dates'!V728="Full day",'_Dates'!V728="AM",'_Dates'!V728="PM"))),"CHECK Full day / AM / PM",IF(AND('_Dates'!J728='_Dates'!T728,'_Dates'!U728&lt;&gt;"Full day",'_Dates'!V728&lt;&gt;"Full day",'_Dates'!U728&lt;&gt;'_Dates'!V728),"CHECK same-day portions disagree",IF(AND($B$6=0,OR(AND('_Dates'!U728&lt;&gt;"Full day",'_Dates'!AA728=0),AND('_Dates'!V728&lt;&gt;"Full day",'_Dates'!AB728=0))),"CHECK half-day on non-working date",IF(COUNTIF(Settings!$G$7:$G$11,D728)&lt;&gt;1,"CHECK leave type",IF(AND(Bookings!G728&lt;&gt;"Approved",Bookings!G728&lt;&gt;"Pending",Bookings!G728&lt;&gt;"Cancelled"),"CHECK status","OK")))))))))),"CHECK input"))</ns0:f>
        <ns0:v/>
      </ns0:c>
      <ns0:c r="G728" s="0">
        <ns0:f>IF(OR(F728&lt;&gt;"OK",$B$6&gt;0),0,0.5*(IF(('_Dates'!X728)&lt;('_Dates'!W728),0,INT((('_Dates'!X728)-('_Dates'!W728)+1)/7)*LEN(SUBSTITUTE(W728,"O",""))+LEN(SUBSTITUTE(MID(W728&amp;W728,WEEKDAY(('_Dates'!W728),2),MOD((('_Dates'!X728)-('_Dates'!W728)+1),7)),"O",""))-COUNTIFS(INDEX(AllClosureRows,C728,0),"&gt;="&amp;('_Dates'!W728),INDEX(AllClosureRows,C728,0),"&lt;="&amp;('_Dates'!X728)))+IF(('_Dates'!Z728)&lt;('_Dates'!Y728),0,INT((('_Dates'!Z728)-('_Dates'!Y728)+1)/7)*LEN(SUBSTITUTE(W728,"O",""))+LEN(SUBSTITUTE(MID(W728&amp;W728,WEEKDAY(('_Dates'!Y728),2),MOD((('_Dates'!Z728)-('_Dates'!Y728)+1),7)),"O",""))-COUNTIFS(INDEX(AllClosureRows,C728,0),"&gt;="&amp;('_Dates'!Y728),INDEX(AllClosureRows,C728,0),"&lt;="&amp;('_Dates'!Z728)))))</ns0:f>
        <ns0:v>0</ns0:v>
      </ns0:c>
      <ns0:c r="H728" s="0">
        <ns0:f>IF(OR(F728&lt;&gt;"OK",$B$6&gt;0),0,0.5*(IF((MIN('_Dates'!X728,Settings!$B$9))&lt;('_Dates'!W728),0,INT(((MIN('_Dates'!X728,Settings!$B$9))-('_Dates'!W728)+1)/7)*LEN(SUBSTITUTE(W728,"O",""))+LEN(SUBSTITUTE(MID(W728&amp;W728,WEEKDAY(('_Dates'!W728),2),MOD(((MIN('_Dates'!X728,Settings!$B$9))-('_Dates'!W728)+1),7)),"O",""))-COUNTIFS(INDEX(AllClosureRows,C728,0),"&gt;="&amp;('_Dates'!W728),INDEX(AllClosureRows,C728,0),"&lt;="&amp;(MIN('_Dates'!X728,Settings!$B$9))))+IF((MIN('_Dates'!Z728,Settings!$B$9))&lt;('_Dates'!Y728),0,INT(((MIN('_Dates'!Z728,Settings!$B$9))-('_Dates'!Y728)+1)/7)*LEN(SUBSTITUTE(W728,"O",""))+LEN(SUBSTITUTE(MID(W728&amp;W728,WEEKDAY(('_Dates'!Y728),2),MOD(((MIN('_Dates'!Z728,Settings!$B$9))-('_Dates'!Y728)+1),7)),"O",""))-COUNTIFS(INDEX(AllClosureRows,C728,0),"&gt;="&amp;('_Dates'!Y728),INDEX(AllClosureRows,C728,0),"&lt;="&amp;(MIN('_Dates'!Z728,Settings!$B$9))))))</ns0:f>
        <ns0:v>0</ns0:v>
      </ns0:c>
      <ns0:c r="I728" s="0">
        <ns0:f>MAX(0,G728-H728)</ns0:f>
        <ns0:v>0</ns0:v>
      </ns0:c>
      <ns0:c r="J728" s="0">
        <ns0:f>IF(OR(A728=0,F728&lt;&gt;"OK",Bookings!G728="Cancelled",$B$6&gt;0),0,IF('_Dates'!AC728=1,MAX(0,COUNTIFS(rngEngine_B,B728,rngAMStart,"&lt;="&amp;'_Dates'!X728,rngAMEnd,"&gt;="&amp;'_Dates'!W728,rngAMActive,1,rngEngine_F,"OK",rngBookings_F,"&lt;&gt;Cancelled")-1),0)+IF('_Dates'!AD728=1,MAX(0,COUNTIFS(rngEngine_B,B728,rngPMStart,"&lt;="&amp;'_Dates'!Z728,rngPMEnd,"&gt;="&amp;'_Dates'!Y728,rngPMActive,1,rngEngine_F,"OK",rngBookings_F,"&lt;&gt;Cancelled")-1),0))</ns0:f>
        <ns0:v>0</ns0:v>
      </ns0:c>
      <ns0:c r="K728" s="0" t="str">
        <ns0:f>IF(A728=0,"",IF(F728&lt;&gt;"OK",F728,IF(J728&gt;0,"CHECK overlapping entry",IF(AND($B$6=0,G728&lt;=0,Bookings!G728&lt;&gt;"Cancelled"),"CHECK no working days",IF(Bookings!G728="Cancelled","Cancelled","OK")))))</ns0:f>
        <ns0:v/>
      </ns0:c>
      <ns0:c r="L728" s="0">
        <ns0:f>IF(LEFT(K728,5)="CHECK",1,0)</ns0:f>
        <ns0:v>0</ns0:v>
      </ns0:c>
      <ns0:c r="M728" s="0">
        <ns0:f>IF(AND(L728=1,OR(C728=0,IFERROR(INDEX($X$11:$X$60,C728),0)=0)),1,0)</ns0:f>
        <ns0:v>0</ns0:v>
      </ns0:c>
      <ns0:c r="N728" s="0">
        <ns0:f>IF(OR(A728=0,L728&gt;0,$B$6&gt;0,Bookings!G728="Cancelled"),0,G728)</ns0:f>
        <ns0:v>0</ns0:v>
      </ns0:c>
      <ns0:c r="O728" s="0">
        <ns0:f>IF(AND(Bookings!G728="Approved",E728="Yes"),N728,0)</ns0:f>
        <ns0:v>0</ns0:v>
      </ns0:c>
      <ns0:c r="P728" s="0">
        <ns0:f>IF(AND(Bookings!G728="Approved",E728="Yes",L728=0,$B$6=0),H728,0)</ns0:f>
        <ns0:v>0</ns0:v>
      </ns0:c>
      <ns0:c r="Q728" s="0">
        <ns0:f>IF(AND(Bookings!G728="Approved",E728="Yes",L728=0,$B$6=0),I728,0)</ns0:f>
        <ns0:v>0</ns0:v>
      </ns0:c>
      <ns0:c r="R728" s="0">
        <ns0:f>IF(AND(Bookings!G728="Pending",E728="Yes"),N728,0)</ns0:f>
        <ns0:v>0</ns0:v>
      </ns0:c>
      <ns0:c r="S728" s="0">
        <ns0:f>IF(AND(Bookings!G728="Approved",E728="No"),N728,0)</ns0:f>
        <ns0:v>0</ns0:v>
      </ns0:c>
      <ns0:c r="T728" s="0">
        <ns0:f>IFERROR(MATCH(D728,Settings!$G$7:$G$11,0),0)</ns0:f>
        <ns0:v>0</ns0:v>
      </ns0:c>
      <ns0:c r="U728" s="0">
        <ns0:f>IF(N728&gt;0,T728+IF(Bookings!G728="Pending",10,0),0)</ns0:f>
        <ns0:v>0</ns0:v>
      </ns0:c>
      <ns0:c r="V728" s="0">
        <ns0:f>U728</ns0:f>
        <ns0:v>0</ns0:v>
      </ns0:c>
      <ns0:c r="W728" s="0" t="str">
        <ns0:f>IF(C728=0,"",INDEX($AP$11:$AP$60,C728))</ns0:f>
        <ns0:v/>
      </ns0:c>
    </ns0:row>
    <ns0:row r="729">
      <ns0:c r="A729" s="0">
        <ns0:f>IF(COUNTA(Bookings!A729:G729,Bookings!I729)=0,0,1)</ns0:f>
        <ns0:v>0</ns0:v>
      </ns0:c>
      <ns0:c r="B729" s="0" t="str">
        <ns0:f>IFERROR(TRIM(MID(Bookings!A729,FIND(" · ",Bookings!A729)+3,99)),"")</ns0:f>
        <ns0:v/>
      </ns0:c>
      <ns0:c r="C729" s="0">
        <ns0:f>IF(OR(B729="",LEN(B729)&gt;24,ISNUMBER(FIND(" ",B729)),ISNUMBER(FIND("*",B729)),ISNUMBER(FIND("?",B729)),ISNUMBER(FIND("~",B729))),0,IFERROR(MATCH(B729,Team!$A$11:$A$60,0),0))</ns0:f>
        <ns0:v>0</ns0:v>
      </ns0:c>
      <ns0:c r="D729" s="0" t="str">
        <ns0:f>IFERROR(IF(MID(Bookings!F729,LEN(Bookings!F729)-3,3)=" · ",RIGHT(Bookings!F729,1),""),"")</ns0:f>
        <ns0:v/>
      </ns0:c>
      <ns0:c r="E729" s="0" t="str">
        <ns0:f>IFERROR(INDEX(Settings!$H$7:$H$11,MATCH(D729,Settings!$G$7:$G$11,0)),"")</ns0:f>
        <ns0:v/>
      </ns0:c>
      <ns0:c r="F729" s="0" t="str">
        <ns0:f>IF(A729=0,"",IFERROR(IF(OR(B729="",C729=0),"CHECK employee selection",IF(INDEX(Team!$O$11:$O$60,C729)&lt;&gt;"OK","CHECK employee setup",IF(OR('_Dates'!J729=0,'_Dates'!T729=0),"CHECK date: use DD.MM.YYYY",IF('_Dates'!T729&lt;'_Dates'!J729,"CHECK end before start",IF(AND($B$6=0,OR('_Dates'!J729&lt;Settings!$B$7,'_Dates'!T729&gt;Settings!$B$8)),"CHECK split across leave years",IF(OR(NOT(OR('_Dates'!U729="Full day",'_Dates'!U729="AM",'_Dates'!U729="PM")),NOT(OR('_Dates'!V729="Full day",'_Dates'!V729="AM",'_Dates'!V729="PM"))),"CHECK Full day / AM / PM",IF(AND('_Dates'!J729='_Dates'!T729,'_Dates'!U729&lt;&gt;"Full day",'_Dates'!V729&lt;&gt;"Full day",'_Dates'!U729&lt;&gt;'_Dates'!V729),"CHECK same-day portions disagree",IF(AND($B$6=0,OR(AND('_Dates'!U729&lt;&gt;"Full day",'_Dates'!AA729=0),AND('_Dates'!V729&lt;&gt;"Full day",'_Dates'!AB729=0))),"CHECK half-day on non-working date",IF(COUNTIF(Settings!$G$7:$G$11,D729)&lt;&gt;1,"CHECK leave type",IF(AND(Bookings!G729&lt;&gt;"Approved",Bookings!G729&lt;&gt;"Pending",Bookings!G729&lt;&gt;"Cancelled"),"CHECK status","OK")))))))))),"CHECK input"))</ns0:f>
        <ns0:v/>
      </ns0:c>
      <ns0:c r="G729" s="0">
        <ns0:f>IF(OR(F729&lt;&gt;"OK",$B$6&gt;0),0,0.5*(IF(('_Dates'!X729)&lt;('_Dates'!W729),0,INT((('_Dates'!X729)-('_Dates'!W729)+1)/7)*LEN(SUBSTITUTE(W729,"O",""))+LEN(SUBSTITUTE(MID(W729&amp;W729,WEEKDAY(('_Dates'!W729),2),MOD((('_Dates'!X729)-('_Dates'!W729)+1),7)),"O",""))-COUNTIFS(INDEX(AllClosureRows,C729,0),"&gt;="&amp;('_Dates'!W729),INDEX(AllClosureRows,C729,0),"&lt;="&amp;('_Dates'!X729)))+IF(('_Dates'!Z729)&lt;('_Dates'!Y729),0,INT((('_Dates'!Z729)-('_Dates'!Y729)+1)/7)*LEN(SUBSTITUTE(W729,"O",""))+LEN(SUBSTITUTE(MID(W729&amp;W729,WEEKDAY(('_Dates'!Y729),2),MOD((('_Dates'!Z729)-('_Dates'!Y729)+1),7)),"O",""))-COUNTIFS(INDEX(AllClosureRows,C729,0),"&gt;="&amp;('_Dates'!Y729),INDEX(AllClosureRows,C729,0),"&lt;="&amp;('_Dates'!Z729)))))</ns0:f>
        <ns0:v>0</ns0:v>
      </ns0:c>
      <ns0:c r="H729" s="0">
        <ns0:f>IF(OR(F729&lt;&gt;"OK",$B$6&gt;0),0,0.5*(IF((MIN('_Dates'!X729,Settings!$B$9))&lt;('_Dates'!W729),0,INT(((MIN('_Dates'!X729,Settings!$B$9))-('_Dates'!W729)+1)/7)*LEN(SUBSTITUTE(W729,"O",""))+LEN(SUBSTITUTE(MID(W729&amp;W729,WEEKDAY(('_Dates'!W729),2),MOD(((MIN('_Dates'!X729,Settings!$B$9))-('_Dates'!W729)+1),7)),"O",""))-COUNTIFS(INDEX(AllClosureRows,C729,0),"&gt;="&amp;('_Dates'!W729),INDEX(AllClosureRows,C729,0),"&lt;="&amp;(MIN('_Dates'!X729,Settings!$B$9))))+IF((MIN('_Dates'!Z729,Settings!$B$9))&lt;('_Dates'!Y729),0,INT(((MIN('_Dates'!Z729,Settings!$B$9))-('_Dates'!Y729)+1)/7)*LEN(SUBSTITUTE(W729,"O",""))+LEN(SUBSTITUTE(MID(W729&amp;W729,WEEKDAY(('_Dates'!Y729),2),MOD(((MIN('_Dates'!Z729,Settings!$B$9))-('_Dates'!Y729)+1),7)),"O",""))-COUNTIFS(INDEX(AllClosureRows,C729,0),"&gt;="&amp;('_Dates'!Y729),INDEX(AllClosureRows,C729,0),"&lt;="&amp;(MIN('_Dates'!Z729,Settings!$B$9))))))</ns0:f>
        <ns0:v>0</ns0:v>
      </ns0:c>
      <ns0:c r="I729" s="0">
        <ns0:f>MAX(0,G729-H729)</ns0:f>
        <ns0:v>0</ns0:v>
      </ns0:c>
      <ns0:c r="J729" s="0">
        <ns0:f>IF(OR(A729=0,F729&lt;&gt;"OK",Bookings!G729="Cancelled",$B$6&gt;0),0,IF('_Dates'!AC729=1,MAX(0,COUNTIFS(rngEngine_B,B729,rngAMStart,"&lt;="&amp;'_Dates'!X729,rngAMEnd,"&gt;="&amp;'_Dates'!W729,rngAMActive,1,rngEngine_F,"OK",rngBookings_F,"&lt;&gt;Cancelled")-1),0)+IF('_Dates'!AD729=1,MAX(0,COUNTIFS(rngEngine_B,B729,rngPMStart,"&lt;="&amp;'_Dates'!Z729,rngPMEnd,"&gt;="&amp;'_Dates'!Y729,rngPMActive,1,rngEngine_F,"OK",rngBookings_F,"&lt;&gt;Cancelled")-1),0))</ns0:f>
        <ns0:v>0</ns0:v>
      </ns0:c>
      <ns0:c r="K729" s="0" t="str">
        <ns0:f>IF(A729=0,"",IF(F729&lt;&gt;"OK",F729,IF(J729&gt;0,"CHECK overlapping entry",IF(AND($B$6=0,G729&lt;=0,Bookings!G729&lt;&gt;"Cancelled"),"CHECK no working days",IF(Bookings!G729="Cancelled","Cancelled","OK")))))</ns0:f>
        <ns0:v/>
      </ns0:c>
      <ns0:c r="L729" s="0">
        <ns0:f>IF(LEFT(K729,5)="CHECK",1,0)</ns0:f>
        <ns0:v>0</ns0:v>
      </ns0:c>
      <ns0:c r="M729" s="0">
        <ns0:f>IF(AND(L729=1,OR(C729=0,IFERROR(INDEX($X$11:$X$60,C729),0)=0)),1,0)</ns0:f>
        <ns0:v>0</ns0:v>
      </ns0:c>
      <ns0:c r="N729" s="0">
        <ns0:f>IF(OR(A729=0,L729&gt;0,$B$6&gt;0,Bookings!G729="Cancelled"),0,G729)</ns0:f>
        <ns0:v>0</ns0:v>
      </ns0:c>
      <ns0:c r="O729" s="0">
        <ns0:f>IF(AND(Bookings!G729="Approved",E729="Yes"),N729,0)</ns0:f>
        <ns0:v>0</ns0:v>
      </ns0:c>
      <ns0:c r="P729" s="0">
        <ns0:f>IF(AND(Bookings!G729="Approved",E729="Yes",L729=0,$B$6=0),H729,0)</ns0:f>
        <ns0:v>0</ns0:v>
      </ns0:c>
      <ns0:c r="Q729" s="0">
        <ns0:f>IF(AND(Bookings!G729="Approved",E729="Yes",L729=0,$B$6=0),I729,0)</ns0:f>
        <ns0:v>0</ns0:v>
      </ns0:c>
      <ns0:c r="R729" s="0">
        <ns0:f>IF(AND(Bookings!G729="Pending",E729="Yes"),N729,0)</ns0:f>
        <ns0:v>0</ns0:v>
      </ns0:c>
      <ns0:c r="S729" s="0">
        <ns0:f>IF(AND(Bookings!G729="Approved",E729="No"),N729,0)</ns0:f>
        <ns0:v>0</ns0:v>
      </ns0:c>
      <ns0:c r="T729" s="0">
        <ns0:f>IFERROR(MATCH(D729,Settings!$G$7:$G$11,0),0)</ns0:f>
        <ns0:v>0</ns0:v>
      </ns0:c>
      <ns0:c r="U729" s="0">
        <ns0:f>IF(N729&gt;0,T729+IF(Bookings!G729="Pending",10,0),0)</ns0:f>
        <ns0:v>0</ns0:v>
      </ns0:c>
      <ns0:c r="V729" s="0">
        <ns0:f>U729</ns0:f>
        <ns0:v>0</ns0:v>
      </ns0:c>
      <ns0:c r="W729" s="0" t="str">
        <ns0:f>IF(C729=0,"",INDEX($AP$11:$AP$60,C729))</ns0:f>
        <ns0:v/>
      </ns0:c>
    </ns0:row>
    <ns0:row r="730">
      <ns0:c r="A730" s="0">
        <ns0:f>IF(COUNTA(Bookings!A730:G730,Bookings!I730)=0,0,1)</ns0:f>
        <ns0:v>0</ns0:v>
      </ns0:c>
      <ns0:c r="B730" s="0" t="str">
        <ns0:f>IFERROR(TRIM(MID(Bookings!A730,FIND(" · ",Bookings!A730)+3,99)),"")</ns0:f>
        <ns0:v/>
      </ns0:c>
      <ns0:c r="C730" s="0">
        <ns0:f>IF(OR(B730="",LEN(B730)&gt;24,ISNUMBER(FIND(" ",B730)),ISNUMBER(FIND("*",B730)),ISNUMBER(FIND("?",B730)),ISNUMBER(FIND("~",B730))),0,IFERROR(MATCH(B730,Team!$A$11:$A$60,0),0))</ns0:f>
        <ns0:v>0</ns0:v>
      </ns0:c>
      <ns0:c r="D730" s="0" t="str">
        <ns0:f>IFERROR(IF(MID(Bookings!F730,LEN(Bookings!F730)-3,3)=" · ",RIGHT(Bookings!F730,1),""),"")</ns0:f>
        <ns0:v/>
      </ns0:c>
      <ns0:c r="E730" s="0" t="str">
        <ns0:f>IFERROR(INDEX(Settings!$H$7:$H$11,MATCH(D730,Settings!$G$7:$G$11,0)),"")</ns0:f>
        <ns0:v/>
      </ns0:c>
      <ns0:c r="F730" s="0" t="str">
        <ns0:f>IF(A730=0,"",IFERROR(IF(OR(B730="",C730=0),"CHECK employee selection",IF(INDEX(Team!$O$11:$O$60,C730)&lt;&gt;"OK","CHECK employee setup",IF(OR('_Dates'!J730=0,'_Dates'!T730=0),"CHECK date: use DD.MM.YYYY",IF('_Dates'!T730&lt;'_Dates'!J730,"CHECK end before start",IF(AND($B$6=0,OR('_Dates'!J730&lt;Settings!$B$7,'_Dates'!T730&gt;Settings!$B$8)),"CHECK split across leave years",IF(OR(NOT(OR('_Dates'!U730="Full day",'_Dates'!U730="AM",'_Dates'!U730="PM")),NOT(OR('_Dates'!V730="Full day",'_Dates'!V730="AM",'_Dates'!V730="PM"))),"CHECK Full day / AM / PM",IF(AND('_Dates'!J730='_Dates'!T730,'_Dates'!U730&lt;&gt;"Full day",'_Dates'!V730&lt;&gt;"Full day",'_Dates'!U730&lt;&gt;'_Dates'!V730),"CHECK same-day portions disagree",IF(AND($B$6=0,OR(AND('_Dates'!U730&lt;&gt;"Full day",'_Dates'!AA730=0),AND('_Dates'!V730&lt;&gt;"Full day",'_Dates'!AB730=0))),"CHECK half-day on non-working date",IF(COUNTIF(Settings!$G$7:$G$11,D730)&lt;&gt;1,"CHECK leave type",IF(AND(Bookings!G730&lt;&gt;"Approved",Bookings!G730&lt;&gt;"Pending",Bookings!G730&lt;&gt;"Cancelled"),"CHECK status","OK")))))))))),"CHECK input"))</ns0:f>
        <ns0:v/>
      </ns0:c>
      <ns0:c r="G730" s="0">
        <ns0:f>IF(OR(F730&lt;&gt;"OK",$B$6&gt;0),0,0.5*(IF(('_Dates'!X730)&lt;('_Dates'!W730),0,INT((('_Dates'!X730)-('_Dates'!W730)+1)/7)*LEN(SUBSTITUTE(W730,"O",""))+LEN(SUBSTITUTE(MID(W730&amp;W730,WEEKDAY(('_Dates'!W730),2),MOD((('_Dates'!X730)-('_Dates'!W730)+1),7)),"O",""))-COUNTIFS(INDEX(AllClosureRows,C730,0),"&gt;="&amp;('_Dates'!W730),INDEX(AllClosureRows,C730,0),"&lt;="&amp;('_Dates'!X730)))+IF(('_Dates'!Z730)&lt;('_Dates'!Y730),0,INT((('_Dates'!Z730)-('_Dates'!Y730)+1)/7)*LEN(SUBSTITUTE(W730,"O",""))+LEN(SUBSTITUTE(MID(W730&amp;W730,WEEKDAY(('_Dates'!Y730),2),MOD((('_Dates'!Z730)-('_Dates'!Y730)+1),7)),"O",""))-COUNTIFS(INDEX(AllClosureRows,C730,0),"&gt;="&amp;('_Dates'!Y730),INDEX(AllClosureRows,C730,0),"&lt;="&amp;('_Dates'!Z730)))))</ns0:f>
        <ns0:v>0</ns0:v>
      </ns0:c>
      <ns0:c r="H730" s="0">
        <ns0:f>IF(OR(F730&lt;&gt;"OK",$B$6&gt;0),0,0.5*(IF((MIN('_Dates'!X730,Settings!$B$9))&lt;('_Dates'!W730),0,INT(((MIN('_Dates'!X730,Settings!$B$9))-('_Dates'!W730)+1)/7)*LEN(SUBSTITUTE(W730,"O",""))+LEN(SUBSTITUTE(MID(W730&amp;W730,WEEKDAY(('_Dates'!W730),2),MOD(((MIN('_Dates'!X730,Settings!$B$9))-('_Dates'!W730)+1),7)),"O",""))-COUNTIFS(INDEX(AllClosureRows,C730,0),"&gt;="&amp;('_Dates'!W730),INDEX(AllClosureRows,C730,0),"&lt;="&amp;(MIN('_Dates'!X730,Settings!$B$9))))+IF((MIN('_Dates'!Z730,Settings!$B$9))&lt;('_Dates'!Y730),0,INT(((MIN('_Dates'!Z730,Settings!$B$9))-('_Dates'!Y730)+1)/7)*LEN(SUBSTITUTE(W730,"O",""))+LEN(SUBSTITUTE(MID(W730&amp;W730,WEEKDAY(('_Dates'!Y730),2),MOD(((MIN('_Dates'!Z730,Settings!$B$9))-('_Dates'!Y730)+1),7)),"O",""))-COUNTIFS(INDEX(AllClosureRows,C730,0),"&gt;="&amp;('_Dates'!Y730),INDEX(AllClosureRows,C730,0),"&lt;="&amp;(MIN('_Dates'!Z730,Settings!$B$9))))))</ns0:f>
        <ns0:v>0</ns0:v>
      </ns0:c>
      <ns0:c r="I730" s="0">
        <ns0:f>MAX(0,G730-H730)</ns0:f>
        <ns0:v>0</ns0:v>
      </ns0:c>
      <ns0:c r="J730" s="0">
        <ns0:f>IF(OR(A730=0,F730&lt;&gt;"OK",Bookings!G730="Cancelled",$B$6&gt;0),0,IF('_Dates'!AC730=1,MAX(0,COUNTIFS(rngEngine_B,B730,rngAMStart,"&lt;="&amp;'_Dates'!X730,rngAMEnd,"&gt;="&amp;'_Dates'!W730,rngAMActive,1,rngEngine_F,"OK",rngBookings_F,"&lt;&gt;Cancelled")-1),0)+IF('_Dates'!AD730=1,MAX(0,COUNTIFS(rngEngine_B,B730,rngPMStart,"&lt;="&amp;'_Dates'!Z730,rngPMEnd,"&gt;="&amp;'_Dates'!Y730,rngPMActive,1,rngEngine_F,"OK",rngBookings_F,"&lt;&gt;Cancelled")-1),0))</ns0:f>
        <ns0:v>0</ns0:v>
      </ns0:c>
      <ns0:c r="K730" s="0" t="str">
        <ns0:f>IF(A730=0,"",IF(F730&lt;&gt;"OK",F730,IF(J730&gt;0,"CHECK overlapping entry",IF(AND($B$6=0,G730&lt;=0,Bookings!G730&lt;&gt;"Cancelled"),"CHECK no working days",IF(Bookings!G730="Cancelled","Cancelled","OK")))))</ns0:f>
        <ns0:v/>
      </ns0:c>
      <ns0:c r="L730" s="0">
        <ns0:f>IF(LEFT(K730,5)="CHECK",1,0)</ns0:f>
        <ns0:v>0</ns0:v>
      </ns0:c>
      <ns0:c r="M730" s="0">
        <ns0:f>IF(AND(L730=1,OR(C730=0,IFERROR(INDEX($X$11:$X$60,C730),0)=0)),1,0)</ns0:f>
        <ns0:v>0</ns0:v>
      </ns0:c>
      <ns0:c r="N730" s="0">
        <ns0:f>IF(OR(A730=0,L730&gt;0,$B$6&gt;0,Bookings!G730="Cancelled"),0,G730)</ns0:f>
        <ns0:v>0</ns0:v>
      </ns0:c>
      <ns0:c r="O730" s="0">
        <ns0:f>IF(AND(Bookings!G730="Approved",E730="Yes"),N730,0)</ns0:f>
        <ns0:v>0</ns0:v>
      </ns0:c>
      <ns0:c r="P730" s="0">
        <ns0:f>IF(AND(Bookings!G730="Approved",E730="Yes",L730=0,$B$6=0),H730,0)</ns0:f>
        <ns0:v>0</ns0:v>
      </ns0:c>
      <ns0:c r="Q730" s="0">
        <ns0:f>IF(AND(Bookings!G730="Approved",E730="Yes",L730=0,$B$6=0),I730,0)</ns0:f>
        <ns0:v>0</ns0:v>
      </ns0:c>
      <ns0:c r="R730" s="0">
        <ns0:f>IF(AND(Bookings!G730="Pending",E730="Yes"),N730,0)</ns0:f>
        <ns0:v>0</ns0:v>
      </ns0:c>
      <ns0:c r="S730" s="0">
        <ns0:f>IF(AND(Bookings!G730="Approved",E730="No"),N730,0)</ns0:f>
        <ns0:v>0</ns0:v>
      </ns0:c>
      <ns0:c r="T730" s="0">
        <ns0:f>IFERROR(MATCH(D730,Settings!$G$7:$G$11,0),0)</ns0:f>
        <ns0:v>0</ns0:v>
      </ns0:c>
      <ns0:c r="U730" s="0">
        <ns0:f>IF(N730&gt;0,T730+IF(Bookings!G730="Pending",10,0),0)</ns0:f>
        <ns0:v>0</ns0:v>
      </ns0:c>
      <ns0:c r="V730" s="0">
        <ns0:f>U730</ns0:f>
        <ns0:v>0</ns0:v>
      </ns0:c>
      <ns0:c r="W730" s="0" t="str">
        <ns0:f>IF(C730=0,"",INDEX($AP$11:$AP$60,C730))</ns0:f>
        <ns0:v/>
      </ns0:c>
    </ns0:row>
    <ns0:row r="731">
      <ns0:c r="A731" s="0">
        <ns0:f>IF(COUNTA(Bookings!A731:G731,Bookings!I731)=0,0,1)</ns0:f>
        <ns0:v>0</ns0:v>
      </ns0:c>
      <ns0:c r="B731" s="0" t="str">
        <ns0:f>IFERROR(TRIM(MID(Bookings!A731,FIND(" · ",Bookings!A731)+3,99)),"")</ns0:f>
        <ns0:v/>
      </ns0:c>
      <ns0:c r="C731" s="0">
        <ns0:f>IF(OR(B731="",LEN(B731)&gt;24,ISNUMBER(FIND(" ",B731)),ISNUMBER(FIND("*",B731)),ISNUMBER(FIND("?",B731)),ISNUMBER(FIND("~",B731))),0,IFERROR(MATCH(B731,Team!$A$11:$A$60,0),0))</ns0:f>
        <ns0:v>0</ns0:v>
      </ns0:c>
      <ns0:c r="D731" s="0" t="str">
        <ns0:f>IFERROR(IF(MID(Bookings!F731,LEN(Bookings!F731)-3,3)=" · ",RIGHT(Bookings!F731,1),""),"")</ns0:f>
        <ns0:v/>
      </ns0:c>
      <ns0:c r="E731" s="0" t="str">
        <ns0:f>IFERROR(INDEX(Settings!$H$7:$H$11,MATCH(D731,Settings!$G$7:$G$11,0)),"")</ns0:f>
        <ns0:v/>
      </ns0:c>
      <ns0:c r="F731" s="0" t="str">
        <ns0:f>IF(A731=0,"",IFERROR(IF(OR(B731="",C731=0),"CHECK employee selection",IF(INDEX(Team!$O$11:$O$60,C731)&lt;&gt;"OK","CHECK employee setup",IF(OR('_Dates'!J731=0,'_Dates'!T731=0),"CHECK date: use DD.MM.YYYY",IF('_Dates'!T731&lt;'_Dates'!J731,"CHECK end before start",IF(AND($B$6=0,OR('_Dates'!J731&lt;Settings!$B$7,'_Dates'!T731&gt;Settings!$B$8)),"CHECK split across leave years",IF(OR(NOT(OR('_Dates'!U731="Full day",'_Dates'!U731="AM",'_Dates'!U731="PM")),NOT(OR('_Dates'!V731="Full day",'_Dates'!V731="AM",'_Dates'!V731="PM"))),"CHECK Full day / AM / PM",IF(AND('_Dates'!J731='_Dates'!T731,'_Dates'!U731&lt;&gt;"Full day",'_Dates'!V731&lt;&gt;"Full day",'_Dates'!U731&lt;&gt;'_Dates'!V731),"CHECK same-day portions disagree",IF(AND($B$6=0,OR(AND('_Dates'!U731&lt;&gt;"Full day",'_Dates'!AA731=0),AND('_Dates'!V731&lt;&gt;"Full day",'_Dates'!AB731=0))),"CHECK half-day on non-working date",IF(COUNTIF(Settings!$G$7:$G$11,D731)&lt;&gt;1,"CHECK leave type",IF(AND(Bookings!G731&lt;&gt;"Approved",Bookings!G731&lt;&gt;"Pending",Bookings!G731&lt;&gt;"Cancelled"),"CHECK status","OK")))))))))),"CHECK input"))</ns0:f>
        <ns0:v/>
      </ns0:c>
      <ns0:c r="G731" s="0">
        <ns0:f>IF(OR(F731&lt;&gt;"OK",$B$6&gt;0),0,0.5*(IF(('_Dates'!X731)&lt;('_Dates'!W731),0,INT((('_Dates'!X731)-('_Dates'!W731)+1)/7)*LEN(SUBSTITUTE(W731,"O",""))+LEN(SUBSTITUTE(MID(W731&amp;W731,WEEKDAY(('_Dates'!W731),2),MOD((('_Dates'!X731)-('_Dates'!W731)+1),7)),"O",""))-COUNTIFS(INDEX(AllClosureRows,C731,0),"&gt;="&amp;('_Dates'!W731),INDEX(AllClosureRows,C731,0),"&lt;="&amp;('_Dates'!X731)))+IF(('_Dates'!Z731)&lt;('_Dates'!Y731),0,INT((('_Dates'!Z731)-('_Dates'!Y731)+1)/7)*LEN(SUBSTITUTE(W731,"O",""))+LEN(SUBSTITUTE(MID(W731&amp;W731,WEEKDAY(('_Dates'!Y731),2),MOD((('_Dates'!Z731)-('_Dates'!Y731)+1),7)),"O",""))-COUNTIFS(INDEX(AllClosureRows,C731,0),"&gt;="&amp;('_Dates'!Y731),INDEX(AllClosureRows,C731,0),"&lt;="&amp;('_Dates'!Z731)))))</ns0:f>
        <ns0:v>0</ns0:v>
      </ns0:c>
      <ns0:c r="H731" s="0">
        <ns0:f>IF(OR(F731&lt;&gt;"OK",$B$6&gt;0),0,0.5*(IF((MIN('_Dates'!X731,Settings!$B$9))&lt;('_Dates'!W731),0,INT(((MIN('_Dates'!X731,Settings!$B$9))-('_Dates'!W731)+1)/7)*LEN(SUBSTITUTE(W731,"O",""))+LEN(SUBSTITUTE(MID(W731&amp;W731,WEEKDAY(('_Dates'!W731),2),MOD(((MIN('_Dates'!X731,Settings!$B$9))-('_Dates'!W731)+1),7)),"O",""))-COUNTIFS(INDEX(AllClosureRows,C731,0),"&gt;="&amp;('_Dates'!W731),INDEX(AllClosureRows,C731,0),"&lt;="&amp;(MIN('_Dates'!X731,Settings!$B$9))))+IF((MIN('_Dates'!Z731,Settings!$B$9))&lt;('_Dates'!Y731),0,INT(((MIN('_Dates'!Z731,Settings!$B$9))-('_Dates'!Y731)+1)/7)*LEN(SUBSTITUTE(W731,"O",""))+LEN(SUBSTITUTE(MID(W731&amp;W731,WEEKDAY(('_Dates'!Y731),2),MOD(((MIN('_Dates'!Z731,Settings!$B$9))-('_Dates'!Y731)+1),7)),"O",""))-COUNTIFS(INDEX(AllClosureRows,C731,0),"&gt;="&amp;('_Dates'!Y731),INDEX(AllClosureRows,C731,0),"&lt;="&amp;(MIN('_Dates'!Z731,Settings!$B$9))))))</ns0:f>
        <ns0:v>0</ns0:v>
      </ns0:c>
      <ns0:c r="I731" s="0">
        <ns0:f>MAX(0,G731-H731)</ns0:f>
        <ns0:v>0</ns0:v>
      </ns0:c>
      <ns0:c r="J731" s="0">
        <ns0:f>IF(OR(A731=0,F731&lt;&gt;"OK",Bookings!G731="Cancelled",$B$6&gt;0),0,IF('_Dates'!AC731=1,MAX(0,COUNTIFS(rngEngine_B,B731,rngAMStart,"&lt;="&amp;'_Dates'!X731,rngAMEnd,"&gt;="&amp;'_Dates'!W731,rngAMActive,1,rngEngine_F,"OK",rngBookings_F,"&lt;&gt;Cancelled")-1),0)+IF('_Dates'!AD731=1,MAX(0,COUNTIFS(rngEngine_B,B731,rngPMStart,"&lt;="&amp;'_Dates'!Z731,rngPMEnd,"&gt;="&amp;'_Dates'!Y731,rngPMActive,1,rngEngine_F,"OK",rngBookings_F,"&lt;&gt;Cancelled")-1),0))</ns0:f>
        <ns0:v>0</ns0:v>
      </ns0:c>
      <ns0:c r="K731" s="0" t="str">
        <ns0:f>IF(A731=0,"",IF(F731&lt;&gt;"OK",F731,IF(J731&gt;0,"CHECK overlapping entry",IF(AND($B$6=0,G731&lt;=0,Bookings!G731&lt;&gt;"Cancelled"),"CHECK no working days",IF(Bookings!G731="Cancelled","Cancelled","OK")))))</ns0:f>
        <ns0:v/>
      </ns0:c>
      <ns0:c r="L731" s="0">
        <ns0:f>IF(LEFT(K731,5)="CHECK",1,0)</ns0:f>
        <ns0:v>0</ns0:v>
      </ns0:c>
      <ns0:c r="M731" s="0">
        <ns0:f>IF(AND(L731=1,OR(C731=0,IFERROR(INDEX($X$11:$X$60,C731),0)=0)),1,0)</ns0:f>
        <ns0:v>0</ns0:v>
      </ns0:c>
      <ns0:c r="N731" s="0">
        <ns0:f>IF(OR(A731=0,L731&gt;0,$B$6&gt;0,Bookings!G731="Cancelled"),0,G731)</ns0:f>
        <ns0:v>0</ns0:v>
      </ns0:c>
      <ns0:c r="O731" s="0">
        <ns0:f>IF(AND(Bookings!G731="Approved",E731="Yes"),N731,0)</ns0:f>
        <ns0:v>0</ns0:v>
      </ns0:c>
      <ns0:c r="P731" s="0">
        <ns0:f>IF(AND(Bookings!G731="Approved",E731="Yes",L731=0,$B$6=0),H731,0)</ns0:f>
        <ns0:v>0</ns0:v>
      </ns0:c>
      <ns0:c r="Q731" s="0">
        <ns0:f>IF(AND(Bookings!G731="Approved",E731="Yes",L731=0,$B$6=0),I731,0)</ns0:f>
        <ns0:v>0</ns0:v>
      </ns0:c>
      <ns0:c r="R731" s="0">
        <ns0:f>IF(AND(Bookings!G731="Pending",E731="Yes"),N731,0)</ns0:f>
        <ns0:v>0</ns0:v>
      </ns0:c>
      <ns0:c r="S731" s="0">
        <ns0:f>IF(AND(Bookings!G731="Approved",E731="No"),N731,0)</ns0:f>
        <ns0:v>0</ns0:v>
      </ns0:c>
      <ns0:c r="T731" s="0">
        <ns0:f>IFERROR(MATCH(D731,Settings!$G$7:$G$11,0),0)</ns0:f>
        <ns0:v>0</ns0:v>
      </ns0:c>
      <ns0:c r="U731" s="0">
        <ns0:f>IF(N731&gt;0,T731+IF(Bookings!G731="Pending",10,0),0)</ns0:f>
        <ns0:v>0</ns0:v>
      </ns0:c>
      <ns0:c r="V731" s="0">
        <ns0:f>U731</ns0:f>
        <ns0:v>0</ns0:v>
      </ns0:c>
      <ns0:c r="W731" s="0" t="str">
        <ns0:f>IF(C731=0,"",INDEX($AP$11:$AP$60,C731))</ns0:f>
        <ns0:v/>
      </ns0:c>
    </ns0:row>
    <ns0:row r="732">
      <ns0:c r="A732" s="0">
        <ns0:f>IF(COUNTA(Bookings!A732:G732,Bookings!I732)=0,0,1)</ns0:f>
        <ns0:v>0</ns0:v>
      </ns0:c>
      <ns0:c r="B732" s="0" t="str">
        <ns0:f>IFERROR(TRIM(MID(Bookings!A732,FIND(" · ",Bookings!A732)+3,99)),"")</ns0:f>
        <ns0:v/>
      </ns0:c>
      <ns0:c r="C732" s="0">
        <ns0:f>IF(OR(B732="",LEN(B732)&gt;24,ISNUMBER(FIND(" ",B732)),ISNUMBER(FIND("*",B732)),ISNUMBER(FIND("?",B732)),ISNUMBER(FIND("~",B732))),0,IFERROR(MATCH(B732,Team!$A$11:$A$60,0),0))</ns0:f>
        <ns0:v>0</ns0:v>
      </ns0:c>
      <ns0:c r="D732" s="0" t="str">
        <ns0:f>IFERROR(IF(MID(Bookings!F732,LEN(Bookings!F732)-3,3)=" · ",RIGHT(Bookings!F732,1),""),"")</ns0:f>
        <ns0:v/>
      </ns0:c>
      <ns0:c r="E732" s="0" t="str">
        <ns0:f>IFERROR(INDEX(Settings!$H$7:$H$11,MATCH(D732,Settings!$G$7:$G$11,0)),"")</ns0:f>
        <ns0:v/>
      </ns0:c>
      <ns0:c r="F732" s="0" t="str">
        <ns0:f>IF(A732=0,"",IFERROR(IF(OR(B732="",C732=0),"CHECK employee selection",IF(INDEX(Team!$O$11:$O$60,C732)&lt;&gt;"OK","CHECK employee setup",IF(OR('_Dates'!J732=0,'_Dates'!T732=0),"CHECK date: use DD.MM.YYYY",IF('_Dates'!T732&lt;'_Dates'!J732,"CHECK end before start",IF(AND($B$6=0,OR('_Dates'!J732&lt;Settings!$B$7,'_Dates'!T732&gt;Settings!$B$8)),"CHECK split across leave years",IF(OR(NOT(OR('_Dates'!U732="Full day",'_Dates'!U732="AM",'_Dates'!U732="PM")),NOT(OR('_Dates'!V732="Full day",'_Dates'!V732="AM",'_Dates'!V732="PM"))),"CHECK Full day / AM / PM",IF(AND('_Dates'!J732='_Dates'!T732,'_Dates'!U732&lt;&gt;"Full day",'_Dates'!V732&lt;&gt;"Full day",'_Dates'!U732&lt;&gt;'_Dates'!V732),"CHECK same-day portions disagree",IF(AND($B$6=0,OR(AND('_Dates'!U732&lt;&gt;"Full day",'_Dates'!AA732=0),AND('_Dates'!V732&lt;&gt;"Full day",'_Dates'!AB732=0))),"CHECK half-day on non-working date",IF(COUNTIF(Settings!$G$7:$G$11,D732)&lt;&gt;1,"CHECK leave type",IF(AND(Bookings!G732&lt;&gt;"Approved",Bookings!G732&lt;&gt;"Pending",Bookings!G732&lt;&gt;"Cancelled"),"CHECK status","OK")))))))))),"CHECK input"))</ns0:f>
        <ns0:v/>
      </ns0:c>
      <ns0:c r="G732" s="0">
        <ns0:f>IF(OR(F732&lt;&gt;"OK",$B$6&gt;0),0,0.5*(IF(('_Dates'!X732)&lt;('_Dates'!W732),0,INT((('_Dates'!X732)-('_Dates'!W732)+1)/7)*LEN(SUBSTITUTE(W732,"O",""))+LEN(SUBSTITUTE(MID(W732&amp;W732,WEEKDAY(('_Dates'!W732),2),MOD((('_Dates'!X732)-('_Dates'!W732)+1),7)),"O",""))-COUNTIFS(INDEX(AllClosureRows,C732,0),"&gt;="&amp;('_Dates'!W732),INDEX(AllClosureRows,C732,0),"&lt;="&amp;('_Dates'!X732)))+IF(('_Dates'!Z732)&lt;('_Dates'!Y732),0,INT((('_Dates'!Z732)-('_Dates'!Y732)+1)/7)*LEN(SUBSTITUTE(W732,"O",""))+LEN(SUBSTITUTE(MID(W732&amp;W732,WEEKDAY(('_Dates'!Y732),2),MOD((('_Dates'!Z732)-('_Dates'!Y732)+1),7)),"O",""))-COUNTIFS(INDEX(AllClosureRows,C732,0),"&gt;="&amp;('_Dates'!Y732),INDEX(AllClosureRows,C732,0),"&lt;="&amp;('_Dates'!Z732)))))</ns0:f>
        <ns0:v>0</ns0:v>
      </ns0:c>
      <ns0:c r="H732" s="0">
        <ns0:f>IF(OR(F732&lt;&gt;"OK",$B$6&gt;0),0,0.5*(IF((MIN('_Dates'!X732,Settings!$B$9))&lt;('_Dates'!W732),0,INT(((MIN('_Dates'!X732,Settings!$B$9))-('_Dates'!W732)+1)/7)*LEN(SUBSTITUTE(W732,"O",""))+LEN(SUBSTITUTE(MID(W732&amp;W732,WEEKDAY(('_Dates'!W732),2),MOD(((MIN('_Dates'!X732,Settings!$B$9))-('_Dates'!W732)+1),7)),"O",""))-COUNTIFS(INDEX(AllClosureRows,C732,0),"&gt;="&amp;('_Dates'!W732),INDEX(AllClosureRows,C732,0),"&lt;="&amp;(MIN('_Dates'!X732,Settings!$B$9))))+IF((MIN('_Dates'!Z732,Settings!$B$9))&lt;('_Dates'!Y732),0,INT(((MIN('_Dates'!Z732,Settings!$B$9))-('_Dates'!Y732)+1)/7)*LEN(SUBSTITUTE(W732,"O",""))+LEN(SUBSTITUTE(MID(W732&amp;W732,WEEKDAY(('_Dates'!Y732),2),MOD(((MIN('_Dates'!Z732,Settings!$B$9))-('_Dates'!Y732)+1),7)),"O",""))-COUNTIFS(INDEX(AllClosureRows,C732,0),"&gt;="&amp;('_Dates'!Y732),INDEX(AllClosureRows,C732,0),"&lt;="&amp;(MIN('_Dates'!Z732,Settings!$B$9))))))</ns0:f>
        <ns0:v>0</ns0:v>
      </ns0:c>
      <ns0:c r="I732" s="0">
        <ns0:f>MAX(0,G732-H732)</ns0:f>
        <ns0:v>0</ns0:v>
      </ns0:c>
      <ns0:c r="J732" s="0">
        <ns0:f>IF(OR(A732=0,F732&lt;&gt;"OK",Bookings!G732="Cancelled",$B$6&gt;0),0,IF('_Dates'!AC732=1,MAX(0,COUNTIFS(rngEngine_B,B732,rngAMStart,"&lt;="&amp;'_Dates'!X732,rngAMEnd,"&gt;="&amp;'_Dates'!W732,rngAMActive,1,rngEngine_F,"OK",rngBookings_F,"&lt;&gt;Cancelled")-1),0)+IF('_Dates'!AD732=1,MAX(0,COUNTIFS(rngEngine_B,B732,rngPMStart,"&lt;="&amp;'_Dates'!Z732,rngPMEnd,"&gt;="&amp;'_Dates'!Y732,rngPMActive,1,rngEngine_F,"OK",rngBookings_F,"&lt;&gt;Cancelled")-1),0))</ns0:f>
        <ns0:v>0</ns0:v>
      </ns0:c>
      <ns0:c r="K732" s="0" t="str">
        <ns0:f>IF(A732=0,"",IF(F732&lt;&gt;"OK",F732,IF(J732&gt;0,"CHECK overlapping entry",IF(AND($B$6=0,G732&lt;=0,Bookings!G732&lt;&gt;"Cancelled"),"CHECK no working days",IF(Bookings!G732="Cancelled","Cancelled","OK")))))</ns0:f>
        <ns0:v/>
      </ns0:c>
      <ns0:c r="L732" s="0">
        <ns0:f>IF(LEFT(K732,5)="CHECK",1,0)</ns0:f>
        <ns0:v>0</ns0:v>
      </ns0:c>
      <ns0:c r="M732" s="0">
        <ns0:f>IF(AND(L732=1,OR(C732=0,IFERROR(INDEX($X$11:$X$60,C732),0)=0)),1,0)</ns0:f>
        <ns0:v>0</ns0:v>
      </ns0:c>
      <ns0:c r="N732" s="0">
        <ns0:f>IF(OR(A732=0,L732&gt;0,$B$6&gt;0,Bookings!G732="Cancelled"),0,G732)</ns0:f>
        <ns0:v>0</ns0:v>
      </ns0:c>
      <ns0:c r="O732" s="0">
        <ns0:f>IF(AND(Bookings!G732="Approved",E732="Yes"),N732,0)</ns0:f>
        <ns0:v>0</ns0:v>
      </ns0:c>
      <ns0:c r="P732" s="0">
        <ns0:f>IF(AND(Bookings!G732="Approved",E732="Yes",L732=0,$B$6=0),H732,0)</ns0:f>
        <ns0:v>0</ns0:v>
      </ns0:c>
      <ns0:c r="Q732" s="0">
        <ns0:f>IF(AND(Bookings!G732="Approved",E732="Yes",L732=0,$B$6=0),I732,0)</ns0:f>
        <ns0:v>0</ns0:v>
      </ns0:c>
      <ns0:c r="R732" s="0">
        <ns0:f>IF(AND(Bookings!G732="Pending",E732="Yes"),N732,0)</ns0:f>
        <ns0:v>0</ns0:v>
      </ns0:c>
      <ns0:c r="S732" s="0">
        <ns0:f>IF(AND(Bookings!G732="Approved",E732="No"),N732,0)</ns0:f>
        <ns0:v>0</ns0:v>
      </ns0:c>
      <ns0:c r="T732" s="0">
        <ns0:f>IFERROR(MATCH(D732,Settings!$G$7:$G$11,0),0)</ns0:f>
        <ns0:v>0</ns0:v>
      </ns0:c>
      <ns0:c r="U732" s="0">
        <ns0:f>IF(N732&gt;0,T732+IF(Bookings!G732="Pending",10,0),0)</ns0:f>
        <ns0:v>0</ns0:v>
      </ns0:c>
      <ns0:c r="V732" s="0">
        <ns0:f>U732</ns0:f>
        <ns0:v>0</ns0:v>
      </ns0:c>
      <ns0:c r="W732" s="0" t="str">
        <ns0:f>IF(C732=0,"",INDEX($AP$11:$AP$60,C732))</ns0:f>
        <ns0:v/>
      </ns0:c>
    </ns0:row>
    <ns0:row r="733">
      <ns0:c r="A733" s="0">
        <ns0:f>IF(COUNTA(Bookings!A733:G733,Bookings!I733)=0,0,1)</ns0:f>
        <ns0:v>0</ns0:v>
      </ns0:c>
      <ns0:c r="B733" s="0" t="str">
        <ns0:f>IFERROR(TRIM(MID(Bookings!A733,FIND(" · ",Bookings!A733)+3,99)),"")</ns0:f>
        <ns0:v/>
      </ns0:c>
      <ns0:c r="C733" s="0">
        <ns0:f>IF(OR(B733="",LEN(B733)&gt;24,ISNUMBER(FIND(" ",B733)),ISNUMBER(FIND("*",B733)),ISNUMBER(FIND("?",B733)),ISNUMBER(FIND("~",B733))),0,IFERROR(MATCH(B733,Team!$A$11:$A$60,0),0))</ns0:f>
        <ns0:v>0</ns0:v>
      </ns0:c>
      <ns0:c r="D733" s="0" t="str">
        <ns0:f>IFERROR(IF(MID(Bookings!F733,LEN(Bookings!F733)-3,3)=" · ",RIGHT(Bookings!F733,1),""),"")</ns0:f>
        <ns0:v/>
      </ns0:c>
      <ns0:c r="E733" s="0" t="str">
        <ns0:f>IFERROR(INDEX(Settings!$H$7:$H$11,MATCH(D733,Settings!$G$7:$G$11,0)),"")</ns0:f>
        <ns0:v/>
      </ns0:c>
      <ns0:c r="F733" s="0" t="str">
        <ns0:f>IF(A733=0,"",IFERROR(IF(OR(B733="",C733=0),"CHECK employee selection",IF(INDEX(Team!$O$11:$O$60,C733)&lt;&gt;"OK","CHECK employee setup",IF(OR('_Dates'!J733=0,'_Dates'!T733=0),"CHECK date: use DD.MM.YYYY",IF('_Dates'!T733&lt;'_Dates'!J733,"CHECK end before start",IF(AND($B$6=0,OR('_Dates'!J733&lt;Settings!$B$7,'_Dates'!T733&gt;Settings!$B$8)),"CHECK split across leave years",IF(OR(NOT(OR('_Dates'!U733="Full day",'_Dates'!U733="AM",'_Dates'!U733="PM")),NOT(OR('_Dates'!V733="Full day",'_Dates'!V733="AM",'_Dates'!V733="PM"))),"CHECK Full day / AM / PM",IF(AND('_Dates'!J733='_Dates'!T733,'_Dates'!U733&lt;&gt;"Full day",'_Dates'!V733&lt;&gt;"Full day",'_Dates'!U733&lt;&gt;'_Dates'!V733),"CHECK same-day portions disagree",IF(AND($B$6=0,OR(AND('_Dates'!U733&lt;&gt;"Full day",'_Dates'!AA733=0),AND('_Dates'!V733&lt;&gt;"Full day",'_Dates'!AB733=0))),"CHECK half-day on non-working date",IF(COUNTIF(Settings!$G$7:$G$11,D733)&lt;&gt;1,"CHECK leave type",IF(AND(Bookings!G733&lt;&gt;"Approved",Bookings!G733&lt;&gt;"Pending",Bookings!G733&lt;&gt;"Cancelled"),"CHECK status","OK")))))))))),"CHECK input"))</ns0:f>
        <ns0:v/>
      </ns0:c>
      <ns0:c r="G733" s="0">
        <ns0:f>IF(OR(F733&lt;&gt;"OK",$B$6&gt;0),0,0.5*(IF(('_Dates'!X733)&lt;('_Dates'!W733),0,INT((('_Dates'!X733)-('_Dates'!W733)+1)/7)*LEN(SUBSTITUTE(W733,"O",""))+LEN(SUBSTITUTE(MID(W733&amp;W733,WEEKDAY(('_Dates'!W733),2),MOD((('_Dates'!X733)-('_Dates'!W733)+1),7)),"O",""))-COUNTIFS(INDEX(AllClosureRows,C733,0),"&gt;="&amp;('_Dates'!W733),INDEX(AllClosureRows,C733,0),"&lt;="&amp;('_Dates'!X733)))+IF(('_Dates'!Z733)&lt;('_Dates'!Y733),0,INT((('_Dates'!Z733)-('_Dates'!Y733)+1)/7)*LEN(SUBSTITUTE(W733,"O",""))+LEN(SUBSTITUTE(MID(W733&amp;W733,WEEKDAY(('_Dates'!Y733),2),MOD((('_Dates'!Z733)-('_Dates'!Y733)+1),7)),"O",""))-COUNTIFS(INDEX(AllClosureRows,C733,0),"&gt;="&amp;('_Dates'!Y733),INDEX(AllClosureRows,C733,0),"&lt;="&amp;('_Dates'!Z733)))))</ns0:f>
        <ns0:v>0</ns0:v>
      </ns0:c>
      <ns0:c r="H733" s="0">
        <ns0:f>IF(OR(F733&lt;&gt;"OK",$B$6&gt;0),0,0.5*(IF((MIN('_Dates'!X733,Settings!$B$9))&lt;('_Dates'!W733),0,INT(((MIN('_Dates'!X733,Settings!$B$9))-('_Dates'!W733)+1)/7)*LEN(SUBSTITUTE(W733,"O",""))+LEN(SUBSTITUTE(MID(W733&amp;W733,WEEKDAY(('_Dates'!W733),2),MOD(((MIN('_Dates'!X733,Settings!$B$9))-('_Dates'!W733)+1),7)),"O",""))-COUNTIFS(INDEX(AllClosureRows,C733,0),"&gt;="&amp;('_Dates'!W733),INDEX(AllClosureRows,C733,0),"&lt;="&amp;(MIN('_Dates'!X733,Settings!$B$9))))+IF((MIN('_Dates'!Z733,Settings!$B$9))&lt;('_Dates'!Y733),0,INT(((MIN('_Dates'!Z733,Settings!$B$9))-('_Dates'!Y733)+1)/7)*LEN(SUBSTITUTE(W733,"O",""))+LEN(SUBSTITUTE(MID(W733&amp;W733,WEEKDAY(('_Dates'!Y733),2),MOD(((MIN('_Dates'!Z733,Settings!$B$9))-('_Dates'!Y733)+1),7)),"O",""))-COUNTIFS(INDEX(AllClosureRows,C733,0),"&gt;="&amp;('_Dates'!Y733),INDEX(AllClosureRows,C733,0),"&lt;="&amp;(MIN('_Dates'!Z733,Settings!$B$9))))))</ns0:f>
        <ns0:v>0</ns0:v>
      </ns0:c>
      <ns0:c r="I733" s="0">
        <ns0:f>MAX(0,G733-H733)</ns0:f>
        <ns0:v>0</ns0:v>
      </ns0:c>
      <ns0:c r="J733" s="0">
        <ns0:f>IF(OR(A733=0,F733&lt;&gt;"OK",Bookings!G733="Cancelled",$B$6&gt;0),0,IF('_Dates'!AC733=1,MAX(0,COUNTIFS(rngEngine_B,B733,rngAMStart,"&lt;="&amp;'_Dates'!X733,rngAMEnd,"&gt;="&amp;'_Dates'!W733,rngAMActive,1,rngEngine_F,"OK",rngBookings_F,"&lt;&gt;Cancelled")-1),0)+IF('_Dates'!AD733=1,MAX(0,COUNTIFS(rngEngine_B,B733,rngPMStart,"&lt;="&amp;'_Dates'!Z733,rngPMEnd,"&gt;="&amp;'_Dates'!Y733,rngPMActive,1,rngEngine_F,"OK",rngBookings_F,"&lt;&gt;Cancelled")-1),0))</ns0:f>
        <ns0:v>0</ns0:v>
      </ns0:c>
      <ns0:c r="K733" s="0" t="str">
        <ns0:f>IF(A733=0,"",IF(F733&lt;&gt;"OK",F733,IF(J733&gt;0,"CHECK overlapping entry",IF(AND($B$6=0,G733&lt;=0,Bookings!G733&lt;&gt;"Cancelled"),"CHECK no working days",IF(Bookings!G733="Cancelled","Cancelled","OK")))))</ns0:f>
        <ns0:v/>
      </ns0:c>
      <ns0:c r="L733" s="0">
        <ns0:f>IF(LEFT(K733,5)="CHECK",1,0)</ns0:f>
        <ns0:v>0</ns0:v>
      </ns0:c>
      <ns0:c r="M733" s="0">
        <ns0:f>IF(AND(L733=1,OR(C733=0,IFERROR(INDEX($X$11:$X$60,C733),0)=0)),1,0)</ns0:f>
        <ns0:v>0</ns0:v>
      </ns0:c>
      <ns0:c r="N733" s="0">
        <ns0:f>IF(OR(A733=0,L733&gt;0,$B$6&gt;0,Bookings!G733="Cancelled"),0,G733)</ns0:f>
        <ns0:v>0</ns0:v>
      </ns0:c>
      <ns0:c r="O733" s="0">
        <ns0:f>IF(AND(Bookings!G733="Approved",E733="Yes"),N733,0)</ns0:f>
        <ns0:v>0</ns0:v>
      </ns0:c>
      <ns0:c r="P733" s="0">
        <ns0:f>IF(AND(Bookings!G733="Approved",E733="Yes",L733=0,$B$6=0),H733,0)</ns0:f>
        <ns0:v>0</ns0:v>
      </ns0:c>
      <ns0:c r="Q733" s="0">
        <ns0:f>IF(AND(Bookings!G733="Approved",E733="Yes",L733=0,$B$6=0),I733,0)</ns0:f>
        <ns0:v>0</ns0:v>
      </ns0:c>
      <ns0:c r="R733" s="0">
        <ns0:f>IF(AND(Bookings!G733="Pending",E733="Yes"),N733,0)</ns0:f>
        <ns0:v>0</ns0:v>
      </ns0:c>
      <ns0:c r="S733" s="0">
        <ns0:f>IF(AND(Bookings!G733="Approved",E733="No"),N733,0)</ns0:f>
        <ns0:v>0</ns0:v>
      </ns0:c>
      <ns0:c r="T733" s="0">
        <ns0:f>IFERROR(MATCH(D733,Settings!$G$7:$G$11,0),0)</ns0:f>
        <ns0:v>0</ns0:v>
      </ns0:c>
      <ns0:c r="U733" s="0">
        <ns0:f>IF(N733&gt;0,T733+IF(Bookings!G733="Pending",10,0),0)</ns0:f>
        <ns0:v>0</ns0:v>
      </ns0:c>
      <ns0:c r="V733" s="0">
        <ns0:f>U733</ns0:f>
        <ns0:v>0</ns0:v>
      </ns0:c>
      <ns0:c r="W733" s="0" t="str">
        <ns0:f>IF(C733=0,"",INDEX($AP$11:$AP$60,C733))</ns0:f>
        <ns0:v/>
      </ns0:c>
    </ns0:row>
    <ns0:row r="734">
      <ns0:c r="A734" s="0">
        <ns0:f>IF(COUNTA(Bookings!A734:G734,Bookings!I734)=0,0,1)</ns0:f>
        <ns0:v>0</ns0:v>
      </ns0:c>
      <ns0:c r="B734" s="0" t="str">
        <ns0:f>IFERROR(TRIM(MID(Bookings!A734,FIND(" · ",Bookings!A734)+3,99)),"")</ns0:f>
        <ns0:v/>
      </ns0:c>
      <ns0:c r="C734" s="0">
        <ns0:f>IF(OR(B734="",LEN(B734)&gt;24,ISNUMBER(FIND(" ",B734)),ISNUMBER(FIND("*",B734)),ISNUMBER(FIND("?",B734)),ISNUMBER(FIND("~",B734))),0,IFERROR(MATCH(B734,Team!$A$11:$A$60,0),0))</ns0:f>
        <ns0:v>0</ns0:v>
      </ns0:c>
      <ns0:c r="D734" s="0" t="str">
        <ns0:f>IFERROR(IF(MID(Bookings!F734,LEN(Bookings!F734)-3,3)=" · ",RIGHT(Bookings!F734,1),""),"")</ns0:f>
        <ns0:v/>
      </ns0:c>
      <ns0:c r="E734" s="0" t="str">
        <ns0:f>IFERROR(INDEX(Settings!$H$7:$H$11,MATCH(D734,Settings!$G$7:$G$11,0)),"")</ns0:f>
        <ns0:v/>
      </ns0:c>
      <ns0:c r="F734" s="0" t="str">
        <ns0:f>IF(A734=0,"",IFERROR(IF(OR(B734="",C734=0),"CHECK employee selection",IF(INDEX(Team!$O$11:$O$60,C734)&lt;&gt;"OK","CHECK employee setup",IF(OR('_Dates'!J734=0,'_Dates'!T734=0),"CHECK date: use DD.MM.YYYY",IF('_Dates'!T734&lt;'_Dates'!J734,"CHECK end before start",IF(AND($B$6=0,OR('_Dates'!J734&lt;Settings!$B$7,'_Dates'!T734&gt;Settings!$B$8)),"CHECK split across leave years",IF(OR(NOT(OR('_Dates'!U734="Full day",'_Dates'!U734="AM",'_Dates'!U734="PM")),NOT(OR('_Dates'!V734="Full day",'_Dates'!V734="AM",'_Dates'!V734="PM"))),"CHECK Full day / AM / PM",IF(AND('_Dates'!J734='_Dates'!T734,'_Dates'!U734&lt;&gt;"Full day",'_Dates'!V734&lt;&gt;"Full day",'_Dates'!U734&lt;&gt;'_Dates'!V734),"CHECK same-day portions disagree",IF(AND($B$6=0,OR(AND('_Dates'!U734&lt;&gt;"Full day",'_Dates'!AA734=0),AND('_Dates'!V734&lt;&gt;"Full day",'_Dates'!AB734=0))),"CHECK half-day on non-working date",IF(COUNTIF(Settings!$G$7:$G$11,D734)&lt;&gt;1,"CHECK leave type",IF(AND(Bookings!G734&lt;&gt;"Approved",Bookings!G734&lt;&gt;"Pending",Bookings!G734&lt;&gt;"Cancelled"),"CHECK status","OK")))))))))),"CHECK input"))</ns0:f>
        <ns0:v/>
      </ns0:c>
      <ns0:c r="G734" s="0">
        <ns0:f>IF(OR(F734&lt;&gt;"OK",$B$6&gt;0),0,0.5*(IF(('_Dates'!X734)&lt;('_Dates'!W734),0,INT((('_Dates'!X734)-('_Dates'!W734)+1)/7)*LEN(SUBSTITUTE(W734,"O",""))+LEN(SUBSTITUTE(MID(W734&amp;W734,WEEKDAY(('_Dates'!W734),2),MOD((('_Dates'!X734)-('_Dates'!W734)+1),7)),"O",""))-COUNTIFS(INDEX(AllClosureRows,C734,0),"&gt;="&amp;('_Dates'!W734),INDEX(AllClosureRows,C734,0),"&lt;="&amp;('_Dates'!X734)))+IF(('_Dates'!Z734)&lt;('_Dates'!Y734),0,INT((('_Dates'!Z734)-('_Dates'!Y734)+1)/7)*LEN(SUBSTITUTE(W734,"O",""))+LEN(SUBSTITUTE(MID(W734&amp;W734,WEEKDAY(('_Dates'!Y734),2),MOD((('_Dates'!Z734)-('_Dates'!Y734)+1),7)),"O",""))-COUNTIFS(INDEX(AllClosureRows,C734,0),"&gt;="&amp;('_Dates'!Y734),INDEX(AllClosureRows,C734,0),"&lt;="&amp;('_Dates'!Z734)))))</ns0:f>
        <ns0:v>0</ns0:v>
      </ns0:c>
      <ns0:c r="H734" s="0">
        <ns0:f>IF(OR(F734&lt;&gt;"OK",$B$6&gt;0),0,0.5*(IF((MIN('_Dates'!X734,Settings!$B$9))&lt;('_Dates'!W734),0,INT(((MIN('_Dates'!X734,Settings!$B$9))-('_Dates'!W734)+1)/7)*LEN(SUBSTITUTE(W734,"O",""))+LEN(SUBSTITUTE(MID(W734&amp;W734,WEEKDAY(('_Dates'!W734),2),MOD(((MIN('_Dates'!X734,Settings!$B$9))-('_Dates'!W734)+1),7)),"O",""))-COUNTIFS(INDEX(AllClosureRows,C734,0),"&gt;="&amp;('_Dates'!W734),INDEX(AllClosureRows,C734,0),"&lt;="&amp;(MIN('_Dates'!X734,Settings!$B$9))))+IF((MIN('_Dates'!Z734,Settings!$B$9))&lt;('_Dates'!Y734),0,INT(((MIN('_Dates'!Z734,Settings!$B$9))-('_Dates'!Y734)+1)/7)*LEN(SUBSTITUTE(W734,"O",""))+LEN(SUBSTITUTE(MID(W734&amp;W734,WEEKDAY(('_Dates'!Y734),2),MOD(((MIN('_Dates'!Z734,Settings!$B$9))-('_Dates'!Y734)+1),7)),"O",""))-COUNTIFS(INDEX(AllClosureRows,C734,0),"&gt;="&amp;('_Dates'!Y734),INDEX(AllClosureRows,C734,0),"&lt;="&amp;(MIN('_Dates'!Z734,Settings!$B$9))))))</ns0:f>
        <ns0:v>0</ns0:v>
      </ns0:c>
      <ns0:c r="I734" s="0">
        <ns0:f>MAX(0,G734-H734)</ns0:f>
        <ns0:v>0</ns0:v>
      </ns0:c>
      <ns0:c r="J734" s="0">
        <ns0:f>IF(OR(A734=0,F734&lt;&gt;"OK",Bookings!G734="Cancelled",$B$6&gt;0),0,IF('_Dates'!AC734=1,MAX(0,COUNTIFS(rngEngine_B,B734,rngAMStart,"&lt;="&amp;'_Dates'!X734,rngAMEnd,"&gt;="&amp;'_Dates'!W734,rngAMActive,1,rngEngine_F,"OK",rngBookings_F,"&lt;&gt;Cancelled")-1),0)+IF('_Dates'!AD734=1,MAX(0,COUNTIFS(rngEngine_B,B734,rngPMStart,"&lt;="&amp;'_Dates'!Z734,rngPMEnd,"&gt;="&amp;'_Dates'!Y734,rngPMActive,1,rngEngine_F,"OK",rngBookings_F,"&lt;&gt;Cancelled")-1),0))</ns0:f>
        <ns0:v>0</ns0:v>
      </ns0:c>
      <ns0:c r="K734" s="0" t="str">
        <ns0:f>IF(A734=0,"",IF(F734&lt;&gt;"OK",F734,IF(J734&gt;0,"CHECK overlapping entry",IF(AND($B$6=0,G734&lt;=0,Bookings!G734&lt;&gt;"Cancelled"),"CHECK no working days",IF(Bookings!G734="Cancelled","Cancelled","OK")))))</ns0:f>
        <ns0:v/>
      </ns0:c>
      <ns0:c r="L734" s="0">
        <ns0:f>IF(LEFT(K734,5)="CHECK",1,0)</ns0:f>
        <ns0:v>0</ns0:v>
      </ns0:c>
      <ns0:c r="M734" s="0">
        <ns0:f>IF(AND(L734=1,OR(C734=0,IFERROR(INDEX($X$11:$X$60,C734),0)=0)),1,0)</ns0:f>
        <ns0:v>0</ns0:v>
      </ns0:c>
      <ns0:c r="N734" s="0">
        <ns0:f>IF(OR(A734=0,L734&gt;0,$B$6&gt;0,Bookings!G734="Cancelled"),0,G734)</ns0:f>
        <ns0:v>0</ns0:v>
      </ns0:c>
      <ns0:c r="O734" s="0">
        <ns0:f>IF(AND(Bookings!G734="Approved",E734="Yes"),N734,0)</ns0:f>
        <ns0:v>0</ns0:v>
      </ns0:c>
      <ns0:c r="P734" s="0">
        <ns0:f>IF(AND(Bookings!G734="Approved",E734="Yes",L734=0,$B$6=0),H734,0)</ns0:f>
        <ns0:v>0</ns0:v>
      </ns0:c>
      <ns0:c r="Q734" s="0">
        <ns0:f>IF(AND(Bookings!G734="Approved",E734="Yes",L734=0,$B$6=0),I734,0)</ns0:f>
        <ns0:v>0</ns0:v>
      </ns0:c>
      <ns0:c r="R734" s="0">
        <ns0:f>IF(AND(Bookings!G734="Pending",E734="Yes"),N734,0)</ns0:f>
        <ns0:v>0</ns0:v>
      </ns0:c>
      <ns0:c r="S734" s="0">
        <ns0:f>IF(AND(Bookings!G734="Approved",E734="No"),N734,0)</ns0:f>
        <ns0:v>0</ns0:v>
      </ns0:c>
      <ns0:c r="T734" s="0">
        <ns0:f>IFERROR(MATCH(D734,Settings!$G$7:$G$11,0),0)</ns0:f>
        <ns0:v>0</ns0:v>
      </ns0:c>
      <ns0:c r="U734" s="0">
        <ns0:f>IF(N734&gt;0,T734+IF(Bookings!G734="Pending",10,0),0)</ns0:f>
        <ns0:v>0</ns0:v>
      </ns0:c>
      <ns0:c r="V734" s="0">
        <ns0:f>U734</ns0:f>
        <ns0:v>0</ns0:v>
      </ns0:c>
      <ns0:c r="W734" s="0" t="str">
        <ns0:f>IF(C734=0,"",INDEX($AP$11:$AP$60,C734))</ns0:f>
        <ns0:v/>
      </ns0:c>
    </ns0:row>
    <ns0:row r="735">
      <ns0:c r="A735" s="0">
        <ns0:f>IF(COUNTA(Bookings!A735:G735,Bookings!I735)=0,0,1)</ns0:f>
        <ns0:v>0</ns0:v>
      </ns0:c>
      <ns0:c r="B735" s="0" t="str">
        <ns0:f>IFERROR(TRIM(MID(Bookings!A735,FIND(" · ",Bookings!A735)+3,99)),"")</ns0:f>
        <ns0:v/>
      </ns0:c>
      <ns0:c r="C735" s="0">
        <ns0:f>IF(OR(B735="",LEN(B735)&gt;24,ISNUMBER(FIND(" ",B735)),ISNUMBER(FIND("*",B735)),ISNUMBER(FIND("?",B735)),ISNUMBER(FIND("~",B735))),0,IFERROR(MATCH(B735,Team!$A$11:$A$60,0),0))</ns0:f>
        <ns0:v>0</ns0:v>
      </ns0:c>
      <ns0:c r="D735" s="0" t="str">
        <ns0:f>IFERROR(IF(MID(Bookings!F735,LEN(Bookings!F735)-3,3)=" · ",RIGHT(Bookings!F735,1),""),"")</ns0:f>
        <ns0:v/>
      </ns0:c>
      <ns0:c r="E735" s="0" t="str">
        <ns0:f>IFERROR(INDEX(Settings!$H$7:$H$11,MATCH(D735,Settings!$G$7:$G$11,0)),"")</ns0:f>
        <ns0:v/>
      </ns0:c>
      <ns0:c r="F735" s="0" t="str">
        <ns0:f>IF(A735=0,"",IFERROR(IF(OR(B735="",C735=0),"CHECK employee selection",IF(INDEX(Team!$O$11:$O$60,C735)&lt;&gt;"OK","CHECK employee setup",IF(OR('_Dates'!J735=0,'_Dates'!T735=0),"CHECK date: use DD.MM.YYYY",IF('_Dates'!T735&lt;'_Dates'!J735,"CHECK end before start",IF(AND($B$6=0,OR('_Dates'!J735&lt;Settings!$B$7,'_Dates'!T735&gt;Settings!$B$8)),"CHECK split across leave years",IF(OR(NOT(OR('_Dates'!U735="Full day",'_Dates'!U735="AM",'_Dates'!U735="PM")),NOT(OR('_Dates'!V735="Full day",'_Dates'!V735="AM",'_Dates'!V735="PM"))),"CHECK Full day / AM / PM",IF(AND('_Dates'!J735='_Dates'!T735,'_Dates'!U735&lt;&gt;"Full day",'_Dates'!V735&lt;&gt;"Full day",'_Dates'!U735&lt;&gt;'_Dates'!V735),"CHECK same-day portions disagree",IF(AND($B$6=0,OR(AND('_Dates'!U735&lt;&gt;"Full day",'_Dates'!AA735=0),AND('_Dates'!V735&lt;&gt;"Full day",'_Dates'!AB735=0))),"CHECK half-day on non-working date",IF(COUNTIF(Settings!$G$7:$G$11,D735)&lt;&gt;1,"CHECK leave type",IF(AND(Bookings!G735&lt;&gt;"Approved",Bookings!G735&lt;&gt;"Pending",Bookings!G735&lt;&gt;"Cancelled"),"CHECK status","OK")))))))))),"CHECK input"))</ns0:f>
        <ns0:v/>
      </ns0:c>
      <ns0:c r="G735" s="0">
        <ns0:f>IF(OR(F735&lt;&gt;"OK",$B$6&gt;0),0,0.5*(IF(('_Dates'!X735)&lt;('_Dates'!W735),0,INT((('_Dates'!X735)-('_Dates'!W735)+1)/7)*LEN(SUBSTITUTE(W735,"O",""))+LEN(SUBSTITUTE(MID(W735&amp;W735,WEEKDAY(('_Dates'!W735),2),MOD((('_Dates'!X735)-('_Dates'!W735)+1),7)),"O",""))-COUNTIFS(INDEX(AllClosureRows,C735,0),"&gt;="&amp;('_Dates'!W735),INDEX(AllClosureRows,C735,0),"&lt;="&amp;('_Dates'!X735)))+IF(('_Dates'!Z735)&lt;('_Dates'!Y735),0,INT((('_Dates'!Z735)-('_Dates'!Y735)+1)/7)*LEN(SUBSTITUTE(W735,"O",""))+LEN(SUBSTITUTE(MID(W735&amp;W735,WEEKDAY(('_Dates'!Y735),2),MOD((('_Dates'!Z735)-('_Dates'!Y735)+1),7)),"O",""))-COUNTIFS(INDEX(AllClosureRows,C735,0),"&gt;="&amp;('_Dates'!Y735),INDEX(AllClosureRows,C735,0),"&lt;="&amp;('_Dates'!Z735)))))</ns0:f>
        <ns0:v>0</ns0:v>
      </ns0:c>
      <ns0:c r="H735" s="0">
        <ns0:f>IF(OR(F735&lt;&gt;"OK",$B$6&gt;0),0,0.5*(IF((MIN('_Dates'!X735,Settings!$B$9))&lt;('_Dates'!W735),0,INT(((MIN('_Dates'!X735,Settings!$B$9))-('_Dates'!W735)+1)/7)*LEN(SUBSTITUTE(W735,"O",""))+LEN(SUBSTITUTE(MID(W735&amp;W735,WEEKDAY(('_Dates'!W735),2),MOD(((MIN('_Dates'!X735,Settings!$B$9))-('_Dates'!W735)+1),7)),"O",""))-COUNTIFS(INDEX(AllClosureRows,C735,0),"&gt;="&amp;('_Dates'!W735),INDEX(AllClosureRows,C735,0),"&lt;="&amp;(MIN('_Dates'!X735,Settings!$B$9))))+IF((MIN('_Dates'!Z735,Settings!$B$9))&lt;('_Dates'!Y735),0,INT(((MIN('_Dates'!Z735,Settings!$B$9))-('_Dates'!Y735)+1)/7)*LEN(SUBSTITUTE(W735,"O",""))+LEN(SUBSTITUTE(MID(W735&amp;W735,WEEKDAY(('_Dates'!Y735),2),MOD(((MIN('_Dates'!Z735,Settings!$B$9))-('_Dates'!Y735)+1),7)),"O",""))-COUNTIFS(INDEX(AllClosureRows,C735,0),"&gt;="&amp;('_Dates'!Y735),INDEX(AllClosureRows,C735,0),"&lt;="&amp;(MIN('_Dates'!Z735,Settings!$B$9))))))</ns0:f>
        <ns0:v>0</ns0:v>
      </ns0:c>
      <ns0:c r="I735" s="0">
        <ns0:f>MAX(0,G735-H735)</ns0:f>
        <ns0:v>0</ns0:v>
      </ns0:c>
      <ns0:c r="J735" s="0">
        <ns0:f>IF(OR(A735=0,F735&lt;&gt;"OK",Bookings!G735="Cancelled",$B$6&gt;0),0,IF('_Dates'!AC735=1,MAX(0,COUNTIFS(rngEngine_B,B735,rngAMStart,"&lt;="&amp;'_Dates'!X735,rngAMEnd,"&gt;="&amp;'_Dates'!W735,rngAMActive,1,rngEngine_F,"OK",rngBookings_F,"&lt;&gt;Cancelled")-1),0)+IF('_Dates'!AD735=1,MAX(0,COUNTIFS(rngEngine_B,B735,rngPMStart,"&lt;="&amp;'_Dates'!Z735,rngPMEnd,"&gt;="&amp;'_Dates'!Y735,rngPMActive,1,rngEngine_F,"OK",rngBookings_F,"&lt;&gt;Cancelled")-1),0))</ns0:f>
        <ns0:v>0</ns0:v>
      </ns0:c>
      <ns0:c r="K735" s="0" t="str">
        <ns0:f>IF(A735=0,"",IF(F735&lt;&gt;"OK",F735,IF(J735&gt;0,"CHECK overlapping entry",IF(AND($B$6=0,G735&lt;=0,Bookings!G735&lt;&gt;"Cancelled"),"CHECK no working days",IF(Bookings!G735="Cancelled","Cancelled","OK")))))</ns0:f>
        <ns0:v/>
      </ns0:c>
      <ns0:c r="L735" s="0">
        <ns0:f>IF(LEFT(K735,5)="CHECK",1,0)</ns0:f>
        <ns0:v>0</ns0:v>
      </ns0:c>
      <ns0:c r="M735" s="0">
        <ns0:f>IF(AND(L735=1,OR(C735=0,IFERROR(INDEX($X$11:$X$60,C735),0)=0)),1,0)</ns0:f>
        <ns0:v>0</ns0:v>
      </ns0:c>
      <ns0:c r="N735" s="0">
        <ns0:f>IF(OR(A735=0,L735&gt;0,$B$6&gt;0,Bookings!G735="Cancelled"),0,G735)</ns0:f>
        <ns0:v>0</ns0:v>
      </ns0:c>
      <ns0:c r="O735" s="0">
        <ns0:f>IF(AND(Bookings!G735="Approved",E735="Yes"),N735,0)</ns0:f>
        <ns0:v>0</ns0:v>
      </ns0:c>
      <ns0:c r="P735" s="0">
        <ns0:f>IF(AND(Bookings!G735="Approved",E735="Yes",L735=0,$B$6=0),H735,0)</ns0:f>
        <ns0:v>0</ns0:v>
      </ns0:c>
      <ns0:c r="Q735" s="0">
        <ns0:f>IF(AND(Bookings!G735="Approved",E735="Yes",L735=0,$B$6=0),I735,0)</ns0:f>
        <ns0:v>0</ns0:v>
      </ns0:c>
      <ns0:c r="R735" s="0">
        <ns0:f>IF(AND(Bookings!G735="Pending",E735="Yes"),N735,0)</ns0:f>
        <ns0:v>0</ns0:v>
      </ns0:c>
      <ns0:c r="S735" s="0">
        <ns0:f>IF(AND(Bookings!G735="Approved",E735="No"),N735,0)</ns0:f>
        <ns0:v>0</ns0:v>
      </ns0:c>
      <ns0:c r="T735" s="0">
        <ns0:f>IFERROR(MATCH(D735,Settings!$G$7:$G$11,0),0)</ns0:f>
        <ns0:v>0</ns0:v>
      </ns0:c>
      <ns0:c r="U735" s="0">
        <ns0:f>IF(N735&gt;0,T735+IF(Bookings!G735="Pending",10,0),0)</ns0:f>
        <ns0:v>0</ns0:v>
      </ns0:c>
      <ns0:c r="V735" s="0">
        <ns0:f>U735</ns0:f>
        <ns0:v>0</ns0:v>
      </ns0:c>
      <ns0:c r="W735" s="0" t="str">
        <ns0:f>IF(C735=0,"",INDEX($AP$11:$AP$60,C735))</ns0:f>
        <ns0:v/>
      </ns0:c>
    </ns0:row>
    <ns0:row r="736">
      <ns0:c r="A736" s="0">
        <ns0:f>IF(COUNTA(Bookings!A736:G736,Bookings!I736)=0,0,1)</ns0:f>
        <ns0:v>0</ns0:v>
      </ns0:c>
      <ns0:c r="B736" s="0" t="str">
        <ns0:f>IFERROR(TRIM(MID(Bookings!A736,FIND(" · ",Bookings!A736)+3,99)),"")</ns0:f>
        <ns0:v/>
      </ns0:c>
      <ns0:c r="C736" s="0">
        <ns0:f>IF(OR(B736="",LEN(B736)&gt;24,ISNUMBER(FIND(" ",B736)),ISNUMBER(FIND("*",B736)),ISNUMBER(FIND("?",B736)),ISNUMBER(FIND("~",B736))),0,IFERROR(MATCH(B736,Team!$A$11:$A$60,0),0))</ns0:f>
        <ns0:v>0</ns0:v>
      </ns0:c>
      <ns0:c r="D736" s="0" t="str">
        <ns0:f>IFERROR(IF(MID(Bookings!F736,LEN(Bookings!F736)-3,3)=" · ",RIGHT(Bookings!F736,1),""),"")</ns0:f>
        <ns0:v/>
      </ns0:c>
      <ns0:c r="E736" s="0" t="str">
        <ns0:f>IFERROR(INDEX(Settings!$H$7:$H$11,MATCH(D736,Settings!$G$7:$G$11,0)),"")</ns0:f>
        <ns0:v/>
      </ns0:c>
      <ns0:c r="F736" s="0" t="str">
        <ns0:f>IF(A736=0,"",IFERROR(IF(OR(B736="",C736=0),"CHECK employee selection",IF(INDEX(Team!$O$11:$O$60,C736)&lt;&gt;"OK","CHECK employee setup",IF(OR('_Dates'!J736=0,'_Dates'!T736=0),"CHECK date: use DD.MM.YYYY",IF('_Dates'!T736&lt;'_Dates'!J736,"CHECK end before start",IF(AND($B$6=0,OR('_Dates'!J736&lt;Settings!$B$7,'_Dates'!T736&gt;Settings!$B$8)),"CHECK split across leave years",IF(OR(NOT(OR('_Dates'!U736="Full day",'_Dates'!U736="AM",'_Dates'!U736="PM")),NOT(OR('_Dates'!V736="Full day",'_Dates'!V736="AM",'_Dates'!V736="PM"))),"CHECK Full day / AM / PM",IF(AND('_Dates'!J736='_Dates'!T736,'_Dates'!U736&lt;&gt;"Full day",'_Dates'!V736&lt;&gt;"Full day",'_Dates'!U736&lt;&gt;'_Dates'!V736),"CHECK same-day portions disagree",IF(AND($B$6=0,OR(AND('_Dates'!U736&lt;&gt;"Full day",'_Dates'!AA736=0),AND('_Dates'!V736&lt;&gt;"Full day",'_Dates'!AB736=0))),"CHECK half-day on non-working date",IF(COUNTIF(Settings!$G$7:$G$11,D736)&lt;&gt;1,"CHECK leave type",IF(AND(Bookings!G736&lt;&gt;"Approved",Bookings!G736&lt;&gt;"Pending",Bookings!G736&lt;&gt;"Cancelled"),"CHECK status","OK")))))))))),"CHECK input"))</ns0:f>
        <ns0:v/>
      </ns0:c>
      <ns0:c r="G736" s="0">
        <ns0:f>IF(OR(F736&lt;&gt;"OK",$B$6&gt;0),0,0.5*(IF(('_Dates'!X736)&lt;('_Dates'!W736),0,INT((('_Dates'!X736)-('_Dates'!W736)+1)/7)*LEN(SUBSTITUTE(W736,"O",""))+LEN(SUBSTITUTE(MID(W736&amp;W736,WEEKDAY(('_Dates'!W736),2),MOD((('_Dates'!X736)-('_Dates'!W736)+1),7)),"O",""))-COUNTIFS(INDEX(AllClosureRows,C736,0),"&gt;="&amp;('_Dates'!W736),INDEX(AllClosureRows,C736,0),"&lt;="&amp;('_Dates'!X736)))+IF(('_Dates'!Z736)&lt;('_Dates'!Y736),0,INT((('_Dates'!Z736)-('_Dates'!Y736)+1)/7)*LEN(SUBSTITUTE(W736,"O",""))+LEN(SUBSTITUTE(MID(W736&amp;W736,WEEKDAY(('_Dates'!Y736),2),MOD((('_Dates'!Z736)-('_Dates'!Y736)+1),7)),"O",""))-COUNTIFS(INDEX(AllClosureRows,C736,0),"&gt;="&amp;('_Dates'!Y736),INDEX(AllClosureRows,C736,0),"&lt;="&amp;('_Dates'!Z736)))))</ns0:f>
        <ns0:v>0</ns0:v>
      </ns0:c>
      <ns0:c r="H736" s="0">
        <ns0:f>IF(OR(F736&lt;&gt;"OK",$B$6&gt;0),0,0.5*(IF((MIN('_Dates'!X736,Settings!$B$9))&lt;('_Dates'!W736),0,INT(((MIN('_Dates'!X736,Settings!$B$9))-('_Dates'!W736)+1)/7)*LEN(SUBSTITUTE(W736,"O",""))+LEN(SUBSTITUTE(MID(W736&amp;W736,WEEKDAY(('_Dates'!W736),2),MOD(((MIN('_Dates'!X736,Settings!$B$9))-('_Dates'!W736)+1),7)),"O",""))-COUNTIFS(INDEX(AllClosureRows,C736,0),"&gt;="&amp;('_Dates'!W736),INDEX(AllClosureRows,C736,0),"&lt;="&amp;(MIN('_Dates'!X736,Settings!$B$9))))+IF((MIN('_Dates'!Z736,Settings!$B$9))&lt;('_Dates'!Y736),0,INT(((MIN('_Dates'!Z736,Settings!$B$9))-('_Dates'!Y736)+1)/7)*LEN(SUBSTITUTE(W736,"O",""))+LEN(SUBSTITUTE(MID(W736&amp;W736,WEEKDAY(('_Dates'!Y736),2),MOD(((MIN('_Dates'!Z736,Settings!$B$9))-('_Dates'!Y736)+1),7)),"O",""))-COUNTIFS(INDEX(AllClosureRows,C736,0),"&gt;="&amp;('_Dates'!Y736),INDEX(AllClosureRows,C736,0),"&lt;="&amp;(MIN('_Dates'!Z736,Settings!$B$9))))))</ns0:f>
        <ns0:v>0</ns0:v>
      </ns0:c>
      <ns0:c r="I736" s="0">
        <ns0:f>MAX(0,G736-H736)</ns0:f>
        <ns0:v>0</ns0:v>
      </ns0:c>
      <ns0:c r="J736" s="0">
        <ns0:f>IF(OR(A736=0,F736&lt;&gt;"OK",Bookings!G736="Cancelled",$B$6&gt;0),0,IF('_Dates'!AC736=1,MAX(0,COUNTIFS(rngEngine_B,B736,rngAMStart,"&lt;="&amp;'_Dates'!X736,rngAMEnd,"&gt;="&amp;'_Dates'!W736,rngAMActive,1,rngEngine_F,"OK",rngBookings_F,"&lt;&gt;Cancelled")-1),0)+IF('_Dates'!AD736=1,MAX(0,COUNTIFS(rngEngine_B,B736,rngPMStart,"&lt;="&amp;'_Dates'!Z736,rngPMEnd,"&gt;="&amp;'_Dates'!Y736,rngPMActive,1,rngEngine_F,"OK",rngBookings_F,"&lt;&gt;Cancelled")-1),0))</ns0:f>
        <ns0:v>0</ns0:v>
      </ns0:c>
      <ns0:c r="K736" s="0" t="str">
        <ns0:f>IF(A736=0,"",IF(F736&lt;&gt;"OK",F736,IF(J736&gt;0,"CHECK overlapping entry",IF(AND($B$6=0,G736&lt;=0,Bookings!G736&lt;&gt;"Cancelled"),"CHECK no working days",IF(Bookings!G736="Cancelled","Cancelled","OK")))))</ns0:f>
        <ns0:v/>
      </ns0:c>
      <ns0:c r="L736" s="0">
        <ns0:f>IF(LEFT(K736,5)="CHECK",1,0)</ns0:f>
        <ns0:v>0</ns0:v>
      </ns0:c>
      <ns0:c r="M736" s="0">
        <ns0:f>IF(AND(L736=1,OR(C736=0,IFERROR(INDEX($X$11:$X$60,C736),0)=0)),1,0)</ns0:f>
        <ns0:v>0</ns0:v>
      </ns0:c>
      <ns0:c r="N736" s="0">
        <ns0:f>IF(OR(A736=0,L736&gt;0,$B$6&gt;0,Bookings!G736="Cancelled"),0,G736)</ns0:f>
        <ns0:v>0</ns0:v>
      </ns0:c>
      <ns0:c r="O736" s="0">
        <ns0:f>IF(AND(Bookings!G736="Approved",E736="Yes"),N736,0)</ns0:f>
        <ns0:v>0</ns0:v>
      </ns0:c>
      <ns0:c r="P736" s="0">
        <ns0:f>IF(AND(Bookings!G736="Approved",E736="Yes",L736=0,$B$6=0),H736,0)</ns0:f>
        <ns0:v>0</ns0:v>
      </ns0:c>
      <ns0:c r="Q736" s="0">
        <ns0:f>IF(AND(Bookings!G736="Approved",E736="Yes",L736=0,$B$6=0),I736,0)</ns0:f>
        <ns0:v>0</ns0:v>
      </ns0:c>
      <ns0:c r="R736" s="0">
        <ns0:f>IF(AND(Bookings!G736="Pending",E736="Yes"),N736,0)</ns0:f>
        <ns0:v>0</ns0:v>
      </ns0:c>
      <ns0:c r="S736" s="0">
        <ns0:f>IF(AND(Bookings!G736="Approved",E736="No"),N736,0)</ns0:f>
        <ns0:v>0</ns0:v>
      </ns0:c>
      <ns0:c r="T736" s="0">
        <ns0:f>IFERROR(MATCH(D736,Settings!$G$7:$G$11,0),0)</ns0:f>
        <ns0:v>0</ns0:v>
      </ns0:c>
      <ns0:c r="U736" s="0">
        <ns0:f>IF(N736&gt;0,T736+IF(Bookings!G736="Pending",10,0),0)</ns0:f>
        <ns0:v>0</ns0:v>
      </ns0:c>
      <ns0:c r="V736" s="0">
        <ns0:f>U736</ns0:f>
        <ns0:v>0</ns0:v>
      </ns0:c>
      <ns0:c r="W736" s="0" t="str">
        <ns0:f>IF(C736=0,"",INDEX($AP$11:$AP$60,C736))</ns0:f>
        <ns0:v/>
      </ns0:c>
    </ns0:row>
    <ns0:row r="737">
      <ns0:c r="A737" s="0">
        <ns0:f>IF(COUNTA(Bookings!A737:G737,Bookings!I737)=0,0,1)</ns0:f>
        <ns0:v>0</ns0:v>
      </ns0:c>
      <ns0:c r="B737" s="0" t="str">
        <ns0:f>IFERROR(TRIM(MID(Bookings!A737,FIND(" · ",Bookings!A737)+3,99)),"")</ns0:f>
        <ns0:v/>
      </ns0:c>
      <ns0:c r="C737" s="0">
        <ns0:f>IF(OR(B737="",LEN(B737)&gt;24,ISNUMBER(FIND(" ",B737)),ISNUMBER(FIND("*",B737)),ISNUMBER(FIND("?",B737)),ISNUMBER(FIND("~",B737))),0,IFERROR(MATCH(B737,Team!$A$11:$A$60,0),0))</ns0:f>
        <ns0:v>0</ns0:v>
      </ns0:c>
      <ns0:c r="D737" s="0" t="str">
        <ns0:f>IFERROR(IF(MID(Bookings!F737,LEN(Bookings!F737)-3,3)=" · ",RIGHT(Bookings!F737,1),""),"")</ns0:f>
        <ns0:v/>
      </ns0:c>
      <ns0:c r="E737" s="0" t="str">
        <ns0:f>IFERROR(INDEX(Settings!$H$7:$H$11,MATCH(D737,Settings!$G$7:$G$11,0)),"")</ns0:f>
        <ns0:v/>
      </ns0:c>
      <ns0:c r="F737" s="0" t="str">
        <ns0:f>IF(A737=0,"",IFERROR(IF(OR(B737="",C737=0),"CHECK employee selection",IF(INDEX(Team!$O$11:$O$60,C737)&lt;&gt;"OK","CHECK employee setup",IF(OR('_Dates'!J737=0,'_Dates'!T737=0),"CHECK date: use DD.MM.YYYY",IF('_Dates'!T737&lt;'_Dates'!J737,"CHECK end before start",IF(AND($B$6=0,OR('_Dates'!J737&lt;Settings!$B$7,'_Dates'!T737&gt;Settings!$B$8)),"CHECK split across leave years",IF(OR(NOT(OR('_Dates'!U737="Full day",'_Dates'!U737="AM",'_Dates'!U737="PM")),NOT(OR('_Dates'!V737="Full day",'_Dates'!V737="AM",'_Dates'!V737="PM"))),"CHECK Full day / AM / PM",IF(AND('_Dates'!J737='_Dates'!T737,'_Dates'!U737&lt;&gt;"Full day",'_Dates'!V737&lt;&gt;"Full day",'_Dates'!U737&lt;&gt;'_Dates'!V737),"CHECK same-day portions disagree",IF(AND($B$6=0,OR(AND('_Dates'!U737&lt;&gt;"Full day",'_Dates'!AA737=0),AND('_Dates'!V737&lt;&gt;"Full day",'_Dates'!AB737=0))),"CHECK half-day on non-working date",IF(COUNTIF(Settings!$G$7:$G$11,D737)&lt;&gt;1,"CHECK leave type",IF(AND(Bookings!G737&lt;&gt;"Approved",Bookings!G737&lt;&gt;"Pending",Bookings!G737&lt;&gt;"Cancelled"),"CHECK status","OK")))))))))),"CHECK input"))</ns0:f>
        <ns0:v/>
      </ns0:c>
      <ns0:c r="G737" s="0">
        <ns0:f>IF(OR(F737&lt;&gt;"OK",$B$6&gt;0),0,0.5*(IF(('_Dates'!X737)&lt;('_Dates'!W737),0,INT((('_Dates'!X737)-('_Dates'!W737)+1)/7)*LEN(SUBSTITUTE(W737,"O",""))+LEN(SUBSTITUTE(MID(W737&amp;W737,WEEKDAY(('_Dates'!W737),2),MOD((('_Dates'!X737)-('_Dates'!W737)+1),7)),"O",""))-COUNTIFS(INDEX(AllClosureRows,C737,0),"&gt;="&amp;('_Dates'!W737),INDEX(AllClosureRows,C737,0),"&lt;="&amp;('_Dates'!X737)))+IF(('_Dates'!Z737)&lt;('_Dates'!Y737),0,INT((('_Dates'!Z737)-('_Dates'!Y737)+1)/7)*LEN(SUBSTITUTE(W737,"O",""))+LEN(SUBSTITUTE(MID(W737&amp;W737,WEEKDAY(('_Dates'!Y737),2),MOD((('_Dates'!Z737)-('_Dates'!Y737)+1),7)),"O",""))-COUNTIFS(INDEX(AllClosureRows,C737,0),"&gt;="&amp;('_Dates'!Y737),INDEX(AllClosureRows,C737,0),"&lt;="&amp;('_Dates'!Z737)))))</ns0:f>
        <ns0:v>0</ns0:v>
      </ns0:c>
      <ns0:c r="H737" s="0">
        <ns0:f>IF(OR(F737&lt;&gt;"OK",$B$6&gt;0),0,0.5*(IF((MIN('_Dates'!X737,Settings!$B$9))&lt;('_Dates'!W737),0,INT(((MIN('_Dates'!X737,Settings!$B$9))-('_Dates'!W737)+1)/7)*LEN(SUBSTITUTE(W737,"O",""))+LEN(SUBSTITUTE(MID(W737&amp;W737,WEEKDAY(('_Dates'!W737),2),MOD(((MIN('_Dates'!X737,Settings!$B$9))-('_Dates'!W737)+1),7)),"O",""))-COUNTIFS(INDEX(AllClosureRows,C737,0),"&gt;="&amp;('_Dates'!W737),INDEX(AllClosureRows,C737,0),"&lt;="&amp;(MIN('_Dates'!X737,Settings!$B$9))))+IF((MIN('_Dates'!Z737,Settings!$B$9))&lt;('_Dates'!Y737),0,INT(((MIN('_Dates'!Z737,Settings!$B$9))-('_Dates'!Y737)+1)/7)*LEN(SUBSTITUTE(W737,"O",""))+LEN(SUBSTITUTE(MID(W737&amp;W737,WEEKDAY(('_Dates'!Y737),2),MOD(((MIN('_Dates'!Z737,Settings!$B$9))-('_Dates'!Y737)+1),7)),"O",""))-COUNTIFS(INDEX(AllClosureRows,C737,0),"&gt;="&amp;('_Dates'!Y737),INDEX(AllClosureRows,C737,0),"&lt;="&amp;(MIN('_Dates'!Z737,Settings!$B$9))))))</ns0:f>
        <ns0:v>0</ns0:v>
      </ns0:c>
      <ns0:c r="I737" s="0">
        <ns0:f>MAX(0,G737-H737)</ns0:f>
        <ns0:v>0</ns0:v>
      </ns0:c>
      <ns0:c r="J737" s="0">
        <ns0:f>IF(OR(A737=0,F737&lt;&gt;"OK",Bookings!G737="Cancelled",$B$6&gt;0),0,IF('_Dates'!AC737=1,MAX(0,COUNTIFS(rngEngine_B,B737,rngAMStart,"&lt;="&amp;'_Dates'!X737,rngAMEnd,"&gt;="&amp;'_Dates'!W737,rngAMActive,1,rngEngine_F,"OK",rngBookings_F,"&lt;&gt;Cancelled")-1),0)+IF('_Dates'!AD737=1,MAX(0,COUNTIFS(rngEngine_B,B737,rngPMStart,"&lt;="&amp;'_Dates'!Z737,rngPMEnd,"&gt;="&amp;'_Dates'!Y737,rngPMActive,1,rngEngine_F,"OK",rngBookings_F,"&lt;&gt;Cancelled")-1),0))</ns0:f>
        <ns0:v>0</ns0:v>
      </ns0:c>
      <ns0:c r="K737" s="0" t="str">
        <ns0:f>IF(A737=0,"",IF(F737&lt;&gt;"OK",F737,IF(J737&gt;0,"CHECK overlapping entry",IF(AND($B$6=0,G737&lt;=0,Bookings!G737&lt;&gt;"Cancelled"),"CHECK no working days",IF(Bookings!G737="Cancelled","Cancelled","OK")))))</ns0:f>
        <ns0:v/>
      </ns0:c>
      <ns0:c r="L737" s="0">
        <ns0:f>IF(LEFT(K737,5)="CHECK",1,0)</ns0:f>
        <ns0:v>0</ns0:v>
      </ns0:c>
      <ns0:c r="M737" s="0">
        <ns0:f>IF(AND(L737=1,OR(C737=0,IFERROR(INDEX($X$11:$X$60,C737),0)=0)),1,0)</ns0:f>
        <ns0:v>0</ns0:v>
      </ns0:c>
      <ns0:c r="N737" s="0">
        <ns0:f>IF(OR(A737=0,L737&gt;0,$B$6&gt;0,Bookings!G737="Cancelled"),0,G737)</ns0:f>
        <ns0:v>0</ns0:v>
      </ns0:c>
      <ns0:c r="O737" s="0">
        <ns0:f>IF(AND(Bookings!G737="Approved",E737="Yes"),N737,0)</ns0:f>
        <ns0:v>0</ns0:v>
      </ns0:c>
      <ns0:c r="P737" s="0">
        <ns0:f>IF(AND(Bookings!G737="Approved",E737="Yes",L737=0,$B$6=0),H737,0)</ns0:f>
        <ns0:v>0</ns0:v>
      </ns0:c>
      <ns0:c r="Q737" s="0">
        <ns0:f>IF(AND(Bookings!G737="Approved",E737="Yes",L737=0,$B$6=0),I737,0)</ns0:f>
        <ns0:v>0</ns0:v>
      </ns0:c>
      <ns0:c r="R737" s="0">
        <ns0:f>IF(AND(Bookings!G737="Pending",E737="Yes"),N737,0)</ns0:f>
        <ns0:v>0</ns0:v>
      </ns0:c>
      <ns0:c r="S737" s="0">
        <ns0:f>IF(AND(Bookings!G737="Approved",E737="No"),N737,0)</ns0:f>
        <ns0:v>0</ns0:v>
      </ns0:c>
      <ns0:c r="T737" s="0">
        <ns0:f>IFERROR(MATCH(D737,Settings!$G$7:$G$11,0),0)</ns0:f>
        <ns0:v>0</ns0:v>
      </ns0:c>
      <ns0:c r="U737" s="0">
        <ns0:f>IF(N737&gt;0,T737+IF(Bookings!G737="Pending",10,0),0)</ns0:f>
        <ns0:v>0</ns0:v>
      </ns0:c>
      <ns0:c r="V737" s="0">
        <ns0:f>U737</ns0:f>
        <ns0:v>0</ns0:v>
      </ns0:c>
      <ns0:c r="W737" s="0" t="str">
        <ns0:f>IF(C737=0,"",INDEX($AP$11:$AP$60,C737))</ns0:f>
        <ns0:v/>
      </ns0:c>
    </ns0:row>
    <ns0:row r="738">
      <ns0:c r="A738" s="0">
        <ns0:f>IF(COUNTA(Bookings!A738:G738,Bookings!I738)=0,0,1)</ns0:f>
        <ns0:v>0</ns0:v>
      </ns0:c>
      <ns0:c r="B738" s="0" t="str">
        <ns0:f>IFERROR(TRIM(MID(Bookings!A738,FIND(" · ",Bookings!A738)+3,99)),"")</ns0:f>
        <ns0:v/>
      </ns0:c>
      <ns0:c r="C738" s="0">
        <ns0:f>IF(OR(B738="",LEN(B738)&gt;24,ISNUMBER(FIND(" ",B738)),ISNUMBER(FIND("*",B738)),ISNUMBER(FIND("?",B738)),ISNUMBER(FIND("~",B738))),0,IFERROR(MATCH(B738,Team!$A$11:$A$60,0),0))</ns0:f>
        <ns0:v>0</ns0:v>
      </ns0:c>
      <ns0:c r="D738" s="0" t="str">
        <ns0:f>IFERROR(IF(MID(Bookings!F738,LEN(Bookings!F738)-3,3)=" · ",RIGHT(Bookings!F738,1),""),"")</ns0:f>
        <ns0:v/>
      </ns0:c>
      <ns0:c r="E738" s="0" t="str">
        <ns0:f>IFERROR(INDEX(Settings!$H$7:$H$11,MATCH(D738,Settings!$G$7:$G$11,0)),"")</ns0:f>
        <ns0:v/>
      </ns0:c>
      <ns0:c r="F738" s="0" t="str">
        <ns0:f>IF(A738=0,"",IFERROR(IF(OR(B738="",C738=0),"CHECK employee selection",IF(INDEX(Team!$O$11:$O$60,C738)&lt;&gt;"OK","CHECK employee setup",IF(OR('_Dates'!J738=0,'_Dates'!T738=0),"CHECK date: use DD.MM.YYYY",IF('_Dates'!T738&lt;'_Dates'!J738,"CHECK end before start",IF(AND($B$6=0,OR('_Dates'!J738&lt;Settings!$B$7,'_Dates'!T738&gt;Settings!$B$8)),"CHECK split across leave years",IF(OR(NOT(OR('_Dates'!U738="Full day",'_Dates'!U738="AM",'_Dates'!U738="PM")),NOT(OR('_Dates'!V738="Full day",'_Dates'!V738="AM",'_Dates'!V738="PM"))),"CHECK Full day / AM / PM",IF(AND('_Dates'!J738='_Dates'!T738,'_Dates'!U738&lt;&gt;"Full day",'_Dates'!V738&lt;&gt;"Full day",'_Dates'!U738&lt;&gt;'_Dates'!V738),"CHECK same-day portions disagree",IF(AND($B$6=0,OR(AND('_Dates'!U738&lt;&gt;"Full day",'_Dates'!AA738=0),AND('_Dates'!V738&lt;&gt;"Full day",'_Dates'!AB738=0))),"CHECK half-day on non-working date",IF(COUNTIF(Settings!$G$7:$G$11,D738)&lt;&gt;1,"CHECK leave type",IF(AND(Bookings!G738&lt;&gt;"Approved",Bookings!G738&lt;&gt;"Pending",Bookings!G738&lt;&gt;"Cancelled"),"CHECK status","OK")))))))))),"CHECK input"))</ns0:f>
        <ns0:v/>
      </ns0:c>
      <ns0:c r="G738" s="0">
        <ns0:f>IF(OR(F738&lt;&gt;"OK",$B$6&gt;0),0,0.5*(IF(('_Dates'!X738)&lt;('_Dates'!W738),0,INT((('_Dates'!X738)-('_Dates'!W738)+1)/7)*LEN(SUBSTITUTE(W738,"O",""))+LEN(SUBSTITUTE(MID(W738&amp;W738,WEEKDAY(('_Dates'!W738),2),MOD((('_Dates'!X738)-('_Dates'!W738)+1),7)),"O",""))-COUNTIFS(INDEX(AllClosureRows,C738,0),"&gt;="&amp;('_Dates'!W738),INDEX(AllClosureRows,C738,0),"&lt;="&amp;('_Dates'!X738)))+IF(('_Dates'!Z738)&lt;('_Dates'!Y738),0,INT((('_Dates'!Z738)-('_Dates'!Y738)+1)/7)*LEN(SUBSTITUTE(W738,"O",""))+LEN(SUBSTITUTE(MID(W738&amp;W738,WEEKDAY(('_Dates'!Y738),2),MOD((('_Dates'!Z738)-('_Dates'!Y738)+1),7)),"O",""))-COUNTIFS(INDEX(AllClosureRows,C738,0),"&gt;="&amp;('_Dates'!Y738),INDEX(AllClosureRows,C738,0),"&lt;="&amp;('_Dates'!Z738)))))</ns0:f>
        <ns0:v>0</ns0:v>
      </ns0:c>
      <ns0:c r="H738" s="0">
        <ns0:f>IF(OR(F738&lt;&gt;"OK",$B$6&gt;0),0,0.5*(IF((MIN('_Dates'!X738,Settings!$B$9))&lt;('_Dates'!W738),0,INT(((MIN('_Dates'!X738,Settings!$B$9))-('_Dates'!W738)+1)/7)*LEN(SUBSTITUTE(W738,"O",""))+LEN(SUBSTITUTE(MID(W738&amp;W738,WEEKDAY(('_Dates'!W738),2),MOD(((MIN('_Dates'!X738,Settings!$B$9))-('_Dates'!W738)+1),7)),"O",""))-COUNTIFS(INDEX(AllClosureRows,C738,0),"&gt;="&amp;('_Dates'!W738),INDEX(AllClosureRows,C738,0),"&lt;="&amp;(MIN('_Dates'!X738,Settings!$B$9))))+IF((MIN('_Dates'!Z738,Settings!$B$9))&lt;('_Dates'!Y738),0,INT(((MIN('_Dates'!Z738,Settings!$B$9))-('_Dates'!Y738)+1)/7)*LEN(SUBSTITUTE(W738,"O",""))+LEN(SUBSTITUTE(MID(W738&amp;W738,WEEKDAY(('_Dates'!Y738),2),MOD(((MIN('_Dates'!Z738,Settings!$B$9))-('_Dates'!Y738)+1),7)),"O",""))-COUNTIFS(INDEX(AllClosureRows,C738,0),"&gt;="&amp;('_Dates'!Y738),INDEX(AllClosureRows,C738,0),"&lt;="&amp;(MIN('_Dates'!Z738,Settings!$B$9))))))</ns0:f>
        <ns0:v>0</ns0:v>
      </ns0:c>
      <ns0:c r="I738" s="0">
        <ns0:f>MAX(0,G738-H738)</ns0:f>
        <ns0:v>0</ns0:v>
      </ns0:c>
      <ns0:c r="J738" s="0">
        <ns0:f>IF(OR(A738=0,F738&lt;&gt;"OK",Bookings!G738="Cancelled",$B$6&gt;0),0,IF('_Dates'!AC738=1,MAX(0,COUNTIFS(rngEngine_B,B738,rngAMStart,"&lt;="&amp;'_Dates'!X738,rngAMEnd,"&gt;="&amp;'_Dates'!W738,rngAMActive,1,rngEngine_F,"OK",rngBookings_F,"&lt;&gt;Cancelled")-1),0)+IF('_Dates'!AD738=1,MAX(0,COUNTIFS(rngEngine_B,B738,rngPMStart,"&lt;="&amp;'_Dates'!Z738,rngPMEnd,"&gt;="&amp;'_Dates'!Y738,rngPMActive,1,rngEngine_F,"OK",rngBookings_F,"&lt;&gt;Cancelled")-1),0))</ns0:f>
        <ns0:v>0</ns0:v>
      </ns0:c>
      <ns0:c r="K738" s="0" t="str">
        <ns0:f>IF(A738=0,"",IF(F738&lt;&gt;"OK",F738,IF(J738&gt;0,"CHECK overlapping entry",IF(AND($B$6=0,G738&lt;=0,Bookings!G738&lt;&gt;"Cancelled"),"CHECK no working days",IF(Bookings!G738="Cancelled","Cancelled","OK")))))</ns0:f>
        <ns0:v/>
      </ns0:c>
      <ns0:c r="L738" s="0">
        <ns0:f>IF(LEFT(K738,5)="CHECK",1,0)</ns0:f>
        <ns0:v>0</ns0:v>
      </ns0:c>
      <ns0:c r="M738" s="0">
        <ns0:f>IF(AND(L738=1,OR(C738=0,IFERROR(INDEX($X$11:$X$60,C738),0)=0)),1,0)</ns0:f>
        <ns0:v>0</ns0:v>
      </ns0:c>
      <ns0:c r="N738" s="0">
        <ns0:f>IF(OR(A738=0,L738&gt;0,$B$6&gt;0,Bookings!G738="Cancelled"),0,G738)</ns0:f>
        <ns0:v>0</ns0:v>
      </ns0:c>
      <ns0:c r="O738" s="0">
        <ns0:f>IF(AND(Bookings!G738="Approved",E738="Yes"),N738,0)</ns0:f>
        <ns0:v>0</ns0:v>
      </ns0:c>
      <ns0:c r="P738" s="0">
        <ns0:f>IF(AND(Bookings!G738="Approved",E738="Yes",L738=0,$B$6=0),H738,0)</ns0:f>
        <ns0:v>0</ns0:v>
      </ns0:c>
      <ns0:c r="Q738" s="0">
        <ns0:f>IF(AND(Bookings!G738="Approved",E738="Yes",L738=0,$B$6=0),I738,0)</ns0:f>
        <ns0:v>0</ns0:v>
      </ns0:c>
      <ns0:c r="R738" s="0">
        <ns0:f>IF(AND(Bookings!G738="Pending",E738="Yes"),N738,0)</ns0:f>
        <ns0:v>0</ns0:v>
      </ns0:c>
      <ns0:c r="S738" s="0">
        <ns0:f>IF(AND(Bookings!G738="Approved",E738="No"),N738,0)</ns0:f>
        <ns0:v>0</ns0:v>
      </ns0:c>
      <ns0:c r="T738" s="0">
        <ns0:f>IFERROR(MATCH(D738,Settings!$G$7:$G$11,0),0)</ns0:f>
        <ns0:v>0</ns0:v>
      </ns0:c>
      <ns0:c r="U738" s="0">
        <ns0:f>IF(N738&gt;0,T738+IF(Bookings!G738="Pending",10,0),0)</ns0:f>
        <ns0:v>0</ns0:v>
      </ns0:c>
      <ns0:c r="V738" s="0">
        <ns0:f>U738</ns0:f>
        <ns0:v>0</ns0:v>
      </ns0:c>
      <ns0:c r="W738" s="0" t="str">
        <ns0:f>IF(C738=0,"",INDEX($AP$11:$AP$60,C738))</ns0:f>
        <ns0:v/>
      </ns0:c>
    </ns0:row>
    <ns0:row r="739">
      <ns0:c r="A739" s="0">
        <ns0:f>IF(COUNTA(Bookings!A739:G739,Bookings!I739)=0,0,1)</ns0:f>
        <ns0:v>0</ns0:v>
      </ns0:c>
      <ns0:c r="B739" s="0" t="str">
        <ns0:f>IFERROR(TRIM(MID(Bookings!A739,FIND(" · ",Bookings!A739)+3,99)),"")</ns0:f>
        <ns0:v/>
      </ns0:c>
      <ns0:c r="C739" s="0">
        <ns0:f>IF(OR(B739="",LEN(B739)&gt;24,ISNUMBER(FIND(" ",B739)),ISNUMBER(FIND("*",B739)),ISNUMBER(FIND("?",B739)),ISNUMBER(FIND("~",B739))),0,IFERROR(MATCH(B739,Team!$A$11:$A$60,0),0))</ns0:f>
        <ns0:v>0</ns0:v>
      </ns0:c>
      <ns0:c r="D739" s="0" t="str">
        <ns0:f>IFERROR(IF(MID(Bookings!F739,LEN(Bookings!F739)-3,3)=" · ",RIGHT(Bookings!F739,1),""),"")</ns0:f>
        <ns0:v/>
      </ns0:c>
      <ns0:c r="E739" s="0" t="str">
        <ns0:f>IFERROR(INDEX(Settings!$H$7:$H$11,MATCH(D739,Settings!$G$7:$G$11,0)),"")</ns0:f>
        <ns0:v/>
      </ns0:c>
      <ns0:c r="F739" s="0" t="str">
        <ns0:f>IF(A739=0,"",IFERROR(IF(OR(B739="",C739=0),"CHECK employee selection",IF(INDEX(Team!$O$11:$O$60,C739)&lt;&gt;"OK","CHECK employee setup",IF(OR('_Dates'!J739=0,'_Dates'!T739=0),"CHECK date: use DD.MM.YYYY",IF('_Dates'!T739&lt;'_Dates'!J739,"CHECK end before start",IF(AND($B$6=0,OR('_Dates'!J739&lt;Settings!$B$7,'_Dates'!T739&gt;Settings!$B$8)),"CHECK split across leave years",IF(OR(NOT(OR('_Dates'!U739="Full day",'_Dates'!U739="AM",'_Dates'!U739="PM")),NOT(OR('_Dates'!V739="Full day",'_Dates'!V739="AM",'_Dates'!V739="PM"))),"CHECK Full day / AM / PM",IF(AND('_Dates'!J739='_Dates'!T739,'_Dates'!U739&lt;&gt;"Full day",'_Dates'!V739&lt;&gt;"Full day",'_Dates'!U739&lt;&gt;'_Dates'!V739),"CHECK same-day portions disagree",IF(AND($B$6=0,OR(AND('_Dates'!U739&lt;&gt;"Full day",'_Dates'!AA739=0),AND('_Dates'!V739&lt;&gt;"Full day",'_Dates'!AB739=0))),"CHECK half-day on non-working date",IF(COUNTIF(Settings!$G$7:$G$11,D739)&lt;&gt;1,"CHECK leave type",IF(AND(Bookings!G739&lt;&gt;"Approved",Bookings!G739&lt;&gt;"Pending",Bookings!G739&lt;&gt;"Cancelled"),"CHECK status","OK")))))))))),"CHECK input"))</ns0:f>
        <ns0:v/>
      </ns0:c>
      <ns0:c r="G739" s="0">
        <ns0:f>IF(OR(F739&lt;&gt;"OK",$B$6&gt;0),0,0.5*(IF(('_Dates'!X739)&lt;('_Dates'!W739),0,INT((('_Dates'!X739)-('_Dates'!W739)+1)/7)*LEN(SUBSTITUTE(W739,"O",""))+LEN(SUBSTITUTE(MID(W739&amp;W739,WEEKDAY(('_Dates'!W739),2),MOD((('_Dates'!X739)-('_Dates'!W739)+1),7)),"O",""))-COUNTIFS(INDEX(AllClosureRows,C739,0),"&gt;="&amp;('_Dates'!W739),INDEX(AllClosureRows,C739,0),"&lt;="&amp;('_Dates'!X739)))+IF(('_Dates'!Z739)&lt;('_Dates'!Y739),0,INT((('_Dates'!Z739)-('_Dates'!Y739)+1)/7)*LEN(SUBSTITUTE(W739,"O",""))+LEN(SUBSTITUTE(MID(W739&amp;W739,WEEKDAY(('_Dates'!Y739),2),MOD((('_Dates'!Z739)-('_Dates'!Y739)+1),7)),"O",""))-COUNTIFS(INDEX(AllClosureRows,C739,0),"&gt;="&amp;('_Dates'!Y739),INDEX(AllClosureRows,C739,0),"&lt;="&amp;('_Dates'!Z739)))))</ns0:f>
        <ns0:v>0</ns0:v>
      </ns0:c>
      <ns0:c r="H739" s="0">
        <ns0:f>IF(OR(F739&lt;&gt;"OK",$B$6&gt;0),0,0.5*(IF((MIN('_Dates'!X739,Settings!$B$9))&lt;('_Dates'!W739),0,INT(((MIN('_Dates'!X739,Settings!$B$9))-('_Dates'!W739)+1)/7)*LEN(SUBSTITUTE(W739,"O",""))+LEN(SUBSTITUTE(MID(W739&amp;W739,WEEKDAY(('_Dates'!W739),2),MOD(((MIN('_Dates'!X739,Settings!$B$9))-('_Dates'!W739)+1),7)),"O",""))-COUNTIFS(INDEX(AllClosureRows,C739,0),"&gt;="&amp;('_Dates'!W739),INDEX(AllClosureRows,C739,0),"&lt;="&amp;(MIN('_Dates'!X739,Settings!$B$9))))+IF((MIN('_Dates'!Z739,Settings!$B$9))&lt;('_Dates'!Y739),0,INT(((MIN('_Dates'!Z739,Settings!$B$9))-('_Dates'!Y739)+1)/7)*LEN(SUBSTITUTE(W739,"O",""))+LEN(SUBSTITUTE(MID(W739&amp;W739,WEEKDAY(('_Dates'!Y739),2),MOD(((MIN('_Dates'!Z739,Settings!$B$9))-('_Dates'!Y739)+1),7)),"O",""))-COUNTIFS(INDEX(AllClosureRows,C739,0),"&gt;="&amp;('_Dates'!Y739),INDEX(AllClosureRows,C739,0),"&lt;="&amp;(MIN('_Dates'!Z739,Settings!$B$9))))))</ns0:f>
        <ns0:v>0</ns0:v>
      </ns0:c>
      <ns0:c r="I739" s="0">
        <ns0:f>MAX(0,G739-H739)</ns0:f>
        <ns0:v>0</ns0:v>
      </ns0:c>
      <ns0:c r="J739" s="0">
        <ns0:f>IF(OR(A739=0,F739&lt;&gt;"OK",Bookings!G739="Cancelled",$B$6&gt;0),0,IF('_Dates'!AC739=1,MAX(0,COUNTIFS(rngEngine_B,B739,rngAMStart,"&lt;="&amp;'_Dates'!X739,rngAMEnd,"&gt;="&amp;'_Dates'!W739,rngAMActive,1,rngEngine_F,"OK",rngBookings_F,"&lt;&gt;Cancelled")-1),0)+IF('_Dates'!AD739=1,MAX(0,COUNTIFS(rngEngine_B,B739,rngPMStart,"&lt;="&amp;'_Dates'!Z739,rngPMEnd,"&gt;="&amp;'_Dates'!Y739,rngPMActive,1,rngEngine_F,"OK",rngBookings_F,"&lt;&gt;Cancelled")-1),0))</ns0:f>
        <ns0:v>0</ns0:v>
      </ns0:c>
      <ns0:c r="K739" s="0" t="str">
        <ns0:f>IF(A739=0,"",IF(F739&lt;&gt;"OK",F739,IF(J739&gt;0,"CHECK overlapping entry",IF(AND($B$6=0,G739&lt;=0,Bookings!G739&lt;&gt;"Cancelled"),"CHECK no working days",IF(Bookings!G739="Cancelled","Cancelled","OK")))))</ns0:f>
        <ns0:v/>
      </ns0:c>
      <ns0:c r="L739" s="0">
        <ns0:f>IF(LEFT(K739,5)="CHECK",1,0)</ns0:f>
        <ns0:v>0</ns0:v>
      </ns0:c>
      <ns0:c r="M739" s="0">
        <ns0:f>IF(AND(L739=1,OR(C739=0,IFERROR(INDEX($X$11:$X$60,C739),0)=0)),1,0)</ns0:f>
        <ns0:v>0</ns0:v>
      </ns0:c>
      <ns0:c r="N739" s="0">
        <ns0:f>IF(OR(A739=0,L739&gt;0,$B$6&gt;0,Bookings!G739="Cancelled"),0,G739)</ns0:f>
        <ns0:v>0</ns0:v>
      </ns0:c>
      <ns0:c r="O739" s="0">
        <ns0:f>IF(AND(Bookings!G739="Approved",E739="Yes"),N739,0)</ns0:f>
        <ns0:v>0</ns0:v>
      </ns0:c>
      <ns0:c r="P739" s="0">
        <ns0:f>IF(AND(Bookings!G739="Approved",E739="Yes",L739=0,$B$6=0),H739,0)</ns0:f>
        <ns0:v>0</ns0:v>
      </ns0:c>
      <ns0:c r="Q739" s="0">
        <ns0:f>IF(AND(Bookings!G739="Approved",E739="Yes",L739=0,$B$6=0),I739,0)</ns0:f>
        <ns0:v>0</ns0:v>
      </ns0:c>
      <ns0:c r="R739" s="0">
        <ns0:f>IF(AND(Bookings!G739="Pending",E739="Yes"),N739,0)</ns0:f>
        <ns0:v>0</ns0:v>
      </ns0:c>
      <ns0:c r="S739" s="0">
        <ns0:f>IF(AND(Bookings!G739="Approved",E739="No"),N739,0)</ns0:f>
        <ns0:v>0</ns0:v>
      </ns0:c>
      <ns0:c r="T739" s="0">
        <ns0:f>IFERROR(MATCH(D739,Settings!$G$7:$G$11,0),0)</ns0:f>
        <ns0:v>0</ns0:v>
      </ns0:c>
      <ns0:c r="U739" s="0">
        <ns0:f>IF(N739&gt;0,T739+IF(Bookings!G739="Pending",10,0),0)</ns0:f>
        <ns0:v>0</ns0:v>
      </ns0:c>
      <ns0:c r="V739" s="0">
        <ns0:f>U739</ns0:f>
        <ns0:v>0</ns0:v>
      </ns0:c>
      <ns0:c r="W739" s="0" t="str">
        <ns0:f>IF(C739=0,"",INDEX($AP$11:$AP$60,C739))</ns0:f>
        <ns0:v/>
      </ns0:c>
    </ns0:row>
    <ns0:row r="740">
      <ns0:c r="A740" s="0">
        <ns0:f>IF(COUNTA(Bookings!A740:G740,Bookings!I740)=0,0,1)</ns0:f>
        <ns0:v>0</ns0:v>
      </ns0:c>
      <ns0:c r="B740" s="0" t="str">
        <ns0:f>IFERROR(TRIM(MID(Bookings!A740,FIND(" · ",Bookings!A740)+3,99)),"")</ns0:f>
        <ns0:v/>
      </ns0:c>
      <ns0:c r="C740" s="0">
        <ns0:f>IF(OR(B740="",LEN(B740)&gt;24,ISNUMBER(FIND(" ",B740)),ISNUMBER(FIND("*",B740)),ISNUMBER(FIND("?",B740)),ISNUMBER(FIND("~",B740))),0,IFERROR(MATCH(B740,Team!$A$11:$A$60,0),0))</ns0:f>
        <ns0:v>0</ns0:v>
      </ns0:c>
      <ns0:c r="D740" s="0" t="str">
        <ns0:f>IFERROR(IF(MID(Bookings!F740,LEN(Bookings!F740)-3,3)=" · ",RIGHT(Bookings!F740,1),""),"")</ns0:f>
        <ns0:v/>
      </ns0:c>
      <ns0:c r="E740" s="0" t="str">
        <ns0:f>IFERROR(INDEX(Settings!$H$7:$H$11,MATCH(D740,Settings!$G$7:$G$11,0)),"")</ns0:f>
        <ns0:v/>
      </ns0:c>
      <ns0:c r="F740" s="0" t="str">
        <ns0:f>IF(A740=0,"",IFERROR(IF(OR(B740="",C740=0),"CHECK employee selection",IF(INDEX(Team!$O$11:$O$60,C740)&lt;&gt;"OK","CHECK employee setup",IF(OR('_Dates'!J740=0,'_Dates'!T740=0),"CHECK date: use DD.MM.YYYY",IF('_Dates'!T740&lt;'_Dates'!J740,"CHECK end before start",IF(AND($B$6=0,OR('_Dates'!J740&lt;Settings!$B$7,'_Dates'!T740&gt;Settings!$B$8)),"CHECK split across leave years",IF(OR(NOT(OR('_Dates'!U740="Full day",'_Dates'!U740="AM",'_Dates'!U740="PM")),NOT(OR('_Dates'!V740="Full day",'_Dates'!V740="AM",'_Dates'!V740="PM"))),"CHECK Full day / AM / PM",IF(AND('_Dates'!J740='_Dates'!T740,'_Dates'!U740&lt;&gt;"Full day",'_Dates'!V740&lt;&gt;"Full day",'_Dates'!U740&lt;&gt;'_Dates'!V740),"CHECK same-day portions disagree",IF(AND($B$6=0,OR(AND('_Dates'!U740&lt;&gt;"Full day",'_Dates'!AA740=0),AND('_Dates'!V740&lt;&gt;"Full day",'_Dates'!AB740=0))),"CHECK half-day on non-working date",IF(COUNTIF(Settings!$G$7:$G$11,D740)&lt;&gt;1,"CHECK leave type",IF(AND(Bookings!G740&lt;&gt;"Approved",Bookings!G740&lt;&gt;"Pending",Bookings!G740&lt;&gt;"Cancelled"),"CHECK status","OK")))))))))),"CHECK input"))</ns0:f>
        <ns0:v/>
      </ns0:c>
      <ns0:c r="G740" s="0">
        <ns0:f>IF(OR(F740&lt;&gt;"OK",$B$6&gt;0),0,0.5*(IF(('_Dates'!X740)&lt;('_Dates'!W740),0,INT((('_Dates'!X740)-('_Dates'!W740)+1)/7)*LEN(SUBSTITUTE(W740,"O",""))+LEN(SUBSTITUTE(MID(W740&amp;W740,WEEKDAY(('_Dates'!W740),2),MOD((('_Dates'!X740)-('_Dates'!W740)+1),7)),"O",""))-COUNTIFS(INDEX(AllClosureRows,C740,0),"&gt;="&amp;('_Dates'!W740),INDEX(AllClosureRows,C740,0),"&lt;="&amp;('_Dates'!X740)))+IF(('_Dates'!Z740)&lt;('_Dates'!Y740),0,INT((('_Dates'!Z740)-('_Dates'!Y740)+1)/7)*LEN(SUBSTITUTE(W740,"O",""))+LEN(SUBSTITUTE(MID(W740&amp;W740,WEEKDAY(('_Dates'!Y740),2),MOD((('_Dates'!Z740)-('_Dates'!Y740)+1),7)),"O",""))-COUNTIFS(INDEX(AllClosureRows,C740,0),"&gt;="&amp;('_Dates'!Y740),INDEX(AllClosureRows,C740,0),"&lt;="&amp;('_Dates'!Z740)))))</ns0:f>
        <ns0:v>0</ns0:v>
      </ns0:c>
      <ns0:c r="H740" s="0">
        <ns0:f>IF(OR(F740&lt;&gt;"OK",$B$6&gt;0),0,0.5*(IF((MIN('_Dates'!X740,Settings!$B$9))&lt;('_Dates'!W740),0,INT(((MIN('_Dates'!X740,Settings!$B$9))-('_Dates'!W740)+1)/7)*LEN(SUBSTITUTE(W740,"O",""))+LEN(SUBSTITUTE(MID(W740&amp;W740,WEEKDAY(('_Dates'!W740),2),MOD(((MIN('_Dates'!X740,Settings!$B$9))-('_Dates'!W740)+1),7)),"O",""))-COUNTIFS(INDEX(AllClosureRows,C740,0),"&gt;="&amp;('_Dates'!W740),INDEX(AllClosureRows,C740,0),"&lt;="&amp;(MIN('_Dates'!X740,Settings!$B$9))))+IF((MIN('_Dates'!Z740,Settings!$B$9))&lt;('_Dates'!Y740),0,INT(((MIN('_Dates'!Z740,Settings!$B$9))-('_Dates'!Y740)+1)/7)*LEN(SUBSTITUTE(W740,"O",""))+LEN(SUBSTITUTE(MID(W740&amp;W740,WEEKDAY(('_Dates'!Y740),2),MOD(((MIN('_Dates'!Z740,Settings!$B$9))-('_Dates'!Y740)+1),7)),"O",""))-COUNTIFS(INDEX(AllClosureRows,C740,0),"&gt;="&amp;('_Dates'!Y740),INDEX(AllClosureRows,C740,0),"&lt;="&amp;(MIN('_Dates'!Z740,Settings!$B$9))))))</ns0:f>
        <ns0:v>0</ns0:v>
      </ns0:c>
      <ns0:c r="I740" s="0">
        <ns0:f>MAX(0,G740-H740)</ns0:f>
        <ns0:v>0</ns0:v>
      </ns0:c>
      <ns0:c r="J740" s="0">
        <ns0:f>IF(OR(A740=0,F740&lt;&gt;"OK",Bookings!G740="Cancelled",$B$6&gt;0),0,IF('_Dates'!AC740=1,MAX(0,COUNTIFS(rngEngine_B,B740,rngAMStart,"&lt;="&amp;'_Dates'!X740,rngAMEnd,"&gt;="&amp;'_Dates'!W740,rngAMActive,1,rngEngine_F,"OK",rngBookings_F,"&lt;&gt;Cancelled")-1),0)+IF('_Dates'!AD740=1,MAX(0,COUNTIFS(rngEngine_B,B740,rngPMStart,"&lt;="&amp;'_Dates'!Z740,rngPMEnd,"&gt;="&amp;'_Dates'!Y740,rngPMActive,1,rngEngine_F,"OK",rngBookings_F,"&lt;&gt;Cancelled")-1),0))</ns0:f>
        <ns0:v>0</ns0:v>
      </ns0:c>
      <ns0:c r="K740" s="0" t="str">
        <ns0:f>IF(A740=0,"",IF(F740&lt;&gt;"OK",F740,IF(J740&gt;0,"CHECK overlapping entry",IF(AND($B$6=0,G740&lt;=0,Bookings!G740&lt;&gt;"Cancelled"),"CHECK no working days",IF(Bookings!G740="Cancelled","Cancelled","OK")))))</ns0:f>
        <ns0:v/>
      </ns0:c>
      <ns0:c r="L740" s="0">
        <ns0:f>IF(LEFT(K740,5)="CHECK",1,0)</ns0:f>
        <ns0:v>0</ns0:v>
      </ns0:c>
      <ns0:c r="M740" s="0">
        <ns0:f>IF(AND(L740=1,OR(C740=0,IFERROR(INDEX($X$11:$X$60,C740),0)=0)),1,0)</ns0:f>
        <ns0:v>0</ns0:v>
      </ns0:c>
      <ns0:c r="N740" s="0">
        <ns0:f>IF(OR(A740=0,L740&gt;0,$B$6&gt;0,Bookings!G740="Cancelled"),0,G740)</ns0:f>
        <ns0:v>0</ns0:v>
      </ns0:c>
      <ns0:c r="O740" s="0">
        <ns0:f>IF(AND(Bookings!G740="Approved",E740="Yes"),N740,0)</ns0:f>
        <ns0:v>0</ns0:v>
      </ns0:c>
      <ns0:c r="P740" s="0">
        <ns0:f>IF(AND(Bookings!G740="Approved",E740="Yes",L740=0,$B$6=0),H740,0)</ns0:f>
        <ns0:v>0</ns0:v>
      </ns0:c>
      <ns0:c r="Q740" s="0">
        <ns0:f>IF(AND(Bookings!G740="Approved",E740="Yes",L740=0,$B$6=0),I740,0)</ns0:f>
        <ns0:v>0</ns0:v>
      </ns0:c>
      <ns0:c r="R740" s="0">
        <ns0:f>IF(AND(Bookings!G740="Pending",E740="Yes"),N740,0)</ns0:f>
        <ns0:v>0</ns0:v>
      </ns0:c>
      <ns0:c r="S740" s="0">
        <ns0:f>IF(AND(Bookings!G740="Approved",E740="No"),N740,0)</ns0:f>
        <ns0:v>0</ns0:v>
      </ns0:c>
      <ns0:c r="T740" s="0">
        <ns0:f>IFERROR(MATCH(D740,Settings!$G$7:$G$11,0),0)</ns0:f>
        <ns0:v>0</ns0:v>
      </ns0:c>
      <ns0:c r="U740" s="0">
        <ns0:f>IF(N740&gt;0,T740+IF(Bookings!G740="Pending",10,0),0)</ns0:f>
        <ns0:v>0</ns0:v>
      </ns0:c>
      <ns0:c r="V740" s="0">
        <ns0:f>U740</ns0:f>
        <ns0:v>0</ns0:v>
      </ns0:c>
      <ns0:c r="W740" s="0" t="str">
        <ns0:f>IF(C740=0,"",INDEX($AP$11:$AP$60,C740))</ns0:f>
        <ns0:v/>
      </ns0:c>
    </ns0:row>
    <ns0:row r="741">
      <ns0:c r="A741" s="0">
        <ns0:f>IF(COUNTA(Bookings!A741:G741,Bookings!I741)=0,0,1)</ns0:f>
        <ns0:v>0</ns0:v>
      </ns0:c>
      <ns0:c r="B741" s="0" t="str">
        <ns0:f>IFERROR(TRIM(MID(Bookings!A741,FIND(" · ",Bookings!A741)+3,99)),"")</ns0:f>
        <ns0:v/>
      </ns0:c>
      <ns0:c r="C741" s="0">
        <ns0:f>IF(OR(B741="",LEN(B741)&gt;24,ISNUMBER(FIND(" ",B741)),ISNUMBER(FIND("*",B741)),ISNUMBER(FIND("?",B741)),ISNUMBER(FIND("~",B741))),0,IFERROR(MATCH(B741,Team!$A$11:$A$60,0),0))</ns0:f>
        <ns0:v>0</ns0:v>
      </ns0:c>
      <ns0:c r="D741" s="0" t="str">
        <ns0:f>IFERROR(IF(MID(Bookings!F741,LEN(Bookings!F741)-3,3)=" · ",RIGHT(Bookings!F741,1),""),"")</ns0:f>
        <ns0:v/>
      </ns0:c>
      <ns0:c r="E741" s="0" t="str">
        <ns0:f>IFERROR(INDEX(Settings!$H$7:$H$11,MATCH(D741,Settings!$G$7:$G$11,0)),"")</ns0:f>
        <ns0:v/>
      </ns0:c>
      <ns0:c r="F741" s="0" t="str">
        <ns0:f>IF(A741=0,"",IFERROR(IF(OR(B741="",C741=0),"CHECK employee selection",IF(INDEX(Team!$O$11:$O$60,C741)&lt;&gt;"OK","CHECK employee setup",IF(OR('_Dates'!J741=0,'_Dates'!T741=0),"CHECK date: use DD.MM.YYYY",IF('_Dates'!T741&lt;'_Dates'!J741,"CHECK end before start",IF(AND($B$6=0,OR('_Dates'!J741&lt;Settings!$B$7,'_Dates'!T741&gt;Settings!$B$8)),"CHECK split across leave years",IF(OR(NOT(OR('_Dates'!U741="Full day",'_Dates'!U741="AM",'_Dates'!U741="PM")),NOT(OR('_Dates'!V741="Full day",'_Dates'!V741="AM",'_Dates'!V741="PM"))),"CHECK Full day / AM / PM",IF(AND('_Dates'!J741='_Dates'!T741,'_Dates'!U741&lt;&gt;"Full day",'_Dates'!V741&lt;&gt;"Full day",'_Dates'!U741&lt;&gt;'_Dates'!V741),"CHECK same-day portions disagree",IF(AND($B$6=0,OR(AND('_Dates'!U741&lt;&gt;"Full day",'_Dates'!AA741=0),AND('_Dates'!V741&lt;&gt;"Full day",'_Dates'!AB741=0))),"CHECK half-day on non-working date",IF(COUNTIF(Settings!$G$7:$G$11,D741)&lt;&gt;1,"CHECK leave type",IF(AND(Bookings!G741&lt;&gt;"Approved",Bookings!G741&lt;&gt;"Pending",Bookings!G741&lt;&gt;"Cancelled"),"CHECK status","OK")))))))))),"CHECK input"))</ns0:f>
        <ns0:v/>
      </ns0:c>
      <ns0:c r="G741" s="0">
        <ns0:f>IF(OR(F741&lt;&gt;"OK",$B$6&gt;0),0,0.5*(IF(('_Dates'!X741)&lt;('_Dates'!W741),0,INT((('_Dates'!X741)-('_Dates'!W741)+1)/7)*LEN(SUBSTITUTE(W741,"O",""))+LEN(SUBSTITUTE(MID(W741&amp;W741,WEEKDAY(('_Dates'!W741),2),MOD((('_Dates'!X741)-('_Dates'!W741)+1),7)),"O",""))-COUNTIFS(INDEX(AllClosureRows,C741,0),"&gt;="&amp;('_Dates'!W741),INDEX(AllClosureRows,C741,0),"&lt;="&amp;('_Dates'!X741)))+IF(('_Dates'!Z741)&lt;('_Dates'!Y741),0,INT((('_Dates'!Z741)-('_Dates'!Y741)+1)/7)*LEN(SUBSTITUTE(W741,"O",""))+LEN(SUBSTITUTE(MID(W741&amp;W741,WEEKDAY(('_Dates'!Y741),2),MOD((('_Dates'!Z741)-('_Dates'!Y741)+1),7)),"O",""))-COUNTIFS(INDEX(AllClosureRows,C741,0),"&gt;="&amp;('_Dates'!Y741),INDEX(AllClosureRows,C741,0),"&lt;="&amp;('_Dates'!Z741)))))</ns0:f>
        <ns0:v>0</ns0:v>
      </ns0:c>
      <ns0:c r="H741" s="0">
        <ns0:f>IF(OR(F741&lt;&gt;"OK",$B$6&gt;0),0,0.5*(IF((MIN('_Dates'!X741,Settings!$B$9))&lt;('_Dates'!W741),0,INT(((MIN('_Dates'!X741,Settings!$B$9))-('_Dates'!W741)+1)/7)*LEN(SUBSTITUTE(W741,"O",""))+LEN(SUBSTITUTE(MID(W741&amp;W741,WEEKDAY(('_Dates'!W741),2),MOD(((MIN('_Dates'!X741,Settings!$B$9))-('_Dates'!W741)+1),7)),"O",""))-COUNTIFS(INDEX(AllClosureRows,C741,0),"&gt;="&amp;('_Dates'!W741),INDEX(AllClosureRows,C741,0),"&lt;="&amp;(MIN('_Dates'!X741,Settings!$B$9))))+IF((MIN('_Dates'!Z741,Settings!$B$9))&lt;('_Dates'!Y741),0,INT(((MIN('_Dates'!Z741,Settings!$B$9))-('_Dates'!Y741)+1)/7)*LEN(SUBSTITUTE(W741,"O",""))+LEN(SUBSTITUTE(MID(W741&amp;W741,WEEKDAY(('_Dates'!Y741),2),MOD(((MIN('_Dates'!Z741,Settings!$B$9))-('_Dates'!Y741)+1),7)),"O",""))-COUNTIFS(INDEX(AllClosureRows,C741,0),"&gt;="&amp;('_Dates'!Y741),INDEX(AllClosureRows,C741,0),"&lt;="&amp;(MIN('_Dates'!Z741,Settings!$B$9))))))</ns0:f>
        <ns0:v>0</ns0:v>
      </ns0:c>
      <ns0:c r="I741" s="0">
        <ns0:f>MAX(0,G741-H741)</ns0:f>
        <ns0:v>0</ns0:v>
      </ns0:c>
      <ns0:c r="J741" s="0">
        <ns0:f>IF(OR(A741=0,F741&lt;&gt;"OK",Bookings!G741="Cancelled",$B$6&gt;0),0,IF('_Dates'!AC741=1,MAX(0,COUNTIFS(rngEngine_B,B741,rngAMStart,"&lt;="&amp;'_Dates'!X741,rngAMEnd,"&gt;="&amp;'_Dates'!W741,rngAMActive,1,rngEngine_F,"OK",rngBookings_F,"&lt;&gt;Cancelled")-1),0)+IF('_Dates'!AD741=1,MAX(0,COUNTIFS(rngEngine_B,B741,rngPMStart,"&lt;="&amp;'_Dates'!Z741,rngPMEnd,"&gt;="&amp;'_Dates'!Y741,rngPMActive,1,rngEngine_F,"OK",rngBookings_F,"&lt;&gt;Cancelled")-1),0))</ns0:f>
        <ns0:v>0</ns0:v>
      </ns0:c>
      <ns0:c r="K741" s="0" t="str">
        <ns0:f>IF(A741=0,"",IF(F741&lt;&gt;"OK",F741,IF(J741&gt;0,"CHECK overlapping entry",IF(AND($B$6=0,G741&lt;=0,Bookings!G741&lt;&gt;"Cancelled"),"CHECK no working days",IF(Bookings!G741="Cancelled","Cancelled","OK")))))</ns0:f>
        <ns0:v/>
      </ns0:c>
      <ns0:c r="L741" s="0">
        <ns0:f>IF(LEFT(K741,5)="CHECK",1,0)</ns0:f>
        <ns0:v>0</ns0:v>
      </ns0:c>
      <ns0:c r="M741" s="0">
        <ns0:f>IF(AND(L741=1,OR(C741=0,IFERROR(INDEX($X$11:$X$60,C741),0)=0)),1,0)</ns0:f>
        <ns0:v>0</ns0:v>
      </ns0:c>
      <ns0:c r="N741" s="0">
        <ns0:f>IF(OR(A741=0,L741&gt;0,$B$6&gt;0,Bookings!G741="Cancelled"),0,G741)</ns0:f>
        <ns0:v>0</ns0:v>
      </ns0:c>
      <ns0:c r="O741" s="0">
        <ns0:f>IF(AND(Bookings!G741="Approved",E741="Yes"),N741,0)</ns0:f>
        <ns0:v>0</ns0:v>
      </ns0:c>
      <ns0:c r="P741" s="0">
        <ns0:f>IF(AND(Bookings!G741="Approved",E741="Yes",L741=0,$B$6=0),H741,0)</ns0:f>
        <ns0:v>0</ns0:v>
      </ns0:c>
      <ns0:c r="Q741" s="0">
        <ns0:f>IF(AND(Bookings!G741="Approved",E741="Yes",L741=0,$B$6=0),I741,0)</ns0:f>
        <ns0:v>0</ns0:v>
      </ns0:c>
      <ns0:c r="R741" s="0">
        <ns0:f>IF(AND(Bookings!G741="Pending",E741="Yes"),N741,0)</ns0:f>
        <ns0:v>0</ns0:v>
      </ns0:c>
      <ns0:c r="S741" s="0">
        <ns0:f>IF(AND(Bookings!G741="Approved",E741="No"),N741,0)</ns0:f>
        <ns0:v>0</ns0:v>
      </ns0:c>
      <ns0:c r="T741" s="0">
        <ns0:f>IFERROR(MATCH(D741,Settings!$G$7:$G$11,0),0)</ns0:f>
        <ns0:v>0</ns0:v>
      </ns0:c>
      <ns0:c r="U741" s="0">
        <ns0:f>IF(N741&gt;0,T741+IF(Bookings!G741="Pending",10,0),0)</ns0:f>
        <ns0:v>0</ns0:v>
      </ns0:c>
      <ns0:c r="V741" s="0">
        <ns0:f>U741</ns0:f>
        <ns0:v>0</ns0:v>
      </ns0:c>
      <ns0:c r="W741" s="0" t="str">
        <ns0:f>IF(C741=0,"",INDEX($AP$11:$AP$60,C741))</ns0:f>
        <ns0:v/>
      </ns0:c>
    </ns0:row>
    <ns0:row r="742">
      <ns0:c r="A742" s="0">
        <ns0:f>IF(COUNTA(Bookings!A742:G742,Bookings!I742)=0,0,1)</ns0:f>
        <ns0:v>0</ns0:v>
      </ns0:c>
      <ns0:c r="B742" s="0" t="str">
        <ns0:f>IFERROR(TRIM(MID(Bookings!A742,FIND(" · ",Bookings!A742)+3,99)),"")</ns0:f>
        <ns0:v/>
      </ns0:c>
      <ns0:c r="C742" s="0">
        <ns0:f>IF(OR(B742="",LEN(B742)&gt;24,ISNUMBER(FIND(" ",B742)),ISNUMBER(FIND("*",B742)),ISNUMBER(FIND("?",B742)),ISNUMBER(FIND("~",B742))),0,IFERROR(MATCH(B742,Team!$A$11:$A$60,0),0))</ns0:f>
        <ns0:v>0</ns0:v>
      </ns0:c>
      <ns0:c r="D742" s="0" t="str">
        <ns0:f>IFERROR(IF(MID(Bookings!F742,LEN(Bookings!F742)-3,3)=" · ",RIGHT(Bookings!F742,1),""),"")</ns0:f>
        <ns0:v/>
      </ns0:c>
      <ns0:c r="E742" s="0" t="str">
        <ns0:f>IFERROR(INDEX(Settings!$H$7:$H$11,MATCH(D742,Settings!$G$7:$G$11,0)),"")</ns0:f>
        <ns0:v/>
      </ns0:c>
      <ns0:c r="F742" s="0" t="str">
        <ns0:f>IF(A742=0,"",IFERROR(IF(OR(B742="",C742=0),"CHECK employee selection",IF(INDEX(Team!$O$11:$O$60,C742)&lt;&gt;"OK","CHECK employee setup",IF(OR('_Dates'!J742=0,'_Dates'!T742=0),"CHECK date: use DD.MM.YYYY",IF('_Dates'!T742&lt;'_Dates'!J742,"CHECK end before start",IF(AND($B$6=0,OR('_Dates'!J742&lt;Settings!$B$7,'_Dates'!T742&gt;Settings!$B$8)),"CHECK split across leave years",IF(OR(NOT(OR('_Dates'!U742="Full day",'_Dates'!U742="AM",'_Dates'!U742="PM")),NOT(OR('_Dates'!V742="Full day",'_Dates'!V742="AM",'_Dates'!V742="PM"))),"CHECK Full day / AM / PM",IF(AND('_Dates'!J742='_Dates'!T742,'_Dates'!U742&lt;&gt;"Full day",'_Dates'!V742&lt;&gt;"Full day",'_Dates'!U742&lt;&gt;'_Dates'!V742),"CHECK same-day portions disagree",IF(AND($B$6=0,OR(AND('_Dates'!U742&lt;&gt;"Full day",'_Dates'!AA742=0),AND('_Dates'!V742&lt;&gt;"Full day",'_Dates'!AB742=0))),"CHECK half-day on non-working date",IF(COUNTIF(Settings!$G$7:$G$11,D742)&lt;&gt;1,"CHECK leave type",IF(AND(Bookings!G742&lt;&gt;"Approved",Bookings!G742&lt;&gt;"Pending",Bookings!G742&lt;&gt;"Cancelled"),"CHECK status","OK")))))))))),"CHECK input"))</ns0:f>
        <ns0:v/>
      </ns0:c>
      <ns0:c r="G742" s="0">
        <ns0:f>IF(OR(F742&lt;&gt;"OK",$B$6&gt;0),0,0.5*(IF(('_Dates'!X742)&lt;('_Dates'!W742),0,INT((('_Dates'!X742)-('_Dates'!W742)+1)/7)*LEN(SUBSTITUTE(W742,"O",""))+LEN(SUBSTITUTE(MID(W742&amp;W742,WEEKDAY(('_Dates'!W742),2),MOD((('_Dates'!X742)-('_Dates'!W742)+1),7)),"O",""))-COUNTIFS(INDEX(AllClosureRows,C742,0),"&gt;="&amp;('_Dates'!W742),INDEX(AllClosureRows,C742,0),"&lt;="&amp;('_Dates'!X742)))+IF(('_Dates'!Z742)&lt;('_Dates'!Y742),0,INT((('_Dates'!Z742)-('_Dates'!Y742)+1)/7)*LEN(SUBSTITUTE(W742,"O",""))+LEN(SUBSTITUTE(MID(W742&amp;W742,WEEKDAY(('_Dates'!Y742),2),MOD((('_Dates'!Z742)-('_Dates'!Y742)+1),7)),"O",""))-COUNTIFS(INDEX(AllClosureRows,C742,0),"&gt;="&amp;('_Dates'!Y742),INDEX(AllClosureRows,C742,0),"&lt;="&amp;('_Dates'!Z742)))))</ns0:f>
        <ns0:v>0</ns0:v>
      </ns0:c>
      <ns0:c r="H742" s="0">
        <ns0:f>IF(OR(F742&lt;&gt;"OK",$B$6&gt;0),0,0.5*(IF((MIN('_Dates'!X742,Settings!$B$9))&lt;('_Dates'!W742),0,INT(((MIN('_Dates'!X742,Settings!$B$9))-('_Dates'!W742)+1)/7)*LEN(SUBSTITUTE(W742,"O",""))+LEN(SUBSTITUTE(MID(W742&amp;W742,WEEKDAY(('_Dates'!W742),2),MOD(((MIN('_Dates'!X742,Settings!$B$9))-('_Dates'!W742)+1),7)),"O",""))-COUNTIFS(INDEX(AllClosureRows,C742,0),"&gt;="&amp;('_Dates'!W742),INDEX(AllClosureRows,C742,0),"&lt;="&amp;(MIN('_Dates'!X742,Settings!$B$9))))+IF((MIN('_Dates'!Z742,Settings!$B$9))&lt;('_Dates'!Y742),0,INT(((MIN('_Dates'!Z742,Settings!$B$9))-('_Dates'!Y742)+1)/7)*LEN(SUBSTITUTE(W742,"O",""))+LEN(SUBSTITUTE(MID(W742&amp;W742,WEEKDAY(('_Dates'!Y742),2),MOD(((MIN('_Dates'!Z742,Settings!$B$9))-('_Dates'!Y742)+1),7)),"O",""))-COUNTIFS(INDEX(AllClosureRows,C742,0),"&gt;="&amp;('_Dates'!Y742),INDEX(AllClosureRows,C742,0),"&lt;="&amp;(MIN('_Dates'!Z742,Settings!$B$9))))))</ns0:f>
        <ns0:v>0</ns0:v>
      </ns0:c>
      <ns0:c r="I742" s="0">
        <ns0:f>MAX(0,G742-H742)</ns0:f>
        <ns0:v>0</ns0:v>
      </ns0:c>
      <ns0:c r="J742" s="0">
        <ns0:f>IF(OR(A742=0,F742&lt;&gt;"OK",Bookings!G742="Cancelled",$B$6&gt;0),0,IF('_Dates'!AC742=1,MAX(0,COUNTIFS(rngEngine_B,B742,rngAMStart,"&lt;="&amp;'_Dates'!X742,rngAMEnd,"&gt;="&amp;'_Dates'!W742,rngAMActive,1,rngEngine_F,"OK",rngBookings_F,"&lt;&gt;Cancelled")-1),0)+IF('_Dates'!AD742=1,MAX(0,COUNTIFS(rngEngine_B,B742,rngPMStart,"&lt;="&amp;'_Dates'!Z742,rngPMEnd,"&gt;="&amp;'_Dates'!Y742,rngPMActive,1,rngEngine_F,"OK",rngBookings_F,"&lt;&gt;Cancelled")-1),0))</ns0:f>
        <ns0:v>0</ns0:v>
      </ns0:c>
      <ns0:c r="K742" s="0" t="str">
        <ns0:f>IF(A742=0,"",IF(F742&lt;&gt;"OK",F742,IF(J742&gt;0,"CHECK overlapping entry",IF(AND($B$6=0,G742&lt;=0,Bookings!G742&lt;&gt;"Cancelled"),"CHECK no working days",IF(Bookings!G742="Cancelled","Cancelled","OK")))))</ns0:f>
        <ns0:v/>
      </ns0:c>
      <ns0:c r="L742" s="0">
        <ns0:f>IF(LEFT(K742,5)="CHECK",1,0)</ns0:f>
        <ns0:v>0</ns0:v>
      </ns0:c>
      <ns0:c r="M742" s="0">
        <ns0:f>IF(AND(L742=1,OR(C742=0,IFERROR(INDEX($X$11:$X$60,C742),0)=0)),1,0)</ns0:f>
        <ns0:v>0</ns0:v>
      </ns0:c>
      <ns0:c r="N742" s="0">
        <ns0:f>IF(OR(A742=0,L742&gt;0,$B$6&gt;0,Bookings!G742="Cancelled"),0,G742)</ns0:f>
        <ns0:v>0</ns0:v>
      </ns0:c>
      <ns0:c r="O742" s="0">
        <ns0:f>IF(AND(Bookings!G742="Approved",E742="Yes"),N742,0)</ns0:f>
        <ns0:v>0</ns0:v>
      </ns0:c>
      <ns0:c r="P742" s="0">
        <ns0:f>IF(AND(Bookings!G742="Approved",E742="Yes",L742=0,$B$6=0),H742,0)</ns0:f>
        <ns0:v>0</ns0:v>
      </ns0:c>
      <ns0:c r="Q742" s="0">
        <ns0:f>IF(AND(Bookings!G742="Approved",E742="Yes",L742=0,$B$6=0),I742,0)</ns0:f>
        <ns0:v>0</ns0:v>
      </ns0:c>
      <ns0:c r="R742" s="0">
        <ns0:f>IF(AND(Bookings!G742="Pending",E742="Yes"),N742,0)</ns0:f>
        <ns0:v>0</ns0:v>
      </ns0:c>
      <ns0:c r="S742" s="0">
        <ns0:f>IF(AND(Bookings!G742="Approved",E742="No"),N742,0)</ns0:f>
        <ns0:v>0</ns0:v>
      </ns0:c>
      <ns0:c r="T742" s="0">
        <ns0:f>IFERROR(MATCH(D742,Settings!$G$7:$G$11,0),0)</ns0:f>
        <ns0:v>0</ns0:v>
      </ns0:c>
      <ns0:c r="U742" s="0">
        <ns0:f>IF(N742&gt;0,T742+IF(Bookings!G742="Pending",10,0),0)</ns0:f>
        <ns0:v>0</ns0:v>
      </ns0:c>
      <ns0:c r="V742" s="0">
        <ns0:f>U742</ns0:f>
        <ns0:v>0</ns0:v>
      </ns0:c>
      <ns0:c r="W742" s="0" t="str">
        <ns0:f>IF(C742=0,"",INDEX($AP$11:$AP$60,C742))</ns0:f>
        <ns0:v/>
      </ns0:c>
    </ns0:row>
    <ns0:row r="743">
      <ns0:c r="A743" s="0">
        <ns0:f>IF(COUNTA(Bookings!A743:G743,Bookings!I743)=0,0,1)</ns0:f>
        <ns0:v>0</ns0:v>
      </ns0:c>
      <ns0:c r="B743" s="0" t="str">
        <ns0:f>IFERROR(TRIM(MID(Bookings!A743,FIND(" · ",Bookings!A743)+3,99)),"")</ns0:f>
        <ns0:v/>
      </ns0:c>
      <ns0:c r="C743" s="0">
        <ns0:f>IF(OR(B743="",LEN(B743)&gt;24,ISNUMBER(FIND(" ",B743)),ISNUMBER(FIND("*",B743)),ISNUMBER(FIND("?",B743)),ISNUMBER(FIND("~",B743))),0,IFERROR(MATCH(B743,Team!$A$11:$A$60,0),0))</ns0:f>
        <ns0:v>0</ns0:v>
      </ns0:c>
      <ns0:c r="D743" s="0" t="str">
        <ns0:f>IFERROR(IF(MID(Bookings!F743,LEN(Bookings!F743)-3,3)=" · ",RIGHT(Bookings!F743,1),""),"")</ns0:f>
        <ns0:v/>
      </ns0:c>
      <ns0:c r="E743" s="0" t="str">
        <ns0:f>IFERROR(INDEX(Settings!$H$7:$H$11,MATCH(D743,Settings!$G$7:$G$11,0)),"")</ns0:f>
        <ns0:v/>
      </ns0:c>
      <ns0:c r="F743" s="0" t="str">
        <ns0:f>IF(A743=0,"",IFERROR(IF(OR(B743="",C743=0),"CHECK employee selection",IF(INDEX(Team!$O$11:$O$60,C743)&lt;&gt;"OK","CHECK employee setup",IF(OR('_Dates'!J743=0,'_Dates'!T743=0),"CHECK date: use DD.MM.YYYY",IF('_Dates'!T743&lt;'_Dates'!J743,"CHECK end before start",IF(AND($B$6=0,OR('_Dates'!J743&lt;Settings!$B$7,'_Dates'!T743&gt;Settings!$B$8)),"CHECK split across leave years",IF(OR(NOT(OR('_Dates'!U743="Full day",'_Dates'!U743="AM",'_Dates'!U743="PM")),NOT(OR('_Dates'!V743="Full day",'_Dates'!V743="AM",'_Dates'!V743="PM"))),"CHECK Full day / AM / PM",IF(AND('_Dates'!J743='_Dates'!T743,'_Dates'!U743&lt;&gt;"Full day",'_Dates'!V743&lt;&gt;"Full day",'_Dates'!U743&lt;&gt;'_Dates'!V743),"CHECK same-day portions disagree",IF(AND($B$6=0,OR(AND('_Dates'!U743&lt;&gt;"Full day",'_Dates'!AA743=0),AND('_Dates'!V743&lt;&gt;"Full day",'_Dates'!AB743=0))),"CHECK half-day on non-working date",IF(COUNTIF(Settings!$G$7:$G$11,D743)&lt;&gt;1,"CHECK leave type",IF(AND(Bookings!G743&lt;&gt;"Approved",Bookings!G743&lt;&gt;"Pending",Bookings!G743&lt;&gt;"Cancelled"),"CHECK status","OK")))))))))),"CHECK input"))</ns0:f>
        <ns0:v/>
      </ns0:c>
      <ns0:c r="G743" s="0">
        <ns0:f>IF(OR(F743&lt;&gt;"OK",$B$6&gt;0),0,0.5*(IF(('_Dates'!X743)&lt;('_Dates'!W743),0,INT((('_Dates'!X743)-('_Dates'!W743)+1)/7)*LEN(SUBSTITUTE(W743,"O",""))+LEN(SUBSTITUTE(MID(W743&amp;W743,WEEKDAY(('_Dates'!W743),2),MOD((('_Dates'!X743)-('_Dates'!W743)+1),7)),"O",""))-COUNTIFS(INDEX(AllClosureRows,C743,0),"&gt;="&amp;('_Dates'!W743),INDEX(AllClosureRows,C743,0),"&lt;="&amp;('_Dates'!X743)))+IF(('_Dates'!Z743)&lt;('_Dates'!Y743),0,INT((('_Dates'!Z743)-('_Dates'!Y743)+1)/7)*LEN(SUBSTITUTE(W743,"O",""))+LEN(SUBSTITUTE(MID(W743&amp;W743,WEEKDAY(('_Dates'!Y743),2),MOD((('_Dates'!Z743)-('_Dates'!Y743)+1),7)),"O",""))-COUNTIFS(INDEX(AllClosureRows,C743,0),"&gt;="&amp;('_Dates'!Y743),INDEX(AllClosureRows,C743,0),"&lt;="&amp;('_Dates'!Z743)))))</ns0:f>
        <ns0:v>0</ns0:v>
      </ns0:c>
      <ns0:c r="H743" s="0">
        <ns0:f>IF(OR(F743&lt;&gt;"OK",$B$6&gt;0),0,0.5*(IF((MIN('_Dates'!X743,Settings!$B$9))&lt;('_Dates'!W743),0,INT(((MIN('_Dates'!X743,Settings!$B$9))-('_Dates'!W743)+1)/7)*LEN(SUBSTITUTE(W743,"O",""))+LEN(SUBSTITUTE(MID(W743&amp;W743,WEEKDAY(('_Dates'!W743),2),MOD(((MIN('_Dates'!X743,Settings!$B$9))-('_Dates'!W743)+1),7)),"O",""))-COUNTIFS(INDEX(AllClosureRows,C743,0),"&gt;="&amp;('_Dates'!W743),INDEX(AllClosureRows,C743,0),"&lt;="&amp;(MIN('_Dates'!X743,Settings!$B$9))))+IF((MIN('_Dates'!Z743,Settings!$B$9))&lt;('_Dates'!Y743),0,INT(((MIN('_Dates'!Z743,Settings!$B$9))-('_Dates'!Y743)+1)/7)*LEN(SUBSTITUTE(W743,"O",""))+LEN(SUBSTITUTE(MID(W743&amp;W743,WEEKDAY(('_Dates'!Y743),2),MOD(((MIN('_Dates'!Z743,Settings!$B$9))-('_Dates'!Y743)+1),7)),"O",""))-COUNTIFS(INDEX(AllClosureRows,C743,0),"&gt;="&amp;('_Dates'!Y743),INDEX(AllClosureRows,C743,0),"&lt;="&amp;(MIN('_Dates'!Z743,Settings!$B$9))))))</ns0:f>
        <ns0:v>0</ns0:v>
      </ns0:c>
      <ns0:c r="I743" s="0">
        <ns0:f>MAX(0,G743-H743)</ns0:f>
        <ns0:v>0</ns0:v>
      </ns0:c>
      <ns0:c r="J743" s="0">
        <ns0:f>IF(OR(A743=0,F743&lt;&gt;"OK",Bookings!G743="Cancelled",$B$6&gt;0),0,IF('_Dates'!AC743=1,MAX(0,COUNTIFS(rngEngine_B,B743,rngAMStart,"&lt;="&amp;'_Dates'!X743,rngAMEnd,"&gt;="&amp;'_Dates'!W743,rngAMActive,1,rngEngine_F,"OK",rngBookings_F,"&lt;&gt;Cancelled")-1),0)+IF('_Dates'!AD743=1,MAX(0,COUNTIFS(rngEngine_B,B743,rngPMStart,"&lt;="&amp;'_Dates'!Z743,rngPMEnd,"&gt;="&amp;'_Dates'!Y743,rngPMActive,1,rngEngine_F,"OK",rngBookings_F,"&lt;&gt;Cancelled")-1),0))</ns0:f>
        <ns0:v>0</ns0:v>
      </ns0:c>
      <ns0:c r="K743" s="0" t="str">
        <ns0:f>IF(A743=0,"",IF(F743&lt;&gt;"OK",F743,IF(J743&gt;0,"CHECK overlapping entry",IF(AND($B$6=0,G743&lt;=0,Bookings!G743&lt;&gt;"Cancelled"),"CHECK no working days",IF(Bookings!G743="Cancelled","Cancelled","OK")))))</ns0:f>
        <ns0:v/>
      </ns0:c>
      <ns0:c r="L743" s="0">
        <ns0:f>IF(LEFT(K743,5)="CHECK",1,0)</ns0:f>
        <ns0:v>0</ns0:v>
      </ns0:c>
      <ns0:c r="M743" s="0">
        <ns0:f>IF(AND(L743=1,OR(C743=0,IFERROR(INDEX($X$11:$X$60,C743),0)=0)),1,0)</ns0:f>
        <ns0:v>0</ns0:v>
      </ns0:c>
      <ns0:c r="N743" s="0">
        <ns0:f>IF(OR(A743=0,L743&gt;0,$B$6&gt;0,Bookings!G743="Cancelled"),0,G743)</ns0:f>
        <ns0:v>0</ns0:v>
      </ns0:c>
      <ns0:c r="O743" s="0">
        <ns0:f>IF(AND(Bookings!G743="Approved",E743="Yes"),N743,0)</ns0:f>
        <ns0:v>0</ns0:v>
      </ns0:c>
      <ns0:c r="P743" s="0">
        <ns0:f>IF(AND(Bookings!G743="Approved",E743="Yes",L743=0,$B$6=0),H743,0)</ns0:f>
        <ns0:v>0</ns0:v>
      </ns0:c>
      <ns0:c r="Q743" s="0">
        <ns0:f>IF(AND(Bookings!G743="Approved",E743="Yes",L743=0,$B$6=0),I743,0)</ns0:f>
        <ns0:v>0</ns0:v>
      </ns0:c>
      <ns0:c r="R743" s="0">
        <ns0:f>IF(AND(Bookings!G743="Pending",E743="Yes"),N743,0)</ns0:f>
        <ns0:v>0</ns0:v>
      </ns0:c>
      <ns0:c r="S743" s="0">
        <ns0:f>IF(AND(Bookings!G743="Approved",E743="No"),N743,0)</ns0:f>
        <ns0:v>0</ns0:v>
      </ns0:c>
      <ns0:c r="T743" s="0">
        <ns0:f>IFERROR(MATCH(D743,Settings!$G$7:$G$11,0),0)</ns0:f>
        <ns0:v>0</ns0:v>
      </ns0:c>
      <ns0:c r="U743" s="0">
        <ns0:f>IF(N743&gt;0,T743+IF(Bookings!G743="Pending",10,0),0)</ns0:f>
        <ns0:v>0</ns0:v>
      </ns0:c>
      <ns0:c r="V743" s="0">
        <ns0:f>U743</ns0:f>
        <ns0:v>0</ns0:v>
      </ns0:c>
      <ns0:c r="W743" s="0" t="str">
        <ns0:f>IF(C743=0,"",INDEX($AP$11:$AP$60,C743))</ns0:f>
        <ns0:v/>
      </ns0:c>
    </ns0:row>
    <ns0:row r="744">
      <ns0:c r="A744" s="0">
        <ns0:f>IF(COUNTA(Bookings!A744:G744,Bookings!I744)=0,0,1)</ns0:f>
        <ns0:v>0</ns0:v>
      </ns0:c>
      <ns0:c r="B744" s="0" t="str">
        <ns0:f>IFERROR(TRIM(MID(Bookings!A744,FIND(" · ",Bookings!A744)+3,99)),"")</ns0:f>
        <ns0:v/>
      </ns0:c>
      <ns0:c r="C744" s="0">
        <ns0:f>IF(OR(B744="",LEN(B744)&gt;24,ISNUMBER(FIND(" ",B744)),ISNUMBER(FIND("*",B744)),ISNUMBER(FIND("?",B744)),ISNUMBER(FIND("~",B744))),0,IFERROR(MATCH(B744,Team!$A$11:$A$60,0),0))</ns0:f>
        <ns0:v>0</ns0:v>
      </ns0:c>
      <ns0:c r="D744" s="0" t="str">
        <ns0:f>IFERROR(IF(MID(Bookings!F744,LEN(Bookings!F744)-3,3)=" · ",RIGHT(Bookings!F744,1),""),"")</ns0:f>
        <ns0:v/>
      </ns0:c>
      <ns0:c r="E744" s="0" t="str">
        <ns0:f>IFERROR(INDEX(Settings!$H$7:$H$11,MATCH(D744,Settings!$G$7:$G$11,0)),"")</ns0:f>
        <ns0:v/>
      </ns0:c>
      <ns0:c r="F744" s="0" t="str">
        <ns0:f>IF(A744=0,"",IFERROR(IF(OR(B744="",C744=0),"CHECK employee selection",IF(INDEX(Team!$O$11:$O$60,C744)&lt;&gt;"OK","CHECK employee setup",IF(OR('_Dates'!J744=0,'_Dates'!T744=0),"CHECK date: use DD.MM.YYYY",IF('_Dates'!T744&lt;'_Dates'!J744,"CHECK end before start",IF(AND($B$6=0,OR('_Dates'!J744&lt;Settings!$B$7,'_Dates'!T744&gt;Settings!$B$8)),"CHECK split across leave years",IF(OR(NOT(OR('_Dates'!U744="Full day",'_Dates'!U744="AM",'_Dates'!U744="PM")),NOT(OR('_Dates'!V744="Full day",'_Dates'!V744="AM",'_Dates'!V744="PM"))),"CHECK Full day / AM / PM",IF(AND('_Dates'!J744='_Dates'!T744,'_Dates'!U744&lt;&gt;"Full day",'_Dates'!V744&lt;&gt;"Full day",'_Dates'!U744&lt;&gt;'_Dates'!V744),"CHECK same-day portions disagree",IF(AND($B$6=0,OR(AND('_Dates'!U744&lt;&gt;"Full day",'_Dates'!AA744=0),AND('_Dates'!V744&lt;&gt;"Full day",'_Dates'!AB744=0))),"CHECK half-day on non-working date",IF(COUNTIF(Settings!$G$7:$G$11,D744)&lt;&gt;1,"CHECK leave type",IF(AND(Bookings!G744&lt;&gt;"Approved",Bookings!G744&lt;&gt;"Pending",Bookings!G744&lt;&gt;"Cancelled"),"CHECK status","OK")))))))))),"CHECK input"))</ns0:f>
        <ns0:v/>
      </ns0:c>
      <ns0:c r="G744" s="0">
        <ns0:f>IF(OR(F744&lt;&gt;"OK",$B$6&gt;0),0,0.5*(IF(('_Dates'!X744)&lt;('_Dates'!W744),0,INT((('_Dates'!X744)-('_Dates'!W744)+1)/7)*LEN(SUBSTITUTE(W744,"O",""))+LEN(SUBSTITUTE(MID(W744&amp;W744,WEEKDAY(('_Dates'!W744),2),MOD((('_Dates'!X744)-('_Dates'!W744)+1),7)),"O",""))-COUNTIFS(INDEX(AllClosureRows,C744,0),"&gt;="&amp;('_Dates'!W744),INDEX(AllClosureRows,C744,0),"&lt;="&amp;('_Dates'!X744)))+IF(('_Dates'!Z744)&lt;('_Dates'!Y744),0,INT((('_Dates'!Z744)-('_Dates'!Y744)+1)/7)*LEN(SUBSTITUTE(W744,"O",""))+LEN(SUBSTITUTE(MID(W744&amp;W744,WEEKDAY(('_Dates'!Y744),2),MOD((('_Dates'!Z744)-('_Dates'!Y744)+1),7)),"O",""))-COUNTIFS(INDEX(AllClosureRows,C744,0),"&gt;="&amp;('_Dates'!Y744),INDEX(AllClosureRows,C744,0),"&lt;="&amp;('_Dates'!Z744)))))</ns0:f>
        <ns0:v>0</ns0:v>
      </ns0:c>
      <ns0:c r="H744" s="0">
        <ns0:f>IF(OR(F744&lt;&gt;"OK",$B$6&gt;0),0,0.5*(IF((MIN('_Dates'!X744,Settings!$B$9))&lt;('_Dates'!W744),0,INT(((MIN('_Dates'!X744,Settings!$B$9))-('_Dates'!W744)+1)/7)*LEN(SUBSTITUTE(W744,"O",""))+LEN(SUBSTITUTE(MID(W744&amp;W744,WEEKDAY(('_Dates'!W744),2),MOD(((MIN('_Dates'!X744,Settings!$B$9))-('_Dates'!W744)+1),7)),"O",""))-COUNTIFS(INDEX(AllClosureRows,C744,0),"&gt;="&amp;('_Dates'!W744),INDEX(AllClosureRows,C744,0),"&lt;="&amp;(MIN('_Dates'!X744,Settings!$B$9))))+IF((MIN('_Dates'!Z744,Settings!$B$9))&lt;('_Dates'!Y744),0,INT(((MIN('_Dates'!Z744,Settings!$B$9))-('_Dates'!Y744)+1)/7)*LEN(SUBSTITUTE(W744,"O",""))+LEN(SUBSTITUTE(MID(W744&amp;W744,WEEKDAY(('_Dates'!Y744),2),MOD(((MIN('_Dates'!Z744,Settings!$B$9))-('_Dates'!Y744)+1),7)),"O",""))-COUNTIFS(INDEX(AllClosureRows,C744,0),"&gt;="&amp;('_Dates'!Y744),INDEX(AllClosureRows,C744,0),"&lt;="&amp;(MIN('_Dates'!Z744,Settings!$B$9))))))</ns0:f>
        <ns0:v>0</ns0:v>
      </ns0:c>
      <ns0:c r="I744" s="0">
        <ns0:f>MAX(0,G744-H744)</ns0:f>
        <ns0:v>0</ns0:v>
      </ns0:c>
      <ns0:c r="J744" s="0">
        <ns0:f>IF(OR(A744=0,F744&lt;&gt;"OK",Bookings!G744="Cancelled",$B$6&gt;0),0,IF('_Dates'!AC744=1,MAX(0,COUNTIFS(rngEngine_B,B744,rngAMStart,"&lt;="&amp;'_Dates'!X744,rngAMEnd,"&gt;="&amp;'_Dates'!W744,rngAMActive,1,rngEngine_F,"OK",rngBookings_F,"&lt;&gt;Cancelled")-1),0)+IF('_Dates'!AD744=1,MAX(0,COUNTIFS(rngEngine_B,B744,rngPMStart,"&lt;="&amp;'_Dates'!Z744,rngPMEnd,"&gt;="&amp;'_Dates'!Y744,rngPMActive,1,rngEngine_F,"OK",rngBookings_F,"&lt;&gt;Cancelled")-1),0))</ns0:f>
        <ns0:v>0</ns0:v>
      </ns0:c>
      <ns0:c r="K744" s="0" t="str">
        <ns0:f>IF(A744=0,"",IF(F744&lt;&gt;"OK",F744,IF(J744&gt;0,"CHECK overlapping entry",IF(AND($B$6=0,G744&lt;=0,Bookings!G744&lt;&gt;"Cancelled"),"CHECK no working days",IF(Bookings!G744="Cancelled","Cancelled","OK")))))</ns0:f>
        <ns0:v/>
      </ns0:c>
      <ns0:c r="L744" s="0">
        <ns0:f>IF(LEFT(K744,5)="CHECK",1,0)</ns0:f>
        <ns0:v>0</ns0:v>
      </ns0:c>
      <ns0:c r="M744" s="0">
        <ns0:f>IF(AND(L744=1,OR(C744=0,IFERROR(INDEX($X$11:$X$60,C744),0)=0)),1,0)</ns0:f>
        <ns0:v>0</ns0:v>
      </ns0:c>
      <ns0:c r="N744" s="0">
        <ns0:f>IF(OR(A744=0,L744&gt;0,$B$6&gt;0,Bookings!G744="Cancelled"),0,G744)</ns0:f>
        <ns0:v>0</ns0:v>
      </ns0:c>
      <ns0:c r="O744" s="0">
        <ns0:f>IF(AND(Bookings!G744="Approved",E744="Yes"),N744,0)</ns0:f>
        <ns0:v>0</ns0:v>
      </ns0:c>
      <ns0:c r="P744" s="0">
        <ns0:f>IF(AND(Bookings!G744="Approved",E744="Yes",L744=0,$B$6=0),H744,0)</ns0:f>
        <ns0:v>0</ns0:v>
      </ns0:c>
      <ns0:c r="Q744" s="0">
        <ns0:f>IF(AND(Bookings!G744="Approved",E744="Yes",L744=0,$B$6=0),I744,0)</ns0:f>
        <ns0:v>0</ns0:v>
      </ns0:c>
      <ns0:c r="R744" s="0">
        <ns0:f>IF(AND(Bookings!G744="Pending",E744="Yes"),N744,0)</ns0:f>
        <ns0:v>0</ns0:v>
      </ns0:c>
      <ns0:c r="S744" s="0">
        <ns0:f>IF(AND(Bookings!G744="Approved",E744="No"),N744,0)</ns0:f>
        <ns0:v>0</ns0:v>
      </ns0:c>
      <ns0:c r="T744" s="0">
        <ns0:f>IFERROR(MATCH(D744,Settings!$G$7:$G$11,0),0)</ns0:f>
        <ns0:v>0</ns0:v>
      </ns0:c>
      <ns0:c r="U744" s="0">
        <ns0:f>IF(N744&gt;0,T744+IF(Bookings!G744="Pending",10,0),0)</ns0:f>
        <ns0:v>0</ns0:v>
      </ns0:c>
      <ns0:c r="V744" s="0">
        <ns0:f>U744</ns0:f>
        <ns0:v>0</ns0:v>
      </ns0:c>
      <ns0:c r="W744" s="0" t="str">
        <ns0:f>IF(C744=0,"",INDEX($AP$11:$AP$60,C744))</ns0:f>
        <ns0:v/>
      </ns0:c>
    </ns0:row>
    <ns0:row r="745">
      <ns0:c r="A745" s="0">
        <ns0:f>IF(COUNTA(Bookings!A745:G745,Bookings!I745)=0,0,1)</ns0:f>
        <ns0:v>0</ns0:v>
      </ns0:c>
      <ns0:c r="B745" s="0" t="str">
        <ns0:f>IFERROR(TRIM(MID(Bookings!A745,FIND(" · ",Bookings!A745)+3,99)),"")</ns0:f>
        <ns0:v/>
      </ns0:c>
      <ns0:c r="C745" s="0">
        <ns0:f>IF(OR(B745="",LEN(B745)&gt;24,ISNUMBER(FIND(" ",B745)),ISNUMBER(FIND("*",B745)),ISNUMBER(FIND("?",B745)),ISNUMBER(FIND("~",B745))),0,IFERROR(MATCH(B745,Team!$A$11:$A$60,0),0))</ns0:f>
        <ns0:v>0</ns0:v>
      </ns0:c>
      <ns0:c r="D745" s="0" t="str">
        <ns0:f>IFERROR(IF(MID(Bookings!F745,LEN(Bookings!F745)-3,3)=" · ",RIGHT(Bookings!F745,1),""),"")</ns0:f>
        <ns0:v/>
      </ns0:c>
      <ns0:c r="E745" s="0" t="str">
        <ns0:f>IFERROR(INDEX(Settings!$H$7:$H$11,MATCH(D745,Settings!$G$7:$G$11,0)),"")</ns0:f>
        <ns0:v/>
      </ns0:c>
      <ns0:c r="F745" s="0" t="str">
        <ns0:f>IF(A745=0,"",IFERROR(IF(OR(B745="",C745=0),"CHECK employee selection",IF(INDEX(Team!$O$11:$O$60,C745)&lt;&gt;"OK","CHECK employee setup",IF(OR('_Dates'!J745=0,'_Dates'!T745=0),"CHECK date: use DD.MM.YYYY",IF('_Dates'!T745&lt;'_Dates'!J745,"CHECK end before start",IF(AND($B$6=0,OR('_Dates'!J745&lt;Settings!$B$7,'_Dates'!T745&gt;Settings!$B$8)),"CHECK split across leave years",IF(OR(NOT(OR('_Dates'!U745="Full day",'_Dates'!U745="AM",'_Dates'!U745="PM")),NOT(OR('_Dates'!V745="Full day",'_Dates'!V745="AM",'_Dates'!V745="PM"))),"CHECK Full day / AM / PM",IF(AND('_Dates'!J745='_Dates'!T745,'_Dates'!U745&lt;&gt;"Full day",'_Dates'!V745&lt;&gt;"Full day",'_Dates'!U745&lt;&gt;'_Dates'!V745),"CHECK same-day portions disagree",IF(AND($B$6=0,OR(AND('_Dates'!U745&lt;&gt;"Full day",'_Dates'!AA745=0),AND('_Dates'!V745&lt;&gt;"Full day",'_Dates'!AB745=0))),"CHECK half-day on non-working date",IF(COUNTIF(Settings!$G$7:$G$11,D745)&lt;&gt;1,"CHECK leave type",IF(AND(Bookings!G745&lt;&gt;"Approved",Bookings!G745&lt;&gt;"Pending",Bookings!G745&lt;&gt;"Cancelled"),"CHECK status","OK")))))))))),"CHECK input"))</ns0:f>
        <ns0:v/>
      </ns0:c>
      <ns0:c r="G745" s="0">
        <ns0:f>IF(OR(F745&lt;&gt;"OK",$B$6&gt;0),0,0.5*(IF(('_Dates'!X745)&lt;('_Dates'!W745),0,INT((('_Dates'!X745)-('_Dates'!W745)+1)/7)*LEN(SUBSTITUTE(W745,"O",""))+LEN(SUBSTITUTE(MID(W745&amp;W745,WEEKDAY(('_Dates'!W745),2),MOD((('_Dates'!X745)-('_Dates'!W745)+1),7)),"O",""))-COUNTIFS(INDEX(AllClosureRows,C745,0),"&gt;="&amp;('_Dates'!W745),INDEX(AllClosureRows,C745,0),"&lt;="&amp;('_Dates'!X745)))+IF(('_Dates'!Z745)&lt;('_Dates'!Y745),0,INT((('_Dates'!Z745)-('_Dates'!Y745)+1)/7)*LEN(SUBSTITUTE(W745,"O",""))+LEN(SUBSTITUTE(MID(W745&amp;W745,WEEKDAY(('_Dates'!Y745),2),MOD((('_Dates'!Z745)-('_Dates'!Y745)+1),7)),"O",""))-COUNTIFS(INDEX(AllClosureRows,C745,0),"&gt;="&amp;('_Dates'!Y745),INDEX(AllClosureRows,C745,0),"&lt;="&amp;('_Dates'!Z745)))))</ns0:f>
        <ns0:v>0</ns0:v>
      </ns0:c>
      <ns0:c r="H745" s="0">
        <ns0:f>IF(OR(F745&lt;&gt;"OK",$B$6&gt;0),0,0.5*(IF((MIN('_Dates'!X745,Settings!$B$9))&lt;('_Dates'!W745),0,INT(((MIN('_Dates'!X745,Settings!$B$9))-('_Dates'!W745)+1)/7)*LEN(SUBSTITUTE(W745,"O",""))+LEN(SUBSTITUTE(MID(W745&amp;W745,WEEKDAY(('_Dates'!W745),2),MOD(((MIN('_Dates'!X745,Settings!$B$9))-('_Dates'!W745)+1),7)),"O",""))-COUNTIFS(INDEX(AllClosureRows,C745,0),"&gt;="&amp;('_Dates'!W745),INDEX(AllClosureRows,C745,0),"&lt;="&amp;(MIN('_Dates'!X745,Settings!$B$9))))+IF((MIN('_Dates'!Z745,Settings!$B$9))&lt;('_Dates'!Y745),0,INT(((MIN('_Dates'!Z745,Settings!$B$9))-('_Dates'!Y745)+1)/7)*LEN(SUBSTITUTE(W745,"O",""))+LEN(SUBSTITUTE(MID(W745&amp;W745,WEEKDAY(('_Dates'!Y745),2),MOD(((MIN('_Dates'!Z745,Settings!$B$9))-('_Dates'!Y745)+1),7)),"O",""))-COUNTIFS(INDEX(AllClosureRows,C745,0),"&gt;="&amp;('_Dates'!Y745),INDEX(AllClosureRows,C745,0),"&lt;="&amp;(MIN('_Dates'!Z745,Settings!$B$9))))))</ns0:f>
        <ns0:v>0</ns0:v>
      </ns0:c>
      <ns0:c r="I745" s="0">
        <ns0:f>MAX(0,G745-H745)</ns0:f>
        <ns0:v>0</ns0:v>
      </ns0:c>
      <ns0:c r="J745" s="0">
        <ns0:f>IF(OR(A745=0,F745&lt;&gt;"OK",Bookings!G745="Cancelled",$B$6&gt;0),0,IF('_Dates'!AC745=1,MAX(0,COUNTIFS(rngEngine_B,B745,rngAMStart,"&lt;="&amp;'_Dates'!X745,rngAMEnd,"&gt;="&amp;'_Dates'!W745,rngAMActive,1,rngEngine_F,"OK",rngBookings_F,"&lt;&gt;Cancelled")-1),0)+IF('_Dates'!AD745=1,MAX(0,COUNTIFS(rngEngine_B,B745,rngPMStart,"&lt;="&amp;'_Dates'!Z745,rngPMEnd,"&gt;="&amp;'_Dates'!Y745,rngPMActive,1,rngEngine_F,"OK",rngBookings_F,"&lt;&gt;Cancelled")-1),0))</ns0:f>
        <ns0:v>0</ns0:v>
      </ns0:c>
      <ns0:c r="K745" s="0" t="str">
        <ns0:f>IF(A745=0,"",IF(F745&lt;&gt;"OK",F745,IF(J745&gt;0,"CHECK overlapping entry",IF(AND($B$6=0,G745&lt;=0,Bookings!G745&lt;&gt;"Cancelled"),"CHECK no working days",IF(Bookings!G745="Cancelled","Cancelled","OK")))))</ns0:f>
        <ns0:v/>
      </ns0:c>
      <ns0:c r="L745" s="0">
        <ns0:f>IF(LEFT(K745,5)="CHECK",1,0)</ns0:f>
        <ns0:v>0</ns0:v>
      </ns0:c>
      <ns0:c r="M745" s="0">
        <ns0:f>IF(AND(L745=1,OR(C745=0,IFERROR(INDEX($X$11:$X$60,C745),0)=0)),1,0)</ns0:f>
        <ns0:v>0</ns0:v>
      </ns0:c>
      <ns0:c r="N745" s="0">
        <ns0:f>IF(OR(A745=0,L745&gt;0,$B$6&gt;0,Bookings!G745="Cancelled"),0,G745)</ns0:f>
        <ns0:v>0</ns0:v>
      </ns0:c>
      <ns0:c r="O745" s="0">
        <ns0:f>IF(AND(Bookings!G745="Approved",E745="Yes"),N745,0)</ns0:f>
        <ns0:v>0</ns0:v>
      </ns0:c>
      <ns0:c r="P745" s="0">
        <ns0:f>IF(AND(Bookings!G745="Approved",E745="Yes",L745=0,$B$6=0),H745,0)</ns0:f>
        <ns0:v>0</ns0:v>
      </ns0:c>
      <ns0:c r="Q745" s="0">
        <ns0:f>IF(AND(Bookings!G745="Approved",E745="Yes",L745=0,$B$6=0),I745,0)</ns0:f>
        <ns0:v>0</ns0:v>
      </ns0:c>
      <ns0:c r="R745" s="0">
        <ns0:f>IF(AND(Bookings!G745="Pending",E745="Yes"),N745,0)</ns0:f>
        <ns0:v>0</ns0:v>
      </ns0:c>
      <ns0:c r="S745" s="0">
        <ns0:f>IF(AND(Bookings!G745="Approved",E745="No"),N745,0)</ns0:f>
        <ns0:v>0</ns0:v>
      </ns0:c>
      <ns0:c r="T745" s="0">
        <ns0:f>IFERROR(MATCH(D745,Settings!$G$7:$G$11,0),0)</ns0:f>
        <ns0:v>0</ns0:v>
      </ns0:c>
      <ns0:c r="U745" s="0">
        <ns0:f>IF(N745&gt;0,T745+IF(Bookings!G745="Pending",10,0),0)</ns0:f>
        <ns0:v>0</ns0:v>
      </ns0:c>
      <ns0:c r="V745" s="0">
        <ns0:f>U745</ns0:f>
        <ns0:v>0</ns0:v>
      </ns0:c>
      <ns0:c r="W745" s="0" t="str">
        <ns0:f>IF(C745=0,"",INDEX($AP$11:$AP$60,C745))</ns0:f>
        <ns0:v/>
      </ns0:c>
    </ns0:row>
    <ns0:row r="746">
      <ns0:c r="A746" s="0">
        <ns0:f>IF(COUNTA(Bookings!A746:G746,Bookings!I746)=0,0,1)</ns0:f>
        <ns0:v>0</ns0:v>
      </ns0:c>
      <ns0:c r="B746" s="0" t="str">
        <ns0:f>IFERROR(TRIM(MID(Bookings!A746,FIND(" · ",Bookings!A746)+3,99)),"")</ns0:f>
        <ns0:v/>
      </ns0:c>
      <ns0:c r="C746" s="0">
        <ns0:f>IF(OR(B746="",LEN(B746)&gt;24,ISNUMBER(FIND(" ",B746)),ISNUMBER(FIND("*",B746)),ISNUMBER(FIND("?",B746)),ISNUMBER(FIND("~",B746))),0,IFERROR(MATCH(B746,Team!$A$11:$A$60,0),0))</ns0:f>
        <ns0:v>0</ns0:v>
      </ns0:c>
      <ns0:c r="D746" s="0" t="str">
        <ns0:f>IFERROR(IF(MID(Bookings!F746,LEN(Bookings!F746)-3,3)=" · ",RIGHT(Bookings!F746,1),""),"")</ns0:f>
        <ns0:v/>
      </ns0:c>
      <ns0:c r="E746" s="0" t="str">
        <ns0:f>IFERROR(INDEX(Settings!$H$7:$H$11,MATCH(D746,Settings!$G$7:$G$11,0)),"")</ns0:f>
        <ns0:v/>
      </ns0:c>
      <ns0:c r="F746" s="0" t="str">
        <ns0:f>IF(A746=0,"",IFERROR(IF(OR(B746="",C746=0),"CHECK employee selection",IF(INDEX(Team!$O$11:$O$60,C746)&lt;&gt;"OK","CHECK employee setup",IF(OR('_Dates'!J746=0,'_Dates'!T746=0),"CHECK date: use DD.MM.YYYY",IF('_Dates'!T746&lt;'_Dates'!J746,"CHECK end before start",IF(AND($B$6=0,OR('_Dates'!J746&lt;Settings!$B$7,'_Dates'!T746&gt;Settings!$B$8)),"CHECK split across leave years",IF(OR(NOT(OR('_Dates'!U746="Full day",'_Dates'!U746="AM",'_Dates'!U746="PM")),NOT(OR('_Dates'!V746="Full day",'_Dates'!V746="AM",'_Dates'!V746="PM"))),"CHECK Full day / AM / PM",IF(AND('_Dates'!J746='_Dates'!T746,'_Dates'!U746&lt;&gt;"Full day",'_Dates'!V746&lt;&gt;"Full day",'_Dates'!U746&lt;&gt;'_Dates'!V746),"CHECK same-day portions disagree",IF(AND($B$6=0,OR(AND('_Dates'!U746&lt;&gt;"Full day",'_Dates'!AA746=0),AND('_Dates'!V746&lt;&gt;"Full day",'_Dates'!AB746=0))),"CHECK half-day on non-working date",IF(COUNTIF(Settings!$G$7:$G$11,D746)&lt;&gt;1,"CHECK leave type",IF(AND(Bookings!G746&lt;&gt;"Approved",Bookings!G746&lt;&gt;"Pending",Bookings!G746&lt;&gt;"Cancelled"),"CHECK status","OK")))))))))),"CHECK input"))</ns0:f>
        <ns0:v/>
      </ns0:c>
      <ns0:c r="G746" s="0">
        <ns0:f>IF(OR(F746&lt;&gt;"OK",$B$6&gt;0),0,0.5*(IF(('_Dates'!X746)&lt;('_Dates'!W746),0,INT((('_Dates'!X746)-('_Dates'!W746)+1)/7)*LEN(SUBSTITUTE(W746,"O",""))+LEN(SUBSTITUTE(MID(W746&amp;W746,WEEKDAY(('_Dates'!W746),2),MOD((('_Dates'!X746)-('_Dates'!W746)+1),7)),"O",""))-COUNTIFS(INDEX(AllClosureRows,C746,0),"&gt;="&amp;('_Dates'!W746),INDEX(AllClosureRows,C746,0),"&lt;="&amp;('_Dates'!X746)))+IF(('_Dates'!Z746)&lt;('_Dates'!Y746),0,INT((('_Dates'!Z746)-('_Dates'!Y746)+1)/7)*LEN(SUBSTITUTE(W746,"O",""))+LEN(SUBSTITUTE(MID(W746&amp;W746,WEEKDAY(('_Dates'!Y746),2),MOD((('_Dates'!Z746)-('_Dates'!Y746)+1),7)),"O",""))-COUNTIFS(INDEX(AllClosureRows,C746,0),"&gt;="&amp;('_Dates'!Y746),INDEX(AllClosureRows,C746,0),"&lt;="&amp;('_Dates'!Z746)))))</ns0:f>
        <ns0:v>0</ns0:v>
      </ns0:c>
      <ns0:c r="H746" s="0">
        <ns0:f>IF(OR(F746&lt;&gt;"OK",$B$6&gt;0),0,0.5*(IF((MIN('_Dates'!X746,Settings!$B$9))&lt;('_Dates'!W746),0,INT(((MIN('_Dates'!X746,Settings!$B$9))-('_Dates'!W746)+1)/7)*LEN(SUBSTITUTE(W746,"O",""))+LEN(SUBSTITUTE(MID(W746&amp;W746,WEEKDAY(('_Dates'!W746),2),MOD(((MIN('_Dates'!X746,Settings!$B$9))-('_Dates'!W746)+1),7)),"O",""))-COUNTIFS(INDEX(AllClosureRows,C746,0),"&gt;="&amp;('_Dates'!W746),INDEX(AllClosureRows,C746,0),"&lt;="&amp;(MIN('_Dates'!X746,Settings!$B$9))))+IF((MIN('_Dates'!Z746,Settings!$B$9))&lt;('_Dates'!Y746),0,INT(((MIN('_Dates'!Z746,Settings!$B$9))-('_Dates'!Y746)+1)/7)*LEN(SUBSTITUTE(W746,"O",""))+LEN(SUBSTITUTE(MID(W746&amp;W746,WEEKDAY(('_Dates'!Y746),2),MOD(((MIN('_Dates'!Z746,Settings!$B$9))-('_Dates'!Y746)+1),7)),"O",""))-COUNTIFS(INDEX(AllClosureRows,C746,0),"&gt;="&amp;('_Dates'!Y746),INDEX(AllClosureRows,C746,0),"&lt;="&amp;(MIN('_Dates'!Z746,Settings!$B$9))))))</ns0:f>
        <ns0:v>0</ns0:v>
      </ns0:c>
      <ns0:c r="I746" s="0">
        <ns0:f>MAX(0,G746-H746)</ns0:f>
        <ns0:v>0</ns0:v>
      </ns0:c>
      <ns0:c r="J746" s="0">
        <ns0:f>IF(OR(A746=0,F746&lt;&gt;"OK",Bookings!G746="Cancelled",$B$6&gt;0),0,IF('_Dates'!AC746=1,MAX(0,COUNTIFS(rngEngine_B,B746,rngAMStart,"&lt;="&amp;'_Dates'!X746,rngAMEnd,"&gt;="&amp;'_Dates'!W746,rngAMActive,1,rngEngine_F,"OK",rngBookings_F,"&lt;&gt;Cancelled")-1),0)+IF('_Dates'!AD746=1,MAX(0,COUNTIFS(rngEngine_B,B746,rngPMStart,"&lt;="&amp;'_Dates'!Z746,rngPMEnd,"&gt;="&amp;'_Dates'!Y746,rngPMActive,1,rngEngine_F,"OK",rngBookings_F,"&lt;&gt;Cancelled")-1),0))</ns0:f>
        <ns0:v>0</ns0:v>
      </ns0:c>
      <ns0:c r="K746" s="0" t="str">
        <ns0:f>IF(A746=0,"",IF(F746&lt;&gt;"OK",F746,IF(J746&gt;0,"CHECK overlapping entry",IF(AND($B$6=0,G746&lt;=0,Bookings!G746&lt;&gt;"Cancelled"),"CHECK no working days",IF(Bookings!G746="Cancelled","Cancelled","OK")))))</ns0:f>
        <ns0:v/>
      </ns0:c>
      <ns0:c r="L746" s="0">
        <ns0:f>IF(LEFT(K746,5)="CHECK",1,0)</ns0:f>
        <ns0:v>0</ns0:v>
      </ns0:c>
      <ns0:c r="M746" s="0">
        <ns0:f>IF(AND(L746=1,OR(C746=0,IFERROR(INDEX($X$11:$X$60,C746),0)=0)),1,0)</ns0:f>
        <ns0:v>0</ns0:v>
      </ns0:c>
      <ns0:c r="N746" s="0">
        <ns0:f>IF(OR(A746=0,L746&gt;0,$B$6&gt;0,Bookings!G746="Cancelled"),0,G746)</ns0:f>
        <ns0:v>0</ns0:v>
      </ns0:c>
      <ns0:c r="O746" s="0">
        <ns0:f>IF(AND(Bookings!G746="Approved",E746="Yes"),N746,0)</ns0:f>
        <ns0:v>0</ns0:v>
      </ns0:c>
      <ns0:c r="P746" s="0">
        <ns0:f>IF(AND(Bookings!G746="Approved",E746="Yes",L746=0,$B$6=0),H746,0)</ns0:f>
        <ns0:v>0</ns0:v>
      </ns0:c>
      <ns0:c r="Q746" s="0">
        <ns0:f>IF(AND(Bookings!G746="Approved",E746="Yes",L746=0,$B$6=0),I746,0)</ns0:f>
        <ns0:v>0</ns0:v>
      </ns0:c>
      <ns0:c r="R746" s="0">
        <ns0:f>IF(AND(Bookings!G746="Pending",E746="Yes"),N746,0)</ns0:f>
        <ns0:v>0</ns0:v>
      </ns0:c>
      <ns0:c r="S746" s="0">
        <ns0:f>IF(AND(Bookings!G746="Approved",E746="No"),N746,0)</ns0:f>
        <ns0:v>0</ns0:v>
      </ns0:c>
      <ns0:c r="T746" s="0">
        <ns0:f>IFERROR(MATCH(D746,Settings!$G$7:$G$11,0),0)</ns0:f>
        <ns0:v>0</ns0:v>
      </ns0:c>
      <ns0:c r="U746" s="0">
        <ns0:f>IF(N746&gt;0,T746+IF(Bookings!G746="Pending",10,0),0)</ns0:f>
        <ns0:v>0</ns0:v>
      </ns0:c>
      <ns0:c r="V746" s="0">
        <ns0:f>U746</ns0:f>
        <ns0:v>0</ns0:v>
      </ns0:c>
      <ns0:c r="W746" s="0" t="str">
        <ns0:f>IF(C746=0,"",INDEX($AP$11:$AP$60,C746))</ns0:f>
        <ns0:v/>
      </ns0:c>
    </ns0:row>
    <ns0:row r="747">
      <ns0:c r="A747" s="0">
        <ns0:f>IF(COUNTA(Bookings!A747:G747,Bookings!I747)=0,0,1)</ns0:f>
        <ns0:v>0</ns0:v>
      </ns0:c>
      <ns0:c r="B747" s="0" t="str">
        <ns0:f>IFERROR(TRIM(MID(Bookings!A747,FIND(" · ",Bookings!A747)+3,99)),"")</ns0:f>
        <ns0:v/>
      </ns0:c>
      <ns0:c r="C747" s="0">
        <ns0:f>IF(OR(B747="",LEN(B747)&gt;24,ISNUMBER(FIND(" ",B747)),ISNUMBER(FIND("*",B747)),ISNUMBER(FIND("?",B747)),ISNUMBER(FIND("~",B747))),0,IFERROR(MATCH(B747,Team!$A$11:$A$60,0),0))</ns0:f>
        <ns0:v>0</ns0:v>
      </ns0:c>
      <ns0:c r="D747" s="0" t="str">
        <ns0:f>IFERROR(IF(MID(Bookings!F747,LEN(Bookings!F747)-3,3)=" · ",RIGHT(Bookings!F747,1),""),"")</ns0:f>
        <ns0:v/>
      </ns0:c>
      <ns0:c r="E747" s="0" t="str">
        <ns0:f>IFERROR(INDEX(Settings!$H$7:$H$11,MATCH(D747,Settings!$G$7:$G$11,0)),"")</ns0:f>
        <ns0:v/>
      </ns0:c>
      <ns0:c r="F747" s="0" t="str">
        <ns0:f>IF(A747=0,"",IFERROR(IF(OR(B747="",C747=0),"CHECK employee selection",IF(INDEX(Team!$O$11:$O$60,C747)&lt;&gt;"OK","CHECK employee setup",IF(OR('_Dates'!J747=0,'_Dates'!T747=0),"CHECK date: use DD.MM.YYYY",IF('_Dates'!T747&lt;'_Dates'!J747,"CHECK end before start",IF(AND($B$6=0,OR('_Dates'!J747&lt;Settings!$B$7,'_Dates'!T747&gt;Settings!$B$8)),"CHECK split across leave years",IF(OR(NOT(OR('_Dates'!U747="Full day",'_Dates'!U747="AM",'_Dates'!U747="PM")),NOT(OR('_Dates'!V747="Full day",'_Dates'!V747="AM",'_Dates'!V747="PM"))),"CHECK Full day / AM / PM",IF(AND('_Dates'!J747='_Dates'!T747,'_Dates'!U747&lt;&gt;"Full day",'_Dates'!V747&lt;&gt;"Full day",'_Dates'!U747&lt;&gt;'_Dates'!V747),"CHECK same-day portions disagree",IF(AND($B$6=0,OR(AND('_Dates'!U747&lt;&gt;"Full day",'_Dates'!AA747=0),AND('_Dates'!V747&lt;&gt;"Full day",'_Dates'!AB747=0))),"CHECK half-day on non-working date",IF(COUNTIF(Settings!$G$7:$G$11,D747)&lt;&gt;1,"CHECK leave type",IF(AND(Bookings!G747&lt;&gt;"Approved",Bookings!G747&lt;&gt;"Pending",Bookings!G747&lt;&gt;"Cancelled"),"CHECK status","OK")))))))))),"CHECK input"))</ns0:f>
        <ns0:v/>
      </ns0:c>
      <ns0:c r="G747" s="0">
        <ns0:f>IF(OR(F747&lt;&gt;"OK",$B$6&gt;0),0,0.5*(IF(('_Dates'!X747)&lt;('_Dates'!W747),0,INT((('_Dates'!X747)-('_Dates'!W747)+1)/7)*LEN(SUBSTITUTE(W747,"O",""))+LEN(SUBSTITUTE(MID(W747&amp;W747,WEEKDAY(('_Dates'!W747),2),MOD((('_Dates'!X747)-('_Dates'!W747)+1),7)),"O",""))-COUNTIFS(INDEX(AllClosureRows,C747,0),"&gt;="&amp;('_Dates'!W747),INDEX(AllClosureRows,C747,0),"&lt;="&amp;('_Dates'!X747)))+IF(('_Dates'!Z747)&lt;('_Dates'!Y747),0,INT((('_Dates'!Z747)-('_Dates'!Y747)+1)/7)*LEN(SUBSTITUTE(W747,"O",""))+LEN(SUBSTITUTE(MID(W747&amp;W747,WEEKDAY(('_Dates'!Y747),2),MOD((('_Dates'!Z747)-('_Dates'!Y747)+1),7)),"O",""))-COUNTIFS(INDEX(AllClosureRows,C747,0),"&gt;="&amp;('_Dates'!Y747),INDEX(AllClosureRows,C747,0),"&lt;="&amp;('_Dates'!Z747)))))</ns0:f>
        <ns0:v>0</ns0:v>
      </ns0:c>
      <ns0:c r="H747" s="0">
        <ns0:f>IF(OR(F747&lt;&gt;"OK",$B$6&gt;0),0,0.5*(IF((MIN('_Dates'!X747,Settings!$B$9))&lt;('_Dates'!W747),0,INT(((MIN('_Dates'!X747,Settings!$B$9))-('_Dates'!W747)+1)/7)*LEN(SUBSTITUTE(W747,"O",""))+LEN(SUBSTITUTE(MID(W747&amp;W747,WEEKDAY(('_Dates'!W747),2),MOD(((MIN('_Dates'!X747,Settings!$B$9))-('_Dates'!W747)+1),7)),"O",""))-COUNTIFS(INDEX(AllClosureRows,C747,0),"&gt;="&amp;('_Dates'!W747),INDEX(AllClosureRows,C747,0),"&lt;="&amp;(MIN('_Dates'!X747,Settings!$B$9))))+IF((MIN('_Dates'!Z747,Settings!$B$9))&lt;('_Dates'!Y747),0,INT(((MIN('_Dates'!Z747,Settings!$B$9))-('_Dates'!Y747)+1)/7)*LEN(SUBSTITUTE(W747,"O",""))+LEN(SUBSTITUTE(MID(W747&amp;W747,WEEKDAY(('_Dates'!Y747),2),MOD(((MIN('_Dates'!Z747,Settings!$B$9))-('_Dates'!Y747)+1),7)),"O",""))-COUNTIFS(INDEX(AllClosureRows,C747,0),"&gt;="&amp;('_Dates'!Y747),INDEX(AllClosureRows,C747,0),"&lt;="&amp;(MIN('_Dates'!Z747,Settings!$B$9))))))</ns0:f>
        <ns0:v>0</ns0:v>
      </ns0:c>
      <ns0:c r="I747" s="0">
        <ns0:f>MAX(0,G747-H747)</ns0:f>
        <ns0:v>0</ns0:v>
      </ns0:c>
      <ns0:c r="J747" s="0">
        <ns0:f>IF(OR(A747=0,F747&lt;&gt;"OK",Bookings!G747="Cancelled",$B$6&gt;0),0,IF('_Dates'!AC747=1,MAX(0,COUNTIFS(rngEngine_B,B747,rngAMStart,"&lt;="&amp;'_Dates'!X747,rngAMEnd,"&gt;="&amp;'_Dates'!W747,rngAMActive,1,rngEngine_F,"OK",rngBookings_F,"&lt;&gt;Cancelled")-1),0)+IF('_Dates'!AD747=1,MAX(0,COUNTIFS(rngEngine_B,B747,rngPMStart,"&lt;="&amp;'_Dates'!Z747,rngPMEnd,"&gt;="&amp;'_Dates'!Y747,rngPMActive,1,rngEngine_F,"OK",rngBookings_F,"&lt;&gt;Cancelled")-1),0))</ns0:f>
        <ns0:v>0</ns0:v>
      </ns0:c>
      <ns0:c r="K747" s="0" t="str">
        <ns0:f>IF(A747=0,"",IF(F747&lt;&gt;"OK",F747,IF(J747&gt;0,"CHECK overlapping entry",IF(AND($B$6=0,G747&lt;=0,Bookings!G747&lt;&gt;"Cancelled"),"CHECK no working days",IF(Bookings!G747="Cancelled","Cancelled","OK")))))</ns0:f>
        <ns0:v/>
      </ns0:c>
      <ns0:c r="L747" s="0">
        <ns0:f>IF(LEFT(K747,5)="CHECK",1,0)</ns0:f>
        <ns0:v>0</ns0:v>
      </ns0:c>
      <ns0:c r="M747" s="0">
        <ns0:f>IF(AND(L747=1,OR(C747=0,IFERROR(INDEX($X$11:$X$60,C747),0)=0)),1,0)</ns0:f>
        <ns0:v>0</ns0:v>
      </ns0:c>
      <ns0:c r="N747" s="0">
        <ns0:f>IF(OR(A747=0,L747&gt;0,$B$6&gt;0,Bookings!G747="Cancelled"),0,G747)</ns0:f>
        <ns0:v>0</ns0:v>
      </ns0:c>
      <ns0:c r="O747" s="0">
        <ns0:f>IF(AND(Bookings!G747="Approved",E747="Yes"),N747,0)</ns0:f>
        <ns0:v>0</ns0:v>
      </ns0:c>
      <ns0:c r="P747" s="0">
        <ns0:f>IF(AND(Bookings!G747="Approved",E747="Yes",L747=0,$B$6=0),H747,0)</ns0:f>
        <ns0:v>0</ns0:v>
      </ns0:c>
      <ns0:c r="Q747" s="0">
        <ns0:f>IF(AND(Bookings!G747="Approved",E747="Yes",L747=0,$B$6=0),I747,0)</ns0:f>
        <ns0:v>0</ns0:v>
      </ns0:c>
      <ns0:c r="R747" s="0">
        <ns0:f>IF(AND(Bookings!G747="Pending",E747="Yes"),N747,0)</ns0:f>
        <ns0:v>0</ns0:v>
      </ns0:c>
      <ns0:c r="S747" s="0">
        <ns0:f>IF(AND(Bookings!G747="Approved",E747="No"),N747,0)</ns0:f>
        <ns0:v>0</ns0:v>
      </ns0:c>
      <ns0:c r="T747" s="0">
        <ns0:f>IFERROR(MATCH(D747,Settings!$G$7:$G$11,0),0)</ns0:f>
        <ns0:v>0</ns0:v>
      </ns0:c>
      <ns0:c r="U747" s="0">
        <ns0:f>IF(N747&gt;0,T747+IF(Bookings!G747="Pending",10,0),0)</ns0:f>
        <ns0:v>0</ns0:v>
      </ns0:c>
      <ns0:c r="V747" s="0">
        <ns0:f>U747</ns0:f>
        <ns0:v>0</ns0:v>
      </ns0:c>
      <ns0:c r="W747" s="0" t="str">
        <ns0:f>IF(C747=0,"",INDEX($AP$11:$AP$60,C747))</ns0:f>
        <ns0:v/>
      </ns0:c>
    </ns0:row>
    <ns0:row r="748">
      <ns0:c r="A748" s="0">
        <ns0:f>IF(COUNTA(Bookings!A748:G748,Bookings!I748)=0,0,1)</ns0:f>
        <ns0:v>0</ns0:v>
      </ns0:c>
      <ns0:c r="B748" s="0" t="str">
        <ns0:f>IFERROR(TRIM(MID(Bookings!A748,FIND(" · ",Bookings!A748)+3,99)),"")</ns0:f>
        <ns0:v/>
      </ns0:c>
      <ns0:c r="C748" s="0">
        <ns0:f>IF(OR(B748="",LEN(B748)&gt;24,ISNUMBER(FIND(" ",B748)),ISNUMBER(FIND("*",B748)),ISNUMBER(FIND("?",B748)),ISNUMBER(FIND("~",B748))),0,IFERROR(MATCH(B748,Team!$A$11:$A$60,0),0))</ns0:f>
        <ns0:v>0</ns0:v>
      </ns0:c>
      <ns0:c r="D748" s="0" t="str">
        <ns0:f>IFERROR(IF(MID(Bookings!F748,LEN(Bookings!F748)-3,3)=" · ",RIGHT(Bookings!F748,1),""),"")</ns0:f>
        <ns0:v/>
      </ns0:c>
      <ns0:c r="E748" s="0" t="str">
        <ns0:f>IFERROR(INDEX(Settings!$H$7:$H$11,MATCH(D748,Settings!$G$7:$G$11,0)),"")</ns0:f>
        <ns0:v/>
      </ns0:c>
      <ns0:c r="F748" s="0" t="str">
        <ns0:f>IF(A748=0,"",IFERROR(IF(OR(B748="",C748=0),"CHECK employee selection",IF(INDEX(Team!$O$11:$O$60,C748)&lt;&gt;"OK","CHECK employee setup",IF(OR('_Dates'!J748=0,'_Dates'!T748=0),"CHECK date: use DD.MM.YYYY",IF('_Dates'!T748&lt;'_Dates'!J748,"CHECK end before start",IF(AND($B$6=0,OR('_Dates'!J748&lt;Settings!$B$7,'_Dates'!T748&gt;Settings!$B$8)),"CHECK split across leave years",IF(OR(NOT(OR('_Dates'!U748="Full day",'_Dates'!U748="AM",'_Dates'!U748="PM")),NOT(OR('_Dates'!V748="Full day",'_Dates'!V748="AM",'_Dates'!V748="PM"))),"CHECK Full day / AM / PM",IF(AND('_Dates'!J748='_Dates'!T748,'_Dates'!U748&lt;&gt;"Full day",'_Dates'!V748&lt;&gt;"Full day",'_Dates'!U748&lt;&gt;'_Dates'!V748),"CHECK same-day portions disagree",IF(AND($B$6=0,OR(AND('_Dates'!U748&lt;&gt;"Full day",'_Dates'!AA748=0),AND('_Dates'!V748&lt;&gt;"Full day",'_Dates'!AB748=0))),"CHECK half-day on non-working date",IF(COUNTIF(Settings!$G$7:$G$11,D748)&lt;&gt;1,"CHECK leave type",IF(AND(Bookings!G748&lt;&gt;"Approved",Bookings!G748&lt;&gt;"Pending",Bookings!G748&lt;&gt;"Cancelled"),"CHECK status","OK")))))))))),"CHECK input"))</ns0:f>
        <ns0:v/>
      </ns0:c>
      <ns0:c r="G748" s="0">
        <ns0:f>IF(OR(F748&lt;&gt;"OK",$B$6&gt;0),0,0.5*(IF(('_Dates'!X748)&lt;('_Dates'!W748),0,INT((('_Dates'!X748)-('_Dates'!W748)+1)/7)*LEN(SUBSTITUTE(W748,"O",""))+LEN(SUBSTITUTE(MID(W748&amp;W748,WEEKDAY(('_Dates'!W748),2),MOD((('_Dates'!X748)-('_Dates'!W748)+1),7)),"O",""))-COUNTIFS(INDEX(AllClosureRows,C748,0),"&gt;="&amp;('_Dates'!W748),INDEX(AllClosureRows,C748,0),"&lt;="&amp;('_Dates'!X748)))+IF(('_Dates'!Z748)&lt;('_Dates'!Y748),0,INT((('_Dates'!Z748)-('_Dates'!Y748)+1)/7)*LEN(SUBSTITUTE(W748,"O",""))+LEN(SUBSTITUTE(MID(W748&amp;W748,WEEKDAY(('_Dates'!Y748),2),MOD((('_Dates'!Z748)-('_Dates'!Y748)+1),7)),"O",""))-COUNTIFS(INDEX(AllClosureRows,C748,0),"&gt;="&amp;('_Dates'!Y748),INDEX(AllClosureRows,C748,0),"&lt;="&amp;('_Dates'!Z748)))))</ns0:f>
        <ns0:v>0</ns0:v>
      </ns0:c>
      <ns0:c r="H748" s="0">
        <ns0:f>IF(OR(F748&lt;&gt;"OK",$B$6&gt;0),0,0.5*(IF((MIN('_Dates'!X748,Settings!$B$9))&lt;('_Dates'!W748),0,INT(((MIN('_Dates'!X748,Settings!$B$9))-('_Dates'!W748)+1)/7)*LEN(SUBSTITUTE(W748,"O",""))+LEN(SUBSTITUTE(MID(W748&amp;W748,WEEKDAY(('_Dates'!W748),2),MOD(((MIN('_Dates'!X748,Settings!$B$9))-('_Dates'!W748)+1),7)),"O",""))-COUNTIFS(INDEX(AllClosureRows,C748,0),"&gt;="&amp;('_Dates'!W748),INDEX(AllClosureRows,C748,0),"&lt;="&amp;(MIN('_Dates'!X748,Settings!$B$9))))+IF((MIN('_Dates'!Z748,Settings!$B$9))&lt;('_Dates'!Y748),0,INT(((MIN('_Dates'!Z748,Settings!$B$9))-('_Dates'!Y748)+1)/7)*LEN(SUBSTITUTE(W748,"O",""))+LEN(SUBSTITUTE(MID(W748&amp;W748,WEEKDAY(('_Dates'!Y748),2),MOD(((MIN('_Dates'!Z748,Settings!$B$9))-('_Dates'!Y748)+1),7)),"O",""))-COUNTIFS(INDEX(AllClosureRows,C748,0),"&gt;="&amp;('_Dates'!Y748),INDEX(AllClosureRows,C748,0),"&lt;="&amp;(MIN('_Dates'!Z748,Settings!$B$9))))))</ns0:f>
        <ns0:v>0</ns0:v>
      </ns0:c>
      <ns0:c r="I748" s="0">
        <ns0:f>MAX(0,G748-H748)</ns0:f>
        <ns0:v>0</ns0:v>
      </ns0:c>
      <ns0:c r="J748" s="0">
        <ns0:f>IF(OR(A748=0,F748&lt;&gt;"OK",Bookings!G748="Cancelled",$B$6&gt;0),0,IF('_Dates'!AC748=1,MAX(0,COUNTIFS(rngEngine_B,B748,rngAMStart,"&lt;="&amp;'_Dates'!X748,rngAMEnd,"&gt;="&amp;'_Dates'!W748,rngAMActive,1,rngEngine_F,"OK",rngBookings_F,"&lt;&gt;Cancelled")-1),0)+IF('_Dates'!AD748=1,MAX(0,COUNTIFS(rngEngine_B,B748,rngPMStart,"&lt;="&amp;'_Dates'!Z748,rngPMEnd,"&gt;="&amp;'_Dates'!Y748,rngPMActive,1,rngEngine_F,"OK",rngBookings_F,"&lt;&gt;Cancelled")-1),0))</ns0:f>
        <ns0:v>0</ns0:v>
      </ns0:c>
      <ns0:c r="K748" s="0" t="str">
        <ns0:f>IF(A748=0,"",IF(F748&lt;&gt;"OK",F748,IF(J748&gt;0,"CHECK overlapping entry",IF(AND($B$6=0,G748&lt;=0,Bookings!G748&lt;&gt;"Cancelled"),"CHECK no working days",IF(Bookings!G748="Cancelled","Cancelled","OK")))))</ns0:f>
        <ns0:v/>
      </ns0:c>
      <ns0:c r="L748" s="0">
        <ns0:f>IF(LEFT(K748,5)="CHECK",1,0)</ns0:f>
        <ns0:v>0</ns0:v>
      </ns0:c>
      <ns0:c r="M748" s="0">
        <ns0:f>IF(AND(L748=1,OR(C748=0,IFERROR(INDEX($X$11:$X$60,C748),0)=0)),1,0)</ns0:f>
        <ns0:v>0</ns0:v>
      </ns0:c>
      <ns0:c r="N748" s="0">
        <ns0:f>IF(OR(A748=0,L748&gt;0,$B$6&gt;0,Bookings!G748="Cancelled"),0,G748)</ns0:f>
        <ns0:v>0</ns0:v>
      </ns0:c>
      <ns0:c r="O748" s="0">
        <ns0:f>IF(AND(Bookings!G748="Approved",E748="Yes"),N748,0)</ns0:f>
        <ns0:v>0</ns0:v>
      </ns0:c>
      <ns0:c r="P748" s="0">
        <ns0:f>IF(AND(Bookings!G748="Approved",E748="Yes",L748=0,$B$6=0),H748,0)</ns0:f>
        <ns0:v>0</ns0:v>
      </ns0:c>
      <ns0:c r="Q748" s="0">
        <ns0:f>IF(AND(Bookings!G748="Approved",E748="Yes",L748=0,$B$6=0),I748,0)</ns0:f>
        <ns0:v>0</ns0:v>
      </ns0:c>
      <ns0:c r="R748" s="0">
        <ns0:f>IF(AND(Bookings!G748="Pending",E748="Yes"),N748,0)</ns0:f>
        <ns0:v>0</ns0:v>
      </ns0:c>
      <ns0:c r="S748" s="0">
        <ns0:f>IF(AND(Bookings!G748="Approved",E748="No"),N748,0)</ns0:f>
        <ns0:v>0</ns0:v>
      </ns0:c>
      <ns0:c r="T748" s="0">
        <ns0:f>IFERROR(MATCH(D748,Settings!$G$7:$G$11,0),0)</ns0:f>
        <ns0:v>0</ns0:v>
      </ns0:c>
      <ns0:c r="U748" s="0">
        <ns0:f>IF(N748&gt;0,T748+IF(Bookings!G748="Pending",10,0),0)</ns0:f>
        <ns0:v>0</ns0:v>
      </ns0:c>
      <ns0:c r="V748" s="0">
        <ns0:f>U748</ns0:f>
        <ns0:v>0</ns0:v>
      </ns0:c>
      <ns0:c r="W748" s="0" t="str">
        <ns0:f>IF(C748=0,"",INDEX($AP$11:$AP$60,C748))</ns0:f>
        <ns0:v/>
      </ns0:c>
    </ns0:row>
    <ns0:row r="749">
      <ns0:c r="A749" s="0">
        <ns0:f>IF(COUNTA(Bookings!A749:G749,Bookings!I749)=0,0,1)</ns0:f>
        <ns0:v>0</ns0:v>
      </ns0:c>
      <ns0:c r="B749" s="0" t="str">
        <ns0:f>IFERROR(TRIM(MID(Bookings!A749,FIND(" · ",Bookings!A749)+3,99)),"")</ns0:f>
        <ns0:v/>
      </ns0:c>
      <ns0:c r="C749" s="0">
        <ns0:f>IF(OR(B749="",LEN(B749)&gt;24,ISNUMBER(FIND(" ",B749)),ISNUMBER(FIND("*",B749)),ISNUMBER(FIND("?",B749)),ISNUMBER(FIND("~",B749))),0,IFERROR(MATCH(B749,Team!$A$11:$A$60,0),0))</ns0:f>
        <ns0:v>0</ns0:v>
      </ns0:c>
      <ns0:c r="D749" s="0" t="str">
        <ns0:f>IFERROR(IF(MID(Bookings!F749,LEN(Bookings!F749)-3,3)=" · ",RIGHT(Bookings!F749,1),""),"")</ns0:f>
        <ns0:v/>
      </ns0:c>
      <ns0:c r="E749" s="0" t="str">
        <ns0:f>IFERROR(INDEX(Settings!$H$7:$H$11,MATCH(D749,Settings!$G$7:$G$11,0)),"")</ns0:f>
        <ns0:v/>
      </ns0:c>
      <ns0:c r="F749" s="0" t="str">
        <ns0:f>IF(A749=0,"",IFERROR(IF(OR(B749="",C749=0),"CHECK employee selection",IF(INDEX(Team!$O$11:$O$60,C749)&lt;&gt;"OK","CHECK employee setup",IF(OR('_Dates'!J749=0,'_Dates'!T749=0),"CHECK date: use DD.MM.YYYY",IF('_Dates'!T749&lt;'_Dates'!J749,"CHECK end before start",IF(AND($B$6=0,OR('_Dates'!J749&lt;Settings!$B$7,'_Dates'!T749&gt;Settings!$B$8)),"CHECK split across leave years",IF(OR(NOT(OR('_Dates'!U749="Full day",'_Dates'!U749="AM",'_Dates'!U749="PM")),NOT(OR('_Dates'!V749="Full day",'_Dates'!V749="AM",'_Dates'!V749="PM"))),"CHECK Full day / AM / PM",IF(AND('_Dates'!J749='_Dates'!T749,'_Dates'!U749&lt;&gt;"Full day",'_Dates'!V749&lt;&gt;"Full day",'_Dates'!U749&lt;&gt;'_Dates'!V749),"CHECK same-day portions disagree",IF(AND($B$6=0,OR(AND('_Dates'!U749&lt;&gt;"Full day",'_Dates'!AA749=0),AND('_Dates'!V749&lt;&gt;"Full day",'_Dates'!AB749=0))),"CHECK half-day on non-working date",IF(COUNTIF(Settings!$G$7:$G$11,D749)&lt;&gt;1,"CHECK leave type",IF(AND(Bookings!G749&lt;&gt;"Approved",Bookings!G749&lt;&gt;"Pending",Bookings!G749&lt;&gt;"Cancelled"),"CHECK status","OK")))))))))),"CHECK input"))</ns0:f>
        <ns0:v/>
      </ns0:c>
      <ns0:c r="G749" s="0">
        <ns0:f>IF(OR(F749&lt;&gt;"OK",$B$6&gt;0),0,0.5*(IF(('_Dates'!X749)&lt;('_Dates'!W749),0,INT((('_Dates'!X749)-('_Dates'!W749)+1)/7)*LEN(SUBSTITUTE(W749,"O",""))+LEN(SUBSTITUTE(MID(W749&amp;W749,WEEKDAY(('_Dates'!W749),2),MOD((('_Dates'!X749)-('_Dates'!W749)+1),7)),"O",""))-COUNTIFS(INDEX(AllClosureRows,C749,0),"&gt;="&amp;('_Dates'!W749),INDEX(AllClosureRows,C749,0),"&lt;="&amp;('_Dates'!X749)))+IF(('_Dates'!Z749)&lt;('_Dates'!Y749),0,INT((('_Dates'!Z749)-('_Dates'!Y749)+1)/7)*LEN(SUBSTITUTE(W749,"O",""))+LEN(SUBSTITUTE(MID(W749&amp;W749,WEEKDAY(('_Dates'!Y749),2),MOD((('_Dates'!Z749)-('_Dates'!Y749)+1),7)),"O",""))-COUNTIFS(INDEX(AllClosureRows,C749,0),"&gt;="&amp;('_Dates'!Y749),INDEX(AllClosureRows,C749,0),"&lt;="&amp;('_Dates'!Z749)))))</ns0:f>
        <ns0:v>0</ns0:v>
      </ns0:c>
      <ns0:c r="H749" s="0">
        <ns0:f>IF(OR(F749&lt;&gt;"OK",$B$6&gt;0),0,0.5*(IF((MIN('_Dates'!X749,Settings!$B$9))&lt;('_Dates'!W749),0,INT(((MIN('_Dates'!X749,Settings!$B$9))-('_Dates'!W749)+1)/7)*LEN(SUBSTITUTE(W749,"O",""))+LEN(SUBSTITUTE(MID(W749&amp;W749,WEEKDAY(('_Dates'!W749),2),MOD(((MIN('_Dates'!X749,Settings!$B$9))-('_Dates'!W749)+1),7)),"O",""))-COUNTIFS(INDEX(AllClosureRows,C749,0),"&gt;="&amp;('_Dates'!W749),INDEX(AllClosureRows,C749,0),"&lt;="&amp;(MIN('_Dates'!X749,Settings!$B$9))))+IF((MIN('_Dates'!Z749,Settings!$B$9))&lt;('_Dates'!Y749),0,INT(((MIN('_Dates'!Z749,Settings!$B$9))-('_Dates'!Y749)+1)/7)*LEN(SUBSTITUTE(W749,"O",""))+LEN(SUBSTITUTE(MID(W749&amp;W749,WEEKDAY(('_Dates'!Y749),2),MOD(((MIN('_Dates'!Z749,Settings!$B$9))-('_Dates'!Y749)+1),7)),"O",""))-COUNTIFS(INDEX(AllClosureRows,C749,0),"&gt;="&amp;('_Dates'!Y749),INDEX(AllClosureRows,C749,0),"&lt;="&amp;(MIN('_Dates'!Z749,Settings!$B$9))))))</ns0:f>
        <ns0:v>0</ns0:v>
      </ns0:c>
      <ns0:c r="I749" s="0">
        <ns0:f>MAX(0,G749-H749)</ns0:f>
        <ns0:v>0</ns0:v>
      </ns0:c>
      <ns0:c r="J749" s="0">
        <ns0:f>IF(OR(A749=0,F749&lt;&gt;"OK",Bookings!G749="Cancelled",$B$6&gt;0),0,IF('_Dates'!AC749=1,MAX(0,COUNTIFS(rngEngine_B,B749,rngAMStart,"&lt;="&amp;'_Dates'!X749,rngAMEnd,"&gt;="&amp;'_Dates'!W749,rngAMActive,1,rngEngine_F,"OK",rngBookings_F,"&lt;&gt;Cancelled")-1),0)+IF('_Dates'!AD749=1,MAX(0,COUNTIFS(rngEngine_B,B749,rngPMStart,"&lt;="&amp;'_Dates'!Z749,rngPMEnd,"&gt;="&amp;'_Dates'!Y749,rngPMActive,1,rngEngine_F,"OK",rngBookings_F,"&lt;&gt;Cancelled")-1),0))</ns0:f>
        <ns0:v>0</ns0:v>
      </ns0:c>
      <ns0:c r="K749" s="0" t="str">
        <ns0:f>IF(A749=0,"",IF(F749&lt;&gt;"OK",F749,IF(J749&gt;0,"CHECK overlapping entry",IF(AND($B$6=0,G749&lt;=0,Bookings!G749&lt;&gt;"Cancelled"),"CHECK no working days",IF(Bookings!G749="Cancelled","Cancelled","OK")))))</ns0:f>
        <ns0:v/>
      </ns0:c>
      <ns0:c r="L749" s="0">
        <ns0:f>IF(LEFT(K749,5)="CHECK",1,0)</ns0:f>
        <ns0:v>0</ns0:v>
      </ns0:c>
      <ns0:c r="M749" s="0">
        <ns0:f>IF(AND(L749=1,OR(C749=0,IFERROR(INDEX($X$11:$X$60,C749),0)=0)),1,0)</ns0:f>
        <ns0:v>0</ns0:v>
      </ns0:c>
      <ns0:c r="N749" s="0">
        <ns0:f>IF(OR(A749=0,L749&gt;0,$B$6&gt;0,Bookings!G749="Cancelled"),0,G749)</ns0:f>
        <ns0:v>0</ns0:v>
      </ns0:c>
      <ns0:c r="O749" s="0">
        <ns0:f>IF(AND(Bookings!G749="Approved",E749="Yes"),N749,0)</ns0:f>
        <ns0:v>0</ns0:v>
      </ns0:c>
      <ns0:c r="P749" s="0">
        <ns0:f>IF(AND(Bookings!G749="Approved",E749="Yes",L749=0,$B$6=0),H749,0)</ns0:f>
        <ns0:v>0</ns0:v>
      </ns0:c>
      <ns0:c r="Q749" s="0">
        <ns0:f>IF(AND(Bookings!G749="Approved",E749="Yes",L749=0,$B$6=0),I749,0)</ns0:f>
        <ns0:v>0</ns0:v>
      </ns0:c>
      <ns0:c r="R749" s="0">
        <ns0:f>IF(AND(Bookings!G749="Pending",E749="Yes"),N749,0)</ns0:f>
        <ns0:v>0</ns0:v>
      </ns0:c>
      <ns0:c r="S749" s="0">
        <ns0:f>IF(AND(Bookings!G749="Approved",E749="No"),N749,0)</ns0:f>
        <ns0:v>0</ns0:v>
      </ns0:c>
      <ns0:c r="T749" s="0">
        <ns0:f>IFERROR(MATCH(D749,Settings!$G$7:$G$11,0),0)</ns0:f>
        <ns0:v>0</ns0:v>
      </ns0:c>
      <ns0:c r="U749" s="0">
        <ns0:f>IF(N749&gt;0,T749+IF(Bookings!G749="Pending",10,0),0)</ns0:f>
        <ns0:v>0</ns0:v>
      </ns0:c>
      <ns0:c r="V749" s="0">
        <ns0:f>U749</ns0:f>
        <ns0:v>0</ns0:v>
      </ns0:c>
      <ns0:c r="W749" s="0" t="str">
        <ns0:f>IF(C749=0,"",INDEX($AP$11:$AP$60,C749))</ns0:f>
        <ns0:v/>
      </ns0:c>
    </ns0:row>
    <ns0:row r="750">
      <ns0:c r="A750" s="0">
        <ns0:f>IF(COUNTA(Bookings!A750:G750,Bookings!I750)=0,0,1)</ns0:f>
        <ns0:v>0</ns0:v>
      </ns0:c>
      <ns0:c r="B750" s="0" t="str">
        <ns0:f>IFERROR(TRIM(MID(Bookings!A750,FIND(" · ",Bookings!A750)+3,99)),"")</ns0:f>
        <ns0:v/>
      </ns0:c>
      <ns0:c r="C750" s="0">
        <ns0:f>IF(OR(B750="",LEN(B750)&gt;24,ISNUMBER(FIND(" ",B750)),ISNUMBER(FIND("*",B750)),ISNUMBER(FIND("?",B750)),ISNUMBER(FIND("~",B750))),0,IFERROR(MATCH(B750,Team!$A$11:$A$60,0),0))</ns0:f>
        <ns0:v>0</ns0:v>
      </ns0:c>
      <ns0:c r="D750" s="0" t="str">
        <ns0:f>IFERROR(IF(MID(Bookings!F750,LEN(Bookings!F750)-3,3)=" · ",RIGHT(Bookings!F750,1),""),"")</ns0:f>
        <ns0:v/>
      </ns0:c>
      <ns0:c r="E750" s="0" t="str">
        <ns0:f>IFERROR(INDEX(Settings!$H$7:$H$11,MATCH(D750,Settings!$G$7:$G$11,0)),"")</ns0:f>
        <ns0:v/>
      </ns0:c>
      <ns0:c r="F750" s="0" t="str">
        <ns0:f>IF(A750=0,"",IFERROR(IF(OR(B750="",C750=0),"CHECK employee selection",IF(INDEX(Team!$O$11:$O$60,C750)&lt;&gt;"OK","CHECK employee setup",IF(OR('_Dates'!J750=0,'_Dates'!T750=0),"CHECK date: use DD.MM.YYYY",IF('_Dates'!T750&lt;'_Dates'!J750,"CHECK end before start",IF(AND($B$6=0,OR('_Dates'!J750&lt;Settings!$B$7,'_Dates'!T750&gt;Settings!$B$8)),"CHECK split across leave years",IF(OR(NOT(OR('_Dates'!U750="Full day",'_Dates'!U750="AM",'_Dates'!U750="PM")),NOT(OR('_Dates'!V750="Full day",'_Dates'!V750="AM",'_Dates'!V750="PM"))),"CHECK Full day / AM / PM",IF(AND('_Dates'!J750='_Dates'!T750,'_Dates'!U750&lt;&gt;"Full day",'_Dates'!V750&lt;&gt;"Full day",'_Dates'!U750&lt;&gt;'_Dates'!V750),"CHECK same-day portions disagree",IF(AND($B$6=0,OR(AND('_Dates'!U750&lt;&gt;"Full day",'_Dates'!AA750=0),AND('_Dates'!V750&lt;&gt;"Full day",'_Dates'!AB750=0))),"CHECK half-day on non-working date",IF(COUNTIF(Settings!$G$7:$G$11,D750)&lt;&gt;1,"CHECK leave type",IF(AND(Bookings!G750&lt;&gt;"Approved",Bookings!G750&lt;&gt;"Pending",Bookings!G750&lt;&gt;"Cancelled"),"CHECK status","OK")))))))))),"CHECK input"))</ns0:f>
        <ns0:v/>
      </ns0:c>
      <ns0:c r="G750" s="0">
        <ns0:f>IF(OR(F750&lt;&gt;"OK",$B$6&gt;0),0,0.5*(IF(('_Dates'!X750)&lt;('_Dates'!W750),0,INT((('_Dates'!X750)-('_Dates'!W750)+1)/7)*LEN(SUBSTITUTE(W750,"O",""))+LEN(SUBSTITUTE(MID(W750&amp;W750,WEEKDAY(('_Dates'!W750),2),MOD((('_Dates'!X750)-('_Dates'!W750)+1),7)),"O",""))-COUNTIFS(INDEX(AllClosureRows,C750,0),"&gt;="&amp;('_Dates'!W750),INDEX(AllClosureRows,C750,0),"&lt;="&amp;('_Dates'!X750)))+IF(('_Dates'!Z750)&lt;('_Dates'!Y750),0,INT((('_Dates'!Z750)-('_Dates'!Y750)+1)/7)*LEN(SUBSTITUTE(W750,"O",""))+LEN(SUBSTITUTE(MID(W750&amp;W750,WEEKDAY(('_Dates'!Y750),2),MOD((('_Dates'!Z750)-('_Dates'!Y750)+1),7)),"O",""))-COUNTIFS(INDEX(AllClosureRows,C750,0),"&gt;="&amp;('_Dates'!Y750),INDEX(AllClosureRows,C750,0),"&lt;="&amp;('_Dates'!Z750)))))</ns0:f>
        <ns0:v>0</ns0:v>
      </ns0:c>
      <ns0:c r="H750" s="0">
        <ns0:f>IF(OR(F750&lt;&gt;"OK",$B$6&gt;0),0,0.5*(IF((MIN('_Dates'!X750,Settings!$B$9))&lt;('_Dates'!W750),0,INT(((MIN('_Dates'!X750,Settings!$B$9))-('_Dates'!W750)+1)/7)*LEN(SUBSTITUTE(W750,"O",""))+LEN(SUBSTITUTE(MID(W750&amp;W750,WEEKDAY(('_Dates'!W750),2),MOD(((MIN('_Dates'!X750,Settings!$B$9))-('_Dates'!W750)+1),7)),"O",""))-COUNTIFS(INDEX(AllClosureRows,C750,0),"&gt;="&amp;('_Dates'!W750),INDEX(AllClosureRows,C750,0),"&lt;="&amp;(MIN('_Dates'!X750,Settings!$B$9))))+IF((MIN('_Dates'!Z750,Settings!$B$9))&lt;('_Dates'!Y750),0,INT(((MIN('_Dates'!Z750,Settings!$B$9))-('_Dates'!Y750)+1)/7)*LEN(SUBSTITUTE(W750,"O",""))+LEN(SUBSTITUTE(MID(W750&amp;W750,WEEKDAY(('_Dates'!Y750),2),MOD(((MIN('_Dates'!Z750,Settings!$B$9))-('_Dates'!Y750)+1),7)),"O",""))-COUNTIFS(INDEX(AllClosureRows,C750,0),"&gt;="&amp;('_Dates'!Y750),INDEX(AllClosureRows,C750,0),"&lt;="&amp;(MIN('_Dates'!Z750,Settings!$B$9))))))</ns0:f>
        <ns0:v>0</ns0:v>
      </ns0:c>
      <ns0:c r="I750" s="0">
        <ns0:f>MAX(0,G750-H750)</ns0:f>
        <ns0:v>0</ns0:v>
      </ns0:c>
      <ns0:c r="J750" s="0">
        <ns0:f>IF(OR(A750=0,F750&lt;&gt;"OK",Bookings!G750="Cancelled",$B$6&gt;0),0,IF('_Dates'!AC750=1,MAX(0,COUNTIFS(rngEngine_B,B750,rngAMStart,"&lt;="&amp;'_Dates'!X750,rngAMEnd,"&gt;="&amp;'_Dates'!W750,rngAMActive,1,rngEngine_F,"OK",rngBookings_F,"&lt;&gt;Cancelled")-1),0)+IF('_Dates'!AD750=1,MAX(0,COUNTIFS(rngEngine_B,B750,rngPMStart,"&lt;="&amp;'_Dates'!Z750,rngPMEnd,"&gt;="&amp;'_Dates'!Y750,rngPMActive,1,rngEngine_F,"OK",rngBookings_F,"&lt;&gt;Cancelled")-1),0))</ns0:f>
        <ns0:v>0</ns0:v>
      </ns0:c>
      <ns0:c r="K750" s="0" t="str">
        <ns0:f>IF(A750=0,"",IF(F750&lt;&gt;"OK",F750,IF(J750&gt;0,"CHECK overlapping entry",IF(AND($B$6=0,G750&lt;=0,Bookings!G750&lt;&gt;"Cancelled"),"CHECK no working days",IF(Bookings!G750="Cancelled","Cancelled","OK")))))</ns0:f>
        <ns0:v/>
      </ns0:c>
      <ns0:c r="L750" s="0">
        <ns0:f>IF(LEFT(K750,5)="CHECK",1,0)</ns0:f>
        <ns0:v>0</ns0:v>
      </ns0:c>
      <ns0:c r="M750" s="0">
        <ns0:f>IF(AND(L750=1,OR(C750=0,IFERROR(INDEX($X$11:$X$60,C750),0)=0)),1,0)</ns0:f>
        <ns0:v>0</ns0:v>
      </ns0:c>
      <ns0:c r="N750" s="0">
        <ns0:f>IF(OR(A750=0,L750&gt;0,$B$6&gt;0,Bookings!G750="Cancelled"),0,G750)</ns0:f>
        <ns0:v>0</ns0:v>
      </ns0:c>
      <ns0:c r="O750" s="0">
        <ns0:f>IF(AND(Bookings!G750="Approved",E750="Yes"),N750,0)</ns0:f>
        <ns0:v>0</ns0:v>
      </ns0:c>
      <ns0:c r="P750" s="0">
        <ns0:f>IF(AND(Bookings!G750="Approved",E750="Yes",L750=0,$B$6=0),H750,0)</ns0:f>
        <ns0:v>0</ns0:v>
      </ns0:c>
      <ns0:c r="Q750" s="0">
        <ns0:f>IF(AND(Bookings!G750="Approved",E750="Yes",L750=0,$B$6=0),I750,0)</ns0:f>
        <ns0:v>0</ns0:v>
      </ns0:c>
      <ns0:c r="R750" s="0">
        <ns0:f>IF(AND(Bookings!G750="Pending",E750="Yes"),N750,0)</ns0:f>
        <ns0:v>0</ns0:v>
      </ns0:c>
      <ns0:c r="S750" s="0">
        <ns0:f>IF(AND(Bookings!G750="Approved",E750="No"),N750,0)</ns0:f>
        <ns0:v>0</ns0:v>
      </ns0:c>
      <ns0:c r="T750" s="0">
        <ns0:f>IFERROR(MATCH(D750,Settings!$G$7:$G$11,0),0)</ns0:f>
        <ns0:v>0</ns0:v>
      </ns0:c>
      <ns0:c r="U750" s="0">
        <ns0:f>IF(N750&gt;0,T750+IF(Bookings!G750="Pending",10,0),0)</ns0:f>
        <ns0:v>0</ns0:v>
      </ns0:c>
      <ns0:c r="V750" s="0">
        <ns0:f>U750</ns0:f>
        <ns0:v>0</ns0:v>
      </ns0:c>
      <ns0:c r="W750" s="0" t="str">
        <ns0:f>IF(C750=0,"",INDEX($AP$11:$AP$60,C750))</ns0:f>
        <ns0:v/>
      </ns0:c>
    </ns0:row>
    <ns0:row r="751">
      <ns0:c r="A751" s="0">
        <ns0:f>IF(COUNTA(Bookings!A751:G751,Bookings!I751)=0,0,1)</ns0:f>
        <ns0:v>0</ns0:v>
      </ns0:c>
      <ns0:c r="B751" s="0" t="str">
        <ns0:f>IFERROR(TRIM(MID(Bookings!A751,FIND(" · ",Bookings!A751)+3,99)),"")</ns0:f>
        <ns0:v/>
      </ns0:c>
      <ns0:c r="C751" s="0">
        <ns0:f>IF(OR(B751="",LEN(B751)&gt;24,ISNUMBER(FIND(" ",B751)),ISNUMBER(FIND("*",B751)),ISNUMBER(FIND("?",B751)),ISNUMBER(FIND("~",B751))),0,IFERROR(MATCH(B751,Team!$A$11:$A$60,0),0))</ns0:f>
        <ns0:v>0</ns0:v>
      </ns0:c>
      <ns0:c r="D751" s="0" t="str">
        <ns0:f>IFERROR(IF(MID(Bookings!F751,LEN(Bookings!F751)-3,3)=" · ",RIGHT(Bookings!F751,1),""),"")</ns0:f>
        <ns0:v/>
      </ns0:c>
      <ns0:c r="E751" s="0" t="str">
        <ns0:f>IFERROR(INDEX(Settings!$H$7:$H$11,MATCH(D751,Settings!$G$7:$G$11,0)),"")</ns0:f>
        <ns0:v/>
      </ns0:c>
      <ns0:c r="F751" s="0" t="str">
        <ns0:f>IF(A751=0,"",IFERROR(IF(OR(B751="",C751=0),"CHECK employee selection",IF(INDEX(Team!$O$11:$O$60,C751)&lt;&gt;"OK","CHECK employee setup",IF(OR('_Dates'!J751=0,'_Dates'!T751=0),"CHECK date: use DD.MM.YYYY",IF('_Dates'!T751&lt;'_Dates'!J751,"CHECK end before start",IF(AND($B$6=0,OR('_Dates'!J751&lt;Settings!$B$7,'_Dates'!T751&gt;Settings!$B$8)),"CHECK split across leave years",IF(OR(NOT(OR('_Dates'!U751="Full day",'_Dates'!U751="AM",'_Dates'!U751="PM")),NOT(OR('_Dates'!V751="Full day",'_Dates'!V751="AM",'_Dates'!V751="PM"))),"CHECK Full day / AM / PM",IF(AND('_Dates'!J751='_Dates'!T751,'_Dates'!U751&lt;&gt;"Full day",'_Dates'!V751&lt;&gt;"Full day",'_Dates'!U751&lt;&gt;'_Dates'!V751),"CHECK same-day portions disagree",IF(AND($B$6=0,OR(AND('_Dates'!U751&lt;&gt;"Full day",'_Dates'!AA751=0),AND('_Dates'!V751&lt;&gt;"Full day",'_Dates'!AB751=0))),"CHECK half-day on non-working date",IF(COUNTIF(Settings!$G$7:$G$11,D751)&lt;&gt;1,"CHECK leave type",IF(AND(Bookings!G751&lt;&gt;"Approved",Bookings!G751&lt;&gt;"Pending",Bookings!G751&lt;&gt;"Cancelled"),"CHECK status","OK")))))))))),"CHECK input"))</ns0:f>
        <ns0:v/>
      </ns0:c>
      <ns0:c r="G751" s="0">
        <ns0:f>IF(OR(F751&lt;&gt;"OK",$B$6&gt;0),0,0.5*(IF(('_Dates'!X751)&lt;('_Dates'!W751),0,INT((('_Dates'!X751)-('_Dates'!W751)+1)/7)*LEN(SUBSTITUTE(W751,"O",""))+LEN(SUBSTITUTE(MID(W751&amp;W751,WEEKDAY(('_Dates'!W751),2),MOD((('_Dates'!X751)-('_Dates'!W751)+1),7)),"O",""))-COUNTIFS(INDEX(AllClosureRows,C751,0),"&gt;="&amp;('_Dates'!W751),INDEX(AllClosureRows,C751,0),"&lt;="&amp;('_Dates'!X751)))+IF(('_Dates'!Z751)&lt;('_Dates'!Y751),0,INT((('_Dates'!Z751)-('_Dates'!Y751)+1)/7)*LEN(SUBSTITUTE(W751,"O",""))+LEN(SUBSTITUTE(MID(W751&amp;W751,WEEKDAY(('_Dates'!Y751),2),MOD((('_Dates'!Z751)-('_Dates'!Y751)+1),7)),"O",""))-COUNTIFS(INDEX(AllClosureRows,C751,0),"&gt;="&amp;('_Dates'!Y751),INDEX(AllClosureRows,C751,0),"&lt;="&amp;('_Dates'!Z751)))))</ns0:f>
        <ns0:v>0</ns0:v>
      </ns0:c>
      <ns0:c r="H751" s="0">
        <ns0:f>IF(OR(F751&lt;&gt;"OK",$B$6&gt;0),0,0.5*(IF((MIN('_Dates'!X751,Settings!$B$9))&lt;('_Dates'!W751),0,INT(((MIN('_Dates'!X751,Settings!$B$9))-('_Dates'!W751)+1)/7)*LEN(SUBSTITUTE(W751,"O",""))+LEN(SUBSTITUTE(MID(W751&amp;W751,WEEKDAY(('_Dates'!W751),2),MOD(((MIN('_Dates'!X751,Settings!$B$9))-('_Dates'!W751)+1),7)),"O",""))-COUNTIFS(INDEX(AllClosureRows,C751,0),"&gt;="&amp;('_Dates'!W751),INDEX(AllClosureRows,C751,0),"&lt;="&amp;(MIN('_Dates'!X751,Settings!$B$9))))+IF((MIN('_Dates'!Z751,Settings!$B$9))&lt;('_Dates'!Y751),0,INT(((MIN('_Dates'!Z751,Settings!$B$9))-('_Dates'!Y751)+1)/7)*LEN(SUBSTITUTE(W751,"O",""))+LEN(SUBSTITUTE(MID(W751&amp;W751,WEEKDAY(('_Dates'!Y751),2),MOD(((MIN('_Dates'!Z751,Settings!$B$9))-('_Dates'!Y751)+1),7)),"O",""))-COUNTIFS(INDEX(AllClosureRows,C751,0),"&gt;="&amp;('_Dates'!Y751),INDEX(AllClosureRows,C751,0),"&lt;="&amp;(MIN('_Dates'!Z751,Settings!$B$9))))))</ns0:f>
        <ns0:v>0</ns0:v>
      </ns0:c>
      <ns0:c r="I751" s="0">
        <ns0:f>MAX(0,G751-H751)</ns0:f>
        <ns0:v>0</ns0:v>
      </ns0:c>
      <ns0:c r="J751" s="0">
        <ns0:f>IF(OR(A751=0,F751&lt;&gt;"OK",Bookings!G751="Cancelled",$B$6&gt;0),0,IF('_Dates'!AC751=1,MAX(0,COUNTIFS(rngEngine_B,B751,rngAMStart,"&lt;="&amp;'_Dates'!X751,rngAMEnd,"&gt;="&amp;'_Dates'!W751,rngAMActive,1,rngEngine_F,"OK",rngBookings_F,"&lt;&gt;Cancelled")-1),0)+IF('_Dates'!AD751=1,MAX(0,COUNTIFS(rngEngine_B,B751,rngPMStart,"&lt;="&amp;'_Dates'!Z751,rngPMEnd,"&gt;="&amp;'_Dates'!Y751,rngPMActive,1,rngEngine_F,"OK",rngBookings_F,"&lt;&gt;Cancelled")-1),0))</ns0:f>
        <ns0:v>0</ns0:v>
      </ns0:c>
      <ns0:c r="K751" s="0" t="str">
        <ns0:f>IF(A751=0,"",IF(F751&lt;&gt;"OK",F751,IF(J751&gt;0,"CHECK overlapping entry",IF(AND($B$6=0,G751&lt;=0,Bookings!G751&lt;&gt;"Cancelled"),"CHECK no working days",IF(Bookings!G751="Cancelled","Cancelled","OK")))))</ns0:f>
        <ns0:v/>
      </ns0:c>
      <ns0:c r="L751" s="0">
        <ns0:f>IF(LEFT(K751,5)="CHECK",1,0)</ns0:f>
        <ns0:v>0</ns0:v>
      </ns0:c>
      <ns0:c r="M751" s="0">
        <ns0:f>IF(AND(L751=1,OR(C751=0,IFERROR(INDEX($X$11:$X$60,C751),0)=0)),1,0)</ns0:f>
        <ns0:v>0</ns0:v>
      </ns0:c>
      <ns0:c r="N751" s="0">
        <ns0:f>IF(OR(A751=0,L751&gt;0,$B$6&gt;0,Bookings!G751="Cancelled"),0,G751)</ns0:f>
        <ns0:v>0</ns0:v>
      </ns0:c>
      <ns0:c r="O751" s="0">
        <ns0:f>IF(AND(Bookings!G751="Approved",E751="Yes"),N751,0)</ns0:f>
        <ns0:v>0</ns0:v>
      </ns0:c>
      <ns0:c r="P751" s="0">
        <ns0:f>IF(AND(Bookings!G751="Approved",E751="Yes",L751=0,$B$6=0),H751,0)</ns0:f>
        <ns0:v>0</ns0:v>
      </ns0:c>
      <ns0:c r="Q751" s="0">
        <ns0:f>IF(AND(Bookings!G751="Approved",E751="Yes",L751=0,$B$6=0),I751,0)</ns0:f>
        <ns0:v>0</ns0:v>
      </ns0:c>
      <ns0:c r="R751" s="0">
        <ns0:f>IF(AND(Bookings!G751="Pending",E751="Yes"),N751,0)</ns0:f>
        <ns0:v>0</ns0:v>
      </ns0:c>
      <ns0:c r="S751" s="0">
        <ns0:f>IF(AND(Bookings!G751="Approved",E751="No"),N751,0)</ns0:f>
        <ns0:v>0</ns0:v>
      </ns0:c>
      <ns0:c r="T751" s="0">
        <ns0:f>IFERROR(MATCH(D751,Settings!$G$7:$G$11,0),0)</ns0:f>
        <ns0:v>0</ns0:v>
      </ns0:c>
      <ns0:c r="U751" s="0">
        <ns0:f>IF(N751&gt;0,T751+IF(Bookings!G751="Pending",10,0),0)</ns0:f>
        <ns0:v>0</ns0:v>
      </ns0:c>
      <ns0:c r="V751" s="0">
        <ns0:f>U751</ns0:f>
        <ns0:v>0</ns0:v>
      </ns0:c>
      <ns0:c r="W751" s="0" t="str">
        <ns0:f>IF(C751=0,"",INDEX($AP$11:$AP$60,C751))</ns0:f>
        <ns0:v/>
      </ns0:c>
    </ns0:row>
    <ns0:row r="752">
      <ns0:c r="A752" s="0">
        <ns0:f>IF(COUNTA(Bookings!A752:G752,Bookings!I752)=0,0,1)</ns0:f>
        <ns0:v>0</ns0:v>
      </ns0:c>
      <ns0:c r="B752" s="0" t="str">
        <ns0:f>IFERROR(TRIM(MID(Bookings!A752,FIND(" · ",Bookings!A752)+3,99)),"")</ns0:f>
        <ns0:v/>
      </ns0:c>
      <ns0:c r="C752" s="0">
        <ns0:f>IF(OR(B752="",LEN(B752)&gt;24,ISNUMBER(FIND(" ",B752)),ISNUMBER(FIND("*",B752)),ISNUMBER(FIND("?",B752)),ISNUMBER(FIND("~",B752))),0,IFERROR(MATCH(B752,Team!$A$11:$A$60,0),0))</ns0:f>
        <ns0:v>0</ns0:v>
      </ns0:c>
      <ns0:c r="D752" s="0" t="str">
        <ns0:f>IFERROR(IF(MID(Bookings!F752,LEN(Bookings!F752)-3,3)=" · ",RIGHT(Bookings!F752,1),""),"")</ns0:f>
        <ns0:v/>
      </ns0:c>
      <ns0:c r="E752" s="0" t="str">
        <ns0:f>IFERROR(INDEX(Settings!$H$7:$H$11,MATCH(D752,Settings!$G$7:$G$11,0)),"")</ns0:f>
        <ns0:v/>
      </ns0:c>
      <ns0:c r="F752" s="0" t="str">
        <ns0:f>IF(A752=0,"",IFERROR(IF(OR(B752="",C752=0),"CHECK employee selection",IF(INDEX(Team!$O$11:$O$60,C752)&lt;&gt;"OK","CHECK employee setup",IF(OR('_Dates'!J752=0,'_Dates'!T752=0),"CHECK date: use DD.MM.YYYY",IF('_Dates'!T752&lt;'_Dates'!J752,"CHECK end before start",IF(AND($B$6=0,OR('_Dates'!J752&lt;Settings!$B$7,'_Dates'!T752&gt;Settings!$B$8)),"CHECK split across leave years",IF(OR(NOT(OR('_Dates'!U752="Full day",'_Dates'!U752="AM",'_Dates'!U752="PM")),NOT(OR('_Dates'!V752="Full day",'_Dates'!V752="AM",'_Dates'!V752="PM"))),"CHECK Full day / AM / PM",IF(AND('_Dates'!J752='_Dates'!T752,'_Dates'!U752&lt;&gt;"Full day",'_Dates'!V752&lt;&gt;"Full day",'_Dates'!U752&lt;&gt;'_Dates'!V752),"CHECK same-day portions disagree",IF(AND($B$6=0,OR(AND('_Dates'!U752&lt;&gt;"Full day",'_Dates'!AA752=0),AND('_Dates'!V752&lt;&gt;"Full day",'_Dates'!AB752=0))),"CHECK half-day on non-working date",IF(COUNTIF(Settings!$G$7:$G$11,D752)&lt;&gt;1,"CHECK leave type",IF(AND(Bookings!G752&lt;&gt;"Approved",Bookings!G752&lt;&gt;"Pending",Bookings!G752&lt;&gt;"Cancelled"),"CHECK status","OK")))))))))),"CHECK input"))</ns0:f>
        <ns0:v/>
      </ns0:c>
      <ns0:c r="G752" s="0">
        <ns0:f>IF(OR(F752&lt;&gt;"OK",$B$6&gt;0),0,0.5*(IF(('_Dates'!X752)&lt;('_Dates'!W752),0,INT((('_Dates'!X752)-('_Dates'!W752)+1)/7)*LEN(SUBSTITUTE(W752,"O",""))+LEN(SUBSTITUTE(MID(W752&amp;W752,WEEKDAY(('_Dates'!W752),2),MOD((('_Dates'!X752)-('_Dates'!W752)+1),7)),"O",""))-COUNTIFS(INDEX(AllClosureRows,C752,0),"&gt;="&amp;('_Dates'!W752),INDEX(AllClosureRows,C752,0),"&lt;="&amp;('_Dates'!X752)))+IF(('_Dates'!Z752)&lt;('_Dates'!Y752),0,INT((('_Dates'!Z752)-('_Dates'!Y752)+1)/7)*LEN(SUBSTITUTE(W752,"O",""))+LEN(SUBSTITUTE(MID(W752&amp;W752,WEEKDAY(('_Dates'!Y752),2),MOD((('_Dates'!Z752)-('_Dates'!Y752)+1),7)),"O",""))-COUNTIFS(INDEX(AllClosureRows,C752,0),"&gt;="&amp;('_Dates'!Y752),INDEX(AllClosureRows,C752,0),"&lt;="&amp;('_Dates'!Z752)))))</ns0:f>
        <ns0:v>0</ns0:v>
      </ns0:c>
      <ns0:c r="H752" s="0">
        <ns0:f>IF(OR(F752&lt;&gt;"OK",$B$6&gt;0),0,0.5*(IF((MIN('_Dates'!X752,Settings!$B$9))&lt;('_Dates'!W752),0,INT(((MIN('_Dates'!X752,Settings!$B$9))-('_Dates'!W752)+1)/7)*LEN(SUBSTITUTE(W752,"O",""))+LEN(SUBSTITUTE(MID(W752&amp;W752,WEEKDAY(('_Dates'!W752),2),MOD(((MIN('_Dates'!X752,Settings!$B$9))-('_Dates'!W752)+1),7)),"O",""))-COUNTIFS(INDEX(AllClosureRows,C752,0),"&gt;="&amp;('_Dates'!W752),INDEX(AllClosureRows,C752,0),"&lt;="&amp;(MIN('_Dates'!X752,Settings!$B$9))))+IF((MIN('_Dates'!Z752,Settings!$B$9))&lt;('_Dates'!Y752),0,INT(((MIN('_Dates'!Z752,Settings!$B$9))-('_Dates'!Y752)+1)/7)*LEN(SUBSTITUTE(W752,"O",""))+LEN(SUBSTITUTE(MID(W752&amp;W752,WEEKDAY(('_Dates'!Y752),2),MOD(((MIN('_Dates'!Z752,Settings!$B$9))-('_Dates'!Y752)+1),7)),"O",""))-COUNTIFS(INDEX(AllClosureRows,C752,0),"&gt;="&amp;('_Dates'!Y752),INDEX(AllClosureRows,C752,0),"&lt;="&amp;(MIN('_Dates'!Z752,Settings!$B$9))))))</ns0:f>
        <ns0:v>0</ns0:v>
      </ns0:c>
      <ns0:c r="I752" s="0">
        <ns0:f>MAX(0,G752-H752)</ns0:f>
        <ns0:v>0</ns0:v>
      </ns0:c>
      <ns0:c r="J752" s="0">
        <ns0:f>IF(OR(A752=0,F752&lt;&gt;"OK",Bookings!G752="Cancelled",$B$6&gt;0),0,IF('_Dates'!AC752=1,MAX(0,COUNTIFS(rngEngine_B,B752,rngAMStart,"&lt;="&amp;'_Dates'!X752,rngAMEnd,"&gt;="&amp;'_Dates'!W752,rngAMActive,1,rngEngine_F,"OK",rngBookings_F,"&lt;&gt;Cancelled")-1),0)+IF('_Dates'!AD752=1,MAX(0,COUNTIFS(rngEngine_B,B752,rngPMStart,"&lt;="&amp;'_Dates'!Z752,rngPMEnd,"&gt;="&amp;'_Dates'!Y752,rngPMActive,1,rngEngine_F,"OK",rngBookings_F,"&lt;&gt;Cancelled")-1),0))</ns0:f>
        <ns0:v>0</ns0:v>
      </ns0:c>
      <ns0:c r="K752" s="0" t="str">
        <ns0:f>IF(A752=0,"",IF(F752&lt;&gt;"OK",F752,IF(J752&gt;0,"CHECK overlapping entry",IF(AND($B$6=0,G752&lt;=0,Bookings!G752&lt;&gt;"Cancelled"),"CHECK no working days",IF(Bookings!G752="Cancelled","Cancelled","OK")))))</ns0:f>
        <ns0:v/>
      </ns0:c>
      <ns0:c r="L752" s="0">
        <ns0:f>IF(LEFT(K752,5)="CHECK",1,0)</ns0:f>
        <ns0:v>0</ns0:v>
      </ns0:c>
      <ns0:c r="M752" s="0">
        <ns0:f>IF(AND(L752=1,OR(C752=0,IFERROR(INDEX($X$11:$X$60,C752),0)=0)),1,0)</ns0:f>
        <ns0:v>0</ns0:v>
      </ns0:c>
      <ns0:c r="N752" s="0">
        <ns0:f>IF(OR(A752=0,L752&gt;0,$B$6&gt;0,Bookings!G752="Cancelled"),0,G752)</ns0:f>
        <ns0:v>0</ns0:v>
      </ns0:c>
      <ns0:c r="O752" s="0">
        <ns0:f>IF(AND(Bookings!G752="Approved",E752="Yes"),N752,0)</ns0:f>
        <ns0:v>0</ns0:v>
      </ns0:c>
      <ns0:c r="P752" s="0">
        <ns0:f>IF(AND(Bookings!G752="Approved",E752="Yes",L752=0,$B$6=0),H752,0)</ns0:f>
        <ns0:v>0</ns0:v>
      </ns0:c>
      <ns0:c r="Q752" s="0">
        <ns0:f>IF(AND(Bookings!G752="Approved",E752="Yes",L752=0,$B$6=0),I752,0)</ns0:f>
        <ns0:v>0</ns0:v>
      </ns0:c>
      <ns0:c r="R752" s="0">
        <ns0:f>IF(AND(Bookings!G752="Pending",E752="Yes"),N752,0)</ns0:f>
        <ns0:v>0</ns0:v>
      </ns0:c>
      <ns0:c r="S752" s="0">
        <ns0:f>IF(AND(Bookings!G752="Approved",E752="No"),N752,0)</ns0:f>
        <ns0:v>0</ns0:v>
      </ns0:c>
      <ns0:c r="T752" s="0">
        <ns0:f>IFERROR(MATCH(D752,Settings!$G$7:$G$11,0),0)</ns0:f>
        <ns0:v>0</ns0:v>
      </ns0:c>
      <ns0:c r="U752" s="0">
        <ns0:f>IF(N752&gt;0,T752+IF(Bookings!G752="Pending",10,0),0)</ns0:f>
        <ns0:v>0</ns0:v>
      </ns0:c>
      <ns0:c r="V752" s="0">
        <ns0:f>U752</ns0:f>
        <ns0:v>0</ns0:v>
      </ns0:c>
      <ns0:c r="W752" s="0" t="str">
        <ns0:f>IF(C752=0,"",INDEX($AP$11:$AP$60,C752))</ns0:f>
        <ns0:v/>
      </ns0:c>
    </ns0:row>
    <ns0:row r="753">
      <ns0:c r="A753" s="0">
        <ns0:f>IF(COUNTA(Bookings!A753:G753,Bookings!I753)=0,0,1)</ns0:f>
        <ns0:v>0</ns0:v>
      </ns0:c>
      <ns0:c r="B753" s="0" t="str">
        <ns0:f>IFERROR(TRIM(MID(Bookings!A753,FIND(" · ",Bookings!A753)+3,99)),"")</ns0:f>
        <ns0:v/>
      </ns0:c>
      <ns0:c r="C753" s="0">
        <ns0:f>IF(OR(B753="",LEN(B753)&gt;24,ISNUMBER(FIND(" ",B753)),ISNUMBER(FIND("*",B753)),ISNUMBER(FIND("?",B753)),ISNUMBER(FIND("~",B753))),0,IFERROR(MATCH(B753,Team!$A$11:$A$60,0),0))</ns0:f>
        <ns0:v>0</ns0:v>
      </ns0:c>
      <ns0:c r="D753" s="0" t="str">
        <ns0:f>IFERROR(IF(MID(Bookings!F753,LEN(Bookings!F753)-3,3)=" · ",RIGHT(Bookings!F753,1),""),"")</ns0:f>
        <ns0:v/>
      </ns0:c>
      <ns0:c r="E753" s="0" t="str">
        <ns0:f>IFERROR(INDEX(Settings!$H$7:$H$11,MATCH(D753,Settings!$G$7:$G$11,0)),"")</ns0:f>
        <ns0:v/>
      </ns0:c>
      <ns0:c r="F753" s="0" t="str">
        <ns0:f>IF(A753=0,"",IFERROR(IF(OR(B753="",C753=0),"CHECK employee selection",IF(INDEX(Team!$O$11:$O$60,C753)&lt;&gt;"OK","CHECK employee setup",IF(OR('_Dates'!J753=0,'_Dates'!T753=0),"CHECK date: use DD.MM.YYYY",IF('_Dates'!T753&lt;'_Dates'!J753,"CHECK end before start",IF(AND($B$6=0,OR('_Dates'!J753&lt;Settings!$B$7,'_Dates'!T753&gt;Settings!$B$8)),"CHECK split across leave years",IF(OR(NOT(OR('_Dates'!U753="Full day",'_Dates'!U753="AM",'_Dates'!U753="PM")),NOT(OR('_Dates'!V753="Full day",'_Dates'!V753="AM",'_Dates'!V753="PM"))),"CHECK Full day / AM / PM",IF(AND('_Dates'!J753='_Dates'!T753,'_Dates'!U753&lt;&gt;"Full day",'_Dates'!V753&lt;&gt;"Full day",'_Dates'!U753&lt;&gt;'_Dates'!V753),"CHECK same-day portions disagree",IF(AND($B$6=0,OR(AND('_Dates'!U753&lt;&gt;"Full day",'_Dates'!AA753=0),AND('_Dates'!V753&lt;&gt;"Full day",'_Dates'!AB753=0))),"CHECK half-day on non-working date",IF(COUNTIF(Settings!$G$7:$G$11,D753)&lt;&gt;1,"CHECK leave type",IF(AND(Bookings!G753&lt;&gt;"Approved",Bookings!G753&lt;&gt;"Pending",Bookings!G753&lt;&gt;"Cancelled"),"CHECK status","OK")))))))))),"CHECK input"))</ns0:f>
        <ns0:v/>
      </ns0:c>
      <ns0:c r="G753" s="0">
        <ns0:f>IF(OR(F753&lt;&gt;"OK",$B$6&gt;0),0,0.5*(IF(('_Dates'!X753)&lt;('_Dates'!W753),0,INT((('_Dates'!X753)-('_Dates'!W753)+1)/7)*LEN(SUBSTITUTE(W753,"O",""))+LEN(SUBSTITUTE(MID(W753&amp;W753,WEEKDAY(('_Dates'!W753),2),MOD((('_Dates'!X753)-('_Dates'!W753)+1),7)),"O",""))-COUNTIFS(INDEX(AllClosureRows,C753,0),"&gt;="&amp;('_Dates'!W753),INDEX(AllClosureRows,C753,0),"&lt;="&amp;('_Dates'!X753)))+IF(('_Dates'!Z753)&lt;('_Dates'!Y753),0,INT((('_Dates'!Z753)-('_Dates'!Y753)+1)/7)*LEN(SUBSTITUTE(W753,"O",""))+LEN(SUBSTITUTE(MID(W753&amp;W753,WEEKDAY(('_Dates'!Y753),2),MOD((('_Dates'!Z753)-('_Dates'!Y753)+1),7)),"O",""))-COUNTIFS(INDEX(AllClosureRows,C753,0),"&gt;="&amp;('_Dates'!Y753),INDEX(AllClosureRows,C753,0),"&lt;="&amp;('_Dates'!Z753)))))</ns0:f>
        <ns0:v>0</ns0:v>
      </ns0:c>
      <ns0:c r="H753" s="0">
        <ns0:f>IF(OR(F753&lt;&gt;"OK",$B$6&gt;0),0,0.5*(IF((MIN('_Dates'!X753,Settings!$B$9))&lt;('_Dates'!W753),0,INT(((MIN('_Dates'!X753,Settings!$B$9))-('_Dates'!W753)+1)/7)*LEN(SUBSTITUTE(W753,"O",""))+LEN(SUBSTITUTE(MID(W753&amp;W753,WEEKDAY(('_Dates'!W753),2),MOD(((MIN('_Dates'!X753,Settings!$B$9))-('_Dates'!W753)+1),7)),"O",""))-COUNTIFS(INDEX(AllClosureRows,C753,0),"&gt;="&amp;('_Dates'!W753),INDEX(AllClosureRows,C753,0),"&lt;="&amp;(MIN('_Dates'!X753,Settings!$B$9))))+IF((MIN('_Dates'!Z753,Settings!$B$9))&lt;('_Dates'!Y753),0,INT(((MIN('_Dates'!Z753,Settings!$B$9))-('_Dates'!Y753)+1)/7)*LEN(SUBSTITUTE(W753,"O",""))+LEN(SUBSTITUTE(MID(W753&amp;W753,WEEKDAY(('_Dates'!Y753),2),MOD(((MIN('_Dates'!Z753,Settings!$B$9))-('_Dates'!Y753)+1),7)),"O",""))-COUNTIFS(INDEX(AllClosureRows,C753,0),"&gt;="&amp;('_Dates'!Y753),INDEX(AllClosureRows,C753,0),"&lt;="&amp;(MIN('_Dates'!Z753,Settings!$B$9))))))</ns0:f>
        <ns0:v>0</ns0:v>
      </ns0:c>
      <ns0:c r="I753" s="0">
        <ns0:f>MAX(0,G753-H753)</ns0:f>
        <ns0:v>0</ns0:v>
      </ns0:c>
      <ns0:c r="J753" s="0">
        <ns0:f>IF(OR(A753=0,F753&lt;&gt;"OK",Bookings!G753="Cancelled",$B$6&gt;0),0,IF('_Dates'!AC753=1,MAX(0,COUNTIFS(rngEngine_B,B753,rngAMStart,"&lt;="&amp;'_Dates'!X753,rngAMEnd,"&gt;="&amp;'_Dates'!W753,rngAMActive,1,rngEngine_F,"OK",rngBookings_F,"&lt;&gt;Cancelled")-1),0)+IF('_Dates'!AD753=1,MAX(0,COUNTIFS(rngEngine_B,B753,rngPMStart,"&lt;="&amp;'_Dates'!Z753,rngPMEnd,"&gt;="&amp;'_Dates'!Y753,rngPMActive,1,rngEngine_F,"OK",rngBookings_F,"&lt;&gt;Cancelled")-1),0))</ns0:f>
        <ns0:v>0</ns0:v>
      </ns0:c>
      <ns0:c r="K753" s="0" t="str">
        <ns0:f>IF(A753=0,"",IF(F753&lt;&gt;"OK",F753,IF(J753&gt;0,"CHECK overlapping entry",IF(AND($B$6=0,G753&lt;=0,Bookings!G753&lt;&gt;"Cancelled"),"CHECK no working days",IF(Bookings!G753="Cancelled","Cancelled","OK")))))</ns0:f>
        <ns0:v/>
      </ns0:c>
      <ns0:c r="L753" s="0">
        <ns0:f>IF(LEFT(K753,5)="CHECK",1,0)</ns0:f>
        <ns0:v>0</ns0:v>
      </ns0:c>
      <ns0:c r="M753" s="0">
        <ns0:f>IF(AND(L753=1,OR(C753=0,IFERROR(INDEX($X$11:$X$60,C753),0)=0)),1,0)</ns0:f>
        <ns0:v>0</ns0:v>
      </ns0:c>
      <ns0:c r="N753" s="0">
        <ns0:f>IF(OR(A753=0,L753&gt;0,$B$6&gt;0,Bookings!G753="Cancelled"),0,G753)</ns0:f>
        <ns0:v>0</ns0:v>
      </ns0:c>
      <ns0:c r="O753" s="0">
        <ns0:f>IF(AND(Bookings!G753="Approved",E753="Yes"),N753,0)</ns0:f>
        <ns0:v>0</ns0:v>
      </ns0:c>
      <ns0:c r="P753" s="0">
        <ns0:f>IF(AND(Bookings!G753="Approved",E753="Yes",L753=0,$B$6=0),H753,0)</ns0:f>
        <ns0:v>0</ns0:v>
      </ns0:c>
      <ns0:c r="Q753" s="0">
        <ns0:f>IF(AND(Bookings!G753="Approved",E753="Yes",L753=0,$B$6=0),I753,0)</ns0:f>
        <ns0:v>0</ns0:v>
      </ns0:c>
      <ns0:c r="R753" s="0">
        <ns0:f>IF(AND(Bookings!G753="Pending",E753="Yes"),N753,0)</ns0:f>
        <ns0:v>0</ns0:v>
      </ns0:c>
      <ns0:c r="S753" s="0">
        <ns0:f>IF(AND(Bookings!G753="Approved",E753="No"),N753,0)</ns0:f>
        <ns0:v>0</ns0:v>
      </ns0:c>
      <ns0:c r="T753" s="0">
        <ns0:f>IFERROR(MATCH(D753,Settings!$G$7:$G$11,0),0)</ns0:f>
        <ns0:v>0</ns0:v>
      </ns0:c>
      <ns0:c r="U753" s="0">
        <ns0:f>IF(N753&gt;0,T753+IF(Bookings!G753="Pending",10,0),0)</ns0:f>
        <ns0:v>0</ns0:v>
      </ns0:c>
      <ns0:c r="V753" s="0">
        <ns0:f>U753</ns0:f>
        <ns0:v>0</ns0:v>
      </ns0:c>
      <ns0:c r="W753" s="0" t="str">
        <ns0:f>IF(C753=0,"",INDEX($AP$11:$AP$60,C753))</ns0:f>
        <ns0:v/>
      </ns0:c>
    </ns0:row>
    <ns0:row r="754">
      <ns0:c r="A754" s="0">
        <ns0:f>IF(COUNTA(Bookings!A754:G754,Bookings!I754)=0,0,1)</ns0:f>
        <ns0:v>0</ns0:v>
      </ns0:c>
      <ns0:c r="B754" s="0" t="str">
        <ns0:f>IFERROR(TRIM(MID(Bookings!A754,FIND(" · ",Bookings!A754)+3,99)),"")</ns0:f>
        <ns0:v/>
      </ns0:c>
      <ns0:c r="C754" s="0">
        <ns0:f>IF(OR(B754="",LEN(B754)&gt;24,ISNUMBER(FIND(" ",B754)),ISNUMBER(FIND("*",B754)),ISNUMBER(FIND("?",B754)),ISNUMBER(FIND("~",B754))),0,IFERROR(MATCH(B754,Team!$A$11:$A$60,0),0))</ns0:f>
        <ns0:v>0</ns0:v>
      </ns0:c>
      <ns0:c r="D754" s="0" t="str">
        <ns0:f>IFERROR(IF(MID(Bookings!F754,LEN(Bookings!F754)-3,3)=" · ",RIGHT(Bookings!F754,1),""),"")</ns0:f>
        <ns0:v/>
      </ns0:c>
      <ns0:c r="E754" s="0" t="str">
        <ns0:f>IFERROR(INDEX(Settings!$H$7:$H$11,MATCH(D754,Settings!$G$7:$G$11,0)),"")</ns0:f>
        <ns0:v/>
      </ns0:c>
      <ns0:c r="F754" s="0" t="str">
        <ns0:f>IF(A754=0,"",IFERROR(IF(OR(B754="",C754=0),"CHECK employee selection",IF(INDEX(Team!$O$11:$O$60,C754)&lt;&gt;"OK","CHECK employee setup",IF(OR('_Dates'!J754=0,'_Dates'!T754=0),"CHECK date: use DD.MM.YYYY",IF('_Dates'!T754&lt;'_Dates'!J754,"CHECK end before start",IF(AND($B$6=0,OR('_Dates'!J754&lt;Settings!$B$7,'_Dates'!T754&gt;Settings!$B$8)),"CHECK split across leave years",IF(OR(NOT(OR('_Dates'!U754="Full day",'_Dates'!U754="AM",'_Dates'!U754="PM")),NOT(OR('_Dates'!V754="Full day",'_Dates'!V754="AM",'_Dates'!V754="PM"))),"CHECK Full day / AM / PM",IF(AND('_Dates'!J754='_Dates'!T754,'_Dates'!U754&lt;&gt;"Full day",'_Dates'!V754&lt;&gt;"Full day",'_Dates'!U754&lt;&gt;'_Dates'!V754),"CHECK same-day portions disagree",IF(AND($B$6=0,OR(AND('_Dates'!U754&lt;&gt;"Full day",'_Dates'!AA754=0),AND('_Dates'!V754&lt;&gt;"Full day",'_Dates'!AB754=0))),"CHECK half-day on non-working date",IF(COUNTIF(Settings!$G$7:$G$11,D754)&lt;&gt;1,"CHECK leave type",IF(AND(Bookings!G754&lt;&gt;"Approved",Bookings!G754&lt;&gt;"Pending",Bookings!G754&lt;&gt;"Cancelled"),"CHECK status","OK")))))))))),"CHECK input"))</ns0:f>
        <ns0:v/>
      </ns0:c>
      <ns0:c r="G754" s="0">
        <ns0:f>IF(OR(F754&lt;&gt;"OK",$B$6&gt;0),0,0.5*(IF(('_Dates'!X754)&lt;('_Dates'!W754),0,INT((('_Dates'!X754)-('_Dates'!W754)+1)/7)*LEN(SUBSTITUTE(W754,"O",""))+LEN(SUBSTITUTE(MID(W754&amp;W754,WEEKDAY(('_Dates'!W754),2),MOD((('_Dates'!X754)-('_Dates'!W754)+1),7)),"O",""))-COUNTIFS(INDEX(AllClosureRows,C754,0),"&gt;="&amp;('_Dates'!W754),INDEX(AllClosureRows,C754,0),"&lt;="&amp;('_Dates'!X754)))+IF(('_Dates'!Z754)&lt;('_Dates'!Y754),0,INT((('_Dates'!Z754)-('_Dates'!Y754)+1)/7)*LEN(SUBSTITUTE(W754,"O",""))+LEN(SUBSTITUTE(MID(W754&amp;W754,WEEKDAY(('_Dates'!Y754),2),MOD((('_Dates'!Z754)-('_Dates'!Y754)+1),7)),"O",""))-COUNTIFS(INDEX(AllClosureRows,C754,0),"&gt;="&amp;('_Dates'!Y754),INDEX(AllClosureRows,C754,0),"&lt;="&amp;('_Dates'!Z754)))))</ns0:f>
        <ns0:v>0</ns0:v>
      </ns0:c>
      <ns0:c r="H754" s="0">
        <ns0:f>IF(OR(F754&lt;&gt;"OK",$B$6&gt;0),0,0.5*(IF((MIN('_Dates'!X754,Settings!$B$9))&lt;('_Dates'!W754),0,INT(((MIN('_Dates'!X754,Settings!$B$9))-('_Dates'!W754)+1)/7)*LEN(SUBSTITUTE(W754,"O",""))+LEN(SUBSTITUTE(MID(W754&amp;W754,WEEKDAY(('_Dates'!W754),2),MOD(((MIN('_Dates'!X754,Settings!$B$9))-('_Dates'!W754)+1),7)),"O",""))-COUNTIFS(INDEX(AllClosureRows,C754,0),"&gt;="&amp;('_Dates'!W754),INDEX(AllClosureRows,C754,0),"&lt;="&amp;(MIN('_Dates'!X754,Settings!$B$9))))+IF((MIN('_Dates'!Z754,Settings!$B$9))&lt;('_Dates'!Y754),0,INT(((MIN('_Dates'!Z754,Settings!$B$9))-('_Dates'!Y754)+1)/7)*LEN(SUBSTITUTE(W754,"O",""))+LEN(SUBSTITUTE(MID(W754&amp;W754,WEEKDAY(('_Dates'!Y754),2),MOD(((MIN('_Dates'!Z754,Settings!$B$9))-('_Dates'!Y754)+1),7)),"O",""))-COUNTIFS(INDEX(AllClosureRows,C754,0),"&gt;="&amp;('_Dates'!Y754),INDEX(AllClosureRows,C754,0),"&lt;="&amp;(MIN('_Dates'!Z754,Settings!$B$9))))))</ns0:f>
        <ns0:v>0</ns0:v>
      </ns0:c>
      <ns0:c r="I754" s="0">
        <ns0:f>MAX(0,G754-H754)</ns0:f>
        <ns0:v>0</ns0:v>
      </ns0:c>
      <ns0:c r="J754" s="0">
        <ns0:f>IF(OR(A754=0,F754&lt;&gt;"OK",Bookings!G754="Cancelled",$B$6&gt;0),0,IF('_Dates'!AC754=1,MAX(0,COUNTIFS(rngEngine_B,B754,rngAMStart,"&lt;="&amp;'_Dates'!X754,rngAMEnd,"&gt;="&amp;'_Dates'!W754,rngAMActive,1,rngEngine_F,"OK",rngBookings_F,"&lt;&gt;Cancelled")-1),0)+IF('_Dates'!AD754=1,MAX(0,COUNTIFS(rngEngine_B,B754,rngPMStart,"&lt;="&amp;'_Dates'!Z754,rngPMEnd,"&gt;="&amp;'_Dates'!Y754,rngPMActive,1,rngEngine_F,"OK",rngBookings_F,"&lt;&gt;Cancelled")-1),0))</ns0:f>
        <ns0:v>0</ns0:v>
      </ns0:c>
      <ns0:c r="K754" s="0" t="str">
        <ns0:f>IF(A754=0,"",IF(F754&lt;&gt;"OK",F754,IF(J754&gt;0,"CHECK overlapping entry",IF(AND($B$6=0,G754&lt;=0,Bookings!G754&lt;&gt;"Cancelled"),"CHECK no working days",IF(Bookings!G754="Cancelled","Cancelled","OK")))))</ns0:f>
        <ns0:v/>
      </ns0:c>
      <ns0:c r="L754" s="0">
        <ns0:f>IF(LEFT(K754,5)="CHECK",1,0)</ns0:f>
        <ns0:v>0</ns0:v>
      </ns0:c>
      <ns0:c r="M754" s="0">
        <ns0:f>IF(AND(L754=1,OR(C754=0,IFERROR(INDEX($X$11:$X$60,C754),0)=0)),1,0)</ns0:f>
        <ns0:v>0</ns0:v>
      </ns0:c>
      <ns0:c r="N754" s="0">
        <ns0:f>IF(OR(A754=0,L754&gt;0,$B$6&gt;0,Bookings!G754="Cancelled"),0,G754)</ns0:f>
        <ns0:v>0</ns0:v>
      </ns0:c>
      <ns0:c r="O754" s="0">
        <ns0:f>IF(AND(Bookings!G754="Approved",E754="Yes"),N754,0)</ns0:f>
        <ns0:v>0</ns0:v>
      </ns0:c>
      <ns0:c r="P754" s="0">
        <ns0:f>IF(AND(Bookings!G754="Approved",E754="Yes",L754=0,$B$6=0),H754,0)</ns0:f>
        <ns0:v>0</ns0:v>
      </ns0:c>
      <ns0:c r="Q754" s="0">
        <ns0:f>IF(AND(Bookings!G754="Approved",E754="Yes",L754=0,$B$6=0),I754,0)</ns0:f>
        <ns0:v>0</ns0:v>
      </ns0:c>
      <ns0:c r="R754" s="0">
        <ns0:f>IF(AND(Bookings!G754="Pending",E754="Yes"),N754,0)</ns0:f>
        <ns0:v>0</ns0:v>
      </ns0:c>
      <ns0:c r="S754" s="0">
        <ns0:f>IF(AND(Bookings!G754="Approved",E754="No"),N754,0)</ns0:f>
        <ns0:v>0</ns0:v>
      </ns0:c>
      <ns0:c r="T754" s="0">
        <ns0:f>IFERROR(MATCH(D754,Settings!$G$7:$G$11,0),0)</ns0:f>
        <ns0:v>0</ns0:v>
      </ns0:c>
      <ns0:c r="U754" s="0">
        <ns0:f>IF(N754&gt;0,T754+IF(Bookings!G754="Pending",10,0),0)</ns0:f>
        <ns0:v>0</ns0:v>
      </ns0:c>
      <ns0:c r="V754" s="0">
        <ns0:f>U754</ns0:f>
        <ns0:v>0</ns0:v>
      </ns0:c>
      <ns0:c r="W754" s="0" t="str">
        <ns0:f>IF(C754=0,"",INDEX($AP$11:$AP$60,C754))</ns0:f>
        <ns0:v/>
      </ns0:c>
    </ns0:row>
    <ns0:row r="755">
      <ns0:c r="A755" s="0">
        <ns0:f>IF(COUNTA(Bookings!A755:G755,Bookings!I755)=0,0,1)</ns0:f>
        <ns0:v>0</ns0:v>
      </ns0:c>
      <ns0:c r="B755" s="0" t="str">
        <ns0:f>IFERROR(TRIM(MID(Bookings!A755,FIND(" · ",Bookings!A755)+3,99)),"")</ns0:f>
        <ns0:v/>
      </ns0:c>
      <ns0:c r="C755" s="0">
        <ns0:f>IF(OR(B755="",LEN(B755)&gt;24,ISNUMBER(FIND(" ",B755)),ISNUMBER(FIND("*",B755)),ISNUMBER(FIND("?",B755)),ISNUMBER(FIND("~",B755))),0,IFERROR(MATCH(B755,Team!$A$11:$A$60,0),0))</ns0:f>
        <ns0:v>0</ns0:v>
      </ns0:c>
      <ns0:c r="D755" s="0" t="str">
        <ns0:f>IFERROR(IF(MID(Bookings!F755,LEN(Bookings!F755)-3,3)=" · ",RIGHT(Bookings!F755,1),""),"")</ns0:f>
        <ns0:v/>
      </ns0:c>
      <ns0:c r="E755" s="0" t="str">
        <ns0:f>IFERROR(INDEX(Settings!$H$7:$H$11,MATCH(D755,Settings!$G$7:$G$11,0)),"")</ns0:f>
        <ns0:v/>
      </ns0:c>
      <ns0:c r="F755" s="0" t="str">
        <ns0:f>IF(A755=0,"",IFERROR(IF(OR(B755="",C755=0),"CHECK employee selection",IF(INDEX(Team!$O$11:$O$60,C755)&lt;&gt;"OK","CHECK employee setup",IF(OR('_Dates'!J755=0,'_Dates'!T755=0),"CHECK date: use DD.MM.YYYY",IF('_Dates'!T755&lt;'_Dates'!J755,"CHECK end before start",IF(AND($B$6=0,OR('_Dates'!J755&lt;Settings!$B$7,'_Dates'!T755&gt;Settings!$B$8)),"CHECK split across leave years",IF(OR(NOT(OR('_Dates'!U755="Full day",'_Dates'!U755="AM",'_Dates'!U755="PM")),NOT(OR('_Dates'!V755="Full day",'_Dates'!V755="AM",'_Dates'!V755="PM"))),"CHECK Full day / AM / PM",IF(AND('_Dates'!J755='_Dates'!T755,'_Dates'!U755&lt;&gt;"Full day",'_Dates'!V755&lt;&gt;"Full day",'_Dates'!U755&lt;&gt;'_Dates'!V755),"CHECK same-day portions disagree",IF(AND($B$6=0,OR(AND('_Dates'!U755&lt;&gt;"Full day",'_Dates'!AA755=0),AND('_Dates'!V755&lt;&gt;"Full day",'_Dates'!AB755=0))),"CHECK half-day on non-working date",IF(COUNTIF(Settings!$G$7:$G$11,D755)&lt;&gt;1,"CHECK leave type",IF(AND(Bookings!G755&lt;&gt;"Approved",Bookings!G755&lt;&gt;"Pending",Bookings!G755&lt;&gt;"Cancelled"),"CHECK status","OK")))))))))),"CHECK input"))</ns0:f>
        <ns0:v/>
      </ns0:c>
      <ns0:c r="G755" s="0">
        <ns0:f>IF(OR(F755&lt;&gt;"OK",$B$6&gt;0),0,0.5*(IF(('_Dates'!X755)&lt;('_Dates'!W755),0,INT((('_Dates'!X755)-('_Dates'!W755)+1)/7)*LEN(SUBSTITUTE(W755,"O",""))+LEN(SUBSTITUTE(MID(W755&amp;W755,WEEKDAY(('_Dates'!W755),2),MOD((('_Dates'!X755)-('_Dates'!W755)+1),7)),"O",""))-COUNTIFS(INDEX(AllClosureRows,C755,0),"&gt;="&amp;('_Dates'!W755),INDEX(AllClosureRows,C755,0),"&lt;="&amp;('_Dates'!X755)))+IF(('_Dates'!Z755)&lt;('_Dates'!Y755),0,INT((('_Dates'!Z755)-('_Dates'!Y755)+1)/7)*LEN(SUBSTITUTE(W755,"O",""))+LEN(SUBSTITUTE(MID(W755&amp;W755,WEEKDAY(('_Dates'!Y755),2),MOD((('_Dates'!Z755)-('_Dates'!Y755)+1),7)),"O",""))-COUNTIFS(INDEX(AllClosureRows,C755,0),"&gt;="&amp;('_Dates'!Y755),INDEX(AllClosureRows,C755,0),"&lt;="&amp;('_Dates'!Z755)))))</ns0:f>
        <ns0:v>0</ns0:v>
      </ns0:c>
      <ns0:c r="H755" s="0">
        <ns0:f>IF(OR(F755&lt;&gt;"OK",$B$6&gt;0),0,0.5*(IF((MIN('_Dates'!X755,Settings!$B$9))&lt;('_Dates'!W755),0,INT(((MIN('_Dates'!X755,Settings!$B$9))-('_Dates'!W755)+1)/7)*LEN(SUBSTITUTE(W755,"O",""))+LEN(SUBSTITUTE(MID(W755&amp;W755,WEEKDAY(('_Dates'!W755),2),MOD(((MIN('_Dates'!X755,Settings!$B$9))-('_Dates'!W755)+1),7)),"O",""))-COUNTIFS(INDEX(AllClosureRows,C755,0),"&gt;="&amp;('_Dates'!W755),INDEX(AllClosureRows,C755,0),"&lt;="&amp;(MIN('_Dates'!X755,Settings!$B$9))))+IF((MIN('_Dates'!Z755,Settings!$B$9))&lt;('_Dates'!Y755),0,INT(((MIN('_Dates'!Z755,Settings!$B$9))-('_Dates'!Y755)+1)/7)*LEN(SUBSTITUTE(W755,"O",""))+LEN(SUBSTITUTE(MID(W755&amp;W755,WEEKDAY(('_Dates'!Y755),2),MOD(((MIN('_Dates'!Z755,Settings!$B$9))-('_Dates'!Y755)+1),7)),"O",""))-COUNTIFS(INDEX(AllClosureRows,C755,0),"&gt;="&amp;('_Dates'!Y755),INDEX(AllClosureRows,C755,0),"&lt;="&amp;(MIN('_Dates'!Z755,Settings!$B$9))))))</ns0:f>
        <ns0:v>0</ns0:v>
      </ns0:c>
      <ns0:c r="I755" s="0">
        <ns0:f>MAX(0,G755-H755)</ns0:f>
        <ns0:v>0</ns0:v>
      </ns0:c>
      <ns0:c r="J755" s="0">
        <ns0:f>IF(OR(A755=0,F755&lt;&gt;"OK",Bookings!G755="Cancelled",$B$6&gt;0),0,IF('_Dates'!AC755=1,MAX(0,COUNTIFS(rngEngine_B,B755,rngAMStart,"&lt;="&amp;'_Dates'!X755,rngAMEnd,"&gt;="&amp;'_Dates'!W755,rngAMActive,1,rngEngine_F,"OK",rngBookings_F,"&lt;&gt;Cancelled")-1),0)+IF('_Dates'!AD755=1,MAX(0,COUNTIFS(rngEngine_B,B755,rngPMStart,"&lt;="&amp;'_Dates'!Z755,rngPMEnd,"&gt;="&amp;'_Dates'!Y755,rngPMActive,1,rngEngine_F,"OK",rngBookings_F,"&lt;&gt;Cancelled")-1),0))</ns0:f>
        <ns0:v>0</ns0:v>
      </ns0:c>
      <ns0:c r="K755" s="0" t="str">
        <ns0:f>IF(A755=0,"",IF(F755&lt;&gt;"OK",F755,IF(J755&gt;0,"CHECK overlapping entry",IF(AND($B$6=0,G755&lt;=0,Bookings!G755&lt;&gt;"Cancelled"),"CHECK no working days",IF(Bookings!G755="Cancelled","Cancelled","OK")))))</ns0:f>
        <ns0:v/>
      </ns0:c>
      <ns0:c r="L755" s="0">
        <ns0:f>IF(LEFT(K755,5)="CHECK",1,0)</ns0:f>
        <ns0:v>0</ns0:v>
      </ns0:c>
      <ns0:c r="M755" s="0">
        <ns0:f>IF(AND(L755=1,OR(C755=0,IFERROR(INDEX($X$11:$X$60,C755),0)=0)),1,0)</ns0:f>
        <ns0:v>0</ns0:v>
      </ns0:c>
      <ns0:c r="N755" s="0">
        <ns0:f>IF(OR(A755=0,L755&gt;0,$B$6&gt;0,Bookings!G755="Cancelled"),0,G755)</ns0:f>
        <ns0:v>0</ns0:v>
      </ns0:c>
      <ns0:c r="O755" s="0">
        <ns0:f>IF(AND(Bookings!G755="Approved",E755="Yes"),N755,0)</ns0:f>
        <ns0:v>0</ns0:v>
      </ns0:c>
      <ns0:c r="P755" s="0">
        <ns0:f>IF(AND(Bookings!G755="Approved",E755="Yes",L755=0,$B$6=0),H755,0)</ns0:f>
        <ns0:v>0</ns0:v>
      </ns0:c>
      <ns0:c r="Q755" s="0">
        <ns0:f>IF(AND(Bookings!G755="Approved",E755="Yes",L755=0,$B$6=0),I755,0)</ns0:f>
        <ns0:v>0</ns0:v>
      </ns0:c>
      <ns0:c r="R755" s="0">
        <ns0:f>IF(AND(Bookings!G755="Pending",E755="Yes"),N755,0)</ns0:f>
        <ns0:v>0</ns0:v>
      </ns0:c>
      <ns0:c r="S755" s="0">
        <ns0:f>IF(AND(Bookings!G755="Approved",E755="No"),N755,0)</ns0:f>
        <ns0:v>0</ns0:v>
      </ns0:c>
      <ns0:c r="T755" s="0">
        <ns0:f>IFERROR(MATCH(D755,Settings!$G$7:$G$11,0),0)</ns0:f>
        <ns0:v>0</ns0:v>
      </ns0:c>
      <ns0:c r="U755" s="0">
        <ns0:f>IF(N755&gt;0,T755+IF(Bookings!G755="Pending",10,0),0)</ns0:f>
        <ns0:v>0</ns0:v>
      </ns0:c>
      <ns0:c r="V755" s="0">
        <ns0:f>U755</ns0:f>
        <ns0:v>0</ns0:v>
      </ns0:c>
      <ns0:c r="W755" s="0" t="str">
        <ns0:f>IF(C755=0,"",INDEX($AP$11:$AP$60,C755))</ns0:f>
        <ns0:v/>
      </ns0:c>
    </ns0:row>
    <ns0:row r="756">
      <ns0:c r="A756" s="0">
        <ns0:f>IF(COUNTA(Bookings!A756:G756,Bookings!I756)=0,0,1)</ns0:f>
        <ns0:v>0</ns0:v>
      </ns0:c>
      <ns0:c r="B756" s="0" t="str">
        <ns0:f>IFERROR(TRIM(MID(Bookings!A756,FIND(" · ",Bookings!A756)+3,99)),"")</ns0:f>
        <ns0:v/>
      </ns0:c>
      <ns0:c r="C756" s="0">
        <ns0:f>IF(OR(B756="",LEN(B756)&gt;24,ISNUMBER(FIND(" ",B756)),ISNUMBER(FIND("*",B756)),ISNUMBER(FIND("?",B756)),ISNUMBER(FIND("~",B756))),0,IFERROR(MATCH(B756,Team!$A$11:$A$60,0),0))</ns0:f>
        <ns0:v>0</ns0:v>
      </ns0:c>
      <ns0:c r="D756" s="0" t="str">
        <ns0:f>IFERROR(IF(MID(Bookings!F756,LEN(Bookings!F756)-3,3)=" · ",RIGHT(Bookings!F756,1),""),"")</ns0:f>
        <ns0:v/>
      </ns0:c>
      <ns0:c r="E756" s="0" t="str">
        <ns0:f>IFERROR(INDEX(Settings!$H$7:$H$11,MATCH(D756,Settings!$G$7:$G$11,0)),"")</ns0:f>
        <ns0:v/>
      </ns0:c>
      <ns0:c r="F756" s="0" t="str">
        <ns0:f>IF(A756=0,"",IFERROR(IF(OR(B756="",C756=0),"CHECK employee selection",IF(INDEX(Team!$O$11:$O$60,C756)&lt;&gt;"OK","CHECK employee setup",IF(OR('_Dates'!J756=0,'_Dates'!T756=0),"CHECK date: use DD.MM.YYYY",IF('_Dates'!T756&lt;'_Dates'!J756,"CHECK end before start",IF(AND($B$6=0,OR('_Dates'!J756&lt;Settings!$B$7,'_Dates'!T756&gt;Settings!$B$8)),"CHECK split across leave years",IF(OR(NOT(OR('_Dates'!U756="Full day",'_Dates'!U756="AM",'_Dates'!U756="PM")),NOT(OR('_Dates'!V756="Full day",'_Dates'!V756="AM",'_Dates'!V756="PM"))),"CHECK Full day / AM / PM",IF(AND('_Dates'!J756='_Dates'!T756,'_Dates'!U756&lt;&gt;"Full day",'_Dates'!V756&lt;&gt;"Full day",'_Dates'!U756&lt;&gt;'_Dates'!V756),"CHECK same-day portions disagree",IF(AND($B$6=0,OR(AND('_Dates'!U756&lt;&gt;"Full day",'_Dates'!AA756=0),AND('_Dates'!V756&lt;&gt;"Full day",'_Dates'!AB756=0))),"CHECK half-day on non-working date",IF(COUNTIF(Settings!$G$7:$G$11,D756)&lt;&gt;1,"CHECK leave type",IF(AND(Bookings!G756&lt;&gt;"Approved",Bookings!G756&lt;&gt;"Pending",Bookings!G756&lt;&gt;"Cancelled"),"CHECK status","OK")))))))))),"CHECK input"))</ns0:f>
        <ns0:v/>
      </ns0:c>
      <ns0:c r="G756" s="0">
        <ns0:f>IF(OR(F756&lt;&gt;"OK",$B$6&gt;0),0,0.5*(IF(('_Dates'!X756)&lt;('_Dates'!W756),0,INT((('_Dates'!X756)-('_Dates'!W756)+1)/7)*LEN(SUBSTITUTE(W756,"O",""))+LEN(SUBSTITUTE(MID(W756&amp;W756,WEEKDAY(('_Dates'!W756),2),MOD((('_Dates'!X756)-('_Dates'!W756)+1),7)),"O",""))-COUNTIFS(INDEX(AllClosureRows,C756,0),"&gt;="&amp;('_Dates'!W756),INDEX(AllClosureRows,C756,0),"&lt;="&amp;('_Dates'!X756)))+IF(('_Dates'!Z756)&lt;('_Dates'!Y756),0,INT((('_Dates'!Z756)-('_Dates'!Y756)+1)/7)*LEN(SUBSTITUTE(W756,"O",""))+LEN(SUBSTITUTE(MID(W756&amp;W756,WEEKDAY(('_Dates'!Y756),2),MOD((('_Dates'!Z756)-('_Dates'!Y756)+1),7)),"O",""))-COUNTIFS(INDEX(AllClosureRows,C756,0),"&gt;="&amp;('_Dates'!Y756),INDEX(AllClosureRows,C756,0),"&lt;="&amp;('_Dates'!Z756)))))</ns0:f>
        <ns0:v>0</ns0:v>
      </ns0:c>
      <ns0:c r="H756" s="0">
        <ns0:f>IF(OR(F756&lt;&gt;"OK",$B$6&gt;0),0,0.5*(IF((MIN('_Dates'!X756,Settings!$B$9))&lt;('_Dates'!W756),0,INT(((MIN('_Dates'!X756,Settings!$B$9))-('_Dates'!W756)+1)/7)*LEN(SUBSTITUTE(W756,"O",""))+LEN(SUBSTITUTE(MID(W756&amp;W756,WEEKDAY(('_Dates'!W756),2),MOD(((MIN('_Dates'!X756,Settings!$B$9))-('_Dates'!W756)+1),7)),"O",""))-COUNTIFS(INDEX(AllClosureRows,C756,0),"&gt;="&amp;('_Dates'!W756),INDEX(AllClosureRows,C756,0),"&lt;="&amp;(MIN('_Dates'!X756,Settings!$B$9))))+IF((MIN('_Dates'!Z756,Settings!$B$9))&lt;('_Dates'!Y756),0,INT(((MIN('_Dates'!Z756,Settings!$B$9))-('_Dates'!Y756)+1)/7)*LEN(SUBSTITUTE(W756,"O",""))+LEN(SUBSTITUTE(MID(W756&amp;W756,WEEKDAY(('_Dates'!Y756),2),MOD(((MIN('_Dates'!Z756,Settings!$B$9))-('_Dates'!Y756)+1),7)),"O",""))-COUNTIFS(INDEX(AllClosureRows,C756,0),"&gt;="&amp;('_Dates'!Y756),INDEX(AllClosureRows,C756,0),"&lt;="&amp;(MIN('_Dates'!Z756,Settings!$B$9))))))</ns0:f>
        <ns0:v>0</ns0:v>
      </ns0:c>
      <ns0:c r="I756" s="0">
        <ns0:f>MAX(0,G756-H756)</ns0:f>
        <ns0:v>0</ns0:v>
      </ns0:c>
      <ns0:c r="J756" s="0">
        <ns0:f>IF(OR(A756=0,F756&lt;&gt;"OK",Bookings!G756="Cancelled",$B$6&gt;0),0,IF('_Dates'!AC756=1,MAX(0,COUNTIFS(rngEngine_B,B756,rngAMStart,"&lt;="&amp;'_Dates'!X756,rngAMEnd,"&gt;="&amp;'_Dates'!W756,rngAMActive,1,rngEngine_F,"OK",rngBookings_F,"&lt;&gt;Cancelled")-1),0)+IF('_Dates'!AD756=1,MAX(0,COUNTIFS(rngEngine_B,B756,rngPMStart,"&lt;="&amp;'_Dates'!Z756,rngPMEnd,"&gt;="&amp;'_Dates'!Y756,rngPMActive,1,rngEngine_F,"OK",rngBookings_F,"&lt;&gt;Cancelled")-1),0))</ns0:f>
        <ns0:v>0</ns0:v>
      </ns0:c>
      <ns0:c r="K756" s="0" t="str">
        <ns0:f>IF(A756=0,"",IF(F756&lt;&gt;"OK",F756,IF(J756&gt;0,"CHECK overlapping entry",IF(AND($B$6=0,G756&lt;=0,Bookings!G756&lt;&gt;"Cancelled"),"CHECK no working days",IF(Bookings!G756="Cancelled","Cancelled","OK")))))</ns0:f>
        <ns0:v/>
      </ns0:c>
      <ns0:c r="L756" s="0">
        <ns0:f>IF(LEFT(K756,5)="CHECK",1,0)</ns0:f>
        <ns0:v>0</ns0:v>
      </ns0:c>
      <ns0:c r="M756" s="0">
        <ns0:f>IF(AND(L756=1,OR(C756=0,IFERROR(INDEX($X$11:$X$60,C756),0)=0)),1,0)</ns0:f>
        <ns0:v>0</ns0:v>
      </ns0:c>
      <ns0:c r="N756" s="0">
        <ns0:f>IF(OR(A756=0,L756&gt;0,$B$6&gt;0,Bookings!G756="Cancelled"),0,G756)</ns0:f>
        <ns0:v>0</ns0:v>
      </ns0:c>
      <ns0:c r="O756" s="0">
        <ns0:f>IF(AND(Bookings!G756="Approved",E756="Yes"),N756,0)</ns0:f>
        <ns0:v>0</ns0:v>
      </ns0:c>
      <ns0:c r="P756" s="0">
        <ns0:f>IF(AND(Bookings!G756="Approved",E756="Yes",L756=0,$B$6=0),H756,0)</ns0:f>
        <ns0:v>0</ns0:v>
      </ns0:c>
      <ns0:c r="Q756" s="0">
        <ns0:f>IF(AND(Bookings!G756="Approved",E756="Yes",L756=0,$B$6=0),I756,0)</ns0:f>
        <ns0:v>0</ns0:v>
      </ns0:c>
      <ns0:c r="R756" s="0">
        <ns0:f>IF(AND(Bookings!G756="Pending",E756="Yes"),N756,0)</ns0:f>
        <ns0:v>0</ns0:v>
      </ns0:c>
      <ns0:c r="S756" s="0">
        <ns0:f>IF(AND(Bookings!G756="Approved",E756="No"),N756,0)</ns0:f>
        <ns0:v>0</ns0:v>
      </ns0:c>
      <ns0:c r="T756" s="0">
        <ns0:f>IFERROR(MATCH(D756,Settings!$G$7:$G$11,0),0)</ns0:f>
        <ns0:v>0</ns0:v>
      </ns0:c>
      <ns0:c r="U756" s="0">
        <ns0:f>IF(N756&gt;0,T756+IF(Bookings!G756="Pending",10,0),0)</ns0:f>
        <ns0:v>0</ns0:v>
      </ns0:c>
      <ns0:c r="V756" s="0">
        <ns0:f>U756</ns0:f>
        <ns0:v>0</ns0:v>
      </ns0:c>
      <ns0:c r="W756" s="0" t="str">
        <ns0:f>IF(C756=0,"",INDEX($AP$11:$AP$60,C756))</ns0:f>
        <ns0:v/>
      </ns0:c>
    </ns0:row>
    <ns0:row r="757">
      <ns0:c r="A757" s="0">
        <ns0:f>IF(COUNTA(Bookings!A757:G757,Bookings!I757)=0,0,1)</ns0:f>
        <ns0:v>0</ns0:v>
      </ns0:c>
      <ns0:c r="B757" s="0" t="str">
        <ns0:f>IFERROR(TRIM(MID(Bookings!A757,FIND(" · ",Bookings!A757)+3,99)),"")</ns0:f>
        <ns0:v/>
      </ns0:c>
      <ns0:c r="C757" s="0">
        <ns0:f>IF(OR(B757="",LEN(B757)&gt;24,ISNUMBER(FIND(" ",B757)),ISNUMBER(FIND("*",B757)),ISNUMBER(FIND("?",B757)),ISNUMBER(FIND("~",B757))),0,IFERROR(MATCH(B757,Team!$A$11:$A$60,0),0))</ns0:f>
        <ns0:v>0</ns0:v>
      </ns0:c>
      <ns0:c r="D757" s="0" t="str">
        <ns0:f>IFERROR(IF(MID(Bookings!F757,LEN(Bookings!F757)-3,3)=" · ",RIGHT(Bookings!F757,1),""),"")</ns0:f>
        <ns0:v/>
      </ns0:c>
      <ns0:c r="E757" s="0" t="str">
        <ns0:f>IFERROR(INDEX(Settings!$H$7:$H$11,MATCH(D757,Settings!$G$7:$G$11,0)),"")</ns0:f>
        <ns0:v/>
      </ns0:c>
      <ns0:c r="F757" s="0" t="str">
        <ns0:f>IF(A757=0,"",IFERROR(IF(OR(B757="",C757=0),"CHECK employee selection",IF(INDEX(Team!$O$11:$O$60,C757)&lt;&gt;"OK","CHECK employee setup",IF(OR('_Dates'!J757=0,'_Dates'!T757=0),"CHECK date: use DD.MM.YYYY",IF('_Dates'!T757&lt;'_Dates'!J757,"CHECK end before start",IF(AND($B$6=0,OR('_Dates'!J757&lt;Settings!$B$7,'_Dates'!T757&gt;Settings!$B$8)),"CHECK split across leave years",IF(OR(NOT(OR('_Dates'!U757="Full day",'_Dates'!U757="AM",'_Dates'!U757="PM")),NOT(OR('_Dates'!V757="Full day",'_Dates'!V757="AM",'_Dates'!V757="PM"))),"CHECK Full day / AM / PM",IF(AND('_Dates'!J757='_Dates'!T757,'_Dates'!U757&lt;&gt;"Full day",'_Dates'!V757&lt;&gt;"Full day",'_Dates'!U757&lt;&gt;'_Dates'!V757),"CHECK same-day portions disagree",IF(AND($B$6=0,OR(AND('_Dates'!U757&lt;&gt;"Full day",'_Dates'!AA757=0),AND('_Dates'!V757&lt;&gt;"Full day",'_Dates'!AB757=0))),"CHECK half-day on non-working date",IF(COUNTIF(Settings!$G$7:$G$11,D757)&lt;&gt;1,"CHECK leave type",IF(AND(Bookings!G757&lt;&gt;"Approved",Bookings!G757&lt;&gt;"Pending",Bookings!G757&lt;&gt;"Cancelled"),"CHECK status","OK")))))))))),"CHECK input"))</ns0:f>
        <ns0:v/>
      </ns0:c>
      <ns0:c r="G757" s="0">
        <ns0:f>IF(OR(F757&lt;&gt;"OK",$B$6&gt;0),0,0.5*(IF(('_Dates'!X757)&lt;('_Dates'!W757),0,INT((('_Dates'!X757)-('_Dates'!W757)+1)/7)*LEN(SUBSTITUTE(W757,"O",""))+LEN(SUBSTITUTE(MID(W757&amp;W757,WEEKDAY(('_Dates'!W757),2),MOD((('_Dates'!X757)-('_Dates'!W757)+1),7)),"O",""))-COUNTIFS(INDEX(AllClosureRows,C757,0),"&gt;="&amp;('_Dates'!W757),INDEX(AllClosureRows,C757,0),"&lt;="&amp;('_Dates'!X757)))+IF(('_Dates'!Z757)&lt;('_Dates'!Y757),0,INT((('_Dates'!Z757)-('_Dates'!Y757)+1)/7)*LEN(SUBSTITUTE(W757,"O",""))+LEN(SUBSTITUTE(MID(W757&amp;W757,WEEKDAY(('_Dates'!Y757),2),MOD((('_Dates'!Z757)-('_Dates'!Y757)+1),7)),"O",""))-COUNTIFS(INDEX(AllClosureRows,C757,0),"&gt;="&amp;('_Dates'!Y757),INDEX(AllClosureRows,C757,0),"&lt;="&amp;('_Dates'!Z757)))))</ns0:f>
        <ns0:v>0</ns0:v>
      </ns0:c>
      <ns0:c r="H757" s="0">
        <ns0:f>IF(OR(F757&lt;&gt;"OK",$B$6&gt;0),0,0.5*(IF((MIN('_Dates'!X757,Settings!$B$9))&lt;('_Dates'!W757),0,INT(((MIN('_Dates'!X757,Settings!$B$9))-('_Dates'!W757)+1)/7)*LEN(SUBSTITUTE(W757,"O",""))+LEN(SUBSTITUTE(MID(W757&amp;W757,WEEKDAY(('_Dates'!W757),2),MOD(((MIN('_Dates'!X757,Settings!$B$9))-('_Dates'!W757)+1),7)),"O",""))-COUNTIFS(INDEX(AllClosureRows,C757,0),"&gt;="&amp;('_Dates'!W757),INDEX(AllClosureRows,C757,0),"&lt;="&amp;(MIN('_Dates'!X757,Settings!$B$9))))+IF((MIN('_Dates'!Z757,Settings!$B$9))&lt;('_Dates'!Y757),0,INT(((MIN('_Dates'!Z757,Settings!$B$9))-('_Dates'!Y757)+1)/7)*LEN(SUBSTITUTE(W757,"O",""))+LEN(SUBSTITUTE(MID(W757&amp;W757,WEEKDAY(('_Dates'!Y757),2),MOD(((MIN('_Dates'!Z757,Settings!$B$9))-('_Dates'!Y757)+1),7)),"O",""))-COUNTIFS(INDEX(AllClosureRows,C757,0),"&gt;="&amp;('_Dates'!Y757),INDEX(AllClosureRows,C757,0),"&lt;="&amp;(MIN('_Dates'!Z757,Settings!$B$9))))))</ns0:f>
        <ns0:v>0</ns0:v>
      </ns0:c>
      <ns0:c r="I757" s="0">
        <ns0:f>MAX(0,G757-H757)</ns0:f>
        <ns0:v>0</ns0:v>
      </ns0:c>
      <ns0:c r="J757" s="0">
        <ns0:f>IF(OR(A757=0,F757&lt;&gt;"OK",Bookings!G757="Cancelled",$B$6&gt;0),0,IF('_Dates'!AC757=1,MAX(0,COUNTIFS(rngEngine_B,B757,rngAMStart,"&lt;="&amp;'_Dates'!X757,rngAMEnd,"&gt;="&amp;'_Dates'!W757,rngAMActive,1,rngEngine_F,"OK",rngBookings_F,"&lt;&gt;Cancelled")-1),0)+IF('_Dates'!AD757=1,MAX(0,COUNTIFS(rngEngine_B,B757,rngPMStart,"&lt;="&amp;'_Dates'!Z757,rngPMEnd,"&gt;="&amp;'_Dates'!Y757,rngPMActive,1,rngEngine_F,"OK",rngBookings_F,"&lt;&gt;Cancelled")-1),0))</ns0:f>
        <ns0:v>0</ns0:v>
      </ns0:c>
      <ns0:c r="K757" s="0" t="str">
        <ns0:f>IF(A757=0,"",IF(F757&lt;&gt;"OK",F757,IF(J757&gt;0,"CHECK overlapping entry",IF(AND($B$6=0,G757&lt;=0,Bookings!G757&lt;&gt;"Cancelled"),"CHECK no working days",IF(Bookings!G757="Cancelled","Cancelled","OK")))))</ns0:f>
        <ns0:v/>
      </ns0:c>
      <ns0:c r="L757" s="0">
        <ns0:f>IF(LEFT(K757,5)="CHECK",1,0)</ns0:f>
        <ns0:v>0</ns0:v>
      </ns0:c>
      <ns0:c r="M757" s="0">
        <ns0:f>IF(AND(L757=1,OR(C757=0,IFERROR(INDEX($X$11:$X$60,C757),0)=0)),1,0)</ns0:f>
        <ns0:v>0</ns0:v>
      </ns0:c>
      <ns0:c r="N757" s="0">
        <ns0:f>IF(OR(A757=0,L757&gt;0,$B$6&gt;0,Bookings!G757="Cancelled"),0,G757)</ns0:f>
        <ns0:v>0</ns0:v>
      </ns0:c>
      <ns0:c r="O757" s="0">
        <ns0:f>IF(AND(Bookings!G757="Approved",E757="Yes"),N757,0)</ns0:f>
        <ns0:v>0</ns0:v>
      </ns0:c>
      <ns0:c r="P757" s="0">
        <ns0:f>IF(AND(Bookings!G757="Approved",E757="Yes",L757=0,$B$6=0),H757,0)</ns0:f>
        <ns0:v>0</ns0:v>
      </ns0:c>
      <ns0:c r="Q757" s="0">
        <ns0:f>IF(AND(Bookings!G757="Approved",E757="Yes",L757=0,$B$6=0),I757,0)</ns0:f>
        <ns0:v>0</ns0:v>
      </ns0:c>
      <ns0:c r="R757" s="0">
        <ns0:f>IF(AND(Bookings!G757="Pending",E757="Yes"),N757,0)</ns0:f>
        <ns0:v>0</ns0:v>
      </ns0:c>
      <ns0:c r="S757" s="0">
        <ns0:f>IF(AND(Bookings!G757="Approved",E757="No"),N757,0)</ns0:f>
        <ns0:v>0</ns0:v>
      </ns0:c>
      <ns0:c r="T757" s="0">
        <ns0:f>IFERROR(MATCH(D757,Settings!$G$7:$G$11,0),0)</ns0:f>
        <ns0:v>0</ns0:v>
      </ns0:c>
      <ns0:c r="U757" s="0">
        <ns0:f>IF(N757&gt;0,T757+IF(Bookings!G757="Pending",10,0),0)</ns0:f>
        <ns0:v>0</ns0:v>
      </ns0:c>
      <ns0:c r="V757" s="0">
        <ns0:f>U757</ns0:f>
        <ns0:v>0</ns0:v>
      </ns0:c>
      <ns0:c r="W757" s="0" t="str">
        <ns0:f>IF(C757=0,"",INDEX($AP$11:$AP$60,C757))</ns0:f>
        <ns0:v/>
      </ns0:c>
    </ns0:row>
    <ns0:row r="758">
      <ns0:c r="A758" s="0">
        <ns0:f>IF(COUNTA(Bookings!A758:G758,Bookings!I758)=0,0,1)</ns0:f>
        <ns0:v>0</ns0:v>
      </ns0:c>
      <ns0:c r="B758" s="0" t="str">
        <ns0:f>IFERROR(TRIM(MID(Bookings!A758,FIND(" · ",Bookings!A758)+3,99)),"")</ns0:f>
        <ns0:v/>
      </ns0:c>
      <ns0:c r="C758" s="0">
        <ns0:f>IF(OR(B758="",LEN(B758)&gt;24,ISNUMBER(FIND(" ",B758)),ISNUMBER(FIND("*",B758)),ISNUMBER(FIND("?",B758)),ISNUMBER(FIND("~",B758))),0,IFERROR(MATCH(B758,Team!$A$11:$A$60,0),0))</ns0:f>
        <ns0:v>0</ns0:v>
      </ns0:c>
      <ns0:c r="D758" s="0" t="str">
        <ns0:f>IFERROR(IF(MID(Bookings!F758,LEN(Bookings!F758)-3,3)=" · ",RIGHT(Bookings!F758,1),""),"")</ns0:f>
        <ns0:v/>
      </ns0:c>
      <ns0:c r="E758" s="0" t="str">
        <ns0:f>IFERROR(INDEX(Settings!$H$7:$H$11,MATCH(D758,Settings!$G$7:$G$11,0)),"")</ns0:f>
        <ns0:v/>
      </ns0:c>
      <ns0:c r="F758" s="0" t="str">
        <ns0:f>IF(A758=0,"",IFERROR(IF(OR(B758="",C758=0),"CHECK employee selection",IF(INDEX(Team!$O$11:$O$60,C758)&lt;&gt;"OK","CHECK employee setup",IF(OR('_Dates'!J758=0,'_Dates'!T758=0),"CHECK date: use DD.MM.YYYY",IF('_Dates'!T758&lt;'_Dates'!J758,"CHECK end before start",IF(AND($B$6=0,OR('_Dates'!J758&lt;Settings!$B$7,'_Dates'!T758&gt;Settings!$B$8)),"CHECK split across leave years",IF(OR(NOT(OR('_Dates'!U758="Full day",'_Dates'!U758="AM",'_Dates'!U758="PM")),NOT(OR('_Dates'!V758="Full day",'_Dates'!V758="AM",'_Dates'!V758="PM"))),"CHECK Full day / AM / PM",IF(AND('_Dates'!J758='_Dates'!T758,'_Dates'!U758&lt;&gt;"Full day",'_Dates'!V758&lt;&gt;"Full day",'_Dates'!U758&lt;&gt;'_Dates'!V758),"CHECK same-day portions disagree",IF(AND($B$6=0,OR(AND('_Dates'!U758&lt;&gt;"Full day",'_Dates'!AA758=0),AND('_Dates'!V758&lt;&gt;"Full day",'_Dates'!AB758=0))),"CHECK half-day on non-working date",IF(COUNTIF(Settings!$G$7:$G$11,D758)&lt;&gt;1,"CHECK leave type",IF(AND(Bookings!G758&lt;&gt;"Approved",Bookings!G758&lt;&gt;"Pending",Bookings!G758&lt;&gt;"Cancelled"),"CHECK status","OK")))))))))),"CHECK input"))</ns0:f>
        <ns0:v/>
      </ns0:c>
      <ns0:c r="G758" s="0">
        <ns0:f>IF(OR(F758&lt;&gt;"OK",$B$6&gt;0),0,0.5*(IF(('_Dates'!X758)&lt;('_Dates'!W758),0,INT((('_Dates'!X758)-('_Dates'!W758)+1)/7)*LEN(SUBSTITUTE(W758,"O",""))+LEN(SUBSTITUTE(MID(W758&amp;W758,WEEKDAY(('_Dates'!W758),2),MOD((('_Dates'!X758)-('_Dates'!W758)+1),7)),"O",""))-COUNTIFS(INDEX(AllClosureRows,C758,0),"&gt;="&amp;('_Dates'!W758),INDEX(AllClosureRows,C758,0),"&lt;="&amp;('_Dates'!X758)))+IF(('_Dates'!Z758)&lt;('_Dates'!Y758),0,INT((('_Dates'!Z758)-('_Dates'!Y758)+1)/7)*LEN(SUBSTITUTE(W758,"O",""))+LEN(SUBSTITUTE(MID(W758&amp;W758,WEEKDAY(('_Dates'!Y758),2),MOD((('_Dates'!Z758)-('_Dates'!Y758)+1),7)),"O",""))-COUNTIFS(INDEX(AllClosureRows,C758,0),"&gt;="&amp;('_Dates'!Y758),INDEX(AllClosureRows,C758,0),"&lt;="&amp;('_Dates'!Z758)))))</ns0:f>
        <ns0:v>0</ns0:v>
      </ns0:c>
      <ns0:c r="H758" s="0">
        <ns0:f>IF(OR(F758&lt;&gt;"OK",$B$6&gt;0),0,0.5*(IF((MIN('_Dates'!X758,Settings!$B$9))&lt;('_Dates'!W758),0,INT(((MIN('_Dates'!X758,Settings!$B$9))-('_Dates'!W758)+1)/7)*LEN(SUBSTITUTE(W758,"O",""))+LEN(SUBSTITUTE(MID(W758&amp;W758,WEEKDAY(('_Dates'!W758),2),MOD(((MIN('_Dates'!X758,Settings!$B$9))-('_Dates'!W758)+1),7)),"O",""))-COUNTIFS(INDEX(AllClosureRows,C758,0),"&gt;="&amp;('_Dates'!W758),INDEX(AllClosureRows,C758,0),"&lt;="&amp;(MIN('_Dates'!X758,Settings!$B$9))))+IF((MIN('_Dates'!Z758,Settings!$B$9))&lt;('_Dates'!Y758),0,INT(((MIN('_Dates'!Z758,Settings!$B$9))-('_Dates'!Y758)+1)/7)*LEN(SUBSTITUTE(W758,"O",""))+LEN(SUBSTITUTE(MID(W758&amp;W758,WEEKDAY(('_Dates'!Y758),2),MOD(((MIN('_Dates'!Z758,Settings!$B$9))-('_Dates'!Y758)+1),7)),"O",""))-COUNTIFS(INDEX(AllClosureRows,C758,0),"&gt;="&amp;('_Dates'!Y758),INDEX(AllClosureRows,C758,0),"&lt;="&amp;(MIN('_Dates'!Z758,Settings!$B$9))))))</ns0:f>
        <ns0:v>0</ns0:v>
      </ns0:c>
      <ns0:c r="I758" s="0">
        <ns0:f>MAX(0,G758-H758)</ns0:f>
        <ns0:v>0</ns0:v>
      </ns0:c>
      <ns0:c r="J758" s="0">
        <ns0:f>IF(OR(A758=0,F758&lt;&gt;"OK",Bookings!G758="Cancelled",$B$6&gt;0),0,IF('_Dates'!AC758=1,MAX(0,COUNTIFS(rngEngine_B,B758,rngAMStart,"&lt;="&amp;'_Dates'!X758,rngAMEnd,"&gt;="&amp;'_Dates'!W758,rngAMActive,1,rngEngine_F,"OK",rngBookings_F,"&lt;&gt;Cancelled")-1),0)+IF('_Dates'!AD758=1,MAX(0,COUNTIFS(rngEngine_B,B758,rngPMStart,"&lt;="&amp;'_Dates'!Z758,rngPMEnd,"&gt;="&amp;'_Dates'!Y758,rngPMActive,1,rngEngine_F,"OK",rngBookings_F,"&lt;&gt;Cancelled")-1),0))</ns0:f>
        <ns0:v>0</ns0:v>
      </ns0:c>
      <ns0:c r="K758" s="0" t="str">
        <ns0:f>IF(A758=0,"",IF(F758&lt;&gt;"OK",F758,IF(J758&gt;0,"CHECK overlapping entry",IF(AND($B$6=0,G758&lt;=0,Bookings!G758&lt;&gt;"Cancelled"),"CHECK no working days",IF(Bookings!G758="Cancelled","Cancelled","OK")))))</ns0:f>
        <ns0:v/>
      </ns0:c>
      <ns0:c r="L758" s="0">
        <ns0:f>IF(LEFT(K758,5)="CHECK",1,0)</ns0:f>
        <ns0:v>0</ns0:v>
      </ns0:c>
      <ns0:c r="M758" s="0">
        <ns0:f>IF(AND(L758=1,OR(C758=0,IFERROR(INDEX($X$11:$X$60,C758),0)=0)),1,0)</ns0:f>
        <ns0:v>0</ns0:v>
      </ns0:c>
      <ns0:c r="N758" s="0">
        <ns0:f>IF(OR(A758=0,L758&gt;0,$B$6&gt;0,Bookings!G758="Cancelled"),0,G758)</ns0:f>
        <ns0:v>0</ns0:v>
      </ns0:c>
      <ns0:c r="O758" s="0">
        <ns0:f>IF(AND(Bookings!G758="Approved",E758="Yes"),N758,0)</ns0:f>
        <ns0:v>0</ns0:v>
      </ns0:c>
      <ns0:c r="P758" s="0">
        <ns0:f>IF(AND(Bookings!G758="Approved",E758="Yes",L758=0,$B$6=0),H758,0)</ns0:f>
        <ns0:v>0</ns0:v>
      </ns0:c>
      <ns0:c r="Q758" s="0">
        <ns0:f>IF(AND(Bookings!G758="Approved",E758="Yes",L758=0,$B$6=0),I758,0)</ns0:f>
        <ns0:v>0</ns0:v>
      </ns0:c>
      <ns0:c r="R758" s="0">
        <ns0:f>IF(AND(Bookings!G758="Pending",E758="Yes"),N758,0)</ns0:f>
        <ns0:v>0</ns0:v>
      </ns0:c>
      <ns0:c r="S758" s="0">
        <ns0:f>IF(AND(Bookings!G758="Approved",E758="No"),N758,0)</ns0:f>
        <ns0:v>0</ns0:v>
      </ns0:c>
      <ns0:c r="T758" s="0">
        <ns0:f>IFERROR(MATCH(D758,Settings!$G$7:$G$11,0),0)</ns0:f>
        <ns0:v>0</ns0:v>
      </ns0:c>
      <ns0:c r="U758" s="0">
        <ns0:f>IF(N758&gt;0,T758+IF(Bookings!G758="Pending",10,0),0)</ns0:f>
        <ns0:v>0</ns0:v>
      </ns0:c>
      <ns0:c r="V758" s="0">
        <ns0:f>U758</ns0:f>
        <ns0:v>0</ns0:v>
      </ns0:c>
      <ns0:c r="W758" s="0" t="str">
        <ns0:f>IF(C758=0,"",INDEX($AP$11:$AP$60,C758))</ns0:f>
        <ns0:v/>
      </ns0:c>
    </ns0:row>
    <ns0:row r="759">
      <ns0:c r="A759" s="0">
        <ns0:f>IF(COUNTA(Bookings!A759:G759,Bookings!I759)=0,0,1)</ns0:f>
        <ns0:v>0</ns0:v>
      </ns0:c>
      <ns0:c r="B759" s="0" t="str">
        <ns0:f>IFERROR(TRIM(MID(Bookings!A759,FIND(" · ",Bookings!A759)+3,99)),"")</ns0:f>
        <ns0:v/>
      </ns0:c>
      <ns0:c r="C759" s="0">
        <ns0:f>IF(OR(B759="",LEN(B759)&gt;24,ISNUMBER(FIND(" ",B759)),ISNUMBER(FIND("*",B759)),ISNUMBER(FIND("?",B759)),ISNUMBER(FIND("~",B759))),0,IFERROR(MATCH(B759,Team!$A$11:$A$60,0),0))</ns0:f>
        <ns0:v>0</ns0:v>
      </ns0:c>
      <ns0:c r="D759" s="0" t="str">
        <ns0:f>IFERROR(IF(MID(Bookings!F759,LEN(Bookings!F759)-3,3)=" · ",RIGHT(Bookings!F759,1),""),"")</ns0:f>
        <ns0:v/>
      </ns0:c>
      <ns0:c r="E759" s="0" t="str">
        <ns0:f>IFERROR(INDEX(Settings!$H$7:$H$11,MATCH(D759,Settings!$G$7:$G$11,0)),"")</ns0:f>
        <ns0:v/>
      </ns0:c>
      <ns0:c r="F759" s="0" t="str">
        <ns0:f>IF(A759=0,"",IFERROR(IF(OR(B759="",C759=0),"CHECK employee selection",IF(INDEX(Team!$O$11:$O$60,C759)&lt;&gt;"OK","CHECK employee setup",IF(OR('_Dates'!J759=0,'_Dates'!T759=0),"CHECK date: use DD.MM.YYYY",IF('_Dates'!T759&lt;'_Dates'!J759,"CHECK end before start",IF(AND($B$6=0,OR('_Dates'!J759&lt;Settings!$B$7,'_Dates'!T759&gt;Settings!$B$8)),"CHECK split across leave years",IF(OR(NOT(OR('_Dates'!U759="Full day",'_Dates'!U759="AM",'_Dates'!U759="PM")),NOT(OR('_Dates'!V759="Full day",'_Dates'!V759="AM",'_Dates'!V759="PM"))),"CHECK Full day / AM / PM",IF(AND('_Dates'!J759='_Dates'!T759,'_Dates'!U759&lt;&gt;"Full day",'_Dates'!V759&lt;&gt;"Full day",'_Dates'!U759&lt;&gt;'_Dates'!V759),"CHECK same-day portions disagree",IF(AND($B$6=0,OR(AND('_Dates'!U759&lt;&gt;"Full day",'_Dates'!AA759=0),AND('_Dates'!V759&lt;&gt;"Full day",'_Dates'!AB759=0))),"CHECK half-day on non-working date",IF(COUNTIF(Settings!$G$7:$G$11,D759)&lt;&gt;1,"CHECK leave type",IF(AND(Bookings!G759&lt;&gt;"Approved",Bookings!G759&lt;&gt;"Pending",Bookings!G759&lt;&gt;"Cancelled"),"CHECK status","OK")))))))))),"CHECK input"))</ns0:f>
        <ns0:v/>
      </ns0:c>
      <ns0:c r="G759" s="0">
        <ns0:f>IF(OR(F759&lt;&gt;"OK",$B$6&gt;0),0,0.5*(IF(('_Dates'!X759)&lt;('_Dates'!W759),0,INT((('_Dates'!X759)-('_Dates'!W759)+1)/7)*LEN(SUBSTITUTE(W759,"O",""))+LEN(SUBSTITUTE(MID(W759&amp;W759,WEEKDAY(('_Dates'!W759),2),MOD((('_Dates'!X759)-('_Dates'!W759)+1),7)),"O",""))-COUNTIFS(INDEX(AllClosureRows,C759,0),"&gt;="&amp;('_Dates'!W759),INDEX(AllClosureRows,C759,0),"&lt;="&amp;('_Dates'!X759)))+IF(('_Dates'!Z759)&lt;('_Dates'!Y759),0,INT((('_Dates'!Z759)-('_Dates'!Y759)+1)/7)*LEN(SUBSTITUTE(W759,"O",""))+LEN(SUBSTITUTE(MID(W759&amp;W759,WEEKDAY(('_Dates'!Y759),2),MOD((('_Dates'!Z759)-('_Dates'!Y759)+1),7)),"O",""))-COUNTIFS(INDEX(AllClosureRows,C759,0),"&gt;="&amp;('_Dates'!Y759),INDEX(AllClosureRows,C759,0),"&lt;="&amp;('_Dates'!Z759)))))</ns0:f>
        <ns0:v>0</ns0:v>
      </ns0:c>
      <ns0:c r="H759" s="0">
        <ns0:f>IF(OR(F759&lt;&gt;"OK",$B$6&gt;0),0,0.5*(IF((MIN('_Dates'!X759,Settings!$B$9))&lt;('_Dates'!W759),0,INT(((MIN('_Dates'!X759,Settings!$B$9))-('_Dates'!W759)+1)/7)*LEN(SUBSTITUTE(W759,"O",""))+LEN(SUBSTITUTE(MID(W759&amp;W759,WEEKDAY(('_Dates'!W759),2),MOD(((MIN('_Dates'!X759,Settings!$B$9))-('_Dates'!W759)+1),7)),"O",""))-COUNTIFS(INDEX(AllClosureRows,C759,0),"&gt;="&amp;('_Dates'!W759),INDEX(AllClosureRows,C759,0),"&lt;="&amp;(MIN('_Dates'!X759,Settings!$B$9))))+IF((MIN('_Dates'!Z759,Settings!$B$9))&lt;('_Dates'!Y759),0,INT(((MIN('_Dates'!Z759,Settings!$B$9))-('_Dates'!Y759)+1)/7)*LEN(SUBSTITUTE(W759,"O",""))+LEN(SUBSTITUTE(MID(W759&amp;W759,WEEKDAY(('_Dates'!Y759),2),MOD(((MIN('_Dates'!Z759,Settings!$B$9))-('_Dates'!Y759)+1),7)),"O",""))-COUNTIFS(INDEX(AllClosureRows,C759,0),"&gt;="&amp;('_Dates'!Y759),INDEX(AllClosureRows,C759,0),"&lt;="&amp;(MIN('_Dates'!Z759,Settings!$B$9))))))</ns0:f>
        <ns0:v>0</ns0:v>
      </ns0:c>
      <ns0:c r="I759" s="0">
        <ns0:f>MAX(0,G759-H759)</ns0:f>
        <ns0:v>0</ns0:v>
      </ns0:c>
      <ns0:c r="J759" s="0">
        <ns0:f>IF(OR(A759=0,F759&lt;&gt;"OK",Bookings!G759="Cancelled",$B$6&gt;0),0,IF('_Dates'!AC759=1,MAX(0,COUNTIFS(rngEngine_B,B759,rngAMStart,"&lt;="&amp;'_Dates'!X759,rngAMEnd,"&gt;="&amp;'_Dates'!W759,rngAMActive,1,rngEngine_F,"OK",rngBookings_F,"&lt;&gt;Cancelled")-1),0)+IF('_Dates'!AD759=1,MAX(0,COUNTIFS(rngEngine_B,B759,rngPMStart,"&lt;="&amp;'_Dates'!Z759,rngPMEnd,"&gt;="&amp;'_Dates'!Y759,rngPMActive,1,rngEngine_F,"OK",rngBookings_F,"&lt;&gt;Cancelled")-1),0))</ns0:f>
        <ns0:v>0</ns0:v>
      </ns0:c>
      <ns0:c r="K759" s="0" t="str">
        <ns0:f>IF(A759=0,"",IF(F759&lt;&gt;"OK",F759,IF(J759&gt;0,"CHECK overlapping entry",IF(AND($B$6=0,G759&lt;=0,Bookings!G759&lt;&gt;"Cancelled"),"CHECK no working days",IF(Bookings!G759="Cancelled","Cancelled","OK")))))</ns0:f>
        <ns0:v/>
      </ns0:c>
      <ns0:c r="L759" s="0">
        <ns0:f>IF(LEFT(K759,5)="CHECK",1,0)</ns0:f>
        <ns0:v>0</ns0:v>
      </ns0:c>
      <ns0:c r="M759" s="0">
        <ns0:f>IF(AND(L759=1,OR(C759=0,IFERROR(INDEX($X$11:$X$60,C759),0)=0)),1,0)</ns0:f>
        <ns0:v>0</ns0:v>
      </ns0:c>
      <ns0:c r="N759" s="0">
        <ns0:f>IF(OR(A759=0,L759&gt;0,$B$6&gt;0,Bookings!G759="Cancelled"),0,G759)</ns0:f>
        <ns0:v>0</ns0:v>
      </ns0:c>
      <ns0:c r="O759" s="0">
        <ns0:f>IF(AND(Bookings!G759="Approved",E759="Yes"),N759,0)</ns0:f>
        <ns0:v>0</ns0:v>
      </ns0:c>
      <ns0:c r="P759" s="0">
        <ns0:f>IF(AND(Bookings!G759="Approved",E759="Yes",L759=0,$B$6=0),H759,0)</ns0:f>
        <ns0:v>0</ns0:v>
      </ns0:c>
      <ns0:c r="Q759" s="0">
        <ns0:f>IF(AND(Bookings!G759="Approved",E759="Yes",L759=0,$B$6=0),I759,0)</ns0:f>
        <ns0:v>0</ns0:v>
      </ns0:c>
      <ns0:c r="R759" s="0">
        <ns0:f>IF(AND(Bookings!G759="Pending",E759="Yes"),N759,0)</ns0:f>
        <ns0:v>0</ns0:v>
      </ns0:c>
      <ns0:c r="S759" s="0">
        <ns0:f>IF(AND(Bookings!G759="Approved",E759="No"),N759,0)</ns0:f>
        <ns0:v>0</ns0:v>
      </ns0:c>
      <ns0:c r="T759" s="0">
        <ns0:f>IFERROR(MATCH(D759,Settings!$G$7:$G$11,0),0)</ns0:f>
        <ns0:v>0</ns0:v>
      </ns0:c>
      <ns0:c r="U759" s="0">
        <ns0:f>IF(N759&gt;0,T759+IF(Bookings!G759="Pending",10,0),0)</ns0:f>
        <ns0:v>0</ns0:v>
      </ns0:c>
      <ns0:c r="V759" s="0">
        <ns0:f>U759</ns0:f>
        <ns0:v>0</ns0:v>
      </ns0:c>
      <ns0:c r="W759" s="0" t="str">
        <ns0:f>IF(C759=0,"",INDEX($AP$11:$AP$60,C759))</ns0:f>
        <ns0:v/>
      </ns0:c>
    </ns0:row>
    <ns0:row r="760">
      <ns0:c r="A760" s="0">
        <ns0:f>IF(COUNTA(Bookings!A760:G760,Bookings!I760)=0,0,1)</ns0:f>
        <ns0:v>0</ns0:v>
      </ns0:c>
      <ns0:c r="B760" s="0" t="str">
        <ns0:f>IFERROR(TRIM(MID(Bookings!A760,FIND(" · ",Bookings!A760)+3,99)),"")</ns0:f>
        <ns0:v/>
      </ns0:c>
      <ns0:c r="C760" s="0">
        <ns0:f>IF(OR(B760="",LEN(B760)&gt;24,ISNUMBER(FIND(" ",B760)),ISNUMBER(FIND("*",B760)),ISNUMBER(FIND("?",B760)),ISNUMBER(FIND("~",B760))),0,IFERROR(MATCH(B760,Team!$A$11:$A$60,0),0))</ns0:f>
        <ns0:v>0</ns0:v>
      </ns0:c>
      <ns0:c r="D760" s="0" t="str">
        <ns0:f>IFERROR(IF(MID(Bookings!F760,LEN(Bookings!F760)-3,3)=" · ",RIGHT(Bookings!F760,1),""),"")</ns0:f>
        <ns0:v/>
      </ns0:c>
      <ns0:c r="E760" s="0" t="str">
        <ns0:f>IFERROR(INDEX(Settings!$H$7:$H$11,MATCH(D760,Settings!$G$7:$G$11,0)),"")</ns0:f>
        <ns0:v/>
      </ns0:c>
      <ns0:c r="F760" s="0" t="str">
        <ns0:f>IF(A760=0,"",IFERROR(IF(OR(B760="",C760=0),"CHECK employee selection",IF(INDEX(Team!$O$11:$O$60,C760)&lt;&gt;"OK","CHECK employee setup",IF(OR('_Dates'!J760=0,'_Dates'!T760=0),"CHECK date: use DD.MM.YYYY",IF('_Dates'!T760&lt;'_Dates'!J760,"CHECK end before start",IF(AND($B$6=0,OR('_Dates'!J760&lt;Settings!$B$7,'_Dates'!T760&gt;Settings!$B$8)),"CHECK split across leave years",IF(OR(NOT(OR('_Dates'!U760="Full day",'_Dates'!U760="AM",'_Dates'!U760="PM")),NOT(OR('_Dates'!V760="Full day",'_Dates'!V760="AM",'_Dates'!V760="PM"))),"CHECK Full day / AM / PM",IF(AND('_Dates'!J760='_Dates'!T760,'_Dates'!U760&lt;&gt;"Full day",'_Dates'!V760&lt;&gt;"Full day",'_Dates'!U760&lt;&gt;'_Dates'!V760),"CHECK same-day portions disagree",IF(AND($B$6=0,OR(AND('_Dates'!U760&lt;&gt;"Full day",'_Dates'!AA760=0),AND('_Dates'!V760&lt;&gt;"Full day",'_Dates'!AB760=0))),"CHECK half-day on non-working date",IF(COUNTIF(Settings!$G$7:$G$11,D760)&lt;&gt;1,"CHECK leave type",IF(AND(Bookings!G760&lt;&gt;"Approved",Bookings!G760&lt;&gt;"Pending",Bookings!G760&lt;&gt;"Cancelled"),"CHECK status","OK")))))))))),"CHECK input"))</ns0:f>
        <ns0:v/>
      </ns0:c>
      <ns0:c r="G760" s="0">
        <ns0:f>IF(OR(F760&lt;&gt;"OK",$B$6&gt;0),0,0.5*(IF(('_Dates'!X760)&lt;('_Dates'!W760),0,INT((('_Dates'!X760)-('_Dates'!W760)+1)/7)*LEN(SUBSTITUTE(W760,"O",""))+LEN(SUBSTITUTE(MID(W760&amp;W760,WEEKDAY(('_Dates'!W760),2),MOD((('_Dates'!X760)-('_Dates'!W760)+1),7)),"O",""))-COUNTIFS(INDEX(AllClosureRows,C760,0),"&gt;="&amp;('_Dates'!W760),INDEX(AllClosureRows,C760,0),"&lt;="&amp;('_Dates'!X760)))+IF(('_Dates'!Z760)&lt;('_Dates'!Y760),0,INT((('_Dates'!Z760)-('_Dates'!Y760)+1)/7)*LEN(SUBSTITUTE(W760,"O",""))+LEN(SUBSTITUTE(MID(W760&amp;W760,WEEKDAY(('_Dates'!Y760),2),MOD((('_Dates'!Z760)-('_Dates'!Y760)+1),7)),"O",""))-COUNTIFS(INDEX(AllClosureRows,C760,0),"&gt;="&amp;('_Dates'!Y760),INDEX(AllClosureRows,C760,0),"&lt;="&amp;('_Dates'!Z760)))))</ns0:f>
        <ns0:v>0</ns0:v>
      </ns0:c>
      <ns0:c r="H760" s="0">
        <ns0:f>IF(OR(F760&lt;&gt;"OK",$B$6&gt;0),0,0.5*(IF((MIN('_Dates'!X760,Settings!$B$9))&lt;('_Dates'!W760),0,INT(((MIN('_Dates'!X760,Settings!$B$9))-('_Dates'!W760)+1)/7)*LEN(SUBSTITUTE(W760,"O",""))+LEN(SUBSTITUTE(MID(W760&amp;W760,WEEKDAY(('_Dates'!W760),2),MOD(((MIN('_Dates'!X760,Settings!$B$9))-('_Dates'!W760)+1),7)),"O",""))-COUNTIFS(INDEX(AllClosureRows,C760,0),"&gt;="&amp;('_Dates'!W760),INDEX(AllClosureRows,C760,0),"&lt;="&amp;(MIN('_Dates'!X760,Settings!$B$9))))+IF((MIN('_Dates'!Z760,Settings!$B$9))&lt;('_Dates'!Y760),0,INT(((MIN('_Dates'!Z760,Settings!$B$9))-('_Dates'!Y760)+1)/7)*LEN(SUBSTITUTE(W760,"O",""))+LEN(SUBSTITUTE(MID(W760&amp;W760,WEEKDAY(('_Dates'!Y760),2),MOD(((MIN('_Dates'!Z760,Settings!$B$9))-('_Dates'!Y760)+1),7)),"O",""))-COUNTIFS(INDEX(AllClosureRows,C760,0),"&gt;="&amp;('_Dates'!Y760),INDEX(AllClosureRows,C760,0),"&lt;="&amp;(MIN('_Dates'!Z760,Settings!$B$9))))))</ns0:f>
        <ns0:v>0</ns0:v>
      </ns0:c>
      <ns0:c r="I760" s="0">
        <ns0:f>MAX(0,G760-H760)</ns0:f>
        <ns0:v>0</ns0:v>
      </ns0:c>
      <ns0:c r="J760" s="0">
        <ns0:f>IF(OR(A760=0,F760&lt;&gt;"OK",Bookings!G760="Cancelled",$B$6&gt;0),0,IF('_Dates'!AC760=1,MAX(0,COUNTIFS(rngEngine_B,B760,rngAMStart,"&lt;="&amp;'_Dates'!X760,rngAMEnd,"&gt;="&amp;'_Dates'!W760,rngAMActive,1,rngEngine_F,"OK",rngBookings_F,"&lt;&gt;Cancelled")-1),0)+IF('_Dates'!AD760=1,MAX(0,COUNTIFS(rngEngine_B,B760,rngPMStart,"&lt;="&amp;'_Dates'!Z760,rngPMEnd,"&gt;="&amp;'_Dates'!Y760,rngPMActive,1,rngEngine_F,"OK",rngBookings_F,"&lt;&gt;Cancelled")-1),0))</ns0:f>
        <ns0:v>0</ns0:v>
      </ns0:c>
      <ns0:c r="K760" s="0" t="str">
        <ns0:f>IF(A760=0,"",IF(F760&lt;&gt;"OK",F760,IF(J760&gt;0,"CHECK overlapping entry",IF(AND($B$6=0,G760&lt;=0,Bookings!G760&lt;&gt;"Cancelled"),"CHECK no working days",IF(Bookings!G760="Cancelled","Cancelled","OK")))))</ns0:f>
        <ns0:v/>
      </ns0:c>
      <ns0:c r="L760" s="0">
        <ns0:f>IF(LEFT(K760,5)="CHECK",1,0)</ns0:f>
        <ns0:v>0</ns0:v>
      </ns0:c>
      <ns0:c r="M760" s="0">
        <ns0:f>IF(AND(L760=1,OR(C760=0,IFERROR(INDEX($X$11:$X$60,C760),0)=0)),1,0)</ns0:f>
        <ns0:v>0</ns0:v>
      </ns0:c>
      <ns0:c r="N760" s="0">
        <ns0:f>IF(OR(A760=0,L760&gt;0,$B$6&gt;0,Bookings!G760="Cancelled"),0,G760)</ns0:f>
        <ns0:v>0</ns0:v>
      </ns0:c>
      <ns0:c r="O760" s="0">
        <ns0:f>IF(AND(Bookings!G760="Approved",E760="Yes"),N760,0)</ns0:f>
        <ns0:v>0</ns0:v>
      </ns0:c>
      <ns0:c r="P760" s="0">
        <ns0:f>IF(AND(Bookings!G760="Approved",E760="Yes",L760=0,$B$6=0),H760,0)</ns0:f>
        <ns0:v>0</ns0:v>
      </ns0:c>
      <ns0:c r="Q760" s="0">
        <ns0:f>IF(AND(Bookings!G760="Approved",E760="Yes",L760=0,$B$6=0),I760,0)</ns0:f>
        <ns0:v>0</ns0:v>
      </ns0:c>
      <ns0:c r="R760" s="0">
        <ns0:f>IF(AND(Bookings!G760="Pending",E760="Yes"),N760,0)</ns0:f>
        <ns0:v>0</ns0:v>
      </ns0:c>
      <ns0:c r="S760" s="0">
        <ns0:f>IF(AND(Bookings!G760="Approved",E760="No"),N760,0)</ns0:f>
        <ns0:v>0</ns0:v>
      </ns0:c>
      <ns0:c r="T760" s="0">
        <ns0:f>IFERROR(MATCH(D760,Settings!$G$7:$G$11,0),0)</ns0:f>
        <ns0:v>0</ns0:v>
      </ns0:c>
      <ns0:c r="U760" s="0">
        <ns0:f>IF(N760&gt;0,T760+IF(Bookings!G760="Pending",10,0),0)</ns0:f>
        <ns0:v>0</ns0:v>
      </ns0:c>
      <ns0:c r="V760" s="0">
        <ns0:f>U760</ns0:f>
        <ns0:v>0</ns0:v>
      </ns0:c>
      <ns0:c r="W760" s="0" t="str">
        <ns0:f>IF(C760=0,"",INDEX($AP$11:$AP$60,C760))</ns0:f>
        <ns0:v/>
      </ns0:c>
    </ns0:row>
    <ns0:row r="761">
      <ns0:c r="A761" s="0">
        <ns0:f>IF(COUNTA(Bookings!A761:G761,Bookings!I761)=0,0,1)</ns0:f>
        <ns0:v>0</ns0:v>
      </ns0:c>
      <ns0:c r="B761" s="0" t="str">
        <ns0:f>IFERROR(TRIM(MID(Bookings!A761,FIND(" · ",Bookings!A761)+3,99)),"")</ns0:f>
        <ns0:v/>
      </ns0:c>
      <ns0:c r="C761" s="0">
        <ns0:f>IF(OR(B761="",LEN(B761)&gt;24,ISNUMBER(FIND(" ",B761)),ISNUMBER(FIND("*",B761)),ISNUMBER(FIND("?",B761)),ISNUMBER(FIND("~",B761))),0,IFERROR(MATCH(B761,Team!$A$11:$A$60,0),0))</ns0:f>
        <ns0:v>0</ns0:v>
      </ns0:c>
      <ns0:c r="D761" s="0" t="str">
        <ns0:f>IFERROR(IF(MID(Bookings!F761,LEN(Bookings!F761)-3,3)=" · ",RIGHT(Bookings!F761,1),""),"")</ns0:f>
        <ns0:v/>
      </ns0:c>
      <ns0:c r="E761" s="0" t="str">
        <ns0:f>IFERROR(INDEX(Settings!$H$7:$H$11,MATCH(D761,Settings!$G$7:$G$11,0)),"")</ns0:f>
        <ns0:v/>
      </ns0:c>
      <ns0:c r="F761" s="0" t="str">
        <ns0:f>IF(A761=0,"",IFERROR(IF(OR(B761="",C761=0),"CHECK employee selection",IF(INDEX(Team!$O$11:$O$60,C761)&lt;&gt;"OK","CHECK employee setup",IF(OR('_Dates'!J761=0,'_Dates'!T761=0),"CHECK date: use DD.MM.YYYY",IF('_Dates'!T761&lt;'_Dates'!J761,"CHECK end before start",IF(AND($B$6=0,OR('_Dates'!J761&lt;Settings!$B$7,'_Dates'!T761&gt;Settings!$B$8)),"CHECK split across leave years",IF(OR(NOT(OR('_Dates'!U761="Full day",'_Dates'!U761="AM",'_Dates'!U761="PM")),NOT(OR('_Dates'!V761="Full day",'_Dates'!V761="AM",'_Dates'!V761="PM"))),"CHECK Full day / AM / PM",IF(AND('_Dates'!J761='_Dates'!T761,'_Dates'!U761&lt;&gt;"Full day",'_Dates'!V761&lt;&gt;"Full day",'_Dates'!U761&lt;&gt;'_Dates'!V761),"CHECK same-day portions disagree",IF(AND($B$6=0,OR(AND('_Dates'!U761&lt;&gt;"Full day",'_Dates'!AA761=0),AND('_Dates'!V761&lt;&gt;"Full day",'_Dates'!AB761=0))),"CHECK half-day on non-working date",IF(COUNTIF(Settings!$G$7:$G$11,D761)&lt;&gt;1,"CHECK leave type",IF(AND(Bookings!G761&lt;&gt;"Approved",Bookings!G761&lt;&gt;"Pending",Bookings!G761&lt;&gt;"Cancelled"),"CHECK status","OK")))))))))),"CHECK input"))</ns0:f>
        <ns0:v/>
      </ns0:c>
      <ns0:c r="G761" s="0">
        <ns0:f>IF(OR(F761&lt;&gt;"OK",$B$6&gt;0),0,0.5*(IF(('_Dates'!X761)&lt;('_Dates'!W761),0,INT((('_Dates'!X761)-('_Dates'!W761)+1)/7)*LEN(SUBSTITUTE(W761,"O",""))+LEN(SUBSTITUTE(MID(W761&amp;W761,WEEKDAY(('_Dates'!W761),2),MOD((('_Dates'!X761)-('_Dates'!W761)+1),7)),"O",""))-COUNTIFS(INDEX(AllClosureRows,C761,0),"&gt;="&amp;('_Dates'!W761),INDEX(AllClosureRows,C761,0),"&lt;="&amp;('_Dates'!X761)))+IF(('_Dates'!Z761)&lt;('_Dates'!Y761),0,INT((('_Dates'!Z761)-('_Dates'!Y761)+1)/7)*LEN(SUBSTITUTE(W761,"O",""))+LEN(SUBSTITUTE(MID(W761&amp;W761,WEEKDAY(('_Dates'!Y761),2),MOD((('_Dates'!Z761)-('_Dates'!Y761)+1),7)),"O",""))-COUNTIFS(INDEX(AllClosureRows,C761,0),"&gt;="&amp;('_Dates'!Y761),INDEX(AllClosureRows,C761,0),"&lt;="&amp;('_Dates'!Z761)))))</ns0:f>
        <ns0:v>0</ns0:v>
      </ns0:c>
      <ns0:c r="H761" s="0">
        <ns0:f>IF(OR(F761&lt;&gt;"OK",$B$6&gt;0),0,0.5*(IF((MIN('_Dates'!X761,Settings!$B$9))&lt;('_Dates'!W761),0,INT(((MIN('_Dates'!X761,Settings!$B$9))-('_Dates'!W761)+1)/7)*LEN(SUBSTITUTE(W761,"O",""))+LEN(SUBSTITUTE(MID(W761&amp;W761,WEEKDAY(('_Dates'!W761),2),MOD(((MIN('_Dates'!X761,Settings!$B$9))-('_Dates'!W761)+1),7)),"O",""))-COUNTIFS(INDEX(AllClosureRows,C761,0),"&gt;="&amp;('_Dates'!W761),INDEX(AllClosureRows,C761,0),"&lt;="&amp;(MIN('_Dates'!X761,Settings!$B$9))))+IF((MIN('_Dates'!Z761,Settings!$B$9))&lt;('_Dates'!Y761),0,INT(((MIN('_Dates'!Z761,Settings!$B$9))-('_Dates'!Y761)+1)/7)*LEN(SUBSTITUTE(W761,"O",""))+LEN(SUBSTITUTE(MID(W761&amp;W761,WEEKDAY(('_Dates'!Y761),2),MOD(((MIN('_Dates'!Z761,Settings!$B$9))-('_Dates'!Y761)+1),7)),"O",""))-COUNTIFS(INDEX(AllClosureRows,C761,0),"&gt;="&amp;('_Dates'!Y761),INDEX(AllClosureRows,C761,0),"&lt;="&amp;(MIN('_Dates'!Z761,Settings!$B$9))))))</ns0:f>
        <ns0:v>0</ns0:v>
      </ns0:c>
      <ns0:c r="I761" s="0">
        <ns0:f>MAX(0,G761-H761)</ns0:f>
        <ns0:v>0</ns0:v>
      </ns0:c>
      <ns0:c r="J761" s="0">
        <ns0:f>IF(OR(A761=0,F761&lt;&gt;"OK",Bookings!G761="Cancelled",$B$6&gt;0),0,IF('_Dates'!AC761=1,MAX(0,COUNTIFS(rngEngine_B,B761,rngAMStart,"&lt;="&amp;'_Dates'!X761,rngAMEnd,"&gt;="&amp;'_Dates'!W761,rngAMActive,1,rngEngine_F,"OK",rngBookings_F,"&lt;&gt;Cancelled")-1),0)+IF('_Dates'!AD761=1,MAX(0,COUNTIFS(rngEngine_B,B761,rngPMStart,"&lt;="&amp;'_Dates'!Z761,rngPMEnd,"&gt;="&amp;'_Dates'!Y761,rngPMActive,1,rngEngine_F,"OK",rngBookings_F,"&lt;&gt;Cancelled")-1),0))</ns0:f>
        <ns0:v>0</ns0:v>
      </ns0:c>
      <ns0:c r="K761" s="0" t="str">
        <ns0:f>IF(A761=0,"",IF(F761&lt;&gt;"OK",F761,IF(J761&gt;0,"CHECK overlapping entry",IF(AND($B$6=0,G761&lt;=0,Bookings!G761&lt;&gt;"Cancelled"),"CHECK no working days",IF(Bookings!G761="Cancelled","Cancelled","OK")))))</ns0:f>
        <ns0:v/>
      </ns0:c>
      <ns0:c r="L761" s="0">
        <ns0:f>IF(LEFT(K761,5)="CHECK",1,0)</ns0:f>
        <ns0:v>0</ns0:v>
      </ns0:c>
      <ns0:c r="M761" s="0">
        <ns0:f>IF(AND(L761=1,OR(C761=0,IFERROR(INDEX($X$11:$X$60,C761),0)=0)),1,0)</ns0:f>
        <ns0:v>0</ns0:v>
      </ns0:c>
      <ns0:c r="N761" s="0">
        <ns0:f>IF(OR(A761=0,L761&gt;0,$B$6&gt;0,Bookings!G761="Cancelled"),0,G761)</ns0:f>
        <ns0:v>0</ns0:v>
      </ns0:c>
      <ns0:c r="O761" s="0">
        <ns0:f>IF(AND(Bookings!G761="Approved",E761="Yes"),N761,0)</ns0:f>
        <ns0:v>0</ns0:v>
      </ns0:c>
      <ns0:c r="P761" s="0">
        <ns0:f>IF(AND(Bookings!G761="Approved",E761="Yes",L761=0,$B$6=0),H761,0)</ns0:f>
        <ns0:v>0</ns0:v>
      </ns0:c>
      <ns0:c r="Q761" s="0">
        <ns0:f>IF(AND(Bookings!G761="Approved",E761="Yes",L761=0,$B$6=0),I761,0)</ns0:f>
        <ns0:v>0</ns0:v>
      </ns0:c>
      <ns0:c r="R761" s="0">
        <ns0:f>IF(AND(Bookings!G761="Pending",E761="Yes"),N761,0)</ns0:f>
        <ns0:v>0</ns0:v>
      </ns0:c>
      <ns0:c r="S761" s="0">
        <ns0:f>IF(AND(Bookings!G761="Approved",E761="No"),N761,0)</ns0:f>
        <ns0:v>0</ns0:v>
      </ns0:c>
      <ns0:c r="T761" s="0">
        <ns0:f>IFERROR(MATCH(D761,Settings!$G$7:$G$11,0),0)</ns0:f>
        <ns0:v>0</ns0:v>
      </ns0:c>
      <ns0:c r="U761" s="0">
        <ns0:f>IF(N761&gt;0,T761+IF(Bookings!G761="Pending",10,0),0)</ns0:f>
        <ns0:v>0</ns0:v>
      </ns0:c>
      <ns0:c r="V761" s="0">
        <ns0:f>U761</ns0:f>
        <ns0:v>0</ns0:v>
      </ns0:c>
      <ns0:c r="W761" s="0" t="str">
        <ns0:f>IF(C761=0,"",INDEX($AP$11:$AP$60,C761))</ns0:f>
        <ns0:v/>
      </ns0:c>
    </ns0:row>
    <ns0:row r="762">
      <ns0:c r="A762" s="0">
        <ns0:f>IF(COUNTA(Bookings!A762:G762,Bookings!I762)=0,0,1)</ns0:f>
        <ns0:v>0</ns0:v>
      </ns0:c>
      <ns0:c r="B762" s="0" t="str">
        <ns0:f>IFERROR(TRIM(MID(Bookings!A762,FIND(" · ",Bookings!A762)+3,99)),"")</ns0:f>
        <ns0:v/>
      </ns0:c>
      <ns0:c r="C762" s="0">
        <ns0:f>IF(OR(B762="",LEN(B762)&gt;24,ISNUMBER(FIND(" ",B762)),ISNUMBER(FIND("*",B762)),ISNUMBER(FIND("?",B762)),ISNUMBER(FIND("~",B762))),0,IFERROR(MATCH(B762,Team!$A$11:$A$60,0),0))</ns0:f>
        <ns0:v>0</ns0:v>
      </ns0:c>
      <ns0:c r="D762" s="0" t="str">
        <ns0:f>IFERROR(IF(MID(Bookings!F762,LEN(Bookings!F762)-3,3)=" · ",RIGHT(Bookings!F762,1),""),"")</ns0:f>
        <ns0:v/>
      </ns0:c>
      <ns0:c r="E762" s="0" t="str">
        <ns0:f>IFERROR(INDEX(Settings!$H$7:$H$11,MATCH(D762,Settings!$G$7:$G$11,0)),"")</ns0:f>
        <ns0:v/>
      </ns0:c>
      <ns0:c r="F762" s="0" t="str">
        <ns0:f>IF(A762=0,"",IFERROR(IF(OR(B762="",C762=0),"CHECK employee selection",IF(INDEX(Team!$O$11:$O$60,C762)&lt;&gt;"OK","CHECK employee setup",IF(OR('_Dates'!J762=0,'_Dates'!T762=0),"CHECK date: use DD.MM.YYYY",IF('_Dates'!T762&lt;'_Dates'!J762,"CHECK end before start",IF(AND($B$6=0,OR('_Dates'!J762&lt;Settings!$B$7,'_Dates'!T762&gt;Settings!$B$8)),"CHECK split across leave years",IF(OR(NOT(OR('_Dates'!U762="Full day",'_Dates'!U762="AM",'_Dates'!U762="PM")),NOT(OR('_Dates'!V762="Full day",'_Dates'!V762="AM",'_Dates'!V762="PM"))),"CHECK Full day / AM / PM",IF(AND('_Dates'!J762='_Dates'!T762,'_Dates'!U762&lt;&gt;"Full day",'_Dates'!V762&lt;&gt;"Full day",'_Dates'!U762&lt;&gt;'_Dates'!V762),"CHECK same-day portions disagree",IF(AND($B$6=0,OR(AND('_Dates'!U762&lt;&gt;"Full day",'_Dates'!AA762=0),AND('_Dates'!V762&lt;&gt;"Full day",'_Dates'!AB762=0))),"CHECK half-day on non-working date",IF(COUNTIF(Settings!$G$7:$G$11,D762)&lt;&gt;1,"CHECK leave type",IF(AND(Bookings!G762&lt;&gt;"Approved",Bookings!G762&lt;&gt;"Pending",Bookings!G762&lt;&gt;"Cancelled"),"CHECK status","OK")))))))))),"CHECK input"))</ns0:f>
        <ns0:v/>
      </ns0:c>
      <ns0:c r="G762" s="0">
        <ns0:f>IF(OR(F762&lt;&gt;"OK",$B$6&gt;0),0,0.5*(IF(('_Dates'!X762)&lt;('_Dates'!W762),0,INT((('_Dates'!X762)-('_Dates'!W762)+1)/7)*LEN(SUBSTITUTE(W762,"O",""))+LEN(SUBSTITUTE(MID(W762&amp;W762,WEEKDAY(('_Dates'!W762),2),MOD((('_Dates'!X762)-('_Dates'!W762)+1),7)),"O",""))-COUNTIFS(INDEX(AllClosureRows,C762,0),"&gt;="&amp;('_Dates'!W762),INDEX(AllClosureRows,C762,0),"&lt;="&amp;('_Dates'!X762)))+IF(('_Dates'!Z762)&lt;('_Dates'!Y762),0,INT((('_Dates'!Z762)-('_Dates'!Y762)+1)/7)*LEN(SUBSTITUTE(W762,"O",""))+LEN(SUBSTITUTE(MID(W762&amp;W762,WEEKDAY(('_Dates'!Y762),2),MOD((('_Dates'!Z762)-('_Dates'!Y762)+1),7)),"O",""))-COUNTIFS(INDEX(AllClosureRows,C762,0),"&gt;="&amp;('_Dates'!Y762),INDEX(AllClosureRows,C762,0),"&lt;="&amp;('_Dates'!Z762)))))</ns0:f>
        <ns0:v>0</ns0:v>
      </ns0:c>
      <ns0:c r="H762" s="0">
        <ns0:f>IF(OR(F762&lt;&gt;"OK",$B$6&gt;0),0,0.5*(IF((MIN('_Dates'!X762,Settings!$B$9))&lt;('_Dates'!W762),0,INT(((MIN('_Dates'!X762,Settings!$B$9))-('_Dates'!W762)+1)/7)*LEN(SUBSTITUTE(W762,"O",""))+LEN(SUBSTITUTE(MID(W762&amp;W762,WEEKDAY(('_Dates'!W762),2),MOD(((MIN('_Dates'!X762,Settings!$B$9))-('_Dates'!W762)+1),7)),"O",""))-COUNTIFS(INDEX(AllClosureRows,C762,0),"&gt;="&amp;('_Dates'!W762),INDEX(AllClosureRows,C762,0),"&lt;="&amp;(MIN('_Dates'!X762,Settings!$B$9))))+IF((MIN('_Dates'!Z762,Settings!$B$9))&lt;('_Dates'!Y762),0,INT(((MIN('_Dates'!Z762,Settings!$B$9))-('_Dates'!Y762)+1)/7)*LEN(SUBSTITUTE(W762,"O",""))+LEN(SUBSTITUTE(MID(W762&amp;W762,WEEKDAY(('_Dates'!Y762),2),MOD(((MIN('_Dates'!Z762,Settings!$B$9))-('_Dates'!Y762)+1),7)),"O",""))-COUNTIFS(INDEX(AllClosureRows,C762,0),"&gt;="&amp;('_Dates'!Y762),INDEX(AllClosureRows,C762,0),"&lt;="&amp;(MIN('_Dates'!Z762,Settings!$B$9))))))</ns0:f>
        <ns0:v>0</ns0:v>
      </ns0:c>
      <ns0:c r="I762" s="0">
        <ns0:f>MAX(0,G762-H762)</ns0:f>
        <ns0:v>0</ns0:v>
      </ns0:c>
      <ns0:c r="J762" s="0">
        <ns0:f>IF(OR(A762=0,F762&lt;&gt;"OK",Bookings!G762="Cancelled",$B$6&gt;0),0,IF('_Dates'!AC762=1,MAX(0,COUNTIFS(rngEngine_B,B762,rngAMStart,"&lt;="&amp;'_Dates'!X762,rngAMEnd,"&gt;="&amp;'_Dates'!W762,rngAMActive,1,rngEngine_F,"OK",rngBookings_F,"&lt;&gt;Cancelled")-1),0)+IF('_Dates'!AD762=1,MAX(0,COUNTIFS(rngEngine_B,B762,rngPMStart,"&lt;="&amp;'_Dates'!Z762,rngPMEnd,"&gt;="&amp;'_Dates'!Y762,rngPMActive,1,rngEngine_F,"OK",rngBookings_F,"&lt;&gt;Cancelled")-1),0))</ns0:f>
        <ns0:v>0</ns0:v>
      </ns0:c>
      <ns0:c r="K762" s="0" t="str">
        <ns0:f>IF(A762=0,"",IF(F762&lt;&gt;"OK",F762,IF(J762&gt;0,"CHECK overlapping entry",IF(AND($B$6=0,G762&lt;=0,Bookings!G762&lt;&gt;"Cancelled"),"CHECK no working days",IF(Bookings!G762="Cancelled","Cancelled","OK")))))</ns0:f>
        <ns0:v/>
      </ns0:c>
      <ns0:c r="L762" s="0">
        <ns0:f>IF(LEFT(K762,5)="CHECK",1,0)</ns0:f>
        <ns0:v>0</ns0:v>
      </ns0:c>
      <ns0:c r="M762" s="0">
        <ns0:f>IF(AND(L762=1,OR(C762=0,IFERROR(INDEX($X$11:$X$60,C762),0)=0)),1,0)</ns0:f>
        <ns0:v>0</ns0:v>
      </ns0:c>
      <ns0:c r="N762" s="0">
        <ns0:f>IF(OR(A762=0,L762&gt;0,$B$6&gt;0,Bookings!G762="Cancelled"),0,G762)</ns0:f>
        <ns0:v>0</ns0:v>
      </ns0:c>
      <ns0:c r="O762" s="0">
        <ns0:f>IF(AND(Bookings!G762="Approved",E762="Yes"),N762,0)</ns0:f>
        <ns0:v>0</ns0:v>
      </ns0:c>
      <ns0:c r="P762" s="0">
        <ns0:f>IF(AND(Bookings!G762="Approved",E762="Yes",L762=0,$B$6=0),H762,0)</ns0:f>
        <ns0:v>0</ns0:v>
      </ns0:c>
      <ns0:c r="Q762" s="0">
        <ns0:f>IF(AND(Bookings!G762="Approved",E762="Yes",L762=0,$B$6=0),I762,0)</ns0:f>
        <ns0:v>0</ns0:v>
      </ns0:c>
      <ns0:c r="R762" s="0">
        <ns0:f>IF(AND(Bookings!G762="Pending",E762="Yes"),N762,0)</ns0:f>
        <ns0:v>0</ns0:v>
      </ns0:c>
      <ns0:c r="S762" s="0">
        <ns0:f>IF(AND(Bookings!G762="Approved",E762="No"),N762,0)</ns0:f>
        <ns0:v>0</ns0:v>
      </ns0:c>
      <ns0:c r="T762" s="0">
        <ns0:f>IFERROR(MATCH(D762,Settings!$G$7:$G$11,0),0)</ns0:f>
        <ns0:v>0</ns0:v>
      </ns0:c>
      <ns0:c r="U762" s="0">
        <ns0:f>IF(N762&gt;0,T762+IF(Bookings!G762="Pending",10,0),0)</ns0:f>
        <ns0:v>0</ns0:v>
      </ns0:c>
      <ns0:c r="V762" s="0">
        <ns0:f>U762</ns0:f>
        <ns0:v>0</ns0:v>
      </ns0:c>
      <ns0:c r="W762" s="0" t="str">
        <ns0:f>IF(C762=0,"",INDEX($AP$11:$AP$60,C762))</ns0:f>
        <ns0:v/>
      </ns0:c>
    </ns0:row>
    <ns0:row r="763">
      <ns0:c r="A763" s="0">
        <ns0:f>IF(COUNTA(Bookings!A763:G763,Bookings!I763)=0,0,1)</ns0:f>
        <ns0:v>0</ns0:v>
      </ns0:c>
      <ns0:c r="B763" s="0" t="str">
        <ns0:f>IFERROR(TRIM(MID(Bookings!A763,FIND(" · ",Bookings!A763)+3,99)),"")</ns0:f>
        <ns0:v/>
      </ns0:c>
      <ns0:c r="C763" s="0">
        <ns0:f>IF(OR(B763="",LEN(B763)&gt;24,ISNUMBER(FIND(" ",B763)),ISNUMBER(FIND("*",B763)),ISNUMBER(FIND("?",B763)),ISNUMBER(FIND("~",B763))),0,IFERROR(MATCH(B763,Team!$A$11:$A$60,0),0))</ns0:f>
        <ns0:v>0</ns0:v>
      </ns0:c>
      <ns0:c r="D763" s="0" t="str">
        <ns0:f>IFERROR(IF(MID(Bookings!F763,LEN(Bookings!F763)-3,3)=" · ",RIGHT(Bookings!F763,1),""),"")</ns0:f>
        <ns0:v/>
      </ns0:c>
      <ns0:c r="E763" s="0" t="str">
        <ns0:f>IFERROR(INDEX(Settings!$H$7:$H$11,MATCH(D763,Settings!$G$7:$G$11,0)),"")</ns0:f>
        <ns0:v/>
      </ns0:c>
      <ns0:c r="F763" s="0" t="str">
        <ns0:f>IF(A763=0,"",IFERROR(IF(OR(B763="",C763=0),"CHECK employee selection",IF(INDEX(Team!$O$11:$O$60,C763)&lt;&gt;"OK","CHECK employee setup",IF(OR('_Dates'!J763=0,'_Dates'!T763=0),"CHECK date: use DD.MM.YYYY",IF('_Dates'!T763&lt;'_Dates'!J763,"CHECK end before start",IF(AND($B$6=0,OR('_Dates'!J763&lt;Settings!$B$7,'_Dates'!T763&gt;Settings!$B$8)),"CHECK split across leave years",IF(OR(NOT(OR('_Dates'!U763="Full day",'_Dates'!U763="AM",'_Dates'!U763="PM")),NOT(OR('_Dates'!V763="Full day",'_Dates'!V763="AM",'_Dates'!V763="PM"))),"CHECK Full day / AM / PM",IF(AND('_Dates'!J763='_Dates'!T763,'_Dates'!U763&lt;&gt;"Full day",'_Dates'!V763&lt;&gt;"Full day",'_Dates'!U763&lt;&gt;'_Dates'!V763),"CHECK same-day portions disagree",IF(AND($B$6=0,OR(AND('_Dates'!U763&lt;&gt;"Full day",'_Dates'!AA763=0),AND('_Dates'!V763&lt;&gt;"Full day",'_Dates'!AB763=0))),"CHECK half-day on non-working date",IF(COUNTIF(Settings!$G$7:$G$11,D763)&lt;&gt;1,"CHECK leave type",IF(AND(Bookings!G763&lt;&gt;"Approved",Bookings!G763&lt;&gt;"Pending",Bookings!G763&lt;&gt;"Cancelled"),"CHECK status","OK")))))))))),"CHECK input"))</ns0:f>
        <ns0:v/>
      </ns0:c>
      <ns0:c r="G763" s="0">
        <ns0:f>IF(OR(F763&lt;&gt;"OK",$B$6&gt;0),0,0.5*(IF(('_Dates'!X763)&lt;('_Dates'!W763),0,INT((('_Dates'!X763)-('_Dates'!W763)+1)/7)*LEN(SUBSTITUTE(W763,"O",""))+LEN(SUBSTITUTE(MID(W763&amp;W763,WEEKDAY(('_Dates'!W763),2),MOD((('_Dates'!X763)-('_Dates'!W763)+1),7)),"O",""))-COUNTIFS(INDEX(AllClosureRows,C763,0),"&gt;="&amp;('_Dates'!W763),INDEX(AllClosureRows,C763,0),"&lt;="&amp;('_Dates'!X763)))+IF(('_Dates'!Z763)&lt;('_Dates'!Y763),0,INT((('_Dates'!Z763)-('_Dates'!Y763)+1)/7)*LEN(SUBSTITUTE(W763,"O",""))+LEN(SUBSTITUTE(MID(W763&amp;W763,WEEKDAY(('_Dates'!Y763),2),MOD((('_Dates'!Z763)-('_Dates'!Y763)+1),7)),"O",""))-COUNTIFS(INDEX(AllClosureRows,C763,0),"&gt;="&amp;('_Dates'!Y763),INDEX(AllClosureRows,C763,0),"&lt;="&amp;('_Dates'!Z763)))))</ns0:f>
        <ns0:v>0</ns0:v>
      </ns0:c>
      <ns0:c r="H763" s="0">
        <ns0:f>IF(OR(F763&lt;&gt;"OK",$B$6&gt;0),0,0.5*(IF((MIN('_Dates'!X763,Settings!$B$9))&lt;('_Dates'!W763),0,INT(((MIN('_Dates'!X763,Settings!$B$9))-('_Dates'!W763)+1)/7)*LEN(SUBSTITUTE(W763,"O",""))+LEN(SUBSTITUTE(MID(W763&amp;W763,WEEKDAY(('_Dates'!W763),2),MOD(((MIN('_Dates'!X763,Settings!$B$9))-('_Dates'!W763)+1),7)),"O",""))-COUNTIFS(INDEX(AllClosureRows,C763,0),"&gt;="&amp;('_Dates'!W763),INDEX(AllClosureRows,C763,0),"&lt;="&amp;(MIN('_Dates'!X763,Settings!$B$9))))+IF((MIN('_Dates'!Z763,Settings!$B$9))&lt;('_Dates'!Y763),0,INT(((MIN('_Dates'!Z763,Settings!$B$9))-('_Dates'!Y763)+1)/7)*LEN(SUBSTITUTE(W763,"O",""))+LEN(SUBSTITUTE(MID(W763&amp;W763,WEEKDAY(('_Dates'!Y763),2),MOD(((MIN('_Dates'!Z763,Settings!$B$9))-('_Dates'!Y763)+1),7)),"O",""))-COUNTIFS(INDEX(AllClosureRows,C763,0),"&gt;="&amp;('_Dates'!Y763),INDEX(AllClosureRows,C763,0),"&lt;="&amp;(MIN('_Dates'!Z763,Settings!$B$9))))))</ns0:f>
        <ns0:v>0</ns0:v>
      </ns0:c>
      <ns0:c r="I763" s="0">
        <ns0:f>MAX(0,G763-H763)</ns0:f>
        <ns0:v>0</ns0:v>
      </ns0:c>
      <ns0:c r="J763" s="0">
        <ns0:f>IF(OR(A763=0,F763&lt;&gt;"OK",Bookings!G763="Cancelled",$B$6&gt;0),0,IF('_Dates'!AC763=1,MAX(0,COUNTIFS(rngEngine_B,B763,rngAMStart,"&lt;="&amp;'_Dates'!X763,rngAMEnd,"&gt;="&amp;'_Dates'!W763,rngAMActive,1,rngEngine_F,"OK",rngBookings_F,"&lt;&gt;Cancelled")-1),0)+IF('_Dates'!AD763=1,MAX(0,COUNTIFS(rngEngine_B,B763,rngPMStart,"&lt;="&amp;'_Dates'!Z763,rngPMEnd,"&gt;="&amp;'_Dates'!Y763,rngPMActive,1,rngEngine_F,"OK",rngBookings_F,"&lt;&gt;Cancelled")-1),0))</ns0:f>
        <ns0:v>0</ns0:v>
      </ns0:c>
      <ns0:c r="K763" s="0" t="str">
        <ns0:f>IF(A763=0,"",IF(F763&lt;&gt;"OK",F763,IF(J763&gt;0,"CHECK overlapping entry",IF(AND($B$6=0,G763&lt;=0,Bookings!G763&lt;&gt;"Cancelled"),"CHECK no working days",IF(Bookings!G763="Cancelled","Cancelled","OK")))))</ns0:f>
        <ns0:v/>
      </ns0:c>
      <ns0:c r="L763" s="0">
        <ns0:f>IF(LEFT(K763,5)="CHECK",1,0)</ns0:f>
        <ns0:v>0</ns0:v>
      </ns0:c>
      <ns0:c r="M763" s="0">
        <ns0:f>IF(AND(L763=1,OR(C763=0,IFERROR(INDEX($X$11:$X$60,C763),0)=0)),1,0)</ns0:f>
        <ns0:v>0</ns0:v>
      </ns0:c>
      <ns0:c r="N763" s="0">
        <ns0:f>IF(OR(A763=0,L763&gt;0,$B$6&gt;0,Bookings!G763="Cancelled"),0,G763)</ns0:f>
        <ns0:v>0</ns0:v>
      </ns0:c>
      <ns0:c r="O763" s="0">
        <ns0:f>IF(AND(Bookings!G763="Approved",E763="Yes"),N763,0)</ns0:f>
        <ns0:v>0</ns0:v>
      </ns0:c>
      <ns0:c r="P763" s="0">
        <ns0:f>IF(AND(Bookings!G763="Approved",E763="Yes",L763=0,$B$6=0),H763,0)</ns0:f>
        <ns0:v>0</ns0:v>
      </ns0:c>
      <ns0:c r="Q763" s="0">
        <ns0:f>IF(AND(Bookings!G763="Approved",E763="Yes",L763=0,$B$6=0),I763,0)</ns0:f>
        <ns0:v>0</ns0:v>
      </ns0:c>
      <ns0:c r="R763" s="0">
        <ns0:f>IF(AND(Bookings!G763="Pending",E763="Yes"),N763,0)</ns0:f>
        <ns0:v>0</ns0:v>
      </ns0:c>
      <ns0:c r="S763" s="0">
        <ns0:f>IF(AND(Bookings!G763="Approved",E763="No"),N763,0)</ns0:f>
        <ns0:v>0</ns0:v>
      </ns0:c>
      <ns0:c r="T763" s="0">
        <ns0:f>IFERROR(MATCH(D763,Settings!$G$7:$G$11,0),0)</ns0:f>
        <ns0:v>0</ns0:v>
      </ns0:c>
      <ns0:c r="U763" s="0">
        <ns0:f>IF(N763&gt;0,T763+IF(Bookings!G763="Pending",10,0),0)</ns0:f>
        <ns0:v>0</ns0:v>
      </ns0:c>
      <ns0:c r="V763" s="0">
        <ns0:f>U763</ns0:f>
        <ns0:v>0</ns0:v>
      </ns0:c>
      <ns0:c r="W763" s="0" t="str">
        <ns0:f>IF(C763=0,"",INDEX($AP$11:$AP$60,C763))</ns0:f>
        <ns0:v/>
      </ns0:c>
    </ns0:row>
    <ns0:row r="764">
      <ns0:c r="A764" s="0">
        <ns0:f>IF(COUNTA(Bookings!A764:G764,Bookings!I764)=0,0,1)</ns0:f>
        <ns0:v>0</ns0:v>
      </ns0:c>
      <ns0:c r="B764" s="0" t="str">
        <ns0:f>IFERROR(TRIM(MID(Bookings!A764,FIND(" · ",Bookings!A764)+3,99)),"")</ns0:f>
        <ns0:v/>
      </ns0:c>
      <ns0:c r="C764" s="0">
        <ns0:f>IF(OR(B764="",LEN(B764)&gt;24,ISNUMBER(FIND(" ",B764)),ISNUMBER(FIND("*",B764)),ISNUMBER(FIND("?",B764)),ISNUMBER(FIND("~",B764))),0,IFERROR(MATCH(B764,Team!$A$11:$A$60,0),0))</ns0:f>
        <ns0:v>0</ns0:v>
      </ns0:c>
      <ns0:c r="D764" s="0" t="str">
        <ns0:f>IFERROR(IF(MID(Bookings!F764,LEN(Bookings!F764)-3,3)=" · ",RIGHT(Bookings!F764,1),""),"")</ns0:f>
        <ns0:v/>
      </ns0:c>
      <ns0:c r="E764" s="0" t="str">
        <ns0:f>IFERROR(INDEX(Settings!$H$7:$H$11,MATCH(D764,Settings!$G$7:$G$11,0)),"")</ns0:f>
        <ns0:v/>
      </ns0:c>
      <ns0:c r="F764" s="0" t="str">
        <ns0:f>IF(A764=0,"",IFERROR(IF(OR(B764="",C764=0),"CHECK employee selection",IF(INDEX(Team!$O$11:$O$60,C764)&lt;&gt;"OK","CHECK employee setup",IF(OR('_Dates'!J764=0,'_Dates'!T764=0),"CHECK date: use DD.MM.YYYY",IF('_Dates'!T764&lt;'_Dates'!J764,"CHECK end before start",IF(AND($B$6=0,OR('_Dates'!J764&lt;Settings!$B$7,'_Dates'!T764&gt;Settings!$B$8)),"CHECK split across leave years",IF(OR(NOT(OR('_Dates'!U764="Full day",'_Dates'!U764="AM",'_Dates'!U764="PM")),NOT(OR('_Dates'!V764="Full day",'_Dates'!V764="AM",'_Dates'!V764="PM"))),"CHECK Full day / AM / PM",IF(AND('_Dates'!J764='_Dates'!T764,'_Dates'!U764&lt;&gt;"Full day",'_Dates'!V764&lt;&gt;"Full day",'_Dates'!U764&lt;&gt;'_Dates'!V764),"CHECK same-day portions disagree",IF(AND($B$6=0,OR(AND('_Dates'!U764&lt;&gt;"Full day",'_Dates'!AA764=0),AND('_Dates'!V764&lt;&gt;"Full day",'_Dates'!AB764=0))),"CHECK half-day on non-working date",IF(COUNTIF(Settings!$G$7:$G$11,D764)&lt;&gt;1,"CHECK leave type",IF(AND(Bookings!G764&lt;&gt;"Approved",Bookings!G764&lt;&gt;"Pending",Bookings!G764&lt;&gt;"Cancelled"),"CHECK status","OK")))))))))),"CHECK input"))</ns0:f>
        <ns0:v/>
      </ns0:c>
      <ns0:c r="G764" s="0">
        <ns0:f>IF(OR(F764&lt;&gt;"OK",$B$6&gt;0),0,0.5*(IF(('_Dates'!X764)&lt;('_Dates'!W764),0,INT((('_Dates'!X764)-('_Dates'!W764)+1)/7)*LEN(SUBSTITUTE(W764,"O",""))+LEN(SUBSTITUTE(MID(W764&amp;W764,WEEKDAY(('_Dates'!W764),2),MOD((('_Dates'!X764)-('_Dates'!W764)+1),7)),"O",""))-COUNTIFS(INDEX(AllClosureRows,C764,0),"&gt;="&amp;('_Dates'!W764),INDEX(AllClosureRows,C764,0),"&lt;="&amp;('_Dates'!X764)))+IF(('_Dates'!Z764)&lt;('_Dates'!Y764),0,INT((('_Dates'!Z764)-('_Dates'!Y764)+1)/7)*LEN(SUBSTITUTE(W764,"O",""))+LEN(SUBSTITUTE(MID(W764&amp;W764,WEEKDAY(('_Dates'!Y764),2),MOD((('_Dates'!Z764)-('_Dates'!Y764)+1),7)),"O",""))-COUNTIFS(INDEX(AllClosureRows,C764,0),"&gt;="&amp;('_Dates'!Y764),INDEX(AllClosureRows,C764,0),"&lt;="&amp;('_Dates'!Z764)))))</ns0:f>
        <ns0:v>0</ns0:v>
      </ns0:c>
      <ns0:c r="H764" s="0">
        <ns0:f>IF(OR(F764&lt;&gt;"OK",$B$6&gt;0),0,0.5*(IF((MIN('_Dates'!X764,Settings!$B$9))&lt;('_Dates'!W764),0,INT(((MIN('_Dates'!X764,Settings!$B$9))-('_Dates'!W764)+1)/7)*LEN(SUBSTITUTE(W764,"O",""))+LEN(SUBSTITUTE(MID(W764&amp;W764,WEEKDAY(('_Dates'!W764),2),MOD(((MIN('_Dates'!X764,Settings!$B$9))-('_Dates'!W764)+1),7)),"O",""))-COUNTIFS(INDEX(AllClosureRows,C764,0),"&gt;="&amp;('_Dates'!W764),INDEX(AllClosureRows,C764,0),"&lt;="&amp;(MIN('_Dates'!X764,Settings!$B$9))))+IF((MIN('_Dates'!Z764,Settings!$B$9))&lt;('_Dates'!Y764),0,INT(((MIN('_Dates'!Z764,Settings!$B$9))-('_Dates'!Y764)+1)/7)*LEN(SUBSTITUTE(W764,"O",""))+LEN(SUBSTITUTE(MID(W764&amp;W764,WEEKDAY(('_Dates'!Y764),2),MOD(((MIN('_Dates'!Z764,Settings!$B$9))-('_Dates'!Y764)+1),7)),"O",""))-COUNTIFS(INDEX(AllClosureRows,C764,0),"&gt;="&amp;('_Dates'!Y764),INDEX(AllClosureRows,C764,0),"&lt;="&amp;(MIN('_Dates'!Z764,Settings!$B$9))))))</ns0:f>
        <ns0:v>0</ns0:v>
      </ns0:c>
      <ns0:c r="I764" s="0">
        <ns0:f>MAX(0,G764-H764)</ns0:f>
        <ns0:v>0</ns0:v>
      </ns0:c>
      <ns0:c r="J764" s="0">
        <ns0:f>IF(OR(A764=0,F764&lt;&gt;"OK",Bookings!G764="Cancelled",$B$6&gt;0),0,IF('_Dates'!AC764=1,MAX(0,COUNTIFS(rngEngine_B,B764,rngAMStart,"&lt;="&amp;'_Dates'!X764,rngAMEnd,"&gt;="&amp;'_Dates'!W764,rngAMActive,1,rngEngine_F,"OK",rngBookings_F,"&lt;&gt;Cancelled")-1),0)+IF('_Dates'!AD764=1,MAX(0,COUNTIFS(rngEngine_B,B764,rngPMStart,"&lt;="&amp;'_Dates'!Z764,rngPMEnd,"&gt;="&amp;'_Dates'!Y764,rngPMActive,1,rngEngine_F,"OK",rngBookings_F,"&lt;&gt;Cancelled")-1),0))</ns0:f>
        <ns0:v>0</ns0:v>
      </ns0:c>
      <ns0:c r="K764" s="0" t="str">
        <ns0:f>IF(A764=0,"",IF(F764&lt;&gt;"OK",F764,IF(J764&gt;0,"CHECK overlapping entry",IF(AND($B$6=0,G764&lt;=0,Bookings!G764&lt;&gt;"Cancelled"),"CHECK no working days",IF(Bookings!G764="Cancelled","Cancelled","OK")))))</ns0:f>
        <ns0:v/>
      </ns0:c>
      <ns0:c r="L764" s="0">
        <ns0:f>IF(LEFT(K764,5)="CHECK",1,0)</ns0:f>
        <ns0:v>0</ns0:v>
      </ns0:c>
      <ns0:c r="M764" s="0">
        <ns0:f>IF(AND(L764=1,OR(C764=0,IFERROR(INDEX($X$11:$X$60,C764),0)=0)),1,0)</ns0:f>
        <ns0:v>0</ns0:v>
      </ns0:c>
      <ns0:c r="N764" s="0">
        <ns0:f>IF(OR(A764=0,L764&gt;0,$B$6&gt;0,Bookings!G764="Cancelled"),0,G764)</ns0:f>
        <ns0:v>0</ns0:v>
      </ns0:c>
      <ns0:c r="O764" s="0">
        <ns0:f>IF(AND(Bookings!G764="Approved",E764="Yes"),N764,0)</ns0:f>
        <ns0:v>0</ns0:v>
      </ns0:c>
      <ns0:c r="P764" s="0">
        <ns0:f>IF(AND(Bookings!G764="Approved",E764="Yes",L764=0,$B$6=0),H764,0)</ns0:f>
        <ns0:v>0</ns0:v>
      </ns0:c>
      <ns0:c r="Q764" s="0">
        <ns0:f>IF(AND(Bookings!G764="Approved",E764="Yes",L764=0,$B$6=0),I764,0)</ns0:f>
        <ns0:v>0</ns0:v>
      </ns0:c>
      <ns0:c r="R764" s="0">
        <ns0:f>IF(AND(Bookings!G764="Pending",E764="Yes"),N764,0)</ns0:f>
        <ns0:v>0</ns0:v>
      </ns0:c>
      <ns0:c r="S764" s="0">
        <ns0:f>IF(AND(Bookings!G764="Approved",E764="No"),N764,0)</ns0:f>
        <ns0:v>0</ns0:v>
      </ns0:c>
      <ns0:c r="T764" s="0">
        <ns0:f>IFERROR(MATCH(D764,Settings!$G$7:$G$11,0),0)</ns0:f>
        <ns0:v>0</ns0:v>
      </ns0:c>
      <ns0:c r="U764" s="0">
        <ns0:f>IF(N764&gt;0,T764+IF(Bookings!G764="Pending",10,0),0)</ns0:f>
        <ns0:v>0</ns0:v>
      </ns0:c>
      <ns0:c r="V764" s="0">
        <ns0:f>U764</ns0:f>
        <ns0:v>0</ns0:v>
      </ns0:c>
      <ns0:c r="W764" s="0" t="str">
        <ns0:f>IF(C764=0,"",INDEX($AP$11:$AP$60,C764))</ns0:f>
        <ns0:v/>
      </ns0:c>
    </ns0:row>
    <ns0:row r="765">
      <ns0:c r="A765" s="0">
        <ns0:f>IF(COUNTA(Bookings!A765:G765,Bookings!I765)=0,0,1)</ns0:f>
        <ns0:v>0</ns0:v>
      </ns0:c>
      <ns0:c r="B765" s="0" t="str">
        <ns0:f>IFERROR(TRIM(MID(Bookings!A765,FIND(" · ",Bookings!A765)+3,99)),"")</ns0:f>
        <ns0:v/>
      </ns0:c>
      <ns0:c r="C765" s="0">
        <ns0:f>IF(OR(B765="",LEN(B765)&gt;24,ISNUMBER(FIND(" ",B765)),ISNUMBER(FIND("*",B765)),ISNUMBER(FIND("?",B765)),ISNUMBER(FIND("~",B765))),0,IFERROR(MATCH(B765,Team!$A$11:$A$60,0),0))</ns0:f>
        <ns0:v>0</ns0:v>
      </ns0:c>
      <ns0:c r="D765" s="0" t="str">
        <ns0:f>IFERROR(IF(MID(Bookings!F765,LEN(Bookings!F765)-3,3)=" · ",RIGHT(Bookings!F765,1),""),"")</ns0:f>
        <ns0:v/>
      </ns0:c>
      <ns0:c r="E765" s="0" t="str">
        <ns0:f>IFERROR(INDEX(Settings!$H$7:$H$11,MATCH(D765,Settings!$G$7:$G$11,0)),"")</ns0:f>
        <ns0:v/>
      </ns0:c>
      <ns0:c r="F765" s="0" t="str">
        <ns0:f>IF(A765=0,"",IFERROR(IF(OR(B765="",C765=0),"CHECK employee selection",IF(INDEX(Team!$O$11:$O$60,C765)&lt;&gt;"OK","CHECK employee setup",IF(OR('_Dates'!J765=0,'_Dates'!T765=0),"CHECK date: use DD.MM.YYYY",IF('_Dates'!T765&lt;'_Dates'!J765,"CHECK end before start",IF(AND($B$6=0,OR('_Dates'!J765&lt;Settings!$B$7,'_Dates'!T765&gt;Settings!$B$8)),"CHECK split across leave years",IF(OR(NOT(OR('_Dates'!U765="Full day",'_Dates'!U765="AM",'_Dates'!U765="PM")),NOT(OR('_Dates'!V765="Full day",'_Dates'!V765="AM",'_Dates'!V765="PM"))),"CHECK Full day / AM / PM",IF(AND('_Dates'!J765='_Dates'!T765,'_Dates'!U765&lt;&gt;"Full day",'_Dates'!V765&lt;&gt;"Full day",'_Dates'!U765&lt;&gt;'_Dates'!V765),"CHECK same-day portions disagree",IF(AND($B$6=0,OR(AND('_Dates'!U765&lt;&gt;"Full day",'_Dates'!AA765=0),AND('_Dates'!V765&lt;&gt;"Full day",'_Dates'!AB765=0))),"CHECK half-day on non-working date",IF(COUNTIF(Settings!$G$7:$G$11,D765)&lt;&gt;1,"CHECK leave type",IF(AND(Bookings!G765&lt;&gt;"Approved",Bookings!G765&lt;&gt;"Pending",Bookings!G765&lt;&gt;"Cancelled"),"CHECK status","OK")))))))))),"CHECK input"))</ns0:f>
        <ns0:v/>
      </ns0:c>
      <ns0:c r="G765" s="0">
        <ns0:f>IF(OR(F765&lt;&gt;"OK",$B$6&gt;0),0,0.5*(IF(('_Dates'!X765)&lt;('_Dates'!W765),0,INT((('_Dates'!X765)-('_Dates'!W765)+1)/7)*LEN(SUBSTITUTE(W765,"O",""))+LEN(SUBSTITUTE(MID(W765&amp;W765,WEEKDAY(('_Dates'!W765),2),MOD((('_Dates'!X765)-('_Dates'!W765)+1),7)),"O",""))-COUNTIFS(INDEX(AllClosureRows,C765,0),"&gt;="&amp;('_Dates'!W765),INDEX(AllClosureRows,C765,0),"&lt;="&amp;('_Dates'!X765)))+IF(('_Dates'!Z765)&lt;('_Dates'!Y765),0,INT((('_Dates'!Z765)-('_Dates'!Y765)+1)/7)*LEN(SUBSTITUTE(W765,"O",""))+LEN(SUBSTITUTE(MID(W765&amp;W765,WEEKDAY(('_Dates'!Y765),2),MOD((('_Dates'!Z765)-('_Dates'!Y765)+1),7)),"O",""))-COUNTIFS(INDEX(AllClosureRows,C765,0),"&gt;="&amp;('_Dates'!Y765),INDEX(AllClosureRows,C765,0),"&lt;="&amp;('_Dates'!Z765)))))</ns0:f>
        <ns0:v>0</ns0:v>
      </ns0:c>
      <ns0:c r="H765" s="0">
        <ns0:f>IF(OR(F765&lt;&gt;"OK",$B$6&gt;0),0,0.5*(IF((MIN('_Dates'!X765,Settings!$B$9))&lt;('_Dates'!W765),0,INT(((MIN('_Dates'!X765,Settings!$B$9))-('_Dates'!W765)+1)/7)*LEN(SUBSTITUTE(W765,"O",""))+LEN(SUBSTITUTE(MID(W765&amp;W765,WEEKDAY(('_Dates'!W765),2),MOD(((MIN('_Dates'!X765,Settings!$B$9))-('_Dates'!W765)+1),7)),"O",""))-COUNTIFS(INDEX(AllClosureRows,C765,0),"&gt;="&amp;('_Dates'!W765),INDEX(AllClosureRows,C765,0),"&lt;="&amp;(MIN('_Dates'!X765,Settings!$B$9))))+IF((MIN('_Dates'!Z765,Settings!$B$9))&lt;('_Dates'!Y765),0,INT(((MIN('_Dates'!Z765,Settings!$B$9))-('_Dates'!Y765)+1)/7)*LEN(SUBSTITUTE(W765,"O",""))+LEN(SUBSTITUTE(MID(W765&amp;W765,WEEKDAY(('_Dates'!Y765),2),MOD(((MIN('_Dates'!Z765,Settings!$B$9))-('_Dates'!Y765)+1),7)),"O",""))-COUNTIFS(INDEX(AllClosureRows,C765,0),"&gt;="&amp;('_Dates'!Y765),INDEX(AllClosureRows,C765,0),"&lt;="&amp;(MIN('_Dates'!Z765,Settings!$B$9))))))</ns0:f>
        <ns0:v>0</ns0:v>
      </ns0:c>
      <ns0:c r="I765" s="0">
        <ns0:f>MAX(0,G765-H765)</ns0:f>
        <ns0:v>0</ns0:v>
      </ns0:c>
      <ns0:c r="J765" s="0">
        <ns0:f>IF(OR(A765=0,F765&lt;&gt;"OK",Bookings!G765="Cancelled",$B$6&gt;0),0,IF('_Dates'!AC765=1,MAX(0,COUNTIFS(rngEngine_B,B765,rngAMStart,"&lt;="&amp;'_Dates'!X765,rngAMEnd,"&gt;="&amp;'_Dates'!W765,rngAMActive,1,rngEngine_F,"OK",rngBookings_F,"&lt;&gt;Cancelled")-1),0)+IF('_Dates'!AD765=1,MAX(0,COUNTIFS(rngEngine_B,B765,rngPMStart,"&lt;="&amp;'_Dates'!Z765,rngPMEnd,"&gt;="&amp;'_Dates'!Y765,rngPMActive,1,rngEngine_F,"OK",rngBookings_F,"&lt;&gt;Cancelled")-1),0))</ns0:f>
        <ns0:v>0</ns0:v>
      </ns0:c>
      <ns0:c r="K765" s="0" t="str">
        <ns0:f>IF(A765=0,"",IF(F765&lt;&gt;"OK",F765,IF(J765&gt;0,"CHECK overlapping entry",IF(AND($B$6=0,G765&lt;=0,Bookings!G765&lt;&gt;"Cancelled"),"CHECK no working days",IF(Bookings!G765="Cancelled","Cancelled","OK")))))</ns0:f>
        <ns0:v/>
      </ns0:c>
      <ns0:c r="L765" s="0">
        <ns0:f>IF(LEFT(K765,5)="CHECK",1,0)</ns0:f>
        <ns0:v>0</ns0:v>
      </ns0:c>
      <ns0:c r="M765" s="0">
        <ns0:f>IF(AND(L765=1,OR(C765=0,IFERROR(INDEX($X$11:$X$60,C765),0)=0)),1,0)</ns0:f>
        <ns0:v>0</ns0:v>
      </ns0:c>
      <ns0:c r="N765" s="0">
        <ns0:f>IF(OR(A765=0,L765&gt;0,$B$6&gt;0,Bookings!G765="Cancelled"),0,G765)</ns0:f>
        <ns0:v>0</ns0:v>
      </ns0:c>
      <ns0:c r="O765" s="0">
        <ns0:f>IF(AND(Bookings!G765="Approved",E765="Yes"),N765,0)</ns0:f>
        <ns0:v>0</ns0:v>
      </ns0:c>
      <ns0:c r="P765" s="0">
        <ns0:f>IF(AND(Bookings!G765="Approved",E765="Yes",L765=0,$B$6=0),H765,0)</ns0:f>
        <ns0:v>0</ns0:v>
      </ns0:c>
      <ns0:c r="Q765" s="0">
        <ns0:f>IF(AND(Bookings!G765="Approved",E765="Yes",L765=0,$B$6=0),I765,0)</ns0:f>
        <ns0:v>0</ns0:v>
      </ns0:c>
      <ns0:c r="R765" s="0">
        <ns0:f>IF(AND(Bookings!G765="Pending",E765="Yes"),N765,0)</ns0:f>
        <ns0:v>0</ns0:v>
      </ns0:c>
      <ns0:c r="S765" s="0">
        <ns0:f>IF(AND(Bookings!G765="Approved",E765="No"),N765,0)</ns0:f>
        <ns0:v>0</ns0:v>
      </ns0:c>
      <ns0:c r="T765" s="0">
        <ns0:f>IFERROR(MATCH(D765,Settings!$G$7:$G$11,0),0)</ns0:f>
        <ns0:v>0</ns0:v>
      </ns0:c>
      <ns0:c r="U765" s="0">
        <ns0:f>IF(N765&gt;0,T765+IF(Bookings!G765="Pending",10,0),0)</ns0:f>
        <ns0:v>0</ns0:v>
      </ns0:c>
      <ns0:c r="V765" s="0">
        <ns0:f>U765</ns0:f>
        <ns0:v>0</ns0:v>
      </ns0:c>
      <ns0:c r="W765" s="0" t="str">
        <ns0:f>IF(C765=0,"",INDEX($AP$11:$AP$60,C765))</ns0:f>
        <ns0:v/>
      </ns0:c>
    </ns0:row>
    <ns0:row r="766">
      <ns0:c r="A766" s="0">
        <ns0:f>IF(COUNTA(Bookings!A766:G766,Bookings!I766)=0,0,1)</ns0:f>
        <ns0:v>0</ns0:v>
      </ns0:c>
      <ns0:c r="B766" s="0" t="str">
        <ns0:f>IFERROR(TRIM(MID(Bookings!A766,FIND(" · ",Bookings!A766)+3,99)),"")</ns0:f>
        <ns0:v/>
      </ns0:c>
      <ns0:c r="C766" s="0">
        <ns0:f>IF(OR(B766="",LEN(B766)&gt;24,ISNUMBER(FIND(" ",B766)),ISNUMBER(FIND("*",B766)),ISNUMBER(FIND("?",B766)),ISNUMBER(FIND("~",B766))),0,IFERROR(MATCH(B766,Team!$A$11:$A$60,0),0))</ns0:f>
        <ns0:v>0</ns0:v>
      </ns0:c>
      <ns0:c r="D766" s="0" t="str">
        <ns0:f>IFERROR(IF(MID(Bookings!F766,LEN(Bookings!F766)-3,3)=" · ",RIGHT(Bookings!F766,1),""),"")</ns0:f>
        <ns0:v/>
      </ns0:c>
      <ns0:c r="E766" s="0" t="str">
        <ns0:f>IFERROR(INDEX(Settings!$H$7:$H$11,MATCH(D766,Settings!$G$7:$G$11,0)),"")</ns0:f>
        <ns0:v/>
      </ns0:c>
      <ns0:c r="F766" s="0" t="str">
        <ns0:f>IF(A766=0,"",IFERROR(IF(OR(B766="",C766=0),"CHECK employee selection",IF(INDEX(Team!$O$11:$O$60,C766)&lt;&gt;"OK","CHECK employee setup",IF(OR('_Dates'!J766=0,'_Dates'!T766=0),"CHECK date: use DD.MM.YYYY",IF('_Dates'!T766&lt;'_Dates'!J766,"CHECK end before start",IF(AND($B$6=0,OR('_Dates'!J766&lt;Settings!$B$7,'_Dates'!T766&gt;Settings!$B$8)),"CHECK split across leave years",IF(OR(NOT(OR('_Dates'!U766="Full day",'_Dates'!U766="AM",'_Dates'!U766="PM")),NOT(OR('_Dates'!V766="Full day",'_Dates'!V766="AM",'_Dates'!V766="PM"))),"CHECK Full day / AM / PM",IF(AND('_Dates'!J766='_Dates'!T766,'_Dates'!U766&lt;&gt;"Full day",'_Dates'!V766&lt;&gt;"Full day",'_Dates'!U766&lt;&gt;'_Dates'!V766),"CHECK same-day portions disagree",IF(AND($B$6=0,OR(AND('_Dates'!U766&lt;&gt;"Full day",'_Dates'!AA766=0),AND('_Dates'!V766&lt;&gt;"Full day",'_Dates'!AB766=0))),"CHECK half-day on non-working date",IF(COUNTIF(Settings!$G$7:$G$11,D766)&lt;&gt;1,"CHECK leave type",IF(AND(Bookings!G766&lt;&gt;"Approved",Bookings!G766&lt;&gt;"Pending",Bookings!G766&lt;&gt;"Cancelled"),"CHECK status","OK")))))))))),"CHECK input"))</ns0:f>
        <ns0:v/>
      </ns0:c>
      <ns0:c r="G766" s="0">
        <ns0:f>IF(OR(F766&lt;&gt;"OK",$B$6&gt;0),0,0.5*(IF(('_Dates'!X766)&lt;('_Dates'!W766),0,INT((('_Dates'!X766)-('_Dates'!W766)+1)/7)*LEN(SUBSTITUTE(W766,"O",""))+LEN(SUBSTITUTE(MID(W766&amp;W766,WEEKDAY(('_Dates'!W766),2),MOD((('_Dates'!X766)-('_Dates'!W766)+1),7)),"O",""))-COUNTIFS(INDEX(AllClosureRows,C766,0),"&gt;="&amp;('_Dates'!W766),INDEX(AllClosureRows,C766,0),"&lt;="&amp;('_Dates'!X766)))+IF(('_Dates'!Z766)&lt;('_Dates'!Y766),0,INT((('_Dates'!Z766)-('_Dates'!Y766)+1)/7)*LEN(SUBSTITUTE(W766,"O",""))+LEN(SUBSTITUTE(MID(W766&amp;W766,WEEKDAY(('_Dates'!Y766),2),MOD((('_Dates'!Z766)-('_Dates'!Y766)+1),7)),"O",""))-COUNTIFS(INDEX(AllClosureRows,C766,0),"&gt;="&amp;('_Dates'!Y766),INDEX(AllClosureRows,C766,0),"&lt;="&amp;('_Dates'!Z766)))))</ns0:f>
        <ns0:v>0</ns0:v>
      </ns0:c>
      <ns0:c r="H766" s="0">
        <ns0:f>IF(OR(F766&lt;&gt;"OK",$B$6&gt;0),0,0.5*(IF((MIN('_Dates'!X766,Settings!$B$9))&lt;('_Dates'!W766),0,INT(((MIN('_Dates'!X766,Settings!$B$9))-('_Dates'!W766)+1)/7)*LEN(SUBSTITUTE(W766,"O",""))+LEN(SUBSTITUTE(MID(W766&amp;W766,WEEKDAY(('_Dates'!W766),2),MOD(((MIN('_Dates'!X766,Settings!$B$9))-('_Dates'!W766)+1),7)),"O",""))-COUNTIFS(INDEX(AllClosureRows,C766,0),"&gt;="&amp;('_Dates'!W766),INDEX(AllClosureRows,C766,0),"&lt;="&amp;(MIN('_Dates'!X766,Settings!$B$9))))+IF((MIN('_Dates'!Z766,Settings!$B$9))&lt;('_Dates'!Y766),0,INT(((MIN('_Dates'!Z766,Settings!$B$9))-('_Dates'!Y766)+1)/7)*LEN(SUBSTITUTE(W766,"O",""))+LEN(SUBSTITUTE(MID(W766&amp;W766,WEEKDAY(('_Dates'!Y766),2),MOD(((MIN('_Dates'!Z766,Settings!$B$9))-('_Dates'!Y766)+1),7)),"O",""))-COUNTIFS(INDEX(AllClosureRows,C766,0),"&gt;="&amp;('_Dates'!Y766),INDEX(AllClosureRows,C766,0),"&lt;="&amp;(MIN('_Dates'!Z766,Settings!$B$9))))))</ns0:f>
        <ns0:v>0</ns0:v>
      </ns0:c>
      <ns0:c r="I766" s="0">
        <ns0:f>MAX(0,G766-H766)</ns0:f>
        <ns0:v>0</ns0:v>
      </ns0:c>
      <ns0:c r="J766" s="0">
        <ns0:f>IF(OR(A766=0,F766&lt;&gt;"OK",Bookings!G766="Cancelled",$B$6&gt;0),0,IF('_Dates'!AC766=1,MAX(0,COUNTIFS(rngEngine_B,B766,rngAMStart,"&lt;="&amp;'_Dates'!X766,rngAMEnd,"&gt;="&amp;'_Dates'!W766,rngAMActive,1,rngEngine_F,"OK",rngBookings_F,"&lt;&gt;Cancelled")-1),0)+IF('_Dates'!AD766=1,MAX(0,COUNTIFS(rngEngine_B,B766,rngPMStart,"&lt;="&amp;'_Dates'!Z766,rngPMEnd,"&gt;="&amp;'_Dates'!Y766,rngPMActive,1,rngEngine_F,"OK",rngBookings_F,"&lt;&gt;Cancelled")-1),0))</ns0:f>
        <ns0:v>0</ns0:v>
      </ns0:c>
      <ns0:c r="K766" s="0" t="str">
        <ns0:f>IF(A766=0,"",IF(F766&lt;&gt;"OK",F766,IF(J766&gt;0,"CHECK overlapping entry",IF(AND($B$6=0,G766&lt;=0,Bookings!G766&lt;&gt;"Cancelled"),"CHECK no working days",IF(Bookings!G766="Cancelled","Cancelled","OK")))))</ns0:f>
        <ns0:v/>
      </ns0:c>
      <ns0:c r="L766" s="0">
        <ns0:f>IF(LEFT(K766,5)="CHECK",1,0)</ns0:f>
        <ns0:v>0</ns0:v>
      </ns0:c>
      <ns0:c r="M766" s="0">
        <ns0:f>IF(AND(L766=1,OR(C766=0,IFERROR(INDEX($X$11:$X$60,C766),0)=0)),1,0)</ns0:f>
        <ns0:v>0</ns0:v>
      </ns0:c>
      <ns0:c r="N766" s="0">
        <ns0:f>IF(OR(A766=0,L766&gt;0,$B$6&gt;0,Bookings!G766="Cancelled"),0,G766)</ns0:f>
        <ns0:v>0</ns0:v>
      </ns0:c>
      <ns0:c r="O766" s="0">
        <ns0:f>IF(AND(Bookings!G766="Approved",E766="Yes"),N766,0)</ns0:f>
        <ns0:v>0</ns0:v>
      </ns0:c>
      <ns0:c r="P766" s="0">
        <ns0:f>IF(AND(Bookings!G766="Approved",E766="Yes",L766=0,$B$6=0),H766,0)</ns0:f>
        <ns0:v>0</ns0:v>
      </ns0:c>
      <ns0:c r="Q766" s="0">
        <ns0:f>IF(AND(Bookings!G766="Approved",E766="Yes",L766=0,$B$6=0),I766,0)</ns0:f>
        <ns0:v>0</ns0:v>
      </ns0:c>
      <ns0:c r="R766" s="0">
        <ns0:f>IF(AND(Bookings!G766="Pending",E766="Yes"),N766,0)</ns0:f>
        <ns0:v>0</ns0:v>
      </ns0:c>
      <ns0:c r="S766" s="0">
        <ns0:f>IF(AND(Bookings!G766="Approved",E766="No"),N766,0)</ns0:f>
        <ns0:v>0</ns0:v>
      </ns0:c>
      <ns0:c r="T766" s="0">
        <ns0:f>IFERROR(MATCH(D766,Settings!$G$7:$G$11,0),0)</ns0:f>
        <ns0:v>0</ns0:v>
      </ns0:c>
      <ns0:c r="U766" s="0">
        <ns0:f>IF(N766&gt;0,T766+IF(Bookings!G766="Pending",10,0),0)</ns0:f>
        <ns0:v>0</ns0:v>
      </ns0:c>
      <ns0:c r="V766" s="0">
        <ns0:f>U766</ns0:f>
        <ns0:v>0</ns0:v>
      </ns0:c>
      <ns0:c r="W766" s="0" t="str">
        <ns0:f>IF(C766=0,"",INDEX($AP$11:$AP$60,C766))</ns0:f>
        <ns0:v/>
      </ns0:c>
    </ns0:row>
    <ns0:row r="767">
      <ns0:c r="A767" s="0">
        <ns0:f>IF(COUNTA(Bookings!A767:G767,Bookings!I767)=0,0,1)</ns0:f>
        <ns0:v>0</ns0:v>
      </ns0:c>
      <ns0:c r="B767" s="0" t="str">
        <ns0:f>IFERROR(TRIM(MID(Bookings!A767,FIND(" · ",Bookings!A767)+3,99)),"")</ns0:f>
        <ns0:v/>
      </ns0:c>
      <ns0:c r="C767" s="0">
        <ns0:f>IF(OR(B767="",LEN(B767)&gt;24,ISNUMBER(FIND(" ",B767)),ISNUMBER(FIND("*",B767)),ISNUMBER(FIND("?",B767)),ISNUMBER(FIND("~",B767))),0,IFERROR(MATCH(B767,Team!$A$11:$A$60,0),0))</ns0:f>
        <ns0:v>0</ns0:v>
      </ns0:c>
      <ns0:c r="D767" s="0" t="str">
        <ns0:f>IFERROR(IF(MID(Bookings!F767,LEN(Bookings!F767)-3,3)=" · ",RIGHT(Bookings!F767,1),""),"")</ns0:f>
        <ns0:v/>
      </ns0:c>
      <ns0:c r="E767" s="0" t="str">
        <ns0:f>IFERROR(INDEX(Settings!$H$7:$H$11,MATCH(D767,Settings!$G$7:$G$11,0)),"")</ns0:f>
        <ns0:v/>
      </ns0:c>
      <ns0:c r="F767" s="0" t="str">
        <ns0:f>IF(A767=0,"",IFERROR(IF(OR(B767="",C767=0),"CHECK employee selection",IF(INDEX(Team!$O$11:$O$60,C767)&lt;&gt;"OK","CHECK employee setup",IF(OR('_Dates'!J767=0,'_Dates'!T767=0),"CHECK date: use DD.MM.YYYY",IF('_Dates'!T767&lt;'_Dates'!J767,"CHECK end before start",IF(AND($B$6=0,OR('_Dates'!J767&lt;Settings!$B$7,'_Dates'!T767&gt;Settings!$B$8)),"CHECK split across leave years",IF(OR(NOT(OR('_Dates'!U767="Full day",'_Dates'!U767="AM",'_Dates'!U767="PM")),NOT(OR('_Dates'!V767="Full day",'_Dates'!V767="AM",'_Dates'!V767="PM"))),"CHECK Full day / AM / PM",IF(AND('_Dates'!J767='_Dates'!T767,'_Dates'!U767&lt;&gt;"Full day",'_Dates'!V767&lt;&gt;"Full day",'_Dates'!U767&lt;&gt;'_Dates'!V767),"CHECK same-day portions disagree",IF(AND($B$6=0,OR(AND('_Dates'!U767&lt;&gt;"Full day",'_Dates'!AA767=0),AND('_Dates'!V767&lt;&gt;"Full day",'_Dates'!AB767=0))),"CHECK half-day on non-working date",IF(COUNTIF(Settings!$G$7:$G$11,D767)&lt;&gt;1,"CHECK leave type",IF(AND(Bookings!G767&lt;&gt;"Approved",Bookings!G767&lt;&gt;"Pending",Bookings!G767&lt;&gt;"Cancelled"),"CHECK status","OK")))))))))),"CHECK input"))</ns0:f>
        <ns0:v/>
      </ns0:c>
      <ns0:c r="G767" s="0">
        <ns0:f>IF(OR(F767&lt;&gt;"OK",$B$6&gt;0),0,0.5*(IF(('_Dates'!X767)&lt;('_Dates'!W767),0,INT((('_Dates'!X767)-('_Dates'!W767)+1)/7)*LEN(SUBSTITUTE(W767,"O",""))+LEN(SUBSTITUTE(MID(W767&amp;W767,WEEKDAY(('_Dates'!W767),2),MOD((('_Dates'!X767)-('_Dates'!W767)+1),7)),"O",""))-COUNTIFS(INDEX(AllClosureRows,C767,0),"&gt;="&amp;('_Dates'!W767),INDEX(AllClosureRows,C767,0),"&lt;="&amp;('_Dates'!X767)))+IF(('_Dates'!Z767)&lt;('_Dates'!Y767),0,INT((('_Dates'!Z767)-('_Dates'!Y767)+1)/7)*LEN(SUBSTITUTE(W767,"O",""))+LEN(SUBSTITUTE(MID(W767&amp;W767,WEEKDAY(('_Dates'!Y767),2),MOD((('_Dates'!Z767)-('_Dates'!Y767)+1),7)),"O",""))-COUNTIFS(INDEX(AllClosureRows,C767,0),"&gt;="&amp;('_Dates'!Y767),INDEX(AllClosureRows,C767,0),"&lt;="&amp;('_Dates'!Z767)))))</ns0:f>
        <ns0:v>0</ns0:v>
      </ns0:c>
      <ns0:c r="H767" s="0">
        <ns0:f>IF(OR(F767&lt;&gt;"OK",$B$6&gt;0),0,0.5*(IF((MIN('_Dates'!X767,Settings!$B$9))&lt;('_Dates'!W767),0,INT(((MIN('_Dates'!X767,Settings!$B$9))-('_Dates'!W767)+1)/7)*LEN(SUBSTITUTE(W767,"O",""))+LEN(SUBSTITUTE(MID(W767&amp;W767,WEEKDAY(('_Dates'!W767),2),MOD(((MIN('_Dates'!X767,Settings!$B$9))-('_Dates'!W767)+1),7)),"O",""))-COUNTIFS(INDEX(AllClosureRows,C767,0),"&gt;="&amp;('_Dates'!W767),INDEX(AllClosureRows,C767,0),"&lt;="&amp;(MIN('_Dates'!X767,Settings!$B$9))))+IF((MIN('_Dates'!Z767,Settings!$B$9))&lt;('_Dates'!Y767),0,INT(((MIN('_Dates'!Z767,Settings!$B$9))-('_Dates'!Y767)+1)/7)*LEN(SUBSTITUTE(W767,"O",""))+LEN(SUBSTITUTE(MID(W767&amp;W767,WEEKDAY(('_Dates'!Y767),2),MOD(((MIN('_Dates'!Z767,Settings!$B$9))-('_Dates'!Y767)+1),7)),"O",""))-COUNTIFS(INDEX(AllClosureRows,C767,0),"&gt;="&amp;('_Dates'!Y767),INDEX(AllClosureRows,C767,0),"&lt;="&amp;(MIN('_Dates'!Z767,Settings!$B$9))))))</ns0:f>
        <ns0:v>0</ns0:v>
      </ns0:c>
      <ns0:c r="I767" s="0">
        <ns0:f>MAX(0,G767-H767)</ns0:f>
        <ns0:v>0</ns0:v>
      </ns0:c>
      <ns0:c r="J767" s="0">
        <ns0:f>IF(OR(A767=0,F767&lt;&gt;"OK",Bookings!G767="Cancelled",$B$6&gt;0),0,IF('_Dates'!AC767=1,MAX(0,COUNTIFS(rngEngine_B,B767,rngAMStart,"&lt;="&amp;'_Dates'!X767,rngAMEnd,"&gt;="&amp;'_Dates'!W767,rngAMActive,1,rngEngine_F,"OK",rngBookings_F,"&lt;&gt;Cancelled")-1),0)+IF('_Dates'!AD767=1,MAX(0,COUNTIFS(rngEngine_B,B767,rngPMStart,"&lt;="&amp;'_Dates'!Z767,rngPMEnd,"&gt;="&amp;'_Dates'!Y767,rngPMActive,1,rngEngine_F,"OK",rngBookings_F,"&lt;&gt;Cancelled")-1),0))</ns0:f>
        <ns0:v>0</ns0:v>
      </ns0:c>
      <ns0:c r="K767" s="0" t="str">
        <ns0:f>IF(A767=0,"",IF(F767&lt;&gt;"OK",F767,IF(J767&gt;0,"CHECK overlapping entry",IF(AND($B$6=0,G767&lt;=0,Bookings!G767&lt;&gt;"Cancelled"),"CHECK no working days",IF(Bookings!G767="Cancelled","Cancelled","OK")))))</ns0:f>
        <ns0:v/>
      </ns0:c>
      <ns0:c r="L767" s="0">
        <ns0:f>IF(LEFT(K767,5)="CHECK",1,0)</ns0:f>
        <ns0:v>0</ns0:v>
      </ns0:c>
      <ns0:c r="M767" s="0">
        <ns0:f>IF(AND(L767=1,OR(C767=0,IFERROR(INDEX($X$11:$X$60,C767),0)=0)),1,0)</ns0:f>
        <ns0:v>0</ns0:v>
      </ns0:c>
      <ns0:c r="N767" s="0">
        <ns0:f>IF(OR(A767=0,L767&gt;0,$B$6&gt;0,Bookings!G767="Cancelled"),0,G767)</ns0:f>
        <ns0:v>0</ns0:v>
      </ns0:c>
      <ns0:c r="O767" s="0">
        <ns0:f>IF(AND(Bookings!G767="Approved",E767="Yes"),N767,0)</ns0:f>
        <ns0:v>0</ns0:v>
      </ns0:c>
      <ns0:c r="P767" s="0">
        <ns0:f>IF(AND(Bookings!G767="Approved",E767="Yes",L767=0,$B$6=0),H767,0)</ns0:f>
        <ns0:v>0</ns0:v>
      </ns0:c>
      <ns0:c r="Q767" s="0">
        <ns0:f>IF(AND(Bookings!G767="Approved",E767="Yes",L767=0,$B$6=0),I767,0)</ns0:f>
        <ns0:v>0</ns0:v>
      </ns0:c>
      <ns0:c r="R767" s="0">
        <ns0:f>IF(AND(Bookings!G767="Pending",E767="Yes"),N767,0)</ns0:f>
        <ns0:v>0</ns0:v>
      </ns0:c>
      <ns0:c r="S767" s="0">
        <ns0:f>IF(AND(Bookings!G767="Approved",E767="No"),N767,0)</ns0:f>
        <ns0:v>0</ns0:v>
      </ns0:c>
      <ns0:c r="T767" s="0">
        <ns0:f>IFERROR(MATCH(D767,Settings!$G$7:$G$11,0),0)</ns0:f>
        <ns0:v>0</ns0:v>
      </ns0:c>
      <ns0:c r="U767" s="0">
        <ns0:f>IF(N767&gt;0,T767+IF(Bookings!G767="Pending",10,0),0)</ns0:f>
        <ns0:v>0</ns0:v>
      </ns0:c>
      <ns0:c r="V767" s="0">
        <ns0:f>U767</ns0:f>
        <ns0:v>0</ns0:v>
      </ns0:c>
      <ns0:c r="W767" s="0" t="str">
        <ns0:f>IF(C767=0,"",INDEX($AP$11:$AP$60,C767))</ns0:f>
        <ns0:v/>
      </ns0:c>
    </ns0:row>
    <ns0:row r="768">
      <ns0:c r="A768" s="0">
        <ns0:f>IF(COUNTA(Bookings!A768:G768,Bookings!I768)=0,0,1)</ns0:f>
        <ns0:v>0</ns0:v>
      </ns0:c>
      <ns0:c r="B768" s="0" t="str">
        <ns0:f>IFERROR(TRIM(MID(Bookings!A768,FIND(" · ",Bookings!A768)+3,99)),"")</ns0:f>
        <ns0:v/>
      </ns0:c>
      <ns0:c r="C768" s="0">
        <ns0:f>IF(OR(B768="",LEN(B768)&gt;24,ISNUMBER(FIND(" ",B768)),ISNUMBER(FIND("*",B768)),ISNUMBER(FIND("?",B768)),ISNUMBER(FIND("~",B768))),0,IFERROR(MATCH(B768,Team!$A$11:$A$60,0),0))</ns0:f>
        <ns0:v>0</ns0:v>
      </ns0:c>
      <ns0:c r="D768" s="0" t="str">
        <ns0:f>IFERROR(IF(MID(Bookings!F768,LEN(Bookings!F768)-3,3)=" · ",RIGHT(Bookings!F768,1),""),"")</ns0:f>
        <ns0:v/>
      </ns0:c>
      <ns0:c r="E768" s="0" t="str">
        <ns0:f>IFERROR(INDEX(Settings!$H$7:$H$11,MATCH(D768,Settings!$G$7:$G$11,0)),"")</ns0:f>
        <ns0:v/>
      </ns0:c>
      <ns0:c r="F768" s="0" t="str">
        <ns0:f>IF(A768=0,"",IFERROR(IF(OR(B768="",C768=0),"CHECK employee selection",IF(INDEX(Team!$O$11:$O$60,C768)&lt;&gt;"OK","CHECK employee setup",IF(OR('_Dates'!J768=0,'_Dates'!T768=0),"CHECK date: use DD.MM.YYYY",IF('_Dates'!T768&lt;'_Dates'!J768,"CHECK end before start",IF(AND($B$6=0,OR('_Dates'!J768&lt;Settings!$B$7,'_Dates'!T768&gt;Settings!$B$8)),"CHECK split across leave years",IF(OR(NOT(OR('_Dates'!U768="Full day",'_Dates'!U768="AM",'_Dates'!U768="PM")),NOT(OR('_Dates'!V768="Full day",'_Dates'!V768="AM",'_Dates'!V768="PM"))),"CHECK Full day / AM / PM",IF(AND('_Dates'!J768='_Dates'!T768,'_Dates'!U768&lt;&gt;"Full day",'_Dates'!V768&lt;&gt;"Full day",'_Dates'!U768&lt;&gt;'_Dates'!V768),"CHECK same-day portions disagree",IF(AND($B$6=0,OR(AND('_Dates'!U768&lt;&gt;"Full day",'_Dates'!AA768=0),AND('_Dates'!V768&lt;&gt;"Full day",'_Dates'!AB768=0))),"CHECK half-day on non-working date",IF(COUNTIF(Settings!$G$7:$G$11,D768)&lt;&gt;1,"CHECK leave type",IF(AND(Bookings!G768&lt;&gt;"Approved",Bookings!G768&lt;&gt;"Pending",Bookings!G768&lt;&gt;"Cancelled"),"CHECK status","OK")))))))))),"CHECK input"))</ns0:f>
        <ns0:v/>
      </ns0:c>
      <ns0:c r="G768" s="0">
        <ns0:f>IF(OR(F768&lt;&gt;"OK",$B$6&gt;0),0,0.5*(IF(('_Dates'!X768)&lt;('_Dates'!W768),0,INT((('_Dates'!X768)-('_Dates'!W768)+1)/7)*LEN(SUBSTITUTE(W768,"O",""))+LEN(SUBSTITUTE(MID(W768&amp;W768,WEEKDAY(('_Dates'!W768),2),MOD((('_Dates'!X768)-('_Dates'!W768)+1),7)),"O",""))-COUNTIFS(INDEX(AllClosureRows,C768,0),"&gt;="&amp;('_Dates'!W768),INDEX(AllClosureRows,C768,0),"&lt;="&amp;('_Dates'!X768)))+IF(('_Dates'!Z768)&lt;('_Dates'!Y768),0,INT((('_Dates'!Z768)-('_Dates'!Y768)+1)/7)*LEN(SUBSTITUTE(W768,"O",""))+LEN(SUBSTITUTE(MID(W768&amp;W768,WEEKDAY(('_Dates'!Y768),2),MOD((('_Dates'!Z768)-('_Dates'!Y768)+1),7)),"O",""))-COUNTIFS(INDEX(AllClosureRows,C768,0),"&gt;="&amp;('_Dates'!Y768),INDEX(AllClosureRows,C768,0),"&lt;="&amp;('_Dates'!Z768)))))</ns0:f>
        <ns0:v>0</ns0:v>
      </ns0:c>
      <ns0:c r="H768" s="0">
        <ns0:f>IF(OR(F768&lt;&gt;"OK",$B$6&gt;0),0,0.5*(IF((MIN('_Dates'!X768,Settings!$B$9))&lt;('_Dates'!W768),0,INT(((MIN('_Dates'!X768,Settings!$B$9))-('_Dates'!W768)+1)/7)*LEN(SUBSTITUTE(W768,"O",""))+LEN(SUBSTITUTE(MID(W768&amp;W768,WEEKDAY(('_Dates'!W768),2),MOD(((MIN('_Dates'!X768,Settings!$B$9))-('_Dates'!W768)+1),7)),"O",""))-COUNTIFS(INDEX(AllClosureRows,C768,0),"&gt;="&amp;('_Dates'!W768),INDEX(AllClosureRows,C768,0),"&lt;="&amp;(MIN('_Dates'!X768,Settings!$B$9))))+IF((MIN('_Dates'!Z768,Settings!$B$9))&lt;('_Dates'!Y768),0,INT(((MIN('_Dates'!Z768,Settings!$B$9))-('_Dates'!Y768)+1)/7)*LEN(SUBSTITUTE(W768,"O",""))+LEN(SUBSTITUTE(MID(W768&amp;W768,WEEKDAY(('_Dates'!Y768),2),MOD(((MIN('_Dates'!Z768,Settings!$B$9))-('_Dates'!Y768)+1),7)),"O",""))-COUNTIFS(INDEX(AllClosureRows,C768,0),"&gt;="&amp;('_Dates'!Y768),INDEX(AllClosureRows,C768,0),"&lt;="&amp;(MIN('_Dates'!Z768,Settings!$B$9))))))</ns0:f>
        <ns0:v>0</ns0:v>
      </ns0:c>
      <ns0:c r="I768" s="0">
        <ns0:f>MAX(0,G768-H768)</ns0:f>
        <ns0:v>0</ns0:v>
      </ns0:c>
      <ns0:c r="J768" s="0">
        <ns0:f>IF(OR(A768=0,F768&lt;&gt;"OK",Bookings!G768="Cancelled",$B$6&gt;0),0,IF('_Dates'!AC768=1,MAX(0,COUNTIFS(rngEngine_B,B768,rngAMStart,"&lt;="&amp;'_Dates'!X768,rngAMEnd,"&gt;="&amp;'_Dates'!W768,rngAMActive,1,rngEngine_F,"OK",rngBookings_F,"&lt;&gt;Cancelled")-1),0)+IF('_Dates'!AD768=1,MAX(0,COUNTIFS(rngEngine_B,B768,rngPMStart,"&lt;="&amp;'_Dates'!Z768,rngPMEnd,"&gt;="&amp;'_Dates'!Y768,rngPMActive,1,rngEngine_F,"OK",rngBookings_F,"&lt;&gt;Cancelled")-1),0))</ns0:f>
        <ns0:v>0</ns0:v>
      </ns0:c>
      <ns0:c r="K768" s="0" t="str">
        <ns0:f>IF(A768=0,"",IF(F768&lt;&gt;"OK",F768,IF(J768&gt;0,"CHECK overlapping entry",IF(AND($B$6=0,G768&lt;=0,Bookings!G768&lt;&gt;"Cancelled"),"CHECK no working days",IF(Bookings!G768="Cancelled","Cancelled","OK")))))</ns0:f>
        <ns0:v/>
      </ns0:c>
      <ns0:c r="L768" s="0">
        <ns0:f>IF(LEFT(K768,5)="CHECK",1,0)</ns0:f>
        <ns0:v>0</ns0:v>
      </ns0:c>
      <ns0:c r="M768" s="0">
        <ns0:f>IF(AND(L768=1,OR(C768=0,IFERROR(INDEX($X$11:$X$60,C768),0)=0)),1,0)</ns0:f>
        <ns0:v>0</ns0:v>
      </ns0:c>
      <ns0:c r="N768" s="0">
        <ns0:f>IF(OR(A768=0,L768&gt;0,$B$6&gt;0,Bookings!G768="Cancelled"),0,G768)</ns0:f>
        <ns0:v>0</ns0:v>
      </ns0:c>
      <ns0:c r="O768" s="0">
        <ns0:f>IF(AND(Bookings!G768="Approved",E768="Yes"),N768,0)</ns0:f>
        <ns0:v>0</ns0:v>
      </ns0:c>
      <ns0:c r="P768" s="0">
        <ns0:f>IF(AND(Bookings!G768="Approved",E768="Yes",L768=0,$B$6=0),H768,0)</ns0:f>
        <ns0:v>0</ns0:v>
      </ns0:c>
      <ns0:c r="Q768" s="0">
        <ns0:f>IF(AND(Bookings!G768="Approved",E768="Yes",L768=0,$B$6=0),I768,0)</ns0:f>
        <ns0:v>0</ns0:v>
      </ns0:c>
      <ns0:c r="R768" s="0">
        <ns0:f>IF(AND(Bookings!G768="Pending",E768="Yes"),N768,0)</ns0:f>
        <ns0:v>0</ns0:v>
      </ns0:c>
      <ns0:c r="S768" s="0">
        <ns0:f>IF(AND(Bookings!G768="Approved",E768="No"),N768,0)</ns0:f>
        <ns0:v>0</ns0:v>
      </ns0:c>
      <ns0:c r="T768" s="0">
        <ns0:f>IFERROR(MATCH(D768,Settings!$G$7:$G$11,0),0)</ns0:f>
        <ns0:v>0</ns0:v>
      </ns0:c>
      <ns0:c r="U768" s="0">
        <ns0:f>IF(N768&gt;0,T768+IF(Bookings!G768="Pending",10,0),0)</ns0:f>
        <ns0:v>0</ns0:v>
      </ns0:c>
      <ns0:c r="V768" s="0">
        <ns0:f>U768</ns0:f>
        <ns0:v>0</ns0:v>
      </ns0:c>
      <ns0:c r="W768" s="0" t="str">
        <ns0:f>IF(C768=0,"",INDEX($AP$11:$AP$60,C768))</ns0:f>
        <ns0:v/>
      </ns0:c>
    </ns0:row>
    <ns0:row r="769">
      <ns0:c r="A769" s="0">
        <ns0:f>IF(COUNTA(Bookings!A769:G769,Bookings!I769)=0,0,1)</ns0:f>
        <ns0:v>0</ns0:v>
      </ns0:c>
      <ns0:c r="B769" s="0" t="str">
        <ns0:f>IFERROR(TRIM(MID(Bookings!A769,FIND(" · ",Bookings!A769)+3,99)),"")</ns0:f>
        <ns0:v/>
      </ns0:c>
      <ns0:c r="C769" s="0">
        <ns0:f>IF(OR(B769="",LEN(B769)&gt;24,ISNUMBER(FIND(" ",B769)),ISNUMBER(FIND("*",B769)),ISNUMBER(FIND("?",B769)),ISNUMBER(FIND("~",B769))),0,IFERROR(MATCH(B769,Team!$A$11:$A$60,0),0))</ns0:f>
        <ns0:v>0</ns0:v>
      </ns0:c>
      <ns0:c r="D769" s="0" t="str">
        <ns0:f>IFERROR(IF(MID(Bookings!F769,LEN(Bookings!F769)-3,3)=" · ",RIGHT(Bookings!F769,1),""),"")</ns0:f>
        <ns0:v/>
      </ns0:c>
      <ns0:c r="E769" s="0" t="str">
        <ns0:f>IFERROR(INDEX(Settings!$H$7:$H$11,MATCH(D769,Settings!$G$7:$G$11,0)),"")</ns0:f>
        <ns0:v/>
      </ns0:c>
      <ns0:c r="F769" s="0" t="str">
        <ns0:f>IF(A769=0,"",IFERROR(IF(OR(B769="",C769=0),"CHECK employee selection",IF(INDEX(Team!$O$11:$O$60,C769)&lt;&gt;"OK","CHECK employee setup",IF(OR('_Dates'!J769=0,'_Dates'!T769=0),"CHECK date: use DD.MM.YYYY",IF('_Dates'!T769&lt;'_Dates'!J769,"CHECK end before start",IF(AND($B$6=0,OR('_Dates'!J769&lt;Settings!$B$7,'_Dates'!T769&gt;Settings!$B$8)),"CHECK split across leave years",IF(OR(NOT(OR('_Dates'!U769="Full day",'_Dates'!U769="AM",'_Dates'!U769="PM")),NOT(OR('_Dates'!V769="Full day",'_Dates'!V769="AM",'_Dates'!V769="PM"))),"CHECK Full day / AM / PM",IF(AND('_Dates'!J769='_Dates'!T769,'_Dates'!U769&lt;&gt;"Full day",'_Dates'!V769&lt;&gt;"Full day",'_Dates'!U769&lt;&gt;'_Dates'!V769),"CHECK same-day portions disagree",IF(AND($B$6=0,OR(AND('_Dates'!U769&lt;&gt;"Full day",'_Dates'!AA769=0),AND('_Dates'!V769&lt;&gt;"Full day",'_Dates'!AB769=0))),"CHECK half-day on non-working date",IF(COUNTIF(Settings!$G$7:$G$11,D769)&lt;&gt;1,"CHECK leave type",IF(AND(Bookings!G769&lt;&gt;"Approved",Bookings!G769&lt;&gt;"Pending",Bookings!G769&lt;&gt;"Cancelled"),"CHECK status","OK")))))))))),"CHECK input"))</ns0:f>
        <ns0:v/>
      </ns0:c>
      <ns0:c r="G769" s="0">
        <ns0:f>IF(OR(F769&lt;&gt;"OK",$B$6&gt;0),0,0.5*(IF(('_Dates'!X769)&lt;('_Dates'!W769),0,INT((('_Dates'!X769)-('_Dates'!W769)+1)/7)*LEN(SUBSTITUTE(W769,"O",""))+LEN(SUBSTITUTE(MID(W769&amp;W769,WEEKDAY(('_Dates'!W769),2),MOD((('_Dates'!X769)-('_Dates'!W769)+1),7)),"O",""))-COUNTIFS(INDEX(AllClosureRows,C769,0),"&gt;="&amp;('_Dates'!W769),INDEX(AllClosureRows,C769,0),"&lt;="&amp;('_Dates'!X769)))+IF(('_Dates'!Z769)&lt;('_Dates'!Y769),0,INT((('_Dates'!Z769)-('_Dates'!Y769)+1)/7)*LEN(SUBSTITUTE(W769,"O",""))+LEN(SUBSTITUTE(MID(W769&amp;W769,WEEKDAY(('_Dates'!Y769),2),MOD((('_Dates'!Z769)-('_Dates'!Y769)+1),7)),"O",""))-COUNTIFS(INDEX(AllClosureRows,C769,0),"&gt;="&amp;('_Dates'!Y769),INDEX(AllClosureRows,C769,0),"&lt;="&amp;('_Dates'!Z769)))))</ns0:f>
        <ns0:v>0</ns0:v>
      </ns0:c>
      <ns0:c r="H769" s="0">
        <ns0:f>IF(OR(F769&lt;&gt;"OK",$B$6&gt;0),0,0.5*(IF((MIN('_Dates'!X769,Settings!$B$9))&lt;('_Dates'!W769),0,INT(((MIN('_Dates'!X769,Settings!$B$9))-('_Dates'!W769)+1)/7)*LEN(SUBSTITUTE(W769,"O",""))+LEN(SUBSTITUTE(MID(W769&amp;W769,WEEKDAY(('_Dates'!W769),2),MOD(((MIN('_Dates'!X769,Settings!$B$9))-('_Dates'!W769)+1),7)),"O",""))-COUNTIFS(INDEX(AllClosureRows,C769,0),"&gt;="&amp;('_Dates'!W769),INDEX(AllClosureRows,C769,0),"&lt;="&amp;(MIN('_Dates'!X769,Settings!$B$9))))+IF((MIN('_Dates'!Z769,Settings!$B$9))&lt;('_Dates'!Y769),0,INT(((MIN('_Dates'!Z769,Settings!$B$9))-('_Dates'!Y769)+1)/7)*LEN(SUBSTITUTE(W769,"O",""))+LEN(SUBSTITUTE(MID(W769&amp;W769,WEEKDAY(('_Dates'!Y769),2),MOD(((MIN('_Dates'!Z769,Settings!$B$9))-('_Dates'!Y769)+1),7)),"O",""))-COUNTIFS(INDEX(AllClosureRows,C769,0),"&gt;="&amp;('_Dates'!Y769),INDEX(AllClosureRows,C769,0),"&lt;="&amp;(MIN('_Dates'!Z769,Settings!$B$9))))))</ns0:f>
        <ns0:v>0</ns0:v>
      </ns0:c>
      <ns0:c r="I769" s="0">
        <ns0:f>MAX(0,G769-H769)</ns0:f>
        <ns0:v>0</ns0:v>
      </ns0:c>
      <ns0:c r="J769" s="0">
        <ns0:f>IF(OR(A769=0,F769&lt;&gt;"OK",Bookings!G769="Cancelled",$B$6&gt;0),0,IF('_Dates'!AC769=1,MAX(0,COUNTIFS(rngEngine_B,B769,rngAMStart,"&lt;="&amp;'_Dates'!X769,rngAMEnd,"&gt;="&amp;'_Dates'!W769,rngAMActive,1,rngEngine_F,"OK",rngBookings_F,"&lt;&gt;Cancelled")-1),0)+IF('_Dates'!AD769=1,MAX(0,COUNTIFS(rngEngine_B,B769,rngPMStart,"&lt;="&amp;'_Dates'!Z769,rngPMEnd,"&gt;="&amp;'_Dates'!Y769,rngPMActive,1,rngEngine_F,"OK",rngBookings_F,"&lt;&gt;Cancelled")-1),0))</ns0:f>
        <ns0:v>0</ns0:v>
      </ns0:c>
      <ns0:c r="K769" s="0" t="str">
        <ns0:f>IF(A769=0,"",IF(F769&lt;&gt;"OK",F769,IF(J769&gt;0,"CHECK overlapping entry",IF(AND($B$6=0,G769&lt;=0,Bookings!G769&lt;&gt;"Cancelled"),"CHECK no working days",IF(Bookings!G769="Cancelled","Cancelled","OK")))))</ns0:f>
        <ns0:v/>
      </ns0:c>
      <ns0:c r="L769" s="0">
        <ns0:f>IF(LEFT(K769,5)="CHECK",1,0)</ns0:f>
        <ns0:v>0</ns0:v>
      </ns0:c>
      <ns0:c r="M769" s="0">
        <ns0:f>IF(AND(L769=1,OR(C769=0,IFERROR(INDEX($X$11:$X$60,C769),0)=0)),1,0)</ns0:f>
        <ns0:v>0</ns0:v>
      </ns0:c>
      <ns0:c r="N769" s="0">
        <ns0:f>IF(OR(A769=0,L769&gt;0,$B$6&gt;0,Bookings!G769="Cancelled"),0,G769)</ns0:f>
        <ns0:v>0</ns0:v>
      </ns0:c>
      <ns0:c r="O769" s="0">
        <ns0:f>IF(AND(Bookings!G769="Approved",E769="Yes"),N769,0)</ns0:f>
        <ns0:v>0</ns0:v>
      </ns0:c>
      <ns0:c r="P769" s="0">
        <ns0:f>IF(AND(Bookings!G769="Approved",E769="Yes",L769=0,$B$6=0),H769,0)</ns0:f>
        <ns0:v>0</ns0:v>
      </ns0:c>
      <ns0:c r="Q769" s="0">
        <ns0:f>IF(AND(Bookings!G769="Approved",E769="Yes",L769=0,$B$6=0),I769,0)</ns0:f>
        <ns0:v>0</ns0:v>
      </ns0:c>
      <ns0:c r="R769" s="0">
        <ns0:f>IF(AND(Bookings!G769="Pending",E769="Yes"),N769,0)</ns0:f>
        <ns0:v>0</ns0:v>
      </ns0:c>
      <ns0:c r="S769" s="0">
        <ns0:f>IF(AND(Bookings!G769="Approved",E769="No"),N769,0)</ns0:f>
        <ns0:v>0</ns0:v>
      </ns0:c>
      <ns0:c r="T769" s="0">
        <ns0:f>IFERROR(MATCH(D769,Settings!$G$7:$G$11,0),0)</ns0:f>
        <ns0:v>0</ns0:v>
      </ns0:c>
      <ns0:c r="U769" s="0">
        <ns0:f>IF(N769&gt;0,T769+IF(Bookings!G769="Pending",10,0),0)</ns0:f>
        <ns0:v>0</ns0:v>
      </ns0:c>
      <ns0:c r="V769" s="0">
        <ns0:f>U769</ns0:f>
        <ns0:v>0</ns0:v>
      </ns0:c>
      <ns0:c r="W769" s="0" t="str">
        <ns0:f>IF(C769=0,"",INDEX($AP$11:$AP$60,C769))</ns0:f>
        <ns0:v/>
      </ns0:c>
    </ns0:row>
    <ns0:row r="770">
      <ns0:c r="A770" s="0">
        <ns0:f>IF(COUNTA(Bookings!A770:G770,Bookings!I770)=0,0,1)</ns0:f>
        <ns0:v>0</ns0:v>
      </ns0:c>
      <ns0:c r="B770" s="0" t="str">
        <ns0:f>IFERROR(TRIM(MID(Bookings!A770,FIND(" · ",Bookings!A770)+3,99)),"")</ns0:f>
        <ns0:v/>
      </ns0:c>
      <ns0:c r="C770" s="0">
        <ns0:f>IF(OR(B770="",LEN(B770)&gt;24,ISNUMBER(FIND(" ",B770)),ISNUMBER(FIND("*",B770)),ISNUMBER(FIND("?",B770)),ISNUMBER(FIND("~",B770))),0,IFERROR(MATCH(B770,Team!$A$11:$A$60,0),0))</ns0:f>
        <ns0:v>0</ns0:v>
      </ns0:c>
      <ns0:c r="D770" s="0" t="str">
        <ns0:f>IFERROR(IF(MID(Bookings!F770,LEN(Bookings!F770)-3,3)=" · ",RIGHT(Bookings!F770,1),""),"")</ns0:f>
        <ns0:v/>
      </ns0:c>
      <ns0:c r="E770" s="0" t="str">
        <ns0:f>IFERROR(INDEX(Settings!$H$7:$H$11,MATCH(D770,Settings!$G$7:$G$11,0)),"")</ns0:f>
        <ns0:v/>
      </ns0:c>
      <ns0:c r="F770" s="0" t="str">
        <ns0:f>IF(A770=0,"",IFERROR(IF(OR(B770="",C770=0),"CHECK employee selection",IF(INDEX(Team!$O$11:$O$60,C770)&lt;&gt;"OK","CHECK employee setup",IF(OR('_Dates'!J770=0,'_Dates'!T770=0),"CHECK date: use DD.MM.YYYY",IF('_Dates'!T770&lt;'_Dates'!J770,"CHECK end before start",IF(AND($B$6=0,OR('_Dates'!J770&lt;Settings!$B$7,'_Dates'!T770&gt;Settings!$B$8)),"CHECK split across leave years",IF(OR(NOT(OR('_Dates'!U770="Full day",'_Dates'!U770="AM",'_Dates'!U770="PM")),NOT(OR('_Dates'!V770="Full day",'_Dates'!V770="AM",'_Dates'!V770="PM"))),"CHECK Full day / AM / PM",IF(AND('_Dates'!J770='_Dates'!T770,'_Dates'!U770&lt;&gt;"Full day",'_Dates'!V770&lt;&gt;"Full day",'_Dates'!U770&lt;&gt;'_Dates'!V770),"CHECK same-day portions disagree",IF(AND($B$6=0,OR(AND('_Dates'!U770&lt;&gt;"Full day",'_Dates'!AA770=0),AND('_Dates'!V770&lt;&gt;"Full day",'_Dates'!AB770=0))),"CHECK half-day on non-working date",IF(COUNTIF(Settings!$G$7:$G$11,D770)&lt;&gt;1,"CHECK leave type",IF(AND(Bookings!G770&lt;&gt;"Approved",Bookings!G770&lt;&gt;"Pending",Bookings!G770&lt;&gt;"Cancelled"),"CHECK status","OK")))))))))),"CHECK input"))</ns0:f>
        <ns0:v/>
      </ns0:c>
      <ns0:c r="G770" s="0">
        <ns0:f>IF(OR(F770&lt;&gt;"OK",$B$6&gt;0),0,0.5*(IF(('_Dates'!X770)&lt;('_Dates'!W770),0,INT((('_Dates'!X770)-('_Dates'!W770)+1)/7)*LEN(SUBSTITUTE(W770,"O",""))+LEN(SUBSTITUTE(MID(W770&amp;W770,WEEKDAY(('_Dates'!W770),2),MOD((('_Dates'!X770)-('_Dates'!W770)+1),7)),"O",""))-COUNTIFS(INDEX(AllClosureRows,C770,0),"&gt;="&amp;('_Dates'!W770),INDEX(AllClosureRows,C770,0),"&lt;="&amp;('_Dates'!X770)))+IF(('_Dates'!Z770)&lt;('_Dates'!Y770),0,INT((('_Dates'!Z770)-('_Dates'!Y770)+1)/7)*LEN(SUBSTITUTE(W770,"O",""))+LEN(SUBSTITUTE(MID(W770&amp;W770,WEEKDAY(('_Dates'!Y770),2),MOD((('_Dates'!Z770)-('_Dates'!Y770)+1),7)),"O",""))-COUNTIFS(INDEX(AllClosureRows,C770,0),"&gt;="&amp;('_Dates'!Y770),INDEX(AllClosureRows,C770,0),"&lt;="&amp;('_Dates'!Z770)))))</ns0:f>
        <ns0:v>0</ns0:v>
      </ns0:c>
      <ns0:c r="H770" s="0">
        <ns0:f>IF(OR(F770&lt;&gt;"OK",$B$6&gt;0),0,0.5*(IF((MIN('_Dates'!X770,Settings!$B$9))&lt;('_Dates'!W770),0,INT(((MIN('_Dates'!X770,Settings!$B$9))-('_Dates'!W770)+1)/7)*LEN(SUBSTITUTE(W770,"O",""))+LEN(SUBSTITUTE(MID(W770&amp;W770,WEEKDAY(('_Dates'!W770),2),MOD(((MIN('_Dates'!X770,Settings!$B$9))-('_Dates'!W770)+1),7)),"O",""))-COUNTIFS(INDEX(AllClosureRows,C770,0),"&gt;="&amp;('_Dates'!W770),INDEX(AllClosureRows,C770,0),"&lt;="&amp;(MIN('_Dates'!X770,Settings!$B$9))))+IF((MIN('_Dates'!Z770,Settings!$B$9))&lt;('_Dates'!Y770),0,INT(((MIN('_Dates'!Z770,Settings!$B$9))-('_Dates'!Y770)+1)/7)*LEN(SUBSTITUTE(W770,"O",""))+LEN(SUBSTITUTE(MID(W770&amp;W770,WEEKDAY(('_Dates'!Y770),2),MOD(((MIN('_Dates'!Z770,Settings!$B$9))-('_Dates'!Y770)+1),7)),"O",""))-COUNTIFS(INDEX(AllClosureRows,C770,0),"&gt;="&amp;('_Dates'!Y770),INDEX(AllClosureRows,C770,0),"&lt;="&amp;(MIN('_Dates'!Z770,Settings!$B$9))))))</ns0:f>
        <ns0:v>0</ns0:v>
      </ns0:c>
      <ns0:c r="I770" s="0">
        <ns0:f>MAX(0,G770-H770)</ns0:f>
        <ns0:v>0</ns0:v>
      </ns0:c>
      <ns0:c r="J770" s="0">
        <ns0:f>IF(OR(A770=0,F770&lt;&gt;"OK",Bookings!G770="Cancelled",$B$6&gt;0),0,IF('_Dates'!AC770=1,MAX(0,COUNTIFS(rngEngine_B,B770,rngAMStart,"&lt;="&amp;'_Dates'!X770,rngAMEnd,"&gt;="&amp;'_Dates'!W770,rngAMActive,1,rngEngine_F,"OK",rngBookings_F,"&lt;&gt;Cancelled")-1),0)+IF('_Dates'!AD770=1,MAX(0,COUNTIFS(rngEngine_B,B770,rngPMStart,"&lt;="&amp;'_Dates'!Z770,rngPMEnd,"&gt;="&amp;'_Dates'!Y770,rngPMActive,1,rngEngine_F,"OK",rngBookings_F,"&lt;&gt;Cancelled")-1),0))</ns0:f>
        <ns0:v>0</ns0:v>
      </ns0:c>
      <ns0:c r="K770" s="0" t="str">
        <ns0:f>IF(A770=0,"",IF(F770&lt;&gt;"OK",F770,IF(J770&gt;0,"CHECK overlapping entry",IF(AND($B$6=0,G770&lt;=0,Bookings!G770&lt;&gt;"Cancelled"),"CHECK no working days",IF(Bookings!G770="Cancelled","Cancelled","OK")))))</ns0:f>
        <ns0:v/>
      </ns0:c>
      <ns0:c r="L770" s="0">
        <ns0:f>IF(LEFT(K770,5)="CHECK",1,0)</ns0:f>
        <ns0:v>0</ns0:v>
      </ns0:c>
      <ns0:c r="M770" s="0">
        <ns0:f>IF(AND(L770=1,OR(C770=0,IFERROR(INDEX($X$11:$X$60,C770),0)=0)),1,0)</ns0:f>
        <ns0:v>0</ns0:v>
      </ns0:c>
      <ns0:c r="N770" s="0">
        <ns0:f>IF(OR(A770=0,L770&gt;0,$B$6&gt;0,Bookings!G770="Cancelled"),0,G770)</ns0:f>
        <ns0:v>0</ns0:v>
      </ns0:c>
      <ns0:c r="O770" s="0">
        <ns0:f>IF(AND(Bookings!G770="Approved",E770="Yes"),N770,0)</ns0:f>
        <ns0:v>0</ns0:v>
      </ns0:c>
      <ns0:c r="P770" s="0">
        <ns0:f>IF(AND(Bookings!G770="Approved",E770="Yes",L770=0,$B$6=0),H770,0)</ns0:f>
        <ns0:v>0</ns0:v>
      </ns0:c>
      <ns0:c r="Q770" s="0">
        <ns0:f>IF(AND(Bookings!G770="Approved",E770="Yes",L770=0,$B$6=0),I770,0)</ns0:f>
        <ns0:v>0</ns0:v>
      </ns0:c>
      <ns0:c r="R770" s="0">
        <ns0:f>IF(AND(Bookings!G770="Pending",E770="Yes"),N770,0)</ns0:f>
        <ns0:v>0</ns0:v>
      </ns0:c>
      <ns0:c r="S770" s="0">
        <ns0:f>IF(AND(Bookings!G770="Approved",E770="No"),N770,0)</ns0:f>
        <ns0:v>0</ns0:v>
      </ns0:c>
      <ns0:c r="T770" s="0">
        <ns0:f>IFERROR(MATCH(D770,Settings!$G$7:$G$11,0),0)</ns0:f>
        <ns0:v>0</ns0:v>
      </ns0:c>
      <ns0:c r="U770" s="0">
        <ns0:f>IF(N770&gt;0,T770+IF(Bookings!G770="Pending",10,0),0)</ns0:f>
        <ns0:v>0</ns0:v>
      </ns0:c>
      <ns0:c r="V770" s="0">
        <ns0:f>U770</ns0:f>
        <ns0:v>0</ns0:v>
      </ns0:c>
      <ns0:c r="W770" s="0" t="str">
        <ns0:f>IF(C770=0,"",INDEX($AP$11:$AP$60,C770))</ns0:f>
        <ns0:v/>
      </ns0:c>
    </ns0:row>
    <ns0:row r="771">
      <ns0:c r="A771" s="0">
        <ns0:f>IF(COUNTA(Bookings!A771:G771,Bookings!I771)=0,0,1)</ns0:f>
        <ns0:v>0</ns0:v>
      </ns0:c>
      <ns0:c r="B771" s="0" t="str">
        <ns0:f>IFERROR(TRIM(MID(Bookings!A771,FIND(" · ",Bookings!A771)+3,99)),"")</ns0:f>
        <ns0:v/>
      </ns0:c>
      <ns0:c r="C771" s="0">
        <ns0:f>IF(OR(B771="",LEN(B771)&gt;24,ISNUMBER(FIND(" ",B771)),ISNUMBER(FIND("*",B771)),ISNUMBER(FIND("?",B771)),ISNUMBER(FIND("~",B771))),0,IFERROR(MATCH(B771,Team!$A$11:$A$60,0),0))</ns0:f>
        <ns0:v>0</ns0:v>
      </ns0:c>
      <ns0:c r="D771" s="0" t="str">
        <ns0:f>IFERROR(IF(MID(Bookings!F771,LEN(Bookings!F771)-3,3)=" · ",RIGHT(Bookings!F771,1),""),"")</ns0:f>
        <ns0:v/>
      </ns0:c>
      <ns0:c r="E771" s="0" t="str">
        <ns0:f>IFERROR(INDEX(Settings!$H$7:$H$11,MATCH(D771,Settings!$G$7:$G$11,0)),"")</ns0:f>
        <ns0:v/>
      </ns0:c>
      <ns0:c r="F771" s="0" t="str">
        <ns0:f>IF(A771=0,"",IFERROR(IF(OR(B771="",C771=0),"CHECK employee selection",IF(INDEX(Team!$O$11:$O$60,C771)&lt;&gt;"OK","CHECK employee setup",IF(OR('_Dates'!J771=0,'_Dates'!T771=0),"CHECK date: use DD.MM.YYYY",IF('_Dates'!T771&lt;'_Dates'!J771,"CHECK end before start",IF(AND($B$6=0,OR('_Dates'!J771&lt;Settings!$B$7,'_Dates'!T771&gt;Settings!$B$8)),"CHECK split across leave years",IF(OR(NOT(OR('_Dates'!U771="Full day",'_Dates'!U771="AM",'_Dates'!U771="PM")),NOT(OR('_Dates'!V771="Full day",'_Dates'!V771="AM",'_Dates'!V771="PM"))),"CHECK Full day / AM / PM",IF(AND('_Dates'!J771='_Dates'!T771,'_Dates'!U771&lt;&gt;"Full day",'_Dates'!V771&lt;&gt;"Full day",'_Dates'!U771&lt;&gt;'_Dates'!V771),"CHECK same-day portions disagree",IF(AND($B$6=0,OR(AND('_Dates'!U771&lt;&gt;"Full day",'_Dates'!AA771=0),AND('_Dates'!V771&lt;&gt;"Full day",'_Dates'!AB771=0))),"CHECK half-day on non-working date",IF(COUNTIF(Settings!$G$7:$G$11,D771)&lt;&gt;1,"CHECK leave type",IF(AND(Bookings!G771&lt;&gt;"Approved",Bookings!G771&lt;&gt;"Pending",Bookings!G771&lt;&gt;"Cancelled"),"CHECK status","OK")))))))))),"CHECK input"))</ns0:f>
        <ns0:v/>
      </ns0:c>
      <ns0:c r="G771" s="0">
        <ns0:f>IF(OR(F771&lt;&gt;"OK",$B$6&gt;0),0,0.5*(IF(('_Dates'!X771)&lt;('_Dates'!W771),0,INT((('_Dates'!X771)-('_Dates'!W771)+1)/7)*LEN(SUBSTITUTE(W771,"O",""))+LEN(SUBSTITUTE(MID(W771&amp;W771,WEEKDAY(('_Dates'!W771),2),MOD((('_Dates'!X771)-('_Dates'!W771)+1),7)),"O",""))-COUNTIFS(INDEX(AllClosureRows,C771,0),"&gt;="&amp;('_Dates'!W771),INDEX(AllClosureRows,C771,0),"&lt;="&amp;('_Dates'!X771)))+IF(('_Dates'!Z771)&lt;('_Dates'!Y771),0,INT((('_Dates'!Z771)-('_Dates'!Y771)+1)/7)*LEN(SUBSTITUTE(W771,"O",""))+LEN(SUBSTITUTE(MID(W771&amp;W771,WEEKDAY(('_Dates'!Y771),2),MOD((('_Dates'!Z771)-('_Dates'!Y771)+1),7)),"O",""))-COUNTIFS(INDEX(AllClosureRows,C771,0),"&gt;="&amp;('_Dates'!Y771),INDEX(AllClosureRows,C771,0),"&lt;="&amp;('_Dates'!Z771)))))</ns0:f>
        <ns0:v>0</ns0:v>
      </ns0:c>
      <ns0:c r="H771" s="0">
        <ns0:f>IF(OR(F771&lt;&gt;"OK",$B$6&gt;0),0,0.5*(IF((MIN('_Dates'!X771,Settings!$B$9))&lt;('_Dates'!W771),0,INT(((MIN('_Dates'!X771,Settings!$B$9))-('_Dates'!W771)+1)/7)*LEN(SUBSTITUTE(W771,"O",""))+LEN(SUBSTITUTE(MID(W771&amp;W771,WEEKDAY(('_Dates'!W771),2),MOD(((MIN('_Dates'!X771,Settings!$B$9))-('_Dates'!W771)+1),7)),"O",""))-COUNTIFS(INDEX(AllClosureRows,C771,0),"&gt;="&amp;('_Dates'!W771),INDEX(AllClosureRows,C771,0),"&lt;="&amp;(MIN('_Dates'!X771,Settings!$B$9))))+IF((MIN('_Dates'!Z771,Settings!$B$9))&lt;('_Dates'!Y771),0,INT(((MIN('_Dates'!Z771,Settings!$B$9))-('_Dates'!Y771)+1)/7)*LEN(SUBSTITUTE(W771,"O",""))+LEN(SUBSTITUTE(MID(W771&amp;W771,WEEKDAY(('_Dates'!Y771),2),MOD(((MIN('_Dates'!Z771,Settings!$B$9))-('_Dates'!Y771)+1),7)),"O",""))-COUNTIFS(INDEX(AllClosureRows,C771,0),"&gt;="&amp;('_Dates'!Y771),INDEX(AllClosureRows,C771,0),"&lt;="&amp;(MIN('_Dates'!Z771,Settings!$B$9))))))</ns0:f>
        <ns0:v>0</ns0:v>
      </ns0:c>
      <ns0:c r="I771" s="0">
        <ns0:f>MAX(0,G771-H771)</ns0:f>
        <ns0:v>0</ns0:v>
      </ns0:c>
      <ns0:c r="J771" s="0">
        <ns0:f>IF(OR(A771=0,F771&lt;&gt;"OK",Bookings!G771="Cancelled",$B$6&gt;0),0,IF('_Dates'!AC771=1,MAX(0,COUNTIFS(rngEngine_B,B771,rngAMStart,"&lt;="&amp;'_Dates'!X771,rngAMEnd,"&gt;="&amp;'_Dates'!W771,rngAMActive,1,rngEngine_F,"OK",rngBookings_F,"&lt;&gt;Cancelled")-1),0)+IF('_Dates'!AD771=1,MAX(0,COUNTIFS(rngEngine_B,B771,rngPMStart,"&lt;="&amp;'_Dates'!Z771,rngPMEnd,"&gt;="&amp;'_Dates'!Y771,rngPMActive,1,rngEngine_F,"OK",rngBookings_F,"&lt;&gt;Cancelled")-1),0))</ns0:f>
        <ns0:v>0</ns0:v>
      </ns0:c>
      <ns0:c r="K771" s="0" t="str">
        <ns0:f>IF(A771=0,"",IF(F771&lt;&gt;"OK",F771,IF(J771&gt;0,"CHECK overlapping entry",IF(AND($B$6=0,G771&lt;=0,Bookings!G771&lt;&gt;"Cancelled"),"CHECK no working days",IF(Bookings!G771="Cancelled","Cancelled","OK")))))</ns0:f>
        <ns0:v/>
      </ns0:c>
      <ns0:c r="L771" s="0">
        <ns0:f>IF(LEFT(K771,5)="CHECK",1,0)</ns0:f>
        <ns0:v>0</ns0:v>
      </ns0:c>
      <ns0:c r="M771" s="0">
        <ns0:f>IF(AND(L771=1,OR(C771=0,IFERROR(INDEX($X$11:$X$60,C771),0)=0)),1,0)</ns0:f>
        <ns0:v>0</ns0:v>
      </ns0:c>
      <ns0:c r="N771" s="0">
        <ns0:f>IF(OR(A771=0,L771&gt;0,$B$6&gt;0,Bookings!G771="Cancelled"),0,G771)</ns0:f>
        <ns0:v>0</ns0:v>
      </ns0:c>
      <ns0:c r="O771" s="0">
        <ns0:f>IF(AND(Bookings!G771="Approved",E771="Yes"),N771,0)</ns0:f>
        <ns0:v>0</ns0:v>
      </ns0:c>
      <ns0:c r="P771" s="0">
        <ns0:f>IF(AND(Bookings!G771="Approved",E771="Yes",L771=0,$B$6=0),H771,0)</ns0:f>
        <ns0:v>0</ns0:v>
      </ns0:c>
      <ns0:c r="Q771" s="0">
        <ns0:f>IF(AND(Bookings!G771="Approved",E771="Yes",L771=0,$B$6=0),I771,0)</ns0:f>
        <ns0:v>0</ns0:v>
      </ns0:c>
      <ns0:c r="R771" s="0">
        <ns0:f>IF(AND(Bookings!G771="Pending",E771="Yes"),N771,0)</ns0:f>
        <ns0:v>0</ns0:v>
      </ns0:c>
      <ns0:c r="S771" s="0">
        <ns0:f>IF(AND(Bookings!G771="Approved",E771="No"),N771,0)</ns0:f>
        <ns0:v>0</ns0:v>
      </ns0:c>
      <ns0:c r="T771" s="0">
        <ns0:f>IFERROR(MATCH(D771,Settings!$G$7:$G$11,0),0)</ns0:f>
        <ns0:v>0</ns0:v>
      </ns0:c>
      <ns0:c r="U771" s="0">
        <ns0:f>IF(N771&gt;0,T771+IF(Bookings!G771="Pending",10,0),0)</ns0:f>
        <ns0:v>0</ns0:v>
      </ns0:c>
      <ns0:c r="V771" s="0">
        <ns0:f>U771</ns0:f>
        <ns0:v>0</ns0:v>
      </ns0:c>
      <ns0:c r="W771" s="0" t="str">
        <ns0:f>IF(C771=0,"",INDEX($AP$11:$AP$60,C771))</ns0:f>
        <ns0:v/>
      </ns0:c>
    </ns0:row>
    <ns0:row r="772">
      <ns0:c r="A772" s="0">
        <ns0:f>IF(COUNTA(Bookings!A772:G772,Bookings!I772)=0,0,1)</ns0:f>
        <ns0:v>0</ns0:v>
      </ns0:c>
      <ns0:c r="B772" s="0" t="str">
        <ns0:f>IFERROR(TRIM(MID(Bookings!A772,FIND(" · ",Bookings!A772)+3,99)),"")</ns0:f>
        <ns0:v/>
      </ns0:c>
      <ns0:c r="C772" s="0">
        <ns0:f>IF(OR(B772="",LEN(B772)&gt;24,ISNUMBER(FIND(" ",B772)),ISNUMBER(FIND("*",B772)),ISNUMBER(FIND("?",B772)),ISNUMBER(FIND("~",B772))),0,IFERROR(MATCH(B772,Team!$A$11:$A$60,0),0))</ns0:f>
        <ns0:v>0</ns0:v>
      </ns0:c>
      <ns0:c r="D772" s="0" t="str">
        <ns0:f>IFERROR(IF(MID(Bookings!F772,LEN(Bookings!F772)-3,3)=" · ",RIGHT(Bookings!F772,1),""),"")</ns0:f>
        <ns0:v/>
      </ns0:c>
      <ns0:c r="E772" s="0" t="str">
        <ns0:f>IFERROR(INDEX(Settings!$H$7:$H$11,MATCH(D772,Settings!$G$7:$G$11,0)),"")</ns0:f>
        <ns0:v/>
      </ns0:c>
      <ns0:c r="F772" s="0" t="str">
        <ns0:f>IF(A772=0,"",IFERROR(IF(OR(B772="",C772=0),"CHECK employee selection",IF(INDEX(Team!$O$11:$O$60,C772)&lt;&gt;"OK","CHECK employee setup",IF(OR('_Dates'!J772=0,'_Dates'!T772=0),"CHECK date: use DD.MM.YYYY",IF('_Dates'!T772&lt;'_Dates'!J772,"CHECK end before start",IF(AND($B$6=0,OR('_Dates'!J772&lt;Settings!$B$7,'_Dates'!T772&gt;Settings!$B$8)),"CHECK split across leave years",IF(OR(NOT(OR('_Dates'!U772="Full day",'_Dates'!U772="AM",'_Dates'!U772="PM")),NOT(OR('_Dates'!V772="Full day",'_Dates'!V772="AM",'_Dates'!V772="PM"))),"CHECK Full day / AM / PM",IF(AND('_Dates'!J772='_Dates'!T772,'_Dates'!U772&lt;&gt;"Full day",'_Dates'!V772&lt;&gt;"Full day",'_Dates'!U772&lt;&gt;'_Dates'!V772),"CHECK same-day portions disagree",IF(AND($B$6=0,OR(AND('_Dates'!U772&lt;&gt;"Full day",'_Dates'!AA772=0),AND('_Dates'!V772&lt;&gt;"Full day",'_Dates'!AB772=0))),"CHECK half-day on non-working date",IF(COUNTIF(Settings!$G$7:$G$11,D772)&lt;&gt;1,"CHECK leave type",IF(AND(Bookings!G772&lt;&gt;"Approved",Bookings!G772&lt;&gt;"Pending",Bookings!G772&lt;&gt;"Cancelled"),"CHECK status","OK")))))))))),"CHECK input"))</ns0:f>
        <ns0:v/>
      </ns0:c>
      <ns0:c r="G772" s="0">
        <ns0:f>IF(OR(F772&lt;&gt;"OK",$B$6&gt;0),0,0.5*(IF(('_Dates'!X772)&lt;('_Dates'!W772),0,INT((('_Dates'!X772)-('_Dates'!W772)+1)/7)*LEN(SUBSTITUTE(W772,"O",""))+LEN(SUBSTITUTE(MID(W772&amp;W772,WEEKDAY(('_Dates'!W772),2),MOD((('_Dates'!X772)-('_Dates'!W772)+1),7)),"O",""))-COUNTIFS(INDEX(AllClosureRows,C772,0),"&gt;="&amp;('_Dates'!W772),INDEX(AllClosureRows,C772,0),"&lt;="&amp;('_Dates'!X772)))+IF(('_Dates'!Z772)&lt;('_Dates'!Y772),0,INT((('_Dates'!Z772)-('_Dates'!Y772)+1)/7)*LEN(SUBSTITUTE(W772,"O",""))+LEN(SUBSTITUTE(MID(W772&amp;W772,WEEKDAY(('_Dates'!Y772),2),MOD((('_Dates'!Z772)-('_Dates'!Y772)+1),7)),"O",""))-COUNTIFS(INDEX(AllClosureRows,C772,0),"&gt;="&amp;('_Dates'!Y772),INDEX(AllClosureRows,C772,0),"&lt;="&amp;('_Dates'!Z772)))))</ns0:f>
        <ns0:v>0</ns0:v>
      </ns0:c>
      <ns0:c r="H772" s="0">
        <ns0:f>IF(OR(F772&lt;&gt;"OK",$B$6&gt;0),0,0.5*(IF((MIN('_Dates'!X772,Settings!$B$9))&lt;('_Dates'!W772),0,INT(((MIN('_Dates'!X772,Settings!$B$9))-('_Dates'!W772)+1)/7)*LEN(SUBSTITUTE(W772,"O",""))+LEN(SUBSTITUTE(MID(W772&amp;W772,WEEKDAY(('_Dates'!W772),2),MOD(((MIN('_Dates'!X772,Settings!$B$9))-('_Dates'!W772)+1),7)),"O",""))-COUNTIFS(INDEX(AllClosureRows,C772,0),"&gt;="&amp;('_Dates'!W772),INDEX(AllClosureRows,C772,0),"&lt;="&amp;(MIN('_Dates'!X772,Settings!$B$9))))+IF((MIN('_Dates'!Z772,Settings!$B$9))&lt;('_Dates'!Y772),0,INT(((MIN('_Dates'!Z772,Settings!$B$9))-('_Dates'!Y772)+1)/7)*LEN(SUBSTITUTE(W772,"O",""))+LEN(SUBSTITUTE(MID(W772&amp;W772,WEEKDAY(('_Dates'!Y772),2),MOD(((MIN('_Dates'!Z772,Settings!$B$9))-('_Dates'!Y772)+1),7)),"O",""))-COUNTIFS(INDEX(AllClosureRows,C772,0),"&gt;="&amp;('_Dates'!Y772),INDEX(AllClosureRows,C772,0),"&lt;="&amp;(MIN('_Dates'!Z772,Settings!$B$9))))))</ns0:f>
        <ns0:v>0</ns0:v>
      </ns0:c>
      <ns0:c r="I772" s="0">
        <ns0:f>MAX(0,G772-H772)</ns0:f>
        <ns0:v>0</ns0:v>
      </ns0:c>
      <ns0:c r="J772" s="0">
        <ns0:f>IF(OR(A772=0,F772&lt;&gt;"OK",Bookings!G772="Cancelled",$B$6&gt;0),0,IF('_Dates'!AC772=1,MAX(0,COUNTIFS(rngEngine_B,B772,rngAMStart,"&lt;="&amp;'_Dates'!X772,rngAMEnd,"&gt;="&amp;'_Dates'!W772,rngAMActive,1,rngEngine_F,"OK",rngBookings_F,"&lt;&gt;Cancelled")-1),0)+IF('_Dates'!AD772=1,MAX(0,COUNTIFS(rngEngine_B,B772,rngPMStart,"&lt;="&amp;'_Dates'!Z772,rngPMEnd,"&gt;="&amp;'_Dates'!Y772,rngPMActive,1,rngEngine_F,"OK",rngBookings_F,"&lt;&gt;Cancelled")-1),0))</ns0:f>
        <ns0:v>0</ns0:v>
      </ns0:c>
      <ns0:c r="K772" s="0" t="str">
        <ns0:f>IF(A772=0,"",IF(F772&lt;&gt;"OK",F772,IF(J772&gt;0,"CHECK overlapping entry",IF(AND($B$6=0,G772&lt;=0,Bookings!G772&lt;&gt;"Cancelled"),"CHECK no working days",IF(Bookings!G772="Cancelled","Cancelled","OK")))))</ns0:f>
        <ns0:v/>
      </ns0:c>
      <ns0:c r="L772" s="0">
        <ns0:f>IF(LEFT(K772,5)="CHECK",1,0)</ns0:f>
        <ns0:v>0</ns0:v>
      </ns0:c>
      <ns0:c r="M772" s="0">
        <ns0:f>IF(AND(L772=1,OR(C772=0,IFERROR(INDEX($X$11:$X$60,C772),0)=0)),1,0)</ns0:f>
        <ns0:v>0</ns0:v>
      </ns0:c>
      <ns0:c r="N772" s="0">
        <ns0:f>IF(OR(A772=0,L772&gt;0,$B$6&gt;0,Bookings!G772="Cancelled"),0,G772)</ns0:f>
        <ns0:v>0</ns0:v>
      </ns0:c>
      <ns0:c r="O772" s="0">
        <ns0:f>IF(AND(Bookings!G772="Approved",E772="Yes"),N772,0)</ns0:f>
        <ns0:v>0</ns0:v>
      </ns0:c>
      <ns0:c r="P772" s="0">
        <ns0:f>IF(AND(Bookings!G772="Approved",E772="Yes",L772=0,$B$6=0),H772,0)</ns0:f>
        <ns0:v>0</ns0:v>
      </ns0:c>
      <ns0:c r="Q772" s="0">
        <ns0:f>IF(AND(Bookings!G772="Approved",E772="Yes",L772=0,$B$6=0),I772,0)</ns0:f>
        <ns0:v>0</ns0:v>
      </ns0:c>
      <ns0:c r="R772" s="0">
        <ns0:f>IF(AND(Bookings!G772="Pending",E772="Yes"),N772,0)</ns0:f>
        <ns0:v>0</ns0:v>
      </ns0:c>
      <ns0:c r="S772" s="0">
        <ns0:f>IF(AND(Bookings!G772="Approved",E772="No"),N772,0)</ns0:f>
        <ns0:v>0</ns0:v>
      </ns0:c>
      <ns0:c r="T772" s="0">
        <ns0:f>IFERROR(MATCH(D772,Settings!$G$7:$G$11,0),0)</ns0:f>
        <ns0:v>0</ns0:v>
      </ns0:c>
      <ns0:c r="U772" s="0">
        <ns0:f>IF(N772&gt;0,T772+IF(Bookings!G772="Pending",10,0),0)</ns0:f>
        <ns0:v>0</ns0:v>
      </ns0:c>
      <ns0:c r="V772" s="0">
        <ns0:f>U772</ns0:f>
        <ns0:v>0</ns0:v>
      </ns0:c>
      <ns0:c r="W772" s="0" t="str">
        <ns0:f>IF(C772=0,"",INDEX($AP$11:$AP$60,C772))</ns0:f>
        <ns0:v/>
      </ns0:c>
    </ns0:row>
    <ns0:row r="773">
      <ns0:c r="A773" s="0">
        <ns0:f>IF(COUNTA(Bookings!A773:G773,Bookings!I773)=0,0,1)</ns0:f>
        <ns0:v>0</ns0:v>
      </ns0:c>
      <ns0:c r="B773" s="0" t="str">
        <ns0:f>IFERROR(TRIM(MID(Bookings!A773,FIND(" · ",Bookings!A773)+3,99)),"")</ns0:f>
        <ns0:v/>
      </ns0:c>
      <ns0:c r="C773" s="0">
        <ns0:f>IF(OR(B773="",LEN(B773)&gt;24,ISNUMBER(FIND(" ",B773)),ISNUMBER(FIND("*",B773)),ISNUMBER(FIND("?",B773)),ISNUMBER(FIND("~",B773))),0,IFERROR(MATCH(B773,Team!$A$11:$A$60,0),0))</ns0:f>
        <ns0:v>0</ns0:v>
      </ns0:c>
      <ns0:c r="D773" s="0" t="str">
        <ns0:f>IFERROR(IF(MID(Bookings!F773,LEN(Bookings!F773)-3,3)=" · ",RIGHT(Bookings!F773,1),""),"")</ns0:f>
        <ns0:v/>
      </ns0:c>
      <ns0:c r="E773" s="0" t="str">
        <ns0:f>IFERROR(INDEX(Settings!$H$7:$H$11,MATCH(D773,Settings!$G$7:$G$11,0)),"")</ns0:f>
        <ns0:v/>
      </ns0:c>
      <ns0:c r="F773" s="0" t="str">
        <ns0:f>IF(A773=0,"",IFERROR(IF(OR(B773="",C773=0),"CHECK employee selection",IF(INDEX(Team!$O$11:$O$60,C773)&lt;&gt;"OK","CHECK employee setup",IF(OR('_Dates'!J773=0,'_Dates'!T773=0),"CHECK date: use DD.MM.YYYY",IF('_Dates'!T773&lt;'_Dates'!J773,"CHECK end before start",IF(AND($B$6=0,OR('_Dates'!J773&lt;Settings!$B$7,'_Dates'!T773&gt;Settings!$B$8)),"CHECK split across leave years",IF(OR(NOT(OR('_Dates'!U773="Full day",'_Dates'!U773="AM",'_Dates'!U773="PM")),NOT(OR('_Dates'!V773="Full day",'_Dates'!V773="AM",'_Dates'!V773="PM"))),"CHECK Full day / AM / PM",IF(AND('_Dates'!J773='_Dates'!T773,'_Dates'!U773&lt;&gt;"Full day",'_Dates'!V773&lt;&gt;"Full day",'_Dates'!U773&lt;&gt;'_Dates'!V773),"CHECK same-day portions disagree",IF(AND($B$6=0,OR(AND('_Dates'!U773&lt;&gt;"Full day",'_Dates'!AA773=0),AND('_Dates'!V773&lt;&gt;"Full day",'_Dates'!AB773=0))),"CHECK half-day on non-working date",IF(COUNTIF(Settings!$G$7:$G$11,D773)&lt;&gt;1,"CHECK leave type",IF(AND(Bookings!G773&lt;&gt;"Approved",Bookings!G773&lt;&gt;"Pending",Bookings!G773&lt;&gt;"Cancelled"),"CHECK status","OK")))))))))),"CHECK input"))</ns0:f>
        <ns0:v/>
      </ns0:c>
      <ns0:c r="G773" s="0">
        <ns0:f>IF(OR(F773&lt;&gt;"OK",$B$6&gt;0),0,0.5*(IF(('_Dates'!X773)&lt;('_Dates'!W773),0,INT((('_Dates'!X773)-('_Dates'!W773)+1)/7)*LEN(SUBSTITUTE(W773,"O",""))+LEN(SUBSTITUTE(MID(W773&amp;W773,WEEKDAY(('_Dates'!W773),2),MOD((('_Dates'!X773)-('_Dates'!W773)+1),7)),"O",""))-COUNTIFS(INDEX(AllClosureRows,C773,0),"&gt;="&amp;('_Dates'!W773),INDEX(AllClosureRows,C773,0),"&lt;="&amp;('_Dates'!X773)))+IF(('_Dates'!Z773)&lt;('_Dates'!Y773),0,INT((('_Dates'!Z773)-('_Dates'!Y773)+1)/7)*LEN(SUBSTITUTE(W773,"O",""))+LEN(SUBSTITUTE(MID(W773&amp;W773,WEEKDAY(('_Dates'!Y773),2),MOD((('_Dates'!Z773)-('_Dates'!Y773)+1),7)),"O",""))-COUNTIFS(INDEX(AllClosureRows,C773,0),"&gt;="&amp;('_Dates'!Y773),INDEX(AllClosureRows,C773,0),"&lt;="&amp;('_Dates'!Z773)))))</ns0:f>
        <ns0:v>0</ns0:v>
      </ns0:c>
      <ns0:c r="H773" s="0">
        <ns0:f>IF(OR(F773&lt;&gt;"OK",$B$6&gt;0),0,0.5*(IF((MIN('_Dates'!X773,Settings!$B$9))&lt;('_Dates'!W773),0,INT(((MIN('_Dates'!X773,Settings!$B$9))-('_Dates'!W773)+1)/7)*LEN(SUBSTITUTE(W773,"O",""))+LEN(SUBSTITUTE(MID(W773&amp;W773,WEEKDAY(('_Dates'!W773),2),MOD(((MIN('_Dates'!X773,Settings!$B$9))-('_Dates'!W773)+1),7)),"O",""))-COUNTIFS(INDEX(AllClosureRows,C773,0),"&gt;="&amp;('_Dates'!W773),INDEX(AllClosureRows,C773,0),"&lt;="&amp;(MIN('_Dates'!X773,Settings!$B$9))))+IF((MIN('_Dates'!Z773,Settings!$B$9))&lt;('_Dates'!Y773),0,INT(((MIN('_Dates'!Z773,Settings!$B$9))-('_Dates'!Y773)+1)/7)*LEN(SUBSTITUTE(W773,"O",""))+LEN(SUBSTITUTE(MID(W773&amp;W773,WEEKDAY(('_Dates'!Y773),2),MOD(((MIN('_Dates'!Z773,Settings!$B$9))-('_Dates'!Y773)+1),7)),"O",""))-COUNTIFS(INDEX(AllClosureRows,C773,0),"&gt;="&amp;('_Dates'!Y773),INDEX(AllClosureRows,C773,0),"&lt;="&amp;(MIN('_Dates'!Z773,Settings!$B$9))))))</ns0:f>
        <ns0:v>0</ns0:v>
      </ns0:c>
      <ns0:c r="I773" s="0">
        <ns0:f>MAX(0,G773-H773)</ns0:f>
        <ns0:v>0</ns0:v>
      </ns0:c>
      <ns0:c r="J773" s="0">
        <ns0:f>IF(OR(A773=0,F773&lt;&gt;"OK",Bookings!G773="Cancelled",$B$6&gt;0),0,IF('_Dates'!AC773=1,MAX(0,COUNTIFS(rngEngine_B,B773,rngAMStart,"&lt;="&amp;'_Dates'!X773,rngAMEnd,"&gt;="&amp;'_Dates'!W773,rngAMActive,1,rngEngine_F,"OK",rngBookings_F,"&lt;&gt;Cancelled")-1),0)+IF('_Dates'!AD773=1,MAX(0,COUNTIFS(rngEngine_B,B773,rngPMStart,"&lt;="&amp;'_Dates'!Z773,rngPMEnd,"&gt;="&amp;'_Dates'!Y773,rngPMActive,1,rngEngine_F,"OK",rngBookings_F,"&lt;&gt;Cancelled")-1),0))</ns0:f>
        <ns0:v>0</ns0:v>
      </ns0:c>
      <ns0:c r="K773" s="0" t="str">
        <ns0:f>IF(A773=0,"",IF(F773&lt;&gt;"OK",F773,IF(J773&gt;0,"CHECK overlapping entry",IF(AND($B$6=0,G773&lt;=0,Bookings!G773&lt;&gt;"Cancelled"),"CHECK no working days",IF(Bookings!G773="Cancelled","Cancelled","OK")))))</ns0:f>
        <ns0:v/>
      </ns0:c>
      <ns0:c r="L773" s="0">
        <ns0:f>IF(LEFT(K773,5)="CHECK",1,0)</ns0:f>
        <ns0:v>0</ns0:v>
      </ns0:c>
      <ns0:c r="M773" s="0">
        <ns0:f>IF(AND(L773=1,OR(C773=0,IFERROR(INDEX($X$11:$X$60,C773),0)=0)),1,0)</ns0:f>
        <ns0:v>0</ns0:v>
      </ns0:c>
      <ns0:c r="N773" s="0">
        <ns0:f>IF(OR(A773=0,L773&gt;0,$B$6&gt;0,Bookings!G773="Cancelled"),0,G773)</ns0:f>
        <ns0:v>0</ns0:v>
      </ns0:c>
      <ns0:c r="O773" s="0">
        <ns0:f>IF(AND(Bookings!G773="Approved",E773="Yes"),N773,0)</ns0:f>
        <ns0:v>0</ns0:v>
      </ns0:c>
      <ns0:c r="P773" s="0">
        <ns0:f>IF(AND(Bookings!G773="Approved",E773="Yes",L773=0,$B$6=0),H773,0)</ns0:f>
        <ns0:v>0</ns0:v>
      </ns0:c>
      <ns0:c r="Q773" s="0">
        <ns0:f>IF(AND(Bookings!G773="Approved",E773="Yes",L773=0,$B$6=0),I773,0)</ns0:f>
        <ns0:v>0</ns0:v>
      </ns0:c>
      <ns0:c r="R773" s="0">
        <ns0:f>IF(AND(Bookings!G773="Pending",E773="Yes"),N773,0)</ns0:f>
        <ns0:v>0</ns0:v>
      </ns0:c>
      <ns0:c r="S773" s="0">
        <ns0:f>IF(AND(Bookings!G773="Approved",E773="No"),N773,0)</ns0:f>
        <ns0:v>0</ns0:v>
      </ns0:c>
      <ns0:c r="T773" s="0">
        <ns0:f>IFERROR(MATCH(D773,Settings!$G$7:$G$11,0),0)</ns0:f>
        <ns0:v>0</ns0:v>
      </ns0:c>
      <ns0:c r="U773" s="0">
        <ns0:f>IF(N773&gt;0,T773+IF(Bookings!G773="Pending",10,0),0)</ns0:f>
        <ns0:v>0</ns0:v>
      </ns0:c>
      <ns0:c r="V773" s="0">
        <ns0:f>U773</ns0:f>
        <ns0:v>0</ns0:v>
      </ns0:c>
      <ns0:c r="W773" s="0" t="str">
        <ns0:f>IF(C773=0,"",INDEX($AP$11:$AP$60,C773))</ns0:f>
        <ns0:v/>
      </ns0:c>
    </ns0:row>
    <ns0:row r="774">
      <ns0:c r="A774" s="0">
        <ns0:f>IF(COUNTA(Bookings!A774:G774,Bookings!I774)=0,0,1)</ns0:f>
        <ns0:v>0</ns0:v>
      </ns0:c>
      <ns0:c r="B774" s="0" t="str">
        <ns0:f>IFERROR(TRIM(MID(Bookings!A774,FIND(" · ",Bookings!A774)+3,99)),"")</ns0:f>
        <ns0:v/>
      </ns0:c>
      <ns0:c r="C774" s="0">
        <ns0:f>IF(OR(B774="",LEN(B774)&gt;24,ISNUMBER(FIND(" ",B774)),ISNUMBER(FIND("*",B774)),ISNUMBER(FIND("?",B774)),ISNUMBER(FIND("~",B774))),0,IFERROR(MATCH(B774,Team!$A$11:$A$60,0),0))</ns0:f>
        <ns0:v>0</ns0:v>
      </ns0:c>
      <ns0:c r="D774" s="0" t="str">
        <ns0:f>IFERROR(IF(MID(Bookings!F774,LEN(Bookings!F774)-3,3)=" · ",RIGHT(Bookings!F774,1),""),"")</ns0:f>
        <ns0:v/>
      </ns0:c>
      <ns0:c r="E774" s="0" t="str">
        <ns0:f>IFERROR(INDEX(Settings!$H$7:$H$11,MATCH(D774,Settings!$G$7:$G$11,0)),"")</ns0:f>
        <ns0:v/>
      </ns0:c>
      <ns0:c r="F774" s="0" t="str">
        <ns0:f>IF(A774=0,"",IFERROR(IF(OR(B774="",C774=0),"CHECK employee selection",IF(INDEX(Team!$O$11:$O$60,C774)&lt;&gt;"OK","CHECK employee setup",IF(OR('_Dates'!J774=0,'_Dates'!T774=0),"CHECK date: use DD.MM.YYYY",IF('_Dates'!T774&lt;'_Dates'!J774,"CHECK end before start",IF(AND($B$6=0,OR('_Dates'!J774&lt;Settings!$B$7,'_Dates'!T774&gt;Settings!$B$8)),"CHECK split across leave years",IF(OR(NOT(OR('_Dates'!U774="Full day",'_Dates'!U774="AM",'_Dates'!U774="PM")),NOT(OR('_Dates'!V774="Full day",'_Dates'!V774="AM",'_Dates'!V774="PM"))),"CHECK Full day / AM / PM",IF(AND('_Dates'!J774='_Dates'!T774,'_Dates'!U774&lt;&gt;"Full day",'_Dates'!V774&lt;&gt;"Full day",'_Dates'!U774&lt;&gt;'_Dates'!V774),"CHECK same-day portions disagree",IF(AND($B$6=0,OR(AND('_Dates'!U774&lt;&gt;"Full day",'_Dates'!AA774=0),AND('_Dates'!V774&lt;&gt;"Full day",'_Dates'!AB774=0))),"CHECK half-day on non-working date",IF(COUNTIF(Settings!$G$7:$G$11,D774)&lt;&gt;1,"CHECK leave type",IF(AND(Bookings!G774&lt;&gt;"Approved",Bookings!G774&lt;&gt;"Pending",Bookings!G774&lt;&gt;"Cancelled"),"CHECK status","OK")))))))))),"CHECK input"))</ns0:f>
        <ns0:v/>
      </ns0:c>
      <ns0:c r="G774" s="0">
        <ns0:f>IF(OR(F774&lt;&gt;"OK",$B$6&gt;0),0,0.5*(IF(('_Dates'!X774)&lt;('_Dates'!W774),0,INT((('_Dates'!X774)-('_Dates'!W774)+1)/7)*LEN(SUBSTITUTE(W774,"O",""))+LEN(SUBSTITUTE(MID(W774&amp;W774,WEEKDAY(('_Dates'!W774),2),MOD((('_Dates'!X774)-('_Dates'!W774)+1),7)),"O",""))-COUNTIFS(INDEX(AllClosureRows,C774,0),"&gt;="&amp;('_Dates'!W774),INDEX(AllClosureRows,C774,0),"&lt;="&amp;('_Dates'!X774)))+IF(('_Dates'!Z774)&lt;('_Dates'!Y774),0,INT((('_Dates'!Z774)-('_Dates'!Y774)+1)/7)*LEN(SUBSTITUTE(W774,"O",""))+LEN(SUBSTITUTE(MID(W774&amp;W774,WEEKDAY(('_Dates'!Y774),2),MOD((('_Dates'!Z774)-('_Dates'!Y774)+1),7)),"O",""))-COUNTIFS(INDEX(AllClosureRows,C774,0),"&gt;="&amp;('_Dates'!Y774),INDEX(AllClosureRows,C774,0),"&lt;="&amp;('_Dates'!Z774)))))</ns0:f>
        <ns0:v>0</ns0:v>
      </ns0:c>
      <ns0:c r="H774" s="0">
        <ns0:f>IF(OR(F774&lt;&gt;"OK",$B$6&gt;0),0,0.5*(IF((MIN('_Dates'!X774,Settings!$B$9))&lt;('_Dates'!W774),0,INT(((MIN('_Dates'!X774,Settings!$B$9))-('_Dates'!W774)+1)/7)*LEN(SUBSTITUTE(W774,"O",""))+LEN(SUBSTITUTE(MID(W774&amp;W774,WEEKDAY(('_Dates'!W774),2),MOD(((MIN('_Dates'!X774,Settings!$B$9))-('_Dates'!W774)+1),7)),"O",""))-COUNTIFS(INDEX(AllClosureRows,C774,0),"&gt;="&amp;('_Dates'!W774),INDEX(AllClosureRows,C774,0),"&lt;="&amp;(MIN('_Dates'!X774,Settings!$B$9))))+IF((MIN('_Dates'!Z774,Settings!$B$9))&lt;('_Dates'!Y774),0,INT(((MIN('_Dates'!Z774,Settings!$B$9))-('_Dates'!Y774)+1)/7)*LEN(SUBSTITUTE(W774,"O",""))+LEN(SUBSTITUTE(MID(W774&amp;W774,WEEKDAY(('_Dates'!Y774),2),MOD(((MIN('_Dates'!Z774,Settings!$B$9))-('_Dates'!Y774)+1),7)),"O",""))-COUNTIFS(INDEX(AllClosureRows,C774,0),"&gt;="&amp;('_Dates'!Y774),INDEX(AllClosureRows,C774,0),"&lt;="&amp;(MIN('_Dates'!Z774,Settings!$B$9))))))</ns0:f>
        <ns0:v>0</ns0:v>
      </ns0:c>
      <ns0:c r="I774" s="0">
        <ns0:f>MAX(0,G774-H774)</ns0:f>
        <ns0:v>0</ns0:v>
      </ns0:c>
      <ns0:c r="J774" s="0">
        <ns0:f>IF(OR(A774=0,F774&lt;&gt;"OK",Bookings!G774="Cancelled",$B$6&gt;0),0,IF('_Dates'!AC774=1,MAX(0,COUNTIFS(rngEngine_B,B774,rngAMStart,"&lt;="&amp;'_Dates'!X774,rngAMEnd,"&gt;="&amp;'_Dates'!W774,rngAMActive,1,rngEngine_F,"OK",rngBookings_F,"&lt;&gt;Cancelled")-1),0)+IF('_Dates'!AD774=1,MAX(0,COUNTIFS(rngEngine_B,B774,rngPMStart,"&lt;="&amp;'_Dates'!Z774,rngPMEnd,"&gt;="&amp;'_Dates'!Y774,rngPMActive,1,rngEngine_F,"OK",rngBookings_F,"&lt;&gt;Cancelled")-1),0))</ns0:f>
        <ns0:v>0</ns0:v>
      </ns0:c>
      <ns0:c r="K774" s="0" t="str">
        <ns0:f>IF(A774=0,"",IF(F774&lt;&gt;"OK",F774,IF(J774&gt;0,"CHECK overlapping entry",IF(AND($B$6=0,G774&lt;=0,Bookings!G774&lt;&gt;"Cancelled"),"CHECK no working days",IF(Bookings!G774="Cancelled","Cancelled","OK")))))</ns0:f>
        <ns0:v/>
      </ns0:c>
      <ns0:c r="L774" s="0">
        <ns0:f>IF(LEFT(K774,5)="CHECK",1,0)</ns0:f>
        <ns0:v>0</ns0:v>
      </ns0:c>
      <ns0:c r="M774" s="0">
        <ns0:f>IF(AND(L774=1,OR(C774=0,IFERROR(INDEX($X$11:$X$60,C774),0)=0)),1,0)</ns0:f>
        <ns0:v>0</ns0:v>
      </ns0:c>
      <ns0:c r="N774" s="0">
        <ns0:f>IF(OR(A774=0,L774&gt;0,$B$6&gt;0,Bookings!G774="Cancelled"),0,G774)</ns0:f>
        <ns0:v>0</ns0:v>
      </ns0:c>
      <ns0:c r="O774" s="0">
        <ns0:f>IF(AND(Bookings!G774="Approved",E774="Yes"),N774,0)</ns0:f>
        <ns0:v>0</ns0:v>
      </ns0:c>
      <ns0:c r="P774" s="0">
        <ns0:f>IF(AND(Bookings!G774="Approved",E774="Yes",L774=0,$B$6=0),H774,0)</ns0:f>
        <ns0:v>0</ns0:v>
      </ns0:c>
      <ns0:c r="Q774" s="0">
        <ns0:f>IF(AND(Bookings!G774="Approved",E774="Yes",L774=0,$B$6=0),I774,0)</ns0:f>
        <ns0:v>0</ns0:v>
      </ns0:c>
      <ns0:c r="R774" s="0">
        <ns0:f>IF(AND(Bookings!G774="Pending",E774="Yes"),N774,0)</ns0:f>
        <ns0:v>0</ns0:v>
      </ns0:c>
      <ns0:c r="S774" s="0">
        <ns0:f>IF(AND(Bookings!G774="Approved",E774="No"),N774,0)</ns0:f>
        <ns0:v>0</ns0:v>
      </ns0:c>
      <ns0:c r="T774" s="0">
        <ns0:f>IFERROR(MATCH(D774,Settings!$G$7:$G$11,0),0)</ns0:f>
        <ns0:v>0</ns0:v>
      </ns0:c>
      <ns0:c r="U774" s="0">
        <ns0:f>IF(N774&gt;0,T774+IF(Bookings!G774="Pending",10,0),0)</ns0:f>
        <ns0:v>0</ns0:v>
      </ns0:c>
      <ns0:c r="V774" s="0">
        <ns0:f>U774</ns0:f>
        <ns0:v>0</ns0:v>
      </ns0:c>
      <ns0:c r="W774" s="0" t="str">
        <ns0:f>IF(C774=0,"",INDEX($AP$11:$AP$60,C774))</ns0:f>
        <ns0:v/>
      </ns0:c>
    </ns0:row>
    <ns0:row r="775">
      <ns0:c r="A775" s="0">
        <ns0:f>IF(COUNTA(Bookings!A775:G775,Bookings!I775)=0,0,1)</ns0:f>
        <ns0:v>0</ns0:v>
      </ns0:c>
      <ns0:c r="B775" s="0" t="str">
        <ns0:f>IFERROR(TRIM(MID(Bookings!A775,FIND(" · ",Bookings!A775)+3,99)),"")</ns0:f>
        <ns0:v/>
      </ns0:c>
      <ns0:c r="C775" s="0">
        <ns0:f>IF(OR(B775="",LEN(B775)&gt;24,ISNUMBER(FIND(" ",B775)),ISNUMBER(FIND("*",B775)),ISNUMBER(FIND("?",B775)),ISNUMBER(FIND("~",B775))),0,IFERROR(MATCH(B775,Team!$A$11:$A$60,0),0))</ns0:f>
        <ns0:v>0</ns0:v>
      </ns0:c>
      <ns0:c r="D775" s="0" t="str">
        <ns0:f>IFERROR(IF(MID(Bookings!F775,LEN(Bookings!F775)-3,3)=" · ",RIGHT(Bookings!F775,1),""),"")</ns0:f>
        <ns0:v/>
      </ns0:c>
      <ns0:c r="E775" s="0" t="str">
        <ns0:f>IFERROR(INDEX(Settings!$H$7:$H$11,MATCH(D775,Settings!$G$7:$G$11,0)),"")</ns0:f>
        <ns0:v/>
      </ns0:c>
      <ns0:c r="F775" s="0" t="str">
        <ns0:f>IF(A775=0,"",IFERROR(IF(OR(B775="",C775=0),"CHECK employee selection",IF(INDEX(Team!$O$11:$O$60,C775)&lt;&gt;"OK","CHECK employee setup",IF(OR('_Dates'!J775=0,'_Dates'!T775=0),"CHECK date: use DD.MM.YYYY",IF('_Dates'!T775&lt;'_Dates'!J775,"CHECK end before start",IF(AND($B$6=0,OR('_Dates'!J775&lt;Settings!$B$7,'_Dates'!T775&gt;Settings!$B$8)),"CHECK split across leave years",IF(OR(NOT(OR('_Dates'!U775="Full day",'_Dates'!U775="AM",'_Dates'!U775="PM")),NOT(OR('_Dates'!V775="Full day",'_Dates'!V775="AM",'_Dates'!V775="PM"))),"CHECK Full day / AM / PM",IF(AND('_Dates'!J775='_Dates'!T775,'_Dates'!U775&lt;&gt;"Full day",'_Dates'!V775&lt;&gt;"Full day",'_Dates'!U775&lt;&gt;'_Dates'!V775),"CHECK same-day portions disagree",IF(AND($B$6=0,OR(AND('_Dates'!U775&lt;&gt;"Full day",'_Dates'!AA775=0),AND('_Dates'!V775&lt;&gt;"Full day",'_Dates'!AB775=0))),"CHECK half-day on non-working date",IF(COUNTIF(Settings!$G$7:$G$11,D775)&lt;&gt;1,"CHECK leave type",IF(AND(Bookings!G775&lt;&gt;"Approved",Bookings!G775&lt;&gt;"Pending",Bookings!G775&lt;&gt;"Cancelled"),"CHECK status","OK")))))))))),"CHECK input"))</ns0:f>
        <ns0:v/>
      </ns0:c>
      <ns0:c r="G775" s="0">
        <ns0:f>IF(OR(F775&lt;&gt;"OK",$B$6&gt;0),0,0.5*(IF(('_Dates'!X775)&lt;('_Dates'!W775),0,INT((('_Dates'!X775)-('_Dates'!W775)+1)/7)*LEN(SUBSTITUTE(W775,"O",""))+LEN(SUBSTITUTE(MID(W775&amp;W775,WEEKDAY(('_Dates'!W775),2),MOD((('_Dates'!X775)-('_Dates'!W775)+1),7)),"O",""))-COUNTIFS(INDEX(AllClosureRows,C775,0),"&gt;="&amp;('_Dates'!W775),INDEX(AllClosureRows,C775,0),"&lt;="&amp;('_Dates'!X775)))+IF(('_Dates'!Z775)&lt;('_Dates'!Y775),0,INT((('_Dates'!Z775)-('_Dates'!Y775)+1)/7)*LEN(SUBSTITUTE(W775,"O",""))+LEN(SUBSTITUTE(MID(W775&amp;W775,WEEKDAY(('_Dates'!Y775),2),MOD((('_Dates'!Z775)-('_Dates'!Y775)+1),7)),"O",""))-COUNTIFS(INDEX(AllClosureRows,C775,0),"&gt;="&amp;('_Dates'!Y775),INDEX(AllClosureRows,C775,0),"&lt;="&amp;('_Dates'!Z775)))))</ns0:f>
        <ns0:v>0</ns0:v>
      </ns0:c>
      <ns0:c r="H775" s="0">
        <ns0:f>IF(OR(F775&lt;&gt;"OK",$B$6&gt;0),0,0.5*(IF((MIN('_Dates'!X775,Settings!$B$9))&lt;('_Dates'!W775),0,INT(((MIN('_Dates'!X775,Settings!$B$9))-('_Dates'!W775)+1)/7)*LEN(SUBSTITUTE(W775,"O",""))+LEN(SUBSTITUTE(MID(W775&amp;W775,WEEKDAY(('_Dates'!W775),2),MOD(((MIN('_Dates'!X775,Settings!$B$9))-('_Dates'!W775)+1),7)),"O",""))-COUNTIFS(INDEX(AllClosureRows,C775,0),"&gt;="&amp;('_Dates'!W775),INDEX(AllClosureRows,C775,0),"&lt;="&amp;(MIN('_Dates'!X775,Settings!$B$9))))+IF((MIN('_Dates'!Z775,Settings!$B$9))&lt;('_Dates'!Y775),0,INT(((MIN('_Dates'!Z775,Settings!$B$9))-('_Dates'!Y775)+1)/7)*LEN(SUBSTITUTE(W775,"O",""))+LEN(SUBSTITUTE(MID(W775&amp;W775,WEEKDAY(('_Dates'!Y775),2),MOD(((MIN('_Dates'!Z775,Settings!$B$9))-('_Dates'!Y775)+1),7)),"O",""))-COUNTIFS(INDEX(AllClosureRows,C775,0),"&gt;="&amp;('_Dates'!Y775),INDEX(AllClosureRows,C775,0),"&lt;="&amp;(MIN('_Dates'!Z775,Settings!$B$9))))))</ns0:f>
        <ns0:v>0</ns0:v>
      </ns0:c>
      <ns0:c r="I775" s="0">
        <ns0:f>MAX(0,G775-H775)</ns0:f>
        <ns0:v>0</ns0:v>
      </ns0:c>
      <ns0:c r="J775" s="0">
        <ns0:f>IF(OR(A775=0,F775&lt;&gt;"OK",Bookings!G775="Cancelled",$B$6&gt;0),0,IF('_Dates'!AC775=1,MAX(0,COUNTIFS(rngEngine_B,B775,rngAMStart,"&lt;="&amp;'_Dates'!X775,rngAMEnd,"&gt;="&amp;'_Dates'!W775,rngAMActive,1,rngEngine_F,"OK",rngBookings_F,"&lt;&gt;Cancelled")-1),0)+IF('_Dates'!AD775=1,MAX(0,COUNTIFS(rngEngine_B,B775,rngPMStart,"&lt;="&amp;'_Dates'!Z775,rngPMEnd,"&gt;="&amp;'_Dates'!Y775,rngPMActive,1,rngEngine_F,"OK",rngBookings_F,"&lt;&gt;Cancelled")-1),0))</ns0:f>
        <ns0:v>0</ns0:v>
      </ns0:c>
      <ns0:c r="K775" s="0" t="str">
        <ns0:f>IF(A775=0,"",IF(F775&lt;&gt;"OK",F775,IF(J775&gt;0,"CHECK overlapping entry",IF(AND($B$6=0,G775&lt;=0,Bookings!G775&lt;&gt;"Cancelled"),"CHECK no working days",IF(Bookings!G775="Cancelled","Cancelled","OK")))))</ns0:f>
        <ns0:v/>
      </ns0:c>
      <ns0:c r="L775" s="0">
        <ns0:f>IF(LEFT(K775,5)="CHECK",1,0)</ns0:f>
        <ns0:v>0</ns0:v>
      </ns0:c>
      <ns0:c r="M775" s="0">
        <ns0:f>IF(AND(L775=1,OR(C775=0,IFERROR(INDEX($X$11:$X$60,C775),0)=0)),1,0)</ns0:f>
        <ns0:v>0</ns0:v>
      </ns0:c>
      <ns0:c r="N775" s="0">
        <ns0:f>IF(OR(A775=0,L775&gt;0,$B$6&gt;0,Bookings!G775="Cancelled"),0,G775)</ns0:f>
        <ns0:v>0</ns0:v>
      </ns0:c>
      <ns0:c r="O775" s="0">
        <ns0:f>IF(AND(Bookings!G775="Approved",E775="Yes"),N775,0)</ns0:f>
        <ns0:v>0</ns0:v>
      </ns0:c>
      <ns0:c r="P775" s="0">
        <ns0:f>IF(AND(Bookings!G775="Approved",E775="Yes",L775=0,$B$6=0),H775,0)</ns0:f>
        <ns0:v>0</ns0:v>
      </ns0:c>
      <ns0:c r="Q775" s="0">
        <ns0:f>IF(AND(Bookings!G775="Approved",E775="Yes",L775=0,$B$6=0),I775,0)</ns0:f>
        <ns0:v>0</ns0:v>
      </ns0:c>
      <ns0:c r="R775" s="0">
        <ns0:f>IF(AND(Bookings!G775="Pending",E775="Yes"),N775,0)</ns0:f>
        <ns0:v>0</ns0:v>
      </ns0:c>
      <ns0:c r="S775" s="0">
        <ns0:f>IF(AND(Bookings!G775="Approved",E775="No"),N775,0)</ns0:f>
        <ns0:v>0</ns0:v>
      </ns0:c>
      <ns0:c r="T775" s="0">
        <ns0:f>IFERROR(MATCH(D775,Settings!$G$7:$G$11,0),0)</ns0:f>
        <ns0:v>0</ns0:v>
      </ns0:c>
      <ns0:c r="U775" s="0">
        <ns0:f>IF(N775&gt;0,T775+IF(Bookings!G775="Pending",10,0),0)</ns0:f>
        <ns0:v>0</ns0:v>
      </ns0:c>
      <ns0:c r="V775" s="0">
        <ns0:f>U775</ns0:f>
        <ns0:v>0</ns0:v>
      </ns0:c>
      <ns0:c r="W775" s="0" t="str">
        <ns0:f>IF(C775=0,"",INDEX($AP$11:$AP$60,C775))</ns0:f>
        <ns0:v/>
      </ns0:c>
    </ns0:row>
    <ns0:row r="776">
      <ns0:c r="A776" s="0">
        <ns0:f>IF(COUNTA(Bookings!A776:G776,Bookings!I776)=0,0,1)</ns0:f>
        <ns0:v>0</ns0:v>
      </ns0:c>
      <ns0:c r="B776" s="0" t="str">
        <ns0:f>IFERROR(TRIM(MID(Bookings!A776,FIND(" · ",Bookings!A776)+3,99)),"")</ns0:f>
        <ns0:v/>
      </ns0:c>
      <ns0:c r="C776" s="0">
        <ns0:f>IF(OR(B776="",LEN(B776)&gt;24,ISNUMBER(FIND(" ",B776)),ISNUMBER(FIND("*",B776)),ISNUMBER(FIND("?",B776)),ISNUMBER(FIND("~",B776))),0,IFERROR(MATCH(B776,Team!$A$11:$A$60,0),0))</ns0:f>
        <ns0:v>0</ns0:v>
      </ns0:c>
      <ns0:c r="D776" s="0" t="str">
        <ns0:f>IFERROR(IF(MID(Bookings!F776,LEN(Bookings!F776)-3,3)=" · ",RIGHT(Bookings!F776,1),""),"")</ns0:f>
        <ns0:v/>
      </ns0:c>
      <ns0:c r="E776" s="0" t="str">
        <ns0:f>IFERROR(INDEX(Settings!$H$7:$H$11,MATCH(D776,Settings!$G$7:$G$11,0)),"")</ns0:f>
        <ns0:v/>
      </ns0:c>
      <ns0:c r="F776" s="0" t="str">
        <ns0:f>IF(A776=0,"",IFERROR(IF(OR(B776="",C776=0),"CHECK employee selection",IF(INDEX(Team!$O$11:$O$60,C776)&lt;&gt;"OK","CHECK employee setup",IF(OR('_Dates'!J776=0,'_Dates'!T776=0),"CHECK date: use DD.MM.YYYY",IF('_Dates'!T776&lt;'_Dates'!J776,"CHECK end before start",IF(AND($B$6=0,OR('_Dates'!J776&lt;Settings!$B$7,'_Dates'!T776&gt;Settings!$B$8)),"CHECK split across leave years",IF(OR(NOT(OR('_Dates'!U776="Full day",'_Dates'!U776="AM",'_Dates'!U776="PM")),NOT(OR('_Dates'!V776="Full day",'_Dates'!V776="AM",'_Dates'!V776="PM"))),"CHECK Full day / AM / PM",IF(AND('_Dates'!J776='_Dates'!T776,'_Dates'!U776&lt;&gt;"Full day",'_Dates'!V776&lt;&gt;"Full day",'_Dates'!U776&lt;&gt;'_Dates'!V776),"CHECK same-day portions disagree",IF(AND($B$6=0,OR(AND('_Dates'!U776&lt;&gt;"Full day",'_Dates'!AA776=0),AND('_Dates'!V776&lt;&gt;"Full day",'_Dates'!AB776=0))),"CHECK half-day on non-working date",IF(COUNTIF(Settings!$G$7:$G$11,D776)&lt;&gt;1,"CHECK leave type",IF(AND(Bookings!G776&lt;&gt;"Approved",Bookings!G776&lt;&gt;"Pending",Bookings!G776&lt;&gt;"Cancelled"),"CHECK status","OK")))))))))),"CHECK input"))</ns0:f>
        <ns0:v/>
      </ns0:c>
      <ns0:c r="G776" s="0">
        <ns0:f>IF(OR(F776&lt;&gt;"OK",$B$6&gt;0),0,0.5*(IF(('_Dates'!X776)&lt;('_Dates'!W776),0,INT((('_Dates'!X776)-('_Dates'!W776)+1)/7)*LEN(SUBSTITUTE(W776,"O",""))+LEN(SUBSTITUTE(MID(W776&amp;W776,WEEKDAY(('_Dates'!W776),2),MOD((('_Dates'!X776)-('_Dates'!W776)+1),7)),"O",""))-COUNTIFS(INDEX(AllClosureRows,C776,0),"&gt;="&amp;('_Dates'!W776),INDEX(AllClosureRows,C776,0),"&lt;="&amp;('_Dates'!X776)))+IF(('_Dates'!Z776)&lt;('_Dates'!Y776),0,INT((('_Dates'!Z776)-('_Dates'!Y776)+1)/7)*LEN(SUBSTITUTE(W776,"O",""))+LEN(SUBSTITUTE(MID(W776&amp;W776,WEEKDAY(('_Dates'!Y776),2),MOD((('_Dates'!Z776)-('_Dates'!Y776)+1),7)),"O",""))-COUNTIFS(INDEX(AllClosureRows,C776,0),"&gt;="&amp;('_Dates'!Y776),INDEX(AllClosureRows,C776,0),"&lt;="&amp;('_Dates'!Z776)))))</ns0:f>
        <ns0:v>0</ns0:v>
      </ns0:c>
      <ns0:c r="H776" s="0">
        <ns0:f>IF(OR(F776&lt;&gt;"OK",$B$6&gt;0),0,0.5*(IF((MIN('_Dates'!X776,Settings!$B$9))&lt;('_Dates'!W776),0,INT(((MIN('_Dates'!X776,Settings!$B$9))-('_Dates'!W776)+1)/7)*LEN(SUBSTITUTE(W776,"O",""))+LEN(SUBSTITUTE(MID(W776&amp;W776,WEEKDAY(('_Dates'!W776),2),MOD(((MIN('_Dates'!X776,Settings!$B$9))-('_Dates'!W776)+1),7)),"O",""))-COUNTIFS(INDEX(AllClosureRows,C776,0),"&gt;="&amp;('_Dates'!W776),INDEX(AllClosureRows,C776,0),"&lt;="&amp;(MIN('_Dates'!X776,Settings!$B$9))))+IF((MIN('_Dates'!Z776,Settings!$B$9))&lt;('_Dates'!Y776),0,INT(((MIN('_Dates'!Z776,Settings!$B$9))-('_Dates'!Y776)+1)/7)*LEN(SUBSTITUTE(W776,"O",""))+LEN(SUBSTITUTE(MID(W776&amp;W776,WEEKDAY(('_Dates'!Y776),2),MOD(((MIN('_Dates'!Z776,Settings!$B$9))-('_Dates'!Y776)+1),7)),"O",""))-COUNTIFS(INDEX(AllClosureRows,C776,0),"&gt;="&amp;('_Dates'!Y776),INDEX(AllClosureRows,C776,0),"&lt;="&amp;(MIN('_Dates'!Z776,Settings!$B$9))))))</ns0:f>
        <ns0:v>0</ns0:v>
      </ns0:c>
      <ns0:c r="I776" s="0">
        <ns0:f>MAX(0,G776-H776)</ns0:f>
        <ns0:v>0</ns0:v>
      </ns0:c>
      <ns0:c r="J776" s="0">
        <ns0:f>IF(OR(A776=0,F776&lt;&gt;"OK",Bookings!G776="Cancelled",$B$6&gt;0),0,IF('_Dates'!AC776=1,MAX(0,COUNTIFS(rngEngine_B,B776,rngAMStart,"&lt;="&amp;'_Dates'!X776,rngAMEnd,"&gt;="&amp;'_Dates'!W776,rngAMActive,1,rngEngine_F,"OK",rngBookings_F,"&lt;&gt;Cancelled")-1),0)+IF('_Dates'!AD776=1,MAX(0,COUNTIFS(rngEngine_B,B776,rngPMStart,"&lt;="&amp;'_Dates'!Z776,rngPMEnd,"&gt;="&amp;'_Dates'!Y776,rngPMActive,1,rngEngine_F,"OK",rngBookings_F,"&lt;&gt;Cancelled")-1),0))</ns0:f>
        <ns0:v>0</ns0:v>
      </ns0:c>
      <ns0:c r="K776" s="0" t="str">
        <ns0:f>IF(A776=0,"",IF(F776&lt;&gt;"OK",F776,IF(J776&gt;0,"CHECK overlapping entry",IF(AND($B$6=0,G776&lt;=0,Bookings!G776&lt;&gt;"Cancelled"),"CHECK no working days",IF(Bookings!G776="Cancelled","Cancelled","OK")))))</ns0:f>
        <ns0:v/>
      </ns0:c>
      <ns0:c r="L776" s="0">
        <ns0:f>IF(LEFT(K776,5)="CHECK",1,0)</ns0:f>
        <ns0:v>0</ns0:v>
      </ns0:c>
      <ns0:c r="M776" s="0">
        <ns0:f>IF(AND(L776=1,OR(C776=0,IFERROR(INDEX($X$11:$X$60,C776),0)=0)),1,0)</ns0:f>
        <ns0:v>0</ns0:v>
      </ns0:c>
      <ns0:c r="N776" s="0">
        <ns0:f>IF(OR(A776=0,L776&gt;0,$B$6&gt;0,Bookings!G776="Cancelled"),0,G776)</ns0:f>
        <ns0:v>0</ns0:v>
      </ns0:c>
      <ns0:c r="O776" s="0">
        <ns0:f>IF(AND(Bookings!G776="Approved",E776="Yes"),N776,0)</ns0:f>
        <ns0:v>0</ns0:v>
      </ns0:c>
      <ns0:c r="P776" s="0">
        <ns0:f>IF(AND(Bookings!G776="Approved",E776="Yes",L776=0,$B$6=0),H776,0)</ns0:f>
        <ns0:v>0</ns0:v>
      </ns0:c>
      <ns0:c r="Q776" s="0">
        <ns0:f>IF(AND(Bookings!G776="Approved",E776="Yes",L776=0,$B$6=0),I776,0)</ns0:f>
        <ns0:v>0</ns0:v>
      </ns0:c>
      <ns0:c r="R776" s="0">
        <ns0:f>IF(AND(Bookings!G776="Pending",E776="Yes"),N776,0)</ns0:f>
        <ns0:v>0</ns0:v>
      </ns0:c>
      <ns0:c r="S776" s="0">
        <ns0:f>IF(AND(Bookings!G776="Approved",E776="No"),N776,0)</ns0:f>
        <ns0:v>0</ns0:v>
      </ns0:c>
      <ns0:c r="T776" s="0">
        <ns0:f>IFERROR(MATCH(D776,Settings!$G$7:$G$11,0),0)</ns0:f>
        <ns0:v>0</ns0:v>
      </ns0:c>
      <ns0:c r="U776" s="0">
        <ns0:f>IF(N776&gt;0,T776+IF(Bookings!G776="Pending",10,0),0)</ns0:f>
        <ns0:v>0</ns0:v>
      </ns0:c>
      <ns0:c r="V776" s="0">
        <ns0:f>U776</ns0:f>
        <ns0:v>0</ns0:v>
      </ns0:c>
      <ns0:c r="W776" s="0" t="str">
        <ns0:f>IF(C776=0,"",INDEX($AP$11:$AP$60,C776))</ns0:f>
        <ns0:v/>
      </ns0:c>
    </ns0:row>
    <ns0:row r="777">
      <ns0:c r="A777" s="0">
        <ns0:f>IF(COUNTA(Bookings!A777:G777,Bookings!I777)=0,0,1)</ns0:f>
        <ns0:v>0</ns0:v>
      </ns0:c>
      <ns0:c r="B777" s="0" t="str">
        <ns0:f>IFERROR(TRIM(MID(Bookings!A777,FIND(" · ",Bookings!A777)+3,99)),"")</ns0:f>
        <ns0:v/>
      </ns0:c>
      <ns0:c r="C777" s="0">
        <ns0:f>IF(OR(B777="",LEN(B777)&gt;24,ISNUMBER(FIND(" ",B777)),ISNUMBER(FIND("*",B777)),ISNUMBER(FIND("?",B777)),ISNUMBER(FIND("~",B777))),0,IFERROR(MATCH(B777,Team!$A$11:$A$60,0),0))</ns0:f>
        <ns0:v>0</ns0:v>
      </ns0:c>
      <ns0:c r="D777" s="0" t="str">
        <ns0:f>IFERROR(IF(MID(Bookings!F777,LEN(Bookings!F777)-3,3)=" · ",RIGHT(Bookings!F777,1),""),"")</ns0:f>
        <ns0:v/>
      </ns0:c>
      <ns0:c r="E777" s="0" t="str">
        <ns0:f>IFERROR(INDEX(Settings!$H$7:$H$11,MATCH(D777,Settings!$G$7:$G$11,0)),"")</ns0:f>
        <ns0:v/>
      </ns0:c>
      <ns0:c r="F777" s="0" t="str">
        <ns0:f>IF(A777=0,"",IFERROR(IF(OR(B777="",C777=0),"CHECK employee selection",IF(INDEX(Team!$O$11:$O$60,C777)&lt;&gt;"OK","CHECK employee setup",IF(OR('_Dates'!J777=0,'_Dates'!T777=0),"CHECK date: use DD.MM.YYYY",IF('_Dates'!T777&lt;'_Dates'!J777,"CHECK end before start",IF(AND($B$6=0,OR('_Dates'!J777&lt;Settings!$B$7,'_Dates'!T777&gt;Settings!$B$8)),"CHECK split across leave years",IF(OR(NOT(OR('_Dates'!U777="Full day",'_Dates'!U777="AM",'_Dates'!U777="PM")),NOT(OR('_Dates'!V777="Full day",'_Dates'!V777="AM",'_Dates'!V777="PM"))),"CHECK Full day / AM / PM",IF(AND('_Dates'!J777='_Dates'!T777,'_Dates'!U777&lt;&gt;"Full day",'_Dates'!V777&lt;&gt;"Full day",'_Dates'!U777&lt;&gt;'_Dates'!V777),"CHECK same-day portions disagree",IF(AND($B$6=0,OR(AND('_Dates'!U777&lt;&gt;"Full day",'_Dates'!AA777=0),AND('_Dates'!V777&lt;&gt;"Full day",'_Dates'!AB777=0))),"CHECK half-day on non-working date",IF(COUNTIF(Settings!$G$7:$G$11,D777)&lt;&gt;1,"CHECK leave type",IF(AND(Bookings!G777&lt;&gt;"Approved",Bookings!G777&lt;&gt;"Pending",Bookings!G777&lt;&gt;"Cancelled"),"CHECK status","OK")))))))))),"CHECK input"))</ns0:f>
        <ns0:v/>
      </ns0:c>
      <ns0:c r="G777" s="0">
        <ns0:f>IF(OR(F777&lt;&gt;"OK",$B$6&gt;0),0,0.5*(IF(('_Dates'!X777)&lt;('_Dates'!W777),0,INT((('_Dates'!X777)-('_Dates'!W777)+1)/7)*LEN(SUBSTITUTE(W777,"O",""))+LEN(SUBSTITUTE(MID(W777&amp;W777,WEEKDAY(('_Dates'!W777),2),MOD((('_Dates'!X777)-('_Dates'!W777)+1),7)),"O",""))-COUNTIFS(INDEX(AllClosureRows,C777,0),"&gt;="&amp;('_Dates'!W777),INDEX(AllClosureRows,C777,0),"&lt;="&amp;('_Dates'!X777)))+IF(('_Dates'!Z777)&lt;('_Dates'!Y777),0,INT((('_Dates'!Z777)-('_Dates'!Y777)+1)/7)*LEN(SUBSTITUTE(W777,"O",""))+LEN(SUBSTITUTE(MID(W777&amp;W777,WEEKDAY(('_Dates'!Y777),2),MOD((('_Dates'!Z777)-('_Dates'!Y777)+1),7)),"O",""))-COUNTIFS(INDEX(AllClosureRows,C777,0),"&gt;="&amp;('_Dates'!Y777),INDEX(AllClosureRows,C777,0),"&lt;="&amp;('_Dates'!Z777)))))</ns0:f>
        <ns0:v>0</ns0:v>
      </ns0:c>
      <ns0:c r="H777" s="0">
        <ns0:f>IF(OR(F777&lt;&gt;"OK",$B$6&gt;0),0,0.5*(IF((MIN('_Dates'!X777,Settings!$B$9))&lt;('_Dates'!W777),0,INT(((MIN('_Dates'!X777,Settings!$B$9))-('_Dates'!W777)+1)/7)*LEN(SUBSTITUTE(W777,"O",""))+LEN(SUBSTITUTE(MID(W777&amp;W777,WEEKDAY(('_Dates'!W777),2),MOD(((MIN('_Dates'!X777,Settings!$B$9))-('_Dates'!W777)+1),7)),"O",""))-COUNTIFS(INDEX(AllClosureRows,C777,0),"&gt;="&amp;('_Dates'!W777),INDEX(AllClosureRows,C777,0),"&lt;="&amp;(MIN('_Dates'!X777,Settings!$B$9))))+IF((MIN('_Dates'!Z777,Settings!$B$9))&lt;('_Dates'!Y777),0,INT(((MIN('_Dates'!Z777,Settings!$B$9))-('_Dates'!Y777)+1)/7)*LEN(SUBSTITUTE(W777,"O",""))+LEN(SUBSTITUTE(MID(W777&amp;W777,WEEKDAY(('_Dates'!Y777),2),MOD(((MIN('_Dates'!Z777,Settings!$B$9))-('_Dates'!Y777)+1),7)),"O",""))-COUNTIFS(INDEX(AllClosureRows,C777,0),"&gt;="&amp;('_Dates'!Y777),INDEX(AllClosureRows,C777,0),"&lt;="&amp;(MIN('_Dates'!Z777,Settings!$B$9))))))</ns0:f>
        <ns0:v>0</ns0:v>
      </ns0:c>
      <ns0:c r="I777" s="0">
        <ns0:f>MAX(0,G777-H777)</ns0:f>
        <ns0:v>0</ns0:v>
      </ns0:c>
      <ns0:c r="J777" s="0">
        <ns0:f>IF(OR(A777=0,F777&lt;&gt;"OK",Bookings!G777="Cancelled",$B$6&gt;0),0,IF('_Dates'!AC777=1,MAX(0,COUNTIFS(rngEngine_B,B777,rngAMStart,"&lt;="&amp;'_Dates'!X777,rngAMEnd,"&gt;="&amp;'_Dates'!W777,rngAMActive,1,rngEngine_F,"OK",rngBookings_F,"&lt;&gt;Cancelled")-1),0)+IF('_Dates'!AD777=1,MAX(0,COUNTIFS(rngEngine_B,B777,rngPMStart,"&lt;="&amp;'_Dates'!Z777,rngPMEnd,"&gt;="&amp;'_Dates'!Y777,rngPMActive,1,rngEngine_F,"OK",rngBookings_F,"&lt;&gt;Cancelled")-1),0))</ns0:f>
        <ns0:v>0</ns0:v>
      </ns0:c>
      <ns0:c r="K777" s="0" t="str">
        <ns0:f>IF(A777=0,"",IF(F777&lt;&gt;"OK",F777,IF(J777&gt;0,"CHECK overlapping entry",IF(AND($B$6=0,G777&lt;=0,Bookings!G777&lt;&gt;"Cancelled"),"CHECK no working days",IF(Bookings!G777="Cancelled","Cancelled","OK")))))</ns0:f>
        <ns0:v/>
      </ns0:c>
      <ns0:c r="L777" s="0">
        <ns0:f>IF(LEFT(K777,5)="CHECK",1,0)</ns0:f>
        <ns0:v>0</ns0:v>
      </ns0:c>
      <ns0:c r="M777" s="0">
        <ns0:f>IF(AND(L777=1,OR(C777=0,IFERROR(INDEX($X$11:$X$60,C777),0)=0)),1,0)</ns0:f>
        <ns0:v>0</ns0:v>
      </ns0:c>
      <ns0:c r="N777" s="0">
        <ns0:f>IF(OR(A777=0,L777&gt;0,$B$6&gt;0,Bookings!G777="Cancelled"),0,G777)</ns0:f>
        <ns0:v>0</ns0:v>
      </ns0:c>
      <ns0:c r="O777" s="0">
        <ns0:f>IF(AND(Bookings!G777="Approved",E777="Yes"),N777,0)</ns0:f>
        <ns0:v>0</ns0:v>
      </ns0:c>
      <ns0:c r="P777" s="0">
        <ns0:f>IF(AND(Bookings!G777="Approved",E777="Yes",L777=0,$B$6=0),H777,0)</ns0:f>
        <ns0:v>0</ns0:v>
      </ns0:c>
      <ns0:c r="Q777" s="0">
        <ns0:f>IF(AND(Bookings!G777="Approved",E777="Yes",L777=0,$B$6=0),I777,0)</ns0:f>
        <ns0:v>0</ns0:v>
      </ns0:c>
      <ns0:c r="R777" s="0">
        <ns0:f>IF(AND(Bookings!G777="Pending",E777="Yes"),N777,0)</ns0:f>
        <ns0:v>0</ns0:v>
      </ns0:c>
      <ns0:c r="S777" s="0">
        <ns0:f>IF(AND(Bookings!G777="Approved",E777="No"),N777,0)</ns0:f>
        <ns0:v>0</ns0:v>
      </ns0:c>
      <ns0:c r="T777" s="0">
        <ns0:f>IFERROR(MATCH(D777,Settings!$G$7:$G$11,0),0)</ns0:f>
        <ns0:v>0</ns0:v>
      </ns0:c>
      <ns0:c r="U777" s="0">
        <ns0:f>IF(N777&gt;0,T777+IF(Bookings!G777="Pending",10,0),0)</ns0:f>
        <ns0:v>0</ns0:v>
      </ns0:c>
      <ns0:c r="V777" s="0">
        <ns0:f>U777</ns0:f>
        <ns0:v>0</ns0:v>
      </ns0:c>
      <ns0:c r="W777" s="0" t="str">
        <ns0:f>IF(C777=0,"",INDEX($AP$11:$AP$60,C777))</ns0:f>
        <ns0:v/>
      </ns0:c>
    </ns0:row>
    <ns0:row r="778">
      <ns0:c r="A778" s="0">
        <ns0:f>IF(COUNTA(Bookings!A778:G778,Bookings!I778)=0,0,1)</ns0:f>
        <ns0:v>0</ns0:v>
      </ns0:c>
      <ns0:c r="B778" s="0" t="str">
        <ns0:f>IFERROR(TRIM(MID(Bookings!A778,FIND(" · ",Bookings!A778)+3,99)),"")</ns0:f>
        <ns0:v/>
      </ns0:c>
      <ns0:c r="C778" s="0">
        <ns0:f>IF(OR(B778="",LEN(B778)&gt;24,ISNUMBER(FIND(" ",B778)),ISNUMBER(FIND("*",B778)),ISNUMBER(FIND("?",B778)),ISNUMBER(FIND("~",B778))),0,IFERROR(MATCH(B778,Team!$A$11:$A$60,0),0))</ns0:f>
        <ns0:v>0</ns0:v>
      </ns0:c>
      <ns0:c r="D778" s="0" t="str">
        <ns0:f>IFERROR(IF(MID(Bookings!F778,LEN(Bookings!F778)-3,3)=" · ",RIGHT(Bookings!F778,1),""),"")</ns0:f>
        <ns0:v/>
      </ns0:c>
      <ns0:c r="E778" s="0" t="str">
        <ns0:f>IFERROR(INDEX(Settings!$H$7:$H$11,MATCH(D778,Settings!$G$7:$G$11,0)),"")</ns0:f>
        <ns0:v/>
      </ns0:c>
      <ns0:c r="F778" s="0" t="str">
        <ns0:f>IF(A778=0,"",IFERROR(IF(OR(B778="",C778=0),"CHECK employee selection",IF(INDEX(Team!$O$11:$O$60,C778)&lt;&gt;"OK","CHECK employee setup",IF(OR('_Dates'!J778=0,'_Dates'!T778=0),"CHECK date: use DD.MM.YYYY",IF('_Dates'!T778&lt;'_Dates'!J778,"CHECK end before start",IF(AND($B$6=0,OR('_Dates'!J778&lt;Settings!$B$7,'_Dates'!T778&gt;Settings!$B$8)),"CHECK split across leave years",IF(OR(NOT(OR('_Dates'!U778="Full day",'_Dates'!U778="AM",'_Dates'!U778="PM")),NOT(OR('_Dates'!V778="Full day",'_Dates'!V778="AM",'_Dates'!V778="PM"))),"CHECK Full day / AM / PM",IF(AND('_Dates'!J778='_Dates'!T778,'_Dates'!U778&lt;&gt;"Full day",'_Dates'!V778&lt;&gt;"Full day",'_Dates'!U778&lt;&gt;'_Dates'!V778),"CHECK same-day portions disagree",IF(AND($B$6=0,OR(AND('_Dates'!U778&lt;&gt;"Full day",'_Dates'!AA778=0),AND('_Dates'!V778&lt;&gt;"Full day",'_Dates'!AB778=0))),"CHECK half-day on non-working date",IF(COUNTIF(Settings!$G$7:$G$11,D778)&lt;&gt;1,"CHECK leave type",IF(AND(Bookings!G778&lt;&gt;"Approved",Bookings!G778&lt;&gt;"Pending",Bookings!G778&lt;&gt;"Cancelled"),"CHECK status","OK")))))))))),"CHECK input"))</ns0:f>
        <ns0:v/>
      </ns0:c>
      <ns0:c r="G778" s="0">
        <ns0:f>IF(OR(F778&lt;&gt;"OK",$B$6&gt;0),0,0.5*(IF(('_Dates'!X778)&lt;('_Dates'!W778),0,INT((('_Dates'!X778)-('_Dates'!W778)+1)/7)*LEN(SUBSTITUTE(W778,"O",""))+LEN(SUBSTITUTE(MID(W778&amp;W778,WEEKDAY(('_Dates'!W778),2),MOD((('_Dates'!X778)-('_Dates'!W778)+1),7)),"O",""))-COUNTIFS(INDEX(AllClosureRows,C778,0),"&gt;="&amp;('_Dates'!W778),INDEX(AllClosureRows,C778,0),"&lt;="&amp;('_Dates'!X778)))+IF(('_Dates'!Z778)&lt;('_Dates'!Y778),0,INT((('_Dates'!Z778)-('_Dates'!Y778)+1)/7)*LEN(SUBSTITUTE(W778,"O",""))+LEN(SUBSTITUTE(MID(W778&amp;W778,WEEKDAY(('_Dates'!Y778),2),MOD((('_Dates'!Z778)-('_Dates'!Y778)+1),7)),"O",""))-COUNTIFS(INDEX(AllClosureRows,C778,0),"&gt;="&amp;('_Dates'!Y778),INDEX(AllClosureRows,C778,0),"&lt;="&amp;('_Dates'!Z778)))))</ns0:f>
        <ns0:v>0</ns0:v>
      </ns0:c>
      <ns0:c r="H778" s="0">
        <ns0:f>IF(OR(F778&lt;&gt;"OK",$B$6&gt;0),0,0.5*(IF((MIN('_Dates'!X778,Settings!$B$9))&lt;('_Dates'!W778),0,INT(((MIN('_Dates'!X778,Settings!$B$9))-('_Dates'!W778)+1)/7)*LEN(SUBSTITUTE(W778,"O",""))+LEN(SUBSTITUTE(MID(W778&amp;W778,WEEKDAY(('_Dates'!W778),2),MOD(((MIN('_Dates'!X778,Settings!$B$9))-('_Dates'!W778)+1),7)),"O",""))-COUNTIFS(INDEX(AllClosureRows,C778,0),"&gt;="&amp;('_Dates'!W778),INDEX(AllClosureRows,C778,0),"&lt;="&amp;(MIN('_Dates'!X778,Settings!$B$9))))+IF((MIN('_Dates'!Z778,Settings!$B$9))&lt;('_Dates'!Y778),0,INT(((MIN('_Dates'!Z778,Settings!$B$9))-('_Dates'!Y778)+1)/7)*LEN(SUBSTITUTE(W778,"O",""))+LEN(SUBSTITUTE(MID(W778&amp;W778,WEEKDAY(('_Dates'!Y778),2),MOD(((MIN('_Dates'!Z778,Settings!$B$9))-('_Dates'!Y778)+1),7)),"O",""))-COUNTIFS(INDEX(AllClosureRows,C778,0),"&gt;="&amp;('_Dates'!Y778),INDEX(AllClosureRows,C778,0),"&lt;="&amp;(MIN('_Dates'!Z778,Settings!$B$9))))))</ns0:f>
        <ns0:v>0</ns0:v>
      </ns0:c>
      <ns0:c r="I778" s="0">
        <ns0:f>MAX(0,G778-H778)</ns0:f>
        <ns0:v>0</ns0:v>
      </ns0:c>
      <ns0:c r="J778" s="0">
        <ns0:f>IF(OR(A778=0,F778&lt;&gt;"OK",Bookings!G778="Cancelled",$B$6&gt;0),0,IF('_Dates'!AC778=1,MAX(0,COUNTIFS(rngEngine_B,B778,rngAMStart,"&lt;="&amp;'_Dates'!X778,rngAMEnd,"&gt;="&amp;'_Dates'!W778,rngAMActive,1,rngEngine_F,"OK",rngBookings_F,"&lt;&gt;Cancelled")-1),0)+IF('_Dates'!AD778=1,MAX(0,COUNTIFS(rngEngine_B,B778,rngPMStart,"&lt;="&amp;'_Dates'!Z778,rngPMEnd,"&gt;="&amp;'_Dates'!Y778,rngPMActive,1,rngEngine_F,"OK",rngBookings_F,"&lt;&gt;Cancelled")-1),0))</ns0:f>
        <ns0:v>0</ns0:v>
      </ns0:c>
      <ns0:c r="K778" s="0" t="str">
        <ns0:f>IF(A778=0,"",IF(F778&lt;&gt;"OK",F778,IF(J778&gt;0,"CHECK overlapping entry",IF(AND($B$6=0,G778&lt;=0,Bookings!G778&lt;&gt;"Cancelled"),"CHECK no working days",IF(Bookings!G778="Cancelled","Cancelled","OK")))))</ns0:f>
        <ns0:v/>
      </ns0:c>
      <ns0:c r="L778" s="0">
        <ns0:f>IF(LEFT(K778,5)="CHECK",1,0)</ns0:f>
        <ns0:v>0</ns0:v>
      </ns0:c>
      <ns0:c r="M778" s="0">
        <ns0:f>IF(AND(L778=1,OR(C778=0,IFERROR(INDEX($X$11:$X$60,C778),0)=0)),1,0)</ns0:f>
        <ns0:v>0</ns0:v>
      </ns0:c>
      <ns0:c r="N778" s="0">
        <ns0:f>IF(OR(A778=0,L778&gt;0,$B$6&gt;0,Bookings!G778="Cancelled"),0,G778)</ns0:f>
        <ns0:v>0</ns0:v>
      </ns0:c>
      <ns0:c r="O778" s="0">
        <ns0:f>IF(AND(Bookings!G778="Approved",E778="Yes"),N778,0)</ns0:f>
        <ns0:v>0</ns0:v>
      </ns0:c>
      <ns0:c r="P778" s="0">
        <ns0:f>IF(AND(Bookings!G778="Approved",E778="Yes",L778=0,$B$6=0),H778,0)</ns0:f>
        <ns0:v>0</ns0:v>
      </ns0:c>
      <ns0:c r="Q778" s="0">
        <ns0:f>IF(AND(Bookings!G778="Approved",E778="Yes",L778=0,$B$6=0),I778,0)</ns0:f>
        <ns0:v>0</ns0:v>
      </ns0:c>
      <ns0:c r="R778" s="0">
        <ns0:f>IF(AND(Bookings!G778="Pending",E778="Yes"),N778,0)</ns0:f>
        <ns0:v>0</ns0:v>
      </ns0:c>
      <ns0:c r="S778" s="0">
        <ns0:f>IF(AND(Bookings!G778="Approved",E778="No"),N778,0)</ns0:f>
        <ns0:v>0</ns0:v>
      </ns0:c>
      <ns0:c r="T778" s="0">
        <ns0:f>IFERROR(MATCH(D778,Settings!$G$7:$G$11,0),0)</ns0:f>
        <ns0:v>0</ns0:v>
      </ns0:c>
      <ns0:c r="U778" s="0">
        <ns0:f>IF(N778&gt;0,T778+IF(Bookings!G778="Pending",10,0),0)</ns0:f>
        <ns0:v>0</ns0:v>
      </ns0:c>
      <ns0:c r="V778" s="0">
        <ns0:f>U778</ns0:f>
        <ns0:v>0</ns0:v>
      </ns0:c>
      <ns0:c r="W778" s="0" t="str">
        <ns0:f>IF(C778=0,"",INDEX($AP$11:$AP$60,C778))</ns0:f>
        <ns0:v/>
      </ns0:c>
    </ns0:row>
    <ns0:row r="779">
      <ns0:c r="A779" s="0">
        <ns0:f>IF(COUNTA(Bookings!A779:G779,Bookings!I779)=0,0,1)</ns0:f>
        <ns0:v>0</ns0:v>
      </ns0:c>
      <ns0:c r="B779" s="0" t="str">
        <ns0:f>IFERROR(TRIM(MID(Bookings!A779,FIND(" · ",Bookings!A779)+3,99)),"")</ns0:f>
        <ns0:v/>
      </ns0:c>
      <ns0:c r="C779" s="0">
        <ns0:f>IF(OR(B779="",LEN(B779)&gt;24,ISNUMBER(FIND(" ",B779)),ISNUMBER(FIND("*",B779)),ISNUMBER(FIND("?",B779)),ISNUMBER(FIND("~",B779))),0,IFERROR(MATCH(B779,Team!$A$11:$A$60,0),0))</ns0:f>
        <ns0:v>0</ns0:v>
      </ns0:c>
      <ns0:c r="D779" s="0" t="str">
        <ns0:f>IFERROR(IF(MID(Bookings!F779,LEN(Bookings!F779)-3,3)=" · ",RIGHT(Bookings!F779,1),""),"")</ns0:f>
        <ns0:v/>
      </ns0:c>
      <ns0:c r="E779" s="0" t="str">
        <ns0:f>IFERROR(INDEX(Settings!$H$7:$H$11,MATCH(D779,Settings!$G$7:$G$11,0)),"")</ns0:f>
        <ns0:v/>
      </ns0:c>
      <ns0:c r="F779" s="0" t="str">
        <ns0:f>IF(A779=0,"",IFERROR(IF(OR(B779="",C779=0),"CHECK employee selection",IF(INDEX(Team!$O$11:$O$60,C779)&lt;&gt;"OK","CHECK employee setup",IF(OR('_Dates'!J779=0,'_Dates'!T779=0),"CHECK date: use DD.MM.YYYY",IF('_Dates'!T779&lt;'_Dates'!J779,"CHECK end before start",IF(AND($B$6=0,OR('_Dates'!J779&lt;Settings!$B$7,'_Dates'!T779&gt;Settings!$B$8)),"CHECK split across leave years",IF(OR(NOT(OR('_Dates'!U779="Full day",'_Dates'!U779="AM",'_Dates'!U779="PM")),NOT(OR('_Dates'!V779="Full day",'_Dates'!V779="AM",'_Dates'!V779="PM"))),"CHECK Full day / AM / PM",IF(AND('_Dates'!J779='_Dates'!T779,'_Dates'!U779&lt;&gt;"Full day",'_Dates'!V779&lt;&gt;"Full day",'_Dates'!U779&lt;&gt;'_Dates'!V779),"CHECK same-day portions disagree",IF(AND($B$6=0,OR(AND('_Dates'!U779&lt;&gt;"Full day",'_Dates'!AA779=0),AND('_Dates'!V779&lt;&gt;"Full day",'_Dates'!AB779=0))),"CHECK half-day on non-working date",IF(COUNTIF(Settings!$G$7:$G$11,D779)&lt;&gt;1,"CHECK leave type",IF(AND(Bookings!G779&lt;&gt;"Approved",Bookings!G779&lt;&gt;"Pending",Bookings!G779&lt;&gt;"Cancelled"),"CHECK status","OK")))))))))),"CHECK input"))</ns0:f>
        <ns0:v/>
      </ns0:c>
      <ns0:c r="G779" s="0">
        <ns0:f>IF(OR(F779&lt;&gt;"OK",$B$6&gt;0),0,0.5*(IF(('_Dates'!X779)&lt;('_Dates'!W779),0,INT((('_Dates'!X779)-('_Dates'!W779)+1)/7)*LEN(SUBSTITUTE(W779,"O",""))+LEN(SUBSTITUTE(MID(W779&amp;W779,WEEKDAY(('_Dates'!W779),2),MOD((('_Dates'!X779)-('_Dates'!W779)+1),7)),"O",""))-COUNTIFS(INDEX(AllClosureRows,C779,0),"&gt;="&amp;('_Dates'!W779),INDEX(AllClosureRows,C779,0),"&lt;="&amp;('_Dates'!X779)))+IF(('_Dates'!Z779)&lt;('_Dates'!Y779),0,INT((('_Dates'!Z779)-('_Dates'!Y779)+1)/7)*LEN(SUBSTITUTE(W779,"O",""))+LEN(SUBSTITUTE(MID(W779&amp;W779,WEEKDAY(('_Dates'!Y779),2),MOD((('_Dates'!Z779)-('_Dates'!Y779)+1),7)),"O",""))-COUNTIFS(INDEX(AllClosureRows,C779,0),"&gt;="&amp;('_Dates'!Y779),INDEX(AllClosureRows,C779,0),"&lt;="&amp;('_Dates'!Z779)))))</ns0:f>
        <ns0:v>0</ns0:v>
      </ns0:c>
      <ns0:c r="H779" s="0">
        <ns0:f>IF(OR(F779&lt;&gt;"OK",$B$6&gt;0),0,0.5*(IF((MIN('_Dates'!X779,Settings!$B$9))&lt;('_Dates'!W779),0,INT(((MIN('_Dates'!X779,Settings!$B$9))-('_Dates'!W779)+1)/7)*LEN(SUBSTITUTE(W779,"O",""))+LEN(SUBSTITUTE(MID(W779&amp;W779,WEEKDAY(('_Dates'!W779),2),MOD(((MIN('_Dates'!X779,Settings!$B$9))-('_Dates'!W779)+1),7)),"O",""))-COUNTIFS(INDEX(AllClosureRows,C779,0),"&gt;="&amp;('_Dates'!W779),INDEX(AllClosureRows,C779,0),"&lt;="&amp;(MIN('_Dates'!X779,Settings!$B$9))))+IF((MIN('_Dates'!Z779,Settings!$B$9))&lt;('_Dates'!Y779),0,INT(((MIN('_Dates'!Z779,Settings!$B$9))-('_Dates'!Y779)+1)/7)*LEN(SUBSTITUTE(W779,"O",""))+LEN(SUBSTITUTE(MID(W779&amp;W779,WEEKDAY(('_Dates'!Y779),2),MOD(((MIN('_Dates'!Z779,Settings!$B$9))-('_Dates'!Y779)+1),7)),"O",""))-COUNTIFS(INDEX(AllClosureRows,C779,0),"&gt;="&amp;('_Dates'!Y779),INDEX(AllClosureRows,C779,0),"&lt;="&amp;(MIN('_Dates'!Z779,Settings!$B$9))))))</ns0:f>
        <ns0:v>0</ns0:v>
      </ns0:c>
      <ns0:c r="I779" s="0">
        <ns0:f>MAX(0,G779-H779)</ns0:f>
        <ns0:v>0</ns0:v>
      </ns0:c>
      <ns0:c r="J779" s="0">
        <ns0:f>IF(OR(A779=0,F779&lt;&gt;"OK",Bookings!G779="Cancelled",$B$6&gt;0),0,IF('_Dates'!AC779=1,MAX(0,COUNTIFS(rngEngine_B,B779,rngAMStart,"&lt;="&amp;'_Dates'!X779,rngAMEnd,"&gt;="&amp;'_Dates'!W779,rngAMActive,1,rngEngine_F,"OK",rngBookings_F,"&lt;&gt;Cancelled")-1),0)+IF('_Dates'!AD779=1,MAX(0,COUNTIFS(rngEngine_B,B779,rngPMStart,"&lt;="&amp;'_Dates'!Z779,rngPMEnd,"&gt;="&amp;'_Dates'!Y779,rngPMActive,1,rngEngine_F,"OK",rngBookings_F,"&lt;&gt;Cancelled")-1),0))</ns0:f>
        <ns0:v>0</ns0:v>
      </ns0:c>
      <ns0:c r="K779" s="0" t="str">
        <ns0:f>IF(A779=0,"",IF(F779&lt;&gt;"OK",F779,IF(J779&gt;0,"CHECK overlapping entry",IF(AND($B$6=0,G779&lt;=0,Bookings!G779&lt;&gt;"Cancelled"),"CHECK no working days",IF(Bookings!G779="Cancelled","Cancelled","OK")))))</ns0:f>
        <ns0:v/>
      </ns0:c>
      <ns0:c r="L779" s="0">
        <ns0:f>IF(LEFT(K779,5)="CHECK",1,0)</ns0:f>
        <ns0:v>0</ns0:v>
      </ns0:c>
      <ns0:c r="M779" s="0">
        <ns0:f>IF(AND(L779=1,OR(C779=0,IFERROR(INDEX($X$11:$X$60,C779),0)=0)),1,0)</ns0:f>
        <ns0:v>0</ns0:v>
      </ns0:c>
      <ns0:c r="N779" s="0">
        <ns0:f>IF(OR(A779=0,L779&gt;0,$B$6&gt;0,Bookings!G779="Cancelled"),0,G779)</ns0:f>
        <ns0:v>0</ns0:v>
      </ns0:c>
      <ns0:c r="O779" s="0">
        <ns0:f>IF(AND(Bookings!G779="Approved",E779="Yes"),N779,0)</ns0:f>
        <ns0:v>0</ns0:v>
      </ns0:c>
      <ns0:c r="P779" s="0">
        <ns0:f>IF(AND(Bookings!G779="Approved",E779="Yes",L779=0,$B$6=0),H779,0)</ns0:f>
        <ns0:v>0</ns0:v>
      </ns0:c>
      <ns0:c r="Q779" s="0">
        <ns0:f>IF(AND(Bookings!G779="Approved",E779="Yes",L779=0,$B$6=0),I779,0)</ns0:f>
        <ns0:v>0</ns0:v>
      </ns0:c>
      <ns0:c r="R779" s="0">
        <ns0:f>IF(AND(Bookings!G779="Pending",E779="Yes"),N779,0)</ns0:f>
        <ns0:v>0</ns0:v>
      </ns0:c>
      <ns0:c r="S779" s="0">
        <ns0:f>IF(AND(Bookings!G779="Approved",E779="No"),N779,0)</ns0:f>
        <ns0:v>0</ns0:v>
      </ns0:c>
      <ns0:c r="T779" s="0">
        <ns0:f>IFERROR(MATCH(D779,Settings!$G$7:$G$11,0),0)</ns0:f>
        <ns0:v>0</ns0:v>
      </ns0:c>
      <ns0:c r="U779" s="0">
        <ns0:f>IF(N779&gt;0,T779+IF(Bookings!G779="Pending",10,0),0)</ns0:f>
        <ns0:v>0</ns0:v>
      </ns0:c>
      <ns0:c r="V779" s="0">
        <ns0:f>U779</ns0:f>
        <ns0:v>0</ns0:v>
      </ns0:c>
      <ns0:c r="W779" s="0" t="str">
        <ns0:f>IF(C779=0,"",INDEX($AP$11:$AP$60,C779))</ns0:f>
        <ns0:v/>
      </ns0:c>
    </ns0:row>
    <ns0:row r="780">
      <ns0:c r="A780" s="0">
        <ns0:f>IF(COUNTA(Bookings!A780:G780,Bookings!I780)=0,0,1)</ns0:f>
        <ns0:v>0</ns0:v>
      </ns0:c>
      <ns0:c r="B780" s="0" t="str">
        <ns0:f>IFERROR(TRIM(MID(Bookings!A780,FIND(" · ",Bookings!A780)+3,99)),"")</ns0:f>
        <ns0:v/>
      </ns0:c>
      <ns0:c r="C780" s="0">
        <ns0:f>IF(OR(B780="",LEN(B780)&gt;24,ISNUMBER(FIND(" ",B780)),ISNUMBER(FIND("*",B780)),ISNUMBER(FIND("?",B780)),ISNUMBER(FIND("~",B780))),0,IFERROR(MATCH(B780,Team!$A$11:$A$60,0),0))</ns0:f>
        <ns0:v>0</ns0:v>
      </ns0:c>
      <ns0:c r="D780" s="0" t="str">
        <ns0:f>IFERROR(IF(MID(Bookings!F780,LEN(Bookings!F780)-3,3)=" · ",RIGHT(Bookings!F780,1),""),"")</ns0:f>
        <ns0:v/>
      </ns0:c>
      <ns0:c r="E780" s="0" t="str">
        <ns0:f>IFERROR(INDEX(Settings!$H$7:$H$11,MATCH(D780,Settings!$G$7:$G$11,0)),"")</ns0:f>
        <ns0:v/>
      </ns0:c>
      <ns0:c r="F780" s="0" t="str">
        <ns0:f>IF(A780=0,"",IFERROR(IF(OR(B780="",C780=0),"CHECK employee selection",IF(INDEX(Team!$O$11:$O$60,C780)&lt;&gt;"OK","CHECK employee setup",IF(OR('_Dates'!J780=0,'_Dates'!T780=0),"CHECK date: use DD.MM.YYYY",IF('_Dates'!T780&lt;'_Dates'!J780,"CHECK end before start",IF(AND($B$6=0,OR('_Dates'!J780&lt;Settings!$B$7,'_Dates'!T780&gt;Settings!$B$8)),"CHECK split across leave years",IF(OR(NOT(OR('_Dates'!U780="Full day",'_Dates'!U780="AM",'_Dates'!U780="PM")),NOT(OR('_Dates'!V780="Full day",'_Dates'!V780="AM",'_Dates'!V780="PM"))),"CHECK Full day / AM / PM",IF(AND('_Dates'!J780='_Dates'!T780,'_Dates'!U780&lt;&gt;"Full day",'_Dates'!V780&lt;&gt;"Full day",'_Dates'!U780&lt;&gt;'_Dates'!V780),"CHECK same-day portions disagree",IF(AND($B$6=0,OR(AND('_Dates'!U780&lt;&gt;"Full day",'_Dates'!AA780=0),AND('_Dates'!V780&lt;&gt;"Full day",'_Dates'!AB780=0))),"CHECK half-day on non-working date",IF(COUNTIF(Settings!$G$7:$G$11,D780)&lt;&gt;1,"CHECK leave type",IF(AND(Bookings!G780&lt;&gt;"Approved",Bookings!G780&lt;&gt;"Pending",Bookings!G780&lt;&gt;"Cancelled"),"CHECK status","OK")))))))))),"CHECK input"))</ns0:f>
        <ns0:v/>
      </ns0:c>
      <ns0:c r="G780" s="0">
        <ns0:f>IF(OR(F780&lt;&gt;"OK",$B$6&gt;0),0,0.5*(IF(('_Dates'!X780)&lt;('_Dates'!W780),0,INT((('_Dates'!X780)-('_Dates'!W780)+1)/7)*LEN(SUBSTITUTE(W780,"O",""))+LEN(SUBSTITUTE(MID(W780&amp;W780,WEEKDAY(('_Dates'!W780),2),MOD((('_Dates'!X780)-('_Dates'!W780)+1),7)),"O",""))-COUNTIFS(INDEX(AllClosureRows,C780,0),"&gt;="&amp;('_Dates'!W780),INDEX(AllClosureRows,C780,0),"&lt;="&amp;('_Dates'!X780)))+IF(('_Dates'!Z780)&lt;('_Dates'!Y780),0,INT((('_Dates'!Z780)-('_Dates'!Y780)+1)/7)*LEN(SUBSTITUTE(W780,"O",""))+LEN(SUBSTITUTE(MID(W780&amp;W780,WEEKDAY(('_Dates'!Y780),2),MOD((('_Dates'!Z780)-('_Dates'!Y780)+1),7)),"O",""))-COUNTIFS(INDEX(AllClosureRows,C780,0),"&gt;="&amp;('_Dates'!Y780),INDEX(AllClosureRows,C780,0),"&lt;="&amp;('_Dates'!Z780)))))</ns0:f>
        <ns0:v>0</ns0:v>
      </ns0:c>
      <ns0:c r="H780" s="0">
        <ns0:f>IF(OR(F780&lt;&gt;"OK",$B$6&gt;0),0,0.5*(IF((MIN('_Dates'!X780,Settings!$B$9))&lt;('_Dates'!W780),0,INT(((MIN('_Dates'!X780,Settings!$B$9))-('_Dates'!W780)+1)/7)*LEN(SUBSTITUTE(W780,"O",""))+LEN(SUBSTITUTE(MID(W780&amp;W780,WEEKDAY(('_Dates'!W780),2),MOD(((MIN('_Dates'!X780,Settings!$B$9))-('_Dates'!W780)+1),7)),"O",""))-COUNTIFS(INDEX(AllClosureRows,C780,0),"&gt;="&amp;('_Dates'!W780),INDEX(AllClosureRows,C780,0),"&lt;="&amp;(MIN('_Dates'!X780,Settings!$B$9))))+IF((MIN('_Dates'!Z780,Settings!$B$9))&lt;('_Dates'!Y780),0,INT(((MIN('_Dates'!Z780,Settings!$B$9))-('_Dates'!Y780)+1)/7)*LEN(SUBSTITUTE(W780,"O",""))+LEN(SUBSTITUTE(MID(W780&amp;W780,WEEKDAY(('_Dates'!Y780),2),MOD(((MIN('_Dates'!Z780,Settings!$B$9))-('_Dates'!Y780)+1),7)),"O",""))-COUNTIFS(INDEX(AllClosureRows,C780,0),"&gt;="&amp;('_Dates'!Y780),INDEX(AllClosureRows,C780,0),"&lt;="&amp;(MIN('_Dates'!Z780,Settings!$B$9))))))</ns0:f>
        <ns0:v>0</ns0:v>
      </ns0:c>
      <ns0:c r="I780" s="0">
        <ns0:f>MAX(0,G780-H780)</ns0:f>
        <ns0:v>0</ns0:v>
      </ns0:c>
      <ns0:c r="J780" s="0">
        <ns0:f>IF(OR(A780=0,F780&lt;&gt;"OK",Bookings!G780="Cancelled",$B$6&gt;0),0,IF('_Dates'!AC780=1,MAX(0,COUNTIFS(rngEngine_B,B780,rngAMStart,"&lt;="&amp;'_Dates'!X780,rngAMEnd,"&gt;="&amp;'_Dates'!W780,rngAMActive,1,rngEngine_F,"OK",rngBookings_F,"&lt;&gt;Cancelled")-1),0)+IF('_Dates'!AD780=1,MAX(0,COUNTIFS(rngEngine_B,B780,rngPMStart,"&lt;="&amp;'_Dates'!Z780,rngPMEnd,"&gt;="&amp;'_Dates'!Y780,rngPMActive,1,rngEngine_F,"OK",rngBookings_F,"&lt;&gt;Cancelled")-1),0))</ns0:f>
        <ns0:v>0</ns0:v>
      </ns0:c>
      <ns0:c r="K780" s="0" t="str">
        <ns0:f>IF(A780=0,"",IF(F780&lt;&gt;"OK",F780,IF(J780&gt;0,"CHECK overlapping entry",IF(AND($B$6=0,G780&lt;=0,Bookings!G780&lt;&gt;"Cancelled"),"CHECK no working days",IF(Bookings!G780="Cancelled","Cancelled","OK")))))</ns0:f>
        <ns0:v/>
      </ns0:c>
      <ns0:c r="L780" s="0">
        <ns0:f>IF(LEFT(K780,5)="CHECK",1,0)</ns0:f>
        <ns0:v>0</ns0:v>
      </ns0:c>
      <ns0:c r="M780" s="0">
        <ns0:f>IF(AND(L780=1,OR(C780=0,IFERROR(INDEX($X$11:$X$60,C780),0)=0)),1,0)</ns0:f>
        <ns0:v>0</ns0:v>
      </ns0:c>
      <ns0:c r="N780" s="0">
        <ns0:f>IF(OR(A780=0,L780&gt;0,$B$6&gt;0,Bookings!G780="Cancelled"),0,G780)</ns0:f>
        <ns0:v>0</ns0:v>
      </ns0:c>
      <ns0:c r="O780" s="0">
        <ns0:f>IF(AND(Bookings!G780="Approved",E780="Yes"),N780,0)</ns0:f>
        <ns0:v>0</ns0:v>
      </ns0:c>
      <ns0:c r="P780" s="0">
        <ns0:f>IF(AND(Bookings!G780="Approved",E780="Yes",L780=0,$B$6=0),H780,0)</ns0:f>
        <ns0:v>0</ns0:v>
      </ns0:c>
      <ns0:c r="Q780" s="0">
        <ns0:f>IF(AND(Bookings!G780="Approved",E780="Yes",L780=0,$B$6=0),I780,0)</ns0:f>
        <ns0:v>0</ns0:v>
      </ns0:c>
      <ns0:c r="R780" s="0">
        <ns0:f>IF(AND(Bookings!G780="Pending",E780="Yes"),N780,0)</ns0:f>
        <ns0:v>0</ns0:v>
      </ns0:c>
      <ns0:c r="S780" s="0">
        <ns0:f>IF(AND(Bookings!G780="Approved",E780="No"),N780,0)</ns0:f>
        <ns0:v>0</ns0:v>
      </ns0:c>
      <ns0:c r="T780" s="0">
        <ns0:f>IFERROR(MATCH(D780,Settings!$G$7:$G$11,0),0)</ns0:f>
        <ns0:v>0</ns0:v>
      </ns0:c>
      <ns0:c r="U780" s="0">
        <ns0:f>IF(N780&gt;0,T780+IF(Bookings!G780="Pending",10,0),0)</ns0:f>
        <ns0:v>0</ns0:v>
      </ns0:c>
      <ns0:c r="V780" s="0">
        <ns0:f>U780</ns0:f>
        <ns0:v>0</ns0:v>
      </ns0:c>
      <ns0:c r="W780" s="0" t="str">
        <ns0:f>IF(C780=0,"",INDEX($AP$11:$AP$60,C780))</ns0:f>
        <ns0:v/>
      </ns0:c>
    </ns0:row>
    <ns0:row r="781">
      <ns0:c r="A781" s="0">
        <ns0:f>IF(COUNTA(Bookings!A781:G781,Bookings!I781)=0,0,1)</ns0:f>
        <ns0:v>0</ns0:v>
      </ns0:c>
      <ns0:c r="B781" s="0" t="str">
        <ns0:f>IFERROR(TRIM(MID(Bookings!A781,FIND(" · ",Bookings!A781)+3,99)),"")</ns0:f>
        <ns0:v/>
      </ns0:c>
      <ns0:c r="C781" s="0">
        <ns0:f>IF(OR(B781="",LEN(B781)&gt;24,ISNUMBER(FIND(" ",B781)),ISNUMBER(FIND("*",B781)),ISNUMBER(FIND("?",B781)),ISNUMBER(FIND("~",B781))),0,IFERROR(MATCH(B781,Team!$A$11:$A$60,0),0))</ns0:f>
        <ns0:v>0</ns0:v>
      </ns0:c>
      <ns0:c r="D781" s="0" t="str">
        <ns0:f>IFERROR(IF(MID(Bookings!F781,LEN(Bookings!F781)-3,3)=" · ",RIGHT(Bookings!F781,1),""),"")</ns0:f>
        <ns0:v/>
      </ns0:c>
      <ns0:c r="E781" s="0" t="str">
        <ns0:f>IFERROR(INDEX(Settings!$H$7:$H$11,MATCH(D781,Settings!$G$7:$G$11,0)),"")</ns0:f>
        <ns0:v/>
      </ns0:c>
      <ns0:c r="F781" s="0" t="str">
        <ns0:f>IF(A781=0,"",IFERROR(IF(OR(B781="",C781=0),"CHECK employee selection",IF(INDEX(Team!$O$11:$O$60,C781)&lt;&gt;"OK","CHECK employee setup",IF(OR('_Dates'!J781=0,'_Dates'!T781=0),"CHECK date: use DD.MM.YYYY",IF('_Dates'!T781&lt;'_Dates'!J781,"CHECK end before start",IF(AND($B$6=0,OR('_Dates'!J781&lt;Settings!$B$7,'_Dates'!T781&gt;Settings!$B$8)),"CHECK split across leave years",IF(OR(NOT(OR('_Dates'!U781="Full day",'_Dates'!U781="AM",'_Dates'!U781="PM")),NOT(OR('_Dates'!V781="Full day",'_Dates'!V781="AM",'_Dates'!V781="PM"))),"CHECK Full day / AM / PM",IF(AND('_Dates'!J781='_Dates'!T781,'_Dates'!U781&lt;&gt;"Full day",'_Dates'!V781&lt;&gt;"Full day",'_Dates'!U781&lt;&gt;'_Dates'!V781),"CHECK same-day portions disagree",IF(AND($B$6=0,OR(AND('_Dates'!U781&lt;&gt;"Full day",'_Dates'!AA781=0),AND('_Dates'!V781&lt;&gt;"Full day",'_Dates'!AB781=0))),"CHECK half-day on non-working date",IF(COUNTIF(Settings!$G$7:$G$11,D781)&lt;&gt;1,"CHECK leave type",IF(AND(Bookings!G781&lt;&gt;"Approved",Bookings!G781&lt;&gt;"Pending",Bookings!G781&lt;&gt;"Cancelled"),"CHECK status","OK")))))))))),"CHECK input"))</ns0:f>
        <ns0:v/>
      </ns0:c>
      <ns0:c r="G781" s="0">
        <ns0:f>IF(OR(F781&lt;&gt;"OK",$B$6&gt;0),0,0.5*(IF(('_Dates'!X781)&lt;('_Dates'!W781),0,INT((('_Dates'!X781)-('_Dates'!W781)+1)/7)*LEN(SUBSTITUTE(W781,"O",""))+LEN(SUBSTITUTE(MID(W781&amp;W781,WEEKDAY(('_Dates'!W781),2),MOD((('_Dates'!X781)-('_Dates'!W781)+1),7)),"O",""))-COUNTIFS(INDEX(AllClosureRows,C781,0),"&gt;="&amp;('_Dates'!W781),INDEX(AllClosureRows,C781,0),"&lt;="&amp;('_Dates'!X781)))+IF(('_Dates'!Z781)&lt;('_Dates'!Y781),0,INT((('_Dates'!Z781)-('_Dates'!Y781)+1)/7)*LEN(SUBSTITUTE(W781,"O",""))+LEN(SUBSTITUTE(MID(W781&amp;W781,WEEKDAY(('_Dates'!Y781),2),MOD((('_Dates'!Z781)-('_Dates'!Y781)+1),7)),"O",""))-COUNTIFS(INDEX(AllClosureRows,C781,0),"&gt;="&amp;('_Dates'!Y781),INDEX(AllClosureRows,C781,0),"&lt;="&amp;('_Dates'!Z781)))))</ns0:f>
        <ns0:v>0</ns0:v>
      </ns0:c>
      <ns0:c r="H781" s="0">
        <ns0:f>IF(OR(F781&lt;&gt;"OK",$B$6&gt;0),0,0.5*(IF((MIN('_Dates'!X781,Settings!$B$9))&lt;('_Dates'!W781),0,INT(((MIN('_Dates'!X781,Settings!$B$9))-('_Dates'!W781)+1)/7)*LEN(SUBSTITUTE(W781,"O",""))+LEN(SUBSTITUTE(MID(W781&amp;W781,WEEKDAY(('_Dates'!W781),2),MOD(((MIN('_Dates'!X781,Settings!$B$9))-('_Dates'!W781)+1),7)),"O",""))-COUNTIFS(INDEX(AllClosureRows,C781,0),"&gt;="&amp;('_Dates'!W781),INDEX(AllClosureRows,C781,0),"&lt;="&amp;(MIN('_Dates'!X781,Settings!$B$9))))+IF((MIN('_Dates'!Z781,Settings!$B$9))&lt;('_Dates'!Y781),0,INT(((MIN('_Dates'!Z781,Settings!$B$9))-('_Dates'!Y781)+1)/7)*LEN(SUBSTITUTE(W781,"O",""))+LEN(SUBSTITUTE(MID(W781&amp;W781,WEEKDAY(('_Dates'!Y781),2),MOD(((MIN('_Dates'!Z781,Settings!$B$9))-('_Dates'!Y781)+1),7)),"O",""))-COUNTIFS(INDEX(AllClosureRows,C781,0),"&gt;="&amp;('_Dates'!Y781),INDEX(AllClosureRows,C781,0),"&lt;="&amp;(MIN('_Dates'!Z781,Settings!$B$9))))))</ns0:f>
        <ns0:v>0</ns0:v>
      </ns0:c>
      <ns0:c r="I781" s="0">
        <ns0:f>MAX(0,G781-H781)</ns0:f>
        <ns0:v>0</ns0:v>
      </ns0:c>
      <ns0:c r="J781" s="0">
        <ns0:f>IF(OR(A781=0,F781&lt;&gt;"OK",Bookings!G781="Cancelled",$B$6&gt;0),0,IF('_Dates'!AC781=1,MAX(0,COUNTIFS(rngEngine_B,B781,rngAMStart,"&lt;="&amp;'_Dates'!X781,rngAMEnd,"&gt;="&amp;'_Dates'!W781,rngAMActive,1,rngEngine_F,"OK",rngBookings_F,"&lt;&gt;Cancelled")-1),0)+IF('_Dates'!AD781=1,MAX(0,COUNTIFS(rngEngine_B,B781,rngPMStart,"&lt;="&amp;'_Dates'!Z781,rngPMEnd,"&gt;="&amp;'_Dates'!Y781,rngPMActive,1,rngEngine_F,"OK",rngBookings_F,"&lt;&gt;Cancelled")-1),0))</ns0:f>
        <ns0:v>0</ns0:v>
      </ns0:c>
      <ns0:c r="K781" s="0" t="str">
        <ns0:f>IF(A781=0,"",IF(F781&lt;&gt;"OK",F781,IF(J781&gt;0,"CHECK overlapping entry",IF(AND($B$6=0,G781&lt;=0,Bookings!G781&lt;&gt;"Cancelled"),"CHECK no working days",IF(Bookings!G781="Cancelled","Cancelled","OK")))))</ns0:f>
        <ns0:v/>
      </ns0:c>
      <ns0:c r="L781" s="0">
        <ns0:f>IF(LEFT(K781,5)="CHECK",1,0)</ns0:f>
        <ns0:v>0</ns0:v>
      </ns0:c>
      <ns0:c r="M781" s="0">
        <ns0:f>IF(AND(L781=1,OR(C781=0,IFERROR(INDEX($X$11:$X$60,C781),0)=0)),1,0)</ns0:f>
        <ns0:v>0</ns0:v>
      </ns0:c>
      <ns0:c r="N781" s="0">
        <ns0:f>IF(OR(A781=0,L781&gt;0,$B$6&gt;0,Bookings!G781="Cancelled"),0,G781)</ns0:f>
        <ns0:v>0</ns0:v>
      </ns0:c>
      <ns0:c r="O781" s="0">
        <ns0:f>IF(AND(Bookings!G781="Approved",E781="Yes"),N781,0)</ns0:f>
        <ns0:v>0</ns0:v>
      </ns0:c>
      <ns0:c r="P781" s="0">
        <ns0:f>IF(AND(Bookings!G781="Approved",E781="Yes",L781=0,$B$6=0),H781,0)</ns0:f>
        <ns0:v>0</ns0:v>
      </ns0:c>
      <ns0:c r="Q781" s="0">
        <ns0:f>IF(AND(Bookings!G781="Approved",E781="Yes",L781=0,$B$6=0),I781,0)</ns0:f>
        <ns0:v>0</ns0:v>
      </ns0:c>
      <ns0:c r="R781" s="0">
        <ns0:f>IF(AND(Bookings!G781="Pending",E781="Yes"),N781,0)</ns0:f>
        <ns0:v>0</ns0:v>
      </ns0:c>
      <ns0:c r="S781" s="0">
        <ns0:f>IF(AND(Bookings!G781="Approved",E781="No"),N781,0)</ns0:f>
        <ns0:v>0</ns0:v>
      </ns0:c>
      <ns0:c r="T781" s="0">
        <ns0:f>IFERROR(MATCH(D781,Settings!$G$7:$G$11,0),0)</ns0:f>
        <ns0:v>0</ns0:v>
      </ns0:c>
      <ns0:c r="U781" s="0">
        <ns0:f>IF(N781&gt;0,T781+IF(Bookings!G781="Pending",10,0),0)</ns0:f>
        <ns0:v>0</ns0:v>
      </ns0:c>
      <ns0:c r="V781" s="0">
        <ns0:f>U781</ns0:f>
        <ns0:v>0</ns0:v>
      </ns0:c>
      <ns0:c r="W781" s="0" t="str">
        <ns0:f>IF(C781=0,"",INDEX($AP$11:$AP$60,C781))</ns0:f>
        <ns0:v/>
      </ns0:c>
    </ns0:row>
    <ns0:row r="782">
      <ns0:c r="A782" s="0">
        <ns0:f>IF(COUNTA(Bookings!A782:G782,Bookings!I782)=0,0,1)</ns0:f>
        <ns0:v>0</ns0:v>
      </ns0:c>
      <ns0:c r="B782" s="0" t="str">
        <ns0:f>IFERROR(TRIM(MID(Bookings!A782,FIND(" · ",Bookings!A782)+3,99)),"")</ns0:f>
        <ns0:v/>
      </ns0:c>
      <ns0:c r="C782" s="0">
        <ns0:f>IF(OR(B782="",LEN(B782)&gt;24,ISNUMBER(FIND(" ",B782)),ISNUMBER(FIND("*",B782)),ISNUMBER(FIND("?",B782)),ISNUMBER(FIND("~",B782))),0,IFERROR(MATCH(B782,Team!$A$11:$A$60,0),0))</ns0:f>
        <ns0:v>0</ns0:v>
      </ns0:c>
      <ns0:c r="D782" s="0" t="str">
        <ns0:f>IFERROR(IF(MID(Bookings!F782,LEN(Bookings!F782)-3,3)=" · ",RIGHT(Bookings!F782,1),""),"")</ns0:f>
        <ns0:v/>
      </ns0:c>
      <ns0:c r="E782" s="0" t="str">
        <ns0:f>IFERROR(INDEX(Settings!$H$7:$H$11,MATCH(D782,Settings!$G$7:$G$11,0)),"")</ns0:f>
        <ns0:v/>
      </ns0:c>
      <ns0:c r="F782" s="0" t="str">
        <ns0:f>IF(A782=0,"",IFERROR(IF(OR(B782="",C782=0),"CHECK employee selection",IF(INDEX(Team!$O$11:$O$60,C782)&lt;&gt;"OK","CHECK employee setup",IF(OR('_Dates'!J782=0,'_Dates'!T782=0),"CHECK date: use DD.MM.YYYY",IF('_Dates'!T782&lt;'_Dates'!J782,"CHECK end before start",IF(AND($B$6=0,OR('_Dates'!J782&lt;Settings!$B$7,'_Dates'!T782&gt;Settings!$B$8)),"CHECK split across leave years",IF(OR(NOT(OR('_Dates'!U782="Full day",'_Dates'!U782="AM",'_Dates'!U782="PM")),NOT(OR('_Dates'!V782="Full day",'_Dates'!V782="AM",'_Dates'!V782="PM"))),"CHECK Full day / AM / PM",IF(AND('_Dates'!J782='_Dates'!T782,'_Dates'!U782&lt;&gt;"Full day",'_Dates'!V782&lt;&gt;"Full day",'_Dates'!U782&lt;&gt;'_Dates'!V782),"CHECK same-day portions disagree",IF(AND($B$6=0,OR(AND('_Dates'!U782&lt;&gt;"Full day",'_Dates'!AA782=0),AND('_Dates'!V782&lt;&gt;"Full day",'_Dates'!AB782=0))),"CHECK half-day on non-working date",IF(COUNTIF(Settings!$G$7:$G$11,D782)&lt;&gt;1,"CHECK leave type",IF(AND(Bookings!G782&lt;&gt;"Approved",Bookings!G782&lt;&gt;"Pending",Bookings!G782&lt;&gt;"Cancelled"),"CHECK status","OK")))))))))),"CHECK input"))</ns0:f>
        <ns0:v/>
      </ns0:c>
      <ns0:c r="G782" s="0">
        <ns0:f>IF(OR(F782&lt;&gt;"OK",$B$6&gt;0),0,0.5*(IF(('_Dates'!X782)&lt;('_Dates'!W782),0,INT((('_Dates'!X782)-('_Dates'!W782)+1)/7)*LEN(SUBSTITUTE(W782,"O",""))+LEN(SUBSTITUTE(MID(W782&amp;W782,WEEKDAY(('_Dates'!W782),2),MOD((('_Dates'!X782)-('_Dates'!W782)+1),7)),"O",""))-COUNTIFS(INDEX(AllClosureRows,C782,0),"&gt;="&amp;('_Dates'!W782),INDEX(AllClosureRows,C782,0),"&lt;="&amp;('_Dates'!X782)))+IF(('_Dates'!Z782)&lt;('_Dates'!Y782),0,INT((('_Dates'!Z782)-('_Dates'!Y782)+1)/7)*LEN(SUBSTITUTE(W782,"O",""))+LEN(SUBSTITUTE(MID(W782&amp;W782,WEEKDAY(('_Dates'!Y782),2),MOD((('_Dates'!Z782)-('_Dates'!Y782)+1),7)),"O",""))-COUNTIFS(INDEX(AllClosureRows,C782,0),"&gt;="&amp;('_Dates'!Y782),INDEX(AllClosureRows,C782,0),"&lt;="&amp;('_Dates'!Z782)))))</ns0:f>
        <ns0:v>0</ns0:v>
      </ns0:c>
      <ns0:c r="H782" s="0">
        <ns0:f>IF(OR(F782&lt;&gt;"OK",$B$6&gt;0),0,0.5*(IF((MIN('_Dates'!X782,Settings!$B$9))&lt;('_Dates'!W782),0,INT(((MIN('_Dates'!X782,Settings!$B$9))-('_Dates'!W782)+1)/7)*LEN(SUBSTITUTE(W782,"O",""))+LEN(SUBSTITUTE(MID(W782&amp;W782,WEEKDAY(('_Dates'!W782),2),MOD(((MIN('_Dates'!X782,Settings!$B$9))-('_Dates'!W782)+1),7)),"O",""))-COUNTIFS(INDEX(AllClosureRows,C782,0),"&gt;="&amp;('_Dates'!W782),INDEX(AllClosureRows,C782,0),"&lt;="&amp;(MIN('_Dates'!X782,Settings!$B$9))))+IF((MIN('_Dates'!Z782,Settings!$B$9))&lt;('_Dates'!Y782),0,INT(((MIN('_Dates'!Z782,Settings!$B$9))-('_Dates'!Y782)+1)/7)*LEN(SUBSTITUTE(W782,"O",""))+LEN(SUBSTITUTE(MID(W782&amp;W782,WEEKDAY(('_Dates'!Y782),2),MOD(((MIN('_Dates'!Z782,Settings!$B$9))-('_Dates'!Y782)+1),7)),"O",""))-COUNTIFS(INDEX(AllClosureRows,C782,0),"&gt;="&amp;('_Dates'!Y782),INDEX(AllClosureRows,C782,0),"&lt;="&amp;(MIN('_Dates'!Z782,Settings!$B$9))))))</ns0:f>
        <ns0:v>0</ns0:v>
      </ns0:c>
      <ns0:c r="I782" s="0">
        <ns0:f>MAX(0,G782-H782)</ns0:f>
        <ns0:v>0</ns0:v>
      </ns0:c>
      <ns0:c r="J782" s="0">
        <ns0:f>IF(OR(A782=0,F782&lt;&gt;"OK",Bookings!G782="Cancelled",$B$6&gt;0),0,IF('_Dates'!AC782=1,MAX(0,COUNTIFS(rngEngine_B,B782,rngAMStart,"&lt;="&amp;'_Dates'!X782,rngAMEnd,"&gt;="&amp;'_Dates'!W782,rngAMActive,1,rngEngine_F,"OK",rngBookings_F,"&lt;&gt;Cancelled")-1),0)+IF('_Dates'!AD782=1,MAX(0,COUNTIFS(rngEngine_B,B782,rngPMStart,"&lt;="&amp;'_Dates'!Z782,rngPMEnd,"&gt;="&amp;'_Dates'!Y782,rngPMActive,1,rngEngine_F,"OK",rngBookings_F,"&lt;&gt;Cancelled")-1),0))</ns0:f>
        <ns0:v>0</ns0:v>
      </ns0:c>
      <ns0:c r="K782" s="0" t="str">
        <ns0:f>IF(A782=0,"",IF(F782&lt;&gt;"OK",F782,IF(J782&gt;0,"CHECK overlapping entry",IF(AND($B$6=0,G782&lt;=0,Bookings!G782&lt;&gt;"Cancelled"),"CHECK no working days",IF(Bookings!G782="Cancelled","Cancelled","OK")))))</ns0:f>
        <ns0:v/>
      </ns0:c>
      <ns0:c r="L782" s="0">
        <ns0:f>IF(LEFT(K782,5)="CHECK",1,0)</ns0:f>
        <ns0:v>0</ns0:v>
      </ns0:c>
      <ns0:c r="M782" s="0">
        <ns0:f>IF(AND(L782=1,OR(C782=0,IFERROR(INDEX($X$11:$X$60,C782),0)=0)),1,0)</ns0:f>
        <ns0:v>0</ns0:v>
      </ns0:c>
      <ns0:c r="N782" s="0">
        <ns0:f>IF(OR(A782=0,L782&gt;0,$B$6&gt;0,Bookings!G782="Cancelled"),0,G782)</ns0:f>
        <ns0:v>0</ns0:v>
      </ns0:c>
      <ns0:c r="O782" s="0">
        <ns0:f>IF(AND(Bookings!G782="Approved",E782="Yes"),N782,0)</ns0:f>
        <ns0:v>0</ns0:v>
      </ns0:c>
      <ns0:c r="P782" s="0">
        <ns0:f>IF(AND(Bookings!G782="Approved",E782="Yes",L782=0,$B$6=0),H782,0)</ns0:f>
        <ns0:v>0</ns0:v>
      </ns0:c>
      <ns0:c r="Q782" s="0">
        <ns0:f>IF(AND(Bookings!G782="Approved",E782="Yes",L782=0,$B$6=0),I782,0)</ns0:f>
        <ns0:v>0</ns0:v>
      </ns0:c>
      <ns0:c r="R782" s="0">
        <ns0:f>IF(AND(Bookings!G782="Pending",E782="Yes"),N782,0)</ns0:f>
        <ns0:v>0</ns0:v>
      </ns0:c>
      <ns0:c r="S782" s="0">
        <ns0:f>IF(AND(Bookings!G782="Approved",E782="No"),N782,0)</ns0:f>
        <ns0:v>0</ns0:v>
      </ns0:c>
      <ns0:c r="T782" s="0">
        <ns0:f>IFERROR(MATCH(D782,Settings!$G$7:$G$11,0),0)</ns0:f>
        <ns0:v>0</ns0:v>
      </ns0:c>
      <ns0:c r="U782" s="0">
        <ns0:f>IF(N782&gt;0,T782+IF(Bookings!G782="Pending",10,0),0)</ns0:f>
        <ns0:v>0</ns0:v>
      </ns0:c>
      <ns0:c r="V782" s="0">
        <ns0:f>U782</ns0:f>
        <ns0:v>0</ns0:v>
      </ns0:c>
      <ns0:c r="W782" s="0" t="str">
        <ns0:f>IF(C782=0,"",INDEX($AP$11:$AP$60,C782))</ns0:f>
        <ns0:v/>
      </ns0:c>
    </ns0:row>
    <ns0:row r="783">
      <ns0:c r="A783" s="0">
        <ns0:f>IF(COUNTA(Bookings!A783:G783,Bookings!I783)=0,0,1)</ns0:f>
        <ns0:v>0</ns0:v>
      </ns0:c>
      <ns0:c r="B783" s="0" t="str">
        <ns0:f>IFERROR(TRIM(MID(Bookings!A783,FIND(" · ",Bookings!A783)+3,99)),"")</ns0:f>
        <ns0:v/>
      </ns0:c>
      <ns0:c r="C783" s="0">
        <ns0:f>IF(OR(B783="",LEN(B783)&gt;24,ISNUMBER(FIND(" ",B783)),ISNUMBER(FIND("*",B783)),ISNUMBER(FIND("?",B783)),ISNUMBER(FIND("~",B783))),0,IFERROR(MATCH(B783,Team!$A$11:$A$60,0),0))</ns0:f>
        <ns0:v>0</ns0:v>
      </ns0:c>
      <ns0:c r="D783" s="0" t="str">
        <ns0:f>IFERROR(IF(MID(Bookings!F783,LEN(Bookings!F783)-3,3)=" · ",RIGHT(Bookings!F783,1),""),"")</ns0:f>
        <ns0:v/>
      </ns0:c>
      <ns0:c r="E783" s="0" t="str">
        <ns0:f>IFERROR(INDEX(Settings!$H$7:$H$11,MATCH(D783,Settings!$G$7:$G$11,0)),"")</ns0:f>
        <ns0:v/>
      </ns0:c>
      <ns0:c r="F783" s="0" t="str">
        <ns0:f>IF(A783=0,"",IFERROR(IF(OR(B783="",C783=0),"CHECK employee selection",IF(INDEX(Team!$O$11:$O$60,C783)&lt;&gt;"OK","CHECK employee setup",IF(OR('_Dates'!J783=0,'_Dates'!T783=0),"CHECK date: use DD.MM.YYYY",IF('_Dates'!T783&lt;'_Dates'!J783,"CHECK end before start",IF(AND($B$6=0,OR('_Dates'!J783&lt;Settings!$B$7,'_Dates'!T783&gt;Settings!$B$8)),"CHECK split across leave years",IF(OR(NOT(OR('_Dates'!U783="Full day",'_Dates'!U783="AM",'_Dates'!U783="PM")),NOT(OR('_Dates'!V783="Full day",'_Dates'!V783="AM",'_Dates'!V783="PM"))),"CHECK Full day / AM / PM",IF(AND('_Dates'!J783='_Dates'!T783,'_Dates'!U783&lt;&gt;"Full day",'_Dates'!V783&lt;&gt;"Full day",'_Dates'!U783&lt;&gt;'_Dates'!V783),"CHECK same-day portions disagree",IF(AND($B$6=0,OR(AND('_Dates'!U783&lt;&gt;"Full day",'_Dates'!AA783=0),AND('_Dates'!V783&lt;&gt;"Full day",'_Dates'!AB783=0))),"CHECK half-day on non-working date",IF(COUNTIF(Settings!$G$7:$G$11,D783)&lt;&gt;1,"CHECK leave type",IF(AND(Bookings!G783&lt;&gt;"Approved",Bookings!G783&lt;&gt;"Pending",Bookings!G783&lt;&gt;"Cancelled"),"CHECK status","OK")))))))))),"CHECK input"))</ns0:f>
        <ns0:v/>
      </ns0:c>
      <ns0:c r="G783" s="0">
        <ns0:f>IF(OR(F783&lt;&gt;"OK",$B$6&gt;0),0,0.5*(IF(('_Dates'!X783)&lt;('_Dates'!W783),0,INT((('_Dates'!X783)-('_Dates'!W783)+1)/7)*LEN(SUBSTITUTE(W783,"O",""))+LEN(SUBSTITUTE(MID(W783&amp;W783,WEEKDAY(('_Dates'!W783),2),MOD((('_Dates'!X783)-('_Dates'!W783)+1),7)),"O",""))-COUNTIFS(INDEX(AllClosureRows,C783,0),"&gt;="&amp;('_Dates'!W783),INDEX(AllClosureRows,C783,0),"&lt;="&amp;('_Dates'!X783)))+IF(('_Dates'!Z783)&lt;('_Dates'!Y783),0,INT((('_Dates'!Z783)-('_Dates'!Y783)+1)/7)*LEN(SUBSTITUTE(W783,"O",""))+LEN(SUBSTITUTE(MID(W783&amp;W783,WEEKDAY(('_Dates'!Y783),2),MOD((('_Dates'!Z783)-('_Dates'!Y783)+1),7)),"O",""))-COUNTIFS(INDEX(AllClosureRows,C783,0),"&gt;="&amp;('_Dates'!Y783),INDEX(AllClosureRows,C783,0),"&lt;="&amp;('_Dates'!Z783)))))</ns0:f>
        <ns0:v>0</ns0:v>
      </ns0:c>
      <ns0:c r="H783" s="0">
        <ns0:f>IF(OR(F783&lt;&gt;"OK",$B$6&gt;0),0,0.5*(IF((MIN('_Dates'!X783,Settings!$B$9))&lt;('_Dates'!W783),0,INT(((MIN('_Dates'!X783,Settings!$B$9))-('_Dates'!W783)+1)/7)*LEN(SUBSTITUTE(W783,"O",""))+LEN(SUBSTITUTE(MID(W783&amp;W783,WEEKDAY(('_Dates'!W783),2),MOD(((MIN('_Dates'!X783,Settings!$B$9))-('_Dates'!W783)+1),7)),"O",""))-COUNTIFS(INDEX(AllClosureRows,C783,0),"&gt;="&amp;('_Dates'!W783),INDEX(AllClosureRows,C783,0),"&lt;="&amp;(MIN('_Dates'!X783,Settings!$B$9))))+IF((MIN('_Dates'!Z783,Settings!$B$9))&lt;('_Dates'!Y783),0,INT(((MIN('_Dates'!Z783,Settings!$B$9))-('_Dates'!Y783)+1)/7)*LEN(SUBSTITUTE(W783,"O",""))+LEN(SUBSTITUTE(MID(W783&amp;W783,WEEKDAY(('_Dates'!Y783),2),MOD(((MIN('_Dates'!Z783,Settings!$B$9))-('_Dates'!Y783)+1),7)),"O",""))-COUNTIFS(INDEX(AllClosureRows,C783,0),"&gt;="&amp;('_Dates'!Y783),INDEX(AllClosureRows,C783,0),"&lt;="&amp;(MIN('_Dates'!Z783,Settings!$B$9))))))</ns0:f>
        <ns0:v>0</ns0:v>
      </ns0:c>
      <ns0:c r="I783" s="0">
        <ns0:f>MAX(0,G783-H783)</ns0:f>
        <ns0:v>0</ns0:v>
      </ns0:c>
      <ns0:c r="J783" s="0">
        <ns0:f>IF(OR(A783=0,F783&lt;&gt;"OK",Bookings!G783="Cancelled",$B$6&gt;0),0,IF('_Dates'!AC783=1,MAX(0,COUNTIFS(rngEngine_B,B783,rngAMStart,"&lt;="&amp;'_Dates'!X783,rngAMEnd,"&gt;="&amp;'_Dates'!W783,rngAMActive,1,rngEngine_F,"OK",rngBookings_F,"&lt;&gt;Cancelled")-1),0)+IF('_Dates'!AD783=1,MAX(0,COUNTIFS(rngEngine_B,B783,rngPMStart,"&lt;="&amp;'_Dates'!Z783,rngPMEnd,"&gt;="&amp;'_Dates'!Y783,rngPMActive,1,rngEngine_F,"OK",rngBookings_F,"&lt;&gt;Cancelled")-1),0))</ns0:f>
        <ns0:v>0</ns0:v>
      </ns0:c>
      <ns0:c r="K783" s="0" t="str">
        <ns0:f>IF(A783=0,"",IF(F783&lt;&gt;"OK",F783,IF(J783&gt;0,"CHECK overlapping entry",IF(AND($B$6=0,G783&lt;=0,Bookings!G783&lt;&gt;"Cancelled"),"CHECK no working days",IF(Bookings!G783="Cancelled","Cancelled","OK")))))</ns0:f>
        <ns0:v/>
      </ns0:c>
      <ns0:c r="L783" s="0">
        <ns0:f>IF(LEFT(K783,5)="CHECK",1,0)</ns0:f>
        <ns0:v>0</ns0:v>
      </ns0:c>
      <ns0:c r="M783" s="0">
        <ns0:f>IF(AND(L783=1,OR(C783=0,IFERROR(INDEX($X$11:$X$60,C783),0)=0)),1,0)</ns0:f>
        <ns0:v>0</ns0:v>
      </ns0:c>
      <ns0:c r="N783" s="0">
        <ns0:f>IF(OR(A783=0,L783&gt;0,$B$6&gt;0,Bookings!G783="Cancelled"),0,G783)</ns0:f>
        <ns0:v>0</ns0:v>
      </ns0:c>
      <ns0:c r="O783" s="0">
        <ns0:f>IF(AND(Bookings!G783="Approved",E783="Yes"),N783,0)</ns0:f>
        <ns0:v>0</ns0:v>
      </ns0:c>
      <ns0:c r="P783" s="0">
        <ns0:f>IF(AND(Bookings!G783="Approved",E783="Yes",L783=0,$B$6=0),H783,0)</ns0:f>
        <ns0:v>0</ns0:v>
      </ns0:c>
      <ns0:c r="Q783" s="0">
        <ns0:f>IF(AND(Bookings!G783="Approved",E783="Yes",L783=0,$B$6=0),I783,0)</ns0:f>
        <ns0:v>0</ns0:v>
      </ns0:c>
      <ns0:c r="R783" s="0">
        <ns0:f>IF(AND(Bookings!G783="Pending",E783="Yes"),N783,0)</ns0:f>
        <ns0:v>0</ns0:v>
      </ns0:c>
      <ns0:c r="S783" s="0">
        <ns0:f>IF(AND(Bookings!G783="Approved",E783="No"),N783,0)</ns0:f>
        <ns0:v>0</ns0:v>
      </ns0:c>
      <ns0:c r="T783" s="0">
        <ns0:f>IFERROR(MATCH(D783,Settings!$G$7:$G$11,0),0)</ns0:f>
        <ns0:v>0</ns0:v>
      </ns0:c>
      <ns0:c r="U783" s="0">
        <ns0:f>IF(N783&gt;0,T783+IF(Bookings!G783="Pending",10,0),0)</ns0:f>
        <ns0:v>0</ns0:v>
      </ns0:c>
      <ns0:c r="V783" s="0">
        <ns0:f>U783</ns0:f>
        <ns0:v>0</ns0:v>
      </ns0:c>
      <ns0:c r="W783" s="0" t="str">
        <ns0:f>IF(C783=0,"",INDEX($AP$11:$AP$60,C783))</ns0:f>
        <ns0:v/>
      </ns0:c>
    </ns0:row>
    <ns0:row r="784">
      <ns0:c r="A784" s="0">
        <ns0:f>IF(COUNTA(Bookings!A784:G784,Bookings!I784)=0,0,1)</ns0:f>
        <ns0:v>0</ns0:v>
      </ns0:c>
      <ns0:c r="B784" s="0" t="str">
        <ns0:f>IFERROR(TRIM(MID(Bookings!A784,FIND(" · ",Bookings!A784)+3,99)),"")</ns0:f>
        <ns0:v/>
      </ns0:c>
      <ns0:c r="C784" s="0">
        <ns0:f>IF(OR(B784="",LEN(B784)&gt;24,ISNUMBER(FIND(" ",B784)),ISNUMBER(FIND("*",B784)),ISNUMBER(FIND("?",B784)),ISNUMBER(FIND("~",B784))),0,IFERROR(MATCH(B784,Team!$A$11:$A$60,0),0))</ns0:f>
        <ns0:v>0</ns0:v>
      </ns0:c>
      <ns0:c r="D784" s="0" t="str">
        <ns0:f>IFERROR(IF(MID(Bookings!F784,LEN(Bookings!F784)-3,3)=" · ",RIGHT(Bookings!F784,1),""),"")</ns0:f>
        <ns0:v/>
      </ns0:c>
      <ns0:c r="E784" s="0" t="str">
        <ns0:f>IFERROR(INDEX(Settings!$H$7:$H$11,MATCH(D784,Settings!$G$7:$G$11,0)),"")</ns0:f>
        <ns0:v/>
      </ns0:c>
      <ns0:c r="F784" s="0" t="str">
        <ns0:f>IF(A784=0,"",IFERROR(IF(OR(B784="",C784=0),"CHECK employee selection",IF(INDEX(Team!$O$11:$O$60,C784)&lt;&gt;"OK","CHECK employee setup",IF(OR('_Dates'!J784=0,'_Dates'!T784=0),"CHECK date: use DD.MM.YYYY",IF('_Dates'!T784&lt;'_Dates'!J784,"CHECK end before start",IF(AND($B$6=0,OR('_Dates'!J784&lt;Settings!$B$7,'_Dates'!T784&gt;Settings!$B$8)),"CHECK split across leave years",IF(OR(NOT(OR('_Dates'!U784="Full day",'_Dates'!U784="AM",'_Dates'!U784="PM")),NOT(OR('_Dates'!V784="Full day",'_Dates'!V784="AM",'_Dates'!V784="PM"))),"CHECK Full day / AM / PM",IF(AND('_Dates'!J784='_Dates'!T784,'_Dates'!U784&lt;&gt;"Full day",'_Dates'!V784&lt;&gt;"Full day",'_Dates'!U784&lt;&gt;'_Dates'!V784),"CHECK same-day portions disagree",IF(AND($B$6=0,OR(AND('_Dates'!U784&lt;&gt;"Full day",'_Dates'!AA784=0),AND('_Dates'!V784&lt;&gt;"Full day",'_Dates'!AB784=0))),"CHECK half-day on non-working date",IF(COUNTIF(Settings!$G$7:$G$11,D784)&lt;&gt;1,"CHECK leave type",IF(AND(Bookings!G784&lt;&gt;"Approved",Bookings!G784&lt;&gt;"Pending",Bookings!G784&lt;&gt;"Cancelled"),"CHECK status","OK")))))))))),"CHECK input"))</ns0:f>
        <ns0:v/>
      </ns0:c>
      <ns0:c r="G784" s="0">
        <ns0:f>IF(OR(F784&lt;&gt;"OK",$B$6&gt;0),0,0.5*(IF(('_Dates'!X784)&lt;('_Dates'!W784),0,INT((('_Dates'!X784)-('_Dates'!W784)+1)/7)*LEN(SUBSTITUTE(W784,"O",""))+LEN(SUBSTITUTE(MID(W784&amp;W784,WEEKDAY(('_Dates'!W784),2),MOD((('_Dates'!X784)-('_Dates'!W784)+1),7)),"O",""))-COUNTIFS(INDEX(AllClosureRows,C784,0),"&gt;="&amp;('_Dates'!W784),INDEX(AllClosureRows,C784,0),"&lt;="&amp;('_Dates'!X784)))+IF(('_Dates'!Z784)&lt;('_Dates'!Y784),0,INT((('_Dates'!Z784)-('_Dates'!Y784)+1)/7)*LEN(SUBSTITUTE(W784,"O",""))+LEN(SUBSTITUTE(MID(W784&amp;W784,WEEKDAY(('_Dates'!Y784),2),MOD((('_Dates'!Z784)-('_Dates'!Y784)+1),7)),"O",""))-COUNTIFS(INDEX(AllClosureRows,C784,0),"&gt;="&amp;('_Dates'!Y784),INDEX(AllClosureRows,C784,0),"&lt;="&amp;('_Dates'!Z784)))))</ns0:f>
        <ns0:v>0</ns0:v>
      </ns0:c>
      <ns0:c r="H784" s="0">
        <ns0:f>IF(OR(F784&lt;&gt;"OK",$B$6&gt;0),0,0.5*(IF((MIN('_Dates'!X784,Settings!$B$9))&lt;('_Dates'!W784),0,INT(((MIN('_Dates'!X784,Settings!$B$9))-('_Dates'!W784)+1)/7)*LEN(SUBSTITUTE(W784,"O",""))+LEN(SUBSTITUTE(MID(W784&amp;W784,WEEKDAY(('_Dates'!W784),2),MOD(((MIN('_Dates'!X784,Settings!$B$9))-('_Dates'!W784)+1),7)),"O",""))-COUNTIFS(INDEX(AllClosureRows,C784,0),"&gt;="&amp;('_Dates'!W784),INDEX(AllClosureRows,C784,0),"&lt;="&amp;(MIN('_Dates'!X784,Settings!$B$9))))+IF((MIN('_Dates'!Z784,Settings!$B$9))&lt;('_Dates'!Y784),0,INT(((MIN('_Dates'!Z784,Settings!$B$9))-('_Dates'!Y784)+1)/7)*LEN(SUBSTITUTE(W784,"O",""))+LEN(SUBSTITUTE(MID(W784&amp;W784,WEEKDAY(('_Dates'!Y784),2),MOD(((MIN('_Dates'!Z784,Settings!$B$9))-('_Dates'!Y784)+1),7)),"O",""))-COUNTIFS(INDEX(AllClosureRows,C784,0),"&gt;="&amp;('_Dates'!Y784),INDEX(AllClosureRows,C784,0),"&lt;="&amp;(MIN('_Dates'!Z784,Settings!$B$9))))))</ns0:f>
        <ns0:v>0</ns0:v>
      </ns0:c>
      <ns0:c r="I784" s="0">
        <ns0:f>MAX(0,G784-H784)</ns0:f>
        <ns0:v>0</ns0:v>
      </ns0:c>
      <ns0:c r="J784" s="0">
        <ns0:f>IF(OR(A784=0,F784&lt;&gt;"OK",Bookings!G784="Cancelled",$B$6&gt;0),0,IF('_Dates'!AC784=1,MAX(0,COUNTIFS(rngEngine_B,B784,rngAMStart,"&lt;="&amp;'_Dates'!X784,rngAMEnd,"&gt;="&amp;'_Dates'!W784,rngAMActive,1,rngEngine_F,"OK",rngBookings_F,"&lt;&gt;Cancelled")-1),0)+IF('_Dates'!AD784=1,MAX(0,COUNTIFS(rngEngine_B,B784,rngPMStart,"&lt;="&amp;'_Dates'!Z784,rngPMEnd,"&gt;="&amp;'_Dates'!Y784,rngPMActive,1,rngEngine_F,"OK",rngBookings_F,"&lt;&gt;Cancelled")-1),0))</ns0:f>
        <ns0:v>0</ns0:v>
      </ns0:c>
      <ns0:c r="K784" s="0" t="str">
        <ns0:f>IF(A784=0,"",IF(F784&lt;&gt;"OK",F784,IF(J784&gt;0,"CHECK overlapping entry",IF(AND($B$6=0,G784&lt;=0,Bookings!G784&lt;&gt;"Cancelled"),"CHECK no working days",IF(Bookings!G784="Cancelled","Cancelled","OK")))))</ns0:f>
        <ns0:v/>
      </ns0:c>
      <ns0:c r="L784" s="0">
        <ns0:f>IF(LEFT(K784,5)="CHECK",1,0)</ns0:f>
        <ns0:v>0</ns0:v>
      </ns0:c>
      <ns0:c r="M784" s="0">
        <ns0:f>IF(AND(L784=1,OR(C784=0,IFERROR(INDEX($X$11:$X$60,C784),0)=0)),1,0)</ns0:f>
        <ns0:v>0</ns0:v>
      </ns0:c>
      <ns0:c r="N784" s="0">
        <ns0:f>IF(OR(A784=0,L784&gt;0,$B$6&gt;0,Bookings!G784="Cancelled"),0,G784)</ns0:f>
        <ns0:v>0</ns0:v>
      </ns0:c>
      <ns0:c r="O784" s="0">
        <ns0:f>IF(AND(Bookings!G784="Approved",E784="Yes"),N784,0)</ns0:f>
        <ns0:v>0</ns0:v>
      </ns0:c>
      <ns0:c r="P784" s="0">
        <ns0:f>IF(AND(Bookings!G784="Approved",E784="Yes",L784=0,$B$6=0),H784,0)</ns0:f>
        <ns0:v>0</ns0:v>
      </ns0:c>
      <ns0:c r="Q784" s="0">
        <ns0:f>IF(AND(Bookings!G784="Approved",E784="Yes",L784=0,$B$6=0),I784,0)</ns0:f>
        <ns0:v>0</ns0:v>
      </ns0:c>
      <ns0:c r="R784" s="0">
        <ns0:f>IF(AND(Bookings!G784="Pending",E784="Yes"),N784,0)</ns0:f>
        <ns0:v>0</ns0:v>
      </ns0:c>
      <ns0:c r="S784" s="0">
        <ns0:f>IF(AND(Bookings!G784="Approved",E784="No"),N784,0)</ns0:f>
        <ns0:v>0</ns0:v>
      </ns0:c>
      <ns0:c r="T784" s="0">
        <ns0:f>IFERROR(MATCH(D784,Settings!$G$7:$G$11,0),0)</ns0:f>
        <ns0:v>0</ns0:v>
      </ns0:c>
      <ns0:c r="U784" s="0">
        <ns0:f>IF(N784&gt;0,T784+IF(Bookings!G784="Pending",10,0),0)</ns0:f>
        <ns0:v>0</ns0:v>
      </ns0:c>
      <ns0:c r="V784" s="0">
        <ns0:f>U784</ns0:f>
        <ns0:v>0</ns0:v>
      </ns0:c>
      <ns0:c r="W784" s="0" t="str">
        <ns0:f>IF(C784=0,"",INDEX($AP$11:$AP$60,C784))</ns0:f>
        <ns0:v/>
      </ns0:c>
    </ns0:row>
    <ns0:row r="785">
      <ns0:c r="A785" s="0">
        <ns0:f>IF(COUNTA(Bookings!A785:G785,Bookings!I785)=0,0,1)</ns0:f>
        <ns0:v>0</ns0:v>
      </ns0:c>
      <ns0:c r="B785" s="0" t="str">
        <ns0:f>IFERROR(TRIM(MID(Bookings!A785,FIND(" · ",Bookings!A785)+3,99)),"")</ns0:f>
        <ns0:v/>
      </ns0:c>
      <ns0:c r="C785" s="0">
        <ns0:f>IF(OR(B785="",LEN(B785)&gt;24,ISNUMBER(FIND(" ",B785)),ISNUMBER(FIND("*",B785)),ISNUMBER(FIND("?",B785)),ISNUMBER(FIND("~",B785))),0,IFERROR(MATCH(B785,Team!$A$11:$A$60,0),0))</ns0:f>
        <ns0:v>0</ns0:v>
      </ns0:c>
      <ns0:c r="D785" s="0" t="str">
        <ns0:f>IFERROR(IF(MID(Bookings!F785,LEN(Bookings!F785)-3,3)=" · ",RIGHT(Bookings!F785,1),""),"")</ns0:f>
        <ns0:v/>
      </ns0:c>
      <ns0:c r="E785" s="0" t="str">
        <ns0:f>IFERROR(INDEX(Settings!$H$7:$H$11,MATCH(D785,Settings!$G$7:$G$11,0)),"")</ns0:f>
        <ns0:v/>
      </ns0:c>
      <ns0:c r="F785" s="0" t="str">
        <ns0:f>IF(A785=0,"",IFERROR(IF(OR(B785="",C785=0),"CHECK employee selection",IF(INDEX(Team!$O$11:$O$60,C785)&lt;&gt;"OK","CHECK employee setup",IF(OR('_Dates'!J785=0,'_Dates'!T785=0),"CHECK date: use DD.MM.YYYY",IF('_Dates'!T785&lt;'_Dates'!J785,"CHECK end before start",IF(AND($B$6=0,OR('_Dates'!J785&lt;Settings!$B$7,'_Dates'!T785&gt;Settings!$B$8)),"CHECK split across leave years",IF(OR(NOT(OR('_Dates'!U785="Full day",'_Dates'!U785="AM",'_Dates'!U785="PM")),NOT(OR('_Dates'!V785="Full day",'_Dates'!V785="AM",'_Dates'!V785="PM"))),"CHECK Full day / AM / PM",IF(AND('_Dates'!J785='_Dates'!T785,'_Dates'!U785&lt;&gt;"Full day",'_Dates'!V785&lt;&gt;"Full day",'_Dates'!U785&lt;&gt;'_Dates'!V785),"CHECK same-day portions disagree",IF(AND($B$6=0,OR(AND('_Dates'!U785&lt;&gt;"Full day",'_Dates'!AA785=0),AND('_Dates'!V785&lt;&gt;"Full day",'_Dates'!AB785=0))),"CHECK half-day on non-working date",IF(COUNTIF(Settings!$G$7:$G$11,D785)&lt;&gt;1,"CHECK leave type",IF(AND(Bookings!G785&lt;&gt;"Approved",Bookings!G785&lt;&gt;"Pending",Bookings!G785&lt;&gt;"Cancelled"),"CHECK status","OK")))))))))),"CHECK input"))</ns0:f>
        <ns0:v/>
      </ns0:c>
      <ns0:c r="G785" s="0">
        <ns0:f>IF(OR(F785&lt;&gt;"OK",$B$6&gt;0),0,0.5*(IF(('_Dates'!X785)&lt;('_Dates'!W785),0,INT((('_Dates'!X785)-('_Dates'!W785)+1)/7)*LEN(SUBSTITUTE(W785,"O",""))+LEN(SUBSTITUTE(MID(W785&amp;W785,WEEKDAY(('_Dates'!W785),2),MOD((('_Dates'!X785)-('_Dates'!W785)+1),7)),"O",""))-COUNTIFS(INDEX(AllClosureRows,C785,0),"&gt;="&amp;('_Dates'!W785),INDEX(AllClosureRows,C785,0),"&lt;="&amp;('_Dates'!X785)))+IF(('_Dates'!Z785)&lt;('_Dates'!Y785),0,INT((('_Dates'!Z785)-('_Dates'!Y785)+1)/7)*LEN(SUBSTITUTE(W785,"O",""))+LEN(SUBSTITUTE(MID(W785&amp;W785,WEEKDAY(('_Dates'!Y785),2),MOD((('_Dates'!Z785)-('_Dates'!Y785)+1),7)),"O",""))-COUNTIFS(INDEX(AllClosureRows,C785,0),"&gt;="&amp;('_Dates'!Y785),INDEX(AllClosureRows,C785,0),"&lt;="&amp;('_Dates'!Z785)))))</ns0:f>
        <ns0:v>0</ns0:v>
      </ns0:c>
      <ns0:c r="H785" s="0">
        <ns0:f>IF(OR(F785&lt;&gt;"OK",$B$6&gt;0),0,0.5*(IF((MIN('_Dates'!X785,Settings!$B$9))&lt;('_Dates'!W785),0,INT(((MIN('_Dates'!X785,Settings!$B$9))-('_Dates'!W785)+1)/7)*LEN(SUBSTITUTE(W785,"O",""))+LEN(SUBSTITUTE(MID(W785&amp;W785,WEEKDAY(('_Dates'!W785),2),MOD(((MIN('_Dates'!X785,Settings!$B$9))-('_Dates'!W785)+1),7)),"O",""))-COUNTIFS(INDEX(AllClosureRows,C785,0),"&gt;="&amp;('_Dates'!W785),INDEX(AllClosureRows,C785,0),"&lt;="&amp;(MIN('_Dates'!X785,Settings!$B$9))))+IF((MIN('_Dates'!Z785,Settings!$B$9))&lt;('_Dates'!Y785),0,INT(((MIN('_Dates'!Z785,Settings!$B$9))-('_Dates'!Y785)+1)/7)*LEN(SUBSTITUTE(W785,"O",""))+LEN(SUBSTITUTE(MID(W785&amp;W785,WEEKDAY(('_Dates'!Y785),2),MOD(((MIN('_Dates'!Z785,Settings!$B$9))-('_Dates'!Y785)+1),7)),"O",""))-COUNTIFS(INDEX(AllClosureRows,C785,0),"&gt;="&amp;('_Dates'!Y785),INDEX(AllClosureRows,C785,0),"&lt;="&amp;(MIN('_Dates'!Z785,Settings!$B$9))))))</ns0:f>
        <ns0:v>0</ns0:v>
      </ns0:c>
      <ns0:c r="I785" s="0">
        <ns0:f>MAX(0,G785-H785)</ns0:f>
        <ns0:v>0</ns0:v>
      </ns0:c>
      <ns0:c r="J785" s="0">
        <ns0:f>IF(OR(A785=0,F785&lt;&gt;"OK",Bookings!G785="Cancelled",$B$6&gt;0),0,IF('_Dates'!AC785=1,MAX(0,COUNTIFS(rngEngine_B,B785,rngAMStart,"&lt;="&amp;'_Dates'!X785,rngAMEnd,"&gt;="&amp;'_Dates'!W785,rngAMActive,1,rngEngine_F,"OK",rngBookings_F,"&lt;&gt;Cancelled")-1),0)+IF('_Dates'!AD785=1,MAX(0,COUNTIFS(rngEngine_B,B785,rngPMStart,"&lt;="&amp;'_Dates'!Z785,rngPMEnd,"&gt;="&amp;'_Dates'!Y785,rngPMActive,1,rngEngine_F,"OK",rngBookings_F,"&lt;&gt;Cancelled")-1),0))</ns0:f>
        <ns0:v>0</ns0:v>
      </ns0:c>
      <ns0:c r="K785" s="0" t="str">
        <ns0:f>IF(A785=0,"",IF(F785&lt;&gt;"OK",F785,IF(J785&gt;0,"CHECK overlapping entry",IF(AND($B$6=0,G785&lt;=0,Bookings!G785&lt;&gt;"Cancelled"),"CHECK no working days",IF(Bookings!G785="Cancelled","Cancelled","OK")))))</ns0:f>
        <ns0:v/>
      </ns0:c>
      <ns0:c r="L785" s="0">
        <ns0:f>IF(LEFT(K785,5)="CHECK",1,0)</ns0:f>
        <ns0:v>0</ns0:v>
      </ns0:c>
      <ns0:c r="M785" s="0">
        <ns0:f>IF(AND(L785=1,OR(C785=0,IFERROR(INDEX($X$11:$X$60,C785),0)=0)),1,0)</ns0:f>
        <ns0:v>0</ns0:v>
      </ns0:c>
      <ns0:c r="N785" s="0">
        <ns0:f>IF(OR(A785=0,L785&gt;0,$B$6&gt;0,Bookings!G785="Cancelled"),0,G785)</ns0:f>
        <ns0:v>0</ns0:v>
      </ns0:c>
      <ns0:c r="O785" s="0">
        <ns0:f>IF(AND(Bookings!G785="Approved",E785="Yes"),N785,0)</ns0:f>
        <ns0:v>0</ns0:v>
      </ns0:c>
      <ns0:c r="P785" s="0">
        <ns0:f>IF(AND(Bookings!G785="Approved",E785="Yes",L785=0,$B$6=0),H785,0)</ns0:f>
        <ns0:v>0</ns0:v>
      </ns0:c>
      <ns0:c r="Q785" s="0">
        <ns0:f>IF(AND(Bookings!G785="Approved",E785="Yes",L785=0,$B$6=0),I785,0)</ns0:f>
        <ns0:v>0</ns0:v>
      </ns0:c>
      <ns0:c r="R785" s="0">
        <ns0:f>IF(AND(Bookings!G785="Pending",E785="Yes"),N785,0)</ns0:f>
        <ns0:v>0</ns0:v>
      </ns0:c>
      <ns0:c r="S785" s="0">
        <ns0:f>IF(AND(Bookings!G785="Approved",E785="No"),N785,0)</ns0:f>
        <ns0:v>0</ns0:v>
      </ns0:c>
      <ns0:c r="T785" s="0">
        <ns0:f>IFERROR(MATCH(D785,Settings!$G$7:$G$11,0),0)</ns0:f>
        <ns0:v>0</ns0:v>
      </ns0:c>
      <ns0:c r="U785" s="0">
        <ns0:f>IF(N785&gt;0,T785+IF(Bookings!G785="Pending",10,0),0)</ns0:f>
        <ns0:v>0</ns0:v>
      </ns0:c>
      <ns0:c r="V785" s="0">
        <ns0:f>U785</ns0:f>
        <ns0:v>0</ns0:v>
      </ns0:c>
      <ns0:c r="W785" s="0" t="str">
        <ns0:f>IF(C785=0,"",INDEX($AP$11:$AP$60,C785))</ns0:f>
        <ns0:v/>
      </ns0:c>
    </ns0:row>
    <ns0:row r="786">
      <ns0:c r="A786" s="0">
        <ns0:f>IF(COUNTA(Bookings!A786:G786,Bookings!I786)=0,0,1)</ns0:f>
        <ns0:v>0</ns0:v>
      </ns0:c>
      <ns0:c r="B786" s="0" t="str">
        <ns0:f>IFERROR(TRIM(MID(Bookings!A786,FIND(" · ",Bookings!A786)+3,99)),"")</ns0:f>
        <ns0:v/>
      </ns0:c>
      <ns0:c r="C786" s="0">
        <ns0:f>IF(OR(B786="",LEN(B786)&gt;24,ISNUMBER(FIND(" ",B786)),ISNUMBER(FIND("*",B786)),ISNUMBER(FIND("?",B786)),ISNUMBER(FIND("~",B786))),0,IFERROR(MATCH(B786,Team!$A$11:$A$60,0),0))</ns0:f>
        <ns0:v>0</ns0:v>
      </ns0:c>
      <ns0:c r="D786" s="0" t="str">
        <ns0:f>IFERROR(IF(MID(Bookings!F786,LEN(Bookings!F786)-3,3)=" · ",RIGHT(Bookings!F786,1),""),"")</ns0:f>
        <ns0:v/>
      </ns0:c>
      <ns0:c r="E786" s="0" t="str">
        <ns0:f>IFERROR(INDEX(Settings!$H$7:$H$11,MATCH(D786,Settings!$G$7:$G$11,0)),"")</ns0:f>
        <ns0:v/>
      </ns0:c>
      <ns0:c r="F786" s="0" t="str">
        <ns0:f>IF(A786=0,"",IFERROR(IF(OR(B786="",C786=0),"CHECK employee selection",IF(INDEX(Team!$O$11:$O$60,C786)&lt;&gt;"OK","CHECK employee setup",IF(OR('_Dates'!J786=0,'_Dates'!T786=0),"CHECK date: use DD.MM.YYYY",IF('_Dates'!T786&lt;'_Dates'!J786,"CHECK end before start",IF(AND($B$6=0,OR('_Dates'!J786&lt;Settings!$B$7,'_Dates'!T786&gt;Settings!$B$8)),"CHECK split across leave years",IF(OR(NOT(OR('_Dates'!U786="Full day",'_Dates'!U786="AM",'_Dates'!U786="PM")),NOT(OR('_Dates'!V786="Full day",'_Dates'!V786="AM",'_Dates'!V786="PM"))),"CHECK Full day / AM / PM",IF(AND('_Dates'!J786='_Dates'!T786,'_Dates'!U786&lt;&gt;"Full day",'_Dates'!V786&lt;&gt;"Full day",'_Dates'!U786&lt;&gt;'_Dates'!V786),"CHECK same-day portions disagree",IF(AND($B$6=0,OR(AND('_Dates'!U786&lt;&gt;"Full day",'_Dates'!AA786=0),AND('_Dates'!V786&lt;&gt;"Full day",'_Dates'!AB786=0))),"CHECK half-day on non-working date",IF(COUNTIF(Settings!$G$7:$G$11,D786)&lt;&gt;1,"CHECK leave type",IF(AND(Bookings!G786&lt;&gt;"Approved",Bookings!G786&lt;&gt;"Pending",Bookings!G786&lt;&gt;"Cancelled"),"CHECK status","OK")))))))))),"CHECK input"))</ns0:f>
        <ns0:v/>
      </ns0:c>
      <ns0:c r="G786" s="0">
        <ns0:f>IF(OR(F786&lt;&gt;"OK",$B$6&gt;0),0,0.5*(IF(('_Dates'!X786)&lt;('_Dates'!W786),0,INT((('_Dates'!X786)-('_Dates'!W786)+1)/7)*LEN(SUBSTITUTE(W786,"O",""))+LEN(SUBSTITUTE(MID(W786&amp;W786,WEEKDAY(('_Dates'!W786),2),MOD((('_Dates'!X786)-('_Dates'!W786)+1),7)),"O",""))-COUNTIFS(INDEX(AllClosureRows,C786,0),"&gt;="&amp;('_Dates'!W786),INDEX(AllClosureRows,C786,0),"&lt;="&amp;('_Dates'!X786)))+IF(('_Dates'!Z786)&lt;('_Dates'!Y786),0,INT((('_Dates'!Z786)-('_Dates'!Y786)+1)/7)*LEN(SUBSTITUTE(W786,"O",""))+LEN(SUBSTITUTE(MID(W786&amp;W786,WEEKDAY(('_Dates'!Y786),2),MOD((('_Dates'!Z786)-('_Dates'!Y786)+1),7)),"O",""))-COUNTIFS(INDEX(AllClosureRows,C786,0),"&gt;="&amp;('_Dates'!Y786),INDEX(AllClosureRows,C786,0),"&lt;="&amp;('_Dates'!Z786)))))</ns0:f>
        <ns0:v>0</ns0:v>
      </ns0:c>
      <ns0:c r="H786" s="0">
        <ns0:f>IF(OR(F786&lt;&gt;"OK",$B$6&gt;0),0,0.5*(IF((MIN('_Dates'!X786,Settings!$B$9))&lt;('_Dates'!W786),0,INT(((MIN('_Dates'!X786,Settings!$B$9))-('_Dates'!W786)+1)/7)*LEN(SUBSTITUTE(W786,"O",""))+LEN(SUBSTITUTE(MID(W786&amp;W786,WEEKDAY(('_Dates'!W786),2),MOD(((MIN('_Dates'!X786,Settings!$B$9))-('_Dates'!W786)+1),7)),"O",""))-COUNTIFS(INDEX(AllClosureRows,C786,0),"&gt;="&amp;('_Dates'!W786),INDEX(AllClosureRows,C786,0),"&lt;="&amp;(MIN('_Dates'!X786,Settings!$B$9))))+IF((MIN('_Dates'!Z786,Settings!$B$9))&lt;('_Dates'!Y786),0,INT(((MIN('_Dates'!Z786,Settings!$B$9))-('_Dates'!Y786)+1)/7)*LEN(SUBSTITUTE(W786,"O",""))+LEN(SUBSTITUTE(MID(W786&amp;W786,WEEKDAY(('_Dates'!Y786),2),MOD(((MIN('_Dates'!Z786,Settings!$B$9))-('_Dates'!Y786)+1),7)),"O",""))-COUNTIFS(INDEX(AllClosureRows,C786,0),"&gt;="&amp;('_Dates'!Y786),INDEX(AllClosureRows,C786,0),"&lt;="&amp;(MIN('_Dates'!Z786,Settings!$B$9))))))</ns0:f>
        <ns0:v>0</ns0:v>
      </ns0:c>
      <ns0:c r="I786" s="0">
        <ns0:f>MAX(0,G786-H786)</ns0:f>
        <ns0:v>0</ns0:v>
      </ns0:c>
      <ns0:c r="J786" s="0">
        <ns0:f>IF(OR(A786=0,F786&lt;&gt;"OK",Bookings!G786="Cancelled",$B$6&gt;0),0,IF('_Dates'!AC786=1,MAX(0,COUNTIFS(rngEngine_B,B786,rngAMStart,"&lt;="&amp;'_Dates'!X786,rngAMEnd,"&gt;="&amp;'_Dates'!W786,rngAMActive,1,rngEngine_F,"OK",rngBookings_F,"&lt;&gt;Cancelled")-1),0)+IF('_Dates'!AD786=1,MAX(0,COUNTIFS(rngEngine_B,B786,rngPMStart,"&lt;="&amp;'_Dates'!Z786,rngPMEnd,"&gt;="&amp;'_Dates'!Y786,rngPMActive,1,rngEngine_F,"OK",rngBookings_F,"&lt;&gt;Cancelled")-1),0))</ns0:f>
        <ns0:v>0</ns0:v>
      </ns0:c>
      <ns0:c r="K786" s="0" t="str">
        <ns0:f>IF(A786=0,"",IF(F786&lt;&gt;"OK",F786,IF(J786&gt;0,"CHECK overlapping entry",IF(AND($B$6=0,G786&lt;=0,Bookings!G786&lt;&gt;"Cancelled"),"CHECK no working days",IF(Bookings!G786="Cancelled","Cancelled","OK")))))</ns0:f>
        <ns0:v/>
      </ns0:c>
      <ns0:c r="L786" s="0">
        <ns0:f>IF(LEFT(K786,5)="CHECK",1,0)</ns0:f>
        <ns0:v>0</ns0:v>
      </ns0:c>
      <ns0:c r="M786" s="0">
        <ns0:f>IF(AND(L786=1,OR(C786=0,IFERROR(INDEX($X$11:$X$60,C786),0)=0)),1,0)</ns0:f>
        <ns0:v>0</ns0:v>
      </ns0:c>
      <ns0:c r="N786" s="0">
        <ns0:f>IF(OR(A786=0,L786&gt;0,$B$6&gt;0,Bookings!G786="Cancelled"),0,G786)</ns0:f>
        <ns0:v>0</ns0:v>
      </ns0:c>
      <ns0:c r="O786" s="0">
        <ns0:f>IF(AND(Bookings!G786="Approved",E786="Yes"),N786,0)</ns0:f>
        <ns0:v>0</ns0:v>
      </ns0:c>
      <ns0:c r="P786" s="0">
        <ns0:f>IF(AND(Bookings!G786="Approved",E786="Yes",L786=0,$B$6=0),H786,0)</ns0:f>
        <ns0:v>0</ns0:v>
      </ns0:c>
      <ns0:c r="Q786" s="0">
        <ns0:f>IF(AND(Bookings!G786="Approved",E786="Yes",L786=0,$B$6=0),I786,0)</ns0:f>
        <ns0:v>0</ns0:v>
      </ns0:c>
      <ns0:c r="R786" s="0">
        <ns0:f>IF(AND(Bookings!G786="Pending",E786="Yes"),N786,0)</ns0:f>
        <ns0:v>0</ns0:v>
      </ns0:c>
      <ns0:c r="S786" s="0">
        <ns0:f>IF(AND(Bookings!G786="Approved",E786="No"),N786,0)</ns0:f>
        <ns0:v>0</ns0:v>
      </ns0:c>
      <ns0:c r="T786" s="0">
        <ns0:f>IFERROR(MATCH(D786,Settings!$G$7:$G$11,0),0)</ns0:f>
        <ns0:v>0</ns0:v>
      </ns0:c>
      <ns0:c r="U786" s="0">
        <ns0:f>IF(N786&gt;0,T786+IF(Bookings!G786="Pending",10,0),0)</ns0:f>
        <ns0:v>0</ns0:v>
      </ns0:c>
      <ns0:c r="V786" s="0">
        <ns0:f>U786</ns0:f>
        <ns0:v>0</ns0:v>
      </ns0:c>
      <ns0:c r="W786" s="0" t="str">
        <ns0:f>IF(C786=0,"",INDEX($AP$11:$AP$60,C786))</ns0:f>
        <ns0:v/>
      </ns0:c>
    </ns0:row>
    <ns0:row r="787">
      <ns0:c r="A787" s="0">
        <ns0:f>IF(COUNTA(Bookings!A787:G787,Bookings!I787)=0,0,1)</ns0:f>
        <ns0:v>0</ns0:v>
      </ns0:c>
      <ns0:c r="B787" s="0" t="str">
        <ns0:f>IFERROR(TRIM(MID(Bookings!A787,FIND(" · ",Bookings!A787)+3,99)),"")</ns0:f>
        <ns0:v/>
      </ns0:c>
      <ns0:c r="C787" s="0">
        <ns0:f>IF(OR(B787="",LEN(B787)&gt;24,ISNUMBER(FIND(" ",B787)),ISNUMBER(FIND("*",B787)),ISNUMBER(FIND("?",B787)),ISNUMBER(FIND("~",B787))),0,IFERROR(MATCH(B787,Team!$A$11:$A$60,0),0))</ns0:f>
        <ns0:v>0</ns0:v>
      </ns0:c>
      <ns0:c r="D787" s="0" t="str">
        <ns0:f>IFERROR(IF(MID(Bookings!F787,LEN(Bookings!F787)-3,3)=" · ",RIGHT(Bookings!F787,1),""),"")</ns0:f>
        <ns0:v/>
      </ns0:c>
      <ns0:c r="E787" s="0" t="str">
        <ns0:f>IFERROR(INDEX(Settings!$H$7:$H$11,MATCH(D787,Settings!$G$7:$G$11,0)),"")</ns0:f>
        <ns0:v/>
      </ns0:c>
      <ns0:c r="F787" s="0" t="str">
        <ns0:f>IF(A787=0,"",IFERROR(IF(OR(B787="",C787=0),"CHECK employee selection",IF(INDEX(Team!$O$11:$O$60,C787)&lt;&gt;"OK","CHECK employee setup",IF(OR('_Dates'!J787=0,'_Dates'!T787=0),"CHECK date: use DD.MM.YYYY",IF('_Dates'!T787&lt;'_Dates'!J787,"CHECK end before start",IF(AND($B$6=0,OR('_Dates'!J787&lt;Settings!$B$7,'_Dates'!T787&gt;Settings!$B$8)),"CHECK split across leave years",IF(OR(NOT(OR('_Dates'!U787="Full day",'_Dates'!U787="AM",'_Dates'!U787="PM")),NOT(OR('_Dates'!V787="Full day",'_Dates'!V787="AM",'_Dates'!V787="PM"))),"CHECK Full day / AM / PM",IF(AND('_Dates'!J787='_Dates'!T787,'_Dates'!U787&lt;&gt;"Full day",'_Dates'!V787&lt;&gt;"Full day",'_Dates'!U787&lt;&gt;'_Dates'!V787),"CHECK same-day portions disagree",IF(AND($B$6=0,OR(AND('_Dates'!U787&lt;&gt;"Full day",'_Dates'!AA787=0),AND('_Dates'!V787&lt;&gt;"Full day",'_Dates'!AB787=0))),"CHECK half-day on non-working date",IF(COUNTIF(Settings!$G$7:$G$11,D787)&lt;&gt;1,"CHECK leave type",IF(AND(Bookings!G787&lt;&gt;"Approved",Bookings!G787&lt;&gt;"Pending",Bookings!G787&lt;&gt;"Cancelled"),"CHECK status","OK")))))))))),"CHECK input"))</ns0:f>
        <ns0:v/>
      </ns0:c>
      <ns0:c r="G787" s="0">
        <ns0:f>IF(OR(F787&lt;&gt;"OK",$B$6&gt;0),0,0.5*(IF(('_Dates'!X787)&lt;('_Dates'!W787),0,INT((('_Dates'!X787)-('_Dates'!W787)+1)/7)*LEN(SUBSTITUTE(W787,"O",""))+LEN(SUBSTITUTE(MID(W787&amp;W787,WEEKDAY(('_Dates'!W787),2),MOD((('_Dates'!X787)-('_Dates'!W787)+1),7)),"O",""))-COUNTIFS(INDEX(AllClosureRows,C787,0),"&gt;="&amp;('_Dates'!W787),INDEX(AllClosureRows,C787,0),"&lt;="&amp;('_Dates'!X787)))+IF(('_Dates'!Z787)&lt;('_Dates'!Y787),0,INT((('_Dates'!Z787)-('_Dates'!Y787)+1)/7)*LEN(SUBSTITUTE(W787,"O",""))+LEN(SUBSTITUTE(MID(W787&amp;W787,WEEKDAY(('_Dates'!Y787),2),MOD((('_Dates'!Z787)-('_Dates'!Y787)+1),7)),"O",""))-COUNTIFS(INDEX(AllClosureRows,C787,0),"&gt;="&amp;('_Dates'!Y787),INDEX(AllClosureRows,C787,0),"&lt;="&amp;('_Dates'!Z787)))))</ns0:f>
        <ns0:v>0</ns0:v>
      </ns0:c>
      <ns0:c r="H787" s="0">
        <ns0:f>IF(OR(F787&lt;&gt;"OK",$B$6&gt;0),0,0.5*(IF((MIN('_Dates'!X787,Settings!$B$9))&lt;('_Dates'!W787),0,INT(((MIN('_Dates'!X787,Settings!$B$9))-('_Dates'!W787)+1)/7)*LEN(SUBSTITUTE(W787,"O",""))+LEN(SUBSTITUTE(MID(W787&amp;W787,WEEKDAY(('_Dates'!W787),2),MOD(((MIN('_Dates'!X787,Settings!$B$9))-('_Dates'!W787)+1),7)),"O",""))-COUNTIFS(INDEX(AllClosureRows,C787,0),"&gt;="&amp;('_Dates'!W787),INDEX(AllClosureRows,C787,0),"&lt;="&amp;(MIN('_Dates'!X787,Settings!$B$9))))+IF((MIN('_Dates'!Z787,Settings!$B$9))&lt;('_Dates'!Y787),0,INT(((MIN('_Dates'!Z787,Settings!$B$9))-('_Dates'!Y787)+1)/7)*LEN(SUBSTITUTE(W787,"O",""))+LEN(SUBSTITUTE(MID(W787&amp;W787,WEEKDAY(('_Dates'!Y787),2),MOD(((MIN('_Dates'!Z787,Settings!$B$9))-('_Dates'!Y787)+1),7)),"O",""))-COUNTIFS(INDEX(AllClosureRows,C787,0),"&gt;="&amp;('_Dates'!Y787),INDEX(AllClosureRows,C787,0),"&lt;="&amp;(MIN('_Dates'!Z787,Settings!$B$9))))))</ns0:f>
        <ns0:v>0</ns0:v>
      </ns0:c>
      <ns0:c r="I787" s="0">
        <ns0:f>MAX(0,G787-H787)</ns0:f>
        <ns0:v>0</ns0:v>
      </ns0:c>
      <ns0:c r="J787" s="0">
        <ns0:f>IF(OR(A787=0,F787&lt;&gt;"OK",Bookings!G787="Cancelled",$B$6&gt;0),0,IF('_Dates'!AC787=1,MAX(0,COUNTIFS(rngEngine_B,B787,rngAMStart,"&lt;="&amp;'_Dates'!X787,rngAMEnd,"&gt;="&amp;'_Dates'!W787,rngAMActive,1,rngEngine_F,"OK",rngBookings_F,"&lt;&gt;Cancelled")-1),0)+IF('_Dates'!AD787=1,MAX(0,COUNTIFS(rngEngine_B,B787,rngPMStart,"&lt;="&amp;'_Dates'!Z787,rngPMEnd,"&gt;="&amp;'_Dates'!Y787,rngPMActive,1,rngEngine_F,"OK",rngBookings_F,"&lt;&gt;Cancelled")-1),0))</ns0:f>
        <ns0:v>0</ns0:v>
      </ns0:c>
      <ns0:c r="K787" s="0" t="str">
        <ns0:f>IF(A787=0,"",IF(F787&lt;&gt;"OK",F787,IF(J787&gt;0,"CHECK overlapping entry",IF(AND($B$6=0,G787&lt;=0,Bookings!G787&lt;&gt;"Cancelled"),"CHECK no working days",IF(Bookings!G787="Cancelled","Cancelled","OK")))))</ns0:f>
        <ns0:v/>
      </ns0:c>
      <ns0:c r="L787" s="0">
        <ns0:f>IF(LEFT(K787,5)="CHECK",1,0)</ns0:f>
        <ns0:v>0</ns0:v>
      </ns0:c>
      <ns0:c r="M787" s="0">
        <ns0:f>IF(AND(L787=1,OR(C787=0,IFERROR(INDEX($X$11:$X$60,C787),0)=0)),1,0)</ns0:f>
        <ns0:v>0</ns0:v>
      </ns0:c>
      <ns0:c r="N787" s="0">
        <ns0:f>IF(OR(A787=0,L787&gt;0,$B$6&gt;0,Bookings!G787="Cancelled"),0,G787)</ns0:f>
        <ns0:v>0</ns0:v>
      </ns0:c>
      <ns0:c r="O787" s="0">
        <ns0:f>IF(AND(Bookings!G787="Approved",E787="Yes"),N787,0)</ns0:f>
        <ns0:v>0</ns0:v>
      </ns0:c>
      <ns0:c r="P787" s="0">
        <ns0:f>IF(AND(Bookings!G787="Approved",E787="Yes",L787=0,$B$6=0),H787,0)</ns0:f>
        <ns0:v>0</ns0:v>
      </ns0:c>
      <ns0:c r="Q787" s="0">
        <ns0:f>IF(AND(Bookings!G787="Approved",E787="Yes",L787=0,$B$6=0),I787,0)</ns0:f>
        <ns0:v>0</ns0:v>
      </ns0:c>
      <ns0:c r="R787" s="0">
        <ns0:f>IF(AND(Bookings!G787="Pending",E787="Yes"),N787,0)</ns0:f>
        <ns0:v>0</ns0:v>
      </ns0:c>
      <ns0:c r="S787" s="0">
        <ns0:f>IF(AND(Bookings!G787="Approved",E787="No"),N787,0)</ns0:f>
        <ns0:v>0</ns0:v>
      </ns0:c>
      <ns0:c r="T787" s="0">
        <ns0:f>IFERROR(MATCH(D787,Settings!$G$7:$G$11,0),0)</ns0:f>
        <ns0:v>0</ns0:v>
      </ns0:c>
      <ns0:c r="U787" s="0">
        <ns0:f>IF(N787&gt;0,T787+IF(Bookings!G787="Pending",10,0),0)</ns0:f>
        <ns0:v>0</ns0:v>
      </ns0:c>
      <ns0:c r="V787" s="0">
        <ns0:f>U787</ns0:f>
        <ns0:v>0</ns0:v>
      </ns0:c>
      <ns0:c r="W787" s="0" t="str">
        <ns0:f>IF(C787=0,"",INDEX($AP$11:$AP$60,C787))</ns0:f>
        <ns0:v/>
      </ns0:c>
    </ns0:row>
    <ns0:row r="788">
      <ns0:c r="A788" s="0">
        <ns0:f>IF(COUNTA(Bookings!A788:G788,Bookings!I788)=0,0,1)</ns0:f>
        <ns0:v>0</ns0:v>
      </ns0:c>
      <ns0:c r="B788" s="0" t="str">
        <ns0:f>IFERROR(TRIM(MID(Bookings!A788,FIND(" · ",Bookings!A788)+3,99)),"")</ns0:f>
        <ns0:v/>
      </ns0:c>
      <ns0:c r="C788" s="0">
        <ns0:f>IF(OR(B788="",LEN(B788)&gt;24,ISNUMBER(FIND(" ",B788)),ISNUMBER(FIND("*",B788)),ISNUMBER(FIND("?",B788)),ISNUMBER(FIND("~",B788))),0,IFERROR(MATCH(B788,Team!$A$11:$A$60,0),0))</ns0:f>
        <ns0:v>0</ns0:v>
      </ns0:c>
      <ns0:c r="D788" s="0" t="str">
        <ns0:f>IFERROR(IF(MID(Bookings!F788,LEN(Bookings!F788)-3,3)=" · ",RIGHT(Bookings!F788,1),""),"")</ns0:f>
        <ns0:v/>
      </ns0:c>
      <ns0:c r="E788" s="0" t="str">
        <ns0:f>IFERROR(INDEX(Settings!$H$7:$H$11,MATCH(D788,Settings!$G$7:$G$11,0)),"")</ns0:f>
        <ns0:v/>
      </ns0:c>
      <ns0:c r="F788" s="0" t="str">
        <ns0:f>IF(A788=0,"",IFERROR(IF(OR(B788="",C788=0),"CHECK employee selection",IF(INDEX(Team!$O$11:$O$60,C788)&lt;&gt;"OK","CHECK employee setup",IF(OR('_Dates'!J788=0,'_Dates'!T788=0),"CHECK date: use DD.MM.YYYY",IF('_Dates'!T788&lt;'_Dates'!J788,"CHECK end before start",IF(AND($B$6=0,OR('_Dates'!J788&lt;Settings!$B$7,'_Dates'!T788&gt;Settings!$B$8)),"CHECK split across leave years",IF(OR(NOT(OR('_Dates'!U788="Full day",'_Dates'!U788="AM",'_Dates'!U788="PM")),NOT(OR('_Dates'!V788="Full day",'_Dates'!V788="AM",'_Dates'!V788="PM"))),"CHECK Full day / AM / PM",IF(AND('_Dates'!J788='_Dates'!T788,'_Dates'!U788&lt;&gt;"Full day",'_Dates'!V788&lt;&gt;"Full day",'_Dates'!U788&lt;&gt;'_Dates'!V788),"CHECK same-day portions disagree",IF(AND($B$6=0,OR(AND('_Dates'!U788&lt;&gt;"Full day",'_Dates'!AA788=0),AND('_Dates'!V788&lt;&gt;"Full day",'_Dates'!AB788=0))),"CHECK half-day on non-working date",IF(COUNTIF(Settings!$G$7:$G$11,D788)&lt;&gt;1,"CHECK leave type",IF(AND(Bookings!G788&lt;&gt;"Approved",Bookings!G788&lt;&gt;"Pending",Bookings!G788&lt;&gt;"Cancelled"),"CHECK status","OK")))))))))),"CHECK input"))</ns0:f>
        <ns0:v/>
      </ns0:c>
      <ns0:c r="G788" s="0">
        <ns0:f>IF(OR(F788&lt;&gt;"OK",$B$6&gt;0),0,0.5*(IF(('_Dates'!X788)&lt;('_Dates'!W788),0,INT((('_Dates'!X788)-('_Dates'!W788)+1)/7)*LEN(SUBSTITUTE(W788,"O",""))+LEN(SUBSTITUTE(MID(W788&amp;W788,WEEKDAY(('_Dates'!W788),2),MOD((('_Dates'!X788)-('_Dates'!W788)+1),7)),"O",""))-COUNTIFS(INDEX(AllClosureRows,C788,0),"&gt;="&amp;('_Dates'!W788),INDEX(AllClosureRows,C788,0),"&lt;="&amp;('_Dates'!X788)))+IF(('_Dates'!Z788)&lt;('_Dates'!Y788),0,INT((('_Dates'!Z788)-('_Dates'!Y788)+1)/7)*LEN(SUBSTITUTE(W788,"O",""))+LEN(SUBSTITUTE(MID(W788&amp;W788,WEEKDAY(('_Dates'!Y788),2),MOD((('_Dates'!Z788)-('_Dates'!Y788)+1),7)),"O",""))-COUNTIFS(INDEX(AllClosureRows,C788,0),"&gt;="&amp;('_Dates'!Y788),INDEX(AllClosureRows,C788,0),"&lt;="&amp;('_Dates'!Z788)))))</ns0:f>
        <ns0:v>0</ns0:v>
      </ns0:c>
      <ns0:c r="H788" s="0">
        <ns0:f>IF(OR(F788&lt;&gt;"OK",$B$6&gt;0),0,0.5*(IF((MIN('_Dates'!X788,Settings!$B$9))&lt;('_Dates'!W788),0,INT(((MIN('_Dates'!X788,Settings!$B$9))-('_Dates'!W788)+1)/7)*LEN(SUBSTITUTE(W788,"O",""))+LEN(SUBSTITUTE(MID(W788&amp;W788,WEEKDAY(('_Dates'!W788),2),MOD(((MIN('_Dates'!X788,Settings!$B$9))-('_Dates'!W788)+1),7)),"O",""))-COUNTIFS(INDEX(AllClosureRows,C788,0),"&gt;="&amp;('_Dates'!W788),INDEX(AllClosureRows,C788,0),"&lt;="&amp;(MIN('_Dates'!X788,Settings!$B$9))))+IF((MIN('_Dates'!Z788,Settings!$B$9))&lt;('_Dates'!Y788),0,INT(((MIN('_Dates'!Z788,Settings!$B$9))-('_Dates'!Y788)+1)/7)*LEN(SUBSTITUTE(W788,"O",""))+LEN(SUBSTITUTE(MID(W788&amp;W788,WEEKDAY(('_Dates'!Y788),2),MOD(((MIN('_Dates'!Z788,Settings!$B$9))-('_Dates'!Y788)+1),7)),"O",""))-COUNTIFS(INDEX(AllClosureRows,C788,0),"&gt;="&amp;('_Dates'!Y788),INDEX(AllClosureRows,C788,0),"&lt;="&amp;(MIN('_Dates'!Z788,Settings!$B$9))))))</ns0:f>
        <ns0:v>0</ns0:v>
      </ns0:c>
      <ns0:c r="I788" s="0">
        <ns0:f>MAX(0,G788-H788)</ns0:f>
        <ns0:v>0</ns0:v>
      </ns0:c>
      <ns0:c r="J788" s="0">
        <ns0:f>IF(OR(A788=0,F788&lt;&gt;"OK",Bookings!G788="Cancelled",$B$6&gt;0),0,IF('_Dates'!AC788=1,MAX(0,COUNTIFS(rngEngine_B,B788,rngAMStart,"&lt;="&amp;'_Dates'!X788,rngAMEnd,"&gt;="&amp;'_Dates'!W788,rngAMActive,1,rngEngine_F,"OK",rngBookings_F,"&lt;&gt;Cancelled")-1),0)+IF('_Dates'!AD788=1,MAX(0,COUNTIFS(rngEngine_B,B788,rngPMStart,"&lt;="&amp;'_Dates'!Z788,rngPMEnd,"&gt;="&amp;'_Dates'!Y788,rngPMActive,1,rngEngine_F,"OK",rngBookings_F,"&lt;&gt;Cancelled")-1),0))</ns0:f>
        <ns0:v>0</ns0:v>
      </ns0:c>
      <ns0:c r="K788" s="0" t="str">
        <ns0:f>IF(A788=0,"",IF(F788&lt;&gt;"OK",F788,IF(J788&gt;0,"CHECK overlapping entry",IF(AND($B$6=0,G788&lt;=0,Bookings!G788&lt;&gt;"Cancelled"),"CHECK no working days",IF(Bookings!G788="Cancelled","Cancelled","OK")))))</ns0:f>
        <ns0:v/>
      </ns0:c>
      <ns0:c r="L788" s="0">
        <ns0:f>IF(LEFT(K788,5)="CHECK",1,0)</ns0:f>
        <ns0:v>0</ns0:v>
      </ns0:c>
      <ns0:c r="M788" s="0">
        <ns0:f>IF(AND(L788=1,OR(C788=0,IFERROR(INDEX($X$11:$X$60,C788),0)=0)),1,0)</ns0:f>
        <ns0:v>0</ns0:v>
      </ns0:c>
      <ns0:c r="N788" s="0">
        <ns0:f>IF(OR(A788=0,L788&gt;0,$B$6&gt;0,Bookings!G788="Cancelled"),0,G788)</ns0:f>
        <ns0:v>0</ns0:v>
      </ns0:c>
      <ns0:c r="O788" s="0">
        <ns0:f>IF(AND(Bookings!G788="Approved",E788="Yes"),N788,0)</ns0:f>
        <ns0:v>0</ns0:v>
      </ns0:c>
      <ns0:c r="P788" s="0">
        <ns0:f>IF(AND(Bookings!G788="Approved",E788="Yes",L788=0,$B$6=0),H788,0)</ns0:f>
        <ns0:v>0</ns0:v>
      </ns0:c>
      <ns0:c r="Q788" s="0">
        <ns0:f>IF(AND(Bookings!G788="Approved",E788="Yes",L788=0,$B$6=0),I788,0)</ns0:f>
        <ns0:v>0</ns0:v>
      </ns0:c>
      <ns0:c r="R788" s="0">
        <ns0:f>IF(AND(Bookings!G788="Pending",E788="Yes"),N788,0)</ns0:f>
        <ns0:v>0</ns0:v>
      </ns0:c>
      <ns0:c r="S788" s="0">
        <ns0:f>IF(AND(Bookings!G788="Approved",E788="No"),N788,0)</ns0:f>
        <ns0:v>0</ns0:v>
      </ns0:c>
      <ns0:c r="T788" s="0">
        <ns0:f>IFERROR(MATCH(D788,Settings!$G$7:$G$11,0),0)</ns0:f>
        <ns0:v>0</ns0:v>
      </ns0:c>
      <ns0:c r="U788" s="0">
        <ns0:f>IF(N788&gt;0,T788+IF(Bookings!G788="Pending",10,0),0)</ns0:f>
        <ns0:v>0</ns0:v>
      </ns0:c>
      <ns0:c r="V788" s="0">
        <ns0:f>U788</ns0:f>
        <ns0:v>0</ns0:v>
      </ns0:c>
      <ns0:c r="W788" s="0" t="str">
        <ns0:f>IF(C788=0,"",INDEX($AP$11:$AP$60,C788))</ns0:f>
        <ns0:v/>
      </ns0:c>
    </ns0:row>
    <ns0:row r="789">
      <ns0:c r="A789" s="0">
        <ns0:f>IF(COUNTA(Bookings!A789:G789,Bookings!I789)=0,0,1)</ns0:f>
        <ns0:v>0</ns0:v>
      </ns0:c>
      <ns0:c r="B789" s="0" t="str">
        <ns0:f>IFERROR(TRIM(MID(Bookings!A789,FIND(" · ",Bookings!A789)+3,99)),"")</ns0:f>
        <ns0:v/>
      </ns0:c>
      <ns0:c r="C789" s="0">
        <ns0:f>IF(OR(B789="",LEN(B789)&gt;24,ISNUMBER(FIND(" ",B789)),ISNUMBER(FIND("*",B789)),ISNUMBER(FIND("?",B789)),ISNUMBER(FIND("~",B789))),0,IFERROR(MATCH(B789,Team!$A$11:$A$60,0),0))</ns0:f>
        <ns0:v>0</ns0:v>
      </ns0:c>
      <ns0:c r="D789" s="0" t="str">
        <ns0:f>IFERROR(IF(MID(Bookings!F789,LEN(Bookings!F789)-3,3)=" · ",RIGHT(Bookings!F789,1),""),"")</ns0:f>
        <ns0:v/>
      </ns0:c>
      <ns0:c r="E789" s="0" t="str">
        <ns0:f>IFERROR(INDEX(Settings!$H$7:$H$11,MATCH(D789,Settings!$G$7:$G$11,0)),"")</ns0:f>
        <ns0:v/>
      </ns0:c>
      <ns0:c r="F789" s="0" t="str">
        <ns0:f>IF(A789=0,"",IFERROR(IF(OR(B789="",C789=0),"CHECK employee selection",IF(INDEX(Team!$O$11:$O$60,C789)&lt;&gt;"OK","CHECK employee setup",IF(OR('_Dates'!J789=0,'_Dates'!T789=0),"CHECK date: use DD.MM.YYYY",IF('_Dates'!T789&lt;'_Dates'!J789,"CHECK end before start",IF(AND($B$6=0,OR('_Dates'!J789&lt;Settings!$B$7,'_Dates'!T789&gt;Settings!$B$8)),"CHECK split across leave years",IF(OR(NOT(OR('_Dates'!U789="Full day",'_Dates'!U789="AM",'_Dates'!U789="PM")),NOT(OR('_Dates'!V789="Full day",'_Dates'!V789="AM",'_Dates'!V789="PM"))),"CHECK Full day / AM / PM",IF(AND('_Dates'!J789='_Dates'!T789,'_Dates'!U789&lt;&gt;"Full day",'_Dates'!V789&lt;&gt;"Full day",'_Dates'!U789&lt;&gt;'_Dates'!V789),"CHECK same-day portions disagree",IF(AND($B$6=0,OR(AND('_Dates'!U789&lt;&gt;"Full day",'_Dates'!AA789=0),AND('_Dates'!V789&lt;&gt;"Full day",'_Dates'!AB789=0))),"CHECK half-day on non-working date",IF(COUNTIF(Settings!$G$7:$G$11,D789)&lt;&gt;1,"CHECK leave type",IF(AND(Bookings!G789&lt;&gt;"Approved",Bookings!G789&lt;&gt;"Pending",Bookings!G789&lt;&gt;"Cancelled"),"CHECK status","OK")))))))))),"CHECK input"))</ns0:f>
        <ns0:v/>
      </ns0:c>
      <ns0:c r="G789" s="0">
        <ns0:f>IF(OR(F789&lt;&gt;"OK",$B$6&gt;0),0,0.5*(IF(('_Dates'!X789)&lt;('_Dates'!W789),0,INT((('_Dates'!X789)-('_Dates'!W789)+1)/7)*LEN(SUBSTITUTE(W789,"O",""))+LEN(SUBSTITUTE(MID(W789&amp;W789,WEEKDAY(('_Dates'!W789),2),MOD((('_Dates'!X789)-('_Dates'!W789)+1),7)),"O",""))-COUNTIFS(INDEX(AllClosureRows,C789,0),"&gt;="&amp;('_Dates'!W789),INDEX(AllClosureRows,C789,0),"&lt;="&amp;('_Dates'!X789)))+IF(('_Dates'!Z789)&lt;('_Dates'!Y789),0,INT((('_Dates'!Z789)-('_Dates'!Y789)+1)/7)*LEN(SUBSTITUTE(W789,"O",""))+LEN(SUBSTITUTE(MID(W789&amp;W789,WEEKDAY(('_Dates'!Y789),2),MOD((('_Dates'!Z789)-('_Dates'!Y789)+1),7)),"O",""))-COUNTIFS(INDEX(AllClosureRows,C789,0),"&gt;="&amp;('_Dates'!Y789),INDEX(AllClosureRows,C789,0),"&lt;="&amp;('_Dates'!Z789)))))</ns0:f>
        <ns0:v>0</ns0:v>
      </ns0:c>
      <ns0:c r="H789" s="0">
        <ns0:f>IF(OR(F789&lt;&gt;"OK",$B$6&gt;0),0,0.5*(IF((MIN('_Dates'!X789,Settings!$B$9))&lt;('_Dates'!W789),0,INT(((MIN('_Dates'!X789,Settings!$B$9))-('_Dates'!W789)+1)/7)*LEN(SUBSTITUTE(W789,"O",""))+LEN(SUBSTITUTE(MID(W789&amp;W789,WEEKDAY(('_Dates'!W789),2),MOD(((MIN('_Dates'!X789,Settings!$B$9))-('_Dates'!W789)+1),7)),"O",""))-COUNTIFS(INDEX(AllClosureRows,C789,0),"&gt;="&amp;('_Dates'!W789),INDEX(AllClosureRows,C789,0),"&lt;="&amp;(MIN('_Dates'!X789,Settings!$B$9))))+IF((MIN('_Dates'!Z789,Settings!$B$9))&lt;('_Dates'!Y789),0,INT(((MIN('_Dates'!Z789,Settings!$B$9))-('_Dates'!Y789)+1)/7)*LEN(SUBSTITUTE(W789,"O",""))+LEN(SUBSTITUTE(MID(W789&amp;W789,WEEKDAY(('_Dates'!Y789),2),MOD(((MIN('_Dates'!Z789,Settings!$B$9))-('_Dates'!Y789)+1),7)),"O",""))-COUNTIFS(INDEX(AllClosureRows,C789,0),"&gt;="&amp;('_Dates'!Y789),INDEX(AllClosureRows,C789,0),"&lt;="&amp;(MIN('_Dates'!Z789,Settings!$B$9))))))</ns0:f>
        <ns0:v>0</ns0:v>
      </ns0:c>
      <ns0:c r="I789" s="0">
        <ns0:f>MAX(0,G789-H789)</ns0:f>
        <ns0:v>0</ns0:v>
      </ns0:c>
      <ns0:c r="J789" s="0">
        <ns0:f>IF(OR(A789=0,F789&lt;&gt;"OK",Bookings!G789="Cancelled",$B$6&gt;0),0,IF('_Dates'!AC789=1,MAX(0,COUNTIFS(rngEngine_B,B789,rngAMStart,"&lt;="&amp;'_Dates'!X789,rngAMEnd,"&gt;="&amp;'_Dates'!W789,rngAMActive,1,rngEngine_F,"OK",rngBookings_F,"&lt;&gt;Cancelled")-1),0)+IF('_Dates'!AD789=1,MAX(0,COUNTIFS(rngEngine_B,B789,rngPMStart,"&lt;="&amp;'_Dates'!Z789,rngPMEnd,"&gt;="&amp;'_Dates'!Y789,rngPMActive,1,rngEngine_F,"OK",rngBookings_F,"&lt;&gt;Cancelled")-1),0))</ns0:f>
        <ns0:v>0</ns0:v>
      </ns0:c>
      <ns0:c r="K789" s="0" t="str">
        <ns0:f>IF(A789=0,"",IF(F789&lt;&gt;"OK",F789,IF(J789&gt;0,"CHECK overlapping entry",IF(AND($B$6=0,G789&lt;=0,Bookings!G789&lt;&gt;"Cancelled"),"CHECK no working days",IF(Bookings!G789="Cancelled","Cancelled","OK")))))</ns0:f>
        <ns0:v/>
      </ns0:c>
      <ns0:c r="L789" s="0">
        <ns0:f>IF(LEFT(K789,5)="CHECK",1,0)</ns0:f>
        <ns0:v>0</ns0:v>
      </ns0:c>
      <ns0:c r="M789" s="0">
        <ns0:f>IF(AND(L789=1,OR(C789=0,IFERROR(INDEX($X$11:$X$60,C789),0)=0)),1,0)</ns0:f>
        <ns0:v>0</ns0:v>
      </ns0:c>
      <ns0:c r="N789" s="0">
        <ns0:f>IF(OR(A789=0,L789&gt;0,$B$6&gt;0,Bookings!G789="Cancelled"),0,G789)</ns0:f>
        <ns0:v>0</ns0:v>
      </ns0:c>
      <ns0:c r="O789" s="0">
        <ns0:f>IF(AND(Bookings!G789="Approved",E789="Yes"),N789,0)</ns0:f>
        <ns0:v>0</ns0:v>
      </ns0:c>
      <ns0:c r="P789" s="0">
        <ns0:f>IF(AND(Bookings!G789="Approved",E789="Yes",L789=0,$B$6=0),H789,0)</ns0:f>
        <ns0:v>0</ns0:v>
      </ns0:c>
      <ns0:c r="Q789" s="0">
        <ns0:f>IF(AND(Bookings!G789="Approved",E789="Yes",L789=0,$B$6=0),I789,0)</ns0:f>
        <ns0:v>0</ns0:v>
      </ns0:c>
      <ns0:c r="R789" s="0">
        <ns0:f>IF(AND(Bookings!G789="Pending",E789="Yes"),N789,0)</ns0:f>
        <ns0:v>0</ns0:v>
      </ns0:c>
      <ns0:c r="S789" s="0">
        <ns0:f>IF(AND(Bookings!G789="Approved",E789="No"),N789,0)</ns0:f>
        <ns0:v>0</ns0:v>
      </ns0:c>
      <ns0:c r="T789" s="0">
        <ns0:f>IFERROR(MATCH(D789,Settings!$G$7:$G$11,0),0)</ns0:f>
        <ns0:v>0</ns0:v>
      </ns0:c>
      <ns0:c r="U789" s="0">
        <ns0:f>IF(N789&gt;0,T789+IF(Bookings!G789="Pending",10,0),0)</ns0:f>
        <ns0:v>0</ns0:v>
      </ns0:c>
      <ns0:c r="V789" s="0">
        <ns0:f>U789</ns0:f>
        <ns0:v>0</ns0:v>
      </ns0:c>
      <ns0:c r="W789" s="0" t="str">
        <ns0:f>IF(C789=0,"",INDEX($AP$11:$AP$60,C789))</ns0:f>
        <ns0:v/>
      </ns0:c>
    </ns0:row>
    <ns0:row r="790">
      <ns0:c r="A790" s="0">
        <ns0:f>IF(COUNTA(Bookings!A790:G790,Bookings!I790)=0,0,1)</ns0:f>
        <ns0:v>0</ns0:v>
      </ns0:c>
      <ns0:c r="B790" s="0" t="str">
        <ns0:f>IFERROR(TRIM(MID(Bookings!A790,FIND(" · ",Bookings!A790)+3,99)),"")</ns0:f>
        <ns0:v/>
      </ns0:c>
      <ns0:c r="C790" s="0">
        <ns0:f>IF(OR(B790="",LEN(B790)&gt;24,ISNUMBER(FIND(" ",B790)),ISNUMBER(FIND("*",B790)),ISNUMBER(FIND("?",B790)),ISNUMBER(FIND("~",B790))),0,IFERROR(MATCH(B790,Team!$A$11:$A$60,0),0))</ns0:f>
        <ns0:v>0</ns0:v>
      </ns0:c>
      <ns0:c r="D790" s="0" t="str">
        <ns0:f>IFERROR(IF(MID(Bookings!F790,LEN(Bookings!F790)-3,3)=" · ",RIGHT(Bookings!F790,1),""),"")</ns0:f>
        <ns0:v/>
      </ns0:c>
      <ns0:c r="E790" s="0" t="str">
        <ns0:f>IFERROR(INDEX(Settings!$H$7:$H$11,MATCH(D790,Settings!$G$7:$G$11,0)),"")</ns0:f>
        <ns0:v/>
      </ns0:c>
      <ns0:c r="F790" s="0" t="str">
        <ns0:f>IF(A790=0,"",IFERROR(IF(OR(B790="",C790=0),"CHECK employee selection",IF(INDEX(Team!$O$11:$O$60,C790)&lt;&gt;"OK","CHECK employee setup",IF(OR('_Dates'!J790=0,'_Dates'!T790=0),"CHECK date: use DD.MM.YYYY",IF('_Dates'!T790&lt;'_Dates'!J790,"CHECK end before start",IF(AND($B$6=0,OR('_Dates'!J790&lt;Settings!$B$7,'_Dates'!T790&gt;Settings!$B$8)),"CHECK split across leave years",IF(OR(NOT(OR('_Dates'!U790="Full day",'_Dates'!U790="AM",'_Dates'!U790="PM")),NOT(OR('_Dates'!V790="Full day",'_Dates'!V790="AM",'_Dates'!V790="PM"))),"CHECK Full day / AM / PM",IF(AND('_Dates'!J790='_Dates'!T790,'_Dates'!U790&lt;&gt;"Full day",'_Dates'!V790&lt;&gt;"Full day",'_Dates'!U790&lt;&gt;'_Dates'!V790),"CHECK same-day portions disagree",IF(AND($B$6=0,OR(AND('_Dates'!U790&lt;&gt;"Full day",'_Dates'!AA790=0),AND('_Dates'!V790&lt;&gt;"Full day",'_Dates'!AB790=0))),"CHECK half-day on non-working date",IF(COUNTIF(Settings!$G$7:$G$11,D790)&lt;&gt;1,"CHECK leave type",IF(AND(Bookings!G790&lt;&gt;"Approved",Bookings!G790&lt;&gt;"Pending",Bookings!G790&lt;&gt;"Cancelled"),"CHECK status","OK")))))))))),"CHECK input"))</ns0:f>
        <ns0:v/>
      </ns0:c>
      <ns0:c r="G790" s="0">
        <ns0:f>IF(OR(F790&lt;&gt;"OK",$B$6&gt;0),0,0.5*(IF(('_Dates'!X790)&lt;('_Dates'!W790),0,INT((('_Dates'!X790)-('_Dates'!W790)+1)/7)*LEN(SUBSTITUTE(W790,"O",""))+LEN(SUBSTITUTE(MID(W790&amp;W790,WEEKDAY(('_Dates'!W790),2),MOD((('_Dates'!X790)-('_Dates'!W790)+1),7)),"O",""))-COUNTIFS(INDEX(AllClosureRows,C790,0),"&gt;="&amp;('_Dates'!W790),INDEX(AllClosureRows,C790,0),"&lt;="&amp;('_Dates'!X790)))+IF(('_Dates'!Z790)&lt;('_Dates'!Y790),0,INT((('_Dates'!Z790)-('_Dates'!Y790)+1)/7)*LEN(SUBSTITUTE(W790,"O",""))+LEN(SUBSTITUTE(MID(W790&amp;W790,WEEKDAY(('_Dates'!Y790),2),MOD((('_Dates'!Z790)-('_Dates'!Y790)+1),7)),"O",""))-COUNTIFS(INDEX(AllClosureRows,C790,0),"&gt;="&amp;('_Dates'!Y790),INDEX(AllClosureRows,C790,0),"&lt;="&amp;('_Dates'!Z790)))))</ns0:f>
        <ns0:v>0</ns0:v>
      </ns0:c>
      <ns0:c r="H790" s="0">
        <ns0:f>IF(OR(F790&lt;&gt;"OK",$B$6&gt;0),0,0.5*(IF((MIN('_Dates'!X790,Settings!$B$9))&lt;('_Dates'!W790),0,INT(((MIN('_Dates'!X790,Settings!$B$9))-('_Dates'!W790)+1)/7)*LEN(SUBSTITUTE(W790,"O",""))+LEN(SUBSTITUTE(MID(W790&amp;W790,WEEKDAY(('_Dates'!W790),2),MOD(((MIN('_Dates'!X790,Settings!$B$9))-('_Dates'!W790)+1),7)),"O",""))-COUNTIFS(INDEX(AllClosureRows,C790,0),"&gt;="&amp;('_Dates'!W790),INDEX(AllClosureRows,C790,0),"&lt;="&amp;(MIN('_Dates'!X790,Settings!$B$9))))+IF((MIN('_Dates'!Z790,Settings!$B$9))&lt;('_Dates'!Y790),0,INT(((MIN('_Dates'!Z790,Settings!$B$9))-('_Dates'!Y790)+1)/7)*LEN(SUBSTITUTE(W790,"O",""))+LEN(SUBSTITUTE(MID(W790&amp;W790,WEEKDAY(('_Dates'!Y790),2),MOD(((MIN('_Dates'!Z790,Settings!$B$9))-('_Dates'!Y790)+1),7)),"O",""))-COUNTIFS(INDEX(AllClosureRows,C790,0),"&gt;="&amp;('_Dates'!Y790),INDEX(AllClosureRows,C790,0),"&lt;="&amp;(MIN('_Dates'!Z790,Settings!$B$9))))))</ns0:f>
        <ns0:v>0</ns0:v>
      </ns0:c>
      <ns0:c r="I790" s="0">
        <ns0:f>MAX(0,G790-H790)</ns0:f>
        <ns0:v>0</ns0:v>
      </ns0:c>
      <ns0:c r="J790" s="0">
        <ns0:f>IF(OR(A790=0,F790&lt;&gt;"OK",Bookings!G790="Cancelled",$B$6&gt;0),0,IF('_Dates'!AC790=1,MAX(0,COUNTIFS(rngEngine_B,B790,rngAMStart,"&lt;="&amp;'_Dates'!X790,rngAMEnd,"&gt;="&amp;'_Dates'!W790,rngAMActive,1,rngEngine_F,"OK",rngBookings_F,"&lt;&gt;Cancelled")-1),0)+IF('_Dates'!AD790=1,MAX(0,COUNTIFS(rngEngine_B,B790,rngPMStart,"&lt;="&amp;'_Dates'!Z790,rngPMEnd,"&gt;="&amp;'_Dates'!Y790,rngPMActive,1,rngEngine_F,"OK",rngBookings_F,"&lt;&gt;Cancelled")-1),0))</ns0:f>
        <ns0:v>0</ns0:v>
      </ns0:c>
      <ns0:c r="K790" s="0" t="str">
        <ns0:f>IF(A790=0,"",IF(F790&lt;&gt;"OK",F790,IF(J790&gt;0,"CHECK overlapping entry",IF(AND($B$6=0,G790&lt;=0,Bookings!G790&lt;&gt;"Cancelled"),"CHECK no working days",IF(Bookings!G790="Cancelled","Cancelled","OK")))))</ns0:f>
        <ns0:v/>
      </ns0:c>
      <ns0:c r="L790" s="0">
        <ns0:f>IF(LEFT(K790,5)="CHECK",1,0)</ns0:f>
        <ns0:v>0</ns0:v>
      </ns0:c>
      <ns0:c r="M790" s="0">
        <ns0:f>IF(AND(L790=1,OR(C790=0,IFERROR(INDEX($X$11:$X$60,C790),0)=0)),1,0)</ns0:f>
        <ns0:v>0</ns0:v>
      </ns0:c>
      <ns0:c r="N790" s="0">
        <ns0:f>IF(OR(A790=0,L790&gt;0,$B$6&gt;0,Bookings!G790="Cancelled"),0,G790)</ns0:f>
        <ns0:v>0</ns0:v>
      </ns0:c>
      <ns0:c r="O790" s="0">
        <ns0:f>IF(AND(Bookings!G790="Approved",E790="Yes"),N790,0)</ns0:f>
        <ns0:v>0</ns0:v>
      </ns0:c>
      <ns0:c r="P790" s="0">
        <ns0:f>IF(AND(Bookings!G790="Approved",E790="Yes",L790=0,$B$6=0),H790,0)</ns0:f>
        <ns0:v>0</ns0:v>
      </ns0:c>
      <ns0:c r="Q790" s="0">
        <ns0:f>IF(AND(Bookings!G790="Approved",E790="Yes",L790=0,$B$6=0),I790,0)</ns0:f>
        <ns0:v>0</ns0:v>
      </ns0:c>
      <ns0:c r="R790" s="0">
        <ns0:f>IF(AND(Bookings!G790="Pending",E790="Yes"),N790,0)</ns0:f>
        <ns0:v>0</ns0:v>
      </ns0:c>
      <ns0:c r="S790" s="0">
        <ns0:f>IF(AND(Bookings!G790="Approved",E790="No"),N790,0)</ns0:f>
        <ns0:v>0</ns0:v>
      </ns0:c>
      <ns0:c r="T790" s="0">
        <ns0:f>IFERROR(MATCH(D790,Settings!$G$7:$G$11,0),0)</ns0:f>
        <ns0:v>0</ns0:v>
      </ns0:c>
      <ns0:c r="U790" s="0">
        <ns0:f>IF(N790&gt;0,T790+IF(Bookings!G790="Pending",10,0),0)</ns0:f>
        <ns0:v>0</ns0:v>
      </ns0:c>
      <ns0:c r="V790" s="0">
        <ns0:f>U790</ns0:f>
        <ns0:v>0</ns0:v>
      </ns0:c>
      <ns0:c r="W790" s="0" t="str">
        <ns0:f>IF(C790=0,"",INDEX($AP$11:$AP$60,C790))</ns0:f>
        <ns0:v/>
      </ns0:c>
    </ns0:row>
    <ns0:row r="791">
      <ns0:c r="A791" s="0">
        <ns0:f>IF(COUNTA(Bookings!A791:G791,Bookings!I791)=0,0,1)</ns0:f>
        <ns0:v>0</ns0:v>
      </ns0:c>
      <ns0:c r="B791" s="0" t="str">
        <ns0:f>IFERROR(TRIM(MID(Bookings!A791,FIND(" · ",Bookings!A791)+3,99)),"")</ns0:f>
        <ns0:v/>
      </ns0:c>
      <ns0:c r="C791" s="0">
        <ns0:f>IF(OR(B791="",LEN(B791)&gt;24,ISNUMBER(FIND(" ",B791)),ISNUMBER(FIND("*",B791)),ISNUMBER(FIND("?",B791)),ISNUMBER(FIND("~",B791))),0,IFERROR(MATCH(B791,Team!$A$11:$A$60,0),0))</ns0:f>
        <ns0:v>0</ns0:v>
      </ns0:c>
      <ns0:c r="D791" s="0" t="str">
        <ns0:f>IFERROR(IF(MID(Bookings!F791,LEN(Bookings!F791)-3,3)=" · ",RIGHT(Bookings!F791,1),""),"")</ns0:f>
        <ns0:v/>
      </ns0:c>
      <ns0:c r="E791" s="0" t="str">
        <ns0:f>IFERROR(INDEX(Settings!$H$7:$H$11,MATCH(D791,Settings!$G$7:$G$11,0)),"")</ns0:f>
        <ns0:v/>
      </ns0:c>
      <ns0:c r="F791" s="0" t="str">
        <ns0:f>IF(A791=0,"",IFERROR(IF(OR(B791="",C791=0),"CHECK employee selection",IF(INDEX(Team!$O$11:$O$60,C791)&lt;&gt;"OK","CHECK employee setup",IF(OR('_Dates'!J791=0,'_Dates'!T791=0),"CHECK date: use DD.MM.YYYY",IF('_Dates'!T791&lt;'_Dates'!J791,"CHECK end before start",IF(AND($B$6=0,OR('_Dates'!J791&lt;Settings!$B$7,'_Dates'!T791&gt;Settings!$B$8)),"CHECK split across leave years",IF(OR(NOT(OR('_Dates'!U791="Full day",'_Dates'!U791="AM",'_Dates'!U791="PM")),NOT(OR('_Dates'!V791="Full day",'_Dates'!V791="AM",'_Dates'!V791="PM"))),"CHECK Full day / AM / PM",IF(AND('_Dates'!J791='_Dates'!T791,'_Dates'!U791&lt;&gt;"Full day",'_Dates'!V791&lt;&gt;"Full day",'_Dates'!U791&lt;&gt;'_Dates'!V791),"CHECK same-day portions disagree",IF(AND($B$6=0,OR(AND('_Dates'!U791&lt;&gt;"Full day",'_Dates'!AA791=0),AND('_Dates'!V791&lt;&gt;"Full day",'_Dates'!AB791=0))),"CHECK half-day on non-working date",IF(COUNTIF(Settings!$G$7:$G$11,D791)&lt;&gt;1,"CHECK leave type",IF(AND(Bookings!G791&lt;&gt;"Approved",Bookings!G791&lt;&gt;"Pending",Bookings!G791&lt;&gt;"Cancelled"),"CHECK status","OK")))))))))),"CHECK input"))</ns0:f>
        <ns0:v/>
      </ns0:c>
      <ns0:c r="G791" s="0">
        <ns0:f>IF(OR(F791&lt;&gt;"OK",$B$6&gt;0),0,0.5*(IF(('_Dates'!X791)&lt;('_Dates'!W791),0,INT((('_Dates'!X791)-('_Dates'!W791)+1)/7)*LEN(SUBSTITUTE(W791,"O",""))+LEN(SUBSTITUTE(MID(W791&amp;W791,WEEKDAY(('_Dates'!W791),2),MOD((('_Dates'!X791)-('_Dates'!W791)+1),7)),"O",""))-COUNTIFS(INDEX(AllClosureRows,C791,0),"&gt;="&amp;('_Dates'!W791),INDEX(AllClosureRows,C791,0),"&lt;="&amp;('_Dates'!X791)))+IF(('_Dates'!Z791)&lt;('_Dates'!Y791),0,INT((('_Dates'!Z791)-('_Dates'!Y791)+1)/7)*LEN(SUBSTITUTE(W791,"O",""))+LEN(SUBSTITUTE(MID(W791&amp;W791,WEEKDAY(('_Dates'!Y791),2),MOD((('_Dates'!Z791)-('_Dates'!Y791)+1),7)),"O",""))-COUNTIFS(INDEX(AllClosureRows,C791,0),"&gt;="&amp;('_Dates'!Y791),INDEX(AllClosureRows,C791,0),"&lt;="&amp;('_Dates'!Z791)))))</ns0:f>
        <ns0:v>0</ns0:v>
      </ns0:c>
      <ns0:c r="H791" s="0">
        <ns0:f>IF(OR(F791&lt;&gt;"OK",$B$6&gt;0),0,0.5*(IF((MIN('_Dates'!X791,Settings!$B$9))&lt;('_Dates'!W791),0,INT(((MIN('_Dates'!X791,Settings!$B$9))-('_Dates'!W791)+1)/7)*LEN(SUBSTITUTE(W791,"O",""))+LEN(SUBSTITUTE(MID(W791&amp;W791,WEEKDAY(('_Dates'!W791),2),MOD(((MIN('_Dates'!X791,Settings!$B$9))-('_Dates'!W791)+1),7)),"O",""))-COUNTIFS(INDEX(AllClosureRows,C791,0),"&gt;="&amp;('_Dates'!W791),INDEX(AllClosureRows,C791,0),"&lt;="&amp;(MIN('_Dates'!X791,Settings!$B$9))))+IF((MIN('_Dates'!Z791,Settings!$B$9))&lt;('_Dates'!Y791),0,INT(((MIN('_Dates'!Z791,Settings!$B$9))-('_Dates'!Y791)+1)/7)*LEN(SUBSTITUTE(W791,"O",""))+LEN(SUBSTITUTE(MID(W791&amp;W791,WEEKDAY(('_Dates'!Y791),2),MOD(((MIN('_Dates'!Z791,Settings!$B$9))-('_Dates'!Y791)+1),7)),"O",""))-COUNTIFS(INDEX(AllClosureRows,C791,0),"&gt;="&amp;('_Dates'!Y791),INDEX(AllClosureRows,C791,0),"&lt;="&amp;(MIN('_Dates'!Z791,Settings!$B$9))))))</ns0:f>
        <ns0:v>0</ns0:v>
      </ns0:c>
      <ns0:c r="I791" s="0">
        <ns0:f>MAX(0,G791-H791)</ns0:f>
        <ns0:v>0</ns0:v>
      </ns0:c>
      <ns0:c r="J791" s="0">
        <ns0:f>IF(OR(A791=0,F791&lt;&gt;"OK",Bookings!G791="Cancelled",$B$6&gt;0),0,IF('_Dates'!AC791=1,MAX(0,COUNTIFS(rngEngine_B,B791,rngAMStart,"&lt;="&amp;'_Dates'!X791,rngAMEnd,"&gt;="&amp;'_Dates'!W791,rngAMActive,1,rngEngine_F,"OK",rngBookings_F,"&lt;&gt;Cancelled")-1),0)+IF('_Dates'!AD791=1,MAX(0,COUNTIFS(rngEngine_B,B791,rngPMStart,"&lt;="&amp;'_Dates'!Z791,rngPMEnd,"&gt;="&amp;'_Dates'!Y791,rngPMActive,1,rngEngine_F,"OK",rngBookings_F,"&lt;&gt;Cancelled")-1),0))</ns0:f>
        <ns0:v>0</ns0:v>
      </ns0:c>
      <ns0:c r="K791" s="0" t="str">
        <ns0:f>IF(A791=0,"",IF(F791&lt;&gt;"OK",F791,IF(J791&gt;0,"CHECK overlapping entry",IF(AND($B$6=0,G791&lt;=0,Bookings!G791&lt;&gt;"Cancelled"),"CHECK no working days",IF(Bookings!G791="Cancelled","Cancelled","OK")))))</ns0:f>
        <ns0:v/>
      </ns0:c>
      <ns0:c r="L791" s="0">
        <ns0:f>IF(LEFT(K791,5)="CHECK",1,0)</ns0:f>
        <ns0:v>0</ns0:v>
      </ns0:c>
      <ns0:c r="M791" s="0">
        <ns0:f>IF(AND(L791=1,OR(C791=0,IFERROR(INDEX($X$11:$X$60,C791),0)=0)),1,0)</ns0:f>
        <ns0:v>0</ns0:v>
      </ns0:c>
      <ns0:c r="N791" s="0">
        <ns0:f>IF(OR(A791=0,L791&gt;0,$B$6&gt;0,Bookings!G791="Cancelled"),0,G791)</ns0:f>
        <ns0:v>0</ns0:v>
      </ns0:c>
      <ns0:c r="O791" s="0">
        <ns0:f>IF(AND(Bookings!G791="Approved",E791="Yes"),N791,0)</ns0:f>
        <ns0:v>0</ns0:v>
      </ns0:c>
      <ns0:c r="P791" s="0">
        <ns0:f>IF(AND(Bookings!G791="Approved",E791="Yes",L791=0,$B$6=0),H791,0)</ns0:f>
        <ns0:v>0</ns0:v>
      </ns0:c>
      <ns0:c r="Q791" s="0">
        <ns0:f>IF(AND(Bookings!G791="Approved",E791="Yes",L791=0,$B$6=0),I791,0)</ns0:f>
        <ns0:v>0</ns0:v>
      </ns0:c>
      <ns0:c r="R791" s="0">
        <ns0:f>IF(AND(Bookings!G791="Pending",E791="Yes"),N791,0)</ns0:f>
        <ns0:v>0</ns0:v>
      </ns0:c>
      <ns0:c r="S791" s="0">
        <ns0:f>IF(AND(Bookings!G791="Approved",E791="No"),N791,0)</ns0:f>
        <ns0:v>0</ns0:v>
      </ns0:c>
      <ns0:c r="T791" s="0">
        <ns0:f>IFERROR(MATCH(D791,Settings!$G$7:$G$11,0),0)</ns0:f>
        <ns0:v>0</ns0:v>
      </ns0:c>
      <ns0:c r="U791" s="0">
        <ns0:f>IF(N791&gt;0,T791+IF(Bookings!G791="Pending",10,0),0)</ns0:f>
        <ns0:v>0</ns0:v>
      </ns0:c>
      <ns0:c r="V791" s="0">
        <ns0:f>U791</ns0:f>
        <ns0:v>0</ns0:v>
      </ns0:c>
      <ns0:c r="W791" s="0" t="str">
        <ns0:f>IF(C791=0,"",INDEX($AP$11:$AP$60,C791))</ns0:f>
        <ns0:v/>
      </ns0:c>
    </ns0:row>
    <ns0:row r="792">
      <ns0:c r="A792" s="0">
        <ns0:f>IF(COUNTA(Bookings!A792:G792,Bookings!I792)=0,0,1)</ns0:f>
        <ns0:v>0</ns0:v>
      </ns0:c>
      <ns0:c r="B792" s="0" t="str">
        <ns0:f>IFERROR(TRIM(MID(Bookings!A792,FIND(" · ",Bookings!A792)+3,99)),"")</ns0:f>
        <ns0:v/>
      </ns0:c>
      <ns0:c r="C792" s="0">
        <ns0:f>IF(OR(B792="",LEN(B792)&gt;24,ISNUMBER(FIND(" ",B792)),ISNUMBER(FIND("*",B792)),ISNUMBER(FIND("?",B792)),ISNUMBER(FIND("~",B792))),0,IFERROR(MATCH(B792,Team!$A$11:$A$60,0),0))</ns0:f>
        <ns0:v>0</ns0:v>
      </ns0:c>
      <ns0:c r="D792" s="0" t="str">
        <ns0:f>IFERROR(IF(MID(Bookings!F792,LEN(Bookings!F792)-3,3)=" · ",RIGHT(Bookings!F792,1),""),"")</ns0:f>
        <ns0:v/>
      </ns0:c>
      <ns0:c r="E792" s="0" t="str">
        <ns0:f>IFERROR(INDEX(Settings!$H$7:$H$11,MATCH(D792,Settings!$G$7:$G$11,0)),"")</ns0:f>
        <ns0:v/>
      </ns0:c>
      <ns0:c r="F792" s="0" t="str">
        <ns0:f>IF(A792=0,"",IFERROR(IF(OR(B792="",C792=0),"CHECK employee selection",IF(INDEX(Team!$O$11:$O$60,C792)&lt;&gt;"OK","CHECK employee setup",IF(OR('_Dates'!J792=0,'_Dates'!T792=0),"CHECK date: use DD.MM.YYYY",IF('_Dates'!T792&lt;'_Dates'!J792,"CHECK end before start",IF(AND($B$6=0,OR('_Dates'!J792&lt;Settings!$B$7,'_Dates'!T792&gt;Settings!$B$8)),"CHECK split across leave years",IF(OR(NOT(OR('_Dates'!U792="Full day",'_Dates'!U792="AM",'_Dates'!U792="PM")),NOT(OR('_Dates'!V792="Full day",'_Dates'!V792="AM",'_Dates'!V792="PM"))),"CHECK Full day / AM / PM",IF(AND('_Dates'!J792='_Dates'!T792,'_Dates'!U792&lt;&gt;"Full day",'_Dates'!V792&lt;&gt;"Full day",'_Dates'!U792&lt;&gt;'_Dates'!V792),"CHECK same-day portions disagree",IF(AND($B$6=0,OR(AND('_Dates'!U792&lt;&gt;"Full day",'_Dates'!AA792=0),AND('_Dates'!V792&lt;&gt;"Full day",'_Dates'!AB792=0))),"CHECK half-day on non-working date",IF(COUNTIF(Settings!$G$7:$G$11,D792)&lt;&gt;1,"CHECK leave type",IF(AND(Bookings!G792&lt;&gt;"Approved",Bookings!G792&lt;&gt;"Pending",Bookings!G792&lt;&gt;"Cancelled"),"CHECK status","OK")))))))))),"CHECK input"))</ns0:f>
        <ns0:v/>
      </ns0:c>
      <ns0:c r="G792" s="0">
        <ns0:f>IF(OR(F792&lt;&gt;"OK",$B$6&gt;0),0,0.5*(IF(('_Dates'!X792)&lt;('_Dates'!W792),0,INT((('_Dates'!X792)-('_Dates'!W792)+1)/7)*LEN(SUBSTITUTE(W792,"O",""))+LEN(SUBSTITUTE(MID(W792&amp;W792,WEEKDAY(('_Dates'!W792),2),MOD((('_Dates'!X792)-('_Dates'!W792)+1),7)),"O",""))-COUNTIFS(INDEX(AllClosureRows,C792,0),"&gt;="&amp;('_Dates'!W792),INDEX(AllClosureRows,C792,0),"&lt;="&amp;('_Dates'!X792)))+IF(('_Dates'!Z792)&lt;('_Dates'!Y792),0,INT((('_Dates'!Z792)-('_Dates'!Y792)+1)/7)*LEN(SUBSTITUTE(W792,"O",""))+LEN(SUBSTITUTE(MID(W792&amp;W792,WEEKDAY(('_Dates'!Y792),2),MOD((('_Dates'!Z792)-('_Dates'!Y792)+1),7)),"O",""))-COUNTIFS(INDEX(AllClosureRows,C792,0),"&gt;="&amp;('_Dates'!Y792),INDEX(AllClosureRows,C792,0),"&lt;="&amp;('_Dates'!Z792)))))</ns0:f>
        <ns0:v>0</ns0:v>
      </ns0:c>
      <ns0:c r="H792" s="0">
        <ns0:f>IF(OR(F792&lt;&gt;"OK",$B$6&gt;0),0,0.5*(IF((MIN('_Dates'!X792,Settings!$B$9))&lt;('_Dates'!W792),0,INT(((MIN('_Dates'!X792,Settings!$B$9))-('_Dates'!W792)+1)/7)*LEN(SUBSTITUTE(W792,"O",""))+LEN(SUBSTITUTE(MID(W792&amp;W792,WEEKDAY(('_Dates'!W792),2),MOD(((MIN('_Dates'!X792,Settings!$B$9))-('_Dates'!W792)+1),7)),"O",""))-COUNTIFS(INDEX(AllClosureRows,C792,0),"&gt;="&amp;('_Dates'!W792),INDEX(AllClosureRows,C792,0),"&lt;="&amp;(MIN('_Dates'!X792,Settings!$B$9))))+IF((MIN('_Dates'!Z792,Settings!$B$9))&lt;('_Dates'!Y792),0,INT(((MIN('_Dates'!Z792,Settings!$B$9))-('_Dates'!Y792)+1)/7)*LEN(SUBSTITUTE(W792,"O",""))+LEN(SUBSTITUTE(MID(W792&amp;W792,WEEKDAY(('_Dates'!Y792),2),MOD(((MIN('_Dates'!Z792,Settings!$B$9))-('_Dates'!Y792)+1),7)),"O",""))-COUNTIFS(INDEX(AllClosureRows,C792,0),"&gt;="&amp;('_Dates'!Y792),INDEX(AllClosureRows,C792,0),"&lt;="&amp;(MIN('_Dates'!Z792,Settings!$B$9))))))</ns0:f>
        <ns0:v>0</ns0:v>
      </ns0:c>
      <ns0:c r="I792" s="0">
        <ns0:f>MAX(0,G792-H792)</ns0:f>
        <ns0:v>0</ns0:v>
      </ns0:c>
      <ns0:c r="J792" s="0">
        <ns0:f>IF(OR(A792=0,F792&lt;&gt;"OK",Bookings!G792="Cancelled",$B$6&gt;0),0,IF('_Dates'!AC792=1,MAX(0,COUNTIFS(rngEngine_B,B792,rngAMStart,"&lt;="&amp;'_Dates'!X792,rngAMEnd,"&gt;="&amp;'_Dates'!W792,rngAMActive,1,rngEngine_F,"OK",rngBookings_F,"&lt;&gt;Cancelled")-1),0)+IF('_Dates'!AD792=1,MAX(0,COUNTIFS(rngEngine_B,B792,rngPMStart,"&lt;="&amp;'_Dates'!Z792,rngPMEnd,"&gt;="&amp;'_Dates'!Y792,rngPMActive,1,rngEngine_F,"OK",rngBookings_F,"&lt;&gt;Cancelled")-1),0))</ns0:f>
        <ns0:v>0</ns0:v>
      </ns0:c>
      <ns0:c r="K792" s="0" t="str">
        <ns0:f>IF(A792=0,"",IF(F792&lt;&gt;"OK",F792,IF(J792&gt;0,"CHECK overlapping entry",IF(AND($B$6=0,G792&lt;=0,Bookings!G792&lt;&gt;"Cancelled"),"CHECK no working days",IF(Bookings!G792="Cancelled","Cancelled","OK")))))</ns0:f>
        <ns0:v/>
      </ns0:c>
      <ns0:c r="L792" s="0">
        <ns0:f>IF(LEFT(K792,5)="CHECK",1,0)</ns0:f>
        <ns0:v>0</ns0:v>
      </ns0:c>
      <ns0:c r="M792" s="0">
        <ns0:f>IF(AND(L792=1,OR(C792=0,IFERROR(INDEX($X$11:$X$60,C792),0)=0)),1,0)</ns0:f>
        <ns0:v>0</ns0:v>
      </ns0:c>
      <ns0:c r="N792" s="0">
        <ns0:f>IF(OR(A792=0,L792&gt;0,$B$6&gt;0,Bookings!G792="Cancelled"),0,G792)</ns0:f>
        <ns0:v>0</ns0:v>
      </ns0:c>
      <ns0:c r="O792" s="0">
        <ns0:f>IF(AND(Bookings!G792="Approved",E792="Yes"),N792,0)</ns0:f>
        <ns0:v>0</ns0:v>
      </ns0:c>
      <ns0:c r="P792" s="0">
        <ns0:f>IF(AND(Bookings!G792="Approved",E792="Yes",L792=0,$B$6=0),H792,0)</ns0:f>
        <ns0:v>0</ns0:v>
      </ns0:c>
      <ns0:c r="Q792" s="0">
        <ns0:f>IF(AND(Bookings!G792="Approved",E792="Yes",L792=0,$B$6=0),I792,0)</ns0:f>
        <ns0:v>0</ns0:v>
      </ns0:c>
      <ns0:c r="R792" s="0">
        <ns0:f>IF(AND(Bookings!G792="Pending",E792="Yes"),N792,0)</ns0:f>
        <ns0:v>0</ns0:v>
      </ns0:c>
      <ns0:c r="S792" s="0">
        <ns0:f>IF(AND(Bookings!G792="Approved",E792="No"),N792,0)</ns0:f>
        <ns0:v>0</ns0:v>
      </ns0:c>
      <ns0:c r="T792" s="0">
        <ns0:f>IFERROR(MATCH(D792,Settings!$G$7:$G$11,0),0)</ns0:f>
        <ns0:v>0</ns0:v>
      </ns0:c>
      <ns0:c r="U792" s="0">
        <ns0:f>IF(N792&gt;0,T792+IF(Bookings!G792="Pending",10,0),0)</ns0:f>
        <ns0:v>0</ns0:v>
      </ns0:c>
      <ns0:c r="V792" s="0">
        <ns0:f>U792</ns0:f>
        <ns0:v>0</ns0:v>
      </ns0:c>
      <ns0:c r="W792" s="0" t="str">
        <ns0:f>IF(C792=0,"",INDEX($AP$11:$AP$60,C792))</ns0:f>
        <ns0:v/>
      </ns0:c>
    </ns0:row>
    <ns0:row r="793">
      <ns0:c r="A793" s="0">
        <ns0:f>IF(COUNTA(Bookings!A793:G793,Bookings!I793)=0,0,1)</ns0:f>
        <ns0:v>0</ns0:v>
      </ns0:c>
      <ns0:c r="B793" s="0" t="str">
        <ns0:f>IFERROR(TRIM(MID(Bookings!A793,FIND(" · ",Bookings!A793)+3,99)),"")</ns0:f>
        <ns0:v/>
      </ns0:c>
      <ns0:c r="C793" s="0">
        <ns0:f>IF(OR(B793="",LEN(B793)&gt;24,ISNUMBER(FIND(" ",B793)),ISNUMBER(FIND("*",B793)),ISNUMBER(FIND("?",B793)),ISNUMBER(FIND("~",B793))),0,IFERROR(MATCH(B793,Team!$A$11:$A$60,0),0))</ns0:f>
        <ns0:v>0</ns0:v>
      </ns0:c>
      <ns0:c r="D793" s="0" t="str">
        <ns0:f>IFERROR(IF(MID(Bookings!F793,LEN(Bookings!F793)-3,3)=" · ",RIGHT(Bookings!F793,1),""),"")</ns0:f>
        <ns0:v/>
      </ns0:c>
      <ns0:c r="E793" s="0" t="str">
        <ns0:f>IFERROR(INDEX(Settings!$H$7:$H$11,MATCH(D793,Settings!$G$7:$G$11,0)),"")</ns0:f>
        <ns0:v/>
      </ns0:c>
      <ns0:c r="F793" s="0" t="str">
        <ns0:f>IF(A793=0,"",IFERROR(IF(OR(B793="",C793=0),"CHECK employee selection",IF(INDEX(Team!$O$11:$O$60,C793)&lt;&gt;"OK","CHECK employee setup",IF(OR('_Dates'!J793=0,'_Dates'!T793=0),"CHECK date: use DD.MM.YYYY",IF('_Dates'!T793&lt;'_Dates'!J793,"CHECK end before start",IF(AND($B$6=0,OR('_Dates'!J793&lt;Settings!$B$7,'_Dates'!T793&gt;Settings!$B$8)),"CHECK split across leave years",IF(OR(NOT(OR('_Dates'!U793="Full day",'_Dates'!U793="AM",'_Dates'!U793="PM")),NOT(OR('_Dates'!V793="Full day",'_Dates'!V793="AM",'_Dates'!V793="PM"))),"CHECK Full day / AM / PM",IF(AND('_Dates'!J793='_Dates'!T793,'_Dates'!U793&lt;&gt;"Full day",'_Dates'!V793&lt;&gt;"Full day",'_Dates'!U793&lt;&gt;'_Dates'!V793),"CHECK same-day portions disagree",IF(AND($B$6=0,OR(AND('_Dates'!U793&lt;&gt;"Full day",'_Dates'!AA793=0),AND('_Dates'!V793&lt;&gt;"Full day",'_Dates'!AB793=0))),"CHECK half-day on non-working date",IF(COUNTIF(Settings!$G$7:$G$11,D793)&lt;&gt;1,"CHECK leave type",IF(AND(Bookings!G793&lt;&gt;"Approved",Bookings!G793&lt;&gt;"Pending",Bookings!G793&lt;&gt;"Cancelled"),"CHECK status","OK")))))))))),"CHECK input"))</ns0:f>
        <ns0:v/>
      </ns0:c>
      <ns0:c r="G793" s="0">
        <ns0:f>IF(OR(F793&lt;&gt;"OK",$B$6&gt;0),0,0.5*(IF(('_Dates'!X793)&lt;('_Dates'!W793),0,INT((('_Dates'!X793)-('_Dates'!W793)+1)/7)*LEN(SUBSTITUTE(W793,"O",""))+LEN(SUBSTITUTE(MID(W793&amp;W793,WEEKDAY(('_Dates'!W793),2),MOD((('_Dates'!X793)-('_Dates'!W793)+1),7)),"O",""))-COUNTIFS(INDEX(AllClosureRows,C793,0),"&gt;="&amp;('_Dates'!W793),INDEX(AllClosureRows,C793,0),"&lt;="&amp;('_Dates'!X793)))+IF(('_Dates'!Z793)&lt;('_Dates'!Y793),0,INT((('_Dates'!Z793)-('_Dates'!Y793)+1)/7)*LEN(SUBSTITUTE(W793,"O",""))+LEN(SUBSTITUTE(MID(W793&amp;W793,WEEKDAY(('_Dates'!Y793),2),MOD((('_Dates'!Z793)-('_Dates'!Y793)+1),7)),"O",""))-COUNTIFS(INDEX(AllClosureRows,C793,0),"&gt;="&amp;('_Dates'!Y793),INDEX(AllClosureRows,C793,0),"&lt;="&amp;('_Dates'!Z793)))))</ns0:f>
        <ns0:v>0</ns0:v>
      </ns0:c>
      <ns0:c r="H793" s="0">
        <ns0:f>IF(OR(F793&lt;&gt;"OK",$B$6&gt;0),0,0.5*(IF((MIN('_Dates'!X793,Settings!$B$9))&lt;('_Dates'!W793),0,INT(((MIN('_Dates'!X793,Settings!$B$9))-('_Dates'!W793)+1)/7)*LEN(SUBSTITUTE(W793,"O",""))+LEN(SUBSTITUTE(MID(W793&amp;W793,WEEKDAY(('_Dates'!W793),2),MOD(((MIN('_Dates'!X793,Settings!$B$9))-('_Dates'!W793)+1),7)),"O",""))-COUNTIFS(INDEX(AllClosureRows,C793,0),"&gt;="&amp;('_Dates'!W793),INDEX(AllClosureRows,C793,0),"&lt;="&amp;(MIN('_Dates'!X793,Settings!$B$9))))+IF((MIN('_Dates'!Z793,Settings!$B$9))&lt;('_Dates'!Y793),0,INT(((MIN('_Dates'!Z793,Settings!$B$9))-('_Dates'!Y793)+1)/7)*LEN(SUBSTITUTE(W793,"O",""))+LEN(SUBSTITUTE(MID(W793&amp;W793,WEEKDAY(('_Dates'!Y793),2),MOD(((MIN('_Dates'!Z793,Settings!$B$9))-('_Dates'!Y793)+1),7)),"O",""))-COUNTIFS(INDEX(AllClosureRows,C793,0),"&gt;="&amp;('_Dates'!Y793),INDEX(AllClosureRows,C793,0),"&lt;="&amp;(MIN('_Dates'!Z793,Settings!$B$9))))))</ns0:f>
        <ns0:v>0</ns0:v>
      </ns0:c>
      <ns0:c r="I793" s="0">
        <ns0:f>MAX(0,G793-H793)</ns0:f>
        <ns0:v>0</ns0:v>
      </ns0:c>
      <ns0:c r="J793" s="0">
        <ns0:f>IF(OR(A793=0,F793&lt;&gt;"OK",Bookings!G793="Cancelled",$B$6&gt;0),0,IF('_Dates'!AC793=1,MAX(0,COUNTIFS(rngEngine_B,B793,rngAMStart,"&lt;="&amp;'_Dates'!X793,rngAMEnd,"&gt;="&amp;'_Dates'!W793,rngAMActive,1,rngEngine_F,"OK",rngBookings_F,"&lt;&gt;Cancelled")-1),0)+IF('_Dates'!AD793=1,MAX(0,COUNTIFS(rngEngine_B,B793,rngPMStart,"&lt;="&amp;'_Dates'!Z793,rngPMEnd,"&gt;="&amp;'_Dates'!Y793,rngPMActive,1,rngEngine_F,"OK",rngBookings_F,"&lt;&gt;Cancelled")-1),0))</ns0:f>
        <ns0:v>0</ns0:v>
      </ns0:c>
      <ns0:c r="K793" s="0" t="str">
        <ns0:f>IF(A793=0,"",IF(F793&lt;&gt;"OK",F793,IF(J793&gt;0,"CHECK overlapping entry",IF(AND($B$6=0,G793&lt;=0,Bookings!G793&lt;&gt;"Cancelled"),"CHECK no working days",IF(Bookings!G793="Cancelled","Cancelled","OK")))))</ns0:f>
        <ns0:v/>
      </ns0:c>
      <ns0:c r="L793" s="0">
        <ns0:f>IF(LEFT(K793,5)="CHECK",1,0)</ns0:f>
        <ns0:v>0</ns0:v>
      </ns0:c>
      <ns0:c r="M793" s="0">
        <ns0:f>IF(AND(L793=1,OR(C793=0,IFERROR(INDEX($X$11:$X$60,C793),0)=0)),1,0)</ns0:f>
        <ns0:v>0</ns0:v>
      </ns0:c>
      <ns0:c r="N793" s="0">
        <ns0:f>IF(OR(A793=0,L793&gt;0,$B$6&gt;0,Bookings!G793="Cancelled"),0,G793)</ns0:f>
        <ns0:v>0</ns0:v>
      </ns0:c>
      <ns0:c r="O793" s="0">
        <ns0:f>IF(AND(Bookings!G793="Approved",E793="Yes"),N793,0)</ns0:f>
        <ns0:v>0</ns0:v>
      </ns0:c>
      <ns0:c r="P793" s="0">
        <ns0:f>IF(AND(Bookings!G793="Approved",E793="Yes",L793=0,$B$6=0),H793,0)</ns0:f>
        <ns0:v>0</ns0:v>
      </ns0:c>
      <ns0:c r="Q793" s="0">
        <ns0:f>IF(AND(Bookings!G793="Approved",E793="Yes",L793=0,$B$6=0),I793,0)</ns0:f>
        <ns0:v>0</ns0:v>
      </ns0:c>
      <ns0:c r="R793" s="0">
        <ns0:f>IF(AND(Bookings!G793="Pending",E793="Yes"),N793,0)</ns0:f>
        <ns0:v>0</ns0:v>
      </ns0:c>
      <ns0:c r="S793" s="0">
        <ns0:f>IF(AND(Bookings!G793="Approved",E793="No"),N793,0)</ns0:f>
        <ns0:v>0</ns0:v>
      </ns0:c>
      <ns0:c r="T793" s="0">
        <ns0:f>IFERROR(MATCH(D793,Settings!$G$7:$G$11,0),0)</ns0:f>
        <ns0:v>0</ns0:v>
      </ns0:c>
      <ns0:c r="U793" s="0">
        <ns0:f>IF(N793&gt;0,T793+IF(Bookings!G793="Pending",10,0),0)</ns0:f>
        <ns0:v>0</ns0:v>
      </ns0:c>
      <ns0:c r="V793" s="0">
        <ns0:f>U793</ns0:f>
        <ns0:v>0</ns0:v>
      </ns0:c>
      <ns0:c r="W793" s="0" t="str">
        <ns0:f>IF(C793=0,"",INDEX($AP$11:$AP$60,C793))</ns0:f>
        <ns0:v/>
      </ns0:c>
    </ns0:row>
    <ns0:row r="794">
      <ns0:c r="A794" s="0">
        <ns0:f>IF(COUNTA(Bookings!A794:G794,Bookings!I794)=0,0,1)</ns0:f>
        <ns0:v>0</ns0:v>
      </ns0:c>
      <ns0:c r="B794" s="0" t="str">
        <ns0:f>IFERROR(TRIM(MID(Bookings!A794,FIND(" · ",Bookings!A794)+3,99)),"")</ns0:f>
        <ns0:v/>
      </ns0:c>
      <ns0:c r="C794" s="0">
        <ns0:f>IF(OR(B794="",LEN(B794)&gt;24,ISNUMBER(FIND(" ",B794)),ISNUMBER(FIND("*",B794)),ISNUMBER(FIND("?",B794)),ISNUMBER(FIND("~",B794))),0,IFERROR(MATCH(B794,Team!$A$11:$A$60,0),0))</ns0:f>
        <ns0:v>0</ns0:v>
      </ns0:c>
      <ns0:c r="D794" s="0" t="str">
        <ns0:f>IFERROR(IF(MID(Bookings!F794,LEN(Bookings!F794)-3,3)=" · ",RIGHT(Bookings!F794,1),""),"")</ns0:f>
        <ns0:v/>
      </ns0:c>
      <ns0:c r="E794" s="0" t="str">
        <ns0:f>IFERROR(INDEX(Settings!$H$7:$H$11,MATCH(D794,Settings!$G$7:$G$11,0)),"")</ns0:f>
        <ns0:v/>
      </ns0:c>
      <ns0:c r="F794" s="0" t="str">
        <ns0:f>IF(A794=0,"",IFERROR(IF(OR(B794="",C794=0),"CHECK employee selection",IF(INDEX(Team!$O$11:$O$60,C794)&lt;&gt;"OK","CHECK employee setup",IF(OR('_Dates'!J794=0,'_Dates'!T794=0),"CHECK date: use DD.MM.YYYY",IF('_Dates'!T794&lt;'_Dates'!J794,"CHECK end before start",IF(AND($B$6=0,OR('_Dates'!J794&lt;Settings!$B$7,'_Dates'!T794&gt;Settings!$B$8)),"CHECK split across leave years",IF(OR(NOT(OR('_Dates'!U794="Full day",'_Dates'!U794="AM",'_Dates'!U794="PM")),NOT(OR('_Dates'!V794="Full day",'_Dates'!V794="AM",'_Dates'!V794="PM"))),"CHECK Full day / AM / PM",IF(AND('_Dates'!J794='_Dates'!T794,'_Dates'!U794&lt;&gt;"Full day",'_Dates'!V794&lt;&gt;"Full day",'_Dates'!U794&lt;&gt;'_Dates'!V794),"CHECK same-day portions disagree",IF(AND($B$6=0,OR(AND('_Dates'!U794&lt;&gt;"Full day",'_Dates'!AA794=0),AND('_Dates'!V794&lt;&gt;"Full day",'_Dates'!AB794=0))),"CHECK half-day on non-working date",IF(COUNTIF(Settings!$G$7:$G$11,D794)&lt;&gt;1,"CHECK leave type",IF(AND(Bookings!G794&lt;&gt;"Approved",Bookings!G794&lt;&gt;"Pending",Bookings!G794&lt;&gt;"Cancelled"),"CHECK status","OK")))))))))),"CHECK input"))</ns0:f>
        <ns0:v/>
      </ns0:c>
      <ns0:c r="G794" s="0">
        <ns0:f>IF(OR(F794&lt;&gt;"OK",$B$6&gt;0),0,0.5*(IF(('_Dates'!X794)&lt;('_Dates'!W794),0,INT((('_Dates'!X794)-('_Dates'!W794)+1)/7)*LEN(SUBSTITUTE(W794,"O",""))+LEN(SUBSTITUTE(MID(W794&amp;W794,WEEKDAY(('_Dates'!W794),2),MOD((('_Dates'!X794)-('_Dates'!W794)+1),7)),"O",""))-COUNTIFS(INDEX(AllClosureRows,C794,0),"&gt;="&amp;('_Dates'!W794),INDEX(AllClosureRows,C794,0),"&lt;="&amp;('_Dates'!X794)))+IF(('_Dates'!Z794)&lt;('_Dates'!Y794),0,INT((('_Dates'!Z794)-('_Dates'!Y794)+1)/7)*LEN(SUBSTITUTE(W794,"O",""))+LEN(SUBSTITUTE(MID(W794&amp;W794,WEEKDAY(('_Dates'!Y794),2),MOD((('_Dates'!Z794)-('_Dates'!Y794)+1),7)),"O",""))-COUNTIFS(INDEX(AllClosureRows,C794,0),"&gt;="&amp;('_Dates'!Y794),INDEX(AllClosureRows,C794,0),"&lt;="&amp;('_Dates'!Z794)))))</ns0:f>
        <ns0:v>0</ns0:v>
      </ns0:c>
      <ns0:c r="H794" s="0">
        <ns0:f>IF(OR(F794&lt;&gt;"OK",$B$6&gt;0),0,0.5*(IF((MIN('_Dates'!X794,Settings!$B$9))&lt;('_Dates'!W794),0,INT(((MIN('_Dates'!X794,Settings!$B$9))-('_Dates'!W794)+1)/7)*LEN(SUBSTITUTE(W794,"O",""))+LEN(SUBSTITUTE(MID(W794&amp;W794,WEEKDAY(('_Dates'!W794),2),MOD(((MIN('_Dates'!X794,Settings!$B$9))-('_Dates'!W794)+1),7)),"O",""))-COUNTIFS(INDEX(AllClosureRows,C794,0),"&gt;="&amp;('_Dates'!W794),INDEX(AllClosureRows,C794,0),"&lt;="&amp;(MIN('_Dates'!X794,Settings!$B$9))))+IF((MIN('_Dates'!Z794,Settings!$B$9))&lt;('_Dates'!Y794),0,INT(((MIN('_Dates'!Z794,Settings!$B$9))-('_Dates'!Y794)+1)/7)*LEN(SUBSTITUTE(W794,"O",""))+LEN(SUBSTITUTE(MID(W794&amp;W794,WEEKDAY(('_Dates'!Y794),2),MOD(((MIN('_Dates'!Z794,Settings!$B$9))-('_Dates'!Y794)+1),7)),"O",""))-COUNTIFS(INDEX(AllClosureRows,C794,0),"&gt;="&amp;('_Dates'!Y794),INDEX(AllClosureRows,C794,0),"&lt;="&amp;(MIN('_Dates'!Z794,Settings!$B$9))))))</ns0:f>
        <ns0:v>0</ns0:v>
      </ns0:c>
      <ns0:c r="I794" s="0">
        <ns0:f>MAX(0,G794-H794)</ns0:f>
        <ns0:v>0</ns0:v>
      </ns0:c>
      <ns0:c r="J794" s="0">
        <ns0:f>IF(OR(A794=0,F794&lt;&gt;"OK",Bookings!G794="Cancelled",$B$6&gt;0),0,IF('_Dates'!AC794=1,MAX(0,COUNTIFS(rngEngine_B,B794,rngAMStart,"&lt;="&amp;'_Dates'!X794,rngAMEnd,"&gt;="&amp;'_Dates'!W794,rngAMActive,1,rngEngine_F,"OK",rngBookings_F,"&lt;&gt;Cancelled")-1),0)+IF('_Dates'!AD794=1,MAX(0,COUNTIFS(rngEngine_B,B794,rngPMStart,"&lt;="&amp;'_Dates'!Z794,rngPMEnd,"&gt;="&amp;'_Dates'!Y794,rngPMActive,1,rngEngine_F,"OK",rngBookings_F,"&lt;&gt;Cancelled")-1),0))</ns0:f>
        <ns0:v>0</ns0:v>
      </ns0:c>
      <ns0:c r="K794" s="0" t="str">
        <ns0:f>IF(A794=0,"",IF(F794&lt;&gt;"OK",F794,IF(J794&gt;0,"CHECK overlapping entry",IF(AND($B$6=0,G794&lt;=0,Bookings!G794&lt;&gt;"Cancelled"),"CHECK no working days",IF(Bookings!G794="Cancelled","Cancelled","OK")))))</ns0:f>
        <ns0:v/>
      </ns0:c>
      <ns0:c r="L794" s="0">
        <ns0:f>IF(LEFT(K794,5)="CHECK",1,0)</ns0:f>
        <ns0:v>0</ns0:v>
      </ns0:c>
      <ns0:c r="M794" s="0">
        <ns0:f>IF(AND(L794=1,OR(C794=0,IFERROR(INDEX($X$11:$X$60,C794),0)=0)),1,0)</ns0:f>
        <ns0:v>0</ns0:v>
      </ns0:c>
      <ns0:c r="N794" s="0">
        <ns0:f>IF(OR(A794=0,L794&gt;0,$B$6&gt;0,Bookings!G794="Cancelled"),0,G794)</ns0:f>
        <ns0:v>0</ns0:v>
      </ns0:c>
      <ns0:c r="O794" s="0">
        <ns0:f>IF(AND(Bookings!G794="Approved",E794="Yes"),N794,0)</ns0:f>
        <ns0:v>0</ns0:v>
      </ns0:c>
      <ns0:c r="P794" s="0">
        <ns0:f>IF(AND(Bookings!G794="Approved",E794="Yes",L794=0,$B$6=0),H794,0)</ns0:f>
        <ns0:v>0</ns0:v>
      </ns0:c>
      <ns0:c r="Q794" s="0">
        <ns0:f>IF(AND(Bookings!G794="Approved",E794="Yes",L794=0,$B$6=0),I794,0)</ns0:f>
        <ns0:v>0</ns0:v>
      </ns0:c>
      <ns0:c r="R794" s="0">
        <ns0:f>IF(AND(Bookings!G794="Pending",E794="Yes"),N794,0)</ns0:f>
        <ns0:v>0</ns0:v>
      </ns0:c>
      <ns0:c r="S794" s="0">
        <ns0:f>IF(AND(Bookings!G794="Approved",E794="No"),N794,0)</ns0:f>
        <ns0:v>0</ns0:v>
      </ns0:c>
      <ns0:c r="T794" s="0">
        <ns0:f>IFERROR(MATCH(D794,Settings!$G$7:$G$11,0),0)</ns0:f>
        <ns0:v>0</ns0:v>
      </ns0:c>
      <ns0:c r="U794" s="0">
        <ns0:f>IF(N794&gt;0,T794+IF(Bookings!G794="Pending",10,0),0)</ns0:f>
        <ns0:v>0</ns0:v>
      </ns0:c>
      <ns0:c r="V794" s="0">
        <ns0:f>U794</ns0:f>
        <ns0:v>0</ns0:v>
      </ns0:c>
      <ns0:c r="W794" s="0" t="str">
        <ns0:f>IF(C794=0,"",INDEX($AP$11:$AP$60,C794))</ns0:f>
        <ns0:v/>
      </ns0:c>
    </ns0:row>
    <ns0:row r="795">
      <ns0:c r="A795" s="0">
        <ns0:f>IF(COUNTA(Bookings!A795:G795,Bookings!I795)=0,0,1)</ns0:f>
        <ns0:v>0</ns0:v>
      </ns0:c>
      <ns0:c r="B795" s="0" t="str">
        <ns0:f>IFERROR(TRIM(MID(Bookings!A795,FIND(" · ",Bookings!A795)+3,99)),"")</ns0:f>
        <ns0:v/>
      </ns0:c>
      <ns0:c r="C795" s="0">
        <ns0:f>IF(OR(B795="",LEN(B795)&gt;24,ISNUMBER(FIND(" ",B795)),ISNUMBER(FIND("*",B795)),ISNUMBER(FIND("?",B795)),ISNUMBER(FIND("~",B795))),0,IFERROR(MATCH(B795,Team!$A$11:$A$60,0),0))</ns0:f>
        <ns0:v>0</ns0:v>
      </ns0:c>
      <ns0:c r="D795" s="0" t="str">
        <ns0:f>IFERROR(IF(MID(Bookings!F795,LEN(Bookings!F795)-3,3)=" · ",RIGHT(Bookings!F795,1),""),"")</ns0:f>
        <ns0:v/>
      </ns0:c>
      <ns0:c r="E795" s="0" t="str">
        <ns0:f>IFERROR(INDEX(Settings!$H$7:$H$11,MATCH(D795,Settings!$G$7:$G$11,0)),"")</ns0:f>
        <ns0:v/>
      </ns0:c>
      <ns0:c r="F795" s="0" t="str">
        <ns0:f>IF(A795=0,"",IFERROR(IF(OR(B795="",C795=0),"CHECK employee selection",IF(INDEX(Team!$O$11:$O$60,C795)&lt;&gt;"OK","CHECK employee setup",IF(OR('_Dates'!J795=0,'_Dates'!T795=0),"CHECK date: use DD.MM.YYYY",IF('_Dates'!T795&lt;'_Dates'!J795,"CHECK end before start",IF(AND($B$6=0,OR('_Dates'!J795&lt;Settings!$B$7,'_Dates'!T795&gt;Settings!$B$8)),"CHECK split across leave years",IF(OR(NOT(OR('_Dates'!U795="Full day",'_Dates'!U795="AM",'_Dates'!U795="PM")),NOT(OR('_Dates'!V795="Full day",'_Dates'!V795="AM",'_Dates'!V795="PM"))),"CHECK Full day / AM / PM",IF(AND('_Dates'!J795='_Dates'!T795,'_Dates'!U795&lt;&gt;"Full day",'_Dates'!V795&lt;&gt;"Full day",'_Dates'!U795&lt;&gt;'_Dates'!V795),"CHECK same-day portions disagree",IF(AND($B$6=0,OR(AND('_Dates'!U795&lt;&gt;"Full day",'_Dates'!AA795=0),AND('_Dates'!V795&lt;&gt;"Full day",'_Dates'!AB795=0))),"CHECK half-day on non-working date",IF(COUNTIF(Settings!$G$7:$G$11,D795)&lt;&gt;1,"CHECK leave type",IF(AND(Bookings!G795&lt;&gt;"Approved",Bookings!G795&lt;&gt;"Pending",Bookings!G795&lt;&gt;"Cancelled"),"CHECK status","OK")))))))))),"CHECK input"))</ns0:f>
        <ns0:v/>
      </ns0:c>
      <ns0:c r="G795" s="0">
        <ns0:f>IF(OR(F795&lt;&gt;"OK",$B$6&gt;0),0,0.5*(IF(('_Dates'!X795)&lt;('_Dates'!W795),0,INT((('_Dates'!X795)-('_Dates'!W795)+1)/7)*LEN(SUBSTITUTE(W795,"O",""))+LEN(SUBSTITUTE(MID(W795&amp;W795,WEEKDAY(('_Dates'!W795),2),MOD((('_Dates'!X795)-('_Dates'!W795)+1),7)),"O",""))-COUNTIFS(INDEX(AllClosureRows,C795,0),"&gt;="&amp;('_Dates'!W795),INDEX(AllClosureRows,C795,0),"&lt;="&amp;('_Dates'!X795)))+IF(('_Dates'!Z795)&lt;('_Dates'!Y795),0,INT((('_Dates'!Z795)-('_Dates'!Y795)+1)/7)*LEN(SUBSTITUTE(W795,"O",""))+LEN(SUBSTITUTE(MID(W795&amp;W795,WEEKDAY(('_Dates'!Y795),2),MOD((('_Dates'!Z795)-('_Dates'!Y795)+1),7)),"O",""))-COUNTIFS(INDEX(AllClosureRows,C795,0),"&gt;="&amp;('_Dates'!Y795),INDEX(AllClosureRows,C795,0),"&lt;="&amp;('_Dates'!Z795)))))</ns0:f>
        <ns0:v>0</ns0:v>
      </ns0:c>
      <ns0:c r="H795" s="0">
        <ns0:f>IF(OR(F795&lt;&gt;"OK",$B$6&gt;0),0,0.5*(IF((MIN('_Dates'!X795,Settings!$B$9))&lt;('_Dates'!W795),0,INT(((MIN('_Dates'!X795,Settings!$B$9))-('_Dates'!W795)+1)/7)*LEN(SUBSTITUTE(W795,"O",""))+LEN(SUBSTITUTE(MID(W795&amp;W795,WEEKDAY(('_Dates'!W795),2),MOD(((MIN('_Dates'!X795,Settings!$B$9))-('_Dates'!W795)+1),7)),"O",""))-COUNTIFS(INDEX(AllClosureRows,C795,0),"&gt;="&amp;('_Dates'!W795),INDEX(AllClosureRows,C795,0),"&lt;="&amp;(MIN('_Dates'!X795,Settings!$B$9))))+IF((MIN('_Dates'!Z795,Settings!$B$9))&lt;('_Dates'!Y795),0,INT(((MIN('_Dates'!Z795,Settings!$B$9))-('_Dates'!Y795)+1)/7)*LEN(SUBSTITUTE(W795,"O",""))+LEN(SUBSTITUTE(MID(W795&amp;W795,WEEKDAY(('_Dates'!Y795),2),MOD(((MIN('_Dates'!Z795,Settings!$B$9))-('_Dates'!Y795)+1),7)),"O",""))-COUNTIFS(INDEX(AllClosureRows,C795,0),"&gt;="&amp;('_Dates'!Y795),INDEX(AllClosureRows,C795,0),"&lt;="&amp;(MIN('_Dates'!Z795,Settings!$B$9))))))</ns0:f>
        <ns0:v>0</ns0:v>
      </ns0:c>
      <ns0:c r="I795" s="0">
        <ns0:f>MAX(0,G795-H795)</ns0:f>
        <ns0:v>0</ns0:v>
      </ns0:c>
      <ns0:c r="J795" s="0">
        <ns0:f>IF(OR(A795=0,F795&lt;&gt;"OK",Bookings!G795="Cancelled",$B$6&gt;0),0,IF('_Dates'!AC795=1,MAX(0,COUNTIFS(rngEngine_B,B795,rngAMStart,"&lt;="&amp;'_Dates'!X795,rngAMEnd,"&gt;="&amp;'_Dates'!W795,rngAMActive,1,rngEngine_F,"OK",rngBookings_F,"&lt;&gt;Cancelled")-1),0)+IF('_Dates'!AD795=1,MAX(0,COUNTIFS(rngEngine_B,B795,rngPMStart,"&lt;="&amp;'_Dates'!Z795,rngPMEnd,"&gt;="&amp;'_Dates'!Y795,rngPMActive,1,rngEngine_F,"OK",rngBookings_F,"&lt;&gt;Cancelled")-1),0))</ns0:f>
        <ns0:v>0</ns0:v>
      </ns0:c>
      <ns0:c r="K795" s="0" t="str">
        <ns0:f>IF(A795=0,"",IF(F795&lt;&gt;"OK",F795,IF(J795&gt;0,"CHECK overlapping entry",IF(AND($B$6=0,G795&lt;=0,Bookings!G795&lt;&gt;"Cancelled"),"CHECK no working days",IF(Bookings!G795="Cancelled","Cancelled","OK")))))</ns0:f>
        <ns0:v/>
      </ns0:c>
      <ns0:c r="L795" s="0">
        <ns0:f>IF(LEFT(K795,5)="CHECK",1,0)</ns0:f>
        <ns0:v>0</ns0:v>
      </ns0:c>
      <ns0:c r="M795" s="0">
        <ns0:f>IF(AND(L795=1,OR(C795=0,IFERROR(INDEX($X$11:$X$60,C795),0)=0)),1,0)</ns0:f>
        <ns0:v>0</ns0:v>
      </ns0:c>
      <ns0:c r="N795" s="0">
        <ns0:f>IF(OR(A795=0,L795&gt;0,$B$6&gt;0,Bookings!G795="Cancelled"),0,G795)</ns0:f>
        <ns0:v>0</ns0:v>
      </ns0:c>
      <ns0:c r="O795" s="0">
        <ns0:f>IF(AND(Bookings!G795="Approved",E795="Yes"),N795,0)</ns0:f>
        <ns0:v>0</ns0:v>
      </ns0:c>
      <ns0:c r="P795" s="0">
        <ns0:f>IF(AND(Bookings!G795="Approved",E795="Yes",L795=0,$B$6=0),H795,0)</ns0:f>
        <ns0:v>0</ns0:v>
      </ns0:c>
      <ns0:c r="Q795" s="0">
        <ns0:f>IF(AND(Bookings!G795="Approved",E795="Yes",L795=0,$B$6=0),I795,0)</ns0:f>
        <ns0:v>0</ns0:v>
      </ns0:c>
      <ns0:c r="R795" s="0">
        <ns0:f>IF(AND(Bookings!G795="Pending",E795="Yes"),N795,0)</ns0:f>
        <ns0:v>0</ns0:v>
      </ns0:c>
      <ns0:c r="S795" s="0">
        <ns0:f>IF(AND(Bookings!G795="Approved",E795="No"),N795,0)</ns0:f>
        <ns0:v>0</ns0:v>
      </ns0:c>
      <ns0:c r="T795" s="0">
        <ns0:f>IFERROR(MATCH(D795,Settings!$G$7:$G$11,0),0)</ns0:f>
        <ns0:v>0</ns0:v>
      </ns0:c>
      <ns0:c r="U795" s="0">
        <ns0:f>IF(N795&gt;0,T795+IF(Bookings!G795="Pending",10,0),0)</ns0:f>
        <ns0:v>0</ns0:v>
      </ns0:c>
      <ns0:c r="V795" s="0">
        <ns0:f>U795</ns0:f>
        <ns0:v>0</ns0:v>
      </ns0:c>
      <ns0:c r="W795" s="0" t="str">
        <ns0:f>IF(C795=0,"",INDEX($AP$11:$AP$60,C795))</ns0:f>
        <ns0:v/>
      </ns0:c>
    </ns0:row>
    <ns0:row r="796">
      <ns0:c r="A796" s="0">
        <ns0:f>IF(COUNTA(Bookings!A796:G796,Bookings!I796)=0,0,1)</ns0:f>
        <ns0:v>0</ns0:v>
      </ns0:c>
      <ns0:c r="B796" s="0" t="str">
        <ns0:f>IFERROR(TRIM(MID(Bookings!A796,FIND(" · ",Bookings!A796)+3,99)),"")</ns0:f>
        <ns0:v/>
      </ns0:c>
      <ns0:c r="C796" s="0">
        <ns0:f>IF(OR(B796="",LEN(B796)&gt;24,ISNUMBER(FIND(" ",B796)),ISNUMBER(FIND("*",B796)),ISNUMBER(FIND("?",B796)),ISNUMBER(FIND("~",B796))),0,IFERROR(MATCH(B796,Team!$A$11:$A$60,0),0))</ns0:f>
        <ns0:v>0</ns0:v>
      </ns0:c>
      <ns0:c r="D796" s="0" t="str">
        <ns0:f>IFERROR(IF(MID(Bookings!F796,LEN(Bookings!F796)-3,3)=" · ",RIGHT(Bookings!F796,1),""),"")</ns0:f>
        <ns0:v/>
      </ns0:c>
      <ns0:c r="E796" s="0" t="str">
        <ns0:f>IFERROR(INDEX(Settings!$H$7:$H$11,MATCH(D796,Settings!$G$7:$G$11,0)),"")</ns0:f>
        <ns0:v/>
      </ns0:c>
      <ns0:c r="F796" s="0" t="str">
        <ns0:f>IF(A796=0,"",IFERROR(IF(OR(B796="",C796=0),"CHECK employee selection",IF(INDEX(Team!$O$11:$O$60,C796)&lt;&gt;"OK","CHECK employee setup",IF(OR('_Dates'!J796=0,'_Dates'!T796=0),"CHECK date: use DD.MM.YYYY",IF('_Dates'!T796&lt;'_Dates'!J796,"CHECK end before start",IF(AND($B$6=0,OR('_Dates'!J796&lt;Settings!$B$7,'_Dates'!T796&gt;Settings!$B$8)),"CHECK split across leave years",IF(OR(NOT(OR('_Dates'!U796="Full day",'_Dates'!U796="AM",'_Dates'!U796="PM")),NOT(OR('_Dates'!V796="Full day",'_Dates'!V796="AM",'_Dates'!V796="PM"))),"CHECK Full day / AM / PM",IF(AND('_Dates'!J796='_Dates'!T796,'_Dates'!U796&lt;&gt;"Full day",'_Dates'!V796&lt;&gt;"Full day",'_Dates'!U796&lt;&gt;'_Dates'!V796),"CHECK same-day portions disagree",IF(AND($B$6=0,OR(AND('_Dates'!U796&lt;&gt;"Full day",'_Dates'!AA796=0),AND('_Dates'!V796&lt;&gt;"Full day",'_Dates'!AB796=0))),"CHECK half-day on non-working date",IF(COUNTIF(Settings!$G$7:$G$11,D796)&lt;&gt;1,"CHECK leave type",IF(AND(Bookings!G796&lt;&gt;"Approved",Bookings!G796&lt;&gt;"Pending",Bookings!G796&lt;&gt;"Cancelled"),"CHECK status","OK")))))))))),"CHECK input"))</ns0:f>
        <ns0:v/>
      </ns0:c>
      <ns0:c r="G796" s="0">
        <ns0:f>IF(OR(F796&lt;&gt;"OK",$B$6&gt;0),0,0.5*(IF(('_Dates'!X796)&lt;('_Dates'!W796),0,INT((('_Dates'!X796)-('_Dates'!W796)+1)/7)*LEN(SUBSTITUTE(W796,"O",""))+LEN(SUBSTITUTE(MID(W796&amp;W796,WEEKDAY(('_Dates'!W796),2),MOD((('_Dates'!X796)-('_Dates'!W796)+1),7)),"O",""))-COUNTIFS(INDEX(AllClosureRows,C796,0),"&gt;="&amp;('_Dates'!W796),INDEX(AllClosureRows,C796,0),"&lt;="&amp;('_Dates'!X796)))+IF(('_Dates'!Z796)&lt;('_Dates'!Y796),0,INT((('_Dates'!Z796)-('_Dates'!Y796)+1)/7)*LEN(SUBSTITUTE(W796,"O",""))+LEN(SUBSTITUTE(MID(W796&amp;W796,WEEKDAY(('_Dates'!Y796),2),MOD((('_Dates'!Z796)-('_Dates'!Y796)+1),7)),"O",""))-COUNTIFS(INDEX(AllClosureRows,C796,0),"&gt;="&amp;('_Dates'!Y796),INDEX(AllClosureRows,C796,0),"&lt;="&amp;('_Dates'!Z796)))))</ns0:f>
        <ns0:v>0</ns0:v>
      </ns0:c>
      <ns0:c r="H796" s="0">
        <ns0:f>IF(OR(F796&lt;&gt;"OK",$B$6&gt;0),0,0.5*(IF((MIN('_Dates'!X796,Settings!$B$9))&lt;('_Dates'!W796),0,INT(((MIN('_Dates'!X796,Settings!$B$9))-('_Dates'!W796)+1)/7)*LEN(SUBSTITUTE(W796,"O",""))+LEN(SUBSTITUTE(MID(W796&amp;W796,WEEKDAY(('_Dates'!W796),2),MOD(((MIN('_Dates'!X796,Settings!$B$9))-('_Dates'!W796)+1),7)),"O",""))-COUNTIFS(INDEX(AllClosureRows,C796,0),"&gt;="&amp;('_Dates'!W796),INDEX(AllClosureRows,C796,0),"&lt;="&amp;(MIN('_Dates'!X796,Settings!$B$9))))+IF((MIN('_Dates'!Z796,Settings!$B$9))&lt;('_Dates'!Y796),0,INT(((MIN('_Dates'!Z796,Settings!$B$9))-('_Dates'!Y796)+1)/7)*LEN(SUBSTITUTE(W796,"O",""))+LEN(SUBSTITUTE(MID(W796&amp;W796,WEEKDAY(('_Dates'!Y796),2),MOD(((MIN('_Dates'!Z796,Settings!$B$9))-('_Dates'!Y796)+1),7)),"O",""))-COUNTIFS(INDEX(AllClosureRows,C796,0),"&gt;="&amp;('_Dates'!Y796),INDEX(AllClosureRows,C796,0),"&lt;="&amp;(MIN('_Dates'!Z796,Settings!$B$9))))))</ns0:f>
        <ns0:v>0</ns0:v>
      </ns0:c>
      <ns0:c r="I796" s="0">
        <ns0:f>MAX(0,G796-H796)</ns0:f>
        <ns0:v>0</ns0:v>
      </ns0:c>
      <ns0:c r="J796" s="0">
        <ns0:f>IF(OR(A796=0,F796&lt;&gt;"OK",Bookings!G796="Cancelled",$B$6&gt;0),0,IF('_Dates'!AC796=1,MAX(0,COUNTIFS(rngEngine_B,B796,rngAMStart,"&lt;="&amp;'_Dates'!X796,rngAMEnd,"&gt;="&amp;'_Dates'!W796,rngAMActive,1,rngEngine_F,"OK",rngBookings_F,"&lt;&gt;Cancelled")-1),0)+IF('_Dates'!AD796=1,MAX(0,COUNTIFS(rngEngine_B,B796,rngPMStart,"&lt;="&amp;'_Dates'!Z796,rngPMEnd,"&gt;="&amp;'_Dates'!Y796,rngPMActive,1,rngEngine_F,"OK",rngBookings_F,"&lt;&gt;Cancelled")-1),0))</ns0:f>
        <ns0:v>0</ns0:v>
      </ns0:c>
      <ns0:c r="K796" s="0" t="str">
        <ns0:f>IF(A796=0,"",IF(F796&lt;&gt;"OK",F796,IF(J796&gt;0,"CHECK overlapping entry",IF(AND($B$6=0,G796&lt;=0,Bookings!G796&lt;&gt;"Cancelled"),"CHECK no working days",IF(Bookings!G796="Cancelled","Cancelled","OK")))))</ns0:f>
        <ns0:v/>
      </ns0:c>
      <ns0:c r="L796" s="0">
        <ns0:f>IF(LEFT(K796,5)="CHECK",1,0)</ns0:f>
        <ns0:v>0</ns0:v>
      </ns0:c>
      <ns0:c r="M796" s="0">
        <ns0:f>IF(AND(L796=1,OR(C796=0,IFERROR(INDEX($X$11:$X$60,C796),0)=0)),1,0)</ns0:f>
        <ns0:v>0</ns0:v>
      </ns0:c>
      <ns0:c r="N796" s="0">
        <ns0:f>IF(OR(A796=0,L796&gt;0,$B$6&gt;0,Bookings!G796="Cancelled"),0,G796)</ns0:f>
        <ns0:v>0</ns0:v>
      </ns0:c>
      <ns0:c r="O796" s="0">
        <ns0:f>IF(AND(Bookings!G796="Approved",E796="Yes"),N796,0)</ns0:f>
        <ns0:v>0</ns0:v>
      </ns0:c>
      <ns0:c r="P796" s="0">
        <ns0:f>IF(AND(Bookings!G796="Approved",E796="Yes",L796=0,$B$6=0),H796,0)</ns0:f>
        <ns0:v>0</ns0:v>
      </ns0:c>
      <ns0:c r="Q796" s="0">
        <ns0:f>IF(AND(Bookings!G796="Approved",E796="Yes",L796=0,$B$6=0),I796,0)</ns0:f>
        <ns0:v>0</ns0:v>
      </ns0:c>
      <ns0:c r="R796" s="0">
        <ns0:f>IF(AND(Bookings!G796="Pending",E796="Yes"),N796,0)</ns0:f>
        <ns0:v>0</ns0:v>
      </ns0:c>
      <ns0:c r="S796" s="0">
        <ns0:f>IF(AND(Bookings!G796="Approved",E796="No"),N796,0)</ns0:f>
        <ns0:v>0</ns0:v>
      </ns0:c>
      <ns0:c r="T796" s="0">
        <ns0:f>IFERROR(MATCH(D796,Settings!$G$7:$G$11,0),0)</ns0:f>
        <ns0:v>0</ns0:v>
      </ns0:c>
      <ns0:c r="U796" s="0">
        <ns0:f>IF(N796&gt;0,T796+IF(Bookings!G796="Pending",10,0),0)</ns0:f>
        <ns0:v>0</ns0:v>
      </ns0:c>
      <ns0:c r="V796" s="0">
        <ns0:f>U796</ns0:f>
        <ns0:v>0</ns0:v>
      </ns0:c>
      <ns0:c r="W796" s="0" t="str">
        <ns0:f>IF(C796=0,"",INDEX($AP$11:$AP$60,C796))</ns0:f>
        <ns0:v/>
      </ns0:c>
    </ns0:row>
    <ns0:row r="797">
      <ns0:c r="A797" s="0">
        <ns0:f>IF(COUNTA(Bookings!A797:G797,Bookings!I797)=0,0,1)</ns0:f>
        <ns0:v>0</ns0:v>
      </ns0:c>
      <ns0:c r="B797" s="0" t="str">
        <ns0:f>IFERROR(TRIM(MID(Bookings!A797,FIND(" · ",Bookings!A797)+3,99)),"")</ns0:f>
        <ns0:v/>
      </ns0:c>
      <ns0:c r="C797" s="0">
        <ns0:f>IF(OR(B797="",LEN(B797)&gt;24,ISNUMBER(FIND(" ",B797)),ISNUMBER(FIND("*",B797)),ISNUMBER(FIND("?",B797)),ISNUMBER(FIND("~",B797))),0,IFERROR(MATCH(B797,Team!$A$11:$A$60,0),0))</ns0:f>
        <ns0:v>0</ns0:v>
      </ns0:c>
      <ns0:c r="D797" s="0" t="str">
        <ns0:f>IFERROR(IF(MID(Bookings!F797,LEN(Bookings!F797)-3,3)=" · ",RIGHT(Bookings!F797,1),""),"")</ns0:f>
        <ns0:v/>
      </ns0:c>
      <ns0:c r="E797" s="0" t="str">
        <ns0:f>IFERROR(INDEX(Settings!$H$7:$H$11,MATCH(D797,Settings!$G$7:$G$11,0)),"")</ns0:f>
        <ns0:v/>
      </ns0:c>
      <ns0:c r="F797" s="0" t="str">
        <ns0:f>IF(A797=0,"",IFERROR(IF(OR(B797="",C797=0),"CHECK employee selection",IF(INDEX(Team!$O$11:$O$60,C797)&lt;&gt;"OK","CHECK employee setup",IF(OR('_Dates'!J797=0,'_Dates'!T797=0),"CHECK date: use DD.MM.YYYY",IF('_Dates'!T797&lt;'_Dates'!J797,"CHECK end before start",IF(AND($B$6=0,OR('_Dates'!J797&lt;Settings!$B$7,'_Dates'!T797&gt;Settings!$B$8)),"CHECK split across leave years",IF(OR(NOT(OR('_Dates'!U797="Full day",'_Dates'!U797="AM",'_Dates'!U797="PM")),NOT(OR('_Dates'!V797="Full day",'_Dates'!V797="AM",'_Dates'!V797="PM"))),"CHECK Full day / AM / PM",IF(AND('_Dates'!J797='_Dates'!T797,'_Dates'!U797&lt;&gt;"Full day",'_Dates'!V797&lt;&gt;"Full day",'_Dates'!U797&lt;&gt;'_Dates'!V797),"CHECK same-day portions disagree",IF(AND($B$6=0,OR(AND('_Dates'!U797&lt;&gt;"Full day",'_Dates'!AA797=0),AND('_Dates'!V797&lt;&gt;"Full day",'_Dates'!AB797=0))),"CHECK half-day on non-working date",IF(COUNTIF(Settings!$G$7:$G$11,D797)&lt;&gt;1,"CHECK leave type",IF(AND(Bookings!G797&lt;&gt;"Approved",Bookings!G797&lt;&gt;"Pending",Bookings!G797&lt;&gt;"Cancelled"),"CHECK status","OK")))))))))),"CHECK input"))</ns0:f>
        <ns0:v/>
      </ns0:c>
      <ns0:c r="G797" s="0">
        <ns0:f>IF(OR(F797&lt;&gt;"OK",$B$6&gt;0),0,0.5*(IF(('_Dates'!X797)&lt;('_Dates'!W797),0,INT((('_Dates'!X797)-('_Dates'!W797)+1)/7)*LEN(SUBSTITUTE(W797,"O",""))+LEN(SUBSTITUTE(MID(W797&amp;W797,WEEKDAY(('_Dates'!W797),2),MOD((('_Dates'!X797)-('_Dates'!W797)+1),7)),"O",""))-COUNTIFS(INDEX(AllClosureRows,C797,0),"&gt;="&amp;('_Dates'!W797),INDEX(AllClosureRows,C797,0),"&lt;="&amp;('_Dates'!X797)))+IF(('_Dates'!Z797)&lt;('_Dates'!Y797),0,INT((('_Dates'!Z797)-('_Dates'!Y797)+1)/7)*LEN(SUBSTITUTE(W797,"O",""))+LEN(SUBSTITUTE(MID(W797&amp;W797,WEEKDAY(('_Dates'!Y797),2),MOD((('_Dates'!Z797)-('_Dates'!Y797)+1),7)),"O",""))-COUNTIFS(INDEX(AllClosureRows,C797,0),"&gt;="&amp;('_Dates'!Y797),INDEX(AllClosureRows,C797,0),"&lt;="&amp;('_Dates'!Z797)))))</ns0:f>
        <ns0:v>0</ns0:v>
      </ns0:c>
      <ns0:c r="H797" s="0">
        <ns0:f>IF(OR(F797&lt;&gt;"OK",$B$6&gt;0),0,0.5*(IF((MIN('_Dates'!X797,Settings!$B$9))&lt;('_Dates'!W797),0,INT(((MIN('_Dates'!X797,Settings!$B$9))-('_Dates'!W797)+1)/7)*LEN(SUBSTITUTE(W797,"O",""))+LEN(SUBSTITUTE(MID(W797&amp;W797,WEEKDAY(('_Dates'!W797),2),MOD(((MIN('_Dates'!X797,Settings!$B$9))-('_Dates'!W797)+1),7)),"O",""))-COUNTIFS(INDEX(AllClosureRows,C797,0),"&gt;="&amp;('_Dates'!W797),INDEX(AllClosureRows,C797,0),"&lt;="&amp;(MIN('_Dates'!X797,Settings!$B$9))))+IF((MIN('_Dates'!Z797,Settings!$B$9))&lt;('_Dates'!Y797),0,INT(((MIN('_Dates'!Z797,Settings!$B$9))-('_Dates'!Y797)+1)/7)*LEN(SUBSTITUTE(W797,"O",""))+LEN(SUBSTITUTE(MID(W797&amp;W797,WEEKDAY(('_Dates'!Y797),2),MOD(((MIN('_Dates'!Z797,Settings!$B$9))-('_Dates'!Y797)+1),7)),"O",""))-COUNTIFS(INDEX(AllClosureRows,C797,0),"&gt;="&amp;('_Dates'!Y797),INDEX(AllClosureRows,C797,0),"&lt;="&amp;(MIN('_Dates'!Z797,Settings!$B$9))))))</ns0:f>
        <ns0:v>0</ns0:v>
      </ns0:c>
      <ns0:c r="I797" s="0">
        <ns0:f>MAX(0,G797-H797)</ns0:f>
        <ns0:v>0</ns0:v>
      </ns0:c>
      <ns0:c r="J797" s="0">
        <ns0:f>IF(OR(A797=0,F797&lt;&gt;"OK",Bookings!G797="Cancelled",$B$6&gt;0),0,IF('_Dates'!AC797=1,MAX(0,COUNTIFS(rngEngine_B,B797,rngAMStart,"&lt;="&amp;'_Dates'!X797,rngAMEnd,"&gt;="&amp;'_Dates'!W797,rngAMActive,1,rngEngine_F,"OK",rngBookings_F,"&lt;&gt;Cancelled")-1),0)+IF('_Dates'!AD797=1,MAX(0,COUNTIFS(rngEngine_B,B797,rngPMStart,"&lt;="&amp;'_Dates'!Z797,rngPMEnd,"&gt;="&amp;'_Dates'!Y797,rngPMActive,1,rngEngine_F,"OK",rngBookings_F,"&lt;&gt;Cancelled")-1),0))</ns0:f>
        <ns0:v>0</ns0:v>
      </ns0:c>
      <ns0:c r="K797" s="0" t="str">
        <ns0:f>IF(A797=0,"",IF(F797&lt;&gt;"OK",F797,IF(J797&gt;0,"CHECK overlapping entry",IF(AND($B$6=0,G797&lt;=0,Bookings!G797&lt;&gt;"Cancelled"),"CHECK no working days",IF(Bookings!G797="Cancelled","Cancelled","OK")))))</ns0:f>
        <ns0:v/>
      </ns0:c>
      <ns0:c r="L797" s="0">
        <ns0:f>IF(LEFT(K797,5)="CHECK",1,0)</ns0:f>
        <ns0:v>0</ns0:v>
      </ns0:c>
      <ns0:c r="M797" s="0">
        <ns0:f>IF(AND(L797=1,OR(C797=0,IFERROR(INDEX($X$11:$X$60,C797),0)=0)),1,0)</ns0:f>
        <ns0:v>0</ns0:v>
      </ns0:c>
      <ns0:c r="N797" s="0">
        <ns0:f>IF(OR(A797=0,L797&gt;0,$B$6&gt;0,Bookings!G797="Cancelled"),0,G797)</ns0:f>
        <ns0:v>0</ns0:v>
      </ns0:c>
      <ns0:c r="O797" s="0">
        <ns0:f>IF(AND(Bookings!G797="Approved",E797="Yes"),N797,0)</ns0:f>
        <ns0:v>0</ns0:v>
      </ns0:c>
      <ns0:c r="P797" s="0">
        <ns0:f>IF(AND(Bookings!G797="Approved",E797="Yes",L797=0,$B$6=0),H797,0)</ns0:f>
        <ns0:v>0</ns0:v>
      </ns0:c>
      <ns0:c r="Q797" s="0">
        <ns0:f>IF(AND(Bookings!G797="Approved",E797="Yes",L797=0,$B$6=0),I797,0)</ns0:f>
        <ns0:v>0</ns0:v>
      </ns0:c>
      <ns0:c r="R797" s="0">
        <ns0:f>IF(AND(Bookings!G797="Pending",E797="Yes"),N797,0)</ns0:f>
        <ns0:v>0</ns0:v>
      </ns0:c>
      <ns0:c r="S797" s="0">
        <ns0:f>IF(AND(Bookings!G797="Approved",E797="No"),N797,0)</ns0:f>
        <ns0:v>0</ns0:v>
      </ns0:c>
      <ns0:c r="T797" s="0">
        <ns0:f>IFERROR(MATCH(D797,Settings!$G$7:$G$11,0),0)</ns0:f>
        <ns0:v>0</ns0:v>
      </ns0:c>
      <ns0:c r="U797" s="0">
        <ns0:f>IF(N797&gt;0,T797+IF(Bookings!G797="Pending",10,0),0)</ns0:f>
        <ns0:v>0</ns0:v>
      </ns0:c>
      <ns0:c r="V797" s="0">
        <ns0:f>U797</ns0:f>
        <ns0:v>0</ns0:v>
      </ns0:c>
      <ns0:c r="W797" s="0" t="str">
        <ns0:f>IF(C797=0,"",INDEX($AP$11:$AP$60,C797))</ns0:f>
        <ns0:v/>
      </ns0:c>
    </ns0:row>
    <ns0:row r="798">
      <ns0:c r="A798" s="0">
        <ns0:f>IF(COUNTA(Bookings!A798:G798,Bookings!I798)=0,0,1)</ns0:f>
        <ns0:v>0</ns0:v>
      </ns0:c>
      <ns0:c r="B798" s="0" t="str">
        <ns0:f>IFERROR(TRIM(MID(Bookings!A798,FIND(" · ",Bookings!A798)+3,99)),"")</ns0:f>
        <ns0:v/>
      </ns0:c>
      <ns0:c r="C798" s="0">
        <ns0:f>IF(OR(B798="",LEN(B798)&gt;24,ISNUMBER(FIND(" ",B798)),ISNUMBER(FIND("*",B798)),ISNUMBER(FIND("?",B798)),ISNUMBER(FIND("~",B798))),0,IFERROR(MATCH(B798,Team!$A$11:$A$60,0),0))</ns0:f>
        <ns0:v>0</ns0:v>
      </ns0:c>
      <ns0:c r="D798" s="0" t="str">
        <ns0:f>IFERROR(IF(MID(Bookings!F798,LEN(Bookings!F798)-3,3)=" · ",RIGHT(Bookings!F798,1),""),"")</ns0:f>
        <ns0:v/>
      </ns0:c>
      <ns0:c r="E798" s="0" t="str">
        <ns0:f>IFERROR(INDEX(Settings!$H$7:$H$11,MATCH(D798,Settings!$G$7:$G$11,0)),"")</ns0:f>
        <ns0:v/>
      </ns0:c>
      <ns0:c r="F798" s="0" t="str">
        <ns0:f>IF(A798=0,"",IFERROR(IF(OR(B798="",C798=0),"CHECK employee selection",IF(INDEX(Team!$O$11:$O$60,C798)&lt;&gt;"OK","CHECK employee setup",IF(OR('_Dates'!J798=0,'_Dates'!T798=0),"CHECK date: use DD.MM.YYYY",IF('_Dates'!T798&lt;'_Dates'!J798,"CHECK end before start",IF(AND($B$6=0,OR('_Dates'!J798&lt;Settings!$B$7,'_Dates'!T798&gt;Settings!$B$8)),"CHECK split across leave years",IF(OR(NOT(OR('_Dates'!U798="Full day",'_Dates'!U798="AM",'_Dates'!U798="PM")),NOT(OR('_Dates'!V798="Full day",'_Dates'!V798="AM",'_Dates'!V798="PM"))),"CHECK Full day / AM / PM",IF(AND('_Dates'!J798='_Dates'!T798,'_Dates'!U798&lt;&gt;"Full day",'_Dates'!V798&lt;&gt;"Full day",'_Dates'!U798&lt;&gt;'_Dates'!V798),"CHECK same-day portions disagree",IF(AND($B$6=0,OR(AND('_Dates'!U798&lt;&gt;"Full day",'_Dates'!AA798=0),AND('_Dates'!V798&lt;&gt;"Full day",'_Dates'!AB798=0))),"CHECK half-day on non-working date",IF(COUNTIF(Settings!$G$7:$G$11,D798)&lt;&gt;1,"CHECK leave type",IF(AND(Bookings!G798&lt;&gt;"Approved",Bookings!G798&lt;&gt;"Pending",Bookings!G798&lt;&gt;"Cancelled"),"CHECK status","OK")))))))))),"CHECK input"))</ns0:f>
        <ns0:v/>
      </ns0:c>
      <ns0:c r="G798" s="0">
        <ns0:f>IF(OR(F798&lt;&gt;"OK",$B$6&gt;0),0,0.5*(IF(('_Dates'!X798)&lt;('_Dates'!W798),0,INT((('_Dates'!X798)-('_Dates'!W798)+1)/7)*LEN(SUBSTITUTE(W798,"O",""))+LEN(SUBSTITUTE(MID(W798&amp;W798,WEEKDAY(('_Dates'!W798),2),MOD((('_Dates'!X798)-('_Dates'!W798)+1),7)),"O",""))-COUNTIFS(INDEX(AllClosureRows,C798,0),"&gt;="&amp;('_Dates'!W798),INDEX(AllClosureRows,C798,0),"&lt;="&amp;('_Dates'!X798)))+IF(('_Dates'!Z798)&lt;('_Dates'!Y798),0,INT((('_Dates'!Z798)-('_Dates'!Y798)+1)/7)*LEN(SUBSTITUTE(W798,"O",""))+LEN(SUBSTITUTE(MID(W798&amp;W798,WEEKDAY(('_Dates'!Y798),2),MOD((('_Dates'!Z798)-('_Dates'!Y798)+1),7)),"O",""))-COUNTIFS(INDEX(AllClosureRows,C798,0),"&gt;="&amp;('_Dates'!Y798),INDEX(AllClosureRows,C798,0),"&lt;="&amp;('_Dates'!Z798)))))</ns0:f>
        <ns0:v>0</ns0:v>
      </ns0:c>
      <ns0:c r="H798" s="0">
        <ns0:f>IF(OR(F798&lt;&gt;"OK",$B$6&gt;0),0,0.5*(IF((MIN('_Dates'!X798,Settings!$B$9))&lt;('_Dates'!W798),0,INT(((MIN('_Dates'!X798,Settings!$B$9))-('_Dates'!W798)+1)/7)*LEN(SUBSTITUTE(W798,"O",""))+LEN(SUBSTITUTE(MID(W798&amp;W798,WEEKDAY(('_Dates'!W798),2),MOD(((MIN('_Dates'!X798,Settings!$B$9))-('_Dates'!W798)+1),7)),"O",""))-COUNTIFS(INDEX(AllClosureRows,C798,0),"&gt;="&amp;('_Dates'!W798),INDEX(AllClosureRows,C798,0),"&lt;="&amp;(MIN('_Dates'!X798,Settings!$B$9))))+IF((MIN('_Dates'!Z798,Settings!$B$9))&lt;('_Dates'!Y798),0,INT(((MIN('_Dates'!Z798,Settings!$B$9))-('_Dates'!Y798)+1)/7)*LEN(SUBSTITUTE(W798,"O",""))+LEN(SUBSTITUTE(MID(W798&amp;W798,WEEKDAY(('_Dates'!Y798),2),MOD(((MIN('_Dates'!Z798,Settings!$B$9))-('_Dates'!Y798)+1),7)),"O",""))-COUNTIFS(INDEX(AllClosureRows,C798,0),"&gt;="&amp;('_Dates'!Y798),INDEX(AllClosureRows,C798,0),"&lt;="&amp;(MIN('_Dates'!Z798,Settings!$B$9))))))</ns0:f>
        <ns0:v>0</ns0:v>
      </ns0:c>
      <ns0:c r="I798" s="0">
        <ns0:f>MAX(0,G798-H798)</ns0:f>
        <ns0:v>0</ns0:v>
      </ns0:c>
      <ns0:c r="J798" s="0">
        <ns0:f>IF(OR(A798=0,F798&lt;&gt;"OK",Bookings!G798="Cancelled",$B$6&gt;0),0,IF('_Dates'!AC798=1,MAX(0,COUNTIFS(rngEngine_B,B798,rngAMStart,"&lt;="&amp;'_Dates'!X798,rngAMEnd,"&gt;="&amp;'_Dates'!W798,rngAMActive,1,rngEngine_F,"OK",rngBookings_F,"&lt;&gt;Cancelled")-1),0)+IF('_Dates'!AD798=1,MAX(0,COUNTIFS(rngEngine_B,B798,rngPMStart,"&lt;="&amp;'_Dates'!Z798,rngPMEnd,"&gt;="&amp;'_Dates'!Y798,rngPMActive,1,rngEngine_F,"OK",rngBookings_F,"&lt;&gt;Cancelled")-1),0))</ns0:f>
        <ns0:v>0</ns0:v>
      </ns0:c>
      <ns0:c r="K798" s="0" t="str">
        <ns0:f>IF(A798=0,"",IF(F798&lt;&gt;"OK",F798,IF(J798&gt;0,"CHECK overlapping entry",IF(AND($B$6=0,G798&lt;=0,Bookings!G798&lt;&gt;"Cancelled"),"CHECK no working days",IF(Bookings!G798="Cancelled","Cancelled","OK")))))</ns0:f>
        <ns0:v/>
      </ns0:c>
      <ns0:c r="L798" s="0">
        <ns0:f>IF(LEFT(K798,5)="CHECK",1,0)</ns0:f>
        <ns0:v>0</ns0:v>
      </ns0:c>
      <ns0:c r="M798" s="0">
        <ns0:f>IF(AND(L798=1,OR(C798=0,IFERROR(INDEX($X$11:$X$60,C798),0)=0)),1,0)</ns0:f>
        <ns0:v>0</ns0:v>
      </ns0:c>
      <ns0:c r="N798" s="0">
        <ns0:f>IF(OR(A798=0,L798&gt;0,$B$6&gt;0,Bookings!G798="Cancelled"),0,G798)</ns0:f>
        <ns0:v>0</ns0:v>
      </ns0:c>
      <ns0:c r="O798" s="0">
        <ns0:f>IF(AND(Bookings!G798="Approved",E798="Yes"),N798,0)</ns0:f>
        <ns0:v>0</ns0:v>
      </ns0:c>
      <ns0:c r="P798" s="0">
        <ns0:f>IF(AND(Bookings!G798="Approved",E798="Yes",L798=0,$B$6=0),H798,0)</ns0:f>
        <ns0:v>0</ns0:v>
      </ns0:c>
      <ns0:c r="Q798" s="0">
        <ns0:f>IF(AND(Bookings!G798="Approved",E798="Yes",L798=0,$B$6=0),I798,0)</ns0:f>
        <ns0:v>0</ns0:v>
      </ns0:c>
      <ns0:c r="R798" s="0">
        <ns0:f>IF(AND(Bookings!G798="Pending",E798="Yes"),N798,0)</ns0:f>
        <ns0:v>0</ns0:v>
      </ns0:c>
      <ns0:c r="S798" s="0">
        <ns0:f>IF(AND(Bookings!G798="Approved",E798="No"),N798,0)</ns0:f>
        <ns0:v>0</ns0:v>
      </ns0:c>
      <ns0:c r="T798" s="0">
        <ns0:f>IFERROR(MATCH(D798,Settings!$G$7:$G$11,0),0)</ns0:f>
        <ns0:v>0</ns0:v>
      </ns0:c>
      <ns0:c r="U798" s="0">
        <ns0:f>IF(N798&gt;0,T798+IF(Bookings!G798="Pending",10,0),0)</ns0:f>
        <ns0:v>0</ns0:v>
      </ns0:c>
      <ns0:c r="V798" s="0">
        <ns0:f>U798</ns0:f>
        <ns0:v>0</ns0:v>
      </ns0:c>
      <ns0:c r="W798" s="0" t="str">
        <ns0:f>IF(C798=0,"",INDEX($AP$11:$AP$60,C798))</ns0:f>
        <ns0:v/>
      </ns0:c>
    </ns0:row>
    <ns0:row r="799">
      <ns0:c r="A799" s="0">
        <ns0:f>IF(COUNTA(Bookings!A799:G799,Bookings!I799)=0,0,1)</ns0:f>
        <ns0:v>0</ns0:v>
      </ns0:c>
      <ns0:c r="B799" s="0" t="str">
        <ns0:f>IFERROR(TRIM(MID(Bookings!A799,FIND(" · ",Bookings!A799)+3,99)),"")</ns0:f>
        <ns0:v/>
      </ns0:c>
      <ns0:c r="C799" s="0">
        <ns0:f>IF(OR(B799="",LEN(B799)&gt;24,ISNUMBER(FIND(" ",B799)),ISNUMBER(FIND("*",B799)),ISNUMBER(FIND("?",B799)),ISNUMBER(FIND("~",B799))),0,IFERROR(MATCH(B799,Team!$A$11:$A$60,0),0))</ns0:f>
        <ns0:v>0</ns0:v>
      </ns0:c>
      <ns0:c r="D799" s="0" t="str">
        <ns0:f>IFERROR(IF(MID(Bookings!F799,LEN(Bookings!F799)-3,3)=" · ",RIGHT(Bookings!F799,1),""),"")</ns0:f>
        <ns0:v/>
      </ns0:c>
      <ns0:c r="E799" s="0" t="str">
        <ns0:f>IFERROR(INDEX(Settings!$H$7:$H$11,MATCH(D799,Settings!$G$7:$G$11,0)),"")</ns0:f>
        <ns0:v/>
      </ns0:c>
      <ns0:c r="F799" s="0" t="str">
        <ns0:f>IF(A799=0,"",IFERROR(IF(OR(B799="",C799=0),"CHECK employee selection",IF(INDEX(Team!$O$11:$O$60,C799)&lt;&gt;"OK","CHECK employee setup",IF(OR('_Dates'!J799=0,'_Dates'!T799=0),"CHECK date: use DD.MM.YYYY",IF('_Dates'!T799&lt;'_Dates'!J799,"CHECK end before start",IF(AND($B$6=0,OR('_Dates'!J799&lt;Settings!$B$7,'_Dates'!T799&gt;Settings!$B$8)),"CHECK split across leave years",IF(OR(NOT(OR('_Dates'!U799="Full day",'_Dates'!U799="AM",'_Dates'!U799="PM")),NOT(OR('_Dates'!V799="Full day",'_Dates'!V799="AM",'_Dates'!V799="PM"))),"CHECK Full day / AM / PM",IF(AND('_Dates'!J799='_Dates'!T799,'_Dates'!U799&lt;&gt;"Full day",'_Dates'!V799&lt;&gt;"Full day",'_Dates'!U799&lt;&gt;'_Dates'!V799),"CHECK same-day portions disagree",IF(AND($B$6=0,OR(AND('_Dates'!U799&lt;&gt;"Full day",'_Dates'!AA799=0),AND('_Dates'!V799&lt;&gt;"Full day",'_Dates'!AB799=0))),"CHECK half-day on non-working date",IF(COUNTIF(Settings!$G$7:$G$11,D799)&lt;&gt;1,"CHECK leave type",IF(AND(Bookings!G799&lt;&gt;"Approved",Bookings!G799&lt;&gt;"Pending",Bookings!G799&lt;&gt;"Cancelled"),"CHECK status","OK")))))))))),"CHECK input"))</ns0:f>
        <ns0:v/>
      </ns0:c>
      <ns0:c r="G799" s="0">
        <ns0:f>IF(OR(F799&lt;&gt;"OK",$B$6&gt;0),0,0.5*(IF(('_Dates'!X799)&lt;('_Dates'!W799),0,INT((('_Dates'!X799)-('_Dates'!W799)+1)/7)*LEN(SUBSTITUTE(W799,"O",""))+LEN(SUBSTITUTE(MID(W799&amp;W799,WEEKDAY(('_Dates'!W799),2),MOD((('_Dates'!X799)-('_Dates'!W799)+1),7)),"O",""))-COUNTIFS(INDEX(AllClosureRows,C799,0),"&gt;="&amp;('_Dates'!W799),INDEX(AllClosureRows,C799,0),"&lt;="&amp;('_Dates'!X799)))+IF(('_Dates'!Z799)&lt;('_Dates'!Y799),0,INT((('_Dates'!Z799)-('_Dates'!Y799)+1)/7)*LEN(SUBSTITUTE(W799,"O",""))+LEN(SUBSTITUTE(MID(W799&amp;W799,WEEKDAY(('_Dates'!Y799),2),MOD((('_Dates'!Z799)-('_Dates'!Y799)+1),7)),"O",""))-COUNTIFS(INDEX(AllClosureRows,C799,0),"&gt;="&amp;('_Dates'!Y799),INDEX(AllClosureRows,C799,0),"&lt;="&amp;('_Dates'!Z799)))))</ns0:f>
        <ns0:v>0</ns0:v>
      </ns0:c>
      <ns0:c r="H799" s="0">
        <ns0:f>IF(OR(F799&lt;&gt;"OK",$B$6&gt;0),0,0.5*(IF((MIN('_Dates'!X799,Settings!$B$9))&lt;('_Dates'!W799),0,INT(((MIN('_Dates'!X799,Settings!$B$9))-('_Dates'!W799)+1)/7)*LEN(SUBSTITUTE(W799,"O",""))+LEN(SUBSTITUTE(MID(W799&amp;W799,WEEKDAY(('_Dates'!W799),2),MOD(((MIN('_Dates'!X799,Settings!$B$9))-('_Dates'!W799)+1),7)),"O",""))-COUNTIFS(INDEX(AllClosureRows,C799,0),"&gt;="&amp;('_Dates'!W799),INDEX(AllClosureRows,C799,0),"&lt;="&amp;(MIN('_Dates'!X799,Settings!$B$9))))+IF((MIN('_Dates'!Z799,Settings!$B$9))&lt;('_Dates'!Y799),0,INT(((MIN('_Dates'!Z799,Settings!$B$9))-('_Dates'!Y799)+1)/7)*LEN(SUBSTITUTE(W799,"O",""))+LEN(SUBSTITUTE(MID(W799&amp;W799,WEEKDAY(('_Dates'!Y799),2),MOD(((MIN('_Dates'!Z799,Settings!$B$9))-('_Dates'!Y799)+1),7)),"O",""))-COUNTIFS(INDEX(AllClosureRows,C799,0),"&gt;="&amp;('_Dates'!Y799),INDEX(AllClosureRows,C799,0),"&lt;="&amp;(MIN('_Dates'!Z799,Settings!$B$9))))))</ns0:f>
        <ns0:v>0</ns0:v>
      </ns0:c>
      <ns0:c r="I799" s="0">
        <ns0:f>MAX(0,G799-H799)</ns0:f>
        <ns0:v>0</ns0:v>
      </ns0:c>
      <ns0:c r="J799" s="0">
        <ns0:f>IF(OR(A799=0,F799&lt;&gt;"OK",Bookings!G799="Cancelled",$B$6&gt;0),0,IF('_Dates'!AC799=1,MAX(0,COUNTIFS(rngEngine_B,B799,rngAMStart,"&lt;="&amp;'_Dates'!X799,rngAMEnd,"&gt;="&amp;'_Dates'!W799,rngAMActive,1,rngEngine_F,"OK",rngBookings_F,"&lt;&gt;Cancelled")-1),0)+IF('_Dates'!AD799=1,MAX(0,COUNTIFS(rngEngine_B,B799,rngPMStart,"&lt;="&amp;'_Dates'!Z799,rngPMEnd,"&gt;="&amp;'_Dates'!Y799,rngPMActive,1,rngEngine_F,"OK",rngBookings_F,"&lt;&gt;Cancelled")-1),0))</ns0:f>
        <ns0:v>0</ns0:v>
      </ns0:c>
      <ns0:c r="K799" s="0" t="str">
        <ns0:f>IF(A799=0,"",IF(F799&lt;&gt;"OK",F799,IF(J799&gt;0,"CHECK overlapping entry",IF(AND($B$6=0,G799&lt;=0,Bookings!G799&lt;&gt;"Cancelled"),"CHECK no working days",IF(Bookings!G799="Cancelled","Cancelled","OK")))))</ns0:f>
        <ns0:v/>
      </ns0:c>
      <ns0:c r="L799" s="0">
        <ns0:f>IF(LEFT(K799,5)="CHECK",1,0)</ns0:f>
        <ns0:v>0</ns0:v>
      </ns0:c>
      <ns0:c r="M799" s="0">
        <ns0:f>IF(AND(L799=1,OR(C799=0,IFERROR(INDEX($X$11:$X$60,C799),0)=0)),1,0)</ns0:f>
        <ns0:v>0</ns0:v>
      </ns0:c>
      <ns0:c r="N799" s="0">
        <ns0:f>IF(OR(A799=0,L799&gt;0,$B$6&gt;0,Bookings!G799="Cancelled"),0,G799)</ns0:f>
        <ns0:v>0</ns0:v>
      </ns0:c>
      <ns0:c r="O799" s="0">
        <ns0:f>IF(AND(Bookings!G799="Approved",E799="Yes"),N799,0)</ns0:f>
        <ns0:v>0</ns0:v>
      </ns0:c>
      <ns0:c r="P799" s="0">
        <ns0:f>IF(AND(Bookings!G799="Approved",E799="Yes",L799=0,$B$6=0),H799,0)</ns0:f>
        <ns0:v>0</ns0:v>
      </ns0:c>
      <ns0:c r="Q799" s="0">
        <ns0:f>IF(AND(Bookings!G799="Approved",E799="Yes",L799=0,$B$6=0),I799,0)</ns0:f>
        <ns0:v>0</ns0:v>
      </ns0:c>
      <ns0:c r="R799" s="0">
        <ns0:f>IF(AND(Bookings!G799="Pending",E799="Yes"),N799,0)</ns0:f>
        <ns0:v>0</ns0:v>
      </ns0:c>
      <ns0:c r="S799" s="0">
        <ns0:f>IF(AND(Bookings!G799="Approved",E799="No"),N799,0)</ns0:f>
        <ns0:v>0</ns0:v>
      </ns0:c>
      <ns0:c r="T799" s="0">
        <ns0:f>IFERROR(MATCH(D799,Settings!$G$7:$G$11,0),0)</ns0:f>
        <ns0:v>0</ns0:v>
      </ns0:c>
      <ns0:c r="U799" s="0">
        <ns0:f>IF(N799&gt;0,T799+IF(Bookings!G799="Pending",10,0),0)</ns0:f>
        <ns0:v>0</ns0:v>
      </ns0:c>
      <ns0:c r="V799" s="0">
        <ns0:f>U799</ns0:f>
        <ns0:v>0</ns0:v>
      </ns0:c>
      <ns0:c r="W799" s="0" t="str">
        <ns0:f>IF(C799=0,"",INDEX($AP$11:$AP$60,C799))</ns0:f>
        <ns0:v/>
      </ns0:c>
    </ns0:row>
    <ns0:row r="800">
      <ns0:c r="A800" s="0">
        <ns0:f>IF(COUNTA(Bookings!A800:G800,Bookings!I800)=0,0,1)</ns0:f>
        <ns0:v>0</ns0:v>
      </ns0:c>
      <ns0:c r="B800" s="0" t="str">
        <ns0:f>IFERROR(TRIM(MID(Bookings!A800,FIND(" · ",Bookings!A800)+3,99)),"")</ns0:f>
        <ns0:v/>
      </ns0:c>
      <ns0:c r="C800" s="0">
        <ns0:f>IF(OR(B800="",LEN(B800)&gt;24,ISNUMBER(FIND(" ",B800)),ISNUMBER(FIND("*",B800)),ISNUMBER(FIND("?",B800)),ISNUMBER(FIND("~",B800))),0,IFERROR(MATCH(B800,Team!$A$11:$A$60,0),0))</ns0:f>
        <ns0:v>0</ns0:v>
      </ns0:c>
      <ns0:c r="D800" s="0" t="str">
        <ns0:f>IFERROR(IF(MID(Bookings!F800,LEN(Bookings!F800)-3,3)=" · ",RIGHT(Bookings!F800,1),""),"")</ns0:f>
        <ns0:v/>
      </ns0:c>
      <ns0:c r="E800" s="0" t="str">
        <ns0:f>IFERROR(INDEX(Settings!$H$7:$H$11,MATCH(D800,Settings!$G$7:$G$11,0)),"")</ns0:f>
        <ns0:v/>
      </ns0:c>
      <ns0:c r="F800" s="0" t="str">
        <ns0:f>IF(A800=0,"",IFERROR(IF(OR(B800="",C800=0),"CHECK employee selection",IF(INDEX(Team!$O$11:$O$60,C800)&lt;&gt;"OK","CHECK employee setup",IF(OR('_Dates'!J800=0,'_Dates'!T800=0),"CHECK date: use DD.MM.YYYY",IF('_Dates'!T800&lt;'_Dates'!J800,"CHECK end before start",IF(AND($B$6=0,OR('_Dates'!J800&lt;Settings!$B$7,'_Dates'!T800&gt;Settings!$B$8)),"CHECK split across leave years",IF(OR(NOT(OR('_Dates'!U800="Full day",'_Dates'!U800="AM",'_Dates'!U800="PM")),NOT(OR('_Dates'!V800="Full day",'_Dates'!V800="AM",'_Dates'!V800="PM"))),"CHECK Full day / AM / PM",IF(AND('_Dates'!J800='_Dates'!T800,'_Dates'!U800&lt;&gt;"Full day",'_Dates'!V800&lt;&gt;"Full day",'_Dates'!U800&lt;&gt;'_Dates'!V800),"CHECK same-day portions disagree",IF(AND($B$6=0,OR(AND('_Dates'!U800&lt;&gt;"Full day",'_Dates'!AA800=0),AND('_Dates'!V800&lt;&gt;"Full day",'_Dates'!AB800=0))),"CHECK half-day on non-working date",IF(COUNTIF(Settings!$G$7:$G$11,D800)&lt;&gt;1,"CHECK leave type",IF(AND(Bookings!G800&lt;&gt;"Approved",Bookings!G800&lt;&gt;"Pending",Bookings!G800&lt;&gt;"Cancelled"),"CHECK status","OK")))))))))),"CHECK input"))</ns0:f>
        <ns0:v/>
      </ns0:c>
      <ns0:c r="G800" s="0">
        <ns0:f>IF(OR(F800&lt;&gt;"OK",$B$6&gt;0),0,0.5*(IF(('_Dates'!X800)&lt;('_Dates'!W800),0,INT((('_Dates'!X800)-('_Dates'!W800)+1)/7)*LEN(SUBSTITUTE(W800,"O",""))+LEN(SUBSTITUTE(MID(W800&amp;W800,WEEKDAY(('_Dates'!W800),2),MOD((('_Dates'!X800)-('_Dates'!W800)+1),7)),"O",""))-COUNTIFS(INDEX(AllClosureRows,C800,0),"&gt;="&amp;('_Dates'!W800),INDEX(AllClosureRows,C800,0),"&lt;="&amp;('_Dates'!X800)))+IF(('_Dates'!Z800)&lt;('_Dates'!Y800),0,INT((('_Dates'!Z800)-('_Dates'!Y800)+1)/7)*LEN(SUBSTITUTE(W800,"O",""))+LEN(SUBSTITUTE(MID(W800&amp;W800,WEEKDAY(('_Dates'!Y800),2),MOD((('_Dates'!Z800)-('_Dates'!Y800)+1),7)),"O",""))-COUNTIFS(INDEX(AllClosureRows,C800,0),"&gt;="&amp;('_Dates'!Y800),INDEX(AllClosureRows,C800,0),"&lt;="&amp;('_Dates'!Z800)))))</ns0:f>
        <ns0:v>0</ns0:v>
      </ns0:c>
      <ns0:c r="H800" s="0">
        <ns0:f>IF(OR(F800&lt;&gt;"OK",$B$6&gt;0),0,0.5*(IF((MIN('_Dates'!X800,Settings!$B$9))&lt;('_Dates'!W800),0,INT(((MIN('_Dates'!X800,Settings!$B$9))-('_Dates'!W800)+1)/7)*LEN(SUBSTITUTE(W800,"O",""))+LEN(SUBSTITUTE(MID(W800&amp;W800,WEEKDAY(('_Dates'!W800),2),MOD(((MIN('_Dates'!X800,Settings!$B$9))-('_Dates'!W800)+1),7)),"O",""))-COUNTIFS(INDEX(AllClosureRows,C800,0),"&gt;="&amp;('_Dates'!W800),INDEX(AllClosureRows,C800,0),"&lt;="&amp;(MIN('_Dates'!X800,Settings!$B$9))))+IF((MIN('_Dates'!Z800,Settings!$B$9))&lt;('_Dates'!Y800),0,INT(((MIN('_Dates'!Z800,Settings!$B$9))-('_Dates'!Y800)+1)/7)*LEN(SUBSTITUTE(W800,"O",""))+LEN(SUBSTITUTE(MID(W800&amp;W800,WEEKDAY(('_Dates'!Y800),2),MOD(((MIN('_Dates'!Z800,Settings!$B$9))-('_Dates'!Y800)+1),7)),"O",""))-COUNTIFS(INDEX(AllClosureRows,C800,0),"&gt;="&amp;('_Dates'!Y800),INDEX(AllClosureRows,C800,0),"&lt;="&amp;(MIN('_Dates'!Z800,Settings!$B$9))))))</ns0:f>
        <ns0:v>0</ns0:v>
      </ns0:c>
      <ns0:c r="I800" s="0">
        <ns0:f>MAX(0,G800-H800)</ns0:f>
        <ns0:v>0</ns0:v>
      </ns0:c>
      <ns0:c r="J800" s="0">
        <ns0:f>IF(OR(A800=0,F800&lt;&gt;"OK",Bookings!G800="Cancelled",$B$6&gt;0),0,IF('_Dates'!AC800=1,MAX(0,COUNTIFS(rngEngine_B,B800,rngAMStart,"&lt;="&amp;'_Dates'!X800,rngAMEnd,"&gt;="&amp;'_Dates'!W800,rngAMActive,1,rngEngine_F,"OK",rngBookings_F,"&lt;&gt;Cancelled")-1),0)+IF('_Dates'!AD800=1,MAX(0,COUNTIFS(rngEngine_B,B800,rngPMStart,"&lt;="&amp;'_Dates'!Z800,rngPMEnd,"&gt;="&amp;'_Dates'!Y800,rngPMActive,1,rngEngine_F,"OK",rngBookings_F,"&lt;&gt;Cancelled")-1),0))</ns0:f>
        <ns0:v>0</ns0:v>
      </ns0:c>
      <ns0:c r="K800" s="0" t="str">
        <ns0:f>IF(A800=0,"",IF(F800&lt;&gt;"OK",F800,IF(J800&gt;0,"CHECK overlapping entry",IF(AND($B$6=0,G800&lt;=0,Bookings!G800&lt;&gt;"Cancelled"),"CHECK no working days",IF(Bookings!G800="Cancelled","Cancelled","OK")))))</ns0:f>
        <ns0:v/>
      </ns0:c>
      <ns0:c r="L800" s="0">
        <ns0:f>IF(LEFT(K800,5)="CHECK",1,0)</ns0:f>
        <ns0:v>0</ns0:v>
      </ns0:c>
      <ns0:c r="M800" s="0">
        <ns0:f>IF(AND(L800=1,OR(C800=0,IFERROR(INDEX($X$11:$X$60,C800),0)=0)),1,0)</ns0:f>
        <ns0:v>0</ns0:v>
      </ns0:c>
      <ns0:c r="N800" s="0">
        <ns0:f>IF(OR(A800=0,L800&gt;0,$B$6&gt;0,Bookings!G800="Cancelled"),0,G800)</ns0:f>
        <ns0:v>0</ns0:v>
      </ns0:c>
      <ns0:c r="O800" s="0">
        <ns0:f>IF(AND(Bookings!G800="Approved",E800="Yes"),N800,0)</ns0:f>
        <ns0:v>0</ns0:v>
      </ns0:c>
      <ns0:c r="P800" s="0">
        <ns0:f>IF(AND(Bookings!G800="Approved",E800="Yes",L800=0,$B$6=0),H800,0)</ns0:f>
        <ns0:v>0</ns0:v>
      </ns0:c>
      <ns0:c r="Q800" s="0">
        <ns0:f>IF(AND(Bookings!G800="Approved",E800="Yes",L800=0,$B$6=0),I800,0)</ns0:f>
        <ns0:v>0</ns0:v>
      </ns0:c>
      <ns0:c r="R800" s="0">
        <ns0:f>IF(AND(Bookings!G800="Pending",E800="Yes"),N800,0)</ns0:f>
        <ns0:v>0</ns0:v>
      </ns0:c>
      <ns0:c r="S800" s="0">
        <ns0:f>IF(AND(Bookings!G800="Approved",E800="No"),N800,0)</ns0:f>
        <ns0:v>0</ns0:v>
      </ns0:c>
      <ns0:c r="T800" s="0">
        <ns0:f>IFERROR(MATCH(D800,Settings!$G$7:$G$11,0),0)</ns0:f>
        <ns0:v>0</ns0:v>
      </ns0:c>
      <ns0:c r="U800" s="0">
        <ns0:f>IF(N800&gt;0,T800+IF(Bookings!G800="Pending",10,0),0)</ns0:f>
        <ns0:v>0</ns0:v>
      </ns0:c>
      <ns0:c r="V800" s="0">
        <ns0:f>U800</ns0:f>
        <ns0:v>0</ns0:v>
      </ns0:c>
      <ns0:c r="W800" s="0" t="str">
        <ns0:f>IF(C800=0,"",INDEX($AP$11:$AP$60,C800))</ns0:f>
        <ns0:v/>
      </ns0:c>
    </ns0:row>
    <ns0:row r="801">
      <ns0:c r="A801" s="0">
        <ns0:f>IF(COUNTA(Bookings!A801:G801,Bookings!I801)=0,0,1)</ns0:f>
        <ns0:v>0</ns0:v>
      </ns0:c>
      <ns0:c r="B801" s="0" t="str">
        <ns0:f>IFERROR(TRIM(MID(Bookings!A801,FIND(" · ",Bookings!A801)+3,99)),"")</ns0:f>
        <ns0:v/>
      </ns0:c>
      <ns0:c r="C801" s="0">
        <ns0:f>IF(OR(B801="",LEN(B801)&gt;24,ISNUMBER(FIND(" ",B801)),ISNUMBER(FIND("*",B801)),ISNUMBER(FIND("?",B801)),ISNUMBER(FIND("~",B801))),0,IFERROR(MATCH(B801,Team!$A$11:$A$60,0),0))</ns0:f>
        <ns0:v>0</ns0:v>
      </ns0:c>
      <ns0:c r="D801" s="0" t="str">
        <ns0:f>IFERROR(IF(MID(Bookings!F801,LEN(Bookings!F801)-3,3)=" · ",RIGHT(Bookings!F801,1),""),"")</ns0:f>
        <ns0:v/>
      </ns0:c>
      <ns0:c r="E801" s="0" t="str">
        <ns0:f>IFERROR(INDEX(Settings!$H$7:$H$11,MATCH(D801,Settings!$G$7:$G$11,0)),"")</ns0:f>
        <ns0:v/>
      </ns0:c>
      <ns0:c r="F801" s="0" t="str">
        <ns0:f>IF(A801=0,"",IFERROR(IF(OR(B801="",C801=0),"CHECK employee selection",IF(INDEX(Team!$O$11:$O$60,C801)&lt;&gt;"OK","CHECK employee setup",IF(OR('_Dates'!J801=0,'_Dates'!T801=0),"CHECK date: use DD.MM.YYYY",IF('_Dates'!T801&lt;'_Dates'!J801,"CHECK end before start",IF(AND($B$6=0,OR('_Dates'!J801&lt;Settings!$B$7,'_Dates'!T801&gt;Settings!$B$8)),"CHECK split across leave years",IF(OR(NOT(OR('_Dates'!U801="Full day",'_Dates'!U801="AM",'_Dates'!U801="PM")),NOT(OR('_Dates'!V801="Full day",'_Dates'!V801="AM",'_Dates'!V801="PM"))),"CHECK Full day / AM / PM",IF(AND('_Dates'!J801='_Dates'!T801,'_Dates'!U801&lt;&gt;"Full day",'_Dates'!V801&lt;&gt;"Full day",'_Dates'!U801&lt;&gt;'_Dates'!V801),"CHECK same-day portions disagree",IF(AND($B$6=0,OR(AND('_Dates'!U801&lt;&gt;"Full day",'_Dates'!AA801=0),AND('_Dates'!V801&lt;&gt;"Full day",'_Dates'!AB801=0))),"CHECK half-day on non-working date",IF(COUNTIF(Settings!$G$7:$G$11,D801)&lt;&gt;1,"CHECK leave type",IF(AND(Bookings!G801&lt;&gt;"Approved",Bookings!G801&lt;&gt;"Pending",Bookings!G801&lt;&gt;"Cancelled"),"CHECK status","OK")))))))))),"CHECK input"))</ns0:f>
        <ns0:v/>
      </ns0:c>
      <ns0:c r="G801" s="0">
        <ns0:f>IF(OR(F801&lt;&gt;"OK",$B$6&gt;0),0,0.5*(IF(('_Dates'!X801)&lt;('_Dates'!W801),0,INT((('_Dates'!X801)-('_Dates'!W801)+1)/7)*LEN(SUBSTITUTE(W801,"O",""))+LEN(SUBSTITUTE(MID(W801&amp;W801,WEEKDAY(('_Dates'!W801),2),MOD((('_Dates'!X801)-('_Dates'!W801)+1),7)),"O",""))-COUNTIFS(INDEX(AllClosureRows,C801,0),"&gt;="&amp;('_Dates'!W801),INDEX(AllClosureRows,C801,0),"&lt;="&amp;('_Dates'!X801)))+IF(('_Dates'!Z801)&lt;('_Dates'!Y801),0,INT((('_Dates'!Z801)-('_Dates'!Y801)+1)/7)*LEN(SUBSTITUTE(W801,"O",""))+LEN(SUBSTITUTE(MID(W801&amp;W801,WEEKDAY(('_Dates'!Y801),2),MOD((('_Dates'!Z801)-('_Dates'!Y801)+1),7)),"O",""))-COUNTIFS(INDEX(AllClosureRows,C801,0),"&gt;="&amp;('_Dates'!Y801),INDEX(AllClosureRows,C801,0),"&lt;="&amp;('_Dates'!Z801)))))</ns0:f>
        <ns0:v>0</ns0:v>
      </ns0:c>
      <ns0:c r="H801" s="0">
        <ns0:f>IF(OR(F801&lt;&gt;"OK",$B$6&gt;0),0,0.5*(IF((MIN('_Dates'!X801,Settings!$B$9))&lt;('_Dates'!W801),0,INT(((MIN('_Dates'!X801,Settings!$B$9))-('_Dates'!W801)+1)/7)*LEN(SUBSTITUTE(W801,"O",""))+LEN(SUBSTITUTE(MID(W801&amp;W801,WEEKDAY(('_Dates'!W801),2),MOD(((MIN('_Dates'!X801,Settings!$B$9))-('_Dates'!W801)+1),7)),"O",""))-COUNTIFS(INDEX(AllClosureRows,C801,0),"&gt;="&amp;('_Dates'!W801),INDEX(AllClosureRows,C801,0),"&lt;="&amp;(MIN('_Dates'!X801,Settings!$B$9))))+IF((MIN('_Dates'!Z801,Settings!$B$9))&lt;('_Dates'!Y801),0,INT(((MIN('_Dates'!Z801,Settings!$B$9))-('_Dates'!Y801)+1)/7)*LEN(SUBSTITUTE(W801,"O",""))+LEN(SUBSTITUTE(MID(W801&amp;W801,WEEKDAY(('_Dates'!Y801),2),MOD(((MIN('_Dates'!Z801,Settings!$B$9))-('_Dates'!Y801)+1),7)),"O",""))-COUNTIFS(INDEX(AllClosureRows,C801,0),"&gt;="&amp;('_Dates'!Y801),INDEX(AllClosureRows,C801,0),"&lt;="&amp;(MIN('_Dates'!Z801,Settings!$B$9))))))</ns0:f>
        <ns0:v>0</ns0:v>
      </ns0:c>
      <ns0:c r="I801" s="0">
        <ns0:f>MAX(0,G801-H801)</ns0:f>
        <ns0:v>0</ns0:v>
      </ns0:c>
      <ns0:c r="J801" s="0">
        <ns0:f>IF(OR(A801=0,F801&lt;&gt;"OK",Bookings!G801="Cancelled",$B$6&gt;0),0,IF('_Dates'!AC801=1,MAX(0,COUNTIFS(rngEngine_B,B801,rngAMStart,"&lt;="&amp;'_Dates'!X801,rngAMEnd,"&gt;="&amp;'_Dates'!W801,rngAMActive,1,rngEngine_F,"OK",rngBookings_F,"&lt;&gt;Cancelled")-1),0)+IF('_Dates'!AD801=1,MAX(0,COUNTIFS(rngEngine_B,B801,rngPMStart,"&lt;="&amp;'_Dates'!Z801,rngPMEnd,"&gt;="&amp;'_Dates'!Y801,rngPMActive,1,rngEngine_F,"OK",rngBookings_F,"&lt;&gt;Cancelled")-1),0))</ns0:f>
        <ns0:v>0</ns0:v>
      </ns0:c>
      <ns0:c r="K801" s="0" t="str">
        <ns0:f>IF(A801=0,"",IF(F801&lt;&gt;"OK",F801,IF(J801&gt;0,"CHECK overlapping entry",IF(AND($B$6=0,G801&lt;=0,Bookings!G801&lt;&gt;"Cancelled"),"CHECK no working days",IF(Bookings!G801="Cancelled","Cancelled","OK")))))</ns0:f>
        <ns0:v/>
      </ns0:c>
      <ns0:c r="L801" s="0">
        <ns0:f>IF(LEFT(K801,5)="CHECK",1,0)</ns0:f>
        <ns0:v>0</ns0:v>
      </ns0:c>
      <ns0:c r="M801" s="0">
        <ns0:f>IF(AND(L801=1,OR(C801=0,IFERROR(INDEX($X$11:$X$60,C801),0)=0)),1,0)</ns0:f>
        <ns0:v>0</ns0:v>
      </ns0:c>
      <ns0:c r="N801" s="0">
        <ns0:f>IF(OR(A801=0,L801&gt;0,$B$6&gt;0,Bookings!G801="Cancelled"),0,G801)</ns0:f>
        <ns0:v>0</ns0:v>
      </ns0:c>
      <ns0:c r="O801" s="0">
        <ns0:f>IF(AND(Bookings!G801="Approved",E801="Yes"),N801,0)</ns0:f>
        <ns0:v>0</ns0:v>
      </ns0:c>
      <ns0:c r="P801" s="0">
        <ns0:f>IF(AND(Bookings!G801="Approved",E801="Yes",L801=0,$B$6=0),H801,0)</ns0:f>
        <ns0:v>0</ns0:v>
      </ns0:c>
      <ns0:c r="Q801" s="0">
        <ns0:f>IF(AND(Bookings!G801="Approved",E801="Yes",L801=0,$B$6=0),I801,0)</ns0:f>
        <ns0:v>0</ns0:v>
      </ns0:c>
      <ns0:c r="R801" s="0">
        <ns0:f>IF(AND(Bookings!G801="Pending",E801="Yes"),N801,0)</ns0:f>
        <ns0:v>0</ns0:v>
      </ns0:c>
      <ns0:c r="S801" s="0">
        <ns0:f>IF(AND(Bookings!G801="Approved",E801="No"),N801,0)</ns0:f>
        <ns0:v>0</ns0:v>
      </ns0:c>
      <ns0:c r="T801" s="0">
        <ns0:f>IFERROR(MATCH(D801,Settings!$G$7:$G$11,0),0)</ns0:f>
        <ns0:v>0</ns0:v>
      </ns0:c>
      <ns0:c r="U801" s="0">
        <ns0:f>IF(N801&gt;0,T801+IF(Bookings!G801="Pending",10,0),0)</ns0:f>
        <ns0:v>0</ns0:v>
      </ns0:c>
      <ns0:c r="V801" s="0">
        <ns0:f>U801</ns0:f>
        <ns0:v>0</ns0:v>
      </ns0:c>
      <ns0:c r="W801" s="0" t="str">
        <ns0:f>IF(C801=0,"",INDEX($AP$11:$AP$60,C801))</ns0:f>
        <ns0:v/>
      </ns0:c>
    </ns0:row>
    <ns0:row r="802">
      <ns0:c r="A802" s="0">
        <ns0:f>IF(COUNTA(Bookings!A802:G802,Bookings!I802)=0,0,1)</ns0:f>
        <ns0:v>0</ns0:v>
      </ns0:c>
      <ns0:c r="B802" s="0" t="str">
        <ns0:f>IFERROR(TRIM(MID(Bookings!A802,FIND(" · ",Bookings!A802)+3,99)),"")</ns0:f>
        <ns0:v/>
      </ns0:c>
      <ns0:c r="C802" s="0">
        <ns0:f>IF(OR(B802="",LEN(B802)&gt;24,ISNUMBER(FIND(" ",B802)),ISNUMBER(FIND("*",B802)),ISNUMBER(FIND("?",B802)),ISNUMBER(FIND("~",B802))),0,IFERROR(MATCH(B802,Team!$A$11:$A$60,0),0))</ns0:f>
        <ns0:v>0</ns0:v>
      </ns0:c>
      <ns0:c r="D802" s="0" t="str">
        <ns0:f>IFERROR(IF(MID(Bookings!F802,LEN(Bookings!F802)-3,3)=" · ",RIGHT(Bookings!F802,1),""),"")</ns0:f>
        <ns0:v/>
      </ns0:c>
      <ns0:c r="E802" s="0" t="str">
        <ns0:f>IFERROR(INDEX(Settings!$H$7:$H$11,MATCH(D802,Settings!$G$7:$G$11,0)),"")</ns0:f>
        <ns0:v/>
      </ns0:c>
      <ns0:c r="F802" s="0" t="str">
        <ns0:f>IF(A802=0,"",IFERROR(IF(OR(B802="",C802=0),"CHECK employee selection",IF(INDEX(Team!$O$11:$O$60,C802)&lt;&gt;"OK","CHECK employee setup",IF(OR('_Dates'!J802=0,'_Dates'!T802=0),"CHECK date: use DD.MM.YYYY",IF('_Dates'!T802&lt;'_Dates'!J802,"CHECK end before start",IF(AND($B$6=0,OR('_Dates'!J802&lt;Settings!$B$7,'_Dates'!T802&gt;Settings!$B$8)),"CHECK split across leave years",IF(OR(NOT(OR('_Dates'!U802="Full day",'_Dates'!U802="AM",'_Dates'!U802="PM")),NOT(OR('_Dates'!V802="Full day",'_Dates'!V802="AM",'_Dates'!V802="PM"))),"CHECK Full day / AM / PM",IF(AND('_Dates'!J802='_Dates'!T802,'_Dates'!U802&lt;&gt;"Full day",'_Dates'!V802&lt;&gt;"Full day",'_Dates'!U802&lt;&gt;'_Dates'!V802),"CHECK same-day portions disagree",IF(AND($B$6=0,OR(AND('_Dates'!U802&lt;&gt;"Full day",'_Dates'!AA802=0),AND('_Dates'!V802&lt;&gt;"Full day",'_Dates'!AB802=0))),"CHECK half-day on non-working date",IF(COUNTIF(Settings!$G$7:$G$11,D802)&lt;&gt;1,"CHECK leave type",IF(AND(Bookings!G802&lt;&gt;"Approved",Bookings!G802&lt;&gt;"Pending",Bookings!G802&lt;&gt;"Cancelled"),"CHECK status","OK")))))))))),"CHECK input"))</ns0:f>
        <ns0:v/>
      </ns0:c>
      <ns0:c r="G802" s="0">
        <ns0:f>IF(OR(F802&lt;&gt;"OK",$B$6&gt;0),0,0.5*(IF(('_Dates'!X802)&lt;('_Dates'!W802),0,INT((('_Dates'!X802)-('_Dates'!W802)+1)/7)*LEN(SUBSTITUTE(W802,"O",""))+LEN(SUBSTITUTE(MID(W802&amp;W802,WEEKDAY(('_Dates'!W802),2),MOD((('_Dates'!X802)-('_Dates'!W802)+1),7)),"O",""))-COUNTIFS(INDEX(AllClosureRows,C802,0),"&gt;="&amp;('_Dates'!W802),INDEX(AllClosureRows,C802,0),"&lt;="&amp;('_Dates'!X802)))+IF(('_Dates'!Z802)&lt;('_Dates'!Y802),0,INT((('_Dates'!Z802)-('_Dates'!Y802)+1)/7)*LEN(SUBSTITUTE(W802,"O",""))+LEN(SUBSTITUTE(MID(W802&amp;W802,WEEKDAY(('_Dates'!Y802),2),MOD((('_Dates'!Z802)-('_Dates'!Y802)+1),7)),"O",""))-COUNTIFS(INDEX(AllClosureRows,C802,0),"&gt;="&amp;('_Dates'!Y802),INDEX(AllClosureRows,C802,0),"&lt;="&amp;('_Dates'!Z802)))))</ns0:f>
        <ns0:v>0</ns0:v>
      </ns0:c>
      <ns0:c r="H802" s="0">
        <ns0:f>IF(OR(F802&lt;&gt;"OK",$B$6&gt;0),0,0.5*(IF((MIN('_Dates'!X802,Settings!$B$9))&lt;('_Dates'!W802),0,INT(((MIN('_Dates'!X802,Settings!$B$9))-('_Dates'!W802)+1)/7)*LEN(SUBSTITUTE(W802,"O",""))+LEN(SUBSTITUTE(MID(W802&amp;W802,WEEKDAY(('_Dates'!W802),2),MOD(((MIN('_Dates'!X802,Settings!$B$9))-('_Dates'!W802)+1),7)),"O",""))-COUNTIFS(INDEX(AllClosureRows,C802,0),"&gt;="&amp;('_Dates'!W802),INDEX(AllClosureRows,C802,0),"&lt;="&amp;(MIN('_Dates'!X802,Settings!$B$9))))+IF((MIN('_Dates'!Z802,Settings!$B$9))&lt;('_Dates'!Y802),0,INT(((MIN('_Dates'!Z802,Settings!$B$9))-('_Dates'!Y802)+1)/7)*LEN(SUBSTITUTE(W802,"O",""))+LEN(SUBSTITUTE(MID(W802&amp;W802,WEEKDAY(('_Dates'!Y802),2),MOD(((MIN('_Dates'!Z802,Settings!$B$9))-('_Dates'!Y802)+1),7)),"O",""))-COUNTIFS(INDEX(AllClosureRows,C802,0),"&gt;="&amp;('_Dates'!Y802),INDEX(AllClosureRows,C802,0),"&lt;="&amp;(MIN('_Dates'!Z802,Settings!$B$9))))))</ns0:f>
        <ns0:v>0</ns0:v>
      </ns0:c>
      <ns0:c r="I802" s="0">
        <ns0:f>MAX(0,G802-H802)</ns0:f>
        <ns0:v>0</ns0:v>
      </ns0:c>
      <ns0:c r="J802" s="0">
        <ns0:f>IF(OR(A802=0,F802&lt;&gt;"OK",Bookings!G802="Cancelled",$B$6&gt;0),0,IF('_Dates'!AC802=1,MAX(0,COUNTIFS(rngEngine_B,B802,rngAMStart,"&lt;="&amp;'_Dates'!X802,rngAMEnd,"&gt;="&amp;'_Dates'!W802,rngAMActive,1,rngEngine_F,"OK",rngBookings_F,"&lt;&gt;Cancelled")-1),0)+IF('_Dates'!AD802=1,MAX(0,COUNTIFS(rngEngine_B,B802,rngPMStart,"&lt;="&amp;'_Dates'!Z802,rngPMEnd,"&gt;="&amp;'_Dates'!Y802,rngPMActive,1,rngEngine_F,"OK",rngBookings_F,"&lt;&gt;Cancelled")-1),0))</ns0:f>
        <ns0:v>0</ns0:v>
      </ns0:c>
      <ns0:c r="K802" s="0" t="str">
        <ns0:f>IF(A802=0,"",IF(F802&lt;&gt;"OK",F802,IF(J802&gt;0,"CHECK overlapping entry",IF(AND($B$6=0,G802&lt;=0,Bookings!G802&lt;&gt;"Cancelled"),"CHECK no working days",IF(Bookings!G802="Cancelled","Cancelled","OK")))))</ns0:f>
        <ns0:v/>
      </ns0:c>
      <ns0:c r="L802" s="0">
        <ns0:f>IF(LEFT(K802,5)="CHECK",1,0)</ns0:f>
        <ns0:v>0</ns0:v>
      </ns0:c>
      <ns0:c r="M802" s="0">
        <ns0:f>IF(AND(L802=1,OR(C802=0,IFERROR(INDEX($X$11:$X$60,C802),0)=0)),1,0)</ns0:f>
        <ns0:v>0</ns0:v>
      </ns0:c>
      <ns0:c r="N802" s="0">
        <ns0:f>IF(OR(A802=0,L802&gt;0,$B$6&gt;0,Bookings!G802="Cancelled"),0,G802)</ns0:f>
        <ns0:v>0</ns0:v>
      </ns0:c>
      <ns0:c r="O802" s="0">
        <ns0:f>IF(AND(Bookings!G802="Approved",E802="Yes"),N802,0)</ns0:f>
        <ns0:v>0</ns0:v>
      </ns0:c>
      <ns0:c r="P802" s="0">
        <ns0:f>IF(AND(Bookings!G802="Approved",E802="Yes",L802=0,$B$6=0),H802,0)</ns0:f>
        <ns0:v>0</ns0:v>
      </ns0:c>
      <ns0:c r="Q802" s="0">
        <ns0:f>IF(AND(Bookings!G802="Approved",E802="Yes",L802=0,$B$6=0),I802,0)</ns0:f>
        <ns0:v>0</ns0:v>
      </ns0:c>
      <ns0:c r="R802" s="0">
        <ns0:f>IF(AND(Bookings!G802="Pending",E802="Yes"),N802,0)</ns0:f>
        <ns0:v>0</ns0:v>
      </ns0:c>
      <ns0:c r="S802" s="0">
        <ns0:f>IF(AND(Bookings!G802="Approved",E802="No"),N802,0)</ns0:f>
        <ns0:v>0</ns0:v>
      </ns0:c>
      <ns0:c r="T802" s="0">
        <ns0:f>IFERROR(MATCH(D802,Settings!$G$7:$G$11,0),0)</ns0:f>
        <ns0:v>0</ns0:v>
      </ns0:c>
      <ns0:c r="U802" s="0">
        <ns0:f>IF(N802&gt;0,T802+IF(Bookings!G802="Pending",10,0),0)</ns0:f>
        <ns0:v>0</ns0:v>
      </ns0:c>
      <ns0:c r="V802" s="0">
        <ns0:f>U802</ns0:f>
        <ns0:v>0</ns0:v>
      </ns0:c>
      <ns0:c r="W802" s="0" t="str">
        <ns0:f>IF(C802=0,"",INDEX($AP$11:$AP$60,C802))</ns0:f>
        <ns0:v/>
      </ns0:c>
    </ns0:row>
    <ns0:row r="803">
      <ns0:c r="A803" s="0">
        <ns0:f>IF(COUNTA(Bookings!A803:G803,Bookings!I803)=0,0,1)</ns0:f>
        <ns0:v>0</ns0:v>
      </ns0:c>
      <ns0:c r="B803" s="0" t="str">
        <ns0:f>IFERROR(TRIM(MID(Bookings!A803,FIND(" · ",Bookings!A803)+3,99)),"")</ns0:f>
        <ns0:v/>
      </ns0:c>
      <ns0:c r="C803" s="0">
        <ns0:f>IF(OR(B803="",LEN(B803)&gt;24,ISNUMBER(FIND(" ",B803)),ISNUMBER(FIND("*",B803)),ISNUMBER(FIND("?",B803)),ISNUMBER(FIND("~",B803))),0,IFERROR(MATCH(B803,Team!$A$11:$A$60,0),0))</ns0:f>
        <ns0:v>0</ns0:v>
      </ns0:c>
      <ns0:c r="D803" s="0" t="str">
        <ns0:f>IFERROR(IF(MID(Bookings!F803,LEN(Bookings!F803)-3,3)=" · ",RIGHT(Bookings!F803,1),""),"")</ns0:f>
        <ns0:v/>
      </ns0:c>
      <ns0:c r="E803" s="0" t="str">
        <ns0:f>IFERROR(INDEX(Settings!$H$7:$H$11,MATCH(D803,Settings!$G$7:$G$11,0)),"")</ns0:f>
        <ns0:v/>
      </ns0:c>
      <ns0:c r="F803" s="0" t="str">
        <ns0:f>IF(A803=0,"",IFERROR(IF(OR(B803="",C803=0),"CHECK employee selection",IF(INDEX(Team!$O$11:$O$60,C803)&lt;&gt;"OK","CHECK employee setup",IF(OR('_Dates'!J803=0,'_Dates'!T803=0),"CHECK date: use DD.MM.YYYY",IF('_Dates'!T803&lt;'_Dates'!J803,"CHECK end before start",IF(AND($B$6=0,OR('_Dates'!J803&lt;Settings!$B$7,'_Dates'!T803&gt;Settings!$B$8)),"CHECK split across leave years",IF(OR(NOT(OR('_Dates'!U803="Full day",'_Dates'!U803="AM",'_Dates'!U803="PM")),NOT(OR('_Dates'!V803="Full day",'_Dates'!V803="AM",'_Dates'!V803="PM"))),"CHECK Full day / AM / PM",IF(AND('_Dates'!J803='_Dates'!T803,'_Dates'!U803&lt;&gt;"Full day",'_Dates'!V803&lt;&gt;"Full day",'_Dates'!U803&lt;&gt;'_Dates'!V803),"CHECK same-day portions disagree",IF(AND($B$6=0,OR(AND('_Dates'!U803&lt;&gt;"Full day",'_Dates'!AA803=0),AND('_Dates'!V803&lt;&gt;"Full day",'_Dates'!AB803=0))),"CHECK half-day on non-working date",IF(COUNTIF(Settings!$G$7:$G$11,D803)&lt;&gt;1,"CHECK leave type",IF(AND(Bookings!G803&lt;&gt;"Approved",Bookings!G803&lt;&gt;"Pending",Bookings!G803&lt;&gt;"Cancelled"),"CHECK status","OK")))))))))),"CHECK input"))</ns0:f>
        <ns0:v/>
      </ns0:c>
      <ns0:c r="G803" s="0">
        <ns0:f>IF(OR(F803&lt;&gt;"OK",$B$6&gt;0),0,0.5*(IF(('_Dates'!X803)&lt;('_Dates'!W803),0,INT((('_Dates'!X803)-('_Dates'!W803)+1)/7)*LEN(SUBSTITUTE(W803,"O",""))+LEN(SUBSTITUTE(MID(W803&amp;W803,WEEKDAY(('_Dates'!W803),2),MOD((('_Dates'!X803)-('_Dates'!W803)+1),7)),"O",""))-COUNTIFS(INDEX(AllClosureRows,C803,0),"&gt;="&amp;('_Dates'!W803),INDEX(AllClosureRows,C803,0),"&lt;="&amp;('_Dates'!X803)))+IF(('_Dates'!Z803)&lt;('_Dates'!Y803),0,INT((('_Dates'!Z803)-('_Dates'!Y803)+1)/7)*LEN(SUBSTITUTE(W803,"O",""))+LEN(SUBSTITUTE(MID(W803&amp;W803,WEEKDAY(('_Dates'!Y803),2),MOD((('_Dates'!Z803)-('_Dates'!Y803)+1),7)),"O",""))-COUNTIFS(INDEX(AllClosureRows,C803,0),"&gt;="&amp;('_Dates'!Y803),INDEX(AllClosureRows,C803,0),"&lt;="&amp;('_Dates'!Z803)))))</ns0:f>
        <ns0:v>0</ns0:v>
      </ns0:c>
      <ns0:c r="H803" s="0">
        <ns0:f>IF(OR(F803&lt;&gt;"OK",$B$6&gt;0),0,0.5*(IF((MIN('_Dates'!X803,Settings!$B$9))&lt;('_Dates'!W803),0,INT(((MIN('_Dates'!X803,Settings!$B$9))-('_Dates'!W803)+1)/7)*LEN(SUBSTITUTE(W803,"O",""))+LEN(SUBSTITUTE(MID(W803&amp;W803,WEEKDAY(('_Dates'!W803),2),MOD(((MIN('_Dates'!X803,Settings!$B$9))-('_Dates'!W803)+1),7)),"O",""))-COUNTIFS(INDEX(AllClosureRows,C803,0),"&gt;="&amp;('_Dates'!W803),INDEX(AllClosureRows,C803,0),"&lt;="&amp;(MIN('_Dates'!X803,Settings!$B$9))))+IF((MIN('_Dates'!Z803,Settings!$B$9))&lt;('_Dates'!Y803),0,INT(((MIN('_Dates'!Z803,Settings!$B$9))-('_Dates'!Y803)+1)/7)*LEN(SUBSTITUTE(W803,"O",""))+LEN(SUBSTITUTE(MID(W803&amp;W803,WEEKDAY(('_Dates'!Y803),2),MOD(((MIN('_Dates'!Z803,Settings!$B$9))-('_Dates'!Y803)+1),7)),"O",""))-COUNTIFS(INDEX(AllClosureRows,C803,0),"&gt;="&amp;('_Dates'!Y803),INDEX(AllClosureRows,C803,0),"&lt;="&amp;(MIN('_Dates'!Z803,Settings!$B$9))))))</ns0:f>
        <ns0:v>0</ns0:v>
      </ns0:c>
      <ns0:c r="I803" s="0">
        <ns0:f>MAX(0,G803-H803)</ns0:f>
        <ns0:v>0</ns0:v>
      </ns0:c>
      <ns0:c r="J803" s="0">
        <ns0:f>IF(OR(A803=0,F803&lt;&gt;"OK",Bookings!G803="Cancelled",$B$6&gt;0),0,IF('_Dates'!AC803=1,MAX(0,COUNTIFS(rngEngine_B,B803,rngAMStart,"&lt;="&amp;'_Dates'!X803,rngAMEnd,"&gt;="&amp;'_Dates'!W803,rngAMActive,1,rngEngine_F,"OK",rngBookings_F,"&lt;&gt;Cancelled")-1),0)+IF('_Dates'!AD803=1,MAX(0,COUNTIFS(rngEngine_B,B803,rngPMStart,"&lt;="&amp;'_Dates'!Z803,rngPMEnd,"&gt;="&amp;'_Dates'!Y803,rngPMActive,1,rngEngine_F,"OK",rngBookings_F,"&lt;&gt;Cancelled")-1),0))</ns0:f>
        <ns0:v>0</ns0:v>
      </ns0:c>
      <ns0:c r="K803" s="0" t="str">
        <ns0:f>IF(A803=0,"",IF(F803&lt;&gt;"OK",F803,IF(J803&gt;0,"CHECK overlapping entry",IF(AND($B$6=0,G803&lt;=0,Bookings!G803&lt;&gt;"Cancelled"),"CHECK no working days",IF(Bookings!G803="Cancelled","Cancelled","OK")))))</ns0:f>
        <ns0:v/>
      </ns0:c>
      <ns0:c r="L803" s="0">
        <ns0:f>IF(LEFT(K803,5)="CHECK",1,0)</ns0:f>
        <ns0:v>0</ns0:v>
      </ns0:c>
      <ns0:c r="M803" s="0">
        <ns0:f>IF(AND(L803=1,OR(C803=0,IFERROR(INDEX($X$11:$X$60,C803),0)=0)),1,0)</ns0:f>
        <ns0:v>0</ns0:v>
      </ns0:c>
      <ns0:c r="N803" s="0">
        <ns0:f>IF(OR(A803=0,L803&gt;0,$B$6&gt;0,Bookings!G803="Cancelled"),0,G803)</ns0:f>
        <ns0:v>0</ns0:v>
      </ns0:c>
      <ns0:c r="O803" s="0">
        <ns0:f>IF(AND(Bookings!G803="Approved",E803="Yes"),N803,0)</ns0:f>
        <ns0:v>0</ns0:v>
      </ns0:c>
      <ns0:c r="P803" s="0">
        <ns0:f>IF(AND(Bookings!G803="Approved",E803="Yes",L803=0,$B$6=0),H803,0)</ns0:f>
        <ns0:v>0</ns0:v>
      </ns0:c>
      <ns0:c r="Q803" s="0">
        <ns0:f>IF(AND(Bookings!G803="Approved",E803="Yes",L803=0,$B$6=0),I803,0)</ns0:f>
        <ns0:v>0</ns0:v>
      </ns0:c>
      <ns0:c r="R803" s="0">
        <ns0:f>IF(AND(Bookings!G803="Pending",E803="Yes"),N803,0)</ns0:f>
        <ns0:v>0</ns0:v>
      </ns0:c>
      <ns0:c r="S803" s="0">
        <ns0:f>IF(AND(Bookings!G803="Approved",E803="No"),N803,0)</ns0:f>
        <ns0:v>0</ns0:v>
      </ns0:c>
      <ns0:c r="T803" s="0">
        <ns0:f>IFERROR(MATCH(D803,Settings!$G$7:$G$11,0),0)</ns0:f>
        <ns0:v>0</ns0:v>
      </ns0:c>
      <ns0:c r="U803" s="0">
        <ns0:f>IF(N803&gt;0,T803+IF(Bookings!G803="Pending",10,0),0)</ns0:f>
        <ns0:v>0</ns0:v>
      </ns0:c>
      <ns0:c r="V803" s="0">
        <ns0:f>U803</ns0:f>
        <ns0:v>0</ns0:v>
      </ns0:c>
      <ns0:c r="W803" s="0" t="str">
        <ns0:f>IF(C803=0,"",INDEX($AP$11:$AP$60,C803))</ns0:f>
        <ns0:v/>
      </ns0:c>
    </ns0:row>
    <ns0:row r="804">
      <ns0:c r="A804" s="0">
        <ns0:f>IF(COUNTA(Bookings!A804:G804,Bookings!I804)=0,0,1)</ns0:f>
        <ns0:v>0</ns0:v>
      </ns0:c>
      <ns0:c r="B804" s="0" t="str">
        <ns0:f>IFERROR(TRIM(MID(Bookings!A804,FIND(" · ",Bookings!A804)+3,99)),"")</ns0:f>
        <ns0:v/>
      </ns0:c>
      <ns0:c r="C804" s="0">
        <ns0:f>IF(OR(B804="",LEN(B804)&gt;24,ISNUMBER(FIND(" ",B804)),ISNUMBER(FIND("*",B804)),ISNUMBER(FIND("?",B804)),ISNUMBER(FIND("~",B804))),0,IFERROR(MATCH(B804,Team!$A$11:$A$60,0),0))</ns0:f>
        <ns0:v>0</ns0:v>
      </ns0:c>
      <ns0:c r="D804" s="0" t="str">
        <ns0:f>IFERROR(IF(MID(Bookings!F804,LEN(Bookings!F804)-3,3)=" · ",RIGHT(Bookings!F804,1),""),"")</ns0:f>
        <ns0:v/>
      </ns0:c>
      <ns0:c r="E804" s="0" t="str">
        <ns0:f>IFERROR(INDEX(Settings!$H$7:$H$11,MATCH(D804,Settings!$G$7:$G$11,0)),"")</ns0:f>
        <ns0:v/>
      </ns0:c>
      <ns0:c r="F804" s="0" t="str">
        <ns0:f>IF(A804=0,"",IFERROR(IF(OR(B804="",C804=0),"CHECK employee selection",IF(INDEX(Team!$O$11:$O$60,C804)&lt;&gt;"OK","CHECK employee setup",IF(OR('_Dates'!J804=0,'_Dates'!T804=0),"CHECK date: use DD.MM.YYYY",IF('_Dates'!T804&lt;'_Dates'!J804,"CHECK end before start",IF(AND($B$6=0,OR('_Dates'!J804&lt;Settings!$B$7,'_Dates'!T804&gt;Settings!$B$8)),"CHECK split across leave years",IF(OR(NOT(OR('_Dates'!U804="Full day",'_Dates'!U804="AM",'_Dates'!U804="PM")),NOT(OR('_Dates'!V804="Full day",'_Dates'!V804="AM",'_Dates'!V804="PM"))),"CHECK Full day / AM / PM",IF(AND('_Dates'!J804='_Dates'!T804,'_Dates'!U804&lt;&gt;"Full day",'_Dates'!V804&lt;&gt;"Full day",'_Dates'!U804&lt;&gt;'_Dates'!V804),"CHECK same-day portions disagree",IF(AND($B$6=0,OR(AND('_Dates'!U804&lt;&gt;"Full day",'_Dates'!AA804=0),AND('_Dates'!V804&lt;&gt;"Full day",'_Dates'!AB804=0))),"CHECK half-day on non-working date",IF(COUNTIF(Settings!$G$7:$G$11,D804)&lt;&gt;1,"CHECK leave type",IF(AND(Bookings!G804&lt;&gt;"Approved",Bookings!G804&lt;&gt;"Pending",Bookings!G804&lt;&gt;"Cancelled"),"CHECK status","OK")))))))))),"CHECK input"))</ns0:f>
        <ns0:v/>
      </ns0:c>
      <ns0:c r="G804" s="0">
        <ns0:f>IF(OR(F804&lt;&gt;"OK",$B$6&gt;0),0,0.5*(IF(('_Dates'!X804)&lt;('_Dates'!W804),0,INT((('_Dates'!X804)-('_Dates'!W804)+1)/7)*LEN(SUBSTITUTE(W804,"O",""))+LEN(SUBSTITUTE(MID(W804&amp;W804,WEEKDAY(('_Dates'!W804),2),MOD((('_Dates'!X804)-('_Dates'!W804)+1),7)),"O",""))-COUNTIFS(INDEX(AllClosureRows,C804,0),"&gt;="&amp;('_Dates'!W804),INDEX(AllClosureRows,C804,0),"&lt;="&amp;('_Dates'!X804)))+IF(('_Dates'!Z804)&lt;('_Dates'!Y804),0,INT((('_Dates'!Z804)-('_Dates'!Y804)+1)/7)*LEN(SUBSTITUTE(W804,"O",""))+LEN(SUBSTITUTE(MID(W804&amp;W804,WEEKDAY(('_Dates'!Y804),2),MOD((('_Dates'!Z804)-('_Dates'!Y804)+1),7)),"O",""))-COUNTIFS(INDEX(AllClosureRows,C804,0),"&gt;="&amp;('_Dates'!Y804),INDEX(AllClosureRows,C804,0),"&lt;="&amp;('_Dates'!Z804)))))</ns0:f>
        <ns0:v>0</ns0:v>
      </ns0:c>
      <ns0:c r="H804" s="0">
        <ns0:f>IF(OR(F804&lt;&gt;"OK",$B$6&gt;0),0,0.5*(IF((MIN('_Dates'!X804,Settings!$B$9))&lt;('_Dates'!W804),0,INT(((MIN('_Dates'!X804,Settings!$B$9))-('_Dates'!W804)+1)/7)*LEN(SUBSTITUTE(W804,"O",""))+LEN(SUBSTITUTE(MID(W804&amp;W804,WEEKDAY(('_Dates'!W804),2),MOD(((MIN('_Dates'!X804,Settings!$B$9))-('_Dates'!W804)+1),7)),"O",""))-COUNTIFS(INDEX(AllClosureRows,C804,0),"&gt;="&amp;('_Dates'!W804),INDEX(AllClosureRows,C804,0),"&lt;="&amp;(MIN('_Dates'!X804,Settings!$B$9))))+IF((MIN('_Dates'!Z804,Settings!$B$9))&lt;('_Dates'!Y804),0,INT(((MIN('_Dates'!Z804,Settings!$B$9))-('_Dates'!Y804)+1)/7)*LEN(SUBSTITUTE(W804,"O",""))+LEN(SUBSTITUTE(MID(W804&amp;W804,WEEKDAY(('_Dates'!Y804),2),MOD(((MIN('_Dates'!Z804,Settings!$B$9))-('_Dates'!Y804)+1),7)),"O",""))-COUNTIFS(INDEX(AllClosureRows,C804,0),"&gt;="&amp;('_Dates'!Y804),INDEX(AllClosureRows,C804,0),"&lt;="&amp;(MIN('_Dates'!Z804,Settings!$B$9))))))</ns0:f>
        <ns0:v>0</ns0:v>
      </ns0:c>
      <ns0:c r="I804" s="0">
        <ns0:f>MAX(0,G804-H804)</ns0:f>
        <ns0:v>0</ns0:v>
      </ns0:c>
      <ns0:c r="J804" s="0">
        <ns0:f>IF(OR(A804=0,F804&lt;&gt;"OK",Bookings!G804="Cancelled",$B$6&gt;0),0,IF('_Dates'!AC804=1,MAX(0,COUNTIFS(rngEngine_B,B804,rngAMStart,"&lt;="&amp;'_Dates'!X804,rngAMEnd,"&gt;="&amp;'_Dates'!W804,rngAMActive,1,rngEngine_F,"OK",rngBookings_F,"&lt;&gt;Cancelled")-1),0)+IF('_Dates'!AD804=1,MAX(0,COUNTIFS(rngEngine_B,B804,rngPMStart,"&lt;="&amp;'_Dates'!Z804,rngPMEnd,"&gt;="&amp;'_Dates'!Y804,rngPMActive,1,rngEngine_F,"OK",rngBookings_F,"&lt;&gt;Cancelled")-1),0))</ns0:f>
        <ns0:v>0</ns0:v>
      </ns0:c>
      <ns0:c r="K804" s="0" t="str">
        <ns0:f>IF(A804=0,"",IF(F804&lt;&gt;"OK",F804,IF(J804&gt;0,"CHECK overlapping entry",IF(AND($B$6=0,G804&lt;=0,Bookings!G804&lt;&gt;"Cancelled"),"CHECK no working days",IF(Bookings!G804="Cancelled","Cancelled","OK")))))</ns0:f>
        <ns0:v/>
      </ns0:c>
      <ns0:c r="L804" s="0">
        <ns0:f>IF(LEFT(K804,5)="CHECK",1,0)</ns0:f>
        <ns0:v>0</ns0:v>
      </ns0:c>
      <ns0:c r="M804" s="0">
        <ns0:f>IF(AND(L804=1,OR(C804=0,IFERROR(INDEX($X$11:$X$60,C804),0)=0)),1,0)</ns0:f>
        <ns0:v>0</ns0:v>
      </ns0:c>
      <ns0:c r="N804" s="0">
        <ns0:f>IF(OR(A804=0,L804&gt;0,$B$6&gt;0,Bookings!G804="Cancelled"),0,G804)</ns0:f>
        <ns0:v>0</ns0:v>
      </ns0:c>
      <ns0:c r="O804" s="0">
        <ns0:f>IF(AND(Bookings!G804="Approved",E804="Yes"),N804,0)</ns0:f>
        <ns0:v>0</ns0:v>
      </ns0:c>
      <ns0:c r="P804" s="0">
        <ns0:f>IF(AND(Bookings!G804="Approved",E804="Yes",L804=0,$B$6=0),H804,0)</ns0:f>
        <ns0:v>0</ns0:v>
      </ns0:c>
      <ns0:c r="Q804" s="0">
        <ns0:f>IF(AND(Bookings!G804="Approved",E804="Yes",L804=0,$B$6=0),I804,0)</ns0:f>
        <ns0:v>0</ns0:v>
      </ns0:c>
      <ns0:c r="R804" s="0">
        <ns0:f>IF(AND(Bookings!G804="Pending",E804="Yes"),N804,0)</ns0:f>
        <ns0:v>0</ns0:v>
      </ns0:c>
      <ns0:c r="S804" s="0">
        <ns0:f>IF(AND(Bookings!G804="Approved",E804="No"),N804,0)</ns0:f>
        <ns0:v>0</ns0:v>
      </ns0:c>
      <ns0:c r="T804" s="0">
        <ns0:f>IFERROR(MATCH(D804,Settings!$G$7:$G$11,0),0)</ns0:f>
        <ns0:v>0</ns0:v>
      </ns0:c>
      <ns0:c r="U804" s="0">
        <ns0:f>IF(N804&gt;0,T804+IF(Bookings!G804="Pending",10,0),0)</ns0:f>
        <ns0:v>0</ns0:v>
      </ns0:c>
      <ns0:c r="V804" s="0">
        <ns0:f>U804</ns0:f>
        <ns0:v>0</ns0:v>
      </ns0:c>
      <ns0:c r="W804" s="0" t="str">
        <ns0:f>IF(C804=0,"",INDEX($AP$11:$AP$60,C804))</ns0:f>
        <ns0:v/>
      </ns0:c>
    </ns0:row>
    <ns0:row r="805">
      <ns0:c r="A805" s="0">
        <ns0:f>IF(COUNTA(Bookings!A805:G805,Bookings!I805)=0,0,1)</ns0:f>
        <ns0:v>0</ns0:v>
      </ns0:c>
      <ns0:c r="B805" s="0" t="str">
        <ns0:f>IFERROR(TRIM(MID(Bookings!A805,FIND(" · ",Bookings!A805)+3,99)),"")</ns0:f>
        <ns0:v/>
      </ns0:c>
      <ns0:c r="C805" s="0">
        <ns0:f>IF(OR(B805="",LEN(B805)&gt;24,ISNUMBER(FIND(" ",B805)),ISNUMBER(FIND("*",B805)),ISNUMBER(FIND("?",B805)),ISNUMBER(FIND("~",B805))),0,IFERROR(MATCH(B805,Team!$A$11:$A$60,0),0))</ns0:f>
        <ns0:v>0</ns0:v>
      </ns0:c>
      <ns0:c r="D805" s="0" t="str">
        <ns0:f>IFERROR(IF(MID(Bookings!F805,LEN(Bookings!F805)-3,3)=" · ",RIGHT(Bookings!F805,1),""),"")</ns0:f>
        <ns0:v/>
      </ns0:c>
      <ns0:c r="E805" s="0" t="str">
        <ns0:f>IFERROR(INDEX(Settings!$H$7:$H$11,MATCH(D805,Settings!$G$7:$G$11,0)),"")</ns0:f>
        <ns0:v/>
      </ns0:c>
      <ns0:c r="F805" s="0" t="str">
        <ns0:f>IF(A805=0,"",IFERROR(IF(OR(B805="",C805=0),"CHECK employee selection",IF(INDEX(Team!$O$11:$O$60,C805)&lt;&gt;"OK","CHECK employee setup",IF(OR('_Dates'!J805=0,'_Dates'!T805=0),"CHECK date: use DD.MM.YYYY",IF('_Dates'!T805&lt;'_Dates'!J805,"CHECK end before start",IF(AND($B$6=0,OR('_Dates'!J805&lt;Settings!$B$7,'_Dates'!T805&gt;Settings!$B$8)),"CHECK split across leave years",IF(OR(NOT(OR('_Dates'!U805="Full day",'_Dates'!U805="AM",'_Dates'!U805="PM")),NOT(OR('_Dates'!V805="Full day",'_Dates'!V805="AM",'_Dates'!V805="PM"))),"CHECK Full day / AM / PM",IF(AND('_Dates'!J805='_Dates'!T805,'_Dates'!U805&lt;&gt;"Full day",'_Dates'!V805&lt;&gt;"Full day",'_Dates'!U805&lt;&gt;'_Dates'!V805),"CHECK same-day portions disagree",IF(AND($B$6=0,OR(AND('_Dates'!U805&lt;&gt;"Full day",'_Dates'!AA805=0),AND('_Dates'!V805&lt;&gt;"Full day",'_Dates'!AB805=0))),"CHECK half-day on non-working date",IF(COUNTIF(Settings!$G$7:$G$11,D805)&lt;&gt;1,"CHECK leave type",IF(AND(Bookings!G805&lt;&gt;"Approved",Bookings!G805&lt;&gt;"Pending",Bookings!G805&lt;&gt;"Cancelled"),"CHECK status","OK")))))))))),"CHECK input"))</ns0:f>
        <ns0:v/>
      </ns0:c>
      <ns0:c r="G805" s="0">
        <ns0:f>IF(OR(F805&lt;&gt;"OK",$B$6&gt;0),0,0.5*(IF(('_Dates'!X805)&lt;('_Dates'!W805),0,INT((('_Dates'!X805)-('_Dates'!W805)+1)/7)*LEN(SUBSTITUTE(W805,"O",""))+LEN(SUBSTITUTE(MID(W805&amp;W805,WEEKDAY(('_Dates'!W805),2),MOD((('_Dates'!X805)-('_Dates'!W805)+1),7)),"O",""))-COUNTIFS(INDEX(AllClosureRows,C805,0),"&gt;="&amp;('_Dates'!W805),INDEX(AllClosureRows,C805,0),"&lt;="&amp;('_Dates'!X805)))+IF(('_Dates'!Z805)&lt;('_Dates'!Y805),0,INT((('_Dates'!Z805)-('_Dates'!Y805)+1)/7)*LEN(SUBSTITUTE(W805,"O",""))+LEN(SUBSTITUTE(MID(W805&amp;W805,WEEKDAY(('_Dates'!Y805),2),MOD((('_Dates'!Z805)-('_Dates'!Y805)+1),7)),"O",""))-COUNTIFS(INDEX(AllClosureRows,C805,0),"&gt;="&amp;('_Dates'!Y805),INDEX(AllClosureRows,C805,0),"&lt;="&amp;('_Dates'!Z805)))))</ns0:f>
        <ns0:v>0</ns0:v>
      </ns0:c>
      <ns0:c r="H805" s="0">
        <ns0:f>IF(OR(F805&lt;&gt;"OK",$B$6&gt;0),0,0.5*(IF((MIN('_Dates'!X805,Settings!$B$9))&lt;('_Dates'!W805),0,INT(((MIN('_Dates'!X805,Settings!$B$9))-('_Dates'!W805)+1)/7)*LEN(SUBSTITUTE(W805,"O",""))+LEN(SUBSTITUTE(MID(W805&amp;W805,WEEKDAY(('_Dates'!W805),2),MOD(((MIN('_Dates'!X805,Settings!$B$9))-('_Dates'!W805)+1),7)),"O",""))-COUNTIFS(INDEX(AllClosureRows,C805,0),"&gt;="&amp;('_Dates'!W805),INDEX(AllClosureRows,C805,0),"&lt;="&amp;(MIN('_Dates'!X805,Settings!$B$9))))+IF((MIN('_Dates'!Z805,Settings!$B$9))&lt;('_Dates'!Y805),0,INT(((MIN('_Dates'!Z805,Settings!$B$9))-('_Dates'!Y805)+1)/7)*LEN(SUBSTITUTE(W805,"O",""))+LEN(SUBSTITUTE(MID(W805&amp;W805,WEEKDAY(('_Dates'!Y805),2),MOD(((MIN('_Dates'!Z805,Settings!$B$9))-('_Dates'!Y805)+1),7)),"O",""))-COUNTIFS(INDEX(AllClosureRows,C805,0),"&gt;="&amp;('_Dates'!Y805),INDEX(AllClosureRows,C805,0),"&lt;="&amp;(MIN('_Dates'!Z805,Settings!$B$9))))))</ns0:f>
        <ns0:v>0</ns0:v>
      </ns0:c>
      <ns0:c r="I805" s="0">
        <ns0:f>MAX(0,G805-H805)</ns0:f>
        <ns0:v>0</ns0:v>
      </ns0:c>
      <ns0:c r="J805" s="0">
        <ns0:f>IF(OR(A805=0,F805&lt;&gt;"OK",Bookings!G805="Cancelled",$B$6&gt;0),0,IF('_Dates'!AC805=1,MAX(0,COUNTIFS(rngEngine_B,B805,rngAMStart,"&lt;="&amp;'_Dates'!X805,rngAMEnd,"&gt;="&amp;'_Dates'!W805,rngAMActive,1,rngEngine_F,"OK",rngBookings_F,"&lt;&gt;Cancelled")-1),0)+IF('_Dates'!AD805=1,MAX(0,COUNTIFS(rngEngine_B,B805,rngPMStart,"&lt;="&amp;'_Dates'!Z805,rngPMEnd,"&gt;="&amp;'_Dates'!Y805,rngPMActive,1,rngEngine_F,"OK",rngBookings_F,"&lt;&gt;Cancelled")-1),0))</ns0:f>
        <ns0:v>0</ns0:v>
      </ns0:c>
      <ns0:c r="K805" s="0" t="str">
        <ns0:f>IF(A805=0,"",IF(F805&lt;&gt;"OK",F805,IF(J805&gt;0,"CHECK overlapping entry",IF(AND($B$6=0,G805&lt;=0,Bookings!G805&lt;&gt;"Cancelled"),"CHECK no working days",IF(Bookings!G805="Cancelled","Cancelled","OK")))))</ns0:f>
        <ns0:v/>
      </ns0:c>
      <ns0:c r="L805" s="0">
        <ns0:f>IF(LEFT(K805,5)="CHECK",1,0)</ns0:f>
        <ns0:v>0</ns0:v>
      </ns0:c>
      <ns0:c r="M805" s="0">
        <ns0:f>IF(AND(L805=1,OR(C805=0,IFERROR(INDEX($X$11:$X$60,C805),0)=0)),1,0)</ns0:f>
        <ns0:v>0</ns0:v>
      </ns0:c>
      <ns0:c r="N805" s="0">
        <ns0:f>IF(OR(A805=0,L805&gt;0,$B$6&gt;0,Bookings!G805="Cancelled"),0,G805)</ns0:f>
        <ns0:v>0</ns0:v>
      </ns0:c>
      <ns0:c r="O805" s="0">
        <ns0:f>IF(AND(Bookings!G805="Approved",E805="Yes"),N805,0)</ns0:f>
        <ns0:v>0</ns0:v>
      </ns0:c>
      <ns0:c r="P805" s="0">
        <ns0:f>IF(AND(Bookings!G805="Approved",E805="Yes",L805=0,$B$6=0),H805,0)</ns0:f>
        <ns0:v>0</ns0:v>
      </ns0:c>
      <ns0:c r="Q805" s="0">
        <ns0:f>IF(AND(Bookings!G805="Approved",E805="Yes",L805=0,$B$6=0),I805,0)</ns0:f>
        <ns0:v>0</ns0:v>
      </ns0:c>
      <ns0:c r="R805" s="0">
        <ns0:f>IF(AND(Bookings!G805="Pending",E805="Yes"),N805,0)</ns0:f>
        <ns0:v>0</ns0:v>
      </ns0:c>
      <ns0:c r="S805" s="0">
        <ns0:f>IF(AND(Bookings!G805="Approved",E805="No"),N805,0)</ns0:f>
        <ns0:v>0</ns0:v>
      </ns0:c>
      <ns0:c r="T805" s="0">
        <ns0:f>IFERROR(MATCH(D805,Settings!$G$7:$G$11,0),0)</ns0:f>
        <ns0:v>0</ns0:v>
      </ns0:c>
      <ns0:c r="U805" s="0">
        <ns0:f>IF(N805&gt;0,T805+IF(Bookings!G805="Pending",10,0),0)</ns0:f>
        <ns0:v>0</ns0:v>
      </ns0:c>
      <ns0:c r="V805" s="0">
        <ns0:f>U805</ns0:f>
        <ns0:v>0</ns0:v>
      </ns0:c>
      <ns0:c r="W805" s="0" t="str">
        <ns0:f>IF(C805=0,"",INDEX($AP$11:$AP$60,C805))</ns0:f>
        <ns0:v/>
      </ns0:c>
    </ns0:row>
    <ns0:row r="806">
      <ns0:c r="A806" s="0">
        <ns0:f>IF(COUNTA(Bookings!A806:G806,Bookings!I806)=0,0,1)</ns0:f>
        <ns0:v>0</ns0:v>
      </ns0:c>
      <ns0:c r="B806" s="0" t="str">
        <ns0:f>IFERROR(TRIM(MID(Bookings!A806,FIND(" · ",Bookings!A806)+3,99)),"")</ns0:f>
        <ns0:v/>
      </ns0:c>
      <ns0:c r="C806" s="0">
        <ns0:f>IF(OR(B806="",LEN(B806)&gt;24,ISNUMBER(FIND(" ",B806)),ISNUMBER(FIND("*",B806)),ISNUMBER(FIND("?",B806)),ISNUMBER(FIND("~",B806))),0,IFERROR(MATCH(B806,Team!$A$11:$A$60,0),0))</ns0:f>
        <ns0:v>0</ns0:v>
      </ns0:c>
      <ns0:c r="D806" s="0" t="str">
        <ns0:f>IFERROR(IF(MID(Bookings!F806,LEN(Bookings!F806)-3,3)=" · ",RIGHT(Bookings!F806,1),""),"")</ns0:f>
        <ns0:v/>
      </ns0:c>
      <ns0:c r="E806" s="0" t="str">
        <ns0:f>IFERROR(INDEX(Settings!$H$7:$H$11,MATCH(D806,Settings!$G$7:$G$11,0)),"")</ns0:f>
        <ns0:v/>
      </ns0:c>
      <ns0:c r="F806" s="0" t="str">
        <ns0:f>IF(A806=0,"",IFERROR(IF(OR(B806="",C806=0),"CHECK employee selection",IF(INDEX(Team!$O$11:$O$60,C806)&lt;&gt;"OK","CHECK employee setup",IF(OR('_Dates'!J806=0,'_Dates'!T806=0),"CHECK date: use DD.MM.YYYY",IF('_Dates'!T806&lt;'_Dates'!J806,"CHECK end before start",IF(AND($B$6=0,OR('_Dates'!J806&lt;Settings!$B$7,'_Dates'!T806&gt;Settings!$B$8)),"CHECK split across leave years",IF(OR(NOT(OR('_Dates'!U806="Full day",'_Dates'!U806="AM",'_Dates'!U806="PM")),NOT(OR('_Dates'!V806="Full day",'_Dates'!V806="AM",'_Dates'!V806="PM"))),"CHECK Full day / AM / PM",IF(AND('_Dates'!J806='_Dates'!T806,'_Dates'!U806&lt;&gt;"Full day",'_Dates'!V806&lt;&gt;"Full day",'_Dates'!U806&lt;&gt;'_Dates'!V806),"CHECK same-day portions disagree",IF(AND($B$6=0,OR(AND('_Dates'!U806&lt;&gt;"Full day",'_Dates'!AA806=0),AND('_Dates'!V806&lt;&gt;"Full day",'_Dates'!AB806=0))),"CHECK half-day on non-working date",IF(COUNTIF(Settings!$G$7:$G$11,D806)&lt;&gt;1,"CHECK leave type",IF(AND(Bookings!G806&lt;&gt;"Approved",Bookings!G806&lt;&gt;"Pending",Bookings!G806&lt;&gt;"Cancelled"),"CHECK status","OK")))))))))),"CHECK input"))</ns0:f>
        <ns0:v/>
      </ns0:c>
      <ns0:c r="G806" s="0">
        <ns0:f>IF(OR(F806&lt;&gt;"OK",$B$6&gt;0),0,0.5*(IF(('_Dates'!X806)&lt;('_Dates'!W806),0,INT((('_Dates'!X806)-('_Dates'!W806)+1)/7)*LEN(SUBSTITUTE(W806,"O",""))+LEN(SUBSTITUTE(MID(W806&amp;W806,WEEKDAY(('_Dates'!W806),2),MOD((('_Dates'!X806)-('_Dates'!W806)+1),7)),"O",""))-COUNTIFS(INDEX(AllClosureRows,C806,0),"&gt;="&amp;('_Dates'!W806),INDEX(AllClosureRows,C806,0),"&lt;="&amp;('_Dates'!X806)))+IF(('_Dates'!Z806)&lt;('_Dates'!Y806),0,INT((('_Dates'!Z806)-('_Dates'!Y806)+1)/7)*LEN(SUBSTITUTE(W806,"O",""))+LEN(SUBSTITUTE(MID(W806&amp;W806,WEEKDAY(('_Dates'!Y806),2),MOD((('_Dates'!Z806)-('_Dates'!Y806)+1),7)),"O",""))-COUNTIFS(INDEX(AllClosureRows,C806,0),"&gt;="&amp;('_Dates'!Y806),INDEX(AllClosureRows,C806,0),"&lt;="&amp;('_Dates'!Z806)))))</ns0:f>
        <ns0:v>0</ns0:v>
      </ns0:c>
      <ns0:c r="H806" s="0">
        <ns0:f>IF(OR(F806&lt;&gt;"OK",$B$6&gt;0),0,0.5*(IF((MIN('_Dates'!X806,Settings!$B$9))&lt;('_Dates'!W806),0,INT(((MIN('_Dates'!X806,Settings!$B$9))-('_Dates'!W806)+1)/7)*LEN(SUBSTITUTE(W806,"O",""))+LEN(SUBSTITUTE(MID(W806&amp;W806,WEEKDAY(('_Dates'!W806),2),MOD(((MIN('_Dates'!X806,Settings!$B$9))-('_Dates'!W806)+1),7)),"O",""))-COUNTIFS(INDEX(AllClosureRows,C806,0),"&gt;="&amp;('_Dates'!W806),INDEX(AllClosureRows,C806,0),"&lt;="&amp;(MIN('_Dates'!X806,Settings!$B$9))))+IF((MIN('_Dates'!Z806,Settings!$B$9))&lt;('_Dates'!Y806),0,INT(((MIN('_Dates'!Z806,Settings!$B$9))-('_Dates'!Y806)+1)/7)*LEN(SUBSTITUTE(W806,"O",""))+LEN(SUBSTITUTE(MID(W806&amp;W806,WEEKDAY(('_Dates'!Y806),2),MOD(((MIN('_Dates'!Z806,Settings!$B$9))-('_Dates'!Y806)+1),7)),"O",""))-COUNTIFS(INDEX(AllClosureRows,C806,0),"&gt;="&amp;('_Dates'!Y806),INDEX(AllClosureRows,C806,0),"&lt;="&amp;(MIN('_Dates'!Z806,Settings!$B$9))))))</ns0:f>
        <ns0:v>0</ns0:v>
      </ns0:c>
      <ns0:c r="I806" s="0">
        <ns0:f>MAX(0,G806-H806)</ns0:f>
        <ns0:v>0</ns0:v>
      </ns0:c>
      <ns0:c r="J806" s="0">
        <ns0:f>IF(OR(A806=0,F806&lt;&gt;"OK",Bookings!G806="Cancelled",$B$6&gt;0),0,IF('_Dates'!AC806=1,MAX(0,COUNTIFS(rngEngine_B,B806,rngAMStart,"&lt;="&amp;'_Dates'!X806,rngAMEnd,"&gt;="&amp;'_Dates'!W806,rngAMActive,1,rngEngine_F,"OK",rngBookings_F,"&lt;&gt;Cancelled")-1),0)+IF('_Dates'!AD806=1,MAX(0,COUNTIFS(rngEngine_B,B806,rngPMStart,"&lt;="&amp;'_Dates'!Z806,rngPMEnd,"&gt;="&amp;'_Dates'!Y806,rngPMActive,1,rngEngine_F,"OK",rngBookings_F,"&lt;&gt;Cancelled")-1),0))</ns0:f>
        <ns0:v>0</ns0:v>
      </ns0:c>
      <ns0:c r="K806" s="0" t="str">
        <ns0:f>IF(A806=0,"",IF(F806&lt;&gt;"OK",F806,IF(J806&gt;0,"CHECK overlapping entry",IF(AND($B$6=0,G806&lt;=0,Bookings!G806&lt;&gt;"Cancelled"),"CHECK no working days",IF(Bookings!G806="Cancelled","Cancelled","OK")))))</ns0:f>
        <ns0:v/>
      </ns0:c>
      <ns0:c r="L806" s="0">
        <ns0:f>IF(LEFT(K806,5)="CHECK",1,0)</ns0:f>
        <ns0:v>0</ns0:v>
      </ns0:c>
      <ns0:c r="M806" s="0">
        <ns0:f>IF(AND(L806=1,OR(C806=0,IFERROR(INDEX($X$11:$X$60,C806),0)=0)),1,0)</ns0:f>
        <ns0:v>0</ns0:v>
      </ns0:c>
      <ns0:c r="N806" s="0">
        <ns0:f>IF(OR(A806=0,L806&gt;0,$B$6&gt;0,Bookings!G806="Cancelled"),0,G806)</ns0:f>
        <ns0:v>0</ns0:v>
      </ns0:c>
      <ns0:c r="O806" s="0">
        <ns0:f>IF(AND(Bookings!G806="Approved",E806="Yes"),N806,0)</ns0:f>
        <ns0:v>0</ns0:v>
      </ns0:c>
      <ns0:c r="P806" s="0">
        <ns0:f>IF(AND(Bookings!G806="Approved",E806="Yes",L806=0,$B$6=0),H806,0)</ns0:f>
        <ns0:v>0</ns0:v>
      </ns0:c>
      <ns0:c r="Q806" s="0">
        <ns0:f>IF(AND(Bookings!G806="Approved",E806="Yes",L806=0,$B$6=0),I806,0)</ns0:f>
        <ns0:v>0</ns0:v>
      </ns0:c>
      <ns0:c r="R806" s="0">
        <ns0:f>IF(AND(Bookings!G806="Pending",E806="Yes"),N806,0)</ns0:f>
        <ns0:v>0</ns0:v>
      </ns0:c>
      <ns0:c r="S806" s="0">
        <ns0:f>IF(AND(Bookings!G806="Approved",E806="No"),N806,0)</ns0:f>
        <ns0:v>0</ns0:v>
      </ns0:c>
      <ns0:c r="T806" s="0">
        <ns0:f>IFERROR(MATCH(D806,Settings!$G$7:$G$11,0),0)</ns0:f>
        <ns0:v>0</ns0:v>
      </ns0:c>
      <ns0:c r="U806" s="0">
        <ns0:f>IF(N806&gt;0,T806+IF(Bookings!G806="Pending",10,0),0)</ns0:f>
        <ns0:v>0</ns0:v>
      </ns0:c>
      <ns0:c r="V806" s="0">
        <ns0:f>U806</ns0:f>
        <ns0:v>0</ns0:v>
      </ns0:c>
      <ns0:c r="W806" s="0" t="str">
        <ns0:f>IF(C806=0,"",INDEX($AP$11:$AP$60,C806))</ns0:f>
        <ns0:v/>
      </ns0:c>
    </ns0:row>
    <ns0:row r="807">
      <ns0:c r="A807" s="0">
        <ns0:f>IF(COUNTA(Bookings!A807:G807,Bookings!I807)=0,0,1)</ns0:f>
        <ns0:v>0</ns0:v>
      </ns0:c>
      <ns0:c r="B807" s="0" t="str">
        <ns0:f>IFERROR(TRIM(MID(Bookings!A807,FIND(" · ",Bookings!A807)+3,99)),"")</ns0:f>
        <ns0:v/>
      </ns0:c>
      <ns0:c r="C807" s="0">
        <ns0:f>IF(OR(B807="",LEN(B807)&gt;24,ISNUMBER(FIND(" ",B807)),ISNUMBER(FIND("*",B807)),ISNUMBER(FIND("?",B807)),ISNUMBER(FIND("~",B807))),0,IFERROR(MATCH(B807,Team!$A$11:$A$60,0),0))</ns0:f>
        <ns0:v>0</ns0:v>
      </ns0:c>
      <ns0:c r="D807" s="0" t="str">
        <ns0:f>IFERROR(IF(MID(Bookings!F807,LEN(Bookings!F807)-3,3)=" · ",RIGHT(Bookings!F807,1),""),"")</ns0:f>
        <ns0:v/>
      </ns0:c>
      <ns0:c r="E807" s="0" t="str">
        <ns0:f>IFERROR(INDEX(Settings!$H$7:$H$11,MATCH(D807,Settings!$G$7:$G$11,0)),"")</ns0:f>
        <ns0:v/>
      </ns0:c>
      <ns0:c r="F807" s="0" t="str">
        <ns0:f>IF(A807=0,"",IFERROR(IF(OR(B807="",C807=0),"CHECK employee selection",IF(INDEX(Team!$O$11:$O$60,C807)&lt;&gt;"OK","CHECK employee setup",IF(OR('_Dates'!J807=0,'_Dates'!T807=0),"CHECK date: use DD.MM.YYYY",IF('_Dates'!T807&lt;'_Dates'!J807,"CHECK end before start",IF(AND($B$6=0,OR('_Dates'!J807&lt;Settings!$B$7,'_Dates'!T807&gt;Settings!$B$8)),"CHECK split across leave years",IF(OR(NOT(OR('_Dates'!U807="Full day",'_Dates'!U807="AM",'_Dates'!U807="PM")),NOT(OR('_Dates'!V807="Full day",'_Dates'!V807="AM",'_Dates'!V807="PM"))),"CHECK Full day / AM / PM",IF(AND('_Dates'!J807='_Dates'!T807,'_Dates'!U807&lt;&gt;"Full day",'_Dates'!V807&lt;&gt;"Full day",'_Dates'!U807&lt;&gt;'_Dates'!V807),"CHECK same-day portions disagree",IF(AND($B$6=0,OR(AND('_Dates'!U807&lt;&gt;"Full day",'_Dates'!AA807=0),AND('_Dates'!V807&lt;&gt;"Full day",'_Dates'!AB807=0))),"CHECK half-day on non-working date",IF(COUNTIF(Settings!$G$7:$G$11,D807)&lt;&gt;1,"CHECK leave type",IF(AND(Bookings!G807&lt;&gt;"Approved",Bookings!G807&lt;&gt;"Pending",Bookings!G807&lt;&gt;"Cancelled"),"CHECK status","OK")))))))))),"CHECK input"))</ns0:f>
        <ns0:v/>
      </ns0:c>
      <ns0:c r="G807" s="0">
        <ns0:f>IF(OR(F807&lt;&gt;"OK",$B$6&gt;0),0,0.5*(IF(('_Dates'!X807)&lt;('_Dates'!W807),0,INT((('_Dates'!X807)-('_Dates'!W807)+1)/7)*LEN(SUBSTITUTE(W807,"O",""))+LEN(SUBSTITUTE(MID(W807&amp;W807,WEEKDAY(('_Dates'!W807),2),MOD((('_Dates'!X807)-('_Dates'!W807)+1),7)),"O",""))-COUNTIFS(INDEX(AllClosureRows,C807,0),"&gt;="&amp;('_Dates'!W807),INDEX(AllClosureRows,C807,0),"&lt;="&amp;('_Dates'!X807)))+IF(('_Dates'!Z807)&lt;('_Dates'!Y807),0,INT((('_Dates'!Z807)-('_Dates'!Y807)+1)/7)*LEN(SUBSTITUTE(W807,"O",""))+LEN(SUBSTITUTE(MID(W807&amp;W807,WEEKDAY(('_Dates'!Y807),2),MOD((('_Dates'!Z807)-('_Dates'!Y807)+1),7)),"O",""))-COUNTIFS(INDEX(AllClosureRows,C807,0),"&gt;="&amp;('_Dates'!Y807),INDEX(AllClosureRows,C807,0),"&lt;="&amp;('_Dates'!Z807)))))</ns0:f>
        <ns0:v>0</ns0:v>
      </ns0:c>
      <ns0:c r="H807" s="0">
        <ns0:f>IF(OR(F807&lt;&gt;"OK",$B$6&gt;0),0,0.5*(IF((MIN('_Dates'!X807,Settings!$B$9))&lt;('_Dates'!W807),0,INT(((MIN('_Dates'!X807,Settings!$B$9))-('_Dates'!W807)+1)/7)*LEN(SUBSTITUTE(W807,"O",""))+LEN(SUBSTITUTE(MID(W807&amp;W807,WEEKDAY(('_Dates'!W807),2),MOD(((MIN('_Dates'!X807,Settings!$B$9))-('_Dates'!W807)+1),7)),"O",""))-COUNTIFS(INDEX(AllClosureRows,C807,0),"&gt;="&amp;('_Dates'!W807),INDEX(AllClosureRows,C807,0),"&lt;="&amp;(MIN('_Dates'!X807,Settings!$B$9))))+IF((MIN('_Dates'!Z807,Settings!$B$9))&lt;('_Dates'!Y807),0,INT(((MIN('_Dates'!Z807,Settings!$B$9))-('_Dates'!Y807)+1)/7)*LEN(SUBSTITUTE(W807,"O",""))+LEN(SUBSTITUTE(MID(W807&amp;W807,WEEKDAY(('_Dates'!Y807),2),MOD(((MIN('_Dates'!Z807,Settings!$B$9))-('_Dates'!Y807)+1),7)),"O",""))-COUNTIFS(INDEX(AllClosureRows,C807,0),"&gt;="&amp;('_Dates'!Y807),INDEX(AllClosureRows,C807,0),"&lt;="&amp;(MIN('_Dates'!Z807,Settings!$B$9))))))</ns0:f>
        <ns0:v>0</ns0:v>
      </ns0:c>
      <ns0:c r="I807" s="0">
        <ns0:f>MAX(0,G807-H807)</ns0:f>
        <ns0:v>0</ns0:v>
      </ns0:c>
      <ns0:c r="J807" s="0">
        <ns0:f>IF(OR(A807=0,F807&lt;&gt;"OK",Bookings!G807="Cancelled",$B$6&gt;0),0,IF('_Dates'!AC807=1,MAX(0,COUNTIFS(rngEngine_B,B807,rngAMStart,"&lt;="&amp;'_Dates'!X807,rngAMEnd,"&gt;="&amp;'_Dates'!W807,rngAMActive,1,rngEngine_F,"OK",rngBookings_F,"&lt;&gt;Cancelled")-1),0)+IF('_Dates'!AD807=1,MAX(0,COUNTIFS(rngEngine_B,B807,rngPMStart,"&lt;="&amp;'_Dates'!Z807,rngPMEnd,"&gt;="&amp;'_Dates'!Y807,rngPMActive,1,rngEngine_F,"OK",rngBookings_F,"&lt;&gt;Cancelled")-1),0))</ns0:f>
        <ns0:v>0</ns0:v>
      </ns0:c>
      <ns0:c r="K807" s="0" t="str">
        <ns0:f>IF(A807=0,"",IF(F807&lt;&gt;"OK",F807,IF(J807&gt;0,"CHECK overlapping entry",IF(AND($B$6=0,G807&lt;=0,Bookings!G807&lt;&gt;"Cancelled"),"CHECK no working days",IF(Bookings!G807="Cancelled","Cancelled","OK")))))</ns0:f>
        <ns0:v/>
      </ns0:c>
      <ns0:c r="L807" s="0">
        <ns0:f>IF(LEFT(K807,5)="CHECK",1,0)</ns0:f>
        <ns0:v>0</ns0:v>
      </ns0:c>
      <ns0:c r="M807" s="0">
        <ns0:f>IF(AND(L807=1,OR(C807=0,IFERROR(INDEX($X$11:$X$60,C807),0)=0)),1,0)</ns0:f>
        <ns0:v>0</ns0:v>
      </ns0:c>
      <ns0:c r="N807" s="0">
        <ns0:f>IF(OR(A807=0,L807&gt;0,$B$6&gt;0,Bookings!G807="Cancelled"),0,G807)</ns0:f>
        <ns0:v>0</ns0:v>
      </ns0:c>
      <ns0:c r="O807" s="0">
        <ns0:f>IF(AND(Bookings!G807="Approved",E807="Yes"),N807,0)</ns0:f>
        <ns0:v>0</ns0:v>
      </ns0:c>
      <ns0:c r="P807" s="0">
        <ns0:f>IF(AND(Bookings!G807="Approved",E807="Yes",L807=0,$B$6=0),H807,0)</ns0:f>
        <ns0:v>0</ns0:v>
      </ns0:c>
      <ns0:c r="Q807" s="0">
        <ns0:f>IF(AND(Bookings!G807="Approved",E807="Yes",L807=0,$B$6=0),I807,0)</ns0:f>
        <ns0:v>0</ns0:v>
      </ns0:c>
      <ns0:c r="R807" s="0">
        <ns0:f>IF(AND(Bookings!G807="Pending",E807="Yes"),N807,0)</ns0:f>
        <ns0:v>0</ns0:v>
      </ns0:c>
      <ns0:c r="S807" s="0">
        <ns0:f>IF(AND(Bookings!G807="Approved",E807="No"),N807,0)</ns0:f>
        <ns0:v>0</ns0:v>
      </ns0:c>
      <ns0:c r="T807" s="0">
        <ns0:f>IFERROR(MATCH(D807,Settings!$G$7:$G$11,0),0)</ns0:f>
        <ns0:v>0</ns0:v>
      </ns0:c>
      <ns0:c r="U807" s="0">
        <ns0:f>IF(N807&gt;0,T807+IF(Bookings!G807="Pending",10,0),0)</ns0:f>
        <ns0:v>0</ns0:v>
      </ns0:c>
      <ns0:c r="V807" s="0">
        <ns0:f>U807</ns0:f>
        <ns0:v>0</ns0:v>
      </ns0:c>
      <ns0:c r="W807" s="0" t="str">
        <ns0:f>IF(C807=0,"",INDEX($AP$11:$AP$60,C807))</ns0:f>
        <ns0:v/>
      </ns0:c>
    </ns0:row>
    <ns0:row r="808">
      <ns0:c r="A808" s="0">
        <ns0:f>IF(COUNTA(Bookings!A808:G808,Bookings!I808)=0,0,1)</ns0:f>
        <ns0:v>0</ns0:v>
      </ns0:c>
      <ns0:c r="B808" s="0" t="str">
        <ns0:f>IFERROR(TRIM(MID(Bookings!A808,FIND(" · ",Bookings!A808)+3,99)),"")</ns0:f>
        <ns0:v/>
      </ns0:c>
      <ns0:c r="C808" s="0">
        <ns0:f>IF(OR(B808="",LEN(B808)&gt;24,ISNUMBER(FIND(" ",B808)),ISNUMBER(FIND("*",B808)),ISNUMBER(FIND("?",B808)),ISNUMBER(FIND("~",B808))),0,IFERROR(MATCH(B808,Team!$A$11:$A$60,0),0))</ns0:f>
        <ns0:v>0</ns0:v>
      </ns0:c>
      <ns0:c r="D808" s="0" t="str">
        <ns0:f>IFERROR(IF(MID(Bookings!F808,LEN(Bookings!F808)-3,3)=" · ",RIGHT(Bookings!F808,1),""),"")</ns0:f>
        <ns0:v/>
      </ns0:c>
      <ns0:c r="E808" s="0" t="str">
        <ns0:f>IFERROR(INDEX(Settings!$H$7:$H$11,MATCH(D808,Settings!$G$7:$G$11,0)),"")</ns0:f>
        <ns0:v/>
      </ns0:c>
      <ns0:c r="F808" s="0" t="str">
        <ns0:f>IF(A808=0,"",IFERROR(IF(OR(B808="",C808=0),"CHECK employee selection",IF(INDEX(Team!$O$11:$O$60,C808)&lt;&gt;"OK","CHECK employee setup",IF(OR('_Dates'!J808=0,'_Dates'!T808=0),"CHECK date: use DD.MM.YYYY",IF('_Dates'!T808&lt;'_Dates'!J808,"CHECK end before start",IF(AND($B$6=0,OR('_Dates'!J808&lt;Settings!$B$7,'_Dates'!T808&gt;Settings!$B$8)),"CHECK split across leave years",IF(OR(NOT(OR('_Dates'!U808="Full day",'_Dates'!U808="AM",'_Dates'!U808="PM")),NOT(OR('_Dates'!V808="Full day",'_Dates'!V808="AM",'_Dates'!V808="PM"))),"CHECK Full day / AM / PM",IF(AND('_Dates'!J808='_Dates'!T808,'_Dates'!U808&lt;&gt;"Full day",'_Dates'!V808&lt;&gt;"Full day",'_Dates'!U808&lt;&gt;'_Dates'!V808),"CHECK same-day portions disagree",IF(AND($B$6=0,OR(AND('_Dates'!U808&lt;&gt;"Full day",'_Dates'!AA808=0),AND('_Dates'!V808&lt;&gt;"Full day",'_Dates'!AB808=0))),"CHECK half-day on non-working date",IF(COUNTIF(Settings!$G$7:$G$11,D808)&lt;&gt;1,"CHECK leave type",IF(AND(Bookings!G808&lt;&gt;"Approved",Bookings!G808&lt;&gt;"Pending",Bookings!G808&lt;&gt;"Cancelled"),"CHECK status","OK")))))))))),"CHECK input"))</ns0:f>
        <ns0:v/>
      </ns0:c>
      <ns0:c r="G808" s="0">
        <ns0:f>IF(OR(F808&lt;&gt;"OK",$B$6&gt;0),0,0.5*(IF(('_Dates'!X808)&lt;('_Dates'!W808),0,INT((('_Dates'!X808)-('_Dates'!W808)+1)/7)*LEN(SUBSTITUTE(W808,"O",""))+LEN(SUBSTITUTE(MID(W808&amp;W808,WEEKDAY(('_Dates'!W808),2),MOD((('_Dates'!X808)-('_Dates'!W808)+1),7)),"O",""))-COUNTIFS(INDEX(AllClosureRows,C808,0),"&gt;="&amp;('_Dates'!W808),INDEX(AllClosureRows,C808,0),"&lt;="&amp;('_Dates'!X808)))+IF(('_Dates'!Z808)&lt;('_Dates'!Y808),0,INT((('_Dates'!Z808)-('_Dates'!Y808)+1)/7)*LEN(SUBSTITUTE(W808,"O",""))+LEN(SUBSTITUTE(MID(W808&amp;W808,WEEKDAY(('_Dates'!Y808),2),MOD((('_Dates'!Z808)-('_Dates'!Y808)+1),7)),"O",""))-COUNTIFS(INDEX(AllClosureRows,C808,0),"&gt;="&amp;('_Dates'!Y808),INDEX(AllClosureRows,C808,0),"&lt;="&amp;('_Dates'!Z808)))))</ns0:f>
        <ns0:v>0</ns0:v>
      </ns0:c>
      <ns0:c r="H808" s="0">
        <ns0:f>IF(OR(F808&lt;&gt;"OK",$B$6&gt;0),0,0.5*(IF((MIN('_Dates'!X808,Settings!$B$9))&lt;('_Dates'!W808),0,INT(((MIN('_Dates'!X808,Settings!$B$9))-('_Dates'!W808)+1)/7)*LEN(SUBSTITUTE(W808,"O",""))+LEN(SUBSTITUTE(MID(W808&amp;W808,WEEKDAY(('_Dates'!W808),2),MOD(((MIN('_Dates'!X808,Settings!$B$9))-('_Dates'!W808)+1),7)),"O",""))-COUNTIFS(INDEX(AllClosureRows,C808,0),"&gt;="&amp;('_Dates'!W808),INDEX(AllClosureRows,C808,0),"&lt;="&amp;(MIN('_Dates'!X808,Settings!$B$9))))+IF((MIN('_Dates'!Z808,Settings!$B$9))&lt;('_Dates'!Y808),0,INT(((MIN('_Dates'!Z808,Settings!$B$9))-('_Dates'!Y808)+1)/7)*LEN(SUBSTITUTE(W808,"O",""))+LEN(SUBSTITUTE(MID(W808&amp;W808,WEEKDAY(('_Dates'!Y808),2),MOD(((MIN('_Dates'!Z808,Settings!$B$9))-('_Dates'!Y808)+1),7)),"O",""))-COUNTIFS(INDEX(AllClosureRows,C808,0),"&gt;="&amp;('_Dates'!Y808),INDEX(AllClosureRows,C808,0),"&lt;="&amp;(MIN('_Dates'!Z808,Settings!$B$9))))))</ns0:f>
        <ns0:v>0</ns0:v>
      </ns0:c>
      <ns0:c r="I808" s="0">
        <ns0:f>MAX(0,G808-H808)</ns0:f>
        <ns0:v>0</ns0:v>
      </ns0:c>
      <ns0:c r="J808" s="0">
        <ns0:f>IF(OR(A808=0,F808&lt;&gt;"OK",Bookings!G808="Cancelled",$B$6&gt;0),0,IF('_Dates'!AC808=1,MAX(0,COUNTIFS(rngEngine_B,B808,rngAMStart,"&lt;="&amp;'_Dates'!X808,rngAMEnd,"&gt;="&amp;'_Dates'!W808,rngAMActive,1,rngEngine_F,"OK",rngBookings_F,"&lt;&gt;Cancelled")-1),0)+IF('_Dates'!AD808=1,MAX(0,COUNTIFS(rngEngine_B,B808,rngPMStart,"&lt;="&amp;'_Dates'!Z808,rngPMEnd,"&gt;="&amp;'_Dates'!Y808,rngPMActive,1,rngEngine_F,"OK",rngBookings_F,"&lt;&gt;Cancelled")-1),0))</ns0:f>
        <ns0:v>0</ns0:v>
      </ns0:c>
      <ns0:c r="K808" s="0" t="str">
        <ns0:f>IF(A808=0,"",IF(F808&lt;&gt;"OK",F808,IF(J808&gt;0,"CHECK overlapping entry",IF(AND($B$6=0,G808&lt;=0,Bookings!G808&lt;&gt;"Cancelled"),"CHECK no working days",IF(Bookings!G808="Cancelled","Cancelled","OK")))))</ns0:f>
        <ns0:v/>
      </ns0:c>
      <ns0:c r="L808" s="0">
        <ns0:f>IF(LEFT(K808,5)="CHECK",1,0)</ns0:f>
        <ns0:v>0</ns0:v>
      </ns0:c>
      <ns0:c r="M808" s="0">
        <ns0:f>IF(AND(L808=1,OR(C808=0,IFERROR(INDEX($X$11:$X$60,C808),0)=0)),1,0)</ns0:f>
        <ns0:v>0</ns0:v>
      </ns0:c>
      <ns0:c r="N808" s="0">
        <ns0:f>IF(OR(A808=0,L808&gt;0,$B$6&gt;0,Bookings!G808="Cancelled"),0,G808)</ns0:f>
        <ns0:v>0</ns0:v>
      </ns0:c>
      <ns0:c r="O808" s="0">
        <ns0:f>IF(AND(Bookings!G808="Approved",E808="Yes"),N808,0)</ns0:f>
        <ns0:v>0</ns0:v>
      </ns0:c>
      <ns0:c r="P808" s="0">
        <ns0:f>IF(AND(Bookings!G808="Approved",E808="Yes",L808=0,$B$6=0),H808,0)</ns0:f>
        <ns0:v>0</ns0:v>
      </ns0:c>
      <ns0:c r="Q808" s="0">
        <ns0:f>IF(AND(Bookings!G808="Approved",E808="Yes",L808=0,$B$6=0),I808,0)</ns0:f>
        <ns0:v>0</ns0:v>
      </ns0:c>
      <ns0:c r="R808" s="0">
        <ns0:f>IF(AND(Bookings!G808="Pending",E808="Yes"),N808,0)</ns0:f>
        <ns0:v>0</ns0:v>
      </ns0:c>
      <ns0:c r="S808" s="0">
        <ns0:f>IF(AND(Bookings!G808="Approved",E808="No"),N808,0)</ns0:f>
        <ns0:v>0</ns0:v>
      </ns0:c>
      <ns0:c r="T808" s="0">
        <ns0:f>IFERROR(MATCH(D808,Settings!$G$7:$G$11,0),0)</ns0:f>
        <ns0:v>0</ns0:v>
      </ns0:c>
      <ns0:c r="U808" s="0">
        <ns0:f>IF(N808&gt;0,T808+IF(Bookings!G808="Pending",10,0),0)</ns0:f>
        <ns0:v>0</ns0:v>
      </ns0:c>
      <ns0:c r="V808" s="0">
        <ns0:f>U808</ns0:f>
        <ns0:v>0</ns0:v>
      </ns0:c>
      <ns0:c r="W808" s="0" t="str">
        <ns0:f>IF(C808=0,"",INDEX($AP$11:$AP$60,C808))</ns0:f>
        <ns0:v/>
      </ns0:c>
    </ns0:row>
    <ns0:row r="809">
      <ns0:c r="A809" s="0">
        <ns0:f>IF(COUNTA(Bookings!A809:G809,Bookings!I809)=0,0,1)</ns0:f>
        <ns0:v>0</ns0:v>
      </ns0:c>
      <ns0:c r="B809" s="0" t="str">
        <ns0:f>IFERROR(TRIM(MID(Bookings!A809,FIND(" · ",Bookings!A809)+3,99)),"")</ns0:f>
        <ns0:v/>
      </ns0:c>
      <ns0:c r="C809" s="0">
        <ns0:f>IF(OR(B809="",LEN(B809)&gt;24,ISNUMBER(FIND(" ",B809)),ISNUMBER(FIND("*",B809)),ISNUMBER(FIND("?",B809)),ISNUMBER(FIND("~",B809))),0,IFERROR(MATCH(B809,Team!$A$11:$A$60,0),0))</ns0:f>
        <ns0:v>0</ns0:v>
      </ns0:c>
      <ns0:c r="D809" s="0" t="str">
        <ns0:f>IFERROR(IF(MID(Bookings!F809,LEN(Bookings!F809)-3,3)=" · ",RIGHT(Bookings!F809,1),""),"")</ns0:f>
        <ns0:v/>
      </ns0:c>
      <ns0:c r="E809" s="0" t="str">
        <ns0:f>IFERROR(INDEX(Settings!$H$7:$H$11,MATCH(D809,Settings!$G$7:$G$11,0)),"")</ns0:f>
        <ns0:v/>
      </ns0:c>
      <ns0:c r="F809" s="0" t="str">
        <ns0:f>IF(A809=0,"",IFERROR(IF(OR(B809="",C809=0),"CHECK employee selection",IF(INDEX(Team!$O$11:$O$60,C809)&lt;&gt;"OK","CHECK employee setup",IF(OR('_Dates'!J809=0,'_Dates'!T809=0),"CHECK date: use DD.MM.YYYY",IF('_Dates'!T809&lt;'_Dates'!J809,"CHECK end before start",IF(AND($B$6=0,OR('_Dates'!J809&lt;Settings!$B$7,'_Dates'!T809&gt;Settings!$B$8)),"CHECK split across leave years",IF(OR(NOT(OR('_Dates'!U809="Full day",'_Dates'!U809="AM",'_Dates'!U809="PM")),NOT(OR('_Dates'!V809="Full day",'_Dates'!V809="AM",'_Dates'!V809="PM"))),"CHECK Full day / AM / PM",IF(AND('_Dates'!J809='_Dates'!T809,'_Dates'!U809&lt;&gt;"Full day",'_Dates'!V809&lt;&gt;"Full day",'_Dates'!U809&lt;&gt;'_Dates'!V809),"CHECK same-day portions disagree",IF(AND($B$6=0,OR(AND('_Dates'!U809&lt;&gt;"Full day",'_Dates'!AA809=0),AND('_Dates'!V809&lt;&gt;"Full day",'_Dates'!AB809=0))),"CHECK half-day on non-working date",IF(COUNTIF(Settings!$G$7:$G$11,D809)&lt;&gt;1,"CHECK leave type",IF(AND(Bookings!G809&lt;&gt;"Approved",Bookings!G809&lt;&gt;"Pending",Bookings!G809&lt;&gt;"Cancelled"),"CHECK status","OK")))))))))),"CHECK input"))</ns0:f>
        <ns0:v/>
      </ns0:c>
      <ns0:c r="G809" s="0">
        <ns0:f>IF(OR(F809&lt;&gt;"OK",$B$6&gt;0),0,0.5*(IF(('_Dates'!X809)&lt;('_Dates'!W809),0,INT((('_Dates'!X809)-('_Dates'!W809)+1)/7)*LEN(SUBSTITUTE(W809,"O",""))+LEN(SUBSTITUTE(MID(W809&amp;W809,WEEKDAY(('_Dates'!W809),2),MOD((('_Dates'!X809)-('_Dates'!W809)+1),7)),"O",""))-COUNTIFS(INDEX(AllClosureRows,C809,0),"&gt;="&amp;('_Dates'!W809),INDEX(AllClosureRows,C809,0),"&lt;="&amp;('_Dates'!X809)))+IF(('_Dates'!Z809)&lt;('_Dates'!Y809),0,INT((('_Dates'!Z809)-('_Dates'!Y809)+1)/7)*LEN(SUBSTITUTE(W809,"O",""))+LEN(SUBSTITUTE(MID(W809&amp;W809,WEEKDAY(('_Dates'!Y809),2),MOD((('_Dates'!Z809)-('_Dates'!Y809)+1),7)),"O",""))-COUNTIFS(INDEX(AllClosureRows,C809,0),"&gt;="&amp;('_Dates'!Y809),INDEX(AllClosureRows,C809,0),"&lt;="&amp;('_Dates'!Z809)))))</ns0:f>
        <ns0:v>0</ns0:v>
      </ns0:c>
      <ns0:c r="H809" s="0">
        <ns0:f>IF(OR(F809&lt;&gt;"OK",$B$6&gt;0),0,0.5*(IF((MIN('_Dates'!X809,Settings!$B$9))&lt;('_Dates'!W809),0,INT(((MIN('_Dates'!X809,Settings!$B$9))-('_Dates'!W809)+1)/7)*LEN(SUBSTITUTE(W809,"O",""))+LEN(SUBSTITUTE(MID(W809&amp;W809,WEEKDAY(('_Dates'!W809),2),MOD(((MIN('_Dates'!X809,Settings!$B$9))-('_Dates'!W809)+1),7)),"O",""))-COUNTIFS(INDEX(AllClosureRows,C809,0),"&gt;="&amp;('_Dates'!W809),INDEX(AllClosureRows,C809,0),"&lt;="&amp;(MIN('_Dates'!X809,Settings!$B$9))))+IF((MIN('_Dates'!Z809,Settings!$B$9))&lt;('_Dates'!Y809),0,INT(((MIN('_Dates'!Z809,Settings!$B$9))-('_Dates'!Y809)+1)/7)*LEN(SUBSTITUTE(W809,"O",""))+LEN(SUBSTITUTE(MID(W809&amp;W809,WEEKDAY(('_Dates'!Y809),2),MOD(((MIN('_Dates'!Z809,Settings!$B$9))-('_Dates'!Y809)+1),7)),"O",""))-COUNTIFS(INDEX(AllClosureRows,C809,0),"&gt;="&amp;('_Dates'!Y809),INDEX(AllClosureRows,C809,0),"&lt;="&amp;(MIN('_Dates'!Z809,Settings!$B$9))))))</ns0:f>
        <ns0:v>0</ns0:v>
      </ns0:c>
      <ns0:c r="I809" s="0">
        <ns0:f>MAX(0,G809-H809)</ns0:f>
        <ns0:v>0</ns0:v>
      </ns0:c>
      <ns0:c r="J809" s="0">
        <ns0:f>IF(OR(A809=0,F809&lt;&gt;"OK",Bookings!G809="Cancelled",$B$6&gt;0),0,IF('_Dates'!AC809=1,MAX(0,COUNTIFS(rngEngine_B,B809,rngAMStart,"&lt;="&amp;'_Dates'!X809,rngAMEnd,"&gt;="&amp;'_Dates'!W809,rngAMActive,1,rngEngine_F,"OK",rngBookings_F,"&lt;&gt;Cancelled")-1),0)+IF('_Dates'!AD809=1,MAX(0,COUNTIFS(rngEngine_B,B809,rngPMStart,"&lt;="&amp;'_Dates'!Z809,rngPMEnd,"&gt;="&amp;'_Dates'!Y809,rngPMActive,1,rngEngine_F,"OK",rngBookings_F,"&lt;&gt;Cancelled")-1),0))</ns0:f>
        <ns0:v>0</ns0:v>
      </ns0:c>
      <ns0:c r="K809" s="0" t="str">
        <ns0:f>IF(A809=0,"",IF(F809&lt;&gt;"OK",F809,IF(J809&gt;0,"CHECK overlapping entry",IF(AND($B$6=0,G809&lt;=0,Bookings!G809&lt;&gt;"Cancelled"),"CHECK no working days",IF(Bookings!G809="Cancelled","Cancelled","OK")))))</ns0:f>
        <ns0:v/>
      </ns0:c>
      <ns0:c r="L809" s="0">
        <ns0:f>IF(LEFT(K809,5)="CHECK",1,0)</ns0:f>
        <ns0:v>0</ns0:v>
      </ns0:c>
      <ns0:c r="M809" s="0">
        <ns0:f>IF(AND(L809=1,OR(C809=0,IFERROR(INDEX($X$11:$X$60,C809),0)=0)),1,0)</ns0:f>
        <ns0:v>0</ns0:v>
      </ns0:c>
      <ns0:c r="N809" s="0">
        <ns0:f>IF(OR(A809=0,L809&gt;0,$B$6&gt;0,Bookings!G809="Cancelled"),0,G809)</ns0:f>
        <ns0:v>0</ns0:v>
      </ns0:c>
      <ns0:c r="O809" s="0">
        <ns0:f>IF(AND(Bookings!G809="Approved",E809="Yes"),N809,0)</ns0:f>
        <ns0:v>0</ns0:v>
      </ns0:c>
      <ns0:c r="P809" s="0">
        <ns0:f>IF(AND(Bookings!G809="Approved",E809="Yes",L809=0,$B$6=0),H809,0)</ns0:f>
        <ns0:v>0</ns0:v>
      </ns0:c>
      <ns0:c r="Q809" s="0">
        <ns0:f>IF(AND(Bookings!G809="Approved",E809="Yes",L809=0,$B$6=0),I809,0)</ns0:f>
        <ns0:v>0</ns0:v>
      </ns0:c>
      <ns0:c r="R809" s="0">
        <ns0:f>IF(AND(Bookings!G809="Pending",E809="Yes"),N809,0)</ns0:f>
        <ns0:v>0</ns0:v>
      </ns0:c>
      <ns0:c r="S809" s="0">
        <ns0:f>IF(AND(Bookings!G809="Approved",E809="No"),N809,0)</ns0:f>
        <ns0:v>0</ns0:v>
      </ns0:c>
      <ns0:c r="T809" s="0">
        <ns0:f>IFERROR(MATCH(D809,Settings!$G$7:$G$11,0),0)</ns0:f>
        <ns0:v>0</ns0:v>
      </ns0:c>
      <ns0:c r="U809" s="0">
        <ns0:f>IF(N809&gt;0,T809+IF(Bookings!G809="Pending",10,0),0)</ns0:f>
        <ns0:v>0</ns0:v>
      </ns0:c>
      <ns0:c r="V809" s="0">
        <ns0:f>U809</ns0:f>
        <ns0:v>0</ns0:v>
      </ns0:c>
      <ns0:c r="W809" s="0" t="str">
        <ns0:f>IF(C809=0,"",INDEX($AP$11:$AP$60,C809))</ns0:f>
        <ns0:v/>
      </ns0:c>
    </ns0:row>
    <ns0:row r="810">
      <ns0:c r="A810" s="0">
        <ns0:f>IF(COUNTA(Bookings!A810:G810,Bookings!I810)=0,0,1)</ns0:f>
        <ns0:v>0</ns0:v>
      </ns0:c>
      <ns0:c r="B810" s="0" t="str">
        <ns0:f>IFERROR(TRIM(MID(Bookings!A810,FIND(" · ",Bookings!A810)+3,99)),"")</ns0:f>
        <ns0:v/>
      </ns0:c>
      <ns0:c r="C810" s="0">
        <ns0:f>IF(OR(B810="",LEN(B810)&gt;24,ISNUMBER(FIND(" ",B810)),ISNUMBER(FIND("*",B810)),ISNUMBER(FIND("?",B810)),ISNUMBER(FIND("~",B810))),0,IFERROR(MATCH(B810,Team!$A$11:$A$60,0),0))</ns0:f>
        <ns0:v>0</ns0:v>
      </ns0:c>
      <ns0:c r="D810" s="0" t="str">
        <ns0:f>IFERROR(IF(MID(Bookings!F810,LEN(Bookings!F810)-3,3)=" · ",RIGHT(Bookings!F810,1),""),"")</ns0:f>
        <ns0:v/>
      </ns0:c>
      <ns0:c r="E810" s="0" t="str">
        <ns0:f>IFERROR(INDEX(Settings!$H$7:$H$11,MATCH(D810,Settings!$G$7:$G$11,0)),"")</ns0:f>
        <ns0:v/>
      </ns0:c>
      <ns0:c r="F810" s="0" t="str">
        <ns0:f>IF(A810=0,"",IFERROR(IF(OR(B810="",C810=0),"CHECK employee selection",IF(INDEX(Team!$O$11:$O$60,C810)&lt;&gt;"OK","CHECK employee setup",IF(OR('_Dates'!J810=0,'_Dates'!T810=0),"CHECK date: use DD.MM.YYYY",IF('_Dates'!T810&lt;'_Dates'!J810,"CHECK end before start",IF(AND($B$6=0,OR('_Dates'!J810&lt;Settings!$B$7,'_Dates'!T810&gt;Settings!$B$8)),"CHECK split across leave years",IF(OR(NOT(OR('_Dates'!U810="Full day",'_Dates'!U810="AM",'_Dates'!U810="PM")),NOT(OR('_Dates'!V810="Full day",'_Dates'!V810="AM",'_Dates'!V810="PM"))),"CHECK Full day / AM / PM",IF(AND('_Dates'!J810='_Dates'!T810,'_Dates'!U810&lt;&gt;"Full day",'_Dates'!V810&lt;&gt;"Full day",'_Dates'!U810&lt;&gt;'_Dates'!V810),"CHECK same-day portions disagree",IF(AND($B$6=0,OR(AND('_Dates'!U810&lt;&gt;"Full day",'_Dates'!AA810=0),AND('_Dates'!V810&lt;&gt;"Full day",'_Dates'!AB810=0))),"CHECK half-day on non-working date",IF(COUNTIF(Settings!$G$7:$G$11,D810)&lt;&gt;1,"CHECK leave type",IF(AND(Bookings!G810&lt;&gt;"Approved",Bookings!G810&lt;&gt;"Pending",Bookings!G810&lt;&gt;"Cancelled"),"CHECK status","OK")))))))))),"CHECK input"))</ns0:f>
        <ns0:v/>
      </ns0:c>
      <ns0:c r="G810" s="0">
        <ns0:f>IF(OR(F810&lt;&gt;"OK",$B$6&gt;0),0,0.5*(IF(('_Dates'!X810)&lt;('_Dates'!W810),0,INT((('_Dates'!X810)-('_Dates'!W810)+1)/7)*LEN(SUBSTITUTE(W810,"O",""))+LEN(SUBSTITUTE(MID(W810&amp;W810,WEEKDAY(('_Dates'!W810),2),MOD((('_Dates'!X810)-('_Dates'!W810)+1),7)),"O",""))-COUNTIFS(INDEX(AllClosureRows,C810,0),"&gt;="&amp;('_Dates'!W810),INDEX(AllClosureRows,C810,0),"&lt;="&amp;('_Dates'!X810)))+IF(('_Dates'!Z810)&lt;('_Dates'!Y810),0,INT((('_Dates'!Z810)-('_Dates'!Y810)+1)/7)*LEN(SUBSTITUTE(W810,"O",""))+LEN(SUBSTITUTE(MID(W810&amp;W810,WEEKDAY(('_Dates'!Y810),2),MOD((('_Dates'!Z810)-('_Dates'!Y810)+1),7)),"O",""))-COUNTIFS(INDEX(AllClosureRows,C810,0),"&gt;="&amp;('_Dates'!Y810),INDEX(AllClosureRows,C810,0),"&lt;="&amp;('_Dates'!Z810)))))</ns0:f>
        <ns0:v>0</ns0:v>
      </ns0:c>
      <ns0:c r="H810" s="0">
        <ns0:f>IF(OR(F810&lt;&gt;"OK",$B$6&gt;0),0,0.5*(IF((MIN('_Dates'!X810,Settings!$B$9))&lt;('_Dates'!W810),0,INT(((MIN('_Dates'!X810,Settings!$B$9))-('_Dates'!W810)+1)/7)*LEN(SUBSTITUTE(W810,"O",""))+LEN(SUBSTITUTE(MID(W810&amp;W810,WEEKDAY(('_Dates'!W810),2),MOD(((MIN('_Dates'!X810,Settings!$B$9))-('_Dates'!W810)+1),7)),"O",""))-COUNTIFS(INDEX(AllClosureRows,C810,0),"&gt;="&amp;('_Dates'!W810),INDEX(AllClosureRows,C810,0),"&lt;="&amp;(MIN('_Dates'!X810,Settings!$B$9))))+IF((MIN('_Dates'!Z810,Settings!$B$9))&lt;('_Dates'!Y810),0,INT(((MIN('_Dates'!Z810,Settings!$B$9))-('_Dates'!Y810)+1)/7)*LEN(SUBSTITUTE(W810,"O",""))+LEN(SUBSTITUTE(MID(W810&amp;W810,WEEKDAY(('_Dates'!Y810),2),MOD(((MIN('_Dates'!Z810,Settings!$B$9))-('_Dates'!Y810)+1),7)),"O",""))-COUNTIFS(INDEX(AllClosureRows,C810,0),"&gt;="&amp;('_Dates'!Y810),INDEX(AllClosureRows,C810,0),"&lt;="&amp;(MIN('_Dates'!Z810,Settings!$B$9))))))</ns0:f>
        <ns0:v>0</ns0:v>
      </ns0:c>
      <ns0:c r="I810" s="0">
        <ns0:f>MAX(0,G810-H810)</ns0:f>
        <ns0:v>0</ns0:v>
      </ns0:c>
      <ns0:c r="J810" s="0">
        <ns0:f>IF(OR(A810=0,F810&lt;&gt;"OK",Bookings!G810="Cancelled",$B$6&gt;0),0,IF('_Dates'!AC810=1,MAX(0,COUNTIFS(rngEngine_B,B810,rngAMStart,"&lt;="&amp;'_Dates'!X810,rngAMEnd,"&gt;="&amp;'_Dates'!W810,rngAMActive,1,rngEngine_F,"OK",rngBookings_F,"&lt;&gt;Cancelled")-1),0)+IF('_Dates'!AD810=1,MAX(0,COUNTIFS(rngEngine_B,B810,rngPMStart,"&lt;="&amp;'_Dates'!Z810,rngPMEnd,"&gt;="&amp;'_Dates'!Y810,rngPMActive,1,rngEngine_F,"OK",rngBookings_F,"&lt;&gt;Cancelled")-1),0))</ns0:f>
        <ns0:v>0</ns0:v>
      </ns0:c>
      <ns0:c r="K810" s="0" t="str">
        <ns0:f>IF(A810=0,"",IF(F810&lt;&gt;"OK",F810,IF(J810&gt;0,"CHECK overlapping entry",IF(AND($B$6=0,G810&lt;=0,Bookings!G810&lt;&gt;"Cancelled"),"CHECK no working days",IF(Bookings!G810="Cancelled","Cancelled","OK")))))</ns0:f>
        <ns0:v/>
      </ns0:c>
      <ns0:c r="L810" s="0">
        <ns0:f>IF(LEFT(K810,5)="CHECK",1,0)</ns0:f>
        <ns0:v>0</ns0:v>
      </ns0:c>
      <ns0:c r="M810" s="0">
        <ns0:f>IF(AND(L810=1,OR(C810=0,IFERROR(INDEX($X$11:$X$60,C810),0)=0)),1,0)</ns0:f>
        <ns0:v>0</ns0:v>
      </ns0:c>
      <ns0:c r="N810" s="0">
        <ns0:f>IF(OR(A810=0,L810&gt;0,$B$6&gt;0,Bookings!G810="Cancelled"),0,G810)</ns0:f>
        <ns0:v>0</ns0:v>
      </ns0:c>
      <ns0:c r="O810" s="0">
        <ns0:f>IF(AND(Bookings!G810="Approved",E810="Yes"),N810,0)</ns0:f>
        <ns0:v>0</ns0:v>
      </ns0:c>
      <ns0:c r="P810" s="0">
        <ns0:f>IF(AND(Bookings!G810="Approved",E810="Yes",L810=0,$B$6=0),H810,0)</ns0:f>
        <ns0:v>0</ns0:v>
      </ns0:c>
      <ns0:c r="Q810" s="0">
        <ns0:f>IF(AND(Bookings!G810="Approved",E810="Yes",L810=0,$B$6=0),I810,0)</ns0:f>
        <ns0:v>0</ns0:v>
      </ns0:c>
      <ns0:c r="R810" s="0">
        <ns0:f>IF(AND(Bookings!G810="Pending",E810="Yes"),N810,0)</ns0:f>
        <ns0:v>0</ns0:v>
      </ns0:c>
      <ns0:c r="S810" s="0">
        <ns0:f>IF(AND(Bookings!G810="Approved",E810="No"),N810,0)</ns0:f>
        <ns0:v>0</ns0:v>
      </ns0:c>
      <ns0:c r="T810" s="0">
        <ns0:f>IFERROR(MATCH(D810,Settings!$G$7:$G$11,0),0)</ns0:f>
        <ns0:v>0</ns0:v>
      </ns0:c>
      <ns0:c r="U810" s="0">
        <ns0:f>IF(N810&gt;0,T810+IF(Bookings!G810="Pending",10,0),0)</ns0:f>
        <ns0:v>0</ns0:v>
      </ns0:c>
      <ns0:c r="V810" s="0">
        <ns0:f>U810</ns0:f>
        <ns0:v>0</ns0:v>
      </ns0:c>
      <ns0:c r="W810" s="0" t="str">
        <ns0:f>IF(C810=0,"",INDEX($AP$11:$AP$60,C810))</ns0:f>
        <ns0:v/>
      </ns0:c>
    </ns0:row>
    <ns0:row r="811">
      <ns0:c r="A811" s="0">
        <ns0:f>IF(COUNTA(Bookings!A811:G811,Bookings!I811)=0,0,1)</ns0:f>
        <ns0:v>0</ns0:v>
      </ns0:c>
      <ns0:c r="B811" s="0" t="str">
        <ns0:f>IFERROR(TRIM(MID(Bookings!A811,FIND(" · ",Bookings!A811)+3,99)),"")</ns0:f>
        <ns0:v/>
      </ns0:c>
      <ns0:c r="C811" s="0">
        <ns0:f>IF(OR(B811="",LEN(B811)&gt;24,ISNUMBER(FIND(" ",B811)),ISNUMBER(FIND("*",B811)),ISNUMBER(FIND("?",B811)),ISNUMBER(FIND("~",B811))),0,IFERROR(MATCH(B811,Team!$A$11:$A$60,0),0))</ns0:f>
        <ns0:v>0</ns0:v>
      </ns0:c>
      <ns0:c r="D811" s="0" t="str">
        <ns0:f>IFERROR(IF(MID(Bookings!F811,LEN(Bookings!F811)-3,3)=" · ",RIGHT(Bookings!F811,1),""),"")</ns0:f>
        <ns0:v/>
      </ns0:c>
      <ns0:c r="E811" s="0" t="str">
        <ns0:f>IFERROR(INDEX(Settings!$H$7:$H$11,MATCH(D811,Settings!$G$7:$G$11,0)),"")</ns0:f>
        <ns0:v/>
      </ns0:c>
      <ns0:c r="F811" s="0" t="str">
        <ns0:f>IF(A811=0,"",IFERROR(IF(OR(B811="",C811=0),"CHECK employee selection",IF(INDEX(Team!$O$11:$O$60,C811)&lt;&gt;"OK","CHECK employee setup",IF(OR('_Dates'!J811=0,'_Dates'!T811=0),"CHECK date: use DD.MM.YYYY",IF('_Dates'!T811&lt;'_Dates'!J811,"CHECK end before start",IF(AND($B$6=0,OR('_Dates'!J811&lt;Settings!$B$7,'_Dates'!T811&gt;Settings!$B$8)),"CHECK split across leave years",IF(OR(NOT(OR('_Dates'!U811="Full day",'_Dates'!U811="AM",'_Dates'!U811="PM")),NOT(OR('_Dates'!V811="Full day",'_Dates'!V811="AM",'_Dates'!V811="PM"))),"CHECK Full day / AM / PM",IF(AND('_Dates'!J811='_Dates'!T811,'_Dates'!U811&lt;&gt;"Full day",'_Dates'!V811&lt;&gt;"Full day",'_Dates'!U811&lt;&gt;'_Dates'!V811),"CHECK same-day portions disagree",IF(AND($B$6=0,OR(AND('_Dates'!U811&lt;&gt;"Full day",'_Dates'!AA811=0),AND('_Dates'!V811&lt;&gt;"Full day",'_Dates'!AB811=0))),"CHECK half-day on non-working date",IF(COUNTIF(Settings!$G$7:$G$11,D811)&lt;&gt;1,"CHECK leave type",IF(AND(Bookings!G811&lt;&gt;"Approved",Bookings!G811&lt;&gt;"Pending",Bookings!G811&lt;&gt;"Cancelled"),"CHECK status","OK")))))))))),"CHECK input"))</ns0:f>
        <ns0:v/>
      </ns0:c>
      <ns0:c r="G811" s="0">
        <ns0:f>IF(OR(F811&lt;&gt;"OK",$B$6&gt;0),0,0.5*(IF(('_Dates'!X811)&lt;('_Dates'!W811),0,INT((('_Dates'!X811)-('_Dates'!W811)+1)/7)*LEN(SUBSTITUTE(W811,"O",""))+LEN(SUBSTITUTE(MID(W811&amp;W811,WEEKDAY(('_Dates'!W811),2),MOD((('_Dates'!X811)-('_Dates'!W811)+1),7)),"O",""))-COUNTIFS(INDEX(AllClosureRows,C811,0),"&gt;="&amp;('_Dates'!W811),INDEX(AllClosureRows,C811,0),"&lt;="&amp;('_Dates'!X811)))+IF(('_Dates'!Z811)&lt;('_Dates'!Y811),0,INT((('_Dates'!Z811)-('_Dates'!Y811)+1)/7)*LEN(SUBSTITUTE(W811,"O",""))+LEN(SUBSTITUTE(MID(W811&amp;W811,WEEKDAY(('_Dates'!Y811),2),MOD((('_Dates'!Z811)-('_Dates'!Y811)+1),7)),"O",""))-COUNTIFS(INDEX(AllClosureRows,C811,0),"&gt;="&amp;('_Dates'!Y811),INDEX(AllClosureRows,C811,0),"&lt;="&amp;('_Dates'!Z811)))))</ns0:f>
        <ns0:v>0</ns0:v>
      </ns0:c>
      <ns0:c r="H811" s="0">
        <ns0:f>IF(OR(F811&lt;&gt;"OK",$B$6&gt;0),0,0.5*(IF((MIN('_Dates'!X811,Settings!$B$9))&lt;('_Dates'!W811),0,INT(((MIN('_Dates'!X811,Settings!$B$9))-('_Dates'!W811)+1)/7)*LEN(SUBSTITUTE(W811,"O",""))+LEN(SUBSTITUTE(MID(W811&amp;W811,WEEKDAY(('_Dates'!W811),2),MOD(((MIN('_Dates'!X811,Settings!$B$9))-('_Dates'!W811)+1),7)),"O",""))-COUNTIFS(INDEX(AllClosureRows,C811,0),"&gt;="&amp;('_Dates'!W811),INDEX(AllClosureRows,C811,0),"&lt;="&amp;(MIN('_Dates'!X811,Settings!$B$9))))+IF((MIN('_Dates'!Z811,Settings!$B$9))&lt;('_Dates'!Y811),0,INT(((MIN('_Dates'!Z811,Settings!$B$9))-('_Dates'!Y811)+1)/7)*LEN(SUBSTITUTE(W811,"O",""))+LEN(SUBSTITUTE(MID(W811&amp;W811,WEEKDAY(('_Dates'!Y811),2),MOD(((MIN('_Dates'!Z811,Settings!$B$9))-('_Dates'!Y811)+1),7)),"O",""))-COUNTIFS(INDEX(AllClosureRows,C811,0),"&gt;="&amp;('_Dates'!Y811),INDEX(AllClosureRows,C811,0),"&lt;="&amp;(MIN('_Dates'!Z811,Settings!$B$9))))))</ns0:f>
        <ns0:v>0</ns0:v>
      </ns0:c>
      <ns0:c r="I811" s="0">
        <ns0:f>MAX(0,G811-H811)</ns0:f>
        <ns0:v>0</ns0:v>
      </ns0:c>
      <ns0:c r="J811" s="0">
        <ns0:f>IF(OR(A811=0,F811&lt;&gt;"OK",Bookings!G811="Cancelled",$B$6&gt;0),0,IF('_Dates'!AC811=1,MAX(0,COUNTIFS(rngEngine_B,B811,rngAMStart,"&lt;="&amp;'_Dates'!X811,rngAMEnd,"&gt;="&amp;'_Dates'!W811,rngAMActive,1,rngEngine_F,"OK",rngBookings_F,"&lt;&gt;Cancelled")-1),0)+IF('_Dates'!AD811=1,MAX(0,COUNTIFS(rngEngine_B,B811,rngPMStart,"&lt;="&amp;'_Dates'!Z811,rngPMEnd,"&gt;="&amp;'_Dates'!Y811,rngPMActive,1,rngEngine_F,"OK",rngBookings_F,"&lt;&gt;Cancelled")-1),0))</ns0:f>
        <ns0:v>0</ns0:v>
      </ns0:c>
      <ns0:c r="K811" s="0" t="str">
        <ns0:f>IF(A811=0,"",IF(F811&lt;&gt;"OK",F811,IF(J811&gt;0,"CHECK overlapping entry",IF(AND($B$6=0,G811&lt;=0,Bookings!G811&lt;&gt;"Cancelled"),"CHECK no working days",IF(Bookings!G811="Cancelled","Cancelled","OK")))))</ns0:f>
        <ns0:v/>
      </ns0:c>
      <ns0:c r="L811" s="0">
        <ns0:f>IF(LEFT(K811,5)="CHECK",1,0)</ns0:f>
        <ns0:v>0</ns0:v>
      </ns0:c>
      <ns0:c r="M811" s="0">
        <ns0:f>IF(AND(L811=1,OR(C811=0,IFERROR(INDEX($X$11:$X$60,C811),0)=0)),1,0)</ns0:f>
        <ns0:v>0</ns0:v>
      </ns0:c>
      <ns0:c r="N811" s="0">
        <ns0:f>IF(OR(A811=0,L811&gt;0,$B$6&gt;0,Bookings!G811="Cancelled"),0,G811)</ns0:f>
        <ns0:v>0</ns0:v>
      </ns0:c>
      <ns0:c r="O811" s="0">
        <ns0:f>IF(AND(Bookings!G811="Approved",E811="Yes"),N811,0)</ns0:f>
        <ns0:v>0</ns0:v>
      </ns0:c>
      <ns0:c r="P811" s="0">
        <ns0:f>IF(AND(Bookings!G811="Approved",E811="Yes",L811=0,$B$6=0),H811,0)</ns0:f>
        <ns0:v>0</ns0:v>
      </ns0:c>
      <ns0:c r="Q811" s="0">
        <ns0:f>IF(AND(Bookings!G811="Approved",E811="Yes",L811=0,$B$6=0),I811,0)</ns0:f>
        <ns0:v>0</ns0:v>
      </ns0:c>
      <ns0:c r="R811" s="0">
        <ns0:f>IF(AND(Bookings!G811="Pending",E811="Yes"),N811,0)</ns0:f>
        <ns0:v>0</ns0:v>
      </ns0:c>
      <ns0:c r="S811" s="0">
        <ns0:f>IF(AND(Bookings!G811="Approved",E811="No"),N811,0)</ns0:f>
        <ns0:v>0</ns0:v>
      </ns0:c>
      <ns0:c r="T811" s="0">
        <ns0:f>IFERROR(MATCH(D811,Settings!$G$7:$G$11,0),0)</ns0:f>
        <ns0:v>0</ns0:v>
      </ns0:c>
      <ns0:c r="U811" s="0">
        <ns0:f>IF(N811&gt;0,T811+IF(Bookings!G811="Pending",10,0),0)</ns0:f>
        <ns0:v>0</ns0:v>
      </ns0:c>
      <ns0:c r="V811" s="0">
        <ns0:f>U811</ns0:f>
        <ns0:v>0</ns0:v>
      </ns0:c>
      <ns0:c r="W811" s="0" t="str">
        <ns0:f>IF(C811=0,"",INDEX($AP$11:$AP$60,C811))</ns0:f>
        <ns0:v/>
      </ns0:c>
    </ns0:row>
    <ns0:row r="812">
      <ns0:c r="A812" s="0">
        <ns0:f>IF(COUNTA(Bookings!A812:G812,Bookings!I812)=0,0,1)</ns0:f>
        <ns0:v>0</ns0:v>
      </ns0:c>
      <ns0:c r="B812" s="0" t="str">
        <ns0:f>IFERROR(TRIM(MID(Bookings!A812,FIND(" · ",Bookings!A812)+3,99)),"")</ns0:f>
        <ns0:v/>
      </ns0:c>
      <ns0:c r="C812" s="0">
        <ns0:f>IF(OR(B812="",LEN(B812)&gt;24,ISNUMBER(FIND(" ",B812)),ISNUMBER(FIND("*",B812)),ISNUMBER(FIND("?",B812)),ISNUMBER(FIND("~",B812))),0,IFERROR(MATCH(B812,Team!$A$11:$A$60,0),0))</ns0:f>
        <ns0:v>0</ns0:v>
      </ns0:c>
      <ns0:c r="D812" s="0" t="str">
        <ns0:f>IFERROR(IF(MID(Bookings!F812,LEN(Bookings!F812)-3,3)=" · ",RIGHT(Bookings!F812,1),""),"")</ns0:f>
        <ns0:v/>
      </ns0:c>
      <ns0:c r="E812" s="0" t="str">
        <ns0:f>IFERROR(INDEX(Settings!$H$7:$H$11,MATCH(D812,Settings!$G$7:$G$11,0)),"")</ns0:f>
        <ns0:v/>
      </ns0:c>
      <ns0:c r="F812" s="0" t="str">
        <ns0:f>IF(A812=0,"",IFERROR(IF(OR(B812="",C812=0),"CHECK employee selection",IF(INDEX(Team!$O$11:$O$60,C812)&lt;&gt;"OK","CHECK employee setup",IF(OR('_Dates'!J812=0,'_Dates'!T812=0),"CHECK date: use DD.MM.YYYY",IF('_Dates'!T812&lt;'_Dates'!J812,"CHECK end before start",IF(AND($B$6=0,OR('_Dates'!J812&lt;Settings!$B$7,'_Dates'!T812&gt;Settings!$B$8)),"CHECK split across leave years",IF(OR(NOT(OR('_Dates'!U812="Full day",'_Dates'!U812="AM",'_Dates'!U812="PM")),NOT(OR('_Dates'!V812="Full day",'_Dates'!V812="AM",'_Dates'!V812="PM"))),"CHECK Full day / AM / PM",IF(AND('_Dates'!J812='_Dates'!T812,'_Dates'!U812&lt;&gt;"Full day",'_Dates'!V812&lt;&gt;"Full day",'_Dates'!U812&lt;&gt;'_Dates'!V812),"CHECK same-day portions disagree",IF(AND($B$6=0,OR(AND('_Dates'!U812&lt;&gt;"Full day",'_Dates'!AA812=0),AND('_Dates'!V812&lt;&gt;"Full day",'_Dates'!AB812=0))),"CHECK half-day on non-working date",IF(COUNTIF(Settings!$G$7:$G$11,D812)&lt;&gt;1,"CHECK leave type",IF(AND(Bookings!G812&lt;&gt;"Approved",Bookings!G812&lt;&gt;"Pending",Bookings!G812&lt;&gt;"Cancelled"),"CHECK status","OK")))))))))),"CHECK input"))</ns0:f>
        <ns0:v/>
      </ns0:c>
      <ns0:c r="G812" s="0">
        <ns0:f>IF(OR(F812&lt;&gt;"OK",$B$6&gt;0),0,0.5*(IF(('_Dates'!X812)&lt;('_Dates'!W812),0,INT((('_Dates'!X812)-('_Dates'!W812)+1)/7)*LEN(SUBSTITUTE(W812,"O",""))+LEN(SUBSTITUTE(MID(W812&amp;W812,WEEKDAY(('_Dates'!W812),2),MOD((('_Dates'!X812)-('_Dates'!W812)+1),7)),"O",""))-COUNTIFS(INDEX(AllClosureRows,C812,0),"&gt;="&amp;('_Dates'!W812),INDEX(AllClosureRows,C812,0),"&lt;="&amp;('_Dates'!X812)))+IF(('_Dates'!Z812)&lt;('_Dates'!Y812),0,INT((('_Dates'!Z812)-('_Dates'!Y812)+1)/7)*LEN(SUBSTITUTE(W812,"O",""))+LEN(SUBSTITUTE(MID(W812&amp;W812,WEEKDAY(('_Dates'!Y812),2),MOD((('_Dates'!Z812)-('_Dates'!Y812)+1),7)),"O",""))-COUNTIFS(INDEX(AllClosureRows,C812,0),"&gt;="&amp;('_Dates'!Y812),INDEX(AllClosureRows,C812,0),"&lt;="&amp;('_Dates'!Z812)))))</ns0:f>
        <ns0:v>0</ns0:v>
      </ns0:c>
      <ns0:c r="H812" s="0">
        <ns0:f>IF(OR(F812&lt;&gt;"OK",$B$6&gt;0),0,0.5*(IF((MIN('_Dates'!X812,Settings!$B$9))&lt;('_Dates'!W812),0,INT(((MIN('_Dates'!X812,Settings!$B$9))-('_Dates'!W812)+1)/7)*LEN(SUBSTITUTE(W812,"O",""))+LEN(SUBSTITUTE(MID(W812&amp;W812,WEEKDAY(('_Dates'!W812),2),MOD(((MIN('_Dates'!X812,Settings!$B$9))-('_Dates'!W812)+1),7)),"O",""))-COUNTIFS(INDEX(AllClosureRows,C812,0),"&gt;="&amp;('_Dates'!W812),INDEX(AllClosureRows,C812,0),"&lt;="&amp;(MIN('_Dates'!X812,Settings!$B$9))))+IF((MIN('_Dates'!Z812,Settings!$B$9))&lt;('_Dates'!Y812),0,INT(((MIN('_Dates'!Z812,Settings!$B$9))-('_Dates'!Y812)+1)/7)*LEN(SUBSTITUTE(W812,"O",""))+LEN(SUBSTITUTE(MID(W812&amp;W812,WEEKDAY(('_Dates'!Y812),2),MOD(((MIN('_Dates'!Z812,Settings!$B$9))-('_Dates'!Y812)+1),7)),"O",""))-COUNTIFS(INDEX(AllClosureRows,C812,0),"&gt;="&amp;('_Dates'!Y812),INDEX(AllClosureRows,C812,0),"&lt;="&amp;(MIN('_Dates'!Z812,Settings!$B$9))))))</ns0:f>
        <ns0:v>0</ns0:v>
      </ns0:c>
      <ns0:c r="I812" s="0">
        <ns0:f>MAX(0,G812-H812)</ns0:f>
        <ns0:v>0</ns0:v>
      </ns0:c>
      <ns0:c r="J812" s="0">
        <ns0:f>IF(OR(A812=0,F812&lt;&gt;"OK",Bookings!G812="Cancelled",$B$6&gt;0),0,IF('_Dates'!AC812=1,MAX(0,COUNTIFS(rngEngine_B,B812,rngAMStart,"&lt;="&amp;'_Dates'!X812,rngAMEnd,"&gt;="&amp;'_Dates'!W812,rngAMActive,1,rngEngine_F,"OK",rngBookings_F,"&lt;&gt;Cancelled")-1),0)+IF('_Dates'!AD812=1,MAX(0,COUNTIFS(rngEngine_B,B812,rngPMStart,"&lt;="&amp;'_Dates'!Z812,rngPMEnd,"&gt;="&amp;'_Dates'!Y812,rngPMActive,1,rngEngine_F,"OK",rngBookings_F,"&lt;&gt;Cancelled")-1),0))</ns0:f>
        <ns0:v>0</ns0:v>
      </ns0:c>
      <ns0:c r="K812" s="0" t="str">
        <ns0:f>IF(A812=0,"",IF(F812&lt;&gt;"OK",F812,IF(J812&gt;0,"CHECK overlapping entry",IF(AND($B$6=0,G812&lt;=0,Bookings!G812&lt;&gt;"Cancelled"),"CHECK no working days",IF(Bookings!G812="Cancelled","Cancelled","OK")))))</ns0:f>
        <ns0:v/>
      </ns0:c>
      <ns0:c r="L812" s="0">
        <ns0:f>IF(LEFT(K812,5)="CHECK",1,0)</ns0:f>
        <ns0:v>0</ns0:v>
      </ns0:c>
      <ns0:c r="M812" s="0">
        <ns0:f>IF(AND(L812=1,OR(C812=0,IFERROR(INDEX($X$11:$X$60,C812),0)=0)),1,0)</ns0:f>
        <ns0:v>0</ns0:v>
      </ns0:c>
      <ns0:c r="N812" s="0">
        <ns0:f>IF(OR(A812=0,L812&gt;0,$B$6&gt;0,Bookings!G812="Cancelled"),0,G812)</ns0:f>
        <ns0:v>0</ns0:v>
      </ns0:c>
      <ns0:c r="O812" s="0">
        <ns0:f>IF(AND(Bookings!G812="Approved",E812="Yes"),N812,0)</ns0:f>
        <ns0:v>0</ns0:v>
      </ns0:c>
      <ns0:c r="P812" s="0">
        <ns0:f>IF(AND(Bookings!G812="Approved",E812="Yes",L812=0,$B$6=0),H812,0)</ns0:f>
        <ns0:v>0</ns0:v>
      </ns0:c>
      <ns0:c r="Q812" s="0">
        <ns0:f>IF(AND(Bookings!G812="Approved",E812="Yes",L812=0,$B$6=0),I812,0)</ns0:f>
        <ns0:v>0</ns0:v>
      </ns0:c>
      <ns0:c r="R812" s="0">
        <ns0:f>IF(AND(Bookings!G812="Pending",E812="Yes"),N812,0)</ns0:f>
        <ns0:v>0</ns0:v>
      </ns0:c>
      <ns0:c r="S812" s="0">
        <ns0:f>IF(AND(Bookings!G812="Approved",E812="No"),N812,0)</ns0:f>
        <ns0:v>0</ns0:v>
      </ns0:c>
      <ns0:c r="T812" s="0">
        <ns0:f>IFERROR(MATCH(D812,Settings!$G$7:$G$11,0),0)</ns0:f>
        <ns0:v>0</ns0:v>
      </ns0:c>
      <ns0:c r="U812" s="0">
        <ns0:f>IF(N812&gt;0,T812+IF(Bookings!G812="Pending",10,0),0)</ns0:f>
        <ns0:v>0</ns0:v>
      </ns0:c>
      <ns0:c r="V812" s="0">
        <ns0:f>U812</ns0:f>
        <ns0:v>0</ns0:v>
      </ns0:c>
      <ns0:c r="W812" s="0" t="str">
        <ns0:f>IF(C812=0,"",INDEX($AP$11:$AP$60,C812))</ns0:f>
        <ns0:v/>
      </ns0:c>
    </ns0:row>
    <ns0:row r="813">
      <ns0:c r="A813" s="0">
        <ns0:f>IF(COUNTA(Bookings!A813:G813,Bookings!I813)=0,0,1)</ns0:f>
        <ns0:v>0</ns0:v>
      </ns0:c>
      <ns0:c r="B813" s="0" t="str">
        <ns0:f>IFERROR(TRIM(MID(Bookings!A813,FIND(" · ",Bookings!A813)+3,99)),"")</ns0:f>
        <ns0:v/>
      </ns0:c>
      <ns0:c r="C813" s="0">
        <ns0:f>IF(OR(B813="",LEN(B813)&gt;24,ISNUMBER(FIND(" ",B813)),ISNUMBER(FIND("*",B813)),ISNUMBER(FIND("?",B813)),ISNUMBER(FIND("~",B813))),0,IFERROR(MATCH(B813,Team!$A$11:$A$60,0),0))</ns0:f>
        <ns0:v>0</ns0:v>
      </ns0:c>
      <ns0:c r="D813" s="0" t="str">
        <ns0:f>IFERROR(IF(MID(Bookings!F813,LEN(Bookings!F813)-3,3)=" · ",RIGHT(Bookings!F813,1),""),"")</ns0:f>
        <ns0:v/>
      </ns0:c>
      <ns0:c r="E813" s="0" t="str">
        <ns0:f>IFERROR(INDEX(Settings!$H$7:$H$11,MATCH(D813,Settings!$G$7:$G$11,0)),"")</ns0:f>
        <ns0:v/>
      </ns0:c>
      <ns0:c r="F813" s="0" t="str">
        <ns0:f>IF(A813=0,"",IFERROR(IF(OR(B813="",C813=0),"CHECK employee selection",IF(INDEX(Team!$O$11:$O$60,C813)&lt;&gt;"OK","CHECK employee setup",IF(OR('_Dates'!J813=0,'_Dates'!T813=0),"CHECK date: use DD.MM.YYYY",IF('_Dates'!T813&lt;'_Dates'!J813,"CHECK end before start",IF(AND($B$6=0,OR('_Dates'!J813&lt;Settings!$B$7,'_Dates'!T813&gt;Settings!$B$8)),"CHECK split across leave years",IF(OR(NOT(OR('_Dates'!U813="Full day",'_Dates'!U813="AM",'_Dates'!U813="PM")),NOT(OR('_Dates'!V813="Full day",'_Dates'!V813="AM",'_Dates'!V813="PM"))),"CHECK Full day / AM / PM",IF(AND('_Dates'!J813='_Dates'!T813,'_Dates'!U813&lt;&gt;"Full day",'_Dates'!V813&lt;&gt;"Full day",'_Dates'!U813&lt;&gt;'_Dates'!V813),"CHECK same-day portions disagree",IF(AND($B$6=0,OR(AND('_Dates'!U813&lt;&gt;"Full day",'_Dates'!AA813=0),AND('_Dates'!V813&lt;&gt;"Full day",'_Dates'!AB813=0))),"CHECK half-day on non-working date",IF(COUNTIF(Settings!$G$7:$G$11,D813)&lt;&gt;1,"CHECK leave type",IF(AND(Bookings!G813&lt;&gt;"Approved",Bookings!G813&lt;&gt;"Pending",Bookings!G813&lt;&gt;"Cancelled"),"CHECK status","OK")))))))))),"CHECK input"))</ns0:f>
        <ns0:v/>
      </ns0:c>
      <ns0:c r="G813" s="0">
        <ns0:f>IF(OR(F813&lt;&gt;"OK",$B$6&gt;0),0,0.5*(IF(('_Dates'!X813)&lt;('_Dates'!W813),0,INT((('_Dates'!X813)-('_Dates'!W813)+1)/7)*LEN(SUBSTITUTE(W813,"O",""))+LEN(SUBSTITUTE(MID(W813&amp;W813,WEEKDAY(('_Dates'!W813),2),MOD((('_Dates'!X813)-('_Dates'!W813)+1),7)),"O",""))-COUNTIFS(INDEX(AllClosureRows,C813,0),"&gt;="&amp;('_Dates'!W813),INDEX(AllClosureRows,C813,0),"&lt;="&amp;('_Dates'!X813)))+IF(('_Dates'!Z813)&lt;('_Dates'!Y813),0,INT((('_Dates'!Z813)-('_Dates'!Y813)+1)/7)*LEN(SUBSTITUTE(W813,"O",""))+LEN(SUBSTITUTE(MID(W813&amp;W813,WEEKDAY(('_Dates'!Y813),2),MOD((('_Dates'!Z813)-('_Dates'!Y813)+1),7)),"O",""))-COUNTIFS(INDEX(AllClosureRows,C813,0),"&gt;="&amp;('_Dates'!Y813),INDEX(AllClosureRows,C813,0),"&lt;="&amp;('_Dates'!Z813)))))</ns0:f>
        <ns0:v>0</ns0:v>
      </ns0:c>
      <ns0:c r="H813" s="0">
        <ns0:f>IF(OR(F813&lt;&gt;"OK",$B$6&gt;0),0,0.5*(IF((MIN('_Dates'!X813,Settings!$B$9))&lt;('_Dates'!W813),0,INT(((MIN('_Dates'!X813,Settings!$B$9))-('_Dates'!W813)+1)/7)*LEN(SUBSTITUTE(W813,"O",""))+LEN(SUBSTITUTE(MID(W813&amp;W813,WEEKDAY(('_Dates'!W813),2),MOD(((MIN('_Dates'!X813,Settings!$B$9))-('_Dates'!W813)+1),7)),"O",""))-COUNTIFS(INDEX(AllClosureRows,C813,0),"&gt;="&amp;('_Dates'!W813),INDEX(AllClosureRows,C813,0),"&lt;="&amp;(MIN('_Dates'!X813,Settings!$B$9))))+IF((MIN('_Dates'!Z813,Settings!$B$9))&lt;('_Dates'!Y813),0,INT(((MIN('_Dates'!Z813,Settings!$B$9))-('_Dates'!Y813)+1)/7)*LEN(SUBSTITUTE(W813,"O",""))+LEN(SUBSTITUTE(MID(W813&amp;W813,WEEKDAY(('_Dates'!Y813),2),MOD(((MIN('_Dates'!Z813,Settings!$B$9))-('_Dates'!Y813)+1),7)),"O",""))-COUNTIFS(INDEX(AllClosureRows,C813,0),"&gt;="&amp;('_Dates'!Y813),INDEX(AllClosureRows,C813,0),"&lt;="&amp;(MIN('_Dates'!Z813,Settings!$B$9))))))</ns0:f>
        <ns0:v>0</ns0:v>
      </ns0:c>
      <ns0:c r="I813" s="0">
        <ns0:f>MAX(0,G813-H813)</ns0:f>
        <ns0:v>0</ns0:v>
      </ns0:c>
      <ns0:c r="J813" s="0">
        <ns0:f>IF(OR(A813=0,F813&lt;&gt;"OK",Bookings!G813="Cancelled",$B$6&gt;0),0,IF('_Dates'!AC813=1,MAX(0,COUNTIFS(rngEngine_B,B813,rngAMStart,"&lt;="&amp;'_Dates'!X813,rngAMEnd,"&gt;="&amp;'_Dates'!W813,rngAMActive,1,rngEngine_F,"OK",rngBookings_F,"&lt;&gt;Cancelled")-1),0)+IF('_Dates'!AD813=1,MAX(0,COUNTIFS(rngEngine_B,B813,rngPMStart,"&lt;="&amp;'_Dates'!Z813,rngPMEnd,"&gt;="&amp;'_Dates'!Y813,rngPMActive,1,rngEngine_F,"OK",rngBookings_F,"&lt;&gt;Cancelled")-1),0))</ns0:f>
        <ns0:v>0</ns0:v>
      </ns0:c>
      <ns0:c r="K813" s="0" t="str">
        <ns0:f>IF(A813=0,"",IF(F813&lt;&gt;"OK",F813,IF(J813&gt;0,"CHECK overlapping entry",IF(AND($B$6=0,G813&lt;=0,Bookings!G813&lt;&gt;"Cancelled"),"CHECK no working days",IF(Bookings!G813="Cancelled","Cancelled","OK")))))</ns0:f>
        <ns0:v/>
      </ns0:c>
      <ns0:c r="L813" s="0">
        <ns0:f>IF(LEFT(K813,5)="CHECK",1,0)</ns0:f>
        <ns0:v>0</ns0:v>
      </ns0:c>
      <ns0:c r="M813" s="0">
        <ns0:f>IF(AND(L813=1,OR(C813=0,IFERROR(INDEX($X$11:$X$60,C813),0)=0)),1,0)</ns0:f>
        <ns0:v>0</ns0:v>
      </ns0:c>
      <ns0:c r="N813" s="0">
        <ns0:f>IF(OR(A813=0,L813&gt;0,$B$6&gt;0,Bookings!G813="Cancelled"),0,G813)</ns0:f>
        <ns0:v>0</ns0:v>
      </ns0:c>
      <ns0:c r="O813" s="0">
        <ns0:f>IF(AND(Bookings!G813="Approved",E813="Yes"),N813,0)</ns0:f>
        <ns0:v>0</ns0:v>
      </ns0:c>
      <ns0:c r="P813" s="0">
        <ns0:f>IF(AND(Bookings!G813="Approved",E813="Yes",L813=0,$B$6=0),H813,0)</ns0:f>
        <ns0:v>0</ns0:v>
      </ns0:c>
      <ns0:c r="Q813" s="0">
        <ns0:f>IF(AND(Bookings!G813="Approved",E813="Yes",L813=0,$B$6=0),I813,0)</ns0:f>
        <ns0:v>0</ns0:v>
      </ns0:c>
      <ns0:c r="R813" s="0">
        <ns0:f>IF(AND(Bookings!G813="Pending",E813="Yes"),N813,0)</ns0:f>
        <ns0:v>0</ns0:v>
      </ns0:c>
      <ns0:c r="S813" s="0">
        <ns0:f>IF(AND(Bookings!G813="Approved",E813="No"),N813,0)</ns0:f>
        <ns0:v>0</ns0:v>
      </ns0:c>
      <ns0:c r="T813" s="0">
        <ns0:f>IFERROR(MATCH(D813,Settings!$G$7:$G$11,0),0)</ns0:f>
        <ns0:v>0</ns0:v>
      </ns0:c>
      <ns0:c r="U813" s="0">
        <ns0:f>IF(N813&gt;0,T813+IF(Bookings!G813="Pending",10,0),0)</ns0:f>
        <ns0:v>0</ns0:v>
      </ns0:c>
      <ns0:c r="V813" s="0">
        <ns0:f>U813</ns0:f>
        <ns0:v>0</ns0:v>
      </ns0:c>
      <ns0:c r="W813" s="0" t="str">
        <ns0:f>IF(C813=0,"",INDEX($AP$11:$AP$60,C813))</ns0:f>
        <ns0:v/>
      </ns0:c>
    </ns0:row>
    <ns0:row r="814">
      <ns0:c r="A814" s="0">
        <ns0:f>IF(COUNTA(Bookings!A814:G814,Bookings!I814)=0,0,1)</ns0:f>
        <ns0:v>0</ns0:v>
      </ns0:c>
      <ns0:c r="B814" s="0" t="str">
        <ns0:f>IFERROR(TRIM(MID(Bookings!A814,FIND(" · ",Bookings!A814)+3,99)),"")</ns0:f>
        <ns0:v/>
      </ns0:c>
      <ns0:c r="C814" s="0">
        <ns0:f>IF(OR(B814="",LEN(B814)&gt;24,ISNUMBER(FIND(" ",B814)),ISNUMBER(FIND("*",B814)),ISNUMBER(FIND("?",B814)),ISNUMBER(FIND("~",B814))),0,IFERROR(MATCH(B814,Team!$A$11:$A$60,0),0))</ns0:f>
        <ns0:v>0</ns0:v>
      </ns0:c>
      <ns0:c r="D814" s="0" t="str">
        <ns0:f>IFERROR(IF(MID(Bookings!F814,LEN(Bookings!F814)-3,3)=" · ",RIGHT(Bookings!F814,1),""),"")</ns0:f>
        <ns0:v/>
      </ns0:c>
      <ns0:c r="E814" s="0" t="str">
        <ns0:f>IFERROR(INDEX(Settings!$H$7:$H$11,MATCH(D814,Settings!$G$7:$G$11,0)),"")</ns0:f>
        <ns0:v/>
      </ns0:c>
      <ns0:c r="F814" s="0" t="str">
        <ns0:f>IF(A814=0,"",IFERROR(IF(OR(B814="",C814=0),"CHECK employee selection",IF(INDEX(Team!$O$11:$O$60,C814)&lt;&gt;"OK","CHECK employee setup",IF(OR('_Dates'!J814=0,'_Dates'!T814=0),"CHECK date: use DD.MM.YYYY",IF('_Dates'!T814&lt;'_Dates'!J814,"CHECK end before start",IF(AND($B$6=0,OR('_Dates'!J814&lt;Settings!$B$7,'_Dates'!T814&gt;Settings!$B$8)),"CHECK split across leave years",IF(OR(NOT(OR('_Dates'!U814="Full day",'_Dates'!U814="AM",'_Dates'!U814="PM")),NOT(OR('_Dates'!V814="Full day",'_Dates'!V814="AM",'_Dates'!V814="PM"))),"CHECK Full day / AM / PM",IF(AND('_Dates'!J814='_Dates'!T814,'_Dates'!U814&lt;&gt;"Full day",'_Dates'!V814&lt;&gt;"Full day",'_Dates'!U814&lt;&gt;'_Dates'!V814),"CHECK same-day portions disagree",IF(AND($B$6=0,OR(AND('_Dates'!U814&lt;&gt;"Full day",'_Dates'!AA814=0),AND('_Dates'!V814&lt;&gt;"Full day",'_Dates'!AB814=0))),"CHECK half-day on non-working date",IF(COUNTIF(Settings!$G$7:$G$11,D814)&lt;&gt;1,"CHECK leave type",IF(AND(Bookings!G814&lt;&gt;"Approved",Bookings!G814&lt;&gt;"Pending",Bookings!G814&lt;&gt;"Cancelled"),"CHECK status","OK")))))))))),"CHECK input"))</ns0:f>
        <ns0:v/>
      </ns0:c>
      <ns0:c r="G814" s="0">
        <ns0:f>IF(OR(F814&lt;&gt;"OK",$B$6&gt;0),0,0.5*(IF(('_Dates'!X814)&lt;('_Dates'!W814),0,INT((('_Dates'!X814)-('_Dates'!W814)+1)/7)*LEN(SUBSTITUTE(W814,"O",""))+LEN(SUBSTITUTE(MID(W814&amp;W814,WEEKDAY(('_Dates'!W814),2),MOD((('_Dates'!X814)-('_Dates'!W814)+1),7)),"O",""))-COUNTIFS(INDEX(AllClosureRows,C814,0),"&gt;="&amp;('_Dates'!W814),INDEX(AllClosureRows,C814,0),"&lt;="&amp;('_Dates'!X814)))+IF(('_Dates'!Z814)&lt;('_Dates'!Y814),0,INT((('_Dates'!Z814)-('_Dates'!Y814)+1)/7)*LEN(SUBSTITUTE(W814,"O",""))+LEN(SUBSTITUTE(MID(W814&amp;W814,WEEKDAY(('_Dates'!Y814),2),MOD((('_Dates'!Z814)-('_Dates'!Y814)+1),7)),"O",""))-COUNTIFS(INDEX(AllClosureRows,C814,0),"&gt;="&amp;('_Dates'!Y814),INDEX(AllClosureRows,C814,0),"&lt;="&amp;('_Dates'!Z814)))))</ns0:f>
        <ns0:v>0</ns0:v>
      </ns0:c>
      <ns0:c r="H814" s="0">
        <ns0:f>IF(OR(F814&lt;&gt;"OK",$B$6&gt;0),0,0.5*(IF((MIN('_Dates'!X814,Settings!$B$9))&lt;('_Dates'!W814),0,INT(((MIN('_Dates'!X814,Settings!$B$9))-('_Dates'!W814)+1)/7)*LEN(SUBSTITUTE(W814,"O",""))+LEN(SUBSTITUTE(MID(W814&amp;W814,WEEKDAY(('_Dates'!W814),2),MOD(((MIN('_Dates'!X814,Settings!$B$9))-('_Dates'!W814)+1),7)),"O",""))-COUNTIFS(INDEX(AllClosureRows,C814,0),"&gt;="&amp;('_Dates'!W814),INDEX(AllClosureRows,C814,0),"&lt;="&amp;(MIN('_Dates'!X814,Settings!$B$9))))+IF((MIN('_Dates'!Z814,Settings!$B$9))&lt;('_Dates'!Y814),0,INT(((MIN('_Dates'!Z814,Settings!$B$9))-('_Dates'!Y814)+1)/7)*LEN(SUBSTITUTE(W814,"O",""))+LEN(SUBSTITUTE(MID(W814&amp;W814,WEEKDAY(('_Dates'!Y814),2),MOD(((MIN('_Dates'!Z814,Settings!$B$9))-('_Dates'!Y814)+1),7)),"O",""))-COUNTIFS(INDEX(AllClosureRows,C814,0),"&gt;="&amp;('_Dates'!Y814),INDEX(AllClosureRows,C814,0),"&lt;="&amp;(MIN('_Dates'!Z814,Settings!$B$9))))))</ns0:f>
        <ns0:v>0</ns0:v>
      </ns0:c>
      <ns0:c r="I814" s="0">
        <ns0:f>MAX(0,G814-H814)</ns0:f>
        <ns0:v>0</ns0:v>
      </ns0:c>
      <ns0:c r="J814" s="0">
        <ns0:f>IF(OR(A814=0,F814&lt;&gt;"OK",Bookings!G814="Cancelled",$B$6&gt;0),0,IF('_Dates'!AC814=1,MAX(0,COUNTIFS(rngEngine_B,B814,rngAMStart,"&lt;="&amp;'_Dates'!X814,rngAMEnd,"&gt;="&amp;'_Dates'!W814,rngAMActive,1,rngEngine_F,"OK",rngBookings_F,"&lt;&gt;Cancelled")-1),0)+IF('_Dates'!AD814=1,MAX(0,COUNTIFS(rngEngine_B,B814,rngPMStart,"&lt;="&amp;'_Dates'!Z814,rngPMEnd,"&gt;="&amp;'_Dates'!Y814,rngPMActive,1,rngEngine_F,"OK",rngBookings_F,"&lt;&gt;Cancelled")-1),0))</ns0:f>
        <ns0:v>0</ns0:v>
      </ns0:c>
      <ns0:c r="K814" s="0" t="str">
        <ns0:f>IF(A814=0,"",IF(F814&lt;&gt;"OK",F814,IF(J814&gt;0,"CHECK overlapping entry",IF(AND($B$6=0,G814&lt;=0,Bookings!G814&lt;&gt;"Cancelled"),"CHECK no working days",IF(Bookings!G814="Cancelled","Cancelled","OK")))))</ns0:f>
        <ns0:v/>
      </ns0:c>
      <ns0:c r="L814" s="0">
        <ns0:f>IF(LEFT(K814,5)="CHECK",1,0)</ns0:f>
        <ns0:v>0</ns0:v>
      </ns0:c>
      <ns0:c r="M814" s="0">
        <ns0:f>IF(AND(L814=1,OR(C814=0,IFERROR(INDEX($X$11:$X$60,C814),0)=0)),1,0)</ns0:f>
        <ns0:v>0</ns0:v>
      </ns0:c>
      <ns0:c r="N814" s="0">
        <ns0:f>IF(OR(A814=0,L814&gt;0,$B$6&gt;0,Bookings!G814="Cancelled"),0,G814)</ns0:f>
        <ns0:v>0</ns0:v>
      </ns0:c>
      <ns0:c r="O814" s="0">
        <ns0:f>IF(AND(Bookings!G814="Approved",E814="Yes"),N814,0)</ns0:f>
        <ns0:v>0</ns0:v>
      </ns0:c>
      <ns0:c r="P814" s="0">
        <ns0:f>IF(AND(Bookings!G814="Approved",E814="Yes",L814=0,$B$6=0),H814,0)</ns0:f>
        <ns0:v>0</ns0:v>
      </ns0:c>
      <ns0:c r="Q814" s="0">
        <ns0:f>IF(AND(Bookings!G814="Approved",E814="Yes",L814=0,$B$6=0),I814,0)</ns0:f>
        <ns0:v>0</ns0:v>
      </ns0:c>
      <ns0:c r="R814" s="0">
        <ns0:f>IF(AND(Bookings!G814="Pending",E814="Yes"),N814,0)</ns0:f>
        <ns0:v>0</ns0:v>
      </ns0:c>
      <ns0:c r="S814" s="0">
        <ns0:f>IF(AND(Bookings!G814="Approved",E814="No"),N814,0)</ns0:f>
        <ns0:v>0</ns0:v>
      </ns0:c>
      <ns0:c r="T814" s="0">
        <ns0:f>IFERROR(MATCH(D814,Settings!$G$7:$G$11,0),0)</ns0:f>
        <ns0:v>0</ns0:v>
      </ns0:c>
      <ns0:c r="U814" s="0">
        <ns0:f>IF(N814&gt;0,T814+IF(Bookings!G814="Pending",10,0),0)</ns0:f>
        <ns0:v>0</ns0:v>
      </ns0:c>
      <ns0:c r="V814" s="0">
        <ns0:f>U814</ns0:f>
        <ns0:v>0</ns0:v>
      </ns0:c>
      <ns0:c r="W814" s="0" t="str">
        <ns0:f>IF(C814=0,"",INDEX($AP$11:$AP$60,C814))</ns0:f>
        <ns0:v/>
      </ns0:c>
    </ns0:row>
    <ns0:row r="815">
      <ns0:c r="A815" s="0">
        <ns0:f>IF(COUNTA(Bookings!A815:G815,Bookings!I815)=0,0,1)</ns0:f>
        <ns0:v>0</ns0:v>
      </ns0:c>
      <ns0:c r="B815" s="0" t="str">
        <ns0:f>IFERROR(TRIM(MID(Bookings!A815,FIND(" · ",Bookings!A815)+3,99)),"")</ns0:f>
        <ns0:v/>
      </ns0:c>
      <ns0:c r="C815" s="0">
        <ns0:f>IF(OR(B815="",LEN(B815)&gt;24,ISNUMBER(FIND(" ",B815)),ISNUMBER(FIND("*",B815)),ISNUMBER(FIND("?",B815)),ISNUMBER(FIND("~",B815))),0,IFERROR(MATCH(B815,Team!$A$11:$A$60,0),0))</ns0:f>
        <ns0:v>0</ns0:v>
      </ns0:c>
      <ns0:c r="D815" s="0" t="str">
        <ns0:f>IFERROR(IF(MID(Bookings!F815,LEN(Bookings!F815)-3,3)=" · ",RIGHT(Bookings!F815,1),""),"")</ns0:f>
        <ns0:v/>
      </ns0:c>
      <ns0:c r="E815" s="0" t="str">
        <ns0:f>IFERROR(INDEX(Settings!$H$7:$H$11,MATCH(D815,Settings!$G$7:$G$11,0)),"")</ns0:f>
        <ns0:v/>
      </ns0:c>
      <ns0:c r="F815" s="0" t="str">
        <ns0:f>IF(A815=0,"",IFERROR(IF(OR(B815="",C815=0),"CHECK employee selection",IF(INDEX(Team!$O$11:$O$60,C815)&lt;&gt;"OK","CHECK employee setup",IF(OR('_Dates'!J815=0,'_Dates'!T815=0),"CHECK date: use DD.MM.YYYY",IF('_Dates'!T815&lt;'_Dates'!J815,"CHECK end before start",IF(AND($B$6=0,OR('_Dates'!J815&lt;Settings!$B$7,'_Dates'!T815&gt;Settings!$B$8)),"CHECK split across leave years",IF(OR(NOT(OR('_Dates'!U815="Full day",'_Dates'!U815="AM",'_Dates'!U815="PM")),NOT(OR('_Dates'!V815="Full day",'_Dates'!V815="AM",'_Dates'!V815="PM"))),"CHECK Full day / AM / PM",IF(AND('_Dates'!J815='_Dates'!T815,'_Dates'!U815&lt;&gt;"Full day",'_Dates'!V815&lt;&gt;"Full day",'_Dates'!U815&lt;&gt;'_Dates'!V815),"CHECK same-day portions disagree",IF(AND($B$6=0,OR(AND('_Dates'!U815&lt;&gt;"Full day",'_Dates'!AA815=0),AND('_Dates'!V815&lt;&gt;"Full day",'_Dates'!AB815=0))),"CHECK half-day on non-working date",IF(COUNTIF(Settings!$G$7:$G$11,D815)&lt;&gt;1,"CHECK leave type",IF(AND(Bookings!G815&lt;&gt;"Approved",Bookings!G815&lt;&gt;"Pending",Bookings!G815&lt;&gt;"Cancelled"),"CHECK status","OK")))))))))),"CHECK input"))</ns0:f>
        <ns0:v/>
      </ns0:c>
      <ns0:c r="G815" s="0">
        <ns0:f>IF(OR(F815&lt;&gt;"OK",$B$6&gt;0),0,0.5*(IF(('_Dates'!X815)&lt;('_Dates'!W815),0,INT((('_Dates'!X815)-('_Dates'!W815)+1)/7)*LEN(SUBSTITUTE(W815,"O",""))+LEN(SUBSTITUTE(MID(W815&amp;W815,WEEKDAY(('_Dates'!W815),2),MOD((('_Dates'!X815)-('_Dates'!W815)+1),7)),"O",""))-COUNTIFS(INDEX(AllClosureRows,C815,0),"&gt;="&amp;('_Dates'!W815),INDEX(AllClosureRows,C815,0),"&lt;="&amp;('_Dates'!X815)))+IF(('_Dates'!Z815)&lt;('_Dates'!Y815),0,INT((('_Dates'!Z815)-('_Dates'!Y815)+1)/7)*LEN(SUBSTITUTE(W815,"O",""))+LEN(SUBSTITUTE(MID(W815&amp;W815,WEEKDAY(('_Dates'!Y815),2),MOD((('_Dates'!Z815)-('_Dates'!Y815)+1),7)),"O",""))-COUNTIFS(INDEX(AllClosureRows,C815,0),"&gt;="&amp;('_Dates'!Y815),INDEX(AllClosureRows,C815,0),"&lt;="&amp;('_Dates'!Z815)))))</ns0:f>
        <ns0:v>0</ns0:v>
      </ns0:c>
      <ns0:c r="H815" s="0">
        <ns0:f>IF(OR(F815&lt;&gt;"OK",$B$6&gt;0),0,0.5*(IF((MIN('_Dates'!X815,Settings!$B$9))&lt;('_Dates'!W815),0,INT(((MIN('_Dates'!X815,Settings!$B$9))-('_Dates'!W815)+1)/7)*LEN(SUBSTITUTE(W815,"O",""))+LEN(SUBSTITUTE(MID(W815&amp;W815,WEEKDAY(('_Dates'!W815),2),MOD(((MIN('_Dates'!X815,Settings!$B$9))-('_Dates'!W815)+1),7)),"O",""))-COUNTIFS(INDEX(AllClosureRows,C815,0),"&gt;="&amp;('_Dates'!W815),INDEX(AllClosureRows,C815,0),"&lt;="&amp;(MIN('_Dates'!X815,Settings!$B$9))))+IF((MIN('_Dates'!Z815,Settings!$B$9))&lt;('_Dates'!Y815),0,INT(((MIN('_Dates'!Z815,Settings!$B$9))-('_Dates'!Y815)+1)/7)*LEN(SUBSTITUTE(W815,"O",""))+LEN(SUBSTITUTE(MID(W815&amp;W815,WEEKDAY(('_Dates'!Y815),2),MOD(((MIN('_Dates'!Z815,Settings!$B$9))-('_Dates'!Y815)+1),7)),"O",""))-COUNTIFS(INDEX(AllClosureRows,C815,0),"&gt;="&amp;('_Dates'!Y815),INDEX(AllClosureRows,C815,0),"&lt;="&amp;(MIN('_Dates'!Z815,Settings!$B$9))))))</ns0:f>
        <ns0:v>0</ns0:v>
      </ns0:c>
      <ns0:c r="I815" s="0">
        <ns0:f>MAX(0,G815-H815)</ns0:f>
        <ns0:v>0</ns0:v>
      </ns0:c>
      <ns0:c r="J815" s="0">
        <ns0:f>IF(OR(A815=0,F815&lt;&gt;"OK",Bookings!G815="Cancelled",$B$6&gt;0),0,IF('_Dates'!AC815=1,MAX(0,COUNTIFS(rngEngine_B,B815,rngAMStart,"&lt;="&amp;'_Dates'!X815,rngAMEnd,"&gt;="&amp;'_Dates'!W815,rngAMActive,1,rngEngine_F,"OK",rngBookings_F,"&lt;&gt;Cancelled")-1),0)+IF('_Dates'!AD815=1,MAX(0,COUNTIFS(rngEngine_B,B815,rngPMStart,"&lt;="&amp;'_Dates'!Z815,rngPMEnd,"&gt;="&amp;'_Dates'!Y815,rngPMActive,1,rngEngine_F,"OK",rngBookings_F,"&lt;&gt;Cancelled")-1),0))</ns0:f>
        <ns0:v>0</ns0:v>
      </ns0:c>
      <ns0:c r="K815" s="0" t="str">
        <ns0:f>IF(A815=0,"",IF(F815&lt;&gt;"OK",F815,IF(J815&gt;0,"CHECK overlapping entry",IF(AND($B$6=0,G815&lt;=0,Bookings!G815&lt;&gt;"Cancelled"),"CHECK no working days",IF(Bookings!G815="Cancelled","Cancelled","OK")))))</ns0:f>
        <ns0:v/>
      </ns0:c>
      <ns0:c r="L815" s="0">
        <ns0:f>IF(LEFT(K815,5)="CHECK",1,0)</ns0:f>
        <ns0:v>0</ns0:v>
      </ns0:c>
      <ns0:c r="M815" s="0">
        <ns0:f>IF(AND(L815=1,OR(C815=0,IFERROR(INDEX($X$11:$X$60,C815),0)=0)),1,0)</ns0:f>
        <ns0:v>0</ns0:v>
      </ns0:c>
      <ns0:c r="N815" s="0">
        <ns0:f>IF(OR(A815=0,L815&gt;0,$B$6&gt;0,Bookings!G815="Cancelled"),0,G815)</ns0:f>
        <ns0:v>0</ns0:v>
      </ns0:c>
      <ns0:c r="O815" s="0">
        <ns0:f>IF(AND(Bookings!G815="Approved",E815="Yes"),N815,0)</ns0:f>
        <ns0:v>0</ns0:v>
      </ns0:c>
      <ns0:c r="P815" s="0">
        <ns0:f>IF(AND(Bookings!G815="Approved",E815="Yes",L815=0,$B$6=0),H815,0)</ns0:f>
        <ns0:v>0</ns0:v>
      </ns0:c>
      <ns0:c r="Q815" s="0">
        <ns0:f>IF(AND(Bookings!G815="Approved",E815="Yes",L815=0,$B$6=0),I815,0)</ns0:f>
        <ns0:v>0</ns0:v>
      </ns0:c>
      <ns0:c r="R815" s="0">
        <ns0:f>IF(AND(Bookings!G815="Pending",E815="Yes"),N815,0)</ns0:f>
        <ns0:v>0</ns0:v>
      </ns0:c>
      <ns0:c r="S815" s="0">
        <ns0:f>IF(AND(Bookings!G815="Approved",E815="No"),N815,0)</ns0:f>
        <ns0:v>0</ns0:v>
      </ns0:c>
      <ns0:c r="T815" s="0">
        <ns0:f>IFERROR(MATCH(D815,Settings!$G$7:$G$11,0),0)</ns0:f>
        <ns0:v>0</ns0:v>
      </ns0:c>
      <ns0:c r="U815" s="0">
        <ns0:f>IF(N815&gt;0,T815+IF(Bookings!G815="Pending",10,0),0)</ns0:f>
        <ns0:v>0</ns0:v>
      </ns0:c>
      <ns0:c r="V815" s="0">
        <ns0:f>U815</ns0:f>
        <ns0:v>0</ns0:v>
      </ns0:c>
      <ns0:c r="W815" s="0" t="str">
        <ns0:f>IF(C815=0,"",INDEX($AP$11:$AP$60,C815))</ns0:f>
        <ns0:v/>
      </ns0:c>
    </ns0:row>
    <ns0:row r="816">
      <ns0:c r="A816" s="0">
        <ns0:f>IF(COUNTA(Bookings!A816:G816,Bookings!I816)=0,0,1)</ns0:f>
        <ns0:v>0</ns0:v>
      </ns0:c>
      <ns0:c r="B816" s="0" t="str">
        <ns0:f>IFERROR(TRIM(MID(Bookings!A816,FIND(" · ",Bookings!A816)+3,99)),"")</ns0:f>
        <ns0:v/>
      </ns0:c>
      <ns0:c r="C816" s="0">
        <ns0:f>IF(OR(B816="",LEN(B816)&gt;24,ISNUMBER(FIND(" ",B816)),ISNUMBER(FIND("*",B816)),ISNUMBER(FIND("?",B816)),ISNUMBER(FIND("~",B816))),0,IFERROR(MATCH(B816,Team!$A$11:$A$60,0),0))</ns0:f>
        <ns0:v>0</ns0:v>
      </ns0:c>
      <ns0:c r="D816" s="0" t="str">
        <ns0:f>IFERROR(IF(MID(Bookings!F816,LEN(Bookings!F816)-3,3)=" · ",RIGHT(Bookings!F816,1),""),"")</ns0:f>
        <ns0:v/>
      </ns0:c>
      <ns0:c r="E816" s="0" t="str">
        <ns0:f>IFERROR(INDEX(Settings!$H$7:$H$11,MATCH(D816,Settings!$G$7:$G$11,0)),"")</ns0:f>
        <ns0:v/>
      </ns0:c>
      <ns0:c r="F816" s="0" t="str">
        <ns0:f>IF(A816=0,"",IFERROR(IF(OR(B816="",C816=0),"CHECK employee selection",IF(INDEX(Team!$O$11:$O$60,C816)&lt;&gt;"OK","CHECK employee setup",IF(OR('_Dates'!J816=0,'_Dates'!T816=0),"CHECK date: use DD.MM.YYYY",IF('_Dates'!T816&lt;'_Dates'!J816,"CHECK end before start",IF(AND($B$6=0,OR('_Dates'!J816&lt;Settings!$B$7,'_Dates'!T816&gt;Settings!$B$8)),"CHECK split across leave years",IF(OR(NOT(OR('_Dates'!U816="Full day",'_Dates'!U816="AM",'_Dates'!U816="PM")),NOT(OR('_Dates'!V816="Full day",'_Dates'!V816="AM",'_Dates'!V816="PM"))),"CHECK Full day / AM / PM",IF(AND('_Dates'!J816='_Dates'!T816,'_Dates'!U816&lt;&gt;"Full day",'_Dates'!V816&lt;&gt;"Full day",'_Dates'!U816&lt;&gt;'_Dates'!V816),"CHECK same-day portions disagree",IF(AND($B$6=0,OR(AND('_Dates'!U816&lt;&gt;"Full day",'_Dates'!AA816=0),AND('_Dates'!V816&lt;&gt;"Full day",'_Dates'!AB816=0))),"CHECK half-day on non-working date",IF(COUNTIF(Settings!$G$7:$G$11,D816)&lt;&gt;1,"CHECK leave type",IF(AND(Bookings!G816&lt;&gt;"Approved",Bookings!G816&lt;&gt;"Pending",Bookings!G816&lt;&gt;"Cancelled"),"CHECK status","OK")))))))))),"CHECK input"))</ns0:f>
        <ns0:v/>
      </ns0:c>
      <ns0:c r="G816" s="0">
        <ns0:f>IF(OR(F816&lt;&gt;"OK",$B$6&gt;0),0,0.5*(IF(('_Dates'!X816)&lt;('_Dates'!W816),0,INT((('_Dates'!X816)-('_Dates'!W816)+1)/7)*LEN(SUBSTITUTE(W816,"O",""))+LEN(SUBSTITUTE(MID(W816&amp;W816,WEEKDAY(('_Dates'!W816),2),MOD((('_Dates'!X816)-('_Dates'!W816)+1),7)),"O",""))-COUNTIFS(INDEX(AllClosureRows,C816,0),"&gt;="&amp;('_Dates'!W816),INDEX(AllClosureRows,C816,0),"&lt;="&amp;('_Dates'!X816)))+IF(('_Dates'!Z816)&lt;('_Dates'!Y816),0,INT((('_Dates'!Z816)-('_Dates'!Y816)+1)/7)*LEN(SUBSTITUTE(W816,"O",""))+LEN(SUBSTITUTE(MID(W816&amp;W816,WEEKDAY(('_Dates'!Y816),2),MOD((('_Dates'!Z816)-('_Dates'!Y816)+1),7)),"O",""))-COUNTIFS(INDEX(AllClosureRows,C816,0),"&gt;="&amp;('_Dates'!Y816),INDEX(AllClosureRows,C816,0),"&lt;="&amp;('_Dates'!Z816)))))</ns0:f>
        <ns0:v>0</ns0:v>
      </ns0:c>
      <ns0:c r="H816" s="0">
        <ns0:f>IF(OR(F816&lt;&gt;"OK",$B$6&gt;0),0,0.5*(IF((MIN('_Dates'!X816,Settings!$B$9))&lt;('_Dates'!W816),0,INT(((MIN('_Dates'!X816,Settings!$B$9))-('_Dates'!W816)+1)/7)*LEN(SUBSTITUTE(W816,"O",""))+LEN(SUBSTITUTE(MID(W816&amp;W816,WEEKDAY(('_Dates'!W816),2),MOD(((MIN('_Dates'!X816,Settings!$B$9))-('_Dates'!W816)+1),7)),"O",""))-COUNTIFS(INDEX(AllClosureRows,C816,0),"&gt;="&amp;('_Dates'!W816),INDEX(AllClosureRows,C816,0),"&lt;="&amp;(MIN('_Dates'!X816,Settings!$B$9))))+IF((MIN('_Dates'!Z816,Settings!$B$9))&lt;('_Dates'!Y816),0,INT(((MIN('_Dates'!Z816,Settings!$B$9))-('_Dates'!Y816)+1)/7)*LEN(SUBSTITUTE(W816,"O",""))+LEN(SUBSTITUTE(MID(W816&amp;W816,WEEKDAY(('_Dates'!Y816),2),MOD(((MIN('_Dates'!Z816,Settings!$B$9))-('_Dates'!Y816)+1),7)),"O",""))-COUNTIFS(INDEX(AllClosureRows,C816,0),"&gt;="&amp;('_Dates'!Y816),INDEX(AllClosureRows,C816,0),"&lt;="&amp;(MIN('_Dates'!Z816,Settings!$B$9))))))</ns0:f>
        <ns0:v>0</ns0:v>
      </ns0:c>
      <ns0:c r="I816" s="0">
        <ns0:f>MAX(0,G816-H816)</ns0:f>
        <ns0:v>0</ns0:v>
      </ns0:c>
      <ns0:c r="J816" s="0">
        <ns0:f>IF(OR(A816=0,F816&lt;&gt;"OK",Bookings!G816="Cancelled",$B$6&gt;0),0,IF('_Dates'!AC816=1,MAX(0,COUNTIFS(rngEngine_B,B816,rngAMStart,"&lt;="&amp;'_Dates'!X816,rngAMEnd,"&gt;="&amp;'_Dates'!W816,rngAMActive,1,rngEngine_F,"OK",rngBookings_F,"&lt;&gt;Cancelled")-1),0)+IF('_Dates'!AD816=1,MAX(0,COUNTIFS(rngEngine_B,B816,rngPMStart,"&lt;="&amp;'_Dates'!Z816,rngPMEnd,"&gt;="&amp;'_Dates'!Y816,rngPMActive,1,rngEngine_F,"OK",rngBookings_F,"&lt;&gt;Cancelled")-1),0))</ns0:f>
        <ns0:v>0</ns0:v>
      </ns0:c>
      <ns0:c r="K816" s="0" t="str">
        <ns0:f>IF(A816=0,"",IF(F816&lt;&gt;"OK",F816,IF(J816&gt;0,"CHECK overlapping entry",IF(AND($B$6=0,G816&lt;=0,Bookings!G816&lt;&gt;"Cancelled"),"CHECK no working days",IF(Bookings!G816="Cancelled","Cancelled","OK")))))</ns0:f>
        <ns0:v/>
      </ns0:c>
      <ns0:c r="L816" s="0">
        <ns0:f>IF(LEFT(K816,5)="CHECK",1,0)</ns0:f>
        <ns0:v>0</ns0:v>
      </ns0:c>
      <ns0:c r="M816" s="0">
        <ns0:f>IF(AND(L816=1,OR(C816=0,IFERROR(INDEX($X$11:$X$60,C816),0)=0)),1,0)</ns0:f>
        <ns0:v>0</ns0:v>
      </ns0:c>
      <ns0:c r="N816" s="0">
        <ns0:f>IF(OR(A816=0,L816&gt;0,$B$6&gt;0,Bookings!G816="Cancelled"),0,G816)</ns0:f>
        <ns0:v>0</ns0:v>
      </ns0:c>
      <ns0:c r="O816" s="0">
        <ns0:f>IF(AND(Bookings!G816="Approved",E816="Yes"),N816,0)</ns0:f>
        <ns0:v>0</ns0:v>
      </ns0:c>
      <ns0:c r="P816" s="0">
        <ns0:f>IF(AND(Bookings!G816="Approved",E816="Yes",L816=0,$B$6=0),H816,0)</ns0:f>
        <ns0:v>0</ns0:v>
      </ns0:c>
      <ns0:c r="Q816" s="0">
        <ns0:f>IF(AND(Bookings!G816="Approved",E816="Yes",L816=0,$B$6=0),I816,0)</ns0:f>
        <ns0:v>0</ns0:v>
      </ns0:c>
      <ns0:c r="R816" s="0">
        <ns0:f>IF(AND(Bookings!G816="Pending",E816="Yes"),N816,0)</ns0:f>
        <ns0:v>0</ns0:v>
      </ns0:c>
      <ns0:c r="S816" s="0">
        <ns0:f>IF(AND(Bookings!G816="Approved",E816="No"),N816,0)</ns0:f>
        <ns0:v>0</ns0:v>
      </ns0:c>
      <ns0:c r="T816" s="0">
        <ns0:f>IFERROR(MATCH(D816,Settings!$G$7:$G$11,0),0)</ns0:f>
        <ns0:v>0</ns0:v>
      </ns0:c>
      <ns0:c r="U816" s="0">
        <ns0:f>IF(N816&gt;0,T816+IF(Bookings!G816="Pending",10,0),0)</ns0:f>
        <ns0:v>0</ns0:v>
      </ns0:c>
      <ns0:c r="V816" s="0">
        <ns0:f>U816</ns0:f>
        <ns0:v>0</ns0:v>
      </ns0:c>
      <ns0:c r="W816" s="0" t="str">
        <ns0:f>IF(C816=0,"",INDEX($AP$11:$AP$60,C816))</ns0:f>
        <ns0:v/>
      </ns0:c>
    </ns0:row>
    <ns0:row r="817">
      <ns0:c r="A817" s="0">
        <ns0:f>IF(COUNTA(Bookings!A817:G817,Bookings!I817)=0,0,1)</ns0:f>
        <ns0:v>0</ns0:v>
      </ns0:c>
      <ns0:c r="B817" s="0" t="str">
        <ns0:f>IFERROR(TRIM(MID(Bookings!A817,FIND(" · ",Bookings!A817)+3,99)),"")</ns0:f>
        <ns0:v/>
      </ns0:c>
      <ns0:c r="C817" s="0">
        <ns0:f>IF(OR(B817="",LEN(B817)&gt;24,ISNUMBER(FIND(" ",B817)),ISNUMBER(FIND("*",B817)),ISNUMBER(FIND("?",B817)),ISNUMBER(FIND("~",B817))),0,IFERROR(MATCH(B817,Team!$A$11:$A$60,0),0))</ns0:f>
        <ns0:v>0</ns0:v>
      </ns0:c>
      <ns0:c r="D817" s="0" t="str">
        <ns0:f>IFERROR(IF(MID(Bookings!F817,LEN(Bookings!F817)-3,3)=" · ",RIGHT(Bookings!F817,1),""),"")</ns0:f>
        <ns0:v/>
      </ns0:c>
      <ns0:c r="E817" s="0" t="str">
        <ns0:f>IFERROR(INDEX(Settings!$H$7:$H$11,MATCH(D817,Settings!$G$7:$G$11,0)),"")</ns0:f>
        <ns0:v/>
      </ns0:c>
      <ns0:c r="F817" s="0" t="str">
        <ns0:f>IF(A817=0,"",IFERROR(IF(OR(B817="",C817=0),"CHECK employee selection",IF(INDEX(Team!$O$11:$O$60,C817)&lt;&gt;"OK","CHECK employee setup",IF(OR('_Dates'!J817=0,'_Dates'!T817=0),"CHECK date: use DD.MM.YYYY",IF('_Dates'!T817&lt;'_Dates'!J817,"CHECK end before start",IF(AND($B$6=0,OR('_Dates'!J817&lt;Settings!$B$7,'_Dates'!T817&gt;Settings!$B$8)),"CHECK split across leave years",IF(OR(NOT(OR('_Dates'!U817="Full day",'_Dates'!U817="AM",'_Dates'!U817="PM")),NOT(OR('_Dates'!V817="Full day",'_Dates'!V817="AM",'_Dates'!V817="PM"))),"CHECK Full day / AM / PM",IF(AND('_Dates'!J817='_Dates'!T817,'_Dates'!U817&lt;&gt;"Full day",'_Dates'!V817&lt;&gt;"Full day",'_Dates'!U817&lt;&gt;'_Dates'!V817),"CHECK same-day portions disagree",IF(AND($B$6=0,OR(AND('_Dates'!U817&lt;&gt;"Full day",'_Dates'!AA817=0),AND('_Dates'!V817&lt;&gt;"Full day",'_Dates'!AB817=0))),"CHECK half-day on non-working date",IF(COUNTIF(Settings!$G$7:$G$11,D817)&lt;&gt;1,"CHECK leave type",IF(AND(Bookings!G817&lt;&gt;"Approved",Bookings!G817&lt;&gt;"Pending",Bookings!G817&lt;&gt;"Cancelled"),"CHECK status","OK")))))))))),"CHECK input"))</ns0:f>
        <ns0:v/>
      </ns0:c>
      <ns0:c r="G817" s="0">
        <ns0:f>IF(OR(F817&lt;&gt;"OK",$B$6&gt;0),0,0.5*(IF(('_Dates'!X817)&lt;('_Dates'!W817),0,INT((('_Dates'!X817)-('_Dates'!W817)+1)/7)*LEN(SUBSTITUTE(W817,"O",""))+LEN(SUBSTITUTE(MID(W817&amp;W817,WEEKDAY(('_Dates'!W817),2),MOD((('_Dates'!X817)-('_Dates'!W817)+1),7)),"O",""))-COUNTIFS(INDEX(AllClosureRows,C817,0),"&gt;="&amp;('_Dates'!W817),INDEX(AllClosureRows,C817,0),"&lt;="&amp;('_Dates'!X817)))+IF(('_Dates'!Z817)&lt;('_Dates'!Y817),0,INT((('_Dates'!Z817)-('_Dates'!Y817)+1)/7)*LEN(SUBSTITUTE(W817,"O",""))+LEN(SUBSTITUTE(MID(W817&amp;W817,WEEKDAY(('_Dates'!Y817),2),MOD((('_Dates'!Z817)-('_Dates'!Y817)+1),7)),"O",""))-COUNTIFS(INDEX(AllClosureRows,C817,0),"&gt;="&amp;('_Dates'!Y817),INDEX(AllClosureRows,C817,0),"&lt;="&amp;('_Dates'!Z817)))))</ns0:f>
        <ns0:v>0</ns0:v>
      </ns0:c>
      <ns0:c r="H817" s="0">
        <ns0:f>IF(OR(F817&lt;&gt;"OK",$B$6&gt;0),0,0.5*(IF((MIN('_Dates'!X817,Settings!$B$9))&lt;('_Dates'!W817),0,INT(((MIN('_Dates'!X817,Settings!$B$9))-('_Dates'!W817)+1)/7)*LEN(SUBSTITUTE(W817,"O",""))+LEN(SUBSTITUTE(MID(W817&amp;W817,WEEKDAY(('_Dates'!W817),2),MOD(((MIN('_Dates'!X817,Settings!$B$9))-('_Dates'!W817)+1),7)),"O",""))-COUNTIFS(INDEX(AllClosureRows,C817,0),"&gt;="&amp;('_Dates'!W817),INDEX(AllClosureRows,C817,0),"&lt;="&amp;(MIN('_Dates'!X817,Settings!$B$9))))+IF((MIN('_Dates'!Z817,Settings!$B$9))&lt;('_Dates'!Y817),0,INT(((MIN('_Dates'!Z817,Settings!$B$9))-('_Dates'!Y817)+1)/7)*LEN(SUBSTITUTE(W817,"O",""))+LEN(SUBSTITUTE(MID(W817&amp;W817,WEEKDAY(('_Dates'!Y817),2),MOD(((MIN('_Dates'!Z817,Settings!$B$9))-('_Dates'!Y817)+1),7)),"O",""))-COUNTIFS(INDEX(AllClosureRows,C817,0),"&gt;="&amp;('_Dates'!Y817),INDEX(AllClosureRows,C817,0),"&lt;="&amp;(MIN('_Dates'!Z817,Settings!$B$9))))))</ns0:f>
        <ns0:v>0</ns0:v>
      </ns0:c>
      <ns0:c r="I817" s="0">
        <ns0:f>MAX(0,G817-H817)</ns0:f>
        <ns0:v>0</ns0:v>
      </ns0:c>
      <ns0:c r="J817" s="0">
        <ns0:f>IF(OR(A817=0,F817&lt;&gt;"OK",Bookings!G817="Cancelled",$B$6&gt;0),0,IF('_Dates'!AC817=1,MAX(0,COUNTIFS(rngEngine_B,B817,rngAMStart,"&lt;="&amp;'_Dates'!X817,rngAMEnd,"&gt;="&amp;'_Dates'!W817,rngAMActive,1,rngEngine_F,"OK",rngBookings_F,"&lt;&gt;Cancelled")-1),0)+IF('_Dates'!AD817=1,MAX(0,COUNTIFS(rngEngine_B,B817,rngPMStart,"&lt;="&amp;'_Dates'!Z817,rngPMEnd,"&gt;="&amp;'_Dates'!Y817,rngPMActive,1,rngEngine_F,"OK",rngBookings_F,"&lt;&gt;Cancelled")-1),0))</ns0:f>
        <ns0:v>0</ns0:v>
      </ns0:c>
      <ns0:c r="K817" s="0" t="str">
        <ns0:f>IF(A817=0,"",IF(F817&lt;&gt;"OK",F817,IF(J817&gt;0,"CHECK overlapping entry",IF(AND($B$6=0,G817&lt;=0,Bookings!G817&lt;&gt;"Cancelled"),"CHECK no working days",IF(Bookings!G817="Cancelled","Cancelled","OK")))))</ns0:f>
        <ns0:v/>
      </ns0:c>
      <ns0:c r="L817" s="0">
        <ns0:f>IF(LEFT(K817,5)="CHECK",1,0)</ns0:f>
        <ns0:v>0</ns0:v>
      </ns0:c>
      <ns0:c r="M817" s="0">
        <ns0:f>IF(AND(L817=1,OR(C817=0,IFERROR(INDEX($X$11:$X$60,C817),0)=0)),1,0)</ns0:f>
        <ns0:v>0</ns0:v>
      </ns0:c>
      <ns0:c r="N817" s="0">
        <ns0:f>IF(OR(A817=0,L817&gt;0,$B$6&gt;0,Bookings!G817="Cancelled"),0,G817)</ns0:f>
        <ns0:v>0</ns0:v>
      </ns0:c>
      <ns0:c r="O817" s="0">
        <ns0:f>IF(AND(Bookings!G817="Approved",E817="Yes"),N817,0)</ns0:f>
        <ns0:v>0</ns0:v>
      </ns0:c>
      <ns0:c r="P817" s="0">
        <ns0:f>IF(AND(Bookings!G817="Approved",E817="Yes",L817=0,$B$6=0),H817,0)</ns0:f>
        <ns0:v>0</ns0:v>
      </ns0:c>
      <ns0:c r="Q817" s="0">
        <ns0:f>IF(AND(Bookings!G817="Approved",E817="Yes",L817=0,$B$6=0),I817,0)</ns0:f>
        <ns0:v>0</ns0:v>
      </ns0:c>
      <ns0:c r="R817" s="0">
        <ns0:f>IF(AND(Bookings!G817="Pending",E817="Yes"),N817,0)</ns0:f>
        <ns0:v>0</ns0:v>
      </ns0:c>
      <ns0:c r="S817" s="0">
        <ns0:f>IF(AND(Bookings!G817="Approved",E817="No"),N817,0)</ns0:f>
        <ns0:v>0</ns0:v>
      </ns0:c>
      <ns0:c r="T817" s="0">
        <ns0:f>IFERROR(MATCH(D817,Settings!$G$7:$G$11,0),0)</ns0:f>
        <ns0:v>0</ns0:v>
      </ns0:c>
      <ns0:c r="U817" s="0">
        <ns0:f>IF(N817&gt;0,T817+IF(Bookings!G817="Pending",10,0),0)</ns0:f>
        <ns0:v>0</ns0:v>
      </ns0:c>
      <ns0:c r="V817" s="0">
        <ns0:f>U817</ns0:f>
        <ns0:v>0</ns0:v>
      </ns0:c>
      <ns0:c r="W817" s="0" t="str">
        <ns0:f>IF(C817=0,"",INDEX($AP$11:$AP$60,C817))</ns0:f>
        <ns0:v/>
      </ns0:c>
    </ns0:row>
    <ns0:row r="818">
      <ns0:c r="A818" s="0">
        <ns0:f>IF(COUNTA(Bookings!A818:G818,Bookings!I818)=0,0,1)</ns0:f>
        <ns0:v>0</ns0:v>
      </ns0:c>
      <ns0:c r="B818" s="0" t="str">
        <ns0:f>IFERROR(TRIM(MID(Bookings!A818,FIND(" · ",Bookings!A818)+3,99)),"")</ns0:f>
        <ns0:v/>
      </ns0:c>
      <ns0:c r="C818" s="0">
        <ns0:f>IF(OR(B818="",LEN(B818)&gt;24,ISNUMBER(FIND(" ",B818)),ISNUMBER(FIND("*",B818)),ISNUMBER(FIND("?",B818)),ISNUMBER(FIND("~",B818))),0,IFERROR(MATCH(B818,Team!$A$11:$A$60,0),0))</ns0:f>
        <ns0:v>0</ns0:v>
      </ns0:c>
      <ns0:c r="D818" s="0" t="str">
        <ns0:f>IFERROR(IF(MID(Bookings!F818,LEN(Bookings!F818)-3,3)=" · ",RIGHT(Bookings!F818,1),""),"")</ns0:f>
        <ns0:v/>
      </ns0:c>
      <ns0:c r="E818" s="0" t="str">
        <ns0:f>IFERROR(INDEX(Settings!$H$7:$H$11,MATCH(D818,Settings!$G$7:$G$11,0)),"")</ns0:f>
        <ns0:v/>
      </ns0:c>
      <ns0:c r="F818" s="0" t="str">
        <ns0:f>IF(A818=0,"",IFERROR(IF(OR(B818="",C818=0),"CHECK employee selection",IF(INDEX(Team!$O$11:$O$60,C818)&lt;&gt;"OK","CHECK employee setup",IF(OR('_Dates'!J818=0,'_Dates'!T818=0),"CHECK date: use DD.MM.YYYY",IF('_Dates'!T818&lt;'_Dates'!J818,"CHECK end before start",IF(AND($B$6=0,OR('_Dates'!J818&lt;Settings!$B$7,'_Dates'!T818&gt;Settings!$B$8)),"CHECK split across leave years",IF(OR(NOT(OR('_Dates'!U818="Full day",'_Dates'!U818="AM",'_Dates'!U818="PM")),NOT(OR('_Dates'!V818="Full day",'_Dates'!V818="AM",'_Dates'!V818="PM"))),"CHECK Full day / AM / PM",IF(AND('_Dates'!J818='_Dates'!T818,'_Dates'!U818&lt;&gt;"Full day",'_Dates'!V818&lt;&gt;"Full day",'_Dates'!U818&lt;&gt;'_Dates'!V818),"CHECK same-day portions disagree",IF(AND($B$6=0,OR(AND('_Dates'!U818&lt;&gt;"Full day",'_Dates'!AA818=0),AND('_Dates'!V818&lt;&gt;"Full day",'_Dates'!AB818=0))),"CHECK half-day on non-working date",IF(COUNTIF(Settings!$G$7:$G$11,D818)&lt;&gt;1,"CHECK leave type",IF(AND(Bookings!G818&lt;&gt;"Approved",Bookings!G818&lt;&gt;"Pending",Bookings!G818&lt;&gt;"Cancelled"),"CHECK status","OK")))))))))),"CHECK input"))</ns0:f>
        <ns0:v/>
      </ns0:c>
      <ns0:c r="G818" s="0">
        <ns0:f>IF(OR(F818&lt;&gt;"OK",$B$6&gt;0),0,0.5*(IF(('_Dates'!X818)&lt;('_Dates'!W818),0,INT((('_Dates'!X818)-('_Dates'!W818)+1)/7)*LEN(SUBSTITUTE(W818,"O",""))+LEN(SUBSTITUTE(MID(W818&amp;W818,WEEKDAY(('_Dates'!W818),2),MOD((('_Dates'!X818)-('_Dates'!W818)+1),7)),"O",""))-COUNTIFS(INDEX(AllClosureRows,C818,0),"&gt;="&amp;('_Dates'!W818),INDEX(AllClosureRows,C818,0),"&lt;="&amp;('_Dates'!X818)))+IF(('_Dates'!Z818)&lt;('_Dates'!Y818),0,INT((('_Dates'!Z818)-('_Dates'!Y818)+1)/7)*LEN(SUBSTITUTE(W818,"O",""))+LEN(SUBSTITUTE(MID(W818&amp;W818,WEEKDAY(('_Dates'!Y818),2),MOD((('_Dates'!Z818)-('_Dates'!Y818)+1),7)),"O",""))-COUNTIFS(INDEX(AllClosureRows,C818,0),"&gt;="&amp;('_Dates'!Y818),INDEX(AllClosureRows,C818,0),"&lt;="&amp;('_Dates'!Z818)))))</ns0:f>
        <ns0:v>0</ns0:v>
      </ns0:c>
      <ns0:c r="H818" s="0">
        <ns0:f>IF(OR(F818&lt;&gt;"OK",$B$6&gt;0),0,0.5*(IF((MIN('_Dates'!X818,Settings!$B$9))&lt;('_Dates'!W818),0,INT(((MIN('_Dates'!X818,Settings!$B$9))-('_Dates'!W818)+1)/7)*LEN(SUBSTITUTE(W818,"O",""))+LEN(SUBSTITUTE(MID(W818&amp;W818,WEEKDAY(('_Dates'!W818),2),MOD(((MIN('_Dates'!X818,Settings!$B$9))-('_Dates'!W818)+1),7)),"O",""))-COUNTIFS(INDEX(AllClosureRows,C818,0),"&gt;="&amp;('_Dates'!W818),INDEX(AllClosureRows,C818,0),"&lt;="&amp;(MIN('_Dates'!X818,Settings!$B$9))))+IF((MIN('_Dates'!Z818,Settings!$B$9))&lt;('_Dates'!Y818),0,INT(((MIN('_Dates'!Z818,Settings!$B$9))-('_Dates'!Y818)+1)/7)*LEN(SUBSTITUTE(W818,"O",""))+LEN(SUBSTITUTE(MID(W818&amp;W818,WEEKDAY(('_Dates'!Y818),2),MOD(((MIN('_Dates'!Z818,Settings!$B$9))-('_Dates'!Y818)+1),7)),"O",""))-COUNTIFS(INDEX(AllClosureRows,C818,0),"&gt;="&amp;('_Dates'!Y818),INDEX(AllClosureRows,C818,0),"&lt;="&amp;(MIN('_Dates'!Z818,Settings!$B$9))))))</ns0:f>
        <ns0:v>0</ns0:v>
      </ns0:c>
      <ns0:c r="I818" s="0">
        <ns0:f>MAX(0,G818-H818)</ns0:f>
        <ns0:v>0</ns0:v>
      </ns0:c>
      <ns0:c r="J818" s="0">
        <ns0:f>IF(OR(A818=0,F818&lt;&gt;"OK",Bookings!G818="Cancelled",$B$6&gt;0),0,IF('_Dates'!AC818=1,MAX(0,COUNTIFS(rngEngine_B,B818,rngAMStart,"&lt;="&amp;'_Dates'!X818,rngAMEnd,"&gt;="&amp;'_Dates'!W818,rngAMActive,1,rngEngine_F,"OK",rngBookings_F,"&lt;&gt;Cancelled")-1),0)+IF('_Dates'!AD818=1,MAX(0,COUNTIFS(rngEngine_B,B818,rngPMStart,"&lt;="&amp;'_Dates'!Z818,rngPMEnd,"&gt;="&amp;'_Dates'!Y818,rngPMActive,1,rngEngine_F,"OK",rngBookings_F,"&lt;&gt;Cancelled")-1),0))</ns0:f>
        <ns0:v>0</ns0:v>
      </ns0:c>
      <ns0:c r="K818" s="0" t="str">
        <ns0:f>IF(A818=0,"",IF(F818&lt;&gt;"OK",F818,IF(J818&gt;0,"CHECK overlapping entry",IF(AND($B$6=0,G818&lt;=0,Bookings!G818&lt;&gt;"Cancelled"),"CHECK no working days",IF(Bookings!G818="Cancelled","Cancelled","OK")))))</ns0:f>
        <ns0:v/>
      </ns0:c>
      <ns0:c r="L818" s="0">
        <ns0:f>IF(LEFT(K818,5)="CHECK",1,0)</ns0:f>
        <ns0:v>0</ns0:v>
      </ns0:c>
      <ns0:c r="M818" s="0">
        <ns0:f>IF(AND(L818=1,OR(C818=0,IFERROR(INDEX($X$11:$X$60,C818),0)=0)),1,0)</ns0:f>
        <ns0:v>0</ns0:v>
      </ns0:c>
      <ns0:c r="N818" s="0">
        <ns0:f>IF(OR(A818=0,L818&gt;0,$B$6&gt;0,Bookings!G818="Cancelled"),0,G818)</ns0:f>
        <ns0:v>0</ns0:v>
      </ns0:c>
      <ns0:c r="O818" s="0">
        <ns0:f>IF(AND(Bookings!G818="Approved",E818="Yes"),N818,0)</ns0:f>
        <ns0:v>0</ns0:v>
      </ns0:c>
      <ns0:c r="P818" s="0">
        <ns0:f>IF(AND(Bookings!G818="Approved",E818="Yes",L818=0,$B$6=0),H818,0)</ns0:f>
        <ns0:v>0</ns0:v>
      </ns0:c>
      <ns0:c r="Q818" s="0">
        <ns0:f>IF(AND(Bookings!G818="Approved",E818="Yes",L818=0,$B$6=0),I818,0)</ns0:f>
        <ns0:v>0</ns0:v>
      </ns0:c>
      <ns0:c r="R818" s="0">
        <ns0:f>IF(AND(Bookings!G818="Pending",E818="Yes"),N818,0)</ns0:f>
        <ns0:v>0</ns0:v>
      </ns0:c>
      <ns0:c r="S818" s="0">
        <ns0:f>IF(AND(Bookings!G818="Approved",E818="No"),N818,0)</ns0:f>
        <ns0:v>0</ns0:v>
      </ns0:c>
      <ns0:c r="T818" s="0">
        <ns0:f>IFERROR(MATCH(D818,Settings!$G$7:$G$11,0),0)</ns0:f>
        <ns0:v>0</ns0:v>
      </ns0:c>
      <ns0:c r="U818" s="0">
        <ns0:f>IF(N818&gt;0,T818+IF(Bookings!G818="Pending",10,0),0)</ns0:f>
        <ns0:v>0</ns0:v>
      </ns0:c>
      <ns0:c r="V818" s="0">
        <ns0:f>U818</ns0:f>
        <ns0:v>0</ns0:v>
      </ns0:c>
      <ns0:c r="W818" s="0" t="str">
        <ns0:f>IF(C818=0,"",INDEX($AP$11:$AP$60,C818))</ns0:f>
        <ns0:v/>
      </ns0:c>
    </ns0:row>
    <ns0:row r="819">
      <ns0:c r="A819" s="0">
        <ns0:f>IF(COUNTA(Bookings!A819:G819,Bookings!I819)=0,0,1)</ns0:f>
        <ns0:v>0</ns0:v>
      </ns0:c>
      <ns0:c r="B819" s="0" t="str">
        <ns0:f>IFERROR(TRIM(MID(Bookings!A819,FIND(" · ",Bookings!A819)+3,99)),"")</ns0:f>
        <ns0:v/>
      </ns0:c>
      <ns0:c r="C819" s="0">
        <ns0:f>IF(OR(B819="",LEN(B819)&gt;24,ISNUMBER(FIND(" ",B819)),ISNUMBER(FIND("*",B819)),ISNUMBER(FIND("?",B819)),ISNUMBER(FIND("~",B819))),0,IFERROR(MATCH(B819,Team!$A$11:$A$60,0),0))</ns0:f>
        <ns0:v>0</ns0:v>
      </ns0:c>
      <ns0:c r="D819" s="0" t="str">
        <ns0:f>IFERROR(IF(MID(Bookings!F819,LEN(Bookings!F819)-3,3)=" · ",RIGHT(Bookings!F819,1),""),"")</ns0:f>
        <ns0:v/>
      </ns0:c>
      <ns0:c r="E819" s="0" t="str">
        <ns0:f>IFERROR(INDEX(Settings!$H$7:$H$11,MATCH(D819,Settings!$G$7:$G$11,0)),"")</ns0:f>
        <ns0:v/>
      </ns0:c>
      <ns0:c r="F819" s="0" t="str">
        <ns0:f>IF(A819=0,"",IFERROR(IF(OR(B819="",C819=0),"CHECK employee selection",IF(INDEX(Team!$O$11:$O$60,C819)&lt;&gt;"OK","CHECK employee setup",IF(OR('_Dates'!J819=0,'_Dates'!T819=0),"CHECK date: use DD.MM.YYYY",IF('_Dates'!T819&lt;'_Dates'!J819,"CHECK end before start",IF(AND($B$6=0,OR('_Dates'!J819&lt;Settings!$B$7,'_Dates'!T819&gt;Settings!$B$8)),"CHECK split across leave years",IF(OR(NOT(OR('_Dates'!U819="Full day",'_Dates'!U819="AM",'_Dates'!U819="PM")),NOT(OR('_Dates'!V819="Full day",'_Dates'!V819="AM",'_Dates'!V819="PM"))),"CHECK Full day / AM / PM",IF(AND('_Dates'!J819='_Dates'!T819,'_Dates'!U819&lt;&gt;"Full day",'_Dates'!V819&lt;&gt;"Full day",'_Dates'!U819&lt;&gt;'_Dates'!V819),"CHECK same-day portions disagree",IF(AND($B$6=0,OR(AND('_Dates'!U819&lt;&gt;"Full day",'_Dates'!AA819=0),AND('_Dates'!V819&lt;&gt;"Full day",'_Dates'!AB819=0))),"CHECK half-day on non-working date",IF(COUNTIF(Settings!$G$7:$G$11,D819)&lt;&gt;1,"CHECK leave type",IF(AND(Bookings!G819&lt;&gt;"Approved",Bookings!G819&lt;&gt;"Pending",Bookings!G819&lt;&gt;"Cancelled"),"CHECK status","OK")))))))))),"CHECK input"))</ns0:f>
        <ns0:v/>
      </ns0:c>
      <ns0:c r="G819" s="0">
        <ns0:f>IF(OR(F819&lt;&gt;"OK",$B$6&gt;0),0,0.5*(IF(('_Dates'!X819)&lt;('_Dates'!W819),0,INT((('_Dates'!X819)-('_Dates'!W819)+1)/7)*LEN(SUBSTITUTE(W819,"O",""))+LEN(SUBSTITUTE(MID(W819&amp;W819,WEEKDAY(('_Dates'!W819),2),MOD((('_Dates'!X819)-('_Dates'!W819)+1),7)),"O",""))-COUNTIFS(INDEX(AllClosureRows,C819,0),"&gt;="&amp;('_Dates'!W819),INDEX(AllClosureRows,C819,0),"&lt;="&amp;('_Dates'!X819)))+IF(('_Dates'!Z819)&lt;('_Dates'!Y819),0,INT((('_Dates'!Z819)-('_Dates'!Y819)+1)/7)*LEN(SUBSTITUTE(W819,"O",""))+LEN(SUBSTITUTE(MID(W819&amp;W819,WEEKDAY(('_Dates'!Y819),2),MOD((('_Dates'!Z819)-('_Dates'!Y819)+1),7)),"O",""))-COUNTIFS(INDEX(AllClosureRows,C819,0),"&gt;="&amp;('_Dates'!Y819),INDEX(AllClosureRows,C819,0),"&lt;="&amp;('_Dates'!Z819)))))</ns0:f>
        <ns0:v>0</ns0:v>
      </ns0:c>
      <ns0:c r="H819" s="0">
        <ns0:f>IF(OR(F819&lt;&gt;"OK",$B$6&gt;0),0,0.5*(IF((MIN('_Dates'!X819,Settings!$B$9))&lt;('_Dates'!W819),0,INT(((MIN('_Dates'!X819,Settings!$B$9))-('_Dates'!W819)+1)/7)*LEN(SUBSTITUTE(W819,"O",""))+LEN(SUBSTITUTE(MID(W819&amp;W819,WEEKDAY(('_Dates'!W819),2),MOD(((MIN('_Dates'!X819,Settings!$B$9))-('_Dates'!W819)+1),7)),"O",""))-COUNTIFS(INDEX(AllClosureRows,C819,0),"&gt;="&amp;('_Dates'!W819),INDEX(AllClosureRows,C819,0),"&lt;="&amp;(MIN('_Dates'!X819,Settings!$B$9))))+IF((MIN('_Dates'!Z819,Settings!$B$9))&lt;('_Dates'!Y819),0,INT(((MIN('_Dates'!Z819,Settings!$B$9))-('_Dates'!Y819)+1)/7)*LEN(SUBSTITUTE(W819,"O",""))+LEN(SUBSTITUTE(MID(W819&amp;W819,WEEKDAY(('_Dates'!Y819),2),MOD(((MIN('_Dates'!Z819,Settings!$B$9))-('_Dates'!Y819)+1),7)),"O",""))-COUNTIFS(INDEX(AllClosureRows,C819,0),"&gt;="&amp;('_Dates'!Y819),INDEX(AllClosureRows,C819,0),"&lt;="&amp;(MIN('_Dates'!Z819,Settings!$B$9))))))</ns0:f>
        <ns0:v>0</ns0:v>
      </ns0:c>
      <ns0:c r="I819" s="0">
        <ns0:f>MAX(0,G819-H819)</ns0:f>
        <ns0:v>0</ns0:v>
      </ns0:c>
      <ns0:c r="J819" s="0">
        <ns0:f>IF(OR(A819=0,F819&lt;&gt;"OK",Bookings!G819="Cancelled",$B$6&gt;0),0,IF('_Dates'!AC819=1,MAX(0,COUNTIFS(rngEngine_B,B819,rngAMStart,"&lt;="&amp;'_Dates'!X819,rngAMEnd,"&gt;="&amp;'_Dates'!W819,rngAMActive,1,rngEngine_F,"OK",rngBookings_F,"&lt;&gt;Cancelled")-1),0)+IF('_Dates'!AD819=1,MAX(0,COUNTIFS(rngEngine_B,B819,rngPMStart,"&lt;="&amp;'_Dates'!Z819,rngPMEnd,"&gt;="&amp;'_Dates'!Y819,rngPMActive,1,rngEngine_F,"OK",rngBookings_F,"&lt;&gt;Cancelled")-1),0))</ns0:f>
        <ns0:v>0</ns0:v>
      </ns0:c>
      <ns0:c r="K819" s="0" t="str">
        <ns0:f>IF(A819=0,"",IF(F819&lt;&gt;"OK",F819,IF(J819&gt;0,"CHECK overlapping entry",IF(AND($B$6=0,G819&lt;=0,Bookings!G819&lt;&gt;"Cancelled"),"CHECK no working days",IF(Bookings!G819="Cancelled","Cancelled","OK")))))</ns0:f>
        <ns0:v/>
      </ns0:c>
      <ns0:c r="L819" s="0">
        <ns0:f>IF(LEFT(K819,5)="CHECK",1,0)</ns0:f>
        <ns0:v>0</ns0:v>
      </ns0:c>
      <ns0:c r="M819" s="0">
        <ns0:f>IF(AND(L819=1,OR(C819=0,IFERROR(INDEX($X$11:$X$60,C819),0)=0)),1,0)</ns0:f>
        <ns0:v>0</ns0:v>
      </ns0:c>
      <ns0:c r="N819" s="0">
        <ns0:f>IF(OR(A819=0,L819&gt;0,$B$6&gt;0,Bookings!G819="Cancelled"),0,G819)</ns0:f>
        <ns0:v>0</ns0:v>
      </ns0:c>
      <ns0:c r="O819" s="0">
        <ns0:f>IF(AND(Bookings!G819="Approved",E819="Yes"),N819,0)</ns0:f>
        <ns0:v>0</ns0:v>
      </ns0:c>
      <ns0:c r="P819" s="0">
        <ns0:f>IF(AND(Bookings!G819="Approved",E819="Yes",L819=0,$B$6=0),H819,0)</ns0:f>
        <ns0:v>0</ns0:v>
      </ns0:c>
      <ns0:c r="Q819" s="0">
        <ns0:f>IF(AND(Bookings!G819="Approved",E819="Yes",L819=0,$B$6=0),I819,0)</ns0:f>
        <ns0:v>0</ns0:v>
      </ns0:c>
      <ns0:c r="R819" s="0">
        <ns0:f>IF(AND(Bookings!G819="Pending",E819="Yes"),N819,0)</ns0:f>
        <ns0:v>0</ns0:v>
      </ns0:c>
      <ns0:c r="S819" s="0">
        <ns0:f>IF(AND(Bookings!G819="Approved",E819="No"),N819,0)</ns0:f>
        <ns0:v>0</ns0:v>
      </ns0:c>
      <ns0:c r="T819" s="0">
        <ns0:f>IFERROR(MATCH(D819,Settings!$G$7:$G$11,0),0)</ns0:f>
        <ns0:v>0</ns0:v>
      </ns0:c>
      <ns0:c r="U819" s="0">
        <ns0:f>IF(N819&gt;0,T819+IF(Bookings!G819="Pending",10,0),0)</ns0:f>
        <ns0:v>0</ns0:v>
      </ns0:c>
      <ns0:c r="V819" s="0">
        <ns0:f>U819</ns0:f>
        <ns0:v>0</ns0:v>
      </ns0:c>
      <ns0:c r="W819" s="0" t="str">
        <ns0:f>IF(C819=0,"",INDEX($AP$11:$AP$60,C819))</ns0:f>
        <ns0:v/>
      </ns0:c>
    </ns0:row>
    <ns0:row r="820">
      <ns0:c r="A820" s="0">
        <ns0:f>IF(COUNTA(Bookings!A820:G820,Bookings!I820)=0,0,1)</ns0:f>
        <ns0:v>0</ns0:v>
      </ns0:c>
      <ns0:c r="B820" s="0" t="str">
        <ns0:f>IFERROR(TRIM(MID(Bookings!A820,FIND(" · ",Bookings!A820)+3,99)),"")</ns0:f>
        <ns0:v/>
      </ns0:c>
      <ns0:c r="C820" s="0">
        <ns0:f>IF(OR(B820="",LEN(B820)&gt;24,ISNUMBER(FIND(" ",B820)),ISNUMBER(FIND("*",B820)),ISNUMBER(FIND("?",B820)),ISNUMBER(FIND("~",B820))),0,IFERROR(MATCH(B820,Team!$A$11:$A$60,0),0))</ns0:f>
        <ns0:v>0</ns0:v>
      </ns0:c>
      <ns0:c r="D820" s="0" t="str">
        <ns0:f>IFERROR(IF(MID(Bookings!F820,LEN(Bookings!F820)-3,3)=" · ",RIGHT(Bookings!F820,1),""),"")</ns0:f>
        <ns0:v/>
      </ns0:c>
      <ns0:c r="E820" s="0" t="str">
        <ns0:f>IFERROR(INDEX(Settings!$H$7:$H$11,MATCH(D820,Settings!$G$7:$G$11,0)),"")</ns0:f>
        <ns0:v/>
      </ns0:c>
      <ns0:c r="F820" s="0" t="str">
        <ns0:f>IF(A820=0,"",IFERROR(IF(OR(B820="",C820=0),"CHECK employee selection",IF(INDEX(Team!$O$11:$O$60,C820)&lt;&gt;"OK","CHECK employee setup",IF(OR('_Dates'!J820=0,'_Dates'!T820=0),"CHECK date: use DD.MM.YYYY",IF('_Dates'!T820&lt;'_Dates'!J820,"CHECK end before start",IF(AND($B$6=0,OR('_Dates'!J820&lt;Settings!$B$7,'_Dates'!T820&gt;Settings!$B$8)),"CHECK split across leave years",IF(OR(NOT(OR('_Dates'!U820="Full day",'_Dates'!U820="AM",'_Dates'!U820="PM")),NOT(OR('_Dates'!V820="Full day",'_Dates'!V820="AM",'_Dates'!V820="PM"))),"CHECK Full day / AM / PM",IF(AND('_Dates'!J820='_Dates'!T820,'_Dates'!U820&lt;&gt;"Full day",'_Dates'!V820&lt;&gt;"Full day",'_Dates'!U820&lt;&gt;'_Dates'!V820),"CHECK same-day portions disagree",IF(AND($B$6=0,OR(AND('_Dates'!U820&lt;&gt;"Full day",'_Dates'!AA820=0),AND('_Dates'!V820&lt;&gt;"Full day",'_Dates'!AB820=0))),"CHECK half-day on non-working date",IF(COUNTIF(Settings!$G$7:$G$11,D820)&lt;&gt;1,"CHECK leave type",IF(AND(Bookings!G820&lt;&gt;"Approved",Bookings!G820&lt;&gt;"Pending",Bookings!G820&lt;&gt;"Cancelled"),"CHECK status","OK")))))))))),"CHECK input"))</ns0:f>
        <ns0:v/>
      </ns0:c>
      <ns0:c r="G820" s="0">
        <ns0:f>IF(OR(F820&lt;&gt;"OK",$B$6&gt;0),0,0.5*(IF(('_Dates'!X820)&lt;('_Dates'!W820),0,INT((('_Dates'!X820)-('_Dates'!W820)+1)/7)*LEN(SUBSTITUTE(W820,"O",""))+LEN(SUBSTITUTE(MID(W820&amp;W820,WEEKDAY(('_Dates'!W820),2),MOD((('_Dates'!X820)-('_Dates'!W820)+1),7)),"O",""))-COUNTIFS(INDEX(AllClosureRows,C820,0),"&gt;="&amp;('_Dates'!W820),INDEX(AllClosureRows,C820,0),"&lt;="&amp;('_Dates'!X820)))+IF(('_Dates'!Z820)&lt;('_Dates'!Y820),0,INT((('_Dates'!Z820)-('_Dates'!Y820)+1)/7)*LEN(SUBSTITUTE(W820,"O",""))+LEN(SUBSTITUTE(MID(W820&amp;W820,WEEKDAY(('_Dates'!Y820),2),MOD((('_Dates'!Z820)-('_Dates'!Y820)+1),7)),"O",""))-COUNTIFS(INDEX(AllClosureRows,C820,0),"&gt;="&amp;('_Dates'!Y820),INDEX(AllClosureRows,C820,0),"&lt;="&amp;('_Dates'!Z820)))))</ns0:f>
        <ns0:v>0</ns0:v>
      </ns0:c>
      <ns0:c r="H820" s="0">
        <ns0:f>IF(OR(F820&lt;&gt;"OK",$B$6&gt;0),0,0.5*(IF((MIN('_Dates'!X820,Settings!$B$9))&lt;('_Dates'!W820),0,INT(((MIN('_Dates'!X820,Settings!$B$9))-('_Dates'!W820)+1)/7)*LEN(SUBSTITUTE(W820,"O",""))+LEN(SUBSTITUTE(MID(W820&amp;W820,WEEKDAY(('_Dates'!W820),2),MOD(((MIN('_Dates'!X820,Settings!$B$9))-('_Dates'!W820)+1),7)),"O",""))-COUNTIFS(INDEX(AllClosureRows,C820,0),"&gt;="&amp;('_Dates'!W820),INDEX(AllClosureRows,C820,0),"&lt;="&amp;(MIN('_Dates'!X820,Settings!$B$9))))+IF((MIN('_Dates'!Z820,Settings!$B$9))&lt;('_Dates'!Y820),0,INT(((MIN('_Dates'!Z820,Settings!$B$9))-('_Dates'!Y820)+1)/7)*LEN(SUBSTITUTE(W820,"O",""))+LEN(SUBSTITUTE(MID(W820&amp;W820,WEEKDAY(('_Dates'!Y820),2),MOD(((MIN('_Dates'!Z820,Settings!$B$9))-('_Dates'!Y820)+1),7)),"O",""))-COUNTIFS(INDEX(AllClosureRows,C820,0),"&gt;="&amp;('_Dates'!Y820),INDEX(AllClosureRows,C820,0),"&lt;="&amp;(MIN('_Dates'!Z820,Settings!$B$9))))))</ns0:f>
        <ns0:v>0</ns0:v>
      </ns0:c>
      <ns0:c r="I820" s="0">
        <ns0:f>MAX(0,G820-H820)</ns0:f>
        <ns0:v>0</ns0:v>
      </ns0:c>
      <ns0:c r="J820" s="0">
        <ns0:f>IF(OR(A820=0,F820&lt;&gt;"OK",Bookings!G820="Cancelled",$B$6&gt;0),0,IF('_Dates'!AC820=1,MAX(0,COUNTIFS(rngEngine_B,B820,rngAMStart,"&lt;="&amp;'_Dates'!X820,rngAMEnd,"&gt;="&amp;'_Dates'!W820,rngAMActive,1,rngEngine_F,"OK",rngBookings_F,"&lt;&gt;Cancelled")-1),0)+IF('_Dates'!AD820=1,MAX(0,COUNTIFS(rngEngine_B,B820,rngPMStart,"&lt;="&amp;'_Dates'!Z820,rngPMEnd,"&gt;="&amp;'_Dates'!Y820,rngPMActive,1,rngEngine_F,"OK",rngBookings_F,"&lt;&gt;Cancelled")-1),0))</ns0:f>
        <ns0:v>0</ns0:v>
      </ns0:c>
      <ns0:c r="K820" s="0" t="str">
        <ns0:f>IF(A820=0,"",IF(F820&lt;&gt;"OK",F820,IF(J820&gt;0,"CHECK overlapping entry",IF(AND($B$6=0,G820&lt;=0,Bookings!G820&lt;&gt;"Cancelled"),"CHECK no working days",IF(Bookings!G820="Cancelled","Cancelled","OK")))))</ns0:f>
        <ns0:v/>
      </ns0:c>
      <ns0:c r="L820" s="0">
        <ns0:f>IF(LEFT(K820,5)="CHECK",1,0)</ns0:f>
        <ns0:v>0</ns0:v>
      </ns0:c>
      <ns0:c r="M820" s="0">
        <ns0:f>IF(AND(L820=1,OR(C820=0,IFERROR(INDEX($X$11:$X$60,C820),0)=0)),1,0)</ns0:f>
        <ns0:v>0</ns0:v>
      </ns0:c>
      <ns0:c r="N820" s="0">
        <ns0:f>IF(OR(A820=0,L820&gt;0,$B$6&gt;0,Bookings!G820="Cancelled"),0,G820)</ns0:f>
        <ns0:v>0</ns0:v>
      </ns0:c>
      <ns0:c r="O820" s="0">
        <ns0:f>IF(AND(Bookings!G820="Approved",E820="Yes"),N820,0)</ns0:f>
        <ns0:v>0</ns0:v>
      </ns0:c>
      <ns0:c r="P820" s="0">
        <ns0:f>IF(AND(Bookings!G820="Approved",E820="Yes",L820=0,$B$6=0),H820,0)</ns0:f>
        <ns0:v>0</ns0:v>
      </ns0:c>
      <ns0:c r="Q820" s="0">
        <ns0:f>IF(AND(Bookings!G820="Approved",E820="Yes",L820=0,$B$6=0),I820,0)</ns0:f>
        <ns0:v>0</ns0:v>
      </ns0:c>
      <ns0:c r="R820" s="0">
        <ns0:f>IF(AND(Bookings!G820="Pending",E820="Yes"),N820,0)</ns0:f>
        <ns0:v>0</ns0:v>
      </ns0:c>
      <ns0:c r="S820" s="0">
        <ns0:f>IF(AND(Bookings!G820="Approved",E820="No"),N820,0)</ns0:f>
        <ns0:v>0</ns0:v>
      </ns0:c>
      <ns0:c r="T820" s="0">
        <ns0:f>IFERROR(MATCH(D820,Settings!$G$7:$G$11,0),0)</ns0:f>
        <ns0:v>0</ns0:v>
      </ns0:c>
      <ns0:c r="U820" s="0">
        <ns0:f>IF(N820&gt;0,T820+IF(Bookings!G820="Pending",10,0),0)</ns0:f>
        <ns0:v>0</ns0:v>
      </ns0:c>
      <ns0:c r="V820" s="0">
        <ns0:f>U820</ns0:f>
        <ns0:v>0</ns0:v>
      </ns0:c>
      <ns0:c r="W820" s="0" t="str">
        <ns0:f>IF(C820=0,"",INDEX($AP$11:$AP$60,C820))</ns0:f>
        <ns0:v/>
      </ns0:c>
    </ns0:row>
    <ns0:row r="821">
      <ns0:c r="A821" s="0">
        <ns0:f>IF(COUNTA(Bookings!A821:G821,Bookings!I821)=0,0,1)</ns0:f>
        <ns0:v>0</ns0:v>
      </ns0:c>
      <ns0:c r="B821" s="0" t="str">
        <ns0:f>IFERROR(TRIM(MID(Bookings!A821,FIND(" · ",Bookings!A821)+3,99)),"")</ns0:f>
        <ns0:v/>
      </ns0:c>
      <ns0:c r="C821" s="0">
        <ns0:f>IF(OR(B821="",LEN(B821)&gt;24,ISNUMBER(FIND(" ",B821)),ISNUMBER(FIND("*",B821)),ISNUMBER(FIND("?",B821)),ISNUMBER(FIND("~",B821))),0,IFERROR(MATCH(B821,Team!$A$11:$A$60,0),0))</ns0:f>
        <ns0:v>0</ns0:v>
      </ns0:c>
      <ns0:c r="D821" s="0" t="str">
        <ns0:f>IFERROR(IF(MID(Bookings!F821,LEN(Bookings!F821)-3,3)=" · ",RIGHT(Bookings!F821,1),""),"")</ns0:f>
        <ns0:v/>
      </ns0:c>
      <ns0:c r="E821" s="0" t="str">
        <ns0:f>IFERROR(INDEX(Settings!$H$7:$H$11,MATCH(D821,Settings!$G$7:$G$11,0)),"")</ns0:f>
        <ns0:v/>
      </ns0:c>
      <ns0:c r="F821" s="0" t="str">
        <ns0:f>IF(A821=0,"",IFERROR(IF(OR(B821="",C821=0),"CHECK employee selection",IF(INDEX(Team!$O$11:$O$60,C821)&lt;&gt;"OK","CHECK employee setup",IF(OR('_Dates'!J821=0,'_Dates'!T821=0),"CHECK date: use DD.MM.YYYY",IF('_Dates'!T821&lt;'_Dates'!J821,"CHECK end before start",IF(AND($B$6=0,OR('_Dates'!J821&lt;Settings!$B$7,'_Dates'!T821&gt;Settings!$B$8)),"CHECK split across leave years",IF(OR(NOT(OR('_Dates'!U821="Full day",'_Dates'!U821="AM",'_Dates'!U821="PM")),NOT(OR('_Dates'!V821="Full day",'_Dates'!V821="AM",'_Dates'!V821="PM"))),"CHECK Full day / AM / PM",IF(AND('_Dates'!J821='_Dates'!T821,'_Dates'!U821&lt;&gt;"Full day",'_Dates'!V821&lt;&gt;"Full day",'_Dates'!U821&lt;&gt;'_Dates'!V821),"CHECK same-day portions disagree",IF(AND($B$6=0,OR(AND('_Dates'!U821&lt;&gt;"Full day",'_Dates'!AA821=0),AND('_Dates'!V821&lt;&gt;"Full day",'_Dates'!AB821=0))),"CHECK half-day on non-working date",IF(COUNTIF(Settings!$G$7:$G$11,D821)&lt;&gt;1,"CHECK leave type",IF(AND(Bookings!G821&lt;&gt;"Approved",Bookings!G821&lt;&gt;"Pending",Bookings!G821&lt;&gt;"Cancelled"),"CHECK status","OK")))))))))),"CHECK input"))</ns0:f>
        <ns0:v/>
      </ns0:c>
      <ns0:c r="G821" s="0">
        <ns0:f>IF(OR(F821&lt;&gt;"OK",$B$6&gt;0),0,0.5*(IF(('_Dates'!X821)&lt;('_Dates'!W821),0,INT((('_Dates'!X821)-('_Dates'!W821)+1)/7)*LEN(SUBSTITUTE(W821,"O",""))+LEN(SUBSTITUTE(MID(W821&amp;W821,WEEKDAY(('_Dates'!W821),2),MOD((('_Dates'!X821)-('_Dates'!W821)+1),7)),"O",""))-COUNTIFS(INDEX(AllClosureRows,C821,0),"&gt;="&amp;('_Dates'!W821),INDEX(AllClosureRows,C821,0),"&lt;="&amp;('_Dates'!X821)))+IF(('_Dates'!Z821)&lt;('_Dates'!Y821),0,INT((('_Dates'!Z821)-('_Dates'!Y821)+1)/7)*LEN(SUBSTITUTE(W821,"O",""))+LEN(SUBSTITUTE(MID(W821&amp;W821,WEEKDAY(('_Dates'!Y821),2),MOD((('_Dates'!Z821)-('_Dates'!Y821)+1),7)),"O",""))-COUNTIFS(INDEX(AllClosureRows,C821,0),"&gt;="&amp;('_Dates'!Y821),INDEX(AllClosureRows,C821,0),"&lt;="&amp;('_Dates'!Z821)))))</ns0:f>
        <ns0:v>0</ns0:v>
      </ns0:c>
      <ns0:c r="H821" s="0">
        <ns0:f>IF(OR(F821&lt;&gt;"OK",$B$6&gt;0),0,0.5*(IF((MIN('_Dates'!X821,Settings!$B$9))&lt;('_Dates'!W821),0,INT(((MIN('_Dates'!X821,Settings!$B$9))-('_Dates'!W821)+1)/7)*LEN(SUBSTITUTE(W821,"O",""))+LEN(SUBSTITUTE(MID(W821&amp;W821,WEEKDAY(('_Dates'!W821),2),MOD(((MIN('_Dates'!X821,Settings!$B$9))-('_Dates'!W821)+1),7)),"O",""))-COUNTIFS(INDEX(AllClosureRows,C821,0),"&gt;="&amp;('_Dates'!W821),INDEX(AllClosureRows,C821,0),"&lt;="&amp;(MIN('_Dates'!X821,Settings!$B$9))))+IF((MIN('_Dates'!Z821,Settings!$B$9))&lt;('_Dates'!Y821),0,INT(((MIN('_Dates'!Z821,Settings!$B$9))-('_Dates'!Y821)+1)/7)*LEN(SUBSTITUTE(W821,"O",""))+LEN(SUBSTITUTE(MID(W821&amp;W821,WEEKDAY(('_Dates'!Y821),2),MOD(((MIN('_Dates'!Z821,Settings!$B$9))-('_Dates'!Y821)+1),7)),"O",""))-COUNTIFS(INDEX(AllClosureRows,C821,0),"&gt;="&amp;('_Dates'!Y821),INDEX(AllClosureRows,C821,0),"&lt;="&amp;(MIN('_Dates'!Z821,Settings!$B$9))))))</ns0:f>
        <ns0:v>0</ns0:v>
      </ns0:c>
      <ns0:c r="I821" s="0">
        <ns0:f>MAX(0,G821-H821)</ns0:f>
        <ns0:v>0</ns0:v>
      </ns0:c>
      <ns0:c r="J821" s="0">
        <ns0:f>IF(OR(A821=0,F821&lt;&gt;"OK",Bookings!G821="Cancelled",$B$6&gt;0),0,IF('_Dates'!AC821=1,MAX(0,COUNTIFS(rngEngine_B,B821,rngAMStart,"&lt;="&amp;'_Dates'!X821,rngAMEnd,"&gt;="&amp;'_Dates'!W821,rngAMActive,1,rngEngine_F,"OK",rngBookings_F,"&lt;&gt;Cancelled")-1),0)+IF('_Dates'!AD821=1,MAX(0,COUNTIFS(rngEngine_B,B821,rngPMStart,"&lt;="&amp;'_Dates'!Z821,rngPMEnd,"&gt;="&amp;'_Dates'!Y821,rngPMActive,1,rngEngine_F,"OK",rngBookings_F,"&lt;&gt;Cancelled")-1),0))</ns0:f>
        <ns0:v>0</ns0:v>
      </ns0:c>
      <ns0:c r="K821" s="0" t="str">
        <ns0:f>IF(A821=0,"",IF(F821&lt;&gt;"OK",F821,IF(J821&gt;0,"CHECK overlapping entry",IF(AND($B$6=0,G821&lt;=0,Bookings!G821&lt;&gt;"Cancelled"),"CHECK no working days",IF(Bookings!G821="Cancelled","Cancelled","OK")))))</ns0:f>
        <ns0:v/>
      </ns0:c>
      <ns0:c r="L821" s="0">
        <ns0:f>IF(LEFT(K821,5)="CHECK",1,0)</ns0:f>
        <ns0:v>0</ns0:v>
      </ns0:c>
      <ns0:c r="M821" s="0">
        <ns0:f>IF(AND(L821=1,OR(C821=0,IFERROR(INDEX($X$11:$X$60,C821),0)=0)),1,0)</ns0:f>
        <ns0:v>0</ns0:v>
      </ns0:c>
      <ns0:c r="N821" s="0">
        <ns0:f>IF(OR(A821=0,L821&gt;0,$B$6&gt;0,Bookings!G821="Cancelled"),0,G821)</ns0:f>
        <ns0:v>0</ns0:v>
      </ns0:c>
      <ns0:c r="O821" s="0">
        <ns0:f>IF(AND(Bookings!G821="Approved",E821="Yes"),N821,0)</ns0:f>
        <ns0:v>0</ns0:v>
      </ns0:c>
      <ns0:c r="P821" s="0">
        <ns0:f>IF(AND(Bookings!G821="Approved",E821="Yes",L821=0,$B$6=0),H821,0)</ns0:f>
        <ns0:v>0</ns0:v>
      </ns0:c>
      <ns0:c r="Q821" s="0">
        <ns0:f>IF(AND(Bookings!G821="Approved",E821="Yes",L821=0,$B$6=0),I821,0)</ns0:f>
        <ns0:v>0</ns0:v>
      </ns0:c>
      <ns0:c r="R821" s="0">
        <ns0:f>IF(AND(Bookings!G821="Pending",E821="Yes"),N821,0)</ns0:f>
        <ns0:v>0</ns0:v>
      </ns0:c>
      <ns0:c r="S821" s="0">
        <ns0:f>IF(AND(Bookings!G821="Approved",E821="No"),N821,0)</ns0:f>
        <ns0:v>0</ns0:v>
      </ns0:c>
      <ns0:c r="T821" s="0">
        <ns0:f>IFERROR(MATCH(D821,Settings!$G$7:$G$11,0),0)</ns0:f>
        <ns0:v>0</ns0:v>
      </ns0:c>
      <ns0:c r="U821" s="0">
        <ns0:f>IF(N821&gt;0,T821+IF(Bookings!G821="Pending",10,0),0)</ns0:f>
        <ns0:v>0</ns0:v>
      </ns0:c>
      <ns0:c r="V821" s="0">
        <ns0:f>U821</ns0:f>
        <ns0:v>0</ns0:v>
      </ns0:c>
      <ns0:c r="W821" s="0" t="str">
        <ns0:f>IF(C821=0,"",INDEX($AP$11:$AP$60,C821))</ns0:f>
        <ns0:v/>
      </ns0:c>
    </ns0:row>
    <ns0:row r="822">
      <ns0:c r="A822" s="0">
        <ns0:f>IF(COUNTA(Bookings!A822:G822,Bookings!I822)=0,0,1)</ns0:f>
        <ns0:v>0</ns0:v>
      </ns0:c>
      <ns0:c r="B822" s="0" t="str">
        <ns0:f>IFERROR(TRIM(MID(Bookings!A822,FIND(" · ",Bookings!A822)+3,99)),"")</ns0:f>
        <ns0:v/>
      </ns0:c>
      <ns0:c r="C822" s="0">
        <ns0:f>IF(OR(B822="",LEN(B822)&gt;24,ISNUMBER(FIND(" ",B822)),ISNUMBER(FIND("*",B822)),ISNUMBER(FIND("?",B822)),ISNUMBER(FIND("~",B822))),0,IFERROR(MATCH(B822,Team!$A$11:$A$60,0),0))</ns0:f>
        <ns0:v>0</ns0:v>
      </ns0:c>
      <ns0:c r="D822" s="0" t="str">
        <ns0:f>IFERROR(IF(MID(Bookings!F822,LEN(Bookings!F822)-3,3)=" · ",RIGHT(Bookings!F822,1),""),"")</ns0:f>
        <ns0:v/>
      </ns0:c>
      <ns0:c r="E822" s="0" t="str">
        <ns0:f>IFERROR(INDEX(Settings!$H$7:$H$11,MATCH(D822,Settings!$G$7:$G$11,0)),"")</ns0:f>
        <ns0:v/>
      </ns0:c>
      <ns0:c r="F822" s="0" t="str">
        <ns0:f>IF(A822=0,"",IFERROR(IF(OR(B822="",C822=0),"CHECK employee selection",IF(INDEX(Team!$O$11:$O$60,C822)&lt;&gt;"OK","CHECK employee setup",IF(OR('_Dates'!J822=0,'_Dates'!T822=0),"CHECK date: use DD.MM.YYYY",IF('_Dates'!T822&lt;'_Dates'!J822,"CHECK end before start",IF(AND($B$6=0,OR('_Dates'!J822&lt;Settings!$B$7,'_Dates'!T822&gt;Settings!$B$8)),"CHECK split across leave years",IF(OR(NOT(OR('_Dates'!U822="Full day",'_Dates'!U822="AM",'_Dates'!U822="PM")),NOT(OR('_Dates'!V822="Full day",'_Dates'!V822="AM",'_Dates'!V822="PM"))),"CHECK Full day / AM / PM",IF(AND('_Dates'!J822='_Dates'!T822,'_Dates'!U822&lt;&gt;"Full day",'_Dates'!V822&lt;&gt;"Full day",'_Dates'!U822&lt;&gt;'_Dates'!V822),"CHECK same-day portions disagree",IF(AND($B$6=0,OR(AND('_Dates'!U822&lt;&gt;"Full day",'_Dates'!AA822=0),AND('_Dates'!V822&lt;&gt;"Full day",'_Dates'!AB822=0))),"CHECK half-day on non-working date",IF(COUNTIF(Settings!$G$7:$G$11,D822)&lt;&gt;1,"CHECK leave type",IF(AND(Bookings!G822&lt;&gt;"Approved",Bookings!G822&lt;&gt;"Pending",Bookings!G822&lt;&gt;"Cancelled"),"CHECK status","OK")))))))))),"CHECK input"))</ns0:f>
        <ns0:v/>
      </ns0:c>
      <ns0:c r="G822" s="0">
        <ns0:f>IF(OR(F822&lt;&gt;"OK",$B$6&gt;0),0,0.5*(IF(('_Dates'!X822)&lt;('_Dates'!W822),0,INT((('_Dates'!X822)-('_Dates'!W822)+1)/7)*LEN(SUBSTITUTE(W822,"O",""))+LEN(SUBSTITUTE(MID(W822&amp;W822,WEEKDAY(('_Dates'!W822),2),MOD((('_Dates'!X822)-('_Dates'!W822)+1),7)),"O",""))-COUNTIFS(INDEX(AllClosureRows,C822,0),"&gt;="&amp;('_Dates'!W822),INDEX(AllClosureRows,C822,0),"&lt;="&amp;('_Dates'!X822)))+IF(('_Dates'!Z822)&lt;('_Dates'!Y822),0,INT((('_Dates'!Z822)-('_Dates'!Y822)+1)/7)*LEN(SUBSTITUTE(W822,"O",""))+LEN(SUBSTITUTE(MID(W822&amp;W822,WEEKDAY(('_Dates'!Y822),2),MOD((('_Dates'!Z822)-('_Dates'!Y822)+1),7)),"O",""))-COUNTIFS(INDEX(AllClosureRows,C822,0),"&gt;="&amp;('_Dates'!Y822),INDEX(AllClosureRows,C822,0),"&lt;="&amp;('_Dates'!Z822)))))</ns0:f>
        <ns0:v>0</ns0:v>
      </ns0:c>
      <ns0:c r="H822" s="0">
        <ns0:f>IF(OR(F822&lt;&gt;"OK",$B$6&gt;0),0,0.5*(IF((MIN('_Dates'!X822,Settings!$B$9))&lt;('_Dates'!W822),0,INT(((MIN('_Dates'!X822,Settings!$B$9))-('_Dates'!W822)+1)/7)*LEN(SUBSTITUTE(W822,"O",""))+LEN(SUBSTITUTE(MID(W822&amp;W822,WEEKDAY(('_Dates'!W822),2),MOD(((MIN('_Dates'!X822,Settings!$B$9))-('_Dates'!W822)+1),7)),"O",""))-COUNTIFS(INDEX(AllClosureRows,C822,0),"&gt;="&amp;('_Dates'!W822),INDEX(AllClosureRows,C822,0),"&lt;="&amp;(MIN('_Dates'!X822,Settings!$B$9))))+IF((MIN('_Dates'!Z822,Settings!$B$9))&lt;('_Dates'!Y822),0,INT(((MIN('_Dates'!Z822,Settings!$B$9))-('_Dates'!Y822)+1)/7)*LEN(SUBSTITUTE(W822,"O",""))+LEN(SUBSTITUTE(MID(W822&amp;W822,WEEKDAY(('_Dates'!Y822),2),MOD(((MIN('_Dates'!Z822,Settings!$B$9))-('_Dates'!Y822)+1),7)),"O",""))-COUNTIFS(INDEX(AllClosureRows,C822,0),"&gt;="&amp;('_Dates'!Y822),INDEX(AllClosureRows,C822,0),"&lt;="&amp;(MIN('_Dates'!Z822,Settings!$B$9))))))</ns0:f>
        <ns0:v>0</ns0:v>
      </ns0:c>
      <ns0:c r="I822" s="0">
        <ns0:f>MAX(0,G822-H822)</ns0:f>
        <ns0:v>0</ns0:v>
      </ns0:c>
      <ns0:c r="J822" s="0">
        <ns0:f>IF(OR(A822=0,F822&lt;&gt;"OK",Bookings!G822="Cancelled",$B$6&gt;0),0,IF('_Dates'!AC822=1,MAX(0,COUNTIFS(rngEngine_B,B822,rngAMStart,"&lt;="&amp;'_Dates'!X822,rngAMEnd,"&gt;="&amp;'_Dates'!W822,rngAMActive,1,rngEngine_F,"OK",rngBookings_F,"&lt;&gt;Cancelled")-1),0)+IF('_Dates'!AD822=1,MAX(0,COUNTIFS(rngEngine_B,B822,rngPMStart,"&lt;="&amp;'_Dates'!Z822,rngPMEnd,"&gt;="&amp;'_Dates'!Y822,rngPMActive,1,rngEngine_F,"OK",rngBookings_F,"&lt;&gt;Cancelled")-1),0))</ns0:f>
        <ns0:v>0</ns0:v>
      </ns0:c>
      <ns0:c r="K822" s="0" t="str">
        <ns0:f>IF(A822=0,"",IF(F822&lt;&gt;"OK",F822,IF(J822&gt;0,"CHECK overlapping entry",IF(AND($B$6=0,G822&lt;=0,Bookings!G822&lt;&gt;"Cancelled"),"CHECK no working days",IF(Bookings!G822="Cancelled","Cancelled","OK")))))</ns0:f>
        <ns0:v/>
      </ns0:c>
      <ns0:c r="L822" s="0">
        <ns0:f>IF(LEFT(K822,5)="CHECK",1,0)</ns0:f>
        <ns0:v>0</ns0:v>
      </ns0:c>
      <ns0:c r="M822" s="0">
        <ns0:f>IF(AND(L822=1,OR(C822=0,IFERROR(INDEX($X$11:$X$60,C822),0)=0)),1,0)</ns0:f>
        <ns0:v>0</ns0:v>
      </ns0:c>
      <ns0:c r="N822" s="0">
        <ns0:f>IF(OR(A822=0,L822&gt;0,$B$6&gt;0,Bookings!G822="Cancelled"),0,G822)</ns0:f>
        <ns0:v>0</ns0:v>
      </ns0:c>
      <ns0:c r="O822" s="0">
        <ns0:f>IF(AND(Bookings!G822="Approved",E822="Yes"),N822,0)</ns0:f>
        <ns0:v>0</ns0:v>
      </ns0:c>
      <ns0:c r="P822" s="0">
        <ns0:f>IF(AND(Bookings!G822="Approved",E822="Yes",L822=0,$B$6=0),H822,0)</ns0:f>
        <ns0:v>0</ns0:v>
      </ns0:c>
      <ns0:c r="Q822" s="0">
        <ns0:f>IF(AND(Bookings!G822="Approved",E822="Yes",L822=0,$B$6=0),I822,0)</ns0:f>
        <ns0:v>0</ns0:v>
      </ns0:c>
      <ns0:c r="R822" s="0">
        <ns0:f>IF(AND(Bookings!G822="Pending",E822="Yes"),N822,0)</ns0:f>
        <ns0:v>0</ns0:v>
      </ns0:c>
      <ns0:c r="S822" s="0">
        <ns0:f>IF(AND(Bookings!G822="Approved",E822="No"),N822,0)</ns0:f>
        <ns0:v>0</ns0:v>
      </ns0:c>
      <ns0:c r="T822" s="0">
        <ns0:f>IFERROR(MATCH(D822,Settings!$G$7:$G$11,0),0)</ns0:f>
        <ns0:v>0</ns0:v>
      </ns0:c>
      <ns0:c r="U822" s="0">
        <ns0:f>IF(N822&gt;0,T822+IF(Bookings!G822="Pending",10,0),0)</ns0:f>
        <ns0:v>0</ns0:v>
      </ns0:c>
      <ns0:c r="V822" s="0">
        <ns0:f>U822</ns0:f>
        <ns0:v>0</ns0:v>
      </ns0:c>
      <ns0:c r="W822" s="0" t="str">
        <ns0:f>IF(C822=0,"",INDEX($AP$11:$AP$60,C822))</ns0:f>
        <ns0:v/>
      </ns0:c>
    </ns0:row>
    <ns0:row r="823">
      <ns0:c r="A823" s="0">
        <ns0:f>IF(COUNTA(Bookings!A823:G823,Bookings!I823)=0,0,1)</ns0:f>
        <ns0:v>0</ns0:v>
      </ns0:c>
      <ns0:c r="B823" s="0" t="str">
        <ns0:f>IFERROR(TRIM(MID(Bookings!A823,FIND(" · ",Bookings!A823)+3,99)),"")</ns0:f>
        <ns0:v/>
      </ns0:c>
      <ns0:c r="C823" s="0">
        <ns0:f>IF(OR(B823="",LEN(B823)&gt;24,ISNUMBER(FIND(" ",B823)),ISNUMBER(FIND("*",B823)),ISNUMBER(FIND("?",B823)),ISNUMBER(FIND("~",B823))),0,IFERROR(MATCH(B823,Team!$A$11:$A$60,0),0))</ns0:f>
        <ns0:v>0</ns0:v>
      </ns0:c>
      <ns0:c r="D823" s="0" t="str">
        <ns0:f>IFERROR(IF(MID(Bookings!F823,LEN(Bookings!F823)-3,3)=" · ",RIGHT(Bookings!F823,1),""),"")</ns0:f>
        <ns0:v/>
      </ns0:c>
      <ns0:c r="E823" s="0" t="str">
        <ns0:f>IFERROR(INDEX(Settings!$H$7:$H$11,MATCH(D823,Settings!$G$7:$G$11,0)),"")</ns0:f>
        <ns0:v/>
      </ns0:c>
      <ns0:c r="F823" s="0" t="str">
        <ns0:f>IF(A823=0,"",IFERROR(IF(OR(B823="",C823=0),"CHECK employee selection",IF(INDEX(Team!$O$11:$O$60,C823)&lt;&gt;"OK","CHECK employee setup",IF(OR('_Dates'!J823=0,'_Dates'!T823=0),"CHECK date: use DD.MM.YYYY",IF('_Dates'!T823&lt;'_Dates'!J823,"CHECK end before start",IF(AND($B$6=0,OR('_Dates'!J823&lt;Settings!$B$7,'_Dates'!T823&gt;Settings!$B$8)),"CHECK split across leave years",IF(OR(NOT(OR('_Dates'!U823="Full day",'_Dates'!U823="AM",'_Dates'!U823="PM")),NOT(OR('_Dates'!V823="Full day",'_Dates'!V823="AM",'_Dates'!V823="PM"))),"CHECK Full day / AM / PM",IF(AND('_Dates'!J823='_Dates'!T823,'_Dates'!U823&lt;&gt;"Full day",'_Dates'!V823&lt;&gt;"Full day",'_Dates'!U823&lt;&gt;'_Dates'!V823),"CHECK same-day portions disagree",IF(AND($B$6=0,OR(AND('_Dates'!U823&lt;&gt;"Full day",'_Dates'!AA823=0),AND('_Dates'!V823&lt;&gt;"Full day",'_Dates'!AB823=0))),"CHECK half-day on non-working date",IF(COUNTIF(Settings!$G$7:$G$11,D823)&lt;&gt;1,"CHECK leave type",IF(AND(Bookings!G823&lt;&gt;"Approved",Bookings!G823&lt;&gt;"Pending",Bookings!G823&lt;&gt;"Cancelled"),"CHECK status","OK")))))))))),"CHECK input"))</ns0:f>
        <ns0:v/>
      </ns0:c>
      <ns0:c r="G823" s="0">
        <ns0:f>IF(OR(F823&lt;&gt;"OK",$B$6&gt;0),0,0.5*(IF(('_Dates'!X823)&lt;('_Dates'!W823),0,INT((('_Dates'!X823)-('_Dates'!W823)+1)/7)*LEN(SUBSTITUTE(W823,"O",""))+LEN(SUBSTITUTE(MID(W823&amp;W823,WEEKDAY(('_Dates'!W823),2),MOD((('_Dates'!X823)-('_Dates'!W823)+1),7)),"O",""))-COUNTIFS(INDEX(AllClosureRows,C823,0),"&gt;="&amp;('_Dates'!W823),INDEX(AllClosureRows,C823,0),"&lt;="&amp;('_Dates'!X823)))+IF(('_Dates'!Z823)&lt;('_Dates'!Y823),0,INT((('_Dates'!Z823)-('_Dates'!Y823)+1)/7)*LEN(SUBSTITUTE(W823,"O",""))+LEN(SUBSTITUTE(MID(W823&amp;W823,WEEKDAY(('_Dates'!Y823),2),MOD((('_Dates'!Z823)-('_Dates'!Y823)+1),7)),"O",""))-COUNTIFS(INDEX(AllClosureRows,C823,0),"&gt;="&amp;('_Dates'!Y823),INDEX(AllClosureRows,C823,0),"&lt;="&amp;('_Dates'!Z823)))))</ns0:f>
        <ns0:v>0</ns0:v>
      </ns0:c>
      <ns0:c r="H823" s="0">
        <ns0:f>IF(OR(F823&lt;&gt;"OK",$B$6&gt;0),0,0.5*(IF((MIN('_Dates'!X823,Settings!$B$9))&lt;('_Dates'!W823),0,INT(((MIN('_Dates'!X823,Settings!$B$9))-('_Dates'!W823)+1)/7)*LEN(SUBSTITUTE(W823,"O",""))+LEN(SUBSTITUTE(MID(W823&amp;W823,WEEKDAY(('_Dates'!W823),2),MOD(((MIN('_Dates'!X823,Settings!$B$9))-('_Dates'!W823)+1),7)),"O",""))-COUNTIFS(INDEX(AllClosureRows,C823,0),"&gt;="&amp;('_Dates'!W823),INDEX(AllClosureRows,C823,0),"&lt;="&amp;(MIN('_Dates'!X823,Settings!$B$9))))+IF((MIN('_Dates'!Z823,Settings!$B$9))&lt;('_Dates'!Y823),0,INT(((MIN('_Dates'!Z823,Settings!$B$9))-('_Dates'!Y823)+1)/7)*LEN(SUBSTITUTE(W823,"O",""))+LEN(SUBSTITUTE(MID(W823&amp;W823,WEEKDAY(('_Dates'!Y823),2),MOD(((MIN('_Dates'!Z823,Settings!$B$9))-('_Dates'!Y823)+1),7)),"O",""))-COUNTIFS(INDEX(AllClosureRows,C823,0),"&gt;="&amp;('_Dates'!Y823),INDEX(AllClosureRows,C823,0),"&lt;="&amp;(MIN('_Dates'!Z823,Settings!$B$9))))))</ns0:f>
        <ns0:v>0</ns0:v>
      </ns0:c>
      <ns0:c r="I823" s="0">
        <ns0:f>MAX(0,G823-H823)</ns0:f>
        <ns0:v>0</ns0:v>
      </ns0:c>
      <ns0:c r="J823" s="0">
        <ns0:f>IF(OR(A823=0,F823&lt;&gt;"OK",Bookings!G823="Cancelled",$B$6&gt;0),0,IF('_Dates'!AC823=1,MAX(0,COUNTIFS(rngEngine_B,B823,rngAMStart,"&lt;="&amp;'_Dates'!X823,rngAMEnd,"&gt;="&amp;'_Dates'!W823,rngAMActive,1,rngEngine_F,"OK",rngBookings_F,"&lt;&gt;Cancelled")-1),0)+IF('_Dates'!AD823=1,MAX(0,COUNTIFS(rngEngine_B,B823,rngPMStart,"&lt;="&amp;'_Dates'!Z823,rngPMEnd,"&gt;="&amp;'_Dates'!Y823,rngPMActive,1,rngEngine_F,"OK",rngBookings_F,"&lt;&gt;Cancelled")-1),0))</ns0:f>
        <ns0:v>0</ns0:v>
      </ns0:c>
      <ns0:c r="K823" s="0" t="str">
        <ns0:f>IF(A823=0,"",IF(F823&lt;&gt;"OK",F823,IF(J823&gt;0,"CHECK overlapping entry",IF(AND($B$6=0,G823&lt;=0,Bookings!G823&lt;&gt;"Cancelled"),"CHECK no working days",IF(Bookings!G823="Cancelled","Cancelled","OK")))))</ns0:f>
        <ns0:v/>
      </ns0:c>
      <ns0:c r="L823" s="0">
        <ns0:f>IF(LEFT(K823,5)="CHECK",1,0)</ns0:f>
        <ns0:v>0</ns0:v>
      </ns0:c>
      <ns0:c r="M823" s="0">
        <ns0:f>IF(AND(L823=1,OR(C823=0,IFERROR(INDEX($X$11:$X$60,C823),0)=0)),1,0)</ns0:f>
        <ns0:v>0</ns0:v>
      </ns0:c>
      <ns0:c r="N823" s="0">
        <ns0:f>IF(OR(A823=0,L823&gt;0,$B$6&gt;0,Bookings!G823="Cancelled"),0,G823)</ns0:f>
        <ns0:v>0</ns0:v>
      </ns0:c>
      <ns0:c r="O823" s="0">
        <ns0:f>IF(AND(Bookings!G823="Approved",E823="Yes"),N823,0)</ns0:f>
        <ns0:v>0</ns0:v>
      </ns0:c>
      <ns0:c r="P823" s="0">
        <ns0:f>IF(AND(Bookings!G823="Approved",E823="Yes",L823=0,$B$6=0),H823,0)</ns0:f>
        <ns0:v>0</ns0:v>
      </ns0:c>
      <ns0:c r="Q823" s="0">
        <ns0:f>IF(AND(Bookings!G823="Approved",E823="Yes",L823=0,$B$6=0),I823,0)</ns0:f>
        <ns0:v>0</ns0:v>
      </ns0:c>
      <ns0:c r="R823" s="0">
        <ns0:f>IF(AND(Bookings!G823="Pending",E823="Yes"),N823,0)</ns0:f>
        <ns0:v>0</ns0:v>
      </ns0:c>
      <ns0:c r="S823" s="0">
        <ns0:f>IF(AND(Bookings!G823="Approved",E823="No"),N823,0)</ns0:f>
        <ns0:v>0</ns0:v>
      </ns0:c>
      <ns0:c r="T823" s="0">
        <ns0:f>IFERROR(MATCH(D823,Settings!$G$7:$G$11,0),0)</ns0:f>
        <ns0:v>0</ns0:v>
      </ns0:c>
      <ns0:c r="U823" s="0">
        <ns0:f>IF(N823&gt;0,T823+IF(Bookings!G823="Pending",10,0),0)</ns0:f>
        <ns0:v>0</ns0:v>
      </ns0:c>
      <ns0:c r="V823" s="0">
        <ns0:f>U823</ns0:f>
        <ns0:v>0</ns0:v>
      </ns0:c>
      <ns0:c r="W823" s="0" t="str">
        <ns0:f>IF(C823=0,"",INDEX($AP$11:$AP$60,C823))</ns0:f>
        <ns0:v/>
      </ns0:c>
    </ns0:row>
    <ns0:row r="824">
      <ns0:c r="A824" s="0">
        <ns0:f>IF(COUNTA(Bookings!A824:G824,Bookings!I824)=0,0,1)</ns0:f>
        <ns0:v>0</ns0:v>
      </ns0:c>
      <ns0:c r="B824" s="0" t="str">
        <ns0:f>IFERROR(TRIM(MID(Bookings!A824,FIND(" · ",Bookings!A824)+3,99)),"")</ns0:f>
        <ns0:v/>
      </ns0:c>
      <ns0:c r="C824" s="0">
        <ns0:f>IF(OR(B824="",LEN(B824)&gt;24,ISNUMBER(FIND(" ",B824)),ISNUMBER(FIND("*",B824)),ISNUMBER(FIND("?",B824)),ISNUMBER(FIND("~",B824))),0,IFERROR(MATCH(B824,Team!$A$11:$A$60,0),0))</ns0:f>
        <ns0:v>0</ns0:v>
      </ns0:c>
      <ns0:c r="D824" s="0" t="str">
        <ns0:f>IFERROR(IF(MID(Bookings!F824,LEN(Bookings!F824)-3,3)=" · ",RIGHT(Bookings!F824,1),""),"")</ns0:f>
        <ns0:v/>
      </ns0:c>
      <ns0:c r="E824" s="0" t="str">
        <ns0:f>IFERROR(INDEX(Settings!$H$7:$H$11,MATCH(D824,Settings!$G$7:$G$11,0)),"")</ns0:f>
        <ns0:v/>
      </ns0:c>
      <ns0:c r="F824" s="0" t="str">
        <ns0:f>IF(A824=0,"",IFERROR(IF(OR(B824="",C824=0),"CHECK employee selection",IF(INDEX(Team!$O$11:$O$60,C824)&lt;&gt;"OK","CHECK employee setup",IF(OR('_Dates'!J824=0,'_Dates'!T824=0),"CHECK date: use DD.MM.YYYY",IF('_Dates'!T824&lt;'_Dates'!J824,"CHECK end before start",IF(AND($B$6=0,OR('_Dates'!J824&lt;Settings!$B$7,'_Dates'!T824&gt;Settings!$B$8)),"CHECK split across leave years",IF(OR(NOT(OR('_Dates'!U824="Full day",'_Dates'!U824="AM",'_Dates'!U824="PM")),NOT(OR('_Dates'!V824="Full day",'_Dates'!V824="AM",'_Dates'!V824="PM"))),"CHECK Full day / AM / PM",IF(AND('_Dates'!J824='_Dates'!T824,'_Dates'!U824&lt;&gt;"Full day",'_Dates'!V824&lt;&gt;"Full day",'_Dates'!U824&lt;&gt;'_Dates'!V824),"CHECK same-day portions disagree",IF(AND($B$6=0,OR(AND('_Dates'!U824&lt;&gt;"Full day",'_Dates'!AA824=0),AND('_Dates'!V824&lt;&gt;"Full day",'_Dates'!AB824=0))),"CHECK half-day on non-working date",IF(COUNTIF(Settings!$G$7:$G$11,D824)&lt;&gt;1,"CHECK leave type",IF(AND(Bookings!G824&lt;&gt;"Approved",Bookings!G824&lt;&gt;"Pending",Bookings!G824&lt;&gt;"Cancelled"),"CHECK status","OK")))))))))),"CHECK input"))</ns0:f>
        <ns0:v/>
      </ns0:c>
      <ns0:c r="G824" s="0">
        <ns0:f>IF(OR(F824&lt;&gt;"OK",$B$6&gt;0),0,0.5*(IF(('_Dates'!X824)&lt;('_Dates'!W824),0,INT((('_Dates'!X824)-('_Dates'!W824)+1)/7)*LEN(SUBSTITUTE(W824,"O",""))+LEN(SUBSTITUTE(MID(W824&amp;W824,WEEKDAY(('_Dates'!W824),2),MOD((('_Dates'!X824)-('_Dates'!W824)+1),7)),"O",""))-COUNTIFS(INDEX(AllClosureRows,C824,0),"&gt;="&amp;('_Dates'!W824),INDEX(AllClosureRows,C824,0),"&lt;="&amp;('_Dates'!X824)))+IF(('_Dates'!Z824)&lt;('_Dates'!Y824),0,INT((('_Dates'!Z824)-('_Dates'!Y824)+1)/7)*LEN(SUBSTITUTE(W824,"O",""))+LEN(SUBSTITUTE(MID(W824&amp;W824,WEEKDAY(('_Dates'!Y824),2),MOD((('_Dates'!Z824)-('_Dates'!Y824)+1),7)),"O",""))-COUNTIFS(INDEX(AllClosureRows,C824,0),"&gt;="&amp;('_Dates'!Y824),INDEX(AllClosureRows,C824,0),"&lt;="&amp;('_Dates'!Z824)))))</ns0:f>
        <ns0:v>0</ns0:v>
      </ns0:c>
      <ns0:c r="H824" s="0">
        <ns0:f>IF(OR(F824&lt;&gt;"OK",$B$6&gt;0),0,0.5*(IF((MIN('_Dates'!X824,Settings!$B$9))&lt;('_Dates'!W824),0,INT(((MIN('_Dates'!X824,Settings!$B$9))-('_Dates'!W824)+1)/7)*LEN(SUBSTITUTE(W824,"O",""))+LEN(SUBSTITUTE(MID(W824&amp;W824,WEEKDAY(('_Dates'!W824),2),MOD(((MIN('_Dates'!X824,Settings!$B$9))-('_Dates'!W824)+1),7)),"O",""))-COUNTIFS(INDEX(AllClosureRows,C824,0),"&gt;="&amp;('_Dates'!W824),INDEX(AllClosureRows,C824,0),"&lt;="&amp;(MIN('_Dates'!X824,Settings!$B$9))))+IF((MIN('_Dates'!Z824,Settings!$B$9))&lt;('_Dates'!Y824),0,INT(((MIN('_Dates'!Z824,Settings!$B$9))-('_Dates'!Y824)+1)/7)*LEN(SUBSTITUTE(W824,"O",""))+LEN(SUBSTITUTE(MID(W824&amp;W824,WEEKDAY(('_Dates'!Y824),2),MOD(((MIN('_Dates'!Z824,Settings!$B$9))-('_Dates'!Y824)+1),7)),"O",""))-COUNTIFS(INDEX(AllClosureRows,C824,0),"&gt;="&amp;('_Dates'!Y824),INDEX(AllClosureRows,C824,0),"&lt;="&amp;(MIN('_Dates'!Z824,Settings!$B$9))))))</ns0:f>
        <ns0:v>0</ns0:v>
      </ns0:c>
      <ns0:c r="I824" s="0">
        <ns0:f>MAX(0,G824-H824)</ns0:f>
        <ns0:v>0</ns0:v>
      </ns0:c>
      <ns0:c r="J824" s="0">
        <ns0:f>IF(OR(A824=0,F824&lt;&gt;"OK",Bookings!G824="Cancelled",$B$6&gt;0),0,IF('_Dates'!AC824=1,MAX(0,COUNTIFS(rngEngine_B,B824,rngAMStart,"&lt;="&amp;'_Dates'!X824,rngAMEnd,"&gt;="&amp;'_Dates'!W824,rngAMActive,1,rngEngine_F,"OK",rngBookings_F,"&lt;&gt;Cancelled")-1),0)+IF('_Dates'!AD824=1,MAX(0,COUNTIFS(rngEngine_B,B824,rngPMStart,"&lt;="&amp;'_Dates'!Z824,rngPMEnd,"&gt;="&amp;'_Dates'!Y824,rngPMActive,1,rngEngine_F,"OK",rngBookings_F,"&lt;&gt;Cancelled")-1),0))</ns0:f>
        <ns0:v>0</ns0:v>
      </ns0:c>
      <ns0:c r="K824" s="0" t="str">
        <ns0:f>IF(A824=0,"",IF(F824&lt;&gt;"OK",F824,IF(J824&gt;0,"CHECK overlapping entry",IF(AND($B$6=0,G824&lt;=0,Bookings!G824&lt;&gt;"Cancelled"),"CHECK no working days",IF(Bookings!G824="Cancelled","Cancelled","OK")))))</ns0:f>
        <ns0:v/>
      </ns0:c>
      <ns0:c r="L824" s="0">
        <ns0:f>IF(LEFT(K824,5)="CHECK",1,0)</ns0:f>
        <ns0:v>0</ns0:v>
      </ns0:c>
      <ns0:c r="M824" s="0">
        <ns0:f>IF(AND(L824=1,OR(C824=0,IFERROR(INDEX($X$11:$X$60,C824),0)=0)),1,0)</ns0:f>
        <ns0:v>0</ns0:v>
      </ns0:c>
      <ns0:c r="N824" s="0">
        <ns0:f>IF(OR(A824=0,L824&gt;0,$B$6&gt;0,Bookings!G824="Cancelled"),0,G824)</ns0:f>
        <ns0:v>0</ns0:v>
      </ns0:c>
      <ns0:c r="O824" s="0">
        <ns0:f>IF(AND(Bookings!G824="Approved",E824="Yes"),N824,0)</ns0:f>
        <ns0:v>0</ns0:v>
      </ns0:c>
      <ns0:c r="P824" s="0">
        <ns0:f>IF(AND(Bookings!G824="Approved",E824="Yes",L824=0,$B$6=0),H824,0)</ns0:f>
        <ns0:v>0</ns0:v>
      </ns0:c>
      <ns0:c r="Q824" s="0">
        <ns0:f>IF(AND(Bookings!G824="Approved",E824="Yes",L824=0,$B$6=0),I824,0)</ns0:f>
        <ns0:v>0</ns0:v>
      </ns0:c>
      <ns0:c r="R824" s="0">
        <ns0:f>IF(AND(Bookings!G824="Pending",E824="Yes"),N824,0)</ns0:f>
        <ns0:v>0</ns0:v>
      </ns0:c>
      <ns0:c r="S824" s="0">
        <ns0:f>IF(AND(Bookings!G824="Approved",E824="No"),N824,0)</ns0:f>
        <ns0:v>0</ns0:v>
      </ns0:c>
      <ns0:c r="T824" s="0">
        <ns0:f>IFERROR(MATCH(D824,Settings!$G$7:$G$11,0),0)</ns0:f>
        <ns0:v>0</ns0:v>
      </ns0:c>
      <ns0:c r="U824" s="0">
        <ns0:f>IF(N824&gt;0,T824+IF(Bookings!G824="Pending",10,0),0)</ns0:f>
        <ns0:v>0</ns0:v>
      </ns0:c>
      <ns0:c r="V824" s="0">
        <ns0:f>U824</ns0:f>
        <ns0:v>0</ns0:v>
      </ns0:c>
      <ns0:c r="W824" s="0" t="str">
        <ns0:f>IF(C824=0,"",INDEX($AP$11:$AP$60,C824))</ns0:f>
        <ns0:v/>
      </ns0:c>
    </ns0:row>
    <ns0:row r="825">
      <ns0:c r="A825" s="0">
        <ns0:f>IF(COUNTA(Bookings!A825:G825,Bookings!I825)=0,0,1)</ns0:f>
        <ns0:v>0</ns0:v>
      </ns0:c>
      <ns0:c r="B825" s="0" t="str">
        <ns0:f>IFERROR(TRIM(MID(Bookings!A825,FIND(" · ",Bookings!A825)+3,99)),"")</ns0:f>
        <ns0:v/>
      </ns0:c>
      <ns0:c r="C825" s="0">
        <ns0:f>IF(OR(B825="",LEN(B825)&gt;24,ISNUMBER(FIND(" ",B825)),ISNUMBER(FIND("*",B825)),ISNUMBER(FIND("?",B825)),ISNUMBER(FIND("~",B825))),0,IFERROR(MATCH(B825,Team!$A$11:$A$60,0),0))</ns0:f>
        <ns0:v>0</ns0:v>
      </ns0:c>
      <ns0:c r="D825" s="0" t="str">
        <ns0:f>IFERROR(IF(MID(Bookings!F825,LEN(Bookings!F825)-3,3)=" · ",RIGHT(Bookings!F825,1),""),"")</ns0:f>
        <ns0:v/>
      </ns0:c>
      <ns0:c r="E825" s="0" t="str">
        <ns0:f>IFERROR(INDEX(Settings!$H$7:$H$11,MATCH(D825,Settings!$G$7:$G$11,0)),"")</ns0:f>
        <ns0:v/>
      </ns0:c>
      <ns0:c r="F825" s="0" t="str">
        <ns0:f>IF(A825=0,"",IFERROR(IF(OR(B825="",C825=0),"CHECK employee selection",IF(INDEX(Team!$O$11:$O$60,C825)&lt;&gt;"OK","CHECK employee setup",IF(OR('_Dates'!J825=0,'_Dates'!T825=0),"CHECK date: use DD.MM.YYYY",IF('_Dates'!T825&lt;'_Dates'!J825,"CHECK end before start",IF(AND($B$6=0,OR('_Dates'!J825&lt;Settings!$B$7,'_Dates'!T825&gt;Settings!$B$8)),"CHECK split across leave years",IF(OR(NOT(OR('_Dates'!U825="Full day",'_Dates'!U825="AM",'_Dates'!U825="PM")),NOT(OR('_Dates'!V825="Full day",'_Dates'!V825="AM",'_Dates'!V825="PM"))),"CHECK Full day / AM / PM",IF(AND('_Dates'!J825='_Dates'!T825,'_Dates'!U825&lt;&gt;"Full day",'_Dates'!V825&lt;&gt;"Full day",'_Dates'!U825&lt;&gt;'_Dates'!V825),"CHECK same-day portions disagree",IF(AND($B$6=0,OR(AND('_Dates'!U825&lt;&gt;"Full day",'_Dates'!AA825=0),AND('_Dates'!V825&lt;&gt;"Full day",'_Dates'!AB825=0))),"CHECK half-day on non-working date",IF(COUNTIF(Settings!$G$7:$G$11,D825)&lt;&gt;1,"CHECK leave type",IF(AND(Bookings!G825&lt;&gt;"Approved",Bookings!G825&lt;&gt;"Pending",Bookings!G825&lt;&gt;"Cancelled"),"CHECK status","OK")))))))))),"CHECK input"))</ns0:f>
        <ns0:v/>
      </ns0:c>
      <ns0:c r="G825" s="0">
        <ns0:f>IF(OR(F825&lt;&gt;"OK",$B$6&gt;0),0,0.5*(IF(('_Dates'!X825)&lt;('_Dates'!W825),0,INT((('_Dates'!X825)-('_Dates'!W825)+1)/7)*LEN(SUBSTITUTE(W825,"O",""))+LEN(SUBSTITUTE(MID(W825&amp;W825,WEEKDAY(('_Dates'!W825),2),MOD((('_Dates'!X825)-('_Dates'!W825)+1),7)),"O",""))-COUNTIFS(INDEX(AllClosureRows,C825,0),"&gt;="&amp;('_Dates'!W825),INDEX(AllClosureRows,C825,0),"&lt;="&amp;('_Dates'!X825)))+IF(('_Dates'!Z825)&lt;('_Dates'!Y825),0,INT((('_Dates'!Z825)-('_Dates'!Y825)+1)/7)*LEN(SUBSTITUTE(W825,"O",""))+LEN(SUBSTITUTE(MID(W825&amp;W825,WEEKDAY(('_Dates'!Y825),2),MOD((('_Dates'!Z825)-('_Dates'!Y825)+1),7)),"O",""))-COUNTIFS(INDEX(AllClosureRows,C825,0),"&gt;="&amp;('_Dates'!Y825),INDEX(AllClosureRows,C825,0),"&lt;="&amp;('_Dates'!Z825)))))</ns0:f>
        <ns0:v>0</ns0:v>
      </ns0:c>
      <ns0:c r="H825" s="0">
        <ns0:f>IF(OR(F825&lt;&gt;"OK",$B$6&gt;0),0,0.5*(IF((MIN('_Dates'!X825,Settings!$B$9))&lt;('_Dates'!W825),0,INT(((MIN('_Dates'!X825,Settings!$B$9))-('_Dates'!W825)+1)/7)*LEN(SUBSTITUTE(W825,"O",""))+LEN(SUBSTITUTE(MID(W825&amp;W825,WEEKDAY(('_Dates'!W825),2),MOD(((MIN('_Dates'!X825,Settings!$B$9))-('_Dates'!W825)+1),7)),"O",""))-COUNTIFS(INDEX(AllClosureRows,C825,0),"&gt;="&amp;('_Dates'!W825),INDEX(AllClosureRows,C825,0),"&lt;="&amp;(MIN('_Dates'!X825,Settings!$B$9))))+IF((MIN('_Dates'!Z825,Settings!$B$9))&lt;('_Dates'!Y825),0,INT(((MIN('_Dates'!Z825,Settings!$B$9))-('_Dates'!Y825)+1)/7)*LEN(SUBSTITUTE(W825,"O",""))+LEN(SUBSTITUTE(MID(W825&amp;W825,WEEKDAY(('_Dates'!Y825),2),MOD(((MIN('_Dates'!Z825,Settings!$B$9))-('_Dates'!Y825)+1),7)),"O",""))-COUNTIFS(INDEX(AllClosureRows,C825,0),"&gt;="&amp;('_Dates'!Y825),INDEX(AllClosureRows,C825,0),"&lt;="&amp;(MIN('_Dates'!Z825,Settings!$B$9))))))</ns0:f>
        <ns0:v>0</ns0:v>
      </ns0:c>
      <ns0:c r="I825" s="0">
        <ns0:f>MAX(0,G825-H825)</ns0:f>
        <ns0:v>0</ns0:v>
      </ns0:c>
      <ns0:c r="J825" s="0">
        <ns0:f>IF(OR(A825=0,F825&lt;&gt;"OK",Bookings!G825="Cancelled",$B$6&gt;0),0,IF('_Dates'!AC825=1,MAX(0,COUNTIFS(rngEngine_B,B825,rngAMStart,"&lt;="&amp;'_Dates'!X825,rngAMEnd,"&gt;="&amp;'_Dates'!W825,rngAMActive,1,rngEngine_F,"OK",rngBookings_F,"&lt;&gt;Cancelled")-1),0)+IF('_Dates'!AD825=1,MAX(0,COUNTIFS(rngEngine_B,B825,rngPMStart,"&lt;="&amp;'_Dates'!Z825,rngPMEnd,"&gt;="&amp;'_Dates'!Y825,rngPMActive,1,rngEngine_F,"OK",rngBookings_F,"&lt;&gt;Cancelled")-1),0))</ns0:f>
        <ns0:v>0</ns0:v>
      </ns0:c>
      <ns0:c r="K825" s="0" t="str">
        <ns0:f>IF(A825=0,"",IF(F825&lt;&gt;"OK",F825,IF(J825&gt;0,"CHECK overlapping entry",IF(AND($B$6=0,G825&lt;=0,Bookings!G825&lt;&gt;"Cancelled"),"CHECK no working days",IF(Bookings!G825="Cancelled","Cancelled","OK")))))</ns0:f>
        <ns0:v/>
      </ns0:c>
      <ns0:c r="L825" s="0">
        <ns0:f>IF(LEFT(K825,5)="CHECK",1,0)</ns0:f>
        <ns0:v>0</ns0:v>
      </ns0:c>
      <ns0:c r="M825" s="0">
        <ns0:f>IF(AND(L825=1,OR(C825=0,IFERROR(INDEX($X$11:$X$60,C825),0)=0)),1,0)</ns0:f>
        <ns0:v>0</ns0:v>
      </ns0:c>
      <ns0:c r="N825" s="0">
        <ns0:f>IF(OR(A825=0,L825&gt;0,$B$6&gt;0,Bookings!G825="Cancelled"),0,G825)</ns0:f>
        <ns0:v>0</ns0:v>
      </ns0:c>
      <ns0:c r="O825" s="0">
        <ns0:f>IF(AND(Bookings!G825="Approved",E825="Yes"),N825,0)</ns0:f>
        <ns0:v>0</ns0:v>
      </ns0:c>
      <ns0:c r="P825" s="0">
        <ns0:f>IF(AND(Bookings!G825="Approved",E825="Yes",L825=0,$B$6=0),H825,0)</ns0:f>
        <ns0:v>0</ns0:v>
      </ns0:c>
      <ns0:c r="Q825" s="0">
        <ns0:f>IF(AND(Bookings!G825="Approved",E825="Yes",L825=0,$B$6=0),I825,0)</ns0:f>
        <ns0:v>0</ns0:v>
      </ns0:c>
      <ns0:c r="R825" s="0">
        <ns0:f>IF(AND(Bookings!G825="Pending",E825="Yes"),N825,0)</ns0:f>
        <ns0:v>0</ns0:v>
      </ns0:c>
      <ns0:c r="S825" s="0">
        <ns0:f>IF(AND(Bookings!G825="Approved",E825="No"),N825,0)</ns0:f>
        <ns0:v>0</ns0:v>
      </ns0:c>
      <ns0:c r="T825" s="0">
        <ns0:f>IFERROR(MATCH(D825,Settings!$G$7:$G$11,0),0)</ns0:f>
        <ns0:v>0</ns0:v>
      </ns0:c>
      <ns0:c r="U825" s="0">
        <ns0:f>IF(N825&gt;0,T825+IF(Bookings!G825="Pending",10,0),0)</ns0:f>
        <ns0:v>0</ns0:v>
      </ns0:c>
      <ns0:c r="V825" s="0">
        <ns0:f>U825</ns0:f>
        <ns0:v>0</ns0:v>
      </ns0:c>
      <ns0:c r="W825" s="0" t="str">
        <ns0:f>IF(C825=0,"",INDEX($AP$11:$AP$60,C825))</ns0:f>
        <ns0:v/>
      </ns0:c>
    </ns0:row>
    <ns0:row r="826">
      <ns0:c r="A826" s="0">
        <ns0:f>IF(COUNTA(Bookings!A826:G826,Bookings!I826)=0,0,1)</ns0:f>
        <ns0:v>0</ns0:v>
      </ns0:c>
      <ns0:c r="B826" s="0" t="str">
        <ns0:f>IFERROR(TRIM(MID(Bookings!A826,FIND(" · ",Bookings!A826)+3,99)),"")</ns0:f>
        <ns0:v/>
      </ns0:c>
      <ns0:c r="C826" s="0">
        <ns0:f>IF(OR(B826="",LEN(B826)&gt;24,ISNUMBER(FIND(" ",B826)),ISNUMBER(FIND("*",B826)),ISNUMBER(FIND("?",B826)),ISNUMBER(FIND("~",B826))),0,IFERROR(MATCH(B826,Team!$A$11:$A$60,0),0))</ns0:f>
        <ns0:v>0</ns0:v>
      </ns0:c>
      <ns0:c r="D826" s="0" t="str">
        <ns0:f>IFERROR(IF(MID(Bookings!F826,LEN(Bookings!F826)-3,3)=" · ",RIGHT(Bookings!F826,1),""),"")</ns0:f>
        <ns0:v/>
      </ns0:c>
      <ns0:c r="E826" s="0" t="str">
        <ns0:f>IFERROR(INDEX(Settings!$H$7:$H$11,MATCH(D826,Settings!$G$7:$G$11,0)),"")</ns0:f>
        <ns0:v/>
      </ns0:c>
      <ns0:c r="F826" s="0" t="str">
        <ns0:f>IF(A826=0,"",IFERROR(IF(OR(B826="",C826=0),"CHECK employee selection",IF(INDEX(Team!$O$11:$O$60,C826)&lt;&gt;"OK","CHECK employee setup",IF(OR('_Dates'!J826=0,'_Dates'!T826=0),"CHECK date: use DD.MM.YYYY",IF('_Dates'!T826&lt;'_Dates'!J826,"CHECK end before start",IF(AND($B$6=0,OR('_Dates'!J826&lt;Settings!$B$7,'_Dates'!T826&gt;Settings!$B$8)),"CHECK split across leave years",IF(OR(NOT(OR('_Dates'!U826="Full day",'_Dates'!U826="AM",'_Dates'!U826="PM")),NOT(OR('_Dates'!V826="Full day",'_Dates'!V826="AM",'_Dates'!V826="PM"))),"CHECK Full day / AM / PM",IF(AND('_Dates'!J826='_Dates'!T826,'_Dates'!U826&lt;&gt;"Full day",'_Dates'!V826&lt;&gt;"Full day",'_Dates'!U826&lt;&gt;'_Dates'!V826),"CHECK same-day portions disagree",IF(AND($B$6=0,OR(AND('_Dates'!U826&lt;&gt;"Full day",'_Dates'!AA826=0),AND('_Dates'!V826&lt;&gt;"Full day",'_Dates'!AB826=0))),"CHECK half-day on non-working date",IF(COUNTIF(Settings!$G$7:$G$11,D826)&lt;&gt;1,"CHECK leave type",IF(AND(Bookings!G826&lt;&gt;"Approved",Bookings!G826&lt;&gt;"Pending",Bookings!G826&lt;&gt;"Cancelled"),"CHECK status","OK")))))))))),"CHECK input"))</ns0:f>
        <ns0:v/>
      </ns0:c>
      <ns0:c r="G826" s="0">
        <ns0:f>IF(OR(F826&lt;&gt;"OK",$B$6&gt;0),0,0.5*(IF(('_Dates'!X826)&lt;('_Dates'!W826),0,INT((('_Dates'!X826)-('_Dates'!W826)+1)/7)*LEN(SUBSTITUTE(W826,"O",""))+LEN(SUBSTITUTE(MID(W826&amp;W826,WEEKDAY(('_Dates'!W826),2),MOD((('_Dates'!X826)-('_Dates'!W826)+1),7)),"O",""))-COUNTIFS(INDEX(AllClosureRows,C826,0),"&gt;="&amp;('_Dates'!W826),INDEX(AllClosureRows,C826,0),"&lt;="&amp;('_Dates'!X826)))+IF(('_Dates'!Z826)&lt;('_Dates'!Y826),0,INT((('_Dates'!Z826)-('_Dates'!Y826)+1)/7)*LEN(SUBSTITUTE(W826,"O",""))+LEN(SUBSTITUTE(MID(W826&amp;W826,WEEKDAY(('_Dates'!Y826),2),MOD((('_Dates'!Z826)-('_Dates'!Y826)+1),7)),"O",""))-COUNTIFS(INDEX(AllClosureRows,C826,0),"&gt;="&amp;('_Dates'!Y826),INDEX(AllClosureRows,C826,0),"&lt;="&amp;('_Dates'!Z826)))))</ns0:f>
        <ns0:v>0</ns0:v>
      </ns0:c>
      <ns0:c r="H826" s="0">
        <ns0:f>IF(OR(F826&lt;&gt;"OK",$B$6&gt;0),0,0.5*(IF((MIN('_Dates'!X826,Settings!$B$9))&lt;('_Dates'!W826),0,INT(((MIN('_Dates'!X826,Settings!$B$9))-('_Dates'!W826)+1)/7)*LEN(SUBSTITUTE(W826,"O",""))+LEN(SUBSTITUTE(MID(W826&amp;W826,WEEKDAY(('_Dates'!W826),2),MOD(((MIN('_Dates'!X826,Settings!$B$9))-('_Dates'!W826)+1),7)),"O",""))-COUNTIFS(INDEX(AllClosureRows,C826,0),"&gt;="&amp;('_Dates'!W826),INDEX(AllClosureRows,C826,0),"&lt;="&amp;(MIN('_Dates'!X826,Settings!$B$9))))+IF((MIN('_Dates'!Z826,Settings!$B$9))&lt;('_Dates'!Y826),0,INT(((MIN('_Dates'!Z826,Settings!$B$9))-('_Dates'!Y826)+1)/7)*LEN(SUBSTITUTE(W826,"O",""))+LEN(SUBSTITUTE(MID(W826&amp;W826,WEEKDAY(('_Dates'!Y826),2),MOD(((MIN('_Dates'!Z826,Settings!$B$9))-('_Dates'!Y826)+1),7)),"O",""))-COUNTIFS(INDEX(AllClosureRows,C826,0),"&gt;="&amp;('_Dates'!Y826),INDEX(AllClosureRows,C826,0),"&lt;="&amp;(MIN('_Dates'!Z826,Settings!$B$9))))))</ns0:f>
        <ns0:v>0</ns0:v>
      </ns0:c>
      <ns0:c r="I826" s="0">
        <ns0:f>MAX(0,G826-H826)</ns0:f>
        <ns0:v>0</ns0:v>
      </ns0:c>
      <ns0:c r="J826" s="0">
        <ns0:f>IF(OR(A826=0,F826&lt;&gt;"OK",Bookings!G826="Cancelled",$B$6&gt;0),0,IF('_Dates'!AC826=1,MAX(0,COUNTIFS(rngEngine_B,B826,rngAMStart,"&lt;="&amp;'_Dates'!X826,rngAMEnd,"&gt;="&amp;'_Dates'!W826,rngAMActive,1,rngEngine_F,"OK",rngBookings_F,"&lt;&gt;Cancelled")-1),0)+IF('_Dates'!AD826=1,MAX(0,COUNTIFS(rngEngine_B,B826,rngPMStart,"&lt;="&amp;'_Dates'!Z826,rngPMEnd,"&gt;="&amp;'_Dates'!Y826,rngPMActive,1,rngEngine_F,"OK",rngBookings_F,"&lt;&gt;Cancelled")-1),0))</ns0:f>
        <ns0:v>0</ns0:v>
      </ns0:c>
      <ns0:c r="K826" s="0" t="str">
        <ns0:f>IF(A826=0,"",IF(F826&lt;&gt;"OK",F826,IF(J826&gt;0,"CHECK overlapping entry",IF(AND($B$6=0,G826&lt;=0,Bookings!G826&lt;&gt;"Cancelled"),"CHECK no working days",IF(Bookings!G826="Cancelled","Cancelled","OK")))))</ns0:f>
        <ns0:v/>
      </ns0:c>
      <ns0:c r="L826" s="0">
        <ns0:f>IF(LEFT(K826,5)="CHECK",1,0)</ns0:f>
        <ns0:v>0</ns0:v>
      </ns0:c>
      <ns0:c r="M826" s="0">
        <ns0:f>IF(AND(L826=1,OR(C826=0,IFERROR(INDEX($X$11:$X$60,C826),0)=0)),1,0)</ns0:f>
        <ns0:v>0</ns0:v>
      </ns0:c>
      <ns0:c r="N826" s="0">
        <ns0:f>IF(OR(A826=0,L826&gt;0,$B$6&gt;0,Bookings!G826="Cancelled"),0,G826)</ns0:f>
        <ns0:v>0</ns0:v>
      </ns0:c>
      <ns0:c r="O826" s="0">
        <ns0:f>IF(AND(Bookings!G826="Approved",E826="Yes"),N826,0)</ns0:f>
        <ns0:v>0</ns0:v>
      </ns0:c>
      <ns0:c r="P826" s="0">
        <ns0:f>IF(AND(Bookings!G826="Approved",E826="Yes",L826=0,$B$6=0),H826,0)</ns0:f>
        <ns0:v>0</ns0:v>
      </ns0:c>
      <ns0:c r="Q826" s="0">
        <ns0:f>IF(AND(Bookings!G826="Approved",E826="Yes",L826=0,$B$6=0),I826,0)</ns0:f>
        <ns0:v>0</ns0:v>
      </ns0:c>
      <ns0:c r="R826" s="0">
        <ns0:f>IF(AND(Bookings!G826="Pending",E826="Yes"),N826,0)</ns0:f>
        <ns0:v>0</ns0:v>
      </ns0:c>
      <ns0:c r="S826" s="0">
        <ns0:f>IF(AND(Bookings!G826="Approved",E826="No"),N826,0)</ns0:f>
        <ns0:v>0</ns0:v>
      </ns0:c>
      <ns0:c r="T826" s="0">
        <ns0:f>IFERROR(MATCH(D826,Settings!$G$7:$G$11,0),0)</ns0:f>
        <ns0:v>0</ns0:v>
      </ns0:c>
      <ns0:c r="U826" s="0">
        <ns0:f>IF(N826&gt;0,T826+IF(Bookings!G826="Pending",10,0),0)</ns0:f>
        <ns0:v>0</ns0:v>
      </ns0:c>
      <ns0:c r="V826" s="0">
        <ns0:f>U826</ns0:f>
        <ns0:v>0</ns0:v>
      </ns0:c>
      <ns0:c r="W826" s="0" t="str">
        <ns0:f>IF(C826=0,"",INDEX($AP$11:$AP$60,C826))</ns0:f>
        <ns0:v/>
      </ns0:c>
    </ns0:row>
    <ns0:row r="827">
      <ns0:c r="A827" s="0">
        <ns0:f>IF(COUNTA(Bookings!A827:G827,Bookings!I827)=0,0,1)</ns0:f>
        <ns0:v>0</ns0:v>
      </ns0:c>
      <ns0:c r="B827" s="0" t="str">
        <ns0:f>IFERROR(TRIM(MID(Bookings!A827,FIND(" · ",Bookings!A827)+3,99)),"")</ns0:f>
        <ns0:v/>
      </ns0:c>
      <ns0:c r="C827" s="0">
        <ns0:f>IF(OR(B827="",LEN(B827)&gt;24,ISNUMBER(FIND(" ",B827)),ISNUMBER(FIND("*",B827)),ISNUMBER(FIND("?",B827)),ISNUMBER(FIND("~",B827))),0,IFERROR(MATCH(B827,Team!$A$11:$A$60,0),0))</ns0:f>
        <ns0:v>0</ns0:v>
      </ns0:c>
      <ns0:c r="D827" s="0" t="str">
        <ns0:f>IFERROR(IF(MID(Bookings!F827,LEN(Bookings!F827)-3,3)=" · ",RIGHT(Bookings!F827,1),""),"")</ns0:f>
        <ns0:v/>
      </ns0:c>
      <ns0:c r="E827" s="0" t="str">
        <ns0:f>IFERROR(INDEX(Settings!$H$7:$H$11,MATCH(D827,Settings!$G$7:$G$11,0)),"")</ns0:f>
        <ns0:v/>
      </ns0:c>
      <ns0:c r="F827" s="0" t="str">
        <ns0:f>IF(A827=0,"",IFERROR(IF(OR(B827="",C827=0),"CHECK employee selection",IF(INDEX(Team!$O$11:$O$60,C827)&lt;&gt;"OK","CHECK employee setup",IF(OR('_Dates'!J827=0,'_Dates'!T827=0),"CHECK date: use DD.MM.YYYY",IF('_Dates'!T827&lt;'_Dates'!J827,"CHECK end before start",IF(AND($B$6=0,OR('_Dates'!J827&lt;Settings!$B$7,'_Dates'!T827&gt;Settings!$B$8)),"CHECK split across leave years",IF(OR(NOT(OR('_Dates'!U827="Full day",'_Dates'!U827="AM",'_Dates'!U827="PM")),NOT(OR('_Dates'!V827="Full day",'_Dates'!V827="AM",'_Dates'!V827="PM"))),"CHECK Full day / AM / PM",IF(AND('_Dates'!J827='_Dates'!T827,'_Dates'!U827&lt;&gt;"Full day",'_Dates'!V827&lt;&gt;"Full day",'_Dates'!U827&lt;&gt;'_Dates'!V827),"CHECK same-day portions disagree",IF(AND($B$6=0,OR(AND('_Dates'!U827&lt;&gt;"Full day",'_Dates'!AA827=0),AND('_Dates'!V827&lt;&gt;"Full day",'_Dates'!AB827=0))),"CHECK half-day on non-working date",IF(COUNTIF(Settings!$G$7:$G$11,D827)&lt;&gt;1,"CHECK leave type",IF(AND(Bookings!G827&lt;&gt;"Approved",Bookings!G827&lt;&gt;"Pending",Bookings!G827&lt;&gt;"Cancelled"),"CHECK status","OK")))))))))),"CHECK input"))</ns0:f>
        <ns0:v/>
      </ns0:c>
      <ns0:c r="G827" s="0">
        <ns0:f>IF(OR(F827&lt;&gt;"OK",$B$6&gt;0),0,0.5*(IF(('_Dates'!X827)&lt;('_Dates'!W827),0,INT((('_Dates'!X827)-('_Dates'!W827)+1)/7)*LEN(SUBSTITUTE(W827,"O",""))+LEN(SUBSTITUTE(MID(W827&amp;W827,WEEKDAY(('_Dates'!W827),2),MOD((('_Dates'!X827)-('_Dates'!W827)+1),7)),"O",""))-COUNTIFS(INDEX(AllClosureRows,C827,0),"&gt;="&amp;('_Dates'!W827),INDEX(AllClosureRows,C827,0),"&lt;="&amp;('_Dates'!X827)))+IF(('_Dates'!Z827)&lt;('_Dates'!Y827),0,INT((('_Dates'!Z827)-('_Dates'!Y827)+1)/7)*LEN(SUBSTITUTE(W827,"O",""))+LEN(SUBSTITUTE(MID(W827&amp;W827,WEEKDAY(('_Dates'!Y827),2),MOD((('_Dates'!Z827)-('_Dates'!Y827)+1),7)),"O",""))-COUNTIFS(INDEX(AllClosureRows,C827,0),"&gt;="&amp;('_Dates'!Y827),INDEX(AllClosureRows,C827,0),"&lt;="&amp;('_Dates'!Z827)))))</ns0:f>
        <ns0:v>0</ns0:v>
      </ns0:c>
      <ns0:c r="H827" s="0">
        <ns0:f>IF(OR(F827&lt;&gt;"OK",$B$6&gt;0),0,0.5*(IF((MIN('_Dates'!X827,Settings!$B$9))&lt;('_Dates'!W827),0,INT(((MIN('_Dates'!X827,Settings!$B$9))-('_Dates'!W827)+1)/7)*LEN(SUBSTITUTE(W827,"O",""))+LEN(SUBSTITUTE(MID(W827&amp;W827,WEEKDAY(('_Dates'!W827),2),MOD(((MIN('_Dates'!X827,Settings!$B$9))-('_Dates'!W827)+1),7)),"O",""))-COUNTIFS(INDEX(AllClosureRows,C827,0),"&gt;="&amp;('_Dates'!W827),INDEX(AllClosureRows,C827,0),"&lt;="&amp;(MIN('_Dates'!X827,Settings!$B$9))))+IF((MIN('_Dates'!Z827,Settings!$B$9))&lt;('_Dates'!Y827),0,INT(((MIN('_Dates'!Z827,Settings!$B$9))-('_Dates'!Y827)+1)/7)*LEN(SUBSTITUTE(W827,"O",""))+LEN(SUBSTITUTE(MID(W827&amp;W827,WEEKDAY(('_Dates'!Y827),2),MOD(((MIN('_Dates'!Z827,Settings!$B$9))-('_Dates'!Y827)+1),7)),"O",""))-COUNTIFS(INDEX(AllClosureRows,C827,0),"&gt;="&amp;('_Dates'!Y827),INDEX(AllClosureRows,C827,0),"&lt;="&amp;(MIN('_Dates'!Z827,Settings!$B$9))))))</ns0:f>
        <ns0:v>0</ns0:v>
      </ns0:c>
      <ns0:c r="I827" s="0">
        <ns0:f>MAX(0,G827-H827)</ns0:f>
        <ns0:v>0</ns0:v>
      </ns0:c>
      <ns0:c r="J827" s="0">
        <ns0:f>IF(OR(A827=0,F827&lt;&gt;"OK",Bookings!G827="Cancelled",$B$6&gt;0),0,IF('_Dates'!AC827=1,MAX(0,COUNTIFS(rngEngine_B,B827,rngAMStart,"&lt;="&amp;'_Dates'!X827,rngAMEnd,"&gt;="&amp;'_Dates'!W827,rngAMActive,1,rngEngine_F,"OK",rngBookings_F,"&lt;&gt;Cancelled")-1),0)+IF('_Dates'!AD827=1,MAX(0,COUNTIFS(rngEngine_B,B827,rngPMStart,"&lt;="&amp;'_Dates'!Z827,rngPMEnd,"&gt;="&amp;'_Dates'!Y827,rngPMActive,1,rngEngine_F,"OK",rngBookings_F,"&lt;&gt;Cancelled")-1),0))</ns0:f>
        <ns0:v>0</ns0:v>
      </ns0:c>
      <ns0:c r="K827" s="0" t="str">
        <ns0:f>IF(A827=0,"",IF(F827&lt;&gt;"OK",F827,IF(J827&gt;0,"CHECK overlapping entry",IF(AND($B$6=0,G827&lt;=0,Bookings!G827&lt;&gt;"Cancelled"),"CHECK no working days",IF(Bookings!G827="Cancelled","Cancelled","OK")))))</ns0:f>
        <ns0:v/>
      </ns0:c>
      <ns0:c r="L827" s="0">
        <ns0:f>IF(LEFT(K827,5)="CHECK",1,0)</ns0:f>
        <ns0:v>0</ns0:v>
      </ns0:c>
      <ns0:c r="M827" s="0">
        <ns0:f>IF(AND(L827=1,OR(C827=0,IFERROR(INDEX($X$11:$X$60,C827),0)=0)),1,0)</ns0:f>
        <ns0:v>0</ns0:v>
      </ns0:c>
      <ns0:c r="N827" s="0">
        <ns0:f>IF(OR(A827=0,L827&gt;0,$B$6&gt;0,Bookings!G827="Cancelled"),0,G827)</ns0:f>
        <ns0:v>0</ns0:v>
      </ns0:c>
      <ns0:c r="O827" s="0">
        <ns0:f>IF(AND(Bookings!G827="Approved",E827="Yes"),N827,0)</ns0:f>
        <ns0:v>0</ns0:v>
      </ns0:c>
      <ns0:c r="P827" s="0">
        <ns0:f>IF(AND(Bookings!G827="Approved",E827="Yes",L827=0,$B$6=0),H827,0)</ns0:f>
        <ns0:v>0</ns0:v>
      </ns0:c>
      <ns0:c r="Q827" s="0">
        <ns0:f>IF(AND(Bookings!G827="Approved",E827="Yes",L827=0,$B$6=0),I827,0)</ns0:f>
        <ns0:v>0</ns0:v>
      </ns0:c>
      <ns0:c r="R827" s="0">
        <ns0:f>IF(AND(Bookings!G827="Pending",E827="Yes"),N827,0)</ns0:f>
        <ns0:v>0</ns0:v>
      </ns0:c>
      <ns0:c r="S827" s="0">
        <ns0:f>IF(AND(Bookings!G827="Approved",E827="No"),N827,0)</ns0:f>
        <ns0:v>0</ns0:v>
      </ns0:c>
      <ns0:c r="T827" s="0">
        <ns0:f>IFERROR(MATCH(D827,Settings!$G$7:$G$11,0),0)</ns0:f>
        <ns0:v>0</ns0:v>
      </ns0:c>
      <ns0:c r="U827" s="0">
        <ns0:f>IF(N827&gt;0,T827+IF(Bookings!G827="Pending",10,0),0)</ns0:f>
        <ns0:v>0</ns0:v>
      </ns0:c>
      <ns0:c r="V827" s="0">
        <ns0:f>U827</ns0:f>
        <ns0:v>0</ns0:v>
      </ns0:c>
      <ns0:c r="W827" s="0" t="str">
        <ns0:f>IF(C827=0,"",INDEX($AP$11:$AP$60,C827))</ns0:f>
        <ns0:v/>
      </ns0:c>
    </ns0:row>
    <ns0:row r="828">
      <ns0:c r="A828" s="0">
        <ns0:f>IF(COUNTA(Bookings!A828:G828,Bookings!I828)=0,0,1)</ns0:f>
        <ns0:v>0</ns0:v>
      </ns0:c>
      <ns0:c r="B828" s="0" t="str">
        <ns0:f>IFERROR(TRIM(MID(Bookings!A828,FIND(" · ",Bookings!A828)+3,99)),"")</ns0:f>
        <ns0:v/>
      </ns0:c>
      <ns0:c r="C828" s="0">
        <ns0:f>IF(OR(B828="",LEN(B828)&gt;24,ISNUMBER(FIND(" ",B828)),ISNUMBER(FIND("*",B828)),ISNUMBER(FIND("?",B828)),ISNUMBER(FIND("~",B828))),0,IFERROR(MATCH(B828,Team!$A$11:$A$60,0),0))</ns0:f>
        <ns0:v>0</ns0:v>
      </ns0:c>
      <ns0:c r="D828" s="0" t="str">
        <ns0:f>IFERROR(IF(MID(Bookings!F828,LEN(Bookings!F828)-3,3)=" · ",RIGHT(Bookings!F828,1),""),"")</ns0:f>
        <ns0:v/>
      </ns0:c>
      <ns0:c r="E828" s="0" t="str">
        <ns0:f>IFERROR(INDEX(Settings!$H$7:$H$11,MATCH(D828,Settings!$G$7:$G$11,0)),"")</ns0:f>
        <ns0:v/>
      </ns0:c>
      <ns0:c r="F828" s="0" t="str">
        <ns0:f>IF(A828=0,"",IFERROR(IF(OR(B828="",C828=0),"CHECK employee selection",IF(INDEX(Team!$O$11:$O$60,C828)&lt;&gt;"OK","CHECK employee setup",IF(OR('_Dates'!J828=0,'_Dates'!T828=0),"CHECK date: use DD.MM.YYYY",IF('_Dates'!T828&lt;'_Dates'!J828,"CHECK end before start",IF(AND($B$6=0,OR('_Dates'!J828&lt;Settings!$B$7,'_Dates'!T828&gt;Settings!$B$8)),"CHECK split across leave years",IF(OR(NOT(OR('_Dates'!U828="Full day",'_Dates'!U828="AM",'_Dates'!U828="PM")),NOT(OR('_Dates'!V828="Full day",'_Dates'!V828="AM",'_Dates'!V828="PM"))),"CHECK Full day / AM / PM",IF(AND('_Dates'!J828='_Dates'!T828,'_Dates'!U828&lt;&gt;"Full day",'_Dates'!V828&lt;&gt;"Full day",'_Dates'!U828&lt;&gt;'_Dates'!V828),"CHECK same-day portions disagree",IF(AND($B$6=0,OR(AND('_Dates'!U828&lt;&gt;"Full day",'_Dates'!AA828=0),AND('_Dates'!V828&lt;&gt;"Full day",'_Dates'!AB828=0))),"CHECK half-day on non-working date",IF(COUNTIF(Settings!$G$7:$G$11,D828)&lt;&gt;1,"CHECK leave type",IF(AND(Bookings!G828&lt;&gt;"Approved",Bookings!G828&lt;&gt;"Pending",Bookings!G828&lt;&gt;"Cancelled"),"CHECK status","OK")))))))))),"CHECK input"))</ns0:f>
        <ns0:v/>
      </ns0:c>
      <ns0:c r="G828" s="0">
        <ns0:f>IF(OR(F828&lt;&gt;"OK",$B$6&gt;0),0,0.5*(IF(('_Dates'!X828)&lt;('_Dates'!W828),0,INT((('_Dates'!X828)-('_Dates'!W828)+1)/7)*LEN(SUBSTITUTE(W828,"O",""))+LEN(SUBSTITUTE(MID(W828&amp;W828,WEEKDAY(('_Dates'!W828),2),MOD((('_Dates'!X828)-('_Dates'!W828)+1),7)),"O",""))-COUNTIFS(INDEX(AllClosureRows,C828,0),"&gt;="&amp;('_Dates'!W828),INDEX(AllClosureRows,C828,0),"&lt;="&amp;('_Dates'!X828)))+IF(('_Dates'!Z828)&lt;('_Dates'!Y828),0,INT((('_Dates'!Z828)-('_Dates'!Y828)+1)/7)*LEN(SUBSTITUTE(W828,"O",""))+LEN(SUBSTITUTE(MID(W828&amp;W828,WEEKDAY(('_Dates'!Y828),2),MOD((('_Dates'!Z828)-('_Dates'!Y828)+1),7)),"O",""))-COUNTIFS(INDEX(AllClosureRows,C828,0),"&gt;="&amp;('_Dates'!Y828),INDEX(AllClosureRows,C828,0),"&lt;="&amp;('_Dates'!Z828)))))</ns0:f>
        <ns0:v>0</ns0:v>
      </ns0:c>
      <ns0:c r="H828" s="0">
        <ns0:f>IF(OR(F828&lt;&gt;"OK",$B$6&gt;0),0,0.5*(IF((MIN('_Dates'!X828,Settings!$B$9))&lt;('_Dates'!W828),0,INT(((MIN('_Dates'!X828,Settings!$B$9))-('_Dates'!W828)+1)/7)*LEN(SUBSTITUTE(W828,"O",""))+LEN(SUBSTITUTE(MID(W828&amp;W828,WEEKDAY(('_Dates'!W828),2),MOD(((MIN('_Dates'!X828,Settings!$B$9))-('_Dates'!W828)+1),7)),"O",""))-COUNTIFS(INDEX(AllClosureRows,C828,0),"&gt;="&amp;('_Dates'!W828),INDEX(AllClosureRows,C828,0),"&lt;="&amp;(MIN('_Dates'!X828,Settings!$B$9))))+IF((MIN('_Dates'!Z828,Settings!$B$9))&lt;('_Dates'!Y828),0,INT(((MIN('_Dates'!Z828,Settings!$B$9))-('_Dates'!Y828)+1)/7)*LEN(SUBSTITUTE(W828,"O",""))+LEN(SUBSTITUTE(MID(W828&amp;W828,WEEKDAY(('_Dates'!Y828),2),MOD(((MIN('_Dates'!Z828,Settings!$B$9))-('_Dates'!Y828)+1),7)),"O",""))-COUNTIFS(INDEX(AllClosureRows,C828,0),"&gt;="&amp;('_Dates'!Y828),INDEX(AllClosureRows,C828,0),"&lt;="&amp;(MIN('_Dates'!Z828,Settings!$B$9))))))</ns0:f>
        <ns0:v>0</ns0:v>
      </ns0:c>
      <ns0:c r="I828" s="0">
        <ns0:f>MAX(0,G828-H828)</ns0:f>
        <ns0:v>0</ns0:v>
      </ns0:c>
      <ns0:c r="J828" s="0">
        <ns0:f>IF(OR(A828=0,F828&lt;&gt;"OK",Bookings!G828="Cancelled",$B$6&gt;0),0,IF('_Dates'!AC828=1,MAX(0,COUNTIFS(rngEngine_B,B828,rngAMStart,"&lt;="&amp;'_Dates'!X828,rngAMEnd,"&gt;="&amp;'_Dates'!W828,rngAMActive,1,rngEngine_F,"OK",rngBookings_F,"&lt;&gt;Cancelled")-1),0)+IF('_Dates'!AD828=1,MAX(0,COUNTIFS(rngEngine_B,B828,rngPMStart,"&lt;="&amp;'_Dates'!Z828,rngPMEnd,"&gt;="&amp;'_Dates'!Y828,rngPMActive,1,rngEngine_F,"OK",rngBookings_F,"&lt;&gt;Cancelled")-1),0))</ns0:f>
        <ns0:v>0</ns0:v>
      </ns0:c>
      <ns0:c r="K828" s="0" t="str">
        <ns0:f>IF(A828=0,"",IF(F828&lt;&gt;"OK",F828,IF(J828&gt;0,"CHECK overlapping entry",IF(AND($B$6=0,G828&lt;=0,Bookings!G828&lt;&gt;"Cancelled"),"CHECK no working days",IF(Bookings!G828="Cancelled","Cancelled","OK")))))</ns0:f>
        <ns0:v/>
      </ns0:c>
      <ns0:c r="L828" s="0">
        <ns0:f>IF(LEFT(K828,5)="CHECK",1,0)</ns0:f>
        <ns0:v>0</ns0:v>
      </ns0:c>
      <ns0:c r="M828" s="0">
        <ns0:f>IF(AND(L828=1,OR(C828=0,IFERROR(INDEX($X$11:$X$60,C828),0)=0)),1,0)</ns0:f>
        <ns0:v>0</ns0:v>
      </ns0:c>
      <ns0:c r="N828" s="0">
        <ns0:f>IF(OR(A828=0,L828&gt;0,$B$6&gt;0,Bookings!G828="Cancelled"),0,G828)</ns0:f>
        <ns0:v>0</ns0:v>
      </ns0:c>
      <ns0:c r="O828" s="0">
        <ns0:f>IF(AND(Bookings!G828="Approved",E828="Yes"),N828,0)</ns0:f>
        <ns0:v>0</ns0:v>
      </ns0:c>
      <ns0:c r="P828" s="0">
        <ns0:f>IF(AND(Bookings!G828="Approved",E828="Yes",L828=0,$B$6=0),H828,0)</ns0:f>
        <ns0:v>0</ns0:v>
      </ns0:c>
      <ns0:c r="Q828" s="0">
        <ns0:f>IF(AND(Bookings!G828="Approved",E828="Yes",L828=0,$B$6=0),I828,0)</ns0:f>
        <ns0:v>0</ns0:v>
      </ns0:c>
      <ns0:c r="R828" s="0">
        <ns0:f>IF(AND(Bookings!G828="Pending",E828="Yes"),N828,0)</ns0:f>
        <ns0:v>0</ns0:v>
      </ns0:c>
      <ns0:c r="S828" s="0">
        <ns0:f>IF(AND(Bookings!G828="Approved",E828="No"),N828,0)</ns0:f>
        <ns0:v>0</ns0:v>
      </ns0:c>
      <ns0:c r="T828" s="0">
        <ns0:f>IFERROR(MATCH(D828,Settings!$G$7:$G$11,0),0)</ns0:f>
        <ns0:v>0</ns0:v>
      </ns0:c>
      <ns0:c r="U828" s="0">
        <ns0:f>IF(N828&gt;0,T828+IF(Bookings!G828="Pending",10,0),0)</ns0:f>
        <ns0:v>0</ns0:v>
      </ns0:c>
      <ns0:c r="V828" s="0">
        <ns0:f>U828</ns0:f>
        <ns0:v>0</ns0:v>
      </ns0:c>
      <ns0:c r="W828" s="0" t="str">
        <ns0:f>IF(C828=0,"",INDEX($AP$11:$AP$60,C828))</ns0:f>
        <ns0:v/>
      </ns0:c>
    </ns0:row>
    <ns0:row r="829">
      <ns0:c r="A829" s="0">
        <ns0:f>IF(COUNTA(Bookings!A829:G829,Bookings!I829)=0,0,1)</ns0:f>
        <ns0:v>0</ns0:v>
      </ns0:c>
      <ns0:c r="B829" s="0" t="str">
        <ns0:f>IFERROR(TRIM(MID(Bookings!A829,FIND(" · ",Bookings!A829)+3,99)),"")</ns0:f>
        <ns0:v/>
      </ns0:c>
      <ns0:c r="C829" s="0">
        <ns0:f>IF(OR(B829="",LEN(B829)&gt;24,ISNUMBER(FIND(" ",B829)),ISNUMBER(FIND("*",B829)),ISNUMBER(FIND("?",B829)),ISNUMBER(FIND("~",B829))),0,IFERROR(MATCH(B829,Team!$A$11:$A$60,0),0))</ns0:f>
        <ns0:v>0</ns0:v>
      </ns0:c>
      <ns0:c r="D829" s="0" t="str">
        <ns0:f>IFERROR(IF(MID(Bookings!F829,LEN(Bookings!F829)-3,3)=" · ",RIGHT(Bookings!F829,1),""),"")</ns0:f>
        <ns0:v/>
      </ns0:c>
      <ns0:c r="E829" s="0" t="str">
        <ns0:f>IFERROR(INDEX(Settings!$H$7:$H$11,MATCH(D829,Settings!$G$7:$G$11,0)),"")</ns0:f>
        <ns0:v/>
      </ns0:c>
      <ns0:c r="F829" s="0" t="str">
        <ns0:f>IF(A829=0,"",IFERROR(IF(OR(B829="",C829=0),"CHECK employee selection",IF(INDEX(Team!$O$11:$O$60,C829)&lt;&gt;"OK","CHECK employee setup",IF(OR('_Dates'!J829=0,'_Dates'!T829=0),"CHECK date: use DD.MM.YYYY",IF('_Dates'!T829&lt;'_Dates'!J829,"CHECK end before start",IF(AND($B$6=0,OR('_Dates'!J829&lt;Settings!$B$7,'_Dates'!T829&gt;Settings!$B$8)),"CHECK split across leave years",IF(OR(NOT(OR('_Dates'!U829="Full day",'_Dates'!U829="AM",'_Dates'!U829="PM")),NOT(OR('_Dates'!V829="Full day",'_Dates'!V829="AM",'_Dates'!V829="PM"))),"CHECK Full day / AM / PM",IF(AND('_Dates'!J829='_Dates'!T829,'_Dates'!U829&lt;&gt;"Full day",'_Dates'!V829&lt;&gt;"Full day",'_Dates'!U829&lt;&gt;'_Dates'!V829),"CHECK same-day portions disagree",IF(AND($B$6=0,OR(AND('_Dates'!U829&lt;&gt;"Full day",'_Dates'!AA829=0),AND('_Dates'!V829&lt;&gt;"Full day",'_Dates'!AB829=0))),"CHECK half-day on non-working date",IF(COUNTIF(Settings!$G$7:$G$11,D829)&lt;&gt;1,"CHECK leave type",IF(AND(Bookings!G829&lt;&gt;"Approved",Bookings!G829&lt;&gt;"Pending",Bookings!G829&lt;&gt;"Cancelled"),"CHECK status","OK")))))))))),"CHECK input"))</ns0:f>
        <ns0:v/>
      </ns0:c>
      <ns0:c r="G829" s="0">
        <ns0:f>IF(OR(F829&lt;&gt;"OK",$B$6&gt;0),0,0.5*(IF(('_Dates'!X829)&lt;('_Dates'!W829),0,INT((('_Dates'!X829)-('_Dates'!W829)+1)/7)*LEN(SUBSTITUTE(W829,"O",""))+LEN(SUBSTITUTE(MID(W829&amp;W829,WEEKDAY(('_Dates'!W829),2),MOD((('_Dates'!X829)-('_Dates'!W829)+1),7)),"O",""))-COUNTIFS(INDEX(AllClosureRows,C829,0),"&gt;="&amp;('_Dates'!W829),INDEX(AllClosureRows,C829,0),"&lt;="&amp;('_Dates'!X829)))+IF(('_Dates'!Z829)&lt;('_Dates'!Y829),0,INT((('_Dates'!Z829)-('_Dates'!Y829)+1)/7)*LEN(SUBSTITUTE(W829,"O",""))+LEN(SUBSTITUTE(MID(W829&amp;W829,WEEKDAY(('_Dates'!Y829),2),MOD((('_Dates'!Z829)-('_Dates'!Y829)+1),7)),"O",""))-COUNTIFS(INDEX(AllClosureRows,C829,0),"&gt;="&amp;('_Dates'!Y829),INDEX(AllClosureRows,C829,0),"&lt;="&amp;('_Dates'!Z829)))))</ns0:f>
        <ns0:v>0</ns0:v>
      </ns0:c>
      <ns0:c r="H829" s="0">
        <ns0:f>IF(OR(F829&lt;&gt;"OK",$B$6&gt;0),0,0.5*(IF((MIN('_Dates'!X829,Settings!$B$9))&lt;('_Dates'!W829),0,INT(((MIN('_Dates'!X829,Settings!$B$9))-('_Dates'!W829)+1)/7)*LEN(SUBSTITUTE(W829,"O",""))+LEN(SUBSTITUTE(MID(W829&amp;W829,WEEKDAY(('_Dates'!W829),2),MOD(((MIN('_Dates'!X829,Settings!$B$9))-('_Dates'!W829)+1),7)),"O",""))-COUNTIFS(INDEX(AllClosureRows,C829,0),"&gt;="&amp;('_Dates'!W829),INDEX(AllClosureRows,C829,0),"&lt;="&amp;(MIN('_Dates'!X829,Settings!$B$9))))+IF((MIN('_Dates'!Z829,Settings!$B$9))&lt;('_Dates'!Y829),0,INT(((MIN('_Dates'!Z829,Settings!$B$9))-('_Dates'!Y829)+1)/7)*LEN(SUBSTITUTE(W829,"O",""))+LEN(SUBSTITUTE(MID(W829&amp;W829,WEEKDAY(('_Dates'!Y829),2),MOD(((MIN('_Dates'!Z829,Settings!$B$9))-('_Dates'!Y829)+1),7)),"O",""))-COUNTIFS(INDEX(AllClosureRows,C829,0),"&gt;="&amp;('_Dates'!Y829),INDEX(AllClosureRows,C829,0),"&lt;="&amp;(MIN('_Dates'!Z829,Settings!$B$9))))))</ns0:f>
        <ns0:v>0</ns0:v>
      </ns0:c>
      <ns0:c r="I829" s="0">
        <ns0:f>MAX(0,G829-H829)</ns0:f>
        <ns0:v>0</ns0:v>
      </ns0:c>
      <ns0:c r="J829" s="0">
        <ns0:f>IF(OR(A829=0,F829&lt;&gt;"OK",Bookings!G829="Cancelled",$B$6&gt;0),0,IF('_Dates'!AC829=1,MAX(0,COUNTIFS(rngEngine_B,B829,rngAMStart,"&lt;="&amp;'_Dates'!X829,rngAMEnd,"&gt;="&amp;'_Dates'!W829,rngAMActive,1,rngEngine_F,"OK",rngBookings_F,"&lt;&gt;Cancelled")-1),0)+IF('_Dates'!AD829=1,MAX(0,COUNTIFS(rngEngine_B,B829,rngPMStart,"&lt;="&amp;'_Dates'!Z829,rngPMEnd,"&gt;="&amp;'_Dates'!Y829,rngPMActive,1,rngEngine_F,"OK",rngBookings_F,"&lt;&gt;Cancelled")-1),0))</ns0:f>
        <ns0:v>0</ns0:v>
      </ns0:c>
      <ns0:c r="K829" s="0" t="str">
        <ns0:f>IF(A829=0,"",IF(F829&lt;&gt;"OK",F829,IF(J829&gt;0,"CHECK overlapping entry",IF(AND($B$6=0,G829&lt;=0,Bookings!G829&lt;&gt;"Cancelled"),"CHECK no working days",IF(Bookings!G829="Cancelled","Cancelled","OK")))))</ns0:f>
        <ns0:v/>
      </ns0:c>
      <ns0:c r="L829" s="0">
        <ns0:f>IF(LEFT(K829,5)="CHECK",1,0)</ns0:f>
        <ns0:v>0</ns0:v>
      </ns0:c>
      <ns0:c r="M829" s="0">
        <ns0:f>IF(AND(L829=1,OR(C829=0,IFERROR(INDEX($X$11:$X$60,C829),0)=0)),1,0)</ns0:f>
        <ns0:v>0</ns0:v>
      </ns0:c>
      <ns0:c r="N829" s="0">
        <ns0:f>IF(OR(A829=0,L829&gt;0,$B$6&gt;0,Bookings!G829="Cancelled"),0,G829)</ns0:f>
        <ns0:v>0</ns0:v>
      </ns0:c>
      <ns0:c r="O829" s="0">
        <ns0:f>IF(AND(Bookings!G829="Approved",E829="Yes"),N829,0)</ns0:f>
        <ns0:v>0</ns0:v>
      </ns0:c>
      <ns0:c r="P829" s="0">
        <ns0:f>IF(AND(Bookings!G829="Approved",E829="Yes",L829=0,$B$6=0),H829,0)</ns0:f>
        <ns0:v>0</ns0:v>
      </ns0:c>
      <ns0:c r="Q829" s="0">
        <ns0:f>IF(AND(Bookings!G829="Approved",E829="Yes",L829=0,$B$6=0),I829,0)</ns0:f>
        <ns0:v>0</ns0:v>
      </ns0:c>
      <ns0:c r="R829" s="0">
        <ns0:f>IF(AND(Bookings!G829="Pending",E829="Yes"),N829,0)</ns0:f>
        <ns0:v>0</ns0:v>
      </ns0:c>
      <ns0:c r="S829" s="0">
        <ns0:f>IF(AND(Bookings!G829="Approved",E829="No"),N829,0)</ns0:f>
        <ns0:v>0</ns0:v>
      </ns0:c>
      <ns0:c r="T829" s="0">
        <ns0:f>IFERROR(MATCH(D829,Settings!$G$7:$G$11,0),0)</ns0:f>
        <ns0:v>0</ns0:v>
      </ns0:c>
      <ns0:c r="U829" s="0">
        <ns0:f>IF(N829&gt;0,T829+IF(Bookings!G829="Pending",10,0),0)</ns0:f>
        <ns0:v>0</ns0:v>
      </ns0:c>
      <ns0:c r="V829" s="0">
        <ns0:f>U829</ns0:f>
        <ns0:v>0</ns0:v>
      </ns0:c>
      <ns0:c r="W829" s="0" t="str">
        <ns0:f>IF(C829=0,"",INDEX($AP$11:$AP$60,C829))</ns0:f>
        <ns0:v/>
      </ns0:c>
    </ns0:row>
    <ns0:row r="830">
      <ns0:c r="A830" s="0">
        <ns0:f>IF(COUNTA(Bookings!A830:G830,Bookings!I830)=0,0,1)</ns0:f>
        <ns0:v>0</ns0:v>
      </ns0:c>
      <ns0:c r="B830" s="0" t="str">
        <ns0:f>IFERROR(TRIM(MID(Bookings!A830,FIND(" · ",Bookings!A830)+3,99)),"")</ns0:f>
        <ns0:v/>
      </ns0:c>
      <ns0:c r="C830" s="0">
        <ns0:f>IF(OR(B830="",LEN(B830)&gt;24,ISNUMBER(FIND(" ",B830)),ISNUMBER(FIND("*",B830)),ISNUMBER(FIND("?",B830)),ISNUMBER(FIND("~",B830))),0,IFERROR(MATCH(B830,Team!$A$11:$A$60,0),0))</ns0:f>
        <ns0:v>0</ns0:v>
      </ns0:c>
      <ns0:c r="D830" s="0" t="str">
        <ns0:f>IFERROR(IF(MID(Bookings!F830,LEN(Bookings!F830)-3,3)=" · ",RIGHT(Bookings!F830,1),""),"")</ns0:f>
        <ns0:v/>
      </ns0:c>
      <ns0:c r="E830" s="0" t="str">
        <ns0:f>IFERROR(INDEX(Settings!$H$7:$H$11,MATCH(D830,Settings!$G$7:$G$11,0)),"")</ns0:f>
        <ns0:v/>
      </ns0:c>
      <ns0:c r="F830" s="0" t="str">
        <ns0:f>IF(A830=0,"",IFERROR(IF(OR(B830="",C830=0),"CHECK employee selection",IF(INDEX(Team!$O$11:$O$60,C830)&lt;&gt;"OK","CHECK employee setup",IF(OR('_Dates'!J830=0,'_Dates'!T830=0),"CHECK date: use DD.MM.YYYY",IF('_Dates'!T830&lt;'_Dates'!J830,"CHECK end before start",IF(AND($B$6=0,OR('_Dates'!J830&lt;Settings!$B$7,'_Dates'!T830&gt;Settings!$B$8)),"CHECK split across leave years",IF(OR(NOT(OR('_Dates'!U830="Full day",'_Dates'!U830="AM",'_Dates'!U830="PM")),NOT(OR('_Dates'!V830="Full day",'_Dates'!V830="AM",'_Dates'!V830="PM"))),"CHECK Full day / AM / PM",IF(AND('_Dates'!J830='_Dates'!T830,'_Dates'!U830&lt;&gt;"Full day",'_Dates'!V830&lt;&gt;"Full day",'_Dates'!U830&lt;&gt;'_Dates'!V830),"CHECK same-day portions disagree",IF(AND($B$6=0,OR(AND('_Dates'!U830&lt;&gt;"Full day",'_Dates'!AA830=0),AND('_Dates'!V830&lt;&gt;"Full day",'_Dates'!AB830=0))),"CHECK half-day on non-working date",IF(COUNTIF(Settings!$G$7:$G$11,D830)&lt;&gt;1,"CHECK leave type",IF(AND(Bookings!G830&lt;&gt;"Approved",Bookings!G830&lt;&gt;"Pending",Bookings!G830&lt;&gt;"Cancelled"),"CHECK status","OK")))))))))),"CHECK input"))</ns0:f>
        <ns0:v/>
      </ns0:c>
      <ns0:c r="G830" s="0">
        <ns0:f>IF(OR(F830&lt;&gt;"OK",$B$6&gt;0),0,0.5*(IF(('_Dates'!X830)&lt;('_Dates'!W830),0,INT((('_Dates'!X830)-('_Dates'!W830)+1)/7)*LEN(SUBSTITUTE(W830,"O",""))+LEN(SUBSTITUTE(MID(W830&amp;W830,WEEKDAY(('_Dates'!W830),2),MOD((('_Dates'!X830)-('_Dates'!W830)+1),7)),"O",""))-COUNTIFS(INDEX(AllClosureRows,C830,0),"&gt;="&amp;('_Dates'!W830),INDEX(AllClosureRows,C830,0),"&lt;="&amp;('_Dates'!X830)))+IF(('_Dates'!Z830)&lt;('_Dates'!Y830),0,INT((('_Dates'!Z830)-('_Dates'!Y830)+1)/7)*LEN(SUBSTITUTE(W830,"O",""))+LEN(SUBSTITUTE(MID(W830&amp;W830,WEEKDAY(('_Dates'!Y830),2),MOD((('_Dates'!Z830)-('_Dates'!Y830)+1),7)),"O",""))-COUNTIFS(INDEX(AllClosureRows,C830,0),"&gt;="&amp;('_Dates'!Y830),INDEX(AllClosureRows,C830,0),"&lt;="&amp;('_Dates'!Z830)))))</ns0:f>
        <ns0:v>0</ns0:v>
      </ns0:c>
      <ns0:c r="H830" s="0">
        <ns0:f>IF(OR(F830&lt;&gt;"OK",$B$6&gt;0),0,0.5*(IF((MIN('_Dates'!X830,Settings!$B$9))&lt;('_Dates'!W830),0,INT(((MIN('_Dates'!X830,Settings!$B$9))-('_Dates'!W830)+1)/7)*LEN(SUBSTITUTE(W830,"O",""))+LEN(SUBSTITUTE(MID(W830&amp;W830,WEEKDAY(('_Dates'!W830),2),MOD(((MIN('_Dates'!X830,Settings!$B$9))-('_Dates'!W830)+1),7)),"O",""))-COUNTIFS(INDEX(AllClosureRows,C830,0),"&gt;="&amp;('_Dates'!W830),INDEX(AllClosureRows,C830,0),"&lt;="&amp;(MIN('_Dates'!X830,Settings!$B$9))))+IF((MIN('_Dates'!Z830,Settings!$B$9))&lt;('_Dates'!Y830),0,INT(((MIN('_Dates'!Z830,Settings!$B$9))-('_Dates'!Y830)+1)/7)*LEN(SUBSTITUTE(W830,"O",""))+LEN(SUBSTITUTE(MID(W830&amp;W830,WEEKDAY(('_Dates'!Y830),2),MOD(((MIN('_Dates'!Z830,Settings!$B$9))-('_Dates'!Y830)+1),7)),"O",""))-COUNTIFS(INDEX(AllClosureRows,C830,0),"&gt;="&amp;('_Dates'!Y830),INDEX(AllClosureRows,C830,0),"&lt;="&amp;(MIN('_Dates'!Z830,Settings!$B$9))))))</ns0:f>
        <ns0:v>0</ns0:v>
      </ns0:c>
      <ns0:c r="I830" s="0">
        <ns0:f>MAX(0,G830-H830)</ns0:f>
        <ns0:v>0</ns0:v>
      </ns0:c>
      <ns0:c r="J830" s="0">
        <ns0:f>IF(OR(A830=0,F830&lt;&gt;"OK",Bookings!G830="Cancelled",$B$6&gt;0),0,IF('_Dates'!AC830=1,MAX(0,COUNTIFS(rngEngine_B,B830,rngAMStart,"&lt;="&amp;'_Dates'!X830,rngAMEnd,"&gt;="&amp;'_Dates'!W830,rngAMActive,1,rngEngine_F,"OK",rngBookings_F,"&lt;&gt;Cancelled")-1),0)+IF('_Dates'!AD830=1,MAX(0,COUNTIFS(rngEngine_B,B830,rngPMStart,"&lt;="&amp;'_Dates'!Z830,rngPMEnd,"&gt;="&amp;'_Dates'!Y830,rngPMActive,1,rngEngine_F,"OK",rngBookings_F,"&lt;&gt;Cancelled")-1),0))</ns0:f>
        <ns0:v>0</ns0:v>
      </ns0:c>
      <ns0:c r="K830" s="0" t="str">
        <ns0:f>IF(A830=0,"",IF(F830&lt;&gt;"OK",F830,IF(J830&gt;0,"CHECK overlapping entry",IF(AND($B$6=0,G830&lt;=0,Bookings!G830&lt;&gt;"Cancelled"),"CHECK no working days",IF(Bookings!G830="Cancelled","Cancelled","OK")))))</ns0:f>
        <ns0:v/>
      </ns0:c>
      <ns0:c r="L830" s="0">
        <ns0:f>IF(LEFT(K830,5)="CHECK",1,0)</ns0:f>
        <ns0:v>0</ns0:v>
      </ns0:c>
      <ns0:c r="M830" s="0">
        <ns0:f>IF(AND(L830=1,OR(C830=0,IFERROR(INDEX($X$11:$X$60,C830),0)=0)),1,0)</ns0:f>
        <ns0:v>0</ns0:v>
      </ns0:c>
      <ns0:c r="N830" s="0">
        <ns0:f>IF(OR(A830=0,L830&gt;0,$B$6&gt;0,Bookings!G830="Cancelled"),0,G830)</ns0:f>
        <ns0:v>0</ns0:v>
      </ns0:c>
      <ns0:c r="O830" s="0">
        <ns0:f>IF(AND(Bookings!G830="Approved",E830="Yes"),N830,0)</ns0:f>
        <ns0:v>0</ns0:v>
      </ns0:c>
      <ns0:c r="P830" s="0">
        <ns0:f>IF(AND(Bookings!G830="Approved",E830="Yes",L830=0,$B$6=0),H830,0)</ns0:f>
        <ns0:v>0</ns0:v>
      </ns0:c>
      <ns0:c r="Q830" s="0">
        <ns0:f>IF(AND(Bookings!G830="Approved",E830="Yes",L830=0,$B$6=0),I830,0)</ns0:f>
        <ns0:v>0</ns0:v>
      </ns0:c>
      <ns0:c r="R830" s="0">
        <ns0:f>IF(AND(Bookings!G830="Pending",E830="Yes"),N830,0)</ns0:f>
        <ns0:v>0</ns0:v>
      </ns0:c>
      <ns0:c r="S830" s="0">
        <ns0:f>IF(AND(Bookings!G830="Approved",E830="No"),N830,0)</ns0:f>
        <ns0:v>0</ns0:v>
      </ns0:c>
      <ns0:c r="T830" s="0">
        <ns0:f>IFERROR(MATCH(D830,Settings!$G$7:$G$11,0),0)</ns0:f>
        <ns0:v>0</ns0:v>
      </ns0:c>
      <ns0:c r="U830" s="0">
        <ns0:f>IF(N830&gt;0,T830+IF(Bookings!G830="Pending",10,0),0)</ns0:f>
        <ns0:v>0</ns0:v>
      </ns0:c>
      <ns0:c r="V830" s="0">
        <ns0:f>U830</ns0:f>
        <ns0:v>0</ns0:v>
      </ns0:c>
      <ns0:c r="W830" s="0" t="str">
        <ns0:f>IF(C830=0,"",INDEX($AP$11:$AP$60,C830))</ns0:f>
        <ns0:v/>
      </ns0:c>
    </ns0:row>
    <ns0:row r="831">
      <ns0:c r="A831" s="0">
        <ns0:f>IF(COUNTA(Bookings!A831:G831,Bookings!I831)=0,0,1)</ns0:f>
        <ns0:v>0</ns0:v>
      </ns0:c>
      <ns0:c r="B831" s="0" t="str">
        <ns0:f>IFERROR(TRIM(MID(Bookings!A831,FIND(" · ",Bookings!A831)+3,99)),"")</ns0:f>
        <ns0:v/>
      </ns0:c>
      <ns0:c r="C831" s="0">
        <ns0:f>IF(OR(B831="",LEN(B831)&gt;24,ISNUMBER(FIND(" ",B831)),ISNUMBER(FIND("*",B831)),ISNUMBER(FIND("?",B831)),ISNUMBER(FIND("~",B831))),0,IFERROR(MATCH(B831,Team!$A$11:$A$60,0),0))</ns0:f>
        <ns0:v>0</ns0:v>
      </ns0:c>
      <ns0:c r="D831" s="0" t="str">
        <ns0:f>IFERROR(IF(MID(Bookings!F831,LEN(Bookings!F831)-3,3)=" · ",RIGHT(Bookings!F831,1),""),"")</ns0:f>
        <ns0:v/>
      </ns0:c>
      <ns0:c r="E831" s="0" t="str">
        <ns0:f>IFERROR(INDEX(Settings!$H$7:$H$11,MATCH(D831,Settings!$G$7:$G$11,0)),"")</ns0:f>
        <ns0:v/>
      </ns0:c>
      <ns0:c r="F831" s="0" t="str">
        <ns0:f>IF(A831=0,"",IFERROR(IF(OR(B831="",C831=0),"CHECK employee selection",IF(INDEX(Team!$O$11:$O$60,C831)&lt;&gt;"OK","CHECK employee setup",IF(OR('_Dates'!J831=0,'_Dates'!T831=0),"CHECK date: use DD.MM.YYYY",IF('_Dates'!T831&lt;'_Dates'!J831,"CHECK end before start",IF(AND($B$6=0,OR('_Dates'!J831&lt;Settings!$B$7,'_Dates'!T831&gt;Settings!$B$8)),"CHECK split across leave years",IF(OR(NOT(OR('_Dates'!U831="Full day",'_Dates'!U831="AM",'_Dates'!U831="PM")),NOT(OR('_Dates'!V831="Full day",'_Dates'!V831="AM",'_Dates'!V831="PM"))),"CHECK Full day / AM / PM",IF(AND('_Dates'!J831='_Dates'!T831,'_Dates'!U831&lt;&gt;"Full day",'_Dates'!V831&lt;&gt;"Full day",'_Dates'!U831&lt;&gt;'_Dates'!V831),"CHECK same-day portions disagree",IF(AND($B$6=0,OR(AND('_Dates'!U831&lt;&gt;"Full day",'_Dates'!AA831=0),AND('_Dates'!V831&lt;&gt;"Full day",'_Dates'!AB831=0))),"CHECK half-day on non-working date",IF(COUNTIF(Settings!$G$7:$G$11,D831)&lt;&gt;1,"CHECK leave type",IF(AND(Bookings!G831&lt;&gt;"Approved",Bookings!G831&lt;&gt;"Pending",Bookings!G831&lt;&gt;"Cancelled"),"CHECK status","OK")))))))))),"CHECK input"))</ns0:f>
        <ns0:v/>
      </ns0:c>
      <ns0:c r="G831" s="0">
        <ns0:f>IF(OR(F831&lt;&gt;"OK",$B$6&gt;0),0,0.5*(IF(('_Dates'!X831)&lt;('_Dates'!W831),0,INT((('_Dates'!X831)-('_Dates'!W831)+1)/7)*LEN(SUBSTITUTE(W831,"O",""))+LEN(SUBSTITUTE(MID(W831&amp;W831,WEEKDAY(('_Dates'!W831),2),MOD((('_Dates'!X831)-('_Dates'!W831)+1),7)),"O",""))-COUNTIFS(INDEX(AllClosureRows,C831,0),"&gt;="&amp;('_Dates'!W831),INDEX(AllClosureRows,C831,0),"&lt;="&amp;('_Dates'!X831)))+IF(('_Dates'!Z831)&lt;('_Dates'!Y831),0,INT((('_Dates'!Z831)-('_Dates'!Y831)+1)/7)*LEN(SUBSTITUTE(W831,"O",""))+LEN(SUBSTITUTE(MID(W831&amp;W831,WEEKDAY(('_Dates'!Y831),2),MOD((('_Dates'!Z831)-('_Dates'!Y831)+1),7)),"O",""))-COUNTIFS(INDEX(AllClosureRows,C831,0),"&gt;="&amp;('_Dates'!Y831),INDEX(AllClosureRows,C831,0),"&lt;="&amp;('_Dates'!Z831)))))</ns0:f>
        <ns0:v>0</ns0:v>
      </ns0:c>
      <ns0:c r="H831" s="0">
        <ns0:f>IF(OR(F831&lt;&gt;"OK",$B$6&gt;0),0,0.5*(IF((MIN('_Dates'!X831,Settings!$B$9))&lt;('_Dates'!W831),0,INT(((MIN('_Dates'!X831,Settings!$B$9))-('_Dates'!W831)+1)/7)*LEN(SUBSTITUTE(W831,"O",""))+LEN(SUBSTITUTE(MID(W831&amp;W831,WEEKDAY(('_Dates'!W831),2),MOD(((MIN('_Dates'!X831,Settings!$B$9))-('_Dates'!W831)+1),7)),"O",""))-COUNTIFS(INDEX(AllClosureRows,C831,0),"&gt;="&amp;('_Dates'!W831),INDEX(AllClosureRows,C831,0),"&lt;="&amp;(MIN('_Dates'!X831,Settings!$B$9))))+IF((MIN('_Dates'!Z831,Settings!$B$9))&lt;('_Dates'!Y831),0,INT(((MIN('_Dates'!Z831,Settings!$B$9))-('_Dates'!Y831)+1)/7)*LEN(SUBSTITUTE(W831,"O",""))+LEN(SUBSTITUTE(MID(W831&amp;W831,WEEKDAY(('_Dates'!Y831),2),MOD(((MIN('_Dates'!Z831,Settings!$B$9))-('_Dates'!Y831)+1),7)),"O",""))-COUNTIFS(INDEX(AllClosureRows,C831,0),"&gt;="&amp;('_Dates'!Y831),INDEX(AllClosureRows,C831,0),"&lt;="&amp;(MIN('_Dates'!Z831,Settings!$B$9))))))</ns0:f>
        <ns0:v>0</ns0:v>
      </ns0:c>
      <ns0:c r="I831" s="0">
        <ns0:f>MAX(0,G831-H831)</ns0:f>
        <ns0:v>0</ns0:v>
      </ns0:c>
      <ns0:c r="J831" s="0">
        <ns0:f>IF(OR(A831=0,F831&lt;&gt;"OK",Bookings!G831="Cancelled",$B$6&gt;0),0,IF('_Dates'!AC831=1,MAX(0,COUNTIFS(rngEngine_B,B831,rngAMStart,"&lt;="&amp;'_Dates'!X831,rngAMEnd,"&gt;="&amp;'_Dates'!W831,rngAMActive,1,rngEngine_F,"OK",rngBookings_F,"&lt;&gt;Cancelled")-1),0)+IF('_Dates'!AD831=1,MAX(0,COUNTIFS(rngEngine_B,B831,rngPMStart,"&lt;="&amp;'_Dates'!Z831,rngPMEnd,"&gt;="&amp;'_Dates'!Y831,rngPMActive,1,rngEngine_F,"OK",rngBookings_F,"&lt;&gt;Cancelled")-1),0))</ns0:f>
        <ns0:v>0</ns0:v>
      </ns0:c>
      <ns0:c r="K831" s="0" t="str">
        <ns0:f>IF(A831=0,"",IF(F831&lt;&gt;"OK",F831,IF(J831&gt;0,"CHECK overlapping entry",IF(AND($B$6=0,G831&lt;=0,Bookings!G831&lt;&gt;"Cancelled"),"CHECK no working days",IF(Bookings!G831="Cancelled","Cancelled","OK")))))</ns0:f>
        <ns0:v/>
      </ns0:c>
      <ns0:c r="L831" s="0">
        <ns0:f>IF(LEFT(K831,5)="CHECK",1,0)</ns0:f>
        <ns0:v>0</ns0:v>
      </ns0:c>
      <ns0:c r="M831" s="0">
        <ns0:f>IF(AND(L831=1,OR(C831=0,IFERROR(INDEX($X$11:$X$60,C831),0)=0)),1,0)</ns0:f>
        <ns0:v>0</ns0:v>
      </ns0:c>
      <ns0:c r="N831" s="0">
        <ns0:f>IF(OR(A831=0,L831&gt;0,$B$6&gt;0,Bookings!G831="Cancelled"),0,G831)</ns0:f>
        <ns0:v>0</ns0:v>
      </ns0:c>
      <ns0:c r="O831" s="0">
        <ns0:f>IF(AND(Bookings!G831="Approved",E831="Yes"),N831,0)</ns0:f>
        <ns0:v>0</ns0:v>
      </ns0:c>
      <ns0:c r="P831" s="0">
        <ns0:f>IF(AND(Bookings!G831="Approved",E831="Yes",L831=0,$B$6=0),H831,0)</ns0:f>
        <ns0:v>0</ns0:v>
      </ns0:c>
      <ns0:c r="Q831" s="0">
        <ns0:f>IF(AND(Bookings!G831="Approved",E831="Yes",L831=0,$B$6=0),I831,0)</ns0:f>
        <ns0:v>0</ns0:v>
      </ns0:c>
      <ns0:c r="R831" s="0">
        <ns0:f>IF(AND(Bookings!G831="Pending",E831="Yes"),N831,0)</ns0:f>
        <ns0:v>0</ns0:v>
      </ns0:c>
      <ns0:c r="S831" s="0">
        <ns0:f>IF(AND(Bookings!G831="Approved",E831="No"),N831,0)</ns0:f>
        <ns0:v>0</ns0:v>
      </ns0:c>
      <ns0:c r="T831" s="0">
        <ns0:f>IFERROR(MATCH(D831,Settings!$G$7:$G$11,0),0)</ns0:f>
        <ns0:v>0</ns0:v>
      </ns0:c>
      <ns0:c r="U831" s="0">
        <ns0:f>IF(N831&gt;0,T831+IF(Bookings!G831="Pending",10,0),0)</ns0:f>
        <ns0:v>0</ns0:v>
      </ns0:c>
      <ns0:c r="V831" s="0">
        <ns0:f>U831</ns0:f>
        <ns0:v>0</ns0:v>
      </ns0:c>
      <ns0:c r="W831" s="0" t="str">
        <ns0:f>IF(C831=0,"",INDEX($AP$11:$AP$60,C831))</ns0:f>
        <ns0:v/>
      </ns0:c>
    </ns0:row>
    <ns0:row r="832">
      <ns0:c r="A832" s="0">
        <ns0:f>IF(COUNTA(Bookings!A832:G832,Bookings!I832)=0,0,1)</ns0:f>
        <ns0:v>0</ns0:v>
      </ns0:c>
      <ns0:c r="B832" s="0" t="str">
        <ns0:f>IFERROR(TRIM(MID(Bookings!A832,FIND(" · ",Bookings!A832)+3,99)),"")</ns0:f>
        <ns0:v/>
      </ns0:c>
      <ns0:c r="C832" s="0">
        <ns0:f>IF(OR(B832="",LEN(B832)&gt;24,ISNUMBER(FIND(" ",B832)),ISNUMBER(FIND("*",B832)),ISNUMBER(FIND("?",B832)),ISNUMBER(FIND("~",B832))),0,IFERROR(MATCH(B832,Team!$A$11:$A$60,0),0))</ns0:f>
        <ns0:v>0</ns0:v>
      </ns0:c>
      <ns0:c r="D832" s="0" t="str">
        <ns0:f>IFERROR(IF(MID(Bookings!F832,LEN(Bookings!F832)-3,3)=" · ",RIGHT(Bookings!F832,1),""),"")</ns0:f>
        <ns0:v/>
      </ns0:c>
      <ns0:c r="E832" s="0" t="str">
        <ns0:f>IFERROR(INDEX(Settings!$H$7:$H$11,MATCH(D832,Settings!$G$7:$G$11,0)),"")</ns0:f>
        <ns0:v/>
      </ns0:c>
      <ns0:c r="F832" s="0" t="str">
        <ns0:f>IF(A832=0,"",IFERROR(IF(OR(B832="",C832=0),"CHECK employee selection",IF(INDEX(Team!$O$11:$O$60,C832)&lt;&gt;"OK","CHECK employee setup",IF(OR('_Dates'!J832=0,'_Dates'!T832=0),"CHECK date: use DD.MM.YYYY",IF('_Dates'!T832&lt;'_Dates'!J832,"CHECK end before start",IF(AND($B$6=0,OR('_Dates'!J832&lt;Settings!$B$7,'_Dates'!T832&gt;Settings!$B$8)),"CHECK split across leave years",IF(OR(NOT(OR('_Dates'!U832="Full day",'_Dates'!U832="AM",'_Dates'!U832="PM")),NOT(OR('_Dates'!V832="Full day",'_Dates'!V832="AM",'_Dates'!V832="PM"))),"CHECK Full day / AM / PM",IF(AND('_Dates'!J832='_Dates'!T832,'_Dates'!U832&lt;&gt;"Full day",'_Dates'!V832&lt;&gt;"Full day",'_Dates'!U832&lt;&gt;'_Dates'!V832),"CHECK same-day portions disagree",IF(AND($B$6=0,OR(AND('_Dates'!U832&lt;&gt;"Full day",'_Dates'!AA832=0),AND('_Dates'!V832&lt;&gt;"Full day",'_Dates'!AB832=0))),"CHECK half-day on non-working date",IF(COUNTIF(Settings!$G$7:$G$11,D832)&lt;&gt;1,"CHECK leave type",IF(AND(Bookings!G832&lt;&gt;"Approved",Bookings!G832&lt;&gt;"Pending",Bookings!G832&lt;&gt;"Cancelled"),"CHECK status","OK")))))))))),"CHECK input"))</ns0:f>
        <ns0:v/>
      </ns0:c>
      <ns0:c r="G832" s="0">
        <ns0:f>IF(OR(F832&lt;&gt;"OK",$B$6&gt;0),0,0.5*(IF(('_Dates'!X832)&lt;('_Dates'!W832),0,INT((('_Dates'!X832)-('_Dates'!W832)+1)/7)*LEN(SUBSTITUTE(W832,"O",""))+LEN(SUBSTITUTE(MID(W832&amp;W832,WEEKDAY(('_Dates'!W832),2),MOD((('_Dates'!X832)-('_Dates'!W832)+1),7)),"O",""))-COUNTIFS(INDEX(AllClosureRows,C832,0),"&gt;="&amp;('_Dates'!W832),INDEX(AllClosureRows,C832,0),"&lt;="&amp;('_Dates'!X832)))+IF(('_Dates'!Z832)&lt;('_Dates'!Y832),0,INT((('_Dates'!Z832)-('_Dates'!Y832)+1)/7)*LEN(SUBSTITUTE(W832,"O",""))+LEN(SUBSTITUTE(MID(W832&amp;W832,WEEKDAY(('_Dates'!Y832),2),MOD((('_Dates'!Z832)-('_Dates'!Y832)+1),7)),"O",""))-COUNTIFS(INDEX(AllClosureRows,C832,0),"&gt;="&amp;('_Dates'!Y832),INDEX(AllClosureRows,C832,0),"&lt;="&amp;('_Dates'!Z832)))))</ns0:f>
        <ns0:v>0</ns0:v>
      </ns0:c>
      <ns0:c r="H832" s="0">
        <ns0:f>IF(OR(F832&lt;&gt;"OK",$B$6&gt;0),0,0.5*(IF((MIN('_Dates'!X832,Settings!$B$9))&lt;('_Dates'!W832),0,INT(((MIN('_Dates'!X832,Settings!$B$9))-('_Dates'!W832)+1)/7)*LEN(SUBSTITUTE(W832,"O",""))+LEN(SUBSTITUTE(MID(W832&amp;W832,WEEKDAY(('_Dates'!W832),2),MOD(((MIN('_Dates'!X832,Settings!$B$9))-('_Dates'!W832)+1),7)),"O",""))-COUNTIFS(INDEX(AllClosureRows,C832,0),"&gt;="&amp;('_Dates'!W832),INDEX(AllClosureRows,C832,0),"&lt;="&amp;(MIN('_Dates'!X832,Settings!$B$9))))+IF((MIN('_Dates'!Z832,Settings!$B$9))&lt;('_Dates'!Y832),0,INT(((MIN('_Dates'!Z832,Settings!$B$9))-('_Dates'!Y832)+1)/7)*LEN(SUBSTITUTE(W832,"O",""))+LEN(SUBSTITUTE(MID(W832&amp;W832,WEEKDAY(('_Dates'!Y832),2),MOD(((MIN('_Dates'!Z832,Settings!$B$9))-('_Dates'!Y832)+1),7)),"O",""))-COUNTIFS(INDEX(AllClosureRows,C832,0),"&gt;="&amp;('_Dates'!Y832),INDEX(AllClosureRows,C832,0),"&lt;="&amp;(MIN('_Dates'!Z832,Settings!$B$9))))))</ns0:f>
        <ns0:v>0</ns0:v>
      </ns0:c>
      <ns0:c r="I832" s="0">
        <ns0:f>MAX(0,G832-H832)</ns0:f>
        <ns0:v>0</ns0:v>
      </ns0:c>
      <ns0:c r="J832" s="0">
        <ns0:f>IF(OR(A832=0,F832&lt;&gt;"OK",Bookings!G832="Cancelled",$B$6&gt;0),0,IF('_Dates'!AC832=1,MAX(0,COUNTIFS(rngEngine_B,B832,rngAMStart,"&lt;="&amp;'_Dates'!X832,rngAMEnd,"&gt;="&amp;'_Dates'!W832,rngAMActive,1,rngEngine_F,"OK",rngBookings_F,"&lt;&gt;Cancelled")-1),0)+IF('_Dates'!AD832=1,MAX(0,COUNTIFS(rngEngine_B,B832,rngPMStart,"&lt;="&amp;'_Dates'!Z832,rngPMEnd,"&gt;="&amp;'_Dates'!Y832,rngPMActive,1,rngEngine_F,"OK",rngBookings_F,"&lt;&gt;Cancelled")-1),0))</ns0:f>
        <ns0:v>0</ns0:v>
      </ns0:c>
      <ns0:c r="K832" s="0" t="str">
        <ns0:f>IF(A832=0,"",IF(F832&lt;&gt;"OK",F832,IF(J832&gt;0,"CHECK overlapping entry",IF(AND($B$6=0,G832&lt;=0,Bookings!G832&lt;&gt;"Cancelled"),"CHECK no working days",IF(Bookings!G832="Cancelled","Cancelled","OK")))))</ns0:f>
        <ns0:v/>
      </ns0:c>
      <ns0:c r="L832" s="0">
        <ns0:f>IF(LEFT(K832,5)="CHECK",1,0)</ns0:f>
        <ns0:v>0</ns0:v>
      </ns0:c>
      <ns0:c r="M832" s="0">
        <ns0:f>IF(AND(L832=1,OR(C832=0,IFERROR(INDEX($X$11:$X$60,C832),0)=0)),1,0)</ns0:f>
        <ns0:v>0</ns0:v>
      </ns0:c>
      <ns0:c r="N832" s="0">
        <ns0:f>IF(OR(A832=0,L832&gt;0,$B$6&gt;0,Bookings!G832="Cancelled"),0,G832)</ns0:f>
        <ns0:v>0</ns0:v>
      </ns0:c>
      <ns0:c r="O832" s="0">
        <ns0:f>IF(AND(Bookings!G832="Approved",E832="Yes"),N832,0)</ns0:f>
        <ns0:v>0</ns0:v>
      </ns0:c>
      <ns0:c r="P832" s="0">
        <ns0:f>IF(AND(Bookings!G832="Approved",E832="Yes",L832=0,$B$6=0),H832,0)</ns0:f>
        <ns0:v>0</ns0:v>
      </ns0:c>
      <ns0:c r="Q832" s="0">
        <ns0:f>IF(AND(Bookings!G832="Approved",E832="Yes",L832=0,$B$6=0),I832,0)</ns0:f>
        <ns0:v>0</ns0:v>
      </ns0:c>
      <ns0:c r="R832" s="0">
        <ns0:f>IF(AND(Bookings!G832="Pending",E832="Yes"),N832,0)</ns0:f>
        <ns0:v>0</ns0:v>
      </ns0:c>
      <ns0:c r="S832" s="0">
        <ns0:f>IF(AND(Bookings!G832="Approved",E832="No"),N832,0)</ns0:f>
        <ns0:v>0</ns0:v>
      </ns0:c>
      <ns0:c r="T832" s="0">
        <ns0:f>IFERROR(MATCH(D832,Settings!$G$7:$G$11,0),0)</ns0:f>
        <ns0:v>0</ns0:v>
      </ns0:c>
      <ns0:c r="U832" s="0">
        <ns0:f>IF(N832&gt;0,T832+IF(Bookings!G832="Pending",10,0),0)</ns0:f>
        <ns0:v>0</ns0:v>
      </ns0:c>
      <ns0:c r="V832" s="0">
        <ns0:f>U832</ns0:f>
        <ns0:v>0</ns0:v>
      </ns0:c>
      <ns0:c r="W832" s="0" t="str">
        <ns0:f>IF(C832=0,"",INDEX($AP$11:$AP$60,C832))</ns0:f>
        <ns0:v/>
      </ns0:c>
    </ns0:row>
    <ns0:row r="833">
      <ns0:c r="A833" s="0">
        <ns0:f>IF(COUNTA(Bookings!A833:G833,Bookings!I833)=0,0,1)</ns0:f>
        <ns0:v>0</ns0:v>
      </ns0:c>
      <ns0:c r="B833" s="0" t="str">
        <ns0:f>IFERROR(TRIM(MID(Bookings!A833,FIND(" · ",Bookings!A833)+3,99)),"")</ns0:f>
        <ns0:v/>
      </ns0:c>
      <ns0:c r="C833" s="0">
        <ns0:f>IF(OR(B833="",LEN(B833)&gt;24,ISNUMBER(FIND(" ",B833)),ISNUMBER(FIND("*",B833)),ISNUMBER(FIND("?",B833)),ISNUMBER(FIND("~",B833))),0,IFERROR(MATCH(B833,Team!$A$11:$A$60,0),0))</ns0:f>
        <ns0:v>0</ns0:v>
      </ns0:c>
      <ns0:c r="D833" s="0" t="str">
        <ns0:f>IFERROR(IF(MID(Bookings!F833,LEN(Bookings!F833)-3,3)=" · ",RIGHT(Bookings!F833,1),""),"")</ns0:f>
        <ns0:v/>
      </ns0:c>
      <ns0:c r="E833" s="0" t="str">
        <ns0:f>IFERROR(INDEX(Settings!$H$7:$H$11,MATCH(D833,Settings!$G$7:$G$11,0)),"")</ns0:f>
        <ns0:v/>
      </ns0:c>
      <ns0:c r="F833" s="0" t="str">
        <ns0:f>IF(A833=0,"",IFERROR(IF(OR(B833="",C833=0),"CHECK employee selection",IF(INDEX(Team!$O$11:$O$60,C833)&lt;&gt;"OK","CHECK employee setup",IF(OR('_Dates'!J833=0,'_Dates'!T833=0),"CHECK date: use DD.MM.YYYY",IF('_Dates'!T833&lt;'_Dates'!J833,"CHECK end before start",IF(AND($B$6=0,OR('_Dates'!J833&lt;Settings!$B$7,'_Dates'!T833&gt;Settings!$B$8)),"CHECK split across leave years",IF(OR(NOT(OR('_Dates'!U833="Full day",'_Dates'!U833="AM",'_Dates'!U833="PM")),NOT(OR('_Dates'!V833="Full day",'_Dates'!V833="AM",'_Dates'!V833="PM"))),"CHECK Full day / AM / PM",IF(AND('_Dates'!J833='_Dates'!T833,'_Dates'!U833&lt;&gt;"Full day",'_Dates'!V833&lt;&gt;"Full day",'_Dates'!U833&lt;&gt;'_Dates'!V833),"CHECK same-day portions disagree",IF(AND($B$6=0,OR(AND('_Dates'!U833&lt;&gt;"Full day",'_Dates'!AA833=0),AND('_Dates'!V833&lt;&gt;"Full day",'_Dates'!AB833=0))),"CHECK half-day on non-working date",IF(COUNTIF(Settings!$G$7:$G$11,D833)&lt;&gt;1,"CHECK leave type",IF(AND(Bookings!G833&lt;&gt;"Approved",Bookings!G833&lt;&gt;"Pending",Bookings!G833&lt;&gt;"Cancelled"),"CHECK status","OK")))))))))),"CHECK input"))</ns0:f>
        <ns0:v/>
      </ns0:c>
      <ns0:c r="G833" s="0">
        <ns0:f>IF(OR(F833&lt;&gt;"OK",$B$6&gt;0),0,0.5*(IF(('_Dates'!X833)&lt;('_Dates'!W833),0,INT((('_Dates'!X833)-('_Dates'!W833)+1)/7)*LEN(SUBSTITUTE(W833,"O",""))+LEN(SUBSTITUTE(MID(W833&amp;W833,WEEKDAY(('_Dates'!W833),2),MOD((('_Dates'!X833)-('_Dates'!W833)+1),7)),"O",""))-COUNTIFS(INDEX(AllClosureRows,C833,0),"&gt;="&amp;('_Dates'!W833),INDEX(AllClosureRows,C833,0),"&lt;="&amp;('_Dates'!X833)))+IF(('_Dates'!Z833)&lt;('_Dates'!Y833),0,INT((('_Dates'!Z833)-('_Dates'!Y833)+1)/7)*LEN(SUBSTITUTE(W833,"O",""))+LEN(SUBSTITUTE(MID(W833&amp;W833,WEEKDAY(('_Dates'!Y833),2),MOD((('_Dates'!Z833)-('_Dates'!Y833)+1),7)),"O",""))-COUNTIFS(INDEX(AllClosureRows,C833,0),"&gt;="&amp;('_Dates'!Y833),INDEX(AllClosureRows,C833,0),"&lt;="&amp;('_Dates'!Z833)))))</ns0:f>
        <ns0:v>0</ns0:v>
      </ns0:c>
      <ns0:c r="H833" s="0">
        <ns0:f>IF(OR(F833&lt;&gt;"OK",$B$6&gt;0),0,0.5*(IF((MIN('_Dates'!X833,Settings!$B$9))&lt;('_Dates'!W833),0,INT(((MIN('_Dates'!X833,Settings!$B$9))-('_Dates'!W833)+1)/7)*LEN(SUBSTITUTE(W833,"O",""))+LEN(SUBSTITUTE(MID(W833&amp;W833,WEEKDAY(('_Dates'!W833),2),MOD(((MIN('_Dates'!X833,Settings!$B$9))-('_Dates'!W833)+1),7)),"O",""))-COUNTIFS(INDEX(AllClosureRows,C833,0),"&gt;="&amp;('_Dates'!W833),INDEX(AllClosureRows,C833,0),"&lt;="&amp;(MIN('_Dates'!X833,Settings!$B$9))))+IF((MIN('_Dates'!Z833,Settings!$B$9))&lt;('_Dates'!Y833),0,INT(((MIN('_Dates'!Z833,Settings!$B$9))-('_Dates'!Y833)+1)/7)*LEN(SUBSTITUTE(W833,"O",""))+LEN(SUBSTITUTE(MID(W833&amp;W833,WEEKDAY(('_Dates'!Y833),2),MOD(((MIN('_Dates'!Z833,Settings!$B$9))-('_Dates'!Y833)+1),7)),"O",""))-COUNTIFS(INDEX(AllClosureRows,C833,0),"&gt;="&amp;('_Dates'!Y833),INDEX(AllClosureRows,C833,0),"&lt;="&amp;(MIN('_Dates'!Z833,Settings!$B$9))))))</ns0:f>
        <ns0:v>0</ns0:v>
      </ns0:c>
      <ns0:c r="I833" s="0">
        <ns0:f>MAX(0,G833-H833)</ns0:f>
        <ns0:v>0</ns0:v>
      </ns0:c>
      <ns0:c r="J833" s="0">
        <ns0:f>IF(OR(A833=0,F833&lt;&gt;"OK",Bookings!G833="Cancelled",$B$6&gt;0),0,IF('_Dates'!AC833=1,MAX(0,COUNTIFS(rngEngine_B,B833,rngAMStart,"&lt;="&amp;'_Dates'!X833,rngAMEnd,"&gt;="&amp;'_Dates'!W833,rngAMActive,1,rngEngine_F,"OK",rngBookings_F,"&lt;&gt;Cancelled")-1),0)+IF('_Dates'!AD833=1,MAX(0,COUNTIFS(rngEngine_B,B833,rngPMStart,"&lt;="&amp;'_Dates'!Z833,rngPMEnd,"&gt;="&amp;'_Dates'!Y833,rngPMActive,1,rngEngine_F,"OK",rngBookings_F,"&lt;&gt;Cancelled")-1),0))</ns0:f>
        <ns0:v>0</ns0:v>
      </ns0:c>
      <ns0:c r="K833" s="0" t="str">
        <ns0:f>IF(A833=0,"",IF(F833&lt;&gt;"OK",F833,IF(J833&gt;0,"CHECK overlapping entry",IF(AND($B$6=0,G833&lt;=0,Bookings!G833&lt;&gt;"Cancelled"),"CHECK no working days",IF(Bookings!G833="Cancelled","Cancelled","OK")))))</ns0:f>
        <ns0:v/>
      </ns0:c>
      <ns0:c r="L833" s="0">
        <ns0:f>IF(LEFT(K833,5)="CHECK",1,0)</ns0:f>
        <ns0:v>0</ns0:v>
      </ns0:c>
      <ns0:c r="M833" s="0">
        <ns0:f>IF(AND(L833=1,OR(C833=0,IFERROR(INDEX($X$11:$X$60,C833),0)=0)),1,0)</ns0:f>
        <ns0:v>0</ns0:v>
      </ns0:c>
      <ns0:c r="N833" s="0">
        <ns0:f>IF(OR(A833=0,L833&gt;0,$B$6&gt;0,Bookings!G833="Cancelled"),0,G833)</ns0:f>
        <ns0:v>0</ns0:v>
      </ns0:c>
      <ns0:c r="O833" s="0">
        <ns0:f>IF(AND(Bookings!G833="Approved",E833="Yes"),N833,0)</ns0:f>
        <ns0:v>0</ns0:v>
      </ns0:c>
      <ns0:c r="P833" s="0">
        <ns0:f>IF(AND(Bookings!G833="Approved",E833="Yes",L833=0,$B$6=0),H833,0)</ns0:f>
        <ns0:v>0</ns0:v>
      </ns0:c>
      <ns0:c r="Q833" s="0">
        <ns0:f>IF(AND(Bookings!G833="Approved",E833="Yes",L833=0,$B$6=0),I833,0)</ns0:f>
        <ns0:v>0</ns0:v>
      </ns0:c>
      <ns0:c r="R833" s="0">
        <ns0:f>IF(AND(Bookings!G833="Pending",E833="Yes"),N833,0)</ns0:f>
        <ns0:v>0</ns0:v>
      </ns0:c>
      <ns0:c r="S833" s="0">
        <ns0:f>IF(AND(Bookings!G833="Approved",E833="No"),N833,0)</ns0:f>
        <ns0:v>0</ns0:v>
      </ns0:c>
      <ns0:c r="T833" s="0">
        <ns0:f>IFERROR(MATCH(D833,Settings!$G$7:$G$11,0),0)</ns0:f>
        <ns0:v>0</ns0:v>
      </ns0:c>
      <ns0:c r="U833" s="0">
        <ns0:f>IF(N833&gt;0,T833+IF(Bookings!G833="Pending",10,0),0)</ns0:f>
        <ns0:v>0</ns0:v>
      </ns0:c>
      <ns0:c r="V833" s="0">
        <ns0:f>U833</ns0:f>
        <ns0:v>0</ns0:v>
      </ns0:c>
      <ns0:c r="W833" s="0" t="str">
        <ns0:f>IF(C833=0,"",INDEX($AP$11:$AP$60,C833))</ns0:f>
        <ns0:v/>
      </ns0:c>
    </ns0:row>
    <ns0:row r="834">
      <ns0:c r="A834" s="0">
        <ns0:f>IF(COUNTA(Bookings!A834:G834,Bookings!I834)=0,0,1)</ns0:f>
        <ns0:v>0</ns0:v>
      </ns0:c>
      <ns0:c r="B834" s="0" t="str">
        <ns0:f>IFERROR(TRIM(MID(Bookings!A834,FIND(" · ",Bookings!A834)+3,99)),"")</ns0:f>
        <ns0:v/>
      </ns0:c>
      <ns0:c r="C834" s="0">
        <ns0:f>IF(OR(B834="",LEN(B834)&gt;24,ISNUMBER(FIND(" ",B834)),ISNUMBER(FIND("*",B834)),ISNUMBER(FIND("?",B834)),ISNUMBER(FIND("~",B834))),0,IFERROR(MATCH(B834,Team!$A$11:$A$60,0),0))</ns0:f>
        <ns0:v>0</ns0:v>
      </ns0:c>
      <ns0:c r="D834" s="0" t="str">
        <ns0:f>IFERROR(IF(MID(Bookings!F834,LEN(Bookings!F834)-3,3)=" · ",RIGHT(Bookings!F834,1),""),"")</ns0:f>
        <ns0:v/>
      </ns0:c>
      <ns0:c r="E834" s="0" t="str">
        <ns0:f>IFERROR(INDEX(Settings!$H$7:$H$11,MATCH(D834,Settings!$G$7:$G$11,0)),"")</ns0:f>
        <ns0:v/>
      </ns0:c>
      <ns0:c r="F834" s="0" t="str">
        <ns0:f>IF(A834=0,"",IFERROR(IF(OR(B834="",C834=0),"CHECK employee selection",IF(INDEX(Team!$O$11:$O$60,C834)&lt;&gt;"OK","CHECK employee setup",IF(OR('_Dates'!J834=0,'_Dates'!T834=0),"CHECK date: use DD.MM.YYYY",IF('_Dates'!T834&lt;'_Dates'!J834,"CHECK end before start",IF(AND($B$6=0,OR('_Dates'!J834&lt;Settings!$B$7,'_Dates'!T834&gt;Settings!$B$8)),"CHECK split across leave years",IF(OR(NOT(OR('_Dates'!U834="Full day",'_Dates'!U834="AM",'_Dates'!U834="PM")),NOT(OR('_Dates'!V834="Full day",'_Dates'!V834="AM",'_Dates'!V834="PM"))),"CHECK Full day / AM / PM",IF(AND('_Dates'!J834='_Dates'!T834,'_Dates'!U834&lt;&gt;"Full day",'_Dates'!V834&lt;&gt;"Full day",'_Dates'!U834&lt;&gt;'_Dates'!V834),"CHECK same-day portions disagree",IF(AND($B$6=0,OR(AND('_Dates'!U834&lt;&gt;"Full day",'_Dates'!AA834=0),AND('_Dates'!V834&lt;&gt;"Full day",'_Dates'!AB834=0))),"CHECK half-day on non-working date",IF(COUNTIF(Settings!$G$7:$G$11,D834)&lt;&gt;1,"CHECK leave type",IF(AND(Bookings!G834&lt;&gt;"Approved",Bookings!G834&lt;&gt;"Pending",Bookings!G834&lt;&gt;"Cancelled"),"CHECK status","OK")))))))))),"CHECK input"))</ns0:f>
        <ns0:v/>
      </ns0:c>
      <ns0:c r="G834" s="0">
        <ns0:f>IF(OR(F834&lt;&gt;"OK",$B$6&gt;0),0,0.5*(IF(('_Dates'!X834)&lt;('_Dates'!W834),0,INT((('_Dates'!X834)-('_Dates'!W834)+1)/7)*LEN(SUBSTITUTE(W834,"O",""))+LEN(SUBSTITUTE(MID(W834&amp;W834,WEEKDAY(('_Dates'!W834),2),MOD((('_Dates'!X834)-('_Dates'!W834)+1),7)),"O",""))-COUNTIFS(INDEX(AllClosureRows,C834,0),"&gt;="&amp;('_Dates'!W834),INDEX(AllClosureRows,C834,0),"&lt;="&amp;('_Dates'!X834)))+IF(('_Dates'!Z834)&lt;('_Dates'!Y834),0,INT((('_Dates'!Z834)-('_Dates'!Y834)+1)/7)*LEN(SUBSTITUTE(W834,"O",""))+LEN(SUBSTITUTE(MID(W834&amp;W834,WEEKDAY(('_Dates'!Y834),2),MOD((('_Dates'!Z834)-('_Dates'!Y834)+1),7)),"O",""))-COUNTIFS(INDEX(AllClosureRows,C834,0),"&gt;="&amp;('_Dates'!Y834),INDEX(AllClosureRows,C834,0),"&lt;="&amp;('_Dates'!Z834)))))</ns0:f>
        <ns0:v>0</ns0:v>
      </ns0:c>
      <ns0:c r="H834" s="0">
        <ns0:f>IF(OR(F834&lt;&gt;"OK",$B$6&gt;0),0,0.5*(IF((MIN('_Dates'!X834,Settings!$B$9))&lt;('_Dates'!W834),0,INT(((MIN('_Dates'!X834,Settings!$B$9))-('_Dates'!W834)+1)/7)*LEN(SUBSTITUTE(W834,"O",""))+LEN(SUBSTITUTE(MID(W834&amp;W834,WEEKDAY(('_Dates'!W834),2),MOD(((MIN('_Dates'!X834,Settings!$B$9))-('_Dates'!W834)+1),7)),"O",""))-COUNTIFS(INDEX(AllClosureRows,C834,0),"&gt;="&amp;('_Dates'!W834),INDEX(AllClosureRows,C834,0),"&lt;="&amp;(MIN('_Dates'!X834,Settings!$B$9))))+IF((MIN('_Dates'!Z834,Settings!$B$9))&lt;('_Dates'!Y834),0,INT(((MIN('_Dates'!Z834,Settings!$B$9))-('_Dates'!Y834)+1)/7)*LEN(SUBSTITUTE(W834,"O",""))+LEN(SUBSTITUTE(MID(W834&amp;W834,WEEKDAY(('_Dates'!Y834),2),MOD(((MIN('_Dates'!Z834,Settings!$B$9))-('_Dates'!Y834)+1),7)),"O",""))-COUNTIFS(INDEX(AllClosureRows,C834,0),"&gt;="&amp;('_Dates'!Y834),INDEX(AllClosureRows,C834,0),"&lt;="&amp;(MIN('_Dates'!Z834,Settings!$B$9))))))</ns0:f>
        <ns0:v>0</ns0:v>
      </ns0:c>
      <ns0:c r="I834" s="0">
        <ns0:f>MAX(0,G834-H834)</ns0:f>
        <ns0:v>0</ns0:v>
      </ns0:c>
      <ns0:c r="J834" s="0">
        <ns0:f>IF(OR(A834=0,F834&lt;&gt;"OK",Bookings!G834="Cancelled",$B$6&gt;0),0,IF('_Dates'!AC834=1,MAX(0,COUNTIFS(rngEngine_B,B834,rngAMStart,"&lt;="&amp;'_Dates'!X834,rngAMEnd,"&gt;="&amp;'_Dates'!W834,rngAMActive,1,rngEngine_F,"OK",rngBookings_F,"&lt;&gt;Cancelled")-1),0)+IF('_Dates'!AD834=1,MAX(0,COUNTIFS(rngEngine_B,B834,rngPMStart,"&lt;="&amp;'_Dates'!Z834,rngPMEnd,"&gt;="&amp;'_Dates'!Y834,rngPMActive,1,rngEngine_F,"OK",rngBookings_F,"&lt;&gt;Cancelled")-1),0))</ns0:f>
        <ns0:v>0</ns0:v>
      </ns0:c>
      <ns0:c r="K834" s="0" t="str">
        <ns0:f>IF(A834=0,"",IF(F834&lt;&gt;"OK",F834,IF(J834&gt;0,"CHECK overlapping entry",IF(AND($B$6=0,G834&lt;=0,Bookings!G834&lt;&gt;"Cancelled"),"CHECK no working days",IF(Bookings!G834="Cancelled","Cancelled","OK")))))</ns0:f>
        <ns0:v/>
      </ns0:c>
      <ns0:c r="L834" s="0">
        <ns0:f>IF(LEFT(K834,5)="CHECK",1,0)</ns0:f>
        <ns0:v>0</ns0:v>
      </ns0:c>
      <ns0:c r="M834" s="0">
        <ns0:f>IF(AND(L834=1,OR(C834=0,IFERROR(INDEX($X$11:$X$60,C834),0)=0)),1,0)</ns0:f>
        <ns0:v>0</ns0:v>
      </ns0:c>
      <ns0:c r="N834" s="0">
        <ns0:f>IF(OR(A834=0,L834&gt;0,$B$6&gt;0,Bookings!G834="Cancelled"),0,G834)</ns0:f>
        <ns0:v>0</ns0:v>
      </ns0:c>
      <ns0:c r="O834" s="0">
        <ns0:f>IF(AND(Bookings!G834="Approved",E834="Yes"),N834,0)</ns0:f>
        <ns0:v>0</ns0:v>
      </ns0:c>
      <ns0:c r="P834" s="0">
        <ns0:f>IF(AND(Bookings!G834="Approved",E834="Yes",L834=0,$B$6=0),H834,0)</ns0:f>
        <ns0:v>0</ns0:v>
      </ns0:c>
      <ns0:c r="Q834" s="0">
        <ns0:f>IF(AND(Bookings!G834="Approved",E834="Yes",L834=0,$B$6=0),I834,0)</ns0:f>
        <ns0:v>0</ns0:v>
      </ns0:c>
      <ns0:c r="R834" s="0">
        <ns0:f>IF(AND(Bookings!G834="Pending",E834="Yes"),N834,0)</ns0:f>
        <ns0:v>0</ns0:v>
      </ns0:c>
      <ns0:c r="S834" s="0">
        <ns0:f>IF(AND(Bookings!G834="Approved",E834="No"),N834,0)</ns0:f>
        <ns0:v>0</ns0:v>
      </ns0:c>
      <ns0:c r="T834" s="0">
        <ns0:f>IFERROR(MATCH(D834,Settings!$G$7:$G$11,0),0)</ns0:f>
        <ns0:v>0</ns0:v>
      </ns0:c>
      <ns0:c r="U834" s="0">
        <ns0:f>IF(N834&gt;0,T834+IF(Bookings!G834="Pending",10,0),0)</ns0:f>
        <ns0:v>0</ns0:v>
      </ns0:c>
      <ns0:c r="V834" s="0">
        <ns0:f>U834</ns0:f>
        <ns0:v>0</ns0:v>
      </ns0:c>
      <ns0:c r="W834" s="0" t="str">
        <ns0:f>IF(C834=0,"",INDEX($AP$11:$AP$60,C834))</ns0:f>
        <ns0:v/>
      </ns0:c>
    </ns0:row>
    <ns0:row r="835">
      <ns0:c r="A835" s="0">
        <ns0:f>IF(COUNTA(Bookings!A835:G835,Bookings!I835)=0,0,1)</ns0:f>
        <ns0:v>0</ns0:v>
      </ns0:c>
      <ns0:c r="B835" s="0" t="str">
        <ns0:f>IFERROR(TRIM(MID(Bookings!A835,FIND(" · ",Bookings!A835)+3,99)),"")</ns0:f>
        <ns0:v/>
      </ns0:c>
      <ns0:c r="C835" s="0">
        <ns0:f>IF(OR(B835="",LEN(B835)&gt;24,ISNUMBER(FIND(" ",B835)),ISNUMBER(FIND("*",B835)),ISNUMBER(FIND("?",B835)),ISNUMBER(FIND("~",B835))),0,IFERROR(MATCH(B835,Team!$A$11:$A$60,0),0))</ns0:f>
        <ns0:v>0</ns0:v>
      </ns0:c>
      <ns0:c r="D835" s="0" t="str">
        <ns0:f>IFERROR(IF(MID(Bookings!F835,LEN(Bookings!F835)-3,3)=" · ",RIGHT(Bookings!F835,1),""),"")</ns0:f>
        <ns0:v/>
      </ns0:c>
      <ns0:c r="E835" s="0" t="str">
        <ns0:f>IFERROR(INDEX(Settings!$H$7:$H$11,MATCH(D835,Settings!$G$7:$G$11,0)),"")</ns0:f>
        <ns0:v/>
      </ns0:c>
      <ns0:c r="F835" s="0" t="str">
        <ns0:f>IF(A835=0,"",IFERROR(IF(OR(B835="",C835=0),"CHECK employee selection",IF(INDEX(Team!$O$11:$O$60,C835)&lt;&gt;"OK","CHECK employee setup",IF(OR('_Dates'!J835=0,'_Dates'!T835=0),"CHECK date: use DD.MM.YYYY",IF('_Dates'!T835&lt;'_Dates'!J835,"CHECK end before start",IF(AND($B$6=0,OR('_Dates'!J835&lt;Settings!$B$7,'_Dates'!T835&gt;Settings!$B$8)),"CHECK split across leave years",IF(OR(NOT(OR('_Dates'!U835="Full day",'_Dates'!U835="AM",'_Dates'!U835="PM")),NOT(OR('_Dates'!V835="Full day",'_Dates'!V835="AM",'_Dates'!V835="PM"))),"CHECK Full day / AM / PM",IF(AND('_Dates'!J835='_Dates'!T835,'_Dates'!U835&lt;&gt;"Full day",'_Dates'!V835&lt;&gt;"Full day",'_Dates'!U835&lt;&gt;'_Dates'!V835),"CHECK same-day portions disagree",IF(AND($B$6=0,OR(AND('_Dates'!U835&lt;&gt;"Full day",'_Dates'!AA835=0),AND('_Dates'!V835&lt;&gt;"Full day",'_Dates'!AB835=0))),"CHECK half-day on non-working date",IF(COUNTIF(Settings!$G$7:$G$11,D835)&lt;&gt;1,"CHECK leave type",IF(AND(Bookings!G835&lt;&gt;"Approved",Bookings!G835&lt;&gt;"Pending",Bookings!G835&lt;&gt;"Cancelled"),"CHECK status","OK")))))))))),"CHECK input"))</ns0:f>
        <ns0:v/>
      </ns0:c>
      <ns0:c r="G835" s="0">
        <ns0:f>IF(OR(F835&lt;&gt;"OK",$B$6&gt;0),0,0.5*(IF(('_Dates'!X835)&lt;('_Dates'!W835),0,INT((('_Dates'!X835)-('_Dates'!W835)+1)/7)*LEN(SUBSTITUTE(W835,"O",""))+LEN(SUBSTITUTE(MID(W835&amp;W835,WEEKDAY(('_Dates'!W835),2),MOD((('_Dates'!X835)-('_Dates'!W835)+1),7)),"O",""))-COUNTIFS(INDEX(AllClosureRows,C835,0),"&gt;="&amp;('_Dates'!W835),INDEX(AllClosureRows,C835,0),"&lt;="&amp;('_Dates'!X835)))+IF(('_Dates'!Z835)&lt;('_Dates'!Y835),0,INT((('_Dates'!Z835)-('_Dates'!Y835)+1)/7)*LEN(SUBSTITUTE(W835,"O",""))+LEN(SUBSTITUTE(MID(W835&amp;W835,WEEKDAY(('_Dates'!Y835),2),MOD((('_Dates'!Z835)-('_Dates'!Y835)+1),7)),"O",""))-COUNTIFS(INDEX(AllClosureRows,C835,0),"&gt;="&amp;('_Dates'!Y835),INDEX(AllClosureRows,C835,0),"&lt;="&amp;('_Dates'!Z835)))))</ns0:f>
        <ns0:v>0</ns0:v>
      </ns0:c>
      <ns0:c r="H835" s="0">
        <ns0:f>IF(OR(F835&lt;&gt;"OK",$B$6&gt;0),0,0.5*(IF((MIN('_Dates'!X835,Settings!$B$9))&lt;('_Dates'!W835),0,INT(((MIN('_Dates'!X835,Settings!$B$9))-('_Dates'!W835)+1)/7)*LEN(SUBSTITUTE(W835,"O",""))+LEN(SUBSTITUTE(MID(W835&amp;W835,WEEKDAY(('_Dates'!W835),2),MOD(((MIN('_Dates'!X835,Settings!$B$9))-('_Dates'!W835)+1),7)),"O",""))-COUNTIFS(INDEX(AllClosureRows,C835,0),"&gt;="&amp;('_Dates'!W835),INDEX(AllClosureRows,C835,0),"&lt;="&amp;(MIN('_Dates'!X835,Settings!$B$9))))+IF((MIN('_Dates'!Z835,Settings!$B$9))&lt;('_Dates'!Y835),0,INT(((MIN('_Dates'!Z835,Settings!$B$9))-('_Dates'!Y835)+1)/7)*LEN(SUBSTITUTE(W835,"O",""))+LEN(SUBSTITUTE(MID(W835&amp;W835,WEEKDAY(('_Dates'!Y835),2),MOD(((MIN('_Dates'!Z835,Settings!$B$9))-('_Dates'!Y835)+1),7)),"O",""))-COUNTIFS(INDEX(AllClosureRows,C835,0),"&gt;="&amp;('_Dates'!Y835),INDEX(AllClosureRows,C835,0),"&lt;="&amp;(MIN('_Dates'!Z835,Settings!$B$9))))))</ns0:f>
        <ns0:v>0</ns0:v>
      </ns0:c>
      <ns0:c r="I835" s="0">
        <ns0:f>MAX(0,G835-H835)</ns0:f>
        <ns0:v>0</ns0:v>
      </ns0:c>
      <ns0:c r="J835" s="0">
        <ns0:f>IF(OR(A835=0,F835&lt;&gt;"OK",Bookings!G835="Cancelled",$B$6&gt;0),0,IF('_Dates'!AC835=1,MAX(0,COUNTIFS(rngEngine_B,B835,rngAMStart,"&lt;="&amp;'_Dates'!X835,rngAMEnd,"&gt;="&amp;'_Dates'!W835,rngAMActive,1,rngEngine_F,"OK",rngBookings_F,"&lt;&gt;Cancelled")-1),0)+IF('_Dates'!AD835=1,MAX(0,COUNTIFS(rngEngine_B,B835,rngPMStart,"&lt;="&amp;'_Dates'!Z835,rngPMEnd,"&gt;="&amp;'_Dates'!Y835,rngPMActive,1,rngEngine_F,"OK",rngBookings_F,"&lt;&gt;Cancelled")-1),0))</ns0:f>
        <ns0:v>0</ns0:v>
      </ns0:c>
      <ns0:c r="K835" s="0" t="str">
        <ns0:f>IF(A835=0,"",IF(F835&lt;&gt;"OK",F835,IF(J835&gt;0,"CHECK overlapping entry",IF(AND($B$6=0,G835&lt;=0,Bookings!G835&lt;&gt;"Cancelled"),"CHECK no working days",IF(Bookings!G835="Cancelled","Cancelled","OK")))))</ns0:f>
        <ns0:v/>
      </ns0:c>
      <ns0:c r="L835" s="0">
        <ns0:f>IF(LEFT(K835,5)="CHECK",1,0)</ns0:f>
        <ns0:v>0</ns0:v>
      </ns0:c>
      <ns0:c r="M835" s="0">
        <ns0:f>IF(AND(L835=1,OR(C835=0,IFERROR(INDEX($X$11:$X$60,C835),0)=0)),1,0)</ns0:f>
        <ns0:v>0</ns0:v>
      </ns0:c>
      <ns0:c r="N835" s="0">
        <ns0:f>IF(OR(A835=0,L835&gt;0,$B$6&gt;0,Bookings!G835="Cancelled"),0,G835)</ns0:f>
        <ns0:v>0</ns0:v>
      </ns0:c>
      <ns0:c r="O835" s="0">
        <ns0:f>IF(AND(Bookings!G835="Approved",E835="Yes"),N835,0)</ns0:f>
        <ns0:v>0</ns0:v>
      </ns0:c>
      <ns0:c r="P835" s="0">
        <ns0:f>IF(AND(Bookings!G835="Approved",E835="Yes",L835=0,$B$6=0),H835,0)</ns0:f>
        <ns0:v>0</ns0:v>
      </ns0:c>
      <ns0:c r="Q835" s="0">
        <ns0:f>IF(AND(Bookings!G835="Approved",E835="Yes",L835=0,$B$6=0),I835,0)</ns0:f>
        <ns0:v>0</ns0:v>
      </ns0:c>
      <ns0:c r="R835" s="0">
        <ns0:f>IF(AND(Bookings!G835="Pending",E835="Yes"),N835,0)</ns0:f>
        <ns0:v>0</ns0:v>
      </ns0:c>
      <ns0:c r="S835" s="0">
        <ns0:f>IF(AND(Bookings!G835="Approved",E835="No"),N835,0)</ns0:f>
        <ns0:v>0</ns0:v>
      </ns0:c>
      <ns0:c r="T835" s="0">
        <ns0:f>IFERROR(MATCH(D835,Settings!$G$7:$G$11,0),0)</ns0:f>
        <ns0:v>0</ns0:v>
      </ns0:c>
      <ns0:c r="U835" s="0">
        <ns0:f>IF(N835&gt;0,T835+IF(Bookings!G835="Pending",10,0),0)</ns0:f>
        <ns0:v>0</ns0:v>
      </ns0:c>
      <ns0:c r="V835" s="0">
        <ns0:f>U835</ns0:f>
        <ns0:v>0</ns0:v>
      </ns0:c>
      <ns0:c r="W835" s="0" t="str">
        <ns0:f>IF(C835=0,"",INDEX($AP$11:$AP$60,C835))</ns0:f>
        <ns0:v/>
      </ns0:c>
    </ns0:row>
    <ns0:row r="836">
      <ns0:c r="A836" s="0">
        <ns0:f>IF(COUNTA(Bookings!A836:G836,Bookings!I836)=0,0,1)</ns0:f>
        <ns0:v>0</ns0:v>
      </ns0:c>
      <ns0:c r="B836" s="0" t="str">
        <ns0:f>IFERROR(TRIM(MID(Bookings!A836,FIND(" · ",Bookings!A836)+3,99)),"")</ns0:f>
        <ns0:v/>
      </ns0:c>
      <ns0:c r="C836" s="0">
        <ns0:f>IF(OR(B836="",LEN(B836)&gt;24,ISNUMBER(FIND(" ",B836)),ISNUMBER(FIND("*",B836)),ISNUMBER(FIND("?",B836)),ISNUMBER(FIND("~",B836))),0,IFERROR(MATCH(B836,Team!$A$11:$A$60,0),0))</ns0:f>
        <ns0:v>0</ns0:v>
      </ns0:c>
      <ns0:c r="D836" s="0" t="str">
        <ns0:f>IFERROR(IF(MID(Bookings!F836,LEN(Bookings!F836)-3,3)=" · ",RIGHT(Bookings!F836,1),""),"")</ns0:f>
        <ns0:v/>
      </ns0:c>
      <ns0:c r="E836" s="0" t="str">
        <ns0:f>IFERROR(INDEX(Settings!$H$7:$H$11,MATCH(D836,Settings!$G$7:$G$11,0)),"")</ns0:f>
        <ns0:v/>
      </ns0:c>
      <ns0:c r="F836" s="0" t="str">
        <ns0:f>IF(A836=0,"",IFERROR(IF(OR(B836="",C836=0),"CHECK employee selection",IF(INDEX(Team!$O$11:$O$60,C836)&lt;&gt;"OK","CHECK employee setup",IF(OR('_Dates'!J836=0,'_Dates'!T836=0),"CHECK date: use DD.MM.YYYY",IF('_Dates'!T836&lt;'_Dates'!J836,"CHECK end before start",IF(AND($B$6=0,OR('_Dates'!J836&lt;Settings!$B$7,'_Dates'!T836&gt;Settings!$B$8)),"CHECK split across leave years",IF(OR(NOT(OR('_Dates'!U836="Full day",'_Dates'!U836="AM",'_Dates'!U836="PM")),NOT(OR('_Dates'!V836="Full day",'_Dates'!V836="AM",'_Dates'!V836="PM"))),"CHECK Full day / AM / PM",IF(AND('_Dates'!J836='_Dates'!T836,'_Dates'!U836&lt;&gt;"Full day",'_Dates'!V836&lt;&gt;"Full day",'_Dates'!U836&lt;&gt;'_Dates'!V836),"CHECK same-day portions disagree",IF(AND($B$6=0,OR(AND('_Dates'!U836&lt;&gt;"Full day",'_Dates'!AA836=0),AND('_Dates'!V836&lt;&gt;"Full day",'_Dates'!AB836=0))),"CHECK half-day on non-working date",IF(COUNTIF(Settings!$G$7:$G$11,D836)&lt;&gt;1,"CHECK leave type",IF(AND(Bookings!G836&lt;&gt;"Approved",Bookings!G836&lt;&gt;"Pending",Bookings!G836&lt;&gt;"Cancelled"),"CHECK status","OK")))))))))),"CHECK input"))</ns0:f>
        <ns0:v/>
      </ns0:c>
      <ns0:c r="G836" s="0">
        <ns0:f>IF(OR(F836&lt;&gt;"OK",$B$6&gt;0),0,0.5*(IF(('_Dates'!X836)&lt;('_Dates'!W836),0,INT((('_Dates'!X836)-('_Dates'!W836)+1)/7)*LEN(SUBSTITUTE(W836,"O",""))+LEN(SUBSTITUTE(MID(W836&amp;W836,WEEKDAY(('_Dates'!W836),2),MOD((('_Dates'!X836)-('_Dates'!W836)+1),7)),"O",""))-COUNTIFS(INDEX(AllClosureRows,C836,0),"&gt;="&amp;('_Dates'!W836),INDEX(AllClosureRows,C836,0),"&lt;="&amp;('_Dates'!X836)))+IF(('_Dates'!Z836)&lt;('_Dates'!Y836),0,INT((('_Dates'!Z836)-('_Dates'!Y836)+1)/7)*LEN(SUBSTITUTE(W836,"O",""))+LEN(SUBSTITUTE(MID(W836&amp;W836,WEEKDAY(('_Dates'!Y836),2),MOD((('_Dates'!Z836)-('_Dates'!Y836)+1),7)),"O",""))-COUNTIFS(INDEX(AllClosureRows,C836,0),"&gt;="&amp;('_Dates'!Y836),INDEX(AllClosureRows,C836,0),"&lt;="&amp;('_Dates'!Z836)))))</ns0:f>
        <ns0:v>0</ns0:v>
      </ns0:c>
      <ns0:c r="H836" s="0">
        <ns0:f>IF(OR(F836&lt;&gt;"OK",$B$6&gt;0),0,0.5*(IF((MIN('_Dates'!X836,Settings!$B$9))&lt;('_Dates'!W836),0,INT(((MIN('_Dates'!X836,Settings!$B$9))-('_Dates'!W836)+1)/7)*LEN(SUBSTITUTE(W836,"O",""))+LEN(SUBSTITUTE(MID(W836&amp;W836,WEEKDAY(('_Dates'!W836),2),MOD(((MIN('_Dates'!X836,Settings!$B$9))-('_Dates'!W836)+1),7)),"O",""))-COUNTIFS(INDEX(AllClosureRows,C836,0),"&gt;="&amp;('_Dates'!W836),INDEX(AllClosureRows,C836,0),"&lt;="&amp;(MIN('_Dates'!X836,Settings!$B$9))))+IF((MIN('_Dates'!Z836,Settings!$B$9))&lt;('_Dates'!Y836),0,INT(((MIN('_Dates'!Z836,Settings!$B$9))-('_Dates'!Y836)+1)/7)*LEN(SUBSTITUTE(W836,"O",""))+LEN(SUBSTITUTE(MID(W836&amp;W836,WEEKDAY(('_Dates'!Y836),2),MOD(((MIN('_Dates'!Z836,Settings!$B$9))-('_Dates'!Y836)+1),7)),"O",""))-COUNTIFS(INDEX(AllClosureRows,C836,0),"&gt;="&amp;('_Dates'!Y836),INDEX(AllClosureRows,C836,0),"&lt;="&amp;(MIN('_Dates'!Z836,Settings!$B$9))))))</ns0:f>
        <ns0:v>0</ns0:v>
      </ns0:c>
      <ns0:c r="I836" s="0">
        <ns0:f>MAX(0,G836-H836)</ns0:f>
        <ns0:v>0</ns0:v>
      </ns0:c>
      <ns0:c r="J836" s="0">
        <ns0:f>IF(OR(A836=0,F836&lt;&gt;"OK",Bookings!G836="Cancelled",$B$6&gt;0),0,IF('_Dates'!AC836=1,MAX(0,COUNTIFS(rngEngine_B,B836,rngAMStart,"&lt;="&amp;'_Dates'!X836,rngAMEnd,"&gt;="&amp;'_Dates'!W836,rngAMActive,1,rngEngine_F,"OK",rngBookings_F,"&lt;&gt;Cancelled")-1),0)+IF('_Dates'!AD836=1,MAX(0,COUNTIFS(rngEngine_B,B836,rngPMStart,"&lt;="&amp;'_Dates'!Z836,rngPMEnd,"&gt;="&amp;'_Dates'!Y836,rngPMActive,1,rngEngine_F,"OK",rngBookings_F,"&lt;&gt;Cancelled")-1),0))</ns0:f>
        <ns0:v>0</ns0:v>
      </ns0:c>
      <ns0:c r="K836" s="0" t="str">
        <ns0:f>IF(A836=0,"",IF(F836&lt;&gt;"OK",F836,IF(J836&gt;0,"CHECK overlapping entry",IF(AND($B$6=0,G836&lt;=0,Bookings!G836&lt;&gt;"Cancelled"),"CHECK no working days",IF(Bookings!G836="Cancelled","Cancelled","OK")))))</ns0:f>
        <ns0:v/>
      </ns0:c>
      <ns0:c r="L836" s="0">
        <ns0:f>IF(LEFT(K836,5)="CHECK",1,0)</ns0:f>
        <ns0:v>0</ns0:v>
      </ns0:c>
      <ns0:c r="M836" s="0">
        <ns0:f>IF(AND(L836=1,OR(C836=0,IFERROR(INDEX($X$11:$X$60,C836),0)=0)),1,0)</ns0:f>
        <ns0:v>0</ns0:v>
      </ns0:c>
      <ns0:c r="N836" s="0">
        <ns0:f>IF(OR(A836=0,L836&gt;0,$B$6&gt;0,Bookings!G836="Cancelled"),0,G836)</ns0:f>
        <ns0:v>0</ns0:v>
      </ns0:c>
      <ns0:c r="O836" s="0">
        <ns0:f>IF(AND(Bookings!G836="Approved",E836="Yes"),N836,0)</ns0:f>
        <ns0:v>0</ns0:v>
      </ns0:c>
      <ns0:c r="P836" s="0">
        <ns0:f>IF(AND(Bookings!G836="Approved",E836="Yes",L836=0,$B$6=0),H836,0)</ns0:f>
        <ns0:v>0</ns0:v>
      </ns0:c>
      <ns0:c r="Q836" s="0">
        <ns0:f>IF(AND(Bookings!G836="Approved",E836="Yes",L836=0,$B$6=0),I836,0)</ns0:f>
        <ns0:v>0</ns0:v>
      </ns0:c>
      <ns0:c r="R836" s="0">
        <ns0:f>IF(AND(Bookings!G836="Pending",E836="Yes"),N836,0)</ns0:f>
        <ns0:v>0</ns0:v>
      </ns0:c>
      <ns0:c r="S836" s="0">
        <ns0:f>IF(AND(Bookings!G836="Approved",E836="No"),N836,0)</ns0:f>
        <ns0:v>0</ns0:v>
      </ns0:c>
      <ns0:c r="T836" s="0">
        <ns0:f>IFERROR(MATCH(D836,Settings!$G$7:$G$11,0),0)</ns0:f>
        <ns0:v>0</ns0:v>
      </ns0:c>
      <ns0:c r="U836" s="0">
        <ns0:f>IF(N836&gt;0,T836+IF(Bookings!G836="Pending",10,0),0)</ns0:f>
        <ns0:v>0</ns0:v>
      </ns0:c>
      <ns0:c r="V836" s="0">
        <ns0:f>U836</ns0:f>
        <ns0:v>0</ns0:v>
      </ns0:c>
      <ns0:c r="W836" s="0" t="str">
        <ns0:f>IF(C836=0,"",INDEX($AP$11:$AP$60,C836))</ns0:f>
        <ns0:v/>
      </ns0:c>
    </ns0:row>
    <ns0:row r="837">
      <ns0:c r="A837" s="0">
        <ns0:f>IF(COUNTA(Bookings!A837:G837,Bookings!I837)=0,0,1)</ns0:f>
        <ns0:v>0</ns0:v>
      </ns0:c>
      <ns0:c r="B837" s="0" t="str">
        <ns0:f>IFERROR(TRIM(MID(Bookings!A837,FIND(" · ",Bookings!A837)+3,99)),"")</ns0:f>
        <ns0:v/>
      </ns0:c>
      <ns0:c r="C837" s="0">
        <ns0:f>IF(OR(B837="",LEN(B837)&gt;24,ISNUMBER(FIND(" ",B837)),ISNUMBER(FIND("*",B837)),ISNUMBER(FIND("?",B837)),ISNUMBER(FIND("~",B837))),0,IFERROR(MATCH(B837,Team!$A$11:$A$60,0),0))</ns0:f>
        <ns0:v>0</ns0:v>
      </ns0:c>
      <ns0:c r="D837" s="0" t="str">
        <ns0:f>IFERROR(IF(MID(Bookings!F837,LEN(Bookings!F837)-3,3)=" · ",RIGHT(Bookings!F837,1),""),"")</ns0:f>
        <ns0:v/>
      </ns0:c>
      <ns0:c r="E837" s="0" t="str">
        <ns0:f>IFERROR(INDEX(Settings!$H$7:$H$11,MATCH(D837,Settings!$G$7:$G$11,0)),"")</ns0:f>
        <ns0:v/>
      </ns0:c>
      <ns0:c r="F837" s="0" t="str">
        <ns0:f>IF(A837=0,"",IFERROR(IF(OR(B837="",C837=0),"CHECK employee selection",IF(INDEX(Team!$O$11:$O$60,C837)&lt;&gt;"OK","CHECK employee setup",IF(OR('_Dates'!J837=0,'_Dates'!T837=0),"CHECK date: use DD.MM.YYYY",IF('_Dates'!T837&lt;'_Dates'!J837,"CHECK end before start",IF(AND($B$6=0,OR('_Dates'!J837&lt;Settings!$B$7,'_Dates'!T837&gt;Settings!$B$8)),"CHECK split across leave years",IF(OR(NOT(OR('_Dates'!U837="Full day",'_Dates'!U837="AM",'_Dates'!U837="PM")),NOT(OR('_Dates'!V837="Full day",'_Dates'!V837="AM",'_Dates'!V837="PM"))),"CHECK Full day / AM / PM",IF(AND('_Dates'!J837='_Dates'!T837,'_Dates'!U837&lt;&gt;"Full day",'_Dates'!V837&lt;&gt;"Full day",'_Dates'!U837&lt;&gt;'_Dates'!V837),"CHECK same-day portions disagree",IF(AND($B$6=0,OR(AND('_Dates'!U837&lt;&gt;"Full day",'_Dates'!AA837=0),AND('_Dates'!V837&lt;&gt;"Full day",'_Dates'!AB837=0))),"CHECK half-day on non-working date",IF(COUNTIF(Settings!$G$7:$G$11,D837)&lt;&gt;1,"CHECK leave type",IF(AND(Bookings!G837&lt;&gt;"Approved",Bookings!G837&lt;&gt;"Pending",Bookings!G837&lt;&gt;"Cancelled"),"CHECK status","OK")))))))))),"CHECK input"))</ns0:f>
        <ns0:v/>
      </ns0:c>
      <ns0:c r="G837" s="0">
        <ns0:f>IF(OR(F837&lt;&gt;"OK",$B$6&gt;0),0,0.5*(IF(('_Dates'!X837)&lt;('_Dates'!W837),0,INT((('_Dates'!X837)-('_Dates'!W837)+1)/7)*LEN(SUBSTITUTE(W837,"O",""))+LEN(SUBSTITUTE(MID(W837&amp;W837,WEEKDAY(('_Dates'!W837),2),MOD((('_Dates'!X837)-('_Dates'!W837)+1),7)),"O",""))-COUNTIFS(INDEX(AllClosureRows,C837,0),"&gt;="&amp;('_Dates'!W837),INDEX(AllClosureRows,C837,0),"&lt;="&amp;('_Dates'!X837)))+IF(('_Dates'!Z837)&lt;('_Dates'!Y837),0,INT((('_Dates'!Z837)-('_Dates'!Y837)+1)/7)*LEN(SUBSTITUTE(W837,"O",""))+LEN(SUBSTITUTE(MID(W837&amp;W837,WEEKDAY(('_Dates'!Y837),2),MOD((('_Dates'!Z837)-('_Dates'!Y837)+1),7)),"O",""))-COUNTIFS(INDEX(AllClosureRows,C837,0),"&gt;="&amp;('_Dates'!Y837),INDEX(AllClosureRows,C837,0),"&lt;="&amp;('_Dates'!Z837)))))</ns0:f>
        <ns0:v>0</ns0:v>
      </ns0:c>
      <ns0:c r="H837" s="0">
        <ns0:f>IF(OR(F837&lt;&gt;"OK",$B$6&gt;0),0,0.5*(IF((MIN('_Dates'!X837,Settings!$B$9))&lt;('_Dates'!W837),0,INT(((MIN('_Dates'!X837,Settings!$B$9))-('_Dates'!W837)+1)/7)*LEN(SUBSTITUTE(W837,"O",""))+LEN(SUBSTITUTE(MID(W837&amp;W837,WEEKDAY(('_Dates'!W837),2),MOD(((MIN('_Dates'!X837,Settings!$B$9))-('_Dates'!W837)+1),7)),"O",""))-COUNTIFS(INDEX(AllClosureRows,C837,0),"&gt;="&amp;('_Dates'!W837),INDEX(AllClosureRows,C837,0),"&lt;="&amp;(MIN('_Dates'!X837,Settings!$B$9))))+IF((MIN('_Dates'!Z837,Settings!$B$9))&lt;('_Dates'!Y837),0,INT(((MIN('_Dates'!Z837,Settings!$B$9))-('_Dates'!Y837)+1)/7)*LEN(SUBSTITUTE(W837,"O",""))+LEN(SUBSTITUTE(MID(W837&amp;W837,WEEKDAY(('_Dates'!Y837),2),MOD(((MIN('_Dates'!Z837,Settings!$B$9))-('_Dates'!Y837)+1),7)),"O",""))-COUNTIFS(INDEX(AllClosureRows,C837,0),"&gt;="&amp;('_Dates'!Y837),INDEX(AllClosureRows,C837,0),"&lt;="&amp;(MIN('_Dates'!Z837,Settings!$B$9))))))</ns0:f>
        <ns0:v>0</ns0:v>
      </ns0:c>
      <ns0:c r="I837" s="0">
        <ns0:f>MAX(0,G837-H837)</ns0:f>
        <ns0:v>0</ns0:v>
      </ns0:c>
      <ns0:c r="J837" s="0">
        <ns0:f>IF(OR(A837=0,F837&lt;&gt;"OK",Bookings!G837="Cancelled",$B$6&gt;0),0,IF('_Dates'!AC837=1,MAX(0,COUNTIFS(rngEngine_B,B837,rngAMStart,"&lt;="&amp;'_Dates'!X837,rngAMEnd,"&gt;="&amp;'_Dates'!W837,rngAMActive,1,rngEngine_F,"OK",rngBookings_F,"&lt;&gt;Cancelled")-1),0)+IF('_Dates'!AD837=1,MAX(0,COUNTIFS(rngEngine_B,B837,rngPMStart,"&lt;="&amp;'_Dates'!Z837,rngPMEnd,"&gt;="&amp;'_Dates'!Y837,rngPMActive,1,rngEngine_F,"OK",rngBookings_F,"&lt;&gt;Cancelled")-1),0))</ns0:f>
        <ns0:v>0</ns0:v>
      </ns0:c>
      <ns0:c r="K837" s="0" t="str">
        <ns0:f>IF(A837=0,"",IF(F837&lt;&gt;"OK",F837,IF(J837&gt;0,"CHECK overlapping entry",IF(AND($B$6=0,G837&lt;=0,Bookings!G837&lt;&gt;"Cancelled"),"CHECK no working days",IF(Bookings!G837="Cancelled","Cancelled","OK")))))</ns0:f>
        <ns0:v/>
      </ns0:c>
      <ns0:c r="L837" s="0">
        <ns0:f>IF(LEFT(K837,5)="CHECK",1,0)</ns0:f>
        <ns0:v>0</ns0:v>
      </ns0:c>
      <ns0:c r="M837" s="0">
        <ns0:f>IF(AND(L837=1,OR(C837=0,IFERROR(INDEX($X$11:$X$60,C837),0)=0)),1,0)</ns0:f>
        <ns0:v>0</ns0:v>
      </ns0:c>
      <ns0:c r="N837" s="0">
        <ns0:f>IF(OR(A837=0,L837&gt;0,$B$6&gt;0,Bookings!G837="Cancelled"),0,G837)</ns0:f>
        <ns0:v>0</ns0:v>
      </ns0:c>
      <ns0:c r="O837" s="0">
        <ns0:f>IF(AND(Bookings!G837="Approved",E837="Yes"),N837,0)</ns0:f>
        <ns0:v>0</ns0:v>
      </ns0:c>
      <ns0:c r="P837" s="0">
        <ns0:f>IF(AND(Bookings!G837="Approved",E837="Yes",L837=0,$B$6=0),H837,0)</ns0:f>
        <ns0:v>0</ns0:v>
      </ns0:c>
      <ns0:c r="Q837" s="0">
        <ns0:f>IF(AND(Bookings!G837="Approved",E837="Yes",L837=0,$B$6=0),I837,0)</ns0:f>
        <ns0:v>0</ns0:v>
      </ns0:c>
      <ns0:c r="R837" s="0">
        <ns0:f>IF(AND(Bookings!G837="Pending",E837="Yes"),N837,0)</ns0:f>
        <ns0:v>0</ns0:v>
      </ns0:c>
      <ns0:c r="S837" s="0">
        <ns0:f>IF(AND(Bookings!G837="Approved",E837="No"),N837,0)</ns0:f>
        <ns0:v>0</ns0:v>
      </ns0:c>
      <ns0:c r="T837" s="0">
        <ns0:f>IFERROR(MATCH(D837,Settings!$G$7:$G$11,0),0)</ns0:f>
        <ns0:v>0</ns0:v>
      </ns0:c>
      <ns0:c r="U837" s="0">
        <ns0:f>IF(N837&gt;0,T837+IF(Bookings!G837="Pending",10,0),0)</ns0:f>
        <ns0:v>0</ns0:v>
      </ns0:c>
      <ns0:c r="V837" s="0">
        <ns0:f>U837</ns0:f>
        <ns0:v>0</ns0:v>
      </ns0:c>
      <ns0:c r="W837" s="0" t="str">
        <ns0:f>IF(C837=0,"",INDEX($AP$11:$AP$60,C837))</ns0:f>
        <ns0:v/>
      </ns0:c>
    </ns0:row>
    <ns0:row r="838">
      <ns0:c r="A838" s="0">
        <ns0:f>IF(COUNTA(Bookings!A838:G838,Bookings!I838)=0,0,1)</ns0:f>
        <ns0:v>0</ns0:v>
      </ns0:c>
      <ns0:c r="B838" s="0" t="str">
        <ns0:f>IFERROR(TRIM(MID(Bookings!A838,FIND(" · ",Bookings!A838)+3,99)),"")</ns0:f>
        <ns0:v/>
      </ns0:c>
      <ns0:c r="C838" s="0">
        <ns0:f>IF(OR(B838="",LEN(B838)&gt;24,ISNUMBER(FIND(" ",B838)),ISNUMBER(FIND("*",B838)),ISNUMBER(FIND("?",B838)),ISNUMBER(FIND("~",B838))),0,IFERROR(MATCH(B838,Team!$A$11:$A$60,0),0))</ns0:f>
        <ns0:v>0</ns0:v>
      </ns0:c>
      <ns0:c r="D838" s="0" t="str">
        <ns0:f>IFERROR(IF(MID(Bookings!F838,LEN(Bookings!F838)-3,3)=" · ",RIGHT(Bookings!F838,1),""),"")</ns0:f>
        <ns0:v/>
      </ns0:c>
      <ns0:c r="E838" s="0" t="str">
        <ns0:f>IFERROR(INDEX(Settings!$H$7:$H$11,MATCH(D838,Settings!$G$7:$G$11,0)),"")</ns0:f>
        <ns0:v/>
      </ns0:c>
      <ns0:c r="F838" s="0" t="str">
        <ns0:f>IF(A838=0,"",IFERROR(IF(OR(B838="",C838=0),"CHECK employee selection",IF(INDEX(Team!$O$11:$O$60,C838)&lt;&gt;"OK","CHECK employee setup",IF(OR('_Dates'!J838=0,'_Dates'!T838=0),"CHECK date: use DD.MM.YYYY",IF('_Dates'!T838&lt;'_Dates'!J838,"CHECK end before start",IF(AND($B$6=0,OR('_Dates'!J838&lt;Settings!$B$7,'_Dates'!T838&gt;Settings!$B$8)),"CHECK split across leave years",IF(OR(NOT(OR('_Dates'!U838="Full day",'_Dates'!U838="AM",'_Dates'!U838="PM")),NOT(OR('_Dates'!V838="Full day",'_Dates'!V838="AM",'_Dates'!V838="PM"))),"CHECK Full day / AM / PM",IF(AND('_Dates'!J838='_Dates'!T838,'_Dates'!U838&lt;&gt;"Full day",'_Dates'!V838&lt;&gt;"Full day",'_Dates'!U838&lt;&gt;'_Dates'!V838),"CHECK same-day portions disagree",IF(AND($B$6=0,OR(AND('_Dates'!U838&lt;&gt;"Full day",'_Dates'!AA838=0),AND('_Dates'!V838&lt;&gt;"Full day",'_Dates'!AB838=0))),"CHECK half-day on non-working date",IF(COUNTIF(Settings!$G$7:$G$11,D838)&lt;&gt;1,"CHECK leave type",IF(AND(Bookings!G838&lt;&gt;"Approved",Bookings!G838&lt;&gt;"Pending",Bookings!G838&lt;&gt;"Cancelled"),"CHECK status","OK")))))))))),"CHECK input"))</ns0:f>
        <ns0:v/>
      </ns0:c>
      <ns0:c r="G838" s="0">
        <ns0:f>IF(OR(F838&lt;&gt;"OK",$B$6&gt;0),0,0.5*(IF(('_Dates'!X838)&lt;('_Dates'!W838),0,INT((('_Dates'!X838)-('_Dates'!W838)+1)/7)*LEN(SUBSTITUTE(W838,"O",""))+LEN(SUBSTITUTE(MID(W838&amp;W838,WEEKDAY(('_Dates'!W838),2),MOD((('_Dates'!X838)-('_Dates'!W838)+1),7)),"O",""))-COUNTIFS(INDEX(AllClosureRows,C838,0),"&gt;="&amp;('_Dates'!W838),INDEX(AllClosureRows,C838,0),"&lt;="&amp;('_Dates'!X838)))+IF(('_Dates'!Z838)&lt;('_Dates'!Y838),0,INT((('_Dates'!Z838)-('_Dates'!Y838)+1)/7)*LEN(SUBSTITUTE(W838,"O",""))+LEN(SUBSTITUTE(MID(W838&amp;W838,WEEKDAY(('_Dates'!Y838),2),MOD((('_Dates'!Z838)-('_Dates'!Y838)+1),7)),"O",""))-COUNTIFS(INDEX(AllClosureRows,C838,0),"&gt;="&amp;('_Dates'!Y838),INDEX(AllClosureRows,C838,0),"&lt;="&amp;('_Dates'!Z838)))))</ns0:f>
        <ns0:v>0</ns0:v>
      </ns0:c>
      <ns0:c r="H838" s="0">
        <ns0:f>IF(OR(F838&lt;&gt;"OK",$B$6&gt;0),0,0.5*(IF((MIN('_Dates'!X838,Settings!$B$9))&lt;('_Dates'!W838),0,INT(((MIN('_Dates'!X838,Settings!$B$9))-('_Dates'!W838)+1)/7)*LEN(SUBSTITUTE(W838,"O",""))+LEN(SUBSTITUTE(MID(W838&amp;W838,WEEKDAY(('_Dates'!W838),2),MOD(((MIN('_Dates'!X838,Settings!$B$9))-('_Dates'!W838)+1),7)),"O",""))-COUNTIFS(INDEX(AllClosureRows,C838,0),"&gt;="&amp;('_Dates'!W838),INDEX(AllClosureRows,C838,0),"&lt;="&amp;(MIN('_Dates'!X838,Settings!$B$9))))+IF((MIN('_Dates'!Z838,Settings!$B$9))&lt;('_Dates'!Y838),0,INT(((MIN('_Dates'!Z838,Settings!$B$9))-('_Dates'!Y838)+1)/7)*LEN(SUBSTITUTE(W838,"O",""))+LEN(SUBSTITUTE(MID(W838&amp;W838,WEEKDAY(('_Dates'!Y838),2),MOD(((MIN('_Dates'!Z838,Settings!$B$9))-('_Dates'!Y838)+1),7)),"O",""))-COUNTIFS(INDEX(AllClosureRows,C838,0),"&gt;="&amp;('_Dates'!Y838),INDEX(AllClosureRows,C838,0),"&lt;="&amp;(MIN('_Dates'!Z838,Settings!$B$9))))))</ns0:f>
        <ns0:v>0</ns0:v>
      </ns0:c>
      <ns0:c r="I838" s="0">
        <ns0:f>MAX(0,G838-H838)</ns0:f>
        <ns0:v>0</ns0:v>
      </ns0:c>
      <ns0:c r="J838" s="0">
        <ns0:f>IF(OR(A838=0,F838&lt;&gt;"OK",Bookings!G838="Cancelled",$B$6&gt;0),0,IF('_Dates'!AC838=1,MAX(0,COUNTIFS(rngEngine_B,B838,rngAMStart,"&lt;="&amp;'_Dates'!X838,rngAMEnd,"&gt;="&amp;'_Dates'!W838,rngAMActive,1,rngEngine_F,"OK",rngBookings_F,"&lt;&gt;Cancelled")-1),0)+IF('_Dates'!AD838=1,MAX(0,COUNTIFS(rngEngine_B,B838,rngPMStart,"&lt;="&amp;'_Dates'!Z838,rngPMEnd,"&gt;="&amp;'_Dates'!Y838,rngPMActive,1,rngEngine_F,"OK",rngBookings_F,"&lt;&gt;Cancelled")-1),0))</ns0:f>
        <ns0:v>0</ns0:v>
      </ns0:c>
      <ns0:c r="K838" s="0" t="str">
        <ns0:f>IF(A838=0,"",IF(F838&lt;&gt;"OK",F838,IF(J838&gt;0,"CHECK overlapping entry",IF(AND($B$6=0,G838&lt;=0,Bookings!G838&lt;&gt;"Cancelled"),"CHECK no working days",IF(Bookings!G838="Cancelled","Cancelled","OK")))))</ns0:f>
        <ns0:v/>
      </ns0:c>
      <ns0:c r="L838" s="0">
        <ns0:f>IF(LEFT(K838,5)="CHECK",1,0)</ns0:f>
        <ns0:v>0</ns0:v>
      </ns0:c>
      <ns0:c r="M838" s="0">
        <ns0:f>IF(AND(L838=1,OR(C838=0,IFERROR(INDEX($X$11:$X$60,C838),0)=0)),1,0)</ns0:f>
        <ns0:v>0</ns0:v>
      </ns0:c>
      <ns0:c r="N838" s="0">
        <ns0:f>IF(OR(A838=0,L838&gt;0,$B$6&gt;0,Bookings!G838="Cancelled"),0,G838)</ns0:f>
        <ns0:v>0</ns0:v>
      </ns0:c>
      <ns0:c r="O838" s="0">
        <ns0:f>IF(AND(Bookings!G838="Approved",E838="Yes"),N838,0)</ns0:f>
        <ns0:v>0</ns0:v>
      </ns0:c>
      <ns0:c r="P838" s="0">
        <ns0:f>IF(AND(Bookings!G838="Approved",E838="Yes",L838=0,$B$6=0),H838,0)</ns0:f>
        <ns0:v>0</ns0:v>
      </ns0:c>
      <ns0:c r="Q838" s="0">
        <ns0:f>IF(AND(Bookings!G838="Approved",E838="Yes",L838=0,$B$6=0),I838,0)</ns0:f>
        <ns0:v>0</ns0:v>
      </ns0:c>
      <ns0:c r="R838" s="0">
        <ns0:f>IF(AND(Bookings!G838="Pending",E838="Yes"),N838,0)</ns0:f>
        <ns0:v>0</ns0:v>
      </ns0:c>
      <ns0:c r="S838" s="0">
        <ns0:f>IF(AND(Bookings!G838="Approved",E838="No"),N838,0)</ns0:f>
        <ns0:v>0</ns0:v>
      </ns0:c>
      <ns0:c r="T838" s="0">
        <ns0:f>IFERROR(MATCH(D838,Settings!$G$7:$G$11,0),0)</ns0:f>
        <ns0:v>0</ns0:v>
      </ns0:c>
      <ns0:c r="U838" s="0">
        <ns0:f>IF(N838&gt;0,T838+IF(Bookings!G838="Pending",10,0),0)</ns0:f>
        <ns0:v>0</ns0:v>
      </ns0:c>
      <ns0:c r="V838" s="0">
        <ns0:f>U838</ns0:f>
        <ns0:v>0</ns0:v>
      </ns0:c>
      <ns0:c r="W838" s="0" t="str">
        <ns0:f>IF(C838=0,"",INDEX($AP$11:$AP$60,C838))</ns0:f>
        <ns0:v/>
      </ns0:c>
    </ns0:row>
    <ns0:row r="839">
      <ns0:c r="A839" s="0">
        <ns0:f>IF(COUNTA(Bookings!A839:G839,Bookings!I839)=0,0,1)</ns0:f>
        <ns0:v>0</ns0:v>
      </ns0:c>
      <ns0:c r="B839" s="0" t="str">
        <ns0:f>IFERROR(TRIM(MID(Bookings!A839,FIND(" · ",Bookings!A839)+3,99)),"")</ns0:f>
        <ns0:v/>
      </ns0:c>
      <ns0:c r="C839" s="0">
        <ns0:f>IF(OR(B839="",LEN(B839)&gt;24,ISNUMBER(FIND(" ",B839)),ISNUMBER(FIND("*",B839)),ISNUMBER(FIND("?",B839)),ISNUMBER(FIND("~",B839))),0,IFERROR(MATCH(B839,Team!$A$11:$A$60,0),0))</ns0:f>
        <ns0:v>0</ns0:v>
      </ns0:c>
      <ns0:c r="D839" s="0" t="str">
        <ns0:f>IFERROR(IF(MID(Bookings!F839,LEN(Bookings!F839)-3,3)=" · ",RIGHT(Bookings!F839,1),""),"")</ns0:f>
        <ns0:v/>
      </ns0:c>
      <ns0:c r="E839" s="0" t="str">
        <ns0:f>IFERROR(INDEX(Settings!$H$7:$H$11,MATCH(D839,Settings!$G$7:$G$11,0)),"")</ns0:f>
        <ns0:v/>
      </ns0:c>
      <ns0:c r="F839" s="0" t="str">
        <ns0:f>IF(A839=0,"",IFERROR(IF(OR(B839="",C839=0),"CHECK employee selection",IF(INDEX(Team!$O$11:$O$60,C839)&lt;&gt;"OK","CHECK employee setup",IF(OR('_Dates'!J839=0,'_Dates'!T839=0),"CHECK date: use DD.MM.YYYY",IF('_Dates'!T839&lt;'_Dates'!J839,"CHECK end before start",IF(AND($B$6=0,OR('_Dates'!J839&lt;Settings!$B$7,'_Dates'!T839&gt;Settings!$B$8)),"CHECK split across leave years",IF(OR(NOT(OR('_Dates'!U839="Full day",'_Dates'!U839="AM",'_Dates'!U839="PM")),NOT(OR('_Dates'!V839="Full day",'_Dates'!V839="AM",'_Dates'!V839="PM"))),"CHECK Full day / AM / PM",IF(AND('_Dates'!J839='_Dates'!T839,'_Dates'!U839&lt;&gt;"Full day",'_Dates'!V839&lt;&gt;"Full day",'_Dates'!U839&lt;&gt;'_Dates'!V839),"CHECK same-day portions disagree",IF(AND($B$6=0,OR(AND('_Dates'!U839&lt;&gt;"Full day",'_Dates'!AA839=0),AND('_Dates'!V839&lt;&gt;"Full day",'_Dates'!AB839=0))),"CHECK half-day on non-working date",IF(COUNTIF(Settings!$G$7:$G$11,D839)&lt;&gt;1,"CHECK leave type",IF(AND(Bookings!G839&lt;&gt;"Approved",Bookings!G839&lt;&gt;"Pending",Bookings!G839&lt;&gt;"Cancelled"),"CHECK status","OK")))))))))),"CHECK input"))</ns0:f>
        <ns0:v/>
      </ns0:c>
      <ns0:c r="G839" s="0">
        <ns0:f>IF(OR(F839&lt;&gt;"OK",$B$6&gt;0),0,0.5*(IF(('_Dates'!X839)&lt;('_Dates'!W839),0,INT((('_Dates'!X839)-('_Dates'!W839)+1)/7)*LEN(SUBSTITUTE(W839,"O",""))+LEN(SUBSTITUTE(MID(W839&amp;W839,WEEKDAY(('_Dates'!W839),2),MOD((('_Dates'!X839)-('_Dates'!W839)+1),7)),"O",""))-COUNTIFS(INDEX(AllClosureRows,C839,0),"&gt;="&amp;('_Dates'!W839),INDEX(AllClosureRows,C839,0),"&lt;="&amp;('_Dates'!X839)))+IF(('_Dates'!Z839)&lt;('_Dates'!Y839),0,INT((('_Dates'!Z839)-('_Dates'!Y839)+1)/7)*LEN(SUBSTITUTE(W839,"O",""))+LEN(SUBSTITUTE(MID(W839&amp;W839,WEEKDAY(('_Dates'!Y839),2),MOD((('_Dates'!Z839)-('_Dates'!Y839)+1),7)),"O",""))-COUNTIFS(INDEX(AllClosureRows,C839,0),"&gt;="&amp;('_Dates'!Y839),INDEX(AllClosureRows,C839,0),"&lt;="&amp;('_Dates'!Z839)))))</ns0:f>
        <ns0:v>0</ns0:v>
      </ns0:c>
      <ns0:c r="H839" s="0">
        <ns0:f>IF(OR(F839&lt;&gt;"OK",$B$6&gt;0),0,0.5*(IF((MIN('_Dates'!X839,Settings!$B$9))&lt;('_Dates'!W839),0,INT(((MIN('_Dates'!X839,Settings!$B$9))-('_Dates'!W839)+1)/7)*LEN(SUBSTITUTE(W839,"O",""))+LEN(SUBSTITUTE(MID(W839&amp;W839,WEEKDAY(('_Dates'!W839),2),MOD(((MIN('_Dates'!X839,Settings!$B$9))-('_Dates'!W839)+1),7)),"O",""))-COUNTIFS(INDEX(AllClosureRows,C839,0),"&gt;="&amp;('_Dates'!W839),INDEX(AllClosureRows,C839,0),"&lt;="&amp;(MIN('_Dates'!X839,Settings!$B$9))))+IF((MIN('_Dates'!Z839,Settings!$B$9))&lt;('_Dates'!Y839),0,INT(((MIN('_Dates'!Z839,Settings!$B$9))-('_Dates'!Y839)+1)/7)*LEN(SUBSTITUTE(W839,"O",""))+LEN(SUBSTITUTE(MID(W839&amp;W839,WEEKDAY(('_Dates'!Y839),2),MOD(((MIN('_Dates'!Z839,Settings!$B$9))-('_Dates'!Y839)+1),7)),"O",""))-COUNTIFS(INDEX(AllClosureRows,C839,0),"&gt;="&amp;('_Dates'!Y839),INDEX(AllClosureRows,C839,0),"&lt;="&amp;(MIN('_Dates'!Z839,Settings!$B$9))))))</ns0:f>
        <ns0:v>0</ns0:v>
      </ns0:c>
      <ns0:c r="I839" s="0">
        <ns0:f>MAX(0,G839-H839)</ns0:f>
        <ns0:v>0</ns0:v>
      </ns0:c>
      <ns0:c r="J839" s="0">
        <ns0:f>IF(OR(A839=0,F839&lt;&gt;"OK",Bookings!G839="Cancelled",$B$6&gt;0),0,IF('_Dates'!AC839=1,MAX(0,COUNTIFS(rngEngine_B,B839,rngAMStart,"&lt;="&amp;'_Dates'!X839,rngAMEnd,"&gt;="&amp;'_Dates'!W839,rngAMActive,1,rngEngine_F,"OK",rngBookings_F,"&lt;&gt;Cancelled")-1),0)+IF('_Dates'!AD839=1,MAX(0,COUNTIFS(rngEngine_B,B839,rngPMStart,"&lt;="&amp;'_Dates'!Z839,rngPMEnd,"&gt;="&amp;'_Dates'!Y839,rngPMActive,1,rngEngine_F,"OK",rngBookings_F,"&lt;&gt;Cancelled")-1),0))</ns0:f>
        <ns0:v>0</ns0:v>
      </ns0:c>
      <ns0:c r="K839" s="0" t="str">
        <ns0:f>IF(A839=0,"",IF(F839&lt;&gt;"OK",F839,IF(J839&gt;0,"CHECK overlapping entry",IF(AND($B$6=0,G839&lt;=0,Bookings!G839&lt;&gt;"Cancelled"),"CHECK no working days",IF(Bookings!G839="Cancelled","Cancelled","OK")))))</ns0:f>
        <ns0:v/>
      </ns0:c>
      <ns0:c r="L839" s="0">
        <ns0:f>IF(LEFT(K839,5)="CHECK",1,0)</ns0:f>
        <ns0:v>0</ns0:v>
      </ns0:c>
      <ns0:c r="M839" s="0">
        <ns0:f>IF(AND(L839=1,OR(C839=0,IFERROR(INDEX($X$11:$X$60,C839),0)=0)),1,0)</ns0:f>
        <ns0:v>0</ns0:v>
      </ns0:c>
      <ns0:c r="N839" s="0">
        <ns0:f>IF(OR(A839=0,L839&gt;0,$B$6&gt;0,Bookings!G839="Cancelled"),0,G839)</ns0:f>
        <ns0:v>0</ns0:v>
      </ns0:c>
      <ns0:c r="O839" s="0">
        <ns0:f>IF(AND(Bookings!G839="Approved",E839="Yes"),N839,0)</ns0:f>
        <ns0:v>0</ns0:v>
      </ns0:c>
      <ns0:c r="P839" s="0">
        <ns0:f>IF(AND(Bookings!G839="Approved",E839="Yes",L839=0,$B$6=0),H839,0)</ns0:f>
        <ns0:v>0</ns0:v>
      </ns0:c>
      <ns0:c r="Q839" s="0">
        <ns0:f>IF(AND(Bookings!G839="Approved",E839="Yes",L839=0,$B$6=0),I839,0)</ns0:f>
        <ns0:v>0</ns0:v>
      </ns0:c>
      <ns0:c r="R839" s="0">
        <ns0:f>IF(AND(Bookings!G839="Pending",E839="Yes"),N839,0)</ns0:f>
        <ns0:v>0</ns0:v>
      </ns0:c>
      <ns0:c r="S839" s="0">
        <ns0:f>IF(AND(Bookings!G839="Approved",E839="No"),N839,0)</ns0:f>
        <ns0:v>0</ns0:v>
      </ns0:c>
      <ns0:c r="T839" s="0">
        <ns0:f>IFERROR(MATCH(D839,Settings!$G$7:$G$11,0),0)</ns0:f>
        <ns0:v>0</ns0:v>
      </ns0:c>
      <ns0:c r="U839" s="0">
        <ns0:f>IF(N839&gt;0,T839+IF(Bookings!G839="Pending",10,0),0)</ns0:f>
        <ns0:v>0</ns0:v>
      </ns0:c>
      <ns0:c r="V839" s="0">
        <ns0:f>U839</ns0:f>
        <ns0:v>0</ns0:v>
      </ns0:c>
      <ns0:c r="W839" s="0" t="str">
        <ns0:f>IF(C839=0,"",INDEX($AP$11:$AP$60,C839))</ns0:f>
        <ns0:v/>
      </ns0:c>
    </ns0:row>
    <ns0:row r="840">
      <ns0:c r="A840" s="0">
        <ns0:f>IF(COUNTA(Bookings!A840:G840,Bookings!I840)=0,0,1)</ns0:f>
        <ns0:v>0</ns0:v>
      </ns0:c>
      <ns0:c r="B840" s="0" t="str">
        <ns0:f>IFERROR(TRIM(MID(Bookings!A840,FIND(" · ",Bookings!A840)+3,99)),"")</ns0:f>
        <ns0:v/>
      </ns0:c>
      <ns0:c r="C840" s="0">
        <ns0:f>IF(OR(B840="",LEN(B840)&gt;24,ISNUMBER(FIND(" ",B840)),ISNUMBER(FIND("*",B840)),ISNUMBER(FIND("?",B840)),ISNUMBER(FIND("~",B840))),0,IFERROR(MATCH(B840,Team!$A$11:$A$60,0),0))</ns0:f>
        <ns0:v>0</ns0:v>
      </ns0:c>
      <ns0:c r="D840" s="0" t="str">
        <ns0:f>IFERROR(IF(MID(Bookings!F840,LEN(Bookings!F840)-3,3)=" · ",RIGHT(Bookings!F840,1),""),"")</ns0:f>
        <ns0:v/>
      </ns0:c>
      <ns0:c r="E840" s="0" t="str">
        <ns0:f>IFERROR(INDEX(Settings!$H$7:$H$11,MATCH(D840,Settings!$G$7:$G$11,0)),"")</ns0:f>
        <ns0:v/>
      </ns0:c>
      <ns0:c r="F840" s="0" t="str">
        <ns0:f>IF(A840=0,"",IFERROR(IF(OR(B840="",C840=0),"CHECK employee selection",IF(INDEX(Team!$O$11:$O$60,C840)&lt;&gt;"OK","CHECK employee setup",IF(OR('_Dates'!J840=0,'_Dates'!T840=0),"CHECK date: use DD.MM.YYYY",IF('_Dates'!T840&lt;'_Dates'!J840,"CHECK end before start",IF(AND($B$6=0,OR('_Dates'!J840&lt;Settings!$B$7,'_Dates'!T840&gt;Settings!$B$8)),"CHECK split across leave years",IF(OR(NOT(OR('_Dates'!U840="Full day",'_Dates'!U840="AM",'_Dates'!U840="PM")),NOT(OR('_Dates'!V840="Full day",'_Dates'!V840="AM",'_Dates'!V840="PM"))),"CHECK Full day / AM / PM",IF(AND('_Dates'!J840='_Dates'!T840,'_Dates'!U840&lt;&gt;"Full day",'_Dates'!V840&lt;&gt;"Full day",'_Dates'!U840&lt;&gt;'_Dates'!V840),"CHECK same-day portions disagree",IF(AND($B$6=0,OR(AND('_Dates'!U840&lt;&gt;"Full day",'_Dates'!AA840=0),AND('_Dates'!V840&lt;&gt;"Full day",'_Dates'!AB840=0))),"CHECK half-day on non-working date",IF(COUNTIF(Settings!$G$7:$G$11,D840)&lt;&gt;1,"CHECK leave type",IF(AND(Bookings!G840&lt;&gt;"Approved",Bookings!G840&lt;&gt;"Pending",Bookings!G840&lt;&gt;"Cancelled"),"CHECK status","OK")))))))))),"CHECK input"))</ns0:f>
        <ns0:v/>
      </ns0:c>
      <ns0:c r="G840" s="0">
        <ns0:f>IF(OR(F840&lt;&gt;"OK",$B$6&gt;0),0,0.5*(IF(('_Dates'!X840)&lt;('_Dates'!W840),0,INT((('_Dates'!X840)-('_Dates'!W840)+1)/7)*LEN(SUBSTITUTE(W840,"O",""))+LEN(SUBSTITUTE(MID(W840&amp;W840,WEEKDAY(('_Dates'!W840),2),MOD((('_Dates'!X840)-('_Dates'!W840)+1),7)),"O",""))-COUNTIFS(INDEX(AllClosureRows,C840,0),"&gt;="&amp;('_Dates'!W840),INDEX(AllClosureRows,C840,0),"&lt;="&amp;('_Dates'!X840)))+IF(('_Dates'!Z840)&lt;('_Dates'!Y840),0,INT((('_Dates'!Z840)-('_Dates'!Y840)+1)/7)*LEN(SUBSTITUTE(W840,"O",""))+LEN(SUBSTITUTE(MID(W840&amp;W840,WEEKDAY(('_Dates'!Y840),2),MOD((('_Dates'!Z840)-('_Dates'!Y840)+1),7)),"O",""))-COUNTIFS(INDEX(AllClosureRows,C840,0),"&gt;="&amp;('_Dates'!Y840),INDEX(AllClosureRows,C840,0),"&lt;="&amp;('_Dates'!Z840)))))</ns0:f>
        <ns0:v>0</ns0:v>
      </ns0:c>
      <ns0:c r="H840" s="0">
        <ns0:f>IF(OR(F840&lt;&gt;"OK",$B$6&gt;0),0,0.5*(IF((MIN('_Dates'!X840,Settings!$B$9))&lt;('_Dates'!W840),0,INT(((MIN('_Dates'!X840,Settings!$B$9))-('_Dates'!W840)+1)/7)*LEN(SUBSTITUTE(W840,"O",""))+LEN(SUBSTITUTE(MID(W840&amp;W840,WEEKDAY(('_Dates'!W840),2),MOD(((MIN('_Dates'!X840,Settings!$B$9))-('_Dates'!W840)+1),7)),"O",""))-COUNTIFS(INDEX(AllClosureRows,C840,0),"&gt;="&amp;('_Dates'!W840),INDEX(AllClosureRows,C840,0),"&lt;="&amp;(MIN('_Dates'!X840,Settings!$B$9))))+IF((MIN('_Dates'!Z840,Settings!$B$9))&lt;('_Dates'!Y840),0,INT(((MIN('_Dates'!Z840,Settings!$B$9))-('_Dates'!Y840)+1)/7)*LEN(SUBSTITUTE(W840,"O",""))+LEN(SUBSTITUTE(MID(W840&amp;W840,WEEKDAY(('_Dates'!Y840),2),MOD(((MIN('_Dates'!Z840,Settings!$B$9))-('_Dates'!Y840)+1),7)),"O",""))-COUNTIFS(INDEX(AllClosureRows,C840,0),"&gt;="&amp;('_Dates'!Y840),INDEX(AllClosureRows,C840,0),"&lt;="&amp;(MIN('_Dates'!Z840,Settings!$B$9))))))</ns0:f>
        <ns0:v>0</ns0:v>
      </ns0:c>
      <ns0:c r="I840" s="0">
        <ns0:f>MAX(0,G840-H840)</ns0:f>
        <ns0:v>0</ns0:v>
      </ns0:c>
      <ns0:c r="J840" s="0">
        <ns0:f>IF(OR(A840=0,F840&lt;&gt;"OK",Bookings!G840="Cancelled",$B$6&gt;0),0,IF('_Dates'!AC840=1,MAX(0,COUNTIFS(rngEngine_B,B840,rngAMStart,"&lt;="&amp;'_Dates'!X840,rngAMEnd,"&gt;="&amp;'_Dates'!W840,rngAMActive,1,rngEngine_F,"OK",rngBookings_F,"&lt;&gt;Cancelled")-1),0)+IF('_Dates'!AD840=1,MAX(0,COUNTIFS(rngEngine_B,B840,rngPMStart,"&lt;="&amp;'_Dates'!Z840,rngPMEnd,"&gt;="&amp;'_Dates'!Y840,rngPMActive,1,rngEngine_F,"OK",rngBookings_F,"&lt;&gt;Cancelled")-1),0))</ns0:f>
        <ns0:v>0</ns0:v>
      </ns0:c>
      <ns0:c r="K840" s="0" t="str">
        <ns0:f>IF(A840=0,"",IF(F840&lt;&gt;"OK",F840,IF(J840&gt;0,"CHECK overlapping entry",IF(AND($B$6=0,G840&lt;=0,Bookings!G840&lt;&gt;"Cancelled"),"CHECK no working days",IF(Bookings!G840="Cancelled","Cancelled","OK")))))</ns0:f>
        <ns0:v/>
      </ns0:c>
      <ns0:c r="L840" s="0">
        <ns0:f>IF(LEFT(K840,5)="CHECK",1,0)</ns0:f>
        <ns0:v>0</ns0:v>
      </ns0:c>
      <ns0:c r="M840" s="0">
        <ns0:f>IF(AND(L840=1,OR(C840=0,IFERROR(INDEX($X$11:$X$60,C840),0)=0)),1,0)</ns0:f>
        <ns0:v>0</ns0:v>
      </ns0:c>
      <ns0:c r="N840" s="0">
        <ns0:f>IF(OR(A840=0,L840&gt;0,$B$6&gt;0,Bookings!G840="Cancelled"),0,G840)</ns0:f>
        <ns0:v>0</ns0:v>
      </ns0:c>
      <ns0:c r="O840" s="0">
        <ns0:f>IF(AND(Bookings!G840="Approved",E840="Yes"),N840,0)</ns0:f>
        <ns0:v>0</ns0:v>
      </ns0:c>
      <ns0:c r="P840" s="0">
        <ns0:f>IF(AND(Bookings!G840="Approved",E840="Yes",L840=0,$B$6=0),H840,0)</ns0:f>
        <ns0:v>0</ns0:v>
      </ns0:c>
      <ns0:c r="Q840" s="0">
        <ns0:f>IF(AND(Bookings!G840="Approved",E840="Yes",L840=0,$B$6=0),I840,0)</ns0:f>
        <ns0:v>0</ns0:v>
      </ns0:c>
      <ns0:c r="R840" s="0">
        <ns0:f>IF(AND(Bookings!G840="Pending",E840="Yes"),N840,0)</ns0:f>
        <ns0:v>0</ns0:v>
      </ns0:c>
      <ns0:c r="S840" s="0">
        <ns0:f>IF(AND(Bookings!G840="Approved",E840="No"),N840,0)</ns0:f>
        <ns0:v>0</ns0:v>
      </ns0:c>
      <ns0:c r="T840" s="0">
        <ns0:f>IFERROR(MATCH(D840,Settings!$G$7:$G$11,0),0)</ns0:f>
        <ns0:v>0</ns0:v>
      </ns0:c>
      <ns0:c r="U840" s="0">
        <ns0:f>IF(N840&gt;0,T840+IF(Bookings!G840="Pending",10,0),0)</ns0:f>
        <ns0:v>0</ns0:v>
      </ns0:c>
      <ns0:c r="V840" s="0">
        <ns0:f>U840</ns0:f>
        <ns0:v>0</ns0:v>
      </ns0:c>
      <ns0:c r="W840" s="0" t="str">
        <ns0:f>IF(C840=0,"",INDEX($AP$11:$AP$60,C840))</ns0:f>
        <ns0:v/>
      </ns0:c>
    </ns0:row>
    <ns0:row r="841">
      <ns0:c r="A841" s="0">
        <ns0:f>IF(COUNTA(Bookings!A841:G841,Bookings!I841)=0,0,1)</ns0:f>
        <ns0:v>0</ns0:v>
      </ns0:c>
      <ns0:c r="B841" s="0" t="str">
        <ns0:f>IFERROR(TRIM(MID(Bookings!A841,FIND(" · ",Bookings!A841)+3,99)),"")</ns0:f>
        <ns0:v/>
      </ns0:c>
      <ns0:c r="C841" s="0">
        <ns0:f>IF(OR(B841="",LEN(B841)&gt;24,ISNUMBER(FIND(" ",B841)),ISNUMBER(FIND("*",B841)),ISNUMBER(FIND("?",B841)),ISNUMBER(FIND("~",B841))),0,IFERROR(MATCH(B841,Team!$A$11:$A$60,0),0))</ns0:f>
        <ns0:v>0</ns0:v>
      </ns0:c>
      <ns0:c r="D841" s="0" t="str">
        <ns0:f>IFERROR(IF(MID(Bookings!F841,LEN(Bookings!F841)-3,3)=" · ",RIGHT(Bookings!F841,1),""),"")</ns0:f>
        <ns0:v/>
      </ns0:c>
      <ns0:c r="E841" s="0" t="str">
        <ns0:f>IFERROR(INDEX(Settings!$H$7:$H$11,MATCH(D841,Settings!$G$7:$G$11,0)),"")</ns0:f>
        <ns0:v/>
      </ns0:c>
      <ns0:c r="F841" s="0" t="str">
        <ns0:f>IF(A841=0,"",IFERROR(IF(OR(B841="",C841=0),"CHECK employee selection",IF(INDEX(Team!$O$11:$O$60,C841)&lt;&gt;"OK","CHECK employee setup",IF(OR('_Dates'!J841=0,'_Dates'!T841=0),"CHECK date: use DD.MM.YYYY",IF('_Dates'!T841&lt;'_Dates'!J841,"CHECK end before start",IF(AND($B$6=0,OR('_Dates'!J841&lt;Settings!$B$7,'_Dates'!T841&gt;Settings!$B$8)),"CHECK split across leave years",IF(OR(NOT(OR('_Dates'!U841="Full day",'_Dates'!U841="AM",'_Dates'!U841="PM")),NOT(OR('_Dates'!V841="Full day",'_Dates'!V841="AM",'_Dates'!V841="PM"))),"CHECK Full day / AM / PM",IF(AND('_Dates'!J841='_Dates'!T841,'_Dates'!U841&lt;&gt;"Full day",'_Dates'!V841&lt;&gt;"Full day",'_Dates'!U841&lt;&gt;'_Dates'!V841),"CHECK same-day portions disagree",IF(AND($B$6=0,OR(AND('_Dates'!U841&lt;&gt;"Full day",'_Dates'!AA841=0),AND('_Dates'!V841&lt;&gt;"Full day",'_Dates'!AB841=0))),"CHECK half-day on non-working date",IF(COUNTIF(Settings!$G$7:$G$11,D841)&lt;&gt;1,"CHECK leave type",IF(AND(Bookings!G841&lt;&gt;"Approved",Bookings!G841&lt;&gt;"Pending",Bookings!G841&lt;&gt;"Cancelled"),"CHECK status","OK")))))))))),"CHECK input"))</ns0:f>
        <ns0:v/>
      </ns0:c>
      <ns0:c r="G841" s="0">
        <ns0:f>IF(OR(F841&lt;&gt;"OK",$B$6&gt;0),0,0.5*(IF(('_Dates'!X841)&lt;('_Dates'!W841),0,INT((('_Dates'!X841)-('_Dates'!W841)+1)/7)*LEN(SUBSTITUTE(W841,"O",""))+LEN(SUBSTITUTE(MID(W841&amp;W841,WEEKDAY(('_Dates'!W841),2),MOD((('_Dates'!X841)-('_Dates'!W841)+1),7)),"O",""))-COUNTIFS(INDEX(AllClosureRows,C841,0),"&gt;="&amp;('_Dates'!W841),INDEX(AllClosureRows,C841,0),"&lt;="&amp;('_Dates'!X841)))+IF(('_Dates'!Z841)&lt;('_Dates'!Y841),0,INT((('_Dates'!Z841)-('_Dates'!Y841)+1)/7)*LEN(SUBSTITUTE(W841,"O",""))+LEN(SUBSTITUTE(MID(W841&amp;W841,WEEKDAY(('_Dates'!Y841),2),MOD((('_Dates'!Z841)-('_Dates'!Y841)+1),7)),"O",""))-COUNTIFS(INDEX(AllClosureRows,C841,0),"&gt;="&amp;('_Dates'!Y841),INDEX(AllClosureRows,C841,0),"&lt;="&amp;('_Dates'!Z841)))))</ns0:f>
        <ns0:v>0</ns0:v>
      </ns0:c>
      <ns0:c r="H841" s="0">
        <ns0:f>IF(OR(F841&lt;&gt;"OK",$B$6&gt;0),0,0.5*(IF((MIN('_Dates'!X841,Settings!$B$9))&lt;('_Dates'!W841),0,INT(((MIN('_Dates'!X841,Settings!$B$9))-('_Dates'!W841)+1)/7)*LEN(SUBSTITUTE(W841,"O",""))+LEN(SUBSTITUTE(MID(W841&amp;W841,WEEKDAY(('_Dates'!W841),2),MOD(((MIN('_Dates'!X841,Settings!$B$9))-('_Dates'!W841)+1),7)),"O",""))-COUNTIFS(INDEX(AllClosureRows,C841,0),"&gt;="&amp;('_Dates'!W841),INDEX(AllClosureRows,C841,0),"&lt;="&amp;(MIN('_Dates'!X841,Settings!$B$9))))+IF((MIN('_Dates'!Z841,Settings!$B$9))&lt;('_Dates'!Y841),0,INT(((MIN('_Dates'!Z841,Settings!$B$9))-('_Dates'!Y841)+1)/7)*LEN(SUBSTITUTE(W841,"O",""))+LEN(SUBSTITUTE(MID(W841&amp;W841,WEEKDAY(('_Dates'!Y841),2),MOD(((MIN('_Dates'!Z841,Settings!$B$9))-('_Dates'!Y841)+1),7)),"O",""))-COUNTIFS(INDEX(AllClosureRows,C841,0),"&gt;="&amp;('_Dates'!Y841),INDEX(AllClosureRows,C841,0),"&lt;="&amp;(MIN('_Dates'!Z841,Settings!$B$9))))))</ns0:f>
        <ns0:v>0</ns0:v>
      </ns0:c>
      <ns0:c r="I841" s="0">
        <ns0:f>MAX(0,G841-H841)</ns0:f>
        <ns0:v>0</ns0:v>
      </ns0:c>
      <ns0:c r="J841" s="0">
        <ns0:f>IF(OR(A841=0,F841&lt;&gt;"OK",Bookings!G841="Cancelled",$B$6&gt;0),0,IF('_Dates'!AC841=1,MAX(0,COUNTIFS(rngEngine_B,B841,rngAMStart,"&lt;="&amp;'_Dates'!X841,rngAMEnd,"&gt;="&amp;'_Dates'!W841,rngAMActive,1,rngEngine_F,"OK",rngBookings_F,"&lt;&gt;Cancelled")-1),0)+IF('_Dates'!AD841=1,MAX(0,COUNTIFS(rngEngine_B,B841,rngPMStart,"&lt;="&amp;'_Dates'!Z841,rngPMEnd,"&gt;="&amp;'_Dates'!Y841,rngPMActive,1,rngEngine_F,"OK",rngBookings_F,"&lt;&gt;Cancelled")-1),0))</ns0:f>
        <ns0:v>0</ns0:v>
      </ns0:c>
      <ns0:c r="K841" s="0" t="str">
        <ns0:f>IF(A841=0,"",IF(F841&lt;&gt;"OK",F841,IF(J841&gt;0,"CHECK overlapping entry",IF(AND($B$6=0,G841&lt;=0,Bookings!G841&lt;&gt;"Cancelled"),"CHECK no working days",IF(Bookings!G841="Cancelled","Cancelled","OK")))))</ns0:f>
        <ns0:v/>
      </ns0:c>
      <ns0:c r="L841" s="0">
        <ns0:f>IF(LEFT(K841,5)="CHECK",1,0)</ns0:f>
        <ns0:v>0</ns0:v>
      </ns0:c>
      <ns0:c r="M841" s="0">
        <ns0:f>IF(AND(L841=1,OR(C841=0,IFERROR(INDEX($X$11:$X$60,C841),0)=0)),1,0)</ns0:f>
        <ns0:v>0</ns0:v>
      </ns0:c>
      <ns0:c r="N841" s="0">
        <ns0:f>IF(OR(A841=0,L841&gt;0,$B$6&gt;0,Bookings!G841="Cancelled"),0,G841)</ns0:f>
        <ns0:v>0</ns0:v>
      </ns0:c>
      <ns0:c r="O841" s="0">
        <ns0:f>IF(AND(Bookings!G841="Approved",E841="Yes"),N841,0)</ns0:f>
        <ns0:v>0</ns0:v>
      </ns0:c>
      <ns0:c r="P841" s="0">
        <ns0:f>IF(AND(Bookings!G841="Approved",E841="Yes",L841=0,$B$6=0),H841,0)</ns0:f>
        <ns0:v>0</ns0:v>
      </ns0:c>
      <ns0:c r="Q841" s="0">
        <ns0:f>IF(AND(Bookings!G841="Approved",E841="Yes",L841=0,$B$6=0),I841,0)</ns0:f>
        <ns0:v>0</ns0:v>
      </ns0:c>
      <ns0:c r="R841" s="0">
        <ns0:f>IF(AND(Bookings!G841="Pending",E841="Yes"),N841,0)</ns0:f>
        <ns0:v>0</ns0:v>
      </ns0:c>
      <ns0:c r="S841" s="0">
        <ns0:f>IF(AND(Bookings!G841="Approved",E841="No"),N841,0)</ns0:f>
        <ns0:v>0</ns0:v>
      </ns0:c>
      <ns0:c r="T841" s="0">
        <ns0:f>IFERROR(MATCH(D841,Settings!$G$7:$G$11,0),0)</ns0:f>
        <ns0:v>0</ns0:v>
      </ns0:c>
      <ns0:c r="U841" s="0">
        <ns0:f>IF(N841&gt;0,T841+IF(Bookings!G841="Pending",10,0),0)</ns0:f>
        <ns0:v>0</ns0:v>
      </ns0:c>
      <ns0:c r="V841" s="0">
        <ns0:f>U841</ns0:f>
        <ns0:v>0</ns0:v>
      </ns0:c>
      <ns0:c r="W841" s="0" t="str">
        <ns0:f>IF(C841=0,"",INDEX($AP$11:$AP$60,C841))</ns0:f>
        <ns0:v/>
      </ns0:c>
    </ns0:row>
    <ns0:row r="842">
      <ns0:c r="A842" s="0">
        <ns0:f>IF(COUNTA(Bookings!A842:G842,Bookings!I842)=0,0,1)</ns0:f>
        <ns0:v>0</ns0:v>
      </ns0:c>
      <ns0:c r="B842" s="0" t="str">
        <ns0:f>IFERROR(TRIM(MID(Bookings!A842,FIND(" · ",Bookings!A842)+3,99)),"")</ns0:f>
        <ns0:v/>
      </ns0:c>
      <ns0:c r="C842" s="0">
        <ns0:f>IF(OR(B842="",LEN(B842)&gt;24,ISNUMBER(FIND(" ",B842)),ISNUMBER(FIND("*",B842)),ISNUMBER(FIND("?",B842)),ISNUMBER(FIND("~",B842))),0,IFERROR(MATCH(B842,Team!$A$11:$A$60,0),0))</ns0:f>
        <ns0:v>0</ns0:v>
      </ns0:c>
      <ns0:c r="D842" s="0" t="str">
        <ns0:f>IFERROR(IF(MID(Bookings!F842,LEN(Bookings!F842)-3,3)=" · ",RIGHT(Bookings!F842,1),""),"")</ns0:f>
        <ns0:v/>
      </ns0:c>
      <ns0:c r="E842" s="0" t="str">
        <ns0:f>IFERROR(INDEX(Settings!$H$7:$H$11,MATCH(D842,Settings!$G$7:$G$11,0)),"")</ns0:f>
        <ns0:v/>
      </ns0:c>
      <ns0:c r="F842" s="0" t="str">
        <ns0:f>IF(A842=0,"",IFERROR(IF(OR(B842="",C842=0),"CHECK employee selection",IF(INDEX(Team!$O$11:$O$60,C842)&lt;&gt;"OK","CHECK employee setup",IF(OR('_Dates'!J842=0,'_Dates'!T842=0),"CHECK date: use DD.MM.YYYY",IF('_Dates'!T842&lt;'_Dates'!J842,"CHECK end before start",IF(AND($B$6=0,OR('_Dates'!J842&lt;Settings!$B$7,'_Dates'!T842&gt;Settings!$B$8)),"CHECK split across leave years",IF(OR(NOT(OR('_Dates'!U842="Full day",'_Dates'!U842="AM",'_Dates'!U842="PM")),NOT(OR('_Dates'!V842="Full day",'_Dates'!V842="AM",'_Dates'!V842="PM"))),"CHECK Full day / AM / PM",IF(AND('_Dates'!J842='_Dates'!T842,'_Dates'!U842&lt;&gt;"Full day",'_Dates'!V842&lt;&gt;"Full day",'_Dates'!U842&lt;&gt;'_Dates'!V842),"CHECK same-day portions disagree",IF(AND($B$6=0,OR(AND('_Dates'!U842&lt;&gt;"Full day",'_Dates'!AA842=0),AND('_Dates'!V842&lt;&gt;"Full day",'_Dates'!AB842=0))),"CHECK half-day on non-working date",IF(COUNTIF(Settings!$G$7:$G$11,D842)&lt;&gt;1,"CHECK leave type",IF(AND(Bookings!G842&lt;&gt;"Approved",Bookings!G842&lt;&gt;"Pending",Bookings!G842&lt;&gt;"Cancelled"),"CHECK status","OK")))))))))),"CHECK input"))</ns0:f>
        <ns0:v/>
      </ns0:c>
      <ns0:c r="G842" s="0">
        <ns0:f>IF(OR(F842&lt;&gt;"OK",$B$6&gt;0),0,0.5*(IF(('_Dates'!X842)&lt;('_Dates'!W842),0,INT((('_Dates'!X842)-('_Dates'!W842)+1)/7)*LEN(SUBSTITUTE(W842,"O",""))+LEN(SUBSTITUTE(MID(W842&amp;W842,WEEKDAY(('_Dates'!W842),2),MOD((('_Dates'!X842)-('_Dates'!W842)+1),7)),"O",""))-COUNTIFS(INDEX(AllClosureRows,C842,0),"&gt;="&amp;('_Dates'!W842),INDEX(AllClosureRows,C842,0),"&lt;="&amp;('_Dates'!X842)))+IF(('_Dates'!Z842)&lt;('_Dates'!Y842),0,INT((('_Dates'!Z842)-('_Dates'!Y842)+1)/7)*LEN(SUBSTITUTE(W842,"O",""))+LEN(SUBSTITUTE(MID(W842&amp;W842,WEEKDAY(('_Dates'!Y842),2),MOD((('_Dates'!Z842)-('_Dates'!Y842)+1),7)),"O",""))-COUNTIFS(INDEX(AllClosureRows,C842,0),"&gt;="&amp;('_Dates'!Y842),INDEX(AllClosureRows,C842,0),"&lt;="&amp;('_Dates'!Z842)))))</ns0:f>
        <ns0:v>0</ns0:v>
      </ns0:c>
      <ns0:c r="H842" s="0">
        <ns0:f>IF(OR(F842&lt;&gt;"OK",$B$6&gt;0),0,0.5*(IF((MIN('_Dates'!X842,Settings!$B$9))&lt;('_Dates'!W842),0,INT(((MIN('_Dates'!X842,Settings!$B$9))-('_Dates'!W842)+1)/7)*LEN(SUBSTITUTE(W842,"O",""))+LEN(SUBSTITUTE(MID(W842&amp;W842,WEEKDAY(('_Dates'!W842),2),MOD(((MIN('_Dates'!X842,Settings!$B$9))-('_Dates'!W842)+1),7)),"O",""))-COUNTIFS(INDEX(AllClosureRows,C842,0),"&gt;="&amp;('_Dates'!W842),INDEX(AllClosureRows,C842,0),"&lt;="&amp;(MIN('_Dates'!X842,Settings!$B$9))))+IF((MIN('_Dates'!Z842,Settings!$B$9))&lt;('_Dates'!Y842),0,INT(((MIN('_Dates'!Z842,Settings!$B$9))-('_Dates'!Y842)+1)/7)*LEN(SUBSTITUTE(W842,"O",""))+LEN(SUBSTITUTE(MID(W842&amp;W842,WEEKDAY(('_Dates'!Y842),2),MOD(((MIN('_Dates'!Z842,Settings!$B$9))-('_Dates'!Y842)+1),7)),"O",""))-COUNTIFS(INDEX(AllClosureRows,C842,0),"&gt;="&amp;('_Dates'!Y842),INDEX(AllClosureRows,C842,0),"&lt;="&amp;(MIN('_Dates'!Z842,Settings!$B$9))))))</ns0:f>
        <ns0:v>0</ns0:v>
      </ns0:c>
      <ns0:c r="I842" s="0">
        <ns0:f>MAX(0,G842-H842)</ns0:f>
        <ns0:v>0</ns0:v>
      </ns0:c>
      <ns0:c r="J842" s="0">
        <ns0:f>IF(OR(A842=0,F842&lt;&gt;"OK",Bookings!G842="Cancelled",$B$6&gt;0),0,IF('_Dates'!AC842=1,MAX(0,COUNTIFS(rngEngine_B,B842,rngAMStart,"&lt;="&amp;'_Dates'!X842,rngAMEnd,"&gt;="&amp;'_Dates'!W842,rngAMActive,1,rngEngine_F,"OK",rngBookings_F,"&lt;&gt;Cancelled")-1),0)+IF('_Dates'!AD842=1,MAX(0,COUNTIFS(rngEngine_B,B842,rngPMStart,"&lt;="&amp;'_Dates'!Z842,rngPMEnd,"&gt;="&amp;'_Dates'!Y842,rngPMActive,1,rngEngine_F,"OK",rngBookings_F,"&lt;&gt;Cancelled")-1),0))</ns0:f>
        <ns0:v>0</ns0:v>
      </ns0:c>
      <ns0:c r="K842" s="0" t="str">
        <ns0:f>IF(A842=0,"",IF(F842&lt;&gt;"OK",F842,IF(J842&gt;0,"CHECK overlapping entry",IF(AND($B$6=0,G842&lt;=0,Bookings!G842&lt;&gt;"Cancelled"),"CHECK no working days",IF(Bookings!G842="Cancelled","Cancelled","OK")))))</ns0:f>
        <ns0:v/>
      </ns0:c>
      <ns0:c r="L842" s="0">
        <ns0:f>IF(LEFT(K842,5)="CHECK",1,0)</ns0:f>
        <ns0:v>0</ns0:v>
      </ns0:c>
      <ns0:c r="M842" s="0">
        <ns0:f>IF(AND(L842=1,OR(C842=0,IFERROR(INDEX($X$11:$X$60,C842),0)=0)),1,0)</ns0:f>
        <ns0:v>0</ns0:v>
      </ns0:c>
      <ns0:c r="N842" s="0">
        <ns0:f>IF(OR(A842=0,L842&gt;0,$B$6&gt;0,Bookings!G842="Cancelled"),0,G842)</ns0:f>
        <ns0:v>0</ns0:v>
      </ns0:c>
      <ns0:c r="O842" s="0">
        <ns0:f>IF(AND(Bookings!G842="Approved",E842="Yes"),N842,0)</ns0:f>
        <ns0:v>0</ns0:v>
      </ns0:c>
      <ns0:c r="P842" s="0">
        <ns0:f>IF(AND(Bookings!G842="Approved",E842="Yes",L842=0,$B$6=0),H842,0)</ns0:f>
        <ns0:v>0</ns0:v>
      </ns0:c>
      <ns0:c r="Q842" s="0">
        <ns0:f>IF(AND(Bookings!G842="Approved",E842="Yes",L842=0,$B$6=0),I842,0)</ns0:f>
        <ns0:v>0</ns0:v>
      </ns0:c>
      <ns0:c r="R842" s="0">
        <ns0:f>IF(AND(Bookings!G842="Pending",E842="Yes"),N842,0)</ns0:f>
        <ns0:v>0</ns0:v>
      </ns0:c>
      <ns0:c r="S842" s="0">
        <ns0:f>IF(AND(Bookings!G842="Approved",E842="No"),N842,0)</ns0:f>
        <ns0:v>0</ns0:v>
      </ns0:c>
      <ns0:c r="T842" s="0">
        <ns0:f>IFERROR(MATCH(D842,Settings!$G$7:$G$11,0),0)</ns0:f>
        <ns0:v>0</ns0:v>
      </ns0:c>
      <ns0:c r="U842" s="0">
        <ns0:f>IF(N842&gt;0,T842+IF(Bookings!G842="Pending",10,0),0)</ns0:f>
        <ns0:v>0</ns0:v>
      </ns0:c>
      <ns0:c r="V842" s="0">
        <ns0:f>U842</ns0:f>
        <ns0:v>0</ns0:v>
      </ns0:c>
      <ns0:c r="W842" s="0" t="str">
        <ns0:f>IF(C842=0,"",INDEX($AP$11:$AP$60,C842))</ns0:f>
        <ns0:v/>
      </ns0:c>
    </ns0:row>
    <ns0:row r="843">
      <ns0:c r="A843" s="0">
        <ns0:f>IF(COUNTA(Bookings!A843:G843,Bookings!I843)=0,0,1)</ns0:f>
        <ns0:v>0</ns0:v>
      </ns0:c>
      <ns0:c r="B843" s="0" t="str">
        <ns0:f>IFERROR(TRIM(MID(Bookings!A843,FIND(" · ",Bookings!A843)+3,99)),"")</ns0:f>
        <ns0:v/>
      </ns0:c>
      <ns0:c r="C843" s="0">
        <ns0:f>IF(OR(B843="",LEN(B843)&gt;24,ISNUMBER(FIND(" ",B843)),ISNUMBER(FIND("*",B843)),ISNUMBER(FIND("?",B843)),ISNUMBER(FIND("~",B843))),0,IFERROR(MATCH(B843,Team!$A$11:$A$60,0),0))</ns0:f>
        <ns0:v>0</ns0:v>
      </ns0:c>
      <ns0:c r="D843" s="0" t="str">
        <ns0:f>IFERROR(IF(MID(Bookings!F843,LEN(Bookings!F843)-3,3)=" · ",RIGHT(Bookings!F843,1),""),"")</ns0:f>
        <ns0:v/>
      </ns0:c>
      <ns0:c r="E843" s="0" t="str">
        <ns0:f>IFERROR(INDEX(Settings!$H$7:$H$11,MATCH(D843,Settings!$G$7:$G$11,0)),"")</ns0:f>
        <ns0:v/>
      </ns0:c>
      <ns0:c r="F843" s="0" t="str">
        <ns0:f>IF(A843=0,"",IFERROR(IF(OR(B843="",C843=0),"CHECK employee selection",IF(INDEX(Team!$O$11:$O$60,C843)&lt;&gt;"OK","CHECK employee setup",IF(OR('_Dates'!J843=0,'_Dates'!T843=0),"CHECK date: use DD.MM.YYYY",IF('_Dates'!T843&lt;'_Dates'!J843,"CHECK end before start",IF(AND($B$6=0,OR('_Dates'!J843&lt;Settings!$B$7,'_Dates'!T843&gt;Settings!$B$8)),"CHECK split across leave years",IF(OR(NOT(OR('_Dates'!U843="Full day",'_Dates'!U843="AM",'_Dates'!U843="PM")),NOT(OR('_Dates'!V843="Full day",'_Dates'!V843="AM",'_Dates'!V843="PM"))),"CHECK Full day / AM / PM",IF(AND('_Dates'!J843='_Dates'!T843,'_Dates'!U843&lt;&gt;"Full day",'_Dates'!V843&lt;&gt;"Full day",'_Dates'!U843&lt;&gt;'_Dates'!V843),"CHECK same-day portions disagree",IF(AND($B$6=0,OR(AND('_Dates'!U843&lt;&gt;"Full day",'_Dates'!AA843=0),AND('_Dates'!V843&lt;&gt;"Full day",'_Dates'!AB843=0))),"CHECK half-day on non-working date",IF(COUNTIF(Settings!$G$7:$G$11,D843)&lt;&gt;1,"CHECK leave type",IF(AND(Bookings!G843&lt;&gt;"Approved",Bookings!G843&lt;&gt;"Pending",Bookings!G843&lt;&gt;"Cancelled"),"CHECK status","OK")))))))))),"CHECK input"))</ns0:f>
        <ns0:v/>
      </ns0:c>
      <ns0:c r="G843" s="0">
        <ns0:f>IF(OR(F843&lt;&gt;"OK",$B$6&gt;0),0,0.5*(IF(('_Dates'!X843)&lt;('_Dates'!W843),0,INT((('_Dates'!X843)-('_Dates'!W843)+1)/7)*LEN(SUBSTITUTE(W843,"O",""))+LEN(SUBSTITUTE(MID(W843&amp;W843,WEEKDAY(('_Dates'!W843),2),MOD((('_Dates'!X843)-('_Dates'!W843)+1),7)),"O",""))-COUNTIFS(INDEX(AllClosureRows,C843,0),"&gt;="&amp;('_Dates'!W843),INDEX(AllClosureRows,C843,0),"&lt;="&amp;('_Dates'!X843)))+IF(('_Dates'!Z843)&lt;('_Dates'!Y843),0,INT((('_Dates'!Z843)-('_Dates'!Y843)+1)/7)*LEN(SUBSTITUTE(W843,"O",""))+LEN(SUBSTITUTE(MID(W843&amp;W843,WEEKDAY(('_Dates'!Y843),2),MOD((('_Dates'!Z843)-('_Dates'!Y843)+1),7)),"O",""))-COUNTIFS(INDEX(AllClosureRows,C843,0),"&gt;="&amp;('_Dates'!Y843),INDEX(AllClosureRows,C843,0),"&lt;="&amp;('_Dates'!Z843)))))</ns0:f>
        <ns0:v>0</ns0:v>
      </ns0:c>
      <ns0:c r="H843" s="0">
        <ns0:f>IF(OR(F843&lt;&gt;"OK",$B$6&gt;0),0,0.5*(IF((MIN('_Dates'!X843,Settings!$B$9))&lt;('_Dates'!W843),0,INT(((MIN('_Dates'!X843,Settings!$B$9))-('_Dates'!W843)+1)/7)*LEN(SUBSTITUTE(W843,"O",""))+LEN(SUBSTITUTE(MID(W843&amp;W843,WEEKDAY(('_Dates'!W843),2),MOD(((MIN('_Dates'!X843,Settings!$B$9))-('_Dates'!W843)+1),7)),"O",""))-COUNTIFS(INDEX(AllClosureRows,C843,0),"&gt;="&amp;('_Dates'!W843),INDEX(AllClosureRows,C843,0),"&lt;="&amp;(MIN('_Dates'!X843,Settings!$B$9))))+IF((MIN('_Dates'!Z843,Settings!$B$9))&lt;('_Dates'!Y843),0,INT(((MIN('_Dates'!Z843,Settings!$B$9))-('_Dates'!Y843)+1)/7)*LEN(SUBSTITUTE(W843,"O",""))+LEN(SUBSTITUTE(MID(W843&amp;W843,WEEKDAY(('_Dates'!Y843),2),MOD(((MIN('_Dates'!Z843,Settings!$B$9))-('_Dates'!Y843)+1),7)),"O",""))-COUNTIFS(INDEX(AllClosureRows,C843,0),"&gt;="&amp;('_Dates'!Y843),INDEX(AllClosureRows,C843,0),"&lt;="&amp;(MIN('_Dates'!Z843,Settings!$B$9))))))</ns0:f>
        <ns0:v>0</ns0:v>
      </ns0:c>
      <ns0:c r="I843" s="0">
        <ns0:f>MAX(0,G843-H843)</ns0:f>
        <ns0:v>0</ns0:v>
      </ns0:c>
      <ns0:c r="J843" s="0">
        <ns0:f>IF(OR(A843=0,F843&lt;&gt;"OK",Bookings!G843="Cancelled",$B$6&gt;0),0,IF('_Dates'!AC843=1,MAX(0,COUNTIFS(rngEngine_B,B843,rngAMStart,"&lt;="&amp;'_Dates'!X843,rngAMEnd,"&gt;="&amp;'_Dates'!W843,rngAMActive,1,rngEngine_F,"OK",rngBookings_F,"&lt;&gt;Cancelled")-1),0)+IF('_Dates'!AD843=1,MAX(0,COUNTIFS(rngEngine_B,B843,rngPMStart,"&lt;="&amp;'_Dates'!Z843,rngPMEnd,"&gt;="&amp;'_Dates'!Y843,rngPMActive,1,rngEngine_F,"OK",rngBookings_F,"&lt;&gt;Cancelled")-1),0))</ns0:f>
        <ns0:v>0</ns0:v>
      </ns0:c>
      <ns0:c r="K843" s="0" t="str">
        <ns0:f>IF(A843=0,"",IF(F843&lt;&gt;"OK",F843,IF(J843&gt;0,"CHECK overlapping entry",IF(AND($B$6=0,G843&lt;=0,Bookings!G843&lt;&gt;"Cancelled"),"CHECK no working days",IF(Bookings!G843="Cancelled","Cancelled","OK")))))</ns0:f>
        <ns0:v/>
      </ns0:c>
      <ns0:c r="L843" s="0">
        <ns0:f>IF(LEFT(K843,5)="CHECK",1,0)</ns0:f>
        <ns0:v>0</ns0:v>
      </ns0:c>
      <ns0:c r="M843" s="0">
        <ns0:f>IF(AND(L843=1,OR(C843=0,IFERROR(INDEX($X$11:$X$60,C843),0)=0)),1,0)</ns0:f>
        <ns0:v>0</ns0:v>
      </ns0:c>
      <ns0:c r="N843" s="0">
        <ns0:f>IF(OR(A843=0,L843&gt;0,$B$6&gt;0,Bookings!G843="Cancelled"),0,G843)</ns0:f>
        <ns0:v>0</ns0:v>
      </ns0:c>
      <ns0:c r="O843" s="0">
        <ns0:f>IF(AND(Bookings!G843="Approved",E843="Yes"),N843,0)</ns0:f>
        <ns0:v>0</ns0:v>
      </ns0:c>
      <ns0:c r="P843" s="0">
        <ns0:f>IF(AND(Bookings!G843="Approved",E843="Yes",L843=0,$B$6=0),H843,0)</ns0:f>
        <ns0:v>0</ns0:v>
      </ns0:c>
      <ns0:c r="Q843" s="0">
        <ns0:f>IF(AND(Bookings!G843="Approved",E843="Yes",L843=0,$B$6=0),I843,0)</ns0:f>
        <ns0:v>0</ns0:v>
      </ns0:c>
      <ns0:c r="R843" s="0">
        <ns0:f>IF(AND(Bookings!G843="Pending",E843="Yes"),N843,0)</ns0:f>
        <ns0:v>0</ns0:v>
      </ns0:c>
      <ns0:c r="S843" s="0">
        <ns0:f>IF(AND(Bookings!G843="Approved",E843="No"),N843,0)</ns0:f>
        <ns0:v>0</ns0:v>
      </ns0:c>
      <ns0:c r="T843" s="0">
        <ns0:f>IFERROR(MATCH(D843,Settings!$G$7:$G$11,0),0)</ns0:f>
        <ns0:v>0</ns0:v>
      </ns0:c>
      <ns0:c r="U843" s="0">
        <ns0:f>IF(N843&gt;0,T843+IF(Bookings!G843="Pending",10,0),0)</ns0:f>
        <ns0:v>0</ns0:v>
      </ns0:c>
      <ns0:c r="V843" s="0">
        <ns0:f>U843</ns0:f>
        <ns0:v>0</ns0:v>
      </ns0:c>
      <ns0:c r="W843" s="0" t="str">
        <ns0:f>IF(C843=0,"",INDEX($AP$11:$AP$60,C843))</ns0:f>
        <ns0:v/>
      </ns0:c>
    </ns0:row>
    <ns0:row r="844">
      <ns0:c r="A844" s="0">
        <ns0:f>IF(COUNTA(Bookings!A844:G844,Bookings!I844)=0,0,1)</ns0:f>
        <ns0:v>0</ns0:v>
      </ns0:c>
      <ns0:c r="B844" s="0" t="str">
        <ns0:f>IFERROR(TRIM(MID(Bookings!A844,FIND(" · ",Bookings!A844)+3,99)),"")</ns0:f>
        <ns0:v/>
      </ns0:c>
      <ns0:c r="C844" s="0">
        <ns0:f>IF(OR(B844="",LEN(B844)&gt;24,ISNUMBER(FIND(" ",B844)),ISNUMBER(FIND("*",B844)),ISNUMBER(FIND("?",B844)),ISNUMBER(FIND("~",B844))),0,IFERROR(MATCH(B844,Team!$A$11:$A$60,0),0))</ns0:f>
        <ns0:v>0</ns0:v>
      </ns0:c>
      <ns0:c r="D844" s="0" t="str">
        <ns0:f>IFERROR(IF(MID(Bookings!F844,LEN(Bookings!F844)-3,3)=" · ",RIGHT(Bookings!F844,1),""),"")</ns0:f>
        <ns0:v/>
      </ns0:c>
      <ns0:c r="E844" s="0" t="str">
        <ns0:f>IFERROR(INDEX(Settings!$H$7:$H$11,MATCH(D844,Settings!$G$7:$G$11,0)),"")</ns0:f>
        <ns0:v/>
      </ns0:c>
      <ns0:c r="F844" s="0" t="str">
        <ns0:f>IF(A844=0,"",IFERROR(IF(OR(B844="",C844=0),"CHECK employee selection",IF(INDEX(Team!$O$11:$O$60,C844)&lt;&gt;"OK","CHECK employee setup",IF(OR('_Dates'!J844=0,'_Dates'!T844=0),"CHECK date: use DD.MM.YYYY",IF('_Dates'!T844&lt;'_Dates'!J844,"CHECK end before start",IF(AND($B$6=0,OR('_Dates'!J844&lt;Settings!$B$7,'_Dates'!T844&gt;Settings!$B$8)),"CHECK split across leave years",IF(OR(NOT(OR('_Dates'!U844="Full day",'_Dates'!U844="AM",'_Dates'!U844="PM")),NOT(OR('_Dates'!V844="Full day",'_Dates'!V844="AM",'_Dates'!V844="PM"))),"CHECK Full day / AM / PM",IF(AND('_Dates'!J844='_Dates'!T844,'_Dates'!U844&lt;&gt;"Full day",'_Dates'!V844&lt;&gt;"Full day",'_Dates'!U844&lt;&gt;'_Dates'!V844),"CHECK same-day portions disagree",IF(AND($B$6=0,OR(AND('_Dates'!U844&lt;&gt;"Full day",'_Dates'!AA844=0),AND('_Dates'!V844&lt;&gt;"Full day",'_Dates'!AB844=0))),"CHECK half-day on non-working date",IF(COUNTIF(Settings!$G$7:$G$11,D844)&lt;&gt;1,"CHECK leave type",IF(AND(Bookings!G844&lt;&gt;"Approved",Bookings!G844&lt;&gt;"Pending",Bookings!G844&lt;&gt;"Cancelled"),"CHECK status","OK")))))))))),"CHECK input"))</ns0:f>
        <ns0:v/>
      </ns0:c>
      <ns0:c r="G844" s="0">
        <ns0:f>IF(OR(F844&lt;&gt;"OK",$B$6&gt;0),0,0.5*(IF(('_Dates'!X844)&lt;('_Dates'!W844),0,INT((('_Dates'!X844)-('_Dates'!W844)+1)/7)*LEN(SUBSTITUTE(W844,"O",""))+LEN(SUBSTITUTE(MID(W844&amp;W844,WEEKDAY(('_Dates'!W844),2),MOD((('_Dates'!X844)-('_Dates'!W844)+1),7)),"O",""))-COUNTIFS(INDEX(AllClosureRows,C844,0),"&gt;="&amp;('_Dates'!W844),INDEX(AllClosureRows,C844,0),"&lt;="&amp;('_Dates'!X844)))+IF(('_Dates'!Z844)&lt;('_Dates'!Y844),0,INT((('_Dates'!Z844)-('_Dates'!Y844)+1)/7)*LEN(SUBSTITUTE(W844,"O",""))+LEN(SUBSTITUTE(MID(W844&amp;W844,WEEKDAY(('_Dates'!Y844),2),MOD((('_Dates'!Z844)-('_Dates'!Y844)+1),7)),"O",""))-COUNTIFS(INDEX(AllClosureRows,C844,0),"&gt;="&amp;('_Dates'!Y844),INDEX(AllClosureRows,C844,0),"&lt;="&amp;('_Dates'!Z844)))))</ns0:f>
        <ns0:v>0</ns0:v>
      </ns0:c>
      <ns0:c r="H844" s="0">
        <ns0:f>IF(OR(F844&lt;&gt;"OK",$B$6&gt;0),0,0.5*(IF((MIN('_Dates'!X844,Settings!$B$9))&lt;('_Dates'!W844),0,INT(((MIN('_Dates'!X844,Settings!$B$9))-('_Dates'!W844)+1)/7)*LEN(SUBSTITUTE(W844,"O",""))+LEN(SUBSTITUTE(MID(W844&amp;W844,WEEKDAY(('_Dates'!W844),2),MOD(((MIN('_Dates'!X844,Settings!$B$9))-('_Dates'!W844)+1),7)),"O",""))-COUNTIFS(INDEX(AllClosureRows,C844,0),"&gt;="&amp;('_Dates'!W844),INDEX(AllClosureRows,C844,0),"&lt;="&amp;(MIN('_Dates'!X844,Settings!$B$9))))+IF((MIN('_Dates'!Z844,Settings!$B$9))&lt;('_Dates'!Y844),0,INT(((MIN('_Dates'!Z844,Settings!$B$9))-('_Dates'!Y844)+1)/7)*LEN(SUBSTITUTE(W844,"O",""))+LEN(SUBSTITUTE(MID(W844&amp;W844,WEEKDAY(('_Dates'!Y844),2),MOD(((MIN('_Dates'!Z844,Settings!$B$9))-('_Dates'!Y844)+1),7)),"O",""))-COUNTIFS(INDEX(AllClosureRows,C844,0),"&gt;="&amp;('_Dates'!Y844),INDEX(AllClosureRows,C844,0),"&lt;="&amp;(MIN('_Dates'!Z844,Settings!$B$9))))))</ns0:f>
        <ns0:v>0</ns0:v>
      </ns0:c>
      <ns0:c r="I844" s="0">
        <ns0:f>MAX(0,G844-H844)</ns0:f>
        <ns0:v>0</ns0:v>
      </ns0:c>
      <ns0:c r="J844" s="0">
        <ns0:f>IF(OR(A844=0,F844&lt;&gt;"OK",Bookings!G844="Cancelled",$B$6&gt;0),0,IF('_Dates'!AC844=1,MAX(0,COUNTIFS(rngEngine_B,B844,rngAMStart,"&lt;="&amp;'_Dates'!X844,rngAMEnd,"&gt;="&amp;'_Dates'!W844,rngAMActive,1,rngEngine_F,"OK",rngBookings_F,"&lt;&gt;Cancelled")-1),0)+IF('_Dates'!AD844=1,MAX(0,COUNTIFS(rngEngine_B,B844,rngPMStart,"&lt;="&amp;'_Dates'!Z844,rngPMEnd,"&gt;="&amp;'_Dates'!Y844,rngPMActive,1,rngEngine_F,"OK",rngBookings_F,"&lt;&gt;Cancelled")-1),0))</ns0:f>
        <ns0:v>0</ns0:v>
      </ns0:c>
      <ns0:c r="K844" s="0" t="str">
        <ns0:f>IF(A844=0,"",IF(F844&lt;&gt;"OK",F844,IF(J844&gt;0,"CHECK overlapping entry",IF(AND($B$6=0,G844&lt;=0,Bookings!G844&lt;&gt;"Cancelled"),"CHECK no working days",IF(Bookings!G844="Cancelled","Cancelled","OK")))))</ns0:f>
        <ns0:v/>
      </ns0:c>
      <ns0:c r="L844" s="0">
        <ns0:f>IF(LEFT(K844,5)="CHECK",1,0)</ns0:f>
        <ns0:v>0</ns0:v>
      </ns0:c>
      <ns0:c r="M844" s="0">
        <ns0:f>IF(AND(L844=1,OR(C844=0,IFERROR(INDEX($X$11:$X$60,C844),0)=0)),1,0)</ns0:f>
        <ns0:v>0</ns0:v>
      </ns0:c>
      <ns0:c r="N844" s="0">
        <ns0:f>IF(OR(A844=0,L844&gt;0,$B$6&gt;0,Bookings!G844="Cancelled"),0,G844)</ns0:f>
        <ns0:v>0</ns0:v>
      </ns0:c>
      <ns0:c r="O844" s="0">
        <ns0:f>IF(AND(Bookings!G844="Approved",E844="Yes"),N844,0)</ns0:f>
        <ns0:v>0</ns0:v>
      </ns0:c>
      <ns0:c r="P844" s="0">
        <ns0:f>IF(AND(Bookings!G844="Approved",E844="Yes",L844=0,$B$6=0),H844,0)</ns0:f>
        <ns0:v>0</ns0:v>
      </ns0:c>
      <ns0:c r="Q844" s="0">
        <ns0:f>IF(AND(Bookings!G844="Approved",E844="Yes",L844=0,$B$6=0),I844,0)</ns0:f>
        <ns0:v>0</ns0:v>
      </ns0:c>
      <ns0:c r="R844" s="0">
        <ns0:f>IF(AND(Bookings!G844="Pending",E844="Yes"),N844,0)</ns0:f>
        <ns0:v>0</ns0:v>
      </ns0:c>
      <ns0:c r="S844" s="0">
        <ns0:f>IF(AND(Bookings!G844="Approved",E844="No"),N844,0)</ns0:f>
        <ns0:v>0</ns0:v>
      </ns0:c>
      <ns0:c r="T844" s="0">
        <ns0:f>IFERROR(MATCH(D844,Settings!$G$7:$G$11,0),0)</ns0:f>
        <ns0:v>0</ns0:v>
      </ns0:c>
      <ns0:c r="U844" s="0">
        <ns0:f>IF(N844&gt;0,T844+IF(Bookings!G844="Pending",10,0),0)</ns0:f>
        <ns0:v>0</ns0:v>
      </ns0:c>
      <ns0:c r="V844" s="0">
        <ns0:f>U844</ns0:f>
        <ns0:v>0</ns0:v>
      </ns0:c>
      <ns0:c r="W844" s="0" t="str">
        <ns0:f>IF(C844=0,"",INDEX($AP$11:$AP$60,C844))</ns0:f>
        <ns0:v/>
      </ns0:c>
    </ns0:row>
    <ns0:row r="845">
      <ns0:c r="A845" s="0">
        <ns0:f>IF(COUNTA(Bookings!A845:G845,Bookings!I845)=0,0,1)</ns0:f>
        <ns0:v>0</ns0:v>
      </ns0:c>
      <ns0:c r="B845" s="0" t="str">
        <ns0:f>IFERROR(TRIM(MID(Bookings!A845,FIND(" · ",Bookings!A845)+3,99)),"")</ns0:f>
        <ns0:v/>
      </ns0:c>
      <ns0:c r="C845" s="0">
        <ns0:f>IF(OR(B845="",LEN(B845)&gt;24,ISNUMBER(FIND(" ",B845)),ISNUMBER(FIND("*",B845)),ISNUMBER(FIND("?",B845)),ISNUMBER(FIND("~",B845))),0,IFERROR(MATCH(B845,Team!$A$11:$A$60,0),0))</ns0:f>
        <ns0:v>0</ns0:v>
      </ns0:c>
      <ns0:c r="D845" s="0" t="str">
        <ns0:f>IFERROR(IF(MID(Bookings!F845,LEN(Bookings!F845)-3,3)=" · ",RIGHT(Bookings!F845,1),""),"")</ns0:f>
        <ns0:v/>
      </ns0:c>
      <ns0:c r="E845" s="0" t="str">
        <ns0:f>IFERROR(INDEX(Settings!$H$7:$H$11,MATCH(D845,Settings!$G$7:$G$11,0)),"")</ns0:f>
        <ns0:v/>
      </ns0:c>
      <ns0:c r="F845" s="0" t="str">
        <ns0:f>IF(A845=0,"",IFERROR(IF(OR(B845="",C845=0),"CHECK employee selection",IF(INDEX(Team!$O$11:$O$60,C845)&lt;&gt;"OK","CHECK employee setup",IF(OR('_Dates'!J845=0,'_Dates'!T845=0),"CHECK date: use DD.MM.YYYY",IF('_Dates'!T845&lt;'_Dates'!J845,"CHECK end before start",IF(AND($B$6=0,OR('_Dates'!J845&lt;Settings!$B$7,'_Dates'!T845&gt;Settings!$B$8)),"CHECK split across leave years",IF(OR(NOT(OR('_Dates'!U845="Full day",'_Dates'!U845="AM",'_Dates'!U845="PM")),NOT(OR('_Dates'!V845="Full day",'_Dates'!V845="AM",'_Dates'!V845="PM"))),"CHECK Full day / AM / PM",IF(AND('_Dates'!J845='_Dates'!T845,'_Dates'!U845&lt;&gt;"Full day",'_Dates'!V845&lt;&gt;"Full day",'_Dates'!U845&lt;&gt;'_Dates'!V845),"CHECK same-day portions disagree",IF(AND($B$6=0,OR(AND('_Dates'!U845&lt;&gt;"Full day",'_Dates'!AA845=0),AND('_Dates'!V845&lt;&gt;"Full day",'_Dates'!AB845=0))),"CHECK half-day on non-working date",IF(COUNTIF(Settings!$G$7:$G$11,D845)&lt;&gt;1,"CHECK leave type",IF(AND(Bookings!G845&lt;&gt;"Approved",Bookings!G845&lt;&gt;"Pending",Bookings!G845&lt;&gt;"Cancelled"),"CHECK status","OK")))))))))),"CHECK input"))</ns0:f>
        <ns0:v/>
      </ns0:c>
      <ns0:c r="G845" s="0">
        <ns0:f>IF(OR(F845&lt;&gt;"OK",$B$6&gt;0),0,0.5*(IF(('_Dates'!X845)&lt;('_Dates'!W845),0,INT((('_Dates'!X845)-('_Dates'!W845)+1)/7)*LEN(SUBSTITUTE(W845,"O",""))+LEN(SUBSTITUTE(MID(W845&amp;W845,WEEKDAY(('_Dates'!W845),2),MOD((('_Dates'!X845)-('_Dates'!W845)+1),7)),"O",""))-COUNTIFS(INDEX(AllClosureRows,C845,0),"&gt;="&amp;('_Dates'!W845),INDEX(AllClosureRows,C845,0),"&lt;="&amp;('_Dates'!X845)))+IF(('_Dates'!Z845)&lt;('_Dates'!Y845),0,INT((('_Dates'!Z845)-('_Dates'!Y845)+1)/7)*LEN(SUBSTITUTE(W845,"O",""))+LEN(SUBSTITUTE(MID(W845&amp;W845,WEEKDAY(('_Dates'!Y845),2),MOD((('_Dates'!Z845)-('_Dates'!Y845)+1),7)),"O",""))-COUNTIFS(INDEX(AllClosureRows,C845,0),"&gt;="&amp;('_Dates'!Y845),INDEX(AllClosureRows,C845,0),"&lt;="&amp;('_Dates'!Z845)))))</ns0:f>
        <ns0:v>0</ns0:v>
      </ns0:c>
      <ns0:c r="H845" s="0">
        <ns0:f>IF(OR(F845&lt;&gt;"OK",$B$6&gt;0),0,0.5*(IF((MIN('_Dates'!X845,Settings!$B$9))&lt;('_Dates'!W845),0,INT(((MIN('_Dates'!X845,Settings!$B$9))-('_Dates'!W845)+1)/7)*LEN(SUBSTITUTE(W845,"O",""))+LEN(SUBSTITUTE(MID(W845&amp;W845,WEEKDAY(('_Dates'!W845),2),MOD(((MIN('_Dates'!X845,Settings!$B$9))-('_Dates'!W845)+1),7)),"O",""))-COUNTIFS(INDEX(AllClosureRows,C845,0),"&gt;="&amp;('_Dates'!W845),INDEX(AllClosureRows,C845,0),"&lt;="&amp;(MIN('_Dates'!X845,Settings!$B$9))))+IF((MIN('_Dates'!Z845,Settings!$B$9))&lt;('_Dates'!Y845),0,INT(((MIN('_Dates'!Z845,Settings!$B$9))-('_Dates'!Y845)+1)/7)*LEN(SUBSTITUTE(W845,"O",""))+LEN(SUBSTITUTE(MID(W845&amp;W845,WEEKDAY(('_Dates'!Y845),2),MOD(((MIN('_Dates'!Z845,Settings!$B$9))-('_Dates'!Y845)+1),7)),"O",""))-COUNTIFS(INDEX(AllClosureRows,C845,0),"&gt;="&amp;('_Dates'!Y845),INDEX(AllClosureRows,C845,0),"&lt;="&amp;(MIN('_Dates'!Z845,Settings!$B$9))))))</ns0:f>
        <ns0:v>0</ns0:v>
      </ns0:c>
      <ns0:c r="I845" s="0">
        <ns0:f>MAX(0,G845-H845)</ns0:f>
        <ns0:v>0</ns0:v>
      </ns0:c>
      <ns0:c r="J845" s="0">
        <ns0:f>IF(OR(A845=0,F845&lt;&gt;"OK",Bookings!G845="Cancelled",$B$6&gt;0),0,IF('_Dates'!AC845=1,MAX(0,COUNTIFS(rngEngine_B,B845,rngAMStart,"&lt;="&amp;'_Dates'!X845,rngAMEnd,"&gt;="&amp;'_Dates'!W845,rngAMActive,1,rngEngine_F,"OK",rngBookings_F,"&lt;&gt;Cancelled")-1),0)+IF('_Dates'!AD845=1,MAX(0,COUNTIFS(rngEngine_B,B845,rngPMStart,"&lt;="&amp;'_Dates'!Z845,rngPMEnd,"&gt;="&amp;'_Dates'!Y845,rngPMActive,1,rngEngine_F,"OK",rngBookings_F,"&lt;&gt;Cancelled")-1),0))</ns0:f>
        <ns0:v>0</ns0:v>
      </ns0:c>
      <ns0:c r="K845" s="0" t="str">
        <ns0:f>IF(A845=0,"",IF(F845&lt;&gt;"OK",F845,IF(J845&gt;0,"CHECK overlapping entry",IF(AND($B$6=0,G845&lt;=0,Bookings!G845&lt;&gt;"Cancelled"),"CHECK no working days",IF(Bookings!G845="Cancelled","Cancelled","OK")))))</ns0:f>
        <ns0:v/>
      </ns0:c>
      <ns0:c r="L845" s="0">
        <ns0:f>IF(LEFT(K845,5)="CHECK",1,0)</ns0:f>
        <ns0:v>0</ns0:v>
      </ns0:c>
      <ns0:c r="M845" s="0">
        <ns0:f>IF(AND(L845=1,OR(C845=0,IFERROR(INDEX($X$11:$X$60,C845),0)=0)),1,0)</ns0:f>
        <ns0:v>0</ns0:v>
      </ns0:c>
      <ns0:c r="N845" s="0">
        <ns0:f>IF(OR(A845=0,L845&gt;0,$B$6&gt;0,Bookings!G845="Cancelled"),0,G845)</ns0:f>
        <ns0:v>0</ns0:v>
      </ns0:c>
      <ns0:c r="O845" s="0">
        <ns0:f>IF(AND(Bookings!G845="Approved",E845="Yes"),N845,0)</ns0:f>
        <ns0:v>0</ns0:v>
      </ns0:c>
      <ns0:c r="P845" s="0">
        <ns0:f>IF(AND(Bookings!G845="Approved",E845="Yes",L845=0,$B$6=0),H845,0)</ns0:f>
        <ns0:v>0</ns0:v>
      </ns0:c>
      <ns0:c r="Q845" s="0">
        <ns0:f>IF(AND(Bookings!G845="Approved",E845="Yes",L845=0,$B$6=0),I845,0)</ns0:f>
        <ns0:v>0</ns0:v>
      </ns0:c>
      <ns0:c r="R845" s="0">
        <ns0:f>IF(AND(Bookings!G845="Pending",E845="Yes"),N845,0)</ns0:f>
        <ns0:v>0</ns0:v>
      </ns0:c>
      <ns0:c r="S845" s="0">
        <ns0:f>IF(AND(Bookings!G845="Approved",E845="No"),N845,0)</ns0:f>
        <ns0:v>0</ns0:v>
      </ns0:c>
      <ns0:c r="T845" s="0">
        <ns0:f>IFERROR(MATCH(D845,Settings!$G$7:$G$11,0),0)</ns0:f>
        <ns0:v>0</ns0:v>
      </ns0:c>
      <ns0:c r="U845" s="0">
        <ns0:f>IF(N845&gt;0,T845+IF(Bookings!G845="Pending",10,0),0)</ns0:f>
        <ns0:v>0</ns0:v>
      </ns0:c>
      <ns0:c r="V845" s="0">
        <ns0:f>U845</ns0:f>
        <ns0:v>0</ns0:v>
      </ns0:c>
      <ns0:c r="W845" s="0" t="str">
        <ns0:f>IF(C845=0,"",INDEX($AP$11:$AP$60,C845))</ns0:f>
        <ns0:v/>
      </ns0:c>
    </ns0:row>
    <ns0:row r="846">
      <ns0:c r="A846" s="0">
        <ns0:f>IF(COUNTA(Bookings!A846:G846,Bookings!I846)=0,0,1)</ns0:f>
        <ns0:v>0</ns0:v>
      </ns0:c>
      <ns0:c r="B846" s="0" t="str">
        <ns0:f>IFERROR(TRIM(MID(Bookings!A846,FIND(" · ",Bookings!A846)+3,99)),"")</ns0:f>
        <ns0:v/>
      </ns0:c>
      <ns0:c r="C846" s="0">
        <ns0:f>IF(OR(B846="",LEN(B846)&gt;24,ISNUMBER(FIND(" ",B846)),ISNUMBER(FIND("*",B846)),ISNUMBER(FIND("?",B846)),ISNUMBER(FIND("~",B846))),0,IFERROR(MATCH(B846,Team!$A$11:$A$60,0),0))</ns0:f>
        <ns0:v>0</ns0:v>
      </ns0:c>
      <ns0:c r="D846" s="0" t="str">
        <ns0:f>IFERROR(IF(MID(Bookings!F846,LEN(Bookings!F846)-3,3)=" · ",RIGHT(Bookings!F846,1),""),"")</ns0:f>
        <ns0:v/>
      </ns0:c>
      <ns0:c r="E846" s="0" t="str">
        <ns0:f>IFERROR(INDEX(Settings!$H$7:$H$11,MATCH(D846,Settings!$G$7:$G$11,0)),"")</ns0:f>
        <ns0:v/>
      </ns0:c>
      <ns0:c r="F846" s="0" t="str">
        <ns0:f>IF(A846=0,"",IFERROR(IF(OR(B846="",C846=0),"CHECK employee selection",IF(INDEX(Team!$O$11:$O$60,C846)&lt;&gt;"OK","CHECK employee setup",IF(OR('_Dates'!J846=0,'_Dates'!T846=0),"CHECK date: use DD.MM.YYYY",IF('_Dates'!T846&lt;'_Dates'!J846,"CHECK end before start",IF(AND($B$6=0,OR('_Dates'!J846&lt;Settings!$B$7,'_Dates'!T846&gt;Settings!$B$8)),"CHECK split across leave years",IF(OR(NOT(OR('_Dates'!U846="Full day",'_Dates'!U846="AM",'_Dates'!U846="PM")),NOT(OR('_Dates'!V846="Full day",'_Dates'!V846="AM",'_Dates'!V846="PM"))),"CHECK Full day / AM / PM",IF(AND('_Dates'!J846='_Dates'!T846,'_Dates'!U846&lt;&gt;"Full day",'_Dates'!V846&lt;&gt;"Full day",'_Dates'!U846&lt;&gt;'_Dates'!V846),"CHECK same-day portions disagree",IF(AND($B$6=0,OR(AND('_Dates'!U846&lt;&gt;"Full day",'_Dates'!AA846=0),AND('_Dates'!V846&lt;&gt;"Full day",'_Dates'!AB846=0))),"CHECK half-day on non-working date",IF(COUNTIF(Settings!$G$7:$G$11,D846)&lt;&gt;1,"CHECK leave type",IF(AND(Bookings!G846&lt;&gt;"Approved",Bookings!G846&lt;&gt;"Pending",Bookings!G846&lt;&gt;"Cancelled"),"CHECK status","OK")))))))))),"CHECK input"))</ns0:f>
        <ns0:v/>
      </ns0:c>
      <ns0:c r="G846" s="0">
        <ns0:f>IF(OR(F846&lt;&gt;"OK",$B$6&gt;0),0,0.5*(IF(('_Dates'!X846)&lt;('_Dates'!W846),0,INT((('_Dates'!X846)-('_Dates'!W846)+1)/7)*LEN(SUBSTITUTE(W846,"O",""))+LEN(SUBSTITUTE(MID(W846&amp;W846,WEEKDAY(('_Dates'!W846),2),MOD((('_Dates'!X846)-('_Dates'!W846)+1),7)),"O",""))-COUNTIFS(INDEX(AllClosureRows,C846,0),"&gt;="&amp;('_Dates'!W846),INDEX(AllClosureRows,C846,0),"&lt;="&amp;('_Dates'!X846)))+IF(('_Dates'!Z846)&lt;('_Dates'!Y846),0,INT((('_Dates'!Z846)-('_Dates'!Y846)+1)/7)*LEN(SUBSTITUTE(W846,"O",""))+LEN(SUBSTITUTE(MID(W846&amp;W846,WEEKDAY(('_Dates'!Y846),2),MOD((('_Dates'!Z846)-('_Dates'!Y846)+1),7)),"O",""))-COUNTIFS(INDEX(AllClosureRows,C846,0),"&gt;="&amp;('_Dates'!Y846),INDEX(AllClosureRows,C846,0),"&lt;="&amp;('_Dates'!Z846)))))</ns0:f>
        <ns0:v>0</ns0:v>
      </ns0:c>
      <ns0:c r="H846" s="0">
        <ns0:f>IF(OR(F846&lt;&gt;"OK",$B$6&gt;0),0,0.5*(IF((MIN('_Dates'!X846,Settings!$B$9))&lt;('_Dates'!W846),0,INT(((MIN('_Dates'!X846,Settings!$B$9))-('_Dates'!W846)+1)/7)*LEN(SUBSTITUTE(W846,"O",""))+LEN(SUBSTITUTE(MID(W846&amp;W846,WEEKDAY(('_Dates'!W846),2),MOD(((MIN('_Dates'!X846,Settings!$B$9))-('_Dates'!W846)+1),7)),"O",""))-COUNTIFS(INDEX(AllClosureRows,C846,0),"&gt;="&amp;('_Dates'!W846),INDEX(AllClosureRows,C846,0),"&lt;="&amp;(MIN('_Dates'!X846,Settings!$B$9))))+IF((MIN('_Dates'!Z846,Settings!$B$9))&lt;('_Dates'!Y846),0,INT(((MIN('_Dates'!Z846,Settings!$B$9))-('_Dates'!Y846)+1)/7)*LEN(SUBSTITUTE(W846,"O",""))+LEN(SUBSTITUTE(MID(W846&amp;W846,WEEKDAY(('_Dates'!Y846),2),MOD(((MIN('_Dates'!Z846,Settings!$B$9))-('_Dates'!Y846)+1),7)),"O",""))-COUNTIFS(INDEX(AllClosureRows,C846,0),"&gt;="&amp;('_Dates'!Y846),INDEX(AllClosureRows,C846,0),"&lt;="&amp;(MIN('_Dates'!Z846,Settings!$B$9))))))</ns0:f>
        <ns0:v>0</ns0:v>
      </ns0:c>
      <ns0:c r="I846" s="0">
        <ns0:f>MAX(0,G846-H846)</ns0:f>
        <ns0:v>0</ns0:v>
      </ns0:c>
      <ns0:c r="J846" s="0">
        <ns0:f>IF(OR(A846=0,F846&lt;&gt;"OK",Bookings!G846="Cancelled",$B$6&gt;0),0,IF('_Dates'!AC846=1,MAX(0,COUNTIFS(rngEngine_B,B846,rngAMStart,"&lt;="&amp;'_Dates'!X846,rngAMEnd,"&gt;="&amp;'_Dates'!W846,rngAMActive,1,rngEngine_F,"OK",rngBookings_F,"&lt;&gt;Cancelled")-1),0)+IF('_Dates'!AD846=1,MAX(0,COUNTIFS(rngEngine_B,B846,rngPMStart,"&lt;="&amp;'_Dates'!Z846,rngPMEnd,"&gt;="&amp;'_Dates'!Y846,rngPMActive,1,rngEngine_F,"OK",rngBookings_F,"&lt;&gt;Cancelled")-1),0))</ns0:f>
        <ns0:v>0</ns0:v>
      </ns0:c>
      <ns0:c r="K846" s="0" t="str">
        <ns0:f>IF(A846=0,"",IF(F846&lt;&gt;"OK",F846,IF(J846&gt;0,"CHECK overlapping entry",IF(AND($B$6=0,G846&lt;=0,Bookings!G846&lt;&gt;"Cancelled"),"CHECK no working days",IF(Bookings!G846="Cancelled","Cancelled","OK")))))</ns0:f>
        <ns0:v/>
      </ns0:c>
      <ns0:c r="L846" s="0">
        <ns0:f>IF(LEFT(K846,5)="CHECK",1,0)</ns0:f>
        <ns0:v>0</ns0:v>
      </ns0:c>
      <ns0:c r="M846" s="0">
        <ns0:f>IF(AND(L846=1,OR(C846=0,IFERROR(INDEX($X$11:$X$60,C846),0)=0)),1,0)</ns0:f>
        <ns0:v>0</ns0:v>
      </ns0:c>
      <ns0:c r="N846" s="0">
        <ns0:f>IF(OR(A846=0,L846&gt;0,$B$6&gt;0,Bookings!G846="Cancelled"),0,G846)</ns0:f>
        <ns0:v>0</ns0:v>
      </ns0:c>
      <ns0:c r="O846" s="0">
        <ns0:f>IF(AND(Bookings!G846="Approved",E846="Yes"),N846,0)</ns0:f>
        <ns0:v>0</ns0:v>
      </ns0:c>
      <ns0:c r="P846" s="0">
        <ns0:f>IF(AND(Bookings!G846="Approved",E846="Yes",L846=0,$B$6=0),H846,0)</ns0:f>
        <ns0:v>0</ns0:v>
      </ns0:c>
      <ns0:c r="Q846" s="0">
        <ns0:f>IF(AND(Bookings!G846="Approved",E846="Yes",L846=0,$B$6=0),I846,0)</ns0:f>
        <ns0:v>0</ns0:v>
      </ns0:c>
      <ns0:c r="R846" s="0">
        <ns0:f>IF(AND(Bookings!G846="Pending",E846="Yes"),N846,0)</ns0:f>
        <ns0:v>0</ns0:v>
      </ns0:c>
      <ns0:c r="S846" s="0">
        <ns0:f>IF(AND(Bookings!G846="Approved",E846="No"),N846,0)</ns0:f>
        <ns0:v>0</ns0:v>
      </ns0:c>
      <ns0:c r="T846" s="0">
        <ns0:f>IFERROR(MATCH(D846,Settings!$G$7:$G$11,0),0)</ns0:f>
        <ns0:v>0</ns0:v>
      </ns0:c>
      <ns0:c r="U846" s="0">
        <ns0:f>IF(N846&gt;0,T846+IF(Bookings!G846="Pending",10,0),0)</ns0:f>
        <ns0:v>0</ns0:v>
      </ns0:c>
      <ns0:c r="V846" s="0">
        <ns0:f>U846</ns0:f>
        <ns0:v>0</ns0:v>
      </ns0:c>
      <ns0:c r="W846" s="0" t="str">
        <ns0:f>IF(C846=0,"",INDEX($AP$11:$AP$60,C846))</ns0:f>
        <ns0:v/>
      </ns0:c>
    </ns0:row>
    <ns0:row r="847">
      <ns0:c r="A847" s="0">
        <ns0:f>IF(COUNTA(Bookings!A847:G847,Bookings!I847)=0,0,1)</ns0:f>
        <ns0:v>0</ns0:v>
      </ns0:c>
      <ns0:c r="B847" s="0" t="str">
        <ns0:f>IFERROR(TRIM(MID(Bookings!A847,FIND(" · ",Bookings!A847)+3,99)),"")</ns0:f>
        <ns0:v/>
      </ns0:c>
      <ns0:c r="C847" s="0">
        <ns0:f>IF(OR(B847="",LEN(B847)&gt;24,ISNUMBER(FIND(" ",B847)),ISNUMBER(FIND("*",B847)),ISNUMBER(FIND("?",B847)),ISNUMBER(FIND("~",B847))),0,IFERROR(MATCH(B847,Team!$A$11:$A$60,0),0))</ns0:f>
        <ns0:v>0</ns0:v>
      </ns0:c>
      <ns0:c r="D847" s="0" t="str">
        <ns0:f>IFERROR(IF(MID(Bookings!F847,LEN(Bookings!F847)-3,3)=" · ",RIGHT(Bookings!F847,1),""),"")</ns0:f>
        <ns0:v/>
      </ns0:c>
      <ns0:c r="E847" s="0" t="str">
        <ns0:f>IFERROR(INDEX(Settings!$H$7:$H$11,MATCH(D847,Settings!$G$7:$G$11,0)),"")</ns0:f>
        <ns0:v/>
      </ns0:c>
      <ns0:c r="F847" s="0" t="str">
        <ns0:f>IF(A847=0,"",IFERROR(IF(OR(B847="",C847=0),"CHECK employee selection",IF(INDEX(Team!$O$11:$O$60,C847)&lt;&gt;"OK","CHECK employee setup",IF(OR('_Dates'!J847=0,'_Dates'!T847=0),"CHECK date: use DD.MM.YYYY",IF('_Dates'!T847&lt;'_Dates'!J847,"CHECK end before start",IF(AND($B$6=0,OR('_Dates'!J847&lt;Settings!$B$7,'_Dates'!T847&gt;Settings!$B$8)),"CHECK split across leave years",IF(OR(NOT(OR('_Dates'!U847="Full day",'_Dates'!U847="AM",'_Dates'!U847="PM")),NOT(OR('_Dates'!V847="Full day",'_Dates'!V847="AM",'_Dates'!V847="PM"))),"CHECK Full day / AM / PM",IF(AND('_Dates'!J847='_Dates'!T847,'_Dates'!U847&lt;&gt;"Full day",'_Dates'!V847&lt;&gt;"Full day",'_Dates'!U847&lt;&gt;'_Dates'!V847),"CHECK same-day portions disagree",IF(AND($B$6=0,OR(AND('_Dates'!U847&lt;&gt;"Full day",'_Dates'!AA847=0),AND('_Dates'!V847&lt;&gt;"Full day",'_Dates'!AB847=0))),"CHECK half-day on non-working date",IF(COUNTIF(Settings!$G$7:$G$11,D847)&lt;&gt;1,"CHECK leave type",IF(AND(Bookings!G847&lt;&gt;"Approved",Bookings!G847&lt;&gt;"Pending",Bookings!G847&lt;&gt;"Cancelled"),"CHECK status","OK")))))))))),"CHECK input"))</ns0:f>
        <ns0:v/>
      </ns0:c>
      <ns0:c r="G847" s="0">
        <ns0:f>IF(OR(F847&lt;&gt;"OK",$B$6&gt;0),0,0.5*(IF(('_Dates'!X847)&lt;('_Dates'!W847),0,INT((('_Dates'!X847)-('_Dates'!W847)+1)/7)*LEN(SUBSTITUTE(W847,"O",""))+LEN(SUBSTITUTE(MID(W847&amp;W847,WEEKDAY(('_Dates'!W847),2),MOD((('_Dates'!X847)-('_Dates'!W847)+1),7)),"O",""))-COUNTIFS(INDEX(AllClosureRows,C847,0),"&gt;="&amp;('_Dates'!W847),INDEX(AllClosureRows,C847,0),"&lt;="&amp;('_Dates'!X847)))+IF(('_Dates'!Z847)&lt;('_Dates'!Y847),0,INT((('_Dates'!Z847)-('_Dates'!Y847)+1)/7)*LEN(SUBSTITUTE(W847,"O",""))+LEN(SUBSTITUTE(MID(W847&amp;W847,WEEKDAY(('_Dates'!Y847),2),MOD((('_Dates'!Z847)-('_Dates'!Y847)+1),7)),"O",""))-COUNTIFS(INDEX(AllClosureRows,C847,0),"&gt;="&amp;('_Dates'!Y847),INDEX(AllClosureRows,C847,0),"&lt;="&amp;('_Dates'!Z847)))))</ns0:f>
        <ns0:v>0</ns0:v>
      </ns0:c>
      <ns0:c r="H847" s="0">
        <ns0:f>IF(OR(F847&lt;&gt;"OK",$B$6&gt;0),0,0.5*(IF((MIN('_Dates'!X847,Settings!$B$9))&lt;('_Dates'!W847),0,INT(((MIN('_Dates'!X847,Settings!$B$9))-('_Dates'!W847)+1)/7)*LEN(SUBSTITUTE(W847,"O",""))+LEN(SUBSTITUTE(MID(W847&amp;W847,WEEKDAY(('_Dates'!W847),2),MOD(((MIN('_Dates'!X847,Settings!$B$9))-('_Dates'!W847)+1),7)),"O",""))-COUNTIFS(INDEX(AllClosureRows,C847,0),"&gt;="&amp;('_Dates'!W847),INDEX(AllClosureRows,C847,0),"&lt;="&amp;(MIN('_Dates'!X847,Settings!$B$9))))+IF((MIN('_Dates'!Z847,Settings!$B$9))&lt;('_Dates'!Y847),0,INT(((MIN('_Dates'!Z847,Settings!$B$9))-('_Dates'!Y847)+1)/7)*LEN(SUBSTITUTE(W847,"O",""))+LEN(SUBSTITUTE(MID(W847&amp;W847,WEEKDAY(('_Dates'!Y847),2),MOD(((MIN('_Dates'!Z847,Settings!$B$9))-('_Dates'!Y847)+1),7)),"O",""))-COUNTIFS(INDEX(AllClosureRows,C847,0),"&gt;="&amp;('_Dates'!Y847),INDEX(AllClosureRows,C847,0),"&lt;="&amp;(MIN('_Dates'!Z847,Settings!$B$9))))))</ns0:f>
        <ns0:v>0</ns0:v>
      </ns0:c>
      <ns0:c r="I847" s="0">
        <ns0:f>MAX(0,G847-H847)</ns0:f>
        <ns0:v>0</ns0:v>
      </ns0:c>
      <ns0:c r="J847" s="0">
        <ns0:f>IF(OR(A847=0,F847&lt;&gt;"OK",Bookings!G847="Cancelled",$B$6&gt;0),0,IF('_Dates'!AC847=1,MAX(0,COUNTIFS(rngEngine_B,B847,rngAMStart,"&lt;="&amp;'_Dates'!X847,rngAMEnd,"&gt;="&amp;'_Dates'!W847,rngAMActive,1,rngEngine_F,"OK",rngBookings_F,"&lt;&gt;Cancelled")-1),0)+IF('_Dates'!AD847=1,MAX(0,COUNTIFS(rngEngine_B,B847,rngPMStart,"&lt;="&amp;'_Dates'!Z847,rngPMEnd,"&gt;="&amp;'_Dates'!Y847,rngPMActive,1,rngEngine_F,"OK",rngBookings_F,"&lt;&gt;Cancelled")-1),0))</ns0:f>
        <ns0:v>0</ns0:v>
      </ns0:c>
      <ns0:c r="K847" s="0" t="str">
        <ns0:f>IF(A847=0,"",IF(F847&lt;&gt;"OK",F847,IF(J847&gt;0,"CHECK overlapping entry",IF(AND($B$6=0,G847&lt;=0,Bookings!G847&lt;&gt;"Cancelled"),"CHECK no working days",IF(Bookings!G847="Cancelled","Cancelled","OK")))))</ns0:f>
        <ns0:v/>
      </ns0:c>
      <ns0:c r="L847" s="0">
        <ns0:f>IF(LEFT(K847,5)="CHECK",1,0)</ns0:f>
        <ns0:v>0</ns0:v>
      </ns0:c>
      <ns0:c r="M847" s="0">
        <ns0:f>IF(AND(L847=1,OR(C847=0,IFERROR(INDEX($X$11:$X$60,C847),0)=0)),1,0)</ns0:f>
        <ns0:v>0</ns0:v>
      </ns0:c>
      <ns0:c r="N847" s="0">
        <ns0:f>IF(OR(A847=0,L847&gt;0,$B$6&gt;0,Bookings!G847="Cancelled"),0,G847)</ns0:f>
        <ns0:v>0</ns0:v>
      </ns0:c>
      <ns0:c r="O847" s="0">
        <ns0:f>IF(AND(Bookings!G847="Approved",E847="Yes"),N847,0)</ns0:f>
        <ns0:v>0</ns0:v>
      </ns0:c>
      <ns0:c r="P847" s="0">
        <ns0:f>IF(AND(Bookings!G847="Approved",E847="Yes",L847=0,$B$6=0),H847,0)</ns0:f>
        <ns0:v>0</ns0:v>
      </ns0:c>
      <ns0:c r="Q847" s="0">
        <ns0:f>IF(AND(Bookings!G847="Approved",E847="Yes",L847=0,$B$6=0),I847,0)</ns0:f>
        <ns0:v>0</ns0:v>
      </ns0:c>
      <ns0:c r="R847" s="0">
        <ns0:f>IF(AND(Bookings!G847="Pending",E847="Yes"),N847,0)</ns0:f>
        <ns0:v>0</ns0:v>
      </ns0:c>
      <ns0:c r="S847" s="0">
        <ns0:f>IF(AND(Bookings!G847="Approved",E847="No"),N847,0)</ns0:f>
        <ns0:v>0</ns0:v>
      </ns0:c>
      <ns0:c r="T847" s="0">
        <ns0:f>IFERROR(MATCH(D847,Settings!$G$7:$G$11,0),0)</ns0:f>
        <ns0:v>0</ns0:v>
      </ns0:c>
      <ns0:c r="U847" s="0">
        <ns0:f>IF(N847&gt;0,T847+IF(Bookings!G847="Pending",10,0),0)</ns0:f>
        <ns0:v>0</ns0:v>
      </ns0:c>
      <ns0:c r="V847" s="0">
        <ns0:f>U847</ns0:f>
        <ns0:v>0</ns0:v>
      </ns0:c>
      <ns0:c r="W847" s="0" t="str">
        <ns0:f>IF(C847=0,"",INDEX($AP$11:$AP$60,C847))</ns0:f>
        <ns0:v/>
      </ns0:c>
    </ns0:row>
    <ns0:row r="848">
      <ns0:c r="A848" s="0">
        <ns0:f>IF(COUNTA(Bookings!A848:G848,Bookings!I848)=0,0,1)</ns0:f>
        <ns0:v>0</ns0:v>
      </ns0:c>
      <ns0:c r="B848" s="0" t="str">
        <ns0:f>IFERROR(TRIM(MID(Bookings!A848,FIND(" · ",Bookings!A848)+3,99)),"")</ns0:f>
        <ns0:v/>
      </ns0:c>
      <ns0:c r="C848" s="0">
        <ns0:f>IF(OR(B848="",LEN(B848)&gt;24,ISNUMBER(FIND(" ",B848)),ISNUMBER(FIND("*",B848)),ISNUMBER(FIND("?",B848)),ISNUMBER(FIND("~",B848))),0,IFERROR(MATCH(B848,Team!$A$11:$A$60,0),0))</ns0:f>
        <ns0:v>0</ns0:v>
      </ns0:c>
      <ns0:c r="D848" s="0" t="str">
        <ns0:f>IFERROR(IF(MID(Bookings!F848,LEN(Bookings!F848)-3,3)=" · ",RIGHT(Bookings!F848,1),""),"")</ns0:f>
        <ns0:v/>
      </ns0:c>
      <ns0:c r="E848" s="0" t="str">
        <ns0:f>IFERROR(INDEX(Settings!$H$7:$H$11,MATCH(D848,Settings!$G$7:$G$11,0)),"")</ns0:f>
        <ns0:v/>
      </ns0:c>
      <ns0:c r="F848" s="0" t="str">
        <ns0:f>IF(A848=0,"",IFERROR(IF(OR(B848="",C848=0),"CHECK employee selection",IF(INDEX(Team!$O$11:$O$60,C848)&lt;&gt;"OK","CHECK employee setup",IF(OR('_Dates'!J848=0,'_Dates'!T848=0),"CHECK date: use DD.MM.YYYY",IF('_Dates'!T848&lt;'_Dates'!J848,"CHECK end before start",IF(AND($B$6=0,OR('_Dates'!J848&lt;Settings!$B$7,'_Dates'!T848&gt;Settings!$B$8)),"CHECK split across leave years",IF(OR(NOT(OR('_Dates'!U848="Full day",'_Dates'!U848="AM",'_Dates'!U848="PM")),NOT(OR('_Dates'!V848="Full day",'_Dates'!V848="AM",'_Dates'!V848="PM"))),"CHECK Full day / AM / PM",IF(AND('_Dates'!J848='_Dates'!T848,'_Dates'!U848&lt;&gt;"Full day",'_Dates'!V848&lt;&gt;"Full day",'_Dates'!U848&lt;&gt;'_Dates'!V848),"CHECK same-day portions disagree",IF(AND($B$6=0,OR(AND('_Dates'!U848&lt;&gt;"Full day",'_Dates'!AA848=0),AND('_Dates'!V848&lt;&gt;"Full day",'_Dates'!AB848=0))),"CHECK half-day on non-working date",IF(COUNTIF(Settings!$G$7:$G$11,D848)&lt;&gt;1,"CHECK leave type",IF(AND(Bookings!G848&lt;&gt;"Approved",Bookings!G848&lt;&gt;"Pending",Bookings!G848&lt;&gt;"Cancelled"),"CHECK status","OK")))))))))),"CHECK input"))</ns0:f>
        <ns0:v/>
      </ns0:c>
      <ns0:c r="G848" s="0">
        <ns0:f>IF(OR(F848&lt;&gt;"OK",$B$6&gt;0),0,0.5*(IF(('_Dates'!X848)&lt;('_Dates'!W848),0,INT((('_Dates'!X848)-('_Dates'!W848)+1)/7)*LEN(SUBSTITUTE(W848,"O",""))+LEN(SUBSTITUTE(MID(W848&amp;W848,WEEKDAY(('_Dates'!W848),2),MOD((('_Dates'!X848)-('_Dates'!W848)+1),7)),"O",""))-COUNTIFS(INDEX(AllClosureRows,C848,0),"&gt;="&amp;('_Dates'!W848),INDEX(AllClosureRows,C848,0),"&lt;="&amp;('_Dates'!X848)))+IF(('_Dates'!Z848)&lt;('_Dates'!Y848),0,INT((('_Dates'!Z848)-('_Dates'!Y848)+1)/7)*LEN(SUBSTITUTE(W848,"O",""))+LEN(SUBSTITUTE(MID(W848&amp;W848,WEEKDAY(('_Dates'!Y848),2),MOD((('_Dates'!Z848)-('_Dates'!Y848)+1),7)),"O",""))-COUNTIFS(INDEX(AllClosureRows,C848,0),"&gt;="&amp;('_Dates'!Y848),INDEX(AllClosureRows,C848,0),"&lt;="&amp;('_Dates'!Z848)))))</ns0:f>
        <ns0:v>0</ns0:v>
      </ns0:c>
      <ns0:c r="H848" s="0">
        <ns0:f>IF(OR(F848&lt;&gt;"OK",$B$6&gt;0),0,0.5*(IF((MIN('_Dates'!X848,Settings!$B$9))&lt;('_Dates'!W848),0,INT(((MIN('_Dates'!X848,Settings!$B$9))-('_Dates'!W848)+1)/7)*LEN(SUBSTITUTE(W848,"O",""))+LEN(SUBSTITUTE(MID(W848&amp;W848,WEEKDAY(('_Dates'!W848),2),MOD(((MIN('_Dates'!X848,Settings!$B$9))-('_Dates'!W848)+1),7)),"O",""))-COUNTIFS(INDEX(AllClosureRows,C848,0),"&gt;="&amp;('_Dates'!W848),INDEX(AllClosureRows,C848,0),"&lt;="&amp;(MIN('_Dates'!X848,Settings!$B$9))))+IF((MIN('_Dates'!Z848,Settings!$B$9))&lt;('_Dates'!Y848),0,INT(((MIN('_Dates'!Z848,Settings!$B$9))-('_Dates'!Y848)+1)/7)*LEN(SUBSTITUTE(W848,"O",""))+LEN(SUBSTITUTE(MID(W848&amp;W848,WEEKDAY(('_Dates'!Y848),2),MOD(((MIN('_Dates'!Z848,Settings!$B$9))-('_Dates'!Y848)+1),7)),"O",""))-COUNTIFS(INDEX(AllClosureRows,C848,0),"&gt;="&amp;('_Dates'!Y848),INDEX(AllClosureRows,C848,0),"&lt;="&amp;(MIN('_Dates'!Z848,Settings!$B$9))))))</ns0:f>
        <ns0:v>0</ns0:v>
      </ns0:c>
      <ns0:c r="I848" s="0">
        <ns0:f>MAX(0,G848-H848)</ns0:f>
        <ns0:v>0</ns0:v>
      </ns0:c>
      <ns0:c r="J848" s="0">
        <ns0:f>IF(OR(A848=0,F848&lt;&gt;"OK",Bookings!G848="Cancelled",$B$6&gt;0),0,IF('_Dates'!AC848=1,MAX(0,COUNTIFS(rngEngine_B,B848,rngAMStart,"&lt;="&amp;'_Dates'!X848,rngAMEnd,"&gt;="&amp;'_Dates'!W848,rngAMActive,1,rngEngine_F,"OK",rngBookings_F,"&lt;&gt;Cancelled")-1),0)+IF('_Dates'!AD848=1,MAX(0,COUNTIFS(rngEngine_B,B848,rngPMStart,"&lt;="&amp;'_Dates'!Z848,rngPMEnd,"&gt;="&amp;'_Dates'!Y848,rngPMActive,1,rngEngine_F,"OK",rngBookings_F,"&lt;&gt;Cancelled")-1),0))</ns0:f>
        <ns0:v>0</ns0:v>
      </ns0:c>
      <ns0:c r="K848" s="0" t="str">
        <ns0:f>IF(A848=0,"",IF(F848&lt;&gt;"OK",F848,IF(J848&gt;0,"CHECK overlapping entry",IF(AND($B$6=0,G848&lt;=0,Bookings!G848&lt;&gt;"Cancelled"),"CHECK no working days",IF(Bookings!G848="Cancelled","Cancelled","OK")))))</ns0:f>
        <ns0:v/>
      </ns0:c>
      <ns0:c r="L848" s="0">
        <ns0:f>IF(LEFT(K848,5)="CHECK",1,0)</ns0:f>
        <ns0:v>0</ns0:v>
      </ns0:c>
      <ns0:c r="M848" s="0">
        <ns0:f>IF(AND(L848=1,OR(C848=0,IFERROR(INDEX($X$11:$X$60,C848),0)=0)),1,0)</ns0:f>
        <ns0:v>0</ns0:v>
      </ns0:c>
      <ns0:c r="N848" s="0">
        <ns0:f>IF(OR(A848=0,L848&gt;0,$B$6&gt;0,Bookings!G848="Cancelled"),0,G848)</ns0:f>
        <ns0:v>0</ns0:v>
      </ns0:c>
      <ns0:c r="O848" s="0">
        <ns0:f>IF(AND(Bookings!G848="Approved",E848="Yes"),N848,0)</ns0:f>
        <ns0:v>0</ns0:v>
      </ns0:c>
      <ns0:c r="P848" s="0">
        <ns0:f>IF(AND(Bookings!G848="Approved",E848="Yes",L848=0,$B$6=0),H848,0)</ns0:f>
        <ns0:v>0</ns0:v>
      </ns0:c>
      <ns0:c r="Q848" s="0">
        <ns0:f>IF(AND(Bookings!G848="Approved",E848="Yes",L848=0,$B$6=0),I848,0)</ns0:f>
        <ns0:v>0</ns0:v>
      </ns0:c>
      <ns0:c r="R848" s="0">
        <ns0:f>IF(AND(Bookings!G848="Pending",E848="Yes"),N848,0)</ns0:f>
        <ns0:v>0</ns0:v>
      </ns0:c>
      <ns0:c r="S848" s="0">
        <ns0:f>IF(AND(Bookings!G848="Approved",E848="No"),N848,0)</ns0:f>
        <ns0:v>0</ns0:v>
      </ns0:c>
      <ns0:c r="T848" s="0">
        <ns0:f>IFERROR(MATCH(D848,Settings!$G$7:$G$11,0),0)</ns0:f>
        <ns0:v>0</ns0:v>
      </ns0:c>
      <ns0:c r="U848" s="0">
        <ns0:f>IF(N848&gt;0,T848+IF(Bookings!G848="Pending",10,0),0)</ns0:f>
        <ns0:v>0</ns0:v>
      </ns0:c>
      <ns0:c r="V848" s="0">
        <ns0:f>U848</ns0:f>
        <ns0:v>0</ns0:v>
      </ns0:c>
      <ns0:c r="W848" s="0" t="str">
        <ns0:f>IF(C848=0,"",INDEX($AP$11:$AP$60,C848))</ns0:f>
        <ns0:v/>
      </ns0:c>
    </ns0:row>
    <ns0:row r="849">
      <ns0:c r="A849" s="0">
        <ns0:f>IF(COUNTA(Bookings!A849:G849,Bookings!I849)=0,0,1)</ns0:f>
        <ns0:v>0</ns0:v>
      </ns0:c>
      <ns0:c r="B849" s="0" t="str">
        <ns0:f>IFERROR(TRIM(MID(Bookings!A849,FIND(" · ",Bookings!A849)+3,99)),"")</ns0:f>
        <ns0:v/>
      </ns0:c>
      <ns0:c r="C849" s="0">
        <ns0:f>IF(OR(B849="",LEN(B849)&gt;24,ISNUMBER(FIND(" ",B849)),ISNUMBER(FIND("*",B849)),ISNUMBER(FIND("?",B849)),ISNUMBER(FIND("~",B849))),0,IFERROR(MATCH(B849,Team!$A$11:$A$60,0),0))</ns0:f>
        <ns0:v>0</ns0:v>
      </ns0:c>
      <ns0:c r="D849" s="0" t="str">
        <ns0:f>IFERROR(IF(MID(Bookings!F849,LEN(Bookings!F849)-3,3)=" · ",RIGHT(Bookings!F849,1),""),"")</ns0:f>
        <ns0:v/>
      </ns0:c>
      <ns0:c r="E849" s="0" t="str">
        <ns0:f>IFERROR(INDEX(Settings!$H$7:$H$11,MATCH(D849,Settings!$G$7:$G$11,0)),"")</ns0:f>
        <ns0:v/>
      </ns0:c>
      <ns0:c r="F849" s="0" t="str">
        <ns0:f>IF(A849=0,"",IFERROR(IF(OR(B849="",C849=0),"CHECK employee selection",IF(INDEX(Team!$O$11:$O$60,C849)&lt;&gt;"OK","CHECK employee setup",IF(OR('_Dates'!J849=0,'_Dates'!T849=0),"CHECK date: use DD.MM.YYYY",IF('_Dates'!T849&lt;'_Dates'!J849,"CHECK end before start",IF(AND($B$6=0,OR('_Dates'!J849&lt;Settings!$B$7,'_Dates'!T849&gt;Settings!$B$8)),"CHECK split across leave years",IF(OR(NOT(OR('_Dates'!U849="Full day",'_Dates'!U849="AM",'_Dates'!U849="PM")),NOT(OR('_Dates'!V849="Full day",'_Dates'!V849="AM",'_Dates'!V849="PM"))),"CHECK Full day / AM / PM",IF(AND('_Dates'!J849='_Dates'!T849,'_Dates'!U849&lt;&gt;"Full day",'_Dates'!V849&lt;&gt;"Full day",'_Dates'!U849&lt;&gt;'_Dates'!V849),"CHECK same-day portions disagree",IF(AND($B$6=0,OR(AND('_Dates'!U849&lt;&gt;"Full day",'_Dates'!AA849=0),AND('_Dates'!V849&lt;&gt;"Full day",'_Dates'!AB849=0))),"CHECK half-day on non-working date",IF(COUNTIF(Settings!$G$7:$G$11,D849)&lt;&gt;1,"CHECK leave type",IF(AND(Bookings!G849&lt;&gt;"Approved",Bookings!G849&lt;&gt;"Pending",Bookings!G849&lt;&gt;"Cancelled"),"CHECK status","OK")))))))))),"CHECK input"))</ns0:f>
        <ns0:v/>
      </ns0:c>
      <ns0:c r="G849" s="0">
        <ns0:f>IF(OR(F849&lt;&gt;"OK",$B$6&gt;0),0,0.5*(IF(('_Dates'!X849)&lt;('_Dates'!W849),0,INT((('_Dates'!X849)-('_Dates'!W849)+1)/7)*LEN(SUBSTITUTE(W849,"O",""))+LEN(SUBSTITUTE(MID(W849&amp;W849,WEEKDAY(('_Dates'!W849),2),MOD((('_Dates'!X849)-('_Dates'!W849)+1),7)),"O",""))-COUNTIFS(INDEX(AllClosureRows,C849,0),"&gt;="&amp;('_Dates'!W849),INDEX(AllClosureRows,C849,0),"&lt;="&amp;('_Dates'!X849)))+IF(('_Dates'!Z849)&lt;('_Dates'!Y849),0,INT((('_Dates'!Z849)-('_Dates'!Y849)+1)/7)*LEN(SUBSTITUTE(W849,"O",""))+LEN(SUBSTITUTE(MID(W849&amp;W849,WEEKDAY(('_Dates'!Y849),2),MOD((('_Dates'!Z849)-('_Dates'!Y849)+1),7)),"O",""))-COUNTIFS(INDEX(AllClosureRows,C849,0),"&gt;="&amp;('_Dates'!Y849),INDEX(AllClosureRows,C849,0),"&lt;="&amp;('_Dates'!Z849)))))</ns0:f>
        <ns0:v>0</ns0:v>
      </ns0:c>
      <ns0:c r="H849" s="0">
        <ns0:f>IF(OR(F849&lt;&gt;"OK",$B$6&gt;0),0,0.5*(IF((MIN('_Dates'!X849,Settings!$B$9))&lt;('_Dates'!W849),0,INT(((MIN('_Dates'!X849,Settings!$B$9))-('_Dates'!W849)+1)/7)*LEN(SUBSTITUTE(W849,"O",""))+LEN(SUBSTITUTE(MID(W849&amp;W849,WEEKDAY(('_Dates'!W849),2),MOD(((MIN('_Dates'!X849,Settings!$B$9))-('_Dates'!W849)+1),7)),"O",""))-COUNTIFS(INDEX(AllClosureRows,C849,0),"&gt;="&amp;('_Dates'!W849),INDEX(AllClosureRows,C849,0),"&lt;="&amp;(MIN('_Dates'!X849,Settings!$B$9))))+IF((MIN('_Dates'!Z849,Settings!$B$9))&lt;('_Dates'!Y849),0,INT(((MIN('_Dates'!Z849,Settings!$B$9))-('_Dates'!Y849)+1)/7)*LEN(SUBSTITUTE(W849,"O",""))+LEN(SUBSTITUTE(MID(W849&amp;W849,WEEKDAY(('_Dates'!Y849),2),MOD(((MIN('_Dates'!Z849,Settings!$B$9))-('_Dates'!Y849)+1),7)),"O",""))-COUNTIFS(INDEX(AllClosureRows,C849,0),"&gt;="&amp;('_Dates'!Y849),INDEX(AllClosureRows,C849,0),"&lt;="&amp;(MIN('_Dates'!Z849,Settings!$B$9))))))</ns0:f>
        <ns0:v>0</ns0:v>
      </ns0:c>
      <ns0:c r="I849" s="0">
        <ns0:f>MAX(0,G849-H849)</ns0:f>
        <ns0:v>0</ns0:v>
      </ns0:c>
      <ns0:c r="J849" s="0">
        <ns0:f>IF(OR(A849=0,F849&lt;&gt;"OK",Bookings!G849="Cancelled",$B$6&gt;0),0,IF('_Dates'!AC849=1,MAX(0,COUNTIFS(rngEngine_B,B849,rngAMStart,"&lt;="&amp;'_Dates'!X849,rngAMEnd,"&gt;="&amp;'_Dates'!W849,rngAMActive,1,rngEngine_F,"OK",rngBookings_F,"&lt;&gt;Cancelled")-1),0)+IF('_Dates'!AD849=1,MAX(0,COUNTIFS(rngEngine_B,B849,rngPMStart,"&lt;="&amp;'_Dates'!Z849,rngPMEnd,"&gt;="&amp;'_Dates'!Y849,rngPMActive,1,rngEngine_F,"OK",rngBookings_F,"&lt;&gt;Cancelled")-1),0))</ns0:f>
        <ns0:v>0</ns0:v>
      </ns0:c>
      <ns0:c r="K849" s="0" t="str">
        <ns0:f>IF(A849=0,"",IF(F849&lt;&gt;"OK",F849,IF(J849&gt;0,"CHECK overlapping entry",IF(AND($B$6=0,G849&lt;=0,Bookings!G849&lt;&gt;"Cancelled"),"CHECK no working days",IF(Bookings!G849="Cancelled","Cancelled","OK")))))</ns0:f>
        <ns0:v/>
      </ns0:c>
      <ns0:c r="L849" s="0">
        <ns0:f>IF(LEFT(K849,5)="CHECK",1,0)</ns0:f>
        <ns0:v>0</ns0:v>
      </ns0:c>
      <ns0:c r="M849" s="0">
        <ns0:f>IF(AND(L849=1,OR(C849=0,IFERROR(INDEX($X$11:$X$60,C849),0)=0)),1,0)</ns0:f>
        <ns0:v>0</ns0:v>
      </ns0:c>
      <ns0:c r="N849" s="0">
        <ns0:f>IF(OR(A849=0,L849&gt;0,$B$6&gt;0,Bookings!G849="Cancelled"),0,G849)</ns0:f>
        <ns0:v>0</ns0:v>
      </ns0:c>
      <ns0:c r="O849" s="0">
        <ns0:f>IF(AND(Bookings!G849="Approved",E849="Yes"),N849,0)</ns0:f>
        <ns0:v>0</ns0:v>
      </ns0:c>
      <ns0:c r="P849" s="0">
        <ns0:f>IF(AND(Bookings!G849="Approved",E849="Yes",L849=0,$B$6=0),H849,0)</ns0:f>
        <ns0:v>0</ns0:v>
      </ns0:c>
      <ns0:c r="Q849" s="0">
        <ns0:f>IF(AND(Bookings!G849="Approved",E849="Yes",L849=0,$B$6=0),I849,0)</ns0:f>
        <ns0:v>0</ns0:v>
      </ns0:c>
      <ns0:c r="R849" s="0">
        <ns0:f>IF(AND(Bookings!G849="Pending",E849="Yes"),N849,0)</ns0:f>
        <ns0:v>0</ns0:v>
      </ns0:c>
      <ns0:c r="S849" s="0">
        <ns0:f>IF(AND(Bookings!G849="Approved",E849="No"),N849,0)</ns0:f>
        <ns0:v>0</ns0:v>
      </ns0:c>
      <ns0:c r="T849" s="0">
        <ns0:f>IFERROR(MATCH(D849,Settings!$G$7:$G$11,0),0)</ns0:f>
        <ns0:v>0</ns0:v>
      </ns0:c>
      <ns0:c r="U849" s="0">
        <ns0:f>IF(N849&gt;0,T849+IF(Bookings!G849="Pending",10,0),0)</ns0:f>
        <ns0:v>0</ns0:v>
      </ns0:c>
      <ns0:c r="V849" s="0">
        <ns0:f>U849</ns0:f>
        <ns0:v>0</ns0:v>
      </ns0:c>
      <ns0:c r="W849" s="0" t="str">
        <ns0:f>IF(C849=0,"",INDEX($AP$11:$AP$60,C849))</ns0:f>
        <ns0:v/>
      </ns0:c>
    </ns0:row>
    <ns0:row r="850">
      <ns0:c r="A850" s="0">
        <ns0:f>IF(COUNTA(Bookings!A850:G850,Bookings!I850)=0,0,1)</ns0:f>
        <ns0:v>0</ns0:v>
      </ns0:c>
      <ns0:c r="B850" s="0" t="str">
        <ns0:f>IFERROR(TRIM(MID(Bookings!A850,FIND(" · ",Bookings!A850)+3,99)),"")</ns0:f>
        <ns0:v/>
      </ns0:c>
      <ns0:c r="C850" s="0">
        <ns0:f>IF(OR(B850="",LEN(B850)&gt;24,ISNUMBER(FIND(" ",B850)),ISNUMBER(FIND("*",B850)),ISNUMBER(FIND("?",B850)),ISNUMBER(FIND("~",B850))),0,IFERROR(MATCH(B850,Team!$A$11:$A$60,0),0))</ns0:f>
        <ns0:v>0</ns0:v>
      </ns0:c>
      <ns0:c r="D850" s="0" t="str">
        <ns0:f>IFERROR(IF(MID(Bookings!F850,LEN(Bookings!F850)-3,3)=" · ",RIGHT(Bookings!F850,1),""),"")</ns0:f>
        <ns0:v/>
      </ns0:c>
      <ns0:c r="E850" s="0" t="str">
        <ns0:f>IFERROR(INDEX(Settings!$H$7:$H$11,MATCH(D850,Settings!$G$7:$G$11,0)),"")</ns0:f>
        <ns0:v/>
      </ns0:c>
      <ns0:c r="F850" s="0" t="str">
        <ns0:f>IF(A850=0,"",IFERROR(IF(OR(B850="",C850=0),"CHECK employee selection",IF(INDEX(Team!$O$11:$O$60,C850)&lt;&gt;"OK","CHECK employee setup",IF(OR('_Dates'!J850=0,'_Dates'!T850=0),"CHECK date: use DD.MM.YYYY",IF('_Dates'!T850&lt;'_Dates'!J850,"CHECK end before start",IF(AND($B$6=0,OR('_Dates'!J850&lt;Settings!$B$7,'_Dates'!T850&gt;Settings!$B$8)),"CHECK split across leave years",IF(OR(NOT(OR('_Dates'!U850="Full day",'_Dates'!U850="AM",'_Dates'!U850="PM")),NOT(OR('_Dates'!V850="Full day",'_Dates'!V850="AM",'_Dates'!V850="PM"))),"CHECK Full day / AM / PM",IF(AND('_Dates'!J850='_Dates'!T850,'_Dates'!U850&lt;&gt;"Full day",'_Dates'!V850&lt;&gt;"Full day",'_Dates'!U850&lt;&gt;'_Dates'!V850),"CHECK same-day portions disagree",IF(AND($B$6=0,OR(AND('_Dates'!U850&lt;&gt;"Full day",'_Dates'!AA850=0),AND('_Dates'!V850&lt;&gt;"Full day",'_Dates'!AB850=0))),"CHECK half-day on non-working date",IF(COUNTIF(Settings!$G$7:$G$11,D850)&lt;&gt;1,"CHECK leave type",IF(AND(Bookings!G850&lt;&gt;"Approved",Bookings!G850&lt;&gt;"Pending",Bookings!G850&lt;&gt;"Cancelled"),"CHECK status","OK")))))))))),"CHECK input"))</ns0:f>
        <ns0:v/>
      </ns0:c>
      <ns0:c r="G850" s="0">
        <ns0:f>IF(OR(F850&lt;&gt;"OK",$B$6&gt;0),0,0.5*(IF(('_Dates'!X850)&lt;('_Dates'!W850),0,INT((('_Dates'!X850)-('_Dates'!W850)+1)/7)*LEN(SUBSTITUTE(W850,"O",""))+LEN(SUBSTITUTE(MID(W850&amp;W850,WEEKDAY(('_Dates'!W850),2),MOD((('_Dates'!X850)-('_Dates'!W850)+1),7)),"O",""))-COUNTIFS(INDEX(AllClosureRows,C850,0),"&gt;="&amp;('_Dates'!W850),INDEX(AllClosureRows,C850,0),"&lt;="&amp;('_Dates'!X850)))+IF(('_Dates'!Z850)&lt;('_Dates'!Y850),0,INT((('_Dates'!Z850)-('_Dates'!Y850)+1)/7)*LEN(SUBSTITUTE(W850,"O",""))+LEN(SUBSTITUTE(MID(W850&amp;W850,WEEKDAY(('_Dates'!Y850),2),MOD((('_Dates'!Z850)-('_Dates'!Y850)+1),7)),"O",""))-COUNTIFS(INDEX(AllClosureRows,C850,0),"&gt;="&amp;('_Dates'!Y850),INDEX(AllClosureRows,C850,0),"&lt;="&amp;('_Dates'!Z850)))))</ns0:f>
        <ns0:v>0</ns0:v>
      </ns0:c>
      <ns0:c r="H850" s="0">
        <ns0:f>IF(OR(F850&lt;&gt;"OK",$B$6&gt;0),0,0.5*(IF((MIN('_Dates'!X850,Settings!$B$9))&lt;('_Dates'!W850),0,INT(((MIN('_Dates'!X850,Settings!$B$9))-('_Dates'!W850)+1)/7)*LEN(SUBSTITUTE(W850,"O",""))+LEN(SUBSTITUTE(MID(W850&amp;W850,WEEKDAY(('_Dates'!W850),2),MOD(((MIN('_Dates'!X850,Settings!$B$9))-('_Dates'!W850)+1),7)),"O",""))-COUNTIFS(INDEX(AllClosureRows,C850,0),"&gt;="&amp;('_Dates'!W850),INDEX(AllClosureRows,C850,0),"&lt;="&amp;(MIN('_Dates'!X850,Settings!$B$9))))+IF((MIN('_Dates'!Z850,Settings!$B$9))&lt;('_Dates'!Y850),0,INT(((MIN('_Dates'!Z850,Settings!$B$9))-('_Dates'!Y850)+1)/7)*LEN(SUBSTITUTE(W850,"O",""))+LEN(SUBSTITUTE(MID(W850&amp;W850,WEEKDAY(('_Dates'!Y850),2),MOD(((MIN('_Dates'!Z850,Settings!$B$9))-('_Dates'!Y850)+1),7)),"O",""))-COUNTIFS(INDEX(AllClosureRows,C850,0),"&gt;="&amp;('_Dates'!Y850),INDEX(AllClosureRows,C850,0),"&lt;="&amp;(MIN('_Dates'!Z850,Settings!$B$9))))))</ns0:f>
        <ns0:v>0</ns0:v>
      </ns0:c>
      <ns0:c r="I850" s="0">
        <ns0:f>MAX(0,G850-H850)</ns0:f>
        <ns0:v>0</ns0:v>
      </ns0:c>
      <ns0:c r="J850" s="0">
        <ns0:f>IF(OR(A850=0,F850&lt;&gt;"OK",Bookings!G850="Cancelled",$B$6&gt;0),0,IF('_Dates'!AC850=1,MAX(0,COUNTIFS(rngEngine_B,B850,rngAMStart,"&lt;="&amp;'_Dates'!X850,rngAMEnd,"&gt;="&amp;'_Dates'!W850,rngAMActive,1,rngEngine_F,"OK",rngBookings_F,"&lt;&gt;Cancelled")-1),0)+IF('_Dates'!AD850=1,MAX(0,COUNTIFS(rngEngine_B,B850,rngPMStart,"&lt;="&amp;'_Dates'!Z850,rngPMEnd,"&gt;="&amp;'_Dates'!Y850,rngPMActive,1,rngEngine_F,"OK",rngBookings_F,"&lt;&gt;Cancelled")-1),0))</ns0:f>
        <ns0:v>0</ns0:v>
      </ns0:c>
      <ns0:c r="K850" s="0" t="str">
        <ns0:f>IF(A850=0,"",IF(F850&lt;&gt;"OK",F850,IF(J850&gt;0,"CHECK overlapping entry",IF(AND($B$6=0,G850&lt;=0,Bookings!G850&lt;&gt;"Cancelled"),"CHECK no working days",IF(Bookings!G850="Cancelled","Cancelled","OK")))))</ns0:f>
        <ns0:v/>
      </ns0:c>
      <ns0:c r="L850" s="0">
        <ns0:f>IF(LEFT(K850,5)="CHECK",1,0)</ns0:f>
        <ns0:v>0</ns0:v>
      </ns0:c>
      <ns0:c r="M850" s="0">
        <ns0:f>IF(AND(L850=1,OR(C850=0,IFERROR(INDEX($X$11:$X$60,C850),0)=0)),1,0)</ns0:f>
        <ns0:v>0</ns0:v>
      </ns0:c>
      <ns0:c r="N850" s="0">
        <ns0:f>IF(OR(A850=0,L850&gt;0,$B$6&gt;0,Bookings!G850="Cancelled"),0,G850)</ns0:f>
        <ns0:v>0</ns0:v>
      </ns0:c>
      <ns0:c r="O850" s="0">
        <ns0:f>IF(AND(Bookings!G850="Approved",E850="Yes"),N850,0)</ns0:f>
        <ns0:v>0</ns0:v>
      </ns0:c>
      <ns0:c r="P850" s="0">
        <ns0:f>IF(AND(Bookings!G850="Approved",E850="Yes",L850=0,$B$6=0),H850,0)</ns0:f>
        <ns0:v>0</ns0:v>
      </ns0:c>
      <ns0:c r="Q850" s="0">
        <ns0:f>IF(AND(Bookings!G850="Approved",E850="Yes",L850=0,$B$6=0),I850,0)</ns0:f>
        <ns0:v>0</ns0:v>
      </ns0:c>
      <ns0:c r="R850" s="0">
        <ns0:f>IF(AND(Bookings!G850="Pending",E850="Yes"),N850,0)</ns0:f>
        <ns0:v>0</ns0:v>
      </ns0:c>
      <ns0:c r="S850" s="0">
        <ns0:f>IF(AND(Bookings!G850="Approved",E850="No"),N850,0)</ns0:f>
        <ns0:v>0</ns0:v>
      </ns0:c>
      <ns0:c r="T850" s="0">
        <ns0:f>IFERROR(MATCH(D850,Settings!$G$7:$G$11,0),0)</ns0:f>
        <ns0:v>0</ns0:v>
      </ns0:c>
      <ns0:c r="U850" s="0">
        <ns0:f>IF(N850&gt;0,T850+IF(Bookings!G850="Pending",10,0),0)</ns0:f>
        <ns0:v>0</ns0:v>
      </ns0:c>
      <ns0:c r="V850" s="0">
        <ns0:f>U850</ns0:f>
        <ns0:v>0</ns0:v>
      </ns0:c>
      <ns0:c r="W850" s="0" t="str">
        <ns0:f>IF(C850=0,"",INDEX($AP$11:$AP$60,C850))</ns0:f>
        <ns0:v/>
      </ns0:c>
    </ns0:row>
    <ns0:row r="851">
      <ns0:c r="A851" s="0">
        <ns0:f>IF(COUNTA(Bookings!A851:G851,Bookings!I851)=0,0,1)</ns0:f>
        <ns0:v>0</ns0:v>
      </ns0:c>
      <ns0:c r="B851" s="0" t="str">
        <ns0:f>IFERROR(TRIM(MID(Bookings!A851,FIND(" · ",Bookings!A851)+3,99)),"")</ns0:f>
        <ns0:v/>
      </ns0:c>
      <ns0:c r="C851" s="0">
        <ns0:f>IF(OR(B851="",LEN(B851)&gt;24,ISNUMBER(FIND(" ",B851)),ISNUMBER(FIND("*",B851)),ISNUMBER(FIND("?",B851)),ISNUMBER(FIND("~",B851))),0,IFERROR(MATCH(B851,Team!$A$11:$A$60,0),0))</ns0:f>
        <ns0:v>0</ns0:v>
      </ns0:c>
      <ns0:c r="D851" s="0" t="str">
        <ns0:f>IFERROR(IF(MID(Bookings!F851,LEN(Bookings!F851)-3,3)=" · ",RIGHT(Bookings!F851,1),""),"")</ns0:f>
        <ns0:v/>
      </ns0:c>
      <ns0:c r="E851" s="0" t="str">
        <ns0:f>IFERROR(INDEX(Settings!$H$7:$H$11,MATCH(D851,Settings!$G$7:$G$11,0)),"")</ns0:f>
        <ns0:v/>
      </ns0:c>
      <ns0:c r="F851" s="0" t="str">
        <ns0:f>IF(A851=0,"",IFERROR(IF(OR(B851="",C851=0),"CHECK employee selection",IF(INDEX(Team!$O$11:$O$60,C851)&lt;&gt;"OK","CHECK employee setup",IF(OR('_Dates'!J851=0,'_Dates'!T851=0),"CHECK date: use DD.MM.YYYY",IF('_Dates'!T851&lt;'_Dates'!J851,"CHECK end before start",IF(AND($B$6=0,OR('_Dates'!J851&lt;Settings!$B$7,'_Dates'!T851&gt;Settings!$B$8)),"CHECK split across leave years",IF(OR(NOT(OR('_Dates'!U851="Full day",'_Dates'!U851="AM",'_Dates'!U851="PM")),NOT(OR('_Dates'!V851="Full day",'_Dates'!V851="AM",'_Dates'!V851="PM"))),"CHECK Full day / AM / PM",IF(AND('_Dates'!J851='_Dates'!T851,'_Dates'!U851&lt;&gt;"Full day",'_Dates'!V851&lt;&gt;"Full day",'_Dates'!U851&lt;&gt;'_Dates'!V851),"CHECK same-day portions disagree",IF(AND($B$6=0,OR(AND('_Dates'!U851&lt;&gt;"Full day",'_Dates'!AA851=0),AND('_Dates'!V851&lt;&gt;"Full day",'_Dates'!AB851=0))),"CHECK half-day on non-working date",IF(COUNTIF(Settings!$G$7:$G$11,D851)&lt;&gt;1,"CHECK leave type",IF(AND(Bookings!G851&lt;&gt;"Approved",Bookings!G851&lt;&gt;"Pending",Bookings!G851&lt;&gt;"Cancelled"),"CHECK status","OK")))))))))),"CHECK input"))</ns0:f>
        <ns0:v/>
      </ns0:c>
      <ns0:c r="G851" s="0">
        <ns0:f>IF(OR(F851&lt;&gt;"OK",$B$6&gt;0),0,0.5*(IF(('_Dates'!X851)&lt;('_Dates'!W851),0,INT((('_Dates'!X851)-('_Dates'!W851)+1)/7)*LEN(SUBSTITUTE(W851,"O",""))+LEN(SUBSTITUTE(MID(W851&amp;W851,WEEKDAY(('_Dates'!W851),2),MOD((('_Dates'!X851)-('_Dates'!W851)+1),7)),"O",""))-COUNTIFS(INDEX(AllClosureRows,C851,0),"&gt;="&amp;('_Dates'!W851),INDEX(AllClosureRows,C851,0),"&lt;="&amp;('_Dates'!X851)))+IF(('_Dates'!Z851)&lt;('_Dates'!Y851),0,INT((('_Dates'!Z851)-('_Dates'!Y851)+1)/7)*LEN(SUBSTITUTE(W851,"O",""))+LEN(SUBSTITUTE(MID(W851&amp;W851,WEEKDAY(('_Dates'!Y851),2),MOD((('_Dates'!Z851)-('_Dates'!Y851)+1),7)),"O",""))-COUNTIFS(INDEX(AllClosureRows,C851,0),"&gt;="&amp;('_Dates'!Y851),INDEX(AllClosureRows,C851,0),"&lt;="&amp;('_Dates'!Z851)))))</ns0:f>
        <ns0:v>0</ns0:v>
      </ns0:c>
      <ns0:c r="H851" s="0">
        <ns0:f>IF(OR(F851&lt;&gt;"OK",$B$6&gt;0),0,0.5*(IF((MIN('_Dates'!X851,Settings!$B$9))&lt;('_Dates'!W851),0,INT(((MIN('_Dates'!X851,Settings!$B$9))-('_Dates'!W851)+1)/7)*LEN(SUBSTITUTE(W851,"O",""))+LEN(SUBSTITUTE(MID(W851&amp;W851,WEEKDAY(('_Dates'!W851),2),MOD(((MIN('_Dates'!X851,Settings!$B$9))-('_Dates'!W851)+1),7)),"O",""))-COUNTIFS(INDEX(AllClosureRows,C851,0),"&gt;="&amp;('_Dates'!W851),INDEX(AllClosureRows,C851,0),"&lt;="&amp;(MIN('_Dates'!X851,Settings!$B$9))))+IF((MIN('_Dates'!Z851,Settings!$B$9))&lt;('_Dates'!Y851),0,INT(((MIN('_Dates'!Z851,Settings!$B$9))-('_Dates'!Y851)+1)/7)*LEN(SUBSTITUTE(W851,"O",""))+LEN(SUBSTITUTE(MID(W851&amp;W851,WEEKDAY(('_Dates'!Y851),2),MOD(((MIN('_Dates'!Z851,Settings!$B$9))-('_Dates'!Y851)+1),7)),"O",""))-COUNTIFS(INDEX(AllClosureRows,C851,0),"&gt;="&amp;('_Dates'!Y851),INDEX(AllClosureRows,C851,0),"&lt;="&amp;(MIN('_Dates'!Z851,Settings!$B$9))))))</ns0:f>
        <ns0:v>0</ns0:v>
      </ns0:c>
      <ns0:c r="I851" s="0">
        <ns0:f>MAX(0,G851-H851)</ns0:f>
        <ns0:v>0</ns0:v>
      </ns0:c>
      <ns0:c r="J851" s="0">
        <ns0:f>IF(OR(A851=0,F851&lt;&gt;"OK",Bookings!G851="Cancelled",$B$6&gt;0),0,IF('_Dates'!AC851=1,MAX(0,COUNTIFS(rngEngine_B,B851,rngAMStart,"&lt;="&amp;'_Dates'!X851,rngAMEnd,"&gt;="&amp;'_Dates'!W851,rngAMActive,1,rngEngine_F,"OK",rngBookings_F,"&lt;&gt;Cancelled")-1),0)+IF('_Dates'!AD851=1,MAX(0,COUNTIFS(rngEngine_B,B851,rngPMStart,"&lt;="&amp;'_Dates'!Z851,rngPMEnd,"&gt;="&amp;'_Dates'!Y851,rngPMActive,1,rngEngine_F,"OK",rngBookings_F,"&lt;&gt;Cancelled")-1),0))</ns0:f>
        <ns0:v>0</ns0:v>
      </ns0:c>
      <ns0:c r="K851" s="0" t="str">
        <ns0:f>IF(A851=0,"",IF(F851&lt;&gt;"OK",F851,IF(J851&gt;0,"CHECK overlapping entry",IF(AND($B$6=0,G851&lt;=0,Bookings!G851&lt;&gt;"Cancelled"),"CHECK no working days",IF(Bookings!G851="Cancelled","Cancelled","OK")))))</ns0:f>
        <ns0:v/>
      </ns0:c>
      <ns0:c r="L851" s="0">
        <ns0:f>IF(LEFT(K851,5)="CHECK",1,0)</ns0:f>
        <ns0:v>0</ns0:v>
      </ns0:c>
      <ns0:c r="M851" s="0">
        <ns0:f>IF(AND(L851=1,OR(C851=0,IFERROR(INDEX($X$11:$X$60,C851),0)=0)),1,0)</ns0:f>
        <ns0:v>0</ns0:v>
      </ns0:c>
      <ns0:c r="N851" s="0">
        <ns0:f>IF(OR(A851=0,L851&gt;0,$B$6&gt;0,Bookings!G851="Cancelled"),0,G851)</ns0:f>
        <ns0:v>0</ns0:v>
      </ns0:c>
      <ns0:c r="O851" s="0">
        <ns0:f>IF(AND(Bookings!G851="Approved",E851="Yes"),N851,0)</ns0:f>
        <ns0:v>0</ns0:v>
      </ns0:c>
      <ns0:c r="P851" s="0">
        <ns0:f>IF(AND(Bookings!G851="Approved",E851="Yes",L851=0,$B$6=0),H851,0)</ns0:f>
        <ns0:v>0</ns0:v>
      </ns0:c>
      <ns0:c r="Q851" s="0">
        <ns0:f>IF(AND(Bookings!G851="Approved",E851="Yes",L851=0,$B$6=0),I851,0)</ns0:f>
        <ns0:v>0</ns0:v>
      </ns0:c>
      <ns0:c r="R851" s="0">
        <ns0:f>IF(AND(Bookings!G851="Pending",E851="Yes"),N851,0)</ns0:f>
        <ns0:v>0</ns0:v>
      </ns0:c>
      <ns0:c r="S851" s="0">
        <ns0:f>IF(AND(Bookings!G851="Approved",E851="No"),N851,0)</ns0:f>
        <ns0:v>0</ns0:v>
      </ns0:c>
      <ns0:c r="T851" s="0">
        <ns0:f>IFERROR(MATCH(D851,Settings!$G$7:$G$11,0),0)</ns0:f>
        <ns0:v>0</ns0:v>
      </ns0:c>
      <ns0:c r="U851" s="0">
        <ns0:f>IF(N851&gt;0,T851+IF(Bookings!G851="Pending",10,0),0)</ns0:f>
        <ns0:v>0</ns0:v>
      </ns0:c>
      <ns0:c r="V851" s="0">
        <ns0:f>U851</ns0:f>
        <ns0:v>0</ns0:v>
      </ns0:c>
      <ns0:c r="W851" s="0" t="str">
        <ns0:f>IF(C851=0,"",INDEX($AP$11:$AP$60,C851))</ns0:f>
        <ns0:v/>
      </ns0:c>
    </ns0:row>
    <ns0:row r="852">
      <ns0:c r="A852" s="0">
        <ns0:f>IF(COUNTA(Bookings!A852:G852,Bookings!I852)=0,0,1)</ns0:f>
        <ns0:v>0</ns0:v>
      </ns0:c>
      <ns0:c r="B852" s="0" t="str">
        <ns0:f>IFERROR(TRIM(MID(Bookings!A852,FIND(" · ",Bookings!A852)+3,99)),"")</ns0:f>
        <ns0:v/>
      </ns0:c>
      <ns0:c r="C852" s="0">
        <ns0:f>IF(OR(B852="",LEN(B852)&gt;24,ISNUMBER(FIND(" ",B852)),ISNUMBER(FIND("*",B852)),ISNUMBER(FIND("?",B852)),ISNUMBER(FIND("~",B852))),0,IFERROR(MATCH(B852,Team!$A$11:$A$60,0),0))</ns0:f>
        <ns0:v>0</ns0:v>
      </ns0:c>
      <ns0:c r="D852" s="0" t="str">
        <ns0:f>IFERROR(IF(MID(Bookings!F852,LEN(Bookings!F852)-3,3)=" · ",RIGHT(Bookings!F852,1),""),"")</ns0:f>
        <ns0:v/>
      </ns0:c>
      <ns0:c r="E852" s="0" t="str">
        <ns0:f>IFERROR(INDEX(Settings!$H$7:$H$11,MATCH(D852,Settings!$G$7:$G$11,0)),"")</ns0:f>
        <ns0:v/>
      </ns0:c>
      <ns0:c r="F852" s="0" t="str">
        <ns0:f>IF(A852=0,"",IFERROR(IF(OR(B852="",C852=0),"CHECK employee selection",IF(INDEX(Team!$O$11:$O$60,C852)&lt;&gt;"OK","CHECK employee setup",IF(OR('_Dates'!J852=0,'_Dates'!T852=0),"CHECK date: use DD.MM.YYYY",IF('_Dates'!T852&lt;'_Dates'!J852,"CHECK end before start",IF(AND($B$6=0,OR('_Dates'!J852&lt;Settings!$B$7,'_Dates'!T852&gt;Settings!$B$8)),"CHECK split across leave years",IF(OR(NOT(OR('_Dates'!U852="Full day",'_Dates'!U852="AM",'_Dates'!U852="PM")),NOT(OR('_Dates'!V852="Full day",'_Dates'!V852="AM",'_Dates'!V852="PM"))),"CHECK Full day / AM / PM",IF(AND('_Dates'!J852='_Dates'!T852,'_Dates'!U852&lt;&gt;"Full day",'_Dates'!V852&lt;&gt;"Full day",'_Dates'!U852&lt;&gt;'_Dates'!V852),"CHECK same-day portions disagree",IF(AND($B$6=0,OR(AND('_Dates'!U852&lt;&gt;"Full day",'_Dates'!AA852=0),AND('_Dates'!V852&lt;&gt;"Full day",'_Dates'!AB852=0))),"CHECK half-day on non-working date",IF(COUNTIF(Settings!$G$7:$G$11,D852)&lt;&gt;1,"CHECK leave type",IF(AND(Bookings!G852&lt;&gt;"Approved",Bookings!G852&lt;&gt;"Pending",Bookings!G852&lt;&gt;"Cancelled"),"CHECK status","OK")))))))))),"CHECK input"))</ns0:f>
        <ns0:v/>
      </ns0:c>
      <ns0:c r="G852" s="0">
        <ns0:f>IF(OR(F852&lt;&gt;"OK",$B$6&gt;0),0,0.5*(IF(('_Dates'!X852)&lt;('_Dates'!W852),0,INT((('_Dates'!X852)-('_Dates'!W852)+1)/7)*LEN(SUBSTITUTE(W852,"O",""))+LEN(SUBSTITUTE(MID(W852&amp;W852,WEEKDAY(('_Dates'!W852),2),MOD((('_Dates'!X852)-('_Dates'!W852)+1),7)),"O",""))-COUNTIFS(INDEX(AllClosureRows,C852,0),"&gt;="&amp;('_Dates'!W852),INDEX(AllClosureRows,C852,0),"&lt;="&amp;('_Dates'!X852)))+IF(('_Dates'!Z852)&lt;('_Dates'!Y852),0,INT((('_Dates'!Z852)-('_Dates'!Y852)+1)/7)*LEN(SUBSTITUTE(W852,"O",""))+LEN(SUBSTITUTE(MID(W852&amp;W852,WEEKDAY(('_Dates'!Y852),2),MOD((('_Dates'!Z852)-('_Dates'!Y852)+1),7)),"O",""))-COUNTIFS(INDEX(AllClosureRows,C852,0),"&gt;="&amp;('_Dates'!Y852),INDEX(AllClosureRows,C852,0),"&lt;="&amp;('_Dates'!Z852)))))</ns0:f>
        <ns0:v>0</ns0:v>
      </ns0:c>
      <ns0:c r="H852" s="0">
        <ns0:f>IF(OR(F852&lt;&gt;"OK",$B$6&gt;0),0,0.5*(IF((MIN('_Dates'!X852,Settings!$B$9))&lt;('_Dates'!W852),0,INT(((MIN('_Dates'!X852,Settings!$B$9))-('_Dates'!W852)+1)/7)*LEN(SUBSTITUTE(W852,"O",""))+LEN(SUBSTITUTE(MID(W852&amp;W852,WEEKDAY(('_Dates'!W852),2),MOD(((MIN('_Dates'!X852,Settings!$B$9))-('_Dates'!W852)+1),7)),"O",""))-COUNTIFS(INDEX(AllClosureRows,C852,0),"&gt;="&amp;('_Dates'!W852),INDEX(AllClosureRows,C852,0),"&lt;="&amp;(MIN('_Dates'!X852,Settings!$B$9))))+IF((MIN('_Dates'!Z852,Settings!$B$9))&lt;('_Dates'!Y852),0,INT(((MIN('_Dates'!Z852,Settings!$B$9))-('_Dates'!Y852)+1)/7)*LEN(SUBSTITUTE(W852,"O",""))+LEN(SUBSTITUTE(MID(W852&amp;W852,WEEKDAY(('_Dates'!Y852),2),MOD(((MIN('_Dates'!Z852,Settings!$B$9))-('_Dates'!Y852)+1),7)),"O",""))-COUNTIFS(INDEX(AllClosureRows,C852,0),"&gt;="&amp;('_Dates'!Y852),INDEX(AllClosureRows,C852,0),"&lt;="&amp;(MIN('_Dates'!Z852,Settings!$B$9))))))</ns0:f>
        <ns0:v>0</ns0:v>
      </ns0:c>
      <ns0:c r="I852" s="0">
        <ns0:f>MAX(0,G852-H852)</ns0:f>
        <ns0:v>0</ns0:v>
      </ns0:c>
      <ns0:c r="J852" s="0">
        <ns0:f>IF(OR(A852=0,F852&lt;&gt;"OK",Bookings!G852="Cancelled",$B$6&gt;0),0,IF('_Dates'!AC852=1,MAX(0,COUNTIFS(rngEngine_B,B852,rngAMStart,"&lt;="&amp;'_Dates'!X852,rngAMEnd,"&gt;="&amp;'_Dates'!W852,rngAMActive,1,rngEngine_F,"OK",rngBookings_F,"&lt;&gt;Cancelled")-1),0)+IF('_Dates'!AD852=1,MAX(0,COUNTIFS(rngEngine_B,B852,rngPMStart,"&lt;="&amp;'_Dates'!Z852,rngPMEnd,"&gt;="&amp;'_Dates'!Y852,rngPMActive,1,rngEngine_F,"OK",rngBookings_F,"&lt;&gt;Cancelled")-1),0))</ns0:f>
        <ns0:v>0</ns0:v>
      </ns0:c>
      <ns0:c r="K852" s="0" t="str">
        <ns0:f>IF(A852=0,"",IF(F852&lt;&gt;"OK",F852,IF(J852&gt;0,"CHECK overlapping entry",IF(AND($B$6=0,G852&lt;=0,Bookings!G852&lt;&gt;"Cancelled"),"CHECK no working days",IF(Bookings!G852="Cancelled","Cancelled","OK")))))</ns0:f>
        <ns0:v/>
      </ns0:c>
      <ns0:c r="L852" s="0">
        <ns0:f>IF(LEFT(K852,5)="CHECK",1,0)</ns0:f>
        <ns0:v>0</ns0:v>
      </ns0:c>
      <ns0:c r="M852" s="0">
        <ns0:f>IF(AND(L852=1,OR(C852=0,IFERROR(INDEX($X$11:$X$60,C852),0)=0)),1,0)</ns0:f>
        <ns0:v>0</ns0:v>
      </ns0:c>
      <ns0:c r="N852" s="0">
        <ns0:f>IF(OR(A852=0,L852&gt;0,$B$6&gt;0,Bookings!G852="Cancelled"),0,G852)</ns0:f>
        <ns0:v>0</ns0:v>
      </ns0:c>
      <ns0:c r="O852" s="0">
        <ns0:f>IF(AND(Bookings!G852="Approved",E852="Yes"),N852,0)</ns0:f>
        <ns0:v>0</ns0:v>
      </ns0:c>
      <ns0:c r="P852" s="0">
        <ns0:f>IF(AND(Bookings!G852="Approved",E852="Yes",L852=0,$B$6=0),H852,0)</ns0:f>
        <ns0:v>0</ns0:v>
      </ns0:c>
      <ns0:c r="Q852" s="0">
        <ns0:f>IF(AND(Bookings!G852="Approved",E852="Yes",L852=0,$B$6=0),I852,0)</ns0:f>
        <ns0:v>0</ns0:v>
      </ns0:c>
      <ns0:c r="R852" s="0">
        <ns0:f>IF(AND(Bookings!G852="Pending",E852="Yes"),N852,0)</ns0:f>
        <ns0:v>0</ns0:v>
      </ns0:c>
      <ns0:c r="S852" s="0">
        <ns0:f>IF(AND(Bookings!G852="Approved",E852="No"),N852,0)</ns0:f>
        <ns0:v>0</ns0:v>
      </ns0:c>
      <ns0:c r="T852" s="0">
        <ns0:f>IFERROR(MATCH(D852,Settings!$G$7:$G$11,0),0)</ns0:f>
        <ns0:v>0</ns0:v>
      </ns0:c>
      <ns0:c r="U852" s="0">
        <ns0:f>IF(N852&gt;0,T852+IF(Bookings!G852="Pending",10,0),0)</ns0:f>
        <ns0:v>0</ns0:v>
      </ns0:c>
      <ns0:c r="V852" s="0">
        <ns0:f>U852</ns0:f>
        <ns0:v>0</ns0:v>
      </ns0:c>
      <ns0:c r="W852" s="0" t="str">
        <ns0:f>IF(C852=0,"",INDEX($AP$11:$AP$60,C852))</ns0:f>
        <ns0:v/>
      </ns0:c>
    </ns0:row>
    <ns0:row r="853">
      <ns0:c r="A853" s="0">
        <ns0:f>IF(COUNTA(Bookings!A853:G853,Bookings!I853)=0,0,1)</ns0:f>
        <ns0:v>0</ns0:v>
      </ns0:c>
      <ns0:c r="B853" s="0" t="str">
        <ns0:f>IFERROR(TRIM(MID(Bookings!A853,FIND(" · ",Bookings!A853)+3,99)),"")</ns0:f>
        <ns0:v/>
      </ns0:c>
      <ns0:c r="C853" s="0">
        <ns0:f>IF(OR(B853="",LEN(B853)&gt;24,ISNUMBER(FIND(" ",B853)),ISNUMBER(FIND("*",B853)),ISNUMBER(FIND("?",B853)),ISNUMBER(FIND("~",B853))),0,IFERROR(MATCH(B853,Team!$A$11:$A$60,0),0))</ns0:f>
        <ns0:v>0</ns0:v>
      </ns0:c>
      <ns0:c r="D853" s="0" t="str">
        <ns0:f>IFERROR(IF(MID(Bookings!F853,LEN(Bookings!F853)-3,3)=" · ",RIGHT(Bookings!F853,1),""),"")</ns0:f>
        <ns0:v/>
      </ns0:c>
      <ns0:c r="E853" s="0" t="str">
        <ns0:f>IFERROR(INDEX(Settings!$H$7:$H$11,MATCH(D853,Settings!$G$7:$G$11,0)),"")</ns0:f>
        <ns0:v/>
      </ns0:c>
      <ns0:c r="F853" s="0" t="str">
        <ns0:f>IF(A853=0,"",IFERROR(IF(OR(B853="",C853=0),"CHECK employee selection",IF(INDEX(Team!$O$11:$O$60,C853)&lt;&gt;"OK","CHECK employee setup",IF(OR('_Dates'!J853=0,'_Dates'!T853=0),"CHECK date: use DD.MM.YYYY",IF('_Dates'!T853&lt;'_Dates'!J853,"CHECK end before start",IF(AND($B$6=0,OR('_Dates'!J853&lt;Settings!$B$7,'_Dates'!T853&gt;Settings!$B$8)),"CHECK split across leave years",IF(OR(NOT(OR('_Dates'!U853="Full day",'_Dates'!U853="AM",'_Dates'!U853="PM")),NOT(OR('_Dates'!V853="Full day",'_Dates'!V853="AM",'_Dates'!V853="PM"))),"CHECK Full day / AM / PM",IF(AND('_Dates'!J853='_Dates'!T853,'_Dates'!U853&lt;&gt;"Full day",'_Dates'!V853&lt;&gt;"Full day",'_Dates'!U853&lt;&gt;'_Dates'!V853),"CHECK same-day portions disagree",IF(AND($B$6=0,OR(AND('_Dates'!U853&lt;&gt;"Full day",'_Dates'!AA853=0),AND('_Dates'!V853&lt;&gt;"Full day",'_Dates'!AB853=0))),"CHECK half-day on non-working date",IF(COUNTIF(Settings!$G$7:$G$11,D853)&lt;&gt;1,"CHECK leave type",IF(AND(Bookings!G853&lt;&gt;"Approved",Bookings!G853&lt;&gt;"Pending",Bookings!G853&lt;&gt;"Cancelled"),"CHECK status","OK")))))))))),"CHECK input"))</ns0:f>
        <ns0:v/>
      </ns0:c>
      <ns0:c r="G853" s="0">
        <ns0:f>IF(OR(F853&lt;&gt;"OK",$B$6&gt;0),0,0.5*(IF(('_Dates'!X853)&lt;('_Dates'!W853),0,INT((('_Dates'!X853)-('_Dates'!W853)+1)/7)*LEN(SUBSTITUTE(W853,"O",""))+LEN(SUBSTITUTE(MID(W853&amp;W853,WEEKDAY(('_Dates'!W853),2),MOD((('_Dates'!X853)-('_Dates'!W853)+1),7)),"O",""))-COUNTIFS(INDEX(AllClosureRows,C853,0),"&gt;="&amp;('_Dates'!W853),INDEX(AllClosureRows,C853,0),"&lt;="&amp;('_Dates'!X853)))+IF(('_Dates'!Z853)&lt;('_Dates'!Y853),0,INT((('_Dates'!Z853)-('_Dates'!Y853)+1)/7)*LEN(SUBSTITUTE(W853,"O",""))+LEN(SUBSTITUTE(MID(W853&amp;W853,WEEKDAY(('_Dates'!Y853),2),MOD((('_Dates'!Z853)-('_Dates'!Y853)+1),7)),"O",""))-COUNTIFS(INDEX(AllClosureRows,C853,0),"&gt;="&amp;('_Dates'!Y853),INDEX(AllClosureRows,C853,0),"&lt;="&amp;('_Dates'!Z853)))))</ns0:f>
        <ns0:v>0</ns0:v>
      </ns0:c>
      <ns0:c r="H853" s="0">
        <ns0:f>IF(OR(F853&lt;&gt;"OK",$B$6&gt;0),0,0.5*(IF((MIN('_Dates'!X853,Settings!$B$9))&lt;('_Dates'!W853),0,INT(((MIN('_Dates'!X853,Settings!$B$9))-('_Dates'!W853)+1)/7)*LEN(SUBSTITUTE(W853,"O",""))+LEN(SUBSTITUTE(MID(W853&amp;W853,WEEKDAY(('_Dates'!W853),2),MOD(((MIN('_Dates'!X853,Settings!$B$9))-('_Dates'!W853)+1),7)),"O",""))-COUNTIFS(INDEX(AllClosureRows,C853,0),"&gt;="&amp;('_Dates'!W853),INDEX(AllClosureRows,C853,0),"&lt;="&amp;(MIN('_Dates'!X853,Settings!$B$9))))+IF((MIN('_Dates'!Z853,Settings!$B$9))&lt;('_Dates'!Y853),0,INT(((MIN('_Dates'!Z853,Settings!$B$9))-('_Dates'!Y853)+1)/7)*LEN(SUBSTITUTE(W853,"O",""))+LEN(SUBSTITUTE(MID(W853&amp;W853,WEEKDAY(('_Dates'!Y853),2),MOD(((MIN('_Dates'!Z853,Settings!$B$9))-('_Dates'!Y853)+1),7)),"O",""))-COUNTIFS(INDEX(AllClosureRows,C853,0),"&gt;="&amp;('_Dates'!Y853),INDEX(AllClosureRows,C853,0),"&lt;="&amp;(MIN('_Dates'!Z853,Settings!$B$9))))))</ns0:f>
        <ns0:v>0</ns0:v>
      </ns0:c>
      <ns0:c r="I853" s="0">
        <ns0:f>MAX(0,G853-H853)</ns0:f>
        <ns0:v>0</ns0:v>
      </ns0:c>
      <ns0:c r="J853" s="0">
        <ns0:f>IF(OR(A853=0,F853&lt;&gt;"OK",Bookings!G853="Cancelled",$B$6&gt;0),0,IF('_Dates'!AC853=1,MAX(0,COUNTIFS(rngEngine_B,B853,rngAMStart,"&lt;="&amp;'_Dates'!X853,rngAMEnd,"&gt;="&amp;'_Dates'!W853,rngAMActive,1,rngEngine_F,"OK",rngBookings_F,"&lt;&gt;Cancelled")-1),0)+IF('_Dates'!AD853=1,MAX(0,COUNTIFS(rngEngine_B,B853,rngPMStart,"&lt;="&amp;'_Dates'!Z853,rngPMEnd,"&gt;="&amp;'_Dates'!Y853,rngPMActive,1,rngEngine_F,"OK",rngBookings_F,"&lt;&gt;Cancelled")-1),0))</ns0:f>
        <ns0:v>0</ns0:v>
      </ns0:c>
      <ns0:c r="K853" s="0" t="str">
        <ns0:f>IF(A853=0,"",IF(F853&lt;&gt;"OK",F853,IF(J853&gt;0,"CHECK overlapping entry",IF(AND($B$6=0,G853&lt;=0,Bookings!G853&lt;&gt;"Cancelled"),"CHECK no working days",IF(Bookings!G853="Cancelled","Cancelled","OK")))))</ns0:f>
        <ns0:v/>
      </ns0:c>
      <ns0:c r="L853" s="0">
        <ns0:f>IF(LEFT(K853,5)="CHECK",1,0)</ns0:f>
        <ns0:v>0</ns0:v>
      </ns0:c>
      <ns0:c r="M853" s="0">
        <ns0:f>IF(AND(L853=1,OR(C853=0,IFERROR(INDEX($X$11:$X$60,C853),0)=0)),1,0)</ns0:f>
        <ns0:v>0</ns0:v>
      </ns0:c>
      <ns0:c r="N853" s="0">
        <ns0:f>IF(OR(A853=0,L853&gt;0,$B$6&gt;0,Bookings!G853="Cancelled"),0,G853)</ns0:f>
        <ns0:v>0</ns0:v>
      </ns0:c>
      <ns0:c r="O853" s="0">
        <ns0:f>IF(AND(Bookings!G853="Approved",E853="Yes"),N853,0)</ns0:f>
        <ns0:v>0</ns0:v>
      </ns0:c>
      <ns0:c r="P853" s="0">
        <ns0:f>IF(AND(Bookings!G853="Approved",E853="Yes",L853=0,$B$6=0),H853,0)</ns0:f>
        <ns0:v>0</ns0:v>
      </ns0:c>
      <ns0:c r="Q853" s="0">
        <ns0:f>IF(AND(Bookings!G853="Approved",E853="Yes",L853=0,$B$6=0),I853,0)</ns0:f>
        <ns0:v>0</ns0:v>
      </ns0:c>
      <ns0:c r="R853" s="0">
        <ns0:f>IF(AND(Bookings!G853="Pending",E853="Yes"),N853,0)</ns0:f>
        <ns0:v>0</ns0:v>
      </ns0:c>
      <ns0:c r="S853" s="0">
        <ns0:f>IF(AND(Bookings!G853="Approved",E853="No"),N853,0)</ns0:f>
        <ns0:v>0</ns0:v>
      </ns0:c>
      <ns0:c r="T853" s="0">
        <ns0:f>IFERROR(MATCH(D853,Settings!$G$7:$G$11,0),0)</ns0:f>
        <ns0:v>0</ns0:v>
      </ns0:c>
      <ns0:c r="U853" s="0">
        <ns0:f>IF(N853&gt;0,T853+IF(Bookings!G853="Pending",10,0),0)</ns0:f>
        <ns0:v>0</ns0:v>
      </ns0:c>
      <ns0:c r="V853" s="0">
        <ns0:f>U853</ns0:f>
        <ns0:v>0</ns0:v>
      </ns0:c>
      <ns0:c r="W853" s="0" t="str">
        <ns0:f>IF(C853=0,"",INDEX($AP$11:$AP$60,C853))</ns0:f>
        <ns0:v/>
      </ns0:c>
    </ns0:row>
    <ns0:row r="854">
      <ns0:c r="A854" s="0">
        <ns0:f>IF(COUNTA(Bookings!A854:G854,Bookings!I854)=0,0,1)</ns0:f>
        <ns0:v>0</ns0:v>
      </ns0:c>
      <ns0:c r="B854" s="0" t="str">
        <ns0:f>IFERROR(TRIM(MID(Bookings!A854,FIND(" · ",Bookings!A854)+3,99)),"")</ns0:f>
        <ns0:v/>
      </ns0:c>
      <ns0:c r="C854" s="0">
        <ns0:f>IF(OR(B854="",LEN(B854)&gt;24,ISNUMBER(FIND(" ",B854)),ISNUMBER(FIND("*",B854)),ISNUMBER(FIND("?",B854)),ISNUMBER(FIND("~",B854))),0,IFERROR(MATCH(B854,Team!$A$11:$A$60,0),0))</ns0:f>
        <ns0:v>0</ns0:v>
      </ns0:c>
      <ns0:c r="D854" s="0" t="str">
        <ns0:f>IFERROR(IF(MID(Bookings!F854,LEN(Bookings!F854)-3,3)=" · ",RIGHT(Bookings!F854,1),""),"")</ns0:f>
        <ns0:v/>
      </ns0:c>
      <ns0:c r="E854" s="0" t="str">
        <ns0:f>IFERROR(INDEX(Settings!$H$7:$H$11,MATCH(D854,Settings!$G$7:$G$11,0)),"")</ns0:f>
        <ns0:v/>
      </ns0:c>
      <ns0:c r="F854" s="0" t="str">
        <ns0:f>IF(A854=0,"",IFERROR(IF(OR(B854="",C854=0),"CHECK employee selection",IF(INDEX(Team!$O$11:$O$60,C854)&lt;&gt;"OK","CHECK employee setup",IF(OR('_Dates'!J854=0,'_Dates'!T854=0),"CHECK date: use DD.MM.YYYY",IF('_Dates'!T854&lt;'_Dates'!J854,"CHECK end before start",IF(AND($B$6=0,OR('_Dates'!J854&lt;Settings!$B$7,'_Dates'!T854&gt;Settings!$B$8)),"CHECK split across leave years",IF(OR(NOT(OR('_Dates'!U854="Full day",'_Dates'!U854="AM",'_Dates'!U854="PM")),NOT(OR('_Dates'!V854="Full day",'_Dates'!V854="AM",'_Dates'!V854="PM"))),"CHECK Full day / AM / PM",IF(AND('_Dates'!J854='_Dates'!T854,'_Dates'!U854&lt;&gt;"Full day",'_Dates'!V854&lt;&gt;"Full day",'_Dates'!U854&lt;&gt;'_Dates'!V854),"CHECK same-day portions disagree",IF(AND($B$6=0,OR(AND('_Dates'!U854&lt;&gt;"Full day",'_Dates'!AA854=0),AND('_Dates'!V854&lt;&gt;"Full day",'_Dates'!AB854=0))),"CHECK half-day on non-working date",IF(COUNTIF(Settings!$G$7:$G$11,D854)&lt;&gt;1,"CHECK leave type",IF(AND(Bookings!G854&lt;&gt;"Approved",Bookings!G854&lt;&gt;"Pending",Bookings!G854&lt;&gt;"Cancelled"),"CHECK status","OK")))))))))),"CHECK input"))</ns0:f>
        <ns0:v/>
      </ns0:c>
      <ns0:c r="G854" s="0">
        <ns0:f>IF(OR(F854&lt;&gt;"OK",$B$6&gt;0),0,0.5*(IF(('_Dates'!X854)&lt;('_Dates'!W854),0,INT((('_Dates'!X854)-('_Dates'!W854)+1)/7)*LEN(SUBSTITUTE(W854,"O",""))+LEN(SUBSTITUTE(MID(W854&amp;W854,WEEKDAY(('_Dates'!W854),2),MOD((('_Dates'!X854)-('_Dates'!W854)+1),7)),"O",""))-COUNTIFS(INDEX(AllClosureRows,C854,0),"&gt;="&amp;('_Dates'!W854),INDEX(AllClosureRows,C854,0),"&lt;="&amp;('_Dates'!X854)))+IF(('_Dates'!Z854)&lt;('_Dates'!Y854),0,INT((('_Dates'!Z854)-('_Dates'!Y854)+1)/7)*LEN(SUBSTITUTE(W854,"O",""))+LEN(SUBSTITUTE(MID(W854&amp;W854,WEEKDAY(('_Dates'!Y854),2),MOD((('_Dates'!Z854)-('_Dates'!Y854)+1),7)),"O",""))-COUNTIFS(INDEX(AllClosureRows,C854,0),"&gt;="&amp;('_Dates'!Y854),INDEX(AllClosureRows,C854,0),"&lt;="&amp;('_Dates'!Z854)))))</ns0:f>
        <ns0:v>0</ns0:v>
      </ns0:c>
      <ns0:c r="H854" s="0">
        <ns0:f>IF(OR(F854&lt;&gt;"OK",$B$6&gt;0),0,0.5*(IF((MIN('_Dates'!X854,Settings!$B$9))&lt;('_Dates'!W854),0,INT(((MIN('_Dates'!X854,Settings!$B$9))-('_Dates'!W854)+1)/7)*LEN(SUBSTITUTE(W854,"O",""))+LEN(SUBSTITUTE(MID(W854&amp;W854,WEEKDAY(('_Dates'!W854),2),MOD(((MIN('_Dates'!X854,Settings!$B$9))-('_Dates'!W854)+1),7)),"O",""))-COUNTIFS(INDEX(AllClosureRows,C854,0),"&gt;="&amp;('_Dates'!W854),INDEX(AllClosureRows,C854,0),"&lt;="&amp;(MIN('_Dates'!X854,Settings!$B$9))))+IF((MIN('_Dates'!Z854,Settings!$B$9))&lt;('_Dates'!Y854),0,INT(((MIN('_Dates'!Z854,Settings!$B$9))-('_Dates'!Y854)+1)/7)*LEN(SUBSTITUTE(W854,"O",""))+LEN(SUBSTITUTE(MID(W854&amp;W854,WEEKDAY(('_Dates'!Y854),2),MOD(((MIN('_Dates'!Z854,Settings!$B$9))-('_Dates'!Y854)+1),7)),"O",""))-COUNTIFS(INDEX(AllClosureRows,C854,0),"&gt;="&amp;('_Dates'!Y854),INDEX(AllClosureRows,C854,0),"&lt;="&amp;(MIN('_Dates'!Z854,Settings!$B$9))))))</ns0:f>
        <ns0:v>0</ns0:v>
      </ns0:c>
      <ns0:c r="I854" s="0">
        <ns0:f>MAX(0,G854-H854)</ns0:f>
        <ns0:v>0</ns0:v>
      </ns0:c>
      <ns0:c r="J854" s="0">
        <ns0:f>IF(OR(A854=0,F854&lt;&gt;"OK",Bookings!G854="Cancelled",$B$6&gt;0),0,IF('_Dates'!AC854=1,MAX(0,COUNTIFS(rngEngine_B,B854,rngAMStart,"&lt;="&amp;'_Dates'!X854,rngAMEnd,"&gt;="&amp;'_Dates'!W854,rngAMActive,1,rngEngine_F,"OK",rngBookings_F,"&lt;&gt;Cancelled")-1),0)+IF('_Dates'!AD854=1,MAX(0,COUNTIFS(rngEngine_B,B854,rngPMStart,"&lt;="&amp;'_Dates'!Z854,rngPMEnd,"&gt;="&amp;'_Dates'!Y854,rngPMActive,1,rngEngine_F,"OK",rngBookings_F,"&lt;&gt;Cancelled")-1),0))</ns0:f>
        <ns0:v>0</ns0:v>
      </ns0:c>
      <ns0:c r="K854" s="0" t="str">
        <ns0:f>IF(A854=0,"",IF(F854&lt;&gt;"OK",F854,IF(J854&gt;0,"CHECK overlapping entry",IF(AND($B$6=0,G854&lt;=0,Bookings!G854&lt;&gt;"Cancelled"),"CHECK no working days",IF(Bookings!G854="Cancelled","Cancelled","OK")))))</ns0:f>
        <ns0:v/>
      </ns0:c>
      <ns0:c r="L854" s="0">
        <ns0:f>IF(LEFT(K854,5)="CHECK",1,0)</ns0:f>
        <ns0:v>0</ns0:v>
      </ns0:c>
      <ns0:c r="M854" s="0">
        <ns0:f>IF(AND(L854=1,OR(C854=0,IFERROR(INDEX($X$11:$X$60,C854),0)=0)),1,0)</ns0:f>
        <ns0:v>0</ns0:v>
      </ns0:c>
      <ns0:c r="N854" s="0">
        <ns0:f>IF(OR(A854=0,L854&gt;0,$B$6&gt;0,Bookings!G854="Cancelled"),0,G854)</ns0:f>
        <ns0:v>0</ns0:v>
      </ns0:c>
      <ns0:c r="O854" s="0">
        <ns0:f>IF(AND(Bookings!G854="Approved",E854="Yes"),N854,0)</ns0:f>
        <ns0:v>0</ns0:v>
      </ns0:c>
      <ns0:c r="P854" s="0">
        <ns0:f>IF(AND(Bookings!G854="Approved",E854="Yes",L854=0,$B$6=0),H854,0)</ns0:f>
        <ns0:v>0</ns0:v>
      </ns0:c>
      <ns0:c r="Q854" s="0">
        <ns0:f>IF(AND(Bookings!G854="Approved",E854="Yes",L854=0,$B$6=0),I854,0)</ns0:f>
        <ns0:v>0</ns0:v>
      </ns0:c>
      <ns0:c r="R854" s="0">
        <ns0:f>IF(AND(Bookings!G854="Pending",E854="Yes"),N854,0)</ns0:f>
        <ns0:v>0</ns0:v>
      </ns0:c>
      <ns0:c r="S854" s="0">
        <ns0:f>IF(AND(Bookings!G854="Approved",E854="No"),N854,0)</ns0:f>
        <ns0:v>0</ns0:v>
      </ns0:c>
      <ns0:c r="T854" s="0">
        <ns0:f>IFERROR(MATCH(D854,Settings!$G$7:$G$11,0),0)</ns0:f>
        <ns0:v>0</ns0:v>
      </ns0:c>
      <ns0:c r="U854" s="0">
        <ns0:f>IF(N854&gt;0,T854+IF(Bookings!G854="Pending",10,0),0)</ns0:f>
        <ns0:v>0</ns0:v>
      </ns0:c>
      <ns0:c r="V854" s="0">
        <ns0:f>U854</ns0:f>
        <ns0:v>0</ns0:v>
      </ns0:c>
      <ns0:c r="W854" s="0" t="str">
        <ns0:f>IF(C854=0,"",INDEX($AP$11:$AP$60,C854))</ns0:f>
        <ns0:v/>
      </ns0:c>
    </ns0:row>
    <ns0:row r="855">
      <ns0:c r="A855" s="0">
        <ns0:f>IF(COUNTA(Bookings!A855:G855,Bookings!I855)=0,0,1)</ns0:f>
        <ns0:v>0</ns0:v>
      </ns0:c>
      <ns0:c r="B855" s="0" t="str">
        <ns0:f>IFERROR(TRIM(MID(Bookings!A855,FIND(" · ",Bookings!A855)+3,99)),"")</ns0:f>
        <ns0:v/>
      </ns0:c>
      <ns0:c r="C855" s="0">
        <ns0:f>IF(OR(B855="",LEN(B855)&gt;24,ISNUMBER(FIND(" ",B855)),ISNUMBER(FIND("*",B855)),ISNUMBER(FIND("?",B855)),ISNUMBER(FIND("~",B855))),0,IFERROR(MATCH(B855,Team!$A$11:$A$60,0),0))</ns0:f>
        <ns0:v>0</ns0:v>
      </ns0:c>
      <ns0:c r="D855" s="0" t="str">
        <ns0:f>IFERROR(IF(MID(Bookings!F855,LEN(Bookings!F855)-3,3)=" · ",RIGHT(Bookings!F855,1),""),"")</ns0:f>
        <ns0:v/>
      </ns0:c>
      <ns0:c r="E855" s="0" t="str">
        <ns0:f>IFERROR(INDEX(Settings!$H$7:$H$11,MATCH(D855,Settings!$G$7:$G$11,0)),"")</ns0:f>
        <ns0:v/>
      </ns0:c>
      <ns0:c r="F855" s="0" t="str">
        <ns0:f>IF(A855=0,"",IFERROR(IF(OR(B855="",C855=0),"CHECK employee selection",IF(INDEX(Team!$O$11:$O$60,C855)&lt;&gt;"OK","CHECK employee setup",IF(OR('_Dates'!J855=0,'_Dates'!T855=0),"CHECK date: use DD.MM.YYYY",IF('_Dates'!T855&lt;'_Dates'!J855,"CHECK end before start",IF(AND($B$6=0,OR('_Dates'!J855&lt;Settings!$B$7,'_Dates'!T855&gt;Settings!$B$8)),"CHECK split across leave years",IF(OR(NOT(OR('_Dates'!U855="Full day",'_Dates'!U855="AM",'_Dates'!U855="PM")),NOT(OR('_Dates'!V855="Full day",'_Dates'!V855="AM",'_Dates'!V855="PM"))),"CHECK Full day / AM / PM",IF(AND('_Dates'!J855='_Dates'!T855,'_Dates'!U855&lt;&gt;"Full day",'_Dates'!V855&lt;&gt;"Full day",'_Dates'!U855&lt;&gt;'_Dates'!V855),"CHECK same-day portions disagree",IF(AND($B$6=0,OR(AND('_Dates'!U855&lt;&gt;"Full day",'_Dates'!AA855=0),AND('_Dates'!V855&lt;&gt;"Full day",'_Dates'!AB855=0))),"CHECK half-day on non-working date",IF(COUNTIF(Settings!$G$7:$G$11,D855)&lt;&gt;1,"CHECK leave type",IF(AND(Bookings!G855&lt;&gt;"Approved",Bookings!G855&lt;&gt;"Pending",Bookings!G855&lt;&gt;"Cancelled"),"CHECK status","OK")))))))))),"CHECK input"))</ns0:f>
        <ns0:v/>
      </ns0:c>
      <ns0:c r="G855" s="0">
        <ns0:f>IF(OR(F855&lt;&gt;"OK",$B$6&gt;0),0,0.5*(IF(('_Dates'!X855)&lt;('_Dates'!W855),0,INT((('_Dates'!X855)-('_Dates'!W855)+1)/7)*LEN(SUBSTITUTE(W855,"O",""))+LEN(SUBSTITUTE(MID(W855&amp;W855,WEEKDAY(('_Dates'!W855),2),MOD((('_Dates'!X855)-('_Dates'!W855)+1),7)),"O",""))-COUNTIFS(INDEX(AllClosureRows,C855,0),"&gt;="&amp;('_Dates'!W855),INDEX(AllClosureRows,C855,0),"&lt;="&amp;('_Dates'!X855)))+IF(('_Dates'!Z855)&lt;('_Dates'!Y855),0,INT((('_Dates'!Z855)-('_Dates'!Y855)+1)/7)*LEN(SUBSTITUTE(W855,"O",""))+LEN(SUBSTITUTE(MID(W855&amp;W855,WEEKDAY(('_Dates'!Y855),2),MOD((('_Dates'!Z855)-('_Dates'!Y855)+1),7)),"O",""))-COUNTIFS(INDEX(AllClosureRows,C855,0),"&gt;="&amp;('_Dates'!Y855),INDEX(AllClosureRows,C855,0),"&lt;="&amp;('_Dates'!Z855)))))</ns0:f>
        <ns0:v>0</ns0:v>
      </ns0:c>
      <ns0:c r="H855" s="0">
        <ns0:f>IF(OR(F855&lt;&gt;"OK",$B$6&gt;0),0,0.5*(IF((MIN('_Dates'!X855,Settings!$B$9))&lt;('_Dates'!W855),0,INT(((MIN('_Dates'!X855,Settings!$B$9))-('_Dates'!W855)+1)/7)*LEN(SUBSTITUTE(W855,"O",""))+LEN(SUBSTITUTE(MID(W855&amp;W855,WEEKDAY(('_Dates'!W855),2),MOD(((MIN('_Dates'!X855,Settings!$B$9))-('_Dates'!W855)+1),7)),"O",""))-COUNTIFS(INDEX(AllClosureRows,C855,0),"&gt;="&amp;('_Dates'!W855),INDEX(AllClosureRows,C855,0),"&lt;="&amp;(MIN('_Dates'!X855,Settings!$B$9))))+IF((MIN('_Dates'!Z855,Settings!$B$9))&lt;('_Dates'!Y855),0,INT(((MIN('_Dates'!Z855,Settings!$B$9))-('_Dates'!Y855)+1)/7)*LEN(SUBSTITUTE(W855,"O",""))+LEN(SUBSTITUTE(MID(W855&amp;W855,WEEKDAY(('_Dates'!Y855),2),MOD(((MIN('_Dates'!Z855,Settings!$B$9))-('_Dates'!Y855)+1),7)),"O",""))-COUNTIFS(INDEX(AllClosureRows,C855,0),"&gt;="&amp;('_Dates'!Y855),INDEX(AllClosureRows,C855,0),"&lt;="&amp;(MIN('_Dates'!Z855,Settings!$B$9))))))</ns0:f>
        <ns0:v>0</ns0:v>
      </ns0:c>
      <ns0:c r="I855" s="0">
        <ns0:f>MAX(0,G855-H855)</ns0:f>
        <ns0:v>0</ns0:v>
      </ns0:c>
      <ns0:c r="J855" s="0">
        <ns0:f>IF(OR(A855=0,F855&lt;&gt;"OK",Bookings!G855="Cancelled",$B$6&gt;0),0,IF('_Dates'!AC855=1,MAX(0,COUNTIFS(rngEngine_B,B855,rngAMStart,"&lt;="&amp;'_Dates'!X855,rngAMEnd,"&gt;="&amp;'_Dates'!W855,rngAMActive,1,rngEngine_F,"OK",rngBookings_F,"&lt;&gt;Cancelled")-1),0)+IF('_Dates'!AD855=1,MAX(0,COUNTIFS(rngEngine_B,B855,rngPMStart,"&lt;="&amp;'_Dates'!Z855,rngPMEnd,"&gt;="&amp;'_Dates'!Y855,rngPMActive,1,rngEngine_F,"OK",rngBookings_F,"&lt;&gt;Cancelled")-1),0))</ns0:f>
        <ns0:v>0</ns0:v>
      </ns0:c>
      <ns0:c r="K855" s="0" t="str">
        <ns0:f>IF(A855=0,"",IF(F855&lt;&gt;"OK",F855,IF(J855&gt;0,"CHECK overlapping entry",IF(AND($B$6=0,G855&lt;=0,Bookings!G855&lt;&gt;"Cancelled"),"CHECK no working days",IF(Bookings!G855="Cancelled","Cancelled","OK")))))</ns0:f>
        <ns0:v/>
      </ns0:c>
      <ns0:c r="L855" s="0">
        <ns0:f>IF(LEFT(K855,5)="CHECK",1,0)</ns0:f>
        <ns0:v>0</ns0:v>
      </ns0:c>
      <ns0:c r="M855" s="0">
        <ns0:f>IF(AND(L855=1,OR(C855=0,IFERROR(INDEX($X$11:$X$60,C855),0)=0)),1,0)</ns0:f>
        <ns0:v>0</ns0:v>
      </ns0:c>
      <ns0:c r="N855" s="0">
        <ns0:f>IF(OR(A855=0,L855&gt;0,$B$6&gt;0,Bookings!G855="Cancelled"),0,G855)</ns0:f>
        <ns0:v>0</ns0:v>
      </ns0:c>
      <ns0:c r="O855" s="0">
        <ns0:f>IF(AND(Bookings!G855="Approved",E855="Yes"),N855,0)</ns0:f>
        <ns0:v>0</ns0:v>
      </ns0:c>
      <ns0:c r="P855" s="0">
        <ns0:f>IF(AND(Bookings!G855="Approved",E855="Yes",L855=0,$B$6=0),H855,0)</ns0:f>
        <ns0:v>0</ns0:v>
      </ns0:c>
      <ns0:c r="Q855" s="0">
        <ns0:f>IF(AND(Bookings!G855="Approved",E855="Yes",L855=0,$B$6=0),I855,0)</ns0:f>
        <ns0:v>0</ns0:v>
      </ns0:c>
      <ns0:c r="R855" s="0">
        <ns0:f>IF(AND(Bookings!G855="Pending",E855="Yes"),N855,0)</ns0:f>
        <ns0:v>0</ns0:v>
      </ns0:c>
      <ns0:c r="S855" s="0">
        <ns0:f>IF(AND(Bookings!G855="Approved",E855="No"),N855,0)</ns0:f>
        <ns0:v>0</ns0:v>
      </ns0:c>
      <ns0:c r="T855" s="0">
        <ns0:f>IFERROR(MATCH(D855,Settings!$G$7:$G$11,0),0)</ns0:f>
        <ns0:v>0</ns0:v>
      </ns0:c>
      <ns0:c r="U855" s="0">
        <ns0:f>IF(N855&gt;0,T855+IF(Bookings!G855="Pending",10,0),0)</ns0:f>
        <ns0:v>0</ns0:v>
      </ns0:c>
      <ns0:c r="V855" s="0">
        <ns0:f>U855</ns0:f>
        <ns0:v>0</ns0:v>
      </ns0:c>
      <ns0:c r="W855" s="0" t="str">
        <ns0:f>IF(C855=0,"",INDEX($AP$11:$AP$60,C855))</ns0:f>
        <ns0:v/>
      </ns0:c>
    </ns0:row>
    <ns0:row r="856">
      <ns0:c r="A856" s="0">
        <ns0:f>IF(COUNTA(Bookings!A856:G856,Bookings!I856)=0,0,1)</ns0:f>
        <ns0:v>0</ns0:v>
      </ns0:c>
      <ns0:c r="B856" s="0" t="str">
        <ns0:f>IFERROR(TRIM(MID(Bookings!A856,FIND(" · ",Bookings!A856)+3,99)),"")</ns0:f>
        <ns0:v/>
      </ns0:c>
      <ns0:c r="C856" s="0">
        <ns0:f>IF(OR(B856="",LEN(B856)&gt;24,ISNUMBER(FIND(" ",B856)),ISNUMBER(FIND("*",B856)),ISNUMBER(FIND("?",B856)),ISNUMBER(FIND("~",B856))),0,IFERROR(MATCH(B856,Team!$A$11:$A$60,0),0))</ns0:f>
        <ns0:v>0</ns0:v>
      </ns0:c>
      <ns0:c r="D856" s="0" t="str">
        <ns0:f>IFERROR(IF(MID(Bookings!F856,LEN(Bookings!F856)-3,3)=" · ",RIGHT(Bookings!F856,1),""),"")</ns0:f>
        <ns0:v/>
      </ns0:c>
      <ns0:c r="E856" s="0" t="str">
        <ns0:f>IFERROR(INDEX(Settings!$H$7:$H$11,MATCH(D856,Settings!$G$7:$G$11,0)),"")</ns0:f>
        <ns0:v/>
      </ns0:c>
      <ns0:c r="F856" s="0" t="str">
        <ns0:f>IF(A856=0,"",IFERROR(IF(OR(B856="",C856=0),"CHECK employee selection",IF(INDEX(Team!$O$11:$O$60,C856)&lt;&gt;"OK","CHECK employee setup",IF(OR('_Dates'!J856=0,'_Dates'!T856=0),"CHECK date: use DD.MM.YYYY",IF('_Dates'!T856&lt;'_Dates'!J856,"CHECK end before start",IF(AND($B$6=0,OR('_Dates'!J856&lt;Settings!$B$7,'_Dates'!T856&gt;Settings!$B$8)),"CHECK split across leave years",IF(OR(NOT(OR('_Dates'!U856="Full day",'_Dates'!U856="AM",'_Dates'!U856="PM")),NOT(OR('_Dates'!V856="Full day",'_Dates'!V856="AM",'_Dates'!V856="PM"))),"CHECK Full day / AM / PM",IF(AND('_Dates'!J856='_Dates'!T856,'_Dates'!U856&lt;&gt;"Full day",'_Dates'!V856&lt;&gt;"Full day",'_Dates'!U856&lt;&gt;'_Dates'!V856),"CHECK same-day portions disagree",IF(AND($B$6=0,OR(AND('_Dates'!U856&lt;&gt;"Full day",'_Dates'!AA856=0),AND('_Dates'!V856&lt;&gt;"Full day",'_Dates'!AB856=0))),"CHECK half-day on non-working date",IF(COUNTIF(Settings!$G$7:$G$11,D856)&lt;&gt;1,"CHECK leave type",IF(AND(Bookings!G856&lt;&gt;"Approved",Bookings!G856&lt;&gt;"Pending",Bookings!G856&lt;&gt;"Cancelled"),"CHECK status","OK")))))))))),"CHECK input"))</ns0:f>
        <ns0:v/>
      </ns0:c>
      <ns0:c r="G856" s="0">
        <ns0:f>IF(OR(F856&lt;&gt;"OK",$B$6&gt;0),0,0.5*(IF(('_Dates'!X856)&lt;('_Dates'!W856),0,INT((('_Dates'!X856)-('_Dates'!W856)+1)/7)*LEN(SUBSTITUTE(W856,"O",""))+LEN(SUBSTITUTE(MID(W856&amp;W856,WEEKDAY(('_Dates'!W856),2),MOD((('_Dates'!X856)-('_Dates'!W856)+1),7)),"O",""))-COUNTIFS(INDEX(AllClosureRows,C856,0),"&gt;="&amp;('_Dates'!W856),INDEX(AllClosureRows,C856,0),"&lt;="&amp;('_Dates'!X856)))+IF(('_Dates'!Z856)&lt;('_Dates'!Y856),0,INT((('_Dates'!Z856)-('_Dates'!Y856)+1)/7)*LEN(SUBSTITUTE(W856,"O",""))+LEN(SUBSTITUTE(MID(W856&amp;W856,WEEKDAY(('_Dates'!Y856),2),MOD((('_Dates'!Z856)-('_Dates'!Y856)+1),7)),"O",""))-COUNTIFS(INDEX(AllClosureRows,C856,0),"&gt;="&amp;('_Dates'!Y856),INDEX(AllClosureRows,C856,0),"&lt;="&amp;('_Dates'!Z856)))))</ns0:f>
        <ns0:v>0</ns0:v>
      </ns0:c>
      <ns0:c r="H856" s="0">
        <ns0:f>IF(OR(F856&lt;&gt;"OK",$B$6&gt;0),0,0.5*(IF((MIN('_Dates'!X856,Settings!$B$9))&lt;('_Dates'!W856),0,INT(((MIN('_Dates'!X856,Settings!$B$9))-('_Dates'!W856)+1)/7)*LEN(SUBSTITUTE(W856,"O",""))+LEN(SUBSTITUTE(MID(W856&amp;W856,WEEKDAY(('_Dates'!W856),2),MOD(((MIN('_Dates'!X856,Settings!$B$9))-('_Dates'!W856)+1),7)),"O",""))-COUNTIFS(INDEX(AllClosureRows,C856,0),"&gt;="&amp;('_Dates'!W856),INDEX(AllClosureRows,C856,0),"&lt;="&amp;(MIN('_Dates'!X856,Settings!$B$9))))+IF((MIN('_Dates'!Z856,Settings!$B$9))&lt;('_Dates'!Y856),0,INT(((MIN('_Dates'!Z856,Settings!$B$9))-('_Dates'!Y856)+1)/7)*LEN(SUBSTITUTE(W856,"O",""))+LEN(SUBSTITUTE(MID(W856&amp;W856,WEEKDAY(('_Dates'!Y856),2),MOD(((MIN('_Dates'!Z856,Settings!$B$9))-('_Dates'!Y856)+1),7)),"O",""))-COUNTIFS(INDEX(AllClosureRows,C856,0),"&gt;="&amp;('_Dates'!Y856),INDEX(AllClosureRows,C856,0),"&lt;="&amp;(MIN('_Dates'!Z856,Settings!$B$9))))))</ns0:f>
        <ns0:v>0</ns0:v>
      </ns0:c>
      <ns0:c r="I856" s="0">
        <ns0:f>MAX(0,G856-H856)</ns0:f>
        <ns0:v>0</ns0:v>
      </ns0:c>
      <ns0:c r="J856" s="0">
        <ns0:f>IF(OR(A856=0,F856&lt;&gt;"OK",Bookings!G856="Cancelled",$B$6&gt;0),0,IF('_Dates'!AC856=1,MAX(0,COUNTIFS(rngEngine_B,B856,rngAMStart,"&lt;="&amp;'_Dates'!X856,rngAMEnd,"&gt;="&amp;'_Dates'!W856,rngAMActive,1,rngEngine_F,"OK",rngBookings_F,"&lt;&gt;Cancelled")-1),0)+IF('_Dates'!AD856=1,MAX(0,COUNTIFS(rngEngine_B,B856,rngPMStart,"&lt;="&amp;'_Dates'!Z856,rngPMEnd,"&gt;="&amp;'_Dates'!Y856,rngPMActive,1,rngEngine_F,"OK",rngBookings_F,"&lt;&gt;Cancelled")-1),0))</ns0:f>
        <ns0:v>0</ns0:v>
      </ns0:c>
      <ns0:c r="K856" s="0" t="str">
        <ns0:f>IF(A856=0,"",IF(F856&lt;&gt;"OK",F856,IF(J856&gt;0,"CHECK overlapping entry",IF(AND($B$6=0,G856&lt;=0,Bookings!G856&lt;&gt;"Cancelled"),"CHECK no working days",IF(Bookings!G856="Cancelled","Cancelled","OK")))))</ns0:f>
        <ns0:v/>
      </ns0:c>
      <ns0:c r="L856" s="0">
        <ns0:f>IF(LEFT(K856,5)="CHECK",1,0)</ns0:f>
        <ns0:v>0</ns0:v>
      </ns0:c>
      <ns0:c r="M856" s="0">
        <ns0:f>IF(AND(L856=1,OR(C856=0,IFERROR(INDEX($X$11:$X$60,C856),0)=0)),1,0)</ns0:f>
        <ns0:v>0</ns0:v>
      </ns0:c>
      <ns0:c r="N856" s="0">
        <ns0:f>IF(OR(A856=0,L856&gt;0,$B$6&gt;0,Bookings!G856="Cancelled"),0,G856)</ns0:f>
        <ns0:v>0</ns0:v>
      </ns0:c>
      <ns0:c r="O856" s="0">
        <ns0:f>IF(AND(Bookings!G856="Approved",E856="Yes"),N856,0)</ns0:f>
        <ns0:v>0</ns0:v>
      </ns0:c>
      <ns0:c r="P856" s="0">
        <ns0:f>IF(AND(Bookings!G856="Approved",E856="Yes",L856=0,$B$6=0),H856,0)</ns0:f>
        <ns0:v>0</ns0:v>
      </ns0:c>
      <ns0:c r="Q856" s="0">
        <ns0:f>IF(AND(Bookings!G856="Approved",E856="Yes",L856=0,$B$6=0),I856,0)</ns0:f>
        <ns0:v>0</ns0:v>
      </ns0:c>
      <ns0:c r="R856" s="0">
        <ns0:f>IF(AND(Bookings!G856="Pending",E856="Yes"),N856,0)</ns0:f>
        <ns0:v>0</ns0:v>
      </ns0:c>
      <ns0:c r="S856" s="0">
        <ns0:f>IF(AND(Bookings!G856="Approved",E856="No"),N856,0)</ns0:f>
        <ns0:v>0</ns0:v>
      </ns0:c>
      <ns0:c r="T856" s="0">
        <ns0:f>IFERROR(MATCH(D856,Settings!$G$7:$G$11,0),0)</ns0:f>
        <ns0:v>0</ns0:v>
      </ns0:c>
      <ns0:c r="U856" s="0">
        <ns0:f>IF(N856&gt;0,T856+IF(Bookings!G856="Pending",10,0),0)</ns0:f>
        <ns0:v>0</ns0:v>
      </ns0:c>
      <ns0:c r="V856" s="0">
        <ns0:f>U856</ns0:f>
        <ns0:v>0</ns0:v>
      </ns0:c>
      <ns0:c r="W856" s="0" t="str">
        <ns0:f>IF(C856=0,"",INDEX($AP$11:$AP$60,C856))</ns0:f>
        <ns0:v/>
      </ns0:c>
    </ns0:row>
    <ns0:row r="857">
      <ns0:c r="A857" s="0">
        <ns0:f>IF(COUNTA(Bookings!A857:G857,Bookings!I857)=0,0,1)</ns0:f>
        <ns0:v>0</ns0:v>
      </ns0:c>
      <ns0:c r="B857" s="0" t="str">
        <ns0:f>IFERROR(TRIM(MID(Bookings!A857,FIND(" · ",Bookings!A857)+3,99)),"")</ns0:f>
        <ns0:v/>
      </ns0:c>
      <ns0:c r="C857" s="0">
        <ns0:f>IF(OR(B857="",LEN(B857)&gt;24,ISNUMBER(FIND(" ",B857)),ISNUMBER(FIND("*",B857)),ISNUMBER(FIND("?",B857)),ISNUMBER(FIND("~",B857))),0,IFERROR(MATCH(B857,Team!$A$11:$A$60,0),0))</ns0:f>
        <ns0:v>0</ns0:v>
      </ns0:c>
      <ns0:c r="D857" s="0" t="str">
        <ns0:f>IFERROR(IF(MID(Bookings!F857,LEN(Bookings!F857)-3,3)=" · ",RIGHT(Bookings!F857,1),""),"")</ns0:f>
        <ns0:v/>
      </ns0:c>
      <ns0:c r="E857" s="0" t="str">
        <ns0:f>IFERROR(INDEX(Settings!$H$7:$H$11,MATCH(D857,Settings!$G$7:$G$11,0)),"")</ns0:f>
        <ns0:v/>
      </ns0:c>
      <ns0:c r="F857" s="0" t="str">
        <ns0:f>IF(A857=0,"",IFERROR(IF(OR(B857="",C857=0),"CHECK employee selection",IF(INDEX(Team!$O$11:$O$60,C857)&lt;&gt;"OK","CHECK employee setup",IF(OR('_Dates'!J857=0,'_Dates'!T857=0),"CHECK date: use DD.MM.YYYY",IF('_Dates'!T857&lt;'_Dates'!J857,"CHECK end before start",IF(AND($B$6=0,OR('_Dates'!J857&lt;Settings!$B$7,'_Dates'!T857&gt;Settings!$B$8)),"CHECK split across leave years",IF(OR(NOT(OR('_Dates'!U857="Full day",'_Dates'!U857="AM",'_Dates'!U857="PM")),NOT(OR('_Dates'!V857="Full day",'_Dates'!V857="AM",'_Dates'!V857="PM"))),"CHECK Full day / AM / PM",IF(AND('_Dates'!J857='_Dates'!T857,'_Dates'!U857&lt;&gt;"Full day",'_Dates'!V857&lt;&gt;"Full day",'_Dates'!U857&lt;&gt;'_Dates'!V857),"CHECK same-day portions disagree",IF(AND($B$6=0,OR(AND('_Dates'!U857&lt;&gt;"Full day",'_Dates'!AA857=0),AND('_Dates'!V857&lt;&gt;"Full day",'_Dates'!AB857=0))),"CHECK half-day on non-working date",IF(COUNTIF(Settings!$G$7:$G$11,D857)&lt;&gt;1,"CHECK leave type",IF(AND(Bookings!G857&lt;&gt;"Approved",Bookings!G857&lt;&gt;"Pending",Bookings!G857&lt;&gt;"Cancelled"),"CHECK status","OK")))))))))),"CHECK input"))</ns0:f>
        <ns0:v/>
      </ns0:c>
      <ns0:c r="G857" s="0">
        <ns0:f>IF(OR(F857&lt;&gt;"OK",$B$6&gt;0),0,0.5*(IF(('_Dates'!X857)&lt;('_Dates'!W857),0,INT((('_Dates'!X857)-('_Dates'!W857)+1)/7)*LEN(SUBSTITUTE(W857,"O",""))+LEN(SUBSTITUTE(MID(W857&amp;W857,WEEKDAY(('_Dates'!W857),2),MOD((('_Dates'!X857)-('_Dates'!W857)+1),7)),"O",""))-COUNTIFS(INDEX(AllClosureRows,C857,0),"&gt;="&amp;('_Dates'!W857),INDEX(AllClosureRows,C857,0),"&lt;="&amp;('_Dates'!X857)))+IF(('_Dates'!Z857)&lt;('_Dates'!Y857),0,INT((('_Dates'!Z857)-('_Dates'!Y857)+1)/7)*LEN(SUBSTITUTE(W857,"O",""))+LEN(SUBSTITUTE(MID(W857&amp;W857,WEEKDAY(('_Dates'!Y857),2),MOD((('_Dates'!Z857)-('_Dates'!Y857)+1),7)),"O",""))-COUNTIFS(INDEX(AllClosureRows,C857,0),"&gt;="&amp;('_Dates'!Y857),INDEX(AllClosureRows,C857,0),"&lt;="&amp;('_Dates'!Z857)))))</ns0:f>
        <ns0:v>0</ns0:v>
      </ns0:c>
      <ns0:c r="H857" s="0">
        <ns0:f>IF(OR(F857&lt;&gt;"OK",$B$6&gt;0),0,0.5*(IF((MIN('_Dates'!X857,Settings!$B$9))&lt;('_Dates'!W857),0,INT(((MIN('_Dates'!X857,Settings!$B$9))-('_Dates'!W857)+1)/7)*LEN(SUBSTITUTE(W857,"O",""))+LEN(SUBSTITUTE(MID(W857&amp;W857,WEEKDAY(('_Dates'!W857),2),MOD(((MIN('_Dates'!X857,Settings!$B$9))-('_Dates'!W857)+1),7)),"O",""))-COUNTIFS(INDEX(AllClosureRows,C857,0),"&gt;="&amp;('_Dates'!W857),INDEX(AllClosureRows,C857,0),"&lt;="&amp;(MIN('_Dates'!X857,Settings!$B$9))))+IF((MIN('_Dates'!Z857,Settings!$B$9))&lt;('_Dates'!Y857),0,INT(((MIN('_Dates'!Z857,Settings!$B$9))-('_Dates'!Y857)+1)/7)*LEN(SUBSTITUTE(W857,"O",""))+LEN(SUBSTITUTE(MID(W857&amp;W857,WEEKDAY(('_Dates'!Y857),2),MOD(((MIN('_Dates'!Z857,Settings!$B$9))-('_Dates'!Y857)+1),7)),"O",""))-COUNTIFS(INDEX(AllClosureRows,C857,0),"&gt;="&amp;('_Dates'!Y857),INDEX(AllClosureRows,C857,0),"&lt;="&amp;(MIN('_Dates'!Z857,Settings!$B$9))))))</ns0:f>
        <ns0:v>0</ns0:v>
      </ns0:c>
      <ns0:c r="I857" s="0">
        <ns0:f>MAX(0,G857-H857)</ns0:f>
        <ns0:v>0</ns0:v>
      </ns0:c>
      <ns0:c r="J857" s="0">
        <ns0:f>IF(OR(A857=0,F857&lt;&gt;"OK",Bookings!G857="Cancelled",$B$6&gt;0),0,IF('_Dates'!AC857=1,MAX(0,COUNTIFS(rngEngine_B,B857,rngAMStart,"&lt;="&amp;'_Dates'!X857,rngAMEnd,"&gt;="&amp;'_Dates'!W857,rngAMActive,1,rngEngine_F,"OK",rngBookings_F,"&lt;&gt;Cancelled")-1),0)+IF('_Dates'!AD857=1,MAX(0,COUNTIFS(rngEngine_B,B857,rngPMStart,"&lt;="&amp;'_Dates'!Z857,rngPMEnd,"&gt;="&amp;'_Dates'!Y857,rngPMActive,1,rngEngine_F,"OK",rngBookings_F,"&lt;&gt;Cancelled")-1),0))</ns0:f>
        <ns0:v>0</ns0:v>
      </ns0:c>
      <ns0:c r="K857" s="0" t="str">
        <ns0:f>IF(A857=0,"",IF(F857&lt;&gt;"OK",F857,IF(J857&gt;0,"CHECK overlapping entry",IF(AND($B$6=0,G857&lt;=0,Bookings!G857&lt;&gt;"Cancelled"),"CHECK no working days",IF(Bookings!G857="Cancelled","Cancelled","OK")))))</ns0:f>
        <ns0:v/>
      </ns0:c>
      <ns0:c r="L857" s="0">
        <ns0:f>IF(LEFT(K857,5)="CHECK",1,0)</ns0:f>
        <ns0:v>0</ns0:v>
      </ns0:c>
      <ns0:c r="M857" s="0">
        <ns0:f>IF(AND(L857=1,OR(C857=0,IFERROR(INDEX($X$11:$X$60,C857),0)=0)),1,0)</ns0:f>
        <ns0:v>0</ns0:v>
      </ns0:c>
      <ns0:c r="N857" s="0">
        <ns0:f>IF(OR(A857=0,L857&gt;0,$B$6&gt;0,Bookings!G857="Cancelled"),0,G857)</ns0:f>
        <ns0:v>0</ns0:v>
      </ns0:c>
      <ns0:c r="O857" s="0">
        <ns0:f>IF(AND(Bookings!G857="Approved",E857="Yes"),N857,0)</ns0:f>
        <ns0:v>0</ns0:v>
      </ns0:c>
      <ns0:c r="P857" s="0">
        <ns0:f>IF(AND(Bookings!G857="Approved",E857="Yes",L857=0,$B$6=0),H857,0)</ns0:f>
        <ns0:v>0</ns0:v>
      </ns0:c>
      <ns0:c r="Q857" s="0">
        <ns0:f>IF(AND(Bookings!G857="Approved",E857="Yes",L857=0,$B$6=0),I857,0)</ns0:f>
        <ns0:v>0</ns0:v>
      </ns0:c>
      <ns0:c r="R857" s="0">
        <ns0:f>IF(AND(Bookings!G857="Pending",E857="Yes"),N857,0)</ns0:f>
        <ns0:v>0</ns0:v>
      </ns0:c>
      <ns0:c r="S857" s="0">
        <ns0:f>IF(AND(Bookings!G857="Approved",E857="No"),N857,0)</ns0:f>
        <ns0:v>0</ns0:v>
      </ns0:c>
      <ns0:c r="T857" s="0">
        <ns0:f>IFERROR(MATCH(D857,Settings!$G$7:$G$11,0),0)</ns0:f>
        <ns0:v>0</ns0:v>
      </ns0:c>
      <ns0:c r="U857" s="0">
        <ns0:f>IF(N857&gt;0,T857+IF(Bookings!G857="Pending",10,0),0)</ns0:f>
        <ns0:v>0</ns0:v>
      </ns0:c>
      <ns0:c r="V857" s="0">
        <ns0:f>U857</ns0:f>
        <ns0:v>0</ns0:v>
      </ns0:c>
      <ns0:c r="W857" s="0" t="str">
        <ns0:f>IF(C857=0,"",INDEX($AP$11:$AP$60,C857))</ns0:f>
        <ns0:v/>
      </ns0:c>
    </ns0:row>
    <ns0:row r="858">
      <ns0:c r="A858" s="0">
        <ns0:f>IF(COUNTA(Bookings!A858:G858,Bookings!I858)=0,0,1)</ns0:f>
        <ns0:v>0</ns0:v>
      </ns0:c>
      <ns0:c r="B858" s="0" t="str">
        <ns0:f>IFERROR(TRIM(MID(Bookings!A858,FIND(" · ",Bookings!A858)+3,99)),"")</ns0:f>
        <ns0:v/>
      </ns0:c>
      <ns0:c r="C858" s="0">
        <ns0:f>IF(OR(B858="",LEN(B858)&gt;24,ISNUMBER(FIND(" ",B858)),ISNUMBER(FIND("*",B858)),ISNUMBER(FIND("?",B858)),ISNUMBER(FIND("~",B858))),0,IFERROR(MATCH(B858,Team!$A$11:$A$60,0),0))</ns0:f>
        <ns0:v>0</ns0:v>
      </ns0:c>
      <ns0:c r="D858" s="0" t="str">
        <ns0:f>IFERROR(IF(MID(Bookings!F858,LEN(Bookings!F858)-3,3)=" · ",RIGHT(Bookings!F858,1),""),"")</ns0:f>
        <ns0:v/>
      </ns0:c>
      <ns0:c r="E858" s="0" t="str">
        <ns0:f>IFERROR(INDEX(Settings!$H$7:$H$11,MATCH(D858,Settings!$G$7:$G$11,0)),"")</ns0:f>
        <ns0:v/>
      </ns0:c>
      <ns0:c r="F858" s="0" t="str">
        <ns0:f>IF(A858=0,"",IFERROR(IF(OR(B858="",C858=0),"CHECK employee selection",IF(INDEX(Team!$O$11:$O$60,C858)&lt;&gt;"OK","CHECK employee setup",IF(OR('_Dates'!J858=0,'_Dates'!T858=0),"CHECK date: use DD.MM.YYYY",IF('_Dates'!T858&lt;'_Dates'!J858,"CHECK end before start",IF(AND($B$6=0,OR('_Dates'!J858&lt;Settings!$B$7,'_Dates'!T858&gt;Settings!$B$8)),"CHECK split across leave years",IF(OR(NOT(OR('_Dates'!U858="Full day",'_Dates'!U858="AM",'_Dates'!U858="PM")),NOT(OR('_Dates'!V858="Full day",'_Dates'!V858="AM",'_Dates'!V858="PM"))),"CHECK Full day / AM / PM",IF(AND('_Dates'!J858='_Dates'!T858,'_Dates'!U858&lt;&gt;"Full day",'_Dates'!V858&lt;&gt;"Full day",'_Dates'!U858&lt;&gt;'_Dates'!V858),"CHECK same-day portions disagree",IF(AND($B$6=0,OR(AND('_Dates'!U858&lt;&gt;"Full day",'_Dates'!AA858=0),AND('_Dates'!V858&lt;&gt;"Full day",'_Dates'!AB858=0))),"CHECK half-day on non-working date",IF(COUNTIF(Settings!$G$7:$G$11,D858)&lt;&gt;1,"CHECK leave type",IF(AND(Bookings!G858&lt;&gt;"Approved",Bookings!G858&lt;&gt;"Pending",Bookings!G858&lt;&gt;"Cancelled"),"CHECK status","OK")))))))))),"CHECK input"))</ns0:f>
        <ns0:v/>
      </ns0:c>
      <ns0:c r="G858" s="0">
        <ns0:f>IF(OR(F858&lt;&gt;"OK",$B$6&gt;0),0,0.5*(IF(('_Dates'!X858)&lt;('_Dates'!W858),0,INT((('_Dates'!X858)-('_Dates'!W858)+1)/7)*LEN(SUBSTITUTE(W858,"O",""))+LEN(SUBSTITUTE(MID(W858&amp;W858,WEEKDAY(('_Dates'!W858),2),MOD((('_Dates'!X858)-('_Dates'!W858)+1),7)),"O",""))-COUNTIFS(INDEX(AllClosureRows,C858,0),"&gt;="&amp;('_Dates'!W858),INDEX(AllClosureRows,C858,0),"&lt;="&amp;('_Dates'!X858)))+IF(('_Dates'!Z858)&lt;('_Dates'!Y858),0,INT((('_Dates'!Z858)-('_Dates'!Y858)+1)/7)*LEN(SUBSTITUTE(W858,"O",""))+LEN(SUBSTITUTE(MID(W858&amp;W858,WEEKDAY(('_Dates'!Y858),2),MOD((('_Dates'!Z858)-('_Dates'!Y858)+1),7)),"O",""))-COUNTIFS(INDEX(AllClosureRows,C858,0),"&gt;="&amp;('_Dates'!Y858),INDEX(AllClosureRows,C858,0),"&lt;="&amp;('_Dates'!Z858)))))</ns0:f>
        <ns0:v>0</ns0:v>
      </ns0:c>
      <ns0:c r="H858" s="0">
        <ns0:f>IF(OR(F858&lt;&gt;"OK",$B$6&gt;0),0,0.5*(IF((MIN('_Dates'!X858,Settings!$B$9))&lt;('_Dates'!W858),0,INT(((MIN('_Dates'!X858,Settings!$B$9))-('_Dates'!W858)+1)/7)*LEN(SUBSTITUTE(W858,"O",""))+LEN(SUBSTITUTE(MID(W858&amp;W858,WEEKDAY(('_Dates'!W858),2),MOD(((MIN('_Dates'!X858,Settings!$B$9))-('_Dates'!W858)+1),7)),"O",""))-COUNTIFS(INDEX(AllClosureRows,C858,0),"&gt;="&amp;('_Dates'!W858),INDEX(AllClosureRows,C858,0),"&lt;="&amp;(MIN('_Dates'!X858,Settings!$B$9))))+IF((MIN('_Dates'!Z858,Settings!$B$9))&lt;('_Dates'!Y858),0,INT(((MIN('_Dates'!Z858,Settings!$B$9))-('_Dates'!Y858)+1)/7)*LEN(SUBSTITUTE(W858,"O",""))+LEN(SUBSTITUTE(MID(W858&amp;W858,WEEKDAY(('_Dates'!Y858),2),MOD(((MIN('_Dates'!Z858,Settings!$B$9))-('_Dates'!Y858)+1),7)),"O",""))-COUNTIFS(INDEX(AllClosureRows,C858,0),"&gt;="&amp;('_Dates'!Y858),INDEX(AllClosureRows,C858,0),"&lt;="&amp;(MIN('_Dates'!Z858,Settings!$B$9))))))</ns0:f>
        <ns0:v>0</ns0:v>
      </ns0:c>
      <ns0:c r="I858" s="0">
        <ns0:f>MAX(0,G858-H858)</ns0:f>
        <ns0:v>0</ns0:v>
      </ns0:c>
      <ns0:c r="J858" s="0">
        <ns0:f>IF(OR(A858=0,F858&lt;&gt;"OK",Bookings!G858="Cancelled",$B$6&gt;0),0,IF('_Dates'!AC858=1,MAX(0,COUNTIFS(rngEngine_B,B858,rngAMStart,"&lt;="&amp;'_Dates'!X858,rngAMEnd,"&gt;="&amp;'_Dates'!W858,rngAMActive,1,rngEngine_F,"OK",rngBookings_F,"&lt;&gt;Cancelled")-1),0)+IF('_Dates'!AD858=1,MAX(0,COUNTIFS(rngEngine_B,B858,rngPMStart,"&lt;="&amp;'_Dates'!Z858,rngPMEnd,"&gt;="&amp;'_Dates'!Y858,rngPMActive,1,rngEngine_F,"OK",rngBookings_F,"&lt;&gt;Cancelled")-1),0))</ns0:f>
        <ns0:v>0</ns0:v>
      </ns0:c>
      <ns0:c r="K858" s="0" t="str">
        <ns0:f>IF(A858=0,"",IF(F858&lt;&gt;"OK",F858,IF(J858&gt;0,"CHECK overlapping entry",IF(AND($B$6=0,G858&lt;=0,Bookings!G858&lt;&gt;"Cancelled"),"CHECK no working days",IF(Bookings!G858="Cancelled","Cancelled","OK")))))</ns0:f>
        <ns0:v/>
      </ns0:c>
      <ns0:c r="L858" s="0">
        <ns0:f>IF(LEFT(K858,5)="CHECK",1,0)</ns0:f>
        <ns0:v>0</ns0:v>
      </ns0:c>
      <ns0:c r="M858" s="0">
        <ns0:f>IF(AND(L858=1,OR(C858=0,IFERROR(INDEX($X$11:$X$60,C858),0)=0)),1,0)</ns0:f>
        <ns0:v>0</ns0:v>
      </ns0:c>
      <ns0:c r="N858" s="0">
        <ns0:f>IF(OR(A858=0,L858&gt;0,$B$6&gt;0,Bookings!G858="Cancelled"),0,G858)</ns0:f>
        <ns0:v>0</ns0:v>
      </ns0:c>
      <ns0:c r="O858" s="0">
        <ns0:f>IF(AND(Bookings!G858="Approved",E858="Yes"),N858,0)</ns0:f>
        <ns0:v>0</ns0:v>
      </ns0:c>
      <ns0:c r="P858" s="0">
        <ns0:f>IF(AND(Bookings!G858="Approved",E858="Yes",L858=0,$B$6=0),H858,0)</ns0:f>
        <ns0:v>0</ns0:v>
      </ns0:c>
      <ns0:c r="Q858" s="0">
        <ns0:f>IF(AND(Bookings!G858="Approved",E858="Yes",L858=0,$B$6=0),I858,0)</ns0:f>
        <ns0:v>0</ns0:v>
      </ns0:c>
      <ns0:c r="R858" s="0">
        <ns0:f>IF(AND(Bookings!G858="Pending",E858="Yes"),N858,0)</ns0:f>
        <ns0:v>0</ns0:v>
      </ns0:c>
      <ns0:c r="S858" s="0">
        <ns0:f>IF(AND(Bookings!G858="Approved",E858="No"),N858,0)</ns0:f>
        <ns0:v>0</ns0:v>
      </ns0:c>
      <ns0:c r="T858" s="0">
        <ns0:f>IFERROR(MATCH(D858,Settings!$G$7:$G$11,0),0)</ns0:f>
        <ns0:v>0</ns0:v>
      </ns0:c>
      <ns0:c r="U858" s="0">
        <ns0:f>IF(N858&gt;0,T858+IF(Bookings!G858="Pending",10,0),0)</ns0:f>
        <ns0:v>0</ns0:v>
      </ns0:c>
      <ns0:c r="V858" s="0">
        <ns0:f>U858</ns0:f>
        <ns0:v>0</ns0:v>
      </ns0:c>
      <ns0:c r="W858" s="0" t="str">
        <ns0:f>IF(C858=0,"",INDEX($AP$11:$AP$60,C858))</ns0:f>
        <ns0:v/>
      </ns0:c>
    </ns0:row>
    <ns0:row r="859">
      <ns0:c r="A859" s="0">
        <ns0:f>IF(COUNTA(Bookings!A859:G859,Bookings!I859)=0,0,1)</ns0:f>
        <ns0:v>0</ns0:v>
      </ns0:c>
      <ns0:c r="B859" s="0" t="str">
        <ns0:f>IFERROR(TRIM(MID(Bookings!A859,FIND(" · ",Bookings!A859)+3,99)),"")</ns0:f>
        <ns0:v/>
      </ns0:c>
      <ns0:c r="C859" s="0">
        <ns0:f>IF(OR(B859="",LEN(B859)&gt;24,ISNUMBER(FIND(" ",B859)),ISNUMBER(FIND("*",B859)),ISNUMBER(FIND("?",B859)),ISNUMBER(FIND("~",B859))),0,IFERROR(MATCH(B859,Team!$A$11:$A$60,0),0))</ns0:f>
        <ns0:v>0</ns0:v>
      </ns0:c>
      <ns0:c r="D859" s="0" t="str">
        <ns0:f>IFERROR(IF(MID(Bookings!F859,LEN(Bookings!F859)-3,3)=" · ",RIGHT(Bookings!F859,1),""),"")</ns0:f>
        <ns0:v/>
      </ns0:c>
      <ns0:c r="E859" s="0" t="str">
        <ns0:f>IFERROR(INDEX(Settings!$H$7:$H$11,MATCH(D859,Settings!$G$7:$G$11,0)),"")</ns0:f>
        <ns0:v/>
      </ns0:c>
      <ns0:c r="F859" s="0" t="str">
        <ns0:f>IF(A859=0,"",IFERROR(IF(OR(B859="",C859=0),"CHECK employee selection",IF(INDEX(Team!$O$11:$O$60,C859)&lt;&gt;"OK","CHECK employee setup",IF(OR('_Dates'!J859=0,'_Dates'!T859=0),"CHECK date: use DD.MM.YYYY",IF('_Dates'!T859&lt;'_Dates'!J859,"CHECK end before start",IF(AND($B$6=0,OR('_Dates'!J859&lt;Settings!$B$7,'_Dates'!T859&gt;Settings!$B$8)),"CHECK split across leave years",IF(OR(NOT(OR('_Dates'!U859="Full day",'_Dates'!U859="AM",'_Dates'!U859="PM")),NOT(OR('_Dates'!V859="Full day",'_Dates'!V859="AM",'_Dates'!V859="PM"))),"CHECK Full day / AM / PM",IF(AND('_Dates'!J859='_Dates'!T859,'_Dates'!U859&lt;&gt;"Full day",'_Dates'!V859&lt;&gt;"Full day",'_Dates'!U859&lt;&gt;'_Dates'!V859),"CHECK same-day portions disagree",IF(AND($B$6=0,OR(AND('_Dates'!U859&lt;&gt;"Full day",'_Dates'!AA859=0),AND('_Dates'!V859&lt;&gt;"Full day",'_Dates'!AB859=0))),"CHECK half-day on non-working date",IF(COUNTIF(Settings!$G$7:$G$11,D859)&lt;&gt;1,"CHECK leave type",IF(AND(Bookings!G859&lt;&gt;"Approved",Bookings!G859&lt;&gt;"Pending",Bookings!G859&lt;&gt;"Cancelled"),"CHECK status","OK")))))))))),"CHECK input"))</ns0:f>
        <ns0:v/>
      </ns0:c>
      <ns0:c r="G859" s="0">
        <ns0:f>IF(OR(F859&lt;&gt;"OK",$B$6&gt;0),0,0.5*(IF(('_Dates'!X859)&lt;('_Dates'!W859),0,INT((('_Dates'!X859)-('_Dates'!W859)+1)/7)*LEN(SUBSTITUTE(W859,"O",""))+LEN(SUBSTITUTE(MID(W859&amp;W859,WEEKDAY(('_Dates'!W859),2),MOD((('_Dates'!X859)-('_Dates'!W859)+1),7)),"O",""))-COUNTIFS(INDEX(AllClosureRows,C859,0),"&gt;="&amp;('_Dates'!W859),INDEX(AllClosureRows,C859,0),"&lt;="&amp;('_Dates'!X859)))+IF(('_Dates'!Z859)&lt;('_Dates'!Y859),0,INT((('_Dates'!Z859)-('_Dates'!Y859)+1)/7)*LEN(SUBSTITUTE(W859,"O",""))+LEN(SUBSTITUTE(MID(W859&amp;W859,WEEKDAY(('_Dates'!Y859),2),MOD((('_Dates'!Z859)-('_Dates'!Y859)+1),7)),"O",""))-COUNTIFS(INDEX(AllClosureRows,C859,0),"&gt;="&amp;('_Dates'!Y859),INDEX(AllClosureRows,C859,0),"&lt;="&amp;('_Dates'!Z859)))))</ns0:f>
        <ns0:v>0</ns0:v>
      </ns0:c>
      <ns0:c r="H859" s="0">
        <ns0:f>IF(OR(F859&lt;&gt;"OK",$B$6&gt;0),0,0.5*(IF((MIN('_Dates'!X859,Settings!$B$9))&lt;('_Dates'!W859),0,INT(((MIN('_Dates'!X859,Settings!$B$9))-('_Dates'!W859)+1)/7)*LEN(SUBSTITUTE(W859,"O",""))+LEN(SUBSTITUTE(MID(W859&amp;W859,WEEKDAY(('_Dates'!W859),2),MOD(((MIN('_Dates'!X859,Settings!$B$9))-('_Dates'!W859)+1),7)),"O",""))-COUNTIFS(INDEX(AllClosureRows,C859,0),"&gt;="&amp;('_Dates'!W859),INDEX(AllClosureRows,C859,0),"&lt;="&amp;(MIN('_Dates'!X859,Settings!$B$9))))+IF((MIN('_Dates'!Z859,Settings!$B$9))&lt;('_Dates'!Y859),0,INT(((MIN('_Dates'!Z859,Settings!$B$9))-('_Dates'!Y859)+1)/7)*LEN(SUBSTITUTE(W859,"O",""))+LEN(SUBSTITUTE(MID(W859&amp;W859,WEEKDAY(('_Dates'!Y859),2),MOD(((MIN('_Dates'!Z859,Settings!$B$9))-('_Dates'!Y859)+1),7)),"O",""))-COUNTIFS(INDEX(AllClosureRows,C859,0),"&gt;="&amp;('_Dates'!Y859),INDEX(AllClosureRows,C859,0),"&lt;="&amp;(MIN('_Dates'!Z859,Settings!$B$9))))))</ns0:f>
        <ns0:v>0</ns0:v>
      </ns0:c>
      <ns0:c r="I859" s="0">
        <ns0:f>MAX(0,G859-H859)</ns0:f>
        <ns0:v>0</ns0:v>
      </ns0:c>
      <ns0:c r="J859" s="0">
        <ns0:f>IF(OR(A859=0,F859&lt;&gt;"OK",Bookings!G859="Cancelled",$B$6&gt;0),0,IF('_Dates'!AC859=1,MAX(0,COUNTIFS(rngEngine_B,B859,rngAMStart,"&lt;="&amp;'_Dates'!X859,rngAMEnd,"&gt;="&amp;'_Dates'!W859,rngAMActive,1,rngEngine_F,"OK",rngBookings_F,"&lt;&gt;Cancelled")-1),0)+IF('_Dates'!AD859=1,MAX(0,COUNTIFS(rngEngine_B,B859,rngPMStart,"&lt;="&amp;'_Dates'!Z859,rngPMEnd,"&gt;="&amp;'_Dates'!Y859,rngPMActive,1,rngEngine_F,"OK",rngBookings_F,"&lt;&gt;Cancelled")-1),0))</ns0:f>
        <ns0:v>0</ns0:v>
      </ns0:c>
      <ns0:c r="K859" s="0" t="str">
        <ns0:f>IF(A859=0,"",IF(F859&lt;&gt;"OK",F859,IF(J859&gt;0,"CHECK overlapping entry",IF(AND($B$6=0,G859&lt;=0,Bookings!G859&lt;&gt;"Cancelled"),"CHECK no working days",IF(Bookings!G859="Cancelled","Cancelled","OK")))))</ns0:f>
        <ns0:v/>
      </ns0:c>
      <ns0:c r="L859" s="0">
        <ns0:f>IF(LEFT(K859,5)="CHECK",1,0)</ns0:f>
        <ns0:v>0</ns0:v>
      </ns0:c>
      <ns0:c r="M859" s="0">
        <ns0:f>IF(AND(L859=1,OR(C859=0,IFERROR(INDEX($X$11:$X$60,C859),0)=0)),1,0)</ns0:f>
        <ns0:v>0</ns0:v>
      </ns0:c>
      <ns0:c r="N859" s="0">
        <ns0:f>IF(OR(A859=0,L859&gt;0,$B$6&gt;0,Bookings!G859="Cancelled"),0,G859)</ns0:f>
        <ns0:v>0</ns0:v>
      </ns0:c>
      <ns0:c r="O859" s="0">
        <ns0:f>IF(AND(Bookings!G859="Approved",E859="Yes"),N859,0)</ns0:f>
        <ns0:v>0</ns0:v>
      </ns0:c>
      <ns0:c r="P859" s="0">
        <ns0:f>IF(AND(Bookings!G859="Approved",E859="Yes",L859=0,$B$6=0),H859,0)</ns0:f>
        <ns0:v>0</ns0:v>
      </ns0:c>
      <ns0:c r="Q859" s="0">
        <ns0:f>IF(AND(Bookings!G859="Approved",E859="Yes",L859=0,$B$6=0),I859,0)</ns0:f>
        <ns0:v>0</ns0:v>
      </ns0:c>
      <ns0:c r="R859" s="0">
        <ns0:f>IF(AND(Bookings!G859="Pending",E859="Yes"),N859,0)</ns0:f>
        <ns0:v>0</ns0:v>
      </ns0:c>
      <ns0:c r="S859" s="0">
        <ns0:f>IF(AND(Bookings!G859="Approved",E859="No"),N859,0)</ns0:f>
        <ns0:v>0</ns0:v>
      </ns0:c>
      <ns0:c r="T859" s="0">
        <ns0:f>IFERROR(MATCH(D859,Settings!$G$7:$G$11,0),0)</ns0:f>
        <ns0:v>0</ns0:v>
      </ns0:c>
      <ns0:c r="U859" s="0">
        <ns0:f>IF(N859&gt;0,T859+IF(Bookings!G859="Pending",10,0),0)</ns0:f>
        <ns0:v>0</ns0:v>
      </ns0:c>
      <ns0:c r="V859" s="0">
        <ns0:f>U859</ns0:f>
        <ns0:v>0</ns0:v>
      </ns0:c>
      <ns0:c r="W859" s="0" t="str">
        <ns0:f>IF(C859=0,"",INDEX($AP$11:$AP$60,C859))</ns0:f>
        <ns0:v/>
      </ns0:c>
    </ns0:row>
    <ns0:row r="860">
      <ns0:c r="A860" s="0">
        <ns0:f>IF(COUNTA(Bookings!A860:G860,Bookings!I860)=0,0,1)</ns0:f>
        <ns0:v>0</ns0:v>
      </ns0:c>
      <ns0:c r="B860" s="0" t="str">
        <ns0:f>IFERROR(TRIM(MID(Bookings!A860,FIND(" · ",Bookings!A860)+3,99)),"")</ns0:f>
        <ns0:v/>
      </ns0:c>
      <ns0:c r="C860" s="0">
        <ns0:f>IF(OR(B860="",LEN(B860)&gt;24,ISNUMBER(FIND(" ",B860)),ISNUMBER(FIND("*",B860)),ISNUMBER(FIND("?",B860)),ISNUMBER(FIND("~",B860))),0,IFERROR(MATCH(B860,Team!$A$11:$A$60,0),0))</ns0:f>
        <ns0:v>0</ns0:v>
      </ns0:c>
      <ns0:c r="D860" s="0" t="str">
        <ns0:f>IFERROR(IF(MID(Bookings!F860,LEN(Bookings!F860)-3,3)=" · ",RIGHT(Bookings!F860,1),""),"")</ns0:f>
        <ns0:v/>
      </ns0:c>
      <ns0:c r="E860" s="0" t="str">
        <ns0:f>IFERROR(INDEX(Settings!$H$7:$H$11,MATCH(D860,Settings!$G$7:$G$11,0)),"")</ns0:f>
        <ns0:v/>
      </ns0:c>
      <ns0:c r="F860" s="0" t="str">
        <ns0:f>IF(A860=0,"",IFERROR(IF(OR(B860="",C860=0),"CHECK employee selection",IF(INDEX(Team!$O$11:$O$60,C860)&lt;&gt;"OK","CHECK employee setup",IF(OR('_Dates'!J860=0,'_Dates'!T860=0),"CHECK date: use DD.MM.YYYY",IF('_Dates'!T860&lt;'_Dates'!J860,"CHECK end before start",IF(AND($B$6=0,OR('_Dates'!J860&lt;Settings!$B$7,'_Dates'!T860&gt;Settings!$B$8)),"CHECK split across leave years",IF(OR(NOT(OR('_Dates'!U860="Full day",'_Dates'!U860="AM",'_Dates'!U860="PM")),NOT(OR('_Dates'!V860="Full day",'_Dates'!V860="AM",'_Dates'!V860="PM"))),"CHECK Full day / AM / PM",IF(AND('_Dates'!J860='_Dates'!T860,'_Dates'!U860&lt;&gt;"Full day",'_Dates'!V860&lt;&gt;"Full day",'_Dates'!U860&lt;&gt;'_Dates'!V860),"CHECK same-day portions disagree",IF(AND($B$6=0,OR(AND('_Dates'!U860&lt;&gt;"Full day",'_Dates'!AA860=0),AND('_Dates'!V860&lt;&gt;"Full day",'_Dates'!AB860=0))),"CHECK half-day on non-working date",IF(COUNTIF(Settings!$G$7:$G$11,D860)&lt;&gt;1,"CHECK leave type",IF(AND(Bookings!G860&lt;&gt;"Approved",Bookings!G860&lt;&gt;"Pending",Bookings!G860&lt;&gt;"Cancelled"),"CHECK status","OK")))))))))),"CHECK input"))</ns0:f>
        <ns0:v/>
      </ns0:c>
      <ns0:c r="G860" s="0">
        <ns0:f>IF(OR(F860&lt;&gt;"OK",$B$6&gt;0),0,0.5*(IF(('_Dates'!X860)&lt;('_Dates'!W860),0,INT((('_Dates'!X860)-('_Dates'!W860)+1)/7)*LEN(SUBSTITUTE(W860,"O",""))+LEN(SUBSTITUTE(MID(W860&amp;W860,WEEKDAY(('_Dates'!W860),2),MOD((('_Dates'!X860)-('_Dates'!W860)+1),7)),"O",""))-COUNTIFS(INDEX(AllClosureRows,C860,0),"&gt;="&amp;('_Dates'!W860),INDEX(AllClosureRows,C860,0),"&lt;="&amp;('_Dates'!X860)))+IF(('_Dates'!Z860)&lt;('_Dates'!Y860),0,INT((('_Dates'!Z860)-('_Dates'!Y860)+1)/7)*LEN(SUBSTITUTE(W860,"O",""))+LEN(SUBSTITUTE(MID(W860&amp;W860,WEEKDAY(('_Dates'!Y860),2),MOD((('_Dates'!Z860)-('_Dates'!Y860)+1),7)),"O",""))-COUNTIFS(INDEX(AllClosureRows,C860,0),"&gt;="&amp;('_Dates'!Y860),INDEX(AllClosureRows,C860,0),"&lt;="&amp;('_Dates'!Z860)))))</ns0:f>
        <ns0:v>0</ns0:v>
      </ns0:c>
      <ns0:c r="H860" s="0">
        <ns0:f>IF(OR(F860&lt;&gt;"OK",$B$6&gt;0),0,0.5*(IF((MIN('_Dates'!X860,Settings!$B$9))&lt;('_Dates'!W860),0,INT(((MIN('_Dates'!X860,Settings!$B$9))-('_Dates'!W860)+1)/7)*LEN(SUBSTITUTE(W860,"O",""))+LEN(SUBSTITUTE(MID(W860&amp;W860,WEEKDAY(('_Dates'!W860),2),MOD(((MIN('_Dates'!X860,Settings!$B$9))-('_Dates'!W860)+1),7)),"O",""))-COUNTIFS(INDEX(AllClosureRows,C860,0),"&gt;="&amp;('_Dates'!W860),INDEX(AllClosureRows,C860,0),"&lt;="&amp;(MIN('_Dates'!X860,Settings!$B$9))))+IF((MIN('_Dates'!Z860,Settings!$B$9))&lt;('_Dates'!Y860),0,INT(((MIN('_Dates'!Z860,Settings!$B$9))-('_Dates'!Y860)+1)/7)*LEN(SUBSTITUTE(W860,"O",""))+LEN(SUBSTITUTE(MID(W860&amp;W860,WEEKDAY(('_Dates'!Y860),2),MOD(((MIN('_Dates'!Z860,Settings!$B$9))-('_Dates'!Y860)+1),7)),"O",""))-COUNTIFS(INDEX(AllClosureRows,C860,0),"&gt;="&amp;('_Dates'!Y860),INDEX(AllClosureRows,C860,0),"&lt;="&amp;(MIN('_Dates'!Z860,Settings!$B$9))))))</ns0:f>
        <ns0:v>0</ns0:v>
      </ns0:c>
      <ns0:c r="I860" s="0">
        <ns0:f>MAX(0,G860-H860)</ns0:f>
        <ns0:v>0</ns0:v>
      </ns0:c>
      <ns0:c r="J860" s="0">
        <ns0:f>IF(OR(A860=0,F860&lt;&gt;"OK",Bookings!G860="Cancelled",$B$6&gt;0),0,IF('_Dates'!AC860=1,MAX(0,COUNTIFS(rngEngine_B,B860,rngAMStart,"&lt;="&amp;'_Dates'!X860,rngAMEnd,"&gt;="&amp;'_Dates'!W860,rngAMActive,1,rngEngine_F,"OK",rngBookings_F,"&lt;&gt;Cancelled")-1),0)+IF('_Dates'!AD860=1,MAX(0,COUNTIFS(rngEngine_B,B860,rngPMStart,"&lt;="&amp;'_Dates'!Z860,rngPMEnd,"&gt;="&amp;'_Dates'!Y860,rngPMActive,1,rngEngine_F,"OK",rngBookings_F,"&lt;&gt;Cancelled")-1),0))</ns0:f>
        <ns0:v>0</ns0:v>
      </ns0:c>
      <ns0:c r="K860" s="0" t="str">
        <ns0:f>IF(A860=0,"",IF(F860&lt;&gt;"OK",F860,IF(J860&gt;0,"CHECK overlapping entry",IF(AND($B$6=0,G860&lt;=0,Bookings!G860&lt;&gt;"Cancelled"),"CHECK no working days",IF(Bookings!G860="Cancelled","Cancelled","OK")))))</ns0:f>
        <ns0:v/>
      </ns0:c>
      <ns0:c r="L860" s="0">
        <ns0:f>IF(LEFT(K860,5)="CHECK",1,0)</ns0:f>
        <ns0:v>0</ns0:v>
      </ns0:c>
      <ns0:c r="M860" s="0">
        <ns0:f>IF(AND(L860=1,OR(C860=0,IFERROR(INDEX($X$11:$X$60,C860),0)=0)),1,0)</ns0:f>
        <ns0:v>0</ns0:v>
      </ns0:c>
      <ns0:c r="N860" s="0">
        <ns0:f>IF(OR(A860=0,L860&gt;0,$B$6&gt;0,Bookings!G860="Cancelled"),0,G860)</ns0:f>
        <ns0:v>0</ns0:v>
      </ns0:c>
      <ns0:c r="O860" s="0">
        <ns0:f>IF(AND(Bookings!G860="Approved",E860="Yes"),N860,0)</ns0:f>
        <ns0:v>0</ns0:v>
      </ns0:c>
      <ns0:c r="P860" s="0">
        <ns0:f>IF(AND(Bookings!G860="Approved",E860="Yes",L860=0,$B$6=0),H860,0)</ns0:f>
        <ns0:v>0</ns0:v>
      </ns0:c>
      <ns0:c r="Q860" s="0">
        <ns0:f>IF(AND(Bookings!G860="Approved",E860="Yes",L860=0,$B$6=0),I860,0)</ns0:f>
        <ns0:v>0</ns0:v>
      </ns0:c>
      <ns0:c r="R860" s="0">
        <ns0:f>IF(AND(Bookings!G860="Pending",E860="Yes"),N860,0)</ns0:f>
        <ns0:v>0</ns0:v>
      </ns0:c>
      <ns0:c r="S860" s="0">
        <ns0:f>IF(AND(Bookings!G860="Approved",E860="No"),N860,0)</ns0:f>
        <ns0:v>0</ns0:v>
      </ns0:c>
      <ns0:c r="T860" s="0">
        <ns0:f>IFERROR(MATCH(D860,Settings!$G$7:$G$11,0),0)</ns0:f>
        <ns0:v>0</ns0:v>
      </ns0:c>
      <ns0:c r="U860" s="0">
        <ns0:f>IF(N860&gt;0,T860+IF(Bookings!G860="Pending",10,0),0)</ns0:f>
        <ns0:v>0</ns0:v>
      </ns0:c>
      <ns0:c r="V860" s="0">
        <ns0:f>U860</ns0:f>
        <ns0:v>0</ns0:v>
      </ns0:c>
      <ns0:c r="W860" s="0" t="str">
        <ns0:f>IF(C860=0,"",INDEX($AP$11:$AP$60,C860))</ns0:f>
        <ns0:v/>
      </ns0:c>
    </ns0:row>
    <ns0:row r="861">
      <ns0:c r="A861" s="0">
        <ns0:f>IF(COUNTA(Bookings!A861:G861,Bookings!I861)=0,0,1)</ns0:f>
        <ns0:v>0</ns0:v>
      </ns0:c>
      <ns0:c r="B861" s="0" t="str">
        <ns0:f>IFERROR(TRIM(MID(Bookings!A861,FIND(" · ",Bookings!A861)+3,99)),"")</ns0:f>
        <ns0:v/>
      </ns0:c>
      <ns0:c r="C861" s="0">
        <ns0:f>IF(OR(B861="",LEN(B861)&gt;24,ISNUMBER(FIND(" ",B861)),ISNUMBER(FIND("*",B861)),ISNUMBER(FIND("?",B861)),ISNUMBER(FIND("~",B861))),0,IFERROR(MATCH(B861,Team!$A$11:$A$60,0),0))</ns0:f>
        <ns0:v>0</ns0:v>
      </ns0:c>
      <ns0:c r="D861" s="0" t="str">
        <ns0:f>IFERROR(IF(MID(Bookings!F861,LEN(Bookings!F861)-3,3)=" · ",RIGHT(Bookings!F861,1),""),"")</ns0:f>
        <ns0:v/>
      </ns0:c>
      <ns0:c r="E861" s="0" t="str">
        <ns0:f>IFERROR(INDEX(Settings!$H$7:$H$11,MATCH(D861,Settings!$G$7:$G$11,0)),"")</ns0:f>
        <ns0:v/>
      </ns0:c>
      <ns0:c r="F861" s="0" t="str">
        <ns0:f>IF(A861=0,"",IFERROR(IF(OR(B861="",C861=0),"CHECK employee selection",IF(INDEX(Team!$O$11:$O$60,C861)&lt;&gt;"OK","CHECK employee setup",IF(OR('_Dates'!J861=0,'_Dates'!T861=0),"CHECK date: use DD.MM.YYYY",IF('_Dates'!T861&lt;'_Dates'!J861,"CHECK end before start",IF(AND($B$6=0,OR('_Dates'!J861&lt;Settings!$B$7,'_Dates'!T861&gt;Settings!$B$8)),"CHECK split across leave years",IF(OR(NOT(OR('_Dates'!U861="Full day",'_Dates'!U861="AM",'_Dates'!U861="PM")),NOT(OR('_Dates'!V861="Full day",'_Dates'!V861="AM",'_Dates'!V861="PM"))),"CHECK Full day / AM / PM",IF(AND('_Dates'!J861='_Dates'!T861,'_Dates'!U861&lt;&gt;"Full day",'_Dates'!V861&lt;&gt;"Full day",'_Dates'!U861&lt;&gt;'_Dates'!V861),"CHECK same-day portions disagree",IF(AND($B$6=0,OR(AND('_Dates'!U861&lt;&gt;"Full day",'_Dates'!AA861=0),AND('_Dates'!V861&lt;&gt;"Full day",'_Dates'!AB861=0))),"CHECK half-day on non-working date",IF(COUNTIF(Settings!$G$7:$G$11,D861)&lt;&gt;1,"CHECK leave type",IF(AND(Bookings!G861&lt;&gt;"Approved",Bookings!G861&lt;&gt;"Pending",Bookings!G861&lt;&gt;"Cancelled"),"CHECK status","OK")))))))))),"CHECK input"))</ns0:f>
        <ns0:v/>
      </ns0:c>
      <ns0:c r="G861" s="0">
        <ns0:f>IF(OR(F861&lt;&gt;"OK",$B$6&gt;0),0,0.5*(IF(('_Dates'!X861)&lt;('_Dates'!W861),0,INT((('_Dates'!X861)-('_Dates'!W861)+1)/7)*LEN(SUBSTITUTE(W861,"O",""))+LEN(SUBSTITUTE(MID(W861&amp;W861,WEEKDAY(('_Dates'!W861),2),MOD((('_Dates'!X861)-('_Dates'!W861)+1),7)),"O",""))-COUNTIFS(INDEX(AllClosureRows,C861,0),"&gt;="&amp;('_Dates'!W861),INDEX(AllClosureRows,C861,0),"&lt;="&amp;('_Dates'!X861)))+IF(('_Dates'!Z861)&lt;('_Dates'!Y861),0,INT((('_Dates'!Z861)-('_Dates'!Y861)+1)/7)*LEN(SUBSTITUTE(W861,"O",""))+LEN(SUBSTITUTE(MID(W861&amp;W861,WEEKDAY(('_Dates'!Y861),2),MOD((('_Dates'!Z861)-('_Dates'!Y861)+1),7)),"O",""))-COUNTIFS(INDEX(AllClosureRows,C861,0),"&gt;="&amp;('_Dates'!Y861),INDEX(AllClosureRows,C861,0),"&lt;="&amp;('_Dates'!Z861)))))</ns0:f>
        <ns0:v>0</ns0:v>
      </ns0:c>
      <ns0:c r="H861" s="0">
        <ns0:f>IF(OR(F861&lt;&gt;"OK",$B$6&gt;0),0,0.5*(IF((MIN('_Dates'!X861,Settings!$B$9))&lt;('_Dates'!W861),0,INT(((MIN('_Dates'!X861,Settings!$B$9))-('_Dates'!W861)+1)/7)*LEN(SUBSTITUTE(W861,"O",""))+LEN(SUBSTITUTE(MID(W861&amp;W861,WEEKDAY(('_Dates'!W861),2),MOD(((MIN('_Dates'!X861,Settings!$B$9))-('_Dates'!W861)+1),7)),"O",""))-COUNTIFS(INDEX(AllClosureRows,C861,0),"&gt;="&amp;('_Dates'!W861),INDEX(AllClosureRows,C861,0),"&lt;="&amp;(MIN('_Dates'!X861,Settings!$B$9))))+IF((MIN('_Dates'!Z861,Settings!$B$9))&lt;('_Dates'!Y861),0,INT(((MIN('_Dates'!Z861,Settings!$B$9))-('_Dates'!Y861)+1)/7)*LEN(SUBSTITUTE(W861,"O",""))+LEN(SUBSTITUTE(MID(W861&amp;W861,WEEKDAY(('_Dates'!Y861),2),MOD(((MIN('_Dates'!Z861,Settings!$B$9))-('_Dates'!Y861)+1),7)),"O",""))-COUNTIFS(INDEX(AllClosureRows,C861,0),"&gt;="&amp;('_Dates'!Y861),INDEX(AllClosureRows,C861,0),"&lt;="&amp;(MIN('_Dates'!Z861,Settings!$B$9))))))</ns0:f>
        <ns0:v>0</ns0:v>
      </ns0:c>
      <ns0:c r="I861" s="0">
        <ns0:f>MAX(0,G861-H861)</ns0:f>
        <ns0:v>0</ns0:v>
      </ns0:c>
      <ns0:c r="J861" s="0">
        <ns0:f>IF(OR(A861=0,F861&lt;&gt;"OK",Bookings!G861="Cancelled",$B$6&gt;0),0,IF('_Dates'!AC861=1,MAX(0,COUNTIFS(rngEngine_B,B861,rngAMStart,"&lt;="&amp;'_Dates'!X861,rngAMEnd,"&gt;="&amp;'_Dates'!W861,rngAMActive,1,rngEngine_F,"OK",rngBookings_F,"&lt;&gt;Cancelled")-1),0)+IF('_Dates'!AD861=1,MAX(0,COUNTIFS(rngEngine_B,B861,rngPMStart,"&lt;="&amp;'_Dates'!Z861,rngPMEnd,"&gt;="&amp;'_Dates'!Y861,rngPMActive,1,rngEngine_F,"OK",rngBookings_F,"&lt;&gt;Cancelled")-1),0))</ns0:f>
        <ns0:v>0</ns0:v>
      </ns0:c>
      <ns0:c r="K861" s="0" t="str">
        <ns0:f>IF(A861=0,"",IF(F861&lt;&gt;"OK",F861,IF(J861&gt;0,"CHECK overlapping entry",IF(AND($B$6=0,G861&lt;=0,Bookings!G861&lt;&gt;"Cancelled"),"CHECK no working days",IF(Bookings!G861="Cancelled","Cancelled","OK")))))</ns0:f>
        <ns0:v/>
      </ns0:c>
      <ns0:c r="L861" s="0">
        <ns0:f>IF(LEFT(K861,5)="CHECK",1,0)</ns0:f>
        <ns0:v>0</ns0:v>
      </ns0:c>
      <ns0:c r="M861" s="0">
        <ns0:f>IF(AND(L861=1,OR(C861=0,IFERROR(INDEX($X$11:$X$60,C861),0)=0)),1,0)</ns0:f>
        <ns0:v>0</ns0:v>
      </ns0:c>
      <ns0:c r="N861" s="0">
        <ns0:f>IF(OR(A861=0,L861&gt;0,$B$6&gt;0,Bookings!G861="Cancelled"),0,G861)</ns0:f>
        <ns0:v>0</ns0:v>
      </ns0:c>
      <ns0:c r="O861" s="0">
        <ns0:f>IF(AND(Bookings!G861="Approved",E861="Yes"),N861,0)</ns0:f>
        <ns0:v>0</ns0:v>
      </ns0:c>
      <ns0:c r="P861" s="0">
        <ns0:f>IF(AND(Bookings!G861="Approved",E861="Yes",L861=0,$B$6=0),H861,0)</ns0:f>
        <ns0:v>0</ns0:v>
      </ns0:c>
      <ns0:c r="Q861" s="0">
        <ns0:f>IF(AND(Bookings!G861="Approved",E861="Yes",L861=0,$B$6=0),I861,0)</ns0:f>
        <ns0:v>0</ns0:v>
      </ns0:c>
      <ns0:c r="R861" s="0">
        <ns0:f>IF(AND(Bookings!G861="Pending",E861="Yes"),N861,0)</ns0:f>
        <ns0:v>0</ns0:v>
      </ns0:c>
      <ns0:c r="S861" s="0">
        <ns0:f>IF(AND(Bookings!G861="Approved",E861="No"),N861,0)</ns0:f>
        <ns0:v>0</ns0:v>
      </ns0:c>
      <ns0:c r="T861" s="0">
        <ns0:f>IFERROR(MATCH(D861,Settings!$G$7:$G$11,0),0)</ns0:f>
        <ns0:v>0</ns0:v>
      </ns0:c>
      <ns0:c r="U861" s="0">
        <ns0:f>IF(N861&gt;0,T861+IF(Bookings!G861="Pending",10,0),0)</ns0:f>
        <ns0:v>0</ns0:v>
      </ns0:c>
      <ns0:c r="V861" s="0">
        <ns0:f>U861</ns0:f>
        <ns0:v>0</ns0:v>
      </ns0:c>
      <ns0:c r="W861" s="0" t="str">
        <ns0:f>IF(C861=0,"",INDEX($AP$11:$AP$60,C861))</ns0:f>
        <ns0:v/>
      </ns0:c>
    </ns0:row>
    <ns0:row r="862">
      <ns0:c r="A862" s="0">
        <ns0:f>IF(COUNTA(Bookings!A862:G862,Bookings!I862)=0,0,1)</ns0:f>
        <ns0:v>0</ns0:v>
      </ns0:c>
      <ns0:c r="B862" s="0" t="str">
        <ns0:f>IFERROR(TRIM(MID(Bookings!A862,FIND(" · ",Bookings!A862)+3,99)),"")</ns0:f>
        <ns0:v/>
      </ns0:c>
      <ns0:c r="C862" s="0">
        <ns0:f>IF(OR(B862="",LEN(B862)&gt;24,ISNUMBER(FIND(" ",B862)),ISNUMBER(FIND("*",B862)),ISNUMBER(FIND("?",B862)),ISNUMBER(FIND("~",B862))),0,IFERROR(MATCH(B862,Team!$A$11:$A$60,0),0))</ns0:f>
        <ns0:v>0</ns0:v>
      </ns0:c>
      <ns0:c r="D862" s="0" t="str">
        <ns0:f>IFERROR(IF(MID(Bookings!F862,LEN(Bookings!F862)-3,3)=" · ",RIGHT(Bookings!F862,1),""),"")</ns0:f>
        <ns0:v/>
      </ns0:c>
      <ns0:c r="E862" s="0" t="str">
        <ns0:f>IFERROR(INDEX(Settings!$H$7:$H$11,MATCH(D862,Settings!$G$7:$G$11,0)),"")</ns0:f>
        <ns0:v/>
      </ns0:c>
      <ns0:c r="F862" s="0" t="str">
        <ns0:f>IF(A862=0,"",IFERROR(IF(OR(B862="",C862=0),"CHECK employee selection",IF(INDEX(Team!$O$11:$O$60,C862)&lt;&gt;"OK","CHECK employee setup",IF(OR('_Dates'!J862=0,'_Dates'!T862=0),"CHECK date: use DD.MM.YYYY",IF('_Dates'!T862&lt;'_Dates'!J862,"CHECK end before start",IF(AND($B$6=0,OR('_Dates'!J862&lt;Settings!$B$7,'_Dates'!T862&gt;Settings!$B$8)),"CHECK split across leave years",IF(OR(NOT(OR('_Dates'!U862="Full day",'_Dates'!U862="AM",'_Dates'!U862="PM")),NOT(OR('_Dates'!V862="Full day",'_Dates'!V862="AM",'_Dates'!V862="PM"))),"CHECK Full day / AM / PM",IF(AND('_Dates'!J862='_Dates'!T862,'_Dates'!U862&lt;&gt;"Full day",'_Dates'!V862&lt;&gt;"Full day",'_Dates'!U862&lt;&gt;'_Dates'!V862),"CHECK same-day portions disagree",IF(AND($B$6=0,OR(AND('_Dates'!U862&lt;&gt;"Full day",'_Dates'!AA862=0),AND('_Dates'!V862&lt;&gt;"Full day",'_Dates'!AB862=0))),"CHECK half-day on non-working date",IF(COUNTIF(Settings!$G$7:$G$11,D862)&lt;&gt;1,"CHECK leave type",IF(AND(Bookings!G862&lt;&gt;"Approved",Bookings!G862&lt;&gt;"Pending",Bookings!G862&lt;&gt;"Cancelled"),"CHECK status","OK")))))))))),"CHECK input"))</ns0:f>
        <ns0:v/>
      </ns0:c>
      <ns0:c r="G862" s="0">
        <ns0:f>IF(OR(F862&lt;&gt;"OK",$B$6&gt;0),0,0.5*(IF(('_Dates'!X862)&lt;('_Dates'!W862),0,INT((('_Dates'!X862)-('_Dates'!W862)+1)/7)*LEN(SUBSTITUTE(W862,"O",""))+LEN(SUBSTITUTE(MID(W862&amp;W862,WEEKDAY(('_Dates'!W862),2),MOD((('_Dates'!X862)-('_Dates'!W862)+1),7)),"O",""))-COUNTIFS(INDEX(AllClosureRows,C862,0),"&gt;="&amp;('_Dates'!W862),INDEX(AllClosureRows,C862,0),"&lt;="&amp;('_Dates'!X862)))+IF(('_Dates'!Z862)&lt;('_Dates'!Y862),0,INT((('_Dates'!Z862)-('_Dates'!Y862)+1)/7)*LEN(SUBSTITUTE(W862,"O",""))+LEN(SUBSTITUTE(MID(W862&amp;W862,WEEKDAY(('_Dates'!Y862),2),MOD((('_Dates'!Z862)-('_Dates'!Y862)+1),7)),"O",""))-COUNTIFS(INDEX(AllClosureRows,C862,0),"&gt;="&amp;('_Dates'!Y862),INDEX(AllClosureRows,C862,0),"&lt;="&amp;('_Dates'!Z862)))))</ns0:f>
        <ns0:v>0</ns0:v>
      </ns0:c>
      <ns0:c r="H862" s="0">
        <ns0:f>IF(OR(F862&lt;&gt;"OK",$B$6&gt;0),0,0.5*(IF((MIN('_Dates'!X862,Settings!$B$9))&lt;('_Dates'!W862),0,INT(((MIN('_Dates'!X862,Settings!$B$9))-('_Dates'!W862)+1)/7)*LEN(SUBSTITUTE(W862,"O",""))+LEN(SUBSTITUTE(MID(W862&amp;W862,WEEKDAY(('_Dates'!W862),2),MOD(((MIN('_Dates'!X862,Settings!$B$9))-('_Dates'!W862)+1),7)),"O",""))-COUNTIFS(INDEX(AllClosureRows,C862,0),"&gt;="&amp;('_Dates'!W862),INDEX(AllClosureRows,C862,0),"&lt;="&amp;(MIN('_Dates'!X862,Settings!$B$9))))+IF((MIN('_Dates'!Z862,Settings!$B$9))&lt;('_Dates'!Y862),0,INT(((MIN('_Dates'!Z862,Settings!$B$9))-('_Dates'!Y862)+1)/7)*LEN(SUBSTITUTE(W862,"O",""))+LEN(SUBSTITUTE(MID(W862&amp;W862,WEEKDAY(('_Dates'!Y862),2),MOD(((MIN('_Dates'!Z862,Settings!$B$9))-('_Dates'!Y862)+1),7)),"O",""))-COUNTIFS(INDEX(AllClosureRows,C862,0),"&gt;="&amp;('_Dates'!Y862),INDEX(AllClosureRows,C862,0),"&lt;="&amp;(MIN('_Dates'!Z862,Settings!$B$9))))))</ns0:f>
        <ns0:v>0</ns0:v>
      </ns0:c>
      <ns0:c r="I862" s="0">
        <ns0:f>MAX(0,G862-H862)</ns0:f>
        <ns0:v>0</ns0:v>
      </ns0:c>
      <ns0:c r="J862" s="0">
        <ns0:f>IF(OR(A862=0,F862&lt;&gt;"OK",Bookings!G862="Cancelled",$B$6&gt;0),0,IF('_Dates'!AC862=1,MAX(0,COUNTIFS(rngEngine_B,B862,rngAMStart,"&lt;="&amp;'_Dates'!X862,rngAMEnd,"&gt;="&amp;'_Dates'!W862,rngAMActive,1,rngEngine_F,"OK",rngBookings_F,"&lt;&gt;Cancelled")-1),0)+IF('_Dates'!AD862=1,MAX(0,COUNTIFS(rngEngine_B,B862,rngPMStart,"&lt;="&amp;'_Dates'!Z862,rngPMEnd,"&gt;="&amp;'_Dates'!Y862,rngPMActive,1,rngEngine_F,"OK",rngBookings_F,"&lt;&gt;Cancelled")-1),0))</ns0:f>
        <ns0:v>0</ns0:v>
      </ns0:c>
      <ns0:c r="K862" s="0" t="str">
        <ns0:f>IF(A862=0,"",IF(F862&lt;&gt;"OK",F862,IF(J862&gt;0,"CHECK overlapping entry",IF(AND($B$6=0,G862&lt;=0,Bookings!G862&lt;&gt;"Cancelled"),"CHECK no working days",IF(Bookings!G862="Cancelled","Cancelled","OK")))))</ns0:f>
        <ns0:v/>
      </ns0:c>
      <ns0:c r="L862" s="0">
        <ns0:f>IF(LEFT(K862,5)="CHECK",1,0)</ns0:f>
        <ns0:v>0</ns0:v>
      </ns0:c>
      <ns0:c r="M862" s="0">
        <ns0:f>IF(AND(L862=1,OR(C862=0,IFERROR(INDEX($X$11:$X$60,C862),0)=0)),1,0)</ns0:f>
        <ns0:v>0</ns0:v>
      </ns0:c>
      <ns0:c r="N862" s="0">
        <ns0:f>IF(OR(A862=0,L862&gt;0,$B$6&gt;0,Bookings!G862="Cancelled"),0,G862)</ns0:f>
        <ns0:v>0</ns0:v>
      </ns0:c>
      <ns0:c r="O862" s="0">
        <ns0:f>IF(AND(Bookings!G862="Approved",E862="Yes"),N862,0)</ns0:f>
        <ns0:v>0</ns0:v>
      </ns0:c>
      <ns0:c r="P862" s="0">
        <ns0:f>IF(AND(Bookings!G862="Approved",E862="Yes",L862=0,$B$6=0),H862,0)</ns0:f>
        <ns0:v>0</ns0:v>
      </ns0:c>
      <ns0:c r="Q862" s="0">
        <ns0:f>IF(AND(Bookings!G862="Approved",E862="Yes",L862=0,$B$6=0),I862,0)</ns0:f>
        <ns0:v>0</ns0:v>
      </ns0:c>
      <ns0:c r="R862" s="0">
        <ns0:f>IF(AND(Bookings!G862="Pending",E862="Yes"),N862,0)</ns0:f>
        <ns0:v>0</ns0:v>
      </ns0:c>
      <ns0:c r="S862" s="0">
        <ns0:f>IF(AND(Bookings!G862="Approved",E862="No"),N862,0)</ns0:f>
        <ns0:v>0</ns0:v>
      </ns0:c>
      <ns0:c r="T862" s="0">
        <ns0:f>IFERROR(MATCH(D862,Settings!$G$7:$G$11,0),0)</ns0:f>
        <ns0:v>0</ns0:v>
      </ns0:c>
      <ns0:c r="U862" s="0">
        <ns0:f>IF(N862&gt;0,T862+IF(Bookings!G862="Pending",10,0),0)</ns0:f>
        <ns0:v>0</ns0:v>
      </ns0:c>
      <ns0:c r="V862" s="0">
        <ns0:f>U862</ns0:f>
        <ns0:v>0</ns0:v>
      </ns0:c>
      <ns0:c r="W862" s="0" t="str">
        <ns0:f>IF(C862=0,"",INDEX($AP$11:$AP$60,C862))</ns0:f>
        <ns0:v/>
      </ns0:c>
    </ns0:row>
    <ns0:row r="863">
      <ns0:c r="A863" s="0">
        <ns0:f>IF(COUNTA(Bookings!A863:G863,Bookings!I863)=0,0,1)</ns0:f>
        <ns0:v>0</ns0:v>
      </ns0:c>
      <ns0:c r="B863" s="0" t="str">
        <ns0:f>IFERROR(TRIM(MID(Bookings!A863,FIND(" · ",Bookings!A863)+3,99)),"")</ns0:f>
        <ns0:v/>
      </ns0:c>
      <ns0:c r="C863" s="0">
        <ns0:f>IF(OR(B863="",LEN(B863)&gt;24,ISNUMBER(FIND(" ",B863)),ISNUMBER(FIND("*",B863)),ISNUMBER(FIND("?",B863)),ISNUMBER(FIND("~",B863))),0,IFERROR(MATCH(B863,Team!$A$11:$A$60,0),0))</ns0:f>
        <ns0:v>0</ns0:v>
      </ns0:c>
      <ns0:c r="D863" s="0" t="str">
        <ns0:f>IFERROR(IF(MID(Bookings!F863,LEN(Bookings!F863)-3,3)=" · ",RIGHT(Bookings!F863,1),""),"")</ns0:f>
        <ns0:v/>
      </ns0:c>
      <ns0:c r="E863" s="0" t="str">
        <ns0:f>IFERROR(INDEX(Settings!$H$7:$H$11,MATCH(D863,Settings!$G$7:$G$11,0)),"")</ns0:f>
        <ns0:v/>
      </ns0:c>
      <ns0:c r="F863" s="0" t="str">
        <ns0:f>IF(A863=0,"",IFERROR(IF(OR(B863="",C863=0),"CHECK employee selection",IF(INDEX(Team!$O$11:$O$60,C863)&lt;&gt;"OK","CHECK employee setup",IF(OR('_Dates'!J863=0,'_Dates'!T863=0),"CHECK date: use DD.MM.YYYY",IF('_Dates'!T863&lt;'_Dates'!J863,"CHECK end before start",IF(AND($B$6=0,OR('_Dates'!J863&lt;Settings!$B$7,'_Dates'!T863&gt;Settings!$B$8)),"CHECK split across leave years",IF(OR(NOT(OR('_Dates'!U863="Full day",'_Dates'!U863="AM",'_Dates'!U863="PM")),NOT(OR('_Dates'!V863="Full day",'_Dates'!V863="AM",'_Dates'!V863="PM"))),"CHECK Full day / AM / PM",IF(AND('_Dates'!J863='_Dates'!T863,'_Dates'!U863&lt;&gt;"Full day",'_Dates'!V863&lt;&gt;"Full day",'_Dates'!U863&lt;&gt;'_Dates'!V863),"CHECK same-day portions disagree",IF(AND($B$6=0,OR(AND('_Dates'!U863&lt;&gt;"Full day",'_Dates'!AA863=0),AND('_Dates'!V863&lt;&gt;"Full day",'_Dates'!AB863=0))),"CHECK half-day on non-working date",IF(COUNTIF(Settings!$G$7:$G$11,D863)&lt;&gt;1,"CHECK leave type",IF(AND(Bookings!G863&lt;&gt;"Approved",Bookings!G863&lt;&gt;"Pending",Bookings!G863&lt;&gt;"Cancelled"),"CHECK status","OK")))))))))),"CHECK input"))</ns0:f>
        <ns0:v/>
      </ns0:c>
      <ns0:c r="G863" s="0">
        <ns0:f>IF(OR(F863&lt;&gt;"OK",$B$6&gt;0),0,0.5*(IF(('_Dates'!X863)&lt;('_Dates'!W863),0,INT((('_Dates'!X863)-('_Dates'!W863)+1)/7)*LEN(SUBSTITUTE(W863,"O",""))+LEN(SUBSTITUTE(MID(W863&amp;W863,WEEKDAY(('_Dates'!W863),2),MOD((('_Dates'!X863)-('_Dates'!W863)+1),7)),"O",""))-COUNTIFS(INDEX(AllClosureRows,C863,0),"&gt;="&amp;('_Dates'!W863),INDEX(AllClosureRows,C863,0),"&lt;="&amp;('_Dates'!X863)))+IF(('_Dates'!Z863)&lt;('_Dates'!Y863),0,INT((('_Dates'!Z863)-('_Dates'!Y863)+1)/7)*LEN(SUBSTITUTE(W863,"O",""))+LEN(SUBSTITUTE(MID(W863&amp;W863,WEEKDAY(('_Dates'!Y863),2),MOD((('_Dates'!Z863)-('_Dates'!Y863)+1),7)),"O",""))-COUNTIFS(INDEX(AllClosureRows,C863,0),"&gt;="&amp;('_Dates'!Y863),INDEX(AllClosureRows,C863,0),"&lt;="&amp;('_Dates'!Z863)))))</ns0:f>
        <ns0:v>0</ns0:v>
      </ns0:c>
      <ns0:c r="H863" s="0">
        <ns0:f>IF(OR(F863&lt;&gt;"OK",$B$6&gt;0),0,0.5*(IF((MIN('_Dates'!X863,Settings!$B$9))&lt;('_Dates'!W863),0,INT(((MIN('_Dates'!X863,Settings!$B$9))-('_Dates'!W863)+1)/7)*LEN(SUBSTITUTE(W863,"O",""))+LEN(SUBSTITUTE(MID(W863&amp;W863,WEEKDAY(('_Dates'!W863),2),MOD(((MIN('_Dates'!X863,Settings!$B$9))-('_Dates'!W863)+1),7)),"O",""))-COUNTIFS(INDEX(AllClosureRows,C863,0),"&gt;="&amp;('_Dates'!W863),INDEX(AllClosureRows,C863,0),"&lt;="&amp;(MIN('_Dates'!X863,Settings!$B$9))))+IF((MIN('_Dates'!Z863,Settings!$B$9))&lt;('_Dates'!Y863),0,INT(((MIN('_Dates'!Z863,Settings!$B$9))-('_Dates'!Y863)+1)/7)*LEN(SUBSTITUTE(W863,"O",""))+LEN(SUBSTITUTE(MID(W863&amp;W863,WEEKDAY(('_Dates'!Y863),2),MOD(((MIN('_Dates'!Z863,Settings!$B$9))-('_Dates'!Y863)+1),7)),"O",""))-COUNTIFS(INDEX(AllClosureRows,C863,0),"&gt;="&amp;('_Dates'!Y863),INDEX(AllClosureRows,C863,0),"&lt;="&amp;(MIN('_Dates'!Z863,Settings!$B$9))))))</ns0:f>
        <ns0:v>0</ns0:v>
      </ns0:c>
      <ns0:c r="I863" s="0">
        <ns0:f>MAX(0,G863-H863)</ns0:f>
        <ns0:v>0</ns0:v>
      </ns0:c>
      <ns0:c r="J863" s="0">
        <ns0:f>IF(OR(A863=0,F863&lt;&gt;"OK",Bookings!G863="Cancelled",$B$6&gt;0),0,IF('_Dates'!AC863=1,MAX(0,COUNTIFS(rngEngine_B,B863,rngAMStart,"&lt;="&amp;'_Dates'!X863,rngAMEnd,"&gt;="&amp;'_Dates'!W863,rngAMActive,1,rngEngine_F,"OK",rngBookings_F,"&lt;&gt;Cancelled")-1),0)+IF('_Dates'!AD863=1,MAX(0,COUNTIFS(rngEngine_B,B863,rngPMStart,"&lt;="&amp;'_Dates'!Z863,rngPMEnd,"&gt;="&amp;'_Dates'!Y863,rngPMActive,1,rngEngine_F,"OK",rngBookings_F,"&lt;&gt;Cancelled")-1),0))</ns0:f>
        <ns0:v>0</ns0:v>
      </ns0:c>
      <ns0:c r="K863" s="0" t="str">
        <ns0:f>IF(A863=0,"",IF(F863&lt;&gt;"OK",F863,IF(J863&gt;0,"CHECK overlapping entry",IF(AND($B$6=0,G863&lt;=0,Bookings!G863&lt;&gt;"Cancelled"),"CHECK no working days",IF(Bookings!G863="Cancelled","Cancelled","OK")))))</ns0:f>
        <ns0:v/>
      </ns0:c>
      <ns0:c r="L863" s="0">
        <ns0:f>IF(LEFT(K863,5)="CHECK",1,0)</ns0:f>
        <ns0:v>0</ns0:v>
      </ns0:c>
      <ns0:c r="M863" s="0">
        <ns0:f>IF(AND(L863=1,OR(C863=0,IFERROR(INDEX($X$11:$X$60,C863),0)=0)),1,0)</ns0:f>
        <ns0:v>0</ns0:v>
      </ns0:c>
      <ns0:c r="N863" s="0">
        <ns0:f>IF(OR(A863=0,L863&gt;0,$B$6&gt;0,Bookings!G863="Cancelled"),0,G863)</ns0:f>
        <ns0:v>0</ns0:v>
      </ns0:c>
      <ns0:c r="O863" s="0">
        <ns0:f>IF(AND(Bookings!G863="Approved",E863="Yes"),N863,0)</ns0:f>
        <ns0:v>0</ns0:v>
      </ns0:c>
      <ns0:c r="P863" s="0">
        <ns0:f>IF(AND(Bookings!G863="Approved",E863="Yes",L863=0,$B$6=0),H863,0)</ns0:f>
        <ns0:v>0</ns0:v>
      </ns0:c>
      <ns0:c r="Q863" s="0">
        <ns0:f>IF(AND(Bookings!G863="Approved",E863="Yes",L863=0,$B$6=0),I863,0)</ns0:f>
        <ns0:v>0</ns0:v>
      </ns0:c>
      <ns0:c r="R863" s="0">
        <ns0:f>IF(AND(Bookings!G863="Pending",E863="Yes"),N863,0)</ns0:f>
        <ns0:v>0</ns0:v>
      </ns0:c>
      <ns0:c r="S863" s="0">
        <ns0:f>IF(AND(Bookings!G863="Approved",E863="No"),N863,0)</ns0:f>
        <ns0:v>0</ns0:v>
      </ns0:c>
      <ns0:c r="T863" s="0">
        <ns0:f>IFERROR(MATCH(D863,Settings!$G$7:$G$11,0),0)</ns0:f>
        <ns0:v>0</ns0:v>
      </ns0:c>
      <ns0:c r="U863" s="0">
        <ns0:f>IF(N863&gt;0,T863+IF(Bookings!G863="Pending",10,0),0)</ns0:f>
        <ns0:v>0</ns0:v>
      </ns0:c>
      <ns0:c r="V863" s="0">
        <ns0:f>U863</ns0:f>
        <ns0:v>0</ns0:v>
      </ns0:c>
      <ns0:c r="W863" s="0" t="str">
        <ns0:f>IF(C863=0,"",INDEX($AP$11:$AP$60,C863))</ns0:f>
        <ns0:v/>
      </ns0:c>
    </ns0:row>
    <ns0:row r="864">
      <ns0:c r="A864" s="0">
        <ns0:f>IF(COUNTA(Bookings!A864:G864,Bookings!I864)=0,0,1)</ns0:f>
        <ns0:v>0</ns0:v>
      </ns0:c>
      <ns0:c r="B864" s="0" t="str">
        <ns0:f>IFERROR(TRIM(MID(Bookings!A864,FIND(" · ",Bookings!A864)+3,99)),"")</ns0:f>
        <ns0:v/>
      </ns0:c>
      <ns0:c r="C864" s="0">
        <ns0:f>IF(OR(B864="",LEN(B864)&gt;24,ISNUMBER(FIND(" ",B864)),ISNUMBER(FIND("*",B864)),ISNUMBER(FIND("?",B864)),ISNUMBER(FIND("~",B864))),0,IFERROR(MATCH(B864,Team!$A$11:$A$60,0),0))</ns0:f>
        <ns0:v>0</ns0:v>
      </ns0:c>
      <ns0:c r="D864" s="0" t="str">
        <ns0:f>IFERROR(IF(MID(Bookings!F864,LEN(Bookings!F864)-3,3)=" · ",RIGHT(Bookings!F864,1),""),"")</ns0:f>
        <ns0:v/>
      </ns0:c>
      <ns0:c r="E864" s="0" t="str">
        <ns0:f>IFERROR(INDEX(Settings!$H$7:$H$11,MATCH(D864,Settings!$G$7:$G$11,0)),"")</ns0:f>
        <ns0:v/>
      </ns0:c>
      <ns0:c r="F864" s="0" t="str">
        <ns0:f>IF(A864=0,"",IFERROR(IF(OR(B864="",C864=0),"CHECK employee selection",IF(INDEX(Team!$O$11:$O$60,C864)&lt;&gt;"OK","CHECK employee setup",IF(OR('_Dates'!J864=0,'_Dates'!T864=0),"CHECK date: use DD.MM.YYYY",IF('_Dates'!T864&lt;'_Dates'!J864,"CHECK end before start",IF(AND($B$6=0,OR('_Dates'!J864&lt;Settings!$B$7,'_Dates'!T864&gt;Settings!$B$8)),"CHECK split across leave years",IF(OR(NOT(OR('_Dates'!U864="Full day",'_Dates'!U864="AM",'_Dates'!U864="PM")),NOT(OR('_Dates'!V864="Full day",'_Dates'!V864="AM",'_Dates'!V864="PM"))),"CHECK Full day / AM / PM",IF(AND('_Dates'!J864='_Dates'!T864,'_Dates'!U864&lt;&gt;"Full day",'_Dates'!V864&lt;&gt;"Full day",'_Dates'!U864&lt;&gt;'_Dates'!V864),"CHECK same-day portions disagree",IF(AND($B$6=0,OR(AND('_Dates'!U864&lt;&gt;"Full day",'_Dates'!AA864=0),AND('_Dates'!V864&lt;&gt;"Full day",'_Dates'!AB864=0))),"CHECK half-day on non-working date",IF(COUNTIF(Settings!$G$7:$G$11,D864)&lt;&gt;1,"CHECK leave type",IF(AND(Bookings!G864&lt;&gt;"Approved",Bookings!G864&lt;&gt;"Pending",Bookings!G864&lt;&gt;"Cancelled"),"CHECK status","OK")))))))))),"CHECK input"))</ns0:f>
        <ns0:v/>
      </ns0:c>
      <ns0:c r="G864" s="0">
        <ns0:f>IF(OR(F864&lt;&gt;"OK",$B$6&gt;0),0,0.5*(IF(('_Dates'!X864)&lt;('_Dates'!W864),0,INT((('_Dates'!X864)-('_Dates'!W864)+1)/7)*LEN(SUBSTITUTE(W864,"O",""))+LEN(SUBSTITUTE(MID(W864&amp;W864,WEEKDAY(('_Dates'!W864),2),MOD((('_Dates'!X864)-('_Dates'!W864)+1),7)),"O",""))-COUNTIFS(INDEX(AllClosureRows,C864,0),"&gt;="&amp;('_Dates'!W864),INDEX(AllClosureRows,C864,0),"&lt;="&amp;('_Dates'!X864)))+IF(('_Dates'!Z864)&lt;('_Dates'!Y864),0,INT((('_Dates'!Z864)-('_Dates'!Y864)+1)/7)*LEN(SUBSTITUTE(W864,"O",""))+LEN(SUBSTITUTE(MID(W864&amp;W864,WEEKDAY(('_Dates'!Y864),2),MOD((('_Dates'!Z864)-('_Dates'!Y864)+1),7)),"O",""))-COUNTIFS(INDEX(AllClosureRows,C864,0),"&gt;="&amp;('_Dates'!Y864),INDEX(AllClosureRows,C864,0),"&lt;="&amp;('_Dates'!Z864)))))</ns0:f>
        <ns0:v>0</ns0:v>
      </ns0:c>
      <ns0:c r="H864" s="0">
        <ns0:f>IF(OR(F864&lt;&gt;"OK",$B$6&gt;0),0,0.5*(IF((MIN('_Dates'!X864,Settings!$B$9))&lt;('_Dates'!W864),0,INT(((MIN('_Dates'!X864,Settings!$B$9))-('_Dates'!W864)+1)/7)*LEN(SUBSTITUTE(W864,"O",""))+LEN(SUBSTITUTE(MID(W864&amp;W864,WEEKDAY(('_Dates'!W864),2),MOD(((MIN('_Dates'!X864,Settings!$B$9))-('_Dates'!W864)+1),7)),"O",""))-COUNTIFS(INDEX(AllClosureRows,C864,0),"&gt;="&amp;('_Dates'!W864),INDEX(AllClosureRows,C864,0),"&lt;="&amp;(MIN('_Dates'!X864,Settings!$B$9))))+IF((MIN('_Dates'!Z864,Settings!$B$9))&lt;('_Dates'!Y864),0,INT(((MIN('_Dates'!Z864,Settings!$B$9))-('_Dates'!Y864)+1)/7)*LEN(SUBSTITUTE(W864,"O",""))+LEN(SUBSTITUTE(MID(W864&amp;W864,WEEKDAY(('_Dates'!Y864),2),MOD(((MIN('_Dates'!Z864,Settings!$B$9))-('_Dates'!Y864)+1),7)),"O",""))-COUNTIFS(INDEX(AllClosureRows,C864,0),"&gt;="&amp;('_Dates'!Y864),INDEX(AllClosureRows,C864,0),"&lt;="&amp;(MIN('_Dates'!Z864,Settings!$B$9))))))</ns0:f>
        <ns0:v>0</ns0:v>
      </ns0:c>
      <ns0:c r="I864" s="0">
        <ns0:f>MAX(0,G864-H864)</ns0:f>
        <ns0:v>0</ns0:v>
      </ns0:c>
      <ns0:c r="J864" s="0">
        <ns0:f>IF(OR(A864=0,F864&lt;&gt;"OK",Bookings!G864="Cancelled",$B$6&gt;0),0,IF('_Dates'!AC864=1,MAX(0,COUNTIFS(rngEngine_B,B864,rngAMStart,"&lt;="&amp;'_Dates'!X864,rngAMEnd,"&gt;="&amp;'_Dates'!W864,rngAMActive,1,rngEngine_F,"OK",rngBookings_F,"&lt;&gt;Cancelled")-1),0)+IF('_Dates'!AD864=1,MAX(0,COUNTIFS(rngEngine_B,B864,rngPMStart,"&lt;="&amp;'_Dates'!Z864,rngPMEnd,"&gt;="&amp;'_Dates'!Y864,rngPMActive,1,rngEngine_F,"OK",rngBookings_F,"&lt;&gt;Cancelled")-1),0))</ns0:f>
        <ns0:v>0</ns0:v>
      </ns0:c>
      <ns0:c r="K864" s="0" t="str">
        <ns0:f>IF(A864=0,"",IF(F864&lt;&gt;"OK",F864,IF(J864&gt;0,"CHECK overlapping entry",IF(AND($B$6=0,G864&lt;=0,Bookings!G864&lt;&gt;"Cancelled"),"CHECK no working days",IF(Bookings!G864="Cancelled","Cancelled","OK")))))</ns0:f>
        <ns0:v/>
      </ns0:c>
      <ns0:c r="L864" s="0">
        <ns0:f>IF(LEFT(K864,5)="CHECK",1,0)</ns0:f>
        <ns0:v>0</ns0:v>
      </ns0:c>
      <ns0:c r="M864" s="0">
        <ns0:f>IF(AND(L864=1,OR(C864=0,IFERROR(INDEX($X$11:$X$60,C864),0)=0)),1,0)</ns0:f>
        <ns0:v>0</ns0:v>
      </ns0:c>
      <ns0:c r="N864" s="0">
        <ns0:f>IF(OR(A864=0,L864&gt;0,$B$6&gt;0,Bookings!G864="Cancelled"),0,G864)</ns0:f>
        <ns0:v>0</ns0:v>
      </ns0:c>
      <ns0:c r="O864" s="0">
        <ns0:f>IF(AND(Bookings!G864="Approved",E864="Yes"),N864,0)</ns0:f>
        <ns0:v>0</ns0:v>
      </ns0:c>
      <ns0:c r="P864" s="0">
        <ns0:f>IF(AND(Bookings!G864="Approved",E864="Yes",L864=0,$B$6=0),H864,0)</ns0:f>
        <ns0:v>0</ns0:v>
      </ns0:c>
      <ns0:c r="Q864" s="0">
        <ns0:f>IF(AND(Bookings!G864="Approved",E864="Yes",L864=0,$B$6=0),I864,0)</ns0:f>
        <ns0:v>0</ns0:v>
      </ns0:c>
      <ns0:c r="R864" s="0">
        <ns0:f>IF(AND(Bookings!G864="Pending",E864="Yes"),N864,0)</ns0:f>
        <ns0:v>0</ns0:v>
      </ns0:c>
      <ns0:c r="S864" s="0">
        <ns0:f>IF(AND(Bookings!G864="Approved",E864="No"),N864,0)</ns0:f>
        <ns0:v>0</ns0:v>
      </ns0:c>
      <ns0:c r="T864" s="0">
        <ns0:f>IFERROR(MATCH(D864,Settings!$G$7:$G$11,0),0)</ns0:f>
        <ns0:v>0</ns0:v>
      </ns0:c>
      <ns0:c r="U864" s="0">
        <ns0:f>IF(N864&gt;0,T864+IF(Bookings!G864="Pending",10,0),0)</ns0:f>
        <ns0:v>0</ns0:v>
      </ns0:c>
      <ns0:c r="V864" s="0">
        <ns0:f>U864</ns0:f>
        <ns0:v>0</ns0:v>
      </ns0:c>
      <ns0:c r="W864" s="0" t="str">
        <ns0:f>IF(C864=0,"",INDEX($AP$11:$AP$60,C864))</ns0:f>
        <ns0:v/>
      </ns0:c>
    </ns0:row>
    <ns0:row r="865">
      <ns0:c r="A865" s="0">
        <ns0:f>IF(COUNTA(Bookings!A865:G865,Bookings!I865)=0,0,1)</ns0:f>
        <ns0:v>0</ns0:v>
      </ns0:c>
      <ns0:c r="B865" s="0" t="str">
        <ns0:f>IFERROR(TRIM(MID(Bookings!A865,FIND(" · ",Bookings!A865)+3,99)),"")</ns0:f>
        <ns0:v/>
      </ns0:c>
      <ns0:c r="C865" s="0">
        <ns0:f>IF(OR(B865="",LEN(B865)&gt;24,ISNUMBER(FIND(" ",B865)),ISNUMBER(FIND("*",B865)),ISNUMBER(FIND("?",B865)),ISNUMBER(FIND("~",B865))),0,IFERROR(MATCH(B865,Team!$A$11:$A$60,0),0))</ns0:f>
        <ns0:v>0</ns0:v>
      </ns0:c>
      <ns0:c r="D865" s="0" t="str">
        <ns0:f>IFERROR(IF(MID(Bookings!F865,LEN(Bookings!F865)-3,3)=" · ",RIGHT(Bookings!F865,1),""),"")</ns0:f>
        <ns0:v/>
      </ns0:c>
      <ns0:c r="E865" s="0" t="str">
        <ns0:f>IFERROR(INDEX(Settings!$H$7:$H$11,MATCH(D865,Settings!$G$7:$G$11,0)),"")</ns0:f>
        <ns0:v/>
      </ns0:c>
      <ns0:c r="F865" s="0" t="str">
        <ns0:f>IF(A865=0,"",IFERROR(IF(OR(B865="",C865=0),"CHECK employee selection",IF(INDEX(Team!$O$11:$O$60,C865)&lt;&gt;"OK","CHECK employee setup",IF(OR('_Dates'!J865=0,'_Dates'!T865=0),"CHECK date: use DD.MM.YYYY",IF('_Dates'!T865&lt;'_Dates'!J865,"CHECK end before start",IF(AND($B$6=0,OR('_Dates'!J865&lt;Settings!$B$7,'_Dates'!T865&gt;Settings!$B$8)),"CHECK split across leave years",IF(OR(NOT(OR('_Dates'!U865="Full day",'_Dates'!U865="AM",'_Dates'!U865="PM")),NOT(OR('_Dates'!V865="Full day",'_Dates'!V865="AM",'_Dates'!V865="PM"))),"CHECK Full day / AM / PM",IF(AND('_Dates'!J865='_Dates'!T865,'_Dates'!U865&lt;&gt;"Full day",'_Dates'!V865&lt;&gt;"Full day",'_Dates'!U865&lt;&gt;'_Dates'!V865),"CHECK same-day portions disagree",IF(AND($B$6=0,OR(AND('_Dates'!U865&lt;&gt;"Full day",'_Dates'!AA865=0),AND('_Dates'!V865&lt;&gt;"Full day",'_Dates'!AB865=0))),"CHECK half-day on non-working date",IF(COUNTIF(Settings!$G$7:$G$11,D865)&lt;&gt;1,"CHECK leave type",IF(AND(Bookings!G865&lt;&gt;"Approved",Bookings!G865&lt;&gt;"Pending",Bookings!G865&lt;&gt;"Cancelled"),"CHECK status","OK")))))))))),"CHECK input"))</ns0:f>
        <ns0:v/>
      </ns0:c>
      <ns0:c r="G865" s="0">
        <ns0:f>IF(OR(F865&lt;&gt;"OK",$B$6&gt;0),0,0.5*(IF(('_Dates'!X865)&lt;('_Dates'!W865),0,INT((('_Dates'!X865)-('_Dates'!W865)+1)/7)*LEN(SUBSTITUTE(W865,"O",""))+LEN(SUBSTITUTE(MID(W865&amp;W865,WEEKDAY(('_Dates'!W865),2),MOD((('_Dates'!X865)-('_Dates'!W865)+1),7)),"O",""))-COUNTIFS(INDEX(AllClosureRows,C865,0),"&gt;="&amp;('_Dates'!W865),INDEX(AllClosureRows,C865,0),"&lt;="&amp;('_Dates'!X865)))+IF(('_Dates'!Z865)&lt;('_Dates'!Y865),0,INT((('_Dates'!Z865)-('_Dates'!Y865)+1)/7)*LEN(SUBSTITUTE(W865,"O",""))+LEN(SUBSTITUTE(MID(W865&amp;W865,WEEKDAY(('_Dates'!Y865),2),MOD((('_Dates'!Z865)-('_Dates'!Y865)+1),7)),"O",""))-COUNTIFS(INDEX(AllClosureRows,C865,0),"&gt;="&amp;('_Dates'!Y865),INDEX(AllClosureRows,C865,0),"&lt;="&amp;('_Dates'!Z865)))))</ns0:f>
        <ns0:v>0</ns0:v>
      </ns0:c>
      <ns0:c r="H865" s="0">
        <ns0:f>IF(OR(F865&lt;&gt;"OK",$B$6&gt;0),0,0.5*(IF((MIN('_Dates'!X865,Settings!$B$9))&lt;('_Dates'!W865),0,INT(((MIN('_Dates'!X865,Settings!$B$9))-('_Dates'!W865)+1)/7)*LEN(SUBSTITUTE(W865,"O",""))+LEN(SUBSTITUTE(MID(W865&amp;W865,WEEKDAY(('_Dates'!W865),2),MOD(((MIN('_Dates'!X865,Settings!$B$9))-('_Dates'!W865)+1),7)),"O",""))-COUNTIFS(INDEX(AllClosureRows,C865,0),"&gt;="&amp;('_Dates'!W865),INDEX(AllClosureRows,C865,0),"&lt;="&amp;(MIN('_Dates'!X865,Settings!$B$9))))+IF((MIN('_Dates'!Z865,Settings!$B$9))&lt;('_Dates'!Y865),0,INT(((MIN('_Dates'!Z865,Settings!$B$9))-('_Dates'!Y865)+1)/7)*LEN(SUBSTITUTE(W865,"O",""))+LEN(SUBSTITUTE(MID(W865&amp;W865,WEEKDAY(('_Dates'!Y865),2),MOD(((MIN('_Dates'!Z865,Settings!$B$9))-('_Dates'!Y865)+1),7)),"O",""))-COUNTIFS(INDEX(AllClosureRows,C865,0),"&gt;="&amp;('_Dates'!Y865),INDEX(AllClosureRows,C865,0),"&lt;="&amp;(MIN('_Dates'!Z865,Settings!$B$9))))))</ns0:f>
        <ns0:v>0</ns0:v>
      </ns0:c>
      <ns0:c r="I865" s="0">
        <ns0:f>MAX(0,G865-H865)</ns0:f>
        <ns0:v>0</ns0:v>
      </ns0:c>
      <ns0:c r="J865" s="0">
        <ns0:f>IF(OR(A865=0,F865&lt;&gt;"OK",Bookings!G865="Cancelled",$B$6&gt;0),0,IF('_Dates'!AC865=1,MAX(0,COUNTIFS(rngEngine_B,B865,rngAMStart,"&lt;="&amp;'_Dates'!X865,rngAMEnd,"&gt;="&amp;'_Dates'!W865,rngAMActive,1,rngEngine_F,"OK",rngBookings_F,"&lt;&gt;Cancelled")-1),0)+IF('_Dates'!AD865=1,MAX(0,COUNTIFS(rngEngine_B,B865,rngPMStart,"&lt;="&amp;'_Dates'!Z865,rngPMEnd,"&gt;="&amp;'_Dates'!Y865,rngPMActive,1,rngEngine_F,"OK",rngBookings_F,"&lt;&gt;Cancelled")-1),0))</ns0:f>
        <ns0:v>0</ns0:v>
      </ns0:c>
      <ns0:c r="K865" s="0" t="str">
        <ns0:f>IF(A865=0,"",IF(F865&lt;&gt;"OK",F865,IF(J865&gt;0,"CHECK overlapping entry",IF(AND($B$6=0,G865&lt;=0,Bookings!G865&lt;&gt;"Cancelled"),"CHECK no working days",IF(Bookings!G865="Cancelled","Cancelled","OK")))))</ns0:f>
        <ns0:v/>
      </ns0:c>
      <ns0:c r="L865" s="0">
        <ns0:f>IF(LEFT(K865,5)="CHECK",1,0)</ns0:f>
        <ns0:v>0</ns0:v>
      </ns0:c>
      <ns0:c r="M865" s="0">
        <ns0:f>IF(AND(L865=1,OR(C865=0,IFERROR(INDEX($X$11:$X$60,C865),0)=0)),1,0)</ns0:f>
        <ns0:v>0</ns0:v>
      </ns0:c>
      <ns0:c r="N865" s="0">
        <ns0:f>IF(OR(A865=0,L865&gt;0,$B$6&gt;0,Bookings!G865="Cancelled"),0,G865)</ns0:f>
        <ns0:v>0</ns0:v>
      </ns0:c>
      <ns0:c r="O865" s="0">
        <ns0:f>IF(AND(Bookings!G865="Approved",E865="Yes"),N865,0)</ns0:f>
        <ns0:v>0</ns0:v>
      </ns0:c>
      <ns0:c r="P865" s="0">
        <ns0:f>IF(AND(Bookings!G865="Approved",E865="Yes",L865=0,$B$6=0),H865,0)</ns0:f>
        <ns0:v>0</ns0:v>
      </ns0:c>
      <ns0:c r="Q865" s="0">
        <ns0:f>IF(AND(Bookings!G865="Approved",E865="Yes",L865=0,$B$6=0),I865,0)</ns0:f>
        <ns0:v>0</ns0:v>
      </ns0:c>
      <ns0:c r="R865" s="0">
        <ns0:f>IF(AND(Bookings!G865="Pending",E865="Yes"),N865,0)</ns0:f>
        <ns0:v>0</ns0:v>
      </ns0:c>
      <ns0:c r="S865" s="0">
        <ns0:f>IF(AND(Bookings!G865="Approved",E865="No"),N865,0)</ns0:f>
        <ns0:v>0</ns0:v>
      </ns0:c>
      <ns0:c r="T865" s="0">
        <ns0:f>IFERROR(MATCH(D865,Settings!$G$7:$G$11,0),0)</ns0:f>
        <ns0:v>0</ns0:v>
      </ns0:c>
      <ns0:c r="U865" s="0">
        <ns0:f>IF(N865&gt;0,T865+IF(Bookings!G865="Pending",10,0),0)</ns0:f>
        <ns0:v>0</ns0:v>
      </ns0:c>
      <ns0:c r="V865" s="0">
        <ns0:f>U865</ns0:f>
        <ns0:v>0</ns0:v>
      </ns0:c>
      <ns0:c r="W865" s="0" t="str">
        <ns0:f>IF(C865=0,"",INDEX($AP$11:$AP$60,C865))</ns0:f>
        <ns0:v/>
      </ns0:c>
    </ns0:row>
    <ns0:row r="866">
      <ns0:c r="A866" s="0">
        <ns0:f>IF(COUNTA(Bookings!A866:G866,Bookings!I866)=0,0,1)</ns0:f>
        <ns0:v>0</ns0:v>
      </ns0:c>
      <ns0:c r="B866" s="0" t="str">
        <ns0:f>IFERROR(TRIM(MID(Bookings!A866,FIND(" · ",Bookings!A866)+3,99)),"")</ns0:f>
        <ns0:v/>
      </ns0:c>
      <ns0:c r="C866" s="0">
        <ns0:f>IF(OR(B866="",LEN(B866)&gt;24,ISNUMBER(FIND(" ",B866)),ISNUMBER(FIND("*",B866)),ISNUMBER(FIND("?",B866)),ISNUMBER(FIND("~",B866))),0,IFERROR(MATCH(B866,Team!$A$11:$A$60,0),0))</ns0:f>
        <ns0:v>0</ns0:v>
      </ns0:c>
      <ns0:c r="D866" s="0" t="str">
        <ns0:f>IFERROR(IF(MID(Bookings!F866,LEN(Bookings!F866)-3,3)=" · ",RIGHT(Bookings!F866,1),""),"")</ns0:f>
        <ns0:v/>
      </ns0:c>
      <ns0:c r="E866" s="0" t="str">
        <ns0:f>IFERROR(INDEX(Settings!$H$7:$H$11,MATCH(D866,Settings!$G$7:$G$11,0)),"")</ns0:f>
        <ns0:v/>
      </ns0:c>
      <ns0:c r="F866" s="0" t="str">
        <ns0:f>IF(A866=0,"",IFERROR(IF(OR(B866="",C866=0),"CHECK employee selection",IF(INDEX(Team!$O$11:$O$60,C866)&lt;&gt;"OK","CHECK employee setup",IF(OR('_Dates'!J866=0,'_Dates'!T866=0),"CHECK date: use DD.MM.YYYY",IF('_Dates'!T866&lt;'_Dates'!J866,"CHECK end before start",IF(AND($B$6=0,OR('_Dates'!J866&lt;Settings!$B$7,'_Dates'!T866&gt;Settings!$B$8)),"CHECK split across leave years",IF(OR(NOT(OR('_Dates'!U866="Full day",'_Dates'!U866="AM",'_Dates'!U866="PM")),NOT(OR('_Dates'!V866="Full day",'_Dates'!V866="AM",'_Dates'!V866="PM"))),"CHECK Full day / AM / PM",IF(AND('_Dates'!J866='_Dates'!T866,'_Dates'!U866&lt;&gt;"Full day",'_Dates'!V866&lt;&gt;"Full day",'_Dates'!U866&lt;&gt;'_Dates'!V866),"CHECK same-day portions disagree",IF(AND($B$6=0,OR(AND('_Dates'!U866&lt;&gt;"Full day",'_Dates'!AA866=0),AND('_Dates'!V866&lt;&gt;"Full day",'_Dates'!AB866=0))),"CHECK half-day on non-working date",IF(COUNTIF(Settings!$G$7:$G$11,D866)&lt;&gt;1,"CHECK leave type",IF(AND(Bookings!G866&lt;&gt;"Approved",Bookings!G866&lt;&gt;"Pending",Bookings!G866&lt;&gt;"Cancelled"),"CHECK status","OK")))))))))),"CHECK input"))</ns0:f>
        <ns0:v/>
      </ns0:c>
      <ns0:c r="G866" s="0">
        <ns0:f>IF(OR(F866&lt;&gt;"OK",$B$6&gt;0),0,0.5*(IF(('_Dates'!X866)&lt;('_Dates'!W866),0,INT((('_Dates'!X866)-('_Dates'!W866)+1)/7)*LEN(SUBSTITUTE(W866,"O",""))+LEN(SUBSTITUTE(MID(W866&amp;W866,WEEKDAY(('_Dates'!W866),2),MOD((('_Dates'!X866)-('_Dates'!W866)+1),7)),"O",""))-COUNTIFS(INDEX(AllClosureRows,C866,0),"&gt;="&amp;('_Dates'!W866),INDEX(AllClosureRows,C866,0),"&lt;="&amp;('_Dates'!X866)))+IF(('_Dates'!Z866)&lt;('_Dates'!Y866),0,INT((('_Dates'!Z866)-('_Dates'!Y866)+1)/7)*LEN(SUBSTITUTE(W866,"O",""))+LEN(SUBSTITUTE(MID(W866&amp;W866,WEEKDAY(('_Dates'!Y866),2),MOD((('_Dates'!Z866)-('_Dates'!Y866)+1),7)),"O",""))-COUNTIFS(INDEX(AllClosureRows,C866,0),"&gt;="&amp;('_Dates'!Y866),INDEX(AllClosureRows,C866,0),"&lt;="&amp;('_Dates'!Z866)))))</ns0:f>
        <ns0:v>0</ns0:v>
      </ns0:c>
      <ns0:c r="H866" s="0">
        <ns0:f>IF(OR(F866&lt;&gt;"OK",$B$6&gt;0),0,0.5*(IF((MIN('_Dates'!X866,Settings!$B$9))&lt;('_Dates'!W866),0,INT(((MIN('_Dates'!X866,Settings!$B$9))-('_Dates'!W866)+1)/7)*LEN(SUBSTITUTE(W866,"O",""))+LEN(SUBSTITUTE(MID(W866&amp;W866,WEEKDAY(('_Dates'!W866),2),MOD(((MIN('_Dates'!X866,Settings!$B$9))-('_Dates'!W866)+1),7)),"O",""))-COUNTIFS(INDEX(AllClosureRows,C866,0),"&gt;="&amp;('_Dates'!W866),INDEX(AllClosureRows,C866,0),"&lt;="&amp;(MIN('_Dates'!X866,Settings!$B$9))))+IF((MIN('_Dates'!Z866,Settings!$B$9))&lt;('_Dates'!Y866),0,INT(((MIN('_Dates'!Z866,Settings!$B$9))-('_Dates'!Y866)+1)/7)*LEN(SUBSTITUTE(W866,"O",""))+LEN(SUBSTITUTE(MID(W866&amp;W866,WEEKDAY(('_Dates'!Y866),2),MOD(((MIN('_Dates'!Z866,Settings!$B$9))-('_Dates'!Y866)+1),7)),"O",""))-COUNTIFS(INDEX(AllClosureRows,C866,0),"&gt;="&amp;('_Dates'!Y866),INDEX(AllClosureRows,C866,0),"&lt;="&amp;(MIN('_Dates'!Z866,Settings!$B$9))))))</ns0:f>
        <ns0:v>0</ns0:v>
      </ns0:c>
      <ns0:c r="I866" s="0">
        <ns0:f>MAX(0,G866-H866)</ns0:f>
        <ns0:v>0</ns0:v>
      </ns0:c>
      <ns0:c r="J866" s="0">
        <ns0:f>IF(OR(A866=0,F866&lt;&gt;"OK",Bookings!G866="Cancelled",$B$6&gt;0),0,IF('_Dates'!AC866=1,MAX(0,COUNTIFS(rngEngine_B,B866,rngAMStart,"&lt;="&amp;'_Dates'!X866,rngAMEnd,"&gt;="&amp;'_Dates'!W866,rngAMActive,1,rngEngine_F,"OK",rngBookings_F,"&lt;&gt;Cancelled")-1),0)+IF('_Dates'!AD866=1,MAX(0,COUNTIFS(rngEngine_B,B866,rngPMStart,"&lt;="&amp;'_Dates'!Z866,rngPMEnd,"&gt;="&amp;'_Dates'!Y866,rngPMActive,1,rngEngine_F,"OK",rngBookings_F,"&lt;&gt;Cancelled")-1),0))</ns0:f>
        <ns0:v>0</ns0:v>
      </ns0:c>
      <ns0:c r="K866" s="0" t="str">
        <ns0:f>IF(A866=0,"",IF(F866&lt;&gt;"OK",F866,IF(J866&gt;0,"CHECK overlapping entry",IF(AND($B$6=0,G866&lt;=0,Bookings!G866&lt;&gt;"Cancelled"),"CHECK no working days",IF(Bookings!G866="Cancelled","Cancelled","OK")))))</ns0:f>
        <ns0:v/>
      </ns0:c>
      <ns0:c r="L866" s="0">
        <ns0:f>IF(LEFT(K866,5)="CHECK",1,0)</ns0:f>
        <ns0:v>0</ns0:v>
      </ns0:c>
      <ns0:c r="M866" s="0">
        <ns0:f>IF(AND(L866=1,OR(C866=0,IFERROR(INDEX($X$11:$X$60,C866),0)=0)),1,0)</ns0:f>
        <ns0:v>0</ns0:v>
      </ns0:c>
      <ns0:c r="N866" s="0">
        <ns0:f>IF(OR(A866=0,L866&gt;0,$B$6&gt;0,Bookings!G866="Cancelled"),0,G866)</ns0:f>
        <ns0:v>0</ns0:v>
      </ns0:c>
      <ns0:c r="O866" s="0">
        <ns0:f>IF(AND(Bookings!G866="Approved",E866="Yes"),N866,0)</ns0:f>
        <ns0:v>0</ns0:v>
      </ns0:c>
      <ns0:c r="P866" s="0">
        <ns0:f>IF(AND(Bookings!G866="Approved",E866="Yes",L866=0,$B$6=0),H866,0)</ns0:f>
        <ns0:v>0</ns0:v>
      </ns0:c>
      <ns0:c r="Q866" s="0">
        <ns0:f>IF(AND(Bookings!G866="Approved",E866="Yes",L866=0,$B$6=0),I866,0)</ns0:f>
        <ns0:v>0</ns0:v>
      </ns0:c>
      <ns0:c r="R866" s="0">
        <ns0:f>IF(AND(Bookings!G866="Pending",E866="Yes"),N866,0)</ns0:f>
        <ns0:v>0</ns0:v>
      </ns0:c>
      <ns0:c r="S866" s="0">
        <ns0:f>IF(AND(Bookings!G866="Approved",E866="No"),N866,0)</ns0:f>
        <ns0:v>0</ns0:v>
      </ns0:c>
      <ns0:c r="T866" s="0">
        <ns0:f>IFERROR(MATCH(D866,Settings!$G$7:$G$11,0),0)</ns0:f>
        <ns0:v>0</ns0:v>
      </ns0:c>
      <ns0:c r="U866" s="0">
        <ns0:f>IF(N866&gt;0,T866+IF(Bookings!G866="Pending",10,0),0)</ns0:f>
        <ns0:v>0</ns0:v>
      </ns0:c>
      <ns0:c r="V866" s="0">
        <ns0:f>U866</ns0:f>
        <ns0:v>0</ns0:v>
      </ns0:c>
      <ns0:c r="W866" s="0" t="str">
        <ns0:f>IF(C866=0,"",INDEX($AP$11:$AP$60,C866))</ns0:f>
        <ns0:v/>
      </ns0:c>
    </ns0:row>
    <ns0:row r="867">
      <ns0:c r="A867" s="0">
        <ns0:f>IF(COUNTA(Bookings!A867:G867,Bookings!I867)=0,0,1)</ns0:f>
        <ns0:v>0</ns0:v>
      </ns0:c>
      <ns0:c r="B867" s="0" t="str">
        <ns0:f>IFERROR(TRIM(MID(Bookings!A867,FIND(" · ",Bookings!A867)+3,99)),"")</ns0:f>
        <ns0:v/>
      </ns0:c>
      <ns0:c r="C867" s="0">
        <ns0:f>IF(OR(B867="",LEN(B867)&gt;24,ISNUMBER(FIND(" ",B867)),ISNUMBER(FIND("*",B867)),ISNUMBER(FIND("?",B867)),ISNUMBER(FIND("~",B867))),0,IFERROR(MATCH(B867,Team!$A$11:$A$60,0),0))</ns0:f>
        <ns0:v>0</ns0:v>
      </ns0:c>
      <ns0:c r="D867" s="0" t="str">
        <ns0:f>IFERROR(IF(MID(Bookings!F867,LEN(Bookings!F867)-3,3)=" · ",RIGHT(Bookings!F867,1),""),"")</ns0:f>
        <ns0:v/>
      </ns0:c>
      <ns0:c r="E867" s="0" t="str">
        <ns0:f>IFERROR(INDEX(Settings!$H$7:$H$11,MATCH(D867,Settings!$G$7:$G$11,0)),"")</ns0:f>
        <ns0:v/>
      </ns0:c>
      <ns0:c r="F867" s="0" t="str">
        <ns0:f>IF(A867=0,"",IFERROR(IF(OR(B867="",C867=0),"CHECK employee selection",IF(INDEX(Team!$O$11:$O$60,C867)&lt;&gt;"OK","CHECK employee setup",IF(OR('_Dates'!J867=0,'_Dates'!T867=0),"CHECK date: use DD.MM.YYYY",IF('_Dates'!T867&lt;'_Dates'!J867,"CHECK end before start",IF(AND($B$6=0,OR('_Dates'!J867&lt;Settings!$B$7,'_Dates'!T867&gt;Settings!$B$8)),"CHECK split across leave years",IF(OR(NOT(OR('_Dates'!U867="Full day",'_Dates'!U867="AM",'_Dates'!U867="PM")),NOT(OR('_Dates'!V867="Full day",'_Dates'!V867="AM",'_Dates'!V867="PM"))),"CHECK Full day / AM / PM",IF(AND('_Dates'!J867='_Dates'!T867,'_Dates'!U867&lt;&gt;"Full day",'_Dates'!V867&lt;&gt;"Full day",'_Dates'!U867&lt;&gt;'_Dates'!V867),"CHECK same-day portions disagree",IF(AND($B$6=0,OR(AND('_Dates'!U867&lt;&gt;"Full day",'_Dates'!AA867=0),AND('_Dates'!V867&lt;&gt;"Full day",'_Dates'!AB867=0))),"CHECK half-day on non-working date",IF(COUNTIF(Settings!$G$7:$G$11,D867)&lt;&gt;1,"CHECK leave type",IF(AND(Bookings!G867&lt;&gt;"Approved",Bookings!G867&lt;&gt;"Pending",Bookings!G867&lt;&gt;"Cancelled"),"CHECK status","OK")))))))))),"CHECK input"))</ns0:f>
        <ns0:v/>
      </ns0:c>
      <ns0:c r="G867" s="0">
        <ns0:f>IF(OR(F867&lt;&gt;"OK",$B$6&gt;0),0,0.5*(IF(('_Dates'!X867)&lt;('_Dates'!W867),0,INT((('_Dates'!X867)-('_Dates'!W867)+1)/7)*LEN(SUBSTITUTE(W867,"O",""))+LEN(SUBSTITUTE(MID(W867&amp;W867,WEEKDAY(('_Dates'!W867),2),MOD((('_Dates'!X867)-('_Dates'!W867)+1),7)),"O",""))-COUNTIFS(INDEX(AllClosureRows,C867,0),"&gt;="&amp;('_Dates'!W867),INDEX(AllClosureRows,C867,0),"&lt;="&amp;('_Dates'!X867)))+IF(('_Dates'!Z867)&lt;('_Dates'!Y867),0,INT((('_Dates'!Z867)-('_Dates'!Y867)+1)/7)*LEN(SUBSTITUTE(W867,"O",""))+LEN(SUBSTITUTE(MID(W867&amp;W867,WEEKDAY(('_Dates'!Y867),2),MOD((('_Dates'!Z867)-('_Dates'!Y867)+1),7)),"O",""))-COUNTIFS(INDEX(AllClosureRows,C867,0),"&gt;="&amp;('_Dates'!Y867),INDEX(AllClosureRows,C867,0),"&lt;="&amp;('_Dates'!Z867)))))</ns0:f>
        <ns0:v>0</ns0:v>
      </ns0:c>
      <ns0:c r="H867" s="0">
        <ns0:f>IF(OR(F867&lt;&gt;"OK",$B$6&gt;0),0,0.5*(IF((MIN('_Dates'!X867,Settings!$B$9))&lt;('_Dates'!W867),0,INT(((MIN('_Dates'!X867,Settings!$B$9))-('_Dates'!W867)+1)/7)*LEN(SUBSTITUTE(W867,"O",""))+LEN(SUBSTITUTE(MID(W867&amp;W867,WEEKDAY(('_Dates'!W867),2),MOD(((MIN('_Dates'!X867,Settings!$B$9))-('_Dates'!W867)+1),7)),"O",""))-COUNTIFS(INDEX(AllClosureRows,C867,0),"&gt;="&amp;('_Dates'!W867),INDEX(AllClosureRows,C867,0),"&lt;="&amp;(MIN('_Dates'!X867,Settings!$B$9))))+IF((MIN('_Dates'!Z867,Settings!$B$9))&lt;('_Dates'!Y867),0,INT(((MIN('_Dates'!Z867,Settings!$B$9))-('_Dates'!Y867)+1)/7)*LEN(SUBSTITUTE(W867,"O",""))+LEN(SUBSTITUTE(MID(W867&amp;W867,WEEKDAY(('_Dates'!Y867),2),MOD(((MIN('_Dates'!Z867,Settings!$B$9))-('_Dates'!Y867)+1),7)),"O",""))-COUNTIFS(INDEX(AllClosureRows,C867,0),"&gt;="&amp;('_Dates'!Y867),INDEX(AllClosureRows,C867,0),"&lt;="&amp;(MIN('_Dates'!Z867,Settings!$B$9))))))</ns0:f>
        <ns0:v>0</ns0:v>
      </ns0:c>
      <ns0:c r="I867" s="0">
        <ns0:f>MAX(0,G867-H867)</ns0:f>
        <ns0:v>0</ns0:v>
      </ns0:c>
      <ns0:c r="J867" s="0">
        <ns0:f>IF(OR(A867=0,F867&lt;&gt;"OK",Bookings!G867="Cancelled",$B$6&gt;0),0,IF('_Dates'!AC867=1,MAX(0,COUNTIFS(rngEngine_B,B867,rngAMStart,"&lt;="&amp;'_Dates'!X867,rngAMEnd,"&gt;="&amp;'_Dates'!W867,rngAMActive,1,rngEngine_F,"OK",rngBookings_F,"&lt;&gt;Cancelled")-1),0)+IF('_Dates'!AD867=1,MAX(0,COUNTIFS(rngEngine_B,B867,rngPMStart,"&lt;="&amp;'_Dates'!Z867,rngPMEnd,"&gt;="&amp;'_Dates'!Y867,rngPMActive,1,rngEngine_F,"OK",rngBookings_F,"&lt;&gt;Cancelled")-1),0))</ns0:f>
        <ns0:v>0</ns0:v>
      </ns0:c>
      <ns0:c r="K867" s="0" t="str">
        <ns0:f>IF(A867=0,"",IF(F867&lt;&gt;"OK",F867,IF(J867&gt;0,"CHECK overlapping entry",IF(AND($B$6=0,G867&lt;=0,Bookings!G867&lt;&gt;"Cancelled"),"CHECK no working days",IF(Bookings!G867="Cancelled","Cancelled","OK")))))</ns0:f>
        <ns0:v/>
      </ns0:c>
      <ns0:c r="L867" s="0">
        <ns0:f>IF(LEFT(K867,5)="CHECK",1,0)</ns0:f>
        <ns0:v>0</ns0:v>
      </ns0:c>
      <ns0:c r="M867" s="0">
        <ns0:f>IF(AND(L867=1,OR(C867=0,IFERROR(INDEX($X$11:$X$60,C867),0)=0)),1,0)</ns0:f>
        <ns0:v>0</ns0:v>
      </ns0:c>
      <ns0:c r="N867" s="0">
        <ns0:f>IF(OR(A867=0,L867&gt;0,$B$6&gt;0,Bookings!G867="Cancelled"),0,G867)</ns0:f>
        <ns0:v>0</ns0:v>
      </ns0:c>
      <ns0:c r="O867" s="0">
        <ns0:f>IF(AND(Bookings!G867="Approved",E867="Yes"),N867,0)</ns0:f>
        <ns0:v>0</ns0:v>
      </ns0:c>
      <ns0:c r="P867" s="0">
        <ns0:f>IF(AND(Bookings!G867="Approved",E867="Yes",L867=0,$B$6=0),H867,0)</ns0:f>
        <ns0:v>0</ns0:v>
      </ns0:c>
      <ns0:c r="Q867" s="0">
        <ns0:f>IF(AND(Bookings!G867="Approved",E867="Yes",L867=0,$B$6=0),I867,0)</ns0:f>
        <ns0:v>0</ns0:v>
      </ns0:c>
      <ns0:c r="R867" s="0">
        <ns0:f>IF(AND(Bookings!G867="Pending",E867="Yes"),N867,0)</ns0:f>
        <ns0:v>0</ns0:v>
      </ns0:c>
      <ns0:c r="S867" s="0">
        <ns0:f>IF(AND(Bookings!G867="Approved",E867="No"),N867,0)</ns0:f>
        <ns0:v>0</ns0:v>
      </ns0:c>
      <ns0:c r="T867" s="0">
        <ns0:f>IFERROR(MATCH(D867,Settings!$G$7:$G$11,0),0)</ns0:f>
        <ns0:v>0</ns0:v>
      </ns0:c>
      <ns0:c r="U867" s="0">
        <ns0:f>IF(N867&gt;0,T867+IF(Bookings!G867="Pending",10,0),0)</ns0:f>
        <ns0:v>0</ns0:v>
      </ns0:c>
      <ns0:c r="V867" s="0">
        <ns0:f>U867</ns0:f>
        <ns0:v>0</ns0:v>
      </ns0:c>
      <ns0:c r="W867" s="0" t="str">
        <ns0:f>IF(C867=0,"",INDEX($AP$11:$AP$60,C867))</ns0:f>
        <ns0:v/>
      </ns0:c>
    </ns0:row>
    <ns0:row r="868">
      <ns0:c r="A868" s="0">
        <ns0:f>IF(COUNTA(Bookings!A868:G868,Bookings!I868)=0,0,1)</ns0:f>
        <ns0:v>0</ns0:v>
      </ns0:c>
      <ns0:c r="B868" s="0" t="str">
        <ns0:f>IFERROR(TRIM(MID(Bookings!A868,FIND(" · ",Bookings!A868)+3,99)),"")</ns0:f>
        <ns0:v/>
      </ns0:c>
      <ns0:c r="C868" s="0">
        <ns0:f>IF(OR(B868="",LEN(B868)&gt;24,ISNUMBER(FIND(" ",B868)),ISNUMBER(FIND("*",B868)),ISNUMBER(FIND("?",B868)),ISNUMBER(FIND("~",B868))),0,IFERROR(MATCH(B868,Team!$A$11:$A$60,0),0))</ns0:f>
        <ns0:v>0</ns0:v>
      </ns0:c>
      <ns0:c r="D868" s="0" t="str">
        <ns0:f>IFERROR(IF(MID(Bookings!F868,LEN(Bookings!F868)-3,3)=" · ",RIGHT(Bookings!F868,1),""),"")</ns0:f>
        <ns0:v/>
      </ns0:c>
      <ns0:c r="E868" s="0" t="str">
        <ns0:f>IFERROR(INDEX(Settings!$H$7:$H$11,MATCH(D868,Settings!$G$7:$G$11,0)),"")</ns0:f>
        <ns0:v/>
      </ns0:c>
      <ns0:c r="F868" s="0" t="str">
        <ns0:f>IF(A868=0,"",IFERROR(IF(OR(B868="",C868=0),"CHECK employee selection",IF(INDEX(Team!$O$11:$O$60,C868)&lt;&gt;"OK","CHECK employee setup",IF(OR('_Dates'!J868=0,'_Dates'!T868=0),"CHECK date: use DD.MM.YYYY",IF('_Dates'!T868&lt;'_Dates'!J868,"CHECK end before start",IF(AND($B$6=0,OR('_Dates'!J868&lt;Settings!$B$7,'_Dates'!T868&gt;Settings!$B$8)),"CHECK split across leave years",IF(OR(NOT(OR('_Dates'!U868="Full day",'_Dates'!U868="AM",'_Dates'!U868="PM")),NOT(OR('_Dates'!V868="Full day",'_Dates'!V868="AM",'_Dates'!V868="PM"))),"CHECK Full day / AM / PM",IF(AND('_Dates'!J868='_Dates'!T868,'_Dates'!U868&lt;&gt;"Full day",'_Dates'!V868&lt;&gt;"Full day",'_Dates'!U868&lt;&gt;'_Dates'!V868),"CHECK same-day portions disagree",IF(AND($B$6=0,OR(AND('_Dates'!U868&lt;&gt;"Full day",'_Dates'!AA868=0),AND('_Dates'!V868&lt;&gt;"Full day",'_Dates'!AB868=0))),"CHECK half-day on non-working date",IF(COUNTIF(Settings!$G$7:$G$11,D868)&lt;&gt;1,"CHECK leave type",IF(AND(Bookings!G868&lt;&gt;"Approved",Bookings!G868&lt;&gt;"Pending",Bookings!G868&lt;&gt;"Cancelled"),"CHECK status","OK")))))))))),"CHECK input"))</ns0:f>
        <ns0:v/>
      </ns0:c>
      <ns0:c r="G868" s="0">
        <ns0:f>IF(OR(F868&lt;&gt;"OK",$B$6&gt;0),0,0.5*(IF(('_Dates'!X868)&lt;('_Dates'!W868),0,INT((('_Dates'!X868)-('_Dates'!W868)+1)/7)*LEN(SUBSTITUTE(W868,"O",""))+LEN(SUBSTITUTE(MID(W868&amp;W868,WEEKDAY(('_Dates'!W868),2),MOD((('_Dates'!X868)-('_Dates'!W868)+1),7)),"O",""))-COUNTIFS(INDEX(AllClosureRows,C868,0),"&gt;="&amp;('_Dates'!W868),INDEX(AllClosureRows,C868,0),"&lt;="&amp;('_Dates'!X868)))+IF(('_Dates'!Z868)&lt;('_Dates'!Y868),0,INT((('_Dates'!Z868)-('_Dates'!Y868)+1)/7)*LEN(SUBSTITUTE(W868,"O",""))+LEN(SUBSTITUTE(MID(W868&amp;W868,WEEKDAY(('_Dates'!Y868),2),MOD((('_Dates'!Z868)-('_Dates'!Y868)+1),7)),"O",""))-COUNTIFS(INDEX(AllClosureRows,C868,0),"&gt;="&amp;('_Dates'!Y868),INDEX(AllClosureRows,C868,0),"&lt;="&amp;('_Dates'!Z868)))))</ns0:f>
        <ns0:v>0</ns0:v>
      </ns0:c>
      <ns0:c r="H868" s="0">
        <ns0:f>IF(OR(F868&lt;&gt;"OK",$B$6&gt;0),0,0.5*(IF((MIN('_Dates'!X868,Settings!$B$9))&lt;('_Dates'!W868),0,INT(((MIN('_Dates'!X868,Settings!$B$9))-('_Dates'!W868)+1)/7)*LEN(SUBSTITUTE(W868,"O",""))+LEN(SUBSTITUTE(MID(W868&amp;W868,WEEKDAY(('_Dates'!W868),2),MOD(((MIN('_Dates'!X868,Settings!$B$9))-('_Dates'!W868)+1),7)),"O",""))-COUNTIFS(INDEX(AllClosureRows,C868,0),"&gt;="&amp;('_Dates'!W868),INDEX(AllClosureRows,C868,0),"&lt;="&amp;(MIN('_Dates'!X868,Settings!$B$9))))+IF((MIN('_Dates'!Z868,Settings!$B$9))&lt;('_Dates'!Y868),0,INT(((MIN('_Dates'!Z868,Settings!$B$9))-('_Dates'!Y868)+1)/7)*LEN(SUBSTITUTE(W868,"O",""))+LEN(SUBSTITUTE(MID(W868&amp;W868,WEEKDAY(('_Dates'!Y868),2),MOD(((MIN('_Dates'!Z868,Settings!$B$9))-('_Dates'!Y868)+1),7)),"O",""))-COUNTIFS(INDEX(AllClosureRows,C868,0),"&gt;="&amp;('_Dates'!Y868),INDEX(AllClosureRows,C868,0),"&lt;="&amp;(MIN('_Dates'!Z868,Settings!$B$9))))))</ns0:f>
        <ns0:v>0</ns0:v>
      </ns0:c>
      <ns0:c r="I868" s="0">
        <ns0:f>MAX(0,G868-H868)</ns0:f>
        <ns0:v>0</ns0:v>
      </ns0:c>
      <ns0:c r="J868" s="0">
        <ns0:f>IF(OR(A868=0,F868&lt;&gt;"OK",Bookings!G868="Cancelled",$B$6&gt;0),0,IF('_Dates'!AC868=1,MAX(0,COUNTIFS(rngEngine_B,B868,rngAMStart,"&lt;="&amp;'_Dates'!X868,rngAMEnd,"&gt;="&amp;'_Dates'!W868,rngAMActive,1,rngEngine_F,"OK",rngBookings_F,"&lt;&gt;Cancelled")-1),0)+IF('_Dates'!AD868=1,MAX(0,COUNTIFS(rngEngine_B,B868,rngPMStart,"&lt;="&amp;'_Dates'!Z868,rngPMEnd,"&gt;="&amp;'_Dates'!Y868,rngPMActive,1,rngEngine_F,"OK",rngBookings_F,"&lt;&gt;Cancelled")-1),0))</ns0:f>
        <ns0:v>0</ns0:v>
      </ns0:c>
      <ns0:c r="K868" s="0" t="str">
        <ns0:f>IF(A868=0,"",IF(F868&lt;&gt;"OK",F868,IF(J868&gt;0,"CHECK overlapping entry",IF(AND($B$6=0,G868&lt;=0,Bookings!G868&lt;&gt;"Cancelled"),"CHECK no working days",IF(Bookings!G868="Cancelled","Cancelled","OK")))))</ns0:f>
        <ns0:v/>
      </ns0:c>
      <ns0:c r="L868" s="0">
        <ns0:f>IF(LEFT(K868,5)="CHECK",1,0)</ns0:f>
        <ns0:v>0</ns0:v>
      </ns0:c>
      <ns0:c r="M868" s="0">
        <ns0:f>IF(AND(L868=1,OR(C868=0,IFERROR(INDEX($X$11:$X$60,C868),0)=0)),1,0)</ns0:f>
        <ns0:v>0</ns0:v>
      </ns0:c>
      <ns0:c r="N868" s="0">
        <ns0:f>IF(OR(A868=0,L868&gt;0,$B$6&gt;0,Bookings!G868="Cancelled"),0,G868)</ns0:f>
        <ns0:v>0</ns0:v>
      </ns0:c>
      <ns0:c r="O868" s="0">
        <ns0:f>IF(AND(Bookings!G868="Approved",E868="Yes"),N868,0)</ns0:f>
        <ns0:v>0</ns0:v>
      </ns0:c>
      <ns0:c r="P868" s="0">
        <ns0:f>IF(AND(Bookings!G868="Approved",E868="Yes",L868=0,$B$6=0),H868,0)</ns0:f>
        <ns0:v>0</ns0:v>
      </ns0:c>
      <ns0:c r="Q868" s="0">
        <ns0:f>IF(AND(Bookings!G868="Approved",E868="Yes",L868=0,$B$6=0),I868,0)</ns0:f>
        <ns0:v>0</ns0:v>
      </ns0:c>
      <ns0:c r="R868" s="0">
        <ns0:f>IF(AND(Bookings!G868="Pending",E868="Yes"),N868,0)</ns0:f>
        <ns0:v>0</ns0:v>
      </ns0:c>
      <ns0:c r="S868" s="0">
        <ns0:f>IF(AND(Bookings!G868="Approved",E868="No"),N868,0)</ns0:f>
        <ns0:v>0</ns0:v>
      </ns0:c>
      <ns0:c r="T868" s="0">
        <ns0:f>IFERROR(MATCH(D868,Settings!$G$7:$G$11,0),0)</ns0:f>
        <ns0:v>0</ns0:v>
      </ns0:c>
      <ns0:c r="U868" s="0">
        <ns0:f>IF(N868&gt;0,T868+IF(Bookings!G868="Pending",10,0),0)</ns0:f>
        <ns0:v>0</ns0:v>
      </ns0:c>
      <ns0:c r="V868" s="0">
        <ns0:f>U868</ns0:f>
        <ns0:v>0</ns0:v>
      </ns0:c>
      <ns0:c r="W868" s="0" t="str">
        <ns0:f>IF(C868=0,"",INDEX($AP$11:$AP$60,C868))</ns0:f>
        <ns0:v/>
      </ns0:c>
    </ns0:row>
    <ns0:row r="869">
      <ns0:c r="A869" s="0">
        <ns0:f>IF(COUNTA(Bookings!A869:G869,Bookings!I869)=0,0,1)</ns0:f>
        <ns0:v>0</ns0:v>
      </ns0:c>
      <ns0:c r="B869" s="0" t="str">
        <ns0:f>IFERROR(TRIM(MID(Bookings!A869,FIND(" · ",Bookings!A869)+3,99)),"")</ns0:f>
        <ns0:v/>
      </ns0:c>
      <ns0:c r="C869" s="0">
        <ns0:f>IF(OR(B869="",LEN(B869)&gt;24,ISNUMBER(FIND(" ",B869)),ISNUMBER(FIND("*",B869)),ISNUMBER(FIND("?",B869)),ISNUMBER(FIND("~",B869))),0,IFERROR(MATCH(B869,Team!$A$11:$A$60,0),0))</ns0:f>
        <ns0:v>0</ns0:v>
      </ns0:c>
      <ns0:c r="D869" s="0" t="str">
        <ns0:f>IFERROR(IF(MID(Bookings!F869,LEN(Bookings!F869)-3,3)=" · ",RIGHT(Bookings!F869,1),""),"")</ns0:f>
        <ns0:v/>
      </ns0:c>
      <ns0:c r="E869" s="0" t="str">
        <ns0:f>IFERROR(INDEX(Settings!$H$7:$H$11,MATCH(D869,Settings!$G$7:$G$11,0)),"")</ns0:f>
        <ns0:v/>
      </ns0:c>
      <ns0:c r="F869" s="0" t="str">
        <ns0:f>IF(A869=0,"",IFERROR(IF(OR(B869="",C869=0),"CHECK employee selection",IF(INDEX(Team!$O$11:$O$60,C869)&lt;&gt;"OK","CHECK employee setup",IF(OR('_Dates'!J869=0,'_Dates'!T869=0),"CHECK date: use DD.MM.YYYY",IF('_Dates'!T869&lt;'_Dates'!J869,"CHECK end before start",IF(AND($B$6=0,OR('_Dates'!J869&lt;Settings!$B$7,'_Dates'!T869&gt;Settings!$B$8)),"CHECK split across leave years",IF(OR(NOT(OR('_Dates'!U869="Full day",'_Dates'!U869="AM",'_Dates'!U869="PM")),NOT(OR('_Dates'!V869="Full day",'_Dates'!V869="AM",'_Dates'!V869="PM"))),"CHECK Full day / AM / PM",IF(AND('_Dates'!J869='_Dates'!T869,'_Dates'!U869&lt;&gt;"Full day",'_Dates'!V869&lt;&gt;"Full day",'_Dates'!U869&lt;&gt;'_Dates'!V869),"CHECK same-day portions disagree",IF(AND($B$6=0,OR(AND('_Dates'!U869&lt;&gt;"Full day",'_Dates'!AA869=0),AND('_Dates'!V869&lt;&gt;"Full day",'_Dates'!AB869=0))),"CHECK half-day on non-working date",IF(COUNTIF(Settings!$G$7:$G$11,D869)&lt;&gt;1,"CHECK leave type",IF(AND(Bookings!G869&lt;&gt;"Approved",Bookings!G869&lt;&gt;"Pending",Bookings!G869&lt;&gt;"Cancelled"),"CHECK status","OK")))))))))),"CHECK input"))</ns0:f>
        <ns0:v/>
      </ns0:c>
      <ns0:c r="G869" s="0">
        <ns0:f>IF(OR(F869&lt;&gt;"OK",$B$6&gt;0),0,0.5*(IF(('_Dates'!X869)&lt;('_Dates'!W869),0,INT((('_Dates'!X869)-('_Dates'!W869)+1)/7)*LEN(SUBSTITUTE(W869,"O",""))+LEN(SUBSTITUTE(MID(W869&amp;W869,WEEKDAY(('_Dates'!W869),2),MOD((('_Dates'!X869)-('_Dates'!W869)+1),7)),"O",""))-COUNTIFS(INDEX(AllClosureRows,C869,0),"&gt;="&amp;('_Dates'!W869),INDEX(AllClosureRows,C869,0),"&lt;="&amp;('_Dates'!X869)))+IF(('_Dates'!Z869)&lt;('_Dates'!Y869),0,INT((('_Dates'!Z869)-('_Dates'!Y869)+1)/7)*LEN(SUBSTITUTE(W869,"O",""))+LEN(SUBSTITUTE(MID(W869&amp;W869,WEEKDAY(('_Dates'!Y869),2),MOD((('_Dates'!Z869)-('_Dates'!Y869)+1),7)),"O",""))-COUNTIFS(INDEX(AllClosureRows,C869,0),"&gt;="&amp;('_Dates'!Y869),INDEX(AllClosureRows,C869,0),"&lt;="&amp;('_Dates'!Z869)))))</ns0:f>
        <ns0:v>0</ns0:v>
      </ns0:c>
      <ns0:c r="H869" s="0">
        <ns0:f>IF(OR(F869&lt;&gt;"OK",$B$6&gt;0),0,0.5*(IF((MIN('_Dates'!X869,Settings!$B$9))&lt;('_Dates'!W869),0,INT(((MIN('_Dates'!X869,Settings!$B$9))-('_Dates'!W869)+1)/7)*LEN(SUBSTITUTE(W869,"O",""))+LEN(SUBSTITUTE(MID(W869&amp;W869,WEEKDAY(('_Dates'!W869),2),MOD(((MIN('_Dates'!X869,Settings!$B$9))-('_Dates'!W869)+1),7)),"O",""))-COUNTIFS(INDEX(AllClosureRows,C869,0),"&gt;="&amp;('_Dates'!W869),INDEX(AllClosureRows,C869,0),"&lt;="&amp;(MIN('_Dates'!X869,Settings!$B$9))))+IF((MIN('_Dates'!Z869,Settings!$B$9))&lt;('_Dates'!Y869),0,INT(((MIN('_Dates'!Z869,Settings!$B$9))-('_Dates'!Y869)+1)/7)*LEN(SUBSTITUTE(W869,"O",""))+LEN(SUBSTITUTE(MID(W869&amp;W869,WEEKDAY(('_Dates'!Y869),2),MOD(((MIN('_Dates'!Z869,Settings!$B$9))-('_Dates'!Y869)+1),7)),"O",""))-COUNTIFS(INDEX(AllClosureRows,C869,0),"&gt;="&amp;('_Dates'!Y869),INDEX(AllClosureRows,C869,0),"&lt;="&amp;(MIN('_Dates'!Z869,Settings!$B$9))))))</ns0:f>
        <ns0:v>0</ns0:v>
      </ns0:c>
      <ns0:c r="I869" s="0">
        <ns0:f>MAX(0,G869-H869)</ns0:f>
        <ns0:v>0</ns0:v>
      </ns0:c>
      <ns0:c r="J869" s="0">
        <ns0:f>IF(OR(A869=0,F869&lt;&gt;"OK",Bookings!G869="Cancelled",$B$6&gt;0),0,IF('_Dates'!AC869=1,MAX(0,COUNTIFS(rngEngine_B,B869,rngAMStart,"&lt;="&amp;'_Dates'!X869,rngAMEnd,"&gt;="&amp;'_Dates'!W869,rngAMActive,1,rngEngine_F,"OK",rngBookings_F,"&lt;&gt;Cancelled")-1),0)+IF('_Dates'!AD869=1,MAX(0,COUNTIFS(rngEngine_B,B869,rngPMStart,"&lt;="&amp;'_Dates'!Z869,rngPMEnd,"&gt;="&amp;'_Dates'!Y869,rngPMActive,1,rngEngine_F,"OK",rngBookings_F,"&lt;&gt;Cancelled")-1),0))</ns0:f>
        <ns0:v>0</ns0:v>
      </ns0:c>
      <ns0:c r="K869" s="0" t="str">
        <ns0:f>IF(A869=0,"",IF(F869&lt;&gt;"OK",F869,IF(J869&gt;0,"CHECK overlapping entry",IF(AND($B$6=0,G869&lt;=0,Bookings!G869&lt;&gt;"Cancelled"),"CHECK no working days",IF(Bookings!G869="Cancelled","Cancelled","OK")))))</ns0:f>
        <ns0:v/>
      </ns0:c>
      <ns0:c r="L869" s="0">
        <ns0:f>IF(LEFT(K869,5)="CHECK",1,0)</ns0:f>
        <ns0:v>0</ns0:v>
      </ns0:c>
      <ns0:c r="M869" s="0">
        <ns0:f>IF(AND(L869=1,OR(C869=0,IFERROR(INDEX($X$11:$X$60,C869),0)=0)),1,0)</ns0:f>
        <ns0:v>0</ns0:v>
      </ns0:c>
      <ns0:c r="N869" s="0">
        <ns0:f>IF(OR(A869=0,L869&gt;0,$B$6&gt;0,Bookings!G869="Cancelled"),0,G869)</ns0:f>
        <ns0:v>0</ns0:v>
      </ns0:c>
      <ns0:c r="O869" s="0">
        <ns0:f>IF(AND(Bookings!G869="Approved",E869="Yes"),N869,0)</ns0:f>
        <ns0:v>0</ns0:v>
      </ns0:c>
      <ns0:c r="P869" s="0">
        <ns0:f>IF(AND(Bookings!G869="Approved",E869="Yes",L869=0,$B$6=0),H869,0)</ns0:f>
        <ns0:v>0</ns0:v>
      </ns0:c>
      <ns0:c r="Q869" s="0">
        <ns0:f>IF(AND(Bookings!G869="Approved",E869="Yes",L869=0,$B$6=0),I869,0)</ns0:f>
        <ns0:v>0</ns0:v>
      </ns0:c>
      <ns0:c r="R869" s="0">
        <ns0:f>IF(AND(Bookings!G869="Pending",E869="Yes"),N869,0)</ns0:f>
        <ns0:v>0</ns0:v>
      </ns0:c>
      <ns0:c r="S869" s="0">
        <ns0:f>IF(AND(Bookings!G869="Approved",E869="No"),N869,0)</ns0:f>
        <ns0:v>0</ns0:v>
      </ns0:c>
      <ns0:c r="T869" s="0">
        <ns0:f>IFERROR(MATCH(D869,Settings!$G$7:$G$11,0),0)</ns0:f>
        <ns0:v>0</ns0:v>
      </ns0:c>
      <ns0:c r="U869" s="0">
        <ns0:f>IF(N869&gt;0,T869+IF(Bookings!G869="Pending",10,0),0)</ns0:f>
        <ns0:v>0</ns0:v>
      </ns0:c>
      <ns0:c r="V869" s="0">
        <ns0:f>U869</ns0:f>
        <ns0:v>0</ns0:v>
      </ns0:c>
      <ns0:c r="W869" s="0" t="str">
        <ns0:f>IF(C869=0,"",INDEX($AP$11:$AP$60,C869))</ns0:f>
        <ns0:v/>
      </ns0:c>
    </ns0:row>
    <ns0:row r="870">
      <ns0:c r="A870" s="0">
        <ns0:f>IF(COUNTA(Bookings!A870:G870,Bookings!I870)=0,0,1)</ns0:f>
        <ns0:v>0</ns0:v>
      </ns0:c>
      <ns0:c r="B870" s="0" t="str">
        <ns0:f>IFERROR(TRIM(MID(Bookings!A870,FIND(" · ",Bookings!A870)+3,99)),"")</ns0:f>
        <ns0:v/>
      </ns0:c>
      <ns0:c r="C870" s="0">
        <ns0:f>IF(OR(B870="",LEN(B870)&gt;24,ISNUMBER(FIND(" ",B870)),ISNUMBER(FIND("*",B870)),ISNUMBER(FIND("?",B870)),ISNUMBER(FIND("~",B870))),0,IFERROR(MATCH(B870,Team!$A$11:$A$60,0),0))</ns0:f>
        <ns0:v>0</ns0:v>
      </ns0:c>
      <ns0:c r="D870" s="0" t="str">
        <ns0:f>IFERROR(IF(MID(Bookings!F870,LEN(Bookings!F870)-3,3)=" · ",RIGHT(Bookings!F870,1),""),"")</ns0:f>
        <ns0:v/>
      </ns0:c>
      <ns0:c r="E870" s="0" t="str">
        <ns0:f>IFERROR(INDEX(Settings!$H$7:$H$11,MATCH(D870,Settings!$G$7:$G$11,0)),"")</ns0:f>
        <ns0:v/>
      </ns0:c>
      <ns0:c r="F870" s="0" t="str">
        <ns0:f>IF(A870=0,"",IFERROR(IF(OR(B870="",C870=0),"CHECK employee selection",IF(INDEX(Team!$O$11:$O$60,C870)&lt;&gt;"OK","CHECK employee setup",IF(OR('_Dates'!J870=0,'_Dates'!T870=0),"CHECK date: use DD.MM.YYYY",IF('_Dates'!T870&lt;'_Dates'!J870,"CHECK end before start",IF(AND($B$6=0,OR('_Dates'!J870&lt;Settings!$B$7,'_Dates'!T870&gt;Settings!$B$8)),"CHECK split across leave years",IF(OR(NOT(OR('_Dates'!U870="Full day",'_Dates'!U870="AM",'_Dates'!U870="PM")),NOT(OR('_Dates'!V870="Full day",'_Dates'!V870="AM",'_Dates'!V870="PM"))),"CHECK Full day / AM / PM",IF(AND('_Dates'!J870='_Dates'!T870,'_Dates'!U870&lt;&gt;"Full day",'_Dates'!V870&lt;&gt;"Full day",'_Dates'!U870&lt;&gt;'_Dates'!V870),"CHECK same-day portions disagree",IF(AND($B$6=0,OR(AND('_Dates'!U870&lt;&gt;"Full day",'_Dates'!AA870=0),AND('_Dates'!V870&lt;&gt;"Full day",'_Dates'!AB870=0))),"CHECK half-day on non-working date",IF(COUNTIF(Settings!$G$7:$G$11,D870)&lt;&gt;1,"CHECK leave type",IF(AND(Bookings!G870&lt;&gt;"Approved",Bookings!G870&lt;&gt;"Pending",Bookings!G870&lt;&gt;"Cancelled"),"CHECK status","OK")))))))))),"CHECK input"))</ns0:f>
        <ns0:v/>
      </ns0:c>
      <ns0:c r="G870" s="0">
        <ns0:f>IF(OR(F870&lt;&gt;"OK",$B$6&gt;0),0,0.5*(IF(('_Dates'!X870)&lt;('_Dates'!W870),0,INT((('_Dates'!X870)-('_Dates'!W870)+1)/7)*LEN(SUBSTITUTE(W870,"O",""))+LEN(SUBSTITUTE(MID(W870&amp;W870,WEEKDAY(('_Dates'!W870),2),MOD((('_Dates'!X870)-('_Dates'!W870)+1),7)),"O",""))-COUNTIFS(INDEX(AllClosureRows,C870,0),"&gt;="&amp;('_Dates'!W870),INDEX(AllClosureRows,C870,0),"&lt;="&amp;('_Dates'!X870)))+IF(('_Dates'!Z870)&lt;('_Dates'!Y870),0,INT((('_Dates'!Z870)-('_Dates'!Y870)+1)/7)*LEN(SUBSTITUTE(W870,"O",""))+LEN(SUBSTITUTE(MID(W870&amp;W870,WEEKDAY(('_Dates'!Y870),2),MOD((('_Dates'!Z870)-('_Dates'!Y870)+1),7)),"O",""))-COUNTIFS(INDEX(AllClosureRows,C870,0),"&gt;="&amp;('_Dates'!Y870),INDEX(AllClosureRows,C870,0),"&lt;="&amp;('_Dates'!Z870)))))</ns0:f>
        <ns0:v>0</ns0:v>
      </ns0:c>
      <ns0:c r="H870" s="0">
        <ns0:f>IF(OR(F870&lt;&gt;"OK",$B$6&gt;0),0,0.5*(IF((MIN('_Dates'!X870,Settings!$B$9))&lt;('_Dates'!W870),0,INT(((MIN('_Dates'!X870,Settings!$B$9))-('_Dates'!W870)+1)/7)*LEN(SUBSTITUTE(W870,"O",""))+LEN(SUBSTITUTE(MID(W870&amp;W870,WEEKDAY(('_Dates'!W870),2),MOD(((MIN('_Dates'!X870,Settings!$B$9))-('_Dates'!W870)+1),7)),"O",""))-COUNTIFS(INDEX(AllClosureRows,C870,0),"&gt;="&amp;('_Dates'!W870),INDEX(AllClosureRows,C870,0),"&lt;="&amp;(MIN('_Dates'!X870,Settings!$B$9))))+IF((MIN('_Dates'!Z870,Settings!$B$9))&lt;('_Dates'!Y870),0,INT(((MIN('_Dates'!Z870,Settings!$B$9))-('_Dates'!Y870)+1)/7)*LEN(SUBSTITUTE(W870,"O",""))+LEN(SUBSTITUTE(MID(W870&amp;W870,WEEKDAY(('_Dates'!Y870),2),MOD(((MIN('_Dates'!Z870,Settings!$B$9))-('_Dates'!Y870)+1),7)),"O",""))-COUNTIFS(INDEX(AllClosureRows,C870,0),"&gt;="&amp;('_Dates'!Y870),INDEX(AllClosureRows,C870,0),"&lt;="&amp;(MIN('_Dates'!Z870,Settings!$B$9))))))</ns0:f>
        <ns0:v>0</ns0:v>
      </ns0:c>
      <ns0:c r="I870" s="0">
        <ns0:f>MAX(0,G870-H870)</ns0:f>
        <ns0:v>0</ns0:v>
      </ns0:c>
      <ns0:c r="J870" s="0">
        <ns0:f>IF(OR(A870=0,F870&lt;&gt;"OK",Bookings!G870="Cancelled",$B$6&gt;0),0,IF('_Dates'!AC870=1,MAX(0,COUNTIFS(rngEngine_B,B870,rngAMStart,"&lt;="&amp;'_Dates'!X870,rngAMEnd,"&gt;="&amp;'_Dates'!W870,rngAMActive,1,rngEngine_F,"OK",rngBookings_F,"&lt;&gt;Cancelled")-1),0)+IF('_Dates'!AD870=1,MAX(0,COUNTIFS(rngEngine_B,B870,rngPMStart,"&lt;="&amp;'_Dates'!Z870,rngPMEnd,"&gt;="&amp;'_Dates'!Y870,rngPMActive,1,rngEngine_F,"OK",rngBookings_F,"&lt;&gt;Cancelled")-1),0))</ns0:f>
        <ns0:v>0</ns0:v>
      </ns0:c>
      <ns0:c r="K870" s="0" t="str">
        <ns0:f>IF(A870=0,"",IF(F870&lt;&gt;"OK",F870,IF(J870&gt;0,"CHECK overlapping entry",IF(AND($B$6=0,G870&lt;=0,Bookings!G870&lt;&gt;"Cancelled"),"CHECK no working days",IF(Bookings!G870="Cancelled","Cancelled","OK")))))</ns0:f>
        <ns0:v/>
      </ns0:c>
      <ns0:c r="L870" s="0">
        <ns0:f>IF(LEFT(K870,5)="CHECK",1,0)</ns0:f>
        <ns0:v>0</ns0:v>
      </ns0:c>
      <ns0:c r="M870" s="0">
        <ns0:f>IF(AND(L870=1,OR(C870=0,IFERROR(INDEX($X$11:$X$60,C870),0)=0)),1,0)</ns0:f>
        <ns0:v>0</ns0:v>
      </ns0:c>
      <ns0:c r="N870" s="0">
        <ns0:f>IF(OR(A870=0,L870&gt;0,$B$6&gt;0,Bookings!G870="Cancelled"),0,G870)</ns0:f>
        <ns0:v>0</ns0:v>
      </ns0:c>
      <ns0:c r="O870" s="0">
        <ns0:f>IF(AND(Bookings!G870="Approved",E870="Yes"),N870,0)</ns0:f>
        <ns0:v>0</ns0:v>
      </ns0:c>
      <ns0:c r="P870" s="0">
        <ns0:f>IF(AND(Bookings!G870="Approved",E870="Yes",L870=0,$B$6=0),H870,0)</ns0:f>
        <ns0:v>0</ns0:v>
      </ns0:c>
      <ns0:c r="Q870" s="0">
        <ns0:f>IF(AND(Bookings!G870="Approved",E870="Yes",L870=0,$B$6=0),I870,0)</ns0:f>
        <ns0:v>0</ns0:v>
      </ns0:c>
      <ns0:c r="R870" s="0">
        <ns0:f>IF(AND(Bookings!G870="Pending",E870="Yes"),N870,0)</ns0:f>
        <ns0:v>0</ns0:v>
      </ns0:c>
      <ns0:c r="S870" s="0">
        <ns0:f>IF(AND(Bookings!G870="Approved",E870="No"),N870,0)</ns0:f>
        <ns0:v>0</ns0:v>
      </ns0:c>
      <ns0:c r="T870" s="0">
        <ns0:f>IFERROR(MATCH(D870,Settings!$G$7:$G$11,0),0)</ns0:f>
        <ns0:v>0</ns0:v>
      </ns0:c>
      <ns0:c r="U870" s="0">
        <ns0:f>IF(N870&gt;0,T870+IF(Bookings!G870="Pending",10,0),0)</ns0:f>
        <ns0:v>0</ns0:v>
      </ns0:c>
      <ns0:c r="V870" s="0">
        <ns0:f>U870</ns0:f>
        <ns0:v>0</ns0:v>
      </ns0:c>
      <ns0:c r="W870" s="0" t="str">
        <ns0:f>IF(C870=0,"",INDEX($AP$11:$AP$60,C870))</ns0:f>
        <ns0:v/>
      </ns0:c>
    </ns0:row>
    <ns0:row r="871">
      <ns0:c r="A871" s="0">
        <ns0:f>IF(COUNTA(Bookings!A871:G871,Bookings!I871)=0,0,1)</ns0:f>
        <ns0:v>0</ns0:v>
      </ns0:c>
      <ns0:c r="B871" s="0" t="str">
        <ns0:f>IFERROR(TRIM(MID(Bookings!A871,FIND(" · ",Bookings!A871)+3,99)),"")</ns0:f>
        <ns0:v/>
      </ns0:c>
      <ns0:c r="C871" s="0">
        <ns0:f>IF(OR(B871="",LEN(B871)&gt;24,ISNUMBER(FIND(" ",B871)),ISNUMBER(FIND("*",B871)),ISNUMBER(FIND("?",B871)),ISNUMBER(FIND("~",B871))),0,IFERROR(MATCH(B871,Team!$A$11:$A$60,0),0))</ns0:f>
        <ns0:v>0</ns0:v>
      </ns0:c>
      <ns0:c r="D871" s="0" t="str">
        <ns0:f>IFERROR(IF(MID(Bookings!F871,LEN(Bookings!F871)-3,3)=" · ",RIGHT(Bookings!F871,1),""),"")</ns0:f>
        <ns0:v/>
      </ns0:c>
      <ns0:c r="E871" s="0" t="str">
        <ns0:f>IFERROR(INDEX(Settings!$H$7:$H$11,MATCH(D871,Settings!$G$7:$G$11,0)),"")</ns0:f>
        <ns0:v/>
      </ns0:c>
      <ns0:c r="F871" s="0" t="str">
        <ns0:f>IF(A871=0,"",IFERROR(IF(OR(B871="",C871=0),"CHECK employee selection",IF(INDEX(Team!$O$11:$O$60,C871)&lt;&gt;"OK","CHECK employee setup",IF(OR('_Dates'!J871=0,'_Dates'!T871=0),"CHECK date: use DD.MM.YYYY",IF('_Dates'!T871&lt;'_Dates'!J871,"CHECK end before start",IF(AND($B$6=0,OR('_Dates'!J871&lt;Settings!$B$7,'_Dates'!T871&gt;Settings!$B$8)),"CHECK split across leave years",IF(OR(NOT(OR('_Dates'!U871="Full day",'_Dates'!U871="AM",'_Dates'!U871="PM")),NOT(OR('_Dates'!V871="Full day",'_Dates'!V871="AM",'_Dates'!V871="PM"))),"CHECK Full day / AM / PM",IF(AND('_Dates'!J871='_Dates'!T871,'_Dates'!U871&lt;&gt;"Full day",'_Dates'!V871&lt;&gt;"Full day",'_Dates'!U871&lt;&gt;'_Dates'!V871),"CHECK same-day portions disagree",IF(AND($B$6=0,OR(AND('_Dates'!U871&lt;&gt;"Full day",'_Dates'!AA871=0),AND('_Dates'!V871&lt;&gt;"Full day",'_Dates'!AB871=0))),"CHECK half-day on non-working date",IF(COUNTIF(Settings!$G$7:$G$11,D871)&lt;&gt;1,"CHECK leave type",IF(AND(Bookings!G871&lt;&gt;"Approved",Bookings!G871&lt;&gt;"Pending",Bookings!G871&lt;&gt;"Cancelled"),"CHECK status","OK")))))))))),"CHECK input"))</ns0:f>
        <ns0:v/>
      </ns0:c>
      <ns0:c r="G871" s="0">
        <ns0:f>IF(OR(F871&lt;&gt;"OK",$B$6&gt;0),0,0.5*(IF(('_Dates'!X871)&lt;('_Dates'!W871),0,INT((('_Dates'!X871)-('_Dates'!W871)+1)/7)*LEN(SUBSTITUTE(W871,"O",""))+LEN(SUBSTITUTE(MID(W871&amp;W871,WEEKDAY(('_Dates'!W871),2),MOD((('_Dates'!X871)-('_Dates'!W871)+1),7)),"O",""))-COUNTIFS(INDEX(AllClosureRows,C871,0),"&gt;="&amp;('_Dates'!W871),INDEX(AllClosureRows,C871,0),"&lt;="&amp;('_Dates'!X871)))+IF(('_Dates'!Z871)&lt;('_Dates'!Y871),0,INT((('_Dates'!Z871)-('_Dates'!Y871)+1)/7)*LEN(SUBSTITUTE(W871,"O",""))+LEN(SUBSTITUTE(MID(W871&amp;W871,WEEKDAY(('_Dates'!Y871),2),MOD((('_Dates'!Z871)-('_Dates'!Y871)+1),7)),"O",""))-COUNTIFS(INDEX(AllClosureRows,C871,0),"&gt;="&amp;('_Dates'!Y871),INDEX(AllClosureRows,C871,0),"&lt;="&amp;('_Dates'!Z871)))))</ns0:f>
        <ns0:v>0</ns0:v>
      </ns0:c>
      <ns0:c r="H871" s="0">
        <ns0:f>IF(OR(F871&lt;&gt;"OK",$B$6&gt;0),0,0.5*(IF((MIN('_Dates'!X871,Settings!$B$9))&lt;('_Dates'!W871),0,INT(((MIN('_Dates'!X871,Settings!$B$9))-('_Dates'!W871)+1)/7)*LEN(SUBSTITUTE(W871,"O",""))+LEN(SUBSTITUTE(MID(W871&amp;W871,WEEKDAY(('_Dates'!W871),2),MOD(((MIN('_Dates'!X871,Settings!$B$9))-('_Dates'!W871)+1),7)),"O",""))-COUNTIFS(INDEX(AllClosureRows,C871,0),"&gt;="&amp;('_Dates'!W871),INDEX(AllClosureRows,C871,0),"&lt;="&amp;(MIN('_Dates'!X871,Settings!$B$9))))+IF((MIN('_Dates'!Z871,Settings!$B$9))&lt;('_Dates'!Y871),0,INT(((MIN('_Dates'!Z871,Settings!$B$9))-('_Dates'!Y871)+1)/7)*LEN(SUBSTITUTE(W871,"O",""))+LEN(SUBSTITUTE(MID(W871&amp;W871,WEEKDAY(('_Dates'!Y871),2),MOD(((MIN('_Dates'!Z871,Settings!$B$9))-('_Dates'!Y871)+1),7)),"O",""))-COUNTIFS(INDEX(AllClosureRows,C871,0),"&gt;="&amp;('_Dates'!Y871),INDEX(AllClosureRows,C871,0),"&lt;="&amp;(MIN('_Dates'!Z871,Settings!$B$9))))))</ns0:f>
        <ns0:v>0</ns0:v>
      </ns0:c>
      <ns0:c r="I871" s="0">
        <ns0:f>MAX(0,G871-H871)</ns0:f>
        <ns0:v>0</ns0:v>
      </ns0:c>
      <ns0:c r="J871" s="0">
        <ns0:f>IF(OR(A871=0,F871&lt;&gt;"OK",Bookings!G871="Cancelled",$B$6&gt;0),0,IF('_Dates'!AC871=1,MAX(0,COUNTIFS(rngEngine_B,B871,rngAMStart,"&lt;="&amp;'_Dates'!X871,rngAMEnd,"&gt;="&amp;'_Dates'!W871,rngAMActive,1,rngEngine_F,"OK",rngBookings_F,"&lt;&gt;Cancelled")-1),0)+IF('_Dates'!AD871=1,MAX(0,COUNTIFS(rngEngine_B,B871,rngPMStart,"&lt;="&amp;'_Dates'!Z871,rngPMEnd,"&gt;="&amp;'_Dates'!Y871,rngPMActive,1,rngEngine_F,"OK",rngBookings_F,"&lt;&gt;Cancelled")-1),0))</ns0:f>
        <ns0:v>0</ns0:v>
      </ns0:c>
      <ns0:c r="K871" s="0" t="str">
        <ns0:f>IF(A871=0,"",IF(F871&lt;&gt;"OK",F871,IF(J871&gt;0,"CHECK overlapping entry",IF(AND($B$6=0,G871&lt;=0,Bookings!G871&lt;&gt;"Cancelled"),"CHECK no working days",IF(Bookings!G871="Cancelled","Cancelled","OK")))))</ns0:f>
        <ns0:v/>
      </ns0:c>
      <ns0:c r="L871" s="0">
        <ns0:f>IF(LEFT(K871,5)="CHECK",1,0)</ns0:f>
        <ns0:v>0</ns0:v>
      </ns0:c>
      <ns0:c r="M871" s="0">
        <ns0:f>IF(AND(L871=1,OR(C871=0,IFERROR(INDEX($X$11:$X$60,C871),0)=0)),1,0)</ns0:f>
        <ns0:v>0</ns0:v>
      </ns0:c>
      <ns0:c r="N871" s="0">
        <ns0:f>IF(OR(A871=0,L871&gt;0,$B$6&gt;0,Bookings!G871="Cancelled"),0,G871)</ns0:f>
        <ns0:v>0</ns0:v>
      </ns0:c>
      <ns0:c r="O871" s="0">
        <ns0:f>IF(AND(Bookings!G871="Approved",E871="Yes"),N871,0)</ns0:f>
        <ns0:v>0</ns0:v>
      </ns0:c>
      <ns0:c r="P871" s="0">
        <ns0:f>IF(AND(Bookings!G871="Approved",E871="Yes",L871=0,$B$6=0),H871,0)</ns0:f>
        <ns0:v>0</ns0:v>
      </ns0:c>
      <ns0:c r="Q871" s="0">
        <ns0:f>IF(AND(Bookings!G871="Approved",E871="Yes",L871=0,$B$6=0),I871,0)</ns0:f>
        <ns0:v>0</ns0:v>
      </ns0:c>
      <ns0:c r="R871" s="0">
        <ns0:f>IF(AND(Bookings!G871="Pending",E871="Yes"),N871,0)</ns0:f>
        <ns0:v>0</ns0:v>
      </ns0:c>
      <ns0:c r="S871" s="0">
        <ns0:f>IF(AND(Bookings!G871="Approved",E871="No"),N871,0)</ns0:f>
        <ns0:v>0</ns0:v>
      </ns0:c>
      <ns0:c r="T871" s="0">
        <ns0:f>IFERROR(MATCH(D871,Settings!$G$7:$G$11,0),0)</ns0:f>
        <ns0:v>0</ns0:v>
      </ns0:c>
      <ns0:c r="U871" s="0">
        <ns0:f>IF(N871&gt;0,T871+IF(Bookings!G871="Pending",10,0),0)</ns0:f>
        <ns0:v>0</ns0:v>
      </ns0:c>
      <ns0:c r="V871" s="0">
        <ns0:f>U871</ns0:f>
        <ns0:v>0</ns0:v>
      </ns0:c>
      <ns0:c r="W871" s="0" t="str">
        <ns0:f>IF(C871=0,"",INDEX($AP$11:$AP$60,C871))</ns0:f>
        <ns0:v/>
      </ns0:c>
    </ns0:row>
    <ns0:row r="872">
      <ns0:c r="A872" s="0">
        <ns0:f>IF(COUNTA(Bookings!A872:G872,Bookings!I872)=0,0,1)</ns0:f>
        <ns0:v>0</ns0:v>
      </ns0:c>
      <ns0:c r="B872" s="0" t="str">
        <ns0:f>IFERROR(TRIM(MID(Bookings!A872,FIND(" · ",Bookings!A872)+3,99)),"")</ns0:f>
        <ns0:v/>
      </ns0:c>
      <ns0:c r="C872" s="0">
        <ns0:f>IF(OR(B872="",LEN(B872)&gt;24,ISNUMBER(FIND(" ",B872)),ISNUMBER(FIND("*",B872)),ISNUMBER(FIND("?",B872)),ISNUMBER(FIND("~",B872))),0,IFERROR(MATCH(B872,Team!$A$11:$A$60,0),0))</ns0:f>
        <ns0:v>0</ns0:v>
      </ns0:c>
      <ns0:c r="D872" s="0" t="str">
        <ns0:f>IFERROR(IF(MID(Bookings!F872,LEN(Bookings!F872)-3,3)=" · ",RIGHT(Bookings!F872,1),""),"")</ns0:f>
        <ns0:v/>
      </ns0:c>
      <ns0:c r="E872" s="0" t="str">
        <ns0:f>IFERROR(INDEX(Settings!$H$7:$H$11,MATCH(D872,Settings!$G$7:$G$11,0)),"")</ns0:f>
        <ns0:v/>
      </ns0:c>
      <ns0:c r="F872" s="0" t="str">
        <ns0:f>IF(A872=0,"",IFERROR(IF(OR(B872="",C872=0),"CHECK employee selection",IF(INDEX(Team!$O$11:$O$60,C872)&lt;&gt;"OK","CHECK employee setup",IF(OR('_Dates'!J872=0,'_Dates'!T872=0),"CHECK date: use DD.MM.YYYY",IF('_Dates'!T872&lt;'_Dates'!J872,"CHECK end before start",IF(AND($B$6=0,OR('_Dates'!J872&lt;Settings!$B$7,'_Dates'!T872&gt;Settings!$B$8)),"CHECK split across leave years",IF(OR(NOT(OR('_Dates'!U872="Full day",'_Dates'!U872="AM",'_Dates'!U872="PM")),NOT(OR('_Dates'!V872="Full day",'_Dates'!V872="AM",'_Dates'!V872="PM"))),"CHECK Full day / AM / PM",IF(AND('_Dates'!J872='_Dates'!T872,'_Dates'!U872&lt;&gt;"Full day",'_Dates'!V872&lt;&gt;"Full day",'_Dates'!U872&lt;&gt;'_Dates'!V872),"CHECK same-day portions disagree",IF(AND($B$6=0,OR(AND('_Dates'!U872&lt;&gt;"Full day",'_Dates'!AA872=0),AND('_Dates'!V872&lt;&gt;"Full day",'_Dates'!AB872=0))),"CHECK half-day on non-working date",IF(COUNTIF(Settings!$G$7:$G$11,D872)&lt;&gt;1,"CHECK leave type",IF(AND(Bookings!G872&lt;&gt;"Approved",Bookings!G872&lt;&gt;"Pending",Bookings!G872&lt;&gt;"Cancelled"),"CHECK status","OK")))))))))),"CHECK input"))</ns0:f>
        <ns0:v/>
      </ns0:c>
      <ns0:c r="G872" s="0">
        <ns0:f>IF(OR(F872&lt;&gt;"OK",$B$6&gt;0),0,0.5*(IF(('_Dates'!X872)&lt;('_Dates'!W872),0,INT((('_Dates'!X872)-('_Dates'!W872)+1)/7)*LEN(SUBSTITUTE(W872,"O",""))+LEN(SUBSTITUTE(MID(W872&amp;W872,WEEKDAY(('_Dates'!W872),2),MOD((('_Dates'!X872)-('_Dates'!W872)+1),7)),"O",""))-COUNTIFS(INDEX(AllClosureRows,C872,0),"&gt;="&amp;('_Dates'!W872),INDEX(AllClosureRows,C872,0),"&lt;="&amp;('_Dates'!X872)))+IF(('_Dates'!Z872)&lt;('_Dates'!Y872),0,INT((('_Dates'!Z872)-('_Dates'!Y872)+1)/7)*LEN(SUBSTITUTE(W872,"O",""))+LEN(SUBSTITUTE(MID(W872&amp;W872,WEEKDAY(('_Dates'!Y872),2),MOD((('_Dates'!Z872)-('_Dates'!Y872)+1),7)),"O",""))-COUNTIFS(INDEX(AllClosureRows,C872,0),"&gt;="&amp;('_Dates'!Y872),INDEX(AllClosureRows,C872,0),"&lt;="&amp;('_Dates'!Z872)))))</ns0:f>
        <ns0:v>0</ns0:v>
      </ns0:c>
      <ns0:c r="H872" s="0">
        <ns0:f>IF(OR(F872&lt;&gt;"OK",$B$6&gt;0),0,0.5*(IF((MIN('_Dates'!X872,Settings!$B$9))&lt;('_Dates'!W872),0,INT(((MIN('_Dates'!X872,Settings!$B$9))-('_Dates'!W872)+1)/7)*LEN(SUBSTITUTE(W872,"O",""))+LEN(SUBSTITUTE(MID(W872&amp;W872,WEEKDAY(('_Dates'!W872),2),MOD(((MIN('_Dates'!X872,Settings!$B$9))-('_Dates'!W872)+1),7)),"O",""))-COUNTIFS(INDEX(AllClosureRows,C872,0),"&gt;="&amp;('_Dates'!W872),INDEX(AllClosureRows,C872,0),"&lt;="&amp;(MIN('_Dates'!X872,Settings!$B$9))))+IF((MIN('_Dates'!Z872,Settings!$B$9))&lt;('_Dates'!Y872),0,INT(((MIN('_Dates'!Z872,Settings!$B$9))-('_Dates'!Y872)+1)/7)*LEN(SUBSTITUTE(W872,"O",""))+LEN(SUBSTITUTE(MID(W872&amp;W872,WEEKDAY(('_Dates'!Y872),2),MOD(((MIN('_Dates'!Z872,Settings!$B$9))-('_Dates'!Y872)+1),7)),"O",""))-COUNTIFS(INDEX(AllClosureRows,C872,0),"&gt;="&amp;('_Dates'!Y872),INDEX(AllClosureRows,C872,0),"&lt;="&amp;(MIN('_Dates'!Z872,Settings!$B$9))))))</ns0:f>
        <ns0:v>0</ns0:v>
      </ns0:c>
      <ns0:c r="I872" s="0">
        <ns0:f>MAX(0,G872-H872)</ns0:f>
        <ns0:v>0</ns0:v>
      </ns0:c>
      <ns0:c r="J872" s="0">
        <ns0:f>IF(OR(A872=0,F872&lt;&gt;"OK",Bookings!G872="Cancelled",$B$6&gt;0),0,IF('_Dates'!AC872=1,MAX(0,COUNTIFS(rngEngine_B,B872,rngAMStart,"&lt;="&amp;'_Dates'!X872,rngAMEnd,"&gt;="&amp;'_Dates'!W872,rngAMActive,1,rngEngine_F,"OK",rngBookings_F,"&lt;&gt;Cancelled")-1),0)+IF('_Dates'!AD872=1,MAX(0,COUNTIFS(rngEngine_B,B872,rngPMStart,"&lt;="&amp;'_Dates'!Z872,rngPMEnd,"&gt;="&amp;'_Dates'!Y872,rngPMActive,1,rngEngine_F,"OK",rngBookings_F,"&lt;&gt;Cancelled")-1),0))</ns0:f>
        <ns0:v>0</ns0:v>
      </ns0:c>
      <ns0:c r="K872" s="0" t="str">
        <ns0:f>IF(A872=0,"",IF(F872&lt;&gt;"OK",F872,IF(J872&gt;0,"CHECK overlapping entry",IF(AND($B$6=0,G872&lt;=0,Bookings!G872&lt;&gt;"Cancelled"),"CHECK no working days",IF(Bookings!G872="Cancelled","Cancelled","OK")))))</ns0:f>
        <ns0:v/>
      </ns0:c>
      <ns0:c r="L872" s="0">
        <ns0:f>IF(LEFT(K872,5)="CHECK",1,0)</ns0:f>
        <ns0:v>0</ns0:v>
      </ns0:c>
      <ns0:c r="M872" s="0">
        <ns0:f>IF(AND(L872=1,OR(C872=0,IFERROR(INDEX($X$11:$X$60,C872),0)=0)),1,0)</ns0:f>
        <ns0:v>0</ns0:v>
      </ns0:c>
      <ns0:c r="N872" s="0">
        <ns0:f>IF(OR(A872=0,L872&gt;0,$B$6&gt;0,Bookings!G872="Cancelled"),0,G872)</ns0:f>
        <ns0:v>0</ns0:v>
      </ns0:c>
      <ns0:c r="O872" s="0">
        <ns0:f>IF(AND(Bookings!G872="Approved",E872="Yes"),N872,0)</ns0:f>
        <ns0:v>0</ns0:v>
      </ns0:c>
      <ns0:c r="P872" s="0">
        <ns0:f>IF(AND(Bookings!G872="Approved",E872="Yes",L872=0,$B$6=0),H872,0)</ns0:f>
        <ns0:v>0</ns0:v>
      </ns0:c>
      <ns0:c r="Q872" s="0">
        <ns0:f>IF(AND(Bookings!G872="Approved",E872="Yes",L872=0,$B$6=0),I872,0)</ns0:f>
        <ns0:v>0</ns0:v>
      </ns0:c>
      <ns0:c r="R872" s="0">
        <ns0:f>IF(AND(Bookings!G872="Pending",E872="Yes"),N872,0)</ns0:f>
        <ns0:v>0</ns0:v>
      </ns0:c>
      <ns0:c r="S872" s="0">
        <ns0:f>IF(AND(Bookings!G872="Approved",E872="No"),N872,0)</ns0:f>
        <ns0:v>0</ns0:v>
      </ns0:c>
      <ns0:c r="T872" s="0">
        <ns0:f>IFERROR(MATCH(D872,Settings!$G$7:$G$11,0),0)</ns0:f>
        <ns0:v>0</ns0:v>
      </ns0:c>
      <ns0:c r="U872" s="0">
        <ns0:f>IF(N872&gt;0,T872+IF(Bookings!G872="Pending",10,0),0)</ns0:f>
        <ns0:v>0</ns0:v>
      </ns0:c>
      <ns0:c r="V872" s="0">
        <ns0:f>U872</ns0:f>
        <ns0:v>0</ns0:v>
      </ns0:c>
      <ns0:c r="W872" s="0" t="str">
        <ns0:f>IF(C872=0,"",INDEX($AP$11:$AP$60,C872))</ns0:f>
        <ns0:v/>
      </ns0:c>
    </ns0:row>
    <ns0:row r="873">
      <ns0:c r="A873" s="0">
        <ns0:f>IF(COUNTA(Bookings!A873:G873,Bookings!I873)=0,0,1)</ns0:f>
        <ns0:v>0</ns0:v>
      </ns0:c>
      <ns0:c r="B873" s="0" t="str">
        <ns0:f>IFERROR(TRIM(MID(Bookings!A873,FIND(" · ",Bookings!A873)+3,99)),"")</ns0:f>
        <ns0:v/>
      </ns0:c>
      <ns0:c r="C873" s="0">
        <ns0:f>IF(OR(B873="",LEN(B873)&gt;24,ISNUMBER(FIND(" ",B873)),ISNUMBER(FIND("*",B873)),ISNUMBER(FIND("?",B873)),ISNUMBER(FIND("~",B873))),0,IFERROR(MATCH(B873,Team!$A$11:$A$60,0),0))</ns0:f>
        <ns0:v>0</ns0:v>
      </ns0:c>
      <ns0:c r="D873" s="0" t="str">
        <ns0:f>IFERROR(IF(MID(Bookings!F873,LEN(Bookings!F873)-3,3)=" · ",RIGHT(Bookings!F873,1),""),"")</ns0:f>
        <ns0:v/>
      </ns0:c>
      <ns0:c r="E873" s="0" t="str">
        <ns0:f>IFERROR(INDEX(Settings!$H$7:$H$11,MATCH(D873,Settings!$G$7:$G$11,0)),"")</ns0:f>
        <ns0:v/>
      </ns0:c>
      <ns0:c r="F873" s="0" t="str">
        <ns0:f>IF(A873=0,"",IFERROR(IF(OR(B873="",C873=0),"CHECK employee selection",IF(INDEX(Team!$O$11:$O$60,C873)&lt;&gt;"OK","CHECK employee setup",IF(OR('_Dates'!J873=0,'_Dates'!T873=0),"CHECK date: use DD.MM.YYYY",IF('_Dates'!T873&lt;'_Dates'!J873,"CHECK end before start",IF(AND($B$6=0,OR('_Dates'!J873&lt;Settings!$B$7,'_Dates'!T873&gt;Settings!$B$8)),"CHECK split across leave years",IF(OR(NOT(OR('_Dates'!U873="Full day",'_Dates'!U873="AM",'_Dates'!U873="PM")),NOT(OR('_Dates'!V873="Full day",'_Dates'!V873="AM",'_Dates'!V873="PM"))),"CHECK Full day / AM / PM",IF(AND('_Dates'!J873='_Dates'!T873,'_Dates'!U873&lt;&gt;"Full day",'_Dates'!V873&lt;&gt;"Full day",'_Dates'!U873&lt;&gt;'_Dates'!V873),"CHECK same-day portions disagree",IF(AND($B$6=0,OR(AND('_Dates'!U873&lt;&gt;"Full day",'_Dates'!AA873=0),AND('_Dates'!V873&lt;&gt;"Full day",'_Dates'!AB873=0))),"CHECK half-day on non-working date",IF(COUNTIF(Settings!$G$7:$G$11,D873)&lt;&gt;1,"CHECK leave type",IF(AND(Bookings!G873&lt;&gt;"Approved",Bookings!G873&lt;&gt;"Pending",Bookings!G873&lt;&gt;"Cancelled"),"CHECK status","OK")))))))))),"CHECK input"))</ns0:f>
        <ns0:v/>
      </ns0:c>
      <ns0:c r="G873" s="0">
        <ns0:f>IF(OR(F873&lt;&gt;"OK",$B$6&gt;0),0,0.5*(IF(('_Dates'!X873)&lt;('_Dates'!W873),0,INT((('_Dates'!X873)-('_Dates'!W873)+1)/7)*LEN(SUBSTITUTE(W873,"O",""))+LEN(SUBSTITUTE(MID(W873&amp;W873,WEEKDAY(('_Dates'!W873),2),MOD((('_Dates'!X873)-('_Dates'!W873)+1),7)),"O",""))-COUNTIFS(INDEX(AllClosureRows,C873,0),"&gt;="&amp;('_Dates'!W873),INDEX(AllClosureRows,C873,0),"&lt;="&amp;('_Dates'!X873)))+IF(('_Dates'!Z873)&lt;('_Dates'!Y873),0,INT((('_Dates'!Z873)-('_Dates'!Y873)+1)/7)*LEN(SUBSTITUTE(W873,"O",""))+LEN(SUBSTITUTE(MID(W873&amp;W873,WEEKDAY(('_Dates'!Y873),2),MOD((('_Dates'!Z873)-('_Dates'!Y873)+1),7)),"O",""))-COUNTIFS(INDEX(AllClosureRows,C873,0),"&gt;="&amp;('_Dates'!Y873),INDEX(AllClosureRows,C873,0),"&lt;="&amp;('_Dates'!Z873)))))</ns0:f>
        <ns0:v>0</ns0:v>
      </ns0:c>
      <ns0:c r="H873" s="0">
        <ns0:f>IF(OR(F873&lt;&gt;"OK",$B$6&gt;0),0,0.5*(IF((MIN('_Dates'!X873,Settings!$B$9))&lt;('_Dates'!W873),0,INT(((MIN('_Dates'!X873,Settings!$B$9))-('_Dates'!W873)+1)/7)*LEN(SUBSTITUTE(W873,"O",""))+LEN(SUBSTITUTE(MID(W873&amp;W873,WEEKDAY(('_Dates'!W873),2),MOD(((MIN('_Dates'!X873,Settings!$B$9))-('_Dates'!W873)+1),7)),"O",""))-COUNTIFS(INDEX(AllClosureRows,C873,0),"&gt;="&amp;('_Dates'!W873),INDEX(AllClosureRows,C873,0),"&lt;="&amp;(MIN('_Dates'!X873,Settings!$B$9))))+IF((MIN('_Dates'!Z873,Settings!$B$9))&lt;('_Dates'!Y873),0,INT(((MIN('_Dates'!Z873,Settings!$B$9))-('_Dates'!Y873)+1)/7)*LEN(SUBSTITUTE(W873,"O",""))+LEN(SUBSTITUTE(MID(W873&amp;W873,WEEKDAY(('_Dates'!Y873),2),MOD(((MIN('_Dates'!Z873,Settings!$B$9))-('_Dates'!Y873)+1),7)),"O",""))-COUNTIFS(INDEX(AllClosureRows,C873,0),"&gt;="&amp;('_Dates'!Y873),INDEX(AllClosureRows,C873,0),"&lt;="&amp;(MIN('_Dates'!Z873,Settings!$B$9))))))</ns0:f>
        <ns0:v>0</ns0:v>
      </ns0:c>
      <ns0:c r="I873" s="0">
        <ns0:f>MAX(0,G873-H873)</ns0:f>
        <ns0:v>0</ns0:v>
      </ns0:c>
      <ns0:c r="J873" s="0">
        <ns0:f>IF(OR(A873=0,F873&lt;&gt;"OK",Bookings!G873="Cancelled",$B$6&gt;0),0,IF('_Dates'!AC873=1,MAX(0,COUNTIFS(rngEngine_B,B873,rngAMStart,"&lt;="&amp;'_Dates'!X873,rngAMEnd,"&gt;="&amp;'_Dates'!W873,rngAMActive,1,rngEngine_F,"OK",rngBookings_F,"&lt;&gt;Cancelled")-1),0)+IF('_Dates'!AD873=1,MAX(0,COUNTIFS(rngEngine_B,B873,rngPMStart,"&lt;="&amp;'_Dates'!Z873,rngPMEnd,"&gt;="&amp;'_Dates'!Y873,rngPMActive,1,rngEngine_F,"OK",rngBookings_F,"&lt;&gt;Cancelled")-1),0))</ns0:f>
        <ns0:v>0</ns0:v>
      </ns0:c>
      <ns0:c r="K873" s="0" t="str">
        <ns0:f>IF(A873=0,"",IF(F873&lt;&gt;"OK",F873,IF(J873&gt;0,"CHECK overlapping entry",IF(AND($B$6=0,G873&lt;=0,Bookings!G873&lt;&gt;"Cancelled"),"CHECK no working days",IF(Bookings!G873="Cancelled","Cancelled","OK")))))</ns0:f>
        <ns0:v/>
      </ns0:c>
      <ns0:c r="L873" s="0">
        <ns0:f>IF(LEFT(K873,5)="CHECK",1,0)</ns0:f>
        <ns0:v>0</ns0:v>
      </ns0:c>
      <ns0:c r="M873" s="0">
        <ns0:f>IF(AND(L873=1,OR(C873=0,IFERROR(INDEX($X$11:$X$60,C873),0)=0)),1,0)</ns0:f>
        <ns0:v>0</ns0:v>
      </ns0:c>
      <ns0:c r="N873" s="0">
        <ns0:f>IF(OR(A873=0,L873&gt;0,$B$6&gt;0,Bookings!G873="Cancelled"),0,G873)</ns0:f>
        <ns0:v>0</ns0:v>
      </ns0:c>
      <ns0:c r="O873" s="0">
        <ns0:f>IF(AND(Bookings!G873="Approved",E873="Yes"),N873,0)</ns0:f>
        <ns0:v>0</ns0:v>
      </ns0:c>
      <ns0:c r="P873" s="0">
        <ns0:f>IF(AND(Bookings!G873="Approved",E873="Yes",L873=0,$B$6=0),H873,0)</ns0:f>
        <ns0:v>0</ns0:v>
      </ns0:c>
      <ns0:c r="Q873" s="0">
        <ns0:f>IF(AND(Bookings!G873="Approved",E873="Yes",L873=0,$B$6=0),I873,0)</ns0:f>
        <ns0:v>0</ns0:v>
      </ns0:c>
      <ns0:c r="R873" s="0">
        <ns0:f>IF(AND(Bookings!G873="Pending",E873="Yes"),N873,0)</ns0:f>
        <ns0:v>0</ns0:v>
      </ns0:c>
      <ns0:c r="S873" s="0">
        <ns0:f>IF(AND(Bookings!G873="Approved",E873="No"),N873,0)</ns0:f>
        <ns0:v>0</ns0:v>
      </ns0:c>
      <ns0:c r="T873" s="0">
        <ns0:f>IFERROR(MATCH(D873,Settings!$G$7:$G$11,0),0)</ns0:f>
        <ns0:v>0</ns0:v>
      </ns0:c>
      <ns0:c r="U873" s="0">
        <ns0:f>IF(N873&gt;0,T873+IF(Bookings!G873="Pending",10,0),0)</ns0:f>
        <ns0:v>0</ns0:v>
      </ns0:c>
      <ns0:c r="V873" s="0">
        <ns0:f>U873</ns0:f>
        <ns0:v>0</ns0:v>
      </ns0:c>
      <ns0:c r="W873" s="0" t="str">
        <ns0:f>IF(C873=0,"",INDEX($AP$11:$AP$60,C873))</ns0:f>
        <ns0:v/>
      </ns0:c>
    </ns0:row>
    <ns0:row r="874">
      <ns0:c r="A874" s="0">
        <ns0:f>IF(COUNTA(Bookings!A874:G874,Bookings!I874)=0,0,1)</ns0:f>
        <ns0:v>0</ns0:v>
      </ns0:c>
      <ns0:c r="B874" s="0" t="str">
        <ns0:f>IFERROR(TRIM(MID(Bookings!A874,FIND(" · ",Bookings!A874)+3,99)),"")</ns0:f>
        <ns0:v/>
      </ns0:c>
      <ns0:c r="C874" s="0">
        <ns0:f>IF(OR(B874="",LEN(B874)&gt;24,ISNUMBER(FIND(" ",B874)),ISNUMBER(FIND("*",B874)),ISNUMBER(FIND("?",B874)),ISNUMBER(FIND("~",B874))),0,IFERROR(MATCH(B874,Team!$A$11:$A$60,0),0))</ns0:f>
        <ns0:v>0</ns0:v>
      </ns0:c>
      <ns0:c r="D874" s="0" t="str">
        <ns0:f>IFERROR(IF(MID(Bookings!F874,LEN(Bookings!F874)-3,3)=" · ",RIGHT(Bookings!F874,1),""),"")</ns0:f>
        <ns0:v/>
      </ns0:c>
      <ns0:c r="E874" s="0" t="str">
        <ns0:f>IFERROR(INDEX(Settings!$H$7:$H$11,MATCH(D874,Settings!$G$7:$G$11,0)),"")</ns0:f>
        <ns0:v/>
      </ns0:c>
      <ns0:c r="F874" s="0" t="str">
        <ns0:f>IF(A874=0,"",IFERROR(IF(OR(B874="",C874=0),"CHECK employee selection",IF(INDEX(Team!$O$11:$O$60,C874)&lt;&gt;"OK","CHECK employee setup",IF(OR('_Dates'!J874=0,'_Dates'!T874=0),"CHECK date: use DD.MM.YYYY",IF('_Dates'!T874&lt;'_Dates'!J874,"CHECK end before start",IF(AND($B$6=0,OR('_Dates'!J874&lt;Settings!$B$7,'_Dates'!T874&gt;Settings!$B$8)),"CHECK split across leave years",IF(OR(NOT(OR('_Dates'!U874="Full day",'_Dates'!U874="AM",'_Dates'!U874="PM")),NOT(OR('_Dates'!V874="Full day",'_Dates'!V874="AM",'_Dates'!V874="PM"))),"CHECK Full day / AM / PM",IF(AND('_Dates'!J874='_Dates'!T874,'_Dates'!U874&lt;&gt;"Full day",'_Dates'!V874&lt;&gt;"Full day",'_Dates'!U874&lt;&gt;'_Dates'!V874),"CHECK same-day portions disagree",IF(AND($B$6=0,OR(AND('_Dates'!U874&lt;&gt;"Full day",'_Dates'!AA874=0),AND('_Dates'!V874&lt;&gt;"Full day",'_Dates'!AB874=0))),"CHECK half-day on non-working date",IF(COUNTIF(Settings!$G$7:$G$11,D874)&lt;&gt;1,"CHECK leave type",IF(AND(Bookings!G874&lt;&gt;"Approved",Bookings!G874&lt;&gt;"Pending",Bookings!G874&lt;&gt;"Cancelled"),"CHECK status","OK")))))))))),"CHECK input"))</ns0:f>
        <ns0:v/>
      </ns0:c>
      <ns0:c r="G874" s="0">
        <ns0:f>IF(OR(F874&lt;&gt;"OK",$B$6&gt;0),0,0.5*(IF(('_Dates'!X874)&lt;('_Dates'!W874),0,INT((('_Dates'!X874)-('_Dates'!W874)+1)/7)*LEN(SUBSTITUTE(W874,"O",""))+LEN(SUBSTITUTE(MID(W874&amp;W874,WEEKDAY(('_Dates'!W874),2),MOD((('_Dates'!X874)-('_Dates'!W874)+1),7)),"O",""))-COUNTIFS(INDEX(AllClosureRows,C874,0),"&gt;="&amp;('_Dates'!W874),INDEX(AllClosureRows,C874,0),"&lt;="&amp;('_Dates'!X874)))+IF(('_Dates'!Z874)&lt;('_Dates'!Y874),0,INT((('_Dates'!Z874)-('_Dates'!Y874)+1)/7)*LEN(SUBSTITUTE(W874,"O",""))+LEN(SUBSTITUTE(MID(W874&amp;W874,WEEKDAY(('_Dates'!Y874),2),MOD((('_Dates'!Z874)-('_Dates'!Y874)+1),7)),"O",""))-COUNTIFS(INDEX(AllClosureRows,C874,0),"&gt;="&amp;('_Dates'!Y874),INDEX(AllClosureRows,C874,0),"&lt;="&amp;('_Dates'!Z874)))))</ns0:f>
        <ns0:v>0</ns0:v>
      </ns0:c>
      <ns0:c r="H874" s="0">
        <ns0:f>IF(OR(F874&lt;&gt;"OK",$B$6&gt;0),0,0.5*(IF((MIN('_Dates'!X874,Settings!$B$9))&lt;('_Dates'!W874),0,INT(((MIN('_Dates'!X874,Settings!$B$9))-('_Dates'!W874)+1)/7)*LEN(SUBSTITUTE(W874,"O",""))+LEN(SUBSTITUTE(MID(W874&amp;W874,WEEKDAY(('_Dates'!W874),2),MOD(((MIN('_Dates'!X874,Settings!$B$9))-('_Dates'!W874)+1),7)),"O",""))-COUNTIFS(INDEX(AllClosureRows,C874,0),"&gt;="&amp;('_Dates'!W874),INDEX(AllClosureRows,C874,0),"&lt;="&amp;(MIN('_Dates'!X874,Settings!$B$9))))+IF((MIN('_Dates'!Z874,Settings!$B$9))&lt;('_Dates'!Y874),0,INT(((MIN('_Dates'!Z874,Settings!$B$9))-('_Dates'!Y874)+1)/7)*LEN(SUBSTITUTE(W874,"O",""))+LEN(SUBSTITUTE(MID(W874&amp;W874,WEEKDAY(('_Dates'!Y874),2),MOD(((MIN('_Dates'!Z874,Settings!$B$9))-('_Dates'!Y874)+1),7)),"O",""))-COUNTIFS(INDEX(AllClosureRows,C874,0),"&gt;="&amp;('_Dates'!Y874),INDEX(AllClosureRows,C874,0),"&lt;="&amp;(MIN('_Dates'!Z874,Settings!$B$9))))))</ns0:f>
        <ns0:v>0</ns0:v>
      </ns0:c>
      <ns0:c r="I874" s="0">
        <ns0:f>MAX(0,G874-H874)</ns0:f>
        <ns0:v>0</ns0:v>
      </ns0:c>
      <ns0:c r="J874" s="0">
        <ns0:f>IF(OR(A874=0,F874&lt;&gt;"OK",Bookings!G874="Cancelled",$B$6&gt;0),0,IF('_Dates'!AC874=1,MAX(0,COUNTIFS(rngEngine_B,B874,rngAMStart,"&lt;="&amp;'_Dates'!X874,rngAMEnd,"&gt;="&amp;'_Dates'!W874,rngAMActive,1,rngEngine_F,"OK",rngBookings_F,"&lt;&gt;Cancelled")-1),0)+IF('_Dates'!AD874=1,MAX(0,COUNTIFS(rngEngine_B,B874,rngPMStart,"&lt;="&amp;'_Dates'!Z874,rngPMEnd,"&gt;="&amp;'_Dates'!Y874,rngPMActive,1,rngEngine_F,"OK",rngBookings_F,"&lt;&gt;Cancelled")-1),0))</ns0:f>
        <ns0:v>0</ns0:v>
      </ns0:c>
      <ns0:c r="K874" s="0" t="str">
        <ns0:f>IF(A874=0,"",IF(F874&lt;&gt;"OK",F874,IF(J874&gt;0,"CHECK overlapping entry",IF(AND($B$6=0,G874&lt;=0,Bookings!G874&lt;&gt;"Cancelled"),"CHECK no working days",IF(Bookings!G874="Cancelled","Cancelled","OK")))))</ns0:f>
        <ns0:v/>
      </ns0:c>
      <ns0:c r="L874" s="0">
        <ns0:f>IF(LEFT(K874,5)="CHECK",1,0)</ns0:f>
        <ns0:v>0</ns0:v>
      </ns0:c>
      <ns0:c r="M874" s="0">
        <ns0:f>IF(AND(L874=1,OR(C874=0,IFERROR(INDEX($X$11:$X$60,C874),0)=0)),1,0)</ns0:f>
        <ns0:v>0</ns0:v>
      </ns0:c>
      <ns0:c r="N874" s="0">
        <ns0:f>IF(OR(A874=0,L874&gt;0,$B$6&gt;0,Bookings!G874="Cancelled"),0,G874)</ns0:f>
        <ns0:v>0</ns0:v>
      </ns0:c>
      <ns0:c r="O874" s="0">
        <ns0:f>IF(AND(Bookings!G874="Approved",E874="Yes"),N874,0)</ns0:f>
        <ns0:v>0</ns0:v>
      </ns0:c>
      <ns0:c r="P874" s="0">
        <ns0:f>IF(AND(Bookings!G874="Approved",E874="Yes",L874=0,$B$6=0),H874,0)</ns0:f>
        <ns0:v>0</ns0:v>
      </ns0:c>
      <ns0:c r="Q874" s="0">
        <ns0:f>IF(AND(Bookings!G874="Approved",E874="Yes",L874=0,$B$6=0),I874,0)</ns0:f>
        <ns0:v>0</ns0:v>
      </ns0:c>
      <ns0:c r="R874" s="0">
        <ns0:f>IF(AND(Bookings!G874="Pending",E874="Yes"),N874,0)</ns0:f>
        <ns0:v>0</ns0:v>
      </ns0:c>
      <ns0:c r="S874" s="0">
        <ns0:f>IF(AND(Bookings!G874="Approved",E874="No"),N874,0)</ns0:f>
        <ns0:v>0</ns0:v>
      </ns0:c>
      <ns0:c r="T874" s="0">
        <ns0:f>IFERROR(MATCH(D874,Settings!$G$7:$G$11,0),0)</ns0:f>
        <ns0:v>0</ns0:v>
      </ns0:c>
      <ns0:c r="U874" s="0">
        <ns0:f>IF(N874&gt;0,T874+IF(Bookings!G874="Pending",10,0),0)</ns0:f>
        <ns0:v>0</ns0:v>
      </ns0:c>
      <ns0:c r="V874" s="0">
        <ns0:f>U874</ns0:f>
        <ns0:v>0</ns0:v>
      </ns0:c>
      <ns0:c r="W874" s="0" t="str">
        <ns0:f>IF(C874=0,"",INDEX($AP$11:$AP$60,C874))</ns0:f>
        <ns0:v/>
      </ns0:c>
    </ns0:row>
    <ns0:row r="875">
      <ns0:c r="A875" s="0">
        <ns0:f>IF(COUNTA(Bookings!A875:G875,Bookings!I875)=0,0,1)</ns0:f>
        <ns0:v>0</ns0:v>
      </ns0:c>
      <ns0:c r="B875" s="0" t="str">
        <ns0:f>IFERROR(TRIM(MID(Bookings!A875,FIND(" · ",Bookings!A875)+3,99)),"")</ns0:f>
        <ns0:v/>
      </ns0:c>
      <ns0:c r="C875" s="0">
        <ns0:f>IF(OR(B875="",LEN(B875)&gt;24,ISNUMBER(FIND(" ",B875)),ISNUMBER(FIND("*",B875)),ISNUMBER(FIND("?",B875)),ISNUMBER(FIND("~",B875))),0,IFERROR(MATCH(B875,Team!$A$11:$A$60,0),0))</ns0:f>
        <ns0:v>0</ns0:v>
      </ns0:c>
      <ns0:c r="D875" s="0" t="str">
        <ns0:f>IFERROR(IF(MID(Bookings!F875,LEN(Bookings!F875)-3,3)=" · ",RIGHT(Bookings!F875,1),""),"")</ns0:f>
        <ns0:v/>
      </ns0:c>
      <ns0:c r="E875" s="0" t="str">
        <ns0:f>IFERROR(INDEX(Settings!$H$7:$H$11,MATCH(D875,Settings!$G$7:$G$11,0)),"")</ns0:f>
        <ns0:v/>
      </ns0:c>
      <ns0:c r="F875" s="0" t="str">
        <ns0:f>IF(A875=0,"",IFERROR(IF(OR(B875="",C875=0),"CHECK employee selection",IF(INDEX(Team!$O$11:$O$60,C875)&lt;&gt;"OK","CHECK employee setup",IF(OR('_Dates'!J875=0,'_Dates'!T875=0),"CHECK date: use DD.MM.YYYY",IF('_Dates'!T875&lt;'_Dates'!J875,"CHECK end before start",IF(AND($B$6=0,OR('_Dates'!J875&lt;Settings!$B$7,'_Dates'!T875&gt;Settings!$B$8)),"CHECK split across leave years",IF(OR(NOT(OR('_Dates'!U875="Full day",'_Dates'!U875="AM",'_Dates'!U875="PM")),NOT(OR('_Dates'!V875="Full day",'_Dates'!V875="AM",'_Dates'!V875="PM"))),"CHECK Full day / AM / PM",IF(AND('_Dates'!J875='_Dates'!T875,'_Dates'!U875&lt;&gt;"Full day",'_Dates'!V875&lt;&gt;"Full day",'_Dates'!U875&lt;&gt;'_Dates'!V875),"CHECK same-day portions disagree",IF(AND($B$6=0,OR(AND('_Dates'!U875&lt;&gt;"Full day",'_Dates'!AA875=0),AND('_Dates'!V875&lt;&gt;"Full day",'_Dates'!AB875=0))),"CHECK half-day on non-working date",IF(COUNTIF(Settings!$G$7:$G$11,D875)&lt;&gt;1,"CHECK leave type",IF(AND(Bookings!G875&lt;&gt;"Approved",Bookings!G875&lt;&gt;"Pending",Bookings!G875&lt;&gt;"Cancelled"),"CHECK status","OK")))))))))),"CHECK input"))</ns0:f>
        <ns0:v/>
      </ns0:c>
      <ns0:c r="G875" s="0">
        <ns0:f>IF(OR(F875&lt;&gt;"OK",$B$6&gt;0),0,0.5*(IF(('_Dates'!X875)&lt;('_Dates'!W875),0,INT((('_Dates'!X875)-('_Dates'!W875)+1)/7)*LEN(SUBSTITUTE(W875,"O",""))+LEN(SUBSTITUTE(MID(W875&amp;W875,WEEKDAY(('_Dates'!W875),2),MOD((('_Dates'!X875)-('_Dates'!W875)+1),7)),"O",""))-COUNTIFS(INDEX(AllClosureRows,C875,0),"&gt;="&amp;('_Dates'!W875),INDEX(AllClosureRows,C875,0),"&lt;="&amp;('_Dates'!X875)))+IF(('_Dates'!Z875)&lt;('_Dates'!Y875),0,INT((('_Dates'!Z875)-('_Dates'!Y875)+1)/7)*LEN(SUBSTITUTE(W875,"O",""))+LEN(SUBSTITUTE(MID(W875&amp;W875,WEEKDAY(('_Dates'!Y875),2),MOD((('_Dates'!Z875)-('_Dates'!Y875)+1),7)),"O",""))-COUNTIFS(INDEX(AllClosureRows,C875,0),"&gt;="&amp;('_Dates'!Y875),INDEX(AllClosureRows,C875,0),"&lt;="&amp;('_Dates'!Z875)))))</ns0:f>
        <ns0:v>0</ns0:v>
      </ns0:c>
      <ns0:c r="H875" s="0">
        <ns0:f>IF(OR(F875&lt;&gt;"OK",$B$6&gt;0),0,0.5*(IF((MIN('_Dates'!X875,Settings!$B$9))&lt;('_Dates'!W875),0,INT(((MIN('_Dates'!X875,Settings!$B$9))-('_Dates'!W875)+1)/7)*LEN(SUBSTITUTE(W875,"O",""))+LEN(SUBSTITUTE(MID(W875&amp;W875,WEEKDAY(('_Dates'!W875),2),MOD(((MIN('_Dates'!X875,Settings!$B$9))-('_Dates'!W875)+1),7)),"O",""))-COUNTIFS(INDEX(AllClosureRows,C875,0),"&gt;="&amp;('_Dates'!W875),INDEX(AllClosureRows,C875,0),"&lt;="&amp;(MIN('_Dates'!X875,Settings!$B$9))))+IF((MIN('_Dates'!Z875,Settings!$B$9))&lt;('_Dates'!Y875),0,INT(((MIN('_Dates'!Z875,Settings!$B$9))-('_Dates'!Y875)+1)/7)*LEN(SUBSTITUTE(W875,"O",""))+LEN(SUBSTITUTE(MID(W875&amp;W875,WEEKDAY(('_Dates'!Y875),2),MOD(((MIN('_Dates'!Z875,Settings!$B$9))-('_Dates'!Y875)+1),7)),"O",""))-COUNTIFS(INDEX(AllClosureRows,C875,0),"&gt;="&amp;('_Dates'!Y875),INDEX(AllClosureRows,C875,0),"&lt;="&amp;(MIN('_Dates'!Z875,Settings!$B$9))))))</ns0:f>
        <ns0:v>0</ns0:v>
      </ns0:c>
      <ns0:c r="I875" s="0">
        <ns0:f>MAX(0,G875-H875)</ns0:f>
        <ns0:v>0</ns0:v>
      </ns0:c>
      <ns0:c r="J875" s="0">
        <ns0:f>IF(OR(A875=0,F875&lt;&gt;"OK",Bookings!G875="Cancelled",$B$6&gt;0),0,IF('_Dates'!AC875=1,MAX(0,COUNTIFS(rngEngine_B,B875,rngAMStart,"&lt;="&amp;'_Dates'!X875,rngAMEnd,"&gt;="&amp;'_Dates'!W875,rngAMActive,1,rngEngine_F,"OK",rngBookings_F,"&lt;&gt;Cancelled")-1),0)+IF('_Dates'!AD875=1,MAX(0,COUNTIFS(rngEngine_B,B875,rngPMStart,"&lt;="&amp;'_Dates'!Z875,rngPMEnd,"&gt;="&amp;'_Dates'!Y875,rngPMActive,1,rngEngine_F,"OK",rngBookings_F,"&lt;&gt;Cancelled")-1),0))</ns0:f>
        <ns0:v>0</ns0:v>
      </ns0:c>
      <ns0:c r="K875" s="0" t="str">
        <ns0:f>IF(A875=0,"",IF(F875&lt;&gt;"OK",F875,IF(J875&gt;0,"CHECK overlapping entry",IF(AND($B$6=0,G875&lt;=0,Bookings!G875&lt;&gt;"Cancelled"),"CHECK no working days",IF(Bookings!G875="Cancelled","Cancelled","OK")))))</ns0:f>
        <ns0:v/>
      </ns0:c>
      <ns0:c r="L875" s="0">
        <ns0:f>IF(LEFT(K875,5)="CHECK",1,0)</ns0:f>
        <ns0:v>0</ns0:v>
      </ns0:c>
      <ns0:c r="M875" s="0">
        <ns0:f>IF(AND(L875=1,OR(C875=0,IFERROR(INDEX($X$11:$X$60,C875),0)=0)),1,0)</ns0:f>
        <ns0:v>0</ns0:v>
      </ns0:c>
      <ns0:c r="N875" s="0">
        <ns0:f>IF(OR(A875=0,L875&gt;0,$B$6&gt;0,Bookings!G875="Cancelled"),0,G875)</ns0:f>
        <ns0:v>0</ns0:v>
      </ns0:c>
      <ns0:c r="O875" s="0">
        <ns0:f>IF(AND(Bookings!G875="Approved",E875="Yes"),N875,0)</ns0:f>
        <ns0:v>0</ns0:v>
      </ns0:c>
      <ns0:c r="P875" s="0">
        <ns0:f>IF(AND(Bookings!G875="Approved",E875="Yes",L875=0,$B$6=0),H875,0)</ns0:f>
        <ns0:v>0</ns0:v>
      </ns0:c>
      <ns0:c r="Q875" s="0">
        <ns0:f>IF(AND(Bookings!G875="Approved",E875="Yes",L875=0,$B$6=0),I875,0)</ns0:f>
        <ns0:v>0</ns0:v>
      </ns0:c>
      <ns0:c r="R875" s="0">
        <ns0:f>IF(AND(Bookings!G875="Pending",E875="Yes"),N875,0)</ns0:f>
        <ns0:v>0</ns0:v>
      </ns0:c>
      <ns0:c r="S875" s="0">
        <ns0:f>IF(AND(Bookings!G875="Approved",E875="No"),N875,0)</ns0:f>
        <ns0:v>0</ns0:v>
      </ns0:c>
      <ns0:c r="T875" s="0">
        <ns0:f>IFERROR(MATCH(D875,Settings!$G$7:$G$11,0),0)</ns0:f>
        <ns0:v>0</ns0:v>
      </ns0:c>
      <ns0:c r="U875" s="0">
        <ns0:f>IF(N875&gt;0,T875+IF(Bookings!G875="Pending",10,0),0)</ns0:f>
        <ns0:v>0</ns0:v>
      </ns0:c>
      <ns0:c r="V875" s="0">
        <ns0:f>U875</ns0:f>
        <ns0:v>0</ns0:v>
      </ns0:c>
      <ns0:c r="W875" s="0" t="str">
        <ns0:f>IF(C875=0,"",INDEX($AP$11:$AP$60,C875))</ns0:f>
        <ns0:v/>
      </ns0:c>
    </ns0:row>
    <ns0:row r="876">
      <ns0:c r="A876" s="0">
        <ns0:f>IF(COUNTA(Bookings!A876:G876,Bookings!I876)=0,0,1)</ns0:f>
        <ns0:v>0</ns0:v>
      </ns0:c>
      <ns0:c r="B876" s="0" t="str">
        <ns0:f>IFERROR(TRIM(MID(Bookings!A876,FIND(" · ",Bookings!A876)+3,99)),"")</ns0:f>
        <ns0:v/>
      </ns0:c>
      <ns0:c r="C876" s="0">
        <ns0:f>IF(OR(B876="",LEN(B876)&gt;24,ISNUMBER(FIND(" ",B876)),ISNUMBER(FIND("*",B876)),ISNUMBER(FIND("?",B876)),ISNUMBER(FIND("~",B876))),0,IFERROR(MATCH(B876,Team!$A$11:$A$60,0),0))</ns0:f>
        <ns0:v>0</ns0:v>
      </ns0:c>
      <ns0:c r="D876" s="0" t="str">
        <ns0:f>IFERROR(IF(MID(Bookings!F876,LEN(Bookings!F876)-3,3)=" · ",RIGHT(Bookings!F876,1),""),"")</ns0:f>
        <ns0:v/>
      </ns0:c>
      <ns0:c r="E876" s="0" t="str">
        <ns0:f>IFERROR(INDEX(Settings!$H$7:$H$11,MATCH(D876,Settings!$G$7:$G$11,0)),"")</ns0:f>
        <ns0:v/>
      </ns0:c>
      <ns0:c r="F876" s="0" t="str">
        <ns0:f>IF(A876=0,"",IFERROR(IF(OR(B876="",C876=0),"CHECK employee selection",IF(INDEX(Team!$O$11:$O$60,C876)&lt;&gt;"OK","CHECK employee setup",IF(OR('_Dates'!J876=0,'_Dates'!T876=0),"CHECK date: use DD.MM.YYYY",IF('_Dates'!T876&lt;'_Dates'!J876,"CHECK end before start",IF(AND($B$6=0,OR('_Dates'!J876&lt;Settings!$B$7,'_Dates'!T876&gt;Settings!$B$8)),"CHECK split across leave years",IF(OR(NOT(OR('_Dates'!U876="Full day",'_Dates'!U876="AM",'_Dates'!U876="PM")),NOT(OR('_Dates'!V876="Full day",'_Dates'!V876="AM",'_Dates'!V876="PM"))),"CHECK Full day / AM / PM",IF(AND('_Dates'!J876='_Dates'!T876,'_Dates'!U876&lt;&gt;"Full day",'_Dates'!V876&lt;&gt;"Full day",'_Dates'!U876&lt;&gt;'_Dates'!V876),"CHECK same-day portions disagree",IF(AND($B$6=0,OR(AND('_Dates'!U876&lt;&gt;"Full day",'_Dates'!AA876=0),AND('_Dates'!V876&lt;&gt;"Full day",'_Dates'!AB876=0))),"CHECK half-day on non-working date",IF(COUNTIF(Settings!$G$7:$G$11,D876)&lt;&gt;1,"CHECK leave type",IF(AND(Bookings!G876&lt;&gt;"Approved",Bookings!G876&lt;&gt;"Pending",Bookings!G876&lt;&gt;"Cancelled"),"CHECK status","OK")))))))))),"CHECK input"))</ns0:f>
        <ns0:v/>
      </ns0:c>
      <ns0:c r="G876" s="0">
        <ns0:f>IF(OR(F876&lt;&gt;"OK",$B$6&gt;0),0,0.5*(IF(('_Dates'!X876)&lt;('_Dates'!W876),0,INT((('_Dates'!X876)-('_Dates'!W876)+1)/7)*LEN(SUBSTITUTE(W876,"O",""))+LEN(SUBSTITUTE(MID(W876&amp;W876,WEEKDAY(('_Dates'!W876),2),MOD((('_Dates'!X876)-('_Dates'!W876)+1),7)),"O",""))-COUNTIFS(INDEX(AllClosureRows,C876,0),"&gt;="&amp;('_Dates'!W876),INDEX(AllClosureRows,C876,0),"&lt;="&amp;('_Dates'!X876)))+IF(('_Dates'!Z876)&lt;('_Dates'!Y876),0,INT((('_Dates'!Z876)-('_Dates'!Y876)+1)/7)*LEN(SUBSTITUTE(W876,"O",""))+LEN(SUBSTITUTE(MID(W876&amp;W876,WEEKDAY(('_Dates'!Y876),2),MOD((('_Dates'!Z876)-('_Dates'!Y876)+1),7)),"O",""))-COUNTIFS(INDEX(AllClosureRows,C876,0),"&gt;="&amp;('_Dates'!Y876),INDEX(AllClosureRows,C876,0),"&lt;="&amp;('_Dates'!Z876)))))</ns0:f>
        <ns0:v>0</ns0:v>
      </ns0:c>
      <ns0:c r="H876" s="0">
        <ns0:f>IF(OR(F876&lt;&gt;"OK",$B$6&gt;0),0,0.5*(IF((MIN('_Dates'!X876,Settings!$B$9))&lt;('_Dates'!W876),0,INT(((MIN('_Dates'!X876,Settings!$B$9))-('_Dates'!W876)+1)/7)*LEN(SUBSTITUTE(W876,"O",""))+LEN(SUBSTITUTE(MID(W876&amp;W876,WEEKDAY(('_Dates'!W876),2),MOD(((MIN('_Dates'!X876,Settings!$B$9))-('_Dates'!W876)+1),7)),"O",""))-COUNTIFS(INDEX(AllClosureRows,C876,0),"&gt;="&amp;('_Dates'!W876),INDEX(AllClosureRows,C876,0),"&lt;="&amp;(MIN('_Dates'!X876,Settings!$B$9))))+IF((MIN('_Dates'!Z876,Settings!$B$9))&lt;('_Dates'!Y876),0,INT(((MIN('_Dates'!Z876,Settings!$B$9))-('_Dates'!Y876)+1)/7)*LEN(SUBSTITUTE(W876,"O",""))+LEN(SUBSTITUTE(MID(W876&amp;W876,WEEKDAY(('_Dates'!Y876),2),MOD(((MIN('_Dates'!Z876,Settings!$B$9))-('_Dates'!Y876)+1),7)),"O",""))-COUNTIFS(INDEX(AllClosureRows,C876,0),"&gt;="&amp;('_Dates'!Y876),INDEX(AllClosureRows,C876,0),"&lt;="&amp;(MIN('_Dates'!Z876,Settings!$B$9))))))</ns0:f>
        <ns0:v>0</ns0:v>
      </ns0:c>
      <ns0:c r="I876" s="0">
        <ns0:f>MAX(0,G876-H876)</ns0:f>
        <ns0:v>0</ns0:v>
      </ns0:c>
      <ns0:c r="J876" s="0">
        <ns0:f>IF(OR(A876=0,F876&lt;&gt;"OK",Bookings!G876="Cancelled",$B$6&gt;0),0,IF('_Dates'!AC876=1,MAX(0,COUNTIFS(rngEngine_B,B876,rngAMStart,"&lt;="&amp;'_Dates'!X876,rngAMEnd,"&gt;="&amp;'_Dates'!W876,rngAMActive,1,rngEngine_F,"OK",rngBookings_F,"&lt;&gt;Cancelled")-1),0)+IF('_Dates'!AD876=1,MAX(0,COUNTIFS(rngEngine_B,B876,rngPMStart,"&lt;="&amp;'_Dates'!Z876,rngPMEnd,"&gt;="&amp;'_Dates'!Y876,rngPMActive,1,rngEngine_F,"OK",rngBookings_F,"&lt;&gt;Cancelled")-1),0))</ns0:f>
        <ns0:v>0</ns0:v>
      </ns0:c>
      <ns0:c r="K876" s="0" t="str">
        <ns0:f>IF(A876=0,"",IF(F876&lt;&gt;"OK",F876,IF(J876&gt;0,"CHECK overlapping entry",IF(AND($B$6=0,G876&lt;=0,Bookings!G876&lt;&gt;"Cancelled"),"CHECK no working days",IF(Bookings!G876="Cancelled","Cancelled","OK")))))</ns0:f>
        <ns0:v/>
      </ns0:c>
      <ns0:c r="L876" s="0">
        <ns0:f>IF(LEFT(K876,5)="CHECK",1,0)</ns0:f>
        <ns0:v>0</ns0:v>
      </ns0:c>
      <ns0:c r="M876" s="0">
        <ns0:f>IF(AND(L876=1,OR(C876=0,IFERROR(INDEX($X$11:$X$60,C876),0)=0)),1,0)</ns0:f>
        <ns0:v>0</ns0:v>
      </ns0:c>
      <ns0:c r="N876" s="0">
        <ns0:f>IF(OR(A876=0,L876&gt;0,$B$6&gt;0,Bookings!G876="Cancelled"),0,G876)</ns0:f>
        <ns0:v>0</ns0:v>
      </ns0:c>
      <ns0:c r="O876" s="0">
        <ns0:f>IF(AND(Bookings!G876="Approved",E876="Yes"),N876,0)</ns0:f>
        <ns0:v>0</ns0:v>
      </ns0:c>
      <ns0:c r="P876" s="0">
        <ns0:f>IF(AND(Bookings!G876="Approved",E876="Yes",L876=0,$B$6=0),H876,0)</ns0:f>
        <ns0:v>0</ns0:v>
      </ns0:c>
      <ns0:c r="Q876" s="0">
        <ns0:f>IF(AND(Bookings!G876="Approved",E876="Yes",L876=0,$B$6=0),I876,0)</ns0:f>
        <ns0:v>0</ns0:v>
      </ns0:c>
      <ns0:c r="R876" s="0">
        <ns0:f>IF(AND(Bookings!G876="Pending",E876="Yes"),N876,0)</ns0:f>
        <ns0:v>0</ns0:v>
      </ns0:c>
      <ns0:c r="S876" s="0">
        <ns0:f>IF(AND(Bookings!G876="Approved",E876="No"),N876,0)</ns0:f>
        <ns0:v>0</ns0:v>
      </ns0:c>
      <ns0:c r="T876" s="0">
        <ns0:f>IFERROR(MATCH(D876,Settings!$G$7:$G$11,0),0)</ns0:f>
        <ns0:v>0</ns0:v>
      </ns0:c>
      <ns0:c r="U876" s="0">
        <ns0:f>IF(N876&gt;0,T876+IF(Bookings!G876="Pending",10,0),0)</ns0:f>
        <ns0:v>0</ns0:v>
      </ns0:c>
      <ns0:c r="V876" s="0">
        <ns0:f>U876</ns0:f>
        <ns0:v>0</ns0:v>
      </ns0:c>
      <ns0:c r="W876" s="0" t="str">
        <ns0:f>IF(C876=0,"",INDEX($AP$11:$AP$60,C876))</ns0:f>
        <ns0:v/>
      </ns0:c>
    </ns0:row>
    <ns0:row r="877">
      <ns0:c r="A877" s="0">
        <ns0:f>IF(COUNTA(Bookings!A877:G877,Bookings!I877)=0,0,1)</ns0:f>
        <ns0:v>0</ns0:v>
      </ns0:c>
      <ns0:c r="B877" s="0" t="str">
        <ns0:f>IFERROR(TRIM(MID(Bookings!A877,FIND(" · ",Bookings!A877)+3,99)),"")</ns0:f>
        <ns0:v/>
      </ns0:c>
      <ns0:c r="C877" s="0">
        <ns0:f>IF(OR(B877="",LEN(B877)&gt;24,ISNUMBER(FIND(" ",B877)),ISNUMBER(FIND("*",B877)),ISNUMBER(FIND("?",B877)),ISNUMBER(FIND("~",B877))),0,IFERROR(MATCH(B877,Team!$A$11:$A$60,0),0))</ns0:f>
        <ns0:v>0</ns0:v>
      </ns0:c>
      <ns0:c r="D877" s="0" t="str">
        <ns0:f>IFERROR(IF(MID(Bookings!F877,LEN(Bookings!F877)-3,3)=" · ",RIGHT(Bookings!F877,1),""),"")</ns0:f>
        <ns0:v/>
      </ns0:c>
      <ns0:c r="E877" s="0" t="str">
        <ns0:f>IFERROR(INDEX(Settings!$H$7:$H$11,MATCH(D877,Settings!$G$7:$G$11,0)),"")</ns0:f>
        <ns0:v/>
      </ns0:c>
      <ns0:c r="F877" s="0" t="str">
        <ns0:f>IF(A877=0,"",IFERROR(IF(OR(B877="",C877=0),"CHECK employee selection",IF(INDEX(Team!$O$11:$O$60,C877)&lt;&gt;"OK","CHECK employee setup",IF(OR('_Dates'!J877=0,'_Dates'!T877=0),"CHECK date: use DD.MM.YYYY",IF('_Dates'!T877&lt;'_Dates'!J877,"CHECK end before start",IF(AND($B$6=0,OR('_Dates'!J877&lt;Settings!$B$7,'_Dates'!T877&gt;Settings!$B$8)),"CHECK split across leave years",IF(OR(NOT(OR('_Dates'!U877="Full day",'_Dates'!U877="AM",'_Dates'!U877="PM")),NOT(OR('_Dates'!V877="Full day",'_Dates'!V877="AM",'_Dates'!V877="PM"))),"CHECK Full day / AM / PM",IF(AND('_Dates'!J877='_Dates'!T877,'_Dates'!U877&lt;&gt;"Full day",'_Dates'!V877&lt;&gt;"Full day",'_Dates'!U877&lt;&gt;'_Dates'!V877),"CHECK same-day portions disagree",IF(AND($B$6=0,OR(AND('_Dates'!U877&lt;&gt;"Full day",'_Dates'!AA877=0),AND('_Dates'!V877&lt;&gt;"Full day",'_Dates'!AB877=0))),"CHECK half-day on non-working date",IF(COUNTIF(Settings!$G$7:$G$11,D877)&lt;&gt;1,"CHECK leave type",IF(AND(Bookings!G877&lt;&gt;"Approved",Bookings!G877&lt;&gt;"Pending",Bookings!G877&lt;&gt;"Cancelled"),"CHECK status","OK")))))))))),"CHECK input"))</ns0:f>
        <ns0:v/>
      </ns0:c>
      <ns0:c r="G877" s="0">
        <ns0:f>IF(OR(F877&lt;&gt;"OK",$B$6&gt;0),0,0.5*(IF(('_Dates'!X877)&lt;('_Dates'!W877),0,INT((('_Dates'!X877)-('_Dates'!W877)+1)/7)*LEN(SUBSTITUTE(W877,"O",""))+LEN(SUBSTITUTE(MID(W877&amp;W877,WEEKDAY(('_Dates'!W877),2),MOD((('_Dates'!X877)-('_Dates'!W877)+1),7)),"O",""))-COUNTIFS(INDEX(AllClosureRows,C877,0),"&gt;="&amp;('_Dates'!W877),INDEX(AllClosureRows,C877,0),"&lt;="&amp;('_Dates'!X877)))+IF(('_Dates'!Z877)&lt;('_Dates'!Y877),0,INT((('_Dates'!Z877)-('_Dates'!Y877)+1)/7)*LEN(SUBSTITUTE(W877,"O",""))+LEN(SUBSTITUTE(MID(W877&amp;W877,WEEKDAY(('_Dates'!Y877),2),MOD((('_Dates'!Z877)-('_Dates'!Y877)+1),7)),"O",""))-COUNTIFS(INDEX(AllClosureRows,C877,0),"&gt;="&amp;('_Dates'!Y877),INDEX(AllClosureRows,C877,0),"&lt;="&amp;('_Dates'!Z877)))))</ns0:f>
        <ns0:v>0</ns0:v>
      </ns0:c>
      <ns0:c r="H877" s="0">
        <ns0:f>IF(OR(F877&lt;&gt;"OK",$B$6&gt;0),0,0.5*(IF((MIN('_Dates'!X877,Settings!$B$9))&lt;('_Dates'!W877),0,INT(((MIN('_Dates'!X877,Settings!$B$9))-('_Dates'!W877)+1)/7)*LEN(SUBSTITUTE(W877,"O",""))+LEN(SUBSTITUTE(MID(W877&amp;W877,WEEKDAY(('_Dates'!W877),2),MOD(((MIN('_Dates'!X877,Settings!$B$9))-('_Dates'!W877)+1),7)),"O",""))-COUNTIFS(INDEX(AllClosureRows,C877,0),"&gt;="&amp;('_Dates'!W877),INDEX(AllClosureRows,C877,0),"&lt;="&amp;(MIN('_Dates'!X877,Settings!$B$9))))+IF((MIN('_Dates'!Z877,Settings!$B$9))&lt;('_Dates'!Y877),0,INT(((MIN('_Dates'!Z877,Settings!$B$9))-('_Dates'!Y877)+1)/7)*LEN(SUBSTITUTE(W877,"O",""))+LEN(SUBSTITUTE(MID(W877&amp;W877,WEEKDAY(('_Dates'!Y877),2),MOD(((MIN('_Dates'!Z877,Settings!$B$9))-('_Dates'!Y877)+1),7)),"O",""))-COUNTIFS(INDEX(AllClosureRows,C877,0),"&gt;="&amp;('_Dates'!Y877),INDEX(AllClosureRows,C877,0),"&lt;="&amp;(MIN('_Dates'!Z877,Settings!$B$9))))))</ns0:f>
        <ns0:v>0</ns0:v>
      </ns0:c>
      <ns0:c r="I877" s="0">
        <ns0:f>MAX(0,G877-H877)</ns0:f>
        <ns0:v>0</ns0:v>
      </ns0:c>
      <ns0:c r="J877" s="0">
        <ns0:f>IF(OR(A877=0,F877&lt;&gt;"OK",Bookings!G877="Cancelled",$B$6&gt;0),0,IF('_Dates'!AC877=1,MAX(0,COUNTIFS(rngEngine_B,B877,rngAMStart,"&lt;="&amp;'_Dates'!X877,rngAMEnd,"&gt;="&amp;'_Dates'!W877,rngAMActive,1,rngEngine_F,"OK",rngBookings_F,"&lt;&gt;Cancelled")-1),0)+IF('_Dates'!AD877=1,MAX(0,COUNTIFS(rngEngine_B,B877,rngPMStart,"&lt;="&amp;'_Dates'!Z877,rngPMEnd,"&gt;="&amp;'_Dates'!Y877,rngPMActive,1,rngEngine_F,"OK",rngBookings_F,"&lt;&gt;Cancelled")-1),0))</ns0:f>
        <ns0:v>0</ns0:v>
      </ns0:c>
      <ns0:c r="K877" s="0" t="str">
        <ns0:f>IF(A877=0,"",IF(F877&lt;&gt;"OK",F877,IF(J877&gt;0,"CHECK overlapping entry",IF(AND($B$6=0,G877&lt;=0,Bookings!G877&lt;&gt;"Cancelled"),"CHECK no working days",IF(Bookings!G877="Cancelled","Cancelled","OK")))))</ns0:f>
        <ns0:v/>
      </ns0:c>
      <ns0:c r="L877" s="0">
        <ns0:f>IF(LEFT(K877,5)="CHECK",1,0)</ns0:f>
        <ns0:v>0</ns0:v>
      </ns0:c>
      <ns0:c r="M877" s="0">
        <ns0:f>IF(AND(L877=1,OR(C877=0,IFERROR(INDEX($X$11:$X$60,C877),0)=0)),1,0)</ns0:f>
        <ns0:v>0</ns0:v>
      </ns0:c>
      <ns0:c r="N877" s="0">
        <ns0:f>IF(OR(A877=0,L877&gt;0,$B$6&gt;0,Bookings!G877="Cancelled"),0,G877)</ns0:f>
        <ns0:v>0</ns0:v>
      </ns0:c>
      <ns0:c r="O877" s="0">
        <ns0:f>IF(AND(Bookings!G877="Approved",E877="Yes"),N877,0)</ns0:f>
        <ns0:v>0</ns0:v>
      </ns0:c>
      <ns0:c r="P877" s="0">
        <ns0:f>IF(AND(Bookings!G877="Approved",E877="Yes",L877=0,$B$6=0),H877,0)</ns0:f>
        <ns0:v>0</ns0:v>
      </ns0:c>
      <ns0:c r="Q877" s="0">
        <ns0:f>IF(AND(Bookings!G877="Approved",E877="Yes",L877=0,$B$6=0),I877,0)</ns0:f>
        <ns0:v>0</ns0:v>
      </ns0:c>
      <ns0:c r="R877" s="0">
        <ns0:f>IF(AND(Bookings!G877="Pending",E877="Yes"),N877,0)</ns0:f>
        <ns0:v>0</ns0:v>
      </ns0:c>
      <ns0:c r="S877" s="0">
        <ns0:f>IF(AND(Bookings!G877="Approved",E877="No"),N877,0)</ns0:f>
        <ns0:v>0</ns0:v>
      </ns0:c>
      <ns0:c r="T877" s="0">
        <ns0:f>IFERROR(MATCH(D877,Settings!$G$7:$G$11,0),0)</ns0:f>
        <ns0:v>0</ns0:v>
      </ns0:c>
      <ns0:c r="U877" s="0">
        <ns0:f>IF(N877&gt;0,T877+IF(Bookings!G877="Pending",10,0),0)</ns0:f>
        <ns0:v>0</ns0:v>
      </ns0:c>
      <ns0:c r="V877" s="0">
        <ns0:f>U877</ns0:f>
        <ns0:v>0</ns0:v>
      </ns0:c>
      <ns0:c r="W877" s="0" t="str">
        <ns0:f>IF(C877=0,"",INDEX($AP$11:$AP$60,C877))</ns0:f>
        <ns0:v/>
      </ns0:c>
    </ns0:row>
    <ns0:row r="878">
      <ns0:c r="A878" s="0">
        <ns0:f>IF(COUNTA(Bookings!A878:G878,Bookings!I878)=0,0,1)</ns0:f>
        <ns0:v>0</ns0:v>
      </ns0:c>
      <ns0:c r="B878" s="0" t="str">
        <ns0:f>IFERROR(TRIM(MID(Bookings!A878,FIND(" · ",Bookings!A878)+3,99)),"")</ns0:f>
        <ns0:v/>
      </ns0:c>
      <ns0:c r="C878" s="0">
        <ns0:f>IF(OR(B878="",LEN(B878)&gt;24,ISNUMBER(FIND(" ",B878)),ISNUMBER(FIND("*",B878)),ISNUMBER(FIND("?",B878)),ISNUMBER(FIND("~",B878))),0,IFERROR(MATCH(B878,Team!$A$11:$A$60,0),0))</ns0:f>
        <ns0:v>0</ns0:v>
      </ns0:c>
      <ns0:c r="D878" s="0" t="str">
        <ns0:f>IFERROR(IF(MID(Bookings!F878,LEN(Bookings!F878)-3,3)=" · ",RIGHT(Bookings!F878,1),""),"")</ns0:f>
        <ns0:v/>
      </ns0:c>
      <ns0:c r="E878" s="0" t="str">
        <ns0:f>IFERROR(INDEX(Settings!$H$7:$H$11,MATCH(D878,Settings!$G$7:$G$11,0)),"")</ns0:f>
        <ns0:v/>
      </ns0:c>
      <ns0:c r="F878" s="0" t="str">
        <ns0:f>IF(A878=0,"",IFERROR(IF(OR(B878="",C878=0),"CHECK employee selection",IF(INDEX(Team!$O$11:$O$60,C878)&lt;&gt;"OK","CHECK employee setup",IF(OR('_Dates'!J878=0,'_Dates'!T878=0),"CHECK date: use DD.MM.YYYY",IF('_Dates'!T878&lt;'_Dates'!J878,"CHECK end before start",IF(AND($B$6=0,OR('_Dates'!J878&lt;Settings!$B$7,'_Dates'!T878&gt;Settings!$B$8)),"CHECK split across leave years",IF(OR(NOT(OR('_Dates'!U878="Full day",'_Dates'!U878="AM",'_Dates'!U878="PM")),NOT(OR('_Dates'!V878="Full day",'_Dates'!V878="AM",'_Dates'!V878="PM"))),"CHECK Full day / AM / PM",IF(AND('_Dates'!J878='_Dates'!T878,'_Dates'!U878&lt;&gt;"Full day",'_Dates'!V878&lt;&gt;"Full day",'_Dates'!U878&lt;&gt;'_Dates'!V878),"CHECK same-day portions disagree",IF(AND($B$6=0,OR(AND('_Dates'!U878&lt;&gt;"Full day",'_Dates'!AA878=0),AND('_Dates'!V878&lt;&gt;"Full day",'_Dates'!AB878=0))),"CHECK half-day on non-working date",IF(COUNTIF(Settings!$G$7:$G$11,D878)&lt;&gt;1,"CHECK leave type",IF(AND(Bookings!G878&lt;&gt;"Approved",Bookings!G878&lt;&gt;"Pending",Bookings!G878&lt;&gt;"Cancelled"),"CHECK status","OK")))))))))),"CHECK input"))</ns0:f>
        <ns0:v/>
      </ns0:c>
      <ns0:c r="G878" s="0">
        <ns0:f>IF(OR(F878&lt;&gt;"OK",$B$6&gt;0),0,0.5*(IF(('_Dates'!X878)&lt;('_Dates'!W878),0,INT((('_Dates'!X878)-('_Dates'!W878)+1)/7)*LEN(SUBSTITUTE(W878,"O",""))+LEN(SUBSTITUTE(MID(W878&amp;W878,WEEKDAY(('_Dates'!W878),2),MOD((('_Dates'!X878)-('_Dates'!W878)+1),7)),"O",""))-COUNTIFS(INDEX(AllClosureRows,C878,0),"&gt;="&amp;('_Dates'!W878),INDEX(AllClosureRows,C878,0),"&lt;="&amp;('_Dates'!X878)))+IF(('_Dates'!Z878)&lt;('_Dates'!Y878),0,INT((('_Dates'!Z878)-('_Dates'!Y878)+1)/7)*LEN(SUBSTITUTE(W878,"O",""))+LEN(SUBSTITUTE(MID(W878&amp;W878,WEEKDAY(('_Dates'!Y878),2),MOD((('_Dates'!Z878)-('_Dates'!Y878)+1),7)),"O",""))-COUNTIFS(INDEX(AllClosureRows,C878,0),"&gt;="&amp;('_Dates'!Y878),INDEX(AllClosureRows,C878,0),"&lt;="&amp;('_Dates'!Z878)))))</ns0:f>
        <ns0:v>0</ns0:v>
      </ns0:c>
      <ns0:c r="H878" s="0">
        <ns0:f>IF(OR(F878&lt;&gt;"OK",$B$6&gt;0),0,0.5*(IF((MIN('_Dates'!X878,Settings!$B$9))&lt;('_Dates'!W878),0,INT(((MIN('_Dates'!X878,Settings!$B$9))-('_Dates'!W878)+1)/7)*LEN(SUBSTITUTE(W878,"O",""))+LEN(SUBSTITUTE(MID(W878&amp;W878,WEEKDAY(('_Dates'!W878),2),MOD(((MIN('_Dates'!X878,Settings!$B$9))-('_Dates'!W878)+1),7)),"O",""))-COUNTIFS(INDEX(AllClosureRows,C878,0),"&gt;="&amp;('_Dates'!W878),INDEX(AllClosureRows,C878,0),"&lt;="&amp;(MIN('_Dates'!X878,Settings!$B$9))))+IF((MIN('_Dates'!Z878,Settings!$B$9))&lt;('_Dates'!Y878),0,INT(((MIN('_Dates'!Z878,Settings!$B$9))-('_Dates'!Y878)+1)/7)*LEN(SUBSTITUTE(W878,"O",""))+LEN(SUBSTITUTE(MID(W878&amp;W878,WEEKDAY(('_Dates'!Y878),2),MOD(((MIN('_Dates'!Z878,Settings!$B$9))-('_Dates'!Y878)+1),7)),"O",""))-COUNTIFS(INDEX(AllClosureRows,C878,0),"&gt;="&amp;('_Dates'!Y878),INDEX(AllClosureRows,C878,0),"&lt;="&amp;(MIN('_Dates'!Z878,Settings!$B$9))))))</ns0:f>
        <ns0:v>0</ns0:v>
      </ns0:c>
      <ns0:c r="I878" s="0">
        <ns0:f>MAX(0,G878-H878)</ns0:f>
        <ns0:v>0</ns0:v>
      </ns0:c>
      <ns0:c r="J878" s="0">
        <ns0:f>IF(OR(A878=0,F878&lt;&gt;"OK",Bookings!G878="Cancelled",$B$6&gt;0),0,IF('_Dates'!AC878=1,MAX(0,COUNTIFS(rngEngine_B,B878,rngAMStart,"&lt;="&amp;'_Dates'!X878,rngAMEnd,"&gt;="&amp;'_Dates'!W878,rngAMActive,1,rngEngine_F,"OK",rngBookings_F,"&lt;&gt;Cancelled")-1),0)+IF('_Dates'!AD878=1,MAX(0,COUNTIFS(rngEngine_B,B878,rngPMStart,"&lt;="&amp;'_Dates'!Z878,rngPMEnd,"&gt;="&amp;'_Dates'!Y878,rngPMActive,1,rngEngine_F,"OK",rngBookings_F,"&lt;&gt;Cancelled")-1),0))</ns0:f>
        <ns0:v>0</ns0:v>
      </ns0:c>
      <ns0:c r="K878" s="0" t="str">
        <ns0:f>IF(A878=0,"",IF(F878&lt;&gt;"OK",F878,IF(J878&gt;0,"CHECK overlapping entry",IF(AND($B$6=0,G878&lt;=0,Bookings!G878&lt;&gt;"Cancelled"),"CHECK no working days",IF(Bookings!G878="Cancelled","Cancelled","OK")))))</ns0:f>
        <ns0:v/>
      </ns0:c>
      <ns0:c r="L878" s="0">
        <ns0:f>IF(LEFT(K878,5)="CHECK",1,0)</ns0:f>
        <ns0:v>0</ns0:v>
      </ns0:c>
      <ns0:c r="M878" s="0">
        <ns0:f>IF(AND(L878=1,OR(C878=0,IFERROR(INDEX($X$11:$X$60,C878),0)=0)),1,0)</ns0:f>
        <ns0:v>0</ns0:v>
      </ns0:c>
      <ns0:c r="N878" s="0">
        <ns0:f>IF(OR(A878=0,L878&gt;0,$B$6&gt;0,Bookings!G878="Cancelled"),0,G878)</ns0:f>
        <ns0:v>0</ns0:v>
      </ns0:c>
      <ns0:c r="O878" s="0">
        <ns0:f>IF(AND(Bookings!G878="Approved",E878="Yes"),N878,0)</ns0:f>
        <ns0:v>0</ns0:v>
      </ns0:c>
      <ns0:c r="P878" s="0">
        <ns0:f>IF(AND(Bookings!G878="Approved",E878="Yes",L878=0,$B$6=0),H878,0)</ns0:f>
        <ns0:v>0</ns0:v>
      </ns0:c>
      <ns0:c r="Q878" s="0">
        <ns0:f>IF(AND(Bookings!G878="Approved",E878="Yes",L878=0,$B$6=0),I878,0)</ns0:f>
        <ns0:v>0</ns0:v>
      </ns0:c>
      <ns0:c r="R878" s="0">
        <ns0:f>IF(AND(Bookings!G878="Pending",E878="Yes"),N878,0)</ns0:f>
        <ns0:v>0</ns0:v>
      </ns0:c>
      <ns0:c r="S878" s="0">
        <ns0:f>IF(AND(Bookings!G878="Approved",E878="No"),N878,0)</ns0:f>
        <ns0:v>0</ns0:v>
      </ns0:c>
      <ns0:c r="T878" s="0">
        <ns0:f>IFERROR(MATCH(D878,Settings!$G$7:$G$11,0),0)</ns0:f>
        <ns0:v>0</ns0:v>
      </ns0:c>
      <ns0:c r="U878" s="0">
        <ns0:f>IF(N878&gt;0,T878+IF(Bookings!G878="Pending",10,0),0)</ns0:f>
        <ns0:v>0</ns0:v>
      </ns0:c>
      <ns0:c r="V878" s="0">
        <ns0:f>U878</ns0:f>
        <ns0:v>0</ns0:v>
      </ns0:c>
      <ns0:c r="W878" s="0" t="str">
        <ns0:f>IF(C878=0,"",INDEX($AP$11:$AP$60,C878))</ns0:f>
        <ns0:v/>
      </ns0:c>
    </ns0:row>
    <ns0:row r="879">
      <ns0:c r="A879" s="0">
        <ns0:f>IF(COUNTA(Bookings!A879:G879,Bookings!I879)=0,0,1)</ns0:f>
        <ns0:v>0</ns0:v>
      </ns0:c>
      <ns0:c r="B879" s="0" t="str">
        <ns0:f>IFERROR(TRIM(MID(Bookings!A879,FIND(" · ",Bookings!A879)+3,99)),"")</ns0:f>
        <ns0:v/>
      </ns0:c>
      <ns0:c r="C879" s="0">
        <ns0:f>IF(OR(B879="",LEN(B879)&gt;24,ISNUMBER(FIND(" ",B879)),ISNUMBER(FIND("*",B879)),ISNUMBER(FIND("?",B879)),ISNUMBER(FIND("~",B879))),0,IFERROR(MATCH(B879,Team!$A$11:$A$60,0),0))</ns0:f>
        <ns0:v>0</ns0:v>
      </ns0:c>
      <ns0:c r="D879" s="0" t="str">
        <ns0:f>IFERROR(IF(MID(Bookings!F879,LEN(Bookings!F879)-3,3)=" · ",RIGHT(Bookings!F879,1),""),"")</ns0:f>
        <ns0:v/>
      </ns0:c>
      <ns0:c r="E879" s="0" t="str">
        <ns0:f>IFERROR(INDEX(Settings!$H$7:$H$11,MATCH(D879,Settings!$G$7:$G$11,0)),"")</ns0:f>
        <ns0:v/>
      </ns0:c>
      <ns0:c r="F879" s="0" t="str">
        <ns0:f>IF(A879=0,"",IFERROR(IF(OR(B879="",C879=0),"CHECK employee selection",IF(INDEX(Team!$O$11:$O$60,C879)&lt;&gt;"OK","CHECK employee setup",IF(OR('_Dates'!J879=0,'_Dates'!T879=0),"CHECK date: use DD.MM.YYYY",IF('_Dates'!T879&lt;'_Dates'!J879,"CHECK end before start",IF(AND($B$6=0,OR('_Dates'!J879&lt;Settings!$B$7,'_Dates'!T879&gt;Settings!$B$8)),"CHECK split across leave years",IF(OR(NOT(OR('_Dates'!U879="Full day",'_Dates'!U879="AM",'_Dates'!U879="PM")),NOT(OR('_Dates'!V879="Full day",'_Dates'!V879="AM",'_Dates'!V879="PM"))),"CHECK Full day / AM / PM",IF(AND('_Dates'!J879='_Dates'!T879,'_Dates'!U879&lt;&gt;"Full day",'_Dates'!V879&lt;&gt;"Full day",'_Dates'!U879&lt;&gt;'_Dates'!V879),"CHECK same-day portions disagree",IF(AND($B$6=0,OR(AND('_Dates'!U879&lt;&gt;"Full day",'_Dates'!AA879=0),AND('_Dates'!V879&lt;&gt;"Full day",'_Dates'!AB879=0))),"CHECK half-day on non-working date",IF(COUNTIF(Settings!$G$7:$G$11,D879)&lt;&gt;1,"CHECK leave type",IF(AND(Bookings!G879&lt;&gt;"Approved",Bookings!G879&lt;&gt;"Pending",Bookings!G879&lt;&gt;"Cancelled"),"CHECK status","OK")))))))))),"CHECK input"))</ns0:f>
        <ns0:v/>
      </ns0:c>
      <ns0:c r="G879" s="0">
        <ns0:f>IF(OR(F879&lt;&gt;"OK",$B$6&gt;0),0,0.5*(IF(('_Dates'!X879)&lt;('_Dates'!W879),0,INT((('_Dates'!X879)-('_Dates'!W879)+1)/7)*LEN(SUBSTITUTE(W879,"O",""))+LEN(SUBSTITUTE(MID(W879&amp;W879,WEEKDAY(('_Dates'!W879),2),MOD((('_Dates'!X879)-('_Dates'!W879)+1),7)),"O",""))-COUNTIFS(INDEX(AllClosureRows,C879,0),"&gt;="&amp;('_Dates'!W879),INDEX(AllClosureRows,C879,0),"&lt;="&amp;('_Dates'!X879)))+IF(('_Dates'!Z879)&lt;('_Dates'!Y879),0,INT((('_Dates'!Z879)-('_Dates'!Y879)+1)/7)*LEN(SUBSTITUTE(W879,"O",""))+LEN(SUBSTITUTE(MID(W879&amp;W879,WEEKDAY(('_Dates'!Y879),2),MOD((('_Dates'!Z879)-('_Dates'!Y879)+1),7)),"O",""))-COUNTIFS(INDEX(AllClosureRows,C879,0),"&gt;="&amp;('_Dates'!Y879),INDEX(AllClosureRows,C879,0),"&lt;="&amp;('_Dates'!Z879)))))</ns0:f>
        <ns0:v>0</ns0:v>
      </ns0:c>
      <ns0:c r="H879" s="0">
        <ns0:f>IF(OR(F879&lt;&gt;"OK",$B$6&gt;0),0,0.5*(IF((MIN('_Dates'!X879,Settings!$B$9))&lt;('_Dates'!W879),0,INT(((MIN('_Dates'!X879,Settings!$B$9))-('_Dates'!W879)+1)/7)*LEN(SUBSTITUTE(W879,"O",""))+LEN(SUBSTITUTE(MID(W879&amp;W879,WEEKDAY(('_Dates'!W879),2),MOD(((MIN('_Dates'!X879,Settings!$B$9))-('_Dates'!W879)+1),7)),"O",""))-COUNTIFS(INDEX(AllClosureRows,C879,0),"&gt;="&amp;('_Dates'!W879),INDEX(AllClosureRows,C879,0),"&lt;="&amp;(MIN('_Dates'!X879,Settings!$B$9))))+IF((MIN('_Dates'!Z879,Settings!$B$9))&lt;('_Dates'!Y879),0,INT(((MIN('_Dates'!Z879,Settings!$B$9))-('_Dates'!Y879)+1)/7)*LEN(SUBSTITUTE(W879,"O",""))+LEN(SUBSTITUTE(MID(W879&amp;W879,WEEKDAY(('_Dates'!Y879),2),MOD(((MIN('_Dates'!Z879,Settings!$B$9))-('_Dates'!Y879)+1),7)),"O",""))-COUNTIFS(INDEX(AllClosureRows,C879,0),"&gt;="&amp;('_Dates'!Y879),INDEX(AllClosureRows,C879,0),"&lt;="&amp;(MIN('_Dates'!Z879,Settings!$B$9))))))</ns0:f>
        <ns0:v>0</ns0:v>
      </ns0:c>
      <ns0:c r="I879" s="0">
        <ns0:f>MAX(0,G879-H879)</ns0:f>
        <ns0:v>0</ns0:v>
      </ns0:c>
      <ns0:c r="J879" s="0">
        <ns0:f>IF(OR(A879=0,F879&lt;&gt;"OK",Bookings!G879="Cancelled",$B$6&gt;0),0,IF('_Dates'!AC879=1,MAX(0,COUNTIFS(rngEngine_B,B879,rngAMStart,"&lt;="&amp;'_Dates'!X879,rngAMEnd,"&gt;="&amp;'_Dates'!W879,rngAMActive,1,rngEngine_F,"OK",rngBookings_F,"&lt;&gt;Cancelled")-1),0)+IF('_Dates'!AD879=1,MAX(0,COUNTIFS(rngEngine_B,B879,rngPMStart,"&lt;="&amp;'_Dates'!Z879,rngPMEnd,"&gt;="&amp;'_Dates'!Y879,rngPMActive,1,rngEngine_F,"OK",rngBookings_F,"&lt;&gt;Cancelled")-1),0))</ns0:f>
        <ns0:v>0</ns0:v>
      </ns0:c>
      <ns0:c r="K879" s="0" t="str">
        <ns0:f>IF(A879=0,"",IF(F879&lt;&gt;"OK",F879,IF(J879&gt;0,"CHECK overlapping entry",IF(AND($B$6=0,G879&lt;=0,Bookings!G879&lt;&gt;"Cancelled"),"CHECK no working days",IF(Bookings!G879="Cancelled","Cancelled","OK")))))</ns0:f>
        <ns0:v/>
      </ns0:c>
      <ns0:c r="L879" s="0">
        <ns0:f>IF(LEFT(K879,5)="CHECK",1,0)</ns0:f>
        <ns0:v>0</ns0:v>
      </ns0:c>
      <ns0:c r="M879" s="0">
        <ns0:f>IF(AND(L879=1,OR(C879=0,IFERROR(INDEX($X$11:$X$60,C879),0)=0)),1,0)</ns0:f>
        <ns0:v>0</ns0:v>
      </ns0:c>
      <ns0:c r="N879" s="0">
        <ns0:f>IF(OR(A879=0,L879&gt;0,$B$6&gt;0,Bookings!G879="Cancelled"),0,G879)</ns0:f>
        <ns0:v>0</ns0:v>
      </ns0:c>
      <ns0:c r="O879" s="0">
        <ns0:f>IF(AND(Bookings!G879="Approved",E879="Yes"),N879,0)</ns0:f>
        <ns0:v>0</ns0:v>
      </ns0:c>
      <ns0:c r="P879" s="0">
        <ns0:f>IF(AND(Bookings!G879="Approved",E879="Yes",L879=0,$B$6=0),H879,0)</ns0:f>
        <ns0:v>0</ns0:v>
      </ns0:c>
      <ns0:c r="Q879" s="0">
        <ns0:f>IF(AND(Bookings!G879="Approved",E879="Yes",L879=0,$B$6=0),I879,0)</ns0:f>
        <ns0:v>0</ns0:v>
      </ns0:c>
      <ns0:c r="R879" s="0">
        <ns0:f>IF(AND(Bookings!G879="Pending",E879="Yes"),N879,0)</ns0:f>
        <ns0:v>0</ns0:v>
      </ns0:c>
      <ns0:c r="S879" s="0">
        <ns0:f>IF(AND(Bookings!G879="Approved",E879="No"),N879,0)</ns0:f>
        <ns0:v>0</ns0:v>
      </ns0:c>
      <ns0:c r="T879" s="0">
        <ns0:f>IFERROR(MATCH(D879,Settings!$G$7:$G$11,0),0)</ns0:f>
        <ns0:v>0</ns0:v>
      </ns0:c>
      <ns0:c r="U879" s="0">
        <ns0:f>IF(N879&gt;0,T879+IF(Bookings!G879="Pending",10,0),0)</ns0:f>
        <ns0:v>0</ns0:v>
      </ns0:c>
      <ns0:c r="V879" s="0">
        <ns0:f>U879</ns0:f>
        <ns0:v>0</ns0:v>
      </ns0:c>
      <ns0:c r="W879" s="0" t="str">
        <ns0:f>IF(C879=0,"",INDEX($AP$11:$AP$60,C879))</ns0:f>
        <ns0:v/>
      </ns0:c>
    </ns0:row>
    <ns0:row r="880">
      <ns0:c r="A880" s="0">
        <ns0:f>IF(COUNTA(Bookings!A880:G880,Bookings!I880)=0,0,1)</ns0:f>
        <ns0:v>0</ns0:v>
      </ns0:c>
      <ns0:c r="B880" s="0" t="str">
        <ns0:f>IFERROR(TRIM(MID(Bookings!A880,FIND(" · ",Bookings!A880)+3,99)),"")</ns0:f>
        <ns0:v/>
      </ns0:c>
      <ns0:c r="C880" s="0">
        <ns0:f>IF(OR(B880="",LEN(B880)&gt;24,ISNUMBER(FIND(" ",B880)),ISNUMBER(FIND("*",B880)),ISNUMBER(FIND("?",B880)),ISNUMBER(FIND("~",B880))),0,IFERROR(MATCH(B880,Team!$A$11:$A$60,0),0))</ns0:f>
        <ns0:v>0</ns0:v>
      </ns0:c>
      <ns0:c r="D880" s="0" t="str">
        <ns0:f>IFERROR(IF(MID(Bookings!F880,LEN(Bookings!F880)-3,3)=" · ",RIGHT(Bookings!F880,1),""),"")</ns0:f>
        <ns0:v/>
      </ns0:c>
      <ns0:c r="E880" s="0" t="str">
        <ns0:f>IFERROR(INDEX(Settings!$H$7:$H$11,MATCH(D880,Settings!$G$7:$G$11,0)),"")</ns0:f>
        <ns0:v/>
      </ns0:c>
      <ns0:c r="F880" s="0" t="str">
        <ns0:f>IF(A880=0,"",IFERROR(IF(OR(B880="",C880=0),"CHECK employee selection",IF(INDEX(Team!$O$11:$O$60,C880)&lt;&gt;"OK","CHECK employee setup",IF(OR('_Dates'!J880=0,'_Dates'!T880=0),"CHECK date: use DD.MM.YYYY",IF('_Dates'!T880&lt;'_Dates'!J880,"CHECK end before start",IF(AND($B$6=0,OR('_Dates'!J880&lt;Settings!$B$7,'_Dates'!T880&gt;Settings!$B$8)),"CHECK split across leave years",IF(OR(NOT(OR('_Dates'!U880="Full day",'_Dates'!U880="AM",'_Dates'!U880="PM")),NOT(OR('_Dates'!V880="Full day",'_Dates'!V880="AM",'_Dates'!V880="PM"))),"CHECK Full day / AM / PM",IF(AND('_Dates'!J880='_Dates'!T880,'_Dates'!U880&lt;&gt;"Full day",'_Dates'!V880&lt;&gt;"Full day",'_Dates'!U880&lt;&gt;'_Dates'!V880),"CHECK same-day portions disagree",IF(AND($B$6=0,OR(AND('_Dates'!U880&lt;&gt;"Full day",'_Dates'!AA880=0),AND('_Dates'!V880&lt;&gt;"Full day",'_Dates'!AB880=0))),"CHECK half-day on non-working date",IF(COUNTIF(Settings!$G$7:$G$11,D880)&lt;&gt;1,"CHECK leave type",IF(AND(Bookings!G880&lt;&gt;"Approved",Bookings!G880&lt;&gt;"Pending",Bookings!G880&lt;&gt;"Cancelled"),"CHECK status","OK")))))))))),"CHECK input"))</ns0:f>
        <ns0:v/>
      </ns0:c>
      <ns0:c r="G880" s="0">
        <ns0:f>IF(OR(F880&lt;&gt;"OK",$B$6&gt;0),0,0.5*(IF(('_Dates'!X880)&lt;('_Dates'!W880),0,INT((('_Dates'!X880)-('_Dates'!W880)+1)/7)*LEN(SUBSTITUTE(W880,"O",""))+LEN(SUBSTITUTE(MID(W880&amp;W880,WEEKDAY(('_Dates'!W880),2),MOD((('_Dates'!X880)-('_Dates'!W880)+1),7)),"O",""))-COUNTIFS(INDEX(AllClosureRows,C880,0),"&gt;="&amp;('_Dates'!W880),INDEX(AllClosureRows,C880,0),"&lt;="&amp;('_Dates'!X880)))+IF(('_Dates'!Z880)&lt;('_Dates'!Y880),0,INT((('_Dates'!Z880)-('_Dates'!Y880)+1)/7)*LEN(SUBSTITUTE(W880,"O",""))+LEN(SUBSTITUTE(MID(W880&amp;W880,WEEKDAY(('_Dates'!Y880),2),MOD((('_Dates'!Z880)-('_Dates'!Y880)+1),7)),"O",""))-COUNTIFS(INDEX(AllClosureRows,C880,0),"&gt;="&amp;('_Dates'!Y880),INDEX(AllClosureRows,C880,0),"&lt;="&amp;('_Dates'!Z880)))))</ns0:f>
        <ns0:v>0</ns0:v>
      </ns0:c>
      <ns0:c r="H880" s="0">
        <ns0:f>IF(OR(F880&lt;&gt;"OK",$B$6&gt;0),0,0.5*(IF((MIN('_Dates'!X880,Settings!$B$9))&lt;('_Dates'!W880),0,INT(((MIN('_Dates'!X880,Settings!$B$9))-('_Dates'!W880)+1)/7)*LEN(SUBSTITUTE(W880,"O",""))+LEN(SUBSTITUTE(MID(W880&amp;W880,WEEKDAY(('_Dates'!W880),2),MOD(((MIN('_Dates'!X880,Settings!$B$9))-('_Dates'!W880)+1),7)),"O",""))-COUNTIFS(INDEX(AllClosureRows,C880,0),"&gt;="&amp;('_Dates'!W880),INDEX(AllClosureRows,C880,0),"&lt;="&amp;(MIN('_Dates'!X880,Settings!$B$9))))+IF((MIN('_Dates'!Z880,Settings!$B$9))&lt;('_Dates'!Y880),0,INT(((MIN('_Dates'!Z880,Settings!$B$9))-('_Dates'!Y880)+1)/7)*LEN(SUBSTITUTE(W880,"O",""))+LEN(SUBSTITUTE(MID(W880&amp;W880,WEEKDAY(('_Dates'!Y880),2),MOD(((MIN('_Dates'!Z880,Settings!$B$9))-('_Dates'!Y880)+1),7)),"O",""))-COUNTIFS(INDEX(AllClosureRows,C880,0),"&gt;="&amp;('_Dates'!Y880),INDEX(AllClosureRows,C880,0),"&lt;="&amp;(MIN('_Dates'!Z880,Settings!$B$9))))))</ns0:f>
        <ns0:v>0</ns0:v>
      </ns0:c>
      <ns0:c r="I880" s="0">
        <ns0:f>MAX(0,G880-H880)</ns0:f>
        <ns0:v>0</ns0:v>
      </ns0:c>
      <ns0:c r="J880" s="0">
        <ns0:f>IF(OR(A880=0,F880&lt;&gt;"OK",Bookings!G880="Cancelled",$B$6&gt;0),0,IF('_Dates'!AC880=1,MAX(0,COUNTIFS(rngEngine_B,B880,rngAMStart,"&lt;="&amp;'_Dates'!X880,rngAMEnd,"&gt;="&amp;'_Dates'!W880,rngAMActive,1,rngEngine_F,"OK",rngBookings_F,"&lt;&gt;Cancelled")-1),0)+IF('_Dates'!AD880=1,MAX(0,COUNTIFS(rngEngine_B,B880,rngPMStart,"&lt;="&amp;'_Dates'!Z880,rngPMEnd,"&gt;="&amp;'_Dates'!Y880,rngPMActive,1,rngEngine_F,"OK",rngBookings_F,"&lt;&gt;Cancelled")-1),0))</ns0:f>
        <ns0:v>0</ns0:v>
      </ns0:c>
      <ns0:c r="K880" s="0" t="str">
        <ns0:f>IF(A880=0,"",IF(F880&lt;&gt;"OK",F880,IF(J880&gt;0,"CHECK overlapping entry",IF(AND($B$6=0,G880&lt;=0,Bookings!G880&lt;&gt;"Cancelled"),"CHECK no working days",IF(Bookings!G880="Cancelled","Cancelled","OK")))))</ns0:f>
        <ns0:v/>
      </ns0:c>
      <ns0:c r="L880" s="0">
        <ns0:f>IF(LEFT(K880,5)="CHECK",1,0)</ns0:f>
        <ns0:v>0</ns0:v>
      </ns0:c>
      <ns0:c r="M880" s="0">
        <ns0:f>IF(AND(L880=1,OR(C880=0,IFERROR(INDEX($X$11:$X$60,C880),0)=0)),1,0)</ns0:f>
        <ns0:v>0</ns0:v>
      </ns0:c>
      <ns0:c r="N880" s="0">
        <ns0:f>IF(OR(A880=0,L880&gt;0,$B$6&gt;0,Bookings!G880="Cancelled"),0,G880)</ns0:f>
        <ns0:v>0</ns0:v>
      </ns0:c>
      <ns0:c r="O880" s="0">
        <ns0:f>IF(AND(Bookings!G880="Approved",E880="Yes"),N880,0)</ns0:f>
        <ns0:v>0</ns0:v>
      </ns0:c>
      <ns0:c r="P880" s="0">
        <ns0:f>IF(AND(Bookings!G880="Approved",E880="Yes",L880=0,$B$6=0),H880,0)</ns0:f>
        <ns0:v>0</ns0:v>
      </ns0:c>
      <ns0:c r="Q880" s="0">
        <ns0:f>IF(AND(Bookings!G880="Approved",E880="Yes",L880=0,$B$6=0),I880,0)</ns0:f>
        <ns0:v>0</ns0:v>
      </ns0:c>
      <ns0:c r="R880" s="0">
        <ns0:f>IF(AND(Bookings!G880="Pending",E880="Yes"),N880,0)</ns0:f>
        <ns0:v>0</ns0:v>
      </ns0:c>
      <ns0:c r="S880" s="0">
        <ns0:f>IF(AND(Bookings!G880="Approved",E880="No"),N880,0)</ns0:f>
        <ns0:v>0</ns0:v>
      </ns0:c>
      <ns0:c r="T880" s="0">
        <ns0:f>IFERROR(MATCH(D880,Settings!$G$7:$G$11,0),0)</ns0:f>
        <ns0:v>0</ns0:v>
      </ns0:c>
      <ns0:c r="U880" s="0">
        <ns0:f>IF(N880&gt;0,T880+IF(Bookings!G880="Pending",10,0),0)</ns0:f>
        <ns0:v>0</ns0:v>
      </ns0:c>
      <ns0:c r="V880" s="0">
        <ns0:f>U880</ns0:f>
        <ns0:v>0</ns0:v>
      </ns0:c>
      <ns0:c r="W880" s="0" t="str">
        <ns0:f>IF(C880=0,"",INDEX($AP$11:$AP$60,C880))</ns0:f>
        <ns0:v/>
      </ns0:c>
    </ns0:row>
    <ns0:row r="881">
      <ns0:c r="A881" s="0">
        <ns0:f>IF(COUNTA(Bookings!A881:G881,Bookings!I881)=0,0,1)</ns0:f>
        <ns0:v>0</ns0:v>
      </ns0:c>
      <ns0:c r="B881" s="0" t="str">
        <ns0:f>IFERROR(TRIM(MID(Bookings!A881,FIND(" · ",Bookings!A881)+3,99)),"")</ns0:f>
        <ns0:v/>
      </ns0:c>
      <ns0:c r="C881" s="0">
        <ns0:f>IF(OR(B881="",LEN(B881)&gt;24,ISNUMBER(FIND(" ",B881)),ISNUMBER(FIND("*",B881)),ISNUMBER(FIND("?",B881)),ISNUMBER(FIND("~",B881))),0,IFERROR(MATCH(B881,Team!$A$11:$A$60,0),0))</ns0:f>
        <ns0:v>0</ns0:v>
      </ns0:c>
      <ns0:c r="D881" s="0" t="str">
        <ns0:f>IFERROR(IF(MID(Bookings!F881,LEN(Bookings!F881)-3,3)=" · ",RIGHT(Bookings!F881,1),""),"")</ns0:f>
        <ns0:v/>
      </ns0:c>
      <ns0:c r="E881" s="0" t="str">
        <ns0:f>IFERROR(INDEX(Settings!$H$7:$H$11,MATCH(D881,Settings!$G$7:$G$11,0)),"")</ns0:f>
        <ns0:v/>
      </ns0:c>
      <ns0:c r="F881" s="0" t="str">
        <ns0:f>IF(A881=0,"",IFERROR(IF(OR(B881="",C881=0),"CHECK employee selection",IF(INDEX(Team!$O$11:$O$60,C881)&lt;&gt;"OK","CHECK employee setup",IF(OR('_Dates'!J881=0,'_Dates'!T881=0),"CHECK date: use DD.MM.YYYY",IF('_Dates'!T881&lt;'_Dates'!J881,"CHECK end before start",IF(AND($B$6=0,OR('_Dates'!J881&lt;Settings!$B$7,'_Dates'!T881&gt;Settings!$B$8)),"CHECK split across leave years",IF(OR(NOT(OR('_Dates'!U881="Full day",'_Dates'!U881="AM",'_Dates'!U881="PM")),NOT(OR('_Dates'!V881="Full day",'_Dates'!V881="AM",'_Dates'!V881="PM"))),"CHECK Full day / AM / PM",IF(AND('_Dates'!J881='_Dates'!T881,'_Dates'!U881&lt;&gt;"Full day",'_Dates'!V881&lt;&gt;"Full day",'_Dates'!U881&lt;&gt;'_Dates'!V881),"CHECK same-day portions disagree",IF(AND($B$6=0,OR(AND('_Dates'!U881&lt;&gt;"Full day",'_Dates'!AA881=0),AND('_Dates'!V881&lt;&gt;"Full day",'_Dates'!AB881=0))),"CHECK half-day on non-working date",IF(COUNTIF(Settings!$G$7:$G$11,D881)&lt;&gt;1,"CHECK leave type",IF(AND(Bookings!G881&lt;&gt;"Approved",Bookings!G881&lt;&gt;"Pending",Bookings!G881&lt;&gt;"Cancelled"),"CHECK status","OK")))))))))),"CHECK input"))</ns0:f>
        <ns0:v/>
      </ns0:c>
      <ns0:c r="G881" s="0">
        <ns0:f>IF(OR(F881&lt;&gt;"OK",$B$6&gt;0),0,0.5*(IF(('_Dates'!X881)&lt;('_Dates'!W881),0,INT((('_Dates'!X881)-('_Dates'!W881)+1)/7)*LEN(SUBSTITUTE(W881,"O",""))+LEN(SUBSTITUTE(MID(W881&amp;W881,WEEKDAY(('_Dates'!W881),2),MOD((('_Dates'!X881)-('_Dates'!W881)+1),7)),"O",""))-COUNTIFS(INDEX(AllClosureRows,C881,0),"&gt;="&amp;('_Dates'!W881),INDEX(AllClosureRows,C881,0),"&lt;="&amp;('_Dates'!X881)))+IF(('_Dates'!Z881)&lt;('_Dates'!Y881),0,INT((('_Dates'!Z881)-('_Dates'!Y881)+1)/7)*LEN(SUBSTITUTE(W881,"O",""))+LEN(SUBSTITUTE(MID(W881&amp;W881,WEEKDAY(('_Dates'!Y881),2),MOD((('_Dates'!Z881)-('_Dates'!Y881)+1),7)),"O",""))-COUNTIFS(INDEX(AllClosureRows,C881,0),"&gt;="&amp;('_Dates'!Y881),INDEX(AllClosureRows,C881,0),"&lt;="&amp;('_Dates'!Z881)))))</ns0:f>
        <ns0:v>0</ns0:v>
      </ns0:c>
      <ns0:c r="H881" s="0">
        <ns0:f>IF(OR(F881&lt;&gt;"OK",$B$6&gt;0),0,0.5*(IF((MIN('_Dates'!X881,Settings!$B$9))&lt;('_Dates'!W881),0,INT(((MIN('_Dates'!X881,Settings!$B$9))-('_Dates'!W881)+1)/7)*LEN(SUBSTITUTE(W881,"O",""))+LEN(SUBSTITUTE(MID(W881&amp;W881,WEEKDAY(('_Dates'!W881),2),MOD(((MIN('_Dates'!X881,Settings!$B$9))-('_Dates'!W881)+1),7)),"O",""))-COUNTIFS(INDEX(AllClosureRows,C881,0),"&gt;="&amp;('_Dates'!W881),INDEX(AllClosureRows,C881,0),"&lt;="&amp;(MIN('_Dates'!X881,Settings!$B$9))))+IF((MIN('_Dates'!Z881,Settings!$B$9))&lt;('_Dates'!Y881),0,INT(((MIN('_Dates'!Z881,Settings!$B$9))-('_Dates'!Y881)+1)/7)*LEN(SUBSTITUTE(W881,"O",""))+LEN(SUBSTITUTE(MID(W881&amp;W881,WEEKDAY(('_Dates'!Y881),2),MOD(((MIN('_Dates'!Z881,Settings!$B$9))-('_Dates'!Y881)+1),7)),"O",""))-COUNTIFS(INDEX(AllClosureRows,C881,0),"&gt;="&amp;('_Dates'!Y881),INDEX(AllClosureRows,C881,0),"&lt;="&amp;(MIN('_Dates'!Z881,Settings!$B$9))))))</ns0:f>
        <ns0:v>0</ns0:v>
      </ns0:c>
      <ns0:c r="I881" s="0">
        <ns0:f>MAX(0,G881-H881)</ns0:f>
        <ns0:v>0</ns0:v>
      </ns0:c>
      <ns0:c r="J881" s="0">
        <ns0:f>IF(OR(A881=0,F881&lt;&gt;"OK",Bookings!G881="Cancelled",$B$6&gt;0),0,IF('_Dates'!AC881=1,MAX(0,COUNTIFS(rngEngine_B,B881,rngAMStart,"&lt;="&amp;'_Dates'!X881,rngAMEnd,"&gt;="&amp;'_Dates'!W881,rngAMActive,1,rngEngine_F,"OK",rngBookings_F,"&lt;&gt;Cancelled")-1),0)+IF('_Dates'!AD881=1,MAX(0,COUNTIFS(rngEngine_B,B881,rngPMStart,"&lt;="&amp;'_Dates'!Z881,rngPMEnd,"&gt;="&amp;'_Dates'!Y881,rngPMActive,1,rngEngine_F,"OK",rngBookings_F,"&lt;&gt;Cancelled")-1),0))</ns0:f>
        <ns0:v>0</ns0:v>
      </ns0:c>
      <ns0:c r="K881" s="0" t="str">
        <ns0:f>IF(A881=0,"",IF(F881&lt;&gt;"OK",F881,IF(J881&gt;0,"CHECK overlapping entry",IF(AND($B$6=0,G881&lt;=0,Bookings!G881&lt;&gt;"Cancelled"),"CHECK no working days",IF(Bookings!G881="Cancelled","Cancelled","OK")))))</ns0:f>
        <ns0:v/>
      </ns0:c>
      <ns0:c r="L881" s="0">
        <ns0:f>IF(LEFT(K881,5)="CHECK",1,0)</ns0:f>
        <ns0:v>0</ns0:v>
      </ns0:c>
      <ns0:c r="M881" s="0">
        <ns0:f>IF(AND(L881=1,OR(C881=0,IFERROR(INDEX($X$11:$X$60,C881),0)=0)),1,0)</ns0:f>
        <ns0:v>0</ns0:v>
      </ns0:c>
      <ns0:c r="N881" s="0">
        <ns0:f>IF(OR(A881=0,L881&gt;0,$B$6&gt;0,Bookings!G881="Cancelled"),0,G881)</ns0:f>
        <ns0:v>0</ns0:v>
      </ns0:c>
      <ns0:c r="O881" s="0">
        <ns0:f>IF(AND(Bookings!G881="Approved",E881="Yes"),N881,0)</ns0:f>
        <ns0:v>0</ns0:v>
      </ns0:c>
      <ns0:c r="P881" s="0">
        <ns0:f>IF(AND(Bookings!G881="Approved",E881="Yes",L881=0,$B$6=0),H881,0)</ns0:f>
        <ns0:v>0</ns0:v>
      </ns0:c>
      <ns0:c r="Q881" s="0">
        <ns0:f>IF(AND(Bookings!G881="Approved",E881="Yes",L881=0,$B$6=0),I881,0)</ns0:f>
        <ns0:v>0</ns0:v>
      </ns0:c>
      <ns0:c r="R881" s="0">
        <ns0:f>IF(AND(Bookings!G881="Pending",E881="Yes"),N881,0)</ns0:f>
        <ns0:v>0</ns0:v>
      </ns0:c>
      <ns0:c r="S881" s="0">
        <ns0:f>IF(AND(Bookings!G881="Approved",E881="No"),N881,0)</ns0:f>
        <ns0:v>0</ns0:v>
      </ns0:c>
      <ns0:c r="T881" s="0">
        <ns0:f>IFERROR(MATCH(D881,Settings!$G$7:$G$11,0),0)</ns0:f>
        <ns0:v>0</ns0:v>
      </ns0:c>
      <ns0:c r="U881" s="0">
        <ns0:f>IF(N881&gt;0,T881+IF(Bookings!G881="Pending",10,0),0)</ns0:f>
        <ns0:v>0</ns0:v>
      </ns0:c>
      <ns0:c r="V881" s="0">
        <ns0:f>U881</ns0:f>
        <ns0:v>0</ns0:v>
      </ns0:c>
      <ns0:c r="W881" s="0" t="str">
        <ns0:f>IF(C881=0,"",INDEX($AP$11:$AP$60,C881))</ns0:f>
        <ns0:v/>
      </ns0:c>
    </ns0:row>
    <ns0:row r="882">
      <ns0:c r="A882" s="0">
        <ns0:f>IF(COUNTA(Bookings!A882:G882,Bookings!I882)=0,0,1)</ns0:f>
        <ns0:v>0</ns0:v>
      </ns0:c>
      <ns0:c r="B882" s="0" t="str">
        <ns0:f>IFERROR(TRIM(MID(Bookings!A882,FIND(" · ",Bookings!A882)+3,99)),"")</ns0:f>
        <ns0:v/>
      </ns0:c>
      <ns0:c r="C882" s="0">
        <ns0:f>IF(OR(B882="",LEN(B882)&gt;24,ISNUMBER(FIND(" ",B882)),ISNUMBER(FIND("*",B882)),ISNUMBER(FIND("?",B882)),ISNUMBER(FIND("~",B882))),0,IFERROR(MATCH(B882,Team!$A$11:$A$60,0),0))</ns0:f>
        <ns0:v>0</ns0:v>
      </ns0:c>
      <ns0:c r="D882" s="0" t="str">
        <ns0:f>IFERROR(IF(MID(Bookings!F882,LEN(Bookings!F882)-3,3)=" · ",RIGHT(Bookings!F882,1),""),"")</ns0:f>
        <ns0:v/>
      </ns0:c>
      <ns0:c r="E882" s="0" t="str">
        <ns0:f>IFERROR(INDEX(Settings!$H$7:$H$11,MATCH(D882,Settings!$G$7:$G$11,0)),"")</ns0:f>
        <ns0:v/>
      </ns0:c>
      <ns0:c r="F882" s="0" t="str">
        <ns0:f>IF(A882=0,"",IFERROR(IF(OR(B882="",C882=0),"CHECK employee selection",IF(INDEX(Team!$O$11:$O$60,C882)&lt;&gt;"OK","CHECK employee setup",IF(OR('_Dates'!J882=0,'_Dates'!T882=0),"CHECK date: use DD.MM.YYYY",IF('_Dates'!T882&lt;'_Dates'!J882,"CHECK end before start",IF(AND($B$6=0,OR('_Dates'!J882&lt;Settings!$B$7,'_Dates'!T882&gt;Settings!$B$8)),"CHECK split across leave years",IF(OR(NOT(OR('_Dates'!U882="Full day",'_Dates'!U882="AM",'_Dates'!U882="PM")),NOT(OR('_Dates'!V882="Full day",'_Dates'!V882="AM",'_Dates'!V882="PM"))),"CHECK Full day / AM / PM",IF(AND('_Dates'!J882='_Dates'!T882,'_Dates'!U882&lt;&gt;"Full day",'_Dates'!V882&lt;&gt;"Full day",'_Dates'!U882&lt;&gt;'_Dates'!V882),"CHECK same-day portions disagree",IF(AND($B$6=0,OR(AND('_Dates'!U882&lt;&gt;"Full day",'_Dates'!AA882=0),AND('_Dates'!V882&lt;&gt;"Full day",'_Dates'!AB882=0))),"CHECK half-day on non-working date",IF(COUNTIF(Settings!$G$7:$G$11,D882)&lt;&gt;1,"CHECK leave type",IF(AND(Bookings!G882&lt;&gt;"Approved",Bookings!G882&lt;&gt;"Pending",Bookings!G882&lt;&gt;"Cancelled"),"CHECK status","OK")))))))))),"CHECK input"))</ns0:f>
        <ns0:v/>
      </ns0:c>
      <ns0:c r="G882" s="0">
        <ns0:f>IF(OR(F882&lt;&gt;"OK",$B$6&gt;0),0,0.5*(IF(('_Dates'!X882)&lt;('_Dates'!W882),0,INT((('_Dates'!X882)-('_Dates'!W882)+1)/7)*LEN(SUBSTITUTE(W882,"O",""))+LEN(SUBSTITUTE(MID(W882&amp;W882,WEEKDAY(('_Dates'!W882),2),MOD((('_Dates'!X882)-('_Dates'!W882)+1),7)),"O",""))-COUNTIFS(INDEX(AllClosureRows,C882,0),"&gt;="&amp;('_Dates'!W882),INDEX(AllClosureRows,C882,0),"&lt;="&amp;('_Dates'!X882)))+IF(('_Dates'!Z882)&lt;('_Dates'!Y882),0,INT((('_Dates'!Z882)-('_Dates'!Y882)+1)/7)*LEN(SUBSTITUTE(W882,"O",""))+LEN(SUBSTITUTE(MID(W882&amp;W882,WEEKDAY(('_Dates'!Y882),2),MOD((('_Dates'!Z882)-('_Dates'!Y882)+1),7)),"O",""))-COUNTIFS(INDEX(AllClosureRows,C882,0),"&gt;="&amp;('_Dates'!Y882),INDEX(AllClosureRows,C882,0),"&lt;="&amp;('_Dates'!Z882)))))</ns0:f>
        <ns0:v>0</ns0:v>
      </ns0:c>
      <ns0:c r="H882" s="0">
        <ns0:f>IF(OR(F882&lt;&gt;"OK",$B$6&gt;0),0,0.5*(IF((MIN('_Dates'!X882,Settings!$B$9))&lt;('_Dates'!W882),0,INT(((MIN('_Dates'!X882,Settings!$B$9))-('_Dates'!W882)+1)/7)*LEN(SUBSTITUTE(W882,"O",""))+LEN(SUBSTITUTE(MID(W882&amp;W882,WEEKDAY(('_Dates'!W882),2),MOD(((MIN('_Dates'!X882,Settings!$B$9))-('_Dates'!W882)+1),7)),"O",""))-COUNTIFS(INDEX(AllClosureRows,C882,0),"&gt;="&amp;('_Dates'!W882),INDEX(AllClosureRows,C882,0),"&lt;="&amp;(MIN('_Dates'!X882,Settings!$B$9))))+IF((MIN('_Dates'!Z882,Settings!$B$9))&lt;('_Dates'!Y882),0,INT(((MIN('_Dates'!Z882,Settings!$B$9))-('_Dates'!Y882)+1)/7)*LEN(SUBSTITUTE(W882,"O",""))+LEN(SUBSTITUTE(MID(W882&amp;W882,WEEKDAY(('_Dates'!Y882),2),MOD(((MIN('_Dates'!Z882,Settings!$B$9))-('_Dates'!Y882)+1),7)),"O",""))-COUNTIFS(INDEX(AllClosureRows,C882,0),"&gt;="&amp;('_Dates'!Y882),INDEX(AllClosureRows,C882,0),"&lt;="&amp;(MIN('_Dates'!Z882,Settings!$B$9))))))</ns0:f>
        <ns0:v>0</ns0:v>
      </ns0:c>
      <ns0:c r="I882" s="0">
        <ns0:f>MAX(0,G882-H882)</ns0:f>
        <ns0:v>0</ns0:v>
      </ns0:c>
      <ns0:c r="J882" s="0">
        <ns0:f>IF(OR(A882=0,F882&lt;&gt;"OK",Bookings!G882="Cancelled",$B$6&gt;0),0,IF('_Dates'!AC882=1,MAX(0,COUNTIFS(rngEngine_B,B882,rngAMStart,"&lt;="&amp;'_Dates'!X882,rngAMEnd,"&gt;="&amp;'_Dates'!W882,rngAMActive,1,rngEngine_F,"OK",rngBookings_F,"&lt;&gt;Cancelled")-1),0)+IF('_Dates'!AD882=1,MAX(0,COUNTIFS(rngEngine_B,B882,rngPMStart,"&lt;="&amp;'_Dates'!Z882,rngPMEnd,"&gt;="&amp;'_Dates'!Y882,rngPMActive,1,rngEngine_F,"OK",rngBookings_F,"&lt;&gt;Cancelled")-1),0))</ns0:f>
        <ns0:v>0</ns0:v>
      </ns0:c>
      <ns0:c r="K882" s="0" t="str">
        <ns0:f>IF(A882=0,"",IF(F882&lt;&gt;"OK",F882,IF(J882&gt;0,"CHECK overlapping entry",IF(AND($B$6=0,G882&lt;=0,Bookings!G882&lt;&gt;"Cancelled"),"CHECK no working days",IF(Bookings!G882="Cancelled","Cancelled","OK")))))</ns0:f>
        <ns0:v/>
      </ns0:c>
      <ns0:c r="L882" s="0">
        <ns0:f>IF(LEFT(K882,5)="CHECK",1,0)</ns0:f>
        <ns0:v>0</ns0:v>
      </ns0:c>
      <ns0:c r="M882" s="0">
        <ns0:f>IF(AND(L882=1,OR(C882=0,IFERROR(INDEX($X$11:$X$60,C882),0)=0)),1,0)</ns0:f>
        <ns0:v>0</ns0:v>
      </ns0:c>
      <ns0:c r="N882" s="0">
        <ns0:f>IF(OR(A882=0,L882&gt;0,$B$6&gt;0,Bookings!G882="Cancelled"),0,G882)</ns0:f>
        <ns0:v>0</ns0:v>
      </ns0:c>
      <ns0:c r="O882" s="0">
        <ns0:f>IF(AND(Bookings!G882="Approved",E882="Yes"),N882,0)</ns0:f>
        <ns0:v>0</ns0:v>
      </ns0:c>
      <ns0:c r="P882" s="0">
        <ns0:f>IF(AND(Bookings!G882="Approved",E882="Yes",L882=0,$B$6=0),H882,0)</ns0:f>
        <ns0:v>0</ns0:v>
      </ns0:c>
      <ns0:c r="Q882" s="0">
        <ns0:f>IF(AND(Bookings!G882="Approved",E882="Yes",L882=0,$B$6=0),I882,0)</ns0:f>
        <ns0:v>0</ns0:v>
      </ns0:c>
      <ns0:c r="R882" s="0">
        <ns0:f>IF(AND(Bookings!G882="Pending",E882="Yes"),N882,0)</ns0:f>
        <ns0:v>0</ns0:v>
      </ns0:c>
      <ns0:c r="S882" s="0">
        <ns0:f>IF(AND(Bookings!G882="Approved",E882="No"),N882,0)</ns0:f>
        <ns0:v>0</ns0:v>
      </ns0:c>
      <ns0:c r="T882" s="0">
        <ns0:f>IFERROR(MATCH(D882,Settings!$G$7:$G$11,0),0)</ns0:f>
        <ns0:v>0</ns0:v>
      </ns0:c>
      <ns0:c r="U882" s="0">
        <ns0:f>IF(N882&gt;0,T882+IF(Bookings!G882="Pending",10,0),0)</ns0:f>
        <ns0:v>0</ns0:v>
      </ns0:c>
      <ns0:c r="V882" s="0">
        <ns0:f>U882</ns0:f>
        <ns0:v>0</ns0:v>
      </ns0:c>
      <ns0:c r="W882" s="0" t="str">
        <ns0:f>IF(C882=0,"",INDEX($AP$11:$AP$60,C882))</ns0:f>
        <ns0:v/>
      </ns0:c>
    </ns0:row>
    <ns0:row r="883">
      <ns0:c r="A883" s="0">
        <ns0:f>IF(COUNTA(Bookings!A883:G883,Bookings!I883)=0,0,1)</ns0:f>
        <ns0:v>0</ns0:v>
      </ns0:c>
      <ns0:c r="B883" s="0" t="str">
        <ns0:f>IFERROR(TRIM(MID(Bookings!A883,FIND(" · ",Bookings!A883)+3,99)),"")</ns0:f>
        <ns0:v/>
      </ns0:c>
      <ns0:c r="C883" s="0">
        <ns0:f>IF(OR(B883="",LEN(B883)&gt;24,ISNUMBER(FIND(" ",B883)),ISNUMBER(FIND("*",B883)),ISNUMBER(FIND("?",B883)),ISNUMBER(FIND("~",B883))),0,IFERROR(MATCH(B883,Team!$A$11:$A$60,0),0))</ns0:f>
        <ns0:v>0</ns0:v>
      </ns0:c>
      <ns0:c r="D883" s="0" t="str">
        <ns0:f>IFERROR(IF(MID(Bookings!F883,LEN(Bookings!F883)-3,3)=" · ",RIGHT(Bookings!F883,1),""),"")</ns0:f>
        <ns0:v/>
      </ns0:c>
      <ns0:c r="E883" s="0" t="str">
        <ns0:f>IFERROR(INDEX(Settings!$H$7:$H$11,MATCH(D883,Settings!$G$7:$G$11,0)),"")</ns0:f>
        <ns0:v/>
      </ns0:c>
      <ns0:c r="F883" s="0" t="str">
        <ns0:f>IF(A883=0,"",IFERROR(IF(OR(B883="",C883=0),"CHECK employee selection",IF(INDEX(Team!$O$11:$O$60,C883)&lt;&gt;"OK","CHECK employee setup",IF(OR('_Dates'!J883=0,'_Dates'!T883=0),"CHECK date: use DD.MM.YYYY",IF('_Dates'!T883&lt;'_Dates'!J883,"CHECK end before start",IF(AND($B$6=0,OR('_Dates'!J883&lt;Settings!$B$7,'_Dates'!T883&gt;Settings!$B$8)),"CHECK split across leave years",IF(OR(NOT(OR('_Dates'!U883="Full day",'_Dates'!U883="AM",'_Dates'!U883="PM")),NOT(OR('_Dates'!V883="Full day",'_Dates'!V883="AM",'_Dates'!V883="PM"))),"CHECK Full day / AM / PM",IF(AND('_Dates'!J883='_Dates'!T883,'_Dates'!U883&lt;&gt;"Full day",'_Dates'!V883&lt;&gt;"Full day",'_Dates'!U883&lt;&gt;'_Dates'!V883),"CHECK same-day portions disagree",IF(AND($B$6=0,OR(AND('_Dates'!U883&lt;&gt;"Full day",'_Dates'!AA883=0),AND('_Dates'!V883&lt;&gt;"Full day",'_Dates'!AB883=0))),"CHECK half-day on non-working date",IF(COUNTIF(Settings!$G$7:$G$11,D883)&lt;&gt;1,"CHECK leave type",IF(AND(Bookings!G883&lt;&gt;"Approved",Bookings!G883&lt;&gt;"Pending",Bookings!G883&lt;&gt;"Cancelled"),"CHECK status","OK")))))))))),"CHECK input"))</ns0:f>
        <ns0:v/>
      </ns0:c>
      <ns0:c r="G883" s="0">
        <ns0:f>IF(OR(F883&lt;&gt;"OK",$B$6&gt;0),0,0.5*(IF(('_Dates'!X883)&lt;('_Dates'!W883),0,INT((('_Dates'!X883)-('_Dates'!W883)+1)/7)*LEN(SUBSTITUTE(W883,"O",""))+LEN(SUBSTITUTE(MID(W883&amp;W883,WEEKDAY(('_Dates'!W883),2),MOD((('_Dates'!X883)-('_Dates'!W883)+1),7)),"O",""))-COUNTIFS(INDEX(AllClosureRows,C883,0),"&gt;="&amp;('_Dates'!W883),INDEX(AllClosureRows,C883,0),"&lt;="&amp;('_Dates'!X883)))+IF(('_Dates'!Z883)&lt;('_Dates'!Y883),0,INT((('_Dates'!Z883)-('_Dates'!Y883)+1)/7)*LEN(SUBSTITUTE(W883,"O",""))+LEN(SUBSTITUTE(MID(W883&amp;W883,WEEKDAY(('_Dates'!Y883),2),MOD((('_Dates'!Z883)-('_Dates'!Y883)+1),7)),"O",""))-COUNTIFS(INDEX(AllClosureRows,C883,0),"&gt;="&amp;('_Dates'!Y883),INDEX(AllClosureRows,C883,0),"&lt;="&amp;('_Dates'!Z883)))))</ns0:f>
        <ns0:v>0</ns0:v>
      </ns0:c>
      <ns0:c r="H883" s="0">
        <ns0:f>IF(OR(F883&lt;&gt;"OK",$B$6&gt;0),0,0.5*(IF((MIN('_Dates'!X883,Settings!$B$9))&lt;('_Dates'!W883),0,INT(((MIN('_Dates'!X883,Settings!$B$9))-('_Dates'!W883)+1)/7)*LEN(SUBSTITUTE(W883,"O",""))+LEN(SUBSTITUTE(MID(W883&amp;W883,WEEKDAY(('_Dates'!W883),2),MOD(((MIN('_Dates'!X883,Settings!$B$9))-('_Dates'!W883)+1),7)),"O",""))-COUNTIFS(INDEX(AllClosureRows,C883,0),"&gt;="&amp;('_Dates'!W883),INDEX(AllClosureRows,C883,0),"&lt;="&amp;(MIN('_Dates'!X883,Settings!$B$9))))+IF((MIN('_Dates'!Z883,Settings!$B$9))&lt;('_Dates'!Y883),0,INT(((MIN('_Dates'!Z883,Settings!$B$9))-('_Dates'!Y883)+1)/7)*LEN(SUBSTITUTE(W883,"O",""))+LEN(SUBSTITUTE(MID(W883&amp;W883,WEEKDAY(('_Dates'!Y883),2),MOD(((MIN('_Dates'!Z883,Settings!$B$9))-('_Dates'!Y883)+1),7)),"O",""))-COUNTIFS(INDEX(AllClosureRows,C883,0),"&gt;="&amp;('_Dates'!Y883),INDEX(AllClosureRows,C883,0),"&lt;="&amp;(MIN('_Dates'!Z883,Settings!$B$9))))))</ns0:f>
        <ns0:v>0</ns0:v>
      </ns0:c>
      <ns0:c r="I883" s="0">
        <ns0:f>MAX(0,G883-H883)</ns0:f>
        <ns0:v>0</ns0:v>
      </ns0:c>
      <ns0:c r="J883" s="0">
        <ns0:f>IF(OR(A883=0,F883&lt;&gt;"OK",Bookings!G883="Cancelled",$B$6&gt;0),0,IF('_Dates'!AC883=1,MAX(0,COUNTIFS(rngEngine_B,B883,rngAMStart,"&lt;="&amp;'_Dates'!X883,rngAMEnd,"&gt;="&amp;'_Dates'!W883,rngAMActive,1,rngEngine_F,"OK",rngBookings_F,"&lt;&gt;Cancelled")-1),0)+IF('_Dates'!AD883=1,MAX(0,COUNTIFS(rngEngine_B,B883,rngPMStart,"&lt;="&amp;'_Dates'!Z883,rngPMEnd,"&gt;="&amp;'_Dates'!Y883,rngPMActive,1,rngEngine_F,"OK",rngBookings_F,"&lt;&gt;Cancelled")-1),0))</ns0:f>
        <ns0:v>0</ns0:v>
      </ns0:c>
      <ns0:c r="K883" s="0" t="str">
        <ns0:f>IF(A883=0,"",IF(F883&lt;&gt;"OK",F883,IF(J883&gt;0,"CHECK overlapping entry",IF(AND($B$6=0,G883&lt;=0,Bookings!G883&lt;&gt;"Cancelled"),"CHECK no working days",IF(Bookings!G883="Cancelled","Cancelled","OK")))))</ns0:f>
        <ns0:v/>
      </ns0:c>
      <ns0:c r="L883" s="0">
        <ns0:f>IF(LEFT(K883,5)="CHECK",1,0)</ns0:f>
        <ns0:v>0</ns0:v>
      </ns0:c>
      <ns0:c r="M883" s="0">
        <ns0:f>IF(AND(L883=1,OR(C883=0,IFERROR(INDEX($X$11:$X$60,C883),0)=0)),1,0)</ns0:f>
        <ns0:v>0</ns0:v>
      </ns0:c>
      <ns0:c r="N883" s="0">
        <ns0:f>IF(OR(A883=0,L883&gt;0,$B$6&gt;0,Bookings!G883="Cancelled"),0,G883)</ns0:f>
        <ns0:v>0</ns0:v>
      </ns0:c>
      <ns0:c r="O883" s="0">
        <ns0:f>IF(AND(Bookings!G883="Approved",E883="Yes"),N883,0)</ns0:f>
        <ns0:v>0</ns0:v>
      </ns0:c>
      <ns0:c r="P883" s="0">
        <ns0:f>IF(AND(Bookings!G883="Approved",E883="Yes",L883=0,$B$6=0),H883,0)</ns0:f>
        <ns0:v>0</ns0:v>
      </ns0:c>
      <ns0:c r="Q883" s="0">
        <ns0:f>IF(AND(Bookings!G883="Approved",E883="Yes",L883=0,$B$6=0),I883,0)</ns0:f>
        <ns0:v>0</ns0:v>
      </ns0:c>
      <ns0:c r="R883" s="0">
        <ns0:f>IF(AND(Bookings!G883="Pending",E883="Yes"),N883,0)</ns0:f>
        <ns0:v>0</ns0:v>
      </ns0:c>
      <ns0:c r="S883" s="0">
        <ns0:f>IF(AND(Bookings!G883="Approved",E883="No"),N883,0)</ns0:f>
        <ns0:v>0</ns0:v>
      </ns0:c>
      <ns0:c r="T883" s="0">
        <ns0:f>IFERROR(MATCH(D883,Settings!$G$7:$G$11,0),0)</ns0:f>
        <ns0:v>0</ns0:v>
      </ns0:c>
      <ns0:c r="U883" s="0">
        <ns0:f>IF(N883&gt;0,T883+IF(Bookings!G883="Pending",10,0),0)</ns0:f>
        <ns0:v>0</ns0:v>
      </ns0:c>
      <ns0:c r="V883" s="0">
        <ns0:f>U883</ns0:f>
        <ns0:v>0</ns0:v>
      </ns0:c>
      <ns0:c r="W883" s="0" t="str">
        <ns0:f>IF(C883=0,"",INDEX($AP$11:$AP$60,C883))</ns0:f>
        <ns0:v/>
      </ns0:c>
    </ns0:row>
    <ns0:row r="884">
      <ns0:c r="A884" s="0">
        <ns0:f>IF(COUNTA(Bookings!A884:G884,Bookings!I884)=0,0,1)</ns0:f>
        <ns0:v>0</ns0:v>
      </ns0:c>
      <ns0:c r="B884" s="0" t="str">
        <ns0:f>IFERROR(TRIM(MID(Bookings!A884,FIND(" · ",Bookings!A884)+3,99)),"")</ns0:f>
        <ns0:v/>
      </ns0:c>
      <ns0:c r="C884" s="0">
        <ns0:f>IF(OR(B884="",LEN(B884)&gt;24,ISNUMBER(FIND(" ",B884)),ISNUMBER(FIND("*",B884)),ISNUMBER(FIND("?",B884)),ISNUMBER(FIND("~",B884))),0,IFERROR(MATCH(B884,Team!$A$11:$A$60,0),0))</ns0:f>
        <ns0:v>0</ns0:v>
      </ns0:c>
      <ns0:c r="D884" s="0" t="str">
        <ns0:f>IFERROR(IF(MID(Bookings!F884,LEN(Bookings!F884)-3,3)=" · ",RIGHT(Bookings!F884,1),""),"")</ns0:f>
        <ns0:v/>
      </ns0:c>
      <ns0:c r="E884" s="0" t="str">
        <ns0:f>IFERROR(INDEX(Settings!$H$7:$H$11,MATCH(D884,Settings!$G$7:$G$11,0)),"")</ns0:f>
        <ns0:v/>
      </ns0:c>
      <ns0:c r="F884" s="0" t="str">
        <ns0:f>IF(A884=0,"",IFERROR(IF(OR(B884="",C884=0),"CHECK employee selection",IF(INDEX(Team!$O$11:$O$60,C884)&lt;&gt;"OK","CHECK employee setup",IF(OR('_Dates'!J884=0,'_Dates'!T884=0),"CHECK date: use DD.MM.YYYY",IF('_Dates'!T884&lt;'_Dates'!J884,"CHECK end before start",IF(AND($B$6=0,OR('_Dates'!J884&lt;Settings!$B$7,'_Dates'!T884&gt;Settings!$B$8)),"CHECK split across leave years",IF(OR(NOT(OR('_Dates'!U884="Full day",'_Dates'!U884="AM",'_Dates'!U884="PM")),NOT(OR('_Dates'!V884="Full day",'_Dates'!V884="AM",'_Dates'!V884="PM"))),"CHECK Full day / AM / PM",IF(AND('_Dates'!J884='_Dates'!T884,'_Dates'!U884&lt;&gt;"Full day",'_Dates'!V884&lt;&gt;"Full day",'_Dates'!U884&lt;&gt;'_Dates'!V884),"CHECK same-day portions disagree",IF(AND($B$6=0,OR(AND('_Dates'!U884&lt;&gt;"Full day",'_Dates'!AA884=0),AND('_Dates'!V884&lt;&gt;"Full day",'_Dates'!AB884=0))),"CHECK half-day on non-working date",IF(COUNTIF(Settings!$G$7:$G$11,D884)&lt;&gt;1,"CHECK leave type",IF(AND(Bookings!G884&lt;&gt;"Approved",Bookings!G884&lt;&gt;"Pending",Bookings!G884&lt;&gt;"Cancelled"),"CHECK status","OK")))))))))),"CHECK input"))</ns0:f>
        <ns0:v/>
      </ns0:c>
      <ns0:c r="G884" s="0">
        <ns0:f>IF(OR(F884&lt;&gt;"OK",$B$6&gt;0),0,0.5*(IF(('_Dates'!X884)&lt;('_Dates'!W884),0,INT((('_Dates'!X884)-('_Dates'!W884)+1)/7)*LEN(SUBSTITUTE(W884,"O",""))+LEN(SUBSTITUTE(MID(W884&amp;W884,WEEKDAY(('_Dates'!W884),2),MOD((('_Dates'!X884)-('_Dates'!W884)+1),7)),"O",""))-COUNTIFS(INDEX(AllClosureRows,C884,0),"&gt;="&amp;('_Dates'!W884),INDEX(AllClosureRows,C884,0),"&lt;="&amp;('_Dates'!X884)))+IF(('_Dates'!Z884)&lt;('_Dates'!Y884),0,INT((('_Dates'!Z884)-('_Dates'!Y884)+1)/7)*LEN(SUBSTITUTE(W884,"O",""))+LEN(SUBSTITUTE(MID(W884&amp;W884,WEEKDAY(('_Dates'!Y884),2),MOD((('_Dates'!Z884)-('_Dates'!Y884)+1),7)),"O",""))-COUNTIFS(INDEX(AllClosureRows,C884,0),"&gt;="&amp;('_Dates'!Y884),INDEX(AllClosureRows,C884,0),"&lt;="&amp;('_Dates'!Z884)))))</ns0:f>
        <ns0:v>0</ns0:v>
      </ns0:c>
      <ns0:c r="H884" s="0">
        <ns0:f>IF(OR(F884&lt;&gt;"OK",$B$6&gt;0),0,0.5*(IF((MIN('_Dates'!X884,Settings!$B$9))&lt;('_Dates'!W884),0,INT(((MIN('_Dates'!X884,Settings!$B$9))-('_Dates'!W884)+1)/7)*LEN(SUBSTITUTE(W884,"O",""))+LEN(SUBSTITUTE(MID(W884&amp;W884,WEEKDAY(('_Dates'!W884),2),MOD(((MIN('_Dates'!X884,Settings!$B$9))-('_Dates'!W884)+1),7)),"O",""))-COUNTIFS(INDEX(AllClosureRows,C884,0),"&gt;="&amp;('_Dates'!W884),INDEX(AllClosureRows,C884,0),"&lt;="&amp;(MIN('_Dates'!X884,Settings!$B$9))))+IF((MIN('_Dates'!Z884,Settings!$B$9))&lt;('_Dates'!Y884),0,INT(((MIN('_Dates'!Z884,Settings!$B$9))-('_Dates'!Y884)+1)/7)*LEN(SUBSTITUTE(W884,"O",""))+LEN(SUBSTITUTE(MID(W884&amp;W884,WEEKDAY(('_Dates'!Y884),2),MOD(((MIN('_Dates'!Z884,Settings!$B$9))-('_Dates'!Y884)+1),7)),"O",""))-COUNTIFS(INDEX(AllClosureRows,C884,0),"&gt;="&amp;('_Dates'!Y884),INDEX(AllClosureRows,C884,0),"&lt;="&amp;(MIN('_Dates'!Z884,Settings!$B$9))))))</ns0:f>
        <ns0:v>0</ns0:v>
      </ns0:c>
      <ns0:c r="I884" s="0">
        <ns0:f>MAX(0,G884-H884)</ns0:f>
        <ns0:v>0</ns0:v>
      </ns0:c>
      <ns0:c r="J884" s="0">
        <ns0:f>IF(OR(A884=0,F884&lt;&gt;"OK",Bookings!G884="Cancelled",$B$6&gt;0),0,IF('_Dates'!AC884=1,MAX(0,COUNTIFS(rngEngine_B,B884,rngAMStart,"&lt;="&amp;'_Dates'!X884,rngAMEnd,"&gt;="&amp;'_Dates'!W884,rngAMActive,1,rngEngine_F,"OK",rngBookings_F,"&lt;&gt;Cancelled")-1),0)+IF('_Dates'!AD884=1,MAX(0,COUNTIFS(rngEngine_B,B884,rngPMStart,"&lt;="&amp;'_Dates'!Z884,rngPMEnd,"&gt;="&amp;'_Dates'!Y884,rngPMActive,1,rngEngine_F,"OK",rngBookings_F,"&lt;&gt;Cancelled")-1),0))</ns0:f>
        <ns0:v>0</ns0:v>
      </ns0:c>
      <ns0:c r="K884" s="0" t="str">
        <ns0:f>IF(A884=0,"",IF(F884&lt;&gt;"OK",F884,IF(J884&gt;0,"CHECK overlapping entry",IF(AND($B$6=0,G884&lt;=0,Bookings!G884&lt;&gt;"Cancelled"),"CHECK no working days",IF(Bookings!G884="Cancelled","Cancelled","OK")))))</ns0:f>
        <ns0:v/>
      </ns0:c>
      <ns0:c r="L884" s="0">
        <ns0:f>IF(LEFT(K884,5)="CHECK",1,0)</ns0:f>
        <ns0:v>0</ns0:v>
      </ns0:c>
      <ns0:c r="M884" s="0">
        <ns0:f>IF(AND(L884=1,OR(C884=0,IFERROR(INDEX($X$11:$X$60,C884),0)=0)),1,0)</ns0:f>
        <ns0:v>0</ns0:v>
      </ns0:c>
      <ns0:c r="N884" s="0">
        <ns0:f>IF(OR(A884=0,L884&gt;0,$B$6&gt;0,Bookings!G884="Cancelled"),0,G884)</ns0:f>
        <ns0:v>0</ns0:v>
      </ns0:c>
      <ns0:c r="O884" s="0">
        <ns0:f>IF(AND(Bookings!G884="Approved",E884="Yes"),N884,0)</ns0:f>
        <ns0:v>0</ns0:v>
      </ns0:c>
      <ns0:c r="P884" s="0">
        <ns0:f>IF(AND(Bookings!G884="Approved",E884="Yes",L884=0,$B$6=0),H884,0)</ns0:f>
        <ns0:v>0</ns0:v>
      </ns0:c>
      <ns0:c r="Q884" s="0">
        <ns0:f>IF(AND(Bookings!G884="Approved",E884="Yes",L884=0,$B$6=0),I884,0)</ns0:f>
        <ns0:v>0</ns0:v>
      </ns0:c>
      <ns0:c r="R884" s="0">
        <ns0:f>IF(AND(Bookings!G884="Pending",E884="Yes"),N884,0)</ns0:f>
        <ns0:v>0</ns0:v>
      </ns0:c>
      <ns0:c r="S884" s="0">
        <ns0:f>IF(AND(Bookings!G884="Approved",E884="No"),N884,0)</ns0:f>
        <ns0:v>0</ns0:v>
      </ns0:c>
      <ns0:c r="T884" s="0">
        <ns0:f>IFERROR(MATCH(D884,Settings!$G$7:$G$11,0),0)</ns0:f>
        <ns0:v>0</ns0:v>
      </ns0:c>
      <ns0:c r="U884" s="0">
        <ns0:f>IF(N884&gt;0,T884+IF(Bookings!G884="Pending",10,0),0)</ns0:f>
        <ns0:v>0</ns0:v>
      </ns0:c>
      <ns0:c r="V884" s="0">
        <ns0:f>U884</ns0:f>
        <ns0:v>0</ns0:v>
      </ns0:c>
      <ns0:c r="W884" s="0" t="str">
        <ns0:f>IF(C884=0,"",INDEX($AP$11:$AP$60,C884))</ns0:f>
        <ns0:v/>
      </ns0:c>
    </ns0:row>
    <ns0:row r="885">
      <ns0:c r="A885" s="0">
        <ns0:f>IF(COUNTA(Bookings!A885:G885,Bookings!I885)=0,0,1)</ns0:f>
        <ns0:v>0</ns0:v>
      </ns0:c>
      <ns0:c r="B885" s="0" t="str">
        <ns0:f>IFERROR(TRIM(MID(Bookings!A885,FIND(" · ",Bookings!A885)+3,99)),"")</ns0:f>
        <ns0:v/>
      </ns0:c>
      <ns0:c r="C885" s="0">
        <ns0:f>IF(OR(B885="",LEN(B885)&gt;24,ISNUMBER(FIND(" ",B885)),ISNUMBER(FIND("*",B885)),ISNUMBER(FIND("?",B885)),ISNUMBER(FIND("~",B885))),0,IFERROR(MATCH(B885,Team!$A$11:$A$60,0),0))</ns0:f>
        <ns0:v>0</ns0:v>
      </ns0:c>
      <ns0:c r="D885" s="0" t="str">
        <ns0:f>IFERROR(IF(MID(Bookings!F885,LEN(Bookings!F885)-3,3)=" · ",RIGHT(Bookings!F885,1),""),"")</ns0:f>
        <ns0:v/>
      </ns0:c>
      <ns0:c r="E885" s="0" t="str">
        <ns0:f>IFERROR(INDEX(Settings!$H$7:$H$11,MATCH(D885,Settings!$G$7:$G$11,0)),"")</ns0:f>
        <ns0:v/>
      </ns0:c>
      <ns0:c r="F885" s="0" t="str">
        <ns0:f>IF(A885=0,"",IFERROR(IF(OR(B885="",C885=0),"CHECK employee selection",IF(INDEX(Team!$O$11:$O$60,C885)&lt;&gt;"OK","CHECK employee setup",IF(OR('_Dates'!J885=0,'_Dates'!T885=0),"CHECK date: use DD.MM.YYYY",IF('_Dates'!T885&lt;'_Dates'!J885,"CHECK end before start",IF(AND($B$6=0,OR('_Dates'!J885&lt;Settings!$B$7,'_Dates'!T885&gt;Settings!$B$8)),"CHECK split across leave years",IF(OR(NOT(OR('_Dates'!U885="Full day",'_Dates'!U885="AM",'_Dates'!U885="PM")),NOT(OR('_Dates'!V885="Full day",'_Dates'!V885="AM",'_Dates'!V885="PM"))),"CHECK Full day / AM / PM",IF(AND('_Dates'!J885='_Dates'!T885,'_Dates'!U885&lt;&gt;"Full day",'_Dates'!V885&lt;&gt;"Full day",'_Dates'!U885&lt;&gt;'_Dates'!V885),"CHECK same-day portions disagree",IF(AND($B$6=0,OR(AND('_Dates'!U885&lt;&gt;"Full day",'_Dates'!AA885=0),AND('_Dates'!V885&lt;&gt;"Full day",'_Dates'!AB885=0))),"CHECK half-day on non-working date",IF(COUNTIF(Settings!$G$7:$G$11,D885)&lt;&gt;1,"CHECK leave type",IF(AND(Bookings!G885&lt;&gt;"Approved",Bookings!G885&lt;&gt;"Pending",Bookings!G885&lt;&gt;"Cancelled"),"CHECK status","OK")))))))))),"CHECK input"))</ns0:f>
        <ns0:v/>
      </ns0:c>
      <ns0:c r="G885" s="0">
        <ns0:f>IF(OR(F885&lt;&gt;"OK",$B$6&gt;0),0,0.5*(IF(('_Dates'!X885)&lt;('_Dates'!W885),0,INT((('_Dates'!X885)-('_Dates'!W885)+1)/7)*LEN(SUBSTITUTE(W885,"O",""))+LEN(SUBSTITUTE(MID(W885&amp;W885,WEEKDAY(('_Dates'!W885),2),MOD((('_Dates'!X885)-('_Dates'!W885)+1),7)),"O",""))-COUNTIFS(INDEX(AllClosureRows,C885,0),"&gt;="&amp;('_Dates'!W885),INDEX(AllClosureRows,C885,0),"&lt;="&amp;('_Dates'!X885)))+IF(('_Dates'!Z885)&lt;('_Dates'!Y885),0,INT((('_Dates'!Z885)-('_Dates'!Y885)+1)/7)*LEN(SUBSTITUTE(W885,"O",""))+LEN(SUBSTITUTE(MID(W885&amp;W885,WEEKDAY(('_Dates'!Y885),2),MOD((('_Dates'!Z885)-('_Dates'!Y885)+1),7)),"O",""))-COUNTIFS(INDEX(AllClosureRows,C885,0),"&gt;="&amp;('_Dates'!Y885),INDEX(AllClosureRows,C885,0),"&lt;="&amp;('_Dates'!Z885)))))</ns0:f>
        <ns0:v>0</ns0:v>
      </ns0:c>
      <ns0:c r="H885" s="0">
        <ns0:f>IF(OR(F885&lt;&gt;"OK",$B$6&gt;0),0,0.5*(IF((MIN('_Dates'!X885,Settings!$B$9))&lt;('_Dates'!W885),0,INT(((MIN('_Dates'!X885,Settings!$B$9))-('_Dates'!W885)+1)/7)*LEN(SUBSTITUTE(W885,"O",""))+LEN(SUBSTITUTE(MID(W885&amp;W885,WEEKDAY(('_Dates'!W885),2),MOD(((MIN('_Dates'!X885,Settings!$B$9))-('_Dates'!W885)+1),7)),"O",""))-COUNTIFS(INDEX(AllClosureRows,C885,0),"&gt;="&amp;('_Dates'!W885),INDEX(AllClosureRows,C885,0),"&lt;="&amp;(MIN('_Dates'!X885,Settings!$B$9))))+IF((MIN('_Dates'!Z885,Settings!$B$9))&lt;('_Dates'!Y885),0,INT(((MIN('_Dates'!Z885,Settings!$B$9))-('_Dates'!Y885)+1)/7)*LEN(SUBSTITUTE(W885,"O",""))+LEN(SUBSTITUTE(MID(W885&amp;W885,WEEKDAY(('_Dates'!Y885),2),MOD(((MIN('_Dates'!Z885,Settings!$B$9))-('_Dates'!Y885)+1),7)),"O",""))-COUNTIFS(INDEX(AllClosureRows,C885,0),"&gt;="&amp;('_Dates'!Y885),INDEX(AllClosureRows,C885,0),"&lt;="&amp;(MIN('_Dates'!Z885,Settings!$B$9))))))</ns0:f>
        <ns0:v>0</ns0:v>
      </ns0:c>
      <ns0:c r="I885" s="0">
        <ns0:f>MAX(0,G885-H885)</ns0:f>
        <ns0:v>0</ns0:v>
      </ns0:c>
      <ns0:c r="J885" s="0">
        <ns0:f>IF(OR(A885=0,F885&lt;&gt;"OK",Bookings!G885="Cancelled",$B$6&gt;0),0,IF('_Dates'!AC885=1,MAX(0,COUNTIFS(rngEngine_B,B885,rngAMStart,"&lt;="&amp;'_Dates'!X885,rngAMEnd,"&gt;="&amp;'_Dates'!W885,rngAMActive,1,rngEngine_F,"OK",rngBookings_F,"&lt;&gt;Cancelled")-1),0)+IF('_Dates'!AD885=1,MAX(0,COUNTIFS(rngEngine_B,B885,rngPMStart,"&lt;="&amp;'_Dates'!Z885,rngPMEnd,"&gt;="&amp;'_Dates'!Y885,rngPMActive,1,rngEngine_F,"OK",rngBookings_F,"&lt;&gt;Cancelled")-1),0))</ns0:f>
        <ns0:v>0</ns0:v>
      </ns0:c>
      <ns0:c r="K885" s="0" t="str">
        <ns0:f>IF(A885=0,"",IF(F885&lt;&gt;"OK",F885,IF(J885&gt;0,"CHECK overlapping entry",IF(AND($B$6=0,G885&lt;=0,Bookings!G885&lt;&gt;"Cancelled"),"CHECK no working days",IF(Bookings!G885="Cancelled","Cancelled","OK")))))</ns0:f>
        <ns0:v/>
      </ns0:c>
      <ns0:c r="L885" s="0">
        <ns0:f>IF(LEFT(K885,5)="CHECK",1,0)</ns0:f>
        <ns0:v>0</ns0:v>
      </ns0:c>
      <ns0:c r="M885" s="0">
        <ns0:f>IF(AND(L885=1,OR(C885=0,IFERROR(INDEX($X$11:$X$60,C885),0)=0)),1,0)</ns0:f>
        <ns0:v>0</ns0:v>
      </ns0:c>
      <ns0:c r="N885" s="0">
        <ns0:f>IF(OR(A885=0,L885&gt;0,$B$6&gt;0,Bookings!G885="Cancelled"),0,G885)</ns0:f>
        <ns0:v>0</ns0:v>
      </ns0:c>
      <ns0:c r="O885" s="0">
        <ns0:f>IF(AND(Bookings!G885="Approved",E885="Yes"),N885,0)</ns0:f>
        <ns0:v>0</ns0:v>
      </ns0:c>
      <ns0:c r="P885" s="0">
        <ns0:f>IF(AND(Bookings!G885="Approved",E885="Yes",L885=0,$B$6=0),H885,0)</ns0:f>
        <ns0:v>0</ns0:v>
      </ns0:c>
      <ns0:c r="Q885" s="0">
        <ns0:f>IF(AND(Bookings!G885="Approved",E885="Yes",L885=0,$B$6=0),I885,0)</ns0:f>
        <ns0:v>0</ns0:v>
      </ns0:c>
      <ns0:c r="R885" s="0">
        <ns0:f>IF(AND(Bookings!G885="Pending",E885="Yes"),N885,0)</ns0:f>
        <ns0:v>0</ns0:v>
      </ns0:c>
      <ns0:c r="S885" s="0">
        <ns0:f>IF(AND(Bookings!G885="Approved",E885="No"),N885,0)</ns0:f>
        <ns0:v>0</ns0:v>
      </ns0:c>
      <ns0:c r="T885" s="0">
        <ns0:f>IFERROR(MATCH(D885,Settings!$G$7:$G$11,0),0)</ns0:f>
        <ns0:v>0</ns0:v>
      </ns0:c>
      <ns0:c r="U885" s="0">
        <ns0:f>IF(N885&gt;0,T885+IF(Bookings!G885="Pending",10,0),0)</ns0:f>
        <ns0:v>0</ns0:v>
      </ns0:c>
      <ns0:c r="V885" s="0">
        <ns0:f>U885</ns0:f>
        <ns0:v>0</ns0:v>
      </ns0:c>
      <ns0:c r="W885" s="0" t="str">
        <ns0:f>IF(C885=0,"",INDEX($AP$11:$AP$60,C885))</ns0:f>
        <ns0:v/>
      </ns0:c>
    </ns0:row>
    <ns0:row r="886">
      <ns0:c r="A886" s="0">
        <ns0:f>IF(COUNTA(Bookings!A886:G886,Bookings!I886)=0,0,1)</ns0:f>
        <ns0:v>0</ns0:v>
      </ns0:c>
      <ns0:c r="B886" s="0" t="str">
        <ns0:f>IFERROR(TRIM(MID(Bookings!A886,FIND(" · ",Bookings!A886)+3,99)),"")</ns0:f>
        <ns0:v/>
      </ns0:c>
      <ns0:c r="C886" s="0">
        <ns0:f>IF(OR(B886="",LEN(B886)&gt;24,ISNUMBER(FIND(" ",B886)),ISNUMBER(FIND("*",B886)),ISNUMBER(FIND("?",B886)),ISNUMBER(FIND("~",B886))),0,IFERROR(MATCH(B886,Team!$A$11:$A$60,0),0))</ns0:f>
        <ns0:v>0</ns0:v>
      </ns0:c>
      <ns0:c r="D886" s="0" t="str">
        <ns0:f>IFERROR(IF(MID(Bookings!F886,LEN(Bookings!F886)-3,3)=" · ",RIGHT(Bookings!F886,1),""),"")</ns0:f>
        <ns0:v/>
      </ns0:c>
      <ns0:c r="E886" s="0" t="str">
        <ns0:f>IFERROR(INDEX(Settings!$H$7:$H$11,MATCH(D886,Settings!$G$7:$G$11,0)),"")</ns0:f>
        <ns0:v/>
      </ns0:c>
      <ns0:c r="F886" s="0" t="str">
        <ns0:f>IF(A886=0,"",IFERROR(IF(OR(B886="",C886=0),"CHECK employee selection",IF(INDEX(Team!$O$11:$O$60,C886)&lt;&gt;"OK","CHECK employee setup",IF(OR('_Dates'!J886=0,'_Dates'!T886=0),"CHECK date: use DD.MM.YYYY",IF('_Dates'!T886&lt;'_Dates'!J886,"CHECK end before start",IF(AND($B$6=0,OR('_Dates'!J886&lt;Settings!$B$7,'_Dates'!T886&gt;Settings!$B$8)),"CHECK split across leave years",IF(OR(NOT(OR('_Dates'!U886="Full day",'_Dates'!U886="AM",'_Dates'!U886="PM")),NOT(OR('_Dates'!V886="Full day",'_Dates'!V886="AM",'_Dates'!V886="PM"))),"CHECK Full day / AM / PM",IF(AND('_Dates'!J886='_Dates'!T886,'_Dates'!U886&lt;&gt;"Full day",'_Dates'!V886&lt;&gt;"Full day",'_Dates'!U886&lt;&gt;'_Dates'!V886),"CHECK same-day portions disagree",IF(AND($B$6=0,OR(AND('_Dates'!U886&lt;&gt;"Full day",'_Dates'!AA886=0),AND('_Dates'!V886&lt;&gt;"Full day",'_Dates'!AB886=0))),"CHECK half-day on non-working date",IF(COUNTIF(Settings!$G$7:$G$11,D886)&lt;&gt;1,"CHECK leave type",IF(AND(Bookings!G886&lt;&gt;"Approved",Bookings!G886&lt;&gt;"Pending",Bookings!G886&lt;&gt;"Cancelled"),"CHECK status","OK")))))))))),"CHECK input"))</ns0:f>
        <ns0:v/>
      </ns0:c>
      <ns0:c r="G886" s="0">
        <ns0:f>IF(OR(F886&lt;&gt;"OK",$B$6&gt;0),0,0.5*(IF(('_Dates'!X886)&lt;('_Dates'!W886),0,INT((('_Dates'!X886)-('_Dates'!W886)+1)/7)*LEN(SUBSTITUTE(W886,"O",""))+LEN(SUBSTITUTE(MID(W886&amp;W886,WEEKDAY(('_Dates'!W886),2),MOD((('_Dates'!X886)-('_Dates'!W886)+1),7)),"O",""))-COUNTIFS(INDEX(AllClosureRows,C886,0),"&gt;="&amp;('_Dates'!W886),INDEX(AllClosureRows,C886,0),"&lt;="&amp;('_Dates'!X886)))+IF(('_Dates'!Z886)&lt;('_Dates'!Y886),0,INT((('_Dates'!Z886)-('_Dates'!Y886)+1)/7)*LEN(SUBSTITUTE(W886,"O",""))+LEN(SUBSTITUTE(MID(W886&amp;W886,WEEKDAY(('_Dates'!Y886),2),MOD((('_Dates'!Z886)-('_Dates'!Y886)+1),7)),"O",""))-COUNTIFS(INDEX(AllClosureRows,C886,0),"&gt;="&amp;('_Dates'!Y886),INDEX(AllClosureRows,C886,0),"&lt;="&amp;('_Dates'!Z886)))))</ns0:f>
        <ns0:v>0</ns0:v>
      </ns0:c>
      <ns0:c r="H886" s="0">
        <ns0:f>IF(OR(F886&lt;&gt;"OK",$B$6&gt;0),0,0.5*(IF((MIN('_Dates'!X886,Settings!$B$9))&lt;('_Dates'!W886),0,INT(((MIN('_Dates'!X886,Settings!$B$9))-('_Dates'!W886)+1)/7)*LEN(SUBSTITUTE(W886,"O",""))+LEN(SUBSTITUTE(MID(W886&amp;W886,WEEKDAY(('_Dates'!W886),2),MOD(((MIN('_Dates'!X886,Settings!$B$9))-('_Dates'!W886)+1),7)),"O",""))-COUNTIFS(INDEX(AllClosureRows,C886,0),"&gt;="&amp;('_Dates'!W886),INDEX(AllClosureRows,C886,0),"&lt;="&amp;(MIN('_Dates'!X886,Settings!$B$9))))+IF((MIN('_Dates'!Z886,Settings!$B$9))&lt;('_Dates'!Y886),0,INT(((MIN('_Dates'!Z886,Settings!$B$9))-('_Dates'!Y886)+1)/7)*LEN(SUBSTITUTE(W886,"O",""))+LEN(SUBSTITUTE(MID(W886&amp;W886,WEEKDAY(('_Dates'!Y886),2),MOD(((MIN('_Dates'!Z886,Settings!$B$9))-('_Dates'!Y886)+1),7)),"O",""))-COUNTIFS(INDEX(AllClosureRows,C886,0),"&gt;="&amp;('_Dates'!Y886),INDEX(AllClosureRows,C886,0),"&lt;="&amp;(MIN('_Dates'!Z886,Settings!$B$9))))))</ns0:f>
        <ns0:v>0</ns0:v>
      </ns0:c>
      <ns0:c r="I886" s="0">
        <ns0:f>MAX(0,G886-H886)</ns0:f>
        <ns0:v>0</ns0:v>
      </ns0:c>
      <ns0:c r="J886" s="0">
        <ns0:f>IF(OR(A886=0,F886&lt;&gt;"OK",Bookings!G886="Cancelled",$B$6&gt;0),0,IF('_Dates'!AC886=1,MAX(0,COUNTIFS(rngEngine_B,B886,rngAMStart,"&lt;="&amp;'_Dates'!X886,rngAMEnd,"&gt;="&amp;'_Dates'!W886,rngAMActive,1,rngEngine_F,"OK",rngBookings_F,"&lt;&gt;Cancelled")-1),0)+IF('_Dates'!AD886=1,MAX(0,COUNTIFS(rngEngine_B,B886,rngPMStart,"&lt;="&amp;'_Dates'!Z886,rngPMEnd,"&gt;="&amp;'_Dates'!Y886,rngPMActive,1,rngEngine_F,"OK",rngBookings_F,"&lt;&gt;Cancelled")-1),0))</ns0:f>
        <ns0:v>0</ns0:v>
      </ns0:c>
      <ns0:c r="K886" s="0" t="str">
        <ns0:f>IF(A886=0,"",IF(F886&lt;&gt;"OK",F886,IF(J886&gt;0,"CHECK overlapping entry",IF(AND($B$6=0,G886&lt;=0,Bookings!G886&lt;&gt;"Cancelled"),"CHECK no working days",IF(Bookings!G886="Cancelled","Cancelled","OK")))))</ns0:f>
        <ns0:v/>
      </ns0:c>
      <ns0:c r="L886" s="0">
        <ns0:f>IF(LEFT(K886,5)="CHECK",1,0)</ns0:f>
        <ns0:v>0</ns0:v>
      </ns0:c>
      <ns0:c r="M886" s="0">
        <ns0:f>IF(AND(L886=1,OR(C886=0,IFERROR(INDEX($X$11:$X$60,C886),0)=0)),1,0)</ns0:f>
        <ns0:v>0</ns0:v>
      </ns0:c>
      <ns0:c r="N886" s="0">
        <ns0:f>IF(OR(A886=0,L886&gt;0,$B$6&gt;0,Bookings!G886="Cancelled"),0,G886)</ns0:f>
        <ns0:v>0</ns0:v>
      </ns0:c>
      <ns0:c r="O886" s="0">
        <ns0:f>IF(AND(Bookings!G886="Approved",E886="Yes"),N886,0)</ns0:f>
        <ns0:v>0</ns0:v>
      </ns0:c>
      <ns0:c r="P886" s="0">
        <ns0:f>IF(AND(Bookings!G886="Approved",E886="Yes",L886=0,$B$6=0),H886,0)</ns0:f>
        <ns0:v>0</ns0:v>
      </ns0:c>
      <ns0:c r="Q886" s="0">
        <ns0:f>IF(AND(Bookings!G886="Approved",E886="Yes",L886=0,$B$6=0),I886,0)</ns0:f>
        <ns0:v>0</ns0:v>
      </ns0:c>
      <ns0:c r="R886" s="0">
        <ns0:f>IF(AND(Bookings!G886="Pending",E886="Yes"),N886,0)</ns0:f>
        <ns0:v>0</ns0:v>
      </ns0:c>
      <ns0:c r="S886" s="0">
        <ns0:f>IF(AND(Bookings!G886="Approved",E886="No"),N886,0)</ns0:f>
        <ns0:v>0</ns0:v>
      </ns0:c>
      <ns0:c r="T886" s="0">
        <ns0:f>IFERROR(MATCH(D886,Settings!$G$7:$G$11,0),0)</ns0:f>
        <ns0:v>0</ns0:v>
      </ns0:c>
      <ns0:c r="U886" s="0">
        <ns0:f>IF(N886&gt;0,T886+IF(Bookings!G886="Pending",10,0),0)</ns0:f>
        <ns0:v>0</ns0:v>
      </ns0:c>
      <ns0:c r="V886" s="0">
        <ns0:f>U886</ns0:f>
        <ns0:v>0</ns0:v>
      </ns0:c>
      <ns0:c r="W886" s="0" t="str">
        <ns0:f>IF(C886=0,"",INDEX($AP$11:$AP$60,C886))</ns0:f>
        <ns0:v/>
      </ns0:c>
    </ns0:row>
    <ns0:row r="887">
      <ns0:c r="A887" s="0">
        <ns0:f>IF(COUNTA(Bookings!A887:G887,Bookings!I887)=0,0,1)</ns0:f>
        <ns0:v>0</ns0:v>
      </ns0:c>
      <ns0:c r="B887" s="0" t="str">
        <ns0:f>IFERROR(TRIM(MID(Bookings!A887,FIND(" · ",Bookings!A887)+3,99)),"")</ns0:f>
        <ns0:v/>
      </ns0:c>
      <ns0:c r="C887" s="0">
        <ns0:f>IF(OR(B887="",LEN(B887)&gt;24,ISNUMBER(FIND(" ",B887)),ISNUMBER(FIND("*",B887)),ISNUMBER(FIND("?",B887)),ISNUMBER(FIND("~",B887))),0,IFERROR(MATCH(B887,Team!$A$11:$A$60,0),0))</ns0:f>
        <ns0:v>0</ns0:v>
      </ns0:c>
      <ns0:c r="D887" s="0" t="str">
        <ns0:f>IFERROR(IF(MID(Bookings!F887,LEN(Bookings!F887)-3,3)=" · ",RIGHT(Bookings!F887,1),""),"")</ns0:f>
        <ns0:v/>
      </ns0:c>
      <ns0:c r="E887" s="0" t="str">
        <ns0:f>IFERROR(INDEX(Settings!$H$7:$H$11,MATCH(D887,Settings!$G$7:$G$11,0)),"")</ns0:f>
        <ns0:v/>
      </ns0:c>
      <ns0:c r="F887" s="0" t="str">
        <ns0:f>IF(A887=0,"",IFERROR(IF(OR(B887="",C887=0),"CHECK employee selection",IF(INDEX(Team!$O$11:$O$60,C887)&lt;&gt;"OK","CHECK employee setup",IF(OR('_Dates'!J887=0,'_Dates'!T887=0),"CHECK date: use DD.MM.YYYY",IF('_Dates'!T887&lt;'_Dates'!J887,"CHECK end before start",IF(AND($B$6=0,OR('_Dates'!J887&lt;Settings!$B$7,'_Dates'!T887&gt;Settings!$B$8)),"CHECK split across leave years",IF(OR(NOT(OR('_Dates'!U887="Full day",'_Dates'!U887="AM",'_Dates'!U887="PM")),NOT(OR('_Dates'!V887="Full day",'_Dates'!V887="AM",'_Dates'!V887="PM"))),"CHECK Full day / AM / PM",IF(AND('_Dates'!J887='_Dates'!T887,'_Dates'!U887&lt;&gt;"Full day",'_Dates'!V887&lt;&gt;"Full day",'_Dates'!U887&lt;&gt;'_Dates'!V887),"CHECK same-day portions disagree",IF(AND($B$6=0,OR(AND('_Dates'!U887&lt;&gt;"Full day",'_Dates'!AA887=0),AND('_Dates'!V887&lt;&gt;"Full day",'_Dates'!AB887=0))),"CHECK half-day on non-working date",IF(COUNTIF(Settings!$G$7:$G$11,D887)&lt;&gt;1,"CHECK leave type",IF(AND(Bookings!G887&lt;&gt;"Approved",Bookings!G887&lt;&gt;"Pending",Bookings!G887&lt;&gt;"Cancelled"),"CHECK status","OK")))))))))),"CHECK input"))</ns0:f>
        <ns0:v/>
      </ns0:c>
      <ns0:c r="G887" s="0">
        <ns0:f>IF(OR(F887&lt;&gt;"OK",$B$6&gt;0),0,0.5*(IF(('_Dates'!X887)&lt;('_Dates'!W887),0,INT((('_Dates'!X887)-('_Dates'!W887)+1)/7)*LEN(SUBSTITUTE(W887,"O",""))+LEN(SUBSTITUTE(MID(W887&amp;W887,WEEKDAY(('_Dates'!W887),2),MOD((('_Dates'!X887)-('_Dates'!W887)+1),7)),"O",""))-COUNTIFS(INDEX(AllClosureRows,C887,0),"&gt;="&amp;('_Dates'!W887),INDEX(AllClosureRows,C887,0),"&lt;="&amp;('_Dates'!X887)))+IF(('_Dates'!Z887)&lt;('_Dates'!Y887),0,INT((('_Dates'!Z887)-('_Dates'!Y887)+1)/7)*LEN(SUBSTITUTE(W887,"O",""))+LEN(SUBSTITUTE(MID(W887&amp;W887,WEEKDAY(('_Dates'!Y887),2),MOD((('_Dates'!Z887)-('_Dates'!Y887)+1),7)),"O",""))-COUNTIFS(INDEX(AllClosureRows,C887,0),"&gt;="&amp;('_Dates'!Y887),INDEX(AllClosureRows,C887,0),"&lt;="&amp;('_Dates'!Z887)))))</ns0:f>
        <ns0:v>0</ns0:v>
      </ns0:c>
      <ns0:c r="H887" s="0">
        <ns0:f>IF(OR(F887&lt;&gt;"OK",$B$6&gt;0),0,0.5*(IF((MIN('_Dates'!X887,Settings!$B$9))&lt;('_Dates'!W887),0,INT(((MIN('_Dates'!X887,Settings!$B$9))-('_Dates'!W887)+1)/7)*LEN(SUBSTITUTE(W887,"O",""))+LEN(SUBSTITUTE(MID(W887&amp;W887,WEEKDAY(('_Dates'!W887),2),MOD(((MIN('_Dates'!X887,Settings!$B$9))-('_Dates'!W887)+1),7)),"O",""))-COUNTIFS(INDEX(AllClosureRows,C887,0),"&gt;="&amp;('_Dates'!W887),INDEX(AllClosureRows,C887,0),"&lt;="&amp;(MIN('_Dates'!X887,Settings!$B$9))))+IF((MIN('_Dates'!Z887,Settings!$B$9))&lt;('_Dates'!Y887),0,INT(((MIN('_Dates'!Z887,Settings!$B$9))-('_Dates'!Y887)+1)/7)*LEN(SUBSTITUTE(W887,"O",""))+LEN(SUBSTITUTE(MID(W887&amp;W887,WEEKDAY(('_Dates'!Y887),2),MOD(((MIN('_Dates'!Z887,Settings!$B$9))-('_Dates'!Y887)+1),7)),"O",""))-COUNTIFS(INDEX(AllClosureRows,C887,0),"&gt;="&amp;('_Dates'!Y887),INDEX(AllClosureRows,C887,0),"&lt;="&amp;(MIN('_Dates'!Z887,Settings!$B$9))))))</ns0:f>
        <ns0:v>0</ns0:v>
      </ns0:c>
      <ns0:c r="I887" s="0">
        <ns0:f>MAX(0,G887-H887)</ns0:f>
        <ns0:v>0</ns0:v>
      </ns0:c>
      <ns0:c r="J887" s="0">
        <ns0:f>IF(OR(A887=0,F887&lt;&gt;"OK",Bookings!G887="Cancelled",$B$6&gt;0),0,IF('_Dates'!AC887=1,MAX(0,COUNTIFS(rngEngine_B,B887,rngAMStart,"&lt;="&amp;'_Dates'!X887,rngAMEnd,"&gt;="&amp;'_Dates'!W887,rngAMActive,1,rngEngine_F,"OK",rngBookings_F,"&lt;&gt;Cancelled")-1),0)+IF('_Dates'!AD887=1,MAX(0,COUNTIFS(rngEngine_B,B887,rngPMStart,"&lt;="&amp;'_Dates'!Z887,rngPMEnd,"&gt;="&amp;'_Dates'!Y887,rngPMActive,1,rngEngine_F,"OK",rngBookings_F,"&lt;&gt;Cancelled")-1),0))</ns0:f>
        <ns0:v>0</ns0:v>
      </ns0:c>
      <ns0:c r="K887" s="0" t="str">
        <ns0:f>IF(A887=0,"",IF(F887&lt;&gt;"OK",F887,IF(J887&gt;0,"CHECK overlapping entry",IF(AND($B$6=0,G887&lt;=0,Bookings!G887&lt;&gt;"Cancelled"),"CHECK no working days",IF(Bookings!G887="Cancelled","Cancelled","OK")))))</ns0:f>
        <ns0:v/>
      </ns0:c>
      <ns0:c r="L887" s="0">
        <ns0:f>IF(LEFT(K887,5)="CHECK",1,0)</ns0:f>
        <ns0:v>0</ns0:v>
      </ns0:c>
      <ns0:c r="M887" s="0">
        <ns0:f>IF(AND(L887=1,OR(C887=0,IFERROR(INDEX($X$11:$X$60,C887),0)=0)),1,0)</ns0:f>
        <ns0:v>0</ns0:v>
      </ns0:c>
      <ns0:c r="N887" s="0">
        <ns0:f>IF(OR(A887=0,L887&gt;0,$B$6&gt;0,Bookings!G887="Cancelled"),0,G887)</ns0:f>
        <ns0:v>0</ns0:v>
      </ns0:c>
      <ns0:c r="O887" s="0">
        <ns0:f>IF(AND(Bookings!G887="Approved",E887="Yes"),N887,0)</ns0:f>
        <ns0:v>0</ns0:v>
      </ns0:c>
      <ns0:c r="P887" s="0">
        <ns0:f>IF(AND(Bookings!G887="Approved",E887="Yes",L887=0,$B$6=0),H887,0)</ns0:f>
        <ns0:v>0</ns0:v>
      </ns0:c>
      <ns0:c r="Q887" s="0">
        <ns0:f>IF(AND(Bookings!G887="Approved",E887="Yes",L887=0,$B$6=0),I887,0)</ns0:f>
        <ns0:v>0</ns0:v>
      </ns0:c>
      <ns0:c r="R887" s="0">
        <ns0:f>IF(AND(Bookings!G887="Pending",E887="Yes"),N887,0)</ns0:f>
        <ns0:v>0</ns0:v>
      </ns0:c>
      <ns0:c r="S887" s="0">
        <ns0:f>IF(AND(Bookings!G887="Approved",E887="No"),N887,0)</ns0:f>
        <ns0:v>0</ns0:v>
      </ns0:c>
      <ns0:c r="T887" s="0">
        <ns0:f>IFERROR(MATCH(D887,Settings!$G$7:$G$11,0),0)</ns0:f>
        <ns0:v>0</ns0:v>
      </ns0:c>
      <ns0:c r="U887" s="0">
        <ns0:f>IF(N887&gt;0,T887+IF(Bookings!G887="Pending",10,0),0)</ns0:f>
        <ns0:v>0</ns0:v>
      </ns0:c>
      <ns0:c r="V887" s="0">
        <ns0:f>U887</ns0:f>
        <ns0:v>0</ns0:v>
      </ns0:c>
      <ns0:c r="W887" s="0" t="str">
        <ns0:f>IF(C887=0,"",INDEX($AP$11:$AP$60,C887))</ns0:f>
        <ns0:v/>
      </ns0:c>
    </ns0:row>
    <ns0:row r="888">
      <ns0:c r="A888" s="0">
        <ns0:f>IF(COUNTA(Bookings!A888:G888,Bookings!I888)=0,0,1)</ns0:f>
        <ns0:v>0</ns0:v>
      </ns0:c>
      <ns0:c r="B888" s="0" t="str">
        <ns0:f>IFERROR(TRIM(MID(Bookings!A888,FIND(" · ",Bookings!A888)+3,99)),"")</ns0:f>
        <ns0:v/>
      </ns0:c>
      <ns0:c r="C888" s="0">
        <ns0:f>IF(OR(B888="",LEN(B888)&gt;24,ISNUMBER(FIND(" ",B888)),ISNUMBER(FIND("*",B888)),ISNUMBER(FIND("?",B888)),ISNUMBER(FIND("~",B888))),0,IFERROR(MATCH(B888,Team!$A$11:$A$60,0),0))</ns0:f>
        <ns0:v>0</ns0:v>
      </ns0:c>
      <ns0:c r="D888" s="0" t="str">
        <ns0:f>IFERROR(IF(MID(Bookings!F888,LEN(Bookings!F888)-3,3)=" · ",RIGHT(Bookings!F888,1),""),"")</ns0:f>
        <ns0:v/>
      </ns0:c>
      <ns0:c r="E888" s="0" t="str">
        <ns0:f>IFERROR(INDEX(Settings!$H$7:$H$11,MATCH(D888,Settings!$G$7:$G$11,0)),"")</ns0:f>
        <ns0:v/>
      </ns0:c>
      <ns0:c r="F888" s="0" t="str">
        <ns0:f>IF(A888=0,"",IFERROR(IF(OR(B888="",C888=0),"CHECK employee selection",IF(INDEX(Team!$O$11:$O$60,C888)&lt;&gt;"OK","CHECK employee setup",IF(OR('_Dates'!J888=0,'_Dates'!T888=0),"CHECK date: use DD.MM.YYYY",IF('_Dates'!T888&lt;'_Dates'!J888,"CHECK end before start",IF(AND($B$6=0,OR('_Dates'!J888&lt;Settings!$B$7,'_Dates'!T888&gt;Settings!$B$8)),"CHECK split across leave years",IF(OR(NOT(OR('_Dates'!U888="Full day",'_Dates'!U888="AM",'_Dates'!U888="PM")),NOT(OR('_Dates'!V888="Full day",'_Dates'!V888="AM",'_Dates'!V888="PM"))),"CHECK Full day / AM / PM",IF(AND('_Dates'!J888='_Dates'!T888,'_Dates'!U888&lt;&gt;"Full day",'_Dates'!V888&lt;&gt;"Full day",'_Dates'!U888&lt;&gt;'_Dates'!V888),"CHECK same-day portions disagree",IF(AND($B$6=0,OR(AND('_Dates'!U888&lt;&gt;"Full day",'_Dates'!AA888=0),AND('_Dates'!V888&lt;&gt;"Full day",'_Dates'!AB888=0))),"CHECK half-day on non-working date",IF(COUNTIF(Settings!$G$7:$G$11,D888)&lt;&gt;1,"CHECK leave type",IF(AND(Bookings!G888&lt;&gt;"Approved",Bookings!G888&lt;&gt;"Pending",Bookings!G888&lt;&gt;"Cancelled"),"CHECK status","OK")))))))))),"CHECK input"))</ns0:f>
        <ns0:v/>
      </ns0:c>
      <ns0:c r="G888" s="0">
        <ns0:f>IF(OR(F888&lt;&gt;"OK",$B$6&gt;0),0,0.5*(IF(('_Dates'!X888)&lt;('_Dates'!W888),0,INT((('_Dates'!X888)-('_Dates'!W888)+1)/7)*LEN(SUBSTITUTE(W888,"O",""))+LEN(SUBSTITUTE(MID(W888&amp;W888,WEEKDAY(('_Dates'!W888),2),MOD((('_Dates'!X888)-('_Dates'!W888)+1),7)),"O",""))-COUNTIFS(INDEX(AllClosureRows,C888,0),"&gt;="&amp;('_Dates'!W888),INDEX(AllClosureRows,C888,0),"&lt;="&amp;('_Dates'!X888)))+IF(('_Dates'!Z888)&lt;('_Dates'!Y888),0,INT((('_Dates'!Z888)-('_Dates'!Y888)+1)/7)*LEN(SUBSTITUTE(W888,"O",""))+LEN(SUBSTITUTE(MID(W888&amp;W888,WEEKDAY(('_Dates'!Y888),2),MOD((('_Dates'!Z888)-('_Dates'!Y888)+1),7)),"O",""))-COUNTIFS(INDEX(AllClosureRows,C888,0),"&gt;="&amp;('_Dates'!Y888),INDEX(AllClosureRows,C888,0),"&lt;="&amp;('_Dates'!Z888)))))</ns0:f>
        <ns0:v>0</ns0:v>
      </ns0:c>
      <ns0:c r="H888" s="0">
        <ns0:f>IF(OR(F888&lt;&gt;"OK",$B$6&gt;0),0,0.5*(IF((MIN('_Dates'!X888,Settings!$B$9))&lt;('_Dates'!W888),0,INT(((MIN('_Dates'!X888,Settings!$B$9))-('_Dates'!W888)+1)/7)*LEN(SUBSTITUTE(W888,"O",""))+LEN(SUBSTITUTE(MID(W888&amp;W888,WEEKDAY(('_Dates'!W888),2),MOD(((MIN('_Dates'!X888,Settings!$B$9))-('_Dates'!W888)+1),7)),"O",""))-COUNTIFS(INDEX(AllClosureRows,C888,0),"&gt;="&amp;('_Dates'!W888),INDEX(AllClosureRows,C888,0),"&lt;="&amp;(MIN('_Dates'!X888,Settings!$B$9))))+IF((MIN('_Dates'!Z888,Settings!$B$9))&lt;('_Dates'!Y888),0,INT(((MIN('_Dates'!Z888,Settings!$B$9))-('_Dates'!Y888)+1)/7)*LEN(SUBSTITUTE(W888,"O",""))+LEN(SUBSTITUTE(MID(W888&amp;W888,WEEKDAY(('_Dates'!Y888),2),MOD(((MIN('_Dates'!Z888,Settings!$B$9))-('_Dates'!Y888)+1),7)),"O",""))-COUNTIFS(INDEX(AllClosureRows,C888,0),"&gt;="&amp;('_Dates'!Y888),INDEX(AllClosureRows,C888,0),"&lt;="&amp;(MIN('_Dates'!Z888,Settings!$B$9))))))</ns0:f>
        <ns0:v>0</ns0:v>
      </ns0:c>
      <ns0:c r="I888" s="0">
        <ns0:f>MAX(0,G888-H888)</ns0:f>
        <ns0:v>0</ns0:v>
      </ns0:c>
      <ns0:c r="J888" s="0">
        <ns0:f>IF(OR(A888=0,F888&lt;&gt;"OK",Bookings!G888="Cancelled",$B$6&gt;0),0,IF('_Dates'!AC888=1,MAX(0,COUNTIFS(rngEngine_B,B888,rngAMStart,"&lt;="&amp;'_Dates'!X888,rngAMEnd,"&gt;="&amp;'_Dates'!W888,rngAMActive,1,rngEngine_F,"OK",rngBookings_F,"&lt;&gt;Cancelled")-1),0)+IF('_Dates'!AD888=1,MAX(0,COUNTIFS(rngEngine_B,B888,rngPMStart,"&lt;="&amp;'_Dates'!Z888,rngPMEnd,"&gt;="&amp;'_Dates'!Y888,rngPMActive,1,rngEngine_F,"OK",rngBookings_F,"&lt;&gt;Cancelled")-1),0))</ns0:f>
        <ns0:v>0</ns0:v>
      </ns0:c>
      <ns0:c r="K888" s="0" t="str">
        <ns0:f>IF(A888=0,"",IF(F888&lt;&gt;"OK",F888,IF(J888&gt;0,"CHECK overlapping entry",IF(AND($B$6=0,G888&lt;=0,Bookings!G888&lt;&gt;"Cancelled"),"CHECK no working days",IF(Bookings!G888="Cancelled","Cancelled","OK")))))</ns0:f>
        <ns0:v/>
      </ns0:c>
      <ns0:c r="L888" s="0">
        <ns0:f>IF(LEFT(K888,5)="CHECK",1,0)</ns0:f>
        <ns0:v>0</ns0:v>
      </ns0:c>
      <ns0:c r="M888" s="0">
        <ns0:f>IF(AND(L888=1,OR(C888=0,IFERROR(INDEX($X$11:$X$60,C888),0)=0)),1,0)</ns0:f>
        <ns0:v>0</ns0:v>
      </ns0:c>
      <ns0:c r="N888" s="0">
        <ns0:f>IF(OR(A888=0,L888&gt;0,$B$6&gt;0,Bookings!G888="Cancelled"),0,G888)</ns0:f>
        <ns0:v>0</ns0:v>
      </ns0:c>
      <ns0:c r="O888" s="0">
        <ns0:f>IF(AND(Bookings!G888="Approved",E888="Yes"),N888,0)</ns0:f>
        <ns0:v>0</ns0:v>
      </ns0:c>
      <ns0:c r="P888" s="0">
        <ns0:f>IF(AND(Bookings!G888="Approved",E888="Yes",L888=0,$B$6=0),H888,0)</ns0:f>
        <ns0:v>0</ns0:v>
      </ns0:c>
      <ns0:c r="Q888" s="0">
        <ns0:f>IF(AND(Bookings!G888="Approved",E888="Yes",L888=0,$B$6=0),I888,0)</ns0:f>
        <ns0:v>0</ns0:v>
      </ns0:c>
      <ns0:c r="R888" s="0">
        <ns0:f>IF(AND(Bookings!G888="Pending",E888="Yes"),N888,0)</ns0:f>
        <ns0:v>0</ns0:v>
      </ns0:c>
      <ns0:c r="S888" s="0">
        <ns0:f>IF(AND(Bookings!G888="Approved",E888="No"),N888,0)</ns0:f>
        <ns0:v>0</ns0:v>
      </ns0:c>
      <ns0:c r="T888" s="0">
        <ns0:f>IFERROR(MATCH(D888,Settings!$G$7:$G$11,0),0)</ns0:f>
        <ns0:v>0</ns0:v>
      </ns0:c>
      <ns0:c r="U888" s="0">
        <ns0:f>IF(N888&gt;0,T888+IF(Bookings!G888="Pending",10,0),0)</ns0:f>
        <ns0:v>0</ns0:v>
      </ns0:c>
      <ns0:c r="V888" s="0">
        <ns0:f>U888</ns0:f>
        <ns0:v>0</ns0:v>
      </ns0:c>
      <ns0:c r="W888" s="0" t="str">
        <ns0:f>IF(C888=0,"",INDEX($AP$11:$AP$60,C888))</ns0:f>
        <ns0:v/>
      </ns0:c>
    </ns0:row>
    <ns0:row r="889">
      <ns0:c r="A889" s="0">
        <ns0:f>IF(COUNTA(Bookings!A889:G889,Bookings!I889)=0,0,1)</ns0:f>
        <ns0:v>0</ns0:v>
      </ns0:c>
      <ns0:c r="B889" s="0" t="str">
        <ns0:f>IFERROR(TRIM(MID(Bookings!A889,FIND(" · ",Bookings!A889)+3,99)),"")</ns0:f>
        <ns0:v/>
      </ns0:c>
      <ns0:c r="C889" s="0">
        <ns0:f>IF(OR(B889="",LEN(B889)&gt;24,ISNUMBER(FIND(" ",B889)),ISNUMBER(FIND("*",B889)),ISNUMBER(FIND("?",B889)),ISNUMBER(FIND("~",B889))),0,IFERROR(MATCH(B889,Team!$A$11:$A$60,0),0))</ns0:f>
        <ns0:v>0</ns0:v>
      </ns0:c>
      <ns0:c r="D889" s="0" t="str">
        <ns0:f>IFERROR(IF(MID(Bookings!F889,LEN(Bookings!F889)-3,3)=" · ",RIGHT(Bookings!F889,1),""),"")</ns0:f>
        <ns0:v/>
      </ns0:c>
      <ns0:c r="E889" s="0" t="str">
        <ns0:f>IFERROR(INDEX(Settings!$H$7:$H$11,MATCH(D889,Settings!$G$7:$G$11,0)),"")</ns0:f>
        <ns0:v/>
      </ns0:c>
      <ns0:c r="F889" s="0" t="str">
        <ns0:f>IF(A889=0,"",IFERROR(IF(OR(B889="",C889=0),"CHECK employee selection",IF(INDEX(Team!$O$11:$O$60,C889)&lt;&gt;"OK","CHECK employee setup",IF(OR('_Dates'!J889=0,'_Dates'!T889=0),"CHECK date: use DD.MM.YYYY",IF('_Dates'!T889&lt;'_Dates'!J889,"CHECK end before start",IF(AND($B$6=0,OR('_Dates'!J889&lt;Settings!$B$7,'_Dates'!T889&gt;Settings!$B$8)),"CHECK split across leave years",IF(OR(NOT(OR('_Dates'!U889="Full day",'_Dates'!U889="AM",'_Dates'!U889="PM")),NOT(OR('_Dates'!V889="Full day",'_Dates'!V889="AM",'_Dates'!V889="PM"))),"CHECK Full day / AM / PM",IF(AND('_Dates'!J889='_Dates'!T889,'_Dates'!U889&lt;&gt;"Full day",'_Dates'!V889&lt;&gt;"Full day",'_Dates'!U889&lt;&gt;'_Dates'!V889),"CHECK same-day portions disagree",IF(AND($B$6=0,OR(AND('_Dates'!U889&lt;&gt;"Full day",'_Dates'!AA889=0),AND('_Dates'!V889&lt;&gt;"Full day",'_Dates'!AB889=0))),"CHECK half-day on non-working date",IF(COUNTIF(Settings!$G$7:$G$11,D889)&lt;&gt;1,"CHECK leave type",IF(AND(Bookings!G889&lt;&gt;"Approved",Bookings!G889&lt;&gt;"Pending",Bookings!G889&lt;&gt;"Cancelled"),"CHECK status","OK")))))))))),"CHECK input"))</ns0:f>
        <ns0:v/>
      </ns0:c>
      <ns0:c r="G889" s="0">
        <ns0:f>IF(OR(F889&lt;&gt;"OK",$B$6&gt;0),0,0.5*(IF(('_Dates'!X889)&lt;('_Dates'!W889),0,INT((('_Dates'!X889)-('_Dates'!W889)+1)/7)*LEN(SUBSTITUTE(W889,"O",""))+LEN(SUBSTITUTE(MID(W889&amp;W889,WEEKDAY(('_Dates'!W889),2),MOD((('_Dates'!X889)-('_Dates'!W889)+1),7)),"O",""))-COUNTIFS(INDEX(AllClosureRows,C889,0),"&gt;="&amp;('_Dates'!W889),INDEX(AllClosureRows,C889,0),"&lt;="&amp;('_Dates'!X889)))+IF(('_Dates'!Z889)&lt;('_Dates'!Y889),0,INT((('_Dates'!Z889)-('_Dates'!Y889)+1)/7)*LEN(SUBSTITUTE(W889,"O",""))+LEN(SUBSTITUTE(MID(W889&amp;W889,WEEKDAY(('_Dates'!Y889),2),MOD((('_Dates'!Z889)-('_Dates'!Y889)+1),7)),"O",""))-COUNTIFS(INDEX(AllClosureRows,C889,0),"&gt;="&amp;('_Dates'!Y889),INDEX(AllClosureRows,C889,0),"&lt;="&amp;('_Dates'!Z889)))))</ns0:f>
        <ns0:v>0</ns0:v>
      </ns0:c>
      <ns0:c r="H889" s="0">
        <ns0:f>IF(OR(F889&lt;&gt;"OK",$B$6&gt;0),0,0.5*(IF((MIN('_Dates'!X889,Settings!$B$9))&lt;('_Dates'!W889),0,INT(((MIN('_Dates'!X889,Settings!$B$9))-('_Dates'!W889)+1)/7)*LEN(SUBSTITUTE(W889,"O",""))+LEN(SUBSTITUTE(MID(W889&amp;W889,WEEKDAY(('_Dates'!W889),2),MOD(((MIN('_Dates'!X889,Settings!$B$9))-('_Dates'!W889)+1),7)),"O",""))-COUNTIFS(INDEX(AllClosureRows,C889,0),"&gt;="&amp;('_Dates'!W889),INDEX(AllClosureRows,C889,0),"&lt;="&amp;(MIN('_Dates'!X889,Settings!$B$9))))+IF((MIN('_Dates'!Z889,Settings!$B$9))&lt;('_Dates'!Y889),0,INT(((MIN('_Dates'!Z889,Settings!$B$9))-('_Dates'!Y889)+1)/7)*LEN(SUBSTITUTE(W889,"O",""))+LEN(SUBSTITUTE(MID(W889&amp;W889,WEEKDAY(('_Dates'!Y889),2),MOD(((MIN('_Dates'!Z889,Settings!$B$9))-('_Dates'!Y889)+1),7)),"O",""))-COUNTIFS(INDEX(AllClosureRows,C889,0),"&gt;="&amp;('_Dates'!Y889),INDEX(AllClosureRows,C889,0),"&lt;="&amp;(MIN('_Dates'!Z889,Settings!$B$9))))))</ns0:f>
        <ns0:v>0</ns0:v>
      </ns0:c>
      <ns0:c r="I889" s="0">
        <ns0:f>MAX(0,G889-H889)</ns0:f>
        <ns0:v>0</ns0:v>
      </ns0:c>
      <ns0:c r="J889" s="0">
        <ns0:f>IF(OR(A889=0,F889&lt;&gt;"OK",Bookings!G889="Cancelled",$B$6&gt;0),0,IF('_Dates'!AC889=1,MAX(0,COUNTIFS(rngEngine_B,B889,rngAMStart,"&lt;="&amp;'_Dates'!X889,rngAMEnd,"&gt;="&amp;'_Dates'!W889,rngAMActive,1,rngEngine_F,"OK",rngBookings_F,"&lt;&gt;Cancelled")-1),0)+IF('_Dates'!AD889=1,MAX(0,COUNTIFS(rngEngine_B,B889,rngPMStart,"&lt;="&amp;'_Dates'!Z889,rngPMEnd,"&gt;="&amp;'_Dates'!Y889,rngPMActive,1,rngEngine_F,"OK",rngBookings_F,"&lt;&gt;Cancelled")-1),0))</ns0:f>
        <ns0:v>0</ns0:v>
      </ns0:c>
      <ns0:c r="K889" s="0" t="str">
        <ns0:f>IF(A889=0,"",IF(F889&lt;&gt;"OK",F889,IF(J889&gt;0,"CHECK overlapping entry",IF(AND($B$6=0,G889&lt;=0,Bookings!G889&lt;&gt;"Cancelled"),"CHECK no working days",IF(Bookings!G889="Cancelled","Cancelled","OK")))))</ns0:f>
        <ns0:v/>
      </ns0:c>
      <ns0:c r="L889" s="0">
        <ns0:f>IF(LEFT(K889,5)="CHECK",1,0)</ns0:f>
        <ns0:v>0</ns0:v>
      </ns0:c>
      <ns0:c r="M889" s="0">
        <ns0:f>IF(AND(L889=1,OR(C889=0,IFERROR(INDEX($X$11:$X$60,C889),0)=0)),1,0)</ns0:f>
        <ns0:v>0</ns0:v>
      </ns0:c>
      <ns0:c r="N889" s="0">
        <ns0:f>IF(OR(A889=0,L889&gt;0,$B$6&gt;0,Bookings!G889="Cancelled"),0,G889)</ns0:f>
        <ns0:v>0</ns0:v>
      </ns0:c>
      <ns0:c r="O889" s="0">
        <ns0:f>IF(AND(Bookings!G889="Approved",E889="Yes"),N889,0)</ns0:f>
        <ns0:v>0</ns0:v>
      </ns0:c>
      <ns0:c r="P889" s="0">
        <ns0:f>IF(AND(Bookings!G889="Approved",E889="Yes",L889=0,$B$6=0),H889,0)</ns0:f>
        <ns0:v>0</ns0:v>
      </ns0:c>
      <ns0:c r="Q889" s="0">
        <ns0:f>IF(AND(Bookings!G889="Approved",E889="Yes",L889=0,$B$6=0),I889,0)</ns0:f>
        <ns0:v>0</ns0:v>
      </ns0:c>
      <ns0:c r="R889" s="0">
        <ns0:f>IF(AND(Bookings!G889="Pending",E889="Yes"),N889,0)</ns0:f>
        <ns0:v>0</ns0:v>
      </ns0:c>
      <ns0:c r="S889" s="0">
        <ns0:f>IF(AND(Bookings!G889="Approved",E889="No"),N889,0)</ns0:f>
        <ns0:v>0</ns0:v>
      </ns0:c>
      <ns0:c r="T889" s="0">
        <ns0:f>IFERROR(MATCH(D889,Settings!$G$7:$G$11,0),0)</ns0:f>
        <ns0:v>0</ns0:v>
      </ns0:c>
      <ns0:c r="U889" s="0">
        <ns0:f>IF(N889&gt;0,T889+IF(Bookings!G889="Pending",10,0),0)</ns0:f>
        <ns0:v>0</ns0:v>
      </ns0:c>
      <ns0:c r="V889" s="0">
        <ns0:f>U889</ns0:f>
        <ns0:v>0</ns0:v>
      </ns0:c>
      <ns0:c r="W889" s="0" t="str">
        <ns0:f>IF(C889=0,"",INDEX($AP$11:$AP$60,C889))</ns0:f>
        <ns0:v/>
      </ns0:c>
    </ns0:row>
    <ns0:row r="890">
      <ns0:c r="A890" s="0">
        <ns0:f>IF(COUNTA(Bookings!A890:G890,Bookings!I890)=0,0,1)</ns0:f>
        <ns0:v>0</ns0:v>
      </ns0:c>
      <ns0:c r="B890" s="0" t="str">
        <ns0:f>IFERROR(TRIM(MID(Bookings!A890,FIND(" · ",Bookings!A890)+3,99)),"")</ns0:f>
        <ns0:v/>
      </ns0:c>
      <ns0:c r="C890" s="0">
        <ns0:f>IF(OR(B890="",LEN(B890)&gt;24,ISNUMBER(FIND(" ",B890)),ISNUMBER(FIND("*",B890)),ISNUMBER(FIND("?",B890)),ISNUMBER(FIND("~",B890))),0,IFERROR(MATCH(B890,Team!$A$11:$A$60,0),0))</ns0:f>
        <ns0:v>0</ns0:v>
      </ns0:c>
      <ns0:c r="D890" s="0" t="str">
        <ns0:f>IFERROR(IF(MID(Bookings!F890,LEN(Bookings!F890)-3,3)=" · ",RIGHT(Bookings!F890,1),""),"")</ns0:f>
        <ns0:v/>
      </ns0:c>
      <ns0:c r="E890" s="0" t="str">
        <ns0:f>IFERROR(INDEX(Settings!$H$7:$H$11,MATCH(D890,Settings!$G$7:$G$11,0)),"")</ns0:f>
        <ns0:v/>
      </ns0:c>
      <ns0:c r="F890" s="0" t="str">
        <ns0:f>IF(A890=0,"",IFERROR(IF(OR(B890="",C890=0),"CHECK employee selection",IF(INDEX(Team!$O$11:$O$60,C890)&lt;&gt;"OK","CHECK employee setup",IF(OR('_Dates'!J890=0,'_Dates'!T890=0),"CHECK date: use DD.MM.YYYY",IF('_Dates'!T890&lt;'_Dates'!J890,"CHECK end before start",IF(AND($B$6=0,OR('_Dates'!J890&lt;Settings!$B$7,'_Dates'!T890&gt;Settings!$B$8)),"CHECK split across leave years",IF(OR(NOT(OR('_Dates'!U890="Full day",'_Dates'!U890="AM",'_Dates'!U890="PM")),NOT(OR('_Dates'!V890="Full day",'_Dates'!V890="AM",'_Dates'!V890="PM"))),"CHECK Full day / AM / PM",IF(AND('_Dates'!J890='_Dates'!T890,'_Dates'!U890&lt;&gt;"Full day",'_Dates'!V890&lt;&gt;"Full day",'_Dates'!U890&lt;&gt;'_Dates'!V890),"CHECK same-day portions disagree",IF(AND($B$6=0,OR(AND('_Dates'!U890&lt;&gt;"Full day",'_Dates'!AA890=0),AND('_Dates'!V890&lt;&gt;"Full day",'_Dates'!AB890=0))),"CHECK half-day on non-working date",IF(COUNTIF(Settings!$G$7:$G$11,D890)&lt;&gt;1,"CHECK leave type",IF(AND(Bookings!G890&lt;&gt;"Approved",Bookings!G890&lt;&gt;"Pending",Bookings!G890&lt;&gt;"Cancelled"),"CHECK status","OK")))))))))),"CHECK input"))</ns0:f>
        <ns0:v/>
      </ns0:c>
      <ns0:c r="G890" s="0">
        <ns0:f>IF(OR(F890&lt;&gt;"OK",$B$6&gt;0),0,0.5*(IF(('_Dates'!X890)&lt;('_Dates'!W890),0,INT((('_Dates'!X890)-('_Dates'!W890)+1)/7)*LEN(SUBSTITUTE(W890,"O",""))+LEN(SUBSTITUTE(MID(W890&amp;W890,WEEKDAY(('_Dates'!W890),2),MOD((('_Dates'!X890)-('_Dates'!W890)+1),7)),"O",""))-COUNTIFS(INDEX(AllClosureRows,C890,0),"&gt;="&amp;('_Dates'!W890),INDEX(AllClosureRows,C890,0),"&lt;="&amp;('_Dates'!X890)))+IF(('_Dates'!Z890)&lt;('_Dates'!Y890),0,INT((('_Dates'!Z890)-('_Dates'!Y890)+1)/7)*LEN(SUBSTITUTE(W890,"O",""))+LEN(SUBSTITUTE(MID(W890&amp;W890,WEEKDAY(('_Dates'!Y890),2),MOD((('_Dates'!Z890)-('_Dates'!Y890)+1),7)),"O",""))-COUNTIFS(INDEX(AllClosureRows,C890,0),"&gt;="&amp;('_Dates'!Y890),INDEX(AllClosureRows,C890,0),"&lt;="&amp;('_Dates'!Z890)))))</ns0:f>
        <ns0:v>0</ns0:v>
      </ns0:c>
      <ns0:c r="H890" s="0">
        <ns0:f>IF(OR(F890&lt;&gt;"OK",$B$6&gt;0),0,0.5*(IF((MIN('_Dates'!X890,Settings!$B$9))&lt;('_Dates'!W890),0,INT(((MIN('_Dates'!X890,Settings!$B$9))-('_Dates'!W890)+1)/7)*LEN(SUBSTITUTE(W890,"O",""))+LEN(SUBSTITUTE(MID(W890&amp;W890,WEEKDAY(('_Dates'!W890),2),MOD(((MIN('_Dates'!X890,Settings!$B$9))-('_Dates'!W890)+1),7)),"O",""))-COUNTIFS(INDEX(AllClosureRows,C890,0),"&gt;="&amp;('_Dates'!W890),INDEX(AllClosureRows,C890,0),"&lt;="&amp;(MIN('_Dates'!X890,Settings!$B$9))))+IF((MIN('_Dates'!Z890,Settings!$B$9))&lt;('_Dates'!Y890),0,INT(((MIN('_Dates'!Z890,Settings!$B$9))-('_Dates'!Y890)+1)/7)*LEN(SUBSTITUTE(W890,"O",""))+LEN(SUBSTITUTE(MID(W890&amp;W890,WEEKDAY(('_Dates'!Y890),2),MOD(((MIN('_Dates'!Z890,Settings!$B$9))-('_Dates'!Y890)+1),7)),"O",""))-COUNTIFS(INDEX(AllClosureRows,C890,0),"&gt;="&amp;('_Dates'!Y890),INDEX(AllClosureRows,C890,0),"&lt;="&amp;(MIN('_Dates'!Z890,Settings!$B$9))))))</ns0:f>
        <ns0:v>0</ns0:v>
      </ns0:c>
      <ns0:c r="I890" s="0">
        <ns0:f>MAX(0,G890-H890)</ns0:f>
        <ns0:v>0</ns0:v>
      </ns0:c>
      <ns0:c r="J890" s="0">
        <ns0:f>IF(OR(A890=0,F890&lt;&gt;"OK",Bookings!G890="Cancelled",$B$6&gt;0),0,IF('_Dates'!AC890=1,MAX(0,COUNTIFS(rngEngine_B,B890,rngAMStart,"&lt;="&amp;'_Dates'!X890,rngAMEnd,"&gt;="&amp;'_Dates'!W890,rngAMActive,1,rngEngine_F,"OK",rngBookings_F,"&lt;&gt;Cancelled")-1),0)+IF('_Dates'!AD890=1,MAX(0,COUNTIFS(rngEngine_B,B890,rngPMStart,"&lt;="&amp;'_Dates'!Z890,rngPMEnd,"&gt;="&amp;'_Dates'!Y890,rngPMActive,1,rngEngine_F,"OK",rngBookings_F,"&lt;&gt;Cancelled")-1),0))</ns0:f>
        <ns0:v>0</ns0:v>
      </ns0:c>
      <ns0:c r="K890" s="0" t="str">
        <ns0:f>IF(A890=0,"",IF(F890&lt;&gt;"OK",F890,IF(J890&gt;0,"CHECK overlapping entry",IF(AND($B$6=0,G890&lt;=0,Bookings!G890&lt;&gt;"Cancelled"),"CHECK no working days",IF(Bookings!G890="Cancelled","Cancelled","OK")))))</ns0:f>
        <ns0:v/>
      </ns0:c>
      <ns0:c r="L890" s="0">
        <ns0:f>IF(LEFT(K890,5)="CHECK",1,0)</ns0:f>
        <ns0:v>0</ns0:v>
      </ns0:c>
      <ns0:c r="M890" s="0">
        <ns0:f>IF(AND(L890=1,OR(C890=0,IFERROR(INDEX($X$11:$X$60,C890),0)=0)),1,0)</ns0:f>
        <ns0:v>0</ns0:v>
      </ns0:c>
      <ns0:c r="N890" s="0">
        <ns0:f>IF(OR(A890=0,L890&gt;0,$B$6&gt;0,Bookings!G890="Cancelled"),0,G890)</ns0:f>
        <ns0:v>0</ns0:v>
      </ns0:c>
      <ns0:c r="O890" s="0">
        <ns0:f>IF(AND(Bookings!G890="Approved",E890="Yes"),N890,0)</ns0:f>
        <ns0:v>0</ns0:v>
      </ns0:c>
      <ns0:c r="P890" s="0">
        <ns0:f>IF(AND(Bookings!G890="Approved",E890="Yes",L890=0,$B$6=0),H890,0)</ns0:f>
        <ns0:v>0</ns0:v>
      </ns0:c>
      <ns0:c r="Q890" s="0">
        <ns0:f>IF(AND(Bookings!G890="Approved",E890="Yes",L890=0,$B$6=0),I890,0)</ns0:f>
        <ns0:v>0</ns0:v>
      </ns0:c>
      <ns0:c r="R890" s="0">
        <ns0:f>IF(AND(Bookings!G890="Pending",E890="Yes"),N890,0)</ns0:f>
        <ns0:v>0</ns0:v>
      </ns0:c>
      <ns0:c r="S890" s="0">
        <ns0:f>IF(AND(Bookings!G890="Approved",E890="No"),N890,0)</ns0:f>
        <ns0:v>0</ns0:v>
      </ns0:c>
      <ns0:c r="T890" s="0">
        <ns0:f>IFERROR(MATCH(D890,Settings!$G$7:$G$11,0),0)</ns0:f>
        <ns0:v>0</ns0:v>
      </ns0:c>
      <ns0:c r="U890" s="0">
        <ns0:f>IF(N890&gt;0,T890+IF(Bookings!G890="Pending",10,0),0)</ns0:f>
        <ns0:v>0</ns0:v>
      </ns0:c>
      <ns0:c r="V890" s="0">
        <ns0:f>U890</ns0:f>
        <ns0:v>0</ns0:v>
      </ns0:c>
      <ns0:c r="W890" s="0" t="str">
        <ns0:f>IF(C890=0,"",INDEX($AP$11:$AP$60,C890))</ns0:f>
        <ns0:v/>
      </ns0:c>
    </ns0:row>
    <ns0:row r="891">
      <ns0:c r="A891" s="0">
        <ns0:f>IF(COUNTA(Bookings!A891:G891,Bookings!I891)=0,0,1)</ns0:f>
        <ns0:v>0</ns0:v>
      </ns0:c>
      <ns0:c r="B891" s="0" t="str">
        <ns0:f>IFERROR(TRIM(MID(Bookings!A891,FIND(" · ",Bookings!A891)+3,99)),"")</ns0:f>
        <ns0:v/>
      </ns0:c>
      <ns0:c r="C891" s="0">
        <ns0:f>IF(OR(B891="",LEN(B891)&gt;24,ISNUMBER(FIND(" ",B891)),ISNUMBER(FIND("*",B891)),ISNUMBER(FIND("?",B891)),ISNUMBER(FIND("~",B891))),0,IFERROR(MATCH(B891,Team!$A$11:$A$60,0),0))</ns0:f>
        <ns0:v>0</ns0:v>
      </ns0:c>
      <ns0:c r="D891" s="0" t="str">
        <ns0:f>IFERROR(IF(MID(Bookings!F891,LEN(Bookings!F891)-3,3)=" · ",RIGHT(Bookings!F891,1),""),"")</ns0:f>
        <ns0:v/>
      </ns0:c>
      <ns0:c r="E891" s="0" t="str">
        <ns0:f>IFERROR(INDEX(Settings!$H$7:$H$11,MATCH(D891,Settings!$G$7:$G$11,0)),"")</ns0:f>
        <ns0:v/>
      </ns0:c>
      <ns0:c r="F891" s="0" t="str">
        <ns0:f>IF(A891=0,"",IFERROR(IF(OR(B891="",C891=0),"CHECK employee selection",IF(INDEX(Team!$O$11:$O$60,C891)&lt;&gt;"OK","CHECK employee setup",IF(OR('_Dates'!J891=0,'_Dates'!T891=0),"CHECK date: use DD.MM.YYYY",IF('_Dates'!T891&lt;'_Dates'!J891,"CHECK end before start",IF(AND($B$6=0,OR('_Dates'!J891&lt;Settings!$B$7,'_Dates'!T891&gt;Settings!$B$8)),"CHECK split across leave years",IF(OR(NOT(OR('_Dates'!U891="Full day",'_Dates'!U891="AM",'_Dates'!U891="PM")),NOT(OR('_Dates'!V891="Full day",'_Dates'!V891="AM",'_Dates'!V891="PM"))),"CHECK Full day / AM / PM",IF(AND('_Dates'!J891='_Dates'!T891,'_Dates'!U891&lt;&gt;"Full day",'_Dates'!V891&lt;&gt;"Full day",'_Dates'!U891&lt;&gt;'_Dates'!V891),"CHECK same-day portions disagree",IF(AND($B$6=0,OR(AND('_Dates'!U891&lt;&gt;"Full day",'_Dates'!AA891=0),AND('_Dates'!V891&lt;&gt;"Full day",'_Dates'!AB891=0))),"CHECK half-day on non-working date",IF(COUNTIF(Settings!$G$7:$G$11,D891)&lt;&gt;1,"CHECK leave type",IF(AND(Bookings!G891&lt;&gt;"Approved",Bookings!G891&lt;&gt;"Pending",Bookings!G891&lt;&gt;"Cancelled"),"CHECK status","OK")))))))))),"CHECK input"))</ns0:f>
        <ns0:v/>
      </ns0:c>
      <ns0:c r="G891" s="0">
        <ns0:f>IF(OR(F891&lt;&gt;"OK",$B$6&gt;0),0,0.5*(IF(('_Dates'!X891)&lt;('_Dates'!W891),0,INT((('_Dates'!X891)-('_Dates'!W891)+1)/7)*LEN(SUBSTITUTE(W891,"O",""))+LEN(SUBSTITUTE(MID(W891&amp;W891,WEEKDAY(('_Dates'!W891),2),MOD((('_Dates'!X891)-('_Dates'!W891)+1),7)),"O",""))-COUNTIFS(INDEX(AllClosureRows,C891,0),"&gt;="&amp;('_Dates'!W891),INDEX(AllClosureRows,C891,0),"&lt;="&amp;('_Dates'!X891)))+IF(('_Dates'!Z891)&lt;('_Dates'!Y891),0,INT((('_Dates'!Z891)-('_Dates'!Y891)+1)/7)*LEN(SUBSTITUTE(W891,"O",""))+LEN(SUBSTITUTE(MID(W891&amp;W891,WEEKDAY(('_Dates'!Y891),2),MOD((('_Dates'!Z891)-('_Dates'!Y891)+1),7)),"O",""))-COUNTIFS(INDEX(AllClosureRows,C891,0),"&gt;="&amp;('_Dates'!Y891),INDEX(AllClosureRows,C891,0),"&lt;="&amp;('_Dates'!Z891)))))</ns0:f>
        <ns0:v>0</ns0:v>
      </ns0:c>
      <ns0:c r="H891" s="0">
        <ns0:f>IF(OR(F891&lt;&gt;"OK",$B$6&gt;0),0,0.5*(IF((MIN('_Dates'!X891,Settings!$B$9))&lt;('_Dates'!W891),0,INT(((MIN('_Dates'!X891,Settings!$B$9))-('_Dates'!W891)+1)/7)*LEN(SUBSTITUTE(W891,"O",""))+LEN(SUBSTITUTE(MID(W891&amp;W891,WEEKDAY(('_Dates'!W891),2),MOD(((MIN('_Dates'!X891,Settings!$B$9))-('_Dates'!W891)+1),7)),"O",""))-COUNTIFS(INDEX(AllClosureRows,C891,0),"&gt;="&amp;('_Dates'!W891),INDEX(AllClosureRows,C891,0),"&lt;="&amp;(MIN('_Dates'!X891,Settings!$B$9))))+IF((MIN('_Dates'!Z891,Settings!$B$9))&lt;('_Dates'!Y891),0,INT(((MIN('_Dates'!Z891,Settings!$B$9))-('_Dates'!Y891)+1)/7)*LEN(SUBSTITUTE(W891,"O",""))+LEN(SUBSTITUTE(MID(W891&amp;W891,WEEKDAY(('_Dates'!Y891),2),MOD(((MIN('_Dates'!Z891,Settings!$B$9))-('_Dates'!Y891)+1),7)),"O",""))-COUNTIFS(INDEX(AllClosureRows,C891,0),"&gt;="&amp;('_Dates'!Y891),INDEX(AllClosureRows,C891,0),"&lt;="&amp;(MIN('_Dates'!Z891,Settings!$B$9))))))</ns0:f>
        <ns0:v>0</ns0:v>
      </ns0:c>
      <ns0:c r="I891" s="0">
        <ns0:f>MAX(0,G891-H891)</ns0:f>
        <ns0:v>0</ns0:v>
      </ns0:c>
      <ns0:c r="J891" s="0">
        <ns0:f>IF(OR(A891=0,F891&lt;&gt;"OK",Bookings!G891="Cancelled",$B$6&gt;0),0,IF('_Dates'!AC891=1,MAX(0,COUNTIFS(rngEngine_B,B891,rngAMStart,"&lt;="&amp;'_Dates'!X891,rngAMEnd,"&gt;="&amp;'_Dates'!W891,rngAMActive,1,rngEngine_F,"OK",rngBookings_F,"&lt;&gt;Cancelled")-1),0)+IF('_Dates'!AD891=1,MAX(0,COUNTIFS(rngEngine_B,B891,rngPMStart,"&lt;="&amp;'_Dates'!Z891,rngPMEnd,"&gt;="&amp;'_Dates'!Y891,rngPMActive,1,rngEngine_F,"OK",rngBookings_F,"&lt;&gt;Cancelled")-1),0))</ns0:f>
        <ns0:v>0</ns0:v>
      </ns0:c>
      <ns0:c r="K891" s="0" t="str">
        <ns0:f>IF(A891=0,"",IF(F891&lt;&gt;"OK",F891,IF(J891&gt;0,"CHECK overlapping entry",IF(AND($B$6=0,G891&lt;=0,Bookings!G891&lt;&gt;"Cancelled"),"CHECK no working days",IF(Bookings!G891="Cancelled","Cancelled","OK")))))</ns0:f>
        <ns0:v/>
      </ns0:c>
      <ns0:c r="L891" s="0">
        <ns0:f>IF(LEFT(K891,5)="CHECK",1,0)</ns0:f>
        <ns0:v>0</ns0:v>
      </ns0:c>
      <ns0:c r="M891" s="0">
        <ns0:f>IF(AND(L891=1,OR(C891=0,IFERROR(INDEX($X$11:$X$60,C891),0)=0)),1,0)</ns0:f>
        <ns0:v>0</ns0:v>
      </ns0:c>
      <ns0:c r="N891" s="0">
        <ns0:f>IF(OR(A891=0,L891&gt;0,$B$6&gt;0,Bookings!G891="Cancelled"),0,G891)</ns0:f>
        <ns0:v>0</ns0:v>
      </ns0:c>
      <ns0:c r="O891" s="0">
        <ns0:f>IF(AND(Bookings!G891="Approved",E891="Yes"),N891,0)</ns0:f>
        <ns0:v>0</ns0:v>
      </ns0:c>
      <ns0:c r="P891" s="0">
        <ns0:f>IF(AND(Bookings!G891="Approved",E891="Yes",L891=0,$B$6=0),H891,0)</ns0:f>
        <ns0:v>0</ns0:v>
      </ns0:c>
      <ns0:c r="Q891" s="0">
        <ns0:f>IF(AND(Bookings!G891="Approved",E891="Yes",L891=0,$B$6=0),I891,0)</ns0:f>
        <ns0:v>0</ns0:v>
      </ns0:c>
      <ns0:c r="R891" s="0">
        <ns0:f>IF(AND(Bookings!G891="Pending",E891="Yes"),N891,0)</ns0:f>
        <ns0:v>0</ns0:v>
      </ns0:c>
      <ns0:c r="S891" s="0">
        <ns0:f>IF(AND(Bookings!G891="Approved",E891="No"),N891,0)</ns0:f>
        <ns0:v>0</ns0:v>
      </ns0:c>
      <ns0:c r="T891" s="0">
        <ns0:f>IFERROR(MATCH(D891,Settings!$G$7:$G$11,0),0)</ns0:f>
        <ns0:v>0</ns0:v>
      </ns0:c>
      <ns0:c r="U891" s="0">
        <ns0:f>IF(N891&gt;0,T891+IF(Bookings!G891="Pending",10,0),0)</ns0:f>
        <ns0:v>0</ns0:v>
      </ns0:c>
      <ns0:c r="V891" s="0">
        <ns0:f>U891</ns0:f>
        <ns0:v>0</ns0:v>
      </ns0:c>
      <ns0:c r="W891" s="0" t="str">
        <ns0:f>IF(C891=0,"",INDEX($AP$11:$AP$60,C891))</ns0:f>
        <ns0:v/>
      </ns0:c>
    </ns0:row>
    <ns0:row r="892">
      <ns0:c r="A892" s="0">
        <ns0:f>IF(COUNTA(Bookings!A892:G892,Bookings!I892)=0,0,1)</ns0:f>
        <ns0:v>0</ns0:v>
      </ns0:c>
      <ns0:c r="B892" s="0" t="str">
        <ns0:f>IFERROR(TRIM(MID(Bookings!A892,FIND(" · ",Bookings!A892)+3,99)),"")</ns0:f>
        <ns0:v/>
      </ns0:c>
      <ns0:c r="C892" s="0">
        <ns0:f>IF(OR(B892="",LEN(B892)&gt;24,ISNUMBER(FIND(" ",B892)),ISNUMBER(FIND("*",B892)),ISNUMBER(FIND("?",B892)),ISNUMBER(FIND("~",B892))),0,IFERROR(MATCH(B892,Team!$A$11:$A$60,0),0))</ns0:f>
        <ns0:v>0</ns0:v>
      </ns0:c>
      <ns0:c r="D892" s="0" t="str">
        <ns0:f>IFERROR(IF(MID(Bookings!F892,LEN(Bookings!F892)-3,3)=" · ",RIGHT(Bookings!F892,1),""),"")</ns0:f>
        <ns0:v/>
      </ns0:c>
      <ns0:c r="E892" s="0" t="str">
        <ns0:f>IFERROR(INDEX(Settings!$H$7:$H$11,MATCH(D892,Settings!$G$7:$G$11,0)),"")</ns0:f>
        <ns0:v/>
      </ns0:c>
      <ns0:c r="F892" s="0" t="str">
        <ns0:f>IF(A892=0,"",IFERROR(IF(OR(B892="",C892=0),"CHECK employee selection",IF(INDEX(Team!$O$11:$O$60,C892)&lt;&gt;"OK","CHECK employee setup",IF(OR('_Dates'!J892=0,'_Dates'!T892=0),"CHECK date: use DD.MM.YYYY",IF('_Dates'!T892&lt;'_Dates'!J892,"CHECK end before start",IF(AND($B$6=0,OR('_Dates'!J892&lt;Settings!$B$7,'_Dates'!T892&gt;Settings!$B$8)),"CHECK split across leave years",IF(OR(NOT(OR('_Dates'!U892="Full day",'_Dates'!U892="AM",'_Dates'!U892="PM")),NOT(OR('_Dates'!V892="Full day",'_Dates'!V892="AM",'_Dates'!V892="PM"))),"CHECK Full day / AM / PM",IF(AND('_Dates'!J892='_Dates'!T892,'_Dates'!U892&lt;&gt;"Full day",'_Dates'!V892&lt;&gt;"Full day",'_Dates'!U892&lt;&gt;'_Dates'!V892),"CHECK same-day portions disagree",IF(AND($B$6=0,OR(AND('_Dates'!U892&lt;&gt;"Full day",'_Dates'!AA892=0),AND('_Dates'!V892&lt;&gt;"Full day",'_Dates'!AB892=0))),"CHECK half-day on non-working date",IF(COUNTIF(Settings!$G$7:$G$11,D892)&lt;&gt;1,"CHECK leave type",IF(AND(Bookings!G892&lt;&gt;"Approved",Bookings!G892&lt;&gt;"Pending",Bookings!G892&lt;&gt;"Cancelled"),"CHECK status","OK")))))))))),"CHECK input"))</ns0:f>
        <ns0:v/>
      </ns0:c>
      <ns0:c r="G892" s="0">
        <ns0:f>IF(OR(F892&lt;&gt;"OK",$B$6&gt;0),0,0.5*(IF(('_Dates'!X892)&lt;('_Dates'!W892),0,INT((('_Dates'!X892)-('_Dates'!W892)+1)/7)*LEN(SUBSTITUTE(W892,"O",""))+LEN(SUBSTITUTE(MID(W892&amp;W892,WEEKDAY(('_Dates'!W892),2),MOD((('_Dates'!X892)-('_Dates'!W892)+1),7)),"O",""))-COUNTIFS(INDEX(AllClosureRows,C892,0),"&gt;="&amp;('_Dates'!W892),INDEX(AllClosureRows,C892,0),"&lt;="&amp;('_Dates'!X892)))+IF(('_Dates'!Z892)&lt;('_Dates'!Y892),0,INT((('_Dates'!Z892)-('_Dates'!Y892)+1)/7)*LEN(SUBSTITUTE(W892,"O",""))+LEN(SUBSTITUTE(MID(W892&amp;W892,WEEKDAY(('_Dates'!Y892),2),MOD((('_Dates'!Z892)-('_Dates'!Y892)+1),7)),"O",""))-COUNTIFS(INDEX(AllClosureRows,C892,0),"&gt;="&amp;('_Dates'!Y892),INDEX(AllClosureRows,C892,0),"&lt;="&amp;('_Dates'!Z892)))))</ns0:f>
        <ns0:v>0</ns0:v>
      </ns0:c>
      <ns0:c r="H892" s="0">
        <ns0:f>IF(OR(F892&lt;&gt;"OK",$B$6&gt;0),0,0.5*(IF((MIN('_Dates'!X892,Settings!$B$9))&lt;('_Dates'!W892),0,INT(((MIN('_Dates'!X892,Settings!$B$9))-('_Dates'!W892)+1)/7)*LEN(SUBSTITUTE(W892,"O",""))+LEN(SUBSTITUTE(MID(W892&amp;W892,WEEKDAY(('_Dates'!W892),2),MOD(((MIN('_Dates'!X892,Settings!$B$9))-('_Dates'!W892)+1),7)),"O",""))-COUNTIFS(INDEX(AllClosureRows,C892,0),"&gt;="&amp;('_Dates'!W892),INDEX(AllClosureRows,C892,0),"&lt;="&amp;(MIN('_Dates'!X892,Settings!$B$9))))+IF((MIN('_Dates'!Z892,Settings!$B$9))&lt;('_Dates'!Y892),0,INT(((MIN('_Dates'!Z892,Settings!$B$9))-('_Dates'!Y892)+1)/7)*LEN(SUBSTITUTE(W892,"O",""))+LEN(SUBSTITUTE(MID(W892&amp;W892,WEEKDAY(('_Dates'!Y892),2),MOD(((MIN('_Dates'!Z892,Settings!$B$9))-('_Dates'!Y892)+1),7)),"O",""))-COUNTIFS(INDEX(AllClosureRows,C892,0),"&gt;="&amp;('_Dates'!Y892),INDEX(AllClosureRows,C892,0),"&lt;="&amp;(MIN('_Dates'!Z892,Settings!$B$9))))))</ns0:f>
        <ns0:v>0</ns0:v>
      </ns0:c>
      <ns0:c r="I892" s="0">
        <ns0:f>MAX(0,G892-H892)</ns0:f>
        <ns0:v>0</ns0:v>
      </ns0:c>
      <ns0:c r="J892" s="0">
        <ns0:f>IF(OR(A892=0,F892&lt;&gt;"OK",Bookings!G892="Cancelled",$B$6&gt;0),0,IF('_Dates'!AC892=1,MAX(0,COUNTIFS(rngEngine_B,B892,rngAMStart,"&lt;="&amp;'_Dates'!X892,rngAMEnd,"&gt;="&amp;'_Dates'!W892,rngAMActive,1,rngEngine_F,"OK",rngBookings_F,"&lt;&gt;Cancelled")-1),0)+IF('_Dates'!AD892=1,MAX(0,COUNTIFS(rngEngine_B,B892,rngPMStart,"&lt;="&amp;'_Dates'!Z892,rngPMEnd,"&gt;="&amp;'_Dates'!Y892,rngPMActive,1,rngEngine_F,"OK",rngBookings_F,"&lt;&gt;Cancelled")-1),0))</ns0:f>
        <ns0:v>0</ns0:v>
      </ns0:c>
      <ns0:c r="K892" s="0" t="str">
        <ns0:f>IF(A892=0,"",IF(F892&lt;&gt;"OK",F892,IF(J892&gt;0,"CHECK overlapping entry",IF(AND($B$6=0,G892&lt;=0,Bookings!G892&lt;&gt;"Cancelled"),"CHECK no working days",IF(Bookings!G892="Cancelled","Cancelled","OK")))))</ns0:f>
        <ns0:v/>
      </ns0:c>
      <ns0:c r="L892" s="0">
        <ns0:f>IF(LEFT(K892,5)="CHECK",1,0)</ns0:f>
        <ns0:v>0</ns0:v>
      </ns0:c>
      <ns0:c r="M892" s="0">
        <ns0:f>IF(AND(L892=1,OR(C892=0,IFERROR(INDEX($X$11:$X$60,C892),0)=0)),1,0)</ns0:f>
        <ns0:v>0</ns0:v>
      </ns0:c>
      <ns0:c r="N892" s="0">
        <ns0:f>IF(OR(A892=0,L892&gt;0,$B$6&gt;0,Bookings!G892="Cancelled"),0,G892)</ns0:f>
        <ns0:v>0</ns0:v>
      </ns0:c>
      <ns0:c r="O892" s="0">
        <ns0:f>IF(AND(Bookings!G892="Approved",E892="Yes"),N892,0)</ns0:f>
        <ns0:v>0</ns0:v>
      </ns0:c>
      <ns0:c r="P892" s="0">
        <ns0:f>IF(AND(Bookings!G892="Approved",E892="Yes",L892=0,$B$6=0),H892,0)</ns0:f>
        <ns0:v>0</ns0:v>
      </ns0:c>
      <ns0:c r="Q892" s="0">
        <ns0:f>IF(AND(Bookings!G892="Approved",E892="Yes",L892=0,$B$6=0),I892,0)</ns0:f>
        <ns0:v>0</ns0:v>
      </ns0:c>
      <ns0:c r="R892" s="0">
        <ns0:f>IF(AND(Bookings!G892="Pending",E892="Yes"),N892,0)</ns0:f>
        <ns0:v>0</ns0:v>
      </ns0:c>
      <ns0:c r="S892" s="0">
        <ns0:f>IF(AND(Bookings!G892="Approved",E892="No"),N892,0)</ns0:f>
        <ns0:v>0</ns0:v>
      </ns0:c>
      <ns0:c r="T892" s="0">
        <ns0:f>IFERROR(MATCH(D892,Settings!$G$7:$G$11,0),0)</ns0:f>
        <ns0:v>0</ns0:v>
      </ns0:c>
      <ns0:c r="U892" s="0">
        <ns0:f>IF(N892&gt;0,T892+IF(Bookings!G892="Pending",10,0),0)</ns0:f>
        <ns0:v>0</ns0:v>
      </ns0:c>
      <ns0:c r="V892" s="0">
        <ns0:f>U892</ns0:f>
        <ns0:v>0</ns0:v>
      </ns0:c>
      <ns0:c r="W892" s="0" t="str">
        <ns0:f>IF(C892=0,"",INDEX($AP$11:$AP$60,C892))</ns0:f>
        <ns0:v/>
      </ns0:c>
    </ns0:row>
    <ns0:row r="893">
      <ns0:c r="A893" s="0">
        <ns0:f>IF(COUNTA(Bookings!A893:G893,Bookings!I893)=0,0,1)</ns0:f>
        <ns0:v>0</ns0:v>
      </ns0:c>
      <ns0:c r="B893" s="0" t="str">
        <ns0:f>IFERROR(TRIM(MID(Bookings!A893,FIND(" · ",Bookings!A893)+3,99)),"")</ns0:f>
        <ns0:v/>
      </ns0:c>
      <ns0:c r="C893" s="0">
        <ns0:f>IF(OR(B893="",LEN(B893)&gt;24,ISNUMBER(FIND(" ",B893)),ISNUMBER(FIND("*",B893)),ISNUMBER(FIND("?",B893)),ISNUMBER(FIND("~",B893))),0,IFERROR(MATCH(B893,Team!$A$11:$A$60,0),0))</ns0:f>
        <ns0:v>0</ns0:v>
      </ns0:c>
      <ns0:c r="D893" s="0" t="str">
        <ns0:f>IFERROR(IF(MID(Bookings!F893,LEN(Bookings!F893)-3,3)=" · ",RIGHT(Bookings!F893,1),""),"")</ns0:f>
        <ns0:v/>
      </ns0:c>
      <ns0:c r="E893" s="0" t="str">
        <ns0:f>IFERROR(INDEX(Settings!$H$7:$H$11,MATCH(D893,Settings!$G$7:$G$11,0)),"")</ns0:f>
        <ns0:v/>
      </ns0:c>
      <ns0:c r="F893" s="0" t="str">
        <ns0:f>IF(A893=0,"",IFERROR(IF(OR(B893="",C893=0),"CHECK employee selection",IF(INDEX(Team!$O$11:$O$60,C893)&lt;&gt;"OK","CHECK employee setup",IF(OR('_Dates'!J893=0,'_Dates'!T893=0),"CHECK date: use DD.MM.YYYY",IF('_Dates'!T893&lt;'_Dates'!J893,"CHECK end before start",IF(AND($B$6=0,OR('_Dates'!J893&lt;Settings!$B$7,'_Dates'!T893&gt;Settings!$B$8)),"CHECK split across leave years",IF(OR(NOT(OR('_Dates'!U893="Full day",'_Dates'!U893="AM",'_Dates'!U893="PM")),NOT(OR('_Dates'!V893="Full day",'_Dates'!V893="AM",'_Dates'!V893="PM"))),"CHECK Full day / AM / PM",IF(AND('_Dates'!J893='_Dates'!T893,'_Dates'!U893&lt;&gt;"Full day",'_Dates'!V893&lt;&gt;"Full day",'_Dates'!U893&lt;&gt;'_Dates'!V893),"CHECK same-day portions disagree",IF(AND($B$6=0,OR(AND('_Dates'!U893&lt;&gt;"Full day",'_Dates'!AA893=0),AND('_Dates'!V893&lt;&gt;"Full day",'_Dates'!AB893=0))),"CHECK half-day on non-working date",IF(COUNTIF(Settings!$G$7:$G$11,D893)&lt;&gt;1,"CHECK leave type",IF(AND(Bookings!G893&lt;&gt;"Approved",Bookings!G893&lt;&gt;"Pending",Bookings!G893&lt;&gt;"Cancelled"),"CHECK status","OK")))))))))),"CHECK input"))</ns0:f>
        <ns0:v/>
      </ns0:c>
      <ns0:c r="G893" s="0">
        <ns0:f>IF(OR(F893&lt;&gt;"OK",$B$6&gt;0),0,0.5*(IF(('_Dates'!X893)&lt;('_Dates'!W893),0,INT((('_Dates'!X893)-('_Dates'!W893)+1)/7)*LEN(SUBSTITUTE(W893,"O",""))+LEN(SUBSTITUTE(MID(W893&amp;W893,WEEKDAY(('_Dates'!W893),2),MOD((('_Dates'!X893)-('_Dates'!W893)+1),7)),"O",""))-COUNTIFS(INDEX(AllClosureRows,C893,0),"&gt;="&amp;('_Dates'!W893),INDEX(AllClosureRows,C893,0),"&lt;="&amp;('_Dates'!X893)))+IF(('_Dates'!Z893)&lt;('_Dates'!Y893),0,INT((('_Dates'!Z893)-('_Dates'!Y893)+1)/7)*LEN(SUBSTITUTE(W893,"O",""))+LEN(SUBSTITUTE(MID(W893&amp;W893,WEEKDAY(('_Dates'!Y893),2),MOD((('_Dates'!Z893)-('_Dates'!Y893)+1),7)),"O",""))-COUNTIFS(INDEX(AllClosureRows,C893,0),"&gt;="&amp;('_Dates'!Y893),INDEX(AllClosureRows,C893,0),"&lt;="&amp;('_Dates'!Z893)))))</ns0:f>
        <ns0:v>0</ns0:v>
      </ns0:c>
      <ns0:c r="H893" s="0">
        <ns0:f>IF(OR(F893&lt;&gt;"OK",$B$6&gt;0),0,0.5*(IF((MIN('_Dates'!X893,Settings!$B$9))&lt;('_Dates'!W893),0,INT(((MIN('_Dates'!X893,Settings!$B$9))-('_Dates'!W893)+1)/7)*LEN(SUBSTITUTE(W893,"O",""))+LEN(SUBSTITUTE(MID(W893&amp;W893,WEEKDAY(('_Dates'!W893),2),MOD(((MIN('_Dates'!X893,Settings!$B$9))-('_Dates'!W893)+1),7)),"O",""))-COUNTIFS(INDEX(AllClosureRows,C893,0),"&gt;="&amp;('_Dates'!W893),INDEX(AllClosureRows,C893,0),"&lt;="&amp;(MIN('_Dates'!X893,Settings!$B$9))))+IF((MIN('_Dates'!Z893,Settings!$B$9))&lt;('_Dates'!Y893),0,INT(((MIN('_Dates'!Z893,Settings!$B$9))-('_Dates'!Y893)+1)/7)*LEN(SUBSTITUTE(W893,"O",""))+LEN(SUBSTITUTE(MID(W893&amp;W893,WEEKDAY(('_Dates'!Y893),2),MOD(((MIN('_Dates'!Z893,Settings!$B$9))-('_Dates'!Y893)+1),7)),"O",""))-COUNTIFS(INDEX(AllClosureRows,C893,0),"&gt;="&amp;('_Dates'!Y893),INDEX(AllClosureRows,C893,0),"&lt;="&amp;(MIN('_Dates'!Z893,Settings!$B$9))))))</ns0:f>
        <ns0:v>0</ns0:v>
      </ns0:c>
      <ns0:c r="I893" s="0">
        <ns0:f>MAX(0,G893-H893)</ns0:f>
        <ns0:v>0</ns0:v>
      </ns0:c>
      <ns0:c r="J893" s="0">
        <ns0:f>IF(OR(A893=0,F893&lt;&gt;"OK",Bookings!G893="Cancelled",$B$6&gt;0),0,IF('_Dates'!AC893=1,MAX(0,COUNTIFS(rngEngine_B,B893,rngAMStart,"&lt;="&amp;'_Dates'!X893,rngAMEnd,"&gt;="&amp;'_Dates'!W893,rngAMActive,1,rngEngine_F,"OK",rngBookings_F,"&lt;&gt;Cancelled")-1),0)+IF('_Dates'!AD893=1,MAX(0,COUNTIFS(rngEngine_B,B893,rngPMStart,"&lt;="&amp;'_Dates'!Z893,rngPMEnd,"&gt;="&amp;'_Dates'!Y893,rngPMActive,1,rngEngine_F,"OK",rngBookings_F,"&lt;&gt;Cancelled")-1),0))</ns0:f>
        <ns0:v>0</ns0:v>
      </ns0:c>
      <ns0:c r="K893" s="0" t="str">
        <ns0:f>IF(A893=0,"",IF(F893&lt;&gt;"OK",F893,IF(J893&gt;0,"CHECK overlapping entry",IF(AND($B$6=0,G893&lt;=0,Bookings!G893&lt;&gt;"Cancelled"),"CHECK no working days",IF(Bookings!G893="Cancelled","Cancelled","OK")))))</ns0:f>
        <ns0:v/>
      </ns0:c>
      <ns0:c r="L893" s="0">
        <ns0:f>IF(LEFT(K893,5)="CHECK",1,0)</ns0:f>
        <ns0:v>0</ns0:v>
      </ns0:c>
      <ns0:c r="M893" s="0">
        <ns0:f>IF(AND(L893=1,OR(C893=0,IFERROR(INDEX($X$11:$X$60,C893),0)=0)),1,0)</ns0:f>
        <ns0:v>0</ns0:v>
      </ns0:c>
      <ns0:c r="N893" s="0">
        <ns0:f>IF(OR(A893=0,L893&gt;0,$B$6&gt;0,Bookings!G893="Cancelled"),0,G893)</ns0:f>
        <ns0:v>0</ns0:v>
      </ns0:c>
      <ns0:c r="O893" s="0">
        <ns0:f>IF(AND(Bookings!G893="Approved",E893="Yes"),N893,0)</ns0:f>
        <ns0:v>0</ns0:v>
      </ns0:c>
      <ns0:c r="P893" s="0">
        <ns0:f>IF(AND(Bookings!G893="Approved",E893="Yes",L893=0,$B$6=0),H893,0)</ns0:f>
        <ns0:v>0</ns0:v>
      </ns0:c>
      <ns0:c r="Q893" s="0">
        <ns0:f>IF(AND(Bookings!G893="Approved",E893="Yes",L893=0,$B$6=0),I893,0)</ns0:f>
        <ns0:v>0</ns0:v>
      </ns0:c>
      <ns0:c r="R893" s="0">
        <ns0:f>IF(AND(Bookings!G893="Pending",E893="Yes"),N893,0)</ns0:f>
        <ns0:v>0</ns0:v>
      </ns0:c>
      <ns0:c r="S893" s="0">
        <ns0:f>IF(AND(Bookings!G893="Approved",E893="No"),N893,0)</ns0:f>
        <ns0:v>0</ns0:v>
      </ns0:c>
      <ns0:c r="T893" s="0">
        <ns0:f>IFERROR(MATCH(D893,Settings!$G$7:$G$11,0),0)</ns0:f>
        <ns0:v>0</ns0:v>
      </ns0:c>
      <ns0:c r="U893" s="0">
        <ns0:f>IF(N893&gt;0,T893+IF(Bookings!G893="Pending",10,0),0)</ns0:f>
        <ns0:v>0</ns0:v>
      </ns0:c>
      <ns0:c r="V893" s="0">
        <ns0:f>U893</ns0:f>
        <ns0:v>0</ns0:v>
      </ns0:c>
      <ns0:c r="W893" s="0" t="str">
        <ns0:f>IF(C893=0,"",INDEX($AP$11:$AP$60,C893))</ns0:f>
        <ns0:v/>
      </ns0:c>
    </ns0:row>
    <ns0:row r="894">
      <ns0:c r="A894" s="0">
        <ns0:f>IF(COUNTA(Bookings!A894:G894,Bookings!I894)=0,0,1)</ns0:f>
        <ns0:v>0</ns0:v>
      </ns0:c>
      <ns0:c r="B894" s="0" t="str">
        <ns0:f>IFERROR(TRIM(MID(Bookings!A894,FIND(" · ",Bookings!A894)+3,99)),"")</ns0:f>
        <ns0:v/>
      </ns0:c>
      <ns0:c r="C894" s="0">
        <ns0:f>IF(OR(B894="",LEN(B894)&gt;24,ISNUMBER(FIND(" ",B894)),ISNUMBER(FIND("*",B894)),ISNUMBER(FIND("?",B894)),ISNUMBER(FIND("~",B894))),0,IFERROR(MATCH(B894,Team!$A$11:$A$60,0),0))</ns0:f>
        <ns0:v>0</ns0:v>
      </ns0:c>
      <ns0:c r="D894" s="0" t="str">
        <ns0:f>IFERROR(IF(MID(Bookings!F894,LEN(Bookings!F894)-3,3)=" · ",RIGHT(Bookings!F894,1),""),"")</ns0:f>
        <ns0:v/>
      </ns0:c>
      <ns0:c r="E894" s="0" t="str">
        <ns0:f>IFERROR(INDEX(Settings!$H$7:$H$11,MATCH(D894,Settings!$G$7:$G$11,0)),"")</ns0:f>
        <ns0:v/>
      </ns0:c>
      <ns0:c r="F894" s="0" t="str">
        <ns0:f>IF(A894=0,"",IFERROR(IF(OR(B894="",C894=0),"CHECK employee selection",IF(INDEX(Team!$O$11:$O$60,C894)&lt;&gt;"OK","CHECK employee setup",IF(OR('_Dates'!J894=0,'_Dates'!T894=0),"CHECK date: use DD.MM.YYYY",IF('_Dates'!T894&lt;'_Dates'!J894,"CHECK end before start",IF(AND($B$6=0,OR('_Dates'!J894&lt;Settings!$B$7,'_Dates'!T894&gt;Settings!$B$8)),"CHECK split across leave years",IF(OR(NOT(OR('_Dates'!U894="Full day",'_Dates'!U894="AM",'_Dates'!U894="PM")),NOT(OR('_Dates'!V894="Full day",'_Dates'!V894="AM",'_Dates'!V894="PM"))),"CHECK Full day / AM / PM",IF(AND('_Dates'!J894='_Dates'!T894,'_Dates'!U894&lt;&gt;"Full day",'_Dates'!V894&lt;&gt;"Full day",'_Dates'!U894&lt;&gt;'_Dates'!V894),"CHECK same-day portions disagree",IF(AND($B$6=0,OR(AND('_Dates'!U894&lt;&gt;"Full day",'_Dates'!AA894=0),AND('_Dates'!V894&lt;&gt;"Full day",'_Dates'!AB894=0))),"CHECK half-day on non-working date",IF(COUNTIF(Settings!$G$7:$G$11,D894)&lt;&gt;1,"CHECK leave type",IF(AND(Bookings!G894&lt;&gt;"Approved",Bookings!G894&lt;&gt;"Pending",Bookings!G894&lt;&gt;"Cancelled"),"CHECK status","OK")))))))))),"CHECK input"))</ns0:f>
        <ns0:v/>
      </ns0:c>
      <ns0:c r="G894" s="0">
        <ns0:f>IF(OR(F894&lt;&gt;"OK",$B$6&gt;0),0,0.5*(IF(('_Dates'!X894)&lt;('_Dates'!W894),0,INT((('_Dates'!X894)-('_Dates'!W894)+1)/7)*LEN(SUBSTITUTE(W894,"O",""))+LEN(SUBSTITUTE(MID(W894&amp;W894,WEEKDAY(('_Dates'!W894),2),MOD((('_Dates'!X894)-('_Dates'!W894)+1),7)),"O",""))-COUNTIFS(INDEX(AllClosureRows,C894,0),"&gt;="&amp;('_Dates'!W894),INDEX(AllClosureRows,C894,0),"&lt;="&amp;('_Dates'!X894)))+IF(('_Dates'!Z894)&lt;('_Dates'!Y894),0,INT((('_Dates'!Z894)-('_Dates'!Y894)+1)/7)*LEN(SUBSTITUTE(W894,"O",""))+LEN(SUBSTITUTE(MID(W894&amp;W894,WEEKDAY(('_Dates'!Y894),2),MOD((('_Dates'!Z894)-('_Dates'!Y894)+1),7)),"O",""))-COUNTIFS(INDEX(AllClosureRows,C894,0),"&gt;="&amp;('_Dates'!Y894),INDEX(AllClosureRows,C894,0),"&lt;="&amp;('_Dates'!Z894)))))</ns0:f>
        <ns0:v>0</ns0:v>
      </ns0:c>
      <ns0:c r="H894" s="0">
        <ns0:f>IF(OR(F894&lt;&gt;"OK",$B$6&gt;0),0,0.5*(IF((MIN('_Dates'!X894,Settings!$B$9))&lt;('_Dates'!W894),0,INT(((MIN('_Dates'!X894,Settings!$B$9))-('_Dates'!W894)+1)/7)*LEN(SUBSTITUTE(W894,"O",""))+LEN(SUBSTITUTE(MID(W894&amp;W894,WEEKDAY(('_Dates'!W894),2),MOD(((MIN('_Dates'!X894,Settings!$B$9))-('_Dates'!W894)+1),7)),"O",""))-COUNTIFS(INDEX(AllClosureRows,C894,0),"&gt;="&amp;('_Dates'!W894),INDEX(AllClosureRows,C894,0),"&lt;="&amp;(MIN('_Dates'!X894,Settings!$B$9))))+IF((MIN('_Dates'!Z894,Settings!$B$9))&lt;('_Dates'!Y894),0,INT(((MIN('_Dates'!Z894,Settings!$B$9))-('_Dates'!Y894)+1)/7)*LEN(SUBSTITUTE(W894,"O",""))+LEN(SUBSTITUTE(MID(W894&amp;W894,WEEKDAY(('_Dates'!Y894),2),MOD(((MIN('_Dates'!Z894,Settings!$B$9))-('_Dates'!Y894)+1),7)),"O",""))-COUNTIFS(INDEX(AllClosureRows,C894,0),"&gt;="&amp;('_Dates'!Y894),INDEX(AllClosureRows,C894,0),"&lt;="&amp;(MIN('_Dates'!Z894,Settings!$B$9))))))</ns0:f>
        <ns0:v>0</ns0:v>
      </ns0:c>
      <ns0:c r="I894" s="0">
        <ns0:f>MAX(0,G894-H894)</ns0:f>
        <ns0:v>0</ns0:v>
      </ns0:c>
      <ns0:c r="J894" s="0">
        <ns0:f>IF(OR(A894=0,F894&lt;&gt;"OK",Bookings!G894="Cancelled",$B$6&gt;0),0,IF('_Dates'!AC894=1,MAX(0,COUNTIFS(rngEngine_B,B894,rngAMStart,"&lt;="&amp;'_Dates'!X894,rngAMEnd,"&gt;="&amp;'_Dates'!W894,rngAMActive,1,rngEngine_F,"OK",rngBookings_F,"&lt;&gt;Cancelled")-1),0)+IF('_Dates'!AD894=1,MAX(0,COUNTIFS(rngEngine_B,B894,rngPMStart,"&lt;="&amp;'_Dates'!Z894,rngPMEnd,"&gt;="&amp;'_Dates'!Y894,rngPMActive,1,rngEngine_F,"OK",rngBookings_F,"&lt;&gt;Cancelled")-1),0))</ns0:f>
        <ns0:v>0</ns0:v>
      </ns0:c>
      <ns0:c r="K894" s="0" t="str">
        <ns0:f>IF(A894=0,"",IF(F894&lt;&gt;"OK",F894,IF(J894&gt;0,"CHECK overlapping entry",IF(AND($B$6=0,G894&lt;=0,Bookings!G894&lt;&gt;"Cancelled"),"CHECK no working days",IF(Bookings!G894="Cancelled","Cancelled","OK")))))</ns0:f>
        <ns0:v/>
      </ns0:c>
      <ns0:c r="L894" s="0">
        <ns0:f>IF(LEFT(K894,5)="CHECK",1,0)</ns0:f>
        <ns0:v>0</ns0:v>
      </ns0:c>
      <ns0:c r="M894" s="0">
        <ns0:f>IF(AND(L894=1,OR(C894=0,IFERROR(INDEX($X$11:$X$60,C894),0)=0)),1,0)</ns0:f>
        <ns0:v>0</ns0:v>
      </ns0:c>
      <ns0:c r="N894" s="0">
        <ns0:f>IF(OR(A894=0,L894&gt;0,$B$6&gt;0,Bookings!G894="Cancelled"),0,G894)</ns0:f>
        <ns0:v>0</ns0:v>
      </ns0:c>
      <ns0:c r="O894" s="0">
        <ns0:f>IF(AND(Bookings!G894="Approved",E894="Yes"),N894,0)</ns0:f>
        <ns0:v>0</ns0:v>
      </ns0:c>
      <ns0:c r="P894" s="0">
        <ns0:f>IF(AND(Bookings!G894="Approved",E894="Yes",L894=0,$B$6=0),H894,0)</ns0:f>
        <ns0:v>0</ns0:v>
      </ns0:c>
      <ns0:c r="Q894" s="0">
        <ns0:f>IF(AND(Bookings!G894="Approved",E894="Yes",L894=0,$B$6=0),I894,0)</ns0:f>
        <ns0:v>0</ns0:v>
      </ns0:c>
      <ns0:c r="R894" s="0">
        <ns0:f>IF(AND(Bookings!G894="Pending",E894="Yes"),N894,0)</ns0:f>
        <ns0:v>0</ns0:v>
      </ns0:c>
      <ns0:c r="S894" s="0">
        <ns0:f>IF(AND(Bookings!G894="Approved",E894="No"),N894,0)</ns0:f>
        <ns0:v>0</ns0:v>
      </ns0:c>
      <ns0:c r="T894" s="0">
        <ns0:f>IFERROR(MATCH(D894,Settings!$G$7:$G$11,0),0)</ns0:f>
        <ns0:v>0</ns0:v>
      </ns0:c>
      <ns0:c r="U894" s="0">
        <ns0:f>IF(N894&gt;0,T894+IF(Bookings!G894="Pending",10,0),0)</ns0:f>
        <ns0:v>0</ns0:v>
      </ns0:c>
      <ns0:c r="V894" s="0">
        <ns0:f>U894</ns0:f>
        <ns0:v>0</ns0:v>
      </ns0:c>
      <ns0:c r="W894" s="0" t="str">
        <ns0:f>IF(C894=0,"",INDEX($AP$11:$AP$60,C894))</ns0:f>
        <ns0:v/>
      </ns0:c>
    </ns0:row>
    <ns0:row r="895">
      <ns0:c r="A895" s="0">
        <ns0:f>IF(COUNTA(Bookings!A895:G895,Bookings!I895)=0,0,1)</ns0:f>
        <ns0:v>0</ns0:v>
      </ns0:c>
      <ns0:c r="B895" s="0" t="str">
        <ns0:f>IFERROR(TRIM(MID(Bookings!A895,FIND(" · ",Bookings!A895)+3,99)),"")</ns0:f>
        <ns0:v/>
      </ns0:c>
      <ns0:c r="C895" s="0">
        <ns0:f>IF(OR(B895="",LEN(B895)&gt;24,ISNUMBER(FIND(" ",B895)),ISNUMBER(FIND("*",B895)),ISNUMBER(FIND("?",B895)),ISNUMBER(FIND("~",B895))),0,IFERROR(MATCH(B895,Team!$A$11:$A$60,0),0))</ns0:f>
        <ns0:v>0</ns0:v>
      </ns0:c>
      <ns0:c r="D895" s="0" t="str">
        <ns0:f>IFERROR(IF(MID(Bookings!F895,LEN(Bookings!F895)-3,3)=" · ",RIGHT(Bookings!F895,1),""),"")</ns0:f>
        <ns0:v/>
      </ns0:c>
      <ns0:c r="E895" s="0" t="str">
        <ns0:f>IFERROR(INDEX(Settings!$H$7:$H$11,MATCH(D895,Settings!$G$7:$G$11,0)),"")</ns0:f>
        <ns0:v/>
      </ns0:c>
      <ns0:c r="F895" s="0" t="str">
        <ns0:f>IF(A895=0,"",IFERROR(IF(OR(B895="",C895=0),"CHECK employee selection",IF(INDEX(Team!$O$11:$O$60,C895)&lt;&gt;"OK","CHECK employee setup",IF(OR('_Dates'!J895=0,'_Dates'!T895=0),"CHECK date: use DD.MM.YYYY",IF('_Dates'!T895&lt;'_Dates'!J895,"CHECK end before start",IF(AND($B$6=0,OR('_Dates'!J895&lt;Settings!$B$7,'_Dates'!T895&gt;Settings!$B$8)),"CHECK split across leave years",IF(OR(NOT(OR('_Dates'!U895="Full day",'_Dates'!U895="AM",'_Dates'!U895="PM")),NOT(OR('_Dates'!V895="Full day",'_Dates'!V895="AM",'_Dates'!V895="PM"))),"CHECK Full day / AM / PM",IF(AND('_Dates'!J895='_Dates'!T895,'_Dates'!U895&lt;&gt;"Full day",'_Dates'!V895&lt;&gt;"Full day",'_Dates'!U895&lt;&gt;'_Dates'!V895),"CHECK same-day portions disagree",IF(AND($B$6=0,OR(AND('_Dates'!U895&lt;&gt;"Full day",'_Dates'!AA895=0),AND('_Dates'!V895&lt;&gt;"Full day",'_Dates'!AB895=0))),"CHECK half-day on non-working date",IF(COUNTIF(Settings!$G$7:$G$11,D895)&lt;&gt;1,"CHECK leave type",IF(AND(Bookings!G895&lt;&gt;"Approved",Bookings!G895&lt;&gt;"Pending",Bookings!G895&lt;&gt;"Cancelled"),"CHECK status","OK")))))))))),"CHECK input"))</ns0:f>
        <ns0:v/>
      </ns0:c>
      <ns0:c r="G895" s="0">
        <ns0:f>IF(OR(F895&lt;&gt;"OK",$B$6&gt;0),0,0.5*(IF(('_Dates'!X895)&lt;('_Dates'!W895),0,INT((('_Dates'!X895)-('_Dates'!W895)+1)/7)*LEN(SUBSTITUTE(W895,"O",""))+LEN(SUBSTITUTE(MID(W895&amp;W895,WEEKDAY(('_Dates'!W895),2),MOD((('_Dates'!X895)-('_Dates'!W895)+1),7)),"O",""))-COUNTIFS(INDEX(AllClosureRows,C895,0),"&gt;="&amp;('_Dates'!W895),INDEX(AllClosureRows,C895,0),"&lt;="&amp;('_Dates'!X895)))+IF(('_Dates'!Z895)&lt;('_Dates'!Y895),0,INT((('_Dates'!Z895)-('_Dates'!Y895)+1)/7)*LEN(SUBSTITUTE(W895,"O",""))+LEN(SUBSTITUTE(MID(W895&amp;W895,WEEKDAY(('_Dates'!Y895),2),MOD((('_Dates'!Z895)-('_Dates'!Y895)+1),7)),"O",""))-COUNTIFS(INDEX(AllClosureRows,C895,0),"&gt;="&amp;('_Dates'!Y895),INDEX(AllClosureRows,C895,0),"&lt;="&amp;('_Dates'!Z895)))))</ns0:f>
        <ns0:v>0</ns0:v>
      </ns0:c>
      <ns0:c r="H895" s="0">
        <ns0:f>IF(OR(F895&lt;&gt;"OK",$B$6&gt;0),0,0.5*(IF((MIN('_Dates'!X895,Settings!$B$9))&lt;('_Dates'!W895),0,INT(((MIN('_Dates'!X895,Settings!$B$9))-('_Dates'!W895)+1)/7)*LEN(SUBSTITUTE(W895,"O",""))+LEN(SUBSTITUTE(MID(W895&amp;W895,WEEKDAY(('_Dates'!W895),2),MOD(((MIN('_Dates'!X895,Settings!$B$9))-('_Dates'!W895)+1),7)),"O",""))-COUNTIFS(INDEX(AllClosureRows,C895,0),"&gt;="&amp;('_Dates'!W895),INDEX(AllClosureRows,C895,0),"&lt;="&amp;(MIN('_Dates'!X895,Settings!$B$9))))+IF((MIN('_Dates'!Z895,Settings!$B$9))&lt;('_Dates'!Y895),0,INT(((MIN('_Dates'!Z895,Settings!$B$9))-('_Dates'!Y895)+1)/7)*LEN(SUBSTITUTE(W895,"O",""))+LEN(SUBSTITUTE(MID(W895&amp;W895,WEEKDAY(('_Dates'!Y895),2),MOD(((MIN('_Dates'!Z895,Settings!$B$9))-('_Dates'!Y895)+1),7)),"O",""))-COUNTIFS(INDEX(AllClosureRows,C895,0),"&gt;="&amp;('_Dates'!Y895),INDEX(AllClosureRows,C895,0),"&lt;="&amp;(MIN('_Dates'!Z895,Settings!$B$9))))))</ns0:f>
        <ns0:v>0</ns0:v>
      </ns0:c>
      <ns0:c r="I895" s="0">
        <ns0:f>MAX(0,G895-H895)</ns0:f>
        <ns0:v>0</ns0:v>
      </ns0:c>
      <ns0:c r="J895" s="0">
        <ns0:f>IF(OR(A895=0,F895&lt;&gt;"OK",Bookings!G895="Cancelled",$B$6&gt;0),0,IF('_Dates'!AC895=1,MAX(0,COUNTIFS(rngEngine_B,B895,rngAMStart,"&lt;="&amp;'_Dates'!X895,rngAMEnd,"&gt;="&amp;'_Dates'!W895,rngAMActive,1,rngEngine_F,"OK",rngBookings_F,"&lt;&gt;Cancelled")-1),0)+IF('_Dates'!AD895=1,MAX(0,COUNTIFS(rngEngine_B,B895,rngPMStart,"&lt;="&amp;'_Dates'!Z895,rngPMEnd,"&gt;="&amp;'_Dates'!Y895,rngPMActive,1,rngEngine_F,"OK",rngBookings_F,"&lt;&gt;Cancelled")-1),0))</ns0:f>
        <ns0:v>0</ns0:v>
      </ns0:c>
      <ns0:c r="K895" s="0" t="str">
        <ns0:f>IF(A895=0,"",IF(F895&lt;&gt;"OK",F895,IF(J895&gt;0,"CHECK overlapping entry",IF(AND($B$6=0,G895&lt;=0,Bookings!G895&lt;&gt;"Cancelled"),"CHECK no working days",IF(Bookings!G895="Cancelled","Cancelled","OK")))))</ns0:f>
        <ns0:v/>
      </ns0:c>
      <ns0:c r="L895" s="0">
        <ns0:f>IF(LEFT(K895,5)="CHECK",1,0)</ns0:f>
        <ns0:v>0</ns0:v>
      </ns0:c>
      <ns0:c r="M895" s="0">
        <ns0:f>IF(AND(L895=1,OR(C895=0,IFERROR(INDEX($X$11:$X$60,C895),0)=0)),1,0)</ns0:f>
        <ns0:v>0</ns0:v>
      </ns0:c>
      <ns0:c r="N895" s="0">
        <ns0:f>IF(OR(A895=0,L895&gt;0,$B$6&gt;0,Bookings!G895="Cancelled"),0,G895)</ns0:f>
        <ns0:v>0</ns0:v>
      </ns0:c>
      <ns0:c r="O895" s="0">
        <ns0:f>IF(AND(Bookings!G895="Approved",E895="Yes"),N895,0)</ns0:f>
        <ns0:v>0</ns0:v>
      </ns0:c>
      <ns0:c r="P895" s="0">
        <ns0:f>IF(AND(Bookings!G895="Approved",E895="Yes",L895=0,$B$6=0),H895,0)</ns0:f>
        <ns0:v>0</ns0:v>
      </ns0:c>
      <ns0:c r="Q895" s="0">
        <ns0:f>IF(AND(Bookings!G895="Approved",E895="Yes",L895=0,$B$6=0),I895,0)</ns0:f>
        <ns0:v>0</ns0:v>
      </ns0:c>
      <ns0:c r="R895" s="0">
        <ns0:f>IF(AND(Bookings!G895="Pending",E895="Yes"),N895,0)</ns0:f>
        <ns0:v>0</ns0:v>
      </ns0:c>
      <ns0:c r="S895" s="0">
        <ns0:f>IF(AND(Bookings!G895="Approved",E895="No"),N895,0)</ns0:f>
        <ns0:v>0</ns0:v>
      </ns0:c>
      <ns0:c r="T895" s="0">
        <ns0:f>IFERROR(MATCH(D895,Settings!$G$7:$G$11,0),0)</ns0:f>
        <ns0:v>0</ns0:v>
      </ns0:c>
      <ns0:c r="U895" s="0">
        <ns0:f>IF(N895&gt;0,T895+IF(Bookings!G895="Pending",10,0),0)</ns0:f>
        <ns0:v>0</ns0:v>
      </ns0:c>
      <ns0:c r="V895" s="0">
        <ns0:f>U895</ns0:f>
        <ns0:v>0</ns0:v>
      </ns0:c>
      <ns0:c r="W895" s="0" t="str">
        <ns0:f>IF(C895=0,"",INDEX($AP$11:$AP$60,C895))</ns0:f>
        <ns0:v/>
      </ns0:c>
    </ns0:row>
    <ns0:row r="896">
      <ns0:c r="A896" s="0">
        <ns0:f>IF(COUNTA(Bookings!A896:G896,Bookings!I896)=0,0,1)</ns0:f>
        <ns0:v>0</ns0:v>
      </ns0:c>
      <ns0:c r="B896" s="0" t="str">
        <ns0:f>IFERROR(TRIM(MID(Bookings!A896,FIND(" · ",Bookings!A896)+3,99)),"")</ns0:f>
        <ns0:v/>
      </ns0:c>
      <ns0:c r="C896" s="0">
        <ns0:f>IF(OR(B896="",LEN(B896)&gt;24,ISNUMBER(FIND(" ",B896)),ISNUMBER(FIND("*",B896)),ISNUMBER(FIND("?",B896)),ISNUMBER(FIND("~",B896))),0,IFERROR(MATCH(B896,Team!$A$11:$A$60,0),0))</ns0:f>
        <ns0:v>0</ns0:v>
      </ns0:c>
      <ns0:c r="D896" s="0" t="str">
        <ns0:f>IFERROR(IF(MID(Bookings!F896,LEN(Bookings!F896)-3,3)=" · ",RIGHT(Bookings!F896,1),""),"")</ns0:f>
        <ns0:v/>
      </ns0:c>
      <ns0:c r="E896" s="0" t="str">
        <ns0:f>IFERROR(INDEX(Settings!$H$7:$H$11,MATCH(D896,Settings!$G$7:$G$11,0)),"")</ns0:f>
        <ns0:v/>
      </ns0:c>
      <ns0:c r="F896" s="0" t="str">
        <ns0:f>IF(A896=0,"",IFERROR(IF(OR(B896="",C896=0),"CHECK employee selection",IF(INDEX(Team!$O$11:$O$60,C896)&lt;&gt;"OK","CHECK employee setup",IF(OR('_Dates'!J896=0,'_Dates'!T896=0),"CHECK date: use DD.MM.YYYY",IF('_Dates'!T896&lt;'_Dates'!J896,"CHECK end before start",IF(AND($B$6=0,OR('_Dates'!J896&lt;Settings!$B$7,'_Dates'!T896&gt;Settings!$B$8)),"CHECK split across leave years",IF(OR(NOT(OR('_Dates'!U896="Full day",'_Dates'!U896="AM",'_Dates'!U896="PM")),NOT(OR('_Dates'!V896="Full day",'_Dates'!V896="AM",'_Dates'!V896="PM"))),"CHECK Full day / AM / PM",IF(AND('_Dates'!J896='_Dates'!T896,'_Dates'!U896&lt;&gt;"Full day",'_Dates'!V896&lt;&gt;"Full day",'_Dates'!U896&lt;&gt;'_Dates'!V896),"CHECK same-day portions disagree",IF(AND($B$6=0,OR(AND('_Dates'!U896&lt;&gt;"Full day",'_Dates'!AA896=0),AND('_Dates'!V896&lt;&gt;"Full day",'_Dates'!AB896=0))),"CHECK half-day on non-working date",IF(COUNTIF(Settings!$G$7:$G$11,D896)&lt;&gt;1,"CHECK leave type",IF(AND(Bookings!G896&lt;&gt;"Approved",Bookings!G896&lt;&gt;"Pending",Bookings!G896&lt;&gt;"Cancelled"),"CHECK status","OK")))))))))),"CHECK input"))</ns0:f>
        <ns0:v/>
      </ns0:c>
      <ns0:c r="G896" s="0">
        <ns0:f>IF(OR(F896&lt;&gt;"OK",$B$6&gt;0),0,0.5*(IF(('_Dates'!X896)&lt;('_Dates'!W896),0,INT((('_Dates'!X896)-('_Dates'!W896)+1)/7)*LEN(SUBSTITUTE(W896,"O",""))+LEN(SUBSTITUTE(MID(W896&amp;W896,WEEKDAY(('_Dates'!W896),2),MOD((('_Dates'!X896)-('_Dates'!W896)+1),7)),"O",""))-COUNTIFS(INDEX(AllClosureRows,C896,0),"&gt;="&amp;('_Dates'!W896),INDEX(AllClosureRows,C896,0),"&lt;="&amp;('_Dates'!X896)))+IF(('_Dates'!Z896)&lt;('_Dates'!Y896),0,INT((('_Dates'!Z896)-('_Dates'!Y896)+1)/7)*LEN(SUBSTITUTE(W896,"O",""))+LEN(SUBSTITUTE(MID(W896&amp;W896,WEEKDAY(('_Dates'!Y896),2),MOD((('_Dates'!Z896)-('_Dates'!Y896)+1),7)),"O",""))-COUNTIFS(INDEX(AllClosureRows,C896,0),"&gt;="&amp;('_Dates'!Y896),INDEX(AllClosureRows,C896,0),"&lt;="&amp;('_Dates'!Z896)))))</ns0:f>
        <ns0:v>0</ns0:v>
      </ns0:c>
      <ns0:c r="H896" s="0">
        <ns0:f>IF(OR(F896&lt;&gt;"OK",$B$6&gt;0),0,0.5*(IF((MIN('_Dates'!X896,Settings!$B$9))&lt;('_Dates'!W896),0,INT(((MIN('_Dates'!X896,Settings!$B$9))-('_Dates'!W896)+1)/7)*LEN(SUBSTITUTE(W896,"O",""))+LEN(SUBSTITUTE(MID(W896&amp;W896,WEEKDAY(('_Dates'!W896),2),MOD(((MIN('_Dates'!X896,Settings!$B$9))-('_Dates'!W896)+1),7)),"O",""))-COUNTIFS(INDEX(AllClosureRows,C896,0),"&gt;="&amp;('_Dates'!W896),INDEX(AllClosureRows,C896,0),"&lt;="&amp;(MIN('_Dates'!X896,Settings!$B$9))))+IF((MIN('_Dates'!Z896,Settings!$B$9))&lt;('_Dates'!Y896),0,INT(((MIN('_Dates'!Z896,Settings!$B$9))-('_Dates'!Y896)+1)/7)*LEN(SUBSTITUTE(W896,"O",""))+LEN(SUBSTITUTE(MID(W896&amp;W896,WEEKDAY(('_Dates'!Y896),2),MOD(((MIN('_Dates'!Z896,Settings!$B$9))-('_Dates'!Y896)+1),7)),"O",""))-COUNTIFS(INDEX(AllClosureRows,C896,0),"&gt;="&amp;('_Dates'!Y896),INDEX(AllClosureRows,C896,0),"&lt;="&amp;(MIN('_Dates'!Z896,Settings!$B$9))))))</ns0:f>
        <ns0:v>0</ns0:v>
      </ns0:c>
      <ns0:c r="I896" s="0">
        <ns0:f>MAX(0,G896-H896)</ns0:f>
        <ns0:v>0</ns0:v>
      </ns0:c>
      <ns0:c r="J896" s="0">
        <ns0:f>IF(OR(A896=0,F896&lt;&gt;"OK",Bookings!G896="Cancelled",$B$6&gt;0),0,IF('_Dates'!AC896=1,MAX(0,COUNTIFS(rngEngine_B,B896,rngAMStart,"&lt;="&amp;'_Dates'!X896,rngAMEnd,"&gt;="&amp;'_Dates'!W896,rngAMActive,1,rngEngine_F,"OK",rngBookings_F,"&lt;&gt;Cancelled")-1),0)+IF('_Dates'!AD896=1,MAX(0,COUNTIFS(rngEngine_B,B896,rngPMStart,"&lt;="&amp;'_Dates'!Z896,rngPMEnd,"&gt;="&amp;'_Dates'!Y896,rngPMActive,1,rngEngine_F,"OK",rngBookings_F,"&lt;&gt;Cancelled")-1),0))</ns0:f>
        <ns0:v>0</ns0:v>
      </ns0:c>
      <ns0:c r="K896" s="0" t="str">
        <ns0:f>IF(A896=0,"",IF(F896&lt;&gt;"OK",F896,IF(J896&gt;0,"CHECK overlapping entry",IF(AND($B$6=0,G896&lt;=0,Bookings!G896&lt;&gt;"Cancelled"),"CHECK no working days",IF(Bookings!G896="Cancelled","Cancelled","OK")))))</ns0:f>
        <ns0:v/>
      </ns0:c>
      <ns0:c r="L896" s="0">
        <ns0:f>IF(LEFT(K896,5)="CHECK",1,0)</ns0:f>
        <ns0:v>0</ns0:v>
      </ns0:c>
      <ns0:c r="M896" s="0">
        <ns0:f>IF(AND(L896=1,OR(C896=0,IFERROR(INDEX($X$11:$X$60,C896),0)=0)),1,0)</ns0:f>
        <ns0:v>0</ns0:v>
      </ns0:c>
      <ns0:c r="N896" s="0">
        <ns0:f>IF(OR(A896=0,L896&gt;0,$B$6&gt;0,Bookings!G896="Cancelled"),0,G896)</ns0:f>
        <ns0:v>0</ns0:v>
      </ns0:c>
      <ns0:c r="O896" s="0">
        <ns0:f>IF(AND(Bookings!G896="Approved",E896="Yes"),N896,0)</ns0:f>
        <ns0:v>0</ns0:v>
      </ns0:c>
      <ns0:c r="P896" s="0">
        <ns0:f>IF(AND(Bookings!G896="Approved",E896="Yes",L896=0,$B$6=0),H896,0)</ns0:f>
        <ns0:v>0</ns0:v>
      </ns0:c>
      <ns0:c r="Q896" s="0">
        <ns0:f>IF(AND(Bookings!G896="Approved",E896="Yes",L896=0,$B$6=0),I896,0)</ns0:f>
        <ns0:v>0</ns0:v>
      </ns0:c>
      <ns0:c r="R896" s="0">
        <ns0:f>IF(AND(Bookings!G896="Pending",E896="Yes"),N896,0)</ns0:f>
        <ns0:v>0</ns0:v>
      </ns0:c>
      <ns0:c r="S896" s="0">
        <ns0:f>IF(AND(Bookings!G896="Approved",E896="No"),N896,0)</ns0:f>
        <ns0:v>0</ns0:v>
      </ns0:c>
      <ns0:c r="T896" s="0">
        <ns0:f>IFERROR(MATCH(D896,Settings!$G$7:$G$11,0),0)</ns0:f>
        <ns0:v>0</ns0:v>
      </ns0:c>
      <ns0:c r="U896" s="0">
        <ns0:f>IF(N896&gt;0,T896+IF(Bookings!G896="Pending",10,0),0)</ns0:f>
        <ns0:v>0</ns0:v>
      </ns0:c>
      <ns0:c r="V896" s="0">
        <ns0:f>U896</ns0:f>
        <ns0:v>0</ns0:v>
      </ns0:c>
      <ns0:c r="W896" s="0" t="str">
        <ns0:f>IF(C896=0,"",INDEX($AP$11:$AP$60,C896))</ns0:f>
        <ns0:v/>
      </ns0:c>
    </ns0:row>
    <ns0:row r="897">
      <ns0:c r="A897" s="0">
        <ns0:f>IF(COUNTA(Bookings!A897:G897,Bookings!I897)=0,0,1)</ns0:f>
        <ns0:v>0</ns0:v>
      </ns0:c>
      <ns0:c r="B897" s="0" t="str">
        <ns0:f>IFERROR(TRIM(MID(Bookings!A897,FIND(" · ",Bookings!A897)+3,99)),"")</ns0:f>
        <ns0:v/>
      </ns0:c>
      <ns0:c r="C897" s="0">
        <ns0:f>IF(OR(B897="",LEN(B897)&gt;24,ISNUMBER(FIND(" ",B897)),ISNUMBER(FIND("*",B897)),ISNUMBER(FIND("?",B897)),ISNUMBER(FIND("~",B897))),0,IFERROR(MATCH(B897,Team!$A$11:$A$60,0),0))</ns0:f>
        <ns0:v>0</ns0:v>
      </ns0:c>
      <ns0:c r="D897" s="0" t="str">
        <ns0:f>IFERROR(IF(MID(Bookings!F897,LEN(Bookings!F897)-3,3)=" · ",RIGHT(Bookings!F897,1),""),"")</ns0:f>
        <ns0:v/>
      </ns0:c>
      <ns0:c r="E897" s="0" t="str">
        <ns0:f>IFERROR(INDEX(Settings!$H$7:$H$11,MATCH(D897,Settings!$G$7:$G$11,0)),"")</ns0:f>
        <ns0:v/>
      </ns0:c>
      <ns0:c r="F897" s="0" t="str">
        <ns0:f>IF(A897=0,"",IFERROR(IF(OR(B897="",C897=0),"CHECK employee selection",IF(INDEX(Team!$O$11:$O$60,C897)&lt;&gt;"OK","CHECK employee setup",IF(OR('_Dates'!J897=0,'_Dates'!T897=0),"CHECK date: use DD.MM.YYYY",IF('_Dates'!T897&lt;'_Dates'!J897,"CHECK end before start",IF(AND($B$6=0,OR('_Dates'!J897&lt;Settings!$B$7,'_Dates'!T897&gt;Settings!$B$8)),"CHECK split across leave years",IF(OR(NOT(OR('_Dates'!U897="Full day",'_Dates'!U897="AM",'_Dates'!U897="PM")),NOT(OR('_Dates'!V897="Full day",'_Dates'!V897="AM",'_Dates'!V897="PM"))),"CHECK Full day / AM / PM",IF(AND('_Dates'!J897='_Dates'!T897,'_Dates'!U897&lt;&gt;"Full day",'_Dates'!V897&lt;&gt;"Full day",'_Dates'!U897&lt;&gt;'_Dates'!V897),"CHECK same-day portions disagree",IF(AND($B$6=0,OR(AND('_Dates'!U897&lt;&gt;"Full day",'_Dates'!AA897=0),AND('_Dates'!V897&lt;&gt;"Full day",'_Dates'!AB897=0))),"CHECK half-day on non-working date",IF(COUNTIF(Settings!$G$7:$G$11,D897)&lt;&gt;1,"CHECK leave type",IF(AND(Bookings!G897&lt;&gt;"Approved",Bookings!G897&lt;&gt;"Pending",Bookings!G897&lt;&gt;"Cancelled"),"CHECK status","OK")))))))))),"CHECK input"))</ns0:f>
        <ns0:v/>
      </ns0:c>
      <ns0:c r="G897" s="0">
        <ns0:f>IF(OR(F897&lt;&gt;"OK",$B$6&gt;0),0,0.5*(IF(('_Dates'!X897)&lt;('_Dates'!W897),0,INT((('_Dates'!X897)-('_Dates'!W897)+1)/7)*LEN(SUBSTITUTE(W897,"O",""))+LEN(SUBSTITUTE(MID(W897&amp;W897,WEEKDAY(('_Dates'!W897),2),MOD((('_Dates'!X897)-('_Dates'!W897)+1),7)),"O",""))-COUNTIFS(INDEX(AllClosureRows,C897,0),"&gt;="&amp;('_Dates'!W897),INDEX(AllClosureRows,C897,0),"&lt;="&amp;('_Dates'!X897)))+IF(('_Dates'!Z897)&lt;('_Dates'!Y897),0,INT((('_Dates'!Z897)-('_Dates'!Y897)+1)/7)*LEN(SUBSTITUTE(W897,"O",""))+LEN(SUBSTITUTE(MID(W897&amp;W897,WEEKDAY(('_Dates'!Y897),2),MOD((('_Dates'!Z897)-('_Dates'!Y897)+1),7)),"O",""))-COUNTIFS(INDEX(AllClosureRows,C897,0),"&gt;="&amp;('_Dates'!Y897),INDEX(AllClosureRows,C897,0),"&lt;="&amp;('_Dates'!Z897)))))</ns0:f>
        <ns0:v>0</ns0:v>
      </ns0:c>
      <ns0:c r="H897" s="0">
        <ns0:f>IF(OR(F897&lt;&gt;"OK",$B$6&gt;0),0,0.5*(IF((MIN('_Dates'!X897,Settings!$B$9))&lt;('_Dates'!W897),0,INT(((MIN('_Dates'!X897,Settings!$B$9))-('_Dates'!W897)+1)/7)*LEN(SUBSTITUTE(W897,"O",""))+LEN(SUBSTITUTE(MID(W897&amp;W897,WEEKDAY(('_Dates'!W897),2),MOD(((MIN('_Dates'!X897,Settings!$B$9))-('_Dates'!W897)+1),7)),"O",""))-COUNTIFS(INDEX(AllClosureRows,C897,0),"&gt;="&amp;('_Dates'!W897),INDEX(AllClosureRows,C897,0),"&lt;="&amp;(MIN('_Dates'!X897,Settings!$B$9))))+IF((MIN('_Dates'!Z897,Settings!$B$9))&lt;('_Dates'!Y897),0,INT(((MIN('_Dates'!Z897,Settings!$B$9))-('_Dates'!Y897)+1)/7)*LEN(SUBSTITUTE(W897,"O",""))+LEN(SUBSTITUTE(MID(W897&amp;W897,WEEKDAY(('_Dates'!Y897),2),MOD(((MIN('_Dates'!Z897,Settings!$B$9))-('_Dates'!Y897)+1),7)),"O",""))-COUNTIFS(INDEX(AllClosureRows,C897,0),"&gt;="&amp;('_Dates'!Y897),INDEX(AllClosureRows,C897,0),"&lt;="&amp;(MIN('_Dates'!Z897,Settings!$B$9))))))</ns0:f>
        <ns0:v>0</ns0:v>
      </ns0:c>
      <ns0:c r="I897" s="0">
        <ns0:f>MAX(0,G897-H897)</ns0:f>
        <ns0:v>0</ns0:v>
      </ns0:c>
      <ns0:c r="J897" s="0">
        <ns0:f>IF(OR(A897=0,F897&lt;&gt;"OK",Bookings!G897="Cancelled",$B$6&gt;0),0,IF('_Dates'!AC897=1,MAX(0,COUNTIFS(rngEngine_B,B897,rngAMStart,"&lt;="&amp;'_Dates'!X897,rngAMEnd,"&gt;="&amp;'_Dates'!W897,rngAMActive,1,rngEngine_F,"OK",rngBookings_F,"&lt;&gt;Cancelled")-1),0)+IF('_Dates'!AD897=1,MAX(0,COUNTIFS(rngEngine_B,B897,rngPMStart,"&lt;="&amp;'_Dates'!Z897,rngPMEnd,"&gt;="&amp;'_Dates'!Y897,rngPMActive,1,rngEngine_F,"OK",rngBookings_F,"&lt;&gt;Cancelled")-1),0))</ns0:f>
        <ns0:v>0</ns0:v>
      </ns0:c>
      <ns0:c r="K897" s="0" t="str">
        <ns0:f>IF(A897=0,"",IF(F897&lt;&gt;"OK",F897,IF(J897&gt;0,"CHECK overlapping entry",IF(AND($B$6=0,G897&lt;=0,Bookings!G897&lt;&gt;"Cancelled"),"CHECK no working days",IF(Bookings!G897="Cancelled","Cancelled","OK")))))</ns0:f>
        <ns0:v/>
      </ns0:c>
      <ns0:c r="L897" s="0">
        <ns0:f>IF(LEFT(K897,5)="CHECK",1,0)</ns0:f>
        <ns0:v>0</ns0:v>
      </ns0:c>
      <ns0:c r="M897" s="0">
        <ns0:f>IF(AND(L897=1,OR(C897=0,IFERROR(INDEX($X$11:$X$60,C897),0)=0)),1,0)</ns0:f>
        <ns0:v>0</ns0:v>
      </ns0:c>
      <ns0:c r="N897" s="0">
        <ns0:f>IF(OR(A897=0,L897&gt;0,$B$6&gt;0,Bookings!G897="Cancelled"),0,G897)</ns0:f>
        <ns0:v>0</ns0:v>
      </ns0:c>
      <ns0:c r="O897" s="0">
        <ns0:f>IF(AND(Bookings!G897="Approved",E897="Yes"),N897,0)</ns0:f>
        <ns0:v>0</ns0:v>
      </ns0:c>
      <ns0:c r="P897" s="0">
        <ns0:f>IF(AND(Bookings!G897="Approved",E897="Yes",L897=0,$B$6=0),H897,0)</ns0:f>
        <ns0:v>0</ns0:v>
      </ns0:c>
      <ns0:c r="Q897" s="0">
        <ns0:f>IF(AND(Bookings!G897="Approved",E897="Yes",L897=0,$B$6=0),I897,0)</ns0:f>
        <ns0:v>0</ns0:v>
      </ns0:c>
      <ns0:c r="R897" s="0">
        <ns0:f>IF(AND(Bookings!G897="Pending",E897="Yes"),N897,0)</ns0:f>
        <ns0:v>0</ns0:v>
      </ns0:c>
      <ns0:c r="S897" s="0">
        <ns0:f>IF(AND(Bookings!G897="Approved",E897="No"),N897,0)</ns0:f>
        <ns0:v>0</ns0:v>
      </ns0:c>
      <ns0:c r="T897" s="0">
        <ns0:f>IFERROR(MATCH(D897,Settings!$G$7:$G$11,0),0)</ns0:f>
        <ns0:v>0</ns0:v>
      </ns0:c>
      <ns0:c r="U897" s="0">
        <ns0:f>IF(N897&gt;0,T897+IF(Bookings!G897="Pending",10,0),0)</ns0:f>
        <ns0:v>0</ns0:v>
      </ns0:c>
      <ns0:c r="V897" s="0">
        <ns0:f>U897</ns0:f>
        <ns0:v>0</ns0:v>
      </ns0:c>
      <ns0:c r="W897" s="0" t="str">
        <ns0:f>IF(C897=0,"",INDEX($AP$11:$AP$60,C897))</ns0:f>
        <ns0:v/>
      </ns0:c>
    </ns0:row>
    <ns0:row r="898">
      <ns0:c r="A898" s="0">
        <ns0:f>IF(COUNTA(Bookings!A898:G898,Bookings!I898)=0,0,1)</ns0:f>
        <ns0:v>0</ns0:v>
      </ns0:c>
      <ns0:c r="B898" s="0" t="str">
        <ns0:f>IFERROR(TRIM(MID(Bookings!A898,FIND(" · ",Bookings!A898)+3,99)),"")</ns0:f>
        <ns0:v/>
      </ns0:c>
      <ns0:c r="C898" s="0">
        <ns0:f>IF(OR(B898="",LEN(B898)&gt;24,ISNUMBER(FIND(" ",B898)),ISNUMBER(FIND("*",B898)),ISNUMBER(FIND("?",B898)),ISNUMBER(FIND("~",B898))),0,IFERROR(MATCH(B898,Team!$A$11:$A$60,0),0))</ns0:f>
        <ns0:v>0</ns0:v>
      </ns0:c>
      <ns0:c r="D898" s="0" t="str">
        <ns0:f>IFERROR(IF(MID(Bookings!F898,LEN(Bookings!F898)-3,3)=" · ",RIGHT(Bookings!F898,1),""),"")</ns0:f>
        <ns0:v/>
      </ns0:c>
      <ns0:c r="E898" s="0" t="str">
        <ns0:f>IFERROR(INDEX(Settings!$H$7:$H$11,MATCH(D898,Settings!$G$7:$G$11,0)),"")</ns0:f>
        <ns0:v/>
      </ns0:c>
      <ns0:c r="F898" s="0" t="str">
        <ns0:f>IF(A898=0,"",IFERROR(IF(OR(B898="",C898=0),"CHECK employee selection",IF(INDEX(Team!$O$11:$O$60,C898)&lt;&gt;"OK","CHECK employee setup",IF(OR('_Dates'!J898=0,'_Dates'!T898=0),"CHECK date: use DD.MM.YYYY",IF('_Dates'!T898&lt;'_Dates'!J898,"CHECK end before start",IF(AND($B$6=0,OR('_Dates'!J898&lt;Settings!$B$7,'_Dates'!T898&gt;Settings!$B$8)),"CHECK split across leave years",IF(OR(NOT(OR('_Dates'!U898="Full day",'_Dates'!U898="AM",'_Dates'!U898="PM")),NOT(OR('_Dates'!V898="Full day",'_Dates'!V898="AM",'_Dates'!V898="PM"))),"CHECK Full day / AM / PM",IF(AND('_Dates'!J898='_Dates'!T898,'_Dates'!U898&lt;&gt;"Full day",'_Dates'!V898&lt;&gt;"Full day",'_Dates'!U898&lt;&gt;'_Dates'!V898),"CHECK same-day portions disagree",IF(AND($B$6=0,OR(AND('_Dates'!U898&lt;&gt;"Full day",'_Dates'!AA898=0),AND('_Dates'!V898&lt;&gt;"Full day",'_Dates'!AB898=0))),"CHECK half-day on non-working date",IF(COUNTIF(Settings!$G$7:$G$11,D898)&lt;&gt;1,"CHECK leave type",IF(AND(Bookings!G898&lt;&gt;"Approved",Bookings!G898&lt;&gt;"Pending",Bookings!G898&lt;&gt;"Cancelled"),"CHECK status","OK")))))))))),"CHECK input"))</ns0:f>
        <ns0:v/>
      </ns0:c>
      <ns0:c r="G898" s="0">
        <ns0:f>IF(OR(F898&lt;&gt;"OK",$B$6&gt;0),0,0.5*(IF(('_Dates'!X898)&lt;('_Dates'!W898),0,INT((('_Dates'!X898)-('_Dates'!W898)+1)/7)*LEN(SUBSTITUTE(W898,"O",""))+LEN(SUBSTITUTE(MID(W898&amp;W898,WEEKDAY(('_Dates'!W898),2),MOD((('_Dates'!X898)-('_Dates'!W898)+1),7)),"O",""))-COUNTIFS(INDEX(AllClosureRows,C898,0),"&gt;="&amp;('_Dates'!W898),INDEX(AllClosureRows,C898,0),"&lt;="&amp;('_Dates'!X898)))+IF(('_Dates'!Z898)&lt;('_Dates'!Y898),0,INT((('_Dates'!Z898)-('_Dates'!Y898)+1)/7)*LEN(SUBSTITUTE(W898,"O",""))+LEN(SUBSTITUTE(MID(W898&amp;W898,WEEKDAY(('_Dates'!Y898),2),MOD((('_Dates'!Z898)-('_Dates'!Y898)+1),7)),"O",""))-COUNTIFS(INDEX(AllClosureRows,C898,0),"&gt;="&amp;('_Dates'!Y898),INDEX(AllClosureRows,C898,0),"&lt;="&amp;('_Dates'!Z898)))))</ns0:f>
        <ns0:v>0</ns0:v>
      </ns0:c>
      <ns0:c r="H898" s="0">
        <ns0:f>IF(OR(F898&lt;&gt;"OK",$B$6&gt;0),0,0.5*(IF((MIN('_Dates'!X898,Settings!$B$9))&lt;('_Dates'!W898),0,INT(((MIN('_Dates'!X898,Settings!$B$9))-('_Dates'!W898)+1)/7)*LEN(SUBSTITUTE(W898,"O",""))+LEN(SUBSTITUTE(MID(W898&amp;W898,WEEKDAY(('_Dates'!W898),2),MOD(((MIN('_Dates'!X898,Settings!$B$9))-('_Dates'!W898)+1),7)),"O",""))-COUNTIFS(INDEX(AllClosureRows,C898,0),"&gt;="&amp;('_Dates'!W898),INDEX(AllClosureRows,C898,0),"&lt;="&amp;(MIN('_Dates'!X898,Settings!$B$9))))+IF((MIN('_Dates'!Z898,Settings!$B$9))&lt;('_Dates'!Y898),0,INT(((MIN('_Dates'!Z898,Settings!$B$9))-('_Dates'!Y898)+1)/7)*LEN(SUBSTITUTE(W898,"O",""))+LEN(SUBSTITUTE(MID(W898&amp;W898,WEEKDAY(('_Dates'!Y898),2),MOD(((MIN('_Dates'!Z898,Settings!$B$9))-('_Dates'!Y898)+1),7)),"O",""))-COUNTIFS(INDEX(AllClosureRows,C898,0),"&gt;="&amp;('_Dates'!Y898),INDEX(AllClosureRows,C898,0),"&lt;="&amp;(MIN('_Dates'!Z898,Settings!$B$9))))))</ns0:f>
        <ns0:v>0</ns0:v>
      </ns0:c>
      <ns0:c r="I898" s="0">
        <ns0:f>MAX(0,G898-H898)</ns0:f>
        <ns0:v>0</ns0:v>
      </ns0:c>
      <ns0:c r="J898" s="0">
        <ns0:f>IF(OR(A898=0,F898&lt;&gt;"OK",Bookings!G898="Cancelled",$B$6&gt;0),0,IF('_Dates'!AC898=1,MAX(0,COUNTIFS(rngEngine_B,B898,rngAMStart,"&lt;="&amp;'_Dates'!X898,rngAMEnd,"&gt;="&amp;'_Dates'!W898,rngAMActive,1,rngEngine_F,"OK",rngBookings_F,"&lt;&gt;Cancelled")-1),0)+IF('_Dates'!AD898=1,MAX(0,COUNTIFS(rngEngine_B,B898,rngPMStart,"&lt;="&amp;'_Dates'!Z898,rngPMEnd,"&gt;="&amp;'_Dates'!Y898,rngPMActive,1,rngEngine_F,"OK",rngBookings_F,"&lt;&gt;Cancelled")-1),0))</ns0:f>
        <ns0:v>0</ns0:v>
      </ns0:c>
      <ns0:c r="K898" s="0" t="str">
        <ns0:f>IF(A898=0,"",IF(F898&lt;&gt;"OK",F898,IF(J898&gt;0,"CHECK overlapping entry",IF(AND($B$6=0,G898&lt;=0,Bookings!G898&lt;&gt;"Cancelled"),"CHECK no working days",IF(Bookings!G898="Cancelled","Cancelled","OK")))))</ns0:f>
        <ns0:v/>
      </ns0:c>
      <ns0:c r="L898" s="0">
        <ns0:f>IF(LEFT(K898,5)="CHECK",1,0)</ns0:f>
        <ns0:v>0</ns0:v>
      </ns0:c>
      <ns0:c r="M898" s="0">
        <ns0:f>IF(AND(L898=1,OR(C898=0,IFERROR(INDEX($X$11:$X$60,C898),0)=0)),1,0)</ns0:f>
        <ns0:v>0</ns0:v>
      </ns0:c>
      <ns0:c r="N898" s="0">
        <ns0:f>IF(OR(A898=0,L898&gt;0,$B$6&gt;0,Bookings!G898="Cancelled"),0,G898)</ns0:f>
        <ns0:v>0</ns0:v>
      </ns0:c>
      <ns0:c r="O898" s="0">
        <ns0:f>IF(AND(Bookings!G898="Approved",E898="Yes"),N898,0)</ns0:f>
        <ns0:v>0</ns0:v>
      </ns0:c>
      <ns0:c r="P898" s="0">
        <ns0:f>IF(AND(Bookings!G898="Approved",E898="Yes",L898=0,$B$6=0),H898,0)</ns0:f>
        <ns0:v>0</ns0:v>
      </ns0:c>
      <ns0:c r="Q898" s="0">
        <ns0:f>IF(AND(Bookings!G898="Approved",E898="Yes",L898=0,$B$6=0),I898,0)</ns0:f>
        <ns0:v>0</ns0:v>
      </ns0:c>
      <ns0:c r="R898" s="0">
        <ns0:f>IF(AND(Bookings!G898="Pending",E898="Yes"),N898,0)</ns0:f>
        <ns0:v>0</ns0:v>
      </ns0:c>
      <ns0:c r="S898" s="0">
        <ns0:f>IF(AND(Bookings!G898="Approved",E898="No"),N898,0)</ns0:f>
        <ns0:v>0</ns0:v>
      </ns0:c>
      <ns0:c r="T898" s="0">
        <ns0:f>IFERROR(MATCH(D898,Settings!$G$7:$G$11,0),0)</ns0:f>
        <ns0:v>0</ns0:v>
      </ns0:c>
      <ns0:c r="U898" s="0">
        <ns0:f>IF(N898&gt;0,T898+IF(Bookings!G898="Pending",10,0),0)</ns0:f>
        <ns0:v>0</ns0:v>
      </ns0:c>
      <ns0:c r="V898" s="0">
        <ns0:f>U898</ns0:f>
        <ns0:v>0</ns0:v>
      </ns0:c>
      <ns0:c r="W898" s="0" t="str">
        <ns0:f>IF(C898=0,"",INDEX($AP$11:$AP$60,C898))</ns0:f>
        <ns0:v/>
      </ns0:c>
    </ns0:row>
    <ns0:row r="899">
      <ns0:c r="A899" s="0">
        <ns0:f>IF(COUNTA(Bookings!A899:G899,Bookings!I899)=0,0,1)</ns0:f>
        <ns0:v>0</ns0:v>
      </ns0:c>
      <ns0:c r="B899" s="0" t="str">
        <ns0:f>IFERROR(TRIM(MID(Bookings!A899,FIND(" · ",Bookings!A899)+3,99)),"")</ns0:f>
        <ns0:v/>
      </ns0:c>
      <ns0:c r="C899" s="0">
        <ns0:f>IF(OR(B899="",LEN(B899)&gt;24,ISNUMBER(FIND(" ",B899)),ISNUMBER(FIND("*",B899)),ISNUMBER(FIND("?",B899)),ISNUMBER(FIND("~",B899))),0,IFERROR(MATCH(B899,Team!$A$11:$A$60,0),0))</ns0:f>
        <ns0:v>0</ns0:v>
      </ns0:c>
      <ns0:c r="D899" s="0" t="str">
        <ns0:f>IFERROR(IF(MID(Bookings!F899,LEN(Bookings!F899)-3,3)=" · ",RIGHT(Bookings!F899,1),""),"")</ns0:f>
        <ns0:v/>
      </ns0:c>
      <ns0:c r="E899" s="0" t="str">
        <ns0:f>IFERROR(INDEX(Settings!$H$7:$H$11,MATCH(D899,Settings!$G$7:$G$11,0)),"")</ns0:f>
        <ns0:v/>
      </ns0:c>
      <ns0:c r="F899" s="0" t="str">
        <ns0:f>IF(A899=0,"",IFERROR(IF(OR(B899="",C899=0),"CHECK employee selection",IF(INDEX(Team!$O$11:$O$60,C899)&lt;&gt;"OK","CHECK employee setup",IF(OR('_Dates'!J899=0,'_Dates'!T899=0),"CHECK date: use DD.MM.YYYY",IF('_Dates'!T899&lt;'_Dates'!J899,"CHECK end before start",IF(AND($B$6=0,OR('_Dates'!J899&lt;Settings!$B$7,'_Dates'!T899&gt;Settings!$B$8)),"CHECK split across leave years",IF(OR(NOT(OR('_Dates'!U899="Full day",'_Dates'!U899="AM",'_Dates'!U899="PM")),NOT(OR('_Dates'!V899="Full day",'_Dates'!V899="AM",'_Dates'!V899="PM"))),"CHECK Full day / AM / PM",IF(AND('_Dates'!J899='_Dates'!T899,'_Dates'!U899&lt;&gt;"Full day",'_Dates'!V899&lt;&gt;"Full day",'_Dates'!U899&lt;&gt;'_Dates'!V899),"CHECK same-day portions disagree",IF(AND($B$6=0,OR(AND('_Dates'!U899&lt;&gt;"Full day",'_Dates'!AA899=0),AND('_Dates'!V899&lt;&gt;"Full day",'_Dates'!AB899=0))),"CHECK half-day on non-working date",IF(COUNTIF(Settings!$G$7:$G$11,D899)&lt;&gt;1,"CHECK leave type",IF(AND(Bookings!G899&lt;&gt;"Approved",Bookings!G899&lt;&gt;"Pending",Bookings!G899&lt;&gt;"Cancelled"),"CHECK status","OK")))))))))),"CHECK input"))</ns0:f>
        <ns0:v/>
      </ns0:c>
      <ns0:c r="G899" s="0">
        <ns0:f>IF(OR(F899&lt;&gt;"OK",$B$6&gt;0),0,0.5*(IF(('_Dates'!X899)&lt;('_Dates'!W899),0,INT((('_Dates'!X899)-('_Dates'!W899)+1)/7)*LEN(SUBSTITUTE(W899,"O",""))+LEN(SUBSTITUTE(MID(W899&amp;W899,WEEKDAY(('_Dates'!W899),2),MOD((('_Dates'!X899)-('_Dates'!W899)+1),7)),"O",""))-COUNTIFS(INDEX(AllClosureRows,C899,0),"&gt;="&amp;('_Dates'!W899),INDEX(AllClosureRows,C899,0),"&lt;="&amp;('_Dates'!X899)))+IF(('_Dates'!Z899)&lt;('_Dates'!Y899),0,INT((('_Dates'!Z899)-('_Dates'!Y899)+1)/7)*LEN(SUBSTITUTE(W899,"O",""))+LEN(SUBSTITUTE(MID(W899&amp;W899,WEEKDAY(('_Dates'!Y899),2),MOD((('_Dates'!Z899)-('_Dates'!Y899)+1),7)),"O",""))-COUNTIFS(INDEX(AllClosureRows,C899,0),"&gt;="&amp;('_Dates'!Y899),INDEX(AllClosureRows,C899,0),"&lt;="&amp;('_Dates'!Z899)))))</ns0:f>
        <ns0:v>0</ns0:v>
      </ns0:c>
      <ns0:c r="H899" s="0">
        <ns0:f>IF(OR(F899&lt;&gt;"OK",$B$6&gt;0),0,0.5*(IF((MIN('_Dates'!X899,Settings!$B$9))&lt;('_Dates'!W899),0,INT(((MIN('_Dates'!X899,Settings!$B$9))-('_Dates'!W899)+1)/7)*LEN(SUBSTITUTE(W899,"O",""))+LEN(SUBSTITUTE(MID(W899&amp;W899,WEEKDAY(('_Dates'!W899),2),MOD(((MIN('_Dates'!X899,Settings!$B$9))-('_Dates'!W899)+1),7)),"O",""))-COUNTIFS(INDEX(AllClosureRows,C899,0),"&gt;="&amp;('_Dates'!W899),INDEX(AllClosureRows,C899,0),"&lt;="&amp;(MIN('_Dates'!X899,Settings!$B$9))))+IF((MIN('_Dates'!Z899,Settings!$B$9))&lt;('_Dates'!Y899),0,INT(((MIN('_Dates'!Z899,Settings!$B$9))-('_Dates'!Y899)+1)/7)*LEN(SUBSTITUTE(W899,"O",""))+LEN(SUBSTITUTE(MID(W899&amp;W899,WEEKDAY(('_Dates'!Y899),2),MOD(((MIN('_Dates'!Z899,Settings!$B$9))-('_Dates'!Y899)+1),7)),"O",""))-COUNTIFS(INDEX(AllClosureRows,C899,0),"&gt;="&amp;('_Dates'!Y899),INDEX(AllClosureRows,C899,0),"&lt;="&amp;(MIN('_Dates'!Z899,Settings!$B$9))))))</ns0:f>
        <ns0:v>0</ns0:v>
      </ns0:c>
      <ns0:c r="I899" s="0">
        <ns0:f>MAX(0,G899-H899)</ns0:f>
        <ns0:v>0</ns0:v>
      </ns0:c>
      <ns0:c r="J899" s="0">
        <ns0:f>IF(OR(A899=0,F899&lt;&gt;"OK",Bookings!G899="Cancelled",$B$6&gt;0),0,IF('_Dates'!AC899=1,MAX(0,COUNTIFS(rngEngine_B,B899,rngAMStart,"&lt;="&amp;'_Dates'!X899,rngAMEnd,"&gt;="&amp;'_Dates'!W899,rngAMActive,1,rngEngine_F,"OK",rngBookings_F,"&lt;&gt;Cancelled")-1),0)+IF('_Dates'!AD899=1,MAX(0,COUNTIFS(rngEngine_B,B899,rngPMStart,"&lt;="&amp;'_Dates'!Z899,rngPMEnd,"&gt;="&amp;'_Dates'!Y899,rngPMActive,1,rngEngine_F,"OK",rngBookings_F,"&lt;&gt;Cancelled")-1),0))</ns0:f>
        <ns0:v>0</ns0:v>
      </ns0:c>
      <ns0:c r="K899" s="0" t="str">
        <ns0:f>IF(A899=0,"",IF(F899&lt;&gt;"OK",F899,IF(J899&gt;0,"CHECK overlapping entry",IF(AND($B$6=0,G899&lt;=0,Bookings!G899&lt;&gt;"Cancelled"),"CHECK no working days",IF(Bookings!G899="Cancelled","Cancelled","OK")))))</ns0:f>
        <ns0:v/>
      </ns0:c>
      <ns0:c r="L899" s="0">
        <ns0:f>IF(LEFT(K899,5)="CHECK",1,0)</ns0:f>
        <ns0:v>0</ns0:v>
      </ns0:c>
      <ns0:c r="M899" s="0">
        <ns0:f>IF(AND(L899=1,OR(C899=0,IFERROR(INDEX($X$11:$X$60,C899),0)=0)),1,0)</ns0:f>
        <ns0:v>0</ns0:v>
      </ns0:c>
      <ns0:c r="N899" s="0">
        <ns0:f>IF(OR(A899=0,L899&gt;0,$B$6&gt;0,Bookings!G899="Cancelled"),0,G899)</ns0:f>
        <ns0:v>0</ns0:v>
      </ns0:c>
      <ns0:c r="O899" s="0">
        <ns0:f>IF(AND(Bookings!G899="Approved",E899="Yes"),N899,0)</ns0:f>
        <ns0:v>0</ns0:v>
      </ns0:c>
      <ns0:c r="P899" s="0">
        <ns0:f>IF(AND(Bookings!G899="Approved",E899="Yes",L899=0,$B$6=0),H899,0)</ns0:f>
        <ns0:v>0</ns0:v>
      </ns0:c>
      <ns0:c r="Q899" s="0">
        <ns0:f>IF(AND(Bookings!G899="Approved",E899="Yes",L899=0,$B$6=0),I899,0)</ns0:f>
        <ns0:v>0</ns0:v>
      </ns0:c>
      <ns0:c r="R899" s="0">
        <ns0:f>IF(AND(Bookings!G899="Pending",E899="Yes"),N899,0)</ns0:f>
        <ns0:v>0</ns0:v>
      </ns0:c>
      <ns0:c r="S899" s="0">
        <ns0:f>IF(AND(Bookings!G899="Approved",E899="No"),N899,0)</ns0:f>
        <ns0:v>0</ns0:v>
      </ns0:c>
      <ns0:c r="T899" s="0">
        <ns0:f>IFERROR(MATCH(D899,Settings!$G$7:$G$11,0),0)</ns0:f>
        <ns0:v>0</ns0:v>
      </ns0:c>
      <ns0:c r="U899" s="0">
        <ns0:f>IF(N899&gt;0,T899+IF(Bookings!G899="Pending",10,0),0)</ns0:f>
        <ns0:v>0</ns0:v>
      </ns0:c>
      <ns0:c r="V899" s="0">
        <ns0:f>U899</ns0:f>
        <ns0:v>0</ns0:v>
      </ns0:c>
      <ns0:c r="W899" s="0" t="str">
        <ns0:f>IF(C899=0,"",INDEX($AP$11:$AP$60,C899))</ns0:f>
        <ns0:v/>
      </ns0:c>
    </ns0:row>
    <ns0:row r="900">
      <ns0:c r="A900" s="0">
        <ns0:f>IF(COUNTA(Bookings!A900:G900,Bookings!I900)=0,0,1)</ns0:f>
        <ns0:v>0</ns0:v>
      </ns0:c>
      <ns0:c r="B900" s="0" t="str">
        <ns0:f>IFERROR(TRIM(MID(Bookings!A900,FIND(" · ",Bookings!A900)+3,99)),"")</ns0:f>
        <ns0:v/>
      </ns0:c>
      <ns0:c r="C900" s="0">
        <ns0:f>IF(OR(B900="",LEN(B900)&gt;24,ISNUMBER(FIND(" ",B900)),ISNUMBER(FIND("*",B900)),ISNUMBER(FIND("?",B900)),ISNUMBER(FIND("~",B900))),0,IFERROR(MATCH(B900,Team!$A$11:$A$60,0),0))</ns0:f>
        <ns0:v>0</ns0:v>
      </ns0:c>
      <ns0:c r="D900" s="0" t="str">
        <ns0:f>IFERROR(IF(MID(Bookings!F900,LEN(Bookings!F900)-3,3)=" · ",RIGHT(Bookings!F900,1),""),"")</ns0:f>
        <ns0:v/>
      </ns0:c>
      <ns0:c r="E900" s="0" t="str">
        <ns0:f>IFERROR(INDEX(Settings!$H$7:$H$11,MATCH(D900,Settings!$G$7:$G$11,0)),"")</ns0:f>
        <ns0:v/>
      </ns0:c>
      <ns0:c r="F900" s="0" t="str">
        <ns0:f>IF(A900=0,"",IFERROR(IF(OR(B900="",C900=0),"CHECK employee selection",IF(INDEX(Team!$O$11:$O$60,C900)&lt;&gt;"OK","CHECK employee setup",IF(OR('_Dates'!J900=0,'_Dates'!T900=0),"CHECK date: use DD.MM.YYYY",IF('_Dates'!T900&lt;'_Dates'!J900,"CHECK end before start",IF(AND($B$6=0,OR('_Dates'!J900&lt;Settings!$B$7,'_Dates'!T900&gt;Settings!$B$8)),"CHECK split across leave years",IF(OR(NOT(OR('_Dates'!U900="Full day",'_Dates'!U900="AM",'_Dates'!U900="PM")),NOT(OR('_Dates'!V900="Full day",'_Dates'!V900="AM",'_Dates'!V900="PM"))),"CHECK Full day / AM / PM",IF(AND('_Dates'!J900='_Dates'!T900,'_Dates'!U900&lt;&gt;"Full day",'_Dates'!V900&lt;&gt;"Full day",'_Dates'!U900&lt;&gt;'_Dates'!V900),"CHECK same-day portions disagree",IF(AND($B$6=0,OR(AND('_Dates'!U900&lt;&gt;"Full day",'_Dates'!AA900=0),AND('_Dates'!V900&lt;&gt;"Full day",'_Dates'!AB900=0))),"CHECK half-day on non-working date",IF(COUNTIF(Settings!$G$7:$G$11,D900)&lt;&gt;1,"CHECK leave type",IF(AND(Bookings!G900&lt;&gt;"Approved",Bookings!G900&lt;&gt;"Pending",Bookings!G900&lt;&gt;"Cancelled"),"CHECK status","OK")))))))))),"CHECK input"))</ns0:f>
        <ns0:v/>
      </ns0:c>
      <ns0:c r="G900" s="0">
        <ns0:f>IF(OR(F900&lt;&gt;"OK",$B$6&gt;0),0,0.5*(IF(('_Dates'!X900)&lt;('_Dates'!W900),0,INT((('_Dates'!X900)-('_Dates'!W900)+1)/7)*LEN(SUBSTITUTE(W900,"O",""))+LEN(SUBSTITUTE(MID(W900&amp;W900,WEEKDAY(('_Dates'!W900),2),MOD((('_Dates'!X900)-('_Dates'!W900)+1),7)),"O",""))-COUNTIFS(INDEX(AllClosureRows,C900,0),"&gt;="&amp;('_Dates'!W900),INDEX(AllClosureRows,C900,0),"&lt;="&amp;('_Dates'!X900)))+IF(('_Dates'!Z900)&lt;('_Dates'!Y900),0,INT((('_Dates'!Z900)-('_Dates'!Y900)+1)/7)*LEN(SUBSTITUTE(W900,"O",""))+LEN(SUBSTITUTE(MID(W900&amp;W900,WEEKDAY(('_Dates'!Y900),2),MOD((('_Dates'!Z900)-('_Dates'!Y900)+1),7)),"O",""))-COUNTIFS(INDEX(AllClosureRows,C900,0),"&gt;="&amp;('_Dates'!Y900),INDEX(AllClosureRows,C900,0),"&lt;="&amp;('_Dates'!Z900)))))</ns0:f>
        <ns0:v>0</ns0:v>
      </ns0:c>
      <ns0:c r="H900" s="0">
        <ns0:f>IF(OR(F900&lt;&gt;"OK",$B$6&gt;0),0,0.5*(IF((MIN('_Dates'!X900,Settings!$B$9))&lt;('_Dates'!W900),0,INT(((MIN('_Dates'!X900,Settings!$B$9))-('_Dates'!W900)+1)/7)*LEN(SUBSTITUTE(W900,"O",""))+LEN(SUBSTITUTE(MID(W900&amp;W900,WEEKDAY(('_Dates'!W900),2),MOD(((MIN('_Dates'!X900,Settings!$B$9))-('_Dates'!W900)+1),7)),"O",""))-COUNTIFS(INDEX(AllClosureRows,C900,0),"&gt;="&amp;('_Dates'!W900),INDEX(AllClosureRows,C900,0),"&lt;="&amp;(MIN('_Dates'!X900,Settings!$B$9))))+IF((MIN('_Dates'!Z900,Settings!$B$9))&lt;('_Dates'!Y900),0,INT(((MIN('_Dates'!Z900,Settings!$B$9))-('_Dates'!Y900)+1)/7)*LEN(SUBSTITUTE(W900,"O",""))+LEN(SUBSTITUTE(MID(W900&amp;W900,WEEKDAY(('_Dates'!Y900),2),MOD(((MIN('_Dates'!Z900,Settings!$B$9))-('_Dates'!Y900)+1),7)),"O",""))-COUNTIFS(INDEX(AllClosureRows,C900,0),"&gt;="&amp;('_Dates'!Y900),INDEX(AllClosureRows,C900,0),"&lt;="&amp;(MIN('_Dates'!Z900,Settings!$B$9))))))</ns0:f>
        <ns0:v>0</ns0:v>
      </ns0:c>
      <ns0:c r="I900" s="0">
        <ns0:f>MAX(0,G900-H900)</ns0:f>
        <ns0:v>0</ns0:v>
      </ns0:c>
      <ns0:c r="J900" s="0">
        <ns0:f>IF(OR(A900=0,F900&lt;&gt;"OK",Bookings!G900="Cancelled",$B$6&gt;0),0,IF('_Dates'!AC900=1,MAX(0,COUNTIFS(rngEngine_B,B900,rngAMStart,"&lt;="&amp;'_Dates'!X900,rngAMEnd,"&gt;="&amp;'_Dates'!W900,rngAMActive,1,rngEngine_F,"OK",rngBookings_F,"&lt;&gt;Cancelled")-1),0)+IF('_Dates'!AD900=1,MAX(0,COUNTIFS(rngEngine_B,B900,rngPMStart,"&lt;="&amp;'_Dates'!Z900,rngPMEnd,"&gt;="&amp;'_Dates'!Y900,rngPMActive,1,rngEngine_F,"OK",rngBookings_F,"&lt;&gt;Cancelled")-1),0))</ns0:f>
        <ns0:v>0</ns0:v>
      </ns0:c>
      <ns0:c r="K900" s="0" t="str">
        <ns0:f>IF(A900=0,"",IF(F900&lt;&gt;"OK",F900,IF(J900&gt;0,"CHECK overlapping entry",IF(AND($B$6=0,G900&lt;=0,Bookings!G900&lt;&gt;"Cancelled"),"CHECK no working days",IF(Bookings!G900="Cancelled","Cancelled","OK")))))</ns0:f>
        <ns0:v/>
      </ns0:c>
      <ns0:c r="L900" s="0">
        <ns0:f>IF(LEFT(K900,5)="CHECK",1,0)</ns0:f>
        <ns0:v>0</ns0:v>
      </ns0:c>
      <ns0:c r="M900" s="0">
        <ns0:f>IF(AND(L900=1,OR(C900=0,IFERROR(INDEX($X$11:$X$60,C900),0)=0)),1,0)</ns0:f>
        <ns0:v>0</ns0:v>
      </ns0:c>
      <ns0:c r="N900" s="0">
        <ns0:f>IF(OR(A900=0,L900&gt;0,$B$6&gt;0,Bookings!G900="Cancelled"),0,G900)</ns0:f>
        <ns0:v>0</ns0:v>
      </ns0:c>
      <ns0:c r="O900" s="0">
        <ns0:f>IF(AND(Bookings!G900="Approved",E900="Yes"),N900,0)</ns0:f>
        <ns0:v>0</ns0:v>
      </ns0:c>
      <ns0:c r="P900" s="0">
        <ns0:f>IF(AND(Bookings!G900="Approved",E900="Yes",L900=0,$B$6=0),H900,0)</ns0:f>
        <ns0:v>0</ns0:v>
      </ns0:c>
      <ns0:c r="Q900" s="0">
        <ns0:f>IF(AND(Bookings!G900="Approved",E900="Yes",L900=0,$B$6=0),I900,0)</ns0:f>
        <ns0:v>0</ns0:v>
      </ns0:c>
      <ns0:c r="R900" s="0">
        <ns0:f>IF(AND(Bookings!G900="Pending",E900="Yes"),N900,0)</ns0:f>
        <ns0:v>0</ns0:v>
      </ns0:c>
      <ns0:c r="S900" s="0">
        <ns0:f>IF(AND(Bookings!G900="Approved",E900="No"),N900,0)</ns0:f>
        <ns0:v>0</ns0:v>
      </ns0:c>
      <ns0:c r="T900" s="0">
        <ns0:f>IFERROR(MATCH(D900,Settings!$G$7:$G$11,0),0)</ns0:f>
        <ns0:v>0</ns0:v>
      </ns0:c>
      <ns0:c r="U900" s="0">
        <ns0:f>IF(N900&gt;0,T900+IF(Bookings!G900="Pending",10,0),0)</ns0:f>
        <ns0:v>0</ns0:v>
      </ns0:c>
      <ns0:c r="V900" s="0">
        <ns0:f>U900</ns0:f>
        <ns0:v>0</ns0:v>
      </ns0:c>
      <ns0:c r="W900" s="0" t="str">
        <ns0:f>IF(C900=0,"",INDEX($AP$11:$AP$60,C900))</ns0:f>
        <ns0:v/>
      </ns0:c>
    </ns0:row>
    <ns0:row r="901">
      <ns0:c r="A901" s="0">
        <ns0:f>IF(COUNTA(Bookings!A901:G901,Bookings!I901)=0,0,1)</ns0:f>
        <ns0:v>0</ns0:v>
      </ns0:c>
      <ns0:c r="B901" s="0" t="str">
        <ns0:f>IFERROR(TRIM(MID(Bookings!A901,FIND(" · ",Bookings!A901)+3,99)),"")</ns0:f>
        <ns0:v/>
      </ns0:c>
      <ns0:c r="C901" s="0">
        <ns0:f>IF(OR(B901="",LEN(B901)&gt;24,ISNUMBER(FIND(" ",B901)),ISNUMBER(FIND("*",B901)),ISNUMBER(FIND("?",B901)),ISNUMBER(FIND("~",B901))),0,IFERROR(MATCH(B901,Team!$A$11:$A$60,0),0))</ns0:f>
        <ns0:v>0</ns0:v>
      </ns0:c>
      <ns0:c r="D901" s="0" t="str">
        <ns0:f>IFERROR(IF(MID(Bookings!F901,LEN(Bookings!F901)-3,3)=" · ",RIGHT(Bookings!F901,1),""),"")</ns0:f>
        <ns0:v/>
      </ns0:c>
      <ns0:c r="E901" s="0" t="str">
        <ns0:f>IFERROR(INDEX(Settings!$H$7:$H$11,MATCH(D901,Settings!$G$7:$G$11,0)),"")</ns0:f>
        <ns0:v/>
      </ns0:c>
      <ns0:c r="F901" s="0" t="str">
        <ns0:f>IF(A901=0,"",IFERROR(IF(OR(B901="",C901=0),"CHECK employee selection",IF(INDEX(Team!$O$11:$O$60,C901)&lt;&gt;"OK","CHECK employee setup",IF(OR('_Dates'!J901=0,'_Dates'!T901=0),"CHECK date: use DD.MM.YYYY",IF('_Dates'!T901&lt;'_Dates'!J901,"CHECK end before start",IF(AND($B$6=0,OR('_Dates'!J901&lt;Settings!$B$7,'_Dates'!T901&gt;Settings!$B$8)),"CHECK split across leave years",IF(OR(NOT(OR('_Dates'!U901="Full day",'_Dates'!U901="AM",'_Dates'!U901="PM")),NOT(OR('_Dates'!V901="Full day",'_Dates'!V901="AM",'_Dates'!V901="PM"))),"CHECK Full day / AM / PM",IF(AND('_Dates'!J901='_Dates'!T901,'_Dates'!U901&lt;&gt;"Full day",'_Dates'!V901&lt;&gt;"Full day",'_Dates'!U901&lt;&gt;'_Dates'!V901),"CHECK same-day portions disagree",IF(AND($B$6=0,OR(AND('_Dates'!U901&lt;&gt;"Full day",'_Dates'!AA901=0),AND('_Dates'!V901&lt;&gt;"Full day",'_Dates'!AB901=0))),"CHECK half-day on non-working date",IF(COUNTIF(Settings!$G$7:$G$11,D901)&lt;&gt;1,"CHECK leave type",IF(AND(Bookings!G901&lt;&gt;"Approved",Bookings!G901&lt;&gt;"Pending",Bookings!G901&lt;&gt;"Cancelled"),"CHECK status","OK")))))))))),"CHECK input"))</ns0:f>
        <ns0:v/>
      </ns0:c>
      <ns0:c r="G901" s="0">
        <ns0:f>IF(OR(F901&lt;&gt;"OK",$B$6&gt;0),0,0.5*(IF(('_Dates'!X901)&lt;('_Dates'!W901),0,INT((('_Dates'!X901)-('_Dates'!W901)+1)/7)*LEN(SUBSTITUTE(W901,"O",""))+LEN(SUBSTITUTE(MID(W901&amp;W901,WEEKDAY(('_Dates'!W901),2),MOD((('_Dates'!X901)-('_Dates'!W901)+1),7)),"O",""))-COUNTIFS(INDEX(AllClosureRows,C901,0),"&gt;="&amp;('_Dates'!W901),INDEX(AllClosureRows,C901,0),"&lt;="&amp;('_Dates'!X901)))+IF(('_Dates'!Z901)&lt;('_Dates'!Y901),0,INT((('_Dates'!Z901)-('_Dates'!Y901)+1)/7)*LEN(SUBSTITUTE(W901,"O",""))+LEN(SUBSTITUTE(MID(W901&amp;W901,WEEKDAY(('_Dates'!Y901),2),MOD((('_Dates'!Z901)-('_Dates'!Y901)+1),7)),"O",""))-COUNTIFS(INDEX(AllClosureRows,C901,0),"&gt;="&amp;('_Dates'!Y901),INDEX(AllClosureRows,C901,0),"&lt;="&amp;('_Dates'!Z901)))))</ns0:f>
        <ns0:v>0</ns0:v>
      </ns0:c>
      <ns0:c r="H901" s="0">
        <ns0:f>IF(OR(F901&lt;&gt;"OK",$B$6&gt;0),0,0.5*(IF((MIN('_Dates'!X901,Settings!$B$9))&lt;('_Dates'!W901),0,INT(((MIN('_Dates'!X901,Settings!$B$9))-('_Dates'!W901)+1)/7)*LEN(SUBSTITUTE(W901,"O",""))+LEN(SUBSTITUTE(MID(W901&amp;W901,WEEKDAY(('_Dates'!W901),2),MOD(((MIN('_Dates'!X901,Settings!$B$9))-('_Dates'!W901)+1),7)),"O",""))-COUNTIFS(INDEX(AllClosureRows,C901,0),"&gt;="&amp;('_Dates'!W901),INDEX(AllClosureRows,C901,0),"&lt;="&amp;(MIN('_Dates'!X901,Settings!$B$9))))+IF((MIN('_Dates'!Z901,Settings!$B$9))&lt;('_Dates'!Y901),0,INT(((MIN('_Dates'!Z901,Settings!$B$9))-('_Dates'!Y901)+1)/7)*LEN(SUBSTITUTE(W901,"O",""))+LEN(SUBSTITUTE(MID(W901&amp;W901,WEEKDAY(('_Dates'!Y901),2),MOD(((MIN('_Dates'!Z901,Settings!$B$9))-('_Dates'!Y901)+1),7)),"O",""))-COUNTIFS(INDEX(AllClosureRows,C901,0),"&gt;="&amp;('_Dates'!Y901),INDEX(AllClosureRows,C901,0),"&lt;="&amp;(MIN('_Dates'!Z901,Settings!$B$9))))))</ns0:f>
        <ns0:v>0</ns0:v>
      </ns0:c>
      <ns0:c r="I901" s="0">
        <ns0:f>MAX(0,G901-H901)</ns0:f>
        <ns0:v>0</ns0:v>
      </ns0:c>
      <ns0:c r="J901" s="0">
        <ns0:f>IF(OR(A901=0,F901&lt;&gt;"OK",Bookings!G901="Cancelled",$B$6&gt;0),0,IF('_Dates'!AC901=1,MAX(0,COUNTIFS(rngEngine_B,B901,rngAMStart,"&lt;="&amp;'_Dates'!X901,rngAMEnd,"&gt;="&amp;'_Dates'!W901,rngAMActive,1,rngEngine_F,"OK",rngBookings_F,"&lt;&gt;Cancelled")-1),0)+IF('_Dates'!AD901=1,MAX(0,COUNTIFS(rngEngine_B,B901,rngPMStart,"&lt;="&amp;'_Dates'!Z901,rngPMEnd,"&gt;="&amp;'_Dates'!Y901,rngPMActive,1,rngEngine_F,"OK",rngBookings_F,"&lt;&gt;Cancelled")-1),0))</ns0:f>
        <ns0:v>0</ns0:v>
      </ns0:c>
      <ns0:c r="K901" s="0" t="str">
        <ns0:f>IF(A901=0,"",IF(F901&lt;&gt;"OK",F901,IF(J901&gt;0,"CHECK overlapping entry",IF(AND($B$6=0,G901&lt;=0,Bookings!G901&lt;&gt;"Cancelled"),"CHECK no working days",IF(Bookings!G901="Cancelled","Cancelled","OK")))))</ns0:f>
        <ns0:v/>
      </ns0:c>
      <ns0:c r="L901" s="0">
        <ns0:f>IF(LEFT(K901,5)="CHECK",1,0)</ns0:f>
        <ns0:v>0</ns0:v>
      </ns0:c>
      <ns0:c r="M901" s="0">
        <ns0:f>IF(AND(L901=1,OR(C901=0,IFERROR(INDEX($X$11:$X$60,C901),0)=0)),1,0)</ns0:f>
        <ns0:v>0</ns0:v>
      </ns0:c>
      <ns0:c r="N901" s="0">
        <ns0:f>IF(OR(A901=0,L901&gt;0,$B$6&gt;0,Bookings!G901="Cancelled"),0,G901)</ns0:f>
        <ns0:v>0</ns0:v>
      </ns0:c>
      <ns0:c r="O901" s="0">
        <ns0:f>IF(AND(Bookings!G901="Approved",E901="Yes"),N901,0)</ns0:f>
        <ns0:v>0</ns0:v>
      </ns0:c>
      <ns0:c r="P901" s="0">
        <ns0:f>IF(AND(Bookings!G901="Approved",E901="Yes",L901=0,$B$6=0),H901,0)</ns0:f>
        <ns0:v>0</ns0:v>
      </ns0:c>
      <ns0:c r="Q901" s="0">
        <ns0:f>IF(AND(Bookings!G901="Approved",E901="Yes",L901=0,$B$6=0),I901,0)</ns0:f>
        <ns0:v>0</ns0:v>
      </ns0:c>
      <ns0:c r="R901" s="0">
        <ns0:f>IF(AND(Bookings!G901="Pending",E901="Yes"),N901,0)</ns0:f>
        <ns0:v>0</ns0:v>
      </ns0:c>
      <ns0:c r="S901" s="0">
        <ns0:f>IF(AND(Bookings!G901="Approved",E901="No"),N901,0)</ns0:f>
        <ns0:v>0</ns0:v>
      </ns0:c>
      <ns0:c r="T901" s="0">
        <ns0:f>IFERROR(MATCH(D901,Settings!$G$7:$G$11,0),0)</ns0:f>
        <ns0:v>0</ns0:v>
      </ns0:c>
      <ns0:c r="U901" s="0">
        <ns0:f>IF(N901&gt;0,T901+IF(Bookings!G901="Pending",10,0),0)</ns0:f>
        <ns0:v>0</ns0:v>
      </ns0:c>
      <ns0:c r="V901" s="0">
        <ns0:f>U901</ns0:f>
        <ns0:v>0</ns0:v>
      </ns0:c>
      <ns0:c r="W901" s="0" t="str">
        <ns0:f>IF(C901=0,"",INDEX($AP$11:$AP$60,C901))</ns0:f>
        <ns0:v/>
      </ns0:c>
    </ns0:row>
    <ns0:row r="902">
      <ns0:c r="A902" s="0">
        <ns0:f>IF(COUNTA(Bookings!A902:G902,Bookings!I902)=0,0,1)</ns0:f>
        <ns0:v>0</ns0:v>
      </ns0:c>
      <ns0:c r="B902" s="0" t="str">
        <ns0:f>IFERROR(TRIM(MID(Bookings!A902,FIND(" · ",Bookings!A902)+3,99)),"")</ns0:f>
        <ns0:v/>
      </ns0:c>
      <ns0:c r="C902" s="0">
        <ns0:f>IF(OR(B902="",LEN(B902)&gt;24,ISNUMBER(FIND(" ",B902)),ISNUMBER(FIND("*",B902)),ISNUMBER(FIND("?",B902)),ISNUMBER(FIND("~",B902))),0,IFERROR(MATCH(B902,Team!$A$11:$A$60,0),0))</ns0:f>
        <ns0:v>0</ns0:v>
      </ns0:c>
      <ns0:c r="D902" s="0" t="str">
        <ns0:f>IFERROR(IF(MID(Bookings!F902,LEN(Bookings!F902)-3,3)=" · ",RIGHT(Bookings!F902,1),""),"")</ns0:f>
        <ns0:v/>
      </ns0:c>
      <ns0:c r="E902" s="0" t="str">
        <ns0:f>IFERROR(INDEX(Settings!$H$7:$H$11,MATCH(D902,Settings!$G$7:$G$11,0)),"")</ns0:f>
        <ns0:v/>
      </ns0:c>
      <ns0:c r="F902" s="0" t="str">
        <ns0:f>IF(A902=0,"",IFERROR(IF(OR(B902="",C902=0),"CHECK employee selection",IF(INDEX(Team!$O$11:$O$60,C902)&lt;&gt;"OK","CHECK employee setup",IF(OR('_Dates'!J902=0,'_Dates'!T902=0),"CHECK date: use DD.MM.YYYY",IF('_Dates'!T902&lt;'_Dates'!J902,"CHECK end before start",IF(AND($B$6=0,OR('_Dates'!J902&lt;Settings!$B$7,'_Dates'!T902&gt;Settings!$B$8)),"CHECK split across leave years",IF(OR(NOT(OR('_Dates'!U902="Full day",'_Dates'!U902="AM",'_Dates'!U902="PM")),NOT(OR('_Dates'!V902="Full day",'_Dates'!V902="AM",'_Dates'!V902="PM"))),"CHECK Full day / AM / PM",IF(AND('_Dates'!J902='_Dates'!T902,'_Dates'!U902&lt;&gt;"Full day",'_Dates'!V902&lt;&gt;"Full day",'_Dates'!U902&lt;&gt;'_Dates'!V902),"CHECK same-day portions disagree",IF(AND($B$6=0,OR(AND('_Dates'!U902&lt;&gt;"Full day",'_Dates'!AA902=0),AND('_Dates'!V902&lt;&gt;"Full day",'_Dates'!AB902=0))),"CHECK half-day on non-working date",IF(COUNTIF(Settings!$G$7:$G$11,D902)&lt;&gt;1,"CHECK leave type",IF(AND(Bookings!G902&lt;&gt;"Approved",Bookings!G902&lt;&gt;"Pending",Bookings!G902&lt;&gt;"Cancelled"),"CHECK status","OK")))))))))),"CHECK input"))</ns0:f>
        <ns0:v/>
      </ns0:c>
      <ns0:c r="G902" s="0">
        <ns0:f>IF(OR(F902&lt;&gt;"OK",$B$6&gt;0),0,0.5*(IF(('_Dates'!X902)&lt;('_Dates'!W902),0,INT((('_Dates'!X902)-('_Dates'!W902)+1)/7)*LEN(SUBSTITUTE(W902,"O",""))+LEN(SUBSTITUTE(MID(W902&amp;W902,WEEKDAY(('_Dates'!W902),2),MOD((('_Dates'!X902)-('_Dates'!W902)+1),7)),"O",""))-COUNTIFS(INDEX(AllClosureRows,C902,0),"&gt;="&amp;('_Dates'!W902),INDEX(AllClosureRows,C902,0),"&lt;="&amp;('_Dates'!X902)))+IF(('_Dates'!Z902)&lt;('_Dates'!Y902),0,INT((('_Dates'!Z902)-('_Dates'!Y902)+1)/7)*LEN(SUBSTITUTE(W902,"O",""))+LEN(SUBSTITUTE(MID(W902&amp;W902,WEEKDAY(('_Dates'!Y902),2),MOD((('_Dates'!Z902)-('_Dates'!Y902)+1),7)),"O",""))-COUNTIFS(INDEX(AllClosureRows,C902,0),"&gt;="&amp;('_Dates'!Y902),INDEX(AllClosureRows,C902,0),"&lt;="&amp;('_Dates'!Z902)))))</ns0:f>
        <ns0:v>0</ns0:v>
      </ns0:c>
      <ns0:c r="H902" s="0">
        <ns0:f>IF(OR(F902&lt;&gt;"OK",$B$6&gt;0),0,0.5*(IF((MIN('_Dates'!X902,Settings!$B$9))&lt;('_Dates'!W902),0,INT(((MIN('_Dates'!X902,Settings!$B$9))-('_Dates'!W902)+1)/7)*LEN(SUBSTITUTE(W902,"O",""))+LEN(SUBSTITUTE(MID(W902&amp;W902,WEEKDAY(('_Dates'!W902),2),MOD(((MIN('_Dates'!X902,Settings!$B$9))-('_Dates'!W902)+1),7)),"O",""))-COUNTIFS(INDEX(AllClosureRows,C902,0),"&gt;="&amp;('_Dates'!W902),INDEX(AllClosureRows,C902,0),"&lt;="&amp;(MIN('_Dates'!X902,Settings!$B$9))))+IF((MIN('_Dates'!Z902,Settings!$B$9))&lt;('_Dates'!Y902),0,INT(((MIN('_Dates'!Z902,Settings!$B$9))-('_Dates'!Y902)+1)/7)*LEN(SUBSTITUTE(W902,"O",""))+LEN(SUBSTITUTE(MID(W902&amp;W902,WEEKDAY(('_Dates'!Y902),2),MOD(((MIN('_Dates'!Z902,Settings!$B$9))-('_Dates'!Y902)+1),7)),"O",""))-COUNTIFS(INDEX(AllClosureRows,C902,0),"&gt;="&amp;('_Dates'!Y902),INDEX(AllClosureRows,C902,0),"&lt;="&amp;(MIN('_Dates'!Z902,Settings!$B$9))))))</ns0:f>
        <ns0:v>0</ns0:v>
      </ns0:c>
      <ns0:c r="I902" s="0">
        <ns0:f>MAX(0,G902-H902)</ns0:f>
        <ns0:v>0</ns0:v>
      </ns0:c>
      <ns0:c r="J902" s="0">
        <ns0:f>IF(OR(A902=0,F902&lt;&gt;"OK",Bookings!G902="Cancelled",$B$6&gt;0),0,IF('_Dates'!AC902=1,MAX(0,COUNTIFS(rngEngine_B,B902,rngAMStart,"&lt;="&amp;'_Dates'!X902,rngAMEnd,"&gt;="&amp;'_Dates'!W902,rngAMActive,1,rngEngine_F,"OK",rngBookings_F,"&lt;&gt;Cancelled")-1),0)+IF('_Dates'!AD902=1,MAX(0,COUNTIFS(rngEngine_B,B902,rngPMStart,"&lt;="&amp;'_Dates'!Z902,rngPMEnd,"&gt;="&amp;'_Dates'!Y902,rngPMActive,1,rngEngine_F,"OK",rngBookings_F,"&lt;&gt;Cancelled")-1),0))</ns0:f>
        <ns0:v>0</ns0:v>
      </ns0:c>
      <ns0:c r="K902" s="0" t="str">
        <ns0:f>IF(A902=0,"",IF(F902&lt;&gt;"OK",F902,IF(J902&gt;0,"CHECK overlapping entry",IF(AND($B$6=0,G902&lt;=0,Bookings!G902&lt;&gt;"Cancelled"),"CHECK no working days",IF(Bookings!G902="Cancelled","Cancelled","OK")))))</ns0:f>
        <ns0:v/>
      </ns0:c>
      <ns0:c r="L902" s="0">
        <ns0:f>IF(LEFT(K902,5)="CHECK",1,0)</ns0:f>
        <ns0:v>0</ns0:v>
      </ns0:c>
      <ns0:c r="M902" s="0">
        <ns0:f>IF(AND(L902=1,OR(C902=0,IFERROR(INDEX($X$11:$X$60,C902),0)=0)),1,0)</ns0:f>
        <ns0:v>0</ns0:v>
      </ns0:c>
      <ns0:c r="N902" s="0">
        <ns0:f>IF(OR(A902=0,L902&gt;0,$B$6&gt;0,Bookings!G902="Cancelled"),0,G902)</ns0:f>
        <ns0:v>0</ns0:v>
      </ns0:c>
      <ns0:c r="O902" s="0">
        <ns0:f>IF(AND(Bookings!G902="Approved",E902="Yes"),N902,0)</ns0:f>
        <ns0:v>0</ns0:v>
      </ns0:c>
      <ns0:c r="P902" s="0">
        <ns0:f>IF(AND(Bookings!G902="Approved",E902="Yes",L902=0,$B$6=0),H902,0)</ns0:f>
        <ns0:v>0</ns0:v>
      </ns0:c>
      <ns0:c r="Q902" s="0">
        <ns0:f>IF(AND(Bookings!G902="Approved",E902="Yes",L902=0,$B$6=0),I902,0)</ns0:f>
        <ns0:v>0</ns0:v>
      </ns0:c>
      <ns0:c r="R902" s="0">
        <ns0:f>IF(AND(Bookings!G902="Pending",E902="Yes"),N902,0)</ns0:f>
        <ns0:v>0</ns0:v>
      </ns0:c>
      <ns0:c r="S902" s="0">
        <ns0:f>IF(AND(Bookings!G902="Approved",E902="No"),N902,0)</ns0:f>
        <ns0:v>0</ns0:v>
      </ns0:c>
      <ns0:c r="T902" s="0">
        <ns0:f>IFERROR(MATCH(D902,Settings!$G$7:$G$11,0),0)</ns0:f>
        <ns0:v>0</ns0:v>
      </ns0:c>
      <ns0:c r="U902" s="0">
        <ns0:f>IF(N902&gt;0,T902+IF(Bookings!G902="Pending",10,0),0)</ns0:f>
        <ns0:v>0</ns0:v>
      </ns0:c>
      <ns0:c r="V902" s="0">
        <ns0:f>U902</ns0:f>
        <ns0:v>0</ns0:v>
      </ns0:c>
      <ns0:c r="W902" s="0" t="str">
        <ns0:f>IF(C902=0,"",INDEX($AP$11:$AP$60,C902))</ns0:f>
        <ns0:v/>
      </ns0:c>
    </ns0:row>
    <ns0:row r="903">
      <ns0:c r="A903" s="0">
        <ns0:f>IF(COUNTA(Bookings!A903:G903,Bookings!I903)=0,0,1)</ns0:f>
        <ns0:v>0</ns0:v>
      </ns0:c>
      <ns0:c r="B903" s="0" t="str">
        <ns0:f>IFERROR(TRIM(MID(Bookings!A903,FIND(" · ",Bookings!A903)+3,99)),"")</ns0:f>
        <ns0:v/>
      </ns0:c>
      <ns0:c r="C903" s="0">
        <ns0:f>IF(OR(B903="",LEN(B903)&gt;24,ISNUMBER(FIND(" ",B903)),ISNUMBER(FIND("*",B903)),ISNUMBER(FIND("?",B903)),ISNUMBER(FIND("~",B903))),0,IFERROR(MATCH(B903,Team!$A$11:$A$60,0),0))</ns0:f>
        <ns0:v>0</ns0:v>
      </ns0:c>
      <ns0:c r="D903" s="0" t="str">
        <ns0:f>IFERROR(IF(MID(Bookings!F903,LEN(Bookings!F903)-3,3)=" · ",RIGHT(Bookings!F903,1),""),"")</ns0:f>
        <ns0:v/>
      </ns0:c>
      <ns0:c r="E903" s="0" t="str">
        <ns0:f>IFERROR(INDEX(Settings!$H$7:$H$11,MATCH(D903,Settings!$G$7:$G$11,0)),"")</ns0:f>
        <ns0:v/>
      </ns0:c>
      <ns0:c r="F903" s="0" t="str">
        <ns0:f>IF(A903=0,"",IFERROR(IF(OR(B903="",C903=0),"CHECK employee selection",IF(INDEX(Team!$O$11:$O$60,C903)&lt;&gt;"OK","CHECK employee setup",IF(OR('_Dates'!J903=0,'_Dates'!T903=0),"CHECK date: use DD.MM.YYYY",IF('_Dates'!T903&lt;'_Dates'!J903,"CHECK end before start",IF(AND($B$6=0,OR('_Dates'!J903&lt;Settings!$B$7,'_Dates'!T903&gt;Settings!$B$8)),"CHECK split across leave years",IF(OR(NOT(OR('_Dates'!U903="Full day",'_Dates'!U903="AM",'_Dates'!U903="PM")),NOT(OR('_Dates'!V903="Full day",'_Dates'!V903="AM",'_Dates'!V903="PM"))),"CHECK Full day / AM / PM",IF(AND('_Dates'!J903='_Dates'!T903,'_Dates'!U903&lt;&gt;"Full day",'_Dates'!V903&lt;&gt;"Full day",'_Dates'!U903&lt;&gt;'_Dates'!V903),"CHECK same-day portions disagree",IF(AND($B$6=0,OR(AND('_Dates'!U903&lt;&gt;"Full day",'_Dates'!AA903=0),AND('_Dates'!V903&lt;&gt;"Full day",'_Dates'!AB903=0))),"CHECK half-day on non-working date",IF(COUNTIF(Settings!$G$7:$G$11,D903)&lt;&gt;1,"CHECK leave type",IF(AND(Bookings!G903&lt;&gt;"Approved",Bookings!G903&lt;&gt;"Pending",Bookings!G903&lt;&gt;"Cancelled"),"CHECK status","OK")))))))))),"CHECK input"))</ns0:f>
        <ns0:v/>
      </ns0:c>
      <ns0:c r="G903" s="0">
        <ns0:f>IF(OR(F903&lt;&gt;"OK",$B$6&gt;0),0,0.5*(IF(('_Dates'!X903)&lt;('_Dates'!W903),0,INT((('_Dates'!X903)-('_Dates'!W903)+1)/7)*LEN(SUBSTITUTE(W903,"O",""))+LEN(SUBSTITUTE(MID(W903&amp;W903,WEEKDAY(('_Dates'!W903),2),MOD((('_Dates'!X903)-('_Dates'!W903)+1),7)),"O",""))-COUNTIFS(INDEX(AllClosureRows,C903,0),"&gt;="&amp;('_Dates'!W903),INDEX(AllClosureRows,C903,0),"&lt;="&amp;('_Dates'!X903)))+IF(('_Dates'!Z903)&lt;('_Dates'!Y903),0,INT((('_Dates'!Z903)-('_Dates'!Y903)+1)/7)*LEN(SUBSTITUTE(W903,"O",""))+LEN(SUBSTITUTE(MID(W903&amp;W903,WEEKDAY(('_Dates'!Y903),2),MOD((('_Dates'!Z903)-('_Dates'!Y903)+1),7)),"O",""))-COUNTIFS(INDEX(AllClosureRows,C903,0),"&gt;="&amp;('_Dates'!Y903),INDEX(AllClosureRows,C903,0),"&lt;="&amp;('_Dates'!Z903)))))</ns0:f>
        <ns0:v>0</ns0:v>
      </ns0:c>
      <ns0:c r="H903" s="0">
        <ns0:f>IF(OR(F903&lt;&gt;"OK",$B$6&gt;0),0,0.5*(IF((MIN('_Dates'!X903,Settings!$B$9))&lt;('_Dates'!W903),0,INT(((MIN('_Dates'!X903,Settings!$B$9))-('_Dates'!W903)+1)/7)*LEN(SUBSTITUTE(W903,"O",""))+LEN(SUBSTITUTE(MID(W903&amp;W903,WEEKDAY(('_Dates'!W903),2),MOD(((MIN('_Dates'!X903,Settings!$B$9))-('_Dates'!W903)+1),7)),"O",""))-COUNTIFS(INDEX(AllClosureRows,C903,0),"&gt;="&amp;('_Dates'!W903),INDEX(AllClosureRows,C903,0),"&lt;="&amp;(MIN('_Dates'!X903,Settings!$B$9))))+IF((MIN('_Dates'!Z903,Settings!$B$9))&lt;('_Dates'!Y903),0,INT(((MIN('_Dates'!Z903,Settings!$B$9))-('_Dates'!Y903)+1)/7)*LEN(SUBSTITUTE(W903,"O",""))+LEN(SUBSTITUTE(MID(W903&amp;W903,WEEKDAY(('_Dates'!Y903),2),MOD(((MIN('_Dates'!Z903,Settings!$B$9))-('_Dates'!Y903)+1),7)),"O",""))-COUNTIFS(INDEX(AllClosureRows,C903,0),"&gt;="&amp;('_Dates'!Y903),INDEX(AllClosureRows,C903,0),"&lt;="&amp;(MIN('_Dates'!Z903,Settings!$B$9))))))</ns0:f>
        <ns0:v>0</ns0:v>
      </ns0:c>
      <ns0:c r="I903" s="0">
        <ns0:f>MAX(0,G903-H903)</ns0:f>
        <ns0:v>0</ns0:v>
      </ns0:c>
      <ns0:c r="J903" s="0">
        <ns0:f>IF(OR(A903=0,F903&lt;&gt;"OK",Bookings!G903="Cancelled",$B$6&gt;0),0,IF('_Dates'!AC903=1,MAX(0,COUNTIFS(rngEngine_B,B903,rngAMStart,"&lt;="&amp;'_Dates'!X903,rngAMEnd,"&gt;="&amp;'_Dates'!W903,rngAMActive,1,rngEngine_F,"OK",rngBookings_F,"&lt;&gt;Cancelled")-1),0)+IF('_Dates'!AD903=1,MAX(0,COUNTIFS(rngEngine_B,B903,rngPMStart,"&lt;="&amp;'_Dates'!Z903,rngPMEnd,"&gt;="&amp;'_Dates'!Y903,rngPMActive,1,rngEngine_F,"OK",rngBookings_F,"&lt;&gt;Cancelled")-1),0))</ns0:f>
        <ns0:v>0</ns0:v>
      </ns0:c>
      <ns0:c r="K903" s="0" t="str">
        <ns0:f>IF(A903=0,"",IF(F903&lt;&gt;"OK",F903,IF(J903&gt;0,"CHECK overlapping entry",IF(AND($B$6=0,G903&lt;=0,Bookings!G903&lt;&gt;"Cancelled"),"CHECK no working days",IF(Bookings!G903="Cancelled","Cancelled","OK")))))</ns0:f>
        <ns0:v/>
      </ns0:c>
      <ns0:c r="L903" s="0">
        <ns0:f>IF(LEFT(K903,5)="CHECK",1,0)</ns0:f>
        <ns0:v>0</ns0:v>
      </ns0:c>
      <ns0:c r="M903" s="0">
        <ns0:f>IF(AND(L903=1,OR(C903=0,IFERROR(INDEX($X$11:$X$60,C903),0)=0)),1,0)</ns0:f>
        <ns0:v>0</ns0:v>
      </ns0:c>
      <ns0:c r="N903" s="0">
        <ns0:f>IF(OR(A903=0,L903&gt;0,$B$6&gt;0,Bookings!G903="Cancelled"),0,G903)</ns0:f>
        <ns0:v>0</ns0:v>
      </ns0:c>
      <ns0:c r="O903" s="0">
        <ns0:f>IF(AND(Bookings!G903="Approved",E903="Yes"),N903,0)</ns0:f>
        <ns0:v>0</ns0:v>
      </ns0:c>
      <ns0:c r="P903" s="0">
        <ns0:f>IF(AND(Bookings!G903="Approved",E903="Yes",L903=0,$B$6=0),H903,0)</ns0:f>
        <ns0:v>0</ns0:v>
      </ns0:c>
      <ns0:c r="Q903" s="0">
        <ns0:f>IF(AND(Bookings!G903="Approved",E903="Yes",L903=0,$B$6=0),I903,0)</ns0:f>
        <ns0:v>0</ns0:v>
      </ns0:c>
      <ns0:c r="R903" s="0">
        <ns0:f>IF(AND(Bookings!G903="Pending",E903="Yes"),N903,0)</ns0:f>
        <ns0:v>0</ns0:v>
      </ns0:c>
      <ns0:c r="S903" s="0">
        <ns0:f>IF(AND(Bookings!G903="Approved",E903="No"),N903,0)</ns0:f>
        <ns0:v>0</ns0:v>
      </ns0:c>
      <ns0:c r="T903" s="0">
        <ns0:f>IFERROR(MATCH(D903,Settings!$G$7:$G$11,0),0)</ns0:f>
        <ns0:v>0</ns0:v>
      </ns0:c>
      <ns0:c r="U903" s="0">
        <ns0:f>IF(N903&gt;0,T903+IF(Bookings!G903="Pending",10,0),0)</ns0:f>
        <ns0:v>0</ns0:v>
      </ns0:c>
      <ns0:c r="V903" s="0">
        <ns0:f>U903</ns0:f>
        <ns0:v>0</ns0:v>
      </ns0:c>
      <ns0:c r="W903" s="0" t="str">
        <ns0:f>IF(C903=0,"",INDEX($AP$11:$AP$60,C903))</ns0:f>
        <ns0:v/>
      </ns0:c>
    </ns0:row>
    <ns0:row r="904">
      <ns0:c r="A904" s="0">
        <ns0:f>IF(COUNTA(Bookings!A904:G904,Bookings!I904)=0,0,1)</ns0:f>
        <ns0:v>0</ns0:v>
      </ns0:c>
      <ns0:c r="B904" s="0" t="str">
        <ns0:f>IFERROR(TRIM(MID(Bookings!A904,FIND(" · ",Bookings!A904)+3,99)),"")</ns0:f>
        <ns0:v/>
      </ns0:c>
      <ns0:c r="C904" s="0">
        <ns0:f>IF(OR(B904="",LEN(B904)&gt;24,ISNUMBER(FIND(" ",B904)),ISNUMBER(FIND("*",B904)),ISNUMBER(FIND("?",B904)),ISNUMBER(FIND("~",B904))),0,IFERROR(MATCH(B904,Team!$A$11:$A$60,0),0))</ns0:f>
        <ns0:v>0</ns0:v>
      </ns0:c>
      <ns0:c r="D904" s="0" t="str">
        <ns0:f>IFERROR(IF(MID(Bookings!F904,LEN(Bookings!F904)-3,3)=" · ",RIGHT(Bookings!F904,1),""),"")</ns0:f>
        <ns0:v/>
      </ns0:c>
      <ns0:c r="E904" s="0" t="str">
        <ns0:f>IFERROR(INDEX(Settings!$H$7:$H$11,MATCH(D904,Settings!$G$7:$G$11,0)),"")</ns0:f>
        <ns0:v/>
      </ns0:c>
      <ns0:c r="F904" s="0" t="str">
        <ns0:f>IF(A904=0,"",IFERROR(IF(OR(B904="",C904=0),"CHECK employee selection",IF(INDEX(Team!$O$11:$O$60,C904)&lt;&gt;"OK","CHECK employee setup",IF(OR('_Dates'!J904=0,'_Dates'!T904=0),"CHECK date: use DD.MM.YYYY",IF('_Dates'!T904&lt;'_Dates'!J904,"CHECK end before start",IF(AND($B$6=0,OR('_Dates'!J904&lt;Settings!$B$7,'_Dates'!T904&gt;Settings!$B$8)),"CHECK split across leave years",IF(OR(NOT(OR('_Dates'!U904="Full day",'_Dates'!U904="AM",'_Dates'!U904="PM")),NOT(OR('_Dates'!V904="Full day",'_Dates'!V904="AM",'_Dates'!V904="PM"))),"CHECK Full day / AM / PM",IF(AND('_Dates'!J904='_Dates'!T904,'_Dates'!U904&lt;&gt;"Full day",'_Dates'!V904&lt;&gt;"Full day",'_Dates'!U904&lt;&gt;'_Dates'!V904),"CHECK same-day portions disagree",IF(AND($B$6=0,OR(AND('_Dates'!U904&lt;&gt;"Full day",'_Dates'!AA904=0),AND('_Dates'!V904&lt;&gt;"Full day",'_Dates'!AB904=0))),"CHECK half-day on non-working date",IF(COUNTIF(Settings!$G$7:$G$11,D904)&lt;&gt;1,"CHECK leave type",IF(AND(Bookings!G904&lt;&gt;"Approved",Bookings!G904&lt;&gt;"Pending",Bookings!G904&lt;&gt;"Cancelled"),"CHECK status","OK")))))))))),"CHECK input"))</ns0:f>
        <ns0:v/>
      </ns0:c>
      <ns0:c r="G904" s="0">
        <ns0:f>IF(OR(F904&lt;&gt;"OK",$B$6&gt;0),0,0.5*(IF(('_Dates'!X904)&lt;('_Dates'!W904),0,INT((('_Dates'!X904)-('_Dates'!W904)+1)/7)*LEN(SUBSTITUTE(W904,"O",""))+LEN(SUBSTITUTE(MID(W904&amp;W904,WEEKDAY(('_Dates'!W904),2),MOD((('_Dates'!X904)-('_Dates'!W904)+1),7)),"O",""))-COUNTIFS(INDEX(AllClosureRows,C904,0),"&gt;="&amp;('_Dates'!W904),INDEX(AllClosureRows,C904,0),"&lt;="&amp;('_Dates'!X904)))+IF(('_Dates'!Z904)&lt;('_Dates'!Y904),0,INT((('_Dates'!Z904)-('_Dates'!Y904)+1)/7)*LEN(SUBSTITUTE(W904,"O",""))+LEN(SUBSTITUTE(MID(W904&amp;W904,WEEKDAY(('_Dates'!Y904),2),MOD((('_Dates'!Z904)-('_Dates'!Y904)+1),7)),"O",""))-COUNTIFS(INDEX(AllClosureRows,C904,0),"&gt;="&amp;('_Dates'!Y904),INDEX(AllClosureRows,C904,0),"&lt;="&amp;('_Dates'!Z904)))))</ns0:f>
        <ns0:v>0</ns0:v>
      </ns0:c>
      <ns0:c r="H904" s="0">
        <ns0:f>IF(OR(F904&lt;&gt;"OK",$B$6&gt;0),0,0.5*(IF((MIN('_Dates'!X904,Settings!$B$9))&lt;('_Dates'!W904),0,INT(((MIN('_Dates'!X904,Settings!$B$9))-('_Dates'!W904)+1)/7)*LEN(SUBSTITUTE(W904,"O",""))+LEN(SUBSTITUTE(MID(W904&amp;W904,WEEKDAY(('_Dates'!W904),2),MOD(((MIN('_Dates'!X904,Settings!$B$9))-('_Dates'!W904)+1),7)),"O",""))-COUNTIFS(INDEX(AllClosureRows,C904,0),"&gt;="&amp;('_Dates'!W904),INDEX(AllClosureRows,C904,0),"&lt;="&amp;(MIN('_Dates'!X904,Settings!$B$9))))+IF((MIN('_Dates'!Z904,Settings!$B$9))&lt;('_Dates'!Y904),0,INT(((MIN('_Dates'!Z904,Settings!$B$9))-('_Dates'!Y904)+1)/7)*LEN(SUBSTITUTE(W904,"O",""))+LEN(SUBSTITUTE(MID(W904&amp;W904,WEEKDAY(('_Dates'!Y904),2),MOD(((MIN('_Dates'!Z904,Settings!$B$9))-('_Dates'!Y904)+1),7)),"O",""))-COUNTIFS(INDEX(AllClosureRows,C904,0),"&gt;="&amp;('_Dates'!Y904),INDEX(AllClosureRows,C904,0),"&lt;="&amp;(MIN('_Dates'!Z904,Settings!$B$9))))))</ns0:f>
        <ns0:v>0</ns0:v>
      </ns0:c>
      <ns0:c r="I904" s="0">
        <ns0:f>MAX(0,G904-H904)</ns0:f>
        <ns0:v>0</ns0:v>
      </ns0:c>
      <ns0:c r="J904" s="0">
        <ns0:f>IF(OR(A904=0,F904&lt;&gt;"OK",Bookings!G904="Cancelled",$B$6&gt;0),0,IF('_Dates'!AC904=1,MAX(0,COUNTIFS(rngEngine_B,B904,rngAMStart,"&lt;="&amp;'_Dates'!X904,rngAMEnd,"&gt;="&amp;'_Dates'!W904,rngAMActive,1,rngEngine_F,"OK",rngBookings_F,"&lt;&gt;Cancelled")-1),0)+IF('_Dates'!AD904=1,MAX(0,COUNTIFS(rngEngine_B,B904,rngPMStart,"&lt;="&amp;'_Dates'!Z904,rngPMEnd,"&gt;="&amp;'_Dates'!Y904,rngPMActive,1,rngEngine_F,"OK",rngBookings_F,"&lt;&gt;Cancelled")-1),0))</ns0:f>
        <ns0:v>0</ns0:v>
      </ns0:c>
      <ns0:c r="K904" s="0" t="str">
        <ns0:f>IF(A904=0,"",IF(F904&lt;&gt;"OK",F904,IF(J904&gt;0,"CHECK overlapping entry",IF(AND($B$6=0,G904&lt;=0,Bookings!G904&lt;&gt;"Cancelled"),"CHECK no working days",IF(Bookings!G904="Cancelled","Cancelled","OK")))))</ns0:f>
        <ns0:v/>
      </ns0:c>
      <ns0:c r="L904" s="0">
        <ns0:f>IF(LEFT(K904,5)="CHECK",1,0)</ns0:f>
        <ns0:v>0</ns0:v>
      </ns0:c>
      <ns0:c r="M904" s="0">
        <ns0:f>IF(AND(L904=1,OR(C904=0,IFERROR(INDEX($X$11:$X$60,C904),0)=0)),1,0)</ns0:f>
        <ns0:v>0</ns0:v>
      </ns0:c>
      <ns0:c r="N904" s="0">
        <ns0:f>IF(OR(A904=0,L904&gt;0,$B$6&gt;0,Bookings!G904="Cancelled"),0,G904)</ns0:f>
        <ns0:v>0</ns0:v>
      </ns0:c>
      <ns0:c r="O904" s="0">
        <ns0:f>IF(AND(Bookings!G904="Approved",E904="Yes"),N904,0)</ns0:f>
        <ns0:v>0</ns0:v>
      </ns0:c>
      <ns0:c r="P904" s="0">
        <ns0:f>IF(AND(Bookings!G904="Approved",E904="Yes",L904=0,$B$6=0),H904,0)</ns0:f>
        <ns0:v>0</ns0:v>
      </ns0:c>
      <ns0:c r="Q904" s="0">
        <ns0:f>IF(AND(Bookings!G904="Approved",E904="Yes",L904=0,$B$6=0),I904,0)</ns0:f>
        <ns0:v>0</ns0:v>
      </ns0:c>
      <ns0:c r="R904" s="0">
        <ns0:f>IF(AND(Bookings!G904="Pending",E904="Yes"),N904,0)</ns0:f>
        <ns0:v>0</ns0:v>
      </ns0:c>
      <ns0:c r="S904" s="0">
        <ns0:f>IF(AND(Bookings!G904="Approved",E904="No"),N904,0)</ns0:f>
        <ns0:v>0</ns0:v>
      </ns0:c>
      <ns0:c r="T904" s="0">
        <ns0:f>IFERROR(MATCH(D904,Settings!$G$7:$G$11,0),0)</ns0:f>
        <ns0:v>0</ns0:v>
      </ns0:c>
      <ns0:c r="U904" s="0">
        <ns0:f>IF(N904&gt;0,T904+IF(Bookings!G904="Pending",10,0),0)</ns0:f>
        <ns0:v>0</ns0:v>
      </ns0:c>
      <ns0:c r="V904" s="0">
        <ns0:f>U904</ns0:f>
        <ns0:v>0</ns0:v>
      </ns0:c>
      <ns0:c r="W904" s="0" t="str">
        <ns0:f>IF(C904=0,"",INDEX($AP$11:$AP$60,C904))</ns0:f>
        <ns0:v/>
      </ns0:c>
    </ns0:row>
    <ns0:row r="905">
      <ns0:c r="A905" s="0">
        <ns0:f>IF(COUNTA(Bookings!A905:G905,Bookings!I905)=0,0,1)</ns0:f>
        <ns0:v>0</ns0:v>
      </ns0:c>
      <ns0:c r="B905" s="0" t="str">
        <ns0:f>IFERROR(TRIM(MID(Bookings!A905,FIND(" · ",Bookings!A905)+3,99)),"")</ns0:f>
        <ns0:v/>
      </ns0:c>
      <ns0:c r="C905" s="0">
        <ns0:f>IF(OR(B905="",LEN(B905)&gt;24,ISNUMBER(FIND(" ",B905)),ISNUMBER(FIND("*",B905)),ISNUMBER(FIND("?",B905)),ISNUMBER(FIND("~",B905))),0,IFERROR(MATCH(B905,Team!$A$11:$A$60,0),0))</ns0:f>
        <ns0:v>0</ns0:v>
      </ns0:c>
      <ns0:c r="D905" s="0" t="str">
        <ns0:f>IFERROR(IF(MID(Bookings!F905,LEN(Bookings!F905)-3,3)=" · ",RIGHT(Bookings!F905,1),""),"")</ns0:f>
        <ns0:v/>
      </ns0:c>
      <ns0:c r="E905" s="0" t="str">
        <ns0:f>IFERROR(INDEX(Settings!$H$7:$H$11,MATCH(D905,Settings!$G$7:$G$11,0)),"")</ns0:f>
        <ns0:v/>
      </ns0:c>
      <ns0:c r="F905" s="0" t="str">
        <ns0:f>IF(A905=0,"",IFERROR(IF(OR(B905="",C905=0),"CHECK employee selection",IF(INDEX(Team!$O$11:$O$60,C905)&lt;&gt;"OK","CHECK employee setup",IF(OR('_Dates'!J905=0,'_Dates'!T905=0),"CHECK date: use DD.MM.YYYY",IF('_Dates'!T905&lt;'_Dates'!J905,"CHECK end before start",IF(AND($B$6=0,OR('_Dates'!J905&lt;Settings!$B$7,'_Dates'!T905&gt;Settings!$B$8)),"CHECK split across leave years",IF(OR(NOT(OR('_Dates'!U905="Full day",'_Dates'!U905="AM",'_Dates'!U905="PM")),NOT(OR('_Dates'!V905="Full day",'_Dates'!V905="AM",'_Dates'!V905="PM"))),"CHECK Full day / AM / PM",IF(AND('_Dates'!J905='_Dates'!T905,'_Dates'!U905&lt;&gt;"Full day",'_Dates'!V905&lt;&gt;"Full day",'_Dates'!U905&lt;&gt;'_Dates'!V905),"CHECK same-day portions disagree",IF(AND($B$6=0,OR(AND('_Dates'!U905&lt;&gt;"Full day",'_Dates'!AA905=0),AND('_Dates'!V905&lt;&gt;"Full day",'_Dates'!AB905=0))),"CHECK half-day on non-working date",IF(COUNTIF(Settings!$G$7:$G$11,D905)&lt;&gt;1,"CHECK leave type",IF(AND(Bookings!G905&lt;&gt;"Approved",Bookings!G905&lt;&gt;"Pending",Bookings!G905&lt;&gt;"Cancelled"),"CHECK status","OK")))))))))),"CHECK input"))</ns0:f>
        <ns0:v/>
      </ns0:c>
      <ns0:c r="G905" s="0">
        <ns0:f>IF(OR(F905&lt;&gt;"OK",$B$6&gt;0),0,0.5*(IF(('_Dates'!X905)&lt;('_Dates'!W905),0,INT((('_Dates'!X905)-('_Dates'!W905)+1)/7)*LEN(SUBSTITUTE(W905,"O",""))+LEN(SUBSTITUTE(MID(W905&amp;W905,WEEKDAY(('_Dates'!W905),2),MOD((('_Dates'!X905)-('_Dates'!W905)+1),7)),"O",""))-COUNTIFS(INDEX(AllClosureRows,C905,0),"&gt;="&amp;('_Dates'!W905),INDEX(AllClosureRows,C905,0),"&lt;="&amp;('_Dates'!X905)))+IF(('_Dates'!Z905)&lt;('_Dates'!Y905),0,INT((('_Dates'!Z905)-('_Dates'!Y905)+1)/7)*LEN(SUBSTITUTE(W905,"O",""))+LEN(SUBSTITUTE(MID(W905&amp;W905,WEEKDAY(('_Dates'!Y905),2),MOD((('_Dates'!Z905)-('_Dates'!Y905)+1),7)),"O",""))-COUNTIFS(INDEX(AllClosureRows,C905,0),"&gt;="&amp;('_Dates'!Y905),INDEX(AllClosureRows,C905,0),"&lt;="&amp;('_Dates'!Z905)))))</ns0:f>
        <ns0:v>0</ns0:v>
      </ns0:c>
      <ns0:c r="H905" s="0">
        <ns0:f>IF(OR(F905&lt;&gt;"OK",$B$6&gt;0),0,0.5*(IF((MIN('_Dates'!X905,Settings!$B$9))&lt;('_Dates'!W905),0,INT(((MIN('_Dates'!X905,Settings!$B$9))-('_Dates'!W905)+1)/7)*LEN(SUBSTITUTE(W905,"O",""))+LEN(SUBSTITUTE(MID(W905&amp;W905,WEEKDAY(('_Dates'!W905),2),MOD(((MIN('_Dates'!X905,Settings!$B$9))-('_Dates'!W905)+1),7)),"O",""))-COUNTIFS(INDEX(AllClosureRows,C905,0),"&gt;="&amp;('_Dates'!W905),INDEX(AllClosureRows,C905,0),"&lt;="&amp;(MIN('_Dates'!X905,Settings!$B$9))))+IF((MIN('_Dates'!Z905,Settings!$B$9))&lt;('_Dates'!Y905),0,INT(((MIN('_Dates'!Z905,Settings!$B$9))-('_Dates'!Y905)+1)/7)*LEN(SUBSTITUTE(W905,"O",""))+LEN(SUBSTITUTE(MID(W905&amp;W905,WEEKDAY(('_Dates'!Y905),2),MOD(((MIN('_Dates'!Z905,Settings!$B$9))-('_Dates'!Y905)+1),7)),"O",""))-COUNTIFS(INDEX(AllClosureRows,C905,0),"&gt;="&amp;('_Dates'!Y905),INDEX(AllClosureRows,C905,0),"&lt;="&amp;(MIN('_Dates'!Z905,Settings!$B$9))))))</ns0:f>
        <ns0:v>0</ns0:v>
      </ns0:c>
      <ns0:c r="I905" s="0">
        <ns0:f>MAX(0,G905-H905)</ns0:f>
        <ns0:v>0</ns0:v>
      </ns0:c>
      <ns0:c r="J905" s="0">
        <ns0:f>IF(OR(A905=0,F905&lt;&gt;"OK",Bookings!G905="Cancelled",$B$6&gt;0),0,IF('_Dates'!AC905=1,MAX(0,COUNTIFS(rngEngine_B,B905,rngAMStart,"&lt;="&amp;'_Dates'!X905,rngAMEnd,"&gt;="&amp;'_Dates'!W905,rngAMActive,1,rngEngine_F,"OK",rngBookings_F,"&lt;&gt;Cancelled")-1),0)+IF('_Dates'!AD905=1,MAX(0,COUNTIFS(rngEngine_B,B905,rngPMStart,"&lt;="&amp;'_Dates'!Z905,rngPMEnd,"&gt;="&amp;'_Dates'!Y905,rngPMActive,1,rngEngine_F,"OK",rngBookings_F,"&lt;&gt;Cancelled")-1),0))</ns0:f>
        <ns0:v>0</ns0:v>
      </ns0:c>
      <ns0:c r="K905" s="0" t="str">
        <ns0:f>IF(A905=0,"",IF(F905&lt;&gt;"OK",F905,IF(J905&gt;0,"CHECK overlapping entry",IF(AND($B$6=0,G905&lt;=0,Bookings!G905&lt;&gt;"Cancelled"),"CHECK no working days",IF(Bookings!G905="Cancelled","Cancelled","OK")))))</ns0:f>
        <ns0:v/>
      </ns0:c>
      <ns0:c r="L905" s="0">
        <ns0:f>IF(LEFT(K905,5)="CHECK",1,0)</ns0:f>
        <ns0:v>0</ns0:v>
      </ns0:c>
      <ns0:c r="M905" s="0">
        <ns0:f>IF(AND(L905=1,OR(C905=0,IFERROR(INDEX($X$11:$X$60,C905),0)=0)),1,0)</ns0:f>
        <ns0:v>0</ns0:v>
      </ns0:c>
      <ns0:c r="N905" s="0">
        <ns0:f>IF(OR(A905=0,L905&gt;0,$B$6&gt;0,Bookings!G905="Cancelled"),0,G905)</ns0:f>
        <ns0:v>0</ns0:v>
      </ns0:c>
      <ns0:c r="O905" s="0">
        <ns0:f>IF(AND(Bookings!G905="Approved",E905="Yes"),N905,0)</ns0:f>
        <ns0:v>0</ns0:v>
      </ns0:c>
      <ns0:c r="P905" s="0">
        <ns0:f>IF(AND(Bookings!G905="Approved",E905="Yes",L905=0,$B$6=0),H905,0)</ns0:f>
        <ns0:v>0</ns0:v>
      </ns0:c>
      <ns0:c r="Q905" s="0">
        <ns0:f>IF(AND(Bookings!G905="Approved",E905="Yes",L905=0,$B$6=0),I905,0)</ns0:f>
        <ns0:v>0</ns0:v>
      </ns0:c>
      <ns0:c r="R905" s="0">
        <ns0:f>IF(AND(Bookings!G905="Pending",E905="Yes"),N905,0)</ns0:f>
        <ns0:v>0</ns0:v>
      </ns0:c>
      <ns0:c r="S905" s="0">
        <ns0:f>IF(AND(Bookings!G905="Approved",E905="No"),N905,0)</ns0:f>
        <ns0:v>0</ns0:v>
      </ns0:c>
      <ns0:c r="T905" s="0">
        <ns0:f>IFERROR(MATCH(D905,Settings!$G$7:$G$11,0),0)</ns0:f>
        <ns0:v>0</ns0:v>
      </ns0:c>
      <ns0:c r="U905" s="0">
        <ns0:f>IF(N905&gt;0,T905+IF(Bookings!G905="Pending",10,0),0)</ns0:f>
        <ns0:v>0</ns0:v>
      </ns0:c>
      <ns0:c r="V905" s="0">
        <ns0:f>U905</ns0:f>
        <ns0:v>0</ns0:v>
      </ns0:c>
      <ns0:c r="W905" s="0" t="str">
        <ns0:f>IF(C905=0,"",INDEX($AP$11:$AP$60,C905))</ns0:f>
        <ns0:v/>
      </ns0:c>
    </ns0:row>
    <ns0:row r="906">
      <ns0:c r="A906" s="0">
        <ns0:f>IF(COUNTA(Bookings!A906:G906,Bookings!I906)=0,0,1)</ns0:f>
        <ns0:v>0</ns0:v>
      </ns0:c>
      <ns0:c r="B906" s="0" t="str">
        <ns0:f>IFERROR(TRIM(MID(Bookings!A906,FIND(" · ",Bookings!A906)+3,99)),"")</ns0:f>
        <ns0:v/>
      </ns0:c>
      <ns0:c r="C906" s="0">
        <ns0:f>IF(OR(B906="",LEN(B906)&gt;24,ISNUMBER(FIND(" ",B906)),ISNUMBER(FIND("*",B906)),ISNUMBER(FIND("?",B906)),ISNUMBER(FIND("~",B906))),0,IFERROR(MATCH(B906,Team!$A$11:$A$60,0),0))</ns0:f>
        <ns0:v>0</ns0:v>
      </ns0:c>
      <ns0:c r="D906" s="0" t="str">
        <ns0:f>IFERROR(IF(MID(Bookings!F906,LEN(Bookings!F906)-3,3)=" · ",RIGHT(Bookings!F906,1),""),"")</ns0:f>
        <ns0:v/>
      </ns0:c>
      <ns0:c r="E906" s="0" t="str">
        <ns0:f>IFERROR(INDEX(Settings!$H$7:$H$11,MATCH(D906,Settings!$G$7:$G$11,0)),"")</ns0:f>
        <ns0:v/>
      </ns0:c>
      <ns0:c r="F906" s="0" t="str">
        <ns0:f>IF(A906=0,"",IFERROR(IF(OR(B906="",C906=0),"CHECK employee selection",IF(INDEX(Team!$O$11:$O$60,C906)&lt;&gt;"OK","CHECK employee setup",IF(OR('_Dates'!J906=0,'_Dates'!T906=0),"CHECK date: use DD.MM.YYYY",IF('_Dates'!T906&lt;'_Dates'!J906,"CHECK end before start",IF(AND($B$6=0,OR('_Dates'!J906&lt;Settings!$B$7,'_Dates'!T906&gt;Settings!$B$8)),"CHECK split across leave years",IF(OR(NOT(OR('_Dates'!U906="Full day",'_Dates'!U906="AM",'_Dates'!U906="PM")),NOT(OR('_Dates'!V906="Full day",'_Dates'!V906="AM",'_Dates'!V906="PM"))),"CHECK Full day / AM / PM",IF(AND('_Dates'!J906='_Dates'!T906,'_Dates'!U906&lt;&gt;"Full day",'_Dates'!V906&lt;&gt;"Full day",'_Dates'!U906&lt;&gt;'_Dates'!V906),"CHECK same-day portions disagree",IF(AND($B$6=0,OR(AND('_Dates'!U906&lt;&gt;"Full day",'_Dates'!AA906=0),AND('_Dates'!V906&lt;&gt;"Full day",'_Dates'!AB906=0))),"CHECK half-day on non-working date",IF(COUNTIF(Settings!$G$7:$G$11,D906)&lt;&gt;1,"CHECK leave type",IF(AND(Bookings!G906&lt;&gt;"Approved",Bookings!G906&lt;&gt;"Pending",Bookings!G906&lt;&gt;"Cancelled"),"CHECK status","OK")))))))))),"CHECK input"))</ns0:f>
        <ns0:v/>
      </ns0:c>
      <ns0:c r="G906" s="0">
        <ns0:f>IF(OR(F906&lt;&gt;"OK",$B$6&gt;0),0,0.5*(IF(('_Dates'!X906)&lt;('_Dates'!W906),0,INT((('_Dates'!X906)-('_Dates'!W906)+1)/7)*LEN(SUBSTITUTE(W906,"O",""))+LEN(SUBSTITUTE(MID(W906&amp;W906,WEEKDAY(('_Dates'!W906),2),MOD((('_Dates'!X906)-('_Dates'!W906)+1),7)),"O",""))-COUNTIFS(INDEX(AllClosureRows,C906,0),"&gt;="&amp;('_Dates'!W906),INDEX(AllClosureRows,C906,0),"&lt;="&amp;('_Dates'!X906)))+IF(('_Dates'!Z906)&lt;('_Dates'!Y906),0,INT((('_Dates'!Z906)-('_Dates'!Y906)+1)/7)*LEN(SUBSTITUTE(W906,"O",""))+LEN(SUBSTITUTE(MID(W906&amp;W906,WEEKDAY(('_Dates'!Y906),2),MOD((('_Dates'!Z906)-('_Dates'!Y906)+1),7)),"O",""))-COUNTIFS(INDEX(AllClosureRows,C906,0),"&gt;="&amp;('_Dates'!Y906),INDEX(AllClosureRows,C906,0),"&lt;="&amp;('_Dates'!Z906)))))</ns0:f>
        <ns0:v>0</ns0:v>
      </ns0:c>
      <ns0:c r="H906" s="0">
        <ns0:f>IF(OR(F906&lt;&gt;"OK",$B$6&gt;0),0,0.5*(IF((MIN('_Dates'!X906,Settings!$B$9))&lt;('_Dates'!W906),0,INT(((MIN('_Dates'!X906,Settings!$B$9))-('_Dates'!W906)+1)/7)*LEN(SUBSTITUTE(W906,"O",""))+LEN(SUBSTITUTE(MID(W906&amp;W906,WEEKDAY(('_Dates'!W906),2),MOD(((MIN('_Dates'!X906,Settings!$B$9))-('_Dates'!W906)+1),7)),"O",""))-COUNTIFS(INDEX(AllClosureRows,C906,0),"&gt;="&amp;('_Dates'!W906),INDEX(AllClosureRows,C906,0),"&lt;="&amp;(MIN('_Dates'!X906,Settings!$B$9))))+IF((MIN('_Dates'!Z906,Settings!$B$9))&lt;('_Dates'!Y906),0,INT(((MIN('_Dates'!Z906,Settings!$B$9))-('_Dates'!Y906)+1)/7)*LEN(SUBSTITUTE(W906,"O",""))+LEN(SUBSTITUTE(MID(W906&amp;W906,WEEKDAY(('_Dates'!Y906),2),MOD(((MIN('_Dates'!Z906,Settings!$B$9))-('_Dates'!Y906)+1),7)),"O",""))-COUNTIFS(INDEX(AllClosureRows,C906,0),"&gt;="&amp;('_Dates'!Y906),INDEX(AllClosureRows,C906,0),"&lt;="&amp;(MIN('_Dates'!Z906,Settings!$B$9))))))</ns0:f>
        <ns0:v>0</ns0:v>
      </ns0:c>
      <ns0:c r="I906" s="0">
        <ns0:f>MAX(0,G906-H906)</ns0:f>
        <ns0:v>0</ns0:v>
      </ns0:c>
      <ns0:c r="J906" s="0">
        <ns0:f>IF(OR(A906=0,F906&lt;&gt;"OK",Bookings!G906="Cancelled",$B$6&gt;0),0,IF('_Dates'!AC906=1,MAX(0,COUNTIFS(rngEngine_B,B906,rngAMStart,"&lt;="&amp;'_Dates'!X906,rngAMEnd,"&gt;="&amp;'_Dates'!W906,rngAMActive,1,rngEngine_F,"OK",rngBookings_F,"&lt;&gt;Cancelled")-1),0)+IF('_Dates'!AD906=1,MAX(0,COUNTIFS(rngEngine_B,B906,rngPMStart,"&lt;="&amp;'_Dates'!Z906,rngPMEnd,"&gt;="&amp;'_Dates'!Y906,rngPMActive,1,rngEngine_F,"OK",rngBookings_F,"&lt;&gt;Cancelled")-1),0))</ns0:f>
        <ns0:v>0</ns0:v>
      </ns0:c>
      <ns0:c r="K906" s="0" t="str">
        <ns0:f>IF(A906=0,"",IF(F906&lt;&gt;"OK",F906,IF(J906&gt;0,"CHECK overlapping entry",IF(AND($B$6=0,G906&lt;=0,Bookings!G906&lt;&gt;"Cancelled"),"CHECK no working days",IF(Bookings!G906="Cancelled","Cancelled","OK")))))</ns0:f>
        <ns0:v/>
      </ns0:c>
      <ns0:c r="L906" s="0">
        <ns0:f>IF(LEFT(K906,5)="CHECK",1,0)</ns0:f>
        <ns0:v>0</ns0:v>
      </ns0:c>
      <ns0:c r="M906" s="0">
        <ns0:f>IF(AND(L906=1,OR(C906=0,IFERROR(INDEX($X$11:$X$60,C906),0)=0)),1,0)</ns0:f>
        <ns0:v>0</ns0:v>
      </ns0:c>
      <ns0:c r="N906" s="0">
        <ns0:f>IF(OR(A906=0,L906&gt;0,$B$6&gt;0,Bookings!G906="Cancelled"),0,G906)</ns0:f>
        <ns0:v>0</ns0:v>
      </ns0:c>
      <ns0:c r="O906" s="0">
        <ns0:f>IF(AND(Bookings!G906="Approved",E906="Yes"),N906,0)</ns0:f>
        <ns0:v>0</ns0:v>
      </ns0:c>
      <ns0:c r="P906" s="0">
        <ns0:f>IF(AND(Bookings!G906="Approved",E906="Yes",L906=0,$B$6=0),H906,0)</ns0:f>
        <ns0:v>0</ns0:v>
      </ns0:c>
      <ns0:c r="Q906" s="0">
        <ns0:f>IF(AND(Bookings!G906="Approved",E906="Yes",L906=0,$B$6=0),I906,0)</ns0:f>
        <ns0:v>0</ns0:v>
      </ns0:c>
      <ns0:c r="R906" s="0">
        <ns0:f>IF(AND(Bookings!G906="Pending",E906="Yes"),N906,0)</ns0:f>
        <ns0:v>0</ns0:v>
      </ns0:c>
      <ns0:c r="S906" s="0">
        <ns0:f>IF(AND(Bookings!G906="Approved",E906="No"),N906,0)</ns0:f>
        <ns0:v>0</ns0:v>
      </ns0:c>
      <ns0:c r="T906" s="0">
        <ns0:f>IFERROR(MATCH(D906,Settings!$G$7:$G$11,0),0)</ns0:f>
        <ns0:v>0</ns0:v>
      </ns0:c>
      <ns0:c r="U906" s="0">
        <ns0:f>IF(N906&gt;0,T906+IF(Bookings!G906="Pending",10,0),0)</ns0:f>
        <ns0:v>0</ns0:v>
      </ns0:c>
      <ns0:c r="V906" s="0">
        <ns0:f>U906</ns0:f>
        <ns0:v>0</ns0:v>
      </ns0:c>
      <ns0:c r="W906" s="0" t="str">
        <ns0:f>IF(C906=0,"",INDEX($AP$11:$AP$60,C906))</ns0:f>
        <ns0:v/>
      </ns0:c>
    </ns0:row>
    <ns0:row r="907">
      <ns0:c r="A907" s="0">
        <ns0:f>IF(COUNTA(Bookings!A907:G907,Bookings!I907)=0,0,1)</ns0:f>
        <ns0:v>0</ns0:v>
      </ns0:c>
      <ns0:c r="B907" s="0" t="str">
        <ns0:f>IFERROR(TRIM(MID(Bookings!A907,FIND(" · ",Bookings!A907)+3,99)),"")</ns0:f>
        <ns0:v/>
      </ns0:c>
      <ns0:c r="C907" s="0">
        <ns0:f>IF(OR(B907="",LEN(B907)&gt;24,ISNUMBER(FIND(" ",B907)),ISNUMBER(FIND("*",B907)),ISNUMBER(FIND("?",B907)),ISNUMBER(FIND("~",B907))),0,IFERROR(MATCH(B907,Team!$A$11:$A$60,0),0))</ns0:f>
        <ns0:v>0</ns0:v>
      </ns0:c>
      <ns0:c r="D907" s="0" t="str">
        <ns0:f>IFERROR(IF(MID(Bookings!F907,LEN(Bookings!F907)-3,3)=" · ",RIGHT(Bookings!F907,1),""),"")</ns0:f>
        <ns0:v/>
      </ns0:c>
      <ns0:c r="E907" s="0" t="str">
        <ns0:f>IFERROR(INDEX(Settings!$H$7:$H$11,MATCH(D907,Settings!$G$7:$G$11,0)),"")</ns0:f>
        <ns0:v/>
      </ns0:c>
      <ns0:c r="F907" s="0" t="str">
        <ns0:f>IF(A907=0,"",IFERROR(IF(OR(B907="",C907=0),"CHECK employee selection",IF(INDEX(Team!$O$11:$O$60,C907)&lt;&gt;"OK","CHECK employee setup",IF(OR('_Dates'!J907=0,'_Dates'!T907=0),"CHECK date: use DD.MM.YYYY",IF('_Dates'!T907&lt;'_Dates'!J907,"CHECK end before start",IF(AND($B$6=0,OR('_Dates'!J907&lt;Settings!$B$7,'_Dates'!T907&gt;Settings!$B$8)),"CHECK split across leave years",IF(OR(NOT(OR('_Dates'!U907="Full day",'_Dates'!U907="AM",'_Dates'!U907="PM")),NOT(OR('_Dates'!V907="Full day",'_Dates'!V907="AM",'_Dates'!V907="PM"))),"CHECK Full day / AM / PM",IF(AND('_Dates'!J907='_Dates'!T907,'_Dates'!U907&lt;&gt;"Full day",'_Dates'!V907&lt;&gt;"Full day",'_Dates'!U907&lt;&gt;'_Dates'!V907),"CHECK same-day portions disagree",IF(AND($B$6=0,OR(AND('_Dates'!U907&lt;&gt;"Full day",'_Dates'!AA907=0),AND('_Dates'!V907&lt;&gt;"Full day",'_Dates'!AB907=0))),"CHECK half-day on non-working date",IF(COUNTIF(Settings!$G$7:$G$11,D907)&lt;&gt;1,"CHECK leave type",IF(AND(Bookings!G907&lt;&gt;"Approved",Bookings!G907&lt;&gt;"Pending",Bookings!G907&lt;&gt;"Cancelled"),"CHECK status","OK")))))))))),"CHECK input"))</ns0:f>
        <ns0:v/>
      </ns0:c>
      <ns0:c r="G907" s="0">
        <ns0:f>IF(OR(F907&lt;&gt;"OK",$B$6&gt;0),0,0.5*(IF(('_Dates'!X907)&lt;('_Dates'!W907),0,INT((('_Dates'!X907)-('_Dates'!W907)+1)/7)*LEN(SUBSTITUTE(W907,"O",""))+LEN(SUBSTITUTE(MID(W907&amp;W907,WEEKDAY(('_Dates'!W907),2),MOD((('_Dates'!X907)-('_Dates'!W907)+1),7)),"O",""))-COUNTIFS(INDEX(AllClosureRows,C907,0),"&gt;="&amp;('_Dates'!W907),INDEX(AllClosureRows,C907,0),"&lt;="&amp;('_Dates'!X907)))+IF(('_Dates'!Z907)&lt;('_Dates'!Y907),0,INT((('_Dates'!Z907)-('_Dates'!Y907)+1)/7)*LEN(SUBSTITUTE(W907,"O",""))+LEN(SUBSTITUTE(MID(W907&amp;W907,WEEKDAY(('_Dates'!Y907),2),MOD((('_Dates'!Z907)-('_Dates'!Y907)+1),7)),"O",""))-COUNTIFS(INDEX(AllClosureRows,C907,0),"&gt;="&amp;('_Dates'!Y907),INDEX(AllClosureRows,C907,0),"&lt;="&amp;('_Dates'!Z907)))))</ns0:f>
        <ns0:v>0</ns0:v>
      </ns0:c>
      <ns0:c r="H907" s="0">
        <ns0:f>IF(OR(F907&lt;&gt;"OK",$B$6&gt;0),0,0.5*(IF((MIN('_Dates'!X907,Settings!$B$9))&lt;('_Dates'!W907),0,INT(((MIN('_Dates'!X907,Settings!$B$9))-('_Dates'!W907)+1)/7)*LEN(SUBSTITUTE(W907,"O",""))+LEN(SUBSTITUTE(MID(W907&amp;W907,WEEKDAY(('_Dates'!W907),2),MOD(((MIN('_Dates'!X907,Settings!$B$9))-('_Dates'!W907)+1),7)),"O",""))-COUNTIFS(INDEX(AllClosureRows,C907,0),"&gt;="&amp;('_Dates'!W907),INDEX(AllClosureRows,C907,0),"&lt;="&amp;(MIN('_Dates'!X907,Settings!$B$9))))+IF((MIN('_Dates'!Z907,Settings!$B$9))&lt;('_Dates'!Y907),0,INT(((MIN('_Dates'!Z907,Settings!$B$9))-('_Dates'!Y907)+1)/7)*LEN(SUBSTITUTE(W907,"O",""))+LEN(SUBSTITUTE(MID(W907&amp;W907,WEEKDAY(('_Dates'!Y907),2),MOD(((MIN('_Dates'!Z907,Settings!$B$9))-('_Dates'!Y907)+1),7)),"O",""))-COUNTIFS(INDEX(AllClosureRows,C907,0),"&gt;="&amp;('_Dates'!Y907),INDEX(AllClosureRows,C907,0),"&lt;="&amp;(MIN('_Dates'!Z907,Settings!$B$9))))))</ns0:f>
        <ns0:v>0</ns0:v>
      </ns0:c>
      <ns0:c r="I907" s="0">
        <ns0:f>MAX(0,G907-H907)</ns0:f>
        <ns0:v>0</ns0:v>
      </ns0:c>
      <ns0:c r="J907" s="0">
        <ns0:f>IF(OR(A907=0,F907&lt;&gt;"OK",Bookings!G907="Cancelled",$B$6&gt;0),0,IF('_Dates'!AC907=1,MAX(0,COUNTIFS(rngEngine_B,B907,rngAMStart,"&lt;="&amp;'_Dates'!X907,rngAMEnd,"&gt;="&amp;'_Dates'!W907,rngAMActive,1,rngEngine_F,"OK",rngBookings_F,"&lt;&gt;Cancelled")-1),0)+IF('_Dates'!AD907=1,MAX(0,COUNTIFS(rngEngine_B,B907,rngPMStart,"&lt;="&amp;'_Dates'!Z907,rngPMEnd,"&gt;="&amp;'_Dates'!Y907,rngPMActive,1,rngEngine_F,"OK",rngBookings_F,"&lt;&gt;Cancelled")-1),0))</ns0:f>
        <ns0:v>0</ns0:v>
      </ns0:c>
      <ns0:c r="K907" s="0" t="str">
        <ns0:f>IF(A907=0,"",IF(F907&lt;&gt;"OK",F907,IF(J907&gt;0,"CHECK overlapping entry",IF(AND($B$6=0,G907&lt;=0,Bookings!G907&lt;&gt;"Cancelled"),"CHECK no working days",IF(Bookings!G907="Cancelled","Cancelled","OK")))))</ns0:f>
        <ns0:v/>
      </ns0:c>
      <ns0:c r="L907" s="0">
        <ns0:f>IF(LEFT(K907,5)="CHECK",1,0)</ns0:f>
        <ns0:v>0</ns0:v>
      </ns0:c>
      <ns0:c r="M907" s="0">
        <ns0:f>IF(AND(L907=1,OR(C907=0,IFERROR(INDEX($X$11:$X$60,C907),0)=0)),1,0)</ns0:f>
        <ns0:v>0</ns0:v>
      </ns0:c>
      <ns0:c r="N907" s="0">
        <ns0:f>IF(OR(A907=0,L907&gt;0,$B$6&gt;0,Bookings!G907="Cancelled"),0,G907)</ns0:f>
        <ns0:v>0</ns0:v>
      </ns0:c>
      <ns0:c r="O907" s="0">
        <ns0:f>IF(AND(Bookings!G907="Approved",E907="Yes"),N907,0)</ns0:f>
        <ns0:v>0</ns0:v>
      </ns0:c>
      <ns0:c r="P907" s="0">
        <ns0:f>IF(AND(Bookings!G907="Approved",E907="Yes",L907=0,$B$6=0),H907,0)</ns0:f>
        <ns0:v>0</ns0:v>
      </ns0:c>
      <ns0:c r="Q907" s="0">
        <ns0:f>IF(AND(Bookings!G907="Approved",E907="Yes",L907=0,$B$6=0),I907,0)</ns0:f>
        <ns0:v>0</ns0:v>
      </ns0:c>
      <ns0:c r="R907" s="0">
        <ns0:f>IF(AND(Bookings!G907="Pending",E907="Yes"),N907,0)</ns0:f>
        <ns0:v>0</ns0:v>
      </ns0:c>
      <ns0:c r="S907" s="0">
        <ns0:f>IF(AND(Bookings!G907="Approved",E907="No"),N907,0)</ns0:f>
        <ns0:v>0</ns0:v>
      </ns0:c>
      <ns0:c r="T907" s="0">
        <ns0:f>IFERROR(MATCH(D907,Settings!$G$7:$G$11,0),0)</ns0:f>
        <ns0:v>0</ns0:v>
      </ns0:c>
      <ns0:c r="U907" s="0">
        <ns0:f>IF(N907&gt;0,T907+IF(Bookings!G907="Pending",10,0),0)</ns0:f>
        <ns0:v>0</ns0:v>
      </ns0:c>
      <ns0:c r="V907" s="0">
        <ns0:f>U907</ns0:f>
        <ns0:v>0</ns0:v>
      </ns0:c>
      <ns0:c r="W907" s="0" t="str">
        <ns0:f>IF(C907=0,"",INDEX($AP$11:$AP$60,C907))</ns0:f>
        <ns0:v/>
      </ns0:c>
    </ns0:row>
    <ns0:row r="908">
      <ns0:c r="A908" s="0">
        <ns0:f>IF(COUNTA(Bookings!A908:G908,Bookings!I908)=0,0,1)</ns0:f>
        <ns0:v>0</ns0:v>
      </ns0:c>
      <ns0:c r="B908" s="0" t="str">
        <ns0:f>IFERROR(TRIM(MID(Bookings!A908,FIND(" · ",Bookings!A908)+3,99)),"")</ns0:f>
        <ns0:v/>
      </ns0:c>
      <ns0:c r="C908" s="0">
        <ns0:f>IF(OR(B908="",LEN(B908)&gt;24,ISNUMBER(FIND(" ",B908)),ISNUMBER(FIND("*",B908)),ISNUMBER(FIND("?",B908)),ISNUMBER(FIND("~",B908))),0,IFERROR(MATCH(B908,Team!$A$11:$A$60,0),0))</ns0:f>
        <ns0:v>0</ns0:v>
      </ns0:c>
      <ns0:c r="D908" s="0" t="str">
        <ns0:f>IFERROR(IF(MID(Bookings!F908,LEN(Bookings!F908)-3,3)=" · ",RIGHT(Bookings!F908,1),""),"")</ns0:f>
        <ns0:v/>
      </ns0:c>
      <ns0:c r="E908" s="0" t="str">
        <ns0:f>IFERROR(INDEX(Settings!$H$7:$H$11,MATCH(D908,Settings!$G$7:$G$11,0)),"")</ns0:f>
        <ns0:v/>
      </ns0:c>
      <ns0:c r="F908" s="0" t="str">
        <ns0:f>IF(A908=0,"",IFERROR(IF(OR(B908="",C908=0),"CHECK employee selection",IF(INDEX(Team!$O$11:$O$60,C908)&lt;&gt;"OK","CHECK employee setup",IF(OR('_Dates'!J908=0,'_Dates'!T908=0),"CHECK date: use DD.MM.YYYY",IF('_Dates'!T908&lt;'_Dates'!J908,"CHECK end before start",IF(AND($B$6=0,OR('_Dates'!J908&lt;Settings!$B$7,'_Dates'!T908&gt;Settings!$B$8)),"CHECK split across leave years",IF(OR(NOT(OR('_Dates'!U908="Full day",'_Dates'!U908="AM",'_Dates'!U908="PM")),NOT(OR('_Dates'!V908="Full day",'_Dates'!V908="AM",'_Dates'!V908="PM"))),"CHECK Full day / AM / PM",IF(AND('_Dates'!J908='_Dates'!T908,'_Dates'!U908&lt;&gt;"Full day",'_Dates'!V908&lt;&gt;"Full day",'_Dates'!U908&lt;&gt;'_Dates'!V908),"CHECK same-day portions disagree",IF(AND($B$6=0,OR(AND('_Dates'!U908&lt;&gt;"Full day",'_Dates'!AA908=0),AND('_Dates'!V908&lt;&gt;"Full day",'_Dates'!AB908=0))),"CHECK half-day on non-working date",IF(COUNTIF(Settings!$G$7:$G$11,D908)&lt;&gt;1,"CHECK leave type",IF(AND(Bookings!G908&lt;&gt;"Approved",Bookings!G908&lt;&gt;"Pending",Bookings!G908&lt;&gt;"Cancelled"),"CHECK status","OK")))))))))),"CHECK input"))</ns0:f>
        <ns0:v/>
      </ns0:c>
      <ns0:c r="G908" s="0">
        <ns0:f>IF(OR(F908&lt;&gt;"OK",$B$6&gt;0),0,0.5*(IF(('_Dates'!X908)&lt;('_Dates'!W908),0,INT((('_Dates'!X908)-('_Dates'!W908)+1)/7)*LEN(SUBSTITUTE(W908,"O",""))+LEN(SUBSTITUTE(MID(W908&amp;W908,WEEKDAY(('_Dates'!W908),2),MOD((('_Dates'!X908)-('_Dates'!W908)+1),7)),"O",""))-COUNTIFS(INDEX(AllClosureRows,C908,0),"&gt;="&amp;('_Dates'!W908),INDEX(AllClosureRows,C908,0),"&lt;="&amp;('_Dates'!X908)))+IF(('_Dates'!Z908)&lt;('_Dates'!Y908),0,INT((('_Dates'!Z908)-('_Dates'!Y908)+1)/7)*LEN(SUBSTITUTE(W908,"O",""))+LEN(SUBSTITUTE(MID(W908&amp;W908,WEEKDAY(('_Dates'!Y908),2),MOD((('_Dates'!Z908)-('_Dates'!Y908)+1),7)),"O",""))-COUNTIFS(INDEX(AllClosureRows,C908,0),"&gt;="&amp;('_Dates'!Y908),INDEX(AllClosureRows,C908,0),"&lt;="&amp;('_Dates'!Z908)))))</ns0:f>
        <ns0:v>0</ns0:v>
      </ns0:c>
      <ns0:c r="H908" s="0">
        <ns0:f>IF(OR(F908&lt;&gt;"OK",$B$6&gt;0),0,0.5*(IF((MIN('_Dates'!X908,Settings!$B$9))&lt;('_Dates'!W908),0,INT(((MIN('_Dates'!X908,Settings!$B$9))-('_Dates'!W908)+1)/7)*LEN(SUBSTITUTE(W908,"O",""))+LEN(SUBSTITUTE(MID(W908&amp;W908,WEEKDAY(('_Dates'!W908),2),MOD(((MIN('_Dates'!X908,Settings!$B$9))-('_Dates'!W908)+1),7)),"O",""))-COUNTIFS(INDEX(AllClosureRows,C908,0),"&gt;="&amp;('_Dates'!W908),INDEX(AllClosureRows,C908,0),"&lt;="&amp;(MIN('_Dates'!X908,Settings!$B$9))))+IF((MIN('_Dates'!Z908,Settings!$B$9))&lt;('_Dates'!Y908),0,INT(((MIN('_Dates'!Z908,Settings!$B$9))-('_Dates'!Y908)+1)/7)*LEN(SUBSTITUTE(W908,"O",""))+LEN(SUBSTITUTE(MID(W908&amp;W908,WEEKDAY(('_Dates'!Y908),2),MOD(((MIN('_Dates'!Z908,Settings!$B$9))-('_Dates'!Y908)+1),7)),"O",""))-COUNTIFS(INDEX(AllClosureRows,C908,0),"&gt;="&amp;('_Dates'!Y908),INDEX(AllClosureRows,C908,0),"&lt;="&amp;(MIN('_Dates'!Z908,Settings!$B$9))))))</ns0:f>
        <ns0:v>0</ns0:v>
      </ns0:c>
      <ns0:c r="I908" s="0">
        <ns0:f>MAX(0,G908-H908)</ns0:f>
        <ns0:v>0</ns0:v>
      </ns0:c>
      <ns0:c r="J908" s="0">
        <ns0:f>IF(OR(A908=0,F908&lt;&gt;"OK",Bookings!G908="Cancelled",$B$6&gt;0),0,IF('_Dates'!AC908=1,MAX(0,COUNTIFS(rngEngine_B,B908,rngAMStart,"&lt;="&amp;'_Dates'!X908,rngAMEnd,"&gt;="&amp;'_Dates'!W908,rngAMActive,1,rngEngine_F,"OK",rngBookings_F,"&lt;&gt;Cancelled")-1),0)+IF('_Dates'!AD908=1,MAX(0,COUNTIFS(rngEngine_B,B908,rngPMStart,"&lt;="&amp;'_Dates'!Z908,rngPMEnd,"&gt;="&amp;'_Dates'!Y908,rngPMActive,1,rngEngine_F,"OK",rngBookings_F,"&lt;&gt;Cancelled")-1),0))</ns0:f>
        <ns0:v>0</ns0:v>
      </ns0:c>
      <ns0:c r="K908" s="0" t="str">
        <ns0:f>IF(A908=0,"",IF(F908&lt;&gt;"OK",F908,IF(J908&gt;0,"CHECK overlapping entry",IF(AND($B$6=0,G908&lt;=0,Bookings!G908&lt;&gt;"Cancelled"),"CHECK no working days",IF(Bookings!G908="Cancelled","Cancelled","OK")))))</ns0:f>
        <ns0:v/>
      </ns0:c>
      <ns0:c r="L908" s="0">
        <ns0:f>IF(LEFT(K908,5)="CHECK",1,0)</ns0:f>
        <ns0:v>0</ns0:v>
      </ns0:c>
      <ns0:c r="M908" s="0">
        <ns0:f>IF(AND(L908=1,OR(C908=0,IFERROR(INDEX($X$11:$X$60,C908),0)=0)),1,0)</ns0:f>
        <ns0:v>0</ns0:v>
      </ns0:c>
      <ns0:c r="N908" s="0">
        <ns0:f>IF(OR(A908=0,L908&gt;0,$B$6&gt;0,Bookings!G908="Cancelled"),0,G908)</ns0:f>
        <ns0:v>0</ns0:v>
      </ns0:c>
      <ns0:c r="O908" s="0">
        <ns0:f>IF(AND(Bookings!G908="Approved",E908="Yes"),N908,0)</ns0:f>
        <ns0:v>0</ns0:v>
      </ns0:c>
      <ns0:c r="P908" s="0">
        <ns0:f>IF(AND(Bookings!G908="Approved",E908="Yes",L908=0,$B$6=0),H908,0)</ns0:f>
        <ns0:v>0</ns0:v>
      </ns0:c>
      <ns0:c r="Q908" s="0">
        <ns0:f>IF(AND(Bookings!G908="Approved",E908="Yes",L908=0,$B$6=0),I908,0)</ns0:f>
        <ns0:v>0</ns0:v>
      </ns0:c>
      <ns0:c r="R908" s="0">
        <ns0:f>IF(AND(Bookings!G908="Pending",E908="Yes"),N908,0)</ns0:f>
        <ns0:v>0</ns0:v>
      </ns0:c>
      <ns0:c r="S908" s="0">
        <ns0:f>IF(AND(Bookings!G908="Approved",E908="No"),N908,0)</ns0:f>
        <ns0:v>0</ns0:v>
      </ns0:c>
      <ns0:c r="T908" s="0">
        <ns0:f>IFERROR(MATCH(D908,Settings!$G$7:$G$11,0),0)</ns0:f>
        <ns0:v>0</ns0:v>
      </ns0:c>
      <ns0:c r="U908" s="0">
        <ns0:f>IF(N908&gt;0,T908+IF(Bookings!G908="Pending",10,0),0)</ns0:f>
        <ns0:v>0</ns0:v>
      </ns0:c>
      <ns0:c r="V908" s="0">
        <ns0:f>U908</ns0:f>
        <ns0:v>0</ns0:v>
      </ns0:c>
      <ns0:c r="W908" s="0" t="str">
        <ns0:f>IF(C908=0,"",INDEX($AP$11:$AP$60,C908))</ns0:f>
        <ns0:v/>
      </ns0:c>
    </ns0:row>
    <ns0:row r="909">
      <ns0:c r="A909" s="0">
        <ns0:f>IF(COUNTA(Bookings!A909:G909,Bookings!I909)=0,0,1)</ns0:f>
        <ns0:v>0</ns0:v>
      </ns0:c>
      <ns0:c r="B909" s="0" t="str">
        <ns0:f>IFERROR(TRIM(MID(Bookings!A909,FIND(" · ",Bookings!A909)+3,99)),"")</ns0:f>
        <ns0:v/>
      </ns0:c>
      <ns0:c r="C909" s="0">
        <ns0:f>IF(OR(B909="",LEN(B909)&gt;24,ISNUMBER(FIND(" ",B909)),ISNUMBER(FIND("*",B909)),ISNUMBER(FIND("?",B909)),ISNUMBER(FIND("~",B909))),0,IFERROR(MATCH(B909,Team!$A$11:$A$60,0),0))</ns0:f>
        <ns0:v>0</ns0:v>
      </ns0:c>
      <ns0:c r="D909" s="0" t="str">
        <ns0:f>IFERROR(IF(MID(Bookings!F909,LEN(Bookings!F909)-3,3)=" · ",RIGHT(Bookings!F909,1),""),"")</ns0:f>
        <ns0:v/>
      </ns0:c>
      <ns0:c r="E909" s="0" t="str">
        <ns0:f>IFERROR(INDEX(Settings!$H$7:$H$11,MATCH(D909,Settings!$G$7:$G$11,0)),"")</ns0:f>
        <ns0:v/>
      </ns0:c>
      <ns0:c r="F909" s="0" t="str">
        <ns0:f>IF(A909=0,"",IFERROR(IF(OR(B909="",C909=0),"CHECK employee selection",IF(INDEX(Team!$O$11:$O$60,C909)&lt;&gt;"OK","CHECK employee setup",IF(OR('_Dates'!J909=0,'_Dates'!T909=0),"CHECK date: use DD.MM.YYYY",IF('_Dates'!T909&lt;'_Dates'!J909,"CHECK end before start",IF(AND($B$6=0,OR('_Dates'!J909&lt;Settings!$B$7,'_Dates'!T909&gt;Settings!$B$8)),"CHECK split across leave years",IF(OR(NOT(OR('_Dates'!U909="Full day",'_Dates'!U909="AM",'_Dates'!U909="PM")),NOT(OR('_Dates'!V909="Full day",'_Dates'!V909="AM",'_Dates'!V909="PM"))),"CHECK Full day / AM / PM",IF(AND('_Dates'!J909='_Dates'!T909,'_Dates'!U909&lt;&gt;"Full day",'_Dates'!V909&lt;&gt;"Full day",'_Dates'!U909&lt;&gt;'_Dates'!V909),"CHECK same-day portions disagree",IF(AND($B$6=0,OR(AND('_Dates'!U909&lt;&gt;"Full day",'_Dates'!AA909=0),AND('_Dates'!V909&lt;&gt;"Full day",'_Dates'!AB909=0))),"CHECK half-day on non-working date",IF(COUNTIF(Settings!$G$7:$G$11,D909)&lt;&gt;1,"CHECK leave type",IF(AND(Bookings!G909&lt;&gt;"Approved",Bookings!G909&lt;&gt;"Pending",Bookings!G909&lt;&gt;"Cancelled"),"CHECK status","OK")))))))))),"CHECK input"))</ns0:f>
        <ns0:v/>
      </ns0:c>
      <ns0:c r="G909" s="0">
        <ns0:f>IF(OR(F909&lt;&gt;"OK",$B$6&gt;0),0,0.5*(IF(('_Dates'!X909)&lt;('_Dates'!W909),0,INT((('_Dates'!X909)-('_Dates'!W909)+1)/7)*LEN(SUBSTITUTE(W909,"O",""))+LEN(SUBSTITUTE(MID(W909&amp;W909,WEEKDAY(('_Dates'!W909),2),MOD((('_Dates'!X909)-('_Dates'!W909)+1),7)),"O",""))-COUNTIFS(INDEX(AllClosureRows,C909,0),"&gt;="&amp;('_Dates'!W909),INDEX(AllClosureRows,C909,0),"&lt;="&amp;('_Dates'!X909)))+IF(('_Dates'!Z909)&lt;('_Dates'!Y909),0,INT((('_Dates'!Z909)-('_Dates'!Y909)+1)/7)*LEN(SUBSTITUTE(W909,"O",""))+LEN(SUBSTITUTE(MID(W909&amp;W909,WEEKDAY(('_Dates'!Y909),2),MOD((('_Dates'!Z909)-('_Dates'!Y909)+1),7)),"O",""))-COUNTIFS(INDEX(AllClosureRows,C909,0),"&gt;="&amp;('_Dates'!Y909),INDEX(AllClosureRows,C909,0),"&lt;="&amp;('_Dates'!Z909)))))</ns0:f>
        <ns0:v>0</ns0:v>
      </ns0:c>
      <ns0:c r="H909" s="0">
        <ns0:f>IF(OR(F909&lt;&gt;"OK",$B$6&gt;0),0,0.5*(IF((MIN('_Dates'!X909,Settings!$B$9))&lt;('_Dates'!W909),0,INT(((MIN('_Dates'!X909,Settings!$B$9))-('_Dates'!W909)+1)/7)*LEN(SUBSTITUTE(W909,"O",""))+LEN(SUBSTITUTE(MID(W909&amp;W909,WEEKDAY(('_Dates'!W909),2),MOD(((MIN('_Dates'!X909,Settings!$B$9))-('_Dates'!W909)+1),7)),"O",""))-COUNTIFS(INDEX(AllClosureRows,C909,0),"&gt;="&amp;('_Dates'!W909),INDEX(AllClosureRows,C909,0),"&lt;="&amp;(MIN('_Dates'!X909,Settings!$B$9))))+IF((MIN('_Dates'!Z909,Settings!$B$9))&lt;('_Dates'!Y909),0,INT(((MIN('_Dates'!Z909,Settings!$B$9))-('_Dates'!Y909)+1)/7)*LEN(SUBSTITUTE(W909,"O",""))+LEN(SUBSTITUTE(MID(W909&amp;W909,WEEKDAY(('_Dates'!Y909),2),MOD(((MIN('_Dates'!Z909,Settings!$B$9))-('_Dates'!Y909)+1),7)),"O",""))-COUNTIFS(INDEX(AllClosureRows,C909,0),"&gt;="&amp;('_Dates'!Y909),INDEX(AllClosureRows,C909,0),"&lt;="&amp;(MIN('_Dates'!Z909,Settings!$B$9))))))</ns0:f>
        <ns0:v>0</ns0:v>
      </ns0:c>
      <ns0:c r="I909" s="0">
        <ns0:f>MAX(0,G909-H909)</ns0:f>
        <ns0:v>0</ns0:v>
      </ns0:c>
      <ns0:c r="J909" s="0">
        <ns0:f>IF(OR(A909=0,F909&lt;&gt;"OK",Bookings!G909="Cancelled",$B$6&gt;0),0,IF('_Dates'!AC909=1,MAX(0,COUNTIFS(rngEngine_B,B909,rngAMStart,"&lt;="&amp;'_Dates'!X909,rngAMEnd,"&gt;="&amp;'_Dates'!W909,rngAMActive,1,rngEngine_F,"OK",rngBookings_F,"&lt;&gt;Cancelled")-1),0)+IF('_Dates'!AD909=1,MAX(0,COUNTIFS(rngEngine_B,B909,rngPMStart,"&lt;="&amp;'_Dates'!Z909,rngPMEnd,"&gt;="&amp;'_Dates'!Y909,rngPMActive,1,rngEngine_F,"OK",rngBookings_F,"&lt;&gt;Cancelled")-1),0))</ns0:f>
        <ns0:v>0</ns0:v>
      </ns0:c>
      <ns0:c r="K909" s="0" t="str">
        <ns0:f>IF(A909=0,"",IF(F909&lt;&gt;"OK",F909,IF(J909&gt;0,"CHECK overlapping entry",IF(AND($B$6=0,G909&lt;=0,Bookings!G909&lt;&gt;"Cancelled"),"CHECK no working days",IF(Bookings!G909="Cancelled","Cancelled","OK")))))</ns0:f>
        <ns0:v/>
      </ns0:c>
      <ns0:c r="L909" s="0">
        <ns0:f>IF(LEFT(K909,5)="CHECK",1,0)</ns0:f>
        <ns0:v>0</ns0:v>
      </ns0:c>
      <ns0:c r="M909" s="0">
        <ns0:f>IF(AND(L909=1,OR(C909=0,IFERROR(INDEX($X$11:$X$60,C909),0)=0)),1,0)</ns0:f>
        <ns0:v>0</ns0:v>
      </ns0:c>
      <ns0:c r="N909" s="0">
        <ns0:f>IF(OR(A909=0,L909&gt;0,$B$6&gt;0,Bookings!G909="Cancelled"),0,G909)</ns0:f>
        <ns0:v>0</ns0:v>
      </ns0:c>
      <ns0:c r="O909" s="0">
        <ns0:f>IF(AND(Bookings!G909="Approved",E909="Yes"),N909,0)</ns0:f>
        <ns0:v>0</ns0:v>
      </ns0:c>
      <ns0:c r="P909" s="0">
        <ns0:f>IF(AND(Bookings!G909="Approved",E909="Yes",L909=0,$B$6=0),H909,0)</ns0:f>
        <ns0:v>0</ns0:v>
      </ns0:c>
      <ns0:c r="Q909" s="0">
        <ns0:f>IF(AND(Bookings!G909="Approved",E909="Yes",L909=0,$B$6=0),I909,0)</ns0:f>
        <ns0:v>0</ns0:v>
      </ns0:c>
      <ns0:c r="R909" s="0">
        <ns0:f>IF(AND(Bookings!G909="Pending",E909="Yes"),N909,0)</ns0:f>
        <ns0:v>0</ns0:v>
      </ns0:c>
      <ns0:c r="S909" s="0">
        <ns0:f>IF(AND(Bookings!G909="Approved",E909="No"),N909,0)</ns0:f>
        <ns0:v>0</ns0:v>
      </ns0:c>
      <ns0:c r="T909" s="0">
        <ns0:f>IFERROR(MATCH(D909,Settings!$G$7:$G$11,0),0)</ns0:f>
        <ns0:v>0</ns0:v>
      </ns0:c>
      <ns0:c r="U909" s="0">
        <ns0:f>IF(N909&gt;0,T909+IF(Bookings!G909="Pending",10,0),0)</ns0:f>
        <ns0:v>0</ns0:v>
      </ns0:c>
      <ns0:c r="V909" s="0">
        <ns0:f>U909</ns0:f>
        <ns0:v>0</ns0:v>
      </ns0:c>
      <ns0:c r="W909" s="0" t="str">
        <ns0:f>IF(C909=0,"",INDEX($AP$11:$AP$60,C909))</ns0:f>
        <ns0:v/>
      </ns0:c>
    </ns0:row>
    <ns0:row r="910">
      <ns0:c r="A910" s="0">
        <ns0:f>IF(COUNTA(Bookings!A910:G910,Bookings!I910)=0,0,1)</ns0:f>
        <ns0:v>0</ns0:v>
      </ns0:c>
      <ns0:c r="B910" s="0" t="str">
        <ns0:f>IFERROR(TRIM(MID(Bookings!A910,FIND(" · ",Bookings!A910)+3,99)),"")</ns0:f>
        <ns0:v/>
      </ns0:c>
      <ns0:c r="C910" s="0">
        <ns0:f>IF(OR(B910="",LEN(B910)&gt;24,ISNUMBER(FIND(" ",B910)),ISNUMBER(FIND("*",B910)),ISNUMBER(FIND("?",B910)),ISNUMBER(FIND("~",B910))),0,IFERROR(MATCH(B910,Team!$A$11:$A$60,0),0))</ns0:f>
        <ns0:v>0</ns0:v>
      </ns0:c>
      <ns0:c r="D910" s="0" t="str">
        <ns0:f>IFERROR(IF(MID(Bookings!F910,LEN(Bookings!F910)-3,3)=" · ",RIGHT(Bookings!F910,1),""),"")</ns0:f>
        <ns0:v/>
      </ns0:c>
      <ns0:c r="E910" s="0" t="str">
        <ns0:f>IFERROR(INDEX(Settings!$H$7:$H$11,MATCH(D910,Settings!$G$7:$G$11,0)),"")</ns0:f>
        <ns0:v/>
      </ns0:c>
      <ns0:c r="F910" s="0" t="str">
        <ns0:f>IF(A910=0,"",IFERROR(IF(OR(B910="",C910=0),"CHECK employee selection",IF(INDEX(Team!$O$11:$O$60,C910)&lt;&gt;"OK","CHECK employee setup",IF(OR('_Dates'!J910=0,'_Dates'!T910=0),"CHECK date: use DD.MM.YYYY",IF('_Dates'!T910&lt;'_Dates'!J910,"CHECK end before start",IF(AND($B$6=0,OR('_Dates'!J910&lt;Settings!$B$7,'_Dates'!T910&gt;Settings!$B$8)),"CHECK split across leave years",IF(OR(NOT(OR('_Dates'!U910="Full day",'_Dates'!U910="AM",'_Dates'!U910="PM")),NOT(OR('_Dates'!V910="Full day",'_Dates'!V910="AM",'_Dates'!V910="PM"))),"CHECK Full day / AM / PM",IF(AND('_Dates'!J910='_Dates'!T910,'_Dates'!U910&lt;&gt;"Full day",'_Dates'!V910&lt;&gt;"Full day",'_Dates'!U910&lt;&gt;'_Dates'!V910),"CHECK same-day portions disagree",IF(AND($B$6=0,OR(AND('_Dates'!U910&lt;&gt;"Full day",'_Dates'!AA910=0),AND('_Dates'!V910&lt;&gt;"Full day",'_Dates'!AB910=0))),"CHECK half-day on non-working date",IF(COUNTIF(Settings!$G$7:$G$11,D910)&lt;&gt;1,"CHECK leave type",IF(AND(Bookings!G910&lt;&gt;"Approved",Bookings!G910&lt;&gt;"Pending",Bookings!G910&lt;&gt;"Cancelled"),"CHECK status","OK")))))))))),"CHECK input"))</ns0:f>
        <ns0:v/>
      </ns0:c>
      <ns0:c r="G910" s="0">
        <ns0:f>IF(OR(F910&lt;&gt;"OK",$B$6&gt;0),0,0.5*(IF(('_Dates'!X910)&lt;('_Dates'!W910),0,INT((('_Dates'!X910)-('_Dates'!W910)+1)/7)*LEN(SUBSTITUTE(W910,"O",""))+LEN(SUBSTITUTE(MID(W910&amp;W910,WEEKDAY(('_Dates'!W910),2),MOD((('_Dates'!X910)-('_Dates'!W910)+1),7)),"O",""))-COUNTIFS(INDEX(AllClosureRows,C910,0),"&gt;="&amp;('_Dates'!W910),INDEX(AllClosureRows,C910,0),"&lt;="&amp;('_Dates'!X910)))+IF(('_Dates'!Z910)&lt;('_Dates'!Y910),0,INT((('_Dates'!Z910)-('_Dates'!Y910)+1)/7)*LEN(SUBSTITUTE(W910,"O",""))+LEN(SUBSTITUTE(MID(W910&amp;W910,WEEKDAY(('_Dates'!Y910),2),MOD((('_Dates'!Z910)-('_Dates'!Y910)+1),7)),"O",""))-COUNTIFS(INDEX(AllClosureRows,C910,0),"&gt;="&amp;('_Dates'!Y910),INDEX(AllClosureRows,C910,0),"&lt;="&amp;('_Dates'!Z910)))))</ns0:f>
        <ns0:v>0</ns0:v>
      </ns0:c>
      <ns0:c r="H910" s="0">
        <ns0:f>IF(OR(F910&lt;&gt;"OK",$B$6&gt;0),0,0.5*(IF((MIN('_Dates'!X910,Settings!$B$9))&lt;('_Dates'!W910),0,INT(((MIN('_Dates'!X910,Settings!$B$9))-('_Dates'!W910)+1)/7)*LEN(SUBSTITUTE(W910,"O",""))+LEN(SUBSTITUTE(MID(W910&amp;W910,WEEKDAY(('_Dates'!W910),2),MOD(((MIN('_Dates'!X910,Settings!$B$9))-('_Dates'!W910)+1),7)),"O",""))-COUNTIFS(INDEX(AllClosureRows,C910,0),"&gt;="&amp;('_Dates'!W910),INDEX(AllClosureRows,C910,0),"&lt;="&amp;(MIN('_Dates'!X910,Settings!$B$9))))+IF((MIN('_Dates'!Z910,Settings!$B$9))&lt;('_Dates'!Y910),0,INT(((MIN('_Dates'!Z910,Settings!$B$9))-('_Dates'!Y910)+1)/7)*LEN(SUBSTITUTE(W910,"O",""))+LEN(SUBSTITUTE(MID(W910&amp;W910,WEEKDAY(('_Dates'!Y910),2),MOD(((MIN('_Dates'!Z910,Settings!$B$9))-('_Dates'!Y910)+1),7)),"O",""))-COUNTIFS(INDEX(AllClosureRows,C910,0),"&gt;="&amp;('_Dates'!Y910),INDEX(AllClosureRows,C910,0),"&lt;="&amp;(MIN('_Dates'!Z910,Settings!$B$9))))))</ns0:f>
        <ns0:v>0</ns0:v>
      </ns0:c>
      <ns0:c r="I910" s="0">
        <ns0:f>MAX(0,G910-H910)</ns0:f>
        <ns0:v>0</ns0:v>
      </ns0:c>
      <ns0:c r="J910" s="0">
        <ns0:f>IF(OR(A910=0,F910&lt;&gt;"OK",Bookings!G910="Cancelled",$B$6&gt;0),0,IF('_Dates'!AC910=1,MAX(0,COUNTIFS(rngEngine_B,B910,rngAMStart,"&lt;="&amp;'_Dates'!X910,rngAMEnd,"&gt;="&amp;'_Dates'!W910,rngAMActive,1,rngEngine_F,"OK",rngBookings_F,"&lt;&gt;Cancelled")-1),0)+IF('_Dates'!AD910=1,MAX(0,COUNTIFS(rngEngine_B,B910,rngPMStart,"&lt;="&amp;'_Dates'!Z910,rngPMEnd,"&gt;="&amp;'_Dates'!Y910,rngPMActive,1,rngEngine_F,"OK",rngBookings_F,"&lt;&gt;Cancelled")-1),0))</ns0:f>
        <ns0:v>0</ns0:v>
      </ns0:c>
      <ns0:c r="K910" s="0" t="str">
        <ns0:f>IF(A910=0,"",IF(F910&lt;&gt;"OK",F910,IF(J910&gt;0,"CHECK overlapping entry",IF(AND($B$6=0,G910&lt;=0,Bookings!G910&lt;&gt;"Cancelled"),"CHECK no working days",IF(Bookings!G910="Cancelled","Cancelled","OK")))))</ns0:f>
        <ns0:v/>
      </ns0:c>
      <ns0:c r="L910" s="0">
        <ns0:f>IF(LEFT(K910,5)="CHECK",1,0)</ns0:f>
        <ns0:v>0</ns0:v>
      </ns0:c>
      <ns0:c r="M910" s="0">
        <ns0:f>IF(AND(L910=1,OR(C910=0,IFERROR(INDEX($X$11:$X$60,C910),0)=0)),1,0)</ns0:f>
        <ns0:v>0</ns0:v>
      </ns0:c>
      <ns0:c r="N910" s="0">
        <ns0:f>IF(OR(A910=0,L910&gt;0,$B$6&gt;0,Bookings!G910="Cancelled"),0,G910)</ns0:f>
        <ns0:v>0</ns0:v>
      </ns0:c>
      <ns0:c r="O910" s="0">
        <ns0:f>IF(AND(Bookings!G910="Approved",E910="Yes"),N910,0)</ns0:f>
        <ns0:v>0</ns0:v>
      </ns0:c>
      <ns0:c r="P910" s="0">
        <ns0:f>IF(AND(Bookings!G910="Approved",E910="Yes",L910=0,$B$6=0),H910,0)</ns0:f>
        <ns0:v>0</ns0:v>
      </ns0:c>
      <ns0:c r="Q910" s="0">
        <ns0:f>IF(AND(Bookings!G910="Approved",E910="Yes",L910=0,$B$6=0),I910,0)</ns0:f>
        <ns0:v>0</ns0:v>
      </ns0:c>
      <ns0:c r="R910" s="0">
        <ns0:f>IF(AND(Bookings!G910="Pending",E910="Yes"),N910,0)</ns0:f>
        <ns0:v>0</ns0:v>
      </ns0:c>
      <ns0:c r="S910" s="0">
        <ns0:f>IF(AND(Bookings!G910="Approved",E910="No"),N910,0)</ns0:f>
        <ns0:v>0</ns0:v>
      </ns0:c>
      <ns0:c r="T910" s="0">
        <ns0:f>IFERROR(MATCH(D910,Settings!$G$7:$G$11,0),0)</ns0:f>
        <ns0:v>0</ns0:v>
      </ns0:c>
      <ns0:c r="U910" s="0">
        <ns0:f>IF(N910&gt;0,T910+IF(Bookings!G910="Pending",10,0),0)</ns0:f>
        <ns0:v>0</ns0:v>
      </ns0:c>
      <ns0:c r="V910" s="0">
        <ns0:f>U910</ns0:f>
        <ns0:v>0</ns0:v>
      </ns0:c>
      <ns0:c r="W910" s="0" t="str">
        <ns0:f>IF(C910=0,"",INDEX($AP$11:$AP$60,C910))</ns0:f>
        <ns0:v/>
      </ns0:c>
    </ns0:row>
    <ns0:row r="911">
      <ns0:c r="A911" s="0">
        <ns0:f>IF(COUNTA(Bookings!A911:G911,Bookings!I911)=0,0,1)</ns0:f>
        <ns0:v>0</ns0:v>
      </ns0:c>
      <ns0:c r="B911" s="0" t="str">
        <ns0:f>IFERROR(TRIM(MID(Bookings!A911,FIND(" · ",Bookings!A911)+3,99)),"")</ns0:f>
        <ns0:v/>
      </ns0:c>
      <ns0:c r="C911" s="0">
        <ns0:f>IF(OR(B911="",LEN(B911)&gt;24,ISNUMBER(FIND(" ",B911)),ISNUMBER(FIND("*",B911)),ISNUMBER(FIND("?",B911)),ISNUMBER(FIND("~",B911))),0,IFERROR(MATCH(B911,Team!$A$11:$A$60,0),0))</ns0:f>
        <ns0:v>0</ns0:v>
      </ns0:c>
      <ns0:c r="D911" s="0" t="str">
        <ns0:f>IFERROR(IF(MID(Bookings!F911,LEN(Bookings!F911)-3,3)=" · ",RIGHT(Bookings!F911,1),""),"")</ns0:f>
        <ns0:v/>
      </ns0:c>
      <ns0:c r="E911" s="0" t="str">
        <ns0:f>IFERROR(INDEX(Settings!$H$7:$H$11,MATCH(D911,Settings!$G$7:$G$11,0)),"")</ns0:f>
        <ns0:v/>
      </ns0:c>
      <ns0:c r="F911" s="0" t="str">
        <ns0:f>IF(A911=0,"",IFERROR(IF(OR(B911="",C911=0),"CHECK employee selection",IF(INDEX(Team!$O$11:$O$60,C911)&lt;&gt;"OK","CHECK employee setup",IF(OR('_Dates'!J911=0,'_Dates'!T911=0),"CHECK date: use DD.MM.YYYY",IF('_Dates'!T911&lt;'_Dates'!J911,"CHECK end before start",IF(AND($B$6=0,OR('_Dates'!J911&lt;Settings!$B$7,'_Dates'!T911&gt;Settings!$B$8)),"CHECK split across leave years",IF(OR(NOT(OR('_Dates'!U911="Full day",'_Dates'!U911="AM",'_Dates'!U911="PM")),NOT(OR('_Dates'!V911="Full day",'_Dates'!V911="AM",'_Dates'!V911="PM"))),"CHECK Full day / AM / PM",IF(AND('_Dates'!J911='_Dates'!T911,'_Dates'!U911&lt;&gt;"Full day",'_Dates'!V911&lt;&gt;"Full day",'_Dates'!U911&lt;&gt;'_Dates'!V911),"CHECK same-day portions disagree",IF(AND($B$6=0,OR(AND('_Dates'!U911&lt;&gt;"Full day",'_Dates'!AA911=0),AND('_Dates'!V911&lt;&gt;"Full day",'_Dates'!AB911=0))),"CHECK half-day on non-working date",IF(COUNTIF(Settings!$G$7:$G$11,D911)&lt;&gt;1,"CHECK leave type",IF(AND(Bookings!G911&lt;&gt;"Approved",Bookings!G911&lt;&gt;"Pending",Bookings!G911&lt;&gt;"Cancelled"),"CHECK status","OK")))))))))),"CHECK input"))</ns0:f>
        <ns0:v/>
      </ns0:c>
      <ns0:c r="G911" s="0">
        <ns0:f>IF(OR(F911&lt;&gt;"OK",$B$6&gt;0),0,0.5*(IF(('_Dates'!X911)&lt;('_Dates'!W911),0,INT((('_Dates'!X911)-('_Dates'!W911)+1)/7)*LEN(SUBSTITUTE(W911,"O",""))+LEN(SUBSTITUTE(MID(W911&amp;W911,WEEKDAY(('_Dates'!W911),2),MOD((('_Dates'!X911)-('_Dates'!W911)+1),7)),"O",""))-COUNTIFS(INDEX(AllClosureRows,C911,0),"&gt;="&amp;('_Dates'!W911),INDEX(AllClosureRows,C911,0),"&lt;="&amp;('_Dates'!X911)))+IF(('_Dates'!Z911)&lt;('_Dates'!Y911),0,INT((('_Dates'!Z911)-('_Dates'!Y911)+1)/7)*LEN(SUBSTITUTE(W911,"O",""))+LEN(SUBSTITUTE(MID(W911&amp;W911,WEEKDAY(('_Dates'!Y911),2),MOD((('_Dates'!Z911)-('_Dates'!Y911)+1),7)),"O",""))-COUNTIFS(INDEX(AllClosureRows,C911,0),"&gt;="&amp;('_Dates'!Y911),INDEX(AllClosureRows,C911,0),"&lt;="&amp;('_Dates'!Z911)))))</ns0:f>
        <ns0:v>0</ns0:v>
      </ns0:c>
      <ns0:c r="H911" s="0">
        <ns0:f>IF(OR(F911&lt;&gt;"OK",$B$6&gt;0),0,0.5*(IF((MIN('_Dates'!X911,Settings!$B$9))&lt;('_Dates'!W911),0,INT(((MIN('_Dates'!X911,Settings!$B$9))-('_Dates'!W911)+1)/7)*LEN(SUBSTITUTE(W911,"O",""))+LEN(SUBSTITUTE(MID(W911&amp;W911,WEEKDAY(('_Dates'!W911),2),MOD(((MIN('_Dates'!X911,Settings!$B$9))-('_Dates'!W911)+1),7)),"O",""))-COUNTIFS(INDEX(AllClosureRows,C911,0),"&gt;="&amp;('_Dates'!W911),INDEX(AllClosureRows,C911,0),"&lt;="&amp;(MIN('_Dates'!X911,Settings!$B$9))))+IF((MIN('_Dates'!Z911,Settings!$B$9))&lt;('_Dates'!Y911),0,INT(((MIN('_Dates'!Z911,Settings!$B$9))-('_Dates'!Y911)+1)/7)*LEN(SUBSTITUTE(W911,"O",""))+LEN(SUBSTITUTE(MID(W911&amp;W911,WEEKDAY(('_Dates'!Y911),2),MOD(((MIN('_Dates'!Z911,Settings!$B$9))-('_Dates'!Y911)+1),7)),"O",""))-COUNTIFS(INDEX(AllClosureRows,C911,0),"&gt;="&amp;('_Dates'!Y911),INDEX(AllClosureRows,C911,0),"&lt;="&amp;(MIN('_Dates'!Z911,Settings!$B$9))))))</ns0:f>
        <ns0:v>0</ns0:v>
      </ns0:c>
      <ns0:c r="I911" s="0">
        <ns0:f>MAX(0,G911-H911)</ns0:f>
        <ns0:v>0</ns0:v>
      </ns0:c>
      <ns0:c r="J911" s="0">
        <ns0:f>IF(OR(A911=0,F911&lt;&gt;"OK",Bookings!G911="Cancelled",$B$6&gt;0),0,IF('_Dates'!AC911=1,MAX(0,COUNTIFS(rngEngine_B,B911,rngAMStart,"&lt;="&amp;'_Dates'!X911,rngAMEnd,"&gt;="&amp;'_Dates'!W911,rngAMActive,1,rngEngine_F,"OK",rngBookings_F,"&lt;&gt;Cancelled")-1),0)+IF('_Dates'!AD911=1,MAX(0,COUNTIFS(rngEngine_B,B911,rngPMStart,"&lt;="&amp;'_Dates'!Z911,rngPMEnd,"&gt;="&amp;'_Dates'!Y911,rngPMActive,1,rngEngine_F,"OK",rngBookings_F,"&lt;&gt;Cancelled")-1),0))</ns0:f>
        <ns0:v>0</ns0:v>
      </ns0:c>
      <ns0:c r="K911" s="0" t="str">
        <ns0:f>IF(A911=0,"",IF(F911&lt;&gt;"OK",F911,IF(J911&gt;0,"CHECK overlapping entry",IF(AND($B$6=0,G911&lt;=0,Bookings!G911&lt;&gt;"Cancelled"),"CHECK no working days",IF(Bookings!G911="Cancelled","Cancelled","OK")))))</ns0:f>
        <ns0:v/>
      </ns0:c>
      <ns0:c r="L911" s="0">
        <ns0:f>IF(LEFT(K911,5)="CHECK",1,0)</ns0:f>
        <ns0:v>0</ns0:v>
      </ns0:c>
      <ns0:c r="M911" s="0">
        <ns0:f>IF(AND(L911=1,OR(C911=0,IFERROR(INDEX($X$11:$X$60,C911),0)=0)),1,0)</ns0:f>
        <ns0:v>0</ns0:v>
      </ns0:c>
      <ns0:c r="N911" s="0">
        <ns0:f>IF(OR(A911=0,L911&gt;0,$B$6&gt;0,Bookings!G911="Cancelled"),0,G911)</ns0:f>
        <ns0:v>0</ns0:v>
      </ns0:c>
      <ns0:c r="O911" s="0">
        <ns0:f>IF(AND(Bookings!G911="Approved",E911="Yes"),N911,0)</ns0:f>
        <ns0:v>0</ns0:v>
      </ns0:c>
      <ns0:c r="P911" s="0">
        <ns0:f>IF(AND(Bookings!G911="Approved",E911="Yes",L911=0,$B$6=0),H911,0)</ns0:f>
        <ns0:v>0</ns0:v>
      </ns0:c>
      <ns0:c r="Q911" s="0">
        <ns0:f>IF(AND(Bookings!G911="Approved",E911="Yes",L911=0,$B$6=0),I911,0)</ns0:f>
        <ns0:v>0</ns0:v>
      </ns0:c>
      <ns0:c r="R911" s="0">
        <ns0:f>IF(AND(Bookings!G911="Pending",E911="Yes"),N911,0)</ns0:f>
        <ns0:v>0</ns0:v>
      </ns0:c>
      <ns0:c r="S911" s="0">
        <ns0:f>IF(AND(Bookings!G911="Approved",E911="No"),N911,0)</ns0:f>
        <ns0:v>0</ns0:v>
      </ns0:c>
      <ns0:c r="T911" s="0">
        <ns0:f>IFERROR(MATCH(D911,Settings!$G$7:$G$11,0),0)</ns0:f>
        <ns0:v>0</ns0:v>
      </ns0:c>
      <ns0:c r="U911" s="0">
        <ns0:f>IF(N911&gt;0,T911+IF(Bookings!G911="Pending",10,0),0)</ns0:f>
        <ns0:v>0</ns0:v>
      </ns0:c>
      <ns0:c r="V911" s="0">
        <ns0:f>U911</ns0:f>
        <ns0:v>0</ns0:v>
      </ns0:c>
      <ns0:c r="W911" s="0" t="str">
        <ns0:f>IF(C911=0,"",INDEX($AP$11:$AP$60,C911))</ns0:f>
        <ns0:v/>
      </ns0:c>
    </ns0:row>
    <ns0:row r="912">
      <ns0:c r="A912" s="0">
        <ns0:f>IF(COUNTA(Bookings!A912:G912,Bookings!I912)=0,0,1)</ns0:f>
        <ns0:v>0</ns0:v>
      </ns0:c>
      <ns0:c r="B912" s="0" t="str">
        <ns0:f>IFERROR(TRIM(MID(Bookings!A912,FIND(" · ",Bookings!A912)+3,99)),"")</ns0:f>
        <ns0:v/>
      </ns0:c>
      <ns0:c r="C912" s="0">
        <ns0:f>IF(OR(B912="",LEN(B912)&gt;24,ISNUMBER(FIND(" ",B912)),ISNUMBER(FIND("*",B912)),ISNUMBER(FIND("?",B912)),ISNUMBER(FIND("~",B912))),0,IFERROR(MATCH(B912,Team!$A$11:$A$60,0),0))</ns0:f>
        <ns0:v>0</ns0:v>
      </ns0:c>
      <ns0:c r="D912" s="0" t="str">
        <ns0:f>IFERROR(IF(MID(Bookings!F912,LEN(Bookings!F912)-3,3)=" · ",RIGHT(Bookings!F912,1),""),"")</ns0:f>
        <ns0:v/>
      </ns0:c>
      <ns0:c r="E912" s="0" t="str">
        <ns0:f>IFERROR(INDEX(Settings!$H$7:$H$11,MATCH(D912,Settings!$G$7:$G$11,0)),"")</ns0:f>
        <ns0:v/>
      </ns0:c>
      <ns0:c r="F912" s="0" t="str">
        <ns0:f>IF(A912=0,"",IFERROR(IF(OR(B912="",C912=0),"CHECK employee selection",IF(INDEX(Team!$O$11:$O$60,C912)&lt;&gt;"OK","CHECK employee setup",IF(OR('_Dates'!J912=0,'_Dates'!T912=0),"CHECK date: use DD.MM.YYYY",IF('_Dates'!T912&lt;'_Dates'!J912,"CHECK end before start",IF(AND($B$6=0,OR('_Dates'!J912&lt;Settings!$B$7,'_Dates'!T912&gt;Settings!$B$8)),"CHECK split across leave years",IF(OR(NOT(OR('_Dates'!U912="Full day",'_Dates'!U912="AM",'_Dates'!U912="PM")),NOT(OR('_Dates'!V912="Full day",'_Dates'!V912="AM",'_Dates'!V912="PM"))),"CHECK Full day / AM / PM",IF(AND('_Dates'!J912='_Dates'!T912,'_Dates'!U912&lt;&gt;"Full day",'_Dates'!V912&lt;&gt;"Full day",'_Dates'!U912&lt;&gt;'_Dates'!V912),"CHECK same-day portions disagree",IF(AND($B$6=0,OR(AND('_Dates'!U912&lt;&gt;"Full day",'_Dates'!AA912=0),AND('_Dates'!V912&lt;&gt;"Full day",'_Dates'!AB912=0))),"CHECK half-day on non-working date",IF(COUNTIF(Settings!$G$7:$G$11,D912)&lt;&gt;1,"CHECK leave type",IF(AND(Bookings!G912&lt;&gt;"Approved",Bookings!G912&lt;&gt;"Pending",Bookings!G912&lt;&gt;"Cancelled"),"CHECK status","OK")))))))))),"CHECK input"))</ns0:f>
        <ns0:v/>
      </ns0:c>
      <ns0:c r="G912" s="0">
        <ns0:f>IF(OR(F912&lt;&gt;"OK",$B$6&gt;0),0,0.5*(IF(('_Dates'!X912)&lt;('_Dates'!W912),0,INT((('_Dates'!X912)-('_Dates'!W912)+1)/7)*LEN(SUBSTITUTE(W912,"O",""))+LEN(SUBSTITUTE(MID(W912&amp;W912,WEEKDAY(('_Dates'!W912),2),MOD((('_Dates'!X912)-('_Dates'!W912)+1),7)),"O",""))-COUNTIFS(INDEX(AllClosureRows,C912,0),"&gt;="&amp;('_Dates'!W912),INDEX(AllClosureRows,C912,0),"&lt;="&amp;('_Dates'!X912)))+IF(('_Dates'!Z912)&lt;('_Dates'!Y912),0,INT((('_Dates'!Z912)-('_Dates'!Y912)+1)/7)*LEN(SUBSTITUTE(W912,"O",""))+LEN(SUBSTITUTE(MID(W912&amp;W912,WEEKDAY(('_Dates'!Y912),2),MOD((('_Dates'!Z912)-('_Dates'!Y912)+1),7)),"O",""))-COUNTIFS(INDEX(AllClosureRows,C912,0),"&gt;="&amp;('_Dates'!Y912),INDEX(AllClosureRows,C912,0),"&lt;="&amp;('_Dates'!Z912)))))</ns0:f>
        <ns0:v>0</ns0:v>
      </ns0:c>
      <ns0:c r="H912" s="0">
        <ns0:f>IF(OR(F912&lt;&gt;"OK",$B$6&gt;0),0,0.5*(IF((MIN('_Dates'!X912,Settings!$B$9))&lt;('_Dates'!W912),0,INT(((MIN('_Dates'!X912,Settings!$B$9))-('_Dates'!W912)+1)/7)*LEN(SUBSTITUTE(W912,"O",""))+LEN(SUBSTITUTE(MID(W912&amp;W912,WEEKDAY(('_Dates'!W912),2),MOD(((MIN('_Dates'!X912,Settings!$B$9))-('_Dates'!W912)+1),7)),"O",""))-COUNTIFS(INDEX(AllClosureRows,C912,0),"&gt;="&amp;('_Dates'!W912),INDEX(AllClosureRows,C912,0),"&lt;="&amp;(MIN('_Dates'!X912,Settings!$B$9))))+IF((MIN('_Dates'!Z912,Settings!$B$9))&lt;('_Dates'!Y912),0,INT(((MIN('_Dates'!Z912,Settings!$B$9))-('_Dates'!Y912)+1)/7)*LEN(SUBSTITUTE(W912,"O",""))+LEN(SUBSTITUTE(MID(W912&amp;W912,WEEKDAY(('_Dates'!Y912),2),MOD(((MIN('_Dates'!Z912,Settings!$B$9))-('_Dates'!Y912)+1),7)),"O",""))-COUNTIFS(INDEX(AllClosureRows,C912,0),"&gt;="&amp;('_Dates'!Y912),INDEX(AllClosureRows,C912,0),"&lt;="&amp;(MIN('_Dates'!Z912,Settings!$B$9))))))</ns0:f>
        <ns0:v>0</ns0:v>
      </ns0:c>
      <ns0:c r="I912" s="0">
        <ns0:f>MAX(0,G912-H912)</ns0:f>
        <ns0:v>0</ns0:v>
      </ns0:c>
      <ns0:c r="J912" s="0">
        <ns0:f>IF(OR(A912=0,F912&lt;&gt;"OK",Bookings!G912="Cancelled",$B$6&gt;0),0,IF('_Dates'!AC912=1,MAX(0,COUNTIFS(rngEngine_B,B912,rngAMStart,"&lt;="&amp;'_Dates'!X912,rngAMEnd,"&gt;="&amp;'_Dates'!W912,rngAMActive,1,rngEngine_F,"OK",rngBookings_F,"&lt;&gt;Cancelled")-1),0)+IF('_Dates'!AD912=1,MAX(0,COUNTIFS(rngEngine_B,B912,rngPMStart,"&lt;="&amp;'_Dates'!Z912,rngPMEnd,"&gt;="&amp;'_Dates'!Y912,rngPMActive,1,rngEngine_F,"OK",rngBookings_F,"&lt;&gt;Cancelled")-1),0))</ns0:f>
        <ns0:v>0</ns0:v>
      </ns0:c>
      <ns0:c r="K912" s="0" t="str">
        <ns0:f>IF(A912=0,"",IF(F912&lt;&gt;"OK",F912,IF(J912&gt;0,"CHECK overlapping entry",IF(AND($B$6=0,G912&lt;=0,Bookings!G912&lt;&gt;"Cancelled"),"CHECK no working days",IF(Bookings!G912="Cancelled","Cancelled","OK")))))</ns0:f>
        <ns0:v/>
      </ns0:c>
      <ns0:c r="L912" s="0">
        <ns0:f>IF(LEFT(K912,5)="CHECK",1,0)</ns0:f>
        <ns0:v>0</ns0:v>
      </ns0:c>
      <ns0:c r="M912" s="0">
        <ns0:f>IF(AND(L912=1,OR(C912=0,IFERROR(INDEX($X$11:$X$60,C912),0)=0)),1,0)</ns0:f>
        <ns0:v>0</ns0:v>
      </ns0:c>
      <ns0:c r="N912" s="0">
        <ns0:f>IF(OR(A912=0,L912&gt;0,$B$6&gt;0,Bookings!G912="Cancelled"),0,G912)</ns0:f>
        <ns0:v>0</ns0:v>
      </ns0:c>
      <ns0:c r="O912" s="0">
        <ns0:f>IF(AND(Bookings!G912="Approved",E912="Yes"),N912,0)</ns0:f>
        <ns0:v>0</ns0:v>
      </ns0:c>
      <ns0:c r="P912" s="0">
        <ns0:f>IF(AND(Bookings!G912="Approved",E912="Yes",L912=0,$B$6=0),H912,0)</ns0:f>
        <ns0:v>0</ns0:v>
      </ns0:c>
      <ns0:c r="Q912" s="0">
        <ns0:f>IF(AND(Bookings!G912="Approved",E912="Yes",L912=0,$B$6=0),I912,0)</ns0:f>
        <ns0:v>0</ns0:v>
      </ns0:c>
      <ns0:c r="R912" s="0">
        <ns0:f>IF(AND(Bookings!G912="Pending",E912="Yes"),N912,0)</ns0:f>
        <ns0:v>0</ns0:v>
      </ns0:c>
      <ns0:c r="S912" s="0">
        <ns0:f>IF(AND(Bookings!G912="Approved",E912="No"),N912,0)</ns0:f>
        <ns0:v>0</ns0:v>
      </ns0:c>
      <ns0:c r="T912" s="0">
        <ns0:f>IFERROR(MATCH(D912,Settings!$G$7:$G$11,0),0)</ns0:f>
        <ns0:v>0</ns0:v>
      </ns0:c>
      <ns0:c r="U912" s="0">
        <ns0:f>IF(N912&gt;0,T912+IF(Bookings!G912="Pending",10,0),0)</ns0:f>
        <ns0:v>0</ns0:v>
      </ns0:c>
      <ns0:c r="V912" s="0">
        <ns0:f>U912</ns0:f>
        <ns0:v>0</ns0:v>
      </ns0:c>
      <ns0:c r="W912" s="0" t="str">
        <ns0:f>IF(C912=0,"",INDEX($AP$11:$AP$60,C912))</ns0:f>
        <ns0:v/>
      </ns0:c>
    </ns0:row>
    <ns0:row r="913">
      <ns0:c r="A913" s="0">
        <ns0:f>IF(COUNTA(Bookings!A913:G913,Bookings!I913)=0,0,1)</ns0:f>
        <ns0:v>0</ns0:v>
      </ns0:c>
      <ns0:c r="B913" s="0" t="str">
        <ns0:f>IFERROR(TRIM(MID(Bookings!A913,FIND(" · ",Bookings!A913)+3,99)),"")</ns0:f>
        <ns0:v/>
      </ns0:c>
      <ns0:c r="C913" s="0">
        <ns0:f>IF(OR(B913="",LEN(B913)&gt;24,ISNUMBER(FIND(" ",B913)),ISNUMBER(FIND("*",B913)),ISNUMBER(FIND("?",B913)),ISNUMBER(FIND("~",B913))),0,IFERROR(MATCH(B913,Team!$A$11:$A$60,0),0))</ns0:f>
        <ns0:v>0</ns0:v>
      </ns0:c>
      <ns0:c r="D913" s="0" t="str">
        <ns0:f>IFERROR(IF(MID(Bookings!F913,LEN(Bookings!F913)-3,3)=" · ",RIGHT(Bookings!F913,1),""),"")</ns0:f>
        <ns0:v/>
      </ns0:c>
      <ns0:c r="E913" s="0" t="str">
        <ns0:f>IFERROR(INDEX(Settings!$H$7:$H$11,MATCH(D913,Settings!$G$7:$G$11,0)),"")</ns0:f>
        <ns0:v/>
      </ns0:c>
      <ns0:c r="F913" s="0" t="str">
        <ns0:f>IF(A913=0,"",IFERROR(IF(OR(B913="",C913=0),"CHECK employee selection",IF(INDEX(Team!$O$11:$O$60,C913)&lt;&gt;"OK","CHECK employee setup",IF(OR('_Dates'!J913=0,'_Dates'!T913=0),"CHECK date: use DD.MM.YYYY",IF('_Dates'!T913&lt;'_Dates'!J913,"CHECK end before start",IF(AND($B$6=0,OR('_Dates'!J913&lt;Settings!$B$7,'_Dates'!T913&gt;Settings!$B$8)),"CHECK split across leave years",IF(OR(NOT(OR('_Dates'!U913="Full day",'_Dates'!U913="AM",'_Dates'!U913="PM")),NOT(OR('_Dates'!V913="Full day",'_Dates'!V913="AM",'_Dates'!V913="PM"))),"CHECK Full day / AM / PM",IF(AND('_Dates'!J913='_Dates'!T913,'_Dates'!U913&lt;&gt;"Full day",'_Dates'!V913&lt;&gt;"Full day",'_Dates'!U913&lt;&gt;'_Dates'!V913),"CHECK same-day portions disagree",IF(AND($B$6=0,OR(AND('_Dates'!U913&lt;&gt;"Full day",'_Dates'!AA913=0),AND('_Dates'!V913&lt;&gt;"Full day",'_Dates'!AB913=0))),"CHECK half-day on non-working date",IF(COUNTIF(Settings!$G$7:$G$11,D913)&lt;&gt;1,"CHECK leave type",IF(AND(Bookings!G913&lt;&gt;"Approved",Bookings!G913&lt;&gt;"Pending",Bookings!G913&lt;&gt;"Cancelled"),"CHECK status","OK")))))))))),"CHECK input"))</ns0:f>
        <ns0:v/>
      </ns0:c>
      <ns0:c r="G913" s="0">
        <ns0:f>IF(OR(F913&lt;&gt;"OK",$B$6&gt;0),0,0.5*(IF(('_Dates'!X913)&lt;('_Dates'!W913),0,INT((('_Dates'!X913)-('_Dates'!W913)+1)/7)*LEN(SUBSTITUTE(W913,"O",""))+LEN(SUBSTITUTE(MID(W913&amp;W913,WEEKDAY(('_Dates'!W913),2),MOD((('_Dates'!X913)-('_Dates'!W913)+1),7)),"O",""))-COUNTIFS(INDEX(AllClosureRows,C913,0),"&gt;="&amp;('_Dates'!W913),INDEX(AllClosureRows,C913,0),"&lt;="&amp;('_Dates'!X913)))+IF(('_Dates'!Z913)&lt;('_Dates'!Y913),0,INT((('_Dates'!Z913)-('_Dates'!Y913)+1)/7)*LEN(SUBSTITUTE(W913,"O",""))+LEN(SUBSTITUTE(MID(W913&amp;W913,WEEKDAY(('_Dates'!Y913),2),MOD((('_Dates'!Z913)-('_Dates'!Y913)+1),7)),"O",""))-COUNTIFS(INDEX(AllClosureRows,C913,0),"&gt;="&amp;('_Dates'!Y913),INDEX(AllClosureRows,C913,0),"&lt;="&amp;('_Dates'!Z913)))))</ns0:f>
        <ns0:v>0</ns0:v>
      </ns0:c>
      <ns0:c r="H913" s="0">
        <ns0:f>IF(OR(F913&lt;&gt;"OK",$B$6&gt;0),0,0.5*(IF((MIN('_Dates'!X913,Settings!$B$9))&lt;('_Dates'!W913),0,INT(((MIN('_Dates'!X913,Settings!$B$9))-('_Dates'!W913)+1)/7)*LEN(SUBSTITUTE(W913,"O",""))+LEN(SUBSTITUTE(MID(W913&amp;W913,WEEKDAY(('_Dates'!W913),2),MOD(((MIN('_Dates'!X913,Settings!$B$9))-('_Dates'!W913)+1),7)),"O",""))-COUNTIFS(INDEX(AllClosureRows,C913,0),"&gt;="&amp;('_Dates'!W913),INDEX(AllClosureRows,C913,0),"&lt;="&amp;(MIN('_Dates'!X913,Settings!$B$9))))+IF((MIN('_Dates'!Z913,Settings!$B$9))&lt;('_Dates'!Y913),0,INT(((MIN('_Dates'!Z913,Settings!$B$9))-('_Dates'!Y913)+1)/7)*LEN(SUBSTITUTE(W913,"O",""))+LEN(SUBSTITUTE(MID(W913&amp;W913,WEEKDAY(('_Dates'!Y913),2),MOD(((MIN('_Dates'!Z913,Settings!$B$9))-('_Dates'!Y913)+1),7)),"O",""))-COUNTIFS(INDEX(AllClosureRows,C913,0),"&gt;="&amp;('_Dates'!Y913),INDEX(AllClosureRows,C913,0),"&lt;="&amp;(MIN('_Dates'!Z913,Settings!$B$9))))))</ns0:f>
        <ns0:v>0</ns0:v>
      </ns0:c>
      <ns0:c r="I913" s="0">
        <ns0:f>MAX(0,G913-H913)</ns0:f>
        <ns0:v>0</ns0:v>
      </ns0:c>
      <ns0:c r="J913" s="0">
        <ns0:f>IF(OR(A913=0,F913&lt;&gt;"OK",Bookings!G913="Cancelled",$B$6&gt;0),0,IF('_Dates'!AC913=1,MAX(0,COUNTIFS(rngEngine_B,B913,rngAMStart,"&lt;="&amp;'_Dates'!X913,rngAMEnd,"&gt;="&amp;'_Dates'!W913,rngAMActive,1,rngEngine_F,"OK",rngBookings_F,"&lt;&gt;Cancelled")-1),0)+IF('_Dates'!AD913=1,MAX(0,COUNTIFS(rngEngine_B,B913,rngPMStart,"&lt;="&amp;'_Dates'!Z913,rngPMEnd,"&gt;="&amp;'_Dates'!Y913,rngPMActive,1,rngEngine_F,"OK",rngBookings_F,"&lt;&gt;Cancelled")-1),0))</ns0:f>
        <ns0:v>0</ns0:v>
      </ns0:c>
      <ns0:c r="K913" s="0" t="str">
        <ns0:f>IF(A913=0,"",IF(F913&lt;&gt;"OK",F913,IF(J913&gt;0,"CHECK overlapping entry",IF(AND($B$6=0,G913&lt;=0,Bookings!G913&lt;&gt;"Cancelled"),"CHECK no working days",IF(Bookings!G913="Cancelled","Cancelled","OK")))))</ns0:f>
        <ns0:v/>
      </ns0:c>
      <ns0:c r="L913" s="0">
        <ns0:f>IF(LEFT(K913,5)="CHECK",1,0)</ns0:f>
        <ns0:v>0</ns0:v>
      </ns0:c>
      <ns0:c r="M913" s="0">
        <ns0:f>IF(AND(L913=1,OR(C913=0,IFERROR(INDEX($X$11:$X$60,C913),0)=0)),1,0)</ns0:f>
        <ns0:v>0</ns0:v>
      </ns0:c>
      <ns0:c r="N913" s="0">
        <ns0:f>IF(OR(A913=0,L913&gt;0,$B$6&gt;0,Bookings!G913="Cancelled"),0,G913)</ns0:f>
        <ns0:v>0</ns0:v>
      </ns0:c>
      <ns0:c r="O913" s="0">
        <ns0:f>IF(AND(Bookings!G913="Approved",E913="Yes"),N913,0)</ns0:f>
        <ns0:v>0</ns0:v>
      </ns0:c>
      <ns0:c r="P913" s="0">
        <ns0:f>IF(AND(Bookings!G913="Approved",E913="Yes",L913=0,$B$6=0),H913,0)</ns0:f>
        <ns0:v>0</ns0:v>
      </ns0:c>
      <ns0:c r="Q913" s="0">
        <ns0:f>IF(AND(Bookings!G913="Approved",E913="Yes",L913=0,$B$6=0),I913,0)</ns0:f>
        <ns0:v>0</ns0:v>
      </ns0:c>
      <ns0:c r="R913" s="0">
        <ns0:f>IF(AND(Bookings!G913="Pending",E913="Yes"),N913,0)</ns0:f>
        <ns0:v>0</ns0:v>
      </ns0:c>
      <ns0:c r="S913" s="0">
        <ns0:f>IF(AND(Bookings!G913="Approved",E913="No"),N913,0)</ns0:f>
        <ns0:v>0</ns0:v>
      </ns0:c>
      <ns0:c r="T913" s="0">
        <ns0:f>IFERROR(MATCH(D913,Settings!$G$7:$G$11,0),0)</ns0:f>
        <ns0:v>0</ns0:v>
      </ns0:c>
      <ns0:c r="U913" s="0">
        <ns0:f>IF(N913&gt;0,T913+IF(Bookings!G913="Pending",10,0),0)</ns0:f>
        <ns0:v>0</ns0:v>
      </ns0:c>
      <ns0:c r="V913" s="0">
        <ns0:f>U913</ns0:f>
        <ns0:v>0</ns0:v>
      </ns0:c>
      <ns0:c r="W913" s="0" t="str">
        <ns0:f>IF(C913=0,"",INDEX($AP$11:$AP$60,C913))</ns0:f>
        <ns0:v/>
      </ns0:c>
    </ns0:row>
    <ns0:row r="914">
      <ns0:c r="A914" s="0">
        <ns0:f>IF(COUNTA(Bookings!A914:G914,Bookings!I914)=0,0,1)</ns0:f>
        <ns0:v>0</ns0:v>
      </ns0:c>
      <ns0:c r="B914" s="0" t="str">
        <ns0:f>IFERROR(TRIM(MID(Bookings!A914,FIND(" · ",Bookings!A914)+3,99)),"")</ns0:f>
        <ns0:v/>
      </ns0:c>
      <ns0:c r="C914" s="0">
        <ns0:f>IF(OR(B914="",LEN(B914)&gt;24,ISNUMBER(FIND(" ",B914)),ISNUMBER(FIND("*",B914)),ISNUMBER(FIND("?",B914)),ISNUMBER(FIND("~",B914))),0,IFERROR(MATCH(B914,Team!$A$11:$A$60,0),0))</ns0:f>
        <ns0:v>0</ns0:v>
      </ns0:c>
      <ns0:c r="D914" s="0" t="str">
        <ns0:f>IFERROR(IF(MID(Bookings!F914,LEN(Bookings!F914)-3,3)=" · ",RIGHT(Bookings!F914,1),""),"")</ns0:f>
        <ns0:v/>
      </ns0:c>
      <ns0:c r="E914" s="0" t="str">
        <ns0:f>IFERROR(INDEX(Settings!$H$7:$H$11,MATCH(D914,Settings!$G$7:$G$11,0)),"")</ns0:f>
        <ns0:v/>
      </ns0:c>
      <ns0:c r="F914" s="0" t="str">
        <ns0:f>IF(A914=0,"",IFERROR(IF(OR(B914="",C914=0),"CHECK employee selection",IF(INDEX(Team!$O$11:$O$60,C914)&lt;&gt;"OK","CHECK employee setup",IF(OR('_Dates'!J914=0,'_Dates'!T914=0),"CHECK date: use DD.MM.YYYY",IF('_Dates'!T914&lt;'_Dates'!J914,"CHECK end before start",IF(AND($B$6=0,OR('_Dates'!J914&lt;Settings!$B$7,'_Dates'!T914&gt;Settings!$B$8)),"CHECK split across leave years",IF(OR(NOT(OR('_Dates'!U914="Full day",'_Dates'!U914="AM",'_Dates'!U914="PM")),NOT(OR('_Dates'!V914="Full day",'_Dates'!V914="AM",'_Dates'!V914="PM"))),"CHECK Full day / AM / PM",IF(AND('_Dates'!J914='_Dates'!T914,'_Dates'!U914&lt;&gt;"Full day",'_Dates'!V914&lt;&gt;"Full day",'_Dates'!U914&lt;&gt;'_Dates'!V914),"CHECK same-day portions disagree",IF(AND($B$6=0,OR(AND('_Dates'!U914&lt;&gt;"Full day",'_Dates'!AA914=0),AND('_Dates'!V914&lt;&gt;"Full day",'_Dates'!AB914=0))),"CHECK half-day on non-working date",IF(COUNTIF(Settings!$G$7:$G$11,D914)&lt;&gt;1,"CHECK leave type",IF(AND(Bookings!G914&lt;&gt;"Approved",Bookings!G914&lt;&gt;"Pending",Bookings!G914&lt;&gt;"Cancelled"),"CHECK status","OK")))))))))),"CHECK input"))</ns0:f>
        <ns0:v/>
      </ns0:c>
      <ns0:c r="G914" s="0">
        <ns0:f>IF(OR(F914&lt;&gt;"OK",$B$6&gt;0),0,0.5*(IF(('_Dates'!X914)&lt;('_Dates'!W914),0,INT((('_Dates'!X914)-('_Dates'!W914)+1)/7)*LEN(SUBSTITUTE(W914,"O",""))+LEN(SUBSTITUTE(MID(W914&amp;W914,WEEKDAY(('_Dates'!W914),2),MOD((('_Dates'!X914)-('_Dates'!W914)+1),7)),"O",""))-COUNTIFS(INDEX(AllClosureRows,C914,0),"&gt;="&amp;('_Dates'!W914),INDEX(AllClosureRows,C914,0),"&lt;="&amp;('_Dates'!X914)))+IF(('_Dates'!Z914)&lt;('_Dates'!Y914),0,INT((('_Dates'!Z914)-('_Dates'!Y914)+1)/7)*LEN(SUBSTITUTE(W914,"O",""))+LEN(SUBSTITUTE(MID(W914&amp;W914,WEEKDAY(('_Dates'!Y914),2),MOD((('_Dates'!Z914)-('_Dates'!Y914)+1),7)),"O",""))-COUNTIFS(INDEX(AllClosureRows,C914,0),"&gt;="&amp;('_Dates'!Y914),INDEX(AllClosureRows,C914,0),"&lt;="&amp;('_Dates'!Z914)))))</ns0:f>
        <ns0:v>0</ns0:v>
      </ns0:c>
      <ns0:c r="H914" s="0">
        <ns0:f>IF(OR(F914&lt;&gt;"OK",$B$6&gt;0),0,0.5*(IF((MIN('_Dates'!X914,Settings!$B$9))&lt;('_Dates'!W914),0,INT(((MIN('_Dates'!X914,Settings!$B$9))-('_Dates'!W914)+1)/7)*LEN(SUBSTITUTE(W914,"O",""))+LEN(SUBSTITUTE(MID(W914&amp;W914,WEEKDAY(('_Dates'!W914),2),MOD(((MIN('_Dates'!X914,Settings!$B$9))-('_Dates'!W914)+1),7)),"O",""))-COUNTIFS(INDEX(AllClosureRows,C914,0),"&gt;="&amp;('_Dates'!W914),INDEX(AllClosureRows,C914,0),"&lt;="&amp;(MIN('_Dates'!X914,Settings!$B$9))))+IF((MIN('_Dates'!Z914,Settings!$B$9))&lt;('_Dates'!Y914),0,INT(((MIN('_Dates'!Z914,Settings!$B$9))-('_Dates'!Y914)+1)/7)*LEN(SUBSTITUTE(W914,"O",""))+LEN(SUBSTITUTE(MID(W914&amp;W914,WEEKDAY(('_Dates'!Y914),2),MOD(((MIN('_Dates'!Z914,Settings!$B$9))-('_Dates'!Y914)+1),7)),"O",""))-COUNTIFS(INDEX(AllClosureRows,C914,0),"&gt;="&amp;('_Dates'!Y914),INDEX(AllClosureRows,C914,0),"&lt;="&amp;(MIN('_Dates'!Z914,Settings!$B$9))))))</ns0:f>
        <ns0:v>0</ns0:v>
      </ns0:c>
      <ns0:c r="I914" s="0">
        <ns0:f>MAX(0,G914-H914)</ns0:f>
        <ns0:v>0</ns0:v>
      </ns0:c>
      <ns0:c r="J914" s="0">
        <ns0:f>IF(OR(A914=0,F914&lt;&gt;"OK",Bookings!G914="Cancelled",$B$6&gt;0),0,IF('_Dates'!AC914=1,MAX(0,COUNTIFS(rngEngine_B,B914,rngAMStart,"&lt;="&amp;'_Dates'!X914,rngAMEnd,"&gt;="&amp;'_Dates'!W914,rngAMActive,1,rngEngine_F,"OK",rngBookings_F,"&lt;&gt;Cancelled")-1),0)+IF('_Dates'!AD914=1,MAX(0,COUNTIFS(rngEngine_B,B914,rngPMStart,"&lt;="&amp;'_Dates'!Z914,rngPMEnd,"&gt;="&amp;'_Dates'!Y914,rngPMActive,1,rngEngine_F,"OK",rngBookings_F,"&lt;&gt;Cancelled")-1),0))</ns0:f>
        <ns0:v>0</ns0:v>
      </ns0:c>
      <ns0:c r="K914" s="0" t="str">
        <ns0:f>IF(A914=0,"",IF(F914&lt;&gt;"OK",F914,IF(J914&gt;0,"CHECK overlapping entry",IF(AND($B$6=0,G914&lt;=0,Bookings!G914&lt;&gt;"Cancelled"),"CHECK no working days",IF(Bookings!G914="Cancelled","Cancelled","OK")))))</ns0:f>
        <ns0:v/>
      </ns0:c>
      <ns0:c r="L914" s="0">
        <ns0:f>IF(LEFT(K914,5)="CHECK",1,0)</ns0:f>
        <ns0:v>0</ns0:v>
      </ns0:c>
      <ns0:c r="M914" s="0">
        <ns0:f>IF(AND(L914=1,OR(C914=0,IFERROR(INDEX($X$11:$X$60,C914),0)=0)),1,0)</ns0:f>
        <ns0:v>0</ns0:v>
      </ns0:c>
      <ns0:c r="N914" s="0">
        <ns0:f>IF(OR(A914=0,L914&gt;0,$B$6&gt;0,Bookings!G914="Cancelled"),0,G914)</ns0:f>
        <ns0:v>0</ns0:v>
      </ns0:c>
      <ns0:c r="O914" s="0">
        <ns0:f>IF(AND(Bookings!G914="Approved",E914="Yes"),N914,0)</ns0:f>
        <ns0:v>0</ns0:v>
      </ns0:c>
      <ns0:c r="P914" s="0">
        <ns0:f>IF(AND(Bookings!G914="Approved",E914="Yes",L914=0,$B$6=0),H914,0)</ns0:f>
        <ns0:v>0</ns0:v>
      </ns0:c>
      <ns0:c r="Q914" s="0">
        <ns0:f>IF(AND(Bookings!G914="Approved",E914="Yes",L914=0,$B$6=0),I914,0)</ns0:f>
        <ns0:v>0</ns0:v>
      </ns0:c>
      <ns0:c r="R914" s="0">
        <ns0:f>IF(AND(Bookings!G914="Pending",E914="Yes"),N914,0)</ns0:f>
        <ns0:v>0</ns0:v>
      </ns0:c>
      <ns0:c r="S914" s="0">
        <ns0:f>IF(AND(Bookings!G914="Approved",E914="No"),N914,0)</ns0:f>
        <ns0:v>0</ns0:v>
      </ns0:c>
      <ns0:c r="T914" s="0">
        <ns0:f>IFERROR(MATCH(D914,Settings!$G$7:$G$11,0),0)</ns0:f>
        <ns0:v>0</ns0:v>
      </ns0:c>
      <ns0:c r="U914" s="0">
        <ns0:f>IF(N914&gt;0,T914+IF(Bookings!G914="Pending",10,0),0)</ns0:f>
        <ns0:v>0</ns0:v>
      </ns0:c>
      <ns0:c r="V914" s="0">
        <ns0:f>U914</ns0:f>
        <ns0:v>0</ns0:v>
      </ns0:c>
      <ns0:c r="W914" s="0" t="str">
        <ns0:f>IF(C914=0,"",INDEX($AP$11:$AP$60,C914))</ns0:f>
        <ns0:v/>
      </ns0:c>
    </ns0:row>
    <ns0:row r="915">
      <ns0:c r="A915" s="0">
        <ns0:f>IF(COUNTA(Bookings!A915:G915,Bookings!I915)=0,0,1)</ns0:f>
        <ns0:v>0</ns0:v>
      </ns0:c>
      <ns0:c r="B915" s="0" t="str">
        <ns0:f>IFERROR(TRIM(MID(Bookings!A915,FIND(" · ",Bookings!A915)+3,99)),"")</ns0:f>
        <ns0:v/>
      </ns0:c>
      <ns0:c r="C915" s="0">
        <ns0:f>IF(OR(B915="",LEN(B915)&gt;24,ISNUMBER(FIND(" ",B915)),ISNUMBER(FIND("*",B915)),ISNUMBER(FIND("?",B915)),ISNUMBER(FIND("~",B915))),0,IFERROR(MATCH(B915,Team!$A$11:$A$60,0),0))</ns0:f>
        <ns0:v>0</ns0:v>
      </ns0:c>
      <ns0:c r="D915" s="0" t="str">
        <ns0:f>IFERROR(IF(MID(Bookings!F915,LEN(Bookings!F915)-3,3)=" · ",RIGHT(Bookings!F915,1),""),"")</ns0:f>
        <ns0:v/>
      </ns0:c>
      <ns0:c r="E915" s="0" t="str">
        <ns0:f>IFERROR(INDEX(Settings!$H$7:$H$11,MATCH(D915,Settings!$G$7:$G$11,0)),"")</ns0:f>
        <ns0:v/>
      </ns0:c>
      <ns0:c r="F915" s="0" t="str">
        <ns0:f>IF(A915=0,"",IFERROR(IF(OR(B915="",C915=0),"CHECK employee selection",IF(INDEX(Team!$O$11:$O$60,C915)&lt;&gt;"OK","CHECK employee setup",IF(OR('_Dates'!J915=0,'_Dates'!T915=0),"CHECK date: use DD.MM.YYYY",IF('_Dates'!T915&lt;'_Dates'!J915,"CHECK end before start",IF(AND($B$6=0,OR('_Dates'!J915&lt;Settings!$B$7,'_Dates'!T915&gt;Settings!$B$8)),"CHECK split across leave years",IF(OR(NOT(OR('_Dates'!U915="Full day",'_Dates'!U915="AM",'_Dates'!U915="PM")),NOT(OR('_Dates'!V915="Full day",'_Dates'!V915="AM",'_Dates'!V915="PM"))),"CHECK Full day / AM / PM",IF(AND('_Dates'!J915='_Dates'!T915,'_Dates'!U915&lt;&gt;"Full day",'_Dates'!V915&lt;&gt;"Full day",'_Dates'!U915&lt;&gt;'_Dates'!V915),"CHECK same-day portions disagree",IF(AND($B$6=0,OR(AND('_Dates'!U915&lt;&gt;"Full day",'_Dates'!AA915=0),AND('_Dates'!V915&lt;&gt;"Full day",'_Dates'!AB915=0))),"CHECK half-day on non-working date",IF(COUNTIF(Settings!$G$7:$G$11,D915)&lt;&gt;1,"CHECK leave type",IF(AND(Bookings!G915&lt;&gt;"Approved",Bookings!G915&lt;&gt;"Pending",Bookings!G915&lt;&gt;"Cancelled"),"CHECK status","OK")))))))))),"CHECK input"))</ns0:f>
        <ns0:v/>
      </ns0:c>
      <ns0:c r="G915" s="0">
        <ns0:f>IF(OR(F915&lt;&gt;"OK",$B$6&gt;0),0,0.5*(IF(('_Dates'!X915)&lt;('_Dates'!W915),0,INT((('_Dates'!X915)-('_Dates'!W915)+1)/7)*LEN(SUBSTITUTE(W915,"O",""))+LEN(SUBSTITUTE(MID(W915&amp;W915,WEEKDAY(('_Dates'!W915),2),MOD((('_Dates'!X915)-('_Dates'!W915)+1),7)),"O",""))-COUNTIFS(INDEX(AllClosureRows,C915,0),"&gt;="&amp;('_Dates'!W915),INDEX(AllClosureRows,C915,0),"&lt;="&amp;('_Dates'!X915)))+IF(('_Dates'!Z915)&lt;('_Dates'!Y915),0,INT((('_Dates'!Z915)-('_Dates'!Y915)+1)/7)*LEN(SUBSTITUTE(W915,"O",""))+LEN(SUBSTITUTE(MID(W915&amp;W915,WEEKDAY(('_Dates'!Y915),2),MOD((('_Dates'!Z915)-('_Dates'!Y915)+1),7)),"O",""))-COUNTIFS(INDEX(AllClosureRows,C915,0),"&gt;="&amp;('_Dates'!Y915),INDEX(AllClosureRows,C915,0),"&lt;="&amp;('_Dates'!Z915)))))</ns0:f>
        <ns0:v>0</ns0:v>
      </ns0:c>
      <ns0:c r="H915" s="0">
        <ns0:f>IF(OR(F915&lt;&gt;"OK",$B$6&gt;0),0,0.5*(IF((MIN('_Dates'!X915,Settings!$B$9))&lt;('_Dates'!W915),0,INT(((MIN('_Dates'!X915,Settings!$B$9))-('_Dates'!W915)+1)/7)*LEN(SUBSTITUTE(W915,"O",""))+LEN(SUBSTITUTE(MID(W915&amp;W915,WEEKDAY(('_Dates'!W915),2),MOD(((MIN('_Dates'!X915,Settings!$B$9))-('_Dates'!W915)+1),7)),"O",""))-COUNTIFS(INDEX(AllClosureRows,C915,0),"&gt;="&amp;('_Dates'!W915),INDEX(AllClosureRows,C915,0),"&lt;="&amp;(MIN('_Dates'!X915,Settings!$B$9))))+IF((MIN('_Dates'!Z915,Settings!$B$9))&lt;('_Dates'!Y915),0,INT(((MIN('_Dates'!Z915,Settings!$B$9))-('_Dates'!Y915)+1)/7)*LEN(SUBSTITUTE(W915,"O",""))+LEN(SUBSTITUTE(MID(W915&amp;W915,WEEKDAY(('_Dates'!Y915),2),MOD(((MIN('_Dates'!Z915,Settings!$B$9))-('_Dates'!Y915)+1),7)),"O",""))-COUNTIFS(INDEX(AllClosureRows,C915,0),"&gt;="&amp;('_Dates'!Y915),INDEX(AllClosureRows,C915,0),"&lt;="&amp;(MIN('_Dates'!Z915,Settings!$B$9))))))</ns0:f>
        <ns0:v>0</ns0:v>
      </ns0:c>
      <ns0:c r="I915" s="0">
        <ns0:f>MAX(0,G915-H915)</ns0:f>
        <ns0:v>0</ns0:v>
      </ns0:c>
      <ns0:c r="J915" s="0">
        <ns0:f>IF(OR(A915=0,F915&lt;&gt;"OK",Bookings!G915="Cancelled",$B$6&gt;0),0,IF('_Dates'!AC915=1,MAX(0,COUNTIFS(rngEngine_B,B915,rngAMStart,"&lt;="&amp;'_Dates'!X915,rngAMEnd,"&gt;="&amp;'_Dates'!W915,rngAMActive,1,rngEngine_F,"OK",rngBookings_F,"&lt;&gt;Cancelled")-1),0)+IF('_Dates'!AD915=1,MAX(0,COUNTIFS(rngEngine_B,B915,rngPMStart,"&lt;="&amp;'_Dates'!Z915,rngPMEnd,"&gt;="&amp;'_Dates'!Y915,rngPMActive,1,rngEngine_F,"OK",rngBookings_F,"&lt;&gt;Cancelled")-1),0))</ns0:f>
        <ns0:v>0</ns0:v>
      </ns0:c>
      <ns0:c r="K915" s="0" t="str">
        <ns0:f>IF(A915=0,"",IF(F915&lt;&gt;"OK",F915,IF(J915&gt;0,"CHECK overlapping entry",IF(AND($B$6=0,G915&lt;=0,Bookings!G915&lt;&gt;"Cancelled"),"CHECK no working days",IF(Bookings!G915="Cancelled","Cancelled","OK")))))</ns0:f>
        <ns0:v/>
      </ns0:c>
      <ns0:c r="L915" s="0">
        <ns0:f>IF(LEFT(K915,5)="CHECK",1,0)</ns0:f>
        <ns0:v>0</ns0:v>
      </ns0:c>
      <ns0:c r="M915" s="0">
        <ns0:f>IF(AND(L915=1,OR(C915=0,IFERROR(INDEX($X$11:$X$60,C915),0)=0)),1,0)</ns0:f>
        <ns0:v>0</ns0:v>
      </ns0:c>
      <ns0:c r="N915" s="0">
        <ns0:f>IF(OR(A915=0,L915&gt;0,$B$6&gt;0,Bookings!G915="Cancelled"),0,G915)</ns0:f>
        <ns0:v>0</ns0:v>
      </ns0:c>
      <ns0:c r="O915" s="0">
        <ns0:f>IF(AND(Bookings!G915="Approved",E915="Yes"),N915,0)</ns0:f>
        <ns0:v>0</ns0:v>
      </ns0:c>
      <ns0:c r="P915" s="0">
        <ns0:f>IF(AND(Bookings!G915="Approved",E915="Yes",L915=0,$B$6=0),H915,0)</ns0:f>
        <ns0:v>0</ns0:v>
      </ns0:c>
      <ns0:c r="Q915" s="0">
        <ns0:f>IF(AND(Bookings!G915="Approved",E915="Yes",L915=0,$B$6=0),I915,0)</ns0:f>
        <ns0:v>0</ns0:v>
      </ns0:c>
      <ns0:c r="R915" s="0">
        <ns0:f>IF(AND(Bookings!G915="Pending",E915="Yes"),N915,0)</ns0:f>
        <ns0:v>0</ns0:v>
      </ns0:c>
      <ns0:c r="S915" s="0">
        <ns0:f>IF(AND(Bookings!G915="Approved",E915="No"),N915,0)</ns0:f>
        <ns0:v>0</ns0:v>
      </ns0:c>
      <ns0:c r="T915" s="0">
        <ns0:f>IFERROR(MATCH(D915,Settings!$G$7:$G$11,0),0)</ns0:f>
        <ns0:v>0</ns0:v>
      </ns0:c>
      <ns0:c r="U915" s="0">
        <ns0:f>IF(N915&gt;0,T915+IF(Bookings!G915="Pending",10,0),0)</ns0:f>
        <ns0:v>0</ns0:v>
      </ns0:c>
      <ns0:c r="V915" s="0">
        <ns0:f>U915</ns0:f>
        <ns0:v>0</ns0:v>
      </ns0:c>
      <ns0:c r="W915" s="0" t="str">
        <ns0:f>IF(C915=0,"",INDEX($AP$11:$AP$60,C915))</ns0:f>
        <ns0:v/>
      </ns0:c>
    </ns0:row>
    <ns0:row r="916">
      <ns0:c r="A916" s="0">
        <ns0:f>IF(COUNTA(Bookings!A916:G916,Bookings!I916)=0,0,1)</ns0:f>
        <ns0:v>0</ns0:v>
      </ns0:c>
      <ns0:c r="B916" s="0" t="str">
        <ns0:f>IFERROR(TRIM(MID(Bookings!A916,FIND(" · ",Bookings!A916)+3,99)),"")</ns0:f>
        <ns0:v/>
      </ns0:c>
      <ns0:c r="C916" s="0">
        <ns0:f>IF(OR(B916="",LEN(B916)&gt;24,ISNUMBER(FIND(" ",B916)),ISNUMBER(FIND("*",B916)),ISNUMBER(FIND("?",B916)),ISNUMBER(FIND("~",B916))),0,IFERROR(MATCH(B916,Team!$A$11:$A$60,0),0))</ns0:f>
        <ns0:v>0</ns0:v>
      </ns0:c>
      <ns0:c r="D916" s="0" t="str">
        <ns0:f>IFERROR(IF(MID(Bookings!F916,LEN(Bookings!F916)-3,3)=" · ",RIGHT(Bookings!F916,1),""),"")</ns0:f>
        <ns0:v/>
      </ns0:c>
      <ns0:c r="E916" s="0" t="str">
        <ns0:f>IFERROR(INDEX(Settings!$H$7:$H$11,MATCH(D916,Settings!$G$7:$G$11,0)),"")</ns0:f>
        <ns0:v/>
      </ns0:c>
      <ns0:c r="F916" s="0" t="str">
        <ns0:f>IF(A916=0,"",IFERROR(IF(OR(B916="",C916=0),"CHECK employee selection",IF(INDEX(Team!$O$11:$O$60,C916)&lt;&gt;"OK","CHECK employee setup",IF(OR('_Dates'!J916=0,'_Dates'!T916=0),"CHECK date: use DD.MM.YYYY",IF('_Dates'!T916&lt;'_Dates'!J916,"CHECK end before start",IF(AND($B$6=0,OR('_Dates'!J916&lt;Settings!$B$7,'_Dates'!T916&gt;Settings!$B$8)),"CHECK split across leave years",IF(OR(NOT(OR('_Dates'!U916="Full day",'_Dates'!U916="AM",'_Dates'!U916="PM")),NOT(OR('_Dates'!V916="Full day",'_Dates'!V916="AM",'_Dates'!V916="PM"))),"CHECK Full day / AM / PM",IF(AND('_Dates'!J916='_Dates'!T916,'_Dates'!U916&lt;&gt;"Full day",'_Dates'!V916&lt;&gt;"Full day",'_Dates'!U916&lt;&gt;'_Dates'!V916),"CHECK same-day portions disagree",IF(AND($B$6=0,OR(AND('_Dates'!U916&lt;&gt;"Full day",'_Dates'!AA916=0),AND('_Dates'!V916&lt;&gt;"Full day",'_Dates'!AB916=0))),"CHECK half-day on non-working date",IF(COUNTIF(Settings!$G$7:$G$11,D916)&lt;&gt;1,"CHECK leave type",IF(AND(Bookings!G916&lt;&gt;"Approved",Bookings!G916&lt;&gt;"Pending",Bookings!G916&lt;&gt;"Cancelled"),"CHECK status","OK")))))))))),"CHECK input"))</ns0:f>
        <ns0:v/>
      </ns0:c>
      <ns0:c r="G916" s="0">
        <ns0:f>IF(OR(F916&lt;&gt;"OK",$B$6&gt;0),0,0.5*(IF(('_Dates'!X916)&lt;('_Dates'!W916),0,INT((('_Dates'!X916)-('_Dates'!W916)+1)/7)*LEN(SUBSTITUTE(W916,"O",""))+LEN(SUBSTITUTE(MID(W916&amp;W916,WEEKDAY(('_Dates'!W916),2),MOD((('_Dates'!X916)-('_Dates'!W916)+1),7)),"O",""))-COUNTIFS(INDEX(AllClosureRows,C916,0),"&gt;="&amp;('_Dates'!W916),INDEX(AllClosureRows,C916,0),"&lt;="&amp;('_Dates'!X916)))+IF(('_Dates'!Z916)&lt;('_Dates'!Y916),0,INT((('_Dates'!Z916)-('_Dates'!Y916)+1)/7)*LEN(SUBSTITUTE(W916,"O",""))+LEN(SUBSTITUTE(MID(W916&amp;W916,WEEKDAY(('_Dates'!Y916),2),MOD((('_Dates'!Z916)-('_Dates'!Y916)+1),7)),"O",""))-COUNTIFS(INDEX(AllClosureRows,C916,0),"&gt;="&amp;('_Dates'!Y916),INDEX(AllClosureRows,C916,0),"&lt;="&amp;('_Dates'!Z916)))))</ns0:f>
        <ns0:v>0</ns0:v>
      </ns0:c>
      <ns0:c r="H916" s="0">
        <ns0:f>IF(OR(F916&lt;&gt;"OK",$B$6&gt;0),0,0.5*(IF((MIN('_Dates'!X916,Settings!$B$9))&lt;('_Dates'!W916),0,INT(((MIN('_Dates'!X916,Settings!$B$9))-('_Dates'!W916)+1)/7)*LEN(SUBSTITUTE(W916,"O",""))+LEN(SUBSTITUTE(MID(W916&amp;W916,WEEKDAY(('_Dates'!W916),2),MOD(((MIN('_Dates'!X916,Settings!$B$9))-('_Dates'!W916)+1),7)),"O",""))-COUNTIFS(INDEX(AllClosureRows,C916,0),"&gt;="&amp;('_Dates'!W916),INDEX(AllClosureRows,C916,0),"&lt;="&amp;(MIN('_Dates'!X916,Settings!$B$9))))+IF((MIN('_Dates'!Z916,Settings!$B$9))&lt;('_Dates'!Y916),0,INT(((MIN('_Dates'!Z916,Settings!$B$9))-('_Dates'!Y916)+1)/7)*LEN(SUBSTITUTE(W916,"O",""))+LEN(SUBSTITUTE(MID(W916&amp;W916,WEEKDAY(('_Dates'!Y916),2),MOD(((MIN('_Dates'!Z916,Settings!$B$9))-('_Dates'!Y916)+1),7)),"O",""))-COUNTIFS(INDEX(AllClosureRows,C916,0),"&gt;="&amp;('_Dates'!Y916),INDEX(AllClosureRows,C916,0),"&lt;="&amp;(MIN('_Dates'!Z916,Settings!$B$9))))))</ns0:f>
        <ns0:v>0</ns0:v>
      </ns0:c>
      <ns0:c r="I916" s="0">
        <ns0:f>MAX(0,G916-H916)</ns0:f>
        <ns0:v>0</ns0:v>
      </ns0:c>
      <ns0:c r="J916" s="0">
        <ns0:f>IF(OR(A916=0,F916&lt;&gt;"OK",Bookings!G916="Cancelled",$B$6&gt;0),0,IF('_Dates'!AC916=1,MAX(0,COUNTIFS(rngEngine_B,B916,rngAMStart,"&lt;="&amp;'_Dates'!X916,rngAMEnd,"&gt;="&amp;'_Dates'!W916,rngAMActive,1,rngEngine_F,"OK",rngBookings_F,"&lt;&gt;Cancelled")-1),0)+IF('_Dates'!AD916=1,MAX(0,COUNTIFS(rngEngine_B,B916,rngPMStart,"&lt;="&amp;'_Dates'!Z916,rngPMEnd,"&gt;="&amp;'_Dates'!Y916,rngPMActive,1,rngEngine_F,"OK",rngBookings_F,"&lt;&gt;Cancelled")-1),0))</ns0:f>
        <ns0:v>0</ns0:v>
      </ns0:c>
      <ns0:c r="K916" s="0" t="str">
        <ns0:f>IF(A916=0,"",IF(F916&lt;&gt;"OK",F916,IF(J916&gt;0,"CHECK overlapping entry",IF(AND($B$6=0,G916&lt;=0,Bookings!G916&lt;&gt;"Cancelled"),"CHECK no working days",IF(Bookings!G916="Cancelled","Cancelled","OK")))))</ns0:f>
        <ns0:v/>
      </ns0:c>
      <ns0:c r="L916" s="0">
        <ns0:f>IF(LEFT(K916,5)="CHECK",1,0)</ns0:f>
        <ns0:v>0</ns0:v>
      </ns0:c>
      <ns0:c r="M916" s="0">
        <ns0:f>IF(AND(L916=1,OR(C916=0,IFERROR(INDEX($X$11:$X$60,C916),0)=0)),1,0)</ns0:f>
        <ns0:v>0</ns0:v>
      </ns0:c>
      <ns0:c r="N916" s="0">
        <ns0:f>IF(OR(A916=0,L916&gt;0,$B$6&gt;0,Bookings!G916="Cancelled"),0,G916)</ns0:f>
        <ns0:v>0</ns0:v>
      </ns0:c>
      <ns0:c r="O916" s="0">
        <ns0:f>IF(AND(Bookings!G916="Approved",E916="Yes"),N916,0)</ns0:f>
        <ns0:v>0</ns0:v>
      </ns0:c>
      <ns0:c r="P916" s="0">
        <ns0:f>IF(AND(Bookings!G916="Approved",E916="Yes",L916=0,$B$6=0),H916,0)</ns0:f>
        <ns0:v>0</ns0:v>
      </ns0:c>
      <ns0:c r="Q916" s="0">
        <ns0:f>IF(AND(Bookings!G916="Approved",E916="Yes",L916=0,$B$6=0),I916,0)</ns0:f>
        <ns0:v>0</ns0:v>
      </ns0:c>
      <ns0:c r="R916" s="0">
        <ns0:f>IF(AND(Bookings!G916="Pending",E916="Yes"),N916,0)</ns0:f>
        <ns0:v>0</ns0:v>
      </ns0:c>
      <ns0:c r="S916" s="0">
        <ns0:f>IF(AND(Bookings!G916="Approved",E916="No"),N916,0)</ns0:f>
        <ns0:v>0</ns0:v>
      </ns0:c>
      <ns0:c r="T916" s="0">
        <ns0:f>IFERROR(MATCH(D916,Settings!$G$7:$G$11,0),0)</ns0:f>
        <ns0:v>0</ns0:v>
      </ns0:c>
      <ns0:c r="U916" s="0">
        <ns0:f>IF(N916&gt;0,T916+IF(Bookings!G916="Pending",10,0),0)</ns0:f>
        <ns0:v>0</ns0:v>
      </ns0:c>
      <ns0:c r="V916" s="0">
        <ns0:f>U916</ns0:f>
        <ns0:v>0</ns0:v>
      </ns0:c>
      <ns0:c r="W916" s="0" t="str">
        <ns0:f>IF(C916=0,"",INDEX($AP$11:$AP$60,C916))</ns0:f>
        <ns0:v/>
      </ns0:c>
    </ns0:row>
    <ns0:row r="917">
      <ns0:c r="A917" s="0">
        <ns0:f>IF(COUNTA(Bookings!A917:G917,Bookings!I917)=0,0,1)</ns0:f>
        <ns0:v>0</ns0:v>
      </ns0:c>
      <ns0:c r="B917" s="0" t="str">
        <ns0:f>IFERROR(TRIM(MID(Bookings!A917,FIND(" · ",Bookings!A917)+3,99)),"")</ns0:f>
        <ns0:v/>
      </ns0:c>
      <ns0:c r="C917" s="0">
        <ns0:f>IF(OR(B917="",LEN(B917)&gt;24,ISNUMBER(FIND(" ",B917)),ISNUMBER(FIND("*",B917)),ISNUMBER(FIND("?",B917)),ISNUMBER(FIND("~",B917))),0,IFERROR(MATCH(B917,Team!$A$11:$A$60,0),0))</ns0:f>
        <ns0:v>0</ns0:v>
      </ns0:c>
      <ns0:c r="D917" s="0" t="str">
        <ns0:f>IFERROR(IF(MID(Bookings!F917,LEN(Bookings!F917)-3,3)=" · ",RIGHT(Bookings!F917,1),""),"")</ns0:f>
        <ns0:v/>
      </ns0:c>
      <ns0:c r="E917" s="0" t="str">
        <ns0:f>IFERROR(INDEX(Settings!$H$7:$H$11,MATCH(D917,Settings!$G$7:$G$11,0)),"")</ns0:f>
        <ns0:v/>
      </ns0:c>
      <ns0:c r="F917" s="0" t="str">
        <ns0:f>IF(A917=0,"",IFERROR(IF(OR(B917="",C917=0),"CHECK employee selection",IF(INDEX(Team!$O$11:$O$60,C917)&lt;&gt;"OK","CHECK employee setup",IF(OR('_Dates'!J917=0,'_Dates'!T917=0),"CHECK date: use DD.MM.YYYY",IF('_Dates'!T917&lt;'_Dates'!J917,"CHECK end before start",IF(AND($B$6=0,OR('_Dates'!J917&lt;Settings!$B$7,'_Dates'!T917&gt;Settings!$B$8)),"CHECK split across leave years",IF(OR(NOT(OR('_Dates'!U917="Full day",'_Dates'!U917="AM",'_Dates'!U917="PM")),NOT(OR('_Dates'!V917="Full day",'_Dates'!V917="AM",'_Dates'!V917="PM"))),"CHECK Full day / AM / PM",IF(AND('_Dates'!J917='_Dates'!T917,'_Dates'!U917&lt;&gt;"Full day",'_Dates'!V917&lt;&gt;"Full day",'_Dates'!U917&lt;&gt;'_Dates'!V917),"CHECK same-day portions disagree",IF(AND($B$6=0,OR(AND('_Dates'!U917&lt;&gt;"Full day",'_Dates'!AA917=0),AND('_Dates'!V917&lt;&gt;"Full day",'_Dates'!AB917=0))),"CHECK half-day on non-working date",IF(COUNTIF(Settings!$G$7:$G$11,D917)&lt;&gt;1,"CHECK leave type",IF(AND(Bookings!G917&lt;&gt;"Approved",Bookings!G917&lt;&gt;"Pending",Bookings!G917&lt;&gt;"Cancelled"),"CHECK status","OK")))))))))),"CHECK input"))</ns0:f>
        <ns0:v/>
      </ns0:c>
      <ns0:c r="G917" s="0">
        <ns0:f>IF(OR(F917&lt;&gt;"OK",$B$6&gt;0),0,0.5*(IF(('_Dates'!X917)&lt;('_Dates'!W917),0,INT((('_Dates'!X917)-('_Dates'!W917)+1)/7)*LEN(SUBSTITUTE(W917,"O",""))+LEN(SUBSTITUTE(MID(W917&amp;W917,WEEKDAY(('_Dates'!W917),2),MOD((('_Dates'!X917)-('_Dates'!W917)+1),7)),"O",""))-COUNTIFS(INDEX(AllClosureRows,C917,0),"&gt;="&amp;('_Dates'!W917),INDEX(AllClosureRows,C917,0),"&lt;="&amp;('_Dates'!X917)))+IF(('_Dates'!Z917)&lt;('_Dates'!Y917),0,INT((('_Dates'!Z917)-('_Dates'!Y917)+1)/7)*LEN(SUBSTITUTE(W917,"O",""))+LEN(SUBSTITUTE(MID(W917&amp;W917,WEEKDAY(('_Dates'!Y917),2),MOD((('_Dates'!Z917)-('_Dates'!Y917)+1),7)),"O",""))-COUNTIFS(INDEX(AllClosureRows,C917,0),"&gt;="&amp;('_Dates'!Y917),INDEX(AllClosureRows,C917,0),"&lt;="&amp;('_Dates'!Z917)))))</ns0:f>
        <ns0:v>0</ns0:v>
      </ns0:c>
      <ns0:c r="H917" s="0">
        <ns0:f>IF(OR(F917&lt;&gt;"OK",$B$6&gt;0),0,0.5*(IF((MIN('_Dates'!X917,Settings!$B$9))&lt;('_Dates'!W917),0,INT(((MIN('_Dates'!X917,Settings!$B$9))-('_Dates'!W917)+1)/7)*LEN(SUBSTITUTE(W917,"O",""))+LEN(SUBSTITUTE(MID(W917&amp;W917,WEEKDAY(('_Dates'!W917),2),MOD(((MIN('_Dates'!X917,Settings!$B$9))-('_Dates'!W917)+1),7)),"O",""))-COUNTIFS(INDEX(AllClosureRows,C917,0),"&gt;="&amp;('_Dates'!W917),INDEX(AllClosureRows,C917,0),"&lt;="&amp;(MIN('_Dates'!X917,Settings!$B$9))))+IF((MIN('_Dates'!Z917,Settings!$B$9))&lt;('_Dates'!Y917),0,INT(((MIN('_Dates'!Z917,Settings!$B$9))-('_Dates'!Y917)+1)/7)*LEN(SUBSTITUTE(W917,"O",""))+LEN(SUBSTITUTE(MID(W917&amp;W917,WEEKDAY(('_Dates'!Y917),2),MOD(((MIN('_Dates'!Z917,Settings!$B$9))-('_Dates'!Y917)+1),7)),"O",""))-COUNTIFS(INDEX(AllClosureRows,C917,0),"&gt;="&amp;('_Dates'!Y917),INDEX(AllClosureRows,C917,0),"&lt;="&amp;(MIN('_Dates'!Z917,Settings!$B$9))))))</ns0:f>
        <ns0:v>0</ns0:v>
      </ns0:c>
      <ns0:c r="I917" s="0">
        <ns0:f>MAX(0,G917-H917)</ns0:f>
        <ns0:v>0</ns0:v>
      </ns0:c>
      <ns0:c r="J917" s="0">
        <ns0:f>IF(OR(A917=0,F917&lt;&gt;"OK",Bookings!G917="Cancelled",$B$6&gt;0),0,IF('_Dates'!AC917=1,MAX(0,COUNTIFS(rngEngine_B,B917,rngAMStart,"&lt;="&amp;'_Dates'!X917,rngAMEnd,"&gt;="&amp;'_Dates'!W917,rngAMActive,1,rngEngine_F,"OK",rngBookings_F,"&lt;&gt;Cancelled")-1),0)+IF('_Dates'!AD917=1,MAX(0,COUNTIFS(rngEngine_B,B917,rngPMStart,"&lt;="&amp;'_Dates'!Z917,rngPMEnd,"&gt;="&amp;'_Dates'!Y917,rngPMActive,1,rngEngine_F,"OK",rngBookings_F,"&lt;&gt;Cancelled")-1),0))</ns0:f>
        <ns0:v>0</ns0:v>
      </ns0:c>
      <ns0:c r="K917" s="0" t="str">
        <ns0:f>IF(A917=0,"",IF(F917&lt;&gt;"OK",F917,IF(J917&gt;0,"CHECK overlapping entry",IF(AND($B$6=0,G917&lt;=0,Bookings!G917&lt;&gt;"Cancelled"),"CHECK no working days",IF(Bookings!G917="Cancelled","Cancelled","OK")))))</ns0:f>
        <ns0:v/>
      </ns0:c>
      <ns0:c r="L917" s="0">
        <ns0:f>IF(LEFT(K917,5)="CHECK",1,0)</ns0:f>
        <ns0:v>0</ns0:v>
      </ns0:c>
      <ns0:c r="M917" s="0">
        <ns0:f>IF(AND(L917=1,OR(C917=0,IFERROR(INDEX($X$11:$X$60,C917),0)=0)),1,0)</ns0:f>
        <ns0:v>0</ns0:v>
      </ns0:c>
      <ns0:c r="N917" s="0">
        <ns0:f>IF(OR(A917=0,L917&gt;0,$B$6&gt;0,Bookings!G917="Cancelled"),0,G917)</ns0:f>
        <ns0:v>0</ns0:v>
      </ns0:c>
      <ns0:c r="O917" s="0">
        <ns0:f>IF(AND(Bookings!G917="Approved",E917="Yes"),N917,0)</ns0:f>
        <ns0:v>0</ns0:v>
      </ns0:c>
      <ns0:c r="P917" s="0">
        <ns0:f>IF(AND(Bookings!G917="Approved",E917="Yes",L917=0,$B$6=0),H917,0)</ns0:f>
        <ns0:v>0</ns0:v>
      </ns0:c>
      <ns0:c r="Q917" s="0">
        <ns0:f>IF(AND(Bookings!G917="Approved",E917="Yes",L917=0,$B$6=0),I917,0)</ns0:f>
        <ns0:v>0</ns0:v>
      </ns0:c>
      <ns0:c r="R917" s="0">
        <ns0:f>IF(AND(Bookings!G917="Pending",E917="Yes"),N917,0)</ns0:f>
        <ns0:v>0</ns0:v>
      </ns0:c>
      <ns0:c r="S917" s="0">
        <ns0:f>IF(AND(Bookings!G917="Approved",E917="No"),N917,0)</ns0:f>
        <ns0:v>0</ns0:v>
      </ns0:c>
      <ns0:c r="T917" s="0">
        <ns0:f>IFERROR(MATCH(D917,Settings!$G$7:$G$11,0),0)</ns0:f>
        <ns0:v>0</ns0:v>
      </ns0:c>
      <ns0:c r="U917" s="0">
        <ns0:f>IF(N917&gt;0,T917+IF(Bookings!G917="Pending",10,0),0)</ns0:f>
        <ns0:v>0</ns0:v>
      </ns0:c>
      <ns0:c r="V917" s="0">
        <ns0:f>U917</ns0:f>
        <ns0:v>0</ns0:v>
      </ns0:c>
      <ns0:c r="W917" s="0" t="str">
        <ns0:f>IF(C917=0,"",INDEX($AP$11:$AP$60,C917))</ns0:f>
        <ns0:v/>
      </ns0:c>
    </ns0:row>
    <ns0:row r="918">
      <ns0:c r="A918" s="0">
        <ns0:f>IF(COUNTA(Bookings!A918:G918,Bookings!I918)=0,0,1)</ns0:f>
        <ns0:v>0</ns0:v>
      </ns0:c>
      <ns0:c r="B918" s="0" t="str">
        <ns0:f>IFERROR(TRIM(MID(Bookings!A918,FIND(" · ",Bookings!A918)+3,99)),"")</ns0:f>
        <ns0:v/>
      </ns0:c>
      <ns0:c r="C918" s="0">
        <ns0:f>IF(OR(B918="",LEN(B918)&gt;24,ISNUMBER(FIND(" ",B918)),ISNUMBER(FIND("*",B918)),ISNUMBER(FIND("?",B918)),ISNUMBER(FIND("~",B918))),0,IFERROR(MATCH(B918,Team!$A$11:$A$60,0),0))</ns0:f>
        <ns0:v>0</ns0:v>
      </ns0:c>
      <ns0:c r="D918" s="0" t="str">
        <ns0:f>IFERROR(IF(MID(Bookings!F918,LEN(Bookings!F918)-3,3)=" · ",RIGHT(Bookings!F918,1),""),"")</ns0:f>
        <ns0:v/>
      </ns0:c>
      <ns0:c r="E918" s="0" t="str">
        <ns0:f>IFERROR(INDEX(Settings!$H$7:$H$11,MATCH(D918,Settings!$G$7:$G$11,0)),"")</ns0:f>
        <ns0:v/>
      </ns0:c>
      <ns0:c r="F918" s="0" t="str">
        <ns0:f>IF(A918=0,"",IFERROR(IF(OR(B918="",C918=0),"CHECK employee selection",IF(INDEX(Team!$O$11:$O$60,C918)&lt;&gt;"OK","CHECK employee setup",IF(OR('_Dates'!J918=0,'_Dates'!T918=0),"CHECK date: use DD.MM.YYYY",IF('_Dates'!T918&lt;'_Dates'!J918,"CHECK end before start",IF(AND($B$6=0,OR('_Dates'!J918&lt;Settings!$B$7,'_Dates'!T918&gt;Settings!$B$8)),"CHECK split across leave years",IF(OR(NOT(OR('_Dates'!U918="Full day",'_Dates'!U918="AM",'_Dates'!U918="PM")),NOT(OR('_Dates'!V918="Full day",'_Dates'!V918="AM",'_Dates'!V918="PM"))),"CHECK Full day / AM / PM",IF(AND('_Dates'!J918='_Dates'!T918,'_Dates'!U918&lt;&gt;"Full day",'_Dates'!V918&lt;&gt;"Full day",'_Dates'!U918&lt;&gt;'_Dates'!V918),"CHECK same-day portions disagree",IF(AND($B$6=0,OR(AND('_Dates'!U918&lt;&gt;"Full day",'_Dates'!AA918=0),AND('_Dates'!V918&lt;&gt;"Full day",'_Dates'!AB918=0))),"CHECK half-day on non-working date",IF(COUNTIF(Settings!$G$7:$G$11,D918)&lt;&gt;1,"CHECK leave type",IF(AND(Bookings!G918&lt;&gt;"Approved",Bookings!G918&lt;&gt;"Pending",Bookings!G918&lt;&gt;"Cancelled"),"CHECK status","OK")))))))))),"CHECK input"))</ns0:f>
        <ns0:v/>
      </ns0:c>
      <ns0:c r="G918" s="0">
        <ns0:f>IF(OR(F918&lt;&gt;"OK",$B$6&gt;0),0,0.5*(IF(('_Dates'!X918)&lt;('_Dates'!W918),0,INT((('_Dates'!X918)-('_Dates'!W918)+1)/7)*LEN(SUBSTITUTE(W918,"O",""))+LEN(SUBSTITUTE(MID(W918&amp;W918,WEEKDAY(('_Dates'!W918),2),MOD((('_Dates'!X918)-('_Dates'!W918)+1),7)),"O",""))-COUNTIFS(INDEX(AllClosureRows,C918,0),"&gt;="&amp;('_Dates'!W918),INDEX(AllClosureRows,C918,0),"&lt;="&amp;('_Dates'!X918)))+IF(('_Dates'!Z918)&lt;('_Dates'!Y918),0,INT((('_Dates'!Z918)-('_Dates'!Y918)+1)/7)*LEN(SUBSTITUTE(W918,"O",""))+LEN(SUBSTITUTE(MID(W918&amp;W918,WEEKDAY(('_Dates'!Y918),2),MOD((('_Dates'!Z918)-('_Dates'!Y918)+1),7)),"O",""))-COUNTIFS(INDEX(AllClosureRows,C918,0),"&gt;="&amp;('_Dates'!Y918),INDEX(AllClosureRows,C918,0),"&lt;="&amp;('_Dates'!Z918)))))</ns0:f>
        <ns0:v>0</ns0:v>
      </ns0:c>
      <ns0:c r="H918" s="0">
        <ns0:f>IF(OR(F918&lt;&gt;"OK",$B$6&gt;0),0,0.5*(IF((MIN('_Dates'!X918,Settings!$B$9))&lt;('_Dates'!W918),0,INT(((MIN('_Dates'!X918,Settings!$B$9))-('_Dates'!W918)+1)/7)*LEN(SUBSTITUTE(W918,"O",""))+LEN(SUBSTITUTE(MID(W918&amp;W918,WEEKDAY(('_Dates'!W918),2),MOD(((MIN('_Dates'!X918,Settings!$B$9))-('_Dates'!W918)+1),7)),"O",""))-COUNTIFS(INDEX(AllClosureRows,C918,0),"&gt;="&amp;('_Dates'!W918),INDEX(AllClosureRows,C918,0),"&lt;="&amp;(MIN('_Dates'!X918,Settings!$B$9))))+IF((MIN('_Dates'!Z918,Settings!$B$9))&lt;('_Dates'!Y918),0,INT(((MIN('_Dates'!Z918,Settings!$B$9))-('_Dates'!Y918)+1)/7)*LEN(SUBSTITUTE(W918,"O",""))+LEN(SUBSTITUTE(MID(W918&amp;W918,WEEKDAY(('_Dates'!Y918),2),MOD(((MIN('_Dates'!Z918,Settings!$B$9))-('_Dates'!Y918)+1),7)),"O",""))-COUNTIFS(INDEX(AllClosureRows,C918,0),"&gt;="&amp;('_Dates'!Y918),INDEX(AllClosureRows,C918,0),"&lt;="&amp;(MIN('_Dates'!Z918,Settings!$B$9))))))</ns0:f>
        <ns0:v>0</ns0:v>
      </ns0:c>
      <ns0:c r="I918" s="0">
        <ns0:f>MAX(0,G918-H918)</ns0:f>
        <ns0:v>0</ns0:v>
      </ns0:c>
      <ns0:c r="J918" s="0">
        <ns0:f>IF(OR(A918=0,F918&lt;&gt;"OK",Bookings!G918="Cancelled",$B$6&gt;0),0,IF('_Dates'!AC918=1,MAX(0,COUNTIFS(rngEngine_B,B918,rngAMStart,"&lt;="&amp;'_Dates'!X918,rngAMEnd,"&gt;="&amp;'_Dates'!W918,rngAMActive,1,rngEngine_F,"OK",rngBookings_F,"&lt;&gt;Cancelled")-1),0)+IF('_Dates'!AD918=1,MAX(0,COUNTIFS(rngEngine_B,B918,rngPMStart,"&lt;="&amp;'_Dates'!Z918,rngPMEnd,"&gt;="&amp;'_Dates'!Y918,rngPMActive,1,rngEngine_F,"OK",rngBookings_F,"&lt;&gt;Cancelled")-1),0))</ns0:f>
        <ns0:v>0</ns0:v>
      </ns0:c>
      <ns0:c r="K918" s="0" t="str">
        <ns0:f>IF(A918=0,"",IF(F918&lt;&gt;"OK",F918,IF(J918&gt;0,"CHECK overlapping entry",IF(AND($B$6=0,G918&lt;=0,Bookings!G918&lt;&gt;"Cancelled"),"CHECK no working days",IF(Bookings!G918="Cancelled","Cancelled","OK")))))</ns0:f>
        <ns0:v/>
      </ns0:c>
      <ns0:c r="L918" s="0">
        <ns0:f>IF(LEFT(K918,5)="CHECK",1,0)</ns0:f>
        <ns0:v>0</ns0:v>
      </ns0:c>
      <ns0:c r="M918" s="0">
        <ns0:f>IF(AND(L918=1,OR(C918=0,IFERROR(INDEX($X$11:$X$60,C918),0)=0)),1,0)</ns0:f>
        <ns0:v>0</ns0:v>
      </ns0:c>
      <ns0:c r="N918" s="0">
        <ns0:f>IF(OR(A918=0,L918&gt;0,$B$6&gt;0,Bookings!G918="Cancelled"),0,G918)</ns0:f>
        <ns0:v>0</ns0:v>
      </ns0:c>
      <ns0:c r="O918" s="0">
        <ns0:f>IF(AND(Bookings!G918="Approved",E918="Yes"),N918,0)</ns0:f>
        <ns0:v>0</ns0:v>
      </ns0:c>
      <ns0:c r="P918" s="0">
        <ns0:f>IF(AND(Bookings!G918="Approved",E918="Yes",L918=0,$B$6=0),H918,0)</ns0:f>
        <ns0:v>0</ns0:v>
      </ns0:c>
      <ns0:c r="Q918" s="0">
        <ns0:f>IF(AND(Bookings!G918="Approved",E918="Yes",L918=0,$B$6=0),I918,0)</ns0:f>
        <ns0:v>0</ns0:v>
      </ns0:c>
      <ns0:c r="R918" s="0">
        <ns0:f>IF(AND(Bookings!G918="Pending",E918="Yes"),N918,0)</ns0:f>
        <ns0:v>0</ns0:v>
      </ns0:c>
      <ns0:c r="S918" s="0">
        <ns0:f>IF(AND(Bookings!G918="Approved",E918="No"),N918,0)</ns0:f>
        <ns0:v>0</ns0:v>
      </ns0:c>
      <ns0:c r="T918" s="0">
        <ns0:f>IFERROR(MATCH(D918,Settings!$G$7:$G$11,0),0)</ns0:f>
        <ns0:v>0</ns0:v>
      </ns0:c>
      <ns0:c r="U918" s="0">
        <ns0:f>IF(N918&gt;0,T918+IF(Bookings!G918="Pending",10,0),0)</ns0:f>
        <ns0:v>0</ns0:v>
      </ns0:c>
      <ns0:c r="V918" s="0">
        <ns0:f>U918</ns0:f>
        <ns0:v>0</ns0:v>
      </ns0:c>
      <ns0:c r="W918" s="0" t="str">
        <ns0:f>IF(C918=0,"",INDEX($AP$11:$AP$60,C918))</ns0:f>
        <ns0:v/>
      </ns0:c>
    </ns0:row>
    <ns0:row r="919">
      <ns0:c r="A919" s="0">
        <ns0:f>IF(COUNTA(Bookings!A919:G919,Bookings!I919)=0,0,1)</ns0:f>
        <ns0:v>0</ns0:v>
      </ns0:c>
      <ns0:c r="B919" s="0" t="str">
        <ns0:f>IFERROR(TRIM(MID(Bookings!A919,FIND(" · ",Bookings!A919)+3,99)),"")</ns0:f>
        <ns0:v/>
      </ns0:c>
      <ns0:c r="C919" s="0">
        <ns0:f>IF(OR(B919="",LEN(B919)&gt;24,ISNUMBER(FIND(" ",B919)),ISNUMBER(FIND("*",B919)),ISNUMBER(FIND("?",B919)),ISNUMBER(FIND("~",B919))),0,IFERROR(MATCH(B919,Team!$A$11:$A$60,0),0))</ns0:f>
        <ns0:v>0</ns0:v>
      </ns0:c>
      <ns0:c r="D919" s="0" t="str">
        <ns0:f>IFERROR(IF(MID(Bookings!F919,LEN(Bookings!F919)-3,3)=" · ",RIGHT(Bookings!F919,1),""),"")</ns0:f>
        <ns0:v/>
      </ns0:c>
      <ns0:c r="E919" s="0" t="str">
        <ns0:f>IFERROR(INDEX(Settings!$H$7:$H$11,MATCH(D919,Settings!$G$7:$G$11,0)),"")</ns0:f>
        <ns0:v/>
      </ns0:c>
      <ns0:c r="F919" s="0" t="str">
        <ns0:f>IF(A919=0,"",IFERROR(IF(OR(B919="",C919=0),"CHECK employee selection",IF(INDEX(Team!$O$11:$O$60,C919)&lt;&gt;"OK","CHECK employee setup",IF(OR('_Dates'!J919=0,'_Dates'!T919=0),"CHECK date: use DD.MM.YYYY",IF('_Dates'!T919&lt;'_Dates'!J919,"CHECK end before start",IF(AND($B$6=0,OR('_Dates'!J919&lt;Settings!$B$7,'_Dates'!T919&gt;Settings!$B$8)),"CHECK split across leave years",IF(OR(NOT(OR('_Dates'!U919="Full day",'_Dates'!U919="AM",'_Dates'!U919="PM")),NOT(OR('_Dates'!V919="Full day",'_Dates'!V919="AM",'_Dates'!V919="PM"))),"CHECK Full day / AM / PM",IF(AND('_Dates'!J919='_Dates'!T919,'_Dates'!U919&lt;&gt;"Full day",'_Dates'!V919&lt;&gt;"Full day",'_Dates'!U919&lt;&gt;'_Dates'!V919),"CHECK same-day portions disagree",IF(AND($B$6=0,OR(AND('_Dates'!U919&lt;&gt;"Full day",'_Dates'!AA919=0),AND('_Dates'!V919&lt;&gt;"Full day",'_Dates'!AB919=0))),"CHECK half-day on non-working date",IF(COUNTIF(Settings!$G$7:$G$11,D919)&lt;&gt;1,"CHECK leave type",IF(AND(Bookings!G919&lt;&gt;"Approved",Bookings!G919&lt;&gt;"Pending",Bookings!G919&lt;&gt;"Cancelled"),"CHECK status","OK")))))))))),"CHECK input"))</ns0:f>
        <ns0:v/>
      </ns0:c>
      <ns0:c r="G919" s="0">
        <ns0:f>IF(OR(F919&lt;&gt;"OK",$B$6&gt;0),0,0.5*(IF(('_Dates'!X919)&lt;('_Dates'!W919),0,INT((('_Dates'!X919)-('_Dates'!W919)+1)/7)*LEN(SUBSTITUTE(W919,"O",""))+LEN(SUBSTITUTE(MID(W919&amp;W919,WEEKDAY(('_Dates'!W919),2),MOD((('_Dates'!X919)-('_Dates'!W919)+1),7)),"O",""))-COUNTIFS(INDEX(AllClosureRows,C919,0),"&gt;="&amp;('_Dates'!W919),INDEX(AllClosureRows,C919,0),"&lt;="&amp;('_Dates'!X919)))+IF(('_Dates'!Z919)&lt;('_Dates'!Y919),0,INT((('_Dates'!Z919)-('_Dates'!Y919)+1)/7)*LEN(SUBSTITUTE(W919,"O",""))+LEN(SUBSTITUTE(MID(W919&amp;W919,WEEKDAY(('_Dates'!Y919),2),MOD((('_Dates'!Z919)-('_Dates'!Y919)+1),7)),"O",""))-COUNTIFS(INDEX(AllClosureRows,C919,0),"&gt;="&amp;('_Dates'!Y919),INDEX(AllClosureRows,C919,0),"&lt;="&amp;('_Dates'!Z919)))))</ns0:f>
        <ns0:v>0</ns0:v>
      </ns0:c>
      <ns0:c r="H919" s="0">
        <ns0:f>IF(OR(F919&lt;&gt;"OK",$B$6&gt;0),0,0.5*(IF((MIN('_Dates'!X919,Settings!$B$9))&lt;('_Dates'!W919),0,INT(((MIN('_Dates'!X919,Settings!$B$9))-('_Dates'!W919)+1)/7)*LEN(SUBSTITUTE(W919,"O",""))+LEN(SUBSTITUTE(MID(W919&amp;W919,WEEKDAY(('_Dates'!W919),2),MOD(((MIN('_Dates'!X919,Settings!$B$9))-('_Dates'!W919)+1),7)),"O",""))-COUNTIFS(INDEX(AllClosureRows,C919,0),"&gt;="&amp;('_Dates'!W919),INDEX(AllClosureRows,C919,0),"&lt;="&amp;(MIN('_Dates'!X919,Settings!$B$9))))+IF((MIN('_Dates'!Z919,Settings!$B$9))&lt;('_Dates'!Y919),0,INT(((MIN('_Dates'!Z919,Settings!$B$9))-('_Dates'!Y919)+1)/7)*LEN(SUBSTITUTE(W919,"O",""))+LEN(SUBSTITUTE(MID(W919&amp;W919,WEEKDAY(('_Dates'!Y919),2),MOD(((MIN('_Dates'!Z919,Settings!$B$9))-('_Dates'!Y919)+1),7)),"O",""))-COUNTIFS(INDEX(AllClosureRows,C919,0),"&gt;="&amp;('_Dates'!Y919),INDEX(AllClosureRows,C919,0),"&lt;="&amp;(MIN('_Dates'!Z919,Settings!$B$9))))))</ns0:f>
        <ns0:v>0</ns0:v>
      </ns0:c>
      <ns0:c r="I919" s="0">
        <ns0:f>MAX(0,G919-H919)</ns0:f>
        <ns0:v>0</ns0:v>
      </ns0:c>
      <ns0:c r="J919" s="0">
        <ns0:f>IF(OR(A919=0,F919&lt;&gt;"OK",Bookings!G919="Cancelled",$B$6&gt;0),0,IF('_Dates'!AC919=1,MAX(0,COUNTIFS(rngEngine_B,B919,rngAMStart,"&lt;="&amp;'_Dates'!X919,rngAMEnd,"&gt;="&amp;'_Dates'!W919,rngAMActive,1,rngEngine_F,"OK",rngBookings_F,"&lt;&gt;Cancelled")-1),0)+IF('_Dates'!AD919=1,MAX(0,COUNTIFS(rngEngine_B,B919,rngPMStart,"&lt;="&amp;'_Dates'!Z919,rngPMEnd,"&gt;="&amp;'_Dates'!Y919,rngPMActive,1,rngEngine_F,"OK",rngBookings_F,"&lt;&gt;Cancelled")-1),0))</ns0:f>
        <ns0:v>0</ns0:v>
      </ns0:c>
      <ns0:c r="K919" s="0" t="str">
        <ns0:f>IF(A919=0,"",IF(F919&lt;&gt;"OK",F919,IF(J919&gt;0,"CHECK overlapping entry",IF(AND($B$6=0,G919&lt;=0,Bookings!G919&lt;&gt;"Cancelled"),"CHECK no working days",IF(Bookings!G919="Cancelled","Cancelled","OK")))))</ns0:f>
        <ns0:v/>
      </ns0:c>
      <ns0:c r="L919" s="0">
        <ns0:f>IF(LEFT(K919,5)="CHECK",1,0)</ns0:f>
        <ns0:v>0</ns0:v>
      </ns0:c>
      <ns0:c r="M919" s="0">
        <ns0:f>IF(AND(L919=1,OR(C919=0,IFERROR(INDEX($X$11:$X$60,C919),0)=0)),1,0)</ns0:f>
        <ns0:v>0</ns0:v>
      </ns0:c>
      <ns0:c r="N919" s="0">
        <ns0:f>IF(OR(A919=0,L919&gt;0,$B$6&gt;0,Bookings!G919="Cancelled"),0,G919)</ns0:f>
        <ns0:v>0</ns0:v>
      </ns0:c>
      <ns0:c r="O919" s="0">
        <ns0:f>IF(AND(Bookings!G919="Approved",E919="Yes"),N919,0)</ns0:f>
        <ns0:v>0</ns0:v>
      </ns0:c>
      <ns0:c r="P919" s="0">
        <ns0:f>IF(AND(Bookings!G919="Approved",E919="Yes",L919=0,$B$6=0),H919,0)</ns0:f>
        <ns0:v>0</ns0:v>
      </ns0:c>
      <ns0:c r="Q919" s="0">
        <ns0:f>IF(AND(Bookings!G919="Approved",E919="Yes",L919=0,$B$6=0),I919,0)</ns0:f>
        <ns0:v>0</ns0:v>
      </ns0:c>
      <ns0:c r="R919" s="0">
        <ns0:f>IF(AND(Bookings!G919="Pending",E919="Yes"),N919,0)</ns0:f>
        <ns0:v>0</ns0:v>
      </ns0:c>
      <ns0:c r="S919" s="0">
        <ns0:f>IF(AND(Bookings!G919="Approved",E919="No"),N919,0)</ns0:f>
        <ns0:v>0</ns0:v>
      </ns0:c>
      <ns0:c r="T919" s="0">
        <ns0:f>IFERROR(MATCH(D919,Settings!$G$7:$G$11,0),0)</ns0:f>
        <ns0:v>0</ns0:v>
      </ns0:c>
      <ns0:c r="U919" s="0">
        <ns0:f>IF(N919&gt;0,T919+IF(Bookings!G919="Pending",10,0),0)</ns0:f>
        <ns0:v>0</ns0:v>
      </ns0:c>
      <ns0:c r="V919" s="0">
        <ns0:f>U919</ns0:f>
        <ns0:v>0</ns0:v>
      </ns0:c>
      <ns0:c r="W919" s="0" t="str">
        <ns0:f>IF(C919=0,"",INDEX($AP$11:$AP$60,C919))</ns0:f>
        <ns0:v/>
      </ns0:c>
    </ns0:row>
    <ns0:row r="920">
      <ns0:c r="A920" s="0">
        <ns0:f>IF(COUNTA(Bookings!A920:G920,Bookings!I920)=0,0,1)</ns0:f>
        <ns0:v>0</ns0:v>
      </ns0:c>
      <ns0:c r="B920" s="0" t="str">
        <ns0:f>IFERROR(TRIM(MID(Bookings!A920,FIND(" · ",Bookings!A920)+3,99)),"")</ns0:f>
        <ns0:v/>
      </ns0:c>
      <ns0:c r="C920" s="0">
        <ns0:f>IF(OR(B920="",LEN(B920)&gt;24,ISNUMBER(FIND(" ",B920)),ISNUMBER(FIND("*",B920)),ISNUMBER(FIND("?",B920)),ISNUMBER(FIND("~",B920))),0,IFERROR(MATCH(B920,Team!$A$11:$A$60,0),0))</ns0:f>
        <ns0:v>0</ns0:v>
      </ns0:c>
      <ns0:c r="D920" s="0" t="str">
        <ns0:f>IFERROR(IF(MID(Bookings!F920,LEN(Bookings!F920)-3,3)=" · ",RIGHT(Bookings!F920,1),""),"")</ns0:f>
        <ns0:v/>
      </ns0:c>
      <ns0:c r="E920" s="0" t="str">
        <ns0:f>IFERROR(INDEX(Settings!$H$7:$H$11,MATCH(D920,Settings!$G$7:$G$11,0)),"")</ns0:f>
        <ns0:v/>
      </ns0:c>
      <ns0:c r="F920" s="0" t="str">
        <ns0:f>IF(A920=0,"",IFERROR(IF(OR(B920="",C920=0),"CHECK employee selection",IF(INDEX(Team!$O$11:$O$60,C920)&lt;&gt;"OK","CHECK employee setup",IF(OR('_Dates'!J920=0,'_Dates'!T920=0),"CHECK date: use DD.MM.YYYY",IF('_Dates'!T920&lt;'_Dates'!J920,"CHECK end before start",IF(AND($B$6=0,OR('_Dates'!J920&lt;Settings!$B$7,'_Dates'!T920&gt;Settings!$B$8)),"CHECK split across leave years",IF(OR(NOT(OR('_Dates'!U920="Full day",'_Dates'!U920="AM",'_Dates'!U920="PM")),NOT(OR('_Dates'!V920="Full day",'_Dates'!V920="AM",'_Dates'!V920="PM"))),"CHECK Full day / AM / PM",IF(AND('_Dates'!J920='_Dates'!T920,'_Dates'!U920&lt;&gt;"Full day",'_Dates'!V920&lt;&gt;"Full day",'_Dates'!U920&lt;&gt;'_Dates'!V920),"CHECK same-day portions disagree",IF(AND($B$6=0,OR(AND('_Dates'!U920&lt;&gt;"Full day",'_Dates'!AA920=0),AND('_Dates'!V920&lt;&gt;"Full day",'_Dates'!AB920=0))),"CHECK half-day on non-working date",IF(COUNTIF(Settings!$G$7:$G$11,D920)&lt;&gt;1,"CHECK leave type",IF(AND(Bookings!G920&lt;&gt;"Approved",Bookings!G920&lt;&gt;"Pending",Bookings!G920&lt;&gt;"Cancelled"),"CHECK status","OK")))))))))),"CHECK input"))</ns0:f>
        <ns0:v/>
      </ns0:c>
      <ns0:c r="G920" s="0">
        <ns0:f>IF(OR(F920&lt;&gt;"OK",$B$6&gt;0),0,0.5*(IF(('_Dates'!X920)&lt;('_Dates'!W920),0,INT((('_Dates'!X920)-('_Dates'!W920)+1)/7)*LEN(SUBSTITUTE(W920,"O",""))+LEN(SUBSTITUTE(MID(W920&amp;W920,WEEKDAY(('_Dates'!W920),2),MOD((('_Dates'!X920)-('_Dates'!W920)+1),7)),"O",""))-COUNTIFS(INDEX(AllClosureRows,C920,0),"&gt;="&amp;('_Dates'!W920),INDEX(AllClosureRows,C920,0),"&lt;="&amp;('_Dates'!X920)))+IF(('_Dates'!Z920)&lt;('_Dates'!Y920),0,INT((('_Dates'!Z920)-('_Dates'!Y920)+1)/7)*LEN(SUBSTITUTE(W920,"O",""))+LEN(SUBSTITUTE(MID(W920&amp;W920,WEEKDAY(('_Dates'!Y920),2),MOD((('_Dates'!Z920)-('_Dates'!Y920)+1),7)),"O",""))-COUNTIFS(INDEX(AllClosureRows,C920,0),"&gt;="&amp;('_Dates'!Y920),INDEX(AllClosureRows,C920,0),"&lt;="&amp;('_Dates'!Z920)))))</ns0:f>
        <ns0:v>0</ns0:v>
      </ns0:c>
      <ns0:c r="H920" s="0">
        <ns0:f>IF(OR(F920&lt;&gt;"OK",$B$6&gt;0),0,0.5*(IF((MIN('_Dates'!X920,Settings!$B$9))&lt;('_Dates'!W920),0,INT(((MIN('_Dates'!X920,Settings!$B$9))-('_Dates'!W920)+1)/7)*LEN(SUBSTITUTE(W920,"O",""))+LEN(SUBSTITUTE(MID(W920&amp;W920,WEEKDAY(('_Dates'!W920),2),MOD(((MIN('_Dates'!X920,Settings!$B$9))-('_Dates'!W920)+1),7)),"O",""))-COUNTIFS(INDEX(AllClosureRows,C920,0),"&gt;="&amp;('_Dates'!W920),INDEX(AllClosureRows,C920,0),"&lt;="&amp;(MIN('_Dates'!X920,Settings!$B$9))))+IF((MIN('_Dates'!Z920,Settings!$B$9))&lt;('_Dates'!Y920),0,INT(((MIN('_Dates'!Z920,Settings!$B$9))-('_Dates'!Y920)+1)/7)*LEN(SUBSTITUTE(W920,"O",""))+LEN(SUBSTITUTE(MID(W920&amp;W920,WEEKDAY(('_Dates'!Y920),2),MOD(((MIN('_Dates'!Z920,Settings!$B$9))-('_Dates'!Y920)+1),7)),"O",""))-COUNTIFS(INDEX(AllClosureRows,C920,0),"&gt;="&amp;('_Dates'!Y920),INDEX(AllClosureRows,C920,0),"&lt;="&amp;(MIN('_Dates'!Z920,Settings!$B$9))))))</ns0:f>
        <ns0:v>0</ns0:v>
      </ns0:c>
      <ns0:c r="I920" s="0">
        <ns0:f>MAX(0,G920-H920)</ns0:f>
        <ns0:v>0</ns0:v>
      </ns0:c>
      <ns0:c r="J920" s="0">
        <ns0:f>IF(OR(A920=0,F920&lt;&gt;"OK",Bookings!G920="Cancelled",$B$6&gt;0),0,IF('_Dates'!AC920=1,MAX(0,COUNTIFS(rngEngine_B,B920,rngAMStart,"&lt;="&amp;'_Dates'!X920,rngAMEnd,"&gt;="&amp;'_Dates'!W920,rngAMActive,1,rngEngine_F,"OK",rngBookings_F,"&lt;&gt;Cancelled")-1),0)+IF('_Dates'!AD920=1,MAX(0,COUNTIFS(rngEngine_B,B920,rngPMStart,"&lt;="&amp;'_Dates'!Z920,rngPMEnd,"&gt;="&amp;'_Dates'!Y920,rngPMActive,1,rngEngine_F,"OK",rngBookings_F,"&lt;&gt;Cancelled")-1),0))</ns0:f>
        <ns0:v>0</ns0:v>
      </ns0:c>
      <ns0:c r="K920" s="0" t="str">
        <ns0:f>IF(A920=0,"",IF(F920&lt;&gt;"OK",F920,IF(J920&gt;0,"CHECK overlapping entry",IF(AND($B$6=0,G920&lt;=0,Bookings!G920&lt;&gt;"Cancelled"),"CHECK no working days",IF(Bookings!G920="Cancelled","Cancelled","OK")))))</ns0:f>
        <ns0:v/>
      </ns0:c>
      <ns0:c r="L920" s="0">
        <ns0:f>IF(LEFT(K920,5)="CHECK",1,0)</ns0:f>
        <ns0:v>0</ns0:v>
      </ns0:c>
      <ns0:c r="M920" s="0">
        <ns0:f>IF(AND(L920=1,OR(C920=0,IFERROR(INDEX($X$11:$X$60,C920),0)=0)),1,0)</ns0:f>
        <ns0:v>0</ns0:v>
      </ns0:c>
      <ns0:c r="N920" s="0">
        <ns0:f>IF(OR(A920=0,L920&gt;0,$B$6&gt;0,Bookings!G920="Cancelled"),0,G920)</ns0:f>
        <ns0:v>0</ns0:v>
      </ns0:c>
      <ns0:c r="O920" s="0">
        <ns0:f>IF(AND(Bookings!G920="Approved",E920="Yes"),N920,0)</ns0:f>
        <ns0:v>0</ns0:v>
      </ns0:c>
      <ns0:c r="P920" s="0">
        <ns0:f>IF(AND(Bookings!G920="Approved",E920="Yes",L920=0,$B$6=0),H920,0)</ns0:f>
        <ns0:v>0</ns0:v>
      </ns0:c>
      <ns0:c r="Q920" s="0">
        <ns0:f>IF(AND(Bookings!G920="Approved",E920="Yes",L920=0,$B$6=0),I920,0)</ns0:f>
        <ns0:v>0</ns0:v>
      </ns0:c>
      <ns0:c r="R920" s="0">
        <ns0:f>IF(AND(Bookings!G920="Pending",E920="Yes"),N920,0)</ns0:f>
        <ns0:v>0</ns0:v>
      </ns0:c>
      <ns0:c r="S920" s="0">
        <ns0:f>IF(AND(Bookings!G920="Approved",E920="No"),N920,0)</ns0:f>
        <ns0:v>0</ns0:v>
      </ns0:c>
      <ns0:c r="T920" s="0">
        <ns0:f>IFERROR(MATCH(D920,Settings!$G$7:$G$11,0),0)</ns0:f>
        <ns0:v>0</ns0:v>
      </ns0:c>
      <ns0:c r="U920" s="0">
        <ns0:f>IF(N920&gt;0,T920+IF(Bookings!G920="Pending",10,0),0)</ns0:f>
        <ns0:v>0</ns0:v>
      </ns0:c>
      <ns0:c r="V920" s="0">
        <ns0:f>U920</ns0:f>
        <ns0:v>0</ns0:v>
      </ns0:c>
      <ns0:c r="W920" s="0" t="str">
        <ns0:f>IF(C920=0,"",INDEX($AP$11:$AP$60,C920))</ns0:f>
        <ns0:v/>
      </ns0:c>
    </ns0:row>
    <ns0:row r="921">
      <ns0:c r="A921" s="0">
        <ns0:f>IF(COUNTA(Bookings!A921:G921,Bookings!I921)=0,0,1)</ns0:f>
        <ns0:v>0</ns0:v>
      </ns0:c>
      <ns0:c r="B921" s="0" t="str">
        <ns0:f>IFERROR(TRIM(MID(Bookings!A921,FIND(" · ",Bookings!A921)+3,99)),"")</ns0:f>
        <ns0:v/>
      </ns0:c>
      <ns0:c r="C921" s="0">
        <ns0:f>IF(OR(B921="",LEN(B921)&gt;24,ISNUMBER(FIND(" ",B921)),ISNUMBER(FIND("*",B921)),ISNUMBER(FIND("?",B921)),ISNUMBER(FIND("~",B921))),0,IFERROR(MATCH(B921,Team!$A$11:$A$60,0),0))</ns0:f>
        <ns0:v>0</ns0:v>
      </ns0:c>
      <ns0:c r="D921" s="0" t="str">
        <ns0:f>IFERROR(IF(MID(Bookings!F921,LEN(Bookings!F921)-3,3)=" · ",RIGHT(Bookings!F921,1),""),"")</ns0:f>
        <ns0:v/>
      </ns0:c>
      <ns0:c r="E921" s="0" t="str">
        <ns0:f>IFERROR(INDEX(Settings!$H$7:$H$11,MATCH(D921,Settings!$G$7:$G$11,0)),"")</ns0:f>
        <ns0:v/>
      </ns0:c>
      <ns0:c r="F921" s="0" t="str">
        <ns0:f>IF(A921=0,"",IFERROR(IF(OR(B921="",C921=0),"CHECK employee selection",IF(INDEX(Team!$O$11:$O$60,C921)&lt;&gt;"OK","CHECK employee setup",IF(OR('_Dates'!J921=0,'_Dates'!T921=0),"CHECK date: use DD.MM.YYYY",IF('_Dates'!T921&lt;'_Dates'!J921,"CHECK end before start",IF(AND($B$6=0,OR('_Dates'!J921&lt;Settings!$B$7,'_Dates'!T921&gt;Settings!$B$8)),"CHECK split across leave years",IF(OR(NOT(OR('_Dates'!U921="Full day",'_Dates'!U921="AM",'_Dates'!U921="PM")),NOT(OR('_Dates'!V921="Full day",'_Dates'!V921="AM",'_Dates'!V921="PM"))),"CHECK Full day / AM / PM",IF(AND('_Dates'!J921='_Dates'!T921,'_Dates'!U921&lt;&gt;"Full day",'_Dates'!V921&lt;&gt;"Full day",'_Dates'!U921&lt;&gt;'_Dates'!V921),"CHECK same-day portions disagree",IF(AND($B$6=0,OR(AND('_Dates'!U921&lt;&gt;"Full day",'_Dates'!AA921=0),AND('_Dates'!V921&lt;&gt;"Full day",'_Dates'!AB921=0))),"CHECK half-day on non-working date",IF(COUNTIF(Settings!$G$7:$G$11,D921)&lt;&gt;1,"CHECK leave type",IF(AND(Bookings!G921&lt;&gt;"Approved",Bookings!G921&lt;&gt;"Pending",Bookings!G921&lt;&gt;"Cancelled"),"CHECK status","OK")))))))))),"CHECK input"))</ns0:f>
        <ns0:v/>
      </ns0:c>
      <ns0:c r="G921" s="0">
        <ns0:f>IF(OR(F921&lt;&gt;"OK",$B$6&gt;0),0,0.5*(IF(('_Dates'!X921)&lt;('_Dates'!W921),0,INT((('_Dates'!X921)-('_Dates'!W921)+1)/7)*LEN(SUBSTITUTE(W921,"O",""))+LEN(SUBSTITUTE(MID(W921&amp;W921,WEEKDAY(('_Dates'!W921),2),MOD((('_Dates'!X921)-('_Dates'!W921)+1),7)),"O",""))-COUNTIFS(INDEX(AllClosureRows,C921,0),"&gt;="&amp;('_Dates'!W921),INDEX(AllClosureRows,C921,0),"&lt;="&amp;('_Dates'!X921)))+IF(('_Dates'!Z921)&lt;('_Dates'!Y921),0,INT((('_Dates'!Z921)-('_Dates'!Y921)+1)/7)*LEN(SUBSTITUTE(W921,"O",""))+LEN(SUBSTITUTE(MID(W921&amp;W921,WEEKDAY(('_Dates'!Y921),2),MOD((('_Dates'!Z921)-('_Dates'!Y921)+1),7)),"O",""))-COUNTIFS(INDEX(AllClosureRows,C921,0),"&gt;="&amp;('_Dates'!Y921),INDEX(AllClosureRows,C921,0),"&lt;="&amp;('_Dates'!Z921)))))</ns0:f>
        <ns0:v>0</ns0:v>
      </ns0:c>
      <ns0:c r="H921" s="0">
        <ns0:f>IF(OR(F921&lt;&gt;"OK",$B$6&gt;0),0,0.5*(IF((MIN('_Dates'!X921,Settings!$B$9))&lt;('_Dates'!W921),0,INT(((MIN('_Dates'!X921,Settings!$B$9))-('_Dates'!W921)+1)/7)*LEN(SUBSTITUTE(W921,"O",""))+LEN(SUBSTITUTE(MID(W921&amp;W921,WEEKDAY(('_Dates'!W921),2),MOD(((MIN('_Dates'!X921,Settings!$B$9))-('_Dates'!W921)+1),7)),"O",""))-COUNTIFS(INDEX(AllClosureRows,C921,0),"&gt;="&amp;('_Dates'!W921),INDEX(AllClosureRows,C921,0),"&lt;="&amp;(MIN('_Dates'!X921,Settings!$B$9))))+IF((MIN('_Dates'!Z921,Settings!$B$9))&lt;('_Dates'!Y921),0,INT(((MIN('_Dates'!Z921,Settings!$B$9))-('_Dates'!Y921)+1)/7)*LEN(SUBSTITUTE(W921,"O",""))+LEN(SUBSTITUTE(MID(W921&amp;W921,WEEKDAY(('_Dates'!Y921),2),MOD(((MIN('_Dates'!Z921,Settings!$B$9))-('_Dates'!Y921)+1),7)),"O",""))-COUNTIFS(INDEX(AllClosureRows,C921,0),"&gt;="&amp;('_Dates'!Y921),INDEX(AllClosureRows,C921,0),"&lt;="&amp;(MIN('_Dates'!Z921,Settings!$B$9))))))</ns0:f>
        <ns0:v>0</ns0:v>
      </ns0:c>
      <ns0:c r="I921" s="0">
        <ns0:f>MAX(0,G921-H921)</ns0:f>
        <ns0:v>0</ns0:v>
      </ns0:c>
      <ns0:c r="J921" s="0">
        <ns0:f>IF(OR(A921=0,F921&lt;&gt;"OK",Bookings!G921="Cancelled",$B$6&gt;0),0,IF('_Dates'!AC921=1,MAX(0,COUNTIFS(rngEngine_B,B921,rngAMStart,"&lt;="&amp;'_Dates'!X921,rngAMEnd,"&gt;="&amp;'_Dates'!W921,rngAMActive,1,rngEngine_F,"OK",rngBookings_F,"&lt;&gt;Cancelled")-1),0)+IF('_Dates'!AD921=1,MAX(0,COUNTIFS(rngEngine_B,B921,rngPMStart,"&lt;="&amp;'_Dates'!Z921,rngPMEnd,"&gt;="&amp;'_Dates'!Y921,rngPMActive,1,rngEngine_F,"OK",rngBookings_F,"&lt;&gt;Cancelled")-1),0))</ns0:f>
        <ns0:v>0</ns0:v>
      </ns0:c>
      <ns0:c r="K921" s="0" t="str">
        <ns0:f>IF(A921=0,"",IF(F921&lt;&gt;"OK",F921,IF(J921&gt;0,"CHECK overlapping entry",IF(AND($B$6=0,G921&lt;=0,Bookings!G921&lt;&gt;"Cancelled"),"CHECK no working days",IF(Bookings!G921="Cancelled","Cancelled","OK")))))</ns0:f>
        <ns0:v/>
      </ns0:c>
      <ns0:c r="L921" s="0">
        <ns0:f>IF(LEFT(K921,5)="CHECK",1,0)</ns0:f>
        <ns0:v>0</ns0:v>
      </ns0:c>
      <ns0:c r="M921" s="0">
        <ns0:f>IF(AND(L921=1,OR(C921=0,IFERROR(INDEX($X$11:$X$60,C921),0)=0)),1,0)</ns0:f>
        <ns0:v>0</ns0:v>
      </ns0:c>
      <ns0:c r="N921" s="0">
        <ns0:f>IF(OR(A921=0,L921&gt;0,$B$6&gt;0,Bookings!G921="Cancelled"),0,G921)</ns0:f>
        <ns0:v>0</ns0:v>
      </ns0:c>
      <ns0:c r="O921" s="0">
        <ns0:f>IF(AND(Bookings!G921="Approved",E921="Yes"),N921,0)</ns0:f>
        <ns0:v>0</ns0:v>
      </ns0:c>
      <ns0:c r="P921" s="0">
        <ns0:f>IF(AND(Bookings!G921="Approved",E921="Yes",L921=0,$B$6=0),H921,0)</ns0:f>
        <ns0:v>0</ns0:v>
      </ns0:c>
      <ns0:c r="Q921" s="0">
        <ns0:f>IF(AND(Bookings!G921="Approved",E921="Yes",L921=0,$B$6=0),I921,0)</ns0:f>
        <ns0:v>0</ns0:v>
      </ns0:c>
      <ns0:c r="R921" s="0">
        <ns0:f>IF(AND(Bookings!G921="Pending",E921="Yes"),N921,0)</ns0:f>
        <ns0:v>0</ns0:v>
      </ns0:c>
      <ns0:c r="S921" s="0">
        <ns0:f>IF(AND(Bookings!G921="Approved",E921="No"),N921,0)</ns0:f>
        <ns0:v>0</ns0:v>
      </ns0:c>
      <ns0:c r="T921" s="0">
        <ns0:f>IFERROR(MATCH(D921,Settings!$G$7:$G$11,0),0)</ns0:f>
        <ns0:v>0</ns0:v>
      </ns0:c>
      <ns0:c r="U921" s="0">
        <ns0:f>IF(N921&gt;0,T921+IF(Bookings!G921="Pending",10,0),0)</ns0:f>
        <ns0:v>0</ns0:v>
      </ns0:c>
      <ns0:c r="V921" s="0">
        <ns0:f>U921</ns0:f>
        <ns0:v>0</ns0:v>
      </ns0:c>
      <ns0:c r="W921" s="0" t="str">
        <ns0:f>IF(C921=0,"",INDEX($AP$11:$AP$60,C921))</ns0:f>
        <ns0:v/>
      </ns0:c>
    </ns0:row>
    <ns0:row r="922">
      <ns0:c r="A922" s="0">
        <ns0:f>IF(COUNTA(Bookings!A922:G922,Bookings!I922)=0,0,1)</ns0:f>
        <ns0:v>0</ns0:v>
      </ns0:c>
      <ns0:c r="B922" s="0" t="str">
        <ns0:f>IFERROR(TRIM(MID(Bookings!A922,FIND(" · ",Bookings!A922)+3,99)),"")</ns0:f>
        <ns0:v/>
      </ns0:c>
      <ns0:c r="C922" s="0">
        <ns0:f>IF(OR(B922="",LEN(B922)&gt;24,ISNUMBER(FIND(" ",B922)),ISNUMBER(FIND("*",B922)),ISNUMBER(FIND("?",B922)),ISNUMBER(FIND("~",B922))),0,IFERROR(MATCH(B922,Team!$A$11:$A$60,0),0))</ns0:f>
        <ns0:v>0</ns0:v>
      </ns0:c>
      <ns0:c r="D922" s="0" t="str">
        <ns0:f>IFERROR(IF(MID(Bookings!F922,LEN(Bookings!F922)-3,3)=" · ",RIGHT(Bookings!F922,1),""),"")</ns0:f>
        <ns0:v/>
      </ns0:c>
      <ns0:c r="E922" s="0" t="str">
        <ns0:f>IFERROR(INDEX(Settings!$H$7:$H$11,MATCH(D922,Settings!$G$7:$G$11,0)),"")</ns0:f>
        <ns0:v/>
      </ns0:c>
      <ns0:c r="F922" s="0" t="str">
        <ns0:f>IF(A922=0,"",IFERROR(IF(OR(B922="",C922=0),"CHECK employee selection",IF(INDEX(Team!$O$11:$O$60,C922)&lt;&gt;"OK","CHECK employee setup",IF(OR('_Dates'!J922=0,'_Dates'!T922=0),"CHECK date: use DD.MM.YYYY",IF('_Dates'!T922&lt;'_Dates'!J922,"CHECK end before start",IF(AND($B$6=0,OR('_Dates'!J922&lt;Settings!$B$7,'_Dates'!T922&gt;Settings!$B$8)),"CHECK split across leave years",IF(OR(NOT(OR('_Dates'!U922="Full day",'_Dates'!U922="AM",'_Dates'!U922="PM")),NOT(OR('_Dates'!V922="Full day",'_Dates'!V922="AM",'_Dates'!V922="PM"))),"CHECK Full day / AM / PM",IF(AND('_Dates'!J922='_Dates'!T922,'_Dates'!U922&lt;&gt;"Full day",'_Dates'!V922&lt;&gt;"Full day",'_Dates'!U922&lt;&gt;'_Dates'!V922),"CHECK same-day portions disagree",IF(AND($B$6=0,OR(AND('_Dates'!U922&lt;&gt;"Full day",'_Dates'!AA922=0),AND('_Dates'!V922&lt;&gt;"Full day",'_Dates'!AB922=0))),"CHECK half-day on non-working date",IF(COUNTIF(Settings!$G$7:$G$11,D922)&lt;&gt;1,"CHECK leave type",IF(AND(Bookings!G922&lt;&gt;"Approved",Bookings!G922&lt;&gt;"Pending",Bookings!G922&lt;&gt;"Cancelled"),"CHECK status","OK")))))))))),"CHECK input"))</ns0:f>
        <ns0:v/>
      </ns0:c>
      <ns0:c r="G922" s="0">
        <ns0:f>IF(OR(F922&lt;&gt;"OK",$B$6&gt;0),0,0.5*(IF(('_Dates'!X922)&lt;('_Dates'!W922),0,INT((('_Dates'!X922)-('_Dates'!W922)+1)/7)*LEN(SUBSTITUTE(W922,"O",""))+LEN(SUBSTITUTE(MID(W922&amp;W922,WEEKDAY(('_Dates'!W922),2),MOD((('_Dates'!X922)-('_Dates'!W922)+1),7)),"O",""))-COUNTIFS(INDEX(AllClosureRows,C922,0),"&gt;="&amp;('_Dates'!W922),INDEX(AllClosureRows,C922,0),"&lt;="&amp;('_Dates'!X922)))+IF(('_Dates'!Z922)&lt;('_Dates'!Y922),0,INT((('_Dates'!Z922)-('_Dates'!Y922)+1)/7)*LEN(SUBSTITUTE(W922,"O",""))+LEN(SUBSTITUTE(MID(W922&amp;W922,WEEKDAY(('_Dates'!Y922),2),MOD((('_Dates'!Z922)-('_Dates'!Y922)+1),7)),"O",""))-COUNTIFS(INDEX(AllClosureRows,C922,0),"&gt;="&amp;('_Dates'!Y922),INDEX(AllClosureRows,C922,0),"&lt;="&amp;('_Dates'!Z922)))))</ns0:f>
        <ns0:v>0</ns0:v>
      </ns0:c>
      <ns0:c r="H922" s="0">
        <ns0:f>IF(OR(F922&lt;&gt;"OK",$B$6&gt;0),0,0.5*(IF((MIN('_Dates'!X922,Settings!$B$9))&lt;('_Dates'!W922),0,INT(((MIN('_Dates'!X922,Settings!$B$9))-('_Dates'!W922)+1)/7)*LEN(SUBSTITUTE(W922,"O",""))+LEN(SUBSTITUTE(MID(W922&amp;W922,WEEKDAY(('_Dates'!W922),2),MOD(((MIN('_Dates'!X922,Settings!$B$9))-('_Dates'!W922)+1),7)),"O",""))-COUNTIFS(INDEX(AllClosureRows,C922,0),"&gt;="&amp;('_Dates'!W922),INDEX(AllClosureRows,C922,0),"&lt;="&amp;(MIN('_Dates'!X922,Settings!$B$9))))+IF((MIN('_Dates'!Z922,Settings!$B$9))&lt;('_Dates'!Y922),0,INT(((MIN('_Dates'!Z922,Settings!$B$9))-('_Dates'!Y922)+1)/7)*LEN(SUBSTITUTE(W922,"O",""))+LEN(SUBSTITUTE(MID(W922&amp;W922,WEEKDAY(('_Dates'!Y922),2),MOD(((MIN('_Dates'!Z922,Settings!$B$9))-('_Dates'!Y922)+1),7)),"O",""))-COUNTIFS(INDEX(AllClosureRows,C922,0),"&gt;="&amp;('_Dates'!Y922),INDEX(AllClosureRows,C922,0),"&lt;="&amp;(MIN('_Dates'!Z922,Settings!$B$9))))))</ns0:f>
        <ns0:v>0</ns0:v>
      </ns0:c>
      <ns0:c r="I922" s="0">
        <ns0:f>MAX(0,G922-H922)</ns0:f>
        <ns0:v>0</ns0:v>
      </ns0:c>
      <ns0:c r="J922" s="0">
        <ns0:f>IF(OR(A922=0,F922&lt;&gt;"OK",Bookings!G922="Cancelled",$B$6&gt;0),0,IF('_Dates'!AC922=1,MAX(0,COUNTIFS(rngEngine_B,B922,rngAMStart,"&lt;="&amp;'_Dates'!X922,rngAMEnd,"&gt;="&amp;'_Dates'!W922,rngAMActive,1,rngEngine_F,"OK",rngBookings_F,"&lt;&gt;Cancelled")-1),0)+IF('_Dates'!AD922=1,MAX(0,COUNTIFS(rngEngine_B,B922,rngPMStart,"&lt;="&amp;'_Dates'!Z922,rngPMEnd,"&gt;="&amp;'_Dates'!Y922,rngPMActive,1,rngEngine_F,"OK",rngBookings_F,"&lt;&gt;Cancelled")-1),0))</ns0:f>
        <ns0:v>0</ns0:v>
      </ns0:c>
      <ns0:c r="K922" s="0" t="str">
        <ns0:f>IF(A922=0,"",IF(F922&lt;&gt;"OK",F922,IF(J922&gt;0,"CHECK overlapping entry",IF(AND($B$6=0,G922&lt;=0,Bookings!G922&lt;&gt;"Cancelled"),"CHECK no working days",IF(Bookings!G922="Cancelled","Cancelled","OK")))))</ns0:f>
        <ns0:v/>
      </ns0:c>
      <ns0:c r="L922" s="0">
        <ns0:f>IF(LEFT(K922,5)="CHECK",1,0)</ns0:f>
        <ns0:v>0</ns0:v>
      </ns0:c>
      <ns0:c r="M922" s="0">
        <ns0:f>IF(AND(L922=1,OR(C922=0,IFERROR(INDEX($X$11:$X$60,C922),0)=0)),1,0)</ns0:f>
        <ns0:v>0</ns0:v>
      </ns0:c>
      <ns0:c r="N922" s="0">
        <ns0:f>IF(OR(A922=0,L922&gt;0,$B$6&gt;0,Bookings!G922="Cancelled"),0,G922)</ns0:f>
        <ns0:v>0</ns0:v>
      </ns0:c>
      <ns0:c r="O922" s="0">
        <ns0:f>IF(AND(Bookings!G922="Approved",E922="Yes"),N922,0)</ns0:f>
        <ns0:v>0</ns0:v>
      </ns0:c>
      <ns0:c r="P922" s="0">
        <ns0:f>IF(AND(Bookings!G922="Approved",E922="Yes",L922=0,$B$6=0),H922,0)</ns0:f>
        <ns0:v>0</ns0:v>
      </ns0:c>
      <ns0:c r="Q922" s="0">
        <ns0:f>IF(AND(Bookings!G922="Approved",E922="Yes",L922=0,$B$6=0),I922,0)</ns0:f>
        <ns0:v>0</ns0:v>
      </ns0:c>
      <ns0:c r="R922" s="0">
        <ns0:f>IF(AND(Bookings!G922="Pending",E922="Yes"),N922,0)</ns0:f>
        <ns0:v>0</ns0:v>
      </ns0:c>
      <ns0:c r="S922" s="0">
        <ns0:f>IF(AND(Bookings!G922="Approved",E922="No"),N922,0)</ns0:f>
        <ns0:v>0</ns0:v>
      </ns0:c>
      <ns0:c r="T922" s="0">
        <ns0:f>IFERROR(MATCH(D922,Settings!$G$7:$G$11,0),0)</ns0:f>
        <ns0:v>0</ns0:v>
      </ns0:c>
      <ns0:c r="U922" s="0">
        <ns0:f>IF(N922&gt;0,T922+IF(Bookings!G922="Pending",10,0),0)</ns0:f>
        <ns0:v>0</ns0:v>
      </ns0:c>
      <ns0:c r="V922" s="0">
        <ns0:f>U922</ns0:f>
        <ns0:v>0</ns0:v>
      </ns0:c>
      <ns0:c r="W922" s="0" t="str">
        <ns0:f>IF(C922=0,"",INDEX($AP$11:$AP$60,C922))</ns0:f>
        <ns0:v/>
      </ns0:c>
    </ns0:row>
    <ns0:row r="923">
      <ns0:c r="A923" s="0">
        <ns0:f>IF(COUNTA(Bookings!A923:G923,Bookings!I923)=0,0,1)</ns0:f>
        <ns0:v>0</ns0:v>
      </ns0:c>
      <ns0:c r="B923" s="0" t="str">
        <ns0:f>IFERROR(TRIM(MID(Bookings!A923,FIND(" · ",Bookings!A923)+3,99)),"")</ns0:f>
        <ns0:v/>
      </ns0:c>
      <ns0:c r="C923" s="0">
        <ns0:f>IF(OR(B923="",LEN(B923)&gt;24,ISNUMBER(FIND(" ",B923)),ISNUMBER(FIND("*",B923)),ISNUMBER(FIND("?",B923)),ISNUMBER(FIND("~",B923))),0,IFERROR(MATCH(B923,Team!$A$11:$A$60,0),0))</ns0:f>
        <ns0:v>0</ns0:v>
      </ns0:c>
      <ns0:c r="D923" s="0" t="str">
        <ns0:f>IFERROR(IF(MID(Bookings!F923,LEN(Bookings!F923)-3,3)=" · ",RIGHT(Bookings!F923,1),""),"")</ns0:f>
        <ns0:v/>
      </ns0:c>
      <ns0:c r="E923" s="0" t="str">
        <ns0:f>IFERROR(INDEX(Settings!$H$7:$H$11,MATCH(D923,Settings!$G$7:$G$11,0)),"")</ns0:f>
        <ns0:v/>
      </ns0:c>
      <ns0:c r="F923" s="0" t="str">
        <ns0:f>IF(A923=0,"",IFERROR(IF(OR(B923="",C923=0),"CHECK employee selection",IF(INDEX(Team!$O$11:$O$60,C923)&lt;&gt;"OK","CHECK employee setup",IF(OR('_Dates'!J923=0,'_Dates'!T923=0),"CHECK date: use DD.MM.YYYY",IF('_Dates'!T923&lt;'_Dates'!J923,"CHECK end before start",IF(AND($B$6=0,OR('_Dates'!J923&lt;Settings!$B$7,'_Dates'!T923&gt;Settings!$B$8)),"CHECK split across leave years",IF(OR(NOT(OR('_Dates'!U923="Full day",'_Dates'!U923="AM",'_Dates'!U923="PM")),NOT(OR('_Dates'!V923="Full day",'_Dates'!V923="AM",'_Dates'!V923="PM"))),"CHECK Full day / AM / PM",IF(AND('_Dates'!J923='_Dates'!T923,'_Dates'!U923&lt;&gt;"Full day",'_Dates'!V923&lt;&gt;"Full day",'_Dates'!U923&lt;&gt;'_Dates'!V923),"CHECK same-day portions disagree",IF(AND($B$6=0,OR(AND('_Dates'!U923&lt;&gt;"Full day",'_Dates'!AA923=0),AND('_Dates'!V923&lt;&gt;"Full day",'_Dates'!AB923=0))),"CHECK half-day on non-working date",IF(COUNTIF(Settings!$G$7:$G$11,D923)&lt;&gt;1,"CHECK leave type",IF(AND(Bookings!G923&lt;&gt;"Approved",Bookings!G923&lt;&gt;"Pending",Bookings!G923&lt;&gt;"Cancelled"),"CHECK status","OK")))))))))),"CHECK input"))</ns0:f>
        <ns0:v/>
      </ns0:c>
      <ns0:c r="G923" s="0">
        <ns0:f>IF(OR(F923&lt;&gt;"OK",$B$6&gt;0),0,0.5*(IF(('_Dates'!X923)&lt;('_Dates'!W923),0,INT((('_Dates'!X923)-('_Dates'!W923)+1)/7)*LEN(SUBSTITUTE(W923,"O",""))+LEN(SUBSTITUTE(MID(W923&amp;W923,WEEKDAY(('_Dates'!W923),2),MOD((('_Dates'!X923)-('_Dates'!W923)+1),7)),"O",""))-COUNTIFS(INDEX(AllClosureRows,C923,0),"&gt;="&amp;('_Dates'!W923),INDEX(AllClosureRows,C923,0),"&lt;="&amp;('_Dates'!X923)))+IF(('_Dates'!Z923)&lt;('_Dates'!Y923),0,INT((('_Dates'!Z923)-('_Dates'!Y923)+1)/7)*LEN(SUBSTITUTE(W923,"O",""))+LEN(SUBSTITUTE(MID(W923&amp;W923,WEEKDAY(('_Dates'!Y923),2),MOD((('_Dates'!Z923)-('_Dates'!Y923)+1),7)),"O",""))-COUNTIFS(INDEX(AllClosureRows,C923,0),"&gt;="&amp;('_Dates'!Y923),INDEX(AllClosureRows,C923,0),"&lt;="&amp;('_Dates'!Z923)))))</ns0:f>
        <ns0:v>0</ns0:v>
      </ns0:c>
      <ns0:c r="H923" s="0">
        <ns0:f>IF(OR(F923&lt;&gt;"OK",$B$6&gt;0),0,0.5*(IF((MIN('_Dates'!X923,Settings!$B$9))&lt;('_Dates'!W923),0,INT(((MIN('_Dates'!X923,Settings!$B$9))-('_Dates'!W923)+1)/7)*LEN(SUBSTITUTE(W923,"O",""))+LEN(SUBSTITUTE(MID(W923&amp;W923,WEEKDAY(('_Dates'!W923),2),MOD(((MIN('_Dates'!X923,Settings!$B$9))-('_Dates'!W923)+1),7)),"O",""))-COUNTIFS(INDEX(AllClosureRows,C923,0),"&gt;="&amp;('_Dates'!W923),INDEX(AllClosureRows,C923,0),"&lt;="&amp;(MIN('_Dates'!X923,Settings!$B$9))))+IF((MIN('_Dates'!Z923,Settings!$B$9))&lt;('_Dates'!Y923),0,INT(((MIN('_Dates'!Z923,Settings!$B$9))-('_Dates'!Y923)+1)/7)*LEN(SUBSTITUTE(W923,"O",""))+LEN(SUBSTITUTE(MID(W923&amp;W923,WEEKDAY(('_Dates'!Y923),2),MOD(((MIN('_Dates'!Z923,Settings!$B$9))-('_Dates'!Y923)+1),7)),"O",""))-COUNTIFS(INDEX(AllClosureRows,C923,0),"&gt;="&amp;('_Dates'!Y923),INDEX(AllClosureRows,C923,0),"&lt;="&amp;(MIN('_Dates'!Z923,Settings!$B$9))))))</ns0:f>
        <ns0:v>0</ns0:v>
      </ns0:c>
      <ns0:c r="I923" s="0">
        <ns0:f>MAX(0,G923-H923)</ns0:f>
        <ns0:v>0</ns0:v>
      </ns0:c>
      <ns0:c r="J923" s="0">
        <ns0:f>IF(OR(A923=0,F923&lt;&gt;"OK",Bookings!G923="Cancelled",$B$6&gt;0),0,IF('_Dates'!AC923=1,MAX(0,COUNTIFS(rngEngine_B,B923,rngAMStart,"&lt;="&amp;'_Dates'!X923,rngAMEnd,"&gt;="&amp;'_Dates'!W923,rngAMActive,1,rngEngine_F,"OK",rngBookings_F,"&lt;&gt;Cancelled")-1),0)+IF('_Dates'!AD923=1,MAX(0,COUNTIFS(rngEngine_B,B923,rngPMStart,"&lt;="&amp;'_Dates'!Z923,rngPMEnd,"&gt;="&amp;'_Dates'!Y923,rngPMActive,1,rngEngine_F,"OK",rngBookings_F,"&lt;&gt;Cancelled")-1),0))</ns0:f>
        <ns0:v>0</ns0:v>
      </ns0:c>
      <ns0:c r="K923" s="0" t="str">
        <ns0:f>IF(A923=0,"",IF(F923&lt;&gt;"OK",F923,IF(J923&gt;0,"CHECK overlapping entry",IF(AND($B$6=0,G923&lt;=0,Bookings!G923&lt;&gt;"Cancelled"),"CHECK no working days",IF(Bookings!G923="Cancelled","Cancelled","OK")))))</ns0:f>
        <ns0:v/>
      </ns0:c>
      <ns0:c r="L923" s="0">
        <ns0:f>IF(LEFT(K923,5)="CHECK",1,0)</ns0:f>
        <ns0:v>0</ns0:v>
      </ns0:c>
      <ns0:c r="M923" s="0">
        <ns0:f>IF(AND(L923=1,OR(C923=0,IFERROR(INDEX($X$11:$X$60,C923),0)=0)),1,0)</ns0:f>
        <ns0:v>0</ns0:v>
      </ns0:c>
      <ns0:c r="N923" s="0">
        <ns0:f>IF(OR(A923=0,L923&gt;0,$B$6&gt;0,Bookings!G923="Cancelled"),0,G923)</ns0:f>
        <ns0:v>0</ns0:v>
      </ns0:c>
      <ns0:c r="O923" s="0">
        <ns0:f>IF(AND(Bookings!G923="Approved",E923="Yes"),N923,0)</ns0:f>
        <ns0:v>0</ns0:v>
      </ns0:c>
      <ns0:c r="P923" s="0">
        <ns0:f>IF(AND(Bookings!G923="Approved",E923="Yes",L923=0,$B$6=0),H923,0)</ns0:f>
        <ns0:v>0</ns0:v>
      </ns0:c>
      <ns0:c r="Q923" s="0">
        <ns0:f>IF(AND(Bookings!G923="Approved",E923="Yes",L923=0,$B$6=0),I923,0)</ns0:f>
        <ns0:v>0</ns0:v>
      </ns0:c>
      <ns0:c r="R923" s="0">
        <ns0:f>IF(AND(Bookings!G923="Pending",E923="Yes"),N923,0)</ns0:f>
        <ns0:v>0</ns0:v>
      </ns0:c>
      <ns0:c r="S923" s="0">
        <ns0:f>IF(AND(Bookings!G923="Approved",E923="No"),N923,0)</ns0:f>
        <ns0:v>0</ns0:v>
      </ns0:c>
      <ns0:c r="T923" s="0">
        <ns0:f>IFERROR(MATCH(D923,Settings!$G$7:$G$11,0),0)</ns0:f>
        <ns0:v>0</ns0:v>
      </ns0:c>
      <ns0:c r="U923" s="0">
        <ns0:f>IF(N923&gt;0,T923+IF(Bookings!G923="Pending",10,0),0)</ns0:f>
        <ns0:v>0</ns0:v>
      </ns0:c>
      <ns0:c r="V923" s="0">
        <ns0:f>U923</ns0:f>
        <ns0:v>0</ns0:v>
      </ns0:c>
      <ns0:c r="W923" s="0" t="str">
        <ns0:f>IF(C923=0,"",INDEX($AP$11:$AP$60,C923))</ns0:f>
        <ns0:v/>
      </ns0:c>
    </ns0:row>
    <ns0:row r="924">
      <ns0:c r="A924" s="0">
        <ns0:f>IF(COUNTA(Bookings!A924:G924,Bookings!I924)=0,0,1)</ns0:f>
        <ns0:v>0</ns0:v>
      </ns0:c>
      <ns0:c r="B924" s="0" t="str">
        <ns0:f>IFERROR(TRIM(MID(Bookings!A924,FIND(" · ",Bookings!A924)+3,99)),"")</ns0:f>
        <ns0:v/>
      </ns0:c>
      <ns0:c r="C924" s="0">
        <ns0:f>IF(OR(B924="",LEN(B924)&gt;24,ISNUMBER(FIND(" ",B924)),ISNUMBER(FIND("*",B924)),ISNUMBER(FIND("?",B924)),ISNUMBER(FIND("~",B924))),0,IFERROR(MATCH(B924,Team!$A$11:$A$60,0),0))</ns0:f>
        <ns0:v>0</ns0:v>
      </ns0:c>
      <ns0:c r="D924" s="0" t="str">
        <ns0:f>IFERROR(IF(MID(Bookings!F924,LEN(Bookings!F924)-3,3)=" · ",RIGHT(Bookings!F924,1),""),"")</ns0:f>
        <ns0:v/>
      </ns0:c>
      <ns0:c r="E924" s="0" t="str">
        <ns0:f>IFERROR(INDEX(Settings!$H$7:$H$11,MATCH(D924,Settings!$G$7:$G$11,0)),"")</ns0:f>
        <ns0:v/>
      </ns0:c>
      <ns0:c r="F924" s="0" t="str">
        <ns0:f>IF(A924=0,"",IFERROR(IF(OR(B924="",C924=0),"CHECK employee selection",IF(INDEX(Team!$O$11:$O$60,C924)&lt;&gt;"OK","CHECK employee setup",IF(OR('_Dates'!J924=0,'_Dates'!T924=0),"CHECK date: use DD.MM.YYYY",IF('_Dates'!T924&lt;'_Dates'!J924,"CHECK end before start",IF(AND($B$6=0,OR('_Dates'!J924&lt;Settings!$B$7,'_Dates'!T924&gt;Settings!$B$8)),"CHECK split across leave years",IF(OR(NOT(OR('_Dates'!U924="Full day",'_Dates'!U924="AM",'_Dates'!U924="PM")),NOT(OR('_Dates'!V924="Full day",'_Dates'!V924="AM",'_Dates'!V924="PM"))),"CHECK Full day / AM / PM",IF(AND('_Dates'!J924='_Dates'!T924,'_Dates'!U924&lt;&gt;"Full day",'_Dates'!V924&lt;&gt;"Full day",'_Dates'!U924&lt;&gt;'_Dates'!V924),"CHECK same-day portions disagree",IF(AND($B$6=0,OR(AND('_Dates'!U924&lt;&gt;"Full day",'_Dates'!AA924=0),AND('_Dates'!V924&lt;&gt;"Full day",'_Dates'!AB924=0))),"CHECK half-day on non-working date",IF(COUNTIF(Settings!$G$7:$G$11,D924)&lt;&gt;1,"CHECK leave type",IF(AND(Bookings!G924&lt;&gt;"Approved",Bookings!G924&lt;&gt;"Pending",Bookings!G924&lt;&gt;"Cancelled"),"CHECK status","OK")))))))))),"CHECK input"))</ns0:f>
        <ns0:v/>
      </ns0:c>
      <ns0:c r="G924" s="0">
        <ns0:f>IF(OR(F924&lt;&gt;"OK",$B$6&gt;0),0,0.5*(IF(('_Dates'!X924)&lt;('_Dates'!W924),0,INT((('_Dates'!X924)-('_Dates'!W924)+1)/7)*LEN(SUBSTITUTE(W924,"O",""))+LEN(SUBSTITUTE(MID(W924&amp;W924,WEEKDAY(('_Dates'!W924),2),MOD((('_Dates'!X924)-('_Dates'!W924)+1),7)),"O",""))-COUNTIFS(INDEX(AllClosureRows,C924,0),"&gt;="&amp;('_Dates'!W924),INDEX(AllClosureRows,C924,0),"&lt;="&amp;('_Dates'!X924)))+IF(('_Dates'!Z924)&lt;('_Dates'!Y924),0,INT((('_Dates'!Z924)-('_Dates'!Y924)+1)/7)*LEN(SUBSTITUTE(W924,"O",""))+LEN(SUBSTITUTE(MID(W924&amp;W924,WEEKDAY(('_Dates'!Y924),2),MOD((('_Dates'!Z924)-('_Dates'!Y924)+1),7)),"O",""))-COUNTIFS(INDEX(AllClosureRows,C924,0),"&gt;="&amp;('_Dates'!Y924),INDEX(AllClosureRows,C924,0),"&lt;="&amp;('_Dates'!Z924)))))</ns0:f>
        <ns0:v>0</ns0:v>
      </ns0:c>
      <ns0:c r="H924" s="0">
        <ns0:f>IF(OR(F924&lt;&gt;"OK",$B$6&gt;0),0,0.5*(IF((MIN('_Dates'!X924,Settings!$B$9))&lt;('_Dates'!W924),0,INT(((MIN('_Dates'!X924,Settings!$B$9))-('_Dates'!W924)+1)/7)*LEN(SUBSTITUTE(W924,"O",""))+LEN(SUBSTITUTE(MID(W924&amp;W924,WEEKDAY(('_Dates'!W924),2),MOD(((MIN('_Dates'!X924,Settings!$B$9))-('_Dates'!W924)+1),7)),"O",""))-COUNTIFS(INDEX(AllClosureRows,C924,0),"&gt;="&amp;('_Dates'!W924),INDEX(AllClosureRows,C924,0),"&lt;="&amp;(MIN('_Dates'!X924,Settings!$B$9))))+IF((MIN('_Dates'!Z924,Settings!$B$9))&lt;('_Dates'!Y924),0,INT(((MIN('_Dates'!Z924,Settings!$B$9))-('_Dates'!Y924)+1)/7)*LEN(SUBSTITUTE(W924,"O",""))+LEN(SUBSTITUTE(MID(W924&amp;W924,WEEKDAY(('_Dates'!Y924),2),MOD(((MIN('_Dates'!Z924,Settings!$B$9))-('_Dates'!Y924)+1),7)),"O",""))-COUNTIFS(INDEX(AllClosureRows,C924,0),"&gt;="&amp;('_Dates'!Y924),INDEX(AllClosureRows,C924,0),"&lt;="&amp;(MIN('_Dates'!Z924,Settings!$B$9))))))</ns0:f>
        <ns0:v>0</ns0:v>
      </ns0:c>
      <ns0:c r="I924" s="0">
        <ns0:f>MAX(0,G924-H924)</ns0:f>
        <ns0:v>0</ns0:v>
      </ns0:c>
      <ns0:c r="J924" s="0">
        <ns0:f>IF(OR(A924=0,F924&lt;&gt;"OK",Bookings!G924="Cancelled",$B$6&gt;0),0,IF('_Dates'!AC924=1,MAX(0,COUNTIFS(rngEngine_B,B924,rngAMStart,"&lt;="&amp;'_Dates'!X924,rngAMEnd,"&gt;="&amp;'_Dates'!W924,rngAMActive,1,rngEngine_F,"OK",rngBookings_F,"&lt;&gt;Cancelled")-1),0)+IF('_Dates'!AD924=1,MAX(0,COUNTIFS(rngEngine_B,B924,rngPMStart,"&lt;="&amp;'_Dates'!Z924,rngPMEnd,"&gt;="&amp;'_Dates'!Y924,rngPMActive,1,rngEngine_F,"OK",rngBookings_F,"&lt;&gt;Cancelled")-1),0))</ns0:f>
        <ns0:v>0</ns0:v>
      </ns0:c>
      <ns0:c r="K924" s="0" t="str">
        <ns0:f>IF(A924=0,"",IF(F924&lt;&gt;"OK",F924,IF(J924&gt;0,"CHECK overlapping entry",IF(AND($B$6=0,G924&lt;=0,Bookings!G924&lt;&gt;"Cancelled"),"CHECK no working days",IF(Bookings!G924="Cancelled","Cancelled","OK")))))</ns0:f>
        <ns0:v/>
      </ns0:c>
      <ns0:c r="L924" s="0">
        <ns0:f>IF(LEFT(K924,5)="CHECK",1,0)</ns0:f>
        <ns0:v>0</ns0:v>
      </ns0:c>
      <ns0:c r="M924" s="0">
        <ns0:f>IF(AND(L924=1,OR(C924=0,IFERROR(INDEX($X$11:$X$60,C924),0)=0)),1,0)</ns0:f>
        <ns0:v>0</ns0:v>
      </ns0:c>
      <ns0:c r="N924" s="0">
        <ns0:f>IF(OR(A924=0,L924&gt;0,$B$6&gt;0,Bookings!G924="Cancelled"),0,G924)</ns0:f>
        <ns0:v>0</ns0:v>
      </ns0:c>
      <ns0:c r="O924" s="0">
        <ns0:f>IF(AND(Bookings!G924="Approved",E924="Yes"),N924,0)</ns0:f>
        <ns0:v>0</ns0:v>
      </ns0:c>
      <ns0:c r="P924" s="0">
        <ns0:f>IF(AND(Bookings!G924="Approved",E924="Yes",L924=0,$B$6=0),H924,0)</ns0:f>
        <ns0:v>0</ns0:v>
      </ns0:c>
      <ns0:c r="Q924" s="0">
        <ns0:f>IF(AND(Bookings!G924="Approved",E924="Yes",L924=0,$B$6=0),I924,0)</ns0:f>
        <ns0:v>0</ns0:v>
      </ns0:c>
      <ns0:c r="R924" s="0">
        <ns0:f>IF(AND(Bookings!G924="Pending",E924="Yes"),N924,0)</ns0:f>
        <ns0:v>0</ns0:v>
      </ns0:c>
      <ns0:c r="S924" s="0">
        <ns0:f>IF(AND(Bookings!G924="Approved",E924="No"),N924,0)</ns0:f>
        <ns0:v>0</ns0:v>
      </ns0:c>
      <ns0:c r="T924" s="0">
        <ns0:f>IFERROR(MATCH(D924,Settings!$G$7:$G$11,0),0)</ns0:f>
        <ns0:v>0</ns0:v>
      </ns0:c>
      <ns0:c r="U924" s="0">
        <ns0:f>IF(N924&gt;0,T924+IF(Bookings!G924="Pending",10,0),0)</ns0:f>
        <ns0:v>0</ns0:v>
      </ns0:c>
      <ns0:c r="V924" s="0">
        <ns0:f>U924</ns0:f>
        <ns0:v>0</ns0:v>
      </ns0:c>
      <ns0:c r="W924" s="0" t="str">
        <ns0:f>IF(C924=0,"",INDEX($AP$11:$AP$60,C924))</ns0:f>
        <ns0:v/>
      </ns0:c>
    </ns0:row>
    <ns0:row r="925">
      <ns0:c r="A925" s="0">
        <ns0:f>IF(COUNTA(Bookings!A925:G925,Bookings!I925)=0,0,1)</ns0:f>
        <ns0:v>0</ns0:v>
      </ns0:c>
      <ns0:c r="B925" s="0" t="str">
        <ns0:f>IFERROR(TRIM(MID(Bookings!A925,FIND(" · ",Bookings!A925)+3,99)),"")</ns0:f>
        <ns0:v/>
      </ns0:c>
      <ns0:c r="C925" s="0">
        <ns0:f>IF(OR(B925="",LEN(B925)&gt;24,ISNUMBER(FIND(" ",B925)),ISNUMBER(FIND("*",B925)),ISNUMBER(FIND("?",B925)),ISNUMBER(FIND("~",B925))),0,IFERROR(MATCH(B925,Team!$A$11:$A$60,0),0))</ns0:f>
        <ns0:v>0</ns0:v>
      </ns0:c>
      <ns0:c r="D925" s="0" t="str">
        <ns0:f>IFERROR(IF(MID(Bookings!F925,LEN(Bookings!F925)-3,3)=" · ",RIGHT(Bookings!F925,1),""),"")</ns0:f>
        <ns0:v/>
      </ns0:c>
      <ns0:c r="E925" s="0" t="str">
        <ns0:f>IFERROR(INDEX(Settings!$H$7:$H$11,MATCH(D925,Settings!$G$7:$G$11,0)),"")</ns0:f>
        <ns0:v/>
      </ns0:c>
      <ns0:c r="F925" s="0" t="str">
        <ns0:f>IF(A925=0,"",IFERROR(IF(OR(B925="",C925=0),"CHECK employee selection",IF(INDEX(Team!$O$11:$O$60,C925)&lt;&gt;"OK","CHECK employee setup",IF(OR('_Dates'!J925=0,'_Dates'!T925=0),"CHECK date: use DD.MM.YYYY",IF('_Dates'!T925&lt;'_Dates'!J925,"CHECK end before start",IF(AND($B$6=0,OR('_Dates'!J925&lt;Settings!$B$7,'_Dates'!T925&gt;Settings!$B$8)),"CHECK split across leave years",IF(OR(NOT(OR('_Dates'!U925="Full day",'_Dates'!U925="AM",'_Dates'!U925="PM")),NOT(OR('_Dates'!V925="Full day",'_Dates'!V925="AM",'_Dates'!V925="PM"))),"CHECK Full day / AM / PM",IF(AND('_Dates'!J925='_Dates'!T925,'_Dates'!U925&lt;&gt;"Full day",'_Dates'!V925&lt;&gt;"Full day",'_Dates'!U925&lt;&gt;'_Dates'!V925),"CHECK same-day portions disagree",IF(AND($B$6=0,OR(AND('_Dates'!U925&lt;&gt;"Full day",'_Dates'!AA925=0),AND('_Dates'!V925&lt;&gt;"Full day",'_Dates'!AB925=0))),"CHECK half-day on non-working date",IF(COUNTIF(Settings!$G$7:$G$11,D925)&lt;&gt;1,"CHECK leave type",IF(AND(Bookings!G925&lt;&gt;"Approved",Bookings!G925&lt;&gt;"Pending",Bookings!G925&lt;&gt;"Cancelled"),"CHECK status","OK")))))))))),"CHECK input"))</ns0:f>
        <ns0:v/>
      </ns0:c>
      <ns0:c r="G925" s="0">
        <ns0:f>IF(OR(F925&lt;&gt;"OK",$B$6&gt;0),0,0.5*(IF(('_Dates'!X925)&lt;('_Dates'!W925),0,INT((('_Dates'!X925)-('_Dates'!W925)+1)/7)*LEN(SUBSTITUTE(W925,"O",""))+LEN(SUBSTITUTE(MID(W925&amp;W925,WEEKDAY(('_Dates'!W925),2),MOD((('_Dates'!X925)-('_Dates'!W925)+1),7)),"O",""))-COUNTIFS(INDEX(AllClosureRows,C925,0),"&gt;="&amp;('_Dates'!W925),INDEX(AllClosureRows,C925,0),"&lt;="&amp;('_Dates'!X925)))+IF(('_Dates'!Z925)&lt;('_Dates'!Y925),0,INT((('_Dates'!Z925)-('_Dates'!Y925)+1)/7)*LEN(SUBSTITUTE(W925,"O",""))+LEN(SUBSTITUTE(MID(W925&amp;W925,WEEKDAY(('_Dates'!Y925),2),MOD((('_Dates'!Z925)-('_Dates'!Y925)+1),7)),"O",""))-COUNTIFS(INDEX(AllClosureRows,C925,0),"&gt;="&amp;('_Dates'!Y925),INDEX(AllClosureRows,C925,0),"&lt;="&amp;('_Dates'!Z925)))))</ns0:f>
        <ns0:v>0</ns0:v>
      </ns0:c>
      <ns0:c r="H925" s="0">
        <ns0:f>IF(OR(F925&lt;&gt;"OK",$B$6&gt;0),0,0.5*(IF((MIN('_Dates'!X925,Settings!$B$9))&lt;('_Dates'!W925),0,INT(((MIN('_Dates'!X925,Settings!$B$9))-('_Dates'!W925)+1)/7)*LEN(SUBSTITUTE(W925,"O",""))+LEN(SUBSTITUTE(MID(W925&amp;W925,WEEKDAY(('_Dates'!W925),2),MOD(((MIN('_Dates'!X925,Settings!$B$9))-('_Dates'!W925)+1),7)),"O",""))-COUNTIFS(INDEX(AllClosureRows,C925,0),"&gt;="&amp;('_Dates'!W925),INDEX(AllClosureRows,C925,0),"&lt;="&amp;(MIN('_Dates'!X925,Settings!$B$9))))+IF((MIN('_Dates'!Z925,Settings!$B$9))&lt;('_Dates'!Y925),0,INT(((MIN('_Dates'!Z925,Settings!$B$9))-('_Dates'!Y925)+1)/7)*LEN(SUBSTITUTE(W925,"O",""))+LEN(SUBSTITUTE(MID(W925&amp;W925,WEEKDAY(('_Dates'!Y925),2),MOD(((MIN('_Dates'!Z925,Settings!$B$9))-('_Dates'!Y925)+1),7)),"O",""))-COUNTIFS(INDEX(AllClosureRows,C925,0),"&gt;="&amp;('_Dates'!Y925),INDEX(AllClosureRows,C925,0),"&lt;="&amp;(MIN('_Dates'!Z925,Settings!$B$9))))))</ns0:f>
        <ns0:v>0</ns0:v>
      </ns0:c>
      <ns0:c r="I925" s="0">
        <ns0:f>MAX(0,G925-H925)</ns0:f>
        <ns0:v>0</ns0:v>
      </ns0:c>
      <ns0:c r="J925" s="0">
        <ns0:f>IF(OR(A925=0,F925&lt;&gt;"OK",Bookings!G925="Cancelled",$B$6&gt;0),0,IF('_Dates'!AC925=1,MAX(0,COUNTIFS(rngEngine_B,B925,rngAMStart,"&lt;="&amp;'_Dates'!X925,rngAMEnd,"&gt;="&amp;'_Dates'!W925,rngAMActive,1,rngEngine_F,"OK",rngBookings_F,"&lt;&gt;Cancelled")-1),0)+IF('_Dates'!AD925=1,MAX(0,COUNTIFS(rngEngine_B,B925,rngPMStart,"&lt;="&amp;'_Dates'!Z925,rngPMEnd,"&gt;="&amp;'_Dates'!Y925,rngPMActive,1,rngEngine_F,"OK",rngBookings_F,"&lt;&gt;Cancelled")-1),0))</ns0:f>
        <ns0:v>0</ns0:v>
      </ns0:c>
      <ns0:c r="K925" s="0" t="str">
        <ns0:f>IF(A925=0,"",IF(F925&lt;&gt;"OK",F925,IF(J925&gt;0,"CHECK overlapping entry",IF(AND($B$6=0,G925&lt;=0,Bookings!G925&lt;&gt;"Cancelled"),"CHECK no working days",IF(Bookings!G925="Cancelled","Cancelled","OK")))))</ns0:f>
        <ns0:v/>
      </ns0:c>
      <ns0:c r="L925" s="0">
        <ns0:f>IF(LEFT(K925,5)="CHECK",1,0)</ns0:f>
        <ns0:v>0</ns0:v>
      </ns0:c>
      <ns0:c r="M925" s="0">
        <ns0:f>IF(AND(L925=1,OR(C925=0,IFERROR(INDEX($X$11:$X$60,C925),0)=0)),1,0)</ns0:f>
        <ns0:v>0</ns0:v>
      </ns0:c>
      <ns0:c r="N925" s="0">
        <ns0:f>IF(OR(A925=0,L925&gt;0,$B$6&gt;0,Bookings!G925="Cancelled"),0,G925)</ns0:f>
        <ns0:v>0</ns0:v>
      </ns0:c>
      <ns0:c r="O925" s="0">
        <ns0:f>IF(AND(Bookings!G925="Approved",E925="Yes"),N925,0)</ns0:f>
        <ns0:v>0</ns0:v>
      </ns0:c>
      <ns0:c r="P925" s="0">
        <ns0:f>IF(AND(Bookings!G925="Approved",E925="Yes",L925=0,$B$6=0),H925,0)</ns0:f>
        <ns0:v>0</ns0:v>
      </ns0:c>
      <ns0:c r="Q925" s="0">
        <ns0:f>IF(AND(Bookings!G925="Approved",E925="Yes",L925=0,$B$6=0),I925,0)</ns0:f>
        <ns0:v>0</ns0:v>
      </ns0:c>
      <ns0:c r="R925" s="0">
        <ns0:f>IF(AND(Bookings!G925="Pending",E925="Yes"),N925,0)</ns0:f>
        <ns0:v>0</ns0:v>
      </ns0:c>
      <ns0:c r="S925" s="0">
        <ns0:f>IF(AND(Bookings!G925="Approved",E925="No"),N925,0)</ns0:f>
        <ns0:v>0</ns0:v>
      </ns0:c>
      <ns0:c r="T925" s="0">
        <ns0:f>IFERROR(MATCH(D925,Settings!$G$7:$G$11,0),0)</ns0:f>
        <ns0:v>0</ns0:v>
      </ns0:c>
      <ns0:c r="U925" s="0">
        <ns0:f>IF(N925&gt;0,T925+IF(Bookings!G925="Pending",10,0),0)</ns0:f>
        <ns0:v>0</ns0:v>
      </ns0:c>
      <ns0:c r="V925" s="0">
        <ns0:f>U925</ns0:f>
        <ns0:v>0</ns0:v>
      </ns0:c>
      <ns0:c r="W925" s="0" t="str">
        <ns0:f>IF(C925=0,"",INDEX($AP$11:$AP$60,C925))</ns0:f>
        <ns0:v/>
      </ns0:c>
    </ns0:row>
    <ns0:row r="926">
      <ns0:c r="A926" s="0">
        <ns0:f>IF(COUNTA(Bookings!A926:G926,Bookings!I926)=0,0,1)</ns0:f>
        <ns0:v>0</ns0:v>
      </ns0:c>
      <ns0:c r="B926" s="0" t="str">
        <ns0:f>IFERROR(TRIM(MID(Bookings!A926,FIND(" · ",Bookings!A926)+3,99)),"")</ns0:f>
        <ns0:v/>
      </ns0:c>
      <ns0:c r="C926" s="0">
        <ns0:f>IF(OR(B926="",LEN(B926)&gt;24,ISNUMBER(FIND(" ",B926)),ISNUMBER(FIND("*",B926)),ISNUMBER(FIND("?",B926)),ISNUMBER(FIND("~",B926))),0,IFERROR(MATCH(B926,Team!$A$11:$A$60,0),0))</ns0:f>
        <ns0:v>0</ns0:v>
      </ns0:c>
      <ns0:c r="D926" s="0" t="str">
        <ns0:f>IFERROR(IF(MID(Bookings!F926,LEN(Bookings!F926)-3,3)=" · ",RIGHT(Bookings!F926,1),""),"")</ns0:f>
        <ns0:v/>
      </ns0:c>
      <ns0:c r="E926" s="0" t="str">
        <ns0:f>IFERROR(INDEX(Settings!$H$7:$H$11,MATCH(D926,Settings!$G$7:$G$11,0)),"")</ns0:f>
        <ns0:v/>
      </ns0:c>
      <ns0:c r="F926" s="0" t="str">
        <ns0:f>IF(A926=0,"",IFERROR(IF(OR(B926="",C926=0),"CHECK employee selection",IF(INDEX(Team!$O$11:$O$60,C926)&lt;&gt;"OK","CHECK employee setup",IF(OR('_Dates'!J926=0,'_Dates'!T926=0),"CHECK date: use DD.MM.YYYY",IF('_Dates'!T926&lt;'_Dates'!J926,"CHECK end before start",IF(AND($B$6=0,OR('_Dates'!J926&lt;Settings!$B$7,'_Dates'!T926&gt;Settings!$B$8)),"CHECK split across leave years",IF(OR(NOT(OR('_Dates'!U926="Full day",'_Dates'!U926="AM",'_Dates'!U926="PM")),NOT(OR('_Dates'!V926="Full day",'_Dates'!V926="AM",'_Dates'!V926="PM"))),"CHECK Full day / AM / PM",IF(AND('_Dates'!J926='_Dates'!T926,'_Dates'!U926&lt;&gt;"Full day",'_Dates'!V926&lt;&gt;"Full day",'_Dates'!U926&lt;&gt;'_Dates'!V926),"CHECK same-day portions disagree",IF(AND($B$6=0,OR(AND('_Dates'!U926&lt;&gt;"Full day",'_Dates'!AA926=0),AND('_Dates'!V926&lt;&gt;"Full day",'_Dates'!AB926=0))),"CHECK half-day on non-working date",IF(COUNTIF(Settings!$G$7:$G$11,D926)&lt;&gt;1,"CHECK leave type",IF(AND(Bookings!G926&lt;&gt;"Approved",Bookings!G926&lt;&gt;"Pending",Bookings!G926&lt;&gt;"Cancelled"),"CHECK status","OK")))))))))),"CHECK input"))</ns0:f>
        <ns0:v/>
      </ns0:c>
      <ns0:c r="G926" s="0">
        <ns0:f>IF(OR(F926&lt;&gt;"OK",$B$6&gt;0),0,0.5*(IF(('_Dates'!X926)&lt;('_Dates'!W926),0,INT((('_Dates'!X926)-('_Dates'!W926)+1)/7)*LEN(SUBSTITUTE(W926,"O",""))+LEN(SUBSTITUTE(MID(W926&amp;W926,WEEKDAY(('_Dates'!W926),2),MOD((('_Dates'!X926)-('_Dates'!W926)+1),7)),"O",""))-COUNTIFS(INDEX(AllClosureRows,C926,0),"&gt;="&amp;('_Dates'!W926),INDEX(AllClosureRows,C926,0),"&lt;="&amp;('_Dates'!X926)))+IF(('_Dates'!Z926)&lt;('_Dates'!Y926),0,INT((('_Dates'!Z926)-('_Dates'!Y926)+1)/7)*LEN(SUBSTITUTE(W926,"O",""))+LEN(SUBSTITUTE(MID(W926&amp;W926,WEEKDAY(('_Dates'!Y926),2),MOD((('_Dates'!Z926)-('_Dates'!Y926)+1),7)),"O",""))-COUNTIFS(INDEX(AllClosureRows,C926,0),"&gt;="&amp;('_Dates'!Y926),INDEX(AllClosureRows,C926,0),"&lt;="&amp;('_Dates'!Z926)))))</ns0:f>
        <ns0:v>0</ns0:v>
      </ns0:c>
      <ns0:c r="H926" s="0">
        <ns0:f>IF(OR(F926&lt;&gt;"OK",$B$6&gt;0),0,0.5*(IF((MIN('_Dates'!X926,Settings!$B$9))&lt;('_Dates'!W926),0,INT(((MIN('_Dates'!X926,Settings!$B$9))-('_Dates'!W926)+1)/7)*LEN(SUBSTITUTE(W926,"O",""))+LEN(SUBSTITUTE(MID(W926&amp;W926,WEEKDAY(('_Dates'!W926),2),MOD(((MIN('_Dates'!X926,Settings!$B$9))-('_Dates'!W926)+1),7)),"O",""))-COUNTIFS(INDEX(AllClosureRows,C926,0),"&gt;="&amp;('_Dates'!W926),INDEX(AllClosureRows,C926,0),"&lt;="&amp;(MIN('_Dates'!X926,Settings!$B$9))))+IF((MIN('_Dates'!Z926,Settings!$B$9))&lt;('_Dates'!Y926),0,INT(((MIN('_Dates'!Z926,Settings!$B$9))-('_Dates'!Y926)+1)/7)*LEN(SUBSTITUTE(W926,"O",""))+LEN(SUBSTITUTE(MID(W926&amp;W926,WEEKDAY(('_Dates'!Y926),2),MOD(((MIN('_Dates'!Z926,Settings!$B$9))-('_Dates'!Y926)+1),7)),"O",""))-COUNTIFS(INDEX(AllClosureRows,C926,0),"&gt;="&amp;('_Dates'!Y926),INDEX(AllClosureRows,C926,0),"&lt;="&amp;(MIN('_Dates'!Z926,Settings!$B$9))))))</ns0:f>
        <ns0:v>0</ns0:v>
      </ns0:c>
      <ns0:c r="I926" s="0">
        <ns0:f>MAX(0,G926-H926)</ns0:f>
        <ns0:v>0</ns0:v>
      </ns0:c>
      <ns0:c r="J926" s="0">
        <ns0:f>IF(OR(A926=0,F926&lt;&gt;"OK",Bookings!G926="Cancelled",$B$6&gt;0),0,IF('_Dates'!AC926=1,MAX(0,COUNTIFS(rngEngine_B,B926,rngAMStart,"&lt;="&amp;'_Dates'!X926,rngAMEnd,"&gt;="&amp;'_Dates'!W926,rngAMActive,1,rngEngine_F,"OK",rngBookings_F,"&lt;&gt;Cancelled")-1),0)+IF('_Dates'!AD926=1,MAX(0,COUNTIFS(rngEngine_B,B926,rngPMStart,"&lt;="&amp;'_Dates'!Z926,rngPMEnd,"&gt;="&amp;'_Dates'!Y926,rngPMActive,1,rngEngine_F,"OK",rngBookings_F,"&lt;&gt;Cancelled")-1),0))</ns0:f>
        <ns0:v>0</ns0:v>
      </ns0:c>
      <ns0:c r="K926" s="0" t="str">
        <ns0:f>IF(A926=0,"",IF(F926&lt;&gt;"OK",F926,IF(J926&gt;0,"CHECK overlapping entry",IF(AND($B$6=0,G926&lt;=0,Bookings!G926&lt;&gt;"Cancelled"),"CHECK no working days",IF(Bookings!G926="Cancelled","Cancelled","OK")))))</ns0:f>
        <ns0:v/>
      </ns0:c>
      <ns0:c r="L926" s="0">
        <ns0:f>IF(LEFT(K926,5)="CHECK",1,0)</ns0:f>
        <ns0:v>0</ns0:v>
      </ns0:c>
      <ns0:c r="M926" s="0">
        <ns0:f>IF(AND(L926=1,OR(C926=0,IFERROR(INDEX($X$11:$X$60,C926),0)=0)),1,0)</ns0:f>
        <ns0:v>0</ns0:v>
      </ns0:c>
      <ns0:c r="N926" s="0">
        <ns0:f>IF(OR(A926=0,L926&gt;0,$B$6&gt;0,Bookings!G926="Cancelled"),0,G926)</ns0:f>
        <ns0:v>0</ns0:v>
      </ns0:c>
      <ns0:c r="O926" s="0">
        <ns0:f>IF(AND(Bookings!G926="Approved",E926="Yes"),N926,0)</ns0:f>
        <ns0:v>0</ns0:v>
      </ns0:c>
      <ns0:c r="P926" s="0">
        <ns0:f>IF(AND(Bookings!G926="Approved",E926="Yes",L926=0,$B$6=0),H926,0)</ns0:f>
        <ns0:v>0</ns0:v>
      </ns0:c>
      <ns0:c r="Q926" s="0">
        <ns0:f>IF(AND(Bookings!G926="Approved",E926="Yes",L926=0,$B$6=0),I926,0)</ns0:f>
        <ns0:v>0</ns0:v>
      </ns0:c>
      <ns0:c r="R926" s="0">
        <ns0:f>IF(AND(Bookings!G926="Pending",E926="Yes"),N926,0)</ns0:f>
        <ns0:v>0</ns0:v>
      </ns0:c>
      <ns0:c r="S926" s="0">
        <ns0:f>IF(AND(Bookings!G926="Approved",E926="No"),N926,0)</ns0:f>
        <ns0:v>0</ns0:v>
      </ns0:c>
      <ns0:c r="T926" s="0">
        <ns0:f>IFERROR(MATCH(D926,Settings!$G$7:$G$11,0),0)</ns0:f>
        <ns0:v>0</ns0:v>
      </ns0:c>
      <ns0:c r="U926" s="0">
        <ns0:f>IF(N926&gt;0,T926+IF(Bookings!G926="Pending",10,0),0)</ns0:f>
        <ns0:v>0</ns0:v>
      </ns0:c>
      <ns0:c r="V926" s="0">
        <ns0:f>U926</ns0:f>
        <ns0:v>0</ns0:v>
      </ns0:c>
      <ns0:c r="W926" s="0" t="str">
        <ns0:f>IF(C926=0,"",INDEX($AP$11:$AP$60,C926))</ns0:f>
        <ns0:v/>
      </ns0:c>
    </ns0:row>
    <ns0:row r="927">
      <ns0:c r="A927" s="0">
        <ns0:f>IF(COUNTA(Bookings!A927:G927,Bookings!I927)=0,0,1)</ns0:f>
        <ns0:v>0</ns0:v>
      </ns0:c>
      <ns0:c r="B927" s="0" t="str">
        <ns0:f>IFERROR(TRIM(MID(Bookings!A927,FIND(" · ",Bookings!A927)+3,99)),"")</ns0:f>
        <ns0:v/>
      </ns0:c>
      <ns0:c r="C927" s="0">
        <ns0:f>IF(OR(B927="",LEN(B927)&gt;24,ISNUMBER(FIND(" ",B927)),ISNUMBER(FIND("*",B927)),ISNUMBER(FIND("?",B927)),ISNUMBER(FIND("~",B927))),0,IFERROR(MATCH(B927,Team!$A$11:$A$60,0),0))</ns0:f>
        <ns0:v>0</ns0:v>
      </ns0:c>
      <ns0:c r="D927" s="0" t="str">
        <ns0:f>IFERROR(IF(MID(Bookings!F927,LEN(Bookings!F927)-3,3)=" · ",RIGHT(Bookings!F927,1),""),"")</ns0:f>
        <ns0:v/>
      </ns0:c>
      <ns0:c r="E927" s="0" t="str">
        <ns0:f>IFERROR(INDEX(Settings!$H$7:$H$11,MATCH(D927,Settings!$G$7:$G$11,0)),"")</ns0:f>
        <ns0:v/>
      </ns0:c>
      <ns0:c r="F927" s="0" t="str">
        <ns0:f>IF(A927=0,"",IFERROR(IF(OR(B927="",C927=0),"CHECK employee selection",IF(INDEX(Team!$O$11:$O$60,C927)&lt;&gt;"OK","CHECK employee setup",IF(OR('_Dates'!J927=0,'_Dates'!T927=0),"CHECK date: use DD.MM.YYYY",IF('_Dates'!T927&lt;'_Dates'!J927,"CHECK end before start",IF(AND($B$6=0,OR('_Dates'!J927&lt;Settings!$B$7,'_Dates'!T927&gt;Settings!$B$8)),"CHECK split across leave years",IF(OR(NOT(OR('_Dates'!U927="Full day",'_Dates'!U927="AM",'_Dates'!U927="PM")),NOT(OR('_Dates'!V927="Full day",'_Dates'!V927="AM",'_Dates'!V927="PM"))),"CHECK Full day / AM / PM",IF(AND('_Dates'!J927='_Dates'!T927,'_Dates'!U927&lt;&gt;"Full day",'_Dates'!V927&lt;&gt;"Full day",'_Dates'!U927&lt;&gt;'_Dates'!V927),"CHECK same-day portions disagree",IF(AND($B$6=0,OR(AND('_Dates'!U927&lt;&gt;"Full day",'_Dates'!AA927=0),AND('_Dates'!V927&lt;&gt;"Full day",'_Dates'!AB927=0))),"CHECK half-day on non-working date",IF(COUNTIF(Settings!$G$7:$G$11,D927)&lt;&gt;1,"CHECK leave type",IF(AND(Bookings!G927&lt;&gt;"Approved",Bookings!G927&lt;&gt;"Pending",Bookings!G927&lt;&gt;"Cancelled"),"CHECK status","OK")))))))))),"CHECK input"))</ns0:f>
        <ns0:v/>
      </ns0:c>
      <ns0:c r="G927" s="0">
        <ns0:f>IF(OR(F927&lt;&gt;"OK",$B$6&gt;0),0,0.5*(IF(('_Dates'!X927)&lt;('_Dates'!W927),0,INT((('_Dates'!X927)-('_Dates'!W927)+1)/7)*LEN(SUBSTITUTE(W927,"O",""))+LEN(SUBSTITUTE(MID(W927&amp;W927,WEEKDAY(('_Dates'!W927),2),MOD((('_Dates'!X927)-('_Dates'!W927)+1),7)),"O",""))-COUNTIFS(INDEX(AllClosureRows,C927,0),"&gt;="&amp;('_Dates'!W927),INDEX(AllClosureRows,C927,0),"&lt;="&amp;('_Dates'!X927)))+IF(('_Dates'!Z927)&lt;('_Dates'!Y927),0,INT((('_Dates'!Z927)-('_Dates'!Y927)+1)/7)*LEN(SUBSTITUTE(W927,"O",""))+LEN(SUBSTITUTE(MID(W927&amp;W927,WEEKDAY(('_Dates'!Y927),2),MOD((('_Dates'!Z927)-('_Dates'!Y927)+1),7)),"O",""))-COUNTIFS(INDEX(AllClosureRows,C927,0),"&gt;="&amp;('_Dates'!Y927),INDEX(AllClosureRows,C927,0),"&lt;="&amp;('_Dates'!Z927)))))</ns0:f>
        <ns0:v>0</ns0:v>
      </ns0:c>
      <ns0:c r="H927" s="0">
        <ns0:f>IF(OR(F927&lt;&gt;"OK",$B$6&gt;0),0,0.5*(IF((MIN('_Dates'!X927,Settings!$B$9))&lt;('_Dates'!W927),0,INT(((MIN('_Dates'!X927,Settings!$B$9))-('_Dates'!W927)+1)/7)*LEN(SUBSTITUTE(W927,"O",""))+LEN(SUBSTITUTE(MID(W927&amp;W927,WEEKDAY(('_Dates'!W927),2),MOD(((MIN('_Dates'!X927,Settings!$B$9))-('_Dates'!W927)+1),7)),"O",""))-COUNTIFS(INDEX(AllClosureRows,C927,0),"&gt;="&amp;('_Dates'!W927),INDEX(AllClosureRows,C927,0),"&lt;="&amp;(MIN('_Dates'!X927,Settings!$B$9))))+IF((MIN('_Dates'!Z927,Settings!$B$9))&lt;('_Dates'!Y927),0,INT(((MIN('_Dates'!Z927,Settings!$B$9))-('_Dates'!Y927)+1)/7)*LEN(SUBSTITUTE(W927,"O",""))+LEN(SUBSTITUTE(MID(W927&amp;W927,WEEKDAY(('_Dates'!Y927),2),MOD(((MIN('_Dates'!Z927,Settings!$B$9))-('_Dates'!Y927)+1),7)),"O",""))-COUNTIFS(INDEX(AllClosureRows,C927,0),"&gt;="&amp;('_Dates'!Y927),INDEX(AllClosureRows,C927,0),"&lt;="&amp;(MIN('_Dates'!Z927,Settings!$B$9))))))</ns0:f>
        <ns0:v>0</ns0:v>
      </ns0:c>
      <ns0:c r="I927" s="0">
        <ns0:f>MAX(0,G927-H927)</ns0:f>
        <ns0:v>0</ns0:v>
      </ns0:c>
      <ns0:c r="J927" s="0">
        <ns0:f>IF(OR(A927=0,F927&lt;&gt;"OK",Bookings!G927="Cancelled",$B$6&gt;0),0,IF('_Dates'!AC927=1,MAX(0,COUNTIFS(rngEngine_B,B927,rngAMStart,"&lt;="&amp;'_Dates'!X927,rngAMEnd,"&gt;="&amp;'_Dates'!W927,rngAMActive,1,rngEngine_F,"OK",rngBookings_F,"&lt;&gt;Cancelled")-1),0)+IF('_Dates'!AD927=1,MAX(0,COUNTIFS(rngEngine_B,B927,rngPMStart,"&lt;="&amp;'_Dates'!Z927,rngPMEnd,"&gt;="&amp;'_Dates'!Y927,rngPMActive,1,rngEngine_F,"OK",rngBookings_F,"&lt;&gt;Cancelled")-1),0))</ns0:f>
        <ns0:v>0</ns0:v>
      </ns0:c>
      <ns0:c r="K927" s="0" t="str">
        <ns0:f>IF(A927=0,"",IF(F927&lt;&gt;"OK",F927,IF(J927&gt;0,"CHECK overlapping entry",IF(AND($B$6=0,G927&lt;=0,Bookings!G927&lt;&gt;"Cancelled"),"CHECK no working days",IF(Bookings!G927="Cancelled","Cancelled","OK")))))</ns0:f>
        <ns0:v/>
      </ns0:c>
      <ns0:c r="L927" s="0">
        <ns0:f>IF(LEFT(K927,5)="CHECK",1,0)</ns0:f>
        <ns0:v>0</ns0:v>
      </ns0:c>
      <ns0:c r="M927" s="0">
        <ns0:f>IF(AND(L927=1,OR(C927=0,IFERROR(INDEX($X$11:$X$60,C927),0)=0)),1,0)</ns0:f>
        <ns0:v>0</ns0:v>
      </ns0:c>
      <ns0:c r="N927" s="0">
        <ns0:f>IF(OR(A927=0,L927&gt;0,$B$6&gt;0,Bookings!G927="Cancelled"),0,G927)</ns0:f>
        <ns0:v>0</ns0:v>
      </ns0:c>
      <ns0:c r="O927" s="0">
        <ns0:f>IF(AND(Bookings!G927="Approved",E927="Yes"),N927,0)</ns0:f>
        <ns0:v>0</ns0:v>
      </ns0:c>
      <ns0:c r="P927" s="0">
        <ns0:f>IF(AND(Bookings!G927="Approved",E927="Yes",L927=0,$B$6=0),H927,0)</ns0:f>
        <ns0:v>0</ns0:v>
      </ns0:c>
      <ns0:c r="Q927" s="0">
        <ns0:f>IF(AND(Bookings!G927="Approved",E927="Yes",L927=0,$B$6=0),I927,0)</ns0:f>
        <ns0:v>0</ns0:v>
      </ns0:c>
      <ns0:c r="R927" s="0">
        <ns0:f>IF(AND(Bookings!G927="Pending",E927="Yes"),N927,0)</ns0:f>
        <ns0:v>0</ns0:v>
      </ns0:c>
      <ns0:c r="S927" s="0">
        <ns0:f>IF(AND(Bookings!G927="Approved",E927="No"),N927,0)</ns0:f>
        <ns0:v>0</ns0:v>
      </ns0:c>
      <ns0:c r="T927" s="0">
        <ns0:f>IFERROR(MATCH(D927,Settings!$G$7:$G$11,0),0)</ns0:f>
        <ns0:v>0</ns0:v>
      </ns0:c>
      <ns0:c r="U927" s="0">
        <ns0:f>IF(N927&gt;0,T927+IF(Bookings!G927="Pending",10,0),0)</ns0:f>
        <ns0:v>0</ns0:v>
      </ns0:c>
      <ns0:c r="V927" s="0">
        <ns0:f>U927</ns0:f>
        <ns0:v>0</ns0:v>
      </ns0:c>
      <ns0:c r="W927" s="0" t="str">
        <ns0:f>IF(C927=0,"",INDEX($AP$11:$AP$60,C927))</ns0:f>
        <ns0:v/>
      </ns0:c>
    </ns0:row>
    <ns0:row r="928">
      <ns0:c r="A928" s="0">
        <ns0:f>IF(COUNTA(Bookings!A928:G928,Bookings!I928)=0,0,1)</ns0:f>
        <ns0:v>0</ns0:v>
      </ns0:c>
      <ns0:c r="B928" s="0" t="str">
        <ns0:f>IFERROR(TRIM(MID(Bookings!A928,FIND(" · ",Bookings!A928)+3,99)),"")</ns0:f>
        <ns0:v/>
      </ns0:c>
      <ns0:c r="C928" s="0">
        <ns0:f>IF(OR(B928="",LEN(B928)&gt;24,ISNUMBER(FIND(" ",B928)),ISNUMBER(FIND("*",B928)),ISNUMBER(FIND("?",B928)),ISNUMBER(FIND("~",B928))),0,IFERROR(MATCH(B928,Team!$A$11:$A$60,0),0))</ns0:f>
        <ns0:v>0</ns0:v>
      </ns0:c>
      <ns0:c r="D928" s="0" t="str">
        <ns0:f>IFERROR(IF(MID(Bookings!F928,LEN(Bookings!F928)-3,3)=" · ",RIGHT(Bookings!F928,1),""),"")</ns0:f>
        <ns0:v/>
      </ns0:c>
      <ns0:c r="E928" s="0" t="str">
        <ns0:f>IFERROR(INDEX(Settings!$H$7:$H$11,MATCH(D928,Settings!$G$7:$G$11,0)),"")</ns0:f>
        <ns0:v/>
      </ns0:c>
      <ns0:c r="F928" s="0" t="str">
        <ns0:f>IF(A928=0,"",IFERROR(IF(OR(B928="",C928=0),"CHECK employee selection",IF(INDEX(Team!$O$11:$O$60,C928)&lt;&gt;"OK","CHECK employee setup",IF(OR('_Dates'!J928=0,'_Dates'!T928=0),"CHECK date: use DD.MM.YYYY",IF('_Dates'!T928&lt;'_Dates'!J928,"CHECK end before start",IF(AND($B$6=0,OR('_Dates'!J928&lt;Settings!$B$7,'_Dates'!T928&gt;Settings!$B$8)),"CHECK split across leave years",IF(OR(NOT(OR('_Dates'!U928="Full day",'_Dates'!U928="AM",'_Dates'!U928="PM")),NOT(OR('_Dates'!V928="Full day",'_Dates'!V928="AM",'_Dates'!V928="PM"))),"CHECK Full day / AM / PM",IF(AND('_Dates'!J928='_Dates'!T928,'_Dates'!U928&lt;&gt;"Full day",'_Dates'!V928&lt;&gt;"Full day",'_Dates'!U928&lt;&gt;'_Dates'!V928),"CHECK same-day portions disagree",IF(AND($B$6=0,OR(AND('_Dates'!U928&lt;&gt;"Full day",'_Dates'!AA928=0),AND('_Dates'!V928&lt;&gt;"Full day",'_Dates'!AB928=0))),"CHECK half-day on non-working date",IF(COUNTIF(Settings!$G$7:$G$11,D928)&lt;&gt;1,"CHECK leave type",IF(AND(Bookings!G928&lt;&gt;"Approved",Bookings!G928&lt;&gt;"Pending",Bookings!G928&lt;&gt;"Cancelled"),"CHECK status","OK")))))))))),"CHECK input"))</ns0:f>
        <ns0:v/>
      </ns0:c>
      <ns0:c r="G928" s="0">
        <ns0:f>IF(OR(F928&lt;&gt;"OK",$B$6&gt;0),0,0.5*(IF(('_Dates'!X928)&lt;('_Dates'!W928),0,INT((('_Dates'!X928)-('_Dates'!W928)+1)/7)*LEN(SUBSTITUTE(W928,"O",""))+LEN(SUBSTITUTE(MID(W928&amp;W928,WEEKDAY(('_Dates'!W928),2),MOD((('_Dates'!X928)-('_Dates'!W928)+1),7)),"O",""))-COUNTIFS(INDEX(AllClosureRows,C928,0),"&gt;="&amp;('_Dates'!W928),INDEX(AllClosureRows,C928,0),"&lt;="&amp;('_Dates'!X928)))+IF(('_Dates'!Z928)&lt;('_Dates'!Y928),0,INT((('_Dates'!Z928)-('_Dates'!Y928)+1)/7)*LEN(SUBSTITUTE(W928,"O",""))+LEN(SUBSTITUTE(MID(W928&amp;W928,WEEKDAY(('_Dates'!Y928),2),MOD((('_Dates'!Z928)-('_Dates'!Y928)+1),7)),"O",""))-COUNTIFS(INDEX(AllClosureRows,C928,0),"&gt;="&amp;('_Dates'!Y928),INDEX(AllClosureRows,C928,0),"&lt;="&amp;('_Dates'!Z928)))))</ns0:f>
        <ns0:v>0</ns0:v>
      </ns0:c>
      <ns0:c r="H928" s="0">
        <ns0:f>IF(OR(F928&lt;&gt;"OK",$B$6&gt;0),0,0.5*(IF((MIN('_Dates'!X928,Settings!$B$9))&lt;('_Dates'!W928),0,INT(((MIN('_Dates'!X928,Settings!$B$9))-('_Dates'!W928)+1)/7)*LEN(SUBSTITUTE(W928,"O",""))+LEN(SUBSTITUTE(MID(W928&amp;W928,WEEKDAY(('_Dates'!W928),2),MOD(((MIN('_Dates'!X928,Settings!$B$9))-('_Dates'!W928)+1),7)),"O",""))-COUNTIFS(INDEX(AllClosureRows,C928,0),"&gt;="&amp;('_Dates'!W928),INDEX(AllClosureRows,C928,0),"&lt;="&amp;(MIN('_Dates'!X928,Settings!$B$9))))+IF((MIN('_Dates'!Z928,Settings!$B$9))&lt;('_Dates'!Y928),0,INT(((MIN('_Dates'!Z928,Settings!$B$9))-('_Dates'!Y928)+1)/7)*LEN(SUBSTITUTE(W928,"O",""))+LEN(SUBSTITUTE(MID(W928&amp;W928,WEEKDAY(('_Dates'!Y928),2),MOD(((MIN('_Dates'!Z928,Settings!$B$9))-('_Dates'!Y928)+1),7)),"O",""))-COUNTIFS(INDEX(AllClosureRows,C928,0),"&gt;="&amp;('_Dates'!Y928),INDEX(AllClosureRows,C928,0),"&lt;="&amp;(MIN('_Dates'!Z928,Settings!$B$9))))))</ns0:f>
        <ns0:v>0</ns0:v>
      </ns0:c>
      <ns0:c r="I928" s="0">
        <ns0:f>MAX(0,G928-H928)</ns0:f>
        <ns0:v>0</ns0:v>
      </ns0:c>
      <ns0:c r="J928" s="0">
        <ns0:f>IF(OR(A928=0,F928&lt;&gt;"OK",Bookings!G928="Cancelled",$B$6&gt;0),0,IF('_Dates'!AC928=1,MAX(0,COUNTIFS(rngEngine_B,B928,rngAMStart,"&lt;="&amp;'_Dates'!X928,rngAMEnd,"&gt;="&amp;'_Dates'!W928,rngAMActive,1,rngEngine_F,"OK",rngBookings_F,"&lt;&gt;Cancelled")-1),0)+IF('_Dates'!AD928=1,MAX(0,COUNTIFS(rngEngine_B,B928,rngPMStart,"&lt;="&amp;'_Dates'!Z928,rngPMEnd,"&gt;="&amp;'_Dates'!Y928,rngPMActive,1,rngEngine_F,"OK",rngBookings_F,"&lt;&gt;Cancelled")-1),0))</ns0:f>
        <ns0:v>0</ns0:v>
      </ns0:c>
      <ns0:c r="K928" s="0" t="str">
        <ns0:f>IF(A928=0,"",IF(F928&lt;&gt;"OK",F928,IF(J928&gt;0,"CHECK overlapping entry",IF(AND($B$6=0,G928&lt;=0,Bookings!G928&lt;&gt;"Cancelled"),"CHECK no working days",IF(Bookings!G928="Cancelled","Cancelled","OK")))))</ns0:f>
        <ns0:v/>
      </ns0:c>
      <ns0:c r="L928" s="0">
        <ns0:f>IF(LEFT(K928,5)="CHECK",1,0)</ns0:f>
        <ns0:v>0</ns0:v>
      </ns0:c>
      <ns0:c r="M928" s="0">
        <ns0:f>IF(AND(L928=1,OR(C928=0,IFERROR(INDEX($X$11:$X$60,C928),0)=0)),1,0)</ns0:f>
        <ns0:v>0</ns0:v>
      </ns0:c>
      <ns0:c r="N928" s="0">
        <ns0:f>IF(OR(A928=0,L928&gt;0,$B$6&gt;0,Bookings!G928="Cancelled"),0,G928)</ns0:f>
        <ns0:v>0</ns0:v>
      </ns0:c>
      <ns0:c r="O928" s="0">
        <ns0:f>IF(AND(Bookings!G928="Approved",E928="Yes"),N928,0)</ns0:f>
        <ns0:v>0</ns0:v>
      </ns0:c>
      <ns0:c r="P928" s="0">
        <ns0:f>IF(AND(Bookings!G928="Approved",E928="Yes",L928=0,$B$6=0),H928,0)</ns0:f>
        <ns0:v>0</ns0:v>
      </ns0:c>
      <ns0:c r="Q928" s="0">
        <ns0:f>IF(AND(Bookings!G928="Approved",E928="Yes",L928=0,$B$6=0),I928,0)</ns0:f>
        <ns0:v>0</ns0:v>
      </ns0:c>
      <ns0:c r="R928" s="0">
        <ns0:f>IF(AND(Bookings!G928="Pending",E928="Yes"),N928,0)</ns0:f>
        <ns0:v>0</ns0:v>
      </ns0:c>
      <ns0:c r="S928" s="0">
        <ns0:f>IF(AND(Bookings!G928="Approved",E928="No"),N928,0)</ns0:f>
        <ns0:v>0</ns0:v>
      </ns0:c>
      <ns0:c r="T928" s="0">
        <ns0:f>IFERROR(MATCH(D928,Settings!$G$7:$G$11,0),0)</ns0:f>
        <ns0:v>0</ns0:v>
      </ns0:c>
      <ns0:c r="U928" s="0">
        <ns0:f>IF(N928&gt;0,T928+IF(Bookings!G928="Pending",10,0),0)</ns0:f>
        <ns0:v>0</ns0:v>
      </ns0:c>
      <ns0:c r="V928" s="0">
        <ns0:f>U928</ns0:f>
        <ns0:v>0</ns0:v>
      </ns0:c>
      <ns0:c r="W928" s="0" t="str">
        <ns0:f>IF(C928=0,"",INDEX($AP$11:$AP$60,C928))</ns0:f>
        <ns0:v/>
      </ns0:c>
    </ns0:row>
    <ns0:row r="929">
      <ns0:c r="A929" s="0">
        <ns0:f>IF(COUNTA(Bookings!A929:G929,Bookings!I929)=0,0,1)</ns0:f>
        <ns0:v>0</ns0:v>
      </ns0:c>
      <ns0:c r="B929" s="0" t="str">
        <ns0:f>IFERROR(TRIM(MID(Bookings!A929,FIND(" · ",Bookings!A929)+3,99)),"")</ns0:f>
        <ns0:v/>
      </ns0:c>
      <ns0:c r="C929" s="0">
        <ns0:f>IF(OR(B929="",LEN(B929)&gt;24,ISNUMBER(FIND(" ",B929)),ISNUMBER(FIND("*",B929)),ISNUMBER(FIND("?",B929)),ISNUMBER(FIND("~",B929))),0,IFERROR(MATCH(B929,Team!$A$11:$A$60,0),0))</ns0:f>
        <ns0:v>0</ns0:v>
      </ns0:c>
      <ns0:c r="D929" s="0" t="str">
        <ns0:f>IFERROR(IF(MID(Bookings!F929,LEN(Bookings!F929)-3,3)=" · ",RIGHT(Bookings!F929,1),""),"")</ns0:f>
        <ns0:v/>
      </ns0:c>
      <ns0:c r="E929" s="0" t="str">
        <ns0:f>IFERROR(INDEX(Settings!$H$7:$H$11,MATCH(D929,Settings!$G$7:$G$11,0)),"")</ns0:f>
        <ns0:v/>
      </ns0:c>
      <ns0:c r="F929" s="0" t="str">
        <ns0:f>IF(A929=0,"",IFERROR(IF(OR(B929="",C929=0),"CHECK employee selection",IF(INDEX(Team!$O$11:$O$60,C929)&lt;&gt;"OK","CHECK employee setup",IF(OR('_Dates'!J929=0,'_Dates'!T929=0),"CHECK date: use DD.MM.YYYY",IF('_Dates'!T929&lt;'_Dates'!J929,"CHECK end before start",IF(AND($B$6=0,OR('_Dates'!J929&lt;Settings!$B$7,'_Dates'!T929&gt;Settings!$B$8)),"CHECK split across leave years",IF(OR(NOT(OR('_Dates'!U929="Full day",'_Dates'!U929="AM",'_Dates'!U929="PM")),NOT(OR('_Dates'!V929="Full day",'_Dates'!V929="AM",'_Dates'!V929="PM"))),"CHECK Full day / AM / PM",IF(AND('_Dates'!J929='_Dates'!T929,'_Dates'!U929&lt;&gt;"Full day",'_Dates'!V929&lt;&gt;"Full day",'_Dates'!U929&lt;&gt;'_Dates'!V929),"CHECK same-day portions disagree",IF(AND($B$6=0,OR(AND('_Dates'!U929&lt;&gt;"Full day",'_Dates'!AA929=0),AND('_Dates'!V929&lt;&gt;"Full day",'_Dates'!AB929=0))),"CHECK half-day on non-working date",IF(COUNTIF(Settings!$G$7:$G$11,D929)&lt;&gt;1,"CHECK leave type",IF(AND(Bookings!G929&lt;&gt;"Approved",Bookings!G929&lt;&gt;"Pending",Bookings!G929&lt;&gt;"Cancelled"),"CHECK status","OK")))))))))),"CHECK input"))</ns0:f>
        <ns0:v/>
      </ns0:c>
      <ns0:c r="G929" s="0">
        <ns0:f>IF(OR(F929&lt;&gt;"OK",$B$6&gt;0),0,0.5*(IF(('_Dates'!X929)&lt;('_Dates'!W929),0,INT((('_Dates'!X929)-('_Dates'!W929)+1)/7)*LEN(SUBSTITUTE(W929,"O",""))+LEN(SUBSTITUTE(MID(W929&amp;W929,WEEKDAY(('_Dates'!W929),2),MOD((('_Dates'!X929)-('_Dates'!W929)+1),7)),"O",""))-COUNTIFS(INDEX(AllClosureRows,C929,0),"&gt;="&amp;('_Dates'!W929),INDEX(AllClosureRows,C929,0),"&lt;="&amp;('_Dates'!X929)))+IF(('_Dates'!Z929)&lt;('_Dates'!Y929),0,INT((('_Dates'!Z929)-('_Dates'!Y929)+1)/7)*LEN(SUBSTITUTE(W929,"O",""))+LEN(SUBSTITUTE(MID(W929&amp;W929,WEEKDAY(('_Dates'!Y929),2),MOD((('_Dates'!Z929)-('_Dates'!Y929)+1),7)),"O",""))-COUNTIFS(INDEX(AllClosureRows,C929,0),"&gt;="&amp;('_Dates'!Y929),INDEX(AllClosureRows,C929,0),"&lt;="&amp;('_Dates'!Z929)))))</ns0:f>
        <ns0:v>0</ns0:v>
      </ns0:c>
      <ns0:c r="H929" s="0">
        <ns0:f>IF(OR(F929&lt;&gt;"OK",$B$6&gt;0),0,0.5*(IF((MIN('_Dates'!X929,Settings!$B$9))&lt;('_Dates'!W929),0,INT(((MIN('_Dates'!X929,Settings!$B$9))-('_Dates'!W929)+1)/7)*LEN(SUBSTITUTE(W929,"O",""))+LEN(SUBSTITUTE(MID(W929&amp;W929,WEEKDAY(('_Dates'!W929),2),MOD(((MIN('_Dates'!X929,Settings!$B$9))-('_Dates'!W929)+1),7)),"O",""))-COUNTIFS(INDEX(AllClosureRows,C929,0),"&gt;="&amp;('_Dates'!W929),INDEX(AllClosureRows,C929,0),"&lt;="&amp;(MIN('_Dates'!X929,Settings!$B$9))))+IF((MIN('_Dates'!Z929,Settings!$B$9))&lt;('_Dates'!Y929),0,INT(((MIN('_Dates'!Z929,Settings!$B$9))-('_Dates'!Y929)+1)/7)*LEN(SUBSTITUTE(W929,"O",""))+LEN(SUBSTITUTE(MID(W929&amp;W929,WEEKDAY(('_Dates'!Y929),2),MOD(((MIN('_Dates'!Z929,Settings!$B$9))-('_Dates'!Y929)+1),7)),"O",""))-COUNTIFS(INDEX(AllClosureRows,C929,0),"&gt;="&amp;('_Dates'!Y929),INDEX(AllClosureRows,C929,0),"&lt;="&amp;(MIN('_Dates'!Z929,Settings!$B$9))))))</ns0:f>
        <ns0:v>0</ns0:v>
      </ns0:c>
      <ns0:c r="I929" s="0">
        <ns0:f>MAX(0,G929-H929)</ns0:f>
        <ns0:v>0</ns0:v>
      </ns0:c>
      <ns0:c r="J929" s="0">
        <ns0:f>IF(OR(A929=0,F929&lt;&gt;"OK",Bookings!G929="Cancelled",$B$6&gt;0),0,IF('_Dates'!AC929=1,MAX(0,COUNTIFS(rngEngine_B,B929,rngAMStart,"&lt;="&amp;'_Dates'!X929,rngAMEnd,"&gt;="&amp;'_Dates'!W929,rngAMActive,1,rngEngine_F,"OK",rngBookings_F,"&lt;&gt;Cancelled")-1),0)+IF('_Dates'!AD929=1,MAX(0,COUNTIFS(rngEngine_B,B929,rngPMStart,"&lt;="&amp;'_Dates'!Z929,rngPMEnd,"&gt;="&amp;'_Dates'!Y929,rngPMActive,1,rngEngine_F,"OK",rngBookings_F,"&lt;&gt;Cancelled")-1),0))</ns0:f>
        <ns0:v>0</ns0:v>
      </ns0:c>
      <ns0:c r="K929" s="0" t="str">
        <ns0:f>IF(A929=0,"",IF(F929&lt;&gt;"OK",F929,IF(J929&gt;0,"CHECK overlapping entry",IF(AND($B$6=0,G929&lt;=0,Bookings!G929&lt;&gt;"Cancelled"),"CHECK no working days",IF(Bookings!G929="Cancelled","Cancelled","OK")))))</ns0:f>
        <ns0:v/>
      </ns0:c>
      <ns0:c r="L929" s="0">
        <ns0:f>IF(LEFT(K929,5)="CHECK",1,0)</ns0:f>
        <ns0:v>0</ns0:v>
      </ns0:c>
      <ns0:c r="M929" s="0">
        <ns0:f>IF(AND(L929=1,OR(C929=0,IFERROR(INDEX($X$11:$X$60,C929),0)=0)),1,0)</ns0:f>
        <ns0:v>0</ns0:v>
      </ns0:c>
      <ns0:c r="N929" s="0">
        <ns0:f>IF(OR(A929=0,L929&gt;0,$B$6&gt;0,Bookings!G929="Cancelled"),0,G929)</ns0:f>
        <ns0:v>0</ns0:v>
      </ns0:c>
      <ns0:c r="O929" s="0">
        <ns0:f>IF(AND(Bookings!G929="Approved",E929="Yes"),N929,0)</ns0:f>
        <ns0:v>0</ns0:v>
      </ns0:c>
      <ns0:c r="P929" s="0">
        <ns0:f>IF(AND(Bookings!G929="Approved",E929="Yes",L929=0,$B$6=0),H929,0)</ns0:f>
        <ns0:v>0</ns0:v>
      </ns0:c>
      <ns0:c r="Q929" s="0">
        <ns0:f>IF(AND(Bookings!G929="Approved",E929="Yes",L929=0,$B$6=0),I929,0)</ns0:f>
        <ns0:v>0</ns0:v>
      </ns0:c>
      <ns0:c r="R929" s="0">
        <ns0:f>IF(AND(Bookings!G929="Pending",E929="Yes"),N929,0)</ns0:f>
        <ns0:v>0</ns0:v>
      </ns0:c>
      <ns0:c r="S929" s="0">
        <ns0:f>IF(AND(Bookings!G929="Approved",E929="No"),N929,0)</ns0:f>
        <ns0:v>0</ns0:v>
      </ns0:c>
      <ns0:c r="T929" s="0">
        <ns0:f>IFERROR(MATCH(D929,Settings!$G$7:$G$11,0),0)</ns0:f>
        <ns0:v>0</ns0:v>
      </ns0:c>
      <ns0:c r="U929" s="0">
        <ns0:f>IF(N929&gt;0,T929+IF(Bookings!G929="Pending",10,0),0)</ns0:f>
        <ns0:v>0</ns0:v>
      </ns0:c>
      <ns0:c r="V929" s="0">
        <ns0:f>U929</ns0:f>
        <ns0:v>0</ns0:v>
      </ns0:c>
      <ns0:c r="W929" s="0" t="str">
        <ns0:f>IF(C929=0,"",INDEX($AP$11:$AP$60,C929))</ns0:f>
        <ns0:v/>
      </ns0:c>
    </ns0:row>
    <ns0:row r="930">
      <ns0:c r="A930" s="0">
        <ns0:f>IF(COUNTA(Bookings!A930:G930,Bookings!I930)=0,0,1)</ns0:f>
        <ns0:v>0</ns0:v>
      </ns0:c>
      <ns0:c r="B930" s="0" t="str">
        <ns0:f>IFERROR(TRIM(MID(Bookings!A930,FIND(" · ",Bookings!A930)+3,99)),"")</ns0:f>
        <ns0:v/>
      </ns0:c>
      <ns0:c r="C930" s="0">
        <ns0:f>IF(OR(B930="",LEN(B930)&gt;24,ISNUMBER(FIND(" ",B930)),ISNUMBER(FIND("*",B930)),ISNUMBER(FIND("?",B930)),ISNUMBER(FIND("~",B930))),0,IFERROR(MATCH(B930,Team!$A$11:$A$60,0),0))</ns0:f>
        <ns0:v>0</ns0:v>
      </ns0:c>
      <ns0:c r="D930" s="0" t="str">
        <ns0:f>IFERROR(IF(MID(Bookings!F930,LEN(Bookings!F930)-3,3)=" · ",RIGHT(Bookings!F930,1),""),"")</ns0:f>
        <ns0:v/>
      </ns0:c>
      <ns0:c r="E930" s="0" t="str">
        <ns0:f>IFERROR(INDEX(Settings!$H$7:$H$11,MATCH(D930,Settings!$G$7:$G$11,0)),"")</ns0:f>
        <ns0:v/>
      </ns0:c>
      <ns0:c r="F930" s="0" t="str">
        <ns0:f>IF(A930=0,"",IFERROR(IF(OR(B930="",C930=0),"CHECK employee selection",IF(INDEX(Team!$O$11:$O$60,C930)&lt;&gt;"OK","CHECK employee setup",IF(OR('_Dates'!J930=0,'_Dates'!T930=0),"CHECK date: use DD.MM.YYYY",IF('_Dates'!T930&lt;'_Dates'!J930,"CHECK end before start",IF(AND($B$6=0,OR('_Dates'!J930&lt;Settings!$B$7,'_Dates'!T930&gt;Settings!$B$8)),"CHECK split across leave years",IF(OR(NOT(OR('_Dates'!U930="Full day",'_Dates'!U930="AM",'_Dates'!U930="PM")),NOT(OR('_Dates'!V930="Full day",'_Dates'!V930="AM",'_Dates'!V930="PM"))),"CHECK Full day / AM / PM",IF(AND('_Dates'!J930='_Dates'!T930,'_Dates'!U930&lt;&gt;"Full day",'_Dates'!V930&lt;&gt;"Full day",'_Dates'!U930&lt;&gt;'_Dates'!V930),"CHECK same-day portions disagree",IF(AND($B$6=0,OR(AND('_Dates'!U930&lt;&gt;"Full day",'_Dates'!AA930=0),AND('_Dates'!V930&lt;&gt;"Full day",'_Dates'!AB930=0))),"CHECK half-day on non-working date",IF(COUNTIF(Settings!$G$7:$G$11,D930)&lt;&gt;1,"CHECK leave type",IF(AND(Bookings!G930&lt;&gt;"Approved",Bookings!G930&lt;&gt;"Pending",Bookings!G930&lt;&gt;"Cancelled"),"CHECK status","OK")))))))))),"CHECK input"))</ns0:f>
        <ns0:v/>
      </ns0:c>
      <ns0:c r="G930" s="0">
        <ns0:f>IF(OR(F930&lt;&gt;"OK",$B$6&gt;0),0,0.5*(IF(('_Dates'!X930)&lt;('_Dates'!W930),0,INT((('_Dates'!X930)-('_Dates'!W930)+1)/7)*LEN(SUBSTITUTE(W930,"O",""))+LEN(SUBSTITUTE(MID(W930&amp;W930,WEEKDAY(('_Dates'!W930),2),MOD((('_Dates'!X930)-('_Dates'!W930)+1),7)),"O",""))-COUNTIFS(INDEX(AllClosureRows,C930,0),"&gt;="&amp;('_Dates'!W930),INDEX(AllClosureRows,C930,0),"&lt;="&amp;('_Dates'!X930)))+IF(('_Dates'!Z930)&lt;('_Dates'!Y930),0,INT((('_Dates'!Z930)-('_Dates'!Y930)+1)/7)*LEN(SUBSTITUTE(W930,"O",""))+LEN(SUBSTITUTE(MID(W930&amp;W930,WEEKDAY(('_Dates'!Y930),2),MOD((('_Dates'!Z930)-('_Dates'!Y930)+1),7)),"O",""))-COUNTIFS(INDEX(AllClosureRows,C930,0),"&gt;="&amp;('_Dates'!Y930),INDEX(AllClosureRows,C930,0),"&lt;="&amp;('_Dates'!Z930)))))</ns0:f>
        <ns0:v>0</ns0:v>
      </ns0:c>
      <ns0:c r="H930" s="0">
        <ns0:f>IF(OR(F930&lt;&gt;"OK",$B$6&gt;0),0,0.5*(IF((MIN('_Dates'!X930,Settings!$B$9))&lt;('_Dates'!W930),0,INT(((MIN('_Dates'!X930,Settings!$B$9))-('_Dates'!W930)+1)/7)*LEN(SUBSTITUTE(W930,"O",""))+LEN(SUBSTITUTE(MID(W930&amp;W930,WEEKDAY(('_Dates'!W930),2),MOD(((MIN('_Dates'!X930,Settings!$B$9))-('_Dates'!W930)+1),7)),"O",""))-COUNTIFS(INDEX(AllClosureRows,C930,0),"&gt;="&amp;('_Dates'!W930),INDEX(AllClosureRows,C930,0),"&lt;="&amp;(MIN('_Dates'!X930,Settings!$B$9))))+IF((MIN('_Dates'!Z930,Settings!$B$9))&lt;('_Dates'!Y930),0,INT(((MIN('_Dates'!Z930,Settings!$B$9))-('_Dates'!Y930)+1)/7)*LEN(SUBSTITUTE(W930,"O",""))+LEN(SUBSTITUTE(MID(W930&amp;W930,WEEKDAY(('_Dates'!Y930),2),MOD(((MIN('_Dates'!Z930,Settings!$B$9))-('_Dates'!Y930)+1),7)),"O",""))-COUNTIFS(INDEX(AllClosureRows,C930,0),"&gt;="&amp;('_Dates'!Y930),INDEX(AllClosureRows,C930,0),"&lt;="&amp;(MIN('_Dates'!Z930,Settings!$B$9))))))</ns0:f>
        <ns0:v>0</ns0:v>
      </ns0:c>
      <ns0:c r="I930" s="0">
        <ns0:f>MAX(0,G930-H930)</ns0:f>
        <ns0:v>0</ns0:v>
      </ns0:c>
      <ns0:c r="J930" s="0">
        <ns0:f>IF(OR(A930=0,F930&lt;&gt;"OK",Bookings!G930="Cancelled",$B$6&gt;0),0,IF('_Dates'!AC930=1,MAX(0,COUNTIFS(rngEngine_B,B930,rngAMStart,"&lt;="&amp;'_Dates'!X930,rngAMEnd,"&gt;="&amp;'_Dates'!W930,rngAMActive,1,rngEngine_F,"OK",rngBookings_F,"&lt;&gt;Cancelled")-1),0)+IF('_Dates'!AD930=1,MAX(0,COUNTIFS(rngEngine_B,B930,rngPMStart,"&lt;="&amp;'_Dates'!Z930,rngPMEnd,"&gt;="&amp;'_Dates'!Y930,rngPMActive,1,rngEngine_F,"OK",rngBookings_F,"&lt;&gt;Cancelled")-1),0))</ns0:f>
        <ns0:v>0</ns0:v>
      </ns0:c>
      <ns0:c r="K930" s="0" t="str">
        <ns0:f>IF(A930=0,"",IF(F930&lt;&gt;"OK",F930,IF(J930&gt;0,"CHECK overlapping entry",IF(AND($B$6=0,G930&lt;=0,Bookings!G930&lt;&gt;"Cancelled"),"CHECK no working days",IF(Bookings!G930="Cancelled","Cancelled","OK")))))</ns0:f>
        <ns0:v/>
      </ns0:c>
      <ns0:c r="L930" s="0">
        <ns0:f>IF(LEFT(K930,5)="CHECK",1,0)</ns0:f>
        <ns0:v>0</ns0:v>
      </ns0:c>
      <ns0:c r="M930" s="0">
        <ns0:f>IF(AND(L930=1,OR(C930=0,IFERROR(INDEX($X$11:$X$60,C930),0)=0)),1,0)</ns0:f>
        <ns0:v>0</ns0:v>
      </ns0:c>
      <ns0:c r="N930" s="0">
        <ns0:f>IF(OR(A930=0,L930&gt;0,$B$6&gt;0,Bookings!G930="Cancelled"),0,G930)</ns0:f>
        <ns0:v>0</ns0:v>
      </ns0:c>
      <ns0:c r="O930" s="0">
        <ns0:f>IF(AND(Bookings!G930="Approved",E930="Yes"),N930,0)</ns0:f>
        <ns0:v>0</ns0:v>
      </ns0:c>
      <ns0:c r="P930" s="0">
        <ns0:f>IF(AND(Bookings!G930="Approved",E930="Yes",L930=0,$B$6=0),H930,0)</ns0:f>
        <ns0:v>0</ns0:v>
      </ns0:c>
      <ns0:c r="Q930" s="0">
        <ns0:f>IF(AND(Bookings!G930="Approved",E930="Yes",L930=0,$B$6=0),I930,0)</ns0:f>
        <ns0:v>0</ns0:v>
      </ns0:c>
      <ns0:c r="R930" s="0">
        <ns0:f>IF(AND(Bookings!G930="Pending",E930="Yes"),N930,0)</ns0:f>
        <ns0:v>0</ns0:v>
      </ns0:c>
      <ns0:c r="S930" s="0">
        <ns0:f>IF(AND(Bookings!G930="Approved",E930="No"),N930,0)</ns0:f>
        <ns0:v>0</ns0:v>
      </ns0:c>
      <ns0:c r="T930" s="0">
        <ns0:f>IFERROR(MATCH(D930,Settings!$G$7:$G$11,0),0)</ns0:f>
        <ns0:v>0</ns0:v>
      </ns0:c>
      <ns0:c r="U930" s="0">
        <ns0:f>IF(N930&gt;0,T930+IF(Bookings!G930="Pending",10,0),0)</ns0:f>
        <ns0:v>0</ns0:v>
      </ns0:c>
      <ns0:c r="V930" s="0">
        <ns0:f>U930</ns0:f>
        <ns0:v>0</ns0:v>
      </ns0:c>
      <ns0:c r="W930" s="0" t="str">
        <ns0:f>IF(C930=0,"",INDEX($AP$11:$AP$60,C930))</ns0:f>
        <ns0:v/>
      </ns0:c>
    </ns0:row>
    <ns0:row r="931">
      <ns0:c r="A931" s="0">
        <ns0:f>IF(COUNTA(Bookings!A931:G931,Bookings!I931)=0,0,1)</ns0:f>
        <ns0:v>0</ns0:v>
      </ns0:c>
      <ns0:c r="B931" s="0" t="str">
        <ns0:f>IFERROR(TRIM(MID(Bookings!A931,FIND(" · ",Bookings!A931)+3,99)),"")</ns0:f>
        <ns0:v/>
      </ns0:c>
      <ns0:c r="C931" s="0">
        <ns0:f>IF(OR(B931="",LEN(B931)&gt;24,ISNUMBER(FIND(" ",B931)),ISNUMBER(FIND("*",B931)),ISNUMBER(FIND("?",B931)),ISNUMBER(FIND("~",B931))),0,IFERROR(MATCH(B931,Team!$A$11:$A$60,0),0))</ns0:f>
        <ns0:v>0</ns0:v>
      </ns0:c>
      <ns0:c r="D931" s="0" t="str">
        <ns0:f>IFERROR(IF(MID(Bookings!F931,LEN(Bookings!F931)-3,3)=" · ",RIGHT(Bookings!F931,1),""),"")</ns0:f>
        <ns0:v/>
      </ns0:c>
      <ns0:c r="E931" s="0" t="str">
        <ns0:f>IFERROR(INDEX(Settings!$H$7:$H$11,MATCH(D931,Settings!$G$7:$G$11,0)),"")</ns0:f>
        <ns0:v/>
      </ns0:c>
      <ns0:c r="F931" s="0" t="str">
        <ns0:f>IF(A931=0,"",IFERROR(IF(OR(B931="",C931=0),"CHECK employee selection",IF(INDEX(Team!$O$11:$O$60,C931)&lt;&gt;"OK","CHECK employee setup",IF(OR('_Dates'!J931=0,'_Dates'!T931=0),"CHECK date: use DD.MM.YYYY",IF('_Dates'!T931&lt;'_Dates'!J931,"CHECK end before start",IF(AND($B$6=0,OR('_Dates'!J931&lt;Settings!$B$7,'_Dates'!T931&gt;Settings!$B$8)),"CHECK split across leave years",IF(OR(NOT(OR('_Dates'!U931="Full day",'_Dates'!U931="AM",'_Dates'!U931="PM")),NOT(OR('_Dates'!V931="Full day",'_Dates'!V931="AM",'_Dates'!V931="PM"))),"CHECK Full day / AM / PM",IF(AND('_Dates'!J931='_Dates'!T931,'_Dates'!U931&lt;&gt;"Full day",'_Dates'!V931&lt;&gt;"Full day",'_Dates'!U931&lt;&gt;'_Dates'!V931),"CHECK same-day portions disagree",IF(AND($B$6=0,OR(AND('_Dates'!U931&lt;&gt;"Full day",'_Dates'!AA931=0),AND('_Dates'!V931&lt;&gt;"Full day",'_Dates'!AB931=0))),"CHECK half-day on non-working date",IF(COUNTIF(Settings!$G$7:$G$11,D931)&lt;&gt;1,"CHECK leave type",IF(AND(Bookings!G931&lt;&gt;"Approved",Bookings!G931&lt;&gt;"Pending",Bookings!G931&lt;&gt;"Cancelled"),"CHECK status","OK")))))))))),"CHECK input"))</ns0:f>
        <ns0:v/>
      </ns0:c>
      <ns0:c r="G931" s="0">
        <ns0:f>IF(OR(F931&lt;&gt;"OK",$B$6&gt;0),0,0.5*(IF(('_Dates'!X931)&lt;('_Dates'!W931),0,INT((('_Dates'!X931)-('_Dates'!W931)+1)/7)*LEN(SUBSTITUTE(W931,"O",""))+LEN(SUBSTITUTE(MID(W931&amp;W931,WEEKDAY(('_Dates'!W931),2),MOD((('_Dates'!X931)-('_Dates'!W931)+1),7)),"O",""))-COUNTIFS(INDEX(AllClosureRows,C931,0),"&gt;="&amp;('_Dates'!W931),INDEX(AllClosureRows,C931,0),"&lt;="&amp;('_Dates'!X931)))+IF(('_Dates'!Z931)&lt;('_Dates'!Y931),0,INT((('_Dates'!Z931)-('_Dates'!Y931)+1)/7)*LEN(SUBSTITUTE(W931,"O",""))+LEN(SUBSTITUTE(MID(W931&amp;W931,WEEKDAY(('_Dates'!Y931),2),MOD((('_Dates'!Z931)-('_Dates'!Y931)+1),7)),"O",""))-COUNTIFS(INDEX(AllClosureRows,C931,0),"&gt;="&amp;('_Dates'!Y931),INDEX(AllClosureRows,C931,0),"&lt;="&amp;('_Dates'!Z931)))))</ns0:f>
        <ns0:v>0</ns0:v>
      </ns0:c>
      <ns0:c r="H931" s="0">
        <ns0:f>IF(OR(F931&lt;&gt;"OK",$B$6&gt;0),0,0.5*(IF((MIN('_Dates'!X931,Settings!$B$9))&lt;('_Dates'!W931),0,INT(((MIN('_Dates'!X931,Settings!$B$9))-('_Dates'!W931)+1)/7)*LEN(SUBSTITUTE(W931,"O",""))+LEN(SUBSTITUTE(MID(W931&amp;W931,WEEKDAY(('_Dates'!W931),2),MOD(((MIN('_Dates'!X931,Settings!$B$9))-('_Dates'!W931)+1),7)),"O",""))-COUNTIFS(INDEX(AllClosureRows,C931,0),"&gt;="&amp;('_Dates'!W931),INDEX(AllClosureRows,C931,0),"&lt;="&amp;(MIN('_Dates'!X931,Settings!$B$9))))+IF((MIN('_Dates'!Z931,Settings!$B$9))&lt;('_Dates'!Y931),0,INT(((MIN('_Dates'!Z931,Settings!$B$9))-('_Dates'!Y931)+1)/7)*LEN(SUBSTITUTE(W931,"O",""))+LEN(SUBSTITUTE(MID(W931&amp;W931,WEEKDAY(('_Dates'!Y931),2),MOD(((MIN('_Dates'!Z931,Settings!$B$9))-('_Dates'!Y931)+1),7)),"O",""))-COUNTIFS(INDEX(AllClosureRows,C931,0),"&gt;="&amp;('_Dates'!Y931),INDEX(AllClosureRows,C931,0),"&lt;="&amp;(MIN('_Dates'!Z931,Settings!$B$9))))))</ns0:f>
        <ns0:v>0</ns0:v>
      </ns0:c>
      <ns0:c r="I931" s="0">
        <ns0:f>MAX(0,G931-H931)</ns0:f>
        <ns0:v>0</ns0:v>
      </ns0:c>
      <ns0:c r="J931" s="0">
        <ns0:f>IF(OR(A931=0,F931&lt;&gt;"OK",Bookings!G931="Cancelled",$B$6&gt;0),0,IF('_Dates'!AC931=1,MAX(0,COUNTIFS(rngEngine_B,B931,rngAMStart,"&lt;="&amp;'_Dates'!X931,rngAMEnd,"&gt;="&amp;'_Dates'!W931,rngAMActive,1,rngEngine_F,"OK",rngBookings_F,"&lt;&gt;Cancelled")-1),0)+IF('_Dates'!AD931=1,MAX(0,COUNTIFS(rngEngine_B,B931,rngPMStart,"&lt;="&amp;'_Dates'!Z931,rngPMEnd,"&gt;="&amp;'_Dates'!Y931,rngPMActive,1,rngEngine_F,"OK",rngBookings_F,"&lt;&gt;Cancelled")-1),0))</ns0:f>
        <ns0:v>0</ns0:v>
      </ns0:c>
      <ns0:c r="K931" s="0" t="str">
        <ns0:f>IF(A931=0,"",IF(F931&lt;&gt;"OK",F931,IF(J931&gt;0,"CHECK overlapping entry",IF(AND($B$6=0,G931&lt;=0,Bookings!G931&lt;&gt;"Cancelled"),"CHECK no working days",IF(Bookings!G931="Cancelled","Cancelled","OK")))))</ns0:f>
        <ns0:v/>
      </ns0:c>
      <ns0:c r="L931" s="0">
        <ns0:f>IF(LEFT(K931,5)="CHECK",1,0)</ns0:f>
        <ns0:v>0</ns0:v>
      </ns0:c>
      <ns0:c r="M931" s="0">
        <ns0:f>IF(AND(L931=1,OR(C931=0,IFERROR(INDEX($X$11:$X$60,C931),0)=0)),1,0)</ns0:f>
        <ns0:v>0</ns0:v>
      </ns0:c>
      <ns0:c r="N931" s="0">
        <ns0:f>IF(OR(A931=0,L931&gt;0,$B$6&gt;0,Bookings!G931="Cancelled"),0,G931)</ns0:f>
        <ns0:v>0</ns0:v>
      </ns0:c>
      <ns0:c r="O931" s="0">
        <ns0:f>IF(AND(Bookings!G931="Approved",E931="Yes"),N931,0)</ns0:f>
        <ns0:v>0</ns0:v>
      </ns0:c>
      <ns0:c r="P931" s="0">
        <ns0:f>IF(AND(Bookings!G931="Approved",E931="Yes",L931=0,$B$6=0),H931,0)</ns0:f>
        <ns0:v>0</ns0:v>
      </ns0:c>
      <ns0:c r="Q931" s="0">
        <ns0:f>IF(AND(Bookings!G931="Approved",E931="Yes",L931=0,$B$6=0),I931,0)</ns0:f>
        <ns0:v>0</ns0:v>
      </ns0:c>
      <ns0:c r="R931" s="0">
        <ns0:f>IF(AND(Bookings!G931="Pending",E931="Yes"),N931,0)</ns0:f>
        <ns0:v>0</ns0:v>
      </ns0:c>
      <ns0:c r="S931" s="0">
        <ns0:f>IF(AND(Bookings!G931="Approved",E931="No"),N931,0)</ns0:f>
        <ns0:v>0</ns0:v>
      </ns0:c>
      <ns0:c r="T931" s="0">
        <ns0:f>IFERROR(MATCH(D931,Settings!$G$7:$G$11,0),0)</ns0:f>
        <ns0:v>0</ns0:v>
      </ns0:c>
      <ns0:c r="U931" s="0">
        <ns0:f>IF(N931&gt;0,T931+IF(Bookings!G931="Pending",10,0),0)</ns0:f>
        <ns0:v>0</ns0:v>
      </ns0:c>
      <ns0:c r="V931" s="0">
        <ns0:f>U931</ns0:f>
        <ns0:v>0</ns0:v>
      </ns0:c>
      <ns0:c r="W931" s="0" t="str">
        <ns0:f>IF(C931=0,"",INDEX($AP$11:$AP$60,C931))</ns0:f>
        <ns0:v/>
      </ns0:c>
    </ns0:row>
    <ns0:row r="932">
      <ns0:c r="A932" s="0">
        <ns0:f>IF(COUNTA(Bookings!A932:G932,Bookings!I932)=0,0,1)</ns0:f>
        <ns0:v>0</ns0:v>
      </ns0:c>
      <ns0:c r="B932" s="0" t="str">
        <ns0:f>IFERROR(TRIM(MID(Bookings!A932,FIND(" · ",Bookings!A932)+3,99)),"")</ns0:f>
        <ns0:v/>
      </ns0:c>
      <ns0:c r="C932" s="0">
        <ns0:f>IF(OR(B932="",LEN(B932)&gt;24,ISNUMBER(FIND(" ",B932)),ISNUMBER(FIND("*",B932)),ISNUMBER(FIND("?",B932)),ISNUMBER(FIND("~",B932))),0,IFERROR(MATCH(B932,Team!$A$11:$A$60,0),0))</ns0:f>
        <ns0:v>0</ns0:v>
      </ns0:c>
      <ns0:c r="D932" s="0" t="str">
        <ns0:f>IFERROR(IF(MID(Bookings!F932,LEN(Bookings!F932)-3,3)=" · ",RIGHT(Bookings!F932,1),""),"")</ns0:f>
        <ns0:v/>
      </ns0:c>
      <ns0:c r="E932" s="0" t="str">
        <ns0:f>IFERROR(INDEX(Settings!$H$7:$H$11,MATCH(D932,Settings!$G$7:$G$11,0)),"")</ns0:f>
        <ns0:v/>
      </ns0:c>
      <ns0:c r="F932" s="0" t="str">
        <ns0:f>IF(A932=0,"",IFERROR(IF(OR(B932="",C932=0),"CHECK employee selection",IF(INDEX(Team!$O$11:$O$60,C932)&lt;&gt;"OK","CHECK employee setup",IF(OR('_Dates'!J932=0,'_Dates'!T932=0),"CHECK date: use DD.MM.YYYY",IF('_Dates'!T932&lt;'_Dates'!J932,"CHECK end before start",IF(AND($B$6=0,OR('_Dates'!J932&lt;Settings!$B$7,'_Dates'!T932&gt;Settings!$B$8)),"CHECK split across leave years",IF(OR(NOT(OR('_Dates'!U932="Full day",'_Dates'!U932="AM",'_Dates'!U932="PM")),NOT(OR('_Dates'!V932="Full day",'_Dates'!V932="AM",'_Dates'!V932="PM"))),"CHECK Full day / AM / PM",IF(AND('_Dates'!J932='_Dates'!T932,'_Dates'!U932&lt;&gt;"Full day",'_Dates'!V932&lt;&gt;"Full day",'_Dates'!U932&lt;&gt;'_Dates'!V932),"CHECK same-day portions disagree",IF(AND($B$6=0,OR(AND('_Dates'!U932&lt;&gt;"Full day",'_Dates'!AA932=0),AND('_Dates'!V932&lt;&gt;"Full day",'_Dates'!AB932=0))),"CHECK half-day on non-working date",IF(COUNTIF(Settings!$G$7:$G$11,D932)&lt;&gt;1,"CHECK leave type",IF(AND(Bookings!G932&lt;&gt;"Approved",Bookings!G932&lt;&gt;"Pending",Bookings!G932&lt;&gt;"Cancelled"),"CHECK status","OK")))))))))),"CHECK input"))</ns0:f>
        <ns0:v/>
      </ns0:c>
      <ns0:c r="G932" s="0">
        <ns0:f>IF(OR(F932&lt;&gt;"OK",$B$6&gt;0),0,0.5*(IF(('_Dates'!X932)&lt;('_Dates'!W932),0,INT((('_Dates'!X932)-('_Dates'!W932)+1)/7)*LEN(SUBSTITUTE(W932,"O",""))+LEN(SUBSTITUTE(MID(W932&amp;W932,WEEKDAY(('_Dates'!W932),2),MOD((('_Dates'!X932)-('_Dates'!W932)+1),7)),"O",""))-COUNTIFS(INDEX(AllClosureRows,C932,0),"&gt;="&amp;('_Dates'!W932),INDEX(AllClosureRows,C932,0),"&lt;="&amp;('_Dates'!X932)))+IF(('_Dates'!Z932)&lt;('_Dates'!Y932),0,INT((('_Dates'!Z932)-('_Dates'!Y932)+1)/7)*LEN(SUBSTITUTE(W932,"O",""))+LEN(SUBSTITUTE(MID(W932&amp;W932,WEEKDAY(('_Dates'!Y932),2),MOD((('_Dates'!Z932)-('_Dates'!Y932)+1),7)),"O",""))-COUNTIFS(INDEX(AllClosureRows,C932,0),"&gt;="&amp;('_Dates'!Y932),INDEX(AllClosureRows,C932,0),"&lt;="&amp;('_Dates'!Z932)))))</ns0:f>
        <ns0:v>0</ns0:v>
      </ns0:c>
      <ns0:c r="H932" s="0">
        <ns0:f>IF(OR(F932&lt;&gt;"OK",$B$6&gt;0),0,0.5*(IF((MIN('_Dates'!X932,Settings!$B$9))&lt;('_Dates'!W932),0,INT(((MIN('_Dates'!X932,Settings!$B$9))-('_Dates'!W932)+1)/7)*LEN(SUBSTITUTE(W932,"O",""))+LEN(SUBSTITUTE(MID(W932&amp;W932,WEEKDAY(('_Dates'!W932),2),MOD(((MIN('_Dates'!X932,Settings!$B$9))-('_Dates'!W932)+1),7)),"O",""))-COUNTIFS(INDEX(AllClosureRows,C932,0),"&gt;="&amp;('_Dates'!W932),INDEX(AllClosureRows,C932,0),"&lt;="&amp;(MIN('_Dates'!X932,Settings!$B$9))))+IF((MIN('_Dates'!Z932,Settings!$B$9))&lt;('_Dates'!Y932),0,INT(((MIN('_Dates'!Z932,Settings!$B$9))-('_Dates'!Y932)+1)/7)*LEN(SUBSTITUTE(W932,"O",""))+LEN(SUBSTITUTE(MID(W932&amp;W932,WEEKDAY(('_Dates'!Y932),2),MOD(((MIN('_Dates'!Z932,Settings!$B$9))-('_Dates'!Y932)+1),7)),"O",""))-COUNTIFS(INDEX(AllClosureRows,C932,0),"&gt;="&amp;('_Dates'!Y932),INDEX(AllClosureRows,C932,0),"&lt;="&amp;(MIN('_Dates'!Z932,Settings!$B$9))))))</ns0:f>
        <ns0:v>0</ns0:v>
      </ns0:c>
      <ns0:c r="I932" s="0">
        <ns0:f>MAX(0,G932-H932)</ns0:f>
        <ns0:v>0</ns0:v>
      </ns0:c>
      <ns0:c r="J932" s="0">
        <ns0:f>IF(OR(A932=0,F932&lt;&gt;"OK",Bookings!G932="Cancelled",$B$6&gt;0),0,IF('_Dates'!AC932=1,MAX(0,COUNTIFS(rngEngine_B,B932,rngAMStart,"&lt;="&amp;'_Dates'!X932,rngAMEnd,"&gt;="&amp;'_Dates'!W932,rngAMActive,1,rngEngine_F,"OK",rngBookings_F,"&lt;&gt;Cancelled")-1),0)+IF('_Dates'!AD932=1,MAX(0,COUNTIFS(rngEngine_B,B932,rngPMStart,"&lt;="&amp;'_Dates'!Z932,rngPMEnd,"&gt;="&amp;'_Dates'!Y932,rngPMActive,1,rngEngine_F,"OK",rngBookings_F,"&lt;&gt;Cancelled")-1),0))</ns0:f>
        <ns0:v>0</ns0:v>
      </ns0:c>
      <ns0:c r="K932" s="0" t="str">
        <ns0:f>IF(A932=0,"",IF(F932&lt;&gt;"OK",F932,IF(J932&gt;0,"CHECK overlapping entry",IF(AND($B$6=0,G932&lt;=0,Bookings!G932&lt;&gt;"Cancelled"),"CHECK no working days",IF(Bookings!G932="Cancelled","Cancelled","OK")))))</ns0:f>
        <ns0:v/>
      </ns0:c>
      <ns0:c r="L932" s="0">
        <ns0:f>IF(LEFT(K932,5)="CHECK",1,0)</ns0:f>
        <ns0:v>0</ns0:v>
      </ns0:c>
      <ns0:c r="M932" s="0">
        <ns0:f>IF(AND(L932=1,OR(C932=0,IFERROR(INDEX($X$11:$X$60,C932),0)=0)),1,0)</ns0:f>
        <ns0:v>0</ns0:v>
      </ns0:c>
      <ns0:c r="N932" s="0">
        <ns0:f>IF(OR(A932=0,L932&gt;0,$B$6&gt;0,Bookings!G932="Cancelled"),0,G932)</ns0:f>
        <ns0:v>0</ns0:v>
      </ns0:c>
      <ns0:c r="O932" s="0">
        <ns0:f>IF(AND(Bookings!G932="Approved",E932="Yes"),N932,0)</ns0:f>
        <ns0:v>0</ns0:v>
      </ns0:c>
      <ns0:c r="P932" s="0">
        <ns0:f>IF(AND(Bookings!G932="Approved",E932="Yes",L932=0,$B$6=0),H932,0)</ns0:f>
        <ns0:v>0</ns0:v>
      </ns0:c>
      <ns0:c r="Q932" s="0">
        <ns0:f>IF(AND(Bookings!G932="Approved",E932="Yes",L932=0,$B$6=0),I932,0)</ns0:f>
        <ns0:v>0</ns0:v>
      </ns0:c>
      <ns0:c r="R932" s="0">
        <ns0:f>IF(AND(Bookings!G932="Pending",E932="Yes"),N932,0)</ns0:f>
        <ns0:v>0</ns0:v>
      </ns0:c>
      <ns0:c r="S932" s="0">
        <ns0:f>IF(AND(Bookings!G932="Approved",E932="No"),N932,0)</ns0:f>
        <ns0:v>0</ns0:v>
      </ns0:c>
      <ns0:c r="T932" s="0">
        <ns0:f>IFERROR(MATCH(D932,Settings!$G$7:$G$11,0),0)</ns0:f>
        <ns0:v>0</ns0:v>
      </ns0:c>
      <ns0:c r="U932" s="0">
        <ns0:f>IF(N932&gt;0,T932+IF(Bookings!G932="Pending",10,0),0)</ns0:f>
        <ns0:v>0</ns0:v>
      </ns0:c>
      <ns0:c r="V932" s="0">
        <ns0:f>U932</ns0:f>
        <ns0:v>0</ns0:v>
      </ns0:c>
      <ns0:c r="W932" s="0" t="str">
        <ns0:f>IF(C932=0,"",INDEX($AP$11:$AP$60,C932))</ns0:f>
        <ns0:v/>
      </ns0:c>
    </ns0:row>
    <ns0:row r="933">
      <ns0:c r="A933" s="0">
        <ns0:f>IF(COUNTA(Bookings!A933:G933,Bookings!I933)=0,0,1)</ns0:f>
        <ns0:v>0</ns0:v>
      </ns0:c>
      <ns0:c r="B933" s="0" t="str">
        <ns0:f>IFERROR(TRIM(MID(Bookings!A933,FIND(" · ",Bookings!A933)+3,99)),"")</ns0:f>
        <ns0:v/>
      </ns0:c>
      <ns0:c r="C933" s="0">
        <ns0:f>IF(OR(B933="",LEN(B933)&gt;24,ISNUMBER(FIND(" ",B933)),ISNUMBER(FIND("*",B933)),ISNUMBER(FIND("?",B933)),ISNUMBER(FIND("~",B933))),0,IFERROR(MATCH(B933,Team!$A$11:$A$60,0),0))</ns0:f>
        <ns0:v>0</ns0:v>
      </ns0:c>
      <ns0:c r="D933" s="0" t="str">
        <ns0:f>IFERROR(IF(MID(Bookings!F933,LEN(Bookings!F933)-3,3)=" · ",RIGHT(Bookings!F933,1),""),"")</ns0:f>
        <ns0:v/>
      </ns0:c>
      <ns0:c r="E933" s="0" t="str">
        <ns0:f>IFERROR(INDEX(Settings!$H$7:$H$11,MATCH(D933,Settings!$G$7:$G$11,0)),"")</ns0:f>
        <ns0:v/>
      </ns0:c>
      <ns0:c r="F933" s="0" t="str">
        <ns0:f>IF(A933=0,"",IFERROR(IF(OR(B933="",C933=0),"CHECK employee selection",IF(INDEX(Team!$O$11:$O$60,C933)&lt;&gt;"OK","CHECK employee setup",IF(OR('_Dates'!J933=0,'_Dates'!T933=0),"CHECK date: use DD.MM.YYYY",IF('_Dates'!T933&lt;'_Dates'!J933,"CHECK end before start",IF(AND($B$6=0,OR('_Dates'!J933&lt;Settings!$B$7,'_Dates'!T933&gt;Settings!$B$8)),"CHECK split across leave years",IF(OR(NOT(OR('_Dates'!U933="Full day",'_Dates'!U933="AM",'_Dates'!U933="PM")),NOT(OR('_Dates'!V933="Full day",'_Dates'!V933="AM",'_Dates'!V933="PM"))),"CHECK Full day / AM / PM",IF(AND('_Dates'!J933='_Dates'!T933,'_Dates'!U933&lt;&gt;"Full day",'_Dates'!V933&lt;&gt;"Full day",'_Dates'!U933&lt;&gt;'_Dates'!V933),"CHECK same-day portions disagree",IF(AND($B$6=0,OR(AND('_Dates'!U933&lt;&gt;"Full day",'_Dates'!AA933=0),AND('_Dates'!V933&lt;&gt;"Full day",'_Dates'!AB933=0))),"CHECK half-day on non-working date",IF(COUNTIF(Settings!$G$7:$G$11,D933)&lt;&gt;1,"CHECK leave type",IF(AND(Bookings!G933&lt;&gt;"Approved",Bookings!G933&lt;&gt;"Pending",Bookings!G933&lt;&gt;"Cancelled"),"CHECK status","OK")))))))))),"CHECK input"))</ns0:f>
        <ns0:v/>
      </ns0:c>
      <ns0:c r="G933" s="0">
        <ns0:f>IF(OR(F933&lt;&gt;"OK",$B$6&gt;0),0,0.5*(IF(('_Dates'!X933)&lt;('_Dates'!W933),0,INT((('_Dates'!X933)-('_Dates'!W933)+1)/7)*LEN(SUBSTITUTE(W933,"O",""))+LEN(SUBSTITUTE(MID(W933&amp;W933,WEEKDAY(('_Dates'!W933),2),MOD((('_Dates'!X933)-('_Dates'!W933)+1),7)),"O",""))-COUNTIFS(INDEX(AllClosureRows,C933,0),"&gt;="&amp;('_Dates'!W933),INDEX(AllClosureRows,C933,0),"&lt;="&amp;('_Dates'!X933)))+IF(('_Dates'!Z933)&lt;('_Dates'!Y933),0,INT((('_Dates'!Z933)-('_Dates'!Y933)+1)/7)*LEN(SUBSTITUTE(W933,"O",""))+LEN(SUBSTITUTE(MID(W933&amp;W933,WEEKDAY(('_Dates'!Y933),2),MOD((('_Dates'!Z933)-('_Dates'!Y933)+1),7)),"O",""))-COUNTIFS(INDEX(AllClosureRows,C933,0),"&gt;="&amp;('_Dates'!Y933),INDEX(AllClosureRows,C933,0),"&lt;="&amp;('_Dates'!Z933)))))</ns0:f>
        <ns0:v>0</ns0:v>
      </ns0:c>
      <ns0:c r="H933" s="0">
        <ns0:f>IF(OR(F933&lt;&gt;"OK",$B$6&gt;0),0,0.5*(IF((MIN('_Dates'!X933,Settings!$B$9))&lt;('_Dates'!W933),0,INT(((MIN('_Dates'!X933,Settings!$B$9))-('_Dates'!W933)+1)/7)*LEN(SUBSTITUTE(W933,"O",""))+LEN(SUBSTITUTE(MID(W933&amp;W933,WEEKDAY(('_Dates'!W933),2),MOD(((MIN('_Dates'!X933,Settings!$B$9))-('_Dates'!W933)+1),7)),"O",""))-COUNTIFS(INDEX(AllClosureRows,C933,0),"&gt;="&amp;('_Dates'!W933),INDEX(AllClosureRows,C933,0),"&lt;="&amp;(MIN('_Dates'!X933,Settings!$B$9))))+IF((MIN('_Dates'!Z933,Settings!$B$9))&lt;('_Dates'!Y933),0,INT(((MIN('_Dates'!Z933,Settings!$B$9))-('_Dates'!Y933)+1)/7)*LEN(SUBSTITUTE(W933,"O",""))+LEN(SUBSTITUTE(MID(W933&amp;W933,WEEKDAY(('_Dates'!Y933),2),MOD(((MIN('_Dates'!Z933,Settings!$B$9))-('_Dates'!Y933)+1),7)),"O",""))-COUNTIFS(INDEX(AllClosureRows,C933,0),"&gt;="&amp;('_Dates'!Y933),INDEX(AllClosureRows,C933,0),"&lt;="&amp;(MIN('_Dates'!Z933,Settings!$B$9))))))</ns0:f>
        <ns0:v>0</ns0:v>
      </ns0:c>
      <ns0:c r="I933" s="0">
        <ns0:f>MAX(0,G933-H933)</ns0:f>
        <ns0:v>0</ns0:v>
      </ns0:c>
      <ns0:c r="J933" s="0">
        <ns0:f>IF(OR(A933=0,F933&lt;&gt;"OK",Bookings!G933="Cancelled",$B$6&gt;0),0,IF('_Dates'!AC933=1,MAX(0,COUNTIFS(rngEngine_B,B933,rngAMStart,"&lt;="&amp;'_Dates'!X933,rngAMEnd,"&gt;="&amp;'_Dates'!W933,rngAMActive,1,rngEngine_F,"OK",rngBookings_F,"&lt;&gt;Cancelled")-1),0)+IF('_Dates'!AD933=1,MAX(0,COUNTIFS(rngEngine_B,B933,rngPMStart,"&lt;="&amp;'_Dates'!Z933,rngPMEnd,"&gt;="&amp;'_Dates'!Y933,rngPMActive,1,rngEngine_F,"OK",rngBookings_F,"&lt;&gt;Cancelled")-1),0))</ns0:f>
        <ns0:v>0</ns0:v>
      </ns0:c>
      <ns0:c r="K933" s="0" t="str">
        <ns0:f>IF(A933=0,"",IF(F933&lt;&gt;"OK",F933,IF(J933&gt;0,"CHECK overlapping entry",IF(AND($B$6=0,G933&lt;=0,Bookings!G933&lt;&gt;"Cancelled"),"CHECK no working days",IF(Bookings!G933="Cancelled","Cancelled","OK")))))</ns0:f>
        <ns0:v/>
      </ns0:c>
      <ns0:c r="L933" s="0">
        <ns0:f>IF(LEFT(K933,5)="CHECK",1,0)</ns0:f>
        <ns0:v>0</ns0:v>
      </ns0:c>
      <ns0:c r="M933" s="0">
        <ns0:f>IF(AND(L933=1,OR(C933=0,IFERROR(INDEX($X$11:$X$60,C933),0)=0)),1,0)</ns0:f>
        <ns0:v>0</ns0:v>
      </ns0:c>
      <ns0:c r="N933" s="0">
        <ns0:f>IF(OR(A933=0,L933&gt;0,$B$6&gt;0,Bookings!G933="Cancelled"),0,G933)</ns0:f>
        <ns0:v>0</ns0:v>
      </ns0:c>
      <ns0:c r="O933" s="0">
        <ns0:f>IF(AND(Bookings!G933="Approved",E933="Yes"),N933,0)</ns0:f>
        <ns0:v>0</ns0:v>
      </ns0:c>
      <ns0:c r="P933" s="0">
        <ns0:f>IF(AND(Bookings!G933="Approved",E933="Yes",L933=0,$B$6=0),H933,0)</ns0:f>
        <ns0:v>0</ns0:v>
      </ns0:c>
      <ns0:c r="Q933" s="0">
        <ns0:f>IF(AND(Bookings!G933="Approved",E933="Yes",L933=0,$B$6=0),I933,0)</ns0:f>
        <ns0:v>0</ns0:v>
      </ns0:c>
      <ns0:c r="R933" s="0">
        <ns0:f>IF(AND(Bookings!G933="Pending",E933="Yes"),N933,0)</ns0:f>
        <ns0:v>0</ns0:v>
      </ns0:c>
      <ns0:c r="S933" s="0">
        <ns0:f>IF(AND(Bookings!G933="Approved",E933="No"),N933,0)</ns0:f>
        <ns0:v>0</ns0:v>
      </ns0:c>
      <ns0:c r="T933" s="0">
        <ns0:f>IFERROR(MATCH(D933,Settings!$G$7:$G$11,0),0)</ns0:f>
        <ns0:v>0</ns0:v>
      </ns0:c>
      <ns0:c r="U933" s="0">
        <ns0:f>IF(N933&gt;0,T933+IF(Bookings!G933="Pending",10,0),0)</ns0:f>
        <ns0:v>0</ns0:v>
      </ns0:c>
      <ns0:c r="V933" s="0">
        <ns0:f>U933</ns0:f>
        <ns0:v>0</ns0:v>
      </ns0:c>
      <ns0:c r="W933" s="0" t="str">
        <ns0:f>IF(C933=0,"",INDEX($AP$11:$AP$60,C933))</ns0:f>
        <ns0:v/>
      </ns0:c>
    </ns0:row>
    <ns0:row r="934">
      <ns0:c r="A934" s="0">
        <ns0:f>IF(COUNTA(Bookings!A934:G934,Bookings!I934)=0,0,1)</ns0:f>
        <ns0:v>0</ns0:v>
      </ns0:c>
      <ns0:c r="B934" s="0" t="str">
        <ns0:f>IFERROR(TRIM(MID(Bookings!A934,FIND(" · ",Bookings!A934)+3,99)),"")</ns0:f>
        <ns0:v/>
      </ns0:c>
      <ns0:c r="C934" s="0">
        <ns0:f>IF(OR(B934="",LEN(B934)&gt;24,ISNUMBER(FIND(" ",B934)),ISNUMBER(FIND("*",B934)),ISNUMBER(FIND("?",B934)),ISNUMBER(FIND("~",B934))),0,IFERROR(MATCH(B934,Team!$A$11:$A$60,0),0))</ns0:f>
        <ns0:v>0</ns0:v>
      </ns0:c>
      <ns0:c r="D934" s="0" t="str">
        <ns0:f>IFERROR(IF(MID(Bookings!F934,LEN(Bookings!F934)-3,3)=" · ",RIGHT(Bookings!F934,1),""),"")</ns0:f>
        <ns0:v/>
      </ns0:c>
      <ns0:c r="E934" s="0" t="str">
        <ns0:f>IFERROR(INDEX(Settings!$H$7:$H$11,MATCH(D934,Settings!$G$7:$G$11,0)),"")</ns0:f>
        <ns0:v/>
      </ns0:c>
      <ns0:c r="F934" s="0" t="str">
        <ns0:f>IF(A934=0,"",IFERROR(IF(OR(B934="",C934=0),"CHECK employee selection",IF(INDEX(Team!$O$11:$O$60,C934)&lt;&gt;"OK","CHECK employee setup",IF(OR('_Dates'!J934=0,'_Dates'!T934=0),"CHECK date: use DD.MM.YYYY",IF('_Dates'!T934&lt;'_Dates'!J934,"CHECK end before start",IF(AND($B$6=0,OR('_Dates'!J934&lt;Settings!$B$7,'_Dates'!T934&gt;Settings!$B$8)),"CHECK split across leave years",IF(OR(NOT(OR('_Dates'!U934="Full day",'_Dates'!U934="AM",'_Dates'!U934="PM")),NOT(OR('_Dates'!V934="Full day",'_Dates'!V934="AM",'_Dates'!V934="PM"))),"CHECK Full day / AM / PM",IF(AND('_Dates'!J934='_Dates'!T934,'_Dates'!U934&lt;&gt;"Full day",'_Dates'!V934&lt;&gt;"Full day",'_Dates'!U934&lt;&gt;'_Dates'!V934),"CHECK same-day portions disagree",IF(AND($B$6=0,OR(AND('_Dates'!U934&lt;&gt;"Full day",'_Dates'!AA934=0),AND('_Dates'!V934&lt;&gt;"Full day",'_Dates'!AB934=0))),"CHECK half-day on non-working date",IF(COUNTIF(Settings!$G$7:$G$11,D934)&lt;&gt;1,"CHECK leave type",IF(AND(Bookings!G934&lt;&gt;"Approved",Bookings!G934&lt;&gt;"Pending",Bookings!G934&lt;&gt;"Cancelled"),"CHECK status","OK")))))))))),"CHECK input"))</ns0:f>
        <ns0:v/>
      </ns0:c>
      <ns0:c r="G934" s="0">
        <ns0:f>IF(OR(F934&lt;&gt;"OK",$B$6&gt;0),0,0.5*(IF(('_Dates'!X934)&lt;('_Dates'!W934),0,INT((('_Dates'!X934)-('_Dates'!W934)+1)/7)*LEN(SUBSTITUTE(W934,"O",""))+LEN(SUBSTITUTE(MID(W934&amp;W934,WEEKDAY(('_Dates'!W934),2),MOD((('_Dates'!X934)-('_Dates'!W934)+1),7)),"O",""))-COUNTIFS(INDEX(AllClosureRows,C934,0),"&gt;="&amp;('_Dates'!W934),INDEX(AllClosureRows,C934,0),"&lt;="&amp;('_Dates'!X934)))+IF(('_Dates'!Z934)&lt;('_Dates'!Y934),0,INT((('_Dates'!Z934)-('_Dates'!Y934)+1)/7)*LEN(SUBSTITUTE(W934,"O",""))+LEN(SUBSTITUTE(MID(W934&amp;W934,WEEKDAY(('_Dates'!Y934),2),MOD((('_Dates'!Z934)-('_Dates'!Y934)+1),7)),"O",""))-COUNTIFS(INDEX(AllClosureRows,C934,0),"&gt;="&amp;('_Dates'!Y934),INDEX(AllClosureRows,C934,0),"&lt;="&amp;('_Dates'!Z934)))))</ns0:f>
        <ns0:v>0</ns0:v>
      </ns0:c>
      <ns0:c r="H934" s="0">
        <ns0:f>IF(OR(F934&lt;&gt;"OK",$B$6&gt;0),0,0.5*(IF((MIN('_Dates'!X934,Settings!$B$9))&lt;('_Dates'!W934),0,INT(((MIN('_Dates'!X934,Settings!$B$9))-('_Dates'!W934)+1)/7)*LEN(SUBSTITUTE(W934,"O",""))+LEN(SUBSTITUTE(MID(W934&amp;W934,WEEKDAY(('_Dates'!W934),2),MOD(((MIN('_Dates'!X934,Settings!$B$9))-('_Dates'!W934)+1),7)),"O",""))-COUNTIFS(INDEX(AllClosureRows,C934,0),"&gt;="&amp;('_Dates'!W934),INDEX(AllClosureRows,C934,0),"&lt;="&amp;(MIN('_Dates'!X934,Settings!$B$9))))+IF((MIN('_Dates'!Z934,Settings!$B$9))&lt;('_Dates'!Y934),0,INT(((MIN('_Dates'!Z934,Settings!$B$9))-('_Dates'!Y934)+1)/7)*LEN(SUBSTITUTE(W934,"O",""))+LEN(SUBSTITUTE(MID(W934&amp;W934,WEEKDAY(('_Dates'!Y934),2),MOD(((MIN('_Dates'!Z934,Settings!$B$9))-('_Dates'!Y934)+1),7)),"O",""))-COUNTIFS(INDEX(AllClosureRows,C934,0),"&gt;="&amp;('_Dates'!Y934),INDEX(AllClosureRows,C934,0),"&lt;="&amp;(MIN('_Dates'!Z934,Settings!$B$9))))))</ns0:f>
        <ns0:v>0</ns0:v>
      </ns0:c>
      <ns0:c r="I934" s="0">
        <ns0:f>MAX(0,G934-H934)</ns0:f>
        <ns0:v>0</ns0:v>
      </ns0:c>
      <ns0:c r="J934" s="0">
        <ns0:f>IF(OR(A934=0,F934&lt;&gt;"OK",Bookings!G934="Cancelled",$B$6&gt;0),0,IF('_Dates'!AC934=1,MAX(0,COUNTIFS(rngEngine_B,B934,rngAMStart,"&lt;="&amp;'_Dates'!X934,rngAMEnd,"&gt;="&amp;'_Dates'!W934,rngAMActive,1,rngEngine_F,"OK",rngBookings_F,"&lt;&gt;Cancelled")-1),0)+IF('_Dates'!AD934=1,MAX(0,COUNTIFS(rngEngine_B,B934,rngPMStart,"&lt;="&amp;'_Dates'!Z934,rngPMEnd,"&gt;="&amp;'_Dates'!Y934,rngPMActive,1,rngEngine_F,"OK",rngBookings_F,"&lt;&gt;Cancelled")-1),0))</ns0:f>
        <ns0:v>0</ns0:v>
      </ns0:c>
      <ns0:c r="K934" s="0" t="str">
        <ns0:f>IF(A934=0,"",IF(F934&lt;&gt;"OK",F934,IF(J934&gt;0,"CHECK overlapping entry",IF(AND($B$6=0,G934&lt;=0,Bookings!G934&lt;&gt;"Cancelled"),"CHECK no working days",IF(Bookings!G934="Cancelled","Cancelled","OK")))))</ns0:f>
        <ns0:v/>
      </ns0:c>
      <ns0:c r="L934" s="0">
        <ns0:f>IF(LEFT(K934,5)="CHECK",1,0)</ns0:f>
        <ns0:v>0</ns0:v>
      </ns0:c>
      <ns0:c r="M934" s="0">
        <ns0:f>IF(AND(L934=1,OR(C934=0,IFERROR(INDEX($X$11:$X$60,C934),0)=0)),1,0)</ns0:f>
        <ns0:v>0</ns0:v>
      </ns0:c>
      <ns0:c r="N934" s="0">
        <ns0:f>IF(OR(A934=0,L934&gt;0,$B$6&gt;0,Bookings!G934="Cancelled"),0,G934)</ns0:f>
        <ns0:v>0</ns0:v>
      </ns0:c>
      <ns0:c r="O934" s="0">
        <ns0:f>IF(AND(Bookings!G934="Approved",E934="Yes"),N934,0)</ns0:f>
        <ns0:v>0</ns0:v>
      </ns0:c>
      <ns0:c r="P934" s="0">
        <ns0:f>IF(AND(Bookings!G934="Approved",E934="Yes",L934=0,$B$6=0),H934,0)</ns0:f>
        <ns0:v>0</ns0:v>
      </ns0:c>
      <ns0:c r="Q934" s="0">
        <ns0:f>IF(AND(Bookings!G934="Approved",E934="Yes",L934=0,$B$6=0),I934,0)</ns0:f>
        <ns0:v>0</ns0:v>
      </ns0:c>
      <ns0:c r="R934" s="0">
        <ns0:f>IF(AND(Bookings!G934="Pending",E934="Yes"),N934,0)</ns0:f>
        <ns0:v>0</ns0:v>
      </ns0:c>
      <ns0:c r="S934" s="0">
        <ns0:f>IF(AND(Bookings!G934="Approved",E934="No"),N934,0)</ns0:f>
        <ns0:v>0</ns0:v>
      </ns0:c>
      <ns0:c r="T934" s="0">
        <ns0:f>IFERROR(MATCH(D934,Settings!$G$7:$G$11,0),0)</ns0:f>
        <ns0:v>0</ns0:v>
      </ns0:c>
      <ns0:c r="U934" s="0">
        <ns0:f>IF(N934&gt;0,T934+IF(Bookings!G934="Pending",10,0),0)</ns0:f>
        <ns0:v>0</ns0:v>
      </ns0:c>
      <ns0:c r="V934" s="0">
        <ns0:f>U934</ns0:f>
        <ns0:v>0</ns0:v>
      </ns0:c>
      <ns0:c r="W934" s="0" t="str">
        <ns0:f>IF(C934=0,"",INDEX($AP$11:$AP$60,C934))</ns0:f>
        <ns0:v/>
      </ns0:c>
    </ns0:row>
    <ns0:row r="935">
      <ns0:c r="A935" s="0">
        <ns0:f>IF(COUNTA(Bookings!A935:G935,Bookings!I935)=0,0,1)</ns0:f>
        <ns0:v>0</ns0:v>
      </ns0:c>
      <ns0:c r="B935" s="0" t="str">
        <ns0:f>IFERROR(TRIM(MID(Bookings!A935,FIND(" · ",Bookings!A935)+3,99)),"")</ns0:f>
        <ns0:v/>
      </ns0:c>
      <ns0:c r="C935" s="0">
        <ns0:f>IF(OR(B935="",LEN(B935)&gt;24,ISNUMBER(FIND(" ",B935)),ISNUMBER(FIND("*",B935)),ISNUMBER(FIND("?",B935)),ISNUMBER(FIND("~",B935))),0,IFERROR(MATCH(B935,Team!$A$11:$A$60,0),0))</ns0:f>
        <ns0:v>0</ns0:v>
      </ns0:c>
      <ns0:c r="D935" s="0" t="str">
        <ns0:f>IFERROR(IF(MID(Bookings!F935,LEN(Bookings!F935)-3,3)=" · ",RIGHT(Bookings!F935,1),""),"")</ns0:f>
        <ns0:v/>
      </ns0:c>
      <ns0:c r="E935" s="0" t="str">
        <ns0:f>IFERROR(INDEX(Settings!$H$7:$H$11,MATCH(D935,Settings!$G$7:$G$11,0)),"")</ns0:f>
        <ns0:v/>
      </ns0:c>
      <ns0:c r="F935" s="0" t="str">
        <ns0:f>IF(A935=0,"",IFERROR(IF(OR(B935="",C935=0),"CHECK employee selection",IF(INDEX(Team!$O$11:$O$60,C935)&lt;&gt;"OK","CHECK employee setup",IF(OR('_Dates'!J935=0,'_Dates'!T935=0),"CHECK date: use DD.MM.YYYY",IF('_Dates'!T935&lt;'_Dates'!J935,"CHECK end before start",IF(AND($B$6=0,OR('_Dates'!J935&lt;Settings!$B$7,'_Dates'!T935&gt;Settings!$B$8)),"CHECK split across leave years",IF(OR(NOT(OR('_Dates'!U935="Full day",'_Dates'!U935="AM",'_Dates'!U935="PM")),NOT(OR('_Dates'!V935="Full day",'_Dates'!V935="AM",'_Dates'!V935="PM"))),"CHECK Full day / AM / PM",IF(AND('_Dates'!J935='_Dates'!T935,'_Dates'!U935&lt;&gt;"Full day",'_Dates'!V935&lt;&gt;"Full day",'_Dates'!U935&lt;&gt;'_Dates'!V935),"CHECK same-day portions disagree",IF(AND($B$6=0,OR(AND('_Dates'!U935&lt;&gt;"Full day",'_Dates'!AA935=0),AND('_Dates'!V935&lt;&gt;"Full day",'_Dates'!AB935=0))),"CHECK half-day on non-working date",IF(COUNTIF(Settings!$G$7:$G$11,D935)&lt;&gt;1,"CHECK leave type",IF(AND(Bookings!G935&lt;&gt;"Approved",Bookings!G935&lt;&gt;"Pending",Bookings!G935&lt;&gt;"Cancelled"),"CHECK status","OK")))))))))),"CHECK input"))</ns0:f>
        <ns0:v/>
      </ns0:c>
      <ns0:c r="G935" s="0">
        <ns0:f>IF(OR(F935&lt;&gt;"OK",$B$6&gt;0),0,0.5*(IF(('_Dates'!X935)&lt;('_Dates'!W935),0,INT((('_Dates'!X935)-('_Dates'!W935)+1)/7)*LEN(SUBSTITUTE(W935,"O",""))+LEN(SUBSTITUTE(MID(W935&amp;W935,WEEKDAY(('_Dates'!W935),2),MOD((('_Dates'!X935)-('_Dates'!W935)+1),7)),"O",""))-COUNTIFS(INDEX(AllClosureRows,C935,0),"&gt;="&amp;('_Dates'!W935),INDEX(AllClosureRows,C935,0),"&lt;="&amp;('_Dates'!X935)))+IF(('_Dates'!Z935)&lt;('_Dates'!Y935),0,INT((('_Dates'!Z935)-('_Dates'!Y935)+1)/7)*LEN(SUBSTITUTE(W935,"O",""))+LEN(SUBSTITUTE(MID(W935&amp;W935,WEEKDAY(('_Dates'!Y935),2),MOD((('_Dates'!Z935)-('_Dates'!Y935)+1),7)),"O",""))-COUNTIFS(INDEX(AllClosureRows,C935,0),"&gt;="&amp;('_Dates'!Y935),INDEX(AllClosureRows,C935,0),"&lt;="&amp;('_Dates'!Z935)))))</ns0:f>
        <ns0:v>0</ns0:v>
      </ns0:c>
      <ns0:c r="H935" s="0">
        <ns0:f>IF(OR(F935&lt;&gt;"OK",$B$6&gt;0),0,0.5*(IF((MIN('_Dates'!X935,Settings!$B$9))&lt;('_Dates'!W935),0,INT(((MIN('_Dates'!X935,Settings!$B$9))-('_Dates'!W935)+1)/7)*LEN(SUBSTITUTE(W935,"O",""))+LEN(SUBSTITUTE(MID(W935&amp;W935,WEEKDAY(('_Dates'!W935),2),MOD(((MIN('_Dates'!X935,Settings!$B$9))-('_Dates'!W935)+1),7)),"O",""))-COUNTIFS(INDEX(AllClosureRows,C935,0),"&gt;="&amp;('_Dates'!W935),INDEX(AllClosureRows,C935,0),"&lt;="&amp;(MIN('_Dates'!X935,Settings!$B$9))))+IF((MIN('_Dates'!Z935,Settings!$B$9))&lt;('_Dates'!Y935),0,INT(((MIN('_Dates'!Z935,Settings!$B$9))-('_Dates'!Y935)+1)/7)*LEN(SUBSTITUTE(W935,"O",""))+LEN(SUBSTITUTE(MID(W935&amp;W935,WEEKDAY(('_Dates'!Y935),2),MOD(((MIN('_Dates'!Z935,Settings!$B$9))-('_Dates'!Y935)+1),7)),"O",""))-COUNTIFS(INDEX(AllClosureRows,C935,0),"&gt;="&amp;('_Dates'!Y935),INDEX(AllClosureRows,C935,0),"&lt;="&amp;(MIN('_Dates'!Z935,Settings!$B$9))))))</ns0:f>
        <ns0:v>0</ns0:v>
      </ns0:c>
      <ns0:c r="I935" s="0">
        <ns0:f>MAX(0,G935-H935)</ns0:f>
        <ns0:v>0</ns0:v>
      </ns0:c>
      <ns0:c r="J935" s="0">
        <ns0:f>IF(OR(A935=0,F935&lt;&gt;"OK",Bookings!G935="Cancelled",$B$6&gt;0),0,IF('_Dates'!AC935=1,MAX(0,COUNTIFS(rngEngine_B,B935,rngAMStart,"&lt;="&amp;'_Dates'!X935,rngAMEnd,"&gt;="&amp;'_Dates'!W935,rngAMActive,1,rngEngine_F,"OK",rngBookings_F,"&lt;&gt;Cancelled")-1),0)+IF('_Dates'!AD935=1,MAX(0,COUNTIFS(rngEngine_B,B935,rngPMStart,"&lt;="&amp;'_Dates'!Z935,rngPMEnd,"&gt;="&amp;'_Dates'!Y935,rngPMActive,1,rngEngine_F,"OK",rngBookings_F,"&lt;&gt;Cancelled")-1),0))</ns0:f>
        <ns0:v>0</ns0:v>
      </ns0:c>
      <ns0:c r="K935" s="0" t="str">
        <ns0:f>IF(A935=0,"",IF(F935&lt;&gt;"OK",F935,IF(J935&gt;0,"CHECK overlapping entry",IF(AND($B$6=0,G935&lt;=0,Bookings!G935&lt;&gt;"Cancelled"),"CHECK no working days",IF(Bookings!G935="Cancelled","Cancelled","OK")))))</ns0:f>
        <ns0:v/>
      </ns0:c>
      <ns0:c r="L935" s="0">
        <ns0:f>IF(LEFT(K935,5)="CHECK",1,0)</ns0:f>
        <ns0:v>0</ns0:v>
      </ns0:c>
      <ns0:c r="M935" s="0">
        <ns0:f>IF(AND(L935=1,OR(C935=0,IFERROR(INDEX($X$11:$X$60,C935),0)=0)),1,0)</ns0:f>
        <ns0:v>0</ns0:v>
      </ns0:c>
      <ns0:c r="N935" s="0">
        <ns0:f>IF(OR(A935=0,L935&gt;0,$B$6&gt;0,Bookings!G935="Cancelled"),0,G935)</ns0:f>
        <ns0:v>0</ns0:v>
      </ns0:c>
      <ns0:c r="O935" s="0">
        <ns0:f>IF(AND(Bookings!G935="Approved",E935="Yes"),N935,0)</ns0:f>
        <ns0:v>0</ns0:v>
      </ns0:c>
      <ns0:c r="P935" s="0">
        <ns0:f>IF(AND(Bookings!G935="Approved",E935="Yes",L935=0,$B$6=0),H935,0)</ns0:f>
        <ns0:v>0</ns0:v>
      </ns0:c>
      <ns0:c r="Q935" s="0">
        <ns0:f>IF(AND(Bookings!G935="Approved",E935="Yes",L935=0,$B$6=0),I935,0)</ns0:f>
        <ns0:v>0</ns0:v>
      </ns0:c>
      <ns0:c r="R935" s="0">
        <ns0:f>IF(AND(Bookings!G935="Pending",E935="Yes"),N935,0)</ns0:f>
        <ns0:v>0</ns0:v>
      </ns0:c>
      <ns0:c r="S935" s="0">
        <ns0:f>IF(AND(Bookings!G935="Approved",E935="No"),N935,0)</ns0:f>
        <ns0:v>0</ns0:v>
      </ns0:c>
      <ns0:c r="T935" s="0">
        <ns0:f>IFERROR(MATCH(D935,Settings!$G$7:$G$11,0),0)</ns0:f>
        <ns0:v>0</ns0:v>
      </ns0:c>
      <ns0:c r="U935" s="0">
        <ns0:f>IF(N935&gt;0,T935+IF(Bookings!G935="Pending",10,0),0)</ns0:f>
        <ns0:v>0</ns0:v>
      </ns0:c>
      <ns0:c r="V935" s="0">
        <ns0:f>U935</ns0:f>
        <ns0:v>0</ns0:v>
      </ns0:c>
      <ns0:c r="W935" s="0" t="str">
        <ns0:f>IF(C935=0,"",INDEX($AP$11:$AP$60,C935))</ns0:f>
        <ns0:v/>
      </ns0:c>
    </ns0:row>
    <ns0:row r="936">
      <ns0:c r="A936" s="0">
        <ns0:f>IF(COUNTA(Bookings!A936:G936,Bookings!I936)=0,0,1)</ns0:f>
        <ns0:v>0</ns0:v>
      </ns0:c>
      <ns0:c r="B936" s="0" t="str">
        <ns0:f>IFERROR(TRIM(MID(Bookings!A936,FIND(" · ",Bookings!A936)+3,99)),"")</ns0:f>
        <ns0:v/>
      </ns0:c>
      <ns0:c r="C936" s="0">
        <ns0:f>IF(OR(B936="",LEN(B936)&gt;24,ISNUMBER(FIND(" ",B936)),ISNUMBER(FIND("*",B936)),ISNUMBER(FIND("?",B936)),ISNUMBER(FIND("~",B936))),0,IFERROR(MATCH(B936,Team!$A$11:$A$60,0),0))</ns0:f>
        <ns0:v>0</ns0:v>
      </ns0:c>
      <ns0:c r="D936" s="0" t="str">
        <ns0:f>IFERROR(IF(MID(Bookings!F936,LEN(Bookings!F936)-3,3)=" · ",RIGHT(Bookings!F936,1),""),"")</ns0:f>
        <ns0:v/>
      </ns0:c>
      <ns0:c r="E936" s="0" t="str">
        <ns0:f>IFERROR(INDEX(Settings!$H$7:$H$11,MATCH(D936,Settings!$G$7:$G$11,0)),"")</ns0:f>
        <ns0:v/>
      </ns0:c>
      <ns0:c r="F936" s="0" t="str">
        <ns0:f>IF(A936=0,"",IFERROR(IF(OR(B936="",C936=0),"CHECK employee selection",IF(INDEX(Team!$O$11:$O$60,C936)&lt;&gt;"OK","CHECK employee setup",IF(OR('_Dates'!J936=0,'_Dates'!T936=0),"CHECK date: use DD.MM.YYYY",IF('_Dates'!T936&lt;'_Dates'!J936,"CHECK end before start",IF(AND($B$6=0,OR('_Dates'!J936&lt;Settings!$B$7,'_Dates'!T936&gt;Settings!$B$8)),"CHECK split across leave years",IF(OR(NOT(OR('_Dates'!U936="Full day",'_Dates'!U936="AM",'_Dates'!U936="PM")),NOT(OR('_Dates'!V936="Full day",'_Dates'!V936="AM",'_Dates'!V936="PM"))),"CHECK Full day / AM / PM",IF(AND('_Dates'!J936='_Dates'!T936,'_Dates'!U936&lt;&gt;"Full day",'_Dates'!V936&lt;&gt;"Full day",'_Dates'!U936&lt;&gt;'_Dates'!V936),"CHECK same-day portions disagree",IF(AND($B$6=0,OR(AND('_Dates'!U936&lt;&gt;"Full day",'_Dates'!AA936=0),AND('_Dates'!V936&lt;&gt;"Full day",'_Dates'!AB936=0))),"CHECK half-day on non-working date",IF(COUNTIF(Settings!$G$7:$G$11,D936)&lt;&gt;1,"CHECK leave type",IF(AND(Bookings!G936&lt;&gt;"Approved",Bookings!G936&lt;&gt;"Pending",Bookings!G936&lt;&gt;"Cancelled"),"CHECK status","OK")))))))))),"CHECK input"))</ns0:f>
        <ns0:v/>
      </ns0:c>
      <ns0:c r="G936" s="0">
        <ns0:f>IF(OR(F936&lt;&gt;"OK",$B$6&gt;0),0,0.5*(IF(('_Dates'!X936)&lt;('_Dates'!W936),0,INT((('_Dates'!X936)-('_Dates'!W936)+1)/7)*LEN(SUBSTITUTE(W936,"O",""))+LEN(SUBSTITUTE(MID(W936&amp;W936,WEEKDAY(('_Dates'!W936),2),MOD((('_Dates'!X936)-('_Dates'!W936)+1),7)),"O",""))-COUNTIFS(INDEX(AllClosureRows,C936,0),"&gt;="&amp;('_Dates'!W936),INDEX(AllClosureRows,C936,0),"&lt;="&amp;('_Dates'!X936)))+IF(('_Dates'!Z936)&lt;('_Dates'!Y936),0,INT((('_Dates'!Z936)-('_Dates'!Y936)+1)/7)*LEN(SUBSTITUTE(W936,"O",""))+LEN(SUBSTITUTE(MID(W936&amp;W936,WEEKDAY(('_Dates'!Y936),2),MOD((('_Dates'!Z936)-('_Dates'!Y936)+1),7)),"O",""))-COUNTIFS(INDEX(AllClosureRows,C936,0),"&gt;="&amp;('_Dates'!Y936),INDEX(AllClosureRows,C936,0),"&lt;="&amp;('_Dates'!Z936)))))</ns0:f>
        <ns0:v>0</ns0:v>
      </ns0:c>
      <ns0:c r="H936" s="0">
        <ns0:f>IF(OR(F936&lt;&gt;"OK",$B$6&gt;0),0,0.5*(IF((MIN('_Dates'!X936,Settings!$B$9))&lt;('_Dates'!W936),0,INT(((MIN('_Dates'!X936,Settings!$B$9))-('_Dates'!W936)+1)/7)*LEN(SUBSTITUTE(W936,"O",""))+LEN(SUBSTITUTE(MID(W936&amp;W936,WEEKDAY(('_Dates'!W936),2),MOD(((MIN('_Dates'!X936,Settings!$B$9))-('_Dates'!W936)+1),7)),"O",""))-COUNTIFS(INDEX(AllClosureRows,C936,0),"&gt;="&amp;('_Dates'!W936),INDEX(AllClosureRows,C936,0),"&lt;="&amp;(MIN('_Dates'!X936,Settings!$B$9))))+IF((MIN('_Dates'!Z936,Settings!$B$9))&lt;('_Dates'!Y936),0,INT(((MIN('_Dates'!Z936,Settings!$B$9))-('_Dates'!Y936)+1)/7)*LEN(SUBSTITUTE(W936,"O",""))+LEN(SUBSTITUTE(MID(W936&amp;W936,WEEKDAY(('_Dates'!Y936),2),MOD(((MIN('_Dates'!Z936,Settings!$B$9))-('_Dates'!Y936)+1),7)),"O",""))-COUNTIFS(INDEX(AllClosureRows,C936,0),"&gt;="&amp;('_Dates'!Y936),INDEX(AllClosureRows,C936,0),"&lt;="&amp;(MIN('_Dates'!Z936,Settings!$B$9))))))</ns0:f>
        <ns0:v>0</ns0:v>
      </ns0:c>
      <ns0:c r="I936" s="0">
        <ns0:f>MAX(0,G936-H936)</ns0:f>
        <ns0:v>0</ns0:v>
      </ns0:c>
      <ns0:c r="J936" s="0">
        <ns0:f>IF(OR(A936=0,F936&lt;&gt;"OK",Bookings!G936="Cancelled",$B$6&gt;0),0,IF('_Dates'!AC936=1,MAX(0,COUNTIFS(rngEngine_B,B936,rngAMStart,"&lt;="&amp;'_Dates'!X936,rngAMEnd,"&gt;="&amp;'_Dates'!W936,rngAMActive,1,rngEngine_F,"OK",rngBookings_F,"&lt;&gt;Cancelled")-1),0)+IF('_Dates'!AD936=1,MAX(0,COUNTIFS(rngEngine_B,B936,rngPMStart,"&lt;="&amp;'_Dates'!Z936,rngPMEnd,"&gt;="&amp;'_Dates'!Y936,rngPMActive,1,rngEngine_F,"OK",rngBookings_F,"&lt;&gt;Cancelled")-1),0))</ns0:f>
        <ns0:v>0</ns0:v>
      </ns0:c>
      <ns0:c r="K936" s="0" t="str">
        <ns0:f>IF(A936=0,"",IF(F936&lt;&gt;"OK",F936,IF(J936&gt;0,"CHECK overlapping entry",IF(AND($B$6=0,G936&lt;=0,Bookings!G936&lt;&gt;"Cancelled"),"CHECK no working days",IF(Bookings!G936="Cancelled","Cancelled","OK")))))</ns0:f>
        <ns0:v/>
      </ns0:c>
      <ns0:c r="L936" s="0">
        <ns0:f>IF(LEFT(K936,5)="CHECK",1,0)</ns0:f>
        <ns0:v>0</ns0:v>
      </ns0:c>
      <ns0:c r="M936" s="0">
        <ns0:f>IF(AND(L936=1,OR(C936=0,IFERROR(INDEX($X$11:$X$60,C936),0)=0)),1,0)</ns0:f>
        <ns0:v>0</ns0:v>
      </ns0:c>
      <ns0:c r="N936" s="0">
        <ns0:f>IF(OR(A936=0,L936&gt;0,$B$6&gt;0,Bookings!G936="Cancelled"),0,G936)</ns0:f>
        <ns0:v>0</ns0:v>
      </ns0:c>
      <ns0:c r="O936" s="0">
        <ns0:f>IF(AND(Bookings!G936="Approved",E936="Yes"),N936,0)</ns0:f>
        <ns0:v>0</ns0:v>
      </ns0:c>
      <ns0:c r="P936" s="0">
        <ns0:f>IF(AND(Bookings!G936="Approved",E936="Yes",L936=0,$B$6=0),H936,0)</ns0:f>
        <ns0:v>0</ns0:v>
      </ns0:c>
      <ns0:c r="Q936" s="0">
        <ns0:f>IF(AND(Bookings!G936="Approved",E936="Yes",L936=0,$B$6=0),I936,0)</ns0:f>
        <ns0:v>0</ns0:v>
      </ns0:c>
      <ns0:c r="R936" s="0">
        <ns0:f>IF(AND(Bookings!G936="Pending",E936="Yes"),N936,0)</ns0:f>
        <ns0:v>0</ns0:v>
      </ns0:c>
      <ns0:c r="S936" s="0">
        <ns0:f>IF(AND(Bookings!G936="Approved",E936="No"),N936,0)</ns0:f>
        <ns0:v>0</ns0:v>
      </ns0:c>
      <ns0:c r="T936" s="0">
        <ns0:f>IFERROR(MATCH(D936,Settings!$G$7:$G$11,0),0)</ns0:f>
        <ns0:v>0</ns0:v>
      </ns0:c>
      <ns0:c r="U936" s="0">
        <ns0:f>IF(N936&gt;0,T936+IF(Bookings!G936="Pending",10,0),0)</ns0:f>
        <ns0:v>0</ns0:v>
      </ns0:c>
      <ns0:c r="V936" s="0">
        <ns0:f>U936</ns0:f>
        <ns0:v>0</ns0:v>
      </ns0:c>
      <ns0:c r="W936" s="0" t="str">
        <ns0:f>IF(C936=0,"",INDEX($AP$11:$AP$60,C936))</ns0:f>
        <ns0:v/>
      </ns0:c>
    </ns0:row>
    <ns0:row r="937">
      <ns0:c r="A937" s="0">
        <ns0:f>IF(COUNTA(Bookings!A937:G937,Bookings!I937)=0,0,1)</ns0:f>
        <ns0:v>0</ns0:v>
      </ns0:c>
      <ns0:c r="B937" s="0" t="str">
        <ns0:f>IFERROR(TRIM(MID(Bookings!A937,FIND(" · ",Bookings!A937)+3,99)),"")</ns0:f>
        <ns0:v/>
      </ns0:c>
      <ns0:c r="C937" s="0">
        <ns0:f>IF(OR(B937="",LEN(B937)&gt;24,ISNUMBER(FIND(" ",B937)),ISNUMBER(FIND("*",B937)),ISNUMBER(FIND("?",B937)),ISNUMBER(FIND("~",B937))),0,IFERROR(MATCH(B937,Team!$A$11:$A$60,0),0))</ns0:f>
        <ns0:v>0</ns0:v>
      </ns0:c>
      <ns0:c r="D937" s="0" t="str">
        <ns0:f>IFERROR(IF(MID(Bookings!F937,LEN(Bookings!F937)-3,3)=" · ",RIGHT(Bookings!F937,1),""),"")</ns0:f>
        <ns0:v/>
      </ns0:c>
      <ns0:c r="E937" s="0" t="str">
        <ns0:f>IFERROR(INDEX(Settings!$H$7:$H$11,MATCH(D937,Settings!$G$7:$G$11,0)),"")</ns0:f>
        <ns0:v/>
      </ns0:c>
      <ns0:c r="F937" s="0" t="str">
        <ns0:f>IF(A937=0,"",IFERROR(IF(OR(B937="",C937=0),"CHECK employee selection",IF(INDEX(Team!$O$11:$O$60,C937)&lt;&gt;"OK","CHECK employee setup",IF(OR('_Dates'!J937=0,'_Dates'!T937=0),"CHECK date: use DD.MM.YYYY",IF('_Dates'!T937&lt;'_Dates'!J937,"CHECK end before start",IF(AND($B$6=0,OR('_Dates'!J937&lt;Settings!$B$7,'_Dates'!T937&gt;Settings!$B$8)),"CHECK split across leave years",IF(OR(NOT(OR('_Dates'!U937="Full day",'_Dates'!U937="AM",'_Dates'!U937="PM")),NOT(OR('_Dates'!V937="Full day",'_Dates'!V937="AM",'_Dates'!V937="PM"))),"CHECK Full day / AM / PM",IF(AND('_Dates'!J937='_Dates'!T937,'_Dates'!U937&lt;&gt;"Full day",'_Dates'!V937&lt;&gt;"Full day",'_Dates'!U937&lt;&gt;'_Dates'!V937),"CHECK same-day portions disagree",IF(AND($B$6=0,OR(AND('_Dates'!U937&lt;&gt;"Full day",'_Dates'!AA937=0),AND('_Dates'!V937&lt;&gt;"Full day",'_Dates'!AB937=0))),"CHECK half-day on non-working date",IF(COUNTIF(Settings!$G$7:$G$11,D937)&lt;&gt;1,"CHECK leave type",IF(AND(Bookings!G937&lt;&gt;"Approved",Bookings!G937&lt;&gt;"Pending",Bookings!G937&lt;&gt;"Cancelled"),"CHECK status","OK")))))))))),"CHECK input"))</ns0:f>
        <ns0:v/>
      </ns0:c>
      <ns0:c r="G937" s="0">
        <ns0:f>IF(OR(F937&lt;&gt;"OK",$B$6&gt;0),0,0.5*(IF(('_Dates'!X937)&lt;('_Dates'!W937),0,INT((('_Dates'!X937)-('_Dates'!W937)+1)/7)*LEN(SUBSTITUTE(W937,"O",""))+LEN(SUBSTITUTE(MID(W937&amp;W937,WEEKDAY(('_Dates'!W937),2),MOD((('_Dates'!X937)-('_Dates'!W937)+1),7)),"O",""))-COUNTIFS(INDEX(AllClosureRows,C937,0),"&gt;="&amp;('_Dates'!W937),INDEX(AllClosureRows,C937,0),"&lt;="&amp;('_Dates'!X937)))+IF(('_Dates'!Z937)&lt;('_Dates'!Y937),0,INT((('_Dates'!Z937)-('_Dates'!Y937)+1)/7)*LEN(SUBSTITUTE(W937,"O",""))+LEN(SUBSTITUTE(MID(W937&amp;W937,WEEKDAY(('_Dates'!Y937),2),MOD((('_Dates'!Z937)-('_Dates'!Y937)+1),7)),"O",""))-COUNTIFS(INDEX(AllClosureRows,C937,0),"&gt;="&amp;('_Dates'!Y937),INDEX(AllClosureRows,C937,0),"&lt;="&amp;('_Dates'!Z937)))))</ns0:f>
        <ns0:v>0</ns0:v>
      </ns0:c>
      <ns0:c r="H937" s="0">
        <ns0:f>IF(OR(F937&lt;&gt;"OK",$B$6&gt;0),0,0.5*(IF((MIN('_Dates'!X937,Settings!$B$9))&lt;('_Dates'!W937),0,INT(((MIN('_Dates'!X937,Settings!$B$9))-('_Dates'!W937)+1)/7)*LEN(SUBSTITUTE(W937,"O",""))+LEN(SUBSTITUTE(MID(W937&amp;W937,WEEKDAY(('_Dates'!W937),2),MOD(((MIN('_Dates'!X937,Settings!$B$9))-('_Dates'!W937)+1),7)),"O",""))-COUNTIFS(INDEX(AllClosureRows,C937,0),"&gt;="&amp;('_Dates'!W937),INDEX(AllClosureRows,C937,0),"&lt;="&amp;(MIN('_Dates'!X937,Settings!$B$9))))+IF((MIN('_Dates'!Z937,Settings!$B$9))&lt;('_Dates'!Y937),0,INT(((MIN('_Dates'!Z937,Settings!$B$9))-('_Dates'!Y937)+1)/7)*LEN(SUBSTITUTE(W937,"O",""))+LEN(SUBSTITUTE(MID(W937&amp;W937,WEEKDAY(('_Dates'!Y937),2),MOD(((MIN('_Dates'!Z937,Settings!$B$9))-('_Dates'!Y937)+1),7)),"O",""))-COUNTIFS(INDEX(AllClosureRows,C937,0),"&gt;="&amp;('_Dates'!Y937),INDEX(AllClosureRows,C937,0),"&lt;="&amp;(MIN('_Dates'!Z937,Settings!$B$9))))))</ns0:f>
        <ns0:v>0</ns0:v>
      </ns0:c>
      <ns0:c r="I937" s="0">
        <ns0:f>MAX(0,G937-H937)</ns0:f>
        <ns0:v>0</ns0:v>
      </ns0:c>
      <ns0:c r="J937" s="0">
        <ns0:f>IF(OR(A937=0,F937&lt;&gt;"OK",Bookings!G937="Cancelled",$B$6&gt;0),0,IF('_Dates'!AC937=1,MAX(0,COUNTIFS(rngEngine_B,B937,rngAMStart,"&lt;="&amp;'_Dates'!X937,rngAMEnd,"&gt;="&amp;'_Dates'!W937,rngAMActive,1,rngEngine_F,"OK",rngBookings_F,"&lt;&gt;Cancelled")-1),0)+IF('_Dates'!AD937=1,MAX(0,COUNTIFS(rngEngine_B,B937,rngPMStart,"&lt;="&amp;'_Dates'!Z937,rngPMEnd,"&gt;="&amp;'_Dates'!Y937,rngPMActive,1,rngEngine_F,"OK",rngBookings_F,"&lt;&gt;Cancelled")-1),0))</ns0:f>
        <ns0:v>0</ns0:v>
      </ns0:c>
      <ns0:c r="K937" s="0" t="str">
        <ns0:f>IF(A937=0,"",IF(F937&lt;&gt;"OK",F937,IF(J937&gt;0,"CHECK overlapping entry",IF(AND($B$6=0,G937&lt;=0,Bookings!G937&lt;&gt;"Cancelled"),"CHECK no working days",IF(Bookings!G937="Cancelled","Cancelled","OK")))))</ns0:f>
        <ns0:v/>
      </ns0:c>
      <ns0:c r="L937" s="0">
        <ns0:f>IF(LEFT(K937,5)="CHECK",1,0)</ns0:f>
        <ns0:v>0</ns0:v>
      </ns0:c>
      <ns0:c r="M937" s="0">
        <ns0:f>IF(AND(L937=1,OR(C937=0,IFERROR(INDEX($X$11:$X$60,C937),0)=0)),1,0)</ns0:f>
        <ns0:v>0</ns0:v>
      </ns0:c>
      <ns0:c r="N937" s="0">
        <ns0:f>IF(OR(A937=0,L937&gt;0,$B$6&gt;0,Bookings!G937="Cancelled"),0,G937)</ns0:f>
        <ns0:v>0</ns0:v>
      </ns0:c>
      <ns0:c r="O937" s="0">
        <ns0:f>IF(AND(Bookings!G937="Approved",E937="Yes"),N937,0)</ns0:f>
        <ns0:v>0</ns0:v>
      </ns0:c>
      <ns0:c r="P937" s="0">
        <ns0:f>IF(AND(Bookings!G937="Approved",E937="Yes",L937=0,$B$6=0),H937,0)</ns0:f>
        <ns0:v>0</ns0:v>
      </ns0:c>
      <ns0:c r="Q937" s="0">
        <ns0:f>IF(AND(Bookings!G937="Approved",E937="Yes",L937=0,$B$6=0),I937,0)</ns0:f>
        <ns0:v>0</ns0:v>
      </ns0:c>
      <ns0:c r="R937" s="0">
        <ns0:f>IF(AND(Bookings!G937="Pending",E937="Yes"),N937,0)</ns0:f>
        <ns0:v>0</ns0:v>
      </ns0:c>
      <ns0:c r="S937" s="0">
        <ns0:f>IF(AND(Bookings!G937="Approved",E937="No"),N937,0)</ns0:f>
        <ns0:v>0</ns0:v>
      </ns0:c>
      <ns0:c r="T937" s="0">
        <ns0:f>IFERROR(MATCH(D937,Settings!$G$7:$G$11,0),0)</ns0:f>
        <ns0:v>0</ns0:v>
      </ns0:c>
      <ns0:c r="U937" s="0">
        <ns0:f>IF(N937&gt;0,T937+IF(Bookings!G937="Pending",10,0),0)</ns0:f>
        <ns0:v>0</ns0:v>
      </ns0:c>
      <ns0:c r="V937" s="0">
        <ns0:f>U937</ns0:f>
        <ns0:v>0</ns0:v>
      </ns0:c>
      <ns0:c r="W937" s="0" t="str">
        <ns0:f>IF(C937=0,"",INDEX($AP$11:$AP$60,C937))</ns0:f>
        <ns0:v/>
      </ns0:c>
    </ns0:row>
    <ns0:row r="938">
      <ns0:c r="A938" s="0">
        <ns0:f>IF(COUNTA(Bookings!A938:G938,Bookings!I938)=0,0,1)</ns0:f>
        <ns0:v>0</ns0:v>
      </ns0:c>
      <ns0:c r="B938" s="0" t="str">
        <ns0:f>IFERROR(TRIM(MID(Bookings!A938,FIND(" · ",Bookings!A938)+3,99)),"")</ns0:f>
        <ns0:v/>
      </ns0:c>
      <ns0:c r="C938" s="0">
        <ns0:f>IF(OR(B938="",LEN(B938)&gt;24,ISNUMBER(FIND(" ",B938)),ISNUMBER(FIND("*",B938)),ISNUMBER(FIND("?",B938)),ISNUMBER(FIND("~",B938))),0,IFERROR(MATCH(B938,Team!$A$11:$A$60,0),0))</ns0:f>
        <ns0:v>0</ns0:v>
      </ns0:c>
      <ns0:c r="D938" s="0" t="str">
        <ns0:f>IFERROR(IF(MID(Bookings!F938,LEN(Bookings!F938)-3,3)=" · ",RIGHT(Bookings!F938,1),""),"")</ns0:f>
        <ns0:v/>
      </ns0:c>
      <ns0:c r="E938" s="0" t="str">
        <ns0:f>IFERROR(INDEX(Settings!$H$7:$H$11,MATCH(D938,Settings!$G$7:$G$11,0)),"")</ns0:f>
        <ns0:v/>
      </ns0:c>
      <ns0:c r="F938" s="0" t="str">
        <ns0:f>IF(A938=0,"",IFERROR(IF(OR(B938="",C938=0),"CHECK employee selection",IF(INDEX(Team!$O$11:$O$60,C938)&lt;&gt;"OK","CHECK employee setup",IF(OR('_Dates'!J938=0,'_Dates'!T938=0),"CHECK date: use DD.MM.YYYY",IF('_Dates'!T938&lt;'_Dates'!J938,"CHECK end before start",IF(AND($B$6=0,OR('_Dates'!J938&lt;Settings!$B$7,'_Dates'!T938&gt;Settings!$B$8)),"CHECK split across leave years",IF(OR(NOT(OR('_Dates'!U938="Full day",'_Dates'!U938="AM",'_Dates'!U938="PM")),NOT(OR('_Dates'!V938="Full day",'_Dates'!V938="AM",'_Dates'!V938="PM"))),"CHECK Full day / AM / PM",IF(AND('_Dates'!J938='_Dates'!T938,'_Dates'!U938&lt;&gt;"Full day",'_Dates'!V938&lt;&gt;"Full day",'_Dates'!U938&lt;&gt;'_Dates'!V938),"CHECK same-day portions disagree",IF(AND($B$6=0,OR(AND('_Dates'!U938&lt;&gt;"Full day",'_Dates'!AA938=0),AND('_Dates'!V938&lt;&gt;"Full day",'_Dates'!AB938=0))),"CHECK half-day on non-working date",IF(COUNTIF(Settings!$G$7:$G$11,D938)&lt;&gt;1,"CHECK leave type",IF(AND(Bookings!G938&lt;&gt;"Approved",Bookings!G938&lt;&gt;"Pending",Bookings!G938&lt;&gt;"Cancelled"),"CHECK status","OK")))))))))),"CHECK input"))</ns0:f>
        <ns0:v/>
      </ns0:c>
      <ns0:c r="G938" s="0">
        <ns0:f>IF(OR(F938&lt;&gt;"OK",$B$6&gt;0),0,0.5*(IF(('_Dates'!X938)&lt;('_Dates'!W938),0,INT((('_Dates'!X938)-('_Dates'!W938)+1)/7)*LEN(SUBSTITUTE(W938,"O",""))+LEN(SUBSTITUTE(MID(W938&amp;W938,WEEKDAY(('_Dates'!W938),2),MOD((('_Dates'!X938)-('_Dates'!W938)+1),7)),"O",""))-COUNTIFS(INDEX(AllClosureRows,C938,0),"&gt;="&amp;('_Dates'!W938),INDEX(AllClosureRows,C938,0),"&lt;="&amp;('_Dates'!X938)))+IF(('_Dates'!Z938)&lt;('_Dates'!Y938),0,INT((('_Dates'!Z938)-('_Dates'!Y938)+1)/7)*LEN(SUBSTITUTE(W938,"O",""))+LEN(SUBSTITUTE(MID(W938&amp;W938,WEEKDAY(('_Dates'!Y938),2),MOD((('_Dates'!Z938)-('_Dates'!Y938)+1),7)),"O",""))-COUNTIFS(INDEX(AllClosureRows,C938,0),"&gt;="&amp;('_Dates'!Y938),INDEX(AllClosureRows,C938,0),"&lt;="&amp;('_Dates'!Z938)))))</ns0:f>
        <ns0:v>0</ns0:v>
      </ns0:c>
      <ns0:c r="H938" s="0">
        <ns0:f>IF(OR(F938&lt;&gt;"OK",$B$6&gt;0),0,0.5*(IF((MIN('_Dates'!X938,Settings!$B$9))&lt;('_Dates'!W938),0,INT(((MIN('_Dates'!X938,Settings!$B$9))-('_Dates'!W938)+1)/7)*LEN(SUBSTITUTE(W938,"O",""))+LEN(SUBSTITUTE(MID(W938&amp;W938,WEEKDAY(('_Dates'!W938),2),MOD(((MIN('_Dates'!X938,Settings!$B$9))-('_Dates'!W938)+1),7)),"O",""))-COUNTIFS(INDEX(AllClosureRows,C938,0),"&gt;="&amp;('_Dates'!W938),INDEX(AllClosureRows,C938,0),"&lt;="&amp;(MIN('_Dates'!X938,Settings!$B$9))))+IF((MIN('_Dates'!Z938,Settings!$B$9))&lt;('_Dates'!Y938),0,INT(((MIN('_Dates'!Z938,Settings!$B$9))-('_Dates'!Y938)+1)/7)*LEN(SUBSTITUTE(W938,"O",""))+LEN(SUBSTITUTE(MID(W938&amp;W938,WEEKDAY(('_Dates'!Y938),2),MOD(((MIN('_Dates'!Z938,Settings!$B$9))-('_Dates'!Y938)+1),7)),"O",""))-COUNTIFS(INDEX(AllClosureRows,C938,0),"&gt;="&amp;('_Dates'!Y938),INDEX(AllClosureRows,C938,0),"&lt;="&amp;(MIN('_Dates'!Z938,Settings!$B$9))))))</ns0:f>
        <ns0:v>0</ns0:v>
      </ns0:c>
      <ns0:c r="I938" s="0">
        <ns0:f>MAX(0,G938-H938)</ns0:f>
        <ns0:v>0</ns0:v>
      </ns0:c>
      <ns0:c r="J938" s="0">
        <ns0:f>IF(OR(A938=0,F938&lt;&gt;"OK",Bookings!G938="Cancelled",$B$6&gt;0),0,IF('_Dates'!AC938=1,MAX(0,COUNTIFS(rngEngine_B,B938,rngAMStart,"&lt;="&amp;'_Dates'!X938,rngAMEnd,"&gt;="&amp;'_Dates'!W938,rngAMActive,1,rngEngine_F,"OK",rngBookings_F,"&lt;&gt;Cancelled")-1),0)+IF('_Dates'!AD938=1,MAX(0,COUNTIFS(rngEngine_B,B938,rngPMStart,"&lt;="&amp;'_Dates'!Z938,rngPMEnd,"&gt;="&amp;'_Dates'!Y938,rngPMActive,1,rngEngine_F,"OK",rngBookings_F,"&lt;&gt;Cancelled")-1),0))</ns0:f>
        <ns0:v>0</ns0:v>
      </ns0:c>
      <ns0:c r="K938" s="0" t="str">
        <ns0:f>IF(A938=0,"",IF(F938&lt;&gt;"OK",F938,IF(J938&gt;0,"CHECK overlapping entry",IF(AND($B$6=0,G938&lt;=0,Bookings!G938&lt;&gt;"Cancelled"),"CHECK no working days",IF(Bookings!G938="Cancelled","Cancelled","OK")))))</ns0:f>
        <ns0:v/>
      </ns0:c>
      <ns0:c r="L938" s="0">
        <ns0:f>IF(LEFT(K938,5)="CHECK",1,0)</ns0:f>
        <ns0:v>0</ns0:v>
      </ns0:c>
      <ns0:c r="M938" s="0">
        <ns0:f>IF(AND(L938=1,OR(C938=0,IFERROR(INDEX($X$11:$X$60,C938),0)=0)),1,0)</ns0:f>
        <ns0:v>0</ns0:v>
      </ns0:c>
      <ns0:c r="N938" s="0">
        <ns0:f>IF(OR(A938=0,L938&gt;0,$B$6&gt;0,Bookings!G938="Cancelled"),0,G938)</ns0:f>
        <ns0:v>0</ns0:v>
      </ns0:c>
      <ns0:c r="O938" s="0">
        <ns0:f>IF(AND(Bookings!G938="Approved",E938="Yes"),N938,0)</ns0:f>
        <ns0:v>0</ns0:v>
      </ns0:c>
      <ns0:c r="P938" s="0">
        <ns0:f>IF(AND(Bookings!G938="Approved",E938="Yes",L938=0,$B$6=0),H938,0)</ns0:f>
        <ns0:v>0</ns0:v>
      </ns0:c>
      <ns0:c r="Q938" s="0">
        <ns0:f>IF(AND(Bookings!G938="Approved",E938="Yes",L938=0,$B$6=0),I938,0)</ns0:f>
        <ns0:v>0</ns0:v>
      </ns0:c>
      <ns0:c r="R938" s="0">
        <ns0:f>IF(AND(Bookings!G938="Pending",E938="Yes"),N938,0)</ns0:f>
        <ns0:v>0</ns0:v>
      </ns0:c>
      <ns0:c r="S938" s="0">
        <ns0:f>IF(AND(Bookings!G938="Approved",E938="No"),N938,0)</ns0:f>
        <ns0:v>0</ns0:v>
      </ns0:c>
      <ns0:c r="T938" s="0">
        <ns0:f>IFERROR(MATCH(D938,Settings!$G$7:$G$11,0),0)</ns0:f>
        <ns0:v>0</ns0:v>
      </ns0:c>
      <ns0:c r="U938" s="0">
        <ns0:f>IF(N938&gt;0,T938+IF(Bookings!G938="Pending",10,0),0)</ns0:f>
        <ns0:v>0</ns0:v>
      </ns0:c>
      <ns0:c r="V938" s="0">
        <ns0:f>U938</ns0:f>
        <ns0:v>0</ns0:v>
      </ns0:c>
      <ns0:c r="W938" s="0" t="str">
        <ns0:f>IF(C938=0,"",INDEX($AP$11:$AP$60,C938))</ns0:f>
        <ns0:v/>
      </ns0:c>
    </ns0:row>
    <ns0:row r="939">
      <ns0:c r="A939" s="0">
        <ns0:f>IF(COUNTA(Bookings!A939:G939,Bookings!I939)=0,0,1)</ns0:f>
        <ns0:v>0</ns0:v>
      </ns0:c>
      <ns0:c r="B939" s="0" t="str">
        <ns0:f>IFERROR(TRIM(MID(Bookings!A939,FIND(" · ",Bookings!A939)+3,99)),"")</ns0:f>
        <ns0:v/>
      </ns0:c>
      <ns0:c r="C939" s="0">
        <ns0:f>IF(OR(B939="",LEN(B939)&gt;24,ISNUMBER(FIND(" ",B939)),ISNUMBER(FIND("*",B939)),ISNUMBER(FIND("?",B939)),ISNUMBER(FIND("~",B939))),0,IFERROR(MATCH(B939,Team!$A$11:$A$60,0),0))</ns0:f>
        <ns0:v>0</ns0:v>
      </ns0:c>
      <ns0:c r="D939" s="0" t="str">
        <ns0:f>IFERROR(IF(MID(Bookings!F939,LEN(Bookings!F939)-3,3)=" · ",RIGHT(Bookings!F939,1),""),"")</ns0:f>
        <ns0:v/>
      </ns0:c>
      <ns0:c r="E939" s="0" t="str">
        <ns0:f>IFERROR(INDEX(Settings!$H$7:$H$11,MATCH(D939,Settings!$G$7:$G$11,0)),"")</ns0:f>
        <ns0:v/>
      </ns0:c>
      <ns0:c r="F939" s="0" t="str">
        <ns0:f>IF(A939=0,"",IFERROR(IF(OR(B939="",C939=0),"CHECK employee selection",IF(INDEX(Team!$O$11:$O$60,C939)&lt;&gt;"OK","CHECK employee setup",IF(OR('_Dates'!J939=0,'_Dates'!T939=0),"CHECK date: use DD.MM.YYYY",IF('_Dates'!T939&lt;'_Dates'!J939,"CHECK end before start",IF(AND($B$6=0,OR('_Dates'!J939&lt;Settings!$B$7,'_Dates'!T939&gt;Settings!$B$8)),"CHECK split across leave years",IF(OR(NOT(OR('_Dates'!U939="Full day",'_Dates'!U939="AM",'_Dates'!U939="PM")),NOT(OR('_Dates'!V939="Full day",'_Dates'!V939="AM",'_Dates'!V939="PM"))),"CHECK Full day / AM / PM",IF(AND('_Dates'!J939='_Dates'!T939,'_Dates'!U939&lt;&gt;"Full day",'_Dates'!V939&lt;&gt;"Full day",'_Dates'!U939&lt;&gt;'_Dates'!V939),"CHECK same-day portions disagree",IF(AND($B$6=0,OR(AND('_Dates'!U939&lt;&gt;"Full day",'_Dates'!AA939=0),AND('_Dates'!V939&lt;&gt;"Full day",'_Dates'!AB939=0))),"CHECK half-day on non-working date",IF(COUNTIF(Settings!$G$7:$G$11,D939)&lt;&gt;1,"CHECK leave type",IF(AND(Bookings!G939&lt;&gt;"Approved",Bookings!G939&lt;&gt;"Pending",Bookings!G939&lt;&gt;"Cancelled"),"CHECK status","OK")))))))))),"CHECK input"))</ns0:f>
        <ns0:v/>
      </ns0:c>
      <ns0:c r="G939" s="0">
        <ns0:f>IF(OR(F939&lt;&gt;"OK",$B$6&gt;0),0,0.5*(IF(('_Dates'!X939)&lt;('_Dates'!W939),0,INT((('_Dates'!X939)-('_Dates'!W939)+1)/7)*LEN(SUBSTITUTE(W939,"O",""))+LEN(SUBSTITUTE(MID(W939&amp;W939,WEEKDAY(('_Dates'!W939),2),MOD((('_Dates'!X939)-('_Dates'!W939)+1),7)),"O",""))-COUNTIFS(INDEX(AllClosureRows,C939,0),"&gt;="&amp;('_Dates'!W939),INDEX(AllClosureRows,C939,0),"&lt;="&amp;('_Dates'!X939)))+IF(('_Dates'!Z939)&lt;('_Dates'!Y939),0,INT((('_Dates'!Z939)-('_Dates'!Y939)+1)/7)*LEN(SUBSTITUTE(W939,"O",""))+LEN(SUBSTITUTE(MID(W939&amp;W939,WEEKDAY(('_Dates'!Y939),2),MOD((('_Dates'!Z939)-('_Dates'!Y939)+1),7)),"O",""))-COUNTIFS(INDEX(AllClosureRows,C939,0),"&gt;="&amp;('_Dates'!Y939),INDEX(AllClosureRows,C939,0),"&lt;="&amp;('_Dates'!Z939)))))</ns0:f>
        <ns0:v>0</ns0:v>
      </ns0:c>
      <ns0:c r="H939" s="0">
        <ns0:f>IF(OR(F939&lt;&gt;"OK",$B$6&gt;0),0,0.5*(IF((MIN('_Dates'!X939,Settings!$B$9))&lt;('_Dates'!W939),0,INT(((MIN('_Dates'!X939,Settings!$B$9))-('_Dates'!W939)+1)/7)*LEN(SUBSTITUTE(W939,"O",""))+LEN(SUBSTITUTE(MID(W939&amp;W939,WEEKDAY(('_Dates'!W939),2),MOD(((MIN('_Dates'!X939,Settings!$B$9))-('_Dates'!W939)+1),7)),"O",""))-COUNTIFS(INDEX(AllClosureRows,C939,0),"&gt;="&amp;('_Dates'!W939),INDEX(AllClosureRows,C939,0),"&lt;="&amp;(MIN('_Dates'!X939,Settings!$B$9))))+IF((MIN('_Dates'!Z939,Settings!$B$9))&lt;('_Dates'!Y939),0,INT(((MIN('_Dates'!Z939,Settings!$B$9))-('_Dates'!Y939)+1)/7)*LEN(SUBSTITUTE(W939,"O",""))+LEN(SUBSTITUTE(MID(W939&amp;W939,WEEKDAY(('_Dates'!Y939),2),MOD(((MIN('_Dates'!Z939,Settings!$B$9))-('_Dates'!Y939)+1),7)),"O",""))-COUNTIFS(INDEX(AllClosureRows,C939,0),"&gt;="&amp;('_Dates'!Y939),INDEX(AllClosureRows,C939,0),"&lt;="&amp;(MIN('_Dates'!Z939,Settings!$B$9))))))</ns0:f>
        <ns0:v>0</ns0:v>
      </ns0:c>
      <ns0:c r="I939" s="0">
        <ns0:f>MAX(0,G939-H939)</ns0:f>
        <ns0:v>0</ns0:v>
      </ns0:c>
      <ns0:c r="J939" s="0">
        <ns0:f>IF(OR(A939=0,F939&lt;&gt;"OK",Bookings!G939="Cancelled",$B$6&gt;0),0,IF('_Dates'!AC939=1,MAX(0,COUNTIFS(rngEngine_B,B939,rngAMStart,"&lt;="&amp;'_Dates'!X939,rngAMEnd,"&gt;="&amp;'_Dates'!W939,rngAMActive,1,rngEngine_F,"OK",rngBookings_F,"&lt;&gt;Cancelled")-1),0)+IF('_Dates'!AD939=1,MAX(0,COUNTIFS(rngEngine_B,B939,rngPMStart,"&lt;="&amp;'_Dates'!Z939,rngPMEnd,"&gt;="&amp;'_Dates'!Y939,rngPMActive,1,rngEngine_F,"OK",rngBookings_F,"&lt;&gt;Cancelled")-1),0))</ns0:f>
        <ns0:v>0</ns0:v>
      </ns0:c>
      <ns0:c r="K939" s="0" t="str">
        <ns0:f>IF(A939=0,"",IF(F939&lt;&gt;"OK",F939,IF(J939&gt;0,"CHECK overlapping entry",IF(AND($B$6=0,G939&lt;=0,Bookings!G939&lt;&gt;"Cancelled"),"CHECK no working days",IF(Bookings!G939="Cancelled","Cancelled","OK")))))</ns0:f>
        <ns0:v/>
      </ns0:c>
      <ns0:c r="L939" s="0">
        <ns0:f>IF(LEFT(K939,5)="CHECK",1,0)</ns0:f>
        <ns0:v>0</ns0:v>
      </ns0:c>
      <ns0:c r="M939" s="0">
        <ns0:f>IF(AND(L939=1,OR(C939=0,IFERROR(INDEX($X$11:$X$60,C939),0)=0)),1,0)</ns0:f>
        <ns0:v>0</ns0:v>
      </ns0:c>
      <ns0:c r="N939" s="0">
        <ns0:f>IF(OR(A939=0,L939&gt;0,$B$6&gt;0,Bookings!G939="Cancelled"),0,G939)</ns0:f>
        <ns0:v>0</ns0:v>
      </ns0:c>
      <ns0:c r="O939" s="0">
        <ns0:f>IF(AND(Bookings!G939="Approved",E939="Yes"),N939,0)</ns0:f>
        <ns0:v>0</ns0:v>
      </ns0:c>
      <ns0:c r="P939" s="0">
        <ns0:f>IF(AND(Bookings!G939="Approved",E939="Yes",L939=0,$B$6=0),H939,0)</ns0:f>
        <ns0:v>0</ns0:v>
      </ns0:c>
      <ns0:c r="Q939" s="0">
        <ns0:f>IF(AND(Bookings!G939="Approved",E939="Yes",L939=0,$B$6=0),I939,0)</ns0:f>
        <ns0:v>0</ns0:v>
      </ns0:c>
      <ns0:c r="R939" s="0">
        <ns0:f>IF(AND(Bookings!G939="Pending",E939="Yes"),N939,0)</ns0:f>
        <ns0:v>0</ns0:v>
      </ns0:c>
      <ns0:c r="S939" s="0">
        <ns0:f>IF(AND(Bookings!G939="Approved",E939="No"),N939,0)</ns0:f>
        <ns0:v>0</ns0:v>
      </ns0:c>
      <ns0:c r="T939" s="0">
        <ns0:f>IFERROR(MATCH(D939,Settings!$G$7:$G$11,0),0)</ns0:f>
        <ns0:v>0</ns0:v>
      </ns0:c>
      <ns0:c r="U939" s="0">
        <ns0:f>IF(N939&gt;0,T939+IF(Bookings!G939="Pending",10,0),0)</ns0:f>
        <ns0:v>0</ns0:v>
      </ns0:c>
      <ns0:c r="V939" s="0">
        <ns0:f>U939</ns0:f>
        <ns0:v>0</ns0:v>
      </ns0:c>
      <ns0:c r="W939" s="0" t="str">
        <ns0:f>IF(C939=0,"",INDEX($AP$11:$AP$60,C939))</ns0:f>
        <ns0:v/>
      </ns0:c>
    </ns0:row>
    <ns0:row r="940">
      <ns0:c r="A940" s="0">
        <ns0:f>IF(COUNTA(Bookings!A940:G940,Bookings!I940)=0,0,1)</ns0:f>
        <ns0:v>0</ns0:v>
      </ns0:c>
      <ns0:c r="B940" s="0" t="str">
        <ns0:f>IFERROR(TRIM(MID(Bookings!A940,FIND(" · ",Bookings!A940)+3,99)),"")</ns0:f>
        <ns0:v/>
      </ns0:c>
      <ns0:c r="C940" s="0">
        <ns0:f>IF(OR(B940="",LEN(B940)&gt;24,ISNUMBER(FIND(" ",B940)),ISNUMBER(FIND("*",B940)),ISNUMBER(FIND("?",B940)),ISNUMBER(FIND("~",B940))),0,IFERROR(MATCH(B940,Team!$A$11:$A$60,0),0))</ns0:f>
        <ns0:v>0</ns0:v>
      </ns0:c>
      <ns0:c r="D940" s="0" t="str">
        <ns0:f>IFERROR(IF(MID(Bookings!F940,LEN(Bookings!F940)-3,3)=" · ",RIGHT(Bookings!F940,1),""),"")</ns0:f>
        <ns0:v/>
      </ns0:c>
      <ns0:c r="E940" s="0" t="str">
        <ns0:f>IFERROR(INDEX(Settings!$H$7:$H$11,MATCH(D940,Settings!$G$7:$G$11,0)),"")</ns0:f>
        <ns0:v/>
      </ns0:c>
      <ns0:c r="F940" s="0" t="str">
        <ns0:f>IF(A940=0,"",IFERROR(IF(OR(B940="",C940=0),"CHECK employee selection",IF(INDEX(Team!$O$11:$O$60,C940)&lt;&gt;"OK","CHECK employee setup",IF(OR('_Dates'!J940=0,'_Dates'!T940=0),"CHECK date: use DD.MM.YYYY",IF('_Dates'!T940&lt;'_Dates'!J940,"CHECK end before start",IF(AND($B$6=0,OR('_Dates'!J940&lt;Settings!$B$7,'_Dates'!T940&gt;Settings!$B$8)),"CHECK split across leave years",IF(OR(NOT(OR('_Dates'!U940="Full day",'_Dates'!U940="AM",'_Dates'!U940="PM")),NOT(OR('_Dates'!V940="Full day",'_Dates'!V940="AM",'_Dates'!V940="PM"))),"CHECK Full day / AM / PM",IF(AND('_Dates'!J940='_Dates'!T940,'_Dates'!U940&lt;&gt;"Full day",'_Dates'!V940&lt;&gt;"Full day",'_Dates'!U940&lt;&gt;'_Dates'!V940),"CHECK same-day portions disagree",IF(AND($B$6=0,OR(AND('_Dates'!U940&lt;&gt;"Full day",'_Dates'!AA940=0),AND('_Dates'!V940&lt;&gt;"Full day",'_Dates'!AB940=0))),"CHECK half-day on non-working date",IF(COUNTIF(Settings!$G$7:$G$11,D940)&lt;&gt;1,"CHECK leave type",IF(AND(Bookings!G940&lt;&gt;"Approved",Bookings!G940&lt;&gt;"Pending",Bookings!G940&lt;&gt;"Cancelled"),"CHECK status","OK")))))))))),"CHECK input"))</ns0:f>
        <ns0:v/>
      </ns0:c>
      <ns0:c r="G940" s="0">
        <ns0:f>IF(OR(F940&lt;&gt;"OK",$B$6&gt;0),0,0.5*(IF(('_Dates'!X940)&lt;('_Dates'!W940),0,INT((('_Dates'!X940)-('_Dates'!W940)+1)/7)*LEN(SUBSTITUTE(W940,"O",""))+LEN(SUBSTITUTE(MID(W940&amp;W940,WEEKDAY(('_Dates'!W940),2),MOD((('_Dates'!X940)-('_Dates'!W940)+1),7)),"O",""))-COUNTIFS(INDEX(AllClosureRows,C940,0),"&gt;="&amp;('_Dates'!W940),INDEX(AllClosureRows,C940,0),"&lt;="&amp;('_Dates'!X940)))+IF(('_Dates'!Z940)&lt;('_Dates'!Y940),0,INT((('_Dates'!Z940)-('_Dates'!Y940)+1)/7)*LEN(SUBSTITUTE(W940,"O",""))+LEN(SUBSTITUTE(MID(W940&amp;W940,WEEKDAY(('_Dates'!Y940),2),MOD((('_Dates'!Z940)-('_Dates'!Y940)+1),7)),"O",""))-COUNTIFS(INDEX(AllClosureRows,C940,0),"&gt;="&amp;('_Dates'!Y940),INDEX(AllClosureRows,C940,0),"&lt;="&amp;('_Dates'!Z940)))))</ns0:f>
        <ns0:v>0</ns0:v>
      </ns0:c>
      <ns0:c r="H940" s="0">
        <ns0:f>IF(OR(F940&lt;&gt;"OK",$B$6&gt;0),0,0.5*(IF((MIN('_Dates'!X940,Settings!$B$9))&lt;('_Dates'!W940),0,INT(((MIN('_Dates'!X940,Settings!$B$9))-('_Dates'!W940)+1)/7)*LEN(SUBSTITUTE(W940,"O",""))+LEN(SUBSTITUTE(MID(W940&amp;W940,WEEKDAY(('_Dates'!W940),2),MOD(((MIN('_Dates'!X940,Settings!$B$9))-('_Dates'!W940)+1),7)),"O",""))-COUNTIFS(INDEX(AllClosureRows,C940,0),"&gt;="&amp;('_Dates'!W940),INDEX(AllClosureRows,C940,0),"&lt;="&amp;(MIN('_Dates'!X940,Settings!$B$9))))+IF((MIN('_Dates'!Z940,Settings!$B$9))&lt;('_Dates'!Y940),0,INT(((MIN('_Dates'!Z940,Settings!$B$9))-('_Dates'!Y940)+1)/7)*LEN(SUBSTITUTE(W940,"O",""))+LEN(SUBSTITUTE(MID(W940&amp;W940,WEEKDAY(('_Dates'!Y940),2),MOD(((MIN('_Dates'!Z940,Settings!$B$9))-('_Dates'!Y940)+1),7)),"O",""))-COUNTIFS(INDEX(AllClosureRows,C940,0),"&gt;="&amp;('_Dates'!Y940),INDEX(AllClosureRows,C940,0),"&lt;="&amp;(MIN('_Dates'!Z940,Settings!$B$9))))))</ns0:f>
        <ns0:v>0</ns0:v>
      </ns0:c>
      <ns0:c r="I940" s="0">
        <ns0:f>MAX(0,G940-H940)</ns0:f>
        <ns0:v>0</ns0:v>
      </ns0:c>
      <ns0:c r="J940" s="0">
        <ns0:f>IF(OR(A940=0,F940&lt;&gt;"OK",Bookings!G940="Cancelled",$B$6&gt;0),0,IF('_Dates'!AC940=1,MAX(0,COUNTIFS(rngEngine_B,B940,rngAMStart,"&lt;="&amp;'_Dates'!X940,rngAMEnd,"&gt;="&amp;'_Dates'!W940,rngAMActive,1,rngEngine_F,"OK",rngBookings_F,"&lt;&gt;Cancelled")-1),0)+IF('_Dates'!AD940=1,MAX(0,COUNTIFS(rngEngine_B,B940,rngPMStart,"&lt;="&amp;'_Dates'!Z940,rngPMEnd,"&gt;="&amp;'_Dates'!Y940,rngPMActive,1,rngEngine_F,"OK",rngBookings_F,"&lt;&gt;Cancelled")-1),0))</ns0:f>
        <ns0:v>0</ns0:v>
      </ns0:c>
      <ns0:c r="K940" s="0" t="str">
        <ns0:f>IF(A940=0,"",IF(F940&lt;&gt;"OK",F940,IF(J940&gt;0,"CHECK overlapping entry",IF(AND($B$6=0,G940&lt;=0,Bookings!G940&lt;&gt;"Cancelled"),"CHECK no working days",IF(Bookings!G940="Cancelled","Cancelled","OK")))))</ns0:f>
        <ns0:v/>
      </ns0:c>
      <ns0:c r="L940" s="0">
        <ns0:f>IF(LEFT(K940,5)="CHECK",1,0)</ns0:f>
        <ns0:v>0</ns0:v>
      </ns0:c>
      <ns0:c r="M940" s="0">
        <ns0:f>IF(AND(L940=1,OR(C940=0,IFERROR(INDEX($X$11:$X$60,C940),0)=0)),1,0)</ns0:f>
        <ns0:v>0</ns0:v>
      </ns0:c>
      <ns0:c r="N940" s="0">
        <ns0:f>IF(OR(A940=0,L940&gt;0,$B$6&gt;0,Bookings!G940="Cancelled"),0,G940)</ns0:f>
        <ns0:v>0</ns0:v>
      </ns0:c>
      <ns0:c r="O940" s="0">
        <ns0:f>IF(AND(Bookings!G940="Approved",E940="Yes"),N940,0)</ns0:f>
        <ns0:v>0</ns0:v>
      </ns0:c>
      <ns0:c r="P940" s="0">
        <ns0:f>IF(AND(Bookings!G940="Approved",E940="Yes",L940=0,$B$6=0),H940,0)</ns0:f>
        <ns0:v>0</ns0:v>
      </ns0:c>
      <ns0:c r="Q940" s="0">
        <ns0:f>IF(AND(Bookings!G940="Approved",E940="Yes",L940=0,$B$6=0),I940,0)</ns0:f>
        <ns0:v>0</ns0:v>
      </ns0:c>
      <ns0:c r="R940" s="0">
        <ns0:f>IF(AND(Bookings!G940="Pending",E940="Yes"),N940,0)</ns0:f>
        <ns0:v>0</ns0:v>
      </ns0:c>
      <ns0:c r="S940" s="0">
        <ns0:f>IF(AND(Bookings!G940="Approved",E940="No"),N940,0)</ns0:f>
        <ns0:v>0</ns0:v>
      </ns0:c>
      <ns0:c r="T940" s="0">
        <ns0:f>IFERROR(MATCH(D940,Settings!$G$7:$G$11,0),0)</ns0:f>
        <ns0:v>0</ns0:v>
      </ns0:c>
      <ns0:c r="U940" s="0">
        <ns0:f>IF(N940&gt;0,T940+IF(Bookings!G940="Pending",10,0),0)</ns0:f>
        <ns0:v>0</ns0:v>
      </ns0:c>
      <ns0:c r="V940" s="0">
        <ns0:f>U940</ns0:f>
        <ns0:v>0</ns0:v>
      </ns0:c>
      <ns0:c r="W940" s="0" t="str">
        <ns0:f>IF(C940=0,"",INDEX($AP$11:$AP$60,C940))</ns0:f>
        <ns0:v/>
      </ns0:c>
    </ns0:row>
    <ns0:row r="941">
      <ns0:c r="A941" s="0">
        <ns0:f>IF(COUNTA(Bookings!A941:G941,Bookings!I941)=0,0,1)</ns0:f>
        <ns0:v>0</ns0:v>
      </ns0:c>
      <ns0:c r="B941" s="0" t="str">
        <ns0:f>IFERROR(TRIM(MID(Bookings!A941,FIND(" · ",Bookings!A941)+3,99)),"")</ns0:f>
        <ns0:v/>
      </ns0:c>
      <ns0:c r="C941" s="0">
        <ns0:f>IF(OR(B941="",LEN(B941)&gt;24,ISNUMBER(FIND(" ",B941)),ISNUMBER(FIND("*",B941)),ISNUMBER(FIND("?",B941)),ISNUMBER(FIND("~",B941))),0,IFERROR(MATCH(B941,Team!$A$11:$A$60,0),0))</ns0:f>
        <ns0:v>0</ns0:v>
      </ns0:c>
      <ns0:c r="D941" s="0" t="str">
        <ns0:f>IFERROR(IF(MID(Bookings!F941,LEN(Bookings!F941)-3,3)=" · ",RIGHT(Bookings!F941,1),""),"")</ns0:f>
        <ns0:v/>
      </ns0:c>
      <ns0:c r="E941" s="0" t="str">
        <ns0:f>IFERROR(INDEX(Settings!$H$7:$H$11,MATCH(D941,Settings!$G$7:$G$11,0)),"")</ns0:f>
        <ns0:v/>
      </ns0:c>
      <ns0:c r="F941" s="0" t="str">
        <ns0:f>IF(A941=0,"",IFERROR(IF(OR(B941="",C941=0),"CHECK employee selection",IF(INDEX(Team!$O$11:$O$60,C941)&lt;&gt;"OK","CHECK employee setup",IF(OR('_Dates'!J941=0,'_Dates'!T941=0),"CHECK date: use DD.MM.YYYY",IF('_Dates'!T941&lt;'_Dates'!J941,"CHECK end before start",IF(AND($B$6=0,OR('_Dates'!J941&lt;Settings!$B$7,'_Dates'!T941&gt;Settings!$B$8)),"CHECK split across leave years",IF(OR(NOT(OR('_Dates'!U941="Full day",'_Dates'!U941="AM",'_Dates'!U941="PM")),NOT(OR('_Dates'!V941="Full day",'_Dates'!V941="AM",'_Dates'!V941="PM"))),"CHECK Full day / AM / PM",IF(AND('_Dates'!J941='_Dates'!T941,'_Dates'!U941&lt;&gt;"Full day",'_Dates'!V941&lt;&gt;"Full day",'_Dates'!U941&lt;&gt;'_Dates'!V941),"CHECK same-day portions disagree",IF(AND($B$6=0,OR(AND('_Dates'!U941&lt;&gt;"Full day",'_Dates'!AA941=0),AND('_Dates'!V941&lt;&gt;"Full day",'_Dates'!AB941=0))),"CHECK half-day on non-working date",IF(COUNTIF(Settings!$G$7:$G$11,D941)&lt;&gt;1,"CHECK leave type",IF(AND(Bookings!G941&lt;&gt;"Approved",Bookings!G941&lt;&gt;"Pending",Bookings!G941&lt;&gt;"Cancelled"),"CHECK status","OK")))))))))),"CHECK input"))</ns0:f>
        <ns0:v/>
      </ns0:c>
      <ns0:c r="G941" s="0">
        <ns0:f>IF(OR(F941&lt;&gt;"OK",$B$6&gt;0),0,0.5*(IF(('_Dates'!X941)&lt;('_Dates'!W941),0,INT((('_Dates'!X941)-('_Dates'!W941)+1)/7)*LEN(SUBSTITUTE(W941,"O",""))+LEN(SUBSTITUTE(MID(W941&amp;W941,WEEKDAY(('_Dates'!W941),2),MOD((('_Dates'!X941)-('_Dates'!W941)+1),7)),"O",""))-COUNTIFS(INDEX(AllClosureRows,C941,0),"&gt;="&amp;('_Dates'!W941),INDEX(AllClosureRows,C941,0),"&lt;="&amp;('_Dates'!X941)))+IF(('_Dates'!Z941)&lt;('_Dates'!Y941),0,INT((('_Dates'!Z941)-('_Dates'!Y941)+1)/7)*LEN(SUBSTITUTE(W941,"O",""))+LEN(SUBSTITUTE(MID(W941&amp;W941,WEEKDAY(('_Dates'!Y941),2),MOD((('_Dates'!Z941)-('_Dates'!Y941)+1),7)),"O",""))-COUNTIFS(INDEX(AllClosureRows,C941,0),"&gt;="&amp;('_Dates'!Y941),INDEX(AllClosureRows,C941,0),"&lt;="&amp;('_Dates'!Z941)))))</ns0:f>
        <ns0:v>0</ns0:v>
      </ns0:c>
      <ns0:c r="H941" s="0">
        <ns0:f>IF(OR(F941&lt;&gt;"OK",$B$6&gt;0),0,0.5*(IF((MIN('_Dates'!X941,Settings!$B$9))&lt;('_Dates'!W941),0,INT(((MIN('_Dates'!X941,Settings!$B$9))-('_Dates'!W941)+1)/7)*LEN(SUBSTITUTE(W941,"O",""))+LEN(SUBSTITUTE(MID(W941&amp;W941,WEEKDAY(('_Dates'!W941),2),MOD(((MIN('_Dates'!X941,Settings!$B$9))-('_Dates'!W941)+1),7)),"O",""))-COUNTIFS(INDEX(AllClosureRows,C941,0),"&gt;="&amp;('_Dates'!W941),INDEX(AllClosureRows,C941,0),"&lt;="&amp;(MIN('_Dates'!X941,Settings!$B$9))))+IF((MIN('_Dates'!Z941,Settings!$B$9))&lt;('_Dates'!Y941),0,INT(((MIN('_Dates'!Z941,Settings!$B$9))-('_Dates'!Y941)+1)/7)*LEN(SUBSTITUTE(W941,"O",""))+LEN(SUBSTITUTE(MID(W941&amp;W941,WEEKDAY(('_Dates'!Y941),2),MOD(((MIN('_Dates'!Z941,Settings!$B$9))-('_Dates'!Y941)+1),7)),"O",""))-COUNTIFS(INDEX(AllClosureRows,C941,0),"&gt;="&amp;('_Dates'!Y941),INDEX(AllClosureRows,C941,0),"&lt;="&amp;(MIN('_Dates'!Z941,Settings!$B$9))))))</ns0:f>
        <ns0:v>0</ns0:v>
      </ns0:c>
      <ns0:c r="I941" s="0">
        <ns0:f>MAX(0,G941-H941)</ns0:f>
        <ns0:v>0</ns0:v>
      </ns0:c>
      <ns0:c r="J941" s="0">
        <ns0:f>IF(OR(A941=0,F941&lt;&gt;"OK",Bookings!G941="Cancelled",$B$6&gt;0),0,IF('_Dates'!AC941=1,MAX(0,COUNTIFS(rngEngine_B,B941,rngAMStart,"&lt;="&amp;'_Dates'!X941,rngAMEnd,"&gt;="&amp;'_Dates'!W941,rngAMActive,1,rngEngine_F,"OK",rngBookings_F,"&lt;&gt;Cancelled")-1),0)+IF('_Dates'!AD941=1,MAX(0,COUNTIFS(rngEngine_B,B941,rngPMStart,"&lt;="&amp;'_Dates'!Z941,rngPMEnd,"&gt;="&amp;'_Dates'!Y941,rngPMActive,1,rngEngine_F,"OK",rngBookings_F,"&lt;&gt;Cancelled")-1),0))</ns0:f>
        <ns0:v>0</ns0:v>
      </ns0:c>
      <ns0:c r="K941" s="0" t="str">
        <ns0:f>IF(A941=0,"",IF(F941&lt;&gt;"OK",F941,IF(J941&gt;0,"CHECK overlapping entry",IF(AND($B$6=0,G941&lt;=0,Bookings!G941&lt;&gt;"Cancelled"),"CHECK no working days",IF(Bookings!G941="Cancelled","Cancelled","OK")))))</ns0:f>
        <ns0:v/>
      </ns0:c>
      <ns0:c r="L941" s="0">
        <ns0:f>IF(LEFT(K941,5)="CHECK",1,0)</ns0:f>
        <ns0:v>0</ns0:v>
      </ns0:c>
      <ns0:c r="M941" s="0">
        <ns0:f>IF(AND(L941=1,OR(C941=0,IFERROR(INDEX($X$11:$X$60,C941),0)=0)),1,0)</ns0:f>
        <ns0:v>0</ns0:v>
      </ns0:c>
      <ns0:c r="N941" s="0">
        <ns0:f>IF(OR(A941=0,L941&gt;0,$B$6&gt;0,Bookings!G941="Cancelled"),0,G941)</ns0:f>
        <ns0:v>0</ns0:v>
      </ns0:c>
      <ns0:c r="O941" s="0">
        <ns0:f>IF(AND(Bookings!G941="Approved",E941="Yes"),N941,0)</ns0:f>
        <ns0:v>0</ns0:v>
      </ns0:c>
      <ns0:c r="P941" s="0">
        <ns0:f>IF(AND(Bookings!G941="Approved",E941="Yes",L941=0,$B$6=0),H941,0)</ns0:f>
        <ns0:v>0</ns0:v>
      </ns0:c>
      <ns0:c r="Q941" s="0">
        <ns0:f>IF(AND(Bookings!G941="Approved",E941="Yes",L941=0,$B$6=0),I941,0)</ns0:f>
        <ns0:v>0</ns0:v>
      </ns0:c>
      <ns0:c r="R941" s="0">
        <ns0:f>IF(AND(Bookings!G941="Pending",E941="Yes"),N941,0)</ns0:f>
        <ns0:v>0</ns0:v>
      </ns0:c>
      <ns0:c r="S941" s="0">
        <ns0:f>IF(AND(Bookings!G941="Approved",E941="No"),N941,0)</ns0:f>
        <ns0:v>0</ns0:v>
      </ns0:c>
      <ns0:c r="T941" s="0">
        <ns0:f>IFERROR(MATCH(D941,Settings!$G$7:$G$11,0),0)</ns0:f>
        <ns0:v>0</ns0:v>
      </ns0:c>
      <ns0:c r="U941" s="0">
        <ns0:f>IF(N941&gt;0,T941+IF(Bookings!G941="Pending",10,0),0)</ns0:f>
        <ns0:v>0</ns0:v>
      </ns0:c>
      <ns0:c r="V941" s="0">
        <ns0:f>U941</ns0:f>
        <ns0:v>0</ns0:v>
      </ns0:c>
      <ns0:c r="W941" s="0" t="str">
        <ns0:f>IF(C941=0,"",INDEX($AP$11:$AP$60,C941))</ns0:f>
        <ns0:v/>
      </ns0:c>
    </ns0:row>
    <ns0:row r="942">
      <ns0:c r="A942" s="0">
        <ns0:f>IF(COUNTA(Bookings!A942:G942,Bookings!I942)=0,0,1)</ns0:f>
        <ns0:v>0</ns0:v>
      </ns0:c>
      <ns0:c r="B942" s="0" t="str">
        <ns0:f>IFERROR(TRIM(MID(Bookings!A942,FIND(" · ",Bookings!A942)+3,99)),"")</ns0:f>
        <ns0:v/>
      </ns0:c>
      <ns0:c r="C942" s="0">
        <ns0:f>IF(OR(B942="",LEN(B942)&gt;24,ISNUMBER(FIND(" ",B942)),ISNUMBER(FIND("*",B942)),ISNUMBER(FIND("?",B942)),ISNUMBER(FIND("~",B942))),0,IFERROR(MATCH(B942,Team!$A$11:$A$60,0),0))</ns0:f>
        <ns0:v>0</ns0:v>
      </ns0:c>
      <ns0:c r="D942" s="0" t="str">
        <ns0:f>IFERROR(IF(MID(Bookings!F942,LEN(Bookings!F942)-3,3)=" · ",RIGHT(Bookings!F942,1),""),"")</ns0:f>
        <ns0:v/>
      </ns0:c>
      <ns0:c r="E942" s="0" t="str">
        <ns0:f>IFERROR(INDEX(Settings!$H$7:$H$11,MATCH(D942,Settings!$G$7:$G$11,0)),"")</ns0:f>
        <ns0:v/>
      </ns0:c>
      <ns0:c r="F942" s="0" t="str">
        <ns0:f>IF(A942=0,"",IFERROR(IF(OR(B942="",C942=0),"CHECK employee selection",IF(INDEX(Team!$O$11:$O$60,C942)&lt;&gt;"OK","CHECK employee setup",IF(OR('_Dates'!J942=0,'_Dates'!T942=0),"CHECK date: use DD.MM.YYYY",IF('_Dates'!T942&lt;'_Dates'!J942,"CHECK end before start",IF(AND($B$6=0,OR('_Dates'!J942&lt;Settings!$B$7,'_Dates'!T942&gt;Settings!$B$8)),"CHECK split across leave years",IF(OR(NOT(OR('_Dates'!U942="Full day",'_Dates'!U942="AM",'_Dates'!U942="PM")),NOT(OR('_Dates'!V942="Full day",'_Dates'!V942="AM",'_Dates'!V942="PM"))),"CHECK Full day / AM / PM",IF(AND('_Dates'!J942='_Dates'!T942,'_Dates'!U942&lt;&gt;"Full day",'_Dates'!V942&lt;&gt;"Full day",'_Dates'!U942&lt;&gt;'_Dates'!V942),"CHECK same-day portions disagree",IF(AND($B$6=0,OR(AND('_Dates'!U942&lt;&gt;"Full day",'_Dates'!AA942=0),AND('_Dates'!V942&lt;&gt;"Full day",'_Dates'!AB942=0))),"CHECK half-day on non-working date",IF(COUNTIF(Settings!$G$7:$G$11,D942)&lt;&gt;1,"CHECK leave type",IF(AND(Bookings!G942&lt;&gt;"Approved",Bookings!G942&lt;&gt;"Pending",Bookings!G942&lt;&gt;"Cancelled"),"CHECK status","OK")))))))))),"CHECK input"))</ns0:f>
        <ns0:v/>
      </ns0:c>
      <ns0:c r="G942" s="0">
        <ns0:f>IF(OR(F942&lt;&gt;"OK",$B$6&gt;0),0,0.5*(IF(('_Dates'!X942)&lt;('_Dates'!W942),0,INT((('_Dates'!X942)-('_Dates'!W942)+1)/7)*LEN(SUBSTITUTE(W942,"O",""))+LEN(SUBSTITUTE(MID(W942&amp;W942,WEEKDAY(('_Dates'!W942),2),MOD((('_Dates'!X942)-('_Dates'!W942)+1),7)),"O",""))-COUNTIFS(INDEX(AllClosureRows,C942,0),"&gt;="&amp;('_Dates'!W942),INDEX(AllClosureRows,C942,0),"&lt;="&amp;('_Dates'!X942)))+IF(('_Dates'!Z942)&lt;('_Dates'!Y942),0,INT((('_Dates'!Z942)-('_Dates'!Y942)+1)/7)*LEN(SUBSTITUTE(W942,"O",""))+LEN(SUBSTITUTE(MID(W942&amp;W942,WEEKDAY(('_Dates'!Y942),2),MOD((('_Dates'!Z942)-('_Dates'!Y942)+1),7)),"O",""))-COUNTIFS(INDEX(AllClosureRows,C942,0),"&gt;="&amp;('_Dates'!Y942),INDEX(AllClosureRows,C942,0),"&lt;="&amp;('_Dates'!Z942)))))</ns0:f>
        <ns0:v>0</ns0:v>
      </ns0:c>
      <ns0:c r="H942" s="0">
        <ns0:f>IF(OR(F942&lt;&gt;"OK",$B$6&gt;0),0,0.5*(IF((MIN('_Dates'!X942,Settings!$B$9))&lt;('_Dates'!W942),0,INT(((MIN('_Dates'!X942,Settings!$B$9))-('_Dates'!W942)+1)/7)*LEN(SUBSTITUTE(W942,"O",""))+LEN(SUBSTITUTE(MID(W942&amp;W942,WEEKDAY(('_Dates'!W942),2),MOD(((MIN('_Dates'!X942,Settings!$B$9))-('_Dates'!W942)+1),7)),"O",""))-COUNTIFS(INDEX(AllClosureRows,C942,0),"&gt;="&amp;('_Dates'!W942),INDEX(AllClosureRows,C942,0),"&lt;="&amp;(MIN('_Dates'!X942,Settings!$B$9))))+IF((MIN('_Dates'!Z942,Settings!$B$9))&lt;('_Dates'!Y942),0,INT(((MIN('_Dates'!Z942,Settings!$B$9))-('_Dates'!Y942)+1)/7)*LEN(SUBSTITUTE(W942,"O",""))+LEN(SUBSTITUTE(MID(W942&amp;W942,WEEKDAY(('_Dates'!Y942),2),MOD(((MIN('_Dates'!Z942,Settings!$B$9))-('_Dates'!Y942)+1),7)),"O",""))-COUNTIFS(INDEX(AllClosureRows,C942,0),"&gt;="&amp;('_Dates'!Y942),INDEX(AllClosureRows,C942,0),"&lt;="&amp;(MIN('_Dates'!Z942,Settings!$B$9))))))</ns0:f>
        <ns0:v>0</ns0:v>
      </ns0:c>
      <ns0:c r="I942" s="0">
        <ns0:f>MAX(0,G942-H942)</ns0:f>
        <ns0:v>0</ns0:v>
      </ns0:c>
      <ns0:c r="J942" s="0">
        <ns0:f>IF(OR(A942=0,F942&lt;&gt;"OK",Bookings!G942="Cancelled",$B$6&gt;0),0,IF('_Dates'!AC942=1,MAX(0,COUNTIFS(rngEngine_B,B942,rngAMStart,"&lt;="&amp;'_Dates'!X942,rngAMEnd,"&gt;="&amp;'_Dates'!W942,rngAMActive,1,rngEngine_F,"OK",rngBookings_F,"&lt;&gt;Cancelled")-1),0)+IF('_Dates'!AD942=1,MAX(0,COUNTIFS(rngEngine_B,B942,rngPMStart,"&lt;="&amp;'_Dates'!Z942,rngPMEnd,"&gt;="&amp;'_Dates'!Y942,rngPMActive,1,rngEngine_F,"OK",rngBookings_F,"&lt;&gt;Cancelled")-1),0))</ns0:f>
        <ns0:v>0</ns0:v>
      </ns0:c>
      <ns0:c r="K942" s="0" t="str">
        <ns0:f>IF(A942=0,"",IF(F942&lt;&gt;"OK",F942,IF(J942&gt;0,"CHECK overlapping entry",IF(AND($B$6=0,G942&lt;=0,Bookings!G942&lt;&gt;"Cancelled"),"CHECK no working days",IF(Bookings!G942="Cancelled","Cancelled","OK")))))</ns0:f>
        <ns0:v/>
      </ns0:c>
      <ns0:c r="L942" s="0">
        <ns0:f>IF(LEFT(K942,5)="CHECK",1,0)</ns0:f>
        <ns0:v>0</ns0:v>
      </ns0:c>
      <ns0:c r="M942" s="0">
        <ns0:f>IF(AND(L942=1,OR(C942=0,IFERROR(INDEX($X$11:$X$60,C942),0)=0)),1,0)</ns0:f>
        <ns0:v>0</ns0:v>
      </ns0:c>
      <ns0:c r="N942" s="0">
        <ns0:f>IF(OR(A942=0,L942&gt;0,$B$6&gt;0,Bookings!G942="Cancelled"),0,G942)</ns0:f>
        <ns0:v>0</ns0:v>
      </ns0:c>
      <ns0:c r="O942" s="0">
        <ns0:f>IF(AND(Bookings!G942="Approved",E942="Yes"),N942,0)</ns0:f>
        <ns0:v>0</ns0:v>
      </ns0:c>
      <ns0:c r="P942" s="0">
        <ns0:f>IF(AND(Bookings!G942="Approved",E942="Yes",L942=0,$B$6=0),H942,0)</ns0:f>
        <ns0:v>0</ns0:v>
      </ns0:c>
      <ns0:c r="Q942" s="0">
        <ns0:f>IF(AND(Bookings!G942="Approved",E942="Yes",L942=0,$B$6=0),I942,0)</ns0:f>
        <ns0:v>0</ns0:v>
      </ns0:c>
      <ns0:c r="R942" s="0">
        <ns0:f>IF(AND(Bookings!G942="Pending",E942="Yes"),N942,0)</ns0:f>
        <ns0:v>0</ns0:v>
      </ns0:c>
      <ns0:c r="S942" s="0">
        <ns0:f>IF(AND(Bookings!G942="Approved",E942="No"),N942,0)</ns0:f>
        <ns0:v>0</ns0:v>
      </ns0:c>
      <ns0:c r="T942" s="0">
        <ns0:f>IFERROR(MATCH(D942,Settings!$G$7:$G$11,0),0)</ns0:f>
        <ns0:v>0</ns0:v>
      </ns0:c>
      <ns0:c r="U942" s="0">
        <ns0:f>IF(N942&gt;0,T942+IF(Bookings!G942="Pending",10,0),0)</ns0:f>
        <ns0:v>0</ns0:v>
      </ns0:c>
      <ns0:c r="V942" s="0">
        <ns0:f>U942</ns0:f>
        <ns0:v>0</ns0:v>
      </ns0:c>
      <ns0:c r="W942" s="0" t="str">
        <ns0:f>IF(C942=0,"",INDEX($AP$11:$AP$60,C942))</ns0:f>
        <ns0:v/>
      </ns0:c>
    </ns0:row>
    <ns0:row r="943">
      <ns0:c r="A943" s="0">
        <ns0:f>IF(COUNTA(Bookings!A943:G943,Bookings!I943)=0,0,1)</ns0:f>
        <ns0:v>0</ns0:v>
      </ns0:c>
      <ns0:c r="B943" s="0" t="str">
        <ns0:f>IFERROR(TRIM(MID(Bookings!A943,FIND(" · ",Bookings!A943)+3,99)),"")</ns0:f>
        <ns0:v/>
      </ns0:c>
      <ns0:c r="C943" s="0">
        <ns0:f>IF(OR(B943="",LEN(B943)&gt;24,ISNUMBER(FIND(" ",B943)),ISNUMBER(FIND("*",B943)),ISNUMBER(FIND("?",B943)),ISNUMBER(FIND("~",B943))),0,IFERROR(MATCH(B943,Team!$A$11:$A$60,0),0))</ns0:f>
        <ns0:v>0</ns0:v>
      </ns0:c>
      <ns0:c r="D943" s="0" t="str">
        <ns0:f>IFERROR(IF(MID(Bookings!F943,LEN(Bookings!F943)-3,3)=" · ",RIGHT(Bookings!F943,1),""),"")</ns0:f>
        <ns0:v/>
      </ns0:c>
      <ns0:c r="E943" s="0" t="str">
        <ns0:f>IFERROR(INDEX(Settings!$H$7:$H$11,MATCH(D943,Settings!$G$7:$G$11,0)),"")</ns0:f>
        <ns0:v/>
      </ns0:c>
      <ns0:c r="F943" s="0" t="str">
        <ns0:f>IF(A943=0,"",IFERROR(IF(OR(B943="",C943=0),"CHECK employee selection",IF(INDEX(Team!$O$11:$O$60,C943)&lt;&gt;"OK","CHECK employee setup",IF(OR('_Dates'!J943=0,'_Dates'!T943=0),"CHECK date: use DD.MM.YYYY",IF('_Dates'!T943&lt;'_Dates'!J943,"CHECK end before start",IF(AND($B$6=0,OR('_Dates'!J943&lt;Settings!$B$7,'_Dates'!T943&gt;Settings!$B$8)),"CHECK split across leave years",IF(OR(NOT(OR('_Dates'!U943="Full day",'_Dates'!U943="AM",'_Dates'!U943="PM")),NOT(OR('_Dates'!V943="Full day",'_Dates'!V943="AM",'_Dates'!V943="PM"))),"CHECK Full day / AM / PM",IF(AND('_Dates'!J943='_Dates'!T943,'_Dates'!U943&lt;&gt;"Full day",'_Dates'!V943&lt;&gt;"Full day",'_Dates'!U943&lt;&gt;'_Dates'!V943),"CHECK same-day portions disagree",IF(AND($B$6=0,OR(AND('_Dates'!U943&lt;&gt;"Full day",'_Dates'!AA943=0),AND('_Dates'!V943&lt;&gt;"Full day",'_Dates'!AB943=0))),"CHECK half-day on non-working date",IF(COUNTIF(Settings!$G$7:$G$11,D943)&lt;&gt;1,"CHECK leave type",IF(AND(Bookings!G943&lt;&gt;"Approved",Bookings!G943&lt;&gt;"Pending",Bookings!G943&lt;&gt;"Cancelled"),"CHECK status","OK")))))))))),"CHECK input"))</ns0:f>
        <ns0:v/>
      </ns0:c>
      <ns0:c r="G943" s="0">
        <ns0:f>IF(OR(F943&lt;&gt;"OK",$B$6&gt;0),0,0.5*(IF(('_Dates'!X943)&lt;('_Dates'!W943),0,INT((('_Dates'!X943)-('_Dates'!W943)+1)/7)*LEN(SUBSTITUTE(W943,"O",""))+LEN(SUBSTITUTE(MID(W943&amp;W943,WEEKDAY(('_Dates'!W943),2),MOD((('_Dates'!X943)-('_Dates'!W943)+1),7)),"O",""))-COUNTIFS(INDEX(AllClosureRows,C943,0),"&gt;="&amp;('_Dates'!W943),INDEX(AllClosureRows,C943,0),"&lt;="&amp;('_Dates'!X943)))+IF(('_Dates'!Z943)&lt;('_Dates'!Y943),0,INT((('_Dates'!Z943)-('_Dates'!Y943)+1)/7)*LEN(SUBSTITUTE(W943,"O",""))+LEN(SUBSTITUTE(MID(W943&amp;W943,WEEKDAY(('_Dates'!Y943),2),MOD((('_Dates'!Z943)-('_Dates'!Y943)+1),7)),"O",""))-COUNTIFS(INDEX(AllClosureRows,C943,0),"&gt;="&amp;('_Dates'!Y943),INDEX(AllClosureRows,C943,0),"&lt;="&amp;('_Dates'!Z943)))))</ns0:f>
        <ns0:v>0</ns0:v>
      </ns0:c>
      <ns0:c r="H943" s="0">
        <ns0:f>IF(OR(F943&lt;&gt;"OK",$B$6&gt;0),0,0.5*(IF((MIN('_Dates'!X943,Settings!$B$9))&lt;('_Dates'!W943),0,INT(((MIN('_Dates'!X943,Settings!$B$9))-('_Dates'!W943)+1)/7)*LEN(SUBSTITUTE(W943,"O",""))+LEN(SUBSTITUTE(MID(W943&amp;W943,WEEKDAY(('_Dates'!W943),2),MOD(((MIN('_Dates'!X943,Settings!$B$9))-('_Dates'!W943)+1),7)),"O",""))-COUNTIFS(INDEX(AllClosureRows,C943,0),"&gt;="&amp;('_Dates'!W943),INDEX(AllClosureRows,C943,0),"&lt;="&amp;(MIN('_Dates'!X943,Settings!$B$9))))+IF((MIN('_Dates'!Z943,Settings!$B$9))&lt;('_Dates'!Y943),0,INT(((MIN('_Dates'!Z943,Settings!$B$9))-('_Dates'!Y943)+1)/7)*LEN(SUBSTITUTE(W943,"O",""))+LEN(SUBSTITUTE(MID(W943&amp;W943,WEEKDAY(('_Dates'!Y943),2),MOD(((MIN('_Dates'!Z943,Settings!$B$9))-('_Dates'!Y943)+1),7)),"O",""))-COUNTIFS(INDEX(AllClosureRows,C943,0),"&gt;="&amp;('_Dates'!Y943),INDEX(AllClosureRows,C943,0),"&lt;="&amp;(MIN('_Dates'!Z943,Settings!$B$9))))))</ns0:f>
        <ns0:v>0</ns0:v>
      </ns0:c>
      <ns0:c r="I943" s="0">
        <ns0:f>MAX(0,G943-H943)</ns0:f>
        <ns0:v>0</ns0:v>
      </ns0:c>
      <ns0:c r="J943" s="0">
        <ns0:f>IF(OR(A943=0,F943&lt;&gt;"OK",Bookings!G943="Cancelled",$B$6&gt;0),0,IF('_Dates'!AC943=1,MAX(0,COUNTIFS(rngEngine_B,B943,rngAMStart,"&lt;="&amp;'_Dates'!X943,rngAMEnd,"&gt;="&amp;'_Dates'!W943,rngAMActive,1,rngEngine_F,"OK",rngBookings_F,"&lt;&gt;Cancelled")-1),0)+IF('_Dates'!AD943=1,MAX(0,COUNTIFS(rngEngine_B,B943,rngPMStart,"&lt;="&amp;'_Dates'!Z943,rngPMEnd,"&gt;="&amp;'_Dates'!Y943,rngPMActive,1,rngEngine_F,"OK",rngBookings_F,"&lt;&gt;Cancelled")-1),0))</ns0:f>
        <ns0:v>0</ns0:v>
      </ns0:c>
      <ns0:c r="K943" s="0" t="str">
        <ns0:f>IF(A943=0,"",IF(F943&lt;&gt;"OK",F943,IF(J943&gt;0,"CHECK overlapping entry",IF(AND($B$6=0,G943&lt;=0,Bookings!G943&lt;&gt;"Cancelled"),"CHECK no working days",IF(Bookings!G943="Cancelled","Cancelled","OK")))))</ns0:f>
        <ns0:v/>
      </ns0:c>
      <ns0:c r="L943" s="0">
        <ns0:f>IF(LEFT(K943,5)="CHECK",1,0)</ns0:f>
        <ns0:v>0</ns0:v>
      </ns0:c>
      <ns0:c r="M943" s="0">
        <ns0:f>IF(AND(L943=1,OR(C943=0,IFERROR(INDEX($X$11:$X$60,C943),0)=0)),1,0)</ns0:f>
        <ns0:v>0</ns0:v>
      </ns0:c>
      <ns0:c r="N943" s="0">
        <ns0:f>IF(OR(A943=0,L943&gt;0,$B$6&gt;0,Bookings!G943="Cancelled"),0,G943)</ns0:f>
        <ns0:v>0</ns0:v>
      </ns0:c>
      <ns0:c r="O943" s="0">
        <ns0:f>IF(AND(Bookings!G943="Approved",E943="Yes"),N943,0)</ns0:f>
        <ns0:v>0</ns0:v>
      </ns0:c>
      <ns0:c r="P943" s="0">
        <ns0:f>IF(AND(Bookings!G943="Approved",E943="Yes",L943=0,$B$6=0),H943,0)</ns0:f>
        <ns0:v>0</ns0:v>
      </ns0:c>
      <ns0:c r="Q943" s="0">
        <ns0:f>IF(AND(Bookings!G943="Approved",E943="Yes",L943=0,$B$6=0),I943,0)</ns0:f>
        <ns0:v>0</ns0:v>
      </ns0:c>
      <ns0:c r="R943" s="0">
        <ns0:f>IF(AND(Bookings!G943="Pending",E943="Yes"),N943,0)</ns0:f>
        <ns0:v>0</ns0:v>
      </ns0:c>
      <ns0:c r="S943" s="0">
        <ns0:f>IF(AND(Bookings!G943="Approved",E943="No"),N943,0)</ns0:f>
        <ns0:v>0</ns0:v>
      </ns0:c>
      <ns0:c r="T943" s="0">
        <ns0:f>IFERROR(MATCH(D943,Settings!$G$7:$G$11,0),0)</ns0:f>
        <ns0:v>0</ns0:v>
      </ns0:c>
      <ns0:c r="U943" s="0">
        <ns0:f>IF(N943&gt;0,T943+IF(Bookings!G943="Pending",10,0),0)</ns0:f>
        <ns0:v>0</ns0:v>
      </ns0:c>
      <ns0:c r="V943" s="0">
        <ns0:f>U943</ns0:f>
        <ns0:v>0</ns0:v>
      </ns0:c>
      <ns0:c r="W943" s="0" t="str">
        <ns0:f>IF(C943=0,"",INDEX($AP$11:$AP$60,C943))</ns0:f>
        <ns0:v/>
      </ns0:c>
    </ns0:row>
    <ns0:row r="944">
      <ns0:c r="A944" s="0">
        <ns0:f>IF(COUNTA(Bookings!A944:G944,Bookings!I944)=0,0,1)</ns0:f>
        <ns0:v>0</ns0:v>
      </ns0:c>
      <ns0:c r="B944" s="0" t="str">
        <ns0:f>IFERROR(TRIM(MID(Bookings!A944,FIND(" · ",Bookings!A944)+3,99)),"")</ns0:f>
        <ns0:v/>
      </ns0:c>
      <ns0:c r="C944" s="0">
        <ns0:f>IF(OR(B944="",LEN(B944)&gt;24,ISNUMBER(FIND(" ",B944)),ISNUMBER(FIND("*",B944)),ISNUMBER(FIND("?",B944)),ISNUMBER(FIND("~",B944))),0,IFERROR(MATCH(B944,Team!$A$11:$A$60,0),0))</ns0:f>
        <ns0:v>0</ns0:v>
      </ns0:c>
      <ns0:c r="D944" s="0" t="str">
        <ns0:f>IFERROR(IF(MID(Bookings!F944,LEN(Bookings!F944)-3,3)=" · ",RIGHT(Bookings!F944,1),""),"")</ns0:f>
        <ns0:v/>
      </ns0:c>
      <ns0:c r="E944" s="0" t="str">
        <ns0:f>IFERROR(INDEX(Settings!$H$7:$H$11,MATCH(D944,Settings!$G$7:$G$11,0)),"")</ns0:f>
        <ns0:v/>
      </ns0:c>
      <ns0:c r="F944" s="0" t="str">
        <ns0:f>IF(A944=0,"",IFERROR(IF(OR(B944="",C944=0),"CHECK employee selection",IF(INDEX(Team!$O$11:$O$60,C944)&lt;&gt;"OK","CHECK employee setup",IF(OR('_Dates'!J944=0,'_Dates'!T944=0),"CHECK date: use DD.MM.YYYY",IF('_Dates'!T944&lt;'_Dates'!J944,"CHECK end before start",IF(AND($B$6=0,OR('_Dates'!J944&lt;Settings!$B$7,'_Dates'!T944&gt;Settings!$B$8)),"CHECK split across leave years",IF(OR(NOT(OR('_Dates'!U944="Full day",'_Dates'!U944="AM",'_Dates'!U944="PM")),NOT(OR('_Dates'!V944="Full day",'_Dates'!V944="AM",'_Dates'!V944="PM"))),"CHECK Full day / AM / PM",IF(AND('_Dates'!J944='_Dates'!T944,'_Dates'!U944&lt;&gt;"Full day",'_Dates'!V944&lt;&gt;"Full day",'_Dates'!U944&lt;&gt;'_Dates'!V944),"CHECK same-day portions disagree",IF(AND($B$6=0,OR(AND('_Dates'!U944&lt;&gt;"Full day",'_Dates'!AA944=0),AND('_Dates'!V944&lt;&gt;"Full day",'_Dates'!AB944=0))),"CHECK half-day on non-working date",IF(COUNTIF(Settings!$G$7:$G$11,D944)&lt;&gt;1,"CHECK leave type",IF(AND(Bookings!G944&lt;&gt;"Approved",Bookings!G944&lt;&gt;"Pending",Bookings!G944&lt;&gt;"Cancelled"),"CHECK status","OK")))))))))),"CHECK input"))</ns0:f>
        <ns0:v/>
      </ns0:c>
      <ns0:c r="G944" s="0">
        <ns0:f>IF(OR(F944&lt;&gt;"OK",$B$6&gt;0),0,0.5*(IF(('_Dates'!X944)&lt;('_Dates'!W944),0,INT((('_Dates'!X944)-('_Dates'!W944)+1)/7)*LEN(SUBSTITUTE(W944,"O",""))+LEN(SUBSTITUTE(MID(W944&amp;W944,WEEKDAY(('_Dates'!W944),2),MOD((('_Dates'!X944)-('_Dates'!W944)+1),7)),"O",""))-COUNTIFS(INDEX(AllClosureRows,C944,0),"&gt;="&amp;('_Dates'!W944),INDEX(AllClosureRows,C944,0),"&lt;="&amp;('_Dates'!X944)))+IF(('_Dates'!Z944)&lt;('_Dates'!Y944),0,INT((('_Dates'!Z944)-('_Dates'!Y944)+1)/7)*LEN(SUBSTITUTE(W944,"O",""))+LEN(SUBSTITUTE(MID(W944&amp;W944,WEEKDAY(('_Dates'!Y944),2),MOD((('_Dates'!Z944)-('_Dates'!Y944)+1),7)),"O",""))-COUNTIFS(INDEX(AllClosureRows,C944,0),"&gt;="&amp;('_Dates'!Y944),INDEX(AllClosureRows,C944,0),"&lt;="&amp;('_Dates'!Z944)))))</ns0:f>
        <ns0:v>0</ns0:v>
      </ns0:c>
      <ns0:c r="H944" s="0">
        <ns0:f>IF(OR(F944&lt;&gt;"OK",$B$6&gt;0),0,0.5*(IF((MIN('_Dates'!X944,Settings!$B$9))&lt;('_Dates'!W944),0,INT(((MIN('_Dates'!X944,Settings!$B$9))-('_Dates'!W944)+1)/7)*LEN(SUBSTITUTE(W944,"O",""))+LEN(SUBSTITUTE(MID(W944&amp;W944,WEEKDAY(('_Dates'!W944),2),MOD(((MIN('_Dates'!X944,Settings!$B$9))-('_Dates'!W944)+1),7)),"O",""))-COUNTIFS(INDEX(AllClosureRows,C944,0),"&gt;="&amp;('_Dates'!W944),INDEX(AllClosureRows,C944,0),"&lt;="&amp;(MIN('_Dates'!X944,Settings!$B$9))))+IF((MIN('_Dates'!Z944,Settings!$B$9))&lt;('_Dates'!Y944),0,INT(((MIN('_Dates'!Z944,Settings!$B$9))-('_Dates'!Y944)+1)/7)*LEN(SUBSTITUTE(W944,"O",""))+LEN(SUBSTITUTE(MID(W944&amp;W944,WEEKDAY(('_Dates'!Y944),2),MOD(((MIN('_Dates'!Z944,Settings!$B$9))-('_Dates'!Y944)+1),7)),"O",""))-COUNTIFS(INDEX(AllClosureRows,C944,0),"&gt;="&amp;('_Dates'!Y944),INDEX(AllClosureRows,C944,0),"&lt;="&amp;(MIN('_Dates'!Z944,Settings!$B$9))))))</ns0:f>
        <ns0:v>0</ns0:v>
      </ns0:c>
      <ns0:c r="I944" s="0">
        <ns0:f>MAX(0,G944-H944)</ns0:f>
        <ns0:v>0</ns0:v>
      </ns0:c>
      <ns0:c r="J944" s="0">
        <ns0:f>IF(OR(A944=0,F944&lt;&gt;"OK",Bookings!G944="Cancelled",$B$6&gt;0),0,IF('_Dates'!AC944=1,MAX(0,COUNTIFS(rngEngine_B,B944,rngAMStart,"&lt;="&amp;'_Dates'!X944,rngAMEnd,"&gt;="&amp;'_Dates'!W944,rngAMActive,1,rngEngine_F,"OK",rngBookings_F,"&lt;&gt;Cancelled")-1),0)+IF('_Dates'!AD944=1,MAX(0,COUNTIFS(rngEngine_B,B944,rngPMStart,"&lt;="&amp;'_Dates'!Z944,rngPMEnd,"&gt;="&amp;'_Dates'!Y944,rngPMActive,1,rngEngine_F,"OK",rngBookings_F,"&lt;&gt;Cancelled")-1),0))</ns0:f>
        <ns0:v>0</ns0:v>
      </ns0:c>
      <ns0:c r="K944" s="0" t="str">
        <ns0:f>IF(A944=0,"",IF(F944&lt;&gt;"OK",F944,IF(J944&gt;0,"CHECK overlapping entry",IF(AND($B$6=0,G944&lt;=0,Bookings!G944&lt;&gt;"Cancelled"),"CHECK no working days",IF(Bookings!G944="Cancelled","Cancelled","OK")))))</ns0:f>
        <ns0:v/>
      </ns0:c>
      <ns0:c r="L944" s="0">
        <ns0:f>IF(LEFT(K944,5)="CHECK",1,0)</ns0:f>
        <ns0:v>0</ns0:v>
      </ns0:c>
      <ns0:c r="M944" s="0">
        <ns0:f>IF(AND(L944=1,OR(C944=0,IFERROR(INDEX($X$11:$X$60,C944),0)=0)),1,0)</ns0:f>
        <ns0:v>0</ns0:v>
      </ns0:c>
      <ns0:c r="N944" s="0">
        <ns0:f>IF(OR(A944=0,L944&gt;0,$B$6&gt;0,Bookings!G944="Cancelled"),0,G944)</ns0:f>
        <ns0:v>0</ns0:v>
      </ns0:c>
      <ns0:c r="O944" s="0">
        <ns0:f>IF(AND(Bookings!G944="Approved",E944="Yes"),N944,0)</ns0:f>
        <ns0:v>0</ns0:v>
      </ns0:c>
      <ns0:c r="P944" s="0">
        <ns0:f>IF(AND(Bookings!G944="Approved",E944="Yes",L944=0,$B$6=0),H944,0)</ns0:f>
        <ns0:v>0</ns0:v>
      </ns0:c>
      <ns0:c r="Q944" s="0">
        <ns0:f>IF(AND(Bookings!G944="Approved",E944="Yes",L944=0,$B$6=0),I944,0)</ns0:f>
        <ns0:v>0</ns0:v>
      </ns0:c>
      <ns0:c r="R944" s="0">
        <ns0:f>IF(AND(Bookings!G944="Pending",E944="Yes"),N944,0)</ns0:f>
        <ns0:v>0</ns0:v>
      </ns0:c>
      <ns0:c r="S944" s="0">
        <ns0:f>IF(AND(Bookings!G944="Approved",E944="No"),N944,0)</ns0:f>
        <ns0:v>0</ns0:v>
      </ns0:c>
      <ns0:c r="T944" s="0">
        <ns0:f>IFERROR(MATCH(D944,Settings!$G$7:$G$11,0),0)</ns0:f>
        <ns0:v>0</ns0:v>
      </ns0:c>
      <ns0:c r="U944" s="0">
        <ns0:f>IF(N944&gt;0,T944+IF(Bookings!G944="Pending",10,0),0)</ns0:f>
        <ns0:v>0</ns0:v>
      </ns0:c>
      <ns0:c r="V944" s="0">
        <ns0:f>U944</ns0:f>
        <ns0:v>0</ns0:v>
      </ns0:c>
      <ns0:c r="W944" s="0" t="str">
        <ns0:f>IF(C944=0,"",INDEX($AP$11:$AP$60,C944))</ns0:f>
        <ns0:v/>
      </ns0:c>
    </ns0:row>
    <ns0:row r="945">
      <ns0:c r="A945" s="0">
        <ns0:f>IF(COUNTA(Bookings!A945:G945,Bookings!I945)=0,0,1)</ns0:f>
        <ns0:v>0</ns0:v>
      </ns0:c>
      <ns0:c r="B945" s="0" t="str">
        <ns0:f>IFERROR(TRIM(MID(Bookings!A945,FIND(" · ",Bookings!A945)+3,99)),"")</ns0:f>
        <ns0:v/>
      </ns0:c>
      <ns0:c r="C945" s="0">
        <ns0:f>IF(OR(B945="",LEN(B945)&gt;24,ISNUMBER(FIND(" ",B945)),ISNUMBER(FIND("*",B945)),ISNUMBER(FIND("?",B945)),ISNUMBER(FIND("~",B945))),0,IFERROR(MATCH(B945,Team!$A$11:$A$60,0),0))</ns0:f>
        <ns0:v>0</ns0:v>
      </ns0:c>
      <ns0:c r="D945" s="0" t="str">
        <ns0:f>IFERROR(IF(MID(Bookings!F945,LEN(Bookings!F945)-3,3)=" · ",RIGHT(Bookings!F945,1),""),"")</ns0:f>
        <ns0:v/>
      </ns0:c>
      <ns0:c r="E945" s="0" t="str">
        <ns0:f>IFERROR(INDEX(Settings!$H$7:$H$11,MATCH(D945,Settings!$G$7:$G$11,0)),"")</ns0:f>
        <ns0:v/>
      </ns0:c>
      <ns0:c r="F945" s="0" t="str">
        <ns0:f>IF(A945=0,"",IFERROR(IF(OR(B945="",C945=0),"CHECK employee selection",IF(INDEX(Team!$O$11:$O$60,C945)&lt;&gt;"OK","CHECK employee setup",IF(OR('_Dates'!J945=0,'_Dates'!T945=0),"CHECK date: use DD.MM.YYYY",IF('_Dates'!T945&lt;'_Dates'!J945,"CHECK end before start",IF(AND($B$6=0,OR('_Dates'!J945&lt;Settings!$B$7,'_Dates'!T945&gt;Settings!$B$8)),"CHECK split across leave years",IF(OR(NOT(OR('_Dates'!U945="Full day",'_Dates'!U945="AM",'_Dates'!U945="PM")),NOT(OR('_Dates'!V945="Full day",'_Dates'!V945="AM",'_Dates'!V945="PM"))),"CHECK Full day / AM / PM",IF(AND('_Dates'!J945='_Dates'!T945,'_Dates'!U945&lt;&gt;"Full day",'_Dates'!V945&lt;&gt;"Full day",'_Dates'!U945&lt;&gt;'_Dates'!V945),"CHECK same-day portions disagree",IF(AND($B$6=0,OR(AND('_Dates'!U945&lt;&gt;"Full day",'_Dates'!AA945=0),AND('_Dates'!V945&lt;&gt;"Full day",'_Dates'!AB945=0))),"CHECK half-day on non-working date",IF(COUNTIF(Settings!$G$7:$G$11,D945)&lt;&gt;1,"CHECK leave type",IF(AND(Bookings!G945&lt;&gt;"Approved",Bookings!G945&lt;&gt;"Pending",Bookings!G945&lt;&gt;"Cancelled"),"CHECK status","OK")))))))))),"CHECK input"))</ns0:f>
        <ns0:v/>
      </ns0:c>
      <ns0:c r="G945" s="0">
        <ns0:f>IF(OR(F945&lt;&gt;"OK",$B$6&gt;0),0,0.5*(IF(('_Dates'!X945)&lt;('_Dates'!W945),0,INT((('_Dates'!X945)-('_Dates'!W945)+1)/7)*LEN(SUBSTITUTE(W945,"O",""))+LEN(SUBSTITUTE(MID(W945&amp;W945,WEEKDAY(('_Dates'!W945),2),MOD((('_Dates'!X945)-('_Dates'!W945)+1),7)),"O",""))-COUNTIFS(INDEX(AllClosureRows,C945,0),"&gt;="&amp;('_Dates'!W945),INDEX(AllClosureRows,C945,0),"&lt;="&amp;('_Dates'!X945)))+IF(('_Dates'!Z945)&lt;('_Dates'!Y945),0,INT((('_Dates'!Z945)-('_Dates'!Y945)+1)/7)*LEN(SUBSTITUTE(W945,"O",""))+LEN(SUBSTITUTE(MID(W945&amp;W945,WEEKDAY(('_Dates'!Y945),2),MOD((('_Dates'!Z945)-('_Dates'!Y945)+1),7)),"O",""))-COUNTIFS(INDEX(AllClosureRows,C945,0),"&gt;="&amp;('_Dates'!Y945),INDEX(AllClosureRows,C945,0),"&lt;="&amp;('_Dates'!Z945)))))</ns0:f>
        <ns0:v>0</ns0:v>
      </ns0:c>
      <ns0:c r="H945" s="0">
        <ns0:f>IF(OR(F945&lt;&gt;"OK",$B$6&gt;0),0,0.5*(IF((MIN('_Dates'!X945,Settings!$B$9))&lt;('_Dates'!W945),0,INT(((MIN('_Dates'!X945,Settings!$B$9))-('_Dates'!W945)+1)/7)*LEN(SUBSTITUTE(W945,"O",""))+LEN(SUBSTITUTE(MID(W945&amp;W945,WEEKDAY(('_Dates'!W945),2),MOD(((MIN('_Dates'!X945,Settings!$B$9))-('_Dates'!W945)+1),7)),"O",""))-COUNTIFS(INDEX(AllClosureRows,C945,0),"&gt;="&amp;('_Dates'!W945),INDEX(AllClosureRows,C945,0),"&lt;="&amp;(MIN('_Dates'!X945,Settings!$B$9))))+IF((MIN('_Dates'!Z945,Settings!$B$9))&lt;('_Dates'!Y945),0,INT(((MIN('_Dates'!Z945,Settings!$B$9))-('_Dates'!Y945)+1)/7)*LEN(SUBSTITUTE(W945,"O",""))+LEN(SUBSTITUTE(MID(W945&amp;W945,WEEKDAY(('_Dates'!Y945),2),MOD(((MIN('_Dates'!Z945,Settings!$B$9))-('_Dates'!Y945)+1),7)),"O",""))-COUNTIFS(INDEX(AllClosureRows,C945,0),"&gt;="&amp;('_Dates'!Y945),INDEX(AllClosureRows,C945,0),"&lt;="&amp;(MIN('_Dates'!Z945,Settings!$B$9))))))</ns0:f>
        <ns0:v>0</ns0:v>
      </ns0:c>
      <ns0:c r="I945" s="0">
        <ns0:f>MAX(0,G945-H945)</ns0:f>
        <ns0:v>0</ns0:v>
      </ns0:c>
      <ns0:c r="J945" s="0">
        <ns0:f>IF(OR(A945=0,F945&lt;&gt;"OK",Bookings!G945="Cancelled",$B$6&gt;0),0,IF('_Dates'!AC945=1,MAX(0,COUNTIFS(rngEngine_B,B945,rngAMStart,"&lt;="&amp;'_Dates'!X945,rngAMEnd,"&gt;="&amp;'_Dates'!W945,rngAMActive,1,rngEngine_F,"OK",rngBookings_F,"&lt;&gt;Cancelled")-1),0)+IF('_Dates'!AD945=1,MAX(0,COUNTIFS(rngEngine_B,B945,rngPMStart,"&lt;="&amp;'_Dates'!Z945,rngPMEnd,"&gt;="&amp;'_Dates'!Y945,rngPMActive,1,rngEngine_F,"OK",rngBookings_F,"&lt;&gt;Cancelled")-1),0))</ns0:f>
        <ns0:v>0</ns0:v>
      </ns0:c>
      <ns0:c r="K945" s="0" t="str">
        <ns0:f>IF(A945=0,"",IF(F945&lt;&gt;"OK",F945,IF(J945&gt;0,"CHECK overlapping entry",IF(AND($B$6=0,G945&lt;=0,Bookings!G945&lt;&gt;"Cancelled"),"CHECK no working days",IF(Bookings!G945="Cancelled","Cancelled","OK")))))</ns0:f>
        <ns0:v/>
      </ns0:c>
      <ns0:c r="L945" s="0">
        <ns0:f>IF(LEFT(K945,5)="CHECK",1,0)</ns0:f>
        <ns0:v>0</ns0:v>
      </ns0:c>
      <ns0:c r="M945" s="0">
        <ns0:f>IF(AND(L945=1,OR(C945=0,IFERROR(INDEX($X$11:$X$60,C945),0)=0)),1,0)</ns0:f>
        <ns0:v>0</ns0:v>
      </ns0:c>
      <ns0:c r="N945" s="0">
        <ns0:f>IF(OR(A945=0,L945&gt;0,$B$6&gt;0,Bookings!G945="Cancelled"),0,G945)</ns0:f>
        <ns0:v>0</ns0:v>
      </ns0:c>
      <ns0:c r="O945" s="0">
        <ns0:f>IF(AND(Bookings!G945="Approved",E945="Yes"),N945,0)</ns0:f>
        <ns0:v>0</ns0:v>
      </ns0:c>
      <ns0:c r="P945" s="0">
        <ns0:f>IF(AND(Bookings!G945="Approved",E945="Yes",L945=0,$B$6=0),H945,0)</ns0:f>
        <ns0:v>0</ns0:v>
      </ns0:c>
      <ns0:c r="Q945" s="0">
        <ns0:f>IF(AND(Bookings!G945="Approved",E945="Yes",L945=0,$B$6=0),I945,0)</ns0:f>
        <ns0:v>0</ns0:v>
      </ns0:c>
      <ns0:c r="R945" s="0">
        <ns0:f>IF(AND(Bookings!G945="Pending",E945="Yes"),N945,0)</ns0:f>
        <ns0:v>0</ns0:v>
      </ns0:c>
      <ns0:c r="S945" s="0">
        <ns0:f>IF(AND(Bookings!G945="Approved",E945="No"),N945,0)</ns0:f>
        <ns0:v>0</ns0:v>
      </ns0:c>
      <ns0:c r="T945" s="0">
        <ns0:f>IFERROR(MATCH(D945,Settings!$G$7:$G$11,0),0)</ns0:f>
        <ns0:v>0</ns0:v>
      </ns0:c>
      <ns0:c r="U945" s="0">
        <ns0:f>IF(N945&gt;0,T945+IF(Bookings!G945="Pending",10,0),0)</ns0:f>
        <ns0:v>0</ns0:v>
      </ns0:c>
      <ns0:c r="V945" s="0">
        <ns0:f>U945</ns0:f>
        <ns0:v>0</ns0:v>
      </ns0:c>
      <ns0:c r="W945" s="0" t="str">
        <ns0:f>IF(C945=0,"",INDEX($AP$11:$AP$60,C945))</ns0:f>
        <ns0:v/>
      </ns0:c>
    </ns0:row>
    <ns0:row r="946">
      <ns0:c r="A946" s="0">
        <ns0:f>IF(COUNTA(Bookings!A946:G946,Bookings!I946)=0,0,1)</ns0:f>
        <ns0:v>0</ns0:v>
      </ns0:c>
      <ns0:c r="B946" s="0" t="str">
        <ns0:f>IFERROR(TRIM(MID(Bookings!A946,FIND(" · ",Bookings!A946)+3,99)),"")</ns0:f>
        <ns0:v/>
      </ns0:c>
      <ns0:c r="C946" s="0">
        <ns0:f>IF(OR(B946="",LEN(B946)&gt;24,ISNUMBER(FIND(" ",B946)),ISNUMBER(FIND("*",B946)),ISNUMBER(FIND("?",B946)),ISNUMBER(FIND("~",B946))),0,IFERROR(MATCH(B946,Team!$A$11:$A$60,0),0))</ns0:f>
        <ns0:v>0</ns0:v>
      </ns0:c>
      <ns0:c r="D946" s="0" t="str">
        <ns0:f>IFERROR(IF(MID(Bookings!F946,LEN(Bookings!F946)-3,3)=" · ",RIGHT(Bookings!F946,1),""),"")</ns0:f>
        <ns0:v/>
      </ns0:c>
      <ns0:c r="E946" s="0" t="str">
        <ns0:f>IFERROR(INDEX(Settings!$H$7:$H$11,MATCH(D946,Settings!$G$7:$G$11,0)),"")</ns0:f>
        <ns0:v/>
      </ns0:c>
      <ns0:c r="F946" s="0" t="str">
        <ns0:f>IF(A946=0,"",IFERROR(IF(OR(B946="",C946=0),"CHECK employee selection",IF(INDEX(Team!$O$11:$O$60,C946)&lt;&gt;"OK","CHECK employee setup",IF(OR('_Dates'!J946=0,'_Dates'!T946=0),"CHECK date: use DD.MM.YYYY",IF('_Dates'!T946&lt;'_Dates'!J946,"CHECK end before start",IF(AND($B$6=0,OR('_Dates'!J946&lt;Settings!$B$7,'_Dates'!T946&gt;Settings!$B$8)),"CHECK split across leave years",IF(OR(NOT(OR('_Dates'!U946="Full day",'_Dates'!U946="AM",'_Dates'!U946="PM")),NOT(OR('_Dates'!V946="Full day",'_Dates'!V946="AM",'_Dates'!V946="PM"))),"CHECK Full day / AM / PM",IF(AND('_Dates'!J946='_Dates'!T946,'_Dates'!U946&lt;&gt;"Full day",'_Dates'!V946&lt;&gt;"Full day",'_Dates'!U946&lt;&gt;'_Dates'!V946),"CHECK same-day portions disagree",IF(AND($B$6=0,OR(AND('_Dates'!U946&lt;&gt;"Full day",'_Dates'!AA946=0),AND('_Dates'!V946&lt;&gt;"Full day",'_Dates'!AB946=0))),"CHECK half-day on non-working date",IF(COUNTIF(Settings!$G$7:$G$11,D946)&lt;&gt;1,"CHECK leave type",IF(AND(Bookings!G946&lt;&gt;"Approved",Bookings!G946&lt;&gt;"Pending",Bookings!G946&lt;&gt;"Cancelled"),"CHECK status","OK")))))))))),"CHECK input"))</ns0:f>
        <ns0:v/>
      </ns0:c>
      <ns0:c r="G946" s="0">
        <ns0:f>IF(OR(F946&lt;&gt;"OK",$B$6&gt;0),0,0.5*(IF(('_Dates'!X946)&lt;('_Dates'!W946),0,INT((('_Dates'!X946)-('_Dates'!W946)+1)/7)*LEN(SUBSTITUTE(W946,"O",""))+LEN(SUBSTITUTE(MID(W946&amp;W946,WEEKDAY(('_Dates'!W946),2),MOD((('_Dates'!X946)-('_Dates'!W946)+1),7)),"O",""))-COUNTIFS(INDEX(AllClosureRows,C946,0),"&gt;="&amp;('_Dates'!W946),INDEX(AllClosureRows,C946,0),"&lt;="&amp;('_Dates'!X946)))+IF(('_Dates'!Z946)&lt;('_Dates'!Y946),0,INT((('_Dates'!Z946)-('_Dates'!Y946)+1)/7)*LEN(SUBSTITUTE(W946,"O",""))+LEN(SUBSTITUTE(MID(W946&amp;W946,WEEKDAY(('_Dates'!Y946),2),MOD((('_Dates'!Z946)-('_Dates'!Y946)+1),7)),"O",""))-COUNTIFS(INDEX(AllClosureRows,C946,0),"&gt;="&amp;('_Dates'!Y946),INDEX(AllClosureRows,C946,0),"&lt;="&amp;('_Dates'!Z946)))))</ns0:f>
        <ns0:v>0</ns0:v>
      </ns0:c>
      <ns0:c r="H946" s="0">
        <ns0:f>IF(OR(F946&lt;&gt;"OK",$B$6&gt;0),0,0.5*(IF((MIN('_Dates'!X946,Settings!$B$9))&lt;('_Dates'!W946),0,INT(((MIN('_Dates'!X946,Settings!$B$9))-('_Dates'!W946)+1)/7)*LEN(SUBSTITUTE(W946,"O",""))+LEN(SUBSTITUTE(MID(W946&amp;W946,WEEKDAY(('_Dates'!W946),2),MOD(((MIN('_Dates'!X946,Settings!$B$9))-('_Dates'!W946)+1),7)),"O",""))-COUNTIFS(INDEX(AllClosureRows,C946,0),"&gt;="&amp;('_Dates'!W946),INDEX(AllClosureRows,C946,0),"&lt;="&amp;(MIN('_Dates'!X946,Settings!$B$9))))+IF((MIN('_Dates'!Z946,Settings!$B$9))&lt;('_Dates'!Y946),0,INT(((MIN('_Dates'!Z946,Settings!$B$9))-('_Dates'!Y946)+1)/7)*LEN(SUBSTITUTE(W946,"O",""))+LEN(SUBSTITUTE(MID(W946&amp;W946,WEEKDAY(('_Dates'!Y946),2),MOD(((MIN('_Dates'!Z946,Settings!$B$9))-('_Dates'!Y946)+1),7)),"O",""))-COUNTIFS(INDEX(AllClosureRows,C946,0),"&gt;="&amp;('_Dates'!Y946),INDEX(AllClosureRows,C946,0),"&lt;="&amp;(MIN('_Dates'!Z946,Settings!$B$9))))))</ns0:f>
        <ns0:v>0</ns0:v>
      </ns0:c>
      <ns0:c r="I946" s="0">
        <ns0:f>MAX(0,G946-H946)</ns0:f>
        <ns0:v>0</ns0:v>
      </ns0:c>
      <ns0:c r="J946" s="0">
        <ns0:f>IF(OR(A946=0,F946&lt;&gt;"OK",Bookings!G946="Cancelled",$B$6&gt;0),0,IF('_Dates'!AC946=1,MAX(0,COUNTIFS(rngEngine_B,B946,rngAMStart,"&lt;="&amp;'_Dates'!X946,rngAMEnd,"&gt;="&amp;'_Dates'!W946,rngAMActive,1,rngEngine_F,"OK",rngBookings_F,"&lt;&gt;Cancelled")-1),0)+IF('_Dates'!AD946=1,MAX(0,COUNTIFS(rngEngine_B,B946,rngPMStart,"&lt;="&amp;'_Dates'!Z946,rngPMEnd,"&gt;="&amp;'_Dates'!Y946,rngPMActive,1,rngEngine_F,"OK",rngBookings_F,"&lt;&gt;Cancelled")-1),0))</ns0:f>
        <ns0:v>0</ns0:v>
      </ns0:c>
      <ns0:c r="K946" s="0" t="str">
        <ns0:f>IF(A946=0,"",IF(F946&lt;&gt;"OK",F946,IF(J946&gt;0,"CHECK overlapping entry",IF(AND($B$6=0,G946&lt;=0,Bookings!G946&lt;&gt;"Cancelled"),"CHECK no working days",IF(Bookings!G946="Cancelled","Cancelled","OK")))))</ns0:f>
        <ns0:v/>
      </ns0:c>
      <ns0:c r="L946" s="0">
        <ns0:f>IF(LEFT(K946,5)="CHECK",1,0)</ns0:f>
        <ns0:v>0</ns0:v>
      </ns0:c>
      <ns0:c r="M946" s="0">
        <ns0:f>IF(AND(L946=1,OR(C946=0,IFERROR(INDEX($X$11:$X$60,C946),0)=0)),1,0)</ns0:f>
        <ns0:v>0</ns0:v>
      </ns0:c>
      <ns0:c r="N946" s="0">
        <ns0:f>IF(OR(A946=0,L946&gt;0,$B$6&gt;0,Bookings!G946="Cancelled"),0,G946)</ns0:f>
        <ns0:v>0</ns0:v>
      </ns0:c>
      <ns0:c r="O946" s="0">
        <ns0:f>IF(AND(Bookings!G946="Approved",E946="Yes"),N946,0)</ns0:f>
        <ns0:v>0</ns0:v>
      </ns0:c>
      <ns0:c r="P946" s="0">
        <ns0:f>IF(AND(Bookings!G946="Approved",E946="Yes",L946=0,$B$6=0),H946,0)</ns0:f>
        <ns0:v>0</ns0:v>
      </ns0:c>
      <ns0:c r="Q946" s="0">
        <ns0:f>IF(AND(Bookings!G946="Approved",E946="Yes",L946=0,$B$6=0),I946,0)</ns0:f>
        <ns0:v>0</ns0:v>
      </ns0:c>
      <ns0:c r="R946" s="0">
        <ns0:f>IF(AND(Bookings!G946="Pending",E946="Yes"),N946,0)</ns0:f>
        <ns0:v>0</ns0:v>
      </ns0:c>
      <ns0:c r="S946" s="0">
        <ns0:f>IF(AND(Bookings!G946="Approved",E946="No"),N946,0)</ns0:f>
        <ns0:v>0</ns0:v>
      </ns0:c>
      <ns0:c r="T946" s="0">
        <ns0:f>IFERROR(MATCH(D946,Settings!$G$7:$G$11,0),0)</ns0:f>
        <ns0:v>0</ns0:v>
      </ns0:c>
      <ns0:c r="U946" s="0">
        <ns0:f>IF(N946&gt;0,T946+IF(Bookings!G946="Pending",10,0),0)</ns0:f>
        <ns0:v>0</ns0:v>
      </ns0:c>
      <ns0:c r="V946" s="0">
        <ns0:f>U946</ns0:f>
        <ns0:v>0</ns0:v>
      </ns0:c>
      <ns0:c r="W946" s="0" t="str">
        <ns0:f>IF(C946=0,"",INDEX($AP$11:$AP$60,C946))</ns0:f>
        <ns0:v/>
      </ns0:c>
    </ns0:row>
    <ns0:row r="947">
      <ns0:c r="A947" s="0">
        <ns0:f>IF(COUNTA(Bookings!A947:G947,Bookings!I947)=0,0,1)</ns0:f>
        <ns0:v>0</ns0:v>
      </ns0:c>
      <ns0:c r="B947" s="0" t="str">
        <ns0:f>IFERROR(TRIM(MID(Bookings!A947,FIND(" · ",Bookings!A947)+3,99)),"")</ns0:f>
        <ns0:v/>
      </ns0:c>
      <ns0:c r="C947" s="0">
        <ns0:f>IF(OR(B947="",LEN(B947)&gt;24,ISNUMBER(FIND(" ",B947)),ISNUMBER(FIND("*",B947)),ISNUMBER(FIND("?",B947)),ISNUMBER(FIND("~",B947))),0,IFERROR(MATCH(B947,Team!$A$11:$A$60,0),0))</ns0:f>
        <ns0:v>0</ns0:v>
      </ns0:c>
      <ns0:c r="D947" s="0" t="str">
        <ns0:f>IFERROR(IF(MID(Bookings!F947,LEN(Bookings!F947)-3,3)=" · ",RIGHT(Bookings!F947,1),""),"")</ns0:f>
        <ns0:v/>
      </ns0:c>
      <ns0:c r="E947" s="0" t="str">
        <ns0:f>IFERROR(INDEX(Settings!$H$7:$H$11,MATCH(D947,Settings!$G$7:$G$11,0)),"")</ns0:f>
        <ns0:v/>
      </ns0:c>
      <ns0:c r="F947" s="0" t="str">
        <ns0:f>IF(A947=0,"",IFERROR(IF(OR(B947="",C947=0),"CHECK employee selection",IF(INDEX(Team!$O$11:$O$60,C947)&lt;&gt;"OK","CHECK employee setup",IF(OR('_Dates'!J947=0,'_Dates'!T947=0),"CHECK date: use DD.MM.YYYY",IF('_Dates'!T947&lt;'_Dates'!J947,"CHECK end before start",IF(AND($B$6=0,OR('_Dates'!J947&lt;Settings!$B$7,'_Dates'!T947&gt;Settings!$B$8)),"CHECK split across leave years",IF(OR(NOT(OR('_Dates'!U947="Full day",'_Dates'!U947="AM",'_Dates'!U947="PM")),NOT(OR('_Dates'!V947="Full day",'_Dates'!V947="AM",'_Dates'!V947="PM"))),"CHECK Full day / AM / PM",IF(AND('_Dates'!J947='_Dates'!T947,'_Dates'!U947&lt;&gt;"Full day",'_Dates'!V947&lt;&gt;"Full day",'_Dates'!U947&lt;&gt;'_Dates'!V947),"CHECK same-day portions disagree",IF(AND($B$6=0,OR(AND('_Dates'!U947&lt;&gt;"Full day",'_Dates'!AA947=0),AND('_Dates'!V947&lt;&gt;"Full day",'_Dates'!AB947=0))),"CHECK half-day on non-working date",IF(COUNTIF(Settings!$G$7:$G$11,D947)&lt;&gt;1,"CHECK leave type",IF(AND(Bookings!G947&lt;&gt;"Approved",Bookings!G947&lt;&gt;"Pending",Bookings!G947&lt;&gt;"Cancelled"),"CHECK status","OK")))))))))),"CHECK input"))</ns0:f>
        <ns0:v/>
      </ns0:c>
      <ns0:c r="G947" s="0">
        <ns0:f>IF(OR(F947&lt;&gt;"OK",$B$6&gt;0),0,0.5*(IF(('_Dates'!X947)&lt;('_Dates'!W947),0,INT((('_Dates'!X947)-('_Dates'!W947)+1)/7)*LEN(SUBSTITUTE(W947,"O",""))+LEN(SUBSTITUTE(MID(W947&amp;W947,WEEKDAY(('_Dates'!W947),2),MOD((('_Dates'!X947)-('_Dates'!W947)+1),7)),"O",""))-COUNTIFS(INDEX(AllClosureRows,C947,0),"&gt;="&amp;('_Dates'!W947),INDEX(AllClosureRows,C947,0),"&lt;="&amp;('_Dates'!X947)))+IF(('_Dates'!Z947)&lt;('_Dates'!Y947),0,INT((('_Dates'!Z947)-('_Dates'!Y947)+1)/7)*LEN(SUBSTITUTE(W947,"O",""))+LEN(SUBSTITUTE(MID(W947&amp;W947,WEEKDAY(('_Dates'!Y947),2),MOD((('_Dates'!Z947)-('_Dates'!Y947)+1),7)),"O",""))-COUNTIFS(INDEX(AllClosureRows,C947,0),"&gt;="&amp;('_Dates'!Y947),INDEX(AllClosureRows,C947,0),"&lt;="&amp;('_Dates'!Z947)))))</ns0:f>
        <ns0:v>0</ns0:v>
      </ns0:c>
      <ns0:c r="H947" s="0">
        <ns0:f>IF(OR(F947&lt;&gt;"OK",$B$6&gt;0),0,0.5*(IF((MIN('_Dates'!X947,Settings!$B$9))&lt;('_Dates'!W947),0,INT(((MIN('_Dates'!X947,Settings!$B$9))-('_Dates'!W947)+1)/7)*LEN(SUBSTITUTE(W947,"O",""))+LEN(SUBSTITUTE(MID(W947&amp;W947,WEEKDAY(('_Dates'!W947),2),MOD(((MIN('_Dates'!X947,Settings!$B$9))-('_Dates'!W947)+1),7)),"O",""))-COUNTIFS(INDEX(AllClosureRows,C947,0),"&gt;="&amp;('_Dates'!W947),INDEX(AllClosureRows,C947,0),"&lt;="&amp;(MIN('_Dates'!X947,Settings!$B$9))))+IF((MIN('_Dates'!Z947,Settings!$B$9))&lt;('_Dates'!Y947),0,INT(((MIN('_Dates'!Z947,Settings!$B$9))-('_Dates'!Y947)+1)/7)*LEN(SUBSTITUTE(W947,"O",""))+LEN(SUBSTITUTE(MID(W947&amp;W947,WEEKDAY(('_Dates'!Y947),2),MOD(((MIN('_Dates'!Z947,Settings!$B$9))-('_Dates'!Y947)+1),7)),"O",""))-COUNTIFS(INDEX(AllClosureRows,C947,0),"&gt;="&amp;('_Dates'!Y947),INDEX(AllClosureRows,C947,0),"&lt;="&amp;(MIN('_Dates'!Z947,Settings!$B$9))))))</ns0:f>
        <ns0:v>0</ns0:v>
      </ns0:c>
      <ns0:c r="I947" s="0">
        <ns0:f>MAX(0,G947-H947)</ns0:f>
        <ns0:v>0</ns0:v>
      </ns0:c>
      <ns0:c r="J947" s="0">
        <ns0:f>IF(OR(A947=0,F947&lt;&gt;"OK",Bookings!G947="Cancelled",$B$6&gt;0),0,IF('_Dates'!AC947=1,MAX(0,COUNTIFS(rngEngine_B,B947,rngAMStart,"&lt;="&amp;'_Dates'!X947,rngAMEnd,"&gt;="&amp;'_Dates'!W947,rngAMActive,1,rngEngine_F,"OK",rngBookings_F,"&lt;&gt;Cancelled")-1),0)+IF('_Dates'!AD947=1,MAX(0,COUNTIFS(rngEngine_B,B947,rngPMStart,"&lt;="&amp;'_Dates'!Z947,rngPMEnd,"&gt;="&amp;'_Dates'!Y947,rngPMActive,1,rngEngine_F,"OK",rngBookings_F,"&lt;&gt;Cancelled")-1),0))</ns0:f>
        <ns0:v>0</ns0:v>
      </ns0:c>
      <ns0:c r="K947" s="0" t="str">
        <ns0:f>IF(A947=0,"",IF(F947&lt;&gt;"OK",F947,IF(J947&gt;0,"CHECK overlapping entry",IF(AND($B$6=0,G947&lt;=0,Bookings!G947&lt;&gt;"Cancelled"),"CHECK no working days",IF(Bookings!G947="Cancelled","Cancelled","OK")))))</ns0:f>
        <ns0:v/>
      </ns0:c>
      <ns0:c r="L947" s="0">
        <ns0:f>IF(LEFT(K947,5)="CHECK",1,0)</ns0:f>
        <ns0:v>0</ns0:v>
      </ns0:c>
      <ns0:c r="M947" s="0">
        <ns0:f>IF(AND(L947=1,OR(C947=0,IFERROR(INDEX($X$11:$X$60,C947),0)=0)),1,0)</ns0:f>
        <ns0:v>0</ns0:v>
      </ns0:c>
      <ns0:c r="N947" s="0">
        <ns0:f>IF(OR(A947=0,L947&gt;0,$B$6&gt;0,Bookings!G947="Cancelled"),0,G947)</ns0:f>
        <ns0:v>0</ns0:v>
      </ns0:c>
      <ns0:c r="O947" s="0">
        <ns0:f>IF(AND(Bookings!G947="Approved",E947="Yes"),N947,0)</ns0:f>
        <ns0:v>0</ns0:v>
      </ns0:c>
      <ns0:c r="P947" s="0">
        <ns0:f>IF(AND(Bookings!G947="Approved",E947="Yes",L947=0,$B$6=0),H947,0)</ns0:f>
        <ns0:v>0</ns0:v>
      </ns0:c>
      <ns0:c r="Q947" s="0">
        <ns0:f>IF(AND(Bookings!G947="Approved",E947="Yes",L947=0,$B$6=0),I947,0)</ns0:f>
        <ns0:v>0</ns0:v>
      </ns0:c>
      <ns0:c r="R947" s="0">
        <ns0:f>IF(AND(Bookings!G947="Pending",E947="Yes"),N947,0)</ns0:f>
        <ns0:v>0</ns0:v>
      </ns0:c>
      <ns0:c r="S947" s="0">
        <ns0:f>IF(AND(Bookings!G947="Approved",E947="No"),N947,0)</ns0:f>
        <ns0:v>0</ns0:v>
      </ns0:c>
      <ns0:c r="T947" s="0">
        <ns0:f>IFERROR(MATCH(D947,Settings!$G$7:$G$11,0),0)</ns0:f>
        <ns0:v>0</ns0:v>
      </ns0:c>
      <ns0:c r="U947" s="0">
        <ns0:f>IF(N947&gt;0,T947+IF(Bookings!G947="Pending",10,0),0)</ns0:f>
        <ns0:v>0</ns0:v>
      </ns0:c>
      <ns0:c r="V947" s="0">
        <ns0:f>U947</ns0:f>
        <ns0:v>0</ns0:v>
      </ns0:c>
      <ns0:c r="W947" s="0" t="str">
        <ns0:f>IF(C947=0,"",INDEX($AP$11:$AP$60,C947))</ns0:f>
        <ns0:v/>
      </ns0:c>
    </ns0:row>
    <ns0:row r="948">
      <ns0:c r="A948" s="0">
        <ns0:f>IF(COUNTA(Bookings!A948:G948,Bookings!I948)=0,0,1)</ns0:f>
        <ns0:v>0</ns0:v>
      </ns0:c>
      <ns0:c r="B948" s="0" t="str">
        <ns0:f>IFERROR(TRIM(MID(Bookings!A948,FIND(" · ",Bookings!A948)+3,99)),"")</ns0:f>
        <ns0:v/>
      </ns0:c>
      <ns0:c r="C948" s="0">
        <ns0:f>IF(OR(B948="",LEN(B948)&gt;24,ISNUMBER(FIND(" ",B948)),ISNUMBER(FIND("*",B948)),ISNUMBER(FIND("?",B948)),ISNUMBER(FIND("~",B948))),0,IFERROR(MATCH(B948,Team!$A$11:$A$60,0),0))</ns0:f>
        <ns0:v>0</ns0:v>
      </ns0:c>
      <ns0:c r="D948" s="0" t="str">
        <ns0:f>IFERROR(IF(MID(Bookings!F948,LEN(Bookings!F948)-3,3)=" · ",RIGHT(Bookings!F948,1),""),"")</ns0:f>
        <ns0:v/>
      </ns0:c>
      <ns0:c r="E948" s="0" t="str">
        <ns0:f>IFERROR(INDEX(Settings!$H$7:$H$11,MATCH(D948,Settings!$G$7:$G$11,0)),"")</ns0:f>
        <ns0:v/>
      </ns0:c>
      <ns0:c r="F948" s="0" t="str">
        <ns0:f>IF(A948=0,"",IFERROR(IF(OR(B948="",C948=0),"CHECK employee selection",IF(INDEX(Team!$O$11:$O$60,C948)&lt;&gt;"OK","CHECK employee setup",IF(OR('_Dates'!J948=0,'_Dates'!T948=0),"CHECK date: use DD.MM.YYYY",IF('_Dates'!T948&lt;'_Dates'!J948,"CHECK end before start",IF(AND($B$6=0,OR('_Dates'!J948&lt;Settings!$B$7,'_Dates'!T948&gt;Settings!$B$8)),"CHECK split across leave years",IF(OR(NOT(OR('_Dates'!U948="Full day",'_Dates'!U948="AM",'_Dates'!U948="PM")),NOT(OR('_Dates'!V948="Full day",'_Dates'!V948="AM",'_Dates'!V948="PM"))),"CHECK Full day / AM / PM",IF(AND('_Dates'!J948='_Dates'!T948,'_Dates'!U948&lt;&gt;"Full day",'_Dates'!V948&lt;&gt;"Full day",'_Dates'!U948&lt;&gt;'_Dates'!V948),"CHECK same-day portions disagree",IF(AND($B$6=0,OR(AND('_Dates'!U948&lt;&gt;"Full day",'_Dates'!AA948=0),AND('_Dates'!V948&lt;&gt;"Full day",'_Dates'!AB948=0))),"CHECK half-day on non-working date",IF(COUNTIF(Settings!$G$7:$G$11,D948)&lt;&gt;1,"CHECK leave type",IF(AND(Bookings!G948&lt;&gt;"Approved",Bookings!G948&lt;&gt;"Pending",Bookings!G948&lt;&gt;"Cancelled"),"CHECK status","OK")))))))))),"CHECK input"))</ns0:f>
        <ns0:v/>
      </ns0:c>
      <ns0:c r="G948" s="0">
        <ns0:f>IF(OR(F948&lt;&gt;"OK",$B$6&gt;0),0,0.5*(IF(('_Dates'!X948)&lt;('_Dates'!W948),0,INT((('_Dates'!X948)-('_Dates'!W948)+1)/7)*LEN(SUBSTITUTE(W948,"O",""))+LEN(SUBSTITUTE(MID(W948&amp;W948,WEEKDAY(('_Dates'!W948),2),MOD((('_Dates'!X948)-('_Dates'!W948)+1),7)),"O",""))-COUNTIFS(INDEX(AllClosureRows,C948,0),"&gt;="&amp;('_Dates'!W948),INDEX(AllClosureRows,C948,0),"&lt;="&amp;('_Dates'!X948)))+IF(('_Dates'!Z948)&lt;('_Dates'!Y948),0,INT((('_Dates'!Z948)-('_Dates'!Y948)+1)/7)*LEN(SUBSTITUTE(W948,"O",""))+LEN(SUBSTITUTE(MID(W948&amp;W948,WEEKDAY(('_Dates'!Y948),2),MOD((('_Dates'!Z948)-('_Dates'!Y948)+1),7)),"O",""))-COUNTIFS(INDEX(AllClosureRows,C948,0),"&gt;="&amp;('_Dates'!Y948),INDEX(AllClosureRows,C948,0),"&lt;="&amp;('_Dates'!Z948)))))</ns0:f>
        <ns0:v>0</ns0:v>
      </ns0:c>
      <ns0:c r="H948" s="0">
        <ns0:f>IF(OR(F948&lt;&gt;"OK",$B$6&gt;0),0,0.5*(IF((MIN('_Dates'!X948,Settings!$B$9))&lt;('_Dates'!W948),0,INT(((MIN('_Dates'!X948,Settings!$B$9))-('_Dates'!W948)+1)/7)*LEN(SUBSTITUTE(W948,"O",""))+LEN(SUBSTITUTE(MID(W948&amp;W948,WEEKDAY(('_Dates'!W948),2),MOD(((MIN('_Dates'!X948,Settings!$B$9))-('_Dates'!W948)+1),7)),"O",""))-COUNTIFS(INDEX(AllClosureRows,C948,0),"&gt;="&amp;('_Dates'!W948),INDEX(AllClosureRows,C948,0),"&lt;="&amp;(MIN('_Dates'!X948,Settings!$B$9))))+IF((MIN('_Dates'!Z948,Settings!$B$9))&lt;('_Dates'!Y948),0,INT(((MIN('_Dates'!Z948,Settings!$B$9))-('_Dates'!Y948)+1)/7)*LEN(SUBSTITUTE(W948,"O",""))+LEN(SUBSTITUTE(MID(W948&amp;W948,WEEKDAY(('_Dates'!Y948),2),MOD(((MIN('_Dates'!Z948,Settings!$B$9))-('_Dates'!Y948)+1),7)),"O",""))-COUNTIFS(INDEX(AllClosureRows,C948,0),"&gt;="&amp;('_Dates'!Y948),INDEX(AllClosureRows,C948,0),"&lt;="&amp;(MIN('_Dates'!Z948,Settings!$B$9))))))</ns0:f>
        <ns0:v>0</ns0:v>
      </ns0:c>
      <ns0:c r="I948" s="0">
        <ns0:f>MAX(0,G948-H948)</ns0:f>
        <ns0:v>0</ns0:v>
      </ns0:c>
      <ns0:c r="J948" s="0">
        <ns0:f>IF(OR(A948=0,F948&lt;&gt;"OK",Bookings!G948="Cancelled",$B$6&gt;0),0,IF('_Dates'!AC948=1,MAX(0,COUNTIFS(rngEngine_B,B948,rngAMStart,"&lt;="&amp;'_Dates'!X948,rngAMEnd,"&gt;="&amp;'_Dates'!W948,rngAMActive,1,rngEngine_F,"OK",rngBookings_F,"&lt;&gt;Cancelled")-1),0)+IF('_Dates'!AD948=1,MAX(0,COUNTIFS(rngEngine_B,B948,rngPMStart,"&lt;="&amp;'_Dates'!Z948,rngPMEnd,"&gt;="&amp;'_Dates'!Y948,rngPMActive,1,rngEngine_F,"OK",rngBookings_F,"&lt;&gt;Cancelled")-1),0))</ns0:f>
        <ns0:v>0</ns0:v>
      </ns0:c>
      <ns0:c r="K948" s="0" t="str">
        <ns0:f>IF(A948=0,"",IF(F948&lt;&gt;"OK",F948,IF(J948&gt;0,"CHECK overlapping entry",IF(AND($B$6=0,G948&lt;=0,Bookings!G948&lt;&gt;"Cancelled"),"CHECK no working days",IF(Bookings!G948="Cancelled","Cancelled","OK")))))</ns0:f>
        <ns0:v/>
      </ns0:c>
      <ns0:c r="L948" s="0">
        <ns0:f>IF(LEFT(K948,5)="CHECK",1,0)</ns0:f>
        <ns0:v>0</ns0:v>
      </ns0:c>
      <ns0:c r="M948" s="0">
        <ns0:f>IF(AND(L948=1,OR(C948=0,IFERROR(INDEX($X$11:$X$60,C948),0)=0)),1,0)</ns0:f>
        <ns0:v>0</ns0:v>
      </ns0:c>
      <ns0:c r="N948" s="0">
        <ns0:f>IF(OR(A948=0,L948&gt;0,$B$6&gt;0,Bookings!G948="Cancelled"),0,G948)</ns0:f>
        <ns0:v>0</ns0:v>
      </ns0:c>
      <ns0:c r="O948" s="0">
        <ns0:f>IF(AND(Bookings!G948="Approved",E948="Yes"),N948,0)</ns0:f>
        <ns0:v>0</ns0:v>
      </ns0:c>
      <ns0:c r="P948" s="0">
        <ns0:f>IF(AND(Bookings!G948="Approved",E948="Yes",L948=0,$B$6=0),H948,0)</ns0:f>
        <ns0:v>0</ns0:v>
      </ns0:c>
      <ns0:c r="Q948" s="0">
        <ns0:f>IF(AND(Bookings!G948="Approved",E948="Yes",L948=0,$B$6=0),I948,0)</ns0:f>
        <ns0:v>0</ns0:v>
      </ns0:c>
      <ns0:c r="R948" s="0">
        <ns0:f>IF(AND(Bookings!G948="Pending",E948="Yes"),N948,0)</ns0:f>
        <ns0:v>0</ns0:v>
      </ns0:c>
      <ns0:c r="S948" s="0">
        <ns0:f>IF(AND(Bookings!G948="Approved",E948="No"),N948,0)</ns0:f>
        <ns0:v>0</ns0:v>
      </ns0:c>
      <ns0:c r="T948" s="0">
        <ns0:f>IFERROR(MATCH(D948,Settings!$G$7:$G$11,0),0)</ns0:f>
        <ns0:v>0</ns0:v>
      </ns0:c>
      <ns0:c r="U948" s="0">
        <ns0:f>IF(N948&gt;0,T948+IF(Bookings!G948="Pending",10,0),0)</ns0:f>
        <ns0:v>0</ns0:v>
      </ns0:c>
      <ns0:c r="V948" s="0">
        <ns0:f>U948</ns0:f>
        <ns0:v>0</ns0:v>
      </ns0:c>
      <ns0:c r="W948" s="0" t="str">
        <ns0:f>IF(C948=0,"",INDEX($AP$11:$AP$60,C948))</ns0:f>
        <ns0:v/>
      </ns0:c>
    </ns0:row>
    <ns0:row r="949">
      <ns0:c r="A949" s="0">
        <ns0:f>IF(COUNTA(Bookings!A949:G949,Bookings!I949)=0,0,1)</ns0:f>
        <ns0:v>0</ns0:v>
      </ns0:c>
      <ns0:c r="B949" s="0" t="str">
        <ns0:f>IFERROR(TRIM(MID(Bookings!A949,FIND(" · ",Bookings!A949)+3,99)),"")</ns0:f>
        <ns0:v/>
      </ns0:c>
      <ns0:c r="C949" s="0">
        <ns0:f>IF(OR(B949="",LEN(B949)&gt;24,ISNUMBER(FIND(" ",B949)),ISNUMBER(FIND("*",B949)),ISNUMBER(FIND("?",B949)),ISNUMBER(FIND("~",B949))),0,IFERROR(MATCH(B949,Team!$A$11:$A$60,0),0))</ns0:f>
        <ns0:v>0</ns0:v>
      </ns0:c>
      <ns0:c r="D949" s="0" t="str">
        <ns0:f>IFERROR(IF(MID(Bookings!F949,LEN(Bookings!F949)-3,3)=" · ",RIGHT(Bookings!F949,1),""),"")</ns0:f>
        <ns0:v/>
      </ns0:c>
      <ns0:c r="E949" s="0" t="str">
        <ns0:f>IFERROR(INDEX(Settings!$H$7:$H$11,MATCH(D949,Settings!$G$7:$G$11,0)),"")</ns0:f>
        <ns0:v/>
      </ns0:c>
      <ns0:c r="F949" s="0" t="str">
        <ns0:f>IF(A949=0,"",IFERROR(IF(OR(B949="",C949=0),"CHECK employee selection",IF(INDEX(Team!$O$11:$O$60,C949)&lt;&gt;"OK","CHECK employee setup",IF(OR('_Dates'!J949=0,'_Dates'!T949=0),"CHECK date: use DD.MM.YYYY",IF('_Dates'!T949&lt;'_Dates'!J949,"CHECK end before start",IF(AND($B$6=0,OR('_Dates'!J949&lt;Settings!$B$7,'_Dates'!T949&gt;Settings!$B$8)),"CHECK split across leave years",IF(OR(NOT(OR('_Dates'!U949="Full day",'_Dates'!U949="AM",'_Dates'!U949="PM")),NOT(OR('_Dates'!V949="Full day",'_Dates'!V949="AM",'_Dates'!V949="PM"))),"CHECK Full day / AM / PM",IF(AND('_Dates'!J949='_Dates'!T949,'_Dates'!U949&lt;&gt;"Full day",'_Dates'!V949&lt;&gt;"Full day",'_Dates'!U949&lt;&gt;'_Dates'!V949),"CHECK same-day portions disagree",IF(AND($B$6=0,OR(AND('_Dates'!U949&lt;&gt;"Full day",'_Dates'!AA949=0),AND('_Dates'!V949&lt;&gt;"Full day",'_Dates'!AB949=0))),"CHECK half-day on non-working date",IF(COUNTIF(Settings!$G$7:$G$11,D949)&lt;&gt;1,"CHECK leave type",IF(AND(Bookings!G949&lt;&gt;"Approved",Bookings!G949&lt;&gt;"Pending",Bookings!G949&lt;&gt;"Cancelled"),"CHECK status","OK")))))))))),"CHECK input"))</ns0:f>
        <ns0:v/>
      </ns0:c>
      <ns0:c r="G949" s="0">
        <ns0:f>IF(OR(F949&lt;&gt;"OK",$B$6&gt;0),0,0.5*(IF(('_Dates'!X949)&lt;('_Dates'!W949),0,INT((('_Dates'!X949)-('_Dates'!W949)+1)/7)*LEN(SUBSTITUTE(W949,"O",""))+LEN(SUBSTITUTE(MID(W949&amp;W949,WEEKDAY(('_Dates'!W949),2),MOD((('_Dates'!X949)-('_Dates'!W949)+1),7)),"O",""))-COUNTIFS(INDEX(AllClosureRows,C949,0),"&gt;="&amp;('_Dates'!W949),INDEX(AllClosureRows,C949,0),"&lt;="&amp;('_Dates'!X949)))+IF(('_Dates'!Z949)&lt;('_Dates'!Y949),0,INT((('_Dates'!Z949)-('_Dates'!Y949)+1)/7)*LEN(SUBSTITUTE(W949,"O",""))+LEN(SUBSTITUTE(MID(W949&amp;W949,WEEKDAY(('_Dates'!Y949),2),MOD((('_Dates'!Z949)-('_Dates'!Y949)+1),7)),"O",""))-COUNTIFS(INDEX(AllClosureRows,C949,0),"&gt;="&amp;('_Dates'!Y949),INDEX(AllClosureRows,C949,0),"&lt;="&amp;('_Dates'!Z949)))))</ns0:f>
        <ns0:v>0</ns0:v>
      </ns0:c>
      <ns0:c r="H949" s="0">
        <ns0:f>IF(OR(F949&lt;&gt;"OK",$B$6&gt;0),0,0.5*(IF((MIN('_Dates'!X949,Settings!$B$9))&lt;('_Dates'!W949),0,INT(((MIN('_Dates'!X949,Settings!$B$9))-('_Dates'!W949)+1)/7)*LEN(SUBSTITUTE(W949,"O",""))+LEN(SUBSTITUTE(MID(W949&amp;W949,WEEKDAY(('_Dates'!W949),2),MOD(((MIN('_Dates'!X949,Settings!$B$9))-('_Dates'!W949)+1),7)),"O",""))-COUNTIFS(INDEX(AllClosureRows,C949,0),"&gt;="&amp;('_Dates'!W949),INDEX(AllClosureRows,C949,0),"&lt;="&amp;(MIN('_Dates'!X949,Settings!$B$9))))+IF((MIN('_Dates'!Z949,Settings!$B$9))&lt;('_Dates'!Y949),0,INT(((MIN('_Dates'!Z949,Settings!$B$9))-('_Dates'!Y949)+1)/7)*LEN(SUBSTITUTE(W949,"O",""))+LEN(SUBSTITUTE(MID(W949&amp;W949,WEEKDAY(('_Dates'!Y949),2),MOD(((MIN('_Dates'!Z949,Settings!$B$9))-('_Dates'!Y949)+1),7)),"O",""))-COUNTIFS(INDEX(AllClosureRows,C949,0),"&gt;="&amp;('_Dates'!Y949),INDEX(AllClosureRows,C949,0),"&lt;="&amp;(MIN('_Dates'!Z949,Settings!$B$9))))))</ns0:f>
        <ns0:v>0</ns0:v>
      </ns0:c>
      <ns0:c r="I949" s="0">
        <ns0:f>MAX(0,G949-H949)</ns0:f>
        <ns0:v>0</ns0:v>
      </ns0:c>
      <ns0:c r="J949" s="0">
        <ns0:f>IF(OR(A949=0,F949&lt;&gt;"OK",Bookings!G949="Cancelled",$B$6&gt;0),0,IF('_Dates'!AC949=1,MAX(0,COUNTIFS(rngEngine_B,B949,rngAMStart,"&lt;="&amp;'_Dates'!X949,rngAMEnd,"&gt;="&amp;'_Dates'!W949,rngAMActive,1,rngEngine_F,"OK",rngBookings_F,"&lt;&gt;Cancelled")-1),0)+IF('_Dates'!AD949=1,MAX(0,COUNTIFS(rngEngine_B,B949,rngPMStart,"&lt;="&amp;'_Dates'!Z949,rngPMEnd,"&gt;="&amp;'_Dates'!Y949,rngPMActive,1,rngEngine_F,"OK",rngBookings_F,"&lt;&gt;Cancelled")-1),0))</ns0:f>
        <ns0:v>0</ns0:v>
      </ns0:c>
      <ns0:c r="K949" s="0" t="str">
        <ns0:f>IF(A949=0,"",IF(F949&lt;&gt;"OK",F949,IF(J949&gt;0,"CHECK overlapping entry",IF(AND($B$6=0,G949&lt;=0,Bookings!G949&lt;&gt;"Cancelled"),"CHECK no working days",IF(Bookings!G949="Cancelled","Cancelled","OK")))))</ns0:f>
        <ns0:v/>
      </ns0:c>
      <ns0:c r="L949" s="0">
        <ns0:f>IF(LEFT(K949,5)="CHECK",1,0)</ns0:f>
        <ns0:v>0</ns0:v>
      </ns0:c>
      <ns0:c r="M949" s="0">
        <ns0:f>IF(AND(L949=1,OR(C949=0,IFERROR(INDEX($X$11:$X$60,C949),0)=0)),1,0)</ns0:f>
        <ns0:v>0</ns0:v>
      </ns0:c>
      <ns0:c r="N949" s="0">
        <ns0:f>IF(OR(A949=0,L949&gt;0,$B$6&gt;0,Bookings!G949="Cancelled"),0,G949)</ns0:f>
        <ns0:v>0</ns0:v>
      </ns0:c>
      <ns0:c r="O949" s="0">
        <ns0:f>IF(AND(Bookings!G949="Approved",E949="Yes"),N949,0)</ns0:f>
        <ns0:v>0</ns0:v>
      </ns0:c>
      <ns0:c r="P949" s="0">
        <ns0:f>IF(AND(Bookings!G949="Approved",E949="Yes",L949=0,$B$6=0),H949,0)</ns0:f>
        <ns0:v>0</ns0:v>
      </ns0:c>
      <ns0:c r="Q949" s="0">
        <ns0:f>IF(AND(Bookings!G949="Approved",E949="Yes",L949=0,$B$6=0),I949,0)</ns0:f>
        <ns0:v>0</ns0:v>
      </ns0:c>
      <ns0:c r="R949" s="0">
        <ns0:f>IF(AND(Bookings!G949="Pending",E949="Yes"),N949,0)</ns0:f>
        <ns0:v>0</ns0:v>
      </ns0:c>
      <ns0:c r="S949" s="0">
        <ns0:f>IF(AND(Bookings!G949="Approved",E949="No"),N949,0)</ns0:f>
        <ns0:v>0</ns0:v>
      </ns0:c>
      <ns0:c r="T949" s="0">
        <ns0:f>IFERROR(MATCH(D949,Settings!$G$7:$G$11,0),0)</ns0:f>
        <ns0:v>0</ns0:v>
      </ns0:c>
      <ns0:c r="U949" s="0">
        <ns0:f>IF(N949&gt;0,T949+IF(Bookings!G949="Pending",10,0),0)</ns0:f>
        <ns0:v>0</ns0:v>
      </ns0:c>
      <ns0:c r="V949" s="0">
        <ns0:f>U949</ns0:f>
        <ns0:v>0</ns0:v>
      </ns0:c>
      <ns0:c r="W949" s="0" t="str">
        <ns0:f>IF(C949=0,"",INDEX($AP$11:$AP$60,C949))</ns0:f>
        <ns0:v/>
      </ns0:c>
    </ns0:row>
    <ns0:row r="950">
      <ns0:c r="A950" s="0">
        <ns0:f>IF(COUNTA(Bookings!A950:G950,Bookings!I950)=0,0,1)</ns0:f>
        <ns0:v>0</ns0:v>
      </ns0:c>
      <ns0:c r="B950" s="0" t="str">
        <ns0:f>IFERROR(TRIM(MID(Bookings!A950,FIND(" · ",Bookings!A950)+3,99)),"")</ns0:f>
        <ns0:v/>
      </ns0:c>
      <ns0:c r="C950" s="0">
        <ns0:f>IF(OR(B950="",LEN(B950)&gt;24,ISNUMBER(FIND(" ",B950)),ISNUMBER(FIND("*",B950)),ISNUMBER(FIND("?",B950)),ISNUMBER(FIND("~",B950))),0,IFERROR(MATCH(B950,Team!$A$11:$A$60,0),0))</ns0:f>
        <ns0:v>0</ns0:v>
      </ns0:c>
      <ns0:c r="D950" s="0" t="str">
        <ns0:f>IFERROR(IF(MID(Bookings!F950,LEN(Bookings!F950)-3,3)=" · ",RIGHT(Bookings!F950,1),""),"")</ns0:f>
        <ns0:v/>
      </ns0:c>
      <ns0:c r="E950" s="0" t="str">
        <ns0:f>IFERROR(INDEX(Settings!$H$7:$H$11,MATCH(D950,Settings!$G$7:$G$11,0)),"")</ns0:f>
        <ns0:v/>
      </ns0:c>
      <ns0:c r="F950" s="0" t="str">
        <ns0:f>IF(A950=0,"",IFERROR(IF(OR(B950="",C950=0),"CHECK employee selection",IF(INDEX(Team!$O$11:$O$60,C950)&lt;&gt;"OK","CHECK employee setup",IF(OR('_Dates'!J950=0,'_Dates'!T950=0),"CHECK date: use DD.MM.YYYY",IF('_Dates'!T950&lt;'_Dates'!J950,"CHECK end before start",IF(AND($B$6=0,OR('_Dates'!J950&lt;Settings!$B$7,'_Dates'!T950&gt;Settings!$B$8)),"CHECK split across leave years",IF(OR(NOT(OR('_Dates'!U950="Full day",'_Dates'!U950="AM",'_Dates'!U950="PM")),NOT(OR('_Dates'!V950="Full day",'_Dates'!V950="AM",'_Dates'!V950="PM"))),"CHECK Full day / AM / PM",IF(AND('_Dates'!J950='_Dates'!T950,'_Dates'!U950&lt;&gt;"Full day",'_Dates'!V950&lt;&gt;"Full day",'_Dates'!U950&lt;&gt;'_Dates'!V950),"CHECK same-day portions disagree",IF(AND($B$6=0,OR(AND('_Dates'!U950&lt;&gt;"Full day",'_Dates'!AA950=0),AND('_Dates'!V950&lt;&gt;"Full day",'_Dates'!AB950=0))),"CHECK half-day on non-working date",IF(COUNTIF(Settings!$G$7:$G$11,D950)&lt;&gt;1,"CHECK leave type",IF(AND(Bookings!G950&lt;&gt;"Approved",Bookings!G950&lt;&gt;"Pending",Bookings!G950&lt;&gt;"Cancelled"),"CHECK status","OK")))))))))),"CHECK input"))</ns0:f>
        <ns0:v/>
      </ns0:c>
      <ns0:c r="G950" s="0">
        <ns0:f>IF(OR(F950&lt;&gt;"OK",$B$6&gt;0),0,0.5*(IF(('_Dates'!X950)&lt;('_Dates'!W950),0,INT((('_Dates'!X950)-('_Dates'!W950)+1)/7)*LEN(SUBSTITUTE(W950,"O",""))+LEN(SUBSTITUTE(MID(W950&amp;W950,WEEKDAY(('_Dates'!W950),2),MOD((('_Dates'!X950)-('_Dates'!W950)+1),7)),"O",""))-COUNTIFS(INDEX(AllClosureRows,C950,0),"&gt;="&amp;('_Dates'!W950),INDEX(AllClosureRows,C950,0),"&lt;="&amp;('_Dates'!X950)))+IF(('_Dates'!Z950)&lt;('_Dates'!Y950),0,INT((('_Dates'!Z950)-('_Dates'!Y950)+1)/7)*LEN(SUBSTITUTE(W950,"O",""))+LEN(SUBSTITUTE(MID(W950&amp;W950,WEEKDAY(('_Dates'!Y950),2),MOD((('_Dates'!Z950)-('_Dates'!Y950)+1),7)),"O",""))-COUNTIFS(INDEX(AllClosureRows,C950,0),"&gt;="&amp;('_Dates'!Y950),INDEX(AllClosureRows,C950,0),"&lt;="&amp;('_Dates'!Z950)))))</ns0:f>
        <ns0:v>0</ns0:v>
      </ns0:c>
      <ns0:c r="H950" s="0">
        <ns0:f>IF(OR(F950&lt;&gt;"OK",$B$6&gt;0),0,0.5*(IF((MIN('_Dates'!X950,Settings!$B$9))&lt;('_Dates'!W950),0,INT(((MIN('_Dates'!X950,Settings!$B$9))-('_Dates'!W950)+1)/7)*LEN(SUBSTITUTE(W950,"O",""))+LEN(SUBSTITUTE(MID(W950&amp;W950,WEEKDAY(('_Dates'!W950),2),MOD(((MIN('_Dates'!X950,Settings!$B$9))-('_Dates'!W950)+1),7)),"O",""))-COUNTIFS(INDEX(AllClosureRows,C950,0),"&gt;="&amp;('_Dates'!W950),INDEX(AllClosureRows,C950,0),"&lt;="&amp;(MIN('_Dates'!X950,Settings!$B$9))))+IF((MIN('_Dates'!Z950,Settings!$B$9))&lt;('_Dates'!Y950),0,INT(((MIN('_Dates'!Z950,Settings!$B$9))-('_Dates'!Y950)+1)/7)*LEN(SUBSTITUTE(W950,"O",""))+LEN(SUBSTITUTE(MID(W950&amp;W950,WEEKDAY(('_Dates'!Y950),2),MOD(((MIN('_Dates'!Z950,Settings!$B$9))-('_Dates'!Y950)+1),7)),"O",""))-COUNTIFS(INDEX(AllClosureRows,C950,0),"&gt;="&amp;('_Dates'!Y950),INDEX(AllClosureRows,C950,0),"&lt;="&amp;(MIN('_Dates'!Z950,Settings!$B$9))))))</ns0:f>
        <ns0:v>0</ns0:v>
      </ns0:c>
      <ns0:c r="I950" s="0">
        <ns0:f>MAX(0,G950-H950)</ns0:f>
        <ns0:v>0</ns0:v>
      </ns0:c>
      <ns0:c r="J950" s="0">
        <ns0:f>IF(OR(A950=0,F950&lt;&gt;"OK",Bookings!G950="Cancelled",$B$6&gt;0),0,IF('_Dates'!AC950=1,MAX(0,COUNTIFS(rngEngine_B,B950,rngAMStart,"&lt;="&amp;'_Dates'!X950,rngAMEnd,"&gt;="&amp;'_Dates'!W950,rngAMActive,1,rngEngine_F,"OK",rngBookings_F,"&lt;&gt;Cancelled")-1),0)+IF('_Dates'!AD950=1,MAX(0,COUNTIFS(rngEngine_B,B950,rngPMStart,"&lt;="&amp;'_Dates'!Z950,rngPMEnd,"&gt;="&amp;'_Dates'!Y950,rngPMActive,1,rngEngine_F,"OK",rngBookings_F,"&lt;&gt;Cancelled")-1),0))</ns0:f>
        <ns0:v>0</ns0:v>
      </ns0:c>
      <ns0:c r="K950" s="0" t="str">
        <ns0:f>IF(A950=0,"",IF(F950&lt;&gt;"OK",F950,IF(J950&gt;0,"CHECK overlapping entry",IF(AND($B$6=0,G950&lt;=0,Bookings!G950&lt;&gt;"Cancelled"),"CHECK no working days",IF(Bookings!G950="Cancelled","Cancelled","OK")))))</ns0:f>
        <ns0:v/>
      </ns0:c>
      <ns0:c r="L950" s="0">
        <ns0:f>IF(LEFT(K950,5)="CHECK",1,0)</ns0:f>
        <ns0:v>0</ns0:v>
      </ns0:c>
      <ns0:c r="M950" s="0">
        <ns0:f>IF(AND(L950=1,OR(C950=0,IFERROR(INDEX($X$11:$X$60,C950),0)=0)),1,0)</ns0:f>
        <ns0:v>0</ns0:v>
      </ns0:c>
      <ns0:c r="N950" s="0">
        <ns0:f>IF(OR(A950=0,L950&gt;0,$B$6&gt;0,Bookings!G950="Cancelled"),0,G950)</ns0:f>
        <ns0:v>0</ns0:v>
      </ns0:c>
      <ns0:c r="O950" s="0">
        <ns0:f>IF(AND(Bookings!G950="Approved",E950="Yes"),N950,0)</ns0:f>
        <ns0:v>0</ns0:v>
      </ns0:c>
      <ns0:c r="P950" s="0">
        <ns0:f>IF(AND(Bookings!G950="Approved",E950="Yes",L950=0,$B$6=0),H950,0)</ns0:f>
        <ns0:v>0</ns0:v>
      </ns0:c>
      <ns0:c r="Q950" s="0">
        <ns0:f>IF(AND(Bookings!G950="Approved",E950="Yes",L950=0,$B$6=0),I950,0)</ns0:f>
        <ns0:v>0</ns0:v>
      </ns0:c>
      <ns0:c r="R950" s="0">
        <ns0:f>IF(AND(Bookings!G950="Pending",E950="Yes"),N950,0)</ns0:f>
        <ns0:v>0</ns0:v>
      </ns0:c>
      <ns0:c r="S950" s="0">
        <ns0:f>IF(AND(Bookings!G950="Approved",E950="No"),N950,0)</ns0:f>
        <ns0:v>0</ns0:v>
      </ns0:c>
      <ns0:c r="T950" s="0">
        <ns0:f>IFERROR(MATCH(D950,Settings!$G$7:$G$11,0),0)</ns0:f>
        <ns0:v>0</ns0:v>
      </ns0:c>
      <ns0:c r="U950" s="0">
        <ns0:f>IF(N950&gt;0,T950+IF(Bookings!G950="Pending",10,0),0)</ns0:f>
        <ns0:v>0</ns0:v>
      </ns0:c>
      <ns0:c r="V950" s="0">
        <ns0:f>U950</ns0:f>
        <ns0:v>0</ns0:v>
      </ns0:c>
      <ns0:c r="W950" s="0" t="str">
        <ns0:f>IF(C950=0,"",INDEX($AP$11:$AP$60,C950))</ns0:f>
        <ns0:v/>
      </ns0:c>
    </ns0:row>
    <ns0:row r="951">
      <ns0:c r="A951" s="0">
        <ns0:f>IF(COUNTA(Bookings!A951:G951,Bookings!I951)=0,0,1)</ns0:f>
        <ns0:v>0</ns0:v>
      </ns0:c>
      <ns0:c r="B951" s="0" t="str">
        <ns0:f>IFERROR(TRIM(MID(Bookings!A951,FIND(" · ",Bookings!A951)+3,99)),"")</ns0:f>
        <ns0:v/>
      </ns0:c>
      <ns0:c r="C951" s="0">
        <ns0:f>IF(OR(B951="",LEN(B951)&gt;24,ISNUMBER(FIND(" ",B951)),ISNUMBER(FIND("*",B951)),ISNUMBER(FIND("?",B951)),ISNUMBER(FIND("~",B951))),0,IFERROR(MATCH(B951,Team!$A$11:$A$60,0),0))</ns0:f>
        <ns0:v>0</ns0:v>
      </ns0:c>
      <ns0:c r="D951" s="0" t="str">
        <ns0:f>IFERROR(IF(MID(Bookings!F951,LEN(Bookings!F951)-3,3)=" · ",RIGHT(Bookings!F951,1),""),"")</ns0:f>
        <ns0:v/>
      </ns0:c>
      <ns0:c r="E951" s="0" t="str">
        <ns0:f>IFERROR(INDEX(Settings!$H$7:$H$11,MATCH(D951,Settings!$G$7:$G$11,0)),"")</ns0:f>
        <ns0:v/>
      </ns0:c>
      <ns0:c r="F951" s="0" t="str">
        <ns0:f>IF(A951=0,"",IFERROR(IF(OR(B951="",C951=0),"CHECK employee selection",IF(INDEX(Team!$O$11:$O$60,C951)&lt;&gt;"OK","CHECK employee setup",IF(OR('_Dates'!J951=0,'_Dates'!T951=0),"CHECK date: use DD.MM.YYYY",IF('_Dates'!T951&lt;'_Dates'!J951,"CHECK end before start",IF(AND($B$6=0,OR('_Dates'!J951&lt;Settings!$B$7,'_Dates'!T951&gt;Settings!$B$8)),"CHECK split across leave years",IF(OR(NOT(OR('_Dates'!U951="Full day",'_Dates'!U951="AM",'_Dates'!U951="PM")),NOT(OR('_Dates'!V951="Full day",'_Dates'!V951="AM",'_Dates'!V951="PM"))),"CHECK Full day / AM / PM",IF(AND('_Dates'!J951='_Dates'!T951,'_Dates'!U951&lt;&gt;"Full day",'_Dates'!V951&lt;&gt;"Full day",'_Dates'!U951&lt;&gt;'_Dates'!V951),"CHECK same-day portions disagree",IF(AND($B$6=0,OR(AND('_Dates'!U951&lt;&gt;"Full day",'_Dates'!AA951=0),AND('_Dates'!V951&lt;&gt;"Full day",'_Dates'!AB951=0))),"CHECK half-day on non-working date",IF(COUNTIF(Settings!$G$7:$G$11,D951)&lt;&gt;1,"CHECK leave type",IF(AND(Bookings!G951&lt;&gt;"Approved",Bookings!G951&lt;&gt;"Pending",Bookings!G951&lt;&gt;"Cancelled"),"CHECK status","OK")))))))))),"CHECK input"))</ns0:f>
        <ns0:v/>
      </ns0:c>
      <ns0:c r="G951" s="0">
        <ns0:f>IF(OR(F951&lt;&gt;"OK",$B$6&gt;0),0,0.5*(IF(('_Dates'!X951)&lt;('_Dates'!W951),0,INT((('_Dates'!X951)-('_Dates'!W951)+1)/7)*LEN(SUBSTITUTE(W951,"O",""))+LEN(SUBSTITUTE(MID(W951&amp;W951,WEEKDAY(('_Dates'!W951),2),MOD((('_Dates'!X951)-('_Dates'!W951)+1),7)),"O",""))-COUNTIFS(INDEX(AllClosureRows,C951,0),"&gt;="&amp;('_Dates'!W951),INDEX(AllClosureRows,C951,0),"&lt;="&amp;('_Dates'!X951)))+IF(('_Dates'!Z951)&lt;('_Dates'!Y951),0,INT((('_Dates'!Z951)-('_Dates'!Y951)+1)/7)*LEN(SUBSTITUTE(W951,"O",""))+LEN(SUBSTITUTE(MID(W951&amp;W951,WEEKDAY(('_Dates'!Y951),2),MOD((('_Dates'!Z951)-('_Dates'!Y951)+1),7)),"O",""))-COUNTIFS(INDEX(AllClosureRows,C951,0),"&gt;="&amp;('_Dates'!Y951),INDEX(AllClosureRows,C951,0),"&lt;="&amp;('_Dates'!Z951)))))</ns0:f>
        <ns0:v>0</ns0:v>
      </ns0:c>
      <ns0:c r="H951" s="0">
        <ns0:f>IF(OR(F951&lt;&gt;"OK",$B$6&gt;0),0,0.5*(IF((MIN('_Dates'!X951,Settings!$B$9))&lt;('_Dates'!W951),0,INT(((MIN('_Dates'!X951,Settings!$B$9))-('_Dates'!W951)+1)/7)*LEN(SUBSTITUTE(W951,"O",""))+LEN(SUBSTITUTE(MID(W951&amp;W951,WEEKDAY(('_Dates'!W951),2),MOD(((MIN('_Dates'!X951,Settings!$B$9))-('_Dates'!W951)+1),7)),"O",""))-COUNTIFS(INDEX(AllClosureRows,C951,0),"&gt;="&amp;('_Dates'!W951),INDEX(AllClosureRows,C951,0),"&lt;="&amp;(MIN('_Dates'!X951,Settings!$B$9))))+IF((MIN('_Dates'!Z951,Settings!$B$9))&lt;('_Dates'!Y951),0,INT(((MIN('_Dates'!Z951,Settings!$B$9))-('_Dates'!Y951)+1)/7)*LEN(SUBSTITUTE(W951,"O",""))+LEN(SUBSTITUTE(MID(W951&amp;W951,WEEKDAY(('_Dates'!Y951),2),MOD(((MIN('_Dates'!Z951,Settings!$B$9))-('_Dates'!Y951)+1),7)),"O",""))-COUNTIFS(INDEX(AllClosureRows,C951,0),"&gt;="&amp;('_Dates'!Y951),INDEX(AllClosureRows,C951,0),"&lt;="&amp;(MIN('_Dates'!Z951,Settings!$B$9))))))</ns0:f>
        <ns0:v>0</ns0:v>
      </ns0:c>
      <ns0:c r="I951" s="0">
        <ns0:f>MAX(0,G951-H951)</ns0:f>
        <ns0:v>0</ns0:v>
      </ns0:c>
      <ns0:c r="J951" s="0">
        <ns0:f>IF(OR(A951=0,F951&lt;&gt;"OK",Bookings!G951="Cancelled",$B$6&gt;0),0,IF('_Dates'!AC951=1,MAX(0,COUNTIFS(rngEngine_B,B951,rngAMStart,"&lt;="&amp;'_Dates'!X951,rngAMEnd,"&gt;="&amp;'_Dates'!W951,rngAMActive,1,rngEngine_F,"OK",rngBookings_F,"&lt;&gt;Cancelled")-1),0)+IF('_Dates'!AD951=1,MAX(0,COUNTIFS(rngEngine_B,B951,rngPMStart,"&lt;="&amp;'_Dates'!Z951,rngPMEnd,"&gt;="&amp;'_Dates'!Y951,rngPMActive,1,rngEngine_F,"OK",rngBookings_F,"&lt;&gt;Cancelled")-1),0))</ns0:f>
        <ns0:v>0</ns0:v>
      </ns0:c>
      <ns0:c r="K951" s="0" t="str">
        <ns0:f>IF(A951=0,"",IF(F951&lt;&gt;"OK",F951,IF(J951&gt;0,"CHECK overlapping entry",IF(AND($B$6=0,G951&lt;=0,Bookings!G951&lt;&gt;"Cancelled"),"CHECK no working days",IF(Bookings!G951="Cancelled","Cancelled","OK")))))</ns0:f>
        <ns0:v/>
      </ns0:c>
      <ns0:c r="L951" s="0">
        <ns0:f>IF(LEFT(K951,5)="CHECK",1,0)</ns0:f>
        <ns0:v>0</ns0:v>
      </ns0:c>
      <ns0:c r="M951" s="0">
        <ns0:f>IF(AND(L951=1,OR(C951=0,IFERROR(INDEX($X$11:$X$60,C951),0)=0)),1,0)</ns0:f>
        <ns0:v>0</ns0:v>
      </ns0:c>
      <ns0:c r="N951" s="0">
        <ns0:f>IF(OR(A951=0,L951&gt;0,$B$6&gt;0,Bookings!G951="Cancelled"),0,G951)</ns0:f>
        <ns0:v>0</ns0:v>
      </ns0:c>
      <ns0:c r="O951" s="0">
        <ns0:f>IF(AND(Bookings!G951="Approved",E951="Yes"),N951,0)</ns0:f>
        <ns0:v>0</ns0:v>
      </ns0:c>
      <ns0:c r="P951" s="0">
        <ns0:f>IF(AND(Bookings!G951="Approved",E951="Yes",L951=0,$B$6=0),H951,0)</ns0:f>
        <ns0:v>0</ns0:v>
      </ns0:c>
      <ns0:c r="Q951" s="0">
        <ns0:f>IF(AND(Bookings!G951="Approved",E951="Yes",L951=0,$B$6=0),I951,0)</ns0:f>
        <ns0:v>0</ns0:v>
      </ns0:c>
      <ns0:c r="R951" s="0">
        <ns0:f>IF(AND(Bookings!G951="Pending",E951="Yes"),N951,0)</ns0:f>
        <ns0:v>0</ns0:v>
      </ns0:c>
      <ns0:c r="S951" s="0">
        <ns0:f>IF(AND(Bookings!G951="Approved",E951="No"),N951,0)</ns0:f>
        <ns0:v>0</ns0:v>
      </ns0:c>
      <ns0:c r="T951" s="0">
        <ns0:f>IFERROR(MATCH(D951,Settings!$G$7:$G$11,0),0)</ns0:f>
        <ns0:v>0</ns0:v>
      </ns0:c>
      <ns0:c r="U951" s="0">
        <ns0:f>IF(N951&gt;0,T951+IF(Bookings!G951="Pending",10,0),0)</ns0:f>
        <ns0:v>0</ns0:v>
      </ns0:c>
      <ns0:c r="V951" s="0">
        <ns0:f>U951</ns0:f>
        <ns0:v>0</ns0:v>
      </ns0:c>
      <ns0:c r="W951" s="0" t="str">
        <ns0:f>IF(C951=0,"",INDEX($AP$11:$AP$60,C951))</ns0:f>
        <ns0:v/>
      </ns0:c>
    </ns0:row>
    <ns0:row r="952">
      <ns0:c r="A952" s="0">
        <ns0:f>IF(COUNTA(Bookings!A952:G952,Bookings!I952)=0,0,1)</ns0:f>
        <ns0:v>0</ns0:v>
      </ns0:c>
      <ns0:c r="B952" s="0" t="str">
        <ns0:f>IFERROR(TRIM(MID(Bookings!A952,FIND(" · ",Bookings!A952)+3,99)),"")</ns0:f>
        <ns0:v/>
      </ns0:c>
      <ns0:c r="C952" s="0">
        <ns0:f>IF(OR(B952="",LEN(B952)&gt;24,ISNUMBER(FIND(" ",B952)),ISNUMBER(FIND("*",B952)),ISNUMBER(FIND("?",B952)),ISNUMBER(FIND("~",B952))),0,IFERROR(MATCH(B952,Team!$A$11:$A$60,0),0))</ns0:f>
        <ns0:v>0</ns0:v>
      </ns0:c>
      <ns0:c r="D952" s="0" t="str">
        <ns0:f>IFERROR(IF(MID(Bookings!F952,LEN(Bookings!F952)-3,3)=" · ",RIGHT(Bookings!F952,1),""),"")</ns0:f>
        <ns0:v/>
      </ns0:c>
      <ns0:c r="E952" s="0" t="str">
        <ns0:f>IFERROR(INDEX(Settings!$H$7:$H$11,MATCH(D952,Settings!$G$7:$G$11,0)),"")</ns0:f>
        <ns0:v/>
      </ns0:c>
      <ns0:c r="F952" s="0" t="str">
        <ns0:f>IF(A952=0,"",IFERROR(IF(OR(B952="",C952=0),"CHECK employee selection",IF(INDEX(Team!$O$11:$O$60,C952)&lt;&gt;"OK","CHECK employee setup",IF(OR('_Dates'!J952=0,'_Dates'!T952=0),"CHECK date: use DD.MM.YYYY",IF('_Dates'!T952&lt;'_Dates'!J952,"CHECK end before start",IF(AND($B$6=0,OR('_Dates'!J952&lt;Settings!$B$7,'_Dates'!T952&gt;Settings!$B$8)),"CHECK split across leave years",IF(OR(NOT(OR('_Dates'!U952="Full day",'_Dates'!U952="AM",'_Dates'!U952="PM")),NOT(OR('_Dates'!V952="Full day",'_Dates'!V952="AM",'_Dates'!V952="PM"))),"CHECK Full day / AM / PM",IF(AND('_Dates'!J952='_Dates'!T952,'_Dates'!U952&lt;&gt;"Full day",'_Dates'!V952&lt;&gt;"Full day",'_Dates'!U952&lt;&gt;'_Dates'!V952),"CHECK same-day portions disagree",IF(AND($B$6=0,OR(AND('_Dates'!U952&lt;&gt;"Full day",'_Dates'!AA952=0),AND('_Dates'!V952&lt;&gt;"Full day",'_Dates'!AB952=0))),"CHECK half-day on non-working date",IF(COUNTIF(Settings!$G$7:$G$11,D952)&lt;&gt;1,"CHECK leave type",IF(AND(Bookings!G952&lt;&gt;"Approved",Bookings!G952&lt;&gt;"Pending",Bookings!G952&lt;&gt;"Cancelled"),"CHECK status","OK")))))))))),"CHECK input"))</ns0:f>
        <ns0:v/>
      </ns0:c>
      <ns0:c r="G952" s="0">
        <ns0:f>IF(OR(F952&lt;&gt;"OK",$B$6&gt;0),0,0.5*(IF(('_Dates'!X952)&lt;('_Dates'!W952),0,INT((('_Dates'!X952)-('_Dates'!W952)+1)/7)*LEN(SUBSTITUTE(W952,"O",""))+LEN(SUBSTITUTE(MID(W952&amp;W952,WEEKDAY(('_Dates'!W952),2),MOD((('_Dates'!X952)-('_Dates'!W952)+1),7)),"O",""))-COUNTIFS(INDEX(AllClosureRows,C952,0),"&gt;="&amp;('_Dates'!W952),INDEX(AllClosureRows,C952,0),"&lt;="&amp;('_Dates'!X952)))+IF(('_Dates'!Z952)&lt;('_Dates'!Y952),0,INT((('_Dates'!Z952)-('_Dates'!Y952)+1)/7)*LEN(SUBSTITUTE(W952,"O",""))+LEN(SUBSTITUTE(MID(W952&amp;W952,WEEKDAY(('_Dates'!Y952),2),MOD((('_Dates'!Z952)-('_Dates'!Y952)+1),7)),"O",""))-COUNTIFS(INDEX(AllClosureRows,C952,0),"&gt;="&amp;('_Dates'!Y952),INDEX(AllClosureRows,C952,0),"&lt;="&amp;('_Dates'!Z952)))))</ns0:f>
        <ns0:v>0</ns0:v>
      </ns0:c>
      <ns0:c r="H952" s="0">
        <ns0:f>IF(OR(F952&lt;&gt;"OK",$B$6&gt;0),0,0.5*(IF((MIN('_Dates'!X952,Settings!$B$9))&lt;('_Dates'!W952),0,INT(((MIN('_Dates'!X952,Settings!$B$9))-('_Dates'!W952)+1)/7)*LEN(SUBSTITUTE(W952,"O",""))+LEN(SUBSTITUTE(MID(W952&amp;W952,WEEKDAY(('_Dates'!W952),2),MOD(((MIN('_Dates'!X952,Settings!$B$9))-('_Dates'!W952)+1),7)),"O",""))-COUNTIFS(INDEX(AllClosureRows,C952,0),"&gt;="&amp;('_Dates'!W952),INDEX(AllClosureRows,C952,0),"&lt;="&amp;(MIN('_Dates'!X952,Settings!$B$9))))+IF((MIN('_Dates'!Z952,Settings!$B$9))&lt;('_Dates'!Y952),0,INT(((MIN('_Dates'!Z952,Settings!$B$9))-('_Dates'!Y952)+1)/7)*LEN(SUBSTITUTE(W952,"O",""))+LEN(SUBSTITUTE(MID(W952&amp;W952,WEEKDAY(('_Dates'!Y952),2),MOD(((MIN('_Dates'!Z952,Settings!$B$9))-('_Dates'!Y952)+1),7)),"O",""))-COUNTIFS(INDEX(AllClosureRows,C952,0),"&gt;="&amp;('_Dates'!Y952),INDEX(AllClosureRows,C952,0),"&lt;="&amp;(MIN('_Dates'!Z952,Settings!$B$9))))))</ns0:f>
        <ns0:v>0</ns0:v>
      </ns0:c>
      <ns0:c r="I952" s="0">
        <ns0:f>MAX(0,G952-H952)</ns0:f>
        <ns0:v>0</ns0:v>
      </ns0:c>
      <ns0:c r="J952" s="0">
        <ns0:f>IF(OR(A952=0,F952&lt;&gt;"OK",Bookings!G952="Cancelled",$B$6&gt;0),0,IF('_Dates'!AC952=1,MAX(0,COUNTIFS(rngEngine_B,B952,rngAMStart,"&lt;="&amp;'_Dates'!X952,rngAMEnd,"&gt;="&amp;'_Dates'!W952,rngAMActive,1,rngEngine_F,"OK",rngBookings_F,"&lt;&gt;Cancelled")-1),0)+IF('_Dates'!AD952=1,MAX(0,COUNTIFS(rngEngine_B,B952,rngPMStart,"&lt;="&amp;'_Dates'!Z952,rngPMEnd,"&gt;="&amp;'_Dates'!Y952,rngPMActive,1,rngEngine_F,"OK",rngBookings_F,"&lt;&gt;Cancelled")-1),0))</ns0:f>
        <ns0:v>0</ns0:v>
      </ns0:c>
      <ns0:c r="K952" s="0" t="str">
        <ns0:f>IF(A952=0,"",IF(F952&lt;&gt;"OK",F952,IF(J952&gt;0,"CHECK overlapping entry",IF(AND($B$6=0,G952&lt;=0,Bookings!G952&lt;&gt;"Cancelled"),"CHECK no working days",IF(Bookings!G952="Cancelled","Cancelled","OK")))))</ns0:f>
        <ns0:v/>
      </ns0:c>
      <ns0:c r="L952" s="0">
        <ns0:f>IF(LEFT(K952,5)="CHECK",1,0)</ns0:f>
        <ns0:v>0</ns0:v>
      </ns0:c>
      <ns0:c r="M952" s="0">
        <ns0:f>IF(AND(L952=1,OR(C952=0,IFERROR(INDEX($X$11:$X$60,C952),0)=0)),1,0)</ns0:f>
        <ns0:v>0</ns0:v>
      </ns0:c>
      <ns0:c r="N952" s="0">
        <ns0:f>IF(OR(A952=0,L952&gt;0,$B$6&gt;0,Bookings!G952="Cancelled"),0,G952)</ns0:f>
        <ns0:v>0</ns0:v>
      </ns0:c>
      <ns0:c r="O952" s="0">
        <ns0:f>IF(AND(Bookings!G952="Approved",E952="Yes"),N952,0)</ns0:f>
        <ns0:v>0</ns0:v>
      </ns0:c>
      <ns0:c r="P952" s="0">
        <ns0:f>IF(AND(Bookings!G952="Approved",E952="Yes",L952=0,$B$6=0),H952,0)</ns0:f>
        <ns0:v>0</ns0:v>
      </ns0:c>
      <ns0:c r="Q952" s="0">
        <ns0:f>IF(AND(Bookings!G952="Approved",E952="Yes",L952=0,$B$6=0),I952,0)</ns0:f>
        <ns0:v>0</ns0:v>
      </ns0:c>
      <ns0:c r="R952" s="0">
        <ns0:f>IF(AND(Bookings!G952="Pending",E952="Yes"),N952,0)</ns0:f>
        <ns0:v>0</ns0:v>
      </ns0:c>
      <ns0:c r="S952" s="0">
        <ns0:f>IF(AND(Bookings!G952="Approved",E952="No"),N952,0)</ns0:f>
        <ns0:v>0</ns0:v>
      </ns0:c>
      <ns0:c r="T952" s="0">
        <ns0:f>IFERROR(MATCH(D952,Settings!$G$7:$G$11,0),0)</ns0:f>
        <ns0:v>0</ns0:v>
      </ns0:c>
      <ns0:c r="U952" s="0">
        <ns0:f>IF(N952&gt;0,T952+IF(Bookings!G952="Pending",10,0),0)</ns0:f>
        <ns0:v>0</ns0:v>
      </ns0:c>
      <ns0:c r="V952" s="0">
        <ns0:f>U952</ns0:f>
        <ns0:v>0</ns0:v>
      </ns0:c>
      <ns0:c r="W952" s="0" t="str">
        <ns0:f>IF(C952=0,"",INDEX($AP$11:$AP$60,C952))</ns0:f>
        <ns0:v/>
      </ns0:c>
    </ns0:row>
    <ns0:row r="953">
      <ns0:c r="A953" s="0">
        <ns0:f>IF(COUNTA(Bookings!A953:G953,Bookings!I953)=0,0,1)</ns0:f>
        <ns0:v>0</ns0:v>
      </ns0:c>
      <ns0:c r="B953" s="0" t="str">
        <ns0:f>IFERROR(TRIM(MID(Bookings!A953,FIND(" · ",Bookings!A953)+3,99)),"")</ns0:f>
        <ns0:v/>
      </ns0:c>
      <ns0:c r="C953" s="0">
        <ns0:f>IF(OR(B953="",LEN(B953)&gt;24,ISNUMBER(FIND(" ",B953)),ISNUMBER(FIND("*",B953)),ISNUMBER(FIND("?",B953)),ISNUMBER(FIND("~",B953))),0,IFERROR(MATCH(B953,Team!$A$11:$A$60,0),0))</ns0:f>
        <ns0:v>0</ns0:v>
      </ns0:c>
      <ns0:c r="D953" s="0" t="str">
        <ns0:f>IFERROR(IF(MID(Bookings!F953,LEN(Bookings!F953)-3,3)=" · ",RIGHT(Bookings!F953,1),""),"")</ns0:f>
        <ns0:v/>
      </ns0:c>
      <ns0:c r="E953" s="0" t="str">
        <ns0:f>IFERROR(INDEX(Settings!$H$7:$H$11,MATCH(D953,Settings!$G$7:$G$11,0)),"")</ns0:f>
        <ns0:v/>
      </ns0:c>
      <ns0:c r="F953" s="0" t="str">
        <ns0:f>IF(A953=0,"",IFERROR(IF(OR(B953="",C953=0),"CHECK employee selection",IF(INDEX(Team!$O$11:$O$60,C953)&lt;&gt;"OK","CHECK employee setup",IF(OR('_Dates'!J953=0,'_Dates'!T953=0),"CHECK date: use DD.MM.YYYY",IF('_Dates'!T953&lt;'_Dates'!J953,"CHECK end before start",IF(AND($B$6=0,OR('_Dates'!J953&lt;Settings!$B$7,'_Dates'!T953&gt;Settings!$B$8)),"CHECK split across leave years",IF(OR(NOT(OR('_Dates'!U953="Full day",'_Dates'!U953="AM",'_Dates'!U953="PM")),NOT(OR('_Dates'!V953="Full day",'_Dates'!V953="AM",'_Dates'!V953="PM"))),"CHECK Full day / AM / PM",IF(AND('_Dates'!J953='_Dates'!T953,'_Dates'!U953&lt;&gt;"Full day",'_Dates'!V953&lt;&gt;"Full day",'_Dates'!U953&lt;&gt;'_Dates'!V953),"CHECK same-day portions disagree",IF(AND($B$6=0,OR(AND('_Dates'!U953&lt;&gt;"Full day",'_Dates'!AA953=0),AND('_Dates'!V953&lt;&gt;"Full day",'_Dates'!AB953=0))),"CHECK half-day on non-working date",IF(COUNTIF(Settings!$G$7:$G$11,D953)&lt;&gt;1,"CHECK leave type",IF(AND(Bookings!G953&lt;&gt;"Approved",Bookings!G953&lt;&gt;"Pending",Bookings!G953&lt;&gt;"Cancelled"),"CHECK status","OK")))))))))),"CHECK input"))</ns0:f>
        <ns0:v/>
      </ns0:c>
      <ns0:c r="G953" s="0">
        <ns0:f>IF(OR(F953&lt;&gt;"OK",$B$6&gt;0),0,0.5*(IF(('_Dates'!X953)&lt;('_Dates'!W953),0,INT((('_Dates'!X953)-('_Dates'!W953)+1)/7)*LEN(SUBSTITUTE(W953,"O",""))+LEN(SUBSTITUTE(MID(W953&amp;W953,WEEKDAY(('_Dates'!W953),2),MOD((('_Dates'!X953)-('_Dates'!W953)+1),7)),"O",""))-COUNTIFS(INDEX(AllClosureRows,C953,0),"&gt;="&amp;('_Dates'!W953),INDEX(AllClosureRows,C953,0),"&lt;="&amp;('_Dates'!X953)))+IF(('_Dates'!Z953)&lt;('_Dates'!Y953),0,INT((('_Dates'!Z953)-('_Dates'!Y953)+1)/7)*LEN(SUBSTITUTE(W953,"O",""))+LEN(SUBSTITUTE(MID(W953&amp;W953,WEEKDAY(('_Dates'!Y953),2),MOD((('_Dates'!Z953)-('_Dates'!Y953)+1),7)),"O",""))-COUNTIFS(INDEX(AllClosureRows,C953,0),"&gt;="&amp;('_Dates'!Y953),INDEX(AllClosureRows,C953,0),"&lt;="&amp;('_Dates'!Z953)))))</ns0:f>
        <ns0:v>0</ns0:v>
      </ns0:c>
      <ns0:c r="H953" s="0">
        <ns0:f>IF(OR(F953&lt;&gt;"OK",$B$6&gt;0),0,0.5*(IF((MIN('_Dates'!X953,Settings!$B$9))&lt;('_Dates'!W953),0,INT(((MIN('_Dates'!X953,Settings!$B$9))-('_Dates'!W953)+1)/7)*LEN(SUBSTITUTE(W953,"O",""))+LEN(SUBSTITUTE(MID(W953&amp;W953,WEEKDAY(('_Dates'!W953),2),MOD(((MIN('_Dates'!X953,Settings!$B$9))-('_Dates'!W953)+1),7)),"O",""))-COUNTIFS(INDEX(AllClosureRows,C953,0),"&gt;="&amp;('_Dates'!W953),INDEX(AllClosureRows,C953,0),"&lt;="&amp;(MIN('_Dates'!X953,Settings!$B$9))))+IF((MIN('_Dates'!Z953,Settings!$B$9))&lt;('_Dates'!Y953),0,INT(((MIN('_Dates'!Z953,Settings!$B$9))-('_Dates'!Y953)+1)/7)*LEN(SUBSTITUTE(W953,"O",""))+LEN(SUBSTITUTE(MID(W953&amp;W953,WEEKDAY(('_Dates'!Y953),2),MOD(((MIN('_Dates'!Z953,Settings!$B$9))-('_Dates'!Y953)+1),7)),"O",""))-COUNTIFS(INDEX(AllClosureRows,C953,0),"&gt;="&amp;('_Dates'!Y953),INDEX(AllClosureRows,C953,0),"&lt;="&amp;(MIN('_Dates'!Z953,Settings!$B$9))))))</ns0:f>
        <ns0:v>0</ns0:v>
      </ns0:c>
      <ns0:c r="I953" s="0">
        <ns0:f>MAX(0,G953-H953)</ns0:f>
        <ns0:v>0</ns0:v>
      </ns0:c>
      <ns0:c r="J953" s="0">
        <ns0:f>IF(OR(A953=0,F953&lt;&gt;"OK",Bookings!G953="Cancelled",$B$6&gt;0),0,IF('_Dates'!AC953=1,MAX(0,COUNTIFS(rngEngine_B,B953,rngAMStart,"&lt;="&amp;'_Dates'!X953,rngAMEnd,"&gt;="&amp;'_Dates'!W953,rngAMActive,1,rngEngine_F,"OK",rngBookings_F,"&lt;&gt;Cancelled")-1),0)+IF('_Dates'!AD953=1,MAX(0,COUNTIFS(rngEngine_B,B953,rngPMStart,"&lt;="&amp;'_Dates'!Z953,rngPMEnd,"&gt;="&amp;'_Dates'!Y953,rngPMActive,1,rngEngine_F,"OK",rngBookings_F,"&lt;&gt;Cancelled")-1),0))</ns0:f>
        <ns0:v>0</ns0:v>
      </ns0:c>
      <ns0:c r="K953" s="0" t="str">
        <ns0:f>IF(A953=0,"",IF(F953&lt;&gt;"OK",F953,IF(J953&gt;0,"CHECK overlapping entry",IF(AND($B$6=0,G953&lt;=0,Bookings!G953&lt;&gt;"Cancelled"),"CHECK no working days",IF(Bookings!G953="Cancelled","Cancelled","OK")))))</ns0:f>
        <ns0:v/>
      </ns0:c>
      <ns0:c r="L953" s="0">
        <ns0:f>IF(LEFT(K953,5)="CHECK",1,0)</ns0:f>
        <ns0:v>0</ns0:v>
      </ns0:c>
      <ns0:c r="M953" s="0">
        <ns0:f>IF(AND(L953=1,OR(C953=0,IFERROR(INDEX($X$11:$X$60,C953),0)=0)),1,0)</ns0:f>
        <ns0:v>0</ns0:v>
      </ns0:c>
      <ns0:c r="N953" s="0">
        <ns0:f>IF(OR(A953=0,L953&gt;0,$B$6&gt;0,Bookings!G953="Cancelled"),0,G953)</ns0:f>
        <ns0:v>0</ns0:v>
      </ns0:c>
      <ns0:c r="O953" s="0">
        <ns0:f>IF(AND(Bookings!G953="Approved",E953="Yes"),N953,0)</ns0:f>
        <ns0:v>0</ns0:v>
      </ns0:c>
      <ns0:c r="P953" s="0">
        <ns0:f>IF(AND(Bookings!G953="Approved",E953="Yes",L953=0,$B$6=0),H953,0)</ns0:f>
        <ns0:v>0</ns0:v>
      </ns0:c>
      <ns0:c r="Q953" s="0">
        <ns0:f>IF(AND(Bookings!G953="Approved",E953="Yes",L953=0,$B$6=0),I953,0)</ns0:f>
        <ns0:v>0</ns0:v>
      </ns0:c>
      <ns0:c r="R953" s="0">
        <ns0:f>IF(AND(Bookings!G953="Pending",E953="Yes"),N953,0)</ns0:f>
        <ns0:v>0</ns0:v>
      </ns0:c>
      <ns0:c r="S953" s="0">
        <ns0:f>IF(AND(Bookings!G953="Approved",E953="No"),N953,0)</ns0:f>
        <ns0:v>0</ns0:v>
      </ns0:c>
      <ns0:c r="T953" s="0">
        <ns0:f>IFERROR(MATCH(D953,Settings!$G$7:$G$11,0),0)</ns0:f>
        <ns0:v>0</ns0:v>
      </ns0:c>
      <ns0:c r="U953" s="0">
        <ns0:f>IF(N953&gt;0,T953+IF(Bookings!G953="Pending",10,0),0)</ns0:f>
        <ns0:v>0</ns0:v>
      </ns0:c>
      <ns0:c r="V953" s="0">
        <ns0:f>U953</ns0:f>
        <ns0:v>0</ns0:v>
      </ns0:c>
      <ns0:c r="W953" s="0" t="str">
        <ns0:f>IF(C953=0,"",INDEX($AP$11:$AP$60,C953))</ns0:f>
        <ns0:v/>
      </ns0:c>
    </ns0:row>
    <ns0:row r="954">
      <ns0:c r="A954" s="0">
        <ns0:f>IF(COUNTA(Bookings!A954:G954,Bookings!I954)=0,0,1)</ns0:f>
        <ns0:v>0</ns0:v>
      </ns0:c>
      <ns0:c r="B954" s="0" t="str">
        <ns0:f>IFERROR(TRIM(MID(Bookings!A954,FIND(" · ",Bookings!A954)+3,99)),"")</ns0:f>
        <ns0:v/>
      </ns0:c>
      <ns0:c r="C954" s="0">
        <ns0:f>IF(OR(B954="",LEN(B954)&gt;24,ISNUMBER(FIND(" ",B954)),ISNUMBER(FIND("*",B954)),ISNUMBER(FIND("?",B954)),ISNUMBER(FIND("~",B954))),0,IFERROR(MATCH(B954,Team!$A$11:$A$60,0),0))</ns0:f>
        <ns0:v>0</ns0:v>
      </ns0:c>
      <ns0:c r="D954" s="0" t="str">
        <ns0:f>IFERROR(IF(MID(Bookings!F954,LEN(Bookings!F954)-3,3)=" · ",RIGHT(Bookings!F954,1),""),"")</ns0:f>
        <ns0:v/>
      </ns0:c>
      <ns0:c r="E954" s="0" t="str">
        <ns0:f>IFERROR(INDEX(Settings!$H$7:$H$11,MATCH(D954,Settings!$G$7:$G$11,0)),"")</ns0:f>
        <ns0:v/>
      </ns0:c>
      <ns0:c r="F954" s="0" t="str">
        <ns0:f>IF(A954=0,"",IFERROR(IF(OR(B954="",C954=0),"CHECK employee selection",IF(INDEX(Team!$O$11:$O$60,C954)&lt;&gt;"OK","CHECK employee setup",IF(OR('_Dates'!J954=0,'_Dates'!T954=0),"CHECK date: use DD.MM.YYYY",IF('_Dates'!T954&lt;'_Dates'!J954,"CHECK end before start",IF(AND($B$6=0,OR('_Dates'!J954&lt;Settings!$B$7,'_Dates'!T954&gt;Settings!$B$8)),"CHECK split across leave years",IF(OR(NOT(OR('_Dates'!U954="Full day",'_Dates'!U954="AM",'_Dates'!U954="PM")),NOT(OR('_Dates'!V954="Full day",'_Dates'!V954="AM",'_Dates'!V954="PM"))),"CHECK Full day / AM / PM",IF(AND('_Dates'!J954='_Dates'!T954,'_Dates'!U954&lt;&gt;"Full day",'_Dates'!V954&lt;&gt;"Full day",'_Dates'!U954&lt;&gt;'_Dates'!V954),"CHECK same-day portions disagree",IF(AND($B$6=0,OR(AND('_Dates'!U954&lt;&gt;"Full day",'_Dates'!AA954=0),AND('_Dates'!V954&lt;&gt;"Full day",'_Dates'!AB954=0))),"CHECK half-day on non-working date",IF(COUNTIF(Settings!$G$7:$G$11,D954)&lt;&gt;1,"CHECK leave type",IF(AND(Bookings!G954&lt;&gt;"Approved",Bookings!G954&lt;&gt;"Pending",Bookings!G954&lt;&gt;"Cancelled"),"CHECK status","OK")))))))))),"CHECK input"))</ns0:f>
        <ns0:v/>
      </ns0:c>
      <ns0:c r="G954" s="0">
        <ns0:f>IF(OR(F954&lt;&gt;"OK",$B$6&gt;0),0,0.5*(IF(('_Dates'!X954)&lt;('_Dates'!W954),0,INT((('_Dates'!X954)-('_Dates'!W954)+1)/7)*LEN(SUBSTITUTE(W954,"O",""))+LEN(SUBSTITUTE(MID(W954&amp;W954,WEEKDAY(('_Dates'!W954),2),MOD((('_Dates'!X954)-('_Dates'!W954)+1),7)),"O",""))-COUNTIFS(INDEX(AllClosureRows,C954,0),"&gt;="&amp;('_Dates'!W954),INDEX(AllClosureRows,C954,0),"&lt;="&amp;('_Dates'!X954)))+IF(('_Dates'!Z954)&lt;('_Dates'!Y954),0,INT((('_Dates'!Z954)-('_Dates'!Y954)+1)/7)*LEN(SUBSTITUTE(W954,"O",""))+LEN(SUBSTITUTE(MID(W954&amp;W954,WEEKDAY(('_Dates'!Y954),2),MOD((('_Dates'!Z954)-('_Dates'!Y954)+1),7)),"O",""))-COUNTIFS(INDEX(AllClosureRows,C954,0),"&gt;="&amp;('_Dates'!Y954),INDEX(AllClosureRows,C954,0),"&lt;="&amp;('_Dates'!Z954)))))</ns0:f>
        <ns0:v>0</ns0:v>
      </ns0:c>
      <ns0:c r="H954" s="0">
        <ns0:f>IF(OR(F954&lt;&gt;"OK",$B$6&gt;0),0,0.5*(IF((MIN('_Dates'!X954,Settings!$B$9))&lt;('_Dates'!W954),0,INT(((MIN('_Dates'!X954,Settings!$B$9))-('_Dates'!W954)+1)/7)*LEN(SUBSTITUTE(W954,"O",""))+LEN(SUBSTITUTE(MID(W954&amp;W954,WEEKDAY(('_Dates'!W954),2),MOD(((MIN('_Dates'!X954,Settings!$B$9))-('_Dates'!W954)+1),7)),"O",""))-COUNTIFS(INDEX(AllClosureRows,C954,0),"&gt;="&amp;('_Dates'!W954),INDEX(AllClosureRows,C954,0),"&lt;="&amp;(MIN('_Dates'!X954,Settings!$B$9))))+IF((MIN('_Dates'!Z954,Settings!$B$9))&lt;('_Dates'!Y954),0,INT(((MIN('_Dates'!Z954,Settings!$B$9))-('_Dates'!Y954)+1)/7)*LEN(SUBSTITUTE(W954,"O",""))+LEN(SUBSTITUTE(MID(W954&amp;W954,WEEKDAY(('_Dates'!Y954),2),MOD(((MIN('_Dates'!Z954,Settings!$B$9))-('_Dates'!Y954)+1),7)),"O",""))-COUNTIFS(INDEX(AllClosureRows,C954,0),"&gt;="&amp;('_Dates'!Y954),INDEX(AllClosureRows,C954,0),"&lt;="&amp;(MIN('_Dates'!Z954,Settings!$B$9))))))</ns0:f>
        <ns0:v>0</ns0:v>
      </ns0:c>
      <ns0:c r="I954" s="0">
        <ns0:f>MAX(0,G954-H954)</ns0:f>
        <ns0:v>0</ns0:v>
      </ns0:c>
      <ns0:c r="J954" s="0">
        <ns0:f>IF(OR(A954=0,F954&lt;&gt;"OK",Bookings!G954="Cancelled",$B$6&gt;0),0,IF('_Dates'!AC954=1,MAX(0,COUNTIFS(rngEngine_B,B954,rngAMStart,"&lt;="&amp;'_Dates'!X954,rngAMEnd,"&gt;="&amp;'_Dates'!W954,rngAMActive,1,rngEngine_F,"OK",rngBookings_F,"&lt;&gt;Cancelled")-1),0)+IF('_Dates'!AD954=1,MAX(0,COUNTIFS(rngEngine_B,B954,rngPMStart,"&lt;="&amp;'_Dates'!Z954,rngPMEnd,"&gt;="&amp;'_Dates'!Y954,rngPMActive,1,rngEngine_F,"OK",rngBookings_F,"&lt;&gt;Cancelled")-1),0))</ns0:f>
        <ns0:v>0</ns0:v>
      </ns0:c>
      <ns0:c r="K954" s="0" t="str">
        <ns0:f>IF(A954=0,"",IF(F954&lt;&gt;"OK",F954,IF(J954&gt;0,"CHECK overlapping entry",IF(AND($B$6=0,G954&lt;=0,Bookings!G954&lt;&gt;"Cancelled"),"CHECK no working days",IF(Bookings!G954="Cancelled","Cancelled","OK")))))</ns0:f>
        <ns0:v/>
      </ns0:c>
      <ns0:c r="L954" s="0">
        <ns0:f>IF(LEFT(K954,5)="CHECK",1,0)</ns0:f>
        <ns0:v>0</ns0:v>
      </ns0:c>
      <ns0:c r="M954" s="0">
        <ns0:f>IF(AND(L954=1,OR(C954=0,IFERROR(INDEX($X$11:$X$60,C954),0)=0)),1,0)</ns0:f>
        <ns0:v>0</ns0:v>
      </ns0:c>
      <ns0:c r="N954" s="0">
        <ns0:f>IF(OR(A954=0,L954&gt;0,$B$6&gt;0,Bookings!G954="Cancelled"),0,G954)</ns0:f>
        <ns0:v>0</ns0:v>
      </ns0:c>
      <ns0:c r="O954" s="0">
        <ns0:f>IF(AND(Bookings!G954="Approved",E954="Yes"),N954,0)</ns0:f>
        <ns0:v>0</ns0:v>
      </ns0:c>
      <ns0:c r="P954" s="0">
        <ns0:f>IF(AND(Bookings!G954="Approved",E954="Yes",L954=0,$B$6=0),H954,0)</ns0:f>
        <ns0:v>0</ns0:v>
      </ns0:c>
      <ns0:c r="Q954" s="0">
        <ns0:f>IF(AND(Bookings!G954="Approved",E954="Yes",L954=0,$B$6=0),I954,0)</ns0:f>
        <ns0:v>0</ns0:v>
      </ns0:c>
      <ns0:c r="R954" s="0">
        <ns0:f>IF(AND(Bookings!G954="Pending",E954="Yes"),N954,0)</ns0:f>
        <ns0:v>0</ns0:v>
      </ns0:c>
      <ns0:c r="S954" s="0">
        <ns0:f>IF(AND(Bookings!G954="Approved",E954="No"),N954,0)</ns0:f>
        <ns0:v>0</ns0:v>
      </ns0:c>
      <ns0:c r="T954" s="0">
        <ns0:f>IFERROR(MATCH(D954,Settings!$G$7:$G$11,0),0)</ns0:f>
        <ns0:v>0</ns0:v>
      </ns0:c>
      <ns0:c r="U954" s="0">
        <ns0:f>IF(N954&gt;0,T954+IF(Bookings!G954="Pending",10,0),0)</ns0:f>
        <ns0:v>0</ns0:v>
      </ns0:c>
      <ns0:c r="V954" s="0">
        <ns0:f>U954</ns0:f>
        <ns0:v>0</ns0:v>
      </ns0:c>
      <ns0:c r="W954" s="0" t="str">
        <ns0:f>IF(C954=0,"",INDEX($AP$11:$AP$60,C954))</ns0:f>
        <ns0:v/>
      </ns0:c>
    </ns0:row>
    <ns0:row r="955">
      <ns0:c r="A955" s="0">
        <ns0:f>IF(COUNTA(Bookings!A955:G955,Bookings!I955)=0,0,1)</ns0:f>
        <ns0:v>0</ns0:v>
      </ns0:c>
      <ns0:c r="B955" s="0" t="str">
        <ns0:f>IFERROR(TRIM(MID(Bookings!A955,FIND(" · ",Bookings!A955)+3,99)),"")</ns0:f>
        <ns0:v/>
      </ns0:c>
      <ns0:c r="C955" s="0">
        <ns0:f>IF(OR(B955="",LEN(B955)&gt;24,ISNUMBER(FIND(" ",B955)),ISNUMBER(FIND("*",B955)),ISNUMBER(FIND("?",B955)),ISNUMBER(FIND("~",B955))),0,IFERROR(MATCH(B955,Team!$A$11:$A$60,0),0))</ns0:f>
        <ns0:v>0</ns0:v>
      </ns0:c>
      <ns0:c r="D955" s="0" t="str">
        <ns0:f>IFERROR(IF(MID(Bookings!F955,LEN(Bookings!F955)-3,3)=" · ",RIGHT(Bookings!F955,1),""),"")</ns0:f>
        <ns0:v/>
      </ns0:c>
      <ns0:c r="E955" s="0" t="str">
        <ns0:f>IFERROR(INDEX(Settings!$H$7:$H$11,MATCH(D955,Settings!$G$7:$G$11,0)),"")</ns0:f>
        <ns0:v/>
      </ns0:c>
      <ns0:c r="F955" s="0" t="str">
        <ns0:f>IF(A955=0,"",IFERROR(IF(OR(B955="",C955=0),"CHECK employee selection",IF(INDEX(Team!$O$11:$O$60,C955)&lt;&gt;"OK","CHECK employee setup",IF(OR('_Dates'!J955=0,'_Dates'!T955=0),"CHECK date: use DD.MM.YYYY",IF('_Dates'!T955&lt;'_Dates'!J955,"CHECK end before start",IF(AND($B$6=0,OR('_Dates'!J955&lt;Settings!$B$7,'_Dates'!T955&gt;Settings!$B$8)),"CHECK split across leave years",IF(OR(NOT(OR('_Dates'!U955="Full day",'_Dates'!U955="AM",'_Dates'!U955="PM")),NOT(OR('_Dates'!V955="Full day",'_Dates'!V955="AM",'_Dates'!V955="PM"))),"CHECK Full day / AM / PM",IF(AND('_Dates'!J955='_Dates'!T955,'_Dates'!U955&lt;&gt;"Full day",'_Dates'!V955&lt;&gt;"Full day",'_Dates'!U955&lt;&gt;'_Dates'!V955),"CHECK same-day portions disagree",IF(AND($B$6=0,OR(AND('_Dates'!U955&lt;&gt;"Full day",'_Dates'!AA955=0),AND('_Dates'!V955&lt;&gt;"Full day",'_Dates'!AB955=0))),"CHECK half-day on non-working date",IF(COUNTIF(Settings!$G$7:$G$11,D955)&lt;&gt;1,"CHECK leave type",IF(AND(Bookings!G955&lt;&gt;"Approved",Bookings!G955&lt;&gt;"Pending",Bookings!G955&lt;&gt;"Cancelled"),"CHECK status","OK")))))))))),"CHECK input"))</ns0:f>
        <ns0:v/>
      </ns0:c>
      <ns0:c r="G955" s="0">
        <ns0:f>IF(OR(F955&lt;&gt;"OK",$B$6&gt;0),0,0.5*(IF(('_Dates'!X955)&lt;('_Dates'!W955),0,INT((('_Dates'!X955)-('_Dates'!W955)+1)/7)*LEN(SUBSTITUTE(W955,"O",""))+LEN(SUBSTITUTE(MID(W955&amp;W955,WEEKDAY(('_Dates'!W955),2),MOD((('_Dates'!X955)-('_Dates'!W955)+1),7)),"O",""))-COUNTIFS(INDEX(AllClosureRows,C955,0),"&gt;="&amp;('_Dates'!W955),INDEX(AllClosureRows,C955,0),"&lt;="&amp;('_Dates'!X955)))+IF(('_Dates'!Z955)&lt;('_Dates'!Y955),0,INT((('_Dates'!Z955)-('_Dates'!Y955)+1)/7)*LEN(SUBSTITUTE(W955,"O",""))+LEN(SUBSTITUTE(MID(W955&amp;W955,WEEKDAY(('_Dates'!Y955),2),MOD((('_Dates'!Z955)-('_Dates'!Y955)+1),7)),"O",""))-COUNTIFS(INDEX(AllClosureRows,C955,0),"&gt;="&amp;('_Dates'!Y955),INDEX(AllClosureRows,C955,0),"&lt;="&amp;('_Dates'!Z955)))))</ns0:f>
        <ns0:v>0</ns0:v>
      </ns0:c>
      <ns0:c r="H955" s="0">
        <ns0:f>IF(OR(F955&lt;&gt;"OK",$B$6&gt;0),0,0.5*(IF((MIN('_Dates'!X955,Settings!$B$9))&lt;('_Dates'!W955),0,INT(((MIN('_Dates'!X955,Settings!$B$9))-('_Dates'!W955)+1)/7)*LEN(SUBSTITUTE(W955,"O",""))+LEN(SUBSTITUTE(MID(W955&amp;W955,WEEKDAY(('_Dates'!W955),2),MOD(((MIN('_Dates'!X955,Settings!$B$9))-('_Dates'!W955)+1),7)),"O",""))-COUNTIFS(INDEX(AllClosureRows,C955,0),"&gt;="&amp;('_Dates'!W955),INDEX(AllClosureRows,C955,0),"&lt;="&amp;(MIN('_Dates'!X955,Settings!$B$9))))+IF((MIN('_Dates'!Z955,Settings!$B$9))&lt;('_Dates'!Y955),0,INT(((MIN('_Dates'!Z955,Settings!$B$9))-('_Dates'!Y955)+1)/7)*LEN(SUBSTITUTE(W955,"O",""))+LEN(SUBSTITUTE(MID(W955&amp;W955,WEEKDAY(('_Dates'!Y955),2),MOD(((MIN('_Dates'!Z955,Settings!$B$9))-('_Dates'!Y955)+1),7)),"O",""))-COUNTIFS(INDEX(AllClosureRows,C955,0),"&gt;="&amp;('_Dates'!Y955),INDEX(AllClosureRows,C955,0),"&lt;="&amp;(MIN('_Dates'!Z955,Settings!$B$9))))))</ns0:f>
        <ns0:v>0</ns0:v>
      </ns0:c>
      <ns0:c r="I955" s="0">
        <ns0:f>MAX(0,G955-H955)</ns0:f>
        <ns0:v>0</ns0:v>
      </ns0:c>
      <ns0:c r="J955" s="0">
        <ns0:f>IF(OR(A955=0,F955&lt;&gt;"OK",Bookings!G955="Cancelled",$B$6&gt;0),0,IF('_Dates'!AC955=1,MAX(0,COUNTIFS(rngEngine_B,B955,rngAMStart,"&lt;="&amp;'_Dates'!X955,rngAMEnd,"&gt;="&amp;'_Dates'!W955,rngAMActive,1,rngEngine_F,"OK",rngBookings_F,"&lt;&gt;Cancelled")-1),0)+IF('_Dates'!AD955=1,MAX(0,COUNTIFS(rngEngine_B,B955,rngPMStart,"&lt;="&amp;'_Dates'!Z955,rngPMEnd,"&gt;="&amp;'_Dates'!Y955,rngPMActive,1,rngEngine_F,"OK",rngBookings_F,"&lt;&gt;Cancelled")-1),0))</ns0:f>
        <ns0:v>0</ns0:v>
      </ns0:c>
      <ns0:c r="K955" s="0" t="str">
        <ns0:f>IF(A955=0,"",IF(F955&lt;&gt;"OK",F955,IF(J955&gt;0,"CHECK overlapping entry",IF(AND($B$6=0,G955&lt;=0,Bookings!G955&lt;&gt;"Cancelled"),"CHECK no working days",IF(Bookings!G955="Cancelled","Cancelled","OK")))))</ns0:f>
        <ns0:v/>
      </ns0:c>
      <ns0:c r="L955" s="0">
        <ns0:f>IF(LEFT(K955,5)="CHECK",1,0)</ns0:f>
        <ns0:v>0</ns0:v>
      </ns0:c>
      <ns0:c r="M955" s="0">
        <ns0:f>IF(AND(L955=1,OR(C955=0,IFERROR(INDEX($X$11:$X$60,C955),0)=0)),1,0)</ns0:f>
        <ns0:v>0</ns0:v>
      </ns0:c>
      <ns0:c r="N955" s="0">
        <ns0:f>IF(OR(A955=0,L955&gt;0,$B$6&gt;0,Bookings!G955="Cancelled"),0,G955)</ns0:f>
        <ns0:v>0</ns0:v>
      </ns0:c>
      <ns0:c r="O955" s="0">
        <ns0:f>IF(AND(Bookings!G955="Approved",E955="Yes"),N955,0)</ns0:f>
        <ns0:v>0</ns0:v>
      </ns0:c>
      <ns0:c r="P955" s="0">
        <ns0:f>IF(AND(Bookings!G955="Approved",E955="Yes",L955=0,$B$6=0),H955,0)</ns0:f>
        <ns0:v>0</ns0:v>
      </ns0:c>
      <ns0:c r="Q955" s="0">
        <ns0:f>IF(AND(Bookings!G955="Approved",E955="Yes",L955=0,$B$6=0),I955,0)</ns0:f>
        <ns0:v>0</ns0:v>
      </ns0:c>
      <ns0:c r="R955" s="0">
        <ns0:f>IF(AND(Bookings!G955="Pending",E955="Yes"),N955,0)</ns0:f>
        <ns0:v>0</ns0:v>
      </ns0:c>
      <ns0:c r="S955" s="0">
        <ns0:f>IF(AND(Bookings!G955="Approved",E955="No"),N955,0)</ns0:f>
        <ns0:v>0</ns0:v>
      </ns0:c>
      <ns0:c r="T955" s="0">
        <ns0:f>IFERROR(MATCH(D955,Settings!$G$7:$G$11,0),0)</ns0:f>
        <ns0:v>0</ns0:v>
      </ns0:c>
      <ns0:c r="U955" s="0">
        <ns0:f>IF(N955&gt;0,T955+IF(Bookings!G955="Pending",10,0),0)</ns0:f>
        <ns0:v>0</ns0:v>
      </ns0:c>
      <ns0:c r="V955" s="0">
        <ns0:f>U955</ns0:f>
        <ns0:v>0</ns0:v>
      </ns0:c>
      <ns0:c r="W955" s="0" t="str">
        <ns0:f>IF(C955=0,"",INDEX($AP$11:$AP$60,C955))</ns0:f>
        <ns0:v/>
      </ns0:c>
    </ns0:row>
    <ns0:row r="956">
      <ns0:c r="A956" s="0">
        <ns0:f>IF(COUNTA(Bookings!A956:G956,Bookings!I956)=0,0,1)</ns0:f>
        <ns0:v>0</ns0:v>
      </ns0:c>
      <ns0:c r="B956" s="0" t="str">
        <ns0:f>IFERROR(TRIM(MID(Bookings!A956,FIND(" · ",Bookings!A956)+3,99)),"")</ns0:f>
        <ns0:v/>
      </ns0:c>
      <ns0:c r="C956" s="0">
        <ns0:f>IF(OR(B956="",LEN(B956)&gt;24,ISNUMBER(FIND(" ",B956)),ISNUMBER(FIND("*",B956)),ISNUMBER(FIND("?",B956)),ISNUMBER(FIND("~",B956))),0,IFERROR(MATCH(B956,Team!$A$11:$A$60,0),0))</ns0:f>
        <ns0:v>0</ns0:v>
      </ns0:c>
      <ns0:c r="D956" s="0" t="str">
        <ns0:f>IFERROR(IF(MID(Bookings!F956,LEN(Bookings!F956)-3,3)=" · ",RIGHT(Bookings!F956,1),""),"")</ns0:f>
        <ns0:v/>
      </ns0:c>
      <ns0:c r="E956" s="0" t="str">
        <ns0:f>IFERROR(INDEX(Settings!$H$7:$H$11,MATCH(D956,Settings!$G$7:$G$11,0)),"")</ns0:f>
        <ns0:v/>
      </ns0:c>
      <ns0:c r="F956" s="0" t="str">
        <ns0:f>IF(A956=0,"",IFERROR(IF(OR(B956="",C956=0),"CHECK employee selection",IF(INDEX(Team!$O$11:$O$60,C956)&lt;&gt;"OK","CHECK employee setup",IF(OR('_Dates'!J956=0,'_Dates'!T956=0),"CHECK date: use DD.MM.YYYY",IF('_Dates'!T956&lt;'_Dates'!J956,"CHECK end before start",IF(AND($B$6=0,OR('_Dates'!J956&lt;Settings!$B$7,'_Dates'!T956&gt;Settings!$B$8)),"CHECK split across leave years",IF(OR(NOT(OR('_Dates'!U956="Full day",'_Dates'!U956="AM",'_Dates'!U956="PM")),NOT(OR('_Dates'!V956="Full day",'_Dates'!V956="AM",'_Dates'!V956="PM"))),"CHECK Full day / AM / PM",IF(AND('_Dates'!J956='_Dates'!T956,'_Dates'!U956&lt;&gt;"Full day",'_Dates'!V956&lt;&gt;"Full day",'_Dates'!U956&lt;&gt;'_Dates'!V956),"CHECK same-day portions disagree",IF(AND($B$6=0,OR(AND('_Dates'!U956&lt;&gt;"Full day",'_Dates'!AA956=0),AND('_Dates'!V956&lt;&gt;"Full day",'_Dates'!AB956=0))),"CHECK half-day on non-working date",IF(COUNTIF(Settings!$G$7:$G$11,D956)&lt;&gt;1,"CHECK leave type",IF(AND(Bookings!G956&lt;&gt;"Approved",Bookings!G956&lt;&gt;"Pending",Bookings!G956&lt;&gt;"Cancelled"),"CHECK status","OK")))))))))),"CHECK input"))</ns0:f>
        <ns0:v/>
      </ns0:c>
      <ns0:c r="G956" s="0">
        <ns0:f>IF(OR(F956&lt;&gt;"OK",$B$6&gt;0),0,0.5*(IF(('_Dates'!X956)&lt;('_Dates'!W956),0,INT((('_Dates'!X956)-('_Dates'!W956)+1)/7)*LEN(SUBSTITUTE(W956,"O",""))+LEN(SUBSTITUTE(MID(W956&amp;W956,WEEKDAY(('_Dates'!W956),2),MOD((('_Dates'!X956)-('_Dates'!W956)+1),7)),"O",""))-COUNTIFS(INDEX(AllClosureRows,C956,0),"&gt;="&amp;('_Dates'!W956),INDEX(AllClosureRows,C956,0),"&lt;="&amp;('_Dates'!X956)))+IF(('_Dates'!Z956)&lt;('_Dates'!Y956),0,INT((('_Dates'!Z956)-('_Dates'!Y956)+1)/7)*LEN(SUBSTITUTE(W956,"O",""))+LEN(SUBSTITUTE(MID(W956&amp;W956,WEEKDAY(('_Dates'!Y956),2),MOD((('_Dates'!Z956)-('_Dates'!Y956)+1),7)),"O",""))-COUNTIFS(INDEX(AllClosureRows,C956,0),"&gt;="&amp;('_Dates'!Y956),INDEX(AllClosureRows,C956,0),"&lt;="&amp;('_Dates'!Z956)))))</ns0:f>
        <ns0:v>0</ns0:v>
      </ns0:c>
      <ns0:c r="H956" s="0">
        <ns0:f>IF(OR(F956&lt;&gt;"OK",$B$6&gt;0),0,0.5*(IF((MIN('_Dates'!X956,Settings!$B$9))&lt;('_Dates'!W956),0,INT(((MIN('_Dates'!X956,Settings!$B$9))-('_Dates'!W956)+1)/7)*LEN(SUBSTITUTE(W956,"O",""))+LEN(SUBSTITUTE(MID(W956&amp;W956,WEEKDAY(('_Dates'!W956),2),MOD(((MIN('_Dates'!X956,Settings!$B$9))-('_Dates'!W956)+1),7)),"O",""))-COUNTIFS(INDEX(AllClosureRows,C956,0),"&gt;="&amp;('_Dates'!W956),INDEX(AllClosureRows,C956,0),"&lt;="&amp;(MIN('_Dates'!X956,Settings!$B$9))))+IF((MIN('_Dates'!Z956,Settings!$B$9))&lt;('_Dates'!Y956),0,INT(((MIN('_Dates'!Z956,Settings!$B$9))-('_Dates'!Y956)+1)/7)*LEN(SUBSTITUTE(W956,"O",""))+LEN(SUBSTITUTE(MID(W956&amp;W956,WEEKDAY(('_Dates'!Y956),2),MOD(((MIN('_Dates'!Z956,Settings!$B$9))-('_Dates'!Y956)+1),7)),"O",""))-COUNTIFS(INDEX(AllClosureRows,C956,0),"&gt;="&amp;('_Dates'!Y956),INDEX(AllClosureRows,C956,0),"&lt;="&amp;(MIN('_Dates'!Z956,Settings!$B$9))))))</ns0:f>
        <ns0:v>0</ns0:v>
      </ns0:c>
      <ns0:c r="I956" s="0">
        <ns0:f>MAX(0,G956-H956)</ns0:f>
        <ns0:v>0</ns0:v>
      </ns0:c>
      <ns0:c r="J956" s="0">
        <ns0:f>IF(OR(A956=0,F956&lt;&gt;"OK",Bookings!G956="Cancelled",$B$6&gt;0),0,IF('_Dates'!AC956=1,MAX(0,COUNTIFS(rngEngine_B,B956,rngAMStart,"&lt;="&amp;'_Dates'!X956,rngAMEnd,"&gt;="&amp;'_Dates'!W956,rngAMActive,1,rngEngine_F,"OK",rngBookings_F,"&lt;&gt;Cancelled")-1),0)+IF('_Dates'!AD956=1,MAX(0,COUNTIFS(rngEngine_B,B956,rngPMStart,"&lt;="&amp;'_Dates'!Z956,rngPMEnd,"&gt;="&amp;'_Dates'!Y956,rngPMActive,1,rngEngine_F,"OK",rngBookings_F,"&lt;&gt;Cancelled")-1),0))</ns0:f>
        <ns0:v>0</ns0:v>
      </ns0:c>
      <ns0:c r="K956" s="0" t="str">
        <ns0:f>IF(A956=0,"",IF(F956&lt;&gt;"OK",F956,IF(J956&gt;0,"CHECK overlapping entry",IF(AND($B$6=0,G956&lt;=0,Bookings!G956&lt;&gt;"Cancelled"),"CHECK no working days",IF(Bookings!G956="Cancelled","Cancelled","OK")))))</ns0:f>
        <ns0:v/>
      </ns0:c>
      <ns0:c r="L956" s="0">
        <ns0:f>IF(LEFT(K956,5)="CHECK",1,0)</ns0:f>
        <ns0:v>0</ns0:v>
      </ns0:c>
      <ns0:c r="M956" s="0">
        <ns0:f>IF(AND(L956=1,OR(C956=0,IFERROR(INDEX($X$11:$X$60,C956),0)=0)),1,0)</ns0:f>
        <ns0:v>0</ns0:v>
      </ns0:c>
      <ns0:c r="N956" s="0">
        <ns0:f>IF(OR(A956=0,L956&gt;0,$B$6&gt;0,Bookings!G956="Cancelled"),0,G956)</ns0:f>
        <ns0:v>0</ns0:v>
      </ns0:c>
      <ns0:c r="O956" s="0">
        <ns0:f>IF(AND(Bookings!G956="Approved",E956="Yes"),N956,0)</ns0:f>
        <ns0:v>0</ns0:v>
      </ns0:c>
      <ns0:c r="P956" s="0">
        <ns0:f>IF(AND(Bookings!G956="Approved",E956="Yes",L956=0,$B$6=0),H956,0)</ns0:f>
        <ns0:v>0</ns0:v>
      </ns0:c>
      <ns0:c r="Q956" s="0">
        <ns0:f>IF(AND(Bookings!G956="Approved",E956="Yes",L956=0,$B$6=0),I956,0)</ns0:f>
        <ns0:v>0</ns0:v>
      </ns0:c>
      <ns0:c r="R956" s="0">
        <ns0:f>IF(AND(Bookings!G956="Pending",E956="Yes"),N956,0)</ns0:f>
        <ns0:v>0</ns0:v>
      </ns0:c>
      <ns0:c r="S956" s="0">
        <ns0:f>IF(AND(Bookings!G956="Approved",E956="No"),N956,0)</ns0:f>
        <ns0:v>0</ns0:v>
      </ns0:c>
      <ns0:c r="T956" s="0">
        <ns0:f>IFERROR(MATCH(D956,Settings!$G$7:$G$11,0),0)</ns0:f>
        <ns0:v>0</ns0:v>
      </ns0:c>
      <ns0:c r="U956" s="0">
        <ns0:f>IF(N956&gt;0,T956+IF(Bookings!G956="Pending",10,0),0)</ns0:f>
        <ns0:v>0</ns0:v>
      </ns0:c>
      <ns0:c r="V956" s="0">
        <ns0:f>U956</ns0:f>
        <ns0:v>0</ns0:v>
      </ns0:c>
      <ns0:c r="W956" s="0" t="str">
        <ns0:f>IF(C956=0,"",INDEX($AP$11:$AP$60,C956))</ns0:f>
        <ns0:v/>
      </ns0:c>
    </ns0:row>
    <ns0:row r="957">
      <ns0:c r="A957" s="0">
        <ns0:f>IF(COUNTA(Bookings!A957:G957,Bookings!I957)=0,0,1)</ns0:f>
        <ns0:v>0</ns0:v>
      </ns0:c>
      <ns0:c r="B957" s="0" t="str">
        <ns0:f>IFERROR(TRIM(MID(Bookings!A957,FIND(" · ",Bookings!A957)+3,99)),"")</ns0:f>
        <ns0:v/>
      </ns0:c>
      <ns0:c r="C957" s="0">
        <ns0:f>IF(OR(B957="",LEN(B957)&gt;24,ISNUMBER(FIND(" ",B957)),ISNUMBER(FIND("*",B957)),ISNUMBER(FIND("?",B957)),ISNUMBER(FIND("~",B957))),0,IFERROR(MATCH(B957,Team!$A$11:$A$60,0),0))</ns0:f>
        <ns0:v>0</ns0:v>
      </ns0:c>
      <ns0:c r="D957" s="0" t="str">
        <ns0:f>IFERROR(IF(MID(Bookings!F957,LEN(Bookings!F957)-3,3)=" · ",RIGHT(Bookings!F957,1),""),"")</ns0:f>
        <ns0:v/>
      </ns0:c>
      <ns0:c r="E957" s="0" t="str">
        <ns0:f>IFERROR(INDEX(Settings!$H$7:$H$11,MATCH(D957,Settings!$G$7:$G$11,0)),"")</ns0:f>
        <ns0:v/>
      </ns0:c>
      <ns0:c r="F957" s="0" t="str">
        <ns0:f>IF(A957=0,"",IFERROR(IF(OR(B957="",C957=0),"CHECK employee selection",IF(INDEX(Team!$O$11:$O$60,C957)&lt;&gt;"OK","CHECK employee setup",IF(OR('_Dates'!J957=0,'_Dates'!T957=0),"CHECK date: use DD.MM.YYYY",IF('_Dates'!T957&lt;'_Dates'!J957,"CHECK end before start",IF(AND($B$6=0,OR('_Dates'!J957&lt;Settings!$B$7,'_Dates'!T957&gt;Settings!$B$8)),"CHECK split across leave years",IF(OR(NOT(OR('_Dates'!U957="Full day",'_Dates'!U957="AM",'_Dates'!U957="PM")),NOT(OR('_Dates'!V957="Full day",'_Dates'!V957="AM",'_Dates'!V957="PM"))),"CHECK Full day / AM / PM",IF(AND('_Dates'!J957='_Dates'!T957,'_Dates'!U957&lt;&gt;"Full day",'_Dates'!V957&lt;&gt;"Full day",'_Dates'!U957&lt;&gt;'_Dates'!V957),"CHECK same-day portions disagree",IF(AND($B$6=0,OR(AND('_Dates'!U957&lt;&gt;"Full day",'_Dates'!AA957=0),AND('_Dates'!V957&lt;&gt;"Full day",'_Dates'!AB957=0))),"CHECK half-day on non-working date",IF(COUNTIF(Settings!$G$7:$G$11,D957)&lt;&gt;1,"CHECK leave type",IF(AND(Bookings!G957&lt;&gt;"Approved",Bookings!G957&lt;&gt;"Pending",Bookings!G957&lt;&gt;"Cancelled"),"CHECK status","OK")))))))))),"CHECK input"))</ns0:f>
        <ns0:v/>
      </ns0:c>
      <ns0:c r="G957" s="0">
        <ns0:f>IF(OR(F957&lt;&gt;"OK",$B$6&gt;0),0,0.5*(IF(('_Dates'!X957)&lt;('_Dates'!W957),0,INT((('_Dates'!X957)-('_Dates'!W957)+1)/7)*LEN(SUBSTITUTE(W957,"O",""))+LEN(SUBSTITUTE(MID(W957&amp;W957,WEEKDAY(('_Dates'!W957),2),MOD((('_Dates'!X957)-('_Dates'!W957)+1),7)),"O",""))-COUNTIFS(INDEX(AllClosureRows,C957,0),"&gt;="&amp;('_Dates'!W957),INDEX(AllClosureRows,C957,0),"&lt;="&amp;('_Dates'!X957)))+IF(('_Dates'!Z957)&lt;('_Dates'!Y957),0,INT((('_Dates'!Z957)-('_Dates'!Y957)+1)/7)*LEN(SUBSTITUTE(W957,"O",""))+LEN(SUBSTITUTE(MID(W957&amp;W957,WEEKDAY(('_Dates'!Y957),2),MOD((('_Dates'!Z957)-('_Dates'!Y957)+1),7)),"O",""))-COUNTIFS(INDEX(AllClosureRows,C957,0),"&gt;="&amp;('_Dates'!Y957),INDEX(AllClosureRows,C957,0),"&lt;="&amp;('_Dates'!Z957)))))</ns0:f>
        <ns0:v>0</ns0:v>
      </ns0:c>
      <ns0:c r="H957" s="0">
        <ns0:f>IF(OR(F957&lt;&gt;"OK",$B$6&gt;0),0,0.5*(IF((MIN('_Dates'!X957,Settings!$B$9))&lt;('_Dates'!W957),0,INT(((MIN('_Dates'!X957,Settings!$B$9))-('_Dates'!W957)+1)/7)*LEN(SUBSTITUTE(W957,"O",""))+LEN(SUBSTITUTE(MID(W957&amp;W957,WEEKDAY(('_Dates'!W957),2),MOD(((MIN('_Dates'!X957,Settings!$B$9))-('_Dates'!W957)+1),7)),"O",""))-COUNTIFS(INDEX(AllClosureRows,C957,0),"&gt;="&amp;('_Dates'!W957),INDEX(AllClosureRows,C957,0),"&lt;="&amp;(MIN('_Dates'!X957,Settings!$B$9))))+IF((MIN('_Dates'!Z957,Settings!$B$9))&lt;('_Dates'!Y957),0,INT(((MIN('_Dates'!Z957,Settings!$B$9))-('_Dates'!Y957)+1)/7)*LEN(SUBSTITUTE(W957,"O",""))+LEN(SUBSTITUTE(MID(W957&amp;W957,WEEKDAY(('_Dates'!Y957),2),MOD(((MIN('_Dates'!Z957,Settings!$B$9))-('_Dates'!Y957)+1),7)),"O",""))-COUNTIFS(INDEX(AllClosureRows,C957,0),"&gt;="&amp;('_Dates'!Y957),INDEX(AllClosureRows,C957,0),"&lt;="&amp;(MIN('_Dates'!Z957,Settings!$B$9))))))</ns0:f>
        <ns0:v>0</ns0:v>
      </ns0:c>
      <ns0:c r="I957" s="0">
        <ns0:f>MAX(0,G957-H957)</ns0:f>
        <ns0:v>0</ns0:v>
      </ns0:c>
      <ns0:c r="J957" s="0">
        <ns0:f>IF(OR(A957=0,F957&lt;&gt;"OK",Bookings!G957="Cancelled",$B$6&gt;0),0,IF('_Dates'!AC957=1,MAX(0,COUNTIFS(rngEngine_B,B957,rngAMStart,"&lt;="&amp;'_Dates'!X957,rngAMEnd,"&gt;="&amp;'_Dates'!W957,rngAMActive,1,rngEngine_F,"OK",rngBookings_F,"&lt;&gt;Cancelled")-1),0)+IF('_Dates'!AD957=1,MAX(0,COUNTIFS(rngEngine_B,B957,rngPMStart,"&lt;="&amp;'_Dates'!Z957,rngPMEnd,"&gt;="&amp;'_Dates'!Y957,rngPMActive,1,rngEngine_F,"OK",rngBookings_F,"&lt;&gt;Cancelled")-1),0))</ns0:f>
        <ns0:v>0</ns0:v>
      </ns0:c>
      <ns0:c r="K957" s="0" t="str">
        <ns0:f>IF(A957=0,"",IF(F957&lt;&gt;"OK",F957,IF(J957&gt;0,"CHECK overlapping entry",IF(AND($B$6=0,G957&lt;=0,Bookings!G957&lt;&gt;"Cancelled"),"CHECK no working days",IF(Bookings!G957="Cancelled","Cancelled","OK")))))</ns0:f>
        <ns0:v/>
      </ns0:c>
      <ns0:c r="L957" s="0">
        <ns0:f>IF(LEFT(K957,5)="CHECK",1,0)</ns0:f>
        <ns0:v>0</ns0:v>
      </ns0:c>
      <ns0:c r="M957" s="0">
        <ns0:f>IF(AND(L957=1,OR(C957=0,IFERROR(INDEX($X$11:$X$60,C957),0)=0)),1,0)</ns0:f>
        <ns0:v>0</ns0:v>
      </ns0:c>
      <ns0:c r="N957" s="0">
        <ns0:f>IF(OR(A957=0,L957&gt;0,$B$6&gt;0,Bookings!G957="Cancelled"),0,G957)</ns0:f>
        <ns0:v>0</ns0:v>
      </ns0:c>
      <ns0:c r="O957" s="0">
        <ns0:f>IF(AND(Bookings!G957="Approved",E957="Yes"),N957,0)</ns0:f>
        <ns0:v>0</ns0:v>
      </ns0:c>
      <ns0:c r="P957" s="0">
        <ns0:f>IF(AND(Bookings!G957="Approved",E957="Yes",L957=0,$B$6=0),H957,0)</ns0:f>
        <ns0:v>0</ns0:v>
      </ns0:c>
      <ns0:c r="Q957" s="0">
        <ns0:f>IF(AND(Bookings!G957="Approved",E957="Yes",L957=0,$B$6=0),I957,0)</ns0:f>
        <ns0:v>0</ns0:v>
      </ns0:c>
      <ns0:c r="R957" s="0">
        <ns0:f>IF(AND(Bookings!G957="Pending",E957="Yes"),N957,0)</ns0:f>
        <ns0:v>0</ns0:v>
      </ns0:c>
      <ns0:c r="S957" s="0">
        <ns0:f>IF(AND(Bookings!G957="Approved",E957="No"),N957,0)</ns0:f>
        <ns0:v>0</ns0:v>
      </ns0:c>
      <ns0:c r="T957" s="0">
        <ns0:f>IFERROR(MATCH(D957,Settings!$G$7:$G$11,0),0)</ns0:f>
        <ns0:v>0</ns0:v>
      </ns0:c>
      <ns0:c r="U957" s="0">
        <ns0:f>IF(N957&gt;0,T957+IF(Bookings!G957="Pending",10,0),0)</ns0:f>
        <ns0:v>0</ns0:v>
      </ns0:c>
      <ns0:c r="V957" s="0">
        <ns0:f>U957</ns0:f>
        <ns0:v>0</ns0:v>
      </ns0:c>
      <ns0:c r="W957" s="0" t="str">
        <ns0:f>IF(C957=0,"",INDEX($AP$11:$AP$60,C957))</ns0:f>
        <ns0:v/>
      </ns0:c>
    </ns0:row>
    <ns0:row r="958">
      <ns0:c r="A958" s="0">
        <ns0:f>IF(COUNTA(Bookings!A958:G958,Bookings!I958)=0,0,1)</ns0:f>
        <ns0:v>0</ns0:v>
      </ns0:c>
      <ns0:c r="B958" s="0" t="str">
        <ns0:f>IFERROR(TRIM(MID(Bookings!A958,FIND(" · ",Bookings!A958)+3,99)),"")</ns0:f>
        <ns0:v/>
      </ns0:c>
      <ns0:c r="C958" s="0">
        <ns0:f>IF(OR(B958="",LEN(B958)&gt;24,ISNUMBER(FIND(" ",B958)),ISNUMBER(FIND("*",B958)),ISNUMBER(FIND("?",B958)),ISNUMBER(FIND("~",B958))),0,IFERROR(MATCH(B958,Team!$A$11:$A$60,0),0))</ns0:f>
        <ns0:v>0</ns0:v>
      </ns0:c>
      <ns0:c r="D958" s="0" t="str">
        <ns0:f>IFERROR(IF(MID(Bookings!F958,LEN(Bookings!F958)-3,3)=" · ",RIGHT(Bookings!F958,1),""),"")</ns0:f>
        <ns0:v/>
      </ns0:c>
      <ns0:c r="E958" s="0" t="str">
        <ns0:f>IFERROR(INDEX(Settings!$H$7:$H$11,MATCH(D958,Settings!$G$7:$G$11,0)),"")</ns0:f>
        <ns0:v/>
      </ns0:c>
      <ns0:c r="F958" s="0" t="str">
        <ns0:f>IF(A958=0,"",IFERROR(IF(OR(B958="",C958=0),"CHECK employee selection",IF(INDEX(Team!$O$11:$O$60,C958)&lt;&gt;"OK","CHECK employee setup",IF(OR('_Dates'!J958=0,'_Dates'!T958=0),"CHECK date: use DD.MM.YYYY",IF('_Dates'!T958&lt;'_Dates'!J958,"CHECK end before start",IF(AND($B$6=0,OR('_Dates'!J958&lt;Settings!$B$7,'_Dates'!T958&gt;Settings!$B$8)),"CHECK split across leave years",IF(OR(NOT(OR('_Dates'!U958="Full day",'_Dates'!U958="AM",'_Dates'!U958="PM")),NOT(OR('_Dates'!V958="Full day",'_Dates'!V958="AM",'_Dates'!V958="PM"))),"CHECK Full day / AM / PM",IF(AND('_Dates'!J958='_Dates'!T958,'_Dates'!U958&lt;&gt;"Full day",'_Dates'!V958&lt;&gt;"Full day",'_Dates'!U958&lt;&gt;'_Dates'!V958),"CHECK same-day portions disagree",IF(AND($B$6=0,OR(AND('_Dates'!U958&lt;&gt;"Full day",'_Dates'!AA958=0),AND('_Dates'!V958&lt;&gt;"Full day",'_Dates'!AB958=0))),"CHECK half-day on non-working date",IF(COUNTIF(Settings!$G$7:$G$11,D958)&lt;&gt;1,"CHECK leave type",IF(AND(Bookings!G958&lt;&gt;"Approved",Bookings!G958&lt;&gt;"Pending",Bookings!G958&lt;&gt;"Cancelled"),"CHECK status","OK")))))))))),"CHECK input"))</ns0:f>
        <ns0:v/>
      </ns0:c>
      <ns0:c r="G958" s="0">
        <ns0:f>IF(OR(F958&lt;&gt;"OK",$B$6&gt;0),0,0.5*(IF(('_Dates'!X958)&lt;('_Dates'!W958),0,INT((('_Dates'!X958)-('_Dates'!W958)+1)/7)*LEN(SUBSTITUTE(W958,"O",""))+LEN(SUBSTITUTE(MID(W958&amp;W958,WEEKDAY(('_Dates'!W958),2),MOD((('_Dates'!X958)-('_Dates'!W958)+1),7)),"O",""))-COUNTIFS(INDEX(AllClosureRows,C958,0),"&gt;="&amp;('_Dates'!W958),INDEX(AllClosureRows,C958,0),"&lt;="&amp;('_Dates'!X958)))+IF(('_Dates'!Z958)&lt;('_Dates'!Y958),0,INT((('_Dates'!Z958)-('_Dates'!Y958)+1)/7)*LEN(SUBSTITUTE(W958,"O",""))+LEN(SUBSTITUTE(MID(W958&amp;W958,WEEKDAY(('_Dates'!Y958),2),MOD((('_Dates'!Z958)-('_Dates'!Y958)+1),7)),"O",""))-COUNTIFS(INDEX(AllClosureRows,C958,0),"&gt;="&amp;('_Dates'!Y958),INDEX(AllClosureRows,C958,0),"&lt;="&amp;('_Dates'!Z958)))))</ns0:f>
        <ns0:v>0</ns0:v>
      </ns0:c>
      <ns0:c r="H958" s="0">
        <ns0:f>IF(OR(F958&lt;&gt;"OK",$B$6&gt;0),0,0.5*(IF((MIN('_Dates'!X958,Settings!$B$9))&lt;('_Dates'!W958),0,INT(((MIN('_Dates'!X958,Settings!$B$9))-('_Dates'!W958)+1)/7)*LEN(SUBSTITUTE(W958,"O",""))+LEN(SUBSTITUTE(MID(W958&amp;W958,WEEKDAY(('_Dates'!W958),2),MOD(((MIN('_Dates'!X958,Settings!$B$9))-('_Dates'!W958)+1),7)),"O",""))-COUNTIFS(INDEX(AllClosureRows,C958,0),"&gt;="&amp;('_Dates'!W958),INDEX(AllClosureRows,C958,0),"&lt;="&amp;(MIN('_Dates'!X958,Settings!$B$9))))+IF((MIN('_Dates'!Z958,Settings!$B$9))&lt;('_Dates'!Y958),0,INT(((MIN('_Dates'!Z958,Settings!$B$9))-('_Dates'!Y958)+1)/7)*LEN(SUBSTITUTE(W958,"O",""))+LEN(SUBSTITUTE(MID(W958&amp;W958,WEEKDAY(('_Dates'!Y958),2),MOD(((MIN('_Dates'!Z958,Settings!$B$9))-('_Dates'!Y958)+1),7)),"O",""))-COUNTIFS(INDEX(AllClosureRows,C958,0),"&gt;="&amp;('_Dates'!Y958),INDEX(AllClosureRows,C958,0),"&lt;="&amp;(MIN('_Dates'!Z958,Settings!$B$9))))))</ns0:f>
        <ns0:v>0</ns0:v>
      </ns0:c>
      <ns0:c r="I958" s="0">
        <ns0:f>MAX(0,G958-H958)</ns0:f>
        <ns0:v>0</ns0:v>
      </ns0:c>
      <ns0:c r="J958" s="0">
        <ns0:f>IF(OR(A958=0,F958&lt;&gt;"OK",Bookings!G958="Cancelled",$B$6&gt;0),0,IF('_Dates'!AC958=1,MAX(0,COUNTIFS(rngEngine_B,B958,rngAMStart,"&lt;="&amp;'_Dates'!X958,rngAMEnd,"&gt;="&amp;'_Dates'!W958,rngAMActive,1,rngEngine_F,"OK",rngBookings_F,"&lt;&gt;Cancelled")-1),0)+IF('_Dates'!AD958=1,MAX(0,COUNTIFS(rngEngine_B,B958,rngPMStart,"&lt;="&amp;'_Dates'!Z958,rngPMEnd,"&gt;="&amp;'_Dates'!Y958,rngPMActive,1,rngEngine_F,"OK",rngBookings_F,"&lt;&gt;Cancelled")-1),0))</ns0:f>
        <ns0:v>0</ns0:v>
      </ns0:c>
      <ns0:c r="K958" s="0" t="str">
        <ns0:f>IF(A958=0,"",IF(F958&lt;&gt;"OK",F958,IF(J958&gt;0,"CHECK overlapping entry",IF(AND($B$6=0,G958&lt;=0,Bookings!G958&lt;&gt;"Cancelled"),"CHECK no working days",IF(Bookings!G958="Cancelled","Cancelled","OK")))))</ns0:f>
        <ns0:v/>
      </ns0:c>
      <ns0:c r="L958" s="0">
        <ns0:f>IF(LEFT(K958,5)="CHECK",1,0)</ns0:f>
        <ns0:v>0</ns0:v>
      </ns0:c>
      <ns0:c r="M958" s="0">
        <ns0:f>IF(AND(L958=1,OR(C958=0,IFERROR(INDEX($X$11:$X$60,C958),0)=0)),1,0)</ns0:f>
        <ns0:v>0</ns0:v>
      </ns0:c>
      <ns0:c r="N958" s="0">
        <ns0:f>IF(OR(A958=0,L958&gt;0,$B$6&gt;0,Bookings!G958="Cancelled"),0,G958)</ns0:f>
        <ns0:v>0</ns0:v>
      </ns0:c>
      <ns0:c r="O958" s="0">
        <ns0:f>IF(AND(Bookings!G958="Approved",E958="Yes"),N958,0)</ns0:f>
        <ns0:v>0</ns0:v>
      </ns0:c>
      <ns0:c r="P958" s="0">
        <ns0:f>IF(AND(Bookings!G958="Approved",E958="Yes",L958=0,$B$6=0),H958,0)</ns0:f>
        <ns0:v>0</ns0:v>
      </ns0:c>
      <ns0:c r="Q958" s="0">
        <ns0:f>IF(AND(Bookings!G958="Approved",E958="Yes",L958=0,$B$6=0),I958,0)</ns0:f>
        <ns0:v>0</ns0:v>
      </ns0:c>
      <ns0:c r="R958" s="0">
        <ns0:f>IF(AND(Bookings!G958="Pending",E958="Yes"),N958,0)</ns0:f>
        <ns0:v>0</ns0:v>
      </ns0:c>
      <ns0:c r="S958" s="0">
        <ns0:f>IF(AND(Bookings!G958="Approved",E958="No"),N958,0)</ns0:f>
        <ns0:v>0</ns0:v>
      </ns0:c>
      <ns0:c r="T958" s="0">
        <ns0:f>IFERROR(MATCH(D958,Settings!$G$7:$G$11,0),0)</ns0:f>
        <ns0:v>0</ns0:v>
      </ns0:c>
      <ns0:c r="U958" s="0">
        <ns0:f>IF(N958&gt;0,T958+IF(Bookings!G958="Pending",10,0),0)</ns0:f>
        <ns0:v>0</ns0:v>
      </ns0:c>
      <ns0:c r="V958" s="0">
        <ns0:f>U958</ns0:f>
        <ns0:v>0</ns0:v>
      </ns0:c>
      <ns0:c r="W958" s="0" t="str">
        <ns0:f>IF(C958=0,"",INDEX($AP$11:$AP$60,C958))</ns0:f>
        <ns0:v/>
      </ns0:c>
    </ns0:row>
    <ns0:row r="959">
      <ns0:c r="A959" s="0">
        <ns0:f>IF(COUNTA(Bookings!A959:G959,Bookings!I959)=0,0,1)</ns0:f>
        <ns0:v>0</ns0:v>
      </ns0:c>
      <ns0:c r="B959" s="0" t="str">
        <ns0:f>IFERROR(TRIM(MID(Bookings!A959,FIND(" · ",Bookings!A959)+3,99)),"")</ns0:f>
        <ns0:v/>
      </ns0:c>
      <ns0:c r="C959" s="0">
        <ns0:f>IF(OR(B959="",LEN(B959)&gt;24,ISNUMBER(FIND(" ",B959)),ISNUMBER(FIND("*",B959)),ISNUMBER(FIND("?",B959)),ISNUMBER(FIND("~",B959))),0,IFERROR(MATCH(B959,Team!$A$11:$A$60,0),0))</ns0:f>
        <ns0:v>0</ns0:v>
      </ns0:c>
      <ns0:c r="D959" s="0" t="str">
        <ns0:f>IFERROR(IF(MID(Bookings!F959,LEN(Bookings!F959)-3,3)=" · ",RIGHT(Bookings!F959,1),""),"")</ns0:f>
        <ns0:v/>
      </ns0:c>
      <ns0:c r="E959" s="0" t="str">
        <ns0:f>IFERROR(INDEX(Settings!$H$7:$H$11,MATCH(D959,Settings!$G$7:$G$11,0)),"")</ns0:f>
        <ns0:v/>
      </ns0:c>
      <ns0:c r="F959" s="0" t="str">
        <ns0:f>IF(A959=0,"",IFERROR(IF(OR(B959="",C959=0),"CHECK employee selection",IF(INDEX(Team!$O$11:$O$60,C959)&lt;&gt;"OK","CHECK employee setup",IF(OR('_Dates'!J959=0,'_Dates'!T959=0),"CHECK date: use DD.MM.YYYY",IF('_Dates'!T959&lt;'_Dates'!J959,"CHECK end before start",IF(AND($B$6=0,OR('_Dates'!J959&lt;Settings!$B$7,'_Dates'!T959&gt;Settings!$B$8)),"CHECK split across leave years",IF(OR(NOT(OR('_Dates'!U959="Full day",'_Dates'!U959="AM",'_Dates'!U959="PM")),NOT(OR('_Dates'!V959="Full day",'_Dates'!V959="AM",'_Dates'!V959="PM"))),"CHECK Full day / AM / PM",IF(AND('_Dates'!J959='_Dates'!T959,'_Dates'!U959&lt;&gt;"Full day",'_Dates'!V959&lt;&gt;"Full day",'_Dates'!U959&lt;&gt;'_Dates'!V959),"CHECK same-day portions disagree",IF(AND($B$6=0,OR(AND('_Dates'!U959&lt;&gt;"Full day",'_Dates'!AA959=0),AND('_Dates'!V959&lt;&gt;"Full day",'_Dates'!AB959=0))),"CHECK half-day on non-working date",IF(COUNTIF(Settings!$G$7:$G$11,D959)&lt;&gt;1,"CHECK leave type",IF(AND(Bookings!G959&lt;&gt;"Approved",Bookings!G959&lt;&gt;"Pending",Bookings!G959&lt;&gt;"Cancelled"),"CHECK status","OK")))))))))),"CHECK input"))</ns0:f>
        <ns0:v/>
      </ns0:c>
      <ns0:c r="G959" s="0">
        <ns0:f>IF(OR(F959&lt;&gt;"OK",$B$6&gt;0),0,0.5*(IF(('_Dates'!X959)&lt;('_Dates'!W959),0,INT((('_Dates'!X959)-('_Dates'!W959)+1)/7)*LEN(SUBSTITUTE(W959,"O",""))+LEN(SUBSTITUTE(MID(W959&amp;W959,WEEKDAY(('_Dates'!W959),2),MOD((('_Dates'!X959)-('_Dates'!W959)+1),7)),"O",""))-COUNTIFS(INDEX(AllClosureRows,C959,0),"&gt;="&amp;('_Dates'!W959),INDEX(AllClosureRows,C959,0),"&lt;="&amp;('_Dates'!X959)))+IF(('_Dates'!Z959)&lt;('_Dates'!Y959),0,INT((('_Dates'!Z959)-('_Dates'!Y959)+1)/7)*LEN(SUBSTITUTE(W959,"O",""))+LEN(SUBSTITUTE(MID(W959&amp;W959,WEEKDAY(('_Dates'!Y959),2),MOD((('_Dates'!Z959)-('_Dates'!Y959)+1),7)),"O",""))-COUNTIFS(INDEX(AllClosureRows,C959,0),"&gt;="&amp;('_Dates'!Y959),INDEX(AllClosureRows,C959,0),"&lt;="&amp;('_Dates'!Z959)))))</ns0:f>
        <ns0:v>0</ns0:v>
      </ns0:c>
      <ns0:c r="H959" s="0">
        <ns0:f>IF(OR(F959&lt;&gt;"OK",$B$6&gt;0),0,0.5*(IF((MIN('_Dates'!X959,Settings!$B$9))&lt;('_Dates'!W959),0,INT(((MIN('_Dates'!X959,Settings!$B$9))-('_Dates'!W959)+1)/7)*LEN(SUBSTITUTE(W959,"O",""))+LEN(SUBSTITUTE(MID(W959&amp;W959,WEEKDAY(('_Dates'!W959),2),MOD(((MIN('_Dates'!X959,Settings!$B$9))-('_Dates'!W959)+1),7)),"O",""))-COUNTIFS(INDEX(AllClosureRows,C959,0),"&gt;="&amp;('_Dates'!W959),INDEX(AllClosureRows,C959,0),"&lt;="&amp;(MIN('_Dates'!X959,Settings!$B$9))))+IF((MIN('_Dates'!Z959,Settings!$B$9))&lt;('_Dates'!Y959),0,INT(((MIN('_Dates'!Z959,Settings!$B$9))-('_Dates'!Y959)+1)/7)*LEN(SUBSTITUTE(W959,"O",""))+LEN(SUBSTITUTE(MID(W959&amp;W959,WEEKDAY(('_Dates'!Y959),2),MOD(((MIN('_Dates'!Z959,Settings!$B$9))-('_Dates'!Y959)+1),7)),"O",""))-COUNTIFS(INDEX(AllClosureRows,C959,0),"&gt;="&amp;('_Dates'!Y959),INDEX(AllClosureRows,C959,0),"&lt;="&amp;(MIN('_Dates'!Z959,Settings!$B$9))))))</ns0:f>
        <ns0:v>0</ns0:v>
      </ns0:c>
      <ns0:c r="I959" s="0">
        <ns0:f>MAX(0,G959-H959)</ns0:f>
        <ns0:v>0</ns0:v>
      </ns0:c>
      <ns0:c r="J959" s="0">
        <ns0:f>IF(OR(A959=0,F959&lt;&gt;"OK",Bookings!G959="Cancelled",$B$6&gt;0),0,IF('_Dates'!AC959=1,MAX(0,COUNTIFS(rngEngine_B,B959,rngAMStart,"&lt;="&amp;'_Dates'!X959,rngAMEnd,"&gt;="&amp;'_Dates'!W959,rngAMActive,1,rngEngine_F,"OK",rngBookings_F,"&lt;&gt;Cancelled")-1),0)+IF('_Dates'!AD959=1,MAX(0,COUNTIFS(rngEngine_B,B959,rngPMStart,"&lt;="&amp;'_Dates'!Z959,rngPMEnd,"&gt;="&amp;'_Dates'!Y959,rngPMActive,1,rngEngine_F,"OK",rngBookings_F,"&lt;&gt;Cancelled")-1),0))</ns0:f>
        <ns0:v>0</ns0:v>
      </ns0:c>
      <ns0:c r="K959" s="0" t="str">
        <ns0:f>IF(A959=0,"",IF(F959&lt;&gt;"OK",F959,IF(J959&gt;0,"CHECK overlapping entry",IF(AND($B$6=0,G959&lt;=0,Bookings!G959&lt;&gt;"Cancelled"),"CHECK no working days",IF(Bookings!G959="Cancelled","Cancelled","OK")))))</ns0:f>
        <ns0:v/>
      </ns0:c>
      <ns0:c r="L959" s="0">
        <ns0:f>IF(LEFT(K959,5)="CHECK",1,0)</ns0:f>
        <ns0:v>0</ns0:v>
      </ns0:c>
      <ns0:c r="M959" s="0">
        <ns0:f>IF(AND(L959=1,OR(C959=0,IFERROR(INDEX($X$11:$X$60,C959),0)=0)),1,0)</ns0:f>
        <ns0:v>0</ns0:v>
      </ns0:c>
      <ns0:c r="N959" s="0">
        <ns0:f>IF(OR(A959=0,L959&gt;0,$B$6&gt;0,Bookings!G959="Cancelled"),0,G959)</ns0:f>
        <ns0:v>0</ns0:v>
      </ns0:c>
      <ns0:c r="O959" s="0">
        <ns0:f>IF(AND(Bookings!G959="Approved",E959="Yes"),N959,0)</ns0:f>
        <ns0:v>0</ns0:v>
      </ns0:c>
      <ns0:c r="P959" s="0">
        <ns0:f>IF(AND(Bookings!G959="Approved",E959="Yes",L959=0,$B$6=0),H959,0)</ns0:f>
        <ns0:v>0</ns0:v>
      </ns0:c>
      <ns0:c r="Q959" s="0">
        <ns0:f>IF(AND(Bookings!G959="Approved",E959="Yes",L959=0,$B$6=0),I959,0)</ns0:f>
        <ns0:v>0</ns0:v>
      </ns0:c>
      <ns0:c r="R959" s="0">
        <ns0:f>IF(AND(Bookings!G959="Pending",E959="Yes"),N959,0)</ns0:f>
        <ns0:v>0</ns0:v>
      </ns0:c>
      <ns0:c r="S959" s="0">
        <ns0:f>IF(AND(Bookings!G959="Approved",E959="No"),N959,0)</ns0:f>
        <ns0:v>0</ns0:v>
      </ns0:c>
      <ns0:c r="T959" s="0">
        <ns0:f>IFERROR(MATCH(D959,Settings!$G$7:$G$11,0),0)</ns0:f>
        <ns0:v>0</ns0:v>
      </ns0:c>
      <ns0:c r="U959" s="0">
        <ns0:f>IF(N959&gt;0,T959+IF(Bookings!G959="Pending",10,0),0)</ns0:f>
        <ns0:v>0</ns0:v>
      </ns0:c>
      <ns0:c r="V959" s="0">
        <ns0:f>U959</ns0:f>
        <ns0:v>0</ns0:v>
      </ns0:c>
      <ns0:c r="W959" s="0" t="str">
        <ns0:f>IF(C959=0,"",INDEX($AP$11:$AP$60,C959))</ns0:f>
        <ns0:v/>
      </ns0:c>
    </ns0:row>
    <ns0:row r="960">
      <ns0:c r="A960" s="0">
        <ns0:f>IF(COUNTA(Bookings!A960:G960,Bookings!I960)=0,0,1)</ns0:f>
        <ns0:v>0</ns0:v>
      </ns0:c>
      <ns0:c r="B960" s="0" t="str">
        <ns0:f>IFERROR(TRIM(MID(Bookings!A960,FIND(" · ",Bookings!A960)+3,99)),"")</ns0:f>
        <ns0:v/>
      </ns0:c>
      <ns0:c r="C960" s="0">
        <ns0:f>IF(OR(B960="",LEN(B960)&gt;24,ISNUMBER(FIND(" ",B960)),ISNUMBER(FIND("*",B960)),ISNUMBER(FIND("?",B960)),ISNUMBER(FIND("~",B960))),0,IFERROR(MATCH(B960,Team!$A$11:$A$60,0),0))</ns0:f>
        <ns0:v>0</ns0:v>
      </ns0:c>
      <ns0:c r="D960" s="0" t="str">
        <ns0:f>IFERROR(IF(MID(Bookings!F960,LEN(Bookings!F960)-3,3)=" · ",RIGHT(Bookings!F960,1),""),"")</ns0:f>
        <ns0:v/>
      </ns0:c>
      <ns0:c r="E960" s="0" t="str">
        <ns0:f>IFERROR(INDEX(Settings!$H$7:$H$11,MATCH(D960,Settings!$G$7:$G$11,0)),"")</ns0:f>
        <ns0:v/>
      </ns0:c>
      <ns0:c r="F960" s="0" t="str">
        <ns0:f>IF(A960=0,"",IFERROR(IF(OR(B960="",C960=0),"CHECK employee selection",IF(INDEX(Team!$O$11:$O$60,C960)&lt;&gt;"OK","CHECK employee setup",IF(OR('_Dates'!J960=0,'_Dates'!T960=0),"CHECK date: use DD.MM.YYYY",IF('_Dates'!T960&lt;'_Dates'!J960,"CHECK end before start",IF(AND($B$6=0,OR('_Dates'!J960&lt;Settings!$B$7,'_Dates'!T960&gt;Settings!$B$8)),"CHECK split across leave years",IF(OR(NOT(OR('_Dates'!U960="Full day",'_Dates'!U960="AM",'_Dates'!U960="PM")),NOT(OR('_Dates'!V960="Full day",'_Dates'!V960="AM",'_Dates'!V960="PM"))),"CHECK Full day / AM / PM",IF(AND('_Dates'!J960='_Dates'!T960,'_Dates'!U960&lt;&gt;"Full day",'_Dates'!V960&lt;&gt;"Full day",'_Dates'!U960&lt;&gt;'_Dates'!V960),"CHECK same-day portions disagree",IF(AND($B$6=0,OR(AND('_Dates'!U960&lt;&gt;"Full day",'_Dates'!AA960=0),AND('_Dates'!V960&lt;&gt;"Full day",'_Dates'!AB960=0))),"CHECK half-day on non-working date",IF(COUNTIF(Settings!$G$7:$G$11,D960)&lt;&gt;1,"CHECK leave type",IF(AND(Bookings!G960&lt;&gt;"Approved",Bookings!G960&lt;&gt;"Pending",Bookings!G960&lt;&gt;"Cancelled"),"CHECK status","OK")))))))))),"CHECK input"))</ns0:f>
        <ns0:v/>
      </ns0:c>
      <ns0:c r="G960" s="0">
        <ns0:f>IF(OR(F960&lt;&gt;"OK",$B$6&gt;0),0,0.5*(IF(('_Dates'!X960)&lt;('_Dates'!W960),0,INT((('_Dates'!X960)-('_Dates'!W960)+1)/7)*LEN(SUBSTITUTE(W960,"O",""))+LEN(SUBSTITUTE(MID(W960&amp;W960,WEEKDAY(('_Dates'!W960),2),MOD((('_Dates'!X960)-('_Dates'!W960)+1),7)),"O",""))-COUNTIFS(INDEX(AllClosureRows,C960,0),"&gt;="&amp;('_Dates'!W960),INDEX(AllClosureRows,C960,0),"&lt;="&amp;('_Dates'!X960)))+IF(('_Dates'!Z960)&lt;('_Dates'!Y960),0,INT((('_Dates'!Z960)-('_Dates'!Y960)+1)/7)*LEN(SUBSTITUTE(W960,"O",""))+LEN(SUBSTITUTE(MID(W960&amp;W960,WEEKDAY(('_Dates'!Y960),2),MOD((('_Dates'!Z960)-('_Dates'!Y960)+1),7)),"O",""))-COUNTIFS(INDEX(AllClosureRows,C960,0),"&gt;="&amp;('_Dates'!Y960),INDEX(AllClosureRows,C960,0),"&lt;="&amp;('_Dates'!Z960)))))</ns0:f>
        <ns0:v>0</ns0:v>
      </ns0:c>
      <ns0:c r="H960" s="0">
        <ns0:f>IF(OR(F960&lt;&gt;"OK",$B$6&gt;0),0,0.5*(IF((MIN('_Dates'!X960,Settings!$B$9))&lt;('_Dates'!W960),0,INT(((MIN('_Dates'!X960,Settings!$B$9))-('_Dates'!W960)+1)/7)*LEN(SUBSTITUTE(W960,"O",""))+LEN(SUBSTITUTE(MID(W960&amp;W960,WEEKDAY(('_Dates'!W960),2),MOD(((MIN('_Dates'!X960,Settings!$B$9))-('_Dates'!W960)+1),7)),"O",""))-COUNTIFS(INDEX(AllClosureRows,C960,0),"&gt;="&amp;('_Dates'!W960),INDEX(AllClosureRows,C960,0),"&lt;="&amp;(MIN('_Dates'!X960,Settings!$B$9))))+IF((MIN('_Dates'!Z960,Settings!$B$9))&lt;('_Dates'!Y960),0,INT(((MIN('_Dates'!Z960,Settings!$B$9))-('_Dates'!Y960)+1)/7)*LEN(SUBSTITUTE(W960,"O",""))+LEN(SUBSTITUTE(MID(W960&amp;W960,WEEKDAY(('_Dates'!Y960),2),MOD(((MIN('_Dates'!Z960,Settings!$B$9))-('_Dates'!Y960)+1),7)),"O",""))-COUNTIFS(INDEX(AllClosureRows,C960,0),"&gt;="&amp;('_Dates'!Y960),INDEX(AllClosureRows,C960,0),"&lt;="&amp;(MIN('_Dates'!Z960,Settings!$B$9))))))</ns0:f>
        <ns0:v>0</ns0:v>
      </ns0:c>
      <ns0:c r="I960" s="0">
        <ns0:f>MAX(0,G960-H960)</ns0:f>
        <ns0:v>0</ns0:v>
      </ns0:c>
      <ns0:c r="J960" s="0">
        <ns0:f>IF(OR(A960=0,F960&lt;&gt;"OK",Bookings!G960="Cancelled",$B$6&gt;0),0,IF('_Dates'!AC960=1,MAX(0,COUNTIFS(rngEngine_B,B960,rngAMStart,"&lt;="&amp;'_Dates'!X960,rngAMEnd,"&gt;="&amp;'_Dates'!W960,rngAMActive,1,rngEngine_F,"OK",rngBookings_F,"&lt;&gt;Cancelled")-1),0)+IF('_Dates'!AD960=1,MAX(0,COUNTIFS(rngEngine_B,B960,rngPMStart,"&lt;="&amp;'_Dates'!Z960,rngPMEnd,"&gt;="&amp;'_Dates'!Y960,rngPMActive,1,rngEngine_F,"OK",rngBookings_F,"&lt;&gt;Cancelled")-1),0))</ns0:f>
        <ns0:v>0</ns0:v>
      </ns0:c>
      <ns0:c r="K960" s="0" t="str">
        <ns0:f>IF(A960=0,"",IF(F960&lt;&gt;"OK",F960,IF(J960&gt;0,"CHECK overlapping entry",IF(AND($B$6=0,G960&lt;=0,Bookings!G960&lt;&gt;"Cancelled"),"CHECK no working days",IF(Bookings!G960="Cancelled","Cancelled","OK")))))</ns0:f>
        <ns0:v/>
      </ns0:c>
      <ns0:c r="L960" s="0">
        <ns0:f>IF(LEFT(K960,5)="CHECK",1,0)</ns0:f>
        <ns0:v>0</ns0:v>
      </ns0:c>
      <ns0:c r="M960" s="0">
        <ns0:f>IF(AND(L960=1,OR(C960=0,IFERROR(INDEX($X$11:$X$60,C960),0)=0)),1,0)</ns0:f>
        <ns0:v>0</ns0:v>
      </ns0:c>
      <ns0:c r="N960" s="0">
        <ns0:f>IF(OR(A960=0,L960&gt;0,$B$6&gt;0,Bookings!G960="Cancelled"),0,G960)</ns0:f>
        <ns0:v>0</ns0:v>
      </ns0:c>
      <ns0:c r="O960" s="0">
        <ns0:f>IF(AND(Bookings!G960="Approved",E960="Yes"),N960,0)</ns0:f>
        <ns0:v>0</ns0:v>
      </ns0:c>
      <ns0:c r="P960" s="0">
        <ns0:f>IF(AND(Bookings!G960="Approved",E960="Yes",L960=0,$B$6=0),H960,0)</ns0:f>
        <ns0:v>0</ns0:v>
      </ns0:c>
      <ns0:c r="Q960" s="0">
        <ns0:f>IF(AND(Bookings!G960="Approved",E960="Yes",L960=0,$B$6=0),I960,0)</ns0:f>
        <ns0:v>0</ns0:v>
      </ns0:c>
      <ns0:c r="R960" s="0">
        <ns0:f>IF(AND(Bookings!G960="Pending",E960="Yes"),N960,0)</ns0:f>
        <ns0:v>0</ns0:v>
      </ns0:c>
      <ns0:c r="S960" s="0">
        <ns0:f>IF(AND(Bookings!G960="Approved",E960="No"),N960,0)</ns0:f>
        <ns0:v>0</ns0:v>
      </ns0:c>
      <ns0:c r="T960" s="0">
        <ns0:f>IFERROR(MATCH(D960,Settings!$G$7:$G$11,0),0)</ns0:f>
        <ns0:v>0</ns0:v>
      </ns0:c>
      <ns0:c r="U960" s="0">
        <ns0:f>IF(N960&gt;0,T960+IF(Bookings!G960="Pending",10,0),0)</ns0:f>
        <ns0:v>0</ns0:v>
      </ns0:c>
      <ns0:c r="V960" s="0">
        <ns0:f>U960</ns0:f>
        <ns0:v>0</ns0:v>
      </ns0:c>
      <ns0:c r="W960" s="0" t="str">
        <ns0:f>IF(C960=0,"",INDEX($AP$11:$AP$60,C960))</ns0:f>
        <ns0:v/>
      </ns0:c>
    </ns0:row>
    <ns0:row r="961">
      <ns0:c r="A961" s="0">
        <ns0:f>IF(COUNTA(Bookings!A961:G961,Bookings!I961)=0,0,1)</ns0:f>
        <ns0:v>0</ns0:v>
      </ns0:c>
      <ns0:c r="B961" s="0" t="str">
        <ns0:f>IFERROR(TRIM(MID(Bookings!A961,FIND(" · ",Bookings!A961)+3,99)),"")</ns0:f>
        <ns0:v/>
      </ns0:c>
      <ns0:c r="C961" s="0">
        <ns0:f>IF(OR(B961="",LEN(B961)&gt;24,ISNUMBER(FIND(" ",B961)),ISNUMBER(FIND("*",B961)),ISNUMBER(FIND("?",B961)),ISNUMBER(FIND("~",B961))),0,IFERROR(MATCH(B961,Team!$A$11:$A$60,0),0))</ns0:f>
        <ns0:v>0</ns0:v>
      </ns0:c>
      <ns0:c r="D961" s="0" t="str">
        <ns0:f>IFERROR(IF(MID(Bookings!F961,LEN(Bookings!F961)-3,3)=" · ",RIGHT(Bookings!F961,1),""),"")</ns0:f>
        <ns0:v/>
      </ns0:c>
      <ns0:c r="E961" s="0" t="str">
        <ns0:f>IFERROR(INDEX(Settings!$H$7:$H$11,MATCH(D961,Settings!$G$7:$G$11,0)),"")</ns0:f>
        <ns0:v/>
      </ns0:c>
      <ns0:c r="F961" s="0" t="str">
        <ns0:f>IF(A961=0,"",IFERROR(IF(OR(B961="",C961=0),"CHECK employee selection",IF(INDEX(Team!$O$11:$O$60,C961)&lt;&gt;"OK","CHECK employee setup",IF(OR('_Dates'!J961=0,'_Dates'!T961=0),"CHECK date: use DD.MM.YYYY",IF('_Dates'!T961&lt;'_Dates'!J961,"CHECK end before start",IF(AND($B$6=0,OR('_Dates'!J961&lt;Settings!$B$7,'_Dates'!T961&gt;Settings!$B$8)),"CHECK split across leave years",IF(OR(NOT(OR('_Dates'!U961="Full day",'_Dates'!U961="AM",'_Dates'!U961="PM")),NOT(OR('_Dates'!V961="Full day",'_Dates'!V961="AM",'_Dates'!V961="PM"))),"CHECK Full day / AM / PM",IF(AND('_Dates'!J961='_Dates'!T961,'_Dates'!U961&lt;&gt;"Full day",'_Dates'!V961&lt;&gt;"Full day",'_Dates'!U961&lt;&gt;'_Dates'!V961),"CHECK same-day portions disagree",IF(AND($B$6=0,OR(AND('_Dates'!U961&lt;&gt;"Full day",'_Dates'!AA961=0),AND('_Dates'!V961&lt;&gt;"Full day",'_Dates'!AB961=0))),"CHECK half-day on non-working date",IF(COUNTIF(Settings!$G$7:$G$11,D961)&lt;&gt;1,"CHECK leave type",IF(AND(Bookings!G961&lt;&gt;"Approved",Bookings!G961&lt;&gt;"Pending",Bookings!G961&lt;&gt;"Cancelled"),"CHECK status","OK")))))))))),"CHECK input"))</ns0:f>
        <ns0:v/>
      </ns0:c>
      <ns0:c r="G961" s="0">
        <ns0:f>IF(OR(F961&lt;&gt;"OK",$B$6&gt;0),0,0.5*(IF(('_Dates'!X961)&lt;('_Dates'!W961),0,INT((('_Dates'!X961)-('_Dates'!W961)+1)/7)*LEN(SUBSTITUTE(W961,"O",""))+LEN(SUBSTITUTE(MID(W961&amp;W961,WEEKDAY(('_Dates'!W961),2),MOD((('_Dates'!X961)-('_Dates'!W961)+1),7)),"O",""))-COUNTIFS(INDEX(AllClosureRows,C961,0),"&gt;="&amp;('_Dates'!W961),INDEX(AllClosureRows,C961,0),"&lt;="&amp;('_Dates'!X961)))+IF(('_Dates'!Z961)&lt;('_Dates'!Y961),0,INT((('_Dates'!Z961)-('_Dates'!Y961)+1)/7)*LEN(SUBSTITUTE(W961,"O",""))+LEN(SUBSTITUTE(MID(W961&amp;W961,WEEKDAY(('_Dates'!Y961),2),MOD((('_Dates'!Z961)-('_Dates'!Y961)+1),7)),"O",""))-COUNTIFS(INDEX(AllClosureRows,C961,0),"&gt;="&amp;('_Dates'!Y961),INDEX(AllClosureRows,C961,0),"&lt;="&amp;('_Dates'!Z961)))))</ns0:f>
        <ns0:v>0</ns0:v>
      </ns0:c>
      <ns0:c r="H961" s="0">
        <ns0:f>IF(OR(F961&lt;&gt;"OK",$B$6&gt;0),0,0.5*(IF((MIN('_Dates'!X961,Settings!$B$9))&lt;('_Dates'!W961),0,INT(((MIN('_Dates'!X961,Settings!$B$9))-('_Dates'!W961)+1)/7)*LEN(SUBSTITUTE(W961,"O",""))+LEN(SUBSTITUTE(MID(W961&amp;W961,WEEKDAY(('_Dates'!W961),2),MOD(((MIN('_Dates'!X961,Settings!$B$9))-('_Dates'!W961)+1),7)),"O",""))-COUNTIFS(INDEX(AllClosureRows,C961,0),"&gt;="&amp;('_Dates'!W961),INDEX(AllClosureRows,C961,0),"&lt;="&amp;(MIN('_Dates'!X961,Settings!$B$9))))+IF((MIN('_Dates'!Z961,Settings!$B$9))&lt;('_Dates'!Y961),0,INT(((MIN('_Dates'!Z961,Settings!$B$9))-('_Dates'!Y961)+1)/7)*LEN(SUBSTITUTE(W961,"O",""))+LEN(SUBSTITUTE(MID(W961&amp;W961,WEEKDAY(('_Dates'!Y961),2),MOD(((MIN('_Dates'!Z961,Settings!$B$9))-('_Dates'!Y961)+1),7)),"O",""))-COUNTIFS(INDEX(AllClosureRows,C961,0),"&gt;="&amp;('_Dates'!Y961),INDEX(AllClosureRows,C961,0),"&lt;="&amp;(MIN('_Dates'!Z961,Settings!$B$9))))))</ns0:f>
        <ns0:v>0</ns0:v>
      </ns0:c>
      <ns0:c r="I961" s="0">
        <ns0:f>MAX(0,G961-H961)</ns0:f>
        <ns0:v>0</ns0:v>
      </ns0:c>
      <ns0:c r="J961" s="0">
        <ns0:f>IF(OR(A961=0,F961&lt;&gt;"OK",Bookings!G961="Cancelled",$B$6&gt;0),0,IF('_Dates'!AC961=1,MAX(0,COUNTIFS(rngEngine_B,B961,rngAMStart,"&lt;="&amp;'_Dates'!X961,rngAMEnd,"&gt;="&amp;'_Dates'!W961,rngAMActive,1,rngEngine_F,"OK",rngBookings_F,"&lt;&gt;Cancelled")-1),0)+IF('_Dates'!AD961=1,MAX(0,COUNTIFS(rngEngine_B,B961,rngPMStart,"&lt;="&amp;'_Dates'!Z961,rngPMEnd,"&gt;="&amp;'_Dates'!Y961,rngPMActive,1,rngEngine_F,"OK",rngBookings_F,"&lt;&gt;Cancelled")-1),0))</ns0:f>
        <ns0:v>0</ns0:v>
      </ns0:c>
      <ns0:c r="K961" s="0" t="str">
        <ns0:f>IF(A961=0,"",IF(F961&lt;&gt;"OK",F961,IF(J961&gt;0,"CHECK overlapping entry",IF(AND($B$6=0,G961&lt;=0,Bookings!G961&lt;&gt;"Cancelled"),"CHECK no working days",IF(Bookings!G961="Cancelled","Cancelled","OK")))))</ns0:f>
        <ns0:v/>
      </ns0:c>
      <ns0:c r="L961" s="0">
        <ns0:f>IF(LEFT(K961,5)="CHECK",1,0)</ns0:f>
        <ns0:v>0</ns0:v>
      </ns0:c>
      <ns0:c r="M961" s="0">
        <ns0:f>IF(AND(L961=1,OR(C961=0,IFERROR(INDEX($X$11:$X$60,C961),0)=0)),1,0)</ns0:f>
        <ns0:v>0</ns0:v>
      </ns0:c>
      <ns0:c r="N961" s="0">
        <ns0:f>IF(OR(A961=0,L961&gt;0,$B$6&gt;0,Bookings!G961="Cancelled"),0,G961)</ns0:f>
        <ns0:v>0</ns0:v>
      </ns0:c>
      <ns0:c r="O961" s="0">
        <ns0:f>IF(AND(Bookings!G961="Approved",E961="Yes"),N961,0)</ns0:f>
        <ns0:v>0</ns0:v>
      </ns0:c>
      <ns0:c r="P961" s="0">
        <ns0:f>IF(AND(Bookings!G961="Approved",E961="Yes",L961=0,$B$6=0),H961,0)</ns0:f>
        <ns0:v>0</ns0:v>
      </ns0:c>
      <ns0:c r="Q961" s="0">
        <ns0:f>IF(AND(Bookings!G961="Approved",E961="Yes",L961=0,$B$6=0),I961,0)</ns0:f>
        <ns0:v>0</ns0:v>
      </ns0:c>
      <ns0:c r="R961" s="0">
        <ns0:f>IF(AND(Bookings!G961="Pending",E961="Yes"),N961,0)</ns0:f>
        <ns0:v>0</ns0:v>
      </ns0:c>
      <ns0:c r="S961" s="0">
        <ns0:f>IF(AND(Bookings!G961="Approved",E961="No"),N961,0)</ns0:f>
        <ns0:v>0</ns0:v>
      </ns0:c>
      <ns0:c r="T961" s="0">
        <ns0:f>IFERROR(MATCH(D961,Settings!$G$7:$G$11,0),0)</ns0:f>
        <ns0:v>0</ns0:v>
      </ns0:c>
      <ns0:c r="U961" s="0">
        <ns0:f>IF(N961&gt;0,T961+IF(Bookings!G961="Pending",10,0),0)</ns0:f>
        <ns0:v>0</ns0:v>
      </ns0:c>
      <ns0:c r="V961" s="0">
        <ns0:f>U961</ns0:f>
        <ns0:v>0</ns0:v>
      </ns0:c>
      <ns0:c r="W961" s="0" t="str">
        <ns0:f>IF(C961=0,"",INDEX($AP$11:$AP$60,C961))</ns0:f>
        <ns0:v/>
      </ns0:c>
    </ns0:row>
    <ns0:row r="962">
      <ns0:c r="A962" s="0">
        <ns0:f>IF(COUNTA(Bookings!A962:G962,Bookings!I962)=0,0,1)</ns0:f>
        <ns0:v>0</ns0:v>
      </ns0:c>
      <ns0:c r="B962" s="0" t="str">
        <ns0:f>IFERROR(TRIM(MID(Bookings!A962,FIND(" · ",Bookings!A962)+3,99)),"")</ns0:f>
        <ns0:v/>
      </ns0:c>
      <ns0:c r="C962" s="0">
        <ns0:f>IF(OR(B962="",LEN(B962)&gt;24,ISNUMBER(FIND(" ",B962)),ISNUMBER(FIND("*",B962)),ISNUMBER(FIND("?",B962)),ISNUMBER(FIND("~",B962))),0,IFERROR(MATCH(B962,Team!$A$11:$A$60,0),0))</ns0:f>
        <ns0:v>0</ns0:v>
      </ns0:c>
      <ns0:c r="D962" s="0" t="str">
        <ns0:f>IFERROR(IF(MID(Bookings!F962,LEN(Bookings!F962)-3,3)=" · ",RIGHT(Bookings!F962,1),""),"")</ns0:f>
        <ns0:v/>
      </ns0:c>
      <ns0:c r="E962" s="0" t="str">
        <ns0:f>IFERROR(INDEX(Settings!$H$7:$H$11,MATCH(D962,Settings!$G$7:$G$11,0)),"")</ns0:f>
        <ns0:v/>
      </ns0:c>
      <ns0:c r="F962" s="0" t="str">
        <ns0:f>IF(A962=0,"",IFERROR(IF(OR(B962="",C962=0),"CHECK employee selection",IF(INDEX(Team!$O$11:$O$60,C962)&lt;&gt;"OK","CHECK employee setup",IF(OR('_Dates'!J962=0,'_Dates'!T962=0),"CHECK date: use DD.MM.YYYY",IF('_Dates'!T962&lt;'_Dates'!J962,"CHECK end before start",IF(AND($B$6=0,OR('_Dates'!J962&lt;Settings!$B$7,'_Dates'!T962&gt;Settings!$B$8)),"CHECK split across leave years",IF(OR(NOT(OR('_Dates'!U962="Full day",'_Dates'!U962="AM",'_Dates'!U962="PM")),NOT(OR('_Dates'!V962="Full day",'_Dates'!V962="AM",'_Dates'!V962="PM"))),"CHECK Full day / AM / PM",IF(AND('_Dates'!J962='_Dates'!T962,'_Dates'!U962&lt;&gt;"Full day",'_Dates'!V962&lt;&gt;"Full day",'_Dates'!U962&lt;&gt;'_Dates'!V962),"CHECK same-day portions disagree",IF(AND($B$6=0,OR(AND('_Dates'!U962&lt;&gt;"Full day",'_Dates'!AA962=0),AND('_Dates'!V962&lt;&gt;"Full day",'_Dates'!AB962=0))),"CHECK half-day on non-working date",IF(COUNTIF(Settings!$G$7:$G$11,D962)&lt;&gt;1,"CHECK leave type",IF(AND(Bookings!G962&lt;&gt;"Approved",Bookings!G962&lt;&gt;"Pending",Bookings!G962&lt;&gt;"Cancelled"),"CHECK status","OK")))))))))),"CHECK input"))</ns0:f>
        <ns0:v/>
      </ns0:c>
      <ns0:c r="G962" s="0">
        <ns0:f>IF(OR(F962&lt;&gt;"OK",$B$6&gt;0),0,0.5*(IF(('_Dates'!X962)&lt;('_Dates'!W962),0,INT((('_Dates'!X962)-('_Dates'!W962)+1)/7)*LEN(SUBSTITUTE(W962,"O",""))+LEN(SUBSTITUTE(MID(W962&amp;W962,WEEKDAY(('_Dates'!W962),2),MOD((('_Dates'!X962)-('_Dates'!W962)+1),7)),"O",""))-COUNTIFS(INDEX(AllClosureRows,C962,0),"&gt;="&amp;('_Dates'!W962),INDEX(AllClosureRows,C962,0),"&lt;="&amp;('_Dates'!X962)))+IF(('_Dates'!Z962)&lt;('_Dates'!Y962),0,INT((('_Dates'!Z962)-('_Dates'!Y962)+1)/7)*LEN(SUBSTITUTE(W962,"O",""))+LEN(SUBSTITUTE(MID(W962&amp;W962,WEEKDAY(('_Dates'!Y962),2),MOD((('_Dates'!Z962)-('_Dates'!Y962)+1),7)),"O",""))-COUNTIFS(INDEX(AllClosureRows,C962,0),"&gt;="&amp;('_Dates'!Y962),INDEX(AllClosureRows,C962,0),"&lt;="&amp;('_Dates'!Z962)))))</ns0:f>
        <ns0:v>0</ns0:v>
      </ns0:c>
      <ns0:c r="H962" s="0">
        <ns0:f>IF(OR(F962&lt;&gt;"OK",$B$6&gt;0),0,0.5*(IF((MIN('_Dates'!X962,Settings!$B$9))&lt;('_Dates'!W962),0,INT(((MIN('_Dates'!X962,Settings!$B$9))-('_Dates'!W962)+1)/7)*LEN(SUBSTITUTE(W962,"O",""))+LEN(SUBSTITUTE(MID(W962&amp;W962,WEEKDAY(('_Dates'!W962),2),MOD(((MIN('_Dates'!X962,Settings!$B$9))-('_Dates'!W962)+1),7)),"O",""))-COUNTIFS(INDEX(AllClosureRows,C962,0),"&gt;="&amp;('_Dates'!W962),INDEX(AllClosureRows,C962,0),"&lt;="&amp;(MIN('_Dates'!X962,Settings!$B$9))))+IF((MIN('_Dates'!Z962,Settings!$B$9))&lt;('_Dates'!Y962),0,INT(((MIN('_Dates'!Z962,Settings!$B$9))-('_Dates'!Y962)+1)/7)*LEN(SUBSTITUTE(W962,"O",""))+LEN(SUBSTITUTE(MID(W962&amp;W962,WEEKDAY(('_Dates'!Y962),2),MOD(((MIN('_Dates'!Z962,Settings!$B$9))-('_Dates'!Y962)+1),7)),"O",""))-COUNTIFS(INDEX(AllClosureRows,C962,0),"&gt;="&amp;('_Dates'!Y962),INDEX(AllClosureRows,C962,0),"&lt;="&amp;(MIN('_Dates'!Z962,Settings!$B$9))))))</ns0:f>
        <ns0:v>0</ns0:v>
      </ns0:c>
      <ns0:c r="I962" s="0">
        <ns0:f>MAX(0,G962-H962)</ns0:f>
        <ns0:v>0</ns0:v>
      </ns0:c>
      <ns0:c r="J962" s="0">
        <ns0:f>IF(OR(A962=0,F962&lt;&gt;"OK",Bookings!G962="Cancelled",$B$6&gt;0),0,IF('_Dates'!AC962=1,MAX(0,COUNTIFS(rngEngine_B,B962,rngAMStart,"&lt;="&amp;'_Dates'!X962,rngAMEnd,"&gt;="&amp;'_Dates'!W962,rngAMActive,1,rngEngine_F,"OK",rngBookings_F,"&lt;&gt;Cancelled")-1),0)+IF('_Dates'!AD962=1,MAX(0,COUNTIFS(rngEngine_B,B962,rngPMStart,"&lt;="&amp;'_Dates'!Z962,rngPMEnd,"&gt;="&amp;'_Dates'!Y962,rngPMActive,1,rngEngine_F,"OK",rngBookings_F,"&lt;&gt;Cancelled")-1),0))</ns0:f>
        <ns0:v>0</ns0:v>
      </ns0:c>
      <ns0:c r="K962" s="0" t="str">
        <ns0:f>IF(A962=0,"",IF(F962&lt;&gt;"OK",F962,IF(J962&gt;0,"CHECK overlapping entry",IF(AND($B$6=0,G962&lt;=0,Bookings!G962&lt;&gt;"Cancelled"),"CHECK no working days",IF(Bookings!G962="Cancelled","Cancelled","OK")))))</ns0:f>
        <ns0:v/>
      </ns0:c>
      <ns0:c r="L962" s="0">
        <ns0:f>IF(LEFT(K962,5)="CHECK",1,0)</ns0:f>
        <ns0:v>0</ns0:v>
      </ns0:c>
      <ns0:c r="M962" s="0">
        <ns0:f>IF(AND(L962=1,OR(C962=0,IFERROR(INDEX($X$11:$X$60,C962),0)=0)),1,0)</ns0:f>
        <ns0:v>0</ns0:v>
      </ns0:c>
      <ns0:c r="N962" s="0">
        <ns0:f>IF(OR(A962=0,L962&gt;0,$B$6&gt;0,Bookings!G962="Cancelled"),0,G962)</ns0:f>
        <ns0:v>0</ns0:v>
      </ns0:c>
      <ns0:c r="O962" s="0">
        <ns0:f>IF(AND(Bookings!G962="Approved",E962="Yes"),N962,0)</ns0:f>
        <ns0:v>0</ns0:v>
      </ns0:c>
      <ns0:c r="P962" s="0">
        <ns0:f>IF(AND(Bookings!G962="Approved",E962="Yes",L962=0,$B$6=0),H962,0)</ns0:f>
        <ns0:v>0</ns0:v>
      </ns0:c>
      <ns0:c r="Q962" s="0">
        <ns0:f>IF(AND(Bookings!G962="Approved",E962="Yes",L962=0,$B$6=0),I962,0)</ns0:f>
        <ns0:v>0</ns0:v>
      </ns0:c>
      <ns0:c r="R962" s="0">
        <ns0:f>IF(AND(Bookings!G962="Pending",E962="Yes"),N962,0)</ns0:f>
        <ns0:v>0</ns0:v>
      </ns0:c>
      <ns0:c r="S962" s="0">
        <ns0:f>IF(AND(Bookings!G962="Approved",E962="No"),N962,0)</ns0:f>
        <ns0:v>0</ns0:v>
      </ns0:c>
      <ns0:c r="T962" s="0">
        <ns0:f>IFERROR(MATCH(D962,Settings!$G$7:$G$11,0),0)</ns0:f>
        <ns0:v>0</ns0:v>
      </ns0:c>
      <ns0:c r="U962" s="0">
        <ns0:f>IF(N962&gt;0,T962+IF(Bookings!G962="Pending",10,0),0)</ns0:f>
        <ns0:v>0</ns0:v>
      </ns0:c>
      <ns0:c r="V962" s="0">
        <ns0:f>U962</ns0:f>
        <ns0:v>0</ns0:v>
      </ns0:c>
      <ns0:c r="W962" s="0" t="str">
        <ns0:f>IF(C962=0,"",INDEX($AP$11:$AP$60,C962))</ns0:f>
        <ns0:v/>
      </ns0:c>
    </ns0:row>
    <ns0:row r="963">
      <ns0:c r="A963" s="0">
        <ns0:f>IF(COUNTA(Bookings!A963:G963,Bookings!I963)=0,0,1)</ns0:f>
        <ns0:v>0</ns0:v>
      </ns0:c>
      <ns0:c r="B963" s="0" t="str">
        <ns0:f>IFERROR(TRIM(MID(Bookings!A963,FIND(" · ",Bookings!A963)+3,99)),"")</ns0:f>
        <ns0:v/>
      </ns0:c>
      <ns0:c r="C963" s="0">
        <ns0:f>IF(OR(B963="",LEN(B963)&gt;24,ISNUMBER(FIND(" ",B963)),ISNUMBER(FIND("*",B963)),ISNUMBER(FIND("?",B963)),ISNUMBER(FIND("~",B963))),0,IFERROR(MATCH(B963,Team!$A$11:$A$60,0),0))</ns0:f>
        <ns0:v>0</ns0:v>
      </ns0:c>
      <ns0:c r="D963" s="0" t="str">
        <ns0:f>IFERROR(IF(MID(Bookings!F963,LEN(Bookings!F963)-3,3)=" · ",RIGHT(Bookings!F963,1),""),"")</ns0:f>
        <ns0:v/>
      </ns0:c>
      <ns0:c r="E963" s="0" t="str">
        <ns0:f>IFERROR(INDEX(Settings!$H$7:$H$11,MATCH(D963,Settings!$G$7:$G$11,0)),"")</ns0:f>
        <ns0:v/>
      </ns0:c>
      <ns0:c r="F963" s="0" t="str">
        <ns0:f>IF(A963=0,"",IFERROR(IF(OR(B963="",C963=0),"CHECK employee selection",IF(INDEX(Team!$O$11:$O$60,C963)&lt;&gt;"OK","CHECK employee setup",IF(OR('_Dates'!J963=0,'_Dates'!T963=0),"CHECK date: use DD.MM.YYYY",IF('_Dates'!T963&lt;'_Dates'!J963,"CHECK end before start",IF(AND($B$6=0,OR('_Dates'!J963&lt;Settings!$B$7,'_Dates'!T963&gt;Settings!$B$8)),"CHECK split across leave years",IF(OR(NOT(OR('_Dates'!U963="Full day",'_Dates'!U963="AM",'_Dates'!U963="PM")),NOT(OR('_Dates'!V963="Full day",'_Dates'!V963="AM",'_Dates'!V963="PM"))),"CHECK Full day / AM / PM",IF(AND('_Dates'!J963='_Dates'!T963,'_Dates'!U963&lt;&gt;"Full day",'_Dates'!V963&lt;&gt;"Full day",'_Dates'!U963&lt;&gt;'_Dates'!V963),"CHECK same-day portions disagree",IF(AND($B$6=0,OR(AND('_Dates'!U963&lt;&gt;"Full day",'_Dates'!AA963=0),AND('_Dates'!V963&lt;&gt;"Full day",'_Dates'!AB963=0))),"CHECK half-day on non-working date",IF(COUNTIF(Settings!$G$7:$G$11,D963)&lt;&gt;1,"CHECK leave type",IF(AND(Bookings!G963&lt;&gt;"Approved",Bookings!G963&lt;&gt;"Pending",Bookings!G963&lt;&gt;"Cancelled"),"CHECK status","OK")))))))))),"CHECK input"))</ns0:f>
        <ns0:v/>
      </ns0:c>
      <ns0:c r="G963" s="0">
        <ns0:f>IF(OR(F963&lt;&gt;"OK",$B$6&gt;0),0,0.5*(IF(('_Dates'!X963)&lt;('_Dates'!W963),0,INT((('_Dates'!X963)-('_Dates'!W963)+1)/7)*LEN(SUBSTITUTE(W963,"O",""))+LEN(SUBSTITUTE(MID(W963&amp;W963,WEEKDAY(('_Dates'!W963),2),MOD((('_Dates'!X963)-('_Dates'!W963)+1),7)),"O",""))-COUNTIFS(INDEX(AllClosureRows,C963,0),"&gt;="&amp;('_Dates'!W963),INDEX(AllClosureRows,C963,0),"&lt;="&amp;('_Dates'!X963)))+IF(('_Dates'!Z963)&lt;('_Dates'!Y963),0,INT((('_Dates'!Z963)-('_Dates'!Y963)+1)/7)*LEN(SUBSTITUTE(W963,"O",""))+LEN(SUBSTITUTE(MID(W963&amp;W963,WEEKDAY(('_Dates'!Y963),2),MOD((('_Dates'!Z963)-('_Dates'!Y963)+1),7)),"O",""))-COUNTIFS(INDEX(AllClosureRows,C963,0),"&gt;="&amp;('_Dates'!Y963),INDEX(AllClosureRows,C963,0),"&lt;="&amp;('_Dates'!Z963)))))</ns0:f>
        <ns0:v>0</ns0:v>
      </ns0:c>
      <ns0:c r="H963" s="0">
        <ns0:f>IF(OR(F963&lt;&gt;"OK",$B$6&gt;0),0,0.5*(IF((MIN('_Dates'!X963,Settings!$B$9))&lt;('_Dates'!W963),0,INT(((MIN('_Dates'!X963,Settings!$B$9))-('_Dates'!W963)+1)/7)*LEN(SUBSTITUTE(W963,"O",""))+LEN(SUBSTITUTE(MID(W963&amp;W963,WEEKDAY(('_Dates'!W963),2),MOD(((MIN('_Dates'!X963,Settings!$B$9))-('_Dates'!W963)+1),7)),"O",""))-COUNTIFS(INDEX(AllClosureRows,C963,0),"&gt;="&amp;('_Dates'!W963),INDEX(AllClosureRows,C963,0),"&lt;="&amp;(MIN('_Dates'!X963,Settings!$B$9))))+IF((MIN('_Dates'!Z963,Settings!$B$9))&lt;('_Dates'!Y963),0,INT(((MIN('_Dates'!Z963,Settings!$B$9))-('_Dates'!Y963)+1)/7)*LEN(SUBSTITUTE(W963,"O",""))+LEN(SUBSTITUTE(MID(W963&amp;W963,WEEKDAY(('_Dates'!Y963),2),MOD(((MIN('_Dates'!Z963,Settings!$B$9))-('_Dates'!Y963)+1),7)),"O",""))-COUNTIFS(INDEX(AllClosureRows,C963,0),"&gt;="&amp;('_Dates'!Y963),INDEX(AllClosureRows,C963,0),"&lt;="&amp;(MIN('_Dates'!Z963,Settings!$B$9))))))</ns0:f>
        <ns0:v>0</ns0:v>
      </ns0:c>
      <ns0:c r="I963" s="0">
        <ns0:f>MAX(0,G963-H963)</ns0:f>
        <ns0:v>0</ns0:v>
      </ns0:c>
      <ns0:c r="J963" s="0">
        <ns0:f>IF(OR(A963=0,F963&lt;&gt;"OK",Bookings!G963="Cancelled",$B$6&gt;0),0,IF('_Dates'!AC963=1,MAX(0,COUNTIFS(rngEngine_B,B963,rngAMStart,"&lt;="&amp;'_Dates'!X963,rngAMEnd,"&gt;="&amp;'_Dates'!W963,rngAMActive,1,rngEngine_F,"OK",rngBookings_F,"&lt;&gt;Cancelled")-1),0)+IF('_Dates'!AD963=1,MAX(0,COUNTIFS(rngEngine_B,B963,rngPMStart,"&lt;="&amp;'_Dates'!Z963,rngPMEnd,"&gt;="&amp;'_Dates'!Y963,rngPMActive,1,rngEngine_F,"OK",rngBookings_F,"&lt;&gt;Cancelled")-1),0))</ns0:f>
        <ns0:v>0</ns0:v>
      </ns0:c>
      <ns0:c r="K963" s="0" t="str">
        <ns0:f>IF(A963=0,"",IF(F963&lt;&gt;"OK",F963,IF(J963&gt;0,"CHECK overlapping entry",IF(AND($B$6=0,G963&lt;=0,Bookings!G963&lt;&gt;"Cancelled"),"CHECK no working days",IF(Bookings!G963="Cancelled","Cancelled","OK")))))</ns0:f>
        <ns0:v/>
      </ns0:c>
      <ns0:c r="L963" s="0">
        <ns0:f>IF(LEFT(K963,5)="CHECK",1,0)</ns0:f>
        <ns0:v>0</ns0:v>
      </ns0:c>
      <ns0:c r="M963" s="0">
        <ns0:f>IF(AND(L963=1,OR(C963=0,IFERROR(INDEX($X$11:$X$60,C963),0)=0)),1,0)</ns0:f>
        <ns0:v>0</ns0:v>
      </ns0:c>
      <ns0:c r="N963" s="0">
        <ns0:f>IF(OR(A963=0,L963&gt;0,$B$6&gt;0,Bookings!G963="Cancelled"),0,G963)</ns0:f>
        <ns0:v>0</ns0:v>
      </ns0:c>
      <ns0:c r="O963" s="0">
        <ns0:f>IF(AND(Bookings!G963="Approved",E963="Yes"),N963,0)</ns0:f>
        <ns0:v>0</ns0:v>
      </ns0:c>
      <ns0:c r="P963" s="0">
        <ns0:f>IF(AND(Bookings!G963="Approved",E963="Yes",L963=0,$B$6=0),H963,0)</ns0:f>
        <ns0:v>0</ns0:v>
      </ns0:c>
      <ns0:c r="Q963" s="0">
        <ns0:f>IF(AND(Bookings!G963="Approved",E963="Yes",L963=0,$B$6=0),I963,0)</ns0:f>
        <ns0:v>0</ns0:v>
      </ns0:c>
      <ns0:c r="R963" s="0">
        <ns0:f>IF(AND(Bookings!G963="Pending",E963="Yes"),N963,0)</ns0:f>
        <ns0:v>0</ns0:v>
      </ns0:c>
      <ns0:c r="S963" s="0">
        <ns0:f>IF(AND(Bookings!G963="Approved",E963="No"),N963,0)</ns0:f>
        <ns0:v>0</ns0:v>
      </ns0:c>
      <ns0:c r="T963" s="0">
        <ns0:f>IFERROR(MATCH(D963,Settings!$G$7:$G$11,0),0)</ns0:f>
        <ns0:v>0</ns0:v>
      </ns0:c>
      <ns0:c r="U963" s="0">
        <ns0:f>IF(N963&gt;0,T963+IF(Bookings!G963="Pending",10,0),0)</ns0:f>
        <ns0:v>0</ns0:v>
      </ns0:c>
      <ns0:c r="V963" s="0">
        <ns0:f>U963</ns0:f>
        <ns0:v>0</ns0:v>
      </ns0:c>
      <ns0:c r="W963" s="0" t="str">
        <ns0:f>IF(C963=0,"",INDEX($AP$11:$AP$60,C963))</ns0:f>
        <ns0:v/>
      </ns0:c>
    </ns0:row>
    <ns0:row r="964">
      <ns0:c r="A964" s="0">
        <ns0:f>IF(COUNTA(Bookings!A964:G964,Bookings!I964)=0,0,1)</ns0:f>
        <ns0:v>0</ns0:v>
      </ns0:c>
      <ns0:c r="B964" s="0" t="str">
        <ns0:f>IFERROR(TRIM(MID(Bookings!A964,FIND(" · ",Bookings!A964)+3,99)),"")</ns0:f>
        <ns0:v/>
      </ns0:c>
      <ns0:c r="C964" s="0">
        <ns0:f>IF(OR(B964="",LEN(B964)&gt;24,ISNUMBER(FIND(" ",B964)),ISNUMBER(FIND("*",B964)),ISNUMBER(FIND("?",B964)),ISNUMBER(FIND("~",B964))),0,IFERROR(MATCH(B964,Team!$A$11:$A$60,0),0))</ns0:f>
        <ns0:v>0</ns0:v>
      </ns0:c>
      <ns0:c r="D964" s="0" t="str">
        <ns0:f>IFERROR(IF(MID(Bookings!F964,LEN(Bookings!F964)-3,3)=" · ",RIGHT(Bookings!F964,1),""),"")</ns0:f>
        <ns0:v/>
      </ns0:c>
      <ns0:c r="E964" s="0" t="str">
        <ns0:f>IFERROR(INDEX(Settings!$H$7:$H$11,MATCH(D964,Settings!$G$7:$G$11,0)),"")</ns0:f>
        <ns0:v/>
      </ns0:c>
      <ns0:c r="F964" s="0" t="str">
        <ns0:f>IF(A964=0,"",IFERROR(IF(OR(B964="",C964=0),"CHECK employee selection",IF(INDEX(Team!$O$11:$O$60,C964)&lt;&gt;"OK","CHECK employee setup",IF(OR('_Dates'!J964=0,'_Dates'!T964=0),"CHECK date: use DD.MM.YYYY",IF('_Dates'!T964&lt;'_Dates'!J964,"CHECK end before start",IF(AND($B$6=0,OR('_Dates'!J964&lt;Settings!$B$7,'_Dates'!T964&gt;Settings!$B$8)),"CHECK split across leave years",IF(OR(NOT(OR('_Dates'!U964="Full day",'_Dates'!U964="AM",'_Dates'!U964="PM")),NOT(OR('_Dates'!V964="Full day",'_Dates'!V964="AM",'_Dates'!V964="PM"))),"CHECK Full day / AM / PM",IF(AND('_Dates'!J964='_Dates'!T964,'_Dates'!U964&lt;&gt;"Full day",'_Dates'!V964&lt;&gt;"Full day",'_Dates'!U964&lt;&gt;'_Dates'!V964),"CHECK same-day portions disagree",IF(AND($B$6=0,OR(AND('_Dates'!U964&lt;&gt;"Full day",'_Dates'!AA964=0),AND('_Dates'!V964&lt;&gt;"Full day",'_Dates'!AB964=0))),"CHECK half-day on non-working date",IF(COUNTIF(Settings!$G$7:$G$11,D964)&lt;&gt;1,"CHECK leave type",IF(AND(Bookings!G964&lt;&gt;"Approved",Bookings!G964&lt;&gt;"Pending",Bookings!G964&lt;&gt;"Cancelled"),"CHECK status","OK")))))))))),"CHECK input"))</ns0:f>
        <ns0:v/>
      </ns0:c>
      <ns0:c r="G964" s="0">
        <ns0:f>IF(OR(F964&lt;&gt;"OK",$B$6&gt;0),0,0.5*(IF(('_Dates'!X964)&lt;('_Dates'!W964),0,INT((('_Dates'!X964)-('_Dates'!W964)+1)/7)*LEN(SUBSTITUTE(W964,"O",""))+LEN(SUBSTITUTE(MID(W964&amp;W964,WEEKDAY(('_Dates'!W964),2),MOD((('_Dates'!X964)-('_Dates'!W964)+1),7)),"O",""))-COUNTIFS(INDEX(AllClosureRows,C964,0),"&gt;="&amp;('_Dates'!W964),INDEX(AllClosureRows,C964,0),"&lt;="&amp;('_Dates'!X964)))+IF(('_Dates'!Z964)&lt;('_Dates'!Y964),0,INT((('_Dates'!Z964)-('_Dates'!Y964)+1)/7)*LEN(SUBSTITUTE(W964,"O",""))+LEN(SUBSTITUTE(MID(W964&amp;W964,WEEKDAY(('_Dates'!Y964),2),MOD((('_Dates'!Z964)-('_Dates'!Y964)+1),7)),"O",""))-COUNTIFS(INDEX(AllClosureRows,C964,0),"&gt;="&amp;('_Dates'!Y964),INDEX(AllClosureRows,C964,0),"&lt;="&amp;('_Dates'!Z964)))))</ns0:f>
        <ns0:v>0</ns0:v>
      </ns0:c>
      <ns0:c r="H964" s="0">
        <ns0:f>IF(OR(F964&lt;&gt;"OK",$B$6&gt;0),0,0.5*(IF((MIN('_Dates'!X964,Settings!$B$9))&lt;('_Dates'!W964),0,INT(((MIN('_Dates'!X964,Settings!$B$9))-('_Dates'!W964)+1)/7)*LEN(SUBSTITUTE(W964,"O",""))+LEN(SUBSTITUTE(MID(W964&amp;W964,WEEKDAY(('_Dates'!W964),2),MOD(((MIN('_Dates'!X964,Settings!$B$9))-('_Dates'!W964)+1),7)),"O",""))-COUNTIFS(INDEX(AllClosureRows,C964,0),"&gt;="&amp;('_Dates'!W964),INDEX(AllClosureRows,C964,0),"&lt;="&amp;(MIN('_Dates'!X964,Settings!$B$9))))+IF((MIN('_Dates'!Z964,Settings!$B$9))&lt;('_Dates'!Y964),0,INT(((MIN('_Dates'!Z964,Settings!$B$9))-('_Dates'!Y964)+1)/7)*LEN(SUBSTITUTE(W964,"O",""))+LEN(SUBSTITUTE(MID(W964&amp;W964,WEEKDAY(('_Dates'!Y964),2),MOD(((MIN('_Dates'!Z964,Settings!$B$9))-('_Dates'!Y964)+1),7)),"O",""))-COUNTIFS(INDEX(AllClosureRows,C964,0),"&gt;="&amp;('_Dates'!Y964),INDEX(AllClosureRows,C964,0),"&lt;="&amp;(MIN('_Dates'!Z964,Settings!$B$9))))))</ns0:f>
        <ns0:v>0</ns0:v>
      </ns0:c>
      <ns0:c r="I964" s="0">
        <ns0:f>MAX(0,G964-H964)</ns0:f>
        <ns0:v>0</ns0:v>
      </ns0:c>
      <ns0:c r="J964" s="0">
        <ns0:f>IF(OR(A964=0,F964&lt;&gt;"OK",Bookings!G964="Cancelled",$B$6&gt;0),0,IF('_Dates'!AC964=1,MAX(0,COUNTIFS(rngEngine_B,B964,rngAMStart,"&lt;="&amp;'_Dates'!X964,rngAMEnd,"&gt;="&amp;'_Dates'!W964,rngAMActive,1,rngEngine_F,"OK",rngBookings_F,"&lt;&gt;Cancelled")-1),0)+IF('_Dates'!AD964=1,MAX(0,COUNTIFS(rngEngine_B,B964,rngPMStart,"&lt;="&amp;'_Dates'!Z964,rngPMEnd,"&gt;="&amp;'_Dates'!Y964,rngPMActive,1,rngEngine_F,"OK",rngBookings_F,"&lt;&gt;Cancelled")-1),0))</ns0:f>
        <ns0:v>0</ns0:v>
      </ns0:c>
      <ns0:c r="K964" s="0" t="str">
        <ns0:f>IF(A964=0,"",IF(F964&lt;&gt;"OK",F964,IF(J964&gt;0,"CHECK overlapping entry",IF(AND($B$6=0,G964&lt;=0,Bookings!G964&lt;&gt;"Cancelled"),"CHECK no working days",IF(Bookings!G964="Cancelled","Cancelled","OK")))))</ns0:f>
        <ns0:v/>
      </ns0:c>
      <ns0:c r="L964" s="0">
        <ns0:f>IF(LEFT(K964,5)="CHECK",1,0)</ns0:f>
        <ns0:v>0</ns0:v>
      </ns0:c>
      <ns0:c r="M964" s="0">
        <ns0:f>IF(AND(L964=1,OR(C964=0,IFERROR(INDEX($X$11:$X$60,C964),0)=0)),1,0)</ns0:f>
        <ns0:v>0</ns0:v>
      </ns0:c>
      <ns0:c r="N964" s="0">
        <ns0:f>IF(OR(A964=0,L964&gt;0,$B$6&gt;0,Bookings!G964="Cancelled"),0,G964)</ns0:f>
        <ns0:v>0</ns0:v>
      </ns0:c>
      <ns0:c r="O964" s="0">
        <ns0:f>IF(AND(Bookings!G964="Approved",E964="Yes"),N964,0)</ns0:f>
        <ns0:v>0</ns0:v>
      </ns0:c>
      <ns0:c r="P964" s="0">
        <ns0:f>IF(AND(Bookings!G964="Approved",E964="Yes",L964=0,$B$6=0),H964,0)</ns0:f>
        <ns0:v>0</ns0:v>
      </ns0:c>
      <ns0:c r="Q964" s="0">
        <ns0:f>IF(AND(Bookings!G964="Approved",E964="Yes",L964=0,$B$6=0),I964,0)</ns0:f>
        <ns0:v>0</ns0:v>
      </ns0:c>
      <ns0:c r="R964" s="0">
        <ns0:f>IF(AND(Bookings!G964="Pending",E964="Yes"),N964,0)</ns0:f>
        <ns0:v>0</ns0:v>
      </ns0:c>
      <ns0:c r="S964" s="0">
        <ns0:f>IF(AND(Bookings!G964="Approved",E964="No"),N964,0)</ns0:f>
        <ns0:v>0</ns0:v>
      </ns0:c>
      <ns0:c r="T964" s="0">
        <ns0:f>IFERROR(MATCH(D964,Settings!$G$7:$G$11,0),0)</ns0:f>
        <ns0:v>0</ns0:v>
      </ns0:c>
      <ns0:c r="U964" s="0">
        <ns0:f>IF(N964&gt;0,T964+IF(Bookings!G964="Pending",10,0),0)</ns0:f>
        <ns0:v>0</ns0:v>
      </ns0:c>
      <ns0:c r="V964" s="0">
        <ns0:f>U964</ns0:f>
        <ns0:v>0</ns0:v>
      </ns0:c>
      <ns0:c r="W964" s="0" t="str">
        <ns0:f>IF(C964=0,"",INDEX($AP$11:$AP$60,C964))</ns0:f>
        <ns0:v/>
      </ns0:c>
    </ns0:row>
    <ns0:row r="965">
      <ns0:c r="A965" s="0">
        <ns0:f>IF(COUNTA(Bookings!A965:G965,Bookings!I965)=0,0,1)</ns0:f>
        <ns0:v>0</ns0:v>
      </ns0:c>
      <ns0:c r="B965" s="0" t="str">
        <ns0:f>IFERROR(TRIM(MID(Bookings!A965,FIND(" · ",Bookings!A965)+3,99)),"")</ns0:f>
        <ns0:v/>
      </ns0:c>
      <ns0:c r="C965" s="0">
        <ns0:f>IF(OR(B965="",LEN(B965)&gt;24,ISNUMBER(FIND(" ",B965)),ISNUMBER(FIND("*",B965)),ISNUMBER(FIND("?",B965)),ISNUMBER(FIND("~",B965))),0,IFERROR(MATCH(B965,Team!$A$11:$A$60,0),0))</ns0:f>
        <ns0:v>0</ns0:v>
      </ns0:c>
      <ns0:c r="D965" s="0" t="str">
        <ns0:f>IFERROR(IF(MID(Bookings!F965,LEN(Bookings!F965)-3,3)=" · ",RIGHT(Bookings!F965,1),""),"")</ns0:f>
        <ns0:v/>
      </ns0:c>
      <ns0:c r="E965" s="0" t="str">
        <ns0:f>IFERROR(INDEX(Settings!$H$7:$H$11,MATCH(D965,Settings!$G$7:$G$11,0)),"")</ns0:f>
        <ns0:v/>
      </ns0:c>
      <ns0:c r="F965" s="0" t="str">
        <ns0:f>IF(A965=0,"",IFERROR(IF(OR(B965="",C965=0),"CHECK employee selection",IF(INDEX(Team!$O$11:$O$60,C965)&lt;&gt;"OK","CHECK employee setup",IF(OR('_Dates'!J965=0,'_Dates'!T965=0),"CHECK date: use DD.MM.YYYY",IF('_Dates'!T965&lt;'_Dates'!J965,"CHECK end before start",IF(AND($B$6=0,OR('_Dates'!J965&lt;Settings!$B$7,'_Dates'!T965&gt;Settings!$B$8)),"CHECK split across leave years",IF(OR(NOT(OR('_Dates'!U965="Full day",'_Dates'!U965="AM",'_Dates'!U965="PM")),NOT(OR('_Dates'!V965="Full day",'_Dates'!V965="AM",'_Dates'!V965="PM"))),"CHECK Full day / AM / PM",IF(AND('_Dates'!J965='_Dates'!T965,'_Dates'!U965&lt;&gt;"Full day",'_Dates'!V965&lt;&gt;"Full day",'_Dates'!U965&lt;&gt;'_Dates'!V965),"CHECK same-day portions disagree",IF(AND($B$6=0,OR(AND('_Dates'!U965&lt;&gt;"Full day",'_Dates'!AA965=0),AND('_Dates'!V965&lt;&gt;"Full day",'_Dates'!AB965=0))),"CHECK half-day on non-working date",IF(COUNTIF(Settings!$G$7:$G$11,D965)&lt;&gt;1,"CHECK leave type",IF(AND(Bookings!G965&lt;&gt;"Approved",Bookings!G965&lt;&gt;"Pending",Bookings!G965&lt;&gt;"Cancelled"),"CHECK status","OK")))))))))),"CHECK input"))</ns0:f>
        <ns0:v/>
      </ns0:c>
      <ns0:c r="G965" s="0">
        <ns0:f>IF(OR(F965&lt;&gt;"OK",$B$6&gt;0),0,0.5*(IF(('_Dates'!X965)&lt;('_Dates'!W965),0,INT((('_Dates'!X965)-('_Dates'!W965)+1)/7)*LEN(SUBSTITUTE(W965,"O",""))+LEN(SUBSTITUTE(MID(W965&amp;W965,WEEKDAY(('_Dates'!W965),2),MOD((('_Dates'!X965)-('_Dates'!W965)+1),7)),"O",""))-COUNTIFS(INDEX(AllClosureRows,C965,0),"&gt;="&amp;('_Dates'!W965),INDEX(AllClosureRows,C965,0),"&lt;="&amp;('_Dates'!X965)))+IF(('_Dates'!Z965)&lt;('_Dates'!Y965),0,INT((('_Dates'!Z965)-('_Dates'!Y965)+1)/7)*LEN(SUBSTITUTE(W965,"O",""))+LEN(SUBSTITUTE(MID(W965&amp;W965,WEEKDAY(('_Dates'!Y965),2),MOD((('_Dates'!Z965)-('_Dates'!Y965)+1),7)),"O",""))-COUNTIFS(INDEX(AllClosureRows,C965,0),"&gt;="&amp;('_Dates'!Y965),INDEX(AllClosureRows,C965,0),"&lt;="&amp;('_Dates'!Z965)))))</ns0:f>
        <ns0:v>0</ns0:v>
      </ns0:c>
      <ns0:c r="H965" s="0">
        <ns0:f>IF(OR(F965&lt;&gt;"OK",$B$6&gt;0),0,0.5*(IF((MIN('_Dates'!X965,Settings!$B$9))&lt;('_Dates'!W965),0,INT(((MIN('_Dates'!X965,Settings!$B$9))-('_Dates'!W965)+1)/7)*LEN(SUBSTITUTE(W965,"O",""))+LEN(SUBSTITUTE(MID(W965&amp;W965,WEEKDAY(('_Dates'!W965),2),MOD(((MIN('_Dates'!X965,Settings!$B$9))-('_Dates'!W965)+1),7)),"O",""))-COUNTIFS(INDEX(AllClosureRows,C965,0),"&gt;="&amp;('_Dates'!W965),INDEX(AllClosureRows,C965,0),"&lt;="&amp;(MIN('_Dates'!X965,Settings!$B$9))))+IF((MIN('_Dates'!Z965,Settings!$B$9))&lt;('_Dates'!Y965),0,INT(((MIN('_Dates'!Z965,Settings!$B$9))-('_Dates'!Y965)+1)/7)*LEN(SUBSTITUTE(W965,"O",""))+LEN(SUBSTITUTE(MID(W965&amp;W965,WEEKDAY(('_Dates'!Y965),2),MOD(((MIN('_Dates'!Z965,Settings!$B$9))-('_Dates'!Y965)+1),7)),"O",""))-COUNTIFS(INDEX(AllClosureRows,C965,0),"&gt;="&amp;('_Dates'!Y965),INDEX(AllClosureRows,C965,0),"&lt;="&amp;(MIN('_Dates'!Z965,Settings!$B$9))))))</ns0:f>
        <ns0:v>0</ns0:v>
      </ns0:c>
      <ns0:c r="I965" s="0">
        <ns0:f>MAX(0,G965-H965)</ns0:f>
        <ns0:v>0</ns0:v>
      </ns0:c>
      <ns0:c r="J965" s="0">
        <ns0:f>IF(OR(A965=0,F965&lt;&gt;"OK",Bookings!G965="Cancelled",$B$6&gt;0),0,IF('_Dates'!AC965=1,MAX(0,COUNTIFS(rngEngine_B,B965,rngAMStart,"&lt;="&amp;'_Dates'!X965,rngAMEnd,"&gt;="&amp;'_Dates'!W965,rngAMActive,1,rngEngine_F,"OK",rngBookings_F,"&lt;&gt;Cancelled")-1),0)+IF('_Dates'!AD965=1,MAX(0,COUNTIFS(rngEngine_B,B965,rngPMStart,"&lt;="&amp;'_Dates'!Z965,rngPMEnd,"&gt;="&amp;'_Dates'!Y965,rngPMActive,1,rngEngine_F,"OK",rngBookings_F,"&lt;&gt;Cancelled")-1),0))</ns0:f>
        <ns0:v>0</ns0:v>
      </ns0:c>
      <ns0:c r="K965" s="0" t="str">
        <ns0:f>IF(A965=0,"",IF(F965&lt;&gt;"OK",F965,IF(J965&gt;0,"CHECK overlapping entry",IF(AND($B$6=0,G965&lt;=0,Bookings!G965&lt;&gt;"Cancelled"),"CHECK no working days",IF(Bookings!G965="Cancelled","Cancelled","OK")))))</ns0:f>
        <ns0:v/>
      </ns0:c>
      <ns0:c r="L965" s="0">
        <ns0:f>IF(LEFT(K965,5)="CHECK",1,0)</ns0:f>
        <ns0:v>0</ns0:v>
      </ns0:c>
      <ns0:c r="M965" s="0">
        <ns0:f>IF(AND(L965=1,OR(C965=0,IFERROR(INDEX($X$11:$X$60,C965),0)=0)),1,0)</ns0:f>
        <ns0:v>0</ns0:v>
      </ns0:c>
      <ns0:c r="N965" s="0">
        <ns0:f>IF(OR(A965=0,L965&gt;0,$B$6&gt;0,Bookings!G965="Cancelled"),0,G965)</ns0:f>
        <ns0:v>0</ns0:v>
      </ns0:c>
      <ns0:c r="O965" s="0">
        <ns0:f>IF(AND(Bookings!G965="Approved",E965="Yes"),N965,0)</ns0:f>
        <ns0:v>0</ns0:v>
      </ns0:c>
      <ns0:c r="P965" s="0">
        <ns0:f>IF(AND(Bookings!G965="Approved",E965="Yes",L965=0,$B$6=0),H965,0)</ns0:f>
        <ns0:v>0</ns0:v>
      </ns0:c>
      <ns0:c r="Q965" s="0">
        <ns0:f>IF(AND(Bookings!G965="Approved",E965="Yes",L965=0,$B$6=0),I965,0)</ns0:f>
        <ns0:v>0</ns0:v>
      </ns0:c>
      <ns0:c r="R965" s="0">
        <ns0:f>IF(AND(Bookings!G965="Pending",E965="Yes"),N965,0)</ns0:f>
        <ns0:v>0</ns0:v>
      </ns0:c>
      <ns0:c r="S965" s="0">
        <ns0:f>IF(AND(Bookings!G965="Approved",E965="No"),N965,0)</ns0:f>
        <ns0:v>0</ns0:v>
      </ns0:c>
      <ns0:c r="T965" s="0">
        <ns0:f>IFERROR(MATCH(D965,Settings!$G$7:$G$11,0),0)</ns0:f>
        <ns0:v>0</ns0:v>
      </ns0:c>
      <ns0:c r="U965" s="0">
        <ns0:f>IF(N965&gt;0,T965+IF(Bookings!G965="Pending",10,0),0)</ns0:f>
        <ns0:v>0</ns0:v>
      </ns0:c>
      <ns0:c r="V965" s="0">
        <ns0:f>U965</ns0:f>
        <ns0:v>0</ns0:v>
      </ns0:c>
      <ns0:c r="W965" s="0" t="str">
        <ns0:f>IF(C965=0,"",INDEX($AP$11:$AP$60,C965))</ns0:f>
        <ns0:v/>
      </ns0:c>
    </ns0:row>
    <ns0:row r="966">
      <ns0:c r="A966" s="0">
        <ns0:f>IF(COUNTA(Bookings!A966:G966,Bookings!I966)=0,0,1)</ns0:f>
        <ns0:v>0</ns0:v>
      </ns0:c>
      <ns0:c r="B966" s="0" t="str">
        <ns0:f>IFERROR(TRIM(MID(Bookings!A966,FIND(" · ",Bookings!A966)+3,99)),"")</ns0:f>
        <ns0:v/>
      </ns0:c>
      <ns0:c r="C966" s="0">
        <ns0:f>IF(OR(B966="",LEN(B966)&gt;24,ISNUMBER(FIND(" ",B966)),ISNUMBER(FIND("*",B966)),ISNUMBER(FIND("?",B966)),ISNUMBER(FIND("~",B966))),0,IFERROR(MATCH(B966,Team!$A$11:$A$60,0),0))</ns0:f>
        <ns0:v>0</ns0:v>
      </ns0:c>
      <ns0:c r="D966" s="0" t="str">
        <ns0:f>IFERROR(IF(MID(Bookings!F966,LEN(Bookings!F966)-3,3)=" · ",RIGHT(Bookings!F966,1),""),"")</ns0:f>
        <ns0:v/>
      </ns0:c>
      <ns0:c r="E966" s="0" t="str">
        <ns0:f>IFERROR(INDEX(Settings!$H$7:$H$11,MATCH(D966,Settings!$G$7:$G$11,0)),"")</ns0:f>
        <ns0:v/>
      </ns0:c>
      <ns0:c r="F966" s="0" t="str">
        <ns0:f>IF(A966=0,"",IFERROR(IF(OR(B966="",C966=0),"CHECK employee selection",IF(INDEX(Team!$O$11:$O$60,C966)&lt;&gt;"OK","CHECK employee setup",IF(OR('_Dates'!J966=0,'_Dates'!T966=0),"CHECK date: use DD.MM.YYYY",IF('_Dates'!T966&lt;'_Dates'!J966,"CHECK end before start",IF(AND($B$6=0,OR('_Dates'!J966&lt;Settings!$B$7,'_Dates'!T966&gt;Settings!$B$8)),"CHECK split across leave years",IF(OR(NOT(OR('_Dates'!U966="Full day",'_Dates'!U966="AM",'_Dates'!U966="PM")),NOT(OR('_Dates'!V966="Full day",'_Dates'!V966="AM",'_Dates'!V966="PM"))),"CHECK Full day / AM / PM",IF(AND('_Dates'!J966='_Dates'!T966,'_Dates'!U966&lt;&gt;"Full day",'_Dates'!V966&lt;&gt;"Full day",'_Dates'!U966&lt;&gt;'_Dates'!V966),"CHECK same-day portions disagree",IF(AND($B$6=0,OR(AND('_Dates'!U966&lt;&gt;"Full day",'_Dates'!AA966=0),AND('_Dates'!V966&lt;&gt;"Full day",'_Dates'!AB966=0))),"CHECK half-day on non-working date",IF(COUNTIF(Settings!$G$7:$G$11,D966)&lt;&gt;1,"CHECK leave type",IF(AND(Bookings!G966&lt;&gt;"Approved",Bookings!G966&lt;&gt;"Pending",Bookings!G966&lt;&gt;"Cancelled"),"CHECK status","OK")))))))))),"CHECK input"))</ns0:f>
        <ns0:v/>
      </ns0:c>
      <ns0:c r="G966" s="0">
        <ns0:f>IF(OR(F966&lt;&gt;"OK",$B$6&gt;0),0,0.5*(IF(('_Dates'!X966)&lt;('_Dates'!W966),0,INT((('_Dates'!X966)-('_Dates'!W966)+1)/7)*LEN(SUBSTITUTE(W966,"O",""))+LEN(SUBSTITUTE(MID(W966&amp;W966,WEEKDAY(('_Dates'!W966),2),MOD((('_Dates'!X966)-('_Dates'!W966)+1),7)),"O",""))-COUNTIFS(INDEX(AllClosureRows,C966,0),"&gt;="&amp;('_Dates'!W966),INDEX(AllClosureRows,C966,0),"&lt;="&amp;('_Dates'!X966)))+IF(('_Dates'!Z966)&lt;('_Dates'!Y966),0,INT((('_Dates'!Z966)-('_Dates'!Y966)+1)/7)*LEN(SUBSTITUTE(W966,"O",""))+LEN(SUBSTITUTE(MID(W966&amp;W966,WEEKDAY(('_Dates'!Y966),2),MOD((('_Dates'!Z966)-('_Dates'!Y966)+1),7)),"O",""))-COUNTIFS(INDEX(AllClosureRows,C966,0),"&gt;="&amp;('_Dates'!Y966),INDEX(AllClosureRows,C966,0),"&lt;="&amp;('_Dates'!Z966)))))</ns0:f>
        <ns0:v>0</ns0:v>
      </ns0:c>
      <ns0:c r="H966" s="0">
        <ns0:f>IF(OR(F966&lt;&gt;"OK",$B$6&gt;0),0,0.5*(IF((MIN('_Dates'!X966,Settings!$B$9))&lt;('_Dates'!W966),0,INT(((MIN('_Dates'!X966,Settings!$B$9))-('_Dates'!W966)+1)/7)*LEN(SUBSTITUTE(W966,"O",""))+LEN(SUBSTITUTE(MID(W966&amp;W966,WEEKDAY(('_Dates'!W966),2),MOD(((MIN('_Dates'!X966,Settings!$B$9))-('_Dates'!W966)+1),7)),"O",""))-COUNTIFS(INDEX(AllClosureRows,C966,0),"&gt;="&amp;('_Dates'!W966),INDEX(AllClosureRows,C966,0),"&lt;="&amp;(MIN('_Dates'!X966,Settings!$B$9))))+IF((MIN('_Dates'!Z966,Settings!$B$9))&lt;('_Dates'!Y966),0,INT(((MIN('_Dates'!Z966,Settings!$B$9))-('_Dates'!Y966)+1)/7)*LEN(SUBSTITUTE(W966,"O",""))+LEN(SUBSTITUTE(MID(W966&amp;W966,WEEKDAY(('_Dates'!Y966),2),MOD(((MIN('_Dates'!Z966,Settings!$B$9))-('_Dates'!Y966)+1),7)),"O",""))-COUNTIFS(INDEX(AllClosureRows,C966,0),"&gt;="&amp;('_Dates'!Y966),INDEX(AllClosureRows,C966,0),"&lt;="&amp;(MIN('_Dates'!Z966,Settings!$B$9))))))</ns0:f>
        <ns0:v>0</ns0:v>
      </ns0:c>
      <ns0:c r="I966" s="0">
        <ns0:f>MAX(0,G966-H966)</ns0:f>
        <ns0:v>0</ns0:v>
      </ns0:c>
      <ns0:c r="J966" s="0">
        <ns0:f>IF(OR(A966=0,F966&lt;&gt;"OK",Bookings!G966="Cancelled",$B$6&gt;0),0,IF('_Dates'!AC966=1,MAX(0,COUNTIFS(rngEngine_B,B966,rngAMStart,"&lt;="&amp;'_Dates'!X966,rngAMEnd,"&gt;="&amp;'_Dates'!W966,rngAMActive,1,rngEngine_F,"OK",rngBookings_F,"&lt;&gt;Cancelled")-1),0)+IF('_Dates'!AD966=1,MAX(0,COUNTIFS(rngEngine_B,B966,rngPMStart,"&lt;="&amp;'_Dates'!Z966,rngPMEnd,"&gt;="&amp;'_Dates'!Y966,rngPMActive,1,rngEngine_F,"OK",rngBookings_F,"&lt;&gt;Cancelled")-1),0))</ns0:f>
        <ns0:v>0</ns0:v>
      </ns0:c>
      <ns0:c r="K966" s="0" t="str">
        <ns0:f>IF(A966=0,"",IF(F966&lt;&gt;"OK",F966,IF(J966&gt;0,"CHECK overlapping entry",IF(AND($B$6=0,G966&lt;=0,Bookings!G966&lt;&gt;"Cancelled"),"CHECK no working days",IF(Bookings!G966="Cancelled","Cancelled","OK")))))</ns0:f>
        <ns0:v/>
      </ns0:c>
      <ns0:c r="L966" s="0">
        <ns0:f>IF(LEFT(K966,5)="CHECK",1,0)</ns0:f>
        <ns0:v>0</ns0:v>
      </ns0:c>
      <ns0:c r="M966" s="0">
        <ns0:f>IF(AND(L966=1,OR(C966=0,IFERROR(INDEX($X$11:$X$60,C966),0)=0)),1,0)</ns0:f>
        <ns0:v>0</ns0:v>
      </ns0:c>
      <ns0:c r="N966" s="0">
        <ns0:f>IF(OR(A966=0,L966&gt;0,$B$6&gt;0,Bookings!G966="Cancelled"),0,G966)</ns0:f>
        <ns0:v>0</ns0:v>
      </ns0:c>
      <ns0:c r="O966" s="0">
        <ns0:f>IF(AND(Bookings!G966="Approved",E966="Yes"),N966,0)</ns0:f>
        <ns0:v>0</ns0:v>
      </ns0:c>
      <ns0:c r="P966" s="0">
        <ns0:f>IF(AND(Bookings!G966="Approved",E966="Yes",L966=0,$B$6=0),H966,0)</ns0:f>
        <ns0:v>0</ns0:v>
      </ns0:c>
      <ns0:c r="Q966" s="0">
        <ns0:f>IF(AND(Bookings!G966="Approved",E966="Yes",L966=0,$B$6=0),I966,0)</ns0:f>
        <ns0:v>0</ns0:v>
      </ns0:c>
      <ns0:c r="R966" s="0">
        <ns0:f>IF(AND(Bookings!G966="Pending",E966="Yes"),N966,0)</ns0:f>
        <ns0:v>0</ns0:v>
      </ns0:c>
      <ns0:c r="S966" s="0">
        <ns0:f>IF(AND(Bookings!G966="Approved",E966="No"),N966,0)</ns0:f>
        <ns0:v>0</ns0:v>
      </ns0:c>
      <ns0:c r="T966" s="0">
        <ns0:f>IFERROR(MATCH(D966,Settings!$G$7:$G$11,0),0)</ns0:f>
        <ns0:v>0</ns0:v>
      </ns0:c>
      <ns0:c r="U966" s="0">
        <ns0:f>IF(N966&gt;0,T966+IF(Bookings!G966="Pending",10,0),0)</ns0:f>
        <ns0:v>0</ns0:v>
      </ns0:c>
      <ns0:c r="V966" s="0">
        <ns0:f>U966</ns0:f>
        <ns0:v>0</ns0:v>
      </ns0:c>
      <ns0:c r="W966" s="0" t="str">
        <ns0:f>IF(C966=0,"",INDEX($AP$11:$AP$60,C966))</ns0:f>
        <ns0:v/>
      </ns0:c>
    </ns0:row>
    <ns0:row r="967">
      <ns0:c r="A967" s="0">
        <ns0:f>IF(COUNTA(Bookings!A967:G967,Bookings!I967)=0,0,1)</ns0:f>
        <ns0:v>0</ns0:v>
      </ns0:c>
      <ns0:c r="B967" s="0" t="str">
        <ns0:f>IFERROR(TRIM(MID(Bookings!A967,FIND(" · ",Bookings!A967)+3,99)),"")</ns0:f>
        <ns0:v/>
      </ns0:c>
      <ns0:c r="C967" s="0">
        <ns0:f>IF(OR(B967="",LEN(B967)&gt;24,ISNUMBER(FIND(" ",B967)),ISNUMBER(FIND("*",B967)),ISNUMBER(FIND("?",B967)),ISNUMBER(FIND("~",B967))),0,IFERROR(MATCH(B967,Team!$A$11:$A$60,0),0))</ns0:f>
        <ns0:v>0</ns0:v>
      </ns0:c>
      <ns0:c r="D967" s="0" t="str">
        <ns0:f>IFERROR(IF(MID(Bookings!F967,LEN(Bookings!F967)-3,3)=" · ",RIGHT(Bookings!F967,1),""),"")</ns0:f>
        <ns0:v/>
      </ns0:c>
      <ns0:c r="E967" s="0" t="str">
        <ns0:f>IFERROR(INDEX(Settings!$H$7:$H$11,MATCH(D967,Settings!$G$7:$G$11,0)),"")</ns0:f>
        <ns0:v/>
      </ns0:c>
      <ns0:c r="F967" s="0" t="str">
        <ns0:f>IF(A967=0,"",IFERROR(IF(OR(B967="",C967=0),"CHECK employee selection",IF(INDEX(Team!$O$11:$O$60,C967)&lt;&gt;"OK","CHECK employee setup",IF(OR('_Dates'!J967=0,'_Dates'!T967=0),"CHECK date: use DD.MM.YYYY",IF('_Dates'!T967&lt;'_Dates'!J967,"CHECK end before start",IF(AND($B$6=0,OR('_Dates'!J967&lt;Settings!$B$7,'_Dates'!T967&gt;Settings!$B$8)),"CHECK split across leave years",IF(OR(NOT(OR('_Dates'!U967="Full day",'_Dates'!U967="AM",'_Dates'!U967="PM")),NOT(OR('_Dates'!V967="Full day",'_Dates'!V967="AM",'_Dates'!V967="PM"))),"CHECK Full day / AM / PM",IF(AND('_Dates'!J967='_Dates'!T967,'_Dates'!U967&lt;&gt;"Full day",'_Dates'!V967&lt;&gt;"Full day",'_Dates'!U967&lt;&gt;'_Dates'!V967),"CHECK same-day portions disagree",IF(AND($B$6=0,OR(AND('_Dates'!U967&lt;&gt;"Full day",'_Dates'!AA967=0),AND('_Dates'!V967&lt;&gt;"Full day",'_Dates'!AB967=0))),"CHECK half-day on non-working date",IF(COUNTIF(Settings!$G$7:$G$11,D967)&lt;&gt;1,"CHECK leave type",IF(AND(Bookings!G967&lt;&gt;"Approved",Bookings!G967&lt;&gt;"Pending",Bookings!G967&lt;&gt;"Cancelled"),"CHECK status","OK")))))))))),"CHECK input"))</ns0:f>
        <ns0:v/>
      </ns0:c>
      <ns0:c r="G967" s="0">
        <ns0:f>IF(OR(F967&lt;&gt;"OK",$B$6&gt;0),0,0.5*(IF(('_Dates'!X967)&lt;('_Dates'!W967),0,INT((('_Dates'!X967)-('_Dates'!W967)+1)/7)*LEN(SUBSTITUTE(W967,"O",""))+LEN(SUBSTITUTE(MID(W967&amp;W967,WEEKDAY(('_Dates'!W967),2),MOD((('_Dates'!X967)-('_Dates'!W967)+1),7)),"O",""))-COUNTIFS(INDEX(AllClosureRows,C967,0),"&gt;="&amp;('_Dates'!W967),INDEX(AllClosureRows,C967,0),"&lt;="&amp;('_Dates'!X967)))+IF(('_Dates'!Z967)&lt;('_Dates'!Y967),0,INT((('_Dates'!Z967)-('_Dates'!Y967)+1)/7)*LEN(SUBSTITUTE(W967,"O",""))+LEN(SUBSTITUTE(MID(W967&amp;W967,WEEKDAY(('_Dates'!Y967),2),MOD((('_Dates'!Z967)-('_Dates'!Y967)+1),7)),"O",""))-COUNTIFS(INDEX(AllClosureRows,C967,0),"&gt;="&amp;('_Dates'!Y967),INDEX(AllClosureRows,C967,0),"&lt;="&amp;('_Dates'!Z967)))))</ns0:f>
        <ns0:v>0</ns0:v>
      </ns0:c>
      <ns0:c r="H967" s="0">
        <ns0:f>IF(OR(F967&lt;&gt;"OK",$B$6&gt;0),0,0.5*(IF((MIN('_Dates'!X967,Settings!$B$9))&lt;('_Dates'!W967),0,INT(((MIN('_Dates'!X967,Settings!$B$9))-('_Dates'!W967)+1)/7)*LEN(SUBSTITUTE(W967,"O",""))+LEN(SUBSTITUTE(MID(W967&amp;W967,WEEKDAY(('_Dates'!W967),2),MOD(((MIN('_Dates'!X967,Settings!$B$9))-('_Dates'!W967)+1),7)),"O",""))-COUNTIFS(INDEX(AllClosureRows,C967,0),"&gt;="&amp;('_Dates'!W967),INDEX(AllClosureRows,C967,0),"&lt;="&amp;(MIN('_Dates'!X967,Settings!$B$9))))+IF((MIN('_Dates'!Z967,Settings!$B$9))&lt;('_Dates'!Y967),0,INT(((MIN('_Dates'!Z967,Settings!$B$9))-('_Dates'!Y967)+1)/7)*LEN(SUBSTITUTE(W967,"O",""))+LEN(SUBSTITUTE(MID(W967&amp;W967,WEEKDAY(('_Dates'!Y967),2),MOD(((MIN('_Dates'!Z967,Settings!$B$9))-('_Dates'!Y967)+1),7)),"O",""))-COUNTIFS(INDEX(AllClosureRows,C967,0),"&gt;="&amp;('_Dates'!Y967),INDEX(AllClosureRows,C967,0),"&lt;="&amp;(MIN('_Dates'!Z967,Settings!$B$9))))))</ns0:f>
        <ns0:v>0</ns0:v>
      </ns0:c>
      <ns0:c r="I967" s="0">
        <ns0:f>MAX(0,G967-H967)</ns0:f>
        <ns0:v>0</ns0:v>
      </ns0:c>
      <ns0:c r="J967" s="0">
        <ns0:f>IF(OR(A967=0,F967&lt;&gt;"OK",Bookings!G967="Cancelled",$B$6&gt;0),0,IF('_Dates'!AC967=1,MAX(0,COUNTIFS(rngEngine_B,B967,rngAMStart,"&lt;="&amp;'_Dates'!X967,rngAMEnd,"&gt;="&amp;'_Dates'!W967,rngAMActive,1,rngEngine_F,"OK",rngBookings_F,"&lt;&gt;Cancelled")-1),0)+IF('_Dates'!AD967=1,MAX(0,COUNTIFS(rngEngine_B,B967,rngPMStart,"&lt;="&amp;'_Dates'!Z967,rngPMEnd,"&gt;="&amp;'_Dates'!Y967,rngPMActive,1,rngEngine_F,"OK",rngBookings_F,"&lt;&gt;Cancelled")-1),0))</ns0:f>
        <ns0:v>0</ns0:v>
      </ns0:c>
      <ns0:c r="K967" s="0" t="str">
        <ns0:f>IF(A967=0,"",IF(F967&lt;&gt;"OK",F967,IF(J967&gt;0,"CHECK overlapping entry",IF(AND($B$6=0,G967&lt;=0,Bookings!G967&lt;&gt;"Cancelled"),"CHECK no working days",IF(Bookings!G967="Cancelled","Cancelled","OK")))))</ns0:f>
        <ns0:v/>
      </ns0:c>
      <ns0:c r="L967" s="0">
        <ns0:f>IF(LEFT(K967,5)="CHECK",1,0)</ns0:f>
        <ns0:v>0</ns0:v>
      </ns0:c>
      <ns0:c r="M967" s="0">
        <ns0:f>IF(AND(L967=1,OR(C967=0,IFERROR(INDEX($X$11:$X$60,C967),0)=0)),1,0)</ns0:f>
        <ns0:v>0</ns0:v>
      </ns0:c>
      <ns0:c r="N967" s="0">
        <ns0:f>IF(OR(A967=0,L967&gt;0,$B$6&gt;0,Bookings!G967="Cancelled"),0,G967)</ns0:f>
        <ns0:v>0</ns0:v>
      </ns0:c>
      <ns0:c r="O967" s="0">
        <ns0:f>IF(AND(Bookings!G967="Approved",E967="Yes"),N967,0)</ns0:f>
        <ns0:v>0</ns0:v>
      </ns0:c>
      <ns0:c r="P967" s="0">
        <ns0:f>IF(AND(Bookings!G967="Approved",E967="Yes",L967=0,$B$6=0),H967,0)</ns0:f>
        <ns0:v>0</ns0:v>
      </ns0:c>
      <ns0:c r="Q967" s="0">
        <ns0:f>IF(AND(Bookings!G967="Approved",E967="Yes",L967=0,$B$6=0),I967,0)</ns0:f>
        <ns0:v>0</ns0:v>
      </ns0:c>
      <ns0:c r="R967" s="0">
        <ns0:f>IF(AND(Bookings!G967="Pending",E967="Yes"),N967,0)</ns0:f>
        <ns0:v>0</ns0:v>
      </ns0:c>
      <ns0:c r="S967" s="0">
        <ns0:f>IF(AND(Bookings!G967="Approved",E967="No"),N967,0)</ns0:f>
        <ns0:v>0</ns0:v>
      </ns0:c>
      <ns0:c r="T967" s="0">
        <ns0:f>IFERROR(MATCH(D967,Settings!$G$7:$G$11,0),0)</ns0:f>
        <ns0:v>0</ns0:v>
      </ns0:c>
      <ns0:c r="U967" s="0">
        <ns0:f>IF(N967&gt;0,T967+IF(Bookings!G967="Pending",10,0),0)</ns0:f>
        <ns0:v>0</ns0:v>
      </ns0:c>
      <ns0:c r="V967" s="0">
        <ns0:f>U967</ns0:f>
        <ns0:v>0</ns0:v>
      </ns0:c>
      <ns0:c r="W967" s="0" t="str">
        <ns0:f>IF(C967=0,"",INDEX($AP$11:$AP$60,C967))</ns0:f>
        <ns0:v/>
      </ns0:c>
    </ns0:row>
    <ns0:row r="968">
      <ns0:c r="A968" s="0">
        <ns0:f>IF(COUNTA(Bookings!A968:G968,Bookings!I968)=0,0,1)</ns0:f>
        <ns0:v>0</ns0:v>
      </ns0:c>
      <ns0:c r="B968" s="0" t="str">
        <ns0:f>IFERROR(TRIM(MID(Bookings!A968,FIND(" · ",Bookings!A968)+3,99)),"")</ns0:f>
        <ns0:v/>
      </ns0:c>
      <ns0:c r="C968" s="0">
        <ns0:f>IF(OR(B968="",LEN(B968)&gt;24,ISNUMBER(FIND(" ",B968)),ISNUMBER(FIND("*",B968)),ISNUMBER(FIND("?",B968)),ISNUMBER(FIND("~",B968))),0,IFERROR(MATCH(B968,Team!$A$11:$A$60,0),0))</ns0:f>
        <ns0:v>0</ns0:v>
      </ns0:c>
      <ns0:c r="D968" s="0" t="str">
        <ns0:f>IFERROR(IF(MID(Bookings!F968,LEN(Bookings!F968)-3,3)=" · ",RIGHT(Bookings!F968,1),""),"")</ns0:f>
        <ns0:v/>
      </ns0:c>
      <ns0:c r="E968" s="0" t="str">
        <ns0:f>IFERROR(INDEX(Settings!$H$7:$H$11,MATCH(D968,Settings!$G$7:$G$11,0)),"")</ns0:f>
        <ns0:v/>
      </ns0:c>
      <ns0:c r="F968" s="0" t="str">
        <ns0:f>IF(A968=0,"",IFERROR(IF(OR(B968="",C968=0),"CHECK employee selection",IF(INDEX(Team!$O$11:$O$60,C968)&lt;&gt;"OK","CHECK employee setup",IF(OR('_Dates'!J968=0,'_Dates'!T968=0),"CHECK date: use DD.MM.YYYY",IF('_Dates'!T968&lt;'_Dates'!J968,"CHECK end before start",IF(AND($B$6=0,OR('_Dates'!J968&lt;Settings!$B$7,'_Dates'!T968&gt;Settings!$B$8)),"CHECK split across leave years",IF(OR(NOT(OR('_Dates'!U968="Full day",'_Dates'!U968="AM",'_Dates'!U968="PM")),NOT(OR('_Dates'!V968="Full day",'_Dates'!V968="AM",'_Dates'!V968="PM"))),"CHECK Full day / AM / PM",IF(AND('_Dates'!J968='_Dates'!T968,'_Dates'!U968&lt;&gt;"Full day",'_Dates'!V968&lt;&gt;"Full day",'_Dates'!U968&lt;&gt;'_Dates'!V968),"CHECK same-day portions disagree",IF(AND($B$6=0,OR(AND('_Dates'!U968&lt;&gt;"Full day",'_Dates'!AA968=0),AND('_Dates'!V968&lt;&gt;"Full day",'_Dates'!AB968=0))),"CHECK half-day on non-working date",IF(COUNTIF(Settings!$G$7:$G$11,D968)&lt;&gt;1,"CHECK leave type",IF(AND(Bookings!G968&lt;&gt;"Approved",Bookings!G968&lt;&gt;"Pending",Bookings!G968&lt;&gt;"Cancelled"),"CHECK status","OK")))))))))),"CHECK input"))</ns0:f>
        <ns0:v/>
      </ns0:c>
      <ns0:c r="G968" s="0">
        <ns0:f>IF(OR(F968&lt;&gt;"OK",$B$6&gt;0),0,0.5*(IF(('_Dates'!X968)&lt;('_Dates'!W968),0,INT((('_Dates'!X968)-('_Dates'!W968)+1)/7)*LEN(SUBSTITUTE(W968,"O",""))+LEN(SUBSTITUTE(MID(W968&amp;W968,WEEKDAY(('_Dates'!W968),2),MOD((('_Dates'!X968)-('_Dates'!W968)+1),7)),"O",""))-COUNTIFS(INDEX(AllClosureRows,C968,0),"&gt;="&amp;('_Dates'!W968),INDEX(AllClosureRows,C968,0),"&lt;="&amp;('_Dates'!X968)))+IF(('_Dates'!Z968)&lt;('_Dates'!Y968),0,INT((('_Dates'!Z968)-('_Dates'!Y968)+1)/7)*LEN(SUBSTITUTE(W968,"O",""))+LEN(SUBSTITUTE(MID(W968&amp;W968,WEEKDAY(('_Dates'!Y968),2),MOD((('_Dates'!Z968)-('_Dates'!Y968)+1),7)),"O",""))-COUNTIFS(INDEX(AllClosureRows,C968,0),"&gt;="&amp;('_Dates'!Y968),INDEX(AllClosureRows,C968,0),"&lt;="&amp;('_Dates'!Z968)))))</ns0:f>
        <ns0:v>0</ns0:v>
      </ns0:c>
      <ns0:c r="H968" s="0">
        <ns0:f>IF(OR(F968&lt;&gt;"OK",$B$6&gt;0),0,0.5*(IF((MIN('_Dates'!X968,Settings!$B$9))&lt;('_Dates'!W968),0,INT(((MIN('_Dates'!X968,Settings!$B$9))-('_Dates'!W968)+1)/7)*LEN(SUBSTITUTE(W968,"O",""))+LEN(SUBSTITUTE(MID(W968&amp;W968,WEEKDAY(('_Dates'!W968),2),MOD(((MIN('_Dates'!X968,Settings!$B$9))-('_Dates'!W968)+1),7)),"O",""))-COUNTIFS(INDEX(AllClosureRows,C968,0),"&gt;="&amp;('_Dates'!W968),INDEX(AllClosureRows,C968,0),"&lt;="&amp;(MIN('_Dates'!X968,Settings!$B$9))))+IF((MIN('_Dates'!Z968,Settings!$B$9))&lt;('_Dates'!Y968),0,INT(((MIN('_Dates'!Z968,Settings!$B$9))-('_Dates'!Y968)+1)/7)*LEN(SUBSTITUTE(W968,"O",""))+LEN(SUBSTITUTE(MID(W968&amp;W968,WEEKDAY(('_Dates'!Y968),2),MOD(((MIN('_Dates'!Z968,Settings!$B$9))-('_Dates'!Y968)+1),7)),"O",""))-COUNTIFS(INDEX(AllClosureRows,C968,0),"&gt;="&amp;('_Dates'!Y968),INDEX(AllClosureRows,C968,0),"&lt;="&amp;(MIN('_Dates'!Z968,Settings!$B$9))))))</ns0:f>
        <ns0:v>0</ns0:v>
      </ns0:c>
      <ns0:c r="I968" s="0">
        <ns0:f>MAX(0,G968-H968)</ns0:f>
        <ns0:v>0</ns0:v>
      </ns0:c>
      <ns0:c r="J968" s="0">
        <ns0:f>IF(OR(A968=0,F968&lt;&gt;"OK",Bookings!G968="Cancelled",$B$6&gt;0),0,IF('_Dates'!AC968=1,MAX(0,COUNTIFS(rngEngine_B,B968,rngAMStart,"&lt;="&amp;'_Dates'!X968,rngAMEnd,"&gt;="&amp;'_Dates'!W968,rngAMActive,1,rngEngine_F,"OK",rngBookings_F,"&lt;&gt;Cancelled")-1),0)+IF('_Dates'!AD968=1,MAX(0,COUNTIFS(rngEngine_B,B968,rngPMStart,"&lt;="&amp;'_Dates'!Z968,rngPMEnd,"&gt;="&amp;'_Dates'!Y968,rngPMActive,1,rngEngine_F,"OK",rngBookings_F,"&lt;&gt;Cancelled")-1),0))</ns0:f>
        <ns0:v>0</ns0:v>
      </ns0:c>
      <ns0:c r="K968" s="0" t="str">
        <ns0:f>IF(A968=0,"",IF(F968&lt;&gt;"OK",F968,IF(J968&gt;0,"CHECK overlapping entry",IF(AND($B$6=0,G968&lt;=0,Bookings!G968&lt;&gt;"Cancelled"),"CHECK no working days",IF(Bookings!G968="Cancelled","Cancelled","OK")))))</ns0:f>
        <ns0:v/>
      </ns0:c>
      <ns0:c r="L968" s="0">
        <ns0:f>IF(LEFT(K968,5)="CHECK",1,0)</ns0:f>
        <ns0:v>0</ns0:v>
      </ns0:c>
      <ns0:c r="M968" s="0">
        <ns0:f>IF(AND(L968=1,OR(C968=0,IFERROR(INDEX($X$11:$X$60,C968),0)=0)),1,0)</ns0:f>
        <ns0:v>0</ns0:v>
      </ns0:c>
      <ns0:c r="N968" s="0">
        <ns0:f>IF(OR(A968=0,L968&gt;0,$B$6&gt;0,Bookings!G968="Cancelled"),0,G968)</ns0:f>
        <ns0:v>0</ns0:v>
      </ns0:c>
      <ns0:c r="O968" s="0">
        <ns0:f>IF(AND(Bookings!G968="Approved",E968="Yes"),N968,0)</ns0:f>
        <ns0:v>0</ns0:v>
      </ns0:c>
      <ns0:c r="P968" s="0">
        <ns0:f>IF(AND(Bookings!G968="Approved",E968="Yes",L968=0,$B$6=0),H968,0)</ns0:f>
        <ns0:v>0</ns0:v>
      </ns0:c>
      <ns0:c r="Q968" s="0">
        <ns0:f>IF(AND(Bookings!G968="Approved",E968="Yes",L968=0,$B$6=0),I968,0)</ns0:f>
        <ns0:v>0</ns0:v>
      </ns0:c>
      <ns0:c r="R968" s="0">
        <ns0:f>IF(AND(Bookings!G968="Pending",E968="Yes"),N968,0)</ns0:f>
        <ns0:v>0</ns0:v>
      </ns0:c>
      <ns0:c r="S968" s="0">
        <ns0:f>IF(AND(Bookings!G968="Approved",E968="No"),N968,0)</ns0:f>
        <ns0:v>0</ns0:v>
      </ns0:c>
      <ns0:c r="T968" s="0">
        <ns0:f>IFERROR(MATCH(D968,Settings!$G$7:$G$11,0),0)</ns0:f>
        <ns0:v>0</ns0:v>
      </ns0:c>
      <ns0:c r="U968" s="0">
        <ns0:f>IF(N968&gt;0,T968+IF(Bookings!G968="Pending",10,0),0)</ns0:f>
        <ns0:v>0</ns0:v>
      </ns0:c>
      <ns0:c r="V968" s="0">
        <ns0:f>U968</ns0:f>
        <ns0:v>0</ns0:v>
      </ns0:c>
      <ns0:c r="W968" s="0" t="str">
        <ns0:f>IF(C968=0,"",INDEX($AP$11:$AP$60,C968))</ns0:f>
        <ns0:v/>
      </ns0:c>
    </ns0:row>
    <ns0:row r="969">
      <ns0:c r="A969" s="0">
        <ns0:f>IF(COUNTA(Bookings!A969:G969,Bookings!I969)=0,0,1)</ns0:f>
        <ns0:v>0</ns0:v>
      </ns0:c>
      <ns0:c r="B969" s="0" t="str">
        <ns0:f>IFERROR(TRIM(MID(Bookings!A969,FIND(" · ",Bookings!A969)+3,99)),"")</ns0:f>
        <ns0:v/>
      </ns0:c>
      <ns0:c r="C969" s="0">
        <ns0:f>IF(OR(B969="",LEN(B969)&gt;24,ISNUMBER(FIND(" ",B969)),ISNUMBER(FIND("*",B969)),ISNUMBER(FIND("?",B969)),ISNUMBER(FIND("~",B969))),0,IFERROR(MATCH(B969,Team!$A$11:$A$60,0),0))</ns0:f>
        <ns0:v>0</ns0:v>
      </ns0:c>
      <ns0:c r="D969" s="0" t="str">
        <ns0:f>IFERROR(IF(MID(Bookings!F969,LEN(Bookings!F969)-3,3)=" · ",RIGHT(Bookings!F969,1),""),"")</ns0:f>
        <ns0:v/>
      </ns0:c>
      <ns0:c r="E969" s="0" t="str">
        <ns0:f>IFERROR(INDEX(Settings!$H$7:$H$11,MATCH(D969,Settings!$G$7:$G$11,0)),"")</ns0:f>
        <ns0:v/>
      </ns0:c>
      <ns0:c r="F969" s="0" t="str">
        <ns0:f>IF(A969=0,"",IFERROR(IF(OR(B969="",C969=0),"CHECK employee selection",IF(INDEX(Team!$O$11:$O$60,C969)&lt;&gt;"OK","CHECK employee setup",IF(OR('_Dates'!J969=0,'_Dates'!T969=0),"CHECK date: use DD.MM.YYYY",IF('_Dates'!T969&lt;'_Dates'!J969,"CHECK end before start",IF(AND($B$6=0,OR('_Dates'!J969&lt;Settings!$B$7,'_Dates'!T969&gt;Settings!$B$8)),"CHECK split across leave years",IF(OR(NOT(OR('_Dates'!U969="Full day",'_Dates'!U969="AM",'_Dates'!U969="PM")),NOT(OR('_Dates'!V969="Full day",'_Dates'!V969="AM",'_Dates'!V969="PM"))),"CHECK Full day / AM / PM",IF(AND('_Dates'!J969='_Dates'!T969,'_Dates'!U969&lt;&gt;"Full day",'_Dates'!V969&lt;&gt;"Full day",'_Dates'!U969&lt;&gt;'_Dates'!V969),"CHECK same-day portions disagree",IF(AND($B$6=0,OR(AND('_Dates'!U969&lt;&gt;"Full day",'_Dates'!AA969=0),AND('_Dates'!V969&lt;&gt;"Full day",'_Dates'!AB969=0))),"CHECK half-day on non-working date",IF(COUNTIF(Settings!$G$7:$G$11,D969)&lt;&gt;1,"CHECK leave type",IF(AND(Bookings!G969&lt;&gt;"Approved",Bookings!G969&lt;&gt;"Pending",Bookings!G969&lt;&gt;"Cancelled"),"CHECK status","OK")))))))))),"CHECK input"))</ns0:f>
        <ns0:v/>
      </ns0:c>
      <ns0:c r="G969" s="0">
        <ns0:f>IF(OR(F969&lt;&gt;"OK",$B$6&gt;0),0,0.5*(IF(('_Dates'!X969)&lt;('_Dates'!W969),0,INT((('_Dates'!X969)-('_Dates'!W969)+1)/7)*LEN(SUBSTITUTE(W969,"O",""))+LEN(SUBSTITUTE(MID(W969&amp;W969,WEEKDAY(('_Dates'!W969),2),MOD((('_Dates'!X969)-('_Dates'!W969)+1),7)),"O",""))-COUNTIFS(INDEX(AllClosureRows,C969,0),"&gt;="&amp;('_Dates'!W969),INDEX(AllClosureRows,C969,0),"&lt;="&amp;('_Dates'!X969)))+IF(('_Dates'!Z969)&lt;('_Dates'!Y969),0,INT((('_Dates'!Z969)-('_Dates'!Y969)+1)/7)*LEN(SUBSTITUTE(W969,"O",""))+LEN(SUBSTITUTE(MID(W969&amp;W969,WEEKDAY(('_Dates'!Y969),2),MOD((('_Dates'!Z969)-('_Dates'!Y969)+1),7)),"O",""))-COUNTIFS(INDEX(AllClosureRows,C969,0),"&gt;="&amp;('_Dates'!Y969),INDEX(AllClosureRows,C969,0),"&lt;="&amp;('_Dates'!Z969)))))</ns0:f>
        <ns0:v>0</ns0:v>
      </ns0:c>
      <ns0:c r="H969" s="0">
        <ns0:f>IF(OR(F969&lt;&gt;"OK",$B$6&gt;0),0,0.5*(IF((MIN('_Dates'!X969,Settings!$B$9))&lt;('_Dates'!W969),0,INT(((MIN('_Dates'!X969,Settings!$B$9))-('_Dates'!W969)+1)/7)*LEN(SUBSTITUTE(W969,"O",""))+LEN(SUBSTITUTE(MID(W969&amp;W969,WEEKDAY(('_Dates'!W969),2),MOD(((MIN('_Dates'!X969,Settings!$B$9))-('_Dates'!W969)+1),7)),"O",""))-COUNTIFS(INDEX(AllClosureRows,C969,0),"&gt;="&amp;('_Dates'!W969),INDEX(AllClosureRows,C969,0),"&lt;="&amp;(MIN('_Dates'!X969,Settings!$B$9))))+IF((MIN('_Dates'!Z969,Settings!$B$9))&lt;('_Dates'!Y969),0,INT(((MIN('_Dates'!Z969,Settings!$B$9))-('_Dates'!Y969)+1)/7)*LEN(SUBSTITUTE(W969,"O",""))+LEN(SUBSTITUTE(MID(W969&amp;W969,WEEKDAY(('_Dates'!Y969),2),MOD(((MIN('_Dates'!Z969,Settings!$B$9))-('_Dates'!Y969)+1),7)),"O",""))-COUNTIFS(INDEX(AllClosureRows,C969,0),"&gt;="&amp;('_Dates'!Y969),INDEX(AllClosureRows,C969,0),"&lt;="&amp;(MIN('_Dates'!Z969,Settings!$B$9))))))</ns0:f>
        <ns0:v>0</ns0:v>
      </ns0:c>
      <ns0:c r="I969" s="0">
        <ns0:f>MAX(0,G969-H969)</ns0:f>
        <ns0:v>0</ns0:v>
      </ns0:c>
      <ns0:c r="J969" s="0">
        <ns0:f>IF(OR(A969=0,F969&lt;&gt;"OK",Bookings!G969="Cancelled",$B$6&gt;0),0,IF('_Dates'!AC969=1,MAX(0,COUNTIFS(rngEngine_B,B969,rngAMStart,"&lt;="&amp;'_Dates'!X969,rngAMEnd,"&gt;="&amp;'_Dates'!W969,rngAMActive,1,rngEngine_F,"OK",rngBookings_F,"&lt;&gt;Cancelled")-1),0)+IF('_Dates'!AD969=1,MAX(0,COUNTIFS(rngEngine_B,B969,rngPMStart,"&lt;="&amp;'_Dates'!Z969,rngPMEnd,"&gt;="&amp;'_Dates'!Y969,rngPMActive,1,rngEngine_F,"OK",rngBookings_F,"&lt;&gt;Cancelled")-1),0))</ns0:f>
        <ns0:v>0</ns0:v>
      </ns0:c>
      <ns0:c r="K969" s="0" t="str">
        <ns0:f>IF(A969=0,"",IF(F969&lt;&gt;"OK",F969,IF(J969&gt;0,"CHECK overlapping entry",IF(AND($B$6=0,G969&lt;=0,Bookings!G969&lt;&gt;"Cancelled"),"CHECK no working days",IF(Bookings!G969="Cancelled","Cancelled","OK")))))</ns0:f>
        <ns0:v/>
      </ns0:c>
      <ns0:c r="L969" s="0">
        <ns0:f>IF(LEFT(K969,5)="CHECK",1,0)</ns0:f>
        <ns0:v>0</ns0:v>
      </ns0:c>
      <ns0:c r="M969" s="0">
        <ns0:f>IF(AND(L969=1,OR(C969=0,IFERROR(INDEX($X$11:$X$60,C969),0)=0)),1,0)</ns0:f>
        <ns0:v>0</ns0:v>
      </ns0:c>
      <ns0:c r="N969" s="0">
        <ns0:f>IF(OR(A969=0,L969&gt;0,$B$6&gt;0,Bookings!G969="Cancelled"),0,G969)</ns0:f>
        <ns0:v>0</ns0:v>
      </ns0:c>
      <ns0:c r="O969" s="0">
        <ns0:f>IF(AND(Bookings!G969="Approved",E969="Yes"),N969,0)</ns0:f>
        <ns0:v>0</ns0:v>
      </ns0:c>
      <ns0:c r="P969" s="0">
        <ns0:f>IF(AND(Bookings!G969="Approved",E969="Yes",L969=0,$B$6=0),H969,0)</ns0:f>
        <ns0:v>0</ns0:v>
      </ns0:c>
      <ns0:c r="Q969" s="0">
        <ns0:f>IF(AND(Bookings!G969="Approved",E969="Yes",L969=0,$B$6=0),I969,0)</ns0:f>
        <ns0:v>0</ns0:v>
      </ns0:c>
      <ns0:c r="R969" s="0">
        <ns0:f>IF(AND(Bookings!G969="Pending",E969="Yes"),N969,0)</ns0:f>
        <ns0:v>0</ns0:v>
      </ns0:c>
      <ns0:c r="S969" s="0">
        <ns0:f>IF(AND(Bookings!G969="Approved",E969="No"),N969,0)</ns0:f>
        <ns0:v>0</ns0:v>
      </ns0:c>
      <ns0:c r="T969" s="0">
        <ns0:f>IFERROR(MATCH(D969,Settings!$G$7:$G$11,0),0)</ns0:f>
        <ns0:v>0</ns0:v>
      </ns0:c>
      <ns0:c r="U969" s="0">
        <ns0:f>IF(N969&gt;0,T969+IF(Bookings!G969="Pending",10,0),0)</ns0:f>
        <ns0:v>0</ns0:v>
      </ns0:c>
      <ns0:c r="V969" s="0">
        <ns0:f>U969</ns0:f>
        <ns0:v>0</ns0:v>
      </ns0:c>
      <ns0:c r="W969" s="0" t="str">
        <ns0:f>IF(C969=0,"",INDEX($AP$11:$AP$60,C969))</ns0:f>
        <ns0:v/>
      </ns0:c>
    </ns0:row>
    <ns0:row r="970">
      <ns0:c r="A970" s="0">
        <ns0:f>IF(COUNTA(Bookings!A970:G970,Bookings!I970)=0,0,1)</ns0:f>
        <ns0:v>0</ns0:v>
      </ns0:c>
      <ns0:c r="B970" s="0" t="str">
        <ns0:f>IFERROR(TRIM(MID(Bookings!A970,FIND(" · ",Bookings!A970)+3,99)),"")</ns0:f>
        <ns0:v/>
      </ns0:c>
      <ns0:c r="C970" s="0">
        <ns0:f>IF(OR(B970="",LEN(B970)&gt;24,ISNUMBER(FIND(" ",B970)),ISNUMBER(FIND("*",B970)),ISNUMBER(FIND("?",B970)),ISNUMBER(FIND("~",B970))),0,IFERROR(MATCH(B970,Team!$A$11:$A$60,0),0))</ns0:f>
        <ns0:v>0</ns0:v>
      </ns0:c>
      <ns0:c r="D970" s="0" t="str">
        <ns0:f>IFERROR(IF(MID(Bookings!F970,LEN(Bookings!F970)-3,3)=" · ",RIGHT(Bookings!F970,1),""),"")</ns0:f>
        <ns0:v/>
      </ns0:c>
      <ns0:c r="E970" s="0" t="str">
        <ns0:f>IFERROR(INDEX(Settings!$H$7:$H$11,MATCH(D970,Settings!$G$7:$G$11,0)),"")</ns0:f>
        <ns0:v/>
      </ns0:c>
      <ns0:c r="F970" s="0" t="str">
        <ns0:f>IF(A970=0,"",IFERROR(IF(OR(B970="",C970=0),"CHECK employee selection",IF(INDEX(Team!$O$11:$O$60,C970)&lt;&gt;"OK","CHECK employee setup",IF(OR('_Dates'!J970=0,'_Dates'!T970=0),"CHECK date: use DD.MM.YYYY",IF('_Dates'!T970&lt;'_Dates'!J970,"CHECK end before start",IF(AND($B$6=0,OR('_Dates'!J970&lt;Settings!$B$7,'_Dates'!T970&gt;Settings!$B$8)),"CHECK split across leave years",IF(OR(NOT(OR('_Dates'!U970="Full day",'_Dates'!U970="AM",'_Dates'!U970="PM")),NOT(OR('_Dates'!V970="Full day",'_Dates'!V970="AM",'_Dates'!V970="PM"))),"CHECK Full day / AM / PM",IF(AND('_Dates'!J970='_Dates'!T970,'_Dates'!U970&lt;&gt;"Full day",'_Dates'!V970&lt;&gt;"Full day",'_Dates'!U970&lt;&gt;'_Dates'!V970),"CHECK same-day portions disagree",IF(AND($B$6=0,OR(AND('_Dates'!U970&lt;&gt;"Full day",'_Dates'!AA970=0),AND('_Dates'!V970&lt;&gt;"Full day",'_Dates'!AB970=0))),"CHECK half-day on non-working date",IF(COUNTIF(Settings!$G$7:$G$11,D970)&lt;&gt;1,"CHECK leave type",IF(AND(Bookings!G970&lt;&gt;"Approved",Bookings!G970&lt;&gt;"Pending",Bookings!G970&lt;&gt;"Cancelled"),"CHECK status","OK")))))))))),"CHECK input"))</ns0:f>
        <ns0:v/>
      </ns0:c>
      <ns0:c r="G970" s="0">
        <ns0:f>IF(OR(F970&lt;&gt;"OK",$B$6&gt;0),0,0.5*(IF(('_Dates'!X970)&lt;('_Dates'!W970),0,INT((('_Dates'!X970)-('_Dates'!W970)+1)/7)*LEN(SUBSTITUTE(W970,"O",""))+LEN(SUBSTITUTE(MID(W970&amp;W970,WEEKDAY(('_Dates'!W970),2),MOD((('_Dates'!X970)-('_Dates'!W970)+1),7)),"O",""))-COUNTIFS(INDEX(AllClosureRows,C970,0),"&gt;="&amp;('_Dates'!W970),INDEX(AllClosureRows,C970,0),"&lt;="&amp;('_Dates'!X970)))+IF(('_Dates'!Z970)&lt;('_Dates'!Y970),0,INT((('_Dates'!Z970)-('_Dates'!Y970)+1)/7)*LEN(SUBSTITUTE(W970,"O",""))+LEN(SUBSTITUTE(MID(W970&amp;W970,WEEKDAY(('_Dates'!Y970),2),MOD((('_Dates'!Z970)-('_Dates'!Y970)+1),7)),"O",""))-COUNTIFS(INDEX(AllClosureRows,C970,0),"&gt;="&amp;('_Dates'!Y970),INDEX(AllClosureRows,C970,0),"&lt;="&amp;('_Dates'!Z970)))))</ns0:f>
        <ns0:v>0</ns0:v>
      </ns0:c>
      <ns0:c r="H970" s="0">
        <ns0:f>IF(OR(F970&lt;&gt;"OK",$B$6&gt;0),0,0.5*(IF((MIN('_Dates'!X970,Settings!$B$9))&lt;('_Dates'!W970),0,INT(((MIN('_Dates'!X970,Settings!$B$9))-('_Dates'!W970)+1)/7)*LEN(SUBSTITUTE(W970,"O",""))+LEN(SUBSTITUTE(MID(W970&amp;W970,WEEKDAY(('_Dates'!W970),2),MOD(((MIN('_Dates'!X970,Settings!$B$9))-('_Dates'!W970)+1),7)),"O",""))-COUNTIFS(INDEX(AllClosureRows,C970,0),"&gt;="&amp;('_Dates'!W970),INDEX(AllClosureRows,C970,0),"&lt;="&amp;(MIN('_Dates'!X970,Settings!$B$9))))+IF((MIN('_Dates'!Z970,Settings!$B$9))&lt;('_Dates'!Y970),0,INT(((MIN('_Dates'!Z970,Settings!$B$9))-('_Dates'!Y970)+1)/7)*LEN(SUBSTITUTE(W970,"O",""))+LEN(SUBSTITUTE(MID(W970&amp;W970,WEEKDAY(('_Dates'!Y970),2),MOD(((MIN('_Dates'!Z970,Settings!$B$9))-('_Dates'!Y970)+1),7)),"O",""))-COUNTIFS(INDEX(AllClosureRows,C970,0),"&gt;="&amp;('_Dates'!Y970),INDEX(AllClosureRows,C970,0),"&lt;="&amp;(MIN('_Dates'!Z970,Settings!$B$9))))))</ns0:f>
        <ns0:v>0</ns0:v>
      </ns0:c>
      <ns0:c r="I970" s="0">
        <ns0:f>MAX(0,G970-H970)</ns0:f>
        <ns0:v>0</ns0:v>
      </ns0:c>
      <ns0:c r="J970" s="0">
        <ns0:f>IF(OR(A970=0,F970&lt;&gt;"OK",Bookings!G970="Cancelled",$B$6&gt;0),0,IF('_Dates'!AC970=1,MAX(0,COUNTIFS(rngEngine_B,B970,rngAMStart,"&lt;="&amp;'_Dates'!X970,rngAMEnd,"&gt;="&amp;'_Dates'!W970,rngAMActive,1,rngEngine_F,"OK",rngBookings_F,"&lt;&gt;Cancelled")-1),0)+IF('_Dates'!AD970=1,MAX(0,COUNTIFS(rngEngine_B,B970,rngPMStart,"&lt;="&amp;'_Dates'!Z970,rngPMEnd,"&gt;="&amp;'_Dates'!Y970,rngPMActive,1,rngEngine_F,"OK",rngBookings_F,"&lt;&gt;Cancelled")-1),0))</ns0:f>
        <ns0:v>0</ns0:v>
      </ns0:c>
      <ns0:c r="K970" s="0" t="str">
        <ns0:f>IF(A970=0,"",IF(F970&lt;&gt;"OK",F970,IF(J970&gt;0,"CHECK overlapping entry",IF(AND($B$6=0,G970&lt;=0,Bookings!G970&lt;&gt;"Cancelled"),"CHECK no working days",IF(Bookings!G970="Cancelled","Cancelled","OK")))))</ns0:f>
        <ns0:v/>
      </ns0:c>
      <ns0:c r="L970" s="0">
        <ns0:f>IF(LEFT(K970,5)="CHECK",1,0)</ns0:f>
        <ns0:v>0</ns0:v>
      </ns0:c>
      <ns0:c r="M970" s="0">
        <ns0:f>IF(AND(L970=1,OR(C970=0,IFERROR(INDEX($X$11:$X$60,C970),0)=0)),1,0)</ns0:f>
        <ns0:v>0</ns0:v>
      </ns0:c>
      <ns0:c r="N970" s="0">
        <ns0:f>IF(OR(A970=0,L970&gt;0,$B$6&gt;0,Bookings!G970="Cancelled"),0,G970)</ns0:f>
        <ns0:v>0</ns0:v>
      </ns0:c>
      <ns0:c r="O970" s="0">
        <ns0:f>IF(AND(Bookings!G970="Approved",E970="Yes"),N970,0)</ns0:f>
        <ns0:v>0</ns0:v>
      </ns0:c>
      <ns0:c r="P970" s="0">
        <ns0:f>IF(AND(Bookings!G970="Approved",E970="Yes",L970=0,$B$6=0),H970,0)</ns0:f>
        <ns0:v>0</ns0:v>
      </ns0:c>
      <ns0:c r="Q970" s="0">
        <ns0:f>IF(AND(Bookings!G970="Approved",E970="Yes",L970=0,$B$6=0),I970,0)</ns0:f>
        <ns0:v>0</ns0:v>
      </ns0:c>
      <ns0:c r="R970" s="0">
        <ns0:f>IF(AND(Bookings!G970="Pending",E970="Yes"),N970,0)</ns0:f>
        <ns0:v>0</ns0:v>
      </ns0:c>
      <ns0:c r="S970" s="0">
        <ns0:f>IF(AND(Bookings!G970="Approved",E970="No"),N970,0)</ns0:f>
        <ns0:v>0</ns0:v>
      </ns0:c>
      <ns0:c r="T970" s="0">
        <ns0:f>IFERROR(MATCH(D970,Settings!$G$7:$G$11,0),0)</ns0:f>
        <ns0:v>0</ns0:v>
      </ns0:c>
      <ns0:c r="U970" s="0">
        <ns0:f>IF(N970&gt;0,T970+IF(Bookings!G970="Pending",10,0),0)</ns0:f>
        <ns0:v>0</ns0:v>
      </ns0:c>
      <ns0:c r="V970" s="0">
        <ns0:f>U970</ns0:f>
        <ns0:v>0</ns0:v>
      </ns0:c>
      <ns0:c r="W970" s="0" t="str">
        <ns0:f>IF(C970=0,"",INDEX($AP$11:$AP$60,C970))</ns0:f>
        <ns0:v/>
      </ns0:c>
    </ns0:row>
    <ns0:row r="971">
      <ns0:c r="A971" s="0">
        <ns0:f>IF(COUNTA(Bookings!A971:G971,Bookings!I971)=0,0,1)</ns0:f>
        <ns0:v>0</ns0:v>
      </ns0:c>
      <ns0:c r="B971" s="0" t="str">
        <ns0:f>IFERROR(TRIM(MID(Bookings!A971,FIND(" · ",Bookings!A971)+3,99)),"")</ns0:f>
        <ns0:v/>
      </ns0:c>
      <ns0:c r="C971" s="0">
        <ns0:f>IF(OR(B971="",LEN(B971)&gt;24,ISNUMBER(FIND(" ",B971)),ISNUMBER(FIND("*",B971)),ISNUMBER(FIND("?",B971)),ISNUMBER(FIND("~",B971))),0,IFERROR(MATCH(B971,Team!$A$11:$A$60,0),0))</ns0:f>
        <ns0:v>0</ns0:v>
      </ns0:c>
      <ns0:c r="D971" s="0" t="str">
        <ns0:f>IFERROR(IF(MID(Bookings!F971,LEN(Bookings!F971)-3,3)=" · ",RIGHT(Bookings!F971,1),""),"")</ns0:f>
        <ns0:v/>
      </ns0:c>
      <ns0:c r="E971" s="0" t="str">
        <ns0:f>IFERROR(INDEX(Settings!$H$7:$H$11,MATCH(D971,Settings!$G$7:$G$11,0)),"")</ns0:f>
        <ns0:v/>
      </ns0:c>
      <ns0:c r="F971" s="0" t="str">
        <ns0:f>IF(A971=0,"",IFERROR(IF(OR(B971="",C971=0),"CHECK employee selection",IF(INDEX(Team!$O$11:$O$60,C971)&lt;&gt;"OK","CHECK employee setup",IF(OR('_Dates'!J971=0,'_Dates'!T971=0),"CHECK date: use DD.MM.YYYY",IF('_Dates'!T971&lt;'_Dates'!J971,"CHECK end before start",IF(AND($B$6=0,OR('_Dates'!J971&lt;Settings!$B$7,'_Dates'!T971&gt;Settings!$B$8)),"CHECK split across leave years",IF(OR(NOT(OR('_Dates'!U971="Full day",'_Dates'!U971="AM",'_Dates'!U971="PM")),NOT(OR('_Dates'!V971="Full day",'_Dates'!V971="AM",'_Dates'!V971="PM"))),"CHECK Full day / AM / PM",IF(AND('_Dates'!J971='_Dates'!T971,'_Dates'!U971&lt;&gt;"Full day",'_Dates'!V971&lt;&gt;"Full day",'_Dates'!U971&lt;&gt;'_Dates'!V971),"CHECK same-day portions disagree",IF(AND($B$6=0,OR(AND('_Dates'!U971&lt;&gt;"Full day",'_Dates'!AA971=0),AND('_Dates'!V971&lt;&gt;"Full day",'_Dates'!AB971=0))),"CHECK half-day on non-working date",IF(COUNTIF(Settings!$G$7:$G$11,D971)&lt;&gt;1,"CHECK leave type",IF(AND(Bookings!G971&lt;&gt;"Approved",Bookings!G971&lt;&gt;"Pending",Bookings!G971&lt;&gt;"Cancelled"),"CHECK status","OK")))))))))),"CHECK input"))</ns0:f>
        <ns0:v/>
      </ns0:c>
      <ns0:c r="G971" s="0">
        <ns0:f>IF(OR(F971&lt;&gt;"OK",$B$6&gt;0),0,0.5*(IF(('_Dates'!X971)&lt;('_Dates'!W971),0,INT((('_Dates'!X971)-('_Dates'!W971)+1)/7)*LEN(SUBSTITUTE(W971,"O",""))+LEN(SUBSTITUTE(MID(W971&amp;W971,WEEKDAY(('_Dates'!W971),2),MOD((('_Dates'!X971)-('_Dates'!W971)+1),7)),"O",""))-COUNTIFS(INDEX(AllClosureRows,C971,0),"&gt;="&amp;('_Dates'!W971),INDEX(AllClosureRows,C971,0),"&lt;="&amp;('_Dates'!X971)))+IF(('_Dates'!Z971)&lt;('_Dates'!Y971),0,INT((('_Dates'!Z971)-('_Dates'!Y971)+1)/7)*LEN(SUBSTITUTE(W971,"O",""))+LEN(SUBSTITUTE(MID(W971&amp;W971,WEEKDAY(('_Dates'!Y971),2),MOD((('_Dates'!Z971)-('_Dates'!Y971)+1),7)),"O",""))-COUNTIFS(INDEX(AllClosureRows,C971,0),"&gt;="&amp;('_Dates'!Y971),INDEX(AllClosureRows,C971,0),"&lt;="&amp;('_Dates'!Z971)))))</ns0:f>
        <ns0:v>0</ns0:v>
      </ns0:c>
      <ns0:c r="H971" s="0">
        <ns0:f>IF(OR(F971&lt;&gt;"OK",$B$6&gt;0),0,0.5*(IF((MIN('_Dates'!X971,Settings!$B$9))&lt;('_Dates'!W971),0,INT(((MIN('_Dates'!X971,Settings!$B$9))-('_Dates'!W971)+1)/7)*LEN(SUBSTITUTE(W971,"O",""))+LEN(SUBSTITUTE(MID(W971&amp;W971,WEEKDAY(('_Dates'!W971),2),MOD(((MIN('_Dates'!X971,Settings!$B$9))-('_Dates'!W971)+1),7)),"O",""))-COUNTIFS(INDEX(AllClosureRows,C971,0),"&gt;="&amp;('_Dates'!W971),INDEX(AllClosureRows,C971,0),"&lt;="&amp;(MIN('_Dates'!X971,Settings!$B$9))))+IF((MIN('_Dates'!Z971,Settings!$B$9))&lt;('_Dates'!Y971),0,INT(((MIN('_Dates'!Z971,Settings!$B$9))-('_Dates'!Y971)+1)/7)*LEN(SUBSTITUTE(W971,"O",""))+LEN(SUBSTITUTE(MID(W971&amp;W971,WEEKDAY(('_Dates'!Y971),2),MOD(((MIN('_Dates'!Z971,Settings!$B$9))-('_Dates'!Y971)+1),7)),"O",""))-COUNTIFS(INDEX(AllClosureRows,C971,0),"&gt;="&amp;('_Dates'!Y971),INDEX(AllClosureRows,C971,0),"&lt;="&amp;(MIN('_Dates'!Z971,Settings!$B$9))))))</ns0:f>
        <ns0:v>0</ns0:v>
      </ns0:c>
      <ns0:c r="I971" s="0">
        <ns0:f>MAX(0,G971-H971)</ns0:f>
        <ns0:v>0</ns0:v>
      </ns0:c>
      <ns0:c r="J971" s="0">
        <ns0:f>IF(OR(A971=0,F971&lt;&gt;"OK",Bookings!G971="Cancelled",$B$6&gt;0),0,IF('_Dates'!AC971=1,MAX(0,COUNTIFS(rngEngine_B,B971,rngAMStart,"&lt;="&amp;'_Dates'!X971,rngAMEnd,"&gt;="&amp;'_Dates'!W971,rngAMActive,1,rngEngine_F,"OK",rngBookings_F,"&lt;&gt;Cancelled")-1),0)+IF('_Dates'!AD971=1,MAX(0,COUNTIFS(rngEngine_B,B971,rngPMStart,"&lt;="&amp;'_Dates'!Z971,rngPMEnd,"&gt;="&amp;'_Dates'!Y971,rngPMActive,1,rngEngine_F,"OK",rngBookings_F,"&lt;&gt;Cancelled")-1),0))</ns0:f>
        <ns0:v>0</ns0:v>
      </ns0:c>
      <ns0:c r="K971" s="0" t="str">
        <ns0:f>IF(A971=0,"",IF(F971&lt;&gt;"OK",F971,IF(J971&gt;0,"CHECK overlapping entry",IF(AND($B$6=0,G971&lt;=0,Bookings!G971&lt;&gt;"Cancelled"),"CHECK no working days",IF(Bookings!G971="Cancelled","Cancelled","OK")))))</ns0:f>
        <ns0:v/>
      </ns0:c>
      <ns0:c r="L971" s="0">
        <ns0:f>IF(LEFT(K971,5)="CHECK",1,0)</ns0:f>
        <ns0:v>0</ns0:v>
      </ns0:c>
      <ns0:c r="M971" s="0">
        <ns0:f>IF(AND(L971=1,OR(C971=0,IFERROR(INDEX($X$11:$X$60,C971),0)=0)),1,0)</ns0:f>
        <ns0:v>0</ns0:v>
      </ns0:c>
      <ns0:c r="N971" s="0">
        <ns0:f>IF(OR(A971=0,L971&gt;0,$B$6&gt;0,Bookings!G971="Cancelled"),0,G971)</ns0:f>
        <ns0:v>0</ns0:v>
      </ns0:c>
      <ns0:c r="O971" s="0">
        <ns0:f>IF(AND(Bookings!G971="Approved",E971="Yes"),N971,0)</ns0:f>
        <ns0:v>0</ns0:v>
      </ns0:c>
      <ns0:c r="P971" s="0">
        <ns0:f>IF(AND(Bookings!G971="Approved",E971="Yes",L971=0,$B$6=0),H971,0)</ns0:f>
        <ns0:v>0</ns0:v>
      </ns0:c>
      <ns0:c r="Q971" s="0">
        <ns0:f>IF(AND(Bookings!G971="Approved",E971="Yes",L971=0,$B$6=0),I971,0)</ns0:f>
        <ns0:v>0</ns0:v>
      </ns0:c>
      <ns0:c r="R971" s="0">
        <ns0:f>IF(AND(Bookings!G971="Pending",E971="Yes"),N971,0)</ns0:f>
        <ns0:v>0</ns0:v>
      </ns0:c>
      <ns0:c r="S971" s="0">
        <ns0:f>IF(AND(Bookings!G971="Approved",E971="No"),N971,0)</ns0:f>
        <ns0:v>0</ns0:v>
      </ns0:c>
      <ns0:c r="T971" s="0">
        <ns0:f>IFERROR(MATCH(D971,Settings!$G$7:$G$11,0),0)</ns0:f>
        <ns0:v>0</ns0:v>
      </ns0:c>
      <ns0:c r="U971" s="0">
        <ns0:f>IF(N971&gt;0,T971+IF(Bookings!G971="Pending",10,0),0)</ns0:f>
        <ns0:v>0</ns0:v>
      </ns0:c>
      <ns0:c r="V971" s="0">
        <ns0:f>U971</ns0:f>
        <ns0:v>0</ns0:v>
      </ns0:c>
      <ns0:c r="W971" s="0" t="str">
        <ns0:f>IF(C971=0,"",INDEX($AP$11:$AP$60,C971))</ns0:f>
        <ns0:v/>
      </ns0:c>
    </ns0:row>
    <ns0:row r="972">
      <ns0:c r="A972" s="0">
        <ns0:f>IF(COUNTA(Bookings!A972:G972,Bookings!I972)=0,0,1)</ns0:f>
        <ns0:v>0</ns0:v>
      </ns0:c>
      <ns0:c r="B972" s="0" t="str">
        <ns0:f>IFERROR(TRIM(MID(Bookings!A972,FIND(" · ",Bookings!A972)+3,99)),"")</ns0:f>
        <ns0:v/>
      </ns0:c>
      <ns0:c r="C972" s="0">
        <ns0:f>IF(OR(B972="",LEN(B972)&gt;24,ISNUMBER(FIND(" ",B972)),ISNUMBER(FIND("*",B972)),ISNUMBER(FIND("?",B972)),ISNUMBER(FIND("~",B972))),0,IFERROR(MATCH(B972,Team!$A$11:$A$60,0),0))</ns0:f>
        <ns0:v>0</ns0:v>
      </ns0:c>
      <ns0:c r="D972" s="0" t="str">
        <ns0:f>IFERROR(IF(MID(Bookings!F972,LEN(Bookings!F972)-3,3)=" · ",RIGHT(Bookings!F972,1),""),"")</ns0:f>
        <ns0:v/>
      </ns0:c>
      <ns0:c r="E972" s="0" t="str">
        <ns0:f>IFERROR(INDEX(Settings!$H$7:$H$11,MATCH(D972,Settings!$G$7:$G$11,0)),"")</ns0:f>
        <ns0:v/>
      </ns0:c>
      <ns0:c r="F972" s="0" t="str">
        <ns0:f>IF(A972=0,"",IFERROR(IF(OR(B972="",C972=0),"CHECK employee selection",IF(INDEX(Team!$O$11:$O$60,C972)&lt;&gt;"OK","CHECK employee setup",IF(OR('_Dates'!J972=0,'_Dates'!T972=0),"CHECK date: use DD.MM.YYYY",IF('_Dates'!T972&lt;'_Dates'!J972,"CHECK end before start",IF(AND($B$6=0,OR('_Dates'!J972&lt;Settings!$B$7,'_Dates'!T972&gt;Settings!$B$8)),"CHECK split across leave years",IF(OR(NOT(OR('_Dates'!U972="Full day",'_Dates'!U972="AM",'_Dates'!U972="PM")),NOT(OR('_Dates'!V972="Full day",'_Dates'!V972="AM",'_Dates'!V972="PM"))),"CHECK Full day / AM / PM",IF(AND('_Dates'!J972='_Dates'!T972,'_Dates'!U972&lt;&gt;"Full day",'_Dates'!V972&lt;&gt;"Full day",'_Dates'!U972&lt;&gt;'_Dates'!V972),"CHECK same-day portions disagree",IF(AND($B$6=0,OR(AND('_Dates'!U972&lt;&gt;"Full day",'_Dates'!AA972=0),AND('_Dates'!V972&lt;&gt;"Full day",'_Dates'!AB972=0))),"CHECK half-day on non-working date",IF(COUNTIF(Settings!$G$7:$G$11,D972)&lt;&gt;1,"CHECK leave type",IF(AND(Bookings!G972&lt;&gt;"Approved",Bookings!G972&lt;&gt;"Pending",Bookings!G972&lt;&gt;"Cancelled"),"CHECK status","OK")))))))))),"CHECK input"))</ns0:f>
        <ns0:v/>
      </ns0:c>
      <ns0:c r="G972" s="0">
        <ns0:f>IF(OR(F972&lt;&gt;"OK",$B$6&gt;0),0,0.5*(IF(('_Dates'!X972)&lt;('_Dates'!W972),0,INT((('_Dates'!X972)-('_Dates'!W972)+1)/7)*LEN(SUBSTITUTE(W972,"O",""))+LEN(SUBSTITUTE(MID(W972&amp;W972,WEEKDAY(('_Dates'!W972),2),MOD((('_Dates'!X972)-('_Dates'!W972)+1),7)),"O",""))-COUNTIFS(INDEX(AllClosureRows,C972,0),"&gt;="&amp;('_Dates'!W972),INDEX(AllClosureRows,C972,0),"&lt;="&amp;('_Dates'!X972)))+IF(('_Dates'!Z972)&lt;('_Dates'!Y972),0,INT((('_Dates'!Z972)-('_Dates'!Y972)+1)/7)*LEN(SUBSTITUTE(W972,"O",""))+LEN(SUBSTITUTE(MID(W972&amp;W972,WEEKDAY(('_Dates'!Y972),2),MOD((('_Dates'!Z972)-('_Dates'!Y972)+1),7)),"O",""))-COUNTIFS(INDEX(AllClosureRows,C972,0),"&gt;="&amp;('_Dates'!Y972),INDEX(AllClosureRows,C972,0),"&lt;="&amp;('_Dates'!Z972)))))</ns0:f>
        <ns0:v>0</ns0:v>
      </ns0:c>
      <ns0:c r="H972" s="0">
        <ns0:f>IF(OR(F972&lt;&gt;"OK",$B$6&gt;0),0,0.5*(IF((MIN('_Dates'!X972,Settings!$B$9))&lt;('_Dates'!W972),0,INT(((MIN('_Dates'!X972,Settings!$B$9))-('_Dates'!W972)+1)/7)*LEN(SUBSTITUTE(W972,"O",""))+LEN(SUBSTITUTE(MID(W972&amp;W972,WEEKDAY(('_Dates'!W972),2),MOD(((MIN('_Dates'!X972,Settings!$B$9))-('_Dates'!W972)+1),7)),"O",""))-COUNTIFS(INDEX(AllClosureRows,C972,0),"&gt;="&amp;('_Dates'!W972),INDEX(AllClosureRows,C972,0),"&lt;="&amp;(MIN('_Dates'!X972,Settings!$B$9))))+IF((MIN('_Dates'!Z972,Settings!$B$9))&lt;('_Dates'!Y972),0,INT(((MIN('_Dates'!Z972,Settings!$B$9))-('_Dates'!Y972)+1)/7)*LEN(SUBSTITUTE(W972,"O",""))+LEN(SUBSTITUTE(MID(W972&amp;W972,WEEKDAY(('_Dates'!Y972),2),MOD(((MIN('_Dates'!Z972,Settings!$B$9))-('_Dates'!Y972)+1),7)),"O",""))-COUNTIFS(INDEX(AllClosureRows,C972,0),"&gt;="&amp;('_Dates'!Y972),INDEX(AllClosureRows,C972,0),"&lt;="&amp;(MIN('_Dates'!Z972,Settings!$B$9))))))</ns0:f>
        <ns0:v>0</ns0:v>
      </ns0:c>
      <ns0:c r="I972" s="0">
        <ns0:f>MAX(0,G972-H972)</ns0:f>
        <ns0:v>0</ns0:v>
      </ns0:c>
      <ns0:c r="J972" s="0">
        <ns0:f>IF(OR(A972=0,F972&lt;&gt;"OK",Bookings!G972="Cancelled",$B$6&gt;0),0,IF('_Dates'!AC972=1,MAX(0,COUNTIFS(rngEngine_B,B972,rngAMStart,"&lt;="&amp;'_Dates'!X972,rngAMEnd,"&gt;="&amp;'_Dates'!W972,rngAMActive,1,rngEngine_F,"OK",rngBookings_F,"&lt;&gt;Cancelled")-1),0)+IF('_Dates'!AD972=1,MAX(0,COUNTIFS(rngEngine_B,B972,rngPMStart,"&lt;="&amp;'_Dates'!Z972,rngPMEnd,"&gt;="&amp;'_Dates'!Y972,rngPMActive,1,rngEngine_F,"OK",rngBookings_F,"&lt;&gt;Cancelled")-1),0))</ns0:f>
        <ns0:v>0</ns0:v>
      </ns0:c>
      <ns0:c r="K972" s="0" t="str">
        <ns0:f>IF(A972=0,"",IF(F972&lt;&gt;"OK",F972,IF(J972&gt;0,"CHECK overlapping entry",IF(AND($B$6=0,G972&lt;=0,Bookings!G972&lt;&gt;"Cancelled"),"CHECK no working days",IF(Bookings!G972="Cancelled","Cancelled","OK")))))</ns0:f>
        <ns0:v/>
      </ns0:c>
      <ns0:c r="L972" s="0">
        <ns0:f>IF(LEFT(K972,5)="CHECK",1,0)</ns0:f>
        <ns0:v>0</ns0:v>
      </ns0:c>
      <ns0:c r="M972" s="0">
        <ns0:f>IF(AND(L972=1,OR(C972=0,IFERROR(INDEX($X$11:$X$60,C972),0)=0)),1,0)</ns0:f>
        <ns0:v>0</ns0:v>
      </ns0:c>
      <ns0:c r="N972" s="0">
        <ns0:f>IF(OR(A972=0,L972&gt;0,$B$6&gt;0,Bookings!G972="Cancelled"),0,G972)</ns0:f>
        <ns0:v>0</ns0:v>
      </ns0:c>
      <ns0:c r="O972" s="0">
        <ns0:f>IF(AND(Bookings!G972="Approved",E972="Yes"),N972,0)</ns0:f>
        <ns0:v>0</ns0:v>
      </ns0:c>
      <ns0:c r="P972" s="0">
        <ns0:f>IF(AND(Bookings!G972="Approved",E972="Yes",L972=0,$B$6=0),H972,0)</ns0:f>
        <ns0:v>0</ns0:v>
      </ns0:c>
      <ns0:c r="Q972" s="0">
        <ns0:f>IF(AND(Bookings!G972="Approved",E972="Yes",L972=0,$B$6=0),I972,0)</ns0:f>
        <ns0:v>0</ns0:v>
      </ns0:c>
      <ns0:c r="R972" s="0">
        <ns0:f>IF(AND(Bookings!G972="Pending",E972="Yes"),N972,0)</ns0:f>
        <ns0:v>0</ns0:v>
      </ns0:c>
      <ns0:c r="S972" s="0">
        <ns0:f>IF(AND(Bookings!G972="Approved",E972="No"),N972,0)</ns0:f>
        <ns0:v>0</ns0:v>
      </ns0:c>
      <ns0:c r="T972" s="0">
        <ns0:f>IFERROR(MATCH(D972,Settings!$G$7:$G$11,0),0)</ns0:f>
        <ns0:v>0</ns0:v>
      </ns0:c>
      <ns0:c r="U972" s="0">
        <ns0:f>IF(N972&gt;0,T972+IF(Bookings!G972="Pending",10,0),0)</ns0:f>
        <ns0:v>0</ns0:v>
      </ns0:c>
      <ns0:c r="V972" s="0">
        <ns0:f>U972</ns0:f>
        <ns0:v>0</ns0:v>
      </ns0:c>
      <ns0:c r="W972" s="0" t="str">
        <ns0:f>IF(C972=0,"",INDEX($AP$11:$AP$60,C972))</ns0:f>
        <ns0:v/>
      </ns0:c>
    </ns0:row>
    <ns0:row r="973">
      <ns0:c r="A973" s="0">
        <ns0:f>IF(COUNTA(Bookings!A973:G973,Bookings!I973)=0,0,1)</ns0:f>
        <ns0:v>0</ns0:v>
      </ns0:c>
      <ns0:c r="B973" s="0" t="str">
        <ns0:f>IFERROR(TRIM(MID(Bookings!A973,FIND(" · ",Bookings!A973)+3,99)),"")</ns0:f>
        <ns0:v/>
      </ns0:c>
      <ns0:c r="C973" s="0">
        <ns0:f>IF(OR(B973="",LEN(B973)&gt;24,ISNUMBER(FIND(" ",B973)),ISNUMBER(FIND("*",B973)),ISNUMBER(FIND("?",B973)),ISNUMBER(FIND("~",B973))),0,IFERROR(MATCH(B973,Team!$A$11:$A$60,0),0))</ns0:f>
        <ns0:v>0</ns0:v>
      </ns0:c>
      <ns0:c r="D973" s="0" t="str">
        <ns0:f>IFERROR(IF(MID(Bookings!F973,LEN(Bookings!F973)-3,3)=" · ",RIGHT(Bookings!F973,1),""),"")</ns0:f>
        <ns0:v/>
      </ns0:c>
      <ns0:c r="E973" s="0" t="str">
        <ns0:f>IFERROR(INDEX(Settings!$H$7:$H$11,MATCH(D973,Settings!$G$7:$G$11,0)),"")</ns0:f>
        <ns0:v/>
      </ns0:c>
      <ns0:c r="F973" s="0" t="str">
        <ns0:f>IF(A973=0,"",IFERROR(IF(OR(B973="",C973=0),"CHECK employee selection",IF(INDEX(Team!$O$11:$O$60,C973)&lt;&gt;"OK","CHECK employee setup",IF(OR('_Dates'!J973=0,'_Dates'!T973=0),"CHECK date: use DD.MM.YYYY",IF('_Dates'!T973&lt;'_Dates'!J973,"CHECK end before start",IF(AND($B$6=0,OR('_Dates'!J973&lt;Settings!$B$7,'_Dates'!T973&gt;Settings!$B$8)),"CHECK split across leave years",IF(OR(NOT(OR('_Dates'!U973="Full day",'_Dates'!U973="AM",'_Dates'!U973="PM")),NOT(OR('_Dates'!V973="Full day",'_Dates'!V973="AM",'_Dates'!V973="PM"))),"CHECK Full day / AM / PM",IF(AND('_Dates'!J973='_Dates'!T973,'_Dates'!U973&lt;&gt;"Full day",'_Dates'!V973&lt;&gt;"Full day",'_Dates'!U973&lt;&gt;'_Dates'!V973),"CHECK same-day portions disagree",IF(AND($B$6=0,OR(AND('_Dates'!U973&lt;&gt;"Full day",'_Dates'!AA973=0),AND('_Dates'!V973&lt;&gt;"Full day",'_Dates'!AB973=0))),"CHECK half-day on non-working date",IF(COUNTIF(Settings!$G$7:$G$11,D973)&lt;&gt;1,"CHECK leave type",IF(AND(Bookings!G973&lt;&gt;"Approved",Bookings!G973&lt;&gt;"Pending",Bookings!G973&lt;&gt;"Cancelled"),"CHECK status","OK")))))))))),"CHECK input"))</ns0:f>
        <ns0:v/>
      </ns0:c>
      <ns0:c r="G973" s="0">
        <ns0:f>IF(OR(F973&lt;&gt;"OK",$B$6&gt;0),0,0.5*(IF(('_Dates'!X973)&lt;('_Dates'!W973),0,INT((('_Dates'!X973)-('_Dates'!W973)+1)/7)*LEN(SUBSTITUTE(W973,"O",""))+LEN(SUBSTITUTE(MID(W973&amp;W973,WEEKDAY(('_Dates'!W973),2),MOD((('_Dates'!X973)-('_Dates'!W973)+1),7)),"O",""))-COUNTIFS(INDEX(AllClosureRows,C973,0),"&gt;="&amp;('_Dates'!W973),INDEX(AllClosureRows,C973,0),"&lt;="&amp;('_Dates'!X973)))+IF(('_Dates'!Z973)&lt;('_Dates'!Y973),0,INT((('_Dates'!Z973)-('_Dates'!Y973)+1)/7)*LEN(SUBSTITUTE(W973,"O",""))+LEN(SUBSTITUTE(MID(W973&amp;W973,WEEKDAY(('_Dates'!Y973),2),MOD((('_Dates'!Z973)-('_Dates'!Y973)+1),7)),"O",""))-COUNTIFS(INDEX(AllClosureRows,C973,0),"&gt;="&amp;('_Dates'!Y973),INDEX(AllClosureRows,C973,0),"&lt;="&amp;('_Dates'!Z973)))))</ns0:f>
        <ns0:v>0</ns0:v>
      </ns0:c>
      <ns0:c r="H973" s="0">
        <ns0:f>IF(OR(F973&lt;&gt;"OK",$B$6&gt;0),0,0.5*(IF((MIN('_Dates'!X973,Settings!$B$9))&lt;('_Dates'!W973),0,INT(((MIN('_Dates'!X973,Settings!$B$9))-('_Dates'!W973)+1)/7)*LEN(SUBSTITUTE(W973,"O",""))+LEN(SUBSTITUTE(MID(W973&amp;W973,WEEKDAY(('_Dates'!W973),2),MOD(((MIN('_Dates'!X973,Settings!$B$9))-('_Dates'!W973)+1),7)),"O",""))-COUNTIFS(INDEX(AllClosureRows,C973,0),"&gt;="&amp;('_Dates'!W973),INDEX(AllClosureRows,C973,0),"&lt;="&amp;(MIN('_Dates'!X973,Settings!$B$9))))+IF((MIN('_Dates'!Z973,Settings!$B$9))&lt;('_Dates'!Y973),0,INT(((MIN('_Dates'!Z973,Settings!$B$9))-('_Dates'!Y973)+1)/7)*LEN(SUBSTITUTE(W973,"O",""))+LEN(SUBSTITUTE(MID(W973&amp;W973,WEEKDAY(('_Dates'!Y973),2),MOD(((MIN('_Dates'!Z973,Settings!$B$9))-('_Dates'!Y973)+1),7)),"O",""))-COUNTIFS(INDEX(AllClosureRows,C973,0),"&gt;="&amp;('_Dates'!Y973),INDEX(AllClosureRows,C973,0),"&lt;="&amp;(MIN('_Dates'!Z973,Settings!$B$9))))))</ns0:f>
        <ns0:v>0</ns0:v>
      </ns0:c>
      <ns0:c r="I973" s="0">
        <ns0:f>MAX(0,G973-H973)</ns0:f>
        <ns0:v>0</ns0:v>
      </ns0:c>
      <ns0:c r="J973" s="0">
        <ns0:f>IF(OR(A973=0,F973&lt;&gt;"OK",Bookings!G973="Cancelled",$B$6&gt;0),0,IF('_Dates'!AC973=1,MAX(0,COUNTIFS(rngEngine_B,B973,rngAMStart,"&lt;="&amp;'_Dates'!X973,rngAMEnd,"&gt;="&amp;'_Dates'!W973,rngAMActive,1,rngEngine_F,"OK",rngBookings_F,"&lt;&gt;Cancelled")-1),0)+IF('_Dates'!AD973=1,MAX(0,COUNTIFS(rngEngine_B,B973,rngPMStart,"&lt;="&amp;'_Dates'!Z973,rngPMEnd,"&gt;="&amp;'_Dates'!Y973,rngPMActive,1,rngEngine_F,"OK",rngBookings_F,"&lt;&gt;Cancelled")-1),0))</ns0:f>
        <ns0:v>0</ns0:v>
      </ns0:c>
      <ns0:c r="K973" s="0" t="str">
        <ns0:f>IF(A973=0,"",IF(F973&lt;&gt;"OK",F973,IF(J973&gt;0,"CHECK overlapping entry",IF(AND($B$6=0,G973&lt;=0,Bookings!G973&lt;&gt;"Cancelled"),"CHECK no working days",IF(Bookings!G973="Cancelled","Cancelled","OK")))))</ns0:f>
        <ns0:v/>
      </ns0:c>
      <ns0:c r="L973" s="0">
        <ns0:f>IF(LEFT(K973,5)="CHECK",1,0)</ns0:f>
        <ns0:v>0</ns0:v>
      </ns0:c>
      <ns0:c r="M973" s="0">
        <ns0:f>IF(AND(L973=1,OR(C973=0,IFERROR(INDEX($X$11:$X$60,C973),0)=0)),1,0)</ns0:f>
        <ns0:v>0</ns0:v>
      </ns0:c>
      <ns0:c r="N973" s="0">
        <ns0:f>IF(OR(A973=0,L973&gt;0,$B$6&gt;0,Bookings!G973="Cancelled"),0,G973)</ns0:f>
        <ns0:v>0</ns0:v>
      </ns0:c>
      <ns0:c r="O973" s="0">
        <ns0:f>IF(AND(Bookings!G973="Approved",E973="Yes"),N973,0)</ns0:f>
        <ns0:v>0</ns0:v>
      </ns0:c>
      <ns0:c r="P973" s="0">
        <ns0:f>IF(AND(Bookings!G973="Approved",E973="Yes",L973=0,$B$6=0),H973,0)</ns0:f>
        <ns0:v>0</ns0:v>
      </ns0:c>
      <ns0:c r="Q973" s="0">
        <ns0:f>IF(AND(Bookings!G973="Approved",E973="Yes",L973=0,$B$6=0),I973,0)</ns0:f>
        <ns0:v>0</ns0:v>
      </ns0:c>
      <ns0:c r="R973" s="0">
        <ns0:f>IF(AND(Bookings!G973="Pending",E973="Yes"),N973,0)</ns0:f>
        <ns0:v>0</ns0:v>
      </ns0:c>
      <ns0:c r="S973" s="0">
        <ns0:f>IF(AND(Bookings!G973="Approved",E973="No"),N973,0)</ns0:f>
        <ns0:v>0</ns0:v>
      </ns0:c>
      <ns0:c r="T973" s="0">
        <ns0:f>IFERROR(MATCH(D973,Settings!$G$7:$G$11,0),0)</ns0:f>
        <ns0:v>0</ns0:v>
      </ns0:c>
      <ns0:c r="U973" s="0">
        <ns0:f>IF(N973&gt;0,T973+IF(Bookings!G973="Pending",10,0),0)</ns0:f>
        <ns0:v>0</ns0:v>
      </ns0:c>
      <ns0:c r="V973" s="0">
        <ns0:f>U973</ns0:f>
        <ns0:v>0</ns0:v>
      </ns0:c>
      <ns0:c r="W973" s="0" t="str">
        <ns0:f>IF(C973=0,"",INDEX($AP$11:$AP$60,C973))</ns0:f>
        <ns0:v/>
      </ns0:c>
    </ns0:row>
    <ns0:row r="974">
      <ns0:c r="A974" s="0">
        <ns0:f>IF(COUNTA(Bookings!A974:G974,Bookings!I974)=0,0,1)</ns0:f>
        <ns0:v>0</ns0:v>
      </ns0:c>
      <ns0:c r="B974" s="0" t="str">
        <ns0:f>IFERROR(TRIM(MID(Bookings!A974,FIND(" · ",Bookings!A974)+3,99)),"")</ns0:f>
        <ns0:v/>
      </ns0:c>
      <ns0:c r="C974" s="0">
        <ns0:f>IF(OR(B974="",LEN(B974)&gt;24,ISNUMBER(FIND(" ",B974)),ISNUMBER(FIND("*",B974)),ISNUMBER(FIND("?",B974)),ISNUMBER(FIND("~",B974))),0,IFERROR(MATCH(B974,Team!$A$11:$A$60,0),0))</ns0:f>
        <ns0:v>0</ns0:v>
      </ns0:c>
      <ns0:c r="D974" s="0" t="str">
        <ns0:f>IFERROR(IF(MID(Bookings!F974,LEN(Bookings!F974)-3,3)=" · ",RIGHT(Bookings!F974,1),""),"")</ns0:f>
        <ns0:v/>
      </ns0:c>
      <ns0:c r="E974" s="0" t="str">
        <ns0:f>IFERROR(INDEX(Settings!$H$7:$H$11,MATCH(D974,Settings!$G$7:$G$11,0)),"")</ns0:f>
        <ns0:v/>
      </ns0:c>
      <ns0:c r="F974" s="0" t="str">
        <ns0:f>IF(A974=0,"",IFERROR(IF(OR(B974="",C974=0),"CHECK employee selection",IF(INDEX(Team!$O$11:$O$60,C974)&lt;&gt;"OK","CHECK employee setup",IF(OR('_Dates'!J974=0,'_Dates'!T974=0),"CHECK date: use DD.MM.YYYY",IF('_Dates'!T974&lt;'_Dates'!J974,"CHECK end before start",IF(AND($B$6=0,OR('_Dates'!J974&lt;Settings!$B$7,'_Dates'!T974&gt;Settings!$B$8)),"CHECK split across leave years",IF(OR(NOT(OR('_Dates'!U974="Full day",'_Dates'!U974="AM",'_Dates'!U974="PM")),NOT(OR('_Dates'!V974="Full day",'_Dates'!V974="AM",'_Dates'!V974="PM"))),"CHECK Full day / AM / PM",IF(AND('_Dates'!J974='_Dates'!T974,'_Dates'!U974&lt;&gt;"Full day",'_Dates'!V974&lt;&gt;"Full day",'_Dates'!U974&lt;&gt;'_Dates'!V974),"CHECK same-day portions disagree",IF(AND($B$6=0,OR(AND('_Dates'!U974&lt;&gt;"Full day",'_Dates'!AA974=0),AND('_Dates'!V974&lt;&gt;"Full day",'_Dates'!AB974=0))),"CHECK half-day on non-working date",IF(COUNTIF(Settings!$G$7:$G$11,D974)&lt;&gt;1,"CHECK leave type",IF(AND(Bookings!G974&lt;&gt;"Approved",Bookings!G974&lt;&gt;"Pending",Bookings!G974&lt;&gt;"Cancelled"),"CHECK status","OK")))))))))),"CHECK input"))</ns0:f>
        <ns0:v/>
      </ns0:c>
      <ns0:c r="G974" s="0">
        <ns0:f>IF(OR(F974&lt;&gt;"OK",$B$6&gt;0),0,0.5*(IF(('_Dates'!X974)&lt;('_Dates'!W974),0,INT((('_Dates'!X974)-('_Dates'!W974)+1)/7)*LEN(SUBSTITUTE(W974,"O",""))+LEN(SUBSTITUTE(MID(W974&amp;W974,WEEKDAY(('_Dates'!W974),2),MOD((('_Dates'!X974)-('_Dates'!W974)+1),7)),"O",""))-COUNTIFS(INDEX(AllClosureRows,C974,0),"&gt;="&amp;('_Dates'!W974),INDEX(AllClosureRows,C974,0),"&lt;="&amp;('_Dates'!X974)))+IF(('_Dates'!Z974)&lt;('_Dates'!Y974),0,INT((('_Dates'!Z974)-('_Dates'!Y974)+1)/7)*LEN(SUBSTITUTE(W974,"O",""))+LEN(SUBSTITUTE(MID(W974&amp;W974,WEEKDAY(('_Dates'!Y974),2),MOD((('_Dates'!Z974)-('_Dates'!Y974)+1),7)),"O",""))-COUNTIFS(INDEX(AllClosureRows,C974,0),"&gt;="&amp;('_Dates'!Y974),INDEX(AllClosureRows,C974,0),"&lt;="&amp;('_Dates'!Z974)))))</ns0:f>
        <ns0:v>0</ns0:v>
      </ns0:c>
      <ns0:c r="H974" s="0">
        <ns0:f>IF(OR(F974&lt;&gt;"OK",$B$6&gt;0),0,0.5*(IF((MIN('_Dates'!X974,Settings!$B$9))&lt;('_Dates'!W974),0,INT(((MIN('_Dates'!X974,Settings!$B$9))-('_Dates'!W974)+1)/7)*LEN(SUBSTITUTE(W974,"O",""))+LEN(SUBSTITUTE(MID(W974&amp;W974,WEEKDAY(('_Dates'!W974),2),MOD(((MIN('_Dates'!X974,Settings!$B$9))-('_Dates'!W974)+1),7)),"O",""))-COUNTIFS(INDEX(AllClosureRows,C974,0),"&gt;="&amp;('_Dates'!W974),INDEX(AllClosureRows,C974,0),"&lt;="&amp;(MIN('_Dates'!X974,Settings!$B$9))))+IF((MIN('_Dates'!Z974,Settings!$B$9))&lt;('_Dates'!Y974),0,INT(((MIN('_Dates'!Z974,Settings!$B$9))-('_Dates'!Y974)+1)/7)*LEN(SUBSTITUTE(W974,"O",""))+LEN(SUBSTITUTE(MID(W974&amp;W974,WEEKDAY(('_Dates'!Y974),2),MOD(((MIN('_Dates'!Z974,Settings!$B$9))-('_Dates'!Y974)+1),7)),"O",""))-COUNTIFS(INDEX(AllClosureRows,C974,0),"&gt;="&amp;('_Dates'!Y974),INDEX(AllClosureRows,C974,0),"&lt;="&amp;(MIN('_Dates'!Z974,Settings!$B$9))))))</ns0:f>
        <ns0:v>0</ns0:v>
      </ns0:c>
      <ns0:c r="I974" s="0">
        <ns0:f>MAX(0,G974-H974)</ns0:f>
        <ns0:v>0</ns0:v>
      </ns0:c>
      <ns0:c r="J974" s="0">
        <ns0:f>IF(OR(A974=0,F974&lt;&gt;"OK",Bookings!G974="Cancelled",$B$6&gt;0),0,IF('_Dates'!AC974=1,MAX(0,COUNTIFS(rngEngine_B,B974,rngAMStart,"&lt;="&amp;'_Dates'!X974,rngAMEnd,"&gt;="&amp;'_Dates'!W974,rngAMActive,1,rngEngine_F,"OK",rngBookings_F,"&lt;&gt;Cancelled")-1),0)+IF('_Dates'!AD974=1,MAX(0,COUNTIFS(rngEngine_B,B974,rngPMStart,"&lt;="&amp;'_Dates'!Z974,rngPMEnd,"&gt;="&amp;'_Dates'!Y974,rngPMActive,1,rngEngine_F,"OK",rngBookings_F,"&lt;&gt;Cancelled")-1),0))</ns0:f>
        <ns0:v>0</ns0:v>
      </ns0:c>
      <ns0:c r="K974" s="0" t="str">
        <ns0:f>IF(A974=0,"",IF(F974&lt;&gt;"OK",F974,IF(J974&gt;0,"CHECK overlapping entry",IF(AND($B$6=0,G974&lt;=0,Bookings!G974&lt;&gt;"Cancelled"),"CHECK no working days",IF(Bookings!G974="Cancelled","Cancelled","OK")))))</ns0:f>
        <ns0:v/>
      </ns0:c>
      <ns0:c r="L974" s="0">
        <ns0:f>IF(LEFT(K974,5)="CHECK",1,0)</ns0:f>
        <ns0:v>0</ns0:v>
      </ns0:c>
      <ns0:c r="M974" s="0">
        <ns0:f>IF(AND(L974=1,OR(C974=0,IFERROR(INDEX($X$11:$X$60,C974),0)=0)),1,0)</ns0:f>
        <ns0:v>0</ns0:v>
      </ns0:c>
      <ns0:c r="N974" s="0">
        <ns0:f>IF(OR(A974=0,L974&gt;0,$B$6&gt;0,Bookings!G974="Cancelled"),0,G974)</ns0:f>
        <ns0:v>0</ns0:v>
      </ns0:c>
      <ns0:c r="O974" s="0">
        <ns0:f>IF(AND(Bookings!G974="Approved",E974="Yes"),N974,0)</ns0:f>
        <ns0:v>0</ns0:v>
      </ns0:c>
      <ns0:c r="P974" s="0">
        <ns0:f>IF(AND(Bookings!G974="Approved",E974="Yes",L974=0,$B$6=0),H974,0)</ns0:f>
        <ns0:v>0</ns0:v>
      </ns0:c>
      <ns0:c r="Q974" s="0">
        <ns0:f>IF(AND(Bookings!G974="Approved",E974="Yes",L974=0,$B$6=0),I974,0)</ns0:f>
        <ns0:v>0</ns0:v>
      </ns0:c>
      <ns0:c r="R974" s="0">
        <ns0:f>IF(AND(Bookings!G974="Pending",E974="Yes"),N974,0)</ns0:f>
        <ns0:v>0</ns0:v>
      </ns0:c>
      <ns0:c r="S974" s="0">
        <ns0:f>IF(AND(Bookings!G974="Approved",E974="No"),N974,0)</ns0:f>
        <ns0:v>0</ns0:v>
      </ns0:c>
      <ns0:c r="T974" s="0">
        <ns0:f>IFERROR(MATCH(D974,Settings!$G$7:$G$11,0),0)</ns0:f>
        <ns0:v>0</ns0:v>
      </ns0:c>
      <ns0:c r="U974" s="0">
        <ns0:f>IF(N974&gt;0,T974+IF(Bookings!G974="Pending",10,0),0)</ns0:f>
        <ns0:v>0</ns0:v>
      </ns0:c>
      <ns0:c r="V974" s="0">
        <ns0:f>U974</ns0:f>
        <ns0:v>0</ns0:v>
      </ns0:c>
      <ns0:c r="W974" s="0" t="str">
        <ns0:f>IF(C974=0,"",INDEX($AP$11:$AP$60,C974))</ns0:f>
        <ns0:v/>
      </ns0:c>
    </ns0:row>
    <ns0:row r="975">
      <ns0:c r="A975" s="0">
        <ns0:f>IF(COUNTA(Bookings!A975:G975,Bookings!I975)=0,0,1)</ns0:f>
        <ns0:v>0</ns0:v>
      </ns0:c>
      <ns0:c r="B975" s="0" t="str">
        <ns0:f>IFERROR(TRIM(MID(Bookings!A975,FIND(" · ",Bookings!A975)+3,99)),"")</ns0:f>
        <ns0:v/>
      </ns0:c>
      <ns0:c r="C975" s="0">
        <ns0:f>IF(OR(B975="",LEN(B975)&gt;24,ISNUMBER(FIND(" ",B975)),ISNUMBER(FIND("*",B975)),ISNUMBER(FIND("?",B975)),ISNUMBER(FIND("~",B975))),0,IFERROR(MATCH(B975,Team!$A$11:$A$60,0),0))</ns0:f>
        <ns0:v>0</ns0:v>
      </ns0:c>
      <ns0:c r="D975" s="0" t="str">
        <ns0:f>IFERROR(IF(MID(Bookings!F975,LEN(Bookings!F975)-3,3)=" · ",RIGHT(Bookings!F975,1),""),"")</ns0:f>
        <ns0:v/>
      </ns0:c>
      <ns0:c r="E975" s="0" t="str">
        <ns0:f>IFERROR(INDEX(Settings!$H$7:$H$11,MATCH(D975,Settings!$G$7:$G$11,0)),"")</ns0:f>
        <ns0:v/>
      </ns0:c>
      <ns0:c r="F975" s="0" t="str">
        <ns0:f>IF(A975=0,"",IFERROR(IF(OR(B975="",C975=0),"CHECK employee selection",IF(INDEX(Team!$O$11:$O$60,C975)&lt;&gt;"OK","CHECK employee setup",IF(OR('_Dates'!J975=0,'_Dates'!T975=0),"CHECK date: use DD.MM.YYYY",IF('_Dates'!T975&lt;'_Dates'!J975,"CHECK end before start",IF(AND($B$6=0,OR('_Dates'!J975&lt;Settings!$B$7,'_Dates'!T975&gt;Settings!$B$8)),"CHECK split across leave years",IF(OR(NOT(OR('_Dates'!U975="Full day",'_Dates'!U975="AM",'_Dates'!U975="PM")),NOT(OR('_Dates'!V975="Full day",'_Dates'!V975="AM",'_Dates'!V975="PM"))),"CHECK Full day / AM / PM",IF(AND('_Dates'!J975='_Dates'!T975,'_Dates'!U975&lt;&gt;"Full day",'_Dates'!V975&lt;&gt;"Full day",'_Dates'!U975&lt;&gt;'_Dates'!V975),"CHECK same-day portions disagree",IF(AND($B$6=0,OR(AND('_Dates'!U975&lt;&gt;"Full day",'_Dates'!AA975=0),AND('_Dates'!V975&lt;&gt;"Full day",'_Dates'!AB975=0))),"CHECK half-day on non-working date",IF(COUNTIF(Settings!$G$7:$G$11,D975)&lt;&gt;1,"CHECK leave type",IF(AND(Bookings!G975&lt;&gt;"Approved",Bookings!G975&lt;&gt;"Pending",Bookings!G975&lt;&gt;"Cancelled"),"CHECK status","OK")))))))))),"CHECK input"))</ns0:f>
        <ns0:v/>
      </ns0:c>
      <ns0:c r="G975" s="0">
        <ns0:f>IF(OR(F975&lt;&gt;"OK",$B$6&gt;0),0,0.5*(IF(('_Dates'!X975)&lt;('_Dates'!W975),0,INT((('_Dates'!X975)-('_Dates'!W975)+1)/7)*LEN(SUBSTITUTE(W975,"O",""))+LEN(SUBSTITUTE(MID(W975&amp;W975,WEEKDAY(('_Dates'!W975),2),MOD((('_Dates'!X975)-('_Dates'!W975)+1),7)),"O",""))-COUNTIFS(INDEX(AllClosureRows,C975,0),"&gt;="&amp;('_Dates'!W975),INDEX(AllClosureRows,C975,0),"&lt;="&amp;('_Dates'!X975)))+IF(('_Dates'!Z975)&lt;('_Dates'!Y975),0,INT((('_Dates'!Z975)-('_Dates'!Y975)+1)/7)*LEN(SUBSTITUTE(W975,"O",""))+LEN(SUBSTITUTE(MID(W975&amp;W975,WEEKDAY(('_Dates'!Y975),2),MOD((('_Dates'!Z975)-('_Dates'!Y975)+1),7)),"O",""))-COUNTIFS(INDEX(AllClosureRows,C975,0),"&gt;="&amp;('_Dates'!Y975),INDEX(AllClosureRows,C975,0),"&lt;="&amp;('_Dates'!Z975)))))</ns0:f>
        <ns0:v>0</ns0:v>
      </ns0:c>
      <ns0:c r="H975" s="0">
        <ns0:f>IF(OR(F975&lt;&gt;"OK",$B$6&gt;0),0,0.5*(IF((MIN('_Dates'!X975,Settings!$B$9))&lt;('_Dates'!W975),0,INT(((MIN('_Dates'!X975,Settings!$B$9))-('_Dates'!W975)+1)/7)*LEN(SUBSTITUTE(W975,"O",""))+LEN(SUBSTITUTE(MID(W975&amp;W975,WEEKDAY(('_Dates'!W975),2),MOD(((MIN('_Dates'!X975,Settings!$B$9))-('_Dates'!W975)+1),7)),"O",""))-COUNTIFS(INDEX(AllClosureRows,C975,0),"&gt;="&amp;('_Dates'!W975),INDEX(AllClosureRows,C975,0),"&lt;="&amp;(MIN('_Dates'!X975,Settings!$B$9))))+IF((MIN('_Dates'!Z975,Settings!$B$9))&lt;('_Dates'!Y975),0,INT(((MIN('_Dates'!Z975,Settings!$B$9))-('_Dates'!Y975)+1)/7)*LEN(SUBSTITUTE(W975,"O",""))+LEN(SUBSTITUTE(MID(W975&amp;W975,WEEKDAY(('_Dates'!Y975),2),MOD(((MIN('_Dates'!Z975,Settings!$B$9))-('_Dates'!Y975)+1),7)),"O",""))-COUNTIFS(INDEX(AllClosureRows,C975,0),"&gt;="&amp;('_Dates'!Y975),INDEX(AllClosureRows,C975,0),"&lt;="&amp;(MIN('_Dates'!Z975,Settings!$B$9))))))</ns0:f>
        <ns0:v>0</ns0:v>
      </ns0:c>
      <ns0:c r="I975" s="0">
        <ns0:f>MAX(0,G975-H975)</ns0:f>
        <ns0:v>0</ns0:v>
      </ns0:c>
      <ns0:c r="J975" s="0">
        <ns0:f>IF(OR(A975=0,F975&lt;&gt;"OK",Bookings!G975="Cancelled",$B$6&gt;0),0,IF('_Dates'!AC975=1,MAX(0,COUNTIFS(rngEngine_B,B975,rngAMStart,"&lt;="&amp;'_Dates'!X975,rngAMEnd,"&gt;="&amp;'_Dates'!W975,rngAMActive,1,rngEngine_F,"OK",rngBookings_F,"&lt;&gt;Cancelled")-1),0)+IF('_Dates'!AD975=1,MAX(0,COUNTIFS(rngEngine_B,B975,rngPMStart,"&lt;="&amp;'_Dates'!Z975,rngPMEnd,"&gt;="&amp;'_Dates'!Y975,rngPMActive,1,rngEngine_F,"OK",rngBookings_F,"&lt;&gt;Cancelled")-1),0))</ns0:f>
        <ns0:v>0</ns0:v>
      </ns0:c>
      <ns0:c r="K975" s="0" t="str">
        <ns0:f>IF(A975=0,"",IF(F975&lt;&gt;"OK",F975,IF(J975&gt;0,"CHECK overlapping entry",IF(AND($B$6=0,G975&lt;=0,Bookings!G975&lt;&gt;"Cancelled"),"CHECK no working days",IF(Bookings!G975="Cancelled","Cancelled","OK")))))</ns0:f>
        <ns0:v/>
      </ns0:c>
      <ns0:c r="L975" s="0">
        <ns0:f>IF(LEFT(K975,5)="CHECK",1,0)</ns0:f>
        <ns0:v>0</ns0:v>
      </ns0:c>
      <ns0:c r="M975" s="0">
        <ns0:f>IF(AND(L975=1,OR(C975=0,IFERROR(INDEX($X$11:$X$60,C975),0)=0)),1,0)</ns0:f>
        <ns0:v>0</ns0:v>
      </ns0:c>
      <ns0:c r="N975" s="0">
        <ns0:f>IF(OR(A975=0,L975&gt;0,$B$6&gt;0,Bookings!G975="Cancelled"),0,G975)</ns0:f>
        <ns0:v>0</ns0:v>
      </ns0:c>
      <ns0:c r="O975" s="0">
        <ns0:f>IF(AND(Bookings!G975="Approved",E975="Yes"),N975,0)</ns0:f>
        <ns0:v>0</ns0:v>
      </ns0:c>
      <ns0:c r="P975" s="0">
        <ns0:f>IF(AND(Bookings!G975="Approved",E975="Yes",L975=0,$B$6=0),H975,0)</ns0:f>
        <ns0:v>0</ns0:v>
      </ns0:c>
      <ns0:c r="Q975" s="0">
        <ns0:f>IF(AND(Bookings!G975="Approved",E975="Yes",L975=0,$B$6=0),I975,0)</ns0:f>
        <ns0:v>0</ns0:v>
      </ns0:c>
      <ns0:c r="R975" s="0">
        <ns0:f>IF(AND(Bookings!G975="Pending",E975="Yes"),N975,0)</ns0:f>
        <ns0:v>0</ns0:v>
      </ns0:c>
      <ns0:c r="S975" s="0">
        <ns0:f>IF(AND(Bookings!G975="Approved",E975="No"),N975,0)</ns0:f>
        <ns0:v>0</ns0:v>
      </ns0:c>
      <ns0:c r="T975" s="0">
        <ns0:f>IFERROR(MATCH(D975,Settings!$G$7:$G$11,0),0)</ns0:f>
        <ns0:v>0</ns0:v>
      </ns0:c>
      <ns0:c r="U975" s="0">
        <ns0:f>IF(N975&gt;0,T975+IF(Bookings!G975="Pending",10,0),0)</ns0:f>
        <ns0:v>0</ns0:v>
      </ns0:c>
      <ns0:c r="V975" s="0">
        <ns0:f>U975</ns0:f>
        <ns0:v>0</ns0:v>
      </ns0:c>
      <ns0:c r="W975" s="0" t="str">
        <ns0:f>IF(C975=0,"",INDEX($AP$11:$AP$60,C975))</ns0:f>
        <ns0:v/>
      </ns0:c>
    </ns0:row>
    <ns0:row r="976">
      <ns0:c r="A976" s="0">
        <ns0:f>IF(COUNTA(Bookings!A976:G976,Bookings!I976)=0,0,1)</ns0:f>
        <ns0:v>0</ns0:v>
      </ns0:c>
      <ns0:c r="B976" s="0" t="str">
        <ns0:f>IFERROR(TRIM(MID(Bookings!A976,FIND(" · ",Bookings!A976)+3,99)),"")</ns0:f>
        <ns0:v/>
      </ns0:c>
      <ns0:c r="C976" s="0">
        <ns0:f>IF(OR(B976="",LEN(B976)&gt;24,ISNUMBER(FIND(" ",B976)),ISNUMBER(FIND("*",B976)),ISNUMBER(FIND("?",B976)),ISNUMBER(FIND("~",B976))),0,IFERROR(MATCH(B976,Team!$A$11:$A$60,0),0))</ns0:f>
        <ns0:v>0</ns0:v>
      </ns0:c>
      <ns0:c r="D976" s="0" t="str">
        <ns0:f>IFERROR(IF(MID(Bookings!F976,LEN(Bookings!F976)-3,3)=" · ",RIGHT(Bookings!F976,1),""),"")</ns0:f>
        <ns0:v/>
      </ns0:c>
      <ns0:c r="E976" s="0" t="str">
        <ns0:f>IFERROR(INDEX(Settings!$H$7:$H$11,MATCH(D976,Settings!$G$7:$G$11,0)),"")</ns0:f>
        <ns0:v/>
      </ns0:c>
      <ns0:c r="F976" s="0" t="str">
        <ns0:f>IF(A976=0,"",IFERROR(IF(OR(B976="",C976=0),"CHECK employee selection",IF(INDEX(Team!$O$11:$O$60,C976)&lt;&gt;"OK","CHECK employee setup",IF(OR('_Dates'!J976=0,'_Dates'!T976=0),"CHECK date: use DD.MM.YYYY",IF('_Dates'!T976&lt;'_Dates'!J976,"CHECK end before start",IF(AND($B$6=0,OR('_Dates'!J976&lt;Settings!$B$7,'_Dates'!T976&gt;Settings!$B$8)),"CHECK split across leave years",IF(OR(NOT(OR('_Dates'!U976="Full day",'_Dates'!U976="AM",'_Dates'!U976="PM")),NOT(OR('_Dates'!V976="Full day",'_Dates'!V976="AM",'_Dates'!V976="PM"))),"CHECK Full day / AM / PM",IF(AND('_Dates'!J976='_Dates'!T976,'_Dates'!U976&lt;&gt;"Full day",'_Dates'!V976&lt;&gt;"Full day",'_Dates'!U976&lt;&gt;'_Dates'!V976),"CHECK same-day portions disagree",IF(AND($B$6=0,OR(AND('_Dates'!U976&lt;&gt;"Full day",'_Dates'!AA976=0),AND('_Dates'!V976&lt;&gt;"Full day",'_Dates'!AB976=0))),"CHECK half-day on non-working date",IF(COUNTIF(Settings!$G$7:$G$11,D976)&lt;&gt;1,"CHECK leave type",IF(AND(Bookings!G976&lt;&gt;"Approved",Bookings!G976&lt;&gt;"Pending",Bookings!G976&lt;&gt;"Cancelled"),"CHECK status","OK")))))))))),"CHECK input"))</ns0:f>
        <ns0:v/>
      </ns0:c>
      <ns0:c r="G976" s="0">
        <ns0:f>IF(OR(F976&lt;&gt;"OK",$B$6&gt;0),0,0.5*(IF(('_Dates'!X976)&lt;('_Dates'!W976),0,INT((('_Dates'!X976)-('_Dates'!W976)+1)/7)*LEN(SUBSTITUTE(W976,"O",""))+LEN(SUBSTITUTE(MID(W976&amp;W976,WEEKDAY(('_Dates'!W976),2),MOD((('_Dates'!X976)-('_Dates'!W976)+1),7)),"O",""))-COUNTIFS(INDEX(AllClosureRows,C976,0),"&gt;="&amp;('_Dates'!W976),INDEX(AllClosureRows,C976,0),"&lt;="&amp;('_Dates'!X976)))+IF(('_Dates'!Z976)&lt;('_Dates'!Y976),0,INT((('_Dates'!Z976)-('_Dates'!Y976)+1)/7)*LEN(SUBSTITUTE(W976,"O",""))+LEN(SUBSTITUTE(MID(W976&amp;W976,WEEKDAY(('_Dates'!Y976),2),MOD((('_Dates'!Z976)-('_Dates'!Y976)+1),7)),"O",""))-COUNTIFS(INDEX(AllClosureRows,C976,0),"&gt;="&amp;('_Dates'!Y976),INDEX(AllClosureRows,C976,0),"&lt;="&amp;('_Dates'!Z976)))))</ns0:f>
        <ns0:v>0</ns0:v>
      </ns0:c>
      <ns0:c r="H976" s="0">
        <ns0:f>IF(OR(F976&lt;&gt;"OK",$B$6&gt;0),0,0.5*(IF((MIN('_Dates'!X976,Settings!$B$9))&lt;('_Dates'!W976),0,INT(((MIN('_Dates'!X976,Settings!$B$9))-('_Dates'!W976)+1)/7)*LEN(SUBSTITUTE(W976,"O",""))+LEN(SUBSTITUTE(MID(W976&amp;W976,WEEKDAY(('_Dates'!W976),2),MOD(((MIN('_Dates'!X976,Settings!$B$9))-('_Dates'!W976)+1),7)),"O",""))-COUNTIFS(INDEX(AllClosureRows,C976,0),"&gt;="&amp;('_Dates'!W976),INDEX(AllClosureRows,C976,0),"&lt;="&amp;(MIN('_Dates'!X976,Settings!$B$9))))+IF((MIN('_Dates'!Z976,Settings!$B$9))&lt;('_Dates'!Y976),0,INT(((MIN('_Dates'!Z976,Settings!$B$9))-('_Dates'!Y976)+1)/7)*LEN(SUBSTITUTE(W976,"O",""))+LEN(SUBSTITUTE(MID(W976&amp;W976,WEEKDAY(('_Dates'!Y976),2),MOD(((MIN('_Dates'!Z976,Settings!$B$9))-('_Dates'!Y976)+1),7)),"O",""))-COUNTIFS(INDEX(AllClosureRows,C976,0),"&gt;="&amp;('_Dates'!Y976),INDEX(AllClosureRows,C976,0),"&lt;="&amp;(MIN('_Dates'!Z976,Settings!$B$9))))))</ns0:f>
        <ns0:v>0</ns0:v>
      </ns0:c>
      <ns0:c r="I976" s="0">
        <ns0:f>MAX(0,G976-H976)</ns0:f>
        <ns0:v>0</ns0:v>
      </ns0:c>
      <ns0:c r="J976" s="0">
        <ns0:f>IF(OR(A976=0,F976&lt;&gt;"OK",Bookings!G976="Cancelled",$B$6&gt;0),0,IF('_Dates'!AC976=1,MAX(0,COUNTIFS(rngEngine_B,B976,rngAMStart,"&lt;="&amp;'_Dates'!X976,rngAMEnd,"&gt;="&amp;'_Dates'!W976,rngAMActive,1,rngEngine_F,"OK",rngBookings_F,"&lt;&gt;Cancelled")-1),0)+IF('_Dates'!AD976=1,MAX(0,COUNTIFS(rngEngine_B,B976,rngPMStart,"&lt;="&amp;'_Dates'!Z976,rngPMEnd,"&gt;="&amp;'_Dates'!Y976,rngPMActive,1,rngEngine_F,"OK",rngBookings_F,"&lt;&gt;Cancelled")-1),0))</ns0:f>
        <ns0:v>0</ns0:v>
      </ns0:c>
      <ns0:c r="K976" s="0" t="str">
        <ns0:f>IF(A976=0,"",IF(F976&lt;&gt;"OK",F976,IF(J976&gt;0,"CHECK overlapping entry",IF(AND($B$6=0,G976&lt;=0,Bookings!G976&lt;&gt;"Cancelled"),"CHECK no working days",IF(Bookings!G976="Cancelled","Cancelled","OK")))))</ns0:f>
        <ns0:v/>
      </ns0:c>
      <ns0:c r="L976" s="0">
        <ns0:f>IF(LEFT(K976,5)="CHECK",1,0)</ns0:f>
        <ns0:v>0</ns0:v>
      </ns0:c>
      <ns0:c r="M976" s="0">
        <ns0:f>IF(AND(L976=1,OR(C976=0,IFERROR(INDEX($X$11:$X$60,C976),0)=0)),1,0)</ns0:f>
        <ns0:v>0</ns0:v>
      </ns0:c>
      <ns0:c r="N976" s="0">
        <ns0:f>IF(OR(A976=0,L976&gt;0,$B$6&gt;0,Bookings!G976="Cancelled"),0,G976)</ns0:f>
        <ns0:v>0</ns0:v>
      </ns0:c>
      <ns0:c r="O976" s="0">
        <ns0:f>IF(AND(Bookings!G976="Approved",E976="Yes"),N976,0)</ns0:f>
        <ns0:v>0</ns0:v>
      </ns0:c>
      <ns0:c r="P976" s="0">
        <ns0:f>IF(AND(Bookings!G976="Approved",E976="Yes",L976=0,$B$6=0),H976,0)</ns0:f>
        <ns0:v>0</ns0:v>
      </ns0:c>
      <ns0:c r="Q976" s="0">
        <ns0:f>IF(AND(Bookings!G976="Approved",E976="Yes",L976=0,$B$6=0),I976,0)</ns0:f>
        <ns0:v>0</ns0:v>
      </ns0:c>
      <ns0:c r="R976" s="0">
        <ns0:f>IF(AND(Bookings!G976="Pending",E976="Yes"),N976,0)</ns0:f>
        <ns0:v>0</ns0:v>
      </ns0:c>
      <ns0:c r="S976" s="0">
        <ns0:f>IF(AND(Bookings!G976="Approved",E976="No"),N976,0)</ns0:f>
        <ns0:v>0</ns0:v>
      </ns0:c>
      <ns0:c r="T976" s="0">
        <ns0:f>IFERROR(MATCH(D976,Settings!$G$7:$G$11,0),0)</ns0:f>
        <ns0:v>0</ns0:v>
      </ns0:c>
      <ns0:c r="U976" s="0">
        <ns0:f>IF(N976&gt;0,T976+IF(Bookings!G976="Pending",10,0),0)</ns0:f>
        <ns0:v>0</ns0:v>
      </ns0:c>
      <ns0:c r="V976" s="0">
        <ns0:f>U976</ns0:f>
        <ns0:v>0</ns0:v>
      </ns0:c>
      <ns0:c r="W976" s="0" t="str">
        <ns0:f>IF(C976=0,"",INDEX($AP$11:$AP$60,C976))</ns0:f>
        <ns0:v/>
      </ns0:c>
    </ns0:row>
    <ns0:row r="977">
      <ns0:c r="A977" s="0">
        <ns0:f>IF(COUNTA(Bookings!A977:G977,Bookings!I977)=0,0,1)</ns0:f>
        <ns0:v>0</ns0:v>
      </ns0:c>
      <ns0:c r="B977" s="0" t="str">
        <ns0:f>IFERROR(TRIM(MID(Bookings!A977,FIND(" · ",Bookings!A977)+3,99)),"")</ns0:f>
        <ns0:v/>
      </ns0:c>
      <ns0:c r="C977" s="0">
        <ns0:f>IF(OR(B977="",LEN(B977)&gt;24,ISNUMBER(FIND(" ",B977)),ISNUMBER(FIND("*",B977)),ISNUMBER(FIND("?",B977)),ISNUMBER(FIND("~",B977))),0,IFERROR(MATCH(B977,Team!$A$11:$A$60,0),0))</ns0:f>
        <ns0:v>0</ns0:v>
      </ns0:c>
      <ns0:c r="D977" s="0" t="str">
        <ns0:f>IFERROR(IF(MID(Bookings!F977,LEN(Bookings!F977)-3,3)=" · ",RIGHT(Bookings!F977,1),""),"")</ns0:f>
        <ns0:v/>
      </ns0:c>
      <ns0:c r="E977" s="0" t="str">
        <ns0:f>IFERROR(INDEX(Settings!$H$7:$H$11,MATCH(D977,Settings!$G$7:$G$11,0)),"")</ns0:f>
        <ns0:v/>
      </ns0:c>
      <ns0:c r="F977" s="0" t="str">
        <ns0:f>IF(A977=0,"",IFERROR(IF(OR(B977="",C977=0),"CHECK employee selection",IF(INDEX(Team!$O$11:$O$60,C977)&lt;&gt;"OK","CHECK employee setup",IF(OR('_Dates'!J977=0,'_Dates'!T977=0),"CHECK date: use DD.MM.YYYY",IF('_Dates'!T977&lt;'_Dates'!J977,"CHECK end before start",IF(AND($B$6=0,OR('_Dates'!J977&lt;Settings!$B$7,'_Dates'!T977&gt;Settings!$B$8)),"CHECK split across leave years",IF(OR(NOT(OR('_Dates'!U977="Full day",'_Dates'!U977="AM",'_Dates'!U977="PM")),NOT(OR('_Dates'!V977="Full day",'_Dates'!V977="AM",'_Dates'!V977="PM"))),"CHECK Full day / AM / PM",IF(AND('_Dates'!J977='_Dates'!T977,'_Dates'!U977&lt;&gt;"Full day",'_Dates'!V977&lt;&gt;"Full day",'_Dates'!U977&lt;&gt;'_Dates'!V977),"CHECK same-day portions disagree",IF(AND($B$6=0,OR(AND('_Dates'!U977&lt;&gt;"Full day",'_Dates'!AA977=0),AND('_Dates'!V977&lt;&gt;"Full day",'_Dates'!AB977=0))),"CHECK half-day on non-working date",IF(COUNTIF(Settings!$G$7:$G$11,D977)&lt;&gt;1,"CHECK leave type",IF(AND(Bookings!G977&lt;&gt;"Approved",Bookings!G977&lt;&gt;"Pending",Bookings!G977&lt;&gt;"Cancelled"),"CHECK status","OK")))))))))),"CHECK input"))</ns0:f>
        <ns0:v/>
      </ns0:c>
      <ns0:c r="G977" s="0">
        <ns0:f>IF(OR(F977&lt;&gt;"OK",$B$6&gt;0),0,0.5*(IF(('_Dates'!X977)&lt;('_Dates'!W977),0,INT((('_Dates'!X977)-('_Dates'!W977)+1)/7)*LEN(SUBSTITUTE(W977,"O",""))+LEN(SUBSTITUTE(MID(W977&amp;W977,WEEKDAY(('_Dates'!W977),2),MOD((('_Dates'!X977)-('_Dates'!W977)+1),7)),"O",""))-COUNTIFS(INDEX(AllClosureRows,C977,0),"&gt;="&amp;('_Dates'!W977),INDEX(AllClosureRows,C977,0),"&lt;="&amp;('_Dates'!X977)))+IF(('_Dates'!Z977)&lt;('_Dates'!Y977),0,INT((('_Dates'!Z977)-('_Dates'!Y977)+1)/7)*LEN(SUBSTITUTE(W977,"O",""))+LEN(SUBSTITUTE(MID(W977&amp;W977,WEEKDAY(('_Dates'!Y977),2),MOD((('_Dates'!Z977)-('_Dates'!Y977)+1),7)),"O",""))-COUNTIFS(INDEX(AllClosureRows,C977,0),"&gt;="&amp;('_Dates'!Y977),INDEX(AllClosureRows,C977,0),"&lt;="&amp;('_Dates'!Z977)))))</ns0:f>
        <ns0:v>0</ns0:v>
      </ns0:c>
      <ns0:c r="H977" s="0">
        <ns0:f>IF(OR(F977&lt;&gt;"OK",$B$6&gt;0),0,0.5*(IF((MIN('_Dates'!X977,Settings!$B$9))&lt;('_Dates'!W977),0,INT(((MIN('_Dates'!X977,Settings!$B$9))-('_Dates'!W977)+1)/7)*LEN(SUBSTITUTE(W977,"O",""))+LEN(SUBSTITUTE(MID(W977&amp;W977,WEEKDAY(('_Dates'!W977),2),MOD(((MIN('_Dates'!X977,Settings!$B$9))-('_Dates'!W977)+1),7)),"O",""))-COUNTIFS(INDEX(AllClosureRows,C977,0),"&gt;="&amp;('_Dates'!W977),INDEX(AllClosureRows,C977,0),"&lt;="&amp;(MIN('_Dates'!X977,Settings!$B$9))))+IF((MIN('_Dates'!Z977,Settings!$B$9))&lt;('_Dates'!Y977),0,INT(((MIN('_Dates'!Z977,Settings!$B$9))-('_Dates'!Y977)+1)/7)*LEN(SUBSTITUTE(W977,"O",""))+LEN(SUBSTITUTE(MID(W977&amp;W977,WEEKDAY(('_Dates'!Y977),2),MOD(((MIN('_Dates'!Z977,Settings!$B$9))-('_Dates'!Y977)+1),7)),"O",""))-COUNTIFS(INDEX(AllClosureRows,C977,0),"&gt;="&amp;('_Dates'!Y977),INDEX(AllClosureRows,C977,0),"&lt;="&amp;(MIN('_Dates'!Z977,Settings!$B$9))))))</ns0:f>
        <ns0:v>0</ns0:v>
      </ns0:c>
      <ns0:c r="I977" s="0">
        <ns0:f>MAX(0,G977-H977)</ns0:f>
        <ns0:v>0</ns0:v>
      </ns0:c>
      <ns0:c r="J977" s="0">
        <ns0:f>IF(OR(A977=0,F977&lt;&gt;"OK",Bookings!G977="Cancelled",$B$6&gt;0),0,IF('_Dates'!AC977=1,MAX(0,COUNTIFS(rngEngine_B,B977,rngAMStart,"&lt;="&amp;'_Dates'!X977,rngAMEnd,"&gt;="&amp;'_Dates'!W977,rngAMActive,1,rngEngine_F,"OK",rngBookings_F,"&lt;&gt;Cancelled")-1),0)+IF('_Dates'!AD977=1,MAX(0,COUNTIFS(rngEngine_B,B977,rngPMStart,"&lt;="&amp;'_Dates'!Z977,rngPMEnd,"&gt;="&amp;'_Dates'!Y977,rngPMActive,1,rngEngine_F,"OK",rngBookings_F,"&lt;&gt;Cancelled")-1),0))</ns0:f>
        <ns0:v>0</ns0:v>
      </ns0:c>
      <ns0:c r="K977" s="0" t="str">
        <ns0:f>IF(A977=0,"",IF(F977&lt;&gt;"OK",F977,IF(J977&gt;0,"CHECK overlapping entry",IF(AND($B$6=0,G977&lt;=0,Bookings!G977&lt;&gt;"Cancelled"),"CHECK no working days",IF(Bookings!G977="Cancelled","Cancelled","OK")))))</ns0:f>
        <ns0:v/>
      </ns0:c>
      <ns0:c r="L977" s="0">
        <ns0:f>IF(LEFT(K977,5)="CHECK",1,0)</ns0:f>
        <ns0:v>0</ns0:v>
      </ns0:c>
      <ns0:c r="M977" s="0">
        <ns0:f>IF(AND(L977=1,OR(C977=0,IFERROR(INDEX($X$11:$X$60,C977),0)=0)),1,0)</ns0:f>
        <ns0:v>0</ns0:v>
      </ns0:c>
      <ns0:c r="N977" s="0">
        <ns0:f>IF(OR(A977=0,L977&gt;0,$B$6&gt;0,Bookings!G977="Cancelled"),0,G977)</ns0:f>
        <ns0:v>0</ns0:v>
      </ns0:c>
      <ns0:c r="O977" s="0">
        <ns0:f>IF(AND(Bookings!G977="Approved",E977="Yes"),N977,0)</ns0:f>
        <ns0:v>0</ns0:v>
      </ns0:c>
      <ns0:c r="P977" s="0">
        <ns0:f>IF(AND(Bookings!G977="Approved",E977="Yes",L977=0,$B$6=0),H977,0)</ns0:f>
        <ns0:v>0</ns0:v>
      </ns0:c>
      <ns0:c r="Q977" s="0">
        <ns0:f>IF(AND(Bookings!G977="Approved",E977="Yes",L977=0,$B$6=0),I977,0)</ns0:f>
        <ns0:v>0</ns0:v>
      </ns0:c>
      <ns0:c r="R977" s="0">
        <ns0:f>IF(AND(Bookings!G977="Pending",E977="Yes"),N977,0)</ns0:f>
        <ns0:v>0</ns0:v>
      </ns0:c>
      <ns0:c r="S977" s="0">
        <ns0:f>IF(AND(Bookings!G977="Approved",E977="No"),N977,0)</ns0:f>
        <ns0:v>0</ns0:v>
      </ns0:c>
      <ns0:c r="T977" s="0">
        <ns0:f>IFERROR(MATCH(D977,Settings!$G$7:$G$11,0),0)</ns0:f>
        <ns0:v>0</ns0:v>
      </ns0:c>
      <ns0:c r="U977" s="0">
        <ns0:f>IF(N977&gt;0,T977+IF(Bookings!G977="Pending",10,0),0)</ns0:f>
        <ns0:v>0</ns0:v>
      </ns0:c>
      <ns0:c r="V977" s="0">
        <ns0:f>U977</ns0:f>
        <ns0:v>0</ns0:v>
      </ns0:c>
      <ns0:c r="W977" s="0" t="str">
        <ns0:f>IF(C977=0,"",INDEX($AP$11:$AP$60,C977))</ns0:f>
        <ns0:v/>
      </ns0:c>
    </ns0:row>
    <ns0:row r="978">
      <ns0:c r="A978" s="0">
        <ns0:f>IF(COUNTA(Bookings!A978:G978,Bookings!I978)=0,0,1)</ns0:f>
        <ns0:v>0</ns0:v>
      </ns0:c>
      <ns0:c r="B978" s="0" t="str">
        <ns0:f>IFERROR(TRIM(MID(Bookings!A978,FIND(" · ",Bookings!A978)+3,99)),"")</ns0:f>
        <ns0:v/>
      </ns0:c>
      <ns0:c r="C978" s="0">
        <ns0:f>IF(OR(B978="",LEN(B978)&gt;24,ISNUMBER(FIND(" ",B978)),ISNUMBER(FIND("*",B978)),ISNUMBER(FIND("?",B978)),ISNUMBER(FIND("~",B978))),0,IFERROR(MATCH(B978,Team!$A$11:$A$60,0),0))</ns0:f>
        <ns0:v>0</ns0:v>
      </ns0:c>
      <ns0:c r="D978" s="0" t="str">
        <ns0:f>IFERROR(IF(MID(Bookings!F978,LEN(Bookings!F978)-3,3)=" · ",RIGHT(Bookings!F978,1),""),"")</ns0:f>
        <ns0:v/>
      </ns0:c>
      <ns0:c r="E978" s="0" t="str">
        <ns0:f>IFERROR(INDEX(Settings!$H$7:$H$11,MATCH(D978,Settings!$G$7:$G$11,0)),"")</ns0:f>
        <ns0:v/>
      </ns0:c>
      <ns0:c r="F978" s="0" t="str">
        <ns0:f>IF(A978=0,"",IFERROR(IF(OR(B978="",C978=0),"CHECK employee selection",IF(INDEX(Team!$O$11:$O$60,C978)&lt;&gt;"OK","CHECK employee setup",IF(OR('_Dates'!J978=0,'_Dates'!T978=0),"CHECK date: use DD.MM.YYYY",IF('_Dates'!T978&lt;'_Dates'!J978,"CHECK end before start",IF(AND($B$6=0,OR('_Dates'!J978&lt;Settings!$B$7,'_Dates'!T978&gt;Settings!$B$8)),"CHECK split across leave years",IF(OR(NOT(OR('_Dates'!U978="Full day",'_Dates'!U978="AM",'_Dates'!U978="PM")),NOT(OR('_Dates'!V978="Full day",'_Dates'!V978="AM",'_Dates'!V978="PM"))),"CHECK Full day / AM / PM",IF(AND('_Dates'!J978='_Dates'!T978,'_Dates'!U978&lt;&gt;"Full day",'_Dates'!V978&lt;&gt;"Full day",'_Dates'!U978&lt;&gt;'_Dates'!V978),"CHECK same-day portions disagree",IF(AND($B$6=0,OR(AND('_Dates'!U978&lt;&gt;"Full day",'_Dates'!AA978=0),AND('_Dates'!V978&lt;&gt;"Full day",'_Dates'!AB978=0))),"CHECK half-day on non-working date",IF(COUNTIF(Settings!$G$7:$G$11,D978)&lt;&gt;1,"CHECK leave type",IF(AND(Bookings!G978&lt;&gt;"Approved",Bookings!G978&lt;&gt;"Pending",Bookings!G978&lt;&gt;"Cancelled"),"CHECK status","OK")))))))))),"CHECK input"))</ns0:f>
        <ns0:v/>
      </ns0:c>
      <ns0:c r="G978" s="0">
        <ns0:f>IF(OR(F978&lt;&gt;"OK",$B$6&gt;0),0,0.5*(IF(('_Dates'!X978)&lt;('_Dates'!W978),0,INT((('_Dates'!X978)-('_Dates'!W978)+1)/7)*LEN(SUBSTITUTE(W978,"O",""))+LEN(SUBSTITUTE(MID(W978&amp;W978,WEEKDAY(('_Dates'!W978),2),MOD((('_Dates'!X978)-('_Dates'!W978)+1),7)),"O",""))-COUNTIFS(INDEX(AllClosureRows,C978,0),"&gt;="&amp;('_Dates'!W978),INDEX(AllClosureRows,C978,0),"&lt;="&amp;('_Dates'!X978)))+IF(('_Dates'!Z978)&lt;('_Dates'!Y978),0,INT((('_Dates'!Z978)-('_Dates'!Y978)+1)/7)*LEN(SUBSTITUTE(W978,"O",""))+LEN(SUBSTITUTE(MID(W978&amp;W978,WEEKDAY(('_Dates'!Y978),2),MOD((('_Dates'!Z978)-('_Dates'!Y978)+1),7)),"O",""))-COUNTIFS(INDEX(AllClosureRows,C978,0),"&gt;="&amp;('_Dates'!Y978),INDEX(AllClosureRows,C978,0),"&lt;="&amp;('_Dates'!Z978)))))</ns0:f>
        <ns0:v>0</ns0:v>
      </ns0:c>
      <ns0:c r="H978" s="0">
        <ns0:f>IF(OR(F978&lt;&gt;"OK",$B$6&gt;0),0,0.5*(IF((MIN('_Dates'!X978,Settings!$B$9))&lt;('_Dates'!W978),0,INT(((MIN('_Dates'!X978,Settings!$B$9))-('_Dates'!W978)+1)/7)*LEN(SUBSTITUTE(W978,"O",""))+LEN(SUBSTITUTE(MID(W978&amp;W978,WEEKDAY(('_Dates'!W978),2),MOD(((MIN('_Dates'!X978,Settings!$B$9))-('_Dates'!W978)+1),7)),"O",""))-COUNTIFS(INDEX(AllClosureRows,C978,0),"&gt;="&amp;('_Dates'!W978),INDEX(AllClosureRows,C978,0),"&lt;="&amp;(MIN('_Dates'!X978,Settings!$B$9))))+IF((MIN('_Dates'!Z978,Settings!$B$9))&lt;('_Dates'!Y978),0,INT(((MIN('_Dates'!Z978,Settings!$B$9))-('_Dates'!Y978)+1)/7)*LEN(SUBSTITUTE(W978,"O",""))+LEN(SUBSTITUTE(MID(W978&amp;W978,WEEKDAY(('_Dates'!Y978),2),MOD(((MIN('_Dates'!Z978,Settings!$B$9))-('_Dates'!Y978)+1),7)),"O",""))-COUNTIFS(INDEX(AllClosureRows,C978,0),"&gt;="&amp;('_Dates'!Y978),INDEX(AllClosureRows,C978,0),"&lt;="&amp;(MIN('_Dates'!Z978,Settings!$B$9))))))</ns0:f>
        <ns0:v>0</ns0:v>
      </ns0:c>
      <ns0:c r="I978" s="0">
        <ns0:f>MAX(0,G978-H978)</ns0:f>
        <ns0:v>0</ns0:v>
      </ns0:c>
      <ns0:c r="J978" s="0">
        <ns0:f>IF(OR(A978=0,F978&lt;&gt;"OK",Bookings!G978="Cancelled",$B$6&gt;0),0,IF('_Dates'!AC978=1,MAX(0,COUNTIFS(rngEngine_B,B978,rngAMStart,"&lt;="&amp;'_Dates'!X978,rngAMEnd,"&gt;="&amp;'_Dates'!W978,rngAMActive,1,rngEngine_F,"OK",rngBookings_F,"&lt;&gt;Cancelled")-1),0)+IF('_Dates'!AD978=1,MAX(0,COUNTIFS(rngEngine_B,B978,rngPMStart,"&lt;="&amp;'_Dates'!Z978,rngPMEnd,"&gt;="&amp;'_Dates'!Y978,rngPMActive,1,rngEngine_F,"OK",rngBookings_F,"&lt;&gt;Cancelled")-1),0))</ns0:f>
        <ns0:v>0</ns0:v>
      </ns0:c>
      <ns0:c r="K978" s="0" t="str">
        <ns0:f>IF(A978=0,"",IF(F978&lt;&gt;"OK",F978,IF(J978&gt;0,"CHECK overlapping entry",IF(AND($B$6=0,G978&lt;=0,Bookings!G978&lt;&gt;"Cancelled"),"CHECK no working days",IF(Bookings!G978="Cancelled","Cancelled","OK")))))</ns0:f>
        <ns0:v/>
      </ns0:c>
      <ns0:c r="L978" s="0">
        <ns0:f>IF(LEFT(K978,5)="CHECK",1,0)</ns0:f>
        <ns0:v>0</ns0:v>
      </ns0:c>
      <ns0:c r="M978" s="0">
        <ns0:f>IF(AND(L978=1,OR(C978=0,IFERROR(INDEX($X$11:$X$60,C978),0)=0)),1,0)</ns0:f>
        <ns0:v>0</ns0:v>
      </ns0:c>
      <ns0:c r="N978" s="0">
        <ns0:f>IF(OR(A978=0,L978&gt;0,$B$6&gt;0,Bookings!G978="Cancelled"),0,G978)</ns0:f>
        <ns0:v>0</ns0:v>
      </ns0:c>
      <ns0:c r="O978" s="0">
        <ns0:f>IF(AND(Bookings!G978="Approved",E978="Yes"),N978,0)</ns0:f>
        <ns0:v>0</ns0:v>
      </ns0:c>
      <ns0:c r="P978" s="0">
        <ns0:f>IF(AND(Bookings!G978="Approved",E978="Yes",L978=0,$B$6=0),H978,0)</ns0:f>
        <ns0:v>0</ns0:v>
      </ns0:c>
      <ns0:c r="Q978" s="0">
        <ns0:f>IF(AND(Bookings!G978="Approved",E978="Yes",L978=0,$B$6=0),I978,0)</ns0:f>
        <ns0:v>0</ns0:v>
      </ns0:c>
      <ns0:c r="R978" s="0">
        <ns0:f>IF(AND(Bookings!G978="Pending",E978="Yes"),N978,0)</ns0:f>
        <ns0:v>0</ns0:v>
      </ns0:c>
      <ns0:c r="S978" s="0">
        <ns0:f>IF(AND(Bookings!G978="Approved",E978="No"),N978,0)</ns0:f>
        <ns0:v>0</ns0:v>
      </ns0:c>
      <ns0:c r="T978" s="0">
        <ns0:f>IFERROR(MATCH(D978,Settings!$G$7:$G$11,0),0)</ns0:f>
        <ns0:v>0</ns0:v>
      </ns0:c>
      <ns0:c r="U978" s="0">
        <ns0:f>IF(N978&gt;0,T978+IF(Bookings!G978="Pending",10,0),0)</ns0:f>
        <ns0:v>0</ns0:v>
      </ns0:c>
      <ns0:c r="V978" s="0">
        <ns0:f>U978</ns0:f>
        <ns0:v>0</ns0:v>
      </ns0:c>
      <ns0:c r="W978" s="0" t="str">
        <ns0:f>IF(C978=0,"",INDEX($AP$11:$AP$60,C978))</ns0:f>
        <ns0:v/>
      </ns0:c>
    </ns0:row>
    <ns0:row r="979">
      <ns0:c r="A979" s="0">
        <ns0:f>IF(COUNTA(Bookings!A979:G979,Bookings!I979)=0,0,1)</ns0:f>
        <ns0:v>0</ns0:v>
      </ns0:c>
      <ns0:c r="B979" s="0" t="str">
        <ns0:f>IFERROR(TRIM(MID(Bookings!A979,FIND(" · ",Bookings!A979)+3,99)),"")</ns0:f>
        <ns0:v/>
      </ns0:c>
      <ns0:c r="C979" s="0">
        <ns0:f>IF(OR(B979="",LEN(B979)&gt;24,ISNUMBER(FIND(" ",B979)),ISNUMBER(FIND("*",B979)),ISNUMBER(FIND("?",B979)),ISNUMBER(FIND("~",B979))),0,IFERROR(MATCH(B979,Team!$A$11:$A$60,0),0))</ns0:f>
        <ns0:v>0</ns0:v>
      </ns0:c>
      <ns0:c r="D979" s="0" t="str">
        <ns0:f>IFERROR(IF(MID(Bookings!F979,LEN(Bookings!F979)-3,3)=" · ",RIGHT(Bookings!F979,1),""),"")</ns0:f>
        <ns0:v/>
      </ns0:c>
      <ns0:c r="E979" s="0" t="str">
        <ns0:f>IFERROR(INDEX(Settings!$H$7:$H$11,MATCH(D979,Settings!$G$7:$G$11,0)),"")</ns0:f>
        <ns0:v/>
      </ns0:c>
      <ns0:c r="F979" s="0" t="str">
        <ns0:f>IF(A979=0,"",IFERROR(IF(OR(B979="",C979=0),"CHECK employee selection",IF(INDEX(Team!$O$11:$O$60,C979)&lt;&gt;"OK","CHECK employee setup",IF(OR('_Dates'!J979=0,'_Dates'!T979=0),"CHECK date: use DD.MM.YYYY",IF('_Dates'!T979&lt;'_Dates'!J979,"CHECK end before start",IF(AND($B$6=0,OR('_Dates'!J979&lt;Settings!$B$7,'_Dates'!T979&gt;Settings!$B$8)),"CHECK split across leave years",IF(OR(NOT(OR('_Dates'!U979="Full day",'_Dates'!U979="AM",'_Dates'!U979="PM")),NOT(OR('_Dates'!V979="Full day",'_Dates'!V979="AM",'_Dates'!V979="PM"))),"CHECK Full day / AM / PM",IF(AND('_Dates'!J979='_Dates'!T979,'_Dates'!U979&lt;&gt;"Full day",'_Dates'!V979&lt;&gt;"Full day",'_Dates'!U979&lt;&gt;'_Dates'!V979),"CHECK same-day portions disagree",IF(AND($B$6=0,OR(AND('_Dates'!U979&lt;&gt;"Full day",'_Dates'!AA979=0),AND('_Dates'!V979&lt;&gt;"Full day",'_Dates'!AB979=0))),"CHECK half-day on non-working date",IF(COUNTIF(Settings!$G$7:$G$11,D979)&lt;&gt;1,"CHECK leave type",IF(AND(Bookings!G979&lt;&gt;"Approved",Bookings!G979&lt;&gt;"Pending",Bookings!G979&lt;&gt;"Cancelled"),"CHECK status","OK")))))))))),"CHECK input"))</ns0:f>
        <ns0:v/>
      </ns0:c>
      <ns0:c r="G979" s="0">
        <ns0:f>IF(OR(F979&lt;&gt;"OK",$B$6&gt;0),0,0.5*(IF(('_Dates'!X979)&lt;('_Dates'!W979),0,INT((('_Dates'!X979)-('_Dates'!W979)+1)/7)*LEN(SUBSTITUTE(W979,"O",""))+LEN(SUBSTITUTE(MID(W979&amp;W979,WEEKDAY(('_Dates'!W979),2),MOD((('_Dates'!X979)-('_Dates'!W979)+1),7)),"O",""))-COUNTIFS(INDEX(AllClosureRows,C979,0),"&gt;="&amp;('_Dates'!W979),INDEX(AllClosureRows,C979,0),"&lt;="&amp;('_Dates'!X979)))+IF(('_Dates'!Z979)&lt;('_Dates'!Y979),0,INT((('_Dates'!Z979)-('_Dates'!Y979)+1)/7)*LEN(SUBSTITUTE(W979,"O",""))+LEN(SUBSTITUTE(MID(W979&amp;W979,WEEKDAY(('_Dates'!Y979),2),MOD((('_Dates'!Z979)-('_Dates'!Y979)+1),7)),"O",""))-COUNTIFS(INDEX(AllClosureRows,C979,0),"&gt;="&amp;('_Dates'!Y979),INDEX(AllClosureRows,C979,0),"&lt;="&amp;('_Dates'!Z979)))))</ns0:f>
        <ns0:v>0</ns0:v>
      </ns0:c>
      <ns0:c r="H979" s="0">
        <ns0:f>IF(OR(F979&lt;&gt;"OK",$B$6&gt;0),0,0.5*(IF((MIN('_Dates'!X979,Settings!$B$9))&lt;('_Dates'!W979),0,INT(((MIN('_Dates'!X979,Settings!$B$9))-('_Dates'!W979)+1)/7)*LEN(SUBSTITUTE(W979,"O",""))+LEN(SUBSTITUTE(MID(W979&amp;W979,WEEKDAY(('_Dates'!W979),2),MOD(((MIN('_Dates'!X979,Settings!$B$9))-('_Dates'!W979)+1),7)),"O",""))-COUNTIFS(INDEX(AllClosureRows,C979,0),"&gt;="&amp;('_Dates'!W979),INDEX(AllClosureRows,C979,0),"&lt;="&amp;(MIN('_Dates'!X979,Settings!$B$9))))+IF((MIN('_Dates'!Z979,Settings!$B$9))&lt;('_Dates'!Y979),0,INT(((MIN('_Dates'!Z979,Settings!$B$9))-('_Dates'!Y979)+1)/7)*LEN(SUBSTITUTE(W979,"O",""))+LEN(SUBSTITUTE(MID(W979&amp;W979,WEEKDAY(('_Dates'!Y979),2),MOD(((MIN('_Dates'!Z979,Settings!$B$9))-('_Dates'!Y979)+1),7)),"O",""))-COUNTIFS(INDEX(AllClosureRows,C979,0),"&gt;="&amp;('_Dates'!Y979),INDEX(AllClosureRows,C979,0),"&lt;="&amp;(MIN('_Dates'!Z979,Settings!$B$9))))))</ns0:f>
        <ns0:v>0</ns0:v>
      </ns0:c>
      <ns0:c r="I979" s="0">
        <ns0:f>MAX(0,G979-H979)</ns0:f>
        <ns0:v>0</ns0:v>
      </ns0:c>
      <ns0:c r="J979" s="0">
        <ns0:f>IF(OR(A979=0,F979&lt;&gt;"OK",Bookings!G979="Cancelled",$B$6&gt;0),0,IF('_Dates'!AC979=1,MAX(0,COUNTIFS(rngEngine_B,B979,rngAMStart,"&lt;="&amp;'_Dates'!X979,rngAMEnd,"&gt;="&amp;'_Dates'!W979,rngAMActive,1,rngEngine_F,"OK",rngBookings_F,"&lt;&gt;Cancelled")-1),0)+IF('_Dates'!AD979=1,MAX(0,COUNTIFS(rngEngine_B,B979,rngPMStart,"&lt;="&amp;'_Dates'!Z979,rngPMEnd,"&gt;="&amp;'_Dates'!Y979,rngPMActive,1,rngEngine_F,"OK",rngBookings_F,"&lt;&gt;Cancelled")-1),0))</ns0:f>
        <ns0:v>0</ns0:v>
      </ns0:c>
      <ns0:c r="K979" s="0" t="str">
        <ns0:f>IF(A979=0,"",IF(F979&lt;&gt;"OK",F979,IF(J979&gt;0,"CHECK overlapping entry",IF(AND($B$6=0,G979&lt;=0,Bookings!G979&lt;&gt;"Cancelled"),"CHECK no working days",IF(Bookings!G979="Cancelled","Cancelled","OK")))))</ns0:f>
        <ns0:v/>
      </ns0:c>
      <ns0:c r="L979" s="0">
        <ns0:f>IF(LEFT(K979,5)="CHECK",1,0)</ns0:f>
        <ns0:v>0</ns0:v>
      </ns0:c>
      <ns0:c r="M979" s="0">
        <ns0:f>IF(AND(L979=1,OR(C979=0,IFERROR(INDEX($X$11:$X$60,C979),0)=0)),1,0)</ns0:f>
        <ns0:v>0</ns0:v>
      </ns0:c>
      <ns0:c r="N979" s="0">
        <ns0:f>IF(OR(A979=0,L979&gt;0,$B$6&gt;0,Bookings!G979="Cancelled"),0,G979)</ns0:f>
        <ns0:v>0</ns0:v>
      </ns0:c>
      <ns0:c r="O979" s="0">
        <ns0:f>IF(AND(Bookings!G979="Approved",E979="Yes"),N979,0)</ns0:f>
        <ns0:v>0</ns0:v>
      </ns0:c>
      <ns0:c r="P979" s="0">
        <ns0:f>IF(AND(Bookings!G979="Approved",E979="Yes",L979=0,$B$6=0),H979,0)</ns0:f>
        <ns0:v>0</ns0:v>
      </ns0:c>
      <ns0:c r="Q979" s="0">
        <ns0:f>IF(AND(Bookings!G979="Approved",E979="Yes",L979=0,$B$6=0),I979,0)</ns0:f>
        <ns0:v>0</ns0:v>
      </ns0:c>
      <ns0:c r="R979" s="0">
        <ns0:f>IF(AND(Bookings!G979="Pending",E979="Yes"),N979,0)</ns0:f>
        <ns0:v>0</ns0:v>
      </ns0:c>
      <ns0:c r="S979" s="0">
        <ns0:f>IF(AND(Bookings!G979="Approved",E979="No"),N979,0)</ns0:f>
        <ns0:v>0</ns0:v>
      </ns0:c>
      <ns0:c r="T979" s="0">
        <ns0:f>IFERROR(MATCH(D979,Settings!$G$7:$G$11,0),0)</ns0:f>
        <ns0:v>0</ns0:v>
      </ns0:c>
      <ns0:c r="U979" s="0">
        <ns0:f>IF(N979&gt;0,T979+IF(Bookings!G979="Pending",10,0),0)</ns0:f>
        <ns0:v>0</ns0:v>
      </ns0:c>
      <ns0:c r="V979" s="0">
        <ns0:f>U979</ns0:f>
        <ns0:v>0</ns0:v>
      </ns0:c>
      <ns0:c r="W979" s="0" t="str">
        <ns0:f>IF(C979=0,"",INDEX($AP$11:$AP$60,C979))</ns0:f>
        <ns0:v/>
      </ns0:c>
    </ns0:row>
    <ns0:row r="980">
      <ns0:c r="A980" s="0">
        <ns0:f>IF(COUNTA(Bookings!A980:G980,Bookings!I980)=0,0,1)</ns0:f>
        <ns0:v>0</ns0:v>
      </ns0:c>
      <ns0:c r="B980" s="0" t="str">
        <ns0:f>IFERROR(TRIM(MID(Bookings!A980,FIND(" · ",Bookings!A980)+3,99)),"")</ns0:f>
        <ns0:v/>
      </ns0:c>
      <ns0:c r="C980" s="0">
        <ns0:f>IF(OR(B980="",LEN(B980)&gt;24,ISNUMBER(FIND(" ",B980)),ISNUMBER(FIND("*",B980)),ISNUMBER(FIND("?",B980)),ISNUMBER(FIND("~",B980))),0,IFERROR(MATCH(B980,Team!$A$11:$A$60,0),0))</ns0:f>
        <ns0:v>0</ns0:v>
      </ns0:c>
      <ns0:c r="D980" s="0" t="str">
        <ns0:f>IFERROR(IF(MID(Bookings!F980,LEN(Bookings!F980)-3,3)=" · ",RIGHT(Bookings!F980,1),""),"")</ns0:f>
        <ns0:v/>
      </ns0:c>
      <ns0:c r="E980" s="0" t="str">
        <ns0:f>IFERROR(INDEX(Settings!$H$7:$H$11,MATCH(D980,Settings!$G$7:$G$11,0)),"")</ns0:f>
        <ns0:v/>
      </ns0:c>
      <ns0:c r="F980" s="0" t="str">
        <ns0:f>IF(A980=0,"",IFERROR(IF(OR(B980="",C980=0),"CHECK employee selection",IF(INDEX(Team!$O$11:$O$60,C980)&lt;&gt;"OK","CHECK employee setup",IF(OR('_Dates'!J980=0,'_Dates'!T980=0),"CHECK date: use DD.MM.YYYY",IF('_Dates'!T980&lt;'_Dates'!J980,"CHECK end before start",IF(AND($B$6=0,OR('_Dates'!J980&lt;Settings!$B$7,'_Dates'!T980&gt;Settings!$B$8)),"CHECK split across leave years",IF(OR(NOT(OR('_Dates'!U980="Full day",'_Dates'!U980="AM",'_Dates'!U980="PM")),NOT(OR('_Dates'!V980="Full day",'_Dates'!V980="AM",'_Dates'!V980="PM"))),"CHECK Full day / AM / PM",IF(AND('_Dates'!J980='_Dates'!T980,'_Dates'!U980&lt;&gt;"Full day",'_Dates'!V980&lt;&gt;"Full day",'_Dates'!U980&lt;&gt;'_Dates'!V980),"CHECK same-day portions disagree",IF(AND($B$6=0,OR(AND('_Dates'!U980&lt;&gt;"Full day",'_Dates'!AA980=0),AND('_Dates'!V980&lt;&gt;"Full day",'_Dates'!AB980=0))),"CHECK half-day on non-working date",IF(COUNTIF(Settings!$G$7:$G$11,D980)&lt;&gt;1,"CHECK leave type",IF(AND(Bookings!G980&lt;&gt;"Approved",Bookings!G980&lt;&gt;"Pending",Bookings!G980&lt;&gt;"Cancelled"),"CHECK status","OK")))))))))),"CHECK input"))</ns0:f>
        <ns0:v/>
      </ns0:c>
      <ns0:c r="G980" s="0">
        <ns0:f>IF(OR(F980&lt;&gt;"OK",$B$6&gt;0),0,0.5*(IF(('_Dates'!X980)&lt;('_Dates'!W980),0,INT((('_Dates'!X980)-('_Dates'!W980)+1)/7)*LEN(SUBSTITUTE(W980,"O",""))+LEN(SUBSTITUTE(MID(W980&amp;W980,WEEKDAY(('_Dates'!W980),2),MOD((('_Dates'!X980)-('_Dates'!W980)+1),7)),"O",""))-COUNTIFS(INDEX(AllClosureRows,C980,0),"&gt;="&amp;('_Dates'!W980),INDEX(AllClosureRows,C980,0),"&lt;="&amp;('_Dates'!X980)))+IF(('_Dates'!Z980)&lt;('_Dates'!Y980),0,INT((('_Dates'!Z980)-('_Dates'!Y980)+1)/7)*LEN(SUBSTITUTE(W980,"O",""))+LEN(SUBSTITUTE(MID(W980&amp;W980,WEEKDAY(('_Dates'!Y980),2),MOD((('_Dates'!Z980)-('_Dates'!Y980)+1),7)),"O",""))-COUNTIFS(INDEX(AllClosureRows,C980,0),"&gt;="&amp;('_Dates'!Y980),INDEX(AllClosureRows,C980,0),"&lt;="&amp;('_Dates'!Z980)))))</ns0:f>
        <ns0:v>0</ns0:v>
      </ns0:c>
      <ns0:c r="H980" s="0">
        <ns0:f>IF(OR(F980&lt;&gt;"OK",$B$6&gt;0),0,0.5*(IF((MIN('_Dates'!X980,Settings!$B$9))&lt;('_Dates'!W980),0,INT(((MIN('_Dates'!X980,Settings!$B$9))-('_Dates'!W980)+1)/7)*LEN(SUBSTITUTE(W980,"O",""))+LEN(SUBSTITUTE(MID(W980&amp;W980,WEEKDAY(('_Dates'!W980),2),MOD(((MIN('_Dates'!X980,Settings!$B$9))-('_Dates'!W980)+1),7)),"O",""))-COUNTIFS(INDEX(AllClosureRows,C980,0),"&gt;="&amp;('_Dates'!W980),INDEX(AllClosureRows,C980,0),"&lt;="&amp;(MIN('_Dates'!X980,Settings!$B$9))))+IF((MIN('_Dates'!Z980,Settings!$B$9))&lt;('_Dates'!Y980),0,INT(((MIN('_Dates'!Z980,Settings!$B$9))-('_Dates'!Y980)+1)/7)*LEN(SUBSTITUTE(W980,"O",""))+LEN(SUBSTITUTE(MID(W980&amp;W980,WEEKDAY(('_Dates'!Y980),2),MOD(((MIN('_Dates'!Z980,Settings!$B$9))-('_Dates'!Y980)+1),7)),"O",""))-COUNTIFS(INDEX(AllClosureRows,C980,0),"&gt;="&amp;('_Dates'!Y980),INDEX(AllClosureRows,C980,0),"&lt;="&amp;(MIN('_Dates'!Z980,Settings!$B$9))))))</ns0:f>
        <ns0:v>0</ns0:v>
      </ns0:c>
      <ns0:c r="I980" s="0">
        <ns0:f>MAX(0,G980-H980)</ns0:f>
        <ns0:v>0</ns0:v>
      </ns0:c>
      <ns0:c r="J980" s="0">
        <ns0:f>IF(OR(A980=0,F980&lt;&gt;"OK",Bookings!G980="Cancelled",$B$6&gt;0),0,IF('_Dates'!AC980=1,MAX(0,COUNTIFS(rngEngine_B,B980,rngAMStart,"&lt;="&amp;'_Dates'!X980,rngAMEnd,"&gt;="&amp;'_Dates'!W980,rngAMActive,1,rngEngine_F,"OK",rngBookings_F,"&lt;&gt;Cancelled")-1),0)+IF('_Dates'!AD980=1,MAX(0,COUNTIFS(rngEngine_B,B980,rngPMStart,"&lt;="&amp;'_Dates'!Z980,rngPMEnd,"&gt;="&amp;'_Dates'!Y980,rngPMActive,1,rngEngine_F,"OK",rngBookings_F,"&lt;&gt;Cancelled")-1),0))</ns0:f>
        <ns0:v>0</ns0:v>
      </ns0:c>
      <ns0:c r="K980" s="0" t="str">
        <ns0:f>IF(A980=0,"",IF(F980&lt;&gt;"OK",F980,IF(J980&gt;0,"CHECK overlapping entry",IF(AND($B$6=0,G980&lt;=0,Bookings!G980&lt;&gt;"Cancelled"),"CHECK no working days",IF(Bookings!G980="Cancelled","Cancelled","OK")))))</ns0:f>
        <ns0:v/>
      </ns0:c>
      <ns0:c r="L980" s="0">
        <ns0:f>IF(LEFT(K980,5)="CHECK",1,0)</ns0:f>
        <ns0:v>0</ns0:v>
      </ns0:c>
      <ns0:c r="M980" s="0">
        <ns0:f>IF(AND(L980=1,OR(C980=0,IFERROR(INDEX($X$11:$X$60,C980),0)=0)),1,0)</ns0:f>
        <ns0:v>0</ns0:v>
      </ns0:c>
      <ns0:c r="N980" s="0">
        <ns0:f>IF(OR(A980=0,L980&gt;0,$B$6&gt;0,Bookings!G980="Cancelled"),0,G980)</ns0:f>
        <ns0:v>0</ns0:v>
      </ns0:c>
      <ns0:c r="O980" s="0">
        <ns0:f>IF(AND(Bookings!G980="Approved",E980="Yes"),N980,0)</ns0:f>
        <ns0:v>0</ns0:v>
      </ns0:c>
      <ns0:c r="P980" s="0">
        <ns0:f>IF(AND(Bookings!G980="Approved",E980="Yes",L980=0,$B$6=0),H980,0)</ns0:f>
        <ns0:v>0</ns0:v>
      </ns0:c>
      <ns0:c r="Q980" s="0">
        <ns0:f>IF(AND(Bookings!G980="Approved",E980="Yes",L980=0,$B$6=0),I980,0)</ns0:f>
        <ns0:v>0</ns0:v>
      </ns0:c>
      <ns0:c r="R980" s="0">
        <ns0:f>IF(AND(Bookings!G980="Pending",E980="Yes"),N980,0)</ns0:f>
        <ns0:v>0</ns0:v>
      </ns0:c>
      <ns0:c r="S980" s="0">
        <ns0:f>IF(AND(Bookings!G980="Approved",E980="No"),N980,0)</ns0:f>
        <ns0:v>0</ns0:v>
      </ns0:c>
      <ns0:c r="T980" s="0">
        <ns0:f>IFERROR(MATCH(D980,Settings!$G$7:$G$11,0),0)</ns0:f>
        <ns0:v>0</ns0:v>
      </ns0:c>
      <ns0:c r="U980" s="0">
        <ns0:f>IF(N980&gt;0,T980+IF(Bookings!G980="Pending",10,0),0)</ns0:f>
        <ns0:v>0</ns0:v>
      </ns0:c>
      <ns0:c r="V980" s="0">
        <ns0:f>U980</ns0:f>
        <ns0:v>0</ns0:v>
      </ns0:c>
      <ns0:c r="W980" s="0" t="str">
        <ns0:f>IF(C980=0,"",INDEX($AP$11:$AP$60,C980))</ns0:f>
        <ns0:v/>
      </ns0:c>
    </ns0:row>
    <ns0:row r="981">
      <ns0:c r="A981" s="0">
        <ns0:f>IF(COUNTA(Bookings!A981:G981,Bookings!I981)=0,0,1)</ns0:f>
        <ns0:v>0</ns0:v>
      </ns0:c>
      <ns0:c r="B981" s="0" t="str">
        <ns0:f>IFERROR(TRIM(MID(Bookings!A981,FIND(" · ",Bookings!A981)+3,99)),"")</ns0:f>
        <ns0:v/>
      </ns0:c>
      <ns0:c r="C981" s="0">
        <ns0:f>IF(OR(B981="",LEN(B981)&gt;24,ISNUMBER(FIND(" ",B981)),ISNUMBER(FIND("*",B981)),ISNUMBER(FIND("?",B981)),ISNUMBER(FIND("~",B981))),0,IFERROR(MATCH(B981,Team!$A$11:$A$60,0),0))</ns0:f>
        <ns0:v>0</ns0:v>
      </ns0:c>
      <ns0:c r="D981" s="0" t="str">
        <ns0:f>IFERROR(IF(MID(Bookings!F981,LEN(Bookings!F981)-3,3)=" · ",RIGHT(Bookings!F981,1),""),"")</ns0:f>
        <ns0:v/>
      </ns0:c>
      <ns0:c r="E981" s="0" t="str">
        <ns0:f>IFERROR(INDEX(Settings!$H$7:$H$11,MATCH(D981,Settings!$G$7:$G$11,0)),"")</ns0:f>
        <ns0:v/>
      </ns0:c>
      <ns0:c r="F981" s="0" t="str">
        <ns0:f>IF(A981=0,"",IFERROR(IF(OR(B981="",C981=0),"CHECK employee selection",IF(INDEX(Team!$O$11:$O$60,C981)&lt;&gt;"OK","CHECK employee setup",IF(OR('_Dates'!J981=0,'_Dates'!T981=0),"CHECK date: use DD.MM.YYYY",IF('_Dates'!T981&lt;'_Dates'!J981,"CHECK end before start",IF(AND($B$6=0,OR('_Dates'!J981&lt;Settings!$B$7,'_Dates'!T981&gt;Settings!$B$8)),"CHECK split across leave years",IF(OR(NOT(OR('_Dates'!U981="Full day",'_Dates'!U981="AM",'_Dates'!U981="PM")),NOT(OR('_Dates'!V981="Full day",'_Dates'!V981="AM",'_Dates'!V981="PM"))),"CHECK Full day / AM / PM",IF(AND('_Dates'!J981='_Dates'!T981,'_Dates'!U981&lt;&gt;"Full day",'_Dates'!V981&lt;&gt;"Full day",'_Dates'!U981&lt;&gt;'_Dates'!V981),"CHECK same-day portions disagree",IF(AND($B$6=0,OR(AND('_Dates'!U981&lt;&gt;"Full day",'_Dates'!AA981=0),AND('_Dates'!V981&lt;&gt;"Full day",'_Dates'!AB981=0))),"CHECK half-day on non-working date",IF(COUNTIF(Settings!$G$7:$G$11,D981)&lt;&gt;1,"CHECK leave type",IF(AND(Bookings!G981&lt;&gt;"Approved",Bookings!G981&lt;&gt;"Pending",Bookings!G981&lt;&gt;"Cancelled"),"CHECK status","OK")))))))))),"CHECK input"))</ns0:f>
        <ns0:v/>
      </ns0:c>
      <ns0:c r="G981" s="0">
        <ns0:f>IF(OR(F981&lt;&gt;"OK",$B$6&gt;0),0,0.5*(IF(('_Dates'!X981)&lt;('_Dates'!W981),0,INT((('_Dates'!X981)-('_Dates'!W981)+1)/7)*LEN(SUBSTITUTE(W981,"O",""))+LEN(SUBSTITUTE(MID(W981&amp;W981,WEEKDAY(('_Dates'!W981),2),MOD((('_Dates'!X981)-('_Dates'!W981)+1),7)),"O",""))-COUNTIFS(INDEX(AllClosureRows,C981,0),"&gt;="&amp;('_Dates'!W981),INDEX(AllClosureRows,C981,0),"&lt;="&amp;('_Dates'!X981)))+IF(('_Dates'!Z981)&lt;('_Dates'!Y981),0,INT((('_Dates'!Z981)-('_Dates'!Y981)+1)/7)*LEN(SUBSTITUTE(W981,"O",""))+LEN(SUBSTITUTE(MID(W981&amp;W981,WEEKDAY(('_Dates'!Y981),2),MOD((('_Dates'!Z981)-('_Dates'!Y981)+1),7)),"O",""))-COUNTIFS(INDEX(AllClosureRows,C981,0),"&gt;="&amp;('_Dates'!Y981),INDEX(AllClosureRows,C981,0),"&lt;="&amp;('_Dates'!Z981)))))</ns0:f>
        <ns0:v>0</ns0:v>
      </ns0:c>
      <ns0:c r="H981" s="0">
        <ns0:f>IF(OR(F981&lt;&gt;"OK",$B$6&gt;0),0,0.5*(IF((MIN('_Dates'!X981,Settings!$B$9))&lt;('_Dates'!W981),0,INT(((MIN('_Dates'!X981,Settings!$B$9))-('_Dates'!W981)+1)/7)*LEN(SUBSTITUTE(W981,"O",""))+LEN(SUBSTITUTE(MID(W981&amp;W981,WEEKDAY(('_Dates'!W981),2),MOD(((MIN('_Dates'!X981,Settings!$B$9))-('_Dates'!W981)+1),7)),"O",""))-COUNTIFS(INDEX(AllClosureRows,C981,0),"&gt;="&amp;('_Dates'!W981),INDEX(AllClosureRows,C981,0),"&lt;="&amp;(MIN('_Dates'!X981,Settings!$B$9))))+IF((MIN('_Dates'!Z981,Settings!$B$9))&lt;('_Dates'!Y981),0,INT(((MIN('_Dates'!Z981,Settings!$B$9))-('_Dates'!Y981)+1)/7)*LEN(SUBSTITUTE(W981,"O",""))+LEN(SUBSTITUTE(MID(W981&amp;W981,WEEKDAY(('_Dates'!Y981),2),MOD(((MIN('_Dates'!Z981,Settings!$B$9))-('_Dates'!Y981)+1),7)),"O",""))-COUNTIFS(INDEX(AllClosureRows,C981,0),"&gt;="&amp;('_Dates'!Y981),INDEX(AllClosureRows,C981,0),"&lt;="&amp;(MIN('_Dates'!Z981,Settings!$B$9))))))</ns0:f>
        <ns0:v>0</ns0:v>
      </ns0:c>
      <ns0:c r="I981" s="0">
        <ns0:f>MAX(0,G981-H981)</ns0:f>
        <ns0:v>0</ns0:v>
      </ns0:c>
      <ns0:c r="J981" s="0">
        <ns0:f>IF(OR(A981=0,F981&lt;&gt;"OK",Bookings!G981="Cancelled",$B$6&gt;0),0,IF('_Dates'!AC981=1,MAX(0,COUNTIFS(rngEngine_B,B981,rngAMStart,"&lt;="&amp;'_Dates'!X981,rngAMEnd,"&gt;="&amp;'_Dates'!W981,rngAMActive,1,rngEngine_F,"OK",rngBookings_F,"&lt;&gt;Cancelled")-1),0)+IF('_Dates'!AD981=1,MAX(0,COUNTIFS(rngEngine_B,B981,rngPMStart,"&lt;="&amp;'_Dates'!Z981,rngPMEnd,"&gt;="&amp;'_Dates'!Y981,rngPMActive,1,rngEngine_F,"OK",rngBookings_F,"&lt;&gt;Cancelled")-1),0))</ns0:f>
        <ns0:v>0</ns0:v>
      </ns0:c>
      <ns0:c r="K981" s="0" t="str">
        <ns0:f>IF(A981=0,"",IF(F981&lt;&gt;"OK",F981,IF(J981&gt;0,"CHECK overlapping entry",IF(AND($B$6=0,G981&lt;=0,Bookings!G981&lt;&gt;"Cancelled"),"CHECK no working days",IF(Bookings!G981="Cancelled","Cancelled","OK")))))</ns0:f>
        <ns0:v/>
      </ns0:c>
      <ns0:c r="L981" s="0">
        <ns0:f>IF(LEFT(K981,5)="CHECK",1,0)</ns0:f>
        <ns0:v>0</ns0:v>
      </ns0:c>
      <ns0:c r="M981" s="0">
        <ns0:f>IF(AND(L981=1,OR(C981=0,IFERROR(INDEX($X$11:$X$60,C981),0)=0)),1,0)</ns0:f>
        <ns0:v>0</ns0:v>
      </ns0:c>
      <ns0:c r="N981" s="0">
        <ns0:f>IF(OR(A981=0,L981&gt;0,$B$6&gt;0,Bookings!G981="Cancelled"),0,G981)</ns0:f>
        <ns0:v>0</ns0:v>
      </ns0:c>
      <ns0:c r="O981" s="0">
        <ns0:f>IF(AND(Bookings!G981="Approved",E981="Yes"),N981,0)</ns0:f>
        <ns0:v>0</ns0:v>
      </ns0:c>
      <ns0:c r="P981" s="0">
        <ns0:f>IF(AND(Bookings!G981="Approved",E981="Yes",L981=0,$B$6=0),H981,0)</ns0:f>
        <ns0:v>0</ns0:v>
      </ns0:c>
      <ns0:c r="Q981" s="0">
        <ns0:f>IF(AND(Bookings!G981="Approved",E981="Yes",L981=0,$B$6=0),I981,0)</ns0:f>
        <ns0:v>0</ns0:v>
      </ns0:c>
      <ns0:c r="R981" s="0">
        <ns0:f>IF(AND(Bookings!G981="Pending",E981="Yes"),N981,0)</ns0:f>
        <ns0:v>0</ns0:v>
      </ns0:c>
      <ns0:c r="S981" s="0">
        <ns0:f>IF(AND(Bookings!G981="Approved",E981="No"),N981,0)</ns0:f>
        <ns0:v>0</ns0:v>
      </ns0:c>
      <ns0:c r="T981" s="0">
        <ns0:f>IFERROR(MATCH(D981,Settings!$G$7:$G$11,0),0)</ns0:f>
        <ns0:v>0</ns0:v>
      </ns0:c>
      <ns0:c r="U981" s="0">
        <ns0:f>IF(N981&gt;0,T981+IF(Bookings!G981="Pending",10,0),0)</ns0:f>
        <ns0:v>0</ns0:v>
      </ns0:c>
      <ns0:c r="V981" s="0">
        <ns0:f>U981</ns0:f>
        <ns0:v>0</ns0:v>
      </ns0:c>
      <ns0:c r="W981" s="0" t="str">
        <ns0:f>IF(C981=0,"",INDEX($AP$11:$AP$60,C981))</ns0:f>
        <ns0:v/>
      </ns0:c>
    </ns0:row>
    <ns0:row r="982">
      <ns0:c r="A982" s="0">
        <ns0:f>IF(COUNTA(Bookings!A982:G982,Bookings!I982)=0,0,1)</ns0:f>
        <ns0:v>0</ns0:v>
      </ns0:c>
      <ns0:c r="B982" s="0" t="str">
        <ns0:f>IFERROR(TRIM(MID(Bookings!A982,FIND(" · ",Bookings!A982)+3,99)),"")</ns0:f>
        <ns0:v/>
      </ns0:c>
      <ns0:c r="C982" s="0">
        <ns0:f>IF(OR(B982="",LEN(B982)&gt;24,ISNUMBER(FIND(" ",B982)),ISNUMBER(FIND("*",B982)),ISNUMBER(FIND("?",B982)),ISNUMBER(FIND("~",B982))),0,IFERROR(MATCH(B982,Team!$A$11:$A$60,0),0))</ns0:f>
        <ns0:v>0</ns0:v>
      </ns0:c>
      <ns0:c r="D982" s="0" t="str">
        <ns0:f>IFERROR(IF(MID(Bookings!F982,LEN(Bookings!F982)-3,3)=" · ",RIGHT(Bookings!F982,1),""),"")</ns0:f>
        <ns0:v/>
      </ns0:c>
      <ns0:c r="E982" s="0" t="str">
        <ns0:f>IFERROR(INDEX(Settings!$H$7:$H$11,MATCH(D982,Settings!$G$7:$G$11,0)),"")</ns0:f>
        <ns0:v/>
      </ns0:c>
      <ns0:c r="F982" s="0" t="str">
        <ns0:f>IF(A982=0,"",IFERROR(IF(OR(B982="",C982=0),"CHECK employee selection",IF(INDEX(Team!$O$11:$O$60,C982)&lt;&gt;"OK","CHECK employee setup",IF(OR('_Dates'!J982=0,'_Dates'!T982=0),"CHECK date: use DD.MM.YYYY",IF('_Dates'!T982&lt;'_Dates'!J982,"CHECK end before start",IF(AND($B$6=0,OR('_Dates'!J982&lt;Settings!$B$7,'_Dates'!T982&gt;Settings!$B$8)),"CHECK split across leave years",IF(OR(NOT(OR('_Dates'!U982="Full day",'_Dates'!U982="AM",'_Dates'!U982="PM")),NOT(OR('_Dates'!V982="Full day",'_Dates'!V982="AM",'_Dates'!V982="PM"))),"CHECK Full day / AM / PM",IF(AND('_Dates'!J982='_Dates'!T982,'_Dates'!U982&lt;&gt;"Full day",'_Dates'!V982&lt;&gt;"Full day",'_Dates'!U982&lt;&gt;'_Dates'!V982),"CHECK same-day portions disagree",IF(AND($B$6=0,OR(AND('_Dates'!U982&lt;&gt;"Full day",'_Dates'!AA982=0),AND('_Dates'!V982&lt;&gt;"Full day",'_Dates'!AB982=0))),"CHECK half-day on non-working date",IF(COUNTIF(Settings!$G$7:$G$11,D982)&lt;&gt;1,"CHECK leave type",IF(AND(Bookings!G982&lt;&gt;"Approved",Bookings!G982&lt;&gt;"Pending",Bookings!G982&lt;&gt;"Cancelled"),"CHECK status","OK")))))))))),"CHECK input"))</ns0:f>
        <ns0:v/>
      </ns0:c>
      <ns0:c r="G982" s="0">
        <ns0:f>IF(OR(F982&lt;&gt;"OK",$B$6&gt;0),0,0.5*(IF(('_Dates'!X982)&lt;('_Dates'!W982),0,INT((('_Dates'!X982)-('_Dates'!W982)+1)/7)*LEN(SUBSTITUTE(W982,"O",""))+LEN(SUBSTITUTE(MID(W982&amp;W982,WEEKDAY(('_Dates'!W982),2),MOD((('_Dates'!X982)-('_Dates'!W982)+1),7)),"O",""))-COUNTIFS(INDEX(AllClosureRows,C982,0),"&gt;="&amp;('_Dates'!W982),INDEX(AllClosureRows,C982,0),"&lt;="&amp;('_Dates'!X982)))+IF(('_Dates'!Z982)&lt;('_Dates'!Y982),0,INT((('_Dates'!Z982)-('_Dates'!Y982)+1)/7)*LEN(SUBSTITUTE(W982,"O",""))+LEN(SUBSTITUTE(MID(W982&amp;W982,WEEKDAY(('_Dates'!Y982),2),MOD((('_Dates'!Z982)-('_Dates'!Y982)+1),7)),"O",""))-COUNTIFS(INDEX(AllClosureRows,C982,0),"&gt;="&amp;('_Dates'!Y982),INDEX(AllClosureRows,C982,0),"&lt;="&amp;('_Dates'!Z982)))))</ns0:f>
        <ns0:v>0</ns0:v>
      </ns0:c>
      <ns0:c r="H982" s="0">
        <ns0:f>IF(OR(F982&lt;&gt;"OK",$B$6&gt;0),0,0.5*(IF((MIN('_Dates'!X982,Settings!$B$9))&lt;('_Dates'!W982),0,INT(((MIN('_Dates'!X982,Settings!$B$9))-('_Dates'!W982)+1)/7)*LEN(SUBSTITUTE(W982,"O",""))+LEN(SUBSTITUTE(MID(W982&amp;W982,WEEKDAY(('_Dates'!W982),2),MOD(((MIN('_Dates'!X982,Settings!$B$9))-('_Dates'!W982)+1),7)),"O",""))-COUNTIFS(INDEX(AllClosureRows,C982,0),"&gt;="&amp;('_Dates'!W982),INDEX(AllClosureRows,C982,0),"&lt;="&amp;(MIN('_Dates'!X982,Settings!$B$9))))+IF((MIN('_Dates'!Z982,Settings!$B$9))&lt;('_Dates'!Y982),0,INT(((MIN('_Dates'!Z982,Settings!$B$9))-('_Dates'!Y982)+1)/7)*LEN(SUBSTITUTE(W982,"O",""))+LEN(SUBSTITUTE(MID(W982&amp;W982,WEEKDAY(('_Dates'!Y982),2),MOD(((MIN('_Dates'!Z982,Settings!$B$9))-('_Dates'!Y982)+1),7)),"O",""))-COUNTIFS(INDEX(AllClosureRows,C982,0),"&gt;="&amp;('_Dates'!Y982),INDEX(AllClosureRows,C982,0),"&lt;="&amp;(MIN('_Dates'!Z982,Settings!$B$9))))))</ns0:f>
        <ns0:v>0</ns0:v>
      </ns0:c>
      <ns0:c r="I982" s="0">
        <ns0:f>MAX(0,G982-H982)</ns0:f>
        <ns0:v>0</ns0:v>
      </ns0:c>
      <ns0:c r="J982" s="0">
        <ns0:f>IF(OR(A982=0,F982&lt;&gt;"OK",Bookings!G982="Cancelled",$B$6&gt;0),0,IF('_Dates'!AC982=1,MAX(0,COUNTIFS(rngEngine_B,B982,rngAMStart,"&lt;="&amp;'_Dates'!X982,rngAMEnd,"&gt;="&amp;'_Dates'!W982,rngAMActive,1,rngEngine_F,"OK",rngBookings_F,"&lt;&gt;Cancelled")-1),0)+IF('_Dates'!AD982=1,MAX(0,COUNTIFS(rngEngine_B,B982,rngPMStart,"&lt;="&amp;'_Dates'!Z982,rngPMEnd,"&gt;="&amp;'_Dates'!Y982,rngPMActive,1,rngEngine_F,"OK",rngBookings_F,"&lt;&gt;Cancelled")-1),0))</ns0:f>
        <ns0:v>0</ns0:v>
      </ns0:c>
      <ns0:c r="K982" s="0" t="str">
        <ns0:f>IF(A982=0,"",IF(F982&lt;&gt;"OK",F982,IF(J982&gt;0,"CHECK overlapping entry",IF(AND($B$6=0,G982&lt;=0,Bookings!G982&lt;&gt;"Cancelled"),"CHECK no working days",IF(Bookings!G982="Cancelled","Cancelled","OK")))))</ns0:f>
        <ns0:v/>
      </ns0:c>
      <ns0:c r="L982" s="0">
        <ns0:f>IF(LEFT(K982,5)="CHECK",1,0)</ns0:f>
        <ns0:v>0</ns0:v>
      </ns0:c>
      <ns0:c r="M982" s="0">
        <ns0:f>IF(AND(L982=1,OR(C982=0,IFERROR(INDEX($X$11:$X$60,C982),0)=0)),1,0)</ns0:f>
        <ns0:v>0</ns0:v>
      </ns0:c>
      <ns0:c r="N982" s="0">
        <ns0:f>IF(OR(A982=0,L982&gt;0,$B$6&gt;0,Bookings!G982="Cancelled"),0,G982)</ns0:f>
        <ns0:v>0</ns0:v>
      </ns0:c>
      <ns0:c r="O982" s="0">
        <ns0:f>IF(AND(Bookings!G982="Approved",E982="Yes"),N982,0)</ns0:f>
        <ns0:v>0</ns0:v>
      </ns0:c>
      <ns0:c r="P982" s="0">
        <ns0:f>IF(AND(Bookings!G982="Approved",E982="Yes",L982=0,$B$6=0),H982,0)</ns0:f>
        <ns0:v>0</ns0:v>
      </ns0:c>
      <ns0:c r="Q982" s="0">
        <ns0:f>IF(AND(Bookings!G982="Approved",E982="Yes",L982=0,$B$6=0),I982,0)</ns0:f>
        <ns0:v>0</ns0:v>
      </ns0:c>
      <ns0:c r="R982" s="0">
        <ns0:f>IF(AND(Bookings!G982="Pending",E982="Yes"),N982,0)</ns0:f>
        <ns0:v>0</ns0:v>
      </ns0:c>
      <ns0:c r="S982" s="0">
        <ns0:f>IF(AND(Bookings!G982="Approved",E982="No"),N982,0)</ns0:f>
        <ns0:v>0</ns0:v>
      </ns0:c>
      <ns0:c r="T982" s="0">
        <ns0:f>IFERROR(MATCH(D982,Settings!$G$7:$G$11,0),0)</ns0:f>
        <ns0:v>0</ns0:v>
      </ns0:c>
      <ns0:c r="U982" s="0">
        <ns0:f>IF(N982&gt;0,T982+IF(Bookings!G982="Pending",10,0),0)</ns0:f>
        <ns0:v>0</ns0:v>
      </ns0:c>
      <ns0:c r="V982" s="0">
        <ns0:f>U982</ns0:f>
        <ns0:v>0</ns0:v>
      </ns0:c>
      <ns0:c r="W982" s="0" t="str">
        <ns0:f>IF(C982=0,"",INDEX($AP$11:$AP$60,C982))</ns0:f>
        <ns0:v/>
      </ns0:c>
    </ns0:row>
    <ns0:row r="983">
      <ns0:c r="A983" s="0">
        <ns0:f>IF(COUNTA(Bookings!A983:G983,Bookings!I983)=0,0,1)</ns0:f>
        <ns0:v>0</ns0:v>
      </ns0:c>
      <ns0:c r="B983" s="0" t="str">
        <ns0:f>IFERROR(TRIM(MID(Bookings!A983,FIND(" · ",Bookings!A983)+3,99)),"")</ns0:f>
        <ns0:v/>
      </ns0:c>
      <ns0:c r="C983" s="0">
        <ns0:f>IF(OR(B983="",LEN(B983)&gt;24,ISNUMBER(FIND(" ",B983)),ISNUMBER(FIND("*",B983)),ISNUMBER(FIND("?",B983)),ISNUMBER(FIND("~",B983))),0,IFERROR(MATCH(B983,Team!$A$11:$A$60,0),0))</ns0:f>
        <ns0:v>0</ns0:v>
      </ns0:c>
      <ns0:c r="D983" s="0" t="str">
        <ns0:f>IFERROR(IF(MID(Bookings!F983,LEN(Bookings!F983)-3,3)=" · ",RIGHT(Bookings!F983,1),""),"")</ns0:f>
        <ns0:v/>
      </ns0:c>
      <ns0:c r="E983" s="0" t="str">
        <ns0:f>IFERROR(INDEX(Settings!$H$7:$H$11,MATCH(D983,Settings!$G$7:$G$11,0)),"")</ns0:f>
        <ns0:v/>
      </ns0:c>
      <ns0:c r="F983" s="0" t="str">
        <ns0:f>IF(A983=0,"",IFERROR(IF(OR(B983="",C983=0),"CHECK employee selection",IF(INDEX(Team!$O$11:$O$60,C983)&lt;&gt;"OK","CHECK employee setup",IF(OR('_Dates'!J983=0,'_Dates'!T983=0),"CHECK date: use DD.MM.YYYY",IF('_Dates'!T983&lt;'_Dates'!J983,"CHECK end before start",IF(AND($B$6=0,OR('_Dates'!J983&lt;Settings!$B$7,'_Dates'!T983&gt;Settings!$B$8)),"CHECK split across leave years",IF(OR(NOT(OR('_Dates'!U983="Full day",'_Dates'!U983="AM",'_Dates'!U983="PM")),NOT(OR('_Dates'!V983="Full day",'_Dates'!V983="AM",'_Dates'!V983="PM"))),"CHECK Full day / AM / PM",IF(AND('_Dates'!J983='_Dates'!T983,'_Dates'!U983&lt;&gt;"Full day",'_Dates'!V983&lt;&gt;"Full day",'_Dates'!U983&lt;&gt;'_Dates'!V983),"CHECK same-day portions disagree",IF(AND($B$6=0,OR(AND('_Dates'!U983&lt;&gt;"Full day",'_Dates'!AA983=0),AND('_Dates'!V983&lt;&gt;"Full day",'_Dates'!AB983=0))),"CHECK half-day on non-working date",IF(COUNTIF(Settings!$G$7:$G$11,D983)&lt;&gt;1,"CHECK leave type",IF(AND(Bookings!G983&lt;&gt;"Approved",Bookings!G983&lt;&gt;"Pending",Bookings!G983&lt;&gt;"Cancelled"),"CHECK status","OK")))))))))),"CHECK input"))</ns0:f>
        <ns0:v/>
      </ns0:c>
      <ns0:c r="G983" s="0">
        <ns0:f>IF(OR(F983&lt;&gt;"OK",$B$6&gt;0),0,0.5*(IF(('_Dates'!X983)&lt;('_Dates'!W983),0,INT((('_Dates'!X983)-('_Dates'!W983)+1)/7)*LEN(SUBSTITUTE(W983,"O",""))+LEN(SUBSTITUTE(MID(W983&amp;W983,WEEKDAY(('_Dates'!W983),2),MOD((('_Dates'!X983)-('_Dates'!W983)+1),7)),"O",""))-COUNTIFS(INDEX(AllClosureRows,C983,0),"&gt;="&amp;('_Dates'!W983),INDEX(AllClosureRows,C983,0),"&lt;="&amp;('_Dates'!X983)))+IF(('_Dates'!Z983)&lt;('_Dates'!Y983),0,INT((('_Dates'!Z983)-('_Dates'!Y983)+1)/7)*LEN(SUBSTITUTE(W983,"O",""))+LEN(SUBSTITUTE(MID(W983&amp;W983,WEEKDAY(('_Dates'!Y983),2),MOD((('_Dates'!Z983)-('_Dates'!Y983)+1),7)),"O",""))-COUNTIFS(INDEX(AllClosureRows,C983,0),"&gt;="&amp;('_Dates'!Y983),INDEX(AllClosureRows,C983,0),"&lt;="&amp;('_Dates'!Z983)))))</ns0:f>
        <ns0:v>0</ns0:v>
      </ns0:c>
      <ns0:c r="H983" s="0">
        <ns0:f>IF(OR(F983&lt;&gt;"OK",$B$6&gt;0),0,0.5*(IF((MIN('_Dates'!X983,Settings!$B$9))&lt;('_Dates'!W983),0,INT(((MIN('_Dates'!X983,Settings!$B$9))-('_Dates'!W983)+1)/7)*LEN(SUBSTITUTE(W983,"O",""))+LEN(SUBSTITUTE(MID(W983&amp;W983,WEEKDAY(('_Dates'!W983),2),MOD(((MIN('_Dates'!X983,Settings!$B$9))-('_Dates'!W983)+1),7)),"O",""))-COUNTIFS(INDEX(AllClosureRows,C983,0),"&gt;="&amp;('_Dates'!W983),INDEX(AllClosureRows,C983,0),"&lt;="&amp;(MIN('_Dates'!X983,Settings!$B$9))))+IF((MIN('_Dates'!Z983,Settings!$B$9))&lt;('_Dates'!Y983),0,INT(((MIN('_Dates'!Z983,Settings!$B$9))-('_Dates'!Y983)+1)/7)*LEN(SUBSTITUTE(W983,"O",""))+LEN(SUBSTITUTE(MID(W983&amp;W983,WEEKDAY(('_Dates'!Y983),2),MOD(((MIN('_Dates'!Z983,Settings!$B$9))-('_Dates'!Y983)+1),7)),"O",""))-COUNTIFS(INDEX(AllClosureRows,C983,0),"&gt;="&amp;('_Dates'!Y983),INDEX(AllClosureRows,C983,0),"&lt;="&amp;(MIN('_Dates'!Z983,Settings!$B$9))))))</ns0:f>
        <ns0:v>0</ns0:v>
      </ns0:c>
      <ns0:c r="I983" s="0">
        <ns0:f>MAX(0,G983-H983)</ns0:f>
        <ns0:v>0</ns0:v>
      </ns0:c>
      <ns0:c r="J983" s="0">
        <ns0:f>IF(OR(A983=0,F983&lt;&gt;"OK",Bookings!G983="Cancelled",$B$6&gt;0),0,IF('_Dates'!AC983=1,MAX(0,COUNTIFS(rngEngine_B,B983,rngAMStart,"&lt;="&amp;'_Dates'!X983,rngAMEnd,"&gt;="&amp;'_Dates'!W983,rngAMActive,1,rngEngine_F,"OK",rngBookings_F,"&lt;&gt;Cancelled")-1),0)+IF('_Dates'!AD983=1,MAX(0,COUNTIFS(rngEngine_B,B983,rngPMStart,"&lt;="&amp;'_Dates'!Z983,rngPMEnd,"&gt;="&amp;'_Dates'!Y983,rngPMActive,1,rngEngine_F,"OK",rngBookings_F,"&lt;&gt;Cancelled")-1),0))</ns0:f>
        <ns0:v>0</ns0:v>
      </ns0:c>
      <ns0:c r="K983" s="0" t="str">
        <ns0:f>IF(A983=0,"",IF(F983&lt;&gt;"OK",F983,IF(J983&gt;0,"CHECK overlapping entry",IF(AND($B$6=0,G983&lt;=0,Bookings!G983&lt;&gt;"Cancelled"),"CHECK no working days",IF(Bookings!G983="Cancelled","Cancelled","OK")))))</ns0:f>
        <ns0:v/>
      </ns0:c>
      <ns0:c r="L983" s="0">
        <ns0:f>IF(LEFT(K983,5)="CHECK",1,0)</ns0:f>
        <ns0:v>0</ns0:v>
      </ns0:c>
      <ns0:c r="M983" s="0">
        <ns0:f>IF(AND(L983=1,OR(C983=0,IFERROR(INDEX($X$11:$X$60,C983),0)=0)),1,0)</ns0:f>
        <ns0:v>0</ns0:v>
      </ns0:c>
      <ns0:c r="N983" s="0">
        <ns0:f>IF(OR(A983=0,L983&gt;0,$B$6&gt;0,Bookings!G983="Cancelled"),0,G983)</ns0:f>
        <ns0:v>0</ns0:v>
      </ns0:c>
      <ns0:c r="O983" s="0">
        <ns0:f>IF(AND(Bookings!G983="Approved",E983="Yes"),N983,0)</ns0:f>
        <ns0:v>0</ns0:v>
      </ns0:c>
      <ns0:c r="P983" s="0">
        <ns0:f>IF(AND(Bookings!G983="Approved",E983="Yes",L983=0,$B$6=0),H983,0)</ns0:f>
        <ns0:v>0</ns0:v>
      </ns0:c>
      <ns0:c r="Q983" s="0">
        <ns0:f>IF(AND(Bookings!G983="Approved",E983="Yes",L983=0,$B$6=0),I983,0)</ns0:f>
        <ns0:v>0</ns0:v>
      </ns0:c>
      <ns0:c r="R983" s="0">
        <ns0:f>IF(AND(Bookings!G983="Pending",E983="Yes"),N983,0)</ns0:f>
        <ns0:v>0</ns0:v>
      </ns0:c>
      <ns0:c r="S983" s="0">
        <ns0:f>IF(AND(Bookings!G983="Approved",E983="No"),N983,0)</ns0:f>
        <ns0:v>0</ns0:v>
      </ns0:c>
      <ns0:c r="T983" s="0">
        <ns0:f>IFERROR(MATCH(D983,Settings!$G$7:$G$11,0),0)</ns0:f>
        <ns0:v>0</ns0:v>
      </ns0:c>
      <ns0:c r="U983" s="0">
        <ns0:f>IF(N983&gt;0,T983+IF(Bookings!G983="Pending",10,0),0)</ns0:f>
        <ns0:v>0</ns0:v>
      </ns0:c>
      <ns0:c r="V983" s="0">
        <ns0:f>U983</ns0:f>
        <ns0:v>0</ns0:v>
      </ns0:c>
      <ns0:c r="W983" s="0" t="str">
        <ns0:f>IF(C983=0,"",INDEX($AP$11:$AP$60,C983))</ns0:f>
        <ns0:v/>
      </ns0:c>
    </ns0:row>
    <ns0:row r="984">
      <ns0:c r="A984" s="0">
        <ns0:f>IF(COUNTA(Bookings!A984:G984,Bookings!I984)=0,0,1)</ns0:f>
        <ns0:v>0</ns0:v>
      </ns0:c>
      <ns0:c r="B984" s="0" t="str">
        <ns0:f>IFERROR(TRIM(MID(Bookings!A984,FIND(" · ",Bookings!A984)+3,99)),"")</ns0:f>
        <ns0:v/>
      </ns0:c>
      <ns0:c r="C984" s="0">
        <ns0:f>IF(OR(B984="",LEN(B984)&gt;24,ISNUMBER(FIND(" ",B984)),ISNUMBER(FIND("*",B984)),ISNUMBER(FIND("?",B984)),ISNUMBER(FIND("~",B984))),0,IFERROR(MATCH(B984,Team!$A$11:$A$60,0),0))</ns0:f>
        <ns0:v>0</ns0:v>
      </ns0:c>
      <ns0:c r="D984" s="0" t="str">
        <ns0:f>IFERROR(IF(MID(Bookings!F984,LEN(Bookings!F984)-3,3)=" · ",RIGHT(Bookings!F984,1),""),"")</ns0:f>
        <ns0:v/>
      </ns0:c>
      <ns0:c r="E984" s="0" t="str">
        <ns0:f>IFERROR(INDEX(Settings!$H$7:$H$11,MATCH(D984,Settings!$G$7:$G$11,0)),"")</ns0:f>
        <ns0:v/>
      </ns0:c>
      <ns0:c r="F984" s="0" t="str">
        <ns0:f>IF(A984=0,"",IFERROR(IF(OR(B984="",C984=0),"CHECK employee selection",IF(INDEX(Team!$O$11:$O$60,C984)&lt;&gt;"OK","CHECK employee setup",IF(OR('_Dates'!J984=0,'_Dates'!T984=0),"CHECK date: use DD.MM.YYYY",IF('_Dates'!T984&lt;'_Dates'!J984,"CHECK end before start",IF(AND($B$6=0,OR('_Dates'!J984&lt;Settings!$B$7,'_Dates'!T984&gt;Settings!$B$8)),"CHECK split across leave years",IF(OR(NOT(OR('_Dates'!U984="Full day",'_Dates'!U984="AM",'_Dates'!U984="PM")),NOT(OR('_Dates'!V984="Full day",'_Dates'!V984="AM",'_Dates'!V984="PM"))),"CHECK Full day / AM / PM",IF(AND('_Dates'!J984='_Dates'!T984,'_Dates'!U984&lt;&gt;"Full day",'_Dates'!V984&lt;&gt;"Full day",'_Dates'!U984&lt;&gt;'_Dates'!V984),"CHECK same-day portions disagree",IF(AND($B$6=0,OR(AND('_Dates'!U984&lt;&gt;"Full day",'_Dates'!AA984=0),AND('_Dates'!V984&lt;&gt;"Full day",'_Dates'!AB984=0))),"CHECK half-day on non-working date",IF(COUNTIF(Settings!$G$7:$G$11,D984)&lt;&gt;1,"CHECK leave type",IF(AND(Bookings!G984&lt;&gt;"Approved",Bookings!G984&lt;&gt;"Pending",Bookings!G984&lt;&gt;"Cancelled"),"CHECK status","OK")))))))))),"CHECK input"))</ns0:f>
        <ns0:v/>
      </ns0:c>
      <ns0:c r="G984" s="0">
        <ns0:f>IF(OR(F984&lt;&gt;"OK",$B$6&gt;0),0,0.5*(IF(('_Dates'!X984)&lt;('_Dates'!W984),0,INT((('_Dates'!X984)-('_Dates'!W984)+1)/7)*LEN(SUBSTITUTE(W984,"O",""))+LEN(SUBSTITUTE(MID(W984&amp;W984,WEEKDAY(('_Dates'!W984),2),MOD((('_Dates'!X984)-('_Dates'!W984)+1),7)),"O",""))-COUNTIFS(INDEX(AllClosureRows,C984,0),"&gt;="&amp;('_Dates'!W984),INDEX(AllClosureRows,C984,0),"&lt;="&amp;('_Dates'!X984)))+IF(('_Dates'!Z984)&lt;('_Dates'!Y984),0,INT((('_Dates'!Z984)-('_Dates'!Y984)+1)/7)*LEN(SUBSTITUTE(W984,"O",""))+LEN(SUBSTITUTE(MID(W984&amp;W984,WEEKDAY(('_Dates'!Y984),2),MOD((('_Dates'!Z984)-('_Dates'!Y984)+1),7)),"O",""))-COUNTIFS(INDEX(AllClosureRows,C984,0),"&gt;="&amp;('_Dates'!Y984),INDEX(AllClosureRows,C984,0),"&lt;="&amp;('_Dates'!Z984)))))</ns0:f>
        <ns0:v>0</ns0:v>
      </ns0:c>
      <ns0:c r="H984" s="0">
        <ns0:f>IF(OR(F984&lt;&gt;"OK",$B$6&gt;0),0,0.5*(IF((MIN('_Dates'!X984,Settings!$B$9))&lt;('_Dates'!W984),0,INT(((MIN('_Dates'!X984,Settings!$B$9))-('_Dates'!W984)+1)/7)*LEN(SUBSTITUTE(W984,"O",""))+LEN(SUBSTITUTE(MID(W984&amp;W984,WEEKDAY(('_Dates'!W984),2),MOD(((MIN('_Dates'!X984,Settings!$B$9))-('_Dates'!W984)+1),7)),"O",""))-COUNTIFS(INDEX(AllClosureRows,C984,0),"&gt;="&amp;('_Dates'!W984),INDEX(AllClosureRows,C984,0),"&lt;="&amp;(MIN('_Dates'!X984,Settings!$B$9))))+IF((MIN('_Dates'!Z984,Settings!$B$9))&lt;('_Dates'!Y984),0,INT(((MIN('_Dates'!Z984,Settings!$B$9))-('_Dates'!Y984)+1)/7)*LEN(SUBSTITUTE(W984,"O",""))+LEN(SUBSTITUTE(MID(W984&amp;W984,WEEKDAY(('_Dates'!Y984),2),MOD(((MIN('_Dates'!Z984,Settings!$B$9))-('_Dates'!Y984)+1),7)),"O",""))-COUNTIFS(INDEX(AllClosureRows,C984,0),"&gt;="&amp;('_Dates'!Y984),INDEX(AllClosureRows,C984,0),"&lt;="&amp;(MIN('_Dates'!Z984,Settings!$B$9))))))</ns0:f>
        <ns0:v>0</ns0:v>
      </ns0:c>
      <ns0:c r="I984" s="0">
        <ns0:f>MAX(0,G984-H984)</ns0:f>
        <ns0:v>0</ns0:v>
      </ns0:c>
      <ns0:c r="J984" s="0">
        <ns0:f>IF(OR(A984=0,F984&lt;&gt;"OK",Bookings!G984="Cancelled",$B$6&gt;0),0,IF('_Dates'!AC984=1,MAX(0,COUNTIFS(rngEngine_B,B984,rngAMStart,"&lt;="&amp;'_Dates'!X984,rngAMEnd,"&gt;="&amp;'_Dates'!W984,rngAMActive,1,rngEngine_F,"OK",rngBookings_F,"&lt;&gt;Cancelled")-1),0)+IF('_Dates'!AD984=1,MAX(0,COUNTIFS(rngEngine_B,B984,rngPMStart,"&lt;="&amp;'_Dates'!Z984,rngPMEnd,"&gt;="&amp;'_Dates'!Y984,rngPMActive,1,rngEngine_F,"OK",rngBookings_F,"&lt;&gt;Cancelled")-1),0))</ns0:f>
        <ns0:v>0</ns0:v>
      </ns0:c>
      <ns0:c r="K984" s="0" t="str">
        <ns0:f>IF(A984=0,"",IF(F984&lt;&gt;"OK",F984,IF(J984&gt;0,"CHECK overlapping entry",IF(AND($B$6=0,G984&lt;=0,Bookings!G984&lt;&gt;"Cancelled"),"CHECK no working days",IF(Bookings!G984="Cancelled","Cancelled","OK")))))</ns0:f>
        <ns0:v/>
      </ns0:c>
      <ns0:c r="L984" s="0">
        <ns0:f>IF(LEFT(K984,5)="CHECK",1,0)</ns0:f>
        <ns0:v>0</ns0:v>
      </ns0:c>
      <ns0:c r="M984" s="0">
        <ns0:f>IF(AND(L984=1,OR(C984=0,IFERROR(INDEX($X$11:$X$60,C984),0)=0)),1,0)</ns0:f>
        <ns0:v>0</ns0:v>
      </ns0:c>
      <ns0:c r="N984" s="0">
        <ns0:f>IF(OR(A984=0,L984&gt;0,$B$6&gt;0,Bookings!G984="Cancelled"),0,G984)</ns0:f>
        <ns0:v>0</ns0:v>
      </ns0:c>
      <ns0:c r="O984" s="0">
        <ns0:f>IF(AND(Bookings!G984="Approved",E984="Yes"),N984,0)</ns0:f>
        <ns0:v>0</ns0:v>
      </ns0:c>
      <ns0:c r="P984" s="0">
        <ns0:f>IF(AND(Bookings!G984="Approved",E984="Yes",L984=0,$B$6=0),H984,0)</ns0:f>
        <ns0:v>0</ns0:v>
      </ns0:c>
      <ns0:c r="Q984" s="0">
        <ns0:f>IF(AND(Bookings!G984="Approved",E984="Yes",L984=0,$B$6=0),I984,0)</ns0:f>
        <ns0:v>0</ns0:v>
      </ns0:c>
      <ns0:c r="R984" s="0">
        <ns0:f>IF(AND(Bookings!G984="Pending",E984="Yes"),N984,0)</ns0:f>
        <ns0:v>0</ns0:v>
      </ns0:c>
      <ns0:c r="S984" s="0">
        <ns0:f>IF(AND(Bookings!G984="Approved",E984="No"),N984,0)</ns0:f>
        <ns0:v>0</ns0:v>
      </ns0:c>
      <ns0:c r="T984" s="0">
        <ns0:f>IFERROR(MATCH(D984,Settings!$G$7:$G$11,0),0)</ns0:f>
        <ns0:v>0</ns0:v>
      </ns0:c>
      <ns0:c r="U984" s="0">
        <ns0:f>IF(N984&gt;0,T984+IF(Bookings!G984="Pending",10,0),0)</ns0:f>
        <ns0:v>0</ns0:v>
      </ns0:c>
      <ns0:c r="V984" s="0">
        <ns0:f>U984</ns0:f>
        <ns0:v>0</ns0:v>
      </ns0:c>
      <ns0:c r="W984" s="0" t="str">
        <ns0:f>IF(C984=0,"",INDEX($AP$11:$AP$60,C984))</ns0:f>
        <ns0:v/>
      </ns0:c>
    </ns0:row>
    <ns0:row r="985">
      <ns0:c r="A985" s="0">
        <ns0:f>IF(COUNTA(Bookings!A985:G985,Bookings!I985)=0,0,1)</ns0:f>
        <ns0:v>0</ns0:v>
      </ns0:c>
      <ns0:c r="B985" s="0" t="str">
        <ns0:f>IFERROR(TRIM(MID(Bookings!A985,FIND(" · ",Bookings!A985)+3,99)),"")</ns0:f>
        <ns0:v/>
      </ns0:c>
      <ns0:c r="C985" s="0">
        <ns0:f>IF(OR(B985="",LEN(B985)&gt;24,ISNUMBER(FIND(" ",B985)),ISNUMBER(FIND("*",B985)),ISNUMBER(FIND("?",B985)),ISNUMBER(FIND("~",B985))),0,IFERROR(MATCH(B985,Team!$A$11:$A$60,0),0))</ns0:f>
        <ns0:v>0</ns0:v>
      </ns0:c>
      <ns0:c r="D985" s="0" t="str">
        <ns0:f>IFERROR(IF(MID(Bookings!F985,LEN(Bookings!F985)-3,3)=" · ",RIGHT(Bookings!F985,1),""),"")</ns0:f>
        <ns0:v/>
      </ns0:c>
      <ns0:c r="E985" s="0" t="str">
        <ns0:f>IFERROR(INDEX(Settings!$H$7:$H$11,MATCH(D985,Settings!$G$7:$G$11,0)),"")</ns0:f>
        <ns0:v/>
      </ns0:c>
      <ns0:c r="F985" s="0" t="str">
        <ns0:f>IF(A985=0,"",IFERROR(IF(OR(B985="",C985=0),"CHECK employee selection",IF(INDEX(Team!$O$11:$O$60,C985)&lt;&gt;"OK","CHECK employee setup",IF(OR('_Dates'!J985=0,'_Dates'!T985=0),"CHECK date: use DD.MM.YYYY",IF('_Dates'!T985&lt;'_Dates'!J985,"CHECK end before start",IF(AND($B$6=0,OR('_Dates'!J985&lt;Settings!$B$7,'_Dates'!T985&gt;Settings!$B$8)),"CHECK split across leave years",IF(OR(NOT(OR('_Dates'!U985="Full day",'_Dates'!U985="AM",'_Dates'!U985="PM")),NOT(OR('_Dates'!V985="Full day",'_Dates'!V985="AM",'_Dates'!V985="PM"))),"CHECK Full day / AM / PM",IF(AND('_Dates'!J985='_Dates'!T985,'_Dates'!U985&lt;&gt;"Full day",'_Dates'!V985&lt;&gt;"Full day",'_Dates'!U985&lt;&gt;'_Dates'!V985),"CHECK same-day portions disagree",IF(AND($B$6=0,OR(AND('_Dates'!U985&lt;&gt;"Full day",'_Dates'!AA985=0),AND('_Dates'!V985&lt;&gt;"Full day",'_Dates'!AB985=0))),"CHECK half-day on non-working date",IF(COUNTIF(Settings!$G$7:$G$11,D985)&lt;&gt;1,"CHECK leave type",IF(AND(Bookings!G985&lt;&gt;"Approved",Bookings!G985&lt;&gt;"Pending",Bookings!G985&lt;&gt;"Cancelled"),"CHECK status","OK")))))))))),"CHECK input"))</ns0:f>
        <ns0:v/>
      </ns0:c>
      <ns0:c r="G985" s="0">
        <ns0:f>IF(OR(F985&lt;&gt;"OK",$B$6&gt;0),0,0.5*(IF(('_Dates'!X985)&lt;('_Dates'!W985),0,INT((('_Dates'!X985)-('_Dates'!W985)+1)/7)*LEN(SUBSTITUTE(W985,"O",""))+LEN(SUBSTITUTE(MID(W985&amp;W985,WEEKDAY(('_Dates'!W985),2),MOD((('_Dates'!X985)-('_Dates'!W985)+1),7)),"O",""))-COUNTIFS(INDEX(AllClosureRows,C985,0),"&gt;="&amp;('_Dates'!W985),INDEX(AllClosureRows,C985,0),"&lt;="&amp;('_Dates'!X985)))+IF(('_Dates'!Z985)&lt;('_Dates'!Y985),0,INT((('_Dates'!Z985)-('_Dates'!Y985)+1)/7)*LEN(SUBSTITUTE(W985,"O",""))+LEN(SUBSTITUTE(MID(W985&amp;W985,WEEKDAY(('_Dates'!Y985),2),MOD((('_Dates'!Z985)-('_Dates'!Y985)+1),7)),"O",""))-COUNTIFS(INDEX(AllClosureRows,C985,0),"&gt;="&amp;('_Dates'!Y985),INDEX(AllClosureRows,C985,0),"&lt;="&amp;('_Dates'!Z985)))))</ns0:f>
        <ns0:v>0</ns0:v>
      </ns0:c>
      <ns0:c r="H985" s="0">
        <ns0:f>IF(OR(F985&lt;&gt;"OK",$B$6&gt;0),0,0.5*(IF((MIN('_Dates'!X985,Settings!$B$9))&lt;('_Dates'!W985),0,INT(((MIN('_Dates'!X985,Settings!$B$9))-('_Dates'!W985)+1)/7)*LEN(SUBSTITUTE(W985,"O",""))+LEN(SUBSTITUTE(MID(W985&amp;W985,WEEKDAY(('_Dates'!W985),2),MOD(((MIN('_Dates'!X985,Settings!$B$9))-('_Dates'!W985)+1),7)),"O",""))-COUNTIFS(INDEX(AllClosureRows,C985,0),"&gt;="&amp;('_Dates'!W985),INDEX(AllClosureRows,C985,0),"&lt;="&amp;(MIN('_Dates'!X985,Settings!$B$9))))+IF((MIN('_Dates'!Z985,Settings!$B$9))&lt;('_Dates'!Y985),0,INT(((MIN('_Dates'!Z985,Settings!$B$9))-('_Dates'!Y985)+1)/7)*LEN(SUBSTITUTE(W985,"O",""))+LEN(SUBSTITUTE(MID(W985&amp;W985,WEEKDAY(('_Dates'!Y985),2),MOD(((MIN('_Dates'!Z985,Settings!$B$9))-('_Dates'!Y985)+1),7)),"O",""))-COUNTIFS(INDEX(AllClosureRows,C985,0),"&gt;="&amp;('_Dates'!Y985),INDEX(AllClosureRows,C985,0),"&lt;="&amp;(MIN('_Dates'!Z985,Settings!$B$9))))))</ns0:f>
        <ns0:v>0</ns0:v>
      </ns0:c>
      <ns0:c r="I985" s="0">
        <ns0:f>MAX(0,G985-H985)</ns0:f>
        <ns0:v>0</ns0:v>
      </ns0:c>
      <ns0:c r="J985" s="0">
        <ns0:f>IF(OR(A985=0,F985&lt;&gt;"OK",Bookings!G985="Cancelled",$B$6&gt;0),0,IF('_Dates'!AC985=1,MAX(0,COUNTIFS(rngEngine_B,B985,rngAMStart,"&lt;="&amp;'_Dates'!X985,rngAMEnd,"&gt;="&amp;'_Dates'!W985,rngAMActive,1,rngEngine_F,"OK",rngBookings_F,"&lt;&gt;Cancelled")-1),0)+IF('_Dates'!AD985=1,MAX(0,COUNTIFS(rngEngine_B,B985,rngPMStart,"&lt;="&amp;'_Dates'!Z985,rngPMEnd,"&gt;="&amp;'_Dates'!Y985,rngPMActive,1,rngEngine_F,"OK",rngBookings_F,"&lt;&gt;Cancelled")-1),0))</ns0:f>
        <ns0:v>0</ns0:v>
      </ns0:c>
      <ns0:c r="K985" s="0" t="str">
        <ns0:f>IF(A985=0,"",IF(F985&lt;&gt;"OK",F985,IF(J985&gt;0,"CHECK overlapping entry",IF(AND($B$6=0,G985&lt;=0,Bookings!G985&lt;&gt;"Cancelled"),"CHECK no working days",IF(Bookings!G985="Cancelled","Cancelled","OK")))))</ns0:f>
        <ns0:v/>
      </ns0:c>
      <ns0:c r="L985" s="0">
        <ns0:f>IF(LEFT(K985,5)="CHECK",1,0)</ns0:f>
        <ns0:v>0</ns0:v>
      </ns0:c>
      <ns0:c r="M985" s="0">
        <ns0:f>IF(AND(L985=1,OR(C985=0,IFERROR(INDEX($X$11:$X$60,C985),0)=0)),1,0)</ns0:f>
        <ns0:v>0</ns0:v>
      </ns0:c>
      <ns0:c r="N985" s="0">
        <ns0:f>IF(OR(A985=0,L985&gt;0,$B$6&gt;0,Bookings!G985="Cancelled"),0,G985)</ns0:f>
        <ns0:v>0</ns0:v>
      </ns0:c>
      <ns0:c r="O985" s="0">
        <ns0:f>IF(AND(Bookings!G985="Approved",E985="Yes"),N985,0)</ns0:f>
        <ns0:v>0</ns0:v>
      </ns0:c>
      <ns0:c r="P985" s="0">
        <ns0:f>IF(AND(Bookings!G985="Approved",E985="Yes",L985=0,$B$6=0),H985,0)</ns0:f>
        <ns0:v>0</ns0:v>
      </ns0:c>
      <ns0:c r="Q985" s="0">
        <ns0:f>IF(AND(Bookings!G985="Approved",E985="Yes",L985=0,$B$6=0),I985,0)</ns0:f>
        <ns0:v>0</ns0:v>
      </ns0:c>
      <ns0:c r="R985" s="0">
        <ns0:f>IF(AND(Bookings!G985="Pending",E985="Yes"),N985,0)</ns0:f>
        <ns0:v>0</ns0:v>
      </ns0:c>
      <ns0:c r="S985" s="0">
        <ns0:f>IF(AND(Bookings!G985="Approved",E985="No"),N985,0)</ns0:f>
        <ns0:v>0</ns0:v>
      </ns0:c>
      <ns0:c r="T985" s="0">
        <ns0:f>IFERROR(MATCH(D985,Settings!$G$7:$G$11,0),0)</ns0:f>
        <ns0:v>0</ns0:v>
      </ns0:c>
      <ns0:c r="U985" s="0">
        <ns0:f>IF(N985&gt;0,T985+IF(Bookings!G985="Pending",10,0),0)</ns0:f>
        <ns0:v>0</ns0:v>
      </ns0:c>
      <ns0:c r="V985" s="0">
        <ns0:f>U985</ns0:f>
        <ns0:v>0</ns0:v>
      </ns0:c>
      <ns0:c r="W985" s="0" t="str">
        <ns0:f>IF(C985=0,"",INDEX($AP$11:$AP$60,C985))</ns0:f>
        <ns0:v/>
      </ns0:c>
    </ns0:row>
    <ns0:row r="986">
      <ns0:c r="A986" s="0">
        <ns0:f>IF(COUNTA(Bookings!A986:G986,Bookings!I986)=0,0,1)</ns0:f>
        <ns0:v>0</ns0:v>
      </ns0:c>
      <ns0:c r="B986" s="0" t="str">
        <ns0:f>IFERROR(TRIM(MID(Bookings!A986,FIND(" · ",Bookings!A986)+3,99)),"")</ns0:f>
        <ns0:v/>
      </ns0:c>
      <ns0:c r="C986" s="0">
        <ns0:f>IF(OR(B986="",LEN(B986)&gt;24,ISNUMBER(FIND(" ",B986)),ISNUMBER(FIND("*",B986)),ISNUMBER(FIND("?",B986)),ISNUMBER(FIND("~",B986))),0,IFERROR(MATCH(B986,Team!$A$11:$A$60,0),0))</ns0:f>
        <ns0:v>0</ns0:v>
      </ns0:c>
      <ns0:c r="D986" s="0" t="str">
        <ns0:f>IFERROR(IF(MID(Bookings!F986,LEN(Bookings!F986)-3,3)=" · ",RIGHT(Bookings!F986,1),""),"")</ns0:f>
        <ns0:v/>
      </ns0:c>
      <ns0:c r="E986" s="0" t="str">
        <ns0:f>IFERROR(INDEX(Settings!$H$7:$H$11,MATCH(D986,Settings!$G$7:$G$11,0)),"")</ns0:f>
        <ns0:v/>
      </ns0:c>
      <ns0:c r="F986" s="0" t="str">
        <ns0:f>IF(A986=0,"",IFERROR(IF(OR(B986="",C986=0),"CHECK employee selection",IF(INDEX(Team!$O$11:$O$60,C986)&lt;&gt;"OK","CHECK employee setup",IF(OR('_Dates'!J986=0,'_Dates'!T986=0),"CHECK date: use DD.MM.YYYY",IF('_Dates'!T986&lt;'_Dates'!J986,"CHECK end before start",IF(AND($B$6=0,OR('_Dates'!J986&lt;Settings!$B$7,'_Dates'!T986&gt;Settings!$B$8)),"CHECK split across leave years",IF(OR(NOT(OR('_Dates'!U986="Full day",'_Dates'!U986="AM",'_Dates'!U986="PM")),NOT(OR('_Dates'!V986="Full day",'_Dates'!V986="AM",'_Dates'!V986="PM"))),"CHECK Full day / AM / PM",IF(AND('_Dates'!J986='_Dates'!T986,'_Dates'!U986&lt;&gt;"Full day",'_Dates'!V986&lt;&gt;"Full day",'_Dates'!U986&lt;&gt;'_Dates'!V986),"CHECK same-day portions disagree",IF(AND($B$6=0,OR(AND('_Dates'!U986&lt;&gt;"Full day",'_Dates'!AA986=0),AND('_Dates'!V986&lt;&gt;"Full day",'_Dates'!AB986=0))),"CHECK half-day on non-working date",IF(COUNTIF(Settings!$G$7:$G$11,D986)&lt;&gt;1,"CHECK leave type",IF(AND(Bookings!G986&lt;&gt;"Approved",Bookings!G986&lt;&gt;"Pending",Bookings!G986&lt;&gt;"Cancelled"),"CHECK status","OK")))))))))),"CHECK input"))</ns0:f>
        <ns0:v/>
      </ns0:c>
      <ns0:c r="G986" s="0">
        <ns0:f>IF(OR(F986&lt;&gt;"OK",$B$6&gt;0),0,0.5*(IF(('_Dates'!X986)&lt;('_Dates'!W986),0,INT((('_Dates'!X986)-('_Dates'!W986)+1)/7)*LEN(SUBSTITUTE(W986,"O",""))+LEN(SUBSTITUTE(MID(W986&amp;W986,WEEKDAY(('_Dates'!W986),2),MOD((('_Dates'!X986)-('_Dates'!W986)+1),7)),"O",""))-COUNTIFS(INDEX(AllClosureRows,C986,0),"&gt;="&amp;('_Dates'!W986),INDEX(AllClosureRows,C986,0),"&lt;="&amp;('_Dates'!X986)))+IF(('_Dates'!Z986)&lt;('_Dates'!Y986),0,INT((('_Dates'!Z986)-('_Dates'!Y986)+1)/7)*LEN(SUBSTITUTE(W986,"O",""))+LEN(SUBSTITUTE(MID(W986&amp;W986,WEEKDAY(('_Dates'!Y986),2),MOD((('_Dates'!Z986)-('_Dates'!Y986)+1),7)),"O",""))-COUNTIFS(INDEX(AllClosureRows,C986,0),"&gt;="&amp;('_Dates'!Y986),INDEX(AllClosureRows,C986,0),"&lt;="&amp;('_Dates'!Z986)))))</ns0:f>
        <ns0:v>0</ns0:v>
      </ns0:c>
      <ns0:c r="H986" s="0">
        <ns0:f>IF(OR(F986&lt;&gt;"OK",$B$6&gt;0),0,0.5*(IF((MIN('_Dates'!X986,Settings!$B$9))&lt;('_Dates'!W986),0,INT(((MIN('_Dates'!X986,Settings!$B$9))-('_Dates'!W986)+1)/7)*LEN(SUBSTITUTE(W986,"O",""))+LEN(SUBSTITUTE(MID(W986&amp;W986,WEEKDAY(('_Dates'!W986),2),MOD(((MIN('_Dates'!X986,Settings!$B$9))-('_Dates'!W986)+1),7)),"O",""))-COUNTIFS(INDEX(AllClosureRows,C986,0),"&gt;="&amp;('_Dates'!W986),INDEX(AllClosureRows,C986,0),"&lt;="&amp;(MIN('_Dates'!X986,Settings!$B$9))))+IF((MIN('_Dates'!Z986,Settings!$B$9))&lt;('_Dates'!Y986),0,INT(((MIN('_Dates'!Z986,Settings!$B$9))-('_Dates'!Y986)+1)/7)*LEN(SUBSTITUTE(W986,"O",""))+LEN(SUBSTITUTE(MID(W986&amp;W986,WEEKDAY(('_Dates'!Y986),2),MOD(((MIN('_Dates'!Z986,Settings!$B$9))-('_Dates'!Y986)+1),7)),"O",""))-COUNTIFS(INDEX(AllClosureRows,C986,0),"&gt;="&amp;('_Dates'!Y986),INDEX(AllClosureRows,C986,0),"&lt;="&amp;(MIN('_Dates'!Z986,Settings!$B$9))))))</ns0:f>
        <ns0:v>0</ns0:v>
      </ns0:c>
      <ns0:c r="I986" s="0">
        <ns0:f>MAX(0,G986-H986)</ns0:f>
        <ns0:v>0</ns0:v>
      </ns0:c>
      <ns0:c r="J986" s="0">
        <ns0:f>IF(OR(A986=0,F986&lt;&gt;"OK",Bookings!G986="Cancelled",$B$6&gt;0),0,IF('_Dates'!AC986=1,MAX(0,COUNTIFS(rngEngine_B,B986,rngAMStart,"&lt;="&amp;'_Dates'!X986,rngAMEnd,"&gt;="&amp;'_Dates'!W986,rngAMActive,1,rngEngine_F,"OK",rngBookings_F,"&lt;&gt;Cancelled")-1),0)+IF('_Dates'!AD986=1,MAX(0,COUNTIFS(rngEngine_B,B986,rngPMStart,"&lt;="&amp;'_Dates'!Z986,rngPMEnd,"&gt;="&amp;'_Dates'!Y986,rngPMActive,1,rngEngine_F,"OK",rngBookings_F,"&lt;&gt;Cancelled")-1),0))</ns0:f>
        <ns0:v>0</ns0:v>
      </ns0:c>
      <ns0:c r="K986" s="0" t="str">
        <ns0:f>IF(A986=0,"",IF(F986&lt;&gt;"OK",F986,IF(J986&gt;0,"CHECK overlapping entry",IF(AND($B$6=0,G986&lt;=0,Bookings!G986&lt;&gt;"Cancelled"),"CHECK no working days",IF(Bookings!G986="Cancelled","Cancelled","OK")))))</ns0:f>
        <ns0:v/>
      </ns0:c>
      <ns0:c r="L986" s="0">
        <ns0:f>IF(LEFT(K986,5)="CHECK",1,0)</ns0:f>
        <ns0:v>0</ns0:v>
      </ns0:c>
      <ns0:c r="M986" s="0">
        <ns0:f>IF(AND(L986=1,OR(C986=0,IFERROR(INDEX($X$11:$X$60,C986),0)=0)),1,0)</ns0:f>
        <ns0:v>0</ns0:v>
      </ns0:c>
      <ns0:c r="N986" s="0">
        <ns0:f>IF(OR(A986=0,L986&gt;0,$B$6&gt;0,Bookings!G986="Cancelled"),0,G986)</ns0:f>
        <ns0:v>0</ns0:v>
      </ns0:c>
      <ns0:c r="O986" s="0">
        <ns0:f>IF(AND(Bookings!G986="Approved",E986="Yes"),N986,0)</ns0:f>
        <ns0:v>0</ns0:v>
      </ns0:c>
      <ns0:c r="P986" s="0">
        <ns0:f>IF(AND(Bookings!G986="Approved",E986="Yes",L986=0,$B$6=0),H986,0)</ns0:f>
        <ns0:v>0</ns0:v>
      </ns0:c>
      <ns0:c r="Q986" s="0">
        <ns0:f>IF(AND(Bookings!G986="Approved",E986="Yes",L986=0,$B$6=0),I986,0)</ns0:f>
        <ns0:v>0</ns0:v>
      </ns0:c>
      <ns0:c r="R986" s="0">
        <ns0:f>IF(AND(Bookings!G986="Pending",E986="Yes"),N986,0)</ns0:f>
        <ns0:v>0</ns0:v>
      </ns0:c>
      <ns0:c r="S986" s="0">
        <ns0:f>IF(AND(Bookings!G986="Approved",E986="No"),N986,0)</ns0:f>
        <ns0:v>0</ns0:v>
      </ns0:c>
      <ns0:c r="T986" s="0">
        <ns0:f>IFERROR(MATCH(D986,Settings!$G$7:$G$11,0),0)</ns0:f>
        <ns0:v>0</ns0:v>
      </ns0:c>
      <ns0:c r="U986" s="0">
        <ns0:f>IF(N986&gt;0,T986+IF(Bookings!G986="Pending",10,0),0)</ns0:f>
        <ns0:v>0</ns0:v>
      </ns0:c>
      <ns0:c r="V986" s="0">
        <ns0:f>U986</ns0:f>
        <ns0:v>0</ns0:v>
      </ns0:c>
      <ns0:c r="W986" s="0" t="str">
        <ns0:f>IF(C986=0,"",INDEX($AP$11:$AP$60,C986))</ns0:f>
        <ns0:v/>
      </ns0:c>
    </ns0:row>
    <ns0:row r="987">
      <ns0:c r="A987" s="0">
        <ns0:f>IF(COUNTA(Bookings!A987:G987,Bookings!I987)=0,0,1)</ns0:f>
        <ns0:v>0</ns0:v>
      </ns0:c>
      <ns0:c r="B987" s="0" t="str">
        <ns0:f>IFERROR(TRIM(MID(Bookings!A987,FIND(" · ",Bookings!A987)+3,99)),"")</ns0:f>
        <ns0:v/>
      </ns0:c>
      <ns0:c r="C987" s="0">
        <ns0:f>IF(OR(B987="",LEN(B987)&gt;24,ISNUMBER(FIND(" ",B987)),ISNUMBER(FIND("*",B987)),ISNUMBER(FIND("?",B987)),ISNUMBER(FIND("~",B987))),0,IFERROR(MATCH(B987,Team!$A$11:$A$60,0),0))</ns0:f>
        <ns0:v>0</ns0:v>
      </ns0:c>
      <ns0:c r="D987" s="0" t="str">
        <ns0:f>IFERROR(IF(MID(Bookings!F987,LEN(Bookings!F987)-3,3)=" · ",RIGHT(Bookings!F987,1),""),"")</ns0:f>
        <ns0:v/>
      </ns0:c>
      <ns0:c r="E987" s="0" t="str">
        <ns0:f>IFERROR(INDEX(Settings!$H$7:$H$11,MATCH(D987,Settings!$G$7:$G$11,0)),"")</ns0:f>
        <ns0:v/>
      </ns0:c>
      <ns0:c r="F987" s="0" t="str">
        <ns0:f>IF(A987=0,"",IFERROR(IF(OR(B987="",C987=0),"CHECK employee selection",IF(INDEX(Team!$O$11:$O$60,C987)&lt;&gt;"OK","CHECK employee setup",IF(OR('_Dates'!J987=0,'_Dates'!T987=0),"CHECK date: use DD.MM.YYYY",IF('_Dates'!T987&lt;'_Dates'!J987,"CHECK end before start",IF(AND($B$6=0,OR('_Dates'!J987&lt;Settings!$B$7,'_Dates'!T987&gt;Settings!$B$8)),"CHECK split across leave years",IF(OR(NOT(OR('_Dates'!U987="Full day",'_Dates'!U987="AM",'_Dates'!U987="PM")),NOT(OR('_Dates'!V987="Full day",'_Dates'!V987="AM",'_Dates'!V987="PM"))),"CHECK Full day / AM / PM",IF(AND('_Dates'!J987='_Dates'!T987,'_Dates'!U987&lt;&gt;"Full day",'_Dates'!V987&lt;&gt;"Full day",'_Dates'!U987&lt;&gt;'_Dates'!V987),"CHECK same-day portions disagree",IF(AND($B$6=0,OR(AND('_Dates'!U987&lt;&gt;"Full day",'_Dates'!AA987=0),AND('_Dates'!V987&lt;&gt;"Full day",'_Dates'!AB987=0))),"CHECK half-day on non-working date",IF(COUNTIF(Settings!$G$7:$G$11,D987)&lt;&gt;1,"CHECK leave type",IF(AND(Bookings!G987&lt;&gt;"Approved",Bookings!G987&lt;&gt;"Pending",Bookings!G987&lt;&gt;"Cancelled"),"CHECK status","OK")))))))))),"CHECK input"))</ns0:f>
        <ns0:v/>
      </ns0:c>
      <ns0:c r="G987" s="0">
        <ns0:f>IF(OR(F987&lt;&gt;"OK",$B$6&gt;0),0,0.5*(IF(('_Dates'!X987)&lt;('_Dates'!W987),0,INT((('_Dates'!X987)-('_Dates'!W987)+1)/7)*LEN(SUBSTITUTE(W987,"O",""))+LEN(SUBSTITUTE(MID(W987&amp;W987,WEEKDAY(('_Dates'!W987),2),MOD((('_Dates'!X987)-('_Dates'!W987)+1),7)),"O",""))-COUNTIFS(INDEX(AllClosureRows,C987,0),"&gt;="&amp;('_Dates'!W987),INDEX(AllClosureRows,C987,0),"&lt;="&amp;('_Dates'!X987)))+IF(('_Dates'!Z987)&lt;('_Dates'!Y987),0,INT((('_Dates'!Z987)-('_Dates'!Y987)+1)/7)*LEN(SUBSTITUTE(W987,"O",""))+LEN(SUBSTITUTE(MID(W987&amp;W987,WEEKDAY(('_Dates'!Y987),2),MOD((('_Dates'!Z987)-('_Dates'!Y987)+1),7)),"O",""))-COUNTIFS(INDEX(AllClosureRows,C987,0),"&gt;="&amp;('_Dates'!Y987),INDEX(AllClosureRows,C987,0),"&lt;="&amp;('_Dates'!Z987)))))</ns0:f>
        <ns0:v>0</ns0:v>
      </ns0:c>
      <ns0:c r="H987" s="0">
        <ns0:f>IF(OR(F987&lt;&gt;"OK",$B$6&gt;0),0,0.5*(IF((MIN('_Dates'!X987,Settings!$B$9))&lt;('_Dates'!W987),0,INT(((MIN('_Dates'!X987,Settings!$B$9))-('_Dates'!W987)+1)/7)*LEN(SUBSTITUTE(W987,"O",""))+LEN(SUBSTITUTE(MID(W987&amp;W987,WEEKDAY(('_Dates'!W987),2),MOD(((MIN('_Dates'!X987,Settings!$B$9))-('_Dates'!W987)+1),7)),"O",""))-COUNTIFS(INDEX(AllClosureRows,C987,0),"&gt;="&amp;('_Dates'!W987),INDEX(AllClosureRows,C987,0),"&lt;="&amp;(MIN('_Dates'!X987,Settings!$B$9))))+IF((MIN('_Dates'!Z987,Settings!$B$9))&lt;('_Dates'!Y987),0,INT(((MIN('_Dates'!Z987,Settings!$B$9))-('_Dates'!Y987)+1)/7)*LEN(SUBSTITUTE(W987,"O",""))+LEN(SUBSTITUTE(MID(W987&amp;W987,WEEKDAY(('_Dates'!Y987),2),MOD(((MIN('_Dates'!Z987,Settings!$B$9))-('_Dates'!Y987)+1),7)),"O",""))-COUNTIFS(INDEX(AllClosureRows,C987,0),"&gt;="&amp;('_Dates'!Y987),INDEX(AllClosureRows,C987,0),"&lt;="&amp;(MIN('_Dates'!Z987,Settings!$B$9))))))</ns0:f>
        <ns0:v>0</ns0:v>
      </ns0:c>
      <ns0:c r="I987" s="0">
        <ns0:f>MAX(0,G987-H987)</ns0:f>
        <ns0:v>0</ns0:v>
      </ns0:c>
      <ns0:c r="J987" s="0">
        <ns0:f>IF(OR(A987=0,F987&lt;&gt;"OK",Bookings!G987="Cancelled",$B$6&gt;0),0,IF('_Dates'!AC987=1,MAX(0,COUNTIFS(rngEngine_B,B987,rngAMStart,"&lt;="&amp;'_Dates'!X987,rngAMEnd,"&gt;="&amp;'_Dates'!W987,rngAMActive,1,rngEngine_F,"OK",rngBookings_F,"&lt;&gt;Cancelled")-1),0)+IF('_Dates'!AD987=1,MAX(0,COUNTIFS(rngEngine_B,B987,rngPMStart,"&lt;="&amp;'_Dates'!Z987,rngPMEnd,"&gt;="&amp;'_Dates'!Y987,rngPMActive,1,rngEngine_F,"OK",rngBookings_F,"&lt;&gt;Cancelled")-1),0))</ns0:f>
        <ns0:v>0</ns0:v>
      </ns0:c>
      <ns0:c r="K987" s="0" t="str">
        <ns0:f>IF(A987=0,"",IF(F987&lt;&gt;"OK",F987,IF(J987&gt;0,"CHECK overlapping entry",IF(AND($B$6=0,G987&lt;=0,Bookings!G987&lt;&gt;"Cancelled"),"CHECK no working days",IF(Bookings!G987="Cancelled","Cancelled","OK")))))</ns0:f>
        <ns0:v/>
      </ns0:c>
      <ns0:c r="L987" s="0">
        <ns0:f>IF(LEFT(K987,5)="CHECK",1,0)</ns0:f>
        <ns0:v>0</ns0:v>
      </ns0:c>
      <ns0:c r="M987" s="0">
        <ns0:f>IF(AND(L987=1,OR(C987=0,IFERROR(INDEX($X$11:$X$60,C987),0)=0)),1,0)</ns0:f>
        <ns0:v>0</ns0:v>
      </ns0:c>
      <ns0:c r="N987" s="0">
        <ns0:f>IF(OR(A987=0,L987&gt;0,$B$6&gt;0,Bookings!G987="Cancelled"),0,G987)</ns0:f>
        <ns0:v>0</ns0:v>
      </ns0:c>
      <ns0:c r="O987" s="0">
        <ns0:f>IF(AND(Bookings!G987="Approved",E987="Yes"),N987,0)</ns0:f>
        <ns0:v>0</ns0:v>
      </ns0:c>
      <ns0:c r="P987" s="0">
        <ns0:f>IF(AND(Bookings!G987="Approved",E987="Yes",L987=0,$B$6=0),H987,0)</ns0:f>
        <ns0:v>0</ns0:v>
      </ns0:c>
      <ns0:c r="Q987" s="0">
        <ns0:f>IF(AND(Bookings!G987="Approved",E987="Yes",L987=0,$B$6=0),I987,0)</ns0:f>
        <ns0:v>0</ns0:v>
      </ns0:c>
      <ns0:c r="R987" s="0">
        <ns0:f>IF(AND(Bookings!G987="Pending",E987="Yes"),N987,0)</ns0:f>
        <ns0:v>0</ns0:v>
      </ns0:c>
      <ns0:c r="S987" s="0">
        <ns0:f>IF(AND(Bookings!G987="Approved",E987="No"),N987,0)</ns0:f>
        <ns0:v>0</ns0:v>
      </ns0:c>
      <ns0:c r="T987" s="0">
        <ns0:f>IFERROR(MATCH(D987,Settings!$G$7:$G$11,0),0)</ns0:f>
        <ns0:v>0</ns0:v>
      </ns0:c>
      <ns0:c r="U987" s="0">
        <ns0:f>IF(N987&gt;0,T987+IF(Bookings!G987="Pending",10,0),0)</ns0:f>
        <ns0:v>0</ns0:v>
      </ns0:c>
      <ns0:c r="V987" s="0">
        <ns0:f>U987</ns0:f>
        <ns0:v>0</ns0:v>
      </ns0:c>
      <ns0:c r="W987" s="0" t="str">
        <ns0:f>IF(C987=0,"",INDEX($AP$11:$AP$60,C987))</ns0:f>
        <ns0:v/>
      </ns0:c>
    </ns0:row>
    <ns0:row r="988">
      <ns0:c r="A988" s="0">
        <ns0:f>IF(COUNTA(Bookings!A988:G988,Bookings!I988)=0,0,1)</ns0:f>
        <ns0:v>0</ns0:v>
      </ns0:c>
      <ns0:c r="B988" s="0" t="str">
        <ns0:f>IFERROR(TRIM(MID(Bookings!A988,FIND(" · ",Bookings!A988)+3,99)),"")</ns0:f>
        <ns0:v/>
      </ns0:c>
      <ns0:c r="C988" s="0">
        <ns0:f>IF(OR(B988="",LEN(B988)&gt;24,ISNUMBER(FIND(" ",B988)),ISNUMBER(FIND("*",B988)),ISNUMBER(FIND("?",B988)),ISNUMBER(FIND("~",B988))),0,IFERROR(MATCH(B988,Team!$A$11:$A$60,0),0))</ns0:f>
        <ns0:v>0</ns0:v>
      </ns0:c>
      <ns0:c r="D988" s="0" t="str">
        <ns0:f>IFERROR(IF(MID(Bookings!F988,LEN(Bookings!F988)-3,3)=" · ",RIGHT(Bookings!F988,1),""),"")</ns0:f>
        <ns0:v/>
      </ns0:c>
      <ns0:c r="E988" s="0" t="str">
        <ns0:f>IFERROR(INDEX(Settings!$H$7:$H$11,MATCH(D988,Settings!$G$7:$G$11,0)),"")</ns0:f>
        <ns0:v/>
      </ns0:c>
      <ns0:c r="F988" s="0" t="str">
        <ns0:f>IF(A988=0,"",IFERROR(IF(OR(B988="",C988=0),"CHECK employee selection",IF(INDEX(Team!$O$11:$O$60,C988)&lt;&gt;"OK","CHECK employee setup",IF(OR('_Dates'!J988=0,'_Dates'!T988=0),"CHECK date: use DD.MM.YYYY",IF('_Dates'!T988&lt;'_Dates'!J988,"CHECK end before start",IF(AND($B$6=0,OR('_Dates'!J988&lt;Settings!$B$7,'_Dates'!T988&gt;Settings!$B$8)),"CHECK split across leave years",IF(OR(NOT(OR('_Dates'!U988="Full day",'_Dates'!U988="AM",'_Dates'!U988="PM")),NOT(OR('_Dates'!V988="Full day",'_Dates'!V988="AM",'_Dates'!V988="PM"))),"CHECK Full day / AM / PM",IF(AND('_Dates'!J988='_Dates'!T988,'_Dates'!U988&lt;&gt;"Full day",'_Dates'!V988&lt;&gt;"Full day",'_Dates'!U988&lt;&gt;'_Dates'!V988),"CHECK same-day portions disagree",IF(AND($B$6=0,OR(AND('_Dates'!U988&lt;&gt;"Full day",'_Dates'!AA988=0),AND('_Dates'!V988&lt;&gt;"Full day",'_Dates'!AB988=0))),"CHECK half-day on non-working date",IF(COUNTIF(Settings!$G$7:$G$11,D988)&lt;&gt;1,"CHECK leave type",IF(AND(Bookings!G988&lt;&gt;"Approved",Bookings!G988&lt;&gt;"Pending",Bookings!G988&lt;&gt;"Cancelled"),"CHECK status","OK")))))))))),"CHECK input"))</ns0:f>
        <ns0:v/>
      </ns0:c>
      <ns0:c r="G988" s="0">
        <ns0:f>IF(OR(F988&lt;&gt;"OK",$B$6&gt;0),0,0.5*(IF(('_Dates'!X988)&lt;('_Dates'!W988),0,INT((('_Dates'!X988)-('_Dates'!W988)+1)/7)*LEN(SUBSTITUTE(W988,"O",""))+LEN(SUBSTITUTE(MID(W988&amp;W988,WEEKDAY(('_Dates'!W988),2),MOD((('_Dates'!X988)-('_Dates'!W988)+1),7)),"O",""))-COUNTIFS(INDEX(AllClosureRows,C988,0),"&gt;="&amp;('_Dates'!W988),INDEX(AllClosureRows,C988,0),"&lt;="&amp;('_Dates'!X988)))+IF(('_Dates'!Z988)&lt;('_Dates'!Y988),0,INT((('_Dates'!Z988)-('_Dates'!Y988)+1)/7)*LEN(SUBSTITUTE(W988,"O",""))+LEN(SUBSTITUTE(MID(W988&amp;W988,WEEKDAY(('_Dates'!Y988),2),MOD((('_Dates'!Z988)-('_Dates'!Y988)+1),7)),"O",""))-COUNTIFS(INDEX(AllClosureRows,C988,0),"&gt;="&amp;('_Dates'!Y988),INDEX(AllClosureRows,C988,0),"&lt;="&amp;('_Dates'!Z988)))))</ns0:f>
        <ns0:v>0</ns0:v>
      </ns0:c>
      <ns0:c r="H988" s="0">
        <ns0:f>IF(OR(F988&lt;&gt;"OK",$B$6&gt;0),0,0.5*(IF((MIN('_Dates'!X988,Settings!$B$9))&lt;('_Dates'!W988),0,INT(((MIN('_Dates'!X988,Settings!$B$9))-('_Dates'!W988)+1)/7)*LEN(SUBSTITUTE(W988,"O",""))+LEN(SUBSTITUTE(MID(W988&amp;W988,WEEKDAY(('_Dates'!W988),2),MOD(((MIN('_Dates'!X988,Settings!$B$9))-('_Dates'!W988)+1),7)),"O",""))-COUNTIFS(INDEX(AllClosureRows,C988,0),"&gt;="&amp;('_Dates'!W988),INDEX(AllClosureRows,C988,0),"&lt;="&amp;(MIN('_Dates'!X988,Settings!$B$9))))+IF((MIN('_Dates'!Z988,Settings!$B$9))&lt;('_Dates'!Y988),0,INT(((MIN('_Dates'!Z988,Settings!$B$9))-('_Dates'!Y988)+1)/7)*LEN(SUBSTITUTE(W988,"O",""))+LEN(SUBSTITUTE(MID(W988&amp;W988,WEEKDAY(('_Dates'!Y988),2),MOD(((MIN('_Dates'!Z988,Settings!$B$9))-('_Dates'!Y988)+1),7)),"O",""))-COUNTIFS(INDEX(AllClosureRows,C988,0),"&gt;="&amp;('_Dates'!Y988),INDEX(AllClosureRows,C988,0),"&lt;="&amp;(MIN('_Dates'!Z988,Settings!$B$9))))))</ns0:f>
        <ns0:v>0</ns0:v>
      </ns0:c>
      <ns0:c r="I988" s="0">
        <ns0:f>MAX(0,G988-H988)</ns0:f>
        <ns0:v>0</ns0:v>
      </ns0:c>
      <ns0:c r="J988" s="0">
        <ns0:f>IF(OR(A988=0,F988&lt;&gt;"OK",Bookings!G988="Cancelled",$B$6&gt;0),0,IF('_Dates'!AC988=1,MAX(0,COUNTIFS(rngEngine_B,B988,rngAMStart,"&lt;="&amp;'_Dates'!X988,rngAMEnd,"&gt;="&amp;'_Dates'!W988,rngAMActive,1,rngEngine_F,"OK",rngBookings_F,"&lt;&gt;Cancelled")-1),0)+IF('_Dates'!AD988=1,MAX(0,COUNTIFS(rngEngine_B,B988,rngPMStart,"&lt;="&amp;'_Dates'!Z988,rngPMEnd,"&gt;="&amp;'_Dates'!Y988,rngPMActive,1,rngEngine_F,"OK",rngBookings_F,"&lt;&gt;Cancelled")-1),0))</ns0:f>
        <ns0:v>0</ns0:v>
      </ns0:c>
      <ns0:c r="K988" s="0" t="str">
        <ns0:f>IF(A988=0,"",IF(F988&lt;&gt;"OK",F988,IF(J988&gt;0,"CHECK overlapping entry",IF(AND($B$6=0,G988&lt;=0,Bookings!G988&lt;&gt;"Cancelled"),"CHECK no working days",IF(Bookings!G988="Cancelled","Cancelled","OK")))))</ns0:f>
        <ns0:v/>
      </ns0:c>
      <ns0:c r="L988" s="0">
        <ns0:f>IF(LEFT(K988,5)="CHECK",1,0)</ns0:f>
        <ns0:v>0</ns0:v>
      </ns0:c>
      <ns0:c r="M988" s="0">
        <ns0:f>IF(AND(L988=1,OR(C988=0,IFERROR(INDEX($X$11:$X$60,C988),0)=0)),1,0)</ns0:f>
        <ns0:v>0</ns0:v>
      </ns0:c>
      <ns0:c r="N988" s="0">
        <ns0:f>IF(OR(A988=0,L988&gt;0,$B$6&gt;0,Bookings!G988="Cancelled"),0,G988)</ns0:f>
        <ns0:v>0</ns0:v>
      </ns0:c>
      <ns0:c r="O988" s="0">
        <ns0:f>IF(AND(Bookings!G988="Approved",E988="Yes"),N988,0)</ns0:f>
        <ns0:v>0</ns0:v>
      </ns0:c>
      <ns0:c r="P988" s="0">
        <ns0:f>IF(AND(Bookings!G988="Approved",E988="Yes",L988=0,$B$6=0),H988,0)</ns0:f>
        <ns0:v>0</ns0:v>
      </ns0:c>
      <ns0:c r="Q988" s="0">
        <ns0:f>IF(AND(Bookings!G988="Approved",E988="Yes",L988=0,$B$6=0),I988,0)</ns0:f>
        <ns0:v>0</ns0:v>
      </ns0:c>
      <ns0:c r="R988" s="0">
        <ns0:f>IF(AND(Bookings!G988="Pending",E988="Yes"),N988,0)</ns0:f>
        <ns0:v>0</ns0:v>
      </ns0:c>
      <ns0:c r="S988" s="0">
        <ns0:f>IF(AND(Bookings!G988="Approved",E988="No"),N988,0)</ns0:f>
        <ns0:v>0</ns0:v>
      </ns0:c>
      <ns0:c r="T988" s="0">
        <ns0:f>IFERROR(MATCH(D988,Settings!$G$7:$G$11,0),0)</ns0:f>
        <ns0:v>0</ns0:v>
      </ns0:c>
      <ns0:c r="U988" s="0">
        <ns0:f>IF(N988&gt;0,T988+IF(Bookings!G988="Pending",10,0),0)</ns0:f>
        <ns0:v>0</ns0:v>
      </ns0:c>
      <ns0:c r="V988" s="0">
        <ns0:f>U988</ns0:f>
        <ns0:v>0</ns0:v>
      </ns0:c>
      <ns0:c r="W988" s="0" t="str">
        <ns0:f>IF(C988=0,"",INDEX($AP$11:$AP$60,C988))</ns0:f>
        <ns0:v/>
      </ns0:c>
    </ns0:row>
    <ns0:row r="989">
      <ns0:c r="A989" s="0">
        <ns0:f>IF(COUNTA(Bookings!A989:G989,Bookings!I989)=0,0,1)</ns0:f>
        <ns0:v>0</ns0:v>
      </ns0:c>
      <ns0:c r="B989" s="0" t="str">
        <ns0:f>IFERROR(TRIM(MID(Bookings!A989,FIND(" · ",Bookings!A989)+3,99)),"")</ns0:f>
        <ns0:v/>
      </ns0:c>
      <ns0:c r="C989" s="0">
        <ns0:f>IF(OR(B989="",LEN(B989)&gt;24,ISNUMBER(FIND(" ",B989)),ISNUMBER(FIND("*",B989)),ISNUMBER(FIND("?",B989)),ISNUMBER(FIND("~",B989))),0,IFERROR(MATCH(B989,Team!$A$11:$A$60,0),0))</ns0:f>
        <ns0:v>0</ns0:v>
      </ns0:c>
      <ns0:c r="D989" s="0" t="str">
        <ns0:f>IFERROR(IF(MID(Bookings!F989,LEN(Bookings!F989)-3,3)=" · ",RIGHT(Bookings!F989,1),""),"")</ns0:f>
        <ns0:v/>
      </ns0:c>
      <ns0:c r="E989" s="0" t="str">
        <ns0:f>IFERROR(INDEX(Settings!$H$7:$H$11,MATCH(D989,Settings!$G$7:$G$11,0)),"")</ns0:f>
        <ns0:v/>
      </ns0:c>
      <ns0:c r="F989" s="0" t="str">
        <ns0:f>IF(A989=0,"",IFERROR(IF(OR(B989="",C989=0),"CHECK employee selection",IF(INDEX(Team!$O$11:$O$60,C989)&lt;&gt;"OK","CHECK employee setup",IF(OR('_Dates'!J989=0,'_Dates'!T989=0),"CHECK date: use DD.MM.YYYY",IF('_Dates'!T989&lt;'_Dates'!J989,"CHECK end before start",IF(AND($B$6=0,OR('_Dates'!J989&lt;Settings!$B$7,'_Dates'!T989&gt;Settings!$B$8)),"CHECK split across leave years",IF(OR(NOT(OR('_Dates'!U989="Full day",'_Dates'!U989="AM",'_Dates'!U989="PM")),NOT(OR('_Dates'!V989="Full day",'_Dates'!V989="AM",'_Dates'!V989="PM"))),"CHECK Full day / AM / PM",IF(AND('_Dates'!J989='_Dates'!T989,'_Dates'!U989&lt;&gt;"Full day",'_Dates'!V989&lt;&gt;"Full day",'_Dates'!U989&lt;&gt;'_Dates'!V989),"CHECK same-day portions disagree",IF(AND($B$6=0,OR(AND('_Dates'!U989&lt;&gt;"Full day",'_Dates'!AA989=0),AND('_Dates'!V989&lt;&gt;"Full day",'_Dates'!AB989=0))),"CHECK half-day on non-working date",IF(COUNTIF(Settings!$G$7:$G$11,D989)&lt;&gt;1,"CHECK leave type",IF(AND(Bookings!G989&lt;&gt;"Approved",Bookings!G989&lt;&gt;"Pending",Bookings!G989&lt;&gt;"Cancelled"),"CHECK status","OK")))))))))),"CHECK input"))</ns0:f>
        <ns0:v/>
      </ns0:c>
      <ns0:c r="G989" s="0">
        <ns0:f>IF(OR(F989&lt;&gt;"OK",$B$6&gt;0),0,0.5*(IF(('_Dates'!X989)&lt;('_Dates'!W989),0,INT((('_Dates'!X989)-('_Dates'!W989)+1)/7)*LEN(SUBSTITUTE(W989,"O",""))+LEN(SUBSTITUTE(MID(W989&amp;W989,WEEKDAY(('_Dates'!W989),2),MOD((('_Dates'!X989)-('_Dates'!W989)+1),7)),"O",""))-COUNTIFS(INDEX(AllClosureRows,C989,0),"&gt;="&amp;('_Dates'!W989),INDEX(AllClosureRows,C989,0),"&lt;="&amp;('_Dates'!X989)))+IF(('_Dates'!Z989)&lt;('_Dates'!Y989),0,INT((('_Dates'!Z989)-('_Dates'!Y989)+1)/7)*LEN(SUBSTITUTE(W989,"O",""))+LEN(SUBSTITUTE(MID(W989&amp;W989,WEEKDAY(('_Dates'!Y989),2),MOD((('_Dates'!Z989)-('_Dates'!Y989)+1),7)),"O",""))-COUNTIFS(INDEX(AllClosureRows,C989,0),"&gt;="&amp;('_Dates'!Y989),INDEX(AllClosureRows,C989,0),"&lt;="&amp;('_Dates'!Z989)))))</ns0:f>
        <ns0:v>0</ns0:v>
      </ns0:c>
      <ns0:c r="H989" s="0">
        <ns0:f>IF(OR(F989&lt;&gt;"OK",$B$6&gt;0),0,0.5*(IF((MIN('_Dates'!X989,Settings!$B$9))&lt;('_Dates'!W989),0,INT(((MIN('_Dates'!X989,Settings!$B$9))-('_Dates'!W989)+1)/7)*LEN(SUBSTITUTE(W989,"O",""))+LEN(SUBSTITUTE(MID(W989&amp;W989,WEEKDAY(('_Dates'!W989),2),MOD(((MIN('_Dates'!X989,Settings!$B$9))-('_Dates'!W989)+1),7)),"O",""))-COUNTIFS(INDEX(AllClosureRows,C989,0),"&gt;="&amp;('_Dates'!W989),INDEX(AllClosureRows,C989,0),"&lt;="&amp;(MIN('_Dates'!X989,Settings!$B$9))))+IF((MIN('_Dates'!Z989,Settings!$B$9))&lt;('_Dates'!Y989),0,INT(((MIN('_Dates'!Z989,Settings!$B$9))-('_Dates'!Y989)+1)/7)*LEN(SUBSTITUTE(W989,"O",""))+LEN(SUBSTITUTE(MID(W989&amp;W989,WEEKDAY(('_Dates'!Y989),2),MOD(((MIN('_Dates'!Z989,Settings!$B$9))-('_Dates'!Y989)+1),7)),"O",""))-COUNTIFS(INDEX(AllClosureRows,C989,0),"&gt;="&amp;('_Dates'!Y989),INDEX(AllClosureRows,C989,0),"&lt;="&amp;(MIN('_Dates'!Z989,Settings!$B$9))))))</ns0:f>
        <ns0:v>0</ns0:v>
      </ns0:c>
      <ns0:c r="I989" s="0">
        <ns0:f>MAX(0,G989-H989)</ns0:f>
        <ns0:v>0</ns0:v>
      </ns0:c>
      <ns0:c r="J989" s="0">
        <ns0:f>IF(OR(A989=0,F989&lt;&gt;"OK",Bookings!G989="Cancelled",$B$6&gt;0),0,IF('_Dates'!AC989=1,MAX(0,COUNTIFS(rngEngine_B,B989,rngAMStart,"&lt;="&amp;'_Dates'!X989,rngAMEnd,"&gt;="&amp;'_Dates'!W989,rngAMActive,1,rngEngine_F,"OK",rngBookings_F,"&lt;&gt;Cancelled")-1),0)+IF('_Dates'!AD989=1,MAX(0,COUNTIFS(rngEngine_B,B989,rngPMStart,"&lt;="&amp;'_Dates'!Z989,rngPMEnd,"&gt;="&amp;'_Dates'!Y989,rngPMActive,1,rngEngine_F,"OK",rngBookings_F,"&lt;&gt;Cancelled")-1),0))</ns0:f>
        <ns0:v>0</ns0:v>
      </ns0:c>
      <ns0:c r="K989" s="0" t="str">
        <ns0:f>IF(A989=0,"",IF(F989&lt;&gt;"OK",F989,IF(J989&gt;0,"CHECK overlapping entry",IF(AND($B$6=0,G989&lt;=0,Bookings!G989&lt;&gt;"Cancelled"),"CHECK no working days",IF(Bookings!G989="Cancelled","Cancelled","OK")))))</ns0:f>
        <ns0:v/>
      </ns0:c>
      <ns0:c r="L989" s="0">
        <ns0:f>IF(LEFT(K989,5)="CHECK",1,0)</ns0:f>
        <ns0:v>0</ns0:v>
      </ns0:c>
      <ns0:c r="M989" s="0">
        <ns0:f>IF(AND(L989=1,OR(C989=0,IFERROR(INDEX($X$11:$X$60,C989),0)=0)),1,0)</ns0:f>
        <ns0:v>0</ns0:v>
      </ns0:c>
      <ns0:c r="N989" s="0">
        <ns0:f>IF(OR(A989=0,L989&gt;0,$B$6&gt;0,Bookings!G989="Cancelled"),0,G989)</ns0:f>
        <ns0:v>0</ns0:v>
      </ns0:c>
      <ns0:c r="O989" s="0">
        <ns0:f>IF(AND(Bookings!G989="Approved",E989="Yes"),N989,0)</ns0:f>
        <ns0:v>0</ns0:v>
      </ns0:c>
      <ns0:c r="P989" s="0">
        <ns0:f>IF(AND(Bookings!G989="Approved",E989="Yes",L989=0,$B$6=0),H989,0)</ns0:f>
        <ns0:v>0</ns0:v>
      </ns0:c>
      <ns0:c r="Q989" s="0">
        <ns0:f>IF(AND(Bookings!G989="Approved",E989="Yes",L989=0,$B$6=0),I989,0)</ns0:f>
        <ns0:v>0</ns0:v>
      </ns0:c>
      <ns0:c r="R989" s="0">
        <ns0:f>IF(AND(Bookings!G989="Pending",E989="Yes"),N989,0)</ns0:f>
        <ns0:v>0</ns0:v>
      </ns0:c>
      <ns0:c r="S989" s="0">
        <ns0:f>IF(AND(Bookings!G989="Approved",E989="No"),N989,0)</ns0:f>
        <ns0:v>0</ns0:v>
      </ns0:c>
      <ns0:c r="T989" s="0">
        <ns0:f>IFERROR(MATCH(D989,Settings!$G$7:$G$11,0),0)</ns0:f>
        <ns0:v>0</ns0:v>
      </ns0:c>
      <ns0:c r="U989" s="0">
        <ns0:f>IF(N989&gt;0,T989+IF(Bookings!G989="Pending",10,0),0)</ns0:f>
        <ns0:v>0</ns0:v>
      </ns0:c>
      <ns0:c r="V989" s="0">
        <ns0:f>U989</ns0:f>
        <ns0:v>0</ns0:v>
      </ns0:c>
      <ns0:c r="W989" s="0" t="str">
        <ns0:f>IF(C989=0,"",INDEX($AP$11:$AP$60,C989))</ns0:f>
        <ns0:v/>
      </ns0:c>
    </ns0:row>
    <ns0:row r="990">
      <ns0:c r="A990" s="0">
        <ns0:f>IF(COUNTA(Bookings!A990:G990,Bookings!I990)=0,0,1)</ns0:f>
        <ns0:v>0</ns0:v>
      </ns0:c>
      <ns0:c r="B990" s="0" t="str">
        <ns0:f>IFERROR(TRIM(MID(Bookings!A990,FIND(" · ",Bookings!A990)+3,99)),"")</ns0:f>
        <ns0:v/>
      </ns0:c>
      <ns0:c r="C990" s="0">
        <ns0:f>IF(OR(B990="",LEN(B990)&gt;24,ISNUMBER(FIND(" ",B990)),ISNUMBER(FIND("*",B990)),ISNUMBER(FIND("?",B990)),ISNUMBER(FIND("~",B990))),0,IFERROR(MATCH(B990,Team!$A$11:$A$60,0),0))</ns0:f>
        <ns0:v>0</ns0:v>
      </ns0:c>
      <ns0:c r="D990" s="0" t="str">
        <ns0:f>IFERROR(IF(MID(Bookings!F990,LEN(Bookings!F990)-3,3)=" · ",RIGHT(Bookings!F990,1),""),"")</ns0:f>
        <ns0:v/>
      </ns0:c>
      <ns0:c r="E990" s="0" t="str">
        <ns0:f>IFERROR(INDEX(Settings!$H$7:$H$11,MATCH(D990,Settings!$G$7:$G$11,0)),"")</ns0:f>
        <ns0:v/>
      </ns0:c>
      <ns0:c r="F990" s="0" t="str">
        <ns0:f>IF(A990=0,"",IFERROR(IF(OR(B990="",C990=0),"CHECK employee selection",IF(INDEX(Team!$O$11:$O$60,C990)&lt;&gt;"OK","CHECK employee setup",IF(OR('_Dates'!J990=0,'_Dates'!T990=0),"CHECK date: use DD.MM.YYYY",IF('_Dates'!T990&lt;'_Dates'!J990,"CHECK end before start",IF(AND($B$6=0,OR('_Dates'!J990&lt;Settings!$B$7,'_Dates'!T990&gt;Settings!$B$8)),"CHECK split across leave years",IF(OR(NOT(OR('_Dates'!U990="Full day",'_Dates'!U990="AM",'_Dates'!U990="PM")),NOT(OR('_Dates'!V990="Full day",'_Dates'!V990="AM",'_Dates'!V990="PM"))),"CHECK Full day / AM / PM",IF(AND('_Dates'!J990='_Dates'!T990,'_Dates'!U990&lt;&gt;"Full day",'_Dates'!V990&lt;&gt;"Full day",'_Dates'!U990&lt;&gt;'_Dates'!V990),"CHECK same-day portions disagree",IF(AND($B$6=0,OR(AND('_Dates'!U990&lt;&gt;"Full day",'_Dates'!AA990=0),AND('_Dates'!V990&lt;&gt;"Full day",'_Dates'!AB990=0))),"CHECK half-day on non-working date",IF(COUNTIF(Settings!$G$7:$G$11,D990)&lt;&gt;1,"CHECK leave type",IF(AND(Bookings!G990&lt;&gt;"Approved",Bookings!G990&lt;&gt;"Pending",Bookings!G990&lt;&gt;"Cancelled"),"CHECK status","OK")))))))))),"CHECK input"))</ns0:f>
        <ns0:v/>
      </ns0:c>
      <ns0:c r="G990" s="0">
        <ns0:f>IF(OR(F990&lt;&gt;"OK",$B$6&gt;0),0,0.5*(IF(('_Dates'!X990)&lt;('_Dates'!W990),0,INT((('_Dates'!X990)-('_Dates'!W990)+1)/7)*LEN(SUBSTITUTE(W990,"O",""))+LEN(SUBSTITUTE(MID(W990&amp;W990,WEEKDAY(('_Dates'!W990),2),MOD((('_Dates'!X990)-('_Dates'!W990)+1),7)),"O",""))-COUNTIFS(INDEX(AllClosureRows,C990,0),"&gt;="&amp;('_Dates'!W990),INDEX(AllClosureRows,C990,0),"&lt;="&amp;('_Dates'!X990)))+IF(('_Dates'!Z990)&lt;('_Dates'!Y990),0,INT((('_Dates'!Z990)-('_Dates'!Y990)+1)/7)*LEN(SUBSTITUTE(W990,"O",""))+LEN(SUBSTITUTE(MID(W990&amp;W990,WEEKDAY(('_Dates'!Y990),2),MOD((('_Dates'!Z990)-('_Dates'!Y990)+1),7)),"O",""))-COUNTIFS(INDEX(AllClosureRows,C990,0),"&gt;="&amp;('_Dates'!Y990),INDEX(AllClosureRows,C990,0),"&lt;="&amp;('_Dates'!Z990)))))</ns0:f>
        <ns0:v>0</ns0:v>
      </ns0:c>
      <ns0:c r="H990" s="0">
        <ns0:f>IF(OR(F990&lt;&gt;"OK",$B$6&gt;0),0,0.5*(IF((MIN('_Dates'!X990,Settings!$B$9))&lt;('_Dates'!W990),0,INT(((MIN('_Dates'!X990,Settings!$B$9))-('_Dates'!W990)+1)/7)*LEN(SUBSTITUTE(W990,"O",""))+LEN(SUBSTITUTE(MID(W990&amp;W990,WEEKDAY(('_Dates'!W990),2),MOD(((MIN('_Dates'!X990,Settings!$B$9))-('_Dates'!W990)+1),7)),"O",""))-COUNTIFS(INDEX(AllClosureRows,C990,0),"&gt;="&amp;('_Dates'!W990),INDEX(AllClosureRows,C990,0),"&lt;="&amp;(MIN('_Dates'!X990,Settings!$B$9))))+IF((MIN('_Dates'!Z990,Settings!$B$9))&lt;('_Dates'!Y990),0,INT(((MIN('_Dates'!Z990,Settings!$B$9))-('_Dates'!Y990)+1)/7)*LEN(SUBSTITUTE(W990,"O",""))+LEN(SUBSTITUTE(MID(W990&amp;W990,WEEKDAY(('_Dates'!Y990),2),MOD(((MIN('_Dates'!Z990,Settings!$B$9))-('_Dates'!Y990)+1),7)),"O",""))-COUNTIFS(INDEX(AllClosureRows,C990,0),"&gt;="&amp;('_Dates'!Y990),INDEX(AllClosureRows,C990,0),"&lt;="&amp;(MIN('_Dates'!Z990,Settings!$B$9))))))</ns0:f>
        <ns0:v>0</ns0:v>
      </ns0:c>
      <ns0:c r="I990" s="0">
        <ns0:f>MAX(0,G990-H990)</ns0:f>
        <ns0:v>0</ns0:v>
      </ns0:c>
      <ns0:c r="J990" s="0">
        <ns0:f>IF(OR(A990=0,F990&lt;&gt;"OK",Bookings!G990="Cancelled",$B$6&gt;0),0,IF('_Dates'!AC990=1,MAX(0,COUNTIFS(rngEngine_B,B990,rngAMStart,"&lt;="&amp;'_Dates'!X990,rngAMEnd,"&gt;="&amp;'_Dates'!W990,rngAMActive,1,rngEngine_F,"OK",rngBookings_F,"&lt;&gt;Cancelled")-1),0)+IF('_Dates'!AD990=1,MAX(0,COUNTIFS(rngEngine_B,B990,rngPMStart,"&lt;="&amp;'_Dates'!Z990,rngPMEnd,"&gt;="&amp;'_Dates'!Y990,rngPMActive,1,rngEngine_F,"OK",rngBookings_F,"&lt;&gt;Cancelled")-1),0))</ns0:f>
        <ns0:v>0</ns0:v>
      </ns0:c>
      <ns0:c r="K990" s="0" t="str">
        <ns0:f>IF(A990=0,"",IF(F990&lt;&gt;"OK",F990,IF(J990&gt;0,"CHECK overlapping entry",IF(AND($B$6=0,G990&lt;=0,Bookings!G990&lt;&gt;"Cancelled"),"CHECK no working days",IF(Bookings!G990="Cancelled","Cancelled","OK")))))</ns0:f>
        <ns0:v/>
      </ns0:c>
      <ns0:c r="L990" s="0">
        <ns0:f>IF(LEFT(K990,5)="CHECK",1,0)</ns0:f>
        <ns0:v>0</ns0:v>
      </ns0:c>
      <ns0:c r="M990" s="0">
        <ns0:f>IF(AND(L990=1,OR(C990=0,IFERROR(INDEX($X$11:$X$60,C990),0)=0)),1,0)</ns0:f>
        <ns0:v>0</ns0:v>
      </ns0:c>
      <ns0:c r="N990" s="0">
        <ns0:f>IF(OR(A990=0,L990&gt;0,$B$6&gt;0,Bookings!G990="Cancelled"),0,G990)</ns0:f>
        <ns0:v>0</ns0:v>
      </ns0:c>
      <ns0:c r="O990" s="0">
        <ns0:f>IF(AND(Bookings!G990="Approved",E990="Yes"),N990,0)</ns0:f>
        <ns0:v>0</ns0:v>
      </ns0:c>
      <ns0:c r="P990" s="0">
        <ns0:f>IF(AND(Bookings!G990="Approved",E990="Yes",L990=0,$B$6=0),H990,0)</ns0:f>
        <ns0:v>0</ns0:v>
      </ns0:c>
      <ns0:c r="Q990" s="0">
        <ns0:f>IF(AND(Bookings!G990="Approved",E990="Yes",L990=0,$B$6=0),I990,0)</ns0:f>
        <ns0:v>0</ns0:v>
      </ns0:c>
      <ns0:c r="R990" s="0">
        <ns0:f>IF(AND(Bookings!G990="Pending",E990="Yes"),N990,0)</ns0:f>
        <ns0:v>0</ns0:v>
      </ns0:c>
      <ns0:c r="S990" s="0">
        <ns0:f>IF(AND(Bookings!G990="Approved",E990="No"),N990,0)</ns0:f>
        <ns0:v>0</ns0:v>
      </ns0:c>
      <ns0:c r="T990" s="0">
        <ns0:f>IFERROR(MATCH(D990,Settings!$G$7:$G$11,0),0)</ns0:f>
        <ns0:v>0</ns0:v>
      </ns0:c>
      <ns0:c r="U990" s="0">
        <ns0:f>IF(N990&gt;0,T990+IF(Bookings!G990="Pending",10,0),0)</ns0:f>
        <ns0:v>0</ns0:v>
      </ns0:c>
      <ns0:c r="V990" s="0">
        <ns0:f>U990</ns0:f>
        <ns0:v>0</ns0:v>
      </ns0:c>
      <ns0:c r="W990" s="0" t="str">
        <ns0:f>IF(C990=0,"",INDEX($AP$11:$AP$60,C990))</ns0:f>
        <ns0:v/>
      </ns0:c>
    </ns0:row>
    <ns0:row r="991">
      <ns0:c r="A991" s="0">
        <ns0:f>IF(COUNTA(Bookings!A991:G991,Bookings!I991)=0,0,1)</ns0:f>
        <ns0:v>0</ns0:v>
      </ns0:c>
      <ns0:c r="B991" s="0" t="str">
        <ns0:f>IFERROR(TRIM(MID(Bookings!A991,FIND(" · ",Bookings!A991)+3,99)),"")</ns0:f>
        <ns0:v/>
      </ns0:c>
      <ns0:c r="C991" s="0">
        <ns0:f>IF(OR(B991="",LEN(B991)&gt;24,ISNUMBER(FIND(" ",B991)),ISNUMBER(FIND("*",B991)),ISNUMBER(FIND("?",B991)),ISNUMBER(FIND("~",B991))),0,IFERROR(MATCH(B991,Team!$A$11:$A$60,0),0))</ns0:f>
        <ns0:v>0</ns0:v>
      </ns0:c>
      <ns0:c r="D991" s="0" t="str">
        <ns0:f>IFERROR(IF(MID(Bookings!F991,LEN(Bookings!F991)-3,3)=" · ",RIGHT(Bookings!F991,1),""),"")</ns0:f>
        <ns0:v/>
      </ns0:c>
      <ns0:c r="E991" s="0" t="str">
        <ns0:f>IFERROR(INDEX(Settings!$H$7:$H$11,MATCH(D991,Settings!$G$7:$G$11,0)),"")</ns0:f>
        <ns0:v/>
      </ns0:c>
      <ns0:c r="F991" s="0" t="str">
        <ns0:f>IF(A991=0,"",IFERROR(IF(OR(B991="",C991=0),"CHECK employee selection",IF(INDEX(Team!$O$11:$O$60,C991)&lt;&gt;"OK","CHECK employee setup",IF(OR('_Dates'!J991=0,'_Dates'!T991=0),"CHECK date: use DD.MM.YYYY",IF('_Dates'!T991&lt;'_Dates'!J991,"CHECK end before start",IF(AND($B$6=0,OR('_Dates'!J991&lt;Settings!$B$7,'_Dates'!T991&gt;Settings!$B$8)),"CHECK split across leave years",IF(OR(NOT(OR('_Dates'!U991="Full day",'_Dates'!U991="AM",'_Dates'!U991="PM")),NOT(OR('_Dates'!V991="Full day",'_Dates'!V991="AM",'_Dates'!V991="PM"))),"CHECK Full day / AM / PM",IF(AND('_Dates'!J991='_Dates'!T991,'_Dates'!U991&lt;&gt;"Full day",'_Dates'!V991&lt;&gt;"Full day",'_Dates'!U991&lt;&gt;'_Dates'!V991),"CHECK same-day portions disagree",IF(AND($B$6=0,OR(AND('_Dates'!U991&lt;&gt;"Full day",'_Dates'!AA991=0),AND('_Dates'!V991&lt;&gt;"Full day",'_Dates'!AB991=0))),"CHECK half-day on non-working date",IF(COUNTIF(Settings!$G$7:$G$11,D991)&lt;&gt;1,"CHECK leave type",IF(AND(Bookings!G991&lt;&gt;"Approved",Bookings!G991&lt;&gt;"Pending",Bookings!G991&lt;&gt;"Cancelled"),"CHECK status","OK")))))))))),"CHECK input"))</ns0:f>
        <ns0:v/>
      </ns0:c>
      <ns0:c r="G991" s="0">
        <ns0:f>IF(OR(F991&lt;&gt;"OK",$B$6&gt;0),0,0.5*(IF(('_Dates'!X991)&lt;('_Dates'!W991),0,INT((('_Dates'!X991)-('_Dates'!W991)+1)/7)*LEN(SUBSTITUTE(W991,"O",""))+LEN(SUBSTITUTE(MID(W991&amp;W991,WEEKDAY(('_Dates'!W991),2),MOD((('_Dates'!X991)-('_Dates'!W991)+1),7)),"O",""))-COUNTIFS(INDEX(AllClosureRows,C991,0),"&gt;="&amp;('_Dates'!W991),INDEX(AllClosureRows,C991,0),"&lt;="&amp;('_Dates'!X991)))+IF(('_Dates'!Z991)&lt;('_Dates'!Y991),0,INT((('_Dates'!Z991)-('_Dates'!Y991)+1)/7)*LEN(SUBSTITUTE(W991,"O",""))+LEN(SUBSTITUTE(MID(W991&amp;W991,WEEKDAY(('_Dates'!Y991),2),MOD((('_Dates'!Z991)-('_Dates'!Y991)+1),7)),"O",""))-COUNTIFS(INDEX(AllClosureRows,C991,0),"&gt;="&amp;('_Dates'!Y991),INDEX(AllClosureRows,C991,0),"&lt;="&amp;('_Dates'!Z991)))))</ns0:f>
        <ns0:v>0</ns0:v>
      </ns0:c>
      <ns0:c r="H991" s="0">
        <ns0:f>IF(OR(F991&lt;&gt;"OK",$B$6&gt;0),0,0.5*(IF((MIN('_Dates'!X991,Settings!$B$9))&lt;('_Dates'!W991),0,INT(((MIN('_Dates'!X991,Settings!$B$9))-('_Dates'!W991)+1)/7)*LEN(SUBSTITUTE(W991,"O",""))+LEN(SUBSTITUTE(MID(W991&amp;W991,WEEKDAY(('_Dates'!W991),2),MOD(((MIN('_Dates'!X991,Settings!$B$9))-('_Dates'!W991)+1),7)),"O",""))-COUNTIFS(INDEX(AllClosureRows,C991,0),"&gt;="&amp;('_Dates'!W991),INDEX(AllClosureRows,C991,0),"&lt;="&amp;(MIN('_Dates'!X991,Settings!$B$9))))+IF((MIN('_Dates'!Z991,Settings!$B$9))&lt;('_Dates'!Y991),0,INT(((MIN('_Dates'!Z991,Settings!$B$9))-('_Dates'!Y991)+1)/7)*LEN(SUBSTITUTE(W991,"O",""))+LEN(SUBSTITUTE(MID(W991&amp;W991,WEEKDAY(('_Dates'!Y991),2),MOD(((MIN('_Dates'!Z991,Settings!$B$9))-('_Dates'!Y991)+1),7)),"O",""))-COUNTIFS(INDEX(AllClosureRows,C991,0),"&gt;="&amp;('_Dates'!Y991),INDEX(AllClosureRows,C991,0),"&lt;="&amp;(MIN('_Dates'!Z991,Settings!$B$9))))))</ns0:f>
        <ns0:v>0</ns0:v>
      </ns0:c>
      <ns0:c r="I991" s="0">
        <ns0:f>MAX(0,G991-H991)</ns0:f>
        <ns0:v>0</ns0:v>
      </ns0:c>
      <ns0:c r="J991" s="0">
        <ns0:f>IF(OR(A991=0,F991&lt;&gt;"OK",Bookings!G991="Cancelled",$B$6&gt;0),0,IF('_Dates'!AC991=1,MAX(0,COUNTIFS(rngEngine_B,B991,rngAMStart,"&lt;="&amp;'_Dates'!X991,rngAMEnd,"&gt;="&amp;'_Dates'!W991,rngAMActive,1,rngEngine_F,"OK",rngBookings_F,"&lt;&gt;Cancelled")-1),0)+IF('_Dates'!AD991=1,MAX(0,COUNTIFS(rngEngine_B,B991,rngPMStart,"&lt;="&amp;'_Dates'!Z991,rngPMEnd,"&gt;="&amp;'_Dates'!Y991,rngPMActive,1,rngEngine_F,"OK",rngBookings_F,"&lt;&gt;Cancelled")-1),0))</ns0:f>
        <ns0:v>0</ns0:v>
      </ns0:c>
      <ns0:c r="K991" s="0" t="str">
        <ns0:f>IF(A991=0,"",IF(F991&lt;&gt;"OK",F991,IF(J991&gt;0,"CHECK overlapping entry",IF(AND($B$6=0,G991&lt;=0,Bookings!G991&lt;&gt;"Cancelled"),"CHECK no working days",IF(Bookings!G991="Cancelled","Cancelled","OK")))))</ns0:f>
        <ns0:v/>
      </ns0:c>
      <ns0:c r="L991" s="0">
        <ns0:f>IF(LEFT(K991,5)="CHECK",1,0)</ns0:f>
        <ns0:v>0</ns0:v>
      </ns0:c>
      <ns0:c r="M991" s="0">
        <ns0:f>IF(AND(L991=1,OR(C991=0,IFERROR(INDEX($X$11:$X$60,C991),0)=0)),1,0)</ns0:f>
        <ns0:v>0</ns0:v>
      </ns0:c>
      <ns0:c r="N991" s="0">
        <ns0:f>IF(OR(A991=0,L991&gt;0,$B$6&gt;0,Bookings!G991="Cancelled"),0,G991)</ns0:f>
        <ns0:v>0</ns0:v>
      </ns0:c>
      <ns0:c r="O991" s="0">
        <ns0:f>IF(AND(Bookings!G991="Approved",E991="Yes"),N991,0)</ns0:f>
        <ns0:v>0</ns0:v>
      </ns0:c>
      <ns0:c r="P991" s="0">
        <ns0:f>IF(AND(Bookings!G991="Approved",E991="Yes",L991=0,$B$6=0),H991,0)</ns0:f>
        <ns0:v>0</ns0:v>
      </ns0:c>
      <ns0:c r="Q991" s="0">
        <ns0:f>IF(AND(Bookings!G991="Approved",E991="Yes",L991=0,$B$6=0),I991,0)</ns0:f>
        <ns0:v>0</ns0:v>
      </ns0:c>
      <ns0:c r="R991" s="0">
        <ns0:f>IF(AND(Bookings!G991="Pending",E991="Yes"),N991,0)</ns0:f>
        <ns0:v>0</ns0:v>
      </ns0:c>
      <ns0:c r="S991" s="0">
        <ns0:f>IF(AND(Bookings!G991="Approved",E991="No"),N991,0)</ns0:f>
        <ns0:v>0</ns0:v>
      </ns0:c>
      <ns0:c r="T991" s="0">
        <ns0:f>IFERROR(MATCH(D991,Settings!$G$7:$G$11,0),0)</ns0:f>
        <ns0:v>0</ns0:v>
      </ns0:c>
      <ns0:c r="U991" s="0">
        <ns0:f>IF(N991&gt;0,T991+IF(Bookings!G991="Pending",10,0),0)</ns0:f>
        <ns0:v>0</ns0:v>
      </ns0:c>
      <ns0:c r="V991" s="0">
        <ns0:f>U991</ns0:f>
        <ns0:v>0</ns0:v>
      </ns0:c>
      <ns0:c r="W991" s="0" t="str">
        <ns0:f>IF(C991=0,"",INDEX($AP$11:$AP$60,C991))</ns0:f>
        <ns0:v/>
      </ns0:c>
    </ns0:row>
    <ns0:row r="992">
      <ns0:c r="A992" s="0">
        <ns0:f>IF(COUNTA(Bookings!A992:G992,Bookings!I992)=0,0,1)</ns0:f>
        <ns0:v>0</ns0:v>
      </ns0:c>
      <ns0:c r="B992" s="0" t="str">
        <ns0:f>IFERROR(TRIM(MID(Bookings!A992,FIND(" · ",Bookings!A992)+3,99)),"")</ns0:f>
        <ns0:v/>
      </ns0:c>
      <ns0:c r="C992" s="0">
        <ns0:f>IF(OR(B992="",LEN(B992)&gt;24,ISNUMBER(FIND(" ",B992)),ISNUMBER(FIND("*",B992)),ISNUMBER(FIND("?",B992)),ISNUMBER(FIND("~",B992))),0,IFERROR(MATCH(B992,Team!$A$11:$A$60,0),0))</ns0:f>
        <ns0:v>0</ns0:v>
      </ns0:c>
      <ns0:c r="D992" s="0" t="str">
        <ns0:f>IFERROR(IF(MID(Bookings!F992,LEN(Bookings!F992)-3,3)=" · ",RIGHT(Bookings!F992,1),""),"")</ns0:f>
        <ns0:v/>
      </ns0:c>
      <ns0:c r="E992" s="0" t="str">
        <ns0:f>IFERROR(INDEX(Settings!$H$7:$H$11,MATCH(D992,Settings!$G$7:$G$11,0)),"")</ns0:f>
        <ns0:v/>
      </ns0:c>
      <ns0:c r="F992" s="0" t="str">
        <ns0:f>IF(A992=0,"",IFERROR(IF(OR(B992="",C992=0),"CHECK employee selection",IF(INDEX(Team!$O$11:$O$60,C992)&lt;&gt;"OK","CHECK employee setup",IF(OR('_Dates'!J992=0,'_Dates'!T992=0),"CHECK date: use DD.MM.YYYY",IF('_Dates'!T992&lt;'_Dates'!J992,"CHECK end before start",IF(AND($B$6=0,OR('_Dates'!J992&lt;Settings!$B$7,'_Dates'!T992&gt;Settings!$B$8)),"CHECK split across leave years",IF(OR(NOT(OR('_Dates'!U992="Full day",'_Dates'!U992="AM",'_Dates'!U992="PM")),NOT(OR('_Dates'!V992="Full day",'_Dates'!V992="AM",'_Dates'!V992="PM"))),"CHECK Full day / AM / PM",IF(AND('_Dates'!J992='_Dates'!T992,'_Dates'!U992&lt;&gt;"Full day",'_Dates'!V992&lt;&gt;"Full day",'_Dates'!U992&lt;&gt;'_Dates'!V992),"CHECK same-day portions disagree",IF(AND($B$6=0,OR(AND('_Dates'!U992&lt;&gt;"Full day",'_Dates'!AA992=0),AND('_Dates'!V992&lt;&gt;"Full day",'_Dates'!AB992=0))),"CHECK half-day on non-working date",IF(COUNTIF(Settings!$G$7:$G$11,D992)&lt;&gt;1,"CHECK leave type",IF(AND(Bookings!G992&lt;&gt;"Approved",Bookings!G992&lt;&gt;"Pending",Bookings!G992&lt;&gt;"Cancelled"),"CHECK status","OK")))))))))),"CHECK input"))</ns0:f>
        <ns0:v/>
      </ns0:c>
      <ns0:c r="G992" s="0">
        <ns0:f>IF(OR(F992&lt;&gt;"OK",$B$6&gt;0),0,0.5*(IF(('_Dates'!X992)&lt;('_Dates'!W992),0,INT((('_Dates'!X992)-('_Dates'!W992)+1)/7)*LEN(SUBSTITUTE(W992,"O",""))+LEN(SUBSTITUTE(MID(W992&amp;W992,WEEKDAY(('_Dates'!W992),2),MOD((('_Dates'!X992)-('_Dates'!W992)+1),7)),"O",""))-COUNTIFS(INDEX(AllClosureRows,C992,0),"&gt;="&amp;('_Dates'!W992),INDEX(AllClosureRows,C992,0),"&lt;="&amp;('_Dates'!X992)))+IF(('_Dates'!Z992)&lt;('_Dates'!Y992),0,INT((('_Dates'!Z992)-('_Dates'!Y992)+1)/7)*LEN(SUBSTITUTE(W992,"O",""))+LEN(SUBSTITUTE(MID(W992&amp;W992,WEEKDAY(('_Dates'!Y992),2),MOD((('_Dates'!Z992)-('_Dates'!Y992)+1),7)),"O",""))-COUNTIFS(INDEX(AllClosureRows,C992,0),"&gt;="&amp;('_Dates'!Y992),INDEX(AllClosureRows,C992,0),"&lt;="&amp;('_Dates'!Z992)))))</ns0:f>
        <ns0:v>0</ns0:v>
      </ns0:c>
      <ns0:c r="H992" s="0">
        <ns0:f>IF(OR(F992&lt;&gt;"OK",$B$6&gt;0),0,0.5*(IF((MIN('_Dates'!X992,Settings!$B$9))&lt;('_Dates'!W992),0,INT(((MIN('_Dates'!X992,Settings!$B$9))-('_Dates'!W992)+1)/7)*LEN(SUBSTITUTE(W992,"O",""))+LEN(SUBSTITUTE(MID(W992&amp;W992,WEEKDAY(('_Dates'!W992),2),MOD(((MIN('_Dates'!X992,Settings!$B$9))-('_Dates'!W992)+1),7)),"O",""))-COUNTIFS(INDEX(AllClosureRows,C992,0),"&gt;="&amp;('_Dates'!W992),INDEX(AllClosureRows,C992,0),"&lt;="&amp;(MIN('_Dates'!X992,Settings!$B$9))))+IF((MIN('_Dates'!Z992,Settings!$B$9))&lt;('_Dates'!Y992),0,INT(((MIN('_Dates'!Z992,Settings!$B$9))-('_Dates'!Y992)+1)/7)*LEN(SUBSTITUTE(W992,"O",""))+LEN(SUBSTITUTE(MID(W992&amp;W992,WEEKDAY(('_Dates'!Y992),2),MOD(((MIN('_Dates'!Z992,Settings!$B$9))-('_Dates'!Y992)+1),7)),"O",""))-COUNTIFS(INDEX(AllClosureRows,C992,0),"&gt;="&amp;('_Dates'!Y992),INDEX(AllClosureRows,C992,0),"&lt;="&amp;(MIN('_Dates'!Z992,Settings!$B$9))))))</ns0:f>
        <ns0:v>0</ns0:v>
      </ns0:c>
      <ns0:c r="I992" s="0">
        <ns0:f>MAX(0,G992-H992)</ns0:f>
        <ns0:v>0</ns0:v>
      </ns0:c>
      <ns0:c r="J992" s="0">
        <ns0:f>IF(OR(A992=0,F992&lt;&gt;"OK",Bookings!G992="Cancelled",$B$6&gt;0),0,IF('_Dates'!AC992=1,MAX(0,COUNTIFS(rngEngine_B,B992,rngAMStart,"&lt;="&amp;'_Dates'!X992,rngAMEnd,"&gt;="&amp;'_Dates'!W992,rngAMActive,1,rngEngine_F,"OK",rngBookings_F,"&lt;&gt;Cancelled")-1),0)+IF('_Dates'!AD992=1,MAX(0,COUNTIFS(rngEngine_B,B992,rngPMStart,"&lt;="&amp;'_Dates'!Z992,rngPMEnd,"&gt;="&amp;'_Dates'!Y992,rngPMActive,1,rngEngine_F,"OK",rngBookings_F,"&lt;&gt;Cancelled")-1),0))</ns0:f>
        <ns0:v>0</ns0:v>
      </ns0:c>
      <ns0:c r="K992" s="0" t="str">
        <ns0:f>IF(A992=0,"",IF(F992&lt;&gt;"OK",F992,IF(J992&gt;0,"CHECK overlapping entry",IF(AND($B$6=0,G992&lt;=0,Bookings!G992&lt;&gt;"Cancelled"),"CHECK no working days",IF(Bookings!G992="Cancelled","Cancelled","OK")))))</ns0:f>
        <ns0:v/>
      </ns0:c>
      <ns0:c r="L992" s="0">
        <ns0:f>IF(LEFT(K992,5)="CHECK",1,0)</ns0:f>
        <ns0:v>0</ns0:v>
      </ns0:c>
      <ns0:c r="M992" s="0">
        <ns0:f>IF(AND(L992=1,OR(C992=0,IFERROR(INDEX($X$11:$X$60,C992),0)=0)),1,0)</ns0:f>
        <ns0:v>0</ns0:v>
      </ns0:c>
      <ns0:c r="N992" s="0">
        <ns0:f>IF(OR(A992=0,L992&gt;0,$B$6&gt;0,Bookings!G992="Cancelled"),0,G992)</ns0:f>
        <ns0:v>0</ns0:v>
      </ns0:c>
      <ns0:c r="O992" s="0">
        <ns0:f>IF(AND(Bookings!G992="Approved",E992="Yes"),N992,0)</ns0:f>
        <ns0:v>0</ns0:v>
      </ns0:c>
      <ns0:c r="P992" s="0">
        <ns0:f>IF(AND(Bookings!G992="Approved",E992="Yes",L992=0,$B$6=0),H992,0)</ns0:f>
        <ns0:v>0</ns0:v>
      </ns0:c>
      <ns0:c r="Q992" s="0">
        <ns0:f>IF(AND(Bookings!G992="Approved",E992="Yes",L992=0,$B$6=0),I992,0)</ns0:f>
        <ns0:v>0</ns0:v>
      </ns0:c>
      <ns0:c r="R992" s="0">
        <ns0:f>IF(AND(Bookings!G992="Pending",E992="Yes"),N992,0)</ns0:f>
        <ns0:v>0</ns0:v>
      </ns0:c>
      <ns0:c r="S992" s="0">
        <ns0:f>IF(AND(Bookings!G992="Approved",E992="No"),N992,0)</ns0:f>
        <ns0:v>0</ns0:v>
      </ns0:c>
      <ns0:c r="T992" s="0">
        <ns0:f>IFERROR(MATCH(D992,Settings!$G$7:$G$11,0),0)</ns0:f>
        <ns0:v>0</ns0:v>
      </ns0:c>
      <ns0:c r="U992" s="0">
        <ns0:f>IF(N992&gt;0,T992+IF(Bookings!G992="Pending",10,0),0)</ns0:f>
        <ns0:v>0</ns0:v>
      </ns0:c>
      <ns0:c r="V992" s="0">
        <ns0:f>U992</ns0:f>
        <ns0:v>0</ns0:v>
      </ns0:c>
      <ns0:c r="W992" s="0" t="str">
        <ns0:f>IF(C992=0,"",INDEX($AP$11:$AP$60,C992))</ns0:f>
        <ns0:v/>
      </ns0:c>
    </ns0:row>
    <ns0:row r="993">
      <ns0:c r="A993" s="0">
        <ns0:f>IF(COUNTA(Bookings!A993:G993,Bookings!I993)=0,0,1)</ns0:f>
        <ns0:v>0</ns0:v>
      </ns0:c>
      <ns0:c r="B993" s="0" t="str">
        <ns0:f>IFERROR(TRIM(MID(Bookings!A993,FIND(" · ",Bookings!A993)+3,99)),"")</ns0:f>
        <ns0:v/>
      </ns0:c>
      <ns0:c r="C993" s="0">
        <ns0:f>IF(OR(B993="",LEN(B993)&gt;24,ISNUMBER(FIND(" ",B993)),ISNUMBER(FIND("*",B993)),ISNUMBER(FIND("?",B993)),ISNUMBER(FIND("~",B993))),0,IFERROR(MATCH(B993,Team!$A$11:$A$60,0),0))</ns0:f>
        <ns0:v>0</ns0:v>
      </ns0:c>
      <ns0:c r="D993" s="0" t="str">
        <ns0:f>IFERROR(IF(MID(Bookings!F993,LEN(Bookings!F993)-3,3)=" · ",RIGHT(Bookings!F993,1),""),"")</ns0:f>
        <ns0:v/>
      </ns0:c>
      <ns0:c r="E993" s="0" t="str">
        <ns0:f>IFERROR(INDEX(Settings!$H$7:$H$11,MATCH(D993,Settings!$G$7:$G$11,0)),"")</ns0:f>
        <ns0:v/>
      </ns0:c>
      <ns0:c r="F993" s="0" t="str">
        <ns0:f>IF(A993=0,"",IFERROR(IF(OR(B993="",C993=0),"CHECK employee selection",IF(INDEX(Team!$O$11:$O$60,C993)&lt;&gt;"OK","CHECK employee setup",IF(OR('_Dates'!J993=0,'_Dates'!T993=0),"CHECK date: use DD.MM.YYYY",IF('_Dates'!T993&lt;'_Dates'!J993,"CHECK end before start",IF(AND($B$6=0,OR('_Dates'!J993&lt;Settings!$B$7,'_Dates'!T993&gt;Settings!$B$8)),"CHECK split across leave years",IF(OR(NOT(OR('_Dates'!U993="Full day",'_Dates'!U993="AM",'_Dates'!U993="PM")),NOT(OR('_Dates'!V993="Full day",'_Dates'!V993="AM",'_Dates'!V993="PM"))),"CHECK Full day / AM / PM",IF(AND('_Dates'!J993='_Dates'!T993,'_Dates'!U993&lt;&gt;"Full day",'_Dates'!V993&lt;&gt;"Full day",'_Dates'!U993&lt;&gt;'_Dates'!V993),"CHECK same-day portions disagree",IF(AND($B$6=0,OR(AND('_Dates'!U993&lt;&gt;"Full day",'_Dates'!AA993=0),AND('_Dates'!V993&lt;&gt;"Full day",'_Dates'!AB993=0))),"CHECK half-day on non-working date",IF(COUNTIF(Settings!$G$7:$G$11,D993)&lt;&gt;1,"CHECK leave type",IF(AND(Bookings!G993&lt;&gt;"Approved",Bookings!G993&lt;&gt;"Pending",Bookings!G993&lt;&gt;"Cancelled"),"CHECK status","OK")))))))))),"CHECK input"))</ns0:f>
        <ns0:v/>
      </ns0:c>
      <ns0:c r="G993" s="0">
        <ns0:f>IF(OR(F993&lt;&gt;"OK",$B$6&gt;0),0,0.5*(IF(('_Dates'!X993)&lt;('_Dates'!W993),0,INT((('_Dates'!X993)-('_Dates'!W993)+1)/7)*LEN(SUBSTITUTE(W993,"O",""))+LEN(SUBSTITUTE(MID(W993&amp;W993,WEEKDAY(('_Dates'!W993),2),MOD((('_Dates'!X993)-('_Dates'!W993)+1),7)),"O",""))-COUNTIFS(INDEX(AllClosureRows,C993,0),"&gt;="&amp;('_Dates'!W993),INDEX(AllClosureRows,C993,0),"&lt;="&amp;('_Dates'!X993)))+IF(('_Dates'!Z993)&lt;('_Dates'!Y993),0,INT((('_Dates'!Z993)-('_Dates'!Y993)+1)/7)*LEN(SUBSTITUTE(W993,"O",""))+LEN(SUBSTITUTE(MID(W993&amp;W993,WEEKDAY(('_Dates'!Y993),2),MOD((('_Dates'!Z993)-('_Dates'!Y993)+1),7)),"O",""))-COUNTIFS(INDEX(AllClosureRows,C993,0),"&gt;="&amp;('_Dates'!Y993),INDEX(AllClosureRows,C993,0),"&lt;="&amp;('_Dates'!Z993)))))</ns0:f>
        <ns0:v>0</ns0:v>
      </ns0:c>
      <ns0:c r="H993" s="0">
        <ns0:f>IF(OR(F993&lt;&gt;"OK",$B$6&gt;0),0,0.5*(IF((MIN('_Dates'!X993,Settings!$B$9))&lt;('_Dates'!W993),0,INT(((MIN('_Dates'!X993,Settings!$B$9))-('_Dates'!W993)+1)/7)*LEN(SUBSTITUTE(W993,"O",""))+LEN(SUBSTITUTE(MID(W993&amp;W993,WEEKDAY(('_Dates'!W993),2),MOD(((MIN('_Dates'!X993,Settings!$B$9))-('_Dates'!W993)+1),7)),"O",""))-COUNTIFS(INDEX(AllClosureRows,C993,0),"&gt;="&amp;('_Dates'!W993),INDEX(AllClosureRows,C993,0),"&lt;="&amp;(MIN('_Dates'!X993,Settings!$B$9))))+IF((MIN('_Dates'!Z993,Settings!$B$9))&lt;('_Dates'!Y993),0,INT(((MIN('_Dates'!Z993,Settings!$B$9))-('_Dates'!Y993)+1)/7)*LEN(SUBSTITUTE(W993,"O",""))+LEN(SUBSTITUTE(MID(W993&amp;W993,WEEKDAY(('_Dates'!Y993),2),MOD(((MIN('_Dates'!Z993,Settings!$B$9))-('_Dates'!Y993)+1),7)),"O",""))-COUNTIFS(INDEX(AllClosureRows,C993,0),"&gt;="&amp;('_Dates'!Y993),INDEX(AllClosureRows,C993,0),"&lt;="&amp;(MIN('_Dates'!Z993,Settings!$B$9))))))</ns0:f>
        <ns0:v>0</ns0:v>
      </ns0:c>
      <ns0:c r="I993" s="0">
        <ns0:f>MAX(0,G993-H993)</ns0:f>
        <ns0:v>0</ns0:v>
      </ns0:c>
      <ns0:c r="J993" s="0">
        <ns0:f>IF(OR(A993=0,F993&lt;&gt;"OK",Bookings!G993="Cancelled",$B$6&gt;0),0,IF('_Dates'!AC993=1,MAX(0,COUNTIFS(rngEngine_B,B993,rngAMStart,"&lt;="&amp;'_Dates'!X993,rngAMEnd,"&gt;="&amp;'_Dates'!W993,rngAMActive,1,rngEngine_F,"OK",rngBookings_F,"&lt;&gt;Cancelled")-1),0)+IF('_Dates'!AD993=1,MAX(0,COUNTIFS(rngEngine_B,B993,rngPMStart,"&lt;="&amp;'_Dates'!Z993,rngPMEnd,"&gt;="&amp;'_Dates'!Y993,rngPMActive,1,rngEngine_F,"OK",rngBookings_F,"&lt;&gt;Cancelled")-1),0))</ns0:f>
        <ns0:v>0</ns0:v>
      </ns0:c>
      <ns0:c r="K993" s="0" t="str">
        <ns0:f>IF(A993=0,"",IF(F993&lt;&gt;"OK",F993,IF(J993&gt;0,"CHECK overlapping entry",IF(AND($B$6=0,G993&lt;=0,Bookings!G993&lt;&gt;"Cancelled"),"CHECK no working days",IF(Bookings!G993="Cancelled","Cancelled","OK")))))</ns0:f>
        <ns0:v/>
      </ns0:c>
      <ns0:c r="L993" s="0">
        <ns0:f>IF(LEFT(K993,5)="CHECK",1,0)</ns0:f>
        <ns0:v>0</ns0:v>
      </ns0:c>
      <ns0:c r="M993" s="0">
        <ns0:f>IF(AND(L993=1,OR(C993=0,IFERROR(INDEX($X$11:$X$60,C993),0)=0)),1,0)</ns0:f>
        <ns0:v>0</ns0:v>
      </ns0:c>
      <ns0:c r="N993" s="0">
        <ns0:f>IF(OR(A993=0,L993&gt;0,$B$6&gt;0,Bookings!G993="Cancelled"),0,G993)</ns0:f>
        <ns0:v>0</ns0:v>
      </ns0:c>
      <ns0:c r="O993" s="0">
        <ns0:f>IF(AND(Bookings!G993="Approved",E993="Yes"),N993,0)</ns0:f>
        <ns0:v>0</ns0:v>
      </ns0:c>
      <ns0:c r="P993" s="0">
        <ns0:f>IF(AND(Bookings!G993="Approved",E993="Yes",L993=0,$B$6=0),H993,0)</ns0:f>
        <ns0:v>0</ns0:v>
      </ns0:c>
      <ns0:c r="Q993" s="0">
        <ns0:f>IF(AND(Bookings!G993="Approved",E993="Yes",L993=0,$B$6=0),I993,0)</ns0:f>
        <ns0:v>0</ns0:v>
      </ns0:c>
      <ns0:c r="R993" s="0">
        <ns0:f>IF(AND(Bookings!G993="Pending",E993="Yes"),N993,0)</ns0:f>
        <ns0:v>0</ns0:v>
      </ns0:c>
      <ns0:c r="S993" s="0">
        <ns0:f>IF(AND(Bookings!G993="Approved",E993="No"),N993,0)</ns0:f>
        <ns0:v>0</ns0:v>
      </ns0:c>
      <ns0:c r="T993" s="0">
        <ns0:f>IFERROR(MATCH(D993,Settings!$G$7:$G$11,0),0)</ns0:f>
        <ns0:v>0</ns0:v>
      </ns0:c>
      <ns0:c r="U993" s="0">
        <ns0:f>IF(N993&gt;0,T993+IF(Bookings!G993="Pending",10,0),0)</ns0:f>
        <ns0:v>0</ns0:v>
      </ns0:c>
      <ns0:c r="V993" s="0">
        <ns0:f>U993</ns0:f>
        <ns0:v>0</ns0:v>
      </ns0:c>
      <ns0:c r="W993" s="0" t="str">
        <ns0:f>IF(C993=0,"",INDEX($AP$11:$AP$60,C993))</ns0:f>
        <ns0:v/>
      </ns0:c>
    </ns0:row>
    <ns0:row r="994">
      <ns0:c r="A994" s="0">
        <ns0:f>IF(COUNTA(Bookings!A994:G994,Bookings!I994)=0,0,1)</ns0:f>
        <ns0:v>0</ns0:v>
      </ns0:c>
      <ns0:c r="B994" s="0" t="str">
        <ns0:f>IFERROR(TRIM(MID(Bookings!A994,FIND(" · ",Bookings!A994)+3,99)),"")</ns0:f>
        <ns0:v/>
      </ns0:c>
      <ns0:c r="C994" s="0">
        <ns0:f>IF(OR(B994="",LEN(B994)&gt;24,ISNUMBER(FIND(" ",B994)),ISNUMBER(FIND("*",B994)),ISNUMBER(FIND("?",B994)),ISNUMBER(FIND("~",B994))),0,IFERROR(MATCH(B994,Team!$A$11:$A$60,0),0))</ns0:f>
        <ns0:v>0</ns0:v>
      </ns0:c>
      <ns0:c r="D994" s="0" t="str">
        <ns0:f>IFERROR(IF(MID(Bookings!F994,LEN(Bookings!F994)-3,3)=" · ",RIGHT(Bookings!F994,1),""),"")</ns0:f>
        <ns0:v/>
      </ns0:c>
      <ns0:c r="E994" s="0" t="str">
        <ns0:f>IFERROR(INDEX(Settings!$H$7:$H$11,MATCH(D994,Settings!$G$7:$G$11,0)),"")</ns0:f>
        <ns0:v/>
      </ns0:c>
      <ns0:c r="F994" s="0" t="str">
        <ns0:f>IF(A994=0,"",IFERROR(IF(OR(B994="",C994=0),"CHECK employee selection",IF(INDEX(Team!$O$11:$O$60,C994)&lt;&gt;"OK","CHECK employee setup",IF(OR('_Dates'!J994=0,'_Dates'!T994=0),"CHECK date: use DD.MM.YYYY",IF('_Dates'!T994&lt;'_Dates'!J994,"CHECK end before start",IF(AND($B$6=0,OR('_Dates'!J994&lt;Settings!$B$7,'_Dates'!T994&gt;Settings!$B$8)),"CHECK split across leave years",IF(OR(NOT(OR('_Dates'!U994="Full day",'_Dates'!U994="AM",'_Dates'!U994="PM")),NOT(OR('_Dates'!V994="Full day",'_Dates'!V994="AM",'_Dates'!V994="PM"))),"CHECK Full day / AM / PM",IF(AND('_Dates'!J994='_Dates'!T994,'_Dates'!U994&lt;&gt;"Full day",'_Dates'!V994&lt;&gt;"Full day",'_Dates'!U994&lt;&gt;'_Dates'!V994),"CHECK same-day portions disagree",IF(AND($B$6=0,OR(AND('_Dates'!U994&lt;&gt;"Full day",'_Dates'!AA994=0),AND('_Dates'!V994&lt;&gt;"Full day",'_Dates'!AB994=0))),"CHECK half-day on non-working date",IF(COUNTIF(Settings!$G$7:$G$11,D994)&lt;&gt;1,"CHECK leave type",IF(AND(Bookings!G994&lt;&gt;"Approved",Bookings!G994&lt;&gt;"Pending",Bookings!G994&lt;&gt;"Cancelled"),"CHECK status","OK")))))))))),"CHECK input"))</ns0:f>
        <ns0:v/>
      </ns0:c>
      <ns0:c r="G994" s="0">
        <ns0:f>IF(OR(F994&lt;&gt;"OK",$B$6&gt;0),0,0.5*(IF(('_Dates'!X994)&lt;('_Dates'!W994),0,INT((('_Dates'!X994)-('_Dates'!W994)+1)/7)*LEN(SUBSTITUTE(W994,"O",""))+LEN(SUBSTITUTE(MID(W994&amp;W994,WEEKDAY(('_Dates'!W994),2),MOD((('_Dates'!X994)-('_Dates'!W994)+1),7)),"O",""))-COUNTIFS(INDEX(AllClosureRows,C994,0),"&gt;="&amp;('_Dates'!W994),INDEX(AllClosureRows,C994,0),"&lt;="&amp;('_Dates'!X994)))+IF(('_Dates'!Z994)&lt;('_Dates'!Y994),0,INT((('_Dates'!Z994)-('_Dates'!Y994)+1)/7)*LEN(SUBSTITUTE(W994,"O",""))+LEN(SUBSTITUTE(MID(W994&amp;W994,WEEKDAY(('_Dates'!Y994),2),MOD((('_Dates'!Z994)-('_Dates'!Y994)+1),7)),"O",""))-COUNTIFS(INDEX(AllClosureRows,C994,0),"&gt;="&amp;('_Dates'!Y994),INDEX(AllClosureRows,C994,0),"&lt;="&amp;('_Dates'!Z994)))))</ns0:f>
        <ns0:v>0</ns0:v>
      </ns0:c>
      <ns0:c r="H994" s="0">
        <ns0:f>IF(OR(F994&lt;&gt;"OK",$B$6&gt;0),0,0.5*(IF((MIN('_Dates'!X994,Settings!$B$9))&lt;('_Dates'!W994),0,INT(((MIN('_Dates'!X994,Settings!$B$9))-('_Dates'!W994)+1)/7)*LEN(SUBSTITUTE(W994,"O",""))+LEN(SUBSTITUTE(MID(W994&amp;W994,WEEKDAY(('_Dates'!W994),2),MOD(((MIN('_Dates'!X994,Settings!$B$9))-('_Dates'!W994)+1),7)),"O",""))-COUNTIFS(INDEX(AllClosureRows,C994,0),"&gt;="&amp;('_Dates'!W994),INDEX(AllClosureRows,C994,0),"&lt;="&amp;(MIN('_Dates'!X994,Settings!$B$9))))+IF((MIN('_Dates'!Z994,Settings!$B$9))&lt;('_Dates'!Y994),0,INT(((MIN('_Dates'!Z994,Settings!$B$9))-('_Dates'!Y994)+1)/7)*LEN(SUBSTITUTE(W994,"O",""))+LEN(SUBSTITUTE(MID(W994&amp;W994,WEEKDAY(('_Dates'!Y994),2),MOD(((MIN('_Dates'!Z994,Settings!$B$9))-('_Dates'!Y994)+1),7)),"O",""))-COUNTIFS(INDEX(AllClosureRows,C994,0),"&gt;="&amp;('_Dates'!Y994),INDEX(AllClosureRows,C994,0),"&lt;="&amp;(MIN('_Dates'!Z994,Settings!$B$9))))))</ns0:f>
        <ns0:v>0</ns0:v>
      </ns0:c>
      <ns0:c r="I994" s="0">
        <ns0:f>MAX(0,G994-H994)</ns0:f>
        <ns0:v>0</ns0:v>
      </ns0:c>
      <ns0:c r="J994" s="0">
        <ns0:f>IF(OR(A994=0,F994&lt;&gt;"OK",Bookings!G994="Cancelled",$B$6&gt;0),0,IF('_Dates'!AC994=1,MAX(0,COUNTIFS(rngEngine_B,B994,rngAMStart,"&lt;="&amp;'_Dates'!X994,rngAMEnd,"&gt;="&amp;'_Dates'!W994,rngAMActive,1,rngEngine_F,"OK",rngBookings_F,"&lt;&gt;Cancelled")-1),0)+IF('_Dates'!AD994=1,MAX(0,COUNTIFS(rngEngine_B,B994,rngPMStart,"&lt;="&amp;'_Dates'!Z994,rngPMEnd,"&gt;="&amp;'_Dates'!Y994,rngPMActive,1,rngEngine_F,"OK",rngBookings_F,"&lt;&gt;Cancelled")-1),0))</ns0:f>
        <ns0:v>0</ns0:v>
      </ns0:c>
      <ns0:c r="K994" s="0" t="str">
        <ns0:f>IF(A994=0,"",IF(F994&lt;&gt;"OK",F994,IF(J994&gt;0,"CHECK overlapping entry",IF(AND($B$6=0,G994&lt;=0,Bookings!G994&lt;&gt;"Cancelled"),"CHECK no working days",IF(Bookings!G994="Cancelled","Cancelled","OK")))))</ns0:f>
        <ns0:v/>
      </ns0:c>
      <ns0:c r="L994" s="0">
        <ns0:f>IF(LEFT(K994,5)="CHECK",1,0)</ns0:f>
        <ns0:v>0</ns0:v>
      </ns0:c>
      <ns0:c r="M994" s="0">
        <ns0:f>IF(AND(L994=1,OR(C994=0,IFERROR(INDEX($X$11:$X$60,C994),0)=0)),1,0)</ns0:f>
        <ns0:v>0</ns0:v>
      </ns0:c>
      <ns0:c r="N994" s="0">
        <ns0:f>IF(OR(A994=0,L994&gt;0,$B$6&gt;0,Bookings!G994="Cancelled"),0,G994)</ns0:f>
        <ns0:v>0</ns0:v>
      </ns0:c>
      <ns0:c r="O994" s="0">
        <ns0:f>IF(AND(Bookings!G994="Approved",E994="Yes"),N994,0)</ns0:f>
        <ns0:v>0</ns0:v>
      </ns0:c>
      <ns0:c r="P994" s="0">
        <ns0:f>IF(AND(Bookings!G994="Approved",E994="Yes",L994=0,$B$6=0),H994,0)</ns0:f>
        <ns0:v>0</ns0:v>
      </ns0:c>
      <ns0:c r="Q994" s="0">
        <ns0:f>IF(AND(Bookings!G994="Approved",E994="Yes",L994=0,$B$6=0),I994,0)</ns0:f>
        <ns0:v>0</ns0:v>
      </ns0:c>
      <ns0:c r="R994" s="0">
        <ns0:f>IF(AND(Bookings!G994="Pending",E994="Yes"),N994,0)</ns0:f>
        <ns0:v>0</ns0:v>
      </ns0:c>
      <ns0:c r="S994" s="0">
        <ns0:f>IF(AND(Bookings!G994="Approved",E994="No"),N994,0)</ns0:f>
        <ns0:v>0</ns0:v>
      </ns0:c>
      <ns0:c r="T994" s="0">
        <ns0:f>IFERROR(MATCH(D994,Settings!$G$7:$G$11,0),0)</ns0:f>
        <ns0:v>0</ns0:v>
      </ns0:c>
      <ns0:c r="U994" s="0">
        <ns0:f>IF(N994&gt;0,T994+IF(Bookings!G994="Pending",10,0),0)</ns0:f>
        <ns0:v>0</ns0:v>
      </ns0:c>
      <ns0:c r="V994" s="0">
        <ns0:f>U994</ns0:f>
        <ns0:v>0</ns0:v>
      </ns0:c>
      <ns0:c r="W994" s="0" t="str">
        <ns0:f>IF(C994=0,"",INDEX($AP$11:$AP$60,C994))</ns0:f>
        <ns0:v/>
      </ns0:c>
    </ns0:row>
    <ns0:row r="995">
      <ns0:c r="A995" s="0">
        <ns0:f>IF(COUNTA(Bookings!A995:G995,Bookings!I995)=0,0,1)</ns0:f>
        <ns0:v>0</ns0:v>
      </ns0:c>
      <ns0:c r="B995" s="0" t="str">
        <ns0:f>IFERROR(TRIM(MID(Bookings!A995,FIND(" · ",Bookings!A995)+3,99)),"")</ns0:f>
        <ns0:v/>
      </ns0:c>
      <ns0:c r="C995" s="0">
        <ns0:f>IF(OR(B995="",LEN(B995)&gt;24,ISNUMBER(FIND(" ",B995)),ISNUMBER(FIND("*",B995)),ISNUMBER(FIND("?",B995)),ISNUMBER(FIND("~",B995))),0,IFERROR(MATCH(B995,Team!$A$11:$A$60,0),0))</ns0:f>
        <ns0:v>0</ns0:v>
      </ns0:c>
      <ns0:c r="D995" s="0" t="str">
        <ns0:f>IFERROR(IF(MID(Bookings!F995,LEN(Bookings!F995)-3,3)=" · ",RIGHT(Bookings!F995,1),""),"")</ns0:f>
        <ns0:v/>
      </ns0:c>
      <ns0:c r="E995" s="0" t="str">
        <ns0:f>IFERROR(INDEX(Settings!$H$7:$H$11,MATCH(D995,Settings!$G$7:$G$11,0)),"")</ns0:f>
        <ns0:v/>
      </ns0:c>
      <ns0:c r="F995" s="0" t="str">
        <ns0:f>IF(A995=0,"",IFERROR(IF(OR(B995="",C995=0),"CHECK employee selection",IF(INDEX(Team!$O$11:$O$60,C995)&lt;&gt;"OK","CHECK employee setup",IF(OR('_Dates'!J995=0,'_Dates'!T995=0),"CHECK date: use DD.MM.YYYY",IF('_Dates'!T995&lt;'_Dates'!J995,"CHECK end before start",IF(AND($B$6=0,OR('_Dates'!J995&lt;Settings!$B$7,'_Dates'!T995&gt;Settings!$B$8)),"CHECK split across leave years",IF(OR(NOT(OR('_Dates'!U995="Full day",'_Dates'!U995="AM",'_Dates'!U995="PM")),NOT(OR('_Dates'!V995="Full day",'_Dates'!V995="AM",'_Dates'!V995="PM"))),"CHECK Full day / AM / PM",IF(AND('_Dates'!J995='_Dates'!T995,'_Dates'!U995&lt;&gt;"Full day",'_Dates'!V995&lt;&gt;"Full day",'_Dates'!U995&lt;&gt;'_Dates'!V995),"CHECK same-day portions disagree",IF(AND($B$6=0,OR(AND('_Dates'!U995&lt;&gt;"Full day",'_Dates'!AA995=0),AND('_Dates'!V995&lt;&gt;"Full day",'_Dates'!AB995=0))),"CHECK half-day on non-working date",IF(COUNTIF(Settings!$G$7:$G$11,D995)&lt;&gt;1,"CHECK leave type",IF(AND(Bookings!G995&lt;&gt;"Approved",Bookings!G995&lt;&gt;"Pending",Bookings!G995&lt;&gt;"Cancelled"),"CHECK status","OK")))))))))),"CHECK input"))</ns0:f>
        <ns0:v/>
      </ns0:c>
      <ns0:c r="G995" s="0">
        <ns0:f>IF(OR(F995&lt;&gt;"OK",$B$6&gt;0),0,0.5*(IF(('_Dates'!X995)&lt;('_Dates'!W995),0,INT((('_Dates'!X995)-('_Dates'!W995)+1)/7)*LEN(SUBSTITUTE(W995,"O",""))+LEN(SUBSTITUTE(MID(W995&amp;W995,WEEKDAY(('_Dates'!W995),2),MOD((('_Dates'!X995)-('_Dates'!W995)+1),7)),"O",""))-COUNTIFS(INDEX(AllClosureRows,C995,0),"&gt;="&amp;('_Dates'!W995),INDEX(AllClosureRows,C995,0),"&lt;="&amp;('_Dates'!X995)))+IF(('_Dates'!Z995)&lt;('_Dates'!Y995),0,INT((('_Dates'!Z995)-('_Dates'!Y995)+1)/7)*LEN(SUBSTITUTE(W995,"O",""))+LEN(SUBSTITUTE(MID(W995&amp;W995,WEEKDAY(('_Dates'!Y995),2),MOD((('_Dates'!Z995)-('_Dates'!Y995)+1),7)),"O",""))-COUNTIFS(INDEX(AllClosureRows,C995,0),"&gt;="&amp;('_Dates'!Y995),INDEX(AllClosureRows,C995,0),"&lt;="&amp;('_Dates'!Z995)))))</ns0:f>
        <ns0:v>0</ns0:v>
      </ns0:c>
      <ns0:c r="H995" s="0">
        <ns0:f>IF(OR(F995&lt;&gt;"OK",$B$6&gt;0),0,0.5*(IF((MIN('_Dates'!X995,Settings!$B$9))&lt;('_Dates'!W995),0,INT(((MIN('_Dates'!X995,Settings!$B$9))-('_Dates'!W995)+1)/7)*LEN(SUBSTITUTE(W995,"O",""))+LEN(SUBSTITUTE(MID(W995&amp;W995,WEEKDAY(('_Dates'!W995),2),MOD(((MIN('_Dates'!X995,Settings!$B$9))-('_Dates'!W995)+1),7)),"O",""))-COUNTIFS(INDEX(AllClosureRows,C995,0),"&gt;="&amp;('_Dates'!W995),INDEX(AllClosureRows,C995,0),"&lt;="&amp;(MIN('_Dates'!X995,Settings!$B$9))))+IF((MIN('_Dates'!Z995,Settings!$B$9))&lt;('_Dates'!Y995),0,INT(((MIN('_Dates'!Z995,Settings!$B$9))-('_Dates'!Y995)+1)/7)*LEN(SUBSTITUTE(W995,"O",""))+LEN(SUBSTITUTE(MID(W995&amp;W995,WEEKDAY(('_Dates'!Y995),2),MOD(((MIN('_Dates'!Z995,Settings!$B$9))-('_Dates'!Y995)+1),7)),"O",""))-COUNTIFS(INDEX(AllClosureRows,C995,0),"&gt;="&amp;('_Dates'!Y995),INDEX(AllClosureRows,C995,0),"&lt;="&amp;(MIN('_Dates'!Z995,Settings!$B$9))))))</ns0:f>
        <ns0:v>0</ns0:v>
      </ns0:c>
      <ns0:c r="I995" s="0">
        <ns0:f>MAX(0,G995-H995)</ns0:f>
        <ns0:v>0</ns0:v>
      </ns0:c>
      <ns0:c r="J995" s="0">
        <ns0:f>IF(OR(A995=0,F995&lt;&gt;"OK",Bookings!G995="Cancelled",$B$6&gt;0),0,IF('_Dates'!AC995=1,MAX(0,COUNTIFS(rngEngine_B,B995,rngAMStart,"&lt;="&amp;'_Dates'!X995,rngAMEnd,"&gt;="&amp;'_Dates'!W995,rngAMActive,1,rngEngine_F,"OK",rngBookings_F,"&lt;&gt;Cancelled")-1),0)+IF('_Dates'!AD995=1,MAX(0,COUNTIFS(rngEngine_B,B995,rngPMStart,"&lt;="&amp;'_Dates'!Z995,rngPMEnd,"&gt;="&amp;'_Dates'!Y995,rngPMActive,1,rngEngine_F,"OK",rngBookings_F,"&lt;&gt;Cancelled")-1),0))</ns0:f>
        <ns0:v>0</ns0:v>
      </ns0:c>
      <ns0:c r="K995" s="0" t="str">
        <ns0:f>IF(A995=0,"",IF(F995&lt;&gt;"OK",F995,IF(J995&gt;0,"CHECK overlapping entry",IF(AND($B$6=0,G995&lt;=0,Bookings!G995&lt;&gt;"Cancelled"),"CHECK no working days",IF(Bookings!G995="Cancelled","Cancelled","OK")))))</ns0:f>
        <ns0:v/>
      </ns0:c>
      <ns0:c r="L995" s="0">
        <ns0:f>IF(LEFT(K995,5)="CHECK",1,0)</ns0:f>
        <ns0:v>0</ns0:v>
      </ns0:c>
      <ns0:c r="M995" s="0">
        <ns0:f>IF(AND(L995=1,OR(C995=0,IFERROR(INDEX($X$11:$X$60,C995),0)=0)),1,0)</ns0:f>
        <ns0:v>0</ns0:v>
      </ns0:c>
      <ns0:c r="N995" s="0">
        <ns0:f>IF(OR(A995=0,L995&gt;0,$B$6&gt;0,Bookings!G995="Cancelled"),0,G995)</ns0:f>
        <ns0:v>0</ns0:v>
      </ns0:c>
      <ns0:c r="O995" s="0">
        <ns0:f>IF(AND(Bookings!G995="Approved",E995="Yes"),N995,0)</ns0:f>
        <ns0:v>0</ns0:v>
      </ns0:c>
      <ns0:c r="P995" s="0">
        <ns0:f>IF(AND(Bookings!G995="Approved",E995="Yes",L995=0,$B$6=0),H995,0)</ns0:f>
        <ns0:v>0</ns0:v>
      </ns0:c>
      <ns0:c r="Q995" s="0">
        <ns0:f>IF(AND(Bookings!G995="Approved",E995="Yes",L995=0,$B$6=0),I995,0)</ns0:f>
        <ns0:v>0</ns0:v>
      </ns0:c>
      <ns0:c r="R995" s="0">
        <ns0:f>IF(AND(Bookings!G995="Pending",E995="Yes"),N995,0)</ns0:f>
        <ns0:v>0</ns0:v>
      </ns0:c>
      <ns0:c r="S995" s="0">
        <ns0:f>IF(AND(Bookings!G995="Approved",E995="No"),N995,0)</ns0:f>
        <ns0:v>0</ns0:v>
      </ns0:c>
      <ns0:c r="T995" s="0">
        <ns0:f>IFERROR(MATCH(D995,Settings!$G$7:$G$11,0),0)</ns0:f>
        <ns0:v>0</ns0:v>
      </ns0:c>
      <ns0:c r="U995" s="0">
        <ns0:f>IF(N995&gt;0,T995+IF(Bookings!G995="Pending",10,0),0)</ns0:f>
        <ns0:v>0</ns0:v>
      </ns0:c>
      <ns0:c r="V995" s="0">
        <ns0:f>U995</ns0:f>
        <ns0:v>0</ns0:v>
      </ns0:c>
      <ns0:c r="W995" s="0" t="str">
        <ns0:f>IF(C995=0,"",INDEX($AP$11:$AP$60,C995))</ns0:f>
        <ns0:v/>
      </ns0:c>
    </ns0:row>
    <ns0:row r="996">
      <ns0:c r="A996" s="0">
        <ns0:f>IF(COUNTA(Bookings!A996:G996,Bookings!I996)=0,0,1)</ns0:f>
        <ns0:v>0</ns0:v>
      </ns0:c>
      <ns0:c r="B996" s="0" t="str">
        <ns0:f>IFERROR(TRIM(MID(Bookings!A996,FIND(" · ",Bookings!A996)+3,99)),"")</ns0:f>
        <ns0:v/>
      </ns0:c>
      <ns0:c r="C996" s="0">
        <ns0:f>IF(OR(B996="",LEN(B996)&gt;24,ISNUMBER(FIND(" ",B996)),ISNUMBER(FIND("*",B996)),ISNUMBER(FIND("?",B996)),ISNUMBER(FIND("~",B996))),0,IFERROR(MATCH(B996,Team!$A$11:$A$60,0),0))</ns0:f>
        <ns0:v>0</ns0:v>
      </ns0:c>
      <ns0:c r="D996" s="0" t="str">
        <ns0:f>IFERROR(IF(MID(Bookings!F996,LEN(Bookings!F996)-3,3)=" · ",RIGHT(Bookings!F996,1),""),"")</ns0:f>
        <ns0:v/>
      </ns0:c>
      <ns0:c r="E996" s="0" t="str">
        <ns0:f>IFERROR(INDEX(Settings!$H$7:$H$11,MATCH(D996,Settings!$G$7:$G$11,0)),"")</ns0:f>
        <ns0:v/>
      </ns0:c>
      <ns0:c r="F996" s="0" t="str">
        <ns0:f>IF(A996=0,"",IFERROR(IF(OR(B996="",C996=0),"CHECK employee selection",IF(INDEX(Team!$O$11:$O$60,C996)&lt;&gt;"OK","CHECK employee setup",IF(OR('_Dates'!J996=0,'_Dates'!T996=0),"CHECK date: use DD.MM.YYYY",IF('_Dates'!T996&lt;'_Dates'!J996,"CHECK end before start",IF(AND($B$6=0,OR('_Dates'!J996&lt;Settings!$B$7,'_Dates'!T996&gt;Settings!$B$8)),"CHECK split across leave years",IF(OR(NOT(OR('_Dates'!U996="Full day",'_Dates'!U996="AM",'_Dates'!U996="PM")),NOT(OR('_Dates'!V996="Full day",'_Dates'!V996="AM",'_Dates'!V996="PM"))),"CHECK Full day / AM / PM",IF(AND('_Dates'!J996='_Dates'!T996,'_Dates'!U996&lt;&gt;"Full day",'_Dates'!V996&lt;&gt;"Full day",'_Dates'!U996&lt;&gt;'_Dates'!V996),"CHECK same-day portions disagree",IF(AND($B$6=0,OR(AND('_Dates'!U996&lt;&gt;"Full day",'_Dates'!AA996=0),AND('_Dates'!V996&lt;&gt;"Full day",'_Dates'!AB996=0))),"CHECK half-day on non-working date",IF(COUNTIF(Settings!$G$7:$G$11,D996)&lt;&gt;1,"CHECK leave type",IF(AND(Bookings!G996&lt;&gt;"Approved",Bookings!G996&lt;&gt;"Pending",Bookings!G996&lt;&gt;"Cancelled"),"CHECK status","OK")))))))))),"CHECK input"))</ns0:f>
        <ns0:v/>
      </ns0:c>
      <ns0:c r="G996" s="0">
        <ns0:f>IF(OR(F996&lt;&gt;"OK",$B$6&gt;0),0,0.5*(IF(('_Dates'!X996)&lt;('_Dates'!W996),0,INT((('_Dates'!X996)-('_Dates'!W996)+1)/7)*LEN(SUBSTITUTE(W996,"O",""))+LEN(SUBSTITUTE(MID(W996&amp;W996,WEEKDAY(('_Dates'!W996),2),MOD((('_Dates'!X996)-('_Dates'!W996)+1),7)),"O",""))-COUNTIFS(INDEX(AllClosureRows,C996,0),"&gt;="&amp;('_Dates'!W996),INDEX(AllClosureRows,C996,0),"&lt;="&amp;('_Dates'!X996)))+IF(('_Dates'!Z996)&lt;('_Dates'!Y996),0,INT((('_Dates'!Z996)-('_Dates'!Y996)+1)/7)*LEN(SUBSTITUTE(W996,"O",""))+LEN(SUBSTITUTE(MID(W996&amp;W996,WEEKDAY(('_Dates'!Y996),2),MOD((('_Dates'!Z996)-('_Dates'!Y996)+1),7)),"O",""))-COUNTIFS(INDEX(AllClosureRows,C996,0),"&gt;="&amp;('_Dates'!Y996),INDEX(AllClosureRows,C996,0),"&lt;="&amp;('_Dates'!Z996)))))</ns0:f>
        <ns0:v>0</ns0:v>
      </ns0:c>
      <ns0:c r="H996" s="0">
        <ns0:f>IF(OR(F996&lt;&gt;"OK",$B$6&gt;0),0,0.5*(IF((MIN('_Dates'!X996,Settings!$B$9))&lt;('_Dates'!W996),0,INT(((MIN('_Dates'!X996,Settings!$B$9))-('_Dates'!W996)+1)/7)*LEN(SUBSTITUTE(W996,"O",""))+LEN(SUBSTITUTE(MID(W996&amp;W996,WEEKDAY(('_Dates'!W996),2),MOD(((MIN('_Dates'!X996,Settings!$B$9))-('_Dates'!W996)+1),7)),"O",""))-COUNTIFS(INDEX(AllClosureRows,C996,0),"&gt;="&amp;('_Dates'!W996),INDEX(AllClosureRows,C996,0),"&lt;="&amp;(MIN('_Dates'!X996,Settings!$B$9))))+IF((MIN('_Dates'!Z996,Settings!$B$9))&lt;('_Dates'!Y996),0,INT(((MIN('_Dates'!Z996,Settings!$B$9))-('_Dates'!Y996)+1)/7)*LEN(SUBSTITUTE(W996,"O",""))+LEN(SUBSTITUTE(MID(W996&amp;W996,WEEKDAY(('_Dates'!Y996),2),MOD(((MIN('_Dates'!Z996,Settings!$B$9))-('_Dates'!Y996)+1),7)),"O",""))-COUNTIFS(INDEX(AllClosureRows,C996,0),"&gt;="&amp;('_Dates'!Y996),INDEX(AllClosureRows,C996,0),"&lt;="&amp;(MIN('_Dates'!Z996,Settings!$B$9))))))</ns0:f>
        <ns0:v>0</ns0:v>
      </ns0:c>
      <ns0:c r="I996" s="0">
        <ns0:f>MAX(0,G996-H996)</ns0:f>
        <ns0:v>0</ns0:v>
      </ns0:c>
      <ns0:c r="J996" s="0">
        <ns0:f>IF(OR(A996=0,F996&lt;&gt;"OK",Bookings!G996="Cancelled",$B$6&gt;0),0,IF('_Dates'!AC996=1,MAX(0,COUNTIFS(rngEngine_B,B996,rngAMStart,"&lt;="&amp;'_Dates'!X996,rngAMEnd,"&gt;="&amp;'_Dates'!W996,rngAMActive,1,rngEngine_F,"OK",rngBookings_F,"&lt;&gt;Cancelled")-1),0)+IF('_Dates'!AD996=1,MAX(0,COUNTIFS(rngEngine_B,B996,rngPMStart,"&lt;="&amp;'_Dates'!Z996,rngPMEnd,"&gt;="&amp;'_Dates'!Y996,rngPMActive,1,rngEngine_F,"OK",rngBookings_F,"&lt;&gt;Cancelled")-1),0))</ns0:f>
        <ns0:v>0</ns0:v>
      </ns0:c>
      <ns0:c r="K996" s="0" t="str">
        <ns0:f>IF(A996=0,"",IF(F996&lt;&gt;"OK",F996,IF(J996&gt;0,"CHECK overlapping entry",IF(AND($B$6=0,G996&lt;=0,Bookings!G996&lt;&gt;"Cancelled"),"CHECK no working days",IF(Bookings!G996="Cancelled","Cancelled","OK")))))</ns0:f>
        <ns0:v/>
      </ns0:c>
      <ns0:c r="L996" s="0">
        <ns0:f>IF(LEFT(K996,5)="CHECK",1,0)</ns0:f>
        <ns0:v>0</ns0:v>
      </ns0:c>
      <ns0:c r="M996" s="0">
        <ns0:f>IF(AND(L996=1,OR(C996=0,IFERROR(INDEX($X$11:$X$60,C996),0)=0)),1,0)</ns0:f>
        <ns0:v>0</ns0:v>
      </ns0:c>
      <ns0:c r="N996" s="0">
        <ns0:f>IF(OR(A996=0,L996&gt;0,$B$6&gt;0,Bookings!G996="Cancelled"),0,G996)</ns0:f>
        <ns0:v>0</ns0:v>
      </ns0:c>
      <ns0:c r="O996" s="0">
        <ns0:f>IF(AND(Bookings!G996="Approved",E996="Yes"),N996,0)</ns0:f>
        <ns0:v>0</ns0:v>
      </ns0:c>
      <ns0:c r="P996" s="0">
        <ns0:f>IF(AND(Bookings!G996="Approved",E996="Yes",L996=0,$B$6=0),H996,0)</ns0:f>
        <ns0:v>0</ns0:v>
      </ns0:c>
      <ns0:c r="Q996" s="0">
        <ns0:f>IF(AND(Bookings!G996="Approved",E996="Yes",L996=0,$B$6=0),I996,0)</ns0:f>
        <ns0:v>0</ns0:v>
      </ns0:c>
      <ns0:c r="R996" s="0">
        <ns0:f>IF(AND(Bookings!G996="Pending",E996="Yes"),N996,0)</ns0:f>
        <ns0:v>0</ns0:v>
      </ns0:c>
      <ns0:c r="S996" s="0">
        <ns0:f>IF(AND(Bookings!G996="Approved",E996="No"),N996,0)</ns0:f>
        <ns0:v>0</ns0:v>
      </ns0:c>
      <ns0:c r="T996" s="0">
        <ns0:f>IFERROR(MATCH(D996,Settings!$G$7:$G$11,0),0)</ns0:f>
        <ns0:v>0</ns0:v>
      </ns0:c>
      <ns0:c r="U996" s="0">
        <ns0:f>IF(N996&gt;0,T996+IF(Bookings!G996="Pending",10,0),0)</ns0:f>
        <ns0:v>0</ns0:v>
      </ns0:c>
      <ns0:c r="V996" s="0">
        <ns0:f>U996</ns0:f>
        <ns0:v>0</ns0:v>
      </ns0:c>
      <ns0:c r="W996" s="0" t="str">
        <ns0:f>IF(C996=0,"",INDEX($AP$11:$AP$60,C996))</ns0:f>
        <ns0:v/>
      </ns0:c>
    </ns0:row>
    <ns0:row r="997">
      <ns0:c r="A997" s="0">
        <ns0:f>IF(COUNTA(Bookings!A997:G997,Bookings!I997)=0,0,1)</ns0:f>
        <ns0:v>0</ns0:v>
      </ns0:c>
      <ns0:c r="B997" s="0" t="str">
        <ns0:f>IFERROR(TRIM(MID(Bookings!A997,FIND(" · ",Bookings!A997)+3,99)),"")</ns0:f>
        <ns0:v/>
      </ns0:c>
      <ns0:c r="C997" s="0">
        <ns0:f>IF(OR(B997="",LEN(B997)&gt;24,ISNUMBER(FIND(" ",B997)),ISNUMBER(FIND("*",B997)),ISNUMBER(FIND("?",B997)),ISNUMBER(FIND("~",B997))),0,IFERROR(MATCH(B997,Team!$A$11:$A$60,0),0))</ns0:f>
        <ns0:v>0</ns0:v>
      </ns0:c>
      <ns0:c r="D997" s="0" t="str">
        <ns0:f>IFERROR(IF(MID(Bookings!F997,LEN(Bookings!F997)-3,3)=" · ",RIGHT(Bookings!F997,1),""),"")</ns0:f>
        <ns0:v/>
      </ns0:c>
      <ns0:c r="E997" s="0" t="str">
        <ns0:f>IFERROR(INDEX(Settings!$H$7:$H$11,MATCH(D997,Settings!$G$7:$G$11,0)),"")</ns0:f>
        <ns0:v/>
      </ns0:c>
      <ns0:c r="F997" s="0" t="str">
        <ns0:f>IF(A997=0,"",IFERROR(IF(OR(B997="",C997=0),"CHECK employee selection",IF(INDEX(Team!$O$11:$O$60,C997)&lt;&gt;"OK","CHECK employee setup",IF(OR('_Dates'!J997=0,'_Dates'!T997=0),"CHECK date: use DD.MM.YYYY",IF('_Dates'!T997&lt;'_Dates'!J997,"CHECK end before start",IF(AND($B$6=0,OR('_Dates'!J997&lt;Settings!$B$7,'_Dates'!T997&gt;Settings!$B$8)),"CHECK split across leave years",IF(OR(NOT(OR('_Dates'!U997="Full day",'_Dates'!U997="AM",'_Dates'!U997="PM")),NOT(OR('_Dates'!V997="Full day",'_Dates'!V997="AM",'_Dates'!V997="PM"))),"CHECK Full day / AM / PM",IF(AND('_Dates'!J997='_Dates'!T997,'_Dates'!U997&lt;&gt;"Full day",'_Dates'!V997&lt;&gt;"Full day",'_Dates'!U997&lt;&gt;'_Dates'!V997),"CHECK same-day portions disagree",IF(AND($B$6=0,OR(AND('_Dates'!U997&lt;&gt;"Full day",'_Dates'!AA997=0),AND('_Dates'!V997&lt;&gt;"Full day",'_Dates'!AB997=0))),"CHECK half-day on non-working date",IF(COUNTIF(Settings!$G$7:$G$11,D997)&lt;&gt;1,"CHECK leave type",IF(AND(Bookings!G997&lt;&gt;"Approved",Bookings!G997&lt;&gt;"Pending",Bookings!G997&lt;&gt;"Cancelled"),"CHECK status","OK")))))))))),"CHECK input"))</ns0:f>
        <ns0:v/>
      </ns0:c>
      <ns0:c r="G997" s="0">
        <ns0:f>IF(OR(F997&lt;&gt;"OK",$B$6&gt;0),0,0.5*(IF(('_Dates'!X997)&lt;('_Dates'!W997),0,INT((('_Dates'!X997)-('_Dates'!W997)+1)/7)*LEN(SUBSTITUTE(W997,"O",""))+LEN(SUBSTITUTE(MID(W997&amp;W997,WEEKDAY(('_Dates'!W997),2),MOD((('_Dates'!X997)-('_Dates'!W997)+1),7)),"O",""))-COUNTIFS(INDEX(AllClosureRows,C997,0),"&gt;="&amp;('_Dates'!W997),INDEX(AllClosureRows,C997,0),"&lt;="&amp;('_Dates'!X997)))+IF(('_Dates'!Z997)&lt;('_Dates'!Y997),0,INT((('_Dates'!Z997)-('_Dates'!Y997)+1)/7)*LEN(SUBSTITUTE(W997,"O",""))+LEN(SUBSTITUTE(MID(W997&amp;W997,WEEKDAY(('_Dates'!Y997),2),MOD((('_Dates'!Z997)-('_Dates'!Y997)+1),7)),"O",""))-COUNTIFS(INDEX(AllClosureRows,C997,0),"&gt;="&amp;('_Dates'!Y997),INDEX(AllClosureRows,C997,0),"&lt;="&amp;('_Dates'!Z997)))))</ns0:f>
        <ns0:v>0</ns0:v>
      </ns0:c>
      <ns0:c r="H997" s="0">
        <ns0:f>IF(OR(F997&lt;&gt;"OK",$B$6&gt;0),0,0.5*(IF((MIN('_Dates'!X997,Settings!$B$9))&lt;('_Dates'!W997),0,INT(((MIN('_Dates'!X997,Settings!$B$9))-('_Dates'!W997)+1)/7)*LEN(SUBSTITUTE(W997,"O",""))+LEN(SUBSTITUTE(MID(W997&amp;W997,WEEKDAY(('_Dates'!W997),2),MOD(((MIN('_Dates'!X997,Settings!$B$9))-('_Dates'!W997)+1),7)),"O",""))-COUNTIFS(INDEX(AllClosureRows,C997,0),"&gt;="&amp;('_Dates'!W997),INDEX(AllClosureRows,C997,0),"&lt;="&amp;(MIN('_Dates'!X997,Settings!$B$9))))+IF((MIN('_Dates'!Z997,Settings!$B$9))&lt;('_Dates'!Y997),0,INT(((MIN('_Dates'!Z997,Settings!$B$9))-('_Dates'!Y997)+1)/7)*LEN(SUBSTITUTE(W997,"O",""))+LEN(SUBSTITUTE(MID(W997&amp;W997,WEEKDAY(('_Dates'!Y997),2),MOD(((MIN('_Dates'!Z997,Settings!$B$9))-('_Dates'!Y997)+1),7)),"O",""))-COUNTIFS(INDEX(AllClosureRows,C997,0),"&gt;="&amp;('_Dates'!Y997),INDEX(AllClosureRows,C997,0),"&lt;="&amp;(MIN('_Dates'!Z997,Settings!$B$9))))))</ns0:f>
        <ns0:v>0</ns0:v>
      </ns0:c>
      <ns0:c r="I997" s="0">
        <ns0:f>MAX(0,G997-H997)</ns0:f>
        <ns0:v>0</ns0:v>
      </ns0:c>
      <ns0:c r="J997" s="0">
        <ns0:f>IF(OR(A997=0,F997&lt;&gt;"OK",Bookings!G997="Cancelled",$B$6&gt;0),0,IF('_Dates'!AC997=1,MAX(0,COUNTIFS(rngEngine_B,B997,rngAMStart,"&lt;="&amp;'_Dates'!X997,rngAMEnd,"&gt;="&amp;'_Dates'!W997,rngAMActive,1,rngEngine_F,"OK",rngBookings_F,"&lt;&gt;Cancelled")-1),0)+IF('_Dates'!AD997=1,MAX(0,COUNTIFS(rngEngine_B,B997,rngPMStart,"&lt;="&amp;'_Dates'!Z997,rngPMEnd,"&gt;="&amp;'_Dates'!Y997,rngPMActive,1,rngEngine_F,"OK",rngBookings_F,"&lt;&gt;Cancelled")-1),0))</ns0:f>
        <ns0:v>0</ns0:v>
      </ns0:c>
      <ns0:c r="K997" s="0" t="str">
        <ns0:f>IF(A997=0,"",IF(F997&lt;&gt;"OK",F997,IF(J997&gt;0,"CHECK overlapping entry",IF(AND($B$6=0,G997&lt;=0,Bookings!G997&lt;&gt;"Cancelled"),"CHECK no working days",IF(Bookings!G997="Cancelled","Cancelled","OK")))))</ns0:f>
        <ns0:v/>
      </ns0:c>
      <ns0:c r="L997" s="0">
        <ns0:f>IF(LEFT(K997,5)="CHECK",1,0)</ns0:f>
        <ns0:v>0</ns0:v>
      </ns0:c>
      <ns0:c r="M997" s="0">
        <ns0:f>IF(AND(L997=1,OR(C997=0,IFERROR(INDEX($X$11:$X$60,C997),0)=0)),1,0)</ns0:f>
        <ns0:v>0</ns0:v>
      </ns0:c>
      <ns0:c r="N997" s="0">
        <ns0:f>IF(OR(A997=0,L997&gt;0,$B$6&gt;0,Bookings!G997="Cancelled"),0,G997)</ns0:f>
        <ns0:v>0</ns0:v>
      </ns0:c>
      <ns0:c r="O997" s="0">
        <ns0:f>IF(AND(Bookings!G997="Approved",E997="Yes"),N997,0)</ns0:f>
        <ns0:v>0</ns0:v>
      </ns0:c>
      <ns0:c r="P997" s="0">
        <ns0:f>IF(AND(Bookings!G997="Approved",E997="Yes",L997=0,$B$6=0),H997,0)</ns0:f>
        <ns0:v>0</ns0:v>
      </ns0:c>
      <ns0:c r="Q997" s="0">
        <ns0:f>IF(AND(Bookings!G997="Approved",E997="Yes",L997=0,$B$6=0),I997,0)</ns0:f>
        <ns0:v>0</ns0:v>
      </ns0:c>
      <ns0:c r="R997" s="0">
        <ns0:f>IF(AND(Bookings!G997="Pending",E997="Yes"),N997,0)</ns0:f>
        <ns0:v>0</ns0:v>
      </ns0:c>
      <ns0:c r="S997" s="0">
        <ns0:f>IF(AND(Bookings!G997="Approved",E997="No"),N997,0)</ns0:f>
        <ns0:v>0</ns0:v>
      </ns0:c>
      <ns0:c r="T997" s="0">
        <ns0:f>IFERROR(MATCH(D997,Settings!$G$7:$G$11,0),0)</ns0:f>
        <ns0:v>0</ns0:v>
      </ns0:c>
      <ns0:c r="U997" s="0">
        <ns0:f>IF(N997&gt;0,T997+IF(Bookings!G997="Pending",10,0),0)</ns0:f>
        <ns0:v>0</ns0:v>
      </ns0:c>
      <ns0:c r="V997" s="0">
        <ns0:f>U997</ns0:f>
        <ns0:v>0</ns0:v>
      </ns0:c>
      <ns0:c r="W997" s="0" t="str">
        <ns0:f>IF(C997=0,"",INDEX($AP$11:$AP$60,C997))</ns0:f>
        <ns0:v/>
      </ns0:c>
    </ns0:row>
    <ns0:row r="998">
      <ns0:c r="A998" s="0">
        <ns0:f>IF(COUNTA(Bookings!A998:G998,Bookings!I998)=0,0,1)</ns0:f>
        <ns0:v>0</ns0:v>
      </ns0:c>
      <ns0:c r="B998" s="0" t="str">
        <ns0:f>IFERROR(TRIM(MID(Bookings!A998,FIND(" · ",Bookings!A998)+3,99)),"")</ns0:f>
        <ns0:v/>
      </ns0:c>
      <ns0:c r="C998" s="0">
        <ns0:f>IF(OR(B998="",LEN(B998)&gt;24,ISNUMBER(FIND(" ",B998)),ISNUMBER(FIND("*",B998)),ISNUMBER(FIND("?",B998)),ISNUMBER(FIND("~",B998))),0,IFERROR(MATCH(B998,Team!$A$11:$A$60,0),0))</ns0:f>
        <ns0:v>0</ns0:v>
      </ns0:c>
      <ns0:c r="D998" s="0" t="str">
        <ns0:f>IFERROR(IF(MID(Bookings!F998,LEN(Bookings!F998)-3,3)=" · ",RIGHT(Bookings!F998,1),""),"")</ns0:f>
        <ns0:v/>
      </ns0:c>
      <ns0:c r="E998" s="0" t="str">
        <ns0:f>IFERROR(INDEX(Settings!$H$7:$H$11,MATCH(D998,Settings!$G$7:$G$11,0)),"")</ns0:f>
        <ns0:v/>
      </ns0:c>
      <ns0:c r="F998" s="0" t="str">
        <ns0:f>IF(A998=0,"",IFERROR(IF(OR(B998="",C998=0),"CHECK employee selection",IF(INDEX(Team!$O$11:$O$60,C998)&lt;&gt;"OK","CHECK employee setup",IF(OR('_Dates'!J998=0,'_Dates'!T998=0),"CHECK date: use DD.MM.YYYY",IF('_Dates'!T998&lt;'_Dates'!J998,"CHECK end before start",IF(AND($B$6=0,OR('_Dates'!J998&lt;Settings!$B$7,'_Dates'!T998&gt;Settings!$B$8)),"CHECK split across leave years",IF(OR(NOT(OR('_Dates'!U998="Full day",'_Dates'!U998="AM",'_Dates'!U998="PM")),NOT(OR('_Dates'!V998="Full day",'_Dates'!V998="AM",'_Dates'!V998="PM"))),"CHECK Full day / AM / PM",IF(AND('_Dates'!J998='_Dates'!T998,'_Dates'!U998&lt;&gt;"Full day",'_Dates'!V998&lt;&gt;"Full day",'_Dates'!U998&lt;&gt;'_Dates'!V998),"CHECK same-day portions disagree",IF(AND($B$6=0,OR(AND('_Dates'!U998&lt;&gt;"Full day",'_Dates'!AA998=0),AND('_Dates'!V998&lt;&gt;"Full day",'_Dates'!AB998=0))),"CHECK half-day on non-working date",IF(COUNTIF(Settings!$G$7:$G$11,D998)&lt;&gt;1,"CHECK leave type",IF(AND(Bookings!G998&lt;&gt;"Approved",Bookings!G998&lt;&gt;"Pending",Bookings!G998&lt;&gt;"Cancelled"),"CHECK status","OK")))))))))),"CHECK input"))</ns0:f>
        <ns0:v/>
      </ns0:c>
      <ns0:c r="G998" s="0">
        <ns0:f>IF(OR(F998&lt;&gt;"OK",$B$6&gt;0),0,0.5*(IF(('_Dates'!X998)&lt;('_Dates'!W998),0,INT((('_Dates'!X998)-('_Dates'!W998)+1)/7)*LEN(SUBSTITUTE(W998,"O",""))+LEN(SUBSTITUTE(MID(W998&amp;W998,WEEKDAY(('_Dates'!W998),2),MOD((('_Dates'!X998)-('_Dates'!W998)+1),7)),"O",""))-COUNTIFS(INDEX(AllClosureRows,C998,0),"&gt;="&amp;('_Dates'!W998),INDEX(AllClosureRows,C998,0),"&lt;="&amp;('_Dates'!X998)))+IF(('_Dates'!Z998)&lt;('_Dates'!Y998),0,INT((('_Dates'!Z998)-('_Dates'!Y998)+1)/7)*LEN(SUBSTITUTE(W998,"O",""))+LEN(SUBSTITUTE(MID(W998&amp;W998,WEEKDAY(('_Dates'!Y998),2),MOD((('_Dates'!Z998)-('_Dates'!Y998)+1),7)),"O",""))-COUNTIFS(INDEX(AllClosureRows,C998,0),"&gt;="&amp;('_Dates'!Y998),INDEX(AllClosureRows,C998,0),"&lt;="&amp;('_Dates'!Z998)))))</ns0:f>
        <ns0:v>0</ns0:v>
      </ns0:c>
      <ns0:c r="H998" s="0">
        <ns0:f>IF(OR(F998&lt;&gt;"OK",$B$6&gt;0),0,0.5*(IF((MIN('_Dates'!X998,Settings!$B$9))&lt;('_Dates'!W998),0,INT(((MIN('_Dates'!X998,Settings!$B$9))-('_Dates'!W998)+1)/7)*LEN(SUBSTITUTE(W998,"O",""))+LEN(SUBSTITUTE(MID(W998&amp;W998,WEEKDAY(('_Dates'!W998),2),MOD(((MIN('_Dates'!X998,Settings!$B$9))-('_Dates'!W998)+1),7)),"O",""))-COUNTIFS(INDEX(AllClosureRows,C998,0),"&gt;="&amp;('_Dates'!W998),INDEX(AllClosureRows,C998,0),"&lt;="&amp;(MIN('_Dates'!X998,Settings!$B$9))))+IF((MIN('_Dates'!Z998,Settings!$B$9))&lt;('_Dates'!Y998),0,INT(((MIN('_Dates'!Z998,Settings!$B$9))-('_Dates'!Y998)+1)/7)*LEN(SUBSTITUTE(W998,"O",""))+LEN(SUBSTITUTE(MID(W998&amp;W998,WEEKDAY(('_Dates'!Y998),2),MOD(((MIN('_Dates'!Z998,Settings!$B$9))-('_Dates'!Y998)+1),7)),"O",""))-COUNTIFS(INDEX(AllClosureRows,C998,0),"&gt;="&amp;('_Dates'!Y998),INDEX(AllClosureRows,C998,0),"&lt;="&amp;(MIN('_Dates'!Z998,Settings!$B$9))))))</ns0:f>
        <ns0:v>0</ns0:v>
      </ns0:c>
      <ns0:c r="I998" s="0">
        <ns0:f>MAX(0,G998-H998)</ns0:f>
        <ns0:v>0</ns0:v>
      </ns0:c>
      <ns0:c r="J998" s="0">
        <ns0:f>IF(OR(A998=0,F998&lt;&gt;"OK",Bookings!G998="Cancelled",$B$6&gt;0),0,IF('_Dates'!AC998=1,MAX(0,COUNTIFS(rngEngine_B,B998,rngAMStart,"&lt;="&amp;'_Dates'!X998,rngAMEnd,"&gt;="&amp;'_Dates'!W998,rngAMActive,1,rngEngine_F,"OK",rngBookings_F,"&lt;&gt;Cancelled")-1),0)+IF('_Dates'!AD998=1,MAX(0,COUNTIFS(rngEngine_B,B998,rngPMStart,"&lt;="&amp;'_Dates'!Z998,rngPMEnd,"&gt;="&amp;'_Dates'!Y998,rngPMActive,1,rngEngine_F,"OK",rngBookings_F,"&lt;&gt;Cancelled")-1),0))</ns0:f>
        <ns0:v>0</ns0:v>
      </ns0:c>
      <ns0:c r="K998" s="0" t="str">
        <ns0:f>IF(A998=0,"",IF(F998&lt;&gt;"OK",F998,IF(J998&gt;0,"CHECK overlapping entry",IF(AND($B$6=0,G998&lt;=0,Bookings!G998&lt;&gt;"Cancelled"),"CHECK no working days",IF(Bookings!G998="Cancelled","Cancelled","OK")))))</ns0:f>
        <ns0:v/>
      </ns0:c>
      <ns0:c r="L998" s="0">
        <ns0:f>IF(LEFT(K998,5)="CHECK",1,0)</ns0:f>
        <ns0:v>0</ns0:v>
      </ns0:c>
      <ns0:c r="M998" s="0">
        <ns0:f>IF(AND(L998=1,OR(C998=0,IFERROR(INDEX($X$11:$X$60,C998),0)=0)),1,0)</ns0:f>
        <ns0:v>0</ns0:v>
      </ns0:c>
      <ns0:c r="N998" s="0">
        <ns0:f>IF(OR(A998=0,L998&gt;0,$B$6&gt;0,Bookings!G998="Cancelled"),0,G998)</ns0:f>
        <ns0:v>0</ns0:v>
      </ns0:c>
      <ns0:c r="O998" s="0">
        <ns0:f>IF(AND(Bookings!G998="Approved",E998="Yes"),N998,0)</ns0:f>
        <ns0:v>0</ns0:v>
      </ns0:c>
      <ns0:c r="P998" s="0">
        <ns0:f>IF(AND(Bookings!G998="Approved",E998="Yes",L998=0,$B$6=0),H998,0)</ns0:f>
        <ns0:v>0</ns0:v>
      </ns0:c>
      <ns0:c r="Q998" s="0">
        <ns0:f>IF(AND(Bookings!G998="Approved",E998="Yes",L998=0,$B$6=0),I998,0)</ns0:f>
        <ns0:v>0</ns0:v>
      </ns0:c>
      <ns0:c r="R998" s="0">
        <ns0:f>IF(AND(Bookings!G998="Pending",E998="Yes"),N998,0)</ns0:f>
        <ns0:v>0</ns0:v>
      </ns0:c>
      <ns0:c r="S998" s="0">
        <ns0:f>IF(AND(Bookings!G998="Approved",E998="No"),N998,0)</ns0:f>
        <ns0:v>0</ns0:v>
      </ns0:c>
      <ns0:c r="T998" s="0">
        <ns0:f>IFERROR(MATCH(D998,Settings!$G$7:$G$11,0),0)</ns0:f>
        <ns0:v>0</ns0:v>
      </ns0:c>
      <ns0:c r="U998" s="0">
        <ns0:f>IF(N998&gt;0,T998+IF(Bookings!G998="Pending",10,0),0)</ns0:f>
        <ns0:v>0</ns0:v>
      </ns0:c>
      <ns0:c r="V998" s="0">
        <ns0:f>U998</ns0:f>
        <ns0:v>0</ns0:v>
      </ns0:c>
      <ns0:c r="W998" s="0" t="str">
        <ns0:f>IF(C998=0,"",INDEX($AP$11:$AP$60,C998))</ns0:f>
        <ns0:v/>
      </ns0:c>
    </ns0:row>
    <ns0:row r="999">
      <ns0:c r="A999" s="0">
        <ns0:f>IF(COUNTA(Bookings!A999:G999,Bookings!I999)=0,0,1)</ns0:f>
        <ns0:v>0</ns0:v>
      </ns0:c>
      <ns0:c r="B999" s="0" t="str">
        <ns0:f>IFERROR(TRIM(MID(Bookings!A999,FIND(" · ",Bookings!A999)+3,99)),"")</ns0:f>
        <ns0:v/>
      </ns0:c>
      <ns0:c r="C999" s="0">
        <ns0:f>IF(OR(B999="",LEN(B999)&gt;24,ISNUMBER(FIND(" ",B999)),ISNUMBER(FIND("*",B999)),ISNUMBER(FIND("?",B999)),ISNUMBER(FIND("~",B999))),0,IFERROR(MATCH(B999,Team!$A$11:$A$60,0),0))</ns0:f>
        <ns0:v>0</ns0:v>
      </ns0:c>
      <ns0:c r="D999" s="0" t="str">
        <ns0:f>IFERROR(IF(MID(Bookings!F999,LEN(Bookings!F999)-3,3)=" · ",RIGHT(Bookings!F999,1),""),"")</ns0:f>
        <ns0:v/>
      </ns0:c>
      <ns0:c r="E999" s="0" t="str">
        <ns0:f>IFERROR(INDEX(Settings!$H$7:$H$11,MATCH(D999,Settings!$G$7:$G$11,0)),"")</ns0:f>
        <ns0:v/>
      </ns0:c>
      <ns0:c r="F999" s="0" t="str">
        <ns0:f>IF(A999=0,"",IFERROR(IF(OR(B999="",C999=0),"CHECK employee selection",IF(INDEX(Team!$O$11:$O$60,C999)&lt;&gt;"OK","CHECK employee setup",IF(OR('_Dates'!J999=0,'_Dates'!T999=0),"CHECK date: use DD.MM.YYYY",IF('_Dates'!T999&lt;'_Dates'!J999,"CHECK end before start",IF(AND($B$6=0,OR('_Dates'!J999&lt;Settings!$B$7,'_Dates'!T999&gt;Settings!$B$8)),"CHECK split across leave years",IF(OR(NOT(OR('_Dates'!U999="Full day",'_Dates'!U999="AM",'_Dates'!U999="PM")),NOT(OR('_Dates'!V999="Full day",'_Dates'!V999="AM",'_Dates'!V999="PM"))),"CHECK Full day / AM / PM",IF(AND('_Dates'!J999='_Dates'!T999,'_Dates'!U999&lt;&gt;"Full day",'_Dates'!V999&lt;&gt;"Full day",'_Dates'!U999&lt;&gt;'_Dates'!V999),"CHECK same-day portions disagree",IF(AND($B$6=0,OR(AND('_Dates'!U999&lt;&gt;"Full day",'_Dates'!AA999=0),AND('_Dates'!V999&lt;&gt;"Full day",'_Dates'!AB999=0))),"CHECK half-day on non-working date",IF(COUNTIF(Settings!$G$7:$G$11,D999)&lt;&gt;1,"CHECK leave type",IF(AND(Bookings!G999&lt;&gt;"Approved",Bookings!G999&lt;&gt;"Pending",Bookings!G999&lt;&gt;"Cancelled"),"CHECK status","OK")))))))))),"CHECK input"))</ns0:f>
        <ns0:v/>
      </ns0:c>
      <ns0:c r="G999" s="0">
        <ns0:f>IF(OR(F999&lt;&gt;"OK",$B$6&gt;0),0,0.5*(IF(('_Dates'!X999)&lt;('_Dates'!W999),0,INT((('_Dates'!X999)-('_Dates'!W999)+1)/7)*LEN(SUBSTITUTE(W999,"O",""))+LEN(SUBSTITUTE(MID(W999&amp;W999,WEEKDAY(('_Dates'!W999),2),MOD((('_Dates'!X999)-('_Dates'!W999)+1),7)),"O",""))-COUNTIFS(INDEX(AllClosureRows,C999,0),"&gt;="&amp;('_Dates'!W999),INDEX(AllClosureRows,C999,0),"&lt;="&amp;('_Dates'!X999)))+IF(('_Dates'!Z999)&lt;('_Dates'!Y999),0,INT((('_Dates'!Z999)-('_Dates'!Y999)+1)/7)*LEN(SUBSTITUTE(W999,"O",""))+LEN(SUBSTITUTE(MID(W999&amp;W999,WEEKDAY(('_Dates'!Y999),2),MOD((('_Dates'!Z999)-('_Dates'!Y999)+1),7)),"O",""))-COUNTIFS(INDEX(AllClosureRows,C999,0),"&gt;="&amp;('_Dates'!Y999),INDEX(AllClosureRows,C999,0),"&lt;="&amp;('_Dates'!Z999)))))</ns0:f>
        <ns0:v>0</ns0:v>
      </ns0:c>
      <ns0:c r="H999" s="0">
        <ns0:f>IF(OR(F999&lt;&gt;"OK",$B$6&gt;0),0,0.5*(IF((MIN('_Dates'!X999,Settings!$B$9))&lt;('_Dates'!W999),0,INT(((MIN('_Dates'!X999,Settings!$B$9))-('_Dates'!W999)+1)/7)*LEN(SUBSTITUTE(W999,"O",""))+LEN(SUBSTITUTE(MID(W999&amp;W999,WEEKDAY(('_Dates'!W999),2),MOD(((MIN('_Dates'!X999,Settings!$B$9))-('_Dates'!W999)+1),7)),"O",""))-COUNTIFS(INDEX(AllClosureRows,C999,0),"&gt;="&amp;('_Dates'!W999),INDEX(AllClosureRows,C999,0),"&lt;="&amp;(MIN('_Dates'!X999,Settings!$B$9))))+IF((MIN('_Dates'!Z999,Settings!$B$9))&lt;('_Dates'!Y999),0,INT(((MIN('_Dates'!Z999,Settings!$B$9))-('_Dates'!Y999)+1)/7)*LEN(SUBSTITUTE(W999,"O",""))+LEN(SUBSTITUTE(MID(W999&amp;W999,WEEKDAY(('_Dates'!Y999),2),MOD(((MIN('_Dates'!Z999,Settings!$B$9))-('_Dates'!Y999)+1),7)),"O",""))-COUNTIFS(INDEX(AllClosureRows,C999,0),"&gt;="&amp;('_Dates'!Y999),INDEX(AllClosureRows,C999,0),"&lt;="&amp;(MIN('_Dates'!Z999,Settings!$B$9))))))</ns0:f>
        <ns0:v>0</ns0:v>
      </ns0:c>
      <ns0:c r="I999" s="0">
        <ns0:f>MAX(0,G999-H999)</ns0:f>
        <ns0:v>0</ns0:v>
      </ns0:c>
      <ns0:c r="J999" s="0">
        <ns0:f>IF(OR(A999=0,F999&lt;&gt;"OK",Bookings!G999="Cancelled",$B$6&gt;0),0,IF('_Dates'!AC999=1,MAX(0,COUNTIFS(rngEngine_B,B999,rngAMStart,"&lt;="&amp;'_Dates'!X999,rngAMEnd,"&gt;="&amp;'_Dates'!W999,rngAMActive,1,rngEngine_F,"OK",rngBookings_F,"&lt;&gt;Cancelled")-1),0)+IF('_Dates'!AD999=1,MAX(0,COUNTIFS(rngEngine_B,B999,rngPMStart,"&lt;="&amp;'_Dates'!Z999,rngPMEnd,"&gt;="&amp;'_Dates'!Y999,rngPMActive,1,rngEngine_F,"OK",rngBookings_F,"&lt;&gt;Cancelled")-1),0))</ns0:f>
        <ns0:v>0</ns0:v>
      </ns0:c>
      <ns0:c r="K999" s="0" t="str">
        <ns0:f>IF(A999=0,"",IF(F999&lt;&gt;"OK",F999,IF(J999&gt;0,"CHECK overlapping entry",IF(AND($B$6=0,G999&lt;=0,Bookings!G999&lt;&gt;"Cancelled"),"CHECK no working days",IF(Bookings!G999="Cancelled","Cancelled","OK")))))</ns0:f>
        <ns0:v/>
      </ns0:c>
      <ns0:c r="L999" s="0">
        <ns0:f>IF(LEFT(K999,5)="CHECK",1,0)</ns0:f>
        <ns0:v>0</ns0:v>
      </ns0:c>
      <ns0:c r="M999" s="0">
        <ns0:f>IF(AND(L999=1,OR(C999=0,IFERROR(INDEX($X$11:$X$60,C999),0)=0)),1,0)</ns0:f>
        <ns0:v>0</ns0:v>
      </ns0:c>
      <ns0:c r="N999" s="0">
        <ns0:f>IF(OR(A999=0,L999&gt;0,$B$6&gt;0,Bookings!G999="Cancelled"),0,G999)</ns0:f>
        <ns0:v>0</ns0:v>
      </ns0:c>
      <ns0:c r="O999" s="0">
        <ns0:f>IF(AND(Bookings!G999="Approved",E999="Yes"),N999,0)</ns0:f>
        <ns0:v>0</ns0:v>
      </ns0:c>
      <ns0:c r="P999" s="0">
        <ns0:f>IF(AND(Bookings!G999="Approved",E999="Yes",L999=0,$B$6=0),H999,0)</ns0:f>
        <ns0:v>0</ns0:v>
      </ns0:c>
      <ns0:c r="Q999" s="0">
        <ns0:f>IF(AND(Bookings!G999="Approved",E999="Yes",L999=0,$B$6=0),I999,0)</ns0:f>
        <ns0:v>0</ns0:v>
      </ns0:c>
      <ns0:c r="R999" s="0">
        <ns0:f>IF(AND(Bookings!G999="Pending",E999="Yes"),N999,0)</ns0:f>
        <ns0:v>0</ns0:v>
      </ns0:c>
      <ns0:c r="S999" s="0">
        <ns0:f>IF(AND(Bookings!G999="Approved",E999="No"),N999,0)</ns0:f>
        <ns0:v>0</ns0:v>
      </ns0:c>
      <ns0:c r="T999" s="0">
        <ns0:f>IFERROR(MATCH(D999,Settings!$G$7:$G$11,0),0)</ns0:f>
        <ns0:v>0</ns0:v>
      </ns0:c>
      <ns0:c r="U999" s="0">
        <ns0:f>IF(N999&gt;0,T999+IF(Bookings!G999="Pending",10,0),0)</ns0:f>
        <ns0:v>0</ns0:v>
      </ns0:c>
      <ns0:c r="V999" s="0">
        <ns0:f>U999</ns0:f>
        <ns0:v>0</ns0:v>
      </ns0:c>
      <ns0:c r="W999" s="0" t="str">
        <ns0:f>IF(C999=0,"",INDEX($AP$11:$AP$60,C999))</ns0:f>
        <ns0:v/>
      </ns0:c>
    </ns0:row>
    <ns0:row r="1000">
      <ns0:c r="A1000" s="0">
        <ns0:f>IF(COUNTA(Bookings!A1000:G1000,Bookings!I1000)=0,0,1)</ns0:f>
        <ns0:v>0</ns0:v>
      </ns0:c>
      <ns0:c r="B1000" s="0" t="str">
        <ns0:f>IFERROR(TRIM(MID(Bookings!A1000,FIND(" · ",Bookings!A1000)+3,99)),"")</ns0:f>
        <ns0:v/>
      </ns0:c>
      <ns0:c r="C1000" s="0">
        <ns0:f>IF(OR(B1000="",LEN(B1000)&gt;24,ISNUMBER(FIND(" ",B1000)),ISNUMBER(FIND("*",B1000)),ISNUMBER(FIND("?",B1000)),ISNUMBER(FIND("~",B1000))),0,IFERROR(MATCH(B1000,Team!$A$11:$A$60,0),0))</ns0:f>
        <ns0:v>0</ns0:v>
      </ns0:c>
      <ns0:c r="D1000" s="0" t="str">
        <ns0:f>IFERROR(IF(MID(Bookings!F1000,LEN(Bookings!F1000)-3,3)=" · ",RIGHT(Bookings!F1000,1),""),"")</ns0:f>
        <ns0:v/>
      </ns0:c>
      <ns0:c r="E1000" s="0" t="str">
        <ns0:f>IFERROR(INDEX(Settings!$H$7:$H$11,MATCH(D1000,Settings!$G$7:$G$11,0)),"")</ns0:f>
        <ns0:v/>
      </ns0:c>
      <ns0:c r="F1000" s="0" t="str">
        <ns0:f>IF(A1000=0,"",IFERROR(IF(OR(B1000="",C1000=0),"CHECK employee selection",IF(INDEX(Team!$O$11:$O$60,C1000)&lt;&gt;"OK","CHECK employee setup",IF(OR('_Dates'!J1000=0,'_Dates'!T1000=0),"CHECK date: use DD.MM.YYYY",IF('_Dates'!T1000&lt;'_Dates'!J1000,"CHECK end before start",IF(AND($B$6=0,OR('_Dates'!J1000&lt;Settings!$B$7,'_Dates'!T1000&gt;Settings!$B$8)),"CHECK split across leave years",IF(OR(NOT(OR('_Dates'!U1000="Full day",'_Dates'!U1000="AM",'_Dates'!U1000="PM")),NOT(OR('_Dates'!V1000="Full day",'_Dates'!V1000="AM",'_Dates'!V1000="PM"))),"CHECK Full day / AM / PM",IF(AND('_Dates'!J1000='_Dates'!T1000,'_Dates'!U1000&lt;&gt;"Full day",'_Dates'!V1000&lt;&gt;"Full day",'_Dates'!U1000&lt;&gt;'_Dates'!V1000),"CHECK same-day portions disagree",IF(AND($B$6=0,OR(AND('_Dates'!U1000&lt;&gt;"Full day",'_Dates'!AA1000=0),AND('_Dates'!V1000&lt;&gt;"Full day",'_Dates'!AB1000=0))),"CHECK half-day on non-working date",IF(COUNTIF(Settings!$G$7:$G$11,D1000)&lt;&gt;1,"CHECK leave type",IF(AND(Bookings!G1000&lt;&gt;"Approved",Bookings!G1000&lt;&gt;"Pending",Bookings!G1000&lt;&gt;"Cancelled"),"CHECK status","OK")))))))))),"CHECK input"))</ns0:f>
        <ns0:v/>
      </ns0:c>
      <ns0:c r="G1000" s="0">
        <ns0:f>IF(OR(F1000&lt;&gt;"OK",$B$6&gt;0),0,0.5*(IF(('_Dates'!X1000)&lt;('_Dates'!W1000),0,INT((('_Dates'!X1000)-('_Dates'!W1000)+1)/7)*LEN(SUBSTITUTE(W1000,"O",""))+LEN(SUBSTITUTE(MID(W1000&amp;W1000,WEEKDAY(('_Dates'!W1000),2),MOD((('_Dates'!X1000)-('_Dates'!W1000)+1),7)),"O",""))-COUNTIFS(INDEX(AllClosureRows,C1000,0),"&gt;="&amp;('_Dates'!W1000),INDEX(AllClosureRows,C1000,0),"&lt;="&amp;('_Dates'!X1000)))+IF(('_Dates'!Z1000)&lt;('_Dates'!Y1000),0,INT((('_Dates'!Z1000)-('_Dates'!Y1000)+1)/7)*LEN(SUBSTITUTE(W1000,"O",""))+LEN(SUBSTITUTE(MID(W1000&amp;W1000,WEEKDAY(('_Dates'!Y1000),2),MOD((('_Dates'!Z1000)-('_Dates'!Y1000)+1),7)),"O",""))-COUNTIFS(INDEX(AllClosureRows,C1000,0),"&gt;="&amp;('_Dates'!Y1000),INDEX(AllClosureRows,C1000,0),"&lt;="&amp;('_Dates'!Z1000)))))</ns0:f>
        <ns0:v>0</ns0:v>
      </ns0:c>
      <ns0:c r="H1000" s="0">
        <ns0:f>IF(OR(F1000&lt;&gt;"OK",$B$6&gt;0),0,0.5*(IF((MIN('_Dates'!X1000,Settings!$B$9))&lt;('_Dates'!W1000),0,INT(((MIN('_Dates'!X1000,Settings!$B$9))-('_Dates'!W1000)+1)/7)*LEN(SUBSTITUTE(W1000,"O",""))+LEN(SUBSTITUTE(MID(W1000&amp;W1000,WEEKDAY(('_Dates'!W1000),2),MOD(((MIN('_Dates'!X1000,Settings!$B$9))-('_Dates'!W1000)+1),7)),"O",""))-COUNTIFS(INDEX(AllClosureRows,C1000,0),"&gt;="&amp;('_Dates'!W1000),INDEX(AllClosureRows,C1000,0),"&lt;="&amp;(MIN('_Dates'!X1000,Settings!$B$9))))+IF((MIN('_Dates'!Z1000,Settings!$B$9))&lt;('_Dates'!Y1000),0,INT(((MIN('_Dates'!Z1000,Settings!$B$9))-('_Dates'!Y1000)+1)/7)*LEN(SUBSTITUTE(W1000,"O",""))+LEN(SUBSTITUTE(MID(W1000&amp;W1000,WEEKDAY(('_Dates'!Y1000),2),MOD(((MIN('_Dates'!Z1000,Settings!$B$9))-('_Dates'!Y1000)+1),7)),"O",""))-COUNTIFS(INDEX(AllClosureRows,C1000,0),"&gt;="&amp;('_Dates'!Y1000),INDEX(AllClosureRows,C1000,0),"&lt;="&amp;(MIN('_Dates'!Z1000,Settings!$B$9))))))</ns0:f>
        <ns0:v>0</ns0:v>
      </ns0:c>
      <ns0:c r="I1000" s="0">
        <ns0:f>MAX(0,G1000-H1000)</ns0:f>
        <ns0:v>0</ns0:v>
      </ns0:c>
      <ns0:c r="J1000" s="0">
        <ns0:f>IF(OR(A1000=0,F1000&lt;&gt;"OK",Bookings!G1000="Cancelled",$B$6&gt;0),0,IF('_Dates'!AC1000=1,MAX(0,COUNTIFS(rngEngine_B,B1000,rngAMStart,"&lt;="&amp;'_Dates'!X1000,rngAMEnd,"&gt;="&amp;'_Dates'!W1000,rngAMActive,1,rngEngine_F,"OK",rngBookings_F,"&lt;&gt;Cancelled")-1),0)+IF('_Dates'!AD1000=1,MAX(0,COUNTIFS(rngEngine_B,B1000,rngPMStart,"&lt;="&amp;'_Dates'!Z1000,rngPMEnd,"&gt;="&amp;'_Dates'!Y1000,rngPMActive,1,rngEngine_F,"OK",rngBookings_F,"&lt;&gt;Cancelled")-1),0))</ns0:f>
        <ns0:v>0</ns0:v>
      </ns0:c>
      <ns0:c r="K1000" s="0" t="str">
        <ns0:f>IF(A1000=0,"",IF(F1000&lt;&gt;"OK",F1000,IF(J1000&gt;0,"CHECK overlapping entry",IF(AND($B$6=0,G1000&lt;=0,Bookings!G1000&lt;&gt;"Cancelled"),"CHECK no working days",IF(Bookings!G1000="Cancelled","Cancelled","OK")))))</ns0:f>
        <ns0:v/>
      </ns0:c>
      <ns0:c r="L1000" s="0">
        <ns0:f>IF(LEFT(K1000,5)="CHECK",1,0)</ns0:f>
        <ns0:v>0</ns0:v>
      </ns0:c>
      <ns0:c r="M1000" s="0">
        <ns0:f>IF(AND(L1000=1,OR(C1000=0,IFERROR(INDEX($X$11:$X$60,C1000),0)=0)),1,0)</ns0:f>
        <ns0:v>0</ns0:v>
      </ns0:c>
      <ns0:c r="N1000" s="0">
        <ns0:f>IF(OR(A1000=0,L1000&gt;0,$B$6&gt;0,Bookings!G1000="Cancelled"),0,G1000)</ns0:f>
        <ns0:v>0</ns0:v>
      </ns0:c>
      <ns0:c r="O1000" s="0">
        <ns0:f>IF(AND(Bookings!G1000="Approved",E1000="Yes"),N1000,0)</ns0:f>
        <ns0:v>0</ns0:v>
      </ns0:c>
      <ns0:c r="P1000" s="0">
        <ns0:f>IF(AND(Bookings!G1000="Approved",E1000="Yes",L1000=0,$B$6=0),H1000,0)</ns0:f>
        <ns0:v>0</ns0:v>
      </ns0:c>
      <ns0:c r="Q1000" s="0">
        <ns0:f>IF(AND(Bookings!G1000="Approved",E1000="Yes",L1000=0,$B$6=0),I1000,0)</ns0:f>
        <ns0:v>0</ns0:v>
      </ns0:c>
      <ns0:c r="R1000" s="0">
        <ns0:f>IF(AND(Bookings!G1000="Pending",E1000="Yes"),N1000,0)</ns0:f>
        <ns0:v>0</ns0:v>
      </ns0:c>
      <ns0:c r="S1000" s="0">
        <ns0:f>IF(AND(Bookings!G1000="Approved",E1000="No"),N1000,0)</ns0:f>
        <ns0:v>0</ns0:v>
      </ns0:c>
      <ns0:c r="T1000" s="0">
        <ns0:f>IFERROR(MATCH(D1000,Settings!$G$7:$G$11,0),0)</ns0:f>
        <ns0:v>0</ns0:v>
      </ns0:c>
      <ns0:c r="U1000" s="0">
        <ns0:f>IF(N1000&gt;0,T1000+IF(Bookings!G1000="Pending",10,0),0)</ns0:f>
        <ns0:v>0</ns0:v>
      </ns0:c>
      <ns0:c r="V1000" s="0">
        <ns0:f>U1000</ns0:f>
        <ns0:v>0</ns0:v>
      </ns0:c>
      <ns0:c r="W1000" s="0" t="str">
        <ns0:f>IF(C1000=0,"",INDEX($AP$11:$AP$60,C1000))</ns0:f>
        <ns0:v/>
      </ns0:c>
    </ns0:row>
    <ns0:row r="1001">
      <ns0:c r="A1001" s="0">
        <ns0:f>IF(COUNTA(Bookings!A1001:G1001,Bookings!I1001)=0,0,1)</ns0:f>
        <ns0:v>0</ns0:v>
      </ns0:c>
      <ns0:c r="B1001" s="0" t="str">
        <ns0:f>IFERROR(TRIM(MID(Bookings!A1001,FIND(" · ",Bookings!A1001)+3,99)),"")</ns0:f>
        <ns0:v/>
      </ns0:c>
      <ns0:c r="C1001" s="0">
        <ns0:f>IF(OR(B1001="",LEN(B1001)&gt;24,ISNUMBER(FIND(" ",B1001)),ISNUMBER(FIND("*",B1001)),ISNUMBER(FIND("?",B1001)),ISNUMBER(FIND("~",B1001))),0,IFERROR(MATCH(B1001,Team!$A$11:$A$60,0),0))</ns0:f>
        <ns0:v>0</ns0:v>
      </ns0:c>
      <ns0:c r="D1001" s="0" t="str">
        <ns0:f>IFERROR(IF(MID(Bookings!F1001,LEN(Bookings!F1001)-3,3)=" · ",RIGHT(Bookings!F1001,1),""),"")</ns0:f>
        <ns0:v/>
      </ns0:c>
      <ns0:c r="E1001" s="0" t="str">
        <ns0:f>IFERROR(INDEX(Settings!$H$7:$H$11,MATCH(D1001,Settings!$G$7:$G$11,0)),"")</ns0:f>
        <ns0:v/>
      </ns0:c>
      <ns0:c r="F1001" s="0" t="str">
        <ns0:f>IF(A1001=0,"",IFERROR(IF(OR(B1001="",C1001=0),"CHECK employee selection",IF(INDEX(Team!$O$11:$O$60,C1001)&lt;&gt;"OK","CHECK employee setup",IF(OR('_Dates'!J1001=0,'_Dates'!T1001=0),"CHECK date: use DD.MM.YYYY",IF('_Dates'!T1001&lt;'_Dates'!J1001,"CHECK end before start",IF(AND($B$6=0,OR('_Dates'!J1001&lt;Settings!$B$7,'_Dates'!T1001&gt;Settings!$B$8)),"CHECK split across leave years",IF(OR(NOT(OR('_Dates'!U1001="Full day",'_Dates'!U1001="AM",'_Dates'!U1001="PM")),NOT(OR('_Dates'!V1001="Full day",'_Dates'!V1001="AM",'_Dates'!V1001="PM"))),"CHECK Full day / AM / PM",IF(AND('_Dates'!J1001='_Dates'!T1001,'_Dates'!U1001&lt;&gt;"Full day",'_Dates'!V1001&lt;&gt;"Full day",'_Dates'!U1001&lt;&gt;'_Dates'!V1001),"CHECK same-day portions disagree",IF(AND($B$6=0,OR(AND('_Dates'!U1001&lt;&gt;"Full day",'_Dates'!AA1001=0),AND('_Dates'!V1001&lt;&gt;"Full day",'_Dates'!AB1001=0))),"CHECK half-day on non-working date",IF(COUNTIF(Settings!$G$7:$G$11,D1001)&lt;&gt;1,"CHECK leave type",IF(AND(Bookings!G1001&lt;&gt;"Approved",Bookings!G1001&lt;&gt;"Pending",Bookings!G1001&lt;&gt;"Cancelled"),"CHECK status","OK")))))))))),"CHECK input"))</ns0:f>
        <ns0:v/>
      </ns0:c>
      <ns0:c r="G1001" s="0">
        <ns0:f>IF(OR(F1001&lt;&gt;"OK",$B$6&gt;0),0,0.5*(IF(('_Dates'!X1001)&lt;('_Dates'!W1001),0,INT((('_Dates'!X1001)-('_Dates'!W1001)+1)/7)*LEN(SUBSTITUTE(W1001,"O",""))+LEN(SUBSTITUTE(MID(W1001&amp;W1001,WEEKDAY(('_Dates'!W1001),2),MOD((('_Dates'!X1001)-('_Dates'!W1001)+1),7)),"O",""))-COUNTIFS(INDEX(AllClosureRows,C1001,0),"&gt;="&amp;('_Dates'!W1001),INDEX(AllClosureRows,C1001,0),"&lt;="&amp;('_Dates'!X1001)))+IF(('_Dates'!Z1001)&lt;('_Dates'!Y1001),0,INT((('_Dates'!Z1001)-('_Dates'!Y1001)+1)/7)*LEN(SUBSTITUTE(W1001,"O",""))+LEN(SUBSTITUTE(MID(W1001&amp;W1001,WEEKDAY(('_Dates'!Y1001),2),MOD((('_Dates'!Z1001)-('_Dates'!Y1001)+1),7)),"O",""))-COUNTIFS(INDEX(AllClosureRows,C1001,0),"&gt;="&amp;('_Dates'!Y1001),INDEX(AllClosureRows,C1001,0),"&lt;="&amp;('_Dates'!Z1001)))))</ns0:f>
        <ns0:v>0</ns0:v>
      </ns0:c>
      <ns0:c r="H1001" s="0">
        <ns0:f>IF(OR(F1001&lt;&gt;"OK",$B$6&gt;0),0,0.5*(IF((MIN('_Dates'!X1001,Settings!$B$9))&lt;('_Dates'!W1001),0,INT(((MIN('_Dates'!X1001,Settings!$B$9))-('_Dates'!W1001)+1)/7)*LEN(SUBSTITUTE(W1001,"O",""))+LEN(SUBSTITUTE(MID(W1001&amp;W1001,WEEKDAY(('_Dates'!W1001),2),MOD(((MIN('_Dates'!X1001,Settings!$B$9))-('_Dates'!W1001)+1),7)),"O",""))-COUNTIFS(INDEX(AllClosureRows,C1001,0),"&gt;="&amp;('_Dates'!W1001),INDEX(AllClosureRows,C1001,0),"&lt;="&amp;(MIN('_Dates'!X1001,Settings!$B$9))))+IF((MIN('_Dates'!Z1001,Settings!$B$9))&lt;('_Dates'!Y1001),0,INT(((MIN('_Dates'!Z1001,Settings!$B$9))-('_Dates'!Y1001)+1)/7)*LEN(SUBSTITUTE(W1001,"O",""))+LEN(SUBSTITUTE(MID(W1001&amp;W1001,WEEKDAY(('_Dates'!Y1001),2),MOD(((MIN('_Dates'!Z1001,Settings!$B$9))-('_Dates'!Y1001)+1),7)),"O",""))-COUNTIFS(INDEX(AllClosureRows,C1001,0),"&gt;="&amp;('_Dates'!Y1001),INDEX(AllClosureRows,C1001,0),"&lt;="&amp;(MIN('_Dates'!Z1001,Settings!$B$9))))))</ns0:f>
        <ns0:v>0</ns0:v>
      </ns0:c>
      <ns0:c r="I1001" s="0">
        <ns0:f>MAX(0,G1001-H1001)</ns0:f>
        <ns0:v>0</ns0:v>
      </ns0:c>
      <ns0:c r="J1001" s="0">
        <ns0:f>IF(OR(A1001=0,F1001&lt;&gt;"OK",Bookings!G1001="Cancelled",$B$6&gt;0),0,IF('_Dates'!AC1001=1,MAX(0,COUNTIFS(rngEngine_B,B1001,rngAMStart,"&lt;="&amp;'_Dates'!X1001,rngAMEnd,"&gt;="&amp;'_Dates'!W1001,rngAMActive,1,rngEngine_F,"OK",rngBookings_F,"&lt;&gt;Cancelled")-1),0)+IF('_Dates'!AD1001=1,MAX(0,COUNTIFS(rngEngine_B,B1001,rngPMStart,"&lt;="&amp;'_Dates'!Z1001,rngPMEnd,"&gt;="&amp;'_Dates'!Y1001,rngPMActive,1,rngEngine_F,"OK",rngBookings_F,"&lt;&gt;Cancelled")-1),0))</ns0:f>
        <ns0:v>0</ns0:v>
      </ns0:c>
      <ns0:c r="K1001" s="0" t="str">
        <ns0:f>IF(A1001=0,"",IF(F1001&lt;&gt;"OK",F1001,IF(J1001&gt;0,"CHECK overlapping entry",IF(AND($B$6=0,G1001&lt;=0,Bookings!G1001&lt;&gt;"Cancelled"),"CHECK no working days",IF(Bookings!G1001="Cancelled","Cancelled","OK")))))</ns0:f>
        <ns0:v/>
      </ns0:c>
      <ns0:c r="L1001" s="0">
        <ns0:f>IF(LEFT(K1001,5)="CHECK",1,0)</ns0:f>
        <ns0:v>0</ns0:v>
      </ns0:c>
      <ns0:c r="M1001" s="0">
        <ns0:f>IF(AND(L1001=1,OR(C1001=0,IFERROR(INDEX($X$11:$X$60,C1001),0)=0)),1,0)</ns0:f>
        <ns0:v>0</ns0:v>
      </ns0:c>
      <ns0:c r="N1001" s="0">
        <ns0:f>IF(OR(A1001=0,L1001&gt;0,$B$6&gt;0,Bookings!G1001="Cancelled"),0,G1001)</ns0:f>
        <ns0:v>0</ns0:v>
      </ns0:c>
      <ns0:c r="O1001" s="0">
        <ns0:f>IF(AND(Bookings!G1001="Approved",E1001="Yes"),N1001,0)</ns0:f>
        <ns0:v>0</ns0:v>
      </ns0:c>
      <ns0:c r="P1001" s="0">
        <ns0:f>IF(AND(Bookings!G1001="Approved",E1001="Yes",L1001=0,$B$6=0),H1001,0)</ns0:f>
        <ns0:v>0</ns0:v>
      </ns0:c>
      <ns0:c r="Q1001" s="0">
        <ns0:f>IF(AND(Bookings!G1001="Approved",E1001="Yes",L1001=0,$B$6=0),I1001,0)</ns0:f>
        <ns0:v>0</ns0:v>
      </ns0:c>
      <ns0:c r="R1001" s="0">
        <ns0:f>IF(AND(Bookings!G1001="Pending",E1001="Yes"),N1001,0)</ns0:f>
        <ns0:v>0</ns0:v>
      </ns0:c>
      <ns0:c r="S1001" s="0">
        <ns0:f>IF(AND(Bookings!G1001="Approved",E1001="No"),N1001,0)</ns0:f>
        <ns0:v>0</ns0:v>
      </ns0:c>
      <ns0:c r="T1001" s="0">
        <ns0:f>IFERROR(MATCH(D1001,Settings!$G$7:$G$11,0),0)</ns0:f>
        <ns0:v>0</ns0:v>
      </ns0:c>
      <ns0:c r="U1001" s="0">
        <ns0:f>IF(N1001&gt;0,T1001+IF(Bookings!G1001="Pending",10,0),0)</ns0:f>
        <ns0:v>0</ns0:v>
      </ns0:c>
      <ns0:c r="V1001" s="0">
        <ns0:f>U1001</ns0:f>
        <ns0:v>0</ns0:v>
      </ns0:c>
      <ns0:c r="W1001" s="0" t="str">
        <ns0:f>IF(C1001=0,"",INDEX($AP$11:$AP$60,C1001))</ns0:f>
        <ns0:v/>
      </ns0:c>
    </ns0:row>
    <ns0:row r="1002">
      <ns0:c r="A1002" s="0">
        <ns0:f>IF(COUNTA(Bookings!A1002:G1002,Bookings!I1002)=0,0,1)</ns0:f>
        <ns0:v>0</ns0:v>
      </ns0:c>
      <ns0:c r="B1002" s="0" t="str">
        <ns0:f>IFERROR(TRIM(MID(Bookings!A1002,FIND(" · ",Bookings!A1002)+3,99)),"")</ns0:f>
        <ns0:v/>
      </ns0:c>
      <ns0:c r="C1002" s="0">
        <ns0:f>IF(OR(B1002="",LEN(B1002)&gt;24,ISNUMBER(FIND(" ",B1002)),ISNUMBER(FIND("*",B1002)),ISNUMBER(FIND("?",B1002)),ISNUMBER(FIND("~",B1002))),0,IFERROR(MATCH(B1002,Team!$A$11:$A$60,0),0))</ns0:f>
        <ns0:v>0</ns0:v>
      </ns0:c>
      <ns0:c r="D1002" s="0" t="str">
        <ns0:f>IFERROR(IF(MID(Bookings!F1002,LEN(Bookings!F1002)-3,3)=" · ",RIGHT(Bookings!F1002,1),""),"")</ns0:f>
        <ns0:v/>
      </ns0:c>
      <ns0:c r="E1002" s="0" t="str">
        <ns0:f>IFERROR(INDEX(Settings!$H$7:$H$11,MATCH(D1002,Settings!$G$7:$G$11,0)),"")</ns0:f>
        <ns0:v/>
      </ns0:c>
      <ns0:c r="F1002" s="0" t="str">
        <ns0:f>IF(A1002=0,"",IFERROR(IF(OR(B1002="",C1002=0),"CHECK employee selection",IF(INDEX(Team!$O$11:$O$60,C1002)&lt;&gt;"OK","CHECK employee setup",IF(OR('_Dates'!J1002=0,'_Dates'!T1002=0),"CHECK date: use DD.MM.YYYY",IF('_Dates'!T1002&lt;'_Dates'!J1002,"CHECK end before start",IF(AND($B$6=0,OR('_Dates'!J1002&lt;Settings!$B$7,'_Dates'!T1002&gt;Settings!$B$8)),"CHECK split across leave years",IF(OR(NOT(OR('_Dates'!U1002="Full day",'_Dates'!U1002="AM",'_Dates'!U1002="PM")),NOT(OR('_Dates'!V1002="Full day",'_Dates'!V1002="AM",'_Dates'!V1002="PM"))),"CHECK Full day / AM / PM",IF(AND('_Dates'!J1002='_Dates'!T1002,'_Dates'!U1002&lt;&gt;"Full day",'_Dates'!V1002&lt;&gt;"Full day",'_Dates'!U1002&lt;&gt;'_Dates'!V1002),"CHECK same-day portions disagree",IF(AND($B$6=0,OR(AND('_Dates'!U1002&lt;&gt;"Full day",'_Dates'!AA1002=0),AND('_Dates'!V1002&lt;&gt;"Full day",'_Dates'!AB1002=0))),"CHECK half-day on non-working date",IF(COUNTIF(Settings!$G$7:$G$11,D1002)&lt;&gt;1,"CHECK leave type",IF(AND(Bookings!G1002&lt;&gt;"Approved",Bookings!G1002&lt;&gt;"Pending",Bookings!G1002&lt;&gt;"Cancelled"),"CHECK status","OK")))))))))),"CHECK input"))</ns0:f>
        <ns0:v/>
      </ns0:c>
      <ns0:c r="G1002" s="0">
        <ns0:f>IF(OR(F1002&lt;&gt;"OK",$B$6&gt;0),0,0.5*(IF(('_Dates'!X1002)&lt;('_Dates'!W1002),0,INT((('_Dates'!X1002)-('_Dates'!W1002)+1)/7)*LEN(SUBSTITUTE(W1002,"O",""))+LEN(SUBSTITUTE(MID(W1002&amp;W1002,WEEKDAY(('_Dates'!W1002),2),MOD((('_Dates'!X1002)-('_Dates'!W1002)+1),7)),"O",""))-COUNTIFS(INDEX(AllClosureRows,C1002,0),"&gt;="&amp;('_Dates'!W1002),INDEX(AllClosureRows,C1002,0),"&lt;="&amp;('_Dates'!X1002)))+IF(('_Dates'!Z1002)&lt;('_Dates'!Y1002),0,INT((('_Dates'!Z1002)-('_Dates'!Y1002)+1)/7)*LEN(SUBSTITUTE(W1002,"O",""))+LEN(SUBSTITUTE(MID(W1002&amp;W1002,WEEKDAY(('_Dates'!Y1002),2),MOD((('_Dates'!Z1002)-('_Dates'!Y1002)+1),7)),"O",""))-COUNTIFS(INDEX(AllClosureRows,C1002,0),"&gt;="&amp;('_Dates'!Y1002),INDEX(AllClosureRows,C1002,0),"&lt;="&amp;('_Dates'!Z1002)))))</ns0:f>
        <ns0:v>0</ns0:v>
      </ns0:c>
      <ns0:c r="H1002" s="0">
        <ns0:f>IF(OR(F1002&lt;&gt;"OK",$B$6&gt;0),0,0.5*(IF((MIN('_Dates'!X1002,Settings!$B$9))&lt;('_Dates'!W1002),0,INT(((MIN('_Dates'!X1002,Settings!$B$9))-('_Dates'!W1002)+1)/7)*LEN(SUBSTITUTE(W1002,"O",""))+LEN(SUBSTITUTE(MID(W1002&amp;W1002,WEEKDAY(('_Dates'!W1002),2),MOD(((MIN('_Dates'!X1002,Settings!$B$9))-('_Dates'!W1002)+1),7)),"O",""))-COUNTIFS(INDEX(AllClosureRows,C1002,0),"&gt;="&amp;('_Dates'!W1002),INDEX(AllClosureRows,C1002,0),"&lt;="&amp;(MIN('_Dates'!X1002,Settings!$B$9))))+IF((MIN('_Dates'!Z1002,Settings!$B$9))&lt;('_Dates'!Y1002),0,INT(((MIN('_Dates'!Z1002,Settings!$B$9))-('_Dates'!Y1002)+1)/7)*LEN(SUBSTITUTE(W1002,"O",""))+LEN(SUBSTITUTE(MID(W1002&amp;W1002,WEEKDAY(('_Dates'!Y1002),2),MOD(((MIN('_Dates'!Z1002,Settings!$B$9))-('_Dates'!Y1002)+1),7)),"O",""))-COUNTIFS(INDEX(AllClosureRows,C1002,0),"&gt;="&amp;('_Dates'!Y1002),INDEX(AllClosureRows,C1002,0),"&lt;="&amp;(MIN('_Dates'!Z1002,Settings!$B$9))))))</ns0:f>
        <ns0:v>0</ns0:v>
      </ns0:c>
      <ns0:c r="I1002" s="0">
        <ns0:f>MAX(0,G1002-H1002)</ns0:f>
        <ns0:v>0</ns0:v>
      </ns0:c>
      <ns0:c r="J1002" s="0">
        <ns0:f>IF(OR(A1002=0,F1002&lt;&gt;"OK",Bookings!G1002="Cancelled",$B$6&gt;0),0,IF('_Dates'!AC1002=1,MAX(0,COUNTIFS(rngEngine_B,B1002,rngAMStart,"&lt;="&amp;'_Dates'!X1002,rngAMEnd,"&gt;="&amp;'_Dates'!W1002,rngAMActive,1,rngEngine_F,"OK",rngBookings_F,"&lt;&gt;Cancelled")-1),0)+IF('_Dates'!AD1002=1,MAX(0,COUNTIFS(rngEngine_B,B1002,rngPMStart,"&lt;="&amp;'_Dates'!Z1002,rngPMEnd,"&gt;="&amp;'_Dates'!Y1002,rngPMActive,1,rngEngine_F,"OK",rngBookings_F,"&lt;&gt;Cancelled")-1),0))</ns0:f>
        <ns0:v>0</ns0:v>
      </ns0:c>
      <ns0:c r="K1002" s="0" t="str">
        <ns0:f>IF(A1002=0,"",IF(F1002&lt;&gt;"OK",F1002,IF(J1002&gt;0,"CHECK overlapping entry",IF(AND($B$6=0,G1002&lt;=0,Bookings!G1002&lt;&gt;"Cancelled"),"CHECK no working days",IF(Bookings!G1002="Cancelled","Cancelled","OK")))))</ns0:f>
        <ns0:v/>
      </ns0:c>
      <ns0:c r="L1002" s="0">
        <ns0:f>IF(LEFT(K1002,5)="CHECK",1,0)</ns0:f>
        <ns0:v>0</ns0:v>
      </ns0:c>
      <ns0:c r="M1002" s="0">
        <ns0:f>IF(AND(L1002=1,OR(C1002=0,IFERROR(INDEX($X$11:$X$60,C1002),0)=0)),1,0)</ns0:f>
        <ns0:v>0</ns0:v>
      </ns0:c>
      <ns0:c r="N1002" s="0">
        <ns0:f>IF(OR(A1002=0,L1002&gt;0,$B$6&gt;0,Bookings!G1002="Cancelled"),0,G1002)</ns0:f>
        <ns0:v>0</ns0:v>
      </ns0:c>
      <ns0:c r="O1002" s="0">
        <ns0:f>IF(AND(Bookings!G1002="Approved",E1002="Yes"),N1002,0)</ns0:f>
        <ns0:v>0</ns0:v>
      </ns0:c>
      <ns0:c r="P1002" s="0">
        <ns0:f>IF(AND(Bookings!G1002="Approved",E1002="Yes",L1002=0,$B$6=0),H1002,0)</ns0:f>
        <ns0:v>0</ns0:v>
      </ns0:c>
      <ns0:c r="Q1002" s="0">
        <ns0:f>IF(AND(Bookings!G1002="Approved",E1002="Yes",L1002=0,$B$6=0),I1002,0)</ns0:f>
        <ns0:v>0</ns0:v>
      </ns0:c>
      <ns0:c r="R1002" s="0">
        <ns0:f>IF(AND(Bookings!G1002="Pending",E1002="Yes"),N1002,0)</ns0:f>
        <ns0:v>0</ns0:v>
      </ns0:c>
      <ns0:c r="S1002" s="0">
        <ns0:f>IF(AND(Bookings!G1002="Approved",E1002="No"),N1002,0)</ns0:f>
        <ns0:v>0</ns0:v>
      </ns0:c>
      <ns0:c r="T1002" s="0">
        <ns0:f>IFERROR(MATCH(D1002,Settings!$G$7:$G$11,0),0)</ns0:f>
        <ns0:v>0</ns0:v>
      </ns0:c>
      <ns0:c r="U1002" s="0">
        <ns0:f>IF(N1002&gt;0,T1002+IF(Bookings!G1002="Pending",10,0),0)</ns0:f>
        <ns0:v>0</ns0:v>
      </ns0:c>
      <ns0:c r="V1002" s="0">
        <ns0:f>U1002</ns0:f>
        <ns0:v>0</ns0:v>
      </ns0:c>
      <ns0:c r="W1002" s="0" t="str">
        <ns0:f>IF(C1002=0,"",INDEX($AP$11:$AP$60,C1002))</ns0:f>
        <ns0:v/>
      </ns0:c>
    </ns0:row>
    <ns0:row r="1003">
      <ns0:c r="A1003" s="0">
        <ns0:f>IF(COUNTA(Bookings!A1003:G1003,Bookings!I1003)=0,0,1)</ns0:f>
        <ns0:v>0</ns0:v>
      </ns0:c>
      <ns0:c r="B1003" s="0" t="str">
        <ns0:f>IFERROR(TRIM(MID(Bookings!A1003,FIND(" · ",Bookings!A1003)+3,99)),"")</ns0:f>
        <ns0:v/>
      </ns0:c>
      <ns0:c r="C1003" s="0">
        <ns0:f>IF(OR(B1003="",LEN(B1003)&gt;24,ISNUMBER(FIND(" ",B1003)),ISNUMBER(FIND("*",B1003)),ISNUMBER(FIND("?",B1003)),ISNUMBER(FIND("~",B1003))),0,IFERROR(MATCH(B1003,Team!$A$11:$A$60,0),0))</ns0:f>
        <ns0:v>0</ns0:v>
      </ns0:c>
      <ns0:c r="D1003" s="0" t="str">
        <ns0:f>IFERROR(IF(MID(Bookings!F1003,LEN(Bookings!F1003)-3,3)=" · ",RIGHT(Bookings!F1003,1),""),"")</ns0:f>
        <ns0:v/>
      </ns0:c>
      <ns0:c r="E1003" s="0" t="str">
        <ns0:f>IFERROR(INDEX(Settings!$H$7:$H$11,MATCH(D1003,Settings!$G$7:$G$11,0)),"")</ns0:f>
        <ns0:v/>
      </ns0:c>
      <ns0:c r="F1003" s="0" t="str">
        <ns0:f>IF(A1003=0,"",IFERROR(IF(OR(B1003="",C1003=0),"CHECK employee selection",IF(INDEX(Team!$O$11:$O$60,C1003)&lt;&gt;"OK","CHECK employee setup",IF(OR('_Dates'!J1003=0,'_Dates'!T1003=0),"CHECK date: use DD.MM.YYYY",IF('_Dates'!T1003&lt;'_Dates'!J1003,"CHECK end before start",IF(AND($B$6=0,OR('_Dates'!J1003&lt;Settings!$B$7,'_Dates'!T1003&gt;Settings!$B$8)),"CHECK split across leave years",IF(OR(NOT(OR('_Dates'!U1003="Full day",'_Dates'!U1003="AM",'_Dates'!U1003="PM")),NOT(OR('_Dates'!V1003="Full day",'_Dates'!V1003="AM",'_Dates'!V1003="PM"))),"CHECK Full day / AM / PM",IF(AND('_Dates'!J1003='_Dates'!T1003,'_Dates'!U1003&lt;&gt;"Full day",'_Dates'!V1003&lt;&gt;"Full day",'_Dates'!U1003&lt;&gt;'_Dates'!V1003),"CHECK same-day portions disagree",IF(AND($B$6=0,OR(AND('_Dates'!U1003&lt;&gt;"Full day",'_Dates'!AA1003=0),AND('_Dates'!V1003&lt;&gt;"Full day",'_Dates'!AB1003=0))),"CHECK half-day on non-working date",IF(COUNTIF(Settings!$G$7:$G$11,D1003)&lt;&gt;1,"CHECK leave type",IF(AND(Bookings!G1003&lt;&gt;"Approved",Bookings!G1003&lt;&gt;"Pending",Bookings!G1003&lt;&gt;"Cancelled"),"CHECK status","OK")))))))))),"CHECK input"))</ns0:f>
        <ns0:v/>
      </ns0:c>
      <ns0:c r="G1003" s="0">
        <ns0:f>IF(OR(F1003&lt;&gt;"OK",$B$6&gt;0),0,0.5*(IF(('_Dates'!X1003)&lt;('_Dates'!W1003),0,INT((('_Dates'!X1003)-('_Dates'!W1003)+1)/7)*LEN(SUBSTITUTE(W1003,"O",""))+LEN(SUBSTITUTE(MID(W1003&amp;W1003,WEEKDAY(('_Dates'!W1003),2),MOD((('_Dates'!X1003)-('_Dates'!W1003)+1),7)),"O",""))-COUNTIFS(INDEX(AllClosureRows,C1003,0),"&gt;="&amp;('_Dates'!W1003),INDEX(AllClosureRows,C1003,0),"&lt;="&amp;('_Dates'!X1003)))+IF(('_Dates'!Z1003)&lt;('_Dates'!Y1003),0,INT((('_Dates'!Z1003)-('_Dates'!Y1003)+1)/7)*LEN(SUBSTITUTE(W1003,"O",""))+LEN(SUBSTITUTE(MID(W1003&amp;W1003,WEEKDAY(('_Dates'!Y1003),2),MOD((('_Dates'!Z1003)-('_Dates'!Y1003)+1),7)),"O",""))-COUNTIFS(INDEX(AllClosureRows,C1003,0),"&gt;="&amp;('_Dates'!Y1003),INDEX(AllClosureRows,C1003,0),"&lt;="&amp;('_Dates'!Z1003)))))</ns0:f>
        <ns0:v>0</ns0:v>
      </ns0:c>
      <ns0:c r="H1003" s="0">
        <ns0:f>IF(OR(F1003&lt;&gt;"OK",$B$6&gt;0),0,0.5*(IF((MIN('_Dates'!X1003,Settings!$B$9))&lt;('_Dates'!W1003),0,INT(((MIN('_Dates'!X1003,Settings!$B$9))-('_Dates'!W1003)+1)/7)*LEN(SUBSTITUTE(W1003,"O",""))+LEN(SUBSTITUTE(MID(W1003&amp;W1003,WEEKDAY(('_Dates'!W1003),2),MOD(((MIN('_Dates'!X1003,Settings!$B$9))-('_Dates'!W1003)+1),7)),"O",""))-COUNTIFS(INDEX(AllClosureRows,C1003,0),"&gt;="&amp;('_Dates'!W1003),INDEX(AllClosureRows,C1003,0),"&lt;="&amp;(MIN('_Dates'!X1003,Settings!$B$9))))+IF((MIN('_Dates'!Z1003,Settings!$B$9))&lt;('_Dates'!Y1003),0,INT(((MIN('_Dates'!Z1003,Settings!$B$9))-('_Dates'!Y1003)+1)/7)*LEN(SUBSTITUTE(W1003,"O",""))+LEN(SUBSTITUTE(MID(W1003&amp;W1003,WEEKDAY(('_Dates'!Y1003),2),MOD(((MIN('_Dates'!Z1003,Settings!$B$9))-('_Dates'!Y1003)+1),7)),"O",""))-COUNTIFS(INDEX(AllClosureRows,C1003,0),"&gt;="&amp;('_Dates'!Y1003),INDEX(AllClosureRows,C1003,0),"&lt;="&amp;(MIN('_Dates'!Z1003,Settings!$B$9))))))</ns0:f>
        <ns0:v>0</ns0:v>
      </ns0:c>
      <ns0:c r="I1003" s="0">
        <ns0:f>MAX(0,G1003-H1003)</ns0:f>
        <ns0:v>0</ns0:v>
      </ns0:c>
      <ns0:c r="J1003" s="0">
        <ns0:f>IF(OR(A1003=0,F1003&lt;&gt;"OK",Bookings!G1003="Cancelled",$B$6&gt;0),0,IF('_Dates'!AC1003=1,MAX(0,COUNTIFS(rngEngine_B,B1003,rngAMStart,"&lt;="&amp;'_Dates'!X1003,rngAMEnd,"&gt;="&amp;'_Dates'!W1003,rngAMActive,1,rngEngine_F,"OK",rngBookings_F,"&lt;&gt;Cancelled")-1),0)+IF('_Dates'!AD1003=1,MAX(0,COUNTIFS(rngEngine_B,B1003,rngPMStart,"&lt;="&amp;'_Dates'!Z1003,rngPMEnd,"&gt;="&amp;'_Dates'!Y1003,rngPMActive,1,rngEngine_F,"OK",rngBookings_F,"&lt;&gt;Cancelled")-1),0))</ns0:f>
        <ns0:v>0</ns0:v>
      </ns0:c>
      <ns0:c r="K1003" s="0" t="str">
        <ns0:f>IF(A1003=0,"",IF(F1003&lt;&gt;"OK",F1003,IF(J1003&gt;0,"CHECK overlapping entry",IF(AND($B$6=0,G1003&lt;=0,Bookings!G1003&lt;&gt;"Cancelled"),"CHECK no working days",IF(Bookings!G1003="Cancelled","Cancelled","OK")))))</ns0:f>
        <ns0:v/>
      </ns0:c>
      <ns0:c r="L1003" s="0">
        <ns0:f>IF(LEFT(K1003,5)="CHECK",1,0)</ns0:f>
        <ns0:v>0</ns0:v>
      </ns0:c>
      <ns0:c r="M1003" s="0">
        <ns0:f>IF(AND(L1003=1,OR(C1003=0,IFERROR(INDEX($X$11:$X$60,C1003),0)=0)),1,0)</ns0:f>
        <ns0:v>0</ns0:v>
      </ns0:c>
      <ns0:c r="N1003" s="0">
        <ns0:f>IF(OR(A1003=0,L1003&gt;0,$B$6&gt;0,Bookings!G1003="Cancelled"),0,G1003)</ns0:f>
        <ns0:v>0</ns0:v>
      </ns0:c>
      <ns0:c r="O1003" s="0">
        <ns0:f>IF(AND(Bookings!G1003="Approved",E1003="Yes"),N1003,0)</ns0:f>
        <ns0:v>0</ns0:v>
      </ns0:c>
      <ns0:c r="P1003" s="0">
        <ns0:f>IF(AND(Bookings!G1003="Approved",E1003="Yes",L1003=0,$B$6=0),H1003,0)</ns0:f>
        <ns0:v>0</ns0:v>
      </ns0:c>
      <ns0:c r="Q1003" s="0">
        <ns0:f>IF(AND(Bookings!G1003="Approved",E1003="Yes",L1003=0,$B$6=0),I1003,0)</ns0:f>
        <ns0:v>0</ns0:v>
      </ns0:c>
      <ns0:c r="R1003" s="0">
        <ns0:f>IF(AND(Bookings!G1003="Pending",E1003="Yes"),N1003,0)</ns0:f>
        <ns0:v>0</ns0:v>
      </ns0:c>
      <ns0:c r="S1003" s="0">
        <ns0:f>IF(AND(Bookings!G1003="Approved",E1003="No"),N1003,0)</ns0:f>
        <ns0:v>0</ns0:v>
      </ns0:c>
      <ns0:c r="T1003" s="0">
        <ns0:f>IFERROR(MATCH(D1003,Settings!$G$7:$G$11,0),0)</ns0:f>
        <ns0:v>0</ns0:v>
      </ns0:c>
      <ns0:c r="U1003" s="0">
        <ns0:f>IF(N1003&gt;0,T1003+IF(Bookings!G1003="Pending",10,0),0)</ns0:f>
        <ns0:v>0</ns0:v>
      </ns0:c>
      <ns0:c r="V1003" s="0">
        <ns0:f>U1003</ns0:f>
        <ns0:v>0</ns0:v>
      </ns0:c>
      <ns0:c r="W1003" s="0" t="str">
        <ns0:f>IF(C1003=0,"",INDEX($AP$11:$AP$60,C1003))</ns0:f>
        <ns0:v/>
      </ns0:c>
    </ns0:row>
    <ns0:row r="1004">
      <ns0:c r="A1004" s="0">
        <ns0:f>IF(COUNTA(Bookings!A1004:G1004,Bookings!I1004)=0,0,1)</ns0:f>
        <ns0:v>0</ns0:v>
      </ns0:c>
      <ns0:c r="B1004" s="0" t="str">
        <ns0:f>IFERROR(TRIM(MID(Bookings!A1004,FIND(" · ",Bookings!A1004)+3,99)),"")</ns0:f>
        <ns0:v/>
      </ns0:c>
      <ns0:c r="C1004" s="0">
        <ns0:f>IF(OR(B1004="",LEN(B1004)&gt;24,ISNUMBER(FIND(" ",B1004)),ISNUMBER(FIND("*",B1004)),ISNUMBER(FIND("?",B1004)),ISNUMBER(FIND("~",B1004))),0,IFERROR(MATCH(B1004,Team!$A$11:$A$60,0),0))</ns0:f>
        <ns0:v>0</ns0:v>
      </ns0:c>
      <ns0:c r="D1004" s="0" t="str">
        <ns0:f>IFERROR(IF(MID(Bookings!F1004,LEN(Bookings!F1004)-3,3)=" · ",RIGHT(Bookings!F1004,1),""),"")</ns0:f>
        <ns0:v/>
      </ns0:c>
      <ns0:c r="E1004" s="0" t="str">
        <ns0:f>IFERROR(INDEX(Settings!$H$7:$H$11,MATCH(D1004,Settings!$G$7:$G$11,0)),"")</ns0:f>
        <ns0:v/>
      </ns0:c>
      <ns0:c r="F1004" s="0" t="str">
        <ns0:f>IF(A1004=0,"",IFERROR(IF(OR(B1004="",C1004=0),"CHECK employee selection",IF(INDEX(Team!$O$11:$O$60,C1004)&lt;&gt;"OK","CHECK employee setup",IF(OR('_Dates'!J1004=0,'_Dates'!T1004=0),"CHECK date: use DD.MM.YYYY",IF('_Dates'!T1004&lt;'_Dates'!J1004,"CHECK end before start",IF(AND($B$6=0,OR('_Dates'!J1004&lt;Settings!$B$7,'_Dates'!T1004&gt;Settings!$B$8)),"CHECK split across leave years",IF(OR(NOT(OR('_Dates'!U1004="Full day",'_Dates'!U1004="AM",'_Dates'!U1004="PM")),NOT(OR('_Dates'!V1004="Full day",'_Dates'!V1004="AM",'_Dates'!V1004="PM"))),"CHECK Full day / AM / PM",IF(AND('_Dates'!J1004='_Dates'!T1004,'_Dates'!U1004&lt;&gt;"Full day",'_Dates'!V1004&lt;&gt;"Full day",'_Dates'!U1004&lt;&gt;'_Dates'!V1004),"CHECK same-day portions disagree",IF(AND($B$6=0,OR(AND('_Dates'!U1004&lt;&gt;"Full day",'_Dates'!AA1004=0),AND('_Dates'!V1004&lt;&gt;"Full day",'_Dates'!AB1004=0))),"CHECK half-day on non-working date",IF(COUNTIF(Settings!$G$7:$G$11,D1004)&lt;&gt;1,"CHECK leave type",IF(AND(Bookings!G1004&lt;&gt;"Approved",Bookings!G1004&lt;&gt;"Pending",Bookings!G1004&lt;&gt;"Cancelled"),"CHECK status","OK")))))))))),"CHECK input"))</ns0:f>
        <ns0:v/>
      </ns0:c>
      <ns0:c r="G1004" s="0">
        <ns0:f>IF(OR(F1004&lt;&gt;"OK",$B$6&gt;0),0,0.5*(IF(('_Dates'!X1004)&lt;('_Dates'!W1004),0,INT((('_Dates'!X1004)-('_Dates'!W1004)+1)/7)*LEN(SUBSTITUTE(W1004,"O",""))+LEN(SUBSTITUTE(MID(W1004&amp;W1004,WEEKDAY(('_Dates'!W1004),2),MOD((('_Dates'!X1004)-('_Dates'!W1004)+1),7)),"O",""))-COUNTIFS(INDEX(AllClosureRows,C1004,0),"&gt;="&amp;('_Dates'!W1004),INDEX(AllClosureRows,C1004,0),"&lt;="&amp;('_Dates'!X1004)))+IF(('_Dates'!Z1004)&lt;('_Dates'!Y1004),0,INT((('_Dates'!Z1004)-('_Dates'!Y1004)+1)/7)*LEN(SUBSTITUTE(W1004,"O",""))+LEN(SUBSTITUTE(MID(W1004&amp;W1004,WEEKDAY(('_Dates'!Y1004),2),MOD((('_Dates'!Z1004)-('_Dates'!Y1004)+1),7)),"O",""))-COUNTIFS(INDEX(AllClosureRows,C1004,0),"&gt;="&amp;('_Dates'!Y1004),INDEX(AllClosureRows,C1004,0),"&lt;="&amp;('_Dates'!Z1004)))))</ns0:f>
        <ns0:v>0</ns0:v>
      </ns0:c>
      <ns0:c r="H1004" s="0">
        <ns0:f>IF(OR(F1004&lt;&gt;"OK",$B$6&gt;0),0,0.5*(IF((MIN('_Dates'!X1004,Settings!$B$9))&lt;('_Dates'!W1004),0,INT(((MIN('_Dates'!X1004,Settings!$B$9))-('_Dates'!W1004)+1)/7)*LEN(SUBSTITUTE(W1004,"O",""))+LEN(SUBSTITUTE(MID(W1004&amp;W1004,WEEKDAY(('_Dates'!W1004),2),MOD(((MIN('_Dates'!X1004,Settings!$B$9))-('_Dates'!W1004)+1),7)),"O",""))-COUNTIFS(INDEX(AllClosureRows,C1004,0),"&gt;="&amp;('_Dates'!W1004),INDEX(AllClosureRows,C1004,0),"&lt;="&amp;(MIN('_Dates'!X1004,Settings!$B$9))))+IF((MIN('_Dates'!Z1004,Settings!$B$9))&lt;('_Dates'!Y1004),0,INT(((MIN('_Dates'!Z1004,Settings!$B$9))-('_Dates'!Y1004)+1)/7)*LEN(SUBSTITUTE(W1004,"O",""))+LEN(SUBSTITUTE(MID(W1004&amp;W1004,WEEKDAY(('_Dates'!Y1004),2),MOD(((MIN('_Dates'!Z1004,Settings!$B$9))-('_Dates'!Y1004)+1),7)),"O",""))-COUNTIFS(INDEX(AllClosureRows,C1004,0),"&gt;="&amp;('_Dates'!Y1004),INDEX(AllClosureRows,C1004,0),"&lt;="&amp;(MIN('_Dates'!Z1004,Settings!$B$9))))))</ns0:f>
        <ns0:v>0</ns0:v>
      </ns0:c>
      <ns0:c r="I1004" s="0">
        <ns0:f>MAX(0,G1004-H1004)</ns0:f>
        <ns0:v>0</ns0:v>
      </ns0:c>
      <ns0:c r="J1004" s="0">
        <ns0:f>IF(OR(A1004=0,F1004&lt;&gt;"OK",Bookings!G1004="Cancelled",$B$6&gt;0),0,IF('_Dates'!AC1004=1,MAX(0,COUNTIFS(rngEngine_B,B1004,rngAMStart,"&lt;="&amp;'_Dates'!X1004,rngAMEnd,"&gt;="&amp;'_Dates'!W1004,rngAMActive,1,rngEngine_F,"OK",rngBookings_F,"&lt;&gt;Cancelled")-1),0)+IF('_Dates'!AD1004=1,MAX(0,COUNTIFS(rngEngine_B,B1004,rngPMStart,"&lt;="&amp;'_Dates'!Z1004,rngPMEnd,"&gt;="&amp;'_Dates'!Y1004,rngPMActive,1,rngEngine_F,"OK",rngBookings_F,"&lt;&gt;Cancelled")-1),0))</ns0:f>
        <ns0:v>0</ns0:v>
      </ns0:c>
      <ns0:c r="K1004" s="0" t="str">
        <ns0:f>IF(A1004=0,"",IF(F1004&lt;&gt;"OK",F1004,IF(J1004&gt;0,"CHECK overlapping entry",IF(AND($B$6=0,G1004&lt;=0,Bookings!G1004&lt;&gt;"Cancelled"),"CHECK no working days",IF(Bookings!G1004="Cancelled","Cancelled","OK")))))</ns0:f>
        <ns0:v/>
      </ns0:c>
      <ns0:c r="L1004" s="0">
        <ns0:f>IF(LEFT(K1004,5)="CHECK",1,0)</ns0:f>
        <ns0:v>0</ns0:v>
      </ns0:c>
      <ns0:c r="M1004" s="0">
        <ns0:f>IF(AND(L1004=1,OR(C1004=0,IFERROR(INDEX($X$11:$X$60,C1004),0)=0)),1,0)</ns0:f>
        <ns0:v>0</ns0:v>
      </ns0:c>
      <ns0:c r="N1004" s="0">
        <ns0:f>IF(OR(A1004=0,L1004&gt;0,$B$6&gt;0,Bookings!G1004="Cancelled"),0,G1004)</ns0:f>
        <ns0:v>0</ns0:v>
      </ns0:c>
      <ns0:c r="O1004" s="0">
        <ns0:f>IF(AND(Bookings!G1004="Approved",E1004="Yes"),N1004,0)</ns0:f>
        <ns0:v>0</ns0:v>
      </ns0:c>
      <ns0:c r="P1004" s="0">
        <ns0:f>IF(AND(Bookings!G1004="Approved",E1004="Yes",L1004=0,$B$6=0),H1004,0)</ns0:f>
        <ns0:v>0</ns0:v>
      </ns0:c>
      <ns0:c r="Q1004" s="0">
        <ns0:f>IF(AND(Bookings!G1004="Approved",E1004="Yes",L1004=0,$B$6=0),I1004,0)</ns0:f>
        <ns0:v>0</ns0:v>
      </ns0:c>
      <ns0:c r="R1004" s="0">
        <ns0:f>IF(AND(Bookings!G1004="Pending",E1004="Yes"),N1004,0)</ns0:f>
        <ns0:v>0</ns0:v>
      </ns0:c>
      <ns0:c r="S1004" s="0">
        <ns0:f>IF(AND(Bookings!G1004="Approved",E1004="No"),N1004,0)</ns0:f>
        <ns0:v>0</ns0:v>
      </ns0:c>
      <ns0:c r="T1004" s="0">
        <ns0:f>IFERROR(MATCH(D1004,Settings!$G$7:$G$11,0),0)</ns0:f>
        <ns0:v>0</ns0:v>
      </ns0:c>
      <ns0:c r="U1004" s="0">
        <ns0:f>IF(N1004&gt;0,T1004+IF(Bookings!G1004="Pending",10,0),0)</ns0:f>
        <ns0:v>0</ns0:v>
      </ns0:c>
      <ns0:c r="V1004" s="0">
        <ns0:f>U1004</ns0:f>
        <ns0:v>0</ns0:v>
      </ns0:c>
      <ns0:c r="W1004" s="0" t="str">
        <ns0:f>IF(C1004=0,"",INDEX($AP$11:$AP$60,C1004))</ns0:f>
        <ns0:v/>
      </ns0:c>
    </ns0:row>
    <ns0:row r="1005">
      <ns0:c r="A1005" s="0">
        <ns0:f>IF(COUNTA(Bookings!A1005:G1005,Bookings!I1005)=0,0,1)</ns0:f>
        <ns0:v>0</ns0:v>
      </ns0:c>
      <ns0:c r="B1005" s="0" t="str">
        <ns0:f>IFERROR(TRIM(MID(Bookings!A1005,FIND(" · ",Bookings!A1005)+3,99)),"")</ns0:f>
        <ns0:v/>
      </ns0:c>
      <ns0:c r="C1005" s="0">
        <ns0:f>IF(OR(B1005="",LEN(B1005)&gt;24,ISNUMBER(FIND(" ",B1005)),ISNUMBER(FIND("*",B1005)),ISNUMBER(FIND("?",B1005)),ISNUMBER(FIND("~",B1005))),0,IFERROR(MATCH(B1005,Team!$A$11:$A$60,0),0))</ns0:f>
        <ns0:v>0</ns0:v>
      </ns0:c>
      <ns0:c r="D1005" s="0" t="str">
        <ns0:f>IFERROR(IF(MID(Bookings!F1005,LEN(Bookings!F1005)-3,3)=" · ",RIGHT(Bookings!F1005,1),""),"")</ns0:f>
        <ns0:v/>
      </ns0:c>
      <ns0:c r="E1005" s="0" t="str">
        <ns0:f>IFERROR(INDEX(Settings!$H$7:$H$11,MATCH(D1005,Settings!$G$7:$G$11,0)),"")</ns0:f>
        <ns0:v/>
      </ns0:c>
      <ns0:c r="F1005" s="0" t="str">
        <ns0:f>IF(A1005=0,"",IFERROR(IF(OR(B1005="",C1005=0),"CHECK employee selection",IF(INDEX(Team!$O$11:$O$60,C1005)&lt;&gt;"OK","CHECK employee setup",IF(OR('_Dates'!J1005=0,'_Dates'!T1005=0),"CHECK date: use DD.MM.YYYY",IF('_Dates'!T1005&lt;'_Dates'!J1005,"CHECK end before start",IF(AND($B$6=0,OR('_Dates'!J1005&lt;Settings!$B$7,'_Dates'!T1005&gt;Settings!$B$8)),"CHECK split across leave years",IF(OR(NOT(OR('_Dates'!U1005="Full day",'_Dates'!U1005="AM",'_Dates'!U1005="PM")),NOT(OR('_Dates'!V1005="Full day",'_Dates'!V1005="AM",'_Dates'!V1005="PM"))),"CHECK Full day / AM / PM",IF(AND('_Dates'!J1005='_Dates'!T1005,'_Dates'!U1005&lt;&gt;"Full day",'_Dates'!V1005&lt;&gt;"Full day",'_Dates'!U1005&lt;&gt;'_Dates'!V1005),"CHECK same-day portions disagree",IF(AND($B$6=0,OR(AND('_Dates'!U1005&lt;&gt;"Full day",'_Dates'!AA1005=0),AND('_Dates'!V1005&lt;&gt;"Full day",'_Dates'!AB1005=0))),"CHECK half-day on non-working date",IF(COUNTIF(Settings!$G$7:$G$11,D1005)&lt;&gt;1,"CHECK leave type",IF(AND(Bookings!G1005&lt;&gt;"Approved",Bookings!G1005&lt;&gt;"Pending",Bookings!G1005&lt;&gt;"Cancelled"),"CHECK status","OK")))))))))),"CHECK input"))</ns0:f>
        <ns0:v/>
      </ns0:c>
      <ns0:c r="G1005" s="0">
        <ns0:f>IF(OR(F1005&lt;&gt;"OK",$B$6&gt;0),0,0.5*(IF(('_Dates'!X1005)&lt;('_Dates'!W1005),0,INT((('_Dates'!X1005)-('_Dates'!W1005)+1)/7)*LEN(SUBSTITUTE(W1005,"O",""))+LEN(SUBSTITUTE(MID(W1005&amp;W1005,WEEKDAY(('_Dates'!W1005),2),MOD((('_Dates'!X1005)-('_Dates'!W1005)+1),7)),"O",""))-COUNTIFS(INDEX(AllClosureRows,C1005,0),"&gt;="&amp;('_Dates'!W1005),INDEX(AllClosureRows,C1005,0),"&lt;="&amp;('_Dates'!X1005)))+IF(('_Dates'!Z1005)&lt;('_Dates'!Y1005),0,INT((('_Dates'!Z1005)-('_Dates'!Y1005)+1)/7)*LEN(SUBSTITUTE(W1005,"O",""))+LEN(SUBSTITUTE(MID(W1005&amp;W1005,WEEKDAY(('_Dates'!Y1005),2),MOD((('_Dates'!Z1005)-('_Dates'!Y1005)+1),7)),"O",""))-COUNTIFS(INDEX(AllClosureRows,C1005,0),"&gt;="&amp;('_Dates'!Y1005),INDEX(AllClosureRows,C1005,0),"&lt;="&amp;('_Dates'!Z1005)))))</ns0:f>
        <ns0:v>0</ns0:v>
      </ns0:c>
      <ns0:c r="H1005" s="0">
        <ns0:f>IF(OR(F1005&lt;&gt;"OK",$B$6&gt;0),0,0.5*(IF((MIN('_Dates'!X1005,Settings!$B$9))&lt;('_Dates'!W1005),0,INT(((MIN('_Dates'!X1005,Settings!$B$9))-('_Dates'!W1005)+1)/7)*LEN(SUBSTITUTE(W1005,"O",""))+LEN(SUBSTITUTE(MID(W1005&amp;W1005,WEEKDAY(('_Dates'!W1005),2),MOD(((MIN('_Dates'!X1005,Settings!$B$9))-('_Dates'!W1005)+1),7)),"O",""))-COUNTIFS(INDEX(AllClosureRows,C1005,0),"&gt;="&amp;('_Dates'!W1005),INDEX(AllClosureRows,C1005,0),"&lt;="&amp;(MIN('_Dates'!X1005,Settings!$B$9))))+IF((MIN('_Dates'!Z1005,Settings!$B$9))&lt;('_Dates'!Y1005),0,INT(((MIN('_Dates'!Z1005,Settings!$B$9))-('_Dates'!Y1005)+1)/7)*LEN(SUBSTITUTE(W1005,"O",""))+LEN(SUBSTITUTE(MID(W1005&amp;W1005,WEEKDAY(('_Dates'!Y1005),2),MOD(((MIN('_Dates'!Z1005,Settings!$B$9))-('_Dates'!Y1005)+1),7)),"O",""))-COUNTIFS(INDEX(AllClosureRows,C1005,0),"&gt;="&amp;('_Dates'!Y1005),INDEX(AllClosureRows,C1005,0),"&lt;="&amp;(MIN('_Dates'!Z1005,Settings!$B$9))))))</ns0:f>
        <ns0:v>0</ns0:v>
      </ns0:c>
      <ns0:c r="I1005" s="0">
        <ns0:f>MAX(0,G1005-H1005)</ns0:f>
        <ns0:v>0</ns0:v>
      </ns0:c>
      <ns0:c r="J1005" s="0">
        <ns0:f>IF(OR(A1005=0,F1005&lt;&gt;"OK",Bookings!G1005="Cancelled",$B$6&gt;0),0,IF('_Dates'!AC1005=1,MAX(0,COUNTIFS(rngEngine_B,B1005,rngAMStart,"&lt;="&amp;'_Dates'!X1005,rngAMEnd,"&gt;="&amp;'_Dates'!W1005,rngAMActive,1,rngEngine_F,"OK",rngBookings_F,"&lt;&gt;Cancelled")-1),0)+IF('_Dates'!AD1005=1,MAX(0,COUNTIFS(rngEngine_B,B1005,rngPMStart,"&lt;="&amp;'_Dates'!Z1005,rngPMEnd,"&gt;="&amp;'_Dates'!Y1005,rngPMActive,1,rngEngine_F,"OK",rngBookings_F,"&lt;&gt;Cancelled")-1),0))</ns0:f>
        <ns0:v>0</ns0:v>
      </ns0:c>
      <ns0:c r="K1005" s="0" t="str">
        <ns0:f>IF(A1005=0,"",IF(F1005&lt;&gt;"OK",F1005,IF(J1005&gt;0,"CHECK overlapping entry",IF(AND($B$6=0,G1005&lt;=0,Bookings!G1005&lt;&gt;"Cancelled"),"CHECK no working days",IF(Bookings!G1005="Cancelled","Cancelled","OK")))))</ns0:f>
        <ns0:v/>
      </ns0:c>
      <ns0:c r="L1005" s="0">
        <ns0:f>IF(LEFT(K1005,5)="CHECK",1,0)</ns0:f>
        <ns0:v>0</ns0:v>
      </ns0:c>
      <ns0:c r="M1005" s="0">
        <ns0:f>IF(AND(L1005=1,OR(C1005=0,IFERROR(INDEX($X$11:$X$60,C1005),0)=0)),1,0)</ns0:f>
        <ns0:v>0</ns0:v>
      </ns0:c>
      <ns0:c r="N1005" s="0">
        <ns0:f>IF(OR(A1005=0,L1005&gt;0,$B$6&gt;0,Bookings!G1005="Cancelled"),0,G1005)</ns0:f>
        <ns0:v>0</ns0:v>
      </ns0:c>
      <ns0:c r="O1005" s="0">
        <ns0:f>IF(AND(Bookings!G1005="Approved",E1005="Yes"),N1005,0)</ns0:f>
        <ns0:v>0</ns0:v>
      </ns0:c>
      <ns0:c r="P1005" s="0">
        <ns0:f>IF(AND(Bookings!G1005="Approved",E1005="Yes",L1005=0,$B$6=0),H1005,0)</ns0:f>
        <ns0:v>0</ns0:v>
      </ns0:c>
      <ns0:c r="Q1005" s="0">
        <ns0:f>IF(AND(Bookings!G1005="Approved",E1005="Yes",L1005=0,$B$6=0),I1005,0)</ns0:f>
        <ns0:v>0</ns0:v>
      </ns0:c>
      <ns0:c r="R1005" s="0">
        <ns0:f>IF(AND(Bookings!G1005="Pending",E1005="Yes"),N1005,0)</ns0:f>
        <ns0:v>0</ns0:v>
      </ns0:c>
      <ns0:c r="S1005" s="0">
        <ns0:f>IF(AND(Bookings!G1005="Approved",E1005="No"),N1005,0)</ns0:f>
        <ns0:v>0</ns0:v>
      </ns0:c>
      <ns0:c r="T1005" s="0">
        <ns0:f>IFERROR(MATCH(D1005,Settings!$G$7:$G$11,0),0)</ns0:f>
        <ns0:v>0</ns0:v>
      </ns0:c>
      <ns0:c r="U1005" s="0">
        <ns0:f>IF(N1005&gt;0,T1005+IF(Bookings!G1005="Pending",10,0),0)</ns0:f>
        <ns0:v>0</ns0:v>
      </ns0:c>
      <ns0:c r="V1005" s="0">
        <ns0:f>U1005</ns0:f>
        <ns0:v>0</ns0:v>
      </ns0:c>
      <ns0:c r="W1005" s="0" t="str">
        <ns0:f>IF(C1005=0,"",INDEX($AP$11:$AP$60,C1005))</ns0:f>
        <ns0:v/>
      </ns0:c>
    </ns0:row>
    <ns0:row r="1006">
      <ns0:c r="A1006" s="0">
        <ns0:f>IF(COUNTA(Bookings!A1006:G1006,Bookings!I1006)=0,0,1)</ns0:f>
        <ns0:v>0</ns0:v>
      </ns0:c>
      <ns0:c r="B1006" s="0" t="str">
        <ns0:f>IFERROR(TRIM(MID(Bookings!A1006,FIND(" · ",Bookings!A1006)+3,99)),"")</ns0:f>
        <ns0:v/>
      </ns0:c>
      <ns0:c r="C1006" s="0">
        <ns0:f>IF(OR(B1006="",LEN(B1006)&gt;24,ISNUMBER(FIND(" ",B1006)),ISNUMBER(FIND("*",B1006)),ISNUMBER(FIND("?",B1006)),ISNUMBER(FIND("~",B1006))),0,IFERROR(MATCH(B1006,Team!$A$11:$A$60,0),0))</ns0:f>
        <ns0:v>0</ns0:v>
      </ns0:c>
      <ns0:c r="D1006" s="0" t="str">
        <ns0:f>IFERROR(IF(MID(Bookings!F1006,LEN(Bookings!F1006)-3,3)=" · ",RIGHT(Bookings!F1006,1),""),"")</ns0:f>
        <ns0:v/>
      </ns0:c>
      <ns0:c r="E1006" s="0" t="str">
        <ns0:f>IFERROR(INDEX(Settings!$H$7:$H$11,MATCH(D1006,Settings!$G$7:$G$11,0)),"")</ns0:f>
        <ns0:v/>
      </ns0:c>
      <ns0:c r="F1006" s="0" t="str">
        <ns0:f>IF(A1006=0,"",IFERROR(IF(OR(B1006="",C1006=0),"CHECK employee selection",IF(INDEX(Team!$O$11:$O$60,C1006)&lt;&gt;"OK","CHECK employee setup",IF(OR('_Dates'!J1006=0,'_Dates'!T1006=0),"CHECK date: use DD.MM.YYYY",IF('_Dates'!T1006&lt;'_Dates'!J1006,"CHECK end before start",IF(AND($B$6=0,OR('_Dates'!J1006&lt;Settings!$B$7,'_Dates'!T1006&gt;Settings!$B$8)),"CHECK split across leave years",IF(OR(NOT(OR('_Dates'!U1006="Full day",'_Dates'!U1006="AM",'_Dates'!U1006="PM")),NOT(OR('_Dates'!V1006="Full day",'_Dates'!V1006="AM",'_Dates'!V1006="PM"))),"CHECK Full day / AM / PM",IF(AND('_Dates'!J1006='_Dates'!T1006,'_Dates'!U1006&lt;&gt;"Full day",'_Dates'!V1006&lt;&gt;"Full day",'_Dates'!U1006&lt;&gt;'_Dates'!V1006),"CHECK same-day portions disagree",IF(AND($B$6=0,OR(AND('_Dates'!U1006&lt;&gt;"Full day",'_Dates'!AA1006=0),AND('_Dates'!V1006&lt;&gt;"Full day",'_Dates'!AB1006=0))),"CHECK half-day on non-working date",IF(COUNTIF(Settings!$G$7:$G$11,D1006)&lt;&gt;1,"CHECK leave type",IF(AND(Bookings!G1006&lt;&gt;"Approved",Bookings!G1006&lt;&gt;"Pending",Bookings!G1006&lt;&gt;"Cancelled"),"CHECK status","OK")))))))))),"CHECK input"))</ns0:f>
        <ns0:v/>
      </ns0:c>
      <ns0:c r="G1006" s="0">
        <ns0:f>IF(OR(F1006&lt;&gt;"OK",$B$6&gt;0),0,0.5*(IF(('_Dates'!X1006)&lt;('_Dates'!W1006),0,INT((('_Dates'!X1006)-('_Dates'!W1006)+1)/7)*LEN(SUBSTITUTE(W1006,"O",""))+LEN(SUBSTITUTE(MID(W1006&amp;W1006,WEEKDAY(('_Dates'!W1006),2),MOD((('_Dates'!X1006)-('_Dates'!W1006)+1),7)),"O",""))-COUNTIFS(INDEX(AllClosureRows,C1006,0),"&gt;="&amp;('_Dates'!W1006),INDEX(AllClosureRows,C1006,0),"&lt;="&amp;('_Dates'!X1006)))+IF(('_Dates'!Z1006)&lt;('_Dates'!Y1006),0,INT((('_Dates'!Z1006)-('_Dates'!Y1006)+1)/7)*LEN(SUBSTITUTE(W1006,"O",""))+LEN(SUBSTITUTE(MID(W1006&amp;W1006,WEEKDAY(('_Dates'!Y1006),2),MOD((('_Dates'!Z1006)-('_Dates'!Y1006)+1),7)),"O",""))-COUNTIFS(INDEX(AllClosureRows,C1006,0),"&gt;="&amp;('_Dates'!Y1006),INDEX(AllClosureRows,C1006,0),"&lt;="&amp;('_Dates'!Z1006)))))</ns0:f>
        <ns0:v>0</ns0:v>
      </ns0:c>
      <ns0:c r="H1006" s="0">
        <ns0:f>IF(OR(F1006&lt;&gt;"OK",$B$6&gt;0),0,0.5*(IF((MIN('_Dates'!X1006,Settings!$B$9))&lt;('_Dates'!W1006),0,INT(((MIN('_Dates'!X1006,Settings!$B$9))-('_Dates'!W1006)+1)/7)*LEN(SUBSTITUTE(W1006,"O",""))+LEN(SUBSTITUTE(MID(W1006&amp;W1006,WEEKDAY(('_Dates'!W1006),2),MOD(((MIN('_Dates'!X1006,Settings!$B$9))-('_Dates'!W1006)+1),7)),"O",""))-COUNTIFS(INDEX(AllClosureRows,C1006,0),"&gt;="&amp;('_Dates'!W1006),INDEX(AllClosureRows,C1006,0),"&lt;="&amp;(MIN('_Dates'!X1006,Settings!$B$9))))+IF((MIN('_Dates'!Z1006,Settings!$B$9))&lt;('_Dates'!Y1006),0,INT(((MIN('_Dates'!Z1006,Settings!$B$9))-('_Dates'!Y1006)+1)/7)*LEN(SUBSTITUTE(W1006,"O",""))+LEN(SUBSTITUTE(MID(W1006&amp;W1006,WEEKDAY(('_Dates'!Y1006),2),MOD(((MIN('_Dates'!Z1006,Settings!$B$9))-('_Dates'!Y1006)+1),7)),"O",""))-COUNTIFS(INDEX(AllClosureRows,C1006,0),"&gt;="&amp;('_Dates'!Y1006),INDEX(AllClosureRows,C1006,0),"&lt;="&amp;(MIN('_Dates'!Z1006,Settings!$B$9))))))</ns0:f>
        <ns0:v>0</ns0:v>
      </ns0:c>
      <ns0:c r="I1006" s="0">
        <ns0:f>MAX(0,G1006-H1006)</ns0:f>
        <ns0:v>0</ns0:v>
      </ns0:c>
      <ns0:c r="J1006" s="0">
        <ns0:f>IF(OR(A1006=0,F1006&lt;&gt;"OK",Bookings!G1006="Cancelled",$B$6&gt;0),0,IF('_Dates'!AC1006=1,MAX(0,COUNTIFS(rngEngine_B,B1006,rngAMStart,"&lt;="&amp;'_Dates'!X1006,rngAMEnd,"&gt;="&amp;'_Dates'!W1006,rngAMActive,1,rngEngine_F,"OK",rngBookings_F,"&lt;&gt;Cancelled")-1),0)+IF('_Dates'!AD1006=1,MAX(0,COUNTIFS(rngEngine_B,B1006,rngPMStart,"&lt;="&amp;'_Dates'!Z1006,rngPMEnd,"&gt;="&amp;'_Dates'!Y1006,rngPMActive,1,rngEngine_F,"OK",rngBookings_F,"&lt;&gt;Cancelled")-1),0))</ns0:f>
        <ns0:v>0</ns0:v>
      </ns0:c>
      <ns0:c r="K1006" s="0" t="str">
        <ns0:f>IF(A1006=0,"",IF(F1006&lt;&gt;"OK",F1006,IF(J1006&gt;0,"CHECK overlapping entry",IF(AND($B$6=0,G1006&lt;=0,Bookings!G1006&lt;&gt;"Cancelled"),"CHECK no working days",IF(Bookings!G1006="Cancelled","Cancelled","OK")))))</ns0:f>
        <ns0:v/>
      </ns0:c>
      <ns0:c r="L1006" s="0">
        <ns0:f>IF(LEFT(K1006,5)="CHECK",1,0)</ns0:f>
        <ns0:v>0</ns0:v>
      </ns0:c>
      <ns0:c r="M1006" s="0">
        <ns0:f>IF(AND(L1006=1,OR(C1006=0,IFERROR(INDEX($X$11:$X$60,C1006),0)=0)),1,0)</ns0:f>
        <ns0:v>0</ns0:v>
      </ns0:c>
      <ns0:c r="N1006" s="0">
        <ns0:f>IF(OR(A1006=0,L1006&gt;0,$B$6&gt;0,Bookings!G1006="Cancelled"),0,G1006)</ns0:f>
        <ns0:v>0</ns0:v>
      </ns0:c>
      <ns0:c r="O1006" s="0">
        <ns0:f>IF(AND(Bookings!G1006="Approved",E1006="Yes"),N1006,0)</ns0:f>
        <ns0:v>0</ns0:v>
      </ns0:c>
      <ns0:c r="P1006" s="0">
        <ns0:f>IF(AND(Bookings!G1006="Approved",E1006="Yes",L1006=0,$B$6=0),H1006,0)</ns0:f>
        <ns0:v>0</ns0:v>
      </ns0:c>
      <ns0:c r="Q1006" s="0">
        <ns0:f>IF(AND(Bookings!G1006="Approved",E1006="Yes",L1006=0,$B$6=0),I1006,0)</ns0:f>
        <ns0:v>0</ns0:v>
      </ns0:c>
      <ns0:c r="R1006" s="0">
        <ns0:f>IF(AND(Bookings!G1006="Pending",E1006="Yes"),N1006,0)</ns0:f>
        <ns0:v>0</ns0:v>
      </ns0:c>
      <ns0:c r="S1006" s="0">
        <ns0:f>IF(AND(Bookings!G1006="Approved",E1006="No"),N1006,0)</ns0:f>
        <ns0:v>0</ns0:v>
      </ns0:c>
      <ns0:c r="T1006" s="0">
        <ns0:f>IFERROR(MATCH(D1006,Settings!$G$7:$G$11,0),0)</ns0:f>
        <ns0:v>0</ns0:v>
      </ns0:c>
      <ns0:c r="U1006" s="0">
        <ns0:f>IF(N1006&gt;0,T1006+IF(Bookings!G1006="Pending",10,0),0)</ns0:f>
        <ns0:v>0</ns0:v>
      </ns0:c>
      <ns0:c r="V1006" s="0">
        <ns0:f>U1006</ns0:f>
        <ns0:v>0</ns0:v>
      </ns0:c>
      <ns0:c r="W1006" s="0" t="str">
        <ns0:f>IF(C1006=0,"",INDEX($AP$11:$AP$60,C1006))</ns0:f>
        <ns0:v/>
      </ns0:c>
    </ns0:row>
    <ns0:row r="1007">
      <ns0:c r="A1007" s="0">
        <ns0:f>IF(COUNTA(Bookings!A1007:G1007,Bookings!I1007)=0,0,1)</ns0:f>
        <ns0:v>0</ns0:v>
      </ns0:c>
      <ns0:c r="B1007" s="0" t="str">
        <ns0:f>IFERROR(TRIM(MID(Bookings!A1007,FIND(" · ",Bookings!A1007)+3,99)),"")</ns0:f>
        <ns0:v/>
      </ns0:c>
      <ns0:c r="C1007" s="0">
        <ns0:f>IF(OR(B1007="",LEN(B1007)&gt;24,ISNUMBER(FIND(" ",B1007)),ISNUMBER(FIND("*",B1007)),ISNUMBER(FIND("?",B1007)),ISNUMBER(FIND("~",B1007))),0,IFERROR(MATCH(B1007,Team!$A$11:$A$60,0),0))</ns0:f>
        <ns0:v>0</ns0:v>
      </ns0:c>
      <ns0:c r="D1007" s="0" t="str">
        <ns0:f>IFERROR(IF(MID(Bookings!F1007,LEN(Bookings!F1007)-3,3)=" · ",RIGHT(Bookings!F1007,1),""),"")</ns0:f>
        <ns0:v/>
      </ns0:c>
      <ns0:c r="E1007" s="0" t="str">
        <ns0:f>IFERROR(INDEX(Settings!$H$7:$H$11,MATCH(D1007,Settings!$G$7:$G$11,0)),"")</ns0:f>
        <ns0:v/>
      </ns0:c>
      <ns0:c r="F1007" s="0" t="str">
        <ns0:f>IF(A1007=0,"",IFERROR(IF(OR(B1007="",C1007=0),"CHECK employee selection",IF(INDEX(Team!$O$11:$O$60,C1007)&lt;&gt;"OK","CHECK employee setup",IF(OR('_Dates'!J1007=0,'_Dates'!T1007=0),"CHECK date: use DD.MM.YYYY",IF('_Dates'!T1007&lt;'_Dates'!J1007,"CHECK end before start",IF(AND($B$6=0,OR('_Dates'!J1007&lt;Settings!$B$7,'_Dates'!T1007&gt;Settings!$B$8)),"CHECK split across leave years",IF(OR(NOT(OR('_Dates'!U1007="Full day",'_Dates'!U1007="AM",'_Dates'!U1007="PM")),NOT(OR('_Dates'!V1007="Full day",'_Dates'!V1007="AM",'_Dates'!V1007="PM"))),"CHECK Full day / AM / PM",IF(AND('_Dates'!J1007='_Dates'!T1007,'_Dates'!U1007&lt;&gt;"Full day",'_Dates'!V1007&lt;&gt;"Full day",'_Dates'!U1007&lt;&gt;'_Dates'!V1007),"CHECK same-day portions disagree",IF(AND($B$6=0,OR(AND('_Dates'!U1007&lt;&gt;"Full day",'_Dates'!AA1007=0),AND('_Dates'!V1007&lt;&gt;"Full day",'_Dates'!AB1007=0))),"CHECK half-day on non-working date",IF(COUNTIF(Settings!$G$7:$G$11,D1007)&lt;&gt;1,"CHECK leave type",IF(AND(Bookings!G1007&lt;&gt;"Approved",Bookings!G1007&lt;&gt;"Pending",Bookings!G1007&lt;&gt;"Cancelled"),"CHECK status","OK")))))))))),"CHECK input"))</ns0:f>
        <ns0:v/>
      </ns0:c>
      <ns0:c r="G1007" s="0">
        <ns0:f>IF(OR(F1007&lt;&gt;"OK",$B$6&gt;0),0,0.5*(IF(('_Dates'!X1007)&lt;('_Dates'!W1007),0,INT((('_Dates'!X1007)-('_Dates'!W1007)+1)/7)*LEN(SUBSTITUTE(W1007,"O",""))+LEN(SUBSTITUTE(MID(W1007&amp;W1007,WEEKDAY(('_Dates'!W1007),2),MOD((('_Dates'!X1007)-('_Dates'!W1007)+1),7)),"O",""))-COUNTIFS(INDEX(AllClosureRows,C1007,0),"&gt;="&amp;('_Dates'!W1007),INDEX(AllClosureRows,C1007,0),"&lt;="&amp;('_Dates'!X1007)))+IF(('_Dates'!Z1007)&lt;('_Dates'!Y1007),0,INT((('_Dates'!Z1007)-('_Dates'!Y1007)+1)/7)*LEN(SUBSTITUTE(W1007,"O",""))+LEN(SUBSTITUTE(MID(W1007&amp;W1007,WEEKDAY(('_Dates'!Y1007),2),MOD((('_Dates'!Z1007)-('_Dates'!Y1007)+1),7)),"O",""))-COUNTIFS(INDEX(AllClosureRows,C1007,0),"&gt;="&amp;('_Dates'!Y1007),INDEX(AllClosureRows,C1007,0),"&lt;="&amp;('_Dates'!Z1007)))))</ns0:f>
        <ns0:v>0</ns0:v>
      </ns0:c>
      <ns0:c r="H1007" s="0">
        <ns0:f>IF(OR(F1007&lt;&gt;"OK",$B$6&gt;0),0,0.5*(IF((MIN('_Dates'!X1007,Settings!$B$9))&lt;('_Dates'!W1007),0,INT(((MIN('_Dates'!X1007,Settings!$B$9))-('_Dates'!W1007)+1)/7)*LEN(SUBSTITUTE(W1007,"O",""))+LEN(SUBSTITUTE(MID(W1007&amp;W1007,WEEKDAY(('_Dates'!W1007),2),MOD(((MIN('_Dates'!X1007,Settings!$B$9))-('_Dates'!W1007)+1),7)),"O",""))-COUNTIFS(INDEX(AllClosureRows,C1007,0),"&gt;="&amp;('_Dates'!W1007),INDEX(AllClosureRows,C1007,0),"&lt;="&amp;(MIN('_Dates'!X1007,Settings!$B$9))))+IF((MIN('_Dates'!Z1007,Settings!$B$9))&lt;('_Dates'!Y1007),0,INT(((MIN('_Dates'!Z1007,Settings!$B$9))-('_Dates'!Y1007)+1)/7)*LEN(SUBSTITUTE(W1007,"O",""))+LEN(SUBSTITUTE(MID(W1007&amp;W1007,WEEKDAY(('_Dates'!Y1007),2),MOD(((MIN('_Dates'!Z1007,Settings!$B$9))-('_Dates'!Y1007)+1),7)),"O",""))-COUNTIFS(INDEX(AllClosureRows,C1007,0),"&gt;="&amp;('_Dates'!Y1007),INDEX(AllClosureRows,C1007,0),"&lt;="&amp;(MIN('_Dates'!Z1007,Settings!$B$9))))))</ns0:f>
        <ns0:v>0</ns0:v>
      </ns0:c>
      <ns0:c r="I1007" s="0">
        <ns0:f>MAX(0,G1007-H1007)</ns0:f>
        <ns0:v>0</ns0:v>
      </ns0:c>
      <ns0:c r="J1007" s="0">
        <ns0:f>IF(OR(A1007=0,F1007&lt;&gt;"OK",Bookings!G1007="Cancelled",$B$6&gt;0),0,IF('_Dates'!AC1007=1,MAX(0,COUNTIFS(rngEngine_B,B1007,rngAMStart,"&lt;="&amp;'_Dates'!X1007,rngAMEnd,"&gt;="&amp;'_Dates'!W1007,rngAMActive,1,rngEngine_F,"OK",rngBookings_F,"&lt;&gt;Cancelled")-1),0)+IF('_Dates'!AD1007=1,MAX(0,COUNTIFS(rngEngine_B,B1007,rngPMStart,"&lt;="&amp;'_Dates'!Z1007,rngPMEnd,"&gt;="&amp;'_Dates'!Y1007,rngPMActive,1,rngEngine_F,"OK",rngBookings_F,"&lt;&gt;Cancelled")-1),0))</ns0:f>
        <ns0:v>0</ns0:v>
      </ns0:c>
      <ns0:c r="K1007" s="0" t="str">
        <ns0:f>IF(A1007=0,"",IF(F1007&lt;&gt;"OK",F1007,IF(J1007&gt;0,"CHECK overlapping entry",IF(AND($B$6=0,G1007&lt;=0,Bookings!G1007&lt;&gt;"Cancelled"),"CHECK no working days",IF(Bookings!G1007="Cancelled","Cancelled","OK")))))</ns0:f>
        <ns0:v/>
      </ns0:c>
      <ns0:c r="L1007" s="0">
        <ns0:f>IF(LEFT(K1007,5)="CHECK",1,0)</ns0:f>
        <ns0:v>0</ns0:v>
      </ns0:c>
      <ns0:c r="M1007" s="0">
        <ns0:f>IF(AND(L1007=1,OR(C1007=0,IFERROR(INDEX($X$11:$X$60,C1007),0)=0)),1,0)</ns0:f>
        <ns0:v>0</ns0:v>
      </ns0:c>
      <ns0:c r="N1007" s="0">
        <ns0:f>IF(OR(A1007=0,L1007&gt;0,$B$6&gt;0,Bookings!G1007="Cancelled"),0,G1007)</ns0:f>
        <ns0:v>0</ns0:v>
      </ns0:c>
      <ns0:c r="O1007" s="0">
        <ns0:f>IF(AND(Bookings!G1007="Approved",E1007="Yes"),N1007,0)</ns0:f>
        <ns0:v>0</ns0:v>
      </ns0:c>
      <ns0:c r="P1007" s="0">
        <ns0:f>IF(AND(Bookings!G1007="Approved",E1007="Yes",L1007=0,$B$6=0),H1007,0)</ns0:f>
        <ns0:v>0</ns0:v>
      </ns0:c>
      <ns0:c r="Q1007" s="0">
        <ns0:f>IF(AND(Bookings!G1007="Approved",E1007="Yes",L1007=0,$B$6=0),I1007,0)</ns0:f>
        <ns0:v>0</ns0:v>
      </ns0:c>
      <ns0:c r="R1007" s="0">
        <ns0:f>IF(AND(Bookings!G1007="Pending",E1007="Yes"),N1007,0)</ns0:f>
        <ns0:v>0</ns0:v>
      </ns0:c>
      <ns0:c r="S1007" s="0">
        <ns0:f>IF(AND(Bookings!G1007="Approved",E1007="No"),N1007,0)</ns0:f>
        <ns0:v>0</ns0:v>
      </ns0:c>
      <ns0:c r="T1007" s="0">
        <ns0:f>IFERROR(MATCH(D1007,Settings!$G$7:$G$11,0),0)</ns0:f>
        <ns0:v>0</ns0:v>
      </ns0:c>
      <ns0:c r="U1007" s="0">
        <ns0:f>IF(N1007&gt;0,T1007+IF(Bookings!G1007="Pending",10,0),0)</ns0:f>
        <ns0:v>0</ns0:v>
      </ns0:c>
      <ns0:c r="V1007" s="0">
        <ns0:f>U1007</ns0:f>
        <ns0:v>0</ns0:v>
      </ns0:c>
      <ns0:c r="W1007" s="0" t="str">
        <ns0:f>IF(C1007=0,"",INDEX($AP$11:$AP$60,C1007))</ns0:f>
        <ns0:v/>
      </ns0:c>
    </ns0:row>
    <ns0:row r="1008">
      <ns0:c r="A1008" s="0">
        <ns0:f>IF(COUNTA(Bookings!A1008:G1008,Bookings!I1008)=0,0,1)</ns0:f>
        <ns0:v>0</ns0:v>
      </ns0:c>
      <ns0:c r="B1008" s="0" t="str">
        <ns0:f>IFERROR(TRIM(MID(Bookings!A1008,FIND(" · ",Bookings!A1008)+3,99)),"")</ns0:f>
        <ns0:v/>
      </ns0:c>
      <ns0:c r="C1008" s="0">
        <ns0:f>IF(OR(B1008="",LEN(B1008)&gt;24,ISNUMBER(FIND(" ",B1008)),ISNUMBER(FIND("*",B1008)),ISNUMBER(FIND("?",B1008)),ISNUMBER(FIND("~",B1008))),0,IFERROR(MATCH(B1008,Team!$A$11:$A$60,0),0))</ns0:f>
        <ns0:v>0</ns0:v>
      </ns0:c>
      <ns0:c r="D1008" s="0" t="str">
        <ns0:f>IFERROR(IF(MID(Bookings!F1008,LEN(Bookings!F1008)-3,3)=" · ",RIGHT(Bookings!F1008,1),""),"")</ns0:f>
        <ns0:v/>
      </ns0:c>
      <ns0:c r="E1008" s="0" t="str">
        <ns0:f>IFERROR(INDEX(Settings!$H$7:$H$11,MATCH(D1008,Settings!$G$7:$G$11,0)),"")</ns0:f>
        <ns0:v/>
      </ns0:c>
      <ns0:c r="F1008" s="0" t="str">
        <ns0:f>IF(A1008=0,"",IFERROR(IF(OR(B1008="",C1008=0),"CHECK employee selection",IF(INDEX(Team!$O$11:$O$60,C1008)&lt;&gt;"OK","CHECK employee setup",IF(OR('_Dates'!J1008=0,'_Dates'!T1008=0),"CHECK date: use DD.MM.YYYY",IF('_Dates'!T1008&lt;'_Dates'!J1008,"CHECK end before start",IF(AND($B$6=0,OR('_Dates'!J1008&lt;Settings!$B$7,'_Dates'!T1008&gt;Settings!$B$8)),"CHECK split across leave years",IF(OR(NOT(OR('_Dates'!U1008="Full day",'_Dates'!U1008="AM",'_Dates'!U1008="PM")),NOT(OR('_Dates'!V1008="Full day",'_Dates'!V1008="AM",'_Dates'!V1008="PM"))),"CHECK Full day / AM / PM",IF(AND('_Dates'!J1008='_Dates'!T1008,'_Dates'!U1008&lt;&gt;"Full day",'_Dates'!V1008&lt;&gt;"Full day",'_Dates'!U1008&lt;&gt;'_Dates'!V1008),"CHECK same-day portions disagree",IF(AND($B$6=0,OR(AND('_Dates'!U1008&lt;&gt;"Full day",'_Dates'!AA1008=0),AND('_Dates'!V1008&lt;&gt;"Full day",'_Dates'!AB1008=0))),"CHECK half-day on non-working date",IF(COUNTIF(Settings!$G$7:$G$11,D1008)&lt;&gt;1,"CHECK leave type",IF(AND(Bookings!G1008&lt;&gt;"Approved",Bookings!G1008&lt;&gt;"Pending",Bookings!G1008&lt;&gt;"Cancelled"),"CHECK status","OK")))))))))),"CHECK input"))</ns0:f>
        <ns0:v/>
      </ns0:c>
      <ns0:c r="G1008" s="0">
        <ns0:f>IF(OR(F1008&lt;&gt;"OK",$B$6&gt;0),0,0.5*(IF(('_Dates'!X1008)&lt;('_Dates'!W1008),0,INT((('_Dates'!X1008)-('_Dates'!W1008)+1)/7)*LEN(SUBSTITUTE(W1008,"O",""))+LEN(SUBSTITUTE(MID(W1008&amp;W1008,WEEKDAY(('_Dates'!W1008),2),MOD((('_Dates'!X1008)-('_Dates'!W1008)+1),7)),"O",""))-COUNTIFS(INDEX(AllClosureRows,C1008,0),"&gt;="&amp;('_Dates'!W1008),INDEX(AllClosureRows,C1008,0),"&lt;="&amp;('_Dates'!X1008)))+IF(('_Dates'!Z1008)&lt;('_Dates'!Y1008),0,INT((('_Dates'!Z1008)-('_Dates'!Y1008)+1)/7)*LEN(SUBSTITUTE(W1008,"O",""))+LEN(SUBSTITUTE(MID(W1008&amp;W1008,WEEKDAY(('_Dates'!Y1008),2),MOD((('_Dates'!Z1008)-('_Dates'!Y1008)+1),7)),"O",""))-COUNTIFS(INDEX(AllClosureRows,C1008,0),"&gt;="&amp;('_Dates'!Y1008),INDEX(AllClosureRows,C1008,0),"&lt;="&amp;('_Dates'!Z1008)))))</ns0:f>
        <ns0:v>0</ns0:v>
      </ns0:c>
      <ns0:c r="H1008" s="0">
        <ns0:f>IF(OR(F1008&lt;&gt;"OK",$B$6&gt;0),0,0.5*(IF((MIN('_Dates'!X1008,Settings!$B$9))&lt;('_Dates'!W1008),0,INT(((MIN('_Dates'!X1008,Settings!$B$9))-('_Dates'!W1008)+1)/7)*LEN(SUBSTITUTE(W1008,"O",""))+LEN(SUBSTITUTE(MID(W1008&amp;W1008,WEEKDAY(('_Dates'!W1008),2),MOD(((MIN('_Dates'!X1008,Settings!$B$9))-('_Dates'!W1008)+1),7)),"O",""))-COUNTIFS(INDEX(AllClosureRows,C1008,0),"&gt;="&amp;('_Dates'!W1008),INDEX(AllClosureRows,C1008,0),"&lt;="&amp;(MIN('_Dates'!X1008,Settings!$B$9))))+IF((MIN('_Dates'!Z1008,Settings!$B$9))&lt;('_Dates'!Y1008),0,INT(((MIN('_Dates'!Z1008,Settings!$B$9))-('_Dates'!Y1008)+1)/7)*LEN(SUBSTITUTE(W1008,"O",""))+LEN(SUBSTITUTE(MID(W1008&amp;W1008,WEEKDAY(('_Dates'!Y1008),2),MOD(((MIN('_Dates'!Z1008,Settings!$B$9))-('_Dates'!Y1008)+1),7)),"O",""))-COUNTIFS(INDEX(AllClosureRows,C1008,0),"&gt;="&amp;('_Dates'!Y1008),INDEX(AllClosureRows,C1008,0),"&lt;="&amp;(MIN('_Dates'!Z1008,Settings!$B$9))))))</ns0:f>
        <ns0:v>0</ns0:v>
      </ns0:c>
      <ns0:c r="I1008" s="0">
        <ns0:f>MAX(0,G1008-H1008)</ns0:f>
        <ns0:v>0</ns0:v>
      </ns0:c>
      <ns0:c r="J1008" s="0">
        <ns0:f>IF(OR(A1008=0,F1008&lt;&gt;"OK",Bookings!G1008="Cancelled",$B$6&gt;0),0,IF('_Dates'!AC1008=1,MAX(0,COUNTIFS(rngEngine_B,B1008,rngAMStart,"&lt;="&amp;'_Dates'!X1008,rngAMEnd,"&gt;="&amp;'_Dates'!W1008,rngAMActive,1,rngEngine_F,"OK",rngBookings_F,"&lt;&gt;Cancelled")-1),0)+IF('_Dates'!AD1008=1,MAX(0,COUNTIFS(rngEngine_B,B1008,rngPMStart,"&lt;="&amp;'_Dates'!Z1008,rngPMEnd,"&gt;="&amp;'_Dates'!Y1008,rngPMActive,1,rngEngine_F,"OK",rngBookings_F,"&lt;&gt;Cancelled")-1),0))</ns0:f>
        <ns0:v>0</ns0:v>
      </ns0:c>
      <ns0:c r="K1008" s="0" t="str">
        <ns0:f>IF(A1008=0,"",IF(F1008&lt;&gt;"OK",F1008,IF(J1008&gt;0,"CHECK overlapping entry",IF(AND($B$6=0,G1008&lt;=0,Bookings!G1008&lt;&gt;"Cancelled"),"CHECK no working days",IF(Bookings!G1008="Cancelled","Cancelled","OK")))))</ns0:f>
        <ns0:v/>
      </ns0:c>
      <ns0:c r="L1008" s="0">
        <ns0:f>IF(LEFT(K1008,5)="CHECK",1,0)</ns0:f>
        <ns0:v>0</ns0:v>
      </ns0:c>
      <ns0:c r="M1008" s="0">
        <ns0:f>IF(AND(L1008=1,OR(C1008=0,IFERROR(INDEX($X$11:$X$60,C1008),0)=0)),1,0)</ns0:f>
        <ns0:v>0</ns0:v>
      </ns0:c>
      <ns0:c r="N1008" s="0">
        <ns0:f>IF(OR(A1008=0,L1008&gt;0,$B$6&gt;0,Bookings!G1008="Cancelled"),0,G1008)</ns0:f>
        <ns0:v>0</ns0:v>
      </ns0:c>
      <ns0:c r="O1008" s="0">
        <ns0:f>IF(AND(Bookings!G1008="Approved",E1008="Yes"),N1008,0)</ns0:f>
        <ns0:v>0</ns0:v>
      </ns0:c>
      <ns0:c r="P1008" s="0">
        <ns0:f>IF(AND(Bookings!G1008="Approved",E1008="Yes",L1008=0,$B$6=0),H1008,0)</ns0:f>
        <ns0:v>0</ns0:v>
      </ns0:c>
      <ns0:c r="Q1008" s="0">
        <ns0:f>IF(AND(Bookings!G1008="Approved",E1008="Yes",L1008=0,$B$6=0),I1008,0)</ns0:f>
        <ns0:v>0</ns0:v>
      </ns0:c>
      <ns0:c r="R1008" s="0">
        <ns0:f>IF(AND(Bookings!G1008="Pending",E1008="Yes"),N1008,0)</ns0:f>
        <ns0:v>0</ns0:v>
      </ns0:c>
      <ns0:c r="S1008" s="0">
        <ns0:f>IF(AND(Bookings!G1008="Approved",E1008="No"),N1008,0)</ns0:f>
        <ns0:v>0</ns0:v>
      </ns0:c>
      <ns0:c r="T1008" s="0">
        <ns0:f>IFERROR(MATCH(D1008,Settings!$G$7:$G$11,0),0)</ns0:f>
        <ns0:v>0</ns0:v>
      </ns0:c>
      <ns0:c r="U1008" s="0">
        <ns0:f>IF(N1008&gt;0,T1008+IF(Bookings!G1008="Pending",10,0),0)</ns0:f>
        <ns0:v>0</ns0:v>
      </ns0:c>
      <ns0:c r="V1008" s="0">
        <ns0:f>U1008</ns0:f>
        <ns0:v>0</ns0:v>
      </ns0:c>
      <ns0:c r="W1008" s="0" t="str">
        <ns0:f>IF(C1008=0,"",INDEX($AP$11:$AP$60,C1008))</ns0:f>
        <ns0:v/>
      </ns0:c>
    </ns0:row>
    <ns0:row r="1009">
      <ns0:c r="A1009" s="0">
        <ns0:f>IF(COUNTA(Bookings!A1009:G1009,Bookings!I1009)=0,0,1)</ns0:f>
        <ns0:v>0</ns0:v>
      </ns0:c>
      <ns0:c r="B1009" s="0" t="str">
        <ns0:f>IFERROR(TRIM(MID(Bookings!A1009,FIND(" · ",Bookings!A1009)+3,99)),"")</ns0:f>
        <ns0:v/>
      </ns0:c>
      <ns0:c r="C1009" s="0">
        <ns0:f>IF(OR(B1009="",LEN(B1009)&gt;24,ISNUMBER(FIND(" ",B1009)),ISNUMBER(FIND("*",B1009)),ISNUMBER(FIND("?",B1009)),ISNUMBER(FIND("~",B1009))),0,IFERROR(MATCH(B1009,Team!$A$11:$A$60,0),0))</ns0:f>
        <ns0:v>0</ns0:v>
      </ns0:c>
      <ns0:c r="D1009" s="0" t="str">
        <ns0:f>IFERROR(IF(MID(Bookings!F1009,LEN(Bookings!F1009)-3,3)=" · ",RIGHT(Bookings!F1009,1),""),"")</ns0:f>
        <ns0:v/>
      </ns0:c>
      <ns0:c r="E1009" s="0" t="str">
        <ns0:f>IFERROR(INDEX(Settings!$H$7:$H$11,MATCH(D1009,Settings!$G$7:$G$11,0)),"")</ns0:f>
        <ns0:v/>
      </ns0:c>
      <ns0:c r="F1009" s="0" t="str">
        <ns0:f>IF(A1009=0,"",IFERROR(IF(OR(B1009="",C1009=0),"CHECK employee selection",IF(INDEX(Team!$O$11:$O$60,C1009)&lt;&gt;"OK","CHECK employee setup",IF(OR('_Dates'!J1009=0,'_Dates'!T1009=0),"CHECK date: use DD.MM.YYYY",IF('_Dates'!T1009&lt;'_Dates'!J1009,"CHECK end before start",IF(AND($B$6=0,OR('_Dates'!J1009&lt;Settings!$B$7,'_Dates'!T1009&gt;Settings!$B$8)),"CHECK split across leave years",IF(OR(NOT(OR('_Dates'!U1009="Full day",'_Dates'!U1009="AM",'_Dates'!U1009="PM")),NOT(OR('_Dates'!V1009="Full day",'_Dates'!V1009="AM",'_Dates'!V1009="PM"))),"CHECK Full day / AM / PM",IF(AND('_Dates'!J1009='_Dates'!T1009,'_Dates'!U1009&lt;&gt;"Full day",'_Dates'!V1009&lt;&gt;"Full day",'_Dates'!U1009&lt;&gt;'_Dates'!V1009),"CHECK same-day portions disagree",IF(AND($B$6=0,OR(AND('_Dates'!U1009&lt;&gt;"Full day",'_Dates'!AA1009=0),AND('_Dates'!V1009&lt;&gt;"Full day",'_Dates'!AB1009=0))),"CHECK half-day on non-working date",IF(COUNTIF(Settings!$G$7:$G$11,D1009)&lt;&gt;1,"CHECK leave type",IF(AND(Bookings!G1009&lt;&gt;"Approved",Bookings!G1009&lt;&gt;"Pending",Bookings!G1009&lt;&gt;"Cancelled"),"CHECK status","OK")))))))))),"CHECK input"))</ns0:f>
        <ns0:v/>
      </ns0:c>
      <ns0:c r="G1009" s="0">
        <ns0:f>IF(OR(F1009&lt;&gt;"OK",$B$6&gt;0),0,0.5*(IF(('_Dates'!X1009)&lt;('_Dates'!W1009),0,INT((('_Dates'!X1009)-('_Dates'!W1009)+1)/7)*LEN(SUBSTITUTE(W1009,"O",""))+LEN(SUBSTITUTE(MID(W1009&amp;W1009,WEEKDAY(('_Dates'!W1009),2),MOD((('_Dates'!X1009)-('_Dates'!W1009)+1),7)),"O",""))-COUNTIFS(INDEX(AllClosureRows,C1009,0),"&gt;="&amp;('_Dates'!W1009),INDEX(AllClosureRows,C1009,0),"&lt;="&amp;('_Dates'!X1009)))+IF(('_Dates'!Z1009)&lt;('_Dates'!Y1009),0,INT((('_Dates'!Z1009)-('_Dates'!Y1009)+1)/7)*LEN(SUBSTITUTE(W1009,"O",""))+LEN(SUBSTITUTE(MID(W1009&amp;W1009,WEEKDAY(('_Dates'!Y1009),2),MOD((('_Dates'!Z1009)-('_Dates'!Y1009)+1),7)),"O",""))-COUNTIFS(INDEX(AllClosureRows,C1009,0),"&gt;="&amp;('_Dates'!Y1009),INDEX(AllClosureRows,C1009,0),"&lt;="&amp;('_Dates'!Z1009)))))</ns0:f>
        <ns0:v>0</ns0:v>
      </ns0:c>
      <ns0:c r="H1009" s="0">
        <ns0:f>IF(OR(F1009&lt;&gt;"OK",$B$6&gt;0),0,0.5*(IF((MIN('_Dates'!X1009,Settings!$B$9))&lt;('_Dates'!W1009),0,INT(((MIN('_Dates'!X1009,Settings!$B$9))-('_Dates'!W1009)+1)/7)*LEN(SUBSTITUTE(W1009,"O",""))+LEN(SUBSTITUTE(MID(W1009&amp;W1009,WEEKDAY(('_Dates'!W1009),2),MOD(((MIN('_Dates'!X1009,Settings!$B$9))-('_Dates'!W1009)+1),7)),"O",""))-COUNTIFS(INDEX(AllClosureRows,C1009,0),"&gt;="&amp;('_Dates'!W1009),INDEX(AllClosureRows,C1009,0),"&lt;="&amp;(MIN('_Dates'!X1009,Settings!$B$9))))+IF((MIN('_Dates'!Z1009,Settings!$B$9))&lt;('_Dates'!Y1009),0,INT(((MIN('_Dates'!Z1009,Settings!$B$9))-('_Dates'!Y1009)+1)/7)*LEN(SUBSTITUTE(W1009,"O",""))+LEN(SUBSTITUTE(MID(W1009&amp;W1009,WEEKDAY(('_Dates'!Y1009),2),MOD(((MIN('_Dates'!Z1009,Settings!$B$9))-('_Dates'!Y1009)+1),7)),"O",""))-COUNTIFS(INDEX(AllClosureRows,C1009,0),"&gt;="&amp;('_Dates'!Y1009),INDEX(AllClosureRows,C1009,0),"&lt;="&amp;(MIN('_Dates'!Z1009,Settings!$B$9))))))</ns0:f>
        <ns0:v>0</ns0:v>
      </ns0:c>
      <ns0:c r="I1009" s="0">
        <ns0:f>MAX(0,G1009-H1009)</ns0:f>
        <ns0:v>0</ns0:v>
      </ns0:c>
      <ns0:c r="J1009" s="0">
        <ns0:f>IF(OR(A1009=0,F1009&lt;&gt;"OK",Bookings!G1009="Cancelled",$B$6&gt;0),0,IF('_Dates'!AC1009=1,MAX(0,COUNTIFS(rngEngine_B,B1009,rngAMStart,"&lt;="&amp;'_Dates'!X1009,rngAMEnd,"&gt;="&amp;'_Dates'!W1009,rngAMActive,1,rngEngine_F,"OK",rngBookings_F,"&lt;&gt;Cancelled")-1),0)+IF('_Dates'!AD1009=1,MAX(0,COUNTIFS(rngEngine_B,B1009,rngPMStart,"&lt;="&amp;'_Dates'!Z1009,rngPMEnd,"&gt;="&amp;'_Dates'!Y1009,rngPMActive,1,rngEngine_F,"OK",rngBookings_F,"&lt;&gt;Cancelled")-1),0))</ns0:f>
        <ns0:v>0</ns0:v>
      </ns0:c>
      <ns0:c r="K1009" s="0" t="str">
        <ns0:f>IF(A1009=0,"",IF(F1009&lt;&gt;"OK",F1009,IF(J1009&gt;0,"CHECK overlapping entry",IF(AND($B$6=0,G1009&lt;=0,Bookings!G1009&lt;&gt;"Cancelled"),"CHECK no working days",IF(Bookings!G1009="Cancelled","Cancelled","OK")))))</ns0:f>
        <ns0:v/>
      </ns0:c>
      <ns0:c r="L1009" s="0">
        <ns0:f>IF(LEFT(K1009,5)="CHECK",1,0)</ns0:f>
        <ns0:v>0</ns0:v>
      </ns0:c>
      <ns0:c r="M1009" s="0">
        <ns0:f>IF(AND(L1009=1,OR(C1009=0,IFERROR(INDEX($X$11:$X$60,C1009),0)=0)),1,0)</ns0:f>
        <ns0:v>0</ns0:v>
      </ns0:c>
      <ns0:c r="N1009" s="0">
        <ns0:f>IF(OR(A1009=0,L1009&gt;0,$B$6&gt;0,Bookings!G1009="Cancelled"),0,G1009)</ns0:f>
        <ns0:v>0</ns0:v>
      </ns0:c>
      <ns0:c r="O1009" s="0">
        <ns0:f>IF(AND(Bookings!G1009="Approved",E1009="Yes"),N1009,0)</ns0:f>
        <ns0:v>0</ns0:v>
      </ns0:c>
      <ns0:c r="P1009" s="0">
        <ns0:f>IF(AND(Bookings!G1009="Approved",E1009="Yes",L1009=0,$B$6=0),H1009,0)</ns0:f>
        <ns0:v>0</ns0:v>
      </ns0:c>
      <ns0:c r="Q1009" s="0">
        <ns0:f>IF(AND(Bookings!G1009="Approved",E1009="Yes",L1009=0,$B$6=0),I1009,0)</ns0:f>
        <ns0:v>0</ns0:v>
      </ns0:c>
      <ns0:c r="R1009" s="0">
        <ns0:f>IF(AND(Bookings!G1009="Pending",E1009="Yes"),N1009,0)</ns0:f>
        <ns0:v>0</ns0:v>
      </ns0:c>
      <ns0:c r="S1009" s="0">
        <ns0:f>IF(AND(Bookings!G1009="Approved",E1009="No"),N1009,0)</ns0:f>
        <ns0:v>0</ns0:v>
      </ns0:c>
      <ns0:c r="T1009" s="0">
        <ns0:f>IFERROR(MATCH(D1009,Settings!$G$7:$G$11,0),0)</ns0:f>
        <ns0:v>0</ns0:v>
      </ns0:c>
      <ns0:c r="U1009" s="0">
        <ns0:f>IF(N1009&gt;0,T1009+IF(Bookings!G1009="Pending",10,0),0)</ns0:f>
        <ns0:v>0</ns0:v>
      </ns0:c>
      <ns0:c r="V1009" s="0">
        <ns0:f>U1009</ns0:f>
        <ns0:v>0</ns0:v>
      </ns0:c>
      <ns0:c r="W1009" s="0" t="str">
        <ns0:f>IF(C1009=0,"",INDEX($AP$11:$AP$60,C1009))</ns0:f>
        <ns0:v/>
      </ns0:c>
    </ns0:row>
    <ns0:row r="1010">
      <ns0:c r="A1010" s="0">
        <ns0:f>IF(COUNTA(Bookings!A1010:G1010,Bookings!I1010)=0,0,1)</ns0:f>
        <ns0:v>0</ns0:v>
      </ns0:c>
      <ns0:c r="B1010" s="0" t="str">
        <ns0:f>IFERROR(TRIM(MID(Bookings!A1010,FIND(" · ",Bookings!A1010)+3,99)),"")</ns0:f>
        <ns0:v/>
      </ns0:c>
      <ns0:c r="C1010" s="0">
        <ns0:f>IF(OR(B1010="",LEN(B1010)&gt;24,ISNUMBER(FIND(" ",B1010)),ISNUMBER(FIND("*",B1010)),ISNUMBER(FIND("?",B1010)),ISNUMBER(FIND("~",B1010))),0,IFERROR(MATCH(B1010,Team!$A$11:$A$60,0),0))</ns0:f>
        <ns0:v>0</ns0:v>
      </ns0:c>
      <ns0:c r="D1010" s="0" t="str">
        <ns0:f>IFERROR(IF(MID(Bookings!F1010,LEN(Bookings!F1010)-3,3)=" · ",RIGHT(Bookings!F1010,1),""),"")</ns0:f>
        <ns0:v/>
      </ns0:c>
      <ns0:c r="E1010" s="0" t="str">
        <ns0:f>IFERROR(INDEX(Settings!$H$7:$H$11,MATCH(D1010,Settings!$G$7:$G$11,0)),"")</ns0:f>
        <ns0:v/>
      </ns0:c>
      <ns0:c r="F1010" s="0" t="str">
        <ns0:f>IF(A1010=0,"",IFERROR(IF(OR(B1010="",C1010=0),"CHECK employee selection",IF(INDEX(Team!$O$11:$O$60,C1010)&lt;&gt;"OK","CHECK employee setup",IF(OR('_Dates'!J1010=0,'_Dates'!T1010=0),"CHECK date: use DD.MM.YYYY",IF('_Dates'!T1010&lt;'_Dates'!J1010,"CHECK end before start",IF(AND($B$6=0,OR('_Dates'!J1010&lt;Settings!$B$7,'_Dates'!T1010&gt;Settings!$B$8)),"CHECK split across leave years",IF(OR(NOT(OR('_Dates'!U1010="Full day",'_Dates'!U1010="AM",'_Dates'!U1010="PM")),NOT(OR('_Dates'!V1010="Full day",'_Dates'!V1010="AM",'_Dates'!V1010="PM"))),"CHECK Full day / AM / PM",IF(AND('_Dates'!J1010='_Dates'!T1010,'_Dates'!U1010&lt;&gt;"Full day",'_Dates'!V1010&lt;&gt;"Full day",'_Dates'!U1010&lt;&gt;'_Dates'!V1010),"CHECK same-day portions disagree",IF(AND($B$6=0,OR(AND('_Dates'!U1010&lt;&gt;"Full day",'_Dates'!AA1010=0),AND('_Dates'!V1010&lt;&gt;"Full day",'_Dates'!AB1010=0))),"CHECK half-day on non-working date",IF(COUNTIF(Settings!$G$7:$G$11,D1010)&lt;&gt;1,"CHECK leave type",IF(AND(Bookings!G1010&lt;&gt;"Approved",Bookings!G1010&lt;&gt;"Pending",Bookings!G1010&lt;&gt;"Cancelled"),"CHECK status","OK")))))))))),"CHECK input"))</ns0:f>
        <ns0:v/>
      </ns0:c>
      <ns0:c r="G1010" s="0">
        <ns0:f>IF(OR(F1010&lt;&gt;"OK",$B$6&gt;0),0,0.5*(IF(('_Dates'!X1010)&lt;('_Dates'!W1010),0,INT((('_Dates'!X1010)-('_Dates'!W1010)+1)/7)*LEN(SUBSTITUTE(W1010,"O",""))+LEN(SUBSTITUTE(MID(W1010&amp;W1010,WEEKDAY(('_Dates'!W1010),2),MOD((('_Dates'!X1010)-('_Dates'!W1010)+1),7)),"O",""))-COUNTIFS(INDEX(AllClosureRows,C1010,0),"&gt;="&amp;('_Dates'!W1010),INDEX(AllClosureRows,C1010,0),"&lt;="&amp;('_Dates'!X1010)))+IF(('_Dates'!Z1010)&lt;('_Dates'!Y1010),0,INT((('_Dates'!Z1010)-('_Dates'!Y1010)+1)/7)*LEN(SUBSTITUTE(W1010,"O",""))+LEN(SUBSTITUTE(MID(W1010&amp;W1010,WEEKDAY(('_Dates'!Y1010),2),MOD((('_Dates'!Z1010)-('_Dates'!Y1010)+1),7)),"O",""))-COUNTIFS(INDEX(AllClosureRows,C1010,0),"&gt;="&amp;('_Dates'!Y1010),INDEX(AllClosureRows,C1010,0),"&lt;="&amp;('_Dates'!Z1010)))))</ns0:f>
        <ns0:v>0</ns0:v>
      </ns0:c>
      <ns0:c r="H1010" s="0">
        <ns0:f>IF(OR(F1010&lt;&gt;"OK",$B$6&gt;0),0,0.5*(IF((MIN('_Dates'!X1010,Settings!$B$9))&lt;('_Dates'!W1010),0,INT(((MIN('_Dates'!X1010,Settings!$B$9))-('_Dates'!W1010)+1)/7)*LEN(SUBSTITUTE(W1010,"O",""))+LEN(SUBSTITUTE(MID(W1010&amp;W1010,WEEKDAY(('_Dates'!W1010),2),MOD(((MIN('_Dates'!X1010,Settings!$B$9))-('_Dates'!W1010)+1),7)),"O",""))-COUNTIFS(INDEX(AllClosureRows,C1010,0),"&gt;="&amp;('_Dates'!W1010),INDEX(AllClosureRows,C1010,0),"&lt;="&amp;(MIN('_Dates'!X1010,Settings!$B$9))))+IF((MIN('_Dates'!Z1010,Settings!$B$9))&lt;('_Dates'!Y1010),0,INT(((MIN('_Dates'!Z1010,Settings!$B$9))-('_Dates'!Y1010)+1)/7)*LEN(SUBSTITUTE(W1010,"O",""))+LEN(SUBSTITUTE(MID(W1010&amp;W1010,WEEKDAY(('_Dates'!Y1010),2),MOD(((MIN('_Dates'!Z1010,Settings!$B$9))-('_Dates'!Y1010)+1),7)),"O",""))-COUNTIFS(INDEX(AllClosureRows,C1010,0),"&gt;="&amp;('_Dates'!Y1010),INDEX(AllClosureRows,C1010,0),"&lt;="&amp;(MIN('_Dates'!Z1010,Settings!$B$9))))))</ns0:f>
        <ns0:v>0</ns0:v>
      </ns0:c>
      <ns0:c r="I1010" s="0">
        <ns0:f>MAX(0,G1010-H1010)</ns0:f>
        <ns0:v>0</ns0:v>
      </ns0:c>
      <ns0:c r="J1010" s="0">
        <ns0:f>IF(OR(A1010=0,F1010&lt;&gt;"OK",Bookings!G1010="Cancelled",$B$6&gt;0),0,IF('_Dates'!AC1010=1,MAX(0,COUNTIFS(rngEngine_B,B1010,rngAMStart,"&lt;="&amp;'_Dates'!X1010,rngAMEnd,"&gt;="&amp;'_Dates'!W1010,rngAMActive,1,rngEngine_F,"OK",rngBookings_F,"&lt;&gt;Cancelled")-1),0)+IF('_Dates'!AD1010=1,MAX(0,COUNTIFS(rngEngine_B,B1010,rngPMStart,"&lt;="&amp;'_Dates'!Z1010,rngPMEnd,"&gt;="&amp;'_Dates'!Y1010,rngPMActive,1,rngEngine_F,"OK",rngBookings_F,"&lt;&gt;Cancelled")-1),0))</ns0:f>
        <ns0:v>0</ns0:v>
      </ns0:c>
      <ns0:c r="K1010" s="0" t="str">
        <ns0:f>IF(A1010=0,"",IF(F1010&lt;&gt;"OK",F1010,IF(J1010&gt;0,"CHECK overlapping entry",IF(AND($B$6=0,G1010&lt;=0,Bookings!G1010&lt;&gt;"Cancelled"),"CHECK no working days",IF(Bookings!G1010="Cancelled","Cancelled","OK")))))</ns0:f>
        <ns0:v/>
      </ns0:c>
      <ns0:c r="L1010" s="0">
        <ns0:f>IF(LEFT(K1010,5)="CHECK",1,0)</ns0:f>
        <ns0:v>0</ns0:v>
      </ns0:c>
      <ns0:c r="M1010" s="0">
        <ns0:f>IF(AND(L1010=1,OR(C1010=0,IFERROR(INDEX($X$11:$X$60,C1010),0)=0)),1,0)</ns0:f>
        <ns0:v>0</ns0:v>
      </ns0:c>
      <ns0:c r="N1010" s="0">
        <ns0:f>IF(OR(A1010=0,L1010&gt;0,$B$6&gt;0,Bookings!G1010="Cancelled"),0,G1010)</ns0:f>
        <ns0:v>0</ns0:v>
      </ns0:c>
      <ns0:c r="O1010" s="0">
        <ns0:f>IF(AND(Bookings!G1010="Approved",E1010="Yes"),N1010,0)</ns0:f>
        <ns0:v>0</ns0:v>
      </ns0:c>
      <ns0:c r="P1010" s="0">
        <ns0:f>IF(AND(Bookings!G1010="Approved",E1010="Yes",L1010=0,$B$6=0),H1010,0)</ns0:f>
        <ns0:v>0</ns0:v>
      </ns0:c>
      <ns0:c r="Q1010" s="0">
        <ns0:f>IF(AND(Bookings!G1010="Approved",E1010="Yes",L1010=0,$B$6=0),I1010,0)</ns0:f>
        <ns0:v>0</ns0:v>
      </ns0:c>
      <ns0:c r="R1010" s="0">
        <ns0:f>IF(AND(Bookings!G1010="Pending",E1010="Yes"),N1010,0)</ns0:f>
        <ns0:v>0</ns0:v>
      </ns0:c>
      <ns0:c r="S1010" s="0">
        <ns0:f>IF(AND(Bookings!G1010="Approved",E1010="No"),N1010,0)</ns0:f>
        <ns0:v>0</ns0:v>
      </ns0:c>
      <ns0:c r="T1010" s="0">
        <ns0:f>IFERROR(MATCH(D1010,Settings!$G$7:$G$11,0),0)</ns0:f>
        <ns0:v>0</ns0:v>
      </ns0:c>
      <ns0:c r="U1010" s="0">
        <ns0:f>IF(N1010&gt;0,T1010+IF(Bookings!G1010="Pending",10,0),0)</ns0:f>
        <ns0:v>0</ns0:v>
      </ns0:c>
      <ns0:c r="V1010" s="0">
        <ns0:f>U1010</ns0:f>
        <ns0:v>0</ns0:v>
      </ns0:c>
      <ns0:c r="W1010" s="0" t="str">
        <ns0:f>IF(C1010=0,"",INDEX($AP$11:$AP$60,C1010))</ns0:f>
        <ns0:v/>
      </ns0:c>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2"/>
    <ns0:mergeCell ref="A4:B4"/>
    <ns0:mergeCell ref="C4:D4"/>
    <ns0:mergeCell ref="E4:F4"/>
    <ns0:mergeCell ref="G4:H4"/>
    <ns0:mergeCell ref="I4:J4"/>
    <ns0:mergeCell ref="X1:AO4"/>
  </ns0:mergeCells>
  <ns0:pageMargins left="0.7" right="0.7" top="0.75" bottom="0.75" header="0.3" footer="0.3"/>
</ns0:worksheet>
</file>

<file path=xl/worksheets/sheet8.xml><?xml version="1.0" encoding="utf-8"?>
<ns0:worksheet xmlns:ns0="http://schemas.openxmlformats.org/spreadsheetml/2006/main">
  <ns0:sheetViews>
    <ns0:sheetView workbookViewId="0" showGridLines="0" zoomScale="85"/>
  </ns0:sheetViews>
  <ns0:sheetFormatPr defaultRowHeight="15"/>
  <ns0:sheetData>
    <ns0:row r="1">
      <ns0:c r="A1" s="45" t="str">
        <ns0:v>Technical closure matrix — no data entry here. Use the shared closure list in Settings. These dates are calculated per employee’s working pattern.</ns0:v>
      </ns0:c>
      <ns0:c r="B1" s="45"/>
      <ns0:c r="C1" s="45"/>
      <ns0:c r="D1" s="45"/>
      <ns0:c r="E1" s="45"/>
      <ns0:c r="F1" s="45"/>
      <ns0:c r="G1" s="45"/>
      <ns0:c r="H1" s="45"/>
      <ns0:c r="I1" s="45"/>
      <ns0:c r="J1" s="45"/>
    </ns0:row>
    <ns0:row r="2">
      <ns0:c r="A2" s="45"/>
      <ns0:c r="B2" s="45"/>
      <ns0:c r="C2" s="45"/>
      <ns0:c r="D2" s="45"/>
      <ns0:c r="E2" s="45"/>
      <ns0:c r="F2" s="45"/>
      <ns0:c r="G2" s="45"/>
      <ns0:c r="H2" s="45"/>
      <ns0:c r="I2" s="45"/>
      <ns0:c r="J2" s="45"/>
    </ns0:row>
    <ns0:row r="3">
      <ns0:c r="A3" s="45"/>
      <ns0:c r="B3" s="45"/>
      <ns0:c r="C3" s="45"/>
      <ns0:c r="D3" s="45"/>
      <ns0:c r="E3" s="45"/>
      <ns0:c r="F3" s="45"/>
      <ns0:c r="G3" s="45"/>
      <ns0:c r="H3" s="45"/>
      <ns0:c r="I3" s="45"/>
      <ns0:c r="J3" s="45"/>
    </ns0:row>
    <ns0:row r="11">
      <ns0:c r="B11" s="0">
        <ns0:f>IFERROR(IF(AND('_Engine'!$X11=1,ISNUMBER(Settings!$F18),Settings!$F18&gt;0,MID('_Engine'!$AP11,WEEKDAY(Settings!$F18,2),1)="W"),Settings!$F18,0),0)</ns0:f>
        <ns0:v>46591</ns0:v>
      </ns0:c>
      <ns0:c r="C11" s="0">
        <ns0:f>IFERROR(IF(AND('_Engine'!$X11=1,ISNUMBER(Settings!$F19),Settings!$F19&gt;0,MID('_Engine'!$AP11,WEEKDAY(Settings!$F19,2),1)="W"),Settings!$F19,0),0)</ns0:f>
        <ns0:v>0</ns0:v>
      </ns0:c>
      <ns0:c r="D11" s="0">
        <ns0:f>IFERROR(IF(AND('_Engine'!$X11=1,ISNUMBER(Settings!$F20),Settings!$F20&gt;0,MID('_Engine'!$AP11,WEEKDAY(Settings!$F20,2),1)="W"),Settings!$F20,0),0)</ns0:f>
        <ns0:v>0</ns0:v>
      </ns0:c>
      <ns0:c r="E11" s="0">
        <ns0:f>IFERROR(IF(AND('_Engine'!$X11=1,ISNUMBER(Settings!$F21),Settings!$F21&gt;0,MID('_Engine'!$AP11,WEEKDAY(Settings!$F21,2),1)="W"),Settings!$F21,0),0)</ns0:f>
        <ns0:v>0</ns0:v>
      </ns0:c>
      <ns0:c r="F11" s="0">
        <ns0:f>IFERROR(IF(AND('_Engine'!$X11=1,ISNUMBER(Settings!$F22),Settings!$F22&gt;0,MID('_Engine'!$AP11,WEEKDAY(Settings!$F22,2),1)="W"),Settings!$F22,0),0)</ns0:f>
        <ns0:v>0</ns0:v>
      </ns0:c>
      <ns0:c r="G11" s="0">
        <ns0:f>IFERROR(IF(AND('_Engine'!$X11=1,ISNUMBER(Settings!$F23),Settings!$F23&gt;0,MID('_Engine'!$AP11,WEEKDAY(Settings!$F23,2),1)="W"),Settings!$F23,0),0)</ns0:f>
        <ns0:v>0</ns0:v>
      </ns0:c>
      <ns0:c r="H11" s="0">
        <ns0:f>IFERROR(IF(AND('_Engine'!$X11=1,ISNUMBER(Settings!$F24),Settings!$F24&gt;0,MID('_Engine'!$AP11,WEEKDAY(Settings!$F24,2),1)="W"),Settings!$F24,0),0)</ns0:f>
        <ns0:v>0</ns0:v>
      </ns0:c>
      <ns0:c r="I11" s="0">
        <ns0:f>IFERROR(IF(AND('_Engine'!$X11=1,ISNUMBER(Settings!$F25),Settings!$F25&gt;0,MID('_Engine'!$AP11,WEEKDAY(Settings!$F25,2),1)="W"),Settings!$F25,0),0)</ns0:f>
        <ns0:v>0</ns0:v>
      </ns0:c>
      <ns0:c r="J11" s="0">
        <ns0:f>IFERROR(IF(AND('_Engine'!$X11=1,ISNUMBER(Settings!$F26),Settings!$F26&gt;0,MID('_Engine'!$AP11,WEEKDAY(Settings!$F26,2),1)="W"),Settings!$F26,0),0)</ns0:f>
        <ns0:v>0</ns0:v>
      </ns0:c>
      <ns0:c r="K11" s="0">
        <ns0:f>IFERROR(IF(AND('_Engine'!$X11=1,ISNUMBER(Settings!$F27),Settings!$F27&gt;0,MID('_Engine'!$AP11,WEEKDAY(Settings!$F27,2),1)="W"),Settings!$F27,0),0)</ns0:f>
        <ns0:v>0</ns0:v>
      </ns0:c>
      <ns0:c r="L11" s="0">
        <ns0:f>IFERROR(IF(AND('_Engine'!$X11=1,ISNUMBER(Settings!$F28),Settings!$F28&gt;0,MID('_Engine'!$AP11,WEEKDAY(Settings!$F28,2),1)="W"),Settings!$F28,0),0)</ns0:f>
        <ns0:v>0</ns0:v>
      </ns0:c>
      <ns0:c r="M11" s="0">
        <ns0:f>IFERROR(IF(AND('_Engine'!$X11=1,ISNUMBER(Settings!$F29),Settings!$F29&gt;0,MID('_Engine'!$AP11,WEEKDAY(Settings!$F29,2),1)="W"),Settings!$F29,0),0)</ns0:f>
        <ns0:v>0</ns0:v>
      </ns0:c>
      <ns0:c r="N11" s="0">
        <ns0:f>IFERROR(IF(AND('_Engine'!$X11=1,ISNUMBER(Settings!$F30),Settings!$F30&gt;0,MID('_Engine'!$AP11,WEEKDAY(Settings!$F30,2),1)="W"),Settings!$F30,0),0)</ns0:f>
        <ns0:v>0</ns0:v>
      </ns0:c>
      <ns0:c r="O11" s="0">
        <ns0:f>IFERROR(IF(AND('_Engine'!$X11=1,ISNUMBER(Settings!$F31),Settings!$F31&gt;0,MID('_Engine'!$AP11,WEEKDAY(Settings!$F31,2),1)="W"),Settings!$F31,0),0)</ns0:f>
        <ns0:v>0</ns0:v>
      </ns0:c>
      <ns0:c r="P11" s="0">
        <ns0:f>IFERROR(IF(AND('_Engine'!$X11=1,ISNUMBER(Settings!$F32),Settings!$F32&gt;0,MID('_Engine'!$AP11,WEEKDAY(Settings!$F32,2),1)="W"),Settings!$F32,0),0)</ns0:f>
        <ns0:v>0</ns0:v>
      </ns0:c>
      <ns0:c r="Q11" s="0">
        <ns0:f>IFERROR(IF(AND('_Engine'!$X11=1,ISNUMBER(Settings!$F33),Settings!$F33&gt;0,MID('_Engine'!$AP11,WEEKDAY(Settings!$F33,2),1)="W"),Settings!$F33,0),0)</ns0:f>
        <ns0:v>0</ns0:v>
      </ns0:c>
      <ns0:c r="R11" s="0">
        <ns0:f>IFERROR(IF(AND('_Engine'!$X11=1,ISNUMBER(Settings!$F34),Settings!$F34&gt;0,MID('_Engine'!$AP11,WEEKDAY(Settings!$F34,2),1)="W"),Settings!$F34,0),0)</ns0:f>
        <ns0:v>0</ns0:v>
      </ns0:c>
      <ns0:c r="S11" s="0">
        <ns0:f>IFERROR(IF(AND('_Engine'!$X11=1,ISNUMBER(Settings!$F35),Settings!$F35&gt;0,MID('_Engine'!$AP11,WEEKDAY(Settings!$F35,2),1)="W"),Settings!$F35,0),0)</ns0:f>
        <ns0:v>0</ns0:v>
      </ns0:c>
      <ns0:c r="T11" s="0">
        <ns0:f>IFERROR(IF(AND('_Engine'!$X11=1,ISNUMBER(Settings!$F36),Settings!$F36&gt;0,MID('_Engine'!$AP11,WEEKDAY(Settings!$F36,2),1)="W"),Settings!$F36,0),0)</ns0:f>
        <ns0:v>0</ns0:v>
      </ns0:c>
      <ns0:c r="U11" s="0">
        <ns0:f>IFERROR(IF(AND('_Engine'!$X11=1,ISNUMBER(Settings!$F37),Settings!$F37&gt;0,MID('_Engine'!$AP11,WEEKDAY(Settings!$F37,2),1)="W"),Settings!$F37,0),0)</ns0:f>
        <ns0:v>0</ns0:v>
      </ns0:c>
      <ns0:c r="V11" s="0">
        <ns0:f>IFERROR(IF(AND('_Engine'!$X11=1,ISNUMBER(Settings!$F38),Settings!$F38&gt;0,MID('_Engine'!$AP11,WEEKDAY(Settings!$F38,2),1)="W"),Settings!$F38,0),0)</ns0:f>
        <ns0:v>0</ns0:v>
      </ns0:c>
      <ns0:c r="W11" s="0">
        <ns0:f>IFERROR(IF(AND('_Engine'!$X11=1,ISNUMBER(Settings!$F39),Settings!$F39&gt;0,MID('_Engine'!$AP11,WEEKDAY(Settings!$F39,2),1)="W"),Settings!$F39,0),0)</ns0:f>
        <ns0:v>0</ns0:v>
      </ns0:c>
      <ns0:c r="X11" s="0">
        <ns0:f>IFERROR(IF(AND('_Engine'!$X11=1,ISNUMBER(Settings!$F40),Settings!$F40&gt;0,MID('_Engine'!$AP11,WEEKDAY(Settings!$F40,2),1)="W"),Settings!$F40,0),0)</ns0:f>
        <ns0:v>0</ns0:v>
      </ns0:c>
      <ns0:c r="Y11" s="0">
        <ns0:f>IFERROR(IF(AND('_Engine'!$X11=1,ISNUMBER(Settings!$F41),Settings!$F41&gt;0,MID('_Engine'!$AP11,WEEKDAY(Settings!$F41,2),1)="W"),Settings!$F41,0),0)</ns0:f>
        <ns0:v>0</ns0:v>
      </ns0:c>
      <ns0:c r="Z11" s="0">
        <ns0:f>IFERROR(IF(AND('_Engine'!$X11=1,ISNUMBER(Settings!$F42),Settings!$F42&gt;0,MID('_Engine'!$AP11,WEEKDAY(Settings!$F42,2),1)="W"),Settings!$F42,0),0)</ns0:f>
        <ns0:v>0</ns0:v>
      </ns0:c>
      <ns0:c r="AA11" s="0">
        <ns0:f>IFERROR(IF(AND('_Engine'!$X11=1,ISNUMBER(Settings!$F43),Settings!$F43&gt;0,MID('_Engine'!$AP11,WEEKDAY(Settings!$F43,2),1)="W"),Settings!$F43,0),0)</ns0:f>
        <ns0:v>0</ns0:v>
      </ns0:c>
      <ns0:c r="AB11" s="0">
        <ns0:f>IFERROR(IF(AND('_Engine'!$X11=1,ISNUMBER(Settings!$F44),Settings!$F44&gt;0,MID('_Engine'!$AP11,WEEKDAY(Settings!$F44,2),1)="W"),Settings!$F44,0),0)</ns0:f>
        <ns0:v>0</ns0:v>
      </ns0:c>
      <ns0:c r="AC11" s="0">
        <ns0:f>IFERROR(IF(AND('_Engine'!$X11=1,ISNUMBER(Settings!$F45),Settings!$F45&gt;0,MID('_Engine'!$AP11,WEEKDAY(Settings!$F45,2),1)="W"),Settings!$F45,0),0)</ns0:f>
        <ns0:v>0</ns0:v>
      </ns0:c>
      <ns0:c r="AD11" s="0">
        <ns0:f>IFERROR(IF(AND('_Engine'!$X11=1,ISNUMBER(Settings!$F46),Settings!$F46&gt;0,MID('_Engine'!$AP11,WEEKDAY(Settings!$F46,2),1)="W"),Settings!$F46,0),0)</ns0:f>
        <ns0:v>0</ns0:v>
      </ns0:c>
      <ns0:c r="AE11" s="0">
        <ns0:f>IFERROR(IF(AND('_Engine'!$X11=1,ISNUMBER(Settings!$F47),Settings!$F47&gt;0,MID('_Engine'!$AP11,WEEKDAY(Settings!$F47,2),1)="W"),Settings!$F47,0),0)</ns0:f>
        <ns0:v>0</ns0:v>
      </ns0:c>
      <ns0:c r="AF11" s="0">
        <ns0:f>IFERROR(IF(AND('_Engine'!$X11=1,ISNUMBER(Settings!$F48),Settings!$F48&gt;0,MID('_Engine'!$AP11,WEEKDAY(Settings!$F48,2),1)="W"),Settings!$F48,0),0)</ns0:f>
        <ns0:v>0</ns0:v>
      </ns0:c>
      <ns0:c r="AG11" s="0">
        <ns0:f>IFERROR(IF(AND('_Engine'!$X11=1,ISNUMBER(Settings!$F49),Settings!$F49&gt;0,MID('_Engine'!$AP11,WEEKDAY(Settings!$F49,2),1)="W"),Settings!$F49,0),0)</ns0:f>
        <ns0:v>0</ns0:v>
      </ns0:c>
      <ns0:c r="AH11" s="0">
        <ns0:f>IFERROR(IF(AND('_Engine'!$X11=1,ISNUMBER(Settings!$F50),Settings!$F50&gt;0,MID('_Engine'!$AP11,WEEKDAY(Settings!$F50,2),1)="W"),Settings!$F50,0),0)</ns0:f>
        <ns0:v>0</ns0:v>
      </ns0:c>
      <ns0:c r="AI11" s="0">
        <ns0:f>IFERROR(IF(AND('_Engine'!$X11=1,ISNUMBER(Settings!$F51),Settings!$F51&gt;0,MID('_Engine'!$AP11,WEEKDAY(Settings!$F51,2),1)="W"),Settings!$F51,0),0)</ns0:f>
        <ns0:v>0</ns0:v>
      </ns0:c>
      <ns0:c r="AJ11" s="0">
        <ns0:f>IFERROR(IF(AND('_Engine'!$X11=1,ISNUMBER(Settings!$F52),Settings!$F52&gt;0,MID('_Engine'!$AP11,WEEKDAY(Settings!$F52,2),1)="W"),Settings!$F52,0),0)</ns0:f>
        <ns0:v>0</ns0:v>
      </ns0:c>
      <ns0:c r="AK11" s="0">
        <ns0:f>IFERROR(IF(AND('_Engine'!$X11=1,ISNUMBER(Settings!$F53),Settings!$F53&gt;0,MID('_Engine'!$AP11,WEEKDAY(Settings!$F53,2),1)="W"),Settings!$F53,0),0)</ns0:f>
        <ns0:v>0</ns0:v>
      </ns0:c>
      <ns0:c r="AL11" s="0">
        <ns0:f>IFERROR(IF(AND('_Engine'!$X11=1,ISNUMBER(Settings!$F54),Settings!$F54&gt;0,MID('_Engine'!$AP11,WEEKDAY(Settings!$F54,2),1)="W"),Settings!$F54,0),0)</ns0:f>
        <ns0:v>0</ns0:v>
      </ns0:c>
      <ns0:c r="AM11" s="0">
        <ns0:f>IFERROR(IF(AND('_Engine'!$X11=1,ISNUMBER(Settings!$F55),Settings!$F55&gt;0,MID('_Engine'!$AP11,WEEKDAY(Settings!$F55,2),1)="W"),Settings!$F55,0),0)</ns0:f>
        <ns0:v>0</ns0:v>
      </ns0:c>
      <ns0:c r="AN11" s="0">
        <ns0:f>IFERROR(IF(AND('_Engine'!$X11=1,ISNUMBER(Settings!$F56),Settings!$F56&gt;0,MID('_Engine'!$AP11,WEEKDAY(Settings!$F56,2),1)="W"),Settings!$F56,0),0)</ns0:f>
        <ns0:v>0</ns0:v>
      </ns0:c>
      <ns0:c r="AO11" s="0">
        <ns0:f>IFERROR(IF(AND('_Engine'!$X11=1,ISNUMBER(Settings!$F57),Settings!$F57&gt;0,MID('_Engine'!$AP11,WEEKDAY(Settings!$F57,2),1)="W"),Settings!$F57,0),0)</ns0:f>
        <ns0:v>0</ns0:v>
      </ns0:c>
      <ns0:c r="AP11" s="0">
        <ns0:f>IFERROR(IF(AND('_Engine'!$X11=1,ISNUMBER(Settings!$F58),Settings!$F58&gt;0,MID('_Engine'!$AP11,WEEKDAY(Settings!$F58,2),1)="W"),Settings!$F58,0),0)</ns0:f>
        <ns0:v>0</ns0:v>
      </ns0:c>
      <ns0:c r="AQ11" s="0">
        <ns0:f>IFERROR(IF(AND('_Engine'!$X11=1,ISNUMBER(Settings!$F59),Settings!$F59&gt;0,MID('_Engine'!$AP11,WEEKDAY(Settings!$F59,2),1)="W"),Settings!$F59,0),0)</ns0:f>
        <ns0:v>0</ns0:v>
      </ns0:c>
      <ns0:c r="AR11" s="0">
        <ns0:f>IFERROR(IF(AND('_Engine'!$X11=1,ISNUMBER(Settings!$F60),Settings!$F60&gt;0,MID('_Engine'!$AP11,WEEKDAY(Settings!$F60,2),1)="W"),Settings!$F60,0),0)</ns0:f>
        <ns0:v>0</ns0:v>
      </ns0:c>
      <ns0:c r="AS11" s="0">
        <ns0:f>IFERROR(IF(AND('_Engine'!$X11=1,ISNUMBER(Settings!$F61),Settings!$F61&gt;0,MID('_Engine'!$AP11,WEEKDAY(Settings!$F61,2),1)="W"),Settings!$F61,0),0)</ns0:f>
        <ns0:v>0</ns0:v>
      </ns0:c>
      <ns0:c r="AT11" s="0">
        <ns0:f>IFERROR(IF(AND('_Engine'!$X11=1,ISNUMBER(Settings!$F62),Settings!$F62&gt;0,MID('_Engine'!$AP11,WEEKDAY(Settings!$F62,2),1)="W"),Settings!$F62,0),0)</ns0:f>
        <ns0:v>0</ns0:v>
      </ns0:c>
      <ns0:c r="AU11" s="0">
        <ns0:f>IFERROR(IF(AND('_Engine'!$X11=1,ISNUMBER(Settings!$F63),Settings!$F63&gt;0,MID('_Engine'!$AP11,WEEKDAY(Settings!$F63,2),1)="W"),Settings!$F63,0),0)</ns0:f>
        <ns0:v>0</ns0:v>
      </ns0:c>
      <ns0:c r="AV11" s="0">
        <ns0:f>IFERROR(IF(AND('_Engine'!$X11=1,ISNUMBER(Settings!$F64),Settings!$F64&gt;0,MID('_Engine'!$AP11,WEEKDAY(Settings!$F64,2),1)="W"),Settings!$F64,0),0)</ns0:f>
        <ns0:v>0</ns0:v>
      </ns0:c>
      <ns0:c r="AW11" s="0">
        <ns0:f>IFERROR(IF(AND('_Engine'!$X11=1,ISNUMBER(Settings!$F65),Settings!$F65&gt;0,MID('_Engine'!$AP11,WEEKDAY(Settings!$F65,2),1)="W"),Settings!$F65,0),0)</ns0:f>
        <ns0:v>0</ns0:v>
      </ns0:c>
      <ns0:c r="AX11" s="0">
        <ns0:f>IFERROR(IF(AND('_Engine'!$X11=1,ISNUMBER(Settings!$F66),Settings!$F66&gt;0,MID('_Engine'!$AP11,WEEKDAY(Settings!$F66,2),1)="W"),Settings!$F66,0),0)</ns0:f>
        <ns0:v>0</ns0:v>
      </ns0:c>
      <ns0:c r="AY11" s="0">
        <ns0:f>IFERROR(IF(AND('_Engine'!$X11=1,ISNUMBER(Settings!$F67),Settings!$F67&gt;0,MID('_Engine'!$AP11,WEEKDAY(Settings!$F67,2),1)="W"),Settings!$F67,0),0)</ns0:f>
        <ns0:v>0</ns0:v>
      </ns0:c>
    </ns0:row>
    <ns0:row r="12">
      <ns0:c r="B12" s="0">
        <ns0:f>IFERROR(IF(AND('_Engine'!$X12=1,ISNUMBER(Settings!$F18),Settings!$F18&gt;0,MID('_Engine'!$AP12,WEEKDAY(Settings!$F18,2),1)="W"),Settings!$F18,0),0)</ns0:f>
        <ns0:v>46591</ns0:v>
      </ns0:c>
      <ns0:c r="C12" s="0">
        <ns0:f>IFERROR(IF(AND('_Engine'!$X12=1,ISNUMBER(Settings!$F19),Settings!$F19&gt;0,MID('_Engine'!$AP12,WEEKDAY(Settings!$F19,2),1)="W"),Settings!$F19,0),0)</ns0:f>
        <ns0:v>0</ns0:v>
      </ns0:c>
      <ns0:c r="D12" s="0">
        <ns0:f>IFERROR(IF(AND('_Engine'!$X12=1,ISNUMBER(Settings!$F20),Settings!$F20&gt;0,MID('_Engine'!$AP12,WEEKDAY(Settings!$F20,2),1)="W"),Settings!$F20,0),0)</ns0:f>
        <ns0:v>0</ns0:v>
      </ns0:c>
      <ns0:c r="E12" s="0">
        <ns0:f>IFERROR(IF(AND('_Engine'!$X12=1,ISNUMBER(Settings!$F21),Settings!$F21&gt;0,MID('_Engine'!$AP12,WEEKDAY(Settings!$F21,2),1)="W"),Settings!$F21,0),0)</ns0:f>
        <ns0:v>0</ns0:v>
      </ns0:c>
      <ns0:c r="F12" s="0">
        <ns0:f>IFERROR(IF(AND('_Engine'!$X12=1,ISNUMBER(Settings!$F22),Settings!$F22&gt;0,MID('_Engine'!$AP12,WEEKDAY(Settings!$F22,2),1)="W"),Settings!$F22,0),0)</ns0:f>
        <ns0:v>0</ns0:v>
      </ns0:c>
      <ns0:c r="G12" s="0">
        <ns0:f>IFERROR(IF(AND('_Engine'!$X12=1,ISNUMBER(Settings!$F23),Settings!$F23&gt;0,MID('_Engine'!$AP12,WEEKDAY(Settings!$F23,2),1)="W"),Settings!$F23,0),0)</ns0:f>
        <ns0:v>0</ns0:v>
      </ns0:c>
      <ns0:c r="H12" s="0">
        <ns0:f>IFERROR(IF(AND('_Engine'!$X12=1,ISNUMBER(Settings!$F24),Settings!$F24&gt;0,MID('_Engine'!$AP12,WEEKDAY(Settings!$F24,2),1)="W"),Settings!$F24,0),0)</ns0:f>
        <ns0:v>0</ns0:v>
      </ns0:c>
      <ns0:c r="I12" s="0">
        <ns0:f>IFERROR(IF(AND('_Engine'!$X12=1,ISNUMBER(Settings!$F25),Settings!$F25&gt;0,MID('_Engine'!$AP12,WEEKDAY(Settings!$F25,2),1)="W"),Settings!$F25,0),0)</ns0:f>
        <ns0:v>0</ns0:v>
      </ns0:c>
      <ns0:c r="J12" s="0">
        <ns0:f>IFERROR(IF(AND('_Engine'!$X12=1,ISNUMBER(Settings!$F26),Settings!$F26&gt;0,MID('_Engine'!$AP12,WEEKDAY(Settings!$F26,2),1)="W"),Settings!$F26,0),0)</ns0:f>
        <ns0:v>0</ns0:v>
      </ns0:c>
      <ns0:c r="K12" s="0">
        <ns0:f>IFERROR(IF(AND('_Engine'!$X12=1,ISNUMBER(Settings!$F27),Settings!$F27&gt;0,MID('_Engine'!$AP12,WEEKDAY(Settings!$F27,2),1)="W"),Settings!$F27,0),0)</ns0:f>
        <ns0:v>0</ns0:v>
      </ns0:c>
      <ns0:c r="L12" s="0">
        <ns0:f>IFERROR(IF(AND('_Engine'!$X12=1,ISNUMBER(Settings!$F28),Settings!$F28&gt;0,MID('_Engine'!$AP12,WEEKDAY(Settings!$F28,2),1)="W"),Settings!$F28,0),0)</ns0:f>
        <ns0:v>0</ns0:v>
      </ns0:c>
      <ns0:c r="M12" s="0">
        <ns0:f>IFERROR(IF(AND('_Engine'!$X12=1,ISNUMBER(Settings!$F29),Settings!$F29&gt;0,MID('_Engine'!$AP12,WEEKDAY(Settings!$F29,2),1)="W"),Settings!$F29,0),0)</ns0:f>
        <ns0:v>0</ns0:v>
      </ns0:c>
      <ns0:c r="N12" s="0">
        <ns0:f>IFERROR(IF(AND('_Engine'!$X12=1,ISNUMBER(Settings!$F30),Settings!$F30&gt;0,MID('_Engine'!$AP12,WEEKDAY(Settings!$F30,2),1)="W"),Settings!$F30,0),0)</ns0:f>
        <ns0:v>0</ns0:v>
      </ns0:c>
      <ns0:c r="O12" s="0">
        <ns0:f>IFERROR(IF(AND('_Engine'!$X12=1,ISNUMBER(Settings!$F31),Settings!$F31&gt;0,MID('_Engine'!$AP12,WEEKDAY(Settings!$F31,2),1)="W"),Settings!$F31,0),0)</ns0:f>
        <ns0:v>0</ns0:v>
      </ns0:c>
      <ns0:c r="P12" s="0">
        <ns0:f>IFERROR(IF(AND('_Engine'!$X12=1,ISNUMBER(Settings!$F32),Settings!$F32&gt;0,MID('_Engine'!$AP12,WEEKDAY(Settings!$F32,2),1)="W"),Settings!$F32,0),0)</ns0:f>
        <ns0:v>0</ns0:v>
      </ns0:c>
      <ns0:c r="Q12" s="0">
        <ns0:f>IFERROR(IF(AND('_Engine'!$X12=1,ISNUMBER(Settings!$F33),Settings!$F33&gt;0,MID('_Engine'!$AP12,WEEKDAY(Settings!$F33,2),1)="W"),Settings!$F33,0),0)</ns0:f>
        <ns0:v>0</ns0:v>
      </ns0:c>
      <ns0:c r="R12" s="0">
        <ns0:f>IFERROR(IF(AND('_Engine'!$X12=1,ISNUMBER(Settings!$F34),Settings!$F34&gt;0,MID('_Engine'!$AP12,WEEKDAY(Settings!$F34,2),1)="W"),Settings!$F34,0),0)</ns0:f>
        <ns0:v>0</ns0:v>
      </ns0:c>
      <ns0:c r="S12" s="0">
        <ns0:f>IFERROR(IF(AND('_Engine'!$X12=1,ISNUMBER(Settings!$F35),Settings!$F35&gt;0,MID('_Engine'!$AP12,WEEKDAY(Settings!$F35,2),1)="W"),Settings!$F35,0),0)</ns0:f>
        <ns0:v>0</ns0:v>
      </ns0:c>
      <ns0:c r="T12" s="0">
        <ns0:f>IFERROR(IF(AND('_Engine'!$X12=1,ISNUMBER(Settings!$F36),Settings!$F36&gt;0,MID('_Engine'!$AP12,WEEKDAY(Settings!$F36,2),1)="W"),Settings!$F36,0),0)</ns0:f>
        <ns0:v>0</ns0:v>
      </ns0:c>
      <ns0:c r="U12" s="0">
        <ns0:f>IFERROR(IF(AND('_Engine'!$X12=1,ISNUMBER(Settings!$F37),Settings!$F37&gt;0,MID('_Engine'!$AP12,WEEKDAY(Settings!$F37,2),1)="W"),Settings!$F37,0),0)</ns0:f>
        <ns0:v>0</ns0:v>
      </ns0:c>
      <ns0:c r="V12" s="0">
        <ns0:f>IFERROR(IF(AND('_Engine'!$X12=1,ISNUMBER(Settings!$F38),Settings!$F38&gt;0,MID('_Engine'!$AP12,WEEKDAY(Settings!$F38,2),1)="W"),Settings!$F38,0),0)</ns0:f>
        <ns0:v>0</ns0:v>
      </ns0:c>
      <ns0:c r="W12" s="0">
        <ns0:f>IFERROR(IF(AND('_Engine'!$X12=1,ISNUMBER(Settings!$F39),Settings!$F39&gt;0,MID('_Engine'!$AP12,WEEKDAY(Settings!$F39,2),1)="W"),Settings!$F39,0),0)</ns0:f>
        <ns0:v>0</ns0:v>
      </ns0:c>
      <ns0:c r="X12" s="0">
        <ns0:f>IFERROR(IF(AND('_Engine'!$X12=1,ISNUMBER(Settings!$F40),Settings!$F40&gt;0,MID('_Engine'!$AP12,WEEKDAY(Settings!$F40,2),1)="W"),Settings!$F40,0),0)</ns0:f>
        <ns0:v>0</ns0:v>
      </ns0:c>
      <ns0:c r="Y12" s="0">
        <ns0:f>IFERROR(IF(AND('_Engine'!$X12=1,ISNUMBER(Settings!$F41),Settings!$F41&gt;0,MID('_Engine'!$AP12,WEEKDAY(Settings!$F41,2),1)="W"),Settings!$F41,0),0)</ns0:f>
        <ns0:v>0</ns0:v>
      </ns0:c>
      <ns0:c r="Z12" s="0">
        <ns0:f>IFERROR(IF(AND('_Engine'!$X12=1,ISNUMBER(Settings!$F42),Settings!$F42&gt;0,MID('_Engine'!$AP12,WEEKDAY(Settings!$F42,2),1)="W"),Settings!$F42,0),0)</ns0:f>
        <ns0:v>0</ns0:v>
      </ns0:c>
      <ns0:c r="AA12" s="0">
        <ns0:f>IFERROR(IF(AND('_Engine'!$X12=1,ISNUMBER(Settings!$F43),Settings!$F43&gt;0,MID('_Engine'!$AP12,WEEKDAY(Settings!$F43,2),1)="W"),Settings!$F43,0),0)</ns0:f>
        <ns0:v>0</ns0:v>
      </ns0:c>
      <ns0:c r="AB12" s="0">
        <ns0:f>IFERROR(IF(AND('_Engine'!$X12=1,ISNUMBER(Settings!$F44),Settings!$F44&gt;0,MID('_Engine'!$AP12,WEEKDAY(Settings!$F44,2),1)="W"),Settings!$F44,0),0)</ns0:f>
        <ns0:v>0</ns0:v>
      </ns0:c>
      <ns0:c r="AC12" s="0">
        <ns0:f>IFERROR(IF(AND('_Engine'!$X12=1,ISNUMBER(Settings!$F45),Settings!$F45&gt;0,MID('_Engine'!$AP12,WEEKDAY(Settings!$F45,2),1)="W"),Settings!$F45,0),0)</ns0:f>
        <ns0:v>0</ns0:v>
      </ns0:c>
      <ns0:c r="AD12" s="0">
        <ns0:f>IFERROR(IF(AND('_Engine'!$X12=1,ISNUMBER(Settings!$F46),Settings!$F46&gt;0,MID('_Engine'!$AP12,WEEKDAY(Settings!$F46,2),1)="W"),Settings!$F46,0),0)</ns0:f>
        <ns0:v>0</ns0:v>
      </ns0:c>
      <ns0:c r="AE12" s="0">
        <ns0:f>IFERROR(IF(AND('_Engine'!$X12=1,ISNUMBER(Settings!$F47),Settings!$F47&gt;0,MID('_Engine'!$AP12,WEEKDAY(Settings!$F47,2),1)="W"),Settings!$F47,0),0)</ns0:f>
        <ns0:v>0</ns0:v>
      </ns0:c>
      <ns0:c r="AF12" s="0">
        <ns0:f>IFERROR(IF(AND('_Engine'!$X12=1,ISNUMBER(Settings!$F48),Settings!$F48&gt;0,MID('_Engine'!$AP12,WEEKDAY(Settings!$F48,2),1)="W"),Settings!$F48,0),0)</ns0:f>
        <ns0:v>0</ns0:v>
      </ns0:c>
      <ns0:c r="AG12" s="0">
        <ns0:f>IFERROR(IF(AND('_Engine'!$X12=1,ISNUMBER(Settings!$F49),Settings!$F49&gt;0,MID('_Engine'!$AP12,WEEKDAY(Settings!$F49,2),1)="W"),Settings!$F49,0),0)</ns0:f>
        <ns0:v>0</ns0:v>
      </ns0:c>
      <ns0:c r="AH12" s="0">
        <ns0:f>IFERROR(IF(AND('_Engine'!$X12=1,ISNUMBER(Settings!$F50),Settings!$F50&gt;0,MID('_Engine'!$AP12,WEEKDAY(Settings!$F50,2),1)="W"),Settings!$F50,0),0)</ns0:f>
        <ns0:v>0</ns0:v>
      </ns0:c>
      <ns0:c r="AI12" s="0">
        <ns0:f>IFERROR(IF(AND('_Engine'!$X12=1,ISNUMBER(Settings!$F51),Settings!$F51&gt;0,MID('_Engine'!$AP12,WEEKDAY(Settings!$F51,2),1)="W"),Settings!$F51,0),0)</ns0:f>
        <ns0:v>0</ns0:v>
      </ns0:c>
      <ns0:c r="AJ12" s="0">
        <ns0:f>IFERROR(IF(AND('_Engine'!$X12=1,ISNUMBER(Settings!$F52),Settings!$F52&gt;0,MID('_Engine'!$AP12,WEEKDAY(Settings!$F52,2),1)="W"),Settings!$F52,0),0)</ns0:f>
        <ns0:v>0</ns0:v>
      </ns0:c>
      <ns0:c r="AK12" s="0">
        <ns0:f>IFERROR(IF(AND('_Engine'!$X12=1,ISNUMBER(Settings!$F53),Settings!$F53&gt;0,MID('_Engine'!$AP12,WEEKDAY(Settings!$F53,2),1)="W"),Settings!$F53,0),0)</ns0:f>
        <ns0:v>0</ns0:v>
      </ns0:c>
      <ns0:c r="AL12" s="0">
        <ns0:f>IFERROR(IF(AND('_Engine'!$X12=1,ISNUMBER(Settings!$F54),Settings!$F54&gt;0,MID('_Engine'!$AP12,WEEKDAY(Settings!$F54,2),1)="W"),Settings!$F54,0),0)</ns0:f>
        <ns0:v>0</ns0:v>
      </ns0:c>
      <ns0:c r="AM12" s="0">
        <ns0:f>IFERROR(IF(AND('_Engine'!$X12=1,ISNUMBER(Settings!$F55),Settings!$F55&gt;0,MID('_Engine'!$AP12,WEEKDAY(Settings!$F55,2),1)="W"),Settings!$F55,0),0)</ns0:f>
        <ns0:v>0</ns0:v>
      </ns0:c>
      <ns0:c r="AN12" s="0">
        <ns0:f>IFERROR(IF(AND('_Engine'!$X12=1,ISNUMBER(Settings!$F56),Settings!$F56&gt;0,MID('_Engine'!$AP12,WEEKDAY(Settings!$F56,2),1)="W"),Settings!$F56,0),0)</ns0:f>
        <ns0:v>0</ns0:v>
      </ns0:c>
      <ns0:c r="AO12" s="0">
        <ns0:f>IFERROR(IF(AND('_Engine'!$X12=1,ISNUMBER(Settings!$F57),Settings!$F57&gt;0,MID('_Engine'!$AP12,WEEKDAY(Settings!$F57,2),1)="W"),Settings!$F57,0),0)</ns0:f>
        <ns0:v>0</ns0:v>
      </ns0:c>
      <ns0:c r="AP12" s="0">
        <ns0:f>IFERROR(IF(AND('_Engine'!$X12=1,ISNUMBER(Settings!$F58),Settings!$F58&gt;0,MID('_Engine'!$AP12,WEEKDAY(Settings!$F58,2),1)="W"),Settings!$F58,0),0)</ns0:f>
        <ns0:v>0</ns0:v>
      </ns0:c>
      <ns0:c r="AQ12" s="0">
        <ns0:f>IFERROR(IF(AND('_Engine'!$X12=1,ISNUMBER(Settings!$F59),Settings!$F59&gt;0,MID('_Engine'!$AP12,WEEKDAY(Settings!$F59,2),1)="W"),Settings!$F59,0),0)</ns0:f>
        <ns0:v>0</ns0:v>
      </ns0:c>
      <ns0:c r="AR12" s="0">
        <ns0:f>IFERROR(IF(AND('_Engine'!$X12=1,ISNUMBER(Settings!$F60),Settings!$F60&gt;0,MID('_Engine'!$AP12,WEEKDAY(Settings!$F60,2),1)="W"),Settings!$F60,0),0)</ns0:f>
        <ns0:v>0</ns0:v>
      </ns0:c>
      <ns0:c r="AS12" s="0">
        <ns0:f>IFERROR(IF(AND('_Engine'!$X12=1,ISNUMBER(Settings!$F61),Settings!$F61&gt;0,MID('_Engine'!$AP12,WEEKDAY(Settings!$F61,2),1)="W"),Settings!$F61,0),0)</ns0:f>
        <ns0:v>0</ns0:v>
      </ns0:c>
      <ns0:c r="AT12" s="0">
        <ns0:f>IFERROR(IF(AND('_Engine'!$X12=1,ISNUMBER(Settings!$F62),Settings!$F62&gt;0,MID('_Engine'!$AP12,WEEKDAY(Settings!$F62,2),1)="W"),Settings!$F62,0),0)</ns0:f>
        <ns0:v>0</ns0:v>
      </ns0:c>
      <ns0:c r="AU12" s="0">
        <ns0:f>IFERROR(IF(AND('_Engine'!$X12=1,ISNUMBER(Settings!$F63),Settings!$F63&gt;0,MID('_Engine'!$AP12,WEEKDAY(Settings!$F63,2),1)="W"),Settings!$F63,0),0)</ns0:f>
        <ns0:v>0</ns0:v>
      </ns0:c>
      <ns0:c r="AV12" s="0">
        <ns0:f>IFERROR(IF(AND('_Engine'!$X12=1,ISNUMBER(Settings!$F64),Settings!$F64&gt;0,MID('_Engine'!$AP12,WEEKDAY(Settings!$F64,2),1)="W"),Settings!$F64,0),0)</ns0:f>
        <ns0:v>0</ns0:v>
      </ns0:c>
      <ns0:c r="AW12" s="0">
        <ns0:f>IFERROR(IF(AND('_Engine'!$X12=1,ISNUMBER(Settings!$F65),Settings!$F65&gt;0,MID('_Engine'!$AP12,WEEKDAY(Settings!$F65,2),1)="W"),Settings!$F65,0),0)</ns0:f>
        <ns0:v>0</ns0:v>
      </ns0:c>
      <ns0:c r="AX12" s="0">
        <ns0:f>IFERROR(IF(AND('_Engine'!$X12=1,ISNUMBER(Settings!$F66),Settings!$F66&gt;0,MID('_Engine'!$AP12,WEEKDAY(Settings!$F66,2),1)="W"),Settings!$F66,0),0)</ns0:f>
        <ns0:v>0</ns0:v>
      </ns0:c>
      <ns0:c r="AY12" s="0">
        <ns0:f>IFERROR(IF(AND('_Engine'!$X12=1,ISNUMBER(Settings!$F67),Settings!$F67&gt;0,MID('_Engine'!$AP12,WEEKDAY(Settings!$F67,2),1)="W"),Settings!$F67,0),0)</ns0:f>
        <ns0:v>0</ns0:v>
      </ns0:c>
    </ns0:row>
    <ns0:row r="13">
      <ns0:c r="B13" s="0">
        <ns0:f>IFERROR(IF(AND('_Engine'!$X13=1,ISNUMBER(Settings!$F18),Settings!$F18&gt;0,MID('_Engine'!$AP13,WEEKDAY(Settings!$F18,2),1)="W"),Settings!$F18,0),0)</ns0:f>
        <ns0:v>0</ns0:v>
      </ns0:c>
      <ns0:c r="C13" s="0">
        <ns0:f>IFERROR(IF(AND('_Engine'!$X13=1,ISNUMBER(Settings!$F19),Settings!$F19&gt;0,MID('_Engine'!$AP13,WEEKDAY(Settings!$F19,2),1)="W"),Settings!$F19,0),0)</ns0:f>
        <ns0:v>0</ns0:v>
      </ns0:c>
      <ns0:c r="D13" s="0">
        <ns0:f>IFERROR(IF(AND('_Engine'!$X13=1,ISNUMBER(Settings!$F20),Settings!$F20&gt;0,MID('_Engine'!$AP13,WEEKDAY(Settings!$F20,2),1)="W"),Settings!$F20,0),0)</ns0:f>
        <ns0:v>0</ns0:v>
      </ns0:c>
      <ns0:c r="E13" s="0">
        <ns0:f>IFERROR(IF(AND('_Engine'!$X13=1,ISNUMBER(Settings!$F21),Settings!$F21&gt;0,MID('_Engine'!$AP13,WEEKDAY(Settings!$F21,2),1)="W"),Settings!$F21,0),0)</ns0:f>
        <ns0:v>0</ns0:v>
      </ns0:c>
      <ns0:c r="F13" s="0">
        <ns0:f>IFERROR(IF(AND('_Engine'!$X13=1,ISNUMBER(Settings!$F22),Settings!$F22&gt;0,MID('_Engine'!$AP13,WEEKDAY(Settings!$F22,2),1)="W"),Settings!$F22,0),0)</ns0:f>
        <ns0:v>0</ns0:v>
      </ns0:c>
      <ns0:c r="G13" s="0">
        <ns0:f>IFERROR(IF(AND('_Engine'!$X13=1,ISNUMBER(Settings!$F23),Settings!$F23&gt;0,MID('_Engine'!$AP13,WEEKDAY(Settings!$F23,2),1)="W"),Settings!$F23,0),0)</ns0:f>
        <ns0:v>0</ns0:v>
      </ns0:c>
      <ns0:c r="H13" s="0">
        <ns0:f>IFERROR(IF(AND('_Engine'!$X13=1,ISNUMBER(Settings!$F24),Settings!$F24&gt;0,MID('_Engine'!$AP13,WEEKDAY(Settings!$F24,2),1)="W"),Settings!$F24,0),0)</ns0:f>
        <ns0:v>0</ns0:v>
      </ns0:c>
      <ns0:c r="I13" s="0">
        <ns0:f>IFERROR(IF(AND('_Engine'!$X13=1,ISNUMBER(Settings!$F25),Settings!$F25&gt;0,MID('_Engine'!$AP13,WEEKDAY(Settings!$F25,2),1)="W"),Settings!$F25,0),0)</ns0:f>
        <ns0:v>0</ns0:v>
      </ns0:c>
      <ns0:c r="J13" s="0">
        <ns0:f>IFERROR(IF(AND('_Engine'!$X13=1,ISNUMBER(Settings!$F26),Settings!$F26&gt;0,MID('_Engine'!$AP13,WEEKDAY(Settings!$F26,2),1)="W"),Settings!$F26,0),0)</ns0:f>
        <ns0:v>0</ns0:v>
      </ns0:c>
      <ns0:c r="K13" s="0">
        <ns0:f>IFERROR(IF(AND('_Engine'!$X13=1,ISNUMBER(Settings!$F27),Settings!$F27&gt;0,MID('_Engine'!$AP13,WEEKDAY(Settings!$F27,2),1)="W"),Settings!$F27,0),0)</ns0:f>
        <ns0:v>0</ns0:v>
      </ns0:c>
      <ns0:c r="L13" s="0">
        <ns0:f>IFERROR(IF(AND('_Engine'!$X13=1,ISNUMBER(Settings!$F28),Settings!$F28&gt;0,MID('_Engine'!$AP13,WEEKDAY(Settings!$F28,2),1)="W"),Settings!$F28,0),0)</ns0:f>
        <ns0:v>0</ns0:v>
      </ns0:c>
      <ns0:c r="M13" s="0">
        <ns0:f>IFERROR(IF(AND('_Engine'!$X13=1,ISNUMBER(Settings!$F29),Settings!$F29&gt;0,MID('_Engine'!$AP13,WEEKDAY(Settings!$F29,2),1)="W"),Settings!$F29,0),0)</ns0:f>
        <ns0:v>0</ns0:v>
      </ns0:c>
      <ns0:c r="N13" s="0">
        <ns0:f>IFERROR(IF(AND('_Engine'!$X13=1,ISNUMBER(Settings!$F30),Settings!$F30&gt;0,MID('_Engine'!$AP13,WEEKDAY(Settings!$F30,2),1)="W"),Settings!$F30,0),0)</ns0:f>
        <ns0:v>0</ns0:v>
      </ns0:c>
      <ns0:c r="O13" s="0">
        <ns0:f>IFERROR(IF(AND('_Engine'!$X13=1,ISNUMBER(Settings!$F31),Settings!$F31&gt;0,MID('_Engine'!$AP13,WEEKDAY(Settings!$F31,2),1)="W"),Settings!$F31,0),0)</ns0:f>
        <ns0:v>0</ns0:v>
      </ns0:c>
      <ns0:c r="P13" s="0">
        <ns0:f>IFERROR(IF(AND('_Engine'!$X13=1,ISNUMBER(Settings!$F32),Settings!$F32&gt;0,MID('_Engine'!$AP13,WEEKDAY(Settings!$F32,2),1)="W"),Settings!$F32,0),0)</ns0:f>
        <ns0:v>0</ns0:v>
      </ns0:c>
      <ns0:c r="Q13" s="0">
        <ns0:f>IFERROR(IF(AND('_Engine'!$X13=1,ISNUMBER(Settings!$F33),Settings!$F33&gt;0,MID('_Engine'!$AP13,WEEKDAY(Settings!$F33,2),1)="W"),Settings!$F33,0),0)</ns0:f>
        <ns0:v>0</ns0:v>
      </ns0:c>
      <ns0:c r="R13" s="0">
        <ns0:f>IFERROR(IF(AND('_Engine'!$X13=1,ISNUMBER(Settings!$F34),Settings!$F34&gt;0,MID('_Engine'!$AP13,WEEKDAY(Settings!$F34,2),1)="W"),Settings!$F34,0),0)</ns0:f>
        <ns0:v>0</ns0:v>
      </ns0:c>
      <ns0:c r="S13" s="0">
        <ns0:f>IFERROR(IF(AND('_Engine'!$X13=1,ISNUMBER(Settings!$F35),Settings!$F35&gt;0,MID('_Engine'!$AP13,WEEKDAY(Settings!$F35,2),1)="W"),Settings!$F35,0),0)</ns0:f>
        <ns0:v>0</ns0:v>
      </ns0:c>
      <ns0:c r="T13" s="0">
        <ns0:f>IFERROR(IF(AND('_Engine'!$X13=1,ISNUMBER(Settings!$F36),Settings!$F36&gt;0,MID('_Engine'!$AP13,WEEKDAY(Settings!$F36,2),1)="W"),Settings!$F36,0),0)</ns0:f>
        <ns0:v>0</ns0:v>
      </ns0:c>
      <ns0:c r="U13" s="0">
        <ns0:f>IFERROR(IF(AND('_Engine'!$X13=1,ISNUMBER(Settings!$F37),Settings!$F37&gt;0,MID('_Engine'!$AP13,WEEKDAY(Settings!$F37,2),1)="W"),Settings!$F37,0),0)</ns0:f>
        <ns0:v>0</ns0:v>
      </ns0:c>
      <ns0:c r="V13" s="0">
        <ns0:f>IFERROR(IF(AND('_Engine'!$X13=1,ISNUMBER(Settings!$F38),Settings!$F38&gt;0,MID('_Engine'!$AP13,WEEKDAY(Settings!$F38,2),1)="W"),Settings!$F38,0),0)</ns0:f>
        <ns0:v>0</ns0:v>
      </ns0:c>
      <ns0:c r="W13" s="0">
        <ns0:f>IFERROR(IF(AND('_Engine'!$X13=1,ISNUMBER(Settings!$F39),Settings!$F39&gt;0,MID('_Engine'!$AP13,WEEKDAY(Settings!$F39,2),1)="W"),Settings!$F39,0),0)</ns0:f>
        <ns0:v>0</ns0:v>
      </ns0:c>
      <ns0:c r="X13" s="0">
        <ns0:f>IFERROR(IF(AND('_Engine'!$X13=1,ISNUMBER(Settings!$F40),Settings!$F40&gt;0,MID('_Engine'!$AP13,WEEKDAY(Settings!$F40,2),1)="W"),Settings!$F40,0),0)</ns0:f>
        <ns0:v>0</ns0:v>
      </ns0:c>
      <ns0:c r="Y13" s="0">
        <ns0:f>IFERROR(IF(AND('_Engine'!$X13=1,ISNUMBER(Settings!$F41),Settings!$F41&gt;0,MID('_Engine'!$AP13,WEEKDAY(Settings!$F41,2),1)="W"),Settings!$F41,0),0)</ns0:f>
        <ns0:v>0</ns0:v>
      </ns0:c>
      <ns0:c r="Z13" s="0">
        <ns0:f>IFERROR(IF(AND('_Engine'!$X13=1,ISNUMBER(Settings!$F42),Settings!$F42&gt;0,MID('_Engine'!$AP13,WEEKDAY(Settings!$F42,2),1)="W"),Settings!$F42,0),0)</ns0:f>
        <ns0:v>0</ns0:v>
      </ns0:c>
      <ns0:c r="AA13" s="0">
        <ns0:f>IFERROR(IF(AND('_Engine'!$X13=1,ISNUMBER(Settings!$F43),Settings!$F43&gt;0,MID('_Engine'!$AP13,WEEKDAY(Settings!$F43,2),1)="W"),Settings!$F43,0),0)</ns0:f>
        <ns0:v>0</ns0:v>
      </ns0:c>
      <ns0:c r="AB13" s="0">
        <ns0:f>IFERROR(IF(AND('_Engine'!$X13=1,ISNUMBER(Settings!$F44),Settings!$F44&gt;0,MID('_Engine'!$AP13,WEEKDAY(Settings!$F44,2),1)="W"),Settings!$F44,0),0)</ns0:f>
        <ns0:v>0</ns0:v>
      </ns0:c>
      <ns0:c r="AC13" s="0">
        <ns0:f>IFERROR(IF(AND('_Engine'!$X13=1,ISNUMBER(Settings!$F45),Settings!$F45&gt;0,MID('_Engine'!$AP13,WEEKDAY(Settings!$F45,2),1)="W"),Settings!$F45,0),0)</ns0:f>
        <ns0:v>0</ns0:v>
      </ns0:c>
      <ns0:c r="AD13" s="0">
        <ns0:f>IFERROR(IF(AND('_Engine'!$X13=1,ISNUMBER(Settings!$F46),Settings!$F46&gt;0,MID('_Engine'!$AP13,WEEKDAY(Settings!$F46,2),1)="W"),Settings!$F46,0),0)</ns0:f>
        <ns0:v>0</ns0:v>
      </ns0:c>
      <ns0:c r="AE13" s="0">
        <ns0:f>IFERROR(IF(AND('_Engine'!$X13=1,ISNUMBER(Settings!$F47),Settings!$F47&gt;0,MID('_Engine'!$AP13,WEEKDAY(Settings!$F47,2),1)="W"),Settings!$F47,0),0)</ns0:f>
        <ns0:v>0</ns0:v>
      </ns0:c>
      <ns0:c r="AF13" s="0">
        <ns0:f>IFERROR(IF(AND('_Engine'!$X13=1,ISNUMBER(Settings!$F48),Settings!$F48&gt;0,MID('_Engine'!$AP13,WEEKDAY(Settings!$F48,2),1)="W"),Settings!$F48,0),0)</ns0:f>
        <ns0:v>0</ns0:v>
      </ns0:c>
      <ns0:c r="AG13" s="0">
        <ns0:f>IFERROR(IF(AND('_Engine'!$X13=1,ISNUMBER(Settings!$F49),Settings!$F49&gt;0,MID('_Engine'!$AP13,WEEKDAY(Settings!$F49,2),1)="W"),Settings!$F49,0),0)</ns0:f>
        <ns0:v>0</ns0:v>
      </ns0:c>
      <ns0:c r="AH13" s="0">
        <ns0:f>IFERROR(IF(AND('_Engine'!$X13=1,ISNUMBER(Settings!$F50),Settings!$F50&gt;0,MID('_Engine'!$AP13,WEEKDAY(Settings!$F50,2),1)="W"),Settings!$F50,0),0)</ns0:f>
        <ns0:v>0</ns0:v>
      </ns0:c>
      <ns0:c r="AI13" s="0">
        <ns0:f>IFERROR(IF(AND('_Engine'!$X13=1,ISNUMBER(Settings!$F51),Settings!$F51&gt;0,MID('_Engine'!$AP13,WEEKDAY(Settings!$F51,2),1)="W"),Settings!$F51,0),0)</ns0:f>
        <ns0:v>0</ns0:v>
      </ns0:c>
      <ns0:c r="AJ13" s="0">
        <ns0:f>IFERROR(IF(AND('_Engine'!$X13=1,ISNUMBER(Settings!$F52),Settings!$F52&gt;0,MID('_Engine'!$AP13,WEEKDAY(Settings!$F52,2),1)="W"),Settings!$F52,0),0)</ns0:f>
        <ns0:v>0</ns0:v>
      </ns0:c>
      <ns0:c r="AK13" s="0">
        <ns0:f>IFERROR(IF(AND('_Engine'!$X13=1,ISNUMBER(Settings!$F53),Settings!$F53&gt;0,MID('_Engine'!$AP13,WEEKDAY(Settings!$F53,2),1)="W"),Settings!$F53,0),0)</ns0:f>
        <ns0:v>0</ns0:v>
      </ns0:c>
      <ns0:c r="AL13" s="0">
        <ns0:f>IFERROR(IF(AND('_Engine'!$X13=1,ISNUMBER(Settings!$F54),Settings!$F54&gt;0,MID('_Engine'!$AP13,WEEKDAY(Settings!$F54,2),1)="W"),Settings!$F54,0),0)</ns0:f>
        <ns0:v>0</ns0:v>
      </ns0:c>
      <ns0:c r="AM13" s="0">
        <ns0:f>IFERROR(IF(AND('_Engine'!$X13=1,ISNUMBER(Settings!$F55),Settings!$F55&gt;0,MID('_Engine'!$AP13,WEEKDAY(Settings!$F55,2),1)="W"),Settings!$F55,0),0)</ns0:f>
        <ns0:v>0</ns0:v>
      </ns0:c>
      <ns0:c r="AN13" s="0">
        <ns0:f>IFERROR(IF(AND('_Engine'!$X13=1,ISNUMBER(Settings!$F56),Settings!$F56&gt;0,MID('_Engine'!$AP13,WEEKDAY(Settings!$F56,2),1)="W"),Settings!$F56,0),0)</ns0:f>
        <ns0:v>0</ns0:v>
      </ns0:c>
      <ns0:c r="AO13" s="0">
        <ns0:f>IFERROR(IF(AND('_Engine'!$X13=1,ISNUMBER(Settings!$F57),Settings!$F57&gt;0,MID('_Engine'!$AP13,WEEKDAY(Settings!$F57,2),1)="W"),Settings!$F57,0),0)</ns0:f>
        <ns0:v>0</ns0:v>
      </ns0:c>
      <ns0:c r="AP13" s="0">
        <ns0:f>IFERROR(IF(AND('_Engine'!$X13=1,ISNUMBER(Settings!$F58),Settings!$F58&gt;0,MID('_Engine'!$AP13,WEEKDAY(Settings!$F58,2),1)="W"),Settings!$F58,0),0)</ns0:f>
        <ns0:v>0</ns0:v>
      </ns0:c>
      <ns0:c r="AQ13" s="0">
        <ns0:f>IFERROR(IF(AND('_Engine'!$X13=1,ISNUMBER(Settings!$F59),Settings!$F59&gt;0,MID('_Engine'!$AP13,WEEKDAY(Settings!$F59,2),1)="W"),Settings!$F59,0),0)</ns0:f>
        <ns0:v>0</ns0:v>
      </ns0:c>
      <ns0:c r="AR13" s="0">
        <ns0:f>IFERROR(IF(AND('_Engine'!$X13=1,ISNUMBER(Settings!$F60),Settings!$F60&gt;0,MID('_Engine'!$AP13,WEEKDAY(Settings!$F60,2),1)="W"),Settings!$F60,0),0)</ns0:f>
        <ns0:v>0</ns0:v>
      </ns0:c>
      <ns0:c r="AS13" s="0">
        <ns0:f>IFERROR(IF(AND('_Engine'!$X13=1,ISNUMBER(Settings!$F61),Settings!$F61&gt;0,MID('_Engine'!$AP13,WEEKDAY(Settings!$F61,2),1)="W"),Settings!$F61,0),0)</ns0:f>
        <ns0:v>0</ns0:v>
      </ns0:c>
      <ns0:c r="AT13" s="0">
        <ns0:f>IFERROR(IF(AND('_Engine'!$X13=1,ISNUMBER(Settings!$F62),Settings!$F62&gt;0,MID('_Engine'!$AP13,WEEKDAY(Settings!$F62,2),1)="W"),Settings!$F62,0),0)</ns0:f>
        <ns0:v>0</ns0:v>
      </ns0:c>
      <ns0:c r="AU13" s="0">
        <ns0:f>IFERROR(IF(AND('_Engine'!$X13=1,ISNUMBER(Settings!$F63),Settings!$F63&gt;0,MID('_Engine'!$AP13,WEEKDAY(Settings!$F63,2),1)="W"),Settings!$F63,0),0)</ns0:f>
        <ns0:v>0</ns0:v>
      </ns0:c>
      <ns0:c r="AV13" s="0">
        <ns0:f>IFERROR(IF(AND('_Engine'!$X13=1,ISNUMBER(Settings!$F64),Settings!$F64&gt;0,MID('_Engine'!$AP13,WEEKDAY(Settings!$F64,2),1)="W"),Settings!$F64,0),0)</ns0:f>
        <ns0:v>0</ns0:v>
      </ns0:c>
      <ns0:c r="AW13" s="0">
        <ns0:f>IFERROR(IF(AND('_Engine'!$X13=1,ISNUMBER(Settings!$F65),Settings!$F65&gt;0,MID('_Engine'!$AP13,WEEKDAY(Settings!$F65,2),1)="W"),Settings!$F65,0),0)</ns0:f>
        <ns0:v>0</ns0:v>
      </ns0:c>
      <ns0:c r="AX13" s="0">
        <ns0:f>IFERROR(IF(AND('_Engine'!$X13=1,ISNUMBER(Settings!$F66),Settings!$F66&gt;0,MID('_Engine'!$AP13,WEEKDAY(Settings!$F66,2),1)="W"),Settings!$F66,0),0)</ns0:f>
        <ns0:v>0</ns0:v>
      </ns0:c>
      <ns0:c r="AY13" s="0">
        <ns0:f>IFERROR(IF(AND('_Engine'!$X13=1,ISNUMBER(Settings!$F67),Settings!$F67&gt;0,MID('_Engine'!$AP13,WEEKDAY(Settings!$F67,2),1)="W"),Settings!$F67,0),0)</ns0:f>
        <ns0:v>0</ns0:v>
      </ns0:c>
    </ns0:row>
    <ns0:row r="14">
      <ns0:c r="B14" s="0">
        <ns0:f>IFERROR(IF(AND('_Engine'!$X14=1,ISNUMBER(Settings!$F18),Settings!$F18&gt;0,MID('_Engine'!$AP14,WEEKDAY(Settings!$F18,2),1)="W"),Settings!$F18,0),0)</ns0:f>
        <ns0:v>46591</ns0:v>
      </ns0:c>
      <ns0:c r="C14" s="0">
        <ns0:f>IFERROR(IF(AND('_Engine'!$X14=1,ISNUMBER(Settings!$F19),Settings!$F19&gt;0,MID('_Engine'!$AP14,WEEKDAY(Settings!$F19,2),1)="W"),Settings!$F19,0),0)</ns0:f>
        <ns0:v>0</ns0:v>
      </ns0:c>
      <ns0:c r="D14" s="0">
        <ns0:f>IFERROR(IF(AND('_Engine'!$X14=1,ISNUMBER(Settings!$F20),Settings!$F20&gt;0,MID('_Engine'!$AP14,WEEKDAY(Settings!$F20,2),1)="W"),Settings!$F20,0),0)</ns0:f>
        <ns0:v>0</ns0:v>
      </ns0:c>
      <ns0:c r="E14" s="0">
        <ns0:f>IFERROR(IF(AND('_Engine'!$X14=1,ISNUMBER(Settings!$F21),Settings!$F21&gt;0,MID('_Engine'!$AP14,WEEKDAY(Settings!$F21,2),1)="W"),Settings!$F21,0),0)</ns0:f>
        <ns0:v>0</ns0:v>
      </ns0:c>
      <ns0:c r="F14" s="0">
        <ns0:f>IFERROR(IF(AND('_Engine'!$X14=1,ISNUMBER(Settings!$F22),Settings!$F22&gt;0,MID('_Engine'!$AP14,WEEKDAY(Settings!$F22,2),1)="W"),Settings!$F22,0),0)</ns0:f>
        <ns0:v>0</ns0:v>
      </ns0:c>
      <ns0:c r="G14" s="0">
        <ns0:f>IFERROR(IF(AND('_Engine'!$X14=1,ISNUMBER(Settings!$F23),Settings!$F23&gt;0,MID('_Engine'!$AP14,WEEKDAY(Settings!$F23,2),1)="W"),Settings!$F23,0),0)</ns0:f>
        <ns0:v>0</ns0:v>
      </ns0:c>
      <ns0:c r="H14" s="0">
        <ns0:f>IFERROR(IF(AND('_Engine'!$X14=1,ISNUMBER(Settings!$F24),Settings!$F24&gt;0,MID('_Engine'!$AP14,WEEKDAY(Settings!$F24,2),1)="W"),Settings!$F24,0),0)</ns0:f>
        <ns0:v>0</ns0:v>
      </ns0:c>
      <ns0:c r="I14" s="0">
        <ns0:f>IFERROR(IF(AND('_Engine'!$X14=1,ISNUMBER(Settings!$F25),Settings!$F25&gt;0,MID('_Engine'!$AP14,WEEKDAY(Settings!$F25,2),1)="W"),Settings!$F25,0),0)</ns0:f>
        <ns0:v>0</ns0:v>
      </ns0:c>
      <ns0:c r="J14" s="0">
        <ns0:f>IFERROR(IF(AND('_Engine'!$X14=1,ISNUMBER(Settings!$F26),Settings!$F26&gt;0,MID('_Engine'!$AP14,WEEKDAY(Settings!$F26,2),1)="W"),Settings!$F26,0),0)</ns0:f>
        <ns0:v>0</ns0:v>
      </ns0:c>
      <ns0:c r="K14" s="0">
        <ns0:f>IFERROR(IF(AND('_Engine'!$X14=1,ISNUMBER(Settings!$F27),Settings!$F27&gt;0,MID('_Engine'!$AP14,WEEKDAY(Settings!$F27,2),1)="W"),Settings!$F27,0),0)</ns0:f>
        <ns0:v>0</ns0:v>
      </ns0:c>
      <ns0:c r="L14" s="0">
        <ns0:f>IFERROR(IF(AND('_Engine'!$X14=1,ISNUMBER(Settings!$F28),Settings!$F28&gt;0,MID('_Engine'!$AP14,WEEKDAY(Settings!$F28,2),1)="W"),Settings!$F28,0),0)</ns0:f>
        <ns0:v>0</ns0:v>
      </ns0:c>
      <ns0:c r="M14" s="0">
        <ns0:f>IFERROR(IF(AND('_Engine'!$X14=1,ISNUMBER(Settings!$F29),Settings!$F29&gt;0,MID('_Engine'!$AP14,WEEKDAY(Settings!$F29,2),1)="W"),Settings!$F29,0),0)</ns0:f>
        <ns0:v>0</ns0:v>
      </ns0:c>
      <ns0:c r="N14" s="0">
        <ns0:f>IFERROR(IF(AND('_Engine'!$X14=1,ISNUMBER(Settings!$F30),Settings!$F30&gt;0,MID('_Engine'!$AP14,WEEKDAY(Settings!$F30,2),1)="W"),Settings!$F30,0),0)</ns0:f>
        <ns0:v>0</ns0:v>
      </ns0:c>
      <ns0:c r="O14" s="0">
        <ns0:f>IFERROR(IF(AND('_Engine'!$X14=1,ISNUMBER(Settings!$F31),Settings!$F31&gt;0,MID('_Engine'!$AP14,WEEKDAY(Settings!$F31,2),1)="W"),Settings!$F31,0),0)</ns0:f>
        <ns0:v>0</ns0:v>
      </ns0:c>
      <ns0:c r="P14" s="0">
        <ns0:f>IFERROR(IF(AND('_Engine'!$X14=1,ISNUMBER(Settings!$F32),Settings!$F32&gt;0,MID('_Engine'!$AP14,WEEKDAY(Settings!$F32,2),1)="W"),Settings!$F32,0),0)</ns0:f>
        <ns0:v>0</ns0:v>
      </ns0:c>
      <ns0:c r="Q14" s="0">
        <ns0:f>IFERROR(IF(AND('_Engine'!$X14=1,ISNUMBER(Settings!$F33),Settings!$F33&gt;0,MID('_Engine'!$AP14,WEEKDAY(Settings!$F33,2),1)="W"),Settings!$F33,0),0)</ns0:f>
        <ns0:v>0</ns0:v>
      </ns0:c>
      <ns0:c r="R14" s="0">
        <ns0:f>IFERROR(IF(AND('_Engine'!$X14=1,ISNUMBER(Settings!$F34),Settings!$F34&gt;0,MID('_Engine'!$AP14,WEEKDAY(Settings!$F34,2),1)="W"),Settings!$F34,0),0)</ns0:f>
        <ns0:v>0</ns0:v>
      </ns0:c>
      <ns0:c r="S14" s="0">
        <ns0:f>IFERROR(IF(AND('_Engine'!$X14=1,ISNUMBER(Settings!$F35),Settings!$F35&gt;0,MID('_Engine'!$AP14,WEEKDAY(Settings!$F35,2),1)="W"),Settings!$F35,0),0)</ns0:f>
        <ns0:v>0</ns0:v>
      </ns0:c>
      <ns0:c r="T14" s="0">
        <ns0:f>IFERROR(IF(AND('_Engine'!$X14=1,ISNUMBER(Settings!$F36),Settings!$F36&gt;0,MID('_Engine'!$AP14,WEEKDAY(Settings!$F36,2),1)="W"),Settings!$F36,0),0)</ns0:f>
        <ns0:v>0</ns0:v>
      </ns0:c>
      <ns0:c r="U14" s="0">
        <ns0:f>IFERROR(IF(AND('_Engine'!$X14=1,ISNUMBER(Settings!$F37),Settings!$F37&gt;0,MID('_Engine'!$AP14,WEEKDAY(Settings!$F37,2),1)="W"),Settings!$F37,0),0)</ns0:f>
        <ns0:v>0</ns0:v>
      </ns0:c>
      <ns0:c r="V14" s="0">
        <ns0:f>IFERROR(IF(AND('_Engine'!$X14=1,ISNUMBER(Settings!$F38),Settings!$F38&gt;0,MID('_Engine'!$AP14,WEEKDAY(Settings!$F38,2),1)="W"),Settings!$F38,0),0)</ns0:f>
        <ns0:v>0</ns0:v>
      </ns0:c>
      <ns0:c r="W14" s="0">
        <ns0:f>IFERROR(IF(AND('_Engine'!$X14=1,ISNUMBER(Settings!$F39),Settings!$F39&gt;0,MID('_Engine'!$AP14,WEEKDAY(Settings!$F39,2),1)="W"),Settings!$F39,0),0)</ns0:f>
        <ns0:v>0</ns0:v>
      </ns0:c>
      <ns0:c r="X14" s="0">
        <ns0:f>IFERROR(IF(AND('_Engine'!$X14=1,ISNUMBER(Settings!$F40),Settings!$F40&gt;0,MID('_Engine'!$AP14,WEEKDAY(Settings!$F40,2),1)="W"),Settings!$F40,0),0)</ns0:f>
        <ns0:v>0</ns0:v>
      </ns0:c>
      <ns0:c r="Y14" s="0">
        <ns0:f>IFERROR(IF(AND('_Engine'!$X14=1,ISNUMBER(Settings!$F41),Settings!$F41&gt;0,MID('_Engine'!$AP14,WEEKDAY(Settings!$F41,2),1)="W"),Settings!$F41,0),0)</ns0:f>
        <ns0:v>0</ns0:v>
      </ns0:c>
      <ns0:c r="Z14" s="0">
        <ns0:f>IFERROR(IF(AND('_Engine'!$X14=1,ISNUMBER(Settings!$F42),Settings!$F42&gt;0,MID('_Engine'!$AP14,WEEKDAY(Settings!$F42,2),1)="W"),Settings!$F42,0),0)</ns0:f>
        <ns0:v>0</ns0:v>
      </ns0:c>
      <ns0:c r="AA14" s="0">
        <ns0:f>IFERROR(IF(AND('_Engine'!$X14=1,ISNUMBER(Settings!$F43),Settings!$F43&gt;0,MID('_Engine'!$AP14,WEEKDAY(Settings!$F43,2),1)="W"),Settings!$F43,0),0)</ns0:f>
        <ns0:v>0</ns0:v>
      </ns0:c>
      <ns0:c r="AB14" s="0">
        <ns0:f>IFERROR(IF(AND('_Engine'!$X14=1,ISNUMBER(Settings!$F44),Settings!$F44&gt;0,MID('_Engine'!$AP14,WEEKDAY(Settings!$F44,2),1)="W"),Settings!$F44,0),0)</ns0:f>
        <ns0:v>0</ns0:v>
      </ns0:c>
      <ns0:c r="AC14" s="0">
        <ns0:f>IFERROR(IF(AND('_Engine'!$X14=1,ISNUMBER(Settings!$F45),Settings!$F45&gt;0,MID('_Engine'!$AP14,WEEKDAY(Settings!$F45,2),1)="W"),Settings!$F45,0),0)</ns0:f>
        <ns0:v>0</ns0:v>
      </ns0:c>
      <ns0:c r="AD14" s="0">
        <ns0:f>IFERROR(IF(AND('_Engine'!$X14=1,ISNUMBER(Settings!$F46),Settings!$F46&gt;0,MID('_Engine'!$AP14,WEEKDAY(Settings!$F46,2),1)="W"),Settings!$F46,0),0)</ns0:f>
        <ns0:v>0</ns0:v>
      </ns0:c>
      <ns0:c r="AE14" s="0">
        <ns0:f>IFERROR(IF(AND('_Engine'!$X14=1,ISNUMBER(Settings!$F47),Settings!$F47&gt;0,MID('_Engine'!$AP14,WEEKDAY(Settings!$F47,2),1)="W"),Settings!$F47,0),0)</ns0:f>
        <ns0:v>0</ns0:v>
      </ns0:c>
      <ns0:c r="AF14" s="0">
        <ns0:f>IFERROR(IF(AND('_Engine'!$X14=1,ISNUMBER(Settings!$F48),Settings!$F48&gt;0,MID('_Engine'!$AP14,WEEKDAY(Settings!$F48,2),1)="W"),Settings!$F48,0),0)</ns0:f>
        <ns0:v>0</ns0:v>
      </ns0:c>
      <ns0:c r="AG14" s="0">
        <ns0:f>IFERROR(IF(AND('_Engine'!$X14=1,ISNUMBER(Settings!$F49),Settings!$F49&gt;0,MID('_Engine'!$AP14,WEEKDAY(Settings!$F49,2),1)="W"),Settings!$F49,0),0)</ns0:f>
        <ns0:v>0</ns0:v>
      </ns0:c>
      <ns0:c r="AH14" s="0">
        <ns0:f>IFERROR(IF(AND('_Engine'!$X14=1,ISNUMBER(Settings!$F50),Settings!$F50&gt;0,MID('_Engine'!$AP14,WEEKDAY(Settings!$F50,2),1)="W"),Settings!$F50,0),0)</ns0:f>
        <ns0:v>0</ns0:v>
      </ns0:c>
      <ns0:c r="AI14" s="0">
        <ns0:f>IFERROR(IF(AND('_Engine'!$X14=1,ISNUMBER(Settings!$F51),Settings!$F51&gt;0,MID('_Engine'!$AP14,WEEKDAY(Settings!$F51,2),1)="W"),Settings!$F51,0),0)</ns0:f>
        <ns0:v>0</ns0:v>
      </ns0:c>
      <ns0:c r="AJ14" s="0">
        <ns0:f>IFERROR(IF(AND('_Engine'!$X14=1,ISNUMBER(Settings!$F52),Settings!$F52&gt;0,MID('_Engine'!$AP14,WEEKDAY(Settings!$F52,2),1)="W"),Settings!$F52,0),0)</ns0:f>
        <ns0:v>0</ns0:v>
      </ns0:c>
      <ns0:c r="AK14" s="0">
        <ns0:f>IFERROR(IF(AND('_Engine'!$X14=1,ISNUMBER(Settings!$F53),Settings!$F53&gt;0,MID('_Engine'!$AP14,WEEKDAY(Settings!$F53,2),1)="W"),Settings!$F53,0),0)</ns0:f>
        <ns0:v>0</ns0:v>
      </ns0:c>
      <ns0:c r="AL14" s="0">
        <ns0:f>IFERROR(IF(AND('_Engine'!$X14=1,ISNUMBER(Settings!$F54),Settings!$F54&gt;0,MID('_Engine'!$AP14,WEEKDAY(Settings!$F54,2),1)="W"),Settings!$F54,0),0)</ns0:f>
        <ns0:v>0</ns0:v>
      </ns0:c>
      <ns0:c r="AM14" s="0">
        <ns0:f>IFERROR(IF(AND('_Engine'!$X14=1,ISNUMBER(Settings!$F55),Settings!$F55&gt;0,MID('_Engine'!$AP14,WEEKDAY(Settings!$F55,2),1)="W"),Settings!$F55,0),0)</ns0:f>
        <ns0:v>0</ns0:v>
      </ns0:c>
      <ns0:c r="AN14" s="0">
        <ns0:f>IFERROR(IF(AND('_Engine'!$X14=1,ISNUMBER(Settings!$F56),Settings!$F56&gt;0,MID('_Engine'!$AP14,WEEKDAY(Settings!$F56,2),1)="W"),Settings!$F56,0),0)</ns0:f>
        <ns0:v>0</ns0:v>
      </ns0:c>
      <ns0:c r="AO14" s="0">
        <ns0:f>IFERROR(IF(AND('_Engine'!$X14=1,ISNUMBER(Settings!$F57),Settings!$F57&gt;0,MID('_Engine'!$AP14,WEEKDAY(Settings!$F57,2),1)="W"),Settings!$F57,0),0)</ns0:f>
        <ns0:v>0</ns0:v>
      </ns0:c>
      <ns0:c r="AP14" s="0">
        <ns0:f>IFERROR(IF(AND('_Engine'!$X14=1,ISNUMBER(Settings!$F58),Settings!$F58&gt;0,MID('_Engine'!$AP14,WEEKDAY(Settings!$F58,2),1)="W"),Settings!$F58,0),0)</ns0:f>
        <ns0:v>0</ns0:v>
      </ns0:c>
      <ns0:c r="AQ14" s="0">
        <ns0:f>IFERROR(IF(AND('_Engine'!$X14=1,ISNUMBER(Settings!$F59),Settings!$F59&gt;0,MID('_Engine'!$AP14,WEEKDAY(Settings!$F59,2),1)="W"),Settings!$F59,0),0)</ns0:f>
        <ns0:v>0</ns0:v>
      </ns0:c>
      <ns0:c r="AR14" s="0">
        <ns0:f>IFERROR(IF(AND('_Engine'!$X14=1,ISNUMBER(Settings!$F60),Settings!$F60&gt;0,MID('_Engine'!$AP14,WEEKDAY(Settings!$F60,2),1)="W"),Settings!$F60,0),0)</ns0:f>
        <ns0:v>0</ns0:v>
      </ns0:c>
      <ns0:c r="AS14" s="0">
        <ns0:f>IFERROR(IF(AND('_Engine'!$X14=1,ISNUMBER(Settings!$F61),Settings!$F61&gt;0,MID('_Engine'!$AP14,WEEKDAY(Settings!$F61,2),1)="W"),Settings!$F61,0),0)</ns0:f>
        <ns0:v>0</ns0:v>
      </ns0:c>
      <ns0:c r="AT14" s="0">
        <ns0:f>IFERROR(IF(AND('_Engine'!$X14=1,ISNUMBER(Settings!$F62),Settings!$F62&gt;0,MID('_Engine'!$AP14,WEEKDAY(Settings!$F62,2),1)="W"),Settings!$F62,0),0)</ns0:f>
        <ns0:v>0</ns0:v>
      </ns0:c>
      <ns0:c r="AU14" s="0">
        <ns0:f>IFERROR(IF(AND('_Engine'!$X14=1,ISNUMBER(Settings!$F63),Settings!$F63&gt;0,MID('_Engine'!$AP14,WEEKDAY(Settings!$F63,2),1)="W"),Settings!$F63,0),0)</ns0:f>
        <ns0:v>0</ns0:v>
      </ns0:c>
      <ns0:c r="AV14" s="0">
        <ns0:f>IFERROR(IF(AND('_Engine'!$X14=1,ISNUMBER(Settings!$F64),Settings!$F64&gt;0,MID('_Engine'!$AP14,WEEKDAY(Settings!$F64,2),1)="W"),Settings!$F64,0),0)</ns0:f>
        <ns0:v>0</ns0:v>
      </ns0:c>
      <ns0:c r="AW14" s="0">
        <ns0:f>IFERROR(IF(AND('_Engine'!$X14=1,ISNUMBER(Settings!$F65),Settings!$F65&gt;0,MID('_Engine'!$AP14,WEEKDAY(Settings!$F65,2),1)="W"),Settings!$F65,0),0)</ns0:f>
        <ns0:v>0</ns0:v>
      </ns0:c>
      <ns0:c r="AX14" s="0">
        <ns0:f>IFERROR(IF(AND('_Engine'!$X14=1,ISNUMBER(Settings!$F66),Settings!$F66&gt;0,MID('_Engine'!$AP14,WEEKDAY(Settings!$F66,2),1)="W"),Settings!$F66,0),0)</ns0:f>
        <ns0:v>0</ns0:v>
      </ns0:c>
      <ns0:c r="AY14" s="0">
        <ns0:f>IFERROR(IF(AND('_Engine'!$X14=1,ISNUMBER(Settings!$F67),Settings!$F67&gt;0,MID('_Engine'!$AP14,WEEKDAY(Settings!$F67,2),1)="W"),Settings!$F67,0),0)</ns0:f>
        <ns0:v>0</ns0:v>
      </ns0:c>
    </ns0:row>
    <ns0:row r="15">
      <ns0:c r="B15" s="0">
        <ns0:f>IFERROR(IF(AND('_Engine'!$X15=1,ISNUMBER(Settings!$F18),Settings!$F18&gt;0,MID('_Engine'!$AP15,WEEKDAY(Settings!$F18,2),1)="W"),Settings!$F18,0),0)</ns0:f>
        <ns0:v>46591</ns0:v>
      </ns0:c>
      <ns0:c r="C15" s="0">
        <ns0:f>IFERROR(IF(AND('_Engine'!$X15=1,ISNUMBER(Settings!$F19),Settings!$F19&gt;0,MID('_Engine'!$AP15,WEEKDAY(Settings!$F19,2),1)="W"),Settings!$F19,0),0)</ns0:f>
        <ns0:v>0</ns0:v>
      </ns0:c>
      <ns0:c r="D15" s="0">
        <ns0:f>IFERROR(IF(AND('_Engine'!$X15=1,ISNUMBER(Settings!$F20),Settings!$F20&gt;0,MID('_Engine'!$AP15,WEEKDAY(Settings!$F20,2),1)="W"),Settings!$F20,0),0)</ns0:f>
        <ns0:v>0</ns0:v>
      </ns0:c>
      <ns0:c r="E15" s="0">
        <ns0:f>IFERROR(IF(AND('_Engine'!$X15=1,ISNUMBER(Settings!$F21),Settings!$F21&gt;0,MID('_Engine'!$AP15,WEEKDAY(Settings!$F21,2),1)="W"),Settings!$F21,0),0)</ns0:f>
        <ns0:v>0</ns0:v>
      </ns0:c>
      <ns0:c r="F15" s="0">
        <ns0:f>IFERROR(IF(AND('_Engine'!$X15=1,ISNUMBER(Settings!$F22),Settings!$F22&gt;0,MID('_Engine'!$AP15,WEEKDAY(Settings!$F22,2),1)="W"),Settings!$F22,0),0)</ns0:f>
        <ns0:v>0</ns0:v>
      </ns0:c>
      <ns0:c r="G15" s="0">
        <ns0:f>IFERROR(IF(AND('_Engine'!$X15=1,ISNUMBER(Settings!$F23),Settings!$F23&gt;0,MID('_Engine'!$AP15,WEEKDAY(Settings!$F23,2),1)="W"),Settings!$F23,0),0)</ns0:f>
        <ns0:v>0</ns0:v>
      </ns0:c>
      <ns0:c r="H15" s="0">
        <ns0:f>IFERROR(IF(AND('_Engine'!$X15=1,ISNUMBER(Settings!$F24),Settings!$F24&gt;0,MID('_Engine'!$AP15,WEEKDAY(Settings!$F24,2),1)="W"),Settings!$F24,0),0)</ns0:f>
        <ns0:v>0</ns0:v>
      </ns0:c>
      <ns0:c r="I15" s="0">
        <ns0:f>IFERROR(IF(AND('_Engine'!$X15=1,ISNUMBER(Settings!$F25),Settings!$F25&gt;0,MID('_Engine'!$AP15,WEEKDAY(Settings!$F25,2),1)="W"),Settings!$F25,0),0)</ns0:f>
        <ns0:v>0</ns0:v>
      </ns0:c>
      <ns0:c r="J15" s="0">
        <ns0:f>IFERROR(IF(AND('_Engine'!$X15=1,ISNUMBER(Settings!$F26),Settings!$F26&gt;0,MID('_Engine'!$AP15,WEEKDAY(Settings!$F26,2),1)="W"),Settings!$F26,0),0)</ns0:f>
        <ns0:v>0</ns0:v>
      </ns0:c>
      <ns0:c r="K15" s="0">
        <ns0:f>IFERROR(IF(AND('_Engine'!$X15=1,ISNUMBER(Settings!$F27),Settings!$F27&gt;0,MID('_Engine'!$AP15,WEEKDAY(Settings!$F27,2),1)="W"),Settings!$F27,0),0)</ns0:f>
        <ns0:v>0</ns0:v>
      </ns0:c>
      <ns0:c r="L15" s="0">
        <ns0:f>IFERROR(IF(AND('_Engine'!$X15=1,ISNUMBER(Settings!$F28),Settings!$F28&gt;0,MID('_Engine'!$AP15,WEEKDAY(Settings!$F28,2),1)="W"),Settings!$F28,0),0)</ns0:f>
        <ns0:v>0</ns0:v>
      </ns0:c>
      <ns0:c r="M15" s="0">
        <ns0:f>IFERROR(IF(AND('_Engine'!$X15=1,ISNUMBER(Settings!$F29),Settings!$F29&gt;0,MID('_Engine'!$AP15,WEEKDAY(Settings!$F29,2),1)="W"),Settings!$F29,0),0)</ns0:f>
        <ns0:v>0</ns0:v>
      </ns0:c>
      <ns0:c r="N15" s="0">
        <ns0:f>IFERROR(IF(AND('_Engine'!$X15=1,ISNUMBER(Settings!$F30),Settings!$F30&gt;0,MID('_Engine'!$AP15,WEEKDAY(Settings!$F30,2),1)="W"),Settings!$F30,0),0)</ns0:f>
        <ns0:v>0</ns0:v>
      </ns0:c>
      <ns0:c r="O15" s="0">
        <ns0:f>IFERROR(IF(AND('_Engine'!$X15=1,ISNUMBER(Settings!$F31),Settings!$F31&gt;0,MID('_Engine'!$AP15,WEEKDAY(Settings!$F31,2),1)="W"),Settings!$F31,0),0)</ns0:f>
        <ns0:v>0</ns0:v>
      </ns0:c>
      <ns0:c r="P15" s="0">
        <ns0:f>IFERROR(IF(AND('_Engine'!$X15=1,ISNUMBER(Settings!$F32),Settings!$F32&gt;0,MID('_Engine'!$AP15,WEEKDAY(Settings!$F32,2),1)="W"),Settings!$F32,0),0)</ns0:f>
        <ns0:v>0</ns0:v>
      </ns0:c>
      <ns0:c r="Q15" s="0">
        <ns0:f>IFERROR(IF(AND('_Engine'!$X15=1,ISNUMBER(Settings!$F33),Settings!$F33&gt;0,MID('_Engine'!$AP15,WEEKDAY(Settings!$F33,2),1)="W"),Settings!$F33,0),0)</ns0:f>
        <ns0:v>0</ns0:v>
      </ns0:c>
      <ns0:c r="R15" s="0">
        <ns0:f>IFERROR(IF(AND('_Engine'!$X15=1,ISNUMBER(Settings!$F34),Settings!$F34&gt;0,MID('_Engine'!$AP15,WEEKDAY(Settings!$F34,2),1)="W"),Settings!$F34,0),0)</ns0:f>
        <ns0:v>0</ns0:v>
      </ns0:c>
      <ns0:c r="S15" s="0">
        <ns0:f>IFERROR(IF(AND('_Engine'!$X15=1,ISNUMBER(Settings!$F35),Settings!$F35&gt;0,MID('_Engine'!$AP15,WEEKDAY(Settings!$F35,2),1)="W"),Settings!$F35,0),0)</ns0:f>
        <ns0:v>0</ns0:v>
      </ns0:c>
      <ns0:c r="T15" s="0">
        <ns0:f>IFERROR(IF(AND('_Engine'!$X15=1,ISNUMBER(Settings!$F36),Settings!$F36&gt;0,MID('_Engine'!$AP15,WEEKDAY(Settings!$F36,2),1)="W"),Settings!$F36,0),0)</ns0:f>
        <ns0:v>0</ns0:v>
      </ns0:c>
      <ns0:c r="U15" s="0">
        <ns0:f>IFERROR(IF(AND('_Engine'!$X15=1,ISNUMBER(Settings!$F37),Settings!$F37&gt;0,MID('_Engine'!$AP15,WEEKDAY(Settings!$F37,2),1)="W"),Settings!$F37,0),0)</ns0:f>
        <ns0:v>0</ns0:v>
      </ns0:c>
      <ns0:c r="V15" s="0">
        <ns0:f>IFERROR(IF(AND('_Engine'!$X15=1,ISNUMBER(Settings!$F38),Settings!$F38&gt;0,MID('_Engine'!$AP15,WEEKDAY(Settings!$F38,2),1)="W"),Settings!$F38,0),0)</ns0:f>
        <ns0:v>0</ns0:v>
      </ns0:c>
      <ns0:c r="W15" s="0">
        <ns0:f>IFERROR(IF(AND('_Engine'!$X15=1,ISNUMBER(Settings!$F39),Settings!$F39&gt;0,MID('_Engine'!$AP15,WEEKDAY(Settings!$F39,2),1)="W"),Settings!$F39,0),0)</ns0:f>
        <ns0:v>0</ns0:v>
      </ns0:c>
      <ns0:c r="X15" s="0">
        <ns0:f>IFERROR(IF(AND('_Engine'!$X15=1,ISNUMBER(Settings!$F40),Settings!$F40&gt;0,MID('_Engine'!$AP15,WEEKDAY(Settings!$F40,2),1)="W"),Settings!$F40,0),0)</ns0:f>
        <ns0:v>0</ns0:v>
      </ns0:c>
      <ns0:c r="Y15" s="0">
        <ns0:f>IFERROR(IF(AND('_Engine'!$X15=1,ISNUMBER(Settings!$F41),Settings!$F41&gt;0,MID('_Engine'!$AP15,WEEKDAY(Settings!$F41,2),1)="W"),Settings!$F41,0),0)</ns0:f>
        <ns0:v>0</ns0:v>
      </ns0:c>
      <ns0:c r="Z15" s="0">
        <ns0:f>IFERROR(IF(AND('_Engine'!$X15=1,ISNUMBER(Settings!$F42),Settings!$F42&gt;0,MID('_Engine'!$AP15,WEEKDAY(Settings!$F42,2),1)="W"),Settings!$F42,0),0)</ns0:f>
        <ns0:v>0</ns0:v>
      </ns0:c>
      <ns0:c r="AA15" s="0">
        <ns0:f>IFERROR(IF(AND('_Engine'!$X15=1,ISNUMBER(Settings!$F43),Settings!$F43&gt;0,MID('_Engine'!$AP15,WEEKDAY(Settings!$F43,2),1)="W"),Settings!$F43,0),0)</ns0:f>
        <ns0:v>0</ns0:v>
      </ns0:c>
      <ns0:c r="AB15" s="0">
        <ns0:f>IFERROR(IF(AND('_Engine'!$X15=1,ISNUMBER(Settings!$F44),Settings!$F44&gt;0,MID('_Engine'!$AP15,WEEKDAY(Settings!$F44,2),1)="W"),Settings!$F44,0),0)</ns0:f>
        <ns0:v>0</ns0:v>
      </ns0:c>
      <ns0:c r="AC15" s="0">
        <ns0:f>IFERROR(IF(AND('_Engine'!$X15=1,ISNUMBER(Settings!$F45),Settings!$F45&gt;0,MID('_Engine'!$AP15,WEEKDAY(Settings!$F45,2),1)="W"),Settings!$F45,0),0)</ns0:f>
        <ns0:v>0</ns0:v>
      </ns0:c>
      <ns0:c r="AD15" s="0">
        <ns0:f>IFERROR(IF(AND('_Engine'!$X15=1,ISNUMBER(Settings!$F46),Settings!$F46&gt;0,MID('_Engine'!$AP15,WEEKDAY(Settings!$F46,2),1)="W"),Settings!$F46,0),0)</ns0:f>
        <ns0:v>0</ns0:v>
      </ns0:c>
      <ns0:c r="AE15" s="0">
        <ns0:f>IFERROR(IF(AND('_Engine'!$X15=1,ISNUMBER(Settings!$F47),Settings!$F47&gt;0,MID('_Engine'!$AP15,WEEKDAY(Settings!$F47,2),1)="W"),Settings!$F47,0),0)</ns0:f>
        <ns0:v>0</ns0:v>
      </ns0:c>
      <ns0:c r="AF15" s="0">
        <ns0:f>IFERROR(IF(AND('_Engine'!$X15=1,ISNUMBER(Settings!$F48),Settings!$F48&gt;0,MID('_Engine'!$AP15,WEEKDAY(Settings!$F48,2),1)="W"),Settings!$F48,0),0)</ns0:f>
        <ns0:v>0</ns0:v>
      </ns0:c>
      <ns0:c r="AG15" s="0">
        <ns0:f>IFERROR(IF(AND('_Engine'!$X15=1,ISNUMBER(Settings!$F49),Settings!$F49&gt;0,MID('_Engine'!$AP15,WEEKDAY(Settings!$F49,2),1)="W"),Settings!$F49,0),0)</ns0:f>
        <ns0:v>0</ns0:v>
      </ns0:c>
      <ns0:c r="AH15" s="0">
        <ns0:f>IFERROR(IF(AND('_Engine'!$X15=1,ISNUMBER(Settings!$F50),Settings!$F50&gt;0,MID('_Engine'!$AP15,WEEKDAY(Settings!$F50,2),1)="W"),Settings!$F50,0),0)</ns0:f>
        <ns0:v>0</ns0:v>
      </ns0:c>
      <ns0:c r="AI15" s="0">
        <ns0:f>IFERROR(IF(AND('_Engine'!$X15=1,ISNUMBER(Settings!$F51),Settings!$F51&gt;0,MID('_Engine'!$AP15,WEEKDAY(Settings!$F51,2),1)="W"),Settings!$F51,0),0)</ns0:f>
        <ns0:v>0</ns0:v>
      </ns0:c>
      <ns0:c r="AJ15" s="0">
        <ns0:f>IFERROR(IF(AND('_Engine'!$X15=1,ISNUMBER(Settings!$F52),Settings!$F52&gt;0,MID('_Engine'!$AP15,WEEKDAY(Settings!$F52,2),1)="W"),Settings!$F52,0),0)</ns0:f>
        <ns0:v>0</ns0:v>
      </ns0:c>
      <ns0:c r="AK15" s="0">
        <ns0:f>IFERROR(IF(AND('_Engine'!$X15=1,ISNUMBER(Settings!$F53),Settings!$F53&gt;0,MID('_Engine'!$AP15,WEEKDAY(Settings!$F53,2),1)="W"),Settings!$F53,0),0)</ns0:f>
        <ns0:v>0</ns0:v>
      </ns0:c>
      <ns0:c r="AL15" s="0">
        <ns0:f>IFERROR(IF(AND('_Engine'!$X15=1,ISNUMBER(Settings!$F54),Settings!$F54&gt;0,MID('_Engine'!$AP15,WEEKDAY(Settings!$F54,2),1)="W"),Settings!$F54,0),0)</ns0:f>
        <ns0:v>0</ns0:v>
      </ns0:c>
      <ns0:c r="AM15" s="0">
        <ns0:f>IFERROR(IF(AND('_Engine'!$X15=1,ISNUMBER(Settings!$F55),Settings!$F55&gt;0,MID('_Engine'!$AP15,WEEKDAY(Settings!$F55,2),1)="W"),Settings!$F55,0),0)</ns0:f>
        <ns0:v>0</ns0:v>
      </ns0:c>
      <ns0:c r="AN15" s="0">
        <ns0:f>IFERROR(IF(AND('_Engine'!$X15=1,ISNUMBER(Settings!$F56),Settings!$F56&gt;0,MID('_Engine'!$AP15,WEEKDAY(Settings!$F56,2),1)="W"),Settings!$F56,0),0)</ns0:f>
        <ns0:v>0</ns0:v>
      </ns0:c>
      <ns0:c r="AO15" s="0">
        <ns0:f>IFERROR(IF(AND('_Engine'!$X15=1,ISNUMBER(Settings!$F57),Settings!$F57&gt;0,MID('_Engine'!$AP15,WEEKDAY(Settings!$F57,2),1)="W"),Settings!$F57,0),0)</ns0:f>
        <ns0:v>0</ns0:v>
      </ns0:c>
      <ns0:c r="AP15" s="0">
        <ns0:f>IFERROR(IF(AND('_Engine'!$X15=1,ISNUMBER(Settings!$F58),Settings!$F58&gt;0,MID('_Engine'!$AP15,WEEKDAY(Settings!$F58,2),1)="W"),Settings!$F58,0),0)</ns0:f>
        <ns0:v>0</ns0:v>
      </ns0:c>
      <ns0:c r="AQ15" s="0">
        <ns0:f>IFERROR(IF(AND('_Engine'!$X15=1,ISNUMBER(Settings!$F59),Settings!$F59&gt;0,MID('_Engine'!$AP15,WEEKDAY(Settings!$F59,2),1)="W"),Settings!$F59,0),0)</ns0:f>
        <ns0:v>0</ns0:v>
      </ns0:c>
      <ns0:c r="AR15" s="0">
        <ns0:f>IFERROR(IF(AND('_Engine'!$X15=1,ISNUMBER(Settings!$F60),Settings!$F60&gt;0,MID('_Engine'!$AP15,WEEKDAY(Settings!$F60,2),1)="W"),Settings!$F60,0),0)</ns0:f>
        <ns0:v>0</ns0:v>
      </ns0:c>
      <ns0:c r="AS15" s="0">
        <ns0:f>IFERROR(IF(AND('_Engine'!$X15=1,ISNUMBER(Settings!$F61),Settings!$F61&gt;0,MID('_Engine'!$AP15,WEEKDAY(Settings!$F61,2),1)="W"),Settings!$F61,0),0)</ns0:f>
        <ns0:v>0</ns0:v>
      </ns0:c>
      <ns0:c r="AT15" s="0">
        <ns0:f>IFERROR(IF(AND('_Engine'!$X15=1,ISNUMBER(Settings!$F62),Settings!$F62&gt;0,MID('_Engine'!$AP15,WEEKDAY(Settings!$F62,2),1)="W"),Settings!$F62,0),0)</ns0:f>
        <ns0:v>0</ns0:v>
      </ns0:c>
      <ns0:c r="AU15" s="0">
        <ns0:f>IFERROR(IF(AND('_Engine'!$X15=1,ISNUMBER(Settings!$F63),Settings!$F63&gt;0,MID('_Engine'!$AP15,WEEKDAY(Settings!$F63,2),1)="W"),Settings!$F63,0),0)</ns0:f>
        <ns0:v>0</ns0:v>
      </ns0:c>
      <ns0:c r="AV15" s="0">
        <ns0:f>IFERROR(IF(AND('_Engine'!$X15=1,ISNUMBER(Settings!$F64),Settings!$F64&gt;0,MID('_Engine'!$AP15,WEEKDAY(Settings!$F64,2),1)="W"),Settings!$F64,0),0)</ns0:f>
        <ns0:v>0</ns0:v>
      </ns0:c>
      <ns0:c r="AW15" s="0">
        <ns0:f>IFERROR(IF(AND('_Engine'!$X15=1,ISNUMBER(Settings!$F65),Settings!$F65&gt;0,MID('_Engine'!$AP15,WEEKDAY(Settings!$F65,2),1)="W"),Settings!$F65,0),0)</ns0:f>
        <ns0:v>0</ns0:v>
      </ns0:c>
      <ns0:c r="AX15" s="0">
        <ns0:f>IFERROR(IF(AND('_Engine'!$X15=1,ISNUMBER(Settings!$F66),Settings!$F66&gt;0,MID('_Engine'!$AP15,WEEKDAY(Settings!$F66,2),1)="W"),Settings!$F66,0),0)</ns0:f>
        <ns0:v>0</ns0:v>
      </ns0:c>
      <ns0:c r="AY15" s="0">
        <ns0:f>IFERROR(IF(AND('_Engine'!$X15=1,ISNUMBER(Settings!$F67),Settings!$F67&gt;0,MID('_Engine'!$AP15,WEEKDAY(Settings!$F67,2),1)="W"),Settings!$F67,0),0)</ns0:f>
        <ns0:v>0</ns0:v>
      </ns0:c>
    </ns0:row>
    <ns0:row r="16">
      <ns0:c r="B16" s="0">
        <ns0:f>IFERROR(IF(AND('_Engine'!$X16=1,ISNUMBER(Settings!$F18),Settings!$F18&gt;0,MID('_Engine'!$AP16,WEEKDAY(Settings!$F18,2),1)="W"),Settings!$F18,0),0)</ns0:f>
        <ns0:v>0</ns0:v>
      </ns0:c>
      <ns0:c r="C16" s="0">
        <ns0:f>IFERROR(IF(AND('_Engine'!$X16=1,ISNUMBER(Settings!$F19),Settings!$F19&gt;0,MID('_Engine'!$AP16,WEEKDAY(Settings!$F19,2),1)="W"),Settings!$F19,0),0)</ns0:f>
        <ns0:v>0</ns0:v>
      </ns0:c>
      <ns0:c r="D16" s="0">
        <ns0:f>IFERROR(IF(AND('_Engine'!$X16=1,ISNUMBER(Settings!$F20),Settings!$F20&gt;0,MID('_Engine'!$AP16,WEEKDAY(Settings!$F20,2),1)="W"),Settings!$F20,0),0)</ns0:f>
        <ns0:v>0</ns0:v>
      </ns0:c>
      <ns0:c r="E16" s="0">
        <ns0:f>IFERROR(IF(AND('_Engine'!$X16=1,ISNUMBER(Settings!$F21),Settings!$F21&gt;0,MID('_Engine'!$AP16,WEEKDAY(Settings!$F21,2),1)="W"),Settings!$F21,0),0)</ns0:f>
        <ns0:v>0</ns0:v>
      </ns0:c>
      <ns0:c r="F16" s="0">
        <ns0:f>IFERROR(IF(AND('_Engine'!$X16=1,ISNUMBER(Settings!$F22),Settings!$F22&gt;0,MID('_Engine'!$AP16,WEEKDAY(Settings!$F22,2),1)="W"),Settings!$F22,0),0)</ns0:f>
        <ns0:v>0</ns0:v>
      </ns0:c>
      <ns0:c r="G16" s="0">
        <ns0:f>IFERROR(IF(AND('_Engine'!$X16=1,ISNUMBER(Settings!$F23),Settings!$F23&gt;0,MID('_Engine'!$AP16,WEEKDAY(Settings!$F23,2),1)="W"),Settings!$F23,0),0)</ns0:f>
        <ns0:v>0</ns0:v>
      </ns0:c>
      <ns0:c r="H16" s="0">
        <ns0:f>IFERROR(IF(AND('_Engine'!$X16=1,ISNUMBER(Settings!$F24),Settings!$F24&gt;0,MID('_Engine'!$AP16,WEEKDAY(Settings!$F24,2),1)="W"),Settings!$F24,0),0)</ns0:f>
        <ns0:v>0</ns0:v>
      </ns0:c>
      <ns0:c r="I16" s="0">
        <ns0:f>IFERROR(IF(AND('_Engine'!$X16=1,ISNUMBER(Settings!$F25),Settings!$F25&gt;0,MID('_Engine'!$AP16,WEEKDAY(Settings!$F25,2),1)="W"),Settings!$F25,0),0)</ns0:f>
        <ns0:v>0</ns0:v>
      </ns0:c>
      <ns0:c r="J16" s="0">
        <ns0:f>IFERROR(IF(AND('_Engine'!$X16=1,ISNUMBER(Settings!$F26),Settings!$F26&gt;0,MID('_Engine'!$AP16,WEEKDAY(Settings!$F26,2),1)="W"),Settings!$F26,0),0)</ns0:f>
        <ns0:v>0</ns0:v>
      </ns0:c>
      <ns0:c r="K16" s="0">
        <ns0:f>IFERROR(IF(AND('_Engine'!$X16=1,ISNUMBER(Settings!$F27),Settings!$F27&gt;0,MID('_Engine'!$AP16,WEEKDAY(Settings!$F27,2),1)="W"),Settings!$F27,0),0)</ns0:f>
        <ns0:v>0</ns0:v>
      </ns0:c>
      <ns0:c r="L16" s="0">
        <ns0:f>IFERROR(IF(AND('_Engine'!$X16=1,ISNUMBER(Settings!$F28),Settings!$F28&gt;0,MID('_Engine'!$AP16,WEEKDAY(Settings!$F28,2),1)="W"),Settings!$F28,0),0)</ns0:f>
        <ns0:v>0</ns0:v>
      </ns0:c>
      <ns0:c r="M16" s="0">
        <ns0:f>IFERROR(IF(AND('_Engine'!$X16=1,ISNUMBER(Settings!$F29),Settings!$F29&gt;0,MID('_Engine'!$AP16,WEEKDAY(Settings!$F29,2),1)="W"),Settings!$F29,0),0)</ns0:f>
        <ns0:v>0</ns0:v>
      </ns0:c>
      <ns0:c r="N16" s="0">
        <ns0:f>IFERROR(IF(AND('_Engine'!$X16=1,ISNUMBER(Settings!$F30),Settings!$F30&gt;0,MID('_Engine'!$AP16,WEEKDAY(Settings!$F30,2),1)="W"),Settings!$F30,0),0)</ns0:f>
        <ns0:v>0</ns0:v>
      </ns0:c>
      <ns0:c r="O16" s="0">
        <ns0:f>IFERROR(IF(AND('_Engine'!$X16=1,ISNUMBER(Settings!$F31),Settings!$F31&gt;0,MID('_Engine'!$AP16,WEEKDAY(Settings!$F31,2),1)="W"),Settings!$F31,0),0)</ns0:f>
        <ns0:v>0</ns0:v>
      </ns0:c>
      <ns0:c r="P16" s="0">
        <ns0:f>IFERROR(IF(AND('_Engine'!$X16=1,ISNUMBER(Settings!$F32),Settings!$F32&gt;0,MID('_Engine'!$AP16,WEEKDAY(Settings!$F32,2),1)="W"),Settings!$F32,0),0)</ns0:f>
        <ns0:v>0</ns0:v>
      </ns0:c>
      <ns0:c r="Q16" s="0">
        <ns0:f>IFERROR(IF(AND('_Engine'!$X16=1,ISNUMBER(Settings!$F33),Settings!$F33&gt;0,MID('_Engine'!$AP16,WEEKDAY(Settings!$F33,2),1)="W"),Settings!$F33,0),0)</ns0:f>
        <ns0:v>0</ns0:v>
      </ns0:c>
      <ns0:c r="R16" s="0">
        <ns0:f>IFERROR(IF(AND('_Engine'!$X16=1,ISNUMBER(Settings!$F34),Settings!$F34&gt;0,MID('_Engine'!$AP16,WEEKDAY(Settings!$F34,2),1)="W"),Settings!$F34,0),0)</ns0:f>
        <ns0:v>0</ns0:v>
      </ns0:c>
      <ns0:c r="S16" s="0">
        <ns0:f>IFERROR(IF(AND('_Engine'!$X16=1,ISNUMBER(Settings!$F35),Settings!$F35&gt;0,MID('_Engine'!$AP16,WEEKDAY(Settings!$F35,2),1)="W"),Settings!$F35,0),0)</ns0:f>
        <ns0:v>0</ns0:v>
      </ns0:c>
      <ns0:c r="T16" s="0">
        <ns0:f>IFERROR(IF(AND('_Engine'!$X16=1,ISNUMBER(Settings!$F36),Settings!$F36&gt;0,MID('_Engine'!$AP16,WEEKDAY(Settings!$F36,2),1)="W"),Settings!$F36,0),0)</ns0:f>
        <ns0:v>0</ns0:v>
      </ns0:c>
      <ns0:c r="U16" s="0">
        <ns0:f>IFERROR(IF(AND('_Engine'!$X16=1,ISNUMBER(Settings!$F37),Settings!$F37&gt;0,MID('_Engine'!$AP16,WEEKDAY(Settings!$F37,2),1)="W"),Settings!$F37,0),0)</ns0:f>
        <ns0:v>0</ns0:v>
      </ns0:c>
      <ns0:c r="V16" s="0">
        <ns0:f>IFERROR(IF(AND('_Engine'!$X16=1,ISNUMBER(Settings!$F38),Settings!$F38&gt;0,MID('_Engine'!$AP16,WEEKDAY(Settings!$F38,2),1)="W"),Settings!$F38,0),0)</ns0:f>
        <ns0:v>0</ns0:v>
      </ns0:c>
      <ns0:c r="W16" s="0">
        <ns0:f>IFERROR(IF(AND('_Engine'!$X16=1,ISNUMBER(Settings!$F39),Settings!$F39&gt;0,MID('_Engine'!$AP16,WEEKDAY(Settings!$F39,2),1)="W"),Settings!$F39,0),0)</ns0:f>
        <ns0:v>0</ns0:v>
      </ns0:c>
      <ns0:c r="X16" s="0">
        <ns0:f>IFERROR(IF(AND('_Engine'!$X16=1,ISNUMBER(Settings!$F40),Settings!$F40&gt;0,MID('_Engine'!$AP16,WEEKDAY(Settings!$F40,2),1)="W"),Settings!$F40,0),0)</ns0:f>
        <ns0:v>0</ns0:v>
      </ns0:c>
      <ns0:c r="Y16" s="0">
        <ns0:f>IFERROR(IF(AND('_Engine'!$X16=1,ISNUMBER(Settings!$F41),Settings!$F41&gt;0,MID('_Engine'!$AP16,WEEKDAY(Settings!$F41,2),1)="W"),Settings!$F41,0),0)</ns0:f>
        <ns0:v>0</ns0:v>
      </ns0:c>
      <ns0:c r="Z16" s="0">
        <ns0:f>IFERROR(IF(AND('_Engine'!$X16=1,ISNUMBER(Settings!$F42),Settings!$F42&gt;0,MID('_Engine'!$AP16,WEEKDAY(Settings!$F42,2),1)="W"),Settings!$F42,0),0)</ns0:f>
        <ns0:v>0</ns0:v>
      </ns0:c>
      <ns0:c r="AA16" s="0">
        <ns0:f>IFERROR(IF(AND('_Engine'!$X16=1,ISNUMBER(Settings!$F43),Settings!$F43&gt;0,MID('_Engine'!$AP16,WEEKDAY(Settings!$F43,2),1)="W"),Settings!$F43,0),0)</ns0:f>
        <ns0:v>0</ns0:v>
      </ns0:c>
      <ns0:c r="AB16" s="0">
        <ns0:f>IFERROR(IF(AND('_Engine'!$X16=1,ISNUMBER(Settings!$F44),Settings!$F44&gt;0,MID('_Engine'!$AP16,WEEKDAY(Settings!$F44,2),1)="W"),Settings!$F44,0),0)</ns0:f>
        <ns0:v>0</ns0:v>
      </ns0:c>
      <ns0:c r="AC16" s="0">
        <ns0:f>IFERROR(IF(AND('_Engine'!$X16=1,ISNUMBER(Settings!$F45),Settings!$F45&gt;0,MID('_Engine'!$AP16,WEEKDAY(Settings!$F45,2),1)="W"),Settings!$F45,0),0)</ns0:f>
        <ns0:v>0</ns0:v>
      </ns0:c>
      <ns0:c r="AD16" s="0">
        <ns0:f>IFERROR(IF(AND('_Engine'!$X16=1,ISNUMBER(Settings!$F46),Settings!$F46&gt;0,MID('_Engine'!$AP16,WEEKDAY(Settings!$F46,2),1)="W"),Settings!$F46,0),0)</ns0:f>
        <ns0:v>0</ns0:v>
      </ns0:c>
      <ns0:c r="AE16" s="0">
        <ns0:f>IFERROR(IF(AND('_Engine'!$X16=1,ISNUMBER(Settings!$F47),Settings!$F47&gt;0,MID('_Engine'!$AP16,WEEKDAY(Settings!$F47,2),1)="W"),Settings!$F47,0),0)</ns0:f>
        <ns0:v>0</ns0:v>
      </ns0:c>
      <ns0:c r="AF16" s="0">
        <ns0:f>IFERROR(IF(AND('_Engine'!$X16=1,ISNUMBER(Settings!$F48),Settings!$F48&gt;0,MID('_Engine'!$AP16,WEEKDAY(Settings!$F48,2),1)="W"),Settings!$F48,0),0)</ns0:f>
        <ns0:v>0</ns0:v>
      </ns0:c>
      <ns0:c r="AG16" s="0">
        <ns0:f>IFERROR(IF(AND('_Engine'!$X16=1,ISNUMBER(Settings!$F49),Settings!$F49&gt;0,MID('_Engine'!$AP16,WEEKDAY(Settings!$F49,2),1)="W"),Settings!$F49,0),0)</ns0:f>
        <ns0:v>0</ns0:v>
      </ns0:c>
      <ns0:c r="AH16" s="0">
        <ns0:f>IFERROR(IF(AND('_Engine'!$X16=1,ISNUMBER(Settings!$F50),Settings!$F50&gt;0,MID('_Engine'!$AP16,WEEKDAY(Settings!$F50,2),1)="W"),Settings!$F50,0),0)</ns0:f>
        <ns0:v>0</ns0:v>
      </ns0:c>
      <ns0:c r="AI16" s="0">
        <ns0:f>IFERROR(IF(AND('_Engine'!$X16=1,ISNUMBER(Settings!$F51),Settings!$F51&gt;0,MID('_Engine'!$AP16,WEEKDAY(Settings!$F51,2),1)="W"),Settings!$F51,0),0)</ns0:f>
        <ns0:v>0</ns0:v>
      </ns0:c>
      <ns0:c r="AJ16" s="0">
        <ns0:f>IFERROR(IF(AND('_Engine'!$X16=1,ISNUMBER(Settings!$F52),Settings!$F52&gt;0,MID('_Engine'!$AP16,WEEKDAY(Settings!$F52,2),1)="W"),Settings!$F52,0),0)</ns0:f>
        <ns0:v>0</ns0:v>
      </ns0:c>
      <ns0:c r="AK16" s="0">
        <ns0:f>IFERROR(IF(AND('_Engine'!$X16=1,ISNUMBER(Settings!$F53),Settings!$F53&gt;0,MID('_Engine'!$AP16,WEEKDAY(Settings!$F53,2),1)="W"),Settings!$F53,0),0)</ns0:f>
        <ns0:v>0</ns0:v>
      </ns0:c>
      <ns0:c r="AL16" s="0">
        <ns0:f>IFERROR(IF(AND('_Engine'!$X16=1,ISNUMBER(Settings!$F54),Settings!$F54&gt;0,MID('_Engine'!$AP16,WEEKDAY(Settings!$F54,2),1)="W"),Settings!$F54,0),0)</ns0:f>
        <ns0:v>0</ns0:v>
      </ns0:c>
      <ns0:c r="AM16" s="0">
        <ns0:f>IFERROR(IF(AND('_Engine'!$X16=1,ISNUMBER(Settings!$F55),Settings!$F55&gt;0,MID('_Engine'!$AP16,WEEKDAY(Settings!$F55,2),1)="W"),Settings!$F55,0),0)</ns0:f>
        <ns0:v>0</ns0:v>
      </ns0:c>
      <ns0:c r="AN16" s="0">
        <ns0:f>IFERROR(IF(AND('_Engine'!$X16=1,ISNUMBER(Settings!$F56),Settings!$F56&gt;0,MID('_Engine'!$AP16,WEEKDAY(Settings!$F56,2),1)="W"),Settings!$F56,0),0)</ns0:f>
        <ns0:v>0</ns0:v>
      </ns0:c>
      <ns0:c r="AO16" s="0">
        <ns0:f>IFERROR(IF(AND('_Engine'!$X16=1,ISNUMBER(Settings!$F57),Settings!$F57&gt;0,MID('_Engine'!$AP16,WEEKDAY(Settings!$F57,2),1)="W"),Settings!$F57,0),0)</ns0:f>
        <ns0:v>0</ns0:v>
      </ns0:c>
      <ns0:c r="AP16" s="0">
        <ns0:f>IFERROR(IF(AND('_Engine'!$X16=1,ISNUMBER(Settings!$F58),Settings!$F58&gt;0,MID('_Engine'!$AP16,WEEKDAY(Settings!$F58,2),1)="W"),Settings!$F58,0),0)</ns0:f>
        <ns0:v>0</ns0:v>
      </ns0:c>
      <ns0:c r="AQ16" s="0">
        <ns0:f>IFERROR(IF(AND('_Engine'!$X16=1,ISNUMBER(Settings!$F59),Settings!$F59&gt;0,MID('_Engine'!$AP16,WEEKDAY(Settings!$F59,2),1)="W"),Settings!$F59,0),0)</ns0:f>
        <ns0:v>0</ns0:v>
      </ns0:c>
      <ns0:c r="AR16" s="0">
        <ns0:f>IFERROR(IF(AND('_Engine'!$X16=1,ISNUMBER(Settings!$F60),Settings!$F60&gt;0,MID('_Engine'!$AP16,WEEKDAY(Settings!$F60,2),1)="W"),Settings!$F60,0),0)</ns0:f>
        <ns0:v>0</ns0:v>
      </ns0:c>
      <ns0:c r="AS16" s="0">
        <ns0:f>IFERROR(IF(AND('_Engine'!$X16=1,ISNUMBER(Settings!$F61),Settings!$F61&gt;0,MID('_Engine'!$AP16,WEEKDAY(Settings!$F61,2),1)="W"),Settings!$F61,0),0)</ns0:f>
        <ns0:v>0</ns0:v>
      </ns0:c>
      <ns0:c r="AT16" s="0">
        <ns0:f>IFERROR(IF(AND('_Engine'!$X16=1,ISNUMBER(Settings!$F62),Settings!$F62&gt;0,MID('_Engine'!$AP16,WEEKDAY(Settings!$F62,2),1)="W"),Settings!$F62,0),0)</ns0:f>
        <ns0:v>0</ns0:v>
      </ns0:c>
      <ns0:c r="AU16" s="0">
        <ns0:f>IFERROR(IF(AND('_Engine'!$X16=1,ISNUMBER(Settings!$F63),Settings!$F63&gt;0,MID('_Engine'!$AP16,WEEKDAY(Settings!$F63,2),1)="W"),Settings!$F63,0),0)</ns0:f>
        <ns0:v>0</ns0:v>
      </ns0:c>
      <ns0:c r="AV16" s="0">
        <ns0:f>IFERROR(IF(AND('_Engine'!$X16=1,ISNUMBER(Settings!$F64),Settings!$F64&gt;0,MID('_Engine'!$AP16,WEEKDAY(Settings!$F64,2),1)="W"),Settings!$F64,0),0)</ns0:f>
        <ns0:v>0</ns0:v>
      </ns0:c>
      <ns0:c r="AW16" s="0">
        <ns0:f>IFERROR(IF(AND('_Engine'!$X16=1,ISNUMBER(Settings!$F65),Settings!$F65&gt;0,MID('_Engine'!$AP16,WEEKDAY(Settings!$F65,2),1)="W"),Settings!$F65,0),0)</ns0:f>
        <ns0:v>0</ns0:v>
      </ns0:c>
      <ns0:c r="AX16" s="0">
        <ns0:f>IFERROR(IF(AND('_Engine'!$X16=1,ISNUMBER(Settings!$F66),Settings!$F66&gt;0,MID('_Engine'!$AP16,WEEKDAY(Settings!$F66,2),1)="W"),Settings!$F66,0),0)</ns0:f>
        <ns0:v>0</ns0:v>
      </ns0:c>
      <ns0:c r="AY16" s="0">
        <ns0:f>IFERROR(IF(AND('_Engine'!$X16=1,ISNUMBER(Settings!$F67),Settings!$F67&gt;0,MID('_Engine'!$AP16,WEEKDAY(Settings!$F67,2),1)="W"),Settings!$F67,0),0)</ns0:f>
        <ns0:v>0</ns0:v>
      </ns0:c>
    </ns0:row>
    <ns0:row r="17">
      <ns0:c r="B17" s="0">
        <ns0:f>IFERROR(IF(AND('_Engine'!$X17=1,ISNUMBER(Settings!$F18),Settings!$F18&gt;0,MID('_Engine'!$AP17,WEEKDAY(Settings!$F18,2),1)="W"),Settings!$F18,0),0)</ns0:f>
        <ns0:v>0</ns0:v>
      </ns0:c>
      <ns0:c r="C17" s="0">
        <ns0:f>IFERROR(IF(AND('_Engine'!$X17=1,ISNUMBER(Settings!$F19),Settings!$F19&gt;0,MID('_Engine'!$AP17,WEEKDAY(Settings!$F19,2),1)="W"),Settings!$F19,0),0)</ns0:f>
        <ns0:v>0</ns0:v>
      </ns0:c>
      <ns0:c r="D17" s="0">
        <ns0:f>IFERROR(IF(AND('_Engine'!$X17=1,ISNUMBER(Settings!$F20),Settings!$F20&gt;0,MID('_Engine'!$AP17,WEEKDAY(Settings!$F20,2),1)="W"),Settings!$F20,0),0)</ns0:f>
        <ns0:v>0</ns0:v>
      </ns0:c>
      <ns0:c r="E17" s="0">
        <ns0:f>IFERROR(IF(AND('_Engine'!$X17=1,ISNUMBER(Settings!$F21),Settings!$F21&gt;0,MID('_Engine'!$AP17,WEEKDAY(Settings!$F21,2),1)="W"),Settings!$F21,0),0)</ns0:f>
        <ns0:v>0</ns0:v>
      </ns0:c>
      <ns0:c r="F17" s="0">
        <ns0:f>IFERROR(IF(AND('_Engine'!$X17=1,ISNUMBER(Settings!$F22),Settings!$F22&gt;0,MID('_Engine'!$AP17,WEEKDAY(Settings!$F22,2),1)="W"),Settings!$F22,0),0)</ns0:f>
        <ns0:v>0</ns0:v>
      </ns0:c>
      <ns0:c r="G17" s="0">
        <ns0:f>IFERROR(IF(AND('_Engine'!$X17=1,ISNUMBER(Settings!$F23),Settings!$F23&gt;0,MID('_Engine'!$AP17,WEEKDAY(Settings!$F23,2),1)="W"),Settings!$F23,0),0)</ns0:f>
        <ns0:v>0</ns0:v>
      </ns0:c>
      <ns0:c r="H17" s="0">
        <ns0:f>IFERROR(IF(AND('_Engine'!$X17=1,ISNUMBER(Settings!$F24),Settings!$F24&gt;0,MID('_Engine'!$AP17,WEEKDAY(Settings!$F24,2),1)="W"),Settings!$F24,0),0)</ns0:f>
        <ns0:v>0</ns0:v>
      </ns0:c>
      <ns0:c r="I17" s="0">
        <ns0:f>IFERROR(IF(AND('_Engine'!$X17=1,ISNUMBER(Settings!$F25),Settings!$F25&gt;0,MID('_Engine'!$AP17,WEEKDAY(Settings!$F25,2),1)="W"),Settings!$F25,0),0)</ns0:f>
        <ns0:v>0</ns0:v>
      </ns0:c>
      <ns0:c r="J17" s="0">
        <ns0:f>IFERROR(IF(AND('_Engine'!$X17=1,ISNUMBER(Settings!$F26),Settings!$F26&gt;0,MID('_Engine'!$AP17,WEEKDAY(Settings!$F26,2),1)="W"),Settings!$F26,0),0)</ns0:f>
        <ns0:v>0</ns0:v>
      </ns0:c>
      <ns0:c r="K17" s="0">
        <ns0:f>IFERROR(IF(AND('_Engine'!$X17=1,ISNUMBER(Settings!$F27),Settings!$F27&gt;0,MID('_Engine'!$AP17,WEEKDAY(Settings!$F27,2),1)="W"),Settings!$F27,0),0)</ns0:f>
        <ns0:v>0</ns0:v>
      </ns0:c>
      <ns0:c r="L17" s="0">
        <ns0:f>IFERROR(IF(AND('_Engine'!$X17=1,ISNUMBER(Settings!$F28),Settings!$F28&gt;0,MID('_Engine'!$AP17,WEEKDAY(Settings!$F28,2),1)="W"),Settings!$F28,0),0)</ns0:f>
        <ns0:v>0</ns0:v>
      </ns0:c>
      <ns0:c r="M17" s="0">
        <ns0:f>IFERROR(IF(AND('_Engine'!$X17=1,ISNUMBER(Settings!$F29),Settings!$F29&gt;0,MID('_Engine'!$AP17,WEEKDAY(Settings!$F29,2),1)="W"),Settings!$F29,0),0)</ns0:f>
        <ns0:v>0</ns0:v>
      </ns0:c>
      <ns0:c r="N17" s="0">
        <ns0:f>IFERROR(IF(AND('_Engine'!$X17=1,ISNUMBER(Settings!$F30),Settings!$F30&gt;0,MID('_Engine'!$AP17,WEEKDAY(Settings!$F30,2),1)="W"),Settings!$F30,0),0)</ns0:f>
        <ns0:v>0</ns0:v>
      </ns0:c>
      <ns0:c r="O17" s="0">
        <ns0:f>IFERROR(IF(AND('_Engine'!$X17=1,ISNUMBER(Settings!$F31),Settings!$F31&gt;0,MID('_Engine'!$AP17,WEEKDAY(Settings!$F31,2),1)="W"),Settings!$F31,0),0)</ns0:f>
        <ns0:v>0</ns0:v>
      </ns0:c>
      <ns0:c r="P17" s="0">
        <ns0:f>IFERROR(IF(AND('_Engine'!$X17=1,ISNUMBER(Settings!$F32),Settings!$F32&gt;0,MID('_Engine'!$AP17,WEEKDAY(Settings!$F32,2),1)="W"),Settings!$F32,0),0)</ns0:f>
        <ns0:v>0</ns0:v>
      </ns0:c>
      <ns0:c r="Q17" s="0">
        <ns0:f>IFERROR(IF(AND('_Engine'!$X17=1,ISNUMBER(Settings!$F33),Settings!$F33&gt;0,MID('_Engine'!$AP17,WEEKDAY(Settings!$F33,2),1)="W"),Settings!$F33,0),0)</ns0:f>
        <ns0:v>0</ns0:v>
      </ns0:c>
      <ns0:c r="R17" s="0">
        <ns0:f>IFERROR(IF(AND('_Engine'!$X17=1,ISNUMBER(Settings!$F34),Settings!$F34&gt;0,MID('_Engine'!$AP17,WEEKDAY(Settings!$F34,2),1)="W"),Settings!$F34,0),0)</ns0:f>
        <ns0:v>0</ns0:v>
      </ns0:c>
      <ns0:c r="S17" s="0">
        <ns0:f>IFERROR(IF(AND('_Engine'!$X17=1,ISNUMBER(Settings!$F35),Settings!$F35&gt;0,MID('_Engine'!$AP17,WEEKDAY(Settings!$F35,2),1)="W"),Settings!$F35,0),0)</ns0:f>
        <ns0:v>0</ns0:v>
      </ns0:c>
      <ns0:c r="T17" s="0">
        <ns0:f>IFERROR(IF(AND('_Engine'!$X17=1,ISNUMBER(Settings!$F36),Settings!$F36&gt;0,MID('_Engine'!$AP17,WEEKDAY(Settings!$F36,2),1)="W"),Settings!$F36,0),0)</ns0:f>
        <ns0:v>0</ns0:v>
      </ns0:c>
      <ns0:c r="U17" s="0">
        <ns0:f>IFERROR(IF(AND('_Engine'!$X17=1,ISNUMBER(Settings!$F37),Settings!$F37&gt;0,MID('_Engine'!$AP17,WEEKDAY(Settings!$F37,2),1)="W"),Settings!$F37,0),0)</ns0:f>
        <ns0:v>0</ns0:v>
      </ns0:c>
      <ns0:c r="V17" s="0">
        <ns0:f>IFERROR(IF(AND('_Engine'!$X17=1,ISNUMBER(Settings!$F38),Settings!$F38&gt;0,MID('_Engine'!$AP17,WEEKDAY(Settings!$F38,2),1)="W"),Settings!$F38,0),0)</ns0:f>
        <ns0:v>0</ns0:v>
      </ns0:c>
      <ns0:c r="W17" s="0">
        <ns0:f>IFERROR(IF(AND('_Engine'!$X17=1,ISNUMBER(Settings!$F39),Settings!$F39&gt;0,MID('_Engine'!$AP17,WEEKDAY(Settings!$F39,2),1)="W"),Settings!$F39,0),0)</ns0:f>
        <ns0:v>0</ns0:v>
      </ns0:c>
      <ns0:c r="X17" s="0">
        <ns0:f>IFERROR(IF(AND('_Engine'!$X17=1,ISNUMBER(Settings!$F40),Settings!$F40&gt;0,MID('_Engine'!$AP17,WEEKDAY(Settings!$F40,2),1)="W"),Settings!$F40,0),0)</ns0:f>
        <ns0:v>0</ns0:v>
      </ns0:c>
      <ns0:c r="Y17" s="0">
        <ns0:f>IFERROR(IF(AND('_Engine'!$X17=1,ISNUMBER(Settings!$F41),Settings!$F41&gt;0,MID('_Engine'!$AP17,WEEKDAY(Settings!$F41,2),1)="W"),Settings!$F41,0),0)</ns0:f>
        <ns0:v>0</ns0:v>
      </ns0:c>
      <ns0:c r="Z17" s="0">
        <ns0:f>IFERROR(IF(AND('_Engine'!$X17=1,ISNUMBER(Settings!$F42),Settings!$F42&gt;0,MID('_Engine'!$AP17,WEEKDAY(Settings!$F42,2),1)="W"),Settings!$F42,0),0)</ns0:f>
        <ns0:v>0</ns0:v>
      </ns0:c>
      <ns0:c r="AA17" s="0">
        <ns0:f>IFERROR(IF(AND('_Engine'!$X17=1,ISNUMBER(Settings!$F43),Settings!$F43&gt;0,MID('_Engine'!$AP17,WEEKDAY(Settings!$F43,2),1)="W"),Settings!$F43,0),0)</ns0:f>
        <ns0:v>0</ns0:v>
      </ns0:c>
      <ns0:c r="AB17" s="0">
        <ns0:f>IFERROR(IF(AND('_Engine'!$X17=1,ISNUMBER(Settings!$F44),Settings!$F44&gt;0,MID('_Engine'!$AP17,WEEKDAY(Settings!$F44,2),1)="W"),Settings!$F44,0),0)</ns0:f>
        <ns0:v>0</ns0:v>
      </ns0:c>
      <ns0:c r="AC17" s="0">
        <ns0:f>IFERROR(IF(AND('_Engine'!$X17=1,ISNUMBER(Settings!$F45),Settings!$F45&gt;0,MID('_Engine'!$AP17,WEEKDAY(Settings!$F45,2),1)="W"),Settings!$F45,0),0)</ns0:f>
        <ns0:v>0</ns0:v>
      </ns0:c>
      <ns0:c r="AD17" s="0">
        <ns0:f>IFERROR(IF(AND('_Engine'!$X17=1,ISNUMBER(Settings!$F46),Settings!$F46&gt;0,MID('_Engine'!$AP17,WEEKDAY(Settings!$F46,2),1)="W"),Settings!$F46,0),0)</ns0:f>
        <ns0:v>0</ns0:v>
      </ns0:c>
      <ns0:c r="AE17" s="0">
        <ns0:f>IFERROR(IF(AND('_Engine'!$X17=1,ISNUMBER(Settings!$F47),Settings!$F47&gt;0,MID('_Engine'!$AP17,WEEKDAY(Settings!$F47,2),1)="W"),Settings!$F47,0),0)</ns0:f>
        <ns0:v>0</ns0:v>
      </ns0:c>
      <ns0:c r="AF17" s="0">
        <ns0:f>IFERROR(IF(AND('_Engine'!$X17=1,ISNUMBER(Settings!$F48),Settings!$F48&gt;0,MID('_Engine'!$AP17,WEEKDAY(Settings!$F48,2),1)="W"),Settings!$F48,0),0)</ns0:f>
        <ns0:v>0</ns0:v>
      </ns0:c>
      <ns0:c r="AG17" s="0">
        <ns0:f>IFERROR(IF(AND('_Engine'!$X17=1,ISNUMBER(Settings!$F49),Settings!$F49&gt;0,MID('_Engine'!$AP17,WEEKDAY(Settings!$F49,2),1)="W"),Settings!$F49,0),0)</ns0:f>
        <ns0:v>0</ns0:v>
      </ns0:c>
      <ns0:c r="AH17" s="0">
        <ns0:f>IFERROR(IF(AND('_Engine'!$X17=1,ISNUMBER(Settings!$F50),Settings!$F50&gt;0,MID('_Engine'!$AP17,WEEKDAY(Settings!$F50,2),1)="W"),Settings!$F50,0),0)</ns0:f>
        <ns0:v>0</ns0:v>
      </ns0:c>
      <ns0:c r="AI17" s="0">
        <ns0:f>IFERROR(IF(AND('_Engine'!$X17=1,ISNUMBER(Settings!$F51),Settings!$F51&gt;0,MID('_Engine'!$AP17,WEEKDAY(Settings!$F51,2),1)="W"),Settings!$F51,0),0)</ns0:f>
        <ns0:v>0</ns0:v>
      </ns0:c>
      <ns0:c r="AJ17" s="0">
        <ns0:f>IFERROR(IF(AND('_Engine'!$X17=1,ISNUMBER(Settings!$F52),Settings!$F52&gt;0,MID('_Engine'!$AP17,WEEKDAY(Settings!$F52,2),1)="W"),Settings!$F52,0),0)</ns0:f>
        <ns0:v>0</ns0:v>
      </ns0:c>
      <ns0:c r="AK17" s="0">
        <ns0:f>IFERROR(IF(AND('_Engine'!$X17=1,ISNUMBER(Settings!$F53),Settings!$F53&gt;0,MID('_Engine'!$AP17,WEEKDAY(Settings!$F53,2),1)="W"),Settings!$F53,0),0)</ns0:f>
        <ns0:v>0</ns0:v>
      </ns0:c>
      <ns0:c r="AL17" s="0">
        <ns0:f>IFERROR(IF(AND('_Engine'!$X17=1,ISNUMBER(Settings!$F54),Settings!$F54&gt;0,MID('_Engine'!$AP17,WEEKDAY(Settings!$F54,2),1)="W"),Settings!$F54,0),0)</ns0:f>
        <ns0:v>0</ns0:v>
      </ns0:c>
      <ns0:c r="AM17" s="0">
        <ns0:f>IFERROR(IF(AND('_Engine'!$X17=1,ISNUMBER(Settings!$F55),Settings!$F55&gt;0,MID('_Engine'!$AP17,WEEKDAY(Settings!$F55,2),1)="W"),Settings!$F55,0),0)</ns0:f>
        <ns0:v>0</ns0:v>
      </ns0:c>
      <ns0:c r="AN17" s="0">
        <ns0:f>IFERROR(IF(AND('_Engine'!$X17=1,ISNUMBER(Settings!$F56),Settings!$F56&gt;0,MID('_Engine'!$AP17,WEEKDAY(Settings!$F56,2),1)="W"),Settings!$F56,0),0)</ns0:f>
        <ns0:v>0</ns0:v>
      </ns0:c>
      <ns0:c r="AO17" s="0">
        <ns0:f>IFERROR(IF(AND('_Engine'!$X17=1,ISNUMBER(Settings!$F57),Settings!$F57&gt;0,MID('_Engine'!$AP17,WEEKDAY(Settings!$F57,2),1)="W"),Settings!$F57,0),0)</ns0:f>
        <ns0:v>0</ns0:v>
      </ns0:c>
      <ns0:c r="AP17" s="0">
        <ns0:f>IFERROR(IF(AND('_Engine'!$X17=1,ISNUMBER(Settings!$F58),Settings!$F58&gt;0,MID('_Engine'!$AP17,WEEKDAY(Settings!$F58,2),1)="W"),Settings!$F58,0),0)</ns0:f>
        <ns0:v>0</ns0:v>
      </ns0:c>
      <ns0:c r="AQ17" s="0">
        <ns0:f>IFERROR(IF(AND('_Engine'!$X17=1,ISNUMBER(Settings!$F59),Settings!$F59&gt;0,MID('_Engine'!$AP17,WEEKDAY(Settings!$F59,2),1)="W"),Settings!$F59,0),0)</ns0:f>
        <ns0:v>0</ns0:v>
      </ns0:c>
      <ns0:c r="AR17" s="0">
        <ns0:f>IFERROR(IF(AND('_Engine'!$X17=1,ISNUMBER(Settings!$F60),Settings!$F60&gt;0,MID('_Engine'!$AP17,WEEKDAY(Settings!$F60,2),1)="W"),Settings!$F60,0),0)</ns0:f>
        <ns0:v>0</ns0:v>
      </ns0:c>
      <ns0:c r="AS17" s="0">
        <ns0:f>IFERROR(IF(AND('_Engine'!$X17=1,ISNUMBER(Settings!$F61),Settings!$F61&gt;0,MID('_Engine'!$AP17,WEEKDAY(Settings!$F61,2),1)="W"),Settings!$F61,0),0)</ns0:f>
        <ns0:v>0</ns0:v>
      </ns0:c>
      <ns0:c r="AT17" s="0">
        <ns0:f>IFERROR(IF(AND('_Engine'!$X17=1,ISNUMBER(Settings!$F62),Settings!$F62&gt;0,MID('_Engine'!$AP17,WEEKDAY(Settings!$F62,2),1)="W"),Settings!$F62,0),0)</ns0:f>
        <ns0:v>0</ns0:v>
      </ns0:c>
      <ns0:c r="AU17" s="0">
        <ns0:f>IFERROR(IF(AND('_Engine'!$X17=1,ISNUMBER(Settings!$F63),Settings!$F63&gt;0,MID('_Engine'!$AP17,WEEKDAY(Settings!$F63,2),1)="W"),Settings!$F63,0),0)</ns0:f>
        <ns0:v>0</ns0:v>
      </ns0:c>
      <ns0:c r="AV17" s="0">
        <ns0:f>IFERROR(IF(AND('_Engine'!$X17=1,ISNUMBER(Settings!$F64),Settings!$F64&gt;0,MID('_Engine'!$AP17,WEEKDAY(Settings!$F64,2),1)="W"),Settings!$F64,0),0)</ns0:f>
        <ns0:v>0</ns0:v>
      </ns0:c>
      <ns0:c r="AW17" s="0">
        <ns0:f>IFERROR(IF(AND('_Engine'!$X17=1,ISNUMBER(Settings!$F65),Settings!$F65&gt;0,MID('_Engine'!$AP17,WEEKDAY(Settings!$F65,2),1)="W"),Settings!$F65,0),0)</ns0:f>
        <ns0:v>0</ns0:v>
      </ns0:c>
      <ns0:c r="AX17" s="0">
        <ns0:f>IFERROR(IF(AND('_Engine'!$X17=1,ISNUMBER(Settings!$F66),Settings!$F66&gt;0,MID('_Engine'!$AP17,WEEKDAY(Settings!$F66,2),1)="W"),Settings!$F66,0),0)</ns0:f>
        <ns0:v>0</ns0:v>
      </ns0:c>
      <ns0:c r="AY17" s="0">
        <ns0:f>IFERROR(IF(AND('_Engine'!$X17=1,ISNUMBER(Settings!$F67),Settings!$F67&gt;0,MID('_Engine'!$AP17,WEEKDAY(Settings!$F67,2),1)="W"),Settings!$F67,0),0)</ns0:f>
        <ns0:v>0</ns0:v>
      </ns0:c>
    </ns0:row>
    <ns0:row r="18">
      <ns0:c r="B18" s="0">
        <ns0:f>IFERROR(IF(AND('_Engine'!$X18=1,ISNUMBER(Settings!$F18),Settings!$F18&gt;0,MID('_Engine'!$AP18,WEEKDAY(Settings!$F18,2),1)="W"),Settings!$F18,0),0)</ns0:f>
        <ns0:v>0</ns0:v>
      </ns0:c>
      <ns0:c r="C18" s="0">
        <ns0:f>IFERROR(IF(AND('_Engine'!$X18=1,ISNUMBER(Settings!$F19),Settings!$F19&gt;0,MID('_Engine'!$AP18,WEEKDAY(Settings!$F19,2),1)="W"),Settings!$F19,0),0)</ns0:f>
        <ns0:v>0</ns0:v>
      </ns0:c>
      <ns0:c r="D18" s="0">
        <ns0:f>IFERROR(IF(AND('_Engine'!$X18=1,ISNUMBER(Settings!$F20),Settings!$F20&gt;0,MID('_Engine'!$AP18,WEEKDAY(Settings!$F20,2),1)="W"),Settings!$F20,0),0)</ns0:f>
        <ns0:v>0</ns0:v>
      </ns0:c>
      <ns0:c r="E18" s="0">
        <ns0:f>IFERROR(IF(AND('_Engine'!$X18=1,ISNUMBER(Settings!$F21),Settings!$F21&gt;0,MID('_Engine'!$AP18,WEEKDAY(Settings!$F21,2),1)="W"),Settings!$F21,0),0)</ns0:f>
        <ns0:v>0</ns0:v>
      </ns0:c>
      <ns0:c r="F18" s="0">
        <ns0:f>IFERROR(IF(AND('_Engine'!$X18=1,ISNUMBER(Settings!$F22),Settings!$F22&gt;0,MID('_Engine'!$AP18,WEEKDAY(Settings!$F22,2),1)="W"),Settings!$F22,0),0)</ns0:f>
        <ns0:v>0</ns0:v>
      </ns0:c>
      <ns0:c r="G18" s="0">
        <ns0:f>IFERROR(IF(AND('_Engine'!$X18=1,ISNUMBER(Settings!$F23),Settings!$F23&gt;0,MID('_Engine'!$AP18,WEEKDAY(Settings!$F23,2),1)="W"),Settings!$F23,0),0)</ns0:f>
        <ns0:v>0</ns0:v>
      </ns0:c>
      <ns0:c r="H18" s="0">
        <ns0:f>IFERROR(IF(AND('_Engine'!$X18=1,ISNUMBER(Settings!$F24),Settings!$F24&gt;0,MID('_Engine'!$AP18,WEEKDAY(Settings!$F24,2),1)="W"),Settings!$F24,0),0)</ns0:f>
        <ns0:v>0</ns0:v>
      </ns0:c>
      <ns0:c r="I18" s="0">
        <ns0:f>IFERROR(IF(AND('_Engine'!$X18=1,ISNUMBER(Settings!$F25),Settings!$F25&gt;0,MID('_Engine'!$AP18,WEEKDAY(Settings!$F25,2),1)="W"),Settings!$F25,0),0)</ns0:f>
        <ns0:v>0</ns0:v>
      </ns0:c>
      <ns0:c r="J18" s="0">
        <ns0:f>IFERROR(IF(AND('_Engine'!$X18=1,ISNUMBER(Settings!$F26),Settings!$F26&gt;0,MID('_Engine'!$AP18,WEEKDAY(Settings!$F26,2),1)="W"),Settings!$F26,0),0)</ns0:f>
        <ns0:v>0</ns0:v>
      </ns0:c>
      <ns0:c r="K18" s="0">
        <ns0:f>IFERROR(IF(AND('_Engine'!$X18=1,ISNUMBER(Settings!$F27),Settings!$F27&gt;0,MID('_Engine'!$AP18,WEEKDAY(Settings!$F27,2),1)="W"),Settings!$F27,0),0)</ns0:f>
        <ns0:v>0</ns0:v>
      </ns0:c>
      <ns0:c r="L18" s="0">
        <ns0:f>IFERROR(IF(AND('_Engine'!$X18=1,ISNUMBER(Settings!$F28),Settings!$F28&gt;0,MID('_Engine'!$AP18,WEEKDAY(Settings!$F28,2),1)="W"),Settings!$F28,0),0)</ns0:f>
        <ns0:v>0</ns0:v>
      </ns0:c>
      <ns0:c r="M18" s="0">
        <ns0:f>IFERROR(IF(AND('_Engine'!$X18=1,ISNUMBER(Settings!$F29),Settings!$F29&gt;0,MID('_Engine'!$AP18,WEEKDAY(Settings!$F29,2),1)="W"),Settings!$F29,0),0)</ns0:f>
        <ns0:v>0</ns0:v>
      </ns0:c>
      <ns0:c r="N18" s="0">
        <ns0:f>IFERROR(IF(AND('_Engine'!$X18=1,ISNUMBER(Settings!$F30),Settings!$F30&gt;0,MID('_Engine'!$AP18,WEEKDAY(Settings!$F30,2),1)="W"),Settings!$F30,0),0)</ns0:f>
        <ns0:v>0</ns0:v>
      </ns0:c>
      <ns0:c r="O18" s="0">
        <ns0:f>IFERROR(IF(AND('_Engine'!$X18=1,ISNUMBER(Settings!$F31),Settings!$F31&gt;0,MID('_Engine'!$AP18,WEEKDAY(Settings!$F31,2),1)="W"),Settings!$F31,0),0)</ns0:f>
        <ns0:v>0</ns0:v>
      </ns0:c>
      <ns0:c r="P18" s="0">
        <ns0:f>IFERROR(IF(AND('_Engine'!$X18=1,ISNUMBER(Settings!$F32),Settings!$F32&gt;0,MID('_Engine'!$AP18,WEEKDAY(Settings!$F32,2),1)="W"),Settings!$F32,0),0)</ns0:f>
        <ns0:v>0</ns0:v>
      </ns0:c>
      <ns0:c r="Q18" s="0">
        <ns0:f>IFERROR(IF(AND('_Engine'!$X18=1,ISNUMBER(Settings!$F33),Settings!$F33&gt;0,MID('_Engine'!$AP18,WEEKDAY(Settings!$F33,2),1)="W"),Settings!$F33,0),0)</ns0:f>
        <ns0:v>0</ns0:v>
      </ns0:c>
      <ns0:c r="R18" s="0">
        <ns0:f>IFERROR(IF(AND('_Engine'!$X18=1,ISNUMBER(Settings!$F34),Settings!$F34&gt;0,MID('_Engine'!$AP18,WEEKDAY(Settings!$F34,2),1)="W"),Settings!$F34,0),0)</ns0:f>
        <ns0:v>0</ns0:v>
      </ns0:c>
      <ns0:c r="S18" s="0">
        <ns0:f>IFERROR(IF(AND('_Engine'!$X18=1,ISNUMBER(Settings!$F35),Settings!$F35&gt;0,MID('_Engine'!$AP18,WEEKDAY(Settings!$F35,2),1)="W"),Settings!$F35,0),0)</ns0:f>
        <ns0:v>0</ns0:v>
      </ns0:c>
      <ns0:c r="T18" s="0">
        <ns0:f>IFERROR(IF(AND('_Engine'!$X18=1,ISNUMBER(Settings!$F36),Settings!$F36&gt;0,MID('_Engine'!$AP18,WEEKDAY(Settings!$F36,2),1)="W"),Settings!$F36,0),0)</ns0:f>
        <ns0:v>0</ns0:v>
      </ns0:c>
      <ns0:c r="U18" s="0">
        <ns0:f>IFERROR(IF(AND('_Engine'!$X18=1,ISNUMBER(Settings!$F37),Settings!$F37&gt;0,MID('_Engine'!$AP18,WEEKDAY(Settings!$F37,2),1)="W"),Settings!$F37,0),0)</ns0:f>
        <ns0:v>0</ns0:v>
      </ns0:c>
      <ns0:c r="V18" s="0">
        <ns0:f>IFERROR(IF(AND('_Engine'!$X18=1,ISNUMBER(Settings!$F38),Settings!$F38&gt;0,MID('_Engine'!$AP18,WEEKDAY(Settings!$F38,2),1)="W"),Settings!$F38,0),0)</ns0:f>
        <ns0:v>0</ns0:v>
      </ns0:c>
      <ns0:c r="W18" s="0">
        <ns0:f>IFERROR(IF(AND('_Engine'!$X18=1,ISNUMBER(Settings!$F39),Settings!$F39&gt;0,MID('_Engine'!$AP18,WEEKDAY(Settings!$F39,2),1)="W"),Settings!$F39,0),0)</ns0:f>
        <ns0:v>0</ns0:v>
      </ns0:c>
      <ns0:c r="X18" s="0">
        <ns0:f>IFERROR(IF(AND('_Engine'!$X18=1,ISNUMBER(Settings!$F40),Settings!$F40&gt;0,MID('_Engine'!$AP18,WEEKDAY(Settings!$F40,2),1)="W"),Settings!$F40,0),0)</ns0:f>
        <ns0:v>0</ns0:v>
      </ns0:c>
      <ns0:c r="Y18" s="0">
        <ns0:f>IFERROR(IF(AND('_Engine'!$X18=1,ISNUMBER(Settings!$F41),Settings!$F41&gt;0,MID('_Engine'!$AP18,WEEKDAY(Settings!$F41,2),1)="W"),Settings!$F41,0),0)</ns0:f>
        <ns0:v>0</ns0:v>
      </ns0:c>
      <ns0:c r="Z18" s="0">
        <ns0:f>IFERROR(IF(AND('_Engine'!$X18=1,ISNUMBER(Settings!$F42),Settings!$F42&gt;0,MID('_Engine'!$AP18,WEEKDAY(Settings!$F42,2),1)="W"),Settings!$F42,0),0)</ns0:f>
        <ns0:v>0</ns0:v>
      </ns0:c>
      <ns0:c r="AA18" s="0">
        <ns0:f>IFERROR(IF(AND('_Engine'!$X18=1,ISNUMBER(Settings!$F43),Settings!$F43&gt;0,MID('_Engine'!$AP18,WEEKDAY(Settings!$F43,2),1)="W"),Settings!$F43,0),0)</ns0:f>
        <ns0:v>0</ns0:v>
      </ns0:c>
      <ns0:c r="AB18" s="0">
        <ns0:f>IFERROR(IF(AND('_Engine'!$X18=1,ISNUMBER(Settings!$F44),Settings!$F44&gt;0,MID('_Engine'!$AP18,WEEKDAY(Settings!$F44,2),1)="W"),Settings!$F44,0),0)</ns0:f>
        <ns0:v>0</ns0:v>
      </ns0:c>
      <ns0:c r="AC18" s="0">
        <ns0:f>IFERROR(IF(AND('_Engine'!$X18=1,ISNUMBER(Settings!$F45),Settings!$F45&gt;0,MID('_Engine'!$AP18,WEEKDAY(Settings!$F45,2),1)="W"),Settings!$F45,0),0)</ns0:f>
        <ns0:v>0</ns0:v>
      </ns0:c>
      <ns0:c r="AD18" s="0">
        <ns0:f>IFERROR(IF(AND('_Engine'!$X18=1,ISNUMBER(Settings!$F46),Settings!$F46&gt;0,MID('_Engine'!$AP18,WEEKDAY(Settings!$F46,2),1)="W"),Settings!$F46,0),0)</ns0:f>
        <ns0:v>0</ns0:v>
      </ns0:c>
      <ns0:c r="AE18" s="0">
        <ns0:f>IFERROR(IF(AND('_Engine'!$X18=1,ISNUMBER(Settings!$F47),Settings!$F47&gt;0,MID('_Engine'!$AP18,WEEKDAY(Settings!$F47,2),1)="W"),Settings!$F47,0),0)</ns0:f>
        <ns0:v>0</ns0:v>
      </ns0:c>
      <ns0:c r="AF18" s="0">
        <ns0:f>IFERROR(IF(AND('_Engine'!$X18=1,ISNUMBER(Settings!$F48),Settings!$F48&gt;0,MID('_Engine'!$AP18,WEEKDAY(Settings!$F48,2),1)="W"),Settings!$F48,0),0)</ns0:f>
        <ns0:v>0</ns0:v>
      </ns0:c>
      <ns0:c r="AG18" s="0">
        <ns0:f>IFERROR(IF(AND('_Engine'!$X18=1,ISNUMBER(Settings!$F49),Settings!$F49&gt;0,MID('_Engine'!$AP18,WEEKDAY(Settings!$F49,2),1)="W"),Settings!$F49,0),0)</ns0:f>
        <ns0:v>0</ns0:v>
      </ns0:c>
      <ns0:c r="AH18" s="0">
        <ns0:f>IFERROR(IF(AND('_Engine'!$X18=1,ISNUMBER(Settings!$F50),Settings!$F50&gt;0,MID('_Engine'!$AP18,WEEKDAY(Settings!$F50,2),1)="W"),Settings!$F50,0),0)</ns0:f>
        <ns0:v>0</ns0:v>
      </ns0:c>
      <ns0:c r="AI18" s="0">
        <ns0:f>IFERROR(IF(AND('_Engine'!$X18=1,ISNUMBER(Settings!$F51),Settings!$F51&gt;0,MID('_Engine'!$AP18,WEEKDAY(Settings!$F51,2),1)="W"),Settings!$F51,0),0)</ns0:f>
        <ns0:v>0</ns0:v>
      </ns0:c>
      <ns0:c r="AJ18" s="0">
        <ns0:f>IFERROR(IF(AND('_Engine'!$X18=1,ISNUMBER(Settings!$F52),Settings!$F52&gt;0,MID('_Engine'!$AP18,WEEKDAY(Settings!$F52,2),1)="W"),Settings!$F52,0),0)</ns0:f>
        <ns0:v>0</ns0:v>
      </ns0:c>
      <ns0:c r="AK18" s="0">
        <ns0:f>IFERROR(IF(AND('_Engine'!$X18=1,ISNUMBER(Settings!$F53),Settings!$F53&gt;0,MID('_Engine'!$AP18,WEEKDAY(Settings!$F53,2),1)="W"),Settings!$F53,0),0)</ns0:f>
        <ns0:v>0</ns0:v>
      </ns0:c>
      <ns0:c r="AL18" s="0">
        <ns0:f>IFERROR(IF(AND('_Engine'!$X18=1,ISNUMBER(Settings!$F54),Settings!$F54&gt;0,MID('_Engine'!$AP18,WEEKDAY(Settings!$F54,2),1)="W"),Settings!$F54,0),0)</ns0:f>
        <ns0:v>0</ns0:v>
      </ns0:c>
      <ns0:c r="AM18" s="0">
        <ns0:f>IFERROR(IF(AND('_Engine'!$X18=1,ISNUMBER(Settings!$F55),Settings!$F55&gt;0,MID('_Engine'!$AP18,WEEKDAY(Settings!$F55,2),1)="W"),Settings!$F55,0),0)</ns0:f>
        <ns0:v>0</ns0:v>
      </ns0:c>
      <ns0:c r="AN18" s="0">
        <ns0:f>IFERROR(IF(AND('_Engine'!$X18=1,ISNUMBER(Settings!$F56),Settings!$F56&gt;0,MID('_Engine'!$AP18,WEEKDAY(Settings!$F56,2),1)="W"),Settings!$F56,0),0)</ns0:f>
        <ns0:v>0</ns0:v>
      </ns0:c>
      <ns0:c r="AO18" s="0">
        <ns0:f>IFERROR(IF(AND('_Engine'!$X18=1,ISNUMBER(Settings!$F57),Settings!$F57&gt;0,MID('_Engine'!$AP18,WEEKDAY(Settings!$F57,2),1)="W"),Settings!$F57,0),0)</ns0:f>
        <ns0:v>0</ns0:v>
      </ns0:c>
      <ns0:c r="AP18" s="0">
        <ns0:f>IFERROR(IF(AND('_Engine'!$X18=1,ISNUMBER(Settings!$F58),Settings!$F58&gt;0,MID('_Engine'!$AP18,WEEKDAY(Settings!$F58,2),1)="W"),Settings!$F58,0),0)</ns0:f>
        <ns0:v>0</ns0:v>
      </ns0:c>
      <ns0:c r="AQ18" s="0">
        <ns0:f>IFERROR(IF(AND('_Engine'!$X18=1,ISNUMBER(Settings!$F59),Settings!$F59&gt;0,MID('_Engine'!$AP18,WEEKDAY(Settings!$F59,2),1)="W"),Settings!$F59,0),0)</ns0:f>
        <ns0:v>0</ns0:v>
      </ns0:c>
      <ns0:c r="AR18" s="0">
        <ns0:f>IFERROR(IF(AND('_Engine'!$X18=1,ISNUMBER(Settings!$F60),Settings!$F60&gt;0,MID('_Engine'!$AP18,WEEKDAY(Settings!$F60,2),1)="W"),Settings!$F60,0),0)</ns0:f>
        <ns0:v>0</ns0:v>
      </ns0:c>
      <ns0:c r="AS18" s="0">
        <ns0:f>IFERROR(IF(AND('_Engine'!$X18=1,ISNUMBER(Settings!$F61),Settings!$F61&gt;0,MID('_Engine'!$AP18,WEEKDAY(Settings!$F61,2),1)="W"),Settings!$F61,0),0)</ns0:f>
        <ns0:v>0</ns0:v>
      </ns0:c>
      <ns0:c r="AT18" s="0">
        <ns0:f>IFERROR(IF(AND('_Engine'!$X18=1,ISNUMBER(Settings!$F62),Settings!$F62&gt;0,MID('_Engine'!$AP18,WEEKDAY(Settings!$F62,2),1)="W"),Settings!$F62,0),0)</ns0:f>
        <ns0:v>0</ns0:v>
      </ns0:c>
      <ns0:c r="AU18" s="0">
        <ns0:f>IFERROR(IF(AND('_Engine'!$X18=1,ISNUMBER(Settings!$F63),Settings!$F63&gt;0,MID('_Engine'!$AP18,WEEKDAY(Settings!$F63,2),1)="W"),Settings!$F63,0),0)</ns0:f>
        <ns0:v>0</ns0:v>
      </ns0:c>
      <ns0:c r="AV18" s="0">
        <ns0:f>IFERROR(IF(AND('_Engine'!$X18=1,ISNUMBER(Settings!$F64),Settings!$F64&gt;0,MID('_Engine'!$AP18,WEEKDAY(Settings!$F64,2),1)="W"),Settings!$F64,0),0)</ns0:f>
        <ns0:v>0</ns0:v>
      </ns0:c>
      <ns0:c r="AW18" s="0">
        <ns0:f>IFERROR(IF(AND('_Engine'!$X18=1,ISNUMBER(Settings!$F65),Settings!$F65&gt;0,MID('_Engine'!$AP18,WEEKDAY(Settings!$F65,2),1)="W"),Settings!$F65,0),0)</ns0:f>
        <ns0:v>0</ns0:v>
      </ns0:c>
      <ns0:c r="AX18" s="0">
        <ns0:f>IFERROR(IF(AND('_Engine'!$X18=1,ISNUMBER(Settings!$F66),Settings!$F66&gt;0,MID('_Engine'!$AP18,WEEKDAY(Settings!$F66,2),1)="W"),Settings!$F66,0),0)</ns0:f>
        <ns0:v>0</ns0:v>
      </ns0:c>
      <ns0:c r="AY18" s="0">
        <ns0:f>IFERROR(IF(AND('_Engine'!$X18=1,ISNUMBER(Settings!$F67),Settings!$F67&gt;0,MID('_Engine'!$AP18,WEEKDAY(Settings!$F67,2),1)="W"),Settings!$F67,0),0)</ns0:f>
        <ns0:v>0</ns0:v>
      </ns0:c>
    </ns0:row>
    <ns0:row r="19">
      <ns0:c r="B19" s="0">
        <ns0:f>IFERROR(IF(AND('_Engine'!$X19=1,ISNUMBER(Settings!$F18),Settings!$F18&gt;0,MID('_Engine'!$AP19,WEEKDAY(Settings!$F18,2),1)="W"),Settings!$F18,0),0)</ns0:f>
        <ns0:v>0</ns0:v>
      </ns0:c>
      <ns0:c r="C19" s="0">
        <ns0:f>IFERROR(IF(AND('_Engine'!$X19=1,ISNUMBER(Settings!$F19),Settings!$F19&gt;0,MID('_Engine'!$AP19,WEEKDAY(Settings!$F19,2),1)="W"),Settings!$F19,0),0)</ns0:f>
        <ns0:v>0</ns0:v>
      </ns0:c>
      <ns0:c r="D19" s="0">
        <ns0:f>IFERROR(IF(AND('_Engine'!$X19=1,ISNUMBER(Settings!$F20),Settings!$F20&gt;0,MID('_Engine'!$AP19,WEEKDAY(Settings!$F20,2),1)="W"),Settings!$F20,0),0)</ns0:f>
        <ns0:v>0</ns0:v>
      </ns0:c>
      <ns0:c r="E19" s="0">
        <ns0:f>IFERROR(IF(AND('_Engine'!$X19=1,ISNUMBER(Settings!$F21),Settings!$F21&gt;0,MID('_Engine'!$AP19,WEEKDAY(Settings!$F21,2),1)="W"),Settings!$F21,0),0)</ns0:f>
        <ns0:v>0</ns0:v>
      </ns0:c>
      <ns0:c r="F19" s="0">
        <ns0:f>IFERROR(IF(AND('_Engine'!$X19=1,ISNUMBER(Settings!$F22),Settings!$F22&gt;0,MID('_Engine'!$AP19,WEEKDAY(Settings!$F22,2),1)="W"),Settings!$F22,0),0)</ns0:f>
        <ns0:v>0</ns0:v>
      </ns0:c>
      <ns0:c r="G19" s="0">
        <ns0:f>IFERROR(IF(AND('_Engine'!$X19=1,ISNUMBER(Settings!$F23),Settings!$F23&gt;0,MID('_Engine'!$AP19,WEEKDAY(Settings!$F23,2),1)="W"),Settings!$F23,0),0)</ns0:f>
        <ns0:v>0</ns0:v>
      </ns0:c>
      <ns0:c r="H19" s="0">
        <ns0:f>IFERROR(IF(AND('_Engine'!$X19=1,ISNUMBER(Settings!$F24),Settings!$F24&gt;0,MID('_Engine'!$AP19,WEEKDAY(Settings!$F24,2),1)="W"),Settings!$F24,0),0)</ns0:f>
        <ns0:v>0</ns0:v>
      </ns0:c>
      <ns0:c r="I19" s="0">
        <ns0:f>IFERROR(IF(AND('_Engine'!$X19=1,ISNUMBER(Settings!$F25),Settings!$F25&gt;0,MID('_Engine'!$AP19,WEEKDAY(Settings!$F25,2),1)="W"),Settings!$F25,0),0)</ns0:f>
        <ns0:v>0</ns0:v>
      </ns0:c>
      <ns0:c r="J19" s="0">
        <ns0:f>IFERROR(IF(AND('_Engine'!$X19=1,ISNUMBER(Settings!$F26),Settings!$F26&gt;0,MID('_Engine'!$AP19,WEEKDAY(Settings!$F26,2),1)="W"),Settings!$F26,0),0)</ns0:f>
        <ns0:v>0</ns0:v>
      </ns0:c>
      <ns0:c r="K19" s="0">
        <ns0:f>IFERROR(IF(AND('_Engine'!$X19=1,ISNUMBER(Settings!$F27),Settings!$F27&gt;0,MID('_Engine'!$AP19,WEEKDAY(Settings!$F27,2),1)="W"),Settings!$F27,0),0)</ns0:f>
        <ns0:v>0</ns0:v>
      </ns0:c>
      <ns0:c r="L19" s="0">
        <ns0:f>IFERROR(IF(AND('_Engine'!$X19=1,ISNUMBER(Settings!$F28),Settings!$F28&gt;0,MID('_Engine'!$AP19,WEEKDAY(Settings!$F28,2),1)="W"),Settings!$F28,0),0)</ns0:f>
        <ns0:v>0</ns0:v>
      </ns0:c>
      <ns0:c r="M19" s="0">
        <ns0:f>IFERROR(IF(AND('_Engine'!$X19=1,ISNUMBER(Settings!$F29),Settings!$F29&gt;0,MID('_Engine'!$AP19,WEEKDAY(Settings!$F29,2),1)="W"),Settings!$F29,0),0)</ns0:f>
        <ns0:v>0</ns0:v>
      </ns0:c>
      <ns0:c r="N19" s="0">
        <ns0:f>IFERROR(IF(AND('_Engine'!$X19=1,ISNUMBER(Settings!$F30),Settings!$F30&gt;0,MID('_Engine'!$AP19,WEEKDAY(Settings!$F30,2),1)="W"),Settings!$F30,0),0)</ns0:f>
        <ns0:v>0</ns0:v>
      </ns0:c>
      <ns0:c r="O19" s="0">
        <ns0:f>IFERROR(IF(AND('_Engine'!$X19=1,ISNUMBER(Settings!$F31),Settings!$F31&gt;0,MID('_Engine'!$AP19,WEEKDAY(Settings!$F31,2),1)="W"),Settings!$F31,0),0)</ns0:f>
        <ns0:v>0</ns0:v>
      </ns0:c>
      <ns0:c r="P19" s="0">
        <ns0:f>IFERROR(IF(AND('_Engine'!$X19=1,ISNUMBER(Settings!$F32),Settings!$F32&gt;0,MID('_Engine'!$AP19,WEEKDAY(Settings!$F32,2),1)="W"),Settings!$F32,0),0)</ns0:f>
        <ns0:v>0</ns0:v>
      </ns0:c>
      <ns0:c r="Q19" s="0">
        <ns0:f>IFERROR(IF(AND('_Engine'!$X19=1,ISNUMBER(Settings!$F33),Settings!$F33&gt;0,MID('_Engine'!$AP19,WEEKDAY(Settings!$F33,2),1)="W"),Settings!$F33,0),0)</ns0:f>
        <ns0:v>0</ns0:v>
      </ns0:c>
      <ns0:c r="R19" s="0">
        <ns0:f>IFERROR(IF(AND('_Engine'!$X19=1,ISNUMBER(Settings!$F34),Settings!$F34&gt;0,MID('_Engine'!$AP19,WEEKDAY(Settings!$F34,2),1)="W"),Settings!$F34,0),0)</ns0:f>
        <ns0:v>0</ns0:v>
      </ns0:c>
      <ns0:c r="S19" s="0">
        <ns0:f>IFERROR(IF(AND('_Engine'!$X19=1,ISNUMBER(Settings!$F35),Settings!$F35&gt;0,MID('_Engine'!$AP19,WEEKDAY(Settings!$F35,2),1)="W"),Settings!$F35,0),0)</ns0:f>
        <ns0:v>0</ns0:v>
      </ns0:c>
      <ns0:c r="T19" s="0">
        <ns0:f>IFERROR(IF(AND('_Engine'!$X19=1,ISNUMBER(Settings!$F36),Settings!$F36&gt;0,MID('_Engine'!$AP19,WEEKDAY(Settings!$F36,2),1)="W"),Settings!$F36,0),0)</ns0:f>
        <ns0:v>0</ns0:v>
      </ns0:c>
      <ns0:c r="U19" s="0">
        <ns0:f>IFERROR(IF(AND('_Engine'!$X19=1,ISNUMBER(Settings!$F37),Settings!$F37&gt;0,MID('_Engine'!$AP19,WEEKDAY(Settings!$F37,2),1)="W"),Settings!$F37,0),0)</ns0:f>
        <ns0:v>0</ns0:v>
      </ns0:c>
      <ns0:c r="V19" s="0">
        <ns0:f>IFERROR(IF(AND('_Engine'!$X19=1,ISNUMBER(Settings!$F38),Settings!$F38&gt;0,MID('_Engine'!$AP19,WEEKDAY(Settings!$F38,2),1)="W"),Settings!$F38,0),0)</ns0:f>
        <ns0:v>0</ns0:v>
      </ns0:c>
      <ns0:c r="W19" s="0">
        <ns0:f>IFERROR(IF(AND('_Engine'!$X19=1,ISNUMBER(Settings!$F39),Settings!$F39&gt;0,MID('_Engine'!$AP19,WEEKDAY(Settings!$F39,2),1)="W"),Settings!$F39,0),0)</ns0:f>
        <ns0:v>0</ns0:v>
      </ns0:c>
      <ns0:c r="X19" s="0">
        <ns0:f>IFERROR(IF(AND('_Engine'!$X19=1,ISNUMBER(Settings!$F40),Settings!$F40&gt;0,MID('_Engine'!$AP19,WEEKDAY(Settings!$F40,2),1)="W"),Settings!$F40,0),0)</ns0:f>
        <ns0:v>0</ns0:v>
      </ns0:c>
      <ns0:c r="Y19" s="0">
        <ns0:f>IFERROR(IF(AND('_Engine'!$X19=1,ISNUMBER(Settings!$F41),Settings!$F41&gt;0,MID('_Engine'!$AP19,WEEKDAY(Settings!$F41,2),1)="W"),Settings!$F41,0),0)</ns0:f>
        <ns0:v>0</ns0:v>
      </ns0:c>
      <ns0:c r="Z19" s="0">
        <ns0:f>IFERROR(IF(AND('_Engine'!$X19=1,ISNUMBER(Settings!$F42),Settings!$F42&gt;0,MID('_Engine'!$AP19,WEEKDAY(Settings!$F42,2),1)="W"),Settings!$F42,0),0)</ns0:f>
        <ns0:v>0</ns0:v>
      </ns0:c>
      <ns0:c r="AA19" s="0">
        <ns0:f>IFERROR(IF(AND('_Engine'!$X19=1,ISNUMBER(Settings!$F43),Settings!$F43&gt;0,MID('_Engine'!$AP19,WEEKDAY(Settings!$F43,2),1)="W"),Settings!$F43,0),0)</ns0:f>
        <ns0:v>0</ns0:v>
      </ns0:c>
      <ns0:c r="AB19" s="0">
        <ns0:f>IFERROR(IF(AND('_Engine'!$X19=1,ISNUMBER(Settings!$F44),Settings!$F44&gt;0,MID('_Engine'!$AP19,WEEKDAY(Settings!$F44,2),1)="W"),Settings!$F44,0),0)</ns0:f>
        <ns0:v>0</ns0:v>
      </ns0:c>
      <ns0:c r="AC19" s="0">
        <ns0:f>IFERROR(IF(AND('_Engine'!$X19=1,ISNUMBER(Settings!$F45),Settings!$F45&gt;0,MID('_Engine'!$AP19,WEEKDAY(Settings!$F45,2),1)="W"),Settings!$F45,0),0)</ns0:f>
        <ns0:v>0</ns0:v>
      </ns0:c>
      <ns0:c r="AD19" s="0">
        <ns0:f>IFERROR(IF(AND('_Engine'!$X19=1,ISNUMBER(Settings!$F46),Settings!$F46&gt;0,MID('_Engine'!$AP19,WEEKDAY(Settings!$F46,2),1)="W"),Settings!$F46,0),0)</ns0:f>
        <ns0:v>0</ns0:v>
      </ns0:c>
      <ns0:c r="AE19" s="0">
        <ns0:f>IFERROR(IF(AND('_Engine'!$X19=1,ISNUMBER(Settings!$F47),Settings!$F47&gt;0,MID('_Engine'!$AP19,WEEKDAY(Settings!$F47,2),1)="W"),Settings!$F47,0),0)</ns0:f>
        <ns0:v>0</ns0:v>
      </ns0:c>
      <ns0:c r="AF19" s="0">
        <ns0:f>IFERROR(IF(AND('_Engine'!$X19=1,ISNUMBER(Settings!$F48),Settings!$F48&gt;0,MID('_Engine'!$AP19,WEEKDAY(Settings!$F48,2),1)="W"),Settings!$F48,0),0)</ns0:f>
        <ns0:v>0</ns0:v>
      </ns0:c>
      <ns0:c r="AG19" s="0">
        <ns0:f>IFERROR(IF(AND('_Engine'!$X19=1,ISNUMBER(Settings!$F49),Settings!$F49&gt;0,MID('_Engine'!$AP19,WEEKDAY(Settings!$F49,2),1)="W"),Settings!$F49,0),0)</ns0:f>
        <ns0:v>0</ns0:v>
      </ns0:c>
      <ns0:c r="AH19" s="0">
        <ns0:f>IFERROR(IF(AND('_Engine'!$X19=1,ISNUMBER(Settings!$F50),Settings!$F50&gt;0,MID('_Engine'!$AP19,WEEKDAY(Settings!$F50,2),1)="W"),Settings!$F50,0),0)</ns0:f>
        <ns0:v>0</ns0:v>
      </ns0:c>
      <ns0:c r="AI19" s="0">
        <ns0:f>IFERROR(IF(AND('_Engine'!$X19=1,ISNUMBER(Settings!$F51),Settings!$F51&gt;0,MID('_Engine'!$AP19,WEEKDAY(Settings!$F51,2),1)="W"),Settings!$F51,0),0)</ns0:f>
        <ns0:v>0</ns0:v>
      </ns0:c>
      <ns0:c r="AJ19" s="0">
        <ns0:f>IFERROR(IF(AND('_Engine'!$X19=1,ISNUMBER(Settings!$F52),Settings!$F52&gt;0,MID('_Engine'!$AP19,WEEKDAY(Settings!$F52,2),1)="W"),Settings!$F52,0),0)</ns0:f>
        <ns0:v>0</ns0:v>
      </ns0:c>
      <ns0:c r="AK19" s="0">
        <ns0:f>IFERROR(IF(AND('_Engine'!$X19=1,ISNUMBER(Settings!$F53),Settings!$F53&gt;0,MID('_Engine'!$AP19,WEEKDAY(Settings!$F53,2),1)="W"),Settings!$F53,0),0)</ns0:f>
        <ns0:v>0</ns0:v>
      </ns0:c>
      <ns0:c r="AL19" s="0">
        <ns0:f>IFERROR(IF(AND('_Engine'!$X19=1,ISNUMBER(Settings!$F54),Settings!$F54&gt;0,MID('_Engine'!$AP19,WEEKDAY(Settings!$F54,2),1)="W"),Settings!$F54,0),0)</ns0:f>
        <ns0:v>0</ns0:v>
      </ns0:c>
      <ns0:c r="AM19" s="0">
        <ns0:f>IFERROR(IF(AND('_Engine'!$X19=1,ISNUMBER(Settings!$F55),Settings!$F55&gt;0,MID('_Engine'!$AP19,WEEKDAY(Settings!$F55,2),1)="W"),Settings!$F55,0),0)</ns0:f>
        <ns0:v>0</ns0:v>
      </ns0:c>
      <ns0:c r="AN19" s="0">
        <ns0:f>IFERROR(IF(AND('_Engine'!$X19=1,ISNUMBER(Settings!$F56),Settings!$F56&gt;0,MID('_Engine'!$AP19,WEEKDAY(Settings!$F56,2),1)="W"),Settings!$F56,0),0)</ns0:f>
        <ns0:v>0</ns0:v>
      </ns0:c>
      <ns0:c r="AO19" s="0">
        <ns0:f>IFERROR(IF(AND('_Engine'!$X19=1,ISNUMBER(Settings!$F57),Settings!$F57&gt;0,MID('_Engine'!$AP19,WEEKDAY(Settings!$F57,2),1)="W"),Settings!$F57,0),0)</ns0:f>
        <ns0:v>0</ns0:v>
      </ns0:c>
      <ns0:c r="AP19" s="0">
        <ns0:f>IFERROR(IF(AND('_Engine'!$X19=1,ISNUMBER(Settings!$F58),Settings!$F58&gt;0,MID('_Engine'!$AP19,WEEKDAY(Settings!$F58,2),1)="W"),Settings!$F58,0),0)</ns0:f>
        <ns0:v>0</ns0:v>
      </ns0:c>
      <ns0:c r="AQ19" s="0">
        <ns0:f>IFERROR(IF(AND('_Engine'!$X19=1,ISNUMBER(Settings!$F59),Settings!$F59&gt;0,MID('_Engine'!$AP19,WEEKDAY(Settings!$F59,2),1)="W"),Settings!$F59,0),0)</ns0:f>
        <ns0:v>0</ns0:v>
      </ns0:c>
      <ns0:c r="AR19" s="0">
        <ns0:f>IFERROR(IF(AND('_Engine'!$X19=1,ISNUMBER(Settings!$F60),Settings!$F60&gt;0,MID('_Engine'!$AP19,WEEKDAY(Settings!$F60,2),1)="W"),Settings!$F60,0),0)</ns0:f>
        <ns0:v>0</ns0:v>
      </ns0:c>
      <ns0:c r="AS19" s="0">
        <ns0:f>IFERROR(IF(AND('_Engine'!$X19=1,ISNUMBER(Settings!$F61),Settings!$F61&gt;0,MID('_Engine'!$AP19,WEEKDAY(Settings!$F61,2),1)="W"),Settings!$F61,0),0)</ns0:f>
        <ns0:v>0</ns0:v>
      </ns0:c>
      <ns0:c r="AT19" s="0">
        <ns0:f>IFERROR(IF(AND('_Engine'!$X19=1,ISNUMBER(Settings!$F62),Settings!$F62&gt;0,MID('_Engine'!$AP19,WEEKDAY(Settings!$F62,2),1)="W"),Settings!$F62,0),0)</ns0:f>
        <ns0:v>0</ns0:v>
      </ns0:c>
      <ns0:c r="AU19" s="0">
        <ns0:f>IFERROR(IF(AND('_Engine'!$X19=1,ISNUMBER(Settings!$F63),Settings!$F63&gt;0,MID('_Engine'!$AP19,WEEKDAY(Settings!$F63,2),1)="W"),Settings!$F63,0),0)</ns0:f>
        <ns0:v>0</ns0:v>
      </ns0:c>
      <ns0:c r="AV19" s="0">
        <ns0:f>IFERROR(IF(AND('_Engine'!$X19=1,ISNUMBER(Settings!$F64),Settings!$F64&gt;0,MID('_Engine'!$AP19,WEEKDAY(Settings!$F64,2),1)="W"),Settings!$F64,0),0)</ns0:f>
        <ns0:v>0</ns0:v>
      </ns0:c>
      <ns0:c r="AW19" s="0">
        <ns0:f>IFERROR(IF(AND('_Engine'!$X19=1,ISNUMBER(Settings!$F65),Settings!$F65&gt;0,MID('_Engine'!$AP19,WEEKDAY(Settings!$F65,2),1)="W"),Settings!$F65,0),0)</ns0:f>
        <ns0:v>0</ns0:v>
      </ns0:c>
      <ns0:c r="AX19" s="0">
        <ns0:f>IFERROR(IF(AND('_Engine'!$X19=1,ISNUMBER(Settings!$F66),Settings!$F66&gt;0,MID('_Engine'!$AP19,WEEKDAY(Settings!$F66,2),1)="W"),Settings!$F66,0),0)</ns0:f>
        <ns0:v>0</ns0:v>
      </ns0:c>
      <ns0:c r="AY19" s="0">
        <ns0:f>IFERROR(IF(AND('_Engine'!$X19=1,ISNUMBER(Settings!$F67),Settings!$F67&gt;0,MID('_Engine'!$AP19,WEEKDAY(Settings!$F67,2),1)="W"),Settings!$F67,0),0)</ns0:f>
        <ns0:v>0</ns0:v>
      </ns0:c>
    </ns0:row>
    <ns0:row r="20">
      <ns0:c r="B20" s="0">
        <ns0:f>IFERROR(IF(AND('_Engine'!$X20=1,ISNUMBER(Settings!$F18),Settings!$F18&gt;0,MID('_Engine'!$AP20,WEEKDAY(Settings!$F18,2),1)="W"),Settings!$F18,0),0)</ns0:f>
        <ns0:v>0</ns0:v>
      </ns0:c>
      <ns0:c r="C20" s="0">
        <ns0:f>IFERROR(IF(AND('_Engine'!$X20=1,ISNUMBER(Settings!$F19),Settings!$F19&gt;0,MID('_Engine'!$AP20,WEEKDAY(Settings!$F19,2),1)="W"),Settings!$F19,0),0)</ns0:f>
        <ns0:v>0</ns0:v>
      </ns0:c>
      <ns0:c r="D20" s="0">
        <ns0:f>IFERROR(IF(AND('_Engine'!$X20=1,ISNUMBER(Settings!$F20),Settings!$F20&gt;0,MID('_Engine'!$AP20,WEEKDAY(Settings!$F20,2),1)="W"),Settings!$F20,0),0)</ns0:f>
        <ns0:v>0</ns0:v>
      </ns0:c>
      <ns0:c r="E20" s="0">
        <ns0:f>IFERROR(IF(AND('_Engine'!$X20=1,ISNUMBER(Settings!$F21),Settings!$F21&gt;0,MID('_Engine'!$AP20,WEEKDAY(Settings!$F21,2),1)="W"),Settings!$F21,0),0)</ns0:f>
        <ns0:v>0</ns0:v>
      </ns0:c>
      <ns0:c r="F20" s="0">
        <ns0:f>IFERROR(IF(AND('_Engine'!$X20=1,ISNUMBER(Settings!$F22),Settings!$F22&gt;0,MID('_Engine'!$AP20,WEEKDAY(Settings!$F22,2),1)="W"),Settings!$F22,0),0)</ns0:f>
        <ns0:v>0</ns0:v>
      </ns0:c>
      <ns0:c r="G20" s="0">
        <ns0:f>IFERROR(IF(AND('_Engine'!$X20=1,ISNUMBER(Settings!$F23),Settings!$F23&gt;0,MID('_Engine'!$AP20,WEEKDAY(Settings!$F23,2),1)="W"),Settings!$F23,0),0)</ns0:f>
        <ns0:v>0</ns0:v>
      </ns0:c>
      <ns0:c r="H20" s="0">
        <ns0:f>IFERROR(IF(AND('_Engine'!$X20=1,ISNUMBER(Settings!$F24),Settings!$F24&gt;0,MID('_Engine'!$AP20,WEEKDAY(Settings!$F24,2),1)="W"),Settings!$F24,0),0)</ns0:f>
        <ns0:v>0</ns0:v>
      </ns0:c>
      <ns0:c r="I20" s="0">
        <ns0:f>IFERROR(IF(AND('_Engine'!$X20=1,ISNUMBER(Settings!$F25),Settings!$F25&gt;0,MID('_Engine'!$AP20,WEEKDAY(Settings!$F25,2),1)="W"),Settings!$F25,0),0)</ns0:f>
        <ns0:v>0</ns0:v>
      </ns0:c>
      <ns0:c r="J20" s="0">
        <ns0:f>IFERROR(IF(AND('_Engine'!$X20=1,ISNUMBER(Settings!$F26),Settings!$F26&gt;0,MID('_Engine'!$AP20,WEEKDAY(Settings!$F26,2),1)="W"),Settings!$F26,0),0)</ns0:f>
        <ns0:v>0</ns0:v>
      </ns0:c>
      <ns0:c r="K20" s="0">
        <ns0:f>IFERROR(IF(AND('_Engine'!$X20=1,ISNUMBER(Settings!$F27),Settings!$F27&gt;0,MID('_Engine'!$AP20,WEEKDAY(Settings!$F27,2),1)="W"),Settings!$F27,0),0)</ns0:f>
        <ns0:v>0</ns0:v>
      </ns0:c>
      <ns0:c r="L20" s="0">
        <ns0:f>IFERROR(IF(AND('_Engine'!$X20=1,ISNUMBER(Settings!$F28),Settings!$F28&gt;0,MID('_Engine'!$AP20,WEEKDAY(Settings!$F28,2),1)="W"),Settings!$F28,0),0)</ns0:f>
        <ns0:v>0</ns0:v>
      </ns0:c>
      <ns0:c r="M20" s="0">
        <ns0:f>IFERROR(IF(AND('_Engine'!$X20=1,ISNUMBER(Settings!$F29),Settings!$F29&gt;0,MID('_Engine'!$AP20,WEEKDAY(Settings!$F29,2),1)="W"),Settings!$F29,0),0)</ns0:f>
        <ns0:v>0</ns0:v>
      </ns0:c>
      <ns0:c r="N20" s="0">
        <ns0:f>IFERROR(IF(AND('_Engine'!$X20=1,ISNUMBER(Settings!$F30),Settings!$F30&gt;0,MID('_Engine'!$AP20,WEEKDAY(Settings!$F30,2),1)="W"),Settings!$F30,0),0)</ns0:f>
        <ns0:v>0</ns0:v>
      </ns0:c>
      <ns0:c r="O20" s="0">
        <ns0:f>IFERROR(IF(AND('_Engine'!$X20=1,ISNUMBER(Settings!$F31),Settings!$F31&gt;0,MID('_Engine'!$AP20,WEEKDAY(Settings!$F31,2),1)="W"),Settings!$F31,0),0)</ns0:f>
        <ns0:v>0</ns0:v>
      </ns0:c>
      <ns0:c r="P20" s="0">
        <ns0:f>IFERROR(IF(AND('_Engine'!$X20=1,ISNUMBER(Settings!$F32),Settings!$F32&gt;0,MID('_Engine'!$AP20,WEEKDAY(Settings!$F32,2),1)="W"),Settings!$F32,0),0)</ns0:f>
        <ns0:v>0</ns0:v>
      </ns0:c>
      <ns0:c r="Q20" s="0">
        <ns0:f>IFERROR(IF(AND('_Engine'!$X20=1,ISNUMBER(Settings!$F33),Settings!$F33&gt;0,MID('_Engine'!$AP20,WEEKDAY(Settings!$F33,2),1)="W"),Settings!$F33,0),0)</ns0:f>
        <ns0:v>0</ns0:v>
      </ns0:c>
      <ns0:c r="R20" s="0">
        <ns0:f>IFERROR(IF(AND('_Engine'!$X20=1,ISNUMBER(Settings!$F34),Settings!$F34&gt;0,MID('_Engine'!$AP20,WEEKDAY(Settings!$F34,2),1)="W"),Settings!$F34,0),0)</ns0:f>
        <ns0:v>0</ns0:v>
      </ns0:c>
      <ns0:c r="S20" s="0">
        <ns0:f>IFERROR(IF(AND('_Engine'!$X20=1,ISNUMBER(Settings!$F35),Settings!$F35&gt;0,MID('_Engine'!$AP20,WEEKDAY(Settings!$F35,2),1)="W"),Settings!$F35,0),0)</ns0:f>
        <ns0:v>0</ns0:v>
      </ns0:c>
      <ns0:c r="T20" s="0">
        <ns0:f>IFERROR(IF(AND('_Engine'!$X20=1,ISNUMBER(Settings!$F36),Settings!$F36&gt;0,MID('_Engine'!$AP20,WEEKDAY(Settings!$F36,2),1)="W"),Settings!$F36,0),0)</ns0:f>
        <ns0:v>0</ns0:v>
      </ns0:c>
      <ns0:c r="U20" s="0">
        <ns0:f>IFERROR(IF(AND('_Engine'!$X20=1,ISNUMBER(Settings!$F37),Settings!$F37&gt;0,MID('_Engine'!$AP20,WEEKDAY(Settings!$F37,2),1)="W"),Settings!$F37,0),0)</ns0:f>
        <ns0:v>0</ns0:v>
      </ns0:c>
      <ns0:c r="V20" s="0">
        <ns0:f>IFERROR(IF(AND('_Engine'!$X20=1,ISNUMBER(Settings!$F38),Settings!$F38&gt;0,MID('_Engine'!$AP20,WEEKDAY(Settings!$F38,2),1)="W"),Settings!$F38,0),0)</ns0:f>
        <ns0:v>0</ns0:v>
      </ns0:c>
      <ns0:c r="W20" s="0">
        <ns0:f>IFERROR(IF(AND('_Engine'!$X20=1,ISNUMBER(Settings!$F39),Settings!$F39&gt;0,MID('_Engine'!$AP20,WEEKDAY(Settings!$F39,2),1)="W"),Settings!$F39,0),0)</ns0:f>
        <ns0:v>0</ns0:v>
      </ns0:c>
      <ns0:c r="X20" s="0">
        <ns0:f>IFERROR(IF(AND('_Engine'!$X20=1,ISNUMBER(Settings!$F40),Settings!$F40&gt;0,MID('_Engine'!$AP20,WEEKDAY(Settings!$F40,2),1)="W"),Settings!$F40,0),0)</ns0:f>
        <ns0:v>0</ns0:v>
      </ns0:c>
      <ns0:c r="Y20" s="0">
        <ns0:f>IFERROR(IF(AND('_Engine'!$X20=1,ISNUMBER(Settings!$F41),Settings!$F41&gt;0,MID('_Engine'!$AP20,WEEKDAY(Settings!$F41,2),1)="W"),Settings!$F41,0),0)</ns0:f>
        <ns0:v>0</ns0:v>
      </ns0:c>
      <ns0:c r="Z20" s="0">
        <ns0:f>IFERROR(IF(AND('_Engine'!$X20=1,ISNUMBER(Settings!$F42),Settings!$F42&gt;0,MID('_Engine'!$AP20,WEEKDAY(Settings!$F42,2),1)="W"),Settings!$F42,0),0)</ns0:f>
        <ns0:v>0</ns0:v>
      </ns0:c>
      <ns0:c r="AA20" s="0">
        <ns0:f>IFERROR(IF(AND('_Engine'!$X20=1,ISNUMBER(Settings!$F43),Settings!$F43&gt;0,MID('_Engine'!$AP20,WEEKDAY(Settings!$F43,2),1)="W"),Settings!$F43,0),0)</ns0:f>
        <ns0:v>0</ns0:v>
      </ns0:c>
      <ns0:c r="AB20" s="0">
        <ns0:f>IFERROR(IF(AND('_Engine'!$X20=1,ISNUMBER(Settings!$F44),Settings!$F44&gt;0,MID('_Engine'!$AP20,WEEKDAY(Settings!$F44,2),1)="W"),Settings!$F44,0),0)</ns0:f>
        <ns0:v>0</ns0:v>
      </ns0:c>
      <ns0:c r="AC20" s="0">
        <ns0:f>IFERROR(IF(AND('_Engine'!$X20=1,ISNUMBER(Settings!$F45),Settings!$F45&gt;0,MID('_Engine'!$AP20,WEEKDAY(Settings!$F45,2),1)="W"),Settings!$F45,0),0)</ns0:f>
        <ns0:v>0</ns0:v>
      </ns0:c>
      <ns0:c r="AD20" s="0">
        <ns0:f>IFERROR(IF(AND('_Engine'!$X20=1,ISNUMBER(Settings!$F46),Settings!$F46&gt;0,MID('_Engine'!$AP20,WEEKDAY(Settings!$F46,2),1)="W"),Settings!$F46,0),0)</ns0:f>
        <ns0:v>0</ns0:v>
      </ns0:c>
      <ns0:c r="AE20" s="0">
        <ns0:f>IFERROR(IF(AND('_Engine'!$X20=1,ISNUMBER(Settings!$F47),Settings!$F47&gt;0,MID('_Engine'!$AP20,WEEKDAY(Settings!$F47,2),1)="W"),Settings!$F47,0),0)</ns0:f>
        <ns0:v>0</ns0:v>
      </ns0:c>
      <ns0:c r="AF20" s="0">
        <ns0:f>IFERROR(IF(AND('_Engine'!$X20=1,ISNUMBER(Settings!$F48),Settings!$F48&gt;0,MID('_Engine'!$AP20,WEEKDAY(Settings!$F48,2),1)="W"),Settings!$F48,0),0)</ns0:f>
        <ns0:v>0</ns0:v>
      </ns0:c>
      <ns0:c r="AG20" s="0">
        <ns0:f>IFERROR(IF(AND('_Engine'!$X20=1,ISNUMBER(Settings!$F49),Settings!$F49&gt;0,MID('_Engine'!$AP20,WEEKDAY(Settings!$F49,2),1)="W"),Settings!$F49,0),0)</ns0:f>
        <ns0:v>0</ns0:v>
      </ns0:c>
      <ns0:c r="AH20" s="0">
        <ns0:f>IFERROR(IF(AND('_Engine'!$X20=1,ISNUMBER(Settings!$F50),Settings!$F50&gt;0,MID('_Engine'!$AP20,WEEKDAY(Settings!$F50,2),1)="W"),Settings!$F50,0),0)</ns0:f>
        <ns0:v>0</ns0:v>
      </ns0:c>
      <ns0:c r="AI20" s="0">
        <ns0:f>IFERROR(IF(AND('_Engine'!$X20=1,ISNUMBER(Settings!$F51),Settings!$F51&gt;0,MID('_Engine'!$AP20,WEEKDAY(Settings!$F51,2),1)="W"),Settings!$F51,0),0)</ns0:f>
        <ns0:v>0</ns0:v>
      </ns0:c>
      <ns0:c r="AJ20" s="0">
        <ns0:f>IFERROR(IF(AND('_Engine'!$X20=1,ISNUMBER(Settings!$F52),Settings!$F52&gt;0,MID('_Engine'!$AP20,WEEKDAY(Settings!$F52,2),1)="W"),Settings!$F52,0),0)</ns0:f>
        <ns0:v>0</ns0:v>
      </ns0:c>
      <ns0:c r="AK20" s="0">
        <ns0:f>IFERROR(IF(AND('_Engine'!$X20=1,ISNUMBER(Settings!$F53),Settings!$F53&gt;0,MID('_Engine'!$AP20,WEEKDAY(Settings!$F53,2),1)="W"),Settings!$F53,0),0)</ns0:f>
        <ns0:v>0</ns0:v>
      </ns0:c>
      <ns0:c r="AL20" s="0">
        <ns0:f>IFERROR(IF(AND('_Engine'!$X20=1,ISNUMBER(Settings!$F54),Settings!$F54&gt;0,MID('_Engine'!$AP20,WEEKDAY(Settings!$F54,2),1)="W"),Settings!$F54,0),0)</ns0:f>
        <ns0:v>0</ns0:v>
      </ns0:c>
      <ns0:c r="AM20" s="0">
        <ns0:f>IFERROR(IF(AND('_Engine'!$X20=1,ISNUMBER(Settings!$F55),Settings!$F55&gt;0,MID('_Engine'!$AP20,WEEKDAY(Settings!$F55,2),1)="W"),Settings!$F55,0),0)</ns0:f>
        <ns0:v>0</ns0:v>
      </ns0:c>
      <ns0:c r="AN20" s="0">
        <ns0:f>IFERROR(IF(AND('_Engine'!$X20=1,ISNUMBER(Settings!$F56),Settings!$F56&gt;0,MID('_Engine'!$AP20,WEEKDAY(Settings!$F56,2),1)="W"),Settings!$F56,0),0)</ns0:f>
        <ns0:v>0</ns0:v>
      </ns0:c>
      <ns0:c r="AO20" s="0">
        <ns0:f>IFERROR(IF(AND('_Engine'!$X20=1,ISNUMBER(Settings!$F57),Settings!$F57&gt;0,MID('_Engine'!$AP20,WEEKDAY(Settings!$F57,2),1)="W"),Settings!$F57,0),0)</ns0:f>
        <ns0:v>0</ns0:v>
      </ns0:c>
      <ns0:c r="AP20" s="0">
        <ns0:f>IFERROR(IF(AND('_Engine'!$X20=1,ISNUMBER(Settings!$F58),Settings!$F58&gt;0,MID('_Engine'!$AP20,WEEKDAY(Settings!$F58,2),1)="W"),Settings!$F58,0),0)</ns0:f>
        <ns0:v>0</ns0:v>
      </ns0:c>
      <ns0:c r="AQ20" s="0">
        <ns0:f>IFERROR(IF(AND('_Engine'!$X20=1,ISNUMBER(Settings!$F59),Settings!$F59&gt;0,MID('_Engine'!$AP20,WEEKDAY(Settings!$F59,2),1)="W"),Settings!$F59,0),0)</ns0:f>
        <ns0:v>0</ns0:v>
      </ns0:c>
      <ns0:c r="AR20" s="0">
        <ns0:f>IFERROR(IF(AND('_Engine'!$X20=1,ISNUMBER(Settings!$F60),Settings!$F60&gt;0,MID('_Engine'!$AP20,WEEKDAY(Settings!$F60,2),1)="W"),Settings!$F60,0),0)</ns0:f>
        <ns0:v>0</ns0:v>
      </ns0:c>
      <ns0:c r="AS20" s="0">
        <ns0:f>IFERROR(IF(AND('_Engine'!$X20=1,ISNUMBER(Settings!$F61),Settings!$F61&gt;0,MID('_Engine'!$AP20,WEEKDAY(Settings!$F61,2),1)="W"),Settings!$F61,0),0)</ns0:f>
        <ns0:v>0</ns0:v>
      </ns0:c>
      <ns0:c r="AT20" s="0">
        <ns0:f>IFERROR(IF(AND('_Engine'!$X20=1,ISNUMBER(Settings!$F62),Settings!$F62&gt;0,MID('_Engine'!$AP20,WEEKDAY(Settings!$F62,2),1)="W"),Settings!$F62,0),0)</ns0:f>
        <ns0:v>0</ns0:v>
      </ns0:c>
      <ns0:c r="AU20" s="0">
        <ns0:f>IFERROR(IF(AND('_Engine'!$X20=1,ISNUMBER(Settings!$F63),Settings!$F63&gt;0,MID('_Engine'!$AP20,WEEKDAY(Settings!$F63,2),1)="W"),Settings!$F63,0),0)</ns0:f>
        <ns0:v>0</ns0:v>
      </ns0:c>
      <ns0:c r="AV20" s="0">
        <ns0:f>IFERROR(IF(AND('_Engine'!$X20=1,ISNUMBER(Settings!$F64),Settings!$F64&gt;0,MID('_Engine'!$AP20,WEEKDAY(Settings!$F64,2),1)="W"),Settings!$F64,0),0)</ns0:f>
        <ns0:v>0</ns0:v>
      </ns0:c>
      <ns0:c r="AW20" s="0">
        <ns0:f>IFERROR(IF(AND('_Engine'!$X20=1,ISNUMBER(Settings!$F65),Settings!$F65&gt;0,MID('_Engine'!$AP20,WEEKDAY(Settings!$F65,2),1)="W"),Settings!$F65,0),0)</ns0:f>
        <ns0:v>0</ns0:v>
      </ns0:c>
      <ns0:c r="AX20" s="0">
        <ns0:f>IFERROR(IF(AND('_Engine'!$X20=1,ISNUMBER(Settings!$F66),Settings!$F66&gt;0,MID('_Engine'!$AP20,WEEKDAY(Settings!$F66,2),1)="W"),Settings!$F66,0),0)</ns0:f>
        <ns0:v>0</ns0:v>
      </ns0:c>
      <ns0:c r="AY20" s="0">
        <ns0:f>IFERROR(IF(AND('_Engine'!$X20=1,ISNUMBER(Settings!$F67),Settings!$F67&gt;0,MID('_Engine'!$AP20,WEEKDAY(Settings!$F67,2),1)="W"),Settings!$F67,0),0)</ns0:f>
        <ns0:v>0</ns0:v>
      </ns0:c>
    </ns0:row>
    <ns0:row r="21">
      <ns0:c r="B21" s="0">
        <ns0:f>IFERROR(IF(AND('_Engine'!$X21=1,ISNUMBER(Settings!$F18),Settings!$F18&gt;0,MID('_Engine'!$AP21,WEEKDAY(Settings!$F18,2),1)="W"),Settings!$F18,0),0)</ns0:f>
        <ns0:v>0</ns0:v>
      </ns0:c>
      <ns0:c r="C21" s="0">
        <ns0:f>IFERROR(IF(AND('_Engine'!$X21=1,ISNUMBER(Settings!$F19),Settings!$F19&gt;0,MID('_Engine'!$AP21,WEEKDAY(Settings!$F19,2),1)="W"),Settings!$F19,0),0)</ns0:f>
        <ns0:v>0</ns0:v>
      </ns0:c>
      <ns0:c r="D21" s="0">
        <ns0:f>IFERROR(IF(AND('_Engine'!$X21=1,ISNUMBER(Settings!$F20),Settings!$F20&gt;0,MID('_Engine'!$AP21,WEEKDAY(Settings!$F20,2),1)="W"),Settings!$F20,0),0)</ns0:f>
        <ns0:v>0</ns0:v>
      </ns0:c>
      <ns0:c r="E21" s="0">
        <ns0:f>IFERROR(IF(AND('_Engine'!$X21=1,ISNUMBER(Settings!$F21),Settings!$F21&gt;0,MID('_Engine'!$AP21,WEEKDAY(Settings!$F21,2),1)="W"),Settings!$F21,0),0)</ns0:f>
        <ns0:v>0</ns0:v>
      </ns0:c>
      <ns0:c r="F21" s="0">
        <ns0:f>IFERROR(IF(AND('_Engine'!$X21=1,ISNUMBER(Settings!$F22),Settings!$F22&gt;0,MID('_Engine'!$AP21,WEEKDAY(Settings!$F22,2),1)="W"),Settings!$F22,0),0)</ns0:f>
        <ns0:v>0</ns0:v>
      </ns0:c>
      <ns0:c r="G21" s="0">
        <ns0:f>IFERROR(IF(AND('_Engine'!$X21=1,ISNUMBER(Settings!$F23),Settings!$F23&gt;0,MID('_Engine'!$AP21,WEEKDAY(Settings!$F23,2),1)="W"),Settings!$F23,0),0)</ns0:f>
        <ns0:v>0</ns0:v>
      </ns0:c>
      <ns0:c r="H21" s="0">
        <ns0:f>IFERROR(IF(AND('_Engine'!$X21=1,ISNUMBER(Settings!$F24),Settings!$F24&gt;0,MID('_Engine'!$AP21,WEEKDAY(Settings!$F24,2),1)="W"),Settings!$F24,0),0)</ns0:f>
        <ns0:v>0</ns0:v>
      </ns0:c>
      <ns0:c r="I21" s="0">
        <ns0:f>IFERROR(IF(AND('_Engine'!$X21=1,ISNUMBER(Settings!$F25),Settings!$F25&gt;0,MID('_Engine'!$AP21,WEEKDAY(Settings!$F25,2),1)="W"),Settings!$F25,0),0)</ns0:f>
        <ns0:v>0</ns0:v>
      </ns0:c>
      <ns0:c r="J21" s="0">
        <ns0:f>IFERROR(IF(AND('_Engine'!$X21=1,ISNUMBER(Settings!$F26),Settings!$F26&gt;0,MID('_Engine'!$AP21,WEEKDAY(Settings!$F26,2),1)="W"),Settings!$F26,0),0)</ns0:f>
        <ns0:v>0</ns0:v>
      </ns0:c>
      <ns0:c r="K21" s="0">
        <ns0:f>IFERROR(IF(AND('_Engine'!$X21=1,ISNUMBER(Settings!$F27),Settings!$F27&gt;0,MID('_Engine'!$AP21,WEEKDAY(Settings!$F27,2),1)="W"),Settings!$F27,0),0)</ns0:f>
        <ns0:v>0</ns0:v>
      </ns0:c>
      <ns0:c r="L21" s="0">
        <ns0:f>IFERROR(IF(AND('_Engine'!$X21=1,ISNUMBER(Settings!$F28),Settings!$F28&gt;0,MID('_Engine'!$AP21,WEEKDAY(Settings!$F28,2),1)="W"),Settings!$F28,0),0)</ns0:f>
        <ns0:v>0</ns0:v>
      </ns0:c>
      <ns0:c r="M21" s="0">
        <ns0:f>IFERROR(IF(AND('_Engine'!$X21=1,ISNUMBER(Settings!$F29),Settings!$F29&gt;0,MID('_Engine'!$AP21,WEEKDAY(Settings!$F29,2),1)="W"),Settings!$F29,0),0)</ns0:f>
        <ns0:v>0</ns0:v>
      </ns0:c>
      <ns0:c r="N21" s="0">
        <ns0:f>IFERROR(IF(AND('_Engine'!$X21=1,ISNUMBER(Settings!$F30),Settings!$F30&gt;0,MID('_Engine'!$AP21,WEEKDAY(Settings!$F30,2),1)="W"),Settings!$F30,0),0)</ns0:f>
        <ns0:v>0</ns0:v>
      </ns0:c>
      <ns0:c r="O21" s="0">
        <ns0:f>IFERROR(IF(AND('_Engine'!$X21=1,ISNUMBER(Settings!$F31),Settings!$F31&gt;0,MID('_Engine'!$AP21,WEEKDAY(Settings!$F31,2),1)="W"),Settings!$F31,0),0)</ns0:f>
        <ns0:v>0</ns0:v>
      </ns0:c>
      <ns0:c r="P21" s="0">
        <ns0:f>IFERROR(IF(AND('_Engine'!$X21=1,ISNUMBER(Settings!$F32),Settings!$F32&gt;0,MID('_Engine'!$AP21,WEEKDAY(Settings!$F32,2),1)="W"),Settings!$F32,0),0)</ns0:f>
        <ns0:v>0</ns0:v>
      </ns0:c>
      <ns0:c r="Q21" s="0">
        <ns0:f>IFERROR(IF(AND('_Engine'!$X21=1,ISNUMBER(Settings!$F33),Settings!$F33&gt;0,MID('_Engine'!$AP21,WEEKDAY(Settings!$F33,2),1)="W"),Settings!$F33,0),0)</ns0:f>
        <ns0:v>0</ns0:v>
      </ns0:c>
      <ns0:c r="R21" s="0">
        <ns0:f>IFERROR(IF(AND('_Engine'!$X21=1,ISNUMBER(Settings!$F34),Settings!$F34&gt;0,MID('_Engine'!$AP21,WEEKDAY(Settings!$F34,2),1)="W"),Settings!$F34,0),0)</ns0:f>
        <ns0:v>0</ns0:v>
      </ns0:c>
      <ns0:c r="S21" s="0">
        <ns0:f>IFERROR(IF(AND('_Engine'!$X21=1,ISNUMBER(Settings!$F35),Settings!$F35&gt;0,MID('_Engine'!$AP21,WEEKDAY(Settings!$F35,2),1)="W"),Settings!$F35,0),0)</ns0:f>
        <ns0:v>0</ns0:v>
      </ns0:c>
      <ns0:c r="T21" s="0">
        <ns0:f>IFERROR(IF(AND('_Engine'!$X21=1,ISNUMBER(Settings!$F36),Settings!$F36&gt;0,MID('_Engine'!$AP21,WEEKDAY(Settings!$F36,2),1)="W"),Settings!$F36,0),0)</ns0:f>
        <ns0:v>0</ns0:v>
      </ns0:c>
      <ns0:c r="U21" s="0">
        <ns0:f>IFERROR(IF(AND('_Engine'!$X21=1,ISNUMBER(Settings!$F37),Settings!$F37&gt;0,MID('_Engine'!$AP21,WEEKDAY(Settings!$F37,2),1)="W"),Settings!$F37,0),0)</ns0:f>
        <ns0:v>0</ns0:v>
      </ns0:c>
      <ns0:c r="V21" s="0">
        <ns0:f>IFERROR(IF(AND('_Engine'!$X21=1,ISNUMBER(Settings!$F38),Settings!$F38&gt;0,MID('_Engine'!$AP21,WEEKDAY(Settings!$F38,2),1)="W"),Settings!$F38,0),0)</ns0:f>
        <ns0:v>0</ns0:v>
      </ns0:c>
      <ns0:c r="W21" s="0">
        <ns0:f>IFERROR(IF(AND('_Engine'!$X21=1,ISNUMBER(Settings!$F39),Settings!$F39&gt;0,MID('_Engine'!$AP21,WEEKDAY(Settings!$F39,2),1)="W"),Settings!$F39,0),0)</ns0:f>
        <ns0:v>0</ns0:v>
      </ns0:c>
      <ns0:c r="X21" s="0">
        <ns0:f>IFERROR(IF(AND('_Engine'!$X21=1,ISNUMBER(Settings!$F40),Settings!$F40&gt;0,MID('_Engine'!$AP21,WEEKDAY(Settings!$F40,2),1)="W"),Settings!$F40,0),0)</ns0:f>
        <ns0:v>0</ns0:v>
      </ns0:c>
      <ns0:c r="Y21" s="0">
        <ns0:f>IFERROR(IF(AND('_Engine'!$X21=1,ISNUMBER(Settings!$F41),Settings!$F41&gt;0,MID('_Engine'!$AP21,WEEKDAY(Settings!$F41,2),1)="W"),Settings!$F41,0),0)</ns0:f>
        <ns0:v>0</ns0:v>
      </ns0:c>
      <ns0:c r="Z21" s="0">
        <ns0:f>IFERROR(IF(AND('_Engine'!$X21=1,ISNUMBER(Settings!$F42),Settings!$F42&gt;0,MID('_Engine'!$AP21,WEEKDAY(Settings!$F42,2),1)="W"),Settings!$F42,0),0)</ns0:f>
        <ns0:v>0</ns0:v>
      </ns0:c>
      <ns0:c r="AA21" s="0">
        <ns0:f>IFERROR(IF(AND('_Engine'!$X21=1,ISNUMBER(Settings!$F43),Settings!$F43&gt;0,MID('_Engine'!$AP21,WEEKDAY(Settings!$F43,2),1)="W"),Settings!$F43,0),0)</ns0:f>
        <ns0:v>0</ns0:v>
      </ns0:c>
      <ns0:c r="AB21" s="0">
        <ns0:f>IFERROR(IF(AND('_Engine'!$X21=1,ISNUMBER(Settings!$F44),Settings!$F44&gt;0,MID('_Engine'!$AP21,WEEKDAY(Settings!$F44,2),1)="W"),Settings!$F44,0),0)</ns0:f>
        <ns0:v>0</ns0:v>
      </ns0:c>
      <ns0:c r="AC21" s="0">
        <ns0:f>IFERROR(IF(AND('_Engine'!$X21=1,ISNUMBER(Settings!$F45),Settings!$F45&gt;0,MID('_Engine'!$AP21,WEEKDAY(Settings!$F45,2),1)="W"),Settings!$F45,0),0)</ns0:f>
        <ns0:v>0</ns0:v>
      </ns0:c>
      <ns0:c r="AD21" s="0">
        <ns0:f>IFERROR(IF(AND('_Engine'!$X21=1,ISNUMBER(Settings!$F46),Settings!$F46&gt;0,MID('_Engine'!$AP21,WEEKDAY(Settings!$F46,2),1)="W"),Settings!$F46,0),0)</ns0:f>
        <ns0:v>0</ns0:v>
      </ns0:c>
      <ns0:c r="AE21" s="0">
        <ns0:f>IFERROR(IF(AND('_Engine'!$X21=1,ISNUMBER(Settings!$F47),Settings!$F47&gt;0,MID('_Engine'!$AP21,WEEKDAY(Settings!$F47,2),1)="W"),Settings!$F47,0),0)</ns0:f>
        <ns0:v>0</ns0:v>
      </ns0:c>
      <ns0:c r="AF21" s="0">
        <ns0:f>IFERROR(IF(AND('_Engine'!$X21=1,ISNUMBER(Settings!$F48),Settings!$F48&gt;0,MID('_Engine'!$AP21,WEEKDAY(Settings!$F48,2),1)="W"),Settings!$F48,0),0)</ns0:f>
        <ns0:v>0</ns0:v>
      </ns0:c>
      <ns0:c r="AG21" s="0">
        <ns0:f>IFERROR(IF(AND('_Engine'!$X21=1,ISNUMBER(Settings!$F49),Settings!$F49&gt;0,MID('_Engine'!$AP21,WEEKDAY(Settings!$F49,2),1)="W"),Settings!$F49,0),0)</ns0:f>
        <ns0:v>0</ns0:v>
      </ns0:c>
      <ns0:c r="AH21" s="0">
        <ns0:f>IFERROR(IF(AND('_Engine'!$X21=1,ISNUMBER(Settings!$F50),Settings!$F50&gt;0,MID('_Engine'!$AP21,WEEKDAY(Settings!$F50,2),1)="W"),Settings!$F50,0),0)</ns0:f>
        <ns0:v>0</ns0:v>
      </ns0:c>
      <ns0:c r="AI21" s="0">
        <ns0:f>IFERROR(IF(AND('_Engine'!$X21=1,ISNUMBER(Settings!$F51),Settings!$F51&gt;0,MID('_Engine'!$AP21,WEEKDAY(Settings!$F51,2),1)="W"),Settings!$F51,0),0)</ns0:f>
        <ns0:v>0</ns0:v>
      </ns0:c>
      <ns0:c r="AJ21" s="0">
        <ns0:f>IFERROR(IF(AND('_Engine'!$X21=1,ISNUMBER(Settings!$F52),Settings!$F52&gt;0,MID('_Engine'!$AP21,WEEKDAY(Settings!$F52,2),1)="W"),Settings!$F52,0),0)</ns0:f>
        <ns0:v>0</ns0:v>
      </ns0:c>
      <ns0:c r="AK21" s="0">
        <ns0:f>IFERROR(IF(AND('_Engine'!$X21=1,ISNUMBER(Settings!$F53),Settings!$F53&gt;0,MID('_Engine'!$AP21,WEEKDAY(Settings!$F53,2),1)="W"),Settings!$F53,0),0)</ns0:f>
        <ns0:v>0</ns0:v>
      </ns0:c>
      <ns0:c r="AL21" s="0">
        <ns0:f>IFERROR(IF(AND('_Engine'!$X21=1,ISNUMBER(Settings!$F54),Settings!$F54&gt;0,MID('_Engine'!$AP21,WEEKDAY(Settings!$F54,2),1)="W"),Settings!$F54,0),0)</ns0:f>
        <ns0:v>0</ns0:v>
      </ns0:c>
      <ns0:c r="AM21" s="0">
        <ns0:f>IFERROR(IF(AND('_Engine'!$X21=1,ISNUMBER(Settings!$F55),Settings!$F55&gt;0,MID('_Engine'!$AP21,WEEKDAY(Settings!$F55,2),1)="W"),Settings!$F55,0),0)</ns0:f>
        <ns0:v>0</ns0:v>
      </ns0:c>
      <ns0:c r="AN21" s="0">
        <ns0:f>IFERROR(IF(AND('_Engine'!$X21=1,ISNUMBER(Settings!$F56),Settings!$F56&gt;0,MID('_Engine'!$AP21,WEEKDAY(Settings!$F56,2),1)="W"),Settings!$F56,0),0)</ns0:f>
        <ns0:v>0</ns0:v>
      </ns0:c>
      <ns0:c r="AO21" s="0">
        <ns0:f>IFERROR(IF(AND('_Engine'!$X21=1,ISNUMBER(Settings!$F57),Settings!$F57&gt;0,MID('_Engine'!$AP21,WEEKDAY(Settings!$F57,2),1)="W"),Settings!$F57,0),0)</ns0:f>
        <ns0:v>0</ns0:v>
      </ns0:c>
      <ns0:c r="AP21" s="0">
        <ns0:f>IFERROR(IF(AND('_Engine'!$X21=1,ISNUMBER(Settings!$F58),Settings!$F58&gt;0,MID('_Engine'!$AP21,WEEKDAY(Settings!$F58,2),1)="W"),Settings!$F58,0),0)</ns0:f>
        <ns0:v>0</ns0:v>
      </ns0:c>
      <ns0:c r="AQ21" s="0">
        <ns0:f>IFERROR(IF(AND('_Engine'!$X21=1,ISNUMBER(Settings!$F59),Settings!$F59&gt;0,MID('_Engine'!$AP21,WEEKDAY(Settings!$F59,2),1)="W"),Settings!$F59,0),0)</ns0:f>
        <ns0:v>0</ns0:v>
      </ns0:c>
      <ns0:c r="AR21" s="0">
        <ns0:f>IFERROR(IF(AND('_Engine'!$X21=1,ISNUMBER(Settings!$F60),Settings!$F60&gt;0,MID('_Engine'!$AP21,WEEKDAY(Settings!$F60,2),1)="W"),Settings!$F60,0),0)</ns0:f>
        <ns0:v>0</ns0:v>
      </ns0:c>
      <ns0:c r="AS21" s="0">
        <ns0:f>IFERROR(IF(AND('_Engine'!$X21=1,ISNUMBER(Settings!$F61),Settings!$F61&gt;0,MID('_Engine'!$AP21,WEEKDAY(Settings!$F61,2),1)="W"),Settings!$F61,0),0)</ns0:f>
        <ns0:v>0</ns0:v>
      </ns0:c>
      <ns0:c r="AT21" s="0">
        <ns0:f>IFERROR(IF(AND('_Engine'!$X21=1,ISNUMBER(Settings!$F62),Settings!$F62&gt;0,MID('_Engine'!$AP21,WEEKDAY(Settings!$F62,2),1)="W"),Settings!$F62,0),0)</ns0:f>
        <ns0:v>0</ns0:v>
      </ns0:c>
      <ns0:c r="AU21" s="0">
        <ns0:f>IFERROR(IF(AND('_Engine'!$X21=1,ISNUMBER(Settings!$F63),Settings!$F63&gt;0,MID('_Engine'!$AP21,WEEKDAY(Settings!$F63,2),1)="W"),Settings!$F63,0),0)</ns0:f>
        <ns0:v>0</ns0:v>
      </ns0:c>
      <ns0:c r="AV21" s="0">
        <ns0:f>IFERROR(IF(AND('_Engine'!$X21=1,ISNUMBER(Settings!$F64),Settings!$F64&gt;0,MID('_Engine'!$AP21,WEEKDAY(Settings!$F64,2),1)="W"),Settings!$F64,0),0)</ns0:f>
        <ns0:v>0</ns0:v>
      </ns0:c>
      <ns0:c r="AW21" s="0">
        <ns0:f>IFERROR(IF(AND('_Engine'!$X21=1,ISNUMBER(Settings!$F65),Settings!$F65&gt;0,MID('_Engine'!$AP21,WEEKDAY(Settings!$F65,2),1)="W"),Settings!$F65,0),0)</ns0:f>
        <ns0:v>0</ns0:v>
      </ns0:c>
      <ns0:c r="AX21" s="0">
        <ns0:f>IFERROR(IF(AND('_Engine'!$X21=1,ISNUMBER(Settings!$F66),Settings!$F66&gt;0,MID('_Engine'!$AP21,WEEKDAY(Settings!$F66,2),1)="W"),Settings!$F66,0),0)</ns0:f>
        <ns0:v>0</ns0:v>
      </ns0:c>
      <ns0:c r="AY21" s="0">
        <ns0:f>IFERROR(IF(AND('_Engine'!$X21=1,ISNUMBER(Settings!$F67),Settings!$F67&gt;0,MID('_Engine'!$AP21,WEEKDAY(Settings!$F67,2),1)="W"),Settings!$F67,0),0)</ns0:f>
        <ns0:v>0</ns0:v>
      </ns0:c>
    </ns0:row>
    <ns0:row r="22">
      <ns0:c r="B22" s="0">
        <ns0:f>IFERROR(IF(AND('_Engine'!$X22=1,ISNUMBER(Settings!$F18),Settings!$F18&gt;0,MID('_Engine'!$AP22,WEEKDAY(Settings!$F18,2),1)="W"),Settings!$F18,0),0)</ns0:f>
        <ns0:v>0</ns0:v>
      </ns0:c>
      <ns0:c r="C22" s="0">
        <ns0:f>IFERROR(IF(AND('_Engine'!$X22=1,ISNUMBER(Settings!$F19),Settings!$F19&gt;0,MID('_Engine'!$AP22,WEEKDAY(Settings!$F19,2),1)="W"),Settings!$F19,0),0)</ns0:f>
        <ns0:v>0</ns0:v>
      </ns0:c>
      <ns0:c r="D22" s="0">
        <ns0:f>IFERROR(IF(AND('_Engine'!$X22=1,ISNUMBER(Settings!$F20),Settings!$F20&gt;0,MID('_Engine'!$AP22,WEEKDAY(Settings!$F20,2),1)="W"),Settings!$F20,0),0)</ns0:f>
        <ns0:v>0</ns0:v>
      </ns0:c>
      <ns0:c r="E22" s="0">
        <ns0:f>IFERROR(IF(AND('_Engine'!$X22=1,ISNUMBER(Settings!$F21),Settings!$F21&gt;0,MID('_Engine'!$AP22,WEEKDAY(Settings!$F21,2),1)="W"),Settings!$F21,0),0)</ns0:f>
        <ns0:v>0</ns0:v>
      </ns0:c>
      <ns0:c r="F22" s="0">
        <ns0:f>IFERROR(IF(AND('_Engine'!$X22=1,ISNUMBER(Settings!$F22),Settings!$F22&gt;0,MID('_Engine'!$AP22,WEEKDAY(Settings!$F22,2),1)="W"),Settings!$F22,0),0)</ns0:f>
        <ns0:v>0</ns0:v>
      </ns0:c>
      <ns0:c r="G22" s="0">
        <ns0:f>IFERROR(IF(AND('_Engine'!$X22=1,ISNUMBER(Settings!$F23),Settings!$F23&gt;0,MID('_Engine'!$AP22,WEEKDAY(Settings!$F23,2),1)="W"),Settings!$F23,0),0)</ns0:f>
        <ns0:v>0</ns0:v>
      </ns0:c>
      <ns0:c r="H22" s="0">
        <ns0:f>IFERROR(IF(AND('_Engine'!$X22=1,ISNUMBER(Settings!$F24),Settings!$F24&gt;0,MID('_Engine'!$AP22,WEEKDAY(Settings!$F24,2),1)="W"),Settings!$F24,0),0)</ns0:f>
        <ns0:v>0</ns0:v>
      </ns0:c>
      <ns0:c r="I22" s="0">
        <ns0:f>IFERROR(IF(AND('_Engine'!$X22=1,ISNUMBER(Settings!$F25),Settings!$F25&gt;0,MID('_Engine'!$AP22,WEEKDAY(Settings!$F25,2),1)="W"),Settings!$F25,0),0)</ns0:f>
        <ns0:v>0</ns0:v>
      </ns0:c>
      <ns0:c r="J22" s="0">
        <ns0:f>IFERROR(IF(AND('_Engine'!$X22=1,ISNUMBER(Settings!$F26),Settings!$F26&gt;0,MID('_Engine'!$AP22,WEEKDAY(Settings!$F26,2),1)="W"),Settings!$F26,0),0)</ns0:f>
        <ns0:v>0</ns0:v>
      </ns0:c>
      <ns0:c r="K22" s="0">
        <ns0:f>IFERROR(IF(AND('_Engine'!$X22=1,ISNUMBER(Settings!$F27),Settings!$F27&gt;0,MID('_Engine'!$AP22,WEEKDAY(Settings!$F27,2),1)="W"),Settings!$F27,0),0)</ns0:f>
        <ns0:v>0</ns0:v>
      </ns0:c>
      <ns0:c r="L22" s="0">
        <ns0:f>IFERROR(IF(AND('_Engine'!$X22=1,ISNUMBER(Settings!$F28),Settings!$F28&gt;0,MID('_Engine'!$AP22,WEEKDAY(Settings!$F28,2),1)="W"),Settings!$F28,0),0)</ns0:f>
        <ns0:v>0</ns0:v>
      </ns0:c>
      <ns0:c r="M22" s="0">
        <ns0:f>IFERROR(IF(AND('_Engine'!$X22=1,ISNUMBER(Settings!$F29),Settings!$F29&gt;0,MID('_Engine'!$AP22,WEEKDAY(Settings!$F29,2),1)="W"),Settings!$F29,0),0)</ns0:f>
        <ns0:v>0</ns0:v>
      </ns0:c>
      <ns0:c r="N22" s="0">
        <ns0:f>IFERROR(IF(AND('_Engine'!$X22=1,ISNUMBER(Settings!$F30),Settings!$F30&gt;0,MID('_Engine'!$AP22,WEEKDAY(Settings!$F30,2),1)="W"),Settings!$F30,0),0)</ns0:f>
        <ns0:v>0</ns0:v>
      </ns0:c>
      <ns0:c r="O22" s="0">
        <ns0:f>IFERROR(IF(AND('_Engine'!$X22=1,ISNUMBER(Settings!$F31),Settings!$F31&gt;0,MID('_Engine'!$AP22,WEEKDAY(Settings!$F31,2),1)="W"),Settings!$F31,0),0)</ns0:f>
        <ns0:v>0</ns0:v>
      </ns0:c>
      <ns0:c r="P22" s="0">
        <ns0:f>IFERROR(IF(AND('_Engine'!$X22=1,ISNUMBER(Settings!$F32),Settings!$F32&gt;0,MID('_Engine'!$AP22,WEEKDAY(Settings!$F32,2),1)="W"),Settings!$F32,0),0)</ns0:f>
        <ns0:v>0</ns0:v>
      </ns0:c>
      <ns0:c r="Q22" s="0">
        <ns0:f>IFERROR(IF(AND('_Engine'!$X22=1,ISNUMBER(Settings!$F33),Settings!$F33&gt;0,MID('_Engine'!$AP22,WEEKDAY(Settings!$F33,2),1)="W"),Settings!$F33,0),0)</ns0:f>
        <ns0:v>0</ns0:v>
      </ns0:c>
      <ns0:c r="R22" s="0">
        <ns0:f>IFERROR(IF(AND('_Engine'!$X22=1,ISNUMBER(Settings!$F34),Settings!$F34&gt;0,MID('_Engine'!$AP22,WEEKDAY(Settings!$F34,2),1)="W"),Settings!$F34,0),0)</ns0:f>
        <ns0:v>0</ns0:v>
      </ns0:c>
      <ns0:c r="S22" s="0">
        <ns0:f>IFERROR(IF(AND('_Engine'!$X22=1,ISNUMBER(Settings!$F35),Settings!$F35&gt;0,MID('_Engine'!$AP22,WEEKDAY(Settings!$F35,2),1)="W"),Settings!$F35,0),0)</ns0:f>
        <ns0:v>0</ns0:v>
      </ns0:c>
      <ns0:c r="T22" s="0">
        <ns0:f>IFERROR(IF(AND('_Engine'!$X22=1,ISNUMBER(Settings!$F36),Settings!$F36&gt;0,MID('_Engine'!$AP22,WEEKDAY(Settings!$F36,2),1)="W"),Settings!$F36,0),0)</ns0:f>
        <ns0:v>0</ns0:v>
      </ns0:c>
      <ns0:c r="U22" s="0">
        <ns0:f>IFERROR(IF(AND('_Engine'!$X22=1,ISNUMBER(Settings!$F37),Settings!$F37&gt;0,MID('_Engine'!$AP22,WEEKDAY(Settings!$F37,2),1)="W"),Settings!$F37,0),0)</ns0:f>
        <ns0:v>0</ns0:v>
      </ns0:c>
      <ns0:c r="V22" s="0">
        <ns0:f>IFERROR(IF(AND('_Engine'!$X22=1,ISNUMBER(Settings!$F38),Settings!$F38&gt;0,MID('_Engine'!$AP22,WEEKDAY(Settings!$F38,2),1)="W"),Settings!$F38,0),0)</ns0:f>
        <ns0:v>0</ns0:v>
      </ns0:c>
      <ns0:c r="W22" s="0">
        <ns0:f>IFERROR(IF(AND('_Engine'!$X22=1,ISNUMBER(Settings!$F39),Settings!$F39&gt;0,MID('_Engine'!$AP22,WEEKDAY(Settings!$F39,2),1)="W"),Settings!$F39,0),0)</ns0:f>
        <ns0:v>0</ns0:v>
      </ns0:c>
      <ns0:c r="X22" s="0">
        <ns0:f>IFERROR(IF(AND('_Engine'!$X22=1,ISNUMBER(Settings!$F40),Settings!$F40&gt;0,MID('_Engine'!$AP22,WEEKDAY(Settings!$F40,2),1)="W"),Settings!$F40,0),0)</ns0:f>
        <ns0:v>0</ns0:v>
      </ns0:c>
      <ns0:c r="Y22" s="0">
        <ns0:f>IFERROR(IF(AND('_Engine'!$X22=1,ISNUMBER(Settings!$F41),Settings!$F41&gt;0,MID('_Engine'!$AP22,WEEKDAY(Settings!$F41,2),1)="W"),Settings!$F41,0),0)</ns0:f>
        <ns0:v>0</ns0:v>
      </ns0:c>
      <ns0:c r="Z22" s="0">
        <ns0:f>IFERROR(IF(AND('_Engine'!$X22=1,ISNUMBER(Settings!$F42),Settings!$F42&gt;0,MID('_Engine'!$AP22,WEEKDAY(Settings!$F42,2),1)="W"),Settings!$F42,0),0)</ns0:f>
        <ns0:v>0</ns0:v>
      </ns0:c>
      <ns0:c r="AA22" s="0">
        <ns0:f>IFERROR(IF(AND('_Engine'!$X22=1,ISNUMBER(Settings!$F43),Settings!$F43&gt;0,MID('_Engine'!$AP22,WEEKDAY(Settings!$F43,2),1)="W"),Settings!$F43,0),0)</ns0:f>
        <ns0:v>0</ns0:v>
      </ns0:c>
      <ns0:c r="AB22" s="0">
        <ns0:f>IFERROR(IF(AND('_Engine'!$X22=1,ISNUMBER(Settings!$F44),Settings!$F44&gt;0,MID('_Engine'!$AP22,WEEKDAY(Settings!$F44,2),1)="W"),Settings!$F44,0),0)</ns0:f>
        <ns0:v>0</ns0:v>
      </ns0:c>
      <ns0:c r="AC22" s="0">
        <ns0:f>IFERROR(IF(AND('_Engine'!$X22=1,ISNUMBER(Settings!$F45),Settings!$F45&gt;0,MID('_Engine'!$AP22,WEEKDAY(Settings!$F45,2),1)="W"),Settings!$F45,0),0)</ns0:f>
        <ns0:v>0</ns0:v>
      </ns0:c>
      <ns0:c r="AD22" s="0">
        <ns0:f>IFERROR(IF(AND('_Engine'!$X22=1,ISNUMBER(Settings!$F46),Settings!$F46&gt;0,MID('_Engine'!$AP22,WEEKDAY(Settings!$F46,2),1)="W"),Settings!$F46,0),0)</ns0:f>
        <ns0:v>0</ns0:v>
      </ns0:c>
      <ns0:c r="AE22" s="0">
        <ns0:f>IFERROR(IF(AND('_Engine'!$X22=1,ISNUMBER(Settings!$F47),Settings!$F47&gt;0,MID('_Engine'!$AP22,WEEKDAY(Settings!$F47,2),1)="W"),Settings!$F47,0),0)</ns0:f>
        <ns0:v>0</ns0:v>
      </ns0:c>
      <ns0:c r="AF22" s="0">
        <ns0:f>IFERROR(IF(AND('_Engine'!$X22=1,ISNUMBER(Settings!$F48),Settings!$F48&gt;0,MID('_Engine'!$AP22,WEEKDAY(Settings!$F48,2),1)="W"),Settings!$F48,0),0)</ns0:f>
        <ns0:v>0</ns0:v>
      </ns0:c>
      <ns0:c r="AG22" s="0">
        <ns0:f>IFERROR(IF(AND('_Engine'!$X22=1,ISNUMBER(Settings!$F49),Settings!$F49&gt;0,MID('_Engine'!$AP22,WEEKDAY(Settings!$F49,2),1)="W"),Settings!$F49,0),0)</ns0:f>
        <ns0:v>0</ns0:v>
      </ns0:c>
      <ns0:c r="AH22" s="0">
        <ns0:f>IFERROR(IF(AND('_Engine'!$X22=1,ISNUMBER(Settings!$F50),Settings!$F50&gt;0,MID('_Engine'!$AP22,WEEKDAY(Settings!$F50,2),1)="W"),Settings!$F50,0),0)</ns0:f>
        <ns0:v>0</ns0:v>
      </ns0:c>
      <ns0:c r="AI22" s="0">
        <ns0:f>IFERROR(IF(AND('_Engine'!$X22=1,ISNUMBER(Settings!$F51),Settings!$F51&gt;0,MID('_Engine'!$AP22,WEEKDAY(Settings!$F51,2),1)="W"),Settings!$F51,0),0)</ns0:f>
        <ns0:v>0</ns0:v>
      </ns0:c>
      <ns0:c r="AJ22" s="0">
        <ns0:f>IFERROR(IF(AND('_Engine'!$X22=1,ISNUMBER(Settings!$F52),Settings!$F52&gt;0,MID('_Engine'!$AP22,WEEKDAY(Settings!$F52,2),1)="W"),Settings!$F52,0),0)</ns0:f>
        <ns0:v>0</ns0:v>
      </ns0:c>
      <ns0:c r="AK22" s="0">
        <ns0:f>IFERROR(IF(AND('_Engine'!$X22=1,ISNUMBER(Settings!$F53),Settings!$F53&gt;0,MID('_Engine'!$AP22,WEEKDAY(Settings!$F53,2),1)="W"),Settings!$F53,0),0)</ns0:f>
        <ns0:v>0</ns0:v>
      </ns0:c>
      <ns0:c r="AL22" s="0">
        <ns0:f>IFERROR(IF(AND('_Engine'!$X22=1,ISNUMBER(Settings!$F54),Settings!$F54&gt;0,MID('_Engine'!$AP22,WEEKDAY(Settings!$F54,2),1)="W"),Settings!$F54,0),0)</ns0:f>
        <ns0:v>0</ns0:v>
      </ns0:c>
      <ns0:c r="AM22" s="0">
        <ns0:f>IFERROR(IF(AND('_Engine'!$X22=1,ISNUMBER(Settings!$F55),Settings!$F55&gt;0,MID('_Engine'!$AP22,WEEKDAY(Settings!$F55,2),1)="W"),Settings!$F55,0),0)</ns0:f>
        <ns0:v>0</ns0:v>
      </ns0:c>
      <ns0:c r="AN22" s="0">
        <ns0:f>IFERROR(IF(AND('_Engine'!$X22=1,ISNUMBER(Settings!$F56),Settings!$F56&gt;0,MID('_Engine'!$AP22,WEEKDAY(Settings!$F56,2),1)="W"),Settings!$F56,0),0)</ns0:f>
        <ns0:v>0</ns0:v>
      </ns0:c>
      <ns0:c r="AO22" s="0">
        <ns0:f>IFERROR(IF(AND('_Engine'!$X22=1,ISNUMBER(Settings!$F57),Settings!$F57&gt;0,MID('_Engine'!$AP22,WEEKDAY(Settings!$F57,2),1)="W"),Settings!$F57,0),0)</ns0:f>
        <ns0:v>0</ns0:v>
      </ns0:c>
      <ns0:c r="AP22" s="0">
        <ns0:f>IFERROR(IF(AND('_Engine'!$X22=1,ISNUMBER(Settings!$F58),Settings!$F58&gt;0,MID('_Engine'!$AP22,WEEKDAY(Settings!$F58,2),1)="W"),Settings!$F58,0),0)</ns0:f>
        <ns0:v>0</ns0:v>
      </ns0:c>
      <ns0:c r="AQ22" s="0">
        <ns0:f>IFERROR(IF(AND('_Engine'!$X22=1,ISNUMBER(Settings!$F59),Settings!$F59&gt;0,MID('_Engine'!$AP22,WEEKDAY(Settings!$F59,2),1)="W"),Settings!$F59,0),0)</ns0:f>
        <ns0:v>0</ns0:v>
      </ns0:c>
      <ns0:c r="AR22" s="0">
        <ns0:f>IFERROR(IF(AND('_Engine'!$X22=1,ISNUMBER(Settings!$F60),Settings!$F60&gt;0,MID('_Engine'!$AP22,WEEKDAY(Settings!$F60,2),1)="W"),Settings!$F60,0),0)</ns0:f>
        <ns0:v>0</ns0:v>
      </ns0:c>
      <ns0:c r="AS22" s="0">
        <ns0:f>IFERROR(IF(AND('_Engine'!$X22=1,ISNUMBER(Settings!$F61),Settings!$F61&gt;0,MID('_Engine'!$AP22,WEEKDAY(Settings!$F61,2),1)="W"),Settings!$F61,0),0)</ns0:f>
        <ns0:v>0</ns0:v>
      </ns0:c>
      <ns0:c r="AT22" s="0">
        <ns0:f>IFERROR(IF(AND('_Engine'!$X22=1,ISNUMBER(Settings!$F62),Settings!$F62&gt;0,MID('_Engine'!$AP22,WEEKDAY(Settings!$F62,2),1)="W"),Settings!$F62,0),0)</ns0:f>
        <ns0:v>0</ns0:v>
      </ns0:c>
      <ns0:c r="AU22" s="0">
        <ns0:f>IFERROR(IF(AND('_Engine'!$X22=1,ISNUMBER(Settings!$F63),Settings!$F63&gt;0,MID('_Engine'!$AP22,WEEKDAY(Settings!$F63,2),1)="W"),Settings!$F63,0),0)</ns0:f>
        <ns0:v>0</ns0:v>
      </ns0:c>
      <ns0:c r="AV22" s="0">
        <ns0:f>IFERROR(IF(AND('_Engine'!$X22=1,ISNUMBER(Settings!$F64),Settings!$F64&gt;0,MID('_Engine'!$AP22,WEEKDAY(Settings!$F64,2),1)="W"),Settings!$F64,0),0)</ns0:f>
        <ns0:v>0</ns0:v>
      </ns0:c>
      <ns0:c r="AW22" s="0">
        <ns0:f>IFERROR(IF(AND('_Engine'!$X22=1,ISNUMBER(Settings!$F65),Settings!$F65&gt;0,MID('_Engine'!$AP22,WEEKDAY(Settings!$F65,2),1)="W"),Settings!$F65,0),0)</ns0:f>
        <ns0:v>0</ns0:v>
      </ns0:c>
      <ns0:c r="AX22" s="0">
        <ns0:f>IFERROR(IF(AND('_Engine'!$X22=1,ISNUMBER(Settings!$F66),Settings!$F66&gt;0,MID('_Engine'!$AP22,WEEKDAY(Settings!$F66,2),1)="W"),Settings!$F66,0),0)</ns0:f>
        <ns0:v>0</ns0:v>
      </ns0:c>
      <ns0:c r="AY22" s="0">
        <ns0:f>IFERROR(IF(AND('_Engine'!$X22=1,ISNUMBER(Settings!$F67),Settings!$F67&gt;0,MID('_Engine'!$AP22,WEEKDAY(Settings!$F67,2),1)="W"),Settings!$F67,0),0)</ns0:f>
        <ns0:v>0</ns0:v>
      </ns0:c>
    </ns0:row>
    <ns0:row r="23">
      <ns0:c r="B23" s="0">
        <ns0:f>IFERROR(IF(AND('_Engine'!$X23=1,ISNUMBER(Settings!$F18),Settings!$F18&gt;0,MID('_Engine'!$AP23,WEEKDAY(Settings!$F18,2),1)="W"),Settings!$F18,0),0)</ns0:f>
        <ns0:v>0</ns0:v>
      </ns0:c>
      <ns0:c r="C23" s="0">
        <ns0:f>IFERROR(IF(AND('_Engine'!$X23=1,ISNUMBER(Settings!$F19),Settings!$F19&gt;0,MID('_Engine'!$AP23,WEEKDAY(Settings!$F19,2),1)="W"),Settings!$F19,0),0)</ns0:f>
        <ns0:v>0</ns0:v>
      </ns0:c>
      <ns0:c r="D23" s="0">
        <ns0:f>IFERROR(IF(AND('_Engine'!$X23=1,ISNUMBER(Settings!$F20),Settings!$F20&gt;0,MID('_Engine'!$AP23,WEEKDAY(Settings!$F20,2),1)="W"),Settings!$F20,0),0)</ns0:f>
        <ns0:v>0</ns0:v>
      </ns0:c>
      <ns0:c r="E23" s="0">
        <ns0:f>IFERROR(IF(AND('_Engine'!$X23=1,ISNUMBER(Settings!$F21),Settings!$F21&gt;0,MID('_Engine'!$AP23,WEEKDAY(Settings!$F21,2),1)="W"),Settings!$F21,0),0)</ns0:f>
        <ns0:v>0</ns0:v>
      </ns0:c>
      <ns0:c r="F23" s="0">
        <ns0:f>IFERROR(IF(AND('_Engine'!$X23=1,ISNUMBER(Settings!$F22),Settings!$F22&gt;0,MID('_Engine'!$AP23,WEEKDAY(Settings!$F22,2),1)="W"),Settings!$F22,0),0)</ns0:f>
        <ns0:v>0</ns0:v>
      </ns0:c>
      <ns0:c r="G23" s="0">
        <ns0:f>IFERROR(IF(AND('_Engine'!$X23=1,ISNUMBER(Settings!$F23),Settings!$F23&gt;0,MID('_Engine'!$AP23,WEEKDAY(Settings!$F23,2),1)="W"),Settings!$F23,0),0)</ns0:f>
        <ns0:v>0</ns0:v>
      </ns0:c>
      <ns0:c r="H23" s="0">
        <ns0:f>IFERROR(IF(AND('_Engine'!$X23=1,ISNUMBER(Settings!$F24),Settings!$F24&gt;0,MID('_Engine'!$AP23,WEEKDAY(Settings!$F24,2),1)="W"),Settings!$F24,0),0)</ns0:f>
        <ns0:v>0</ns0:v>
      </ns0:c>
      <ns0:c r="I23" s="0">
        <ns0:f>IFERROR(IF(AND('_Engine'!$X23=1,ISNUMBER(Settings!$F25),Settings!$F25&gt;0,MID('_Engine'!$AP23,WEEKDAY(Settings!$F25,2),1)="W"),Settings!$F25,0),0)</ns0:f>
        <ns0:v>0</ns0:v>
      </ns0:c>
      <ns0:c r="J23" s="0">
        <ns0:f>IFERROR(IF(AND('_Engine'!$X23=1,ISNUMBER(Settings!$F26),Settings!$F26&gt;0,MID('_Engine'!$AP23,WEEKDAY(Settings!$F26,2),1)="W"),Settings!$F26,0),0)</ns0:f>
        <ns0:v>0</ns0:v>
      </ns0:c>
      <ns0:c r="K23" s="0">
        <ns0:f>IFERROR(IF(AND('_Engine'!$X23=1,ISNUMBER(Settings!$F27),Settings!$F27&gt;0,MID('_Engine'!$AP23,WEEKDAY(Settings!$F27,2),1)="W"),Settings!$F27,0),0)</ns0:f>
        <ns0:v>0</ns0:v>
      </ns0:c>
      <ns0:c r="L23" s="0">
        <ns0:f>IFERROR(IF(AND('_Engine'!$X23=1,ISNUMBER(Settings!$F28),Settings!$F28&gt;0,MID('_Engine'!$AP23,WEEKDAY(Settings!$F28,2),1)="W"),Settings!$F28,0),0)</ns0:f>
        <ns0:v>0</ns0:v>
      </ns0:c>
      <ns0:c r="M23" s="0">
        <ns0:f>IFERROR(IF(AND('_Engine'!$X23=1,ISNUMBER(Settings!$F29),Settings!$F29&gt;0,MID('_Engine'!$AP23,WEEKDAY(Settings!$F29,2),1)="W"),Settings!$F29,0),0)</ns0:f>
        <ns0:v>0</ns0:v>
      </ns0:c>
      <ns0:c r="N23" s="0">
        <ns0:f>IFERROR(IF(AND('_Engine'!$X23=1,ISNUMBER(Settings!$F30),Settings!$F30&gt;0,MID('_Engine'!$AP23,WEEKDAY(Settings!$F30,2),1)="W"),Settings!$F30,0),0)</ns0:f>
        <ns0:v>0</ns0:v>
      </ns0:c>
      <ns0:c r="O23" s="0">
        <ns0:f>IFERROR(IF(AND('_Engine'!$X23=1,ISNUMBER(Settings!$F31),Settings!$F31&gt;0,MID('_Engine'!$AP23,WEEKDAY(Settings!$F31,2),1)="W"),Settings!$F31,0),0)</ns0:f>
        <ns0:v>0</ns0:v>
      </ns0:c>
      <ns0:c r="P23" s="0">
        <ns0:f>IFERROR(IF(AND('_Engine'!$X23=1,ISNUMBER(Settings!$F32),Settings!$F32&gt;0,MID('_Engine'!$AP23,WEEKDAY(Settings!$F32,2),1)="W"),Settings!$F32,0),0)</ns0:f>
        <ns0:v>0</ns0:v>
      </ns0:c>
      <ns0:c r="Q23" s="0">
        <ns0:f>IFERROR(IF(AND('_Engine'!$X23=1,ISNUMBER(Settings!$F33),Settings!$F33&gt;0,MID('_Engine'!$AP23,WEEKDAY(Settings!$F33,2),1)="W"),Settings!$F33,0),0)</ns0:f>
        <ns0:v>0</ns0:v>
      </ns0:c>
      <ns0:c r="R23" s="0">
        <ns0:f>IFERROR(IF(AND('_Engine'!$X23=1,ISNUMBER(Settings!$F34),Settings!$F34&gt;0,MID('_Engine'!$AP23,WEEKDAY(Settings!$F34,2),1)="W"),Settings!$F34,0),0)</ns0:f>
        <ns0:v>0</ns0:v>
      </ns0:c>
      <ns0:c r="S23" s="0">
        <ns0:f>IFERROR(IF(AND('_Engine'!$X23=1,ISNUMBER(Settings!$F35),Settings!$F35&gt;0,MID('_Engine'!$AP23,WEEKDAY(Settings!$F35,2),1)="W"),Settings!$F35,0),0)</ns0:f>
        <ns0:v>0</ns0:v>
      </ns0:c>
      <ns0:c r="T23" s="0">
        <ns0:f>IFERROR(IF(AND('_Engine'!$X23=1,ISNUMBER(Settings!$F36),Settings!$F36&gt;0,MID('_Engine'!$AP23,WEEKDAY(Settings!$F36,2),1)="W"),Settings!$F36,0),0)</ns0:f>
        <ns0:v>0</ns0:v>
      </ns0:c>
      <ns0:c r="U23" s="0">
        <ns0:f>IFERROR(IF(AND('_Engine'!$X23=1,ISNUMBER(Settings!$F37),Settings!$F37&gt;0,MID('_Engine'!$AP23,WEEKDAY(Settings!$F37,2),1)="W"),Settings!$F37,0),0)</ns0:f>
        <ns0:v>0</ns0:v>
      </ns0:c>
      <ns0:c r="V23" s="0">
        <ns0:f>IFERROR(IF(AND('_Engine'!$X23=1,ISNUMBER(Settings!$F38),Settings!$F38&gt;0,MID('_Engine'!$AP23,WEEKDAY(Settings!$F38,2),1)="W"),Settings!$F38,0),0)</ns0:f>
        <ns0:v>0</ns0:v>
      </ns0:c>
      <ns0:c r="W23" s="0">
        <ns0:f>IFERROR(IF(AND('_Engine'!$X23=1,ISNUMBER(Settings!$F39),Settings!$F39&gt;0,MID('_Engine'!$AP23,WEEKDAY(Settings!$F39,2),1)="W"),Settings!$F39,0),0)</ns0:f>
        <ns0:v>0</ns0:v>
      </ns0:c>
      <ns0:c r="X23" s="0">
        <ns0:f>IFERROR(IF(AND('_Engine'!$X23=1,ISNUMBER(Settings!$F40),Settings!$F40&gt;0,MID('_Engine'!$AP23,WEEKDAY(Settings!$F40,2),1)="W"),Settings!$F40,0),0)</ns0:f>
        <ns0:v>0</ns0:v>
      </ns0:c>
      <ns0:c r="Y23" s="0">
        <ns0:f>IFERROR(IF(AND('_Engine'!$X23=1,ISNUMBER(Settings!$F41),Settings!$F41&gt;0,MID('_Engine'!$AP23,WEEKDAY(Settings!$F41,2),1)="W"),Settings!$F41,0),0)</ns0:f>
        <ns0:v>0</ns0:v>
      </ns0:c>
      <ns0:c r="Z23" s="0">
        <ns0:f>IFERROR(IF(AND('_Engine'!$X23=1,ISNUMBER(Settings!$F42),Settings!$F42&gt;0,MID('_Engine'!$AP23,WEEKDAY(Settings!$F42,2),1)="W"),Settings!$F42,0),0)</ns0:f>
        <ns0:v>0</ns0:v>
      </ns0:c>
      <ns0:c r="AA23" s="0">
        <ns0:f>IFERROR(IF(AND('_Engine'!$X23=1,ISNUMBER(Settings!$F43),Settings!$F43&gt;0,MID('_Engine'!$AP23,WEEKDAY(Settings!$F43,2),1)="W"),Settings!$F43,0),0)</ns0:f>
        <ns0:v>0</ns0:v>
      </ns0:c>
      <ns0:c r="AB23" s="0">
        <ns0:f>IFERROR(IF(AND('_Engine'!$X23=1,ISNUMBER(Settings!$F44),Settings!$F44&gt;0,MID('_Engine'!$AP23,WEEKDAY(Settings!$F44,2),1)="W"),Settings!$F44,0),0)</ns0:f>
        <ns0:v>0</ns0:v>
      </ns0:c>
      <ns0:c r="AC23" s="0">
        <ns0:f>IFERROR(IF(AND('_Engine'!$X23=1,ISNUMBER(Settings!$F45),Settings!$F45&gt;0,MID('_Engine'!$AP23,WEEKDAY(Settings!$F45,2),1)="W"),Settings!$F45,0),0)</ns0:f>
        <ns0:v>0</ns0:v>
      </ns0:c>
      <ns0:c r="AD23" s="0">
        <ns0:f>IFERROR(IF(AND('_Engine'!$X23=1,ISNUMBER(Settings!$F46),Settings!$F46&gt;0,MID('_Engine'!$AP23,WEEKDAY(Settings!$F46,2),1)="W"),Settings!$F46,0),0)</ns0:f>
        <ns0:v>0</ns0:v>
      </ns0:c>
      <ns0:c r="AE23" s="0">
        <ns0:f>IFERROR(IF(AND('_Engine'!$X23=1,ISNUMBER(Settings!$F47),Settings!$F47&gt;0,MID('_Engine'!$AP23,WEEKDAY(Settings!$F47,2),1)="W"),Settings!$F47,0),0)</ns0:f>
        <ns0:v>0</ns0:v>
      </ns0:c>
      <ns0:c r="AF23" s="0">
        <ns0:f>IFERROR(IF(AND('_Engine'!$X23=1,ISNUMBER(Settings!$F48),Settings!$F48&gt;0,MID('_Engine'!$AP23,WEEKDAY(Settings!$F48,2),1)="W"),Settings!$F48,0),0)</ns0:f>
        <ns0:v>0</ns0:v>
      </ns0:c>
      <ns0:c r="AG23" s="0">
        <ns0:f>IFERROR(IF(AND('_Engine'!$X23=1,ISNUMBER(Settings!$F49),Settings!$F49&gt;0,MID('_Engine'!$AP23,WEEKDAY(Settings!$F49,2),1)="W"),Settings!$F49,0),0)</ns0:f>
        <ns0:v>0</ns0:v>
      </ns0:c>
      <ns0:c r="AH23" s="0">
        <ns0:f>IFERROR(IF(AND('_Engine'!$X23=1,ISNUMBER(Settings!$F50),Settings!$F50&gt;0,MID('_Engine'!$AP23,WEEKDAY(Settings!$F50,2),1)="W"),Settings!$F50,0),0)</ns0:f>
        <ns0:v>0</ns0:v>
      </ns0:c>
      <ns0:c r="AI23" s="0">
        <ns0:f>IFERROR(IF(AND('_Engine'!$X23=1,ISNUMBER(Settings!$F51),Settings!$F51&gt;0,MID('_Engine'!$AP23,WEEKDAY(Settings!$F51,2),1)="W"),Settings!$F51,0),0)</ns0:f>
        <ns0:v>0</ns0:v>
      </ns0:c>
      <ns0:c r="AJ23" s="0">
        <ns0:f>IFERROR(IF(AND('_Engine'!$X23=1,ISNUMBER(Settings!$F52),Settings!$F52&gt;0,MID('_Engine'!$AP23,WEEKDAY(Settings!$F52,2),1)="W"),Settings!$F52,0),0)</ns0:f>
        <ns0:v>0</ns0:v>
      </ns0:c>
      <ns0:c r="AK23" s="0">
        <ns0:f>IFERROR(IF(AND('_Engine'!$X23=1,ISNUMBER(Settings!$F53),Settings!$F53&gt;0,MID('_Engine'!$AP23,WEEKDAY(Settings!$F53,2),1)="W"),Settings!$F53,0),0)</ns0:f>
        <ns0:v>0</ns0:v>
      </ns0:c>
      <ns0:c r="AL23" s="0">
        <ns0:f>IFERROR(IF(AND('_Engine'!$X23=1,ISNUMBER(Settings!$F54),Settings!$F54&gt;0,MID('_Engine'!$AP23,WEEKDAY(Settings!$F54,2),1)="W"),Settings!$F54,0),0)</ns0:f>
        <ns0:v>0</ns0:v>
      </ns0:c>
      <ns0:c r="AM23" s="0">
        <ns0:f>IFERROR(IF(AND('_Engine'!$X23=1,ISNUMBER(Settings!$F55),Settings!$F55&gt;0,MID('_Engine'!$AP23,WEEKDAY(Settings!$F55,2),1)="W"),Settings!$F55,0),0)</ns0:f>
        <ns0:v>0</ns0:v>
      </ns0:c>
      <ns0:c r="AN23" s="0">
        <ns0:f>IFERROR(IF(AND('_Engine'!$X23=1,ISNUMBER(Settings!$F56),Settings!$F56&gt;0,MID('_Engine'!$AP23,WEEKDAY(Settings!$F56,2),1)="W"),Settings!$F56,0),0)</ns0:f>
        <ns0:v>0</ns0:v>
      </ns0:c>
      <ns0:c r="AO23" s="0">
        <ns0:f>IFERROR(IF(AND('_Engine'!$X23=1,ISNUMBER(Settings!$F57),Settings!$F57&gt;0,MID('_Engine'!$AP23,WEEKDAY(Settings!$F57,2),1)="W"),Settings!$F57,0),0)</ns0:f>
        <ns0:v>0</ns0:v>
      </ns0:c>
      <ns0:c r="AP23" s="0">
        <ns0:f>IFERROR(IF(AND('_Engine'!$X23=1,ISNUMBER(Settings!$F58),Settings!$F58&gt;0,MID('_Engine'!$AP23,WEEKDAY(Settings!$F58,2),1)="W"),Settings!$F58,0),0)</ns0:f>
        <ns0:v>0</ns0:v>
      </ns0:c>
      <ns0:c r="AQ23" s="0">
        <ns0:f>IFERROR(IF(AND('_Engine'!$X23=1,ISNUMBER(Settings!$F59),Settings!$F59&gt;0,MID('_Engine'!$AP23,WEEKDAY(Settings!$F59,2),1)="W"),Settings!$F59,0),0)</ns0:f>
        <ns0:v>0</ns0:v>
      </ns0:c>
      <ns0:c r="AR23" s="0">
        <ns0:f>IFERROR(IF(AND('_Engine'!$X23=1,ISNUMBER(Settings!$F60),Settings!$F60&gt;0,MID('_Engine'!$AP23,WEEKDAY(Settings!$F60,2),1)="W"),Settings!$F60,0),0)</ns0:f>
        <ns0:v>0</ns0:v>
      </ns0:c>
      <ns0:c r="AS23" s="0">
        <ns0:f>IFERROR(IF(AND('_Engine'!$X23=1,ISNUMBER(Settings!$F61),Settings!$F61&gt;0,MID('_Engine'!$AP23,WEEKDAY(Settings!$F61,2),1)="W"),Settings!$F61,0),0)</ns0:f>
        <ns0:v>0</ns0:v>
      </ns0:c>
      <ns0:c r="AT23" s="0">
        <ns0:f>IFERROR(IF(AND('_Engine'!$X23=1,ISNUMBER(Settings!$F62),Settings!$F62&gt;0,MID('_Engine'!$AP23,WEEKDAY(Settings!$F62,2),1)="W"),Settings!$F62,0),0)</ns0:f>
        <ns0:v>0</ns0:v>
      </ns0:c>
      <ns0:c r="AU23" s="0">
        <ns0:f>IFERROR(IF(AND('_Engine'!$X23=1,ISNUMBER(Settings!$F63),Settings!$F63&gt;0,MID('_Engine'!$AP23,WEEKDAY(Settings!$F63,2),1)="W"),Settings!$F63,0),0)</ns0:f>
        <ns0:v>0</ns0:v>
      </ns0:c>
      <ns0:c r="AV23" s="0">
        <ns0:f>IFERROR(IF(AND('_Engine'!$X23=1,ISNUMBER(Settings!$F64),Settings!$F64&gt;0,MID('_Engine'!$AP23,WEEKDAY(Settings!$F64,2),1)="W"),Settings!$F64,0),0)</ns0:f>
        <ns0:v>0</ns0:v>
      </ns0:c>
      <ns0:c r="AW23" s="0">
        <ns0:f>IFERROR(IF(AND('_Engine'!$X23=1,ISNUMBER(Settings!$F65),Settings!$F65&gt;0,MID('_Engine'!$AP23,WEEKDAY(Settings!$F65,2),1)="W"),Settings!$F65,0),0)</ns0:f>
        <ns0:v>0</ns0:v>
      </ns0:c>
      <ns0:c r="AX23" s="0">
        <ns0:f>IFERROR(IF(AND('_Engine'!$X23=1,ISNUMBER(Settings!$F66),Settings!$F66&gt;0,MID('_Engine'!$AP23,WEEKDAY(Settings!$F66,2),1)="W"),Settings!$F66,0),0)</ns0:f>
        <ns0:v>0</ns0:v>
      </ns0:c>
      <ns0:c r="AY23" s="0">
        <ns0:f>IFERROR(IF(AND('_Engine'!$X23=1,ISNUMBER(Settings!$F67),Settings!$F67&gt;0,MID('_Engine'!$AP23,WEEKDAY(Settings!$F67,2),1)="W"),Settings!$F67,0),0)</ns0:f>
        <ns0:v>0</ns0:v>
      </ns0:c>
    </ns0:row>
    <ns0:row r="24">
      <ns0:c r="B24" s="0">
        <ns0:f>IFERROR(IF(AND('_Engine'!$X24=1,ISNUMBER(Settings!$F18),Settings!$F18&gt;0,MID('_Engine'!$AP24,WEEKDAY(Settings!$F18,2),1)="W"),Settings!$F18,0),0)</ns0:f>
        <ns0:v>0</ns0:v>
      </ns0:c>
      <ns0:c r="C24" s="0">
        <ns0:f>IFERROR(IF(AND('_Engine'!$X24=1,ISNUMBER(Settings!$F19),Settings!$F19&gt;0,MID('_Engine'!$AP24,WEEKDAY(Settings!$F19,2),1)="W"),Settings!$F19,0),0)</ns0:f>
        <ns0:v>0</ns0:v>
      </ns0:c>
      <ns0:c r="D24" s="0">
        <ns0:f>IFERROR(IF(AND('_Engine'!$X24=1,ISNUMBER(Settings!$F20),Settings!$F20&gt;0,MID('_Engine'!$AP24,WEEKDAY(Settings!$F20,2),1)="W"),Settings!$F20,0),0)</ns0:f>
        <ns0:v>0</ns0:v>
      </ns0:c>
      <ns0:c r="E24" s="0">
        <ns0:f>IFERROR(IF(AND('_Engine'!$X24=1,ISNUMBER(Settings!$F21),Settings!$F21&gt;0,MID('_Engine'!$AP24,WEEKDAY(Settings!$F21,2),1)="W"),Settings!$F21,0),0)</ns0:f>
        <ns0:v>0</ns0:v>
      </ns0:c>
      <ns0:c r="F24" s="0">
        <ns0:f>IFERROR(IF(AND('_Engine'!$X24=1,ISNUMBER(Settings!$F22),Settings!$F22&gt;0,MID('_Engine'!$AP24,WEEKDAY(Settings!$F22,2),1)="W"),Settings!$F22,0),0)</ns0:f>
        <ns0:v>0</ns0:v>
      </ns0:c>
      <ns0:c r="G24" s="0">
        <ns0:f>IFERROR(IF(AND('_Engine'!$X24=1,ISNUMBER(Settings!$F23),Settings!$F23&gt;0,MID('_Engine'!$AP24,WEEKDAY(Settings!$F23,2),1)="W"),Settings!$F23,0),0)</ns0:f>
        <ns0:v>0</ns0:v>
      </ns0:c>
      <ns0:c r="H24" s="0">
        <ns0:f>IFERROR(IF(AND('_Engine'!$X24=1,ISNUMBER(Settings!$F24),Settings!$F24&gt;0,MID('_Engine'!$AP24,WEEKDAY(Settings!$F24,2),1)="W"),Settings!$F24,0),0)</ns0:f>
        <ns0:v>0</ns0:v>
      </ns0:c>
      <ns0:c r="I24" s="0">
        <ns0:f>IFERROR(IF(AND('_Engine'!$X24=1,ISNUMBER(Settings!$F25),Settings!$F25&gt;0,MID('_Engine'!$AP24,WEEKDAY(Settings!$F25,2),1)="W"),Settings!$F25,0),0)</ns0:f>
        <ns0:v>0</ns0:v>
      </ns0:c>
      <ns0:c r="J24" s="0">
        <ns0:f>IFERROR(IF(AND('_Engine'!$X24=1,ISNUMBER(Settings!$F26),Settings!$F26&gt;0,MID('_Engine'!$AP24,WEEKDAY(Settings!$F26,2),1)="W"),Settings!$F26,0),0)</ns0:f>
        <ns0:v>0</ns0:v>
      </ns0:c>
      <ns0:c r="K24" s="0">
        <ns0:f>IFERROR(IF(AND('_Engine'!$X24=1,ISNUMBER(Settings!$F27),Settings!$F27&gt;0,MID('_Engine'!$AP24,WEEKDAY(Settings!$F27,2),1)="W"),Settings!$F27,0),0)</ns0:f>
        <ns0:v>0</ns0:v>
      </ns0:c>
      <ns0:c r="L24" s="0">
        <ns0:f>IFERROR(IF(AND('_Engine'!$X24=1,ISNUMBER(Settings!$F28),Settings!$F28&gt;0,MID('_Engine'!$AP24,WEEKDAY(Settings!$F28,2),1)="W"),Settings!$F28,0),0)</ns0:f>
        <ns0:v>0</ns0:v>
      </ns0:c>
      <ns0:c r="M24" s="0">
        <ns0:f>IFERROR(IF(AND('_Engine'!$X24=1,ISNUMBER(Settings!$F29),Settings!$F29&gt;0,MID('_Engine'!$AP24,WEEKDAY(Settings!$F29,2),1)="W"),Settings!$F29,0),0)</ns0:f>
        <ns0:v>0</ns0:v>
      </ns0:c>
      <ns0:c r="N24" s="0">
        <ns0:f>IFERROR(IF(AND('_Engine'!$X24=1,ISNUMBER(Settings!$F30),Settings!$F30&gt;0,MID('_Engine'!$AP24,WEEKDAY(Settings!$F30,2),1)="W"),Settings!$F30,0),0)</ns0:f>
        <ns0:v>0</ns0:v>
      </ns0:c>
      <ns0:c r="O24" s="0">
        <ns0:f>IFERROR(IF(AND('_Engine'!$X24=1,ISNUMBER(Settings!$F31),Settings!$F31&gt;0,MID('_Engine'!$AP24,WEEKDAY(Settings!$F31,2),1)="W"),Settings!$F31,0),0)</ns0:f>
        <ns0:v>0</ns0:v>
      </ns0:c>
      <ns0:c r="P24" s="0">
        <ns0:f>IFERROR(IF(AND('_Engine'!$X24=1,ISNUMBER(Settings!$F32),Settings!$F32&gt;0,MID('_Engine'!$AP24,WEEKDAY(Settings!$F32,2),1)="W"),Settings!$F32,0),0)</ns0:f>
        <ns0:v>0</ns0:v>
      </ns0:c>
      <ns0:c r="Q24" s="0">
        <ns0:f>IFERROR(IF(AND('_Engine'!$X24=1,ISNUMBER(Settings!$F33),Settings!$F33&gt;0,MID('_Engine'!$AP24,WEEKDAY(Settings!$F33,2),1)="W"),Settings!$F33,0),0)</ns0:f>
        <ns0:v>0</ns0:v>
      </ns0:c>
      <ns0:c r="R24" s="0">
        <ns0:f>IFERROR(IF(AND('_Engine'!$X24=1,ISNUMBER(Settings!$F34),Settings!$F34&gt;0,MID('_Engine'!$AP24,WEEKDAY(Settings!$F34,2),1)="W"),Settings!$F34,0),0)</ns0:f>
        <ns0:v>0</ns0:v>
      </ns0:c>
      <ns0:c r="S24" s="0">
        <ns0:f>IFERROR(IF(AND('_Engine'!$X24=1,ISNUMBER(Settings!$F35),Settings!$F35&gt;0,MID('_Engine'!$AP24,WEEKDAY(Settings!$F35,2),1)="W"),Settings!$F35,0),0)</ns0:f>
        <ns0:v>0</ns0:v>
      </ns0:c>
      <ns0:c r="T24" s="0">
        <ns0:f>IFERROR(IF(AND('_Engine'!$X24=1,ISNUMBER(Settings!$F36),Settings!$F36&gt;0,MID('_Engine'!$AP24,WEEKDAY(Settings!$F36,2),1)="W"),Settings!$F36,0),0)</ns0:f>
        <ns0:v>0</ns0:v>
      </ns0:c>
      <ns0:c r="U24" s="0">
        <ns0:f>IFERROR(IF(AND('_Engine'!$X24=1,ISNUMBER(Settings!$F37),Settings!$F37&gt;0,MID('_Engine'!$AP24,WEEKDAY(Settings!$F37,2),1)="W"),Settings!$F37,0),0)</ns0:f>
        <ns0:v>0</ns0:v>
      </ns0:c>
      <ns0:c r="V24" s="0">
        <ns0:f>IFERROR(IF(AND('_Engine'!$X24=1,ISNUMBER(Settings!$F38),Settings!$F38&gt;0,MID('_Engine'!$AP24,WEEKDAY(Settings!$F38,2),1)="W"),Settings!$F38,0),0)</ns0:f>
        <ns0:v>0</ns0:v>
      </ns0:c>
      <ns0:c r="W24" s="0">
        <ns0:f>IFERROR(IF(AND('_Engine'!$X24=1,ISNUMBER(Settings!$F39),Settings!$F39&gt;0,MID('_Engine'!$AP24,WEEKDAY(Settings!$F39,2),1)="W"),Settings!$F39,0),0)</ns0:f>
        <ns0:v>0</ns0:v>
      </ns0:c>
      <ns0:c r="X24" s="0">
        <ns0:f>IFERROR(IF(AND('_Engine'!$X24=1,ISNUMBER(Settings!$F40),Settings!$F40&gt;0,MID('_Engine'!$AP24,WEEKDAY(Settings!$F40,2),1)="W"),Settings!$F40,0),0)</ns0:f>
        <ns0:v>0</ns0:v>
      </ns0:c>
      <ns0:c r="Y24" s="0">
        <ns0:f>IFERROR(IF(AND('_Engine'!$X24=1,ISNUMBER(Settings!$F41),Settings!$F41&gt;0,MID('_Engine'!$AP24,WEEKDAY(Settings!$F41,2),1)="W"),Settings!$F41,0),0)</ns0:f>
        <ns0:v>0</ns0:v>
      </ns0:c>
      <ns0:c r="Z24" s="0">
        <ns0:f>IFERROR(IF(AND('_Engine'!$X24=1,ISNUMBER(Settings!$F42),Settings!$F42&gt;0,MID('_Engine'!$AP24,WEEKDAY(Settings!$F42,2),1)="W"),Settings!$F42,0),0)</ns0:f>
        <ns0:v>0</ns0:v>
      </ns0:c>
      <ns0:c r="AA24" s="0">
        <ns0:f>IFERROR(IF(AND('_Engine'!$X24=1,ISNUMBER(Settings!$F43),Settings!$F43&gt;0,MID('_Engine'!$AP24,WEEKDAY(Settings!$F43,2),1)="W"),Settings!$F43,0),0)</ns0:f>
        <ns0:v>0</ns0:v>
      </ns0:c>
      <ns0:c r="AB24" s="0">
        <ns0:f>IFERROR(IF(AND('_Engine'!$X24=1,ISNUMBER(Settings!$F44),Settings!$F44&gt;0,MID('_Engine'!$AP24,WEEKDAY(Settings!$F44,2),1)="W"),Settings!$F44,0),0)</ns0:f>
        <ns0:v>0</ns0:v>
      </ns0:c>
      <ns0:c r="AC24" s="0">
        <ns0:f>IFERROR(IF(AND('_Engine'!$X24=1,ISNUMBER(Settings!$F45),Settings!$F45&gt;0,MID('_Engine'!$AP24,WEEKDAY(Settings!$F45,2),1)="W"),Settings!$F45,0),0)</ns0:f>
        <ns0:v>0</ns0:v>
      </ns0:c>
      <ns0:c r="AD24" s="0">
        <ns0:f>IFERROR(IF(AND('_Engine'!$X24=1,ISNUMBER(Settings!$F46),Settings!$F46&gt;0,MID('_Engine'!$AP24,WEEKDAY(Settings!$F46,2),1)="W"),Settings!$F46,0),0)</ns0:f>
        <ns0:v>0</ns0:v>
      </ns0:c>
      <ns0:c r="AE24" s="0">
        <ns0:f>IFERROR(IF(AND('_Engine'!$X24=1,ISNUMBER(Settings!$F47),Settings!$F47&gt;0,MID('_Engine'!$AP24,WEEKDAY(Settings!$F47,2),1)="W"),Settings!$F47,0),0)</ns0:f>
        <ns0:v>0</ns0:v>
      </ns0:c>
      <ns0:c r="AF24" s="0">
        <ns0:f>IFERROR(IF(AND('_Engine'!$X24=1,ISNUMBER(Settings!$F48),Settings!$F48&gt;0,MID('_Engine'!$AP24,WEEKDAY(Settings!$F48,2),1)="W"),Settings!$F48,0),0)</ns0:f>
        <ns0:v>0</ns0:v>
      </ns0:c>
      <ns0:c r="AG24" s="0">
        <ns0:f>IFERROR(IF(AND('_Engine'!$X24=1,ISNUMBER(Settings!$F49),Settings!$F49&gt;0,MID('_Engine'!$AP24,WEEKDAY(Settings!$F49,2),1)="W"),Settings!$F49,0),0)</ns0:f>
        <ns0:v>0</ns0:v>
      </ns0:c>
      <ns0:c r="AH24" s="0">
        <ns0:f>IFERROR(IF(AND('_Engine'!$X24=1,ISNUMBER(Settings!$F50),Settings!$F50&gt;0,MID('_Engine'!$AP24,WEEKDAY(Settings!$F50,2),1)="W"),Settings!$F50,0),0)</ns0:f>
        <ns0:v>0</ns0:v>
      </ns0:c>
      <ns0:c r="AI24" s="0">
        <ns0:f>IFERROR(IF(AND('_Engine'!$X24=1,ISNUMBER(Settings!$F51),Settings!$F51&gt;0,MID('_Engine'!$AP24,WEEKDAY(Settings!$F51,2),1)="W"),Settings!$F51,0),0)</ns0:f>
        <ns0:v>0</ns0:v>
      </ns0:c>
      <ns0:c r="AJ24" s="0">
        <ns0:f>IFERROR(IF(AND('_Engine'!$X24=1,ISNUMBER(Settings!$F52),Settings!$F52&gt;0,MID('_Engine'!$AP24,WEEKDAY(Settings!$F52,2),1)="W"),Settings!$F52,0),0)</ns0:f>
        <ns0:v>0</ns0:v>
      </ns0:c>
      <ns0:c r="AK24" s="0">
        <ns0:f>IFERROR(IF(AND('_Engine'!$X24=1,ISNUMBER(Settings!$F53),Settings!$F53&gt;0,MID('_Engine'!$AP24,WEEKDAY(Settings!$F53,2),1)="W"),Settings!$F53,0),0)</ns0:f>
        <ns0:v>0</ns0:v>
      </ns0:c>
      <ns0:c r="AL24" s="0">
        <ns0:f>IFERROR(IF(AND('_Engine'!$X24=1,ISNUMBER(Settings!$F54),Settings!$F54&gt;0,MID('_Engine'!$AP24,WEEKDAY(Settings!$F54,2),1)="W"),Settings!$F54,0),0)</ns0:f>
        <ns0:v>0</ns0:v>
      </ns0:c>
      <ns0:c r="AM24" s="0">
        <ns0:f>IFERROR(IF(AND('_Engine'!$X24=1,ISNUMBER(Settings!$F55),Settings!$F55&gt;0,MID('_Engine'!$AP24,WEEKDAY(Settings!$F55,2),1)="W"),Settings!$F55,0),0)</ns0:f>
        <ns0:v>0</ns0:v>
      </ns0:c>
      <ns0:c r="AN24" s="0">
        <ns0:f>IFERROR(IF(AND('_Engine'!$X24=1,ISNUMBER(Settings!$F56),Settings!$F56&gt;0,MID('_Engine'!$AP24,WEEKDAY(Settings!$F56,2),1)="W"),Settings!$F56,0),0)</ns0:f>
        <ns0:v>0</ns0:v>
      </ns0:c>
      <ns0:c r="AO24" s="0">
        <ns0:f>IFERROR(IF(AND('_Engine'!$X24=1,ISNUMBER(Settings!$F57),Settings!$F57&gt;0,MID('_Engine'!$AP24,WEEKDAY(Settings!$F57,2),1)="W"),Settings!$F57,0),0)</ns0:f>
        <ns0:v>0</ns0:v>
      </ns0:c>
      <ns0:c r="AP24" s="0">
        <ns0:f>IFERROR(IF(AND('_Engine'!$X24=1,ISNUMBER(Settings!$F58),Settings!$F58&gt;0,MID('_Engine'!$AP24,WEEKDAY(Settings!$F58,2),1)="W"),Settings!$F58,0),0)</ns0:f>
        <ns0:v>0</ns0:v>
      </ns0:c>
      <ns0:c r="AQ24" s="0">
        <ns0:f>IFERROR(IF(AND('_Engine'!$X24=1,ISNUMBER(Settings!$F59),Settings!$F59&gt;0,MID('_Engine'!$AP24,WEEKDAY(Settings!$F59,2),1)="W"),Settings!$F59,0),0)</ns0:f>
        <ns0:v>0</ns0:v>
      </ns0:c>
      <ns0:c r="AR24" s="0">
        <ns0:f>IFERROR(IF(AND('_Engine'!$X24=1,ISNUMBER(Settings!$F60),Settings!$F60&gt;0,MID('_Engine'!$AP24,WEEKDAY(Settings!$F60,2),1)="W"),Settings!$F60,0),0)</ns0:f>
        <ns0:v>0</ns0:v>
      </ns0:c>
      <ns0:c r="AS24" s="0">
        <ns0:f>IFERROR(IF(AND('_Engine'!$X24=1,ISNUMBER(Settings!$F61),Settings!$F61&gt;0,MID('_Engine'!$AP24,WEEKDAY(Settings!$F61,2),1)="W"),Settings!$F61,0),0)</ns0:f>
        <ns0:v>0</ns0:v>
      </ns0:c>
      <ns0:c r="AT24" s="0">
        <ns0:f>IFERROR(IF(AND('_Engine'!$X24=1,ISNUMBER(Settings!$F62),Settings!$F62&gt;0,MID('_Engine'!$AP24,WEEKDAY(Settings!$F62,2),1)="W"),Settings!$F62,0),0)</ns0:f>
        <ns0:v>0</ns0:v>
      </ns0:c>
      <ns0:c r="AU24" s="0">
        <ns0:f>IFERROR(IF(AND('_Engine'!$X24=1,ISNUMBER(Settings!$F63),Settings!$F63&gt;0,MID('_Engine'!$AP24,WEEKDAY(Settings!$F63,2),1)="W"),Settings!$F63,0),0)</ns0:f>
        <ns0:v>0</ns0:v>
      </ns0:c>
      <ns0:c r="AV24" s="0">
        <ns0:f>IFERROR(IF(AND('_Engine'!$X24=1,ISNUMBER(Settings!$F64),Settings!$F64&gt;0,MID('_Engine'!$AP24,WEEKDAY(Settings!$F64,2),1)="W"),Settings!$F64,0),0)</ns0:f>
        <ns0:v>0</ns0:v>
      </ns0:c>
      <ns0:c r="AW24" s="0">
        <ns0:f>IFERROR(IF(AND('_Engine'!$X24=1,ISNUMBER(Settings!$F65),Settings!$F65&gt;0,MID('_Engine'!$AP24,WEEKDAY(Settings!$F65,2),1)="W"),Settings!$F65,0),0)</ns0:f>
        <ns0:v>0</ns0:v>
      </ns0:c>
      <ns0:c r="AX24" s="0">
        <ns0:f>IFERROR(IF(AND('_Engine'!$X24=1,ISNUMBER(Settings!$F66),Settings!$F66&gt;0,MID('_Engine'!$AP24,WEEKDAY(Settings!$F66,2),1)="W"),Settings!$F66,0),0)</ns0:f>
        <ns0:v>0</ns0:v>
      </ns0:c>
      <ns0:c r="AY24" s="0">
        <ns0:f>IFERROR(IF(AND('_Engine'!$X24=1,ISNUMBER(Settings!$F67),Settings!$F67&gt;0,MID('_Engine'!$AP24,WEEKDAY(Settings!$F67,2),1)="W"),Settings!$F67,0),0)</ns0:f>
        <ns0:v>0</ns0:v>
      </ns0:c>
    </ns0:row>
    <ns0:row r="25">
      <ns0:c r="B25" s="0">
        <ns0:f>IFERROR(IF(AND('_Engine'!$X25=1,ISNUMBER(Settings!$F18),Settings!$F18&gt;0,MID('_Engine'!$AP25,WEEKDAY(Settings!$F18,2),1)="W"),Settings!$F18,0),0)</ns0:f>
        <ns0:v>0</ns0:v>
      </ns0:c>
      <ns0:c r="C25" s="0">
        <ns0:f>IFERROR(IF(AND('_Engine'!$X25=1,ISNUMBER(Settings!$F19),Settings!$F19&gt;0,MID('_Engine'!$AP25,WEEKDAY(Settings!$F19,2),1)="W"),Settings!$F19,0),0)</ns0:f>
        <ns0:v>0</ns0:v>
      </ns0:c>
      <ns0:c r="D25" s="0">
        <ns0:f>IFERROR(IF(AND('_Engine'!$X25=1,ISNUMBER(Settings!$F20),Settings!$F20&gt;0,MID('_Engine'!$AP25,WEEKDAY(Settings!$F20,2),1)="W"),Settings!$F20,0),0)</ns0:f>
        <ns0:v>0</ns0:v>
      </ns0:c>
      <ns0:c r="E25" s="0">
        <ns0:f>IFERROR(IF(AND('_Engine'!$X25=1,ISNUMBER(Settings!$F21),Settings!$F21&gt;0,MID('_Engine'!$AP25,WEEKDAY(Settings!$F21,2),1)="W"),Settings!$F21,0),0)</ns0:f>
        <ns0:v>0</ns0:v>
      </ns0:c>
      <ns0:c r="F25" s="0">
        <ns0:f>IFERROR(IF(AND('_Engine'!$X25=1,ISNUMBER(Settings!$F22),Settings!$F22&gt;0,MID('_Engine'!$AP25,WEEKDAY(Settings!$F22,2),1)="W"),Settings!$F22,0),0)</ns0:f>
        <ns0:v>0</ns0:v>
      </ns0:c>
      <ns0:c r="G25" s="0">
        <ns0:f>IFERROR(IF(AND('_Engine'!$X25=1,ISNUMBER(Settings!$F23),Settings!$F23&gt;0,MID('_Engine'!$AP25,WEEKDAY(Settings!$F23,2),1)="W"),Settings!$F23,0),0)</ns0:f>
        <ns0:v>0</ns0:v>
      </ns0:c>
      <ns0:c r="H25" s="0">
        <ns0:f>IFERROR(IF(AND('_Engine'!$X25=1,ISNUMBER(Settings!$F24),Settings!$F24&gt;0,MID('_Engine'!$AP25,WEEKDAY(Settings!$F24,2),1)="W"),Settings!$F24,0),0)</ns0:f>
        <ns0:v>0</ns0:v>
      </ns0:c>
      <ns0:c r="I25" s="0">
        <ns0:f>IFERROR(IF(AND('_Engine'!$X25=1,ISNUMBER(Settings!$F25),Settings!$F25&gt;0,MID('_Engine'!$AP25,WEEKDAY(Settings!$F25,2),1)="W"),Settings!$F25,0),0)</ns0:f>
        <ns0:v>0</ns0:v>
      </ns0:c>
      <ns0:c r="J25" s="0">
        <ns0:f>IFERROR(IF(AND('_Engine'!$X25=1,ISNUMBER(Settings!$F26),Settings!$F26&gt;0,MID('_Engine'!$AP25,WEEKDAY(Settings!$F26,2),1)="W"),Settings!$F26,0),0)</ns0:f>
        <ns0:v>0</ns0:v>
      </ns0:c>
      <ns0:c r="K25" s="0">
        <ns0:f>IFERROR(IF(AND('_Engine'!$X25=1,ISNUMBER(Settings!$F27),Settings!$F27&gt;0,MID('_Engine'!$AP25,WEEKDAY(Settings!$F27,2),1)="W"),Settings!$F27,0),0)</ns0:f>
        <ns0:v>0</ns0:v>
      </ns0:c>
      <ns0:c r="L25" s="0">
        <ns0:f>IFERROR(IF(AND('_Engine'!$X25=1,ISNUMBER(Settings!$F28),Settings!$F28&gt;0,MID('_Engine'!$AP25,WEEKDAY(Settings!$F28,2),1)="W"),Settings!$F28,0),0)</ns0:f>
        <ns0:v>0</ns0:v>
      </ns0:c>
      <ns0:c r="M25" s="0">
        <ns0:f>IFERROR(IF(AND('_Engine'!$X25=1,ISNUMBER(Settings!$F29),Settings!$F29&gt;0,MID('_Engine'!$AP25,WEEKDAY(Settings!$F29,2),1)="W"),Settings!$F29,0),0)</ns0:f>
        <ns0:v>0</ns0:v>
      </ns0:c>
      <ns0:c r="N25" s="0">
        <ns0:f>IFERROR(IF(AND('_Engine'!$X25=1,ISNUMBER(Settings!$F30),Settings!$F30&gt;0,MID('_Engine'!$AP25,WEEKDAY(Settings!$F30,2),1)="W"),Settings!$F30,0),0)</ns0:f>
        <ns0:v>0</ns0:v>
      </ns0:c>
      <ns0:c r="O25" s="0">
        <ns0:f>IFERROR(IF(AND('_Engine'!$X25=1,ISNUMBER(Settings!$F31),Settings!$F31&gt;0,MID('_Engine'!$AP25,WEEKDAY(Settings!$F31,2),1)="W"),Settings!$F31,0),0)</ns0:f>
        <ns0:v>0</ns0:v>
      </ns0:c>
      <ns0:c r="P25" s="0">
        <ns0:f>IFERROR(IF(AND('_Engine'!$X25=1,ISNUMBER(Settings!$F32),Settings!$F32&gt;0,MID('_Engine'!$AP25,WEEKDAY(Settings!$F32,2),1)="W"),Settings!$F32,0),0)</ns0:f>
        <ns0:v>0</ns0:v>
      </ns0:c>
      <ns0:c r="Q25" s="0">
        <ns0:f>IFERROR(IF(AND('_Engine'!$X25=1,ISNUMBER(Settings!$F33),Settings!$F33&gt;0,MID('_Engine'!$AP25,WEEKDAY(Settings!$F33,2),1)="W"),Settings!$F33,0),0)</ns0:f>
        <ns0:v>0</ns0:v>
      </ns0:c>
      <ns0:c r="R25" s="0">
        <ns0:f>IFERROR(IF(AND('_Engine'!$X25=1,ISNUMBER(Settings!$F34),Settings!$F34&gt;0,MID('_Engine'!$AP25,WEEKDAY(Settings!$F34,2),1)="W"),Settings!$F34,0),0)</ns0:f>
        <ns0:v>0</ns0:v>
      </ns0:c>
      <ns0:c r="S25" s="0">
        <ns0:f>IFERROR(IF(AND('_Engine'!$X25=1,ISNUMBER(Settings!$F35),Settings!$F35&gt;0,MID('_Engine'!$AP25,WEEKDAY(Settings!$F35,2),1)="W"),Settings!$F35,0),0)</ns0:f>
        <ns0:v>0</ns0:v>
      </ns0:c>
      <ns0:c r="T25" s="0">
        <ns0:f>IFERROR(IF(AND('_Engine'!$X25=1,ISNUMBER(Settings!$F36),Settings!$F36&gt;0,MID('_Engine'!$AP25,WEEKDAY(Settings!$F36,2),1)="W"),Settings!$F36,0),0)</ns0:f>
        <ns0:v>0</ns0:v>
      </ns0:c>
      <ns0:c r="U25" s="0">
        <ns0:f>IFERROR(IF(AND('_Engine'!$X25=1,ISNUMBER(Settings!$F37),Settings!$F37&gt;0,MID('_Engine'!$AP25,WEEKDAY(Settings!$F37,2),1)="W"),Settings!$F37,0),0)</ns0:f>
        <ns0:v>0</ns0:v>
      </ns0:c>
      <ns0:c r="V25" s="0">
        <ns0:f>IFERROR(IF(AND('_Engine'!$X25=1,ISNUMBER(Settings!$F38),Settings!$F38&gt;0,MID('_Engine'!$AP25,WEEKDAY(Settings!$F38,2),1)="W"),Settings!$F38,0),0)</ns0:f>
        <ns0:v>0</ns0:v>
      </ns0:c>
      <ns0:c r="W25" s="0">
        <ns0:f>IFERROR(IF(AND('_Engine'!$X25=1,ISNUMBER(Settings!$F39),Settings!$F39&gt;0,MID('_Engine'!$AP25,WEEKDAY(Settings!$F39,2),1)="W"),Settings!$F39,0),0)</ns0:f>
        <ns0:v>0</ns0:v>
      </ns0:c>
      <ns0:c r="X25" s="0">
        <ns0:f>IFERROR(IF(AND('_Engine'!$X25=1,ISNUMBER(Settings!$F40),Settings!$F40&gt;0,MID('_Engine'!$AP25,WEEKDAY(Settings!$F40,2),1)="W"),Settings!$F40,0),0)</ns0:f>
        <ns0:v>0</ns0:v>
      </ns0:c>
      <ns0:c r="Y25" s="0">
        <ns0:f>IFERROR(IF(AND('_Engine'!$X25=1,ISNUMBER(Settings!$F41),Settings!$F41&gt;0,MID('_Engine'!$AP25,WEEKDAY(Settings!$F41,2),1)="W"),Settings!$F41,0),0)</ns0:f>
        <ns0:v>0</ns0:v>
      </ns0:c>
      <ns0:c r="Z25" s="0">
        <ns0:f>IFERROR(IF(AND('_Engine'!$X25=1,ISNUMBER(Settings!$F42),Settings!$F42&gt;0,MID('_Engine'!$AP25,WEEKDAY(Settings!$F42,2),1)="W"),Settings!$F42,0),0)</ns0:f>
        <ns0:v>0</ns0:v>
      </ns0:c>
      <ns0:c r="AA25" s="0">
        <ns0:f>IFERROR(IF(AND('_Engine'!$X25=1,ISNUMBER(Settings!$F43),Settings!$F43&gt;0,MID('_Engine'!$AP25,WEEKDAY(Settings!$F43,2),1)="W"),Settings!$F43,0),0)</ns0:f>
        <ns0:v>0</ns0:v>
      </ns0:c>
      <ns0:c r="AB25" s="0">
        <ns0:f>IFERROR(IF(AND('_Engine'!$X25=1,ISNUMBER(Settings!$F44),Settings!$F44&gt;0,MID('_Engine'!$AP25,WEEKDAY(Settings!$F44,2),1)="W"),Settings!$F44,0),0)</ns0:f>
        <ns0:v>0</ns0:v>
      </ns0:c>
      <ns0:c r="AC25" s="0">
        <ns0:f>IFERROR(IF(AND('_Engine'!$X25=1,ISNUMBER(Settings!$F45),Settings!$F45&gt;0,MID('_Engine'!$AP25,WEEKDAY(Settings!$F45,2),1)="W"),Settings!$F45,0),0)</ns0:f>
        <ns0:v>0</ns0:v>
      </ns0:c>
      <ns0:c r="AD25" s="0">
        <ns0:f>IFERROR(IF(AND('_Engine'!$X25=1,ISNUMBER(Settings!$F46),Settings!$F46&gt;0,MID('_Engine'!$AP25,WEEKDAY(Settings!$F46,2),1)="W"),Settings!$F46,0),0)</ns0:f>
        <ns0:v>0</ns0:v>
      </ns0:c>
      <ns0:c r="AE25" s="0">
        <ns0:f>IFERROR(IF(AND('_Engine'!$X25=1,ISNUMBER(Settings!$F47),Settings!$F47&gt;0,MID('_Engine'!$AP25,WEEKDAY(Settings!$F47,2),1)="W"),Settings!$F47,0),0)</ns0:f>
        <ns0:v>0</ns0:v>
      </ns0:c>
      <ns0:c r="AF25" s="0">
        <ns0:f>IFERROR(IF(AND('_Engine'!$X25=1,ISNUMBER(Settings!$F48),Settings!$F48&gt;0,MID('_Engine'!$AP25,WEEKDAY(Settings!$F48,2),1)="W"),Settings!$F48,0),0)</ns0:f>
        <ns0:v>0</ns0:v>
      </ns0:c>
      <ns0:c r="AG25" s="0">
        <ns0:f>IFERROR(IF(AND('_Engine'!$X25=1,ISNUMBER(Settings!$F49),Settings!$F49&gt;0,MID('_Engine'!$AP25,WEEKDAY(Settings!$F49,2),1)="W"),Settings!$F49,0),0)</ns0:f>
        <ns0:v>0</ns0:v>
      </ns0:c>
      <ns0:c r="AH25" s="0">
        <ns0:f>IFERROR(IF(AND('_Engine'!$X25=1,ISNUMBER(Settings!$F50),Settings!$F50&gt;0,MID('_Engine'!$AP25,WEEKDAY(Settings!$F50,2),1)="W"),Settings!$F50,0),0)</ns0:f>
        <ns0:v>0</ns0:v>
      </ns0:c>
      <ns0:c r="AI25" s="0">
        <ns0:f>IFERROR(IF(AND('_Engine'!$X25=1,ISNUMBER(Settings!$F51),Settings!$F51&gt;0,MID('_Engine'!$AP25,WEEKDAY(Settings!$F51,2),1)="W"),Settings!$F51,0),0)</ns0:f>
        <ns0:v>0</ns0:v>
      </ns0:c>
      <ns0:c r="AJ25" s="0">
        <ns0:f>IFERROR(IF(AND('_Engine'!$X25=1,ISNUMBER(Settings!$F52),Settings!$F52&gt;0,MID('_Engine'!$AP25,WEEKDAY(Settings!$F52,2),1)="W"),Settings!$F52,0),0)</ns0:f>
        <ns0:v>0</ns0:v>
      </ns0:c>
      <ns0:c r="AK25" s="0">
        <ns0:f>IFERROR(IF(AND('_Engine'!$X25=1,ISNUMBER(Settings!$F53),Settings!$F53&gt;0,MID('_Engine'!$AP25,WEEKDAY(Settings!$F53,2),1)="W"),Settings!$F53,0),0)</ns0:f>
        <ns0:v>0</ns0:v>
      </ns0:c>
      <ns0:c r="AL25" s="0">
        <ns0:f>IFERROR(IF(AND('_Engine'!$X25=1,ISNUMBER(Settings!$F54),Settings!$F54&gt;0,MID('_Engine'!$AP25,WEEKDAY(Settings!$F54,2),1)="W"),Settings!$F54,0),0)</ns0:f>
        <ns0:v>0</ns0:v>
      </ns0:c>
      <ns0:c r="AM25" s="0">
        <ns0:f>IFERROR(IF(AND('_Engine'!$X25=1,ISNUMBER(Settings!$F55),Settings!$F55&gt;0,MID('_Engine'!$AP25,WEEKDAY(Settings!$F55,2),1)="W"),Settings!$F55,0),0)</ns0:f>
        <ns0:v>0</ns0:v>
      </ns0:c>
      <ns0:c r="AN25" s="0">
        <ns0:f>IFERROR(IF(AND('_Engine'!$X25=1,ISNUMBER(Settings!$F56),Settings!$F56&gt;0,MID('_Engine'!$AP25,WEEKDAY(Settings!$F56,2),1)="W"),Settings!$F56,0),0)</ns0:f>
        <ns0:v>0</ns0:v>
      </ns0:c>
      <ns0:c r="AO25" s="0">
        <ns0:f>IFERROR(IF(AND('_Engine'!$X25=1,ISNUMBER(Settings!$F57),Settings!$F57&gt;0,MID('_Engine'!$AP25,WEEKDAY(Settings!$F57,2),1)="W"),Settings!$F57,0),0)</ns0:f>
        <ns0:v>0</ns0:v>
      </ns0:c>
      <ns0:c r="AP25" s="0">
        <ns0:f>IFERROR(IF(AND('_Engine'!$X25=1,ISNUMBER(Settings!$F58),Settings!$F58&gt;0,MID('_Engine'!$AP25,WEEKDAY(Settings!$F58,2),1)="W"),Settings!$F58,0),0)</ns0:f>
        <ns0:v>0</ns0:v>
      </ns0:c>
      <ns0:c r="AQ25" s="0">
        <ns0:f>IFERROR(IF(AND('_Engine'!$X25=1,ISNUMBER(Settings!$F59),Settings!$F59&gt;0,MID('_Engine'!$AP25,WEEKDAY(Settings!$F59,2),1)="W"),Settings!$F59,0),0)</ns0:f>
        <ns0:v>0</ns0:v>
      </ns0:c>
      <ns0:c r="AR25" s="0">
        <ns0:f>IFERROR(IF(AND('_Engine'!$X25=1,ISNUMBER(Settings!$F60),Settings!$F60&gt;0,MID('_Engine'!$AP25,WEEKDAY(Settings!$F60,2),1)="W"),Settings!$F60,0),0)</ns0:f>
        <ns0:v>0</ns0:v>
      </ns0:c>
      <ns0:c r="AS25" s="0">
        <ns0:f>IFERROR(IF(AND('_Engine'!$X25=1,ISNUMBER(Settings!$F61),Settings!$F61&gt;0,MID('_Engine'!$AP25,WEEKDAY(Settings!$F61,2),1)="W"),Settings!$F61,0),0)</ns0:f>
        <ns0:v>0</ns0:v>
      </ns0:c>
      <ns0:c r="AT25" s="0">
        <ns0:f>IFERROR(IF(AND('_Engine'!$X25=1,ISNUMBER(Settings!$F62),Settings!$F62&gt;0,MID('_Engine'!$AP25,WEEKDAY(Settings!$F62,2),1)="W"),Settings!$F62,0),0)</ns0:f>
        <ns0:v>0</ns0:v>
      </ns0:c>
      <ns0:c r="AU25" s="0">
        <ns0:f>IFERROR(IF(AND('_Engine'!$X25=1,ISNUMBER(Settings!$F63),Settings!$F63&gt;0,MID('_Engine'!$AP25,WEEKDAY(Settings!$F63,2),1)="W"),Settings!$F63,0),0)</ns0:f>
        <ns0:v>0</ns0:v>
      </ns0:c>
      <ns0:c r="AV25" s="0">
        <ns0:f>IFERROR(IF(AND('_Engine'!$X25=1,ISNUMBER(Settings!$F64),Settings!$F64&gt;0,MID('_Engine'!$AP25,WEEKDAY(Settings!$F64,2),1)="W"),Settings!$F64,0),0)</ns0:f>
        <ns0:v>0</ns0:v>
      </ns0:c>
      <ns0:c r="AW25" s="0">
        <ns0:f>IFERROR(IF(AND('_Engine'!$X25=1,ISNUMBER(Settings!$F65),Settings!$F65&gt;0,MID('_Engine'!$AP25,WEEKDAY(Settings!$F65,2),1)="W"),Settings!$F65,0),0)</ns0:f>
        <ns0:v>0</ns0:v>
      </ns0:c>
      <ns0:c r="AX25" s="0">
        <ns0:f>IFERROR(IF(AND('_Engine'!$X25=1,ISNUMBER(Settings!$F66),Settings!$F66&gt;0,MID('_Engine'!$AP25,WEEKDAY(Settings!$F66,2),1)="W"),Settings!$F66,0),0)</ns0:f>
        <ns0:v>0</ns0:v>
      </ns0:c>
      <ns0:c r="AY25" s="0">
        <ns0:f>IFERROR(IF(AND('_Engine'!$X25=1,ISNUMBER(Settings!$F67),Settings!$F67&gt;0,MID('_Engine'!$AP25,WEEKDAY(Settings!$F67,2),1)="W"),Settings!$F67,0),0)</ns0:f>
        <ns0:v>0</ns0:v>
      </ns0:c>
    </ns0:row>
    <ns0:row r="26">
      <ns0:c r="B26" s="0">
        <ns0:f>IFERROR(IF(AND('_Engine'!$X26=1,ISNUMBER(Settings!$F18),Settings!$F18&gt;0,MID('_Engine'!$AP26,WEEKDAY(Settings!$F18,2),1)="W"),Settings!$F18,0),0)</ns0:f>
        <ns0:v>0</ns0:v>
      </ns0:c>
      <ns0:c r="C26" s="0">
        <ns0:f>IFERROR(IF(AND('_Engine'!$X26=1,ISNUMBER(Settings!$F19),Settings!$F19&gt;0,MID('_Engine'!$AP26,WEEKDAY(Settings!$F19,2),1)="W"),Settings!$F19,0),0)</ns0:f>
        <ns0:v>0</ns0:v>
      </ns0:c>
      <ns0:c r="D26" s="0">
        <ns0:f>IFERROR(IF(AND('_Engine'!$X26=1,ISNUMBER(Settings!$F20),Settings!$F20&gt;0,MID('_Engine'!$AP26,WEEKDAY(Settings!$F20,2),1)="W"),Settings!$F20,0),0)</ns0:f>
        <ns0:v>0</ns0:v>
      </ns0:c>
      <ns0:c r="E26" s="0">
        <ns0:f>IFERROR(IF(AND('_Engine'!$X26=1,ISNUMBER(Settings!$F21),Settings!$F21&gt;0,MID('_Engine'!$AP26,WEEKDAY(Settings!$F21,2),1)="W"),Settings!$F21,0),0)</ns0:f>
        <ns0:v>0</ns0:v>
      </ns0:c>
      <ns0:c r="F26" s="0">
        <ns0:f>IFERROR(IF(AND('_Engine'!$X26=1,ISNUMBER(Settings!$F22),Settings!$F22&gt;0,MID('_Engine'!$AP26,WEEKDAY(Settings!$F22,2),1)="W"),Settings!$F22,0),0)</ns0:f>
        <ns0:v>0</ns0:v>
      </ns0:c>
      <ns0:c r="G26" s="0">
        <ns0:f>IFERROR(IF(AND('_Engine'!$X26=1,ISNUMBER(Settings!$F23),Settings!$F23&gt;0,MID('_Engine'!$AP26,WEEKDAY(Settings!$F23,2),1)="W"),Settings!$F23,0),0)</ns0:f>
        <ns0:v>0</ns0:v>
      </ns0:c>
      <ns0:c r="H26" s="0">
        <ns0:f>IFERROR(IF(AND('_Engine'!$X26=1,ISNUMBER(Settings!$F24),Settings!$F24&gt;0,MID('_Engine'!$AP26,WEEKDAY(Settings!$F24,2),1)="W"),Settings!$F24,0),0)</ns0:f>
        <ns0:v>0</ns0:v>
      </ns0:c>
      <ns0:c r="I26" s="0">
        <ns0:f>IFERROR(IF(AND('_Engine'!$X26=1,ISNUMBER(Settings!$F25),Settings!$F25&gt;0,MID('_Engine'!$AP26,WEEKDAY(Settings!$F25,2),1)="W"),Settings!$F25,0),0)</ns0:f>
        <ns0:v>0</ns0:v>
      </ns0:c>
      <ns0:c r="J26" s="0">
        <ns0:f>IFERROR(IF(AND('_Engine'!$X26=1,ISNUMBER(Settings!$F26),Settings!$F26&gt;0,MID('_Engine'!$AP26,WEEKDAY(Settings!$F26,2),1)="W"),Settings!$F26,0),0)</ns0:f>
        <ns0:v>0</ns0:v>
      </ns0:c>
      <ns0:c r="K26" s="0">
        <ns0:f>IFERROR(IF(AND('_Engine'!$X26=1,ISNUMBER(Settings!$F27),Settings!$F27&gt;0,MID('_Engine'!$AP26,WEEKDAY(Settings!$F27,2),1)="W"),Settings!$F27,0),0)</ns0:f>
        <ns0:v>0</ns0:v>
      </ns0:c>
      <ns0:c r="L26" s="0">
        <ns0:f>IFERROR(IF(AND('_Engine'!$X26=1,ISNUMBER(Settings!$F28),Settings!$F28&gt;0,MID('_Engine'!$AP26,WEEKDAY(Settings!$F28,2),1)="W"),Settings!$F28,0),0)</ns0:f>
        <ns0:v>0</ns0:v>
      </ns0:c>
      <ns0:c r="M26" s="0">
        <ns0:f>IFERROR(IF(AND('_Engine'!$X26=1,ISNUMBER(Settings!$F29),Settings!$F29&gt;0,MID('_Engine'!$AP26,WEEKDAY(Settings!$F29,2),1)="W"),Settings!$F29,0),0)</ns0:f>
        <ns0:v>0</ns0:v>
      </ns0:c>
      <ns0:c r="N26" s="0">
        <ns0:f>IFERROR(IF(AND('_Engine'!$X26=1,ISNUMBER(Settings!$F30),Settings!$F30&gt;0,MID('_Engine'!$AP26,WEEKDAY(Settings!$F30,2),1)="W"),Settings!$F30,0),0)</ns0:f>
        <ns0:v>0</ns0:v>
      </ns0:c>
      <ns0:c r="O26" s="0">
        <ns0:f>IFERROR(IF(AND('_Engine'!$X26=1,ISNUMBER(Settings!$F31),Settings!$F31&gt;0,MID('_Engine'!$AP26,WEEKDAY(Settings!$F31,2),1)="W"),Settings!$F31,0),0)</ns0:f>
        <ns0:v>0</ns0:v>
      </ns0:c>
      <ns0:c r="P26" s="0">
        <ns0:f>IFERROR(IF(AND('_Engine'!$X26=1,ISNUMBER(Settings!$F32),Settings!$F32&gt;0,MID('_Engine'!$AP26,WEEKDAY(Settings!$F32,2),1)="W"),Settings!$F32,0),0)</ns0:f>
        <ns0:v>0</ns0:v>
      </ns0:c>
      <ns0:c r="Q26" s="0">
        <ns0:f>IFERROR(IF(AND('_Engine'!$X26=1,ISNUMBER(Settings!$F33),Settings!$F33&gt;0,MID('_Engine'!$AP26,WEEKDAY(Settings!$F33,2),1)="W"),Settings!$F33,0),0)</ns0:f>
        <ns0:v>0</ns0:v>
      </ns0:c>
      <ns0:c r="R26" s="0">
        <ns0:f>IFERROR(IF(AND('_Engine'!$X26=1,ISNUMBER(Settings!$F34),Settings!$F34&gt;0,MID('_Engine'!$AP26,WEEKDAY(Settings!$F34,2),1)="W"),Settings!$F34,0),0)</ns0:f>
        <ns0:v>0</ns0:v>
      </ns0:c>
      <ns0:c r="S26" s="0">
        <ns0:f>IFERROR(IF(AND('_Engine'!$X26=1,ISNUMBER(Settings!$F35),Settings!$F35&gt;0,MID('_Engine'!$AP26,WEEKDAY(Settings!$F35,2),1)="W"),Settings!$F35,0),0)</ns0:f>
        <ns0:v>0</ns0:v>
      </ns0:c>
      <ns0:c r="T26" s="0">
        <ns0:f>IFERROR(IF(AND('_Engine'!$X26=1,ISNUMBER(Settings!$F36),Settings!$F36&gt;0,MID('_Engine'!$AP26,WEEKDAY(Settings!$F36,2),1)="W"),Settings!$F36,0),0)</ns0:f>
        <ns0:v>0</ns0:v>
      </ns0:c>
      <ns0:c r="U26" s="0">
        <ns0:f>IFERROR(IF(AND('_Engine'!$X26=1,ISNUMBER(Settings!$F37),Settings!$F37&gt;0,MID('_Engine'!$AP26,WEEKDAY(Settings!$F37,2),1)="W"),Settings!$F37,0),0)</ns0:f>
        <ns0:v>0</ns0:v>
      </ns0:c>
      <ns0:c r="V26" s="0">
        <ns0:f>IFERROR(IF(AND('_Engine'!$X26=1,ISNUMBER(Settings!$F38),Settings!$F38&gt;0,MID('_Engine'!$AP26,WEEKDAY(Settings!$F38,2),1)="W"),Settings!$F38,0),0)</ns0:f>
        <ns0:v>0</ns0:v>
      </ns0:c>
      <ns0:c r="W26" s="0">
        <ns0:f>IFERROR(IF(AND('_Engine'!$X26=1,ISNUMBER(Settings!$F39),Settings!$F39&gt;0,MID('_Engine'!$AP26,WEEKDAY(Settings!$F39,2),1)="W"),Settings!$F39,0),0)</ns0:f>
        <ns0:v>0</ns0:v>
      </ns0:c>
      <ns0:c r="X26" s="0">
        <ns0:f>IFERROR(IF(AND('_Engine'!$X26=1,ISNUMBER(Settings!$F40),Settings!$F40&gt;0,MID('_Engine'!$AP26,WEEKDAY(Settings!$F40,2),1)="W"),Settings!$F40,0),0)</ns0:f>
        <ns0:v>0</ns0:v>
      </ns0:c>
      <ns0:c r="Y26" s="0">
        <ns0:f>IFERROR(IF(AND('_Engine'!$X26=1,ISNUMBER(Settings!$F41),Settings!$F41&gt;0,MID('_Engine'!$AP26,WEEKDAY(Settings!$F41,2),1)="W"),Settings!$F41,0),0)</ns0:f>
        <ns0:v>0</ns0:v>
      </ns0:c>
      <ns0:c r="Z26" s="0">
        <ns0:f>IFERROR(IF(AND('_Engine'!$X26=1,ISNUMBER(Settings!$F42),Settings!$F42&gt;0,MID('_Engine'!$AP26,WEEKDAY(Settings!$F42,2),1)="W"),Settings!$F42,0),0)</ns0:f>
        <ns0:v>0</ns0:v>
      </ns0:c>
      <ns0:c r="AA26" s="0">
        <ns0:f>IFERROR(IF(AND('_Engine'!$X26=1,ISNUMBER(Settings!$F43),Settings!$F43&gt;0,MID('_Engine'!$AP26,WEEKDAY(Settings!$F43,2),1)="W"),Settings!$F43,0),0)</ns0:f>
        <ns0:v>0</ns0:v>
      </ns0:c>
      <ns0:c r="AB26" s="0">
        <ns0:f>IFERROR(IF(AND('_Engine'!$X26=1,ISNUMBER(Settings!$F44),Settings!$F44&gt;0,MID('_Engine'!$AP26,WEEKDAY(Settings!$F44,2),1)="W"),Settings!$F44,0),0)</ns0:f>
        <ns0:v>0</ns0:v>
      </ns0:c>
      <ns0:c r="AC26" s="0">
        <ns0:f>IFERROR(IF(AND('_Engine'!$X26=1,ISNUMBER(Settings!$F45),Settings!$F45&gt;0,MID('_Engine'!$AP26,WEEKDAY(Settings!$F45,2),1)="W"),Settings!$F45,0),0)</ns0:f>
        <ns0:v>0</ns0:v>
      </ns0:c>
      <ns0:c r="AD26" s="0">
        <ns0:f>IFERROR(IF(AND('_Engine'!$X26=1,ISNUMBER(Settings!$F46),Settings!$F46&gt;0,MID('_Engine'!$AP26,WEEKDAY(Settings!$F46,2),1)="W"),Settings!$F46,0),0)</ns0:f>
        <ns0:v>0</ns0:v>
      </ns0:c>
      <ns0:c r="AE26" s="0">
        <ns0:f>IFERROR(IF(AND('_Engine'!$X26=1,ISNUMBER(Settings!$F47),Settings!$F47&gt;0,MID('_Engine'!$AP26,WEEKDAY(Settings!$F47,2),1)="W"),Settings!$F47,0),0)</ns0:f>
        <ns0:v>0</ns0:v>
      </ns0:c>
      <ns0:c r="AF26" s="0">
        <ns0:f>IFERROR(IF(AND('_Engine'!$X26=1,ISNUMBER(Settings!$F48),Settings!$F48&gt;0,MID('_Engine'!$AP26,WEEKDAY(Settings!$F48,2),1)="W"),Settings!$F48,0),0)</ns0:f>
        <ns0:v>0</ns0:v>
      </ns0:c>
      <ns0:c r="AG26" s="0">
        <ns0:f>IFERROR(IF(AND('_Engine'!$X26=1,ISNUMBER(Settings!$F49),Settings!$F49&gt;0,MID('_Engine'!$AP26,WEEKDAY(Settings!$F49,2),1)="W"),Settings!$F49,0),0)</ns0:f>
        <ns0:v>0</ns0:v>
      </ns0:c>
      <ns0:c r="AH26" s="0">
        <ns0:f>IFERROR(IF(AND('_Engine'!$X26=1,ISNUMBER(Settings!$F50),Settings!$F50&gt;0,MID('_Engine'!$AP26,WEEKDAY(Settings!$F50,2),1)="W"),Settings!$F50,0),0)</ns0:f>
        <ns0:v>0</ns0:v>
      </ns0:c>
      <ns0:c r="AI26" s="0">
        <ns0:f>IFERROR(IF(AND('_Engine'!$X26=1,ISNUMBER(Settings!$F51),Settings!$F51&gt;0,MID('_Engine'!$AP26,WEEKDAY(Settings!$F51,2),1)="W"),Settings!$F51,0),0)</ns0:f>
        <ns0:v>0</ns0:v>
      </ns0:c>
      <ns0:c r="AJ26" s="0">
        <ns0:f>IFERROR(IF(AND('_Engine'!$X26=1,ISNUMBER(Settings!$F52),Settings!$F52&gt;0,MID('_Engine'!$AP26,WEEKDAY(Settings!$F52,2),1)="W"),Settings!$F52,0),0)</ns0:f>
        <ns0:v>0</ns0:v>
      </ns0:c>
      <ns0:c r="AK26" s="0">
        <ns0:f>IFERROR(IF(AND('_Engine'!$X26=1,ISNUMBER(Settings!$F53),Settings!$F53&gt;0,MID('_Engine'!$AP26,WEEKDAY(Settings!$F53,2),1)="W"),Settings!$F53,0),0)</ns0:f>
        <ns0:v>0</ns0:v>
      </ns0:c>
      <ns0:c r="AL26" s="0">
        <ns0:f>IFERROR(IF(AND('_Engine'!$X26=1,ISNUMBER(Settings!$F54),Settings!$F54&gt;0,MID('_Engine'!$AP26,WEEKDAY(Settings!$F54,2),1)="W"),Settings!$F54,0),0)</ns0:f>
        <ns0:v>0</ns0:v>
      </ns0:c>
      <ns0:c r="AM26" s="0">
        <ns0:f>IFERROR(IF(AND('_Engine'!$X26=1,ISNUMBER(Settings!$F55),Settings!$F55&gt;0,MID('_Engine'!$AP26,WEEKDAY(Settings!$F55,2),1)="W"),Settings!$F55,0),0)</ns0:f>
        <ns0:v>0</ns0:v>
      </ns0:c>
      <ns0:c r="AN26" s="0">
        <ns0:f>IFERROR(IF(AND('_Engine'!$X26=1,ISNUMBER(Settings!$F56),Settings!$F56&gt;0,MID('_Engine'!$AP26,WEEKDAY(Settings!$F56,2),1)="W"),Settings!$F56,0),0)</ns0:f>
        <ns0:v>0</ns0:v>
      </ns0:c>
      <ns0:c r="AO26" s="0">
        <ns0:f>IFERROR(IF(AND('_Engine'!$X26=1,ISNUMBER(Settings!$F57),Settings!$F57&gt;0,MID('_Engine'!$AP26,WEEKDAY(Settings!$F57,2),1)="W"),Settings!$F57,0),0)</ns0:f>
        <ns0:v>0</ns0:v>
      </ns0:c>
      <ns0:c r="AP26" s="0">
        <ns0:f>IFERROR(IF(AND('_Engine'!$X26=1,ISNUMBER(Settings!$F58),Settings!$F58&gt;0,MID('_Engine'!$AP26,WEEKDAY(Settings!$F58,2),1)="W"),Settings!$F58,0),0)</ns0:f>
        <ns0:v>0</ns0:v>
      </ns0:c>
      <ns0:c r="AQ26" s="0">
        <ns0:f>IFERROR(IF(AND('_Engine'!$X26=1,ISNUMBER(Settings!$F59),Settings!$F59&gt;0,MID('_Engine'!$AP26,WEEKDAY(Settings!$F59,2),1)="W"),Settings!$F59,0),0)</ns0:f>
        <ns0:v>0</ns0:v>
      </ns0:c>
      <ns0:c r="AR26" s="0">
        <ns0:f>IFERROR(IF(AND('_Engine'!$X26=1,ISNUMBER(Settings!$F60),Settings!$F60&gt;0,MID('_Engine'!$AP26,WEEKDAY(Settings!$F60,2),1)="W"),Settings!$F60,0),0)</ns0:f>
        <ns0:v>0</ns0:v>
      </ns0:c>
      <ns0:c r="AS26" s="0">
        <ns0:f>IFERROR(IF(AND('_Engine'!$X26=1,ISNUMBER(Settings!$F61),Settings!$F61&gt;0,MID('_Engine'!$AP26,WEEKDAY(Settings!$F61,2),1)="W"),Settings!$F61,0),0)</ns0:f>
        <ns0:v>0</ns0:v>
      </ns0:c>
      <ns0:c r="AT26" s="0">
        <ns0:f>IFERROR(IF(AND('_Engine'!$X26=1,ISNUMBER(Settings!$F62),Settings!$F62&gt;0,MID('_Engine'!$AP26,WEEKDAY(Settings!$F62,2),1)="W"),Settings!$F62,0),0)</ns0:f>
        <ns0:v>0</ns0:v>
      </ns0:c>
      <ns0:c r="AU26" s="0">
        <ns0:f>IFERROR(IF(AND('_Engine'!$X26=1,ISNUMBER(Settings!$F63),Settings!$F63&gt;0,MID('_Engine'!$AP26,WEEKDAY(Settings!$F63,2),1)="W"),Settings!$F63,0),0)</ns0:f>
        <ns0:v>0</ns0:v>
      </ns0:c>
      <ns0:c r="AV26" s="0">
        <ns0:f>IFERROR(IF(AND('_Engine'!$X26=1,ISNUMBER(Settings!$F64),Settings!$F64&gt;0,MID('_Engine'!$AP26,WEEKDAY(Settings!$F64,2),1)="W"),Settings!$F64,0),0)</ns0:f>
        <ns0:v>0</ns0:v>
      </ns0:c>
      <ns0:c r="AW26" s="0">
        <ns0:f>IFERROR(IF(AND('_Engine'!$X26=1,ISNUMBER(Settings!$F65),Settings!$F65&gt;0,MID('_Engine'!$AP26,WEEKDAY(Settings!$F65,2),1)="W"),Settings!$F65,0),0)</ns0:f>
        <ns0:v>0</ns0:v>
      </ns0:c>
      <ns0:c r="AX26" s="0">
        <ns0:f>IFERROR(IF(AND('_Engine'!$X26=1,ISNUMBER(Settings!$F66),Settings!$F66&gt;0,MID('_Engine'!$AP26,WEEKDAY(Settings!$F66,2),1)="W"),Settings!$F66,0),0)</ns0:f>
        <ns0:v>0</ns0:v>
      </ns0:c>
      <ns0:c r="AY26" s="0">
        <ns0:f>IFERROR(IF(AND('_Engine'!$X26=1,ISNUMBER(Settings!$F67),Settings!$F67&gt;0,MID('_Engine'!$AP26,WEEKDAY(Settings!$F67,2),1)="W"),Settings!$F67,0),0)</ns0:f>
        <ns0:v>0</ns0:v>
      </ns0:c>
    </ns0:row>
    <ns0:row r="27">
      <ns0:c r="B27" s="0">
        <ns0:f>IFERROR(IF(AND('_Engine'!$X27=1,ISNUMBER(Settings!$F18),Settings!$F18&gt;0,MID('_Engine'!$AP27,WEEKDAY(Settings!$F18,2),1)="W"),Settings!$F18,0),0)</ns0:f>
        <ns0:v>0</ns0:v>
      </ns0:c>
      <ns0:c r="C27" s="0">
        <ns0:f>IFERROR(IF(AND('_Engine'!$X27=1,ISNUMBER(Settings!$F19),Settings!$F19&gt;0,MID('_Engine'!$AP27,WEEKDAY(Settings!$F19,2),1)="W"),Settings!$F19,0),0)</ns0:f>
        <ns0:v>0</ns0:v>
      </ns0:c>
      <ns0:c r="D27" s="0">
        <ns0:f>IFERROR(IF(AND('_Engine'!$X27=1,ISNUMBER(Settings!$F20),Settings!$F20&gt;0,MID('_Engine'!$AP27,WEEKDAY(Settings!$F20,2),1)="W"),Settings!$F20,0),0)</ns0:f>
        <ns0:v>0</ns0:v>
      </ns0:c>
      <ns0:c r="E27" s="0">
        <ns0:f>IFERROR(IF(AND('_Engine'!$X27=1,ISNUMBER(Settings!$F21),Settings!$F21&gt;0,MID('_Engine'!$AP27,WEEKDAY(Settings!$F21,2),1)="W"),Settings!$F21,0),0)</ns0:f>
        <ns0:v>0</ns0:v>
      </ns0:c>
      <ns0:c r="F27" s="0">
        <ns0:f>IFERROR(IF(AND('_Engine'!$X27=1,ISNUMBER(Settings!$F22),Settings!$F22&gt;0,MID('_Engine'!$AP27,WEEKDAY(Settings!$F22,2),1)="W"),Settings!$F22,0),0)</ns0:f>
        <ns0:v>0</ns0:v>
      </ns0:c>
      <ns0:c r="G27" s="0">
        <ns0:f>IFERROR(IF(AND('_Engine'!$X27=1,ISNUMBER(Settings!$F23),Settings!$F23&gt;0,MID('_Engine'!$AP27,WEEKDAY(Settings!$F23,2),1)="W"),Settings!$F23,0),0)</ns0:f>
        <ns0:v>0</ns0:v>
      </ns0:c>
      <ns0:c r="H27" s="0">
        <ns0:f>IFERROR(IF(AND('_Engine'!$X27=1,ISNUMBER(Settings!$F24),Settings!$F24&gt;0,MID('_Engine'!$AP27,WEEKDAY(Settings!$F24,2),1)="W"),Settings!$F24,0),0)</ns0:f>
        <ns0:v>0</ns0:v>
      </ns0:c>
      <ns0:c r="I27" s="0">
        <ns0:f>IFERROR(IF(AND('_Engine'!$X27=1,ISNUMBER(Settings!$F25),Settings!$F25&gt;0,MID('_Engine'!$AP27,WEEKDAY(Settings!$F25,2),1)="W"),Settings!$F25,0),0)</ns0:f>
        <ns0:v>0</ns0:v>
      </ns0:c>
      <ns0:c r="J27" s="0">
        <ns0:f>IFERROR(IF(AND('_Engine'!$X27=1,ISNUMBER(Settings!$F26),Settings!$F26&gt;0,MID('_Engine'!$AP27,WEEKDAY(Settings!$F26,2),1)="W"),Settings!$F26,0),0)</ns0:f>
        <ns0:v>0</ns0:v>
      </ns0:c>
      <ns0:c r="K27" s="0">
        <ns0:f>IFERROR(IF(AND('_Engine'!$X27=1,ISNUMBER(Settings!$F27),Settings!$F27&gt;0,MID('_Engine'!$AP27,WEEKDAY(Settings!$F27,2),1)="W"),Settings!$F27,0),0)</ns0:f>
        <ns0:v>0</ns0:v>
      </ns0:c>
      <ns0:c r="L27" s="0">
        <ns0:f>IFERROR(IF(AND('_Engine'!$X27=1,ISNUMBER(Settings!$F28),Settings!$F28&gt;0,MID('_Engine'!$AP27,WEEKDAY(Settings!$F28,2),1)="W"),Settings!$F28,0),0)</ns0:f>
        <ns0:v>0</ns0:v>
      </ns0:c>
      <ns0:c r="M27" s="0">
        <ns0:f>IFERROR(IF(AND('_Engine'!$X27=1,ISNUMBER(Settings!$F29),Settings!$F29&gt;0,MID('_Engine'!$AP27,WEEKDAY(Settings!$F29,2),1)="W"),Settings!$F29,0),0)</ns0:f>
        <ns0:v>0</ns0:v>
      </ns0:c>
      <ns0:c r="N27" s="0">
        <ns0:f>IFERROR(IF(AND('_Engine'!$X27=1,ISNUMBER(Settings!$F30),Settings!$F30&gt;0,MID('_Engine'!$AP27,WEEKDAY(Settings!$F30,2),1)="W"),Settings!$F30,0),0)</ns0:f>
        <ns0:v>0</ns0:v>
      </ns0:c>
      <ns0:c r="O27" s="0">
        <ns0:f>IFERROR(IF(AND('_Engine'!$X27=1,ISNUMBER(Settings!$F31),Settings!$F31&gt;0,MID('_Engine'!$AP27,WEEKDAY(Settings!$F31,2),1)="W"),Settings!$F31,0),0)</ns0:f>
        <ns0:v>0</ns0:v>
      </ns0:c>
      <ns0:c r="P27" s="0">
        <ns0:f>IFERROR(IF(AND('_Engine'!$X27=1,ISNUMBER(Settings!$F32),Settings!$F32&gt;0,MID('_Engine'!$AP27,WEEKDAY(Settings!$F32,2),1)="W"),Settings!$F32,0),0)</ns0:f>
        <ns0:v>0</ns0:v>
      </ns0:c>
      <ns0:c r="Q27" s="0">
        <ns0:f>IFERROR(IF(AND('_Engine'!$X27=1,ISNUMBER(Settings!$F33),Settings!$F33&gt;0,MID('_Engine'!$AP27,WEEKDAY(Settings!$F33,2),1)="W"),Settings!$F33,0),0)</ns0:f>
        <ns0:v>0</ns0:v>
      </ns0:c>
      <ns0:c r="R27" s="0">
        <ns0:f>IFERROR(IF(AND('_Engine'!$X27=1,ISNUMBER(Settings!$F34),Settings!$F34&gt;0,MID('_Engine'!$AP27,WEEKDAY(Settings!$F34,2),1)="W"),Settings!$F34,0),0)</ns0:f>
        <ns0:v>0</ns0:v>
      </ns0:c>
      <ns0:c r="S27" s="0">
        <ns0:f>IFERROR(IF(AND('_Engine'!$X27=1,ISNUMBER(Settings!$F35),Settings!$F35&gt;0,MID('_Engine'!$AP27,WEEKDAY(Settings!$F35,2),1)="W"),Settings!$F35,0),0)</ns0:f>
        <ns0:v>0</ns0:v>
      </ns0:c>
      <ns0:c r="T27" s="0">
        <ns0:f>IFERROR(IF(AND('_Engine'!$X27=1,ISNUMBER(Settings!$F36),Settings!$F36&gt;0,MID('_Engine'!$AP27,WEEKDAY(Settings!$F36,2),1)="W"),Settings!$F36,0),0)</ns0:f>
        <ns0:v>0</ns0:v>
      </ns0:c>
      <ns0:c r="U27" s="0">
        <ns0:f>IFERROR(IF(AND('_Engine'!$X27=1,ISNUMBER(Settings!$F37),Settings!$F37&gt;0,MID('_Engine'!$AP27,WEEKDAY(Settings!$F37,2),1)="W"),Settings!$F37,0),0)</ns0:f>
        <ns0:v>0</ns0:v>
      </ns0:c>
      <ns0:c r="V27" s="0">
        <ns0:f>IFERROR(IF(AND('_Engine'!$X27=1,ISNUMBER(Settings!$F38),Settings!$F38&gt;0,MID('_Engine'!$AP27,WEEKDAY(Settings!$F38,2),1)="W"),Settings!$F38,0),0)</ns0:f>
        <ns0:v>0</ns0:v>
      </ns0:c>
      <ns0:c r="W27" s="0">
        <ns0:f>IFERROR(IF(AND('_Engine'!$X27=1,ISNUMBER(Settings!$F39),Settings!$F39&gt;0,MID('_Engine'!$AP27,WEEKDAY(Settings!$F39,2),1)="W"),Settings!$F39,0),0)</ns0:f>
        <ns0:v>0</ns0:v>
      </ns0:c>
      <ns0:c r="X27" s="0">
        <ns0:f>IFERROR(IF(AND('_Engine'!$X27=1,ISNUMBER(Settings!$F40),Settings!$F40&gt;0,MID('_Engine'!$AP27,WEEKDAY(Settings!$F40,2),1)="W"),Settings!$F40,0),0)</ns0:f>
        <ns0:v>0</ns0:v>
      </ns0:c>
      <ns0:c r="Y27" s="0">
        <ns0:f>IFERROR(IF(AND('_Engine'!$X27=1,ISNUMBER(Settings!$F41),Settings!$F41&gt;0,MID('_Engine'!$AP27,WEEKDAY(Settings!$F41,2),1)="W"),Settings!$F41,0),0)</ns0:f>
        <ns0:v>0</ns0:v>
      </ns0:c>
      <ns0:c r="Z27" s="0">
        <ns0:f>IFERROR(IF(AND('_Engine'!$X27=1,ISNUMBER(Settings!$F42),Settings!$F42&gt;0,MID('_Engine'!$AP27,WEEKDAY(Settings!$F42,2),1)="W"),Settings!$F42,0),0)</ns0:f>
        <ns0:v>0</ns0:v>
      </ns0:c>
      <ns0:c r="AA27" s="0">
        <ns0:f>IFERROR(IF(AND('_Engine'!$X27=1,ISNUMBER(Settings!$F43),Settings!$F43&gt;0,MID('_Engine'!$AP27,WEEKDAY(Settings!$F43,2),1)="W"),Settings!$F43,0),0)</ns0:f>
        <ns0:v>0</ns0:v>
      </ns0:c>
      <ns0:c r="AB27" s="0">
        <ns0:f>IFERROR(IF(AND('_Engine'!$X27=1,ISNUMBER(Settings!$F44),Settings!$F44&gt;0,MID('_Engine'!$AP27,WEEKDAY(Settings!$F44,2),1)="W"),Settings!$F44,0),0)</ns0:f>
        <ns0:v>0</ns0:v>
      </ns0:c>
      <ns0:c r="AC27" s="0">
        <ns0:f>IFERROR(IF(AND('_Engine'!$X27=1,ISNUMBER(Settings!$F45),Settings!$F45&gt;0,MID('_Engine'!$AP27,WEEKDAY(Settings!$F45,2),1)="W"),Settings!$F45,0),0)</ns0:f>
        <ns0:v>0</ns0:v>
      </ns0:c>
      <ns0:c r="AD27" s="0">
        <ns0:f>IFERROR(IF(AND('_Engine'!$X27=1,ISNUMBER(Settings!$F46),Settings!$F46&gt;0,MID('_Engine'!$AP27,WEEKDAY(Settings!$F46,2),1)="W"),Settings!$F46,0),0)</ns0:f>
        <ns0:v>0</ns0:v>
      </ns0:c>
      <ns0:c r="AE27" s="0">
        <ns0:f>IFERROR(IF(AND('_Engine'!$X27=1,ISNUMBER(Settings!$F47),Settings!$F47&gt;0,MID('_Engine'!$AP27,WEEKDAY(Settings!$F47,2),1)="W"),Settings!$F47,0),0)</ns0:f>
        <ns0:v>0</ns0:v>
      </ns0:c>
      <ns0:c r="AF27" s="0">
        <ns0:f>IFERROR(IF(AND('_Engine'!$X27=1,ISNUMBER(Settings!$F48),Settings!$F48&gt;0,MID('_Engine'!$AP27,WEEKDAY(Settings!$F48,2),1)="W"),Settings!$F48,0),0)</ns0:f>
        <ns0:v>0</ns0:v>
      </ns0:c>
      <ns0:c r="AG27" s="0">
        <ns0:f>IFERROR(IF(AND('_Engine'!$X27=1,ISNUMBER(Settings!$F49),Settings!$F49&gt;0,MID('_Engine'!$AP27,WEEKDAY(Settings!$F49,2),1)="W"),Settings!$F49,0),0)</ns0:f>
        <ns0:v>0</ns0:v>
      </ns0:c>
      <ns0:c r="AH27" s="0">
        <ns0:f>IFERROR(IF(AND('_Engine'!$X27=1,ISNUMBER(Settings!$F50),Settings!$F50&gt;0,MID('_Engine'!$AP27,WEEKDAY(Settings!$F50,2),1)="W"),Settings!$F50,0),0)</ns0:f>
        <ns0:v>0</ns0:v>
      </ns0:c>
      <ns0:c r="AI27" s="0">
        <ns0:f>IFERROR(IF(AND('_Engine'!$X27=1,ISNUMBER(Settings!$F51),Settings!$F51&gt;0,MID('_Engine'!$AP27,WEEKDAY(Settings!$F51,2),1)="W"),Settings!$F51,0),0)</ns0:f>
        <ns0:v>0</ns0:v>
      </ns0:c>
      <ns0:c r="AJ27" s="0">
        <ns0:f>IFERROR(IF(AND('_Engine'!$X27=1,ISNUMBER(Settings!$F52),Settings!$F52&gt;0,MID('_Engine'!$AP27,WEEKDAY(Settings!$F52,2),1)="W"),Settings!$F52,0),0)</ns0:f>
        <ns0:v>0</ns0:v>
      </ns0:c>
      <ns0:c r="AK27" s="0">
        <ns0:f>IFERROR(IF(AND('_Engine'!$X27=1,ISNUMBER(Settings!$F53),Settings!$F53&gt;0,MID('_Engine'!$AP27,WEEKDAY(Settings!$F53,2),1)="W"),Settings!$F53,0),0)</ns0:f>
        <ns0:v>0</ns0:v>
      </ns0:c>
      <ns0:c r="AL27" s="0">
        <ns0:f>IFERROR(IF(AND('_Engine'!$X27=1,ISNUMBER(Settings!$F54),Settings!$F54&gt;0,MID('_Engine'!$AP27,WEEKDAY(Settings!$F54,2),1)="W"),Settings!$F54,0),0)</ns0:f>
        <ns0:v>0</ns0:v>
      </ns0:c>
      <ns0:c r="AM27" s="0">
        <ns0:f>IFERROR(IF(AND('_Engine'!$X27=1,ISNUMBER(Settings!$F55),Settings!$F55&gt;0,MID('_Engine'!$AP27,WEEKDAY(Settings!$F55,2),1)="W"),Settings!$F55,0),0)</ns0:f>
        <ns0:v>0</ns0:v>
      </ns0:c>
      <ns0:c r="AN27" s="0">
        <ns0:f>IFERROR(IF(AND('_Engine'!$X27=1,ISNUMBER(Settings!$F56),Settings!$F56&gt;0,MID('_Engine'!$AP27,WEEKDAY(Settings!$F56,2),1)="W"),Settings!$F56,0),0)</ns0:f>
        <ns0:v>0</ns0:v>
      </ns0:c>
      <ns0:c r="AO27" s="0">
        <ns0:f>IFERROR(IF(AND('_Engine'!$X27=1,ISNUMBER(Settings!$F57),Settings!$F57&gt;0,MID('_Engine'!$AP27,WEEKDAY(Settings!$F57,2),1)="W"),Settings!$F57,0),0)</ns0:f>
        <ns0:v>0</ns0:v>
      </ns0:c>
      <ns0:c r="AP27" s="0">
        <ns0:f>IFERROR(IF(AND('_Engine'!$X27=1,ISNUMBER(Settings!$F58),Settings!$F58&gt;0,MID('_Engine'!$AP27,WEEKDAY(Settings!$F58,2),1)="W"),Settings!$F58,0),0)</ns0:f>
        <ns0:v>0</ns0:v>
      </ns0:c>
      <ns0:c r="AQ27" s="0">
        <ns0:f>IFERROR(IF(AND('_Engine'!$X27=1,ISNUMBER(Settings!$F59),Settings!$F59&gt;0,MID('_Engine'!$AP27,WEEKDAY(Settings!$F59,2),1)="W"),Settings!$F59,0),0)</ns0:f>
        <ns0:v>0</ns0:v>
      </ns0:c>
      <ns0:c r="AR27" s="0">
        <ns0:f>IFERROR(IF(AND('_Engine'!$X27=1,ISNUMBER(Settings!$F60),Settings!$F60&gt;0,MID('_Engine'!$AP27,WEEKDAY(Settings!$F60,2),1)="W"),Settings!$F60,0),0)</ns0:f>
        <ns0:v>0</ns0:v>
      </ns0:c>
      <ns0:c r="AS27" s="0">
        <ns0:f>IFERROR(IF(AND('_Engine'!$X27=1,ISNUMBER(Settings!$F61),Settings!$F61&gt;0,MID('_Engine'!$AP27,WEEKDAY(Settings!$F61,2),1)="W"),Settings!$F61,0),0)</ns0:f>
        <ns0:v>0</ns0:v>
      </ns0:c>
      <ns0:c r="AT27" s="0">
        <ns0:f>IFERROR(IF(AND('_Engine'!$X27=1,ISNUMBER(Settings!$F62),Settings!$F62&gt;0,MID('_Engine'!$AP27,WEEKDAY(Settings!$F62,2),1)="W"),Settings!$F62,0),0)</ns0:f>
        <ns0:v>0</ns0:v>
      </ns0:c>
      <ns0:c r="AU27" s="0">
        <ns0:f>IFERROR(IF(AND('_Engine'!$X27=1,ISNUMBER(Settings!$F63),Settings!$F63&gt;0,MID('_Engine'!$AP27,WEEKDAY(Settings!$F63,2),1)="W"),Settings!$F63,0),0)</ns0:f>
        <ns0:v>0</ns0:v>
      </ns0:c>
      <ns0:c r="AV27" s="0">
        <ns0:f>IFERROR(IF(AND('_Engine'!$X27=1,ISNUMBER(Settings!$F64),Settings!$F64&gt;0,MID('_Engine'!$AP27,WEEKDAY(Settings!$F64,2),1)="W"),Settings!$F64,0),0)</ns0:f>
        <ns0:v>0</ns0:v>
      </ns0:c>
      <ns0:c r="AW27" s="0">
        <ns0:f>IFERROR(IF(AND('_Engine'!$X27=1,ISNUMBER(Settings!$F65),Settings!$F65&gt;0,MID('_Engine'!$AP27,WEEKDAY(Settings!$F65,2),1)="W"),Settings!$F65,0),0)</ns0:f>
        <ns0:v>0</ns0:v>
      </ns0:c>
      <ns0:c r="AX27" s="0">
        <ns0:f>IFERROR(IF(AND('_Engine'!$X27=1,ISNUMBER(Settings!$F66),Settings!$F66&gt;0,MID('_Engine'!$AP27,WEEKDAY(Settings!$F66,2),1)="W"),Settings!$F66,0),0)</ns0:f>
        <ns0:v>0</ns0:v>
      </ns0:c>
      <ns0:c r="AY27" s="0">
        <ns0:f>IFERROR(IF(AND('_Engine'!$X27=1,ISNUMBER(Settings!$F67),Settings!$F67&gt;0,MID('_Engine'!$AP27,WEEKDAY(Settings!$F67,2),1)="W"),Settings!$F67,0),0)</ns0:f>
        <ns0:v>0</ns0:v>
      </ns0:c>
    </ns0:row>
    <ns0:row r="28">
      <ns0:c r="B28" s="0">
        <ns0:f>IFERROR(IF(AND('_Engine'!$X28=1,ISNUMBER(Settings!$F18),Settings!$F18&gt;0,MID('_Engine'!$AP28,WEEKDAY(Settings!$F18,2),1)="W"),Settings!$F18,0),0)</ns0:f>
        <ns0:v>0</ns0:v>
      </ns0:c>
      <ns0:c r="C28" s="0">
        <ns0:f>IFERROR(IF(AND('_Engine'!$X28=1,ISNUMBER(Settings!$F19),Settings!$F19&gt;0,MID('_Engine'!$AP28,WEEKDAY(Settings!$F19,2),1)="W"),Settings!$F19,0),0)</ns0:f>
        <ns0:v>0</ns0:v>
      </ns0:c>
      <ns0:c r="D28" s="0">
        <ns0:f>IFERROR(IF(AND('_Engine'!$X28=1,ISNUMBER(Settings!$F20),Settings!$F20&gt;0,MID('_Engine'!$AP28,WEEKDAY(Settings!$F20,2),1)="W"),Settings!$F20,0),0)</ns0:f>
        <ns0:v>0</ns0:v>
      </ns0:c>
      <ns0:c r="E28" s="0">
        <ns0:f>IFERROR(IF(AND('_Engine'!$X28=1,ISNUMBER(Settings!$F21),Settings!$F21&gt;0,MID('_Engine'!$AP28,WEEKDAY(Settings!$F21,2),1)="W"),Settings!$F21,0),0)</ns0:f>
        <ns0:v>0</ns0:v>
      </ns0:c>
      <ns0:c r="F28" s="0">
        <ns0:f>IFERROR(IF(AND('_Engine'!$X28=1,ISNUMBER(Settings!$F22),Settings!$F22&gt;0,MID('_Engine'!$AP28,WEEKDAY(Settings!$F22,2),1)="W"),Settings!$F22,0),0)</ns0:f>
        <ns0:v>0</ns0:v>
      </ns0:c>
      <ns0:c r="G28" s="0">
        <ns0:f>IFERROR(IF(AND('_Engine'!$X28=1,ISNUMBER(Settings!$F23),Settings!$F23&gt;0,MID('_Engine'!$AP28,WEEKDAY(Settings!$F23,2),1)="W"),Settings!$F23,0),0)</ns0:f>
        <ns0:v>0</ns0:v>
      </ns0:c>
      <ns0:c r="H28" s="0">
        <ns0:f>IFERROR(IF(AND('_Engine'!$X28=1,ISNUMBER(Settings!$F24),Settings!$F24&gt;0,MID('_Engine'!$AP28,WEEKDAY(Settings!$F24,2),1)="W"),Settings!$F24,0),0)</ns0:f>
        <ns0:v>0</ns0:v>
      </ns0:c>
      <ns0:c r="I28" s="0">
        <ns0:f>IFERROR(IF(AND('_Engine'!$X28=1,ISNUMBER(Settings!$F25),Settings!$F25&gt;0,MID('_Engine'!$AP28,WEEKDAY(Settings!$F25,2),1)="W"),Settings!$F25,0),0)</ns0:f>
        <ns0:v>0</ns0:v>
      </ns0:c>
      <ns0:c r="J28" s="0">
        <ns0:f>IFERROR(IF(AND('_Engine'!$X28=1,ISNUMBER(Settings!$F26),Settings!$F26&gt;0,MID('_Engine'!$AP28,WEEKDAY(Settings!$F26,2),1)="W"),Settings!$F26,0),0)</ns0:f>
        <ns0:v>0</ns0:v>
      </ns0:c>
      <ns0:c r="K28" s="0">
        <ns0:f>IFERROR(IF(AND('_Engine'!$X28=1,ISNUMBER(Settings!$F27),Settings!$F27&gt;0,MID('_Engine'!$AP28,WEEKDAY(Settings!$F27,2),1)="W"),Settings!$F27,0),0)</ns0:f>
        <ns0:v>0</ns0:v>
      </ns0:c>
      <ns0:c r="L28" s="0">
        <ns0:f>IFERROR(IF(AND('_Engine'!$X28=1,ISNUMBER(Settings!$F28),Settings!$F28&gt;0,MID('_Engine'!$AP28,WEEKDAY(Settings!$F28,2),1)="W"),Settings!$F28,0),0)</ns0:f>
        <ns0:v>0</ns0:v>
      </ns0:c>
      <ns0:c r="M28" s="0">
        <ns0:f>IFERROR(IF(AND('_Engine'!$X28=1,ISNUMBER(Settings!$F29),Settings!$F29&gt;0,MID('_Engine'!$AP28,WEEKDAY(Settings!$F29,2),1)="W"),Settings!$F29,0),0)</ns0:f>
        <ns0:v>0</ns0:v>
      </ns0:c>
      <ns0:c r="N28" s="0">
        <ns0:f>IFERROR(IF(AND('_Engine'!$X28=1,ISNUMBER(Settings!$F30),Settings!$F30&gt;0,MID('_Engine'!$AP28,WEEKDAY(Settings!$F30,2),1)="W"),Settings!$F30,0),0)</ns0:f>
        <ns0:v>0</ns0:v>
      </ns0:c>
      <ns0:c r="O28" s="0">
        <ns0:f>IFERROR(IF(AND('_Engine'!$X28=1,ISNUMBER(Settings!$F31),Settings!$F31&gt;0,MID('_Engine'!$AP28,WEEKDAY(Settings!$F31,2),1)="W"),Settings!$F31,0),0)</ns0:f>
        <ns0:v>0</ns0:v>
      </ns0:c>
      <ns0:c r="P28" s="0">
        <ns0:f>IFERROR(IF(AND('_Engine'!$X28=1,ISNUMBER(Settings!$F32),Settings!$F32&gt;0,MID('_Engine'!$AP28,WEEKDAY(Settings!$F32,2),1)="W"),Settings!$F32,0),0)</ns0:f>
        <ns0:v>0</ns0:v>
      </ns0:c>
      <ns0:c r="Q28" s="0">
        <ns0:f>IFERROR(IF(AND('_Engine'!$X28=1,ISNUMBER(Settings!$F33),Settings!$F33&gt;0,MID('_Engine'!$AP28,WEEKDAY(Settings!$F33,2),1)="W"),Settings!$F33,0),0)</ns0:f>
        <ns0:v>0</ns0:v>
      </ns0:c>
      <ns0:c r="R28" s="0">
        <ns0:f>IFERROR(IF(AND('_Engine'!$X28=1,ISNUMBER(Settings!$F34),Settings!$F34&gt;0,MID('_Engine'!$AP28,WEEKDAY(Settings!$F34,2),1)="W"),Settings!$F34,0),0)</ns0:f>
        <ns0:v>0</ns0:v>
      </ns0:c>
      <ns0:c r="S28" s="0">
        <ns0:f>IFERROR(IF(AND('_Engine'!$X28=1,ISNUMBER(Settings!$F35),Settings!$F35&gt;0,MID('_Engine'!$AP28,WEEKDAY(Settings!$F35,2),1)="W"),Settings!$F35,0),0)</ns0:f>
        <ns0:v>0</ns0:v>
      </ns0:c>
      <ns0:c r="T28" s="0">
        <ns0:f>IFERROR(IF(AND('_Engine'!$X28=1,ISNUMBER(Settings!$F36),Settings!$F36&gt;0,MID('_Engine'!$AP28,WEEKDAY(Settings!$F36,2),1)="W"),Settings!$F36,0),0)</ns0:f>
        <ns0:v>0</ns0:v>
      </ns0:c>
      <ns0:c r="U28" s="0">
        <ns0:f>IFERROR(IF(AND('_Engine'!$X28=1,ISNUMBER(Settings!$F37),Settings!$F37&gt;0,MID('_Engine'!$AP28,WEEKDAY(Settings!$F37,2),1)="W"),Settings!$F37,0),0)</ns0:f>
        <ns0:v>0</ns0:v>
      </ns0:c>
      <ns0:c r="V28" s="0">
        <ns0:f>IFERROR(IF(AND('_Engine'!$X28=1,ISNUMBER(Settings!$F38),Settings!$F38&gt;0,MID('_Engine'!$AP28,WEEKDAY(Settings!$F38,2),1)="W"),Settings!$F38,0),0)</ns0:f>
        <ns0:v>0</ns0:v>
      </ns0:c>
      <ns0:c r="W28" s="0">
        <ns0:f>IFERROR(IF(AND('_Engine'!$X28=1,ISNUMBER(Settings!$F39),Settings!$F39&gt;0,MID('_Engine'!$AP28,WEEKDAY(Settings!$F39,2),1)="W"),Settings!$F39,0),0)</ns0:f>
        <ns0:v>0</ns0:v>
      </ns0:c>
      <ns0:c r="X28" s="0">
        <ns0:f>IFERROR(IF(AND('_Engine'!$X28=1,ISNUMBER(Settings!$F40),Settings!$F40&gt;0,MID('_Engine'!$AP28,WEEKDAY(Settings!$F40,2),1)="W"),Settings!$F40,0),0)</ns0:f>
        <ns0:v>0</ns0:v>
      </ns0:c>
      <ns0:c r="Y28" s="0">
        <ns0:f>IFERROR(IF(AND('_Engine'!$X28=1,ISNUMBER(Settings!$F41),Settings!$F41&gt;0,MID('_Engine'!$AP28,WEEKDAY(Settings!$F41,2),1)="W"),Settings!$F41,0),0)</ns0:f>
        <ns0:v>0</ns0:v>
      </ns0:c>
      <ns0:c r="Z28" s="0">
        <ns0:f>IFERROR(IF(AND('_Engine'!$X28=1,ISNUMBER(Settings!$F42),Settings!$F42&gt;0,MID('_Engine'!$AP28,WEEKDAY(Settings!$F42,2),1)="W"),Settings!$F42,0),0)</ns0:f>
        <ns0:v>0</ns0:v>
      </ns0:c>
      <ns0:c r="AA28" s="0">
        <ns0:f>IFERROR(IF(AND('_Engine'!$X28=1,ISNUMBER(Settings!$F43),Settings!$F43&gt;0,MID('_Engine'!$AP28,WEEKDAY(Settings!$F43,2),1)="W"),Settings!$F43,0),0)</ns0:f>
        <ns0:v>0</ns0:v>
      </ns0:c>
      <ns0:c r="AB28" s="0">
        <ns0:f>IFERROR(IF(AND('_Engine'!$X28=1,ISNUMBER(Settings!$F44),Settings!$F44&gt;0,MID('_Engine'!$AP28,WEEKDAY(Settings!$F44,2),1)="W"),Settings!$F44,0),0)</ns0:f>
        <ns0:v>0</ns0:v>
      </ns0:c>
      <ns0:c r="AC28" s="0">
        <ns0:f>IFERROR(IF(AND('_Engine'!$X28=1,ISNUMBER(Settings!$F45),Settings!$F45&gt;0,MID('_Engine'!$AP28,WEEKDAY(Settings!$F45,2),1)="W"),Settings!$F45,0),0)</ns0:f>
        <ns0:v>0</ns0:v>
      </ns0:c>
      <ns0:c r="AD28" s="0">
        <ns0:f>IFERROR(IF(AND('_Engine'!$X28=1,ISNUMBER(Settings!$F46),Settings!$F46&gt;0,MID('_Engine'!$AP28,WEEKDAY(Settings!$F46,2),1)="W"),Settings!$F46,0),0)</ns0:f>
        <ns0:v>0</ns0:v>
      </ns0:c>
      <ns0:c r="AE28" s="0">
        <ns0:f>IFERROR(IF(AND('_Engine'!$X28=1,ISNUMBER(Settings!$F47),Settings!$F47&gt;0,MID('_Engine'!$AP28,WEEKDAY(Settings!$F47,2),1)="W"),Settings!$F47,0),0)</ns0:f>
        <ns0:v>0</ns0:v>
      </ns0:c>
      <ns0:c r="AF28" s="0">
        <ns0:f>IFERROR(IF(AND('_Engine'!$X28=1,ISNUMBER(Settings!$F48),Settings!$F48&gt;0,MID('_Engine'!$AP28,WEEKDAY(Settings!$F48,2),1)="W"),Settings!$F48,0),0)</ns0:f>
        <ns0:v>0</ns0:v>
      </ns0:c>
      <ns0:c r="AG28" s="0">
        <ns0:f>IFERROR(IF(AND('_Engine'!$X28=1,ISNUMBER(Settings!$F49),Settings!$F49&gt;0,MID('_Engine'!$AP28,WEEKDAY(Settings!$F49,2),1)="W"),Settings!$F49,0),0)</ns0:f>
        <ns0:v>0</ns0:v>
      </ns0:c>
      <ns0:c r="AH28" s="0">
        <ns0:f>IFERROR(IF(AND('_Engine'!$X28=1,ISNUMBER(Settings!$F50),Settings!$F50&gt;0,MID('_Engine'!$AP28,WEEKDAY(Settings!$F50,2),1)="W"),Settings!$F50,0),0)</ns0:f>
        <ns0:v>0</ns0:v>
      </ns0:c>
      <ns0:c r="AI28" s="0">
        <ns0:f>IFERROR(IF(AND('_Engine'!$X28=1,ISNUMBER(Settings!$F51),Settings!$F51&gt;0,MID('_Engine'!$AP28,WEEKDAY(Settings!$F51,2),1)="W"),Settings!$F51,0),0)</ns0:f>
        <ns0:v>0</ns0:v>
      </ns0:c>
      <ns0:c r="AJ28" s="0">
        <ns0:f>IFERROR(IF(AND('_Engine'!$X28=1,ISNUMBER(Settings!$F52),Settings!$F52&gt;0,MID('_Engine'!$AP28,WEEKDAY(Settings!$F52,2),1)="W"),Settings!$F52,0),0)</ns0:f>
        <ns0:v>0</ns0:v>
      </ns0:c>
      <ns0:c r="AK28" s="0">
        <ns0:f>IFERROR(IF(AND('_Engine'!$X28=1,ISNUMBER(Settings!$F53),Settings!$F53&gt;0,MID('_Engine'!$AP28,WEEKDAY(Settings!$F53,2),1)="W"),Settings!$F53,0),0)</ns0:f>
        <ns0:v>0</ns0:v>
      </ns0:c>
      <ns0:c r="AL28" s="0">
        <ns0:f>IFERROR(IF(AND('_Engine'!$X28=1,ISNUMBER(Settings!$F54),Settings!$F54&gt;0,MID('_Engine'!$AP28,WEEKDAY(Settings!$F54,2),1)="W"),Settings!$F54,0),0)</ns0:f>
        <ns0:v>0</ns0:v>
      </ns0:c>
      <ns0:c r="AM28" s="0">
        <ns0:f>IFERROR(IF(AND('_Engine'!$X28=1,ISNUMBER(Settings!$F55),Settings!$F55&gt;0,MID('_Engine'!$AP28,WEEKDAY(Settings!$F55,2),1)="W"),Settings!$F55,0),0)</ns0:f>
        <ns0:v>0</ns0:v>
      </ns0:c>
      <ns0:c r="AN28" s="0">
        <ns0:f>IFERROR(IF(AND('_Engine'!$X28=1,ISNUMBER(Settings!$F56),Settings!$F56&gt;0,MID('_Engine'!$AP28,WEEKDAY(Settings!$F56,2),1)="W"),Settings!$F56,0),0)</ns0:f>
        <ns0:v>0</ns0:v>
      </ns0:c>
      <ns0:c r="AO28" s="0">
        <ns0:f>IFERROR(IF(AND('_Engine'!$X28=1,ISNUMBER(Settings!$F57),Settings!$F57&gt;0,MID('_Engine'!$AP28,WEEKDAY(Settings!$F57,2),1)="W"),Settings!$F57,0),0)</ns0:f>
        <ns0:v>0</ns0:v>
      </ns0:c>
      <ns0:c r="AP28" s="0">
        <ns0:f>IFERROR(IF(AND('_Engine'!$X28=1,ISNUMBER(Settings!$F58),Settings!$F58&gt;0,MID('_Engine'!$AP28,WEEKDAY(Settings!$F58,2),1)="W"),Settings!$F58,0),0)</ns0:f>
        <ns0:v>0</ns0:v>
      </ns0:c>
      <ns0:c r="AQ28" s="0">
        <ns0:f>IFERROR(IF(AND('_Engine'!$X28=1,ISNUMBER(Settings!$F59),Settings!$F59&gt;0,MID('_Engine'!$AP28,WEEKDAY(Settings!$F59,2),1)="W"),Settings!$F59,0),0)</ns0:f>
        <ns0:v>0</ns0:v>
      </ns0:c>
      <ns0:c r="AR28" s="0">
        <ns0:f>IFERROR(IF(AND('_Engine'!$X28=1,ISNUMBER(Settings!$F60),Settings!$F60&gt;0,MID('_Engine'!$AP28,WEEKDAY(Settings!$F60,2),1)="W"),Settings!$F60,0),0)</ns0:f>
        <ns0:v>0</ns0:v>
      </ns0:c>
      <ns0:c r="AS28" s="0">
        <ns0:f>IFERROR(IF(AND('_Engine'!$X28=1,ISNUMBER(Settings!$F61),Settings!$F61&gt;0,MID('_Engine'!$AP28,WEEKDAY(Settings!$F61,2),1)="W"),Settings!$F61,0),0)</ns0:f>
        <ns0:v>0</ns0:v>
      </ns0:c>
      <ns0:c r="AT28" s="0">
        <ns0:f>IFERROR(IF(AND('_Engine'!$X28=1,ISNUMBER(Settings!$F62),Settings!$F62&gt;0,MID('_Engine'!$AP28,WEEKDAY(Settings!$F62,2),1)="W"),Settings!$F62,0),0)</ns0:f>
        <ns0:v>0</ns0:v>
      </ns0:c>
      <ns0:c r="AU28" s="0">
        <ns0:f>IFERROR(IF(AND('_Engine'!$X28=1,ISNUMBER(Settings!$F63),Settings!$F63&gt;0,MID('_Engine'!$AP28,WEEKDAY(Settings!$F63,2),1)="W"),Settings!$F63,0),0)</ns0:f>
        <ns0:v>0</ns0:v>
      </ns0:c>
      <ns0:c r="AV28" s="0">
        <ns0:f>IFERROR(IF(AND('_Engine'!$X28=1,ISNUMBER(Settings!$F64),Settings!$F64&gt;0,MID('_Engine'!$AP28,WEEKDAY(Settings!$F64,2),1)="W"),Settings!$F64,0),0)</ns0:f>
        <ns0:v>0</ns0:v>
      </ns0:c>
      <ns0:c r="AW28" s="0">
        <ns0:f>IFERROR(IF(AND('_Engine'!$X28=1,ISNUMBER(Settings!$F65),Settings!$F65&gt;0,MID('_Engine'!$AP28,WEEKDAY(Settings!$F65,2),1)="W"),Settings!$F65,0),0)</ns0:f>
        <ns0:v>0</ns0:v>
      </ns0:c>
      <ns0:c r="AX28" s="0">
        <ns0:f>IFERROR(IF(AND('_Engine'!$X28=1,ISNUMBER(Settings!$F66),Settings!$F66&gt;0,MID('_Engine'!$AP28,WEEKDAY(Settings!$F66,2),1)="W"),Settings!$F66,0),0)</ns0:f>
        <ns0:v>0</ns0:v>
      </ns0:c>
      <ns0:c r="AY28" s="0">
        <ns0:f>IFERROR(IF(AND('_Engine'!$X28=1,ISNUMBER(Settings!$F67),Settings!$F67&gt;0,MID('_Engine'!$AP28,WEEKDAY(Settings!$F67,2),1)="W"),Settings!$F67,0),0)</ns0:f>
        <ns0:v>0</ns0:v>
      </ns0:c>
    </ns0:row>
    <ns0:row r="29">
      <ns0:c r="B29" s="0">
        <ns0:f>IFERROR(IF(AND('_Engine'!$X29=1,ISNUMBER(Settings!$F18),Settings!$F18&gt;0,MID('_Engine'!$AP29,WEEKDAY(Settings!$F18,2),1)="W"),Settings!$F18,0),0)</ns0:f>
        <ns0:v>0</ns0:v>
      </ns0:c>
      <ns0:c r="C29" s="0">
        <ns0:f>IFERROR(IF(AND('_Engine'!$X29=1,ISNUMBER(Settings!$F19),Settings!$F19&gt;0,MID('_Engine'!$AP29,WEEKDAY(Settings!$F19,2),1)="W"),Settings!$F19,0),0)</ns0:f>
        <ns0:v>0</ns0:v>
      </ns0:c>
      <ns0:c r="D29" s="0">
        <ns0:f>IFERROR(IF(AND('_Engine'!$X29=1,ISNUMBER(Settings!$F20),Settings!$F20&gt;0,MID('_Engine'!$AP29,WEEKDAY(Settings!$F20,2),1)="W"),Settings!$F20,0),0)</ns0:f>
        <ns0:v>0</ns0:v>
      </ns0:c>
      <ns0:c r="E29" s="0">
        <ns0:f>IFERROR(IF(AND('_Engine'!$X29=1,ISNUMBER(Settings!$F21),Settings!$F21&gt;0,MID('_Engine'!$AP29,WEEKDAY(Settings!$F21,2),1)="W"),Settings!$F21,0),0)</ns0:f>
        <ns0:v>0</ns0:v>
      </ns0:c>
      <ns0:c r="F29" s="0">
        <ns0:f>IFERROR(IF(AND('_Engine'!$X29=1,ISNUMBER(Settings!$F22),Settings!$F22&gt;0,MID('_Engine'!$AP29,WEEKDAY(Settings!$F22,2),1)="W"),Settings!$F22,0),0)</ns0:f>
        <ns0:v>0</ns0:v>
      </ns0:c>
      <ns0:c r="G29" s="0">
        <ns0:f>IFERROR(IF(AND('_Engine'!$X29=1,ISNUMBER(Settings!$F23),Settings!$F23&gt;0,MID('_Engine'!$AP29,WEEKDAY(Settings!$F23,2),1)="W"),Settings!$F23,0),0)</ns0:f>
        <ns0:v>0</ns0:v>
      </ns0:c>
      <ns0:c r="H29" s="0">
        <ns0:f>IFERROR(IF(AND('_Engine'!$X29=1,ISNUMBER(Settings!$F24),Settings!$F24&gt;0,MID('_Engine'!$AP29,WEEKDAY(Settings!$F24,2),1)="W"),Settings!$F24,0),0)</ns0:f>
        <ns0:v>0</ns0:v>
      </ns0:c>
      <ns0:c r="I29" s="0">
        <ns0:f>IFERROR(IF(AND('_Engine'!$X29=1,ISNUMBER(Settings!$F25),Settings!$F25&gt;0,MID('_Engine'!$AP29,WEEKDAY(Settings!$F25,2),1)="W"),Settings!$F25,0),0)</ns0:f>
        <ns0:v>0</ns0:v>
      </ns0:c>
      <ns0:c r="J29" s="0">
        <ns0:f>IFERROR(IF(AND('_Engine'!$X29=1,ISNUMBER(Settings!$F26),Settings!$F26&gt;0,MID('_Engine'!$AP29,WEEKDAY(Settings!$F26,2),1)="W"),Settings!$F26,0),0)</ns0:f>
        <ns0:v>0</ns0:v>
      </ns0:c>
      <ns0:c r="K29" s="0">
        <ns0:f>IFERROR(IF(AND('_Engine'!$X29=1,ISNUMBER(Settings!$F27),Settings!$F27&gt;0,MID('_Engine'!$AP29,WEEKDAY(Settings!$F27,2),1)="W"),Settings!$F27,0),0)</ns0:f>
        <ns0:v>0</ns0:v>
      </ns0:c>
      <ns0:c r="L29" s="0">
        <ns0:f>IFERROR(IF(AND('_Engine'!$X29=1,ISNUMBER(Settings!$F28),Settings!$F28&gt;0,MID('_Engine'!$AP29,WEEKDAY(Settings!$F28,2),1)="W"),Settings!$F28,0),0)</ns0:f>
        <ns0:v>0</ns0:v>
      </ns0:c>
      <ns0:c r="M29" s="0">
        <ns0:f>IFERROR(IF(AND('_Engine'!$X29=1,ISNUMBER(Settings!$F29),Settings!$F29&gt;0,MID('_Engine'!$AP29,WEEKDAY(Settings!$F29,2),1)="W"),Settings!$F29,0),0)</ns0:f>
        <ns0:v>0</ns0:v>
      </ns0:c>
      <ns0:c r="N29" s="0">
        <ns0:f>IFERROR(IF(AND('_Engine'!$X29=1,ISNUMBER(Settings!$F30),Settings!$F30&gt;0,MID('_Engine'!$AP29,WEEKDAY(Settings!$F30,2),1)="W"),Settings!$F30,0),0)</ns0:f>
        <ns0:v>0</ns0:v>
      </ns0:c>
      <ns0:c r="O29" s="0">
        <ns0:f>IFERROR(IF(AND('_Engine'!$X29=1,ISNUMBER(Settings!$F31),Settings!$F31&gt;0,MID('_Engine'!$AP29,WEEKDAY(Settings!$F31,2),1)="W"),Settings!$F31,0),0)</ns0:f>
        <ns0:v>0</ns0:v>
      </ns0:c>
      <ns0:c r="P29" s="0">
        <ns0:f>IFERROR(IF(AND('_Engine'!$X29=1,ISNUMBER(Settings!$F32),Settings!$F32&gt;0,MID('_Engine'!$AP29,WEEKDAY(Settings!$F32,2),1)="W"),Settings!$F32,0),0)</ns0:f>
        <ns0:v>0</ns0:v>
      </ns0:c>
      <ns0:c r="Q29" s="0">
        <ns0:f>IFERROR(IF(AND('_Engine'!$X29=1,ISNUMBER(Settings!$F33),Settings!$F33&gt;0,MID('_Engine'!$AP29,WEEKDAY(Settings!$F33,2),1)="W"),Settings!$F33,0),0)</ns0:f>
        <ns0:v>0</ns0:v>
      </ns0:c>
      <ns0:c r="R29" s="0">
        <ns0:f>IFERROR(IF(AND('_Engine'!$X29=1,ISNUMBER(Settings!$F34),Settings!$F34&gt;0,MID('_Engine'!$AP29,WEEKDAY(Settings!$F34,2),1)="W"),Settings!$F34,0),0)</ns0:f>
        <ns0:v>0</ns0:v>
      </ns0:c>
      <ns0:c r="S29" s="0">
        <ns0:f>IFERROR(IF(AND('_Engine'!$X29=1,ISNUMBER(Settings!$F35),Settings!$F35&gt;0,MID('_Engine'!$AP29,WEEKDAY(Settings!$F35,2),1)="W"),Settings!$F35,0),0)</ns0:f>
        <ns0:v>0</ns0:v>
      </ns0:c>
      <ns0:c r="T29" s="0">
        <ns0:f>IFERROR(IF(AND('_Engine'!$X29=1,ISNUMBER(Settings!$F36),Settings!$F36&gt;0,MID('_Engine'!$AP29,WEEKDAY(Settings!$F36,2),1)="W"),Settings!$F36,0),0)</ns0:f>
        <ns0:v>0</ns0:v>
      </ns0:c>
      <ns0:c r="U29" s="0">
        <ns0:f>IFERROR(IF(AND('_Engine'!$X29=1,ISNUMBER(Settings!$F37),Settings!$F37&gt;0,MID('_Engine'!$AP29,WEEKDAY(Settings!$F37,2),1)="W"),Settings!$F37,0),0)</ns0:f>
        <ns0:v>0</ns0:v>
      </ns0:c>
      <ns0:c r="V29" s="0">
        <ns0:f>IFERROR(IF(AND('_Engine'!$X29=1,ISNUMBER(Settings!$F38),Settings!$F38&gt;0,MID('_Engine'!$AP29,WEEKDAY(Settings!$F38,2),1)="W"),Settings!$F38,0),0)</ns0:f>
        <ns0:v>0</ns0:v>
      </ns0:c>
      <ns0:c r="W29" s="0">
        <ns0:f>IFERROR(IF(AND('_Engine'!$X29=1,ISNUMBER(Settings!$F39),Settings!$F39&gt;0,MID('_Engine'!$AP29,WEEKDAY(Settings!$F39,2),1)="W"),Settings!$F39,0),0)</ns0:f>
        <ns0:v>0</ns0:v>
      </ns0:c>
      <ns0:c r="X29" s="0">
        <ns0:f>IFERROR(IF(AND('_Engine'!$X29=1,ISNUMBER(Settings!$F40),Settings!$F40&gt;0,MID('_Engine'!$AP29,WEEKDAY(Settings!$F40,2),1)="W"),Settings!$F40,0),0)</ns0:f>
        <ns0:v>0</ns0:v>
      </ns0:c>
      <ns0:c r="Y29" s="0">
        <ns0:f>IFERROR(IF(AND('_Engine'!$X29=1,ISNUMBER(Settings!$F41),Settings!$F41&gt;0,MID('_Engine'!$AP29,WEEKDAY(Settings!$F41,2),1)="W"),Settings!$F41,0),0)</ns0:f>
        <ns0:v>0</ns0:v>
      </ns0:c>
      <ns0:c r="Z29" s="0">
        <ns0:f>IFERROR(IF(AND('_Engine'!$X29=1,ISNUMBER(Settings!$F42),Settings!$F42&gt;0,MID('_Engine'!$AP29,WEEKDAY(Settings!$F42,2),1)="W"),Settings!$F42,0),0)</ns0:f>
        <ns0:v>0</ns0:v>
      </ns0:c>
      <ns0:c r="AA29" s="0">
        <ns0:f>IFERROR(IF(AND('_Engine'!$X29=1,ISNUMBER(Settings!$F43),Settings!$F43&gt;0,MID('_Engine'!$AP29,WEEKDAY(Settings!$F43,2),1)="W"),Settings!$F43,0),0)</ns0:f>
        <ns0:v>0</ns0:v>
      </ns0:c>
      <ns0:c r="AB29" s="0">
        <ns0:f>IFERROR(IF(AND('_Engine'!$X29=1,ISNUMBER(Settings!$F44),Settings!$F44&gt;0,MID('_Engine'!$AP29,WEEKDAY(Settings!$F44,2),1)="W"),Settings!$F44,0),0)</ns0:f>
        <ns0:v>0</ns0:v>
      </ns0:c>
      <ns0:c r="AC29" s="0">
        <ns0:f>IFERROR(IF(AND('_Engine'!$X29=1,ISNUMBER(Settings!$F45),Settings!$F45&gt;0,MID('_Engine'!$AP29,WEEKDAY(Settings!$F45,2),1)="W"),Settings!$F45,0),0)</ns0:f>
        <ns0:v>0</ns0:v>
      </ns0:c>
      <ns0:c r="AD29" s="0">
        <ns0:f>IFERROR(IF(AND('_Engine'!$X29=1,ISNUMBER(Settings!$F46),Settings!$F46&gt;0,MID('_Engine'!$AP29,WEEKDAY(Settings!$F46,2),1)="W"),Settings!$F46,0),0)</ns0:f>
        <ns0:v>0</ns0:v>
      </ns0:c>
      <ns0:c r="AE29" s="0">
        <ns0:f>IFERROR(IF(AND('_Engine'!$X29=1,ISNUMBER(Settings!$F47),Settings!$F47&gt;0,MID('_Engine'!$AP29,WEEKDAY(Settings!$F47,2),1)="W"),Settings!$F47,0),0)</ns0:f>
        <ns0:v>0</ns0:v>
      </ns0:c>
      <ns0:c r="AF29" s="0">
        <ns0:f>IFERROR(IF(AND('_Engine'!$X29=1,ISNUMBER(Settings!$F48),Settings!$F48&gt;0,MID('_Engine'!$AP29,WEEKDAY(Settings!$F48,2),1)="W"),Settings!$F48,0),0)</ns0:f>
        <ns0:v>0</ns0:v>
      </ns0:c>
      <ns0:c r="AG29" s="0">
        <ns0:f>IFERROR(IF(AND('_Engine'!$X29=1,ISNUMBER(Settings!$F49),Settings!$F49&gt;0,MID('_Engine'!$AP29,WEEKDAY(Settings!$F49,2),1)="W"),Settings!$F49,0),0)</ns0:f>
        <ns0:v>0</ns0:v>
      </ns0:c>
      <ns0:c r="AH29" s="0">
        <ns0:f>IFERROR(IF(AND('_Engine'!$X29=1,ISNUMBER(Settings!$F50),Settings!$F50&gt;0,MID('_Engine'!$AP29,WEEKDAY(Settings!$F50,2),1)="W"),Settings!$F50,0),0)</ns0:f>
        <ns0:v>0</ns0:v>
      </ns0:c>
      <ns0:c r="AI29" s="0">
        <ns0:f>IFERROR(IF(AND('_Engine'!$X29=1,ISNUMBER(Settings!$F51),Settings!$F51&gt;0,MID('_Engine'!$AP29,WEEKDAY(Settings!$F51,2),1)="W"),Settings!$F51,0),0)</ns0:f>
        <ns0:v>0</ns0:v>
      </ns0:c>
      <ns0:c r="AJ29" s="0">
        <ns0:f>IFERROR(IF(AND('_Engine'!$X29=1,ISNUMBER(Settings!$F52),Settings!$F52&gt;0,MID('_Engine'!$AP29,WEEKDAY(Settings!$F52,2),1)="W"),Settings!$F52,0),0)</ns0:f>
        <ns0:v>0</ns0:v>
      </ns0:c>
      <ns0:c r="AK29" s="0">
        <ns0:f>IFERROR(IF(AND('_Engine'!$X29=1,ISNUMBER(Settings!$F53),Settings!$F53&gt;0,MID('_Engine'!$AP29,WEEKDAY(Settings!$F53,2),1)="W"),Settings!$F53,0),0)</ns0:f>
        <ns0:v>0</ns0:v>
      </ns0:c>
      <ns0:c r="AL29" s="0">
        <ns0:f>IFERROR(IF(AND('_Engine'!$X29=1,ISNUMBER(Settings!$F54),Settings!$F54&gt;0,MID('_Engine'!$AP29,WEEKDAY(Settings!$F54,2),1)="W"),Settings!$F54,0),0)</ns0:f>
        <ns0:v>0</ns0:v>
      </ns0:c>
      <ns0:c r="AM29" s="0">
        <ns0:f>IFERROR(IF(AND('_Engine'!$X29=1,ISNUMBER(Settings!$F55),Settings!$F55&gt;0,MID('_Engine'!$AP29,WEEKDAY(Settings!$F55,2),1)="W"),Settings!$F55,0),0)</ns0:f>
        <ns0:v>0</ns0:v>
      </ns0:c>
      <ns0:c r="AN29" s="0">
        <ns0:f>IFERROR(IF(AND('_Engine'!$X29=1,ISNUMBER(Settings!$F56),Settings!$F56&gt;0,MID('_Engine'!$AP29,WEEKDAY(Settings!$F56,2),1)="W"),Settings!$F56,0),0)</ns0:f>
        <ns0:v>0</ns0:v>
      </ns0:c>
      <ns0:c r="AO29" s="0">
        <ns0:f>IFERROR(IF(AND('_Engine'!$X29=1,ISNUMBER(Settings!$F57),Settings!$F57&gt;0,MID('_Engine'!$AP29,WEEKDAY(Settings!$F57,2),1)="W"),Settings!$F57,0),0)</ns0:f>
        <ns0:v>0</ns0:v>
      </ns0:c>
      <ns0:c r="AP29" s="0">
        <ns0:f>IFERROR(IF(AND('_Engine'!$X29=1,ISNUMBER(Settings!$F58),Settings!$F58&gt;0,MID('_Engine'!$AP29,WEEKDAY(Settings!$F58,2),1)="W"),Settings!$F58,0),0)</ns0:f>
        <ns0:v>0</ns0:v>
      </ns0:c>
      <ns0:c r="AQ29" s="0">
        <ns0:f>IFERROR(IF(AND('_Engine'!$X29=1,ISNUMBER(Settings!$F59),Settings!$F59&gt;0,MID('_Engine'!$AP29,WEEKDAY(Settings!$F59,2),1)="W"),Settings!$F59,0),0)</ns0:f>
        <ns0:v>0</ns0:v>
      </ns0:c>
      <ns0:c r="AR29" s="0">
        <ns0:f>IFERROR(IF(AND('_Engine'!$X29=1,ISNUMBER(Settings!$F60),Settings!$F60&gt;0,MID('_Engine'!$AP29,WEEKDAY(Settings!$F60,2),1)="W"),Settings!$F60,0),0)</ns0:f>
        <ns0:v>0</ns0:v>
      </ns0:c>
      <ns0:c r="AS29" s="0">
        <ns0:f>IFERROR(IF(AND('_Engine'!$X29=1,ISNUMBER(Settings!$F61),Settings!$F61&gt;0,MID('_Engine'!$AP29,WEEKDAY(Settings!$F61,2),1)="W"),Settings!$F61,0),0)</ns0:f>
        <ns0:v>0</ns0:v>
      </ns0:c>
      <ns0:c r="AT29" s="0">
        <ns0:f>IFERROR(IF(AND('_Engine'!$X29=1,ISNUMBER(Settings!$F62),Settings!$F62&gt;0,MID('_Engine'!$AP29,WEEKDAY(Settings!$F62,2),1)="W"),Settings!$F62,0),0)</ns0:f>
        <ns0:v>0</ns0:v>
      </ns0:c>
      <ns0:c r="AU29" s="0">
        <ns0:f>IFERROR(IF(AND('_Engine'!$X29=1,ISNUMBER(Settings!$F63),Settings!$F63&gt;0,MID('_Engine'!$AP29,WEEKDAY(Settings!$F63,2),1)="W"),Settings!$F63,0),0)</ns0:f>
        <ns0:v>0</ns0:v>
      </ns0:c>
      <ns0:c r="AV29" s="0">
        <ns0:f>IFERROR(IF(AND('_Engine'!$X29=1,ISNUMBER(Settings!$F64),Settings!$F64&gt;0,MID('_Engine'!$AP29,WEEKDAY(Settings!$F64,2),1)="W"),Settings!$F64,0),0)</ns0:f>
        <ns0:v>0</ns0:v>
      </ns0:c>
      <ns0:c r="AW29" s="0">
        <ns0:f>IFERROR(IF(AND('_Engine'!$X29=1,ISNUMBER(Settings!$F65),Settings!$F65&gt;0,MID('_Engine'!$AP29,WEEKDAY(Settings!$F65,2),1)="W"),Settings!$F65,0),0)</ns0:f>
        <ns0:v>0</ns0:v>
      </ns0:c>
      <ns0:c r="AX29" s="0">
        <ns0:f>IFERROR(IF(AND('_Engine'!$X29=1,ISNUMBER(Settings!$F66),Settings!$F66&gt;0,MID('_Engine'!$AP29,WEEKDAY(Settings!$F66,2),1)="W"),Settings!$F66,0),0)</ns0:f>
        <ns0:v>0</ns0:v>
      </ns0:c>
      <ns0:c r="AY29" s="0">
        <ns0:f>IFERROR(IF(AND('_Engine'!$X29=1,ISNUMBER(Settings!$F67),Settings!$F67&gt;0,MID('_Engine'!$AP29,WEEKDAY(Settings!$F67,2),1)="W"),Settings!$F67,0),0)</ns0:f>
        <ns0:v>0</ns0:v>
      </ns0:c>
    </ns0:row>
    <ns0:row r="30">
      <ns0:c r="B30" s="0">
        <ns0:f>IFERROR(IF(AND('_Engine'!$X30=1,ISNUMBER(Settings!$F18),Settings!$F18&gt;0,MID('_Engine'!$AP30,WEEKDAY(Settings!$F18,2),1)="W"),Settings!$F18,0),0)</ns0:f>
        <ns0:v>0</ns0:v>
      </ns0:c>
      <ns0:c r="C30" s="0">
        <ns0:f>IFERROR(IF(AND('_Engine'!$X30=1,ISNUMBER(Settings!$F19),Settings!$F19&gt;0,MID('_Engine'!$AP30,WEEKDAY(Settings!$F19,2),1)="W"),Settings!$F19,0),0)</ns0:f>
        <ns0:v>0</ns0:v>
      </ns0:c>
      <ns0:c r="D30" s="0">
        <ns0:f>IFERROR(IF(AND('_Engine'!$X30=1,ISNUMBER(Settings!$F20),Settings!$F20&gt;0,MID('_Engine'!$AP30,WEEKDAY(Settings!$F20,2),1)="W"),Settings!$F20,0),0)</ns0:f>
        <ns0:v>0</ns0:v>
      </ns0:c>
      <ns0:c r="E30" s="0">
        <ns0:f>IFERROR(IF(AND('_Engine'!$X30=1,ISNUMBER(Settings!$F21),Settings!$F21&gt;0,MID('_Engine'!$AP30,WEEKDAY(Settings!$F21,2),1)="W"),Settings!$F21,0),0)</ns0:f>
        <ns0:v>0</ns0:v>
      </ns0:c>
      <ns0:c r="F30" s="0">
        <ns0:f>IFERROR(IF(AND('_Engine'!$X30=1,ISNUMBER(Settings!$F22),Settings!$F22&gt;0,MID('_Engine'!$AP30,WEEKDAY(Settings!$F22,2),1)="W"),Settings!$F22,0),0)</ns0:f>
        <ns0:v>0</ns0:v>
      </ns0:c>
      <ns0:c r="G30" s="0">
        <ns0:f>IFERROR(IF(AND('_Engine'!$X30=1,ISNUMBER(Settings!$F23),Settings!$F23&gt;0,MID('_Engine'!$AP30,WEEKDAY(Settings!$F23,2),1)="W"),Settings!$F23,0),0)</ns0:f>
        <ns0:v>0</ns0:v>
      </ns0:c>
      <ns0:c r="H30" s="0">
        <ns0:f>IFERROR(IF(AND('_Engine'!$X30=1,ISNUMBER(Settings!$F24),Settings!$F24&gt;0,MID('_Engine'!$AP30,WEEKDAY(Settings!$F24,2),1)="W"),Settings!$F24,0),0)</ns0:f>
        <ns0:v>0</ns0:v>
      </ns0:c>
      <ns0:c r="I30" s="0">
        <ns0:f>IFERROR(IF(AND('_Engine'!$X30=1,ISNUMBER(Settings!$F25),Settings!$F25&gt;0,MID('_Engine'!$AP30,WEEKDAY(Settings!$F25,2),1)="W"),Settings!$F25,0),0)</ns0:f>
        <ns0:v>0</ns0:v>
      </ns0:c>
      <ns0:c r="J30" s="0">
        <ns0:f>IFERROR(IF(AND('_Engine'!$X30=1,ISNUMBER(Settings!$F26),Settings!$F26&gt;0,MID('_Engine'!$AP30,WEEKDAY(Settings!$F26,2),1)="W"),Settings!$F26,0),0)</ns0:f>
        <ns0:v>0</ns0:v>
      </ns0:c>
      <ns0:c r="K30" s="0">
        <ns0:f>IFERROR(IF(AND('_Engine'!$X30=1,ISNUMBER(Settings!$F27),Settings!$F27&gt;0,MID('_Engine'!$AP30,WEEKDAY(Settings!$F27,2),1)="W"),Settings!$F27,0),0)</ns0:f>
        <ns0:v>0</ns0:v>
      </ns0:c>
      <ns0:c r="L30" s="0">
        <ns0:f>IFERROR(IF(AND('_Engine'!$X30=1,ISNUMBER(Settings!$F28),Settings!$F28&gt;0,MID('_Engine'!$AP30,WEEKDAY(Settings!$F28,2),1)="W"),Settings!$F28,0),0)</ns0:f>
        <ns0:v>0</ns0:v>
      </ns0:c>
      <ns0:c r="M30" s="0">
        <ns0:f>IFERROR(IF(AND('_Engine'!$X30=1,ISNUMBER(Settings!$F29),Settings!$F29&gt;0,MID('_Engine'!$AP30,WEEKDAY(Settings!$F29,2),1)="W"),Settings!$F29,0),0)</ns0:f>
        <ns0:v>0</ns0:v>
      </ns0:c>
      <ns0:c r="N30" s="0">
        <ns0:f>IFERROR(IF(AND('_Engine'!$X30=1,ISNUMBER(Settings!$F30),Settings!$F30&gt;0,MID('_Engine'!$AP30,WEEKDAY(Settings!$F30,2),1)="W"),Settings!$F30,0),0)</ns0:f>
        <ns0:v>0</ns0:v>
      </ns0:c>
      <ns0:c r="O30" s="0">
        <ns0:f>IFERROR(IF(AND('_Engine'!$X30=1,ISNUMBER(Settings!$F31),Settings!$F31&gt;0,MID('_Engine'!$AP30,WEEKDAY(Settings!$F31,2),1)="W"),Settings!$F31,0),0)</ns0:f>
        <ns0:v>0</ns0:v>
      </ns0:c>
      <ns0:c r="P30" s="0">
        <ns0:f>IFERROR(IF(AND('_Engine'!$X30=1,ISNUMBER(Settings!$F32),Settings!$F32&gt;0,MID('_Engine'!$AP30,WEEKDAY(Settings!$F32,2),1)="W"),Settings!$F32,0),0)</ns0:f>
        <ns0:v>0</ns0:v>
      </ns0:c>
      <ns0:c r="Q30" s="0">
        <ns0:f>IFERROR(IF(AND('_Engine'!$X30=1,ISNUMBER(Settings!$F33),Settings!$F33&gt;0,MID('_Engine'!$AP30,WEEKDAY(Settings!$F33,2),1)="W"),Settings!$F33,0),0)</ns0:f>
        <ns0:v>0</ns0:v>
      </ns0:c>
      <ns0:c r="R30" s="0">
        <ns0:f>IFERROR(IF(AND('_Engine'!$X30=1,ISNUMBER(Settings!$F34),Settings!$F34&gt;0,MID('_Engine'!$AP30,WEEKDAY(Settings!$F34,2),1)="W"),Settings!$F34,0),0)</ns0:f>
        <ns0:v>0</ns0:v>
      </ns0:c>
      <ns0:c r="S30" s="0">
        <ns0:f>IFERROR(IF(AND('_Engine'!$X30=1,ISNUMBER(Settings!$F35),Settings!$F35&gt;0,MID('_Engine'!$AP30,WEEKDAY(Settings!$F35,2),1)="W"),Settings!$F35,0),0)</ns0:f>
        <ns0:v>0</ns0:v>
      </ns0:c>
      <ns0:c r="T30" s="0">
        <ns0:f>IFERROR(IF(AND('_Engine'!$X30=1,ISNUMBER(Settings!$F36),Settings!$F36&gt;0,MID('_Engine'!$AP30,WEEKDAY(Settings!$F36,2),1)="W"),Settings!$F36,0),0)</ns0:f>
        <ns0:v>0</ns0:v>
      </ns0:c>
      <ns0:c r="U30" s="0">
        <ns0:f>IFERROR(IF(AND('_Engine'!$X30=1,ISNUMBER(Settings!$F37),Settings!$F37&gt;0,MID('_Engine'!$AP30,WEEKDAY(Settings!$F37,2),1)="W"),Settings!$F37,0),0)</ns0:f>
        <ns0:v>0</ns0:v>
      </ns0:c>
      <ns0:c r="V30" s="0">
        <ns0:f>IFERROR(IF(AND('_Engine'!$X30=1,ISNUMBER(Settings!$F38),Settings!$F38&gt;0,MID('_Engine'!$AP30,WEEKDAY(Settings!$F38,2),1)="W"),Settings!$F38,0),0)</ns0:f>
        <ns0:v>0</ns0:v>
      </ns0:c>
      <ns0:c r="W30" s="0">
        <ns0:f>IFERROR(IF(AND('_Engine'!$X30=1,ISNUMBER(Settings!$F39),Settings!$F39&gt;0,MID('_Engine'!$AP30,WEEKDAY(Settings!$F39,2),1)="W"),Settings!$F39,0),0)</ns0:f>
        <ns0:v>0</ns0:v>
      </ns0:c>
      <ns0:c r="X30" s="0">
        <ns0:f>IFERROR(IF(AND('_Engine'!$X30=1,ISNUMBER(Settings!$F40),Settings!$F40&gt;0,MID('_Engine'!$AP30,WEEKDAY(Settings!$F40,2),1)="W"),Settings!$F40,0),0)</ns0:f>
        <ns0:v>0</ns0:v>
      </ns0:c>
      <ns0:c r="Y30" s="0">
        <ns0:f>IFERROR(IF(AND('_Engine'!$X30=1,ISNUMBER(Settings!$F41),Settings!$F41&gt;0,MID('_Engine'!$AP30,WEEKDAY(Settings!$F41,2),1)="W"),Settings!$F41,0),0)</ns0:f>
        <ns0:v>0</ns0:v>
      </ns0:c>
      <ns0:c r="Z30" s="0">
        <ns0:f>IFERROR(IF(AND('_Engine'!$X30=1,ISNUMBER(Settings!$F42),Settings!$F42&gt;0,MID('_Engine'!$AP30,WEEKDAY(Settings!$F42,2),1)="W"),Settings!$F42,0),0)</ns0:f>
        <ns0:v>0</ns0:v>
      </ns0:c>
      <ns0:c r="AA30" s="0">
        <ns0:f>IFERROR(IF(AND('_Engine'!$X30=1,ISNUMBER(Settings!$F43),Settings!$F43&gt;0,MID('_Engine'!$AP30,WEEKDAY(Settings!$F43,2),1)="W"),Settings!$F43,0),0)</ns0:f>
        <ns0:v>0</ns0:v>
      </ns0:c>
      <ns0:c r="AB30" s="0">
        <ns0:f>IFERROR(IF(AND('_Engine'!$X30=1,ISNUMBER(Settings!$F44),Settings!$F44&gt;0,MID('_Engine'!$AP30,WEEKDAY(Settings!$F44,2),1)="W"),Settings!$F44,0),0)</ns0:f>
        <ns0:v>0</ns0:v>
      </ns0:c>
      <ns0:c r="AC30" s="0">
        <ns0:f>IFERROR(IF(AND('_Engine'!$X30=1,ISNUMBER(Settings!$F45),Settings!$F45&gt;0,MID('_Engine'!$AP30,WEEKDAY(Settings!$F45,2),1)="W"),Settings!$F45,0),0)</ns0:f>
        <ns0:v>0</ns0:v>
      </ns0:c>
      <ns0:c r="AD30" s="0">
        <ns0:f>IFERROR(IF(AND('_Engine'!$X30=1,ISNUMBER(Settings!$F46),Settings!$F46&gt;0,MID('_Engine'!$AP30,WEEKDAY(Settings!$F46,2),1)="W"),Settings!$F46,0),0)</ns0:f>
        <ns0:v>0</ns0:v>
      </ns0:c>
      <ns0:c r="AE30" s="0">
        <ns0:f>IFERROR(IF(AND('_Engine'!$X30=1,ISNUMBER(Settings!$F47),Settings!$F47&gt;0,MID('_Engine'!$AP30,WEEKDAY(Settings!$F47,2),1)="W"),Settings!$F47,0),0)</ns0:f>
        <ns0:v>0</ns0:v>
      </ns0:c>
      <ns0:c r="AF30" s="0">
        <ns0:f>IFERROR(IF(AND('_Engine'!$X30=1,ISNUMBER(Settings!$F48),Settings!$F48&gt;0,MID('_Engine'!$AP30,WEEKDAY(Settings!$F48,2),1)="W"),Settings!$F48,0),0)</ns0:f>
        <ns0:v>0</ns0:v>
      </ns0:c>
      <ns0:c r="AG30" s="0">
        <ns0:f>IFERROR(IF(AND('_Engine'!$X30=1,ISNUMBER(Settings!$F49),Settings!$F49&gt;0,MID('_Engine'!$AP30,WEEKDAY(Settings!$F49,2),1)="W"),Settings!$F49,0),0)</ns0:f>
        <ns0:v>0</ns0:v>
      </ns0:c>
      <ns0:c r="AH30" s="0">
        <ns0:f>IFERROR(IF(AND('_Engine'!$X30=1,ISNUMBER(Settings!$F50),Settings!$F50&gt;0,MID('_Engine'!$AP30,WEEKDAY(Settings!$F50,2),1)="W"),Settings!$F50,0),0)</ns0:f>
        <ns0:v>0</ns0:v>
      </ns0:c>
      <ns0:c r="AI30" s="0">
        <ns0:f>IFERROR(IF(AND('_Engine'!$X30=1,ISNUMBER(Settings!$F51),Settings!$F51&gt;0,MID('_Engine'!$AP30,WEEKDAY(Settings!$F51,2),1)="W"),Settings!$F51,0),0)</ns0:f>
        <ns0:v>0</ns0:v>
      </ns0:c>
      <ns0:c r="AJ30" s="0">
        <ns0:f>IFERROR(IF(AND('_Engine'!$X30=1,ISNUMBER(Settings!$F52),Settings!$F52&gt;0,MID('_Engine'!$AP30,WEEKDAY(Settings!$F52,2),1)="W"),Settings!$F52,0),0)</ns0:f>
        <ns0:v>0</ns0:v>
      </ns0:c>
      <ns0:c r="AK30" s="0">
        <ns0:f>IFERROR(IF(AND('_Engine'!$X30=1,ISNUMBER(Settings!$F53),Settings!$F53&gt;0,MID('_Engine'!$AP30,WEEKDAY(Settings!$F53,2),1)="W"),Settings!$F53,0),0)</ns0:f>
        <ns0:v>0</ns0:v>
      </ns0:c>
      <ns0:c r="AL30" s="0">
        <ns0:f>IFERROR(IF(AND('_Engine'!$X30=1,ISNUMBER(Settings!$F54),Settings!$F54&gt;0,MID('_Engine'!$AP30,WEEKDAY(Settings!$F54,2),1)="W"),Settings!$F54,0),0)</ns0:f>
        <ns0:v>0</ns0:v>
      </ns0:c>
      <ns0:c r="AM30" s="0">
        <ns0:f>IFERROR(IF(AND('_Engine'!$X30=1,ISNUMBER(Settings!$F55),Settings!$F55&gt;0,MID('_Engine'!$AP30,WEEKDAY(Settings!$F55,2),1)="W"),Settings!$F55,0),0)</ns0:f>
        <ns0:v>0</ns0:v>
      </ns0:c>
      <ns0:c r="AN30" s="0">
        <ns0:f>IFERROR(IF(AND('_Engine'!$X30=1,ISNUMBER(Settings!$F56),Settings!$F56&gt;0,MID('_Engine'!$AP30,WEEKDAY(Settings!$F56,2),1)="W"),Settings!$F56,0),0)</ns0:f>
        <ns0:v>0</ns0:v>
      </ns0:c>
      <ns0:c r="AO30" s="0">
        <ns0:f>IFERROR(IF(AND('_Engine'!$X30=1,ISNUMBER(Settings!$F57),Settings!$F57&gt;0,MID('_Engine'!$AP30,WEEKDAY(Settings!$F57,2),1)="W"),Settings!$F57,0),0)</ns0:f>
        <ns0:v>0</ns0:v>
      </ns0:c>
      <ns0:c r="AP30" s="0">
        <ns0:f>IFERROR(IF(AND('_Engine'!$X30=1,ISNUMBER(Settings!$F58),Settings!$F58&gt;0,MID('_Engine'!$AP30,WEEKDAY(Settings!$F58,2),1)="W"),Settings!$F58,0),0)</ns0:f>
        <ns0:v>0</ns0:v>
      </ns0:c>
      <ns0:c r="AQ30" s="0">
        <ns0:f>IFERROR(IF(AND('_Engine'!$X30=1,ISNUMBER(Settings!$F59),Settings!$F59&gt;0,MID('_Engine'!$AP30,WEEKDAY(Settings!$F59,2),1)="W"),Settings!$F59,0),0)</ns0:f>
        <ns0:v>0</ns0:v>
      </ns0:c>
      <ns0:c r="AR30" s="0">
        <ns0:f>IFERROR(IF(AND('_Engine'!$X30=1,ISNUMBER(Settings!$F60),Settings!$F60&gt;0,MID('_Engine'!$AP30,WEEKDAY(Settings!$F60,2),1)="W"),Settings!$F60,0),0)</ns0:f>
        <ns0:v>0</ns0:v>
      </ns0:c>
      <ns0:c r="AS30" s="0">
        <ns0:f>IFERROR(IF(AND('_Engine'!$X30=1,ISNUMBER(Settings!$F61),Settings!$F61&gt;0,MID('_Engine'!$AP30,WEEKDAY(Settings!$F61,2),1)="W"),Settings!$F61,0),0)</ns0:f>
        <ns0:v>0</ns0:v>
      </ns0:c>
      <ns0:c r="AT30" s="0">
        <ns0:f>IFERROR(IF(AND('_Engine'!$X30=1,ISNUMBER(Settings!$F62),Settings!$F62&gt;0,MID('_Engine'!$AP30,WEEKDAY(Settings!$F62,2),1)="W"),Settings!$F62,0),0)</ns0:f>
        <ns0:v>0</ns0:v>
      </ns0:c>
      <ns0:c r="AU30" s="0">
        <ns0:f>IFERROR(IF(AND('_Engine'!$X30=1,ISNUMBER(Settings!$F63),Settings!$F63&gt;0,MID('_Engine'!$AP30,WEEKDAY(Settings!$F63,2),1)="W"),Settings!$F63,0),0)</ns0:f>
        <ns0:v>0</ns0:v>
      </ns0:c>
      <ns0:c r="AV30" s="0">
        <ns0:f>IFERROR(IF(AND('_Engine'!$X30=1,ISNUMBER(Settings!$F64),Settings!$F64&gt;0,MID('_Engine'!$AP30,WEEKDAY(Settings!$F64,2),1)="W"),Settings!$F64,0),0)</ns0:f>
        <ns0:v>0</ns0:v>
      </ns0:c>
      <ns0:c r="AW30" s="0">
        <ns0:f>IFERROR(IF(AND('_Engine'!$X30=1,ISNUMBER(Settings!$F65),Settings!$F65&gt;0,MID('_Engine'!$AP30,WEEKDAY(Settings!$F65,2),1)="W"),Settings!$F65,0),0)</ns0:f>
        <ns0:v>0</ns0:v>
      </ns0:c>
      <ns0:c r="AX30" s="0">
        <ns0:f>IFERROR(IF(AND('_Engine'!$X30=1,ISNUMBER(Settings!$F66),Settings!$F66&gt;0,MID('_Engine'!$AP30,WEEKDAY(Settings!$F66,2),1)="W"),Settings!$F66,0),0)</ns0:f>
        <ns0:v>0</ns0:v>
      </ns0:c>
      <ns0:c r="AY30" s="0">
        <ns0:f>IFERROR(IF(AND('_Engine'!$X30=1,ISNUMBER(Settings!$F67),Settings!$F67&gt;0,MID('_Engine'!$AP30,WEEKDAY(Settings!$F67,2),1)="W"),Settings!$F67,0),0)</ns0:f>
        <ns0:v>0</ns0:v>
      </ns0:c>
    </ns0:row>
    <ns0:row r="31">
      <ns0:c r="B31" s="0">
        <ns0:f>IFERROR(IF(AND('_Engine'!$X31=1,ISNUMBER(Settings!$F18),Settings!$F18&gt;0,MID('_Engine'!$AP31,WEEKDAY(Settings!$F18,2),1)="W"),Settings!$F18,0),0)</ns0:f>
        <ns0:v>0</ns0:v>
      </ns0:c>
      <ns0:c r="C31" s="0">
        <ns0:f>IFERROR(IF(AND('_Engine'!$X31=1,ISNUMBER(Settings!$F19),Settings!$F19&gt;0,MID('_Engine'!$AP31,WEEKDAY(Settings!$F19,2),1)="W"),Settings!$F19,0),0)</ns0:f>
        <ns0:v>0</ns0:v>
      </ns0:c>
      <ns0:c r="D31" s="0">
        <ns0:f>IFERROR(IF(AND('_Engine'!$X31=1,ISNUMBER(Settings!$F20),Settings!$F20&gt;0,MID('_Engine'!$AP31,WEEKDAY(Settings!$F20,2),1)="W"),Settings!$F20,0),0)</ns0:f>
        <ns0:v>0</ns0:v>
      </ns0:c>
      <ns0:c r="E31" s="0">
        <ns0:f>IFERROR(IF(AND('_Engine'!$X31=1,ISNUMBER(Settings!$F21),Settings!$F21&gt;0,MID('_Engine'!$AP31,WEEKDAY(Settings!$F21,2),1)="W"),Settings!$F21,0),0)</ns0:f>
        <ns0:v>0</ns0:v>
      </ns0:c>
      <ns0:c r="F31" s="0">
        <ns0:f>IFERROR(IF(AND('_Engine'!$X31=1,ISNUMBER(Settings!$F22),Settings!$F22&gt;0,MID('_Engine'!$AP31,WEEKDAY(Settings!$F22,2),1)="W"),Settings!$F22,0),0)</ns0:f>
        <ns0:v>0</ns0:v>
      </ns0:c>
      <ns0:c r="G31" s="0">
        <ns0:f>IFERROR(IF(AND('_Engine'!$X31=1,ISNUMBER(Settings!$F23),Settings!$F23&gt;0,MID('_Engine'!$AP31,WEEKDAY(Settings!$F23,2),1)="W"),Settings!$F23,0),0)</ns0:f>
        <ns0:v>0</ns0:v>
      </ns0:c>
      <ns0:c r="H31" s="0">
        <ns0:f>IFERROR(IF(AND('_Engine'!$X31=1,ISNUMBER(Settings!$F24),Settings!$F24&gt;0,MID('_Engine'!$AP31,WEEKDAY(Settings!$F24,2),1)="W"),Settings!$F24,0),0)</ns0:f>
        <ns0:v>0</ns0:v>
      </ns0:c>
      <ns0:c r="I31" s="0">
        <ns0:f>IFERROR(IF(AND('_Engine'!$X31=1,ISNUMBER(Settings!$F25),Settings!$F25&gt;0,MID('_Engine'!$AP31,WEEKDAY(Settings!$F25,2),1)="W"),Settings!$F25,0),0)</ns0:f>
        <ns0:v>0</ns0:v>
      </ns0:c>
      <ns0:c r="J31" s="0">
        <ns0:f>IFERROR(IF(AND('_Engine'!$X31=1,ISNUMBER(Settings!$F26),Settings!$F26&gt;0,MID('_Engine'!$AP31,WEEKDAY(Settings!$F26,2),1)="W"),Settings!$F26,0),0)</ns0:f>
        <ns0:v>0</ns0:v>
      </ns0:c>
      <ns0:c r="K31" s="0">
        <ns0:f>IFERROR(IF(AND('_Engine'!$X31=1,ISNUMBER(Settings!$F27),Settings!$F27&gt;0,MID('_Engine'!$AP31,WEEKDAY(Settings!$F27,2),1)="W"),Settings!$F27,0),0)</ns0:f>
        <ns0:v>0</ns0:v>
      </ns0:c>
      <ns0:c r="L31" s="0">
        <ns0:f>IFERROR(IF(AND('_Engine'!$X31=1,ISNUMBER(Settings!$F28),Settings!$F28&gt;0,MID('_Engine'!$AP31,WEEKDAY(Settings!$F28,2),1)="W"),Settings!$F28,0),0)</ns0:f>
        <ns0:v>0</ns0:v>
      </ns0:c>
      <ns0:c r="M31" s="0">
        <ns0:f>IFERROR(IF(AND('_Engine'!$X31=1,ISNUMBER(Settings!$F29),Settings!$F29&gt;0,MID('_Engine'!$AP31,WEEKDAY(Settings!$F29,2),1)="W"),Settings!$F29,0),0)</ns0:f>
        <ns0:v>0</ns0:v>
      </ns0:c>
      <ns0:c r="N31" s="0">
        <ns0:f>IFERROR(IF(AND('_Engine'!$X31=1,ISNUMBER(Settings!$F30),Settings!$F30&gt;0,MID('_Engine'!$AP31,WEEKDAY(Settings!$F30,2),1)="W"),Settings!$F30,0),0)</ns0:f>
        <ns0:v>0</ns0:v>
      </ns0:c>
      <ns0:c r="O31" s="0">
        <ns0:f>IFERROR(IF(AND('_Engine'!$X31=1,ISNUMBER(Settings!$F31),Settings!$F31&gt;0,MID('_Engine'!$AP31,WEEKDAY(Settings!$F31,2),1)="W"),Settings!$F31,0),0)</ns0:f>
        <ns0:v>0</ns0:v>
      </ns0:c>
      <ns0:c r="P31" s="0">
        <ns0:f>IFERROR(IF(AND('_Engine'!$X31=1,ISNUMBER(Settings!$F32),Settings!$F32&gt;0,MID('_Engine'!$AP31,WEEKDAY(Settings!$F32,2),1)="W"),Settings!$F32,0),0)</ns0:f>
        <ns0:v>0</ns0:v>
      </ns0:c>
      <ns0:c r="Q31" s="0">
        <ns0:f>IFERROR(IF(AND('_Engine'!$X31=1,ISNUMBER(Settings!$F33),Settings!$F33&gt;0,MID('_Engine'!$AP31,WEEKDAY(Settings!$F33,2),1)="W"),Settings!$F33,0),0)</ns0:f>
        <ns0:v>0</ns0:v>
      </ns0:c>
      <ns0:c r="R31" s="0">
        <ns0:f>IFERROR(IF(AND('_Engine'!$X31=1,ISNUMBER(Settings!$F34),Settings!$F34&gt;0,MID('_Engine'!$AP31,WEEKDAY(Settings!$F34,2),1)="W"),Settings!$F34,0),0)</ns0:f>
        <ns0:v>0</ns0:v>
      </ns0:c>
      <ns0:c r="S31" s="0">
        <ns0:f>IFERROR(IF(AND('_Engine'!$X31=1,ISNUMBER(Settings!$F35),Settings!$F35&gt;0,MID('_Engine'!$AP31,WEEKDAY(Settings!$F35,2),1)="W"),Settings!$F35,0),0)</ns0:f>
        <ns0:v>0</ns0:v>
      </ns0:c>
      <ns0:c r="T31" s="0">
        <ns0:f>IFERROR(IF(AND('_Engine'!$X31=1,ISNUMBER(Settings!$F36),Settings!$F36&gt;0,MID('_Engine'!$AP31,WEEKDAY(Settings!$F36,2),1)="W"),Settings!$F36,0),0)</ns0:f>
        <ns0:v>0</ns0:v>
      </ns0:c>
      <ns0:c r="U31" s="0">
        <ns0:f>IFERROR(IF(AND('_Engine'!$X31=1,ISNUMBER(Settings!$F37),Settings!$F37&gt;0,MID('_Engine'!$AP31,WEEKDAY(Settings!$F37,2),1)="W"),Settings!$F37,0),0)</ns0:f>
        <ns0:v>0</ns0:v>
      </ns0:c>
      <ns0:c r="V31" s="0">
        <ns0:f>IFERROR(IF(AND('_Engine'!$X31=1,ISNUMBER(Settings!$F38),Settings!$F38&gt;0,MID('_Engine'!$AP31,WEEKDAY(Settings!$F38,2),1)="W"),Settings!$F38,0),0)</ns0:f>
        <ns0:v>0</ns0:v>
      </ns0:c>
      <ns0:c r="W31" s="0">
        <ns0:f>IFERROR(IF(AND('_Engine'!$X31=1,ISNUMBER(Settings!$F39),Settings!$F39&gt;0,MID('_Engine'!$AP31,WEEKDAY(Settings!$F39,2),1)="W"),Settings!$F39,0),0)</ns0:f>
        <ns0:v>0</ns0:v>
      </ns0:c>
      <ns0:c r="X31" s="0">
        <ns0:f>IFERROR(IF(AND('_Engine'!$X31=1,ISNUMBER(Settings!$F40),Settings!$F40&gt;0,MID('_Engine'!$AP31,WEEKDAY(Settings!$F40,2),1)="W"),Settings!$F40,0),0)</ns0:f>
        <ns0:v>0</ns0:v>
      </ns0:c>
      <ns0:c r="Y31" s="0">
        <ns0:f>IFERROR(IF(AND('_Engine'!$X31=1,ISNUMBER(Settings!$F41),Settings!$F41&gt;0,MID('_Engine'!$AP31,WEEKDAY(Settings!$F41,2),1)="W"),Settings!$F41,0),0)</ns0:f>
        <ns0:v>0</ns0:v>
      </ns0:c>
      <ns0:c r="Z31" s="0">
        <ns0:f>IFERROR(IF(AND('_Engine'!$X31=1,ISNUMBER(Settings!$F42),Settings!$F42&gt;0,MID('_Engine'!$AP31,WEEKDAY(Settings!$F42,2),1)="W"),Settings!$F42,0),0)</ns0:f>
        <ns0:v>0</ns0:v>
      </ns0:c>
      <ns0:c r="AA31" s="0">
        <ns0:f>IFERROR(IF(AND('_Engine'!$X31=1,ISNUMBER(Settings!$F43),Settings!$F43&gt;0,MID('_Engine'!$AP31,WEEKDAY(Settings!$F43,2),1)="W"),Settings!$F43,0),0)</ns0:f>
        <ns0:v>0</ns0:v>
      </ns0:c>
      <ns0:c r="AB31" s="0">
        <ns0:f>IFERROR(IF(AND('_Engine'!$X31=1,ISNUMBER(Settings!$F44),Settings!$F44&gt;0,MID('_Engine'!$AP31,WEEKDAY(Settings!$F44,2),1)="W"),Settings!$F44,0),0)</ns0:f>
        <ns0:v>0</ns0:v>
      </ns0:c>
      <ns0:c r="AC31" s="0">
        <ns0:f>IFERROR(IF(AND('_Engine'!$X31=1,ISNUMBER(Settings!$F45),Settings!$F45&gt;0,MID('_Engine'!$AP31,WEEKDAY(Settings!$F45,2),1)="W"),Settings!$F45,0),0)</ns0:f>
        <ns0:v>0</ns0:v>
      </ns0:c>
      <ns0:c r="AD31" s="0">
        <ns0:f>IFERROR(IF(AND('_Engine'!$X31=1,ISNUMBER(Settings!$F46),Settings!$F46&gt;0,MID('_Engine'!$AP31,WEEKDAY(Settings!$F46,2),1)="W"),Settings!$F46,0),0)</ns0:f>
        <ns0:v>0</ns0:v>
      </ns0:c>
      <ns0:c r="AE31" s="0">
        <ns0:f>IFERROR(IF(AND('_Engine'!$X31=1,ISNUMBER(Settings!$F47),Settings!$F47&gt;0,MID('_Engine'!$AP31,WEEKDAY(Settings!$F47,2),1)="W"),Settings!$F47,0),0)</ns0:f>
        <ns0:v>0</ns0:v>
      </ns0:c>
      <ns0:c r="AF31" s="0">
        <ns0:f>IFERROR(IF(AND('_Engine'!$X31=1,ISNUMBER(Settings!$F48),Settings!$F48&gt;0,MID('_Engine'!$AP31,WEEKDAY(Settings!$F48,2),1)="W"),Settings!$F48,0),0)</ns0:f>
        <ns0:v>0</ns0:v>
      </ns0:c>
      <ns0:c r="AG31" s="0">
        <ns0:f>IFERROR(IF(AND('_Engine'!$X31=1,ISNUMBER(Settings!$F49),Settings!$F49&gt;0,MID('_Engine'!$AP31,WEEKDAY(Settings!$F49,2),1)="W"),Settings!$F49,0),0)</ns0:f>
        <ns0:v>0</ns0:v>
      </ns0:c>
      <ns0:c r="AH31" s="0">
        <ns0:f>IFERROR(IF(AND('_Engine'!$X31=1,ISNUMBER(Settings!$F50),Settings!$F50&gt;0,MID('_Engine'!$AP31,WEEKDAY(Settings!$F50,2),1)="W"),Settings!$F50,0),0)</ns0:f>
        <ns0:v>0</ns0:v>
      </ns0:c>
      <ns0:c r="AI31" s="0">
        <ns0:f>IFERROR(IF(AND('_Engine'!$X31=1,ISNUMBER(Settings!$F51),Settings!$F51&gt;0,MID('_Engine'!$AP31,WEEKDAY(Settings!$F51,2),1)="W"),Settings!$F51,0),0)</ns0:f>
        <ns0:v>0</ns0:v>
      </ns0:c>
      <ns0:c r="AJ31" s="0">
        <ns0:f>IFERROR(IF(AND('_Engine'!$X31=1,ISNUMBER(Settings!$F52),Settings!$F52&gt;0,MID('_Engine'!$AP31,WEEKDAY(Settings!$F52,2),1)="W"),Settings!$F52,0),0)</ns0:f>
        <ns0:v>0</ns0:v>
      </ns0:c>
      <ns0:c r="AK31" s="0">
        <ns0:f>IFERROR(IF(AND('_Engine'!$X31=1,ISNUMBER(Settings!$F53),Settings!$F53&gt;0,MID('_Engine'!$AP31,WEEKDAY(Settings!$F53,2),1)="W"),Settings!$F53,0),0)</ns0:f>
        <ns0:v>0</ns0:v>
      </ns0:c>
      <ns0:c r="AL31" s="0">
        <ns0:f>IFERROR(IF(AND('_Engine'!$X31=1,ISNUMBER(Settings!$F54),Settings!$F54&gt;0,MID('_Engine'!$AP31,WEEKDAY(Settings!$F54,2),1)="W"),Settings!$F54,0),0)</ns0:f>
        <ns0:v>0</ns0:v>
      </ns0:c>
      <ns0:c r="AM31" s="0">
        <ns0:f>IFERROR(IF(AND('_Engine'!$X31=1,ISNUMBER(Settings!$F55),Settings!$F55&gt;0,MID('_Engine'!$AP31,WEEKDAY(Settings!$F55,2),1)="W"),Settings!$F55,0),0)</ns0:f>
        <ns0:v>0</ns0:v>
      </ns0:c>
      <ns0:c r="AN31" s="0">
        <ns0:f>IFERROR(IF(AND('_Engine'!$X31=1,ISNUMBER(Settings!$F56),Settings!$F56&gt;0,MID('_Engine'!$AP31,WEEKDAY(Settings!$F56,2),1)="W"),Settings!$F56,0),0)</ns0:f>
        <ns0:v>0</ns0:v>
      </ns0:c>
      <ns0:c r="AO31" s="0">
        <ns0:f>IFERROR(IF(AND('_Engine'!$X31=1,ISNUMBER(Settings!$F57),Settings!$F57&gt;0,MID('_Engine'!$AP31,WEEKDAY(Settings!$F57,2),1)="W"),Settings!$F57,0),0)</ns0:f>
        <ns0:v>0</ns0:v>
      </ns0:c>
      <ns0:c r="AP31" s="0">
        <ns0:f>IFERROR(IF(AND('_Engine'!$X31=1,ISNUMBER(Settings!$F58),Settings!$F58&gt;0,MID('_Engine'!$AP31,WEEKDAY(Settings!$F58,2),1)="W"),Settings!$F58,0),0)</ns0:f>
        <ns0:v>0</ns0:v>
      </ns0:c>
      <ns0:c r="AQ31" s="0">
        <ns0:f>IFERROR(IF(AND('_Engine'!$X31=1,ISNUMBER(Settings!$F59),Settings!$F59&gt;0,MID('_Engine'!$AP31,WEEKDAY(Settings!$F59,2),1)="W"),Settings!$F59,0),0)</ns0:f>
        <ns0:v>0</ns0:v>
      </ns0:c>
      <ns0:c r="AR31" s="0">
        <ns0:f>IFERROR(IF(AND('_Engine'!$X31=1,ISNUMBER(Settings!$F60),Settings!$F60&gt;0,MID('_Engine'!$AP31,WEEKDAY(Settings!$F60,2),1)="W"),Settings!$F60,0),0)</ns0:f>
        <ns0:v>0</ns0:v>
      </ns0:c>
      <ns0:c r="AS31" s="0">
        <ns0:f>IFERROR(IF(AND('_Engine'!$X31=1,ISNUMBER(Settings!$F61),Settings!$F61&gt;0,MID('_Engine'!$AP31,WEEKDAY(Settings!$F61,2),1)="W"),Settings!$F61,0),0)</ns0:f>
        <ns0:v>0</ns0:v>
      </ns0:c>
      <ns0:c r="AT31" s="0">
        <ns0:f>IFERROR(IF(AND('_Engine'!$X31=1,ISNUMBER(Settings!$F62),Settings!$F62&gt;0,MID('_Engine'!$AP31,WEEKDAY(Settings!$F62,2),1)="W"),Settings!$F62,0),0)</ns0:f>
        <ns0:v>0</ns0:v>
      </ns0:c>
      <ns0:c r="AU31" s="0">
        <ns0:f>IFERROR(IF(AND('_Engine'!$X31=1,ISNUMBER(Settings!$F63),Settings!$F63&gt;0,MID('_Engine'!$AP31,WEEKDAY(Settings!$F63,2),1)="W"),Settings!$F63,0),0)</ns0:f>
        <ns0:v>0</ns0:v>
      </ns0:c>
      <ns0:c r="AV31" s="0">
        <ns0:f>IFERROR(IF(AND('_Engine'!$X31=1,ISNUMBER(Settings!$F64),Settings!$F64&gt;0,MID('_Engine'!$AP31,WEEKDAY(Settings!$F64,2),1)="W"),Settings!$F64,0),0)</ns0:f>
        <ns0:v>0</ns0:v>
      </ns0:c>
      <ns0:c r="AW31" s="0">
        <ns0:f>IFERROR(IF(AND('_Engine'!$X31=1,ISNUMBER(Settings!$F65),Settings!$F65&gt;0,MID('_Engine'!$AP31,WEEKDAY(Settings!$F65,2),1)="W"),Settings!$F65,0),0)</ns0:f>
        <ns0:v>0</ns0:v>
      </ns0:c>
      <ns0:c r="AX31" s="0">
        <ns0:f>IFERROR(IF(AND('_Engine'!$X31=1,ISNUMBER(Settings!$F66),Settings!$F66&gt;0,MID('_Engine'!$AP31,WEEKDAY(Settings!$F66,2),1)="W"),Settings!$F66,0),0)</ns0:f>
        <ns0:v>0</ns0:v>
      </ns0:c>
      <ns0:c r="AY31" s="0">
        <ns0:f>IFERROR(IF(AND('_Engine'!$X31=1,ISNUMBER(Settings!$F67),Settings!$F67&gt;0,MID('_Engine'!$AP31,WEEKDAY(Settings!$F67,2),1)="W"),Settings!$F67,0),0)</ns0:f>
        <ns0:v>0</ns0:v>
      </ns0:c>
    </ns0:row>
    <ns0:row r="32">
      <ns0:c r="B32" s="0">
        <ns0:f>IFERROR(IF(AND('_Engine'!$X32=1,ISNUMBER(Settings!$F18),Settings!$F18&gt;0,MID('_Engine'!$AP32,WEEKDAY(Settings!$F18,2),1)="W"),Settings!$F18,0),0)</ns0:f>
        <ns0:v>0</ns0:v>
      </ns0:c>
      <ns0:c r="C32" s="0">
        <ns0:f>IFERROR(IF(AND('_Engine'!$X32=1,ISNUMBER(Settings!$F19),Settings!$F19&gt;0,MID('_Engine'!$AP32,WEEKDAY(Settings!$F19,2),1)="W"),Settings!$F19,0),0)</ns0:f>
        <ns0:v>0</ns0:v>
      </ns0:c>
      <ns0:c r="D32" s="0">
        <ns0:f>IFERROR(IF(AND('_Engine'!$X32=1,ISNUMBER(Settings!$F20),Settings!$F20&gt;0,MID('_Engine'!$AP32,WEEKDAY(Settings!$F20,2),1)="W"),Settings!$F20,0),0)</ns0:f>
        <ns0:v>0</ns0:v>
      </ns0:c>
      <ns0:c r="E32" s="0">
        <ns0:f>IFERROR(IF(AND('_Engine'!$X32=1,ISNUMBER(Settings!$F21),Settings!$F21&gt;0,MID('_Engine'!$AP32,WEEKDAY(Settings!$F21,2),1)="W"),Settings!$F21,0),0)</ns0:f>
        <ns0:v>0</ns0:v>
      </ns0:c>
      <ns0:c r="F32" s="0">
        <ns0:f>IFERROR(IF(AND('_Engine'!$X32=1,ISNUMBER(Settings!$F22),Settings!$F22&gt;0,MID('_Engine'!$AP32,WEEKDAY(Settings!$F22,2),1)="W"),Settings!$F22,0),0)</ns0:f>
        <ns0:v>0</ns0:v>
      </ns0:c>
      <ns0:c r="G32" s="0">
        <ns0:f>IFERROR(IF(AND('_Engine'!$X32=1,ISNUMBER(Settings!$F23),Settings!$F23&gt;0,MID('_Engine'!$AP32,WEEKDAY(Settings!$F23,2),1)="W"),Settings!$F23,0),0)</ns0:f>
        <ns0:v>0</ns0:v>
      </ns0:c>
      <ns0:c r="H32" s="0">
        <ns0:f>IFERROR(IF(AND('_Engine'!$X32=1,ISNUMBER(Settings!$F24),Settings!$F24&gt;0,MID('_Engine'!$AP32,WEEKDAY(Settings!$F24,2),1)="W"),Settings!$F24,0),0)</ns0:f>
        <ns0:v>0</ns0:v>
      </ns0:c>
      <ns0:c r="I32" s="0">
        <ns0:f>IFERROR(IF(AND('_Engine'!$X32=1,ISNUMBER(Settings!$F25),Settings!$F25&gt;0,MID('_Engine'!$AP32,WEEKDAY(Settings!$F25,2),1)="W"),Settings!$F25,0),0)</ns0:f>
        <ns0:v>0</ns0:v>
      </ns0:c>
      <ns0:c r="J32" s="0">
        <ns0:f>IFERROR(IF(AND('_Engine'!$X32=1,ISNUMBER(Settings!$F26),Settings!$F26&gt;0,MID('_Engine'!$AP32,WEEKDAY(Settings!$F26,2),1)="W"),Settings!$F26,0),0)</ns0:f>
        <ns0:v>0</ns0:v>
      </ns0:c>
      <ns0:c r="K32" s="0">
        <ns0:f>IFERROR(IF(AND('_Engine'!$X32=1,ISNUMBER(Settings!$F27),Settings!$F27&gt;0,MID('_Engine'!$AP32,WEEKDAY(Settings!$F27,2),1)="W"),Settings!$F27,0),0)</ns0:f>
        <ns0:v>0</ns0:v>
      </ns0:c>
      <ns0:c r="L32" s="0">
        <ns0:f>IFERROR(IF(AND('_Engine'!$X32=1,ISNUMBER(Settings!$F28),Settings!$F28&gt;0,MID('_Engine'!$AP32,WEEKDAY(Settings!$F28,2),1)="W"),Settings!$F28,0),0)</ns0:f>
        <ns0:v>0</ns0:v>
      </ns0:c>
      <ns0:c r="M32" s="0">
        <ns0:f>IFERROR(IF(AND('_Engine'!$X32=1,ISNUMBER(Settings!$F29),Settings!$F29&gt;0,MID('_Engine'!$AP32,WEEKDAY(Settings!$F29,2),1)="W"),Settings!$F29,0),0)</ns0:f>
        <ns0:v>0</ns0:v>
      </ns0:c>
      <ns0:c r="N32" s="0">
        <ns0:f>IFERROR(IF(AND('_Engine'!$X32=1,ISNUMBER(Settings!$F30),Settings!$F30&gt;0,MID('_Engine'!$AP32,WEEKDAY(Settings!$F30,2),1)="W"),Settings!$F30,0),0)</ns0:f>
        <ns0:v>0</ns0:v>
      </ns0:c>
      <ns0:c r="O32" s="0">
        <ns0:f>IFERROR(IF(AND('_Engine'!$X32=1,ISNUMBER(Settings!$F31),Settings!$F31&gt;0,MID('_Engine'!$AP32,WEEKDAY(Settings!$F31,2),1)="W"),Settings!$F31,0),0)</ns0:f>
        <ns0:v>0</ns0:v>
      </ns0:c>
      <ns0:c r="P32" s="0">
        <ns0:f>IFERROR(IF(AND('_Engine'!$X32=1,ISNUMBER(Settings!$F32),Settings!$F32&gt;0,MID('_Engine'!$AP32,WEEKDAY(Settings!$F32,2),1)="W"),Settings!$F32,0),0)</ns0:f>
        <ns0:v>0</ns0:v>
      </ns0:c>
      <ns0:c r="Q32" s="0">
        <ns0:f>IFERROR(IF(AND('_Engine'!$X32=1,ISNUMBER(Settings!$F33),Settings!$F33&gt;0,MID('_Engine'!$AP32,WEEKDAY(Settings!$F33,2),1)="W"),Settings!$F33,0),0)</ns0:f>
        <ns0:v>0</ns0:v>
      </ns0:c>
      <ns0:c r="R32" s="0">
        <ns0:f>IFERROR(IF(AND('_Engine'!$X32=1,ISNUMBER(Settings!$F34),Settings!$F34&gt;0,MID('_Engine'!$AP32,WEEKDAY(Settings!$F34,2),1)="W"),Settings!$F34,0),0)</ns0:f>
        <ns0:v>0</ns0:v>
      </ns0:c>
      <ns0:c r="S32" s="0">
        <ns0:f>IFERROR(IF(AND('_Engine'!$X32=1,ISNUMBER(Settings!$F35),Settings!$F35&gt;0,MID('_Engine'!$AP32,WEEKDAY(Settings!$F35,2),1)="W"),Settings!$F35,0),0)</ns0:f>
        <ns0:v>0</ns0:v>
      </ns0:c>
      <ns0:c r="T32" s="0">
        <ns0:f>IFERROR(IF(AND('_Engine'!$X32=1,ISNUMBER(Settings!$F36),Settings!$F36&gt;0,MID('_Engine'!$AP32,WEEKDAY(Settings!$F36,2),1)="W"),Settings!$F36,0),0)</ns0:f>
        <ns0:v>0</ns0:v>
      </ns0:c>
      <ns0:c r="U32" s="0">
        <ns0:f>IFERROR(IF(AND('_Engine'!$X32=1,ISNUMBER(Settings!$F37),Settings!$F37&gt;0,MID('_Engine'!$AP32,WEEKDAY(Settings!$F37,2),1)="W"),Settings!$F37,0),0)</ns0:f>
        <ns0:v>0</ns0:v>
      </ns0:c>
      <ns0:c r="V32" s="0">
        <ns0:f>IFERROR(IF(AND('_Engine'!$X32=1,ISNUMBER(Settings!$F38),Settings!$F38&gt;0,MID('_Engine'!$AP32,WEEKDAY(Settings!$F38,2),1)="W"),Settings!$F38,0),0)</ns0:f>
        <ns0:v>0</ns0:v>
      </ns0:c>
      <ns0:c r="W32" s="0">
        <ns0:f>IFERROR(IF(AND('_Engine'!$X32=1,ISNUMBER(Settings!$F39),Settings!$F39&gt;0,MID('_Engine'!$AP32,WEEKDAY(Settings!$F39,2),1)="W"),Settings!$F39,0),0)</ns0:f>
        <ns0:v>0</ns0:v>
      </ns0:c>
      <ns0:c r="X32" s="0">
        <ns0:f>IFERROR(IF(AND('_Engine'!$X32=1,ISNUMBER(Settings!$F40),Settings!$F40&gt;0,MID('_Engine'!$AP32,WEEKDAY(Settings!$F40,2),1)="W"),Settings!$F40,0),0)</ns0:f>
        <ns0:v>0</ns0:v>
      </ns0:c>
      <ns0:c r="Y32" s="0">
        <ns0:f>IFERROR(IF(AND('_Engine'!$X32=1,ISNUMBER(Settings!$F41),Settings!$F41&gt;0,MID('_Engine'!$AP32,WEEKDAY(Settings!$F41,2),1)="W"),Settings!$F41,0),0)</ns0:f>
        <ns0:v>0</ns0:v>
      </ns0:c>
      <ns0:c r="Z32" s="0">
        <ns0:f>IFERROR(IF(AND('_Engine'!$X32=1,ISNUMBER(Settings!$F42),Settings!$F42&gt;0,MID('_Engine'!$AP32,WEEKDAY(Settings!$F42,2),1)="W"),Settings!$F42,0),0)</ns0:f>
        <ns0:v>0</ns0:v>
      </ns0:c>
      <ns0:c r="AA32" s="0">
        <ns0:f>IFERROR(IF(AND('_Engine'!$X32=1,ISNUMBER(Settings!$F43),Settings!$F43&gt;0,MID('_Engine'!$AP32,WEEKDAY(Settings!$F43,2),1)="W"),Settings!$F43,0),0)</ns0:f>
        <ns0:v>0</ns0:v>
      </ns0:c>
      <ns0:c r="AB32" s="0">
        <ns0:f>IFERROR(IF(AND('_Engine'!$X32=1,ISNUMBER(Settings!$F44),Settings!$F44&gt;0,MID('_Engine'!$AP32,WEEKDAY(Settings!$F44,2),1)="W"),Settings!$F44,0),0)</ns0:f>
        <ns0:v>0</ns0:v>
      </ns0:c>
      <ns0:c r="AC32" s="0">
        <ns0:f>IFERROR(IF(AND('_Engine'!$X32=1,ISNUMBER(Settings!$F45),Settings!$F45&gt;0,MID('_Engine'!$AP32,WEEKDAY(Settings!$F45,2),1)="W"),Settings!$F45,0),0)</ns0:f>
        <ns0:v>0</ns0:v>
      </ns0:c>
      <ns0:c r="AD32" s="0">
        <ns0:f>IFERROR(IF(AND('_Engine'!$X32=1,ISNUMBER(Settings!$F46),Settings!$F46&gt;0,MID('_Engine'!$AP32,WEEKDAY(Settings!$F46,2),1)="W"),Settings!$F46,0),0)</ns0:f>
        <ns0:v>0</ns0:v>
      </ns0:c>
      <ns0:c r="AE32" s="0">
        <ns0:f>IFERROR(IF(AND('_Engine'!$X32=1,ISNUMBER(Settings!$F47),Settings!$F47&gt;0,MID('_Engine'!$AP32,WEEKDAY(Settings!$F47,2),1)="W"),Settings!$F47,0),0)</ns0:f>
        <ns0:v>0</ns0:v>
      </ns0:c>
      <ns0:c r="AF32" s="0">
        <ns0:f>IFERROR(IF(AND('_Engine'!$X32=1,ISNUMBER(Settings!$F48),Settings!$F48&gt;0,MID('_Engine'!$AP32,WEEKDAY(Settings!$F48,2),1)="W"),Settings!$F48,0),0)</ns0:f>
        <ns0:v>0</ns0:v>
      </ns0:c>
      <ns0:c r="AG32" s="0">
        <ns0:f>IFERROR(IF(AND('_Engine'!$X32=1,ISNUMBER(Settings!$F49),Settings!$F49&gt;0,MID('_Engine'!$AP32,WEEKDAY(Settings!$F49,2),1)="W"),Settings!$F49,0),0)</ns0:f>
        <ns0:v>0</ns0:v>
      </ns0:c>
      <ns0:c r="AH32" s="0">
        <ns0:f>IFERROR(IF(AND('_Engine'!$X32=1,ISNUMBER(Settings!$F50),Settings!$F50&gt;0,MID('_Engine'!$AP32,WEEKDAY(Settings!$F50,2),1)="W"),Settings!$F50,0),0)</ns0:f>
        <ns0:v>0</ns0:v>
      </ns0:c>
      <ns0:c r="AI32" s="0">
        <ns0:f>IFERROR(IF(AND('_Engine'!$X32=1,ISNUMBER(Settings!$F51),Settings!$F51&gt;0,MID('_Engine'!$AP32,WEEKDAY(Settings!$F51,2),1)="W"),Settings!$F51,0),0)</ns0:f>
        <ns0:v>0</ns0:v>
      </ns0:c>
      <ns0:c r="AJ32" s="0">
        <ns0:f>IFERROR(IF(AND('_Engine'!$X32=1,ISNUMBER(Settings!$F52),Settings!$F52&gt;0,MID('_Engine'!$AP32,WEEKDAY(Settings!$F52,2),1)="W"),Settings!$F52,0),0)</ns0:f>
        <ns0:v>0</ns0:v>
      </ns0:c>
      <ns0:c r="AK32" s="0">
        <ns0:f>IFERROR(IF(AND('_Engine'!$X32=1,ISNUMBER(Settings!$F53),Settings!$F53&gt;0,MID('_Engine'!$AP32,WEEKDAY(Settings!$F53,2),1)="W"),Settings!$F53,0),0)</ns0:f>
        <ns0:v>0</ns0:v>
      </ns0:c>
      <ns0:c r="AL32" s="0">
        <ns0:f>IFERROR(IF(AND('_Engine'!$X32=1,ISNUMBER(Settings!$F54),Settings!$F54&gt;0,MID('_Engine'!$AP32,WEEKDAY(Settings!$F54,2),1)="W"),Settings!$F54,0),0)</ns0:f>
        <ns0:v>0</ns0:v>
      </ns0:c>
      <ns0:c r="AM32" s="0">
        <ns0:f>IFERROR(IF(AND('_Engine'!$X32=1,ISNUMBER(Settings!$F55),Settings!$F55&gt;0,MID('_Engine'!$AP32,WEEKDAY(Settings!$F55,2),1)="W"),Settings!$F55,0),0)</ns0:f>
        <ns0:v>0</ns0:v>
      </ns0:c>
      <ns0:c r="AN32" s="0">
        <ns0:f>IFERROR(IF(AND('_Engine'!$X32=1,ISNUMBER(Settings!$F56),Settings!$F56&gt;0,MID('_Engine'!$AP32,WEEKDAY(Settings!$F56,2),1)="W"),Settings!$F56,0),0)</ns0:f>
        <ns0:v>0</ns0:v>
      </ns0:c>
      <ns0:c r="AO32" s="0">
        <ns0:f>IFERROR(IF(AND('_Engine'!$X32=1,ISNUMBER(Settings!$F57),Settings!$F57&gt;0,MID('_Engine'!$AP32,WEEKDAY(Settings!$F57,2),1)="W"),Settings!$F57,0),0)</ns0:f>
        <ns0:v>0</ns0:v>
      </ns0:c>
      <ns0:c r="AP32" s="0">
        <ns0:f>IFERROR(IF(AND('_Engine'!$X32=1,ISNUMBER(Settings!$F58),Settings!$F58&gt;0,MID('_Engine'!$AP32,WEEKDAY(Settings!$F58,2),1)="W"),Settings!$F58,0),0)</ns0:f>
        <ns0:v>0</ns0:v>
      </ns0:c>
      <ns0:c r="AQ32" s="0">
        <ns0:f>IFERROR(IF(AND('_Engine'!$X32=1,ISNUMBER(Settings!$F59),Settings!$F59&gt;0,MID('_Engine'!$AP32,WEEKDAY(Settings!$F59,2),1)="W"),Settings!$F59,0),0)</ns0:f>
        <ns0:v>0</ns0:v>
      </ns0:c>
      <ns0:c r="AR32" s="0">
        <ns0:f>IFERROR(IF(AND('_Engine'!$X32=1,ISNUMBER(Settings!$F60),Settings!$F60&gt;0,MID('_Engine'!$AP32,WEEKDAY(Settings!$F60,2),1)="W"),Settings!$F60,0),0)</ns0:f>
        <ns0:v>0</ns0:v>
      </ns0:c>
      <ns0:c r="AS32" s="0">
        <ns0:f>IFERROR(IF(AND('_Engine'!$X32=1,ISNUMBER(Settings!$F61),Settings!$F61&gt;0,MID('_Engine'!$AP32,WEEKDAY(Settings!$F61,2),1)="W"),Settings!$F61,0),0)</ns0:f>
        <ns0:v>0</ns0:v>
      </ns0:c>
      <ns0:c r="AT32" s="0">
        <ns0:f>IFERROR(IF(AND('_Engine'!$X32=1,ISNUMBER(Settings!$F62),Settings!$F62&gt;0,MID('_Engine'!$AP32,WEEKDAY(Settings!$F62,2),1)="W"),Settings!$F62,0),0)</ns0:f>
        <ns0:v>0</ns0:v>
      </ns0:c>
      <ns0:c r="AU32" s="0">
        <ns0:f>IFERROR(IF(AND('_Engine'!$X32=1,ISNUMBER(Settings!$F63),Settings!$F63&gt;0,MID('_Engine'!$AP32,WEEKDAY(Settings!$F63,2),1)="W"),Settings!$F63,0),0)</ns0:f>
        <ns0:v>0</ns0:v>
      </ns0:c>
      <ns0:c r="AV32" s="0">
        <ns0:f>IFERROR(IF(AND('_Engine'!$X32=1,ISNUMBER(Settings!$F64),Settings!$F64&gt;0,MID('_Engine'!$AP32,WEEKDAY(Settings!$F64,2),1)="W"),Settings!$F64,0),0)</ns0:f>
        <ns0:v>0</ns0:v>
      </ns0:c>
      <ns0:c r="AW32" s="0">
        <ns0:f>IFERROR(IF(AND('_Engine'!$X32=1,ISNUMBER(Settings!$F65),Settings!$F65&gt;0,MID('_Engine'!$AP32,WEEKDAY(Settings!$F65,2),1)="W"),Settings!$F65,0),0)</ns0:f>
        <ns0:v>0</ns0:v>
      </ns0:c>
      <ns0:c r="AX32" s="0">
        <ns0:f>IFERROR(IF(AND('_Engine'!$X32=1,ISNUMBER(Settings!$F66),Settings!$F66&gt;0,MID('_Engine'!$AP32,WEEKDAY(Settings!$F66,2),1)="W"),Settings!$F66,0),0)</ns0:f>
        <ns0:v>0</ns0:v>
      </ns0:c>
      <ns0:c r="AY32" s="0">
        <ns0:f>IFERROR(IF(AND('_Engine'!$X32=1,ISNUMBER(Settings!$F67),Settings!$F67&gt;0,MID('_Engine'!$AP32,WEEKDAY(Settings!$F67,2),1)="W"),Settings!$F67,0),0)</ns0:f>
        <ns0:v>0</ns0:v>
      </ns0:c>
    </ns0:row>
    <ns0:row r="33">
      <ns0:c r="B33" s="0">
        <ns0:f>IFERROR(IF(AND('_Engine'!$X33=1,ISNUMBER(Settings!$F18),Settings!$F18&gt;0,MID('_Engine'!$AP33,WEEKDAY(Settings!$F18,2),1)="W"),Settings!$F18,0),0)</ns0:f>
        <ns0:v>0</ns0:v>
      </ns0:c>
      <ns0:c r="C33" s="0">
        <ns0:f>IFERROR(IF(AND('_Engine'!$X33=1,ISNUMBER(Settings!$F19),Settings!$F19&gt;0,MID('_Engine'!$AP33,WEEKDAY(Settings!$F19,2),1)="W"),Settings!$F19,0),0)</ns0:f>
        <ns0:v>0</ns0:v>
      </ns0:c>
      <ns0:c r="D33" s="0">
        <ns0:f>IFERROR(IF(AND('_Engine'!$X33=1,ISNUMBER(Settings!$F20),Settings!$F20&gt;0,MID('_Engine'!$AP33,WEEKDAY(Settings!$F20,2),1)="W"),Settings!$F20,0),0)</ns0:f>
        <ns0:v>0</ns0:v>
      </ns0:c>
      <ns0:c r="E33" s="0">
        <ns0:f>IFERROR(IF(AND('_Engine'!$X33=1,ISNUMBER(Settings!$F21),Settings!$F21&gt;0,MID('_Engine'!$AP33,WEEKDAY(Settings!$F21,2),1)="W"),Settings!$F21,0),0)</ns0:f>
        <ns0:v>0</ns0:v>
      </ns0:c>
      <ns0:c r="F33" s="0">
        <ns0:f>IFERROR(IF(AND('_Engine'!$X33=1,ISNUMBER(Settings!$F22),Settings!$F22&gt;0,MID('_Engine'!$AP33,WEEKDAY(Settings!$F22,2),1)="W"),Settings!$F22,0),0)</ns0:f>
        <ns0:v>0</ns0:v>
      </ns0:c>
      <ns0:c r="G33" s="0">
        <ns0:f>IFERROR(IF(AND('_Engine'!$X33=1,ISNUMBER(Settings!$F23),Settings!$F23&gt;0,MID('_Engine'!$AP33,WEEKDAY(Settings!$F23,2),1)="W"),Settings!$F23,0),0)</ns0:f>
        <ns0:v>0</ns0:v>
      </ns0:c>
      <ns0:c r="H33" s="0">
        <ns0:f>IFERROR(IF(AND('_Engine'!$X33=1,ISNUMBER(Settings!$F24),Settings!$F24&gt;0,MID('_Engine'!$AP33,WEEKDAY(Settings!$F24,2),1)="W"),Settings!$F24,0),0)</ns0:f>
        <ns0:v>0</ns0:v>
      </ns0:c>
      <ns0:c r="I33" s="0">
        <ns0:f>IFERROR(IF(AND('_Engine'!$X33=1,ISNUMBER(Settings!$F25),Settings!$F25&gt;0,MID('_Engine'!$AP33,WEEKDAY(Settings!$F25,2),1)="W"),Settings!$F25,0),0)</ns0:f>
        <ns0:v>0</ns0:v>
      </ns0:c>
      <ns0:c r="J33" s="0">
        <ns0:f>IFERROR(IF(AND('_Engine'!$X33=1,ISNUMBER(Settings!$F26),Settings!$F26&gt;0,MID('_Engine'!$AP33,WEEKDAY(Settings!$F26,2),1)="W"),Settings!$F26,0),0)</ns0:f>
        <ns0:v>0</ns0:v>
      </ns0:c>
      <ns0:c r="K33" s="0">
        <ns0:f>IFERROR(IF(AND('_Engine'!$X33=1,ISNUMBER(Settings!$F27),Settings!$F27&gt;0,MID('_Engine'!$AP33,WEEKDAY(Settings!$F27,2),1)="W"),Settings!$F27,0),0)</ns0:f>
        <ns0:v>0</ns0:v>
      </ns0:c>
      <ns0:c r="L33" s="0">
        <ns0:f>IFERROR(IF(AND('_Engine'!$X33=1,ISNUMBER(Settings!$F28),Settings!$F28&gt;0,MID('_Engine'!$AP33,WEEKDAY(Settings!$F28,2),1)="W"),Settings!$F28,0),0)</ns0:f>
        <ns0:v>0</ns0:v>
      </ns0:c>
      <ns0:c r="M33" s="0">
        <ns0:f>IFERROR(IF(AND('_Engine'!$X33=1,ISNUMBER(Settings!$F29),Settings!$F29&gt;0,MID('_Engine'!$AP33,WEEKDAY(Settings!$F29,2),1)="W"),Settings!$F29,0),0)</ns0:f>
        <ns0:v>0</ns0:v>
      </ns0:c>
      <ns0:c r="N33" s="0">
        <ns0:f>IFERROR(IF(AND('_Engine'!$X33=1,ISNUMBER(Settings!$F30),Settings!$F30&gt;0,MID('_Engine'!$AP33,WEEKDAY(Settings!$F30,2),1)="W"),Settings!$F30,0),0)</ns0:f>
        <ns0:v>0</ns0:v>
      </ns0:c>
      <ns0:c r="O33" s="0">
        <ns0:f>IFERROR(IF(AND('_Engine'!$X33=1,ISNUMBER(Settings!$F31),Settings!$F31&gt;0,MID('_Engine'!$AP33,WEEKDAY(Settings!$F31,2),1)="W"),Settings!$F31,0),0)</ns0:f>
        <ns0:v>0</ns0:v>
      </ns0:c>
      <ns0:c r="P33" s="0">
        <ns0:f>IFERROR(IF(AND('_Engine'!$X33=1,ISNUMBER(Settings!$F32),Settings!$F32&gt;0,MID('_Engine'!$AP33,WEEKDAY(Settings!$F32,2),1)="W"),Settings!$F32,0),0)</ns0:f>
        <ns0:v>0</ns0:v>
      </ns0:c>
      <ns0:c r="Q33" s="0">
        <ns0:f>IFERROR(IF(AND('_Engine'!$X33=1,ISNUMBER(Settings!$F33),Settings!$F33&gt;0,MID('_Engine'!$AP33,WEEKDAY(Settings!$F33,2),1)="W"),Settings!$F33,0),0)</ns0:f>
        <ns0:v>0</ns0:v>
      </ns0:c>
      <ns0:c r="R33" s="0">
        <ns0:f>IFERROR(IF(AND('_Engine'!$X33=1,ISNUMBER(Settings!$F34),Settings!$F34&gt;0,MID('_Engine'!$AP33,WEEKDAY(Settings!$F34,2),1)="W"),Settings!$F34,0),0)</ns0:f>
        <ns0:v>0</ns0:v>
      </ns0:c>
      <ns0:c r="S33" s="0">
        <ns0:f>IFERROR(IF(AND('_Engine'!$X33=1,ISNUMBER(Settings!$F35),Settings!$F35&gt;0,MID('_Engine'!$AP33,WEEKDAY(Settings!$F35,2),1)="W"),Settings!$F35,0),0)</ns0:f>
        <ns0:v>0</ns0:v>
      </ns0:c>
      <ns0:c r="T33" s="0">
        <ns0:f>IFERROR(IF(AND('_Engine'!$X33=1,ISNUMBER(Settings!$F36),Settings!$F36&gt;0,MID('_Engine'!$AP33,WEEKDAY(Settings!$F36,2),1)="W"),Settings!$F36,0),0)</ns0:f>
        <ns0:v>0</ns0:v>
      </ns0:c>
      <ns0:c r="U33" s="0">
        <ns0:f>IFERROR(IF(AND('_Engine'!$X33=1,ISNUMBER(Settings!$F37),Settings!$F37&gt;0,MID('_Engine'!$AP33,WEEKDAY(Settings!$F37,2),1)="W"),Settings!$F37,0),0)</ns0:f>
        <ns0:v>0</ns0:v>
      </ns0:c>
      <ns0:c r="V33" s="0">
        <ns0:f>IFERROR(IF(AND('_Engine'!$X33=1,ISNUMBER(Settings!$F38),Settings!$F38&gt;0,MID('_Engine'!$AP33,WEEKDAY(Settings!$F38,2),1)="W"),Settings!$F38,0),0)</ns0:f>
        <ns0:v>0</ns0:v>
      </ns0:c>
      <ns0:c r="W33" s="0">
        <ns0:f>IFERROR(IF(AND('_Engine'!$X33=1,ISNUMBER(Settings!$F39),Settings!$F39&gt;0,MID('_Engine'!$AP33,WEEKDAY(Settings!$F39,2),1)="W"),Settings!$F39,0),0)</ns0:f>
        <ns0:v>0</ns0:v>
      </ns0:c>
      <ns0:c r="X33" s="0">
        <ns0:f>IFERROR(IF(AND('_Engine'!$X33=1,ISNUMBER(Settings!$F40),Settings!$F40&gt;0,MID('_Engine'!$AP33,WEEKDAY(Settings!$F40,2),1)="W"),Settings!$F40,0),0)</ns0:f>
        <ns0:v>0</ns0:v>
      </ns0:c>
      <ns0:c r="Y33" s="0">
        <ns0:f>IFERROR(IF(AND('_Engine'!$X33=1,ISNUMBER(Settings!$F41),Settings!$F41&gt;0,MID('_Engine'!$AP33,WEEKDAY(Settings!$F41,2),1)="W"),Settings!$F41,0),0)</ns0:f>
        <ns0:v>0</ns0:v>
      </ns0:c>
      <ns0:c r="Z33" s="0">
        <ns0:f>IFERROR(IF(AND('_Engine'!$X33=1,ISNUMBER(Settings!$F42),Settings!$F42&gt;0,MID('_Engine'!$AP33,WEEKDAY(Settings!$F42,2),1)="W"),Settings!$F42,0),0)</ns0:f>
        <ns0:v>0</ns0:v>
      </ns0:c>
      <ns0:c r="AA33" s="0">
        <ns0:f>IFERROR(IF(AND('_Engine'!$X33=1,ISNUMBER(Settings!$F43),Settings!$F43&gt;0,MID('_Engine'!$AP33,WEEKDAY(Settings!$F43,2),1)="W"),Settings!$F43,0),0)</ns0:f>
        <ns0:v>0</ns0:v>
      </ns0:c>
      <ns0:c r="AB33" s="0">
        <ns0:f>IFERROR(IF(AND('_Engine'!$X33=1,ISNUMBER(Settings!$F44),Settings!$F44&gt;0,MID('_Engine'!$AP33,WEEKDAY(Settings!$F44,2),1)="W"),Settings!$F44,0),0)</ns0:f>
        <ns0:v>0</ns0:v>
      </ns0:c>
      <ns0:c r="AC33" s="0">
        <ns0:f>IFERROR(IF(AND('_Engine'!$X33=1,ISNUMBER(Settings!$F45),Settings!$F45&gt;0,MID('_Engine'!$AP33,WEEKDAY(Settings!$F45,2),1)="W"),Settings!$F45,0),0)</ns0:f>
        <ns0:v>0</ns0:v>
      </ns0:c>
      <ns0:c r="AD33" s="0">
        <ns0:f>IFERROR(IF(AND('_Engine'!$X33=1,ISNUMBER(Settings!$F46),Settings!$F46&gt;0,MID('_Engine'!$AP33,WEEKDAY(Settings!$F46,2),1)="W"),Settings!$F46,0),0)</ns0:f>
        <ns0:v>0</ns0:v>
      </ns0:c>
      <ns0:c r="AE33" s="0">
        <ns0:f>IFERROR(IF(AND('_Engine'!$X33=1,ISNUMBER(Settings!$F47),Settings!$F47&gt;0,MID('_Engine'!$AP33,WEEKDAY(Settings!$F47,2),1)="W"),Settings!$F47,0),0)</ns0:f>
        <ns0:v>0</ns0:v>
      </ns0:c>
      <ns0:c r="AF33" s="0">
        <ns0:f>IFERROR(IF(AND('_Engine'!$X33=1,ISNUMBER(Settings!$F48),Settings!$F48&gt;0,MID('_Engine'!$AP33,WEEKDAY(Settings!$F48,2),1)="W"),Settings!$F48,0),0)</ns0:f>
        <ns0:v>0</ns0:v>
      </ns0:c>
      <ns0:c r="AG33" s="0">
        <ns0:f>IFERROR(IF(AND('_Engine'!$X33=1,ISNUMBER(Settings!$F49),Settings!$F49&gt;0,MID('_Engine'!$AP33,WEEKDAY(Settings!$F49,2),1)="W"),Settings!$F49,0),0)</ns0:f>
        <ns0:v>0</ns0:v>
      </ns0:c>
      <ns0:c r="AH33" s="0">
        <ns0:f>IFERROR(IF(AND('_Engine'!$X33=1,ISNUMBER(Settings!$F50),Settings!$F50&gt;0,MID('_Engine'!$AP33,WEEKDAY(Settings!$F50,2),1)="W"),Settings!$F50,0),0)</ns0:f>
        <ns0:v>0</ns0:v>
      </ns0:c>
      <ns0:c r="AI33" s="0">
        <ns0:f>IFERROR(IF(AND('_Engine'!$X33=1,ISNUMBER(Settings!$F51),Settings!$F51&gt;0,MID('_Engine'!$AP33,WEEKDAY(Settings!$F51,2),1)="W"),Settings!$F51,0),0)</ns0:f>
        <ns0:v>0</ns0:v>
      </ns0:c>
      <ns0:c r="AJ33" s="0">
        <ns0:f>IFERROR(IF(AND('_Engine'!$X33=1,ISNUMBER(Settings!$F52),Settings!$F52&gt;0,MID('_Engine'!$AP33,WEEKDAY(Settings!$F52,2),1)="W"),Settings!$F52,0),0)</ns0:f>
        <ns0:v>0</ns0:v>
      </ns0:c>
      <ns0:c r="AK33" s="0">
        <ns0:f>IFERROR(IF(AND('_Engine'!$X33=1,ISNUMBER(Settings!$F53),Settings!$F53&gt;0,MID('_Engine'!$AP33,WEEKDAY(Settings!$F53,2),1)="W"),Settings!$F53,0),0)</ns0:f>
        <ns0:v>0</ns0:v>
      </ns0:c>
      <ns0:c r="AL33" s="0">
        <ns0:f>IFERROR(IF(AND('_Engine'!$X33=1,ISNUMBER(Settings!$F54),Settings!$F54&gt;0,MID('_Engine'!$AP33,WEEKDAY(Settings!$F54,2),1)="W"),Settings!$F54,0),0)</ns0:f>
        <ns0:v>0</ns0:v>
      </ns0:c>
      <ns0:c r="AM33" s="0">
        <ns0:f>IFERROR(IF(AND('_Engine'!$X33=1,ISNUMBER(Settings!$F55),Settings!$F55&gt;0,MID('_Engine'!$AP33,WEEKDAY(Settings!$F55,2),1)="W"),Settings!$F55,0),0)</ns0:f>
        <ns0:v>0</ns0:v>
      </ns0:c>
      <ns0:c r="AN33" s="0">
        <ns0:f>IFERROR(IF(AND('_Engine'!$X33=1,ISNUMBER(Settings!$F56),Settings!$F56&gt;0,MID('_Engine'!$AP33,WEEKDAY(Settings!$F56,2),1)="W"),Settings!$F56,0),0)</ns0:f>
        <ns0:v>0</ns0:v>
      </ns0:c>
      <ns0:c r="AO33" s="0">
        <ns0:f>IFERROR(IF(AND('_Engine'!$X33=1,ISNUMBER(Settings!$F57),Settings!$F57&gt;0,MID('_Engine'!$AP33,WEEKDAY(Settings!$F57,2),1)="W"),Settings!$F57,0),0)</ns0:f>
        <ns0:v>0</ns0:v>
      </ns0:c>
      <ns0:c r="AP33" s="0">
        <ns0:f>IFERROR(IF(AND('_Engine'!$X33=1,ISNUMBER(Settings!$F58),Settings!$F58&gt;0,MID('_Engine'!$AP33,WEEKDAY(Settings!$F58,2),1)="W"),Settings!$F58,0),0)</ns0:f>
        <ns0:v>0</ns0:v>
      </ns0:c>
      <ns0:c r="AQ33" s="0">
        <ns0:f>IFERROR(IF(AND('_Engine'!$X33=1,ISNUMBER(Settings!$F59),Settings!$F59&gt;0,MID('_Engine'!$AP33,WEEKDAY(Settings!$F59,2),1)="W"),Settings!$F59,0),0)</ns0:f>
        <ns0:v>0</ns0:v>
      </ns0:c>
      <ns0:c r="AR33" s="0">
        <ns0:f>IFERROR(IF(AND('_Engine'!$X33=1,ISNUMBER(Settings!$F60),Settings!$F60&gt;0,MID('_Engine'!$AP33,WEEKDAY(Settings!$F60,2),1)="W"),Settings!$F60,0),0)</ns0:f>
        <ns0:v>0</ns0:v>
      </ns0:c>
      <ns0:c r="AS33" s="0">
        <ns0:f>IFERROR(IF(AND('_Engine'!$X33=1,ISNUMBER(Settings!$F61),Settings!$F61&gt;0,MID('_Engine'!$AP33,WEEKDAY(Settings!$F61,2),1)="W"),Settings!$F61,0),0)</ns0:f>
        <ns0:v>0</ns0:v>
      </ns0:c>
      <ns0:c r="AT33" s="0">
        <ns0:f>IFERROR(IF(AND('_Engine'!$X33=1,ISNUMBER(Settings!$F62),Settings!$F62&gt;0,MID('_Engine'!$AP33,WEEKDAY(Settings!$F62,2),1)="W"),Settings!$F62,0),0)</ns0:f>
        <ns0:v>0</ns0:v>
      </ns0:c>
      <ns0:c r="AU33" s="0">
        <ns0:f>IFERROR(IF(AND('_Engine'!$X33=1,ISNUMBER(Settings!$F63),Settings!$F63&gt;0,MID('_Engine'!$AP33,WEEKDAY(Settings!$F63,2),1)="W"),Settings!$F63,0),0)</ns0:f>
        <ns0:v>0</ns0:v>
      </ns0:c>
      <ns0:c r="AV33" s="0">
        <ns0:f>IFERROR(IF(AND('_Engine'!$X33=1,ISNUMBER(Settings!$F64),Settings!$F64&gt;0,MID('_Engine'!$AP33,WEEKDAY(Settings!$F64,2),1)="W"),Settings!$F64,0),0)</ns0:f>
        <ns0:v>0</ns0:v>
      </ns0:c>
      <ns0:c r="AW33" s="0">
        <ns0:f>IFERROR(IF(AND('_Engine'!$X33=1,ISNUMBER(Settings!$F65),Settings!$F65&gt;0,MID('_Engine'!$AP33,WEEKDAY(Settings!$F65,2),1)="W"),Settings!$F65,0),0)</ns0:f>
        <ns0:v>0</ns0:v>
      </ns0:c>
      <ns0:c r="AX33" s="0">
        <ns0:f>IFERROR(IF(AND('_Engine'!$X33=1,ISNUMBER(Settings!$F66),Settings!$F66&gt;0,MID('_Engine'!$AP33,WEEKDAY(Settings!$F66,2),1)="W"),Settings!$F66,0),0)</ns0:f>
        <ns0:v>0</ns0:v>
      </ns0:c>
      <ns0:c r="AY33" s="0">
        <ns0:f>IFERROR(IF(AND('_Engine'!$X33=1,ISNUMBER(Settings!$F67),Settings!$F67&gt;0,MID('_Engine'!$AP33,WEEKDAY(Settings!$F67,2),1)="W"),Settings!$F67,0),0)</ns0:f>
        <ns0:v>0</ns0:v>
      </ns0:c>
    </ns0:row>
    <ns0:row r="34">
      <ns0:c r="B34" s="0">
        <ns0:f>IFERROR(IF(AND('_Engine'!$X34=1,ISNUMBER(Settings!$F18),Settings!$F18&gt;0,MID('_Engine'!$AP34,WEEKDAY(Settings!$F18,2),1)="W"),Settings!$F18,0),0)</ns0:f>
        <ns0:v>0</ns0:v>
      </ns0:c>
      <ns0:c r="C34" s="0">
        <ns0:f>IFERROR(IF(AND('_Engine'!$X34=1,ISNUMBER(Settings!$F19),Settings!$F19&gt;0,MID('_Engine'!$AP34,WEEKDAY(Settings!$F19,2),1)="W"),Settings!$F19,0),0)</ns0:f>
        <ns0:v>0</ns0:v>
      </ns0:c>
      <ns0:c r="D34" s="0">
        <ns0:f>IFERROR(IF(AND('_Engine'!$X34=1,ISNUMBER(Settings!$F20),Settings!$F20&gt;0,MID('_Engine'!$AP34,WEEKDAY(Settings!$F20,2),1)="W"),Settings!$F20,0),0)</ns0:f>
        <ns0:v>0</ns0:v>
      </ns0:c>
      <ns0:c r="E34" s="0">
        <ns0:f>IFERROR(IF(AND('_Engine'!$X34=1,ISNUMBER(Settings!$F21),Settings!$F21&gt;0,MID('_Engine'!$AP34,WEEKDAY(Settings!$F21,2),1)="W"),Settings!$F21,0),0)</ns0:f>
        <ns0:v>0</ns0:v>
      </ns0:c>
      <ns0:c r="F34" s="0">
        <ns0:f>IFERROR(IF(AND('_Engine'!$X34=1,ISNUMBER(Settings!$F22),Settings!$F22&gt;0,MID('_Engine'!$AP34,WEEKDAY(Settings!$F22,2),1)="W"),Settings!$F22,0),0)</ns0:f>
        <ns0:v>0</ns0:v>
      </ns0:c>
      <ns0:c r="G34" s="0">
        <ns0:f>IFERROR(IF(AND('_Engine'!$X34=1,ISNUMBER(Settings!$F23),Settings!$F23&gt;0,MID('_Engine'!$AP34,WEEKDAY(Settings!$F23,2),1)="W"),Settings!$F23,0),0)</ns0:f>
        <ns0:v>0</ns0:v>
      </ns0:c>
      <ns0:c r="H34" s="0">
        <ns0:f>IFERROR(IF(AND('_Engine'!$X34=1,ISNUMBER(Settings!$F24),Settings!$F24&gt;0,MID('_Engine'!$AP34,WEEKDAY(Settings!$F24,2),1)="W"),Settings!$F24,0),0)</ns0:f>
        <ns0:v>0</ns0:v>
      </ns0:c>
      <ns0:c r="I34" s="0">
        <ns0:f>IFERROR(IF(AND('_Engine'!$X34=1,ISNUMBER(Settings!$F25),Settings!$F25&gt;0,MID('_Engine'!$AP34,WEEKDAY(Settings!$F25,2),1)="W"),Settings!$F25,0),0)</ns0:f>
        <ns0:v>0</ns0:v>
      </ns0:c>
      <ns0:c r="J34" s="0">
        <ns0:f>IFERROR(IF(AND('_Engine'!$X34=1,ISNUMBER(Settings!$F26),Settings!$F26&gt;0,MID('_Engine'!$AP34,WEEKDAY(Settings!$F26,2),1)="W"),Settings!$F26,0),0)</ns0:f>
        <ns0:v>0</ns0:v>
      </ns0:c>
      <ns0:c r="K34" s="0">
        <ns0:f>IFERROR(IF(AND('_Engine'!$X34=1,ISNUMBER(Settings!$F27),Settings!$F27&gt;0,MID('_Engine'!$AP34,WEEKDAY(Settings!$F27,2),1)="W"),Settings!$F27,0),0)</ns0:f>
        <ns0:v>0</ns0:v>
      </ns0:c>
      <ns0:c r="L34" s="0">
        <ns0:f>IFERROR(IF(AND('_Engine'!$X34=1,ISNUMBER(Settings!$F28),Settings!$F28&gt;0,MID('_Engine'!$AP34,WEEKDAY(Settings!$F28,2),1)="W"),Settings!$F28,0),0)</ns0:f>
        <ns0:v>0</ns0:v>
      </ns0:c>
      <ns0:c r="M34" s="0">
        <ns0:f>IFERROR(IF(AND('_Engine'!$X34=1,ISNUMBER(Settings!$F29),Settings!$F29&gt;0,MID('_Engine'!$AP34,WEEKDAY(Settings!$F29,2),1)="W"),Settings!$F29,0),0)</ns0:f>
        <ns0:v>0</ns0:v>
      </ns0:c>
      <ns0:c r="N34" s="0">
        <ns0:f>IFERROR(IF(AND('_Engine'!$X34=1,ISNUMBER(Settings!$F30),Settings!$F30&gt;0,MID('_Engine'!$AP34,WEEKDAY(Settings!$F30,2),1)="W"),Settings!$F30,0),0)</ns0:f>
        <ns0:v>0</ns0:v>
      </ns0:c>
      <ns0:c r="O34" s="0">
        <ns0:f>IFERROR(IF(AND('_Engine'!$X34=1,ISNUMBER(Settings!$F31),Settings!$F31&gt;0,MID('_Engine'!$AP34,WEEKDAY(Settings!$F31,2),1)="W"),Settings!$F31,0),0)</ns0:f>
        <ns0:v>0</ns0:v>
      </ns0:c>
      <ns0:c r="P34" s="0">
        <ns0:f>IFERROR(IF(AND('_Engine'!$X34=1,ISNUMBER(Settings!$F32),Settings!$F32&gt;0,MID('_Engine'!$AP34,WEEKDAY(Settings!$F32,2),1)="W"),Settings!$F32,0),0)</ns0:f>
        <ns0:v>0</ns0:v>
      </ns0:c>
      <ns0:c r="Q34" s="0">
        <ns0:f>IFERROR(IF(AND('_Engine'!$X34=1,ISNUMBER(Settings!$F33),Settings!$F33&gt;0,MID('_Engine'!$AP34,WEEKDAY(Settings!$F33,2),1)="W"),Settings!$F33,0),0)</ns0:f>
        <ns0:v>0</ns0:v>
      </ns0:c>
      <ns0:c r="R34" s="0">
        <ns0:f>IFERROR(IF(AND('_Engine'!$X34=1,ISNUMBER(Settings!$F34),Settings!$F34&gt;0,MID('_Engine'!$AP34,WEEKDAY(Settings!$F34,2),1)="W"),Settings!$F34,0),0)</ns0:f>
        <ns0:v>0</ns0:v>
      </ns0:c>
      <ns0:c r="S34" s="0">
        <ns0:f>IFERROR(IF(AND('_Engine'!$X34=1,ISNUMBER(Settings!$F35),Settings!$F35&gt;0,MID('_Engine'!$AP34,WEEKDAY(Settings!$F35,2),1)="W"),Settings!$F35,0),0)</ns0:f>
        <ns0:v>0</ns0:v>
      </ns0:c>
      <ns0:c r="T34" s="0">
        <ns0:f>IFERROR(IF(AND('_Engine'!$X34=1,ISNUMBER(Settings!$F36),Settings!$F36&gt;0,MID('_Engine'!$AP34,WEEKDAY(Settings!$F36,2),1)="W"),Settings!$F36,0),0)</ns0:f>
        <ns0:v>0</ns0:v>
      </ns0:c>
      <ns0:c r="U34" s="0">
        <ns0:f>IFERROR(IF(AND('_Engine'!$X34=1,ISNUMBER(Settings!$F37),Settings!$F37&gt;0,MID('_Engine'!$AP34,WEEKDAY(Settings!$F37,2),1)="W"),Settings!$F37,0),0)</ns0:f>
        <ns0:v>0</ns0:v>
      </ns0:c>
      <ns0:c r="V34" s="0">
        <ns0:f>IFERROR(IF(AND('_Engine'!$X34=1,ISNUMBER(Settings!$F38),Settings!$F38&gt;0,MID('_Engine'!$AP34,WEEKDAY(Settings!$F38,2),1)="W"),Settings!$F38,0),0)</ns0:f>
        <ns0:v>0</ns0:v>
      </ns0:c>
      <ns0:c r="W34" s="0">
        <ns0:f>IFERROR(IF(AND('_Engine'!$X34=1,ISNUMBER(Settings!$F39),Settings!$F39&gt;0,MID('_Engine'!$AP34,WEEKDAY(Settings!$F39,2),1)="W"),Settings!$F39,0),0)</ns0:f>
        <ns0:v>0</ns0:v>
      </ns0:c>
      <ns0:c r="X34" s="0">
        <ns0:f>IFERROR(IF(AND('_Engine'!$X34=1,ISNUMBER(Settings!$F40),Settings!$F40&gt;0,MID('_Engine'!$AP34,WEEKDAY(Settings!$F40,2),1)="W"),Settings!$F40,0),0)</ns0:f>
        <ns0:v>0</ns0:v>
      </ns0:c>
      <ns0:c r="Y34" s="0">
        <ns0:f>IFERROR(IF(AND('_Engine'!$X34=1,ISNUMBER(Settings!$F41),Settings!$F41&gt;0,MID('_Engine'!$AP34,WEEKDAY(Settings!$F41,2),1)="W"),Settings!$F41,0),0)</ns0:f>
        <ns0:v>0</ns0:v>
      </ns0:c>
      <ns0:c r="Z34" s="0">
        <ns0:f>IFERROR(IF(AND('_Engine'!$X34=1,ISNUMBER(Settings!$F42),Settings!$F42&gt;0,MID('_Engine'!$AP34,WEEKDAY(Settings!$F42,2),1)="W"),Settings!$F42,0),0)</ns0:f>
        <ns0:v>0</ns0:v>
      </ns0:c>
      <ns0:c r="AA34" s="0">
        <ns0:f>IFERROR(IF(AND('_Engine'!$X34=1,ISNUMBER(Settings!$F43),Settings!$F43&gt;0,MID('_Engine'!$AP34,WEEKDAY(Settings!$F43,2),1)="W"),Settings!$F43,0),0)</ns0:f>
        <ns0:v>0</ns0:v>
      </ns0:c>
      <ns0:c r="AB34" s="0">
        <ns0:f>IFERROR(IF(AND('_Engine'!$X34=1,ISNUMBER(Settings!$F44),Settings!$F44&gt;0,MID('_Engine'!$AP34,WEEKDAY(Settings!$F44,2),1)="W"),Settings!$F44,0),0)</ns0:f>
        <ns0:v>0</ns0:v>
      </ns0:c>
      <ns0:c r="AC34" s="0">
        <ns0:f>IFERROR(IF(AND('_Engine'!$X34=1,ISNUMBER(Settings!$F45),Settings!$F45&gt;0,MID('_Engine'!$AP34,WEEKDAY(Settings!$F45,2),1)="W"),Settings!$F45,0),0)</ns0:f>
        <ns0:v>0</ns0:v>
      </ns0:c>
      <ns0:c r="AD34" s="0">
        <ns0:f>IFERROR(IF(AND('_Engine'!$X34=1,ISNUMBER(Settings!$F46),Settings!$F46&gt;0,MID('_Engine'!$AP34,WEEKDAY(Settings!$F46,2),1)="W"),Settings!$F46,0),0)</ns0:f>
        <ns0:v>0</ns0:v>
      </ns0:c>
      <ns0:c r="AE34" s="0">
        <ns0:f>IFERROR(IF(AND('_Engine'!$X34=1,ISNUMBER(Settings!$F47),Settings!$F47&gt;0,MID('_Engine'!$AP34,WEEKDAY(Settings!$F47,2),1)="W"),Settings!$F47,0),0)</ns0:f>
        <ns0:v>0</ns0:v>
      </ns0:c>
      <ns0:c r="AF34" s="0">
        <ns0:f>IFERROR(IF(AND('_Engine'!$X34=1,ISNUMBER(Settings!$F48),Settings!$F48&gt;0,MID('_Engine'!$AP34,WEEKDAY(Settings!$F48,2),1)="W"),Settings!$F48,0),0)</ns0:f>
        <ns0:v>0</ns0:v>
      </ns0:c>
      <ns0:c r="AG34" s="0">
        <ns0:f>IFERROR(IF(AND('_Engine'!$X34=1,ISNUMBER(Settings!$F49),Settings!$F49&gt;0,MID('_Engine'!$AP34,WEEKDAY(Settings!$F49,2),1)="W"),Settings!$F49,0),0)</ns0:f>
        <ns0:v>0</ns0:v>
      </ns0:c>
      <ns0:c r="AH34" s="0">
        <ns0:f>IFERROR(IF(AND('_Engine'!$X34=1,ISNUMBER(Settings!$F50),Settings!$F50&gt;0,MID('_Engine'!$AP34,WEEKDAY(Settings!$F50,2),1)="W"),Settings!$F50,0),0)</ns0:f>
        <ns0:v>0</ns0:v>
      </ns0:c>
      <ns0:c r="AI34" s="0">
        <ns0:f>IFERROR(IF(AND('_Engine'!$X34=1,ISNUMBER(Settings!$F51),Settings!$F51&gt;0,MID('_Engine'!$AP34,WEEKDAY(Settings!$F51,2),1)="W"),Settings!$F51,0),0)</ns0:f>
        <ns0:v>0</ns0:v>
      </ns0:c>
      <ns0:c r="AJ34" s="0">
        <ns0:f>IFERROR(IF(AND('_Engine'!$X34=1,ISNUMBER(Settings!$F52),Settings!$F52&gt;0,MID('_Engine'!$AP34,WEEKDAY(Settings!$F52,2),1)="W"),Settings!$F52,0),0)</ns0:f>
        <ns0:v>0</ns0:v>
      </ns0:c>
      <ns0:c r="AK34" s="0">
        <ns0:f>IFERROR(IF(AND('_Engine'!$X34=1,ISNUMBER(Settings!$F53),Settings!$F53&gt;0,MID('_Engine'!$AP34,WEEKDAY(Settings!$F53,2),1)="W"),Settings!$F53,0),0)</ns0:f>
        <ns0:v>0</ns0:v>
      </ns0:c>
      <ns0:c r="AL34" s="0">
        <ns0:f>IFERROR(IF(AND('_Engine'!$X34=1,ISNUMBER(Settings!$F54),Settings!$F54&gt;0,MID('_Engine'!$AP34,WEEKDAY(Settings!$F54,2),1)="W"),Settings!$F54,0),0)</ns0:f>
        <ns0:v>0</ns0:v>
      </ns0:c>
      <ns0:c r="AM34" s="0">
        <ns0:f>IFERROR(IF(AND('_Engine'!$X34=1,ISNUMBER(Settings!$F55),Settings!$F55&gt;0,MID('_Engine'!$AP34,WEEKDAY(Settings!$F55,2),1)="W"),Settings!$F55,0),0)</ns0:f>
        <ns0:v>0</ns0:v>
      </ns0:c>
      <ns0:c r="AN34" s="0">
        <ns0:f>IFERROR(IF(AND('_Engine'!$X34=1,ISNUMBER(Settings!$F56),Settings!$F56&gt;0,MID('_Engine'!$AP34,WEEKDAY(Settings!$F56,2),1)="W"),Settings!$F56,0),0)</ns0:f>
        <ns0:v>0</ns0:v>
      </ns0:c>
      <ns0:c r="AO34" s="0">
        <ns0:f>IFERROR(IF(AND('_Engine'!$X34=1,ISNUMBER(Settings!$F57),Settings!$F57&gt;0,MID('_Engine'!$AP34,WEEKDAY(Settings!$F57,2),1)="W"),Settings!$F57,0),0)</ns0:f>
        <ns0:v>0</ns0:v>
      </ns0:c>
      <ns0:c r="AP34" s="0">
        <ns0:f>IFERROR(IF(AND('_Engine'!$X34=1,ISNUMBER(Settings!$F58),Settings!$F58&gt;0,MID('_Engine'!$AP34,WEEKDAY(Settings!$F58,2),1)="W"),Settings!$F58,0),0)</ns0:f>
        <ns0:v>0</ns0:v>
      </ns0:c>
      <ns0:c r="AQ34" s="0">
        <ns0:f>IFERROR(IF(AND('_Engine'!$X34=1,ISNUMBER(Settings!$F59),Settings!$F59&gt;0,MID('_Engine'!$AP34,WEEKDAY(Settings!$F59,2),1)="W"),Settings!$F59,0),0)</ns0:f>
        <ns0:v>0</ns0:v>
      </ns0:c>
      <ns0:c r="AR34" s="0">
        <ns0:f>IFERROR(IF(AND('_Engine'!$X34=1,ISNUMBER(Settings!$F60),Settings!$F60&gt;0,MID('_Engine'!$AP34,WEEKDAY(Settings!$F60,2),1)="W"),Settings!$F60,0),0)</ns0:f>
        <ns0:v>0</ns0:v>
      </ns0:c>
      <ns0:c r="AS34" s="0">
        <ns0:f>IFERROR(IF(AND('_Engine'!$X34=1,ISNUMBER(Settings!$F61),Settings!$F61&gt;0,MID('_Engine'!$AP34,WEEKDAY(Settings!$F61,2),1)="W"),Settings!$F61,0),0)</ns0:f>
        <ns0:v>0</ns0:v>
      </ns0:c>
      <ns0:c r="AT34" s="0">
        <ns0:f>IFERROR(IF(AND('_Engine'!$X34=1,ISNUMBER(Settings!$F62),Settings!$F62&gt;0,MID('_Engine'!$AP34,WEEKDAY(Settings!$F62,2),1)="W"),Settings!$F62,0),0)</ns0:f>
        <ns0:v>0</ns0:v>
      </ns0:c>
      <ns0:c r="AU34" s="0">
        <ns0:f>IFERROR(IF(AND('_Engine'!$X34=1,ISNUMBER(Settings!$F63),Settings!$F63&gt;0,MID('_Engine'!$AP34,WEEKDAY(Settings!$F63,2),1)="W"),Settings!$F63,0),0)</ns0:f>
        <ns0:v>0</ns0:v>
      </ns0:c>
      <ns0:c r="AV34" s="0">
        <ns0:f>IFERROR(IF(AND('_Engine'!$X34=1,ISNUMBER(Settings!$F64),Settings!$F64&gt;0,MID('_Engine'!$AP34,WEEKDAY(Settings!$F64,2),1)="W"),Settings!$F64,0),0)</ns0:f>
        <ns0:v>0</ns0:v>
      </ns0:c>
      <ns0:c r="AW34" s="0">
        <ns0:f>IFERROR(IF(AND('_Engine'!$X34=1,ISNUMBER(Settings!$F65),Settings!$F65&gt;0,MID('_Engine'!$AP34,WEEKDAY(Settings!$F65,2),1)="W"),Settings!$F65,0),0)</ns0:f>
        <ns0:v>0</ns0:v>
      </ns0:c>
      <ns0:c r="AX34" s="0">
        <ns0:f>IFERROR(IF(AND('_Engine'!$X34=1,ISNUMBER(Settings!$F66),Settings!$F66&gt;0,MID('_Engine'!$AP34,WEEKDAY(Settings!$F66,2),1)="W"),Settings!$F66,0),0)</ns0:f>
        <ns0:v>0</ns0:v>
      </ns0:c>
      <ns0:c r="AY34" s="0">
        <ns0:f>IFERROR(IF(AND('_Engine'!$X34=1,ISNUMBER(Settings!$F67),Settings!$F67&gt;0,MID('_Engine'!$AP34,WEEKDAY(Settings!$F67,2),1)="W"),Settings!$F67,0),0)</ns0:f>
        <ns0:v>0</ns0:v>
      </ns0:c>
    </ns0:row>
    <ns0:row r="35">
      <ns0:c r="B35" s="0">
        <ns0:f>IFERROR(IF(AND('_Engine'!$X35=1,ISNUMBER(Settings!$F18),Settings!$F18&gt;0,MID('_Engine'!$AP35,WEEKDAY(Settings!$F18,2),1)="W"),Settings!$F18,0),0)</ns0:f>
        <ns0:v>0</ns0:v>
      </ns0:c>
      <ns0:c r="C35" s="0">
        <ns0:f>IFERROR(IF(AND('_Engine'!$X35=1,ISNUMBER(Settings!$F19),Settings!$F19&gt;0,MID('_Engine'!$AP35,WEEKDAY(Settings!$F19,2),1)="W"),Settings!$F19,0),0)</ns0:f>
        <ns0:v>0</ns0:v>
      </ns0:c>
      <ns0:c r="D35" s="0">
        <ns0:f>IFERROR(IF(AND('_Engine'!$X35=1,ISNUMBER(Settings!$F20),Settings!$F20&gt;0,MID('_Engine'!$AP35,WEEKDAY(Settings!$F20,2),1)="W"),Settings!$F20,0),0)</ns0:f>
        <ns0:v>0</ns0:v>
      </ns0:c>
      <ns0:c r="E35" s="0">
        <ns0:f>IFERROR(IF(AND('_Engine'!$X35=1,ISNUMBER(Settings!$F21),Settings!$F21&gt;0,MID('_Engine'!$AP35,WEEKDAY(Settings!$F21,2),1)="W"),Settings!$F21,0),0)</ns0:f>
        <ns0:v>0</ns0:v>
      </ns0:c>
      <ns0:c r="F35" s="0">
        <ns0:f>IFERROR(IF(AND('_Engine'!$X35=1,ISNUMBER(Settings!$F22),Settings!$F22&gt;0,MID('_Engine'!$AP35,WEEKDAY(Settings!$F22,2),1)="W"),Settings!$F22,0),0)</ns0:f>
        <ns0:v>0</ns0:v>
      </ns0:c>
      <ns0:c r="G35" s="0">
        <ns0:f>IFERROR(IF(AND('_Engine'!$X35=1,ISNUMBER(Settings!$F23),Settings!$F23&gt;0,MID('_Engine'!$AP35,WEEKDAY(Settings!$F23,2),1)="W"),Settings!$F23,0),0)</ns0:f>
        <ns0:v>0</ns0:v>
      </ns0:c>
      <ns0:c r="H35" s="0">
        <ns0:f>IFERROR(IF(AND('_Engine'!$X35=1,ISNUMBER(Settings!$F24),Settings!$F24&gt;0,MID('_Engine'!$AP35,WEEKDAY(Settings!$F24,2),1)="W"),Settings!$F24,0),0)</ns0:f>
        <ns0:v>0</ns0:v>
      </ns0:c>
      <ns0:c r="I35" s="0">
        <ns0:f>IFERROR(IF(AND('_Engine'!$X35=1,ISNUMBER(Settings!$F25),Settings!$F25&gt;0,MID('_Engine'!$AP35,WEEKDAY(Settings!$F25,2),1)="W"),Settings!$F25,0),0)</ns0:f>
        <ns0:v>0</ns0:v>
      </ns0:c>
      <ns0:c r="J35" s="0">
        <ns0:f>IFERROR(IF(AND('_Engine'!$X35=1,ISNUMBER(Settings!$F26),Settings!$F26&gt;0,MID('_Engine'!$AP35,WEEKDAY(Settings!$F26,2),1)="W"),Settings!$F26,0),0)</ns0:f>
        <ns0:v>0</ns0:v>
      </ns0:c>
      <ns0:c r="K35" s="0">
        <ns0:f>IFERROR(IF(AND('_Engine'!$X35=1,ISNUMBER(Settings!$F27),Settings!$F27&gt;0,MID('_Engine'!$AP35,WEEKDAY(Settings!$F27,2),1)="W"),Settings!$F27,0),0)</ns0:f>
        <ns0:v>0</ns0:v>
      </ns0:c>
      <ns0:c r="L35" s="0">
        <ns0:f>IFERROR(IF(AND('_Engine'!$X35=1,ISNUMBER(Settings!$F28),Settings!$F28&gt;0,MID('_Engine'!$AP35,WEEKDAY(Settings!$F28,2),1)="W"),Settings!$F28,0),0)</ns0:f>
        <ns0:v>0</ns0:v>
      </ns0:c>
      <ns0:c r="M35" s="0">
        <ns0:f>IFERROR(IF(AND('_Engine'!$X35=1,ISNUMBER(Settings!$F29),Settings!$F29&gt;0,MID('_Engine'!$AP35,WEEKDAY(Settings!$F29,2),1)="W"),Settings!$F29,0),0)</ns0:f>
        <ns0:v>0</ns0:v>
      </ns0:c>
      <ns0:c r="N35" s="0">
        <ns0:f>IFERROR(IF(AND('_Engine'!$X35=1,ISNUMBER(Settings!$F30),Settings!$F30&gt;0,MID('_Engine'!$AP35,WEEKDAY(Settings!$F30,2),1)="W"),Settings!$F30,0),0)</ns0:f>
        <ns0:v>0</ns0:v>
      </ns0:c>
      <ns0:c r="O35" s="0">
        <ns0:f>IFERROR(IF(AND('_Engine'!$X35=1,ISNUMBER(Settings!$F31),Settings!$F31&gt;0,MID('_Engine'!$AP35,WEEKDAY(Settings!$F31,2),1)="W"),Settings!$F31,0),0)</ns0:f>
        <ns0:v>0</ns0:v>
      </ns0:c>
      <ns0:c r="P35" s="0">
        <ns0:f>IFERROR(IF(AND('_Engine'!$X35=1,ISNUMBER(Settings!$F32),Settings!$F32&gt;0,MID('_Engine'!$AP35,WEEKDAY(Settings!$F32,2),1)="W"),Settings!$F32,0),0)</ns0:f>
        <ns0:v>0</ns0:v>
      </ns0:c>
      <ns0:c r="Q35" s="0">
        <ns0:f>IFERROR(IF(AND('_Engine'!$X35=1,ISNUMBER(Settings!$F33),Settings!$F33&gt;0,MID('_Engine'!$AP35,WEEKDAY(Settings!$F33,2),1)="W"),Settings!$F33,0),0)</ns0:f>
        <ns0:v>0</ns0:v>
      </ns0:c>
      <ns0:c r="R35" s="0">
        <ns0:f>IFERROR(IF(AND('_Engine'!$X35=1,ISNUMBER(Settings!$F34),Settings!$F34&gt;0,MID('_Engine'!$AP35,WEEKDAY(Settings!$F34,2),1)="W"),Settings!$F34,0),0)</ns0:f>
        <ns0:v>0</ns0:v>
      </ns0:c>
      <ns0:c r="S35" s="0">
        <ns0:f>IFERROR(IF(AND('_Engine'!$X35=1,ISNUMBER(Settings!$F35),Settings!$F35&gt;0,MID('_Engine'!$AP35,WEEKDAY(Settings!$F35,2),1)="W"),Settings!$F35,0),0)</ns0:f>
        <ns0:v>0</ns0:v>
      </ns0:c>
      <ns0:c r="T35" s="0">
        <ns0:f>IFERROR(IF(AND('_Engine'!$X35=1,ISNUMBER(Settings!$F36),Settings!$F36&gt;0,MID('_Engine'!$AP35,WEEKDAY(Settings!$F36,2),1)="W"),Settings!$F36,0),0)</ns0:f>
        <ns0:v>0</ns0:v>
      </ns0:c>
      <ns0:c r="U35" s="0">
        <ns0:f>IFERROR(IF(AND('_Engine'!$X35=1,ISNUMBER(Settings!$F37),Settings!$F37&gt;0,MID('_Engine'!$AP35,WEEKDAY(Settings!$F37,2),1)="W"),Settings!$F37,0),0)</ns0:f>
        <ns0:v>0</ns0:v>
      </ns0:c>
      <ns0:c r="V35" s="0">
        <ns0:f>IFERROR(IF(AND('_Engine'!$X35=1,ISNUMBER(Settings!$F38),Settings!$F38&gt;0,MID('_Engine'!$AP35,WEEKDAY(Settings!$F38,2),1)="W"),Settings!$F38,0),0)</ns0:f>
        <ns0:v>0</ns0:v>
      </ns0:c>
      <ns0:c r="W35" s="0">
        <ns0:f>IFERROR(IF(AND('_Engine'!$X35=1,ISNUMBER(Settings!$F39),Settings!$F39&gt;0,MID('_Engine'!$AP35,WEEKDAY(Settings!$F39,2),1)="W"),Settings!$F39,0),0)</ns0:f>
        <ns0:v>0</ns0:v>
      </ns0:c>
      <ns0:c r="X35" s="0">
        <ns0:f>IFERROR(IF(AND('_Engine'!$X35=1,ISNUMBER(Settings!$F40),Settings!$F40&gt;0,MID('_Engine'!$AP35,WEEKDAY(Settings!$F40,2),1)="W"),Settings!$F40,0),0)</ns0:f>
        <ns0:v>0</ns0:v>
      </ns0:c>
      <ns0:c r="Y35" s="0">
        <ns0:f>IFERROR(IF(AND('_Engine'!$X35=1,ISNUMBER(Settings!$F41),Settings!$F41&gt;0,MID('_Engine'!$AP35,WEEKDAY(Settings!$F41,2),1)="W"),Settings!$F41,0),0)</ns0:f>
        <ns0:v>0</ns0:v>
      </ns0:c>
      <ns0:c r="Z35" s="0">
        <ns0:f>IFERROR(IF(AND('_Engine'!$X35=1,ISNUMBER(Settings!$F42),Settings!$F42&gt;0,MID('_Engine'!$AP35,WEEKDAY(Settings!$F42,2),1)="W"),Settings!$F42,0),0)</ns0:f>
        <ns0:v>0</ns0:v>
      </ns0:c>
      <ns0:c r="AA35" s="0">
        <ns0:f>IFERROR(IF(AND('_Engine'!$X35=1,ISNUMBER(Settings!$F43),Settings!$F43&gt;0,MID('_Engine'!$AP35,WEEKDAY(Settings!$F43,2),1)="W"),Settings!$F43,0),0)</ns0:f>
        <ns0:v>0</ns0:v>
      </ns0:c>
      <ns0:c r="AB35" s="0">
        <ns0:f>IFERROR(IF(AND('_Engine'!$X35=1,ISNUMBER(Settings!$F44),Settings!$F44&gt;0,MID('_Engine'!$AP35,WEEKDAY(Settings!$F44,2),1)="W"),Settings!$F44,0),0)</ns0:f>
        <ns0:v>0</ns0:v>
      </ns0:c>
      <ns0:c r="AC35" s="0">
        <ns0:f>IFERROR(IF(AND('_Engine'!$X35=1,ISNUMBER(Settings!$F45),Settings!$F45&gt;0,MID('_Engine'!$AP35,WEEKDAY(Settings!$F45,2),1)="W"),Settings!$F45,0),0)</ns0:f>
        <ns0:v>0</ns0:v>
      </ns0:c>
      <ns0:c r="AD35" s="0">
        <ns0:f>IFERROR(IF(AND('_Engine'!$X35=1,ISNUMBER(Settings!$F46),Settings!$F46&gt;0,MID('_Engine'!$AP35,WEEKDAY(Settings!$F46,2),1)="W"),Settings!$F46,0),0)</ns0:f>
        <ns0:v>0</ns0:v>
      </ns0:c>
      <ns0:c r="AE35" s="0">
        <ns0:f>IFERROR(IF(AND('_Engine'!$X35=1,ISNUMBER(Settings!$F47),Settings!$F47&gt;0,MID('_Engine'!$AP35,WEEKDAY(Settings!$F47,2),1)="W"),Settings!$F47,0),0)</ns0:f>
        <ns0:v>0</ns0:v>
      </ns0:c>
      <ns0:c r="AF35" s="0">
        <ns0:f>IFERROR(IF(AND('_Engine'!$X35=1,ISNUMBER(Settings!$F48),Settings!$F48&gt;0,MID('_Engine'!$AP35,WEEKDAY(Settings!$F48,2),1)="W"),Settings!$F48,0),0)</ns0:f>
        <ns0:v>0</ns0:v>
      </ns0:c>
      <ns0:c r="AG35" s="0">
        <ns0:f>IFERROR(IF(AND('_Engine'!$X35=1,ISNUMBER(Settings!$F49),Settings!$F49&gt;0,MID('_Engine'!$AP35,WEEKDAY(Settings!$F49,2),1)="W"),Settings!$F49,0),0)</ns0:f>
        <ns0:v>0</ns0:v>
      </ns0:c>
      <ns0:c r="AH35" s="0">
        <ns0:f>IFERROR(IF(AND('_Engine'!$X35=1,ISNUMBER(Settings!$F50),Settings!$F50&gt;0,MID('_Engine'!$AP35,WEEKDAY(Settings!$F50,2),1)="W"),Settings!$F50,0),0)</ns0:f>
        <ns0:v>0</ns0:v>
      </ns0:c>
      <ns0:c r="AI35" s="0">
        <ns0:f>IFERROR(IF(AND('_Engine'!$X35=1,ISNUMBER(Settings!$F51),Settings!$F51&gt;0,MID('_Engine'!$AP35,WEEKDAY(Settings!$F51,2),1)="W"),Settings!$F51,0),0)</ns0:f>
        <ns0:v>0</ns0:v>
      </ns0:c>
      <ns0:c r="AJ35" s="0">
        <ns0:f>IFERROR(IF(AND('_Engine'!$X35=1,ISNUMBER(Settings!$F52),Settings!$F52&gt;0,MID('_Engine'!$AP35,WEEKDAY(Settings!$F52,2),1)="W"),Settings!$F52,0),0)</ns0:f>
        <ns0:v>0</ns0:v>
      </ns0:c>
      <ns0:c r="AK35" s="0">
        <ns0:f>IFERROR(IF(AND('_Engine'!$X35=1,ISNUMBER(Settings!$F53),Settings!$F53&gt;0,MID('_Engine'!$AP35,WEEKDAY(Settings!$F53,2),1)="W"),Settings!$F53,0),0)</ns0:f>
        <ns0:v>0</ns0:v>
      </ns0:c>
      <ns0:c r="AL35" s="0">
        <ns0:f>IFERROR(IF(AND('_Engine'!$X35=1,ISNUMBER(Settings!$F54),Settings!$F54&gt;0,MID('_Engine'!$AP35,WEEKDAY(Settings!$F54,2),1)="W"),Settings!$F54,0),0)</ns0:f>
        <ns0:v>0</ns0:v>
      </ns0:c>
      <ns0:c r="AM35" s="0">
        <ns0:f>IFERROR(IF(AND('_Engine'!$X35=1,ISNUMBER(Settings!$F55),Settings!$F55&gt;0,MID('_Engine'!$AP35,WEEKDAY(Settings!$F55,2),1)="W"),Settings!$F55,0),0)</ns0:f>
        <ns0:v>0</ns0:v>
      </ns0:c>
      <ns0:c r="AN35" s="0">
        <ns0:f>IFERROR(IF(AND('_Engine'!$X35=1,ISNUMBER(Settings!$F56),Settings!$F56&gt;0,MID('_Engine'!$AP35,WEEKDAY(Settings!$F56,2),1)="W"),Settings!$F56,0),0)</ns0:f>
        <ns0:v>0</ns0:v>
      </ns0:c>
      <ns0:c r="AO35" s="0">
        <ns0:f>IFERROR(IF(AND('_Engine'!$X35=1,ISNUMBER(Settings!$F57),Settings!$F57&gt;0,MID('_Engine'!$AP35,WEEKDAY(Settings!$F57,2),1)="W"),Settings!$F57,0),0)</ns0:f>
        <ns0:v>0</ns0:v>
      </ns0:c>
      <ns0:c r="AP35" s="0">
        <ns0:f>IFERROR(IF(AND('_Engine'!$X35=1,ISNUMBER(Settings!$F58),Settings!$F58&gt;0,MID('_Engine'!$AP35,WEEKDAY(Settings!$F58,2),1)="W"),Settings!$F58,0),0)</ns0:f>
        <ns0:v>0</ns0:v>
      </ns0:c>
      <ns0:c r="AQ35" s="0">
        <ns0:f>IFERROR(IF(AND('_Engine'!$X35=1,ISNUMBER(Settings!$F59),Settings!$F59&gt;0,MID('_Engine'!$AP35,WEEKDAY(Settings!$F59,2),1)="W"),Settings!$F59,0),0)</ns0:f>
        <ns0:v>0</ns0:v>
      </ns0:c>
      <ns0:c r="AR35" s="0">
        <ns0:f>IFERROR(IF(AND('_Engine'!$X35=1,ISNUMBER(Settings!$F60),Settings!$F60&gt;0,MID('_Engine'!$AP35,WEEKDAY(Settings!$F60,2),1)="W"),Settings!$F60,0),0)</ns0:f>
        <ns0:v>0</ns0:v>
      </ns0:c>
      <ns0:c r="AS35" s="0">
        <ns0:f>IFERROR(IF(AND('_Engine'!$X35=1,ISNUMBER(Settings!$F61),Settings!$F61&gt;0,MID('_Engine'!$AP35,WEEKDAY(Settings!$F61,2),1)="W"),Settings!$F61,0),0)</ns0:f>
        <ns0:v>0</ns0:v>
      </ns0:c>
      <ns0:c r="AT35" s="0">
        <ns0:f>IFERROR(IF(AND('_Engine'!$X35=1,ISNUMBER(Settings!$F62),Settings!$F62&gt;0,MID('_Engine'!$AP35,WEEKDAY(Settings!$F62,2),1)="W"),Settings!$F62,0),0)</ns0:f>
        <ns0:v>0</ns0:v>
      </ns0:c>
      <ns0:c r="AU35" s="0">
        <ns0:f>IFERROR(IF(AND('_Engine'!$X35=1,ISNUMBER(Settings!$F63),Settings!$F63&gt;0,MID('_Engine'!$AP35,WEEKDAY(Settings!$F63,2),1)="W"),Settings!$F63,0),0)</ns0:f>
        <ns0:v>0</ns0:v>
      </ns0:c>
      <ns0:c r="AV35" s="0">
        <ns0:f>IFERROR(IF(AND('_Engine'!$X35=1,ISNUMBER(Settings!$F64),Settings!$F64&gt;0,MID('_Engine'!$AP35,WEEKDAY(Settings!$F64,2),1)="W"),Settings!$F64,0),0)</ns0:f>
        <ns0:v>0</ns0:v>
      </ns0:c>
      <ns0:c r="AW35" s="0">
        <ns0:f>IFERROR(IF(AND('_Engine'!$X35=1,ISNUMBER(Settings!$F65),Settings!$F65&gt;0,MID('_Engine'!$AP35,WEEKDAY(Settings!$F65,2),1)="W"),Settings!$F65,0),0)</ns0:f>
        <ns0:v>0</ns0:v>
      </ns0:c>
      <ns0:c r="AX35" s="0">
        <ns0:f>IFERROR(IF(AND('_Engine'!$X35=1,ISNUMBER(Settings!$F66),Settings!$F66&gt;0,MID('_Engine'!$AP35,WEEKDAY(Settings!$F66,2),1)="W"),Settings!$F66,0),0)</ns0:f>
        <ns0:v>0</ns0:v>
      </ns0:c>
      <ns0:c r="AY35" s="0">
        <ns0:f>IFERROR(IF(AND('_Engine'!$X35=1,ISNUMBER(Settings!$F67),Settings!$F67&gt;0,MID('_Engine'!$AP35,WEEKDAY(Settings!$F67,2),1)="W"),Settings!$F67,0),0)</ns0:f>
        <ns0:v>0</ns0:v>
      </ns0:c>
    </ns0:row>
    <ns0:row r="36">
      <ns0:c r="B36" s="0">
        <ns0:f>IFERROR(IF(AND('_Engine'!$X36=1,ISNUMBER(Settings!$F18),Settings!$F18&gt;0,MID('_Engine'!$AP36,WEEKDAY(Settings!$F18,2),1)="W"),Settings!$F18,0),0)</ns0:f>
        <ns0:v>0</ns0:v>
      </ns0:c>
      <ns0:c r="C36" s="0">
        <ns0:f>IFERROR(IF(AND('_Engine'!$X36=1,ISNUMBER(Settings!$F19),Settings!$F19&gt;0,MID('_Engine'!$AP36,WEEKDAY(Settings!$F19,2),1)="W"),Settings!$F19,0),0)</ns0:f>
        <ns0:v>0</ns0:v>
      </ns0:c>
      <ns0:c r="D36" s="0">
        <ns0:f>IFERROR(IF(AND('_Engine'!$X36=1,ISNUMBER(Settings!$F20),Settings!$F20&gt;0,MID('_Engine'!$AP36,WEEKDAY(Settings!$F20,2),1)="W"),Settings!$F20,0),0)</ns0:f>
        <ns0:v>0</ns0:v>
      </ns0:c>
      <ns0:c r="E36" s="0">
        <ns0:f>IFERROR(IF(AND('_Engine'!$X36=1,ISNUMBER(Settings!$F21),Settings!$F21&gt;0,MID('_Engine'!$AP36,WEEKDAY(Settings!$F21,2),1)="W"),Settings!$F21,0),0)</ns0:f>
        <ns0:v>0</ns0:v>
      </ns0:c>
      <ns0:c r="F36" s="0">
        <ns0:f>IFERROR(IF(AND('_Engine'!$X36=1,ISNUMBER(Settings!$F22),Settings!$F22&gt;0,MID('_Engine'!$AP36,WEEKDAY(Settings!$F22,2),1)="W"),Settings!$F22,0),0)</ns0:f>
        <ns0:v>0</ns0:v>
      </ns0:c>
      <ns0:c r="G36" s="0">
        <ns0:f>IFERROR(IF(AND('_Engine'!$X36=1,ISNUMBER(Settings!$F23),Settings!$F23&gt;0,MID('_Engine'!$AP36,WEEKDAY(Settings!$F23,2),1)="W"),Settings!$F23,0),0)</ns0:f>
        <ns0:v>0</ns0:v>
      </ns0:c>
      <ns0:c r="H36" s="0">
        <ns0:f>IFERROR(IF(AND('_Engine'!$X36=1,ISNUMBER(Settings!$F24),Settings!$F24&gt;0,MID('_Engine'!$AP36,WEEKDAY(Settings!$F24,2),1)="W"),Settings!$F24,0),0)</ns0:f>
        <ns0:v>0</ns0:v>
      </ns0:c>
      <ns0:c r="I36" s="0">
        <ns0:f>IFERROR(IF(AND('_Engine'!$X36=1,ISNUMBER(Settings!$F25),Settings!$F25&gt;0,MID('_Engine'!$AP36,WEEKDAY(Settings!$F25,2),1)="W"),Settings!$F25,0),0)</ns0:f>
        <ns0:v>0</ns0:v>
      </ns0:c>
      <ns0:c r="J36" s="0">
        <ns0:f>IFERROR(IF(AND('_Engine'!$X36=1,ISNUMBER(Settings!$F26),Settings!$F26&gt;0,MID('_Engine'!$AP36,WEEKDAY(Settings!$F26,2),1)="W"),Settings!$F26,0),0)</ns0:f>
        <ns0:v>0</ns0:v>
      </ns0:c>
      <ns0:c r="K36" s="0">
        <ns0:f>IFERROR(IF(AND('_Engine'!$X36=1,ISNUMBER(Settings!$F27),Settings!$F27&gt;0,MID('_Engine'!$AP36,WEEKDAY(Settings!$F27,2),1)="W"),Settings!$F27,0),0)</ns0:f>
        <ns0:v>0</ns0:v>
      </ns0:c>
      <ns0:c r="L36" s="0">
        <ns0:f>IFERROR(IF(AND('_Engine'!$X36=1,ISNUMBER(Settings!$F28),Settings!$F28&gt;0,MID('_Engine'!$AP36,WEEKDAY(Settings!$F28,2),1)="W"),Settings!$F28,0),0)</ns0:f>
        <ns0:v>0</ns0:v>
      </ns0:c>
      <ns0:c r="M36" s="0">
        <ns0:f>IFERROR(IF(AND('_Engine'!$X36=1,ISNUMBER(Settings!$F29),Settings!$F29&gt;0,MID('_Engine'!$AP36,WEEKDAY(Settings!$F29,2),1)="W"),Settings!$F29,0),0)</ns0:f>
        <ns0:v>0</ns0:v>
      </ns0:c>
      <ns0:c r="N36" s="0">
        <ns0:f>IFERROR(IF(AND('_Engine'!$X36=1,ISNUMBER(Settings!$F30),Settings!$F30&gt;0,MID('_Engine'!$AP36,WEEKDAY(Settings!$F30,2),1)="W"),Settings!$F30,0),0)</ns0:f>
        <ns0:v>0</ns0:v>
      </ns0:c>
      <ns0:c r="O36" s="0">
        <ns0:f>IFERROR(IF(AND('_Engine'!$X36=1,ISNUMBER(Settings!$F31),Settings!$F31&gt;0,MID('_Engine'!$AP36,WEEKDAY(Settings!$F31,2),1)="W"),Settings!$F31,0),0)</ns0:f>
        <ns0:v>0</ns0:v>
      </ns0:c>
      <ns0:c r="P36" s="0">
        <ns0:f>IFERROR(IF(AND('_Engine'!$X36=1,ISNUMBER(Settings!$F32),Settings!$F32&gt;0,MID('_Engine'!$AP36,WEEKDAY(Settings!$F32,2),1)="W"),Settings!$F32,0),0)</ns0:f>
        <ns0:v>0</ns0:v>
      </ns0:c>
      <ns0:c r="Q36" s="0">
        <ns0:f>IFERROR(IF(AND('_Engine'!$X36=1,ISNUMBER(Settings!$F33),Settings!$F33&gt;0,MID('_Engine'!$AP36,WEEKDAY(Settings!$F33,2),1)="W"),Settings!$F33,0),0)</ns0:f>
        <ns0:v>0</ns0:v>
      </ns0:c>
      <ns0:c r="R36" s="0">
        <ns0:f>IFERROR(IF(AND('_Engine'!$X36=1,ISNUMBER(Settings!$F34),Settings!$F34&gt;0,MID('_Engine'!$AP36,WEEKDAY(Settings!$F34,2),1)="W"),Settings!$F34,0),0)</ns0:f>
        <ns0:v>0</ns0:v>
      </ns0:c>
      <ns0:c r="S36" s="0">
        <ns0:f>IFERROR(IF(AND('_Engine'!$X36=1,ISNUMBER(Settings!$F35),Settings!$F35&gt;0,MID('_Engine'!$AP36,WEEKDAY(Settings!$F35,2),1)="W"),Settings!$F35,0),0)</ns0:f>
        <ns0:v>0</ns0:v>
      </ns0:c>
      <ns0:c r="T36" s="0">
        <ns0:f>IFERROR(IF(AND('_Engine'!$X36=1,ISNUMBER(Settings!$F36),Settings!$F36&gt;0,MID('_Engine'!$AP36,WEEKDAY(Settings!$F36,2),1)="W"),Settings!$F36,0),0)</ns0:f>
        <ns0:v>0</ns0:v>
      </ns0:c>
      <ns0:c r="U36" s="0">
        <ns0:f>IFERROR(IF(AND('_Engine'!$X36=1,ISNUMBER(Settings!$F37),Settings!$F37&gt;0,MID('_Engine'!$AP36,WEEKDAY(Settings!$F37,2),1)="W"),Settings!$F37,0),0)</ns0:f>
        <ns0:v>0</ns0:v>
      </ns0:c>
      <ns0:c r="V36" s="0">
        <ns0:f>IFERROR(IF(AND('_Engine'!$X36=1,ISNUMBER(Settings!$F38),Settings!$F38&gt;0,MID('_Engine'!$AP36,WEEKDAY(Settings!$F38,2),1)="W"),Settings!$F38,0),0)</ns0:f>
        <ns0:v>0</ns0:v>
      </ns0:c>
      <ns0:c r="W36" s="0">
        <ns0:f>IFERROR(IF(AND('_Engine'!$X36=1,ISNUMBER(Settings!$F39),Settings!$F39&gt;0,MID('_Engine'!$AP36,WEEKDAY(Settings!$F39,2),1)="W"),Settings!$F39,0),0)</ns0:f>
        <ns0:v>0</ns0:v>
      </ns0:c>
      <ns0:c r="X36" s="0">
        <ns0:f>IFERROR(IF(AND('_Engine'!$X36=1,ISNUMBER(Settings!$F40),Settings!$F40&gt;0,MID('_Engine'!$AP36,WEEKDAY(Settings!$F40,2),1)="W"),Settings!$F40,0),0)</ns0:f>
        <ns0:v>0</ns0:v>
      </ns0:c>
      <ns0:c r="Y36" s="0">
        <ns0:f>IFERROR(IF(AND('_Engine'!$X36=1,ISNUMBER(Settings!$F41),Settings!$F41&gt;0,MID('_Engine'!$AP36,WEEKDAY(Settings!$F41,2),1)="W"),Settings!$F41,0),0)</ns0:f>
        <ns0:v>0</ns0:v>
      </ns0:c>
      <ns0:c r="Z36" s="0">
        <ns0:f>IFERROR(IF(AND('_Engine'!$X36=1,ISNUMBER(Settings!$F42),Settings!$F42&gt;0,MID('_Engine'!$AP36,WEEKDAY(Settings!$F42,2),1)="W"),Settings!$F42,0),0)</ns0:f>
        <ns0:v>0</ns0:v>
      </ns0:c>
      <ns0:c r="AA36" s="0">
        <ns0:f>IFERROR(IF(AND('_Engine'!$X36=1,ISNUMBER(Settings!$F43),Settings!$F43&gt;0,MID('_Engine'!$AP36,WEEKDAY(Settings!$F43,2),1)="W"),Settings!$F43,0),0)</ns0:f>
        <ns0:v>0</ns0:v>
      </ns0:c>
      <ns0:c r="AB36" s="0">
        <ns0:f>IFERROR(IF(AND('_Engine'!$X36=1,ISNUMBER(Settings!$F44),Settings!$F44&gt;0,MID('_Engine'!$AP36,WEEKDAY(Settings!$F44,2),1)="W"),Settings!$F44,0),0)</ns0:f>
        <ns0:v>0</ns0:v>
      </ns0:c>
      <ns0:c r="AC36" s="0">
        <ns0:f>IFERROR(IF(AND('_Engine'!$X36=1,ISNUMBER(Settings!$F45),Settings!$F45&gt;0,MID('_Engine'!$AP36,WEEKDAY(Settings!$F45,2),1)="W"),Settings!$F45,0),0)</ns0:f>
        <ns0:v>0</ns0:v>
      </ns0:c>
      <ns0:c r="AD36" s="0">
        <ns0:f>IFERROR(IF(AND('_Engine'!$X36=1,ISNUMBER(Settings!$F46),Settings!$F46&gt;0,MID('_Engine'!$AP36,WEEKDAY(Settings!$F46,2),1)="W"),Settings!$F46,0),0)</ns0:f>
        <ns0:v>0</ns0:v>
      </ns0:c>
      <ns0:c r="AE36" s="0">
        <ns0:f>IFERROR(IF(AND('_Engine'!$X36=1,ISNUMBER(Settings!$F47),Settings!$F47&gt;0,MID('_Engine'!$AP36,WEEKDAY(Settings!$F47,2),1)="W"),Settings!$F47,0),0)</ns0:f>
        <ns0:v>0</ns0:v>
      </ns0:c>
      <ns0:c r="AF36" s="0">
        <ns0:f>IFERROR(IF(AND('_Engine'!$X36=1,ISNUMBER(Settings!$F48),Settings!$F48&gt;0,MID('_Engine'!$AP36,WEEKDAY(Settings!$F48,2),1)="W"),Settings!$F48,0),0)</ns0:f>
        <ns0:v>0</ns0:v>
      </ns0:c>
      <ns0:c r="AG36" s="0">
        <ns0:f>IFERROR(IF(AND('_Engine'!$X36=1,ISNUMBER(Settings!$F49),Settings!$F49&gt;0,MID('_Engine'!$AP36,WEEKDAY(Settings!$F49,2),1)="W"),Settings!$F49,0),0)</ns0:f>
        <ns0:v>0</ns0:v>
      </ns0:c>
      <ns0:c r="AH36" s="0">
        <ns0:f>IFERROR(IF(AND('_Engine'!$X36=1,ISNUMBER(Settings!$F50),Settings!$F50&gt;0,MID('_Engine'!$AP36,WEEKDAY(Settings!$F50,2),1)="W"),Settings!$F50,0),0)</ns0:f>
        <ns0:v>0</ns0:v>
      </ns0:c>
      <ns0:c r="AI36" s="0">
        <ns0:f>IFERROR(IF(AND('_Engine'!$X36=1,ISNUMBER(Settings!$F51),Settings!$F51&gt;0,MID('_Engine'!$AP36,WEEKDAY(Settings!$F51,2),1)="W"),Settings!$F51,0),0)</ns0:f>
        <ns0:v>0</ns0:v>
      </ns0:c>
      <ns0:c r="AJ36" s="0">
        <ns0:f>IFERROR(IF(AND('_Engine'!$X36=1,ISNUMBER(Settings!$F52),Settings!$F52&gt;0,MID('_Engine'!$AP36,WEEKDAY(Settings!$F52,2),1)="W"),Settings!$F52,0),0)</ns0:f>
        <ns0:v>0</ns0:v>
      </ns0:c>
      <ns0:c r="AK36" s="0">
        <ns0:f>IFERROR(IF(AND('_Engine'!$X36=1,ISNUMBER(Settings!$F53),Settings!$F53&gt;0,MID('_Engine'!$AP36,WEEKDAY(Settings!$F53,2),1)="W"),Settings!$F53,0),0)</ns0:f>
        <ns0:v>0</ns0:v>
      </ns0:c>
      <ns0:c r="AL36" s="0">
        <ns0:f>IFERROR(IF(AND('_Engine'!$X36=1,ISNUMBER(Settings!$F54),Settings!$F54&gt;0,MID('_Engine'!$AP36,WEEKDAY(Settings!$F54,2),1)="W"),Settings!$F54,0),0)</ns0:f>
        <ns0:v>0</ns0:v>
      </ns0:c>
      <ns0:c r="AM36" s="0">
        <ns0:f>IFERROR(IF(AND('_Engine'!$X36=1,ISNUMBER(Settings!$F55),Settings!$F55&gt;0,MID('_Engine'!$AP36,WEEKDAY(Settings!$F55,2),1)="W"),Settings!$F55,0),0)</ns0:f>
        <ns0:v>0</ns0:v>
      </ns0:c>
      <ns0:c r="AN36" s="0">
        <ns0:f>IFERROR(IF(AND('_Engine'!$X36=1,ISNUMBER(Settings!$F56),Settings!$F56&gt;0,MID('_Engine'!$AP36,WEEKDAY(Settings!$F56,2),1)="W"),Settings!$F56,0),0)</ns0:f>
        <ns0:v>0</ns0:v>
      </ns0:c>
      <ns0:c r="AO36" s="0">
        <ns0:f>IFERROR(IF(AND('_Engine'!$X36=1,ISNUMBER(Settings!$F57),Settings!$F57&gt;0,MID('_Engine'!$AP36,WEEKDAY(Settings!$F57,2),1)="W"),Settings!$F57,0),0)</ns0:f>
        <ns0:v>0</ns0:v>
      </ns0:c>
      <ns0:c r="AP36" s="0">
        <ns0:f>IFERROR(IF(AND('_Engine'!$X36=1,ISNUMBER(Settings!$F58),Settings!$F58&gt;0,MID('_Engine'!$AP36,WEEKDAY(Settings!$F58,2),1)="W"),Settings!$F58,0),0)</ns0:f>
        <ns0:v>0</ns0:v>
      </ns0:c>
      <ns0:c r="AQ36" s="0">
        <ns0:f>IFERROR(IF(AND('_Engine'!$X36=1,ISNUMBER(Settings!$F59),Settings!$F59&gt;0,MID('_Engine'!$AP36,WEEKDAY(Settings!$F59,2),1)="W"),Settings!$F59,0),0)</ns0:f>
        <ns0:v>0</ns0:v>
      </ns0:c>
      <ns0:c r="AR36" s="0">
        <ns0:f>IFERROR(IF(AND('_Engine'!$X36=1,ISNUMBER(Settings!$F60),Settings!$F60&gt;0,MID('_Engine'!$AP36,WEEKDAY(Settings!$F60,2),1)="W"),Settings!$F60,0),0)</ns0:f>
        <ns0:v>0</ns0:v>
      </ns0:c>
      <ns0:c r="AS36" s="0">
        <ns0:f>IFERROR(IF(AND('_Engine'!$X36=1,ISNUMBER(Settings!$F61),Settings!$F61&gt;0,MID('_Engine'!$AP36,WEEKDAY(Settings!$F61,2),1)="W"),Settings!$F61,0),0)</ns0:f>
        <ns0:v>0</ns0:v>
      </ns0:c>
      <ns0:c r="AT36" s="0">
        <ns0:f>IFERROR(IF(AND('_Engine'!$X36=1,ISNUMBER(Settings!$F62),Settings!$F62&gt;0,MID('_Engine'!$AP36,WEEKDAY(Settings!$F62,2),1)="W"),Settings!$F62,0),0)</ns0:f>
        <ns0:v>0</ns0:v>
      </ns0:c>
      <ns0:c r="AU36" s="0">
        <ns0:f>IFERROR(IF(AND('_Engine'!$X36=1,ISNUMBER(Settings!$F63),Settings!$F63&gt;0,MID('_Engine'!$AP36,WEEKDAY(Settings!$F63,2),1)="W"),Settings!$F63,0),0)</ns0:f>
        <ns0:v>0</ns0:v>
      </ns0:c>
      <ns0:c r="AV36" s="0">
        <ns0:f>IFERROR(IF(AND('_Engine'!$X36=1,ISNUMBER(Settings!$F64),Settings!$F64&gt;0,MID('_Engine'!$AP36,WEEKDAY(Settings!$F64,2),1)="W"),Settings!$F64,0),0)</ns0:f>
        <ns0:v>0</ns0:v>
      </ns0:c>
      <ns0:c r="AW36" s="0">
        <ns0:f>IFERROR(IF(AND('_Engine'!$X36=1,ISNUMBER(Settings!$F65),Settings!$F65&gt;0,MID('_Engine'!$AP36,WEEKDAY(Settings!$F65,2),1)="W"),Settings!$F65,0),0)</ns0:f>
        <ns0:v>0</ns0:v>
      </ns0:c>
      <ns0:c r="AX36" s="0">
        <ns0:f>IFERROR(IF(AND('_Engine'!$X36=1,ISNUMBER(Settings!$F66),Settings!$F66&gt;0,MID('_Engine'!$AP36,WEEKDAY(Settings!$F66,2),1)="W"),Settings!$F66,0),0)</ns0:f>
        <ns0:v>0</ns0:v>
      </ns0:c>
      <ns0:c r="AY36" s="0">
        <ns0:f>IFERROR(IF(AND('_Engine'!$X36=1,ISNUMBER(Settings!$F67),Settings!$F67&gt;0,MID('_Engine'!$AP36,WEEKDAY(Settings!$F67,2),1)="W"),Settings!$F67,0),0)</ns0:f>
        <ns0:v>0</ns0:v>
      </ns0:c>
    </ns0:row>
    <ns0:row r="37">
      <ns0:c r="B37" s="0">
        <ns0:f>IFERROR(IF(AND('_Engine'!$X37=1,ISNUMBER(Settings!$F18),Settings!$F18&gt;0,MID('_Engine'!$AP37,WEEKDAY(Settings!$F18,2),1)="W"),Settings!$F18,0),0)</ns0:f>
        <ns0:v>0</ns0:v>
      </ns0:c>
      <ns0:c r="C37" s="0">
        <ns0:f>IFERROR(IF(AND('_Engine'!$X37=1,ISNUMBER(Settings!$F19),Settings!$F19&gt;0,MID('_Engine'!$AP37,WEEKDAY(Settings!$F19,2),1)="W"),Settings!$F19,0),0)</ns0:f>
        <ns0:v>0</ns0:v>
      </ns0:c>
      <ns0:c r="D37" s="0">
        <ns0:f>IFERROR(IF(AND('_Engine'!$X37=1,ISNUMBER(Settings!$F20),Settings!$F20&gt;0,MID('_Engine'!$AP37,WEEKDAY(Settings!$F20,2),1)="W"),Settings!$F20,0),0)</ns0:f>
        <ns0:v>0</ns0:v>
      </ns0:c>
      <ns0:c r="E37" s="0">
        <ns0:f>IFERROR(IF(AND('_Engine'!$X37=1,ISNUMBER(Settings!$F21),Settings!$F21&gt;0,MID('_Engine'!$AP37,WEEKDAY(Settings!$F21,2),1)="W"),Settings!$F21,0),0)</ns0:f>
        <ns0:v>0</ns0:v>
      </ns0:c>
      <ns0:c r="F37" s="0">
        <ns0:f>IFERROR(IF(AND('_Engine'!$X37=1,ISNUMBER(Settings!$F22),Settings!$F22&gt;0,MID('_Engine'!$AP37,WEEKDAY(Settings!$F22,2),1)="W"),Settings!$F22,0),0)</ns0:f>
        <ns0:v>0</ns0:v>
      </ns0:c>
      <ns0:c r="G37" s="0">
        <ns0:f>IFERROR(IF(AND('_Engine'!$X37=1,ISNUMBER(Settings!$F23),Settings!$F23&gt;0,MID('_Engine'!$AP37,WEEKDAY(Settings!$F23,2),1)="W"),Settings!$F23,0),0)</ns0:f>
        <ns0:v>0</ns0:v>
      </ns0:c>
      <ns0:c r="H37" s="0">
        <ns0:f>IFERROR(IF(AND('_Engine'!$X37=1,ISNUMBER(Settings!$F24),Settings!$F24&gt;0,MID('_Engine'!$AP37,WEEKDAY(Settings!$F24,2),1)="W"),Settings!$F24,0),0)</ns0:f>
        <ns0:v>0</ns0:v>
      </ns0:c>
      <ns0:c r="I37" s="0">
        <ns0:f>IFERROR(IF(AND('_Engine'!$X37=1,ISNUMBER(Settings!$F25),Settings!$F25&gt;0,MID('_Engine'!$AP37,WEEKDAY(Settings!$F25,2),1)="W"),Settings!$F25,0),0)</ns0:f>
        <ns0:v>0</ns0:v>
      </ns0:c>
      <ns0:c r="J37" s="0">
        <ns0:f>IFERROR(IF(AND('_Engine'!$X37=1,ISNUMBER(Settings!$F26),Settings!$F26&gt;0,MID('_Engine'!$AP37,WEEKDAY(Settings!$F26,2),1)="W"),Settings!$F26,0),0)</ns0:f>
        <ns0:v>0</ns0:v>
      </ns0:c>
      <ns0:c r="K37" s="0">
        <ns0:f>IFERROR(IF(AND('_Engine'!$X37=1,ISNUMBER(Settings!$F27),Settings!$F27&gt;0,MID('_Engine'!$AP37,WEEKDAY(Settings!$F27,2),1)="W"),Settings!$F27,0),0)</ns0:f>
        <ns0:v>0</ns0:v>
      </ns0:c>
      <ns0:c r="L37" s="0">
        <ns0:f>IFERROR(IF(AND('_Engine'!$X37=1,ISNUMBER(Settings!$F28),Settings!$F28&gt;0,MID('_Engine'!$AP37,WEEKDAY(Settings!$F28,2),1)="W"),Settings!$F28,0),0)</ns0:f>
        <ns0:v>0</ns0:v>
      </ns0:c>
      <ns0:c r="M37" s="0">
        <ns0:f>IFERROR(IF(AND('_Engine'!$X37=1,ISNUMBER(Settings!$F29),Settings!$F29&gt;0,MID('_Engine'!$AP37,WEEKDAY(Settings!$F29,2),1)="W"),Settings!$F29,0),0)</ns0:f>
        <ns0:v>0</ns0:v>
      </ns0:c>
      <ns0:c r="N37" s="0">
        <ns0:f>IFERROR(IF(AND('_Engine'!$X37=1,ISNUMBER(Settings!$F30),Settings!$F30&gt;0,MID('_Engine'!$AP37,WEEKDAY(Settings!$F30,2),1)="W"),Settings!$F30,0),0)</ns0:f>
        <ns0:v>0</ns0:v>
      </ns0:c>
      <ns0:c r="O37" s="0">
        <ns0:f>IFERROR(IF(AND('_Engine'!$X37=1,ISNUMBER(Settings!$F31),Settings!$F31&gt;0,MID('_Engine'!$AP37,WEEKDAY(Settings!$F31,2),1)="W"),Settings!$F31,0),0)</ns0:f>
        <ns0:v>0</ns0:v>
      </ns0:c>
      <ns0:c r="P37" s="0">
        <ns0:f>IFERROR(IF(AND('_Engine'!$X37=1,ISNUMBER(Settings!$F32),Settings!$F32&gt;0,MID('_Engine'!$AP37,WEEKDAY(Settings!$F32,2),1)="W"),Settings!$F32,0),0)</ns0:f>
        <ns0:v>0</ns0:v>
      </ns0:c>
      <ns0:c r="Q37" s="0">
        <ns0:f>IFERROR(IF(AND('_Engine'!$X37=1,ISNUMBER(Settings!$F33),Settings!$F33&gt;0,MID('_Engine'!$AP37,WEEKDAY(Settings!$F33,2),1)="W"),Settings!$F33,0),0)</ns0:f>
        <ns0:v>0</ns0:v>
      </ns0:c>
      <ns0:c r="R37" s="0">
        <ns0:f>IFERROR(IF(AND('_Engine'!$X37=1,ISNUMBER(Settings!$F34),Settings!$F34&gt;0,MID('_Engine'!$AP37,WEEKDAY(Settings!$F34,2),1)="W"),Settings!$F34,0),0)</ns0:f>
        <ns0:v>0</ns0:v>
      </ns0:c>
      <ns0:c r="S37" s="0">
        <ns0:f>IFERROR(IF(AND('_Engine'!$X37=1,ISNUMBER(Settings!$F35),Settings!$F35&gt;0,MID('_Engine'!$AP37,WEEKDAY(Settings!$F35,2),1)="W"),Settings!$F35,0),0)</ns0:f>
        <ns0:v>0</ns0:v>
      </ns0:c>
      <ns0:c r="T37" s="0">
        <ns0:f>IFERROR(IF(AND('_Engine'!$X37=1,ISNUMBER(Settings!$F36),Settings!$F36&gt;0,MID('_Engine'!$AP37,WEEKDAY(Settings!$F36,2),1)="W"),Settings!$F36,0),0)</ns0:f>
        <ns0:v>0</ns0:v>
      </ns0:c>
      <ns0:c r="U37" s="0">
        <ns0:f>IFERROR(IF(AND('_Engine'!$X37=1,ISNUMBER(Settings!$F37),Settings!$F37&gt;0,MID('_Engine'!$AP37,WEEKDAY(Settings!$F37,2),1)="W"),Settings!$F37,0),0)</ns0:f>
        <ns0:v>0</ns0:v>
      </ns0:c>
      <ns0:c r="V37" s="0">
        <ns0:f>IFERROR(IF(AND('_Engine'!$X37=1,ISNUMBER(Settings!$F38),Settings!$F38&gt;0,MID('_Engine'!$AP37,WEEKDAY(Settings!$F38,2),1)="W"),Settings!$F38,0),0)</ns0:f>
        <ns0:v>0</ns0:v>
      </ns0:c>
      <ns0:c r="W37" s="0">
        <ns0:f>IFERROR(IF(AND('_Engine'!$X37=1,ISNUMBER(Settings!$F39),Settings!$F39&gt;0,MID('_Engine'!$AP37,WEEKDAY(Settings!$F39,2),1)="W"),Settings!$F39,0),0)</ns0:f>
        <ns0:v>0</ns0:v>
      </ns0:c>
      <ns0:c r="X37" s="0">
        <ns0:f>IFERROR(IF(AND('_Engine'!$X37=1,ISNUMBER(Settings!$F40),Settings!$F40&gt;0,MID('_Engine'!$AP37,WEEKDAY(Settings!$F40,2),1)="W"),Settings!$F40,0),0)</ns0:f>
        <ns0:v>0</ns0:v>
      </ns0:c>
      <ns0:c r="Y37" s="0">
        <ns0:f>IFERROR(IF(AND('_Engine'!$X37=1,ISNUMBER(Settings!$F41),Settings!$F41&gt;0,MID('_Engine'!$AP37,WEEKDAY(Settings!$F41,2),1)="W"),Settings!$F41,0),0)</ns0:f>
        <ns0:v>0</ns0:v>
      </ns0:c>
      <ns0:c r="Z37" s="0">
        <ns0:f>IFERROR(IF(AND('_Engine'!$X37=1,ISNUMBER(Settings!$F42),Settings!$F42&gt;0,MID('_Engine'!$AP37,WEEKDAY(Settings!$F42,2),1)="W"),Settings!$F42,0),0)</ns0:f>
        <ns0:v>0</ns0:v>
      </ns0:c>
      <ns0:c r="AA37" s="0">
        <ns0:f>IFERROR(IF(AND('_Engine'!$X37=1,ISNUMBER(Settings!$F43),Settings!$F43&gt;0,MID('_Engine'!$AP37,WEEKDAY(Settings!$F43,2),1)="W"),Settings!$F43,0),0)</ns0:f>
        <ns0:v>0</ns0:v>
      </ns0:c>
      <ns0:c r="AB37" s="0">
        <ns0:f>IFERROR(IF(AND('_Engine'!$X37=1,ISNUMBER(Settings!$F44),Settings!$F44&gt;0,MID('_Engine'!$AP37,WEEKDAY(Settings!$F44,2),1)="W"),Settings!$F44,0),0)</ns0:f>
        <ns0:v>0</ns0:v>
      </ns0:c>
      <ns0:c r="AC37" s="0">
        <ns0:f>IFERROR(IF(AND('_Engine'!$X37=1,ISNUMBER(Settings!$F45),Settings!$F45&gt;0,MID('_Engine'!$AP37,WEEKDAY(Settings!$F45,2),1)="W"),Settings!$F45,0),0)</ns0:f>
        <ns0:v>0</ns0:v>
      </ns0:c>
      <ns0:c r="AD37" s="0">
        <ns0:f>IFERROR(IF(AND('_Engine'!$X37=1,ISNUMBER(Settings!$F46),Settings!$F46&gt;0,MID('_Engine'!$AP37,WEEKDAY(Settings!$F46,2),1)="W"),Settings!$F46,0),0)</ns0:f>
        <ns0:v>0</ns0:v>
      </ns0:c>
      <ns0:c r="AE37" s="0">
        <ns0:f>IFERROR(IF(AND('_Engine'!$X37=1,ISNUMBER(Settings!$F47),Settings!$F47&gt;0,MID('_Engine'!$AP37,WEEKDAY(Settings!$F47,2),1)="W"),Settings!$F47,0),0)</ns0:f>
        <ns0:v>0</ns0:v>
      </ns0:c>
      <ns0:c r="AF37" s="0">
        <ns0:f>IFERROR(IF(AND('_Engine'!$X37=1,ISNUMBER(Settings!$F48),Settings!$F48&gt;0,MID('_Engine'!$AP37,WEEKDAY(Settings!$F48,2),1)="W"),Settings!$F48,0),0)</ns0:f>
        <ns0:v>0</ns0:v>
      </ns0:c>
      <ns0:c r="AG37" s="0">
        <ns0:f>IFERROR(IF(AND('_Engine'!$X37=1,ISNUMBER(Settings!$F49),Settings!$F49&gt;0,MID('_Engine'!$AP37,WEEKDAY(Settings!$F49,2),1)="W"),Settings!$F49,0),0)</ns0:f>
        <ns0:v>0</ns0:v>
      </ns0:c>
      <ns0:c r="AH37" s="0">
        <ns0:f>IFERROR(IF(AND('_Engine'!$X37=1,ISNUMBER(Settings!$F50),Settings!$F50&gt;0,MID('_Engine'!$AP37,WEEKDAY(Settings!$F50,2),1)="W"),Settings!$F50,0),0)</ns0:f>
        <ns0:v>0</ns0:v>
      </ns0:c>
      <ns0:c r="AI37" s="0">
        <ns0:f>IFERROR(IF(AND('_Engine'!$X37=1,ISNUMBER(Settings!$F51),Settings!$F51&gt;0,MID('_Engine'!$AP37,WEEKDAY(Settings!$F51,2),1)="W"),Settings!$F51,0),0)</ns0:f>
        <ns0:v>0</ns0:v>
      </ns0:c>
      <ns0:c r="AJ37" s="0">
        <ns0:f>IFERROR(IF(AND('_Engine'!$X37=1,ISNUMBER(Settings!$F52),Settings!$F52&gt;0,MID('_Engine'!$AP37,WEEKDAY(Settings!$F52,2),1)="W"),Settings!$F52,0),0)</ns0:f>
        <ns0:v>0</ns0:v>
      </ns0:c>
      <ns0:c r="AK37" s="0">
        <ns0:f>IFERROR(IF(AND('_Engine'!$X37=1,ISNUMBER(Settings!$F53),Settings!$F53&gt;0,MID('_Engine'!$AP37,WEEKDAY(Settings!$F53,2),1)="W"),Settings!$F53,0),0)</ns0:f>
        <ns0:v>0</ns0:v>
      </ns0:c>
      <ns0:c r="AL37" s="0">
        <ns0:f>IFERROR(IF(AND('_Engine'!$X37=1,ISNUMBER(Settings!$F54),Settings!$F54&gt;0,MID('_Engine'!$AP37,WEEKDAY(Settings!$F54,2),1)="W"),Settings!$F54,0),0)</ns0:f>
        <ns0:v>0</ns0:v>
      </ns0:c>
      <ns0:c r="AM37" s="0">
        <ns0:f>IFERROR(IF(AND('_Engine'!$X37=1,ISNUMBER(Settings!$F55),Settings!$F55&gt;0,MID('_Engine'!$AP37,WEEKDAY(Settings!$F55,2),1)="W"),Settings!$F55,0),0)</ns0:f>
        <ns0:v>0</ns0:v>
      </ns0:c>
      <ns0:c r="AN37" s="0">
        <ns0:f>IFERROR(IF(AND('_Engine'!$X37=1,ISNUMBER(Settings!$F56),Settings!$F56&gt;0,MID('_Engine'!$AP37,WEEKDAY(Settings!$F56,2),1)="W"),Settings!$F56,0),0)</ns0:f>
        <ns0:v>0</ns0:v>
      </ns0:c>
      <ns0:c r="AO37" s="0">
        <ns0:f>IFERROR(IF(AND('_Engine'!$X37=1,ISNUMBER(Settings!$F57),Settings!$F57&gt;0,MID('_Engine'!$AP37,WEEKDAY(Settings!$F57,2),1)="W"),Settings!$F57,0),0)</ns0:f>
        <ns0:v>0</ns0:v>
      </ns0:c>
      <ns0:c r="AP37" s="0">
        <ns0:f>IFERROR(IF(AND('_Engine'!$X37=1,ISNUMBER(Settings!$F58),Settings!$F58&gt;0,MID('_Engine'!$AP37,WEEKDAY(Settings!$F58,2),1)="W"),Settings!$F58,0),0)</ns0:f>
        <ns0:v>0</ns0:v>
      </ns0:c>
      <ns0:c r="AQ37" s="0">
        <ns0:f>IFERROR(IF(AND('_Engine'!$X37=1,ISNUMBER(Settings!$F59),Settings!$F59&gt;0,MID('_Engine'!$AP37,WEEKDAY(Settings!$F59,2),1)="W"),Settings!$F59,0),0)</ns0:f>
        <ns0:v>0</ns0:v>
      </ns0:c>
      <ns0:c r="AR37" s="0">
        <ns0:f>IFERROR(IF(AND('_Engine'!$X37=1,ISNUMBER(Settings!$F60),Settings!$F60&gt;0,MID('_Engine'!$AP37,WEEKDAY(Settings!$F60,2),1)="W"),Settings!$F60,0),0)</ns0:f>
        <ns0:v>0</ns0:v>
      </ns0:c>
      <ns0:c r="AS37" s="0">
        <ns0:f>IFERROR(IF(AND('_Engine'!$X37=1,ISNUMBER(Settings!$F61),Settings!$F61&gt;0,MID('_Engine'!$AP37,WEEKDAY(Settings!$F61,2),1)="W"),Settings!$F61,0),0)</ns0:f>
        <ns0:v>0</ns0:v>
      </ns0:c>
      <ns0:c r="AT37" s="0">
        <ns0:f>IFERROR(IF(AND('_Engine'!$X37=1,ISNUMBER(Settings!$F62),Settings!$F62&gt;0,MID('_Engine'!$AP37,WEEKDAY(Settings!$F62,2),1)="W"),Settings!$F62,0),0)</ns0:f>
        <ns0:v>0</ns0:v>
      </ns0:c>
      <ns0:c r="AU37" s="0">
        <ns0:f>IFERROR(IF(AND('_Engine'!$X37=1,ISNUMBER(Settings!$F63),Settings!$F63&gt;0,MID('_Engine'!$AP37,WEEKDAY(Settings!$F63,2),1)="W"),Settings!$F63,0),0)</ns0:f>
        <ns0:v>0</ns0:v>
      </ns0:c>
      <ns0:c r="AV37" s="0">
        <ns0:f>IFERROR(IF(AND('_Engine'!$X37=1,ISNUMBER(Settings!$F64),Settings!$F64&gt;0,MID('_Engine'!$AP37,WEEKDAY(Settings!$F64,2),1)="W"),Settings!$F64,0),0)</ns0:f>
        <ns0:v>0</ns0:v>
      </ns0:c>
      <ns0:c r="AW37" s="0">
        <ns0:f>IFERROR(IF(AND('_Engine'!$X37=1,ISNUMBER(Settings!$F65),Settings!$F65&gt;0,MID('_Engine'!$AP37,WEEKDAY(Settings!$F65,2),1)="W"),Settings!$F65,0),0)</ns0:f>
        <ns0:v>0</ns0:v>
      </ns0:c>
      <ns0:c r="AX37" s="0">
        <ns0:f>IFERROR(IF(AND('_Engine'!$X37=1,ISNUMBER(Settings!$F66),Settings!$F66&gt;0,MID('_Engine'!$AP37,WEEKDAY(Settings!$F66,2),1)="W"),Settings!$F66,0),0)</ns0:f>
        <ns0:v>0</ns0:v>
      </ns0:c>
      <ns0:c r="AY37" s="0">
        <ns0:f>IFERROR(IF(AND('_Engine'!$X37=1,ISNUMBER(Settings!$F67),Settings!$F67&gt;0,MID('_Engine'!$AP37,WEEKDAY(Settings!$F67,2),1)="W"),Settings!$F67,0),0)</ns0:f>
        <ns0:v>0</ns0:v>
      </ns0:c>
    </ns0:row>
    <ns0:row r="38">
      <ns0:c r="B38" s="0">
        <ns0:f>IFERROR(IF(AND('_Engine'!$X38=1,ISNUMBER(Settings!$F18),Settings!$F18&gt;0,MID('_Engine'!$AP38,WEEKDAY(Settings!$F18,2),1)="W"),Settings!$F18,0),0)</ns0:f>
        <ns0:v>0</ns0:v>
      </ns0:c>
      <ns0:c r="C38" s="0">
        <ns0:f>IFERROR(IF(AND('_Engine'!$X38=1,ISNUMBER(Settings!$F19),Settings!$F19&gt;0,MID('_Engine'!$AP38,WEEKDAY(Settings!$F19,2),1)="W"),Settings!$F19,0),0)</ns0:f>
        <ns0:v>0</ns0:v>
      </ns0:c>
      <ns0:c r="D38" s="0">
        <ns0:f>IFERROR(IF(AND('_Engine'!$X38=1,ISNUMBER(Settings!$F20),Settings!$F20&gt;0,MID('_Engine'!$AP38,WEEKDAY(Settings!$F20,2),1)="W"),Settings!$F20,0),0)</ns0:f>
        <ns0:v>0</ns0:v>
      </ns0:c>
      <ns0:c r="E38" s="0">
        <ns0:f>IFERROR(IF(AND('_Engine'!$X38=1,ISNUMBER(Settings!$F21),Settings!$F21&gt;0,MID('_Engine'!$AP38,WEEKDAY(Settings!$F21,2),1)="W"),Settings!$F21,0),0)</ns0:f>
        <ns0:v>0</ns0:v>
      </ns0:c>
      <ns0:c r="F38" s="0">
        <ns0:f>IFERROR(IF(AND('_Engine'!$X38=1,ISNUMBER(Settings!$F22),Settings!$F22&gt;0,MID('_Engine'!$AP38,WEEKDAY(Settings!$F22,2),1)="W"),Settings!$F22,0),0)</ns0:f>
        <ns0:v>0</ns0:v>
      </ns0:c>
      <ns0:c r="G38" s="0">
        <ns0:f>IFERROR(IF(AND('_Engine'!$X38=1,ISNUMBER(Settings!$F23),Settings!$F23&gt;0,MID('_Engine'!$AP38,WEEKDAY(Settings!$F23,2),1)="W"),Settings!$F23,0),0)</ns0:f>
        <ns0:v>0</ns0:v>
      </ns0:c>
      <ns0:c r="H38" s="0">
        <ns0:f>IFERROR(IF(AND('_Engine'!$X38=1,ISNUMBER(Settings!$F24),Settings!$F24&gt;0,MID('_Engine'!$AP38,WEEKDAY(Settings!$F24,2),1)="W"),Settings!$F24,0),0)</ns0:f>
        <ns0:v>0</ns0:v>
      </ns0:c>
      <ns0:c r="I38" s="0">
        <ns0:f>IFERROR(IF(AND('_Engine'!$X38=1,ISNUMBER(Settings!$F25),Settings!$F25&gt;0,MID('_Engine'!$AP38,WEEKDAY(Settings!$F25,2),1)="W"),Settings!$F25,0),0)</ns0:f>
        <ns0:v>0</ns0:v>
      </ns0:c>
      <ns0:c r="J38" s="0">
        <ns0:f>IFERROR(IF(AND('_Engine'!$X38=1,ISNUMBER(Settings!$F26),Settings!$F26&gt;0,MID('_Engine'!$AP38,WEEKDAY(Settings!$F26,2),1)="W"),Settings!$F26,0),0)</ns0:f>
        <ns0:v>0</ns0:v>
      </ns0:c>
      <ns0:c r="K38" s="0">
        <ns0:f>IFERROR(IF(AND('_Engine'!$X38=1,ISNUMBER(Settings!$F27),Settings!$F27&gt;0,MID('_Engine'!$AP38,WEEKDAY(Settings!$F27,2),1)="W"),Settings!$F27,0),0)</ns0:f>
        <ns0:v>0</ns0:v>
      </ns0:c>
      <ns0:c r="L38" s="0">
        <ns0:f>IFERROR(IF(AND('_Engine'!$X38=1,ISNUMBER(Settings!$F28),Settings!$F28&gt;0,MID('_Engine'!$AP38,WEEKDAY(Settings!$F28,2),1)="W"),Settings!$F28,0),0)</ns0:f>
        <ns0:v>0</ns0:v>
      </ns0:c>
      <ns0:c r="M38" s="0">
        <ns0:f>IFERROR(IF(AND('_Engine'!$X38=1,ISNUMBER(Settings!$F29),Settings!$F29&gt;0,MID('_Engine'!$AP38,WEEKDAY(Settings!$F29,2),1)="W"),Settings!$F29,0),0)</ns0:f>
        <ns0:v>0</ns0:v>
      </ns0:c>
      <ns0:c r="N38" s="0">
        <ns0:f>IFERROR(IF(AND('_Engine'!$X38=1,ISNUMBER(Settings!$F30),Settings!$F30&gt;0,MID('_Engine'!$AP38,WEEKDAY(Settings!$F30,2),1)="W"),Settings!$F30,0),0)</ns0:f>
        <ns0:v>0</ns0:v>
      </ns0:c>
      <ns0:c r="O38" s="0">
        <ns0:f>IFERROR(IF(AND('_Engine'!$X38=1,ISNUMBER(Settings!$F31),Settings!$F31&gt;0,MID('_Engine'!$AP38,WEEKDAY(Settings!$F31,2),1)="W"),Settings!$F31,0),0)</ns0:f>
        <ns0:v>0</ns0:v>
      </ns0:c>
      <ns0:c r="P38" s="0">
        <ns0:f>IFERROR(IF(AND('_Engine'!$X38=1,ISNUMBER(Settings!$F32),Settings!$F32&gt;0,MID('_Engine'!$AP38,WEEKDAY(Settings!$F32,2),1)="W"),Settings!$F32,0),0)</ns0:f>
        <ns0:v>0</ns0:v>
      </ns0:c>
      <ns0:c r="Q38" s="0">
        <ns0:f>IFERROR(IF(AND('_Engine'!$X38=1,ISNUMBER(Settings!$F33),Settings!$F33&gt;0,MID('_Engine'!$AP38,WEEKDAY(Settings!$F33,2),1)="W"),Settings!$F33,0),0)</ns0:f>
        <ns0:v>0</ns0:v>
      </ns0:c>
      <ns0:c r="R38" s="0">
        <ns0:f>IFERROR(IF(AND('_Engine'!$X38=1,ISNUMBER(Settings!$F34),Settings!$F34&gt;0,MID('_Engine'!$AP38,WEEKDAY(Settings!$F34,2),1)="W"),Settings!$F34,0),0)</ns0:f>
        <ns0:v>0</ns0:v>
      </ns0:c>
      <ns0:c r="S38" s="0">
        <ns0:f>IFERROR(IF(AND('_Engine'!$X38=1,ISNUMBER(Settings!$F35),Settings!$F35&gt;0,MID('_Engine'!$AP38,WEEKDAY(Settings!$F35,2),1)="W"),Settings!$F35,0),0)</ns0:f>
        <ns0:v>0</ns0:v>
      </ns0:c>
      <ns0:c r="T38" s="0">
        <ns0:f>IFERROR(IF(AND('_Engine'!$X38=1,ISNUMBER(Settings!$F36),Settings!$F36&gt;0,MID('_Engine'!$AP38,WEEKDAY(Settings!$F36,2),1)="W"),Settings!$F36,0),0)</ns0:f>
        <ns0:v>0</ns0:v>
      </ns0:c>
      <ns0:c r="U38" s="0">
        <ns0:f>IFERROR(IF(AND('_Engine'!$X38=1,ISNUMBER(Settings!$F37),Settings!$F37&gt;0,MID('_Engine'!$AP38,WEEKDAY(Settings!$F37,2),1)="W"),Settings!$F37,0),0)</ns0:f>
        <ns0:v>0</ns0:v>
      </ns0:c>
      <ns0:c r="V38" s="0">
        <ns0:f>IFERROR(IF(AND('_Engine'!$X38=1,ISNUMBER(Settings!$F38),Settings!$F38&gt;0,MID('_Engine'!$AP38,WEEKDAY(Settings!$F38,2),1)="W"),Settings!$F38,0),0)</ns0:f>
        <ns0:v>0</ns0:v>
      </ns0:c>
      <ns0:c r="W38" s="0">
        <ns0:f>IFERROR(IF(AND('_Engine'!$X38=1,ISNUMBER(Settings!$F39),Settings!$F39&gt;0,MID('_Engine'!$AP38,WEEKDAY(Settings!$F39,2),1)="W"),Settings!$F39,0),0)</ns0:f>
        <ns0:v>0</ns0:v>
      </ns0:c>
      <ns0:c r="X38" s="0">
        <ns0:f>IFERROR(IF(AND('_Engine'!$X38=1,ISNUMBER(Settings!$F40),Settings!$F40&gt;0,MID('_Engine'!$AP38,WEEKDAY(Settings!$F40,2),1)="W"),Settings!$F40,0),0)</ns0:f>
        <ns0:v>0</ns0:v>
      </ns0:c>
      <ns0:c r="Y38" s="0">
        <ns0:f>IFERROR(IF(AND('_Engine'!$X38=1,ISNUMBER(Settings!$F41),Settings!$F41&gt;0,MID('_Engine'!$AP38,WEEKDAY(Settings!$F41,2),1)="W"),Settings!$F41,0),0)</ns0:f>
        <ns0:v>0</ns0:v>
      </ns0:c>
      <ns0:c r="Z38" s="0">
        <ns0:f>IFERROR(IF(AND('_Engine'!$X38=1,ISNUMBER(Settings!$F42),Settings!$F42&gt;0,MID('_Engine'!$AP38,WEEKDAY(Settings!$F42,2),1)="W"),Settings!$F42,0),0)</ns0:f>
        <ns0:v>0</ns0:v>
      </ns0:c>
      <ns0:c r="AA38" s="0">
        <ns0:f>IFERROR(IF(AND('_Engine'!$X38=1,ISNUMBER(Settings!$F43),Settings!$F43&gt;0,MID('_Engine'!$AP38,WEEKDAY(Settings!$F43,2),1)="W"),Settings!$F43,0),0)</ns0:f>
        <ns0:v>0</ns0:v>
      </ns0:c>
      <ns0:c r="AB38" s="0">
        <ns0:f>IFERROR(IF(AND('_Engine'!$X38=1,ISNUMBER(Settings!$F44),Settings!$F44&gt;0,MID('_Engine'!$AP38,WEEKDAY(Settings!$F44,2),1)="W"),Settings!$F44,0),0)</ns0:f>
        <ns0:v>0</ns0:v>
      </ns0:c>
      <ns0:c r="AC38" s="0">
        <ns0:f>IFERROR(IF(AND('_Engine'!$X38=1,ISNUMBER(Settings!$F45),Settings!$F45&gt;0,MID('_Engine'!$AP38,WEEKDAY(Settings!$F45,2),1)="W"),Settings!$F45,0),0)</ns0:f>
        <ns0:v>0</ns0:v>
      </ns0:c>
      <ns0:c r="AD38" s="0">
        <ns0:f>IFERROR(IF(AND('_Engine'!$X38=1,ISNUMBER(Settings!$F46),Settings!$F46&gt;0,MID('_Engine'!$AP38,WEEKDAY(Settings!$F46,2),1)="W"),Settings!$F46,0),0)</ns0:f>
        <ns0:v>0</ns0:v>
      </ns0:c>
      <ns0:c r="AE38" s="0">
        <ns0:f>IFERROR(IF(AND('_Engine'!$X38=1,ISNUMBER(Settings!$F47),Settings!$F47&gt;0,MID('_Engine'!$AP38,WEEKDAY(Settings!$F47,2),1)="W"),Settings!$F47,0),0)</ns0:f>
        <ns0:v>0</ns0:v>
      </ns0:c>
      <ns0:c r="AF38" s="0">
        <ns0:f>IFERROR(IF(AND('_Engine'!$X38=1,ISNUMBER(Settings!$F48),Settings!$F48&gt;0,MID('_Engine'!$AP38,WEEKDAY(Settings!$F48,2),1)="W"),Settings!$F48,0),0)</ns0:f>
        <ns0:v>0</ns0:v>
      </ns0:c>
      <ns0:c r="AG38" s="0">
        <ns0:f>IFERROR(IF(AND('_Engine'!$X38=1,ISNUMBER(Settings!$F49),Settings!$F49&gt;0,MID('_Engine'!$AP38,WEEKDAY(Settings!$F49,2),1)="W"),Settings!$F49,0),0)</ns0:f>
        <ns0:v>0</ns0:v>
      </ns0:c>
      <ns0:c r="AH38" s="0">
        <ns0:f>IFERROR(IF(AND('_Engine'!$X38=1,ISNUMBER(Settings!$F50),Settings!$F50&gt;0,MID('_Engine'!$AP38,WEEKDAY(Settings!$F50,2),1)="W"),Settings!$F50,0),0)</ns0:f>
        <ns0:v>0</ns0:v>
      </ns0:c>
      <ns0:c r="AI38" s="0">
        <ns0:f>IFERROR(IF(AND('_Engine'!$X38=1,ISNUMBER(Settings!$F51),Settings!$F51&gt;0,MID('_Engine'!$AP38,WEEKDAY(Settings!$F51,2),1)="W"),Settings!$F51,0),0)</ns0:f>
        <ns0:v>0</ns0:v>
      </ns0:c>
      <ns0:c r="AJ38" s="0">
        <ns0:f>IFERROR(IF(AND('_Engine'!$X38=1,ISNUMBER(Settings!$F52),Settings!$F52&gt;0,MID('_Engine'!$AP38,WEEKDAY(Settings!$F52,2),1)="W"),Settings!$F52,0),0)</ns0:f>
        <ns0:v>0</ns0:v>
      </ns0:c>
      <ns0:c r="AK38" s="0">
        <ns0:f>IFERROR(IF(AND('_Engine'!$X38=1,ISNUMBER(Settings!$F53),Settings!$F53&gt;0,MID('_Engine'!$AP38,WEEKDAY(Settings!$F53,2),1)="W"),Settings!$F53,0),0)</ns0:f>
        <ns0:v>0</ns0:v>
      </ns0:c>
      <ns0:c r="AL38" s="0">
        <ns0:f>IFERROR(IF(AND('_Engine'!$X38=1,ISNUMBER(Settings!$F54),Settings!$F54&gt;0,MID('_Engine'!$AP38,WEEKDAY(Settings!$F54,2),1)="W"),Settings!$F54,0),0)</ns0:f>
        <ns0:v>0</ns0:v>
      </ns0:c>
      <ns0:c r="AM38" s="0">
        <ns0:f>IFERROR(IF(AND('_Engine'!$X38=1,ISNUMBER(Settings!$F55),Settings!$F55&gt;0,MID('_Engine'!$AP38,WEEKDAY(Settings!$F55,2),1)="W"),Settings!$F55,0),0)</ns0:f>
        <ns0:v>0</ns0:v>
      </ns0:c>
      <ns0:c r="AN38" s="0">
        <ns0:f>IFERROR(IF(AND('_Engine'!$X38=1,ISNUMBER(Settings!$F56),Settings!$F56&gt;0,MID('_Engine'!$AP38,WEEKDAY(Settings!$F56,2),1)="W"),Settings!$F56,0),0)</ns0:f>
        <ns0:v>0</ns0:v>
      </ns0:c>
      <ns0:c r="AO38" s="0">
        <ns0:f>IFERROR(IF(AND('_Engine'!$X38=1,ISNUMBER(Settings!$F57),Settings!$F57&gt;0,MID('_Engine'!$AP38,WEEKDAY(Settings!$F57,2),1)="W"),Settings!$F57,0),0)</ns0:f>
        <ns0:v>0</ns0:v>
      </ns0:c>
      <ns0:c r="AP38" s="0">
        <ns0:f>IFERROR(IF(AND('_Engine'!$X38=1,ISNUMBER(Settings!$F58),Settings!$F58&gt;0,MID('_Engine'!$AP38,WEEKDAY(Settings!$F58,2),1)="W"),Settings!$F58,0),0)</ns0:f>
        <ns0:v>0</ns0:v>
      </ns0:c>
      <ns0:c r="AQ38" s="0">
        <ns0:f>IFERROR(IF(AND('_Engine'!$X38=1,ISNUMBER(Settings!$F59),Settings!$F59&gt;0,MID('_Engine'!$AP38,WEEKDAY(Settings!$F59,2),1)="W"),Settings!$F59,0),0)</ns0:f>
        <ns0:v>0</ns0:v>
      </ns0:c>
      <ns0:c r="AR38" s="0">
        <ns0:f>IFERROR(IF(AND('_Engine'!$X38=1,ISNUMBER(Settings!$F60),Settings!$F60&gt;0,MID('_Engine'!$AP38,WEEKDAY(Settings!$F60,2),1)="W"),Settings!$F60,0),0)</ns0:f>
        <ns0:v>0</ns0:v>
      </ns0:c>
      <ns0:c r="AS38" s="0">
        <ns0:f>IFERROR(IF(AND('_Engine'!$X38=1,ISNUMBER(Settings!$F61),Settings!$F61&gt;0,MID('_Engine'!$AP38,WEEKDAY(Settings!$F61,2),1)="W"),Settings!$F61,0),0)</ns0:f>
        <ns0:v>0</ns0:v>
      </ns0:c>
      <ns0:c r="AT38" s="0">
        <ns0:f>IFERROR(IF(AND('_Engine'!$X38=1,ISNUMBER(Settings!$F62),Settings!$F62&gt;0,MID('_Engine'!$AP38,WEEKDAY(Settings!$F62,2),1)="W"),Settings!$F62,0),0)</ns0:f>
        <ns0:v>0</ns0:v>
      </ns0:c>
      <ns0:c r="AU38" s="0">
        <ns0:f>IFERROR(IF(AND('_Engine'!$X38=1,ISNUMBER(Settings!$F63),Settings!$F63&gt;0,MID('_Engine'!$AP38,WEEKDAY(Settings!$F63,2),1)="W"),Settings!$F63,0),0)</ns0:f>
        <ns0:v>0</ns0:v>
      </ns0:c>
      <ns0:c r="AV38" s="0">
        <ns0:f>IFERROR(IF(AND('_Engine'!$X38=1,ISNUMBER(Settings!$F64),Settings!$F64&gt;0,MID('_Engine'!$AP38,WEEKDAY(Settings!$F64,2),1)="W"),Settings!$F64,0),0)</ns0:f>
        <ns0:v>0</ns0:v>
      </ns0:c>
      <ns0:c r="AW38" s="0">
        <ns0:f>IFERROR(IF(AND('_Engine'!$X38=1,ISNUMBER(Settings!$F65),Settings!$F65&gt;0,MID('_Engine'!$AP38,WEEKDAY(Settings!$F65,2),1)="W"),Settings!$F65,0),0)</ns0:f>
        <ns0:v>0</ns0:v>
      </ns0:c>
      <ns0:c r="AX38" s="0">
        <ns0:f>IFERROR(IF(AND('_Engine'!$X38=1,ISNUMBER(Settings!$F66),Settings!$F66&gt;0,MID('_Engine'!$AP38,WEEKDAY(Settings!$F66,2),1)="W"),Settings!$F66,0),0)</ns0:f>
        <ns0:v>0</ns0:v>
      </ns0:c>
      <ns0:c r="AY38" s="0">
        <ns0:f>IFERROR(IF(AND('_Engine'!$X38=1,ISNUMBER(Settings!$F67),Settings!$F67&gt;0,MID('_Engine'!$AP38,WEEKDAY(Settings!$F67,2),1)="W"),Settings!$F67,0),0)</ns0:f>
        <ns0:v>0</ns0:v>
      </ns0:c>
    </ns0:row>
    <ns0:row r="39">
      <ns0:c r="B39" s="0">
        <ns0:f>IFERROR(IF(AND('_Engine'!$X39=1,ISNUMBER(Settings!$F18),Settings!$F18&gt;0,MID('_Engine'!$AP39,WEEKDAY(Settings!$F18,2),1)="W"),Settings!$F18,0),0)</ns0:f>
        <ns0:v>0</ns0:v>
      </ns0:c>
      <ns0:c r="C39" s="0">
        <ns0:f>IFERROR(IF(AND('_Engine'!$X39=1,ISNUMBER(Settings!$F19),Settings!$F19&gt;0,MID('_Engine'!$AP39,WEEKDAY(Settings!$F19,2),1)="W"),Settings!$F19,0),0)</ns0:f>
        <ns0:v>0</ns0:v>
      </ns0:c>
      <ns0:c r="D39" s="0">
        <ns0:f>IFERROR(IF(AND('_Engine'!$X39=1,ISNUMBER(Settings!$F20),Settings!$F20&gt;0,MID('_Engine'!$AP39,WEEKDAY(Settings!$F20,2),1)="W"),Settings!$F20,0),0)</ns0:f>
        <ns0:v>0</ns0:v>
      </ns0:c>
      <ns0:c r="E39" s="0">
        <ns0:f>IFERROR(IF(AND('_Engine'!$X39=1,ISNUMBER(Settings!$F21),Settings!$F21&gt;0,MID('_Engine'!$AP39,WEEKDAY(Settings!$F21,2),1)="W"),Settings!$F21,0),0)</ns0:f>
        <ns0:v>0</ns0:v>
      </ns0:c>
      <ns0:c r="F39" s="0">
        <ns0:f>IFERROR(IF(AND('_Engine'!$X39=1,ISNUMBER(Settings!$F22),Settings!$F22&gt;0,MID('_Engine'!$AP39,WEEKDAY(Settings!$F22,2),1)="W"),Settings!$F22,0),0)</ns0:f>
        <ns0:v>0</ns0:v>
      </ns0:c>
      <ns0:c r="G39" s="0">
        <ns0:f>IFERROR(IF(AND('_Engine'!$X39=1,ISNUMBER(Settings!$F23),Settings!$F23&gt;0,MID('_Engine'!$AP39,WEEKDAY(Settings!$F23,2),1)="W"),Settings!$F23,0),0)</ns0:f>
        <ns0:v>0</ns0:v>
      </ns0:c>
      <ns0:c r="H39" s="0">
        <ns0:f>IFERROR(IF(AND('_Engine'!$X39=1,ISNUMBER(Settings!$F24),Settings!$F24&gt;0,MID('_Engine'!$AP39,WEEKDAY(Settings!$F24,2),1)="W"),Settings!$F24,0),0)</ns0:f>
        <ns0:v>0</ns0:v>
      </ns0:c>
      <ns0:c r="I39" s="0">
        <ns0:f>IFERROR(IF(AND('_Engine'!$X39=1,ISNUMBER(Settings!$F25),Settings!$F25&gt;0,MID('_Engine'!$AP39,WEEKDAY(Settings!$F25,2),1)="W"),Settings!$F25,0),0)</ns0:f>
        <ns0:v>0</ns0:v>
      </ns0:c>
      <ns0:c r="J39" s="0">
        <ns0:f>IFERROR(IF(AND('_Engine'!$X39=1,ISNUMBER(Settings!$F26),Settings!$F26&gt;0,MID('_Engine'!$AP39,WEEKDAY(Settings!$F26,2),1)="W"),Settings!$F26,0),0)</ns0:f>
        <ns0:v>0</ns0:v>
      </ns0:c>
      <ns0:c r="K39" s="0">
        <ns0:f>IFERROR(IF(AND('_Engine'!$X39=1,ISNUMBER(Settings!$F27),Settings!$F27&gt;0,MID('_Engine'!$AP39,WEEKDAY(Settings!$F27,2),1)="W"),Settings!$F27,0),0)</ns0:f>
        <ns0:v>0</ns0:v>
      </ns0:c>
      <ns0:c r="L39" s="0">
        <ns0:f>IFERROR(IF(AND('_Engine'!$X39=1,ISNUMBER(Settings!$F28),Settings!$F28&gt;0,MID('_Engine'!$AP39,WEEKDAY(Settings!$F28,2),1)="W"),Settings!$F28,0),0)</ns0:f>
        <ns0:v>0</ns0:v>
      </ns0:c>
      <ns0:c r="M39" s="0">
        <ns0:f>IFERROR(IF(AND('_Engine'!$X39=1,ISNUMBER(Settings!$F29),Settings!$F29&gt;0,MID('_Engine'!$AP39,WEEKDAY(Settings!$F29,2),1)="W"),Settings!$F29,0),0)</ns0:f>
        <ns0:v>0</ns0:v>
      </ns0:c>
      <ns0:c r="N39" s="0">
        <ns0:f>IFERROR(IF(AND('_Engine'!$X39=1,ISNUMBER(Settings!$F30),Settings!$F30&gt;0,MID('_Engine'!$AP39,WEEKDAY(Settings!$F30,2),1)="W"),Settings!$F30,0),0)</ns0:f>
        <ns0:v>0</ns0:v>
      </ns0:c>
      <ns0:c r="O39" s="0">
        <ns0:f>IFERROR(IF(AND('_Engine'!$X39=1,ISNUMBER(Settings!$F31),Settings!$F31&gt;0,MID('_Engine'!$AP39,WEEKDAY(Settings!$F31,2),1)="W"),Settings!$F31,0),0)</ns0:f>
        <ns0:v>0</ns0:v>
      </ns0:c>
      <ns0:c r="P39" s="0">
        <ns0:f>IFERROR(IF(AND('_Engine'!$X39=1,ISNUMBER(Settings!$F32),Settings!$F32&gt;0,MID('_Engine'!$AP39,WEEKDAY(Settings!$F32,2),1)="W"),Settings!$F32,0),0)</ns0:f>
        <ns0:v>0</ns0:v>
      </ns0:c>
      <ns0:c r="Q39" s="0">
        <ns0:f>IFERROR(IF(AND('_Engine'!$X39=1,ISNUMBER(Settings!$F33),Settings!$F33&gt;0,MID('_Engine'!$AP39,WEEKDAY(Settings!$F33,2),1)="W"),Settings!$F33,0),0)</ns0:f>
        <ns0:v>0</ns0:v>
      </ns0:c>
      <ns0:c r="R39" s="0">
        <ns0:f>IFERROR(IF(AND('_Engine'!$X39=1,ISNUMBER(Settings!$F34),Settings!$F34&gt;0,MID('_Engine'!$AP39,WEEKDAY(Settings!$F34,2),1)="W"),Settings!$F34,0),0)</ns0:f>
        <ns0:v>0</ns0:v>
      </ns0:c>
      <ns0:c r="S39" s="0">
        <ns0:f>IFERROR(IF(AND('_Engine'!$X39=1,ISNUMBER(Settings!$F35),Settings!$F35&gt;0,MID('_Engine'!$AP39,WEEKDAY(Settings!$F35,2),1)="W"),Settings!$F35,0),0)</ns0:f>
        <ns0:v>0</ns0:v>
      </ns0:c>
      <ns0:c r="T39" s="0">
        <ns0:f>IFERROR(IF(AND('_Engine'!$X39=1,ISNUMBER(Settings!$F36),Settings!$F36&gt;0,MID('_Engine'!$AP39,WEEKDAY(Settings!$F36,2),1)="W"),Settings!$F36,0),0)</ns0:f>
        <ns0:v>0</ns0:v>
      </ns0:c>
      <ns0:c r="U39" s="0">
        <ns0:f>IFERROR(IF(AND('_Engine'!$X39=1,ISNUMBER(Settings!$F37),Settings!$F37&gt;0,MID('_Engine'!$AP39,WEEKDAY(Settings!$F37,2),1)="W"),Settings!$F37,0),0)</ns0:f>
        <ns0:v>0</ns0:v>
      </ns0:c>
      <ns0:c r="V39" s="0">
        <ns0:f>IFERROR(IF(AND('_Engine'!$X39=1,ISNUMBER(Settings!$F38),Settings!$F38&gt;0,MID('_Engine'!$AP39,WEEKDAY(Settings!$F38,2),1)="W"),Settings!$F38,0),0)</ns0:f>
        <ns0:v>0</ns0:v>
      </ns0:c>
      <ns0:c r="W39" s="0">
        <ns0:f>IFERROR(IF(AND('_Engine'!$X39=1,ISNUMBER(Settings!$F39),Settings!$F39&gt;0,MID('_Engine'!$AP39,WEEKDAY(Settings!$F39,2),1)="W"),Settings!$F39,0),0)</ns0:f>
        <ns0:v>0</ns0:v>
      </ns0:c>
      <ns0:c r="X39" s="0">
        <ns0:f>IFERROR(IF(AND('_Engine'!$X39=1,ISNUMBER(Settings!$F40),Settings!$F40&gt;0,MID('_Engine'!$AP39,WEEKDAY(Settings!$F40,2),1)="W"),Settings!$F40,0),0)</ns0:f>
        <ns0:v>0</ns0:v>
      </ns0:c>
      <ns0:c r="Y39" s="0">
        <ns0:f>IFERROR(IF(AND('_Engine'!$X39=1,ISNUMBER(Settings!$F41),Settings!$F41&gt;0,MID('_Engine'!$AP39,WEEKDAY(Settings!$F41,2),1)="W"),Settings!$F41,0),0)</ns0:f>
        <ns0:v>0</ns0:v>
      </ns0:c>
      <ns0:c r="Z39" s="0">
        <ns0:f>IFERROR(IF(AND('_Engine'!$X39=1,ISNUMBER(Settings!$F42),Settings!$F42&gt;0,MID('_Engine'!$AP39,WEEKDAY(Settings!$F42,2),1)="W"),Settings!$F42,0),0)</ns0:f>
        <ns0:v>0</ns0:v>
      </ns0:c>
      <ns0:c r="AA39" s="0">
        <ns0:f>IFERROR(IF(AND('_Engine'!$X39=1,ISNUMBER(Settings!$F43),Settings!$F43&gt;0,MID('_Engine'!$AP39,WEEKDAY(Settings!$F43,2),1)="W"),Settings!$F43,0),0)</ns0:f>
        <ns0:v>0</ns0:v>
      </ns0:c>
      <ns0:c r="AB39" s="0">
        <ns0:f>IFERROR(IF(AND('_Engine'!$X39=1,ISNUMBER(Settings!$F44),Settings!$F44&gt;0,MID('_Engine'!$AP39,WEEKDAY(Settings!$F44,2),1)="W"),Settings!$F44,0),0)</ns0:f>
        <ns0:v>0</ns0:v>
      </ns0:c>
      <ns0:c r="AC39" s="0">
        <ns0:f>IFERROR(IF(AND('_Engine'!$X39=1,ISNUMBER(Settings!$F45),Settings!$F45&gt;0,MID('_Engine'!$AP39,WEEKDAY(Settings!$F45,2),1)="W"),Settings!$F45,0),0)</ns0:f>
        <ns0:v>0</ns0:v>
      </ns0:c>
      <ns0:c r="AD39" s="0">
        <ns0:f>IFERROR(IF(AND('_Engine'!$X39=1,ISNUMBER(Settings!$F46),Settings!$F46&gt;0,MID('_Engine'!$AP39,WEEKDAY(Settings!$F46,2),1)="W"),Settings!$F46,0),0)</ns0:f>
        <ns0:v>0</ns0:v>
      </ns0:c>
      <ns0:c r="AE39" s="0">
        <ns0:f>IFERROR(IF(AND('_Engine'!$X39=1,ISNUMBER(Settings!$F47),Settings!$F47&gt;0,MID('_Engine'!$AP39,WEEKDAY(Settings!$F47,2),1)="W"),Settings!$F47,0),0)</ns0:f>
        <ns0:v>0</ns0:v>
      </ns0:c>
      <ns0:c r="AF39" s="0">
        <ns0:f>IFERROR(IF(AND('_Engine'!$X39=1,ISNUMBER(Settings!$F48),Settings!$F48&gt;0,MID('_Engine'!$AP39,WEEKDAY(Settings!$F48,2),1)="W"),Settings!$F48,0),0)</ns0:f>
        <ns0:v>0</ns0:v>
      </ns0:c>
      <ns0:c r="AG39" s="0">
        <ns0:f>IFERROR(IF(AND('_Engine'!$X39=1,ISNUMBER(Settings!$F49),Settings!$F49&gt;0,MID('_Engine'!$AP39,WEEKDAY(Settings!$F49,2),1)="W"),Settings!$F49,0),0)</ns0:f>
        <ns0:v>0</ns0:v>
      </ns0:c>
      <ns0:c r="AH39" s="0">
        <ns0:f>IFERROR(IF(AND('_Engine'!$X39=1,ISNUMBER(Settings!$F50),Settings!$F50&gt;0,MID('_Engine'!$AP39,WEEKDAY(Settings!$F50,2),1)="W"),Settings!$F50,0),0)</ns0:f>
        <ns0:v>0</ns0:v>
      </ns0:c>
      <ns0:c r="AI39" s="0">
        <ns0:f>IFERROR(IF(AND('_Engine'!$X39=1,ISNUMBER(Settings!$F51),Settings!$F51&gt;0,MID('_Engine'!$AP39,WEEKDAY(Settings!$F51,2),1)="W"),Settings!$F51,0),0)</ns0:f>
        <ns0:v>0</ns0:v>
      </ns0:c>
      <ns0:c r="AJ39" s="0">
        <ns0:f>IFERROR(IF(AND('_Engine'!$X39=1,ISNUMBER(Settings!$F52),Settings!$F52&gt;0,MID('_Engine'!$AP39,WEEKDAY(Settings!$F52,2),1)="W"),Settings!$F52,0),0)</ns0:f>
        <ns0:v>0</ns0:v>
      </ns0:c>
      <ns0:c r="AK39" s="0">
        <ns0:f>IFERROR(IF(AND('_Engine'!$X39=1,ISNUMBER(Settings!$F53),Settings!$F53&gt;0,MID('_Engine'!$AP39,WEEKDAY(Settings!$F53,2),1)="W"),Settings!$F53,0),0)</ns0:f>
        <ns0:v>0</ns0:v>
      </ns0:c>
      <ns0:c r="AL39" s="0">
        <ns0:f>IFERROR(IF(AND('_Engine'!$X39=1,ISNUMBER(Settings!$F54),Settings!$F54&gt;0,MID('_Engine'!$AP39,WEEKDAY(Settings!$F54,2),1)="W"),Settings!$F54,0),0)</ns0:f>
        <ns0:v>0</ns0:v>
      </ns0:c>
      <ns0:c r="AM39" s="0">
        <ns0:f>IFERROR(IF(AND('_Engine'!$X39=1,ISNUMBER(Settings!$F55),Settings!$F55&gt;0,MID('_Engine'!$AP39,WEEKDAY(Settings!$F55,2),1)="W"),Settings!$F55,0),0)</ns0:f>
        <ns0:v>0</ns0:v>
      </ns0:c>
      <ns0:c r="AN39" s="0">
        <ns0:f>IFERROR(IF(AND('_Engine'!$X39=1,ISNUMBER(Settings!$F56),Settings!$F56&gt;0,MID('_Engine'!$AP39,WEEKDAY(Settings!$F56,2),1)="W"),Settings!$F56,0),0)</ns0:f>
        <ns0:v>0</ns0:v>
      </ns0:c>
      <ns0:c r="AO39" s="0">
        <ns0:f>IFERROR(IF(AND('_Engine'!$X39=1,ISNUMBER(Settings!$F57),Settings!$F57&gt;0,MID('_Engine'!$AP39,WEEKDAY(Settings!$F57,2),1)="W"),Settings!$F57,0),0)</ns0:f>
        <ns0:v>0</ns0:v>
      </ns0:c>
      <ns0:c r="AP39" s="0">
        <ns0:f>IFERROR(IF(AND('_Engine'!$X39=1,ISNUMBER(Settings!$F58),Settings!$F58&gt;0,MID('_Engine'!$AP39,WEEKDAY(Settings!$F58,2),1)="W"),Settings!$F58,0),0)</ns0:f>
        <ns0:v>0</ns0:v>
      </ns0:c>
      <ns0:c r="AQ39" s="0">
        <ns0:f>IFERROR(IF(AND('_Engine'!$X39=1,ISNUMBER(Settings!$F59),Settings!$F59&gt;0,MID('_Engine'!$AP39,WEEKDAY(Settings!$F59,2),1)="W"),Settings!$F59,0),0)</ns0:f>
        <ns0:v>0</ns0:v>
      </ns0:c>
      <ns0:c r="AR39" s="0">
        <ns0:f>IFERROR(IF(AND('_Engine'!$X39=1,ISNUMBER(Settings!$F60),Settings!$F60&gt;0,MID('_Engine'!$AP39,WEEKDAY(Settings!$F60,2),1)="W"),Settings!$F60,0),0)</ns0:f>
        <ns0:v>0</ns0:v>
      </ns0:c>
      <ns0:c r="AS39" s="0">
        <ns0:f>IFERROR(IF(AND('_Engine'!$X39=1,ISNUMBER(Settings!$F61),Settings!$F61&gt;0,MID('_Engine'!$AP39,WEEKDAY(Settings!$F61,2),1)="W"),Settings!$F61,0),0)</ns0:f>
        <ns0:v>0</ns0:v>
      </ns0:c>
      <ns0:c r="AT39" s="0">
        <ns0:f>IFERROR(IF(AND('_Engine'!$X39=1,ISNUMBER(Settings!$F62),Settings!$F62&gt;0,MID('_Engine'!$AP39,WEEKDAY(Settings!$F62,2),1)="W"),Settings!$F62,0),0)</ns0:f>
        <ns0:v>0</ns0:v>
      </ns0:c>
      <ns0:c r="AU39" s="0">
        <ns0:f>IFERROR(IF(AND('_Engine'!$X39=1,ISNUMBER(Settings!$F63),Settings!$F63&gt;0,MID('_Engine'!$AP39,WEEKDAY(Settings!$F63,2),1)="W"),Settings!$F63,0),0)</ns0:f>
        <ns0:v>0</ns0:v>
      </ns0:c>
      <ns0:c r="AV39" s="0">
        <ns0:f>IFERROR(IF(AND('_Engine'!$X39=1,ISNUMBER(Settings!$F64),Settings!$F64&gt;0,MID('_Engine'!$AP39,WEEKDAY(Settings!$F64,2),1)="W"),Settings!$F64,0),0)</ns0:f>
        <ns0:v>0</ns0:v>
      </ns0:c>
      <ns0:c r="AW39" s="0">
        <ns0:f>IFERROR(IF(AND('_Engine'!$X39=1,ISNUMBER(Settings!$F65),Settings!$F65&gt;0,MID('_Engine'!$AP39,WEEKDAY(Settings!$F65,2),1)="W"),Settings!$F65,0),0)</ns0:f>
        <ns0:v>0</ns0:v>
      </ns0:c>
      <ns0:c r="AX39" s="0">
        <ns0:f>IFERROR(IF(AND('_Engine'!$X39=1,ISNUMBER(Settings!$F66),Settings!$F66&gt;0,MID('_Engine'!$AP39,WEEKDAY(Settings!$F66,2),1)="W"),Settings!$F66,0),0)</ns0:f>
        <ns0:v>0</ns0:v>
      </ns0:c>
      <ns0:c r="AY39" s="0">
        <ns0:f>IFERROR(IF(AND('_Engine'!$X39=1,ISNUMBER(Settings!$F67),Settings!$F67&gt;0,MID('_Engine'!$AP39,WEEKDAY(Settings!$F67,2),1)="W"),Settings!$F67,0),0)</ns0:f>
        <ns0:v>0</ns0:v>
      </ns0:c>
    </ns0:row>
    <ns0:row r="40">
      <ns0:c r="B40" s="0">
        <ns0:f>IFERROR(IF(AND('_Engine'!$X40=1,ISNUMBER(Settings!$F18),Settings!$F18&gt;0,MID('_Engine'!$AP40,WEEKDAY(Settings!$F18,2),1)="W"),Settings!$F18,0),0)</ns0:f>
        <ns0:v>0</ns0:v>
      </ns0:c>
      <ns0:c r="C40" s="0">
        <ns0:f>IFERROR(IF(AND('_Engine'!$X40=1,ISNUMBER(Settings!$F19),Settings!$F19&gt;0,MID('_Engine'!$AP40,WEEKDAY(Settings!$F19,2),1)="W"),Settings!$F19,0),0)</ns0:f>
        <ns0:v>0</ns0:v>
      </ns0:c>
      <ns0:c r="D40" s="0">
        <ns0:f>IFERROR(IF(AND('_Engine'!$X40=1,ISNUMBER(Settings!$F20),Settings!$F20&gt;0,MID('_Engine'!$AP40,WEEKDAY(Settings!$F20,2),1)="W"),Settings!$F20,0),0)</ns0:f>
        <ns0:v>0</ns0:v>
      </ns0:c>
      <ns0:c r="E40" s="0">
        <ns0:f>IFERROR(IF(AND('_Engine'!$X40=1,ISNUMBER(Settings!$F21),Settings!$F21&gt;0,MID('_Engine'!$AP40,WEEKDAY(Settings!$F21,2),1)="W"),Settings!$F21,0),0)</ns0:f>
        <ns0:v>0</ns0:v>
      </ns0:c>
      <ns0:c r="F40" s="0">
        <ns0:f>IFERROR(IF(AND('_Engine'!$X40=1,ISNUMBER(Settings!$F22),Settings!$F22&gt;0,MID('_Engine'!$AP40,WEEKDAY(Settings!$F22,2),1)="W"),Settings!$F22,0),0)</ns0:f>
        <ns0:v>0</ns0:v>
      </ns0:c>
      <ns0:c r="G40" s="0">
        <ns0:f>IFERROR(IF(AND('_Engine'!$X40=1,ISNUMBER(Settings!$F23),Settings!$F23&gt;0,MID('_Engine'!$AP40,WEEKDAY(Settings!$F23,2),1)="W"),Settings!$F23,0),0)</ns0:f>
        <ns0:v>0</ns0:v>
      </ns0:c>
      <ns0:c r="H40" s="0">
        <ns0:f>IFERROR(IF(AND('_Engine'!$X40=1,ISNUMBER(Settings!$F24),Settings!$F24&gt;0,MID('_Engine'!$AP40,WEEKDAY(Settings!$F24,2),1)="W"),Settings!$F24,0),0)</ns0:f>
        <ns0:v>0</ns0:v>
      </ns0:c>
      <ns0:c r="I40" s="0">
        <ns0:f>IFERROR(IF(AND('_Engine'!$X40=1,ISNUMBER(Settings!$F25),Settings!$F25&gt;0,MID('_Engine'!$AP40,WEEKDAY(Settings!$F25,2),1)="W"),Settings!$F25,0),0)</ns0:f>
        <ns0:v>0</ns0:v>
      </ns0:c>
      <ns0:c r="J40" s="0">
        <ns0:f>IFERROR(IF(AND('_Engine'!$X40=1,ISNUMBER(Settings!$F26),Settings!$F26&gt;0,MID('_Engine'!$AP40,WEEKDAY(Settings!$F26,2),1)="W"),Settings!$F26,0),0)</ns0:f>
        <ns0:v>0</ns0:v>
      </ns0:c>
      <ns0:c r="K40" s="0">
        <ns0:f>IFERROR(IF(AND('_Engine'!$X40=1,ISNUMBER(Settings!$F27),Settings!$F27&gt;0,MID('_Engine'!$AP40,WEEKDAY(Settings!$F27,2),1)="W"),Settings!$F27,0),0)</ns0:f>
        <ns0:v>0</ns0:v>
      </ns0:c>
      <ns0:c r="L40" s="0">
        <ns0:f>IFERROR(IF(AND('_Engine'!$X40=1,ISNUMBER(Settings!$F28),Settings!$F28&gt;0,MID('_Engine'!$AP40,WEEKDAY(Settings!$F28,2),1)="W"),Settings!$F28,0),0)</ns0:f>
        <ns0:v>0</ns0:v>
      </ns0:c>
      <ns0:c r="M40" s="0">
        <ns0:f>IFERROR(IF(AND('_Engine'!$X40=1,ISNUMBER(Settings!$F29),Settings!$F29&gt;0,MID('_Engine'!$AP40,WEEKDAY(Settings!$F29,2),1)="W"),Settings!$F29,0),0)</ns0:f>
        <ns0:v>0</ns0:v>
      </ns0:c>
      <ns0:c r="N40" s="0">
        <ns0:f>IFERROR(IF(AND('_Engine'!$X40=1,ISNUMBER(Settings!$F30),Settings!$F30&gt;0,MID('_Engine'!$AP40,WEEKDAY(Settings!$F30,2),1)="W"),Settings!$F30,0),0)</ns0:f>
        <ns0:v>0</ns0:v>
      </ns0:c>
      <ns0:c r="O40" s="0">
        <ns0:f>IFERROR(IF(AND('_Engine'!$X40=1,ISNUMBER(Settings!$F31),Settings!$F31&gt;0,MID('_Engine'!$AP40,WEEKDAY(Settings!$F31,2),1)="W"),Settings!$F31,0),0)</ns0:f>
        <ns0:v>0</ns0:v>
      </ns0:c>
      <ns0:c r="P40" s="0">
        <ns0:f>IFERROR(IF(AND('_Engine'!$X40=1,ISNUMBER(Settings!$F32),Settings!$F32&gt;0,MID('_Engine'!$AP40,WEEKDAY(Settings!$F32,2),1)="W"),Settings!$F32,0),0)</ns0:f>
        <ns0:v>0</ns0:v>
      </ns0:c>
      <ns0:c r="Q40" s="0">
        <ns0:f>IFERROR(IF(AND('_Engine'!$X40=1,ISNUMBER(Settings!$F33),Settings!$F33&gt;0,MID('_Engine'!$AP40,WEEKDAY(Settings!$F33,2),1)="W"),Settings!$F33,0),0)</ns0:f>
        <ns0:v>0</ns0:v>
      </ns0:c>
      <ns0:c r="R40" s="0">
        <ns0:f>IFERROR(IF(AND('_Engine'!$X40=1,ISNUMBER(Settings!$F34),Settings!$F34&gt;0,MID('_Engine'!$AP40,WEEKDAY(Settings!$F34,2),1)="W"),Settings!$F34,0),0)</ns0:f>
        <ns0:v>0</ns0:v>
      </ns0:c>
      <ns0:c r="S40" s="0">
        <ns0:f>IFERROR(IF(AND('_Engine'!$X40=1,ISNUMBER(Settings!$F35),Settings!$F35&gt;0,MID('_Engine'!$AP40,WEEKDAY(Settings!$F35,2),1)="W"),Settings!$F35,0),0)</ns0:f>
        <ns0:v>0</ns0:v>
      </ns0:c>
      <ns0:c r="T40" s="0">
        <ns0:f>IFERROR(IF(AND('_Engine'!$X40=1,ISNUMBER(Settings!$F36),Settings!$F36&gt;0,MID('_Engine'!$AP40,WEEKDAY(Settings!$F36,2),1)="W"),Settings!$F36,0),0)</ns0:f>
        <ns0:v>0</ns0:v>
      </ns0:c>
      <ns0:c r="U40" s="0">
        <ns0:f>IFERROR(IF(AND('_Engine'!$X40=1,ISNUMBER(Settings!$F37),Settings!$F37&gt;0,MID('_Engine'!$AP40,WEEKDAY(Settings!$F37,2),1)="W"),Settings!$F37,0),0)</ns0:f>
        <ns0:v>0</ns0:v>
      </ns0:c>
      <ns0:c r="V40" s="0">
        <ns0:f>IFERROR(IF(AND('_Engine'!$X40=1,ISNUMBER(Settings!$F38),Settings!$F38&gt;0,MID('_Engine'!$AP40,WEEKDAY(Settings!$F38,2),1)="W"),Settings!$F38,0),0)</ns0:f>
        <ns0:v>0</ns0:v>
      </ns0:c>
      <ns0:c r="W40" s="0">
        <ns0:f>IFERROR(IF(AND('_Engine'!$X40=1,ISNUMBER(Settings!$F39),Settings!$F39&gt;0,MID('_Engine'!$AP40,WEEKDAY(Settings!$F39,2),1)="W"),Settings!$F39,0),0)</ns0:f>
        <ns0:v>0</ns0:v>
      </ns0:c>
      <ns0:c r="X40" s="0">
        <ns0:f>IFERROR(IF(AND('_Engine'!$X40=1,ISNUMBER(Settings!$F40),Settings!$F40&gt;0,MID('_Engine'!$AP40,WEEKDAY(Settings!$F40,2),1)="W"),Settings!$F40,0),0)</ns0:f>
        <ns0:v>0</ns0:v>
      </ns0:c>
      <ns0:c r="Y40" s="0">
        <ns0:f>IFERROR(IF(AND('_Engine'!$X40=1,ISNUMBER(Settings!$F41),Settings!$F41&gt;0,MID('_Engine'!$AP40,WEEKDAY(Settings!$F41,2),1)="W"),Settings!$F41,0),0)</ns0:f>
        <ns0:v>0</ns0:v>
      </ns0:c>
      <ns0:c r="Z40" s="0">
        <ns0:f>IFERROR(IF(AND('_Engine'!$X40=1,ISNUMBER(Settings!$F42),Settings!$F42&gt;0,MID('_Engine'!$AP40,WEEKDAY(Settings!$F42,2),1)="W"),Settings!$F42,0),0)</ns0:f>
        <ns0:v>0</ns0:v>
      </ns0:c>
      <ns0:c r="AA40" s="0">
        <ns0:f>IFERROR(IF(AND('_Engine'!$X40=1,ISNUMBER(Settings!$F43),Settings!$F43&gt;0,MID('_Engine'!$AP40,WEEKDAY(Settings!$F43,2),1)="W"),Settings!$F43,0),0)</ns0:f>
        <ns0:v>0</ns0:v>
      </ns0:c>
      <ns0:c r="AB40" s="0">
        <ns0:f>IFERROR(IF(AND('_Engine'!$X40=1,ISNUMBER(Settings!$F44),Settings!$F44&gt;0,MID('_Engine'!$AP40,WEEKDAY(Settings!$F44,2),1)="W"),Settings!$F44,0),0)</ns0:f>
        <ns0:v>0</ns0:v>
      </ns0:c>
      <ns0:c r="AC40" s="0">
        <ns0:f>IFERROR(IF(AND('_Engine'!$X40=1,ISNUMBER(Settings!$F45),Settings!$F45&gt;0,MID('_Engine'!$AP40,WEEKDAY(Settings!$F45,2),1)="W"),Settings!$F45,0),0)</ns0:f>
        <ns0:v>0</ns0:v>
      </ns0:c>
      <ns0:c r="AD40" s="0">
        <ns0:f>IFERROR(IF(AND('_Engine'!$X40=1,ISNUMBER(Settings!$F46),Settings!$F46&gt;0,MID('_Engine'!$AP40,WEEKDAY(Settings!$F46,2),1)="W"),Settings!$F46,0),0)</ns0:f>
        <ns0:v>0</ns0:v>
      </ns0:c>
      <ns0:c r="AE40" s="0">
        <ns0:f>IFERROR(IF(AND('_Engine'!$X40=1,ISNUMBER(Settings!$F47),Settings!$F47&gt;0,MID('_Engine'!$AP40,WEEKDAY(Settings!$F47,2),1)="W"),Settings!$F47,0),0)</ns0:f>
        <ns0:v>0</ns0:v>
      </ns0:c>
      <ns0:c r="AF40" s="0">
        <ns0:f>IFERROR(IF(AND('_Engine'!$X40=1,ISNUMBER(Settings!$F48),Settings!$F48&gt;0,MID('_Engine'!$AP40,WEEKDAY(Settings!$F48,2),1)="W"),Settings!$F48,0),0)</ns0:f>
        <ns0:v>0</ns0:v>
      </ns0:c>
      <ns0:c r="AG40" s="0">
        <ns0:f>IFERROR(IF(AND('_Engine'!$X40=1,ISNUMBER(Settings!$F49),Settings!$F49&gt;0,MID('_Engine'!$AP40,WEEKDAY(Settings!$F49,2),1)="W"),Settings!$F49,0),0)</ns0:f>
        <ns0:v>0</ns0:v>
      </ns0:c>
      <ns0:c r="AH40" s="0">
        <ns0:f>IFERROR(IF(AND('_Engine'!$X40=1,ISNUMBER(Settings!$F50),Settings!$F50&gt;0,MID('_Engine'!$AP40,WEEKDAY(Settings!$F50,2),1)="W"),Settings!$F50,0),0)</ns0:f>
        <ns0:v>0</ns0:v>
      </ns0:c>
      <ns0:c r="AI40" s="0">
        <ns0:f>IFERROR(IF(AND('_Engine'!$X40=1,ISNUMBER(Settings!$F51),Settings!$F51&gt;0,MID('_Engine'!$AP40,WEEKDAY(Settings!$F51,2),1)="W"),Settings!$F51,0),0)</ns0:f>
        <ns0:v>0</ns0:v>
      </ns0:c>
      <ns0:c r="AJ40" s="0">
        <ns0:f>IFERROR(IF(AND('_Engine'!$X40=1,ISNUMBER(Settings!$F52),Settings!$F52&gt;0,MID('_Engine'!$AP40,WEEKDAY(Settings!$F52,2),1)="W"),Settings!$F52,0),0)</ns0:f>
        <ns0:v>0</ns0:v>
      </ns0:c>
      <ns0:c r="AK40" s="0">
        <ns0:f>IFERROR(IF(AND('_Engine'!$X40=1,ISNUMBER(Settings!$F53),Settings!$F53&gt;0,MID('_Engine'!$AP40,WEEKDAY(Settings!$F53,2),1)="W"),Settings!$F53,0),0)</ns0:f>
        <ns0:v>0</ns0:v>
      </ns0:c>
      <ns0:c r="AL40" s="0">
        <ns0:f>IFERROR(IF(AND('_Engine'!$X40=1,ISNUMBER(Settings!$F54),Settings!$F54&gt;0,MID('_Engine'!$AP40,WEEKDAY(Settings!$F54,2),1)="W"),Settings!$F54,0),0)</ns0:f>
        <ns0:v>0</ns0:v>
      </ns0:c>
      <ns0:c r="AM40" s="0">
        <ns0:f>IFERROR(IF(AND('_Engine'!$X40=1,ISNUMBER(Settings!$F55),Settings!$F55&gt;0,MID('_Engine'!$AP40,WEEKDAY(Settings!$F55,2),1)="W"),Settings!$F55,0),0)</ns0:f>
        <ns0:v>0</ns0:v>
      </ns0:c>
      <ns0:c r="AN40" s="0">
        <ns0:f>IFERROR(IF(AND('_Engine'!$X40=1,ISNUMBER(Settings!$F56),Settings!$F56&gt;0,MID('_Engine'!$AP40,WEEKDAY(Settings!$F56,2),1)="W"),Settings!$F56,0),0)</ns0:f>
        <ns0:v>0</ns0:v>
      </ns0:c>
      <ns0:c r="AO40" s="0">
        <ns0:f>IFERROR(IF(AND('_Engine'!$X40=1,ISNUMBER(Settings!$F57),Settings!$F57&gt;0,MID('_Engine'!$AP40,WEEKDAY(Settings!$F57,2),1)="W"),Settings!$F57,0),0)</ns0:f>
        <ns0:v>0</ns0:v>
      </ns0:c>
      <ns0:c r="AP40" s="0">
        <ns0:f>IFERROR(IF(AND('_Engine'!$X40=1,ISNUMBER(Settings!$F58),Settings!$F58&gt;0,MID('_Engine'!$AP40,WEEKDAY(Settings!$F58,2),1)="W"),Settings!$F58,0),0)</ns0:f>
        <ns0:v>0</ns0:v>
      </ns0:c>
      <ns0:c r="AQ40" s="0">
        <ns0:f>IFERROR(IF(AND('_Engine'!$X40=1,ISNUMBER(Settings!$F59),Settings!$F59&gt;0,MID('_Engine'!$AP40,WEEKDAY(Settings!$F59,2),1)="W"),Settings!$F59,0),0)</ns0:f>
        <ns0:v>0</ns0:v>
      </ns0:c>
      <ns0:c r="AR40" s="0">
        <ns0:f>IFERROR(IF(AND('_Engine'!$X40=1,ISNUMBER(Settings!$F60),Settings!$F60&gt;0,MID('_Engine'!$AP40,WEEKDAY(Settings!$F60,2),1)="W"),Settings!$F60,0),0)</ns0:f>
        <ns0:v>0</ns0:v>
      </ns0:c>
      <ns0:c r="AS40" s="0">
        <ns0:f>IFERROR(IF(AND('_Engine'!$X40=1,ISNUMBER(Settings!$F61),Settings!$F61&gt;0,MID('_Engine'!$AP40,WEEKDAY(Settings!$F61,2),1)="W"),Settings!$F61,0),0)</ns0:f>
        <ns0:v>0</ns0:v>
      </ns0:c>
      <ns0:c r="AT40" s="0">
        <ns0:f>IFERROR(IF(AND('_Engine'!$X40=1,ISNUMBER(Settings!$F62),Settings!$F62&gt;0,MID('_Engine'!$AP40,WEEKDAY(Settings!$F62,2),1)="W"),Settings!$F62,0),0)</ns0:f>
        <ns0:v>0</ns0:v>
      </ns0:c>
      <ns0:c r="AU40" s="0">
        <ns0:f>IFERROR(IF(AND('_Engine'!$X40=1,ISNUMBER(Settings!$F63),Settings!$F63&gt;0,MID('_Engine'!$AP40,WEEKDAY(Settings!$F63,2),1)="W"),Settings!$F63,0),0)</ns0:f>
        <ns0:v>0</ns0:v>
      </ns0:c>
      <ns0:c r="AV40" s="0">
        <ns0:f>IFERROR(IF(AND('_Engine'!$X40=1,ISNUMBER(Settings!$F64),Settings!$F64&gt;0,MID('_Engine'!$AP40,WEEKDAY(Settings!$F64,2),1)="W"),Settings!$F64,0),0)</ns0:f>
        <ns0:v>0</ns0:v>
      </ns0:c>
      <ns0:c r="AW40" s="0">
        <ns0:f>IFERROR(IF(AND('_Engine'!$X40=1,ISNUMBER(Settings!$F65),Settings!$F65&gt;0,MID('_Engine'!$AP40,WEEKDAY(Settings!$F65,2),1)="W"),Settings!$F65,0),0)</ns0:f>
        <ns0:v>0</ns0:v>
      </ns0:c>
      <ns0:c r="AX40" s="0">
        <ns0:f>IFERROR(IF(AND('_Engine'!$X40=1,ISNUMBER(Settings!$F66),Settings!$F66&gt;0,MID('_Engine'!$AP40,WEEKDAY(Settings!$F66,2),1)="W"),Settings!$F66,0),0)</ns0:f>
        <ns0:v>0</ns0:v>
      </ns0:c>
      <ns0:c r="AY40" s="0">
        <ns0:f>IFERROR(IF(AND('_Engine'!$X40=1,ISNUMBER(Settings!$F67),Settings!$F67&gt;0,MID('_Engine'!$AP40,WEEKDAY(Settings!$F67,2),1)="W"),Settings!$F67,0),0)</ns0:f>
        <ns0:v>0</ns0:v>
      </ns0:c>
    </ns0:row>
    <ns0:row r="41">
      <ns0:c r="B41" s="0">
        <ns0:f>IFERROR(IF(AND('_Engine'!$X41=1,ISNUMBER(Settings!$F18),Settings!$F18&gt;0,MID('_Engine'!$AP41,WEEKDAY(Settings!$F18,2),1)="W"),Settings!$F18,0),0)</ns0:f>
        <ns0:v>0</ns0:v>
      </ns0:c>
      <ns0:c r="C41" s="0">
        <ns0:f>IFERROR(IF(AND('_Engine'!$X41=1,ISNUMBER(Settings!$F19),Settings!$F19&gt;0,MID('_Engine'!$AP41,WEEKDAY(Settings!$F19,2),1)="W"),Settings!$F19,0),0)</ns0:f>
        <ns0:v>0</ns0:v>
      </ns0:c>
      <ns0:c r="D41" s="0">
        <ns0:f>IFERROR(IF(AND('_Engine'!$X41=1,ISNUMBER(Settings!$F20),Settings!$F20&gt;0,MID('_Engine'!$AP41,WEEKDAY(Settings!$F20,2),1)="W"),Settings!$F20,0),0)</ns0:f>
        <ns0:v>0</ns0:v>
      </ns0:c>
      <ns0:c r="E41" s="0">
        <ns0:f>IFERROR(IF(AND('_Engine'!$X41=1,ISNUMBER(Settings!$F21),Settings!$F21&gt;0,MID('_Engine'!$AP41,WEEKDAY(Settings!$F21,2),1)="W"),Settings!$F21,0),0)</ns0:f>
        <ns0:v>0</ns0:v>
      </ns0:c>
      <ns0:c r="F41" s="0">
        <ns0:f>IFERROR(IF(AND('_Engine'!$X41=1,ISNUMBER(Settings!$F22),Settings!$F22&gt;0,MID('_Engine'!$AP41,WEEKDAY(Settings!$F22,2),1)="W"),Settings!$F22,0),0)</ns0:f>
        <ns0:v>0</ns0:v>
      </ns0:c>
      <ns0:c r="G41" s="0">
        <ns0:f>IFERROR(IF(AND('_Engine'!$X41=1,ISNUMBER(Settings!$F23),Settings!$F23&gt;0,MID('_Engine'!$AP41,WEEKDAY(Settings!$F23,2),1)="W"),Settings!$F23,0),0)</ns0:f>
        <ns0:v>0</ns0:v>
      </ns0:c>
      <ns0:c r="H41" s="0">
        <ns0:f>IFERROR(IF(AND('_Engine'!$X41=1,ISNUMBER(Settings!$F24),Settings!$F24&gt;0,MID('_Engine'!$AP41,WEEKDAY(Settings!$F24,2),1)="W"),Settings!$F24,0),0)</ns0:f>
        <ns0:v>0</ns0:v>
      </ns0:c>
      <ns0:c r="I41" s="0">
        <ns0:f>IFERROR(IF(AND('_Engine'!$X41=1,ISNUMBER(Settings!$F25),Settings!$F25&gt;0,MID('_Engine'!$AP41,WEEKDAY(Settings!$F25,2),1)="W"),Settings!$F25,0),0)</ns0:f>
        <ns0:v>0</ns0:v>
      </ns0:c>
      <ns0:c r="J41" s="0">
        <ns0:f>IFERROR(IF(AND('_Engine'!$X41=1,ISNUMBER(Settings!$F26),Settings!$F26&gt;0,MID('_Engine'!$AP41,WEEKDAY(Settings!$F26,2),1)="W"),Settings!$F26,0),0)</ns0:f>
        <ns0:v>0</ns0:v>
      </ns0:c>
      <ns0:c r="K41" s="0">
        <ns0:f>IFERROR(IF(AND('_Engine'!$X41=1,ISNUMBER(Settings!$F27),Settings!$F27&gt;0,MID('_Engine'!$AP41,WEEKDAY(Settings!$F27,2),1)="W"),Settings!$F27,0),0)</ns0:f>
        <ns0:v>0</ns0:v>
      </ns0:c>
      <ns0:c r="L41" s="0">
        <ns0:f>IFERROR(IF(AND('_Engine'!$X41=1,ISNUMBER(Settings!$F28),Settings!$F28&gt;0,MID('_Engine'!$AP41,WEEKDAY(Settings!$F28,2),1)="W"),Settings!$F28,0),0)</ns0:f>
        <ns0:v>0</ns0:v>
      </ns0:c>
      <ns0:c r="M41" s="0">
        <ns0:f>IFERROR(IF(AND('_Engine'!$X41=1,ISNUMBER(Settings!$F29),Settings!$F29&gt;0,MID('_Engine'!$AP41,WEEKDAY(Settings!$F29,2),1)="W"),Settings!$F29,0),0)</ns0:f>
        <ns0:v>0</ns0:v>
      </ns0:c>
      <ns0:c r="N41" s="0">
        <ns0:f>IFERROR(IF(AND('_Engine'!$X41=1,ISNUMBER(Settings!$F30),Settings!$F30&gt;0,MID('_Engine'!$AP41,WEEKDAY(Settings!$F30,2),1)="W"),Settings!$F30,0),0)</ns0:f>
        <ns0:v>0</ns0:v>
      </ns0:c>
      <ns0:c r="O41" s="0">
        <ns0:f>IFERROR(IF(AND('_Engine'!$X41=1,ISNUMBER(Settings!$F31),Settings!$F31&gt;0,MID('_Engine'!$AP41,WEEKDAY(Settings!$F31,2),1)="W"),Settings!$F31,0),0)</ns0:f>
        <ns0:v>0</ns0:v>
      </ns0:c>
      <ns0:c r="P41" s="0">
        <ns0:f>IFERROR(IF(AND('_Engine'!$X41=1,ISNUMBER(Settings!$F32),Settings!$F32&gt;0,MID('_Engine'!$AP41,WEEKDAY(Settings!$F32,2),1)="W"),Settings!$F32,0),0)</ns0:f>
        <ns0:v>0</ns0:v>
      </ns0:c>
      <ns0:c r="Q41" s="0">
        <ns0:f>IFERROR(IF(AND('_Engine'!$X41=1,ISNUMBER(Settings!$F33),Settings!$F33&gt;0,MID('_Engine'!$AP41,WEEKDAY(Settings!$F33,2),1)="W"),Settings!$F33,0),0)</ns0:f>
        <ns0:v>0</ns0:v>
      </ns0:c>
      <ns0:c r="R41" s="0">
        <ns0:f>IFERROR(IF(AND('_Engine'!$X41=1,ISNUMBER(Settings!$F34),Settings!$F34&gt;0,MID('_Engine'!$AP41,WEEKDAY(Settings!$F34,2),1)="W"),Settings!$F34,0),0)</ns0:f>
        <ns0:v>0</ns0:v>
      </ns0:c>
      <ns0:c r="S41" s="0">
        <ns0:f>IFERROR(IF(AND('_Engine'!$X41=1,ISNUMBER(Settings!$F35),Settings!$F35&gt;0,MID('_Engine'!$AP41,WEEKDAY(Settings!$F35,2),1)="W"),Settings!$F35,0),0)</ns0:f>
        <ns0:v>0</ns0:v>
      </ns0:c>
      <ns0:c r="T41" s="0">
        <ns0:f>IFERROR(IF(AND('_Engine'!$X41=1,ISNUMBER(Settings!$F36),Settings!$F36&gt;0,MID('_Engine'!$AP41,WEEKDAY(Settings!$F36,2),1)="W"),Settings!$F36,0),0)</ns0:f>
        <ns0:v>0</ns0:v>
      </ns0:c>
      <ns0:c r="U41" s="0">
        <ns0:f>IFERROR(IF(AND('_Engine'!$X41=1,ISNUMBER(Settings!$F37),Settings!$F37&gt;0,MID('_Engine'!$AP41,WEEKDAY(Settings!$F37,2),1)="W"),Settings!$F37,0),0)</ns0:f>
        <ns0:v>0</ns0:v>
      </ns0:c>
      <ns0:c r="V41" s="0">
        <ns0:f>IFERROR(IF(AND('_Engine'!$X41=1,ISNUMBER(Settings!$F38),Settings!$F38&gt;0,MID('_Engine'!$AP41,WEEKDAY(Settings!$F38,2),1)="W"),Settings!$F38,0),0)</ns0:f>
        <ns0:v>0</ns0:v>
      </ns0:c>
      <ns0:c r="W41" s="0">
        <ns0:f>IFERROR(IF(AND('_Engine'!$X41=1,ISNUMBER(Settings!$F39),Settings!$F39&gt;0,MID('_Engine'!$AP41,WEEKDAY(Settings!$F39,2),1)="W"),Settings!$F39,0),0)</ns0:f>
        <ns0:v>0</ns0:v>
      </ns0:c>
      <ns0:c r="X41" s="0">
        <ns0:f>IFERROR(IF(AND('_Engine'!$X41=1,ISNUMBER(Settings!$F40),Settings!$F40&gt;0,MID('_Engine'!$AP41,WEEKDAY(Settings!$F40,2),1)="W"),Settings!$F40,0),0)</ns0:f>
        <ns0:v>0</ns0:v>
      </ns0:c>
      <ns0:c r="Y41" s="0">
        <ns0:f>IFERROR(IF(AND('_Engine'!$X41=1,ISNUMBER(Settings!$F41),Settings!$F41&gt;0,MID('_Engine'!$AP41,WEEKDAY(Settings!$F41,2),1)="W"),Settings!$F41,0),0)</ns0:f>
        <ns0:v>0</ns0:v>
      </ns0:c>
      <ns0:c r="Z41" s="0">
        <ns0:f>IFERROR(IF(AND('_Engine'!$X41=1,ISNUMBER(Settings!$F42),Settings!$F42&gt;0,MID('_Engine'!$AP41,WEEKDAY(Settings!$F42,2),1)="W"),Settings!$F42,0),0)</ns0:f>
        <ns0:v>0</ns0:v>
      </ns0:c>
      <ns0:c r="AA41" s="0">
        <ns0:f>IFERROR(IF(AND('_Engine'!$X41=1,ISNUMBER(Settings!$F43),Settings!$F43&gt;0,MID('_Engine'!$AP41,WEEKDAY(Settings!$F43,2),1)="W"),Settings!$F43,0),0)</ns0:f>
        <ns0:v>0</ns0:v>
      </ns0:c>
      <ns0:c r="AB41" s="0">
        <ns0:f>IFERROR(IF(AND('_Engine'!$X41=1,ISNUMBER(Settings!$F44),Settings!$F44&gt;0,MID('_Engine'!$AP41,WEEKDAY(Settings!$F44,2),1)="W"),Settings!$F44,0),0)</ns0:f>
        <ns0:v>0</ns0:v>
      </ns0:c>
      <ns0:c r="AC41" s="0">
        <ns0:f>IFERROR(IF(AND('_Engine'!$X41=1,ISNUMBER(Settings!$F45),Settings!$F45&gt;0,MID('_Engine'!$AP41,WEEKDAY(Settings!$F45,2),1)="W"),Settings!$F45,0),0)</ns0:f>
        <ns0:v>0</ns0:v>
      </ns0:c>
      <ns0:c r="AD41" s="0">
        <ns0:f>IFERROR(IF(AND('_Engine'!$X41=1,ISNUMBER(Settings!$F46),Settings!$F46&gt;0,MID('_Engine'!$AP41,WEEKDAY(Settings!$F46,2),1)="W"),Settings!$F46,0),0)</ns0:f>
        <ns0:v>0</ns0:v>
      </ns0:c>
      <ns0:c r="AE41" s="0">
        <ns0:f>IFERROR(IF(AND('_Engine'!$X41=1,ISNUMBER(Settings!$F47),Settings!$F47&gt;0,MID('_Engine'!$AP41,WEEKDAY(Settings!$F47,2),1)="W"),Settings!$F47,0),0)</ns0:f>
        <ns0:v>0</ns0:v>
      </ns0:c>
      <ns0:c r="AF41" s="0">
        <ns0:f>IFERROR(IF(AND('_Engine'!$X41=1,ISNUMBER(Settings!$F48),Settings!$F48&gt;0,MID('_Engine'!$AP41,WEEKDAY(Settings!$F48,2),1)="W"),Settings!$F48,0),0)</ns0:f>
        <ns0:v>0</ns0:v>
      </ns0:c>
      <ns0:c r="AG41" s="0">
        <ns0:f>IFERROR(IF(AND('_Engine'!$X41=1,ISNUMBER(Settings!$F49),Settings!$F49&gt;0,MID('_Engine'!$AP41,WEEKDAY(Settings!$F49,2),1)="W"),Settings!$F49,0),0)</ns0:f>
        <ns0:v>0</ns0:v>
      </ns0:c>
      <ns0:c r="AH41" s="0">
        <ns0:f>IFERROR(IF(AND('_Engine'!$X41=1,ISNUMBER(Settings!$F50),Settings!$F50&gt;0,MID('_Engine'!$AP41,WEEKDAY(Settings!$F50,2),1)="W"),Settings!$F50,0),0)</ns0:f>
        <ns0:v>0</ns0:v>
      </ns0:c>
      <ns0:c r="AI41" s="0">
        <ns0:f>IFERROR(IF(AND('_Engine'!$X41=1,ISNUMBER(Settings!$F51),Settings!$F51&gt;0,MID('_Engine'!$AP41,WEEKDAY(Settings!$F51,2),1)="W"),Settings!$F51,0),0)</ns0:f>
        <ns0:v>0</ns0:v>
      </ns0:c>
      <ns0:c r="AJ41" s="0">
        <ns0:f>IFERROR(IF(AND('_Engine'!$X41=1,ISNUMBER(Settings!$F52),Settings!$F52&gt;0,MID('_Engine'!$AP41,WEEKDAY(Settings!$F52,2),1)="W"),Settings!$F52,0),0)</ns0:f>
        <ns0:v>0</ns0:v>
      </ns0:c>
      <ns0:c r="AK41" s="0">
        <ns0:f>IFERROR(IF(AND('_Engine'!$X41=1,ISNUMBER(Settings!$F53),Settings!$F53&gt;0,MID('_Engine'!$AP41,WEEKDAY(Settings!$F53,2),1)="W"),Settings!$F53,0),0)</ns0:f>
        <ns0:v>0</ns0:v>
      </ns0:c>
      <ns0:c r="AL41" s="0">
        <ns0:f>IFERROR(IF(AND('_Engine'!$X41=1,ISNUMBER(Settings!$F54),Settings!$F54&gt;0,MID('_Engine'!$AP41,WEEKDAY(Settings!$F54,2),1)="W"),Settings!$F54,0),0)</ns0:f>
        <ns0:v>0</ns0:v>
      </ns0:c>
      <ns0:c r="AM41" s="0">
        <ns0:f>IFERROR(IF(AND('_Engine'!$X41=1,ISNUMBER(Settings!$F55),Settings!$F55&gt;0,MID('_Engine'!$AP41,WEEKDAY(Settings!$F55,2),1)="W"),Settings!$F55,0),0)</ns0:f>
        <ns0:v>0</ns0:v>
      </ns0:c>
      <ns0:c r="AN41" s="0">
        <ns0:f>IFERROR(IF(AND('_Engine'!$X41=1,ISNUMBER(Settings!$F56),Settings!$F56&gt;0,MID('_Engine'!$AP41,WEEKDAY(Settings!$F56,2),1)="W"),Settings!$F56,0),0)</ns0:f>
        <ns0:v>0</ns0:v>
      </ns0:c>
      <ns0:c r="AO41" s="0">
        <ns0:f>IFERROR(IF(AND('_Engine'!$X41=1,ISNUMBER(Settings!$F57),Settings!$F57&gt;0,MID('_Engine'!$AP41,WEEKDAY(Settings!$F57,2),1)="W"),Settings!$F57,0),0)</ns0:f>
        <ns0:v>0</ns0:v>
      </ns0:c>
      <ns0:c r="AP41" s="0">
        <ns0:f>IFERROR(IF(AND('_Engine'!$X41=1,ISNUMBER(Settings!$F58),Settings!$F58&gt;0,MID('_Engine'!$AP41,WEEKDAY(Settings!$F58,2),1)="W"),Settings!$F58,0),0)</ns0:f>
        <ns0:v>0</ns0:v>
      </ns0:c>
      <ns0:c r="AQ41" s="0">
        <ns0:f>IFERROR(IF(AND('_Engine'!$X41=1,ISNUMBER(Settings!$F59),Settings!$F59&gt;0,MID('_Engine'!$AP41,WEEKDAY(Settings!$F59,2),1)="W"),Settings!$F59,0),0)</ns0:f>
        <ns0:v>0</ns0:v>
      </ns0:c>
      <ns0:c r="AR41" s="0">
        <ns0:f>IFERROR(IF(AND('_Engine'!$X41=1,ISNUMBER(Settings!$F60),Settings!$F60&gt;0,MID('_Engine'!$AP41,WEEKDAY(Settings!$F60,2),1)="W"),Settings!$F60,0),0)</ns0:f>
        <ns0:v>0</ns0:v>
      </ns0:c>
      <ns0:c r="AS41" s="0">
        <ns0:f>IFERROR(IF(AND('_Engine'!$X41=1,ISNUMBER(Settings!$F61),Settings!$F61&gt;0,MID('_Engine'!$AP41,WEEKDAY(Settings!$F61,2),1)="W"),Settings!$F61,0),0)</ns0:f>
        <ns0:v>0</ns0:v>
      </ns0:c>
      <ns0:c r="AT41" s="0">
        <ns0:f>IFERROR(IF(AND('_Engine'!$X41=1,ISNUMBER(Settings!$F62),Settings!$F62&gt;0,MID('_Engine'!$AP41,WEEKDAY(Settings!$F62,2),1)="W"),Settings!$F62,0),0)</ns0:f>
        <ns0:v>0</ns0:v>
      </ns0:c>
      <ns0:c r="AU41" s="0">
        <ns0:f>IFERROR(IF(AND('_Engine'!$X41=1,ISNUMBER(Settings!$F63),Settings!$F63&gt;0,MID('_Engine'!$AP41,WEEKDAY(Settings!$F63,2),1)="W"),Settings!$F63,0),0)</ns0:f>
        <ns0:v>0</ns0:v>
      </ns0:c>
      <ns0:c r="AV41" s="0">
        <ns0:f>IFERROR(IF(AND('_Engine'!$X41=1,ISNUMBER(Settings!$F64),Settings!$F64&gt;0,MID('_Engine'!$AP41,WEEKDAY(Settings!$F64,2),1)="W"),Settings!$F64,0),0)</ns0:f>
        <ns0:v>0</ns0:v>
      </ns0:c>
      <ns0:c r="AW41" s="0">
        <ns0:f>IFERROR(IF(AND('_Engine'!$X41=1,ISNUMBER(Settings!$F65),Settings!$F65&gt;0,MID('_Engine'!$AP41,WEEKDAY(Settings!$F65,2),1)="W"),Settings!$F65,0),0)</ns0:f>
        <ns0:v>0</ns0:v>
      </ns0:c>
      <ns0:c r="AX41" s="0">
        <ns0:f>IFERROR(IF(AND('_Engine'!$X41=1,ISNUMBER(Settings!$F66),Settings!$F66&gt;0,MID('_Engine'!$AP41,WEEKDAY(Settings!$F66,2),1)="W"),Settings!$F66,0),0)</ns0:f>
        <ns0:v>0</ns0:v>
      </ns0:c>
      <ns0:c r="AY41" s="0">
        <ns0:f>IFERROR(IF(AND('_Engine'!$X41=1,ISNUMBER(Settings!$F67),Settings!$F67&gt;0,MID('_Engine'!$AP41,WEEKDAY(Settings!$F67,2),1)="W"),Settings!$F67,0),0)</ns0:f>
        <ns0:v>0</ns0:v>
      </ns0:c>
    </ns0:row>
    <ns0:row r="42">
      <ns0:c r="B42" s="0">
        <ns0:f>IFERROR(IF(AND('_Engine'!$X42=1,ISNUMBER(Settings!$F18),Settings!$F18&gt;0,MID('_Engine'!$AP42,WEEKDAY(Settings!$F18,2),1)="W"),Settings!$F18,0),0)</ns0:f>
        <ns0:v>0</ns0:v>
      </ns0:c>
      <ns0:c r="C42" s="0">
        <ns0:f>IFERROR(IF(AND('_Engine'!$X42=1,ISNUMBER(Settings!$F19),Settings!$F19&gt;0,MID('_Engine'!$AP42,WEEKDAY(Settings!$F19,2),1)="W"),Settings!$F19,0),0)</ns0:f>
        <ns0:v>0</ns0:v>
      </ns0:c>
      <ns0:c r="D42" s="0">
        <ns0:f>IFERROR(IF(AND('_Engine'!$X42=1,ISNUMBER(Settings!$F20),Settings!$F20&gt;0,MID('_Engine'!$AP42,WEEKDAY(Settings!$F20,2),1)="W"),Settings!$F20,0),0)</ns0:f>
        <ns0:v>0</ns0:v>
      </ns0:c>
      <ns0:c r="E42" s="0">
        <ns0:f>IFERROR(IF(AND('_Engine'!$X42=1,ISNUMBER(Settings!$F21),Settings!$F21&gt;0,MID('_Engine'!$AP42,WEEKDAY(Settings!$F21,2),1)="W"),Settings!$F21,0),0)</ns0:f>
        <ns0:v>0</ns0:v>
      </ns0:c>
      <ns0:c r="F42" s="0">
        <ns0:f>IFERROR(IF(AND('_Engine'!$X42=1,ISNUMBER(Settings!$F22),Settings!$F22&gt;0,MID('_Engine'!$AP42,WEEKDAY(Settings!$F22,2),1)="W"),Settings!$F22,0),0)</ns0:f>
        <ns0:v>0</ns0:v>
      </ns0:c>
      <ns0:c r="G42" s="0">
        <ns0:f>IFERROR(IF(AND('_Engine'!$X42=1,ISNUMBER(Settings!$F23),Settings!$F23&gt;0,MID('_Engine'!$AP42,WEEKDAY(Settings!$F23,2),1)="W"),Settings!$F23,0),0)</ns0:f>
        <ns0:v>0</ns0:v>
      </ns0:c>
      <ns0:c r="H42" s="0">
        <ns0:f>IFERROR(IF(AND('_Engine'!$X42=1,ISNUMBER(Settings!$F24),Settings!$F24&gt;0,MID('_Engine'!$AP42,WEEKDAY(Settings!$F24,2),1)="W"),Settings!$F24,0),0)</ns0:f>
        <ns0:v>0</ns0:v>
      </ns0:c>
      <ns0:c r="I42" s="0">
        <ns0:f>IFERROR(IF(AND('_Engine'!$X42=1,ISNUMBER(Settings!$F25),Settings!$F25&gt;0,MID('_Engine'!$AP42,WEEKDAY(Settings!$F25,2),1)="W"),Settings!$F25,0),0)</ns0:f>
        <ns0:v>0</ns0:v>
      </ns0:c>
      <ns0:c r="J42" s="0">
        <ns0:f>IFERROR(IF(AND('_Engine'!$X42=1,ISNUMBER(Settings!$F26),Settings!$F26&gt;0,MID('_Engine'!$AP42,WEEKDAY(Settings!$F26,2),1)="W"),Settings!$F26,0),0)</ns0:f>
        <ns0:v>0</ns0:v>
      </ns0:c>
      <ns0:c r="K42" s="0">
        <ns0:f>IFERROR(IF(AND('_Engine'!$X42=1,ISNUMBER(Settings!$F27),Settings!$F27&gt;0,MID('_Engine'!$AP42,WEEKDAY(Settings!$F27,2),1)="W"),Settings!$F27,0),0)</ns0:f>
        <ns0:v>0</ns0:v>
      </ns0:c>
      <ns0:c r="L42" s="0">
        <ns0:f>IFERROR(IF(AND('_Engine'!$X42=1,ISNUMBER(Settings!$F28),Settings!$F28&gt;0,MID('_Engine'!$AP42,WEEKDAY(Settings!$F28,2),1)="W"),Settings!$F28,0),0)</ns0:f>
        <ns0:v>0</ns0:v>
      </ns0:c>
      <ns0:c r="M42" s="0">
        <ns0:f>IFERROR(IF(AND('_Engine'!$X42=1,ISNUMBER(Settings!$F29),Settings!$F29&gt;0,MID('_Engine'!$AP42,WEEKDAY(Settings!$F29,2),1)="W"),Settings!$F29,0),0)</ns0:f>
        <ns0:v>0</ns0:v>
      </ns0:c>
      <ns0:c r="N42" s="0">
        <ns0:f>IFERROR(IF(AND('_Engine'!$X42=1,ISNUMBER(Settings!$F30),Settings!$F30&gt;0,MID('_Engine'!$AP42,WEEKDAY(Settings!$F30,2),1)="W"),Settings!$F30,0),0)</ns0:f>
        <ns0:v>0</ns0:v>
      </ns0:c>
      <ns0:c r="O42" s="0">
        <ns0:f>IFERROR(IF(AND('_Engine'!$X42=1,ISNUMBER(Settings!$F31),Settings!$F31&gt;0,MID('_Engine'!$AP42,WEEKDAY(Settings!$F31,2),1)="W"),Settings!$F31,0),0)</ns0:f>
        <ns0:v>0</ns0:v>
      </ns0:c>
      <ns0:c r="P42" s="0">
        <ns0:f>IFERROR(IF(AND('_Engine'!$X42=1,ISNUMBER(Settings!$F32),Settings!$F32&gt;0,MID('_Engine'!$AP42,WEEKDAY(Settings!$F32,2),1)="W"),Settings!$F32,0),0)</ns0:f>
        <ns0:v>0</ns0:v>
      </ns0:c>
      <ns0:c r="Q42" s="0">
        <ns0:f>IFERROR(IF(AND('_Engine'!$X42=1,ISNUMBER(Settings!$F33),Settings!$F33&gt;0,MID('_Engine'!$AP42,WEEKDAY(Settings!$F33,2),1)="W"),Settings!$F33,0),0)</ns0:f>
        <ns0:v>0</ns0:v>
      </ns0:c>
      <ns0:c r="R42" s="0">
        <ns0:f>IFERROR(IF(AND('_Engine'!$X42=1,ISNUMBER(Settings!$F34),Settings!$F34&gt;0,MID('_Engine'!$AP42,WEEKDAY(Settings!$F34,2),1)="W"),Settings!$F34,0),0)</ns0:f>
        <ns0:v>0</ns0:v>
      </ns0:c>
      <ns0:c r="S42" s="0">
        <ns0:f>IFERROR(IF(AND('_Engine'!$X42=1,ISNUMBER(Settings!$F35),Settings!$F35&gt;0,MID('_Engine'!$AP42,WEEKDAY(Settings!$F35,2),1)="W"),Settings!$F35,0),0)</ns0:f>
        <ns0:v>0</ns0:v>
      </ns0:c>
      <ns0:c r="T42" s="0">
        <ns0:f>IFERROR(IF(AND('_Engine'!$X42=1,ISNUMBER(Settings!$F36),Settings!$F36&gt;0,MID('_Engine'!$AP42,WEEKDAY(Settings!$F36,2),1)="W"),Settings!$F36,0),0)</ns0:f>
        <ns0:v>0</ns0:v>
      </ns0:c>
      <ns0:c r="U42" s="0">
        <ns0:f>IFERROR(IF(AND('_Engine'!$X42=1,ISNUMBER(Settings!$F37),Settings!$F37&gt;0,MID('_Engine'!$AP42,WEEKDAY(Settings!$F37,2),1)="W"),Settings!$F37,0),0)</ns0:f>
        <ns0:v>0</ns0:v>
      </ns0:c>
      <ns0:c r="V42" s="0">
        <ns0:f>IFERROR(IF(AND('_Engine'!$X42=1,ISNUMBER(Settings!$F38),Settings!$F38&gt;0,MID('_Engine'!$AP42,WEEKDAY(Settings!$F38,2),1)="W"),Settings!$F38,0),0)</ns0:f>
        <ns0:v>0</ns0:v>
      </ns0:c>
      <ns0:c r="W42" s="0">
        <ns0:f>IFERROR(IF(AND('_Engine'!$X42=1,ISNUMBER(Settings!$F39),Settings!$F39&gt;0,MID('_Engine'!$AP42,WEEKDAY(Settings!$F39,2),1)="W"),Settings!$F39,0),0)</ns0:f>
        <ns0:v>0</ns0:v>
      </ns0:c>
      <ns0:c r="X42" s="0">
        <ns0:f>IFERROR(IF(AND('_Engine'!$X42=1,ISNUMBER(Settings!$F40),Settings!$F40&gt;0,MID('_Engine'!$AP42,WEEKDAY(Settings!$F40,2),1)="W"),Settings!$F40,0),0)</ns0:f>
        <ns0:v>0</ns0:v>
      </ns0:c>
      <ns0:c r="Y42" s="0">
        <ns0:f>IFERROR(IF(AND('_Engine'!$X42=1,ISNUMBER(Settings!$F41),Settings!$F41&gt;0,MID('_Engine'!$AP42,WEEKDAY(Settings!$F41,2),1)="W"),Settings!$F41,0),0)</ns0:f>
        <ns0:v>0</ns0:v>
      </ns0:c>
      <ns0:c r="Z42" s="0">
        <ns0:f>IFERROR(IF(AND('_Engine'!$X42=1,ISNUMBER(Settings!$F42),Settings!$F42&gt;0,MID('_Engine'!$AP42,WEEKDAY(Settings!$F42,2),1)="W"),Settings!$F42,0),0)</ns0:f>
        <ns0:v>0</ns0:v>
      </ns0:c>
      <ns0:c r="AA42" s="0">
        <ns0:f>IFERROR(IF(AND('_Engine'!$X42=1,ISNUMBER(Settings!$F43),Settings!$F43&gt;0,MID('_Engine'!$AP42,WEEKDAY(Settings!$F43,2),1)="W"),Settings!$F43,0),0)</ns0:f>
        <ns0:v>0</ns0:v>
      </ns0:c>
      <ns0:c r="AB42" s="0">
        <ns0:f>IFERROR(IF(AND('_Engine'!$X42=1,ISNUMBER(Settings!$F44),Settings!$F44&gt;0,MID('_Engine'!$AP42,WEEKDAY(Settings!$F44,2),1)="W"),Settings!$F44,0),0)</ns0:f>
        <ns0:v>0</ns0:v>
      </ns0:c>
      <ns0:c r="AC42" s="0">
        <ns0:f>IFERROR(IF(AND('_Engine'!$X42=1,ISNUMBER(Settings!$F45),Settings!$F45&gt;0,MID('_Engine'!$AP42,WEEKDAY(Settings!$F45,2),1)="W"),Settings!$F45,0),0)</ns0:f>
        <ns0:v>0</ns0:v>
      </ns0:c>
      <ns0:c r="AD42" s="0">
        <ns0:f>IFERROR(IF(AND('_Engine'!$X42=1,ISNUMBER(Settings!$F46),Settings!$F46&gt;0,MID('_Engine'!$AP42,WEEKDAY(Settings!$F46,2),1)="W"),Settings!$F46,0),0)</ns0:f>
        <ns0:v>0</ns0:v>
      </ns0:c>
      <ns0:c r="AE42" s="0">
        <ns0:f>IFERROR(IF(AND('_Engine'!$X42=1,ISNUMBER(Settings!$F47),Settings!$F47&gt;0,MID('_Engine'!$AP42,WEEKDAY(Settings!$F47,2),1)="W"),Settings!$F47,0),0)</ns0:f>
        <ns0:v>0</ns0:v>
      </ns0:c>
      <ns0:c r="AF42" s="0">
        <ns0:f>IFERROR(IF(AND('_Engine'!$X42=1,ISNUMBER(Settings!$F48),Settings!$F48&gt;0,MID('_Engine'!$AP42,WEEKDAY(Settings!$F48,2),1)="W"),Settings!$F48,0),0)</ns0:f>
        <ns0:v>0</ns0:v>
      </ns0:c>
      <ns0:c r="AG42" s="0">
        <ns0:f>IFERROR(IF(AND('_Engine'!$X42=1,ISNUMBER(Settings!$F49),Settings!$F49&gt;0,MID('_Engine'!$AP42,WEEKDAY(Settings!$F49,2),1)="W"),Settings!$F49,0),0)</ns0:f>
        <ns0:v>0</ns0:v>
      </ns0:c>
      <ns0:c r="AH42" s="0">
        <ns0:f>IFERROR(IF(AND('_Engine'!$X42=1,ISNUMBER(Settings!$F50),Settings!$F50&gt;0,MID('_Engine'!$AP42,WEEKDAY(Settings!$F50,2),1)="W"),Settings!$F50,0),0)</ns0:f>
        <ns0:v>0</ns0:v>
      </ns0:c>
      <ns0:c r="AI42" s="0">
        <ns0:f>IFERROR(IF(AND('_Engine'!$X42=1,ISNUMBER(Settings!$F51),Settings!$F51&gt;0,MID('_Engine'!$AP42,WEEKDAY(Settings!$F51,2),1)="W"),Settings!$F51,0),0)</ns0:f>
        <ns0:v>0</ns0:v>
      </ns0:c>
      <ns0:c r="AJ42" s="0">
        <ns0:f>IFERROR(IF(AND('_Engine'!$X42=1,ISNUMBER(Settings!$F52),Settings!$F52&gt;0,MID('_Engine'!$AP42,WEEKDAY(Settings!$F52,2),1)="W"),Settings!$F52,0),0)</ns0:f>
        <ns0:v>0</ns0:v>
      </ns0:c>
      <ns0:c r="AK42" s="0">
        <ns0:f>IFERROR(IF(AND('_Engine'!$X42=1,ISNUMBER(Settings!$F53),Settings!$F53&gt;0,MID('_Engine'!$AP42,WEEKDAY(Settings!$F53,2),1)="W"),Settings!$F53,0),0)</ns0:f>
        <ns0:v>0</ns0:v>
      </ns0:c>
      <ns0:c r="AL42" s="0">
        <ns0:f>IFERROR(IF(AND('_Engine'!$X42=1,ISNUMBER(Settings!$F54),Settings!$F54&gt;0,MID('_Engine'!$AP42,WEEKDAY(Settings!$F54,2),1)="W"),Settings!$F54,0),0)</ns0:f>
        <ns0:v>0</ns0:v>
      </ns0:c>
      <ns0:c r="AM42" s="0">
        <ns0:f>IFERROR(IF(AND('_Engine'!$X42=1,ISNUMBER(Settings!$F55),Settings!$F55&gt;0,MID('_Engine'!$AP42,WEEKDAY(Settings!$F55,2),1)="W"),Settings!$F55,0),0)</ns0:f>
        <ns0:v>0</ns0:v>
      </ns0:c>
      <ns0:c r="AN42" s="0">
        <ns0:f>IFERROR(IF(AND('_Engine'!$X42=1,ISNUMBER(Settings!$F56),Settings!$F56&gt;0,MID('_Engine'!$AP42,WEEKDAY(Settings!$F56,2),1)="W"),Settings!$F56,0),0)</ns0:f>
        <ns0:v>0</ns0:v>
      </ns0:c>
      <ns0:c r="AO42" s="0">
        <ns0:f>IFERROR(IF(AND('_Engine'!$X42=1,ISNUMBER(Settings!$F57),Settings!$F57&gt;0,MID('_Engine'!$AP42,WEEKDAY(Settings!$F57,2),1)="W"),Settings!$F57,0),0)</ns0:f>
        <ns0:v>0</ns0:v>
      </ns0:c>
      <ns0:c r="AP42" s="0">
        <ns0:f>IFERROR(IF(AND('_Engine'!$X42=1,ISNUMBER(Settings!$F58),Settings!$F58&gt;0,MID('_Engine'!$AP42,WEEKDAY(Settings!$F58,2),1)="W"),Settings!$F58,0),0)</ns0:f>
        <ns0:v>0</ns0:v>
      </ns0:c>
      <ns0:c r="AQ42" s="0">
        <ns0:f>IFERROR(IF(AND('_Engine'!$X42=1,ISNUMBER(Settings!$F59),Settings!$F59&gt;0,MID('_Engine'!$AP42,WEEKDAY(Settings!$F59,2),1)="W"),Settings!$F59,0),0)</ns0:f>
        <ns0:v>0</ns0:v>
      </ns0:c>
      <ns0:c r="AR42" s="0">
        <ns0:f>IFERROR(IF(AND('_Engine'!$X42=1,ISNUMBER(Settings!$F60),Settings!$F60&gt;0,MID('_Engine'!$AP42,WEEKDAY(Settings!$F60,2),1)="W"),Settings!$F60,0),0)</ns0:f>
        <ns0:v>0</ns0:v>
      </ns0:c>
      <ns0:c r="AS42" s="0">
        <ns0:f>IFERROR(IF(AND('_Engine'!$X42=1,ISNUMBER(Settings!$F61),Settings!$F61&gt;0,MID('_Engine'!$AP42,WEEKDAY(Settings!$F61,2),1)="W"),Settings!$F61,0),0)</ns0:f>
        <ns0:v>0</ns0:v>
      </ns0:c>
      <ns0:c r="AT42" s="0">
        <ns0:f>IFERROR(IF(AND('_Engine'!$X42=1,ISNUMBER(Settings!$F62),Settings!$F62&gt;0,MID('_Engine'!$AP42,WEEKDAY(Settings!$F62,2),1)="W"),Settings!$F62,0),0)</ns0:f>
        <ns0:v>0</ns0:v>
      </ns0:c>
      <ns0:c r="AU42" s="0">
        <ns0:f>IFERROR(IF(AND('_Engine'!$X42=1,ISNUMBER(Settings!$F63),Settings!$F63&gt;0,MID('_Engine'!$AP42,WEEKDAY(Settings!$F63,2),1)="W"),Settings!$F63,0),0)</ns0:f>
        <ns0:v>0</ns0:v>
      </ns0:c>
      <ns0:c r="AV42" s="0">
        <ns0:f>IFERROR(IF(AND('_Engine'!$X42=1,ISNUMBER(Settings!$F64),Settings!$F64&gt;0,MID('_Engine'!$AP42,WEEKDAY(Settings!$F64,2),1)="W"),Settings!$F64,0),0)</ns0:f>
        <ns0:v>0</ns0:v>
      </ns0:c>
      <ns0:c r="AW42" s="0">
        <ns0:f>IFERROR(IF(AND('_Engine'!$X42=1,ISNUMBER(Settings!$F65),Settings!$F65&gt;0,MID('_Engine'!$AP42,WEEKDAY(Settings!$F65,2),1)="W"),Settings!$F65,0),0)</ns0:f>
        <ns0:v>0</ns0:v>
      </ns0:c>
      <ns0:c r="AX42" s="0">
        <ns0:f>IFERROR(IF(AND('_Engine'!$X42=1,ISNUMBER(Settings!$F66),Settings!$F66&gt;0,MID('_Engine'!$AP42,WEEKDAY(Settings!$F66,2),1)="W"),Settings!$F66,0),0)</ns0:f>
        <ns0:v>0</ns0:v>
      </ns0:c>
      <ns0:c r="AY42" s="0">
        <ns0:f>IFERROR(IF(AND('_Engine'!$X42=1,ISNUMBER(Settings!$F67),Settings!$F67&gt;0,MID('_Engine'!$AP42,WEEKDAY(Settings!$F67,2),1)="W"),Settings!$F67,0),0)</ns0:f>
        <ns0:v>0</ns0:v>
      </ns0:c>
    </ns0:row>
    <ns0:row r="43">
      <ns0:c r="B43" s="0">
        <ns0:f>IFERROR(IF(AND('_Engine'!$X43=1,ISNUMBER(Settings!$F18),Settings!$F18&gt;0,MID('_Engine'!$AP43,WEEKDAY(Settings!$F18,2),1)="W"),Settings!$F18,0),0)</ns0:f>
        <ns0:v>0</ns0:v>
      </ns0:c>
      <ns0:c r="C43" s="0">
        <ns0:f>IFERROR(IF(AND('_Engine'!$X43=1,ISNUMBER(Settings!$F19),Settings!$F19&gt;0,MID('_Engine'!$AP43,WEEKDAY(Settings!$F19,2),1)="W"),Settings!$F19,0),0)</ns0:f>
        <ns0:v>0</ns0:v>
      </ns0:c>
      <ns0:c r="D43" s="0">
        <ns0:f>IFERROR(IF(AND('_Engine'!$X43=1,ISNUMBER(Settings!$F20),Settings!$F20&gt;0,MID('_Engine'!$AP43,WEEKDAY(Settings!$F20,2),1)="W"),Settings!$F20,0),0)</ns0:f>
        <ns0:v>0</ns0:v>
      </ns0:c>
      <ns0:c r="E43" s="0">
        <ns0:f>IFERROR(IF(AND('_Engine'!$X43=1,ISNUMBER(Settings!$F21),Settings!$F21&gt;0,MID('_Engine'!$AP43,WEEKDAY(Settings!$F21,2),1)="W"),Settings!$F21,0),0)</ns0:f>
        <ns0:v>0</ns0:v>
      </ns0:c>
      <ns0:c r="F43" s="0">
        <ns0:f>IFERROR(IF(AND('_Engine'!$X43=1,ISNUMBER(Settings!$F22),Settings!$F22&gt;0,MID('_Engine'!$AP43,WEEKDAY(Settings!$F22,2),1)="W"),Settings!$F22,0),0)</ns0:f>
        <ns0:v>0</ns0:v>
      </ns0:c>
      <ns0:c r="G43" s="0">
        <ns0:f>IFERROR(IF(AND('_Engine'!$X43=1,ISNUMBER(Settings!$F23),Settings!$F23&gt;0,MID('_Engine'!$AP43,WEEKDAY(Settings!$F23,2),1)="W"),Settings!$F23,0),0)</ns0:f>
        <ns0:v>0</ns0:v>
      </ns0:c>
      <ns0:c r="H43" s="0">
        <ns0:f>IFERROR(IF(AND('_Engine'!$X43=1,ISNUMBER(Settings!$F24),Settings!$F24&gt;0,MID('_Engine'!$AP43,WEEKDAY(Settings!$F24,2),1)="W"),Settings!$F24,0),0)</ns0:f>
        <ns0:v>0</ns0:v>
      </ns0:c>
      <ns0:c r="I43" s="0">
        <ns0:f>IFERROR(IF(AND('_Engine'!$X43=1,ISNUMBER(Settings!$F25),Settings!$F25&gt;0,MID('_Engine'!$AP43,WEEKDAY(Settings!$F25,2),1)="W"),Settings!$F25,0),0)</ns0:f>
        <ns0:v>0</ns0:v>
      </ns0:c>
      <ns0:c r="J43" s="0">
        <ns0:f>IFERROR(IF(AND('_Engine'!$X43=1,ISNUMBER(Settings!$F26),Settings!$F26&gt;0,MID('_Engine'!$AP43,WEEKDAY(Settings!$F26,2),1)="W"),Settings!$F26,0),0)</ns0:f>
        <ns0:v>0</ns0:v>
      </ns0:c>
      <ns0:c r="K43" s="0">
        <ns0:f>IFERROR(IF(AND('_Engine'!$X43=1,ISNUMBER(Settings!$F27),Settings!$F27&gt;0,MID('_Engine'!$AP43,WEEKDAY(Settings!$F27,2),1)="W"),Settings!$F27,0),0)</ns0:f>
        <ns0:v>0</ns0:v>
      </ns0:c>
      <ns0:c r="L43" s="0">
        <ns0:f>IFERROR(IF(AND('_Engine'!$X43=1,ISNUMBER(Settings!$F28),Settings!$F28&gt;0,MID('_Engine'!$AP43,WEEKDAY(Settings!$F28,2),1)="W"),Settings!$F28,0),0)</ns0:f>
        <ns0:v>0</ns0:v>
      </ns0:c>
      <ns0:c r="M43" s="0">
        <ns0:f>IFERROR(IF(AND('_Engine'!$X43=1,ISNUMBER(Settings!$F29),Settings!$F29&gt;0,MID('_Engine'!$AP43,WEEKDAY(Settings!$F29,2),1)="W"),Settings!$F29,0),0)</ns0:f>
        <ns0:v>0</ns0:v>
      </ns0:c>
      <ns0:c r="N43" s="0">
        <ns0:f>IFERROR(IF(AND('_Engine'!$X43=1,ISNUMBER(Settings!$F30),Settings!$F30&gt;0,MID('_Engine'!$AP43,WEEKDAY(Settings!$F30,2),1)="W"),Settings!$F30,0),0)</ns0:f>
        <ns0:v>0</ns0:v>
      </ns0:c>
      <ns0:c r="O43" s="0">
        <ns0:f>IFERROR(IF(AND('_Engine'!$X43=1,ISNUMBER(Settings!$F31),Settings!$F31&gt;0,MID('_Engine'!$AP43,WEEKDAY(Settings!$F31,2),1)="W"),Settings!$F31,0),0)</ns0:f>
        <ns0:v>0</ns0:v>
      </ns0:c>
      <ns0:c r="P43" s="0">
        <ns0:f>IFERROR(IF(AND('_Engine'!$X43=1,ISNUMBER(Settings!$F32),Settings!$F32&gt;0,MID('_Engine'!$AP43,WEEKDAY(Settings!$F32,2),1)="W"),Settings!$F32,0),0)</ns0:f>
        <ns0:v>0</ns0:v>
      </ns0:c>
      <ns0:c r="Q43" s="0">
        <ns0:f>IFERROR(IF(AND('_Engine'!$X43=1,ISNUMBER(Settings!$F33),Settings!$F33&gt;0,MID('_Engine'!$AP43,WEEKDAY(Settings!$F33,2),1)="W"),Settings!$F33,0),0)</ns0:f>
        <ns0:v>0</ns0:v>
      </ns0:c>
      <ns0:c r="R43" s="0">
        <ns0:f>IFERROR(IF(AND('_Engine'!$X43=1,ISNUMBER(Settings!$F34),Settings!$F34&gt;0,MID('_Engine'!$AP43,WEEKDAY(Settings!$F34,2),1)="W"),Settings!$F34,0),0)</ns0:f>
        <ns0:v>0</ns0:v>
      </ns0:c>
      <ns0:c r="S43" s="0">
        <ns0:f>IFERROR(IF(AND('_Engine'!$X43=1,ISNUMBER(Settings!$F35),Settings!$F35&gt;0,MID('_Engine'!$AP43,WEEKDAY(Settings!$F35,2),1)="W"),Settings!$F35,0),0)</ns0:f>
        <ns0:v>0</ns0:v>
      </ns0:c>
      <ns0:c r="T43" s="0">
        <ns0:f>IFERROR(IF(AND('_Engine'!$X43=1,ISNUMBER(Settings!$F36),Settings!$F36&gt;0,MID('_Engine'!$AP43,WEEKDAY(Settings!$F36,2),1)="W"),Settings!$F36,0),0)</ns0:f>
        <ns0:v>0</ns0:v>
      </ns0:c>
      <ns0:c r="U43" s="0">
        <ns0:f>IFERROR(IF(AND('_Engine'!$X43=1,ISNUMBER(Settings!$F37),Settings!$F37&gt;0,MID('_Engine'!$AP43,WEEKDAY(Settings!$F37,2),1)="W"),Settings!$F37,0),0)</ns0:f>
        <ns0:v>0</ns0:v>
      </ns0:c>
      <ns0:c r="V43" s="0">
        <ns0:f>IFERROR(IF(AND('_Engine'!$X43=1,ISNUMBER(Settings!$F38),Settings!$F38&gt;0,MID('_Engine'!$AP43,WEEKDAY(Settings!$F38,2),1)="W"),Settings!$F38,0),0)</ns0:f>
        <ns0:v>0</ns0:v>
      </ns0:c>
      <ns0:c r="W43" s="0">
        <ns0:f>IFERROR(IF(AND('_Engine'!$X43=1,ISNUMBER(Settings!$F39),Settings!$F39&gt;0,MID('_Engine'!$AP43,WEEKDAY(Settings!$F39,2),1)="W"),Settings!$F39,0),0)</ns0:f>
        <ns0:v>0</ns0:v>
      </ns0:c>
      <ns0:c r="X43" s="0">
        <ns0:f>IFERROR(IF(AND('_Engine'!$X43=1,ISNUMBER(Settings!$F40),Settings!$F40&gt;0,MID('_Engine'!$AP43,WEEKDAY(Settings!$F40,2),1)="W"),Settings!$F40,0),0)</ns0:f>
        <ns0:v>0</ns0:v>
      </ns0:c>
      <ns0:c r="Y43" s="0">
        <ns0:f>IFERROR(IF(AND('_Engine'!$X43=1,ISNUMBER(Settings!$F41),Settings!$F41&gt;0,MID('_Engine'!$AP43,WEEKDAY(Settings!$F41,2),1)="W"),Settings!$F41,0),0)</ns0:f>
        <ns0:v>0</ns0:v>
      </ns0:c>
      <ns0:c r="Z43" s="0">
        <ns0:f>IFERROR(IF(AND('_Engine'!$X43=1,ISNUMBER(Settings!$F42),Settings!$F42&gt;0,MID('_Engine'!$AP43,WEEKDAY(Settings!$F42,2),1)="W"),Settings!$F42,0),0)</ns0:f>
        <ns0:v>0</ns0:v>
      </ns0:c>
      <ns0:c r="AA43" s="0">
        <ns0:f>IFERROR(IF(AND('_Engine'!$X43=1,ISNUMBER(Settings!$F43),Settings!$F43&gt;0,MID('_Engine'!$AP43,WEEKDAY(Settings!$F43,2),1)="W"),Settings!$F43,0),0)</ns0:f>
        <ns0:v>0</ns0:v>
      </ns0:c>
      <ns0:c r="AB43" s="0">
        <ns0:f>IFERROR(IF(AND('_Engine'!$X43=1,ISNUMBER(Settings!$F44),Settings!$F44&gt;0,MID('_Engine'!$AP43,WEEKDAY(Settings!$F44,2),1)="W"),Settings!$F44,0),0)</ns0:f>
        <ns0:v>0</ns0:v>
      </ns0:c>
      <ns0:c r="AC43" s="0">
        <ns0:f>IFERROR(IF(AND('_Engine'!$X43=1,ISNUMBER(Settings!$F45),Settings!$F45&gt;0,MID('_Engine'!$AP43,WEEKDAY(Settings!$F45,2),1)="W"),Settings!$F45,0),0)</ns0:f>
        <ns0:v>0</ns0:v>
      </ns0:c>
      <ns0:c r="AD43" s="0">
        <ns0:f>IFERROR(IF(AND('_Engine'!$X43=1,ISNUMBER(Settings!$F46),Settings!$F46&gt;0,MID('_Engine'!$AP43,WEEKDAY(Settings!$F46,2),1)="W"),Settings!$F46,0),0)</ns0:f>
        <ns0:v>0</ns0:v>
      </ns0:c>
      <ns0:c r="AE43" s="0">
        <ns0:f>IFERROR(IF(AND('_Engine'!$X43=1,ISNUMBER(Settings!$F47),Settings!$F47&gt;0,MID('_Engine'!$AP43,WEEKDAY(Settings!$F47,2),1)="W"),Settings!$F47,0),0)</ns0:f>
        <ns0:v>0</ns0:v>
      </ns0:c>
      <ns0:c r="AF43" s="0">
        <ns0:f>IFERROR(IF(AND('_Engine'!$X43=1,ISNUMBER(Settings!$F48),Settings!$F48&gt;0,MID('_Engine'!$AP43,WEEKDAY(Settings!$F48,2),1)="W"),Settings!$F48,0),0)</ns0:f>
        <ns0:v>0</ns0:v>
      </ns0:c>
      <ns0:c r="AG43" s="0">
        <ns0:f>IFERROR(IF(AND('_Engine'!$X43=1,ISNUMBER(Settings!$F49),Settings!$F49&gt;0,MID('_Engine'!$AP43,WEEKDAY(Settings!$F49,2),1)="W"),Settings!$F49,0),0)</ns0:f>
        <ns0:v>0</ns0:v>
      </ns0:c>
      <ns0:c r="AH43" s="0">
        <ns0:f>IFERROR(IF(AND('_Engine'!$X43=1,ISNUMBER(Settings!$F50),Settings!$F50&gt;0,MID('_Engine'!$AP43,WEEKDAY(Settings!$F50,2),1)="W"),Settings!$F50,0),0)</ns0:f>
        <ns0:v>0</ns0:v>
      </ns0:c>
      <ns0:c r="AI43" s="0">
        <ns0:f>IFERROR(IF(AND('_Engine'!$X43=1,ISNUMBER(Settings!$F51),Settings!$F51&gt;0,MID('_Engine'!$AP43,WEEKDAY(Settings!$F51,2),1)="W"),Settings!$F51,0),0)</ns0:f>
        <ns0:v>0</ns0:v>
      </ns0:c>
      <ns0:c r="AJ43" s="0">
        <ns0:f>IFERROR(IF(AND('_Engine'!$X43=1,ISNUMBER(Settings!$F52),Settings!$F52&gt;0,MID('_Engine'!$AP43,WEEKDAY(Settings!$F52,2),1)="W"),Settings!$F52,0),0)</ns0:f>
        <ns0:v>0</ns0:v>
      </ns0:c>
      <ns0:c r="AK43" s="0">
        <ns0:f>IFERROR(IF(AND('_Engine'!$X43=1,ISNUMBER(Settings!$F53),Settings!$F53&gt;0,MID('_Engine'!$AP43,WEEKDAY(Settings!$F53,2),1)="W"),Settings!$F53,0),0)</ns0:f>
        <ns0:v>0</ns0:v>
      </ns0:c>
      <ns0:c r="AL43" s="0">
        <ns0:f>IFERROR(IF(AND('_Engine'!$X43=1,ISNUMBER(Settings!$F54),Settings!$F54&gt;0,MID('_Engine'!$AP43,WEEKDAY(Settings!$F54,2),1)="W"),Settings!$F54,0),0)</ns0:f>
        <ns0:v>0</ns0:v>
      </ns0:c>
      <ns0:c r="AM43" s="0">
        <ns0:f>IFERROR(IF(AND('_Engine'!$X43=1,ISNUMBER(Settings!$F55),Settings!$F55&gt;0,MID('_Engine'!$AP43,WEEKDAY(Settings!$F55,2),1)="W"),Settings!$F55,0),0)</ns0:f>
        <ns0:v>0</ns0:v>
      </ns0:c>
      <ns0:c r="AN43" s="0">
        <ns0:f>IFERROR(IF(AND('_Engine'!$X43=1,ISNUMBER(Settings!$F56),Settings!$F56&gt;0,MID('_Engine'!$AP43,WEEKDAY(Settings!$F56,2),1)="W"),Settings!$F56,0),0)</ns0:f>
        <ns0:v>0</ns0:v>
      </ns0:c>
      <ns0:c r="AO43" s="0">
        <ns0:f>IFERROR(IF(AND('_Engine'!$X43=1,ISNUMBER(Settings!$F57),Settings!$F57&gt;0,MID('_Engine'!$AP43,WEEKDAY(Settings!$F57,2),1)="W"),Settings!$F57,0),0)</ns0:f>
        <ns0:v>0</ns0:v>
      </ns0:c>
      <ns0:c r="AP43" s="0">
        <ns0:f>IFERROR(IF(AND('_Engine'!$X43=1,ISNUMBER(Settings!$F58),Settings!$F58&gt;0,MID('_Engine'!$AP43,WEEKDAY(Settings!$F58,2),1)="W"),Settings!$F58,0),0)</ns0:f>
        <ns0:v>0</ns0:v>
      </ns0:c>
      <ns0:c r="AQ43" s="0">
        <ns0:f>IFERROR(IF(AND('_Engine'!$X43=1,ISNUMBER(Settings!$F59),Settings!$F59&gt;0,MID('_Engine'!$AP43,WEEKDAY(Settings!$F59,2),1)="W"),Settings!$F59,0),0)</ns0:f>
        <ns0:v>0</ns0:v>
      </ns0:c>
      <ns0:c r="AR43" s="0">
        <ns0:f>IFERROR(IF(AND('_Engine'!$X43=1,ISNUMBER(Settings!$F60),Settings!$F60&gt;0,MID('_Engine'!$AP43,WEEKDAY(Settings!$F60,2),1)="W"),Settings!$F60,0),0)</ns0:f>
        <ns0:v>0</ns0:v>
      </ns0:c>
      <ns0:c r="AS43" s="0">
        <ns0:f>IFERROR(IF(AND('_Engine'!$X43=1,ISNUMBER(Settings!$F61),Settings!$F61&gt;0,MID('_Engine'!$AP43,WEEKDAY(Settings!$F61,2),1)="W"),Settings!$F61,0),0)</ns0:f>
        <ns0:v>0</ns0:v>
      </ns0:c>
      <ns0:c r="AT43" s="0">
        <ns0:f>IFERROR(IF(AND('_Engine'!$X43=1,ISNUMBER(Settings!$F62),Settings!$F62&gt;0,MID('_Engine'!$AP43,WEEKDAY(Settings!$F62,2),1)="W"),Settings!$F62,0),0)</ns0:f>
        <ns0:v>0</ns0:v>
      </ns0:c>
      <ns0:c r="AU43" s="0">
        <ns0:f>IFERROR(IF(AND('_Engine'!$X43=1,ISNUMBER(Settings!$F63),Settings!$F63&gt;0,MID('_Engine'!$AP43,WEEKDAY(Settings!$F63,2),1)="W"),Settings!$F63,0),0)</ns0:f>
        <ns0:v>0</ns0:v>
      </ns0:c>
      <ns0:c r="AV43" s="0">
        <ns0:f>IFERROR(IF(AND('_Engine'!$X43=1,ISNUMBER(Settings!$F64),Settings!$F64&gt;0,MID('_Engine'!$AP43,WEEKDAY(Settings!$F64,2),1)="W"),Settings!$F64,0),0)</ns0:f>
        <ns0:v>0</ns0:v>
      </ns0:c>
      <ns0:c r="AW43" s="0">
        <ns0:f>IFERROR(IF(AND('_Engine'!$X43=1,ISNUMBER(Settings!$F65),Settings!$F65&gt;0,MID('_Engine'!$AP43,WEEKDAY(Settings!$F65,2),1)="W"),Settings!$F65,0),0)</ns0:f>
        <ns0:v>0</ns0:v>
      </ns0:c>
      <ns0:c r="AX43" s="0">
        <ns0:f>IFERROR(IF(AND('_Engine'!$X43=1,ISNUMBER(Settings!$F66),Settings!$F66&gt;0,MID('_Engine'!$AP43,WEEKDAY(Settings!$F66,2),1)="W"),Settings!$F66,0),0)</ns0:f>
        <ns0:v>0</ns0:v>
      </ns0:c>
      <ns0:c r="AY43" s="0">
        <ns0:f>IFERROR(IF(AND('_Engine'!$X43=1,ISNUMBER(Settings!$F67),Settings!$F67&gt;0,MID('_Engine'!$AP43,WEEKDAY(Settings!$F67,2),1)="W"),Settings!$F67,0),0)</ns0:f>
        <ns0:v>0</ns0:v>
      </ns0:c>
    </ns0:row>
    <ns0:row r="44">
      <ns0:c r="B44" s="0">
        <ns0:f>IFERROR(IF(AND('_Engine'!$X44=1,ISNUMBER(Settings!$F18),Settings!$F18&gt;0,MID('_Engine'!$AP44,WEEKDAY(Settings!$F18,2),1)="W"),Settings!$F18,0),0)</ns0:f>
        <ns0:v>0</ns0:v>
      </ns0:c>
      <ns0:c r="C44" s="0">
        <ns0:f>IFERROR(IF(AND('_Engine'!$X44=1,ISNUMBER(Settings!$F19),Settings!$F19&gt;0,MID('_Engine'!$AP44,WEEKDAY(Settings!$F19,2),1)="W"),Settings!$F19,0),0)</ns0:f>
        <ns0:v>0</ns0:v>
      </ns0:c>
      <ns0:c r="D44" s="0">
        <ns0:f>IFERROR(IF(AND('_Engine'!$X44=1,ISNUMBER(Settings!$F20),Settings!$F20&gt;0,MID('_Engine'!$AP44,WEEKDAY(Settings!$F20,2),1)="W"),Settings!$F20,0),0)</ns0:f>
        <ns0:v>0</ns0:v>
      </ns0:c>
      <ns0:c r="E44" s="0">
        <ns0:f>IFERROR(IF(AND('_Engine'!$X44=1,ISNUMBER(Settings!$F21),Settings!$F21&gt;0,MID('_Engine'!$AP44,WEEKDAY(Settings!$F21,2),1)="W"),Settings!$F21,0),0)</ns0:f>
        <ns0:v>0</ns0:v>
      </ns0:c>
      <ns0:c r="F44" s="0">
        <ns0:f>IFERROR(IF(AND('_Engine'!$X44=1,ISNUMBER(Settings!$F22),Settings!$F22&gt;0,MID('_Engine'!$AP44,WEEKDAY(Settings!$F22,2),1)="W"),Settings!$F22,0),0)</ns0:f>
        <ns0:v>0</ns0:v>
      </ns0:c>
      <ns0:c r="G44" s="0">
        <ns0:f>IFERROR(IF(AND('_Engine'!$X44=1,ISNUMBER(Settings!$F23),Settings!$F23&gt;0,MID('_Engine'!$AP44,WEEKDAY(Settings!$F23,2),1)="W"),Settings!$F23,0),0)</ns0:f>
        <ns0:v>0</ns0:v>
      </ns0:c>
      <ns0:c r="H44" s="0">
        <ns0:f>IFERROR(IF(AND('_Engine'!$X44=1,ISNUMBER(Settings!$F24),Settings!$F24&gt;0,MID('_Engine'!$AP44,WEEKDAY(Settings!$F24,2),1)="W"),Settings!$F24,0),0)</ns0:f>
        <ns0:v>0</ns0:v>
      </ns0:c>
      <ns0:c r="I44" s="0">
        <ns0:f>IFERROR(IF(AND('_Engine'!$X44=1,ISNUMBER(Settings!$F25),Settings!$F25&gt;0,MID('_Engine'!$AP44,WEEKDAY(Settings!$F25,2),1)="W"),Settings!$F25,0),0)</ns0:f>
        <ns0:v>0</ns0:v>
      </ns0:c>
      <ns0:c r="J44" s="0">
        <ns0:f>IFERROR(IF(AND('_Engine'!$X44=1,ISNUMBER(Settings!$F26),Settings!$F26&gt;0,MID('_Engine'!$AP44,WEEKDAY(Settings!$F26,2),1)="W"),Settings!$F26,0),0)</ns0:f>
        <ns0:v>0</ns0:v>
      </ns0:c>
      <ns0:c r="K44" s="0">
        <ns0:f>IFERROR(IF(AND('_Engine'!$X44=1,ISNUMBER(Settings!$F27),Settings!$F27&gt;0,MID('_Engine'!$AP44,WEEKDAY(Settings!$F27,2),1)="W"),Settings!$F27,0),0)</ns0:f>
        <ns0:v>0</ns0:v>
      </ns0:c>
      <ns0:c r="L44" s="0">
        <ns0:f>IFERROR(IF(AND('_Engine'!$X44=1,ISNUMBER(Settings!$F28),Settings!$F28&gt;0,MID('_Engine'!$AP44,WEEKDAY(Settings!$F28,2),1)="W"),Settings!$F28,0),0)</ns0:f>
        <ns0:v>0</ns0:v>
      </ns0:c>
      <ns0:c r="M44" s="0">
        <ns0:f>IFERROR(IF(AND('_Engine'!$X44=1,ISNUMBER(Settings!$F29),Settings!$F29&gt;0,MID('_Engine'!$AP44,WEEKDAY(Settings!$F29,2),1)="W"),Settings!$F29,0),0)</ns0:f>
        <ns0:v>0</ns0:v>
      </ns0:c>
      <ns0:c r="N44" s="0">
        <ns0:f>IFERROR(IF(AND('_Engine'!$X44=1,ISNUMBER(Settings!$F30),Settings!$F30&gt;0,MID('_Engine'!$AP44,WEEKDAY(Settings!$F30,2),1)="W"),Settings!$F30,0),0)</ns0:f>
        <ns0:v>0</ns0:v>
      </ns0:c>
      <ns0:c r="O44" s="0">
        <ns0:f>IFERROR(IF(AND('_Engine'!$X44=1,ISNUMBER(Settings!$F31),Settings!$F31&gt;0,MID('_Engine'!$AP44,WEEKDAY(Settings!$F31,2),1)="W"),Settings!$F31,0),0)</ns0:f>
        <ns0:v>0</ns0:v>
      </ns0:c>
      <ns0:c r="P44" s="0">
        <ns0:f>IFERROR(IF(AND('_Engine'!$X44=1,ISNUMBER(Settings!$F32),Settings!$F32&gt;0,MID('_Engine'!$AP44,WEEKDAY(Settings!$F32,2),1)="W"),Settings!$F32,0),0)</ns0:f>
        <ns0:v>0</ns0:v>
      </ns0:c>
      <ns0:c r="Q44" s="0">
        <ns0:f>IFERROR(IF(AND('_Engine'!$X44=1,ISNUMBER(Settings!$F33),Settings!$F33&gt;0,MID('_Engine'!$AP44,WEEKDAY(Settings!$F33,2),1)="W"),Settings!$F33,0),0)</ns0:f>
        <ns0:v>0</ns0:v>
      </ns0:c>
      <ns0:c r="R44" s="0">
        <ns0:f>IFERROR(IF(AND('_Engine'!$X44=1,ISNUMBER(Settings!$F34),Settings!$F34&gt;0,MID('_Engine'!$AP44,WEEKDAY(Settings!$F34,2),1)="W"),Settings!$F34,0),0)</ns0:f>
        <ns0:v>0</ns0:v>
      </ns0:c>
      <ns0:c r="S44" s="0">
        <ns0:f>IFERROR(IF(AND('_Engine'!$X44=1,ISNUMBER(Settings!$F35),Settings!$F35&gt;0,MID('_Engine'!$AP44,WEEKDAY(Settings!$F35,2),1)="W"),Settings!$F35,0),0)</ns0:f>
        <ns0:v>0</ns0:v>
      </ns0:c>
      <ns0:c r="T44" s="0">
        <ns0:f>IFERROR(IF(AND('_Engine'!$X44=1,ISNUMBER(Settings!$F36),Settings!$F36&gt;0,MID('_Engine'!$AP44,WEEKDAY(Settings!$F36,2),1)="W"),Settings!$F36,0),0)</ns0:f>
        <ns0:v>0</ns0:v>
      </ns0:c>
      <ns0:c r="U44" s="0">
        <ns0:f>IFERROR(IF(AND('_Engine'!$X44=1,ISNUMBER(Settings!$F37),Settings!$F37&gt;0,MID('_Engine'!$AP44,WEEKDAY(Settings!$F37,2),1)="W"),Settings!$F37,0),0)</ns0:f>
        <ns0:v>0</ns0:v>
      </ns0:c>
      <ns0:c r="V44" s="0">
        <ns0:f>IFERROR(IF(AND('_Engine'!$X44=1,ISNUMBER(Settings!$F38),Settings!$F38&gt;0,MID('_Engine'!$AP44,WEEKDAY(Settings!$F38,2),1)="W"),Settings!$F38,0),0)</ns0:f>
        <ns0:v>0</ns0:v>
      </ns0:c>
      <ns0:c r="W44" s="0">
        <ns0:f>IFERROR(IF(AND('_Engine'!$X44=1,ISNUMBER(Settings!$F39),Settings!$F39&gt;0,MID('_Engine'!$AP44,WEEKDAY(Settings!$F39,2),1)="W"),Settings!$F39,0),0)</ns0:f>
        <ns0:v>0</ns0:v>
      </ns0:c>
      <ns0:c r="X44" s="0">
        <ns0:f>IFERROR(IF(AND('_Engine'!$X44=1,ISNUMBER(Settings!$F40),Settings!$F40&gt;0,MID('_Engine'!$AP44,WEEKDAY(Settings!$F40,2),1)="W"),Settings!$F40,0),0)</ns0:f>
        <ns0:v>0</ns0:v>
      </ns0:c>
      <ns0:c r="Y44" s="0">
        <ns0:f>IFERROR(IF(AND('_Engine'!$X44=1,ISNUMBER(Settings!$F41),Settings!$F41&gt;0,MID('_Engine'!$AP44,WEEKDAY(Settings!$F41,2),1)="W"),Settings!$F41,0),0)</ns0:f>
        <ns0:v>0</ns0:v>
      </ns0:c>
      <ns0:c r="Z44" s="0">
        <ns0:f>IFERROR(IF(AND('_Engine'!$X44=1,ISNUMBER(Settings!$F42),Settings!$F42&gt;0,MID('_Engine'!$AP44,WEEKDAY(Settings!$F42,2),1)="W"),Settings!$F42,0),0)</ns0:f>
        <ns0:v>0</ns0:v>
      </ns0:c>
      <ns0:c r="AA44" s="0">
        <ns0:f>IFERROR(IF(AND('_Engine'!$X44=1,ISNUMBER(Settings!$F43),Settings!$F43&gt;0,MID('_Engine'!$AP44,WEEKDAY(Settings!$F43,2),1)="W"),Settings!$F43,0),0)</ns0:f>
        <ns0:v>0</ns0:v>
      </ns0:c>
      <ns0:c r="AB44" s="0">
        <ns0:f>IFERROR(IF(AND('_Engine'!$X44=1,ISNUMBER(Settings!$F44),Settings!$F44&gt;0,MID('_Engine'!$AP44,WEEKDAY(Settings!$F44,2),1)="W"),Settings!$F44,0),0)</ns0:f>
        <ns0:v>0</ns0:v>
      </ns0:c>
      <ns0:c r="AC44" s="0">
        <ns0:f>IFERROR(IF(AND('_Engine'!$X44=1,ISNUMBER(Settings!$F45),Settings!$F45&gt;0,MID('_Engine'!$AP44,WEEKDAY(Settings!$F45,2),1)="W"),Settings!$F45,0),0)</ns0:f>
        <ns0:v>0</ns0:v>
      </ns0:c>
      <ns0:c r="AD44" s="0">
        <ns0:f>IFERROR(IF(AND('_Engine'!$X44=1,ISNUMBER(Settings!$F46),Settings!$F46&gt;0,MID('_Engine'!$AP44,WEEKDAY(Settings!$F46,2),1)="W"),Settings!$F46,0),0)</ns0:f>
        <ns0:v>0</ns0:v>
      </ns0:c>
      <ns0:c r="AE44" s="0">
        <ns0:f>IFERROR(IF(AND('_Engine'!$X44=1,ISNUMBER(Settings!$F47),Settings!$F47&gt;0,MID('_Engine'!$AP44,WEEKDAY(Settings!$F47,2),1)="W"),Settings!$F47,0),0)</ns0:f>
        <ns0:v>0</ns0:v>
      </ns0:c>
      <ns0:c r="AF44" s="0">
        <ns0:f>IFERROR(IF(AND('_Engine'!$X44=1,ISNUMBER(Settings!$F48),Settings!$F48&gt;0,MID('_Engine'!$AP44,WEEKDAY(Settings!$F48,2),1)="W"),Settings!$F48,0),0)</ns0:f>
        <ns0:v>0</ns0:v>
      </ns0:c>
      <ns0:c r="AG44" s="0">
        <ns0:f>IFERROR(IF(AND('_Engine'!$X44=1,ISNUMBER(Settings!$F49),Settings!$F49&gt;0,MID('_Engine'!$AP44,WEEKDAY(Settings!$F49,2),1)="W"),Settings!$F49,0),0)</ns0:f>
        <ns0:v>0</ns0:v>
      </ns0:c>
      <ns0:c r="AH44" s="0">
        <ns0:f>IFERROR(IF(AND('_Engine'!$X44=1,ISNUMBER(Settings!$F50),Settings!$F50&gt;0,MID('_Engine'!$AP44,WEEKDAY(Settings!$F50,2),1)="W"),Settings!$F50,0),0)</ns0:f>
        <ns0:v>0</ns0:v>
      </ns0:c>
      <ns0:c r="AI44" s="0">
        <ns0:f>IFERROR(IF(AND('_Engine'!$X44=1,ISNUMBER(Settings!$F51),Settings!$F51&gt;0,MID('_Engine'!$AP44,WEEKDAY(Settings!$F51,2),1)="W"),Settings!$F51,0),0)</ns0:f>
        <ns0:v>0</ns0:v>
      </ns0:c>
      <ns0:c r="AJ44" s="0">
        <ns0:f>IFERROR(IF(AND('_Engine'!$X44=1,ISNUMBER(Settings!$F52),Settings!$F52&gt;0,MID('_Engine'!$AP44,WEEKDAY(Settings!$F52,2),1)="W"),Settings!$F52,0),0)</ns0:f>
        <ns0:v>0</ns0:v>
      </ns0:c>
      <ns0:c r="AK44" s="0">
        <ns0:f>IFERROR(IF(AND('_Engine'!$X44=1,ISNUMBER(Settings!$F53),Settings!$F53&gt;0,MID('_Engine'!$AP44,WEEKDAY(Settings!$F53,2),1)="W"),Settings!$F53,0),0)</ns0:f>
        <ns0:v>0</ns0:v>
      </ns0:c>
      <ns0:c r="AL44" s="0">
        <ns0:f>IFERROR(IF(AND('_Engine'!$X44=1,ISNUMBER(Settings!$F54),Settings!$F54&gt;0,MID('_Engine'!$AP44,WEEKDAY(Settings!$F54,2),1)="W"),Settings!$F54,0),0)</ns0:f>
        <ns0:v>0</ns0:v>
      </ns0:c>
      <ns0:c r="AM44" s="0">
        <ns0:f>IFERROR(IF(AND('_Engine'!$X44=1,ISNUMBER(Settings!$F55),Settings!$F55&gt;0,MID('_Engine'!$AP44,WEEKDAY(Settings!$F55,2),1)="W"),Settings!$F55,0),0)</ns0:f>
        <ns0:v>0</ns0:v>
      </ns0:c>
      <ns0:c r="AN44" s="0">
        <ns0:f>IFERROR(IF(AND('_Engine'!$X44=1,ISNUMBER(Settings!$F56),Settings!$F56&gt;0,MID('_Engine'!$AP44,WEEKDAY(Settings!$F56,2),1)="W"),Settings!$F56,0),0)</ns0:f>
        <ns0:v>0</ns0:v>
      </ns0:c>
      <ns0:c r="AO44" s="0">
        <ns0:f>IFERROR(IF(AND('_Engine'!$X44=1,ISNUMBER(Settings!$F57),Settings!$F57&gt;0,MID('_Engine'!$AP44,WEEKDAY(Settings!$F57,2),1)="W"),Settings!$F57,0),0)</ns0:f>
        <ns0:v>0</ns0:v>
      </ns0:c>
      <ns0:c r="AP44" s="0">
        <ns0:f>IFERROR(IF(AND('_Engine'!$X44=1,ISNUMBER(Settings!$F58),Settings!$F58&gt;0,MID('_Engine'!$AP44,WEEKDAY(Settings!$F58,2),1)="W"),Settings!$F58,0),0)</ns0:f>
        <ns0:v>0</ns0:v>
      </ns0:c>
      <ns0:c r="AQ44" s="0">
        <ns0:f>IFERROR(IF(AND('_Engine'!$X44=1,ISNUMBER(Settings!$F59),Settings!$F59&gt;0,MID('_Engine'!$AP44,WEEKDAY(Settings!$F59,2),1)="W"),Settings!$F59,0),0)</ns0:f>
        <ns0:v>0</ns0:v>
      </ns0:c>
      <ns0:c r="AR44" s="0">
        <ns0:f>IFERROR(IF(AND('_Engine'!$X44=1,ISNUMBER(Settings!$F60),Settings!$F60&gt;0,MID('_Engine'!$AP44,WEEKDAY(Settings!$F60,2),1)="W"),Settings!$F60,0),0)</ns0:f>
        <ns0:v>0</ns0:v>
      </ns0:c>
      <ns0:c r="AS44" s="0">
        <ns0:f>IFERROR(IF(AND('_Engine'!$X44=1,ISNUMBER(Settings!$F61),Settings!$F61&gt;0,MID('_Engine'!$AP44,WEEKDAY(Settings!$F61,2),1)="W"),Settings!$F61,0),0)</ns0:f>
        <ns0:v>0</ns0:v>
      </ns0:c>
      <ns0:c r="AT44" s="0">
        <ns0:f>IFERROR(IF(AND('_Engine'!$X44=1,ISNUMBER(Settings!$F62),Settings!$F62&gt;0,MID('_Engine'!$AP44,WEEKDAY(Settings!$F62,2),1)="W"),Settings!$F62,0),0)</ns0:f>
        <ns0:v>0</ns0:v>
      </ns0:c>
      <ns0:c r="AU44" s="0">
        <ns0:f>IFERROR(IF(AND('_Engine'!$X44=1,ISNUMBER(Settings!$F63),Settings!$F63&gt;0,MID('_Engine'!$AP44,WEEKDAY(Settings!$F63,2),1)="W"),Settings!$F63,0),0)</ns0:f>
        <ns0:v>0</ns0:v>
      </ns0:c>
      <ns0:c r="AV44" s="0">
        <ns0:f>IFERROR(IF(AND('_Engine'!$X44=1,ISNUMBER(Settings!$F64),Settings!$F64&gt;0,MID('_Engine'!$AP44,WEEKDAY(Settings!$F64,2),1)="W"),Settings!$F64,0),0)</ns0:f>
        <ns0:v>0</ns0:v>
      </ns0:c>
      <ns0:c r="AW44" s="0">
        <ns0:f>IFERROR(IF(AND('_Engine'!$X44=1,ISNUMBER(Settings!$F65),Settings!$F65&gt;0,MID('_Engine'!$AP44,WEEKDAY(Settings!$F65,2),1)="W"),Settings!$F65,0),0)</ns0:f>
        <ns0:v>0</ns0:v>
      </ns0:c>
      <ns0:c r="AX44" s="0">
        <ns0:f>IFERROR(IF(AND('_Engine'!$X44=1,ISNUMBER(Settings!$F66),Settings!$F66&gt;0,MID('_Engine'!$AP44,WEEKDAY(Settings!$F66,2),1)="W"),Settings!$F66,0),0)</ns0:f>
        <ns0:v>0</ns0:v>
      </ns0:c>
      <ns0:c r="AY44" s="0">
        <ns0:f>IFERROR(IF(AND('_Engine'!$X44=1,ISNUMBER(Settings!$F67),Settings!$F67&gt;0,MID('_Engine'!$AP44,WEEKDAY(Settings!$F67,2),1)="W"),Settings!$F67,0),0)</ns0:f>
        <ns0:v>0</ns0:v>
      </ns0:c>
    </ns0:row>
    <ns0:row r="45">
      <ns0:c r="B45" s="0">
        <ns0:f>IFERROR(IF(AND('_Engine'!$X45=1,ISNUMBER(Settings!$F18),Settings!$F18&gt;0,MID('_Engine'!$AP45,WEEKDAY(Settings!$F18,2),1)="W"),Settings!$F18,0),0)</ns0:f>
        <ns0:v>0</ns0:v>
      </ns0:c>
      <ns0:c r="C45" s="0">
        <ns0:f>IFERROR(IF(AND('_Engine'!$X45=1,ISNUMBER(Settings!$F19),Settings!$F19&gt;0,MID('_Engine'!$AP45,WEEKDAY(Settings!$F19,2),1)="W"),Settings!$F19,0),0)</ns0:f>
        <ns0:v>0</ns0:v>
      </ns0:c>
      <ns0:c r="D45" s="0">
        <ns0:f>IFERROR(IF(AND('_Engine'!$X45=1,ISNUMBER(Settings!$F20),Settings!$F20&gt;0,MID('_Engine'!$AP45,WEEKDAY(Settings!$F20,2),1)="W"),Settings!$F20,0),0)</ns0:f>
        <ns0:v>0</ns0:v>
      </ns0:c>
      <ns0:c r="E45" s="0">
        <ns0:f>IFERROR(IF(AND('_Engine'!$X45=1,ISNUMBER(Settings!$F21),Settings!$F21&gt;0,MID('_Engine'!$AP45,WEEKDAY(Settings!$F21,2),1)="W"),Settings!$F21,0),0)</ns0:f>
        <ns0:v>0</ns0:v>
      </ns0:c>
      <ns0:c r="F45" s="0">
        <ns0:f>IFERROR(IF(AND('_Engine'!$X45=1,ISNUMBER(Settings!$F22),Settings!$F22&gt;0,MID('_Engine'!$AP45,WEEKDAY(Settings!$F22,2),1)="W"),Settings!$F22,0),0)</ns0:f>
        <ns0:v>0</ns0:v>
      </ns0:c>
      <ns0:c r="G45" s="0">
        <ns0:f>IFERROR(IF(AND('_Engine'!$X45=1,ISNUMBER(Settings!$F23),Settings!$F23&gt;0,MID('_Engine'!$AP45,WEEKDAY(Settings!$F23,2),1)="W"),Settings!$F23,0),0)</ns0:f>
        <ns0:v>0</ns0:v>
      </ns0:c>
      <ns0:c r="H45" s="0">
        <ns0:f>IFERROR(IF(AND('_Engine'!$X45=1,ISNUMBER(Settings!$F24),Settings!$F24&gt;0,MID('_Engine'!$AP45,WEEKDAY(Settings!$F24,2),1)="W"),Settings!$F24,0),0)</ns0:f>
        <ns0:v>0</ns0:v>
      </ns0:c>
      <ns0:c r="I45" s="0">
        <ns0:f>IFERROR(IF(AND('_Engine'!$X45=1,ISNUMBER(Settings!$F25),Settings!$F25&gt;0,MID('_Engine'!$AP45,WEEKDAY(Settings!$F25,2),1)="W"),Settings!$F25,0),0)</ns0:f>
        <ns0:v>0</ns0:v>
      </ns0:c>
      <ns0:c r="J45" s="0">
        <ns0:f>IFERROR(IF(AND('_Engine'!$X45=1,ISNUMBER(Settings!$F26),Settings!$F26&gt;0,MID('_Engine'!$AP45,WEEKDAY(Settings!$F26,2),1)="W"),Settings!$F26,0),0)</ns0:f>
        <ns0:v>0</ns0:v>
      </ns0:c>
      <ns0:c r="K45" s="0">
        <ns0:f>IFERROR(IF(AND('_Engine'!$X45=1,ISNUMBER(Settings!$F27),Settings!$F27&gt;0,MID('_Engine'!$AP45,WEEKDAY(Settings!$F27,2),1)="W"),Settings!$F27,0),0)</ns0:f>
        <ns0:v>0</ns0:v>
      </ns0:c>
      <ns0:c r="L45" s="0">
        <ns0:f>IFERROR(IF(AND('_Engine'!$X45=1,ISNUMBER(Settings!$F28),Settings!$F28&gt;0,MID('_Engine'!$AP45,WEEKDAY(Settings!$F28,2),1)="W"),Settings!$F28,0),0)</ns0:f>
        <ns0:v>0</ns0:v>
      </ns0:c>
      <ns0:c r="M45" s="0">
        <ns0:f>IFERROR(IF(AND('_Engine'!$X45=1,ISNUMBER(Settings!$F29),Settings!$F29&gt;0,MID('_Engine'!$AP45,WEEKDAY(Settings!$F29,2),1)="W"),Settings!$F29,0),0)</ns0:f>
        <ns0:v>0</ns0:v>
      </ns0:c>
      <ns0:c r="N45" s="0">
        <ns0:f>IFERROR(IF(AND('_Engine'!$X45=1,ISNUMBER(Settings!$F30),Settings!$F30&gt;0,MID('_Engine'!$AP45,WEEKDAY(Settings!$F30,2),1)="W"),Settings!$F30,0),0)</ns0:f>
        <ns0:v>0</ns0:v>
      </ns0:c>
      <ns0:c r="O45" s="0">
        <ns0:f>IFERROR(IF(AND('_Engine'!$X45=1,ISNUMBER(Settings!$F31),Settings!$F31&gt;0,MID('_Engine'!$AP45,WEEKDAY(Settings!$F31,2),1)="W"),Settings!$F31,0),0)</ns0:f>
        <ns0:v>0</ns0:v>
      </ns0:c>
      <ns0:c r="P45" s="0">
        <ns0:f>IFERROR(IF(AND('_Engine'!$X45=1,ISNUMBER(Settings!$F32),Settings!$F32&gt;0,MID('_Engine'!$AP45,WEEKDAY(Settings!$F32,2),1)="W"),Settings!$F32,0),0)</ns0:f>
        <ns0:v>0</ns0:v>
      </ns0:c>
      <ns0:c r="Q45" s="0">
        <ns0:f>IFERROR(IF(AND('_Engine'!$X45=1,ISNUMBER(Settings!$F33),Settings!$F33&gt;0,MID('_Engine'!$AP45,WEEKDAY(Settings!$F33,2),1)="W"),Settings!$F33,0),0)</ns0:f>
        <ns0:v>0</ns0:v>
      </ns0:c>
      <ns0:c r="R45" s="0">
        <ns0:f>IFERROR(IF(AND('_Engine'!$X45=1,ISNUMBER(Settings!$F34),Settings!$F34&gt;0,MID('_Engine'!$AP45,WEEKDAY(Settings!$F34,2),1)="W"),Settings!$F34,0),0)</ns0:f>
        <ns0:v>0</ns0:v>
      </ns0:c>
      <ns0:c r="S45" s="0">
        <ns0:f>IFERROR(IF(AND('_Engine'!$X45=1,ISNUMBER(Settings!$F35),Settings!$F35&gt;0,MID('_Engine'!$AP45,WEEKDAY(Settings!$F35,2),1)="W"),Settings!$F35,0),0)</ns0:f>
        <ns0:v>0</ns0:v>
      </ns0:c>
      <ns0:c r="T45" s="0">
        <ns0:f>IFERROR(IF(AND('_Engine'!$X45=1,ISNUMBER(Settings!$F36),Settings!$F36&gt;0,MID('_Engine'!$AP45,WEEKDAY(Settings!$F36,2),1)="W"),Settings!$F36,0),0)</ns0:f>
        <ns0:v>0</ns0:v>
      </ns0:c>
      <ns0:c r="U45" s="0">
        <ns0:f>IFERROR(IF(AND('_Engine'!$X45=1,ISNUMBER(Settings!$F37),Settings!$F37&gt;0,MID('_Engine'!$AP45,WEEKDAY(Settings!$F37,2),1)="W"),Settings!$F37,0),0)</ns0:f>
        <ns0:v>0</ns0:v>
      </ns0:c>
      <ns0:c r="V45" s="0">
        <ns0:f>IFERROR(IF(AND('_Engine'!$X45=1,ISNUMBER(Settings!$F38),Settings!$F38&gt;0,MID('_Engine'!$AP45,WEEKDAY(Settings!$F38,2),1)="W"),Settings!$F38,0),0)</ns0:f>
        <ns0:v>0</ns0:v>
      </ns0:c>
      <ns0:c r="W45" s="0">
        <ns0:f>IFERROR(IF(AND('_Engine'!$X45=1,ISNUMBER(Settings!$F39),Settings!$F39&gt;0,MID('_Engine'!$AP45,WEEKDAY(Settings!$F39,2),1)="W"),Settings!$F39,0),0)</ns0:f>
        <ns0:v>0</ns0:v>
      </ns0:c>
      <ns0:c r="X45" s="0">
        <ns0:f>IFERROR(IF(AND('_Engine'!$X45=1,ISNUMBER(Settings!$F40),Settings!$F40&gt;0,MID('_Engine'!$AP45,WEEKDAY(Settings!$F40,2),1)="W"),Settings!$F40,0),0)</ns0:f>
        <ns0:v>0</ns0:v>
      </ns0:c>
      <ns0:c r="Y45" s="0">
        <ns0:f>IFERROR(IF(AND('_Engine'!$X45=1,ISNUMBER(Settings!$F41),Settings!$F41&gt;0,MID('_Engine'!$AP45,WEEKDAY(Settings!$F41,2),1)="W"),Settings!$F41,0),0)</ns0:f>
        <ns0:v>0</ns0:v>
      </ns0:c>
      <ns0:c r="Z45" s="0">
        <ns0:f>IFERROR(IF(AND('_Engine'!$X45=1,ISNUMBER(Settings!$F42),Settings!$F42&gt;0,MID('_Engine'!$AP45,WEEKDAY(Settings!$F42,2),1)="W"),Settings!$F42,0),0)</ns0:f>
        <ns0:v>0</ns0:v>
      </ns0:c>
      <ns0:c r="AA45" s="0">
        <ns0:f>IFERROR(IF(AND('_Engine'!$X45=1,ISNUMBER(Settings!$F43),Settings!$F43&gt;0,MID('_Engine'!$AP45,WEEKDAY(Settings!$F43,2),1)="W"),Settings!$F43,0),0)</ns0:f>
        <ns0:v>0</ns0:v>
      </ns0:c>
      <ns0:c r="AB45" s="0">
        <ns0:f>IFERROR(IF(AND('_Engine'!$X45=1,ISNUMBER(Settings!$F44),Settings!$F44&gt;0,MID('_Engine'!$AP45,WEEKDAY(Settings!$F44,2),1)="W"),Settings!$F44,0),0)</ns0:f>
        <ns0:v>0</ns0:v>
      </ns0:c>
      <ns0:c r="AC45" s="0">
        <ns0:f>IFERROR(IF(AND('_Engine'!$X45=1,ISNUMBER(Settings!$F45),Settings!$F45&gt;0,MID('_Engine'!$AP45,WEEKDAY(Settings!$F45,2),1)="W"),Settings!$F45,0),0)</ns0:f>
        <ns0:v>0</ns0:v>
      </ns0:c>
      <ns0:c r="AD45" s="0">
        <ns0:f>IFERROR(IF(AND('_Engine'!$X45=1,ISNUMBER(Settings!$F46),Settings!$F46&gt;0,MID('_Engine'!$AP45,WEEKDAY(Settings!$F46,2),1)="W"),Settings!$F46,0),0)</ns0:f>
        <ns0:v>0</ns0:v>
      </ns0:c>
      <ns0:c r="AE45" s="0">
        <ns0:f>IFERROR(IF(AND('_Engine'!$X45=1,ISNUMBER(Settings!$F47),Settings!$F47&gt;0,MID('_Engine'!$AP45,WEEKDAY(Settings!$F47,2),1)="W"),Settings!$F47,0),0)</ns0:f>
        <ns0:v>0</ns0:v>
      </ns0:c>
      <ns0:c r="AF45" s="0">
        <ns0:f>IFERROR(IF(AND('_Engine'!$X45=1,ISNUMBER(Settings!$F48),Settings!$F48&gt;0,MID('_Engine'!$AP45,WEEKDAY(Settings!$F48,2),1)="W"),Settings!$F48,0),0)</ns0:f>
        <ns0:v>0</ns0:v>
      </ns0:c>
      <ns0:c r="AG45" s="0">
        <ns0:f>IFERROR(IF(AND('_Engine'!$X45=1,ISNUMBER(Settings!$F49),Settings!$F49&gt;0,MID('_Engine'!$AP45,WEEKDAY(Settings!$F49,2),1)="W"),Settings!$F49,0),0)</ns0:f>
        <ns0:v>0</ns0:v>
      </ns0:c>
      <ns0:c r="AH45" s="0">
        <ns0:f>IFERROR(IF(AND('_Engine'!$X45=1,ISNUMBER(Settings!$F50),Settings!$F50&gt;0,MID('_Engine'!$AP45,WEEKDAY(Settings!$F50,2),1)="W"),Settings!$F50,0),0)</ns0:f>
        <ns0:v>0</ns0:v>
      </ns0:c>
      <ns0:c r="AI45" s="0">
        <ns0:f>IFERROR(IF(AND('_Engine'!$X45=1,ISNUMBER(Settings!$F51),Settings!$F51&gt;0,MID('_Engine'!$AP45,WEEKDAY(Settings!$F51,2),1)="W"),Settings!$F51,0),0)</ns0:f>
        <ns0:v>0</ns0:v>
      </ns0:c>
      <ns0:c r="AJ45" s="0">
        <ns0:f>IFERROR(IF(AND('_Engine'!$X45=1,ISNUMBER(Settings!$F52),Settings!$F52&gt;0,MID('_Engine'!$AP45,WEEKDAY(Settings!$F52,2),1)="W"),Settings!$F52,0),0)</ns0:f>
        <ns0:v>0</ns0:v>
      </ns0:c>
      <ns0:c r="AK45" s="0">
        <ns0:f>IFERROR(IF(AND('_Engine'!$X45=1,ISNUMBER(Settings!$F53),Settings!$F53&gt;0,MID('_Engine'!$AP45,WEEKDAY(Settings!$F53,2),1)="W"),Settings!$F53,0),0)</ns0:f>
        <ns0:v>0</ns0:v>
      </ns0:c>
      <ns0:c r="AL45" s="0">
        <ns0:f>IFERROR(IF(AND('_Engine'!$X45=1,ISNUMBER(Settings!$F54),Settings!$F54&gt;0,MID('_Engine'!$AP45,WEEKDAY(Settings!$F54,2),1)="W"),Settings!$F54,0),0)</ns0:f>
        <ns0:v>0</ns0:v>
      </ns0:c>
      <ns0:c r="AM45" s="0">
        <ns0:f>IFERROR(IF(AND('_Engine'!$X45=1,ISNUMBER(Settings!$F55),Settings!$F55&gt;0,MID('_Engine'!$AP45,WEEKDAY(Settings!$F55,2),1)="W"),Settings!$F55,0),0)</ns0:f>
        <ns0:v>0</ns0:v>
      </ns0:c>
      <ns0:c r="AN45" s="0">
        <ns0:f>IFERROR(IF(AND('_Engine'!$X45=1,ISNUMBER(Settings!$F56),Settings!$F56&gt;0,MID('_Engine'!$AP45,WEEKDAY(Settings!$F56,2),1)="W"),Settings!$F56,0),0)</ns0:f>
        <ns0:v>0</ns0:v>
      </ns0:c>
      <ns0:c r="AO45" s="0">
        <ns0:f>IFERROR(IF(AND('_Engine'!$X45=1,ISNUMBER(Settings!$F57),Settings!$F57&gt;0,MID('_Engine'!$AP45,WEEKDAY(Settings!$F57,2),1)="W"),Settings!$F57,0),0)</ns0:f>
        <ns0:v>0</ns0:v>
      </ns0:c>
      <ns0:c r="AP45" s="0">
        <ns0:f>IFERROR(IF(AND('_Engine'!$X45=1,ISNUMBER(Settings!$F58),Settings!$F58&gt;0,MID('_Engine'!$AP45,WEEKDAY(Settings!$F58,2),1)="W"),Settings!$F58,0),0)</ns0:f>
        <ns0:v>0</ns0:v>
      </ns0:c>
      <ns0:c r="AQ45" s="0">
        <ns0:f>IFERROR(IF(AND('_Engine'!$X45=1,ISNUMBER(Settings!$F59),Settings!$F59&gt;0,MID('_Engine'!$AP45,WEEKDAY(Settings!$F59,2),1)="W"),Settings!$F59,0),0)</ns0:f>
        <ns0:v>0</ns0:v>
      </ns0:c>
      <ns0:c r="AR45" s="0">
        <ns0:f>IFERROR(IF(AND('_Engine'!$X45=1,ISNUMBER(Settings!$F60),Settings!$F60&gt;0,MID('_Engine'!$AP45,WEEKDAY(Settings!$F60,2),1)="W"),Settings!$F60,0),0)</ns0:f>
        <ns0:v>0</ns0:v>
      </ns0:c>
      <ns0:c r="AS45" s="0">
        <ns0:f>IFERROR(IF(AND('_Engine'!$X45=1,ISNUMBER(Settings!$F61),Settings!$F61&gt;0,MID('_Engine'!$AP45,WEEKDAY(Settings!$F61,2),1)="W"),Settings!$F61,0),0)</ns0:f>
        <ns0:v>0</ns0:v>
      </ns0:c>
      <ns0:c r="AT45" s="0">
        <ns0:f>IFERROR(IF(AND('_Engine'!$X45=1,ISNUMBER(Settings!$F62),Settings!$F62&gt;0,MID('_Engine'!$AP45,WEEKDAY(Settings!$F62,2),1)="W"),Settings!$F62,0),0)</ns0:f>
        <ns0:v>0</ns0:v>
      </ns0:c>
      <ns0:c r="AU45" s="0">
        <ns0:f>IFERROR(IF(AND('_Engine'!$X45=1,ISNUMBER(Settings!$F63),Settings!$F63&gt;0,MID('_Engine'!$AP45,WEEKDAY(Settings!$F63,2),1)="W"),Settings!$F63,0),0)</ns0:f>
        <ns0:v>0</ns0:v>
      </ns0:c>
      <ns0:c r="AV45" s="0">
        <ns0:f>IFERROR(IF(AND('_Engine'!$X45=1,ISNUMBER(Settings!$F64),Settings!$F64&gt;0,MID('_Engine'!$AP45,WEEKDAY(Settings!$F64,2),1)="W"),Settings!$F64,0),0)</ns0:f>
        <ns0:v>0</ns0:v>
      </ns0:c>
      <ns0:c r="AW45" s="0">
        <ns0:f>IFERROR(IF(AND('_Engine'!$X45=1,ISNUMBER(Settings!$F65),Settings!$F65&gt;0,MID('_Engine'!$AP45,WEEKDAY(Settings!$F65,2),1)="W"),Settings!$F65,0),0)</ns0:f>
        <ns0:v>0</ns0:v>
      </ns0:c>
      <ns0:c r="AX45" s="0">
        <ns0:f>IFERROR(IF(AND('_Engine'!$X45=1,ISNUMBER(Settings!$F66),Settings!$F66&gt;0,MID('_Engine'!$AP45,WEEKDAY(Settings!$F66,2),1)="W"),Settings!$F66,0),0)</ns0:f>
        <ns0:v>0</ns0:v>
      </ns0:c>
      <ns0:c r="AY45" s="0">
        <ns0:f>IFERROR(IF(AND('_Engine'!$X45=1,ISNUMBER(Settings!$F67),Settings!$F67&gt;0,MID('_Engine'!$AP45,WEEKDAY(Settings!$F67,2),1)="W"),Settings!$F67,0),0)</ns0:f>
        <ns0:v>0</ns0:v>
      </ns0:c>
    </ns0:row>
    <ns0:row r="46">
      <ns0:c r="B46" s="0">
        <ns0:f>IFERROR(IF(AND('_Engine'!$X46=1,ISNUMBER(Settings!$F18),Settings!$F18&gt;0,MID('_Engine'!$AP46,WEEKDAY(Settings!$F18,2),1)="W"),Settings!$F18,0),0)</ns0:f>
        <ns0:v>0</ns0:v>
      </ns0:c>
      <ns0:c r="C46" s="0">
        <ns0:f>IFERROR(IF(AND('_Engine'!$X46=1,ISNUMBER(Settings!$F19),Settings!$F19&gt;0,MID('_Engine'!$AP46,WEEKDAY(Settings!$F19,2),1)="W"),Settings!$F19,0),0)</ns0:f>
        <ns0:v>0</ns0:v>
      </ns0:c>
      <ns0:c r="D46" s="0">
        <ns0:f>IFERROR(IF(AND('_Engine'!$X46=1,ISNUMBER(Settings!$F20),Settings!$F20&gt;0,MID('_Engine'!$AP46,WEEKDAY(Settings!$F20,2),1)="W"),Settings!$F20,0),0)</ns0:f>
        <ns0:v>0</ns0:v>
      </ns0:c>
      <ns0:c r="E46" s="0">
        <ns0:f>IFERROR(IF(AND('_Engine'!$X46=1,ISNUMBER(Settings!$F21),Settings!$F21&gt;0,MID('_Engine'!$AP46,WEEKDAY(Settings!$F21,2),1)="W"),Settings!$F21,0),0)</ns0:f>
        <ns0:v>0</ns0:v>
      </ns0:c>
      <ns0:c r="F46" s="0">
        <ns0:f>IFERROR(IF(AND('_Engine'!$X46=1,ISNUMBER(Settings!$F22),Settings!$F22&gt;0,MID('_Engine'!$AP46,WEEKDAY(Settings!$F22,2),1)="W"),Settings!$F22,0),0)</ns0:f>
        <ns0:v>0</ns0:v>
      </ns0:c>
      <ns0:c r="G46" s="0">
        <ns0:f>IFERROR(IF(AND('_Engine'!$X46=1,ISNUMBER(Settings!$F23),Settings!$F23&gt;0,MID('_Engine'!$AP46,WEEKDAY(Settings!$F23,2),1)="W"),Settings!$F23,0),0)</ns0:f>
        <ns0:v>0</ns0:v>
      </ns0:c>
      <ns0:c r="H46" s="0">
        <ns0:f>IFERROR(IF(AND('_Engine'!$X46=1,ISNUMBER(Settings!$F24),Settings!$F24&gt;0,MID('_Engine'!$AP46,WEEKDAY(Settings!$F24,2),1)="W"),Settings!$F24,0),0)</ns0:f>
        <ns0:v>0</ns0:v>
      </ns0:c>
      <ns0:c r="I46" s="0">
        <ns0:f>IFERROR(IF(AND('_Engine'!$X46=1,ISNUMBER(Settings!$F25),Settings!$F25&gt;0,MID('_Engine'!$AP46,WEEKDAY(Settings!$F25,2),1)="W"),Settings!$F25,0),0)</ns0:f>
        <ns0:v>0</ns0:v>
      </ns0:c>
      <ns0:c r="J46" s="0">
        <ns0:f>IFERROR(IF(AND('_Engine'!$X46=1,ISNUMBER(Settings!$F26),Settings!$F26&gt;0,MID('_Engine'!$AP46,WEEKDAY(Settings!$F26,2),1)="W"),Settings!$F26,0),0)</ns0:f>
        <ns0:v>0</ns0:v>
      </ns0:c>
      <ns0:c r="K46" s="0">
        <ns0:f>IFERROR(IF(AND('_Engine'!$X46=1,ISNUMBER(Settings!$F27),Settings!$F27&gt;0,MID('_Engine'!$AP46,WEEKDAY(Settings!$F27,2),1)="W"),Settings!$F27,0),0)</ns0:f>
        <ns0:v>0</ns0:v>
      </ns0:c>
      <ns0:c r="L46" s="0">
        <ns0:f>IFERROR(IF(AND('_Engine'!$X46=1,ISNUMBER(Settings!$F28),Settings!$F28&gt;0,MID('_Engine'!$AP46,WEEKDAY(Settings!$F28,2),1)="W"),Settings!$F28,0),0)</ns0:f>
        <ns0:v>0</ns0:v>
      </ns0:c>
      <ns0:c r="M46" s="0">
        <ns0:f>IFERROR(IF(AND('_Engine'!$X46=1,ISNUMBER(Settings!$F29),Settings!$F29&gt;0,MID('_Engine'!$AP46,WEEKDAY(Settings!$F29,2),1)="W"),Settings!$F29,0),0)</ns0:f>
        <ns0:v>0</ns0:v>
      </ns0:c>
      <ns0:c r="N46" s="0">
        <ns0:f>IFERROR(IF(AND('_Engine'!$X46=1,ISNUMBER(Settings!$F30),Settings!$F30&gt;0,MID('_Engine'!$AP46,WEEKDAY(Settings!$F30,2),1)="W"),Settings!$F30,0),0)</ns0:f>
        <ns0:v>0</ns0:v>
      </ns0:c>
      <ns0:c r="O46" s="0">
        <ns0:f>IFERROR(IF(AND('_Engine'!$X46=1,ISNUMBER(Settings!$F31),Settings!$F31&gt;0,MID('_Engine'!$AP46,WEEKDAY(Settings!$F31,2),1)="W"),Settings!$F31,0),0)</ns0:f>
        <ns0:v>0</ns0:v>
      </ns0:c>
      <ns0:c r="P46" s="0">
        <ns0:f>IFERROR(IF(AND('_Engine'!$X46=1,ISNUMBER(Settings!$F32),Settings!$F32&gt;0,MID('_Engine'!$AP46,WEEKDAY(Settings!$F32,2),1)="W"),Settings!$F32,0),0)</ns0:f>
        <ns0:v>0</ns0:v>
      </ns0:c>
      <ns0:c r="Q46" s="0">
        <ns0:f>IFERROR(IF(AND('_Engine'!$X46=1,ISNUMBER(Settings!$F33),Settings!$F33&gt;0,MID('_Engine'!$AP46,WEEKDAY(Settings!$F33,2),1)="W"),Settings!$F33,0),0)</ns0:f>
        <ns0:v>0</ns0:v>
      </ns0:c>
      <ns0:c r="R46" s="0">
        <ns0:f>IFERROR(IF(AND('_Engine'!$X46=1,ISNUMBER(Settings!$F34),Settings!$F34&gt;0,MID('_Engine'!$AP46,WEEKDAY(Settings!$F34,2),1)="W"),Settings!$F34,0),0)</ns0:f>
        <ns0:v>0</ns0:v>
      </ns0:c>
      <ns0:c r="S46" s="0">
        <ns0:f>IFERROR(IF(AND('_Engine'!$X46=1,ISNUMBER(Settings!$F35),Settings!$F35&gt;0,MID('_Engine'!$AP46,WEEKDAY(Settings!$F35,2),1)="W"),Settings!$F35,0),0)</ns0:f>
        <ns0:v>0</ns0:v>
      </ns0:c>
      <ns0:c r="T46" s="0">
        <ns0:f>IFERROR(IF(AND('_Engine'!$X46=1,ISNUMBER(Settings!$F36),Settings!$F36&gt;0,MID('_Engine'!$AP46,WEEKDAY(Settings!$F36,2),1)="W"),Settings!$F36,0),0)</ns0:f>
        <ns0:v>0</ns0:v>
      </ns0:c>
      <ns0:c r="U46" s="0">
        <ns0:f>IFERROR(IF(AND('_Engine'!$X46=1,ISNUMBER(Settings!$F37),Settings!$F37&gt;0,MID('_Engine'!$AP46,WEEKDAY(Settings!$F37,2),1)="W"),Settings!$F37,0),0)</ns0:f>
        <ns0:v>0</ns0:v>
      </ns0:c>
      <ns0:c r="V46" s="0">
        <ns0:f>IFERROR(IF(AND('_Engine'!$X46=1,ISNUMBER(Settings!$F38),Settings!$F38&gt;0,MID('_Engine'!$AP46,WEEKDAY(Settings!$F38,2),1)="W"),Settings!$F38,0),0)</ns0:f>
        <ns0:v>0</ns0:v>
      </ns0:c>
      <ns0:c r="W46" s="0">
        <ns0:f>IFERROR(IF(AND('_Engine'!$X46=1,ISNUMBER(Settings!$F39),Settings!$F39&gt;0,MID('_Engine'!$AP46,WEEKDAY(Settings!$F39,2),1)="W"),Settings!$F39,0),0)</ns0:f>
        <ns0:v>0</ns0:v>
      </ns0:c>
      <ns0:c r="X46" s="0">
        <ns0:f>IFERROR(IF(AND('_Engine'!$X46=1,ISNUMBER(Settings!$F40),Settings!$F40&gt;0,MID('_Engine'!$AP46,WEEKDAY(Settings!$F40,2),1)="W"),Settings!$F40,0),0)</ns0:f>
        <ns0:v>0</ns0:v>
      </ns0:c>
      <ns0:c r="Y46" s="0">
        <ns0:f>IFERROR(IF(AND('_Engine'!$X46=1,ISNUMBER(Settings!$F41),Settings!$F41&gt;0,MID('_Engine'!$AP46,WEEKDAY(Settings!$F41,2),1)="W"),Settings!$F41,0),0)</ns0:f>
        <ns0:v>0</ns0:v>
      </ns0:c>
      <ns0:c r="Z46" s="0">
        <ns0:f>IFERROR(IF(AND('_Engine'!$X46=1,ISNUMBER(Settings!$F42),Settings!$F42&gt;0,MID('_Engine'!$AP46,WEEKDAY(Settings!$F42,2),1)="W"),Settings!$F42,0),0)</ns0:f>
        <ns0:v>0</ns0:v>
      </ns0:c>
      <ns0:c r="AA46" s="0">
        <ns0:f>IFERROR(IF(AND('_Engine'!$X46=1,ISNUMBER(Settings!$F43),Settings!$F43&gt;0,MID('_Engine'!$AP46,WEEKDAY(Settings!$F43,2),1)="W"),Settings!$F43,0),0)</ns0:f>
        <ns0:v>0</ns0:v>
      </ns0:c>
      <ns0:c r="AB46" s="0">
        <ns0:f>IFERROR(IF(AND('_Engine'!$X46=1,ISNUMBER(Settings!$F44),Settings!$F44&gt;0,MID('_Engine'!$AP46,WEEKDAY(Settings!$F44,2),1)="W"),Settings!$F44,0),0)</ns0:f>
        <ns0:v>0</ns0:v>
      </ns0:c>
      <ns0:c r="AC46" s="0">
        <ns0:f>IFERROR(IF(AND('_Engine'!$X46=1,ISNUMBER(Settings!$F45),Settings!$F45&gt;0,MID('_Engine'!$AP46,WEEKDAY(Settings!$F45,2),1)="W"),Settings!$F45,0),0)</ns0:f>
        <ns0:v>0</ns0:v>
      </ns0:c>
      <ns0:c r="AD46" s="0">
        <ns0:f>IFERROR(IF(AND('_Engine'!$X46=1,ISNUMBER(Settings!$F46),Settings!$F46&gt;0,MID('_Engine'!$AP46,WEEKDAY(Settings!$F46,2),1)="W"),Settings!$F46,0),0)</ns0:f>
        <ns0:v>0</ns0:v>
      </ns0:c>
      <ns0:c r="AE46" s="0">
        <ns0:f>IFERROR(IF(AND('_Engine'!$X46=1,ISNUMBER(Settings!$F47),Settings!$F47&gt;0,MID('_Engine'!$AP46,WEEKDAY(Settings!$F47,2),1)="W"),Settings!$F47,0),0)</ns0:f>
        <ns0:v>0</ns0:v>
      </ns0:c>
      <ns0:c r="AF46" s="0">
        <ns0:f>IFERROR(IF(AND('_Engine'!$X46=1,ISNUMBER(Settings!$F48),Settings!$F48&gt;0,MID('_Engine'!$AP46,WEEKDAY(Settings!$F48,2),1)="W"),Settings!$F48,0),0)</ns0:f>
        <ns0:v>0</ns0:v>
      </ns0:c>
      <ns0:c r="AG46" s="0">
        <ns0:f>IFERROR(IF(AND('_Engine'!$X46=1,ISNUMBER(Settings!$F49),Settings!$F49&gt;0,MID('_Engine'!$AP46,WEEKDAY(Settings!$F49,2),1)="W"),Settings!$F49,0),0)</ns0:f>
        <ns0:v>0</ns0:v>
      </ns0:c>
      <ns0:c r="AH46" s="0">
        <ns0:f>IFERROR(IF(AND('_Engine'!$X46=1,ISNUMBER(Settings!$F50),Settings!$F50&gt;0,MID('_Engine'!$AP46,WEEKDAY(Settings!$F50,2),1)="W"),Settings!$F50,0),0)</ns0:f>
        <ns0:v>0</ns0:v>
      </ns0:c>
      <ns0:c r="AI46" s="0">
        <ns0:f>IFERROR(IF(AND('_Engine'!$X46=1,ISNUMBER(Settings!$F51),Settings!$F51&gt;0,MID('_Engine'!$AP46,WEEKDAY(Settings!$F51,2),1)="W"),Settings!$F51,0),0)</ns0:f>
        <ns0:v>0</ns0:v>
      </ns0:c>
      <ns0:c r="AJ46" s="0">
        <ns0:f>IFERROR(IF(AND('_Engine'!$X46=1,ISNUMBER(Settings!$F52),Settings!$F52&gt;0,MID('_Engine'!$AP46,WEEKDAY(Settings!$F52,2),1)="W"),Settings!$F52,0),0)</ns0:f>
        <ns0:v>0</ns0:v>
      </ns0:c>
      <ns0:c r="AK46" s="0">
        <ns0:f>IFERROR(IF(AND('_Engine'!$X46=1,ISNUMBER(Settings!$F53),Settings!$F53&gt;0,MID('_Engine'!$AP46,WEEKDAY(Settings!$F53,2),1)="W"),Settings!$F53,0),0)</ns0:f>
        <ns0:v>0</ns0:v>
      </ns0:c>
      <ns0:c r="AL46" s="0">
        <ns0:f>IFERROR(IF(AND('_Engine'!$X46=1,ISNUMBER(Settings!$F54),Settings!$F54&gt;0,MID('_Engine'!$AP46,WEEKDAY(Settings!$F54,2),1)="W"),Settings!$F54,0),0)</ns0:f>
        <ns0:v>0</ns0:v>
      </ns0:c>
      <ns0:c r="AM46" s="0">
        <ns0:f>IFERROR(IF(AND('_Engine'!$X46=1,ISNUMBER(Settings!$F55),Settings!$F55&gt;0,MID('_Engine'!$AP46,WEEKDAY(Settings!$F55,2),1)="W"),Settings!$F55,0),0)</ns0:f>
        <ns0:v>0</ns0:v>
      </ns0:c>
      <ns0:c r="AN46" s="0">
        <ns0:f>IFERROR(IF(AND('_Engine'!$X46=1,ISNUMBER(Settings!$F56),Settings!$F56&gt;0,MID('_Engine'!$AP46,WEEKDAY(Settings!$F56,2),1)="W"),Settings!$F56,0),0)</ns0:f>
        <ns0:v>0</ns0:v>
      </ns0:c>
      <ns0:c r="AO46" s="0">
        <ns0:f>IFERROR(IF(AND('_Engine'!$X46=1,ISNUMBER(Settings!$F57),Settings!$F57&gt;0,MID('_Engine'!$AP46,WEEKDAY(Settings!$F57,2),1)="W"),Settings!$F57,0),0)</ns0:f>
        <ns0:v>0</ns0:v>
      </ns0:c>
      <ns0:c r="AP46" s="0">
        <ns0:f>IFERROR(IF(AND('_Engine'!$X46=1,ISNUMBER(Settings!$F58),Settings!$F58&gt;0,MID('_Engine'!$AP46,WEEKDAY(Settings!$F58,2),1)="W"),Settings!$F58,0),0)</ns0:f>
        <ns0:v>0</ns0:v>
      </ns0:c>
      <ns0:c r="AQ46" s="0">
        <ns0:f>IFERROR(IF(AND('_Engine'!$X46=1,ISNUMBER(Settings!$F59),Settings!$F59&gt;0,MID('_Engine'!$AP46,WEEKDAY(Settings!$F59,2),1)="W"),Settings!$F59,0),0)</ns0:f>
        <ns0:v>0</ns0:v>
      </ns0:c>
      <ns0:c r="AR46" s="0">
        <ns0:f>IFERROR(IF(AND('_Engine'!$X46=1,ISNUMBER(Settings!$F60),Settings!$F60&gt;0,MID('_Engine'!$AP46,WEEKDAY(Settings!$F60,2),1)="W"),Settings!$F60,0),0)</ns0:f>
        <ns0:v>0</ns0:v>
      </ns0:c>
      <ns0:c r="AS46" s="0">
        <ns0:f>IFERROR(IF(AND('_Engine'!$X46=1,ISNUMBER(Settings!$F61),Settings!$F61&gt;0,MID('_Engine'!$AP46,WEEKDAY(Settings!$F61,2),1)="W"),Settings!$F61,0),0)</ns0:f>
        <ns0:v>0</ns0:v>
      </ns0:c>
      <ns0:c r="AT46" s="0">
        <ns0:f>IFERROR(IF(AND('_Engine'!$X46=1,ISNUMBER(Settings!$F62),Settings!$F62&gt;0,MID('_Engine'!$AP46,WEEKDAY(Settings!$F62,2),1)="W"),Settings!$F62,0),0)</ns0:f>
        <ns0:v>0</ns0:v>
      </ns0:c>
      <ns0:c r="AU46" s="0">
        <ns0:f>IFERROR(IF(AND('_Engine'!$X46=1,ISNUMBER(Settings!$F63),Settings!$F63&gt;0,MID('_Engine'!$AP46,WEEKDAY(Settings!$F63,2),1)="W"),Settings!$F63,0),0)</ns0:f>
        <ns0:v>0</ns0:v>
      </ns0:c>
      <ns0:c r="AV46" s="0">
        <ns0:f>IFERROR(IF(AND('_Engine'!$X46=1,ISNUMBER(Settings!$F64),Settings!$F64&gt;0,MID('_Engine'!$AP46,WEEKDAY(Settings!$F64,2),1)="W"),Settings!$F64,0),0)</ns0:f>
        <ns0:v>0</ns0:v>
      </ns0:c>
      <ns0:c r="AW46" s="0">
        <ns0:f>IFERROR(IF(AND('_Engine'!$X46=1,ISNUMBER(Settings!$F65),Settings!$F65&gt;0,MID('_Engine'!$AP46,WEEKDAY(Settings!$F65,2),1)="W"),Settings!$F65,0),0)</ns0:f>
        <ns0:v>0</ns0:v>
      </ns0:c>
      <ns0:c r="AX46" s="0">
        <ns0:f>IFERROR(IF(AND('_Engine'!$X46=1,ISNUMBER(Settings!$F66),Settings!$F66&gt;0,MID('_Engine'!$AP46,WEEKDAY(Settings!$F66,2),1)="W"),Settings!$F66,0),0)</ns0:f>
        <ns0:v>0</ns0:v>
      </ns0:c>
      <ns0:c r="AY46" s="0">
        <ns0:f>IFERROR(IF(AND('_Engine'!$X46=1,ISNUMBER(Settings!$F67),Settings!$F67&gt;0,MID('_Engine'!$AP46,WEEKDAY(Settings!$F67,2),1)="W"),Settings!$F67,0),0)</ns0:f>
        <ns0:v>0</ns0:v>
      </ns0:c>
    </ns0:row>
    <ns0:row r="47">
      <ns0:c r="B47" s="0">
        <ns0:f>IFERROR(IF(AND('_Engine'!$X47=1,ISNUMBER(Settings!$F18),Settings!$F18&gt;0,MID('_Engine'!$AP47,WEEKDAY(Settings!$F18,2),1)="W"),Settings!$F18,0),0)</ns0:f>
        <ns0:v>0</ns0:v>
      </ns0:c>
      <ns0:c r="C47" s="0">
        <ns0:f>IFERROR(IF(AND('_Engine'!$X47=1,ISNUMBER(Settings!$F19),Settings!$F19&gt;0,MID('_Engine'!$AP47,WEEKDAY(Settings!$F19,2),1)="W"),Settings!$F19,0),0)</ns0:f>
        <ns0:v>0</ns0:v>
      </ns0:c>
      <ns0:c r="D47" s="0">
        <ns0:f>IFERROR(IF(AND('_Engine'!$X47=1,ISNUMBER(Settings!$F20),Settings!$F20&gt;0,MID('_Engine'!$AP47,WEEKDAY(Settings!$F20,2),1)="W"),Settings!$F20,0),0)</ns0:f>
        <ns0:v>0</ns0:v>
      </ns0:c>
      <ns0:c r="E47" s="0">
        <ns0:f>IFERROR(IF(AND('_Engine'!$X47=1,ISNUMBER(Settings!$F21),Settings!$F21&gt;0,MID('_Engine'!$AP47,WEEKDAY(Settings!$F21,2),1)="W"),Settings!$F21,0),0)</ns0:f>
        <ns0:v>0</ns0:v>
      </ns0:c>
      <ns0:c r="F47" s="0">
        <ns0:f>IFERROR(IF(AND('_Engine'!$X47=1,ISNUMBER(Settings!$F22),Settings!$F22&gt;0,MID('_Engine'!$AP47,WEEKDAY(Settings!$F22,2),1)="W"),Settings!$F22,0),0)</ns0:f>
        <ns0:v>0</ns0:v>
      </ns0:c>
      <ns0:c r="G47" s="0">
        <ns0:f>IFERROR(IF(AND('_Engine'!$X47=1,ISNUMBER(Settings!$F23),Settings!$F23&gt;0,MID('_Engine'!$AP47,WEEKDAY(Settings!$F23,2),1)="W"),Settings!$F23,0),0)</ns0:f>
        <ns0:v>0</ns0:v>
      </ns0:c>
      <ns0:c r="H47" s="0">
        <ns0:f>IFERROR(IF(AND('_Engine'!$X47=1,ISNUMBER(Settings!$F24),Settings!$F24&gt;0,MID('_Engine'!$AP47,WEEKDAY(Settings!$F24,2),1)="W"),Settings!$F24,0),0)</ns0:f>
        <ns0:v>0</ns0:v>
      </ns0:c>
      <ns0:c r="I47" s="0">
        <ns0:f>IFERROR(IF(AND('_Engine'!$X47=1,ISNUMBER(Settings!$F25),Settings!$F25&gt;0,MID('_Engine'!$AP47,WEEKDAY(Settings!$F25,2),1)="W"),Settings!$F25,0),0)</ns0:f>
        <ns0:v>0</ns0:v>
      </ns0:c>
      <ns0:c r="J47" s="0">
        <ns0:f>IFERROR(IF(AND('_Engine'!$X47=1,ISNUMBER(Settings!$F26),Settings!$F26&gt;0,MID('_Engine'!$AP47,WEEKDAY(Settings!$F26,2),1)="W"),Settings!$F26,0),0)</ns0:f>
        <ns0:v>0</ns0:v>
      </ns0:c>
      <ns0:c r="K47" s="0">
        <ns0:f>IFERROR(IF(AND('_Engine'!$X47=1,ISNUMBER(Settings!$F27),Settings!$F27&gt;0,MID('_Engine'!$AP47,WEEKDAY(Settings!$F27,2),1)="W"),Settings!$F27,0),0)</ns0:f>
        <ns0:v>0</ns0:v>
      </ns0:c>
      <ns0:c r="L47" s="0">
        <ns0:f>IFERROR(IF(AND('_Engine'!$X47=1,ISNUMBER(Settings!$F28),Settings!$F28&gt;0,MID('_Engine'!$AP47,WEEKDAY(Settings!$F28,2),1)="W"),Settings!$F28,0),0)</ns0:f>
        <ns0:v>0</ns0:v>
      </ns0:c>
      <ns0:c r="M47" s="0">
        <ns0:f>IFERROR(IF(AND('_Engine'!$X47=1,ISNUMBER(Settings!$F29),Settings!$F29&gt;0,MID('_Engine'!$AP47,WEEKDAY(Settings!$F29,2),1)="W"),Settings!$F29,0),0)</ns0:f>
        <ns0:v>0</ns0:v>
      </ns0:c>
      <ns0:c r="N47" s="0">
        <ns0:f>IFERROR(IF(AND('_Engine'!$X47=1,ISNUMBER(Settings!$F30),Settings!$F30&gt;0,MID('_Engine'!$AP47,WEEKDAY(Settings!$F30,2),1)="W"),Settings!$F30,0),0)</ns0:f>
        <ns0:v>0</ns0:v>
      </ns0:c>
      <ns0:c r="O47" s="0">
        <ns0:f>IFERROR(IF(AND('_Engine'!$X47=1,ISNUMBER(Settings!$F31),Settings!$F31&gt;0,MID('_Engine'!$AP47,WEEKDAY(Settings!$F31,2),1)="W"),Settings!$F31,0),0)</ns0:f>
        <ns0:v>0</ns0:v>
      </ns0:c>
      <ns0:c r="P47" s="0">
        <ns0:f>IFERROR(IF(AND('_Engine'!$X47=1,ISNUMBER(Settings!$F32),Settings!$F32&gt;0,MID('_Engine'!$AP47,WEEKDAY(Settings!$F32,2),1)="W"),Settings!$F32,0),0)</ns0:f>
        <ns0:v>0</ns0:v>
      </ns0:c>
      <ns0:c r="Q47" s="0">
        <ns0:f>IFERROR(IF(AND('_Engine'!$X47=1,ISNUMBER(Settings!$F33),Settings!$F33&gt;0,MID('_Engine'!$AP47,WEEKDAY(Settings!$F33,2),1)="W"),Settings!$F33,0),0)</ns0:f>
        <ns0:v>0</ns0:v>
      </ns0:c>
      <ns0:c r="R47" s="0">
        <ns0:f>IFERROR(IF(AND('_Engine'!$X47=1,ISNUMBER(Settings!$F34),Settings!$F34&gt;0,MID('_Engine'!$AP47,WEEKDAY(Settings!$F34,2),1)="W"),Settings!$F34,0),0)</ns0:f>
        <ns0:v>0</ns0:v>
      </ns0:c>
      <ns0:c r="S47" s="0">
        <ns0:f>IFERROR(IF(AND('_Engine'!$X47=1,ISNUMBER(Settings!$F35),Settings!$F35&gt;0,MID('_Engine'!$AP47,WEEKDAY(Settings!$F35,2),1)="W"),Settings!$F35,0),0)</ns0:f>
        <ns0:v>0</ns0:v>
      </ns0:c>
      <ns0:c r="T47" s="0">
        <ns0:f>IFERROR(IF(AND('_Engine'!$X47=1,ISNUMBER(Settings!$F36),Settings!$F36&gt;0,MID('_Engine'!$AP47,WEEKDAY(Settings!$F36,2),1)="W"),Settings!$F36,0),0)</ns0:f>
        <ns0:v>0</ns0:v>
      </ns0:c>
      <ns0:c r="U47" s="0">
        <ns0:f>IFERROR(IF(AND('_Engine'!$X47=1,ISNUMBER(Settings!$F37),Settings!$F37&gt;0,MID('_Engine'!$AP47,WEEKDAY(Settings!$F37,2),1)="W"),Settings!$F37,0),0)</ns0:f>
        <ns0:v>0</ns0:v>
      </ns0:c>
      <ns0:c r="V47" s="0">
        <ns0:f>IFERROR(IF(AND('_Engine'!$X47=1,ISNUMBER(Settings!$F38),Settings!$F38&gt;0,MID('_Engine'!$AP47,WEEKDAY(Settings!$F38,2),1)="W"),Settings!$F38,0),0)</ns0:f>
        <ns0:v>0</ns0:v>
      </ns0:c>
      <ns0:c r="W47" s="0">
        <ns0:f>IFERROR(IF(AND('_Engine'!$X47=1,ISNUMBER(Settings!$F39),Settings!$F39&gt;0,MID('_Engine'!$AP47,WEEKDAY(Settings!$F39,2),1)="W"),Settings!$F39,0),0)</ns0:f>
        <ns0:v>0</ns0:v>
      </ns0:c>
      <ns0:c r="X47" s="0">
        <ns0:f>IFERROR(IF(AND('_Engine'!$X47=1,ISNUMBER(Settings!$F40),Settings!$F40&gt;0,MID('_Engine'!$AP47,WEEKDAY(Settings!$F40,2),1)="W"),Settings!$F40,0),0)</ns0:f>
        <ns0:v>0</ns0:v>
      </ns0:c>
      <ns0:c r="Y47" s="0">
        <ns0:f>IFERROR(IF(AND('_Engine'!$X47=1,ISNUMBER(Settings!$F41),Settings!$F41&gt;0,MID('_Engine'!$AP47,WEEKDAY(Settings!$F41,2),1)="W"),Settings!$F41,0),0)</ns0:f>
        <ns0:v>0</ns0:v>
      </ns0:c>
      <ns0:c r="Z47" s="0">
        <ns0:f>IFERROR(IF(AND('_Engine'!$X47=1,ISNUMBER(Settings!$F42),Settings!$F42&gt;0,MID('_Engine'!$AP47,WEEKDAY(Settings!$F42,2),1)="W"),Settings!$F42,0),0)</ns0:f>
        <ns0:v>0</ns0:v>
      </ns0:c>
      <ns0:c r="AA47" s="0">
        <ns0:f>IFERROR(IF(AND('_Engine'!$X47=1,ISNUMBER(Settings!$F43),Settings!$F43&gt;0,MID('_Engine'!$AP47,WEEKDAY(Settings!$F43,2),1)="W"),Settings!$F43,0),0)</ns0:f>
        <ns0:v>0</ns0:v>
      </ns0:c>
      <ns0:c r="AB47" s="0">
        <ns0:f>IFERROR(IF(AND('_Engine'!$X47=1,ISNUMBER(Settings!$F44),Settings!$F44&gt;0,MID('_Engine'!$AP47,WEEKDAY(Settings!$F44,2),1)="W"),Settings!$F44,0),0)</ns0:f>
        <ns0:v>0</ns0:v>
      </ns0:c>
      <ns0:c r="AC47" s="0">
        <ns0:f>IFERROR(IF(AND('_Engine'!$X47=1,ISNUMBER(Settings!$F45),Settings!$F45&gt;0,MID('_Engine'!$AP47,WEEKDAY(Settings!$F45,2),1)="W"),Settings!$F45,0),0)</ns0:f>
        <ns0:v>0</ns0:v>
      </ns0:c>
      <ns0:c r="AD47" s="0">
        <ns0:f>IFERROR(IF(AND('_Engine'!$X47=1,ISNUMBER(Settings!$F46),Settings!$F46&gt;0,MID('_Engine'!$AP47,WEEKDAY(Settings!$F46,2),1)="W"),Settings!$F46,0),0)</ns0:f>
        <ns0:v>0</ns0:v>
      </ns0:c>
      <ns0:c r="AE47" s="0">
        <ns0:f>IFERROR(IF(AND('_Engine'!$X47=1,ISNUMBER(Settings!$F47),Settings!$F47&gt;0,MID('_Engine'!$AP47,WEEKDAY(Settings!$F47,2),1)="W"),Settings!$F47,0),0)</ns0:f>
        <ns0:v>0</ns0:v>
      </ns0:c>
      <ns0:c r="AF47" s="0">
        <ns0:f>IFERROR(IF(AND('_Engine'!$X47=1,ISNUMBER(Settings!$F48),Settings!$F48&gt;0,MID('_Engine'!$AP47,WEEKDAY(Settings!$F48,2),1)="W"),Settings!$F48,0),0)</ns0:f>
        <ns0:v>0</ns0:v>
      </ns0:c>
      <ns0:c r="AG47" s="0">
        <ns0:f>IFERROR(IF(AND('_Engine'!$X47=1,ISNUMBER(Settings!$F49),Settings!$F49&gt;0,MID('_Engine'!$AP47,WEEKDAY(Settings!$F49,2),1)="W"),Settings!$F49,0),0)</ns0:f>
        <ns0:v>0</ns0:v>
      </ns0:c>
      <ns0:c r="AH47" s="0">
        <ns0:f>IFERROR(IF(AND('_Engine'!$X47=1,ISNUMBER(Settings!$F50),Settings!$F50&gt;0,MID('_Engine'!$AP47,WEEKDAY(Settings!$F50,2),1)="W"),Settings!$F50,0),0)</ns0:f>
        <ns0:v>0</ns0:v>
      </ns0:c>
      <ns0:c r="AI47" s="0">
        <ns0:f>IFERROR(IF(AND('_Engine'!$X47=1,ISNUMBER(Settings!$F51),Settings!$F51&gt;0,MID('_Engine'!$AP47,WEEKDAY(Settings!$F51,2),1)="W"),Settings!$F51,0),0)</ns0:f>
        <ns0:v>0</ns0:v>
      </ns0:c>
      <ns0:c r="AJ47" s="0">
        <ns0:f>IFERROR(IF(AND('_Engine'!$X47=1,ISNUMBER(Settings!$F52),Settings!$F52&gt;0,MID('_Engine'!$AP47,WEEKDAY(Settings!$F52,2),1)="W"),Settings!$F52,0),0)</ns0:f>
        <ns0:v>0</ns0:v>
      </ns0:c>
      <ns0:c r="AK47" s="0">
        <ns0:f>IFERROR(IF(AND('_Engine'!$X47=1,ISNUMBER(Settings!$F53),Settings!$F53&gt;0,MID('_Engine'!$AP47,WEEKDAY(Settings!$F53,2),1)="W"),Settings!$F53,0),0)</ns0:f>
        <ns0:v>0</ns0:v>
      </ns0:c>
      <ns0:c r="AL47" s="0">
        <ns0:f>IFERROR(IF(AND('_Engine'!$X47=1,ISNUMBER(Settings!$F54),Settings!$F54&gt;0,MID('_Engine'!$AP47,WEEKDAY(Settings!$F54,2),1)="W"),Settings!$F54,0),0)</ns0:f>
        <ns0:v>0</ns0:v>
      </ns0:c>
      <ns0:c r="AM47" s="0">
        <ns0:f>IFERROR(IF(AND('_Engine'!$X47=1,ISNUMBER(Settings!$F55),Settings!$F55&gt;0,MID('_Engine'!$AP47,WEEKDAY(Settings!$F55,2),1)="W"),Settings!$F55,0),0)</ns0:f>
        <ns0:v>0</ns0:v>
      </ns0:c>
      <ns0:c r="AN47" s="0">
        <ns0:f>IFERROR(IF(AND('_Engine'!$X47=1,ISNUMBER(Settings!$F56),Settings!$F56&gt;0,MID('_Engine'!$AP47,WEEKDAY(Settings!$F56,2),1)="W"),Settings!$F56,0),0)</ns0:f>
        <ns0:v>0</ns0:v>
      </ns0:c>
      <ns0:c r="AO47" s="0">
        <ns0:f>IFERROR(IF(AND('_Engine'!$X47=1,ISNUMBER(Settings!$F57),Settings!$F57&gt;0,MID('_Engine'!$AP47,WEEKDAY(Settings!$F57,2),1)="W"),Settings!$F57,0),0)</ns0:f>
        <ns0:v>0</ns0:v>
      </ns0:c>
      <ns0:c r="AP47" s="0">
        <ns0:f>IFERROR(IF(AND('_Engine'!$X47=1,ISNUMBER(Settings!$F58),Settings!$F58&gt;0,MID('_Engine'!$AP47,WEEKDAY(Settings!$F58,2),1)="W"),Settings!$F58,0),0)</ns0:f>
        <ns0:v>0</ns0:v>
      </ns0:c>
      <ns0:c r="AQ47" s="0">
        <ns0:f>IFERROR(IF(AND('_Engine'!$X47=1,ISNUMBER(Settings!$F59),Settings!$F59&gt;0,MID('_Engine'!$AP47,WEEKDAY(Settings!$F59,2),1)="W"),Settings!$F59,0),0)</ns0:f>
        <ns0:v>0</ns0:v>
      </ns0:c>
      <ns0:c r="AR47" s="0">
        <ns0:f>IFERROR(IF(AND('_Engine'!$X47=1,ISNUMBER(Settings!$F60),Settings!$F60&gt;0,MID('_Engine'!$AP47,WEEKDAY(Settings!$F60,2),1)="W"),Settings!$F60,0),0)</ns0:f>
        <ns0:v>0</ns0:v>
      </ns0:c>
      <ns0:c r="AS47" s="0">
        <ns0:f>IFERROR(IF(AND('_Engine'!$X47=1,ISNUMBER(Settings!$F61),Settings!$F61&gt;0,MID('_Engine'!$AP47,WEEKDAY(Settings!$F61,2),1)="W"),Settings!$F61,0),0)</ns0:f>
        <ns0:v>0</ns0:v>
      </ns0:c>
      <ns0:c r="AT47" s="0">
        <ns0:f>IFERROR(IF(AND('_Engine'!$X47=1,ISNUMBER(Settings!$F62),Settings!$F62&gt;0,MID('_Engine'!$AP47,WEEKDAY(Settings!$F62,2),1)="W"),Settings!$F62,0),0)</ns0:f>
        <ns0:v>0</ns0:v>
      </ns0:c>
      <ns0:c r="AU47" s="0">
        <ns0:f>IFERROR(IF(AND('_Engine'!$X47=1,ISNUMBER(Settings!$F63),Settings!$F63&gt;0,MID('_Engine'!$AP47,WEEKDAY(Settings!$F63,2),1)="W"),Settings!$F63,0),0)</ns0:f>
        <ns0:v>0</ns0:v>
      </ns0:c>
      <ns0:c r="AV47" s="0">
        <ns0:f>IFERROR(IF(AND('_Engine'!$X47=1,ISNUMBER(Settings!$F64),Settings!$F64&gt;0,MID('_Engine'!$AP47,WEEKDAY(Settings!$F64,2),1)="W"),Settings!$F64,0),0)</ns0:f>
        <ns0:v>0</ns0:v>
      </ns0:c>
      <ns0:c r="AW47" s="0">
        <ns0:f>IFERROR(IF(AND('_Engine'!$X47=1,ISNUMBER(Settings!$F65),Settings!$F65&gt;0,MID('_Engine'!$AP47,WEEKDAY(Settings!$F65,2),1)="W"),Settings!$F65,0),0)</ns0:f>
        <ns0:v>0</ns0:v>
      </ns0:c>
      <ns0:c r="AX47" s="0">
        <ns0:f>IFERROR(IF(AND('_Engine'!$X47=1,ISNUMBER(Settings!$F66),Settings!$F66&gt;0,MID('_Engine'!$AP47,WEEKDAY(Settings!$F66,2),1)="W"),Settings!$F66,0),0)</ns0:f>
        <ns0:v>0</ns0:v>
      </ns0:c>
      <ns0:c r="AY47" s="0">
        <ns0:f>IFERROR(IF(AND('_Engine'!$X47=1,ISNUMBER(Settings!$F67),Settings!$F67&gt;0,MID('_Engine'!$AP47,WEEKDAY(Settings!$F67,2),1)="W"),Settings!$F67,0),0)</ns0:f>
        <ns0:v>0</ns0:v>
      </ns0:c>
    </ns0:row>
    <ns0:row r="48">
      <ns0:c r="B48" s="0">
        <ns0:f>IFERROR(IF(AND('_Engine'!$X48=1,ISNUMBER(Settings!$F18),Settings!$F18&gt;0,MID('_Engine'!$AP48,WEEKDAY(Settings!$F18,2),1)="W"),Settings!$F18,0),0)</ns0:f>
        <ns0:v>0</ns0:v>
      </ns0:c>
      <ns0:c r="C48" s="0">
        <ns0:f>IFERROR(IF(AND('_Engine'!$X48=1,ISNUMBER(Settings!$F19),Settings!$F19&gt;0,MID('_Engine'!$AP48,WEEKDAY(Settings!$F19,2),1)="W"),Settings!$F19,0),0)</ns0:f>
        <ns0:v>0</ns0:v>
      </ns0:c>
      <ns0:c r="D48" s="0">
        <ns0:f>IFERROR(IF(AND('_Engine'!$X48=1,ISNUMBER(Settings!$F20),Settings!$F20&gt;0,MID('_Engine'!$AP48,WEEKDAY(Settings!$F20,2),1)="W"),Settings!$F20,0),0)</ns0:f>
        <ns0:v>0</ns0:v>
      </ns0:c>
      <ns0:c r="E48" s="0">
        <ns0:f>IFERROR(IF(AND('_Engine'!$X48=1,ISNUMBER(Settings!$F21),Settings!$F21&gt;0,MID('_Engine'!$AP48,WEEKDAY(Settings!$F21,2),1)="W"),Settings!$F21,0),0)</ns0:f>
        <ns0:v>0</ns0:v>
      </ns0:c>
      <ns0:c r="F48" s="0">
        <ns0:f>IFERROR(IF(AND('_Engine'!$X48=1,ISNUMBER(Settings!$F22),Settings!$F22&gt;0,MID('_Engine'!$AP48,WEEKDAY(Settings!$F22,2),1)="W"),Settings!$F22,0),0)</ns0:f>
        <ns0:v>0</ns0:v>
      </ns0:c>
      <ns0:c r="G48" s="0">
        <ns0:f>IFERROR(IF(AND('_Engine'!$X48=1,ISNUMBER(Settings!$F23),Settings!$F23&gt;0,MID('_Engine'!$AP48,WEEKDAY(Settings!$F23,2),1)="W"),Settings!$F23,0),0)</ns0:f>
        <ns0:v>0</ns0:v>
      </ns0:c>
      <ns0:c r="H48" s="0">
        <ns0:f>IFERROR(IF(AND('_Engine'!$X48=1,ISNUMBER(Settings!$F24),Settings!$F24&gt;0,MID('_Engine'!$AP48,WEEKDAY(Settings!$F24,2),1)="W"),Settings!$F24,0),0)</ns0:f>
        <ns0:v>0</ns0:v>
      </ns0:c>
      <ns0:c r="I48" s="0">
        <ns0:f>IFERROR(IF(AND('_Engine'!$X48=1,ISNUMBER(Settings!$F25),Settings!$F25&gt;0,MID('_Engine'!$AP48,WEEKDAY(Settings!$F25,2),1)="W"),Settings!$F25,0),0)</ns0:f>
        <ns0:v>0</ns0:v>
      </ns0:c>
      <ns0:c r="J48" s="0">
        <ns0:f>IFERROR(IF(AND('_Engine'!$X48=1,ISNUMBER(Settings!$F26),Settings!$F26&gt;0,MID('_Engine'!$AP48,WEEKDAY(Settings!$F26,2),1)="W"),Settings!$F26,0),0)</ns0:f>
        <ns0:v>0</ns0:v>
      </ns0:c>
      <ns0:c r="K48" s="0">
        <ns0:f>IFERROR(IF(AND('_Engine'!$X48=1,ISNUMBER(Settings!$F27),Settings!$F27&gt;0,MID('_Engine'!$AP48,WEEKDAY(Settings!$F27,2),1)="W"),Settings!$F27,0),0)</ns0:f>
        <ns0:v>0</ns0:v>
      </ns0:c>
      <ns0:c r="L48" s="0">
        <ns0:f>IFERROR(IF(AND('_Engine'!$X48=1,ISNUMBER(Settings!$F28),Settings!$F28&gt;0,MID('_Engine'!$AP48,WEEKDAY(Settings!$F28,2),1)="W"),Settings!$F28,0),0)</ns0:f>
        <ns0:v>0</ns0:v>
      </ns0:c>
      <ns0:c r="M48" s="0">
        <ns0:f>IFERROR(IF(AND('_Engine'!$X48=1,ISNUMBER(Settings!$F29),Settings!$F29&gt;0,MID('_Engine'!$AP48,WEEKDAY(Settings!$F29,2),1)="W"),Settings!$F29,0),0)</ns0:f>
        <ns0:v>0</ns0:v>
      </ns0:c>
      <ns0:c r="N48" s="0">
        <ns0:f>IFERROR(IF(AND('_Engine'!$X48=1,ISNUMBER(Settings!$F30),Settings!$F30&gt;0,MID('_Engine'!$AP48,WEEKDAY(Settings!$F30,2),1)="W"),Settings!$F30,0),0)</ns0:f>
        <ns0:v>0</ns0:v>
      </ns0:c>
      <ns0:c r="O48" s="0">
        <ns0:f>IFERROR(IF(AND('_Engine'!$X48=1,ISNUMBER(Settings!$F31),Settings!$F31&gt;0,MID('_Engine'!$AP48,WEEKDAY(Settings!$F31,2),1)="W"),Settings!$F31,0),0)</ns0:f>
        <ns0:v>0</ns0:v>
      </ns0:c>
      <ns0:c r="P48" s="0">
        <ns0:f>IFERROR(IF(AND('_Engine'!$X48=1,ISNUMBER(Settings!$F32),Settings!$F32&gt;0,MID('_Engine'!$AP48,WEEKDAY(Settings!$F32,2),1)="W"),Settings!$F32,0),0)</ns0:f>
        <ns0:v>0</ns0:v>
      </ns0:c>
      <ns0:c r="Q48" s="0">
        <ns0:f>IFERROR(IF(AND('_Engine'!$X48=1,ISNUMBER(Settings!$F33),Settings!$F33&gt;0,MID('_Engine'!$AP48,WEEKDAY(Settings!$F33,2),1)="W"),Settings!$F33,0),0)</ns0:f>
        <ns0:v>0</ns0:v>
      </ns0:c>
      <ns0:c r="R48" s="0">
        <ns0:f>IFERROR(IF(AND('_Engine'!$X48=1,ISNUMBER(Settings!$F34),Settings!$F34&gt;0,MID('_Engine'!$AP48,WEEKDAY(Settings!$F34,2),1)="W"),Settings!$F34,0),0)</ns0:f>
        <ns0:v>0</ns0:v>
      </ns0:c>
      <ns0:c r="S48" s="0">
        <ns0:f>IFERROR(IF(AND('_Engine'!$X48=1,ISNUMBER(Settings!$F35),Settings!$F35&gt;0,MID('_Engine'!$AP48,WEEKDAY(Settings!$F35,2),1)="W"),Settings!$F35,0),0)</ns0:f>
        <ns0:v>0</ns0:v>
      </ns0:c>
      <ns0:c r="T48" s="0">
        <ns0:f>IFERROR(IF(AND('_Engine'!$X48=1,ISNUMBER(Settings!$F36),Settings!$F36&gt;0,MID('_Engine'!$AP48,WEEKDAY(Settings!$F36,2),1)="W"),Settings!$F36,0),0)</ns0:f>
        <ns0:v>0</ns0:v>
      </ns0:c>
      <ns0:c r="U48" s="0">
        <ns0:f>IFERROR(IF(AND('_Engine'!$X48=1,ISNUMBER(Settings!$F37),Settings!$F37&gt;0,MID('_Engine'!$AP48,WEEKDAY(Settings!$F37,2),1)="W"),Settings!$F37,0),0)</ns0:f>
        <ns0:v>0</ns0:v>
      </ns0:c>
      <ns0:c r="V48" s="0">
        <ns0:f>IFERROR(IF(AND('_Engine'!$X48=1,ISNUMBER(Settings!$F38),Settings!$F38&gt;0,MID('_Engine'!$AP48,WEEKDAY(Settings!$F38,2),1)="W"),Settings!$F38,0),0)</ns0:f>
        <ns0:v>0</ns0:v>
      </ns0:c>
      <ns0:c r="W48" s="0">
        <ns0:f>IFERROR(IF(AND('_Engine'!$X48=1,ISNUMBER(Settings!$F39),Settings!$F39&gt;0,MID('_Engine'!$AP48,WEEKDAY(Settings!$F39,2),1)="W"),Settings!$F39,0),0)</ns0:f>
        <ns0:v>0</ns0:v>
      </ns0:c>
      <ns0:c r="X48" s="0">
        <ns0:f>IFERROR(IF(AND('_Engine'!$X48=1,ISNUMBER(Settings!$F40),Settings!$F40&gt;0,MID('_Engine'!$AP48,WEEKDAY(Settings!$F40,2),1)="W"),Settings!$F40,0),0)</ns0:f>
        <ns0:v>0</ns0:v>
      </ns0:c>
      <ns0:c r="Y48" s="0">
        <ns0:f>IFERROR(IF(AND('_Engine'!$X48=1,ISNUMBER(Settings!$F41),Settings!$F41&gt;0,MID('_Engine'!$AP48,WEEKDAY(Settings!$F41,2),1)="W"),Settings!$F41,0),0)</ns0:f>
        <ns0:v>0</ns0:v>
      </ns0:c>
      <ns0:c r="Z48" s="0">
        <ns0:f>IFERROR(IF(AND('_Engine'!$X48=1,ISNUMBER(Settings!$F42),Settings!$F42&gt;0,MID('_Engine'!$AP48,WEEKDAY(Settings!$F42,2),1)="W"),Settings!$F42,0),0)</ns0:f>
        <ns0:v>0</ns0:v>
      </ns0:c>
      <ns0:c r="AA48" s="0">
        <ns0:f>IFERROR(IF(AND('_Engine'!$X48=1,ISNUMBER(Settings!$F43),Settings!$F43&gt;0,MID('_Engine'!$AP48,WEEKDAY(Settings!$F43,2),1)="W"),Settings!$F43,0),0)</ns0:f>
        <ns0:v>0</ns0:v>
      </ns0:c>
      <ns0:c r="AB48" s="0">
        <ns0:f>IFERROR(IF(AND('_Engine'!$X48=1,ISNUMBER(Settings!$F44),Settings!$F44&gt;0,MID('_Engine'!$AP48,WEEKDAY(Settings!$F44,2),1)="W"),Settings!$F44,0),0)</ns0:f>
        <ns0:v>0</ns0:v>
      </ns0:c>
      <ns0:c r="AC48" s="0">
        <ns0:f>IFERROR(IF(AND('_Engine'!$X48=1,ISNUMBER(Settings!$F45),Settings!$F45&gt;0,MID('_Engine'!$AP48,WEEKDAY(Settings!$F45,2),1)="W"),Settings!$F45,0),0)</ns0:f>
        <ns0:v>0</ns0:v>
      </ns0:c>
      <ns0:c r="AD48" s="0">
        <ns0:f>IFERROR(IF(AND('_Engine'!$X48=1,ISNUMBER(Settings!$F46),Settings!$F46&gt;0,MID('_Engine'!$AP48,WEEKDAY(Settings!$F46,2),1)="W"),Settings!$F46,0),0)</ns0:f>
        <ns0:v>0</ns0:v>
      </ns0:c>
      <ns0:c r="AE48" s="0">
        <ns0:f>IFERROR(IF(AND('_Engine'!$X48=1,ISNUMBER(Settings!$F47),Settings!$F47&gt;0,MID('_Engine'!$AP48,WEEKDAY(Settings!$F47,2),1)="W"),Settings!$F47,0),0)</ns0:f>
        <ns0:v>0</ns0:v>
      </ns0:c>
      <ns0:c r="AF48" s="0">
        <ns0:f>IFERROR(IF(AND('_Engine'!$X48=1,ISNUMBER(Settings!$F48),Settings!$F48&gt;0,MID('_Engine'!$AP48,WEEKDAY(Settings!$F48,2),1)="W"),Settings!$F48,0),0)</ns0:f>
        <ns0:v>0</ns0:v>
      </ns0:c>
      <ns0:c r="AG48" s="0">
        <ns0:f>IFERROR(IF(AND('_Engine'!$X48=1,ISNUMBER(Settings!$F49),Settings!$F49&gt;0,MID('_Engine'!$AP48,WEEKDAY(Settings!$F49,2),1)="W"),Settings!$F49,0),0)</ns0:f>
        <ns0:v>0</ns0:v>
      </ns0:c>
      <ns0:c r="AH48" s="0">
        <ns0:f>IFERROR(IF(AND('_Engine'!$X48=1,ISNUMBER(Settings!$F50),Settings!$F50&gt;0,MID('_Engine'!$AP48,WEEKDAY(Settings!$F50,2),1)="W"),Settings!$F50,0),0)</ns0:f>
        <ns0:v>0</ns0:v>
      </ns0:c>
      <ns0:c r="AI48" s="0">
        <ns0:f>IFERROR(IF(AND('_Engine'!$X48=1,ISNUMBER(Settings!$F51),Settings!$F51&gt;0,MID('_Engine'!$AP48,WEEKDAY(Settings!$F51,2),1)="W"),Settings!$F51,0),0)</ns0:f>
        <ns0:v>0</ns0:v>
      </ns0:c>
      <ns0:c r="AJ48" s="0">
        <ns0:f>IFERROR(IF(AND('_Engine'!$X48=1,ISNUMBER(Settings!$F52),Settings!$F52&gt;0,MID('_Engine'!$AP48,WEEKDAY(Settings!$F52,2),1)="W"),Settings!$F52,0),0)</ns0:f>
        <ns0:v>0</ns0:v>
      </ns0:c>
      <ns0:c r="AK48" s="0">
        <ns0:f>IFERROR(IF(AND('_Engine'!$X48=1,ISNUMBER(Settings!$F53),Settings!$F53&gt;0,MID('_Engine'!$AP48,WEEKDAY(Settings!$F53,2),1)="W"),Settings!$F53,0),0)</ns0:f>
        <ns0:v>0</ns0:v>
      </ns0:c>
      <ns0:c r="AL48" s="0">
        <ns0:f>IFERROR(IF(AND('_Engine'!$X48=1,ISNUMBER(Settings!$F54),Settings!$F54&gt;0,MID('_Engine'!$AP48,WEEKDAY(Settings!$F54,2),1)="W"),Settings!$F54,0),0)</ns0:f>
        <ns0:v>0</ns0:v>
      </ns0:c>
      <ns0:c r="AM48" s="0">
        <ns0:f>IFERROR(IF(AND('_Engine'!$X48=1,ISNUMBER(Settings!$F55),Settings!$F55&gt;0,MID('_Engine'!$AP48,WEEKDAY(Settings!$F55,2),1)="W"),Settings!$F55,0),0)</ns0:f>
        <ns0:v>0</ns0:v>
      </ns0:c>
      <ns0:c r="AN48" s="0">
        <ns0:f>IFERROR(IF(AND('_Engine'!$X48=1,ISNUMBER(Settings!$F56),Settings!$F56&gt;0,MID('_Engine'!$AP48,WEEKDAY(Settings!$F56,2),1)="W"),Settings!$F56,0),0)</ns0:f>
        <ns0:v>0</ns0:v>
      </ns0:c>
      <ns0:c r="AO48" s="0">
        <ns0:f>IFERROR(IF(AND('_Engine'!$X48=1,ISNUMBER(Settings!$F57),Settings!$F57&gt;0,MID('_Engine'!$AP48,WEEKDAY(Settings!$F57,2),1)="W"),Settings!$F57,0),0)</ns0:f>
        <ns0:v>0</ns0:v>
      </ns0:c>
      <ns0:c r="AP48" s="0">
        <ns0:f>IFERROR(IF(AND('_Engine'!$X48=1,ISNUMBER(Settings!$F58),Settings!$F58&gt;0,MID('_Engine'!$AP48,WEEKDAY(Settings!$F58,2),1)="W"),Settings!$F58,0),0)</ns0:f>
        <ns0:v>0</ns0:v>
      </ns0:c>
      <ns0:c r="AQ48" s="0">
        <ns0:f>IFERROR(IF(AND('_Engine'!$X48=1,ISNUMBER(Settings!$F59),Settings!$F59&gt;0,MID('_Engine'!$AP48,WEEKDAY(Settings!$F59,2),1)="W"),Settings!$F59,0),0)</ns0:f>
        <ns0:v>0</ns0:v>
      </ns0:c>
      <ns0:c r="AR48" s="0">
        <ns0:f>IFERROR(IF(AND('_Engine'!$X48=1,ISNUMBER(Settings!$F60),Settings!$F60&gt;0,MID('_Engine'!$AP48,WEEKDAY(Settings!$F60,2),1)="W"),Settings!$F60,0),0)</ns0:f>
        <ns0:v>0</ns0:v>
      </ns0:c>
      <ns0:c r="AS48" s="0">
        <ns0:f>IFERROR(IF(AND('_Engine'!$X48=1,ISNUMBER(Settings!$F61),Settings!$F61&gt;0,MID('_Engine'!$AP48,WEEKDAY(Settings!$F61,2),1)="W"),Settings!$F61,0),0)</ns0:f>
        <ns0:v>0</ns0:v>
      </ns0:c>
      <ns0:c r="AT48" s="0">
        <ns0:f>IFERROR(IF(AND('_Engine'!$X48=1,ISNUMBER(Settings!$F62),Settings!$F62&gt;0,MID('_Engine'!$AP48,WEEKDAY(Settings!$F62,2),1)="W"),Settings!$F62,0),0)</ns0:f>
        <ns0:v>0</ns0:v>
      </ns0:c>
      <ns0:c r="AU48" s="0">
        <ns0:f>IFERROR(IF(AND('_Engine'!$X48=1,ISNUMBER(Settings!$F63),Settings!$F63&gt;0,MID('_Engine'!$AP48,WEEKDAY(Settings!$F63,2),1)="W"),Settings!$F63,0),0)</ns0:f>
        <ns0:v>0</ns0:v>
      </ns0:c>
      <ns0:c r="AV48" s="0">
        <ns0:f>IFERROR(IF(AND('_Engine'!$X48=1,ISNUMBER(Settings!$F64),Settings!$F64&gt;0,MID('_Engine'!$AP48,WEEKDAY(Settings!$F64,2),1)="W"),Settings!$F64,0),0)</ns0:f>
        <ns0:v>0</ns0:v>
      </ns0:c>
      <ns0:c r="AW48" s="0">
        <ns0:f>IFERROR(IF(AND('_Engine'!$X48=1,ISNUMBER(Settings!$F65),Settings!$F65&gt;0,MID('_Engine'!$AP48,WEEKDAY(Settings!$F65,2),1)="W"),Settings!$F65,0),0)</ns0:f>
        <ns0:v>0</ns0:v>
      </ns0:c>
      <ns0:c r="AX48" s="0">
        <ns0:f>IFERROR(IF(AND('_Engine'!$X48=1,ISNUMBER(Settings!$F66),Settings!$F66&gt;0,MID('_Engine'!$AP48,WEEKDAY(Settings!$F66,2),1)="W"),Settings!$F66,0),0)</ns0:f>
        <ns0:v>0</ns0:v>
      </ns0:c>
      <ns0:c r="AY48" s="0">
        <ns0:f>IFERROR(IF(AND('_Engine'!$X48=1,ISNUMBER(Settings!$F67),Settings!$F67&gt;0,MID('_Engine'!$AP48,WEEKDAY(Settings!$F67,2),1)="W"),Settings!$F67,0),0)</ns0:f>
        <ns0:v>0</ns0:v>
      </ns0:c>
    </ns0:row>
    <ns0:row r="49">
      <ns0:c r="B49" s="0">
        <ns0:f>IFERROR(IF(AND('_Engine'!$X49=1,ISNUMBER(Settings!$F18),Settings!$F18&gt;0,MID('_Engine'!$AP49,WEEKDAY(Settings!$F18,2),1)="W"),Settings!$F18,0),0)</ns0:f>
        <ns0:v>0</ns0:v>
      </ns0:c>
      <ns0:c r="C49" s="0">
        <ns0:f>IFERROR(IF(AND('_Engine'!$X49=1,ISNUMBER(Settings!$F19),Settings!$F19&gt;0,MID('_Engine'!$AP49,WEEKDAY(Settings!$F19,2),1)="W"),Settings!$F19,0),0)</ns0:f>
        <ns0:v>0</ns0:v>
      </ns0:c>
      <ns0:c r="D49" s="0">
        <ns0:f>IFERROR(IF(AND('_Engine'!$X49=1,ISNUMBER(Settings!$F20),Settings!$F20&gt;0,MID('_Engine'!$AP49,WEEKDAY(Settings!$F20,2),1)="W"),Settings!$F20,0),0)</ns0:f>
        <ns0:v>0</ns0:v>
      </ns0:c>
      <ns0:c r="E49" s="0">
        <ns0:f>IFERROR(IF(AND('_Engine'!$X49=1,ISNUMBER(Settings!$F21),Settings!$F21&gt;0,MID('_Engine'!$AP49,WEEKDAY(Settings!$F21,2),1)="W"),Settings!$F21,0),0)</ns0:f>
        <ns0:v>0</ns0:v>
      </ns0:c>
      <ns0:c r="F49" s="0">
        <ns0:f>IFERROR(IF(AND('_Engine'!$X49=1,ISNUMBER(Settings!$F22),Settings!$F22&gt;0,MID('_Engine'!$AP49,WEEKDAY(Settings!$F22,2),1)="W"),Settings!$F22,0),0)</ns0:f>
        <ns0:v>0</ns0:v>
      </ns0:c>
      <ns0:c r="G49" s="0">
        <ns0:f>IFERROR(IF(AND('_Engine'!$X49=1,ISNUMBER(Settings!$F23),Settings!$F23&gt;0,MID('_Engine'!$AP49,WEEKDAY(Settings!$F23,2),1)="W"),Settings!$F23,0),0)</ns0:f>
        <ns0:v>0</ns0:v>
      </ns0:c>
      <ns0:c r="H49" s="0">
        <ns0:f>IFERROR(IF(AND('_Engine'!$X49=1,ISNUMBER(Settings!$F24),Settings!$F24&gt;0,MID('_Engine'!$AP49,WEEKDAY(Settings!$F24,2),1)="W"),Settings!$F24,0),0)</ns0:f>
        <ns0:v>0</ns0:v>
      </ns0:c>
      <ns0:c r="I49" s="0">
        <ns0:f>IFERROR(IF(AND('_Engine'!$X49=1,ISNUMBER(Settings!$F25),Settings!$F25&gt;0,MID('_Engine'!$AP49,WEEKDAY(Settings!$F25,2),1)="W"),Settings!$F25,0),0)</ns0:f>
        <ns0:v>0</ns0:v>
      </ns0:c>
      <ns0:c r="J49" s="0">
        <ns0:f>IFERROR(IF(AND('_Engine'!$X49=1,ISNUMBER(Settings!$F26),Settings!$F26&gt;0,MID('_Engine'!$AP49,WEEKDAY(Settings!$F26,2),1)="W"),Settings!$F26,0),0)</ns0:f>
        <ns0:v>0</ns0:v>
      </ns0:c>
      <ns0:c r="K49" s="0">
        <ns0:f>IFERROR(IF(AND('_Engine'!$X49=1,ISNUMBER(Settings!$F27),Settings!$F27&gt;0,MID('_Engine'!$AP49,WEEKDAY(Settings!$F27,2),1)="W"),Settings!$F27,0),0)</ns0:f>
        <ns0:v>0</ns0:v>
      </ns0:c>
      <ns0:c r="L49" s="0">
        <ns0:f>IFERROR(IF(AND('_Engine'!$X49=1,ISNUMBER(Settings!$F28),Settings!$F28&gt;0,MID('_Engine'!$AP49,WEEKDAY(Settings!$F28,2),1)="W"),Settings!$F28,0),0)</ns0:f>
        <ns0:v>0</ns0:v>
      </ns0:c>
      <ns0:c r="M49" s="0">
        <ns0:f>IFERROR(IF(AND('_Engine'!$X49=1,ISNUMBER(Settings!$F29),Settings!$F29&gt;0,MID('_Engine'!$AP49,WEEKDAY(Settings!$F29,2),1)="W"),Settings!$F29,0),0)</ns0:f>
        <ns0:v>0</ns0:v>
      </ns0:c>
      <ns0:c r="N49" s="0">
        <ns0:f>IFERROR(IF(AND('_Engine'!$X49=1,ISNUMBER(Settings!$F30),Settings!$F30&gt;0,MID('_Engine'!$AP49,WEEKDAY(Settings!$F30,2),1)="W"),Settings!$F30,0),0)</ns0:f>
        <ns0:v>0</ns0:v>
      </ns0:c>
      <ns0:c r="O49" s="0">
        <ns0:f>IFERROR(IF(AND('_Engine'!$X49=1,ISNUMBER(Settings!$F31),Settings!$F31&gt;0,MID('_Engine'!$AP49,WEEKDAY(Settings!$F31,2),1)="W"),Settings!$F31,0),0)</ns0:f>
        <ns0:v>0</ns0:v>
      </ns0:c>
      <ns0:c r="P49" s="0">
        <ns0:f>IFERROR(IF(AND('_Engine'!$X49=1,ISNUMBER(Settings!$F32),Settings!$F32&gt;0,MID('_Engine'!$AP49,WEEKDAY(Settings!$F32,2),1)="W"),Settings!$F32,0),0)</ns0:f>
        <ns0:v>0</ns0:v>
      </ns0:c>
      <ns0:c r="Q49" s="0">
        <ns0:f>IFERROR(IF(AND('_Engine'!$X49=1,ISNUMBER(Settings!$F33),Settings!$F33&gt;0,MID('_Engine'!$AP49,WEEKDAY(Settings!$F33,2),1)="W"),Settings!$F33,0),0)</ns0:f>
        <ns0:v>0</ns0:v>
      </ns0:c>
      <ns0:c r="R49" s="0">
        <ns0:f>IFERROR(IF(AND('_Engine'!$X49=1,ISNUMBER(Settings!$F34),Settings!$F34&gt;0,MID('_Engine'!$AP49,WEEKDAY(Settings!$F34,2),1)="W"),Settings!$F34,0),0)</ns0:f>
        <ns0:v>0</ns0:v>
      </ns0:c>
      <ns0:c r="S49" s="0">
        <ns0:f>IFERROR(IF(AND('_Engine'!$X49=1,ISNUMBER(Settings!$F35),Settings!$F35&gt;0,MID('_Engine'!$AP49,WEEKDAY(Settings!$F35,2),1)="W"),Settings!$F35,0),0)</ns0:f>
        <ns0:v>0</ns0:v>
      </ns0:c>
      <ns0:c r="T49" s="0">
        <ns0:f>IFERROR(IF(AND('_Engine'!$X49=1,ISNUMBER(Settings!$F36),Settings!$F36&gt;0,MID('_Engine'!$AP49,WEEKDAY(Settings!$F36,2),1)="W"),Settings!$F36,0),0)</ns0:f>
        <ns0:v>0</ns0:v>
      </ns0:c>
      <ns0:c r="U49" s="0">
        <ns0:f>IFERROR(IF(AND('_Engine'!$X49=1,ISNUMBER(Settings!$F37),Settings!$F37&gt;0,MID('_Engine'!$AP49,WEEKDAY(Settings!$F37,2),1)="W"),Settings!$F37,0),0)</ns0:f>
        <ns0:v>0</ns0:v>
      </ns0:c>
      <ns0:c r="V49" s="0">
        <ns0:f>IFERROR(IF(AND('_Engine'!$X49=1,ISNUMBER(Settings!$F38),Settings!$F38&gt;0,MID('_Engine'!$AP49,WEEKDAY(Settings!$F38,2),1)="W"),Settings!$F38,0),0)</ns0:f>
        <ns0:v>0</ns0:v>
      </ns0:c>
      <ns0:c r="W49" s="0">
        <ns0:f>IFERROR(IF(AND('_Engine'!$X49=1,ISNUMBER(Settings!$F39),Settings!$F39&gt;0,MID('_Engine'!$AP49,WEEKDAY(Settings!$F39,2),1)="W"),Settings!$F39,0),0)</ns0:f>
        <ns0:v>0</ns0:v>
      </ns0:c>
      <ns0:c r="X49" s="0">
        <ns0:f>IFERROR(IF(AND('_Engine'!$X49=1,ISNUMBER(Settings!$F40),Settings!$F40&gt;0,MID('_Engine'!$AP49,WEEKDAY(Settings!$F40,2),1)="W"),Settings!$F40,0),0)</ns0:f>
        <ns0:v>0</ns0:v>
      </ns0:c>
      <ns0:c r="Y49" s="0">
        <ns0:f>IFERROR(IF(AND('_Engine'!$X49=1,ISNUMBER(Settings!$F41),Settings!$F41&gt;0,MID('_Engine'!$AP49,WEEKDAY(Settings!$F41,2),1)="W"),Settings!$F41,0),0)</ns0:f>
        <ns0:v>0</ns0:v>
      </ns0:c>
      <ns0:c r="Z49" s="0">
        <ns0:f>IFERROR(IF(AND('_Engine'!$X49=1,ISNUMBER(Settings!$F42),Settings!$F42&gt;0,MID('_Engine'!$AP49,WEEKDAY(Settings!$F42,2),1)="W"),Settings!$F42,0),0)</ns0:f>
        <ns0:v>0</ns0:v>
      </ns0:c>
      <ns0:c r="AA49" s="0">
        <ns0:f>IFERROR(IF(AND('_Engine'!$X49=1,ISNUMBER(Settings!$F43),Settings!$F43&gt;0,MID('_Engine'!$AP49,WEEKDAY(Settings!$F43,2),1)="W"),Settings!$F43,0),0)</ns0:f>
        <ns0:v>0</ns0:v>
      </ns0:c>
      <ns0:c r="AB49" s="0">
        <ns0:f>IFERROR(IF(AND('_Engine'!$X49=1,ISNUMBER(Settings!$F44),Settings!$F44&gt;0,MID('_Engine'!$AP49,WEEKDAY(Settings!$F44,2),1)="W"),Settings!$F44,0),0)</ns0:f>
        <ns0:v>0</ns0:v>
      </ns0:c>
      <ns0:c r="AC49" s="0">
        <ns0:f>IFERROR(IF(AND('_Engine'!$X49=1,ISNUMBER(Settings!$F45),Settings!$F45&gt;0,MID('_Engine'!$AP49,WEEKDAY(Settings!$F45,2),1)="W"),Settings!$F45,0),0)</ns0:f>
        <ns0:v>0</ns0:v>
      </ns0:c>
      <ns0:c r="AD49" s="0">
        <ns0:f>IFERROR(IF(AND('_Engine'!$X49=1,ISNUMBER(Settings!$F46),Settings!$F46&gt;0,MID('_Engine'!$AP49,WEEKDAY(Settings!$F46,2),1)="W"),Settings!$F46,0),0)</ns0:f>
        <ns0:v>0</ns0:v>
      </ns0:c>
      <ns0:c r="AE49" s="0">
        <ns0:f>IFERROR(IF(AND('_Engine'!$X49=1,ISNUMBER(Settings!$F47),Settings!$F47&gt;0,MID('_Engine'!$AP49,WEEKDAY(Settings!$F47,2),1)="W"),Settings!$F47,0),0)</ns0:f>
        <ns0:v>0</ns0:v>
      </ns0:c>
      <ns0:c r="AF49" s="0">
        <ns0:f>IFERROR(IF(AND('_Engine'!$X49=1,ISNUMBER(Settings!$F48),Settings!$F48&gt;0,MID('_Engine'!$AP49,WEEKDAY(Settings!$F48,2),1)="W"),Settings!$F48,0),0)</ns0:f>
        <ns0:v>0</ns0:v>
      </ns0:c>
      <ns0:c r="AG49" s="0">
        <ns0:f>IFERROR(IF(AND('_Engine'!$X49=1,ISNUMBER(Settings!$F49),Settings!$F49&gt;0,MID('_Engine'!$AP49,WEEKDAY(Settings!$F49,2),1)="W"),Settings!$F49,0),0)</ns0:f>
        <ns0:v>0</ns0:v>
      </ns0:c>
      <ns0:c r="AH49" s="0">
        <ns0:f>IFERROR(IF(AND('_Engine'!$X49=1,ISNUMBER(Settings!$F50),Settings!$F50&gt;0,MID('_Engine'!$AP49,WEEKDAY(Settings!$F50,2),1)="W"),Settings!$F50,0),0)</ns0:f>
        <ns0:v>0</ns0:v>
      </ns0:c>
      <ns0:c r="AI49" s="0">
        <ns0:f>IFERROR(IF(AND('_Engine'!$X49=1,ISNUMBER(Settings!$F51),Settings!$F51&gt;0,MID('_Engine'!$AP49,WEEKDAY(Settings!$F51,2),1)="W"),Settings!$F51,0),0)</ns0:f>
        <ns0:v>0</ns0:v>
      </ns0:c>
      <ns0:c r="AJ49" s="0">
        <ns0:f>IFERROR(IF(AND('_Engine'!$X49=1,ISNUMBER(Settings!$F52),Settings!$F52&gt;0,MID('_Engine'!$AP49,WEEKDAY(Settings!$F52,2),1)="W"),Settings!$F52,0),0)</ns0:f>
        <ns0:v>0</ns0:v>
      </ns0:c>
      <ns0:c r="AK49" s="0">
        <ns0:f>IFERROR(IF(AND('_Engine'!$X49=1,ISNUMBER(Settings!$F53),Settings!$F53&gt;0,MID('_Engine'!$AP49,WEEKDAY(Settings!$F53,2),1)="W"),Settings!$F53,0),0)</ns0:f>
        <ns0:v>0</ns0:v>
      </ns0:c>
      <ns0:c r="AL49" s="0">
        <ns0:f>IFERROR(IF(AND('_Engine'!$X49=1,ISNUMBER(Settings!$F54),Settings!$F54&gt;0,MID('_Engine'!$AP49,WEEKDAY(Settings!$F54,2),1)="W"),Settings!$F54,0),0)</ns0:f>
        <ns0:v>0</ns0:v>
      </ns0:c>
      <ns0:c r="AM49" s="0">
        <ns0:f>IFERROR(IF(AND('_Engine'!$X49=1,ISNUMBER(Settings!$F55),Settings!$F55&gt;0,MID('_Engine'!$AP49,WEEKDAY(Settings!$F55,2),1)="W"),Settings!$F55,0),0)</ns0:f>
        <ns0:v>0</ns0:v>
      </ns0:c>
      <ns0:c r="AN49" s="0">
        <ns0:f>IFERROR(IF(AND('_Engine'!$X49=1,ISNUMBER(Settings!$F56),Settings!$F56&gt;0,MID('_Engine'!$AP49,WEEKDAY(Settings!$F56,2),1)="W"),Settings!$F56,0),0)</ns0:f>
        <ns0:v>0</ns0:v>
      </ns0:c>
      <ns0:c r="AO49" s="0">
        <ns0:f>IFERROR(IF(AND('_Engine'!$X49=1,ISNUMBER(Settings!$F57),Settings!$F57&gt;0,MID('_Engine'!$AP49,WEEKDAY(Settings!$F57,2),1)="W"),Settings!$F57,0),0)</ns0:f>
        <ns0:v>0</ns0:v>
      </ns0:c>
      <ns0:c r="AP49" s="0">
        <ns0:f>IFERROR(IF(AND('_Engine'!$X49=1,ISNUMBER(Settings!$F58),Settings!$F58&gt;0,MID('_Engine'!$AP49,WEEKDAY(Settings!$F58,2),1)="W"),Settings!$F58,0),0)</ns0:f>
        <ns0:v>0</ns0:v>
      </ns0:c>
      <ns0:c r="AQ49" s="0">
        <ns0:f>IFERROR(IF(AND('_Engine'!$X49=1,ISNUMBER(Settings!$F59),Settings!$F59&gt;0,MID('_Engine'!$AP49,WEEKDAY(Settings!$F59,2),1)="W"),Settings!$F59,0),0)</ns0:f>
        <ns0:v>0</ns0:v>
      </ns0:c>
      <ns0:c r="AR49" s="0">
        <ns0:f>IFERROR(IF(AND('_Engine'!$X49=1,ISNUMBER(Settings!$F60),Settings!$F60&gt;0,MID('_Engine'!$AP49,WEEKDAY(Settings!$F60,2),1)="W"),Settings!$F60,0),0)</ns0:f>
        <ns0:v>0</ns0:v>
      </ns0:c>
      <ns0:c r="AS49" s="0">
        <ns0:f>IFERROR(IF(AND('_Engine'!$X49=1,ISNUMBER(Settings!$F61),Settings!$F61&gt;0,MID('_Engine'!$AP49,WEEKDAY(Settings!$F61,2),1)="W"),Settings!$F61,0),0)</ns0:f>
        <ns0:v>0</ns0:v>
      </ns0:c>
      <ns0:c r="AT49" s="0">
        <ns0:f>IFERROR(IF(AND('_Engine'!$X49=1,ISNUMBER(Settings!$F62),Settings!$F62&gt;0,MID('_Engine'!$AP49,WEEKDAY(Settings!$F62,2),1)="W"),Settings!$F62,0),0)</ns0:f>
        <ns0:v>0</ns0:v>
      </ns0:c>
      <ns0:c r="AU49" s="0">
        <ns0:f>IFERROR(IF(AND('_Engine'!$X49=1,ISNUMBER(Settings!$F63),Settings!$F63&gt;0,MID('_Engine'!$AP49,WEEKDAY(Settings!$F63,2),1)="W"),Settings!$F63,0),0)</ns0:f>
        <ns0:v>0</ns0:v>
      </ns0:c>
      <ns0:c r="AV49" s="0">
        <ns0:f>IFERROR(IF(AND('_Engine'!$X49=1,ISNUMBER(Settings!$F64),Settings!$F64&gt;0,MID('_Engine'!$AP49,WEEKDAY(Settings!$F64,2),1)="W"),Settings!$F64,0),0)</ns0:f>
        <ns0:v>0</ns0:v>
      </ns0:c>
      <ns0:c r="AW49" s="0">
        <ns0:f>IFERROR(IF(AND('_Engine'!$X49=1,ISNUMBER(Settings!$F65),Settings!$F65&gt;0,MID('_Engine'!$AP49,WEEKDAY(Settings!$F65,2),1)="W"),Settings!$F65,0),0)</ns0:f>
        <ns0:v>0</ns0:v>
      </ns0:c>
      <ns0:c r="AX49" s="0">
        <ns0:f>IFERROR(IF(AND('_Engine'!$X49=1,ISNUMBER(Settings!$F66),Settings!$F66&gt;0,MID('_Engine'!$AP49,WEEKDAY(Settings!$F66,2),1)="W"),Settings!$F66,0),0)</ns0:f>
        <ns0:v>0</ns0:v>
      </ns0:c>
      <ns0:c r="AY49" s="0">
        <ns0:f>IFERROR(IF(AND('_Engine'!$X49=1,ISNUMBER(Settings!$F67),Settings!$F67&gt;0,MID('_Engine'!$AP49,WEEKDAY(Settings!$F67,2),1)="W"),Settings!$F67,0),0)</ns0:f>
        <ns0:v>0</ns0:v>
      </ns0:c>
    </ns0:row>
    <ns0:row r="50">
      <ns0:c r="B50" s="0">
        <ns0:f>IFERROR(IF(AND('_Engine'!$X50=1,ISNUMBER(Settings!$F18),Settings!$F18&gt;0,MID('_Engine'!$AP50,WEEKDAY(Settings!$F18,2),1)="W"),Settings!$F18,0),0)</ns0:f>
        <ns0:v>0</ns0:v>
      </ns0:c>
      <ns0:c r="C50" s="0">
        <ns0:f>IFERROR(IF(AND('_Engine'!$X50=1,ISNUMBER(Settings!$F19),Settings!$F19&gt;0,MID('_Engine'!$AP50,WEEKDAY(Settings!$F19,2),1)="W"),Settings!$F19,0),0)</ns0:f>
        <ns0:v>0</ns0:v>
      </ns0:c>
      <ns0:c r="D50" s="0">
        <ns0:f>IFERROR(IF(AND('_Engine'!$X50=1,ISNUMBER(Settings!$F20),Settings!$F20&gt;0,MID('_Engine'!$AP50,WEEKDAY(Settings!$F20,2),1)="W"),Settings!$F20,0),0)</ns0:f>
        <ns0:v>0</ns0:v>
      </ns0:c>
      <ns0:c r="E50" s="0">
        <ns0:f>IFERROR(IF(AND('_Engine'!$X50=1,ISNUMBER(Settings!$F21),Settings!$F21&gt;0,MID('_Engine'!$AP50,WEEKDAY(Settings!$F21,2),1)="W"),Settings!$F21,0),0)</ns0:f>
        <ns0:v>0</ns0:v>
      </ns0:c>
      <ns0:c r="F50" s="0">
        <ns0:f>IFERROR(IF(AND('_Engine'!$X50=1,ISNUMBER(Settings!$F22),Settings!$F22&gt;0,MID('_Engine'!$AP50,WEEKDAY(Settings!$F22,2),1)="W"),Settings!$F22,0),0)</ns0:f>
        <ns0:v>0</ns0:v>
      </ns0:c>
      <ns0:c r="G50" s="0">
        <ns0:f>IFERROR(IF(AND('_Engine'!$X50=1,ISNUMBER(Settings!$F23),Settings!$F23&gt;0,MID('_Engine'!$AP50,WEEKDAY(Settings!$F23,2),1)="W"),Settings!$F23,0),0)</ns0:f>
        <ns0:v>0</ns0:v>
      </ns0:c>
      <ns0:c r="H50" s="0">
        <ns0:f>IFERROR(IF(AND('_Engine'!$X50=1,ISNUMBER(Settings!$F24),Settings!$F24&gt;0,MID('_Engine'!$AP50,WEEKDAY(Settings!$F24,2),1)="W"),Settings!$F24,0),0)</ns0:f>
        <ns0:v>0</ns0:v>
      </ns0:c>
      <ns0:c r="I50" s="0">
        <ns0:f>IFERROR(IF(AND('_Engine'!$X50=1,ISNUMBER(Settings!$F25),Settings!$F25&gt;0,MID('_Engine'!$AP50,WEEKDAY(Settings!$F25,2),1)="W"),Settings!$F25,0),0)</ns0:f>
        <ns0:v>0</ns0:v>
      </ns0:c>
      <ns0:c r="J50" s="0">
        <ns0:f>IFERROR(IF(AND('_Engine'!$X50=1,ISNUMBER(Settings!$F26),Settings!$F26&gt;0,MID('_Engine'!$AP50,WEEKDAY(Settings!$F26,2),1)="W"),Settings!$F26,0),0)</ns0:f>
        <ns0:v>0</ns0:v>
      </ns0:c>
      <ns0:c r="K50" s="0">
        <ns0:f>IFERROR(IF(AND('_Engine'!$X50=1,ISNUMBER(Settings!$F27),Settings!$F27&gt;0,MID('_Engine'!$AP50,WEEKDAY(Settings!$F27,2),1)="W"),Settings!$F27,0),0)</ns0:f>
        <ns0:v>0</ns0:v>
      </ns0:c>
      <ns0:c r="L50" s="0">
        <ns0:f>IFERROR(IF(AND('_Engine'!$X50=1,ISNUMBER(Settings!$F28),Settings!$F28&gt;0,MID('_Engine'!$AP50,WEEKDAY(Settings!$F28,2),1)="W"),Settings!$F28,0),0)</ns0:f>
        <ns0:v>0</ns0:v>
      </ns0:c>
      <ns0:c r="M50" s="0">
        <ns0:f>IFERROR(IF(AND('_Engine'!$X50=1,ISNUMBER(Settings!$F29),Settings!$F29&gt;0,MID('_Engine'!$AP50,WEEKDAY(Settings!$F29,2),1)="W"),Settings!$F29,0),0)</ns0:f>
        <ns0:v>0</ns0:v>
      </ns0:c>
      <ns0:c r="N50" s="0">
        <ns0:f>IFERROR(IF(AND('_Engine'!$X50=1,ISNUMBER(Settings!$F30),Settings!$F30&gt;0,MID('_Engine'!$AP50,WEEKDAY(Settings!$F30,2),1)="W"),Settings!$F30,0),0)</ns0:f>
        <ns0:v>0</ns0:v>
      </ns0:c>
      <ns0:c r="O50" s="0">
        <ns0:f>IFERROR(IF(AND('_Engine'!$X50=1,ISNUMBER(Settings!$F31),Settings!$F31&gt;0,MID('_Engine'!$AP50,WEEKDAY(Settings!$F31,2),1)="W"),Settings!$F31,0),0)</ns0:f>
        <ns0:v>0</ns0:v>
      </ns0:c>
      <ns0:c r="P50" s="0">
        <ns0:f>IFERROR(IF(AND('_Engine'!$X50=1,ISNUMBER(Settings!$F32),Settings!$F32&gt;0,MID('_Engine'!$AP50,WEEKDAY(Settings!$F32,2),1)="W"),Settings!$F32,0),0)</ns0:f>
        <ns0:v>0</ns0:v>
      </ns0:c>
      <ns0:c r="Q50" s="0">
        <ns0:f>IFERROR(IF(AND('_Engine'!$X50=1,ISNUMBER(Settings!$F33),Settings!$F33&gt;0,MID('_Engine'!$AP50,WEEKDAY(Settings!$F33,2),1)="W"),Settings!$F33,0),0)</ns0:f>
        <ns0:v>0</ns0:v>
      </ns0:c>
      <ns0:c r="R50" s="0">
        <ns0:f>IFERROR(IF(AND('_Engine'!$X50=1,ISNUMBER(Settings!$F34),Settings!$F34&gt;0,MID('_Engine'!$AP50,WEEKDAY(Settings!$F34,2),1)="W"),Settings!$F34,0),0)</ns0:f>
        <ns0:v>0</ns0:v>
      </ns0:c>
      <ns0:c r="S50" s="0">
        <ns0:f>IFERROR(IF(AND('_Engine'!$X50=1,ISNUMBER(Settings!$F35),Settings!$F35&gt;0,MID('_Engine'!$AP50,WEEKDAY(Settings!$F35,2),1)="W"),Settings!$F35,0),0)</ns0:f>
        <ns0:v>0</ns0:v>
      </ns0:c>
      <ns0:c r="T50" s="0">
        <ns0:f>IFERROR(IF(AND('_Engine'!$X50=1,ISNUMBER(Settings!$F36),Settings!$F36&gt;0,MID('_Engine'!$AP50,WEEKDAY(Settings!$F36,2),1)="W"),Settings!$F36,0),0)</ns0:f>
        <ns0:v>0</ns0:v>
      </ns0:c>
      <ns0:c r="U50" s="0">
        <ns0:f>IFERROR(IF(AND('_Engine'!$X50=1,ISNUMBER(Settings!$F37),Settings!$F37&gt;0,MID('_Engine'!$AP50,WEEKDAY(Settings!$F37,2),1)="W"),Settings!$F37,0),0)</ns0:f>
        <ns0:v>0</ns0:v>
      </ns0:c>
      <ns0:c r="V50" s="0">
        <ns0:f>IFERROR(IF(AND('_Engine'!$X50=1,ISNUMBER(Settings!$F38),Settings!$F38&gt;0,MID('_Engine'!$AP50,WEEKDAY(Settings!$F38,2),1)="W"),Settings!$F38,0),0)</ns0:f>
        <ns0:v>0</ns0:v>
      </ns0:c>
      <ns0:c r="W50" s="0">
        <ns0:f>IFERROR(IF(AND('_Engine'!$X50=1,ISNUMBER(Settings!$F39),Settings!$F39&gt;0,MID('_Engine'!$AP50,WEEKDAY(Settings!$F39,2),1)="W"),Settings!$F39,0),0)</ns0:f>
        <ns0:v>0</ns0:v>
      </ns0:c>
      <ns0:c r="X50" s="0">
        <ns0:f>IFERROR(IF(AND('_Engine'!$X50=1,ISNUMBER(Settings!$F40),Settings!$F40&gt;0,MID('_Engine'!$AP50,WEEKDAY(Settings!$F40,2),1)="W"),Settings!$F40,0),0)</ns0:f>
        <ns0:v>0</ns0:v>
      </ns0:c>
      <ns0:c r="Y50" s="0">
        <ns0:f>IFERROR(IF(AND('_Engine'!$X50=1,ISNUMBER(Settings!$F41),Settings!$F41&gt;0,MID('_Engine'!$AP50,WEEKDAY(Settings!$F41,2),1)="W"),Settings!$F41,0),0)</ns0:f>
        <ns0:v>0</ns0:v>
      </ns0:c>
      <ns0:c r="Z50" s="0">
        <ns0:f>IFERROR(IF(AND('_Engine'!$X50=1,ISNUMBER(Settings!$F42),Settings!$F42&gt;0,MID('_Engine'!$AP50,WEEKDAY(Settings!$F42,2),1)="W"),Settings!$F42,0),0)</ns0:f>
        <ns0:v>0</ns0:v>
      </ns0:c>
      <ns0:c r="AA50" s="0">
        <ns0:f>IFERROR(IF(AND('_Engine'!$X50=1,ISNUMBER(Settings!$F43),Settings!$F43&gt;0,MID('_Engine'!$AP50,WEEKDAY(Settings!$F43,2),1)="W"),Settings!$F43,0),0)</ns0:f>
        <ns0:v>0</ns0:v>
      </ns0:c>
      <ns0:c r="AB50" s="0">
        <ns0:f>IFERROR(IF(AND('_Engine'!$X50=1,ISNUMBER(Settings!$F44),Settings!$F44&gt;0,MID('_Engine'!$AP50,WEEKDAY(Settings!$F44,2),1)="W"),Settings!$F44,0),0)</ns0:f>
        <ns0:v>0</ns0:v>
      </ns0:c>
      <ns0:c r="AC50" s="0">
        <ns0:f>IFERROR(IF(AND('_Engine'!$X50=1,ISNUMBER(Settings!$F45),Settings!$F45&gt;0,MID('_Engine'!$AP50,WEEKDAY(Settings!$F45,2),1)="W"),Settings!$F45,0),0)</ns0:f>
        <ns0:v>0</ns0:v>
      </ns0:c>
      <ns0:c r="AD50" s="0">
        <ns0:f>IFERROR(IF(AND('_Engine'!$X50=1,ISNUMBER(Settings!$F46),Settings!$F46&gt;0,MID('_Engine'!$AP50,WEEKDAY(Settings!$F46,2),1)="W"),Settings!$F46,0),0)</ns0:f>
        <ns0:v>0</ns0:v>
      </ns0:c>
      <ns0:c r="AE50" s="0">
        <ns0:f>IFERROR(IF(AND('_Engine'!$X50=1,ISNUMBER(Settings!$F47),Settings!$F47&gt;0,MID('_Engine'!$AP50,WEEKDAY(Settings!$F47,2),1)="W"),Settings!$F47,0),0)</ns0:f>
        <ns0:v>0</ns0:v>
      </ns0:c>
      <ns0:c r="AF50" s="0">
        <ns0:f>IFERROR(IF(AND('_Engine'!$X50=1,ISNUMBER(Settings!$F48),Settings!$F48&gt;0,MID('_Engine'!$AP50,WEEKDAY(Settings!$F48,2),1)="W"),Settings!$F48,0),0)</ns0:f>
        <ns0:v>0</ns0:v>
      </ns0:c>
      <ns0:c r="AG50" s="0">
        <ns0:f>IFERROR(IF(AND('_Engine'!$X50=1,ISNUMBER(Settings!$F49),Settings!$F49&gt;0,MID('_Engine'!$AP50,WEEKDAY(Settings!$F49,2),1)="W"),Settings!$F49,0),0)</ns0:f>
        <ns0:v>0</ns0:v>
      </ns0:c>
      <ns0:c r="AH50" s="0">
        <ns0:f>IFERROR(IF(AND('_Engine'!$X50=1,ISNUMBER(Settings!$F50),Settings!$F50&gt;0,MID('_Engine'!$AP50,WEEKDAY(Settings!$F50,2),1)="W"),Settings!$F50,0),0)</ns0:f>
        <ns0:v>0</ns0:v>
      </ns0:c>
      <ns0:c r="AI50" s="0">
        <ns0:f>IFERROR(IF(AND('_Engine'!$X50=1,ISNUMBER(Settings!$F51),Settings!$F51&gt;0,MID('_Engine'!$AP50,WEEKDAY(Settings!$F51,2),1)="W"),Settings!$F51,0),0)</ns0:f>
        <ns0:v>0</ns0:v>
      </ns0:c>
      <ns0:c r="AJ50" s="0">
        <ns0:f>IFERROR(IF(AND('_Engine'!$X50=1,ISNUMBER(Settings!$F52),Settings!$F52&gt;0,MID('_Engine'!$AP50,WEEKDAY(Settings!$F52,2),1)="W"),Settings!$F52,0),0)</ns0:f>
        <ns0:v>0</ns0:v>
      </ns0:c>
      <ns0:c r="AK50" s="0">
        <ns0:f>IFERROR(IF(AND('_Engine'!$X50=1,ISNUMBER(Settings!$F53),Settings!$F53&gt;0,MID('_Engine'!$AP50,WEEKDAY(Settings!$F53,2),1)="W"),Settings!$F53,0),0)</ns0:f>
        <ns0:v>0</ns0:v>
      </ns0:c>
      <ns0:c r="AL50" s="0">
        <ns0:f>IFERROR(IF(AND('_Engine'!$X50=1,ISNUMBER(Settings!$F54),Settings!$F54&gt;0,MID('_Engine'!$AP50,WEEKDAY(Settings!$F54,2),1)="W"),Settings!$F54,0),0)</ns0:f>
        <ns0:v>0</ns0:v>
      </ns0:c>
      <ns0:c r="AM50" s="0">
        <ns0:f>IFERROR(IF(AND('_Engine'!$X50=1,ISNUMBER(Settings!$F55),Settings!$F55&gt;0,MID('_Engine'!$AP50,WEEKDAY(Settings!$F55,2),1)="W"),Settings!$F55,0),0)</ns0:f>
        <ns0:v>0</ns0:v>
      </ns0:c>
      <ns0:c r="AN50" s="0">
        <ns0:f>IFERROR(IF(AND('_Engine'!$X50=1,ISNUMBER(Settings!$F56),Settings!$F56&gt;0,MID('_Engine'!$AP50,WEEKDAY(Settings!$F56,2),1)="W"),Settings!$F56,0),0)</ns0:f>
        <ns0:v>0</ns0:v>
      </ns0:c>
      <ns0:c r="AO50" s="0">
        <ns0:f>IFERROR(IF(AND('_Engine'!$X50=1,ISNUMBER(Settings!$F57),Settings!$F57&gt;0,MID('_Engine'!$AP50,WEEKDAY(Settings!$F57,2),1)="W"),Settings!$F57,0),0)</ns0:f>
        <ns0:v>0</ns0:v>
      </ns0:c>
      <ns0:c r="AP50" s="0">
        <ns0:f>IFERROR(IF(AND('_Engine'!$X50=1,ISNUMBER(Settings!$F58),Settings!$F58&gt;0,MID('_Engine'!$AP50,WEEKDAY(Settings!$F58,2),1)="W"),Settings!$F58,0),0)</ns0:f>
        <ns0:v>0</ns0:v>
      </ns0:c>
      <ns0:c r="AQ50" s="0">
        <ns0:f>IFERROR(IF(AND('_Engine'!$X50=1,ISNUMBER(Settings!$F59),Settings!$F59&gt;0,MID('_Engine'!$AP50,WEEKDAY(Settings!$F59,2),1)="W"),Settings!$F59,0),0)</ns0:f>
        <ns0:v>0</ns0:v>
      </ns0:c>
      <ns0:c r="AR50" s="0">
        <ns0:f>IFERROR(IF(AND('_Engine'!$X50=1,ISNUMBER(Settings!$F60),Settings!$F60&gt;0,MID('_Engine'!$AP50,WEEKDAY(Settings!$F60,2),1)="W"),Settings!$F60,0),0)</ns0:f>
        <ns0:v>0</ns0:v>
      </ns0:c>
      <ns0:c r="AS50" s="0">
        <ns0:f>IFERROR(IF(AND('_Engine'!$X50=1,ISNUMBER(Settings!$F61),Settings!$F61&gt;0,MID('_Engine'!$AP50,WEEKDAY(Settings!$F61,2),1)="W"),Settings!$F61,0),0)</ns0:f>
        <ns0:v>0</ns0:v>
      </ns0:c>
      <ns0:c r="AT50" s="0">
        <ns0:f>IFERROR(IF(AND('_Engine'!$X50=1,ISNUMBER(Settings!$F62),Settings!$F62&gt;0,MID('_Engine'!$AP50,WEEKDAY(Settings!$F62,2),1)="W"),Settings!$F62,0),0)</ns0:f>
        <ns0:v>0</ns0:v>
      </ns0:c>
      <ns0:c r="AU50" s="0">
        <ns0:f>IFERROR(IF(AND('_Engine'!$X50=1,ISNUMBER(Settings!$F63),Settings!$F63&gt;0,MID('_Engine'!$AP50,WEEKDAY(Settings!$F63,2),1)="W"),Settings!$F63,0),0)</ns0:f>
        <ns0:v>0</ns0:v>
      </ns0:c>
      <ns0:c r="AV50" s="0">
        <ns0:f>IFERROR(IF(AND('_Engine'!$X50=1,ISNUMBER(Settings!$F64),Settings!$F64&gt;0,MID('_Engine'!$AP50,WEEKDAY(Settings!$F64,2),1)="W"),Settings!$F64,0),0)</ns0:f>
        <ns0:v>0</ns0:v>
      </ns0:c>
      <ns0:c r="AW50" s="0">
        <ns0:f>IFERROR(IF(AND('_Engine'!$X50=1,ISNUMBER(Settings!$F65),Settings!$F65&gt;0,MID('_Engine'!$AP50,WEEKDAY(Settings!$F65,2),1)="W"),Settings!$F65,0),0)</ns0:f>
        <ns0:v>0</ns0:v>
      </ns0:c>
      <ns0:c r="AX50" s="0">
        <ns0:f>IFERROR(IF(AND('_Engine'!$X50=1,ISNUMBER(Settings!$F66),Settings!$F66&gt;0,MID('_Engine'!$AP50,WEEKDAY(Settings!$F66,2),1)="W"),Settings!$F66,0),0)</ns0:f>
        <ns0:v>0</ns0:v>
      </ns0:c>
      <ns0:c r="AY50" s="0">
        <ns0:f>IFERROR(IF(AND('_Engine'!$X50=1,ISNUMBER(Settings!$F67),Settings!$F67&gt;0,MID('_Engine'!$AP50,WEEKDAY(Settings!$F67,2),1)="W"),Settings!$F67,0),0)</ns0:f>
        <ns0:v>0</ns0:v>
      </ns0:c>
    </ns0:row>
    <ns0:row r="51">
      <ns0:c r="B51" s="0">
        <ns0:f>IFERROR(IF(AND('_Engine'!$X51=1,ISNUMBER(Settings!$F18),Settings!$F18&gt;0,MID('_Engine'!$AP51,WEEKDAY(Settings!$F18,2),1)="W"),Settings!$F18,0),0)</ns0:f>
        <ns0:v>0</ns0:v>
      </ns0:c>
      <ns0:c r="C51" s="0">
        <ns0:f>IFERROR(IF(AND('_Engine'!$X51=1,ISNUMBER(Settings!$F19),Settings!$F19&gt;0,MID('_Engine'!$AP51,WEEKDAY(Settings!$F19,2),1)="W"),Settings!$F19,0),0)</ns0:f>
        <ns0:v>0</ns0:v>
      </ns0:c>
      <ns0:c r="D51" s="0">
        <ns0:f>IFERROR(IF(AND('_Engine'!$X51=1,ISNUMBER(Settings!$F20),Settings!$F20&gt;0,MID('_Engine'!$AP51,WEEKDAY(Settings!$F20,2),1)="W"),Settings!$F20,0),0)</ns0:f>
        <ns0:v>0</ns0:v>
      </ns0:c>
      <ns0:c r="E51" s="0">
        <ns0:f>IFERROR(IF(AND('_Engine'!$X51=1,ISNUMBER(Settings!$F21),Settings!$F21&gt;0,MID('_Engine'!$AP51,WEEKDAY(Settings!$F21,2),1)="W"),Settings!$F21,0),0)</ns0:f>
        <ns0:v>0</ns0:v>
      </ns0:c>
      <ns0:c r="F51" s="0">
        <ns0:f>IFERROR(IF(AND('_Engine'!$X51=1,ISNUMBER(Settings!$F22),Settings!$F22&gt;0,MID('_Engine'!$AP51,WEEKDAY(Settings!$F22,2),1)="W"),Settings!$F22,0),0)</ns0:f>
        <ns0:v>0</ns0:v>
      </ns0:c>
      <ns0:c r="G51" s="0">
        <ns0:f>IFERROR(IF(AND('_Engine'!$X51=1,ISNUMBER(Settings!$F23),Settings!$F23&gt;0,MID('_Engine'!$AP51,WEEKDAY(Settings!$F23,2),1)="W"),Settings!$F23,0),0)</ns0:f>
        <ns0:v>0</ns0:v>
      </ns0:c>
      <ns0:c r="H51" s="0">
        <ns0:f>IFERROR(IF(AND('_Engine'!$X51=1,ISNUMBER(Settings!$F24),Settings!$F24&gt;0,MID('_Engine'!$AP51,WEEKDAY(Settings!$F24,2),1)="W"),Settings!$F24,0),0)</ns0:f>
        <ns0:v>0</ns0:v>
      </ns0:c>
      <ns0:c r="I51" s="0">
        <ns0:f>IFERROR(IF(AND('_Engine'!$X51=1,ISNUMBER(Settings!$F25),Settings!$F25&gt;0,MID('_Engine'!$AP51,WEEKDAY(Settings!$F25,2),1)="W"),Settings!$F25,0),0)</ns0:f>
        <ns0:v>0</ns0:v>
      </ns0:c>
      <ns0:c r="J51" s="0">
        <ns0:f>IFERROR(IF(AND('_Engine'!$X51=1,ISNUMBER(Settings!$F26),Settings!$F26&gt;0,MID('_Engine'!$AP51,WEEKDAY(Settings!$F26,2),1)="W"),Settings!$F26,0),0)</ns0:f>
        <ns0:v>0</ns0:v>
      </ns0:c>
      <ns0:c r="K51" s="0">
        <ns0:f>IFERROR(IF(AND('_Engine'!$X51=1,ISNUMBER(Settings!$F27),Settings!$F27&gt;0,MID('_Engine'!$AP51,WEEKDAY(Settings!$F27,2),1)="W"),Settings!$F27,0),0)</ns0:f>
        <ns0:v>0</ns0:v>
      </ns0:c>
      <ns0:c r="L51" s="0">
        <ns0:f>IFERROR(IF(AND('_Engine'!$X51=1,ISNUMBER(Settings!$F28),Settings!$F28&gt;0,MID('_Engine'!$AP51,WEEKDAY(Settings!$F28,2),1)="W"),Settings!$F28,0),0)</ns0:f>
        <ns0:v>0</ns0:v>
      </ns0:c>
      <ns0:c r="M51" s="0">
        <ns0:f>IFERROR(IF(AND('_Engine'!$X51=1,ISNUMBER(Settings!$F29),Settings!$F29&gt;0,MID('_Engine'!$AP51,WEEKDAY(Settings!$F29,2),1)="W"),Settings!$F29,0),0)</ns0:f>
        <ns0:v>0</ns0:v>
      </ns0:c>
      <ns0:c r="N51" s="0">
        <ns0:f>IFERROR(IF(AND('_Engine'!$X51=1,ISNUMBER(Settings!$F30),Settings!$F30&gt;0,MID('_Engine'!$AP51,WEEKDAY(Settings!$F30,2),1)="W"),Settings!$F30,0),0)</ns0:f>
        <ns0:v>0</ns0:v>
      </ns0:c>
      <ns0:c r="O51" s="0">
        <ns0:f>IFERROR(IF(AND('_Engine'!$X51=1,ISNUMBER(Settings!$F31),Settings!$F31&gt;0,MID('_Engine'!$AP51,WEEKDAY(Settings!$F31,2),1)="W"),Settings!$F31,0),0)</ns0:f>
        <ns0:v>0</ns0:v>
      </ns0:c>
      <ns0:c r="P51" s="0">
        <ns0:f>IFERROR(IF(AND('_Engine'!$X51=1,ISNUMBER(Settings!$F32),Settings!$F32&gt;0,MID('_Engine'!$AP51,WEEKDAY(Settings!$F32,2),1)="W"),Settings!$F32,0),0)</ns0:f>
        <ns0:v>0</ns0:v>
      </ns0:c>
      <ns0:c r="Q51" s="0">
        <ns0:f>IFERROR(IF(AND('_Engine'!$X51=1,ISNUMBER(Settings!$F33),Settings!$F33&gt;0,MID('_Engine'!$AP51,WEEKDAY(Settings!$F33,2),1)="W"),Settings!$F33,0),0)</ns0:f>
        <ns0:v>0</ns0:v>
      </ns0:c>
      <ns0:c r="R51" s="0">
        <ns0:f>IFERROR(IF(AND('_Engine'!$X51=1,ISNUMBER(Settings!$F34),Settings!$F34&gt;0,MID('_Engine'!$AP51,WEEKDAY(Settings!$F34,2),1)="W"),Settings!$F34,0),0)</ns0:f>
        <ns0:v>0</ns0:v>
      </ns0:c>
      <ns0:c r="S51" s="0">
        <ns0:f>IFERROR(IF(AND('_Engine'!$X51=1,ISNUMBER(Settings!$F35),Settings!$F35&gt;0,MID('_Engine'!$AP51,WEEKDAY(Settings!$F35,2),1)="W"),Settings!$F35,0),0)</ns0:f>
        <ns0:v>0</ns0:v>
      </ns0:c>
      <ns0:c r="T51" s="0">
        <ns0:f>IFERROR(IF(AND('_Engine'!$X51=1,ISNUMBER(Settings!$F36),Settings!$F36&gt;0,MID('_Engine'!$AP51,WEEKDAY(Settings!$F36,2),1)="W"),Settings!$F36,0),0)</ns0:f>
        <ns0:v>0</ns0:v>
      </ns0:c>
      <ns0:c r="U51" s="0">
        <ns0:f>IFERROR(IF(AND('_Engine'!$X51=1,ISNUMBER(Settings!$F37),Settings!$F37&gt;0,MID('_Engine'!$AP51,WEEKDAY(Settings!$F37,2),1)="W"),Settings!$F37,0),0)</ns0:f>
        <ns0:v>0</ns0:v>
      </ns0:c>
      <ns0:c r="V51" s="0">
        <ns0:f>IFERROR(IF(AND('_Engine'!$X51=1,ISNUMBER(Settings!$F38),Settings!$F38&gt;0,MID('_Engine'!$AP51,WEEKDAY(Settings!$F38,2),1)="W"),Settings!$F38,0),0)</ns0:f>
        <ns0:v>0</ns0:v>
      </ns0:c>
      <ns0:c r="W51" s="0">
        <ns0:f>IFERROR(IF(AND('_Engine'!$X51=1,ISNUMBER(Settings!$F39),Settings!$F39&gt;0,MID('_Engine'!$AP51,WEEKDAY(Settings!$F39,2),1)="W"),Settings!$F39,0),0)</ns0:f>
        <ns0:v>0</ns0:v>
      </ns0:c>
      <ns0:c r="X51" s="0">
        <ns0:f>IFERROR(IF(AND('_Engine'!$X51=1,ISNUMBER(Settings!$F40),Settings!$F40&gt;0,MID('_Engine'!$AP51,WEEKDAY(Settings!$F40,2),1)="W"),Settings!$F40,0),0)</ns0:f>
        <ns0:v>0</ns0:v>
      </ns0:c>
      <ns0:c r="Y51" s="0">
        <ns0:f>IFERROR(IF(AND('_Engine'!$X51=1,ISNUMBER(Settings!$F41),Settings!$F41&gt;0,MID('_Engine'!$AP51,WEEKDAY(Settings!$F41,2),1)="W"),Settings!$F41,0),0)</ns0:f>
        <ns0:v>0</ns0:v>
      </ns0:c>
      <ns0:c r="Z51" s="0">
        <ns0:f>IFERROR(IF(AND('_Engine'!$X51=1,ISNUMBER(Settings!$F42),Settings!$F42&gt;0,MID('_Engine'!$AP51,WEEKDAY(Settings!$F42,2),1)="W"),Settings!$F42,0),0)</ns0:f>
        <ns0:v>0</ns0:v>
      </ns0:c>
      <ns0:c r="AA51" s="0">
        <ns0:f>IFERROR(IF(AND('_Engine'!$X51=1,ISNUMBER(Settings!$F43),Settings!$F43&gt;0,MID('_Engine'!$AP51,WEEKDAY(Settings!$F43,2),1)="W"),Settings!$F43,0),0)</ns0:f>
        <ns0:v>0</ns0:v>
      </ns0:c>
      <ns0:c r="AB51" s="0">
        <ns0:f>IFERROR(IF(AND('_Engine'!$X51=1,ISNUMBER(Settings!$F44),Settings!$F44&gt;0,MID('_Engine'!$AP51,WEEKDAY(Settings!$F44,2),1)="W"),Settings!$F44,0),0)</ns0:f>
        <ns0:v>0</ns0:v>
      </ns0:c>
      <ns0:c r="AC51" s="0">
        <ns0:f>IFERROR(IF(AND('_Engine'!$X51=1,ISNUMBER(Settings!$F45),Settings!$F45&gt;0,MID('_Engine'!$AP51,WEEKDAY(Settings!$F45,2),1)="W"),Settings!$F45,0),0)</ns0:f>
        <ns0:v>0</ns0:v>
      </ns0:c>
      <ns0:c r="AD51" s="0">
        <ns0:f>IFERROR(IF(AND('_Engine'!$X51=1,ISNUMBER(Settings!$F46),Settings!$F46&gt;0,MID('_Engine'!$AP51,WEEKDAY(Settings!$F46,2),1)="W"),Settings!$F46,0),0)</ns0:f>
        <ns0:v>0</ns0:v>
      </ns0:c>
      <ns0:c r="AE51" s="0">
        <ns0:f>IFERROR(IF(AND('_Engine'!$X51=1,ISNUMBER(Settings!$F47),Settings!$F47&gt;0,MID('_Engine'!$AP51,WEEKDAY(Settings!$F47,2),1)="W"),Settings!$F47,0),0)</ns0:f>
        <ns0:v>0</ns0:v>
      </ns0:c>
      <ns0:c r="AF51" s="0">
        <ns0:f>IFERROR(IF(AND('_Engine'!$X51=1,ISNUMBER(Settings!$F48),Settings!$F48&gt;0,MID('_Engine'!$AP51,WEEKDAY(Settings!$F48,2),1)="W"),Settings!$F48,0),0)</ns0:f>
        <ns0:v>0</ns0:v>
      </ns0:c>
      <ns0:c r="AG51" s="0">
        <ns0:f>IFERROR(IF(AND('_Engine'!$X51=1,ISNUMBER(Settings!$F49),Settings!$F49&gt;0,MID('_Engine'!$AP51,WEEKDAY(Settings!$F49,2),1)="W"),Settings!$F49,0),0)</ns0:f>
        <ns0:v>0</ns0:v>
      </ns0:c>
      <ns0:c r="AH51" s="0">
        <ns0:f>IFERROR(IF(AND('_Engine'!$X51=1,ISNUMBER(Settings!$F50),Settings!$F50&gt;0,MID('_Engine'!$AP51,WEEKDAY(Settings!$F50,2),1)="W"),Settings!$F50,0),0)</ns0:f>
        <ns0:v>0</ns0:v>
      </ns0:c>
      <ns0:c r="AI51" s="0">
        <ns0:f>IFERROR(IF(AND('_Engine'!$X51=1,ISNUMBER(Settings!$F51),Settings!$F51&gt;0,MID('_Engine'!$AP51,WEEKDAY(Settings!$F51,2),1)="W"),Settings!$F51,0),0)</ns0:f>
        <ns0:v>0</ns0:v>
      </ns0:c>
      <ns0:c r="AJ51" s="0">
        <ns0:f>IFERROR(IF(AND('_Engine'!$X51=1,ISNUMBER(Settings!$F52),Settings!$F52&gt;0,MID('_Engine'!$AP51,WEEKDAY(Settings!$F52,2),1)="W"),Settings!$F52,0),0)</ns0:f>
        <ns0:v>0</ns0:v>
      </ns0:c>
      <ns0:c r="AK51" s="0">
        <ns0:f>IFERROR(IF(AND('_Engine'!$X51=1,ISNUMBER(Settings!$F53),Settings!$F53&gt;0,MID('_Engine'!$AP51,WEEKDAY(Settings!$F53,2),1)="W"),Settings!$F53,0),0)</ns0:f>
        <ns0:v>0</ns0:v>
      </ns0:c>
      <ns0:c r="AL51" s="0">
        <ns0:f>IFERROR(IF(AND('_Engine'!$X51=1,ISNUMBER(Settings!$F54),Settings!$F54&gt;0,MID('_Engine'!$AP51,WEEKDAY(Settings!$F54,2),1)="W"),Settings!$F54,0),0)</ns0:f>
        <ns0:v>0</ns0:v>
      </ns0:c>
      <ns0:c r="AM51" s="0">
        <ns0:f>IFERROR(IF(AND('_Engine'!$X51=1,ISNUMBER(Settings!$F55),Settings!$F55&gt;0,MID('_Engine'!$AP51,WEEKDAY(Settings!$F55,2),1)="W"),Settings!$F55,0),0)</ns0:f>
        <ns0:v>0</ns0:v>
      </ns0:c>
      <ns0:c r="AN51" s="0">
        <ns0:f>IFERROR(IF(AND('_Engine'!$X51=1,ISNUMBER(Settings!$F56),Settings!$F56&gt;0,MID('_Engine'!$AP51,WEEKDAY(Settings!$F56,2),1)="W"),Settings!$F56,0),0)</ns0:f>
        <ns0:v>0</ns0:v>
      </ns0:c>
      <ns0:c r="AO51" s="0">
        <ns0:f>IFERROR(IF(AND('_Engine'!$X51=1,ISNUMBER(Settings!$F57),Settings!$F57&gt;0,MID('_Engine'!$AP51,WEEKDAY(Settings!$F57,2),1)="W"),Settings!$F57,0),0)</ns0:f>
        <ns0:v>0</ns0:v>
      </ns0:c>
      <ns0:c r="AP51" s="0">
        <ns0:f>IFERROR(IF(AND('_Engine'!$X51=1,ISNUMBER(Settings!$F58),Settings!$F58&gt;0,MID('_Engine'!$AP51,WEEKDAY(Settings!$F58,2),1)="W"),Settings!$F58,0),0)</ns0:f>
        <ns0:v>0</ns0:v>
      </ns0:c>
      <ns0:c r="AQ51" s="0">
        <ns0:f>IFERROR(IF(AND('_Engine'!$X51=1,ISNUMBER(Settings!$F59),Settings!$F59&gt;0,MID('_Engine'!$AP51,WEEKDAY(Settings!$F59,2),1)="W"),Settings!$F59,0),0)</ns0:f>
        <ns0:v>0</ns0:v>
      </ns0:c>
      <ns0:c r="AR51" s="0">
        <ns0:f>IFERROR(IF(AND('_Engine'!$X51=1,ISNUMBER(Settings!$F60),Settings!$F60&gt;0,MID('_Engine'!$AP51,WEEKDAY(Settings!$F60,2),1)="W"),Settings!$F60,0),0)</ns0:f>
        <ns0:v>0</ns0:v>
      </ns0:c>
      <ns0:c r="AS51" s="0">
        <ns0:f>IFERROR(IF(AND('_Engine'!$X51=1,ISNUMBER(Settings!$F61),Settings!$F61&gt;0,MID('_Engine'!$AP51,WEEKDAY(Settings!$F61,2),1)="W"),Settings!$F61,0),0)</ns0:f>
        <ns0:v>0</ns0:v>
      </ns0:c>
      <ns0:c r="AT51" s="0">
        <ns0:f>IFERROR(IF(AND('_Engine'!$X51=1,ISNUMBER(Settings!$F62),Settings!$F62&gt;0,MID('_Engine'!$AP51,WEEKDAY(Settings!$F62,2),1)="W"),Settings!$F62,0),0)</ns0:f>
        <ns0:v>0</ns0:v>
      </ns0:c>
      <ns0:c r="AU51" s="0">
        <ns0:f>IFERROR(IF(AND('_Engine'!$X51=1,ISNUMBER(Settings!$F63),Settings!$F63&gt;0,MID('_Engine'!$AP51,WEEKDAY(Settings!$F63,2),1)="W"),Settings!$F63,0),0)</ns0:f>
        <ns0:v>0</ns0:v>
      </ns0:c>
      <ns0:c r="AV51" s="0">
        <ns0:f>IFERROR(IF(AND('_Engine'!$X51=1,ISNUMBER(Settings!$F64),Settings!$F64&gt;0,MID('_Engine'!$AP51,WEEKDAY(Settings!$F64,2),1)="W"),Settings!$F64,0),0)</ns0:f>
        <ns0:v>0</ns0:v>
      </ns0:c>
      <ns0:c r="AW51" s="0">
        <ns0:f>IFERROR(IF(AND('_Engine'!$X51=1,ISNUMBER(Settings!$F65),Settings!$F65&gt;0,MID('_Engine'!$AP51,WEEKDAY(Settings!$F65,2),1)="W"),Settings!$F65,0),0)</ns0:f>
        <ns0:v>0</ns0:v>
      </ns0:c>
      <ns0:c r="AX51" s="0">
        <ns0:f>IFERROR(IF(AND('_Engine'!$X51=1,ISNUMBER(Settings!$F66),Settings!$F66&gt;0,MID('_Engine'!$AP51,WEEKDAY(Settings!$F66,2),1)="W"),Settings!$F66,0),0)</ns0:f>
        <ns0:v>0</ns0:v>
      </ns0:c>
      <ns0:c r="AY51" s="0">
        <ns0:f>IFERROR(IF(AND('_Engine'!$X51=1,ISNUMBER(Settings!$F67),Settings!$F67&gt;0,MID('_Engine'!$AP51,WEEKDAY(Settings!$F67,2),1)="W"),Settings!$F67,0),0)</ns0:f>
        <ns0:v>0</ns0:v>
      </ns0:c>
    </ns0:row>
    <ns0:row r="52">
      <ns0:c r="B52" s="0">
        <ns0:f>IFERROR(IF(AND('_Engine'!$X52=1,ISNUMBER(Settings!$F18),Settings!$F18&gt;0,MID('_Engine'!$AP52,WEEKDAY(Settings!$F18,2),1)="W"),Settings!$F18,0),0)</ns0:f>
        <ns0:v>0</ns0:v>
      </ns0:c>
      <ns0:c r="C52" s="0">
        <ns0:f>IFERROR(IF(AND('_Engine'!$X52=1,ISNUMBER(Settings!$F19),Settings!$F19&gt;0,MID('_Engine'!$AP52,WEEKDAY(Settings!$F19,2),1)="W"),Settings!$F19,0),0)</ns0:f>
        <ns0:v>0</ns0:v>
      </ns0:c>
      <ns0:c r="D52" s="0">
        <ns0:f>IFERROR(IF(AND('_Engine'!$X52=1,ISNUMBER(Settings!$F20),Settings!$F20&gt;0,MID('_Engine'!$AP52,WEEKDAY(Settings!$F20,2),1)="W"),Settings!$F20,0),0)</ns0:f>
        <ns0:v>0</ns0:v>
      </ns0:c>
      <ns0:c r="E52" s="0">
        <ns0:f>IFERROR(IF(AND('_Engine'!$X52=1,ISNUMBER(Settings!$F21),Settings!$F21&gt;0,MID('_Engine'!$AP52,WEEKDAY(Settings!$F21,2),1)="W"),Settings!$F21,0),0)</ns0:f>
        <ns0:v>0</ns0:v>
      </ns0:c>
      <ns0:c r="F52" s="0">
        <ns0:f>IFERROR(IF(AND('_Engine'!$X52=1,ISNUMBER(Settings!$F22),Settings!$F22&gt;0,MID('_Engine'!$AP52,WEEKDAY(Settings!$F22,2),1)="W"),Settings!$F22,0),0)</ns0:f>
        <ns0:v>0</ns0:v>
      </ns0:c>
      <ns0:c r="G52" s="0">
        <ns0:f>IFERROR(IF(AND('_Engine'!$X52=1,ISNUMBER(Settings!$F23),Settings!$F23&gt;0,MID('_Engine'!$AP52,WEEKDAY(Settings!$F23,2),1)="W"),Settings!$F23,0),0)</ns0:f>
        <ns0:v>0</ns0:v>
      </ns0:c>
      <ns0:c r="H52" s="0">
        <ns0:f>IFERROR(IF(AND('_Engine'!$X52=1,ISNUMBER(Settings!$F24),Settings!$F24&gt;0,MID('_Engine'!$AP52,WEEKDAY(Settings!$F24,2),1)="W"),Settings!$F24,0),0)</ns0:f>
        <ns0:v>0</ns0:v>
      </ns0:c>
      <ns0:c r="I52" s="0">
        <ns0:f>IFERROR(IF(AND('_Engine'!$X52=1,ISNUMBER(Settings!$F25),Settings!$F25&gt;0,MID('_Engine'!$AP52,WEEKDAY(Settings!$F25,2),1)="W"),Settings!$F25,0),0)</ns0:f>
        <ns0:v>0</ns0:v>
      </ns0:c>
      <ns0:c r="J52" s="0">
        <ns0:f>IFERROR(IF(AND('_Engine'!$X52=1,ISNUMBER(Settings!$F26),Settings!$F26&gt;0,MID('_Engine'!$AP52,WEEKDAY(Settings!$F26,2),1)="W"),Settings!$F26,0),0)</ns0:f>
        <ns0:v>0</ns0:v>
      </ns0:c>
      <ns0:c r="K52" s="0">
        <ns0:f>IFERROR(IF(AND('_Engine'!$X52=1,ISNUMBER(Settings!$F27),Settings!$F27&gt;0,MID('_Engine'!$AP52,WEEKDAY(Settings!$F27,2),1)="W"),Settings!$F27,0),0)</ns0:f>
        <ns0:v>0</ns0:v>
      </ns0:c>
      <ns0:c r="L52" s="0">
        <ns0:f>IFERROR(IF(AND('_Engine'!$X52=1,ISNUMBER(Settings!$F28),Settings!$F28&gt;0,MID('_Engine'!$AP52,WEEKDAY(Settings!$F28,2),1)="W"),Settings!$F28,0),0)</ns0:f>
        <ns0:v>0</ns0:v>
      </ns0:c>
      <ns0:c r="M52" s="0">
        <ns0:f>IFERROR(IF(AND('_Engine'!$X52=1,ISNUMBER(Settings!$F29),Settings!$F29&gt;0,MID('_Engine'!$AP52,WEEKDAY(Settings!$F29,2),1)="W"),Settings!$F29,0),0)</ns0:f>
        <ns0:v>0</ns0:v>
      </ns0:c>
      <ns0:c r="N52" s="0">
        <ns0:f>IFERROR(IF(AND('_Engine'!$X52=1,ISNUMBER(Settings!$F30),Settings!$F30&gt;0,MID('_Engine'!$AP52,WEEKDAY(Settings!$F30,2),1)="W"),Settings!$F30,0),0)</ns0:f>
        <ns0:v>0</ns0:v>
      </ns0:c>
      <ns0:c r="O52" s="0">
        <ns0:f>IFERROR(IF(AND('_Engine'!$X52=1,ISNUMBER(Settings!$F31),Settings!$F31&gt;0,MID('_Engine'!$AP52,WEEKDAY(Settings!$F31,2),1)="W"),Settings!$F31,0),0)</ns0:f>
        <ns0:v>0</ns0:v>
      </ns0:c>
      <ns0:c r="P52" s="0">
        <ns0:f>IFERROR(IF(AND('_Engine'!$X52=1,ISNUMBER(Settings!$F32),Settings!$F32&gt;0,MID('_Engine'!$AP52,WEEKDAY(Settings!$F32,2),1)="W"),Settings!$F32,0),0)</ns0:f>
        <ns0:v>0</ns0:v>
      </ns0:c>
      <ns0:c r="Q52" s="0">
        <ns0:f>IFERROR(IF(AND('_Engine'!$X52=1,ISNUMBER(Settings!$F33),Settings!$F33&gt;0,MID('_Engine'!$AP52,WEEKDAY(Settings!$F33,2),1)="W"),Settings!$F33,0),0)</ns0:f>
        <ns0:v>0</ns0:v>
      </ns0:c>
      <ns0:c r="R52" s="0">
        <ns0:f>IFERROR(IF(AND('_Engine'!$X52=1,ISNUMBER(Settings!$F34),Settings!$F34&gt;0,MID('_Engine'!$AP52,WEEKDAY(Settings!$F34,2),1)="W"),Settings!$F34,0),0)</ns0:f>
        <ns0:v>0</ns0:v>
      </ns0:c>
      <ns0:c r="S52" s="0">
        <ns0:f>IFERROR(IF(AND('_Engine'!$X52=1,ISNUMBER(Settings!$F35),Settings!$F35&gt;0,MID('_Engine'!$AP52,WEEKDAY(Settings!$F35,2),1)="W"),Settings!$F35,0),0)</ns0:f>
        <ns0:v>0</ns0:v>
      </ns0:c>
      <ns0:c r="T52" s="0">
        <ns0:f>IFERROR(IF(AND('_Engine'!$X52=1,ISNUMBER(Settings!$F36),Settings!$F36&gt;0,MID('_Engine'!$AP52,WEEKDAY(Settings!$F36,2),1)="W"),Settings!$F36,0),0)</ns0:f>
        <ns0:v>0</ns0:v>
      </ns0:c>
      <ns0:c r="U52" s="0">
        <ns0:f>IFERROR(IF(AND('_Engine'!$X52=1,ISNUMBER(Settings!$F37),Settings!$F37&gt;0,MID('_Engine'!$AP52,WEEKDAY(Settings!$F37,2),1)="W"),Settings!$F37,0),0)</ns0:f>
        <ns0:v>0</ns0:v>
      </ns0:c>
      <ns0:c r="V52" s="0">
        <ns0:f>IFERROR(IF(AND('_Engine'!$X52=1,ISNUMBER(Settings!$F38),Settings!$F38&gt;0,MID('_Engine'!$AP52,WEEKDAY(Settings!$F38,2),1)="W"),Settings!$F38,0),0)</ns0:f>
        <ns0:v>0</ns0:v>
      </ns0:c>
      <ns0:c r="W52" s="0">
        <ns0:f>IFERROR(IF(AND('_Engine'!$X52=1,ISNUMBER(Settings!$F39),Settings!$F39&gt;0,MID('_Engine'!$AP52,WEEKDAY(Settings!$F39,2),1)="W"),Settings!$F39,0),0)</ns0:f>
        <ns0:v>0</ns0:v>
      </ns0:c>
      <ns0:c r="X52" s="0">
        <ns0:f>IFERROR(IF(AND('_Engine'!$X52=1,ISNUMBER(Settings!$F40),Settings!$F40&gt;0,MID('_Engine'!$AP52,WEEKDAY(Settings!$F40,2),1)="W"),Settings!$F40,0),0)</ns0:f>
        <ns0:v>0</ns0:v>
      </ns0:c>
      <ns0:c r="Y52" s="0">
        <ns0:f>IFERROR(IF(AND('_Engine'!$X52=1,ISNUMBER(Settings!$F41),Settings!$F41&gt;0,MID('_Engine'!$AP52,WEEKDAY(Settings!$F41,2),1)="W"),Settings!$F41,0),0)</ns0:f>
        <ns0:v>0</ns0:v>
      </ns0:c>
      <ns0:c r="Z52" s="0">
        <ns0:f>IFERROR(IF(AND('_Engine'!$X52=1,ISNUMBER(Settings!$F42),Settings!$F42&gt;0,MID('_Engine'!$AP52,WEEKDAY(Settings!$F42,2),1)="W"),Settings!$F42,0),0)</ns0:f>
        <ns0:v>0</ns0:v>
      </ns0:c>
      <ns0:c r="AA52" s="0">
        <ns0:f>IFERROR(IF(AND('_Engine'!$X52=1,ISNUMBER(Settings!$F43),Settings!$F43&gt;0,MID('_Engine'!$AP52,WEEKDAY(Settings!$F43,2),1)="W"),Settings!$F43,0),0)</ns0:f>
        <ns0:v>0</ns0:v>
      </ns0:c>
      <ns0:c r="AB52" s="0">
        <ns0:f>IFERROR(IF(AND('_Engine'!$X52=1,ISNUMBER(Settings!$F44),Settings!$F44&gt;0,MID('_Engine'!$AP52,WEEKDAY(Settings!$F44,2),1)="W"),Settings!$F44,0),0)</ns0:f>
        <ns0:v>0</ns0:v>
      </ns0:c>
      <ns0:c r="AC52" s="0">
        <ns0:f>IFERROR(IF(AND('_Engine'!$X52=1,ISNUMBER(Settings!$F45),Settings!$F45&gt;0,MID('_Engine'!$AP52,WEEKDAY(Settings!$F45,2),1)="W"),Settings!$F45,0),0)</ns0:f>
        <ns0:v>0</ns0:v>
      </ns0:c>
      <ns0:c r="AD52" s="0">
        <ns0:f>IFERROR(IF(AND('_Engine'!$X52=1,ISNUMBER(Settings!$F46),Settings!$F46&gt;0,MID('_Engine'!$AP52,WEEKDAY(Settings!$F46,2),1)="W"),Settings!$F46,0),0)</ns0:f>
        <ns0:v>0</ns0:v>
      </ns0:c>
      <ns0:c r="AE52" s="0">
        <ns0:f>IFERROR(IF(AND('_Engine'!$X52=1,ISNUMBER(Settings!$F47),Settings!$F47&gt;0,MID('_Engine'!$AP52,WEEKDAY(Settings!$F47,2),1)="W"),Settings!$F47,0),0)</ns0:f>
        <ns0:v>0</ns0:v>
      </ns0:c>
      <ns0:c r="AF52" s="0">
        <ns0:f>IFERROR(IF(AND('_Engine'!$X52=1,ISNUMBER(Settings!$F48),Settings!$F48&gt;0,MID('_Engine'!$AP52,WEEKDAY(Settings!$F48,2),1)="W"),Settings!$F48,0),0)</ns0:f>
        <ns0:v>0</ns0:v>
      </ns0:c>
      <ns0:c r="AG52" s="0">
        <ns0:f>IFERROR(IF(AND('_Engine'!$X52=1,ISNUMBER(Settings!$F49),Settings!$F49&gt;0,MID('_Engine'!$AP52,WEEKDAY(Settings!$F49,2),1)="W"),Settings!$F49,0),0)</ns0:f>
        <ns0:v>0</ns0:v>
      </ns0:c>
      <ns0:c r="AH52" s="0">
        <ns0:f>IFERROR(IF(AND('_Engine'!$X52=1,ISNUMBER(Settings!$F50),Settings!$F50&gt;0,MID('_Engine'!$AP52,WEEKDAY(Settings!$F50,2),1)="W"),Settings!$F50,0),0)</ns0:f>
        <ns0:v>0</ns0:v>
      </ns0:c>
      <ns0:c r="AI52" s="0">
        <ns0:f>IFERROR(IF(AND('_Engine'!$X52=1,ISNUMBER(Settings!$F51),Settings!$F51&gt;0,MID('_Engine'!$AP52,WEEKDAY(Settings!$F51,2),1)="W"),Settings!$F51,0),0)</ns0:f>
        <ns0:v>0</ns0:v>
      </ns0:c>
      <ns0:c r="AJ52" s="0">
        <ns0:f>IFERROR(IF(AND('_Engine'!$X52=1,ISNUMBER(Settings!$F52),Settings!$F52&gt;0,MID('_Engine'!$AP52,WEEKDAY(Settings!$F52,2),1)="W"),Settings!$F52,0),0)</ns0:f>
        <ns0:v>0</ns0:v>
      </ns0:c>
      <ns0:c r="AK52" s="0">
        <ns0:f>IFERROR(IF(AND('_Engine'!$X52=1,ISNUMBER(Settings!$F53),Settings!$F53&gt;0,MID('_Engine'!$AP52,WEEKDAY(Settings!$F53,2),1)="W"),Settings!$F53,0),0)</ns0:f>
        <ns0:v>0</ns0:v>
      </ns0:c>
      <ns0:c r="AL52" s="0">
        <ns0:f>IFERROR(IF(AND('_Engine'!$X52=1,ISNUMBER(Settings!$F54),Settings!$F54&gt;0,MID('_Engine'!$AP52,WEEKDAY(Settings!$F54,2),1)="W"),Settings!$F54,0),0)</ns0:f>
        <ns0:v>0</ns0:v>
      </ns0:c>
      <ns0:c r="AM52" s="0">
        <ns0:f>IFERROR(IF(AND('_Engine'!$X52=1,ISNUMBER(Settings!$F55),Settings!$F55&gt;0,MID('_Engine'!$AP52,WEEKDAY(Settings!$F55,2),1)="W"),Settings!$F55,0),0)</ns0:f>
        <ns0:v>0</ns0:v>
      </ns0:c>
      <ns0:c r="AN52" s="0">
        <ns0:f>IFERROR(IF(AND('_Engine'!$X52=1,ISNUMBER(Settings!$F56),Settings!$F56&gt;0,MID('_Engine'!$AP52,WEEKDAY(Settings!$F56,2),1)="W"),Settings!$F56,0),0)</ns0:f>
        <ns0:v>0</ns0:v>
      </ns0:c>
      <ns0:c r="AO52" s="0">
        <ns0:f>IFERROR(IF(AND('_Engine'!$X52=1,ISNUMBER(Settings!$F57),Settings!$F57&gt;0,MID('_Engine'!$AP52,WEEKDAY(Settings!$F57,2),1)="W"),Settings!$F57,0),0)</ns0:f>
        <ns0:v>0</ns0:v>
      </ns0:c>
      <ns0:c r="AP52" s="0">
        <ns0:f>IFERROR(IF(AND('_Engine'!$X52=1,ISNUMBER(Settings!$F58),Settings!$F58&gt;0,MID('_Engine'!$AP52,WEEKDAY(Settings!$F58,2),1)="W"),Settings!$F58,0),0)</ns0:f>
        <ns0:v>0</ns0:v>
      </ns0:c>
      <ns0:c r="AQ52" s="0">
        <ns0:f>IFERROR(IF(AND('_Engine'!$X52=1,ISNUMBER(Settings!$F59),Settings!$F59&gt;0,MID('_Engine'!$AP52,WEEKDAY(Settings!$F59,2),1)="W"),Settings!$F59,0),0)</ns0:f>
        <ns0:v>0</ns0:v>
      </ns0:c>
      <ns0:c r="AR52" s="0">
        <ns0:f>IFERROR(IF(AND('_Engine'!$X52=1,ISNUMBER(Settings!$F60),Settings!$F60&gt;0,MID('_Engine'!$AP52,WEEKDAY(Settings!$F60,2),1)="W"),Settings!$F60,0),0)</ns0:f>
        <ns0:v>0</ns0:v>
      </ns0:c>
      <ns0:c r="AS52" s="0">
        <ns0:f>IFERROR(IF(AND('_Engine'!$X52=1,ISNUMBER(Settings!$F61),Settings!$F61&gt;0,MID('_Engine'!$AP52,WEEKDAY(Settings!$F61,2),1)="W"),Settings!$F61,0),0)</ns0:f>
        <ns0:v>0</ns0:v>
      </ns0:c>
      <ns0:c r="AT52" s="0">
        <ns0:f>IFERROR(IF(AND('_Engine'!$X52=1,ISNUMBER(Settings!$F62),Settings!$F62&gt;0,MID('_Engine'!$AP52,WEEKDAY(Settings!$F62,2),1)="W"),Settings!$F62,0),0)</ns0:f>
        <ns0:v>0</ns0:v>
      </ns0:c>
      <ns0:c r="AU52" s="0">
        <ns0:f>IFERROR(IF(AND('_Engine'!$X52=1,ISNUMBER(Settings!$F63),Settings!$F63&gt;0,MID('_Engine'!$AP52,WEEKDAY(Settings!$F63,2),1)="W"),Settings!$F63,0),0)</ns0:f>
        <ns0:v>0</ns0:v>
      </ns0:c>
      <ns0:c r="AV52" s="0">
        <ns0:f>IFERROR(IF(AND('_Engine'!$X52=1,ISNUMBER(Settings!$F64),Settings!$F64&gt;0,MID('_Engine'!$AP52,WEEKDAY(Settings!$F64,2),1)="W"),Settings!$F64,0),0)</ns0:f>
        <ns0:v>0</ns0:v>
      </ns0:c>
      <ns0:c r="AW52" s="0">
        <ns0:f>IFERROR(IF(AND('_Engine'!$X52=1,ISNUMBER(Settings!$F65),Settings!$F65&gt;0,MID('_Engine'!$AP52,WEEKDAY(Settings!$F65,2),1)="W"),Settings!$F65,0),0)</ns0:f>
        <ns0:v>0</ns0:v>
      </ns0:c>
      <ns0:c r="AX52" s="0">
        <ns0:f>IFERROR(IF(AND('_Engine'!$X52=1,ISNUMBER(Settings!$F66),Settings!$F66&gt;0,MID('_Engine'!$AP52,WEEKDAY(Settings!$F66,2),1)="W"),Settings!$F66,0),0)</ns0:f>
        <ns0:v>0</ns0:v>
      </ns0:c>
      <ns0:c r="AY52" s="0">
        <ns0:f>IFERROR(IF(AND('_Engine'!$X52=1,ISNUMBER(Settings!$F67),Settings!$F67&gt;0,MID('_Engine'!$AP52,WEEKDAY(Settings!$F67,2),1)="W"),Settings!$F67,0),0)</ns0:f>
        <ns0:v>0</ns0:v>
      </ns0:c>
    </ns0:row>
    <ns0:row r="53">
      <ns0:c r="B53" s="0">
        <ns0:f>IFERROR(IF(AND('_Engine'!$X53=1,ISNUMBER(Settings!$F18),Settings!$F18&gt;0,MID('_Engine'!$AP53,WEEKDAY(Settings!$F18,2),1)="W"),Settings!$F18,0),0)</ns0:f>
        <ns0:v>0</ns0:v>
      </ns0:c>
      <ns0:c r="C53" s="0">
        <ns0:f>IFERROR(IF(AND('_Engine'!$X53=1,ISNUMBER(Settings!$F19),Settings!$F19&gt;0,MID('_Engine'!$AP53,WEEKDAY(Settings!$F19,2),1)="W"),Settings!$F19,0),0)</ns0:f>
        <ns0:v>0</ns0:v>
      </ns0:c>
      <ns0:c r="D53" s="0">
        <ns0:f>IFERROR(IF(AND('_Engine'!$X53=1,ISNUMBER(Settings!$F20),Settings!$F20&gt;0,MID('_Engine'!$AP53,WEEKDAY(Settings!$F20,2),1)="W"),Settings!$F20,0),0)</ns0:f>
        <ns0:v>0</ns0:v>
      </ns0:c>
      <ns0:c r="E53" s="0">
        <ns0:f>IFERROR(IF(AND('_Engine'!$X53=1,ISNUMBER(Settings!$F21),Settings!$F21&gt;0,MID('_Engine'!$AP53,WEEKDAY(Settings!$F21,2),1)="W"),Settings!$F21,0),0)</ns0:f>
        <ns0:v>0</ns0:v>
      </ns0:c>
      <ns0:c r="F53" s="0">
        <ns0:f>IFERROR(IF(AND('_Engine'!$X53=1,ISNUMBER(Settings!$F22),Settings!$F22&gt;0,MID('_Engine'!$AP53,WEEKDAY(Settings!$F22,2),1)="W"),Settings!$F22,0),0)</ns0:f>
        <ns0:v>0</ns0:v>
      </ns0:c>
      <ns0:c r="G53" s="0">
        <ns0:f>IFERROR(IF(AND('_Engine'!$X53=1,ISNUMBER(Settings!$F23),Settings!$F23&gt;0,MID('_Engine'!$AP53,WEEKDAY(Settings!$F23,2),1)="W"),Settings!$F23,0),0)</ns0:f>
        <ns0:v>0</ns0:v>
      </ns0:c>
      <ns0:c r="H53" s="0">
        <ns0:f>IFERROR(IF(AND('_Engine'!$X53=1,ISNUMBER(Settings!$F24),Settings!$F24&gt;0,MID('_Engine'!$AP53,WEEKDAY(Settings!$F24,2),1)="W"),Settings!$F24,0),0)</ns0:f>
        <ns0:v>0</ns0:v>
      </ns0:c>
      <ns0:c r="I53" s="0">
        <ns0:f>IFERROR(IF(AND('_Engine'!$X53=1,ISNUMBER(Settings!$F25),Settings!$F25&gt;0,MID('_Engine'!$AP53,WEEKDAY(Settings!$F25,2),1)="W"),Settings!$F25,0),0)</ns0:f>
        <ns0:v>0</ns0:v>
      </ns0:c>
      <ns0:c r="J53" s="0">
        <ns0:f>IFERROR(IF(AND('_Engine'!$X53=1,ISNUMBER(Settings!$F26),Settings!$F26&gt;0,MID('_Engine'!$AP53,WEEKDAY(Settings!$F26,2),1)="W"),Settings!$F26,0),0)</ns0:f>
        <ns0:v>0</ns0:v>
      </ns0:c>
      <ns0:c r="K53" s="0">
        <ns0:f>IFERROR(IF(AND('_Engine'!$X53=1,ISNUMBER(Settings!$F27),Settings!$F27&gt;0,MID('_Engine'!$AP53,WEEKDAY(Settings!$F27,2),1)="W"),Settings!$F27,0),0)</ns0:f>
        <ns0:v>0</ns0:v>
      </ns0:c>
      <ns0:c r="L53" s="0">
        <ns0:f>IFERROR(IF(AND('_Engine'!$X53=1,ISNUMBER(Settings!$F28),Settings!$F28&gt;0,MID('_Engine'!$AP53,WEEKDAY(Settings!$F28,2),1)="W"),Settings!$F28,0),0)</ns0:f>
        <ns0:v>0</ns0:v>
      </ns0:c>
      <ns0:c r="M53" s="0">
        <ns0:f>IFERROR(IF(AND('_Engine'!$X53=1,ISNUMBER(Settings!$F29),Settings!$F29&gt;0,MID('_Engine'!$AP53,WEEKDAY(Settings!$F29,2),1)="W"),Settings!$F29,0),0)</ns0:f>
        <ns0:v>0</ns0:v>
      </ns0:c>
      <ns0:c r="N53" s="0">
        <ns0:f>IFERROR(IF(AND('_Engine'!$X53=1,ISNUMBER(Settings!$F30),Settings!$F30&gt;0,MID('_Engine'!$AP53,WEEKDAY(Settings!$F30,2),1)="W"),Settings!$F30,0),0)</ns0:f>
        <ns0:v>0</ns0:v>
      </ns0:c>
      <ns0:c r="O53" s="0">
        <ns0:f>IFERROR(IF(AND('_Engine'!$X53=1,ISNUMBER(Settings!$F31),Settings!$F31&gt;0,MID('_Engine'!$AP53,WEEKDAY(Settings!$F31,2),1)="W"),Settings!$F31,0),0)</ns0:f>
        <ns0:v>0</ns0:v>
      </ns0:c>
      <ns0:c r="P53" s="0">
        <ns0:f>IFERROR(IF(AND('_Engine'!$X53=1,ISNUMBER(Settings!$F32),Settings!$F32&gt;0,MID('_Engine'!$AP53,WEEKDAY(Settings!$F32,2),1)="W"),Settings!$F32,0),0)</ns0:f>
        <ns0:v>0</ns0:v>
      </ns0:c>
      <ns0:c r="Q53" s="0">
        <ns0:f>IFERROR(IF(AND('_Engine'!$X53=1,ISNUMBER(Settings!$F33),Settings!$F33&gt;0,MID('_Engine'!$AP53,WEEKDAY(Settings!$F33,2),1)="W"),Settings!$F33,0),0)</ns0:f>
        <ns0:v>0</ns0:v>
      </ns0:c>
      <ns0:c r="R53" s="0">
        <ns0:f>IFERROR(IF(AND('_Engine'!$X53=1,ISNUMBER(Settings!$F34),Settings!$F34&gt;0,MID('_Engine'!$AP53,WEEKDAY(Settings!$F34,2),1)="W"),Settings!$F34,0),0)</ns0:f>
        <ns0:v>0</ns0:v>
      </ns0:c>
      <ns0:c r="S53" s="0">
        <ns0:f>IFERROR(IF(AND('_Engine'!$X53=1,ISNUMBER(Settings!$F35),Settings!$F35&gt;0,MID('_Engine'!$AP53,WEEKDAY(Settings!$F35,2),1)="W"),Settings!$F35,0),0)</ns0:f>
        <ns0:v>0</ns0:v>
      </ns0:c>
      <ns0:c r="T53" s="0">
        <ns0:f>IFERROR(IF(AND('_Engine'!$X53=1,ISNUMBER(Settings!$F36),Settings!$F36&gt;0,MID('_Engine'!$AP53,WEEKDAY(Settings!$F36,2),1)="W"),Settings!$F36,0),0)</ns0:f>
        <ns0:v>0</ns0:v>
      </ns0:c>
      <ns0:c r="U53" s="0">
        <ns0:f>IFERROR(IF(AND('_Engine'!$X53=1,ISNUMBER(Settings!$F37),Settings!$F37&gt;0,MID('_Engine'!$AP53,WEEKDAY(Settings!$F37,2),1)="W"),Settings!$F37,0),0)</ns0:f>
        <ns0:v>0</ns0:v>
      </ns0:c>
      <ns0:c r="V53" s="0">
        <ns0:f>IFERROR(IF(AND('_Engine'!$X53=1,ISNUMBER(Settings!$F38),Settings!$F38&gt;0,MID('_Engine'!$AP53,WEEKDAY(Settings!$F38,2),1)="W"),Settings!$F38,0),0)</ns0:f>
        <ns0:v>0</ns0:v>
      </ns0:c>
      <ns0:c r="W53" s="0">
        <ns0:f>IFERROR(IF(AND('_Engine'!$X53=1,ISNUMBER(Settings!$F39),Settings!$F39&gt;0,MID('_Engine'!$AP53,WEEKDAY(Settings!$F39,2),1)="W"),Settings!$F39,0),0)</ns0:f>
        <ns0:v>0</ns0:v>
      </ns0:c>
      <ns0:c r="X53" s="0">
        <ns0:f>IFERROR(IF(AND('_Engine'!$X53=1,ISNUMBER(Settings!$F40),Settings!$F40&gt;0,MID('_Engine'!$AP53,WEEKDAY(Settings!$F40,2),1)="W"),Settings!$F40,0),0)</ns0:f>
        <ns0:v>0</ns0:v>
      </ns0:c>
      <ns0:c r="Y53" s="0">
        <ns0:f>IFERROR(IF(AND('_Engine'!$X53=1,ISNUMBER(Settings!$F41),Settings!$F41&gt;0,MID('_Engine'!$AP53,WEEKDAY(Settings!$F41,2),1)="W"),Settings!$F41,0),0)</ns0:f>
        <ns0:v>0</ns0:v>
      </ns0:c>
      <ns0:c r="Z53" s="0">
        <ns0:f>IFERROR(IF(AND('_Engine'!$X53=1,ISNUMBER(Settings!$F42),Settings!$F42&gt;0,MID('_Engine'!$AP53,WEEKDAY(Settings!$F42,2),1)="W"),Settings!$F42,0),0)</ns0:f>
        <ns0:v>0</ns0:v>
      </ns0:c>
      <ns0:c r="AA53" s="0">
        <ns0:f>IFERROR(IF(AND('_Engine'!$X53=1,ISNUMBER(Settings!$F43),Settings!$F43&gt;0,MID('_Engine'!$AP53,WEEKDAY(Settings!$F43,2),1)="W"),Settings!$F43,0),0)</ns0:f>
        <ns0:v>0</ns0:v>
      </ns0:c>
      <ns0:c r="AB53" s="0">
        <ns0:f>IFERROR(IF(AND('_Engine'!$X53=1,ISNUMBER(Settings!$F44),Settings!$F44&gt;0,MID('_Engine'!$AP53,WEEKDAY(Settings!$F44,2),1)="W"),Settings!$F44,0),0)</ns0:f>
        <ns0:v>0</ns0:v>
      </ns0:c>
      <ns0:c r="AC53" s="0">
        <ns0:f>IFERROR(IF(AND('_Engine'!$X53=1,ISNUMBER(Settings!$F45),Settings!$F45&gt;0,MID('_Engine'!$AP53,WEEKDAY(Settings!$F45,2),1)="W"),Settings!$F45,0),0)</ns0:f>
        <ns0:v>0</ns0:v>
      </ns0:c>
      <ns0:c r="AD53" s="0">
        <ns0:f>IFERROR(IF(AND('_Engine'!$X53=1,ISNUMBER(Settings!$F46),Settings!$F46&gt;0,MID('_Engine'!$AP53,WEEKDAY(Settings!$F46,2),1)="W"),Settings!$F46,0),0)</ns0:f>
        <ns0:v>0</ns0:v>
      </ns0:c>
      <ns0:c r="AE53" s="0">
        <ns0:f>IFERROR(IF(AND('_Engine'!$X53=1,ISNUMBER(Settings!$F47),Settings!$F47&gt;0,MID('_Engine'!$AP53,WEEKDAY(Settings!$F47,2),1)="W"),Settings!$F47,0),0)</ns0:f>
        <ns0:v>0</ns0:v>
      </ns0:c>
      <ns0:c r="AF53" s="0">
        <ns0:f>IFERROR(IF(AND('_Engine'!$X53=1,ISNUMBER(Settings!$F48),Settings!$F48&gt;0,MID('_Engine'!$AP53,WEEKDAY(Settings!$F48,2),1)="W"),Settings!$F48,0),0)</ns0:f>
        <ns0:v>0</ns0:v>
      </ns0:c>
      <ns0:c r="AG53" s="0">
        <ns0:f>IFERROR(IF(AND('_Engine'!$X53=1,ISNUMBER(Settings!$F49),Settings!$F49&gt;0,MID('_Engine'!$AP53,WEEKDAY(Settings!$F49,2),1)="W"),Settings!$F49,0),0)</ns0:f>
        <ns0:v>0</ns0:v>
      </ns0:c>
      <ns0:c r="AH53" s="0">
        <ns0:f>IFERROR(IF(AND('_Engine'!$X53=1,ISNUMBER(Settings!$F50),Settings!$F50&gt;0,MID('_Engine'!$AP53,WEEKDAY(Settings!$F50,2),1)="W"),Settings!$F50,0),0)</ns0:f>
        <ns0:v>0</ns0:v>
      </ns0:c>
      <ns0:c r="AI53" s="0">
        <ns0:f>IFERROR(IF(AND('_Engine'!$X53=1,ISNUMBER(Settings!$F51),Settings!$F51&gt;0,MID('_Engine'!$AP53,WEEKDAY(Settings!$F51,2),1)="W"),Settings!$F51,0),0)</ns0:f>
        <ns0:v>0</ns0:v>
      </ns0:c>
      <ns0:c r="AJ53" s="0">
        <ns0:f>IFERROR(IF(AND('_Engine'!$X53=1,ISNUMBER(Settings!$F52),Settings!$F52&gt;0,MID('_Engine'!$AP53,WEEKDAY(Settings!$F52,2),1)="W"),Settings!$F52,0),0)</ns0:f>
        <ns0:v>0</ns0:v>
      </ns0:c>
      <ns0:c r="AK53" s="0">
        <ns0:f>IFERROR(IF(AND('_Engine'!$X53=1,ISNUMBER(Settings!$F53),Settings!$F53&gt;0,MID('_Engine'!$AP53,WEEKDAY(Settings!$F53,2),1)="W"),Settings!$F53,0),0)</ns0:f>
        <ns0:v>0</ns0:v>
      </ns0:c>
      <ns0:c r="AL53" s="0">
        <ns0:f>IFERROR(IF(AND('_Engine'!$X53=1,ISNUMBER(Settings!$F54),Settings!$F54&gt;0,MID('_Engine'!$AP53,WEEKDAY(Settings!$F54,2),1)="W"),Settings!$F54,0),0)</ns0:f>
        <ns0:v>0</ns0:v>
      </ns0:c>
      <ns0:c r="AM53" s="0">
        <ns0:f>IFERROR(IF(AND('_Engine'!$X53=1,ISNUMBER(Settings!$F55),Settings!$F55&gt;0,MID('_Engine'!$AP53,WEEKDAY(Settings!$F55,2),1)="W"),Settings!$F55,0),0)</ns0:f>
        <ns0:v>0</ns0:v>
      </ns0:c>
      <ns0:c r="AN53" s="0">
        <ns0:f>IFERROR(IF(AND('_Engine'!$X53=1,ISNUMBER(Settings!$F56),Settings!$F56&gt;0,MID('_Engine'!$AP53,WEEKDAY(Settings!$F56,2),1)="W"),Settings!$F56,0),0)</ns0:f>
        <ns0:v>0</ns0:v>
      </ns0:c>
      <ns0:c r="AO53" s="0">
        <ns0:f>IFERROR(IF(AND('_Engine'!$X53=1,ISNUMBER(Settings!$F57),Settings!$F57&gt;0,MID('_Engine'!$AP53,WEEKDAY(Settings!$F57,2),1)="W"),Settings!$F57,0),0)</ns0:f>
        <ns0:v>0</ns0:v>
      </ns0:c>
      <ns0:c r="AP53" s="0">
        <ns0:f>IFERROR(IF(AND('_Engine'!$X53=1,ISNUMBER(Settings!$F58),Settings!$F58&gt;0,MID('_Engine'!$AP53,WEEKDAY(Settings!$F58,2),1)="W"),Settings!$F58,0),0)</ns0:f>
        <ns0:v>0</ns0:v>
      </ns0:c>
      <ns0:c r="AQ53" s="0">
        <ns0:f>IFERROR(IF(AND('_Engine'!$X53=1,ISNUMBER(Settings!$F59),Settings!$F59&gt;0,MID('_Engine'!$AP53,WEEKDAY(Settings!$F59,2),1)="W"),Settings!$F59,0),0)</ns0:f>
        <ns0:v>0</ns0:v>
      </ns0:c>
      <ns0:c r="AR53" s="0">
        <ns0:f>IFERROR(IF(AND('_Engine'!$X53=1,ISNUMBER(Settings!$F60),Settings!$F60&gt;0,MID('_Engine'!$AP53,WEEKDAY(Settings!$F60,2),1)="W"),Settings!$F60,0),0)</ns0:f>
        <ns0:v>0</ns0:v>
      </ns0:c>
      <ns0:c r="AS53" s="0">
        <ns0:f>IFERROR(IF(AND('_Engine'!$X53=1,ISNUMBER(Settings!$F61),Settings!$F61&gt;0,MID('_Engine'!$AP53,WEEKDAY(Settings!$F61,2),1)="W"),Settings!$F61,0),0)</ns0:f>
        <ns0:v>0</ns0:v>
      </ns0:c>
      <ns0:c r="AT53" s="0">
        <ns0:f>IFERROR(IF(AND('_Engine'!$X53=1,ISNUMBER(Settings!$F62),Settings!$F62&gt;0,MID('_Engine'!$AP53,WEEKDAY(Settings!$F62,2),1)="W"),Settings!$F62,0),0)</ns0:f>
        <ns0:v>0</ns0:v>
      </ns0:c>
      <ns0:c r="AU53" s="0">
        <ns0:f>IFERROR(IF(AND('_Engine'!$X53=1,ISNUMBER(Settings!$F63),Settings!$F63&gt;0,MID('_Engine'!$AP53,WEEKDAY(Settings!$F63,2),1)="W"),Settings!$F63,0),0)</ns0:f>
        <ns0:v>0</ns0:v>
      </ns0:c>
      <ns0:c r="AV53" s="0">
        <ns0:f>IFERROR(IF(AND('_Engine'!$X53=1,ISNUMBER(Settings!$F64),Settings!$F64&gt;0,MID('_Engine'!$AP53,WEEKDAY(Settings!$F64,2),1)="W"),Settings!$F64,0),0)</ns0:f>
        <ns0:v>0</ns0:v>
      </ns0:c>
      <ns0:c r="AW53" s="0">
        <ns0:f>IFERROR(IF(AND('_Engine'!$X53=1,ISNUMBER(Settings!$F65),Settings!$F65&gt;0,MID('_Engine'!$AP53,WEEKDAY(Settings!$F65,2),1)="W"),Settings!$F65,0),0)</ns0:f>
        <ns0:v>0</ns0:v>
      </ns0:c>
      <ns0:c r="AX53" s="0">
        <ns0:f>IFERROR(IF(AND('_Engine'!$X53=1,ISNUMBER(Settings!$F66),Settings!$F66&gt;0,MID('_Engine'!$AP53,WEEKDAY(Settings!$F66,2),1)="W"),Settings!$F66,0),0)</ns0:f>
        <ns0:v>0</ns0:v>
      </ns0:c>
      <ns0:c r="AY53" s="0">
        <ns0:f>IFERROR(IF(AND('_Engine'!$X53=1,ISNUMBER(Settings!$F67),Settings!$F67&gt;0,MID('_Engine'!$AP53,WEEKDAY(Settings!$F67,2),1)="W"),Settings!$F67,0),0)</ns0:f>
        <ns0:v>0</ns0:v>
      </ns0:c>
    </ns0:row>
    <ns0:row r="54">
      <ns0:c r="B54" s="0">
        <ns0:f>IFERROR(IF(AND('_Engine'!$X54=1,ISNUMBER(Settings!$F18),Settings!$F18&gt;0,MID('_Engine'!$AP54,WEEKDAY(Settings!$F18,2),1)="W"),Settings!$F18,0),0)</ns0:f>
        <ns0:v>0</ns0:v>
      </ns0:c>
      <ns0:c r="C54" s="0">
        <ns0:f>IFERROR(IF(AND('_Engine'!$X54=1,ISNUMBER(Settings!$F19),Settings!$F19&gt;0,MID('_Engine'!$AP54,WEEKDAY(Settings!$F19,2),1)="W"),Settings!$F19,0),0)</ns0:f>
        <ns0:v>0</ns0:v>
      </ns0:c>
      <ns0:c r="D54" s="0">
        <ns0:f>IFERROR(IF(AND('_Engine'!$X54=1,ISNUMBER(Settings!$F20),Settings!$F20&gt;0,MID('_Engine'!$AP54,WEEKDAY(Settings!$F20,2),1)="W"),Settings!$F20,0),0)</ns0:f>
        <ns0:v>0</ns0:v>
      </ns0:c>
      <ns0:c r="E54" s="0">
        <ns0:f>IFERROR(IF(AND('_Engine'!$X54=1,ISNUMBER(Settings!$F21),Settings!$F21&gt;0,MID('_Engine'!$AP54,WEEKDAY(Settings!$F21,2),1)="W"),Settings!$F21,0),0)</ns0:f>
        <ns0:v>0</ns0:v>
      </ns0:c>
      <ns0:c r="F54" s="0">
        <ns0:f>IFERROR(IF(AND('_Engine'!$X54=1,ISNUMBER(Settings!$F22),Settings!$F22&gt;0,MID('_Engine'!$AP54,WEEKDAY(Settings!$F22,2),1)="W"),Settings!$F22,0),0)</ns0:f>
        <ns0:v>0</ns0:v>
      </ns0:c>
      <ns0:c r="G54" s="0">
        <ns0:f>IFERROR(IF(AND('_Engine'!$X54=1,ISNUMBER(Settings!$F23),Settings!$F23&gt;0,MID('_Engine'!$AP54,WEEKDAY(Settings!$F23,2),1)="W"),Settings!$F23,0),0)</ns0:f>
        <ns0:v>0</ns0:v>
      </ns0:c>
      <ns0:c r="H54" s="0">
        <ns0:f>IFERROR(IF(AND('_Engine'!$X54=1,ISNUMBER(Settings!$F24),Settings!$F24&gt;0,MID('_Engine'!$AP54,WEEKDAY(Settings!$F24,2),1)="W"),Settings!$F24,0),0)</ns0:f>
        <ns0:v>0</ns0:v>
      </ns0:c>
      <ns0:c r="I54" s="0">
        <ns0:f>IFERROR(IF(AND('_Engine'!$X54=1,ISNUMBER(Settings!$F25),Settings!$F25&gt;0,MID('_Engine'!$AP54,WEEKDAY(Settings!$F25,2),1)="W"),Settings!$F25,0),0)</ns0:f>
        <ns0:v>0</ns0:v>
      </ns0:c>
      <ns0:c r="J54" s="0">
        <ns0:f>IFERROR(IF(AND('_Engine'!$X54=1,ISNUMBER(Settings!$F26),Settings!$F26&gt;0,MID('_Engine'!$AP54,WEEKDAY(Settings!$F26,2),1)="W"),Settings!$F26,0),0)</ns0:f>
        <ns0:v>0</ns0:v>
      </ns0:c>
      <ns0:c r="K54" s="0">
        <ns0:f>IFERROR(IF(AND('_Engine'!$X54=1,ISNUMBER(Settings!$F27),Settings!$F27&gt;0,MID('_Engine'!$AP54,WEEKDAY(Settings!$F27,2),1)="W"),Settings!$F27,0),0)</ns0:f>
        <ns0:v>0</ns0:v>
      </ns0:c>
      <ns0:c r="L54" s="0">
        <ns0:f>IFERROR(IF(AND('_Engine'!$X54=1,ISNUMBER(Settings!$F28),Settings!$F28&gt;0,MID('_Engine'!$AP54,WEEKDAY(Settings!$F28,2),1)="W"),Settings!$F28,0),0)</ns0:f>
        <ns0:v>0</ns0:v>
      </ns0:c>
      <ns0:c r="M54" s="0">
        <ns0:f>IFERROR(IF(AND('_Engine'!$X54=1,ISNUMBER(Settings!$F29),Settings!$F29&gt;0,MID('_Engine'!$AP54,WEEKDAY(Settings!$F29,2),1)="W"),Settings!$F29,0),0)</ns0:f>
        <ns0:v>0</ns0:v>
      </ns0:c>
      <ns0:c r="N54" s="0">
        <ns0:f>IFERROR(IF(AND('_Engine'!$X54=1,ISNUMBER(Settings!$F30),Settings!$F30&gt;0,MID('_Engine'!$AP54,WEEKDAY(Settings!$F30,2),1)="W"),Settings!$F30,0),0)</ns0:f>
        <ns0:v>0</ns0:v>
      </ns0:c>
      <ns0:c r="O54" s="0">
        <ns0:f>IFERROR(IF(AND('_Engine'!$X54=1,ISNUMBER(Settings!$F31),Settings!$F31&gt;0,MID('_Engine'!$AP54,WEEKDAY(Settings!$F31,2),1)="W"),Settings!$F31,0),0)</ns0:f>
        <ns0:v>0</ns0:v>
      </ns0:c>
      <ns0:c r="P54" s="0">
        <ns0:f>IFERROR(IF(AND('_Engine'!$X54=1,ISNUMBER(Settings!$F32),Settings!$F32&gt;0,MID('_Engine'!$AP54,WEEKDAY(Settings!$F32,2),1)="W"),Settings!$F32,0),0)</ns0:f>
        <ns0:v>0</ns0:v>
      </ns0:c>
      <ns0:c r="Q54" s="0">
        <ns0:f>IFERROR(IF(AND('_Engine'!$X54=1,ISNUMBER(Settings!$F33),Settings!$F33&gt;0,MID('_Engine'!$AP54,WEEKDAY(Settings!$F33,2),1)="W"),Settings!$F33,0),0)</ns0:f>
        <ns0:v>0</ns0:v>
      </ns0:c>
      <ns0:c r="R54" s="0">
        <ns0:f>IFERROR(IF(AND('_Engine'!$X54=1,ISNUMBER(Settings!$F34),Settings!$F34&gt;0,MID('_Engine'!$AP54,WEEKDAY(Settings!$F34,2),1)="W"),Settings!$F34,0),0)</ns0:f>
        <ns0:v>0</ns0:v>
      </ns0:c>
      <ns0:c r="S54" s="0">
        <ns0:f>IFERROR(IF(AND('_Engine'!$X54=1,ISNUMBER(Settings!$F35),Settings!$F35&gt;0,MID('_Engine'!$AP54,WEEKDAY(Settings!$F35,2),1)="W"),Settings!$F35,0),0)</ns0:f>
        <ns0:v>0</ns0:v>
      </ns0:c>
      <ns0:c r="T54" s="0">
        <ns0:f>IFERROR(IF(AND('_Engine'!$X54=1,ISNUMBER(Settings!$F36),Settings!$F36&gt;0,MID('_Engine'!$AP54,WEEKDAY(Settings!$F36,2),1)="W"),Settings!$F36,0),0)</ns0:f>
        <ns0:v>0</ns0:v>
      </ns0:c>
      <ns0:c r="U54" s="0">
        <ns0:f>IFERROR(IF(AND('_Engine'!$X54=1,ISNUMBER(Settings!$F37),Settings!$F37&gt;0,MID('_Engine'!$AP54,WEEKDAY(Settings!$F37,2),1)="W"),Settings!$F37,0),0)</ns0:f>
        <ns0:v>0</ns0:v>
      </ns0:c>
      <ns0:c r="V54" s="0">
        <ns0:f>IFERROR(IF(AND('_Engine'!$X54=1,ISNUMBER(Settings!$F38),Settings!$F38&gt;0,MID('_Engine'!$AP54,WEEKDAY(Settings!$F38,2),1)="W"),Settings!$F38,0),0)</ns0:f>
        <ns0:v>0</ns0:v>
      </ns0:c>
      <ns0:c r="W54" s="0">
        <ns0:f>IFERROR(IF(AND('_Engine'!$X54=1,ISNUMBER(Settings!$F39),Settings!$F39&gt;0,MID('_Engine'!$AP54,WEEKDAY(Settings!$F39,2),1)="W"),Settings!$F39,0),0)</ns0:f>
        <ns0:v>0</ns0:v>
      </ns0:c>
      <ns0:c r="X54" s="0">
        <ns0:f>IFERROR(IF(AND('_Engine'!$X54=1,ISNUMBER(Settings!$F40),Settings!$F40&gt;0,MID('_Engine'!$AP54,WEEKDAY(Settings!$F40,2),1)="W"),Settings!$F40,0),0)</ns0:f>
        <ns0:v>0</ns0:v>
      </ns0:c>
      <ns0:c r="Y54" s="0">
        <ns0:f>IFERROR(IF(AND('_Engine'!$X54=1,ISNUMBER(Settings!$F41),Settings!$F41&gt;0,MID('_Engine'!$AP54,WEEKDAY(Settings!$F41,2),1)="W"),Settings!$F41,0),0)</ns0:f>
        <ns0:v>0</ns0:v>
      </ns0:c>
      <ns0:c r="Z54" s="0">
        <ns0:f>IFERROR(IF(AND('_Engine'!$X54=1,ISNUMBER(Settings!$F42),Settings!$F42&gt;0,MID('_Engine'!$AP54,WEEKDAY(Settings!$F42,2),1)="W"),Settings!$F42,0),0)</ns0:f>
        <ns0:v>0</ns0:v>
      </ns0:c>
      <ns0:c r="AA54" s="0">
        <ns0:f>IFERROR(IF(AND('_Engine'!$X54=1,ISNUMBER(Settings!$F43),Settings!$F43&gt;0,MID('_Engine'!$AP54,WEEKDAY(Settings!$F43,2),1)="W"),Settings!$F43,0),0)</ns0:f>
        <ns0:v>0</ns0:v>
      </ns0:c>
      <ns0:c r="AB54" s="0">
        <ns0:f>IFERROR(IF(AND('_Engine'!$X54=1,ISNUMBER(Settings!$F44),Settings!$F44&gt;0,MID('_Engine'!$AP54,WEEKDAY(Settings!$F44,2),1)="W"),Settings!$F44,0),0)</ns0:f>
        <ns0:v>0</ns0:v>
      </ns0:c>
      <ns0:c r="AC54" s="0">
        <ns0:f>IFERROR(IF(AND('_Engine'!$X54=1,ISNUMBER(Settings!$F45),Settings!$F45&gt;0,MID('_Engine'!$AP54,WEEKDAY(Settings!$F45,2),1)="W"),Settings!$F45,0),0)</ns0:f>
        <ns0:v>0</ns0:v>
      </ns0:c>
      <ns0:c r="AD54" s="0">
        <ns0:f>IFERROR(IF(AND('_Engine'!$X54=1,ISNUMBER(Settings!$F46),Settings!$F46&gt;0,MID('_Engine'!$AP54,WEEKDAY(Settings!$F46,2),1)="W"),Settings!$F46,0),0)</ns0:f>
        <ns0:v>0</ns0:v>
      </ns0:c>
      <ns0:c r="AE54" s="0">
        <ns0:f>IFERROR(IF(AND('_Engine'!$X54=1,ISNUMBER(Settings!$F47),Settings!$F47&gt;0,MID('_Engine'!$AP54,WEEKDAY(Settings!$F47,2),1)="W"),Settings!$F47,0),0)</ns0:f>
        <ns0:v>0</ns0:v>
      </ns0:c>
      <ns0:c r="AF54" s="0">
        <ns0:f>IFERROR(IF(AND('_Engine'!$X54=1,ISNUMBER(Settings!$F48),Settings!$F48&gt;0,MID('_Engine'!$AP54,WEEKDAY(Settings!$F48,2),1)="W"),Settings!$F48,0),0)</ns0:f>
        <ns0:v>0</ns0:v>
      </ns0:c>
      <ns0:c r="AG54" s="0">
        <ns0:f>IFERROR(IF(AND('_Engine'!$X54=1,ISNUMBER(Settings!$F49),Settings!$F49&gt;0,MID('_Engine'!$AP54,WEEKDAY(Settings!$F49,2),1)="W"),Settings!$F49,0),0)</ns0:f>
        <ns0:v>0</ns0:v>
      </ns0:c>
      <ns0:c r="AH54" s="0">
        <ns0:f>IFERROR(IF(AND('_Engine'!$X54=1,ISNUMBER(Settings!$F50),Settings!$F50&gt;0,MID('_Engine'!$AP54,WEEKDAY(Settings!$F50,2),1)="W"),Settings!$F50,0),0)</ns0:f>
        <ns0:v>0</ns0:v>
      </ns0:c>
      <ns0:c r="AI54" s="0">
        <ns0:f>IFERROR(IF(AND('_Engine'!$X54=1,ISNUMBER(Settings!$F51),Settings!$F51&gt;0,MID('_Engine'!$AP54,WEEKDAY(Settings!$F51,2),1)="W"),Settings!$F51,0),0)</ns0:f>
        <ns0:v>0</ns0:v>
      </ns0:c>
      <ns0:c r="AJ54" s="0">
        <ns0:f>IFERROR(IF(AND('_Engine'!$X54=1,ISNUMBER(Settings!$F52),Settings!$F52&gt;0,MID('_Engine'!$AP54,WEEKDAY(Settings!$F52,2),1)="W"),Settings!$F52,0),0)</ns0:f>
        <ns0:v>0</ns0:v>
      </ns0:c>
      <ns0:c r="AK54" s="0">
        <ns0:f>IFERROR(IF(AND('_Engine'!$X54=1,ISNUMBER(Settings!$F53),Settings!$F53&gt;0,MID('_Engine'!$AP54,WEEKDAY(Settings!$F53,2),1)="W"),Settings!$F53,0),0)</ns0:f>
        <ns0:v>0</ns0:v>
      </ns0:c>
      <ns0:c r="AL54" s="0">
        <ns0:f>IFERROR(IF(AND('_Engine'!$X54=1,ISNUMBER(Settings!$F54),Settings!$F54&gt;0,MID('_Engine'!$AP54,WEEKDAY(Settings!$F54,2),1)="W"),Settings!$F54,0),0)</ns0:f>
        <ns0:v>0</ns0:v>
      </ns0:c>
      <ns0:c r="AM54" s="0">
        <ns0:f>IFERROR(IF(AND('_Engine'!$X54=1,ISNUMBER(Settings!$F55),Settings!$F55&gt;0,MID('_Engine'!$AP54,WEEKDAY(Settings!$F55,2),1)="W"),Settings!$F55,0),0)</ns0:f>
        <ns0:v>0</ns0:v>
      </ns0:c>
      <ns0:c r="AN54" s="0">
        <ns0:f>IFERROR(IF(AND('_Engine'!$X54=1,ISNUMBER(Settings!$F56),Settings!$F56&gt;0,MID('_Engine'!$AP54,WEEKDAY(Settings!$F56,2),1)="W"),Settings!$F56,0),0)</ns0:f>
        <ns0:v>0</ns0:v>
      </ns0:c>
      <ns0:c r="AO54" s="0">
        <ns0:f>IFERROR(IF(AND('_Engine'!$X54=1,ISNUMBER(Settings!$F57),Settings!$F57&gt;0,MID('_Engine'!$AP54,WEEKDAY(Settings!$F57,2),1)="W"),Settings!$F57,0),0)</ns0:f>
        <ns0:v>0</ns0:v>
      </ns0:c>
      <ns0:c r="AP54" s="0">
        <ns0:f>IFERROR(IF(AND('_Engine'!$X54=1,ISNUMBER(Settings!$F58),Settings!$F58&gt;0,MID('_Engine'!$AP54,WEEKDAY(Settings!$F58,2),1)="W"),Settings!$F58,0),0)</ns0:f>
        <ns0:v>0</ns0:v>
      </ns0:c>
      <ns0:c r="AQ54" s="0">
        <ns0:f>IFERROR(IF(AND('_Engine'!$X54=1,ISNUMBER(Settings!$F59),Settings!$F59&gt;0,MID('_Engine'!$AP54,WEEKDAY(Settings!$F59,2),1)="W"),Settings!$F59,0),0)</ns0:f>
        <ns0:v>0</ns0:v>
      </ns0:c>
      <ns0:c r="AR54" s="0">
        <ns0:f>IFERROR(IF(AND('_Engine'!$X54=1,ISNUMBER(Settings!$F60),Settings!$F60&gt;0,MID('_Engine'!$AP54,WEEKDAY(Settings!$F60,2),1)="W"),Settings!$F60,0),0)</ns0:f>
        <ns0:v>0</ns0:v>
      </ns0:c>
      <ns0:c r="AS54" s="0">
        <ns0:f>IFERROR(IF(AND('_Engine'!$X54=1,ISNUMBER(Settings!$F61),Settings!$F61&gt;0,MID('_Engine'!$AP54,WEEKDAY(Settings!$F61,2),1)="W"),Settings!$F61,0),0)</ns0:f>
        <ns0:v>0</ns0:v>
      </ns0:c>
      <ns0:c r="AT54" s="0">
        <ns0:f>IFERROR(IF(AND('_Engine'!$X54=1,ISNUMBER(Settings!$F62),Settings!$F62&gt;0,MID('_Engine'!$AP54,WEEKDAY(Settings!$F62,2),1)="W"),Settings!$F62,0),0)</ns0:f>
        <ns0:v>0</ns0:v>
      </ns0:c>
      <ns0:c r="AU54" s="0">
        <ns0:f>IFERROR(IF(AND('_Engine'!$X54=1,ISNUMBER(Settings!$F63),Settings!$F63&gt;0,MID('_Engine'!$AP54,WEEKDAY(Settings!$F63,2),1)="W"),Settings!$F63,0),0)</ns0:f>
        <ns0:v>0</ns0:v>
      </ns0:c>
      <ns0:c r="AV54" s="0">
        <ns0:f>IFERROR(IF(AND('_Engine'!$X54=1,ISNUMBER(Settings!$F64),Settings!$F64&gt;0,MID('_Engine'!$AP54,WEEKDAY(Settings!$F64,2),1)="W"),Settings!$F64,0),0)</ns0:f>
        <ns0:v>0</ns0:v>
      </ns0:c>
      <ns0:c r="AW54" s="0">
        <ns0:f>IFERROR(IF(AND('_Engine'!$X54=1,ISNUMBER(Settings!$F65),Settings!$F65&gt;0,MID('_Engine'!$AP54,WEEKDAY(Settings!$F65,2),1)="W"),Settings!$F65,0),0)</ns0:f>
        <ns0:v>0</ns0:v>
      </ns0:c>
      <ns0:c r="AX54" s="0">
        <ns0:f>IFERROR(IF(AND('_Engine'!$X54=1,ISNUMBER(Settings!$F66),Settings!$F66&gt;0,MID('_Engine'!$AP54,WEEKDAY(Settings!$F66,2),1)="W"),Settings!$F66,0),0)</ns0:f>
        <ns0:v>0</ns0:v>
      </ns0:c>
      <ns0:c r="AY54" s="0">
        <ns0:f>IFERROR(IF(AND('_Engine'!$X54=1,ISNUMBER(Settings!$F67),Settings!$F67&gt;0,MID('_Engine'!$AP54,WEEKDAY(Settings!$F67,2),1)="W"),Settings!$F67,0),0)</ns0:f>
        <ns0:v>0</ns0:v>
      </ns0:c>
    </ns0:row>
    <ns0:row r="55">
      <ns0:c r="B55" s="0">
        <ns0:f>IFERROR(IF(AND('_Engine'!$X55=1,ISNUMBER(Settings!$F18),Settings!$F18&gt;0,MID('_Engine'!$AP55,WEEKDAY(Settings!$F18,2),1)="W"),Settings!$F18,0),0)</ns0:f>
        <ns0:v>0</ns0:v>
      </ns0:c>
      <ns0:c r="C55" s="0">
        <ns0:f>IFERROR(IF(AND('_Engine'!$X55=1,ISNUMBER(Settings!$F19),Settings!$F19&gt;0,MID('_Engine'!$AP55,WEEKDAY(Settings!$F19,2),1)="W"),Settings!$F19,0),0)</ns0:f>
        <ns0:v>0</ns0:v>
      </ns0:c>
      <ns0:c r="D55" s="0">
        <ns0:f>IFERROR(IF(AND('_Engine'!$X55=1,ISNUMBER(Settings!$F20),Settings!$F20&gt;0,MID('_Engine'!$AP55,WEEKDAY(Settings!$F20,2),1)="W"),Settings!$F20,0),0)</ns0:f>
        <ns0:v>0</ns0:v>
      </ns0:c>
      <ns0:c r="E55" s="0">
        <ns0:f>IFERROR(IF(AND('_Engine'!$X55=1,ISNUMBER(Settings!$F21),Settings!$F21&gt;0,MID('_Engine'!$AP55,WEEKDAY(Settings!$F21,2),1)="W"),Settings!$F21,0),0)</ns0:f>
        <ns0:v>0</ns0:v>
      </ns0:c>
      <ns0:c r="F55" s="0">
        <ns0:f>IFERROR(IF(AND('_Engine'!$X55=1,ISNUMBER(Settings!$F22),Settings!$F22&gt;0,MID('_Engine'!$AP55,WEEKDAY(Settings!$F22,2),1)="W"),Settings!$F22,0),0)</ns0:f>
        <ns0:v>0</ns0:v>
      </ns0:c>
      <ns0:c r="G55" s="0">
        <ns0:f>IFERROR(IF(AND('_Engine'!$X55=1,ISNUMBER(Settings!$F23),Settings!$F23&gt;0,MID('_Engine'!$AP55,WEEKDAY(Settings!$F23,2),1)="W"),Settings!$F23,0),0)</ns0:f>
        <ns0:v>0</ns0:v>
      </ns0:c>
      <ns0:c r="H55" s="0">
        <ns0:f>IFERROR(IF(AND('_Engine'!$X55=1,ISNUMBER(Settings!$F24),Settings!$F24&gt;0,MID('_Engine'!$AP55,WEEKDAY(Settings!$F24,2),1)="W"),Settings!$F24,0),0)</ns0:f>
        <ns0:v>0</ns0:v>
      </ns0:c>
      <ns0:c r="I55" s="0">
        <ns0:f>IFERROR(IF(AND('_Engine'!$X55=1,ISNUMBER(Settings!$F25),Settings!$F25&gt;0,MID('_Engine'!$AP55,WEEKDAY(Settings!$F25,2),1)="W"),Settings!$F25,0),0)</ns0:f>
        <ns0:v>0</ns0:v>
      </ns0:c>
      <ns0:c r="J55" s="0">
        <ns0:f>IFERROR(IF(AND('_Engine'!$X55=1,ISNUMBER(Settings!$F26),Settings!$F26&gt;0,MID('_Engine'!$AP55,WEEKDAY(Settings!$F26,2),1)="W"),Settings!$F26,0),0)</ns0:f>
        <ns0:v>0</ns0:v>
      </ns0:c>
      <ns0:c r="K55" s="0">
        <ns0:f>IFERROR(IF(AND('_Engine'!$X55=1,ISNUMBER(Settings!$F27),Settings!$F27&gt;0,MID('_Engine'!$AP55,WEEKDAY(Settings!$F27,2),1)="W"),Settings!$F27,0),0)</ns0:f>
        <ns0:v>0</ns0:v>
      </ns0:c>
      <ns0:c r="L55" s="0">
        <ns0:f>IFERROR(IF(AND('_Engine'!$X55=1,ISNUMBER(Settings!$F28),Settings!$F28&gt;0,MID('_Engine'!$AP55,WEEKDAY(Settings!$F28,2),1)="W"),Settings!$F28,0),0)</ns0:f>
        <ns0:v>0</ns0:v>
      </ns0:c>
      <ns0:c r="M55" s="0">
        <ns0:f>IFERROR(IF(AND('_Engine'!$X55=1,ISNUMBER(Settings!$F29),Settings!$F29&gt;0,MID('_Engine'!$AP55,WEEKDAY(Settings!$F29,2),1)="W"),Settings!$F29,0),0)</ns0:f>
        <ns0:v>0</ns0:v>
      </ns0:c>
      <ns0:c r="N55" s="0">
        <ns0:f>IFERROR(IF(AND('_Engine'!$X55=1,ISNUMBER(Settings!$F30),Settings!$F30&gt;0,MID('_Engine'!$AP55,WEEKDAY(Settings!$F30,2),1)="W"),Settings!$F30,0),0)</ns0:f>
        <ns0:v>0</ns0:v>
      </ns0:c>
      <ns0:c r="O55" s="0">
        <ns0:f>IFERROR(IF(AND('_Engine'!$X55=1,ISNUMBER(Settings!$F31),Settings!$F31&gt;0,MID('_Engine'!$AP55,WEEKDAY(Settings!$F31,2),1)="W"),Settings!$F31,0),0)</ns0:f>
        <ns0:v>0</ns0:v>
      </ns0:c>
      <ns0:c r="P55" s="0">
        <ns0:f>IFERROR(IF(AND('_Engine'!$X55=1,ISNUMBER(Settings!$F32),Settings!$F32&gt;0,MID('_Engine'!$AP55,WEEKDAY(Settings!$F32,2),1)="W"),Settings!$F32,0),0)</ns0:f>
        <ns0:v>0</ns0:v>
      </ns0:c>
      <ns0:c r="Q55" s="0">
        <ns0:f>IFERROR(IF(AND('_Engine'!$X55=1,ISNUMBER(Settings!$F33),Settings!$F33&gt;0,MID('_Engine'!$AP55,WEEKDAY(Settings!$F33,2),1)="W"),Settings!$F33,0),0)</ns0:f>
        <ns0:v>0</ns0:v>
      </ns0:c>
      <ns0:c r="R55" s="0">
        <ns0:f>IFERROR(IF(AND('_Engine'!$X55=1,ISNUMBER(Settings!$F34),Settings!$F34&gt;0,MID('_Engine'!$AP55,WEEKDAY(Settings!$F34,2),1)="W"),Settings!$F34,0),0)</ns0:f>
        <ns0:v>0</ns0:v>
      </ns0:c>
      <ns0:c r="S55" s="0">
        <ns0:f>IFERROR(IF(AND('_Engine'!$X55=1,ISNUMBER(Settings!$F35),Settings!$F35&gt;0,MID('_Engine'!$AP55,WEEKDAY(Settings!$F35,2),1)="W"),Settings!$F35,0),0)</ns0:f>
        <ns0:v>0</ns0:v>
      </ns0:c>
      <ns0:c r="T55" s="0">
        <ns0:f>IFERROR(IF(AND('_Engine'!$X55=1,ISNUMBER(Settings!$F36),Settings!$F36&gt;0,MID('_Engine'!$AP55,WEEKDAY(Settings!$F36,2),1)="W"),Settings!$F36,0),0)</ns0:f>
        <ns0:v>0</ns0:v>
      </ns0:c>
      <ns0:c r="U55" s="0">
        <ns0:f>IFERROR(IF(AND('_Engine'!$X55=1,ISNUMBER(Settings!$F37),Settings!$F37&gt;0,MID('_Engine'!$AP55,WEEKDAY(Settings!$F37,2),1)="W"),Settings!$F37,0),0)</ns0:f>
        <ns0:v>0</ns0:v>
      </ns0:c>
      <ns0:c r="V55" s="0">
        <ns0:f>IFERROR(IF(AND('_Engine'!$X55=1,ISNUMBER(Settings!$F38),Settings!$F38&gt;0,MID('_Engine'!$AP55,WEEKDAY(Settings!$F38,2),1)="W"),Settings!$F38,0),0)</ns0:f>
        <ns0:v>0</ns0:v>
      </ns0:c>
      <ns0:c r="W55" s="0">
        <ns0:f>IFERROR(IF(AND('_Engine'!$X55=1,ISNUMBER(Settings!$F39),Settings!$F39&gt;0,MID('_Engine'!$AP55,WEEKDAY(Settings!$F39,2),1)="W"),Settings!$F39,0),0)</ns0:f>
        <ns0:v>0</ns0:v>
      </ns0:c>
      <ns0:c r="X55" s="0">
        <ns0:f>IFERROR(IF(AND('_Engine'!$X55=1,ISNUMBER(Settings!$F40),Settings!$F40&gt;0,MID('_Engine'!$AP55,WEEKDAY(Settings!$F40,2),1)="W"),Settings!$F40,0),0)</ns0:f>
        <ns0:v>0</ns0:v>
      </ns0:c>
      <ns0:c r="Y55" s="0">
        <ns0:f>IFERROR(IF(AND('_Engine'!$X55=1,ISNUMBER(Settings!$F41),Settings!$F41&gt;0,MID('_Engine'!$AP55,WEEKDAY(Settings!$F41,2),1)="W"),Settings!$F41,0),0)</ns0:f>
        <ns0:v>0</ns0:v>
      </ns0:c>
      <ns0:c r="Z55" s="0">
        <ns0:f>IFERROR(IF(AND('_Engine'!$X55=1,ISNUMBER(Settings!$F42),Settings!$F42&gt;0,MID('_Engine'!$AP55,WEEKDAY(Settings!$F42,2),1)="W"),Settings!$F42,0),0)</ns0:f>
        <ns0:v>0</ns0:v>
      </ns0:c>
      <ns0:c r="AA55" s="0">
        <ns0:f>IFERROR(IF(AND('_Engine'!$X55=1,ISNUMBER(Settings!$F43),Settings!$F43&gt;0,MID('_Engine'!$AP55,WEEKDAY(Settings!$F43,2),1)="W"),Settings!$F43,0),0)</ns0:f>
        <ns0:v>0</ns0:v>
      </ns0:c>
      <ns0:c r="AB55" s="0">
        <ns0:f>IFERROR(IF(AND('_Engine'!$X55=1,ISNUMBER(Settings!$F44),Settings!$F44&gt;0,MID('_Engine'!$AP55,WEEKDAY(Settings!$F44,2),1)="W"),Settings!$F44,0),0)</ns0:f>
        <ns0:v>0</ns0:v>
      </ns0:c>
      <ns0:c r="AC55" s="0">
        <ns0:f>IFERROR(IF(AND('_Engine'!$X55=1,ISNUMBER(Settings!$F45),Settings!$F45&gt;0,MID('_Engine'!$AP55,WEEKDAY(Settings!$F45,2),1)="W"),Settings!$F45,0),0)</ns0:f>
        <ns0:v>0</ns0:v>
      </ns0:c>
      <ns0:c r="AD55" s="0">
        <ns0:f>IFERROR(IF(AND('_Engine'!$X55=1,ISNUMBER(Settings!$F46),Settings!$F46&gt;0,MID('_Engine'!$AP55,WEEKDAY(Settings!$F46,2),1)="W"),Settings!$F46,0),0)</ns0:f>
        <ns0:v>0</ns0:v>
      </ns0:c>
      <ns0:c r="AE55" s="0">
        <ns0:f>IFERROR(IF(AND('_Engine'!$X55=1,ISNUMBER(Settings!$F47),Settings!$F47&gt;0,MID('_Engine'!$AP55,WEEKDAY(Settings!$F47,2),1)="W"),Settings!$F47,0),0)</ns0:f>
        <ns0:v>0</ns0:v>
      </ns0:c>
      <ns0:c r="AF55" s="0">
        <ns0:f>IFERROR(IF(AND('_Engine'!$X55=1,ISNUMBER(Settings!$F48),Settings!$F48&gt;0,MID('_Engine'!$AP55,WEEKDAY(Settings!$F48,2),1)="W"),Settings!$F48,0),0)</ns0:f>
        <ns0:v>0</ns0:v>
      </ns0:c>
      <ns0:c r="AG55" s="0">
        <ns0:f>IFERROR(IF(AND('_Engine'!$X55=1,ISNUMBER(Settings!$F49),Settings!$F49&gt;0,MID('_Engine'!$AP55,WEEKDAY(Settings!$F49,2),1)="W"),Settings!$F49,0),0)</ns0:f>
        <ns0:v>0</ns0:v>
      </ns0:c>
      <ns0:c r="AH55" s="0">
        <ns0:f>IFERROR(IF(AND('_Engine'!$X55=1,ISNUMBER(Settings!$F50),Settings!$F50&gt;0,MID('_Engine'!$AP55,WEEKDAY(Settings!$F50,2),1)="W"),Settings!$F50,0),0)</ns0:f>
        <ns0:v>0</ns0:v>
      </ns0:c>
      <ns0:c r="AI55" s="0">
        <ns0:f>IFERROR(IF(AND('_Engine'!$X55=1,ISNUMBER(Settings!$F51),Settings!$F51&gt;0,MID('_Engine'!$AP55,WEEKDAY(Settings!$F51,2),1)="W"),Settings!$F51,0),0)</ns0:f>
        <ns0:v>0</ns0:v>
      </ns0:c>
      <ns0:c r="AJ55" s="0">
        <ns0:f>IFERROR(IF(AND('_Engine'!$X55=1,ISNUMBER(Settings!$F52),Settings!$F52&gt;0,MID('_Engine'!$AP55,WEEKDAY(Settings!$F52,2),1)="W"),Settings!$F52,0),0)</ns0:f>
        <ns0:v>0</ns0:v>
      </ns0:c>
      <ns0:c r="AK55" s="0">
        <ns0:f>IFERROR(IF(AND('_Engine'!$X55=1,ISNUMBER(Settings!$F53),Settings!$F53&gt;0,MID('_Engine'!$AP55,WEEKDAY(Settings!$F53,2),1)="W"),Settings!$F53,0),0)</ns0:f>
        <ns0:v>0</ns0:v>
      </ns0:c>
      <ns0:c r="AL55" s="0">
        <ns0:f>IFERROR(IF(AND('_Engine'!$X55=1,ISNUMBER(Settings!$F54),Settings!$F54&gt;0,MID('_Engine'!$AP55,WEEKDAY(Settings!$F54,2),1)="W"),Settings!$F54,0),0)</ns0:f>
        <ns0:v>0</ns0:v>
      </ns0:c>
      <ns0:c r="AM55" s="0">
        <ns0:f>IFERROR(IF(AND('_Engine'!$X55=1,ISNUMBER(Settings!$F55),Settings!$F55&gt;0,MID('_Engine'!$AP55,WEEKDAY(Settings!$F55,2),1)="W"),Settings!$F55,0),0)</ns0:f>
        <ns0:v>0</ns0:v>
      </ns0:c>
      <ns0:c r="AN55" s="0">
        <ns0:f>IFERROR(IF(AND('_Engine'!$X55=1,ISNUMBER(Settings!$F56),Settings!$F56&gt;0,MID('_Engine'!$AP55,WEEKDAY(Settings!$F56,2),1)="W"),Settings!$F56,0),0)</ns0:f>
        <ns0:v>0</ns0:v>
      </ns0:c>
      <ns0:c r="AO55" s="0">
        <ns0:f>IFERROR(IF(AND('_Engine'!$X55=1,ISNUMBER(Settings!$F57),Settings!$F57&gt;0,MID('_Engine'!$AP55,WEEKDAY(Settings!$F57,2),1)="W"),Settings!$F57,0),0)</ns0:f>
        <ns0:v>0</ns0:v>
      </ns0:c>
      <ns0:c r="AP55" s="0">
        <ns0:f>IFERROR(IF(AND('_Engine'!$X55=1,ISNUMBER(Settings!$F58),Settings!$F58&gt;0,MID('_Engine'!$AP55,WEEKDAY(Settings!$F58,2),1)="W"),Settings!$F58,0),0)</ns0:f>
        <ns0:v>0</ns0:v>
      </ns0:c>
      <ns0:c r="AQ55" s="0">
        <ns0:f>IFERROR(IF(AND('_Engine'!$X55=1,ISNUMBER(Settings!$F59),Settings!$F59&gt;0,MID('_Engine'!$AP55,WEEKDAY(Settings!$F59,2),1)="W"),Settings!$F59,0),0)</ns0:f>
        <ns0:v>0</ns0:v>
      </ns0:c>
      <ns0:c r="AR55" s="0">
        <ns0:f>IFERROR(IF(AND('_Engine'!$X55=1,ISNUMBER(Settings!$F60),Settings!$F60&gt;0,MID('_Engine'!$AP55,WEEKDAY(Settings!$F60,2),1)="W"),Settings!$F60,0),0)</ns0:f>
        <ns0:v>0</ns0:v>
      </ns0:c>
      <ns0:c r="AS55" s="0">
        <ns0:f>IFERROR(IF(AND('_Engine'!$X55=1,ISNUMBER(Settings!$F61),Settings!$F61&gt;0,MID('_Engine'!$AP55,WEEKDAY(Settings!$F61,2),1)="W"),Settings!$F61,0),0)</ns0:f>
        <ns0:v>0</ns0:v>
      </ns0:c>
      <ns0:c r="AT55" s="0">
        <ns0:f>IFERROR(IF(AND('_Engine'!$X55=1,ISNUMBER(Settings!$F62),Settings!$F62&gt;0,MID('_Engine'!$AP55,WEEKDAY(Settings!$F62,2),1)="W"),Settings!$F62,0),0)</ns0:f>
        <ns0:v>0</ns0:v>
      </ns0:c>
      <ns0:c r="AU55" s="0">
        <ns0:f>IFERROR(IF(AND('_Engine'!$X55=1,ISNUMBER(Settings!$F63),Settings!$F63&gt;0,MID('_Engine'!$AP55,WEEKDAY(Settings!$F63,2),1)="W"),Settings!$F63,0),0)</ns0:f>
        <ns0:v>0</ns0:v>
      </ns0:c>
      <ns0:c r="AV55" s="0">
        <ns0:f>IFERROR(IF(AND('_Engine'!$X55=1,ISNUMBER(Settings!$F64),Settings!$F64&gt;0,MID('_Engine'!$AP55,WEEKDAY(Settings!$F64,2),1)="W"),Settings!$F64,0),0)</ns0:f>
        <ns0:v>0</ns0:v>
      </ns0:c>
      <ns0:c r="AW55" s="0">
        <ns0:f>IFERROR(IF(AND('_Engine'!$X55=1,ISNUMBER(Settings!$F65),Settings!$F65&gt;0,MID('_Engine'!$AP55,WEEKDAY(Settings!$F65,2),1)="W"),Settings!$F65,0),0)</ns0:f>
        <ns0:v>0</ns0:v>
      </ns0:c>
      <ns0:c r="AX55" s="0">
        <ns0:f>IFERROR(IF(AND('_Engine'!$X55=1,ISNUMBER(Settings!$F66),Settings!$F66&gt;0,MID('_Engine'!$AP55,WEEKDAY(Settings!$F66,2),1)="W"),Settings!$F66,0),0)</ns0:f>
        <ns0:v>0</ns0:v>
      </ns0:c>
      <ns0:c r="AY55" s="0">
        <ns0:f>IFERROR(IF(AND('_Engine'!$X55=1,ISNUMBER(Settings!$F67),Settings!$F67&gt;0,MID('_Engine'!$AP55,WEEKDAY(Settings!$F67,2),1)="W"),Settings!$F67,0),0)</ns0:f>
        <ns0:v>0</ns0:v>
      </ns0:c>
    </ns0:row>
    <ns0:row r="56">
      <ns0:c r="B56" s="0">
        <ns0:f>IFERROR(IF(AND('_Engine'!$X56=1,ISNUMBER(Settings!$F18),Settings!$F18&gt;0,MID('_Engine'!$AP56,WEEKDAY(Settings!$F18,2),1)="W"),Settings!$F18,0),0)</ns0:f>
        <ns0:v>0</ns0:v>
      </ns0:c>
      <ns0:c r="C56" s="0">
        <ns0:f>IFERROR(IF(AND('_Engine'!$X56=1,ISNUMBER(Settings!$F19),Settings!$F19&gt;0,MID('_Engine'!$AP56,WEEKDAY(Settings!$F19,2),1)="W"),Settings!$F19,0),0)</ns0:f>
        <ns0:v>0</ns0:v>
      </ns0:c>
      <ns0:c r="D56" s="0">
        <ns0:f>IFERROR(IF(AND('_Engine'!$X56=1,ISNUMBER(Settings!$F20),Settings!$F20&gt;0,MID('_Engine'!$AP56,WEEKDAY(Settings!$F20,2),1)="W"),Settings!$F20,0),0)</ns0:f>
        <ns0:v>0</ns0:v>
      </ns0:c>
      <ns0:c r="E56" s="0">
        <ns0:f>IFERROR(IF(AND('_Engine'!$X56=1,ISNUMBER(Settings!$F21),Settings!$F21&gt;0,MID('_Engine'!$AP56,WEEKDAY(Settings!$F21,2),1)="W"),Settings!$F21,0),0)</ns0:f>
        <ns0:v>0</ns0:v>
      </ns0:c>
      <ns0:c r="F56" s="0">
        <ns0:f>IFERROR(IF(AND('_Engine'!$X56=1,ISNUMBER(Settings!$F22),Settings!$F22&gt;0,MID('_Engine'!$AP56,WEEKDAY(Settings!$F22,2),1)="W"),Settings!$F22,0),0)</ns0:f>
        <ns0:v>0</ns0:v>
      </ns0:c>
      <ns0:c r="G56" s="0">
        <ns0:f>IFERROR(IF(AND('_Engine'!$X56=1,ISNUMBER(Settings!$F23),Settings!$F23&gt;0,MID('_Engine'!$AP56,WEEKDAY(Settings!$F23,2),1)="W"),Settings!$F23,0),0)</ns0:f>
        <ns0:v>0</ns0:v>
      </ns0:c>
      <ns0:c r="H56" s="0">
        <ns0:f>IFERROR(IF(AND('_Engine'!$X56=1,ISNUMBER(Settings!$F24),Settings!$F24&gt;0,MID('_Engine'!$AP56,WEEKDAY(Settings!$F24,2),1)="W"),Settings!$F24,0),0)</ns0:f>
        <ns0:v>0</ns0:v>
      </ns0:c>
      <ns0:c r="I56" s="0">
        <ns0:f>IFERROR(IF(AND('_Engine'!$X56=1,ISNUMBER(Settings!$F25),Settings!$F25&gt;0,MID('_Engine'!$AP56,WEEKDAY(Settings!$F25,2),1)="W"),Settings!$F25,0),0)</ns0:f>
        <ns0:v>0</ns0:v>
      </ns0:c>
      <ns0:c r="J56" s="0">
        <ns0:f>IFERROR(IF(AND('_Engine'!$X56=1,ISNUMBER(Settings!$F26),Settings!$F26&gt;0,MID('_Engine'!$AP56,WEEKDAY(Settings!$F26,2),1)="W"),Settings!$F26,0),0)</ns0:f>
        <ns0:v>0</ns0:v>
      </ns0:c>
      <ns0:c r="K56" s="0">
        <ns0:f>IFERROR(IF(AND('_Engine'!$X56=1,ISNUMBER(Settings!$F27),Settings!$F27&gt;0,MID('_Engine'!$AP56,WEEKDAY(Settings!$F27,2),1)="W"),Settings!$F27,0),0)</ns0:f>
        <ns0:v>0</ns0:v>
      </ns0:c>
      <ns0:c r="L56" s="0">
        <ns0:f>IFERROR(IF(AND('_Engine'!$X56=1,ISNUMBER(Settings!$F28),Settings!$F28&gt;0,MID('_Engine'!$AP56,WEEKDAY(Settings!$F28,2),1)="W"),Settings!$F28,0),0)</ns0:f>
        <ns0:v>0</ns0:v>
      </ns0:c>
      <ns0:c r="M56" s="0">
        <ns0:f>IFERROR(IF(AND('_Engine'!$X56=1,ISNUMBER(Settings!$F29),Settings!$F29&gt;0,MID('_Engine'!$AP56,WEEKDAY(Settings!$F29,2),1)="W"),Settings!$F29,0),0)</ns0:f>
        <ns0:v>0</ns0:v>
      </ns0:c>
      <ns0:c r="N56" s="0">
        <ns0:f>IFERROR(IF(AND('_Engine'!$X56=1,ISNUMBER(Settings!$F30),Settings!$F30&gt;0,MID('_Engine'!$AP56,WEEKDAY(Settings!$F30,2),1)="W"),Settings!$F30,0),0)</ns0:f>
        <ns0:v>0</ns0:v>
      </ns0:c>
      <ns0:c r="O56" s="0">
        <ns0:f>IFERROR(IF(AND('_Engine'!$X56=1,ISNUMBER(Settings!$F31),Settings!$F31&gt;0,MID('_Engine'!$AP56,WEEKDAY(Settings!$F31,2),1)="W"),Settings!$F31,0),0)</ns0:f>
        <ns0:v>0</ns0:v>
      </ns0:c>
      <ns0:c r="P56" s="0">
        <ns0:f>IFERROR(IF(AND('_Engine'!$X56=1,ISNUMBER(Settings!$F32),Settings!$F32&gt;0,MID('_Engine'!$AP56,WEEKDAY(Settings!$F32,2),1)="W"),Settings!$F32,0),0)</ns0:f>
        <ns0:v>0</ns0:v>
      </ns0:c>
      <ns0:c r="Q56" s="0">
        <ns0:f>IFERROR(IF(AND('_Engine'!$X56=1,ISNUMBER(Settings!$F33),Settings!$F33&gt;0,MID('_Engine'!$AP56,WEEKDAY(Settings!$F33,2),1)="W"),Settings!$F33,0),0)</ns0:f>
        <ns0:v>0</ns0:v>
      </ns0:c>
      <ns0:c r="R56" s="0">
        <ns0:f>IFERROR(IF(AND('_Engine'!$X56=1,ISNUMBER(Settings!$F34),Settings!$F34&gt;0,MID('_Engine'!$AP56,WEEKDAY(Settings!$F34,2),1)="W"),Settings!$F34,0),0)</ns0:f>
        <ns0:v>0</ns0:v>
      </ns0:c>
      <ns0:c r="S56" s="0">
        <ns0:f>IFERROR(IF(AND('_Engine'!$X56=1,ISNUMBER(Settings!$F35),Settings!$F35&gt;0,MID('_Engine'!$AP56,WEEKDAY(Settings!$F35,2),1)="W"),Settings!$F35,0),0)</ns0:f>
        <ns0:v>0</ns0:v>
      </ns0:c>
      <ns0:c r="T56" s="0">
        <ns0:f>IFERROR(IF(AND('_Engine'!$X56=1,ISNUMBER(Settings!$F36),Settings!$F36&gt;0,MID('_Engine'!$AP56,WEEKDAY(Settings!$F36,2),1)="W"),Settings!$F36,0),0)</ns0:f>
        <ns0:v>0</ns0:v>
      </ns0:c>
      <ns0:c r="U56" s="0">
        <ns0:f>IFERROR(IF(AND('_Engine'!$X56=1,ISNUMBER(Settings!$F37),Settings!$F37&gt;0,MID('_Engine'!$AP56,WEEKDAY(Settings!$F37,2),1)="W"),Settings!$F37,0),0)</ns0:f>
        <ns0:v>0</ns0:v>
      </ns0:c>
      <ns0:c r="V56" s="0">
        <ns0:f>IFERROR(IF(AND('_Engine'!$X56=1,ISNUMBER(Settings!$F38),Settings!$F38&gt;0,MID('_Engine'!$AP56,WEEKDAY(Settings!$F38,2),1)="W"),Settings!$F38,0),0)</ns0:f>
        <ns0:v>0</ns0:v>
      </ns0:c>
      <ns0:c r="W56" s="0">
        <ns0:f>IFERROR(IF(AND('_Engine'!$X56=1,ISNUMBER(Settings!$F39),Settings!$F39&gt;0,MID('_Engine'!$AP56,WEEKDAY(Settings!$F39,2),1)="W"),Settings!$F39,0),0)</ns0:f>
        <ns0:v>0</ns0:v>
      </ns0:c>
      <ns0:c r="X56" s="0">
        <ns0:f>IFERROR(IF(AND('_Engine'!$X56=1,ISNUMBER(Settings!$F40),Settings!$F40&gt;0,MID('_Engine'!$AP56,WEEKDAY(Settings!$F40,2),1)="W"),Settings!$F40,0),0)</ns0:f>
        <ns0:v>0</ns0:v>
      </ns0:c>
      <ns0:c r="Y56" s="0">
        <ns0:f>IFERROR(IF(AND('_Engine'!$X56=1,ISNUMBER(Settings!$F41),Settings!$F41&gt;0,MID('_Engine'!$AP56,WEEKDAY(Settings!$F41,2),1)="W"),Settings!$F41,0),0)</ns0:f>
        <ns0:v>0</ns0:v>
      </ns0:c>
      <ns0:c r="Z56" s="0">
        <ns0:f>IFERROR(IF(AND('_Engine'!$X56=1,ISNUMBER(Settings!$F42),Settings!$F42&gt;0,MID('_Engine'!$AP56,WEEKDAY(Settings!$F42,2),1)="W"),Settings!$F42,0),0)</ns0:f>
        <ns0:v>0</ns0:v>
      </ns0:c>
      <ns0:c r="AA56" s="0">
        <ns0:f>IFERROR(IF(AND('_Engine'!$X56=1,ISNUMBER(Settings!$F43),Settings!$F43&gt;0,MID('_Engine'!$AP56,WEEKDAY(Settings!$F43,2),1)="W"),Settings!$F43,0),0)</ns0:f>
        <ns0:v>0</ns0:v>
      </ns0:c>
      <ns0:c r="AB56" s="0">
        <ns0:f>IFERROR(IF(AND('_Engine'!$X56=1,ISNUMBER(Settings!$F44),Settings!$F44&gt;0,MID('_Engine'!$AP56,WEEKDAY(Settings!$F44,2),1)="W"),Settings!$F44,0),0)</ns0:f>
        <ns0:v>0</ns0:v>
      </ns0:c>
      <ns0:c r="AC56" s="0">
        <ns0:f>IFERROR(IF(AND('_Engine'!$X56=1,ISNUMBER(Settings!$F45),Settings!$F45&gt;0,MID('_Engine'!$AP56,WEEKDAY(Settings!$F45,2),1)="W"),Settings!$F45,0),0)</ns0:f>
        <ns0:v>0</ns0:v>
      </ns0:c>
      <ns0:c r="AD56" s="0">
        <ns0:f>IFERROR(IF(AND('_Engine'!$X56=1,ISNUMBER(Settings!$F46),Settings!$F46&gt;0,MID('_Engine'!$AP56,WEEKDAY(Settings!$F46,2),1)="W"),Settings!$F46,0),0)</ns0:f>
        <ns0:v>0</ns0:v>
      </ns0:c>
      <ns0:c r="AE56" s="0">
        <ns0:f>IFERROR(IF(AND('_Engine'!$X56=1,ISNUMBER(Settings!$F47),Settings!$F47&gt;0,MID('_Engine'!$AP56,WEEKDAY(Settings!$F47,2),1)="W"),Settings!$F47,0),0)</ns0:f>
        <ns0:v>0</ns0:v>
      </ns0:c>
      <ns0:c r="AF56" s="0">
        <ns0:f>IFERROR(IF(AND('_Engine'!$X56=1,ISNUMBER(Settings!$F48),Settings!$F48&gt;0,MID('_Engine'!$AP56,WEEKDAY(Settings!$F48,2),1)="W"),Settings!$F48,0),0)</ns0:f>
        <ns0:v>0</ns0:v>
      </ns0:c>
      <ns0:c r="AG56" s="0">
        <ns0:f>IFERROR(IF(AND('_Engine'!$X56=1,ISNUMBER(Settings!$F49),Settings!$F49&gt;0,MID('_Engine'!$AP56,WEEKDAY(Settings!$F49,2),1)="W"),Settings!$F49,0),0)</ns0:f>
        <ns0:v>0</ns0:v>
      </ns0:c>
      <ns0:c r="AH56" s="0">
        <ns0:f>IFERROR(IF(AND('_Engine'!$X56=1,ISNUMBER(Settings!$F50),Settings!$F50&gt;0,MID('_Engine'!$AP56,WEEKDAY(Settings!$F50,2),1)="W"),Settings!$F50,0),0)</ns0:f>
        <ns0:v>0</ns0:v>
      </ns0:c>
      <ns0:c r="AI56" s="0">
        <ns0:f>IFERROR(IF(AND('_Engine'!$X56=1,ISNUMBER(Settings!$F51),Settings!$F51&gt;0,MID('_Engine'!$AP56,WEEKDAY(Settings!$F51,2),1)="W"),Settings!$F51,0),0)</ns0:f>
        <ns0:v>0</ns0:v>
      </ns0:c>
      <ns0:c r="AJ56" s="0">
        <ns0:f>IFERROR(IF(AND('_Engine'!$X56=1,ISNUMBER(Settings!$F52),Settings!$F52&gt;0,MID('_Engine'!$AP56,WEEKDAY(Settings!$F52,2),1)="W"),Settings!$F52,0),0)</ns0:f>
        <ns0:v>0</ns0:v>
      </ns0:c>
      <ns0:c r="AK56" s="0">
        <ns0:f>IFERROR(IF(AND('_Engine'!$X56=1,ISNUMBER(Settings!$F53),Settings!$F53&gt;0,MID('_Engine'!$AP56,WEEKDAY(Settings!$F53,2),1)="W"),Settings!$F53,0),0)</ns0:f>
        <ns0:v>0</ns0:v>
      </ns0:c>
      <ns0:c r="AL56" s="0">
        <ns0:f>IFERROR(IF(AND('_Engine'!$X56=1,ISNUMBER(Settings!$F54),Settings!$F54&gt;0,MID('_Engine'!$AP56,WEEKDAY(Settings!$F54,2),1)="W"),Settings!$F54,0),0)</ns0:f>
        <ns0:v>0</ns0:v>
      </ns0:c>
      <ns0:c r="AM56" s="0">
        <ns0:f>IFERROR(IF(AND('_Engine'!$X56=1,ISNUMBER(Settings!$F55),Settings!$F55&gt;0,MID('_Engine'!$AP56,WEEKDAY(Settings!$F55,2),1)="W"),Settings!$F55,0),0)</ns0:f>
        <ns0:v>0</ns0:v>
      </ns0:c>
      <ns0:c r="AN56" s="0">
        <ns0:f>IFERROR(IF(AND('_Engine'!$X56=1,ISNUMBER(Settings!$F56),Settings!$F56&gt;0,MID('_Engine'!$AP56,WEEKDAY(Settings!$F56,2),1)="W"),Settings!$F56,0),0)</ns0:f>
        <ns0:v>0</ns0:v>
      </ns0:c>
      <ns0:c r="AO56" s="0">
        <ns0:f>IFERROR(IF(AND('_Engine'!$X56=1,ISNUMBER(Settings!$F57),Settings!$F57&gt;0,MID('_Engine'!$AP56,WEEKDAY(Settings!$F57,2),1)="W"),Settings!$F57,0),0)</ns0:f>
        <ns0:v>0</ns0:v>
      </ns0:c>
      <ns0:c r="AP56" s="0">
        <ns0:f>IFERROR(IF(AND('_Engine'!$X56=1,ISNUMBER(Settings!$F58),Settings!$F58&gt;0,MID('_Engine'!$AP56,WEEKDAY(Settings!$F58,2),1)="W"),Settings!$F58,0),0)</ns0:f>
        <ns0:v>0</ns0:v>
      </ns0:c>
      <ns0:c r="AQ56" s="0">
        <ns0:f>IFERROR(IF(AND('_Engine'!$X56=1,ISNUMBER(Settings!$F59),Settings!$F59&gt;0,MID('_Engine'!$AP56,WEEKDAY(Settings!$F59,2),1)="W"),Settings!$F59,0),0)</ns0:f>
        <ns0:v>0</ns0:v>
      </ns0:c>
      <ns0:c r="AR56" s="0">
        <ns0:f>IFERROR(IF(AND('_Engine'!$X56=1,ISNUMBER(Settings!$F60),Settings!$F60&gt;0,MID('_Engine'!$AP56,WEEKDAY(Settings!$F60,2),1)="W"),Settings!$F60,0),0)</ns0:f>
        <ns0:v>0</ns0:v>
      </ns0:c>
      <ns0:c r="AS56" s="0">
        <ns0:f>IFERROR(IF(AND('_Engine'!$X56=1,ISNUMBER(Settings!$F61),Settings!$F61&gt;0,MID('_Engine'!$AP56,WEEKDAY(Settings!$F61,2),1)="W"),Settings!$F61,0),0)</ns0:f>
        <ns0:v>0</ns0:v>
      </ns0:c>
      <ns0:c r="AT56" s="0">
        <ns0:f>IFERROR(IF(AND('_Engine'!$X56=1,ISNUMBER(Settings!$F62),Settings!$F62&gt;0,MID('_Engine'!$AP56,WEEKDAY(Settings!$F62,2),1)="W"),Settings!$F62,0),0)</ns0:f>
        <ns0:v>0</ns0:v>
      </ns0:c>
      <ns0:c r="AU56" s="0">
        <ns0:f>IFERROR(IF(AND('_Engine'!$X56=1,ISNUMBER(Settings!$F63),Settings!$F63&gt;0,MID('_Engine'!$AP56,WEEKDAY(Settings!$F63,2),1)="W"),Settings!$F63,0),0)</ns0:f>
        <ns0:v>0</ns0:v>
      </ns0:c>
      <ns0:c r="AV56" s="0">
        <ns0:f>IFERROR(IF(AND('_Engine'!$X56=1,ISNUMBER(Settings!$F64),Settings!$F64&gt;0,MID('_Engine'!$AP56,WEEKDAY(Settings!$F64,2),1)="W"),Settings!$F64,0),0)</ns0:f>
        <ns0:v>0</ns0:v>
      </ns0:c>
      <ns0:c r="AW56" s="0">
        <ns0:f>IFERROR(IF(AND('_Engine'!$X56=1,ISNUMBER(Settings!$F65),Settings!$F65&gt;0,MID('_Engine'!$AP56,WEEKDAY(Settings!$F65,2),1)="W"),Settings!$F65,0),0)</ns0:f>
        <ns0:v>0</ns0:v>
      </ns0:c>
      <ns0:c r="AX56" s="0">
        <ns0:f>IFERROR(IF(AND('_Engine'!$X56=1,ISNUMBER(Settings!$F66),Settings!$F66&gt;0,MID('_Engine'!$AP56,WEEKDAY(Settings!$F66,2),1)="W"),Settings!$F66,0),0)</ns0:f>
        <ns0:v>0</ns0:v>
      </ns0:c>
      <ns0:c r="AY56" s="0">
        <ns0:f>IFERROR(IF(AND('_Engine'!$X56=1,ISNUMBER(Settings!$F67),Settings!$F67&gt;0,MID('_Engine'!$AP56,WEEKDAY(Settings!$F67,2),1)="W"),Settings!$F67,0),0)</ns0:f>
        <ns0:v>0</ns0:v>
      </ns0:c>
    </ns0:row>
    <ns0:row r="57">
      <ns0:c r="B57" s="0">
        <ns0:f>IFERROR(IF(AND('_Engine'!$X57=1,ISNUMBER(Settings!$F18),Settings!$F18&gt;0,MID('_Engine'!$AP57,WEEKDAY(Settings!$F18,2),1)="W"),Settings!$F18,0),0)</ns0:f>
        <ns0:v>0</ns0:v>
      </ns0:c>
      <ns0:c r="C57" s="0">
        <ns0:f>IFERROR(IF(AND('_Engine'!$X57=1,ISNUMBER(Settings!$F19),Settings!$F19&gt;0,MID('_Engine'!$AP57,WEEKDAY(Settings!$F19,2),1)="W"),Settings!$F19,0),0)</ns0:f>
        <ns0:v>0</ns0:v>
      </ns0:c>
      <ns0:c r="D57" s="0">
        <ns0:f>IFERROR(IF(AND('_Engine'!$X57=1,ISNUMBER(Settings!$F20),Settings!$F20&gt;0,MID('_Engine'!$AP57,WEEKDAY(Settings!$F20,2),1)="W"),Settings!$F20,0),0)</ns0:f>
        <ns0:v>0</ns0:v>
      </ns0:c>
      <ns0:c r="E57" s="0">
        <ns0:f>IFERROR(IF(AND('_Engine'!$X57=1,ISNUMBER(Settings!$F21),Settings!$F21&gt;0,MID('_Engine'!$AP57,WEEKDAY(Settings!$F21,2),1)="W"),Settings!$F21,0),0)</ns0:f>
        <ns0:v>0</ns0:v>
      </ns0:c>
      <ns0:c r="F57" s="0">
        <ns0:f>IFERROR(IF(AND('_Engine'!$X57=1,ISNUMBER(Settings!$F22),Settings!$F22&gt;0,MID('_Engine'!$AP57,WEEKDAY(Settings!$F22,2),1)="W"),Settings!$F22,0),0)</ns0:f>
        <ns0:v>0</ns0:v>
      </ns0:c>
      <ns0:c r="G57" s="0">
        <ns0:f>IFERROR(IF(AND('_Engine'!$X57=1,ISNUMBER(Settings!$F23),Settings!$F23&gt;0,MID('_Engine'!$AP57,WEEKDAY(Settings!$F23,2),1)="W"),Settings!$F23,0),0)</ns0:f>
        <ns0:v>0</ns0:v>
      </ns0:c>
      <ns0:c r="H57" s="0">
        <ns0:f>IFERROR(IF(AND('_Engine'!$X57=1,ISNUMBER(Settings!$F24),Settings!$F24&gt;0,MID('_Engine'!$AP57,WEEKDAY(Settings!$F24,2),1)="W"),Settings!$F24,0),0)</ns0:f>
        <ns0:v>0</ns0:v>
      </ns0:c>
      <ns0:c r="I57" s="0">
        <ns0:f>IFERROR(IF(AND('_Engine'!$X57=1,ISNUMBER(Settings!$F25),Settings!$F25&gt;0,MID('_Engine'!$AP57,WEEKDAY(Settings!$F25,2),1)="W"),Settings!$F25,0),0)</ns0:f>
        <ns0:v>0</ns0:v>
      </ns0:c>
      <ns0:c r="J57" s="0">
        <ns0:f>IFERROR(IF(AND('_Engine'!$X57=1,ISNUMBER(Settings!$F26),Settings!$F26&gt;0,MID('_Engine'!$AP57,WEEKDAY(Settings!$F26,2),1)="W"),Settings!$F26,0),0)</ns0:f>
        <ns0:v>0</ns0:v>
      </ns0:c>
      <ns0:c r="K57" s="0">
        <ns0:f>IFERROR(IF(AND('_Engine'!$X57=1,ISNUMBER(Settings!$F27),Settings!$F27&gt;0,MID('_Engine'!$AP57,WEEKDAY(Settings!$F27,2),1)="W"),Settings!$F27,0),0)</ns0:f>
        <ns0:v>0</ns0:v>
      </ns0:c>
      <ns0:c r="L57" s="0">
        <ns0:f>IFERROR(IF(AND('_Engine'!$X57=1,ISNUMBER(Settings!$F28),Settings!$F28&gt;0,MID('_Engine'!$AP57,WEEKDAY(Settings!$F28,2),1)="W"),Settings!$F28,0),0)</ns0:f>
        <ns0:v>0</ns0:v>
      </ns0:c>
      <ns0:c r="M57" s="0">
        <ns0:f>IFERROR(IF(AND('_Engine'!$X57=1,ISNUMBER(Settings!$F29),Settings!$F29&gt;0,MID('_Engine'!$AP57,WEEKDAY(Settings!$F29,2),1)="W"),Settings!$F29,0),0)</ns0:f>
        <ns0:v>0</ns0:v>
      </ns0:c>
      <ns0:c r="N57" s="0">
        <ns0:f>IFERROR(IF(AND('_Engine'!$X57=1,ISNUMBER(Settings!$F30),Settings!$F30&gt;0,MID('_Engine'!$AP57,WEEKDAY(Settings!$F30,2),1)="W"),Settings!$F30,0),0)</ns0:f>
        <ns0:v>0</ns0:v>
      </ns0:c>
      <ns0:c r="O57" s="0">
        <ns0:f>IFERROR(IF(AND('_Engine'!$X57=1,ISNUMBER(Settings!$F31),Settings!$F31&gt;0,MID('_Engine'!$AP57,WEEKDAY(Settings!$F31,2),1)="W"),Settings!$F31,0),0)</ns0:f>
        <ns0:v>0</ns0:v>
      </ns0:c>
      <ns0:c r="P57" s="0">
        <ns0:f>IFERROR(IF(AND('_Engine'!$X57=1,ISNUMBER(Settings!$F32),Settings!$F32&gt;0,MID('_Engine'!$AP57,WEEKDAY(Settings!$F32,2),1)="W"),Settings!$F32,0),0)</ns0:f>
        <ns0:v>0</ns0:v>
      </ns0:c>
      <ns0:c r="Q57" s="0">
        <ns0:f>IFERROR(IF(AND('_Engine'!$X57=1,ISNUMBER(Settings!$F33),Settings!$F33&gt;0,MID('_Engine'!$AP57,WEEKDAY(Settings!$F33,2),1)="W"),Settings!$F33,0),0)</ns0:f>
        <ns0:v>0</ns0:v>
      </ns0:c>
      <ns0:c r="R57" s="0">
        <ns0:f>IFERROR(IF(AND('_Engine'!$X57=1,ISNUMBER(Settings!$F34),Settings!$F34&gt;0,MID('_Engine'!$AP57,WEEKDAY(Settings!$F34,2),1)="W"),Settings!$F34,0),0)</ns0:f>
        <ns0:v>0</ns0:v>
      </ns0:c>
      <ns0:c r="S57" s="0">
        <ns0:f>IFERROR(IF(AND('_Engine'!$X57=1,ISNUMBER(Settings!$F35),Settings!$F35&gt;0,MID('_Engine'!$AP57,WEEKDAY(Settings!$F35,2),1)="W"),Settings!$F35,0),0)</ns0:f>
        <ns0:v>0</ns0:v>
      </ns0:c>
      <ns0:c r="T57" s="0">
        <ns0:f>IFERROR(IF(AND('_Engine'!$X57=1,ISNUMBER(Settings!$F36),Settings!$F36&gt;0,MID('_Engine'!$AP57,WEEKDAY(Settings!$F36,2),1)="W"),Settings!$F36,0),0)</ns0:f>
        <ns0:v>0</ns0:v>
      </ns0:c>
      <ns0:c r="U57" s="0">
        <ns0:f>IFERROR(IF(AND('_Engine'!$X57=1,ISNUMBER(Settings!$F37),Settings!$F37&gt;0,MID('_Engine'!$AP57,WEEKDAY(Settings!$F37,2),1)="W"),Settings!$F37,0),0)</ns0:f>
        <ns0:v>0</ns0:v>
      </ns0:c>
      <ns0:c r="V57" s="0">
        <ns0:f>IFERROR(IF(AND('_Engine'!$X57=1,ISNUMBER(Settings!$F38),Settings!$F38&gt;0,MID('_Engine'!$AP57,WEEKDAY(Settings!$F38,2),1)="W"),Settings!$F38,0),0)</ns0:f>
        <ns0:v>0</ns0:v>
      </ns0:c>
      <ns0:c r="W57" s="0">
        <ns0:f>IFERROR(IF(AND('_Engine'!$X57=1,ISNUMBER(Settings!$F39),Settings!$F39&gt;0,MID('_Engine'!$AP57,WEEKDAY(Settings!$F39,2),1)="W"),Settings!$F39,0),0)</ns0:f>
        <ns0:v>0</ns0:v>
      </ns0:c>
      <ns0:c r="X57" s="0">
        <ns0:f>IFERROR(IF(AND('_Engine'!$X57=1,ISNUMBER(Settings!$F40),Settings!$F40&gt;0,MID('_Engine'!$AP57,WEEKDAY(Settings!$F40,2),1)="W"),Settings!$F40,0),0)</ns0:f>
        <ns0:v>0</ns0:v>
      </ns0:c>
      <ns0:c r="Y57" s="0">
        <ns0:f>IFERROR(IF(AND('_Engine'!$X57=1,ISNUMBER(Settings!$F41),Settings!$F41&gt;0,MID('_Engine'!$AP57,WEEKDAY(Settings!$F41,2),1)="W"),Settings!$F41,0),0)</ns0:f>
        <ns0:v>0</ns0:v>
      </ns0:c>
      <ns0:c r="Z57" s="0">
        <ns0:f>IFERROR(IF(AND('_Engine'!$X57=1,ISNUMBER(Settings!$F42),Settings!$F42&gt;0,MID('_Engine'!$AP57,WEEKDAY(Settings!$F42,2),1)="W"),Settings!$F42,0),0)</ns0:f>
        <ns0:v>0</ns0:v>
      </ns0:c>
      <ns0:c r="AA57" s="0">
        <ns0:f>IFERROR(IF(AND('_Engine'!$X57=1,ISNUMBER(Settings!$F43),Settings!$F43&gt;0,MID('_Engine'!$AP57,WEEKDAY(Settings!$F43,2),1)="W"),Settings!$F43,0),0)</ns0:f>
        <ns0:v>0</ns0:v>
      </ns0:c>
      <ns0:c r="AB57" s="0">
        <ns0:f>IFERROR(IF(AND('_Engine'!$X57=1,ISNUMBER(Settings!$F44),Settings!$F44&gt;0,MID('_Engine'!$AP57,WEEKDAY(Settings!$F44,2),1)="W"),Settings!$F44,0),0)</ns0:f>
        <ns0:v>0</ns0:v>
      </ns0:c>
      <ns0:c r="AC57" s="0">
        <ns0:f>IFERROR(IF(AND('_Engine'!$X57=1,ISNUMBER(Settings!$F45),Settings!$F45&gt;0,MID('_Engine'!$AP57,WEEKDAY(Settings!$F45,2),1)="W"),Settings!$F45,0),0)</ns0:f>
        <ns0:v>0</ns0:v>
      </ns0:c>
      <ns0:c r="AD57" s="0">
        <ns0:f>IFERROR(IF(AND('_Engine'!$X57=1,ISNUMBER(Settings!$F46),Settings!$F46&gt;0,MID('_Engine'!$AP57,WEEKDAY(Settings!$F46,2),1)="W"),Settings!$F46,0),0)</ns0:f>
        <ns0:v>0</ns0:v>
      </ns0:c>
      <ns0:c r="AE57" s="0">
        <ns0:f>IFERROR(IF(AND('_Engine'!$X57=1,ISNUMBER(Settings!$F47),Settings!$F47&gt;0,MID('_Engine'!$AP57,WEEKDAY(Settings!$F47,2),1)="W"),Settings!$F47,0),0)</ns0:f>
        <ns0:v>0</ns0:v>
      </ns0:c>
      <ns0:c r="AF57" s="0">
        <ns0:f>IFERROR(IF(AND('_Engine'!$X57=1,ISNUMBER(Settings!$F48),Settings!$F48&gt;0,MID('_Engine'!$AP57,WEEKDAY(Settings!$F48,2),1)="W"),Settings!$F48,0),0)</ns0:f>
        <ns0:v>0</ns0:v>
      </ns0:c>
      <ns0:c r="AG57" s="0">
        <ns0:f>IFERROR(IF(AND('_Engine'!$X57=1,ISNUMBER(Settings!$F49),Settings!$F49&gt;0,MID('_Engine'!$AP57,WEEKDAY(Settings!$F49,2),1)="W"),Settings!$F49,0),0)</ns0:f>
        <ns0:v>0</ns0:v>
      </ns0:c>
      <ns0:c r="AH57" s="0">
        <ns0:f>IFERROR(IF(AND('_Engine'!$X57=1,ISNUMBER(Settings!$F50),Settings!$F50&gt;0,MID('_Engine'!$AP57,WEEKDAY(Settings!$F50,2),1)="W"),Settings!$F50,0),0)</ns0:f>
        <ns0:v>0</ns0:v>
      </ns0:c>
      <ns0:c r="AI57" s="0">
        <ns0:f>IFERROR(IF(AND('_Engine'!$X57=1,ISNUMBER(Settings!$F51),Settings!$F51&gt;0,MID('_Engine'!$AP57,WEEKDAY(Settings!$F51,2),1)="W"),Settings!$F51,0),0)</ns0:f>
        <ns0:v>0</ns0:v>
      </ns0:c>
      <ns0:c r="AJ57" s="0">
        <ns0:f>IFERROR(IF(AND('_Engine'!$X57=1,ISNUMBER(Settings!$F52),Settings!$F52&gt;0,MID('_Engine'!$AP57,WEEKDAY(Settings!$F52,2),1)="W"),Settings!$F52,0),0)</ns0:f>
        <ns0:v>0</ns0:v>
      </ns0:c>
      <ns0:c r="AK57" s="0">
        <ns0:f>IFERROR(IF(AND('_Engine'!$X57=1,ISNUMBER(Settings!$F53),Settings!$F53&gt;0,MID('_Engine'!$AP57,WEEKDAY(Settings!$F53,2),1)="W"),Settings!$F53,0),0)</ns0:f>
        <ns0:v>0</ns0:v>
      </ns0:c>
      <ns0:c r="AL57" s="0">
        <ns0:f>IFERROR(IF(AND('_Engine'!$X57=1,ISNUMBER(Settings!$F54),Settings!$F54&gt;0,MID('_Engine'!$AP57,WEEKDAY(Settings!$F54,2),1)="W"),Settings!$F54,0),0)</ns0:f>
        <ns0:v>0</ns0:v>
      </ns0:c>
      <ns0:c r="AM57" s="0">
        <ns0:f>IFERROR(IF(AND('_Engine'!$X57=1,ISNUMBER(Settings!$F55),Settings!$F55&gt;0,MID('_Engine'!$AP57,WEEKDAY(Settings!$F55,2),1)="W"),Settings!$F55,0),0)</ns0:f>
        <ns0:v>0</ns0:v>
      </ns0:c>
      <ns0:c r="AN57" s="0">
        <ns0:f>IFERROR(IF(AND('_Engine'!$X57=1,ISNUMBER(Settings!$F56),Settings!$F56&gt;0,MID('_Engine'!$AP57,WEEKDAY(Settings!$F56,2),1)="W"),Settings!$F56,0),0)</ns0:f>
        <ns0:v>0</ns0:v>
      </ns0:c>
      <ns0:c r="AO57" s="0">
        <ns0:f>IFERROR(IF(AND('_Engine'!$X57=1,ISNUMBER(Settings!$F57),Settings!$F57&gt;0,MID('_Engine'!$AP57,WEEKDAY(Settings!$F57,2),1)="W"),Settings!$F57,0),0)</ns0:f>
        <ns0:v>0</ns0:v>
      </ns0:c>
      <ns0:c r="AP57" s="0">
        <ns0:f>IFERROR(IF(AND('_Engine'!$X57=1,ISNUMBER(Settings!$F58),Settings!$F58&gt;0,MID('_Engine'!$AP57,WEEKDAY(Settings!$F58,2),1)="W"),Settings!$F58,0),0)</ns0:f>
        <ns0:v>0</ns0:v>
      </ns0:c>
      <ns0:c r="AQ57" s="0">
        <ns0:f>IFERROR(IF(AND('_Engine'!$X57=1,ISNUMBER(Settings!$F59),Settings!$F59&gt;0,MID('_Engine'!$AP57,WEEKDAY(Settings!$F59,2),1)="W"),Settings!$F59,0),0)</ns0:f>
        <ns0:v>0</ns0:v>
      </ns0:c>
      <ns0:c r="AR57" s="0">
        <ns0:f>IFERROR(IF(AND('_Engine'!$X57=1,ISNUMBER(Settings!$F60),Settings!$F60&gt;0,MID('_Engine'!$AP57,WEEKDAY(Settings!$F60,2),1)="W"),Settings!$F60,0),0)</ns0:f>
        <ns0:v>0</ns0:v>
      </ns0:c>
      <ns0:c r="AS57" s="0">
        <ns0:f>IFERROR(IF(AND('_Engine'!$X57=1,ISNUMBER(Settings!$F61),Settings!$F61&gt;0,MID('_Engine'!$AP57,WEEKDAY(Settings!$F61,2),1)="W"),Settings!$F61,0),0)</ns0:f>
        <ns0:v>0</ns0:v>
      </ns0:c>
      <ns0:c r="AT57" s="0">
        <ns0:f>IFERROR(IF(AND('_Engine'!$X57=1,ISNUMBER(Settings!$F62),Settings!$F62&gt;0,MID('_Engine'!$AP57,WEEKDAY(Settings!$F62,2),1)="W"),Settings!$F62,0),0)</ns0:f>
        <ns0:v>0</ns0:v>
      </ns0:c>
      <ns0:c r="AU57" s="0">
        <ns0:f>IFERROR(IF(AND('_Engine'!$X57=1,ISNUMBER(Settings!$F63),Settings!$F63&gt;0,MID('_Engine'!$AP57,WEEKDAY(Settings!$F63,2),1)="W"),Settings!$F63,0),0)</ns0:f>
        <ns0:v>0</ns0:v>
      </ns0:c>
      <ns0:c r="AV57" s="0">
        <ns0:f>IFERROR(IF(AND('_Engine'!$X57=1,ISNUMBER(Settings!$F64),Settings!$F64&gt;0,MID('_Engine'!$AP57,WEEKDAY(Settings!$F64,2),1)="W"),Settings!$F64,0),0)</ns0:f>
        <ns0:v>0</ns0:v>
      </ns0:c>
      <ns0:c r="AW57" s="0">
        <ns0:f>IFERROR(IF(AND('_Engine'!$X57=1,ISNUMBER(Settings!$F65),Settings!$F65&gt;0,MID('_Engine'!$AP57,WEEKDAY(Settings!$F65,2),1)="W"),Settings!$F65,0),0)</ns0:f>
        <ns0:v>0</ns0:v>
      </ns0:c>
      <ns0:c r="AX57" s="0">
        <ns0:f>IFERROR(IF(AND('_Engine'!$X57=1,ISNUMBER(Settings!$F66),Settings!$F66&gt;0,MID('_Engine'!$AP57,WEEKDAY(Settings!$F66,2),1)="W"),Settings!$F66,0),0)</ns0:f>
        <ns0:v>0</ns0:v>
      </ns0:c>
      <ns0:c r="AY57" s="0">
        <ns0:f>IFERROR(IF(AND('_Engine'!$X57=1,ISNUMBER(Settings!$F67),Settings!$F67&gt;0,MID('_Engine'!$AP57,WEEKDAY(Settings!$F67,2),1)="W"),Settings!$F67,0),0)</ns0:f>
        <ns0:v>0</ns0:v>
      </ns0:c>
    </ns0:row>
    <ns0:row r="58">
      <ns0:c r="B58" s="0">
        <ns0:f>IFERROR(IF(AND('_Engine'!$X58=1,ISNUMBER(Settings!$F18),Settings!$F18&gt;0,MID('_Engine'!$AP58,WEEKDAY(Settings!$F18,2),1)="W"),Settings!$F18,0),0)</ns0:f>
        <ns0:v>0</ns0:v>
      </ns0:c>
      <ns0:c r="C58" s="0">
        <ns0:f>IFERROR(IF(AND('_Engine'!$X58=1,ISNUMBER(Settings!$F19),Settings!$F19&gt;0,MID('_Engine'!$AP58,WEEKDAY(Settings!$F19,2),1)="W"),Settings!$F19,0),0)</ns0:f>
        <ns0:v>0</ns0:v>
      </ns0:c>
      <ns0:c r="D58" s="0">
        <ns0:f>IFERROR(IF(AND('_Engine'!$X58=1,ISNUMBER(Settings!$F20),Settings!$F20&gt;0,MID('_Engine'!$AP58,WEEKDAY(Settings!$F20,2),1)="W"),Settings!$F20,0),0)</ns0:f>
        <ns0:v>0</ns0:v>
      </ns0:c>
      <ns0:c r="E58" s="0">
        <ns0:f>IFERROR(IF(AND('_Engine'!$X58=1,ISNUMBER(Settings!$F21),Settings!$F21&gt;0,MID('_Engine'!$AP58,WEEKDAY(Settings!$F21,2),1)="W"),Settings!$F21,0),0)</ns0:f>
        <ns0:v>0</ns0:v>
      </ns0:c>
      <ns0:c r="F58" s="0">
        <ns0:f>IFERROR(IF(AND('_Engine'!$X58=1,ISNUMBER(Settings!$F22),Settings!$F22&gt;0,MID('_Engine'!$AP58,WEEKDAY(Settings!$F22,2),1)="W"),Settings!$F22,0),0)</ns0:f>
        <ns0:v>0</ns0:v>
      </ns0:c>
      <ns0:c r="G58" s="0">
        <ns0:f>IFERROR(IF(AND('_Engine'!$X58=1,ISNUMBER(Settings!$F23),Settings!$F23&gt;0,MID('_Engine'!$AP58,WEEKDAY(Settings!$F23,2),1)="W"),Settings!$F23,0),0)</ns0:f>
        <ns0:v>0</ns0:v>
      </ns0:c>
      <ns0:c r="H58" s="0">
        <ns0:f>IFERROR(IF(AND('_Engine'!$X58=1,ISNUMBER(Settings!$F24),Settings!$F24&gt;0,MID('_Engine'!$AP58,WEEKDAY(Settings!$F24,2),1)="W"),Settings!$F24,0),0)</ns0:f>
        <ns0:v>0</ns0:v>
      </ns0:c>
      <ns0:c r="I58" s="0">
        <ns0:f>IFERROR(IF(AND('_Engine'!$X58=1,ISNUMBER(Settings!$F25),Settings!$F25&gt;0,MID('_Engine'!$AP58,WEEKDAY(Settings!$F25,2),1)="W"),Settings!$F25,0),0)</ns0:f>
        <ns0:v>0</ns0:v>
      </ns0:c>
      <ns0:c r="J58" s="0">
        <ns0:f>IFERROR(IF(AND('_Engine'!$X58=1,ISNUMBER(Settings!$F26),Settings!$F26&gt;0,MID('_Engine'!$AP58,WEEKDAY(Settings!$F26,2),1)="W"),Settings!$F26,0),0)</ns0:f>
        <ns0:v>0</ns0:v>
      </ns0:c>
      <ns0:c r="K58" s="0">
        <ns0:f>IFERROR(IF(AND('_Engine'!$X58=1,ISNUMBER(Settings!$F27),Settings!$F27&gt;0,MID('_Engine'!$AP58,WEEKDAY(Settings!$F27,2),1)="W"),Settings!$F27,0),0)</ns0:f>
        <ns0:v>0</ns0:v>
      </ns0:c>
      <ns0:c r="L58" s="0">
        <ns0:f>IFERROR(IF(AND('_Engine'!$X58=1,ISNUMBER(Settings!$F28),Settings!$F28&gt;0,MID('_Engine'!$AP58,WEEKDAY(Settings!$F28,2),1)="W"),Settings!$F28,0),0)</ns0:f>
        <ns0:v>0</ns0:v>
      </ns0:c>
      <ns0:c r="M58" s="0">
        <ns0:f>IFERROR(IF(AND('_Engine'!$X58=1,ISNUMBER(Settings!$F29),Settings!$F29&gt;0,MID('_Engine'!$AP58,WEEKDAY(Settings!$F29,2),1)="W"),Settings!$F29,0),0)</ns0:f>
        <ns0:v>0</ns0:v>
      </ns0:c>
      <ns0:c r="N58" s="0">
        <ns0:f>IFERROR(IF(AND('_Engine'!$X58=1,ISNUMBER(Settings!$F30),Settings!$F30&gt;0,MID('_Engine'!$AP58,WEEKDAY(Settings!$F30,2),1)="W"),Settings!$F30,0),0)</ns0:f>
        <ns0:v>0</ns0:v>
      </ns0:c>
      <ns0:c r="O58" s="0">
        <ns0:f>IFERROR(IF(AND('_Engine'!$X58=1,ISNUMBER(Settings!$F31),Settings!$F31&gt;0,MID('_Engine'!$AP58,WEEKDAY(Settings!$F31,2),1)="W"),Settings!$F31,0),0)</ns0:f>
        <ns0:v>0</ns0:v>
      </ns0:c>
      <ns0:c r="P58" s="0">
        <ns0:f>IFERROR(IF(AND('_Engine'!$X58=1,ISNUMBER(Settings!$F32),Settings!$F32&gt;0,MID('_Engine'!$AP58,WEEKDAY(Settings!$F32,2),1)="W"),Settings!$F32,0),0)</ns0:f>
        <ns0:v>0</ns0:v>
      </ns0:c>
      <ns0:c r="Q58" s="0">
        <ns0:f>IFERROR(IF(AND('_Engine'!$X58=1,ISNUMBER(Settings!$F33),Settings!$F33&gt;0,MID('_Engine'!$AP58,WEEKDAY(Settings!$F33,2),1)="W"),Settings!$F33,0),0)</ns0:f>
        <ns0:v>0</ns0:v>
      </ns0:c>
      <ns0:c r="R58" s="0">
        <ns0:f>IFERROR(IF(AND('_Engine'!$X58=1,ISNUMBER(Settings!$F34),Settings!$F34&gt;0,MID('_Engine'!$AP58,WEEKDAY(Settings!$F34,2),1)="W"),Settings!$F34,0),0)</ns0:f>
        <ns0:v>0</ns0:v>
      </ns0:c>
      <ns0:c r="S58" s="0">
        <ns0:f>IFERROR(IF(AND('_Engine'!$X58=1,ISNUMBER(Settings!$F35),Settings!$F35&gt;0,MID('_Engine'!$AP58,WEEKDAY(Settings!$F35,2),1)="W"),Settings!$F35,0),0)</ns0:f>
        <ns0:v>0</ns0:v>
      </ns0:c>
      <ns0:c r="T58" s="0">
        <ns0:f>IFERROR(IF(AND('_Engine'!$X58=1,ISNUMBER(Settings!$F36),Settings!$F36&gt;0,MID('_Engine'!$AP58,WEEKDAY(Settings!$F36,2),1)="W"),Settings!$F36,0),0)</ns0:f>
        <ns0:v>0</ns0:v>
      </ns0:c>
      <ns0:c r="U58" s="0">
        <ns0:f>IFERROR(IF(AND('_Engine'!$X58=1,ISNUMBER(Settings!$F37),Settings!$F37&gt;0,MID('_Engine'!$AP58,WEEKDAY(Settings!$F37,2),1)="W"),Settings!$F37,0),0)</ns0:f>
        <ns0:v>0</ns0:v>
      </ns0:c>
      <ns0:c r="V58" s="0">
        <ns0:f>IFERROR(IF(AND('_Engine'!$X58=1,ISNUMBER(Settings!$F38),Settings!$F38&gt;0,MID('_Engine'!$AP58,WEEKDAY(Settings!$F38,2),1)="W"),Settings!$F38,0),0)</ns0:f>
        <ns0:v>0</ns0:v>
      </ns0:c>
      <ns0:c r="W58" s="0">
        <ns0:f>IFERROR(IF(AND('_Engine'!$X58=1,ISNUMBER(Settings!$F39),Settings!$F39&gt;0,MID('_Engine'!$AP58,WEEKDAY(Settings!$F39,2),1)="W"),Settings!$F39,0),0)</ns0:f>
        <ns0:v>0</ns0:v>
      </ns0:c>
      <ns0:c r="X58" s="0">
        <ns0:f>IFERROR(IF(AND('_Engine'!$X58=1,ISNUMBER(Settings!$F40),Settings!$F40&gt;0,MID('_Engine'!$AP58,WEEKDAY(Settings!$F40,2),1)="W"),Settings!$F40,0),0)</ns0:f>
        <ns0:v>0</ns0:v>
      </ns0:c>
      <ns0:c r="Y58" s="0">
        <ns0:f>IFERROR(IF(AND('_Engine'!$X58=1,ISNUMBER(Settings!$F41),Settings!$F41&gt;0,MID('_Engine'!$AP58,WEEKDAY(Settings!$F41,2),1)="W"),Settings!$F41,0),0)</ns0:f>
        <ns0:v>0</ns0:v>
      </ns0:c>
      <ns0:c r="Z58" s="0">
        <ns0:f>IFERROR(IF(AND('_Engine'!$X58=1,ISNUMBER(Settings!$F42),Settings!$F42&gt;0,MID('_Engine'!$AP58,WEEKDAY(Settings!$F42,2),1)="W"),Settings!$F42,0),0)</ns0:f>
        <ns0:v>0</ns0:v>
      </ns0:c>
      <ns0:c r="AA58" s="0">
        <ns0:f>IFERROR(IF(AND('_Engine'!$X58=1,ISNUMBER(Settings!$F43),Settings!$F43&gt;0,MID('_Engine'!$AP58,WEEKDAY(Settings!$F43,2),1)="W"),Settings!$F43,0),0)</ns0:f>
        <ns0:v>0</ns0:v>
      </ns0:c>
      <ns0:c r="AB58" s="0">
        <ns0:f>IFERROR(IF(AND('_Engine'!$X58=1,ISNUMBER(Settings!$F44),Settings!$F44&gt;0,MID('_Engine'!$AP58,WEEKDAY(Settings!$F44,2),1)="W"),Settings!$F44,0),0)</ns0:f>
        <ns0:v>0</ns0:v>
      </ns0:c>
      <ns0:c r="AC58" s="0">
        <ns0:f>IFERROR(IF(AND('_Engine'!$X58=1,ISNUMBER(Settings!$F45),Settings!$F45&gt;0,MID('_Engine'!$AP58,WEEKDAY(Settings!$F45,2),1)="W"),Settings!$F45,0),0)</ns0:f>
        <ns0:v>0</ns0:v>
      </ns0:c>
      <ns0:c r="AD58" s="0">
        <ns0:f>IFERROR(IF(AND('_Engine'!$X58=1,ISNUMBER(Settings!$F46),Settings!$F46&gt;0,MID('_Engine'!$AP58,WEEKDAY(Settings!$F46,2),1)="W"),Settings!$F46,0),0)</ns0:f>
        <ns0:v>0</ns0:v>
      </ns0:c>
      <ns0:c r="AE58" s="0">
        <ns0:f>IFERROR(IF(AND('_Engine'!$X58=1,ISNUMBER(Settings!$F47),Settings!$F47&gt;0,MID('_Engine'!$AP58,WEEKDAY(Settings!$F47,2),1)="W"),Settings!$F47,0),0)</ns0:f>
        <ns0:v>0</ns0:v>
      </ns0:c>
      <ns0:c r="AF58" s="0">
        <ns0:f>IFERROR(IF(AND('_Engine'!$X58=1,ISNUMBER(Settings!$F48),Settings!$F48&gt;0,MID('_Engine'!$AP58,WEEKDAY(Settings!$F48,2),1)="W"),Settings!$F48,0),0)</ns0:f>
        <ns0:v>0</ns0:v>
      </ns0:c>
      <ns0:c r="AG58" s="0">
        <ns0:f>IFERROR(IF(AND('_Engine'!$X58=1,ISNUMBER(Settings!$F49),Settings!$F49&gt;0,MID('_Engine'!$AP58,WEEKDAY(Settings!$F49,2),1)="W"),Settings!$F49,0),0)</ns0:f>
        <ns0:v>0</ns0:v>
      </ns0:c>
      <ns0:c r="AH58" s="0">
        <ns0:f>IFERROR(IF(AND('_Engine'!$X58=1,ISNUMBER(Settings!$F50),Settings!$F50&gt;0,MID('_Engine'!$AP58,WEEKDAY(Settings!$F50,2),1)="W"),Settings!$F50,0),0)</ns0:f>
        <ns0:v>0</ns0:v>
      </ns0:c>
      <ns0:c r="AI58" s="0">
        <ns0:f>IFERROR(IF(AND('_Engine'!$X58=1,ISNUMBER(Settings!$F51),Settings!$F51&gt;0,MID('_Engine'!$AP58,WEEKDAY(Settings!$F51,2),1)="W"),Settings!$F51,0),0)</ns0:f>
        <ns0:v>0</ns0:v>
      </ns0:c>
      <ns0:c r="AJ58" s="0">
        <ns0:f>IFERROR(IF(AND('_Engine'!$X58=1,ISNUMBER(Settings!$F52),Settings!$F52&gt;0,MID('_Engine'!$AP58,WEEKDAY(Settings!$F52,2),1)="W"),Settings!$F52,0),0)</ns0:f>
        <ns0:v>0</ns0:v>
      </ns0:c>
      <ns0:c r="AK58" s="0">
        <ns0:f>IFERROR(IF(AND('_Engine'!$X58=1,ISNUMBER(Settings!$F53),Settings!$F53&gt;0,MID('_Engine'!$AP58,WEEKDAY(Settings!$F53,2),1)="W"),Settings!$F53,0),0)</ns0:f>
        <ns0:v>0</ns0:v>
      </ns0:c>
      <ns0:c r="AL58" s="0">
        <ns0:f>IFERROR(IF(AND('_Engine'!$X58=1,ISNUMBER(Settings!$F54),Settings!$F54&gt;0,MID('_Engine'!$AP58,WEEKDAY(Settings!$F54,2),1)="W"),Settings!$F54,0),0)</ns0:f>
        <ns0:v>0</ns0:v>
      </ns0:c>
      <ns0:c r="AM58" s="0">
        <ns0:f>IFERROR(IF(AND('_Engine'!$X58=1,ISNUMBER(Settings!$F55),Settings!$F55&gt;0,MID('_Engine'!$AP58,WEEKDAY(Settings!$F55,2),1)="W"),Settings!$F55,0),0)</ns0:f>
        <ns0:v>0</ns0:v>
      </ns0:c>
      <ns0:c r="AN58" s="0">
        <ns0:f>IFERROR(IF(AND('_Engine'!$X58=1,ISNUMBER(Settings!$F56),Settings!$F56&gt;0,MID('_Engine'!$AP58,WEEKDAY(Settings!$F56,2),1)="W"),Settings!$F56,0),0)</ns0:f>
        <ns0:v>0</ns0:v>
      </ns0:c>
      <ns0:c r="AO58" s="0">
        <ns0:f>IFERROR(IF(AND('_Engine'!$X58=1,ISNUMBER(Settings!$F57),Settings!$F57&gt;0,MID('_Engine'!$AP58,WEEKDAY(Settings!$F57,2),1)="W"),Settings!$F57,0),0)</ns0:f>
        <ns0:v>0</ns0:v>
      </ns0:c>
      <ns0:c r="AP58" s="0">
        <ns0:f>IFERROR(IF(AND('_Engine'!$X58=1,ISNUMBER(Settings!$F58),Settings!$F58&gt;0,MID('_Engine'!$AP58,WEEKDAY(Settings!$F58,2),1)="W"),Settings!$F58,0),0)</ns0:f>
        <ns0:v>0</ns0:v>
      </ns0:c>
      <ns0:c r="AQ58" s="0">
        <ns0:f>IFERROR(IF(AND('_Engine'!$X58=1,ISNUMBER(Settings!$F59),Settings!$F59&gt;0,MID('_Engine'!$AP58,WEEKDAY(Settings!$F59,2),1)="W"),Settings!$F59,0),0)</ns0:f>
        <ns0:v>0</ns0:v>
      </ns0:c>
      <ns0:c r="AR58" s="0">
        <ns0:f>IFERROR(IF(AND('_Engine'!$X58=1,ISNUMBER(Settings!$F60),Settings!$F60&gt;0,MID('_Engine'!$AP58,WEEKDAY(Settings!$F60,2),1)="W"),Settings!$F60,0),0)</ns0:f>
        <ns0:v>0</ns0:v>
      </ns0:c>
      <ns0:c r="AS58" s="0">
        <ns0:f>IFERROR(IF(AND('_Engine'!$X58=1,ISNUMBER(Settings!$F61),Settings!$F61&gt;0,MID('_Engine'!$AP58,WEEKDAY(Settings!$F61,2),1)="W"),Settings!$F61,0),0)</ns0:f>
        <ns0:v>0</ns0:v>
      </ns0:c>
      <ns0:c r="AT58" s="0">
        <ns0:f>IFERROR(IF(AND('_Engine'!$X58=1,ISNUMBER(Settings!$F62),Settings!$F62&gt;0,MID('_Engine'!$AP58,WEEKDAY(Settings!$F62,2),1)="W"),Settings!$F62,0),0)</ns0:f>
        <ns0:v>0</ns0:v>
      </ns0:c>
      <ns0:c r="AU58" s="0">
        <ns0:f>IFERROR(IF(AND('_Engine'!$X58=1,ISNUMBER(Settings!$F63),Settings!$F63&gt;0,MID('_Engine'!$AP58,WEEKDAY(Settings!$F63,2),1)="W"),Settings!$F63,0),0)</ns0:f>
        <ns0:v>0</ns0:v>
      </ns0:c>
      <ns0:c r="AV58" s="0">
        <ns0:f>IFERROR(IF(AND('_Engine'!$X58=1,ISNUMBER(Settings!$F64),Settings!$F64&gt;0,MID('_Engine'!$AP58,WEEKDAY(Settings!$F64,2),1)="W"),Settings!$F64,0),0)</ns0:f>
        <ns0:v>0</ns0:v>
      </ns0:c>
      <ns0:c r="AW58" s="0">
        <ns0:f>IFERROR(IF(AND('_Engine'!$X58=1,ISNUMBER(Settings!$F65),Settings!$F65&gt;0,MID('_Engine'!$AP58,WEEKDAY(Settings!$F65,2),1)="W"),Settings!$F65,0),0)</ns0:f>
        <ns0:v>0</ns0:v>
      </ns0:c>
      <ns0:c r="AX58" s="0">
        <ns0:f>IFERROR(IF(AND('_Engine'!$X58=1,ISNUMBER(Settings!$F66),Settings!$F66&gt;0,MID('_Engine'!$AP58,WEEKDAY(Settings!$F66,2),1)="W"),Settings!$F66,0),0)</ns0:f>
        <ns0:v>0</ns0:v>
      </ns0:c>
      <ns0:c r="AY58" s="0">
        <ns0:f>IFERROR(IF(AND('_Engine'!$X58=1,ISNUMBER(Settings!$F67),Settings!$F67&gt;0,MID('_Engine'!$AP58,WEEKDAY(Settings!$F67,2),1)="W"),Settings!$F67,0),0)</ns0:f>
        <ns0:v>0</ns0:v>
      </ns0:c>
    </ns0:row>
    <ns0:row r="59">
      <ns0:c r="B59" s="0">
        <ns0:f>IFERROR(IF(AND('_Engine'!$X59=1,ISNUMBER(Settings!$F18),Settings!$F18&gt;0,MID('_Engine'!$AP59,WEEKDAY(Settings!$F18,2),1)="W"),Settings!$F18,0),0)</ns0:f>
        <ns0:v>0</ns0:v>
      </ns0:c>
      <ns0:c r="C59" s="0">
        <ns0:f>IFERROR(IF(AND('_Engine'!$X59=1,ISNUMBER(Settings!$F19),Settings!$F19&gt;0,MID('_Engine'!$AP59,WEEKDAY(Settings!$F19,2),1)="W"),Settings!$F19,0),0)</ns0:f>
        <ns0:v>0</ns0:v>
      </ns0:c>
      <ns0:c r="D59" s="0">
        <ns0:f>IFERROR(IF(AND('_Engine'!$X59=1,ISNUMBER(Settings!$F20),Settings!$F20&gt;0,MID('_Engine'!$AP59,WEEKDAY(Settings!$F20,2),1)="W"),Settings!$F20,0),0)</ns0:f>
        <ns0:v>0</ns0:v>
      </ns0:c>
      <ns0:c r="E59" s="0">
        <ns0:f>IFERROR(IF(AND('_Engine'!$X59=1,ISNUMBER(Settings!$F21),Settings!$F21&gt;0,MID('_Engine'!$AP59,WEEKDAY(Settings!$F21,2),1)="W"),Settings!$F21,0),0)</ns0:f>
        <ns0:v>0</ns0:v>
      </ns0:c>
      <ns0:c r="F59" s="0">
        <ns0:f>IFERROR(IF(AND('_Engine'!$X59=1,ISNUMBER(Settings!$F22),Settings!$F22&gt;0,MID('_Engine'!$AP59,WEEKDAY(Settings!$F22,2),1)="W"),Settings!$F22,0),0)</ns0:f>
        <ns0:v>0</ns0:v>
      </ns0:c>
      <ns0:c r="G59" s="0">
        <ns0:f>IFERROR(IF(AND('_Engine'!$X59=1,ISNUMBER(Settings!$F23),Settings!$F23&gt;0,MID('_Engine'!$AP59,WEEKDAY(Settings!$F23,2),1)="W"),Settings!$F23,0),0)</ns0:f>
        <ns0:v>0</ns0:v>
      </ns0:c>
      <ns0:c r="H59" s="0">
        <ns0:f>IFERROR(IF(AND('_Engine'!$X59=1,ISNUMBER(Settings!$F24),Settings!$F24&gt;0,MID('_Engine'!$AP59,WEEKDAY(Settings!$F24,2),1)="W"),Settings!$F24,0),0)</ns0:f>
        <ns0:v>0</ns0:v>
      </ns0:c>
      <ns0:c r="I59" s="0">
        <ns0:f>IFERROR(IF(AND('_Engine'!$X59=1,ISNUMBER(Settings!$F25),Settings!$F25&gt;0,MID('_Engine'!$AP59,WEEKDAY(Settings!$F25,2),1)="W"),Settings!$F25,0),0)</ns0:f>
        <ns0:v>0</ns0:v>
      </ns0:c>
      <ns0:c r="J59" s="0">
        <ns0:f>IFERROR(IF(AND('_Engine'!$X59=1,ISNUMBER(Settings!$F26),Settings!$F26&gt;0,MID('_Engine'!$AP59,WEEKDAY(Settings!$F26,2),1)="W"),Settings!$F26,0),0)</ns0:f>
        <ns0:v>0</ns0:v>
      </ns0:c>
      <ns0:c r="K59" s="0">
        <ns0:f>IFERROR(IF(AND('_Engine'!$X59=1,ISNUMBER(Settings!$F27),Settings!$F27&gt;0,MID('_Engine'!$AP59,WEEKDAY(Settings!$F27,2),1)="W"),Settings!$F27,0),0)</ns0:f>
        <ns0:v>0</ns0:v>
      </ns0:c>
      <ns0:c r="L59" s="0">
        <ns0:f>IFERROR(IF(AND('_Engine'!$X59=1,ISNUMBER(Settings!$F28),Settings!$F28&gt;0,MID('_Engine'!$AP59,WEEKDAY(Settings!$F28,2),1)="W"),Settings!$F28,0),0)</ns0:f>
        <ns0:v>0</ns0:v>
      </ns0:c>
      <ns0:c r="M59" s="0">
        <ns0:f>IFERROR(IF(AND('_Engine'!$X59=1,ISNUMBER(Settings!$F29),Settings!$F29&gt;0,MID('_Engine'!$AP59,WEEKDAY(Settings!$F29,2),1)="W"),Settings!$F29,0),0)</ns0:f>
        <ns0:v>0</ns0:v>
      </ns0:c>
      <ns0:c r="N59" s="0">
        <ns0:f>IFERROR(IF(AND('_Engine'!$X59=1,ISNUMBER(Settings!$F30),Settings!$F30&gt;0,MID('_Engine'!$AP59,WEEKDAY(Settings!$F30,2),1)="W"),Settings!$F30,0),0)</ns0:f>
        <ns0:v>0</ns0:v>
      </ns0:c>
      <ns0:c r="O59" s="0">
        <ns0:f>IFERROR(IF(AND('_Engine'!$X59=1,ISNUMBER(Settings!$F31),Settings!$F31&gt;0,MID('_Engine'!$AP59,WEEKDAY(Settings!$F31,2),1)="W"),Settings!$F31,0),0)</ns0:f>
        <ns0:v>0</ns0:v>
      </ns0:c>
      <ns0:c r="P59" s="0">
        <ns0:f>IFERROR(IF(AND('_Engine'!$X59=1,ISNUMBER(Settings!$F32),Settings!$F32&gt;0,MID('_Engine'!$AP59,WEEKDAY(Settings!$F32,2),1)="W"),Settings!$F32,0),0)</ns0:f>
        <ns0:v>0</ns0:v>
      </ns0:c>
      <ns0:c r="Q59" s="0">
        <ns0:f>IFERROR(IF(AND('_Engine'!$X59=1,ISNUMBER(Settings!$F33),Settings!$F33&gt;0,MID('_Engine'!$AP59,WEEKDAY(Settings!$F33,2),1)="W"),Settings!$F33,0),0)</ns0:f>
        <ns0:v>0</ns0:v>
      </ns0:c>
      <ns0:c r="R59" s="0">
        <ns0:f>IFERROR(IF(AND('_Engine'!$X59=1,ISNUMBER(Settings!$F34),Settings!$F34&gt;0,MID('_Engine'!$AP59,WEEKDAY(Settings!$F34,2),1)="W"),Settings!$F34,0),0)</ns0:f>
        <ns0:v>0</ns0:v>
      </ns0:c>
      <ns0:c r="S59" s="0">
        <ns0:f>IFERROR(IF(AND('_Engine'!$X59=1,ISNUMBER(Settings!$F35),Settings!$F35&gt;0,MID('_Engine'!$AP59,WEEKDAY(Settings!$F35,2),1)="W"),Settings!$F35,0),0)</ns0:f>
        <ns0:v>0</ns0:v>
      </ns0:c>
      <ns0:c r="T59" s="0">
        <ns0:f>IFERROR(IF(AND('_Engine'!$X59=1,ISNUMBER(Settings!$F36),Settings!$F36&gt;0,MID('_Engine'!$AP59,WEEKDAY(Settings!$F36,2),1)="W"),Settings!$F36,0),0)</ns0:f>
        <ns0:v>0</ns0:v>
      </ns0:c>
      <ns0:c r="U59" s="0">
        <ns0:f>IFERROR(IF(AND('_Engine'!$X59=1,ISNUMBER(Settings!$F37),Settings!$F37&gt;0,MID('_Engine'!$AP59,WEEKDAY(Settings!$F37,2),1)="W"),Settings!$F37,0),0)</ns0:f>
        <ns0:v>0</ns0:v>
      </ns0:c>
      <ns0:c r="V59" s="0">
        <ns0:f>IFERROR(IF(AND('_Engine'!$X59=1,ISNUMBER(Settings!$F38),Settings!$F38&gt;0,MID('_Engine'!$AP59,WEEKDAY(Settings!$F38,2),1)="W"),Settings!$F38,0),0)</ns0:f>
        <ns0:v>0</ns0:v>
      </ns0:c>
      <ns0:c r="W59" s="0">
        <ns0:f>IFERROR(IF(AND('_Engine'!$X59=1,ISNUMBER(Settings!$F39),Settings!$F39&gt;0,MID('_Engine'!$AP59,WEEKDAY(Settings!$F39,2),1)="W"),Settings!$F39,0),0)</ns0:f>
        <ns0:v>0</ns0:v>
      </ns0:c>
      <ns0:c r="X59" s="0">
        <ns0:f>IFERROR(IF(AND('_Engine'!$X59=1,ISNUMBER(Settings!$F40),Settings!$F40&gt;0,MID('_Engine'!$AP59,WEEKDAY(Settings!$F40,2),1)="W"),Settings!$F40,0),0)</ns0:f>
        <ns0:v>0</ns0:v>
      </ns0:c>
      <ns0:c r="Y59" s="0">
        <ns0:f>IFERROR(IF(AND('_Engine'!$X59=1,ISNUMBER(Settings!$F41),Settings!$F41&gt;0,MID('_Engine'!$AP59,WEEKDAY(Settings!$F41,2),1)="W"),Settings!$F41,0),0)</ns0:f>
        <ns0:v>0</ns0:v>
      </ns0:c>
      <ns0:c r="Z59" s="0">
        <ns0:f>IFERROR(IF(AND('_Engine'!$X59=1,ISNUMBER(Settings!$F42),Settings!$F42&gt;0,MID('_Engine'!$AP59,WEEKDAY(Settings!$F42,2),1)="W"),Settings!$F42,0),0)</ns0:f>
        <ns0:v>0</ns0:v>
      </ns0:c>
      <ns0:c r="AA59" s="0">
        <ns0:f>IFERROR(IF(AND('_Engine'!$X59=1,ISNUMBER(Settings!$F43),Settings!$F43&gt;0,MID('_Engine'!$AP59,WEEKDAY(Settings!$F43,2),1)="W"),Settings!$F43,0),0)</ns0:f>
        <ns0:v>0</ns0:v>
      </ns0:c>
      <ns0:c r="AB59" s="0">
        <ns0:f>IFERROR(IF(AND('_Engine'!$X59=1,ISNUMBER(Settings!$F44),Settings!$F44&gt;0,MID('_Engine'!$AP59,WEEKDAY(Settings!$F44,2),1)="W"),Settings!$F44,0),0)</ns0:f>
        <ns0:v>0</ns0:v>
      </ns0:c>
      <ns0:c r="AC59" s="0">
        <ns0:f>IFERROR(IF(AND('_Engine'!$X59=1,ISNUMBER(Settings!$F45),Settings!$F45&gt;0,MID('_Engine'!$AP59,WEEKDAY(Settings!$F45,2),1)="W"),Settings!$F45,0),0)</ns0:f>
        <ns0:v>0</ns0:v>
      </ns0:c>
      <ns0:c r="AD59" s="0">
        <ns0:f>IFERROR(IF(AND('_Engine'!$X59=1,ISNUMBER(Settings!$F46),Settings!$F46&gt;0,MID('_Engine'!$AP59,WEEKDAY(Settings!$F46,2),1)="W"),Settings!$F46,0),0)</ns0:f>
        <ns0:v>0</ns0:v>
      </ns0:c>
      <ns0:c r="AE59" s="0">
        <ns0:f>IFERROR(IF(AND('_Engine'!$X59=1,ISNUMBER(Settings!$F47),Settings!$F47&gt;0,MID('_Engine'!$AP59,WEEKDAY(Settings!$F47,2),1)="W"),Settings!$F47,0),0)</ns0:f>
        <ns0:v>0</ns0:v>
      </ns0:c>
      <ns0:c r="AF59" s="0">
        <ns0:f>IFERROR(IF(AND('_Engine'!$X59=1,ISNUMBER(Settings!$F48),Settings!$F48&gt;0,MID('_Engine'!$AP59,WEEKDAY(Settings!$F48,2),1)="W"),Settings!$F48,0),0)</ns0:f>
        <ns0:v>0</ns0:v>
      </ns0:c>
      <ns0:c r="AG59" s="0">
        <ns0:f>IFERROR(IF(AND('_Engine'!$X59=1,ISNUMBER(Settings!$F49),Settings!$F49&gt;0,MID('_Engine'!$AP59,WEEKDAY(Settings!$F49,2),1)="W"),Settings!$F49,0),0)</ns0:f>
        <ns0:v>0</ns0:v>
      </ns0:c>
      <ns0:c r="AH59" s="0">
        <ns0:f>IFERROR(IF(AND('_Engine'!$X59=1,ISNUMBER(Settings!$F50),Settings!$F50&gt;0,MID('_Engine'!$AP59,WEEKDAY(Settings!$F50,2),1)="W"),Settings!$F50,0),0)</ns0:f>
        <ns0:v>0</ns0:v>
      </ns0:c>
      <ns0:c r="AI59" s="0">
        <ns0:f>IFERROR(IF(AND('_Engine'!$X59=1,ISNUMBER(Settings!$F51),Settings!$F51&gt;0,MID('_Engine'!$AP59,WEEKDAY(Settings!$F51,2),1)="W"),Settings!$F51,0),0)</ns0:f>
        <ns0:v>0</ns0:v>
      </ns0:c>
      <ns0:c r="AJ59" s="0">
        <ns0:f>IFERROR(IF(AND('_Engine'!$X59=1,ISNUMBER(Settings!$F52),Settings!$F52&gt;0,MID('_Engine'!$AP59,WEEKDAY(Settings!$F52,2),1)="W"),Settings!$F52,0),0)</ns0:f>
        <ns0:v>0</ns0:v>
      </ns0:c>
      <ns0:c r="AK59" s="0">
        <ns0:f>IFERROR(IF(AND('_Engine'!$X59=1,ISNUMBER(Settings!$F53),Settings!$F53&gt;0,MID('_Engine'!$AP59,WEEKDAY(Settings!$F53,2),1)="W"),Settings!$F53,0),0)</ns0:f>
        <ns0:v>0</ns0:v>
      </ns0:c>
      <ns0:c r="AL59" s="0">
        <ns0:f>IFERROR(IF(AND('_Engine'!$X59=1,ISNUMBER(Settings!$F54),Settings!$F54&gt;0,MID('_Engine'!$AP59,WEEKDAY(Settings!$F54,2),1)="W"),Settings!$F54,0),0)</ns0:f>
        <ns0:v>0</ns0:v>
      </ns0:c>
      <ns0:c r="AM59" s="0">
        <ns0:f>IFERROR(IF(AND('_Engine'!$X59=1,ISNUMBER(Settings!$F55),Settings!$F55&gt;0,MID('_Engine'!$AP59,WEEKDAY(Settings!$F55,2),1)="W"),Settings!$F55,0),0)</ns0:f>
        <ns0:v>0</ns0:v>
      </ns0:c>
      <ns0:c r="AN59" s="0">
        <ns0:f>IFERROR(IF(AND('_Engine'!$X59=1,ISNUMBER(Settings!$F56),Settings!$F56&gt;0,MID('_Engine'!$AP59,WEEKDAY(Settings!$F56,2),1)="W"),Settings!$F56,0),0)</ns0:f>
        <ns0:v>0</ns0:v>
      </ns0:c>
      <ns0:c r="AO59" s="0">
        <ns0:f>IFERROR(IF(AND('_Engine'!$X59=1,ISNUMBER(Settings!$F57),Settings!$F57&gt;0,MID('_Engine'!$AP59,WEEKDAY(Settings!$F57,2),1)="W"),Settings!$F57,0),0)</ns0:f>
        <ns0:v>0</ns0:v>
      </ns0:c>
      <ns0:c r="AP59" s="0">
        <ns0:f>IFERROR(IF(AND('_Engine'!$X59=1,ISNUMBER(Settings!$F58),Settings!$F58&gt;0,MID('_Engine'!$AP59,WEEKDAY(Settings!$F58,2),1)="W"),Settings!$F58,0),0)</ns0:f>
        <ns0:v>0</ns0:v>
      </ns0:c>
      <ns0:c r="AQ59" s="0">
        <ns0:f>IFERROR(IF(AND('_Engine'!$X59=1,ISNUMBER(Settings!$F59),Settings!$F59&gt;0,MID('_Engine'!$AP59,WEEKDAY(Settings!$F59,2),1)="W"),Settings!$F59,0),0)</ns0:f>
        <ns0:v>0</ns0:v>
      </ns0:c>
      <ns0:c r="AR59" s="0">
        <ns0:f>IFERROR(IF(AND('_Engine'!$X59=1,ISNUMBER(Settings!$F60),Settings!$F60&gt;0,MID('_Engine'!$AP59,WEEKDAY(Settings!$F60,2),1)="W"),Settings!$F60,0),0)</ns0:f>
        <ns0:v>0</ns0:v>
      </ns0:c>
      <ns0:c r="AS59" s="0">
        <ns0:f>IFERROR(IF(AND('_Engine'!$X59=1,ISNUMBER(Settings!$F61),Settings!$F61&gt;0,MID('_Engine'!$AP59,WEEKDAY(Settings!$F61,2),1)="W"),Settings!$F61,0),0)</ns0:f>
        <ns0:v>0</ns0:v>
      </ns0:c>
      <ns0:c r="AT59" s="0">
        <ns0:f>IFERROR(IF(AND('_Engine'!$X59=1,ISNUMBER(Settings!$F62),Settings!$F62&gt;0,MID('_Engine'!$AP59,WEEKDAY(Settings!$F62,2),1)="W"),Settings!$F62,0),0)</ns0:f>
        <ns0:v>0</ns0:v>
      </ns0:c>
      <ns0:c r="AU59" s="0">
        <ns0:f>IFERROR(IF(AND('_Engine'!$X59=1,ISNUMBER(Settings!$F63),Settings!$F63&gt;0,MID('_Engine'!$AP59,WEEKDAY(Settings!$F63,2),1)="W"),Settings!$F63,0),0)</ns0:f>
        <ns0:v>0</ns0:v>
      </ns0:c>
      <ns0:c r="AV59" s="0">
        <ns0:f>IFERROR(IF(AND('_Engine'!$X59=1,ISNUMBER(Settings!$F64),Settings!$F64&gt;0,MID('_Engine'!$AP59,WEEKDAY(Settings!$F64,2),1)="W"),Settings!$F64,0),0)</ns0:f>
        <ns0:v>0</ns0:v>
      </ns0:c>
      <ns0:c r="AW59" s="0">
        <ns0:f>IFERROR(IF(AND('_Engine'!$X59=1,ISNUMBER(Settings!$F65),Settings!$F65&gt;0,MID('_Engine'!$AP59,WEEKDAY(Settings!$F65,2),1)="W"),Settings!$F65,0),0)</ns0:f>
        <ns0:v>0</ns0:v>
      </ns0:c>
      <ns0:c r="AX59" s="0">
        <ns0:f>IFERROR(IF(AND('_Engine'!$X59=1,ISNUMBER(Settings!$F66),Settings!$F66&gt;0,MID('_Engine'!$AP59,WEEKDAY(Settings!$F66,2),1)="W"),Settings!$F66,0),0)</ns0:f>
        <ns0:v>0</ns0:v>
      </ns0:c>
      <ns0:c r="AY59" s="0">
        <ns0:f>IFERROR(IF(AND('_Engine'!$X59=1,ISNUMBER(Settings!$F67),Settings!$F67&gt;0,MID('_Engine'!$AP59,WEEKDAY(Settings!$F67,2),1)="W"),Settings!$F67,0),0)</ns0:f>
        <ns0:v>0</ns0:v>
      </ns0:c>
    </ns0:row>
    <ns0:row r="60">
      <ns0:c r="B60" s="0">
        <ns0:f>IFERROR(IF(AND('_Engine'!$X60=1,ISNUMBER(Settings!$F18),Settings!$F18&gt;0,MID('_Engine'!$AP60,WEEKDAY(Settings!$F18,2),1)="W"),Settings!$F18,0),0)</ns0:f>
        <ns0:v>0</ns0:v>
      </ns0:c>
      <ns0:c r="C60" s="0">
        <ns0:f>IFERROR(IF(AND('_Engine'!$X60=1,ISNUMBER(Settings!$F19),Settings!$F19&gt;0,MID('_Engine'!$AP60,WEEKDAY(Settings!$F19,2),1)="W"),Settings!$F19,0),0)</ns0:f>
        <ns0:v>0</ns0:v>
      </ns0:c>
      <ns0:c r="D60" s="0">
        <ns0:f>IFERROR(IF(AND('_Engine'!$X60=1,ISNUMBER(Settings!$F20),Settings!$F20&gt;0,MID('_Engine'!$AP60,WEEKDAY(Settings!$F20,2),1)="W"),Settings!$F20,0),0)</ns0:f>
        <ns0:v>0</ns0:v>
      </ns0:c>
      <ns0:c r="E60" s="0">
        <ns0:f>IFERROR(IF(AND('_Engine'!$X60=1,ISNUMBER(Settings!$F21),Settings!$F21&gt;0,MID('_Engine'!$AP60,WEEKDAY(Settings!$F21,2),1)="W"),Settings!$F21,0),0)</ns0:f>
        <ns0:v>0</ns0:v>
      </ns0:c>
      <ns0:c r="F60" s="0">
        <ns0:f>IFERROR(IF(AND('_Engine'!$X60=1,ISNUMBER(Settings!$F22),Settings!$F22&gt;0,MID('_Engine'!$AP60,WEEKDAY(Settings!$F22,2),1)="W"),Settings!$F22,0),0)</ns0:f>
        <ns0:v>0</ns0:v>
      </ns0:c>
      <ns0:c r="G60" s="0">
        <ns0:f>IFERROR(IF(AND('_Engine'!$X60=1,ISNUMBER(Settings!$F23),Settings!$F23&gt;0,MID('_Engine'!$AP60,WEEKDAY(Settings!$F23,2),1)="W"),Settings!$F23,0),0)</ns0:f>
        <ns0:v>0</ns0:v>
      </ns0:c>
      <ns0:c r="H60" s="0">
        <ns0:f>IFERROR(IF(AND('_Engine'!$X60=1,ISNUMBER(Settings!$F24),Settings!$F24&gt;0,MID('_Engine'!$AP60,WEEKDAY(Settings!$F24,2),1)="W"),Settings!$F24,0),0)</ns0:f>
        <ns0:v>0</ns0:v>
      </ns0:c>
      <ns0:c r="I60" s="0">
        <ns0:f>IFERROR(IF(AND('_Engine'!$X60=1,ISNUMBER(Settings!$F25),Settings!$F25&gt;0,MID('_Engine'!$AP60,WEEKDAY(Settings!$F25,2),1)="W"),Settings!$F25,0),0)</ns0:f>
        <ns0:v>0</ns0:v>
      </ns0:c>
      <ns0:c r="J60" s="0">
        <ns0:f>IFERROR(IF(AND('_Engine'!$X60=1,ISNUMBER(Settings!$F26),Settings!$F26&gt;0,MID('_Engine'!$AP60,WEEKDAY(Settings!$F26,2),1)="W"),Settings!$F26,0),0)</ns0:f>
        <ns0:v>0</ns0:v>
      </ns0:c>
      <ns0:c r="K60" s="0">
        <ns0:f>IFERROR(IF(AND('_Engine'!$X60=1,ISNUMBER(Settings!$F27),Settings!$F27&gt;0,MID('_Engine'!$AP60,WEEKDAY(Settings!$F27,2),1)="W"),Settings!$F27,0),0)</ns0:f>
        <ns0:v>0</ns0:v>
      </ns0:c>
      <ns0:c r="L60" s="0">
        <ns0:f>IFERROR(IF(AND('_Engine'!$X60=1,ISNUMBER(Settings!$F28),Settings!$F28&gt;0,MID('_Engine'!$AP60,WEEKDAY(Settings!$F28,2),1)="W"),Settings!$F28,0),0)</ns0:f>
        <ns0:v>0</ns0:v>
      </ns0:c>
      <ns0:c r="M60" s="0">
        <ns0:f>IFERROR(IF(AND('_Engine'!$X60=1,ISNUMBER(Settings!$F29),Settings!$F29&gt;0,MID('_Engine'!$AP60,WEEKDAY(Settings!$F29,2),1)="W"),Settings!$F29,0),0)</ns0:f>
        <ns0:v>0</ns0:v>
      </ns0:c>
      <ns0:c r="N60" s="0">
        <ns0:f>IFERROR(IF(AND('_Engine'!$X60=1,ISNUMBER(Settings!$F30),Settings!$F30&gt;0,MID('_Engine'!$AP60,WEEKDAY(Settings!$F30,2),1)="W"),Settings!$F30,0),0)</ns0:f>
        <ns0:v>0</ns0:v>
      </ns0:c>
      <ns0:c r="O60" s="0">
        <ns0:f>IFERROR(IF(AND('_Engine'!$X60=1,ISNUMBER(Settings!$F31),Settings!$F31&gt;0,MID('_Engine'!$AP60,WEEKDAY(Settings!$F31,2),1)="W"),Settings!$F31,0),0)</ns0:f>
        <ns0:v>0</ns0:v>
      </ns0:c>
      <ns0:c r="P60" s="0">
        <ns0:f>IFERROR(IF(AND('_Engine'!$X60=1,ISNUMBER(Settings!$F32),Settings!$F32&gt;0,MID('_Engine'!$AP60,WEEKDAY(Settings!$F32,2),1)="W"),Settings!$F32,0),0)</ns0:f>
        <ns0:v>0</ns0:v>
      </ns0:c>
      <ns0:c r="Q60" s="0">
        <ns0:f>IFERROR(IF(AND('_Engine'!$X60=1,ISNUMBER(Settings!$F33),Settings!$F33&gt;0,MID('_Engine'!$AP60,WEEKDAY(Settings!$F33,2),1)="W"),Settings!$F33,0),0)</ns0:f>
        <ns0:v>0</ns0:v>
      </ns0:c>
      <ns0:c r="R60" s="0">
        <ns0:f>IFERROR(IF(AND('_Engine'!$X60=1,ISNUMBER(Settings!$F34),Settings!$F34&gt;0,MID('_Engine'!$AP60,WEEKDAY(Settings!$F34,2),1)="W"),Settings!$F34,0),0)</ns0:f>
        <ns0:v>0</ns0:v>
      </ns0:c>
      <ns0:c r="S60" s="0">
        <ns0:f>IFERROR(IF(AND('_Engine'!$X60=1,ISNUMBER(Settings!$F35),Settings!$F35&gt;0,MID('_Engine'!$AP60,WEEKDAY(Settings!$F35,2),1)="W"),Settings!$F35,0),0)</ns0:f>
        <ns0:v>0</ns0:v>
      </ns0:c>
      <ns0:c r="T60" s="0">
        <ns0:f>IFERROR(IF(AND('_Engine'!$X60=1,ISNUMBER(Settings!$F36),Settings!$F36&gt;0,MID('_Engine'!$AP60,WEEKDAY(Settings!$F36,2),1)="W"),Settings!$F36,0),0)</ns0:f>
        <ns0:v>0</ns0:v>
      </ns0:c>
      <ns0:c r="U60" s="0">
        <ns0:f>IFERROR(IF(AND('_Engine'!$X60=1,ISNUMBER(Settings!$F37),Settings!$F37&gt;0,MID('_Engine'!$AP60,WEEKDAY(Settings!$F37,2),1)="W"),Settings!$F37,0),0)</ns0:f>
        <ns0:v>0</ns0:v>
      </ns0:c>
      <ns0:c r="V60" s="0">
        <ns0:f>IFERROR(IF(AND('_Engine'!$X60=1,ISNUMBER(Settings!$F38),Settings!$F38&gt;0,MID('_Engine'!$AP60,WEEKDAY(Settings!$F38,2),1)="W"),Settings!$F38,0),0)</ns0:f>
        <ns0:v>0</ns0:v>
      </ns0:c>
      <ns0:c r="W60" s="0">
        <ns0:f>IFERROR(IF(AND('_Engine'!$X60=1,ISNUMBER(Settings!$F39),Settings!$F39&gt;0,MID('_Engine'!$AP60,WEEKDAY(Settings!$F39,2),1)="W"),Settings!$F39,0),0)</ns0:f>
        <ns0:v>0</ns0:v>
      </ns0:c>
      <ns0:c r="X60" s="0">
        <ns0:f>IFERROR(IF(AND('_Engine'!$X60=1,ISNUMBER(Settings!$F40),Settings!$F40&gt;0,MID('_Engine'!$AP60,WEEKDAY(Settings!$F40,2),1)="W"),Settings!$F40,0),0)</ns0:f>
        <ns0:v>0</ns0:v>
      </ns0:c>
      <ns0:c r="Y60" s="0">
        <ns0:f>IFERROR(IF(AND('_Engine'!$X60=1,ISNUMBER(Settings!$F41),Settings!$F41&gt;0,MID('_Engine'!$AP60,WEEKDAY(Settings!$F41,2),1)="W"),Settings!$F41,0),0)</ns0:f>
        <ns0:v>0</ns0:v>
      </ns0:c>
      <ns0:c r="Z60" s="0">
        <ns0:f>IFERROR(IF(AND('_Engine'!$X60=1,ISNUMBER(Settings!$F42),Settings!$F42&gt;0,MID('_Engine'!$AP60,WEEKDAY(Settings!$F42,2),1)="W"),Settings!$F42,0),0)</ns0:f>
        <ns0:v>0</ns0:v>
      </ns0:c>
      <ns0:c r="AA60" s="0">
        <ns0:f>IFERROR(IF(AND('_Engine'!$X60=1,ISNUMBER(Settings!$F43),Settings!$F43&gt;0,MID('_Engine'!$AP60,WEEKDAY(Settings!$F43,2),1)="W"),Settings!$F43,0),0)</ns0:f>
        <ns0:v>0</ns0:v>
      </ns0:c>
      <ns0:c r="AB60" s="0">
        <ns0:f>IFERROR(IF(AND('_Engine'!$X60=1,ISNUMBER(Settings!$F44),Settings!$F44&gt;0,MID('_Engine'!$AP60,WEEKDAY(Settings!$F44,2),1)="W"),Settings!$F44,0),0)</ns0:f>
        <ns0:v>0</ns0:v>
      </ns0:c>
      <ns0:c r="AC60" s="0">
        <ns0:f>IFERROR(IF(AND('_Engine'!$X60=1,ISNUMBER(Settings!$F45),Settings!$F45&gt;0,MID('_Engine'!$AP60,WEEKDAY(Settings!$F45,2),1)="W"),Settings!$F45,0),0)</ns0:f>
        <ns0:v>0</ns0:v>
      </ns0:c>
      <ns0:c r="AD60" s="0">
        <ns0:f>IFERROR(IF(AND('_Engine'!$X60=1,ISNUMBER(Settings!$F46),Settings!$F46&gt;0,MID('_Engine'!$AP60,WEEKDAY(Settings!$F46,2),1)="W"),Settings!$F46,0),0)</ns0:f>
        <ns0:v>0</ns0:v>
      </ns0:c>
      <ns0:c r="AE60" s="0">
        <ns0:f>IFERROR(IF(AND('_Engine'!$X60=1,ISNUMBER(Settings!$F47),Settings!$F47&gt;0,MID('_Engine'!$AP60,WEEKDAY(Settings!$F47,2),1)="W"),Settings!$F47,0),0)</ns0:f>
        <ns0:v>0</ns0:v>
      </ns0:c>
      <ns0:c r="AF60" s="0">
        <ns0:f>IFERROR(IF(AND('_Engine'!$X60=1,ISNUMBER(Settings!$F48),Settings!$F48&gt;0,MID('_Engine'!$AP60,WEEKDAY(Settings!$F48,2),1)="W"),Settings!$F48,0),0)</ns0:f>
        <ns0:v>0</ns0:v>
      </ns0:c>
      <ns0:c r="AG60" s="0">
        <ns0:f>IFERROR(IF(AND('_Engine'!$X60=1,ISNUMBER(Settings!$F49),Settings!$F49&gt;0,MID('_Engine'!$AP60,WEEKDAY(Settings!$F49,2),1)="W"),Settings!$F49,0),0)</ns0:f>
        <ns0:v>0</ns0:v>
      </ns0:c>
      <ns0:c r="AH60" s="0">
        <ns0:f>IFERROR(IF(AND('_Engine'!$X60=1,ISNUMBER(Settings!$F50),Settings!$F50&gt;0,MID('_Engine'!$AP60,WEEKDAY(Settings!$F50,2),1)="W"),Settings!$F50,0),0)</ns0:f>
        <ns0:v>0</ns0:v>
      </ns0:c>
      <ns0:c r="AI60" s="0">
        <ns0:f>IFERROR(IF(AND('_Engine'!$X60=1,ISNUMBER(Settings!$F51),Settings!$F51&gt;0,MID('_Engine'!$AP60,WEEKDAY(Settings!$F51,2),1)="W"),Settings!$F51,0),0)</ns0:f>
        <ns0:v>0</ns0:v>
      </ns0:c>
      <ns0:c r="AJ60" s="0">
        <ns0:f>IFERROR(IF(AND('_Engine'!$X60=1,ISNUMBER(Settings!$F52),Settings!$F52&gt;0,MID('_Engine'!$AP60,WEEKDAY(Settings!$F52,2),1)="W"),Settings!$F52,0),0)</ns0:f>
        <ns0:v>0</ns0:v>
      </ns0:c>
      <ns0:c r="AK60" s="0">
        <ns0:f>IFERROR(IF(AND('_Engine'!$X60=1,ISNUMBER(Settings!$F53),Settings!$F53&gt;0,MID('_Engine'!$AP60,WEEKDAY(Settings!$F53,2),1)="W"),Settings!$F53,0),0)</ns0:f>
        <ns0:v>0</ns0:v>
      </ns0:c>
      <ns0:c r="AL60" s="0">
        <ns0:f>IFERROR(IF(AND('_Engine'!$X60=1,ISNUMBER(Settings!$F54),Settings!$F54&gt;0,MID('_Engine'!$AP60,WEEKDAY(Settings!$F54,2),1)="W"),Settings!$F54,0),0)</ns0:f>
        <ns0:v>0</ns0:v>
      </ns0:c>
      <ns0:c r="AM60" s="0">
        <ns0:f>IFERROR(IF(AND('_Engine'!$X60=1,ISNUMBER(Settings!$F55),Settings!$F55&gt;0,MID('_Engine'!$AP60,WEEKDAY(Settings!$F55,2),1)="W"),Settings!$F55,0),0)</ns0:f>
        <ns0:v>0</ns0:v>
      </ns0:c>
      <ns0:c r="AN60" s="0">
        <ns0:f>IFERROR(IF(AND('_Engine'!$X60=1,ISNUMBER(Settings!$F56),Settings!$F56&gt;0,MID('_Engine'!$AP60,WEEKDAY(Settings!$F56,2),1)="W"),Settings!$F56,0),0)</ns0:f>
        <ns0:v>0</ns0:v>
      </ns0:c>
      <ns0:c r="AO60" s="0">
        <ns0:f>IFERROR(IF(AND('_Engine'!$X60=1,ISNUMBER(Settings!$F57),Settings!$F57&gt;0,MID('_Engine'!$AP60,WEEKDAY(Settings!$F57,2),1)="W"),Settings!$F57,0),0)</ns0:f>
        <ns0:v>0</ns0:v>
      </ns0:c>
      <ns0:c r="AP60" s="0">
        <ns0:f>IFERROR(IF(AND('_Engine'!$X60=1,ISNUMBER(Settings!$F58),Settings!$F58&gt;0,MID('_Engine'!$AP60,WEEKDAY(Settings!$F58,2),1)="W"),Settings!$F58,0),0)</ns0:f>
        <ns0:v>0</ns0:v>
      </ns0:c>
      <ns0:c r="AQ60" s="0">
        <ns0:f>IFERROR(IF(AND('_Engine'!$X60=1,ISNUMBER(Settings!$F59),Settings!$F59&gt;0,MID('_Engine'!$AP60,WEEKDAY(Settings!$F59,2),1)="W"),Settings!$F59,0),0)</ns0:f>
        <ns0:v>0</ns0:v>
      </ns0:c>
      <ns0:c r="AR60" s="0">
        <ns0:f>IFERROR(IF(AND('_Engine'!$X60=1,ISNUMBER(Settings!$F60),Settings!$F60&gt;0,MID('_Engine'!$AP60,WEEKDAY(Settings!$F60,2),1)="W"),Settings!$F60,0),0)</ns0:f>
        <ns0:v>0</ns0:v>
      </ns0:c>
      <ns0:c r="AS60" s="0">
        <ns0:f>IFERROR(IF(AND('_Engine'!$X60=1,ISNUMBER(Settings!$F61),Settings!$F61&gt;0,MID('_Engine'!$AP60,WEEKDAY(Settings!$F61,2),1)="W"),Settings!$F61,0),0)</ns0:f>
        <ns0:v>0</ns0:v>
      </ns0:c>
      <ns0:c r="AT60" s="0">
        <ns0:f>IFERROR(IF(AND('_Engine'!$X60=1,ISNUMBER(Settings!$F62),Settings!$F62&gt;0,MID('_Engine'!$AP60,WEEKDAY(Settings!$F62,2),1)="W"),Settings!$F62,0),0)</ns0:f>
        <ns0:v>0</ns0:v>
      </ns0:c>
      <ns0:c r="AU60" s="0">
        <ns0:f>IFERROR(IF(AND('_Engine'!$X60=1,ISNUMBER(Settings!$F63),Settings!$F63&gt;0,MID('_Engine'!$AP60,WEEKDAY(Settings!$F63,2),1)="W"),Settings!$F63,0),0)</ns0:f>
        <ns0:v>0</ns0:v>
      </ns0:c>
      <ns0:c r="AV60" s="0">
        <ns0:f>IFERROR(IF(AND('_Engine'!$X60=1,ISNUMBER(Settings!$F64),Settings!$F64&gt;0,MID('_Engine'!$AP60,WEEKDAY(Settings!$F64,2),1)="W"),Settings!$F64,0),0)</ns0:f>
        <ns0:v>0</ns0:v>
      </ns0:c>
      <ns0:c r="AW60" s="0">
        <ns0:f>IFERROR(IF(AND('_Engine'!$X60=1,ISNUMBER(Settings!$F65),Settings!$F65&gt;0,MID('_Engine'!$AP60,WEEKDAY(Settings!$F65,2),1)="W"),Settings!$F65,0),0)</ns0:f>
        <ns0:v>0</ns0:v>
      </ns0:c>
      <ns0:c r="AX60" s="0">
        <ns0:f>IFERROR(IF(AND('_Engine'!$X60=1,ISNUMBER(Settings!$F66),Settings!$F66&gt;0,MID('_Engine'!$AP60,WEEKDAY(Settings!$F66,2),1)="W"),Settings!$F66,0),0)</ns0:f>
        <ns0:v>0</ns0:v>
      </ns0:c>
      <ns0:c r="AY60" s="0">
        <ns0:f>IFERROR(IF(AND('_Engine'!$X60=1,ISNUMBER(Settings!$F67),Settings!$F67&gt;0,MID('_Engine'!$AP60,WEEKDAY(Settings!$F67,2),1)="W"),Settings!$F67,0),0)</ns0:f>
        <ns0:v>0</ns0:v>
      </ns0:c>
    </ns0:row>
  </ns0:sheetData>
  <ns0:sheetProtection sheet="1" objects="1" scenarios="1" formatCells="1" formatColumns="1" formatRows="1" insertColumns="1" insertRows="1" insertHyperlinks="1" deleteColumns="1" deleteRows="1" selectLockedCells="0" selectUnlockedCells="0" sort="1" autoFilter="0" pivotTables="1"/>
  <ns0:mergeCells>
    <ns0:mergeCell ref="A1:J3"/>
  </ns0:mergeCells>
  <ns0:pageMargins left="0.7" right="0.7" top="0.75" bottom="0.75" header="0.3" footer="0.3"/>
</ns0:worksheet>
</file>

<file path=xl/worksheets/sheet9.xml><?xml version="1.0" encoding="utf-8"?>
<ns0:worksheet xmlns:ns0="http://schemas.openxmlformats.org/spreadsheetml/2006/main">
  <ns0:sheetData>
    <ns0:row r="1">
      <ns0:c r="A1" t="inlineStr">
        <ns0:is>
          <ns0:t>TimeOff.Management / Date parsing and partial-day intervals</ns0:t>
        </ns0:is>
      </ns0:c>
    </ns0:row>
    <ns0:row r="10">
      <ns0:c r="A10" t="inlineStr">
        <ns0:is>
          <ns0:t>Start text</ns0:t>
        </ns0:is>
      </ns0:c>
      <ns0:c r="B10" t="inlineStr">
        <ns0:is>
          <ns0:t>Start normalized text</ns0:t>
        </ns0:is>
      </ns0:c>
      <ns0:c r="C10" t="inlineStr">
        <ns0:is>
          <ns0:t>Start first token</ns0:t>
        </ns0:is>
      </ns0:c>
      <ns0:c r="D10" t="inlineStr">
        <ns0:is>
          <ns0:t>Start middle token</ns0:t>
        </ns0:is>
      </ns0:c>
      <ns0:c r="E10" t="inlineStr">
        <ns0:is>
          <ns0:t>Start last token</ns0:t>
        </ns0:is>
      </ns0:c>
      <ns0:c r="F10" t="inlineStr">
        <ns0:is>
          <ns0:t>Start year</ns0:t>
        </ns0:is>
      </ns0:c>
      <ns0:c r="G10" t="inlineStr">
        <ns0:is>
          <ns0:t>Start month</ns0:t>
        </ns0:is>
      </ns0:c>
      <ns0:c r="H10" t="inlineStr">
        <ns0:is>
          <ns0:t>Start day</ns0:t>
        </ns0:is>
      </ns0:c>
      <ns0:c r="I10" t="inlineStr">
        <ns0:is>
          <ns0:t>Start candidate</ns0:t>
        </ns0:is>
      </ns0:c>
      <ns0:c r="J10" t="inlineStr">
        <ns0:is>
          <ns0:t>Parsed start</ns0:t>
        </ns0:is>
      </ns0:c>
      <ns0:c r="K10" t="inlineStr">
        <ns0:is>
          <ns0:t>End text</ns0:t>
        </ns0:is>
      </ns0:c>
      <ns0:c r="L10" t="inlineStr">
        <ns0:is>
          <ns0:t>End normalized text</ns0:t>
        </ns0:is>
      </ns0:c>
      <ns0:c r="M10" t="inlineStr">
        <ns0:is>
          <ns0:t>End first token</ns0:t>
        </ns0:is>
      </ns0:c>
      <ns0:c r="N10" t="inlineStr">
        <ns0:is>
          <ns0:t>End middle token</ns0:t>
        </ns0:is>
      </ns0:c>
      <ns0:c r="O10" t="inlineStr">
        <ns0:is>
          <ns0:t>End last token</ns0:t>
        </ns0:is>
      </ns0:c>
      <ns0:c r="P10" t="inlineStr">
        <ns0:is>
          <ns0:t>End year</ns0:t>
        </ns0:is>
      </ns0:c>
      <ns0:c r="Q10" t="inlineStr">
        <ns0:is>
          <ns0:t>End month</ns0:t>
        </ns0:is>
      </ns0:c>
      <ns0:c r="R10" t="inlineStr">
        <ns0:is>
          <ns0:t>End day</ns0:t>
        </ns0:is>
      </ns0:c>
      <ns0:c r="S10" t="inlineStr">
        <ns0:is>
          <ns0:t>End candidate</ns0:t>
        </ns0:is>
      </ns0:c>
      <ns0:c r="T10" t="inlineStr">
        <ns0:is>
          <ns0:t>Parsed end</ns0:t>
        </ns0:is>
      </ns0:c>
      <ns0:c r="U10" t="inlineStr">
        <ns0:is>
          <ns0:t>First portion</ns0:t>
        </ns0:is>
      </ns0:c>
      <ns0:c r="V10" t="inlineStr">
        <ns0:is>
          <ns0:t>Last portion</ns0:t>
        </ns0:is>
      </ns0:c>
      <ns0:c r="W10" t="inlineStr">
        <ns0:is>
          <ns0:t>AM starts</ns0:t>
        </ns0:is>
      </ns0:c>
      <ns0:c r="X10" t="inlineStr">
        <ns0:is>
          <ns0:t>AM ends</ns0:t>
        </ns0:is>
      </ns0:c>
      <ns0:c r="Y10" t="inlineStr">
        <ns0:is>
          <ns0:t>PM starts</ns0:t>
        </ns0:is>
      </ns0:c>
      <ns0:c r="Z10" t="inlineStr">
        <ns0:is>
          <ns0:t>PM ends</ns0:t>
        </ns0:is>
      </ns0:c>
      <ns0:c r="AA10" t="inlineStr">
        <ns0:is>
          <ns0:t>Start working?</ns0:t>
        </ns0:is>
      </ns0:c>
      <ns0:c r="AB10" t="inlineStr">
        <ns0:is>
          <ns0:t>End working?</ns0:t>
        </ns0:is>
      </ns0:c>
      <ns0:c r="AC10" t="inlineStr">
        <ns0:is>
          <ns0:t>AM interval active</ns0:t>
        </ns0:is>
      </ns0:c>
      <ns0:c r="AD10" t="inlineStr">
        <ns0:is>
          <ns0:t>PM interval active</ns0:t>
        </ns0:is>
      </ns0:c>
    </ns0:row>
    <ns0:row r="11">
      <ns0:c r="A11" s="0">
        <ns0:f>IFERROR(IF(ISNUMBER(Bookings!B11),"",TRIM(Bookings!B11&amp;"")),"")</ns0:f>
      </ns0:c>
      <ns0:c r="B11" s="0">
        <ns0:f>IFERROR(SUBSTITUTE(SUBSTITUTE(A11,"/","."),"-","."),"")</ns0:f>
      </ns0:c>
      <ns0:c r="C11" s="0">
        <ns0:f>IFERROR(LEFT(B11,FIND(".",B11)-1),"")</ns0:f>
      </ns0:c>
      <ns0:c r="D11" s="0">
        <ns0:f>IFERROR(MID(B11,FIND(".",B11)+1,FIND(".",B11,FIND(".",B11)+1)-FIND(".",B11)-1),"")</ns0:f>
      </ns0:c>
      <ns0:c r="E11" s="0">
        <ns0:f>IFERROR(MID(B11,FIND(".",B11,FIND(".",B11)+1)+1,99),"")</ns0:f>
        <ns0:v>99</ns0:v>
      </ns0:c>
      <ns0:c r="F11" s="0">
        <ns0:f>IFERROR(IF(FIND(".",B11)=5,--C11,--E11),0)</ns0:f>
        <ns0:v>0</ns0:v>
      </ns0:c>
      <ns0:c r="G11" s="0">
        <ns0:f>IFERROR(--D11,0)</ns0:f>
        <ns0:v>0</ns0:v>
      </ns0:c>
      <ns0:c r="H11" s="0">
        <ns0:f>IFERROR(IF(FIND(".",B11)=5,--E11,--C11),0)</ns0:f>
        <ns0:v>0</ns0:v>
      </ns0:c>
      <ns0:c r="I11" s="0">
        <ns0:f>IFERROR(IF(AND(F11&gt;=2000,F11&lt;=2100,G11&gt;=1,G11&lt;=12,H11&gt;=1,H11&lt;=31),DATE(F11,G11,H11),0),0)</ns0:f>
        <ns0:v>0</ns0:v>
      </ns0:c>
      <ns0:c r="J11" s="0">
        <ns0:f>IFERROR(IF(ISNUMBER(Bookings!B11),IF(AND(Bookings!B11=INT(Bookings!B11),Bookings!B11&gt;=DATE(2000,1,1),Bookings!B11&lt;=DATE(2100,12,31)),Bookings!B11,0),IF(AND(A11&lt;&gt;"",LEN("x"&amp;B11)-LEN(SUBSTITUTE("x"&amp;B11,".",""))=2,OR(1&gt;LEN(B11),MID(B11,1,1)=".",ISNUMBER(FIND("x"&amp;MID(B11,1,1),"x0x1x2x3x4x5x6x7x8x9"))),OR(2&gt;LEN(B11),MID(B11,2,1)=".",ISNUMBER(FIND("x"&amp;MID(B11,2,1),"x0x1x2x3x4x5x6x7x8x9"))),OR(3&gt;LEN(B11),MID(B11,3,1)=".",ISNUMBER(FIND("x"&amp;MID(B11,3,1),"x0x1x2x3x4x5x6x7x8x9"))),OR(4&gt;LEN(B11),MID(B11,4,1)=".",ISNUMBER(FIND("x"&amp;MID(B11,4,1),"x0x1x2x3x4x5x6x7x8x9"))),OR(5&gt;LEN(B11),MID(B11,5,1)=".",ISNUMBER(FIND("x"&amp;MID(B11,5,1),"x0x1x2x3x4x5x6x7x8x9"))),OR(6&gt;LEN(B11),MID(B11,6,1)=".",ISNUMBER(FIND("x"&amp;MID(B11,6,1),"x0x1x2x3x4x5x6x7x8x9"))),OR(7&gt;LEN(B11),MID(B11,7,1)=".",ISNUMBER(FIND("x"&amp;MID(B11,7,1),"x0x1x2x3x4x5x6x7x8x9"))),OR(8&gt;LEN(B11),MID(B11,8,1)=".",ISNUMBER(FIND("x"&amp;MID(B11,8,1),"x0x1x2x3x4x5x6x7x8x9"))),OR(9&gt;LEN(B11),MID(B11,9,1)=".",ISNUMBER(FIND("x"&amp;MID(B11,9,1),"x0x1x2x3x4x5x6x7x8x9"))),OR(10&gt;LEN(B11),MID(B11,10,1)=".",ISNUMBER(FIND("x"&amp;MID(B11,10,1),"x0x1x2x3x4x5x6x7x8x9"))),OR(AND(FIND(".",B11)=5,LEN(B11)-FIND(".",B11,FIND(".",B11)+1)&gt;=1,LEN(B11)-FIND(".",B11,FIND(".",B11)+1)&lt;=2),AND(LEN(B11)-FIND(".",B11,FIND(".",B11)+1)=4,FIND(".",B11)&gt;=2,FIND(".",B11)&lt;=3)),FIND(".",B11,FIND(".",B11)+1)-FIND(".",B11)&gt;=2,FIND(".",B11,FIND(".",B11)+1)-FIND(".",B11)&lt;=3,F11&gt;=2000,F11&lt;=2100,YEAR(I11)=F11,MONTH(I11)=G11,DAY(I11)=H11),I11,0)),0)</ns0:f>
        <ns0:v>46545</ns0:v>
      </ns0:c>
      <ns0:c r="K11" s="0">
        <ns0:f>IFERROR(IF(ISNUMBER(Bookings!D11),"",TRIM(Bookings!D11&amp;"")),"")</ns0:f>
      </ns0:c>
      <ns0:c r="L11" s="0">
        <ns0:f>IFERROR(SUBSTITUTE(SUBSTITUTE(K11,"/","."),"-","."),"")</ns0:f>
      </ns0:c>
      <ns0:c r="M11" s="0">
        <ns0:f>IFERROR(LEFT(L11,FIND(".",L11)-1),"")</ns0:f>
      </ns0:c>
      <ns0:c r="N11" s="0">
        <ns0:f>IFERROR(MID(L11,FIND(".",L11)+1,FIND(".",L11,FIND(".",L11)+1)-FIND(".",L11)-1),"")</ns0:f>
      </ns0:c>
      <ns0:c r="O11" s="0">
        <ns0:f>IFERROR(MID(L11,FIND(".",L11,FIND(".",L11)+1)+1,99),"")</ns0:f>
        <ns0:v>99</ns0:v>
      </ns0:c>
      <ns0:c r="P11" s="0">
        <ns0:f>IFERROR(IF(FIND(".",L11)=5,--M11,--O11),0)</ns0:f>
        <ns0:v>0</ns0:v>
      </ns0:c>
      <ns0:c r="Q11" s="0">
        <ns0:f>IFERROR(--N11,0)</ns0:f>
        <ns0:v>0</ns0:v>
      </ns0:c>
      <ns0:c r="R11" s="0">
        <ns0:f>IFERROR(IF(FIND(".",L11)=5,--O11,--M11),0)</ns0:f>
        <ns0:v>0</ns0:v>
      </ns0:c>
      <ns0:c r="S11" s="0">
        <ns0:f>IFERROR(IF(AND(P11&gt;=2000,P11&lt;=2100,Q11&gt;=1,Q11&lt;=12,R11&gt;=1,R11&lt;=31),DATE(P11,Q11,R11),0),0)</ns0:f>
        <ns0:v>0</ns0:v>
      </ns0:c>
      <ns0:c r="T11" s="0">
        <ns0:f>IFERROR(IF(ISNUMBER(Bookings!D11),IF(AND(Bookings!D11=INT(Bookings!D11),Bookings!D11&gt;=DATE(2000,1,1),Bookings!D11&lt;=DATE(2100,12,31)),Bookings!D11,0),IF(AND(K11&lt;&gt;"",LEN("x"&amp;L11)-LEN(SUBSTITUTE("x"&amp;L11,".",""))=2,OR(1&gt;LEN(L11),MID(L11,1,1)=".",ISNUMBER(FIND("x"&amp;MID(L11,1,1),"x0x1x2x3x4x5x6x7x8x9"))),OR(2&gt;LEN(L11),MID(L11,2,1)=".",ISNUMBER(FIND("x"&amp;MID(L11,2,1),"x0x1x2x3x4x5x6x7x8x9"))),OR(3&gt;LEN(L11),MID(L11,3,1)=".",ISNUMBER(FIND("x"&amp;MID(L11,3,1),"x0x1x2x3x4x5x6x7x8x9"))),OR(4&gt;LEN(L11),MID(L11,4,1)=".",ISNUMBER(FIND("x"&amp;MID(L11,4,1),"x0x1x2x3x4x5x6x7x8x9"))),OR(5&gt;LEN(L11),MID(L11,5,1)=".",ISNUMBER(FIND("x"&amp;MID(L11,5,1),"x0x1x2x3x4x5x6x7x8x9"))),OR(6&gt;LEN(L11),MID(L11,6,1)=".",ISNUMBER(FIND("x"&amp;MID(L11,6,1),"x0x1x2x3x4x5x6x7x8x9"))),OR(7&gt;LEN(L11),MID(L11,7,1)=".",ISNUMBER(FIND("x"&amp;MID(L11,7,1),"x0x1x2x3x4x5x6x7x8x9"))),OR(8&gt;LEN(L11),MID(L11,8,1)=".",ISNUMBER(FIND("x"&amp;MID(L11,8,1),"x0x1x2x3x4x5x6x7x8x9"))),OR(9&gt;LEN(L11),MID(L11,9,1)=".",ISNUMBER(FIND("x"&amp;MID(L11,9,1),"x0x1x2x3x4x5x6x7x8x9"))),OR(10&gt;LEN(L11),MID(L11,10,1)=".",ISNUMBER(FIND("x"&amp;MID(L11,10,1),"x0x1x2x3x4x5x6x7x8x9"))),OR(AND(FIND(".",L11)=5,LEN(L11)-FIND(".",L11,FIND(".",L11)+1)&gt;=1,LEN(L11)-FIND(".",L11,FIND(".",L11)+1)&lt;=2),AND(LEN(L11)-FIND(".",L11,FIND(".",L11)+1)=4,FIND(".",L11)&gt;=2,FIND(".",L11)&lt;=3)),FIND(".",L11,FIND(".",L11)+1)-FIND(".",L11)&gt;=2,FIND(".",L11,FIND(".",L11)+1)-FIND(".",L11)&lt;=3,P11&gt;=2000,P11&lt;=2100,YEAR(S11)=P11,MONTH(S11)=Q11,DAY(S11)=R11),S11,0)),0)</ns0:f>
        <ns0:v>46549</ns0:v>
      </ns0:c>
      <ns0:c r="U11" s="0" t="str">
        <ns0:f>IF(Bookings!C11="","Full day",Bookings!C11)</ns0:f>
        <ns0:v>Full day</ns0:v>
      </ns0:c>
      <ns0:c r="V11" s="0" t="str">
        <ns0:f>IF(Bookings!E11="","Full day",Bookings!E11)</ns0:f>
        <ns0:v>Full day</ns0:v>
      </ns0:c>
      <ns0:c r="W11" s="0">
        <ns0:f>IF(J11=0,0,J11+IF(U11="PM",1,0))</ns0:f>
        <ns0:v>46545</ns0:v>
      </ns0:c>
      <ns0:c r="X11" s="0">
        <ns0:f>IF(T11=0,0,T11-IF(V11="PM",1,0))</ns0:f>
        <ns0:v>46549</ns0:v>
      </ns0:c>
      <ns0:c r="Y11" s="0">
        <ns0:f>IF(J11=0,0,J11+IF(U11="AM",1,0))</ns0:f>
        <ns0:v>46545</ns0:v>
      </ns0:c>
      <ns0:c r="Z11" s="0">
        <ns0:f>IF(T11=0,0,T11-IF(V11="AM",1,0))</ns0:f>
        <ns0:v>46549</ns0:v>
      </ns0:c>
      <ns0:c r="AA11" s="0">
        <ns0:f>IFERROR(IF(AND(J11&gt;0,'_Engine'!C11&gt;0,MID('_Engine'!W11,WEEKDAY(J11,2),1)="W",COUNTIF(Settings!$F$18:$F$67,J11)=0),1,0),0)</ns0:f>
        <ns0:v>1</ns0:v>
      </ns0:c>
      <ns0:c r="AB11" s="0">
        <ns0:f>IFERROR(IF(AND(T11&gt;0,'_Engine'!C11&gt;0,MID('_Engine'!W11,WEEKDAY(T11,2),1)="W",COUNTIF(Settings!$F$18:$F$67,T11)=0),1,0),0)</ns0:f>
        <ns0:v>1</ns0:v>
      </ns0:c>
      <ns0:c r="AC11" s="0">
        <ns0:f>IF(AND(J11&gt;0,T11&gt;0,W11&lt;=X11),1,0)</ns0:f>
        <ns0:v>1</ns0:v>
      </ns0:c>
      <ns0:c r="AD11" s="0">
        <ns0:f>IF(AND(J11&gt;0,T11&gt;0,Y11&lt;=Z11),1,0)</ns0:f>
        <ns0:v>1</ns0:v>
      </ns0:c>
    </ns0:row>
    <ns0:row r="12">
      <ns0:c r="A12" s="0">
        <ns0:f>IFERROR(IF(ISNUMBER(Bookings!B12),"",TRIM(Bookings!B12&amp;"")),"")</ns0:f>
      </ns0:c>
      <ns0:c r="B12" s="0">
        <ns0:f>IFERROR(SUBSTITUTE(SUBSTITUTE(A12,"/","."),"-","."),"")</ns0:f>
      </ns0:c>
      <ns0:c r="C12" s="0">
        <ns0:f>IFERROR(LEFT(B12,FIND(".",B12)-1),"")</ns0:f>
      </ns0:c>
      <ns0:c r="D12" s="0">
        <ns0:f>IFERROR(MID(B12,FIND(".",B12)+1,FIND(".",B12,FIND(".",B12)+1)-FIND(".",B12)-1),"")</ns0:f>
      </ns0:c>
      <ns0:c r="E12" s="0">
        <ns0:f>IFERROR(MID(B12,FIND(".",B12,FIND(".",B12)+1)+1,99),"")</ns0:f>
        <ns0:v>99</ns0:v>
      </ns0:c>
      <ns0:c r="F12" s="0">
        <ns0:f>IFERROR(IF(FIND(".",B12)=5,--C12,--E12),0)</ns0:f>
        <ns0:v>0</ns0:v>
      </ns0:c>
      <ns0:c r="G12" s="0">
        <ns0:f>IFERROR(--D12,0)</ns0:f>
        <ns0:v>0</ns0:v>
      </ns0:c>
      <ns0:c r="H12" s="0">
        <ns0:f>IFERROR(IF(FIND(".",B12)=5,--E12,--C12),0)</ns0:f>
        <ns0:v>0</ns0:v>
      </ns0:c>
      <ns0:c r="I12" s="0">
        <ns0:f>IFERROR(IF(AND(F12&gt;=2000,F12&lt;=2100,G12&gt;=1,G12&lt;=12,H12&gt;=1,H12&lt;=31),DATE(F12,G12,H12),0),0)</ns0:f>
        <ns0:v>0</ns0:v>
      </ns0:c>
      <ns0:c r="J12" s="0">
        <ns0:f>IFERROR(IF(ISNUMBER(Bookings!B12),IF(AND(Bookings!B12=INT(Bookings!B12),Bookings!B12&gt;=DATE(2000,1,1),Bookings!B12&lt;=DATE(2100,12,31)),Bookings!B12,0),IF(AND(A12&lt;&gt;"",LEN("x"&amp;B12)-LEN(SUBSTITUTE("x"&amp;B12,".",""))=2,OR(1&gt;LEN(B12),MID(B12,1,1)=".",ISNUMBER(FIND("x"&amp;MID(B12,1,1),"x0x1x2x3x4x5x6x7x8x9"))),OR(2&gt;LEN(B12),MID(B12,2,1)=".",ISNUMBER(FIND("x"&amp;MID(B12,2,1),"x0x1x2x3x4x5x6x7x8x9"))),OR(3&gt;LEN(B12),MID(B12,3,1)=".",ISNUMBER(FIND("x"&amp;MID(B12,3,1),"x0x1x2x3x4x5x6x7x8x9"))),OR(4&gt;LEN(B12),MID(B12,4,1)=".",ISNUMBER(FIND("x"&amp;MID(B12,4,1),"x0x1x2x3x4x5x6x7x8x9"))),OR(5&gt;LEN(B12),MID(B12,5,1)=".",ISNUMBER(FIND("x"&amp;MID(B12,5,1),"x0x1x2x3x4x5x6x7x8x9"))),OR(6&gt;LEN(B12),MID(B12,6,1)=".",ISNUMBER(FIND("x"&amp;MID(B12,6,1),"x0x1x2x3x4x5x6x7x8x9"))),OR(7&gt;LEN(B12),MID(B12,7,1)=".",ISNUMBER(FIND("x"&amp;MID(B12,7,1),"x0x1x2x3x4x5x6x7x8x9"))),OR(8&gt;LEN(B12),MID(B12,8,1)=".",ISNUMBER(FIND("x"&amp;MID(B12,8,1),"x0x1x2x3x4x5x6x7x8x9"))),OR(9&gt;LEN(B12),MID(B12,9,1)=".",ISNUMBER(FIND("x"&amp;MID(B12,9,1),"x0x1x2x3x4x5x6x7x8x9"))),OR(10&gt;LEN(B12),MID(B12,10,1)=".",ISNUMBER(FIND("x"&amp;MID(B12,10,1),"x0x1x2x3x4x5x6x7x8x9"))),OR(AND(FIND(".",B12)=5,LEN(B12)-FIND(".",B12,FIND(".",B12)+1)&gt;=1,LEN(B12)-FIND(".",B12,FIND(".",B12)+1)&lt;=2),AND(LEN(B12)-FIND(".",B12,FIND(".",B12)+1)=4,FIND(".",B12)&gt;=2,FIND(".",B12)&lt;=3)),FIND(".",B12,FIND(".",B12)+1)-FIND(".",B12)&gt;=2,FIND(".",B12,FIND(".",B12)+1)-FIND(".",B12)&lt;=3,F12&gt;=2000,F12&lt;=2100,YEAR(I12)=F12,MONTH(I12)=G12,DAY(I12)=H12),I12,0)),0)</ns0:f>
        <ns0:v>46580</ns0:v>
      </ns0:c>
      <ns0:c r="K12" s="0">
        <ns0:f>IFERROR(IF(ISNUMBER(Bookings!D12),"",TRIM(Bookings!D12&amp;"")),"")</ns0:f>
      </ns0:c>
      <ns0:c r="L12" s="0">
        <ns0:f>IFERROR(SUBSTITUTE(SUBSTITUTE(K12,"/","."),"-","."),"")</ns0:f>
      </ns0:c>
      <ns0:c r="M12" s="0">
        <ns0:f>IFERROR(LEFT(L12,FIND(".",L12)-1),"")</ns0:f>
      </ns0:c>
      <ns0:c r="N12" s="0">
        <ns0:f>IFERROR(MID(L12,FIND(".",L12)+1,FIND(".",L12,FIND(".",L12)+1)-FIND(".",L12)-1),"")</ns0:f>
      </ns0:c>
      <ns0:c r="O12" s="0">
        <ns0:f>IFERROR(MID(L12,FIND(".",L12,FIND(".",L12)+1)+1,99),"")</ns0:f>
        <ns0:v>99</ns0:v>
      </ns0:c>
      <ns0:c r="P12" s="0">
        <ns0:f>IFERROR(IF(FIND(".",L12)=5,--M12,--O12),0)</ns0:f>
        <ns0:v>0</ns0:v>
      </ns0:c>
      <ns0:c r="Q12" s="0">
        <ns0:f>IFERROR(--N12,0)</ns0:f>
        <ns0:v>0</ns0:v>
      </ns0:c>
      <ns0:c r="R12" s="0">
        <ns0:f>IFERROR(IF(FIND(".",L12)=5,--O12,--M12),0)</ns0:f>
        <ns0:v>0</ns0:v>
      </ns0:c>
      <ns0:c r="S12" s="0">
        <ns0:f>IFERROR(IF(AND(P12&gt;=2000,P12&lt;=2100,Q12&gt;=1,Q12&lt;=12,R12&gt;=1,R12&lt;=31),DATE(P12,Q12,R12),0),0)</ns0:f>
        <ns0:v>0</ns0:v>
      </ns0:c>
      <ns0:c r="T12" s="0">
        <ns0:f>IFERROR(IF(ISNUMBER(Bookings!D12),IF(AND(Bookings!D12=INT(Bookings!D12),Bookings!D12&gt;=DATE(2000,1,1),Bookings!D12&lt;=DATE(2100,12,31)),Bookings!D12,0),IF(AND(K12&lt;&gt;"",LEN("x"&amp;L12)-LEN(SUBSTITUTE("x"&amp;L12,".",""))=2,OR(1&gt;LEN(L12),MID(L12,1,1)=".",ISNUMBER(FIND("x"&amp;MID(L12,1,1),"x0x1x2x3x4x5x6x7x8x9"))),OR(2&gt;LEN(L12),MID(L12,2,1)=".",ISNUMBER(FIND("x"&amp;MID(L12,2,1),"x0x1x2x3x4x5x6x7x8x9"))),OR(3&gt;LEN(L12),MID(L12,3,1)=".",ISNUMBER(FIND("x"&amp;MID(L12,3,1),"x0x1x2x3x4x5x6x7x8x9"))),OR(4&gt;LEN(L12),MID(L12,4,1)=".",ISNUMBER(FIND("x"&amp;MID(L12,4,1),"x0x1x2x3x4x5x6x7x8x9"))),OR(5&gt;LEN(L12),MID(L12,5,1)=".",ISNUMBER(FIND("x"&amp;MID(L12,5,1),"x0x1x2x3x4x5x6x7x8x9"))),OR(6&gt;LEN(L12),MID(L12,6,1)=".",ISNUMBER(FIND("x"&amp;MID(L12,6,1),"x0x1x2x3x4x5x6x7x8x9"))),OR(7&gt;LEN(L12),MID(L12,7,1)=".",ISNUMBER(FIND("x"&amp;MID(L12,7,1),"x0x1x2x3x4x5x6x7x8x9"))),OR(8&gt;LEN(L12),MID(L12,8,1)=".",ISNUMBER(FIND("x"&amp;MID(L12,8,1),"x0x1x2x3x4x5x6x7x8x9"))),OR(9&gt;LEN(L12),MID(L12,9,1)=".",ISNUMBER(FIND("x"&amp;MID(L12,9,1),"x0x1x2x3x4x5x6x7x8x9"))),OR(10&gt;LEN(L12),MID(L12,10,1)=".",ISNUMBER(FIND("x"&amp;MID(L12,10,1),"x0x1x2x3x4x5x6x7x8x9"))),OR(AND(FIND(".",L12)=5,LEN(L12)-FIND(".",L12,FIND(".",L12)+1)&gt;=1,LEN(L12)-FIND(".",L12,FIND(".",L12)+1)&lt;=2),AND(LEN(L12)-FIND(".",L12,FIND(".",L12)+1)=4,FIND(".",L12)&gt;=2,FIND(".",L12)&lt;=3)),FIND(".",L12,FIND(".",L12)+1)-FIND(".",L12)&gt;=2,FIND(".",L12,FIND(".",L12)+1)-FIND(".",L12)&lt;=3,P12&gt;=2000,P12&lt;=2100,YEAR(S12)=P12,MONTH(S12)=Q12,DAY(S12)=R12),S12,0)),0)</ns0:f>
        <ns0:v>46584</ns0:v>
      </ns0:c>
      <ns0:c r="U12" s="0" t="str">
        <ns0:f>IF(Bookings!C12="","Full day",Bookings!C12)</ns0:f>
        <ns0:v>Full day</ns0:v>
      </ns0:c>
      <ns0:c r="V12" s="0" t="str">
        <ns0:f>IF(Bookings!E12="","Full day",Bookings!E12)</ns0:f>
        <ns0:v>Full day</ns0:v>
      </ns0:c>
      <ns0:c r="W12" s="0">
        <ns0:f>IF(J12=0,0,J12+IF(U12="PM",1,0))</ns0:f>
        <ns0:v>46580</ns0:v>
      </ns0:c>
      <ns0:c r="X12" s="0">
        <ns0:f>IF(T12=0,0,T12-IF(V12="PM",1,0))</ns0:f>
        <ns0:v>46584</ns0:v>
      </ns0:c>
      <ns0:c r="Y12" s="0">
        <ns0:f>IF(J12=0,0,J12+IF(U12="AM",1,0))</ns0:f>
        <ns0:v>46580</ns0:v>
      </ns0:c>
      <ns0:c r="Z12" s="0">
        <ns0:f>IF(T12=0,0,T12-IF(V12="AM",1,0))</ns0:f>
        <ns0:v>46584</ns0:v>
      </ns0:c>
      <ns0:c r="AA12" s="0">
        <ns0:f>IFERROR(IF(AND(J12&gt;0,'_Engine'!C12&gt;0,MID('_Engine'!W12,WEEKDAY(J12,2),1)="W",COUNTIF(Settings!$F$18:$F$67,J12)=0),1,0),0)</ns0:f>
        <ns0:v>1</ns0:v>
      </ns0:c>
      <ns0:c r="AB12" s="0">
        <ns0:f>IFERROR(IF(AND(T12&gt;0,'_Engine'!C12&gt;0,MID('_Engine'!W12,WEEKDAY(T12,2),1)="W",COUNTIF(Settings!$F$18:$F$67,T12)=0),1,0),0)</ns0:f>
        <ns0:v>1</ns0:v>
      </ns0:c>
      <ns0:c r="AC12" s="0">
        <ns0:f>IF(AND(J12&gt;0,T12&gt;0,W12&lt;=X12),1,0)</ns0:f>
        <ns0:v>1</ns0:v>
      </ns0:c>
      <ns0:c r="AD12" s="0">
        <ns0:f>IF(AND(J12&gt;0,T12&gt;0,Y12&lt;=Z12),1,0)</ns0:f>
        <ns0:v>1</ns0:v>
      </ns0:c>
    </ns0:row>
    <ns0:row r="13">
      <ns0:c r="A13" s="0">
        <ns0:f>IFERROR(IF(ISNUMBER(Bookings!B13),"",TRIM(Bookings!B13&amp;"")),"")</ns0:f>
      </ns0:c>
      <ns0:c r="B13" s="0">
        <ns0:f>IFERROR(SUBSTITUTE(SUBSTITUTE(A13,"/","."),"-","."),"")</ns0:f>
      </ns0:c>
      <ns0:c r="C13" s="0">
        <ns0:f>IFERROR(LEFT(B13,FIND(".",B13)-1),"")</ns0:f>
      </ns0:c>
      <ns0:c r="D13" s="0">
        <ns0:f>IFERROR(MID(B13,FIND(".",B13)+1,FIND(".",B13,FIND(".",B13)+1)-FIND(".",B13)-1),"")</ns0:f>
      </ns0:c>
      <ns0:c r="E13" s="0">
        <ns0:f>IFERROR(MID(B13,FIND(".",B13,FIND(".",B13)+1)+1,99),"")</ns0:f>
        <ns0:v>99</ns0:v>
      </ns0:c>
      <ns0:c r="F13" s="0">
        <ns0:f>IFERROR(IF(FIND(".",B13)=5,--C13,--E13),0)</ns0:f>
        <ns0:v>0</ns0:v>
      </ns0:c>
      <ns0:c r="G13" s="0">
        <ns0:f>IFERROR(--D13,0)</ns0:f>
        <ns0:v>0</ns0:v>
      </ns0:c>
      <ns0:c r="H13" s="0">
        <ns0:f>IFERROR(IF(FIND(".",B13)=5,--E13,--C13),0)</ns0:f>
        <ns0:v>0</ns0:v>
      </ns0:c>
      <ns0:c r="I13" s="0">
        <ns0:f>IFERROR(IF(AND(F13&gt;=2000,F13&lt;=2100,G13&gt;=1,G13&lt;=12,H13&gt;=1,H13&lt;=31),DATE(F13,G13,H13),0),0)</ns0:f>
        <ns0:v>0</ns0:v>
      </ns0:c>
      <ns0:c r="J13" s="0">
        <ns0:f>IFERROR(IF(ISNUMBER(Bookings!B13),IF(AND(Bookings!B13=INT(Bookings!B13),Bookings!B13&gt;=DATE(2000,1,1),Bookings!B13&lt;=DATE(2100,12,31)),Bookings!B13,0),IF(AND(A13&lt;&gt;"",LEN("x"&amp;B13)-LEN(SUBSTITUTE("x"&amp;B13,".",""))=2,OR(1&gt;LEN(B13),MID(B13,1,1)=".",ISNUMBER(FIND("x"&amp;MID(B13,1,1),"x0x1x2x3x4x5x6x7x8x9"))),OR(2&gt;LEN(B13),MID(B13,2,1)=".",ISNUMBER(FIND("x"&amp;MID(B13,2,1),"x0x1x2x3x4x5x6x7x8x9"))),OR(3&gt;LEN(B13),MID(B13,3,1)=".",ISNUMBER(FIND("x"&amp;MID(B13,3,1),"x0x1x2x3x4x5x6x7x8x9"))),OR(4&gt;LEN(B13),MID(B13,4,1)=".",ISNUMBER(FIND("x"&amp;MID(B13,4,1),"x0x1x2x3x4x5x6x7x8x9"))),OR(5&gt;LEN(B13),MID(B13,5,1)=".",ISNUMBER(FIND("x"&amp;MID(B13,5,1),"x0x1x2x3x4x5x6x7x8x9"))),OR(6&gt;LEN(B13),MID(B13,6,1)=".",ISNUMBER(FIND("x"&amp;MID(B13,6,1),"x0x1x2x3x4x5x6x7x8x9"))),OR(7&gt;LEN(B13),MID(B13,7,1)=".",ISNUMBER(FIND("x"&amp;MID(B13,7,1),"x0x1x2x3x4x5x6x7x8x9"))),OR(8&gt;LEN(B13),MID(B13,8,1)=".",ISNUMBER(FIND("x"&amp;MID(B13,8,1),"x0x1x2x3x4x5x6x7x8x9"))),OR(9&gt;LEN(B13),MID(B13,9,1)=".",ISNUMBER(FIND("x"&amp;MID(B13,9,1),"x0x1x2x3x4x5x6x7x8x9"))),OR(10&gt;LEN(B13),MID(B13,10,1)=".",ISNUMBER(FIND("x"&amp;MID(B13,10,1),"x0x1x2x3x4x5x6x7x8x9"))),OR(AND(FIND(".",B13)=5,LEN(B13)-FIND(".",B13,FIND(".",B13)+1)&gt;=1,LEN(B13)-FIND(".",B13,FIND(".",B13)+1)&lt;=2),AND(LEN(B13)-FIND(".",B13,FIND(".",B13)+1)=4,FIND(".",B13)&gt;=2,FIND(".",B13)&lt;=3)),FIND(".",B13,FIND(".",B13)+1)-FIND(".",B13)&gt;=2,FIND(".",B13,FIND(".",B13)+1)-FIND(".",B13)&lt;=3,F13&gt;=2000,F13&lt;=2100,YEAR(I13)=F13,MONTH(I13)=G13,DAY(I13)=H13),I13,0)),0)</ns0:f>
        <ns0:v>46594</ns0:v>
      </ns0:c>
      <ns0:c r="K13" s="0">
        <ns0:f>IFERROR(IF(ISNUMBER(Bookings!D13),"",TRIM(Bookings!D13&amp;"")),"")</ns0:f>
      </ns0:c>
      <ns0:c r="L13" s="0">
        <ns0:f>IFERROR(SUBSTITUTE(SUBSTITUTE(K13,"/","."),"-","."),"")</ns0:f>
      </ns0:c>
      <ns0:c r="M13" s="0">
        <ns0:f>IFERROR(LEFT(L13,FIND(".",L13)-1),"")</ns0:f>
      </ns0:c>
      <ns0:c r="N13" s="0">
        <ns0:f>IFERROR(MID(L13,FIND(".",L13)+1,FIND(".",L13,FIND(".",L13)+1)-FIND(".",L13)-1),"")</ns0:f>
      </ns0:c>
      <ns0:c r="O13" s="0">
        <ns0:f>IFERROR(MID(L13,FIND(".",L13,FIND(".",L13)+1)+1,99),"")</ns0:f>
        <ns0:v>99</ns0:v>
      </ns0:c>
      <ns0:c r="P13" s="0">
        <ns0:f>IFERROR(IF(FIND(".",L13)=5,--M13,--O13),0)</ns0:f>
        <ns0:v>0</ns0:v>
      </ns0:c>
      <ns0:c r="Q13" s="0">
        <ns0:f>IFERROR(--N13,0)</ns0:f>
        <ns0:v>0</ns0:v>
      </ns0:c>
      <ns0:c r="R13" s="0">
        <ns0:f>IFERROR(IF(FIND(".",L13)=5,--O13,--M13),0)</ns0:f>
        <ns0:v>0</ns0:v>
      </ns0:c>
      <ns0:c r="S13" s="0">
        <ns0:f>IFERROR(IF(AND(P13&gt;=2000,P13&lt;=2100,Q13&gt;=1,Q13&lt;=12,R13&gt;=1,R13&lt;=31),DATE(P13,Q13,R13),0),0)</ns0:f>
        <ns0:v>0</ns0:v>
      </ns0:c>
      <ns0:c r="T13" s="0">
        <ns0:f>IFERROR(IF(ISNUMBER(Bookings!D13),IF(AND(Bookings!D13=INT(Bookings!D13),Bookings!D13&gt;=DATE(2000,1,1),Bookings!D13&lt;=DATE(2100,12,31)),Bookings!D13,0),IF(AND(K13&lt;&gt;"",LEN("x"&amp;L13)-LEN(SUBSTITUTE("x"&amp;L13,".",""))=2,OR(1&gt;LEN(L13),MID(L13,1,1)=".",ISNUMBER(FIND("x"&amp;MID(L13,1,1),"x0x1x2x3x4x5x6x7x8x9"))),OR(2&gt;LEN(L13),MID(L13,2,1)=".",ISNUMBER(FIND("x"&amp;MID(L13,2,1),"x0x1x2x3x4x5x6x7x8x9"))),OR(3&gt;LEN(L13),MID(L13,3,1)=".",ISNUMBER(FIND("x"&amp;MID(L13,3,1),"x0x1x2x3x4x5x6x7x8x9"))),OR(4&gt;LEN(L13),MID(L13,4,1)=".",ISNUMBER(FIND("x"&amp;MID(L13,4,1),"x0x1x2x3x4x5x6x7x8x9"))),OR(5&gt;LEN(L13),MID(L13,5,1)=".",ISNUMBER(FIND("x"&amp;MID(L13,5,1),"x0x1x2x3x4x5x6x7x8x9"))),OR(6&gt;LEN(L13),MID(L13,6,1)=".",ISNUMBER(FIND("x"&amp;MID(L13,6,1),"x0x1x2x3x4x5x6x7x8x9"))),OR(7&gt;LEN(L13),MID(L13,7,1)=".",ISNUMBER(FIND("x"&amp;MID(L13,7,1),"x0x1x2x3x4x5x6x7x8x9"))),OR(8&gt;LEN(L13),MID(L13,8,1)=".",ISNUMBER(FIND("x"&amp;MID(L13,8,1),"x0x1x2x3x4x5x6x7x8x9"))),OR(9&gt;LEN(L13),MID(L13,9,1)=".",ISNUMBER(FIND("x"&amp;MID(L13,9,1),"x0x1x2x3x4x5x6x7x8x9"))),OR(10&gt;LEN(L13),MID(L13,10,1)=".",ISNUMBER(FIND("x"&amp;MID(L13,10,1),"x0x1x2x3x4x5x6x7x8x9"))),OR(AND(FIND(".",L13)=5,LEN(L13)-FIND(".",L13,FIND(".",L13)+1)&gt;=1,LEN(L13)-FIND(".",L13,FIND(".",L13)+1)&lt;=2),AND(LEN(L13)-FIND(".",L13,FIND(".",L13)+1)=4,FIND(".",L13)&gt;=2,FIND(".",L13)&lt;=3)),FIND(".",L13,FIND(".",L13)+1)-FIND(".",L13)&gt;=2,FIND(".",L13,FIND(".",L13)+1)-FIND(".",L13)&lt;=3,P13&gt;=2000,P13&lt;=2100,YEAR(S13)=P13,MONTH(S13)=Q13,DAY(S13)=R13),S13,0)),0)</ns0:f>
        <ns0:v>46598</ns0:v>
      </ns0:c>
      <ns0:c r="U13" s="0" t="str">
        <ns0:f>IF(Bookings!C13="","Full day",Bookings!C13)</ns0:f>
        <ns0:v>Full day</ns0:v>
      </ns0:c>
      <ns0:c r="V13" s="0" t="str">
        <ns0:f>IF(Bookings!E13="","Full day",Bookings!E13)</ns0:f>
        <ns0:v>Full day</ns0:v>
      </ns0:c>
      <ns0:c r="W13" s="0">
        <ns0:f>IF(J13=0,0,J13+IF(U13="PM",1,0))</ns0:f>
        <ns0:v>46594</ns0:v>
      </ns0:c>
      <ns0:c r="X13" s="0">
        <ns0:f>IF(T13=0,0,T13-IF(V13="PM",1,0))</ns0:f>
        <ns0:v>46598</ns0:v>
      </ns0:c>
      <ns0:c r="Y13" s="0">
        <ns0:f>IF(J13=0,0,J13+IF(U13="AM",1,0))</ns0:f>
        <ns0:v>46594</ns0:v>
      </ns0:c>
      <ns0:c r="Z13" s="0">
        <ns0:f>IF(T13=0,0,T13-IF(V13="AM",1,0))</ns0:f>
        <ns0:v>46598</ns0:v>
      </ns0:c>
      <ns0:c r="AA13" s="0">
        <ns0:f>IFERROR(IF(AND(J13&gt;0,'_Engine'!C13&gt;0,MID('_Engine'!W13,WEEKDAY(J13,2),1)="W",COUNTIF(Settings!$F$18:$F$67,J13)=0),1,0),0)</ns0:f>
        <ns0:v>1</ns0:v>
      </ns0:c>
      <ns0:c r="AB13" s="0">
        <ns0:f>IFERROR(IF(AND(T13&gt;0,'_Engine'!C13&gt;0,MID('_Engine'!W13,WEEKDAY(T13,2),1)="W",COUNTIF(Settings!$F$18:$F$67,T13)=0),1,0),0)</ns0:f>
        <ns0:v>1</ns0:v>
      </ns0:c>
      <ns0:c r="AC13" s="0">
        <ns0:f>IF(AND(J13&gt;0,T13&gt;0,W13&lt;=X13),1,0)</ns0:f>
        <ns0:v>1</ns0:v>
      </ns0:c>
      <ns0:c r="AD13" s="0">
        <ns0:f>IF(AND(J13&gt;0,T13&gt;0,Y13&lt;=Z13),1,0)</ns0:f>
        <ns0:v>1</ns0:v>
      </ns0:c>
    </ns0:row>
    <ns0:row r="14">
      <ns0:c r="A14" s="0">
        <ns0:f>IFERROR(IF(ISNUMBER(Bookings!B14),"",TRIM(Bookings!B14&amp;"")),"")</ns0:f>
      </ns0:c>
      <ns0:c r="B14" s="0">
        <ns0:f>IFERROR(SUBSTITUTE(SUBSTITUTE(A14,"/","."),"-","."),"")</ns0:f>
      </ns0:c>
      <ns0:c r="C14" s="0">
        <ns0:f>IFERROR(LEFT(B14,FIND(".",B14)-1),"")</ns0:f>
      </ns0:c>
      <ns0:c r="D14" s="0">
        <ns0:f>IFERROR(MID(B14,FIND(".",B14)+1,FIND(".",B14,FIND(".",B14)+1)-FIND(".",B14)-1),"")</ns0:f>
      </ns0:c>
      <ns0:c r="E14" s="0">
        <ns0:f>IFERROR(MID(B14,FIND(".",B14,FIND(".",B14)+1)+1,99),"")</ns0:f>
        <ns0:v>99</ns0:v>
      </ns0:c>
      <ns0:c r="F14" s="0">
        <ns0:f>IFERROR(IF(FIND(".",B14)=5,--C14,--E14),0)</ns0:f>
        <ns0:v>0</ns0:v>
      </ns0:c>
      <ns0:c r="G14" s="0">
        <ns0:f>IFERROR(--D14,0)</ns0:f>
        <ns0:v>0</ns0:v>
      </ns0:c>
      <ns0:c r="H14" s="0">
        <ns0:f>IFERROR(IF(FIND(".",B14)=5,--E14,--C14),0)</ns0:f>
        <ns0:v>0</ns0:v>
      </ns0:c>
      <ns0:c r="I14" s="0">
        <ns0:f>IFERROR(IF(AND(F14&gt;=2000,F14&lt;=2100,G14&gt;=1,G14&lt;=12,H14&gt;=1,H14&lt;=31),DATE(F14,G14,H14),0),0)</ns0:f>
        <ns0:v>0</ns0:v>
      </ns0:c>
      <ns0:c r="J14" s="0">
        <ns0:f>IFERROR(IF(ISNUMBER(Bookings!B14),IF(AND(Bookings!B14=INT(Bookings!B14),Bookings!B14&gt;=DATE(2000,1,1),Bookings!B14&lt;=DATE(2100,12,31)),Bookings!B14,0),IF(AND(A14&lt;&gt;"",LEN("x"&amp;B14)-LEN(SUBSTITUTE("x"&amp;B14,".",""))=2,OR(1&gt;LEN(B14),MID(B14,1,1)=".",ISNUMBER(FIND("x"&amp;MID(B14,1,1),"x0x1x2x3x4x5x6x7x8x9"))),OR(2&gt;LEN(B14),MID(B14,2,1)=".",ISNUMBER(FIND("x"&amp;MID(B14,2,1),"x0x1x2x3x4x5x6x7x8x9"))),OR(3&gt;LEN(B14),MID(B14,3,1)=".",ISNUMBER(FIND("x"&amp;MID(B14,3,1),"x0x1x2x3x4x5x6x7x8x9"))),OR(4&gt;LEN(B14),MID(B14,4,1)=".",ISNUMBER(FIND("x"&amp;MID(B14,4,1),"x0x1x2x3x4x5x6x7x8x9"))),OR(5&gt;LEN(B14),MID(B14,5,1)=".",ISNUMBER(FIND("x"&amp;MID(B14,5,1),"x0x1x2x3x4x5x6x7x8x9"))),OR(6&gt;LEN(B14),MID(B14,6,1)=".",ISNUMBER(FIND("x"&amp;MID(B14,6,1),"x0x1x2x3x4x5x6x7x8x9"))),OR(7&gt;LEN(B14),MID(B14,7,1)=".",ISNUMBER(FIND("x"&amp;MID(B14,7,1),"x0x1x2x3x4x5x6x7x8x9"))),OR(8&gt;LEN(B14),MID(B14,8,1)=".",ISNUMBER(FIND("x"&amp;MID(B14,8,1),"x0x1x2x3x4x5x6x7x8x9"))),OR(9&gt;LEN(B14),MID(B14,9,1)=".",ISNUMBER(FIND("x"&amp;MID(B14,9,1),"x0x1x2x3x4x5x6x7x8x9"))),OR(10&gt;LEN(B14),MID(B14,10,1)=".",ISNUMBER(FIND("x"&amp;MID(B14,10,1),"x0x1x2x3x4x5x6x7x8x9"))),OR(AND(FIND(".",B14)=5,LEN(B14)-FIND(".",B14,FIND(".",B14)+1)&gt;=1,LEN(B14)-FIND(".",B14,FIND(".",B14)+1)&lt;=2),AND(LEN(B14)-FIND(".",B14,FIND(".",B14)+1)=4,FIND(".",B14)&gt;=2,FIND(".",B14)&lt;=3)),FIND(".",B14,FIND(".",B14)+1)-FIND(".",B14)&gt;=2,FIND(".",B14,FIND(".",B14)+1)-FIND(".",B14)&lt;=3,F14&gt;=2000,F14&lt;=2100,YEAR(I14)=F14,MONTH(I14)=G14,DAY(I14)=H14),I14,0)),0)</ns0:f>
        <ns0:v>46590</ns0:v>
      </ns0:c>
      <ns0:c r="K14" s="0">
        <ns0:f>IFERROR(IF(ISNUMBER(Bookings!D14),"",TRIM(Bookings!D14&amp;"")),"")</ns0:f>
      </ns0:c>
      <ns0:c r="L14" s="0">
        <ns0:f>IFERROR(SUBSTITUTE(SUBSTITUTE(K14,"/","."),"-","."),"")</ns0:f>
      </ns0:c>
      <ns0:c r="M14" s="0">
        <ns0:f>IFERROR(LEFT(L14,FIND(".",L14)-1),"")</ns0:f>
      </ns0:c>
      <ns0:c r="N14" s="0">
        <ns0:f>IFERROR(MID(L14,FIND(".",L14)+1,FIND(".",L14,FIND(".",L14)+1)-FIND(".",L14)-1),"")</ns0:f>
      </ns0:c>
      <ns0:c r="O14" s="0">
        <ns0:f>IFERROR(MID(L14,FIND(".",L14,FIND(".",L14)+1)+1,99),"")</ns0:f>
        <ns0:v>99</ns0:v>
      </ns0:c>
      <ns0:c r="P14" s="0">
        <ns0:f>IFERROR(IF(FIND(".",L14)=5,--M14,--O14),0)</ns0:f>
        <ns0:v>0</ns0:v>
      </ns0:c>
      <ns0:c r="Q14" s="0">
        <ns0:f>IFERROR(--N14,0)</ns0:f>
        <ns0:v>0</ns0:v>
      </ns0:c>
      <ns0:c r="R14" s="0">
        <ns0:f>IFERROR(IF(FIND(".",L14)=5,--O14,--M14),0)</ns0:f>
        <ns0:v>0</ns0:v>
      </ns0:c>
      <ns0:c r="S14" s="0">
        <ns0:f>IFERROR(IF(AND(P14&gt;=2000,P14&lt;=2100,Q14&gt;=1,Q14&lt;=12,R14&gt;=1,R14&lt;=31),DATE(P14,Q14,R14),0),0)</ns0:f>
        <ns0:v>0</ns0:v>
      </ns0:c>
      <ns0:c r="T14" s="0">
        <ns0:f>IFERROR(IF(ISNUMBER(Bookings!D14),IF(AND(Bookings!D14=INT(Bookings!D14),Bookings!D14&gt;=DATE(2000,1,1),Bookings!D14&lt;=DATE(2100,12,31)),Bookings!D14,0),IF(AND(K14&lt;&gt;"",LEN("x"&amp;L14)-LEN(SUBSTITUTE("x"&amp;L14,".",""))=2,OR(1&gt;LEN(L14),MID(L14,1,1)=".",ISNUMBER(FIND("x"&amp;MID(L14,1,1),"x0x1x2x3x4x5x6x7x8x9"))),OR(2&gt;LEN(L14),MID(L14,2,1)=".",ISNUMBER(FIND("x"&amp;MID(L14,2,1),"x0x1x2x3x4x5x6x7x8x9"))),OR(3&gt;LEN(L14),MID(L14,3,1)=".",ISNUMBER(FIND("x"&amp;MID(L14,3,1),"x0x1x2x3x4x5x6x7x8x9"))),OR(4&gt;LEN(L14),MID(L14,4,1)=".",ISNUMBER(FIND("x"&amp;MID(L14,4,1),"x0x1x2x3x4x5x6x7x8x9"))),OR(5&gt;LEN(L14),MID(L14,5,1)=".",ISNUMBER(FIND("x"&amp;MID(L14,5,1),"x0x1x2x3x4x5x6x7x8x9"))),OR(6&gt;LEN(L14),MID(L14,6,1)=".",ISNUMBER(FIND("x"&amp;MID(L14,6,1),"x0x1x2x3x4x5x6x7x8x9"))),OR(7&gt;LEN(L14),MID(L14,7,1)=".",ISNUMBER(FIND("x"&amp;MID(L14,7,1),"x0x1x2x3x4x5x6x7x8x9"))),OR(8&gt;LEN(L14),MID(L14,8,1)=".",ISNUMBER(FIND("x"&amp;MID(L14,8,1),"x0x1x2x3x4x5x6x7x8x9"))),OR(9&gt;LEN(L14),MID(L14,9,1)=".",ISNUMBER(FIND("x"&amp;MID(L14,9,1),"x0x1x2x3x4x5x6x7x8x9"))),OR(10&gt;LEN(L14),MID(L14,10,1)=".",ISNUMBER(FIND("x"&amp;MID(L14,10,1),"x0x1x2x3x4x5x6x7x8x9"))),OR(AND(FIND(".",L14)=5,LEN(L14)-FIND(".",L14,FIND(".",L14)+1)&gt;=1,LEN(L14)-FIND(".",L14,FIND(".",L14)+1)&lt;=2),AND(LEN(L14)-FIND(".",L14,FIND(".",L14)+1)=4,FIND(".",L14)&gt;=2,FIND(".",L14)&lt;=3)),FIND(".",L14,FIND(".",L14)+1)-FIND(".",L14)&gt;=2,FIND(".",L14,FIND(".",L14)+1)-FIND(".",L14)&lt;=3,P14&gt;=2000,P14&lt;=2100,YEAR(S14)=P14,MONTH(S14)=Q14,DAY(S14)=R14),S14,0)),0)</ns0:f>
        <ns0:v>46591</ns0:v>
      </ns0:c>
      <ns0:c r="U14" s="0" t="str">
        <ns0:f>IF(Bookings!C14="","Full day",Bookings!C14)</ns0:f>
        <ns0:v>Full day</ns0:v>
      </ns0:c>
      <ns0:c r="V14" s="0" t="str">
        <ns0:f>IF(Bookings!E14="","Full day",Bookings!E14)</ns0:f>
        <ns0:v>Full day</ns0:v>
      </ns0:c>
      <ns0:c r="W14" s="0">
        <ns0:f>IF(J14=0,0,J14+IF(U14="PM",1,0))</ns0:f>
        <ns0:v>46590</ns0:v>
      </ns0:c>
      <ns0:c r="X14" s="0">
        <ns0:f>IF(T14=0,0,T14-IF(V14="PM",1,0))</ns0:f>
        <ns0:v>46591</ns0:v>
      </ns0:c>
      <ns0:c r="Y14" s="0">
        <ns0:f>IF(J14=0,0,J14+IF(U14="AM",1,0))</ns0:f>
        <ns0:v>46590</ns0:v>
      </ns0:c>
      <ns0:c r="Z14" s="0">
        <ns0:f>IF(T14=0,0,T14-IF(V14="AM",1,0))</ns0:f>
        <ns0:v>46591</ns0:v>
      </ns0:c>
      <ns0:c r="AA14" s="0">
        <ns0:f>IFERROR(IF(AND(J14&gt;0,'_Engine'!C14&gt;0,MID('_Engine'!W14,WEEKDAY(J14,2),1)="W",COUNTIF(Settings!$F$18:$F$67,J14)=0),1,0),0)</ns0:f>
        <ns0:v>1</ns0:v>
      </ns0:c>
      <ns0:c r="AB14" s="0">
        <ns0:f>IFERROR(IF(AND(T14&gt;0,'_Engine'!C14&gt;0,MID('_Engine'!W14,WEEKDAY(T14,2),1)="W",COUNTIF(Settings!$F$18:$F$67,T14)=0),1,0),0)</ns0:f>
        <ns0:v>0</ns0:v>
      </ns0:c>
      <ns0:c r="AC14" s="0">
        <ns0:f>IF(AND(J14&gt;0,T14&gt;0,W14&lt;=X14),1,0)</ns0:f>
        <ns0:v>1</ns0:v>
      </ns0:c>
      <ns0:c r="AD14" s="0">
        <ns0:f>IF(AND(J14&gt;0,T14&gt;0,Y14&lt;=Z14),1,0)</ns0:f>
        <ns0:v>1</ns0:v>
      </ns0:c>
    </ns0:row>
    <ns0:row r="15">
      <ns0:c r="A15" s="0">
        <ns0:f>IFERROR(IF(ISNUMBER(Bookings!B15),"",TRIM(Bookings!B15&amp;"")),"")</ns0:f>
      </ns0:c>
      <ns0:c r="B15" s="0">
        <ns0:f>IFERROR(SUBSTITUTE(SUBSTITUTE(A15,"/","."),"-","."),"")</ns0:f>
      </ns0:c>
      <ns0:c r="C15" s="0">
        <ns0:f>IFERROR(LEFT(B15,FIND(".",B15)-1),"")</ns0:f>
      </ns0:c>
      <ns0:c r="D15" s="0">
        <ns0:f>IFERROR(MID(B15,FIND(".",B15)+1,FIND(".",B15,FIND(".",B15)+1)-FIND(".",B15)-1),"")</ns0:f>
      </ns0:c>
      <ns0:c r="E15" s="0">
        <ns0:f>IFERROR(MID(B15,FIND(".",B15,FIND(".",B15)+1)+1,99),"")</ns0:f>
        <ns0:v>99</ns0:v>
      </ns0:c>
      <ns0:c r="F15" s="0">
        <ns0:f>IFERROR(IF(FIND(".",B15)=5,--C15,--E15),0)</ns0:f>
        <ns0:v>0</ns0:v>
      </ns0:c>
      <ns0:c r="G15" s="0">
        <ns0:f>IFERROR(--D15,0)</ns0:f>
        <ns0:v>0</ns0:v>
      </ns0:c>
      <ns0:c r="H15" s="0">
        <ns0:f>IFERROR(IF(FIND(".",B15)=5,--E15,--C15),0)</ns0:f>
        <ns0:v>0</ns0:v>
      </ns0:c>
      <ns0:c r="I15" s="0">
        <ns0:f>IFERROR(IF(AND(F15&gt;=2000,F15&lt;=2100,G15&gt;=1,G15&lt;=12,H15&gt;=1,H15&lt;=31),DATE(F15,G15,H15),0),0)</ns0:f>
        <ns0:v>0</ns0:v>
      </ns0:c>
      <ns0:c r="J15" s="0">
        <ns0:f>IFERROR(IF(ISNUMBER(Bookings!B15),IF(AND(Bookings!B15=INT(Bookings!B15),Bookings!B15&gt;=DATE(2000,1,1),Bookings!B15&lt;=DATE(2100,12,31)),Bookings!B15,0),IF(AND(A15&lt;&gt;"",LEN("x"&amp;B15)-LEN(SUBSTITUTE("x"&amp;B15,".",""))=2,OR(1&gt;LEN(B15),MID(B15,1,1)=".",ISNUMBER(FIND("x"&amp;MID(B15,1,1),"x0x1x2x3x4x5x6x7x8x9"))),OR(2&gt;LEN(B15),MID(B15,2,1)=".",ISNUMBER(FIND("x"&amp;MID(B15,2,1),"x0x1x2x3x4x5x6x7x8x9"))),OR(3&gt;LEN(B15),MID(B15,3,1)=".",ISNUMBER(FIND("x"&amp;MID(B15,3,1),"x0x1x2x3x4x5x6x7x8x9"))),OR(4&gt;LEN(B15),MID(B15,4,1)=".",ISNUMBER(FIND("x"&amp;MID(B15,4,1),"x0x1x2x3x4x5x6x7x8x9"))),OR(5&gt;LEN(B15),MID(B15,5,1)=".",ISNUMBER(FIND("x"&amp;MID(B15,5,1),"x0x1x2x3x4x5x6x7x8x9"))),OR(6&gt;LEN(B15),MID(B15,6,1)=".",ISNUMBER(FIND("x"&amp;MID(B15,6,1),"x0x1x2x3x4x5x6x7x8x9"))),OR(7&gt;LEN(B15),MID(B15,7,1)=".",ISNUMBER(FIND("x"&amp;MID(B15,7,1),"x0x1x2x3x4x5x6x7x8x9"))),OR(8&gt;LEN(B15),MID(B15,8,1)=".",ISNUMBER(FIND("x"&amp;MID(B15,8,1),"x0x1x2x3x4x5x6x7x8x9"))),OR(9&gt;LEN(B15),MID(B15,9,1)=".",ISNUMBER(FIND("x"&amp;MID(B15,9,1),"x0x1x2x3x4x5x6x7x8x9"))),OR(10&gt;LEN(B15),MID(B15,10,1)=".",ISNUMBER(FIND("x"&amp;MID(B15,10,1),"x0x1x2x3x4x5x6x7x8x9"))),OR(AND(FIND(".",B15)=5,LEN(B15)-FIND(".",B15,FIND(".",B15)+1)&gt;=1,LEN(B15)-FIND(".",B15,FIND(".",B15)+1)&lt;=2),AND(LEN(B15)-FIND(".",B15,FIND(".",B15)+1)=4,FIND(".",B15)&gt;=2,FIND(".",B15)&lt;=3)),FIND(".",B15,FIND(".",B15)+1)-FIND(".",B15)&gt;=2,FIND(".",B15,FIND(".",B15)+1)-FIND(".",B15)&lt;=3,F15&gt;=2000,F15&lt;=2100,YEAR(I15)=F15,MONTH(I15)=G15,DAY(I15)=H15),I15,0)),0)</ns0:f>
        <ns0:v>46580</ns0:v>
      </ns0:c>
      <ns0:c r="K15" s="0">
        <ns0:f>IFERROR(IF(ISNUMBER(Bookings!D15),"",TRIM(Bookings!D15&amp;"")),"")</ns0:f>
      </ns0:c>
      <ns0:c r="L15" s="0">
        <ns0:f>IFERROR(SUBSTITUTE(SUBSTITUTE(K15,"/","."),"-","."),"")</ns0:f>
      </ns0:c>
      <ns0:c r="M15" s="0">
        <ns0:f>IFERROR(LEFT(L15,FIND(".",L15)-1),"")</ns0:f>
      </ns0:c>
      <ns0:c r="N15" s="0">
        <ns0:f>IFERROR(MID(L15,FIND(".",L15)+1,FIND(".",L15,FIND(".",L15)+1)-FIND(".",L15)-1),"")</ns0:f>
      </ns0:c>
      <ns0:c r="O15" s="0">
        <ns0:f>IFERROR(MID(L15,FIND(".",L15,FIND(".",L15)+1)+1,99),"")</ns0:f>
        <ns0:v>99</ns0:v>
      </ns0:c>
      <ns0:c r="P15" s="0">
        <ns0:f>IFERROR(IF(FIND(".",L15)=5,--M15,--O15),0)</ns0:f>
        <ns0:v>0</ns0:v>
      </ns0:c>
      <ns0:c r="Q15" s="0">
        <ns0:f>IFERROR(--N15,0)</ns0:f>
        <ns0:v>0</ns0:v>
      </ns0:c>
      <ns0:c r="R15" s="0">
        <ns0:f>IFERROR(IF(FIND(".",L15)=5,--O15,--M15),0)</ns0:f>
        <ns0:v>0</ns0:v>
      </ns0:c>
      <ns0:c r="S15" s="0">
        <ns0:f>IFERROR(IF(AND(P15&gt;=2000,P15&lt;=2100,Q15&gt;=1,Q15&lt;=12,R15&gt;=1,R15&lt;=31),DATE(P15,Q15,R15),0),0)</ns0:f>
        <ns0:v>0</ns0:v>
      </ns0:c>
      <ns0:c r="T15" s="0">
        <ns0:f>IFERROR(IF(ISNUMBER(Bookings!D15),IF(AND(Bookings!D15=INT(Bookings!D15),Bookings!D15&gt;=DATE(2000,1,1),Bookings!D15&lt;=DATE(2100,12,31)),Bookings!D15,0),IF(AND(K15&lt;&gt;"",LEN("x"&amp;L15)-LEN(SUBSTITUTE("x"&amp;L15,".",""))=2,OR(1&gt;LEN(L15),MID(L15,1,1)=".",ISNUMBER(FIND("x"&amp;MID(L15,1,1),"x0x1x2x3x4x5x6x7x8x9"))),OR(2&gt;LEN(L15),MID(L15,2,1)=".",ISNUMBER(FIND("x"&amp;MID(L15,2,1),"x0x1x2x3x4x5x6x7x8x9"))),OR(3&gt;LEN(L15),MID(L15,3,1)=".",ISNUMBER(FIND("x"&amp;MID(L15,3,1),"x0x1x2x3x4x5x6x7x8x9"))),OR(4&gt;LEN(L15),MID(L15,4,1)=".",ISNUMBER(FIND("x"&amp;MID(L15,4,1),"x0x1x2x3x4x5x6x7x8x9"))),OR(5&gt;LEN(L15),MID(L15,5,1)=".",ISNUMBER(FIND("x"&amp;MID(L15,5,1),"x0x1x2x3x4x5x6x7x8x9"))),OR(6&gt;LEN(L15),MID(L15,6,1)=".",ISNUMBER(FIND("x"&amp;MID(L15,6,1),"x0x1x2x3x4x5x6x7x8x9"))),OR(7&gt;LEN(L15),MID(L15,7,1)=".",ISNUMBER(FIND("x"&amp;MID(L15,7,1),"x0x1x2x3x4x5x6x7x8x9"))),OR(8&gt;LEN(L15),MID(L15,8,1)=".",ISNUMBER(FIND("x"&amp;MID(L15,8,1),"x0x1x2x3x4x5x6x7x8x9"))),OR(9&gt;LEN(L15),MID(L15,9,1)=".",ISNUMBER(FIND("x"&amp;MID(L15,9,1),"x0x1x2x3x4x5x6x7x8x9"))),OR(10&gt;LEN(L15),MID(L15,10,1)=".",ISNUMBER(FIND("x"&amp;MID(L15,10,1),"x0x1x2x3x4x5x6x7x8x9"))),OR(AND(FIND(".",L15)=5,LEN(L15)-FIND(".",L15,FIND(".",L15)+1)&gt;=1,LEN(L15)-FIND(".",L15,FIND(".",L15)+1)&lt;=2),AND(LEN(L15)-FIND(".",L15,FIND(".",L15)+1)=4,FIND(".",L15)&gt;=2,FIND(".",L15)&lt;=3)),FIND(".",L15,FIND(".",L15)+1)-FIND(".",L15)&gt;=2,FIND(".",L15,FIND(".",L15)+1)-FIND(".",L15)&lt;=3,P15&gt;=2000,P15&lt;=2100,YEAR(S15)=P15,MONTH(S15)=Q15,DAY(S15)=R15),S15,0)),0)</ns0:f>
        <ns0:v>46580</ns0:v>
      </ns0:c>
      <ns0:c r="U15" s="0" t="str">
        <ns0:f>IF(Bookings!C15="","Full day",Bookings!C15)</ns0:f>
        <ns0:v>Full day</ns0:v>
      </ns0:c>
      <ns0:c r="V15" s="0" t="str">
        <ns0:f>IF(Bookings!E15="","Full day",Bookings!E15)</ns0:f>
        <ns0:v>Full day</ns0:v>
      </ns0:c>
      <ns0:c r="W15" s="0">
        <ns0:f>IF(J15=0,0,J15+IF(U15="PM",1,0))</ns0:f>
        <ns0:v>46580</ns0:v>
      </ns0:c>
      <ns0:c r="X15" s="0">
        <ns0:f>IF(T15=0,0,T15-IF(V15="PM",1,0))</ns0:f>
        <ns0:v>46580</ns0:v>
      </ns0:c>
      <ns0:c r="Y15" s="0">
        <ns0:f>IF(J15=0,0,J15+IF(U15="AM",1,0))</ns0:f>
        <ns0:v>46580</ns0:v>
      </ns0:c>
      <ns0:c r="Z15" s="0">
        <ns0:f>IF(T15=0,0,T15-IF(V15="AM",1,0))</ns0:f>
        <ns0:v>46580</ns0:v>
      </ns0:c>
      <ns0:c r="AA15" s="0">
        <ns0:f>IFERROR(IF(AND(J15&gt;0,'_Engine'!C15&gt;0,MID('_Engine'!W15,WEEKDAY(J15,2),1)="W",COUNTIF(Settings!$F$18:$F$67,J15)=0),1,0),0)</ns0:f>
        <ns0:v>1</ns0:v>
      </ns0:c>
      <ns0:c r="AB15" s="0">
        <ns0:f>IFERROR(IF(AND(T15&gt;0,'_Engine'!C15&gt;0,MID('_Engine'!W15,WEEKDAY(T15,2),1)="W",COUNTIF(Settings!$F$18:$F$67,T15)=0),1,0),0)</ns0:f>
        <ns0:v>1</ns0:v>
      </ns0:c>
      <ns0:c r="AC15" s="0">
        <ns0:f>IF(AND(J15&gt;0,T15&gt;0,W15&lt;=X15),1,0)</ns0:f>
        <ns0:v>1</ns0:v>
      </ns0:c>
      <ns0:c r="AD15" s="0">
        <ns0:f>IF(AND(J15&gt;0,T15&gt;0,Y15&lt;=Z15),1,0)</ns0:f>
        <ns0:v>1</ns0:v>
      </ns0:c>
    </ns0:row>
    <ns0:row r="16">
      <ns0:c r="A16" s="0">
        <ns0:f>IFERROR(IF(ISNUMBER(Bookings!B16),"",TRIM(Bookings!B16&amp;"")),"")</ns0:f>
      </ns0:c>
      <ns0:c r="B16" s="0">
        <ns0:f>IFERROR(SUBSTITUTE(SUBSTITUTE(A16,"/","."),"-","."),"")</ns0:f>
      </ns0:c>
      <ns0:c r="C16" s="0">
        <ns0:f>IFERROR(LEFT(B16,FIND(".",B16)-1),"")</ns0:f>
      </ns0:c>
      <ns0:c r="D16" s="0">
        <ns0:f>IFERROR(MID(B16,FIND(".",B16)+1,FIND(".",B16,FIND(".",B16)+1)-FIND(".",B16)-1),"")</ns0:f>
      </ns0:c>
      <ns0:c r="E16" s="0">
        <ns0:f>IFERROR(MID(B16,FIND(".",B16,FIND(".",B16)+1)+1,99),"")</ns0:f>
        <ns0:v>99</ns0:v>
      </ns0:c>
      <ns0:c r="F16" s="0">
        <ns0:f>IFERROR(IF(FIND(".",B16)=5,--C16,--E16),0)</ns0:f>
        <ns0:v>0</ns0:v>
      </ns0:c>
      <ns0:c r="G16" s="0">
        <ns0:f>IFERROR(--D16,0)</ns0:f>
        <ns0:v>0</ns0:v>
      </ns0:c>
      <ns0:c r="H16" s="0">
        <ns0:f>IFERROR(IF(FIND(".",B16)=5,--E16,--C16),0)</ns0:f>
        <ns0:v>0</ns0:v>
      </ns0:c>
      <ns0:c r="I16" s="0">
        <ns0:f>IFERROR(IF(AND(F16&gt;=2000,F16&lt;=2100,G16&gt;=1,G16&lt;=12,H16&gt;=1,H16&lt;=31),DATE(F16,G16,H16),0),0)</ns0:f>
        <ns0:v>0</ns0:v>
      </ns0:c>
      <ns0:c r="J16" s="0">
        <ns0:f>IFERROR(IF(ISNUMBER(Bookings!B16),IF(AND(Bookings!B16=INT(Bookings!B16),Bookings!B16&gt;=DATE(2000,1,1),Bookings!B16&lt;=DATE(2100,12,31)),Bookings!B16,0),IF(AND(A16&lt;&gt;"",LEN("x"&amp;B16)-LEN(SUBSTITUTE("x"&amp;B16,".",""))=2,OR(1&gt;LEN(B16),MID(B16,1,1)=".",ISNUMBER(FIND("x"&amp;MID(B16,1,1),"x0x1x2x3x4x5x6x7x8x9"))),OR(2&gt;LEN(B16),MID(B16,2,1)=".",ISNUMBER(FIND("x"&amp;MID(B16,2,1),"x0x1x2x3x4x5x6x7x8x9"))),OR(3&gt;LEN(B16),MID(B16,3,1)=".",ISNUMBER(FIND("x"&amp;MID(B16,3,1),"x0x1x2x3x4x5x6x7x8x9"))),OR(4&gt;LEN(B16),MID(B16,4,1)=".",ISNUMBER(FIND("x"&amp;MID(B16,4,1),"x0x1x2x3x4x5x6x7x8x9"))),OR(5&gt;LEN(B16),MID(B16,5,1)=".",ISNUMBER(FIND("x"&amp;MID(B16,5,1),"x0x1x2x3x4x5x6x7x8x9"))),OR(6&gt;LEN(B16),MID(B16,6,1)=".",ISNUMBER(FIND("x"&amp;MID(B16,6,1),"x0x1x2x3x4x5x6x7x8x9"))),OR(7&gt;LEN(B16),MID(B16,7,1)=".",ISNUMBER(FIND("x"&amp;MID(B16,7,1),"x0x1x2x3x4x5x6x7x8x9"))),OR(8&gt;LEN(B16),MID(B16,8,1)=".",ISNUMBER(FIND("x"&amp;MID(B16,8,1),"x0x1x2x3x4x5x6x7x8x9"))),OR(9&gt;LEN(B16),MID(B16,9,1)=".",ISNUMBER(FIND("x"&amp;MID(B16,9,1),"x0x1x2x3x4x5x6x7x8x9"))),OR(10&gt;LEN(B16),MID(B16,10,1)=".",ISNUMBER(FIND("x"&amp;MID(B16,10,1),"x0x1x2x3x4x5x6x7x8x9"))),OR(AND(FIND(".",B16)=5,LEN(B16)-FIND(".",B16,FIND(".",B16)+1)&gt;=1,LEN(B16)-FIND(".",B16,FIND(".",B16)+1)&lt;=2),AND(LEN(B16)-FIND(".",B16,FIND(".",B16)+1)=4,FIND(".",B16)&gt;=2,FIND(".",B16)&lt;=3)),FIND(".",B16,FIND(".",B16)+1)-FIND(".",B16)&gt;=2,FIND(".",B16,FIND(".",B16)+1)-FIND(".",B16)&lt;=3,F16&gt;=2000,F16&lt;=2100,YEAR(I16)=F16,MONTH(I16)=G16,DAY(I16)=H16),I16,0)),0)</ns0:f>
        <ns0:v>46587</ns0:v>
      </ns0:c>
      <ns0:c r="K16" s="0">
        <ns0:f>IFERROR(IF(ISNUMBER(Bookings!D16),"",TRIM(Bookings!D16&amp;"")),"")</ns0:f>
      </ns0:c>
      <ns0:c r="L16" s="0">
        <ns0:f>IFERROR(SUBSTITUTE(SUBSTITUTE(K16,"/","."),"-","."),"")</ns0:f>
      </ns0:c>
      <ns0:c r="M16" s="0">
        <ns0:f>IFERROR(LEFT(L16,FIND(".",L16)-1),"")</ns0:f>
      </ns0:c>
      <ns0:c r="N16" s="0">
        <ns0:f>IFERROR(MID(L16,FIND(".",L16)+1,FIND(".",L16,FIND(".",L16)+1)-FIND(".",L16)-1),"")</ns0:f>
      </ns0:c>
      <ns0:c r="O16" s="0">
        <ns0:f>IFERROR(MID(L16,FIND(".",L16,FIND(".",L16)+1)+1,99),"")</ns0:f>
        <ns0:v>99</ns0:v>
      </ns0:c>
      <ns0:c r="P16" s="0">
        <ns0:f>IFERROR(IF(FIND(".",L16)=5,--M16,--O16),0)</ns0:f>
        <ns0:v>0</ns0:v>
      </ns0:c>
      <ns0:c r="Q16" s="0">
        <ns0:f>IFERROR(--N16,0)</ns0:f>
        <ns0:v>0</ns0:v>
      </ns0:c>
      <ns0:c r="R16" s="0">
        <ns0:f>IFERROR(IF(FIND(".",L16)=5,--O16,--M16),0)</ns0:f>
        <ns0:v>0</ns0:v>
      </ns0:c>
      <ns0:c r="S16" s="0">
        <ns0:f>IFERROR(IF(AND(P16&gt;=2000,P16&lt;=2100,Q16&gt;=1,Q16&lt;=12,R16&gt;=1,R16&lt;=31),DATE(P16,Q16,R16),0),0)</ns0:f>
        <ns0:v>0</ns0:v>
      </ns0:c>
      <ns0:c r="T16" s="0">
        <ns0:f>IFERROR(IF(ISNUMBER(Bookings!D16),IF(AND(Bookings!D16=INT(Bookings!D16),Bookings!D16&gt;=DATE(2000,1,1),Bookings!D16&lt;=DATE(2100,12,31)),Bookings!D16,0),IF(AND(K16&lt;&gt;"",LEN("x"&amp;L16)-LEN(SUBSTITUTE("x"&amp;L16,".",""))=2,OR(1&gt;LEN(L16),MID(L16,1,1)=".",ISNUMBER(FIND("x"&amp;MID(L16,1,1),"x0x1x2x3x4x5x6x7x8x9"))),OR(2&gt;LEN(L16),MID(L16,2,1)=".",ISNUMBER(FIND("x"&amp;MID(L16,2,1),"x0x1x2x3x4x5x6x7x8x9"))),OR(3&gt;LEN(L16),MID(L16,3,1)=".",ISNUMBER(FIND("x"&amp;MID(L16,3,1),"x0x1x2x3x4x5x6x7x8x9"))),OR(4&gt;LEN(L16),MID(L16,4,1)=".",ISNUMBER(FIND("x"&amp;MID(L16,4,1),"x0x1x2x3x4x5x6x7x8x9"))),OR(5&gt;LEN(L16),MID(L16,5,1)=".",ISNUMBER(FIND("x"&amp;MID(L16,5,1),"x0x1x2x3x4x5x6x7x8x9"))),OR(6&gt;LEN(L16),MID(L16,6,1)=".",ISNUMBER(FIND("x"&amp;MID(L16,6,1),"x0x1x2x3x4x5x6x7x8x9"))),OR(7&gt;LEN(L16),MID(L16,7,1)=".",ISNUMBER(FIND("x"&amp;MID(L16,7,1),"x0x1x2x3x4x5x6x7x8x9"))),OR(8&gt;LEN(L16),MID(L16,8,1)=".",ISNUMBER(FIND("x"&amp;MID(L16,8,1),"x0x1x2x3x4x5x6x7x8x9"))),OR(9&gt;LEN(L16),MID(L16,9,1)=".",ISNUMBER(FIND("x"&amp;MID(L16,9,1),"x0x1x2x3x4x5x6x7x8x9"))),OR(10&gt;LEN(L16),MID(L16,10,1)=".",ISNUMBER(FIND("x"&amp;MID(L16,10,1),"x0x1x2x3x4x5x6x7x8x9"))),OR(AND(FIND(".",L16)=5,LEN(L16)-FIND(".",L16,FIND(".",L16)+1)&gt;=1,LEN(L16)-FIND(".",L16,FIND(".",L16)+1)&lt;=2),AND(LEN(L16)-FIND(".",L16,FIND(".",L16)+1)=4,FIND(".",L16)&gt;=2,FIND(".",L16)&lt;=3)),FIND(".",L16,FIND(".",L16)+1)-FIND(".",L16)&gt;=2,FIND(".",L16,FIND(".",L16)+1)-FIND(".",L16)&lt;=3,P16&gt;=2000,P16&lt;=2100,YEAR(S16)=P16,MONTH(S16)=Q16,DAY(S16)=R16),S16,0)),0)</ns0:f>
        <ns0:v>46591</ns0:v>
      </ns0:c>
      <ns0:c r="U16" s="0" t="str">
        <ns0:f>IF(Bookings!C16="","Full day",Bookings!C16)</ns0:f>
        <ns0:v>Full day</ns0:v>
      </ns0:c>
      <ns0:c r="V16" s="0" t="str">
        <ns0:f>IF(Bookings!E16="","Full day",Bookings!E16)</ns0:f>
        <ns0:v>Full day</ns0:v>
      </ns0:c>
      <ns0:c r="W16" s="0">
        <ns0:f>IF(J16=0,0,J16+IF(U16="PM",1,0))</ns0:f>
        <ns0:v>46587</ns0:v>
      </ns0:c>
      <ns0:c r="X16" s="0">
        <ns0:f>IF(T16=0,0,T16-IF(V16="PM",1,0))</ns0:f>
        <ns0:v>46591</ns0:v>
      </ns0:c>
      <ns0:c r="Y16" s="0">
        <ns0:f>IF(J16=0,0,J16+IF(U16="AM",1,0))</ns0:f>
        <ns0:v>46587</ns0:v>
      </ns0:c>
      <ns0:c r="Z16" s="0">
        <ns0:f>IF(T16=0,0,T16-IF(V16="AM",1,0))</ns0:f>
        <ns0:v>46591</ns0:v>
      </ns0:c>
      <ns0:c r="AA16" s="0">
        <ns0:f>IFERROR(IF(AND(J16&gt;0,'_Engine'!C16&gt;0,MID('_Engine'!W16,WEEKDAY(J16,2),1)="W",COUNTIF(Settings!$F$18:$F$67,J16)=0),1,0),0)</ns0:f>
        <ns0:v>1</ns0:v>
      </ns0:c>
      <ns0:c r="AB16" s="0">
        <ns0:f>IFERROR(IF(AND(T16&gt;0,'_Engine'!C16&gt;0,MID('_Engine'!W16,WEEKDAY(T16,2),1)="W",COUNTIF(Settings!$F$18:$F$67,T16)=0),1,0),0)</ns0:f>
        <ns0:v>0</ns0:v>
      </ns0:c>
      <ns0:c r="AC16" s="0">
        <ns0:f>IF(AND(J16&gt;0,T16&gt;0,W16&lt;=X16),1,0)</ns0:f>
        <ns0:v>1</ns0:v>
      </ns0:c>
      <ns0:c r="AD16" s="0">
        <ns0:f>IF(AND(J16&gt;0,T16&gt;0,Y16&lt;=Z16),1,0)</ns0:f>
        <ns0:v>1</ns0:v>
      </ns0:c>
    </ns0:row>
    <ns0:row r="17">
      <ns0:c r="A17" s="0">
        <ns0:f>IFERROR(IF(ISNUMBER(Bookings!B17),"",TRIM(Bookings!B17&amp;"")),"")</ns0:f>
      </ns0:c>
      <ns0:c r="B17" s="0">
        <ns0:f>IFERROR(SUBSTITUTE(SUBSTITUTE(A17,"/","."),"-","."),"")</ns0:f>
      </ns0:c>
      <ns0:c r="C17" s="0">
        <ns0:f>IFERROR(LEFT(B17,FIND(".",B17)-1),"")</ns0:f>
      </ns0:c>
      <ns0:c r="D17" s="0">
        <ns0:f>IFERROR(MID(B17,FIND(".",B17)+1,FIND(".",B17,FIND(".",B17)+1)-FIND(".",B17)-1),"")</ns0:f>
      </ns0:c>
      <ns0:c r="E17" s="0">
        <ns0:f>IFERROR(MID(B17,FIND(".",B17,FIND(".",B17)+1)+1,99),"")</ns0:f>
        <ns0:v>99</ns0:v>
      </ns0:c>
      <ns0:c r="F17" s="0">
        <ns0:f>IFERROR(IF(FIND(".",B17)=5,--C17,--E17),0)</ns0:f>
        <ns0:v>0</ns0:v>
      </ns0:c>
      <ns0:c r="G17" s="0">
        <ns0:f>IFERROR(--D17,0)</ns0:f>
        <ns0:v>0</ns0:v>
      </ns0:c>
      <ns0:c r="H17" s="0">
        <ns0:f>IFERROR(IF(FIND(".",B17)=5,--E17,--C17),0)</ns0:f>
        <ns0:v>0</ns0:v>
      </ns0:c>
      <ns0:c r="I17" s="0">
        <ns0:f>IFERROR(IF(AND(F17&gt;=2000,F17&lt;=2100,G17&gt;=1,G17&lt;=12,H17&gt;=1,H17&lt;=31),DATE(F17,G17,H17),0),0)</ns0:f>
        <ns0:v>0</ns0:v>
      </ns0:c>
      <ns0:c r="J17" s="0">
        <ns0:f>IFERROR(IF(ISNUMBER(Bookings!B17),IF(AND(Bookings!B17=INT(Bookings!B17),Bookings!B17&gt;=DATE(2000,1,1),Bookings!B17&lt;=DATE(2100,12,31)),Bookings!B17,0),IF(AND(A17&lt;&gt;"",LEN("x"&amp;B17)-LEN(SUBSTITUTE("x"&amp;B17,".",""))=2,OR(1&gt;LEN(B17),MID(B17,1,1)=".",ISNUMBER(FIND("x"&amp;MID(B17,1,1),"x0x1x2x3x4x5x6x7x8x9"))),OR(2&gt;LEN(B17),MID(B17,2,1)=".",ISNUMBER(FIND("x"&amp;MID(B17,2,1),"x0x1x2x3x4x5x6x7x8x9"))),OR(3&gt;LEN(B17),MID(B17,3,1)=".",ISNUMBER(FIND("x"&amp;MID(B17,3,1),"x0x1x2x3x4x5x6x7x8x9"))),OR(4&gt;LEN(B17),MID(B17,4,1)=".",ISNUMBER(FIND("x"&amp;MID(B17,4,1),"x0x1x2x3x4x5x6x7x8x9"))),OR(5&gt;LEN(B17),MID(B17,5,1)=".",ISNUMBER(FIND("x"&amp;MID(B17,5,1),"x0x1x2x3x4x5x6x7x8x9"))),OR(6&gt;LEN(B17),MID(B17,6,1)=".",ISNUMBER(FIND("x"&amp;MID(B17,6,1),"x0x1x2x3x4x5x6x7x8x9"))),OR(7&gt;LEN(B17),MID(B17,7,1)=".",ISNUMBER(FIND("x"&amp;MID(B17,7,1),"x0x1x2x3x4x5x6x7x8x9"))),OR(8&gt;LEN(B17),MID(B17,8,1)=".",ISNUMBER(FIND("x"&amp;MID(B17,8,1),"x0x1x2x3x4x5x6x7x8x9"))),OR(9&gt;LEN(B17),MID(B17,9,1)=".",ISNUMBER(FIND("x"&amp;MID(B17,9,1),"x0x1x2x3x4x5x6x7x8x9"))),OR(10&gt;LEN(B17),MID(B17,10,1)=".",ISNUMBER(FIND("x"&amp;MID(B17,10,1),"x0x1x2x3x4x5x6x7x8x9"))),OR(AND(FIND(".",B17)=5,LEN(B17)-FIND(".",B17,FIND(".",B17)+1)&gt;=1,LEN(B17)-FIND(".",B17,FIND(".",B17)+1)&lt;=2),AND(LEN(B17)-FIND(".",B17,FIND(".",B17)+1)=4,FIND(".",B17)&gt;=2,FIND(".",B17)&lt;=3)),FIND(".",B17,FIND(".",B17)+1)-FIND(".",B17)&gt;=2,FIND(".",B17,FIND(".",B17)+1)-FIND(".",B17)&lt;=3,F17&gt;=2000,F17&lt;=2100,YEAR(I17)=F17,MONTH(I17)=G17,DAY(I17)=H17),I17,0)),0)</ns0:f>
        <ns0:v>46594</ns0:v>
      </ns0:c>
      <ns0:c r="K17" s="0">
        <ns0:f>IFERROR(IF(ISNUMBER(Bookings!D17),"",TRIM(Bookings!D17&amp;"")),"")</ns0:f>
      </ns0:c>
      <ns0:c r="L17" s="0">
        <ns0:f>IFERROR(SUBSTITUTE(SUBSTITUTE(K17,"/","."),"-","."),"")</ns0:f>
      </ns0:c>
      <ns0:c r="M17" s="0">
        <ns0:f>IFERROR(LEFT(L17,FIND(".",L17)-1),"")</ns0:f>
      </ns0:c>
      <ns0:c r="N17" s="0">
        <ns0:f>IFERROR(MID(L17,FIND(".",L17)+1,FIND(".",L17,FIND(".",L17)+1)-FIND(".",L17)-1),"")</ns0:f>
      </ns0:c>
      <ns0:c r="O17" s="0">
        <ns0:f>IFERROR(MID(L17,FIND(".",L17,FIND(".",L17)+1)+1,99),"")</ns0:f>
        <ns0:v>99</ns0:v>
      </ns0:c>
      <ns0:c r="P17" s="0">
        <ns0:f>IFERROR(IF(FIND(".",L17)=5,--M17,--O17),0)</ns0:f>
        <ns0:v>0</ns0:v>
      </ns0:c>
      <ns0:c r="Q17" s="0">
        <ns0:f>IFERROR(--N17,0)</ns0:f>
        <ns0:v>0</ns0:v>
      </ns0:c>
      <ns0:c r="R17" s="0">
        <ns0:f>IFERROR(IF(FIND(".",L17)=5,--O17,--M17),0)</ns0:f>
        <ns0:v>0</ns0:v>
      </ns0:c>
      <ns0:c r="S17" s="0">
        <ns0:f>IFERROR(IF(AND(P17&gt;=2000,P17&lt;=2100,Q17&gt;=1,Q17&lt;=12,R17&gt;=1,R17&lt;=31),DATE(P17,Q17,R17),0),0)</ns0:f>
        <ns0:v>0</ns0:v>
      </ns0:c>
      <ns0:c r="T17" s="0">
        <ns0:f>IFERROR(IF(ISNUMBER(Bookings!D17),IF(AND(Bookings!D17=INT(Bookings!D17),Bookings!D17&gt;=DATE(2000,1,1),Bookings!D17&lt;=DATE(2100,12,31)),Bookings!D17,0),IF(AND(K17&lt;&gt;"",LEN("x"&amp;L17)-LEN(SUBSTITUTE("x"&amp;L17,".",""))=2,OR(1&gt;LEN(L17),MID(L17,1,1)=".",ISNUMBER(FIND("x"&amp;MID(L17,1,1),"x0x1x2x3x4x5x6x7x8x9"))),OR(2&gt;LEN(L17),MID(L17,2,1)=".",ISNUMBER(FIND("x"&amp;MID(L17,2,1),"x0x1x2x3x4x5x6x7x8x9"))),OR(3&gt;LEN(L17),MID(L17,3,1)=".",ISNUMBER(FIND("x"&amp;MID(L17,3,1),"x0x1x2x3x4x5x6x7x8x9"))),OR(4&gt;LEN(L17),MID(L17,4,1)=".",ISNUMBER(FIND("x"&amp;MID(L17,4,1),"x0x1x2x3x4x5x6x7x8x9"))),OR(5&gt;LEN(L17),MID(L17,5,1)=".",ISNUMBER(FIND("x"&amp;MID(L17,5,1),"x0x1x2x3x4x5x6x7x8x9"))),OR(6&gt;LEN(L17),MID(L17,6,1)=".",ISNUMBER(FIND("x"&amp;MID(L17,6,1),"x0x1x2x3x4x5x6x7x8x9"))),OR(7&gt;LEN(L17),MID(L17,7,1)=".",ISNUMBER(FIND("x"&amp;MID(L17,7,1),"x0x1x2x3x4x5x6x7x8x9"))),OR(8&gt;LEN(L17),MID(L17,8,1)=".",ISNUMBER(FIND("x"&amp;MID(L17,8,1),"x0x1x2x3x4x5x6x7x8x9"))),OR(9&gt;LEN(L17),MID(L17,9,1)=".",ISNUMBER(FIND("x"&amp;MID(L17,9,1),"x0x1x2x3x4x5x6x7x8x9"))),OR(10&gt;LEN(L17),MID(L17,10,1)=".",ISNUMBER(FIND("x"&amp;MID(L17,10,1),"x0x1x2x3x4x5x6x7x8x9"))),OR(AND(FIND(".",L17)=5,LEN(L17)-FIND(".",L17,FIND(".",L17)+1)&gt;=1,LEN(L17)-FIND(".",L17,FIND(".",L17)+1)&lt;=2),AND(LEN(L17)-FIND(".",L17,FIND(".",L17)+1)=4,FIND(".",L17)&gt;=2,FIND(".",L17)&lt;=3)),FIND(".",L17,FIND(".",L17)+1)-FIND(".",L17)&gt;=2,FIND(".",L17,FIND(".",L17)+1)-FIND(".",L17)&lt;=3,P17&gt;=2000,P17&lt;=2100,YEAR(S17)=P17,MONTH(S17)=Q17,DAY(S17)=R17),S17,0)),0)</ns0:f>
        <ns0:v>46596</ns0:v>
      </ns0:c>
      <ns0:c r="U17" s="0" t="str">
        <ns0:f>IF(Bookings!C17="","Full day",Bookings!C17)</ns0:f>
        <ns0:v>Full day</ns0:v>
      </ns0:c>
      <ns0:c r="V17" s="0" t="str">
        <ns0:f>IF(Bookings!E17="","Full day",Bookings!E17)</ns0:f>
        <ns0:v>Full day</ns0:v>
      </ns0:c>
      <ns0:c r="W17" s="0">
        <ns0:f>IF(J17=0,0,J17+IF(U17="PM",1,0))</ns0:f>
        <ns0:v>46594</ns0:v>
      </ns0:c>
      <ns0:c r="X17" s="0">
        <ns0:f>IF(T17=0,0,T17-IF(V17="PM",1,0))</ns0:f>
        <ns0:v>46596</ns0:v>
      </ns0:c>
      <ns0:c r="Y17" s="0">
        <ns0:f>IF(J17=0,0,J17+IF(U17="AM",1,0))</ns0:f>
        <ns0:v>46594</ns0:v>
      </ns0:c>
      <ns0:c r="Z17" s="0">
        <ns0:f>IF(T17=0,0,T17-IF(V17="AM",1,0))</ns0:f>
        <ns0:v>46596</ns0:v>
      </ns0:c>
      <ns0:c r="AA17" s="0">
        <ns0:f>IFERROR(IF(AND(J17&gt;0,'_Engine'!C17&gt;0,MID('_Engine'!W17,WEEKDAY(J17,2),1)="W",COUNTIF(Settings!$F$18:$F$67,J17)=0),1,0),0)</ns0:f>
        <ns0:v>1</ns0:v>
      </ns0:c>
      <ns0:c r="AB17" s="0">
        <ns0:f>IFERROR(IF(AND(T17&gt;0,'_Engine'!C17&gt;0,MID('_Engine'!W17,WEEKDAY(T17,2),1)="W",COUNTIF(Settings!$F$18:$F$67,T17)=0),1,0),0)</ns0:f>
        <ns0:v>1</ns0:v>
      </ns0:c>
      <ns0:c r="AC17" s="0">
        <ns0:f>IF(AND(J17&gt;0,T17&gt;0,W17&lt;=X17),1,0)</ns0:f>
        <ns0:v>1</ns0:v>
      </ns0:c>
      <ns0:c r="AD17" s="0">
        <ns0:f>IF(AND(J17&gt;0,T17&gt;0,Y17&lt;=Z17),1,0)</ns0:f>
        <ns0:v>1</ns0:v>
      </ns0:c>
    </ns0:row>
    <ns0:row r="18">
      <ns0:c r="A18" s="0">
        <ns0:f>IFERROR(IF(ISNUMBER(Bookings!B18),"",TRIM(Bookings!B18&amp;"")),"")</ns0:f>
      </ns0:c>
      <ns0:c r="B18" s="0">
        <ns0:f>IFERROR(SUBSTITUTE(SUBSTITUTE(A18,"/","."),"-","."),"")</ns0:f>
      </ns0:c>
      <ns0:c r="C18" s="0">
        <ns0:f>IFERROR(LEFT(B18,FIND(".",B18)-1),"")</ns0:f>
      </ns0:c>
      <ns0:c r="D18" s="0">
        <ns0:f>IFERROR(MID(B18,FIND(".",B18)+1,FIND(".",B18,FIND(".",B18)+1)-FIND(".",B18)-1),"")</ns0:f>
      </ns0:c>
      <ns0:c r="E18" s="0">
        <ns0:f>IFERROR(MID(B18,FIND(".",B18,FIND(".",B18)+1)+1,99),"")</ns0:f>
        <ns0:v>99</ns0:v>
      </ns0:c>
      <ns0:c r="F18" s="0">
        <ns0:f>IFERROR(IF(FIND(".",B18)=5,--C18,--E18),0)</ns0:f>
        <ns0:v>0</ns0:v>
      </ns0:c>
      <ns0:c r="G18" s="0">
        <ns0:f>IFERROR(--D18,0)</ns0:f>
        <ns0:v>0</ns0:v>
      </ns0:c>
      <ns0:c r="H18" s="0">
        <ns0:f>IFERROR(IF(FIND(".",B18)=5,--E18,--C18),0)</ns0:f>
        <ns0:v>0</ns0:v>
      </ns0:c>
      <ns0:c r="I18" s="0">
        <ns0:f>IFERROR(IF(AND(F18&gt;=2000,F18&lt;=2100,G18&gt;=1,G18&lt;=12,H18&gt;=1,H18&lt;=31),DATE(F18,G18,H18),0),0)</ns0:f>
        <ns0:v>0</ns0:v>
      </ns0:c>
      <ns0:c r="J18" s="0">
        <ns0:f>IFERROR(IF(ISNUMBER(Bookings!B18),IF(AND(Bookings!B18=INT(Bookings!B18),Bookings!B18&gt;=DATE(2000,1,1),Bookings!B18&lt;=DATE(2100,12,31)),Bookings!B18,0),IF(AND(A18&lt;&gt;"",LEN("x"&amp;B18)-LEN(SUBSTITUTE("x"&amp;B18,".",""))=2,OR(1&gt;LEN(B18),MID(B18,1,1)=".",ISNUMBER(FIND("x"&amp;MID(B18,1,1),"x0x1x2x3x4x5x6x7x8x9"))),OR(2&gt;LEN(B18),MID(B18,2,1)=".",ISNUMBER(FIND("x"&amp;MID(B18,2,1),"x0x1x2x3x4x5x6x7x8x9"))),OR(3&gt;LEN(B18),MID(B18,3,1)=".",ISNUMBER(FIND("x"&amp;MID(B18,3,1),"x0x1x2x3x4x5x6x7x8x9"))),OR(4&gt;LEN(B18),MID(B18,4,1)=".",ISNUMBER(FIND("x"&amp;MID(B18,4,1),"x0x1x2x3x4x5x6x7x8x9"))),OR(5&gt;LEN(B18),MID(B18,5,1)=".",ISNUMBER(FIND("x"&amp;MID(B18,5,1),"x0x1x2x3x4x5x6x7x8x9"))),OR(6&gt;LEN(B18),MID(B18,6,1)=".",ISNUMBER(FIND("x"&amp;MID(B18,6,1),"x0x1x2x3x4x5x6x7x8x9"))),OR(7&gt;LEN(B18),MID(B18,7,1)=".",ISNUMBER(FIND("x"&amp;MID(B18,7,1),"x0x1x2x3x4x5x6x7x8x9"))),OR(8&gt;LEN(B18),MID(B18,8,1)=".",ISNUMBER(FIND("x"&amp;MID(B18,8,1),"x0x1x2x3x4x5x6x7x8x9"))),OR(9&gt;LEN(B18),MID(B18,9,1)=".",ISNUMBER(FIND("x"&amp;MID(B18,9,1),"x0x1x2x3x4x5x6x7x8x9"))),OR(10&gt;LEN(B18),MID(B18,10,1)=".",ISNUMBER(FIND("x"&amp;MID(B18,10,1),"x0x1x2x3x4x5x6x7x8x9"))),OR(AND(FIND(".",B18)=5,LEN(B18)-FIND(".",B18,FIND(".",B18)+1)&gt;=1,LEN(B18)-FIND(".",B18,FIND(".",B18)+1)&lt;=2),AND(LEN(B18)-FIND(".",B18,FIND(".",B18)+1)=4,FIND(".",B18)&gt;=2,FIND(".",B18)&lt;=3)),FIND(".",B18,FIND(".",B18)+1)-FIND(".",B18)&gt;=2,FIND(".",B18,FIND(".",B18)+1)-FIND(".",B18)&lt;=3,F18&gt;=2000,F18&lt;=2100,YEAR(I18)=F18,MONTH(I18)=G18,DAY(I18)=H18),I18,0)),0)</ns0:f>
        <ns0:v>46582</ns0:v>
      </ns0:c>
      <ns0:c r="K18" s="0">
        <ns0:f>IFERROR(IF(ISNUMBER(Bookings!D18),"",TRIM(Bookings!D18&amp;"")),"")</ns0:f>
      </ns0:c>
      <ns0:c r="L18" s="0">
        <ns0:f>IFERROR(SUBSTITUTE(SUBSTITUTE(K18,"/","."),"-","."),"")</ns0:f>
      </ns0:c>
      <ns0:c r="M18" s="0">
        <ns0:f>IFERROR(LEFT(L18,FIND(".",L18)-1),"")</ns0:f>
      </ns0:c>
      <ns0:c r="N18" s="0">
        <ns0:f>IFERROR(MID(L18,FIND(".",L18)+1,FIND(".",L18,FIND(".",L18)+1)-FIND(".",L18)-1),"")</ns0:f>
      </ns0:c>
      <ns0:c r="O18" s="0">
        <ns0:f>IFERROR(MID(L18,FIND(".",L18,FIND(".",L18)+1)+1,99),"")</ns0:f>
        <ns0:v>99</ns0:v>
      </ns0:c>
      <ns0:c r="P18" s="0">
        <ns0:f>IFERROR(IF(FIND(".",L18)=5,--M18,--O18),0)</ns0:f>
        <ns0:v>0</ns0:v>
      </ns0:c>
      <ns0:c r="Q18" s="0">
        <ns0:f>IFERROR(--N18,0)</ns0:f>
        <ns0:v>0</ns0:v>
      </ns0:c>
      <ns0:c r="R18" s="0">
        <ns0:f>IFERROR(IF(FIND(".",L18)=5,--O18,--M18),0)</ns0:f>
        <ns0:v>0</ns0:v>
      </ns0:c>
      <ns0:c r="S18" s="0">
        <ns0:f>IFERROR(IF(AND(P18&gt;=2000,P18&lt;=2100,Q18&gt;=1,Q18&lt;=12,R18&gt;=1,R18&lt;=31),DATE(P18,Q18,R18),0),0)</ns0:f>
        <ns0:v>0</ns0:v>
      </ns0:c>
      <ns0:c r="T18" s="0">
        <ns0:f>IFERROR(IF(ISNUMBER(Bookings!D18),IF(AND(Bookings!D18=INT(Bookings!D18),Bookings!D18&gt;=DATE(2000,1,1),Bookings!D18&lt;=DATE(2100,12,31)),Bookings!D18,0),IF(AND(K18&lt;&gt;"",LEN("x"&amp;L18)-LEN(SUBSTITUTE("x"&amp;L18,".",""))=2,OR(1&gt;LEN(L18),MID(L18,1,1)=".",ISNUMBER(FIND("x"&amp;MID(L18,1,1),"x0x1x2x3x4x5x6x7x8x9"))),OR(2&gt;LEN(L18),MID(L18,2,1)=".",ISNUMBER(FIND("x"&amp;MID(L18,2,1),"x0x1x2x3x4x5x6x7x8x9"))),OR(3&gt;LEN(L18),MID(L18,3,1)=".",ISNUMBER(FIND("x"&amp;MID(L18,3,1),"x0x1x2x3x4x5x6x7x8x9"))),OR(4&gt;LEN(L18),MID(L18,4,1)=".",ISNUMBER(FIND("x"&amp;MID(L18,4,1),"x0x1x2x3x4x5x6x7x8x9"))),OR(5&gt;LEN(L18),MID(L18,5,1)=".",ISNUMBER(FIND("x"&amp;MID(L18,5,1),"x0x1x2x3x4x5x6x7x8x9"))),OR(6&gt;LEN(L18),MID(L18,6,1)=".",ISNUMBER(FIND("x"&amp;MID(L18,6,1),"x0x1x2x3x4x5x6x7x8x9"))),OR(7&gt;LEN(L18),MID(L18,7,1)=".",ISNUMBER(FIND("x"&amp;MID(L18,7,1),"x0x1x2x3x4x5x6x7x8x9"))),OR(8&gt;LEN(L18),MID(L18,8,1)=".",ISNUMBER(FIND("x"&amp;MID(L18,8,1),"x0x1x2x3x4x5x6x7x8x9"))),OR(9&gt;LEN(L18),MID(L18,9,1)=".",ISNUMBER(FIND("x"&amp;MID(L18,9,1),"x0x1x2x3x4x5x6x7x8x9"))),OR(10&gt;LEN(L18),MID(L18,10,1)=".",ISNUMBER(FIND("x"&amp;MID(L18,10,1),"x0x1x2x3x4x5x6x7x8x9"))),OR(AND(FIND(".",L18)=5,LEN(L18)-FIND(".",L18,FIND(".",L18)+1)&gt;=1,LEN(L18)-FIND(".",L18,FIND(".",L18)+1)&lt;=2),AND(LEN(L18)-FIND(".",L18,FIND(".",L18)+1)=4,FIND(".",L18)&gt;=2,FIND(".",L18)&lt;=3)),FIND(".",L18,FIND(".",L18)+1)-FIND(".",L18)&gt;=2,FIND(".",L18,FIND(".",L18)+1)-FIND(".",L18)&lt;=3,P18&gt;=2000,P18&lt;=2100,YEAR(S18)=P18,MONTH(S18)=Q18,DAY(S18)=R18),S18,0)),0)</ns0:f>
        <ns0:v>46582</ns0:v>
      </ns0:c>
      <ns0:c r="U18" s="0" t="str">
        <ns0:f>IF(Bookings!C18="","Full day",Bookings!C18)</ns0:f>
        <ns0:v>AM</ns0:v>
      </ns0:c>
      <ns0:c r="V18" s="0" t="str">
        <ns0:f>IF(Bookings!E18="","Full day",Bookings!E18)</ns0:f>
        <ns0:v>Full day</ns0:v>
      </ns0:c>
      <ns0:c r="W18" s="0">
        <ns0:f>IF(J18=0,0,J18+IF(U18="PM",1,0))</ns0:f>
        <ns0:v>46582</ns0:v>
      </ns0:c>
      <ns0:c r="X18" s="0">
        <ns0:f>IF(T18=0,0,T18-IF(V18="PM",1,0))</ns0:f>
        <ns0:v>46582</ns0:v>
      </ns0:c>
      <ns0:c r="Y18" s="0">
        <ns0:f>IF(J18=0,0,J18+IF(U18="AM",1,0))</ns0:f>
        <ns0:v>46583</ns0:v>
      </ns0:c>
      <ns0:c r="Z18" s="0">
        <ns0:f>IF(T18=0,0,T18-IF(V18="AM",1,0))</ns0:f>
        <ns0:v>46582</ns0:v>
      </ns0:c>
      <ns0:c r="AA18" s="0">
        <ns0:f>IFERROR(IF(AND(J18&gt;0,'_Engine'!C18&gt;0,MID('_Engine'!W18,WEEKDAY(J18,2),1)="W",COUNTIF(Settings!$F$18:$F$67,J18)=0),1,0),0)</ns0:f>
        <ns0:v>1</ns0:v>
      </ns0:c>
      <ns0:c r="AB18" s="0">
        <ns0:f>IFERROR(IF(AND(T18&gt;0,'_Engine'!C18&gt;0,MID('_Engine'!W18,WEEKDAY(T18,2),1)="W",COUNTIF(Settings!$F$18:$F$67,T18)=0),1,0),0)</ns0:f>
        <ns0:v>1</ns0:v>
      </ns0:c>
      <ns0:c r="AC18" s="0">
        <ns0:f>IF(AND(J18&gt;0,T18&gt;0,W18&lt;=X18),1,0)</ns0:f>
        <ns0:v>1</ns0:v>
      </ns0:c>
      <ns0:c r="AD18" s="0">
        <ns0:f>IF(AND(J18&gt;0,T18&gt;0,Y18&lt;=Z18),1,0)</ns0:f>
        <ns0:v>0</ns0:v>
      </ns0:c>
    </ns0:row>
    <ns0:row r="19">
      <ns0:c r="A19" s="0">
        <ns0:f>IFERROR(IF(ISNUMBER(Bookings!B19),"",TRIM(Bookings!B19&amp;"")),"")</ns0:f>
      </ns0:c>
      <ns0:c r="B19" s="0">
        <ns0:f>IFERROR(SUBSTITUTE(SUBSTITUTE(A19,"/","."),"-","."),"")</ns0:f>
      </ns0:c>
      <ns0:c r="C19" s="0">
        <ns0:f>IFERROR(LEFT(B19,FIND(".",B19)-1),"")</ns0:f>
      </ns0:c>
      <ns0:c r="D19" s="0">
        <ns0:f>IFERROR(MID(B19,FIND(".",B19)+1,FIND(".",B19,FIND(".",B19)+1)-FIND(".",B19)-1),"")</ns0:f>
      </ns0:c>
      <ns0:c r="E19" s="0">
        <ns0:f>IFERROR(MID(B19,FIND(".",B19,FIND(".",B19)+1)+1,99),"")</ns0:f>
        <ns0:v>99</ns0:v>
      </ns0:c>
      <ns0:c r="F19" s="0">
        <ns0:f>IFERROR(IF(FIND(".",B19)=5,--C19,--E19),0)</ns0:f>
        <ns0:v>0</ns0:v>
      </ns0:c>
      <ns0:c r="G19" s="0">
        <ns0:f>IFERROR(--D19,0)</ns0:f>
        <ns0:v>0</ns0:v>
      </ns0:c>
      <ns0:c r="H19" s="0">
        <ns0:f>IFERROR(IF(FIND(".",B19)=5,--E19,--C19),0)</ns0:f>
        <ns0:v>0</ns0:v>
      </ns0:c>
      <ns0:c r="I19" s="0">
        <ns0:f>IFERROR(IF(AND(F19&gt;=2000,F19&lt;=2100,G19&gt;=1,G19&lt;=12,H19&gt;=1,H19&lt;=31),DATE(F19,G19,H19),0),0)</ns0:f>
        <ns0:v>0</ns0:v>
      </ns0:c>
      <ns0:c r="J19" s="0">
        <ns0:f>IFERROR(IF(ISNUMBER(Bookings!B19),IF(AND(Bookings!B19=INT(Bookings!B19),Bookings!B19&gt;=DATE(2000,1,1),Bookings!B19&lt;=DATE(2100,12,31)),Bookings!B19,0),IF(AND(A19&lt;&gt;"",LEN("x"&amp;B19)-LEN(SUBSTITUTE("x"&amp;B19,".",""))=2,OR(1&gt;LEN(B19),MID(B19,1,1)=".",ISNUMBER(FIND("x"&amp;MID(B19,1,1),"x0x1x2x3x4x5x6x7x8x9"))),OR(2&gt;LEN(B19),MID(B19,2,1)=".",ISNUMBER(FIND("x"&amp;MID(B19,2,1),"x0x1x2x3x4x5x6x7x8x9"))),OR(3&gt;LEN(B19),MID(B19,3,1)=".",ISNUMBER(FIND("x"&amp;MID(B19,3,1),"x0x1x2x3x4x5x6x7x8x9"))),OR(4&gt;LEN(B19),MID(B19,4,1)=".",ISNUMBER(FIND("x"&amp;MID(B19,4,1),"x0x1x2x3x4x5x6x7x8x9"))),OR(5&gt;LEN(B19),MID(B19,5,1)=".",ISNUMBER(FIND("x"&amp;MID(B19,5,1),"x0x1x2x3x4x5x6x7x8x9"))),OR(6&gt;LEN(B19),MID(B19,6,1)=".",ISNUMBER(FIND("x"&amp;MID(B19,6,1),"x0x1x2x3x4x5x6x7x8x9"))),OR(7&gt;LEN(B19),MID(B19,7,1)=".",ISNUMBER(FIND("x"&amp;MID(B19,7,1),"x0x1x2x3x4x5x6x7x8x9"))),OR(8&gt;LEN(B19),MID(B19,8,1)=".",ISNUMBER(FIND("x"&amp;MID(B19,8,1),"x0x1x2x3x4x5x6x7x8x9"))),OR(9&gt;LEN(B19),MID(B19,9,1)=".",ISNUMBER(FIND("x"&amp;MID(B19,9,1),"x0x1x2x3x4x5x6x7x8x9"))),OR(10&gt;LEN(B19),MID(B19,10,1)=".",ISNUMBER(FIND("x"&amp;MID(B19,10,1),"x0x1x2x3x4x5x6x7x8x9"))),OR(AND(FIND(".",B19)=5,LEN(B19)-FIND(".",B19,FIND(".",B19)+1)&gt;=1,LEN(B19)-FIND(".",B19,FIND(".",B19)+1)&lt;=2),AND(LEN(B19)-FIND(".",B19,FIND(".",B19)+1)=4,FIND(".",B19)&gt;=2,FIND(".",B19)&lt;=3)),FIND(".",B19,FIND(".",B19)+1)-FIND(".",B19)&gt;=2,FIND(".",B19,FIND(".",B19)+1)-FIND(".",B19)&lt;=3,F19&gt;=2000,F19&lt;=2100,YEAR(I19)=F19,MONTH(I19)=G19,DAY(I19)=H19),I19,0)),0)</ns0:f>
        <ns0:v>46582</ns0:v>
      </ns0:c>
      <ns0:c r="K19" s="0">
        <ns0:f>IFERROR(IF(ISNUMBER(Bookings!D19),"",TRIM(Bookings!D19&amp;"")),"")</ns0:f>
      </ns0:c>
      <ns0:c r="L19" s="0">
        <ns0:f>IFERROR(SUBSTITUTE(SUBSTITUTE(K19,"/","."),"-","."),"")</ns0:f>
      </ns0:c>
      <ns0:c r="M19" s="0">
        <ns0:f>IFERROR(LEFT(L19,FIND(".",L19)-1),"")</ns0:f>
      </ns0:c>
      <ns0:c r="N19" s="0">
        <ns0:f>IFERROR(MID(L19,FIND(".",L19)+1,FIND(".",L19,FIND(".",L19)+1)-FIND(".",L19)-1),"")</ns0:f>
      </ns0:c>
      <ns0:c r="O19" s="0">
        <ns0:f>IFERROR(MID(L19,FIND(".",L19,FIND(".",L19)+1)+1,99),"")</ns0:f>
        <ns0:v>99</ns0:v>
      </ns0:c>
      <ns0:c r="P19" s="0">
        <ns0:f>IFERROR(IF(FIND(".",L19)=5,--M19,--O19),0)</ns0:f>
        <ns0:v>0</ns0:v>
      </ns0:c>
      <ns0:c r="Q19" s="0">
        <ns0:f>IFERROR(--N19,0)</ns0:f>
        <ns0:v>0</ns0:v>
      </ns0:c>
      <ns0:c r="R19" s="0">
        <ns0:f>IFERROR(IF(FIND(".",L19)=5,--O19,--M19),0)</ns0:f>
        <ns0:v>0</ns0:v>
      </ns0:c>
      <ns0:c r="S19" s="0">
        <ns0:f>IFERROR(IF(AND(P19&gt;=2000,P19&lt;=2100,Q19&gt;=1,Q19&lt;=12,R19&gt;=1,R19&lt;=31),DATE(P19,Q19,R19),0),0)</ns0:f>
        <ns0:v>0</ns0:v>
      </ns0:c>
      <ns0:c r="T19" s="0">
        <ns0:f>IFERROR(IF(ISNUMBER(Bookings!D19),IF(AND(Bookings!D19=INT(Bookings!D19),Bookings!D19&gt;=DATE(2000,1,1),Bookings!D19&lt;=DATE(2100,12,31)),Bookings!D19,0),IF(AND(K19&lt;&gt;"",LEN("x"&amp;L19)-LEN(SUBSTITUTE("x"&amp;L19,".",""))=2,OR(1&gt;LEN(L19),MID(L19,1,1)=".",ISNUMBER(FIND("x"&amp;MID(L19,1,1),"x0x1x2x3x4x5x6x7x8x9"))),OR(2&gt;LEN(L19),MID(L19,2,1)=".",ISNUMBER(FIND("x"&amp;MID(L19,2,1),"x0x1x2x3x4x5x6x7x8x9"))),OR(3&gt;LEN(L19),MID(L19,3,1)=".",ISNUMBER(FIND("x"&amp;MID(L19,3,1),"x0x1x2x3x4x5x6x7x8x9"))),OR(4&gt;LEN(L19),MID(L19,4,1)=".",ISNUMBER(FIND("x"&amp;MID(L19,4,1),"x0x1x2x3x4x5x6x7x8x9"))),OR(5&gt;LEN(L19),MID(L19,5,1)=".",ISNUMBER(FIND("x"&amp;MID(L19,5,1),"x0x1x2x3x4x5x6x7x8x9"))),OR(6&gt;LEN(L19),MID(L19,6,1)=".",ISNUMBER(FIND("x"&amp;MID(L19,6,1),"x0x1x2x3x4x5x6x7x8x9"))),OR(7&gt;LEN(L19),MID(L19,7,1)=".",ISNUMBER(FIND("x"&amp;MID(L19,7,1),"x0x1x2x3x4x5x6x7x8x9"))),OR(8&gt;LEN(L19),MID(L19,8,1)=".",ISNUMBER(FIND("x"&amp;MID(L19,8,1),"x0x1x2x3x4x5x6x7x8x9"))),OR(9&gt;LEN(L19),MID(L19,9,1)=".",ISNUMBER(FIND("x"&amp;MID(L19,9,1),"x0x1x2x3x4x5x6x7x8x9"))),OR(10&gt;LEN(L19),MID(L19,10,1)=".",ISNUMBER(FIND("x"&amp;MID(L19,10,1),"x0x1x2x3x4x5x6x7x8x9"))),OR(AND(FIND(".",L19)=5,LEN(L19)-FIND(".",L19,FIND(".",L19)+1)&gt;=1,LEN(L19)-FIND(".",L19,FIND(".",L19)+1)&lt;=2),AND(LEN(L19)-FIND(".",L19,FIND(".",L19)+1)=4,FIND(".",L19)&gt;=2,FIND(".",L19)&lt;=3)),FIND(".",L19,FIND(".",L19)+1)-FIND(".",L19)&gt;=2,FIND(".",L19,FIND(".",L19)+1)-FIND(".",L19)&lt;=3,P19&gt;=2000,P19&lt;=2100,YEAR(S19)=P19,MONTH(S19)=Q19,DAY(S19)=R19),S19,0)),0)</ns0:f>
        <ns0:v>46582</ns0:v>
      </ns0:c>
      <ns0:c r="U19" s="0" t="str">
        <ns0:f>IF(Bookings!C19="","Full day",Bookings!C19)</ns0:f>
        <ns0:v>PM</ns0:v>
      </ns0:c>
      <ns0:c r="V19" s="0" t="str">
        <ns0:f>IF(Bookings!E19="","Full day",Bookings!E19)</ns0:f>
        <ns0:v>Full day</ns0:v>
      </ns0:c>
      <ns0:c r="W19" s="0">
        <ns0:f>IF(J19=0,0,J19+IF(U19="PM",1,0))</ns0:f>
        <ns0:v>46583</ns0:v>
      </ns0:c>
      <ns0:c r="X19" s="0">
        <ns0:f>IF(T19=0,0,T19-IF(V19="PM",1,0))</ns0:f>
        <ns0:v>46582</ns0:v>
      </ns0:c>
      <ns0:c r="Y19" s="0">
        <ns0:f>IF(J19=0,0,J19+IF(U19="AM",1,0))</ns0:f>
        <ns0:v>46582</ns0:v>
      </ns0:c>
      <ns0:c r="Z19" s="0">
        <ns0:f>IF(T19=0,0,T19-IF(V19="AM",1,0))</ns0:f>
        <ns0:v>46582</ns0:v>
      </ns0:c>
      <ns0:c r="AA19" s="0">
        <ns0:f>IFERROR(IF(AND(J19&gt;0,'_Engine'!C19&gt;0,MID('_Engine'!W19,WEEKDAY(J19,2),1)="W",COUNTIF(Settings!$F$18:$F$67,J19)=0),1,0),0)</ns0:f>
        <ns0:v>1</ns0:v>
      </ns0:c>
      <ns0:c r="AB19" s="0">
        <ns0:f>IFERROR(IF(AND(T19&gt;0,'_Engine'!C19&gt;0,MID('_Engine'!W19,WEEKDAY(T19,2),1)="W",COUNTIF(Settings!$F$18:$F$67,T19)=0),1,0),0)</ns0:f>
        <ns0:v>1</ns0:v>
      </ns0:c>
      <ns0:c r="AC19" s="0">
        <ns0:f>IF(AND(J19&gt;0,T19&gt;0,W19&lt;=X19),1,0)</ns0:f>
        <ns0:v>0</ns0:v>
      </ns0:c>
      <ns0:c r="AD19" s="0">
        <ns0:f>IF(AND(J19&gt;0,T19&gt;0,Y19&lt;=Z19),1,0)</ns0:f>
        <ns0:v>1</ns0:v>
      </ns0:c>
    </ns0:row>
    <ns0:row r="20">
      <ns0:c r="A20" s="0">
        <ns0:f>IFERROR(IF(ISNUMBER(Bookings!B20),"",TRIM(Bookings!B20&amp;"")),"")</ns0:f>
      </ns0:c>
      <ns0:c r="B20" s="0">
        <ns0:f>IFERROR(SUBSTITUTE(SUBSTITUTE(A20,"/","."),"-","."),"")</ns0:f>
      </ns0:c>
      <ns0:c r="C20" s="0">
        <ns0:f>IFERROR(LEFT(B20,FIND(".",B20)-1),"")</ns0:f>
      </ns0:c>
      <ns0:c r="D20" s="0">
        <ns0:f>IFERROR(MID(B20,FIND(".",B20)+1,FIND(".",B20,FIND(".",B20)+1)-FIND(".",B20)-1),"")</ns0:f>
      </ns0:c>
      <ns0:c r="E20" s="0">
        <ns0:f>IFERROR(MID(B20,FIND(".",B20,FIND(".",B20)+1)+1,99),"")</ns0:f>
        <ns0:v>99</ns0:v>
      </ns0:c>
      <ns0:c r="F20" s="0">
        <ns0:f>IFERROR(IF(FIND(".",B20)=5,--C20,--E20),0)</ns0:f>
        <ns0:v>0</ns0:v>
      </ns0:c>
      <ns0:c r="G20" s="0">
        <ns0:f>IFERROR(--D20,0)</ns0:f>
        <ns0:v>0</ns0:v>
      </ns0:c>
      <ns0:c r="H20" s="0">
        <ns0:f>IFERROR(IF(FIND(".",B20)=5,--E20,--C20),0)</ns0:f>
        <ns0:v>0</ns0:v>
      </ns0:c>
      <ns0:c r="I20" s="0">
        <ns0:f>IFERROR(IF(AND(F20&gt;=2000,F20&lt;=2100,G20&gt;=1,G20&lt;=12,H20&gt;=1,H20&lt;=31),DATE(F20,G20,H20),0),0)</ns0:f>
        <ns0:v>0</ns0:v>
      </ns0:c>
      <ns0:c r="J20" s="0">
        <ns0:f>IFERROR(IF(ISNUMBER(Bookings!B20),IF(AND(Bookings!B20=INT(Bookings!B20),Bookings!B20&gt;=DATE(2000,1,1),Bookings!B20&lt;=DATE(2100,12,31)),Bookings!B20,0),IF(AND(A20&lt;&gt;"",LEN("x"&amp;B20)-LEN(SUBSTITUTE("x"&amp;B20,".",""))=2,OR(1&gt;LEN(B20),MID(B20,1,1)=".",ISNUMBER(FIND("x"&amp;MID(B20,1,1),"x0x1x2x3x4x5x6x7x8x9"))),OR(2&gt;LEN(B20),MID(B20,2,1)=".",ISNUMBER(FIND("x"&amp;MID(B20,2,1),"x0x1x2x3x4x5x6x7x8x9"))),OR(3&gt;LEN(B20),MID(B20,3,1)=".",ISNUMBER(FIND("x"&amp;MID(B20,3,1),"x0x1x2x3x4x5x6x7x8x9"))),OR(4&gt;LEN(B20),MID(B20,4,1)=".",ISNUMBER(FIND("x"&amp;MID(B20,4,1),"x0x1x2x3x4x5x6x7x8x9"))),OR(5&gt;LEN(B20),MID(B20,5,1)=".",ISNUMBER(FIND("x"&amp;MID(B20,5,1),"x0x1x2x3x4x5x6x7x8x9"))),OR(6&gt;LEN(B20),MID(B20,6,1)=".",ISNUMBER(FIND("x"&amp;MID(B20,6,1),"x0x1x2x3x4x5x6x7x8x9"))),OR(7&gt;LEN(B20),MID(B20,7,1)=".",ISNUMBER(FIND("x"&amp;MID(B20,7,1),"x0x1x2x3x4x5x6x7x8x9"))),OR(8&gt;LEN(B20),MID(B20,8,1)=".",ISNUMBER(FIND("x"&amp;MID(B20,8,1),"x0x1x2x3x4x5x6x7x8x9"))),OR(9&gt;LEN(B20),MID(B20,9,1)=".",ISNUMBER(FIND("x"&amp;MID(B20,9,1),"x0x1x2x3x4x5x6x7x8x9"))),OR(10&gt;LEN(B20),MID(B20,10,1)=".",ISNUMBER(FIND("x"&amp;MID(B20,10,1),"x0x1x2x3x4x5x6x7x8x9"))),OR(AND(FIND(".",B20)=5,LEN(B20)-FIND(".",B20,FIND(".",B20)+1)&gt;=1,LEN(B20)-FIND(".",B20,FIND(".",B20)+1)&lt;=2),AND(LEN(B20)-FIND(".",B20,FIND(".",B20)+1)=4,FIND(".",B20)&gt;=2,FIND(".",B20)&lt;=3)),FIND(".",B20,FIND(".",B20)+1)-FIND(".",B20)&gt;=2,FIND(".",B20,FIND(".",B20)+1)-FIND(".",B20)&lt;=3,F20&gt;=2000,F20&lt;=2100,YEAR(I20)=F20,MONTH(I20)=G20,DAY(I20)=H20),I20,0)),0)</ns0:f>
        <ns0:v>46594</ns0:v>
      </ns0:c>
      <ns0:c r="K20" s="0">
        <ns0:f>IFERROR(IF(ISNUMBER(Bookings!D20),"",TRIM(Bookings!D20&amp;"")),"")</ns0:f>
      </ns0:c>
      <ns0:c r="L20" s="0">
        <ns0:f>IFERROR(SUBSTITUTE(SUBSTITUTE(K20,"/","."),"-","."),"")</ns0:f>
      </ns0:c>
      <ns0:c r="M20" s="0">
        <ns0:f>IFERROR(LEFT(L20,FIND(".",L20)-1),"")</ns0:f>
      </ns0:c>
      <ns0:c r="N20" s="0">
        <ns0:f>IFERROR(MID(L20,FIND(".",L20)+1,FIND(".",L20,FIND(".",L20)+1)-FIND(".",L20)-1),"")</ns0:f>
      </ns0:c>
      <ns0:c r="O20" s="0">
        <ns0:f>IFERROR(MID(L20,FIND(".",L20,FIND(".",L20)+1)+1,99),"")</ns0:f>
        <ns0:v>99</ns0:v>
      </ns0:c>
      <ns0:c r="P20" s="0">
        <ns0:f>IFERROR(IF(FIND(".",L20)=5,--M20,--O20),0)</ns0:f>
        <ns0:v>0</ns0:v>
      </ns0:c>
      <ns0:c r="Q20" s="0">
        <ns0:f>IFERROR(--N20,0)</ns0:f>
        <ns0:v>0</ns0:v>
      </ns0:c>
      <ns0:c r="R20" s="0">
        <ns0:f>IFERROR(IF(FIND(".",L20)=5,--O20,--M20),0)</ns0:f>
        <ns0:v>0</ns0:v>
      </ns0:c>
      <ns0:c r="S20" s="0">
        <ns0:f>IFERROR(IF(AND(P20&gt;=2000,P20&lt;=2100,Q20&gt;=1,Q20&lt;=12,R20&gt;=1,R20&lt;=31),DATE(P20,Q20,R20),0),0)</ns0:f>
        <ns0:v>0</ns0:v>
      </ns0:c>
      <ns0:c r="T20" s="0">
        <ns0:f>IFERROR(IF(ISNUMBER(Bookings!D20),IF(AND(Bookings!D20=INT(Bookings!D20),Bookings!D20&gt;=DATE(2000,1,1),Bookings!D20&lt;=DATE(2100,12,31)),Bookings!D20,0),IF(AND(K20&lt;&gt;"",LEN("x"&amp;L20)-LEN(SUBSTITUTE("x"&amp;L20,".",""))=2,OR(1&gt;LEN(L20),MID(L20,1,1)=".",ISNUMBER(FIND("x"&amp;MID(L20,1,1),"x0x1x2x3x4x5x6x7x8x9"))),OR(2&gt;LEN(L20),MID(L20,2,1)=".",ISNUMBER(FIND("x"&amp;MID(L20,2,1),"x0x1x2x3x4x5x6x7x8x9"))),OR(3&gt;LEN(L20),MID(L20,3,1)=".",ISNUMBER(FIND("x"&amp;MID(L20,3,1),"x0x1x2x3x4x5x6x7x8x9"))),OR(4&gt;LEN(L20),MID(L20,4,1)=".",ISNUMBER(FIND("x"&amp;MID(L20,4,1),"x0x1x2x3x4x5x6x7x8x9"))),OR(5&gt;LEN(L20),MID(L20,5,1)=".",ISNUMBER(FIND("x"&amp;MID(L20,5,1),"x0x1x2x3x4x5x6x7x8x9"))),OR(6&gt;LEN(L20),MID(L20,6,1)=".",ISNUMBER(FIND("x"&amp;MID(L20,6,1),"x0x1x2x3x4x5x6x7x8x9"))),OR(7&gt;LEN(L20),MID(L20,7,1)=".",ISNUMBER(FIND("x"&amp;MID(L20,7,1),"x0x1x2x3x4x5x6x7x8x9"))),OR(8&gt;LEN(L20),MID(L20,8,1)=".",ISNUMBER(FIND("x"&amp;MID(L20,8,1),"x0x1x2x3x4x5x6x7x8x9"))),OR(9&gt;LEN(L20),MID(L20,9,1)=".",ISNUMBER(FIND("x"&amp;MID(L20,9,1),"x0x1x2x3x4x5x6x7x8x9"))),OR(10&gt;LEN(L20),MID(L20,10,1)=".",ISNUMBER(FIND("x"&amp;MID(L20,10,1),"x0x1x2x3x4x5x6x7x8x9"))),OR(AND(FIND(".",L20)=5,LEN(L20)-FIND(".",L20,FIND(".",L20)+1)&gt;=1,LEN(L20)-FIND(".",L20,FIND(".",L20)+1)&lt;=2),AND(LEN(L20)-FIND(".",L20,FIND(".",L20)+1)=4,FIND(".",L20)&gt;=2,FIND(".",L20)&lt;=3)),FIND(".",L20,FIND(".",L20)+1)-FIND(".",L20)&gt;=2,FIND(".",L20,FIND(".",L20)+1)-FIND(".",L20)&lt;=3,P20&gt;=2000,P20&lt;=2100,YEAR(S20)=P20,MONTH(S20)=Q20,DAY(S20)=R20),S20,0)),0)</ns0:f>
        <ns0:v>46598</ns0:v>
      </ns0:c>
      <ns0:c r="U20" s="0" t="str">
        <ns0:f>IF(Bookings!C20="","Full day",Bookings!C20)</ns0:f>
        <ns0:v>Full day</ns0:v>
      </ns0:c>
      <ns0:c r="V20" s="0" t="str">
        <ns0:f>IF(Bookings!E20="","Full day",Bookings!E20)</ns0:f>
        <ns0:v>Full day</ns0:v>
      </ns0:c>
      <ns0:c r="W20" s="0">
        <ns0:f>IF(J20=0,0,J20+IF(U20="PM",1,0))</ns0:f>
        <ns0:v>46594</ns0:v>
      </ns0:c>
      <ns0:c r="X20" s="0">
        <ns0:f>IF(T20=0,0,T20-IF(V20="PM",1,0))</ns0:f>
        <ns0:v>46598</ns0:v>
      </ns0:c>
      <ns0:c r="Y20" s="0">
        <ns0:f>IF(J20=0,0,J20+IF(U20="AM",1,0))</ns0:f>
        <ns0:v>46594</ns0:v>
      </ns0:c>
      <ns0:c r="Z20" s="0">
        <ns0:f>IF(T20=0,0,T20-IF(V20="AM",1,0))</ns0:f>
        <ns0:v>46598</ns0:v>
      </ns0:c>
      <ns0:c r="AA20" s="0">
        <ns0:f>IFERROR(IF(AND(J20&gt;0,'_Engine'!C20&gt;0,MID('_Engine'!W20,WEEKDAY(J20,2),1)="W",COUNTIF(Settings!$F$18:$F$67,J20)=0),1,0),0)</ns0:f>
        <ns0:v>1</ns0:v>
      </ns0:c>
      <ns0:c r="AB20" s="0">
        <ns0:f>IFERROR(IF(AND(T20&gt;0,'_Engine'!C20&gt;0,MID('_Engine'!W20,WEEKDAY(T20,2),1)="W",COUNTIF(Settings!$F$18:$F$67,T20)=0),1,0),0)</ns0:f>
        <ns0:v>1</ns0:v>
      </ns0:c>
      <ns0:c r="AC20" s="0">
        <ns0:f>IF(AND(J20&gt;0,T20&gt;0,W20&lt;=X20),1,0)</ns0:f>
        <ns0:v>1</ns0:v>
      </ns0:c>
      <ns0:c r="AD20" s="0">
        <ns0:f>IF(AND(J20&gt;0,T20&gt;0,Y20&lt;=Z20),1,0)</ns0:f>
        <ns0:v>1</ns0:v>
      </ns0:c>
    </ns0:row>
    <ns0:row r="21">
      <ns0:c r="A21" s="0">
        <ns0:f>IFERROR(IF(ISNUMBER(Bookings!B21),"",TRIM(Bookings!B21&amp;"")),"")</ns0:f>
      </ns0:c>
      <ns0:c r="B21" s="0">
        <ns0:f>IFERROR(SUBSTITUTE(SUBSTITUTE(A21,"/","."),"-","."),"")</ns0:f>
      </ns0:c>
      <ns0:c r="C21" s="0">
        <ns0:f>IFERROR(LEFT(B21,FIND(".",B21)-1),"")</ns0:f>
      </ns0:c>
      <ns0:c r="D21" s="0">
        <ns0:f>IFERROR(MID(B21,FIND(".",B21)+1,FIND(".",B21,FIND(".",B21)+1)-FIND(".",B21)-1),"")</ns0:f>
      </ns0:c>
      <ns0:c r="E21" s="0">
        <ns0:f>IFERROR(MID(B21,FIND(".",B21,FIND(".",B21)+1)+1,99),"")</ns0:f>
        <ns0:v>99</ns0:v>
      </ns0:c>
      <ns0:c r="F21" s="0">
        <ns0:f>IFERROR(IF(FIND(".",B21)=5,--C21,--E21),0)</ns0:f>
        <ns0:v>0</ns0:v>
      </ns0:c>
      <ns0:c r="G21" s="0">
        <ns0:f>IFERROR(--D21,0)</ns0:f>
        <ns0:v>0</ns0:v>
      </ns0:c>
      <ns0:c r="H21" s="0">
        <ns0:f>IFERROR(IF(FIND(".",B21)=5,--E21,--C21),0)</ns0:f>
        <ns0:v>0</ns0:v>
      </ns0:c>
      <ns0:c r="I21" s="0">
        <ns0:f>IFERROR(IF(AND(F21&gt;=2000,F21&lt;=2100,G21&gt;=1,G21&lt;=12,H21&gt;=1,H21&lt;=31),DATE(F21,G21,H21),0),0)</ns0:f>
        <ns0:v>0</ns0:v>
      </ns0:c>
      <ns0:c r="J21" s="0">
        <ns0:f>IFERROR(IF(ISNUMBER(Bookings!B21),IF(AND(Bookings!B21=INT(Bookings!B21),Bookings!B21&gt;=DATE(2000,1,1),Bookings!B21&lt;=DATE(2100,12,31)),Bookings!B21,0),IF(AND(A21&lt;&gt;"",LEN("x"&amp;B21)-LEN(SUBSTITUTE("x"&amp;B21,".",""))=2,OR(1&gt;LEN(B21),MID(B21,1,1)=".",ISNUMBER(FIND("x"&amp;MID(B21,1,1),"x0x1x2x3x4x5x6x7x8x9"))),OR(2&gt;LEN(B21),MID(B21,2,1)=".",ISNUMBER(FIND("x"&amp;MID(B21,2,1),"x0x1x2x3x4x5x6x7x8x9"))),OR(3&gt;LEN(B21),MID(B21,3,1)=".",ISNUMBER(FIND("x"&amp;MID(B21,3,1),"x0x1x2x3x4x5x6x7x8x9"))),OR(4&gt;LEN(B21),MID(B21,4,1)=".",ISNUMBER(FIND("x"&amp;MID(B21,4,1),"x0x1x2x3x4x5x6x7x8x9"))),OR(5&gt;LEN(B21),MID(B21,5,1)=".",ISNUMBER(FIND("x"&amp;MID(B21,5,1),"x0x1x2x3x4x5x6x7x8x9"))),OR(6&gt;LEN(B21),MID(B21,6,1)=".",ISNUMBER(FIND("x"&amp;MID(B21,6,1),"x0x1x2x3x4x5x6x7x8x9"))),OR(7&gt;LEN(B21),MID(B21,7,1)=".",ISNUMBER(FIND("x"&amp;MID(B21,7,1),"x0x1x2x3x4x5x6x7x8x9"))),OR(8&gt;LEN(B21),MID(B21,8,1)=".",ISNUMBER(FIND("x"&amp;MID(B21,8,1),"x0x1x2x3x4x5x6x7x8x9"))),OR(9&gt;LEN(B21),MID(B21,9,1)=".",ISNUMBER(FIND("x"&amp;MID(B21,9,1),"x0x1x2x3x4x5x6x7x8x9"))),OR(10&gt;LEN(B21),MID(B21,10,1)=".",ISNUMBER(FIND("x"&amp;MID(B21,10,1),"x0x1x2x3x4x5x6x7x8x9"))),OR(AND(FIND(".",B21)=5,LEN(B21)-FIND(".",B21,FIND(".",B21)+1)&gt;=1,LEN(B21)-FIND(".",B21,FIND(".",B21)+1)&lt;=2),AND(LEN(B21)-FIND(".",B21,FIND(".",B21)+1)=4,FIND(".",B21)&gt;=2,FIND(".",B21)&lt;=3)),FIND(".",B21,FIND(".",B21)+1)-FIND(".",B21)&gt;=2,FIND(".",B21,FIND(".",B21)+1)-FIND(".",B21)&lt;=3,F21&gt;=2000,F21&lt;=2100,YEAR(I21)=F21,MONTH(I21)=G21,DAY(I21)=H21),I21,0)),0)</ns0:f>
        <ns0:v>46575</ns0:v>
      </ns0:c>
      <ns0:c r="K21" s="0">
        <ns0:f>IFERROR(IF(ISNUMBER(Bookings!D21),"",TRIM(Bookings!D21&amp;"")),"")</ns0:f>
      </ns0:c>
      <ns0:c r="L21" s="0">
        <ns0:f>IFERROR(SUBSTITUTE(SUBSTITUTE(K21,"/","."),"-","."),"")</ns0:f>
      </ns0:c>
      <ns0:c r="M21" s="0">
        <ns0:f>IFERROR(LEFT(L21,FIND(".",L21)-1),"")</ns0:f>
      </ns0:c>
      <ns0:c r="N21" s="0">
        <ns0:f>IFERROR(MID(L21,FIND(".",L21)+1,FIND(".",L21,FIND(".",L21)+1)-FIND(".",L21)-1),"")</ns0:f>
      </ns0:c>
      <ns0:c r="O21" s="0">
        <ns0:f>IFERROR(MID(L21,FIND(".",L21,FIND(".",L21)+1)+1,99),"")</ns0:f>
        <ns0:v>99</ns0:v>
      </ns0:c>
      <ns0:c r="P21" s="0">
        <ns0:f>IFERROR(IF(FIND(".",L21)=5,--M21,--O21),0)</ns0:f>
        <ns0:v>0</ns0:v>
      </ns0:c>
      <ns0:c r="Q21" s="0">
        <ns0:f>IFERROR(--N21,0)</ns0:f>
        <ns0:v>0</ns0:v>
      </ns0:c>
      <ns0:c r="R21" s="0">
        <ns0:f>IFERROR(IF(FIND(".",L21)=5,--O21,--M21),0)</ns0:f>
        <ns0:v>0</ns0:v>
      </ns0:c>
      <ns0:c r="S21" s="0">
        <ns0:f>IFERROR(IF(AND(P21&gt;=2000,P21&lt;=2100,Q21&gt;=1,Q21&lt;=12,R21&gt;=1,R21&lt;=31),DATE(P21,Q21,R21),0),0)</ns0:f>
        <ns0:v>0</ns0:v>
      </ns0:c>
      <ns0:c r="T21" s="0">
        <ns0:f>IFERROR(IF(ISNUMBER(Bookings!D21),IF(AND(Bookings!D21=INT(Bookings!D21),Bookings!D21&gt;=DATE(2000,1,1),Bookings!D21&lt;=DATE(2100,12,31)),Bookings!D21,0),IF(AND(K21&lt;&gt;"",LEN("x"&amp;L21)-LEN(SUBSTITUTE("x"&amp;L21,".",""))=2,OR(1&gt;LEN(L21),MID(L21,1,1)=".",ISNUMBER(FIND("x"&amp;MID(L21,1,1),"x0x1x2x3x4x5x6x7x8x9"))),OR(2&gt;LEN(L21),MID(L21,2,1)=".",ISNUMBER(FIND("x"&amp;MID(L21,2,1),"x0x1x2x3x4x5x6x7x8x9"))),OR(3&gt;LEN(L21),MID(L21,3,1)=".",ISNUMBER(FIND("x"&amp;MID(L21,3,1),"x0x1x2x3x4x5x6x7x8x9"))),OR(4&gt;LEN(L21),MID(L21,4,1)=".",ISNUMBER(FIND("x"&amp;MID(L21,4,1),"x0x1x2x3x4x5x6x7x8x9"))),OR(5&gt;LEN(L21),MID(L21,5,1)=".",ISNUMBER(FIND("x"&amp;MID(L21,5,1),"x0x1x2x3x4x5x6x7x8x9"))),OR(6&gt;LEN(L21),MID(L21,6,1)=".",ISNUMBER(FIND("x"&amp;MID(L21,6,1),"x0x1x2x3x4x5x6x7x8x9"))),OR(7&gt;LEN(L21),MID(L21,7,1)=".",ISNUMBER(FIND("x"&amp;MID(L21,7,1),"x0x1x2x3x4x5x6x7x8x9"))),OR(8&gt;LEN(L21),MID(L21,8,1)=".",ISNUMBER(FIND("x"&amp;MID(L21,8,1),"x0x1x2x3x4x5x6x7x8x9"))),OR(9&gt;LEN(L21),MID(L21,9,1)=".",ISNUMBER(FIND("x"&amp;MID(L21,9,1),"x0x1x2x3x4x5x6x7x8x9"))),OR(10&gt;LEN(L21),MID(L21,10,1)=".",ISNUMBER(FIND("x"&amp;MID(L21,10,1),"x0x1x2x3x4x5x6x7x8x9"))),OR(AND(FIND(".",L21)=5,LEN(L21)-FIND(".",L21,FIND(".",L21)+1)&gt;=1,LEN(L21)-FIND(".",L21,FIND(".",L21)+1)&lt;=2),AND(LEN(L21)-FIND(".",L21,FIND(".",L21)+1)=4,FIND(".",L21)&gt;=2,FIND(".",L21)&lt;=3)),FIND(".",L21,FIND(".",L21)+1)-FIND(".",L21)&gt;=2,FIND(".",L21,FIND(".",L21)+1)-FIND(".",L21)&lt;=3,P21&gt;=2000,P21&lt;=2100,YEAR(S21)=P21,MONTH(S21)=Q21,DAY(S21)=R21),S21,0)),0)</ns0:f>
        <ns0:v>46575</ns0:v>
      </ns0:c>
      <ns0:c r="U21" s="0" t="str">
        <ns0:f>IF(Bookings!C21="","Full day",Bookings!C21)</ns0:f>
        <ns0:v>Full day</ns0:v>
      </ns0:c>
      <ns0:c r="V21" s="0" t="str">
        <ns0:f>IF(Bookings!E21="","Full day",Bookings!E21)</ns0:f>
        <ns0:v>Full day</ns0:v>
      </ns0:c>
      <ns0:c r="W21" s="0">
        <ns0:f>IF(J21=0,0,J21+IF(U21="PM",1,0))</ns0:f>
        <ns0:v>46575</ns0:v>
      </ns0:c>
      <ns0:c r="X21" s="0">
        <ns0:f>IF(T21=0,0,T21-IF(V21="PM",1,0))</ns0:f>
        <ns0:v>46575</ns0:v>
      </ns0:c>
      <ns0:c r="Y21" s="0">
        <ns0:f>IF(J21=0,0,J21+IF(U21="AM",1,0))</ns0:f>
        <ns0:v>46575</ns0:v>
      </ns0:c>
      <ns0:c r="Z21" s="0">
        <ns0:f>IF(T21=0,0,T21-IF(V21="AM",1,0))</ns0:f>
        <ns0:v>46575</ns0:v>
      </ns0:c>
      <ns0:c r="AA21" s="0">
        <ns0:f>IFERROR(IF(AND(J21&gt;0,'_Engine'!C21&gt;0,MID('_Engine'!W21,WEEKDAY(J21,2),1)="W",COUNTIF(Settings!$F$18:$F$67,J21)=0),1,0),0)</ns0:f>
        <ns0:v>1</ns0:v>
      </ns0:c>
      <ns0:c r="AB21" s="0">
        <ns0:f>IFERROR(IF(AND(T21&gt;0,'_Engine'!C21&gt;0,MID('_Engine'!W21,WEEKDAY(T21,2),1)="W",COUNTIF(Settings!$F$18:$F$67,T21)=0),1,0),0)</ns0:f>
        <ns0:v>1</ns0:v>
      </ns0:c>
      <ns0:c r="AC21" s="0">
        <ns0:f>IF(AND(J21&gt;0,T21&gt;0,W21&lt;=X21),1,0)</ns0:f>
        <ns0:v>1</ns0:v>
      </ns0:c>
      <ns0:c r="AD21" s="0">
        <ns0:f>IF(AND(J21&gt;0,T21&gt;0,Y21&lt;=Z21),1,0)</ns0:f>
        <ns0:v>1</ns0:v>
      </ns0:c>
    </ns0:row>
    <ns0:row r="22">
      <ns0:c r="A22" s="0">
        <ns0:f>IFERROR(IF(ISNUMBER(Bookings!B22),"",TRIM(Bookings!B22&amp;"")),"")</ns0:f>
      </ns0:c>
      <ns0:c r="B22" s="0">
        <ns0:f>IFERROR(SUBSTITUTE(SUBSTITUTE(A22,"/","."),"-","."),"")</ns0:f>
      </ns0:c>
      <ns0:c r="C22" s="0">
        <ns0:f>IFERROR(LEFT(B22,FIND(".",B22)-1),"")</ns0:f>
      </ns0:c>
      <ns0:c r="D22" s="0">
        <ns0:f>IFERROR(MID(B22,FIND(".",B22)+1,FIND(".",B22,FIND(".",B22)+1)-FIND(".",B22)-1),"")</ns0:f>
      </ns0:c>
      <ns0:c r="E22" s="0">
        <ns0:f>IFERROR(MID(B22,FIND(".",B22,FIND(".",B22)+1)+1,99),"")</ns0:f>
        <ns0:v>99</ns0:v>
      </ns0:c>
      <ns0:c r="F22" s="0">
        <ns0:f>IFERROR(IF(FIND(".",B22)=5,--C22,--E22),0)</ns0:f>
        <ns0:v>0</ns0:v>
      </ns0:c>
      <ns0:c r="G22" s="0">
        <ns0:f>IFERROR(--D22,0)</ns0:f>
        <ns0:v>0</ns0:v>
      </ns0:c>
      <ns0:c r="H22" s="0">
        <ns0:f>IFERROR(IF(FIND(".",B22)=5,--E22,--C22),0)</ns0:f>
        <ns0:v>0</ns0:v>
      </ns0:c>
      <ns0:c r="I22" s="0">
        <ns0:f>IFERROR(IF(AND(F22&gt;=2000,F22&lt;=2100,G22&gt;=1,G22&lt;=12,H22&gt;=1,H22&lt;=31),DATE(F22,G22,H22),0),0)</ns0:f>
        <ns0:v>0</ns0:v>
      </ns0:c>
      <ns0:c r="J22" s="0">
        <ns0:f>IFERROR(IF(ISNUMBER(Bookings!B22),IF(AND(Bookings!B22=INT(Bookings!B22),Bookings!B22&gt;=DATE(2000,1,1),Bookings!B22&lt;=DATE(2100,12,31)),Bookings!B22,0),IF(AND(A22&lt;&gt;"",LEN("x"&amp;B22)-LEN(SUBSTITUTE("x"&amp;B22,".",""))=2,OR(1&gt;LEN(B22),MID(B22,1,1)=".",ISNUMBER(FIND("x"&amp;MID(B22,1,1),"x0x1x2x3x4x5x6x7x8x9"))),OR(2&gt;LEN(B22),MID(B22,2,1)=".",ISNUMBER(FIND("x"&amp;MID(B22,2,1),"x0x1x2x3x4x5x6x7x8x9"))),OR(3&gt;LEN(B22),MID(B22,3,1)=".",ISNUMBER(FIND("x"&amp;MID(B22,3,1),"x0x1x2x3x4x5x6x7x8x9"))),OR(4&gt;LEN(B22),MID(B22,4,1)=".",ISNUMBER(FIND("x"&amp;MID(B22,4,1),"x0x1x2x3x4x5x6x7x8x9"))),OR(5&gt;LEN(B22),MID(B22,5,1)=".",ISNUMBER(FIND("x"&amp;MID(B22,5,1),"x0x1x2x3x4x5x6x7x8x9"))),OR(6&gt;LEN(B22),MID(B22,6,1)=".",ISNUMBER(FIND("x"&amp;MID(B22,6,1),"x0x1x2x3x4x5x6x7x8x9"))),OR(7&gt;LEN(B22),MID(B22,7,1)=".",ISNUMBER(FIND("x"&amp;MID(B22,7,1),"x0x1x2x3x4x5x6x7x8x9"))),OR(8&gt;LEN(B22),MID(B22,8,1)=".",ISNUMBER(FIND("x"&amp;MID(B22,8,1),"x0x1x2x3x4x5x6x7x8x9"))),OR(9&gt;LEN(B22),MID(B22,9,1)=".",ISNUMBER(FIND("x"&amp;MID(B22,9,1),"x0x1x2x3x4x5x6x7x8x9"))),OR(10&gt;LEN(B22),MID(B22,10,1)=".",ISNUMBER(FIND("x"&amp;MID(B22,10,1),"x0x1x2x3x4x5x6x7x8x9"))),OR(AND(FIND(".",B22)=5,LEN(B22)-FIND(".",B22,FIND(".",B22)+1)&gt;=1,LEN(B22)-FIND(".",B22,FIND(".",B22)+1)&lt;=2),AND(LEN(B22)-FIND(".",B22,FIND(".",B22)+1)=4,FIND(".",B22)&gt;=2,FIND(".",B22)&lt;=3)),FIND(".",B22,FIND(".",B22)+1)-FIND(".",B22)&gt;=2,FIND(".",B22,FIND(".",B22)+1)-FIND(".",B22)&lt;=3,F22&gt;=2000,F22&lt;=2100,YEAR(I22)=F22,MONTH(I22)=G22,DAY(I22)=H22),I22,0)),0)</ns0:f>
        <ns0:v>46576</ns0:v>
      </ns0:c>
      <ns0:c r="K22" s="0">
        <ns0:f>IFERROR(IF(ISNUMBER(Bookings!D22),"",TRIM(Bookings!D22&amp;"")),"")</ns0:f>
      </ns0:c>
      <ns0:c r="L22" s="0">
        <ns0:f>IFERROR(SUBSTITUTE(SUBSTITUTE(K22,"/","."),"-","."),"")</ns0:f>
      </ns0:c>
      <ns0:c r="M22" s="0">
        <ns0:f>IFERROR(LEFT(L22,FIND(".",L22)-1),"")</ns0:f>
      </ns0:c>
      <ns0:c r="N22" s="0">
        <ns0:f>IFERROR(MID(L22,FIND(".",L22)+1,FIND(".",L22,FIND(".",L22)+1)-FIND(".",L22)-1),"")</ns0:f>
      </ns0:c>
      <ns0:c r="O22" s="0">
        <ns0:f>IFERROR(MID(L22,FIND(".",L22,FIND(".",L22)+1)+1,99),"")</ns0:f>
        <ns0:v>99</ns0:v>
      </ns0:c>
      <ns0:c r="P22" s="0">
        <ns0:f>IFERROR(IF(FIND(".",L22)=5,--M22,--O22),0)</ns0:f>
        <ns0:v>0</ns0:v>
      </ns0:c>
      <ns0:c r="Q22" s="0">
        <ns0:f>IFERROR(--N22,0)</ns0:f>
        <ns0:v>0</ns0:v>
      </ns0:c>
      <ns0:c r="R22" s="0">
        <ns0:f>IFERROR(IF(FIND(".",L22)=5,--O22,--M22),0)</ns0:f>
        <ns0:v>0</ns0:v>
      </ns0:c>
      <ns0:c r="S22" s="0">
        <ns0:f>IFERROR(IF(AND(P22&gt;=2000,P22&lt;=2100,Q22&gt;=1,Q22&lt;=12,R22&gt;=1,R22&lt;=31),DATE(P22,Q22,R22),0),0)</ns0:f>
        <ns0:v>0</ns0:v>
      </ns0:c>
      <ns0:c r="T22" s="0">
        <ns0:f>IFERROR(IF(ISNUMBER(Bookings!D22),IF(AND(Bookings!D22=INT(Bookings!D22),Bookings!D22&gt;=DATE(2000,1,1),Bookings!D22&lt;=DATE(2100,12,31)),Bookings!D22,0),IF(AND(K22&lt;&gt;"",LEN("x"&amp;L22)-LEN(SUBSTITUTE("x"&amp;L22,".",""))=2,OR(1&gt;LEN(L22),MID(L22,1,1)=".",ISNUMBER(FIND("x"&amp;MID(L22,1,1),"x0x1x2x3x4x5x6x7x8x9"))),OR(2&gt;LEN(L22),MID(L22,2,1)=".",ISNUMBER(FIND("x"&amp;MID(L22,2,1),"x0x1x2x3x4x5x6x7x8x9"))),OR(3&gt;LEN(L22),MID(L22,3,1)=".",ISNUMBER(FIND("x"&amp;MID(L22,3,1),"x0x1x2x3x4x5x6x7x8x9"))),OR(4&gt;LEN(L22),MID(L22,4,1)=".",ISNUMBER(FIND("x"&amp;MID(L22,4,1),"x0x1x2x3x4x5x6x7x8x9"))),OR(5&gt;LEN(L22),MID(L22,5,1)=".",ISNUMBER(FIND("x"&amp;MID(L22,5,1),"x0x1x2x3x4x5x6x7x8x9"))),OR(6&gt;LEN(L22),MID(L22,6,1)=".",ISNUMBER(FIND("x"&amp;MID(L22,6,1),"x0x1x2x3x4x5x6x7x8x9"))),OR(7&gt;LEN(L22),MID(L22,7,1)=".",ISNUMBER(FIND("x"&amp;MID(L22,7,1),"x0x1x2x3x4x5x6x7x8x9"))),OR(8&gt;LEN(L22),MID(L22,8,1)=".",ISNUMBER(FIND("x"&amp;MID(L22,8,1),"x0x1x2x3x4x5x6x7x8x9"))),OR(9&gt;LEN(L22),MID(L22,9,1)=".",ISNUMBER(FIND("x"&amp;MID(L22,9,1),"x0x1x2x3x4x5x6x7x8x9"))),OR(10&gt;LEN(L22),MID(L22,10,1)=".",ISNUMBER(FIND("x"&amp;MID(L22,10,1),"x0x1x2x3x4x5x6x7x8x9"))),OR(AND(FIND(".",L22)=5,LEN(L22)-FIND(".",L22,FIND(".",L22)+1)&gt;=1,LEN(L22)-FIND(".",L22,FIND(".",L22)+1)&lt;=2),AND(LEN(L22)-FIND(".",L22,FIND(".",L22)+1)=4,FIND(".",L22)&gt;=2,FIND(".",L22)&lt;=3)),FIND(".",L22,FIND(".",L22)+1)-FIND(".",L22)&gt;=2,FIND(".",L22,FIND(".",L22)+1)-FIND(".",L22)&lt;=3,P22&gt;=2000,P22&lt;=2100,YEAR(S22)=P22,MONTH(S22)=Q22,DAY(S22)=R22),S22,0)),0)</ns0:f>
        <ns0:v>46576</ns0:v>
      </ns0:c>
      <ns0:c r="U22" s="0" t="str">
        <ns0:f>IF(Bookings!C22="","Full day",Bookings!C22)</ns0:f>
        <ns0:v>Full day</ns0:v>
      </ns0:c>
      <ns0:c r="V22" s="0" t="str">
        <ns0:f>IF(Bookings!E22="","Full day",Bookings!E22)</ns0:f>
        <ns0:v>Full day</ns0:v>
      </ns0:c>
      <ns0:c r="W22" s="0">
        <ns0:f>IF(J22=0,0,J22+IF(U22="PM",1,0))</ns0:f>
        <ns0:v>46576</ns0:v>
      </ns0:c>
      <ns0:c r="X22" s="0">
        <ns0:f>IF(T22=0,0,T22-IF(V22="PM",1,0))</ns0:f>
        <ns0:v>46576</ns0:v>
      </ns0:c>
      <ns0:c r="Y22" s="0">
        <ns0:f>IF(J22=0,0,J22+IF(U22="AM",1,0))</ns0:f>
        <ns0:v>46576</ns0:v>
      </ns0:c>
      <ns0:c r="Z22" s="0">
        <ns0:f>IF(T22=0,0,T22-IF(V22="AM",1,0))</ns0:f>
        <ns0:v>46576</ns0:v>
      </ns0:c>
      <ns0:c r="AA22" s="0">
        <ns0:f>IFERROR(IF(AND(J22&gt;0,'_Engine'!C22&gt;0,MID('_Engine'!W22,WEEKDAY(J22,2),1)="W",COUNTIF(Settings!$F$18:$F$67,J22)=0),1,0),0)</ns0:f>
        <ns0:v>1</ns0:v>
      </ns0:c>
      <ns0:c r="AB22" s="0">
        <ns0:f>IFERROR(IF(AND(T22&gt;0,'_Engine'!C22&gt;0,MID('_Engine'!W22,WEEKDAY(T22,2),1)="W",COUNTIF(Settings!$F$18:$F$67,T22)=0),1,0),0)</ns0:f>
        <ns0:v>1</ns0:v>
      </ns0:c>
      <ns0:c r="AC22" s="0">
        <ns0:f>IF(AND(J22&gt;0,T22&gt;0,W22&lt;=X22),1,0)</ns0:f>
        <ns0:v>1</ns0:v>
      </ns0:c>
      <ns0:c r="AD22" s="0">
        <ns0:f>IF(AND(J22&gt;0,T22&gt;0,Y22&lt;=Z22),1,0)</ns0:f>
        <ns0:v>1</ns0:v>
      </ns0:c>
    </ns0:row>
    <ns0:row r="23">
      <ns0:c r="A23" s="0">
        <ns0:f>IFERROR(IF(ISNUMBER(Bookings!B23),"",TRIM(Bookings!B23&amp;"")),"")</ns0:f>
      </ns0:c>
      <ns0:c r="B23" s="0">
        <ns0:f>IFERROR(SUBSTITUTE(SUBSTITUTE(A23,"/","."),"-","."),"")</ns0:f>
      </ns0:c>
      <ns0:c r="C23" s="0">
        <ns0:f>IFERROR(LEFT(B23,FIND(".",B23)-1),"")</ns0:f>
      </ns0:c>
      <ns0:c r="D23" s="0">
        <ns0:f>IFERROR(MID(B23,FIND(".",B23)+1,FIND(".",B23,FIND(".",B23)+1)-FIND(".",B23)-1),"")</ns0:f>
      </ns0:c>
      <ns0:c r="E23" s="0">
        <ns0:f>IFERROR(MID(B23,FIND(".",B23,FIND(".",B23)+1)+1,99),"")</ns0:f>
        <ns0:v>99</ns0:v>
      </ns0:c>
      <ns0:c r="F23" s="0">
        <ns0:f>IFERROR(IF(FIND(".",B23)=5,--C23,--E23),0)</ns0:f>
        <ns0:v>0</ns0:v>
      </ns0:c>
      <ns0:c r="G23" s="0">
        <ns0:f>IFERROR(--D23,0)</ns0:f>
        <ns0:v>0</ns0:v>
      </ns0:c>
      <ns0:c r="H23" s="0">
        <ns0:f>IFERROR(IF(FIND(".",B23)=5,--E23,--C23),0)</ns0:f>
        <ns0:v>0</ns0:v>
      </ns0:c>
      <ns0:c r="I23" s="0">
        <ns0:f>IFERROR(IF(AND(F23&gt;=2000,F23&lt;=2100,G23&gt;=1,G23&lt;=12,H23&gt;=1,H23&lt;=31),DATE(F23,G23,H23),0),0)</ns0:f>
        <ns0:v>0</ns0:v>
      </ns0:c>
      <ns0:c r="J23" s="0">
        <ns0:f>IFERROR(IF(ISNUMBER(Bookings!B23),IF(AND(Bookings!B23=INT(Bookings!B23),Bookings!B23&gt;=DATE(2000,1,1),Bookings!B23&lt;=DATE(2100,12,31)),Bookings!B23,0),IF(AND(A23&lt;&gt;"",LEN("x"&amp;B23)-LEN(SUBSTITUTE("x"&amp;B23,".",""))=2,OR(1&gt;LEN(B23),MID(B23,1,1)=".",ISNUMBER(FIND("x"&amp;MID(B23,1,1),"x0x1x2x3x4x5x6x7x8x9"))),OR(2&gt;LEN(B23),MID(B23,2,1)=".",ISNUMBER(FIND("x"&amp;MID(B23,2,1),"x0x1x2x3x4x5x6x7x8x9"))),OR(3&gt;LEN(B23),MID(B23,3,1)=".",ISNUMBER(FIND("x"&amp;MID(B23,3,1),"x0x1x2x3x4x5x6x7x8x9"))),OR(4&gt;LEN(B23),MID(B23,4,1)=".",ISNUMBER(FIND("x"&amp;MID(B23,4,1),"x0x1x2x3x4x5x6x7x8x9"))),OR(5&gt;LEN(B23),MID(B23,5,1)=".",ISNUMBER(FIND("x"&amp;MID(B23,5,1),"x0x1x2x3x4x5x6x7x8x9"))),OR(6&gt;LEN(B23),MID(B23,6,1)=".",ISNUMBER(FIND("x"&amp;MID(B23,6,1),"x0x1x2x3x4x5x6x7x8x9"))),OR(7&gt;LEN(B23),MID(B23,7,1)=".",ISNUMBER(FIND("x"&amp;MID(B23,7,1),"x0x1x2x3x4x5x6x7x8x9"))),OR(8&gt;LEN(B23),MID(B23,8,1)=".",ISNUMBER(FIND("x"&amp;MID(B23,8,1),"x0x1x2x3x4x5x6x7x8x9"))),OR(9&gt;LEN(B23),MID(B23,9,1)=".",ISNUMBER(FIND("x"&amp;MID(B23,9,1),"x0x1x2x3x4x5x6x7x8x9"))),OR(10&gt;LEN(B23),MID(B23,10,1)=".",ISNUMBER(FIND("x"&amp;MID(B23,10,1),"x0x1x2x3x4x5x6x7x8x9"))),OR(AND(FIND(".",B23)=5,LEN(B23)-FIND(".",B23,FIND(".",B23)+1)&gt;=1,LEN(B23)-FIND(".",B23,FIND(".",B23)+1)&lt;=2),AND(LEN(B23)-FIND(".",B23,FIND(".",B23)+1)=4,FIND(".",B23)&gt;=2,FIND(".",B23)&lt;=3)),FIND(".",B23,FIND(".",B23)+1)-FIND(".",B23)&gt;=2,FIND(".",B23,FIND(".",B23)+1)-FIND(".",B23)&lt;=3,F23&gt;=2000,F23&lt;=2100,YEAR(I23)=F23,MONTH(I23)=G23,DAY(I23)=H23),I23,0)),0)</ns0:f>
        <ns0:v>46582</ns0:v>
      </ns0:c>
      <ns0:c r="K23" s="0">
        <ns0:f>IFERROR(IF(ISNUMBER(Bookings!D23),"",TRIM(Bookings!D23&amp;"")),"")</ns0:f>
      </ns0:c>
      <ns0:c r="L23" s="0">
        <ns0:f>IFERROR(SUBSTITUTE(SUBSTITUTE(K23,"/","."),"-","."),"")</ns0:f>
      </ns0:c>
      <ns0:c r="M23" s="0">
        <ns0:f>IFERROR(LEFT(L23,FIND(".",L23)-1),"")</ns0:f>
      </ns0:c>
      <ns0:c r="N23" s="0">
        <ns0:f>IFERROR(MID(L23,FIND(".",L23)+1,FIND(".",L23,FIND(".",L23)+1)-FIND(".",L23)-1),"")</ns0:f>
      </ns0:c>
      <ns0:c r="O23" s="0">
        <ns0:f>IFERROR(MID(L23,FIND(".",L23,FIND(".",L23)+1)+1,99),"")</ns0:f>
        <ns0:v>99</ns0:v>
      </ns0:c>
      <ns0:c r="P23" s="0">
        <ns0:f>IFERROR(IF(FIND(".",L23)=5,--M23,--O23),0)</ns0:f>
        <ns0:v>0</ns0:v>
      </ns0:c>
      <ns0:c r="Q23" s="0">
        <ns0:f>IFERROR(--N23,0)</ns0:f>
        <ns0:v>0</ns0:v>
      </ns0:c>
      <ns0:c r="R23" s="0">
        <ns0:f>IFERROR(IF(FIND(".",L23)=5,--O23,--M23),0)</ns0:f>
        <ns0:v>0</ns0:v>
      </ns0:c>
      <ns0:c r="S23" s="0">
        <ns0:f>IFERROR(IF(AND(P23&gt;=2000,P23&lt;=2100,Q23&gt;=1,Q23&lt;=12,R23&gt;=1,R23&lt;=31),DATE(P23,Q23,R23),0),0)</ns0:f>
        <ns0:v>0</ns0:v>
      </ns0:c>
      <ns0:c r="T23" s="0">
        <ns0:f>IFERROR(IF(ISNUMBER(Bookings!D23),IF(AND(Bookings!D23=INT(Bookings!D23),Bookings!D23&gt;=DATE(2000,1,1),Bookings!D23&lt;=DATE(2100,12,31)),Bookings!D23,0),IF(AND(K23&lt;&gt;"",LEN("x"&amp;L23)-LEN(SUBSTITUTE("x"&amp;L23,".",""))=2,OR(1&gt;LEN(L23),MID(L23,1,1)=".",ISNUMBER(FIND("x"&amp;MID(L23,1,1),"x0x1x2x3x4x5x6x7x8x9"))),OR(2&gt;LEN(L23),MID(L23,2,1)=".",ISNUMBER(FIND("x"&amp;MID(L23,2,1),"x0x1x2x3x4x5x6x7x8x9"))),OR(3&gt;LEN(L23),MID(L23,3,1)=".",ISNUMBER(FIND("x"&amp;MID(L23,3,1),"x0x1x2x3x4x5x6x7x8x9"))),OR(4&gt;LEN(L23),MID(L23,4,1)=".",ISNUMBER(FIND("x"&amp;MID(L23,4,1),"x0x1x2x3x4x5x6x7x8x9"))),OR(5&gt;LEN(L23),MID(L23,5,1)=".",ISNUMBER(FIND("x"&amp;MID(L23,5,1),"x0x1x2x3x4x5x6x7x8x9"))),OR(6&gt;LEN(L23),MID(L23,6,1)=".",ISNUMBER(FIND("x"&amp;MID(L23,6,1),"x0x1x2x3x4x5x6x7x8x9"))),OR(7&gt;LEN(L23),MID(L23,7,1)=".",ISNUMBER(FIND("x"&amp;MID(L23,7,1),"x0x1x2x3x4x5x6x7x8x9"))),OR(8&gt;LEN(L23),MID(L23,8,1)=".",ISNUMBER(FIND("x"&amp;MID(L23,8,1),"x0x1x2x3x4x5x6x7x8x9"))),OR(9&gt;LEN(L23),MID(L23,9,1)=".",ISNUMBER(FIND("x"&amp;MID(L23,9,1),"x0x1x2x3x4x5x6x7x8x9"))),OR(10&gt;LEN(L23),MID(L23,10,1)=".",ISNUMBER(FIND("x"&amp;MID(L23,10,1),"x0x1x2x3x4x5x6x7x8x9"))),OR(AND(FIND(".",L23)=5,LEN(L23)-FIND(".",L23,FIND(".",L23)+1)&gt;=1,LEN(L23)-FIND(".",L23,FIND(".",L23)+1)&lt;=2),AND(LEN(L23)-FIND(".",L23,FIND(".",L23)+1)=4,FIND(".",L23)&gt;=2,FIND(".",L23)&lt;=3)),FIND(".",L23,FIND(".",L23)+1)-FIND(".",L23)&gt;=2,FIND(".",L23,FIND(".",L23)+1)-FIND(".",L23)&lt;=3,P23&gt;=2000,P23&lt;=2100,YEAR(S23)=P23,MONTH(S23)=Q23,DAY(S23)=R23),S23,0)),0)</ns0:f>
        <ns0:v>46582</ns0:v>
      </ns0:c>
      <ns0:c r="U23" s="0" t="str">
        <ns0:f>IF(Bookings!C23="","Full day",Bookings!C23)</ns0:f>
        <ns0:v>Full day</ns0:v>
      </ns0:c>
      <ns0:c r="V23" s="0" t="str">
        <ns0:f>IF(Bookings!E23="","Full day",Bookings!E23)</ns0:f>
        <ns0:v>Full day</ns0:v>
      </ns0:c>
      <ns0:c r="W23" s="0">
        <ns0:f>IF(J23=0,0,J23+IF(U23="PM",1,0))</ns0:f>
        <ns0:v>46582</ns0:v>
      </ns0:c>
      <ns0:c r="X23" s="0">
        <ns0:f>IF(T23=0,0,T23-IF(V23="PM",1,0))</ns0:f>
        <ns0:v>46582</ns0:v>
      </ns0:c>
      <ns0:c r="Y23" s="0">
        <ns0:f>IF(J23=0,0,J23+IF(U23="AM",1,0))</ns0:f>
        <ns0:v>46582</ns0:v>
      </ns0:c>
      <ns0:c r="Z23" s="0">
        <ns0:f>IF(T23=0,0,T23-IF(V23="AM",1,0))</ns0:f>
        <ns0:v>46582</ns0:v>
      </ns0:c>
      <ns0:c r="AA23" s="0">
        <ns0:f>IFERROR(IF(AND(J23&gt;0,'_Engine'!C23&gt;0,MID('_Engine'!W23,WEEKDAY(J23,2),1)="W",COUNTIF(Settings!$F$18:$F$67,J23)=0),1,0),0)</ns0:f>
        <ns0:v>1</ns0:v>
      </ns0:c>
      <ns0:c r="AB23" s="0">
        <ns0:f>IFERROR(IF(AND(T23&gt;0,'_Engine'!C23&gt;0,MID('_Engine'!W23,WEEKDAY(T23,2),1)="W",COUNTIF(Settings!$F$18:$F$67,T23)=0),1,0),0)</ns0:f>
        <ns0:v>1</ns0:v>
      </ns0:c>
      <ns0:c r="AC23" s="0">
        <ns0:f>IF(AND(J23&gt;0,T23&gt;0,W23&lt;=X23),1,0)</ns0:f>
        <ns0:v>1</ns0:v>
      </ns0:c>
      <ns0:c r="AD23" s="0">
        <ns0:f>IF(AND(J23&gt;0,T23&gt;0,Y23&lt;=Z23),1,0)</ns0:f>
        <ns0:v>1</ns0:v>
      </ns0:c>
    </ns0:row>
    <ns0:row r="24">
      <ns0:c r="A24" s="0">
        <ns0:f>IFERROR(IF(ISNUMBER(Bookings!B24),"",TRIM(Bookings!B24&amp;"")),"")</ns0:f>
      </ns0:c>
      <ns0:c r="B24" s="0">
        <ns0:f>IFERROR(SUBSTITUTE(SUBSTITUTE(A24,"/","."),"-","."),"")</ns0:f>
      </ns0:c>
      <ns0:c r="C24" s="0">
        <ns0:f>IFERROR(LEFT(B24,FIND(".",B24)-1),"")</ns0:f>
      </ns0:c>
      <ns0:c r="D24" s="0">
        <ns0:f>IFERROR(MID(B24,FIND(".",B24)+1,FIND(".",B24,FIND(".",B24)+1)-FIND(".",B24)-1),"")</ns0:f>
      </ns0:c>
      <ns0:c r="E24" s="0">
        <ns0:f>IFERROR(MID(B24,FIND(".",B24,FIND(".",B24)+1)+1,99),"")</ns0:f>
        <ns0:v>99</ns0:v>
      </ns0:c>
      <ns0:c r="F24" s="0">
        <ns0:f>IFERROR(IF(FIND(".",B24)=5,--C24,--E24),0)</ns0:f>
        <ns0:v>0</ns0:v>
      </ns0:c>
      <ns0:c r="G24" s="0">
        <ns0:f>IFERROR(--D24,0)</ns0:f>
        <ns0:v>0</ns0:v>
      </ns0:c>
      <ns0:c r="H24" s="0">
        <ns0:f>IFERROR(IF(FIND(".",B24)=5,--E24,--C24),0)</ns0:f>
        <ns0:v>0</ns0:v>
      </ns0:c>
      <ns0:c r="I24" s="0">
        <ns0:f>IFERROR(IF(AND(F24&gt;=2000,F24&lt;=2100,G24&gt;=1,G24&lt;=12,H24&gt;=1,H24&lt;=31),DATE(F24,G24,H24),0),0)</ns0:f>
        <ns0:v>0</ns0:v>
      </ns0:c>
      <ns0:c r="J24" s="0">
        <ns0:f>IFERROR(IF(ISNUMBER(Bookings!B24),IF(AND(Bookings!B24=INT(Bookings!B24),Bookings!B24&gt;=DATE(2000,1,1),Bookings!B24&lt;=DATE(2100,12,31)),Bookings!B24,0),IF(AND(A24&lt;&gt;"",LEN("x"&amp;B24)-LEN(SUBSTITUTE("x"&amp;B24,".",""))=2,OR(1&gt;LEN(B24),MID(B24,1,1)=".",ISNUMBER(FIND("x"&amp;MID(B24,1,1),"x0x1x2x3x4x5x6x7x8x9"))),OR(2&gt;LEN(B24),MID(B24,2,1)=".",ISNUMBER(FIND("x"&amp;MID(B24,2,1),"x0x1x2x3x4x5x6x7x8x9"))),OR(3&gt;LEN(B24),MID(B24,3,1)=".",ISNUMBER(FIND("x"&amp;MID(B24,3,1),"x0x1x2x3x4x5x6x7x8x9"))),OR(4&gt;LEN(B24),MID(B24,4,1)=".",ISNUMBER(FIND("x"&amp;MID(B24,4,1),"x0x1x2x3x4x5x6x7x8x9"))),OR(5&gt;LEN(B24),MID(B24,5,1)=".",ISNUMBER(FIND("x"&amp;MID(B24,5,1),"x0x1x2x3x4x5x6x7x8x9"))),OR(6&gt;LEN(B24),MID(B24,6,1)=".",ISNUMBER(FIND("x"&amp;MID(B24,6,1),"x0x1x2x3x4x5x6x7x8x9"))),OR(7&gt;LEN(B24),MID(B24,7,1)=".",ISNUMBER(FIND("x"&amp;MID(B24,7,1),"x0x1x2x3x4x5x6x7x8x9"))),OR(8&gt;LEN(B24),MID(B24,8,1)=".",ISNUMBER(FIND("x"&amp;MID(B24,8,1),"x0x1x2x3x4x5x6x7x8x9"))),OR(9&gt;LEN(B24),MID(B24,9,1)=".",ISNUMBER(FIND("x"&amp;MID(B24,9,1),"x0x1x2x3x4x5x6x7x8x9"))),OR(10&gt;LEN(B24),MID(B24,10,1)=".",ISNUMBER(FIND("x"&amp;MID(B24,10,1),"x0x1x2x3x4x5x6x7x8x9"))),OR(AND(FIND(".",B24)=5,LEN(B24)-FIND(".",B24,FIND(".",B24)+1)&gt;=1,LEN(B24)-FIND(".",B24,FIND(".",B24)+1)&lt;=2),AND(LEN(B24)-FIND(".",B24,FIND(".",B24)+1)=4,FIND(".",B24)&gt;=2,FIND(".",B24)&lt;=3)),FIND(".",B24,FIND(".",B24)+1)-FIND(".",B24)&gt;=2,FIND(".",B24,FIND(".",B24)+1)-FIND(".",B24)&lt;=3,F24&gt;=2000,F24&lt;=2100,YEAR(I24)=F24,MONTH(I24)=G24,DAY(I24)=H24),I24,0)),0)</ns0:f>
        <ns0:v>46588</ns0:v>
      </ns0:c>
      <ns0:c r="K24" s="0">
        <ns0:f>IFERROR(IF(ISNUMBER(Bookings!D24),"",TRIM(Bookings!D24&amp;"")),"")</ns0:f>
      </ns0:c>
      <ns0:c r="L24" s="0">
        <ns0:f>IFERROR(SUBSTITUTE(SUBSTITUTE(K24,"/","."),"-","."),"")</ns0:f>
      </ns0:c>
      <ns0:c r="M24" s="0">
        <ns0:f>IFERROR(LEFT(L24,FIND(".",L24)-1),"")</ns0:f>
      </ns0:c>
      <ns0:c r="N24" s="0">
        <ns0:f>IFERROR(MID(L24,FIND(".",L24)+1,FIND(".",L24,FIND(".",L24)+1)-FIND(".",L24)-1),"")</ns0:f>
      </ns0:c>
      <ns0:c r="O24" s="0">
        <ns0:f>IFERROR(MID(L24,FIND(".",L24,FIND(".",L24)+1)+1,99),"")</ns0:f>
        <ns0:v>99</ns0:v>
      </ns0:c>
      <ns0:c r="P24" s="0">
        <ns0:f>IFERROR(IF(FIND(".",L24)=5,--M24,--O24),0)</ns0:f>
        <ns0:v>0</ns0:v>
      </ns0:c>
      <ns0:c r="Q24" s="0">
        <ns0:f>IFERROR(--N24,0)</ns0:f>
        <ns0:v>0</ns0:v>
      </ns0:c>
      <ns0:c r="R24" s="0">
        <ns0:f>IFERROR(IF(FIND(".",L24)=5,--O24,--M24),0)</ns0:f>
        <ns0:v>0</ns0:v>
      </ns0:c>
      <ns0:c r="S24" s="0">
        <ns0:f>IFERROR(IF(AND(P24&gt;=2000,P24&lt;=2100,Q24&gt;=1,Q24&lt;=12,R24&gt;=1,R24&lt;=31),DATE(P24,Q24,R24),0),0)</ns0:f>
        <ns0:v>0</ns0:v>
      </ns0:c>
      <ns0:c r="T24" s="0">
        <ns0:f>IFERROR(IF(ISNUMBER(Bookings!D24),IF(AND(Bookings!D24=INT(Bookings!D24),Bookings!D24&gt;=DATE(2000,1,1),Bookings!D24&lt;=DATE(2100,12,31)),Bookings!D24,0),IF(AND(K24&lt;&gt;"",LEN("x"&amp;L24)-LEN(SUBSTITUTE("x"&amp;L24,".",""))=2,OR(1&gt;LEN(L24),MID(L24,1,1)=".",ISNUMBER(FIND("x"&amp;MID(L24,1,1),"x0x1x2x3x4x5x6x7x8x9"))),OR(2&gt;LEN(L24),MID(L24,2,1)=".",ISNUMBER(FIND("x"&amp;MID(L24,2,1),"x0x1x2x3x4x5x6x7x8x9"))),OR(3&gt;LEN(L24),MID(L24,3,1)=".",ISNUMBER(FIND("x"&amp;MID(L24,3,1),"x0x1x2x3x4x5x6x7x8x9"))),OR(4&gt;LEN(L24),MID(L24,4,1)=".",ISNUMBER(FIND("x"&amp;MID(L24,4,1),"x0x1x2x3x4x5x6x7x8x9"))),OR(5&gt;LEN(L24),MID(L24,5,1)=".",ISNUMBER(FIND("x"&amp;MID(L24,5,1),"x0x1x2x3x4x5x6x7x8x9"))),OR(6&gt;LEN(L24),MID(L24,6,1)=".",ISNUMBER(FIND("x"&amp;MID(L24,6,1),"x0x1x2x3x4x5x6x7x8x9"))),OR(7&gt;LEN(L24),MID(L24,7,1)=".",ISNUMBER(FIND("x"&amp;MID(L24,7,1),"x0x1x2x3x4x5x6x7x8x9"))),OR(8&gt;LEN(L24),MID(L24,8,1)=".",ISNUMBER(FIND("x"&amp;MID(L24,8,1),"x0x1x2x3x4x5x6x7x8x9"))),OR(9&gt;LEN(L24),MID(L24,9,1)=".",ISNUMBER(FIND("x"&amp;MID(L24,9,1),"x0x1x2x3x4x5x6x7x8x9"))),OR(10&gt;LEN(L24),MID(L24,10,1)=".",ISNUMBER(FIND("x"&amp;MID(L24,10,1),"x0x1x2x3x4x5x6x7x8x9"))),OR(AND(FIND(".",L24)=5,LEN(L24)-FIND(".",L24,FIND(".",L24)+1)&gt;=1,LEN(L24)-FIND(".",L24,FIND(".",L24)+1)&lt;=2),AND(LEN(L24)-FIND(".",L24,FIND(".",L24)+1)=4,FIND(".",L24)&gt;=2,FIND(".",L24)&lt;=3)),FIND(".",L24,FIND(".",L24)+1)-FIND(".",L24)&gt;=2,FIND(".",L24,FIND(".",L24)+1)-FIND(".",L24)&lt;=3,P24&gt;=2000,P24&lt;=2100,YEAR(S24)=P24,MONTH(S24)=Q24,DAY(S24)=R24),S24,0)),0)</ns0:f>
        <ns0:v>46588</ns0:v>
      </ns0:c>
      <ns0:c r="U24" s="0" t="str">
        <ns0:f>IF(Bookings!C24="","Full day",Bookings!C24)</ns0:f>
        <ns0:v>Full day</ns0:v>
      </ns0:c>
      <ns0:c r="V24" s="0" t="str">
        <ns0:f>IF(Bookings!E24="","Full day",Bookings!E24)</ns0:f>
        <ns0:v>Full day</ns0:v>
      </ns0:c>
      <ns0:c r="W24" s="0">
        <ns0:f>IF(J24=0,0,J24+IF(U24="PM",1,0))</ns0:f>
        <ns0:v>46588</ns0:v>
      </ns0:c>
      <ns0:c r="X24" s="0">
        <ns0:f>IF(T24=0,0,T24-IF(V24="PM",1,0))</ns0:f>
        <ns0:v>46588</ns0:v>
      </ns0:c>
      <ns0:c r="Y24" s="0">
        <ns0:f>IF(J24=0,0,J24+IF(U24="AM",1,0))</ns0:f>
        <ns0:v>46588</ns0:v>
      </ns0:c>
      <ns0:c r="Z24" s="0">
        <ns0:f>IF(T24=0,0,T24-IF(V24="AM",1,0))</ns0:f>
        <ns0:v>46588</ns0:v>
      </ns0:c>
      <ns0:c r="AA24" s="0">
        <ns0:f>IFERROR(IF(AND(J24&gt;0,'_Engine'!C24&gt;0,MID('_Engine'!W24,WEEKDAY(J24,2),1)="W",COUNTIF(Settings!$F$18:$F$67,J24)=0),1,0),0)</ns0:f>
        <ns0:v>1</ns0:v>
      </ns0:c>
      <ns0:c r="AB24" s="0">
        <ns0:f>IFERROR(IF(AND(T24&gt;0,'_Engine'!C24&gt;0,MID('_Engine'!W24,WEEKDAY(T24,2),1)="W",COUNTIF(Settings!$F$18:$F$67,T24)=0),1,0),0)</ns0:f>
        <ns0:v>1</ns0:v>
      </ns0:c>
      <ns0:c r="AC24" s="0">
        <ns0:f>IF(AND(J24&gt;0,T24&gt;0,W24&lt;=X24),1,0)</ns0:f>
        <ns0:v>1</ns0:v>
      </ns0:c>
      <ns0:c r="AD24" s="0">
        <ns0:f>IF(AND(J24&gt;0,T24&gt;0,Y24&lt;=Z24),1,0)</ns0:f>
        <ns0:v>1</ns0:v>
      </ns0:c>
    </ns0:row>
    <ns0:row r="25">
      <ns0:c r="A25" s="0">
        <ns0:f>IFERROR(IF(ISNUMBER(Bookings!B25),"",TRIM(Bookings!B25&amp;"")),"")</ns0:f>
      </ns0:c>
      <ns0:c r="B25" s="0">
        <ns0:f>IFERROR(SUBSTITUTE(SUBSTITUTE(A25,"/","."),"-","."),"")</ns0:f>
      </ns0:c>
      <ns0:c r="C25" s="0">
        <ns0:f>IFERROR(LEFT(B25,FIND(".",B25)-1),"")</ns0:f>
      </ns0:c>
      <ns0:c r="D25" s="0">
        <ns0:f>IFERROR(MID(B25,FIND(".",B25)+1,FIND(".",B25,FIND(".",B25)+1)-FIND(".",B25)-1),"")</ns0:f>
      </ns0:c>
      <ns0:c r="E25" s="0">
        <ns0:f>IFERROR(MID(B25,FIND(".",B25,FIND(".",B25)+1)+1,99),"")</ns0:f>
        <ns0:v>99</ns0:v>
      </ns0:c>
      <ns0:c r="F25" s="0">
        <ns0:f>IFERROR(IF(FIND(".",B25)=5,--C25,--E25),0)</ns0:f>
        <ns0:v>0</ns0:v>
      </ns0:c>
      <ns0:c r="G25" s="0">
        <ns0:f>IFERROR(--D25,0)</ns0:f>
        <ns0:v>0</ns0:v>
      </ns0:c>
      <ns0:c r="H25" s="0">
        <ns0:f>IFERROR(IF(FIND(".",B25)=5,--E25,--C25),0)</ns0:f>
        <ns0:v>0</ns0:v>
      </ns0:c>
      <ns0:c r="I25" s="0">
        <ns0:f>IFERROR(IF(AND(F25&gt;=2000,F25&lt;=2100,G25&gt;=1,G25&lt;=12,H25&gt;=1,H25&lt;=31),DATE(F25,G25,H25),0),0)</ns0:f>
        <ns0:v>0</ns0:v>
      </ns0:c>
      <ns0:c r="J25" s="0">
        <ns0:f>IFERROR(IF(ISNUMBER(Bookings!B25),IF(AND(Bookings!B25=INT(Bookings!B25),Bookings!B25&gt;=DATE(2000,1,1),Bookings!B25&lt;=DATE(2100,12,31)),Bookings!B25,0),IF(AND(A25&lt;&gt;"",LEN("x"&amp;B25)-LEN(SUBSTITUTE("x"&amp;B25,".",""))=2,OR(1&gt;LEN(B25),MID(B25,1,1)=".",ISNUMBER(FIND("x"&amp;MID(B25,1,1),"x0x1x2x3x4x5x6x7x8x9"))),OR(2&gt;LEN(B25),MID(B25,2,1)=".",ISNUMBER(FIND("x"&amp;MID(B25,2,1),"x0x1x2x3x4x5x6x7x8x9"))),OR(3&gt;LEN(B25),MID(B25,3,1)=".",ISNUMBER(FIND("x"&amp;MID(B25,3,1),"x0x1x2x3x4x5x6x7x8x9"))),OR(4&gt;LEN(B25),MID(B25,4,1)=".",ISNUMBER(FIND("x"&amp;MID(B25,4,1),"x0x1x2x3x4x5x6x7x8x9"))),OR(5&gt;LEN(B25),MID(B25,5,1)=".",ISNUMBER(FIND("x"&amp;MID(B25,5,1),"x0x1x2x3x4x5x6x7x8x9"))),OR(6&gt;LEN(B25),MID(B25,6,1)=".",ISNUMBER(FIND("x"&amp;MID(B25,6,1),"x0x1x2x3x4x5x6x7x8x9"))),OR(7&gt;LEN(B25),MID(B25,7,1)=".",ISNUMBER(FIND("x"&amp;MID(B25,7,1),"x0x1x2x3x4x5x6x7x8x9"))),OR(8&gt;LEN(B25),MID(B25,8,1)=".",ISNUMBER(FIND("x"&amp;MID(B25,8,1),"x0x1x2x3x4x5x6x7x8x9"))),OR(9&gt;LEN(B25),MID(B25,9,1)=".",ISNUMBER(FIND("x"&amp;MID(B25,9,1),"x0x1x2x3x4x5x6x7x8x9"))),OR(10&gt;LEN(B25),MID(B25,10,1)=".",ISNUMBER(FIND("x"&amp;MID(B25,10,1),"x0x1x2x3x4x5x6x7x8x9"))),OR(AND(FIND(".",B25)=5,LEN(B25)-FIND(".",B25,FIND(".",B25)+1)&gt;=1,LEN(B25)-FIND(".",B25,FIND(".",B25)+1)&lt;=2),AND(LEN(B25)-FIND(".",B25,FIND(".",B25)+1)=4,FIND(".",B25)&gt;=2,FIND(".",B25)&lt;=3)),FIND(".",B25,FIND(".",B25)+1)-FIND(".",B25)&gt;=2,FIND(".",B25,FIND(".",B25)+1)-FIND(".",B25)&lt;=3,F25&gt;=2000,F25&lt;=2100,YEAR(I25)=F25,MONTH(I25)=G25,DAY(I25)=H25),I25,0)),0)</ns0:f>
        <ns0:v>46597</ns0:v>
      </ns0:c>
      <ns0:c r="K25" s="0">
        <ns0:f>IFERROR(IF(ISNUMBER(Bookings!D25),"",TRIM(Bookings!D25&amp;"")),"")</ns0:f>
      </ns0:c>
      <ns0:c r="L25" s="0">
        <ns0:f>IFERROR(SUBSTITUTE(SUBSTITUTE(K25,"/","."),"-","."),"")</ns0:f>
      </ns0:c>
      <ns0:c r="M25" s="0">
        <ns0:f>IFERROR(LEFT(L25,FIND(".",L25)-1),"")</ns0:f>
      </ns0:c>
      <ns0:c r="N25" s="0">
        <ns0:f>IFERROR(MID(L25,FIND(".",L25)+1,FIND(".",L25,FIND(".",L25)+1)-FIND(".",L25)-1),"")</ns0:f>
      </ns0:c>
      <ns0:c r="O25" s="0">
        <ns0:f>IFERROR(MID(L25,FIND(".",L25,FIND(".",L25)+1)+1,99),"")</ns0:f>
        <ns0:v>99</ns0:v>
      </ns0:c>
      <ns0:c r="P25" s="0">
        <ns0:f>IFERROR(IF(FIND(".",L25)=5,--M25,--O25),0)</ns0:f>
        <ns0:v>0</ns0:v>
      </ns0:c>
      <ns0:c r="Q25" s="0">
        <ns0:f>IFERROR(--N25,0)</ns0:f>
        <ns0:v>0</ns0:v>
      </ns0:c>
      <ns0:c r="R25" s="0">
        <ns0:f>IFERROR(IF(FIND(".",L25)=5,--O25,--M25),0)</ns0:f>
        <ns0:v>0</ns0:v>
      </ns0:c>
      <ns0:c r="S25" s="0">
        <ns0:f>IFERROR(IF(AND(P25&gt;=2000,P25&lt;=2100,Q25&gt;=1,Q25&lt;=12,R25&gt;=1,R25&lt;=31),DATE(P25,Q25,R25),0),0)</ns0:f>
        <ns0:v>0</ns0:v>
      </ns0:c>
      <ns0:c r="T25" s="0">
        <ns0:f>IFERROR(IF(ISNUMBER(Bookings!D25),IF(AND(Bookings!D25=INT(Bookings!D25),Bookings!D25&gt;=DATE(2000,1,1),Bookings!D25&lt;=DATE(2100,12,31)),Bookings!D25,0),IF(AND(K25&lt;&gt;"",LEN("x"&amp;L25)-LEN(SUBSTITUTE("x"&amp;L25,".",""))=2,OR(1&gt;LEN(L25),MID(L25,1,1)=".",ISNUMBER(FIND("x"&amp;MID(L25,1,1),"x0x1x2x3x4x5x6x7x8x9"))),OR(2&gt;LEN(L25),MID(L25,2,1)=".",ISNUMBER(FIND("x"&amp;MID(L25,2,1),"x0x1x2x3x4x5x6x7x8x9"))),OR(3&gt;LEN(L25),MID(L25,3,1)=".",ISNUMBER(FIND("x"&amp;MID(L25,3,1),"x0x1x2x3x4x5x6x7x8x9"))),OR(4&gt;LEN(L25),MID(L25,4,1)=".",ISNUMBER(FIND("x"&amp;MID(L25,4,1),"x0x1x2x3x4x5x6x7x8x9"))),OR(5&gt;LEN(L25),MID(L25,5,1)=".",ISNUMBER(FIND("x"&amp;MID(L25,5,1),"x0x1x2x3x4x5x6x7x8x9"))),OR(6&gt;LEN(L25),MID(L25,6,1)=".",ISNUMBER(FIND("x"&amp;MID(L25,6,1),"x0x1x2x3x4x5x6x7x8x9"))),OR(7&gt;LEN(L25),MID(L25,7,1)=".",ISNUMBER(FIND("x"&amp;MID(L25,7,1),"x0x1x2x3x4x5x6x7x8x9"))),OR(8&gt;LEN(L25),MID(L25,8,1)=".",ISNUMBER(FIND("x"&amp;MID(L25,8,1),"x0x1x2x3x4x5x6x7x8x9"))),OR(9&gt;LEN(L25),MID(L25,9,1)=".",ISNUMBER(FIND("x"&amp;MID(L25,9,1),"x0x1x2x3x4x5x6x7x8x9"))),OR(10&gt;LEN(L25),MID(L25,10,1)=".",ISNUMBER(FIND("x"&amp;MID(L25,10,1),"x0x1x2x3x4x5x6x7x8x9"))),OR(AND(FIND(".",L25)=5,LEN(L25)-FIND(".",L25,FIND(".",L25)+1)&gt;=1,LEN(L25)-FIND(".",L25,FIND(".",L25)+1)&lt;=2),AND(LEN(L25)-FIND(".",L25,FIND(".",L25)+1)=4,FIND(".",L25)&gt;=2,FIND(".",L25)&lt;=3)),FIND(".",L25,FIND(".",L25)+1)-FIND(".",L25)&gt;=2,FIND(".",L25,FIND(".",L25)+1)-FIND(".",L25)&lt;=3,P25&gt;=2000,P25&lt;=2100,YEAR(S25)=P25,MONTH(S25)=Q25,DAY(S25)=R25),S25,0)),0)</ns0:f>
        <ns0:v>46597</ns0:v>
      </ns0:c>
      <ns0:c r="U25" s="0" t="str">
        <ns0:f>IF(Bookings!C25="","Full day",Bookings!C25)</ns0:f>
        <ns0:v>AM</ns0:v>
      </ns0:c>
      <ns0:c r="V25" s="0" t="str">
        <ns0:f>IF(Bookings!E25="","Full day",Bookings!E25)</ns0:f>
        <ns0:v>Full day</ns0:v>
      </ns0:c>
      <ns0:c r="W25" s="0">
        <ns0:f>IF(J25=0,0,J25+IF(U25="PM",1,0))</ns0:f>
        <ns0:v>46597</ns0:v>
      </ns0:c>
      <ns0:c r="X25" s="0">
        <ns0:f>IF(T25=0,0,T25-IF(V25="PM",1,0))</ns0:f>
        <ns0:v>46597</ns0:v>
      </ns0:c>
      <ns0:c r="Y25" s="0">
        <ns0:f>IF(J25=0,0,J25+IF(U25="AM",1,0))</ns0:f>
        <ns0:v>46598</ns0:v>
      </ns0:c>
      <ns0:c r="Z25" s="0">
        <ns0:f>IF(T25=0,0,T25-IF(V25="AM",1,0))</ns0:f>
        <ns0:v>46597</ns0:v>
      </ns0:c>
      <ns0:c r="AA25" s="0">
        <ns0:f>IFERROR(IF(AND(J25&gt;0,'_Engine'!C25&gt;0,MID('_Engine'!W25,WEEKDAY(J25,2),1)="W",COUNTIF(Settings!$F$18:$F$67,J25)=0),1,0),0)</ns0:f>
        <ns0:v>1</ns0:v>
      </ns0:c>
      <ns0:c r="AB25" s="0">
        <ns0:f>IFERROR(IF(AND(T25&gt;0,'_Engine'!C25&gt;0,MID('_Engine'!W25,WEEKDAY(T25,2),1)="W",COUNTIF(Settings!$F$18:$F$67,T25)=0),1,0),0)</ns0:f>
        <ns0:v>1</ns0:v>
      </ns0:c>
      <ns0:c r="AC25" s="0">
        <ns0:f>IF(AND(J25&gt;0,T25&gt;0,W25&lt;=X25),1,0)</ns0:f>
        <ns0:v>1</ns0:v>
      </ns0:c>
      <ns0:c r="AD25" s="0">
        <ns0:f>IF(AND(J25&gt;0,T25&gt;0,Y25&lt;=Z25),1,0)</ns0:f>
        <ns0:v>0</ns0:v>
      </ns0:c>
    </ns0:row>
    <ns0:row r="26">
      <ns0:c r="A26" s="0">
        <ns0:f>IFERROR(IF(ISNUMBER(Bookings!B26),"",TRIM(Bookings!B26&amp;"")),"")</ns0:f>
      </ns0:c>
      <ns0:c r="B26" s="0">
        <ns0:f>IFERROR(SUBSTITUTE(SUBSTITUTE(A26,"/","."),"-","."),"")</ns0:f>
      </ns0:c>
      <ns0:c r="C26" s="0">
        <ns0:f>IFERROR(LEFT(B26,FIND(".",B26)-1),"")</ns0:f>
      </ns0:c>
      <ns0:c r="D26" s="0">
        <ns0:f>IFERROR(MID(B26,FIND(".",B26)+1,FIND(".",B26,FIND(".",B26)+1)-FIND(".",B26)-1),"")</ns0:f>
      </ns0:c>
      <ns0:c r="E26" s="0">
        <ns0:f>IFERROR(MID(B26,FIND(".",B26,FIND(".",B26)+1)+1,99),"")</ns0:f>
        <ns0:v>99</ns0:v>
      </ns0:c>
      <ns0:c r="F26" s="0">
        <ns0:f>IFERROR(IF(FIND(".",B26)=5,--C26,--E26),0)</ns0:f>
        <ns0:v>0</ns0:v>
      </ns0:c>
      <ns0:c r="G26" s="0">
        <ns0:f>IFERROR(--D26,0)</ns0:f>
        <ns0:v>0</ns0:v>
      </ns0:c>
      <ns0:c r="H26" s="0">
        <ns0:f>IFERROR(IF(FIND(".",B26)=5,--E26,--C26),0)</ns0:f>
        <ns0:v>0</ns0:v>
      </ns0:c>
      <ns0:c r="I26" s="0">
        <ns0:f>IFERROR(IF(AND(F26&gt;=2000,F26&lt;=2100,G26&gt;=1,G26&lt;=12,H26&gt;=1,H26&lt;=31),DATE(F26,G26,H26),0),0)</ns0:f>
        <ns0:v>0</ns0:v>
      </ns0:c>
      <ns0:c r="J26" s="0">
        <ns0:f>IFERROR(IF(ISNUMBER(Bookings!B26),IF(AND(Bookings!B26=INT(Bookings!B26),Bookings!B26&gt;=DATE(2000,1,1),Bookings!B26&lt;=DATE(2100,12,31)),Bookings!B26,0),IF(AND(A26&lt;&gt;"",LEN("x"&amp;B26)-LEN(SUBSTITUTE("x"&amp;B26,".",""))=2,OR(1&gt;LEN(B26),MID(B26,1,1)=".",ISNUMBER(FIND("x"&amp;MID(B26,1,1),"x0x1x2x3x4x5x6x7x8x9"))),OR(2&gt;LEN(B26),MID(B26,2,1)=".",ISNUMBER(FIND("x"&amp;MID(B26,2,1),"x0x1x2x3x4x5x6x7x8x9"))),OR(3&gt;LEN(B26),MID(B26,3,1)=".",ISNUMBER(FIND("x"&amp;MID(B26,3,1),"x0x1x2x3x4x5x6x7x8x9"))),OR(4&gt;LEN(B26),MID(B26,4,1)=".",ISNUMBER(FIND("x"&amp;MID(B26,4,1),"x0x1x2x3x4x5x6x7x8x9"))),OR(5&gt;LEN(B26),MID(B26,5,1)=".",ISNUMBER(FIND("x"&amp;MID(B26,5,1),"x0x1x2x3x4x5x6x7x8x9"))),OR(6&gt;LEN(B26),MID(B26,6,1)=".",ISNUMBER(FIND("x"&amp;MID(B26,6,1),"x0x1x2x3x4x5x6x7x8x9"))),OR(7&gt;LEN(B26),MID(B26,7,1)=".",ISNUMBER(FIND("x"&amp;MID(B26,7,1),"x0x1x2x3x4x5x6x7x8x9"))),OR(8&gt;LEN(B26),MID(B26,8,1)=".",ISNUMBER(FIND("x"&amp;MID(B26,8,1),"x0x1x2x3x4x5x6x7x8x9"))),OR(9&gt;LEN(B26),MID(B26,9,1)=".",ISNUMBER(FIND("x"&amp;MID(B26,9,1),"x0x1x2x3x4x5x6x7x8x9"))),OR(10&gt;LEN(B26),MID(B26,10,1)=".",ISNUMBER(FIND("x"&amp;MID(B26,10,1),"x0x1x2x3x4x5x6x7x8x9"))),OR(AND(FIND(".",B26)=5,LEN(B26)-FIND(".",B26,FIND(".",B26)+1)&gt;=1,LEN(B26)-FIND(".",B26,FIND(".",B26)+1)&lt;=2),AND(LEN(B26)-FIND(".",B26,FIND(".",B26)+1)=4,FIND(".",B26)&gt;=2,FIND(".",B26)&lt;=3)),FIND(".",B26,FIND(".",B26)+1)-FIND(".",B26)&gt;=2,FIND(".",B26,FIND(".",B26)+1)-FIND(".",B26)&lt;=3,F26&gt;=2000,F26&lt;=2100,YEAR(I26)=F26,MONTH(I26)=G26,DAY(I26)=H26),I26,0)),0)</ns0:f>
        <ns0:v>46597</ns0:v>
      </ns0:c>
      <ns0:c r="K26" s="0">
        <ns0:f>IFERROR(IF(ISNUMBER(Bookings!D26),"",TRIM(Bookings!D26&amp;"")),"")</ns0:f>
      </ns0:c>
      <ns0:c r="L26" s="0">
        <ns0:f>IFERROR(SUBSTITUTE(SUBSTITUTE(K26,"/","."),"-","."),"")</ns0:f>
      </ns0:c>
      <ns0:c r="M26" s="0">
        <ns0:f>IFERROR(LEFT(L26,FIND(".",L26)-1),"")</ns0:f>
      </ns0:c>
      <ns0:c r="N26" s="0">
        <ns0:f>IFERROR(MID(L26,FIND(".",L26)+1,FIND(".",L26,FIND(".",L26)+1)-FIND(".",L26)-1),"")</ns0:f>
      </ns0:c>
      <ns0:c r="O26" s="0">
        <ns0:f>IFERROR(MID(L26,FIND(".",L26,FIND(".",L26)+1)+1,99),"")</ns0:f>
        <ns0:v>99</ns0:v>
      </ns0:c>
      <ns0:c r="P26" s="0">
        <ns0:f>IFERROR(IF(FIND(".",L26)=5,--M26,--O26),0)</ns0:f>
        <ns0:v>0</ns0:v>
      </ns0:c>
      <ns0:c r="Q26" s="0">
        <ns0:f>IFERROR(--N26,0)</ns0:f>
        <ns0:v>0</ns0:v>
      </ns0:c>
      <ns0:c r="R26" s="0">
        <ns0:f>IFERROR(IF(FIND(".",L26)=5,--O26,--M26),0)</ns0:f>
        <ns0:v>0</ns0:v>
      </ns0:c>
      <ns0:c r="S26" s="0">
        <ns0:f>IFERROR(IF(AND(P26&gt;=2000,P26&lt;=2100,Q26&gt;=1,Q26&lt;=12,R26&gt;=1,R26&lt;=31),DATE(P26,Q26,R26),0),0)</ns0:f>
        <ns0:v>0</ns0:v>
      </ns0:c>
      <ns0:c r="T26" s="0">
        <ns0:f>IFERROR(IF(ISNUMBER(Bookings!D26),IF(AND(Bookings!D26=INT(Bookings!D26),Bookings!D26&gt;=DATE(2000,1,1),Bookings!D26&lt;=DATE(2100,12,31)),Bookings!D26,0),IF(AND(K26&lt;&gt;"",LEN("x"&amp;L26)-LEN(SUBSTITUTE("x"&amp;L26,".",""))=2,OR(1&gt;LEN(L26),MID(L26,1,1)=".",ISNUMBER(FIND("x"&amp;MID(L26,1,1),"x0x1x2x3x4x5x6x7x8x9"))),OR(2&gt;LEN(L26),MID(L26,2,1)=".",ISNUMBER(FIND("x"&amp;MID(L26,2,1),"x0x1x2x3x4x5x6x7x8x9"))),OR(3&gt;LEN(L26),MID(L26,3,1)=".",ISNUMBER(FIND("x"&amp;MID(L26,3,1),"x0x1x2x3x4x5x6x7x8x9"))),OR(4&gt;LEN(L26),MID(L26,4,1)=".",ISNUMBER(FIND("x"&amp;MID(L26,4,1),"x0x1x2x3x4x5x6x7x8x9"))),OR(5&gt;LEN(L26),MID(L26,5,1)=".",ISNUMBER(FIND("x"&amp;MID(L26,5,1),"x0x1x2x3x4x5x6x7x8x9"))),OR(6&gt;LEN(L26),MID(L26,6,1)=".",ISNUMBER(FIND("x"&amp;MID(L26,6,1),"x0x1x2x3x4x5x6x7x8x9"))),OR(7&gt;LEN(L26),MID(L26,7,1)=".",ISNUMBER(FIND("x"&amp;MID(L26,7,1),"x0x1x2x3x4x5x6x7x8x9"))),OR(8&gt;LEN(L26),MID(L26,8,1)=".",ISNUMBER(FIND("x"&amp;MID(L26,8,1),"x0x1x2x3x4x5x6x7x8x9"))),OR(9&gt;LEN(L26),MID(L26,9,1)=".",ISNUMBER(FIND("x"&amp;MID(L26,9,1),"x0x1x2x3x4x5x6x7x8x9"))),OR(10&gt;LEN(L26),MID(L26,10,1)=".",ISNUMBER(FIND("x"&amp;MID(L26,10,1),"x0x1x2x3x4x5x6x7x8x9"))),OR(AND(FIND(".",L26)=5,LEN(L26)-FIND(".",L26,FIND(".",L26)+1)&gt;=1,LEN(L26)-FIND(".",L26,FIND(".",L26)+1)&lt;=2),AND(LEN(L26)-FIND(".",L26,FIND(".",L26)+1)=4,FIND(".",L26)&gt;=2,FIND(".",L26)&lt;=3)),FIND(".",L26,FIND(".",L26)+1)-FIND(".",L26)&gt;=2,FIND(".",L26,FIND(".",L26)+1)-FIND(".",L26)&lt;=3,P26&gt;=2000,P26&lt;=2100,YEAR(S26)=P26,MONTH(S26)=Q26,DAY(S26)=R26),S26,0)),0)</ns0:f>
        <ns0:v>46597</ns0:v>
      </ns0:c>
      <ns0:c r="U26" s="0" t="str">
        <ns0:f>IF(Bookings!C26="","Full day",Bookings!C26)</ns0:f>
        <ns0:v>PM</ns0:v>
      </ns0:c>
      <ns0:c r="V26" s="0" t="str">
        <ns0:f>IF(Bookings!E26="","Full day",Bookings!E26)</ns0:f>
        <ns0:v>Full day</ns0:v>
      </ns0:c>
      <ns0:c r="W26" s="0">
        <ns0:f>IF(J26=0,0,J26+IF(U26="PM",1,0))</ns0:f>
        <ns0:v>46598</ns0:v>
      </ns0:c>
      <ns0:c r="X26" s="0">
        <ns0:f>IF(T26=0,0,T26-IF(V26="PM",1,0))</ns0:f>
        <ns0:v>46597</ns0:v>
      </ns0:c>
      <ns0:c r="Y26" s="0">
        <ns0:f>IF(J26=0,0,J26+IF(U26="AM",1,0))</ns0:f>
        <ns0:v>46597</ns0:v>
      </ns0:c>
      <ns0:c r="Z26" s="0">
        <ns0:f>IF(T26=0,0,T26-IF(V26="AM",1,0))</ns0:f>
        <ns0:v>46597</ns0:v>
      </ns0:c>
      <ns0:c r="AA26" s="0">
        <ns0:f>IFERROR(IF(AND(J26&gt;0,'_Engine'!C26&gt;0,MID('_Engine'!W26,WEEKDAY(J26,2),1)="W",COUNTIF(Settings!$F$18:$F$67,J26)=0),1,0),0)</ns0:f>
        <ns0:v>1</ns0:v>
      </ns0:c>
      <ns0:c r="AB26" s="0">
        <ns0:f>IFERROR(IF(AND(T26&gt;0,'_Engine'!C26&gt;0,MID('_Engine'!W26,WEEKDAY(T26,2),1)="W",COUNTIF(Settings!$F$18:$F$67,T26)=0),1,0),0)</ns0:f>
        <ns0:v>1</ns0:v>
      </ns0:c>
      <ns0:c r="AC26" s="0">
        <ns0:f>IF(AND(J26&gt;0,T26&gt;0,W26&lt;=X26),1,0)</ns0:f>
        <ns0:v>0</ns0:v>
      </ns0:c>
      <ns0:c r="AD26" s="0">
        <ns0:f>IF(AND(J26&gt;0,T26&gt;0,Y26&lt;=Z26),1,0)</ns0:f>
        <ns0:v>1</ns0:v>
      </ns0:c>
    </ns0:row>
    <ns0:row r="27">
      <ns0:c r="A27" s="0" t="str">
        <ns0:f>IFERROR(IF(ISNUMBER(Bookings!B27),"",TRIM(Bookings!B27&amp;"")),"")</ns0:f>
        <ns0:v>19.07.2027</ns0:v>
      </ns0:c>
      <ns0:c r="B27" s="0" t="str">
        <ns0:f>IFERROR(SUBSTITUTE(SUBSTITUTE(A27,"/","."),"-","."),"")</ns0:f>
        <ns0:v>19.07.2027</ns0:v>
      </ns0:c>
      <ns0:c r="C27" s="0">
        <ns0:f>IFERROR(LEFT(B27,FIND(".",B27)-1),"")</ns0:f>
        <ns0:v>19</ns0:v>
      </ns0:c>
      <ns0:c r="D27" s="0">
        <ns0:f>IFERROR(MID(B27,FIND(".",B27)+1,FIND(".",B27,FIND(".",B27)+1)-FIND(".",B27)-1),"")</ns0:f>
        <ns0:v>7</ns0:v>
      </ns0:c>
      <ns0:c r="E27" s="0">
        <ns0:f>IFERROR(MID(B27,FIND(".",B27,FIND(".",B27)+1)+1,99),"")</ns0:f>
        <ns0:v>2027</ns0:v>
      </ns0:c>
      <ns0:c r="F27" s="0">
        <ns0:f>IFERROR(IF(FIND(".",B27)=5,--C27,--E27),0)</ns0:f>
        <ns0:v>2027</ns0:v>
      </ns0:c>
      <ns0:c r="G27" s="0">
        <ns0:f>IFERROR(--D27,0)</ns0:f>
        <ns0:v>7</ns0:v>
      </ns0:c>
      <ns0:c r="H27" s="0">
        <ns0:f>IFERROR(IF(FIND(".",B27)=5,--E27,--C27),0)</ns0:f>
        <ns0:v>19</ns0:v>
      </ns0:c>
      <ns0:c r="I27" s="0">
        <ns0:f>IFERROR(IF(AND(F27&gt;=2000,F27&lt;=2100,G27&gt;=1,G27&lt;=12,H27&gt;=1,H27&lt;=31),DATE(F27,G27,H27),0),0)</ns0:f>
        <ns0:v>46587</ns0:v>
      </ns0:c>
      <ns0:c r="J27" s="0">
        <ns0:f>IFERROR(IF(ISNUMBER(Bookings!B27),IF(AND(Bookings!B27=INT(Bookings!B27),Bookings!B27&gt;=DATE(2000,1,1),Bookings!B27&lt;=DATE(2100,12,31)),Bookings!B27,0),IF(AND(A27&lt;&gt;"",LEN("x"&amp;B27)-LEN(SUBSTITUTE("x"&amp;B27,".",""))=2,OR(1&gt;LEN(B27),MID(B27,1,1)=".",ISNUMBER(FIND("x"&amp;MID(B27,1,1),"x0x1x2x3x4x5x6x7x8x9"))),OR(2&gt;LEN(B27),MID(B27,2,1)=".",ISNUMBER(FIND("x"&amp;MID(B27,2,1),"x0x1x2x3x4x5x6x7x8x9"))),OR(3&gt;LEN(B27),MID(B27,3,1)=".",ISNUMBER(FIND("x"&amp;MID(B27,3,1),"x0x1x2x3x4x5x6x7x8x9"))),OR(4&gt;LEN(B27),MID(B27,4,1)=".",ISNUMBER(FIND("x"&amp;MID(B27,4,1),"x0x1x2x3x4x5x6x7x8x9"))),OR(5&gt;LEN(B27),MID(B27,5,1)=".",ISNUMBER(FIND("x"&amp;MID(B27,5,1),"x0x1x2x3x4x5x6x7x8x9"))),OR(6&gt;LEN(B27),MID(B27,6,1)=".",ISNUMBER(FIND("x"&amp;MID(B27,6,1),"x0x1x2x3x4x5x6x7x8x9"))),OR(7&gt;LEN(B27),MID(B27,7,1)=".",ISNUMBER(FIND("x"&amp;MID(B27,7,1),"x0x1x2x3x4x5x6x7x8x9"))),OR(8&gt;LEN(B27),MID(B27,8,1)=".",ISNUMBER(FIND("x"&amp;MID(B27,8,1),"x0x1x2x3x4x5x6x7x8x9"))),OR(9&gt;LEN(B27),MID(B27,9,1)=".",ISNUMBER(FIND("x"&amp;MID(B27,9,1),"x0x1x2x3x4x5x6x7x8x9"))),OR(10&gt;LEN(B27),MID(B27,10,1)=".",ISNUMBER(FIND("x"&amp;MID(B27,10,1),"x0x1x2x3x4x5x6x7x8x9"))),OR(AND(FIND(".",B27)=5,LEN(B27)-FIND(".",B27,FIND(".",B27)+1)&gt;=1,LEN(B27)-FIND(".",B27,FIND(".",B27)+1)&lt;=2),AND(LEN(B27)-FIND(".",B27,FIND(".",B27)+1)=4,FIND(".",B27)&gt;=2,FIND(".",B27)&lt;=3)),FIND(".",B27,FIND(".",B27)+1)-FIND(".",B27)&gt;=2,FIND(".",B27,FIND(".",B27)+1)-FIND(".",B27)&lt;=3,F27&gt;=2000,F27&lt;=2100,YEAR(I27)=F27,MONTH(I27)=G27,DAY(I27)=H27),I27,0)),0)</ns0:f>
        <ns0:v>46587</ns0:v>
      </ns0:c>
      <ns0:c r="K27" s="0" t="str">
        <ns0:f>IFERROR(IF(ISNUMBER(Bookings!D27),"",TRIM(Bookings!D27&amp;"")),"")</ns0:f>
        <ns0:v>20.07.2027</ns0:v>
      </ns0:c>
      <ns0:c r="L27" s="0" t="str">
        <ns0:f>IFERROR(SUBSTITUTE(SUBSTITUTE(K27,"/","."),"-","."),"")</ns0:f>
        <ns0:v>20.07.2027</ns0:v>
      </ns0:c>
      <ns0:c r="M27" s="0">
        <ns0:f>IFERROR(LEFT(L27,FIND(".",L27)-1),"")</ns0:f>
        <ns0:v>20</ns0:v>
      </ns0:c>
      <ns0:c r="N27" s="0">
        <ns0:f>IFERROR(MID(L27,FIND(".",L27)+1,FIND(".",L27,FIND(".",L27)+1)-FIND(".",L27)-1),"")</ns0:f>
        <ns0:v>7</ns0:v>
      </ns0:c>
      <ns0:c r="O27" s="0">
        <ns0:f>IFERROR(MID(L27,FIND(".",L27,FIND(".",L27)+1)+1,99),"")</ns0:f>
        <ns0:v>2027</ns0:v>
      </ns0:c>
      <ns0:c r="P27" s="0">
        <ns0:f>IFERROR(IF(FIND(".",L27)=5,--M27,--O27),0)</ns0:f>
        <ns0:v>2027</ns0:v>
      </ns0:c>
      <ns0:c r="Q27" s="0">
        <ns0:f>IFERROR(--N27,0)</ns0:f>
        <ns0:v>7</ns0:v>
      </ns0:c>
      <ns0:c r="R27" s="0">
        <ns0:f>IFERROR(IF(FIND(".",L27)=5,--O27,--M27),0)</ns0:f>
        <ns0:v>20</ns0:v>
      </ns0:c>
      <ns0:c r="S27" s="0">
        <ns0:f>IFERROR(IF(AND(P27&gt;=2000,P27&lt;=2100,Q27&gt;=1,Q27&lt;=12,R27&gt;=1,R27&lt;=31),DATE(P27,Q27,R27),0),0)</ns0:f>
        <ns0:v>46588</ns0:v>
      </ns0:c>
      <ns0:c r="T27" s="0">
        <ns0:f>IFERROR(IF(ISNUMBER(Bookings!D27),IF(AND(Bookings!D27=INT(Bookings!D27),Bookings!D27&gt;=DATE(2000,1,1),Bookings!D27&lt;=DATE(2100,12,31)),Bookings!D27,0),IF(AND(K27&lt;&gt;"",LEN("x"&amp;L27)-LEN(SUBSTITUTE("x"&amp;L27,".",""))=2,OR(1&gt;LEN(L27),MID(L27,1,1)=".",ISNUMBER(FIND("x"&amp;MID(L27,1,1),"x0x1x2x3x4x5x6x7x8x9"))),OR(2&gt;LEN(L27),MID(L27,2,1)=".",ISNUMBER(FIND("x"&amp;MID(L27,2,1),"x0x1x2x3x4x5x6x7x8x9"))),OR(3&gt;LEN(L27),MID(L27,3,1)=".",ISNUMBER(FIND("x"&amp;MID(L27,3,1),"x0x1x2x3x4x5x6x7x8x9"))),OR(4&gt;LEN(L27),MID(L27,4,1)=".",ISNUMBER(FIND("x"&amp;MID(L27,4,1),"x0x1x2x3x4x5x6x7x8x9"))),OR(5&gt;LEN(L27),MID(L27,5,1)=".",ISNUMBER(FIND("x"&amp;MID(L27,5,1),"x0x1x2x3x4x5x6x7x8x9"))),OR(6&gt;LEN(L27),MID(L27,6,1)=".",ISNUMBER(FIND("x"&amp;MID(L27,6,1),"x0x1x2x3x4x5x6x7x8x9"))),OR(7&gt;LEN(L27),MID(L27,7,1)=".",ISNUMBER(FIND("x"&amp;MID(L27,7,1),"x0x1x2x3x4x5x6x7x8x9"))),OR(8&gt;LEN(L27),MID(L27,8,1)=".",ISNUMBER(FIND("x"&amp;MID(L27,8,1),"x0x1x2x3x4x5x6x7x8x9"))),OR(9&gt;LEN(L27),MID(L27,9,1)=".",ISNUMBER(FIND("x"&amp;MID(L27,9,1),"x0x1x2x3x4x5x6x7x8x9"))),OR(10&gt;LEN(L27),MID(L27,10,1)=".",ISNUMBER(FIND("x"&amp;MID(L27,10,1),"x0x1x2x3x4x5x6x7x8x9"))),OR(AND(FIND(".",L27)=5,LEN(L27)-FIND(".",L27,FIND(".",L27)+1)&gt;=1,LEN(L27)-FIND(".",L27,FIND(".",L27)+1)&lt;=2),AND(LEN(L27)-FIND(".",L27,FIND(".",L27)+1)=4,FIND(".",L27)&gt;=2,FIND(".",L27)&lt;=3)),FIND(".",L27,FIND(".",L27)+1)-FIND(".",L27)&gt;=2,FIND(".",L27,FIND(".",L27)+1)-FIND(".",L27)&lt;=3,P27&gt;=2000,P27&lt;=2100,YEAR(S27)=P27,MONTH(S27)=Q27,DAY(S27)=R27),S27,0)),0)</ns0:f>
        <ns0:v>46588</ns0:v>
      </ns0:c>
      <ns0:c r="U27" s="0" t="str">
        <ns0:f>IF(Bookings!C27="","Full day",Bookings!C27)</ns0:f>
        <ns0:v>Full day</ns0:v>
      </ns0:c>
      <ns0:c r="V27" s="0" t="str">
        <ns0:f>IF(Bookings!E27="","Full day",Bookings!E27)</ns0:f>
        <ns0:v>AM</ns0:v>
      </ns0:c>
      <ns0:c r="W27" s="0">
        <ns0:f>IF(J27=0,0,J27+IF(U27="PM",1,0))</ns0:f>
        <ns0:v>46587</ns0:v>
      </ns0:c>
      <ns0:c r="X27" s="0">
        <ns0:f>IF(T27=0,0,T27-IF(V27="PM",1,0))</ns0:f>
        <ns0:v>46588</ns0:v>
      </ns0:c>
      <ns0:c r="Y27" s="0">
        <ns0:f>IF(J27=0,0,J27+IF(U27="AM",1,0))</ns0:f>
        <ns0:v>46587</ns0:v>
      </ns0:c>
      <ns0:c r="Z27" s="0">
        <ns0:f>IF(T27=0,0,T27-IF(V27="AM",1,0))</ns0:f>
        <ns0:v>46587</ns0:v>
      </ns0:c>
      <ns0:c r="AA27" s="0">
        <ns0:f>IFERROR(IF(AND(J27&gt;0,'_Engine'!C27&gt;0,MID('_Engine'!W27,WEEKDAY(J27,2),1)="W",COUNTIF(Settings!$F$18:$F$67,J27)=0),1,0),0)</ns0:f>
        <ns0:v>1</ns0:v>
      </ns0:c>
      <ns0:c r="AB27" s="0">
        <ns0:f>IFERROR(IF(AND(T27&gt;0,'_Engine'!C27&gt;0,MID('_Engine'!W27,WEEKDAY(T27,2),1)="W",COUNTIF(Settings!$F$18:$F$67,T27)=0),1,0),0)</ns0:f>
        <ns0:v>1</ns0:v>
      </ns0:c>
      <ns0:c r="AC27" s="0">
        <ns0:f>IF(AND(J27&gt;0,T27&gt;0,W27&lt;=X27),1,0)</ns0:f>
        <ns0:v>1</ns0:v>
      </ns0:c>
      <ns0:c r="AD27" s="0">
        <ns0:f>IF(AND(J27&gt;0,T27&gt;0,Y27&lt;=Z27),1,0)</ns0:f>
        <ns0:v>1</ns0:v>
      </ns0:c>
    </ns0:row>
    <ns0:row r="28">
      <ns0:c r="A28" s="0" t="str">
        <ns0:f>IFERROR(IF(ISNUMBER(Bookings!B28),"",TRIM(Bookings!B28&amp;"")),"")</ns0:f>
        <ns0:v>20.07.2027</ns0:v>
      </ns0:c>
      <ns0:c r="B28" s="0" t="str">
        <ns0:f>IFERROR(SUBSTITUTE(SUBSTITUTE(A28,"/","."),"-","."),"")</ns0:f>
        <ns0:v>20.07.2027</ns0:v>
      </ns0:c>
      <ns0:c r="C28" s="0">
        <ns0:f>IFERROR(LEFT(B28,FIND(".",B28)-1),"")</ns0:f>
        <ns0:v>20</ns0:v>
      </ns0:c>
      <ns0:c r="D28" s="0">
        <ns0:f>IFERROR(MID(B28,FIND(".",B28)+1,FIND(".",B28,FIND(".",B28)+1)-FIND(".",B28)-1),"")</ns0:f>
        <ns0:v>7</ns0:v>
      </ns0:c>
      <ns0:c r="E28" s="0">
        <ns0:f>IFERROR(MID(B28,FIND(".",B28,FIND(".",B28)+1)+1,99),"")</ns0:f>
        <ns0:v>2027</ns0:v>
      </ns0:c>
      <ns0:c r="F28" s="0">
        <ns0:f>IFERROR(IF(FIND(".",B28)=5,--C28,--E28),0)</ns0:f>
        <ns0:v>2027</ns0:v>
      </ns0:c>
      <ns0:c r="G28" s="0">
        <ns0:f>IFERROR(--D28,0)</ns0:f>
        <ns0:v>7</ns0:v>
      </ns0:c>
      <ns0:c r="H28" s="0">
        <ns0:f>IFERROR(IF(FIND(".",B28)=5,--E28,--C28),0)</ns0:f>
        <ns0:v>20</ns0:v>
      </ns0:c>
      <ns0:c r="I28" s="0">
        <ns0:f>IFERROR(IF(AND(F28&gt;=2000,F28&lt;=2100,G28&gt;=1,G28&lt;=12,H28&gt;=1,H28&lt;=31),DATE(F28,G28,H28),0),0)</ns0:f>
        <ns0:v>46588</ns0:v>
      </ns0:c>
      <ns0:c r="J28" s="0">
        <ns0:f>IFERROR(IF(ISNUMBER(Bookings!B28),IF(AND(Bookings!B28=INT(Bookings!B28),Bookings!B28&gt;=DATE(2000,1,1),Bookings!B28&lt;=DATE(2100,12,31)),Bookings!B28,0),IF(AND(A28&lt;&gt;"",LEN("x"&amp;B28)-LEN(SUBSTITUTE("x"&amp;B28,".",""))=2,OR(1&gt;LEN(B28),MID(B28,1,1)=".",ISNUMBER(FIND("x"&amp;MID(B28,1,1),"x0x1x2x3x4x5x6x7x8x9"))),OR(2&gt;LEN(B28),MID(B28,2,1)=".",ISNUMBER(FIND("x"&amp;MID(B28,2,1),"x0x1x2x3x4x5x6x7x8x9"))),OR(3&gt;LEN(B28),MID(B28,3,1)=".",ISNUMBER(FIND("x"&amp;MID(B28,3,1),"x0x1x2x3x4x5x6x7x8x9"))),OR(4&gt;LEN(B28),MID(B28,4,1)=".",ISNUMBER(FIND("x"&amp;MID(B28,4,1),"x0x1x2x3x4x5x6x7x8x9"))),OR(5&gt;LEN(B28),MID(B28,5,1)=".",ISNUMBER(FIND("x"&amp;MID(B28,5,1),"x0x1x2x3x4x5x6x7x8x9"))),OR(6&gt;LEN(B28),MID(B28,6,1)=".",ISNUMBER(FIND("x"&amp;MID(B28,6,1),"x0x1x2x3x4x5x6x7x8x9"))),OR(7&gt;LEN(B28),MID(B28,7,1)=".",ISNUMBER(FIND("x"&amp;MID(B28,7,1),"x0x1x2x3x4x5x6x7x8x9"))),OR(8&gt;LEN(B28),MID(B28,8,1)=".",ISNUMBER(FIND("x"&amp;MID(B28,8,1),"x0x1x2x3x4x5x6x7x8x9"))),OR(9&gt;LEN(B28),MID(B28,9,1)=".",ISNUMBER(FIND("x"&amp;MID(B28,9,1),"x0x1x2x3x4x5x6x7x8x9"))),OR(10&gt;LEN(B28),MID(B28,10,1)=".",ISNUMBER(FIND("x"&amp;MID(B28,10,1),"x0x1x2x3x4x5x6x7x8x9"))),OR(AND(FIND(".",B28)=5,LEN(B28)-FIND(".",B28,FIND(".",B28)+1)&gt;=1,LEN(B28)-FIND(".",B28,FIND(".",B28)+1)&lt;=2),AND(LEN(B28)-FIND(".",B28,FIND(".",B28)+1)=4,FIND(".",B28)&gt;=2,FIND(".",B28)&lt;=3)),FIND(".",B28,FIND(".",B28)+1)-FIND(".",B28)&gt;=2,FIND(".",B28,FIND(".",B28)+1)-FIND(".",B28)&lt;=3,F28&gt;=2000,F28&lt;=2100,YEAR(I28)=F28,MONTH(I28)=G28,DAY(I28)=H28),I28,0)),0)</ns0:f>
        <ns0:v>46588</ns0:v>
      </ns0:c>
      <ns0:c r="K28" s="0" t="str">
        <ns0:f>IFERROR(IF(ISNUMBER(Bookings!D28),"",TRIM(Bookings!D28&amp;"")),"")</ns0:f>
        <ns0:v>21.07.2027</ns0:v>
      </ns0:c>
      <ns0:c r="L28" s="0" t="str">
        <ns0:f>IFERROR(SUBSTITUTE(SUBSTITUTE(K28,"/","."),"-","."),"")</ns0:f>
        <ns0:v>21.07.2027</ns0:v>
      </ns0:c>
      <ns0:c r="M28" s="0">
        <ns0:f>IFERROR(LEFT(L28,FIND(".",L28)-1),"")</ns0:f>
        <ns0:v>21</ns0:v>
      </ns0:c>
      <ns0:c r="N28" s="0">
        <ns0:f>IFERROR(MID(L28,FIND(".",L28)+1,FIND(".",L28,FIND(".",L28)+1)-FIND(".",L28)-1),"")</ns0:f>
        <ns0:v>7</ns0:v>
      </ns0:c>
      <ns0:c r="O28" s="0">
        <ns0:f>IFERROR(MID(L28,FIND(".",L28,FIND(".",L28)+1)+1,99),"")</ns0:f>
        <ns0:v>2027</ns0:v>
      </ns0:c>
      <ns0:c r="P28" s="0">
        <ns0:f>IFERROR(IF(FIND(".",L28)=5,--M28,--O28),0)</ns0:f>
        <ns0:v>2027</ns0:v>
      </ns0:c>
      <ns0:c r="Q28" s="0">
        <ns0:f>IFERROR(--N28,0)</ns0:f>
        <ns0:v>7</ns0:v>
      </ns0:c>
      <ns0:c r="R28" s="0">
        <ns0:f>IFERROR(IF(FIND(".",L28)=5,--O28,--M28),0)</ns0:f>
        <ns0:v>21</ns0:v>
      </ns0:c>
      <ns0:c r="S28" s="0">
        <ns0:f>IFERROR(IF(AND(P28&gt;=2000,P28&lt;=2100,Q28&gt;=1,Q28&lt;=12,R28&gt;=1,R28&lt;=31),DATE(P28,Q28,R28),0),0)</ns0:f>
        <ns0:v>46589</ns0:v>
      </ns0:c>
      <ns0:c r="T28" s="0">
        <ns0:f>IFERROR(IF(ISNUMBER(Bookings!D28),IF(AND(Bookings!D28=INT(Bookings!D28),Bookings!D28&gt;=DATE(2000,1,1),Bookings!D28&lt;=DATE(2100,12,31)),Bookings!D28,0),IF(AND(K28&lt;&gt;"",LEN("x"&amp;L28)-LEN(SUBSTITUTE("x"&amp;L28,".",""))=2,OR(1&gt;LEN(L28),MID(L28,1,1)=".",ISNUMBER(FIND("x"&amp;MID(L28,1,1),"x0x1x2x3x4x5x6x7x8x9"))),OR(2&gt;LEN(L28),MID(L28,2,1)=".",ISNUMBER(FIND("x"&amp;MID(L28,2,1),"x0x1x2x3x4x5x6x7x8x9"))),OR(3&gt;LEN(L28),MID(L28,3,1)=".",ISNUMBER(FIND("x"&amp;MID(L28,3,1),"x0x1x2x3x4x5x6x7x8x9"))),OR(4&gt;LEN(L28),MID(L28,4,1)=".",ISNUMBER(FIND("x"&amp;MID(L28,4,1),"x0x1x2x3x4x5x6x7x8x9"))),OR(5&gt;LEN(L28),MID(L28,5,1)=".",ISNUMBER(FIND("x"&amp;MID(L28,5,1),"x0x1x2x3x4x5x6x7x8x9"))),OR(6&gt;LEN(L28),MID(L28,6,1)=".",ISNUMBER(FIND("x"&amp;MID(L28,6,1),"x0x1x2x3x4x5x6x7x8x9"))),OR(7&gt;LEN(L28),MID(L28,7,1)=".",ISNUMBER(FIND("x"&amp;MID(L28,7,1),"x0x1x2x3x4x5x6x7x8x9"))),OR(8&gt;LEN(L28),MID(L28,8,1)=".",ISNUMBER(FIND("x"&amp;MID(L28,8,1),"x0x1x2x3x4x5x6x7x8x9"))),OR(9&gt;LEN(L28),MID(L28,9,1)=".",ISNUMBER(FIND("x"&amp;MID(L28,9,1),"x0x1x2x3x4x5x6x7x8x9"))),OR(10&gt;LEN(L28),MID(L28,10,1)=".",ISNUMBER(FIND("x"&amp;MID(L28,10,1),"x0x1x2x3x4x5x6x7x8x9"))),OR(AND(FIND(".",L28)=5,LEN(L28)-FIND(".",L28,FIND(".",L28)+1)&gt;=1,LEN(L28)-FIND(".",L28,FIND(".",L28)+1)&lt;=2),AND(LEN(L28)-FIND(".",L28,FIND(".",L28)+1)=4,FIND(".",L28)&gt;=2,FIND(".",L28)&lt;=3)),FIND(".",L28,FIND(".",L28)+1)-FIND(".",L28)&gt;=2,FIND(".",L28,FIND(".",L28)+1)-FIND(".",L28)&lt;=3,P28&gt;=2000,P28&lt;=2100,YEAR(S28)=P28,MONTH(S28)=Q28,DAY(S28)=R28),S28,0)),0)</ns0:f>
        <ns0:v>46589</ns0:v>
      </ns0:c>
      <ns0:c r="U28" s="0" t="str">
        <ns0:f>IF(Bookings!C28="","Full day",Bookings!C28)</ns0:f>
        <ns0:v>PM</ns0:v>
      </ns0:c>
      <ns0:c r="V28" s="0" t="str">
        <ns0:f>IF(Bookings!E28="","Full day",Bookings!E28)</ns0:f>
        <ns0:v>Full day</ns0:v>
      </ns0:c>
      <ns0:c r="W28" s="0">
        <ns0:f>IF(J28=0,0,J28+IF(U28="PM",1,0))</ns0:f>
        <ns0:v>46589</ns0:v>
      </ns0:c>
      <ns0:c r="X28" s="0">
        <ns0:f>IF(T28=0,0,T28-IF(V28="PM",1,0))</ns0:f>
        <ns0:v>46589</ns0:v>
      </ns0:c>
      <ns0:c r="Y28" s="0">
        <ns0:f>IF(J28=0,0,J28+IF(U28="AM",1,0))</ns0:f>
        <ns0:v>46588</ns0:v>
      </ns0:c>
      <ns0:c r="Z28" s="0">
        <ns0:f>IF(T28=0,0,T28-IF(V28="AM",1,0))</ns0:f>
        <ns0:v>46589</ns0:v>
      </ns0:c>
      <ns0:c r="AA28" s="0">
        <ns0:f>IFERROR(IF(AND(J28&gt;0,'_Engine'!C28&gt;0,MID('_Engine'!W28,WEEKDAY(J28,2),1)="W",COUNTIF(Settings!$F$18:$F$67,J28)=0),1,0),0)</ns0:f>
        <ns0:v>1</ns0:v>
      </ns0:c>
      <ns0:c r="AB28" s="0">
        <ns0:f>IFERROR(IF(AND(T28&gt;0,'_Engine'!C28&gt;0,MID('_Engine'!W28,WEEKDAY(T28,2),1)="W",COUNTIF(Settings!$F$18:$F$67,T28)=0),1,0),0)</ns0:f>
        <ns0:v>1</ns0:v>
      </ns0:c>
      <ns0:c r="AC28" s="0">
        <ns0:f>IF(AND(J28&gt;0,T28&gt;0,W28&lt;=X28),1,0)</ns0:f>
        <ns0:v>1</ns0:v>
      </ns0:c>
      <ns0:c r="AD28" s="0">
        <ns0:f>IF(AND(J28&gt;0,T28&gt;0,Y28&lt;=Z28),1,0)</ns0:f>
        <ns0:v>1</ns0:v>
      </ns0:c>
    </ns0:row>
    <ns0:row r="29">
      <ns0:c r="A29" s="0" t="str">
        <ns0:f>IFERROR(IF(ISNUMBER(Bookings!B29),"",TRIM(Bookings!B29&amp;"")),"")</ns0:f>
        <ns0:v>14.07.2027</ns0:v>
      </ns0:c>
      <ns0:c r="B29" s="0" t="str">
        <ns0:f>IFERROR(SUBSTITUTE(SUBSTITUTE(A29,"/","."),"-","."),"")</ns0:f>
        <ns0:v>14.07.2027</ns0:v>
      </ns0:c>
      <ns0:c r="C29" s="0">
        <ns0:f>IFERROR(LEFT(B29,FIND(".",B29)-1),"")</ns0:f>
        <ns0:v>14</ns0:v>
      </ns0:c>
      <ns0:c r="D29" s="0">
        <ns0:f>IFERROR(MID(B29,FIND(".",B29)+1,FIND(".",B29,FIND(".",B29)+1)-FIND(".",B29)-1),"")</ns0:f>
        <ns0:v>7</ns0:v>
      </ns0:c>
      <ns0:c r="E29" s="0">
        <ns0:f>IFERROR(MID(B29,FIND(".",B29,FIND(".",B29)+1)+1,99),"")</ns0:f>
        <ns0:v>2027</ns0:v>
      </ns0:c>
      <ns0:c r="F29" s="0">
        <ns0:f>IFERROR(IF(FIND(".",B29)=5,--C29,--E29),0)</ns0:f>
        <ns0:v>2027</ns0:v>
      </ns0:c>
      <ns0:c r="G29" s="0">
        <ns0:f>IFERROR(--D29,0)</ns0:f>
        <ns0:v>7</ns0:v>
      </ns0:c>
      <ns0:c r="H29" s="0">
        <ns0:f>IFERROR(IF(FIND(".",B29)=5,--E29,--C29),0)</ns0:f>
        <ns0:v>14</ns0:v>
      </ns0:c>
      <ns0:c r="I29" s="0">
        <ns0:f>IFERROR(IF(AND(F29&gt;=2000,F29&lt;=2100,G29&gt;=1,G29&lt;=12,H29&gt;=1,H29&lt;=31),DATE(F29,G29,H29),0),0)</ns0:f>
        <ns0:v>46582</ns0:v>
      </ns0:c>
      <ns0:c r="J29" s="0">
        <ns0:f>IFERROR(IF(ISNUMBER(Bookings!B29),IF(AND(Bookings!B29=INT(Bookings!B29),Bookings!B29&gt;=DATE(2000,1,1),Bookings!B29&lt;=DATE(2100,12,31)),Bookings!B29,0),IF(AND(A29&lt;&gt;"",LEN("x"&amp;B29)-LEN(SUBSTITUTE("x"&amp;B29,".",""))=2,OR(1&gt;LEN(B29),MID(B29,1,1)=".",ISNUMBER(FIND("x"&amp;MID(B29,1,1),"x0x1x2x3x4x5x6x7x8x9"))),OR(2&gt;LEN(B29),MID(B29,2,1)=".",ISNUMBER(FIND("x"&amp;MID(B29,2,1),"x0x1x2x3x4x5x6x7x8x9"))),OR(3&gt;LEN(B29),MID(B29,3,1)=".",ISNUMBER(FIND("x"&amp;MID(B29,3,1),"x0x1x2x3x4x5x6x7x8x9"))),OR(4&gt;LEN(B29),MID(B29,4,1)=".",ISNUMBER(FIND("x"&amp;MID(B29,4,1),"x0x1x2x3x4x5x6x7x8x9"))),OR(5&gt;LEN(B29),MID(B29,5,1)=".",ISNUMBER(FIND("x"&amp;MID(B29,5,1),"x0x1x2x3x4x5x6x7x8x9"))),OR(6&gt;LEN(B29),MID(B29,6,1)=".",ISNUMBER(FIND("x"&amp;MID(B29,6,1),"x0x1x2x3x4x5x6x7x8x9"))),OR(7&gt;LEN(B29),MID(B29,7,1)=".",ISNUMBER(FIND("x"&amp;MID(B29,7,1),"x0x1x2x3x4x5x6x7x8x9"))),OR(8&gt;LEN(B29),MID(B29,8,1)=".",ISNUMBER(FIND("x"&amp;MID(B29,8,1),"x0x1x2x3x4x5x6x7x8x9"))),OR(9&gt;LEN(B29),MID(B29,9,1)=".",ISNUMBER(FIND("x"&amp;MID(B29,9,1),"x0x1x2x3x4x5x6x7x8x9"))),OR(10&gt;LEN(B29),MID(B29,10,1)=".",ISNUMBER(FIND("x"&amp;MID(B29,10,1),"x0x1x2x3x4x5x6x7x8x9"))),OR(AND(FIND(".",B29)=5,LEN(B29)-FIND(".",B29,FIND(".",B29)+1)&gt;=1,LEN(B29)-FIND(".",B29,FIND(".",B29)+1)&lt;=2),AND(LEN(B29)-FIND(".",B29,FIND(".",B29)+1)=4,FIND(".",B29)&gt;=2,FIND(".",B29)&lt;=3)),FIND(".",B29,FIND(".",B29)+1)-FIND(".",B29)&gt;=2,FIND(".",B29,FIND(".",B29)+1)-FIND(".",B29)&lt;=3,F29&gt;=2000,F29&lt;=2100,YEAR(I29)=F29,MONTH(I29)=G29,DAY(I29)=H29),I29,0)),0)</ns0:f>
        <ns0:v>46582</ns0:v>
      </ns0:c>
      <ns0:c r="K29" s="0" t="str">
        <ns0:f>IFERROR(IF(ISNUMBER(Bookings!D29),"",TRIM(Bookings!D29&amp;"")),"")</ns0:f>
        <ns0:v>15.07.2027</ns0:v>
      </ns0:c>
      <ns0:c r="L29" s="0" t="str">
        <ns0:f>IFERROR(SUBSTITUTE(SUBSTITUTE(K29,"/","."),"-","."),"")</ns0:f>
        <ns0:v>15.07.2027</ns0:v>
      </ns0:c>
      <ns0:c r="M29" s="0">
        <ns0:f>IFERROR(LEFT(L29,FIND(".",L29)-1),"")</ns0:f>
        <ns0:v>15</ns0:v>
      </ns0:c>
      <ns0:c r="N29" s="0">
        <ns0:f>IFERROR(MID(L29,FIND(".",L29)+1,FIND(".",L29,FIND(".",L29)+1)-FIND(".",L29)-1),"")</ns0:f>
        <ns0:v>7</ns0:v>
      </ns0:c>
      <ns0:c r="O29" s="0">
        <ns0:f>IFERROR(MID(L29,FIND(".",L29,FIND(".",L29)+1)+1,99),"")</ns0:f>
        <ns0:v>2027</ns0:v>
      </ns0:c>
      <ns0:c r="P29" s="0">
        <ns0:f>IFERROR(IF(FIND(".",L29)=5,--M29,--O29),0)</ns0:f>
        <ns0:v>2027</ns0:v>
      </ns0:c>
      <ns0:c r="Q29" s="0">
        <ns0:f>IFERROR(--N29,0)</ns0:f>
        <ns0:v>7</ns0:v>
      </ns0:c>
      <ns0:c r="R29" s="0">
        <ns0:f>IFERROR(IF(FIND(".",L29)=5,--O29,--M29),0)</ns0:f>
        <ns0:v>15</ns0:v>
      </ns0:c>
      <ns0:c r="S29" s="0">
        <ns0:f>IFERROR(IF(AND(P29&gt;=2000,P29&lt;=2100,Q29&gt;=1,Q29&lt;=12,R29&gt;=1,R29&lt;=31),DATE(P29,Q29,R29),0),0)</ns0:f>
        <ns0:v>46583</ns0:v>
      </ns0:c>
      <ns0:c r="T29" s="0">
        <ns0:f>IFERROR(IF(ISNUMBER(Bookings!D29),IF(AND(Bookings!D29=INT(Bookings!D29),Bookings!D29&gt;=DATE(2000,1,1),Bookings!D29&lt;=DATE(2100,12,31)),Bookings!D29,0),IF(AND(K29&lt;&gt;"",LEN("x"&amp;L29)-LEN(SUBSTITUTE("x"&amp;L29,".",""))=2,OR(1&gt;LEN(L29),MID(L29,1,1)=".",ISNUMBER(FIND("x"&amp;MID(L29,1,1),"x0x1x2x3x4x5x6x7x8x9"))),OR(2&gt;LEN(L29),MID(L29,2,1)=".",ISNUMBER(FIND("x"&amp;MID(L29,2,1),"x0x1x2x3x4x5x6x7x8x9"))),OR(3&gt;LEN(L29),MID(L29,3,1)=".",ISNUMBER(FIND("x"&amp;MID(L29,3,1),"x0x1x2x3x4x5x6x7x8x9"))),OR(4&gt;LEN(L29),MID(L29,4,1)=".",ISNUMBER(FIND("x"&amp;MID(L29,4,1),"x0x1x2x3x4x5x6x7x8x9"))),OR(5&gt;LEN(L29),MID(L29,5,1)=".",ISNUMBER(FIND("x"&amp;MID(L29,5,1),"x0x1x2x3x4x5x6x7x8x9"))),OR(6&gt;LEN(L29),MID(L29,6,1)=".",ISNUMBER(FIND("x"&amp;MID(L29,6,1),"x0x1x2x3x4x5x6x7x8x9"))),OR(7&gt;LEN(L29),MID(L29,7,1)=".",ISNUMBER(FIND("x"&amp;MID(L29,7,1),"x0x1x2x3x4x5x6x7x8x9"))),OR(8&gt;LEN(L29),MID(L29,8,1)=".",ISNUMBER(FIND("x"&amp;MID(L29,8,1),"x0x1x2x3x4x5x6x7x8x9"))),OR(9&gt;LEN(L29),MID(L29,9,1)=".",ISNUMBER(FIND("x"&amp;MID(L29,9,1),"x0x1x2x3x4x5x6x7x8x9"))),OR(10&gt;LEN(L29),MID(L29,10,1)=".",ISNUMBER(FIND("x"&amp;MID(L29,10,1),"x0x1x2x3x4x5x6x7x8x9"))),OR(AND(FIND(".",L29)=5,LEN(L29)-FIND(".",L29,FIND(".",L29)+1)&gt;=1,LEN(L29)-FIND(".",L29,FIND(".",L29)+1)&lt;=2),AND(LEN(L29)-FIND(".",L29,FIND(".",L29)+1)=4,FIND(".",L29)&gt;=2,FIND(".",L29)&lt;=3)),FIND(".",L29,FIND(".",L29)+1)-FIND(".",L29)&gt;=2,FIND(".",L29,FIND(".",L29)+1)-FIND(".",L29)&lt;=3,P29&gt;=2000,P29&lt;=2100,YEAR(S29)=P29,MONTH(S29)=Q29,DAY(S29)=R29),S29,0)),0)</ns0:f>
        <ns0:v>46583</ns0:v>
      </ns0:c>
      <ns0:c r="U29" s="0" t="str">
        <ns0:f>IF(Bookings!C29="","Full day",Bookings!C29)</ns0:f>
        <ns0:v>PM</ns0:v>
      </ns0:c>
      <ns0:c r="V29" s="0" t="str">
        <ns0:f>IF(Bookings!E29="","Full day",Bookings!E29)</ns0:f>
        <ns0:v>Full day</ns0:v>
      </ns0:c>
      <ns0:c r="W29" s="0">
        <ns0:f>IF(J29=0,0,J29+IF(U29="PM",1,0))</ns0:f>
        <ns0:v>46583</ns0:v>
      </ns0:c>
      <ns0:c r="X29" s="0">
        <ns0:f>IF(T29=0,0,T29-IF(V29="PM",1,0))</ns0:f>
        <ns0:v>46583</ns0:v>
      </ns0:c>
      <ns0:c r="Y29" s="0">
        <ns0:f>IF(J29=0,0,J29+IF(U29="AM",1,0))</ns0:f>
        <ns0:v>46582</ns0:v>
      </ns0:c>
      <ns0:c r="Z29" s="0">
        <ns0:f>IF(T29=0,0,T29-IF(V29="AM",1,0))</ns0:f>
        <ns0:v>46583</ns0:v>
      </ns0:c>
      <ns0:c r="AA29" s="0">
        <ns0:f>IFERROR(IF(AND(J29&gt;0,'_Engine'!C29&gt;0,MID('_Engine'!W29,WEEKDAY(J29,2),1)="W",COUNTIF(Settings!$F$18:$F$67,J29)=0),1,0),0)</ns0:f>
        <ns0:v>1</ns0:v>
      </ns0:c>
      <ns0:c r="AB29" s="0">
        <ns0:f>IFERROR(IF(AND(T29&gt;0,'_Engine'!C29&gt;0,MID('_Engine'!W29,WEEKDAY(T29,2),1)="W",COUNTIF(Settings!$F$18:$F$67,T29)=0),1,0),0)</ns0:f>
        <ns0:v>1</ns0:v>
      </ns0:c>
      <ns0:c r="AC29" s="0">
        <ns0:f>IF(AND(J29&gt;0,T29&gt;0,W29&lt;=X29),1,0)</ns0:f>
        <ns0:v>1</ns0:v>
      </ns0:c>
      <ns0:c r="AD29" s="0">
        <ns0:f>IF(AND(J29&gt;0,T29&gt;0,Y29&lt;=Z29),1,0)</ns0:f>
        <ns0:v>1</ns0:v>
      </ns0:c>
    </ns0:row>
    <ns0:row r="30">
      <ns0:c r="A30" s="0" t="str">
        <ns0:f>IFERROR(IF(ISNUMBER(Bookings!B30),"",TRIM(Bookings!B30&amp;"")),"")</ns0:f>
        <ns0:v>14.07.2027</ns0:v>
      </ns0:c>
      <ns0:c r="B30" s="0" t="str">
        <ns0:f>IFERROR(SUBSTITUTE(SUBSTITUTE(A30,"/","."),"-","."),"")</ns0:f>
        <ns0:v>14.07.2027</ns0:v>
      </ns0:c>
      <ns0:c r="C30" s="0">
        <ns0:f>IFERROR(LEFT(B30,FIND(".",B30)-1),"")</ns0:f>
        <ns0:v>14</ns0:v>
      </ns0:c>
      <ns0:c r="D30" s="0">
        <ns0:f>IFERROR(MID(B30,FIND(".",B30)+1,FIND(".",B30,FIND(".",B30)+1)-FIND(".",B30)-1),"")</ns0:f>
        <ns0:v>7</ns0:v>
      </ns0:c>
      <ns0:c r="E30" s="0">
        <ns0:f>IFERROR(MID(B30,FIND(".",B30,FIND(".",B30)+1)+1,99),"")</ns0:f>
        <ns0:v>2027</ns0:v>
      </ns0:c>
      <ns0:c r="F30" s="0">
        <ns0:f>IFERROR(IF(FIND(".",B30)=5,--C30,--E30),0)</ns0:f>
        <ns0:v>2027</ns0:v>
      </ns0:c>
      <ns0:c r="G30" s="0">
        <ns0:f>IFERROR(--D30,0)</ns0:f>
        <ns0:v>7</ns0:v>
      </ns0:c>
      <ns0:c r="H30" s="0">
        <ns0:f>IFERROR(IF(FIND(".",B30)=5,--E30,--C30),0)</ns0:f>
        <ns0:v>14</ns0:v>
      </ns0:c>
      <ns0:c r="I30" s="0">
        <ns0:f>IFERROR(IF(AND(F30&gt;=2000,F30&lt;=2100,G30&gt;=1,G30&lt;=12,H30&gt;=1,H30&lt;=31),DATE(F30,G30,H30),0),0)</ns0:f>
        <ns0:v>46582</ns0:v>
      </ns0:c>
      <ns0:c r="J30" s="0">
        <ns0:f>IFERROR(IF(ISNUMBER(Bookings!B30),IF(AND(Bookings!B30=INT(Bookings!B30),Bookings!B30&gt;=DATE(2000,1,1),Bookings!B30&lt;=DATE(2100,12,31)),Bookings!B30,0),IF(AND(A30&lt;&gt;"",LEN("x"&amp;B30)-LEN(SUBSTITUTE("x"&amp;B30,".",""))=2,OR(1&gt;LEN(B30),MID(B30,1,1)=".",ISNUMBER(FIND("x"&amp;MID(B30,1,1),"x0x1x2x3x4x5x6x7x8x9"))),OR(2&gt;LEN(B30),MID(B30,2,1)=".",ISNUMBER(FIND("x"&amp;MID(B30,2,1),"x0x1x2x3x4x5x6x7x8x9"))),OR(3&gt;LEN(B30),MID(B30,3,1)=".",ISNUMBER(FIND("x"&amp;MID(B30,3,1),"x0x1x2x3x4x5x6x7x8x9"))),OR(4&gt;LEN(B30),MID(B30,4,1)=".",ISNUMBER(FIND("x"&amp;MID(B30,4,1),"x0x1x2x3x4x5x6x7x8x9"))),OR(5&gt;LEN(B30),MID(B30,5,1)=".",ISNUMBER(FIND("x"&amp;MID(B30,5,1),"x0x1x2x3x4x5x6x7x8x9"))),OR(6&gt;LEN(B30),MID(B30,6,1)=".",ISNUMBER(FIND("x"&amp;MID(B30,6,1),"x0x1x2x3x4x5x6x7x8x9"))),OR(7&gt;LEN(B30),MID(B30,7,1)=".",ISNUMBER(FIND("x"&amp;MID(B30,7,1),"x0x1x2x3x4x5x6x7x8x9"))),OR(8&gt;LEN(B30),MID(B30,8,1)=".",ISNUMBER(FIND("x"&amp;MID(B30,8,1),"x0x1x2x3x4x5x6x7x8x9"))),OR(9&gt;LEN(B30),MID(B30,9,1)=".",ISNUMBER(FIND("x"&amp;MID(B30,9,1),"x0x1x2x3x4x5x6x7x8x9"))),OR(10&gt;LEN(B30),MID(B30,10,1)=".",ISNUMBER(FIND("x"&amp;MID(B30,10,1),"x0x1x2x3x4x5x6x7x8x9"))),OR(AND(FIND(".",B30)=5,LEN(B30)-FIND(".",B30,FIND(".",B30)+1)&gt;=1,LEN(B30)-FIND(".",B30,FIND(".",B30)+1)&lt;=2),AND(LEN(B30)-FIND(".",B30,FIND(".",B30)+1)=4,FIND(".",B30)&gt;=2,FIND(".",B30)&lt;=3)),FIND(".",B30,FIND(".",B30)+1)-FIND(".",B30)&gt;=2,FIND(".",B30,FIND(".",B30)+1)-FIND(".",B30)&lt;=3,F30&gt;=2000,F30&lt;=2100,YEAR(I30)=F30,MONTH(I30)=G30,DAY(I30)=H30),I30,0)),0)</ns0:f>
        <ns0:v>46582</ns0:v>
      </ns0:c>
      <ns0:c r="K30" s="0" t="str">
        <ns0:f>IFERROR(IF(ISNUMBER(Bookings!D30),"",TRIM(Bookings!D30&amp;"")),"")</ns0:f>
        <ns0:v>15.07.2027</ns0:v>
      </ns0:c>
      <ns0:c r="L30" s="0" t="str">
        <ns0:f>IFERROR(SUBSTITUTE(SUBSTITUTE(K30,"/","."),"-","."),"")</ns0:f>
        <ns0:v>15.07.2027</ns0:v>
      </ns0:c>
      <ns0:c r="M30" s="0">
        <ns0:f>IFERROR(LEFT(L30,FIND(".",L30)-1),"")</ns0:f>
        <ns0:v>15</ns0:v>
      </ns0:c>
      <ns0:c r="N30" s="0">
        <ns0:f>IFERROR(MID(L30,FIND(".",L30)+1,FIND(".",L30,FIND(".",L30)+1)-FIND(".",L30)-1),"")</ns0:f>
        <ns0:v>7</ns0:v>
      </ns0:c>
      <ns0:c r="O30" s="0">
        <ns0:f>IFERROR(MID(L30,FIND(".",L30,FIND(".",L30)+1)+1,99),"")</ns0:f>
        <ns0:v>2027</ns0:v>
      </ns0:c>
      <ns0:c r="P30" s="0">
        <ns0:f>IFERROR(IF(FIND(".",L30)=5,--M30,--O30),0)</ns0:f>
        <ns0:v>2027</ns0:v>
      </ns0:c>
      <ns0:c r="Q30" s="0">
        <ns0:f>IFERROR(--N30,0)</ns0:f>
        <ns0:v>7</ns0:v>
      </ns0:c>
      <ns0:c r="R30" s="0">
        <ns0:f>IFERROR(IF(FIND(".",L30)=5,--O30,--M30),0)</ns0:f>
        <ns0:v>15</ns0:v>
      </ns0:c>
      <ns0:c r="S30" s="0">
        <ns0:f>IFERROR(IF(AND(P30&gt;=2000,P30&lt;=2100,Q30&gt;=1,Q30&lt;=12,R30&gt;=1,R30&lt;=31),DATE(P30,Q30,R30),0),0)</ns0:f>
        <ns0:v>46583</ns0:v>
      </ns0:c>
      <ns0:c r="T30" s="0">
        <ns0:f>IFERROR(IF(ISNUMBER(Bookings!D30),IF(AND(Bookings!D30=INT(Bookings!D30),Bookings!D30&gt;=DATE(2000,1,1),Bookings!D30&lt;=DATE(2100,12,31)),Bookings!D30,0),IF(AND(K30&lt;&gt;"",LEN("x"&amp;L30)-LEN(SUBSTITUTE("x"&amp;L30,".",""))=2,OR(1&gt;LEN(L30),MID(L30,1,1)=".",ISNUMBER(FIND("x"&amp;MID(L30,1,1),"x0x1x2x3x4x5x6x7x8x9"))),OR(2&gt;LEN(L30),MID(L30,2,1)=".",ISNUMBER(FIND("x"&amp;MID(L30,2,1),"x0x1x2x3x4x5x6x7x8x9"))),OR(3&gt;LEN(L30),MID(L30,3,1)=".",ISNUMBER(FIND("x"&amp;MID(L30,3,1),"x0x1x2x3x4x5x6x7x8x9"))),OR(4&gt;LEN(L30),MID(L30,4,1)=".",ISNUMBER(FIND("x"&amp;MID(L30,4,1),"x0x1x2x3x4x5x6x7x8x9"))),OR(5&gt;LEN(L30),MID(L30,5,1)=".",ISNUMBER(FIND("x"&amp;MID(L30,5,1),"x0x1x2x3x4x5x6x7x8x9"))),OR(6&gt;LEN(L30),MID(L30,6,1)=".",ISNUMBER(FIND("x"&amp;MID(L30,6,1),"x0x1x2x3x4x5x6x7x8x9"))),OR(7&gt;LEN(L30),MID(L30,7,1)=".",ISNUMBER(FIND("x"&amp;MID(L30,7,1),"x0x1x2x3x4x5x6x7x8x9"))),OR(8&gt;LEN(L30),MID(L30,8,1)=".",ISNUMBER(FIND("x"&amp;MID(L30,8,1),"x0x1x2x3x4x5x6x7x8x9"))),OR(9&gt;LEN(L30),MID(L30,9,1)=".",ISNUMBER(FIND("x"&amp;MID(L30,9,1),"x0x1x2x3x4x5x6x7x8x9"))),OR(10&gt;LEN(L30),MID(L30,10,1)=".",ISNUMBER(FIND("x"&amp;MID(L30,10,1),"x0x1x2x3x4x5x6x7x8x9"))),OR(AND(FIND(".",L30)=5,LEN(L30)-FIND(".",L30,FIND(".",L30)+1)&gt;=1,LEN(L30)-FIND(".",L30,FIND(".",L30)+1)&lt;=2),AND(LEN(L30)-FIND(".",L30,FIND(".",L30)+1)=4,FIND(".",L30)&gt;=2,FIND(".",L30)&lt;=3)),FIND(".",L30,FIND(".",L30)+1)-FIND(".",L30)&gt;=2,FIND(".",L30,FIND(".",L30)+1)-FIND(".",L30)&lt;=3,P30&gt;=2000,P30&lt;=2100,YEAR(S30)=P30,MONTH(S30)=Q30,DAY(S30)=R30),S30,0)),0)</ns0:f>
        <ns0:v>46583</ns0:v>
      </ns0:c>
      <ns0:c r="U30" s="0" t="str">
        <ns0:f>IF(Bookings!C30="","Full day",Bookings!C30)</ns0:f>
        <ns0:v>PM</ns0:v>
      </ns0:c>
      <ns0:c r="V30" s="0" t="str">
        <ns0:f>IF(Bookings!E30="","Full day",Bookings!E30)</ns0:f>
        <ns0:v>AM</ns0:v>
      </ns0:c>
      <ns0:c r="W30" s="0">
        <ns0:f>IF(J30=0,0,J30+IF(U30="PM",1,0))</ns0:f>
        <ns0:v>46583</ns0:v>
      </ns0:c>
      <ns0:c r="X30" s="0">
        <ns0:f>IF(T30=0,0,T30-IF(V30="PM",1,0))</ns0:f>
        <ns0:v>46583</ns0:v>
      </ns0:c>
      <ns0:c r="Y30" s="0">
        <ns0:f>IF(J30=0,0,J30+IF(U30="AM",1,0))</ns0:f>
        <ns0:v>46582</ns0:v>
      </ns0:c>
      <ns0:c r="Z30" s="0">
        <ns0:f>IF(T30=0,0,T30-IF(V30="AM",1,0))</ns0:f>
        <ns0:v>46582</ns0:v>
      </ns0:c>
      <ns0:c r="AA30" s="0">
        <ns0:f>IFERROR(IF(AND(J30&gt;0,'_Engine'!C30&gt;0,MID('_Engine'!W30,WEEKDAY(J30,2),1)="W",COUNTIF(Settings!$F$18:$F$67,J30)=0),1,0),0)</ns0:f>
        <ns0:v>1</ns0:v>
      </ns0:c>
      <ns0:c r="AB30" s="0">
        <ns0:f>IFERROR(IF(AND(T30&gt;0,'_Engine'!C30&gt;0,MID('_Engine'!W30,WEEKDAY(T30,2),1)="W",COUNTIF(Settings!$F$18:$F$67,T30)=0),1,0),0)</ns0:f>
        <ns0:v>1</ns0:v>
      </ns0:c>
      <ns0:c r="AC30" s="0">
        <ns0:f>IF(AND(J30&gt;0,T30&gt;0,W30&lt;=X30),1,0)</ns0:f>
        <ns0:v>1</ns0:v>
      </ns0:c>
      <ns0:c r="AD30" s="0">
        <ns0:f>IF(AND(J30&gt;0,T30&gt;0,Y30&lt;=Z30),1,0)</ns0:f>
        <ns0:v>1</ns0:v>
      </ns0:c>
    </ns0:row>
    <ns0:row r="31">
      <ns0:c r="A31" s="0">
        <ns0:f>IFERROR(IF(ISNUMBER(Bookings!B31),"",TRIM(Bookings!B31&amp;"")),"")</ns0:f>
      </ns0:c>
      <ns0:c r="B31" s="0">
        <ns0:f>IFERROR(SUBSTITUTE(SUBSTITUTE(A31,"/","."),"-","."),"")</ns0:f>
      </ns0:c>
      <ns0:c r="C31" s="0">
        <ns0:f>IFERROR(LEFT(B31,FIND(".",B31)-1),"")</ns0:f>
      </ns0:c>
      <ns0:c r="D31" s="0">
        <ns0:f>IFERROR(MID(B31,FIND(".",B31)+1,FIND(".",B31,FIND(".",B31)+1)-FIND(".",B31)-1),"")</ns0:f>
      </ns0:c>
      <ns0:c r="E31" s="0">
        <ns0:f>IFERROR(MID(B31,FIND(".",B31,FIND(".",B31)+1)+1,99),"")</ns0:f>
        <ns0:v>99</ns0:v>
      </ns0:c>
      <ns0:c r="F31" s="0">
        <ns0:f>IFERROR(IF(FIND(".",B31)=5,--C31,--E31),0)</ns0:f>
        <ns0:v>0</ns0:v>
      </ns0:c>
      <ns0:c r="G31" s="0">
        <ns0:f>IFERROR(--D31,0)</ns0:f>
        <ns0:v>0</ns0:v>
      </ns0:c>
      <ns0:c r="H31" s="0">
        <ns0:f>IFERROR(IF(FIND(".",B31)=5,--E31,--C31),0)</ns0:f>
        <ns0:v>0</ns0:v>
      </ns0:c>
      <ns0:c r="I31" s="0">
        <ns0:f>IFERROR(IF(AND(F31&gt;=2000,F31&lt;=2100,G31&gt;=1,G31&lt;=12,H31&gt;=1,H31&lt;=31),DATE(F31,G31,H31),0),0)</ns0:f>
        <ns0:v>0</ns0:v>
      </ns0:c>
      <ns0:c r="J31" s="0">
        <ns0:f>IFERROR(IF(ISNUMBER(Bookings!B31),IF(AND(Bookings!B31=INT(Bookings!B31),Bookings!B31&gt;=DATE(2000,1,1),Bookings!B31&lt;=DATE(2100,12,31)),Bookings!B31,0),IF(AND(A31&lt;&gt;"",LEN("x"&amp;B31)-LEN(SUBSTITUTE("x"&amp;B31,".",""))=2,OR(1&gt;LEN(B31),MID(B31,1,1)=".",ISNUMBER(FIND("x"&amp;MID(B31,1,1),"x0x1x2x3x4x5x6x7x8x9"))),OR(2&gt;LEN(B31),MID(B31,2,1)=".",ISNUMBER(FIND("x"&amp;MID(B31,2,1),"x0x1x2x3x4x5x6x7x8x9"))),OR(3&gt;LEN(B31),MID(B31,3,1)=".",ISNUMBER(FIND("x"&amp;MID(B31,3,1),"x0x1x2x3x4x5x6x7x8x9"))),OR(4&gt;LEN(B31),MID(B31,4,1)=".",ISNUMBER(FIND("x"&amp;MID(B31,4,1),"x0x1x2x3x4x5x6x7x8x9"))),OR(5&gt;LEN(B31),MID(B31,5,1)=".",ISNUMBER(FIND("x"&amp;MID(B31,5,1),"x0x1x2x3x4x5x6x7x8x9"))),OR(6&gt;LEN(B31),MID(B31,6,1)=".",ISNUMBER(FIND("x"&amp;MID(B31,6,1),"x0x1x2x3x4x5x6x7x8x9"))),OR(7&gt;LEN(B31),MID(B31,7,1)=".",ISNUMBER(FIND("x"&amp;MID(B31,7,1),"x0x1x2x3x4x5x6x7x8x9"))),OR(8&gt;LEN(B31),MID(B31,8,1)=".",ISNUMBER(FIND("x"&amp;MID(B31,8,1),"x0x1x2x3x4x5x6x7x8x9"))),OR(9&gt;LEN(B31),MID(B31,9,1)=".",ISNUMBER(FIND("x"&amp;MID(B31,9,1),"x0x1x2x3x4x5x6x7x8x9"))),OR(10&gt;LEN(B31),MID(B31,10,1)=".",ISNUMBER(FIND("x"&amp;MID(B31,10,1),"x0x1x2x3x4x5x6x7x8x9"))),OR(AND(FIND(".",B31)=5,LEN(B31)-FIND(".",B31,FIND(".",B31)+1)&gt;=1,LEN(B31)-FIND(".",B31,FIND(".",B31)+1)&lt;=2),AND(LEN(B31)-FIND(".",B31,FIND(".",B31)+1)=4,FIND(".",B31)&gt;=2,FIND(".",B31)&lt;=3)),FIND(".",B31,FIND(".",B31)+1)-FIND(".",B31)&gt;=2,FIND(".",B31,FIND(".",B31)+1)-FIND(".",B31)&lt;=3,F31&gt;=2000,F31&lt;=2100,YEAR(I31)=F31,MONTH(I31)=G31,DAY(I31)=H31),I31,0)),0)</ns0:f>
        <ns0:v>0</ns0:v>
      </ns0:c>
      <ns0:c r="K31" s="0">
        <ns0:f>IFERROR(IF(ISNUMBER(Bookings!D31),"",TRIM(Bookings!D31&amp;"")),"")</ns0:f>
      </ns0:c>
      <ns0:c r="L31" s="0">
        <ns0:f>IFERROR(SUBSTITUTE(SUBSTITUTE(K31,"/","."),"-","."),"")</ns0:f>
      </ns0:c>
      <ns0:c r="M31" s="0">
        <ns0:f>IFERROR(LEFT(L31,FIND(".",L31)-1),"")</ns0:f>
      </ns0:c>
      <ns0:c r="N31" s="0">
        <ns0:f>IFERROR(MID(L31,FIND(".",L31)+1,FIND(".",L31,FIND(".",L31)+1)-FIND(".",L31)-1),"")</ns0:f>
      </ns0:c>
      <ns0:c r="O31" s="0">
        <ns0:f>IFERROR(MID(L31,FIND(".",L31,FIND(".",L31)+1)+1,99),"")</ns0:f>
        <ns0:v>99</ns0:v>
      </ns0:c>
      <ns0:c r="P31" s="0">
        <ns0:f>IFERROR(IF(FIND(".",L31)=5,--M31,--O31),0)</ns0:f>
        <ns0:v>0</ns0:v>
      </ns0:c>
      <ns0:c r="Q31" s="0">
        <ns0:f>IFERROR(--N31,0)</ns0:f>
        <ns0:v>0</ns0:v>
      </ns0:c>
      <ns0:c r="R31" s="0">
        <ns0:f>IFERROR(IF(FIND(".",L31)=5,--O31,--M31),0)</ns0:f>
        <ns0:v>0</ns0:v>
      </ns0:c>
      <ns0:c r="S31" s="0">
        <ns0:f>IFERROR(IF(AND(P31&gt;=2000,P31&lt;=2100,Q31&gt;=1,Q31&lt;=12,R31&gt;=1,R31&lt;=31),DATE(P31,Q31,R31),0),0)</ns0:f>
        <ns0:v>0</ns0:v>
      </ns0:c>
      <ns0:c r="T31" s="0">
        <ns0:f>IFERROR(IF(ISNUMBER(Bookings!D31),IF(AND(Bookings!D31=INT(Bookings!D31),Bookings!D31&gt;=DATE(2000,1,1),Bookings!D31&lt;=DATE(2100,12,31)),Bookings!D31,0),IF(AND(K31&lt;&gt;"",LEN("x"&amp;L31)-LEN(SUBSTITUTE("x"&amp;L31,".",""))=2,OR(1&gt;LEN(L31),MID(L31,1,1)=".",ISNUMBER(FIND("x"&amp;MID(L31,1,1),"x0x1x2x3x4x5x6x7x8x9"))),OR(2&gt;LEN(L31),MID(L31,2,1)=".",ISNUMBER(FIND("x"&amp;MID(L31,2,1),"x0x1x2x3x4x5x6x7x8x9"))),OR(3&gt;LEN(L31),MID(L31,3,1)=".",ISNUMBER(FIND("x"&amp;MID(L31,3,1),"x0x1x2x3x4x5x6x7x8x9"))),OR(4&gt;LEN(L31),MID(L31,4,1)=".",ISNUMBER(FIND("x"&amp;MID(L31,4,1),"x0x1x2x3x4x5x6x7x8x9"))),OR(5&gt;LEN(L31),MID(L31,5,1)=".",ISNUMBER(FIND("x"&amp;MID(L31,5,1),"x0x1x2x3x4x5x6x7x8x9"))),OR(6&gt;LEN(L31),MID(L31,6,1)=".",ISNUMBER(FIND("x"&amp;MID(L31,6,1),"x0x1x2x3x4x5x6x7x8x9"))),OR(7&gt;LEN(L31),MID(L31,7,1)=".",ISNUMBER(FIND("x"&amp;MID(L31,7,1),"x0x1x2x3x4x5x6x7x8x9"))),OR(8&gt;LEN(L31),MID(L31,8,1)=".",ISNUMBER(FIND("x"&amp;MID(L31,8,1),"x0x1x2x3x4x5x6x7x8x9"))),OR(9&gt;LEN(L31),MID(L31,9,1)=".",ISNUMBER(FIND("x"&amp;MID(L31,9,1),"x0x1x2x3x4x5x6x7x8x9"))),OR(10&gt;LEN(L31),MID(L31,10,1)=".",ISNUMBER(FIND("x"&amp;MID(L31,10,1),"x0x1x2x3x4x5x6x7x8x9"))),OR(AND(FIND(".",L31)=5,LEN(L31)-FIND(".",L31,FIND(".",L31)+1)&gt;=1,LEN(L31)-FIND(".",L31,FIND(".",L31)+1)&lt;=2),AND(LEN(L31)-FIND(".",L31,FIND(".",L31)+1)=4,FIND(".",L31)&gt;=2,FIND(".",L31)&lt;=3)),FIND(".",L31,FIND(".",L31)+1)-FIND(".",L31)&gt;=2,FIND(".",L31,FIND(".",L31)+1)-FIND(".",L31)&lt;=3,P31&gt;=2000,P31&lt;=2100,YEAR(S31)=P31,MONTH(S31)=Q31,DAY(S31)=R31),S31,0)),0)</ns0:f>
        <ns0:v>0</ns0:v>
      </ns0:c>
      <ns0:c r="U31" s="0" t="str">
        <ns0:f>IF(Bookings!C31="","Full day",Bookings!C31)</ns0:f>
        <ns0:v>Full day</ns0:v>
      </ns0:c>
      <ns0:c r="V31" s="0" t="str">
        <ns0:f>IF(Bookings!E31="","Full day",Bookings!E31)</ns0:f>
        <ns0:v>Full day</ns0:v>
      </ns0:c>
      <ns0:c r="W31" s="0">
        <ns0:f>IF(J31=0,0,J31+IF(U31="PM",1,0))</ns0:f>
        <ns0:v>0</ns0:v>
      </ns0:c>
      <ns0:c r="X31" s="0">
        <ns0:f>IF(T31=0,0,T31-IF(V31="PM",1,0))</ns0:f>
        <ns0:v>0</ns0:v>
      </ns0:c>
      <ns0:c r="Y31" s="0">
        <ns0:f>IF(J31=0,0,J31+IF(U31="AM",1,0))</ns0:f>
        <ns0:v>0</ns0:v>
      </ns0:c>
      <ns0:c r="Z31" s="0">
        <ns0:f>IF(T31=0,0,T31-IF(V31="AM",1,0))</ns0:f>
        <ns0:v>0</ns0:v>
      </ns0:c>
      <ns0:c r="AA31" s="0">
        <ns0:f>IFERROR(IF(AND(J31&gt;0,'_Engine'!C31&gt;0,MID('_Engine'!W31,WEEKDAY(J31,2),1)="W",COUNTIF(Settings!$F$18:$F$67,J31)=0),1,0),0)</ns0:f>
        <ns0:v>0</ns0:v>
      </ns0:c>
      <ns0:c r="AB31" s="0">
        <ns0:f>IFERROR(IF(AND(T31&gt;0,'_Engine'!C31&gt;0,MID('_Engine'!W31,WEEKDAY(T31,2),1)="W",COUNTIF(Settings!$F$18:$F$67,T31)=0),1,0),0)</ns0:f>
        <ns0:v>0</ns0:v>
      </ns0:c>
      <ns0:c r="AC31" s="0">
        <ns0:f>IF(AND(J31&gt;0,T31&gt;0,W31&lt;=X31),1,0)</ns0:f>
        <ns0:v>0</ns0:v>
      </ns0:c>
      <ns0:c r="AD31" s="0">
        <ns0:f>IF(AND(J31&gt;0,T31&gt;0,Y31&lt;=Z31),1,0)</ns0:f>
        <ns0:v>0</ns0:v>
      </ns0:c>
    </ns0:row>
    <ns0:row r="32">
      <ns0:c r="A32" s="0">
        <ns0:f>IFERROR(IF(ISNUMBER(Bookings!B32),"",TRIM(Bookings!B32&amp;"")),"")</ns0:f>
      </ns0:c>
      <ns0:c r="B32" s="0">
        <ns0:f>IFERROR(SUBSTITUTE(SUBSTITUTE(A32,"/","."),"-","."),"")</ns0:f>
      </ns0:c>
      <ns0:c r="C32" s="0">
        <ns0:f>IFERROR(LEFT(B32,FIND(".",B32)-1),"")</ns0:f>
      </ns0:c>
      <ns0:c r="D32" s="0">
        <ns0:f>IFERROR(MID(B32,FIND(".",B32)+1,FIND(".",B32,FIND(".",B32)+1)-FIND(".",B32)-1),"")</ns0:f>
      </ns0:c>
      <ns0:c r="E32" s="0">
        <ns0:f>IFERROR(MID(B32,FIND(".",B32,FIND(".",B32)+1)+1,99),"")</ns0:f>
        <ns0:v>99</ns0:v>
      </ns0:c>
      <ns0:c r="F32" s="0">
        <ns0:f>IFERROR(IF(FIND(".",B32)=5,--C32,--E32),0)</ns0:f>
        <ns0:v>0</ns0:v>
      </ns0:c>
      <ns0:c r="G32" s="0">
        <ns0:f>IFERROR(--D32,0)</ns0:f>
        <ns0:v>0</ns0:v>
      </ns0:c>
      <ns0:c r="H32" s="0">
        <ns0:f>IFERROR(IF(FIND(".",B32)=5,--E32,--C32),0)</ns0:f>
        <ns0:v>0</ns0:v>
      </ns0:c>
      <ns0:c r="I32" s="0">
        <ns0:f>IFERROR(IF(AND(F32&gt;=2000,F32&lt;=2100,G32&gt;=1,G32&lt;=12,H32&gt;=1,H32&lt;=31),DATE(F32,G32,H32),0),0)</ns0:f>
        <ns0:v>0</ns0:v>
      </ns0:c>
      <ns0:c r="J32" s="0">
        <ns0:f>IFERROR(IF(ISNUMBER(Bookings!B32),IF(AND(Bookings!B32=INT(Bookings!B32),Bookings!B32&gt;=DATE(2000,1,1),Bookings!B32&lt;=DATE(2100,12,31)),Bookings!B32,0),IF(AND(A32&lt;&gt;"",LEN("x"&amp;B32)-LEN(SUBSTITUTE("x"&amp;B32,".",""))=2,OR(1&gt;LEN(B32),MID(B32,1,1)=".",ISNUMBER(FIND("x"&amp;MID(B32,1,1),"x0x1x2x3x4x5x6x7x8x9"))),OR(2&gt;LEN(B32),MID(B32,2,1)=".",ISNUMBER(FIND("x"&amp;MID(B32,2,1),"x0x1x2x3x4x5x6x7x8x9"))),OR(3&gt;LEN(B32),MID(B32,3,1)=".",ISNUMBER(FIND("x"&amp;MID(B32,3,1),"x0x1x2x3x4x5x6x7x8x9"))),OR(4&gt;LEN(B32),MID(B32,4,1)=".",ISNUMBER(FIND("x"&amp;MID(B32,4,1),"x0x1x2x3x4x5x6x7x8x9"))),OR(5&gt;LEN(B32),MID(B32,5,1)=".",ISNUMBER(FIND("x"&amp;MID(B32,5,1),"x0x1x2x3x4x5x6x7x8x9"))),OR(6&gt;LEN(B32),MID(B32,6,1)=".",ISNUMBER(FIND("x"&amp;MID(B32,6,1),"x0x1x2x3x4x5x6x7x8x9"))),OR(7&gt;LEN(B32),MID(B32,7,1)=".",ISNUMBER(FIND("x"&amp;MID(B32,7,1),"x0x1x2x3x4x5x6x7x8x9"))),OR(8&gt;LEN(B32),MID(B32,8,1)=".",ISNUMBER(FIND("x"&amp;MID(B32,8,1),"x0x1x2x3x4x5x6x7x8x9"))),OR(9&gt;LEN(B32),MID(B32,9,1)=".",ISNUMBER(FIND("x"&amp;MID(B32,9,1),"x0x1x2x3x4x5x6x7x8x9"))),OR(10&gt;LEN(B32),MID(B32,10,1)=".",ISNUMBER(FIND("x"&amp;MID(B32,10,1),"x0x1x2x3x4x5x6x7x8x9"))),OR(AND(FIND(".",B32)=5,LEN(B32)-FIND(".",B32,FIND(".",B32)+1)&gt;=1,LEN(B32)-FIND(".",B32,FIND(".",B32)+1)&lt;=2),AND(LEN(B32)-FIND(".",B32,FIND(".",B32)+1)=4,FIND(".",B32)&gt;=2,FIND(".",B32)&lt;=3)),FIND(".",B32,FIND(".",B32)+1)-FIND(".",B32)&gt;=2,FIND(".",B32,FIND(".",B32)+1)-FIND(".",B32)&lt;=3,F32&gt;=2000,F32&lt;=2100,YEAR(I32)=F32,MONTH(I32)=G32,DAY(I32)=H32),I32,0)),0)</ns0:f>
        <ns0:v>0</ns0:v>
      </ns0:c>
      <ns0:c r="K32" s="0">
        <ns0:f>IFERROR(IF(ISNUMBER(Bookings!D32),"",TRIM(Bookings!D32&amp;"")),"")</ns0:f>
      </ns0:c>
      <ns0:c r="L32" s="0">
        <ns0:f>IFERROR(SUBSTITUTE(SUBSTITUTE(K32,"/","."),"-","."),"")</ns0:f>
      </ns0:c>
      <ns0:c r="M32" s="0">
        <ns0:f>IFERROR(LEFT(L32,FIND(".",L32)-1),"")</ns0:f>
      </ns0:c>
      <ns0:c r="N32" s="0">
        <ns0:f>IFERROR(MID(L32,FIND(".",L32)+1,FIND(".",L32,FIND(".",L32)+1)-FIND(".",L32)-1),"")</ns0:f>
      </ns0:c>
      <ns0:c r="O32" s="0">
        <ns0:f>IFERROR(MID(L32,FIND(".",L32,FIND(".",L32)+1)+1,99),"")</ns0:f>
        <ns0:v>99</ns0:v>
      </ns0:c>
      <ns0:c r="P32" s="0">
        <ns0:f>IFERROR(IF(FIND(".",L32)=5,--M32,--O32),0)</ns0:f>
        <ns0:v>0</ns0:v>
      </ns0:c>
      <ns0:c r="Q32" s="0">
        <ns0:f>IFERROR(--N32,0)</ns0:f>
        <ns0:v>0</ns0:v>
      </ns0:c>
      <ns0:c r="R32" s="0">
        <ns0:f>IFERROR(IF(FIND(".",L32)=5,--O32,--M32),0)</ns0:f>
        <ns0:v>0</ns0:v>
      </ns0:c>
      <ns0:c r="S32" s="0">
        <ns0:f>IFERROR(IF(AND(P32&gt;=2000,P32&lt;=2100,Q32&gt;=1,Q32&lt;=12,R32&gt;=1,R32&lt;=31),DATE(P32,Q32,R32),0),0)</ns0:f>
        <ns0:v>0</ns0:v>
      </ns0:c>
      <ns0:c r="T32" s="0">
        <ns0:f>IFERROR(IF(ISNUMBER(Bookings!D32),IF(AND(Bookings!D32=INT(Bookings!D32),Bookings!D32&gt;=DATE(2000,1,1),Bookings!D32&lt;=DATE(2100,12,31)),Bookings!D32,0),IF(AND(K32&lt;&gt;"",LEN("x"&amp;L32)-LEN(SUBSTITUTE("x"&amp;L32,".",""))=2,OR(1&gt;LEN(L32),MID(L32,1,1)=".",ISNUMBER(FIND("x"&amp;MID(L32,1,1),"x0x1x2x3x4x5x6x7x8x9"))),OR(2&gt;LEN(L32),MID(L32,2,1)=".",ISNUMBER(FIND("x"&amp;MID(L32,2,1),"x0x1x2x3x4x5x6x7x8x9"))),OR(3&gt;LEN(L32),MID(L32,3,1)=".",ISNUMBER(FIND("x"&amp;MID(L32,3,1),"x0x1x2x3x4x5x6x7x8x9"))),OR(4&gt;LEN(L32),MID(L32,4,1)=".",ISNUMBER(FIND("x"&amp;MID(L32,4,1),"x0x1x2x3x4x5x6x7x8x9"))),OR(5&gt;LEN(L32),MID(L32,5,1)=".",ISNUMBER(FIND("x"&amp;MID(L32,5,1),"x0x1x2x3x4x5x6x7x8x9"))),OR(6&gt;LEN(L32),MID(L32,6,1)=".",ISNUMBER(FIND("x"&amp;MID(L32,6,1),"x0x1x2x3x4x5x6x7x8x9"))),OR(7&gt;LEN(L32),MID(L32,7,1)=".",ISNUMBER(FIND("x"&amp;MID(L32,7,1),"x0x1x2x3x4x5x6x7x8x9"))),OR(8&gt;LEN(L32),MID(L32,8,1)=".",ISNUMBER(FIND("x"&amp;MID(L32,8,1),"x0x1x2x3x4x5x6x7x8x9"))),OR(9&gt;LEN(L32),MID(L32,9,1)=".",ISNUMBER(FIND("x"&amp;MID(L32,9,1),"x0x1x2x3x4x5x6x7x8x9"))),OR(10&gt;LEN(L32),MID(L32,10,1)=".",ISNUMBER(FIND("x"&amp;MID(L32,10,1),"x0x1x2x3x4x5x6x7x8x9"))),OR(AND(FIND(".",L32)=5,LEN(L32)-FIND(".",L32,FIND(".",L32)+1)&gt;=1,LEN(L32)-FIND(".",L32,FIND(".",L32)+1)&lt;=2),AND(LEN(L32)-FIND(".",L32,FIND(".",L32)+1)=4,FIND(".",L32)&gt;=2,FIND(".",L32)&lt;=3)),FIND(".",L32,FIND(".",L32)+1)-FIND(".",L32)&gt;=2,FIND(".",L32,FIND(".",L32)+1)-FIND(".",L32)&lt;=3,P32&gt;=2000,P32&lt;=2100,YEAR(S32)=P32,MONTH(S32)=Q32,DAY(S32)=R32),S32,0)),0)</ns0:f>
        <ns0:v>0</ns0:v>
      </ns0:c>
      <ns0:c r="U32" s="0" t="str">
        <ns0:f>IF(Bookings!C32="","Full day",Bookings!C32)</ns0:f>
        <ns0:v>Full day</ns0:v>
      </ns0:c>
      <ns0:c r="V32" s="0" t="str">
        <ns0:f>IF(Bookings!E32="","Full day",Bookings!E32)</ns0:f>
        <ns0:v>Full day</ns0:v>
      </ns0:c>
      <ns0:c r="W32" s="0">
        <ns0:f>IF(J32=0,0,J32+IF(U32="PM",1,0))</ns0:f>
        <ns0:v>0</ns0:v>
      </ns0:c>
      <ns0:c r="X32" s="0">
        <ns0:f>IF(T32=0,0,T32-IF(V32="PM",1,0))</ns0:f>
        <ns0:v>0</ns0:v>
      </ns0:c>
      <ns0:c r="Y32" s="0">
        <ns0:f>IF(J32=0,0,J32+IF(U32="AM",1,0))</ns0:f>
        <ns0:v>0</ns0:v>
      </ns0:c>
      <ns0:c r="Z32" s="0">
        <ns0:f>IF(T32=0,0,T32-IF(V32="AM",1,0))</ns0:f>
        <ns0:v>0</ns0:v>
      </ns0:c>
      <ns0:c r="AA32" s="0">
        <ns0:f>IFERROR(IF(AND(J32&gt;0,'_Engine'!C32&gt;0,MID('_Engine'!W32,WEEKDAY(J32,2),1)="W",COUNTIF(Settings!$F$18:$F$67,J32)=0),1,0),0)</ns0:f>
        <ns0:v>0</ns0:v>
      </ns0:c>
      <ns0:c r="AB32" s="0">
        <ns0:f>IFERROR(IF(AND(T32&gt;0,'_Engine'!C32&gt;0,MID('_Engine'!W32,WEEKDAY(T32,2),1)="W",COUNTIF(Settings!$F$18:$F$67,T32)=0),1,0),0)</ns0:f>
        <ns0:v>0</ns0:v>
      </ns0:c>
      <ns0:c r="AC32" s="0">
        <ns0:f>IF(AND(J32&gt;0,T32&gt;0,W32&lt;=X32),1,0)</ns0:f>
        <ns0:v>0</ns0:v>
      </ns0:c>
      <ns0:c r="AD32" s="0">
        <ns0:f>IF(AND(J32&gt;0,T32&gt;0,Y32&lt;=Z32),1,0)</ns0:f>
        <ns0:v>0</ns0:v>
      </ns0:c>
    </ns0:row>
    <ns0:row r="33">
      <ns0:c r="A33" s="0">
        <ns0:f>IFERROR(IF(ISNUMBER(Bookings!B33),"",TRIM(Bookings!B33&amp;"")),"")</ns0:f>
      </ns0:c>
      <ns0:c r="B33" s="0">
        <ns0:f>IFERROR(SUBSTITUTE(SUBSTITUTE(A33,"/","."),"-","."),"")</ns0:f>
      </ns0:c>
      <ns0:c r="C33" s="0">
        <ns0:f>IFERROR(LEFT(B33,FIND(".",B33)-1),"")</ns0:f>
      </ns0:c>
      <ns0:c r="D33" s="0">
        <ns0:f>IFERROR(MID(B33,FIND(".",B33)+1,FIND(".",B33,FIND(".",B33)+1)-FIND(".",B33)-1),"")</ns0:f>
      </ns0:c>
      <ns0:c r="E33" s="0">
        <ns0:f>IFERROR(MID(B33,FIND(".",B33,FIND(".",B33)+1)+1,99),"")</ns0:f>
        <ns0:v>99</ns0:v>
      </ns0:c>
      <ns0:c r="F33" s="0">
        <ns0:f>IFERROR(IF(FIND(".",B33)=5,--C33,--E33),0)</ns0:f>
        <ns0:v>0</ns0:v>
      </ns0:c>
      <ns0:c r="G33" s="0">
        <ns0:f>IFERROR(--D33,0)</ns0:f>
        <ns0:v>0</ns0:v>
      </ns0:c>
      <ns0:c r="H33" s="0">
        <ns0:f>IFERROR(IF(FIND(".",B33)=5,--E33,--C33),0)</ns0:f>
        <ns0:v>0</ns0:v>
      </ns0:c>
      <ns0:c r="I33" s="0">
        <ns0:f>IFERROR(IF(AND(F33&gt;=2000,F33&lt;=2100,G33&gt;=1,G33&lt;=12,H33&gt;=1,H33&lt;=31),DATE(F33,G33,H33),0),0)</ns0:f>
        <ns0:v>0</ns0:v>
      </ns0:c>
      <ns0:c r="J33" s="0">
        <ns0:f>IFERROR(IF(ISNUMBER(Bookings!B33),IF(AND(Bookings!B33=INT(Bookings!B33),Bookings!B33&gt;=DATE(2000,1,1),Bookings!B33&lt;=DATE(2100,12,31)),Bookings!B33,0),IF(AND(A33&lt;&gt;"",LEN("x"&amp;B33)-LEN(SUBSTITUTE("x"&amp;B33,".",""))=2,OR(1&gt;LEN(B33),MID(B33,1,1)=".",ISNUMBER(FIND("x"&amp;MID(B33,1,1),"x0x1x2x3x4x5x6x7x8x9"))),OR(2&gt;LEN(B33),MID(B33,2,1)=".",ISNUMBER(FIND("x"&amp;MID(B33,2,1),"x0x1x2x3x4x5x6x7x8x9"))),OR(3&gt;LEN(B33),MID(B33,3,1)=".",ISNUMBER(FIND("x"&amp;MID(B33,3,1),"x0x1x2x3x4x5x6x7x8x9"))),OR(4&gt;LEN(B33),MID(B33,4,1)=".",ISNUMBER(FIND("x"&amp;MID(B33,4,1),"x0x1x2x3x4x5x6x7x8x9"))),OR(5&gt;LEN(B33),MID(B33,5,1)=".",ISNUMBER(FIND("x"&amp;MID(B33,5,1),"x0x1x2x3x4x5x6x7x8x9"))),OR(6&gt;LEN(B33),MID(B33,6,1)=".",ISNUMBER(FIND("x"&amp;MID(B33,6,1),"x0x1x2x3x4x5x6x7x8x9"))),OR(7&gt;LEN(B33),MID(B33,7,1)=".",ISNUMBER(FIND("x"&amp;MID(B33,7,1),"x0x1x2x3x4x5x6x7x8x9"))),OR(8&gt;LEN(B33),MID(B33,8,1)=".",ISNUMBER(FIND("x"&amp;MID(B33,8,1),"x0x1x2x3x4x5x6x7x8x9"))),OR(9&gt;LEN(B33),MID(B33,9,1)=".",ISNUMBER(FIND("x"&amp;MID(B33,9,1),"x0x1x2x3x4x5x6x7x8x9"))),OR(10&gt;LEN(B33),MID(B33,10,1)=".",ISNUMBER(FIND("x"&amp;MID(B33,10,1),"x0x1x2x3x4x5x6x7x8x9"))),OR(AND(FIND(".",B33)=5,LEN(B33)-FIND(".",B33,FIND(".",B33)+1)&gt;=1,LEN(B33)-FIND(".",B33,FIND(".",B33)+1)&lt;=2),AND(LEN(B33)-FIND(".",B33,FIND(".",B33)+1)=4,FIND(".",B33)&gt;=2,FIND(".",B33)&lt;=3)),FIND(".",B33,FIND(".",B33)+1)-FIND(".",B33)&gt;=2,FIND(".",B33,FIND(".",B33)+1)-FIND(".",B33)&lt;=3,F33&gt;=2000,F33&lt;=2100,YEAR(I33)=F33,MONTH(I33)=G33,DAY(I33)=H33),I33,0)),0)</ns0:f>
        <ns0:v>0</ns0:v>
      </ns0:c>
      <ns0:c r="K33" s="0">
        <ns0:f>IFERROR(IF(ISNUMBER(Bookings!D33),"",TRIM(Bookings!D33&amp;"")),"")</ns0:f>
      </ns0:c>
      <ns0:c r="L33" s="0">
        <ns0:f>IFERROR(SUBSTITUTE(SUBSTITUTE(K33,"/","."),"-","."),"")</ns0:f>
      </ns0:c>
      <ns0:c r="M33" s="0">
        <ns0:f>IFERROR(LEFT(L33,FIND(".",L33)-1),"")</ns0:f>
      </ns0:c>
      <ns0:c r="N33" s="0">
        <ns0:f>IFERROR(MID(L33,FIND(".",L33)+1,FIND(".",L33,FIND(".",L33)+1)-FIND(".",L33)-1),"")</ns0:f>
      </ns0:c>
      <ns0:c r="O33" s="0">
        <ns0:f>IFERROR(MID(L33,FIND(".",L33,FIND(".",L33)+1)+1,99),"")</ns0:f>
        <ns0:v>99</ns0:v>
      </ns0:c>
      <ns0:c r="P33" s="0">
        <ns0:f>IFERROR(IF(FIND(".",L33)=5,--M33,--O33),0)</ns0:f>
        <ns0:v>0</ns0:v>
      </ns0:c>
      <ns0:c r="Q33" s="0">
        <ns0:f>IFERROR(--N33,0)</ns0:f>
        <ns0:v>0</ns0:v>
      </ns0:c>
      <ns0:c r="R33" s="0">
        <ns0:f>IFERROR(IF(FIND(".",L33)=5,--O33,--M33),0)</ns0:f>
        <ns0:v>0</ns0:v>
      </ns0:c>
      <ns0:c r="S33" s="0">
        <ns0:f>IFERROR(IF(AND(P33&gt;=2000,P33&lt;=2100,Q33&gt;=1,Q33&lt;=12,R33&gt;=1,R33&lt;=31),DATE(P33,Q33,R33),0),0)</ns0:f>
        <ns0:v>0</ns0:v>
      </ns0:c>
      <ns0:c r="T33" s="0">
        <ns0:f>IFERROR(IF(ISNUMBER(Bookings!D33),IF(AND(Bookings!D33=INT(Bookings!D33),Bookings!D33&gt;=DATE(2000,1,1),Bookings!D33&lt;=DATE(2100,12,31)),Bookings!D33,0),IF(AND(K33&lt;&gt;"",LEN("x"&amp;L33)-LEN(SUBSTITUTE("x"&amp;L33,".",""))=2,OR(1&gt;LEN(L33),MID(L33,1,1)=".",ISNUMBER(FIND("x"&amp;MID(L33,1,1),"x0x1x2x3x4x5x6x7x8x9"))),OR(2&gt;LEN(L33),MID(L33,2,1)=".",ISNUMBER(FIND("x"&amp;MID(L33,2,1),"x0x1x2x3x4x5x6x7x8x9"))),OR(3&gt;LEN(L33),MID(L33,3,1)=".",ISNUMBER(FIND("x"&amp;MID(L33,3,1),"x0x1x2x3x4x5x6x7x8x9"))),OR(4&gt;LEN(L33),MID(L33,4,1)=".",ISNUMBER(FIND("x"&amp;MID(L33,4,1),"x0x1x2x3x4x5x6x7x8x9"))),OR(5&gt;LEN(L33),MID(L33,5,1)=".",ISNUMBER(FIND("x"&amp;MID(L33,5,1),"x0x1x2x3x4x5x6x7x8x9"))),OR(6&gt;LEN(L33),MID(L33,6,1)=".",ISNUMBER(FIND("x"&amp;MID(L33,6,1),"x0x1x2x3x4x5x6x7x8x9"))),OR(7&gt;LEN(L33),MID(L33,7,1)=".",ISNUMBER(FIND("x"&amp;MID(L33,7,1),"x0x1x2x3x4x5x6x7x8x9"))),OR(8&gt;LEN(L33),MID(L33,8,1)=".",ISNUMBER(FIND("x"&amp;MID(L33,8,1),"x0x1x2x3x4x5x6x7x8x9"))),OR(9&gt;LEN(L33),MID(L33,9,1)=".",ISNUMBER(FIND("x"&amp;MID(L33,9,1),"x0x1x2x3x4x5x6x7x8x9"))),OR(10&gt;LEN(L33),MID(L33,10,1)=".",ISNUMBER(FIND("x"&amp;MID(L33,10,1),"x0x1x2x3x4x5x6x7x8x9"))),OR(AND(FIND(".",L33)=5,LEN(L33)-FIND(".",L33,FIND(".",L33)+1)&gt;=1,LEN(L33)-FIND(".",L33,FIND(".",L33)+1)&lt;=2),AND(LEN(L33)-FIND(".",L33,FIND(".",L33)+1)=4,FIND(".",L33)&gt;=2,FIND(".",L33)&lt;=3)),FIND(".",L33,FIND(".",L33)+1)-FIND(".",L33)&gt;=2,FIND(".",L33,FIND(".",L33)+1)-FIND(".",L33)&lt;=3,P33&gt;=2000,P33&lt;=2100,YEAR(S33)=P33,MONTH(S33)=Q33,DAY(S33)=R33),S33,0)),0)</ns0:f>
        <ns0:v>0</ns0:v>
      </ns0:c>
      <ns0:c r="U33" s="0" t="str">
        <ns0:f>IF(Bookings!C33="","Full day",Bookings!C33)</ns0:f>
        <ns0:v>Full day</ns0:v>
      </ns0:c>
      <ns0:c r="V33" s="0" t="str">
        <ns0:f>IF(Bookings!E33="","Full day",Bookings!E33)</ns0:f>
        <ns0:v>Full day</ns0:v>
      </ns0:c>
      <ns0:c r="W33" s="0">
        <ns0:f>IF(J33=0,0,J33+IF(U33="PM",1,0))</ns0:f>
        <ns0:v>0</ns0:v>
      </ns0:c>
      <ns0:c r="X33" s="0">
        <ns0:f>IF(T33=0,0,T33-IF(V33="PM",1,0))</ns0:f>
        <ns0:v>0</ns0:v>
      </ns0:c>
      <ns0:c r="Y33" s="0">
        <ns0:f>IF(J33=0,0,J33+IF(U33="AM",1,0))</ns0:f>
        <ns0:v>0</ns0:v>
      </ns0:c>
      <ns0:c r="Z33" s="0">
        <ns0:f>IF(T33=0,0,T33-IF(V33="AM",1,0))</ns0:f>
        <ns0:v>0</ns0:v>
      </ns0:c>
      <ns0:c r="AA33" s="0">
        <ns0:f>IFERROR(IF(AND(J33&gt;0,'_Engine'!C33&gt;0,MID('_Engine'!W33,WEEKDAY(J33,2),1)="W",COUNTIF(Settings!$F$18:$F$67,J33)=0),1,0),0)</ns0:f>
        <ns0:v>0</ns0:v>
      </ns0:c>
      <ns0:c r="AB33" s="0">
        <ns0:f>IFERROR(IF(AND(T33&gt;0,'_Engine'!C33&gt;0,MID('_Engine'!W33,WEEKDAY(T33,2),1)="W",COUNTIF(Settings!$F$18:$F$67,T33)=0),1,0),0)</ns0:f>
        <ns0:v>0</ns0:v>
      </ns0:c>
      <ns0:c r="AC33" s="0">
        <ns0:f>IF(AND(J33&gt;0,T33&gt;0,W33&lt;=X33),1,0)</ns0:f>
        <ns0:v>0</ns0:v>
      </ns0:c>
      <ns0:c r="AD33" s="0">
        <ns0:f>IF(AND(J33&gt;0,T33&gt;0,Y33&lt;=Z33),1,0)</ns0:f>
        <ns0:v>0</ns0:v>
      </ns0:c>
    </ns0:row>
    <ns0:row r="34">
      <ns0:c r="A34" s="0">
        <ns0:f>IFERROR(IF(ISNUMBER(Bookings!B34),"",TRIM(Bookings!B34&amp;"")),"")</ns0:f>
      </ns0:c>
      <ns0:c r="B34" s="0">
        <ns0:f>IFERROR(SUBSTITUTE(SUBSTITUTE(A34,"/","."),"-","."),"")</ns0:f>
      </ns0:c>
      <ns0:c r="C34" s="0">
        <ns0:f>IFERROR(LEFT(B34,FIND(".",B34)-1),"")</ns0:f>
      </ns0:c>
      <ns0:c r="D34" s="0">
        <ns0:f>IFERROR(MID(B34,FIND(".",B34)+1,FIND(".",B34,FIND(".",B34)+1)-FIND(".",B34)-1),"")</ns0:f>
      </ns0:c>
      <ns0:c r="E34" s="0">
        <ns0:f>IFERROR(MID(B34,FIND(".",B34,FIND(".",B34)+1)+1,99),"")</ns0:f>
        <ns0:v>99</ns0:v>
      </ns0:c>
      <ns0:c r="F34" s="0">
        <ns0:f>IFERROR(IF(FIND(".",B34)=5,--C34,--E34),0)</ns0:f>
        <ns0:v>0</ns0:v>
      </ns0:c>
      <ns0:c r="G34" s="0">
        <ns0:f>IFERROR(--D34,0)</ns0:f>
        <ns0:v>0</ns0:v>
      </ns0:c>
      <ns0:c r="H34" s="0">
        <ns0:f>IFERROR(IF(FIND(".",B34)=5,--E34,--C34),0)</ns0:f>
        <ns0:v>0</ns0:v>
      </ns0:c>
      <ns0:c r="I34" s="0">
        <ns0:f>IFERROR(IF(AND(F34&gt;=2000,F34&lt;=2100,G34&gt;=1,G34&lt;=12,H34&gt;=1,H34&lt;=31),DATE(F34,G34,H34),0),0)</ns0:f>
        <ns0:v>0</ns0:v>
      </ns0:c>
      <ns0:c r="J34" s="0">
        <ns0:f>IFERROR(IF(ISNUMBER(Bookings!B34),IF(AND(Bookings!B34=INT(Bookings!B34),Bookings!B34&gt;=DATE(2000,1,1),Bookings!B34&lt;=DATE(2100,12,31)),Bookings!B34,0),IF(AND(A34&lt;&gt;"",LEN("x"&amp;B34)-LEN(SUBSTITUTE("x"&amp;B34,".",""))=2,OR(1&gt;LEN(B34),MID(B34,1,1)=".",ISNUMBER(FIND("x"&amp;MID(B34,1,1),"x0x1x2x3x4x5x6x7x8x9"))),OR(2&gt;LEN(B34),MID(B34,2,1)=".",ISNUMBER(FIND("x"&amp;MID(B34,2,1),"x0x1x2x3x4x5x6x7x8x9"))),OR(3&gt;LEN(B34),MID(B34,3,1)=".",ISNUMBER(FIND("x"&amp;MID(B34,3,1),"x0x1x2x3x4x5x6x7x8x9"))),OR(4&gt;LEN(B34),MID(B34,4,1)=".",ISNUMBER(FIND("x"&amp;MID(B34,4,1),"x0x1x2x3x4x5x6x7x8x9"))),OR(5&gt;LEN(B34),MID(B34,5,1)=".",ISNUMBER(FIND("x"&amp;MID(B34,5,1),"x0x1x2x3x4x5x6x7x8x9"))),OR(6&gt;LEN(B34),MID(B34,6,1)=".",ISNUMBER(FIND("x"&amp;MID(B34,6,1),"x0x1x2x3x4x5x6x7x8x9"))),OR(7&gt;LEN(B34),MID(B34,7,1)=".",ISNUMBER(FIND("x"&amp;MID(B34,7,1),"x0x1x2x3x4x5x6x7x8x9"))),OR(8&gt;LEN(B34),MID(B34,8,1)=".",ISNUMBER(FIND("x"&amp;MID(B34,8,1),"x0x1x2x3x4x5x6x7x8x9"))),OR(9&gt;LEN(B34),MID(B34,9,1)=".",ISNUMBER(FIND("x"&amp;MID(B34,9,1),"x0x1x2x3x4x5x6x7x8x9"))),OR(10&gt;LEN(B34),MID(B34,10,1)=".",ISNUMBER(FIND("x"&amp;MID(B34,10,1),"x0x1x2x3x4x5x6x7x8x9"))),OR(AND(FIND(".",B34)=5,LEN(B34)-FIND(".",B34,FIND(".",B34)+1)&gt;=1,LEN(B34)-FIND(".",B34,FIND(".",B34)+1)&lt;=2),AND(LEN(B34)-FIND(".",B34,FIND(".",B34)+1)=4,FIND(".",B34)&gt;=2,FIND(".",B34)&lt;=3)),FIND(".",B34,FIND(".",B34)+1)-FIND(".",B34)&gt;=2,FIND(".",B34,FIND(".",B34)+1)-FIND(".",B34)&lt;=3,F34&gt;=2000,F34&lt;=2100,YEAR(I34)=F34,MONTH(I34)=G34,DAY(I34)=H34),I34,0)),0)</ns0:f>
        <ns0:v>0</ns0:v>
      </ns0:c>
      <ns0:c r="K34" s="0">
        <ns0:f>IFERROR(IF(ISNUMBER(Bookings!D34),"",TRIM(Bookings!D34&amp;"")),"")</ns0:f>
      </ns0:c>
      <ns0:c r="L34" s="0">
        <ns0:f>IFERROR(SUBSTITUTE(SUBSTITUTE(K34,"/","."),"-","."),"")</ns0:f>
      </ns0:c>
      <ns0:c r="M34" s="0">
        <ns0:f>IFERROR(LEFT(L34,FIND(".",L34)-1),"")</ns0:f>
      </ns0:c>
      <ns0:c r="N34" s="0">
        <ns0:f>IFERROR(MID(L34,FIND(".",L34)+1,FIND(".",L34,FIND(".",L34)+1)-FIND(".",L34)-1),"")</ns0:f>
      </ns0:c>
      <ns0:c r="O34" s="0">
        <ns0:f>IFERROR(MID(L34,FIND(".",L34,FIND(".",L34)+1)+1,99),"")</ns0:f>
        <ns0:v>99</ns0:v>
      </ns0:c>
      <ns0:c r="P34" s="0">
        <ns0:f>IFERROR(IF(FIND(".",L34)=5,--M34,--O34),0)</ns0:f>
        <ns0:v>0</ns0:v>
      </ns0:c>
      <ns0:c r="Q34" s="0">
        <ns0:f>IFERROR(--N34,0)</ns0:f>
        <ns0:v>0</ns0:v>
      </ns0:c>
      <ns0:c r="R34" s="0">
        <ns0:f>IFERROR(IF(FIND(".",L34)=5,--O34,--M34),0)</ns0:f>
        <ns0:v>0</ns0:v>
      </ns0:c>
      <ns0:c r="S34" s="0">
        <ns0:f>IFERROR(IF(AND(P34&gt;=2000,P34&lt;=2100,Q34&gt;=1,Q34&lt;=12,R34&gt;=1,R34&lt;=31),DATE(P34,Q34,R34),0),0)</ns0:f>
        <ns0:v>0</ns0:v>
      </ns0:c>
      <ns0:c r="T34" s="0">
        <ns0:f>IFERROR(IF(ISNUMBER(Bookings!D34),IF(AND(Bookings!D34=INT(Bookings!D34),Bookings!D34&gt;=DATE(2000,1,1),Bookings!D34&lt;=DATE(2100,12,31)),Bookings!D34,0),IF(AND(K34&lt;&gt;"",LEN("x"&amp;L34)-LEN(SUBSTITUTE("x"&amp;L34,".",""))=2,OR(1&gt;LEN(L34),MID(L34,1,1)=".",ISNUMBER(FIND("x"&amp;MID(L34,1,1),"x0x1x2x3x4x5x6x7x8x9"))),OR(2&gt;LEN(L34),MID(L34,2,1)=".",ISNUMBER(FIND("x"&amp;MID(L34,2,1),"x0x1x2x3x4x5x6x7x8x9"))),OR(3&gt;LEN(L34),MID(L34,3,1)=".",ISNUMBER(FIND("x"&amp;MID(L34,3,1),"x0x1x2x3x4x5x6x7x8x9"))),OR(4&gt;LEN(L34),MID(L34,4,1)=".",ISNUMBER(FIND("x"&amp;MID(L34,4,1),"x0x1x2x3x4x5x6x7x8x9"))),OR(5&gt;LEN(L34),MID(L34,5,1)=".",ISNUMBER(FIND("x"&amp;MID(L34,5,1),"x0x1x2x3x4x5x6x7x8x9"))),OR(6&gt;LEN(L34),MID(L34,6,1)=".",ISNUMBER(FIND("x"&amp;MID(L34,6,1),"x0x1x2x3x4x5x6x7x8x9"))),OR(7&gt;LEN(L34),MID(L34,7,1)=".",ISNUMBER(FIND("x"&amp;MID(L34,7,1),"x0x1x2x3x4x5x6x7x8x9"))),OR(8&gt;LEN(L34),MID(L34,8,1)=".",ISNUMBER(FIND("x"&amp;MID(L34,8,1),"x0x1x2x3x4x5x6x7x8x9"))),OR(9&gt;LEN(L34),MID(L34,9,1)=".",ISNUMBER(FIND("x"&amp;MID(L34,9,1),"x0x1x2x3x4x5x6x7x8x9"))),OR(10&gt;LEN(L34),MID(L34,10,1)=".",ISNUMBER(FIND("x"&amp;MID(L34,10,1),"x0x1x2x3x4x5x6x7x8x9"))),OR(AND(FIND(".",L34)=5,LEN(L34)-FIND(".",L34,FIND(".",L34)+1)&gt;=1,LEN(L34)-FIND(".",L34,FIND(".",L34)+1)&lt;=2),AND(LEN(L34)-FIND(".",L34,FIND(".",L34)+1)=4,FIND(".",L34)&gt;=2,FIND(".",L34)&lt;=3)),FIND(".",L34,FIND(".",L34)+1)-FIND(".",L34)&gt;=2,FIND(".",L34,FIND(".",L34)+1)-FIND(".",L34)&lt;=3,P34&gt;=2000,P34&lt;=2100,YEAR(S34)=P34,MONTH(S34)=Q34,DAY(S34)=R34),S34,0)),0)</ns0:f>
        <ns0:v>0</ns0:v>
      </ns0:c>
      <ns0:c r="U34" s="0" t="str">
        <ns0:f>IF(Bookings!C34="","Full day",Bookings!C34)</ns0:f>
        <ns0:v>Full day</ns0:v>
      </ns0:c>
      <ns0:c r="V34" s="0" t="str">
        <ns0:f>IF(Bookings!E34="","Full day",Bookings!E34)</ns0:f>
        <ns0:v>Full day</ns0:v>
      </ns0:c>
      <ns0:c r="W34" s="0">
        <ns0:f>IF(J34=0,0,J34+IF(U34="PM",1,0))</ns0:f>
        <ns0:v>0</ns0:v>
      </ns0:c>
      <ns0:c r="X34" s="0">
        <ns0:f>IF(T34=0,0,T34-IF(V34="PM",1,0))</ns0:f>
        <ns0:v>0</ns0:v>
      </ns0:c>
      <ns0:c r="Y34" s="0">
        <ns0:f>IF(J34=0,0,J34+IF(U34="AM",1,0))</ns0:f>
        <ns0:v>0</ns0:v>
      </ns0:c>
      <ns0:c r="Z34" s="0">
        <ns0:f>IF(T34=0,0,T34-IF(V34="AM",1,0))</ns0:f>
        <ns0:v>0</ns0:v>
      </ns0:c>
      <ns0:c r="AA34" s="0">
        <ns0:f>IFERROR(IF(AND(J34&gt;0,'_Engine'!C34&gt;0,MID('_Engine'!W34,WEEKDAY(J34,2),1)="W",COUNTIF(Settings!$F$18:$F$67,J34)=0),1,0),0)</ns0:f>
        <ns0:v>0</ns0:v>
      </ns0:c>
      <ns0:c r="AB34" s="0">
        <ns0:f>IFERROR(IF(AND(T34&gt;0,'_Engine'!C34&gt;0,MID('_Engine'!W34,WEEKDAY(T34,2),1)="W",COUNTIF(Settings!$F$18:$F$67,T34)=0),1,0),0)</ns0:f>
        <ns0:v>0</ns0:v>
      </ns0:c>
      <ns0:c r="AC34" s="0">
        <ns0:f>IF(AND(J34&gt;0,T34&gt;0,W34&lt;=X34),1,0)</ns0:f>
        <ns0:v>0</ns0:v>
      </ns0:c>
      <ns0:c r="AD34" s="0">
        <ns0:f>IF(AND(J34&gt;0,T34&gt;0,Y34&lt;=Z34),1,0)</ns0:f>
        <ns0:v>0</ns0:v>
      </ns0:c>
    </ns0:row>
    <ns0:row r="35">
      <ns0:c r="A35" s="0">
        <ns0:f>IFERROR(IF(ISNUMBER(Bookings!B35),"",TRIM(Bookings!B35&amp;"")),"")</ns0:f>
      </ns0:c>
      <ns0:c r="B35" s="0">
        <ns0:f>IFERROR(SUBSTITUTE(SUBSTITUTE(A35,"/","."),"-","."),"")</ns0:f>
      </ns0:c>
      <ns0:c r="C35" s="0">
        <ns0:f>IFERROR(LEFT(B35,FIND(".",B35)-1),"")</ns0:f>
      </ns0:c>
      <ns0:c r="D35" s="0">
        <ns0:f>IFERROR(MID(B35,FIND(".",B35)+1,FIND(".",B35,FIND(".",B35)+1)-FIND(".",B35)-1),"")</ns0:f>
      </ns0:c>
      <ns0:c r="E35" s="0">
        <ns0:f>IFERROR(MID(B35,FIND(".",B35,FIND(".",B35)+1)+1,99),"")</ns0:f>
        <ns0:v>99</ns0:v>
      </ns0:c>
      <ns0:c r="F35" s="0">
        <ns0:f>IFERROR(IF(FIND(".",B35)=5,--C35,--E35),0)</ns0:f>
        <ns0:v>0</ns0:v>
      </ns0:c>
      <ns0:c r="G35" s="0">
        <ns0:f>IFERROR(--D35,0)</ns0:f>
        <ns0:v>0</ns0:v>
      </ns0:c>
      <ns0:c r="H35" s="0">
        <ns0:f>IFERROR(IF(FIND(".",B35)=5,--E35,--C35),0)</ns0:f>
        <ns0:v>0</ns0:v>
      </ns0:c>
      <ns0:c r="I35" s="0">
        <ns0:f>IFERROR(IF(AND(F35&gt;=2000,F35&lt;=2100,G35&gt;=1,G35&lt;=12,H35&gt;=1,H35&lt;=31),DATE(F35,G35,H35),0),0)</ns0:f>
        <ns0:v>0</ns0:v>
      </ns0:c>
      <ns0:c r="J35" s="0">
        <ns0:f>IFERROR(IF(ISNUMBER(Bookings!B35),IF(AND(Bookings!B35=INT(Bookings!B35),Bookings!B35&gt;=DATE(2000,1,1),Bookings!B35&lt;=DATE(2100,12,31)),Bookings!B35,0),IF(AND(A35&lt;&gt;"",LEN("x"&amp;B35)-LEN(SUBSTITUTE("x"&amp;B35,".",""))=2,OR(1&gt;LEN(B35),MID(B35,1,1)=".",ISNUMBER(FIND("x"&amp;MID(B35,1,1),"x0x1x2x3x4x5x6x7x8x9"))),OR(2&gt;LEN(B35),MID(B35,2,1)=".",ISNUMBER(FIND("x"&amp;MID(B35,2,1),"x0x1x2x3x4x5x6x7x8x9"))),OR(3&gt;LEN(B35),MID(B35,3,1)=".",ISNUMBER(FIND("x"&amp;MID(B35,3,1),"x0x1x2x3x4x5x6x7x8x9"))),OR(4&gt;LEN(B35),MID(B35,4,1)=".",ISNUMBER(FIND("x"&amp;MID(B35,4,1),"x0x1x2x3x4x5x6x7x8x9"))),OR(5&gt;LEN(B35),MID(B35,5,1)=".",ISNUMBER(FIND("x"&amp;MID(B35,5,1),"x0x1x2x3x4x5x6x7x8x9"))),OR(6&gt;LEN(B35),MID(B35,6,1)=".",ISNUMBER(FIND("x"&amp;MID(B35,6,1),"x0x1x2x3x4x5x6x7x8x9"))),OR(7&gt;LEN(B35),MID(B35,7,1)=".",ISNUMBER(FIND("x"&amp;MID(B35,7,1),"x0x1x2x3x4x5x6x7x8x9"))),OR(8&gt;LEN(B35),MID(B35,8,1)=".",ISNUMBER(FIND("x"&amp;MID(B35,8,1),"x0x1x2x3x4x5x6x7x8x9"))),OR(9&gt;LEN(B35),MID(B35,9,1)=".",ISNUMBER(FIND("x"&amp;MID(B35,9,1),"x0x1x2x3x4x5x6x7x8x9"))),OR(10&gt;LEN(B35),MID(B35,10,1)=".",ISNUMBER(FIND("x"&amp;MID(B35,10,1),"x0x1x2x3x4x5x6x7x8x9"))),OR(AND(FIND(".",B35)=5,LEN(B35)-FIND(".",B35,FIND(".",B35)+1)&gt;=1,LEN(B35)-FIND(".",B35,FIND(".",B35)+1)&lt;=2),AND(LEN(B35)-FIND(".",B35,FIND(".",B35)+1)=4,FIND(".",B35)&gt;=2,FIND(".",B35)&lt;=3)),FIND(".",B35,FIND(".",B35)+1)-FIND(".",B35)&gt;=2,FIND(".",B35,FIND(".",B35)+1)-FIND(".",B35)&lt;=3,F35&gt;=2000,F35&lt;=2100,YEAR(I35)=F35,MONTH(I35)=G35,DAY(I35)=H35),I35,0)),0)</ns0:f>
        <ns0:v>0</ns0:v>
      </ns0:c>
      <ns0:c r="K35" s="0">
        <ns0:f>IFERROR(IF(ISNUMBER(Bookings!D35),"",TRIM(Bookings!D35&amp;"")),"")</ns0:f>
      </ns0:c>
      <ns0:c r="L35" s="0">
        <ns0:f>IFERROR(SUBSTITUTE(SUBSTITUTE(K35,"/","."),"-","."),"")</ns0:f>
      </ns0:c>
      <ns0:c r="M35" s="0">
        <ns0:f>IFERROR(LEFT(L35,FIND(".",L35)-1),"")</ns0:f>
      </ns0:c>
      <ns0:c r="N35" s="0">
        <ns0:f>IFERROR(MID(L35,FIND(".",L35)+1,FIND(".",L35,FIND(".",L35)+1)-FIND(".",L35)-1),"")</ns0:f>
      </ns0:c>
      <ns0:c r="O35" s="0">
        <ns0:f>IFERROR(MID(L35,FIND(".",L35,FIND(".",L35)+1)+1,99),"")</ns0:f>
        <ns0:v>99</ns0:v>
      </ns0:c>
      <ns0:c r="P35" s="0">
        <ns0:f>IFERROR(IF(FIND(".",L35)=5,--M35,--O35),0)</ns0:f>
        <ns0:v>0</ns0:v>
      </ns0:c>
      <ns0:c r="Q35" s="0">
        <ns0:f>IFERROR(--N35,0)</ns0:f>
        <ns0:v>0</ns0:v>
      </ns0:c>
      <ns0:c r="R35" s="0">
        <ns0:f>IFERROR(IF(FIND(".",L35)=5,--O35,--M35),0)</ns0:f>
        <ns0:v>0</ns0:v>
      </ns0:c>
      <ns0:c r="S35" s="0">
        <ns0:f>IFERROR(IF(AND(P35&gt;=2000,P35&lt;=2100,Q35&gt;=1,Q35&lt;=12,R35&gt;=1,R35&lt;=31),DATE(P35,Q35,R35),0),0)</ns0:f>
        <ns0:v>0</ns0:v>
      </ns0:c>
      <ns0:c r="T35" s="0">
        <ns0:f>IFERROR(IF(ISNUMBER(Bookings!D35),IF(AND(Bookings!D35=INT(Bookings!D35),Bookings!D35&gt;=DATE(2000,1,1),Bookings!D35&lt;=DATE(2100,12,31)),Bookings!D35,0),IF(AND(K35&lt;&gt;"",LEN("x"&amp;L35)-LEN(SUBSTITUTE("x"&amp;L35,".",""))=2,OR(1&gt;LEN(L35),MID(L35,1,1)=".",ISNUMBER(FIND("x"&amp;MID(L35,1,1),"x0x1x2x3x4x5x6x7x8x9"))),OR(2&gt;LEN(L35),MID(L35,2,1)=".",ISNUMBER(FIND("x"&amp;MID(L35,2,1),"x0x1x2x3x4x5x6x7x8x9"))),OR(3&gt;LEN(L35),MID(L35,3,1)=".",ISNUMBER(FIND("x"&amp;MID(L35,3,1),"x0x1x2x3x4x5x6x7x8x9"))),OR(4&gt;LEN(L35),MID(L35,4,1)=".",ISNUMBER(FIND("x"&amp;MID(L35,4,1),"x0x1x2x3x4x5x6x7x8x9"))),OR(5&gt;LEN(L35),MID(L35,5,1)=".",ISNUMBER(FIND("x"&amp;MID(L35,5,1),"x0x1x2x3x4x5x6x7x8x9"))),OR(6&gt;LEN(L35),MID(L35,6,1)=".",ISNUMBER(FIND("x"&amp;MID(L35,6,1),"x0x1x2x3x4x5x6x7x8x9"))),OR(7&gt;LEN(L35),MID(L35,7,1)=".",ISNUMBER(FIND("x"&amp;MID(L35,7,1),"x0x1x2x3x4x5x6x7x8x9"))),OR(8&gt;LEN(L35),MID(L35,8,1)=".",ISNUMBER(FIND("x"&amp;MID(L35,8,1),"x0x1x2x3x4x5x6x7x8x9"))),OR(9&gt;LEN(L35),MID(L35,9,1)=".",ISNUMBER(FIND("x"&amp;MID(L35,9,1),"x0x1x2x3x4x5x6x7x8x9"))),OR(10&gt;LEN(L35),MID(L35,10,1)=".",ISNUMBER(FIND("x"&amp;MID(L35,10,1),"x0x1x2x3x4x5x6x7x8x9"))),OR(AND(FIND(".",L35)=5,LEN(L35)-FIND(".",L35,FIND(".",L35)+1)&gt;=1,LEN(L35)-FIND(".",L35,FIND(".",L35)+1)&lt;=2),AND(LEN(L35)-FIND(".",L35,FIND(".",L35)+1)=4,FIND(".",L35)&gt;=2,FIND(".",L35)&lt;=3)),FIND(".",L35,FIND(".",L35)+1)-FIND(".",L35)&gt;=2,FIND(".",L35,FIND(".",L35)+1)-FIND(".",L35)&lt;=3,P35&gt;=2000,P35&lt;=2100,YEAR(S35)=P35,MONTH(S35)=Q35,DAY(S35)=R35),S35,0)),0)</ns0:f>
        <ns0:v>0</ns0:v>
      </ns0:c>
      <ns0:c r="U35" s="0" t="str">
        <ns0:f>IF(Bookings!C35="","Full day",Bookings!C35)</ns0:f>
        <ns0:v>Full day</ns0:v>
      </ns0:c>
      <ns0:c r="V35" s="0" t="str">
        <ns0:f>IF(Bookings!E35="","Full day",Bookings!E35)</ns0:f>
        <ns0:v>Full day</ns0:v>
      </ns0:c>
      <ns0:c r="W35" s="0">
        <ns0:f>IF(J35=0,0,J35+IF(U35="PM",1,0))</ns0:f>
        <ns0:v>0</ns0:v>
      </ns0:c>
      <ns0:c r="X35" s="0">
        <ns0:f>IF(T35=0,0,T35-IF(V35="PM",1,0))</ns0:f>
        <ns0:v>0</ns0:v>
      </ns0:c>
      <ns0:c r="Y35" s="0">
        <ns0:f>IF(J35=0,0,J35+IF(U35="AM",1,0))</ns0:f>
        <ns0:v>0</ns0:v>
      </ns0:c>
      <ns0:c r="Z35" s="0">
        <ns0:f>IF(T35=0,0,T35-IF(V35="AM",1,0))</ns0:f>
        <ns0:v>0</ns0:v>
      </ns0:c>
      <ns0:c r="AA35" s="0">
        <ns0:f>IFERROR(IF(AND(J35&gt;0,'_Engine'!C35&gt;0,MID('_Engine'!W35,WEEKDAY(J35,2),1)="W",COUNTIF(Settings!$F$18:$F$67,J35)=0),1,0),0)</ns0:f>
        <ns0:v>0</ns0:v>
      </ns0:c>
      <ns0:c r="AB35" s="0">
        <ns0:f>IFERROR(IF(AND(T35&gt;0,'_Engine'!C35&gt;0,MID('_Engine'!W35,WEEKDAY(T35,2),1)="W",COUNTIF(Settings!$F$18:$F$67,T35)=0),1,0),0)</ns0:f>
        <ns0:v>0</ns0:v>
      </ns0:c>
      <ns0:c r="AC35" s="0">
        <ns0:f>IF(AND(J35&gt;0,T35&gt;0,W35&lt;=X35),1,0)</ns0:f>
        <ns0:v>0</ns0:v>
      </ns0:c>
      <ns0:c r="AD35" s="0">
        <ns0:f>IF(AND(J35&gt;0,T35&gt;0,Y35&lt;=Z35),1,0)</ns0:f>
        <ns0:v>0</ns0:v>
      </ns0:c>
    </ns0:row>
    <ns0:row r="36">
      <ns0:c r="A36" s="0">
        <ns0:f>IFERROR(IF(ISNUMBER(Bookings!B36),"",TRIM(Bookings!B36&amp;"")),"")</ns0:f>
      </ns0:c>
      <ns0:c r="B36" s="0">
        <ns0:f>IFERROR(SUBSTITUTE(SUBSTITUTE(A36,"/","."),"-","."),"")</ns0:f>
      </ns0:c>
      <ns0:c r="C36" s="0">
        <ns0:f>IFERROR(LEFT(B36,FIND(".",B36)-1),"")</ns0:f>
      </ns0:c>
      <ns0:c r="D36" s="0">
        <ns0:f>IFERROR(MID(B36,FIND(".",B36)+1,FIND(".",B36,FIND(".",B36)+1)-FIND(".",B36)-1),"")</ns0:f>
      </ns0:c>
      <ns0:c r="E36" s="0">
        <ns0:f>IFERROR(MID(B36,FIND(".",B36,FIND(".",B36)+1)+1,99),"")</ns0:f>
        <ns0:v>99</ns0:v>
      </ns0:c>
      <ns0:c r="F36" s="0">
        <ns0:f>IFERROR(IF(FIND(".",B36)=5,--C36,--E36),0)</ns0:f>
        <ns0:v>0</ns0:v>
      </ns0:c>
      <ns0:c r="G36" s="0">
        <ns0:f>IFERROR(--D36,0)</ns0:f>
        <ns0:v>0</ns0:v>
      </ns0:c>
      <ns0:c r="H36" s="0">
        <ns0:f>IFERROR(IF(FIND(".",B36)=5,--E36,--C36),0)</ns0:f>
        <ns0:v>0</ns0:v>
      </ns0:c>
      <ns0:c r="I36" s="0">
        <ns0:f>IFERROR(IF(AND(F36&gt;=2000,F36&lt;=2100,G36&gt;=1,G36&lt;=12,H36&gt;=1,H36&lt;=31),DATE(F36,G36,H36),0),0)</ns0:f>
        <ns0:v>0</ns0:v>
      </ns0:c>
      <ns0:c r="J36" s="0">
        <ns0:f>IFERROR(IF(ISNUMBER(Bookings!B36),IF(AND(Bookings!B36=INT(Bookings!B36),Bookings!B36&gt;=DATE(2000,1,1),Bookings!B36&lt;=DATE(2100,12,31)),Bookings!B36,0),IF(AND(A36&lt;&gt;"",LEN("x"&amp;B36)-LEN(SUBSTITUTE("x"&amp;B36,".",""))=2,OR(1&gt;LEN(B36),MID(B36,1,1)=".",ISNUMBER(FIND("x"&amp;MID(B36,1,1),"x0x1x2x3x4x5x6x7x8x9"))),OR(2&gt;LEN(B36),MID(B36,2,1)=".",ISNUMBER(FIND("x"&amp;MID(B36,2,1),"x0x1x2x3x4x5x6x7x8x9"))),OR(3&gt;LEN(B36),MID(B36,3,1)=".",ISNUMBER(FIND("x"&amp;MID(B36,3,1),"x0x1x2x3x4x5x6x7x8x9"))),OR(4&gt;LEN(B36),MID(B36,4,1)=".",ISNUMBER(FIND("x"&amp;MID(B36,4,1),"x0x1x2x3x4x5x6x7x8x9"))),OR(5&gt;LEN(B36),MID(B36,5,1)=".",ISNUMBER(FIND("x"&amp;MID(B36,5,1),"x0x1x2x3x4x5x6x7x8x9"))),OR(6&gt;LEN(B36),MID(B36,6,1)=".",ISNUMBER(FIND("x"&amp;MID(B36,6,1),"x0x1x2x3x4x5x6x7x8x9"))),OR(7&gt;LEN(B36),MID(B36,7,1)=".",ISNUMBER(FIND("x"&amp;MID(B36,7,1),"x0x1x2x3x4x5x6x7x8x9"))),OR(8&gt;LEN(B36),MID(B36,8,1)=".",ISNUMBER(FIND("x"&amp;MID(B36,8,1),"x0x1x2x3x4x5x6x7x8x9"))),OR(9&gt;LEN(B36),MID(B36,9,1)=".",ISNUMBER(FIND("x"&amp;MID(B36,9,1),"x0x1x2x3x4x5x6x7x8x9"))),OR(10&gt;LEN(B36),MID(B36,10,1)=".",ISNUMBER(FIND("x"&amp;MID(B36,10,1),"x0x1x2x3x4x5x6x7x8x9"))),OR(AND(FIND(".",B36)=5,LEN(B36)-FIND(".",B36,FIND(".",B36)+1)&gt;=1,LEN(B36)-FIND(".",B36,FIND(".",B36)+1)&lt;=2),AND(LEN(B36)-FIND(".",B36,FIND(".",B36)+1)=4,FIND(".",B36)&gt;=2,FIND(".",B36)&lt;=3)),FIND(".",B36,FIND(".",B36)+1)-FIND(".",B36)&gt;=2,FIND(".",B36,FIND(".",B36)+1)-FIND(".",B36)&lt;=3,F36&gt;=2000,F36&lt;=2100,YEAR(I36)=F36,MONTH(I36)=G36,DAY(I36)=H36),I36,0)),0)</ns0:f>
        <ns0:v>0</ns0:v>
      </ns0:c>
      <ns0:c r="K36" s="0">
        <ns0:f>IFERROR(IF(ISNUMBER(Bookings!D36),"",TRIM(Bookings!D36&amp;"")),"")</ns0:f>
      </ns0:c>
      <ns0:c r="L36" s="0">
        <ns0:f>IFERROR(SUBSTITUTE(SUBSTITUTE(K36,"/","."),"-","."),"")</ns0:f>
      </ns0:c>
      <ns0:c r="M36" s="0">
        <ns0:f>IFERROR(LEFT(L36,FIND(".",L36)-1),"")</ns0:f>
      </ns0:c>
      <ns0:c r="N36" s="0">
        <ns0:f>IFERROR(MID(L36,FIND(".",L36)+1,FIND(".",L36,FIND(".",L36)+1)-FIND(".",L36)-1),"")</ns0:f>
      </ns0:c>
      <ns0:c r="O36" s="0">
        <ns0:f>IFERROR(MID(L36,FIND(".",L36,FIND(".",L36)+1)+1,99),"")</ns0:f>
        <ns0:v>99</ns0:v>
      </ns0:c>
      <ns0:c r="P36" s="0">
        <ns0:f>IFERROR(IF(FIND(".",L36)=5,--M36,--O36),0)</ns0:f>
        <ns0:v>0</ns0:v>
      </ns0:c>
      <ns0:c r="Q36" s="0">
        <ns0:f>IFERROR(--N36,0)</ns0:f>
        <ns0:v>0</ns0:v>
      </ns0:c>
      <ns0:c r="R36" s="0">
        <ns0:f>IFERROR(IF(FIND(".",L36)=5,--O36,--M36),0)</ns0:f>
        <ns0:v>0</ns0:v>
      </ns0:c>
      <ns0:c r="S36" s="0">
        <ns0:f>IFERROR(IF(AND(P36&gt;=2000,P36&lt;=2100,Q36&gt;=1,Q36&lt;=12,R36&gt;=1,R36&lt;=31),DATE(P36,Q36,R36),0),0)</ns0:f>
        <ns0:v>0</ns0:v>
      </ns0:c>
      <ns0:c r="T36" s="0">
        <ns0:f>IFERROR(IF(ISNUMBER(Bookings!D36),IF(AND(Bookings!D36=INT(Bookings!D36),Bookings!D36&gt;=DATE(2000,1,1),Bookings!D36&lt;=DATE(2100,12,31)),Bookings!D36,0),IF(AND(K36&lt;&gt;"",LEN("x"&amp;L36)-LEN(SUBSTITUTE("x"&amp;L36,".",""))=2,OR(1&gt;LEN(L36),MID(L36,1,1)=".",ISNUMBER(FIND("x"&amp;MID(L36,1,1),"x0x1x2x3x4x5x6x7x8x9"))),OR(2&gt;LEN(L36),MID(L36,2,1)=".",ISNUMBER(FIND("x"&amp;MID(L36,2,1),"x0x1x2x3x4x5x6x7x8x9"))),OR(3&gt;LEN(L36),MID(L36,3,1)=".",ISNUMBER(FIND("x"&amp;MID(L36,3,1),"x0x1x2x3x4x5x6x7x8x9"))),OR(4&gt;LEN(L36),MID(L36,4,1)=".",ISNUMBER(FIND("x"&amp;MID(L36,4,1),"x0x1x2x3x4x5x6x7x8x9"))),OR(5&gt;LEN(L36),MID(L36,5,1)=".",ISNUMBER(FIND("x"&amp;MID(L36,5,1),"x0x1x2x3x4x5x6x7x8x9"))),OR(6&gt;LEN(L36),MID(L36,6,1)=".",ISNUMBER(FIND("x"&amp;MID(L36,6,1),"x0x1x2x3x4x5x6x7x8x9"))),OR(7&gt;LEN(L36),MID(L36,7,1)=".",ISNUMBER(FIND("x"&amp;MID(L36,7,1),"x0x1x2x3x4x5x6x7x8x9"))),OR(8&gt;LEN(L36),MID(L36,8,1)=".",ISNUMBER(FIND("x"&amp;MID(L36,8,1),"x0x1x2x3x4x5x6x7x8x9"))),OR(9&gt;LEN(L36),MID(L36,9,1)=".",ISNUMBER(FIND("x"&amp;MID(L36,9,1),"x0x1x2x3x4x5x6x7x8x9"))),OR(10&gt;LEN(L36),MID(L36,10,1)=".",ISNUMBER(FIND("x"&amp;MID(L36,10,1),"x0x1x2x3x4x5x6x7x8x9"))),OR(AND(FIND(".",L36)=5,LEN(L36)-FIND(".",L36,FIND(".",L36)+1)&gt;=1,LEN(L36)-FIND(".",L36,FIND(".",L36)+1)&lt;=2),AND(LEN(L36)-FIND(".",L36,FIND(".",L36)+1)=4,FIND(".",L36)&gt;=2,FIND(".",L36)&lt;=3)),FIND(".",L36,FIND(".",L36)+1)-FIND(".",L36)&gt;=2,FIND(".",L36,FIND(".",L36)+1)-FIND(".",L36)&lt;=3,P36&gt;=2000,P36&lt;=2100,YEAR(S36)=P36,MONTH(S36)=Q36,DAY(S36)=R36),S36,0)),0)</ns0:f>
        <ns0:v>0</ns0:v>
      </ns0:c>
      <ns0:c r="U36" s="0" t="str">
        <ns0:f>IF(Bookings!C36="","Full day",Bookings!C36)</ns0:f>
        <ns0:v>Full day</ns0:v>
      </ns0:c>
      <ns0:c r="V36" s="0" t="str">
        <ns0:f>IF(Bookings!E36="","Full day",Bookings!E36)</ns0:f>
        <ns0:v>Full day</ns0:v>
      </ns0:c>
      <ns0:c r="W36" s="0">
        <ns0:f>IF(J36=0,0,J36+IF(U36="PM",1,0))</ns0:f>
        <ns0:v>0</ns0:v>
      </ns0:c>
      <ns0:c r="X36" s="0">
        <ns0:f>IF(T36=0,0,T36-IF(V36="PM",1,0))</ns0:f>
        <ns0:v>0</ns0:v>
      </ns0:c>
      <ns0:c r="Y36" s="0">
        <ns0:f>IF(J36=0,0,J36+IF(U36="AM",1,0))</ns0:f>
        <ns0:v>0</ns0:v>
      </ns0:c>
      <ns0:c r="Z36" s="0">
        <ns0:f>IF(T36=0,0,T36-IF(V36="AM",1,0))</ns0:f>
        <ns0:v>0</ns0:v>
      </ns0:c>
      <ns0:c r="AA36" s="0">
        <ns0:f>IFERROR(IF(AND(J36&gt;0,'_Engine'!C36&gt;0,MID('_Engine'!W36,WEEKDAY(J36,2),1)="W",COUNTIF(Settings!$F$18:$F$67,J36)=0),1,0),0)</ns0:f>
        <ns0:v>0</ns0:v>
      </ns0:c>
      <ns0:c r="AB36" s="0">
        <ns0:f>IFERROR(IF(AND(T36&gt;0,'_Engine'!C36&gt;0,MID('_Engine'!W36,WEEKDAY(T36,2),1)="W",COUNTIF(Settings!$F$18:$F$67,T36)=0),1,0),0)</ns0:f>
        <ns0:v>0</ns0:v>
      </ns0:c>
      <ns0:c r="AC36" s="0">
        <ns0:f>IF(AND(J36&gt;0,T36&gt;0,W36&lt;=X36),1,0)</ns0:f>
        <ns0:v>0</ns0:v>
      </ns0:c>
      <ns0:c r="AD36" s="0">
        <ns0:f>IF(AND(J36&gt;0,T36&gt;0,Y36&lt;=Z36),1,0)</ns0:f>
        <ns0:v>0</ns0:v>
      </ns0:c>
    </ns0:row>
    <ns0:row r="37">
      <ns0:c r="A37" s="0">
        <ns0:f>IFERROR(IF(ISNUMBER(Bookings!B37),"",TRIM(Bookings!B37&amp;"")),"")</ns0:f>
      </ns0:c>
      <ns0:c r="B37" s="0">
        <ns0:f>IFERROR(SUBSTITUTE(SUBSTITUTE(A37,"/","."),"-","."),"")</ns0:f>
      </ns0:c>
      <ns0:c r="C37" s="0">
        <ns0:f>IFERROR(LEFT(B37,FIND(".",B37)-1),"")</ns0:f>
      </ns0:c>
      <ns0:c r="D37" s="0">
        <ns0:f>IFERROR(MID(B37,FIND(".",B37)+1,FIND(".",B37,FIND(".",B37)+1)-FIND(".",B37)-1),"")</ns0:f>
      </ns0:c>
      <ns0:c r="E37" s="0">
        <ns0:f>IFERROR(MID(B37,FIND(".",B37,FIND(".",B37)+1)+1,99),"")</ns0:f>
        <ns0:v>99</ns0:v>
      </ns0:c>
      <ns0:c r="F37" s="0">
        <ns0:f>IFERROR(IF(FIND(".",B37)=5,--C37,--E37),0)</ns0:f>
        <ns0:v>0</ns0:v>
      </ns0:c>
      <ns0:c r="G37" s="0">
        <ns0:f>IFERROR(--D37,0)</ns0:f>
        <ns0:v>0</ns0:v>
      </ns0:c>
      <ns0:c r="H37" s="0">
        <ns0:f>IFERROR(IF(FIND(".",B37)=5,--E37,--C37),0)</ns0:f>
        <ns0:v>0</ns0:v>
      </ns0:c>
      <ns0:c r="I37" s="0">
        <ns0:f>IFERROR(IF(AND(F37&gt;=2000,F37&lt;=2100,G37&gt;=1,G37&lt;=12,H37&gt;=1,H37&lt;=31),DATE(F37,G37,H37),0),0)</ns0:f>
        <ns0:v>0</ns0:v>
      </ns0:c>
      <ns0:c r="J37" s="0">
        <ns0:f>IFERROR(IF(ISNUMBER(Bookings!B37),IF(AND(Bookings!B37=INT(Bookings!B37),Bookings!B37&gt;=DATE(2000,1,1),Bookings!B37&lt;=DATE(2100,12,31)),Bookings!B37,0),IF(AND(A37&lt;&gt;"",LEN("x"&amp;B37)-LEN(SUBSTITUTE("x"&amp;B37,".",""))=2,OR(1&gt;LEN(B37),MID(B37,1,1)=".",ISNUMBER(FIND("x"&amp;MID(B37,1,1),"x0x1x2x3x4x5x6x7x8x9"))),OR(2&gt;LEN(B37),MID(B37,2,1)=".",ISNUMBER(FIND("x"&amp;MID(B37,2,1),"x0x1x2x3x4x5x6x7x8x9"))),OR(3&gt;LEN(B37),MID(B37,3,1)=".",ISNUMBER(FIND("x"&amp;MID(B37,3,1),"x0x1x2x3x4x5x6x7x8x9"))),OR(4&gt;LEN(B37),MID(B37,4,1)=".",ISNUMBER(FIND("x"&amp;MID(B37,4,1),"x0x1x2x3x4x5x6x7x8x9"))),OR(5&gt;LEN(B37),MID(B37,5,1)=".",ISNUMBER(FIND("x"&amp;MID(B37,5,1),"x0x1x2x3x4x5x6x7x8x9"))),OR(6&gt;LEN(B37),MID(B37,6,1)=".",ISNUMBER(FIND("x"&amp;MID(B37,6,1),"x0x1x2x3x4x5x6x7x8x9"))),OR(7&gt;LEN(B37),MID(B37,7,1)=".",ISNUMBER(FIND("x"&amp;MID(B37,7,1),"x0x1x2x3x4x5x6x7x8x9"))),OR(8&gt;LEN(B37),MID(B37,8,1)=".",ISNUMBER(FIND("x"&amp;MID(B37,8,1),"x0x1x2x3x4x5x6x7x8x9"))),OR(9&gt;LEN(B37),MID(B37,9,1)=".",ISNUMBER(FIND("x"&amp;MID(B37,9,1),"x0x1x2x3x4x5x6x7x8x9"))),OR(10&gt;LEN(B37),MID(B37,10,1)=".",ISNUMBER(FIND("x"&amp;MID(B37,10,1),"x0x1x2x3x4x5x6x7x8x9"))),OR(AND(FIND(".",B37)=5,LEN(B37)-FIND(".",B37,FIND(".",B37)+1)&gt;=1,LEN(B37)-FIND(".",B37,FIND(".",B37)+1)&lt;=2),AND(LEN(B37)-FIND(".",B37,FIND(".",B37)+1)=4,FIND(".",B37)&gt;=2,FIND(".",B37)&lt;=3)),FIND(".",B37,FIND(".",B37)+1)-FIND(".",B37)&gt;=2,FIND(".",B37,FIND(".",B37)+1)-FIND(".",B37)&lt;=3,F37&gt;=2000,F37&lt;=2100,YEAR(I37)=F37,MONTH(I37)=G37,DAY(I37)=H37),I37,0)),0)</ns0:f>
        <ns0:v>0</ns0:v>
      </ns0:c>
      <ns0:c r="K37" s="0">
        <ns0:f>IFERROR(IF(ISNUMBER(Bookings!D37),"",TRIM(Bookings!D37&amp;"")),"")</ns0:f>
      </ns0:c>
      <ns0:c r="L37" s="0">
        <ns0:f>IFERROR(SUBSTITUTE(SUBSTITUTE(K37,"/","."),"-","."),"")</ns0:f>
      </ns0:c>
      <ns0:c r="M37" s="0">
        <ns0:f>IFERROR(LEFT(L37,FIND(".",L37)-1),"")</ns0:f>
      </ns0:c>
      <ns0:c r="N37" s="0">
        <ns0:f>IFERROR(MID(L37,FIND(".",L37)+1,FIND(".",L37,FIND(".",L37)+1)-FIND(".",L37)-1),"")</ns0:f>
      </ns0:c>
      <ns0:c r="O37" s="0">
        <ns0:f>IFERROR(MID(L37,FIND(".",L37,FIND(".",L37)+1)+1,99),"")</ns0:f>
        <ns0:v>99</ns0:v>
      </ns0:c>
      <ns0:c r="P37" s="0">
        <ns0:f>IFERROR(IF(FIND(".",L37)=5,--M37,--O37),0)</ns0:f>
        <ns0:v>0</ns0:v>
      </ns0:c>
      <ns0:c r="Q37" s="0">
        <ns0:f>IFERROR(--N37,0)</ns0:f>
        <ns0:v>0</ns0:v>
      </ns0:c>
      <ns0:c r="R37" s="0">
        <ns0:f>IFERROR(IF(FIND(".",L37)=5,--O37,--M37),0)</ns0:f>
        <ns0:v>0</ns0:v>
      </ns0:c>
      <ns0:c r="S37" s="0">
        <ns0:f>IFERROR(IF(AND(P37&gt;=2000,P37&lt;=2100,Q37&gt;=1,Q37&lt;=12,R37&gt;=1,R37&lt;=31),DATE(P37,Q37,R37),0),0)</ns0:f>
        <ns0:v>0</ns0:v>
      </ns0:c>
      <ns0:c r="T37" s="0">
        <ns0:f>IFERROR(IF(ISNUMBER(Bookings!D37),IF(AND(Bookings!D37=INT(Bookings!D37),Bookings!D37&gt;=DATE(2000,1,1),Bookings!D37&lt;=DATE(2100,12,31)),Bookings!D37,0),IF(AND(K37&lt;&gt;"",LEN("x"&amp;L37)-LEN(SUBSTITUTE("x"&amp;L37,".",""))=2,OR(1&gt;LEN(L37),MID(L37,1,1)=".",ISNUMBER(FIND("x"&amp;MID(L37,1,1),"x0x1x2x3x4x5x6x7x8x9"))),OR(2&gt;LEN(L37),MID(L37,2,1)=".",ISNUMBER(FIND("x"&amp;MID(L37,2,1),"x0x1x2x3x4x5x6x7x8x9"))),OR(3&gt;LEN(L37),MID(L37,3,1)=".",ISNUMBER(FIND("x"&amp;MID(L37,3,1),"x0x1x2x3x4x5x6x7x8x9"))),OR(4&gt;LEN(L37),MID(L37,4,1)=".",ISNUMBER(FIND("x"&amp;MID(L37,4,1),"x0x1x2x3x4x5x6x7x8x9"))),OR(5&gt;LEN(L37),MID(L37,5,1)=".",ISNUMBER(FIND("x"&amp;MID(L37,5,1),"x0x1x2x3x4x5x6x7x8x9"))),OR(6&gt;LEN(L37),MID(L37,6,1)=".",ISNUMBER(FIND("x"&amp;MID(L37,6,1),"x0x1x2x3x4x5x6x7x8x9"))),OR(7&gt;LEN(L37),MID(L37,7,1)=".",ISNUMBER(FIND("x"&amp;MID(L37,7,1),"x0x1x2x3x4x5x6x7x8x9"))),OR(8&gt;LEN(L37),MID(L37,8,1)=".",ISNUMBER(FIND("x"&amp;MID(L37,8,1),"x0x1x2x3x4x5x6x7x8x9"))),OR(9&gt;LEN(L37),MID(L37,9,1)=".",ISNUMBER(FIND("x"&amp;MID(L37,9,1),"x0x1x2x3x4x5x6x7x8x9"))),OR(10&gt;LEN(L37),MID(L37,10,1)=".",ISNUMBER(FIND("x"&amp;MID(L37,10,1),"x0x1x2x3x4x5x6x7x8x9"))),OR(AND(FIND(".",L37)=5,LEN(L37)-FIND(".",L37,FIND(".",L37)+1)&gt;=1,LEN(L37)-FIND(".",L37,FIND(".",L37)+1)&lt;=2),AND(LEN(L37)-FIND(".",L37,FIND(".",L37)+1)=4,FIND(".",L37)&gt;=2,FIND(".",L37)&lt;=3)),FIND(".",L37,FIND(".",L37)+1)-FIND(".",L37)&gt;=2,FIND(".",L37,FIND(".",L37)+1)-FIND(".",L37)&lt;=3,P37&gt;=2000,P37&lt;=2100,YEAR(S37)=P37,MONTH(S37)=Q37,DAY(S37)=R37),S37,0)),0)</ns0:f>
        <ns0:v>0</ns0:v>
      </ns0:c>
      <ns0:c r="U37" s="0" t="str">
        <ns0:f>IF(Bookings!C37="","Full day",Bookings!C37)</ns0:f>
        <ns0:v>Full day</ns0:v>
      </ns0:c>
      <ns0:c r="V37" s="0" t="str">
        <ns0:f>IF(Bookings!E37="","Full day",Bookings!E37)</ns0:f>
        <ns0:v>Full day</ns0:v>
      </ns0:c>
      <ns0:c r="W37" s="0">
        <ns0:f>IF(J37=0,0,J37+IF(U37="PM",1,0))</ns0:f>
        <ns0:v>0</ns0:v>
      </ns0:c>
      <ns0:c r="X37" s="0">
        <ns0:f>IF(T37=0,0,T37-IF(V37="PM",1,0))</ns0:f>
        <ns0:v>0</ns0:v>
      </ns0:c>
      <ns0:c r="Y37" s="0">
        <ns0:f>IF(J37=0,0,J37+IF(U37="AM",1,0))</ns0:f>
        <ns0:v>0</ns0:v>
      </ns0:c>
      <ns0:c r="Z37" s="0">
        <ns0:f>IF(T37=0,0,T37-IF(V37="AM",1,0))</ns0:f>
        <ns0:v>0</ns0:v>
      </ns0:c>
      <ns0:c r="AA37" s="0">
        <ns0:f>IFERROR(IF(AND(J37&gt;0,'_Engine'!C37&gt;0,MID('_Engine'!W37,WEEKDAY(J37,2),1)="W",COUNTIF(Settings!$F$18:$F$67,J37)=0),1,0),0)</ns0:f>
        <ns0:v>0</ns0:v>
      </ns0:c>
      <ns0:c r="AB37" s="0">
        <ns0:f>IFERROR(IF(AND(T37&gt;0,'_Engine'!C37&gt;0,MID('_Engine'!W37,WEEKDAY(T37,2),1)="W",COUNTIF(Settings!$F$18:$F$67,T37)=0),1,0),0)</ns0:f>
        <ns0:v>0</ns0:v>
      </ns0:c>
      <ns0:c r="AC37" s="0">
        <ns0:f>IF(AND(J37&gt;0,T37&gt;0,W37&lt;=X37),1,0)</ns0:f>
        <ns0:v>0</ns0:v>
      </ns0:c>
      <ns0:c r="AD37" s="0">
        <ns0:f>IF(AND(J37&gt;0,T37&gt;0,Y37&lt;=Z37),1,0)</ns0:f>
        <ns0:v>0</ns0:v>
      </ns0:c>
    </ns0:row>
    <ns0:row r="38">
      <ns0:c r="A38" s="0">
        <ns0:f>IFERROR(IF(ISNUMBER(Bookings!B38),"",TRIM(Bookings!B38&amp;"")),"")</ns0:f>
      </ns0:c>
      <ns0:c r="B38" s="0">
        <ns0:f>IFERROR(SUBSTITUTE(SUBSTITUTE(A38,"/","."),"-","."),"")</ns0:f>
      </ns0:c>
      <ns0:c r="C38" s="0">
        <ns0:f>IFERROR(LEFT(B38,FIND(".",B38)-1),"")</ns0:f>
      </ns0:c>
      <ns0:c r="D38" s="0">
        <ns0:f>IFERROR(MID(B38,FIND(".",B38)+1,FIND(".",B38,FIND(".",B38)+1)-FIND(".",B38)-1),"")</ns0:f>
      </ns0:c>
      <ns0:c r="E38" s="0">
        <ns0:f>IFERROR(MID(B38,FIND(".",B38,FIND(".",B38)+1)+1,99),"")</ns0:f>
        <ns0:v>99</ns0:v>
      </ns0:c>
      <ns0:c r="F38" s="0">
        <ns0:f>IFERROR(IF(FIND(".",B38)=5,--C38,--E38),0)</ns0:f>
        <ns0:v>0</ns0:v>
      </ns0:c>
      <ns0:c r="G38" s="0">
        <ns0:f>IFERROR(--D38,0)</ns0:f>
        <ns0:v>0</ns0:v>
      </ns0:c>
      <ns0:c r="H38" s="0">
        <ns0:f>IFERROR(IF(FIND(".",B38)=5,--E38,--C38),0)</ns0:f>
        <ns0:v>0</ns0:v>
      </ns0:c>
      <ns0:c r="I38" s="0">
        <ns0:f>IFERROR(IF(AND(F38&gt;=2000,F38&lt;=2100,G38&gt;=1,G38&lt;=12,H38&gt;=1,H38&lt;=31),DATE(F38,G38,H38),0),0)</ns0:f>
        <ns0:v>0</ns0:v>
      </ns0:c>
      <ns0:c r="J38" s="0">
        <ns0:f>IFERROR(IF(ISNUMBER(Bookings!B38),IF(AND(Bookings!B38=INT(Bookings!B38),Bookings!B38&gt;=DATE(2000,1,1),Bookings!B38&lt;=DATE(2100,12,31)),Bookings!B38,0),IF(AND(A38&lt;&gt;"",LEN("x"&amp;B38)-LEN(SUBSTITUTE("x"&amp;B38,".",""))=2,OR(1&gt;LEN(B38),MID(B38,1,1)=".",ISNUMBER(FIND("x"&amp;MID(B38,1,1),"x0x1x2x3x4x5x6x7x8x9"))),OR(2&gt;LEN(B38),MID(B38,2,1)=".",ISNUMBER(FIND("x"&amp;MID(B38,2,1),"x0x1x2x3x4x5x6x7x8x9"))),OR(3&gt;LEN(B38),MID(B38,3,1)=".",ISNUMBER(FIND("x"&amp;MID(B38,3,1),"x0x1x2x3x4x5x6x7x8x9"))),OR(4&gt;LEN(B38),MID(B38,4,1)=".",ISNUMBER(FIND("x"&amp;MID(B38,4,1),"x0x1x2x3x4x5x6x7x8x9"))),OR(5&gt;LEN(B38),MID(B38,5,1)=".",ISNUMBER(FIND("x"&amp;MID(B38,5,1),"x0x1x2x3x4x5x6x7x8x9"))),OR(6&gt;LEN(B38),MID(B38,6,1)=".",ISNUMBER(FIND("x"&amp;MID(B38,6,1),"x0x1x2x3x4x5x6x7x8x9"))),OR(7&gt;LEN(B38),MID(B38,7,1)=".",ISNUMBER(FIND("x"&amp;MID(B38,7,1),"x0x1x2x3x4x5x6x7x8x9"))),OR(8&gt;LEN(B38),MID(B38,8,1)=".",ISNUMBER(FIND("x"&amp;MID(B38,8,1),"x0x1x2x3x4x5x6x7x8x9"))),OR(9&gt;LEN(B38),MID(B38,9,1)=".",ISNUMBER(FIND("x"&amp;MID(B38,9,1),"x0x1x2x3x4x5x6x7x8x9"))),OR(10&gt;LEN(B38),MID(B38,10,1)=".",ISNUMBER(FIND("x"&amp;MID(B38,10,1),"x0x1x2x3x4x5x6x7x8x9"))),OR(AND(FIND(".",B38)=5,LEN(B38)-FIND(".",B38,FIND(".",B38)+1)&gt;=1,LEN(B38)-FIND(".",B38,FIND(".",B38)+1)&lt;=2),AND(LEN(B38)-FIND(".",B38,FIND(".",B38)+1)=4,FIND(".",B38)&gt;=2,FIND(".",B38)&lt;=3)),FIND(".",B38,FIND(".",B38)+1)-FIND(".",B38)&gt;=2,FIND(".",B38,FIND(".",B38)+1)-FIND(".",B38)&lt;=3,F38&gt;=2000,F38&lt;=2100,YEAR(I38)=F38,MONTH(I38)=G38,DAY(I38)=H38),I38,0)),0)</ns0:f>
        <ns0:v>0</ns0:v>
      </ns0:c>
      <ns0:c r="K38" s="0">
        <ns0:f>IFERROR(IF(ISNUMBER(Bookings!D38),"",TRIM(Bookings!D38&amp;"")),"")</ns0:f>
      </ns0:c>
      <ns0:c r="L38" s="0">
        <ns0:f>IFERROR(SUBSTITUTE(SUBSTITUTE(K38,"/","."),"-","."),"")</ns0:f>
      </ns0:c>
      <ns0:c r="M38" s="0">
        <ns0:f>IFERROR(LEFT(L38,FIND(".",L38)-1),"")</ns0:f>
      </ns0:c>
      <ns0:c r="N38" s="0">
        <ns0:f>IFERROR(MID(L38,FIND(".",L38)+1,FIND(".",L38,FIND(".",L38)+1)-FIND(".",L38)-1),"")</ns0:f>
      </ns0:c>
      <ns0:c r="O38" s="0">
        <ns0:f>IFERROR(MID(L38,FIND(".",L38,FIND(".",L38)+1)+1,99),"")</ns0:f>
        <ns0:v>99</ns0:v>
      </ns0:c>
      <ns0:c r="P38" s="0">
        <ns0:f>IFERROR(IF(FIND(".",L38)=5,--M38,--O38),0)</ns0:f>
        <ns0:v>0</ns0:v>
      </ns0:c>
      <ns0:c r="Q38" s="0">
        <ns0:f>IFERROR(--N38,0)</ns0:f>
        <ns0:v>0</ns0:v>
      </ns0:c>
      <ns0:c r="R38" s="0">
        <ns0:f>IFERROR(IF(FIND(".",L38)=5,--O38,--M38),0)</ns0:f>
        <ns0:v>0</ns0:v>
      </ns0:c>
      <ns0:c r="S38" s="0">
        <ns0:f>IFERROR(IF(AND(P38&gt;=2000,P38&lt;=2100,Q38&gt;=1,Q38&lt;=12,R38&gt;=1,R38&lt;=31),DATE(P38,Q38,R38),0),0)</ns0:f>
        <ns0:v>0</ns0:v>
      </ns0:c>
      <ns0:c r="T38" s="0">
        <ns0:f>IFERROR(IF(ISNUMBER(Bookings!D38),IF(AND(Bookings!D38=INT(Bookings!D38),Bookings!D38&gt;=DATE(2000,1,1),Bookings!D38&lt;=DATE(2100,12,31)),Bookings!D38,0),IF(AND(K38&lt;&gt;"",LEN("x"&amp;L38)-LEN(SUBSTITUTE("x"&amp;L38,".",""))=2,OR(1&gt;LEN(L38),MID(L38,1,1)=".",ISNUMBER(FIND("x"&amp;MID(L38,1,1),"x0x1x2x3x4x5x6x7x8x9"))),OR(2&gt;LEN(L38),MID(L38,2,1)=".",ISNUMBER(FIND("x"&amp;MID(L38,2,1),"x0x1x2x3x4x5x6x7x8x9"))),OR(3&gt;LEN(L38),MID(L38,3,1)=".",ISNUMBER(FIND("x"&amp;MID(L38,3,1),"x0x1x2x3x4x5x6x7x8x9"))),OR(4&gt;LEN(L38),MID(L38,4,1)=".",ISNUMBER(FIND("x"&amp;MID(L38,4,1),"x0x1x2x3x4x5x6x7x8x9"))),OR(5&gt;LEN(L38),MID(L38,5,1)=".",ISNUMBER(FIND("x"&amp;MID(L38,5,1),"x0x1x2x3x4x5x6x7x8x9"))),OR(6&gt;LEN(L38),MID(L38,6,1)=".",ISNUMBER(FIND("x"&amp;MID(L38,6,1),"x0x1x2x3x4x5x6x7x8x9"))),OR(7&gt;LEN(L38),MID(L38,7,1)=".",ISNUMBER(FIND("x"&amp;MID(L38,7,1),"x0x1x2x3x4x5x6x7x8x9"))),OR(8&gt;LEN(L38),MID(L38,8,1)=".",ISNUMBER(FIND("x"&amp;MID(L38,8,1),"x0x1x2x3x4x5x6x7x8x9"))),OR(9&gt;LEN(L38),MID(L38,9,1)=".",ISNUMBER(FIND("x"&amp;MID(L38,9,1),"x0x1x2x3x4x5x6x7x8x9"))),OR(10&gt;LEN(L38),MID(L38,10,1)=".",ISNUMBER(FIND("x"&amp;MID(L38,10,1),"x0x1x2x3x4x5x6x7x8x9"))),OR(AND(FIND(".",L38)=5,LEN(L38)-FIND(".",L38,FIND(".",L38)+1)&gt;=1,LEN(L38)-FIND(".",L38,FIND(".",L38)+1)&lt;=2),AND(LEN(L38)-FIND(".",L38,FIND(".",L38)+1)=4,FIND(".",L38)&gt;=2,FIND(".",L38)&lt;=3)),FIND(".",L38,FIND(".",L38)+1)-FIND(".",L38)&gt;=2,FIND(".",L38,FIND(".",L38)+1)-FIND(".",L38)&lt;=3,P38&gt;=2000,P38&lt;=2100,YEAR(S38)=P38,MONTH(S38)=Q38,DAY(S38)=R38),S38,0)),0)</ns0:f>
        <ns0:v>0</ns0:v>
      </ns0:c>
      <ns0:c r="U38" s="0" t="str">
        <ns0:f>IF(Bookings!C38="","Full day",Bookings!C38)</ns0:f>
        <ns0:v>Full day</ns0:v>
      </ns0:c>
      <ns0:c r="V38" s="0" t="str">
        <ns0:f>IF(Bookings!E38="","Full day",Bookings!E38)</ns0:f>
        <ns0:v>Full day</ns0:v>
      </ns0:c>
      <ns0:c r="W38" s="0">
        <ns0:f>IF(J38=0,0,J38+IF(U38="PM",1,0))</ns0:f>
        <ns0:v>0</ns0:v>
      </ns0:c>
      <ns0:c r="X38" s="0">
        <ns0:f>IF(T38=0,0,T38-IF(V38="PM",1,0))</ns0:f>
        <ns0:v>0</ns0:v>
      </ns0:c>
      <ns0:c r="Y38" s="0">
        <ns0:f>IF(J38=0,0,J38+IF(U38="AM",1,0))</ns0:f>
        <ns0:v>0</ns0:v>
      </ns0:c>
      <ns0:c r="Z38" s="0">
        <ns0:f>IF(T38=0,0,T38-IF(V38="AM",1,0))</ns0:f>
        <ns0:v>0</ns0:v>
      </ns0:c>
      <ns0:c r="AA38" s="0">
        <ns0:f>IFERROR(IF(AND(J38&gt;0,'_Engine'!C38&gt;0,MID('_Engine'!W38,WEEKDAY(J38,2),1)="W",COUNTIF(Settings!$F$18:$F$67,J38)=0),1,0),0)</ns0:f>
        <ns0:v>0</ns0:v>
      </ns0:c>
      <ns0:c r="AB38" s="0">
        <ns0:f>IFERROR(IF(AND(T38&gt;0,'_Engine'!C38&gt;0,MID('_Engine'!W38,WEEKDAY(T38,2),1)="W",COUNTIF(Settings!$F$18:$F$67,T38)=0),1,0),0)</ns0:f>
        <ns0:v>0</ns0:v>
      </ns0:c>
      <ns0:c r="AC38" s="0">
        <ns0:f>IF(AND(J38&gt;0,T38&gt;0,W38&lt;=X38),1,0)</ns0:f>
        <ns0:v>0</ns0:v>
      </ns0:c>
      <ns0:c r="AD38" s="0">
        <ns0:f>IF(AND(J38&gt;0,T38&gt;0,Y38&lt;=Z38),1,0)</ns0:f>
        <ns0:v>0</ns0:v>
      </ns0:c>
    </ns0:row>
    <ns0:row r="39">
      <ns0:c r="A39" s="0">
        <ns0:f>IFERROR(IF(ISNUMBER(Bookings!B39),"",TRIM(Bookings!B39&amp;"")),"")</ns0:f>
      </ns0:c>
      <ns0:c r="B39" s="0">
        <ns0:f>IFERROR(SUBSTITUTE(SUBSTITUTE(A39,"/","."),"-","."),"")</ns0:f>
      </ns0:c>
      <ns0:c r="C39" s="0">
        <ns0:f>IFERROR(LEFT(B39,FIND(".",B39)-1),"")</ns0:f>
      </ns0:c>
      <ns0:c r="D39" s="0">
        <ns0:f>IFERROR(MID(B39,FIND(".",B39)+1,FIND(".",B39,FIND(".",B39)+1)-FIND(".",B39)-1),"")</ns0:f>
      </ns0:c>
      <ns0:c r="E39" s="0">
        <ns0:f>IFERROR(MID(B39,FIND(".",B39,FIND(".",B39)+1)+1,99),"")</ns0:f>
        <ns0:v>99</ns0:v>
      </ns0:c>
      <ns0:c r="F39" s="0">
        <ns0:f>IFERROR(IF(FIND(".",B39)=5,--C39,--E39),0)</ns0:f>
        <ns0:v>0</ns0:v>
      </ns0:c>
      <ns0:c r="G39" s="0">
        <ns0:f>IFERROR(--D39,0)</ns0:f>
        <ns0:v>0</ns0:v>
      </ns0:c>
      <ns0:c r="H39" s="0">
        <ns0:f>IFERROR(IF(FIND(".",B39)=5,--E39,--C39),0)</ns0:f>
        <ns0:v>0</ns0:v>
      </ns0:c>
      <ns0:c r="I39" s="0">
        <ns0:f>IFERROR(IF(AND(F39&gt;=2000,F39&lt;=2100,G39&gt;=1,G39&lt;=12,H39&gt;=1,H39&lt;=31),DATE(F39,G39,H39),0),0)</ns0:f>
        <ns0:v>0</ns0:v>
      </ns0:c>
      <ns0:c r="J39" s="0">
        <ns0:f>IFERROR(IF(ISNUMBER(Bookings!B39),IF(AND(Bookings!B39=INT(Bookings!B39),Bookings!B39&gt;=DATE(2000,1,1),Bookings!B39&lt;=DATE(2100,12,31)),Bookings!B39,0),IF(AND(A39&lt;&gt;"",LEN("x"&amp;B39)-LEN(SUBSTITUTE("x"&amp;B39,".",""))=2,OR(1&gt;LEN(B39),MID(B39,1,1)=".",ISNUMBER(FIND("x"&amp;MID(B39,1,1),"x0x1x2x3x4x5x6x7x8x9"))),OR(2&gt;LEN(B39),MID(B39,2,1)=".",ISNUMBER(FIND("x"&amp;MID(B39,2,1),"x0x1x2x3x4x5x6x7x8x9"))),OR(3&gt;LEN(B39),MID(B39,3,1)=".",ISNUMBER(FIND("x"&amp;MID(B39,3,1),"x0x1x2x3x4x5x6x7x8x9"))),OR(4&gt;LEN(B39),MID(B39,4,1)=".",ISNUMBER(FIND("x"&amp;MID(B39,4,1),"x0x1x2x3x4x5x6x7x8x9"))),OR(5&gt;LEN(B39),MID(B39,5,1)=".",ISNUMBER(FIND("x"&amp;MID(B39,5,1),"x0x1x2x3x4x5x6x7x8x9"))),OR(6&gt;LEN(B39),MID(B39,6,1)=".",ISNUMBER(FIND("x"&amp;MID(B39,6,1),"x0x1x2x3x4x5x6x7x8x9"))),OR(7&gt;LEN(B39),MID(B39,7,1)=".",ISNUMBER(FIND("x"&amp;MID(B39,7,1),"x0x1x2x3x4x5x6x7x8x9"))),OR(8&gt;LEN(B39),MID(B39,8,1)=".",ISNUMBER(FIND("x"&amp;MID(B39,8,1),"x0x1x2x3x4x5x6x7x8x9"))),OR(9&gt;LEN(B39),MID(B39,9,1)=".",ISNUMBER(FIND("x"&amp;MID(B39,9,1),"x0x1x2x3x4x5x6x7x8x9"))),OR(10&gt;LEN(B39),MID(B39,10,1)=".",ISNUMBER(FIND("x"&amp;MID(B39,10,1),"x0x1x2x3x4x5x6x7x8x9"))),OR(AND(FIND(".",B39)=5,LEN(B39)-FIND(".",B39,FIND(".",B39)+1)&gt;=1,LEN(B39)-FIND(".",B39,FIND(".",B39)+1)&lt;=2),AND(LEN(B39)-FIND(".",B39,FIND(".",B39)+1)=4,FIND(".",B39)&gt;=2,FIND(".",B39)&lt;=3)),FIND(".",B39,FIND(".",B39)+1)-FIND(".",B39)&gt;=2,FIND(".",B39,FIND(".",B39)+1)-FIND(".",B39)&lt;=3,F39&gt;=2000,F39&lt;=2100,YEAR(I39)=F39,MONTH(I39)=G39,DAY(I39)=H39),I39,0)),0)</ns0:f>
        <ns0:v>0</ns0:v>
      </ns0:c>
      <ns0:c r="K39" s="0">
        <ns0:f>IFERROR(IF(ISNUMBER(Bookings!D39),"",TRIM(Bookings!D39&amp;"")),"")</ns0:f>
      </ns0:c>
      <ns0:c r="L39" s="0">
        <ns0:f>IFERROR(SUBSTITUTE(SUBSTITUTE(K39,"/","."),"-","."),"")</ns0:f>
      </ns0:c>
      <ns0:c r="M39" s="0">
        <ns0:f>IFERROR(LEFT(L39,FIND(".",L39)-1),"")</ns0:f>
      </ns0:c>
      <ns0:c r="N39" s="0">
        <ns0:f>IFERROR(MID(L39,FIND(".",L39)+1,FIND(".",L39,FIND(".",L39)+1)-FIND(".",L39)-1),"")</ns0:f>
      </ns0:c>
      <ns0:c r="O39" s="0">
        <ns0:f>IFERROR(MID(L39,FIND(".",L39,FIND(".",L39)+1)+1,99),"")</ns0:f>
        <ns0:v>99</ns0:v>
      </ns0:c>
      <ns0:c r="P39" s="0">
        <ns0:f>IFERROR(IF(FIND(".",L39)=5,--M39,--O39),0)</ns0:f>
        <ns0:v>0</ns0:v>
      </ns0:c>
      <ns0:c r="Q39" s="0">
        <ns0:f>IFERROR(--N39,0)</ns0:f>
        <ns0:v>0</ns0:v>
      </ns0:c>
      <ns0:c r="R39" s="0">
        <ns0:f>IFERROR(IF(FIND(".",L39)=5,--O39,--M39),0)</ns0:f>
        <ns0:v>0</ns0:v>
      </ns0:c>
      <ns0:c r="S39" s="0">
        <ns0:f>IFERROR(IF(AND(P39&gt;=2000,P39&lt;=2100,Q39&gt;=1,Q39&lt;=12,R39&gt;=1,R39&lt;=31),DATE(P39,Q39,R39),0),0)</ns0:f>
        <ns0:v>0</ns0:v>
      </ns0:c>
      <ns0:c r="T39" s="0">
        <ns0:f>IFERROR(IF(ISNUMBER(Bookings!D39),IF(AND(Bookings!D39=INT(Bookings!D39),Bookings!D39&gt;=DATE(2000,1,1),Bookings!D39&lt;=DATE(2100,12,31)),Bookings!D39,0),IF(AND(K39&lt;&gt;"",LEN("x"&amp;L39)-LEN(SUBSTITUTE("x"&amp;L39,".",""))=2,OR(1&gt;LEN(L39),MID(L39,1,1)=".",ISNUMBER(FIND("x"&amp;MID(L39,1,1),"x0x1x2x3x4x5x6x7x8x9"))),OR(2&gt;LEN(L39),MID(L39,2,1)=".",ISNUMBER(FIND("x"&amp;MID(L39,2,1),"x0x1x2x3x4x5x6x7x8x9"))),OR(3&gt;LEN(L39),MID(L39,3,1)=".",ISNUMBER(FIND("x"&amp;MID(L39,3,1),"x0x1x2x3x4x5x6x7x8x9"))),OR(4&gt;LEN(L39),MID(L39,4,1)=".",ISNUMBER(FIND("x"&amp;MID(L39,4,1),"x0x1x2x3x4x5x6x7x8x9"))),OR(5&gt;LEN(L39),MID(L39,5,1)=".",ISNUMBER(FIND("x"&amp;MID(L39,5,1),"x0x1x2x3x4x5x6x7x8x9"))),OR(6&gt;LEN(L39),MID(L39,6,1)=".",ISNUMBER(FIND("x"&amp;MID(L39,6,1),"x0x1x2x3x4x5x6x7x8x9"))),OR(7&gt;LEN(L39),MID(L39,7,1)=".",ISNUMBER(FIND("x"&amp;MID(L39,7,1),"x0x1x2x3x4x5x6x7x8x9"))),OR(8&gt;LEN(L39),MID(L39,8,1)=".",ISNUMBER(FIND("x"&amp;MID(L39,8,1),"x0x1x2x3x4x5x6x7x8x9"))),OR(9&gt;LEN(L39),MID(L39,9,1)=".",ISNUMBER(FIND("x"&amp;MID(L39,9,1),"x0x1x2x3x4x5x6x7x8x9"))),OR(10&gt;LEN(L39),MID(L39,10,1)=".",ISNUMBER(FIND("x"&amp;MID(L39,10,1),"x0x1x2x3x4x5x6x7x8x9"))),OR(AND(FIND(".",L39)=5,LEN(L39)-FIND(".",L39,FIND(".",L39)+1)&gt;=1,LEN(L39)-FIND(".",L39,FIND(".",L39)+1)&lt;=2),AND(LEN(L39)-FIND(".",L39,FIND(".",L39)+1)=4,FIND(".",L39)&gt;=2,FIND(".",L39)&lt;=3)),FIND(".",L39,FIND(".",L39)+1)-FIND(".",L39)&gt;=2,FIND(".",L39,FIND(".",L39)+1)-FIND(".",L39)&lt;=3,P39&gt;=2000,P39&lt;=2100,YEAR(S39)=P39,MONTH(S39)=Q39,DAY(S39)=R39),S39,0)),0)</ns0:f>
        <ns0:v>0</ns0:v>
      </ns0:c>
      <ns0:c r="U39" s="0" t="str">
        <ns0:f>IF(Bookings!C39="","Full day",Bookings!C39)</ns0:f>
        <ns0:v>Full day</ns0:v>
      </ns0:c>
      <ns0:c r="V39" s="0" t="str">
        <ns0:f>IF(Bookings!E39="","Full day",Bookings!E39)</ns0:f>
        <ns0:v>Full day</ns0:v>
      </ns0:c>
      <ns0:c r="W39" s="0">
        <ns0:f>IF(J39=0,0,J39+IF(U39="PM",1,0))</ns0:f>
        <ns0:v>0</ns0:v>
      </ns0:c>
      <ns0:c r="X39" s="0">
        <ns0:f>IF(T39=0,0,T39-IF(V39="PM",1,0))</ns0:f>
        <ns0:v>0</ns0:v>
      </ns0:c>
      <ns0:c r="Y39" s="0">
        <ns0:f>IF(J39=0,0,J39+IF(U39="AM",1,0))</ns0:f>
        <ns0:v>0</ns0:v>
      </ns0:c>
      <ns0:c r="Z39" s="0">
        <ns0:f>IF(T39=0,0,T39-IF(V39="AM",1,0))</ns0:f>
        <ns0:v>0</ns0:v>
      </ns0:c>
      <ns0:c r="AA39" s="0">
        <ns0:f>IFERROR(IF(AND(J39&gt;0,'_Engine'!C39&gt;0,MID('_Engine'!W39,WEEKDAY(J39,2),1)="W",COUNTIF(Settings!$F$18:$F$67,J39)=0),1,0),0)</ns0:f>
        <ns0:v>0</ns0:v>
      </ns0:c>
      <ns0:c r="AB39" s="0">
        <ns0:f>IFERROR(IF(AND(T39&gt;0,'_Engine'!C39&gt;0,MID('_Engine'!W39,WEEKDAY(T39,2),1)="W",COUNTIF(Settings!$F$18:$F$67,T39)=0),1,0),0)</ns0:f>
        <ns0:v>0</ns0:v>
      </ns0:c>
      <ns0:c r="AC39" s="0">
        <ns0:f>IF(AND(J39&gt;0,T39&gt;0,W39&lt;=X39),1,0)</ns0:f>
        <ns0:v>0</ns0:v>
      </ns0:c>
      <ns0:c r="AD39" s="0">
        <ns0:f>IF(AND(J39&gt;0,T39&gt;0,Y39&lt;=Z39),1,0)</ns0:f>
        <ns0:v>0</ns0:v>
      </ns0:c>
    </ns0:row>
    <ns0:row r="40">
      <ns0:c r="A40" s="0">
        <ns0:f>IFERROR(IF(ISNUMBER(Bookings!B40),"",TRIM(Bookings!B40&amp;"")),"")</ns0:f>
      </ns0:c>
      <ns0:c r="B40" s="0">
        <ns0:f>IFERROR(SUBSTITUTE(SUBSTITUTE(A40,"/","."),"-","."),"")</ns0:f>
      </ns0:c>
      <ns0:c r="C40" s="0">
        <ns0:f>IFERROR(LEFT(B40,FIND(".",B40)-1),"")</ns0:f>
      </ns0:c>
      <ns0:c r="D40" s="0">
        <ns0:f>IFERROR(MID(B40,FIND(".",B40)+1,FIND(".",B40,FIND(".",B40)+1)-FIND(".",B40)-1),"")</ns0:f>
      </ns0:c>
      <ns0:c r="E40" s="0">
        <ns0:f>IFERROR(MID(B40,FIND(".",B40,FIND(".",B40)+1)+1,99),"")</ns0:f>
        <ns0:v>99</ns0:v>
      </ns0:c>
      <ns0:c r="F40" s="0">
        <ns0:f>IFERROR(IF(FIND(".",B40)=5,--C40,--E40),0)</ns0:f>
        <ns0:v>0</ns0:v>
      </ns0:c>
      <ns0:c r="G40" s="0">
        <ns0:f>IFERROR(--D40,0)</ns0:f>
        <ns0:v>0</ns0:v>
      </ns0:c>
      <ns0:c r="H40" s="0">
        <ns0:f>IFERROR(IF(FIND(".",B40)=5,--E40,--C40),0)</ns0:f>
        <ns0:v>0</ns0:v>
      </ns0:c>
      <ns0:c r="I40" s="0">
        <ns0:f>IFERROR(IF(AND(F40&gt;=2000,F40&lt;=2100,G40&gt;=1,G40&lt;=12,H40&gt;=1,H40&lt;=31),DATE(F40,G40,H40),0),0)</ns0:f>
        <ns0:v>0</ns0:v>
      </ns0:c>
      <ns0:c r="J40" s="0">
        <ns0:f>IFERROR(IF(ISNUMBER(Bookings!B40),IF(AND(Bookings!B40=INT(Bookings!B40),Bookings!B40&gt;=DATE(2000,1,1),Bookings!B40&lt;=DATE(2100,12,31)),Bookings!B40,0),IF(AND(A40&lt;&gt;"",LEN("x"&amp;B40)-LEN(SUBSTITUTE("x"&amp;B40,".",""))=2,OR(1&gt;LEN(B40),MID(B40,1,1)=".",ISNUMBER(FIND("x"&amp;MID(B40,1,1),"x0x1x2x3x4x5x6x7x8x9"))),OR(2&gt;LEN(B40),MID(B40,2,1)=".",ISNUMBER(FIND("x"&amp;MID(B40,2,1),"x0x1x2x3x4x5x6x7x8x9"))),OR(3&gt;LEN(B40),MID(B40,3,1)=".",ISNUMBER(FIND("x"&amp;MID(B40,3,1),"x0x1x2x3x4x5x6x7x8x9"))),OR(4&gt;LEN(B40),MID(B40,4,1)=".",ISNUMBER(FIND("x"&amp;MID(B40,4,1),"x0x1x2x3x4x5x6x7x8x9"))),OR(5&gt;LEN(B40),MID(B40,5,1)=".",ISNUMBER(FIND("x"&amp;MID(B40,5,1),"x0x1x2x3x4x5x6x7x8x9"))),OR(6&gt;LEN(B40),MID(B40,6,1)=".",ISNUMBER(FIND("x"&amp;MID(B40,6,1),"x0x1x2x3x4x5x6x7x8x9"))),OR(7&gt;LEN(B40),MID(B40,7,1)=".",ISNUMBER(FIND("x"&amp;MID(B40,7,1),"x0x1x2x3x4x5x6x7x8x9"))),OR(8&gt;LEN(B40),MID(B40,8,1)=".",ISNUMBER(FIND("x"&amp;MID(B40,8,1),"x0x1x2x3x4x5x6x7x8x9"))),OR(9&gt;LEN(B40),MID(B40,9,1)=".",ISNUMBER(FIND("x"&amp;MID(B40,9,1),"x0x1x2x3x4x5x6x7x8x9"))),OR(10&gt;LEN(B40),MID(B40,10,1)=".",ISNUMBER(FIND("x"&amp;MID(B40,10,1),"x0x1x2x3x4x5x6x7x8x9"))),OR(AND(FIND(".",B40)=5,LEN(B40)-FIND(".",B40,FIND(".",B40)+1)&gt;=1,LEN(B40)-FIND(".",B40,FIND(".",B40)+1)&lt;=2),AND(LEN(B40)-FIND(".",B40,FIND(".",B40)+1)=4,FIND(".",B40)&gt;=2,FIND(".",B40)&lt;=3)),FIND(".",B40,FIND(".",B40)+1)-FIND(".",B40)&gt;=2,FIND(".",B40,FIND(".",B40)+1)-FIND(".",B40)&lt;=3,F40&gt;=2000,F40&lt;=2100,YEAR(I40)=F40,MONTH(I40)=G40,DAY(I40)=H40),I40,0)),0)</ns0:f>
        <ns0:v>0</ns0:v>
      </ns0:c>
      <ns0:c r="K40" s="0">
        <ns0:f>IFERROR(IF(ISNUMBER(Bookings!D40),"",TRIM(Bookings!D40&amp;"")),"")</ns0:f>
      </ns0:c>
      <ns0:c r="L40" s="0">
        <ns0:f>IFERROR(SUBSTITUTE(SUBSTITUTE(K40,"/","."),"-","."),"")</ns0:f>
      </ns0:c>
      <ns0:c r="M40" s="0">
        <ns0:f>IFERROR(LEFT(L40,FIND(".",L40)-1),"")</ns0:f>
      </ns0:c>
      <ns0:c r="N40" s="0">
        <ns0:f>IFERROR(MID(L40,FIND(".",L40)+1,FIND(".",L40,FIND(".",L40)+1)-FIND(".",L40)-1),"")</ns0:f>
      </ns0:c>
      <ns0:c r="O40" s="0">
        <ns0:f>IFERROR(MID(L40,FIND(".",L40,FIND(".",L40)+1)+1,99),"")</ns0:f>
        <ns0:v>99</ns0:v>
      </ns0:c>
      <ns0:c r="P40" s="0">
        <ns0:f>IFERROR(IF(FIND(".",L40)=5,--M40,--O40),0)</ns0:f>
        <ns0:v>0</ns0:v>
      </ns0:c>
      <ns0:c r="Q40" s="0">
        <ns0:f>IFERROR(--N40,0)</ns0:f>
        <ns0:v>0</ns0:v>
      </ns0:c>
      <ns0:c r="R40" s="0">
        <ns0:f>IFERROR(IF(FIND(".",L40)=5,--O40,--M40),0)</ns0:f>
        <ns0:v>0</ns0:v>
      </ns0:c>
      <ns0:c r="S40" s="0">
        <ns0:f>IFERROR(IF(AND(P40&gt;=2000,P40&lt;=2100,Q40&gt;=1,Q40&lt;=12,R40&gt;=1,R40&lt;=31),DATE(P40,Q40,R40),0),0)</ns0:f>
        <ns0:v>0</ns0:v>
      </ns0:c>
      <ns0:c r="T40" s="0">
        <ns0:f>IFERROR(IF(ISNUMBER(Bookings!D40),IF(AND(Bookings!D40=INT(Bookings!D40),Bookings!D40&gt;=DATE(2000,1,1),Bookings!D40&lt;=DATE(2100,12,31)),Bookings!D40,0),IF(AND(K40&lt;&gt;"",LEN("x"&amp;L40)-LEN(SUBSTITUTE("x"&amp;L40,".",""))=2,OR(1&gt;LEN(L40),MID(L40,1,1)=".",ISNUMBER(FIND("x"&amp;MID(L40,1,1),"x0x1x2x3x4x5x6x7x8x9"))),OR(2&gt;LEN(L40),MID(L40,2,1)=".",ISNUMBER(FIND("x"&amp;MID(L40,2,1),"x0x1x2x3x4x5x6x7x8x9"))),OR(3&gt;LEN(L40),MID(L40,3,1)=".",ISNUMBER(FIND("x"&amp;MID(L40,3,1),"x0x1x2x3x4x5x6x7x8x9"))),OR(4&gt;LEN(L40),MID(L40,4,1)=".",ISNUMBER(FIND("x"&amp;MID(L40,4,1),"x0x1x2x3x4x5x6x7x8x9"))),OR(5&gt;LEN(L40),MID(L40,5,1)=".",ISNUMBER(FIND("x"&amp;MID(L40,5,1),"x0x1x2x3x4x5x6x7x8x9"))),OR(6&gt;LEN(L40),MID(L40,6,1)=".",ISNUMBER(FIND("x"&amp;MID(L40,6,1),"x0x1x2x3x4x5x6x7x8x9"))),OR(7&gt;LEN(L40),MID(L40,7,1)=".",ISNUMBER(FIND("x"&amp;MID(L40,7,1),"x0x1x2x3x4x5x6x7x8x9"))),OR(8&gt;LEN(L40),MID(L40,8,1)=".",ISNUMBER(FIND("x"&amp;MID(L40,8,1),"x0x1x2x3x4x5x6x7x8x9"))),OR(9&gt;LEN(L40),MID(L40,9,1)=".",ISNUMBER(FIND("x"&amp;MID(L40,9,1),"x0x1x2x3x4x5x6x7x8x9"))),OR(10&gt;LEN(L40),MID(L40,10,1)=".",ISNUMBER(FIND("x"&amp;MID(L40,10,1),"x0x1x2x3x4x5x6x7x8x9"))),OR(AND(FIND(".",L40)=5,LEN(L40)-FIND(".",L40,FIND(".",L40)+1)&gt;=1,LEN(L40)-FIND(".",L40,FIND(".",L40)+1)&lt;=2),AND(LEN(L40)-FIND(".",L40,FIND(".",L40)+1)=4,FIND(".",L40)&gt;=2,FIND(".",L40)&lt;=3)),FIND(".",L40,FIND(".",L40)+1)-FIND(".",L40)&gt;=2,FIND(".",L40,FIND(".",L40)+1)-FIND(".",L40)&lt;=3,P40&gt;=2000,P40&lt;=2100,YEAR(S40)=P40,MONTH(S40)=Q40,DAY(S40)=R40),S40,0)),0)</ns0:f>
        <ns0:v>0</ns0:v>
      </ns0:c>
      <ns0:c r="U40" s="0" t="str">
        <ns0:f>IF(Bookings!C40="","Full day",Bookings!C40)</ns0:f>
        <ns0:v>Full day</ns0:v>
      </ns0:c>
      <ns0:c r="V40" s="0" t="str">
        <ns0:f>IF(Bookings!E40="","Full day",Bookings!E40)</ns0:f>
        <ns0:v>Full day</ns0:v>
      </ns0:c>
      <ns0:c r="W40" s="0">
        <ns0:f>IF(J40=0,0,J40+IF(U40="PM",1,0))</ns0:f>
        <ns0:v>0</ns0:v>
      </ns0:c>
      <ns0:c r="X40" s="0">
        <ns0:f>IF(T40=0,0,T40-IF(V40="PM",1,0))</ns0:f>
        <ns0:v>0</ns0:v>
      </ns0:c>
      <ns0:c r="Y40" s="0">
        <ns0:f>IF(J40=0,0,J40+IF(U40="AM",1,0))</ns0:f>
        <ns0:v>0</ns0:v>
      </ns0:c>
      <ns0:c r="Z40" s="0">
        <ns0:f>IF(T40=0,0,T40-IF(V40="AM",1,0))</ns0:f>
        <ns0:v>0</ns0:v>
      </ns0:c>
      <ns0:c r="AA40" s="0">
        <ns0:f>IFERROR(IF(AND(J40&gt;0,'_Engine'!C40&gt;0,MID('_Engine'!W40,WEEKDAY(J40,2),1)="W",COUNTIF(Settings!$F$18:$F$67,J40)=0),1,0),0)</ns0:f>
        <ns0:v>0</ns0:v>
      </ns0:c>
      <ns0:c r="AB40" s="0">
        <ns0:f>IFERROR(IF(AND(T40&gt;0,'_Engine'!C40&gt;0,MID('_Engine'!W40,WEEKDAY(T40,2),1)="W",COUNTIF(Settings!$F$18:$F$67,T40)=0),1,0),0)</ns0:f>
        <ns0:v>0</ns0:v>
      </ns0:c>
      <ns0:c r="AC40" s="0">
        <ns0:f>IF(AND(J40&gt;0,T40&gt;0,W40&lt;=X40),1,0)</ns0:f>
        <ns0:v>0</ns0:v>
      </ns0:c>
      <ns0:c r="AD40" s="0">
        <ns0:f>IF(AND(J40&gt;0,T40&gt;0,Y40&lt;=Z40),1,0)</ns0:f>
        <ns0:v>0</ns0:v>
      </ns0:c>
    </ns0:row>
    <ns0:row r="41">
      <ns0:c r="A41" s="0">
        <ns0:f>IFERROR(IF(ISNUMBER(Bookings!B41),"",TRIM(Bookings!B41&amp;"")),"")</ns0:f>
      </ns0:c>
      <ns0:c r="B41" s="0">
        <ns0:f>IFERROR(SUBSTITUTE(SUBSTITUTE(A41,"/","."),"-","."),"")</ns0:f>
      </ns0:c>
      <ns0:c r="C41" s="0">
        <ns0:f>IFERROR(LEFT(B41,FIND(".",B41)-1),"")</ns0:f>
      </ns0:c>
      <ns0:c r="D41" s="0">
        <ns0:f>IFERROR(MID(B41,FIND(".",B41)+1,FIND(".",B41,FIND(".",B41)+1)-FIND(".",B41)-1),"")</ns0:f>
      </ns0:c>
      <ns0:c r="E41" s="0">
        <ns0:f>IFERROR(MID(B41,FIND(".",B41,FIND(".",B41)+1)+1,99),"")</ns0:f>
        <ns0:v>99</ns0:v>
      </ns0:c>
      <ns0:c r="F41" s="0">
        <ns0:f>IFERROR(IF(FIND(".",B41)=5,--C41,--E41),0)</ns0:f>
        <ns0:v>0</ns0:v>
      </ns0:c>
      <ns0:c r="G41" s="0">
        <ns0:f>IFERROR(--D41,0)</ns0:f>
        <ns0:v>0</ns0:v>
      </ns0:c>
      <ns0:c r="H41" s="0">
        <ns0:f>IFERROR(IF(FIND(".",B41)=5,--E41,--C41),0)</ns0:f>
        <ns0:v>0</ns0:v>
      </ns0:c>
      <ns0:c r="I41" s="0">
        <ns0:f>IFERROR(IF(AND(F41&gt;=2000,F41&lt;=2100,G41&gt;=1,G41&lt;=12,H41&gt;=1,H41&lt;=31),DATE(F41,G41,H41),0),0)</ns0:f>
        <ns0:v>0</ns0:v>
      </ns0:c>
      <ns0:c r="J41" s="0">
        <ns0:f>IFERROR(IF(ISNUMBER(Bookings!B41),IF(AND(Bookings!B41=INT(Bookings!B41),Bookings!B41&gt;=DATE(2000,1,1),Bookings!B41&lt;=DATE(2100,12,31)),Bookings!B41,0),IF(AND(A41&lt;&gt;"",LEN("x"&amp;B41)-LEN(SUBSTITUTE("x"&amp;B41,".",""))=2,OR(1&gt;LEN(B41),MID(B41,1,1)=".",ISNUMBER(FIND("x"&amp;MID(B41,1,1),"x0x1x2x3x4x5x6x7x8x9"))),OR(2&gt;LEN(B41),MID(B41,2,1)=".",ISNUMBER(FIND("x"&amp;MID(B41,2,1),"x0x1x2x3x4x5x6x7x8x9"))),OR(3&gt;LEN(B41),MID(B41,3,1)=".",ISNUMBER(FIND("x"&amp;MID(B41,3,1),"x0x1x2x3x4x5x6x7x8x9"))),OR(4&gt;LEN(B41),MID(B41,4,1)=".",ISNUMBER(FIND("x"&amp;MID(B41,4,1),"x0x1x2x3x4x5x6x7x8x9"))),OR(5&gt;LEN(B41),MID(B41,5,1)=".",ISNUMBER(FIND("x"&amp;MID(B41,5,1),"x0x1x2x3x4x5x6x7x8x9"))),OR(6&gt;LEN(B41),MID(B41,6,1)=".",ISNUMBER(FIND("x"&amp;MID(B41,6,1),"x0x1x2x3x4x5x6x7x8x9"))),OR(7&gt;LEN(B41),MID(B41,7,1)=".",ISNUMBER(FIND("x"&amp;MID(B41,7,1),"x0x1x2x3x4x5x6x7x8x9"))),OR(8&gt;LEN(B41),MID(B41,8,1)=".",ISNUMBER(FIND("x"&amp;MID(B41,8,1),"x0x1x2x3x4x5x6x7x8x9"))),OR(9&gt;LEN(B41),MID(B41,9,1)=".",ISNUMBER(FIND("x"&amp;MID(B41,9,1),"x0x1x2x3x4x5x6x7x8x9"))),OR(10&gt;LEN(B41),MID(B41,10,1)=".",ISNUMBER(FIND("x"&amp;MID(B41,10,1),"x0x1x2x3x4x5x6x7x8x9"))),OR(AND(FIND(".",B41)=5,LEN(B41)-FIND(".",B41,FIND(".",B41)+1)&gt;=1,LEN(B41)-FIND(".",B41,FIND(".",B41)+1)&lt;=2),AND(LEN(B41)-FIND(".",B41,FIND(".",B41)+1)=4,FIND(".",B41)&gt;=2,FIND(".",B41)&lt;=3)),FIND(".",B41,FIND(".",B41)+1)-FIND(".",B41)&gt;=2,FIND(".",B41,FIND(".",B41)+1)-FIND(".",B41)&lt;=3,F41&gt;=2000,F41&lt;=2100,YEAR(I41)=F41,MONTH(I41)=G41,DAY(I41)=H41),I41,0)),0)</ns0:f>
        <ns0:v>0</ns0:v>
      </ns0:c>
      <ns0:c r="K41" s="0">
        <ns0:f>IFERROR(IF(ISNUMBER(Bookings!D41),"",TRIM(Bookings!D41&amp;"")),"")</ns0:f>
      </ns0:c>
      <ns0:c r="L41" s="0">
        <ns0:f>IFERROR(SUBSTITUTE(SUBSTITUTE(K41,"/","."),"-","."),"")</ns0:f>
      </ns0:c>
      <ns0:c r="M41" s="0">
        <ns0:f>IFERROR(LEFT(L41,FIND(".",L41)-1),"")</ns0:f>
      </ns0:c>
      <ns0:c r="N41" s="0">
        <ns0:f>IFERROR(MID(L41,FIND(".",L41)+1,FIND(".",L41,FIND(".",L41)+1)-FIND(".",L41)-1),"")</ns0:f>
      </ns0:c>
      <ns0:c r="O41" s="0">
        <ns0:f>IFERROR(MID(L41,FIND(".",L41,FIND(".",L41)+1)+1,99),"")</ns0:f>
        <ns0:v>99</ns0:v>
      </ns0:c>
      <ns0:c r="P41" s="0">
        <ns0:f>IFERROR(IF(FIND(".",L41)=5,--M41,--O41),0)</ns0:f>
        <ns0:v>0</ns0:v>
      </ns0:c>
      <ns0:c r="Q41" s="0">
        <ns0:f>IFERROR(--N41,0)</ns0:f>
        <ns0:v>0</ns0:v>
      </ns0:c>
      <ns0:c r="R41" s="0">
        <ns0:f>IFERROR(IF(FIND(".",L41)=5,--O41,--M41),0)</ns0:f>
        <ns0:v>0</ns0:v>
      </ns0:c>
      <ns0:c r="S41" s="0">
        <ns0:f>IFERROR(IF(AND(P41&gt;=2000,P41&lt;=2100,Q41&gt;=1,Q41&lt;=12,R41&gt;=1,R41&lt;=31),DATE(P41,Q41,R41),0),0)</ns0:f>
        <ns0:v>0</ns0:v>
      </ns0:c>
      <ns0:c r="T41" s="0">
        <ns0:f>IFERROR(IF(ISNUMBER(Bookings!D41),IF(AND(Bookings!D41=INT(Bookings!D41),Bookings!D41&gt;=DATE(2000,1,1),Bookings!D41&lt;=DATE(2100,12,31)),Bookings!D41,0),IF(AND(K41&lt;&gt;"",LEN("x"&amp;L41)-LEN(SUBSTITUTE("x"&amp;L41,".",""))=2,OR(1&gt;LEN(L41),MID(L41,1,1)=".",ISNUMBER(FIND("x"&amp;MID(L41,1,1),"x0x1x2x3x4x5x6x7x8x9"))),OR(2&gt;LEN(L41),MID(L41,2,1)=".",ISNUMBER(FIND("x"&amp;MID(L41,2,1),"x0x1x2x3x4x5x6x7x8x9"))),OR(3&gt;LEN(L41),MID(L41,3,1)=".",ISNUMBER(FIND("x"&amp;MID(L41,3,1),"x0x1x2x3x4x5x6x7x8x9"))),OR(4&gt;LEN(L41),MID(L41,4,1)=".",ISNUMBER(FIND("x"&amp;MID(L41,4,1),"x0x1x2x3x4x5x6x7x8x9"))),OR(5&gt;LEN(L41),MID(L41,5,1)=".",ISNUMBER(FIND("x"&amp;MID(L41,5,1),"x0x1x2x3x4x5x6x7x8x9"))),OR(6&gt;LEN(L41),MID(L41,6,1)=".",ISNUMBER(FIND("x"&amp;MID(L41,6,1),"x0x1x2x3x4x5x6x7x8x9"))),OR(7&gt;LEN(L41),MID(L41,7,1)=".",ISNUMBER(FIND("x"&amp;MID(L41,7,1),"x0x1x2x3x4x5x6x7x8x9"))),OR(8&gt;LEN(L41),MID(L41,8,1)=".",ISNUMBER(FIND("x"&amp;MID(L41,8,1),"x0x1x2x3x4x5x6x7x8x9"))),OR(9&gt;LEN(L41),MID(L41,9,1)=".",ISNUMBER(FIND("x"&amp;MID(L41,9,1),"x0x1x2x3x4x5x6x7x8x9"))),OR(10&gt;LEN(L41),MID(L41,10,1)=".",ISNUMBER(FIND("x"&amp;MID(L41,10,1),"x0x1x2x3x4x5x6x7x8x9"))),OR(AND(FIND(".",L41)=5,LEN(L41)-FIND(".",L41,FIND(".",L41)+1)&gt;=1,LEN(L41)-FIND(".",L41,FIND(".",L41)+1)&lt;=2),AND(LEN(L41)-FIND(".",L41,FIND(".",L41)+1)=4,FIND(".",L41)&gt;=2,FIND(".",L41)&lt;=3)),FIND(".",L41,FIND(".",L41)+1)-FIND(".",L41)&gt;=2,FIND(".",L41,FIND(".",L41)+1)-FIND(".",L41)&lt;=3,P41&gt;=2000,P41&lt;=2100,YEAR(S41)=P41,MONTH(S41)=Q41,DAY(S41)=R41),S41,0)),0)</ns0:f>
        <ns0:v>0</ns0:v>
      </ns0:c>
      <ns0:c r="U41" s="0" t="str">
        <ns0:f>IF(Bookings!C41="","Full day",Bookings!C41)</ns0:f>
        <ns0:v>Full day</ns0:v>
      </ns0:c>
      <ns0:c r="V41" s="0" t="str">
        <ns0:f>IF(Bookings!E41="","Full day",Bookings!E41)</ns0:f>
        <ns0:v>Full day</ns0:v>
      </ns0:c>
      <ns0:c r="W41" s="0">
        <ns0:f>IF(J41=0,0,J41+IF(U41="PM",1,0))</ns0:f>
        <ns0:v>0</ns0:v>
      </ns0:c>
      <ns0:c r="X41" s="0">
        <ns0:f>IF(T41=0,0,T41-IF(V41="PM",1,0))</ns0:f>
        <ns0:v>0</ns0:v>
      </ns0:c>
      <ns0:c r="Y41" s="0">
        <ns0:f>IF(J41=0,0,J41+IF(U41="AM",1,0))</ns0:f>
        <ns0:v>0</ns0:v>
      </ns0:c>
      <ns0:c r="Z41" s="0">
        <ns0:f>IF(T41=0,0,T41-IF(V41="AM",1,0))</ns0:f>
        <ns0:v>0</ns0:v>
      </ns0:c>
      <ns0:c r="AA41" s="0">
        <ns0:f>IFERROR(IF(AND(J41&gt;0,'_Engine'!C41&gt;0,MID('_Engine'!W41,WEEKDAY(J41,2),1)="W",COUNTIF(Settings!$F$18:$F$67,J41)=0),1,0),0)</ns0:f>
        <ns0:v>0</ns0:v>
      </ns0:c>
      <ns0:c r="AB41" s="0">
        <ns0:f>IFERROR(IF(AND(T41&gt;0,'_Engine'!C41&gt;0,MID('_Engine'!W41,WEEKDAY(T41,2),1)="W",COUNTIF(Settings!$F$18:$F$67,T41)=0),1,0),0)</ns0:f>
        <ns0:v>0</ns0:v>
      </ns0:c>
      <ns0:c r="AC41" s="0">
        <ns0:f>IF(AND(J41&gt;0,T41&gt;0,W41&lt;=X41),1,0)</ns0:f>
        <ns0:v>0</ns0:v>
      </ns0:c>
      <ns0:c r="AD41" s="0">
        <ns0:f>IF(AND(J41&gt;0,T41&gt;0,Y41&lt;=Z41),1,0)</ns0:f>
        <ns0:v>0</ns0:v>
      </ns0:c>
    </ns0:row>
    <ns0:row r="42">
      <ns0:c r="A42" s="0">
        <ns0:f>IFERROR(IF(ISNUMBER(Bookings!B42),"",TRIM(Bookings!B42&amp;"")),"")</ns0:f>
      </ns0:c>
      <ns0:c r="B42" s="0">
        <ns0:f>IFERROR(SUBSTITUTE(SUBSTITUTE(A42,"/","."),"-","."),"")</ns0:f>
      </ns0:c>
      <ns0:c r="C42" s="0">
        <ns0:f>IFERROR(LEFT(B42,FIND(".",B42)-1),"")</ns0:f>
      </ns0:c>
      <ns0:c r="D42" s="0">
        <ns0:f>IFERROR(MID(B42,FIND(".",B42)+1,FIND(".",B42,FIND(".",B42)+1)-FIND(".",B42)-1),"")</ns0:f>
      </ns0:c>
      <ns0:c r="E42" s="0">
        <ns0:f>IFERROR(MID(B42,FIND(".",B42,FIND(".",B42)+1)+1,99),"")</ns0:f>
        <ns0:v>99</ns0:v>
      </ns0:c>
      <ns0:c r="F42" s="0">
        <ns0:f>IFERROR(IF(FIND(".",B42)=5,--C42,--E42),0)</ns0:f>
        <ns0:v>0</ns0:v>
      </ns0:c>
      <ns0:c r="G42" s="0">
        <ns0:f>IFERROR(--D42,0)</ns0:f>
        <ns0:v>0</ns0:v>
      </ns0:c>
      <ns0:c r="H42" s="0">
        <ns0:f>IFERROR(IF(FIND(".",B42)=5,--E42,--C42),0)</ns0:f>
        <ns0:v>0</ns0:v>
      </ns0:c>
      <ns0:c r="I42" s="0">
        <ns0:f>IFERROR(IF(AND(F42&gt;=2000,F42&lt;=2100,G42&gt;=1,G42&lt;=12,H42&gt;=1,H42&lt;=31),DATE(F42,G42,H42),0),0)</ns0:f>
        <ns0:v>0</ns0:v>
      </ns0:c>
      <ns0:c r="J42" s="0">
        <ns0:f>IFERROR(IF(ISNUMBER(Bookings!B42),IF(AND(Bookings!B42=INT(Bookings!B42),Bookings!B42&gt;=DATE(2000,1,1),Bookings!B42&lt;=DATE(2100,12,31)),Bookings!B42,0),IF(AND(A42&lt;&gt;"",LEN("x"&amp;B42)-LEN(SUBSTITUTE("x"&amp;B42,".",""))=2,OR(1&gt;LEN(B42),MID(B42,1,1)=".",ISNUMBER(FIND("x"&amp;MID(B42,1,1),"x0x1x2x3x4x5x6x7x8x9"))),OR(2&gt;LEN(B42),MID(B42,2,1)=".",ISNUMBER(FIND("x"&amp;MID(B42,2,1),"x0x1x2x3x4x5x6x7x8x9"))),OR(3&gt;LEN(B42),MID(B42,3,1)=".",ISNUMBER(FIND("x"&amp;MID(B42,3,1),"x0x1x2x3x4x5x6x7x8x9"))),OR(4&gt;LEN(B42),MID(B42,4,1)=".",ISNUMBER(FIND("x"&amp;MID(B42,4,1),"x0x1x2x3x4x5x6x7x8x9"))),OR(5&gt;LEN(B42),MID(B42,5,1)=".",ISNUMBER(FIND("x"&amp;MID(B42,5,1),"x0x1x2x3x4x5x6x7x8x9"))),OR(6&gt;LEN(B42),MID(B42,6,1)=".",ISNUMBER(FIND("x"&amp;MID(B42,6,1),"x0x1x2x3x4x5x6x7x8x9"))),OR(7&gt;LEN(B42),MID(B42,7,1)=".",ISNUMBER(FIND("x"&amp;MID(B42,7,1),"x0x1x2x3x4x5x6x7x8x9"))),OR(8&gt;LEN(B42),MID(B42,8,1)=".",ISNUMBER(FIND("x"&amp;MID(B42,8,1),"x0x1x2x3x4x5x6x7x8x9"))),OR(9&gt;LEN(B42),MID(B42,9,1)=".",ISNUMBER(FIND("x"&amp;MID(B42,9,1),"x0x1x2x3x4x5x6x7x8x9"))),OR(10&gt;LEN(B42),MID(B42,10,1)=".",ISNUMBER(FIND("x"&amp;MID(B42,10,1),"x0x1x2x3x4x5x6x7x8x9"))),OR(AND(FIND(".",B42)=5,LEN(B42)-FIND(".",B42,FIND(".",B42)+1)&gt;=1,LEN(B42)-FIND(".",B42,FIND(".",B42)+1)&lt;=2),AND(LEN(B42)-FIND(".",B42,FIND(".",B42)+1)=4,FIND(".",B42)&gt;=2,FIND(".",B42)&lt;=3)),FIND(".",B42,FIND(".",B42)+1)-FIND(".",B42)&gt;=2,FIND(".",B42,FIND(".",B42)+1)-FIND(".",B42)&lt;=3,F42&gt;=2000,F42&lt;=2100,YEAR(I42)=F42,MONTH(I42)=G42,DAY(I42)=H42),I42,0)),0)</ns0:f>
        <ns0:v>0</ns0:v>
      </ns0:c>
      <ns0:c r="K42" s="0">
        <ns0:f>IFERROR(IF(ISNUMBER(Bookings!D42),"",TRIM(Bookings!D42&amp;"")),"")</ns0:f>
      </ns0:c>
      <ns0:c r="L42" s="0">
        <ns0:f>IFERROR(SUBSTITUTE(SUBSTITUTE(K42,"/","."),"-","."),"")</ns0:f>
      </ns0:c>
      <ns0:c r="M42" s="0">
        <ns0:f>IFERROR(LEFT(L42,FIND(".",L42)-1),"")</ns0:f>
      </ns0:c>
      <ns0:c r="N42" s="0">
        <ns0:f>IFERROR(MID(L42,FIND(".",L42)+1,FIND(".",L42,FIND(".",L42)+1)-FIND(".",L42)-1),"")</ns0:f>
      </ns0:c>
      <ns0:c r="O42" s="0">
        <ns0:f>IFERROR(MID(L42,FIND(".",L42,FIND(".",L42)+1)+1,99),"")</ns0:f>
        <ns0:v>99</ns0:v>
      </ns0:c>
      <ns0:c r="P42" s="0">
        <ns0:f>IFERROR(IF(FIND(".",L42)=5,--M42,--O42),0)</ns0:f>
        <ns0:v>0</ns0:v>
      </ns0:c>
      <ns0:c r="Q42" s="0">
        <ns0:f>IFERROR(--N42,0)</ns0:f>
        <ns0:v>0</ns0:v>
      </ns0:c>
      <ns0:c r="R42" s="0">
        <ns0:f>IFERROR(IF(FIND(".",L42)=5,--O42,--M42),0)</ns0:f>
        <ns0:v>0</ns0:v>
      </ns0:c>
      <ns0:c r="S42" s="0">
        <ns0:f>IFERROR(IF(AND(P42&gt;=2000,P42&lt;=2100,Q42&gt;=1,Q42&lt;=12,R42&gt;=1,R42&lt;=31),DATE(P42,Q42,R42),0),0)</ns0:f>
        <ns0:v>0</ns0:v>
      </ns0:c>
      <ns0:c r="T42" s="0">
        <ns0:f>IFERROR(IF(ISNUMBER(Bookings!D42),IF(AND(Bookings!D42=INT(Bookings!D42),Bookings!D42&gt;=DATE(2000,1,1),Bookings!D42&lt;=DATE(2100,12,31)),Bookings!D42,0),IF(AND(K42&lt;&gt;"",LEN("x"&amp;L42)-LEN(SUBSTITUTE("x"&amp;L42,".",""))=2,OR(1&gt;LEN(L42),MID(L42,1,1)=".",ISNUMBER(FIND("x"&amp;MID(L42,1,1),"x0x1x2x3x4x5x6x7x8x9"))),OR(2&gt;LEN(L42),MID(L42,2,1)=".",ISNUMBER(FIND("x"&amp;MID(L42,2,1),"x0x1x2x3x4x5x6x7x8x9"))),OR(3&gt;LEN(L42),MID(L42,3,1)=".",ISNUMBER(FIND("x"&amp;MID(L42,3,1),"x0x1x2x3x4x5x6x7x8x9"))),OR(4&gt;LEN(L42),MID(L42,4,1)=".",ISNUMBER(FIND("x"&amp;MID(L42,4,1),"x0x1x2x3x4x5x6x7x8x9"))),OR(5&gt;LEN(L42),MID(L42,5,1)=".",ISNUMBER(FIND("x"&amp;MID(L42,5,1),"x0x1x2x3x4x5x6x7x8x9"))),OR(6&gt;LEN(L42),MID(L42,6,1)=".",ISNUMBER(FIND("x"&amp;MID(L42,6,1),"x0x1x2x3x4x5x6x7x8x9"))),OR(7&gt;LEN(L42),MID(L42,7,1)=".",ISNUMBER(FIND("x"&amp;MID(L42,7,1),"x0x1x2x3x4x5x6x7x8x9"))),OR(8&gt;LEN(L42),MID(L42,8,1)=".",ISNUMBER(FIND("x"&amp;MID(L42,8,1),"x0x1x2x3x4x5x6x7x8x9"))),OR(9&gt;LEN(L42),MID(L42,9,1)=".",ISNUMBER(FIND("x"&amp;MID(L42,9,1),"x0x1x2x3x4x5x6x7x8x9"))),OR(10&gt;LEN(L42),MID(L42,10,1)=".",ISNUMBER(FIND("x"&amp;MID(L42,10,1),"x0x1x2x3x4x5x6x7x8x9"))),OR(AND(FIND(".",L42)=5,LEN(L42)-FIND(".",L42,FIND(".",L42)+1)&gt;=1,LEN(L42)-FIND(".",L42,FIND(".",L42)+1)&lt;=2),AND(LEN(L42)-FIND(".",L42,FIND(".",L42)+1)=4,FIND(".",L42)&gt;=2,FIND(".",L42)&lt;=3)),FIND(".",L42,FIND(".",L42)+1)-FIND(".",L42)&gt;=2,FIND(".",L42,FIND(".",L42)+1)-FIND(".",L42)&lt;=3,P42&gt;=2000,P42&lt;=2100,YEAR(S42)=P42,MONTH(S42)=Q42,DAY(S42)=R42),S42,0)),0)</ns0:f>
        <ns0:v>0</ns0:v>
      </ns0:c>
      <ns0:c r="U42" s="0" t="str">
        <ns0:f>IF(Bookings!C42="","Full day",Bookings!C42)</ns0:f>
        <ns0:v>Full day</ns0:v>
      </ns0:c>
      <ns0:c r="V42" s="0" t="str">
        <ns0:f>IF(Bookings!E42="","Full day",Bookings!E42)</ns0:f>
        <ns0:v>Full day</ns0:v>
      </ns0:c>
      <ns0:c r="W42" s="0">
        <ns0:f>IF(J42=0,0,J42+IF(U42="PM",1,0))</ns0:f>
        <ns0:v>0</ns0:v>
      </ns0:c>
      <ns0:c r="X42" s="0">
        <ns0:f>IF(T42=0,0,T42-IF(V42="PM",1,0))</ns0:f>
        <ns0:v>0</ns0:v>
      </ns0:c>
      <ns0:c r="Y42" s="0">
        <ns0:f>IF(J42=0,0,J42+IF(U42="AM",1,0))</ns0:f>
        <ns0:v>0</ns0:v>
      </ns0:c>
      <ns0:c r="Z42" s="0">
        <ns0:f>IF(T42=0,0,T42-IF(V42="AM",1,0))</ns0:f>
        <ns0:v>0</ns0:v>
      </ns0:c>
      <ns0:c r="AA42" s="0">
        <ns0:f>IFERROR(IF(AND(J42&gt;0,'_Engine'!C42&gt;0,MID('_Engine'!W42,WEEKDAY(J42,2),1)="W",COUNTIF(Settings!$F$18:$F$67,J42)=0),1,0),0)</ns0:f>
        <ns0:v>0</ns0:v>
      </ns0:c>
      <ns0:c r="AB42" s="0">
        <ns0:f>IFERROR(IF(AND(T42&gt;0,'_Engine'!C42&gt;0,MID('_Engine'!W42,WEEKDAY(T42,2),1)="W",COUNTIF(Settings!$F$18:$F$67,T42)=0),1,0),0)</ns0:f>
        <ns0:v>0</ns0:v>
      </ns0:c>
      <ns0:c r="AC42" s="0">
        <ns0:f>IF(AND(J42&gt;0,T42&gt;0,W42&lt;=X42),1,0)</ns0:f>
        <ns0:v>0</ns0:v>
      </ns0:c>
      <ns0:c r="AD42" s="0">
        <ns0:f>IF(AND(J42&gt;0,T42&gt;0,Y42&lt;=Z42),1,0)</ns0:f>
        <ns0:v>0</ns0:v>
      </ns0:c>
    </ns0:row>
    <ns0:row r="43">
      <ns0:c r="A43" s="0">
        <ns0:f>IFERROR(IF(ISNUMBER(Bookings!B43),"",TRIM(Bookings!B43&amp;"")),"")</ns0:f>
      </ns0:c>
      <ns0:c r="B43" s="0">
        <ns0:f>IFERROR(SUBSTITUTE(SUBSTITUTE(A43,"/","."),"-","."),"")</ns0:f>
      </ns0:c>
      <ns0:c r="C43" s="0">
        <ns0:f>IFERROR(LEFT(B43,FIND(".",B43)-1),"")</ns0:f>
      </ns0:c>
      <ns0:c r="D43" s="0">
        <ns0:f>IFERROR(MID(B43,FIND(".",B43)+1,FIND(".",B43,FIND(".",B43)+1)-FIND(".",B43)-1),"")</ns0:f>
      </ns0:c>
      <ns0:c r="E43" s="0">
        <ns0:f>IFERROR(MID(B43,FIND(".",B43,FIND(".",B43)+1)+1,99),"")</ns0:f>
        <ns0:v>99</ns0:v>
      </ns0:c>
      <ns0:c r="F43" s="0">
        <ns0:f>IFERROR(IF(FIND(".",B43)=5,--C43,--E43),0)</ns0:f>
        <ns0:v>0</ns0:v>
      </ns0:c>
      <ns0:c r="G43" s="0">
        <ns0:f>IFERROR(--D43,0)</ns0:f>
        <ns0:v>0</ns0:v>
      </ns0:c>
      <ns0:c r="H43" s="0">
        <ns0:f>IFERROR(IF(FIND(".",B43)=5,--E43,--C43),0)</ns0:f>
        <ns0:v>0</ns0:v>
      </ns0:c>
      <ns0:c r="I43" s="0">
        <ns0:f>IFERROR(IF(AND(F43&gt;=2000,F43&lt;=2100,G43&gt;=1,G43&lt;=12,H43&gt;=1,H43&lt;=31),DATE(F43,G43,H43),0),0)</ns0:f>
        <ns0:v>0</ns0:v>
      </ns0:c>
      <ns0:c r="J43" s="0">
        <ns0:f>IFERROR(IF(ISNUMBER(Bookings!B43),IF(AND(Bookings!B43=INT(Bookings!B43),Bookings!B43&gt;=DATE(2000,1,1),Bookings!B43&lt;=DATE(2100,12,31)),Bookings!B43,0),IF(AND(A43&lt;&gt;"",LEN("x"&amp;B43)-LEN(SUBSTITUTE("x"&amp;B43,".",""))=2,OR(1&gt;LEN(B43),MID(B43,1,1)=".",ISNUMBER(FIND("x"&amp;MID(B43,1,1),"x0x1x2x3x4x5x6x7x8x9"))),OR(2&gt;LEN(B43),MID(B43,2,1)=".",ISNUMBER(FIND("x"&amp;MID(B43,2,1),"x0x1x2x3x4x5x6x7x8x9"))),OR(3&gt;LEN(B43),MID(B43,3,1)=".",ISNUMBER(FIND("x"&amp;MID(B43,3,1),"x0x1x2x3x4x5x6x7x8x9"))),OR(4&gt;LEN(B43),MID(B43,4,1)=".",ISNUMBER(FIND("x"&amp;MID(B43,4,1),"x0x1x2x3x4x5x6x7x8x9"))),OR(5&gt;LEN(B43),MID(B43,5,1)=".",ISNUMBER(FIND("x"&amp;MID(B43,5,1),"x0x1x2x3x4x5x6x7x8x9"))),OR(6&gt;LEN(B43),MID(B43,6,1)=".",ISNUMBER(FIND("x"&amp;MID(B43,6,1),"x0x1x2x3x4x5x6x7x8x9"))),OR(7&gt;LEN(B43),MID(B43,7,1)=".",ISNUMBER(FIND("x"&amp;MID(B43,7,1),"x0x1x2x3x4x5x6x7x8x9"))),OR(8&gt;LEN(B43),MID(B43,8,1)=".",ISNUMBER(FIND("x"&amp;MID(B43,8,1),"x0x1x2x3x4x5x6x7x8x9"))),OR(9&gt;LEN(B43),MID(B43,9,1)=".",ISNUMBER(FIND("x"&amp;MID(B43,9,1),"x0x1x2x3x4x5x6x7x8x9"))),OR(10&gt;LEN(B43),MID(B43,10,1)=".",ISNUMBER(FIND("x"&amp;MID(B43,10,1),"x0x1x2x3x4x5x6x7x8x9"))),OR(AND(FIND(".",B43)=5,LEN(B43)-FIND(".",B43,FIND(".",B43)+1)&gt;=1,LEN(B43)-FIND(".",B43,FIND(".",B43)+1)&lt;=2),AND(LEN(B43)-FIND(".",B43,FIND(".",B43)+1)=4,FIND(".",B43)&gt;=2,FIND(".",B43)&lt;=3)),FIND(".",B43,FIND(".",B43)+1)-FIND(".",B43)&gt;=2,FIND(".",B43,FIND(".",B43)+1)-FIND(".",B43)&lt;=3,F43&gt;=2000,F43&lt;=2100,YEAR(I43)=F43,MONTH(I43)=G43,DAY(I43)=H43),I43,0)),0)</ns0:f>
        <ns0:v>0</ns0:v>
      </ns0:c>
      <ns0:c r="K43" s="0">
        <ns0:f>IFERROR(IF(ISNUMBER(Bookings!D43),"",TRIM(Bookings!D43&amp;"")),"")</ns0:f>
      </ns0:c>
      <ns0:c r="L43" s="0">
        <ns0:f>IFERROR(SUBSTITUTE(SUBSTITUTE(K43,"/","."),"-","."),"")</ns0:f>
      </ns0:c>
      <ns0:c r="M43" s="0">
        <ns0:f>IFERROR(LEFT(L43,FIND(".",L43)-1),"")</ns0:f>
      </ns0:c>
      <ns0:c r="N43" s="0">
        <ns0:f>IFERROR(MID(L43,FIND(".",L43)+1,FIND(".",L43,FIND(".",L43)+1)-FIND(".",L43)-1),"")</ns0:f>
      </ns0:c>
      <ns0:c r="O43" s="0">
        <ns0:f>IFERROR(MID(L43,FIND(".",L43,FIND(".",L43)+1)+1,99),"")</ns0:f>
        <ns0:v>99</ns0:v>
      </ns0:c>
      <ns0:c r="P43" s="0">
        <ns0:f>IFERROR(IF(FIND(".",L43)=5,--M43,--O43),0)</ns0:f>
        <ns0:v>0</ns0:v>
      </ns0:c>
      <ns0:c r="Q43" s="0">
        <ns0:f>IFERROR(--N43,0)</ns0:f>
        <ns0:v>0</ns0:v>
      </ns0:c>
      <ns0:c r="R43" s="0">
        <ns0:f>IFERROR(IF(FIND(".",L43)=5,--O43,--M43),0)</ns0:f>
        <ns0:v>0</ns0:v>
      </ns0:c>
      <ns0:c r="S43" s="0">
        <ns0:f>IFERROR(IF(AND(P43&gt;=2000,P43&lt;=2100,Q43&gt;=1,Q43&lt;=12,R43&gt;=1,R43&lt;=31),DATE(P43,Q43,R43),0),0)</ns0:f>
        <ns0:v>0</ns0:v>
      </ns0:c>
      <ns0:c r="T43" s="0">
        <ns0:f>IFERROR(IF(ISNUMBER(Bookings!D43),IF(AND(Bookings!D43=INT(Bookings!D43),Bookings!D43&gt;=DATE(2000,1,1),Bookings!D43&lt;=DATE(2100,12,31)),Bookings!D43,0),IF(AND(K43&lt;&gt;"",LEN("x"&amp;L43)-LEN(SUBSTITUTE("x"&amp;L43,".",""))=2,OR(1&gt;LEN(L43),MID(L43,1,1)=".",ISNUMBER(FIND("x"&amp;MID(L43,1,1),"x0x1x2x3x4x5x6x7x8x9"))),OR(2&gt;LEN(L43),MID(L43,2,1)=".",ISNUMBER(FIND("x"&amp;MID(L43,2,1),"x0x1x2x3x4x5x6x7x8x9"))),OR(3&gt;LEN(L43),MID(L43,3,1)=".",ISNUMBER(FIND("x"&amp;MID(L43,3,1),"x0x1x2x3x4x5x6x7x8x9"))),OR(4&gt;LEN(L43),MID(L43,4,1)=".",ISNUMBER(FIND("x"&amp;MID(L43,4,1),"x0x1x2x3x4x5x6x7x8x9"))),OR(5&gt;LEN(L43),MID(L43,5,1)=".",ISNUMBER(FIND("x"&amp;MID(L43,5,1),"x0x1x2x3x4x5x6x7x8x9"))),OR(6&gt;LEN(L43),MID(L43,6,1)=".",ISNUMBER(FIND("x"&amp;MID(L43,6,1),"x0x1x2x3x4x5x6x7x8x9"))),OR(7&gt;LEN(L43),MID(L43,7,1)=".",ISNUMBER(FIND("x"&amp;MID(L43,7,1),"x0x1x2x3x4x5x6x7x8x9"))),OR(8&gt;LEN(L43),MID(L43,8,1)=".",ISNUMBER(FIND("x"&amp;MID(L43,8,1),"x0x1x2x3x4x5x6x7x8x9"))),OR(9&gt;LEN(L43),MID(L43,9,1)=".",ISNUMBER(FIND("x"&amp;MID(L43,9,1),"x0x1x2x3x4x5x6x7x8x9"))),OR(10&gt;LEN(L43),MID(L43,10,1)=".",ISNUMBER(FIND("x"&amp;MID(L43,10,1),"x0x1x2x3x4x5x6x7x8x9"))),OR(AND(FIND(".",L43)=5,LEN(L43)-FIND(".",L43,FIND(".",L43)+1)&gt;=1,LEN(L43)-FIND(".",L43,FIND(".",L43)+1)&lt;=2),AND(LEN(L43)-FIND(".",L43,FIND(".",L43)+1)=4,FIND(".",L43)&gt;=2,FIND(".",L43)&lt;=3)),FIND(".",L43,FIND(".",L43)+1)-FIND(".",L43)&gt;=2,FIND(".",L43,FIND(".",L43)+1)-FIND(".",L43)&lt;=3,P43&gt;=2000,P43&lt;=2100,YEAR(S43)=P43,MONTH(S43)=Q43,DAY(S43)=R43),S43,0)),0)</ns0:f>
        <ns0:v>0</ns0:v>
      </ns0:c>
      <ns0:c r="U43" s="0" t="str">
        <ns0:f>IF(Bookings!C43="","Full day",Bookings!C43)</ns0:f>
        <ns0:v>Full day</ns0:v>
      </ns0:c>
      <ns0:c r="V43" s="0" t="str">
        <ns0:f>IF(Bookings!E43="","Full day",Bookings!E43)</ns0:f>
        <ns0:v>Full day</ns0:v>
      </ns0:c>
      <ns0:c r="W43" s="0">
        <ns0:f>IF(J43=0,0,J43+IF(U43="PM",1,0))</ns0:f>
        <ns0:v>0</ns0:v>
      </ns0:c>
      <ns0:c r="X43" s="0">
        <ns0:f>IF(T43=0,0,T43-IF(V43="PM",1,0))</ns0:f>
        <ns0:v>0</ns0:v>
      </ns0:c>
      <ns0:c r="Y43" s="0">
        <ns0:f>IF(J43=0,0,J43+IF(U43="AM",1,0))</ns0:f>
        <ns0:v>0</ns0:v>
      </ns0:c>
      <ns0:c r="Z43" s="0">
        <ns0:f>IF(T43=0,0,T43-IF(V43="AM",1,0))</ns0:f>
        <ns0:v>0</ns0:v>
      </ns0:c>
      <ns0:c r="AA43" s="0">
        <ns0:f>IFERROR(IF(AND(J43&gt;0,'_Engine'!C43&gt;0,MID('_Engine'!W43,WEEKDAY(J43,2),1)="W",COUNTIF(Settings!$F$18:$F$67,J43)=0),1,0),0)</ns0:f>
        <ns0:v>0</ns0:v>
      </ns0:c>
      <ns0:c r="AB43" s="0">
        <ns0:f>IFERROR(IF(AND(T43&gt;0,'_Engine'!C43&gt;0,MID('_Engine'!W43,WEEKDAY(T43,2),1)="W",COUNTIF(Settings!$F$18:$F$67,T43)=0),1,0),0)</ns0:f>
        <ns0:v>0</ns0:v>
      </ns0:c>
      <ns0:c r="AC43" s="0">
        <ns0:f>IF(AND(J43&gt;0,T43&gt;0,W43&lt;=X43),1,0)</ns0:f>
        <ns0:v>0</ns0:v>
      </ns0:c>
      <ns0:c r="AD43" s="0">
        <ns0:f>IF(AND(J43&gt;0,T43&gt;0,Y43&lt;=Z43),1,0)</ns0:f>
        <ns0:v>0</ns0:v>
      </ns0:c>
    </ns0:row>
    <ns0:row r="44">
      <ns0:c r="A44" s="0">
        <ns0:f>IFERROR(IF(ISNUMBER(Bookings!B44),"",TRIM(Bookings!B44&amp;"")),"")</ns0:f>
      </ns0:c>
      <ns0:c r="B44" s="0">
        <ns0:f>IFERROR(SUBSTITUTE(SUBSTITUTE(A44,"/","."),"-","."),"")</ns0:f>
      </ns0:c>
      <ns0:c r="C44" s="0">
        <ns0:f>IFERROR(LEFT(B44,FIND(".",B44)-1),"")</ns0:f>
      </ns0:c>
      <ns0:c r="D44" s="0">
        <ns0:f>IFERROR(MID(B44,FIND(".",B44)+1,FIND(".",B44,FIND(".",B44)+1)-FIND(".",B44)-1),"")</ns0:f>
      </ns0:c>
      <ns0:c r="E44" s="0">
        <ns0:f>IFERROR(MID(B44,FIND(".",B44,FIND(".",B44)+1)+1,99),"")</ns0:f>
        <ns0:v>99</ns0:v>
      </ns0:c>
      <ns0:c r="F44" s="0">
        <ns0:f>IFERROR(IF(FIND(".",B44)=5,--C44,--E44),0)</ns0:f>
        <ns0:v>0</ns0:v>
      </ns0:c>
      <ns0:c r="G44" s="0">
        <ns0:f>IFERROR(--D44,0)</ns0:f>
        <ns0:v>0</ns0:v>
      </ns0:c>
      <ns0:c r="H44" s="0">
        <ns0:f>IFERROR(IF(FIND(".",B44)=5,--E44,--C44),0)</ns0:f>
        <ns0:v>0</ns0:v>
      </ns0:c>
      <ns0:c r="I44" s="0">
        <ns0:f>IFERROR(IF(AND(F44&gt;=2000,F44&lt;=2100,G44&gt;=1,G44&lt;=12,H44&gt;=1,H44&lt;=31),DATE(F44,G44,H44),0),0)</ns0:f>
        <ns0:v>0</ns0:v>
      </ns0:c>
      <ns0:c r="J44" s="0">
        <ns0:f>IFERROR(IF(ISNUMBER(Bookings!B44),IF(AND(Bookings!B44=INT(Bookings!B44),Bookings!B44&gt;=DATE(2000,1,1),Bookings!B44&lt;=DATE(2100,12,31)),Bookings!B44,0),IF(AND(A44&lt;&gt;"",LEN("x"&amp;B44)-LEN(SUBSTITUTE("x"&amp;B44,".",""))=2,OR(1&gt;LEN(B44),MID(B44,1,1)=".",ISNUMBER(FIND("x"&amp;MID(B44,1,1),"x0x1x2x3x4x5x6x7x8x9"))),OR(2&gt;LEN(B44),MID(B44,2,1)=".",ISNUMBER(FIND("x"&amp;MID(B44,2,1),"x0x1x2x3x4x5x6x7x8x9"))),OR(3&gt;LEN(B44),MID(B44,3,1)=".",ISNUMBER(FIND("x"&amp;MID(B44,3,1),"x0x1x2x3x4x5x6x7x8x9"))),OR(4&gt;LEN(B44),MID(B44,4,1)=".",ISNUMBER(FIND("x"&amp;MID(B44,4,1),"x0x1x2x3x4x5x6x7x8x9"))),OR(5&gt;LEN(B44),MID(B44,5,1)=".",ISNUMBER(FIND("x"&amp;MID(B44,5,1),"x0x1x2x3x4x5x6x7x8x9"))),OR(6&gt;LEN(B44),MID(B44,6,1)=".",ISNUMBER(FIND("x"&amp;MID(B44,6,1),"x0x1x2x3x4x5x6x7x8x9"))),OR(7&gt;LEN(B44),MID(B44,7,1)=".",ISNUMBER(FIND("x"&amp;MID(B44,7,1),"x0x1x2x3x4x5x6x7x8x9"))),OR(8&gt;LEN(B44),MID(B44,8,1)=".",ISNUMBER(FIND("x"&amp;MID(B44,8,1),"x0x1x2x3x4x5x6x7x8x9"))),OR(9&gt;LEN(B44),MID(B44,9,1)=".",ISNUMBER(FIND("x"&amp;MID(B44,9,1),"x0x1x2x3x4x5x6x7x8x9"))),OR(10&gt;LEN(B44),MID(B44,10,1)=".",ISNUMBER(FIND("x"&amp;MID(B44,10,1),"x0x1x2x3x4x5x6x7x8x9"))),OR(AND(FIND(".",B44)=5,LEN(B44)-FIND(".",B44,FIND(".",B44)+1)&gt;=1,LEN(B44)-FIND(".",B44,FIND(".",B44)+1)&lt;=2),AND(LEN(B44)-FIND(".",B44,FIND(".",B44)+1)=4,FIND(".",B44)&gt;=2,FIND(".",B44)&lt;=3)),FIND(".",B44,FIND(".",B44)+1)-FIND(".",B44)&gt;=2,FIND(".",B44,FIND(".",B44)+1)-FIND(".",B44)&lt;=3,F44&gt;=2000,F44&lt;=2100,YEAR(I44)=F44,MONTH(I44)=G44,DAY(I44)=H44),I44,0)),0)</ns0:f>
        <ns0:v>0</ns0:v>
      </ns0:c>
      <ns0:c r="K44" s="0">
        <ns0:f>IFERROR(IF(ISNUMBER(Bookings!D44),"",TRIM(Bookings!D44&amp;"")),"")</ns0:f>
      </ns0:c>
      <ns0:c r="L44" s="0">
        <ns0:f>IFERROR(SUBSTITUTE(SUBSTITUTE(K44,"/","."),"-","."),"")</ns0:f>
      </ns0:c>
      <ns0:c r="M44" s="0">
        <ns0:f>IFERROR(LEFT(L44,FIND(".",L44)-1),"")</ns0:f>
      </ns0:c>
      <ns0:c r="N44" s="0">
        <ns0:f>IFERROR(MID(L44,FIND(".",L44)+1,FIND(".",L44,FIND(".",L44)+1)-FIND(".",L44)-1),"")</ns0:f>
      </ns0:c>
      <ns0:c r="O44" s="0">
        <ns0:f>IFERROR(MID(L44,FIND(".",L44,FIND(".",L44)+1)+1,99),"")</ns0:f>
        <ns0:v>99</ns0:v>
      </ns0:c>
      <ns0:c r="P44" s="0">
        <ns0:f>IFERROR(IF(FIND(".",L44)=5,--M44,--O44),0)</ns0:f>
        <ns0:v>0</ns0:v>
      </ns0:c>
      <ns0:c r="Q44" s="0">
        <ns0:f>IFERROR(--N44,0)</ns0:f>
        <ns0:v>0</ns0:v>
      </ns0:c>
      <ns0:c r="R44" s="0">
        <ns0:f>IFERROR(IF(FIND(".",L44)=5,--O44,--M44),0)</ns0:f>
        <ns0:v>0</ns0:v>
      </ns0:c>
      <ns0:c r="S44" s="0">
        <ns0:f>IFERROR(IF(AND(P44&gt;=2000,P44&lt;=2100,Q44&gt;=1,Q44&lt;=12,R44&gt;=1,R44&lt;=31),DATE(P44,Q44,R44),0),0)</ns0:f>
        <ns0:v>0</ns0:v>
      </ns0:c>
      <ns0:c r="T44" s="0">
        <ns0:f>IFERROR(IF(ISNUMBER(Bookings!D44),IF(AND(Bookings!D44=INT(Bookings!D44),Bookings!D44&gt;=DATE(2000,1,1),Bookings!D44&lt;=DATE(2100,12,31)),Bookings!D44,0),IF(AND(K44&lt;&gt;"",LEN("x"&amp;L44)-LEN(SUBSTITUTE("x"&amp;L44,".",""))=2,OR(1&gt;LEN(L44),MID(L44,1,1)=".",ISNUMBER(FIND("x"&amp;MID(L44,1,1),"x0x1x2x3x4x5x6x7x8x9"))),OR(2&gt;LEN(L44),MID(L44,2,1)=".",ISNUMBER(FIND("x"&amp;MID(L44,2,1),"x0x1x2x3x4x5x6x7x8x9"))),OR(3&gt;LEN(L44),MID(L44,3,1)=".",ISNUMBER(FIND("x"&amp;MID(L44,3,1),"x0x1x2x3x4x5x6x7x8x9"))),OR(4&gt;LEN(L44),MID(L44,4,1)=".",ISNUMBER(FIND("x"&amp;MID(L44,4,1),"x0x1x2x3x4x5x6x7x8x9"))),OR(5&gt;LEN(L44),MID(L44,5,1)=".",ISNUMBER(FIND("x"&amp;MID(L44,5,1),"x0x1x2x3x4x5x6x7x8x9"))),OR(6&gt;LEN(L44),MID(L44,6,1)=".",ISNUMBER(FIND("x"&amp;MID(L44,6,1),"x0x1x2x3x4x5x6x7x8x9"))),OR(7&gt;LEN(L44),MID(L44,7,1)=".",ISNUMBER(FIND("x"&amp;MID(L44,7,1),"x0x1x2x3x4x5x6x7x8x9"))),OR(8&gt;LEN(L44),MID(L44,8,1)=".",ISNUMBER(FIND("x"&amp;MID(L44,8,1),"x0x1x2x3x4x5x6x7x8x9"))),OR(9&gt;LEN(L44),MID(L44,9,1)=".",ISNUMBER(FIND("x"&amp;MID(L44,9,1),"x0x1x2x3x4x5x6x7x8x9"))),OR(10&gt;LEN(L44),MID(L44,10,1)=".",ISNUMBER(FIND("x"&amp;MID(L44,10,1),"x0x1x2x3x4x5x6x7x8x9"))),OR(AND(FIND(".",L44)=5,LEN(L44)-FIND(".",L44,FIND(".",L44)+1)&gt;=1,LEN(L44)-FIND(".",L44,FIND(".",L44)+1)&lt;=2),AND(LEN(L44)-FIND(".",L44,FIND(".",L44)+1)=4,FIND(".",L44)&gt;=2,FIND(".",L44)&lt;=3)),FIND(".",L44,FIND(".",L44)+1)-FIND(".",L44)&gt;=2,FIND(".",L44,FIND(".",L44)+1)-FIND(".",L44)&lt;=3,P44&gt;=2000,P44&lt;=2100,YEAR(S44)=P44,MONTH(S44)=Q44,DAY(S44)=R44),S44,0)),0)</ns0:f>
        <ns0:v>0</ns0:v>
      </ns0:c>
      <ns0:c r="U44" s="0" t="str">
        <ns0:f>IF(Bookings!C44="","Full day",Bookings!C44)</ns0:f>
        <ns0:v>Full day</ns0:v>
      </ns0:c>
      <ns0:c r="V44" s="0" t="str">
        <ns0:f>IF(Bookings!E44="","Full day",Bookings!E44)</ns0:f>
        <ns0:v>Full day</ns0:v>
      </ns0:c>
      <ns0:c r="W44" s="0">
        <ns0:f>IF(J44=0,0,J44+IF(U44="PM",1,0))</ns0:f>
        <ns0:v>0</ns0:v>
      </ns0:c>
      <ns0:c r="X44" s="0">
        <ns0:f>IF(T44=0,0,T44-IF(V44="PM",1,0))</ns0:f>
        <ns0:v>0</ns0:v>
      </ns0:c>
      <ns0:c r="Y44" s="0">
        <ns0:f>IF(J44=0,0,J44+IF(U44="AM",1,0))</ns0:f>
        <ns0:v>0</ns0:v>
      </ns0:c>
      <ns0:c r="Z44" s="0">
        <ns0:f>IF(T44=0,0,T44-IF(V44="AM",1,0))</ns0:f>
        <ns0:v>0</ns0:v>
      </ns0:c>
      <ns0:c r="AA44" s="0">
        <ns0:f>IFERROR(IF(AND(J44&gt;0,'_Engine'!C44&gt;0,MID('_Engine'!W44,WEEKDAY(J44,2),1)="W",COUNTIF(Settings!$F$18:$F$67,J44)=0),1,0),0)</ns0:f>
        <ns0:v>0</ns0:v>
      </ns0:c>
      <ns0:c r="AB44" s="0">
        <ns0:f>IFERROR(IF(AND(T44&gt;0,'_Engine'!C44&gt;0,MID('_Engine'!W44,WEEKDAY(T44,2),1)="W",COUNTIF(Settings!$F$18:$F$67,T44)=0),1,0),0)</ns0:f>
        <ns0:v>0</ns0:v>
      </ns0:c>
      <ns0:c r="AC44" s="0">
        <ns0:f>IF(AND(J44&gt;0,T44&gt;0,W44&lt;=X44),1,0)</ns0:f>
        <ns0:v>0</ns0:v>
      </ns0:c>
      <ns0:c r="AD44" s="0">
        <ns0:f>IF(AND(J44&gt;0,T44&gt;0,Y44&lt;=Z44),1,0)</ns0:f>
        <ns0:v>0</ns0:v>
      </ns0:c>
    </ns0:row>
    <ns0:row r="45">
      <ns0:c r="A45" s="0">
        <ns0:f>IFERROR(IF(ISNUMBER(Bookings!B45),"",TRIM(Bookings!B45&amp;"")),"")</ns0:f>
      </ns0:c>
      <ns0:c r="B45" s="0">
        <ns0:f>IFERROR(SUBSTITUTE(SUBSTITUTE(A45,"/","."),"-","."),"")</ns0:f>
      </ns0:c>
      <ns0:c r="C45" s="0">
        <ns0:f>IFERROR(LEFT(B45,FIND(".",B45)-1),"")</ns0:f>
      </ns0:c>
      <ns0:c r="D45" s="0">
        <ns0:f>IFERROR(MID(B45,FIND(".",B45)+1,FIND(".",B45,FIND(".",B45)+1)-FIND(".",B45)-1),"")</ns0:f>
      </ns0:c>
      <ns0:c r="E45" s="0">
        <ns0:f>IFERROR(MID(B45,FIND(".",B45,FIND(".",B45)+1)+1,99),"")</ns0:f>
        <ns0:v>99</ns0:v>
      </ns0:c>
      <ns0:c r="F45" s="0">
        <ns0:f>IFERROR(IF(FIND(".",B45)=5,--C45,--E45),0)</ns0:f>
        <ns0:v>0</ns0:v>
      </ns0:c>
      <ns0:c r="G45" s="0">
        <ns0:f>IFERROR(--D45,0)</ns0:f>
        <ns0:v>0</ns0:v>
      </ns0:c>
      <ns0:c r="H45" s="0">
        <ns0:f>IFERROR(IF(FIND(".",B45)=5,--E45,--C45),0)</ns0:f>
        <ns0:v>0</ns0:v>
      </ns0:c>
      <ns0:c r="I45" s="0">
        <ns0:f>IFERROR(IF(AND(F45&gt;=2000,F45&lt;=2100,G45&gt;=1,G45&lt;=12,H45&gt;=1,H45&lt;=31),DATE(F45,G45,H45),0),0)</ns0:f>
        <ns0:v>0</ns0:v>
      </ns0:c>
      <ns0:c r="J45" s="0">
        <ns0:f>IFERROR(IF(ISNUMBER(Bookings!B45),IF(AND(Bookings!B45=INT(Bookings!B45),Bookings!B45&gt;=DATE(2000,1,1),Bookings!B45&lt;=DATE(2100,12,31)),Bookings!B45,0),IF(AND(A45&lt;&gt;"",LEN("x"&amp;B45)-LEN(SUBSTITUTE("x"&amp;B45,".",""))=2,OR(1&gt;LEN(B45),MID(B45,1,1)=".",ISNUMBER(FIND("x"&amp;MID(B45,1,1),"x0x1x2x3x4x5x6x7x8x9"))),OR(2&gt;LEN(B45),MID(B45,2,1)=".",ISNUMBER(FIND("x"&amp;MID(B45,2,1),"x0x1x2x3x4x5x6x7x8x9"))),OR(3&gt;LEN(B45),MID(B45,3,1)=".",ISNUMBER(FIND("x"&amp;MID(B45,3,1),"x0x1x2x3x4x5x6x7x8x9"))),OR(4&gt;LEN(B45),MID(B45,4,1)=".",ISNUMBER(FIND("x"&amp;MID(B45,4,1),"x0x1x2x3x4x5x6x7x8x9"))),OR(5&gt;LEN(B45),MID(B45,5,1)=".",ISNUMBER(FIND("x"&amp;MID(B45,5,1),"x0x1x2x3x4x5x6x7x8x9"))),OR(6&gt;LEN(B45),MID(B45,6,1)=".",ISNUMBER(FIND("x"&amp;MID(B45,6,1),"x0x1x2x3x4x5x6x7x8x9"))),OR(7&gt;LEN(B45),MID(B45,7,1)=".",ISNUMBER(FIND("x"&amp;MID(B45,7,1),"x0x1x2x3x4x5x6x7x8x9"))),OR(8&gt;LEN(B45),MID(B45,8,1)=".",ISNUMBER(FIND("x"&amp;MID(B45,8,1),"x0x1x2x3x4x5x6x7x8x9"))),OR(9&gt;LEN(B45),MID(B45,9,1)=".",ISNUMBER(FIND("x"&amp;MID(B45,9,1),"x0x1x2x3x4x5x6x7x8x9"))),OR(10&gt;LEN(B45),MID(B45,10,1)=".",ISNUMBER(FIND("x"&amp;MID(B45,10,1),"x0x1x2x3x4x5x6x7x8x9"))),OR(AND(FIND(".",B45)=5,LEN(B45)-FIND(".",B45,FIND(".",B45)+1)&gt;=1,LEN(B45)-FIND(".",B45,FIND(".",B45)+1)&lt;=2),AND(LEN(B45)-FIND(".",B45,FIND(".",B45)+1)=4,FIND(".",B45)&gt;=2,FIND(".",B45)&lt;=3)),FIND(".",B45,FIND(".",B45)+1)-FIND(".",B45)&gt;=2,FIND(".",B45,FIND(".",B45)+1)-FIND(".",B45)&lt;=3,F45&gt;=2000,F45&lt;=2100,YEAR(I45)=F45,MONTH(I45)=G45,DAY(I45)=H45),I45,0)),0)</ns0:f>
        <ns0:v>0</ns0:v>
      </ns0:c>
      <ns0:c r="K45" s="0">
        <ns0:f>IFERROR(IF(ISNUMBER(Bookings!D45),"",TRIM(Bookings!D45&amp;"")),"")</ns0:f>
      </ns0:c>
      <ns0:c r="L45" s="0">
        <ns0:f>IFERROR(SUBSTITUTE(SUBSTITUTE(K45,"/","."),"-","."),"")</ns0:f>
      </ns0:c>
      <ns0:c r="M45" s="0">
        <ns0:f>IFERROR(LEFT(L45,FIND(".",L45)-1),"")</ns0:f>
      </ns0:c>
      <ns0:c r="N45" s="0">
        <ns0:f>IFERROR(MID(L45,FIND(".",L45)+1,FIND(".",L45,FIND(".",L45)+1)-FIND(".",L45)-1),"")</ns0:f>
      </ns0:c>
      <ns0:c r="O45" s="0">
        <ns0:f>IFERROR(MID(L45,FIND(".",L45,FIND(".",L45)+1)+1,99),"")</ns0:f>
        <ns0:v>99</ns0:v>
      </ns0:c>
      <ns0:c r="P45" s="0">
        <ns0:f>IFERROR(IF(FIND(".",L45)=5,--M45,--O45),0)</ns0:f>
        <ns0:v>0</ns0:v>
      </ns0:c>
      <ns0:c r="Q45" s="0">
        <ns0:f>IFERROR(--N45,0)</ns0:f>
        <ns0:v>0</ns0:v>
      </ns0:c>
      <ns0:c r="R45" s="0">
        <ns0:f>IFERROR(IF(FIND(".",L45)=5,--O45,--M45),0)</ns0:f>
        <ns0:v>0</ns0:v>
      </ns0:c>
      <ns0:c r="S45" s="0">
        <ns0:f>IFERROR(IF(AND(P45&gt;=2000,P45&lt;=2100,Q45&gt;=1,Q45&lt;=12,R45&gt;=1,R45&lt;=31),DATE(P45,Q45,R45),0),0)</ns0:f>
        <ns0:v>0</ns0:v>
      </ns0:c>
      <ns0:c r="T45" s="0">
        <ns0:f>IFERROR(IF(ISNUMBER(Bookings!D45),IF(AND(Bookings!D45=INT(Bookings!D45),Bookings!D45&gt;=DATE(2000,1,1),Bookings!D45&lt;=DATE(2100,12,31)),Bookings!D45,0),IF(AND(K45&lt;&gt;"",LEN("x"&amp;L45)-LEN(SUBSTITUTE("x"&amp;L45,".",""))=2,OR(1&gt;LEN(L45),MID(L45,1,1)=".",ISNUMBER(FIND("x"&amp;MID(L45,1,1),"x0x1x2x3x4x5x6x7x8x9"))),OR(2&gt;LEN(L45),MID(L45,2,1)=".",ISNUMBER(FIND("x"&amp;MID(L45,2,1),"x0x1x2x3x4x5x6x7x8x9"))),OR(3&gt;LEN(L45),MID(L45,3,1)=".",ISNUMBER(FIND("x"&amp;MID(L45,3,1),"x0x1x2x3x4x5x6x7x8x9"))),OR(4&gt;LEN(L45),MID(L45,4,1)=".",ISNUMBER(FIND("x"&amp;MID(L45,4,1),"x0x1x2x3x4x5x6x7x8x9"))),OR(5&gt;LEN(L45),MID(L45,5,1)=".",ISNUMBER(FIND("x"&amp;MID(L45,5,1),"x0x1x2x3x4x5x6x7x8x9"))),OR(6&gt;LEN(L45),MID(L45,6,1)=".",ISNUMBER(FIND("x"&amp;MID(L45,6,1),"x0x1x2x3x4x5x6x7x8x9"))),OR(7&gt;LEN(L45),MID(L45,7,1)=".",ISNUMBER(FIND("x"&amp;MID(L45,7,1),"x0x1x2x3x4x5x6x7x8x9"))),OR(8&gt;LEN(L45),MID(L45,8,1)=".",ISNUMBER(FIND("x"&amp;MID(L45,8,1),"x0x1x2x3x4x5x6x7x8x9"))),OR(9&gt;LEN(L45),MID(L45,9,1)=".",ISNUMBER(FIND("x"&amp;MID(L45,9,1),"x0x1x2x3x4x5x6x7x8x9"))),OR(10&gt;LEN(L45),MID(L45,10,1)=".",ISNUMBER(FIND("x"&amp;MID(L45,10,1),"x0x1x2x3x4x5x6x7x8x9"))),OR(AND(FIND(".",L45)=5,LEN(L45)-FIND(".",L45,FIND(".",L45)+1)&gt;=1,LEN(L45)-FIND(".",L45,FIND(".",L45)+1)&lt;=2),AND(LEN(L45)-FIND(".",L45,FIND(".",L45)+1)=4,FIND(".",L45)&gt;=2,FIND(".",L45)&lt;=3)),FIND(".",L45,FIND(".",L45)+1)-FIND(".",L45)&gt;=2,FIND(".",L45,FIND(".",L45)+1)-FIND(".",L45)&lt;=3,P45&gt;=2000,P45&lt;=2100,YEAR(S45)=P45,MONTH(S45)=Q45,DAY(S45)=R45),S45,0)),0)</ns0:f>
        <ns0:v>0</ns0:v>
      </ns0:c>
      <ns0:c r="U45" s="0" t="str">
        <ns0:f>IF(Bookings!C45="","Full day",Bookings!C45)</ns0:f>
        <ns0:v>Full day</ns0:v>
      </ns0:c>
      <ns0:c r="V45" s="0" t="str">
        <ns0:f>IF(Bookings!E45="","Full day",Bookings!E45)</ns0:f>
        <ns0:v>Full day</ns0:v>
      </ns0:c>
      <ns0:c r="W45" s="0">
        <ns0:f>IF(J45=0,0,J45+IF(U45="PM",1,0))</ns0:f>
        <ns0:v>0</ns0:v>
      </ns0:c>
      <ns0:c r="X45" s="0">
        <ns0:f>IF(T45=0,0,T45-IF(V45="PM",1,0))</ns0:f>
        <ns0:v>0</ns0:v>
      </ns0:c>
      <ns0:c r="Y45" s="0">
        <ns0:f>IF(J45=0,0,J45+IF(U45="AM",1,0))</ns0:f>
        <ns0:v>0</ns0:v>
      </ns0:c>
      <ns0:c r="Z45" s="0">
        <ns0:f>IF(T45=0,0,T45-IF(V45="AM",1,0))</ns0:f>
        <ns0:v>0</ns0:v>
      </ns0:c>
      <ns0:c r="AA45" s="0">
        <ns0:f>IFERROR(IF(AND(J45&gt;0,'_Engine'!C45&gt;0,MID('_Engine'!W45,WEEKDAY(J45,2),1)="W",COUNTIF(Settings!$F$18:$F$67,J45)=0),1,0),0)</ns0:f>
        <ns0:v>0</ns0:v>
      </ns0:c>
      <ns0:c r="AB45" s="0">
        <ns0:f>IFERROR(IF(AND(T45&gt;0,'_Engine'!C45&gt;0,MID('_Engine'!W45,WEEKDAY(T45,2),1)="W",COUNTIF(Settings!$F$18:$F$67,T45)=0),1,0),0)</ns0:f>
        <ns0:v>0</ns0:v>
      </ns0:c>
      <ns0:c r="AC45" s="0">
        <ns0:f>IF(AND(J45&gt;0,T45&gt;0,W45&lt;=X45),1,0)</ns0:f>
        <ns0:v>0</ns0:v>
      </ns0:c>
      <ns0:c r="AD45" s="0">
        <ns0:f>IF(AND(J45&gt;0,T45&gt;0,Y45&lt;=Z45),1,0)</ns0:f>
        <ns0:v>0</ns0:v>
      </ns0:c>
    </ns0:row>
    <ns0:row r="46">
      <ns0:c r="A46" s="0">
        <ns0:f>IFERROR(IF(ISNUMBER(Bookings!B46),"",TRIM(Bookings!B46&amp;"")),"")</ns0:f>
      </ns0:c>
      <ns0:c r="B46" s="0">
        <ns0:f>IFERROR(SUBSTITUTE(SUBSTITUTE(A46,"/","."),"-","."),"")</ns0:f>
      </ns0:c>
      <ns0:c r="C46" s="0">
        <ns0:f>IFERROR(LEFT(B46,FIND(".",B46)-1),"")</ns0:f>
      </ns0:c>
      <ns0:c r="D46" s="0">
        <ns0:f>IFERROR(MID(B46,FIND(".",B46)+1,FIND(".",B46,FIND(".",B46)+1)-FIND(".",B46)-1),"")</ns0:f>
      </ns0:c>
      <ns0:c r="E46" s="0">
        <ns0:f>IFERROR(MID(B46,FIND(".",B46,FIND(".",B46)+1)+1,99),"")</ns0:f>
        <ns0:v>99</ns0:v>
      </ns0:c>
      <ns0:c r="F46" s="0">
        <ns0:f>IFERROR(IF(FIND(".",B46)=5,--C46,--E46),0)</ns0:f>
        <ns0:v>0</ns0:v>
      </ns0:c>
      <ns0:c r="G46" s="0">
        <ns0:f>IFERROR(--D46,0)</ns0:f>
        <ns0:v>0</ns0:v>
      </ns0:c>
      <ns0:c r="H46" s="0">
        <ns0:f>IFERROR(IF(FIND(".",B46)=5,--E46,--C46),0)</ns0:f>
        <ns0:v>0</ns0:v>
      </ns0:c>
      <ns0:c r="I46" s="0">
        <ns0:f>IFERROR(IF(AND(F46&gt;=2000,F46&lt;=2100,G46&gt;=1,G46&lt;=12,H46&gt;=1,H46&lt;=31),DATE(F46,G46,H46),0),0)</ns0:f>
        <ns0:v>0</ns0:v>
      </ns0:c>
      <ns0:c r="J46" s="0">
        <ns0:f>IFERROR(IF(ISNUMBER(Bookings!B46),IF(AND(Bookings!B46=INT(Bookings!B46),Bookings!B46&gt;=DATE(2000,1,1),Bookings!B46&lt;=DATE(2100,12,31)),Bookings!B46,0),IF(AND(A46&lt;&gt;"",LEN("x"&amp;B46)-LEN(SUBSTITUTE("x"&amp;B46,".",""))=2,OR(1&gt;LEN(B46),MID(B46,1,1)=".",ISNUMBER(FIND("x"&amp;MID(B46,1,1),"x0x1x2x3x4x5x6x7x8x9"))),OR(2&gt;LEN(B46),MID(B46,2,1)=".",ISNUMBER(FIND("x"&amp;MID(B46,2,1),"x0x1x2x3x4x5x6x7x8x9"))),OR(3&gt;LEN(B46),MID(B46,3,1)=".",ISNUMBER(FIND("x"&amp;MID(B46,3,1),"x0x1x2x3x4x5x6x7x8x9"))),OR(4&gt;LEN(B46),MID(B46,4,1)=".",ISNUMBER(FIND("x"&amp;MID(B46,4,1),"x0x1x2x3x4x5x6x7x8x9"))),OR(5&gt;LEN(B46),MID(B46,5,1)=".",ISNUMBER(FIND("x"&amp;MID(B46,5,1),"x0x1x2x3x4x5x6x7x8x9"))),OR(6&gt;LEN(B46),MID(B46,6,1)=".",ISNUMBER(FIND("x"&amp;MID(B46,6,1),"x0x1x2x3x4x5x6x7x8x9"))),OR(7&gt;LEN(B46),MID(B46,7,1)=".",ISNUMBER(FIND("x"&amp;MID(B46,7,1),"x0x1x2x3x4x5x6x7x8x9"))),OR(8&gt;LEN(B46),MID(B46,8,1)=".",ISNUMBER(FIND("x"&amp;MID(B46,8,1),"x0x1x2x3x4x5x6x7x8x9"))),OR(9&gt;LEN(B46),MID(B46,9,1)=".",ISNUMBER(FIND("x"&amp;MID(B46,9,1),"x0x1x2x3x4x5x6x7x8x9"))),OR(10&gt;LEN(B46),MID(B46,10,1)=".",ISNUMBER(FIND("x"&amp;MID(B46,10,1),"x0x1x2x3x4x5x6x7x8x9"))),OR(AND(FIND(".",B46)=5,LEN(B46)-FIND(".",B46,FIND(".",B46)+1)&gt;=1,LEN(B46)-FIND(".",B46,FIND(".",B46)+1)&lt;=2),AND(LEN(B46)-FIND(".",B46,FIND(".",B46)+1)=4,FIND(".",B46)&gt;=2,FIND(".",B46)&lt;=3)),FIND(".",B46,FIND(".",B46)+1)-FIND(".",B46)&gt;=2,FIND(".",B46,FIND(".",B46)+1)-FIND(".",B46)&lt;=3,F46&gt;=2000,F46&lt;=2100,YEAR(I46)=F46,MONTH(I46)=G46,DAY(I46)=H46),I46,0)),0)</ns0:f>
        <ns0:v>0</ns0:v>
      </ns0:c>
      <ns0:c r="K46" s="0">
        <ns0:f>IFERROR(IF(ISNUMBER(Bookings!D46),"",TRIM(Bookings!D46&amp;"")),"")</ns0:f>
      </ns0:c>
      <ns0:c r="L46" s="0">
        <ns0:f>IFERROR(SUBSTITUTE(SUBSTITUTE(K46,"/","."),"-","."),"")</ns0:f>
      </ns0:c>
      <ns0:c r="M46" s="0">
        <ns0:f>IFERROR(LEFT(L46,FIND(".",L46)-1),"")</ns0:f>
      </ns0:c>
      <ns0:c r="N46" s="0">
        <ns0:f>IFERROR(MID(L46,FIND(".",L46)+1,FIND(".",L46,FIND(".",L46)+1)-FIND(".",L46)-1),"")</ns0:f>
      </ns0:c>
      <ns0:c r="O46" s="0">
        <ns0:f>IFERROR(MID(L46,FIND(".",L46,FIND(".",L46)+1)+1,99),"")</ns0:f>
        <ns0:v>99</ns0:v>
      </ns0:c>
      <ns0:c r="P46" s="0">
        <ns0:f>IFERROR(IF(FIND(".",L46)=5,--M46,--O46),0)</ns0:f>
        <ns0:v>0</ns0:v>
      </ns0:c>
      <ns0:c r="Q46" s="0">
        <ns0:f>IFERROR(--N46,0)</ns0:f>
        <ns0:v>0</ns0:v>
      </ns0:c>
      <ns0:c r="R46" s="0">
        <ns0:f>IFERROR(IF(FIND(".",L46)=5,--O46,--M46),0)</ns0:f>
        <ns0:v>0</ns0:v>
      </ns0:c>
      <ns0:c r="S46" s="0">
        <ns0:f>IFERROR(IF(AND(P46&gt;=2000,P46&lt;=2100,Q46&gt;=1,Q46&lt;=12,R46&gt;=1,R46&lt;=31),DATE(P46,Q46,R46),0),0)</ns0:f>
        <ns0:v>0</ns0:v>
      </ns0:c>
      <ns0:c r="T46" s="0">
        <ns0:f>IFERROR(IF(ISNUMBER(Bookings!D46),IF(AND(Bookings!D46=INT(Bookings!D46),Bookings!D46&gt;=DATE(2000,1,1),Bookings!D46&lt;=DATE(2100,12,31)),Bookings!D46,0),IF(AND(K46&lt;&gt;"",LEN("x"&amp;L46)-LEN(SUBSTITUTE("x"&amp;L46,".",""))=2,OR(1&gt;LEN(L46),MID(L46,1,1)=".",ISNUMBER(FIND("x"&amp;MID(L46,1,1),"x0x1x2x3x4x5x6x7x8x9"))),OR(2&gt;LEN(L46),MID(L46,2,1)=".",ISNUMBER(FIND("x"&amp;MID(L46,2,1),"x0x1x2x3x4x5x6x7x8x9"))),OR(3&gt;LEN(L46),MID(L46,3,1)=".",ISNUMBER(FIND("x"&amp;MID(L46,3,1),"x0x1x2x3x4x5x6x7x8x9"))),OR(4&gt;LEN(L46),MID(L46,4,1)=".",ISNUMBER(FIND("x"&amp;MID(L46,4,1),"x0x1x2x3x4x5x6x7x8x9"))),OR(5&gt;LEN(L46),MID(L46,5,1)=".",ISNUMBER(FIND("x"&amp;MID(L46,5,1),"x0x1x2x3x4x5x6x7x8x9"))),OR(6&gt;LEN(L46),MID(L46,6,1)=".",ISNUMBER(FIND("x"&amp;MID(L46,6,1),"x0x1x2x3x4x5x6x7x8x9"))),OR(7&gt;LEN(L46),MID(L46,7,1)=".",ISNUMBER(FIND("x"&amp;MID(L46,7,1),"x0x1x2x3x4x5x6x7x8x9"))),OR(8&gt;LEN(L46),MID(L46,8,1)=".",ISNUMBER(FIND("x"&amp;MID(L46,8,1),"x0x1x2x3x4x5x6x7x8x9"))),OR(9&gt;LEN(L46),MID(L46,9,1)=".",ISNUMBER(FIND("x"&amp;MID(L46,9,1),"x0x1x2x3x4x5x6x7x8x9"))),OR(10&gt;LEN(L46),MID(L46,10,1)=".",ISNUMBER(FIND("x"&amp;MID(L46,10,1),"x0x1x2x3x4x5x6x7x8x9"))),OR(AND(FIND(".",L46)=5,LEN(L46)-FIND(".",L46,FIND(".",L46)+1)&gt;=1,LEN(L46)-FIND(".",L46,FIND(".",L46)+1)&lt;=2),AND(LEN(L46)-FIND(".",L46,FIND(".",L46)+1)=4,FIND(".",L46)&gt;=2,FIND(".",L46)&lt;=3)),FIND(".",L46,FIND(".",L46)+1)-FIND(".",L46)&gt;=2,FIND(".",L46,FIND(".",L46)+1)-FIND(".",L46)&lt;=3,P46&gt;=2000,P46&lt;=2100,YEAR(S46)=P46,MONTH(S46)=Q46,DAY(S46)=R46),S46,0)),0)</ns0:f>
        <ns0:v>0</ns0:v>
      </ns0:c>
      <ns0:c r="U46" s="0" t="str">
        <ns0:f>IF(Bookings!C46="","Full day",Bookings!C46)</ns0:f>
        <ns0:v>Full day</ns0:v>
      </ns0:c>
      <ns0:c r="V46" s="0" t="str">
        <ns0:f>IF(Bookings!E46="","Full day",Bookings!E46)</ns0:f>
        <ns0:v>Full day</ns0:v>
      </ns0:c>
      <ns0:c r="W46" s="0">
        <ns0:f>IF(J46=0,0,J46+IF(U46="PM",1,0))</ns0:f>
        <ns0:v>0</ns0:v>
      </ns0:c>
      <ns0:c r="X46" s="0">
        <ns0:f>IF(T46=0,0,T46-IF(V46="PM",1,0))</ns0:f>
        <ns0:v>0</ns0:v>
      </ns0:c>
      <ns0:c r="Y46" s="0">
        <ns0:f>IF(J46=0,0,J46+IF(U46="AM",1,0))</ns0:f>
        <ns0:v>0</ns0:v>
      </ns0:c>
      <ns0:c r="Z46" s="0">
        <ns0:f>IF(T46=0,0,T46-IF(V46="AM",1,0))</ns0:f>
        <ns0:v>0</ns0:v>
      </ns0:c>
      <ns0:c r="AA46" s="0">
        <ns0:f>IFERROR(IF(AND(J46&gt;0,'_Engine'!C46&gt;0,MID('_Engine'!W46,WEEKDAY(J46,2),1)="W",COUNTIF(Settings!$F$18:$F$67,J46)=0),1,0),0)</ns0:f>
        <ns0:v>0</ns0:v>
      </ns0:c>
      <ns0:c r="AB46" s="0">
        <ns0:f>IFERROR(IF(AND(T46&gt;0,'_Engine'!C46&gt;0,MID('_Engine'!W46,WEEKDAY(T46,2),1)="W",COUNTIF(Settings!$F$18:$F$67,T46)=0),1,0),0)</ns0:f>
        <ns0:v>0</ns0:v>
      </ns0:c>
      <ns0:c r="AC46" s="0">
        <ns0:f>IF(AND(J46&gt;0,T46&gt;0,W46&lt;=X46),1,0)</ns0:f>
        <ns0:v>0</ns0:v>
      </ns0:c>
      <ns0:c r="AD46" s="0">
        <ns0:f>IF(AND(J46&gt;0,T46&gt;0,Y46&lt;=Z46),1,0)</ns0:f>
        <ns0:v>0</ns0:v>
      </ns0:c>
    </ns0:row>
    <ns0:row r="47">
      <ns0:c r="A47" s="0">
        <ns0:f>IFERROR(IF(ISNUMBER(Bookings!B47),"",TRIM(Bookings!B47&amp;"")),"")</ns0:f>
      </ns0:c>
      <ns0:c r="B47" s="0">
        <ns0:f>IFERROR(SUBSTITUTE(SUBSTITUTE(A47,"/","."),"-","."),"")</ns0:f>
      </ns0:c>
      <ns0:c r="C47" s="0">
        <ns0:f>IFERROR(LEFT(B47,FIND(".",B47)-1),"")</ns0:f>
      </ns0:c>
      <ns0:c r="D47" s="0">
        <ns0:f>IFERROR(MID(B47,FIND(".",B47)+1,FIND(".",B47,FIND(".",B47)+1)-FIND(".",B47)-1),"")</ns0:f>
      </ns0:c>
      <ns0:c r="E47" s="0">
        <ns0:f>IFERROR(MID(B47,FIND(".",B47,FIND(".",B47)+1)+1,99),"")</ns0:f>
        <ns0:v>99</ns0:v>
      </ns0:c>
      <ns0:c r="F47" s="0">
        <ns0:f>IFERROR(IF(FIND(".",B47)=5,--C47,--E47),0)</ns0:f>
        <ns0:v>0</ns0:v>
      </ns0:c>
      <ns0:c r="G47" s="0">
        <ns0:f>IFERROR(--D47,0)</ns0:f>
        <ns0:v>0</ns0:v>
      </ns0:c>
      <ns0:c r="H47" s="0">
        <ns0:f>IFERROR(IF(FIND(".",B47)=5,--E47,--C47),0)</ns0:f>
        <ns0:v>0</ns0:v>
      </ns0:c>
      <ns0:c r="I47" s="0">
        <ns0:f>IFERROR(IF(AND(F47&gt;=2000,F47&lt;=2100,G47&gt;=1,G47&lt;=12,H47&gt;=1,H47&lt;=31),DATE(F47,G47,H47),0),0)</ns0:f>
        <ns0:v>0</ns0:v>
      </ns0:c>
      <ns0:c r="J47" s="0">
        <ns0:f>IFERROR(IF(ISNUMBER(Bookings!B47),IF(AND(Bookings!B47=INT(Bookings!B47),Bookings!B47&gt;=DATE(2000,1,1),Bookings!B47&lt;=DATE(2100,12,31)),Bookings!B47,0),IF(AND(A47&lt;&gt;"",LEN("x"&amp;B47)-LEN(SUBSTITUTE("x"&amp;B47,".",""))=2,OR(1&gt;LEN(B47),MID(B47,1,1)=".",ISNUMBER(FIND("x"&amp;MID(B47,1,1),"x0x1x2x3x4x5x6x7x8x9"))),OR(2&gt;LEN(B47),MID(B47,2,1)=".",ISNUMBER(FIND("x"&amp;MID(B47,2,1),"x0x1x2x3x4x5x6x7x8x9"))),OR(3&gt;LEN(B47),MID(B47,3,1)=".",ISNUMBER(FIND("x"&amp;MID(B47,3,1),"x0x1x2x3x4x5x6x7x8x9"))),OR(4&gt;LEN(B47),MID(B47,4,1)=".",ISNUMBER(FIND("x"&amp;MID(B47,4,1),"x0x1x2x3x4x5x6x7x8x9"))),OR(5&gt;LEN(B47),MID(B47,5,1)=".",ISNUMBER(FIND("x"&amp;MID(B47,5,1),"x0x1x2x3x4x5x6x7x8x9"))),OR(6&gt;LEN(B47),MID(B47,6,1)=".",ISNUMBER(FIND("x"&amp;MID(B47,6,1),"x0x1x2x3x4x5x6x7x8x9"))),OR(7&gt;LEN(B47),MID(B47,7,1)=".",ISNUMBER(FIND("x"&amp;MID(B47,7,1),"x0x1x2x3x4x5x6x7x8x9"))),OR(8&gt;LEN(B47),MID(B47,8,1)=".",ISNUMBER(FIND("x"&amp;MID(B47,8,1),"x0x1x2x3x4x5x6x7x8x9"))),OR(9&gt;LEN(B47),MID(B47,9,1)=".",ISNUMBER(FIND("x"&amp;MID(B47,9,1),"x0x1x2x3x4x5x6x7x8x9"))),OR(10&gt;LEN(B47),MID(B47,10,1)=".",ISNUMBER(FIND("x"&amp;MID(B47,10,1),"x0x1x2x3x4x5x6x7x8x9"))),OR(AND(FIND(".",B47)=5,LEN(B47)-FIND(".",B47,FIND(".",B47)+1)&gt;=1,LEN(B47)-FIND(".",B47,FIND(".",B47)+1)&lt;=2),AND(LEN(B47)-FIND(".",B47,FIND(".",B47)+1)=4,FIND(".",B47)&gt;=2,FIND(".",B47)&lt;=3)),FIND(".",B47,FIND(".",B47)+1)-FIND(".",B47)&gt;=2,FIND(".",B47,FIND(".",B47)+1)-FIND(".",B47)&lt;=3,F47&gt;=2000,F47&lt;=2100,YEAR(I47)=F47,MONTH(I47)=G47,DAY(I47)=H47),I47,0)),0)</ns0:f>
        <ns0:v>0</ns0:v>
      </ns0:c>
      <ns0:c r="K47" s="0">
        <ns0:f>IFERROR(IF(ISNUMBER(Bookings!D47),"",TRIM(Bookings!D47&amp;"")),"")</ns0:f>
      </ns0:c>
      <ns0:c r="L47" s="0">
        <ns0:f>IFERROR(SUBSTITUTE(SUBSTITUTE(K47,"/","."),"-","."),"")</ns0:f>
      </ns0:c>
      <ns0:c r="M47" s="0">
        <ns0:f>IFERROR(LEFT(L47,FIND(".",L47)-1),"")</ns0:f>
      </ns0:c>
      <ns0:c r="N47" s="0">
        <ns0:f>IFERROR(MID(L47,FIND(".",L47)+1,FIND(".",L47,FIND(".",L47)+1)-FIND(".",L47)-1),"")</ns0:f>
      </ns0:c>
      <ns0:c r="O47" s="0">
        <ns0:f>IFERROR(MID(L47,FIND(".",L47,FIND(".",L47)+1)+1,99),"")</ns0:f>
        <ns0:v>99</ns0:v>
      </ns0:c>
      <ns0:c r="P47" s="0">
        <ns0:f>IFERROR(IF(FIND(".",L47)=5,--M47,--O47),0)</ns0:f>
        <ns0:v>0</ns0:v>
      </ns0:c>
      <ns0:c r="Q47" s="0">
        <ns0:f>IFERROR(--N47,0)</ns0:f>
        <ns0:v>0</ns0:v>
      </ns0:c>
      <ns0:c r="R47" s="0">
        <ns0:f>IFERROR(IF(FIND(".",L47)=5,--O47,--M47),0)</ns0:f>
        <ns0:v>0</ns0:v>
      </ns0:c>
      <ns0:c r="S47" s="0">
        <ns0:f>IFERROR(IF(AND(P47&gt;=2000,P47&lt;=2100,Q47&gt;=1,Q47&lt;=12,R47&gt;=1,R47&lt;=31),DATE(P47,Q47,R47),0),0)</ns0:f>
        <ns0:v>0</ns0:v>
      </ns0:c>
      <ns0:c r="T47" s="0">
        <ns0:f>IFERROR(IF(ISNUMBER(Bookings!D47),IF(AND(Bookings!D47=INT(Bookings!D47),Bookings!D47&gt;=DATE(2000,1,1),Bookings!D47&lt;=DATE(2100,12,31)),Bookings!D47,0),IF(AND(K47&lt;&gt;"",LEN("x"&amp;L47)-LEN(SUBSTITUTE("x"&amp;L47,".",""))=2,OR(1&gt;LEN(L47),MID(L47,1,1)=".",ISNUMBER(FIND("x"&amp;MID(L47,1,1),"x0x1x2x3x4x5x6x7x8x9"))),OR(2&gt;LEN(L47),MID(L47,2,1)=".",ISNUMBER(FIND("x"&amp;MID(L47,2,1),"x0x1x2x3x4x5x6x7x8x9"))),OR(3&gt;LEN(L47),MID(L47,3,1)=".",ISNUMBER(FIND("x"&amp;MID(L47,3,1),"x0x1x2x3x4x5x6x7x8x9"))),OR(4&gt;LEN(L47),MID(L47,4,1)=".",ISNUMBER(FIND("x"&amp;MID(L47,4,1),"x0x1x2x3x4x5x6x7x8x9"))),OR(5&gt;LEN(L47),MID(L47,5,1)=".",ISNUMBER(FIND("x"&amp;MID(L47,5,1),"x0x1x2x3x4x5x6x7x8x9"))),OR(6&gt;LEN(L47),MID(L47,6,1)=".",ISNUMBER(FIND("x"&amp;MID(L47,6,1),"x0x1x2x3x4x5x6x7x8x9"))),OR(7&gt;LEN(L47),MID(L47,7,1)=".",ISNUMBER(FIND("x"&amp;MID(L47,7,1),"x0x1x2x3x4x5x6x7x8x9"))),OR(8&gt;LEN(L47),MID(L47,8,1)=".",ISNUMBER(FIND("x"&amp;MID(L47,8,1),"x0x1x2x3x4x5x6x7x8x9"))),OR(9&gt;LEN(L47),MID(L47,9,1)=".",ISNUMBER(FIND("x"&amp;MID(L47,9,1),"x0x1x2x3x4x5x6x7x8x9"))),OR(10&gt;LEN(L47),MID(L47,10,1)=".",ISNUMBER(FIND("x"&amp;MID(L47,10,1),"x0x1x2x3x4x5x6x7x8x9"))),OR(AND(FIND(".",L47)=5,LEN(L47)-FIND(".",L47,FIND(".",L47)+1)&gt;=1,LEN(L47)-FIND(".",L47,FIND(".",L47)+1)&lt;=2),AND(LEN(L47)-FIND(".",L47,FIND(".",L47)+1)=4,FIND(".",L47)&gt;=2,FIND(".",L47)&lt;=3)),FIND(".",L47,FIND(".",L47)+1)-FIND(".",L47)&gt;=2,FIND(".",L47,FIND(".",L47)+1)-FIND(".",L47)&lt;=3,P47&gt;=2000,P47&lt;=2100,YEAR(S47)=P47,MONTH(S47)=Q47,DAY(S47)=R47),S47,0)),0)</ns0:f>
        <ns0:v>0</ns0:v>
      </ns0:c>
      <ns0:c r="U47" s="0" t="str">
        <ns0:f>IF(Bookings!C47="","Full day",Bookings!C47)</ns0:f>
        <ns0:v>Full day</ns0:v>
      </ns0:c>
      <ns0:c r="V47" s="0" t="str">
        <ns0:f>IF(Bookings!E47="","Full day",Bookings!E47)</ns0:f>
        <ns0:v>Full day</ns0:v>
      </ns0:c>
      <ns0:c r="W47" s="0">
        <ns0:f>IF(J47=0,0,J47+IF(U47="PM",1,0))</ns0:f>
        <ns0:v>0</ns0:v>
      </ns0:c>
      <ns0:c r="X47" s="0">
        <ns0:f>IF(T47=0,0,T47-IF(V47="PM",1,0))</ns0:f>
        <ns0:v>0</ns0:v>
      </ns0:c>
      <ns0:c r="Y47" s="0">
        <ns0:f>IF(J47=0,0,J47+IF(U47="AM",1,0))</ns0:f>
        <ns0:v>0</ns0:v>
      </ns0:c>
      <ns0:c r="Z47" s="0">
        <ns0:f>IF(T47=0,0,T47-IF(V47="AM",1,0))</ns0:f>
        <ns0:v>0</ns0:v>
      </ns0:c>
      <ns0:c r="AA47" s="0">
        <ns0:f>IFERROR(IF(AND(J47&gt;0,'_Engine'!C47&gt;0,MID('_Engine'!W47,WEEKDAY(J47,2),1)="W",COUNTIF(Settings!$F$18:$F$67,J47)=0),1,0),0)</ns0:f>
        <ns0:v>0</ns0:v>
      </ns0:c>
      <ns0:c r="AB47" s="0">
        <ns0:f>IFERROR(IF(AND(T47&gt;0,'_Engine'!C47&gt;0,MID('_Engine'!W47,WEEKDAY(T47,2),1)="W",COUNTIF(Settings!$F$18:$F$67,T47)=0),1,0),0)</ns0:f>
        <ns0:v>0</ns0:v>
      </ns0:c>
      <ns0:c r="AC47" s="0">
        <ns0:f>IF(AND(J47&gt;0,T47&gt;0,W47&lt;=X47),1,0)</ns0:f>
        <ns0:v>0</ns0:v>
      </ns0:c>
      <ns0:c r="AD47" s="0">
        <ns0:f>IF(AND(J47&gt;0,T47&gt;0,Y47&lt;=Z47),1,0)</ns0:f>
        <ns0:v>0</ns0:v>
      </ns0:c>
    </ns0:row>
    <ns0:row r="48">
      <ns0:c r="A48" s="0">
        <ns0:f>IFERROR(IF(ISNUMBER(Bookings!B48),"",TRIM(Bookings!B48&amp;"")),"")</ns0:f>
      </ns0:c>
      <ns0:c r="B48" s="0">
        <ns0:f>IFERROR(SUBSTITUTE(SUBSTITUTE(A48,"/","."),"-","."),"")</ns0:f>
      </ns0:c>
      <ns0:c r="C48" s="0">
        <ns0:f>IFERROR(LEFT(B48,FIND(".",B48)-1),"")</ns0:f>
      </ns0:c>
      <ns0:c r="D48" s="0">
        <ns0:f>IFERROR(MID(B48,FIND(".",B48)+1,FIND(".",B48,FIND(".",B48)+1)-FIND(".",B48)-1),"")</ns0:f>
      </ns0:c>
      <ns0:c r="E48" s="0">
        <ns0:f>IFERROR(MID(B48,FIND(".",B48,FIND(".",B48)+1)+1,99),"")</ns0:f>
        <ns0:v>99</ns0:v>
      </ns0:c>
      <ns0:c r="F48" s="0">
        <ns0:f>IFERROR(IF(FIND(".",B48)=5,--C48,--E48),0)</ns0:f>
        <ns0:v>0</ns0:v>
      </ns0:c>
      <ns0:c r="G48" s="0">
        <ns0:f>IFERROR(--D48,0)</ns0:f>
        <ns0:v>0</ns0:v>
      </ns0:c>
      <ns0:c r="H48" s="0">
        <ns0:f>IFERROR(IF(FIND(".",B48)=5,--E48,--C48),0)</ns0:f>
        <ns0:v>0</ns0:v>
      </ns0:c>
      <ns0:c r="I48" s="0">
        <ns0:f>IFERROR(IF(AND(F48&gt;=2000,F48&lt;=2100,G48&gt;=1,G48&lt;=12,H48&gt;=1,H48&lt;=31),DATE(F48,G48,H48),0),0)</ns0:f>
        <ns0:v>0</ns0:v>
      </ns0:c>
      <ns0:c r="J48" s="0">
        <ns0:f>IFERROR(IF(ISNUMBER(Bookings!B48),IF(AND(Bookings!B48=INT(Bookings!B48),Bookings!B48&gt;=DATE(2000,1,1),Bookings!B48&lt;=DATE(2100,12,31)),Bookings!B48,0),IF(AND(A48&lt;&gt;"",LEN("x"&amp;B48)-LEN(SUBSTITUTE("x"&amp;B48,".",""))=2,OR(1&gt;LEN(B48),MID(B48,1,1)=".",ISNUMBER(FIND("x"&amp;MID(B48,1,1),"x0x1x2x3x4x5x6x7x8x9"))),OR(2&gt;LEN(B48),MID(B48,2,1)=".",ISNUMBER(FIND("x"&amp;MID(B48,2,1),"x0x1x2x3x4x5x6x7x8x9"))),OR(3&gt;LEN(B48),MID(B48,3,1)=".",ISNUMBER(FIND("x"&amp;MID(B48,3,1),"x0x1x2x3x4x5x6x7x8x9"))),OR(4&gt;LEN(B48),MID(B48,4,1)=".",ISNUMBER(FIND("x"&amp;MID(B48,4,1),"x0x1x2x3x4x5x6x7x8x9"))),OR(5&gt;LEN(B48),MID(B48,5,1)=".",ISNUMBER(FIND("x"&amp;MID(B48,5,1),"x0x1x2x3x4x5x6x7x8x9"))),OR(6&gt;LEN(B48),MID(B48,6,1)=".",ISNUMBER(FIND("x"&amp;MID(B48,6,1),"x0x1x2x3x4x5x6x7x8x9"))),OR(7&gt;LEN(B48),MID(B48,7,1)=".",ISNUMBER(FIND("x"&amp;MID(B48,7,1),"x0x1x2x3x4x5x6x7x8x9"))),OR(8&gt;LEN(B48),MID(B48,8,1)=".",ISNUMBER(FIND("x"&amp;MID(B48,8,1),"x0x1x2x3x4x5x6x7x8x9"))),OR(9&gt;LEN(B48),MID(B48,9,1)=".",ISNUMBER(FIND("x"&amp;MID(B48,9,1),"x0x1x2x3x4x5x6x7x8x9"))),OR(10&gt;LEN(B48),MID(B48,10,1)=".",ISNUMBER(FIND("x"&amp;MID(B48,10,1),"x0x1x2x3x4x5x6x7x8x9"))),OR(AND(FIND(".",B48)=5,LEN(B48)-FIND(".",B48,FIND(".",B48)+1)&gt;=1,LEN(B48)-FIND(".",B48,FIND(".",B48)+1)&lt;=2),AND(LEN(B48)-FIND(".",B48,FIND(".",B48)+1)=4,FIND(".",B48)&gt;=2,FIND(".",B48)&lt;=3)),FIND(".",B48,FIND(".",B48)+1)-FIND(".",B48)&gt;=2,FIND(".",B48,FIND(".",B48)+1)-FIND(".",B48)&lt;=3,F48&gt;=2000,F48&lt;=2100,YEAR(I48)=F48,MONTH(I48)=G48,DAY(I48)=H48),I48,0)),0)</ns0:f>
        <ns0:v>0</ns0:v>
      </ns0:c>
      <ns0:c r="K48" s="0">
        <ns0:f>IFERROR(IF(ISNUMBER(Bookings!D48),"",TRIM(Bookings!D48&amp;"")),"")</ns0:f>
      </ns0:c>
      <ns0:c r="L48" s="0">
        <ns0:f>IFERROR(SUBSTITUTE(SUBSTITUTE(K48,"/","."),"-","."),"")</ns0:f>
      </ns0:c>
      <ns0:c r="M48" s="0">
        <ns0:f>IFERROR(LEFT(L48,FIND(".",L48)-1),"")</ns0:f>
      </ns0:c>
      <ns0:c r="N48" s="0">
        <ns0:f>IFERROR(MID(L48,FIND(".",L48)+1,FIND(".",L48,FIND(".",L48)+1)-FIND(".",L48)-1),"")</ns0:f>
      </ns0:c>
      <ns0:c r="O48" s="0">
        <ns0:f>IFERROR(MID(L48,FIND(".",L48,FIND(".",L48)+1)+1,99),"")</ns0:f>
        <ns0:v>99</ns0:v>
      </ns0:c>
      <ns0:c r="P48" s="0">
        <ns0:f>IFERROR(IF(FIND(".",L48)=5,--M48,--O48),0)</ns0:f>
        <ns0:v>0</ns0:v>
      </ns0:c>
      <ns0:c r="Q48" s="0">
        <ns0:f>IFERROR(--N48,0)</ns0:f>
        <ns0:v>0</ns0:v>
      </ns0:c>
      <ns0:c r="R48" s="0">
        <ns0:f>IFERROR(IF(FIND(".",L48)=5,--O48,--M48),0)</ns0:f>
        <ns0:v>0</ns0:v>
      </ns0:c>
      <ns0:c r="S48" s="0">
        <ns0:f>IFERROR(IF(AND(P48&gt;=2000,P48&lt;=2100,Q48&gt;=1,Q48&lt;=12,R48&gt;=1,R48&lt;=31),DATE(P48,Q48,R48),0),0)</ns0:f>
        <ns0:v>0</ns0:v>
      </ns0:c>
      <ns0:c r="T48" s="0">
        <ns0:f>IFERROR(IF(ISNUMBER(Bookings!D48),IF(AND(Bookings!D48=INT(Bookings!D48),Bookings!D48&gt;=DATE(2000,1,1),Bookings!D48&lt;=DATE(2100,12,31)),Bookings!D48,0),IF(AND(K48&lt;&gt;"",LEN("x"&amp;L48)-LEN(SUBSTITUTE("x"&amp;L48,".",""))=2,OR(1&gt;LEN(L48),MID(L48,1,1)=".",ISNUMBER(FIND("x"&amp;MID(L48,1,1),"x0x1x2x3x4x5x6x7x8x9"))),OR(2&gt;LEN(L48),MID(L48,2,1)=".",ISNUMBER(FIND("x"&amp;MID(L48,2,1),"x0x1x2x3x4x5x6x7x8x9"))),OR(3&gt;LEN(L48),MID(L48,3,1)=".",ISNUMBER(FIND("x"&amp;MID(L48,3,1),"x0x1x2x3x4x5x6x7x8x9"))),OR(4&gt;LEN(L48),MID(L48,4,1)=".",ISNUMBER(FIND("x"&amp;MID(L48,4,1),"x0x1x2x3x4x5x6x7x8x9"))),OR(5&gt;LEN(L48),MID(L48,5,1)=".",ISNUMBER(FIND("x"&amp;MID(L48,5,1),"x0x1x2x3x4x5x6x7x8x9"))),OR(6&gt;LEN(L48),MID(L48,6,1)=".",ISNUMBER(FIND("x"&amp;MID(L48,6,1),"x0x1x2x3x4x5x6x7x8x9"))),OR(7&gt;LEN(L48),MID(L48,7,1)=".",ISNUMBER(FIND("x"&amp;MID(L48,7,1),"x0x1x2x3x4x5x6x7x8x9"))),OR(8&gt;LEN(L48),MID(L48,8,1)=".",ISNUMBER(FIND("x"&amp;MID(L48,8,1),"x0x1x2x3x4x5x6x7x8x9"))),OR(9&gt;LEN(L48),MID(L48,9,1)=".",ISNUMBER(FIND("x"&amp;MID(L48,9,1),"x0x1x2x3x4x5x6x7x8x9"))),OR(10&gt;LEN(L48),MID(L48,10,1)=".",ISNUMBER(FIND("x"&amp;MID(L48,10,1),"x0x1x2x3x4x5x6x7x8x9"))),OR(AND(FIND(".",L48)=5,LEN(L48)-FIND(".",L48,FIND(".",L48)+1)&gt;=1,LEN(L48)-FIND(".",L48,FIND(".",L48)+1)&lt;=2),AND(LEN(L48)-FIND(".",L48,FIND(".",L48)+1)=4,FIND(".",L48)&gt;=2,FIND(".",L48)&lt;=3)),FIND(".",L48,FIND(".",L48)+1)-FIND(".",L48)&gt;=2,FIND(".",L48,FIND(".",L48)+1)-FIND(".",L48)&lt;=3,P48&gt;=2000,P48&lt;=2100,YEAR(S48)=P48,MONTH(S48)=Q48,DAY(S48)=R48),S48,0)),0)</ns0:f>
        <ns0:v>0</ns0:v>
      </ns0:c>
      <ns0:c r="U48" s="0" t="str">
        <ns0:f>IF(Bookings!C48="","Full day",Bookings!C48)</ns0:f>
        <ns0:v>Full day</ns0:v>
      </ns0:c>
      <ns0:c r="V48" s="0" t="str">
        <ns0:f>IF(Bookings!E48="","Full day",Bookings!E48)</ns0:f>
        <ns0:v>Full day</ns0:v>
      </ns0:c>
      <ns0:c r="W48" s="0">
        <ns0:f>IF(J48=0,0,J48+IF(U48="PM",1,0))</ns0:f>
        <ns0:v>0</ns0:v>
      </ns0:c>
      <ns0:c r="X48" s="0">
        <ns0:f>IF(T48=0,0,T48-IF(V48="PM",1,0))</ns0:f>
        <ns0:v>0</ns0:v>
      </ns0:c>
      <ns0:c r="Y48" s="0">
        <ns0:f>IF(J48=0,0,J48+IF(U48="AM",1,0))</ns0:f>
        <ns0:v>0</ns0:v>
      </ns0:c>
      <ns0:c r="Z48" s="0">
        <ns0:f>IF(T48=0,0,T48-IF(V48="AM",1,0))</ns0:f>
        <ns0:v>0</ns0:v>
      </ns0:c>
      <ns0:c r="AA48" s="0">
        <ns0:f>IFERROR(IF(AND(J48&gt;0,'_Engine'!C48&gt;0,MID('_Engine'!W48,WEEKDAY(J48,2),1)="W",COUNTIF(Settings!$F$18:$F$67,J48)=0),1,0),0)</ns0:f>
        <ns0:v>0</ns0:v>
      </ns0:c>
      <ns0:c r="AB48" s="0">
        <ns0:f>IFERROR(IF(AND(T48&gt;0,'_Engine'!C48&gt;0,MID('_Engine'!W48,WEEKDAY(T48,2),1)="W",COUNTIF(Settings!$F$18:$F$67,T48)=0),1,0),0)</ns0:f>
        <ns0:v>0</ns0:v>
      </ns0:c>
      <ns0:c r="AC48" s="0">
        <ns0:f>IF(AND(J48&gt;0,T48&gt;0,W48&lt;=X48),1,0)</ns0:f>
        <ns0:v>0</ns0:v>
      </ns0:c>
      <ns0:c r="AD48" s="0">
        <ns0:f>IF(AND(J48&gt;0,T48&gt;0,Y48&lt;=Z48),1,0)</ns0:f>
        <ns0:v>0</ns0:v>
      </ns0:c>
    </ns0:row>
    <ns0:row r="49">
      <ns0:c r="A49" s="0">
        <ns0:f>IFERROR(IF(ISNUMBER(Bookings!B49),"",TRIM(Bookings!B49&amp;"")),"")</ns0:f>
      </ns0:c>
      <ns0:c r="B49" s="0">
        <ns0:f>IFERROR(SUBSTITUTE(SUBSTITUTE(A49,"/","."),"-","."),"")</ns0:f>
      </ns0:c>
      <ns0:c r="C49" s="0">
        <ns0:f>IFERROR(LEFT(B49,FIND(".",B49)-1),"")</ns0:f>
      </ns0:c>
      <ns0:c r="D49" s="0">
        <ns0:f>IFERROR(MID(B49,FIND(".",B49)+1,FIND(".",B49,FIND(".",B49)+1)-FIND(".",B49)-1),"")</ns0:f>
      </ns0:c>
      <ns0:c r="E49" s="0">
        <ns0:f>IFERROR(MID(B49,FIND(".",B49,FIND(".",B49)+1)+1,99),"")</ns0:f>
        <ns0:v>99</ns0:v>
      </ns0:c>
      <ns0:c r="F49" s="0">
        <ns0:f>IFERROR(IF(FIND(".",B49)=5,--C49,--E49),0)</ns0:f>
        <ns0:v>0</ns0:v>
      </ns0:c>
      <ns0:c r="G49" s="0">
        <ns0:f>IFERROR(--D49,0)</ns0:f>
        <ns0:v>0</ns0:v>
      </ns0:c>
      <ns0:c r="H49" s="0">
        <ns0:f>IFERROR(IF(FIND(".",B49)=5,--E49,--C49),0)</ns0:f>
        <ns0:v>0</ns0:v>
      </ns0:c>
      <ns0:c r="I49" s="0">
        <ns0:f>IFERROR(IF(AND(F49&gt;=2000,F49&lt;=2100,G49&gt;=1,G49&lt;=12,H49&gt;=1,H49&lt;=31),DATE(F49,G49,H49),0),0)</ns0:f>
        <ns0:v>0</ns0:v>
      </ns0:c>
      <ns0:c r="J49" s="0">
        <ns0:f>IFERROR(IF(ISNUMBER(Bookings!B49),IF(AND(Bookings!B49=INT(Bookings!B49),Bookings!B49&gt;=DATE(2000,1,1),Bookings!B49&lt;=DATE(2100,12,31)),Bookings!B49,0),IF(AND(A49&lt;&gt;"",LEN("x"&amp;B49)-LEN(SUBSTITUTE("x"&amp;B49,".",""))=2,OR(1&gt;LEN(B49),MID(B49,1,1)=".",ISNUMBER(FIND("x"&amp;MID(B49,1,1),"x0x1x2x3x4x5x6x7x8x9"))),OR(2&gt;LEN(B49),MID(B49,2,1)=".",ISNUMBER(FIND("x"&amp;MID(B49,2,1),"x0x1x2x3x4x5x6x7x8x9"))),OR(3&gt;LEN(B49),MID(B49,3,1)=".",ISNUMBER(FIND("x"&amp;MID(B49,3,1),"x0x1x2x3x4x5x6x7x8x9"))),OR(4&gt;LEN(B49),MID(B49,4,1)=".",ISNUMBER(FIND("x"&amp;MID(B49,4,1),"x0x1x2x3x4x5x6x7x8x9"))),OR(5&gt;LEN(B49),MID(B49,5,1)=".",ISNUMBER(FIND("x"&amp;MID(B49,5,1),"x0x1x2x3x4x5x6x7x8x9"))),OR(6&gt;LEN(B49),MID(B49,6,1)=".",ISNUMBER(FIND("x"&amp;MID(B49,6,1),"x0x1x2x3x4x5x6x7x8x9"))),OR(7&gt;LEN(B49),MID(B49,7,1)=".",ISNUMBER(FIND("x"&amp;MID(B49,7,1),"x0x1x2x3x4x5x6x7x8x9"))),OR(8&gt;LEN(B49),MID(B49,8,1)=".",ISNUMBER(FIND("x"&amp;MID(B49,8,1),"x0x1x2x3x4x5x6x7x8x9"))),OR(9&gt;LEN(B49),MID(B49,9,1)=".",ISNUMBER(FIND("x"&amp;MID(B49,9,1),"x0x1x2x3x4x5x6x7x8x9"))),OR(10&gt;LEN(B49),MID(B49,10,1)=".",ISNUMBER(FIND("x"&amp;MID(B49,10,1),"x0x1x2x3x4x5x6x7x8x9"))),OR(AND(FIND(".",B49)=5,LEN(B49)-FIND(".",B49,FIND(".",B49)+1)&gt;=1,LEN(B49)-FIND(".",B49,FIND(".",B49)+1)&lt;=2),AND(LEN(B49)-FIND(".",B49,FIND(".",B49)+1)=4,FIND(".",B49)&gt;=2,FIND(".",B49)&lt;=3)),FIND(".",B49,FIND(".",B49)+1)-FIND(".",B49)&gt;=2,FIND(".",B49,FIND(".",B49)+1)-FIND(".",B49)&lt;=3,F49&gt;=2000,F49&lt;=2100,YEAR(I49)=F49,MONTH(I49)=G49,DAY(I49)=H49),I49,0)),0)</ns0:f>
        <ns0:v>0</ns0:v>
      </ns0:c>
      <ns0:c r="K49" s="0">
        <ns0:f>IFERROR(IF(ISNUMBER(Bookings!D49),"",TRIM(Bookings!D49&amp;"")),"")</ns0:f>
      </ns0:c>
      <ns0:c r="L49" s="0">
        <ns0:f>IFERROR(SUBSTITUTE(SUBSTITUTE(K49,"/","."),"-","."),"")</ns0:f>
      </ns0:c>
      <ns0:c r="M49" s="0">
        <ns0:f>IFERROR(LEFT(L49,FIND(".",L49)-1),"")</ns0:f>
      </ns0:c>
      <ns0:c r="N49" s="0">
        <ns0:f>IFERROR(MID(L49,FIND(".",L49)+1,FIND(".",L49,FIND(".",L49)+1)-FIND(".",L49)-1),"")</ns0:f>
      </ns0:c>
      <ns0:c r="O49" s="0">
        <ns0:f>IFERROR(MID(L49,FIND(".",L49,FIND(".",L49)+1)+1,99),"")</ns0:f>
        <ns0:v>99</ns0:v>
      </ns0:c>
      <ns0:c r="P49" s="0">
        <ns0:f>IFERROR(IF(FIND(".",L49)=5,--M49,--O49),0)</ns0:f>
        <ns0:v>0</ns0:v>
      </ns0:c>
      <ns0:c r="Q49" s="0">
        <ns0:f>IFERROR(--N49,0)</ns0:f>
        <ns0:v>0</ns0:v>
      </ns0:c>
      <ns0:c r="R49" s="0">
        <ns0:f>IFERROR(IF(FIND(".",L49)=5,--O49,--M49),0)</ns0:f>
        <ns0:v>0</ns0:v>
      </ns0:c>
      <ns0:c r="S49" s="0">
        <ns0:f>IFERROR(IF(AND(P49&gt;=2000,P49&lt;=2100,Q49&gt;=1,Q49&lt;=12,R49&gt;=1,R49&lt;=31),DATE(P49,Q49,R49),0),0)</ns0:f>
        <ns0:v>0</ns0:v>
      </ns0:c>
      <ns0:c r="T49" s="0">
        <ns0:f>IFERROR(IF(ISNUMBER(Bookings!D49),IF(AND(Bookings!D49=INT(Bookings!D49),Bookings!D49&gt;=DATE(2000,1,1),Bookings!D49&lt;=DATE(2100,12,31)),Bookings!D49,0),IF(AND(K49&lt;&gt;"",LEN("x"&amp;L49)-LEN(SUBSTITUTE("x"&amp;L49,".",""))=2,OR(1&gt;LEN(L49),MID(L49,1,1)=".",ISNUMBER(FIND("x"&amp;MID(L49,1,1),"x0x1x2x3x4x5x6x7x8x9"))),OR(2&gt;LEN(L49),MID(L49,2,1)=".",ISNUMBER(FIND("x"&amp;MID(L49,2,1),"x0x1x2x3x4x5x6x7x8x9"))),OR(3&gt;LEN(L49),MID(L49,3,1)=".",ISNUMBER(FIND("x"&amp;MID(L49,3,1),"x0x1x2x3x4x5x6x7x8x9"))),OR(4&gt;LEN(L49),MID(L49,4,1)=".",ISNUMBER(FIND("x"&amp;MID(L49,4,1),"x0x1x2x3x4x5x6x7x8x9"))),OR(5&gt;LEN(L49),MID(L49,5,1)=".",ISNUMBER(FIND("x"&amp;MID(L49,5,1),"x0x1x2x3x4x5x6x7x8x9"))),OR(6&gt;LEN(L49),MID(L49,6,1)=".",ISNUMBER(FIND("x"&amp;MID(L49,6,1),"x0x1x2x3x4x5x6x7x8x9"))),OR(7&gt;LEN(L49),MID(L49,7,1)=".",ISNUMBER(FIND("x"&amp;MID(L49,7,1),"x0x1x2x3x4x5x6x7x8x9"))),OR(8&gt;LEN(L49),MID(L49,8,1)=".",ISNUMBER(FIND("x"&amp;MID(L49,8,1),"x0x1x2x3x4x5x6x7x8x9"))),OR(9&gt;LEN(L49),MID(L49,9,1)=".",ISNUMBER(FIND("x"&amp;MID(L49,9,1),"x0x1x2x3x4x5x6x7x8x9"))),OR(10&gt;LEN(L49),MID(L49,10,1)=".",ISNUMBER(FIND("x"&amp;MID(L49,10,1),"x0x1x2x3x4x5x6x7x8x9"))),OR(AND(FIND(".",L49)=5,LEN(L49)-FIND(".",L49,FIND(".",L49)+1)&gt;=1,LEN(L49)-FIND(".",L49,FIND(".",L49)+1)&lt;=2),AND(LEN(L49)-FIND(".",L49,FIND(".",L49)+1)=4,FIND(".",L49)&gt;=2,FIND(".",L49)&lt;=3)),FIND(".",L49,FIND(".",L49)+1)-FIND(".",L49)&gt;=2,FIND(".",L49,FIND(".",L49)+1)-FIND(".",L49)&lt;=3,P49&gt;=2000,P49&lt;=2100,YEAR(S49)=P49,MONTH(S49)=Q49,DAY(S49)=R49),S49,0)),0)</ns0:f>
        <ns0:v>0</ns0:v>
      </ns0:c>
      <ns0:c r="U49" s="0" t="str">
        <ns0:f>IF(Bookings!C49="","Full day",Bookings!C49)</ns0:f>
        <ns0:v>Full day</ns0:v>
      </ns0:c>
      <ns0:c r="V49" s="0" t="str">
        <ns0:f>IF(Bookings!E49="","Full day",Bookings!E49)</ns0:f>
        <ns0:v>Full day</ns0:v>
      </ns0:c>
      <ns0:c r="W49" s="0">
        <ns0:f>IF(J49=0,0,J49+IF(U49="PM",1,0))</ns0:f>
        <ns0:v>0</ns0:v>
      </ns0:c>
      <ns0:c r="X49" s="0">
        <ns0:f>IF(T49=0,0,T49-IF(V49="PM",1,0))</ns0:f>
        <ns0:v>0</ns0:v>
      </ns0:c>
      <ns0:c r="Y49" s="0">
        <ns0:f>IF(J49=0,0,J49+IF(U49="AM",1,0))</ns0:f>
        <ns0:v>0</ns0:v>
      </ns0:c>
      <ns0:c r="Z49" s="0">
        <ns0:f>IF(T49=0,0,T49-IF(V49="AM",1,0))</ns0:f>
        <ns0:v>0</ns0:v>
      </ns0:c>
      <ns0:c r="AA49" s="0">
        <ns0:f>IFERROR(IF(AND(J49&gt;0,'_Engine'!C49&gt;0,MID('_Engine'!W49,WEEKDAY(J49,2),1)="W",COUNTIF(Settings!$F$18:$F$67,J49)=0),1,0),0)</ns0:f>
        <ns0:v>0</ns0:v>
      </ns0:c>
      <ns0:c r="AB49" s="0">
        <ns0:f>IFERROR(IF(AND(T49&gt;0,'_Engine'!C49&gt;0,MID('_Engine'!W49,WEEKDAY(T49,2),1)="W",COUNTIF(Settings!$F$18:$F$67,T49)=0),1,0),0)</ns0:f>
        <ns0:v>0</ns0:v>
      </ns0:c>
      <ns0:c r="AC49" s="0">
        <ns0:f>IF(AND(J49&gt;0,T49&gt;0,W49&lt;=X49),1,0)</ns0:f>
        <ns0:v>0</ns0:v>
      </ns0:c>
      <ns0:c r="AD49" s="0">
        <ns0:f>IF(AND(J49&gt;0,T49&gt;0,Y49&lt;=Z49),1,0)</ns0:f>
        <ns0:v>0</ns0:v>
      </ns0:c>
    </ns0:row>
    <ns0:row r="50">
      <ns0:c r="A50" s="0">
        <ns0:f>IFERROR(IF(ISNUMBER(Bookings!B50),"",TRIM(Bookings!B50&amp;"")),"")</ns0:f>
      </ns0:c>
      <ns0:c r="B50" s="0">
        <ns0:f>IFERROR(SUBSTITUTE(SUBSTITUTE(A50,"/","."),"-","."),"")</ns0:f>
      </ns0:c>
      <ns0:c r="C50" s="0">
        <ns0:f>IFERROR(LEFT(B50,FIND(".",B50)-1),"")</ns0:f>
      </ns0:c>
      <ns0:c r="D50" s="0">
        <ns0:f>IFERROR(MID(B50,FIND(".",B50)+1,FIND(".",B50,FIND(".",B50)+1)-FIND(".",B50)-1),"")</ns0:f>
      </ns0:c>
      <ns0:c r="E50" s="0">
        <ns0:f>IFERROR(MID(B50,FIND(".",B50,FIND(".",B50)+1)+1,99),"")</ns0:f>
        <ns0:v>99</ns0:v>
      </ns0:c>
      <ns0:c r="F50" s="0">
        <ns0:f>IFERROR(IF(FIND(".",B50)=5,--C50,--E50),0)</ns0:f>
        <ns0:v>0</ns0:v>
      </ns0:c>
      <ns0:c r="G50" s="0">
        <ns0:f>IFERROR(--D50,0)</ns0:f>
        <ns0:v>0</ns0:v>
      </ns0:c>
      <ns0:c r="H50" s="0">
        <ns0:f>IFERROR(IF(FIND(".",B50)=5,--E50,--C50),0)</ns0:f>
        <ns0:v>0</ns0:v>
      </ns0:c>
      <ns0:c r="I50" s="0">
        <ns0:f>IFERROR(IF(AND(F50&gt;=2000,F50&lt;=2100,G50&gt;=1,G50&lt;=12,H50&gt;=1,H50&lt;=31),DATE(F50,G50,H50),0),0)</ns0:f>
        <ns0:v>0</ns0:v>
      </ns0:c>
      <ns0:c r="J50" s="0">
        <ns0:f>IFERROR(IF(ISNUMBER(Bookings!B50),IF(AND(Bookings!B50=INT(Bookings!B50),Bookings!B50&gt;=DATE(2000,1,1),Bookings!B50&lt;=DATE(2100,12,31)),Bookings!B50,0),IF(AND(A50&lt;&gt;"",LEN("x"&amp;B50)-LEN(SUBSTITUTE("x"&amp;B50,".",""))=2,OR(1&gt;LEN(B50),MID(B50,1,1)=".",ISNUMBER(FIND("x"&amp;MID(B50,1,1),"x0x1x2x3x4x5x6x7x8x9"))),OR(2&gt;LEN(B50),MID(B50,2,1)=".",ISNUMBER(FIND("x"&amp;MID(B50,2,1),"x0x1x2x3x4x5x6x7x8x9"))),OR(3&gt;LEN(B50),MID(B50,3,1)=".",ISNUMBER(FIND("x"&amp;MID(B50,3,1),"x0x1x2x3x4x5x6x7x8x9"))),OR(4&gt;LEN(B50),MID(B50,4,1)=".",ISNUMBER(FIND("x"&amp;MID(B50,4,1),"x0x1x2x3x4x5x6x7x8x9"))),OR(5&gt;LEN(B50),MID(B50,5,1)=".",ISNUMBER(FIND("x"&amp;MID(B50,5,1),"x0x1x2x3x4x5x6x7x8x9"))),OR(6&gt;LEN(B50),MID(B50,6,1)=".",ISNUMBER(FIND("x"&amp;MID(B50,6,1),"x0x1x2x3x4x5x6x7x8x9"))),OR(7&gt;LEN(B50),MID(B50,7,1)=".",ISNUMBER(FIND("x"&amp;MID(B50,7,1),"x0x1x2x3x4x5x6x7x8x9"))),OR(8&gt;LEN(B50),MID(B50,8,1)=".",ISNUMBER(FIND("x"&amp;MID(B50,8,1),"x0x1x2x3x4x5x6x7x8x9"))),OR(9&gt;LEN(B50),MID(B50,9,1)=".",ISNUMBER(FIND("x"&amp;MID(B50,9,1),"x0x1x2x3x4x5x6x7x8x9"))),OR(10&gt;LEN(B50),MID(B50,10,1)=".",ISNUMBER(FIND("x"&amp;MID(B50,10,1),"x0x1x2x3x4x5x6x7x8x9"))),OR(AND(FIND(".",B50)=5,LEN(B50)-FIND(".",B50,FIND(".",B50)+1)&gt;=1,LEN(B50)-FIND(".",B50,FIND(".",B50)+1)&lt;=2),AND(LEN(B50)-FIND(".",B50,FIND(".",B50)+1)=4,FIND(".",B50)&gt;=2,FIND(".",B50)&lt;=3)),FIND(".",B50,FIND(".",B50)+1)-FIND(".",B50)&gt;=2,FIND(".",B50,FIND(".",B50)+1)-FIND(".",B50)&lt;=3,F50&gt;=2000,F50&lt;=2100,YEAR(I50)=F50,MONTH(I50)=G50,DAY(I50)=H50),I50,0)),0)</ns0:f>
        <ns0:v>0</ns0:v>
      </ns0:c>
      <ns0:c r="K50" s="0">
        <ns0:f>IFERROR(IF(ISNUMBER(Bookings!D50),"",TRIM(Bookings!D50&amp;"")),"")</ns0:f>
      </ns0:c>
      <ns0:c r="L50" s="0">
        <ns0:f>IFERROR(SUBSTITUTE(SUBSTITUTE(K50,"/","."),"-","."),"")</ns0:f>
      </ns0:c>
      <ns0:c r="M50" s="0">
        <ns0:f>IFERROR(LEFT(L50,FIND(".",L50)-1),"")</ns0:f>
      </ns0:c>
      <ns0:c r="N50" s="0">
        <ns0:f>IFERROR(MID(L50,FIND(".",L50)+1,FIND(".",L50,FIND(".",L50)+1)-FIND(".",L50)-1),"")</ns0:f>
      </ns0:c>
      <ns0:c r="O50" s="0">
        <ns0:f>IFERROR(MID(L50,FIND(".",L50,FIND(".",L50)+1)+1,99),"")</ns0:f>
        <ns0:v>99</ns0:v>
      </ns0:c>
      <ns0:c r="P50" s="0">
        <ns0:f>IFERROR(IF(FIND(".",L50)=5,--M50,--O50),0)</ns0:f>
        <ns0:v>0</ns0:v>
      </ns0:c>
      <ns0:c r="Q50" s="0">
        <ns0:f>IFERROR(--N50,0)</ns0:f>
        <ns0:v>0</ns0:v>
      </ns0:c>
      <ns0:c r="R50" s="0">
        <ns0:f>IFERROR(IF(FIND(".",L50)=5,--O50,--M50),0)</ns0:f>
        <ns0:v>0</ns0:v>
      </ns0:c>
      <ns0:c r="S50" s="0">
        <ns0:f>IFERROR(IF(AND(P50&gt;=2000,P50&lt;=2100,Q50&gt;=1,Q50&lt;=12,R50&gt;=1,R50&lt;=31),DATE(P50,Q50,R50),0),0)</ns0:f>
        <ns0:v>0</ns0:v>
      </ns0:c>
      <ns0:c r="T50" s="0">
        <ns0:f>IFERROR(IF(ISNUMBER(Bookings!D50),IF(AND(Bookings!D50=INT(Bookings!D50),Bookings!D50&gt;=DATE(2000,1,1),Bookings!D50&lt;=DATE(2100,12,31)),Bookings!D50,0),IF(AND(K50&lt;&gt;"",LEN("x"&amp;L50)-LEN(SUBSTITUTE("x"&amp;L50,".",""))=2,OR(1&gt;LEN(L50),MID(L50,1,1)=".",ISNUMBER(FIND("x"&amp;MID(L50,1,1),"x0x1x2x3x4x5x6x7x8x9"))),OR(2&gt;LEN(L50),MID(L50,2,1)=".",ISNUMBER(FIND("x"&amp;MID(L50,2,1),"x0x1x2x3x4x5x6x7x8x9"))),OR(3&gt;LEN(L50),MID(L50,3,1)=".",ISNUMBER(FIND("x"&amp;MID(L50,3,1),"x0x1x2x3x4x5x6x7x8x9"))),OR(4&gt;LEN(L50),MID(L50,4,1)=".",ISNUMBER(FIND("x"&amp;MID(L50,4,1),"x0x1x2x3x4x5x6x7x8x9"))),OR(5&gt;LEN(L50),MID(L50,5,1)=".",ISNUMBER(FIND("x"&amp;MID(L50,5,1),"x0x1x2x3x4x5x6x7x8x9"))),OR(6&gt;LEN(L50),MID(L50,6,1)=".",ISNUMBER(FIND("x"&amp;MID(L50,6,1),"x0x1x2x3x4x5x6x7x8x9"))),OR(7&gt;LEN(L50),MID(L50,7,1)=".",ISNUMBER(FIND("x"&amp;MID(L50,7,1),"x0x1x2x3x4x5x6x7x8x9"))),OR(8&gt;LEN(L50),MID(L50,8,1)=".",ISNUMBER(FIND("x"&amp;MID(L50,8,1),"x0x1x2x3x4x5x6x7x8x9"))),OR(9&gt;LEN(L50),MID(L50,9,1)=".",ISNUMBER(FIND("x"&amp;MID(L50,9,1),"x0x1x2x3x4x5x6x7x8x9"))),OR(10&gt;LEN(L50),MID(L50,10,1)=".",ISNUMBER(FIND("x"&amp;MID(L50,10,1),"x0x1x2x3x4x5x6x7x8x9"))),OR(AND(FIND(".",L50)=5,LEN(L50)-FIND(".",L50,FIND(".",L50)+1)&gt;=1,LEN(L50)-FIND(".",L50,FIND(".",L50)+1)&lt;=2),AND(LEN(L50)-FIND(".",L50,FIND(".",L50)+1)=4,FIND(".",L50)&gt;=2,FIND(".",L50)&lt;=3)),FIND(".",L50,FIND(".",L50)+1)-FIND(".",L50)&gt;=2,FIND(".",L50,FIND(".",L50)+1)-FIND(".",L50)&lt;=3,P50&gt;=2000,P50&lt;=2100,YEAR(S50)=P50,MONTH(S50)=Q50,DAY(S50)=R50),S50,0)),0)</ns0:f>
        <ns0:v>0</ns0:v>
      </ns0:c>
      <ns0:c r="U50" s="0" t="str">
        <ns0:f>IF(Bookings!C50="","Full day",Bookings!C50)</ns0:f>
        <ns0:v>Full day</ns0:v>
      </ns0:c>
      <ns0:c r="V50" s="0" t="str">
        <ns0:f>IF(Bookings!E50="","Full day",Bookings!E50)</ns0:f>
        <ns0:v>Full day</ns0:v>
      </ns0:c>
      <ns0:c r="W50" s="0">
        <ns0:f>IF(J50=0,0,J50+IF(U50="PM",1,0))</ns0:f>
        <ns0:v>0</ns0:v>
      </ns0:c>
      <ns0:c r="X50" s="0">
        <ns0:f>IF(T50=0,0,T50-IF(V50="PM",1,0))</ns0:f>
        <ns0:v>0</ns0:v>
      </ns0:c>
      <ns0:c r="Y50" s="0">
        <ns0:f>IF(J50=0,0,J50+IF(U50="AM",1,0))</ns0:f>
        <ns0:v>0</ns0:v>
      </ns0:c>
      <ns0:c r="Z50" s="0">
        <ns0:f>IF(T50=0,0,T50-IF(V50="AM",1,0))</ns0:f>
        <ns0:v>0</ns0:v>
      </ns0:c>
      <ns0:c r="AA50" s="0">
        <ns0:f>IFERROR(IF(AND(J50&gt;0,'_Engine'!C50&gt;0,MID('_Engine'!W50,WEEKDAY(J50,2),1)="W",COUNTIF(Settings!$F$18:$F$67,J50)=0),1,0),0)</ns0:f>
        <ns0:v>0</ns0:v>
      </ns0:c>
      <ns0:c r="AB50" s="0">
        <ns0:f>IFERROR(IF(AND(T50&gt;0,'_Engine'!C50&gt;0,MID('_Engine'!W50,WEEKDAY(T50,2),1)="W",COUNTIF(Settings!$F$18:$F$67,T50)=0),1,0),0)</ns0:f>
        <ns0:v>0</ns0:v>
      </ns0:c>
      <ns0:c r="AC50" s="0">
        <ns0:f>IF(AND(J50&gt;0,T50&gt;0,W50&lt;=X50),1,0)</ns0:f>
        <ns0:v>0</ns0:v>
      </ns0:c>
      <ns0:c r="AD50" s="0">
        <ns0:f>IF(AND(J50&gt;0,T50&gt;0,Y50&lt;=Z50),1,0)</ns0:f>
        <ns0:v>0</ns0:v>
      </ns0:c>
    </ns0:row>
    <ns0:row r="51">
      <ns0:c r="A51" s="0">
        <ns0:f>IFERROR(IF(ISNUMBER(Bookings!B51),"",TRIM(Bookings!B51&amp;"")),"")</ns0:f>
      </ns0:c>
      <ns0:c r="B51" s="0">
        <ns0:f>IFERROR(SUBSTITUTE(SUBSTITUTE(A51,"/","."),"-","."),"")</ns0:f>
      </ns0:c>
      <ns0:c r="C51" s="0">
        <ns0:f>IFERROR(LEFT(B51,FIND(".",B51)-1),"")</ns0:f>
      </ns0:c>
      <ns0:c r="D51" s="0">
        <ns0:f>IFERROR(MID(B51,FIND(".",B51)+1,FIND(".",B51,FIND(".",B51)+1)-FIND(".",B51)-1),"")</ns0:f>
      </ns0:c>
      <ns0:c r="E51" s="0">
        <ns0:f>IFERROR(MID(B51,FIND(".",B51,FIND(".",B51)+1)+1,99),"")</ns0:f>
        <ns0:v>99</ns0:v>
      </ns0:c>
      <ns0:c r="F51" s="0">
        <ns0:f>IFERROR(IF(FIND(".",B51)=5,--C51,--E51),0)</ns0:f>
        <ns0:v>0</ns0:v>
      </ns0:c>
      <ns0:c r="G51" s="0">
        <ns0:f>IFERROR(--D51,0)</ns0:f>
        <ns0:v>0</ns0:v>
      </ns0:c>
      <ns0:c r="H51" s="0">
        <ns0:f>IFERROR(IF(FIND(".",B51)=5,--E51,--C51),0)</ns0:f>
        <ns0:v>0</ns0:v>
      </ns0:c>
      <ns0:c r="I51" s="0">
        <ns0:f>IFERROR(IF(AND(F51&gt;=2000,F51&lt;=2100,G51&gt;=1,G51&lt;=12,H51&gt;=1,H51&lt;=31),DATE(F51,G51,H51),0),0)</ns0:f>
        <ns0:v>0</ns0:v>
      </ns0:c>
      <ns0:c r="J51" s="0">
        <ns0:f>IFERROR(IF(ISNUMBER(Bookings!B51),IF(AND(Bookings!B51=INT(Bookings!B51),Bookings!B51&gt;=DATE(2000,1,1),Bookings!B51&lt;=DATE(2100,12,31)),Bookings!B51,0),IF(AND(A51&lt;&gt;"",LEN("x"&amp;B51)-LEN(SUBSTITUTE("x"&amp;B51,".",""))=2,OR(1&gt;LEN(B51),MID(B51,1,1)=".",ISNUMBER(FIND("x"&amp;MID(B51,1,1),"x0x1x2x3x4x5x6x7x8x9"))),OR(2&gt;LEN(B51),MID(B51,2,1)=".",ISNUMBER(FIND("x"&amp;MID(B51,2,1),"x0x1x2x3x4x5x6x7x8x9"))),OR(3&gt;LEN(B51),MID(B51,3,1)=".",ISNUMBER(FIND("x"&amp;MID(B51,3,1),"x0x1x2x3x4x5x6x7x8x9"))),OR(4&gt;LEN(B51),MID(B51,4,1)=".",ISNUMBER(FIND("x"&amp;MID(B51,4,1),"x0x1x2x3x4x5x6x7x8x9"))),OR(5&gt;LEN(B51),MID(B51,5,1)=".",ISNUMBER(FIND("x"&amp;MID(B51,5,1),"x0x1x2x3x4x5x6x7x8x9"))),OR(6&gt;LEN(B51),MID(B51,6,1)=".",ISNUMBER(FIND("x"&amp;MID(B51,6,1),"x0x1x2x3x4x5x6x7x8x9"))),OR(7&gt;LEN(B51),MID(B51,7,1)=".",ISNUMBER(FIND("x"&amp;MID(B51,7,1),"x0x1x2x3x4x5x6x7x8x9"))),OR(8&gt;LEN(B51),MID(B51,8,1)=".",ISNUMBER(FIND("x"&amp;MID(B51,8,1),"x0x1x2x3x4x5x6x7x8x9"))),OR(9&gt;LEN(B51),MID(B51,9,1)=".",ISNUMBER(FIND("x"&amp;MID(B51,9,1),"x0x1x2x3x4x5x6x7x8x9"))),OR(10&gt;LEN(B51),MID(B51,10,1)=".",ISNUMBER(FIND("x"&amp;MID(B51,10,1),"x0x1x2x3x4x5x6x7x8x9"))),OR(AND(FIND(".",B51)=5,LEN(B51)-FIND(".",B51,FIND(".",B51)+1)&gt;=1,LEN(B51)-FIND(".",B51,FIND(".",B51)+1)&lt;=2),AND(LEN(B51)-FIND(".",B51,FIND(".",B51)+1)=4,FIND(".",B51)&gt;=2,FIND(".",B51)&lt;=3)),FIND(".",B51,FIND(".",B51)+1)-FIND(".",B51)&gt;=2,FIND(".",B51,FIND(".",B51)+1)-FIND(".",B51)&lt;=3,F51&gt;=2000,F51&lt;=2100,YEAR(I51)=F51,MONTH(I51)=G51,DAY(I51)=H51),I51,0)),0)</ns0:f>
        <ns0:v>0</ns0:v>
      </ns0:c>
      <ns0:c r="K51" s="0">
        <ns0:f>IFERROR(IF(ISNUMBER(Bookings!D51),"",TRIM(Bookings!D51&amp;"")),"")</ns0:f>
      </ns0:c>
      <ns0:c r="L51" s="0">
        <ns0:f>IFERROR(SUBSTITUTE(SUBSTITUTE(K51,"/","."),"-","."),"")</ns0:f>
      </ns0:c>
      <ns0:c r="M51" s="0">
        <ns0:f>IFERROR(LEFT(L51,FIND(".",L51)-1),"")</ns0:f>
      </ns0:c>
      <ns0:c r="N51" s="0">
        <ns0:f>IFERROR(MID(L51,FIND(".",L51)+1,FIND(".",L51,FIND(".",L51)+1)-FIND(".",L51)-1),"")</ns0:f>
      </ns0:c>
      <ns0:c r="O51" s="0">
        <ns0:f>IFERROR(MID(L51,FIND(".",L51,FIND(".",L51)+1)+1,99),"")</ns0:f>
        <ns0:v>99</ns0:v>
      </ns0:c>
      <ns0:c r="P51" s="0">
        <ns0:f>IFERROR(IF(FIND(".",L51)=5,--M51,--O51),0)</ns0:f>
        <ns0:v>0</ns0:v>
      </ns0:c>
      <ns0:c r="Q51" s="0">
        <ns0:f>IFERROR(--N51,0)</ns0:f>
        <ns0:v>0</ns0:v>
      </ns0:c>
      <ns0:c r="R51" s="0">
        <ns0:f>IFERROR(IF(FIND(".",L51)=5,--O51,--M51),0)</ns0:f>
        <ns0:v>0</ns0:v>
      </ns0:c>
      <ns0:c r="S51" s="0">
        <ns0:f>IFERROR(IF(AND(P51&gt;=2000,P51&lt;=2100,Q51&gt;=1,Q51&lt;=12,R51&gt;=1,R51&lt;=31),DATE(P51,Q51,R51),0),0)</ns0:f>
        <ns0:v>0</ns0:v>
      </ns0:c>
      <ns0:c r="T51" s="0">
        <ns0:f>IFERROR(IF(ISNUMBER(Bookings!D51),IF(AND(Bookings!D51=INT(Bookings!D51),Bookings!D51&gt;=DATE(2000,1,1),Bookings!D51&lt;=DATE(2100,12,31)),Bookings!D51,0),IF(AND(K51&lt;&gt;"",LEN("x"&amp;L51)-LEN(SUBSTITUTE("x"&amp;L51,".",""))=2,OR(1&gt;LEN(L51),MID(L51,1,1)=".",ISNUMBER(FIND("x"&amp;MID(L51,1,1),"x0x1x2x3x4x5x6x7x8x9"))),OR(2&gt;LEN(L51),MID(L51,2,1)=".",ISNUMBER(FIND("x"&amp;MID(L51,2,1),"x0x1x2x3x4x5x6x7x8x9"))),OR(3&gt;LEN(L51),MID(L51,3,1)=".",ISNUMBER(FIND("x"&amp;MID(L51,3,1),"x0x1x2x3x4x5x6x7x8x9"))),OR(4&gt;LEN(L51),MID(L51,4,1)=".",ISNUMBER(FIND("x"&amp;MID(L51,4,1),"x0x1x2x3x4x5x6x7x8x9"))),OR(5&gt;LEN(L51),MID(L51,5,1)=".",ISNUMBER(FIND("x"&amp;MID(L51,5,1),"x0x1x2x3x4x5x6x7x8x9"))),OR(6&gt;LEN(L51),MID(L51,6,1)=".",ISNUMBER(FIND("x"&amp;MID(L51,6,1),"x0x1x2x3x4x5x6x7x8x9"))),OR(7&gt;LEN(L51),MID(L51,7,1)=".",ISNUMBER(FIND("x"&amp;MID(L51,7,1),"x0x1x2x3x4x5x6x7x8x9"))),OR(8&gt;LEN(L51),MID(L51,8,1)=".",ISNUMBER(FIND("x"&amp;MID(L51,8,1),"x0x1x2x3x4x5x6x7x8x9"))),OR(9&gt;LEN(L51),MID(L51,9,1)=".",ISNUMBER(FIND("x"&amp;MID(L51,9,1),"x0x1x2x3x4x5x6x7x8x9"))),OR(10&gt;LEN(L51),MID(L51,10,1)=".",ISNUMBER(FIND("x"&amp;MID(L51,10,1),"x0x1x2x3x4x5x6x7x8x9"))),OR(AND(FIND(".",L51)=5,LEN(L51)-FIND(".",L51,FIND(".",L51)+1)&gt;=1,LEN(L51)-FIND(".",L51,FIND(".",L51)+1)&lt;=2),AND(LEN(L51)-FIND(".",L51,FIND(".",L51)+1)=4,FIND(".",L51)&gt;=2,FIND(".",L51)&lt;=3)),FIND(".",L51,FIND(".",L51)+1)-FIND(".",L51)&gt;=2,FIND(".",L51,FIND(".",L51)+1)-FIND(".",L51)&lt;=3,P51&gt;=2000,P51&lt;=2100,YEAR(S51)=P51,MONTH(S51)=Q51,DAY(S51)=R51),S51,0)),0)</ns0:f>
        <ns0:v>0</ns0:v>
      </ns0:c>
      <ns0:c r="U51" s="0" t="str">
        <ns0:f>IF(Bookings!C51="","Full day",Bookings!C51)</ns0:f>
        <ns0:v>Full day</ns0:v>
      </ns0:c>
      <ns0:c r="V51" s="0" t="str">
        <ns0:f>IF(Bookings!E51="","Full day",Bookings!E51)</ns0:f>
        <ns0:v>Full day</ns0:v>
      </ns0:c>
      <ns0:c r="W51" s="0">
        <ns0:f>IF(J51=0,0,J51+IF(U51="PM",1,0))</ns0:f>
        <ns0:v>0</ns0:v>
      </ns0:c>
      <ns0:c r="X51" s="0">
        <ns0:f>IF(T51=0,0,T51-IF(V51="PM",1,0))</ns0:f>
        <ns0:v>0</ns0:v>
      </ns0:c>
      <ns0:c r="Y51" s="0">
        <ns0:f>IF(J51=0,0,J51+IF(U51="AM",1,0))</ns0:f>
        <ns0:v>0</ns0:v>
      </ns0:c>
      <ns0:c r="Z51" s="0">
        <ns0:f>IF(T51=0,0,T51-IF(V51="AM",1,0))</ns0:f>
        <ns0:v>0</ns0:v>
      </ns0:c>
      <ns0:c r="AA51" s="0">
        <ns0:f>IFERROR(IF(AND(J51&gt;0,'_Engine'!C51&gt;0,MID('_Engine'!W51,WEEKDAY(J51,2),1)="W",COUNTIF(Settings!$F$18:$F$67,J51)=0),1,0),0)</ns0:f>
        <ns0:v>0</ns0:v>
      </ns0:c>
      <ns0:c r="AB51" s="0">
        <ns0:f>IFERROR(IF(AND(T51&gt;0,'_Engine'!C51&gt;0,MID('_Engine'!W51,WEEKDAY(T51,2),1)="W",COUNTIF(Settings!$F$18:$F$67,T51)=0),1,0),0)</ns0:f>
        <ns0:v>0</ns0:v>
      </ns0:c>
      <ns0:c r="AC51" s="0">
        <ns0:f>IF(AND(J51&gt;0,T51&gt;0,W51&lt;=X51),1,0)</ns0:f>
        <ns0:v>0</ns0:v>
      </ns0:c>
      <ns0:c r="AD51" s="0">
        <ns0:f>IF(AND(J51&gt;0,T51&gt;0,Y51&lt;=Z51),1,0)</ns0:f>
        <ns0:v>0</ns0:v>
      </ns0:c>
    </ns0:row>
    <ns0:row r="52">
      <ns0:c r="A52" s="0">
        <ns0:f>IFERROR(IF(ISNUMBER(Bookings!B52),"",TRIM(Bookings!B52&amp;"")),"")</ns0:f>
      </ns0:c>
      <ns0:c r="B52" s="0">
        <ns0:f>IFERROR(SUBSTITUTE(SUBSTITUTE(A52,"/","."),"-","."),"")</ns0:f>
      </ns0:c>
      <ns0:c r="C52" s="0">
        <ns0:f>IFERROR(LEFT(B52,FIND(".",B52)-1),"")</ns0:f>
      </ns0:c>
      <ns0:c r="D52" s="0">
        <ns0:f>IFERROR(MID(B52,FIND(".",B52)+1,FIND(".",B52,FIND(".",B52)+1)-FIND(".",B52)-1),"")</ns0:f>
      </ns0:c>
      <ns0:c r="E52" s="0">
        <ns0:f>IFERROR(MID(B52,FIND(".",B52,FIND(".",B52)+1)+1,99),"")</ns0:f>
        <ns0:v>99</ns0:v>
      </ns0:c>
      <ns0:c r="F52" s="0">
        <ns0:f>IFERROR(IF(FIND(".",B52)=5,--C52,--E52),0)</ns0:f>
        <ns0:v>0</ns0:v>
      </ns0:c>
      <ns0:c r="G52" s="0">
        <ns0:f>IFERROR(--D52,0)</ns0:f>
        <ns0:v>0</ns0:v>
      </ns0:c>
      <ns0:c r="H52" s="0">
        <ns0:f>IFERROR(IF(FIND(".",B52)=5,--E52,--C52),0)</ns0:f>
        <ns0:v>0</ns0:v>
      </ns0:c>
      <ns0:c r="I52" s="0">
        <ns0:f>IFERROR(IF(AND(F52&gt;=2000,F52&lt;=2100,G52&gt;=1,G52&lt;=12,H52&gt;=1,H52&lt;=31),DATE(F52,G52,H52),0),0)</ns0:f>
        <ns0:v>0</ns0:v>
      </ns0:c>
      <ns0:c r="J52" s="0">
        <ns0:f>IFERROR(IF(ISNUMBER(Bookings!B52),IF(AND(Bookings!B52=INT(Bookings!B52),Bookings!B52&gt;=DATE(2000,1,1),Bookings!B52&lt;=DATE(2100,12,31)),Bookings!B52,0),IF(AND(A52&lt;&gt;"",LEN("x"&amp;B52)-LEN(SUBSTITUTE("x"&amp;B52,".",""))=2,OR(1&gt;LEN(B52),MID(B52,1,1)=".",ISNUMBER(FIND("x"&amp;MID(B52,1,1),"x0x1x2x3x4x5x6x7x8x9"))),OR(2&gt;LEN(B52),MID(B52,2,1)=".",ISNUMBER(FIND("x"&amp;MID(B52,2,1),"x0x1x2x3x4x5x6x7x8x9"))),OR(3&gt;LEN(B52),MID(B52,3,1)=".",ISNUMBER(FIND("x"&amp;MID(B52,3,1),"x0x1x2x3x4x5x6x7x8x9"))),OR(4&gt;LEN(B52),MID(B52,4,1)=".",ISNUMBER(FIND("x"&amp;MID(B52,4,1),"x0x1x2x3x4x5x6x7x8x9"))),OR(5&gt;LEN(B52),MID(B52,5,1)=".",ISNUMBER(FIND("x"&amp;MID(B52,5,1),"x0x1x2x3x4x5x6x7x8x9"))),OR(6&gt;LEN(B52),MID(B52,6,1)=".",ISNUMBER(FIND("x"&amp;MID(B52,6,1),"x0x1x2x3x4x5x6x7x8x9"))),OR(7&gt;LEN(B52),MID(B52,7,1)=".",ISNUMBER(FIND("x"&amp;MID(B52,7,1),"x0x1x2x3x4x5x6x7x8x9"))),OR(8&gt;LEN(B52),MID(B52,8,1)=".",ISNUMBER(FIND("x"&amp;MID(B52,8,1),"x0x1x2x3x4x5x6x7x8x9"))),OR(9&gt;LEN(B52),MID(B52,9,1)=".",ISNUMBER(FIND("x"&amp;MID(B52,9,1),"x0x1x2x3x4x5x6x7x8x9"))),OR(10&gt;LEN(B52),MID(B52,10,1)=".",ISNUMBER(FIND("x"&amp;MID(B52,10,1),"x0x1x2x3x4x5x6x7x8x9"))),OR(AND(FIND(".",B52)=5,LEN(B52)-FIND(".",B52,FIND(".",B52)+1)&gt;=1,LEN(B52)-FIND(".",B52,FIND(".",B52)+1)&lt;=2),AND(LEN(B52)-FIND(".",B52,FIND(".",B52)+1)=4,FIND(".",B52)&gt;=2,FIND(".",B52)&lt;=3)),FIND(".",B52,FIND(".",B52)+1)-FIND(".",B52)&gt;=2,FIND(".",B52,FIND(".",B52)+1)-FIND(".",B52)&lt;=3,F52&gt;=2000,F52&lt;=2100,YEAR(I52)=F52,MONTH(I52)=G52,DAY(I52)=H52),I52,0)),0)</ns0:f>
        <ns0:v>0</ns0:v>
      </ns0:c>
      <ns0:c r="K52" s="0">
        <ns0:f>IFERROR(IF(ISNUMBER(Bookings!D52),"",TRIM(Bookings!D52&amp;"")),"")</ns0:f>
      </ns0:c>
      <ns0:c r="L52" s="0">
        <ns0:f>IFERROR(SUBSTITUTE(SUBSTITUTE(K52,"/","."),"-","."),"")</ns0:f>
      </ns0:c>
      <ns0:c r="M52" s="0">
        <ns0:f>IFERROR(LEFT(L52,FIND(".",L52)-1),"")</ns0:f>
      </ns0:c>
      <ns0:c r="N52" s="0">
        <ns0:f>IFERROR(MID(L52,FIND(".",L52)+1,FIND(".",L52,FIND(".",L52)+1)-FIND(".",L52)-1),"")</ns0:f>
      </ns0:c>
      <ns0:c r="O52" s="0">
        <ns0:f>IFERROR(MID(L52,FIND(".",L52,FIND(".",L52)+1)+1,99),"")</ns0:f>
        <ns0:v>99</ns0:v>
      </ns0:c>
      <ns0:c r="P52" s="0">
        <ns0:f>IFERROR(IF(FIND(".",L52)=5,--M52,--O52),0)</ns0:f>
        <ns0:v>0</ns0:v>
      </ns0:c>
      <ns0:c r="Q52" s="0">
        <ns0:f>IFERROR(--N52,0)</ns0:f>
        <ns0:v>0</ns0:v>
      </ns0:c>
      <ns0:c r="R52" s="0">
        <ns0:f>IFERROR(IF(FIND(".",L52)=5,--O52,--M52),0)</ns0:f>
        <ns0:v>0</ns0:v>
      </ns0:c>
      <ns0:c r="S52" s="0">
        <ns0:f>IFERROR(IF(AND(P52&gt;=2000,P52&lt;=2100,Q52&gt;=1,Q52&lt;=12,R52&gt;=1,R52&lt;=31),DATE(P52,Q52,R52),0),0)</ns0:f>
        <ns0:v>0</ns0:v>
      </ns0:c>
      <ns0:c r="T52" s="0">
        <ns0:f>IFERROR(IF(ISNUMBER(Bookings!D52),IF(AND(Bookings!D52=INT(Bookings!D52),Bookings!D52&gt;=DATE(2000,1,1),Bookings!D52&lt;=DATE(2100,12,31)),Bookings!D52,0),IF(AND(K52&lt;&gt;"",LEN("x"&amp;L52)-LEN(SUBSTITUTE("x"&amp;L52,".",""))=2,OR(1&gt;LEN(L52),MID(L52,1,1)=".",ISNUMBER(FIND("x"&amp;MID(L52,1,1),"x0x1x2x3x4x5x6x7x8x9"))),OR(2&gt;LEN(L52),MID(L52,2,1)=".",ISNUMBER(FIND("x"&amp;MID(L52,2,1),"x0x1x2x3x4x5x6x7x8x9"))),OR(3&gt;LEN(L52),MID(L52,3,1)=".",ISNUMBER(FIND("x"&amp;MID(L52,3,1),"x0x1x2x3x4x5x6x7x8x9"))),OR(4&gt;LEN(L52),MID(L52,4,1)=".",ISNUMBER(FIND("x"&amp;MID(L52,4,1),"x0x1x2x3x4x5x6x7x8x9"))),OR(5&gt;LEN(L52),MID(L52,5,1)=".",ISNUMBER(FIND("x"&amp;MID(L52,5,1),"x0x1x2x3x4x5x6x7x8x9"))),OR(6&gt;LEN(L52),MID(L52,6,1)=".",ISNUMBER(FIND("x"&amp;MID(L52,6,1),"x0x1x2x3x4x5x6x7x8x9"))),OR(7&gt;LEN(L52),MID(L52,7,1)=".",ISNUMBER(FIND("x"&amp;MID(L52,7,1),"x0x1x2x3x4x5x6x7x8x9"))),OR(8&gt;LEN(L52),MID(L52,8,1)=".",ISNUMBER(FIND("x"&amp;MID(L52,8,1),"x0x1x2x3x4x5x6x7x8x9"))),OR(9&gt;LEN(L52),MID(L52,9,1)=".",ISNUMBER(FIND("x"&amp;MID(L52,9,1),"x0x1x2x3x4x5x6x7x8x9"))),OR(10&gt;LEN(L52),MID(L52,10,1)=".",ISNUMBER(FIND("x"&amp;MID(L52,10,1),"x0x1x2x3x4x5x6x7x8x9"))),OR(AND(FIND(".",L52)=5,LEN(L52)-FIND(".",L52,FIND(".",L52)+1)&gt;=1,LEN(L52)-FIND(".",L52,FIND(".",L52)+1)&lt;=2),AND(LEN(L52)-FIND(".",L52,FIND(".",L52)+1)=4,FIND(".",L52)&gt;=2,FIND(".",L52)&lt;=3)),FIND(".",L52,FIND(".",L52)+1)-FIND(".",L52)&gt;=2,FIND(".",L52,FIND(".",L52)+1)-FIND(".",L52)&lt;=3,P52&gt;=2000,P52&lt;=2100,YEAR(S52)=P52,MONTH(S52)=Q52,DAY(S52)=R52),S52,0)),0)</ns0:f>
        <ns0:v>0</ns0:v>
      </ns0:c>
      <ns0:c r="U52" s="0" t="str">
        <ns0:f>IF(Bookings!C52="","Full day",Bookings!C52)</ns0:f>
        <ns0:v>Full day</ns0:v>
      </ns0:c>
      <ns0:c r="V52" s="0" t="str">
        <ns0:f>IF(Bookings!E52="","Full day",Bookings!E52)</ns0:f>
        <ns0:v>Full day</ns0:v>
      </ns0:c>
      <ns0:c r="W52" s="0">
        <ns0:f>IF(J52=0,0,J52+IF(U52="PM",1,0))</ns0:f>
        <ns0:v>0</ns0:v>
      </ns0:c>
      <ns0:c r="X52" s="0">
        <ns0:f>IF(T52=0,0,T52-IF(V52="PM",1,0))</ns0:f>
        <ns0:v>0</ns0:v>
      </ns0:c>
      <ns0:c r="Y52" s="0">
        <ns0:f>IF(J52=0,0,J52+IF(U52="AM",1,0))</ns0:f>
        <ns0:v>0</ns0:v>
      </ns0:c>
      <ns0:c r="Z52" s="0">
        <ns0:f>IF(T52=0,0,T52-IF(V52="AM",1,0))</ns0:f>
        <ns0:v>0</ns0:v>
      </ns0:c>
      <ns0:c r="AA52" s="0">
        <ns0:f>IFERROR(IF(AND(J52&gt;0,'_Engine'!C52&gt;0,MID('_Engine'!W52,WEEKDAY(J52,2),1)="W",COUNTIF(Settings!$F$18:$F$67,J52)=0),1,0),0)</ns0:f>
        <ns0:v>0</ns0:v>
      </ns0:c>
      <ns0:c r="AB52" s="0">
        <ns0:f>IFERROR(IF(AND(T52&gt;0,'_Engine'!C52&gt;0,MID('_Engine'!W52,WEEKDAY(T52,2),1)="W",COUNTIF(Settings!$F$18:$F$67,T52)=0),1,0),0)</ns0:f>
        <ns0:v>0</ns0:v>
      </ns0:c>
      <ns0:c r="AC52" s="0">
        <ns0:f>IF(AND(J52&gt;0,T52&gt;0,W52&lt;=X52),1,0)</ns0:f>
        <ns0:v>0</ns0:v>
      </ns0:c>
      <ns0:c r="AD52" s="0">
        <ns0:f>IF(AND(J52&gt;0,T52&gt;0,Y52&lt;=Z52),1,0)</ns0:f>
        <ns0:v>0</ns0:v>
      </ns0:c>
    </ns0:row>
    <ns0:row r="53">
      <ns0:c r="A53" s="0">
        <ns0:f>IFERROR(IF(ISNUMBER(Bookings!B53),"",TRIM(Bookings!B53&amp;"")),"")</ns0:f>
      </ns0:c>
      <ns0:c r="B53" s="0">
        <ns0:f>IFERROR(SUBSTITUTE(SUBSTITUTE(A53,"/","."),"-","."),"")</ns0:f>
      </ns0:c>
      <ns0:c r="C53" s="0">
        <ns0:f>IFERROR(LEFT(B53,FIND(".",B53)-1),"")</ns0:f>
      </ns0:c>
      <ns0:c r="D53" s="0">
        <ns0:f>IFERROR(MID(B53,FIND(".",B53)+1,FIND(".",B53,FIND(".",B53)+1)-FIND(".",B53)-1),"")</ns0:f>
      </ns0:c>
      <ns0:c r="E53" s="0">
        <ns0:f>IFERROR(MID(B53,FIND(".",B53,FIND(".",B53)+1)+1,99),"")</ns0:f>
        <ns0:v>99</ns0:v>
      </ns0:c>
      <ns0:c r="F53" s="0">
        <ns0:f>IFERROR(IF(FIND(".",B53)=5,--C53,--E53),0)</ns0:f>
        <ns0:v>0</ns0:v>
      </ns0:c>
      <ns0:c r="G53" s="0">
        <ns0:f>IFERROR(--D53,0)</ns0:f>
        <ns0:v>0</ns0:v>
      </ns0:c>
      <ns0:c r="H53" s="0">
        <ns0:f>IFERROR(IF(FIND(".",B53)=5,--E53,--C53),0)</ns0:f>
        <ns0:v>0</ns0:v>
      </ns0:c>
      <ns0:c r="I53" s="0">
        <ns0:f>IFERROR(IF(AND(F53&gt;=2000,F53&lt;=2100,G53&gt;=1,G53&lt;=12,H53&gt;=1,H53&lt;=31),DATE(F53,G53,H53),0),0)</ns0:f>
        <ns0:v>0</ns0:v>
      </ns0:c>
      <ns0:c r="J53" s="0">
        <ns0:f>IFERROR(IF(ISNUMBER(Bookings!B53),IF(AND(Bookings!B53=INT(Bookings!B53),Bookings!B53&gt;=DATE(2000,1,1),Bookings!B53&lt;=DATE(2100,12,31)),Bookings!B53,0),IF(AND(A53&lt;&gt;"",LEN("x"&amp;B53)-LEN(SUBSTITUTE("x"&amp;B53,".",""))=2,OR(1&gt;LEN(B53),MID(B53,1,1)=".",ISNUMBER(FIND("x"&amp;MID(B53,1,1),"x0x1x2x3x4x5x6x7x8x9"))),OR(2&gt;LEN(B53),MID(B53,2,1)=".",ISNUMBER(FIND("x"&amp;MID(B53,2,1),"x0x1x2x3x4x5x6x7x8x9"))),OR(3&gt;LEN(B53),MID(B53,3,1)=".",ISNUMBER(FIND("x"&amp;MID(B53,3,1),"x0x1x2x3x4x5x6x7x8x9"))),OR(4&gt;LEN(B53),MID(B53,4,1)=".",ISNUMBER(FIND("x"&amp;MID(B53,4,1),"x0x1x2x3x4x5x6x7x8x9"))),OR(5&gt;LEN(B53),MID(B53,5,1)=".",ISNUMBER(FIND("x"&amp;MID(B53,5,1),"x0x1x2x3x4x5x6x7x8x9"))),OR(6&gt;LEN(B53),MID(B53,6,1)=".",ISNUMBER(FIND("x"&amp;MID(B53,6,1),"x0x1x2x3x4x5x6x7x8x9"))),OR(7&gt;LEN(B53),MID(B53,7,1)=".",ISNUMBER(FIND("x"&amp;MID(B53,7,1),"x0x1x2x3x4x5x6x7x8x9"))),OR(8&gt;LEN(B53),MID(B53,8,1)=".",ISNUMBER(FIND("x"&amp;MID(B53,8,1),"x0x1x2x3x4x5x6x7x8x9"))),OR(9&gt;LEN(B53),MID(B53,9,1)=".",ISNUMBER(FIND("x"&amp;MID(B53,9,1),"x0x1x2x3x4x5x6x7x8x9"))),OR(10&gt;LEN(B53),MID(B53,10,1)=".",ISNUMBER(FIND("x"&amp;MID(B53,10,1),"x0x1x2x3x4x5x6x7x8x9"))),OR(AND(FIND(".",B53)=5,LEN(B53)-FIND(".",B53,FIND(".",B53)+1)&gt;=1,LEN(B53)-FIND(".",B53,FIND(".",B53)+1)&lt;=2),AND(LEN(B53)-FIND(".",B53,FIND(".",B53)+1)=4,FIND(".",B53)&gt;=2,FIND(".",B53)&lt;=3)),FIND(".",B53,FIND(".",B53)+1)-FIND(".",B53)&gt;=2,FIND(".",B53,FIND(".",B53)+1)-FIND(".",B53)&lt;=3,F53&gt;=2000,F53&lt;=2100,YEAR(I53)=F53,MONTH(I53)=G53,DAY(I53)=H53),I53,0)),0)</ns0:f>
        <ns0:v>0</ns0:v>
      </ns0:c>
      <ns0:c r="K53" s="0">
        <ns0:f>IFERROR(IF(ISNUMBER(Bookings!D53),"",TRIM(Bookings!D53&amp;"")),"")</ns0:f>
      </ns0:c>
      <ns0:c r="L53" s="0">
        <ns0:f>IFERROR(SUBSTITUTE(SUBSTITUTE(K53,"/","."),"-","."),"")</ns0:f>
      </ns0:c>
      <ns0:c r="M53" s="0">
        <ns0:f>IFERROR(LEFT(L53,FIND(".",L53)-1),"")</ns0:f>
      </ns0:c>
      <ns0:c r="N53" s="0">
        <ns0:f>IFERROR(MID(L53,FIND(".",L53)+1,FIND(".",L53,FIND(".",L53)+1)-FIND(".",L53)-1),"")</ns0:f>
      </ns0:c>
      <ns0:c r="O53" s="0">
        <ns0:f>IFERROR(MID(L53,FIND(".",L53,FIND(".",L53)+1)+1,99),"")</ns0:f>
        <ns0:v>99</ns0:v>
      </ns0:c>
      <ns0:c r="P53" s="0">
        <ns0:f>IFERROR(IF(FIND(".",L53)=5,--M53,--O53),0)</ns0:f>
        <ns0:v>0</ns0:v>
      </ns0:c>
      <ns0:c r="Q53" s="0">
        <ns0:f>IFERROR(--N53,0)</ns0:f>
        <ns0:v>0</ns0:v>
      </ns0:c>
      <ns0:c r="R53" s="0">
        <ns0:f>IFERROR(IF(FIND(".",L53)=5,--O53,--M53),0)</ns0:f>
        <ns0:v>0</ns0:v>
      </ns0:c>
      <ns0:c r="S53" s="0">
        <ns0:f>IFERROR(IF(AND(P53&gt;=2000,P53&lt;=2100,Q53&gt;=1,Q53&lt;=12,R53&gt;=1,R53&lt;=31),DATE(P53,Q53,R53),0),0)</ns0:f>
        <ns0:v>0</ns0:v>
      </ns0:c>
      <ns0:c r="T53" s="0">
        <ns0:f>IFERROR(IF(ISNUMBER(Bookings!D53),IF(AND(Bookings!D53=INT(Bookings!D53),Bookings!D53&gt;=DATE(2000,1,1),Bookings!D53&lt;=DATE(2100,12,31)),Bookings!D53,0),IF(AND(K53&lt;&gt;"",LEN("x"&amp;L53)-LEN(SUBSTITUTE("x"&amp;L53,".",""))=2,OR(1&gt;LEN(L53),MID(L53,1,1)=".",ISNUMBER(FIND("x"&amp;MID(L53,1,1),"x0x1x2x3x4x5x6x7x8x9"))),OR(2&gt;LEN(L53),MID(L53,2,1)=".",ISNUMBER(FIND("x"&amp;MID(L53,2,1),"x0x1x2x3x4x5x6x7x8x9"))),OR(3&gt;LEN(L53),MID(L53,3,1)=".",ISNUMBER(FIND("x"&amp;MID(L53,3,1),"x0x1x2x3x4x5x6x7x8x9"))),OR(4&gt;LEN(L53),MID(L53,4,1)=".",ISNUMBER(FIND("x"&amp;MID(L53,4,1),"x0x1x2x3x4x5x6x7x8x9"))),OR(5&gt;LEN(L53),MID(L53,5,1)=".",ISNUMBER(FIND("x"&amp;MID(L53,5,1),"x0x1x2x3x4x5x6x7x8x9"))),OR(6&gt;LEN(L53),MID(L53,6,1)=".",ISNUMBER(FIND("x"&amp;MID(L53,6,1),"x0x1x2x3x4x5x6x7x8x9"))),OR(7&gt;LEN(L53),MID(L53,7,1)=".",ISNUMBER(FIND("x"&amp;MID(L53,7,1),"x0x1x2x3x4x5x6x7x8x9"))),OR(8&gt;LEN(L53),MID(L53,8,1)=".",ISNUMBER(FIND("x"&amp;MID(L53,8,1),"x0x1x2x3x4x5x6x7x8x9"))),OR(9&gt;LEN(L53),MID(L53,9,1)=".",ISNUMBER(FIND("x"&amp;MID(L53,9,1),"x0x1x2x3x4x5x6x7x8x9"))),OR(10&gt;LEN(L53),MID(L53,10,1)=".",ISNUMBER(FIND("x"&amp;MID(L53,10,1),"x0x1x2x3x4x5x6x7x8x9"))),OR(AND(FIND(".",L53)=5,LEN(L53)-FIND(".",L53,FIND(".",L53)+1)&gt;=1,LEN(L53)-FIND(".",L53,FIND(".",L53)+1)&lt;=2),AND(LEN(L53)-FIND(".",L53,FIND(".",L53)+1)=4,FIND(".",L53)&gt;=2,FIND(".",L53)&lt;=3)),FIND(".",L53,FIND(".",L53)+1)-FIND(".",L53)&gt;=2,FIND(".",L53,FIND(".",L53)+1)-FIND(".",L53)&lt;=3,P53&gt;=2000,P53&lt;=2100,YEAR(S53)=P53,MONTH(S53)=Q53,DAY(S53)=R53),S53,0)),0)</ns0:f>
        <ns0:v>0</ns0:v>
      </ns0:c>
      <ns0:c r="U53" s="0" t="str">
        <ns0:f>IF(Bookings!C53="","Full day",Bookings!C53)</ns0:f>
        <ns0:v>Full day</ns0:v>
      </ns0:c>
      <ns0:c r="V53" s="0" t="str">
        <ns0:f>IF(Bookings!E53="","Full day",Bookings!E53)</ns0:f>
        <ns0:v>Full day</ns0:v>
      </ns0:c>
      <ns0:c r="W53" s="0">
        <ns0:f>IF(J53=0,0,J53+IF(U53="PM",1,0))</ns0:f>
        <ns0:v>0</ns0:v>
      </ns0:c>
      <ns0:c r="X53" s="0">
        <ns0:f>IF(T53=0,0,T53-IF(V53="PM",1,0))</ns0:f>
        <ns0:v>0</ns0:v>
      </ns0:c>
      <ns0:c r="Y53" s="0">
        <ns0:f>IF(J53=0,0,J53+IF(U53="AM",1,0))</ns0:f>
        <ns0:v>0</ns0:v>
      </ns0:c>
      <ns0:c r="Z53" s="0">
        <ns0:f>IF(T53=0,0,T53-IF(V53="AM",1,0))</ns0:f>
        <ns0:v>0</ns0:v>
      </ns0:c>
      <ns0:c r="AA53" s="0">
        <ns0:f>IFERROR(IF(AND(J53&gt;0,'_Engine'!C53&gt;0,MID('_Engine'!W53,WEEKDAY(J53,2),1)="W",COUNTIF(Settings!$F$18:$F$67,J53)=0),1,0),0)</ns0:f>
        <ns0:v>0</ns0:v>
      </ns0:c>
      <ns0:c r="AB53" s="0">
        <ns0:f>IFERROR(IF(AND(T53&gt;0,'_Engine'!C53&gt;0,MID('_Engine'!W53,WEEKDAY(T53,2),1)="W",COUNTIF(Settings!$F$18:$F$67,T53)=0),1,0),0)</ns0:f>
        <ns0:v>0</ns0:v>
      </ns0:c>
      <ns0:c r="AC53" s="0">
        <ns0:f>IF(AND(J53&gt;0,T53&gt;0,W53&lt;=X53),1,0)</ns0:f>
        <ns0:v>0</ns0:v>
      </ns0:c>
      <ns0:c r="AD53" s="0">
        <ns0:f>IF(AND(J53&gt;0,T53&gt;0,Y53&lt;=Z53),1,0)</ns0:f>
        <ns0:v>0</ns0:v>
      </ns0:c>
    </ns0:row>
    <ns0:row r="54">
      <ns0:c r="A54" s="0">
        <ns0:f>IFERROR(IF(ISNUMBER(Bookings!B54),"",TRIM(Bookings!B54&amp;"")),"")</ns0:f>
      </ns0:c>
      <ns0:c r="B54" s="0">
        <ns0:f>IFERROR(SUBSTITUTE(SUBSTITUTE(A54,"/","."),"-","."),"")</ns0:f>
      </ns0:c>
      <ns0:c r="C54" s="0">
        <ns0:f>IFERROR(LEFT(B54,FIND(".",B54)-1),"")</ns0:f>
      </ns0:c>
      <ns0:c r="D54" s="0">
        <ns0:f>IFERROR(MID(B54,FIND(".",B54)+1,FIND(".",B54,FIND(".",B54)+1)-FIND(".",B54)-1),"")</ns0:f>
      </ns0:c>
      <ns0:c r="E54" s="0">
        <ns0:f>IFERROR(MID(B54,FIND(".",B54,FIND(".",B54)+1)+1,99),"")</ns0:f>
        <ns0:v>99</ns0:v>
      </ns0:c>
      <ns0:c r="F54" s="0">
        <ns0:f>IFERROR(IF(FIND(".",B54)=5,--C54,--E54),0)</ns0:f>
        <ns0:v>0</ns0:v>
      </ns0:c>
      <ns0:c r="G54" s="0">
        <ns0:f>IFERROR(--D54,0)</ns0:f>
        <ns0:v>0</ns0:v>
      </ns0:c>
      <ns0:c r="H54" s="0">
        <ns0:f>IFERROR(IF(FIND(".",B54)=5,--E54,--C54),0)</ns0:f>
        <ns0:v>0</ns0:v>
      </ns0:c>
      <ns0:c r="I54" s="0">
        <ns0:f>IFERROR(IF(AND(F54&gt;=2000,F54&lt;=2100,G54&gt;=1,G54&lt;=12,H54&gt;=1,H54&lt;=31),DATE(F54,G54,H54),0),0)</ns0:f>
        <ns0:v>0</ns0:v>
      </ns0:c>
      <ns0:c r="J54" s="0">
        <ns0:f>IFERROR(IF(ISNUMBER(Bookings!B54),IF(AND(Bookings!B54=INT(Bookings!B54),Bookings!B54&gt;=DATE(2000,1,1),Bookings!B54&lt;=DATE(2100,12,31)),Bookings!B54,0),IF(AND(A54&lt;&gt;"",LEN("x"&amp;B54)-LEN(SUBSTITUTE("x"&amp;B54,".",""))=2,OR(1&gt;LEN(B54),MID(B54,1,1)=".",ISNUMBER(FIND("x"&amp;MID(B54,1,1),"x0x1x2x3x4x5x6x7x8x9"))),OR(2&gt;LEN(B54),MID(B54,2,1)=".",ISNUMBER(FIND("x"&amp;MID(B54,2,1),"x0x1x2x3x4x5x6x7x8x9"))),OR(3&gt;LEN(B54),MID(B54,3,1)=".",ISNUMBER(FIND("x"&amp;MID(B54,3,1),"x0x1x2x3x4x5x6x7x8x9"))),OR(4&gt;LEN(B54),MID(B54,4,1)=".",ISNUMBER(FIND("x"&amp;MID(B54,4,1),"x0x1x2x3x4x5x6x7x8x9"))),OR(5&gt;LEN(B54),MID(B54,5,1)=".",ISNUMBER(FIND("x"&amp;MID(B54,5,1),"x0x1x2x3x4x5x6x7x8x9"))),OR(6&gt;LEN(B54),MID(B54,6,1)=".",ISNUMBER(FIND("x"&amp;MID(B54,6,1),"x0x1x2x3x4x5x6x7x8x9"))),OR(7&gt;LEN(B54),MID(B54,7,1)=".",ISNUMBER(FIND("x"&amp;MID(B54,7,1),"x0x1x2x3x4x5x6x7x8x9"))),OR(8&gt;LEN(B54),MID(B54,8,1)=".",ISNUMBER(FIND("x"&amp;MID(B54,8,1),"x0x1x2x3x4x5x6x7x8x9"))),OR(9&gt;LEN(B54),MID(B54,9,1)=".",ISNUMBER(FIND("x"&amp;MID(B54,9,1),"x0x1x2x3x4x5x6x7x8x9"))),OR(10&gt;LEN(B54),MID(B54,10,1)=".",ISNUMBER(FIND("x"&amp;MID(B54,10,1),"x0x1x2x3x4x5x6x7x8x9"))),OR(AND(FIND(".",B54)=5,LEN(B54)-FIND(".",B54,FIND(".",B54)+1)&gt;=1,LEN(B54)-FIND(".",B54,FIND(".",B54)+1)&lt;=2),AND(LEN(B54)-FIND(".",B54,FIND(".",B54)+1)=4,FIND(".",B54)&gt;=2,FIND(".",B54)&lt;=3)),FIND(".",B54,FIND(".",B54)+1)-FIND(".",B54)&gt;=2,FIND(".",B54,FIND(".",B54)+1)-FIND(".",B54)&lt;=3,F54&gt;=2000,F54&lt;=2100,YEAR(I54)=F54,MONTH(I54)=G54,DAY(I54)=H54),I54,0)),0)</ns0:f>
        <ns0:v>0</ns0:v>
      </ns0:c>
      <ns0:c r="K54" s="0">
        <ns0:f>IFERROR(IF(ISNUMBER(Bookings!D54),"",TRIM(Bookings!D54&amp;"")),"")</ns0:f>
      </ns0:c>
      <ns0:c r="L54" s="0">
        <ns0:f>IFERROR(SUBSTITUTE(SUBSTITUTE(K54,"/","."),"-","."),"")</ns0:f>
      </ns0:c>
      <ns0:c r="M54" s="0">
        <ns0:f>IFERROR(LEFT(L54,FIND(".",L54)-1),"")</ns0:f>
      </ns0:c>
      <ns0:c r="N54" s="0">
        <ns0:f>IFERROR(MID(L54,FIND(".",L54)+1,FIND(".",L54,FIND(".",L54)+1)-FIND(".",L54)-1),"")</ns0:f>
      </ns0:c>
      <ns0:c r="O54" s="0">
        <ns0:f>IFERROR(MID(L54,FIND(".",L54,FIND(".",L54)+1)+1,99),"")</ns0:f>
        <ns0:v>99</ns0:v>
      </ns0:c>
      <ns0:c r="P54" s="0">
        <ns0:f>IFERROR(IF(FIND(".",L54)=5,--M54,--O54),0)</ns0:f>
        <ns0:v>0</ns0:v>
      </ns0:c>
      <ns0:c r="Q54" s="0">
        <ns0:f>IFERROR(--N54,0)</ns0:f>
        <ns0:v>0</ns0:v>
      </ns0:c>
      <ns0:c r="R54" s="0">
        <ns0:f>IFERROR(IF(FIND(".",L54)=5,--O54,--M54),0)</ns0:f>
        <ns0:v>0</ns0:v>
      </ns0:c>
      <ns0:c r="S54" s="0">
        <ns0:f>IFERROR(IF(AND(P54&gt;=2000,P54&lt;=2100,Q54&gt;=1,Q54&lt;=12,R54&gt;=1,R54&lt;=31),DATE(P54,Q54,R54),0),0)</ns0:f>
        <ns0:v>0</ns0:v>
      </ns0:c>
      <ns0:c r="T54" s="0">
        <ns0:f>IFERROR(IF(ISNUMBER(Bookings!D54),IF(AND(Bookings!D54=INT(Bookings!D54),Bookings!D54&gt;=DATE(2000,1,1),Bookings!D54&lt;=DATE(2100,12,31)),Bookings!D54,0),IF(AND(K54&lt;&gt;"",LEN("x"&amp;L54)-LEN(SUBSTITUTE("x"&amp;L54,".",""))=2,OR(1&gt;LEN(L54),MID(L54,1,1)=".",ISNUMBER(FIND("x"&amp;MID(L54,1,1),"x0x1x2x3x4x5x6x7x8x9"))),OR(2&gt;LEN(L54),MID(L54,2,1)=".",ISNUMBER(FIND("x"&amp;MID(L54,2,1),"x0x1x2x3x4x5x6x7x8x9"))),OR(3&gt;LEN(L54),MID(L54,3,1)=".",ISNUMBER(FIND("x"&amp;MID(L54,3,1),"x0x1x2x3x4x5x6x7x8x9"))),OR(4&gt;LEN(L54),MID(L54,4,1)=".",ISNUMBER(FIND("x"&amp;MID(L54,4,1),"x0x1x2x3x4x5x6x7x8x9"))),OR(5&gt;LEN(L54),MID(L54,5,1)=".",ISNUMBER(FIND("x"&amp;MID(L54,5,1),"x0x1x2x3x4x5x6x7x8x9"))),OR(6&gt;LEN(L54),MID(L54,6,1)=".",ISNUMBER(FIND("x"&amp;MID(L54,6,1),"x0x1x2x3x4x5x6x7x8x9"))),OR(7&gt;LEN(L54),MID(L54,7,1)=".",ISNUMBER(FIND("x"&amp;MID(L54,7,1),"x0x1x2x3x4x5x6x7x8x9"))),OR(8&gt;LEN(L54),MID(L54,8,1)=".",ISNUMBER(FIND("x"&amp;MID(L54,8,1),"x0x1x2x3x4x5x6x7x8x9"))),OR(9&gt;LEN(L54),MID(L54,9,1)=".",ISNUMBER(FIND("x"&amp;MID(L54,9,1),"x0x1x2x3x4x5x6x7x8x9"))),OR(10&gt;LEN(L54),MID(L54,10,1)=".",ISNUMBER(FIND("x"&amp;MID(L54,10,1),"x0x1x2x3x4x5x6x7x8x9"))),OR(AND(FIND(".",L54)=5,LEN(L54)-FIND(".",L54,FIND(".",L54)+1)&gt;=1,LEN(L54)-FIND(".",L54,FIND(".",L54)+1)&lt;=2),AND(LEN(L54)-FIND(".",L54,FIND(".",L54)+1)=4,FIND(".",L54)&gt;=2,FIND(".",L54)&lt;=3)),FIND(".",L54,FIND(".",L54)+1)-FIND(".",L54)&gt;=2,FIND(".",L54,FIND(".",L54)+1)-FIND(".",L54)&lt;=3,P54&gt;=2000,P54&lt;=2100,YEAR(S54)=P54,MONTH(S54)=Q54,DAY(S54)=R54),S54,0)),0)</ns0:f>
        <ns0:v>0</ns0:v>
      </ns0:c>
      <ns0:c r="U54" s="0" t="str">
        <ns0:f>IF(Bookings!C54="","Full day",Bookings!C54)</ns0:f>
        <ns0:v>Full day</ns0:v>
      </ns0:c>
      <ns0:c r="V54" s="0" t="str">
        <ns0:f>IF(Bookings!E54="","Full day",Bookings!E54)</ns0:f>
        <ns0:v>Full day</ns0:v>
      </ns0:c>
      <ns0:c r="W54" s="0">
        <ns0:f>IF(J54=0,0,J54+IF(U54="PM",1,0))</ns0:f>
        <ns0:v>0</ns0:v>
      </ns0:c>
      <ns0:c r="X54" s="0">
        <ns0:f>IF(T54=0,0,T54-IF(V54="PM",1,0))</ns0:f>
        <ns0:v>0</ns0:v>
      </ns0:c>
      <ns0:c r="Y54" s="0">
        <ns0:f>IF(J54=0,0,J54+IF(U54="AM",1,0))</ns0:f>
        <ns0:v>0</ns0:v>
      </ns0:c>
      <ns0:c r="Z54" s="0">
        <ns0:f>IF(T54=0,0,T54-IF(V54="AM",1,0))</ns0:f>
        <ns0:v>0</ns0:v>
      </ns0:c>
      <ns0:c r="AA54" s="0">
        <ns0:f>IFERROR(IF(AND(J54&gt;0,'_Engine'!C54&gt;0,MID('_Engine'!W54,WEEKDAY(J54,2),1)="W",COUNTIF(Settings!$F$18:$F$67,J54)=0),1,0),0)</ns0:f>
        <ns0:v>0</ns0:v>
      </ns0:c>
      <ns0:c r="AB54" s="0">
        <ns0:f>IFERROR(IF(AND(T54&gt;0,'_Engine'!C54&gt;0,MID('_Engine'!W54,WEEKDAY(T54,2),1)="W",COUNTIF(Settings!$F$18:$F$67,T54)=0),1,0),0)</ns0:f>
        <ns0:v>0</ns0:v>
      </ns0:c>
      <ns0:c r="AC54" s="0">
        <ns0:f>IF(AND(J54&gt;0,T54&gt;0,W54&lt;=X54),1,0)</ns0:f>
        <ns0:v>0</ns0:v>
      </ns0:c>
      <ns0:c r="AD54" s="0">
        <ns0:f>IF(AND(J54&gt;0,T54&gt;0,Y54&lt;=Z54),1,0)</ns0:f>
        <ns0:v>0</ns0:v>
      </ns0:c>
    </ns0:row>
    <ns0:row r="55">
      <ns0:c r="A55" s="0">
        <ns0:f>IFERROR(IF(ISNUMBER(Bookings!B55),"",TRIM(Bookings!B55&amp;"")),"")</ns0:f>
      </ns0:c>
      <ns0:c r="B55" s="0">
        <ns0:f>IFERROR(SUBSTITUTE(SUBSTITUTE(A55,"/","."),"-","."),"")</ns0:f>
      </ns0:c>
      <ns0:c r="C55" s="0">
        <ns0:f>IFERROR(LEFT(B55,FIND(".",B55)-1),"")</ns0:f>
      </ns0:c>
      <ns0:c r="D55" s="0">
        <ns0:f>IFERROR(MID(B55,FIND(".",B55)+1,FIND(".",B55,FIND(".",B55)+1)-FIND(".",B55)-1),"")</ns0:f>
      </ns0:c>
      <ns0:c r="E55" s="0">
        <ns0:f>IFERROR(MID(B55,FIND(".",B55,FIND(".",B55)+1)+1,99),"")</ns0:f>
        <ns0:v>99</ns0:v>
      </ns0:c>
      <ns0:c r="F55" s="0">
        <ns0:f>IFERROR(IF(FIND(".",B55)=5,--C55,--E55),0)</ns0:f>
        <ns0:v>0</ns0:v>
      </ns0:c>
      <ns0:c r="G55" s="0">
        <ns0:f>IFERROR(--D55,0)</ns0:f>
        <ns0:v>0</ns0:v>
      </ns0:c>
      <ns0:c r="H55" s="0">
        <ns0:f>IFERROR(IF(FIND(".",B55)=5,--E55,--C55),0)</ns0:f>
        <ns0:v>0</ns0:v>
      </ns0:c>
      <ns0:c r="I55" s="0">
        <ns0:f>IFERROR(IF(AND(F55&gt;=2000,F55&lt;=2100,G55&gt;=1,G55&lt;=12,H55&gt;=1,H55&lt;=31),DATE(F55,G55,H55),0),0)</ns0:f>
        <ns0:v>0</ns0:v>
      </ns0:c>
      <ns0:c r="J55" s="0">
        <ns0:f>IFERROR(IF(ISNUMBER(Bookings!B55),IF(AND(Bookings!B55=INT(Bookings!B55),Bookings!B55&gt;=DATE(2000,1,1),Bookings!B55&lt;=DATE(2100,12,31)),Bookings!B55,0),IF(AND(A55&lt;&gt;"",LEN("x"&amp;B55)-LEN(SUBSTITUTE("x"&amp;B55,".",""))=2,OR(1&gt;LEN(B55),MID(B55,1,1)=".",ISNUMBER(FIND("x"&amp;MID(B55,1,1),"x0x1x2x3x4x5x6x7x8x9"))),OR(2&gt;LEN(B55),MID(B55,2,1)=".",ISNUMBER(FIND("x"&amp;MID(B55,2,1),"x0x1x2x3x4x5x6x7x8x9"))),OR(3&gt;LEN(B55),MID(B55,3,1)=".",ISNUMBER(FIND("x"&amp;MID(B55,3,1),"x0x1x2x3x4x5x6x7x8x9"))),OR(4&gt;LEN(B55),MID(B55,4,1)=".",ISNUMBER(FIND("x"&amp;MID(B55,4,1),"x0x1x2x3x4x5x6x7x8x9"))),OR(5&gt;LEN(B55),MID(B55,5,1)=".",ISNUMBER(FIND("x"&amp;MID(B55,5,1),"x0x1x2x3x4x5x6x7x8x9"))),OR(6&gt;LEN(B55),MID(B55,6,1)=".",ISNUMBER(FIND("x"&amp;MID(B55,6,1),"x0x1x2x3x4x5x6x7x8x9"))),OR(7&gt;LEN(B55),MID(B55,7,1)=".",ISNUMBER(FIND("x"&amp;MID(B55,7,1),"x0x1x2x3x4x5x6x7x8x9"))),OR(8&gt;LEN(B55),MID(B55,8,1)=".",ISNUMBER(FIND("x"&amp;MID(B55,8,1),"x0x1x2x3x4x5x6x7x8x9"))),OR(9&gt;LEN(B55),MID(B55,9,1)=".",ISNUMBER(FIND("x"&amp;MID(B55,9,1),"x0x1x2x3x4x5x6x7x8x9"))),OR(10&gt;LEN(B55),MID(B55,10,1)=".",ISNUMBER(FIND("x"&amp;MID(B55,10,1),"x0x1x2x3x4x5x6x7x8x9"))),OR(AND(FIND(".",B55)=5,LEN(B55)-FIND(".",B55,FIND(".",B55)+1)&gt;=1,LEN(B55)-FIND(".",B55,FIND(".",B55)+1)&lt;=2),AND(LEN(B55)-FIND(".",B55,FIND(".",B55)+1)=4,FIND(".",B55)&gt;=2,FIND(".",B55)&lt;=3)),FIND(".",B55,FIND(".",B55)+1)-FIND(".",B55)&gt;=2,FIND(".",B55,FIND(".",B55)+1)-FIND(".",B55)&lt;=3,F55&gt;=2000,F55&lt;=2100,YEAR(I55)=F55,MONTH(I55)=G55,DAY(I55)=H55),I55,0)),0)</ns0:f>
        <ns0:v>0</ns0:v>
      </ns0:c>
      <ns0:c r="K55" s="0">
        <ns0:f>IFERROR(IF(ISNUMBER(Bookings!D55),"",TRIM(Bookings!D55&amp;"")),"")</ns0:f>
      </ns0:c>
      <ns0:c r="L55" s="0">
        <ns0:f>IFERROR(SUBSTITUTE(SUBSTITUTE(K55,"/","."),"-","."),"")</ns0:f>
      </ns0:c>
      <ns0:c r="M55" s="0">
        <ns0:f>IFERROR(LEFT(L55,FIND(".",L55)-1),"")</ns0:f>
      </ns0:c>
      <ns0:c r="N55" s="0">
        <ns0:f>IFERROR(MID(L55,FIND(".",L55)+1,FIND(".",L55,FIND(".",L55)+1)-FIND(".",L55)-1),"")</ns0:f>
      </ns0:c>
      <ns0:c r="O55" s="0">
        <ns0:f>IFERROR(MID(L55,FIND(".",L55,FIND(".",L55)+1)+1,99),"")</ns0:f>
        <ns0:v>99</ns0:v>
      </ns0:c>
      <ns0:c r="P55" s="0">
        <ns0:f>IFERROR(IF(FIND(".",L55)=5,--M55,--O55),0)</ns0:f>
        <ns0:v>0</ns0:v>
      </ns0:c>
      <ns0:c r="Q55" s="0">
        <ns0:f>IFERROR(--N55,0)</ns0:f>
        <ns0:v>0</ns0:v>
      </ns0:c>
      <ns0:c r="R55" s="0">
        <ns0:f>IFERROR(IF(FIND(".",L55)=5,--O55,--M55),0)</ns0:f>
        <ns0:v>0</ns0:v>
      </ns0:c>
      <ns0:c r="S55" s="0">
        <ns0:f>IFERROR(IF(AND(P55&gt;=2000,P55&lt;=2100,Q55&gt;=1,Q55&lt;=12,R55&gt;=1,R55&lt;=31),DATE(P55,Q55,R55),0),0)</ns0:f>
        <ns0:v>0</ns0:v>
      </ns0:c>
      <ns0:c r="T55" s="0">
        <ns0:f>IFERROR(IF(ISNUMBER(Bookings!D55),IF(AND(Bookings!D55=INT(Bookings!D55),Bookings!D55&gt;=DATE(2000,1,1),Bookings!D55&lt;=DATE(2100,12,31)),Bookings!D55,0),IF(AND(K55&lt;&gt;"",LEN("x"&amp;L55)-LEN(SUBSTITUTE("x"&amp;L55,".",""))=2,OR(1&gt;LEN(L55),MID(L55,1,1)=".",ISNUMBER(FIND("x"&amp;MID(L55,1,1),"x0x1x2x3x4x5x6x7x8x9"))),OR(2&gt;LEN(L55),MID(L55,2,1)=".",ISNUMBER(FIND("x"&amp;MID(L55,2,1),"x0x1x2x3x4x5x6x7x8x9"))),OR(3&gt;LEN(L55),MID(L55,3,1)=".",ISNUMBER(FIND("x"&amp;MID(L55,3,1),"x0x1x2x3x4x5x6x7x8x9"))),OR(4&gt;LEN(L55),MID(L55,4,1)=".",ISNUMBER(FIND("x"&amp;MID(L55,4,1),"x0x1x2x3x4x5x6x7x8x9"))),OR(5&gt;LEN(L55),MID(L55,5,1)=".",ISNUMBER(FIND("x"&amp;MID(L55,5,1),"x0x1x2x3x4x5x6x7x8x9"))),OR(6&gt;LEN(L55),MID(L55,6,1)=".",ISNUMBER(FIND("x"&amp;MID(L55,6,1),"x0x1x2x3x4x5x6x7x8x9"))),OR(7&gt;LEN(L55),MID(L55,7,1)=".",ISNUMBER(FIND("x"&amp;MID(L55,7,1),"x0x1x2x3x4x5x6x7x8x9"))),OR(8&gt;LEN(L55),MID(L55,8,1)=".",ISNUMBER(FIND("x"&amp;MID(L55,8,1),"x0x1x2x3x4x5x6x7x8x9"))),OR(9&gt;LEN(L55),MID(L55,9,1)=".",ISNUMBER(FIND("x"&amp;MID(L55,9,1),"x0x1x2x3x4x5x6x7x8x9"))),OR(10&gt;LEN(L55),MID(L55,10,1)=".",ISNUMBER(FIND("x"&amp;MID(L55,10,1),"x0x1x2x3x4x5x6x7x8x9"))),OR(AND(FIND(".",L55)=5,LEN(L55)-FIND(".",L55,FIND(".",L55)+1)&gt;=1,LEN(L55)-FIND(".",L55,FIND(".",L55)+1)&lt;=2),AND(LEN(L55)-FIND(".",L55,FIND(".",L55)+1)=4,FIND(".",L55)&gt;=2,FIND(".",L55)&lt;=3)),FIND(".",L55,FIND(".",L55)+1)-FIND(".",L55)&gt;=2,FIND(".",L55,FIND(".",L55)+1)-FIND(".",L55)&lt;=3,P55&gt;=2000,P55&lt;=2100,YEAR(S55)=P55,MONTH(S55)=Q55,DAY(S55)=R55),S55,0)),0)</ns0:f>
        <ns0:v>0</ns0:v>
      </ns0:c>
      <ns0:c r="U55" s="0" t="str">
        <ns0:f>IF(Bookings!C55="","Full day",Bookings!C55)</ns0:f>
        <ns0:v>Full day</ns0:v>
      </ns0:c>
      <ns0:c r="V55" s="0" t="str">
        <ns0:f>IF(Bookings!E55="","Full day",Bookings!E55)</ns0:f>
        <ns0:v>Full day</ns0:v>
      </ns0:c>
      <ns0:c r="W55" s="0">
        <ns0:f>IF(J55=0,0,J55+IF(U55="PM",1,0))</ns0:f>
        <ns0:v>0</ns0:v>
      </ns0:c>
      <ns0:c r="X55" s="0">
        <ns0:f>IF(T55=0,0,T55-IF(V55="PM",1,0))</ns0:f>
        <ns0:v>0</ns0:v>
      </ns0:c>
      <ns0:c r="Y55" s="0">
        <ns0:f>IF(J55=0,0,J55+IF(U55="AM",1,0))</ns0:f>
        <ns0:v>0</ns0:v>
      </ns0:c>
      <ns0:c r="Z55" s="0">
        <ns0:f>IF(T55=0,0,T55-IF(V55="AM",1,0))</ns0:f>
        <ns0:v>0</ns0:v>
      </ns0:c>
      <ns0:c r="AA55" s="0">
        <ns0:f>IFERROR(IF(AND(J55&gt;0,'_Engine'!C55&gt;0,MID('_Engine'!W55,WEEKDAY(J55,2),1)="W",COUNTIF(Settings!$F$18:$F$67,J55)=0),1,0),0)</ns0:f>
        <ns0:v>0</ns0:v>
      </ns0:c>
      <ns0:c r="AB55" s="0">
        <ns0:f>IFERROR(IF(AND(T55&gt;0,'_Engine'!C55&gt;0,MID('_Engine'!W55,WEEKDAY(T55,2),1)="W",COUNTIF(Settings!$F$18:$F$67,T55)=0),1,0),0)</ns0:f>
        <ns0:v>0</ns0:v>
      </ns0:c>
      <ns0:c r="AC55" s="0">
        <ns0:f>IF(AND(J55&gt;0,T55&gt;0,W55&lt;=X55),1,0)</ns0:f>
        <ns0:v>0</ns0:v>
      </ns0:c>
      <ns0:c r="AD55" s="0">
        <ns0:f>IF(AND(J55&gt;0,T55&gt;0,Y55&lt;=Z55),1,0)</ns0:f>
        <ns0:v>0</ns0:v>
      </ns0:c>
    </ns0:row>
    <ns0:row r="56">
      <ns0:c r="A56" s="0">
        <ns0:f>IFERROR(IF(ISNUMBER(Bookings!B56),"",TRIM(Bookings!B56&amp;"")),"")</ns0:f>
      </ns0:c>
      <ns0:c r="B56" s="0">
        <ns0:f>IFERROR(SUBSTITUTE(SUBSTITUTE(A56,"/","."),"-","."),"")</ns0:f>
      </ns0:c>
      <ns0:c r="C56" s="0">
        <ns0:f>IFERROR(LEFT(B56,FIND(".",B56)-1),"")</ns0:f>
      </ns0:c>
      <ns0:c r="D56" s="0">
        <ns0:f>IFERROR(MID(B56,FIND(".",B56)+1,FIND(".",B56,FIND(".",B56)+1)-FIND(".",B56)-1),"")</ns0:f>
      </ns0:c>
      <ns0:c r="E56" s="0">
        <ns0:f>IFERROR(MID(B56,FIND(".",B56,FIND(".",B56)+1)+1,99),"")</ns0:f>
        <ns0:v>99</ns0:v>
      </ns0:c>
      <ns0:c r="F56" s="0">
        <ns0:f>IFERROR(IF(FIND(".",B56)=5,--C56,--E56),0)</ns0:f>
        <ns0:v>0</ns0:v>
      </ns0:c>
      <ns0:c r="G56" s="0">
        <ns0:f>IFERROR(--D56,0)</ns0:f>
        <ns0:v>0</ns0:v>
      </ns0:c>
      <ns0:c r="H56" s="0">
        <ns0:f>IFERROR(IF(FIND(".",B56)=5,--E56,--C56),0)</ns0:f>
        <ns0:v>0</ns0:v>
      </ns0:c>
      <ns0:c r="I56" s="0">
        <ns0:f>IFERROR(IF(AND(F56&gt;=2000,F56&lt;=2100,G56&gt;=1,G56&lt;=12,H56&gt;=1,H56&lt;=31),DATE(F56,G56,H56),0),0)</ns0:f>
        <ns0:v>0</ns0:v>
      </ns0:c>
      <ns0:c r="J56" s="0">
        <ns0:f>IFERROR(IF(ISNUMBER(Bookings!B56),IF(AND(Bookings!B56=INT(Bookings!B56),Bookings!B56&gt;=DATE(2000,1,1),Bookings!B56&lt;=DATE(2100,12,31)),Bookings!B56,0),IF(AND(A56&lt;&gt;"",LEN("x"&amp;B56)-LEN(SUBSTITUTE("x"&amp;B56,".",""))=2,OR(1&gt;LEN(B56),MID(B56,1,1)=".",ISNUMBER(FIND("x"&amp;MID(B56,1,1),"x0x1x2x3x4x5x6x7x8x9"))),OR(2&gt;LEN(B56),MID(B56,2,1)=".",ISNUMBER(FIND("x"&amp;MID(B56,2,1),"x0x1x2x3x4x5x6x7x8x9"))),OR(3&gt;LEN(B56),MID(B56,3,1)=".",ISNUMBER(FIND("x"&amp;MID(B56,3,1),"x0x1x2x3x4x5x6x7x8x9"))),OR(4&gt;LEN(B56),MID(B56,4,1)=".",ISNUMBER(FIND("x"&amp;MID(B56,4,1),"x0x1x2x3x4x5x6x7x8x9"))),OR(5&gt;LEN(B56),MID(B56,5,1)=".",ISNUMBER(FIND("x"&amp;MID(B56,5,1),"x0x1x2x3x4x5x6x7x8x9"))),OR(6&gt;LEN(B56),MID(B56,6,1)=".",ISNUMBER(FIND("x"&amp;MID(B56,6,1),"x0x1x2x3x4x5x6x7x8x9"))),OR(7&gt;LEN(B56),MID(B56,7,1)=".",ISNUMBER(FIND("x"&amp;MID(B56,7,1),"x0x1x2x3x4x5x6x7x8x9"))),OR(8&gt;LEN(B56),MID(B56,8,1)=".",ISNUMBER(FIND("x"&amp;MID(B56,8,1),"x0x1x2x3x4x5x6x7x8x9"))),OR(9&gt;LEN(B56),MID(B56,9,1)=".",ISNUMBER(FIND("x"&amp;MID(B56,9,1),"x0x1x2x3x4x5x6x7x8x9"))),OR(10&gt;LEN(B56),MID(B56,10,1)=".",ISNUMBER(FIND("x"&amp;MID(B56,10,1),"x0x1x2x3x4x5x6x7x8x9"))),OR(AND(FIND(".",B56)=5,LEN(B56)-FIND(".",B56,FIND(".",B56)+1)&gt;=1,LEN(B56)-FIND(".",B56,FIND(".",B56)+1)&lt;=2),AND(LEN(B56)-FIND(".",B56,FIND(".",B56)+1)=4,FIND(".",B56)&gt;=2,FIND(".",B56)&lt;=3)),FIND(".",B56,FIND(".",B56)+1)-FIND(".",B56)&gt;=2,FIND(".",B56,FIND(".",B56)+1)-FIND(".",B56)&lt;=3,F56&gt;=2000,F56&lt;=2100,YEAR(I56)=F56,MONTH(I56)=G56,DAY(I56)=H56),I56,0)),0)</ns0:f>
        <ns0:v>0</ns0:v>
      </ns0:c>
      <ns0:c r="K56" s="0">
        <ns0:f>IFERROR(IF(ISNUMBER(Bookings!D56),"",TRIM(Bookings!D56&amp;"")),"")</ns0:f>
      </ns0:c>
      <ns0:c r="L56" s="0">
        <ns0:f>IFERROR(SUBSTITUTE(SUBSTITUTE(K56,"/","."),"-","."),"")</ns0:f>
      </ns0:c>
      <ns0:c r="M56" s="0">
        <ns0:f>IFERROR(LEFT(L56,FIND(".",L56)-1),"")</ns0:f>
      </ns0:c>
      <ns0:c r="N56" s="0">
        <ns0:f>IFERROR(MID(L56,FIND(".",L56)+1,FIND(".",L56,FIND(".",L56)+1)-FIND(".",L56)-1),"")</ns0:f>
      </ns0:c>
      <ns0:c r="O56" s="0">
        <ns0:f>IFERROR(MID(L56,FIND(".",L56,FIND(".",L56)+1)+1,99),"")</ns0:f>
        <ns0:v>99</ns0:v>
      </ns0:c>
      <ns0:c r="P56" s="0">
        <ns0:f>IFERROR(IF(FIND(".",L56)=5,--M56,--O56),0)</ns0:f>
        <ns0:v>0</ns0:v>
      </ns0:c>
      <ns0:c r="Q56" s="0">
        <ns0:f>IFERROR(--N56,0)</ns0:f>
        <ns0:v>0</ns0:v>
      </ns0:c>
      <ns0:c r="R56" s="0">
        <ns0:f>IFERROR(IF(FIND(".",L56)=5,--O56,--M56),0)</ns0:f>
        <ns0:v>0</ns0:v>
      </ns0:c>
      <ns0:c r="S56" s="0">
        <ns0:f>IFERROR(IF(AND(P56&gt;=2000,P56&lt;=2100,Q56&gt;=1,Q56&lt;=12,R56&gt;=1,R56&lt;=31),DATE(P56,Q56,R56),0),0)</ns0:f>
        <ns0:v>0</ns0:v>
      </ns0:c>
      <ns0:c r="T56" s="0">
        <ns0:f>IFERROR(IF(ISNUMBER(Bookings!D56),IF(AND(Bookings!D56=INT(Bookings!D56),Bookings!D56&gt;=DATE(2000,1,1),Bookings!D56&lt;=DATE(2100,12,31)),Bookings!D56,0),IF(AND(K56&lt;&gt;"",LEN("x"&amp;L56)-LEN(SUBSTITUTE("x"&amp;L56,".",""))=2,OR(1&gt;LEN(L56),MID(L56,1,1)=".",ISNUMBER(FIND("x"&amp;MID(L56,1,1),"x0x1x2x3x4x5x6x7x8x9"))),OR(2&gt;LEN(L56),MID(L56,2,1)=".",ISNUMBER(FIND("x"&amp;MID(L56,2,1),"x0x1x2x3x4x5x6x7x8x9"))),OR(3&gt;LEN(L56),MID(L56,3,1)=".",ISNUMBER(FIND("x"&amp;MID(L56,3,1),"x0x1x2x3x4x5x6x7x8x9"))),OR(4&gt;LEN(L56),MID(L56,4,1)=".",ISNUMBER(FIND("x"&amp;MID(L56,4,1),"x0x1x2x3x4x5x6x7x8x9"))),OR(5&gt;LEN(L56),MID(L56,5,1)=".",ISNUMBER(FIND("x"&amp;MID(L56,5,1),"x0x1x2x3x4x5x6x7x8x9"))),OR(6&gt;LEN(L56),MID(L56,6,1)=".",ISNUMBER(FIND("x"&amp;MID(L56,6,1),"x0x1x2x3x4x5x6x7x8x9"))),OR(7&gt;LEN(L56),MID(L56,7,1)=".",ISNUMBER(FIND("x"&amp;MID(L56,7,1),"x0x1x2x3x4x5x6x7x8x9"))),OR(8&gt;LEN(L56),MID(L56,8,1)=".",ISNUMBER(FIND("x"&amp;MID(L56,8,1),"x0x1x2x3x4x5x6x7x8x9"))),OR(9&gt;LEN(L56),MID(L56,9,1)=".",ISNUMBER(FIND("x"&amp;MID(L56,9,1),"x0x1x2x3x4x5x6x7x8x9"))),OR(10&gt;LEN(L56),MID(L56,10,1)=".",ISNUMBER(FIND("x"&amp;MID(L56,10,1),"x0x1x2x3x4x5x6x7x8x9"))),OR(AND(FIND(".",L56)=5,LEN(L56)-FIND(".",L56,FIND(".",L56)+1)&gt;=1,LEN(L56)-FIND(".",L56,FIND(".",L56)+1)&lt;=2),AND(LEN(L56)-FIND(".",L56,FIND(".",L56)+1)=4,FIND(".",L56)&gt;=2,FIND(".",L56)&lt;=3)),FIND(".",L56,FIND(".",L56)+1)-FIND(".",L56)&gt;=2,FIND(".",L56,FIND(".",L56)+1)-FIND(".",L56)&lt;=3,P56&gt;=2000,P56&lt;=2100,YEAR(S56)=P56,MONTH(S56)=Q56,DAY(S56)=R56),S56,0)),0)</ns0:f>
        <ns0:v>0</ns0:v>
      </ns0:c>
      <ns0:c r="U56" s="0" t="str">
        <ns0:f>IF(Bookings!C56="","Full day",Bookings!C56)</ns0:f>
        <ns0:v>Full day</ns0:v>
      </ns0:c>
      <ns0:c r="V56" s="0" t="str">
        <ns0:f>IF(Bookings!E56="","Full day",Bookings!E56)</ns0:f>
        <ns0:v>Full day</ns0:v>
      </ns0:c>
      <ns0:c r="W56" s="0">
        <ns0:f>IF(J56=0,0,J56+IF(U56="PM",1,0))</ns0:f>
        <ns0:v>0</ns0:v>
      </ns0:c>
      <ns0:c r="X56" s="0">
        <ns0:f>IF(T56=0,0,T56-IF(V56="PM",1,0))</ns0:f>
        <ns0:v>0</ns0:v>
      </ns0:c>
      <ns0:c r="Y56" s="0">
        <ns0:f>IF(J56=0,0,J56+IF(U56="AM",1,0))</ns0:f>
        <ns0:v>0</ns0:v>
      </ns0:c>
      <ns0:c r="Z56" s="0">
        <ns0:f>IF(T56=0,0,T56-IF(V56="AM",1,0))</ns0:f>
        <ns0:v>0</ns0:v>
      </ns0:c>
      <ns0:c r="AA56" s="0">
        <ns0:f>IFERROR(IF(AND(J56&gt;0,'_Engine'!C56&gt;0,MID('_Engine'!W56,WEEKDAY(J56,2),1)="W",COUNTIF(Settings!$F$18:$F$67,J56)=0),1,0),0)</ns0:f>
        <ns0:v>0</ns0:v>
      </ns0:c>
      <ns0:c r="AB56" s="0">
        <ns0:f>IFERROR(IF(AND(T56&gt;0,'_Engine'!C56&gt;0,MID('_Engine'!W56,WEEKDAY(T56,2),1)="W",COUNTIF(Settings!$F$18:$F$67,T56)=0),1,0),0)</ns0:f>
        <ns0:v>0</ns0:v>
      </ns0:c>
      <ns0:c r="AC56" s="0">
        <ns0:f>IF(AND(J56&gt;0,T56&gt;0,W56&lt;=X56),1,0)</ns0:f>
        <ns0:v>0</ns0:v>
      </ns0:c>
      <ns0:c r="AD56" s="0">
        <ns0:f>IF(AND(J56&gt;0,T56&gt;0,Y56&lt;=Z56),1,0)</ns0:f>
        <ns0:v>0</ns0:v>
      </ns0:c>
    </ns0:row>
    <ns0:row r="57">
      <ns0:c r="A57" s="0">
        <ns0:f>IFERROR(IF(ISNUMBER(Bookings!B57),"",TRIM(Bookings!B57&amp;"")),"")</ns0:f>
      </ns0:c>
      <ns0:c r="B57" s="0">
        <ns0:f>IFERROR(SUBSTITUTE(SUBSTITUTE(A57,"/","."),"-","."),"")</ns0:f>
      </ns0:c>
      <ns0:c r="C57" s="0">
        <ns0:f>IFERROR(LEFT(B57,FIND(".",B57)-1),"")</ns0:f>
      </ns0:c>
      <ns0:c r="D57" s="0">
        <ns0:f>IFERROR(MID(B57,FIND(".",B57)+1,FIND(".",B57,FIND(".",B57)+1)-FIND(".",B57)-1),"")</ns0:f>
      </ns0:c>
      <ns0:c r="E57" s="0">
        <ns0:f>IFERROR(MID(B57,FIND(".",B57,FIND(".",B57)+1)+1,99),"")</ns0:f>
        <ns0:v>99</ns0:v>
      </ns0:c>
      <ns0:c r="F57" s="0">
        <ns0:f>IFERROR(IF(FIND(".",B57)=5,--C57,--E57),0)</ns0:f>
        <ns0:v>0</ns0:v>
      </ns0:c>
      <ns0:c r="G57" s="0">
        <ns0:f>IFERROR(--D57,0)</ns0:f>
        <ns0:v>0</ns0:v>
      </ns0:c>
      <ns0:c r="H57" s="0">
        <ns0:f>IFERROR(IF(FIND(".",B57)=5,--E57,--C57),0)</ns0:f>
        <ns0:v>0</ns0:v>
      </ns0:c>
      <ns0:c r="I57" s="0">
        <ns0:f>IFERROR(IF(AND(F57&gt;=2000,F57&lt;=2100,G57&gt;=1,G57&lt;=12,H57&gt;=1,H57&lt;=31),DATE(F57,G57,H57),0),0)</ns0:f>
        <ns0:v>0</ns0:v>
      </ns0:c>
      <ns0:c r="J57" s="0">
        <ns0:f>IFERROR(IF(ISNUMBER(Bookings!B57),IF(AND(Bookings!B57=INT(Bookings!B57),Bookings!B57&gt;=DATE(2000,1,1),Bookings!B57&lt;=DATE(2100,12,31)),Bookings!B57,0),IF(AND(A57&lt;&gt;"",LEN("x"&amp;B57)-LEN(SUBSTITUTE("x"&amp;B57,".",""))=2,OR(1&gt;LEN(B57),MID(B57,1,1)=".",ISNUMBER(FIND("x"&amp;MID(B57,1,1),"x0x1x2x3x4x5x6x7x8x9"))),OR(2&gt;LEN(B57),MID(B57,2,1)=".",ISNUMBER(FIND("x"&amp;MID(B57,2,1),"x0x1x2x3x4x5x6x7x8x9"))),OR(3&gt;LEN(B57),MID(B57,3,1)=".",ISNUMBER(FIND("x"&amp;MID(B57,3,1),"x0x1x2x3x4x5x6x7x8x9"))),OR(4&gt;LEN(B57),MID(B57,4,1)=".",ISNUMBER(FIND("x"&amp;MID(B57,4,1),"x0x1x2x3x4x5x6x7x8x9"))),OR(5&gt;LEN(B57),MID(B57,5,1)=".",ISNUMBER(FIND("x"&amp;MID(B57,5,1),"x0x1x2x3x4x5x6x7x8x9"))),OR(6&gt;LEN(B57),MID(B57,6,1)=".",ISNUMBER(FIND("x"&amp;MID(B57,6,1),"x0x1x2x3x4x5x6x7x8x9"))),OR(7&gt;LEN(B57),MID(B57,7,1)=".",ISNUMBER(FIND("x"&amp;MID(B57,7,1),"x0x1x2x3x4x5x6x7x8x9"))),OR(8&gt;LEN(B57),MID(B57,8,1)=".",ISNUMBER(FIND("x"&amp;MID(B57,8,1),"x0x1x2x3x4x5x6x7x8x9"))),OR(9&gt;LEN(B57),MID(B57,9,1)=".",ISNUMBER(FIND("x"&amp;MID(B57,9,1),"x0x1x2x3x4x5x6x7x8x9"))),OR(10&gt;LEN(B57),MID(B57,10,1)=".",ISNUMBER(FIND("x"&amp;MID(B57,10,1),"x0x1x2x3x4x5x6x7x8x9"))),OR(AND(FIND(".",B57)=5,LEN(B57)-FIND(".",B57,FIND(".",B57)+1)&gt;=1,LEN(B57)-FIND(".",B57,FIND(".",B57)+1)&lt;=2),AND(LEN(B57)-FIND(".",B57,FIND(".",B57)+1)=4,FIND(".",B57)&gt;=2,FIND(".",B57)&lt;=3)),FIND(".",B57,FIND(".",B57)+1)-FIND(".",B57)&gt;=2,FIND(".",B57,FIND(".",B57)+1)-FIND(".",B57)&lt;=3,F57&gt;=2000,F57&lt;=2100,YEAR(I57)=F57,MONTH(I57)=G57,DAY(I57)=H57),I57,0)),0)</ns0:f>
        <ns0:v>0</ns0:v>
      </ns0:c>
      <ns0:c r="K57" s="0">
        <ns0:f>IFERROR(IF(ISNUMBER(Bookings!D57),"",TRIM(Bookings!D57&amp;"")),"")</ns0:f>
      </ns0:c>
      <ns0:c r="L57" s="0">
        <ns0:f>IFERROR(SUBSTITUTE(SUBSTITUTE(K57,"/","."),"-","."),"")</ns0:f>
      </ns0:c>
      <ns0:c r="M57" s="0">
        <ns0:f>IFERROR(LEFT(L57,FIND(".",L57)-1),"")</ns0:f>
      </ns0:c>
      <ns0:c r="N57" s="0">
        <ns0:f>IFERROR(MID(L57,FIND(".",L57)+1,FIND(".",L57,FIND(".",L57)+1)-FIND(".",L57)-1),"")</ns0:f>
      </ns0:c>
      <ns0:c r="O57" s="0">
        <ns0:f>IFERROR(MID(L57,FIND(".",L57,FIND(".",L57)+1)+1,99),"")</ns0:f>
        <ns0:v>99</ns0:v>
      </ns0:c>
      <ns0:c r="P57" s="0">
        <ns0:f>IFERROR(IF(FIND(".",L57)=5,--M57,--O57),0)</ns0:f>
        <ns0:v>0</ns0:v>
      </ns0:c>
      <ns0:c r="Q57" s="0">
        <ns0:f>IFERROR(--N57,0)</ns0:f>
        <ns0:v>0</ns0:v>
      </ns0:c>
      <ns0:c r="R57" s="0">
        <ns0:f>IFERROR(IF(FIND(".",L57)=5,--O57,--M57),0)</ns0:f>
        <ns0:v>0</ns0:v>
      </ns0:c>
      <ns0:c r="S57" s="0">
        <ns0:f>IFERROR(IF(AND(P57&gt;=2000,P57&lt;=2100,Q57&gt;=1,Q57&lt;=12,R57&gt;=1,R57&lt;=31),DATE(P57,Q57,R57),0),0)</ns0:f>
        <ns0:v>0</ns0:v>
      </ns0:c>
      <ns0:c r="T57" s="0">
        <ns0:f>IFERROR(IF(ISNUMBER(Bookings!D57),IF(AND(Bookings!D57=INT(Bookings!D57),Bookings!D57&gt;=DATE(2000,1,1),Bookings!D57&lt;=DATE(2100,12,31)),Bookings!D57,0),IF(AND(K57&lt;&gt;"",LEN("x"&amp;L57)-LEN(SUBSTITUTE("x"&amp;L57,".",""))=2,OR(1&gt;LEN(L57),MID(L57,1,1)=".",ISNUMBER(FIND("x"&amp;MID(L57,1,1),"x0x1x2x3x4x5x6x7x8x9"))),OR(2&gt;LEN(L57),MID(L57,2,1)=".",ISNUMBER(FIND("x"&amp;MID(L57,2,1),"x0x1x2x3x4x5x6x7x8x9"))),OR(3&gt;LEN(L57),MID(L57,3,1)=".",ISNUMBER(FIND("x"&amp;MID(L57,3,1),"x0x1x2x3x4x5x6x7x8x9"))),OR(4&gt;LEN(L57),MID(L57,4,1)=".",ISNUMBER(FIND("x"&amp;MID(L57,4,1),"x0x1x2x3x4x5x6x7x8x9"))),OR(5&gt;LEN(L57),MID(L57,5,1)=".",ISNUMBER(FIND("x"&amp;MID(L57,5,1),"x0x1x2x3x4x5x6x7x8x9"))),OR(6&gt;LEN(L57),MID(L57,6,1)=".",ISNUMBER(FIND("x"&amp;MID(L57,6,1),"x0x1x2x3x4x5x6x7x8x9"))),OR(7&gt;LEN(L57),MID(L57,7,1)=".",ISNUMBER(FIND("x"&amp;MID(L57,7,1),"x0x1x2x3x4x5x6x7x8x9"))),OR(8&gt;LEN(L57),MID(L57,8,1)=".",ISNUMBER(FIND("x"&amp;MID(L57,8,1),"x0x1x2x3x4x5x6x7x8x9"))),OR(9&gt;LEN(L57),MID(L57,9,1)=".",ISNUMBER(FIND("x"&amp;MID(L57,9,1),"x0x1x2x3x4x5x6x7x8x9"))),OR(10&gt;LEN(L57),MID(L57,10,1)=".",ISNUMBER(FIND("x"&amp;MID(L57,10,1),"x0x1x2x3x4x5x6x7x8x9"))),OR(AND(FIND(".",L57)=5,LEN(L57)-FIND(".",L57,FIND(".",L57)+1)&gt;=1,LEN(L57)-FIND(".",L57,FIND(".",L57)+1)&lt;=2),AND(LEN(L57)-FIND(".",L57,FIND(".",L57)+1)=4,FIND(".",L57)&gt;=2,FIND(".",L57)&lt;=3)),FIND(".",L57,FIND(".",L57)+1)-FIND(".",L57)&gt;=2,FIND(".",L57,FIND(".",L57)+1)-FIND(".",L57)&lt;=3,P57&gt;=2000,P57&lt;=2100,YEAR(S57)=P57,MONTH(S57)=Q57,DAY(S57)=R57),S57,0)),0)</ns0:f>
        <ns0:v>0</ns0:v>
      </ns0:c>
      <ns0:c r="U57" s="0" t="str">
        <ns0:f>IF(Bookings!C57="","Full day",Bookings!C57)</ns0:f>
        <ns0:v>Full day</ns0:v>
      </ns0:c>
      <ns0:c r="V57" s="0" t="str">
        <ns0:f>IF(Bookings!E57="","Full day",Bookings!E57)</ns0:f>
        <ns0:v>Full day</ns0:v>
      </ns0:c>
      <ns0:c r="W57" s="0">
        <ns0:f>IF(J57=0,0,J57+IF(U57="PM",1,0))</ns0:f>
        <ns0:v>0</ns0:v>
      </ns0:c>
      <ns0:c r="X57" s="0">
        <ns0:f>IF(T57=0,0,T57-IF(V57="PM",1,0))</ns0:f>
        <ns0:v>0</ns0:v>
      </ns0:c>
      <ns0:c r="Y57" s="0">
        <ns0:f>IF(J57=0,0,J57+IF(U57="AM",1,0))</ns0:f>
        <ns0:v>0</ns0:v>
      </ns0:c>
      <ns0:c r="Z57" s="0">
        <ns0:f>IF(T57=0,0,T57-IF(V57="AM",1,0))</ns0:f>
        <ns0:v>0</ns0:v>
      </ns0:c>
      <ns0:c r="AA57" s="0">
        <ns0:f>IFERROR(IF(AND(J57&gt;0,'_Engine'!C57&gt;0,MID('_Engine'!W57,WEEKDAY(J57,2),1)="W",COUNTIF(Settings!$F$18:$F$67,J57)=0),1,0),0)</ns0:f>
        <ns0:v>0</ns0:v>
      </ns0:c>
      <ns0:c r="AB57" s="0">
        <ns0:f>IFERROR(IF(AND(T57&gt;0,'_Engine'!C57&gt;0,MID('_Engine'!W57,WEEKDAY(T57,2),1)="W",COUNTIF(Settings!$F$18:$F$67,T57)=0),1,0),0)</ns0:f>
        <ns0:v>0</ns0:v>
      </ns0:c>
      <ns0:c r="AC57" s="0">
        <ns0:f>IF(AND(J57&gt;0,T57&gt;0,W57&lt;=X57),1,0)</ns0:f>
        <ns0:v>0</ns0:v>
      </ns0:c>
      <ns0:c r="AD57" s="0">
        <ns0:f>IF(AND(J57&gt;0,T57&gt;0,Y57&lt;=Z57),1,0)</ns0:f>
        <ns0:v>0</ns0:v>
      </ns0:c>
    </ns0:row>
    <ns0:row r="58">
      <ns0:c r="A58" s="0">
        <ns0:f>IFERROR(IF(ISNUMBER(Bookings!B58),"",TRIM(Bookings!B58&amp;"")),"")</ns0:f>
      </ns0:c>
      <ns0:c r="B58" s="0">
        <ns0:f>IFERROR(SUBSTITUTE(SUBSTITUTE(A58,"/","."),"-","."),"")</ns0:f>
      </ns0:c>
      <ns0:c r="C58" s="0">
        <ns0:f>IFERROR(LEFT(B58,FIND(".",B58)-1),"")</ns0:f>
      </ns0:c>
      <ns0:c r="D58" s="0">
        <ns0:f>IFERROR(MID(B58,FIND(".",B58)+1,FIND(".",B58,FIND(".",B58)+1)-FIND(".",B58)-1),"")</ns0:f>
      </ns0:c>
      <ns0:c r="E58" s="0">
        <ns0:f>IFERROR(MID(B58,FIND(".",B58,FIND(".",B58)+1)+1,99),"")</ns0:f>
        <ns0:v>99</ns0:v>
      </ns0:c>
      <ns0:c r="F58" s="0">
        <ns0:f>IFERROR(IF(FIND(".",B58)=5,--C58,--E58),0)</ns0:f>
        <ns0:v>0</ns0:v>
      </ns0:c>
      <ns0:c r="G58" s="0">
        <ns0:f>IFERROR(--D58,0)</ns0:f>
        <ns0:v>0</ns0:v>
      </ns0:c>
      <ns0:c r="H58" s="0">
        <ns0:f>IFERROR(IF(FIND(".",B58)=5,--E58,--C58),0)</ns0:f>
        <ns0:v>0</ns0:v>
      </ns0:c>
      <ns0:c r="I58" s="0">
        <ns0:f>IFERROR(IF(AND(F58&gt;=2000,F58&lt;=2100,G58&gt;=1,G58&lt;=12,H58&gt;=1,H58&lt;=31),DATE(F58,G58,H58),0),0)</ns0:f>
        <ns0:v>0</ns0:v>
      </ns0:c>
      <ns0:c r="J58" s="0">
        <ns0:f>IFERROR(IF(ISNUMBER(Bookings!B58),IF(AND(Bookings!B58=INT(Bookings!B58),Bookings!B58&gt;=DATE(2000,1,1),Bookings!B58&lt;=DATE(2100,12,31)),Bookings!B58,0),IF(AND(A58&lt;&gt;"",LEN("x"&amp;B58)-LEN(SUBSTITUTE("x"&amp;B58,".",""))=2,OR(1&gt;LEN(B58),MID(B58,1,1)=".",ISNUMBER(FIND("x"&amp;MID(B58,1,1),"x0x1x2x3x4x5x6x7x8x9"))),OR(2&gt;LEN(B58),MID(B58,2,1)=".",ISNUMBER(FIND("x"&amp;MID(B58,2,1),"x0x1x2x3x4x5x6x7x8x9"))),OR(3&gt;LEN(B58),MID(B58,3,1)=".",ISNUMBER(FIND("x"&amp;MID(B58,3,1),"x0x1x2x3x4x5x6x7x8x9"))),OR(4&gt;LEN(B58),MID(B58,4,1)=".",ISNUMBER(FIND("x"&amp;MID(B58,4,1),"x0x1x2x3x4x5x6x7x8x9"))),OR(5&gt;LEN(B58),MID(B58,5,1)=".",ISNUMBER(FIND("x"&amp;MID(B58,5,1),"x0x1x2x3x4x5x6x7x8x9"))),OR(6&gt;LEN(B58),MID(B58,6,1)=".",ISNUMBER(FIND("x"&amp;MID(B58,6,1),"x0x1x2x3x4x5x6x7x8x9"))),OR(7&gt;LEN(B58),MID(B58,7,1)=".",ISNUMBER(FIND("x"&amp;MID(B58,7,1),"x0x1x2x3x4x5x6x7x8x9"))),OR(8&gt;LEN(B58),MID(B58,8,1)=".",ISNUMBER(FIND("x"&amp;MID(B58,8,1),"x0x1x2x3x4x5x6x7x8x9"))),OR(9&gt;LEN(B58),MID(B58,9,1)=".",ISNUMBER(FIND("x"&amp;MID(B58,9,1),"x0x1x2x3x4x5x6x7x8x9"))),OR(10&gt;LEN(B58),MID(B58,10,1)=".",ISNUMBER(FIND("x"&amp;MID(B58,10,1),"x0x1x2x3x4x5x6x7x8x9"))),OR(AND(FIND(".",B58)=5,LEN(B58)-FIND(".",B58,FIND(".",B58)+1)&gt;=1,LEN(B58)-FIND(".",B58,FIND(".",B58)+1)&lt;=2),AND(LEN(B58)-FIND(".",B58,FIND(".",B58)+1)=4,FIND(".",B58)&gt;=2,FIND(".",B58)&lt;=3)),FIND(".",B58,FIND(".",B58)+1)-FIND(".",B58)&gt;=2,FIND(".",B58,FIND(".",B58)+1)-FIND(".",B58)&lt;=3,F58&gt;=2000,F58&lt;=2100,YEAR(I58)=F58,MONTH(I58)=G58,DAY(I58)=H58),I58,0)),0)</ns0:f>
        <ns0:v>0</ns0:v>
      </ns0:c>
      <ns0:c r="K58" s="0">
        <ns0:f>IFERROR(IF(ISNUMBER(Bookings!D58),"",TRIM(Bookings!D58&amp;"")),"")</ns0:f>
      </ns0:c>
      <ns0:c r="L58" s="0">
        <ns0:f>IFERROR(SUBSTITUTE(SUBSTITUTE(K58,"/","."),"-","."),"")</ns0:f>
      </ns0:c>
      <ns0:c r="M58" s="0">
        <ns0:f>IFERROR(LEFT(L58,FIND(".",L58)-1),"")</ns0:f>
      </ns0:c>
      <ns0:c r="N58" s="0">
        <ns0:f>IFERROR(MID(L58,FIND(".",L58)+1,FIND(".",L58,FIND(".",L58)+1)-FIND(".",L58)-1),"")</ns0:f>
      </ns0:c>
      <ns0:c r="O58" s="0">
        <ns0:f>IFERROR(MID(L58,FIND(".",L58,FIND(".",L58)+1)+1,99),"")</ns0:f>
        <ns0:v>99</ns0:v>
      </ns0:c>
      <ns0:c r="P58" s="0">
        <ns0:f>IFERROR(IF(FIND(".",L58)=5,--M58,--O58),0)</ns0:f>
        <ns0:v>0</ns0:v>
      </ns0:c>
      <ns0:c r="Q58" s="0">
        <ns0:f>IFERROR(--N58,0)</ns0:f>
        <ns0:v>0</ns0:v>
      </ns0:c>
      <ns0:c r="R58" s="0">
        <ns0:f>IFERROR(IF(FIND(".",L58)=5,--O58,--M58),0)</ns0:f>
        <ns0:v>0</ns0:v>
      </ns0:c>
      <ns0:c r="S58" s="0">
        <ns0:f>IFERROR(IF(AND(P58&gt;=2000,P58&lt;=2100,Q58&gt;=1,Q58&lt;=12,R58&gt;=1,R58&lt;=31),DATE(P58,Q58,R58),0),0)</ns0:f>
        <ns0:v>0</ns0:v>
      </ns0:c>
      <ns0:c r="T58" s="0">
        <ns0:f>IFERROR(IF(ISNUMBER(Bookings!D58),IF(AND(Bookings!D58=INT(Bookings!D58),Bookings!D58&gt;=DATE(2000,1,1),Bookings!D58&lt;=DATE(2100,12,31)),Bookings!D58,0),IF(AND(K58&lt;&gt;"",LEN("x"&amp;L58)-LEN(SUBSTITUTE("x"&amp;L58,".",""))=2,OR(1&gt;LEN(L58),MID(L58,1,1)=".",ISNUMBER(FIND("x"&amp;MID(L58,1,1),"x0x1x2x3x4x5x6x7x8x9"))),OR(2&gt;LEN(L58),MID(L58,2,1)=".",ISNUMBER(FIND("x"&amp;MID(L58,2,1),"x0x1x2x3x4x5x6x7x8x9"))),OR(3&gt;LEN(L58),MID(L58,3,1)=".",ISNUMBER(FIND("x"&amp;MID(L58,3,1),"x0x1x2x3x4x5x6x7x8x9"))),OR(4&gt;LEN(L58),MID(L58,4,1)=".",ISNUMBER(FIND("x"&amp;MID(L58,4,1),"x0x1x2x3x4x5x6x7x8x9"))),OR(5&gt;LEN(L58),MID(L58,5,1)=".",ISNUMBER(FIND("x"&amp;MID(L58,5,1),"x0x1x2x3x4x5x6x7x8x9"))),OR(6&gt;LEN(L58),MID(L58,6,1)=".",ISNUMBER(FIND("x"&amp;MID(L58,6,1),"x0x1x2x3x4x5x6x7x8x9"))),OR(7&gt;LEN(L58),MID(L58,7,1)=".",ISNUMBER(FIND("x"&amp;MID(L58,7,1),"x0x1x2x3x4x5x6x7x8x9"))),OR(8&gt;LEN(L58),MID(L58,8,1)=".",ISNUMBER(FIND("x"&amp;MID(L58,8,1),"x0x1x2x3x4x5x6x7x8x9"))),OR(9&gt;LEN(L58),MID(L58,9,1)=".",ISNUMBER(FIND("x"&amp;MID(L58,9,1),"x0x1x2x3x4x5x6x7x8x9"))),OR(10&gt;LEN(L58),MID(L58,10,1)=".",ISNUMBER(FIND("x"&amp;MID(L58,10,1),"x0x1x2x3x4x5x6x7x8x9"))),OR(AND(FIND(".",L58)=5,LEN(L58)-FIND(".",L58,FIND(".",L58)+1)&gt;=1,LEN(L58)-FIND(".",L58,FIND(".",L58)+1)&lt;=2),AND(LEN(L58)-FIND(".",L58,FIND(".",L58)+1)=4,FIND(".",L58)&gt;=2,FIND(".",L58)&lt;=3)),FIND(".",L58,FIND(".",L58)+1)-FIND(".",L58)&gt;=2,FIND(".",L58,FIND(".",L58)+1)-FIND(".",L58)&lt;=3,P58&gt;=2000,P58&lt;=2100,YEAR(S58)=P58,MONTH(S58)=Q58,DAY(S58)=R58),S58,0)),0)</ns0:f>
        <ns0:v>0</ns0:v>
      </ns0:c>
      <ns0:c r="U58" s="0" t="str">
        <ns0:f>IF(Bookings!C58="","Full day",Bookings!C58)</ns0:f>
        <ns0:v>Full day</ns0:v>
      </ns0:c>
      <ns0:c r="V58" s="0" t="str">
        <ns0:f>IF(Bookings!E58="","Full day",Bookings!E58)</ns0:f>
        <ns0:v>Full day</ns0:v>
      </ns0:c>
      <ns0:c r="W58" s="0">
        <ns0:f>IF(J58=0,0,J58+IF(U58="PM",1,0))</ns0:f>
        <ns0:v>0</ns0:v>
      </ns0:c>
      <ns0:c r="X58" s="0">
        <ns0:f>IF(T58=0,0,T58-IF(V58="PM",1,0))</ns0:f>
        <ns0:v>0</ns0:v>
      </ns0:c>
      <ns0:c r="Y58" s="0">
        <ns0:f>IF(J58=0,0,J58+IF(U58="AM",1,0))</ns0:f>
        <ns0:v>0</ns0:v>
      </ns0:c>
      <ns0:c r="Z58" s="0">
        <ns0:f>IF(T58=0,0,T58-IF(V58="AM",1,0))</ns0:f>
        <ns0:v>0</ns0:v>
      </ns0:c>
      <ns0:c r="AA58" s="0">
        <ns0:f>IFERROR(IF(AND(J58&gt;0,'_Engine'!C58&gt;0,MID('_Engine'!W58,WEEKDAY(J58,2),1)="W",COUNTIF(Settings!$F$18:$F$67,J58)=0),1,0),0)</ns0:f>
        <ns0:v>0</ns0:v>
      </ns0:c>
      <ns0:c r="AB58" s="0">
        <ns0:f>IFERROR(IF(AND(T58&gt;0,'_Engine'!C58&gt;0,MID('_Engine'!W58,WEEKDAY(T58,2),1)="W",COUNTIF(Settings!$F$18:$F$67,T58)=0),1,0),0)</ns0:f>
        <ns0:v>0</ns0:v>
      </ns0:c>
      <ns0:c r="AC58" s="0">
        <ns0:f>IF(AND(J58&gt;0,T58&gt;0,W58&lt;=X58),1,0)</ns0:f>
        <ns0:v>0</ns0:v>
      </ns0:c>
      <ns0:c r="AD58" s="0">
        <ns0:f>IF(AND(J58&gt;0,T58&gt;0,Y58&lt;=Z58),1,0)</ns0:f>
        <ns0:v>0</ns0:v>
      </ns0:c>
    </ns0:row>
    <ns0:row r="59">
      <ns0:c r="A59" s="0">
        <ns0:f>IFERROR(IF(ISNUMBER(Bookings!B59),"",TRIM(Bookings!B59&amp;"")),"")</ns0:f>
      </ns0:c>
      <ns0:c r="B59" s="0">
        <ns0:f>IFERROR(SUBSTITUTE(SUBSTITUTE(A59,"/","."),"-","."),"")</ns0:f>
      </ns0:c>
      <ns0:c r="C59" s="0">
        <ns0:f>IFERROR(LEFT(B59,FIND(".",B59)-1),"")</ns0:f>
      </ns0:c>
      <ns0:c r="D59" s="0">
        <ns0:f>IFERROR(MID(B59,FIND(".",B59)+1,FIND(".",B59,FIND(".",B59)+1)-FIND(".",B59)-1),"")</ns0:f>
      </ns0:c>
      <ns0:c r="E59" s="0">
        <ns0:f>IFERROR(MID(B59,FIND(".",B59,FIND(".",B59)+1)+1,99),"")</ns0:f>
        <ns0:v>99</ns0:v>
      </ns0:c>
      <ns0:c r="F59" s="0">
        <ns0:f>IFERROR(IF(FIND(".",B59)=5,--C59,--E59),0)</ns0:f>
        <ns0:v>0</ns0:v>
      </ns0:c>
      <ns0:c r="G59" s="0">
        <ns0:f>IFERROR(--D59,0)</ns0:f>
        <ns0:v>0</ns0:v>
      </ns0:c>
      <ns0:c r="H59" s="0">
        <ns0:f>IFERROR(IF(FIND(".",B59)=5,--E59,--C59),0)</ns0:f>
        <ns0:v>0</ns0:v>
      </ns0:c>
      <ns0:c r="I59" s="0">
        <ns0:f>IFERROR(IF(AND(F59&gt;=2000,F59&lt;=2100,G59&gt;=1,G59&lt;=12,H59&gt;=1,H59&lt;=31),DATE(F59,G59,H59),0),0)</ns0:f>
        <ns0:v>0</ns0:v>
      </ns0:c>
      <ns0:c r="J59" s="0">
        <ns0:f>IFERROR(IF(ISNUMBER(Bookings!B59),IF(AND(Bookings!B59=INT(Bookings!B59),Bookings!B59&gt;=DATE(2000,1,1),Bookings!B59&lt;=DATE(2100,12,31)),Bookings!B59,0),IF(AND(A59&lt;&gt;"",LEN("x"&amp;B59)-LEN(SUBSTITUTE("x"&amp;B59,".",""))=2,OR(1&gt;LEN(B59),MID(B59,1,1)=".",ISNUMBER(FIND("x"&amp;MID(B59,1,1),"x0x1x2x3x4x5x6x7x8x9"))),OR(2&gt;LEN(B59),MID(B59,2,1)=".",ISNUMBER(FIND("x"&amp;MID(B59,2,1),"x0x1x2x3x4x5x6x7x8x9"))),OR(3&gt;LEN(B59),MID(B59,3,1)=".",ISNUMBER(FIND("x"&amp;MID(B59,3,1),"x0x1x2x3x4x5x6x7x8x9"))),OR(4&gt;LEN(B59),MID(B59,4,1)=".",ISNUMBER(FIND("x"&amp;MID(B59,4,1),"x0x1x2x3x4x5x6x7x8x9"))),OR(5&gt;LEN(B59),MID(B59,5,1)=".",ISNUMBER(FIND("x"&amp;MID(B59,5,1),"x0x1x2x3x4x5x6x7x8x9"))),OR(6&gt;LEN(B59),MID(B59,6,1)=".",ISNUMBER(FIND("x"&amp;MID(B59,6,1),"x0x1x2x3x4x5x6x7x8x9"))),OR(7&gt;LEN(B59),MID(B59,7,1)=".",ISNUMBER(FIND("x"&amp;MID(B59,7,1),"x0x1x2x3x4x5x6x7x8x9"))),OR(8&gt;LEN(B59),MID(B59,8,1)=".",ISNUMBER(FIND("x"&amp;MID(B59,8,1),"x0x1x2x3x4x5x6x7x8x9"))),OR(9&gt;LEN(B59),MID(B59,9,1)=".",ISNUMBER(FIND("x"&amp;MID(B59,9,1),"x0x1x2x3x4x5x6x7x8x9"))),OR(10&gt;LEN(B59),MID(B59,10,1)=".",ISNUMBER(FIND("x"&amp;MID(B59,10,1),"x0x1x2x3x4x5x6x7x8x9"))),OR(AND(FIND(".",B59)=5,LEN(B59)-FIND(".",B59,FIND(".",B59)+1)&gt;=1,LEN(B59)-FIND(".",B59,FIND(".",B59)+1)&lt;=2),AND(LEN(B59)-FIND(".",B59,FIND(".",B59)+1)=4,FIND(".",B59)&gt;=2,FIND(".",B59)&lt;=3)),FIND(".",B59,FIND(".",B59)+1)-FIND(".",B59)&gt;=2,FIND(".",B59,FIND(".",B59)+1)-FIND(".",B59)&lt;=3,F59&gt;=2000,F59&lt;=2100,YEAR(I59)=F59,MONTH(I59)=G59,DAY(I59)=H59),I59,0)),0)</ns0:f>
        <ns0:v>0</ns0:v>
      </ns0:c>
      <ns0:c r="K59" s="0">
        <ns0:f>IFERROR(IF(ISNUMBER(Bookings!D59),"",TRIM(Bookings!D59&amp;"")),"")</ns0:f>
      </ns0:c>
      <ns0:c r="L59" s="0">
        <ns0:f>IFERROR(SUBSTITUTE(SUBSTITUTE(K59,"/","."),"-","."),"")</ns0:f>
      </ns0:c>
      <ns0:c r="M59" s="0">
        <ns0:f>IFERROR(LEFT(L59,FIND(".",L59)-1),"")</ns0:f>
      </ns0:c>
      <ns0:c r="N59" s="0">
        <ns0:f>IFERROR(MID(L59,FIND(".",L59)+1,FIND(".",L59,FIND(".",L59)+1)-FIND(".",L59)-1),"")</ns0:f>
      </ns0:c>
      <ns0:c r="O59" s="0">
        <ns0:f>IFERROR(MID(L59,FIND(".",L59,FIND(".",L59)+1)+1,99),"")</ns0:f>
        <ns0:v>99</ns0:v>
      </ns0:c>
      <ns0:c r="P59" s="0">
        <ns0:f>IFERROR(IF(FIND(".",L59)=5,--M59,--O59),0)</ns0:f>
        <ns0:v>0</ns0:v>
      </ns0:c>
      <ns0:c r="Q59" s="0">
        <ns0:f>IFERROR(--N59,0)</ns0:f>
        <ns0:v>0</ns0:v>
      </ns0:c>
      <ns0:c r="R59" s="0">
        <ns0:f>IFERROR(IF(FIND(".",L59)=5,--O59,--M59),0)</ns0:f>
        <ns0:v>0</ns0:v>
      </ns0:c>
      <ns0:c r="S59" s="0">
        <ns0:f>IFERROR(IF(AND(P59&gt;=2000,P59&lt;=2100,Q59&gt;=1,Q59&lt;=12,R59&gt;=1,R59&lt;=31),DATE(P59,Q59,R59),0),0)</ns0:f>
        <ns0:v>0</ns0:v>
      </ns0:c>
      <ns0:c r="T59" s="0">
        <ns0:f>IFERROR(IF(ISNUMBER(Bookings!D59),IF(AND(Bookings!D59=INT(Bookings!D59),Bookings!D59&gt;=DATE(2000,1,1),Bookings!D59&lt;=DATE(2100,12,31)),Bookings!D59,0),IF(AND(K59&lt;&gt;"",LEN("x"&amp;L59)-LEN(SUBSTITUTE("x"&amp;L59,".",""))=2,OR(1&gt;LEN(L59),MID(L59,1,1)=".",ISNUMBER(FIND("x"&amp;MID(L59,1,1),"x0x1x2x3x4x5x6x7x8x9"))),OR(2&gt;LEN(L59),MID(L59,2,1)=".",ISNUMBER(FIND("x"&amp;MID(L59,2,1),"x0x1x2x3x4x5x6x7x8x9"))),OR(3&gt;LEN(L59),MID(L59,3,1)=".",ISNUMBER(FIND("x"&amp;MID(L59,3,1),"x0x1x2x3x4x5x6x7x8x9"))),OR(4&gt;LEN(L59),MID(L59,4,1)=".",ISNUMBER(FIND("x"&amp;MID(L59,4,1),"x0x1x2x3x4x5x6x7x8x9"))),OR(5&gt;LEN(L59),MID(L59,5,1)=".",ISNUMBER(FIND("x"&amp;MID(L59,5,1),"x0x1x2x3x4x5x6x7x8x9"))),OR(6&gt;LEN(L59),MID(L59,6,1)=".",ISNUMBER(FIND("x"&amp;MID(L59,6,1),"x0x1x2x3x4x5x6x7x8x9"))),OR(7&gt;LEN(L59),MID(L59,7,1)=".",ISNUMBER(FIND("x"&amp;MID(L59,7,1),"x0x1x2x3x4x5x6x7x8x9"))),OR(8&gt;LEN(L59),MID(L59,8,1)=".",ISNUMBER(FIND("x"&amp;MID(L59,8,1),"x0x1x2x3x4x5x6x7x8x9"))),OR(9&gt;LEN(L59),MID(L59,9,1)=".",ISNUMBER(FIND("x"&amp;MID(L59,9,1),"x0x1x2x3x4x5x6x7x8x9"))),OR(10&gt;LEN(L59),MID(L59,10,1)=".",ISNUMBER(FIND("x"&amp;MID(L59,10,1),"x0x1x2x3x4x5x6x7x8x9"))),OR(AND(FIND(".",L59)=5,LEN(L59)-FIND(".",L59,FIND(".",L59)+1)&gt;=1,LEN(L59)-FIND(".",L59,FIND(".",L59)+1)&lt;=2),AND(LEN(L59)-FIND(".",L59,FIND(".",L59)+1)=4,FIND(".",L59)&gt;=2,FIND(".",L59)&lt;=3)),FIND(".",L59,FIND(".",L59)+1)-FIND(".",L59)&gt;=2,FIND(".",L59,FIND(".",L59)+1)-FIND(".",L59)&lt;=3,P59&gt;=2000,P59&lt;=2100,YEAR(S59)=P59,MONTH(S59)=Q59,DAY(S59)=R59),S59,0)),0)</ns0:f>
        <ns0:v>0</ns0:v>
      </ns0:c>
      <ns0:c r="U59" s="0" t="str">
        <ns0:f>IF(Bookings!C59="","Full day",Bookings!C59)</ns0:f>
        <ns0:v>Full day</ns0:v>
      </ns0:c>
      <ns0:c r="V59" s="0" t="str">
        <ns0:f>IF(Bookings!E59="","Full day",Bookings!E59)</ns0:f>
        <ns0:v>Full day</ns0:v>
      </ns0:c>
      <ns0:c r="W59" s="0">
        <ns0:f>IF(J59=0,0,J59+IF(U59="PM",1,0))</ns0:f>
        <ns0:v>0</ns0:v>
      </ns0:c>
      <ns0:c r="X59" s="0">
        <ns0:f>IF(T59=0,0,T59-IF(V59="PM",1,0))</ns0:f>
        <ns0:v>0</ns0:v>
      </ns0:c>
      <ns0:c r="Y59" s="0">
        <ns0:f>IF(J59=0,0,J59+IF(U59="AM",1,0))</ns0:f>
        <ns0:v>0</ns0:v>
      </ns0:c>
      <ns0:c r="Z59" s="0">
        <ns0:f>IF(T59=0,0,T59-IF(V59="AM",1,0))</ns0:f>
        <ns0:v>0</ns0:v>
      </ns0:c>
      <ns0:c r="AA59" s="0">
        <ns0:f>IFERROR(IF(AND(J59&gt;0,'_Engine'!C59&gt;0,MID('_Engine'!W59,WEEKDAY(J59,2),1)="W",COUNTIF(Settings!$F$18:$F$67,J59)=0),1,0),0)</ns0:f>
        <ns0:v>0</ns0:v>
      </ns0:c>
      <ns0:c r="AB59" s="0">
        <ns0:f>IFERROR(IF(AND(T59&gt;0,'_Engine'!C59&gt;0,MID('_Engine'!W59,WEEKDAY(T59,2),1)="W",COUNTIF(Settings!$F$18:$F$67,T59)=0),1,0),0)</ns0:f>
        <ns0:v>0</ns0:v>
      </ns0:c>
      <ns0:c r="AC59" s="0">
        <ns0:f>IF(AND(J59&gt;0,T59&gt;0,W59&lt;=X59),1,0)</ns0:f>
        <ns0:v>0</ns0:v>
      </ns0:c>
      <ns0:c r="AD59" s="0">
        <ns0:f>IF(AND(J59&gt;0,T59&gt;0,Y59&lt;=Z59),1,0)</ns0:f>
        <ns0:v>0</ns0:v>
      </ns0:c>
    </ns0:row>
    <ns0:row r="60">
      <ns0:c r="A60" s="0">
        <ns0:f>IFERROR(IF(ISNUMBER(Bookings!B60),"",TRIM(Bookings!B60&amp;"")),"")</ns0:f>
      </ns0:c>
      <ns0:c r="B60" s="0">
        <ns0:f>IFERROR(SUBSTITUTE(SUBSTITUTE(A60,"/","."),"-","."),"")</ns0:f>
      </ns0:c>
      <ns0:c r="C60" s="0">
        <ns0:f>IFERROR(LEFT(B60,FIND(".",B60)-1),"")</ns0:f>
      </ns0:c>
      <ns0:c r="D60" s="0">
        <ns0:f>IFERROR(MID(B60,FIND(".",B60)+1,FIND(".",B60,FIND(".",B60)+1)-FIND(".",B60)-1),"")</ns0:f>
      </ns0:c>
      <ns0:c r="E60" s="0">
        <ns0:f>IFERROR(MID(B60,FIND(".",B60,FIND(".",B60)+1)+1,99),"")</ns0:f>
        <ns0:v>99</ns0:v>
      </ns0:c>
      <ns0:c r="F60" s="0">
        <ns0:f>IFERROR(IF(FIND(".",B60)=5,--C60,--E60),0)</ns0:f>
        <ns0:v>0</ns0:v>
      </ns0:c>
      <ns0:c r="G60" s="0">
        <ns0:f>IFERROR(--D60,0)</ns0:f>
        <ns0:v>0</ns0:v>
      </ns0:c>
      <ns0:c r="H60" s="0">
        <ns0:f>IFERROR(IF(FIND(".",B60)=5,--E60,--C60),0)</ns0:f>
        <ns0:v>0</ns0:v>
      </ns0:c>
      <ns0:c r="I60" s="0">
        <ns0:f>IFERROR(IF(AND(F60&gt;=2000,F60&lt;=2100,G60&gt;=1,G60&lt;=12,H60&gt;=1,H60&lt;=31),DATE(F60,G60,H60),0),0)</ns0:f>
        <ns0:v>0</ns0:v>
      </ns0:c>
      <ns0:c r="J60" s="0">
        <ns0:f>IFERROR(IF(ISNUMBER(Bookings!B60),IF(AND(Bookings!B60=INT(Bookings!B60),Bookings!B60&gt;=DATE(2000,1,1),Bookings!B60&lt;=DATE(2100,12,31)),Bookings!B60,0),IF(AND(A60&lt;&gt;"",LEN("x"&amp;B60)-LEN(SUBSTITUTE("x"&amp;B60,".",""))=2,OR(1&gt;LEN(B60),MID(B60,1,1)=".",ISNUMBER(FIND("x"&amp;MID(B60,1,1),"x0x1x2x3x4x5x6x7x8x9"))),OR(2&gt;LEN(B60),MID(B60,2,1)=".",ISNUMBER(FIND("x"&amp;MID(B60,2,1),"x0x1x2x3x4x5x6x7x8x9"))),OR(3&gt;LEN(B60),MID(B60,3,1)=".",ISNUMBER(FIND("x"&amp;MID(B60,3,1),"x0x1x2x3x4x5x6x7x8x9"))),OR(4&gt;LEN(B60),MID(B60,4,1)=".",ISNUMBER(FIND("x"&amp;MID(B60,4,1),"x0x1x2x3x4x5x6x7x8x9"))),OR(5&gt;LEN(B60),MID(B60,5,1)=".",ISNUMBER(FIND("x"&amp;MID(B60,5,1),"x0x1x2x3x4x5x6x7x8x9"))),OR(6&gt;LEN(B60),MID(B60,6,1)=".",ISNUMBER(FIND("x"&amp;MID(B60,6,1),"x0x1x2x3x4x5x6x7x8x9"))),OR(7&gt;LEN(B60),MID(B60,7,1)=".",ISNUMBER(FIND("x"&amp;MID(B60,7,1),"x0x1x2x3x4x5x6x7x8x9"))),OR(8&gt;LEN(B60),MID(B60,8,1)=".",ISNUMBER(FIND("x"&amp;MID(B60,8,1),"x0x1x2x3x4x5x6x7x8x9"))),OR(9&gt;LEN(B60),MID(B60,9,1)=".",ISNUMBER(FIND("x"&amp;MID(B60,9,1),"x0x1x2x3x4x5x6x7x8x9"))),OR(10&gt;LEN(B60),MID(B60,10,1)=".",ISNUMBER(FIND("x"&amp;MID(B60,10,1),"x0x1x2x3x4x5x6x7x8x9"))),OR(AND(FIND(".",B60)=5,LEN(B60)-FIND(".",B60,FIND(".",B60)+1)&gt;=1,LEN(B60)-FIND(".",B60,FIND(".",B60)+1)&lt;=2),AND(LEN(B60)-FIND(".",B60,FIND(".",B60)+1)=4,FIND(".",B60)&gt;=2,FIND(".",B60)&lt;=3)),FIND(".",B60,FIND(".",B60)+1)-FIND(".",B60)&gt;=2,FIND(".",B60,FIND(".",B60)+1)-FIND(".",B60)&lt;=3,F60&gt;=2000,F60&lt;=2100,YEAR(I60)=F60,MONTH(I60)=G60,DAY(I60)=H60),I60,0)),0)</ns0:f>
        <ns0:v>0</ns0:v>
      </ns0:c>
      <ns0:c r="K60" s="0">
        <ns0:f>IFERROR(IF(ISNUMBER(Bookings!D60),"",TRIM(Bookings!D60&amp;"")),"")</ns0:f>
      </ns0:c>
      <ns0:c r="L60" s="0">
        <ns0:f>IFERROR(SUBSTITUTE(SUBSTITUTE(K60,"/","."),"-","."),"")</ns0:f>
      </ns0:c>
      <ns0:c r="M60" s="0">
        <ns0:f>IFERROR(LEFT(L60,FIND(".",L60)-1),"")</ns0:f>
      </ns0:c>
      <ns0:c r="N60" s="0">
        <ns0:f>IFERROR(MID(L60,FIND(".",L60)+1,FIND(".",L60,FIND(".",L60)+1)-FIND(".",L60)-1),"")</ns0:f>
      </ns0:c>
      <ns0:c r="O60" s="0">
        <ns0:f>IFERROR(MID(L60,FIND(".",L60,FIND(".",L60)+1)+1,99),"")</ns0:f>
        <ns0:v>99</ns0:v>
      </ns0:c>
      <ns0:c r="P60" s="0">
        <ns0:f>IFERROR(IF(FIND(".",L60)=5,--M60,--O60),0)</ns0:f>
        <ns0:v>0</ns0:v>
      </ns0:c>
      <ns0:c r="Q60" s="0">
        <ns0:f>IFERROR(--N60,0)</ns0:f>
        <ns0:v>0</ns0:v>
      </ns0:c>
      <ns0:c r="R60" s="0">
        <ns0:f>IFERROR(IF(FIND(".",L60)=5,--O60,--M60),0)</ns0:f>
        <ns0:v>0</ns0:v>
      </ns0:c>
      <ns0:c r="S60" s="0">
        <ns0:f>IFERROR(IF(AND(P60&gt;=2000,P60&lt;=2100,Q60&gt;=1,Q60&lt;=12,R60&gt;=1,R60&lt;=31),DATE(P60,Q60,R60),0),0)</ns0:f>
        <ns0:v>0</ns0:v>
      </ns0:c>
      <ns0:c r="T60" s="0">
        <ns0:f>IFERROR(IF(ISNUMBER(Bookings!D60),IF(AND(Bookings!D60=INT(Bookings!D60),Bookings!D60&gt;=DATE(2000,1,1),Bookings!D60&lt;=DATE(2100,12,31)),Bookings!D60,0),IF(AND(K60&lt;&gt;"",LEN("x"&amp;L60)-LEN(SUBSTITUTE("x"&amp;L60,".",""))=2,OR(1&gt;LEN(L60),MID(L60,1,1)=".",ISNUMBER(FIND("x"&amp;MID(L60,1,1),"x0x1x2x3x4x5x6x7x8x9"))),OR(2&gt;LEN(L60),MID(L60,2,1)=".",ISNUMBER(FIND("x"&amp;MID(L60,2,1),"x0x1x2x3x4x5x6x7x8x9"))),OR(3&gt;LEN(L60),MID(L60,3,1)=".",ISNUMBER(FIND("x"&amp;MID(L60,3,1),"x0x1x2x3x4x5x6x7x8x9"))),OR(4&gt;LEN(L60),MID(L60,4,1)=".",ISNUMBER(FIND("x"&amp;MID(L60,4,1),"x0x1x2x3x4x5x6x7x8x9"))),OR(5&gt;LEN(L60),MID(L60,5,1)=".",ISNUMBER(FIND("x"&amp;MID(L60,5,1),"x0x1x2x3x4x5x6x7x8x9"))),OR(6&gt;LEN(L60),MID(L60,6,1)=".",ISNUMBER(FIND("x"&amp;MID(L60,6,1),"x0x1x2x3x4x5x6x7x8x9"))),OR(7&gt;LEN(L60),MID(L60,7,1)=".",ISNUMBER(FIND("x"&amp;MID(L60,7,1),"x0x1x2x3x4x5x6x7x8x9"))),OR(8&gt;LEN(L60),MID(L60,8,1)=".",ISNUMBER(FIND("x"&amp;MID(L60,8,1),"x0x1x2x3x4x5x6x7x8x9"))),OR(9&gt;LEN(L60),MID(L60,9,1)=".",ISNUMBER(FIND("x"&amp;MID(L60,9,1),"x0x1x2x3x4x5x6x7x8x9"))),OR(10&gt;LEN(L60),MID(L60,10,1)=".",ISNUMBER(FIND("x"&amp;MID(L60,10,1),"x0x1x2x3x4x5x6x7x8x9"))),OR(AND(FIND(".",L60)=5,LEN(L60)-FIND(".",L60,FIND(".",L60)+1)&gt;=1,LEN(L60)-FIND(".",L60,FIND(".",L60)+1)&lt;=2),AND(LEN(L60)-FIND(".",L60,FIND(".",L60)+1)=4,FIND(".",L60)&gt;=2,FIND(".",L60)&lt;=3)),FIND(".",L60,FIND(".",L60)+1)-FIND(".",L60)&gt;=2,FIND(".",L60,FIND(".",L60)+1)-FIND(".",L60)&lt;=3,P60&gt;=2000,P60&lt;=2100,YEAR(S60)=P60,MONTH(S60)=Q60,DAY(S60)=R60),S60,0)),0)</ns0:f>
        <ns0:v>0</ns0:v>
      </ns0:c>
      <ns0:c r="U60" s="0" t="str">
        <ns0:f>IF(Bookings!C60="","Full day",Bookings!C60)</ns0:f>
        <ns0:v>Full day</ns0:v>
      </ns0:c>
      <ns0:c r="V60" s="0" t="str">
        <ns0:f>IF(Bookings!E60="","Full day",Bookings!E60)</ns0:f>
        <ns0:v>Full day</ns0:v>
      </ns0:c>
      <ns0:c r="W60" s="0">
        <ns0:f>IF(J60=0,0,J60+IF(U60="PM",1,0))</ns0:f>
        <ns0:v>0</ns0:v>
      </ns0:c>
      <ns0:c r="X60" s="0">
        <ns0:f>IF(T60=0,0,T60-IF(V60="PM",1,0))</ns0:f>
        <ns0:v>0</ns0:v>
      </ns0:c>
      <ns0:c r="Y60" s="0">
        <ns0:f>IF(J60=0,0,J60+IF(U60="AM",1,0))</ns0:f>
        <ns0:v>0</ns0:v>
      </ns0:c>
      <ns0:c r="Z60" s="0">
        <ns0:f>IF(T60=0,0,T60-IF(V60="AM",1,0))</ns0:f>
        <ns0:v>0</ns0:v>
      </ns0:c>
      <ns0:c r="AA60" s="0">
        <ns0:f>IFERROR(IF(AND(J60&gt;0,'_Engine'!C60&gt;0,MID('_Engine'!W60,WEEKDAY(J60,2),1)="W",COUNTIF(Settings!$F$18:$F$67,J60)=0),1,0),0)</ns0:f>
        <ns0:v>0</ns0:v>
      </ns0:c>
      <ns0:c r="AB60" s="0">
        <ns0:f>IFERROR(IF(AND(T60&gt;0,'_Engine'!C60&gt;0,MID('_Engine'!W60,WEEKDAY(T60,2),1)="W",COUNTIF(Settings!$F$18:$F$67,T60)=0),1,0),0)</ns0:f>
        <ns0:v>0</ns0:v>
      </ns0:c>
      <ns0:c r="AC60" s="0">
        <ns0:f>IF(AND(J60&gt;0,T60&gt;0,W60&lt;=X60),1,0)</ns0:f>
        <ns0:v>0</ns0:v>
      </ns0:c>
      <ns0:c r="AD60" s="0">
        <ns0:f>IF(AND(J60&gt;0,T60&gt;0,Y60&lt;=Z60),1,0)</ns0:f>
        <ns0:v>0</ns0:v>
      </ns0:c>
    </ns0:row>
    <ns0:row r="61">
      <ns0:c r="A61" s="0">
        <ns0:f>IFERROR(IF(ISNUMBER(Bookings!B61),"",TRIM(Bookings!B61&amp;"")),"")</ns0:f>
      </ns0:c>
      <ns0:c r="B61" s="0">
        <ns0:f>IFERROR(SUBSTITUTE(SUBSTITUTE(A61,"/","."),"-","."),"")</ns0:f>
      </ns0:c>
      <ns0:c r="C61" s="0">
        <ns0:f>IFERROR(LEFT(B61,FIND(".",B61)-1),"")</ns0:f>
      </ns0:c>
      <ns0:c r="D61" s="0">
        <ns0:f>IFERROR(MID(B61,FIND(".",B61)+1,FIND(".",B61,FIND(".",B61)+1)-FIND(".",B61)-1),"")</ns0:f>
      </ns0:c>
      <ns0:c r="E61" s="0">
        <ns0:f>IFERROR(MID(B61,FIND(".",B61,FIND(".",B61)+1)+1,99),"")</ns0:f>
        <ns0:v>99</ns0:v>
      </ns0:c>
      <ns0:c r="F61" s="0">
        <ns0:f>IFERROR(IF(FIND(".",B61)=5,--C61,--E61),0)</ns0:f>
        <ns0:v>0</ns0:v>
      </ns0:c>
      <ns0:c r="G61" s="0">
        <ns0:f>IFERROR(--D61,0)</ns0:f>
        <ns0:v>0</ns0:v>
      </ns0:c>
      <ns0:c r="H61" s="0">
        <ns0:f>IFERROR(IF(FIND(".",B61)=5,--E61,--C61),0)</ns0:f>
        <ns0:v>0</ns0:v>
      </ns0:c>
      <ns0:c r="I61" s="0">
        <ns0:f>IFERROR(IF(AND(F61&gt;=2000,F61&lt;=2100,G61&gt;=1,G61&lt;=12,H61&gt;=1,H61&lt;=31),DATE(F61,G61,H61),0),0)</ns0:f>
        <ns0:v>0</ns0:v>
      </ns0:c>
      <ns0:c r="J61" s="0">
        <ns0:f>IFERROR(IF(ISNUMBER(Bookings!B61),IF(AND(Bookings!B61=INT(Bookings!B61),Bookings!B61&gt;=DATE(2000,1,1),Bookings!B61&lt;=DATE(2100,12,31)),Bookings!B61,0),IF(AND(A61&lt;&gt;"",LEN("x"&amp;B61)-LEN(SUBSTITUTE("x"&amp;B61,".",""))=2,OR(1&gt;LEN(B61),MID(B61,1,1)=".",ISNUMBER(FIND("x"&amp;MID(B61,1,1),"x0x1x2x3x4x5x6x7x8x9"))),OR(2&gt;LEN(B61),MID(B61,2,1)=".",ISNUMBER(FIND("x"&amp;MID(B61,2,1),"x0x1x2x3x4x5x6x7x8x9"))),OR(3&gt;LEN(B61),MID(B61,3,1)=".",ISNUMBER(FIND("x"&amp;MID(B61,3,1),"x0x1x2x3x4x5x6x7x8x9"))),OR(4&gt;LEN(B61),MID(B61,4,1)=".",ISNUMBER(FIND("x"&amp;MID(B61,4,1),"x0x1x2x3x4x5x6x7x8x9"))),OR(5&gt;LEN(B61),MID(B61,5,1)=".",ISNUMBER(FIND("x"&amp;MID(B61,5,1),"x0x1x2x3x4x5x6x7x8x9"))),OR(6&gt;LEN(B61),MID(B61,6,1)=".",ISNUMBER(FIND("x"&amp;MID(B61,6,1),"x0x1x2x3x4x5x6x7x8x9"))),OR(7&gt;LEN(B61),MID(B61,7,1)=".",ISNUMBER(FIND("x"&amp;MID(B61,7,1),"x0x1x2x3x4x5x6x7x8x9"))),OR(8&gt;LEN(B61),MID(B61,8,1)=".",ISNUMBER(FIND("x"&amp;MID(B61,8,1),"x0x1x2x3x4x5x6x7x8x9"))),OR(9&gt;LEN(B61),MID(B61,9,1)=".",ISNUMBER(FIND("x"&amp;MID(B61,9,1),"x0x1x2x3x4x5x6x7x8x9"))),OR(10&gt;LEN(B61),MID(B61,10,1)=".",ISNUMBER(FIND("x"&amp;MID(B61,10,1),"x0x1x2x3x4x5x6x7x8x9"))),OR(AND(FIND(".",B61)=5,LEN(B61)-FIND(".",B61,FIND(".",B61)+1)&gt;=1,LEN(B61)-FIND(".",B61,FIND(".",B61)+1)&lt;=2),AND(LEN(B61)-FIND(".",B61,FIND(".",B61)+1)=4,FIND(".",B61)&gt;=2,FIND(".",B61)&lt;=3)),FIND(".",B61,FIND(".",B61)+1)-FIND(".",B61)&gt;=2,FIND(".",B61,FIND(".",B61)+1)-FIND(".",B61)&lt;=3,F61&gt;=2000,F61&lt;=2100,YEAR(I61)=F61,MONTH(I61)=G61,DAY(I61)=H61),I61,0)),0)</ns0:f>
        <ns0:v>0</ns0:v>
      </ns0:c>
      <ns0:c r="K61" s="0">
        <ns0:f>IFERROR(IF(ISNUMBER(Bookings!D61),"",TRIM(Bookings!D61&amp;"")),"")</ns0:f>
      </ns0:c>
      <ns0:c r="L61" s="0">
        <ns0:f>IFERROR(SUBSTITUTE(SUBSTITUTE(K61,"/","."),"-","."),"")</ns0:f>
      </ns0:c>
      <ns0:c r="M61" s="0">
        <ns0:f>IFERROR(LEFT(L61,FIND(".",L61)-1),"")</ns0:f>
      </ns0:c>
      <ns0:c r="N61" s="0">
        <ns0:f>IFERROR(MID(L61,FIND(".",L61)+1,FIND(".",L61,FIND(".",L61)+1)-FIND(".",L61)-1),"")</ns0:f>
      </ns0:c>
      <ns0:c r="O61" s="0">
        <ns0:f>IFERROR(MID(L61,FIND(".",L61,FIND(".",L61)+1)+1,99),"")</ns0:f>
        <ns0:v>99</ns0:v>
      </ns0:c>
      <ns0:c r="P61" s="0">
        <ns0:f>IFERROR(IF(FIND(".",L61)=5,--M61,--O61),0)</ns0:f>
        <ns0:v>0</ns0:v>
      </ns0:c>
      <ns0:c r="Q61" s="0">
        <ns0:f>IFERROR(--N61,0)</ns0:f>
        <ns0:v>0</ns0:v>
      </ns0:c>
      <ns0:c r="R61" s="0">
        <ns0:f>IFERROR(IF(FIND(".",L61)=5,--O61,--M61),0)</ns0:f>
        <ns0:v>0</ns0:v>
      </ns0:c>
      <ns0:c r="S61" s="0">
        <ns0:f>IFERROR(IF(AND(P61&gt;=2000,P61&lt;=2100,Q61&gt;=1,Q61&lt;=12,R61&gt;=1,R61&lt;=31),DATE(P61,Q61,R61),0),0)</ns0:f>
        <ns0:v>0</ns0:v>
      </ns0:c>
      <ns0:c r="T61" s="0">
        <ns0:f>IFERROR(IF(ISNUMBER(Bookings!D61),IF(AND(Bookings!D61=INT(Bookings!D61),Bookings!D61&gt;=DATE(2000,1,1),Bookings!D61&lt;=DATE(2100,12,31)),Bookings!D61,0),IF(AND(K61&lt;&gt;"",LEN("x"&amp;L61)-LEN(SUBSTITUTE("x"&amp;L61,".",""))=2,OR(1&gt;LEN(L61),MID(L61,1,1)=".",ISNUMBER(FIND("x"&amp;MID(L61,1,1),"x0x1x2x3x4x5x6x7x8x9"))),OR(2&gt;LEN(L61),MID(L61,2,1)=".",ISNUMBER(FIND("x"&amp;MID(L61,2,1),"x0x1x2x3x4x5x6x7x8x9"))),OR(3&gt;LEN(L61),MID(L61,3,1)=".",ISNUMBER(FIND("x"&amp;MID(L61,3,1),"x0x1x2x3x4x5x6x7x8x9"))),OR(4&gt;LEN(L61),MID(L61,4,1)=".",ISNUMBER(FIND("x"&amp;MID(L61,4,1),"x0x1x2x3x4x5x6x7x8x9"))),OR(5&gt;LEN(L61),MID(L61,5,1)=".",ISNUMBER(FIND("x"&amp;MID(L61,5,1),"x0x1x2x3x4x5x6x7x8x9"))),OR(6&gt;LEN(L61),MID(L61,6,1)=".",ISNUMBER(FIND("x"&amp;MID(L61,6,1),"x0x1x2x3x4x5x6x7x8x9"))),OR(7&gt;LEN(L61),MID(L61,7,1)=".",ISNUMBER(FIND("x"&amp;MID(L61,7,1),"x0x1x2x3x4x5x6x7x8x9"))),OR(8&gt;LEN(L61),MID(L61,8,1)=".",ISNUMBER(FIND("x"&amp;MID(L61,8,1),"x0x1x2x3x4x5x6x7x8x9"))),OR(9&gt;LEN(L61),MID(L61,9,1)=".",ISNUMBER(FIND("x"&amp;MID(L61,9,1),"x0x1x2x3x4x5x6x7x8x9"))),OR(10&gt;LEN(L61),MID(L61,10,1)=".",ISNUMBER(FIND("x"&amp;MID(L61,10,1),"x0x1x2x3x4x5x6x7x8x9"))),OR(AND(FIND(".",L61)=5,LEN(L61)-FIND(".",L61,FIND(".",L61)+1)&gt;=1,LEN(L61)-FIND(".",L61,FIND(".",L61)+1)&lt;=2),AND(LEN(L61)-FIND(".",L61,FIND(".",L61)+1)=4,FIND(".",L61)&gt;=2,FIND(".",L61)&lt;=3)),FIND(".",L61,FIND(".",L61)+1)-FIND(".",L61)&gt;=2,FIND(".",L61,FIND(".",L61)+1)-FIND(".",L61)&lt;=3,P61&gt;=2000,P61&lt;=2100,YEAR(S61)=P61,MONTH(S61)=Q61,DAY(S61)=R61),S61,0)),0)</ns0:f>
        <ns0:v>0</ns0:v>
      </ns0:c>
      <ns0:c r="U61" s="0" t="str">
        <ns0:f>IF(Bookings!C61="","Full day",Bookings!C61)</ns0:f>
        <ns0:v>Full day</ns0:v>
      </ns0:c>
      <ns0:c r="V61" s="0" t="str">
        <ns0:f>IF(Bookings!E61="","Full day",Bookings!E61)</ns0:f>
        <ns0:v>Full day</ns0:v>
      </ns0:c>
      <ns0:c r="W61" s="0">
        <ns0:f>IF(J61=0,0,J61+IF(U61="PM",1,0))</ns0:f>
        <ns0:v>0</ns0:v>
      </ns0:c>
      <ns0:c r="X61" s="0">
        <ns0:f>IF(T61=0,0,T61-IF(V61="PM",1,0))</ns0:f>
        <ns0:v>0</ns0:v>
      </ns0:c>
      <ns0:c r="Y61" s="0">
        <ns0:f>IF(J61=0,0,J61+IF(U61="AM",1,0))</ns0:f>
        <ns0:v>0</ns0:v>
      </ns0:c>
      <ns0:c r="Z61" s="0">
        <ns0:f>IF(T61=0,0,T61-IF(V61="AM",1,0))</ns0:f>
        <ns0:v>0</ns0:v>
      </ns0:c>
      <ns0:c r="AA61" s="0">
        <ns0:f>IFERROR(IF(AND(J61&gt;0,'_Engine'!C61&gt;0,MID('_Engine'!W61,WEEKDAY(J61,2),1)="W",COUNTIF(Settings!$F$18:$F$67,J61)=0),1,0),0)</ns0:f>
        <ns0:v>0</ns0:v>
      </ns0:c>
      <ns0:c r="AB61" s="0">
        <ns0:f>IFERROR(IF(AND(T61&gt;0,'_Engine'!C61&gt;0,MID('_Engine'!W61,WEEKDAY(T61,2),1)="W",COUNTIF(Settings!$F$18:$F$67,T61)=0),1,0),0)</ns0:f>
        <ns0:v>0</ns0:v>
      </ns0:c>
      <ns0:c r="AC61" s="0">
        <ns0:f>IF(AND(J61&gt;0,T61&gt;0,W61&lt;=X61),1,0)</ns0:f>
        <ns0:v>0</ns0:v>
      </ns0:c>
      <ns0:c r="AD61" s="0">
        <ns0:f>IF(AND(J61&gt;0,T61&gt;0,Y61&lt;=Z61),1,0)</ns0:f>
        <ns0:v>0</ns0:v>
      </ns0:c>
    </ns0:row>
    <ns0:row r="62">
      <ns0:c r="A62" s="0">
        <ns0:f>IFERROR(IF(ISNUMBER(Bookings!B62),"",TRIM(Bookings!B62&amp;"")),"")</ns0:f>
      </ns0:c>
      <ns0:c r="B62" s="0">
        <ns0:f>IFERROR(SUBSTITUTE(SUBSTITUTE(A62,"/","."),"-","."),"")</ns0:f>
      </ns0:c>
      <ns0:c r="C62" s="0">
        <ns0:f>IFERROR(LEFT(B62,FIND(".",B62)-1),"")</ns0:f>
      </ns0:c>
      <ns0:c r="D62" s="0">
        <ns0:f>IFERROR(MID(B62,FIND(".",B62)+1,FIND(".",B62,FIND(".",B62)+1)-FIND(".",B62)-1),"")</ns0:f>
      </ns0:c>
      <ns0:c r="E62" s="0">
        <ns0:f>IFERROR(MID(B62,FIND(".",B62,FIND(".",B62)+1)+1,99),"")</ns0:f>
        <ns0:v>99</ns0:v>
      </ns0:c>
      <ns0:c r="F62" s="0">
        <ns0:f>IFERROR(IF(FIND(".",B62)=5,--C62,--E62),0)</ns0:f>
        <ns0:v>0</ns0:v>
      </ns0:c>
      <ns0:c r="G62" s="0">
        <ns0:f>IFERROR(--D62,0)</ns0:f>
        <ns0:v>0</ns0:v>
      </ns0:c>
      <ns0:c r="H62" s="0">
        <ns0:f>IFERROR(IF(FIND(".",B62)=5,--E62,--C62),0)</ns0:f>
        <ns0:v>0</ns0:v>
      </ns0:c>
      <ns0:c r="I62" s="0">
        <ns0:f>IFERROR(IF(AND(F62&gt;=2000,F62&lt;=2100,G62&gt;=1,G62&lt;=12,H62&gt;=1,H62&lt;=31),DATE(F62,G62,H62),0),0)</ns0:f>
        <ns0:v>0</ns0:v>
      </ns0:c>
      <ns0:c r="J62" s="0">
        <ns0:f>IFERROR(IF(ISNUMBER(Bookings!B62),IF(AND(Bookings!B62=INT(Bookings!B62),Bookings!B62&gt;=DATE(2000,1,1),Bookings!B62&lt;=DATE(2100,12,31)),Bookings!B62,0),IF(AND(A62&lt;&gt;"",LEN("x"&amp;B62)-LEN(SUBSTITUTE("x"&amp;B62,".",""))=2,OR(1&gt;LEN(B62),MID(B62,1,1)=".",ISNUMBER(FIND("x"&amp;MID(B62,1,1),"x0x1x2x3x4x5x6x7x8x9"))),OR(2&gt;LEN(B62),MID(B62,2,1)=".",ISNUMBER(FIND("x"&amp;MID(B62,2,1),"x0x1x2x3x4x5x6x7x8x9"))),OR(3&gt;LEN(B62),MID(B62,3,1)=".",ISNUMBER(FIND("x"&amp;MID(B62,3,1),"x0x1x2x3x4x5x6x7x8x9"))),OR(4&gt;LEN(B62),MID(B62,4,1)=".",ISNUMBER(FIND("x"&amp;MID(B62,4,1),"x0x1x2x3x4x5x6x7x8x9"))),OR(5&gt;LEN(B62),MID(B62,5,1)=".",ISNUMBER(FIND("x"&amp;MID(B62,5,1),"x0x1x2x3x4x5x6x7x8x9"))),OR(6&gt;LEN(B62),MID(B62,6,1)=".",ISNUMBER(FIND("x"&amp;MID(B62,6,1),"x0x1x2x3x4x5x6x7x8x9"))),OR(7&gt;LEN(B62),MID(B62,7,1)=".",ISNUMBER(FIND("x"&amp;MID(B62,7,1),"x0x1x2x3x4x5x6x7x8x9"))),OR(8&gt;LEN(B62),MID(B62,8,1)=".",ISNUMBER(FIND("x"&amp;MID(B62,8,1),"x0x1x2x3x4x5x6x7x8x9"))),OR(9&gt;LEN(B62),MID(B62,9,1)=".",ISNUMBER(FIND("x"&amp;MID(B62,9,1),"x0x1x2x3x4x5x6x7x8x9"))),OR(10&gt;LEN(B62),MID(B62,10,1)=".",ISNUMBER(FIND("x"&amp;MID(B62,10,1),"x0x1x2x3x4x5x6x7x8x9"))),OR(AND(FIND(".",B62)=5,LEN(B62)-FIND(".",B62,FIND(".",B62)+1)&gt;=1,LEN(B62)-FIND(".",B62,FIND(".",B62)+1)&lt;=2),AND(LEN(B62)-FIND(".",B62,FIND(".",B62)+1)=4,FIND(".",B62)&gt;=2,FIND(".",B62)&lt;=3)),FIND(".",B62,FIND(".",B62)+1)-FIND(".",B62)&gt;=2,FIND(".",B62,FIND(".",B62)+1)-FIND(".",B62)&lt;=3,F62&gt;=2000,F62&lt;=2100,YEAR(I62)=F62,MONTH(I62)=G62,DAY(I62)=H62),I62,0)),0)</ns0:f>
        <ns0:v>0</ns0:v>
      </ns0:c>
      <ns0:c r="K62" s="0">
        <ns0:f>IFERROR(IF(ISNUMBER(Bookings!D62),"",TRIM(Bookings!D62&amp;"")),"")</ns0:f>
      </ns0:c>
      <ns0:c r="L62" s="0">
        <ns0:f>IFERROR(SUBSTITUTE(SUBSTITUTE(K62,"/","."),"-","."),"")</ns0:f>
      </ns0:c>
      <ns0:c r="M62" s="0">
        <ns0:f>IFERROR(LEFT(L62,FIND(".",L62)-1),"")</ns0:f>
      </ns0:c>
      <ns0:c r="N62" s="0">
        <ns0:f>IFERROR(MID(L62,FIND(".",L62)+1,FIND(".",L62,FIND(".",L62)+1)-FIND(".",L62)-1),"")</ns0:f>
      </ns0:c>
      <ns0:c r="O62" s="0">
        <ns0:f>IFERROR(MID(L62,FIND(".",L62,FIND(".",L62)+1)+1,99),"")</ns0:f>
        <ns0:v>99</ns0:v>
      </ns0:c>
      <ns0:c r="P62" s="0">
        <ns0:f>IFERROR(IF(FIND(".",L62)=5,--M62,--O62),0)</ns0:f>
        <ns0:v>0</ns0:v>
      </ns0:c>
      <ns0:c r="Q62" s="0">
        <ns0:f>IFERROR(--N62,0)</ns0:f>
        <ns0:v>0</ns0:v>
      </ns0:c>
      <ns0:c r="R62" s="0">
        <ns0:f>IFERROR(IF(FIND(".",L62)=5,--O62,--M62),0)</ns0:f>
        <ns0:v>0</ns0:v>
      </ns0:c>
      <ns0:c r="S62" s="0">
        <ns0:f>IFERROR(IF(AND(P62&gt;=2000,P62&lt;=2100,Q62&gt;=1,Q62&lt;=12,R62&gt;=1,R62&lt;=31),DATE(P62,Q62,R62),0),0)</ns0:f>
        <ns0:v>0</ns0:v>
      </ns0:c>
      <ns0:c r="T62" s="0">
        <ns0:f>IFERROR(IF(ISNUMBER(Bookings!D62),IF(AND(Bookings!D62=INT(Bookings!D62),Bookings!D62&gt;=DATE(2000,1,1),Bookings!D62&lt;=DATE(2100,12,31)),Bookings!D62,0),IF(AND(K62&lt;&gt;"",LEN("x"&amp;L62)-LEN(SUBSTITUTE("x"&amp;L62,".",""))=2,OR(1&gt;LEN(L62),MID(L62,1,1)=".",ISNUMBER(FIND("x"&amp;MID(L62,1,1),"x0x1x2x3x4x5x6x7x8x9"))),OR(2&gt;LEN(L62),MID(L62,2,1)=".",ISNUMBER(FIND("x"&amp;MID(L62,2,1),"x0x1x2x3x4x5x6x7x8x9"))),OR(3&gt;LEN(L62),MID(L62,3,1)=".",ISNUMBER(FIND("x"&amp;MID(L62,3,1),"x0x1x2x3x4x5x6x7x8x9"))),OR(4&gt;LEN(L62),MID(L62,4,1)=".",ISNUMBER(FIND("x"&amp;MID(L62,4,1),"x0x1x2x3x4x5x6x7x8x9"))),OR(5&gt;LEN(L62),MID(L62,5,1)=".",ISNUMBER(FIND("x"&amp;MID(L62,5,1),"x0x1x2x3x4x5x6x7x8x9"))),OR(6&gt;LEN(L62),MID(L62,6,1)=".",ISNUMBER(FIND("x"&amp;MID(L62,6,1),"x0x1x2x3x4x5x6x7x8x9"))),OR(7&gt;LEN(L62),MID(L62,7,1)=".",ISNUMBER(FIND("x"&amp;MID(L62,7,1),"x0x1x2x3x4x5x6x7x8x9"))),OR(8&gt;LEN(L62),MID(L62,8,1)=".",ISNUMBER(FIND("x"&amp;MID(L62,8,1),"x0x1x2x3x4x5x6x7x8x9"))),OR(9&gt;LEN(L62),MID(L62,9,1)=".",ISNUMBER(FIND("x"&amp;MID(L62,9,1),"x0x1x2x3x4x5x6x7x8x9"))),OR(10&gt;LEN(L62),MID(L62,10,1)=".",ISNUMBER(FIND("x"&amp;MID(L62,10,1),"x0x1x2x3x4x5x6x7x8x9"))),OR(AND(FIND(".",L62)=5,LEN(L62)-FIND(".",L62,FIND(".",L62)+1)&gt;=1,LEN(L62)-FIND(".",L62,FIND(".",L62)+1)&lt;=2),AND(LEN(L62)-FIND(".",L62,FIND(".",L62)+1)=4,FIND(".",L62)&gt;=2,FIND(".",L62)&lt;=3)),FIND(".",L62,FIND(".",L62)+1)-FIND(".",L62)&gt;=2,FIND(".",L62,FIND(".",L62)+1)-FIND(".",L62)&lt;=3,P62&gt;=2000,P62&lt;=2100,YEAR(S62)=P62,MONTH(S62)=Q62,DAY(S62)=R62),S62,0)),0)</ns0:f>
        <ns0:v>0</ns0:v>
      </ns0:c>
      <ns0:c r="U62" s="0" t="str">
        <ns0:f>IF(Bookings!C62="","Full day",Bookings!C62)</ns0:f>
        <ns0:v>Full day</ns0:v>
      </ns0:c>
      <ns0:c r="V62" s="0" t="str">
        <ns0:f>IF(Bookings!E62="","Full day",Bookings!E62)</ns0:f>
        <ns0:v>Full day</ns0:v>
      </ns0:c>
      <ns0:c r="W62" s="0">
        <ns0:f>IF(J62=0,0,J62+IF(U62="PM",1,0))</ns0:f>
        <ns0:v>0</ns0:v>
      </ns0:c>
      <ns0:c r="X62" s="0">
        <ns0:f>IF(T62=0,0,T62-IF(V62="PM",1,0))</ns0:f>
        <ns0:v>0</ns0:v>
      </ns0:c>
      <ns0:c r="Y62" s="0">
        <ns0:f>IF(J62=0,0,J62+IF(U62="AM",1,0))</ns0:f>
        <ns0:v>0</ns0:v>
      </ns0:c>
      <ns0:c r="Z62" s="0">
        <ns0:f>IF(T62=0,0,T62-IF(V62="AM",1,0))</ns0:f>
        <ns0:v>0</ns0:v>
      </ns0:c>
      <ns0:c r="AA62" s="0">
        <ns0:f>IFERROR(IF(AND(J62&gt;0,'_Engine'!C62&gt;0,MID('_Engine'!W62,WEEKDAY(J62,2),1)="W",COUNTIF(Settings!$F$18:$F$67,J62)=0),1,0),0)</ns0:f>
        <ns0:v>0</ns0:v>
      </ns0:c>
      <ns0:c r="AB62" s="0">
        <ns0:f>IFERROR(IF(AND(T62&gt;0,'_Engine'!C62&gt;0,MID('_Engine'!W62,WEEKDAY(T62,2),1)="W",COUNTIF(Settings!$F$18:$F$67,T62)=0),1,0),0)</ns0:f>
        <ns0:v>0</ns0:v>
      </ns0:c>
      <ns0:c r="AC62" s="0">
        <ns0:f>IF(AND(J62&gt;0,T62&gt;0,W62&lt;=X62),1,0)</ns0:f>
        <ns0:v>0</ns0:v>
      </ns0:c>
      <ns0:c r="AD62" s="0">
        <ns0:f>IF(AND(J62&gt;0,T62&gt;0,Y62&lt;=Z62),1,0)</ns0:f>
        <ns0:v>0</ns0:v>
      </ns0:c>
    </ns0:row>
    <ns0:row r="63">
      <ns0:c r="A63" s="0">
        <ns0:f>IFERROR(IF(ISNUMBER(Bookings!B63),"",TRIM(Bookings!B63&amp;"")),"")</ns0:f>
      </ns0:c>
      <ns0:c r="B63" s="0">
        <ns0:f>IFERROR(SUBSTITUTE(SUBSTITUTE(A63,"/","."),"-","."),"")</ns0:f>
      </ns0:c>
      <ns0:c r="C63" s="0">
        <ns0:f>IFERROR(LEFT(B63,FIND(".",B63)-1),"")</ns0:f>
      </ns0:c>
      <ns0:c r="D63" s="0">
        <ns0:f>IFERROR(MID(B63,FIND(".",B63)+1,FIND(".",B63,FIND(".",B63)+1)-FIND(".",B63)-1),"")</ns0:f>
      </ns0:c>
      <ns0:c r="E63" s="0">
        <ns0:f>IFERROR(MID(B63,FIND(".",B63,FIND(".",B63)+1)+1,99),"")</ns0:f>
        <ns0:v>99</ns0:v>
      </ns0:c>
      <ns0:c r="F63" s="0">
        <ns0:f>IFERROR(IF(FIND(".",B63)=5,--C63,--E63),0)</ns0:f>
        <ns0:v>0</ns0:v>
      </ns0:c>
      <ns0:c r="G63" s="0">
        <ns0:f>IFERROR(--D63,0)</ns0:f>
        <ns0:v>0</ns0:v>
      </ns0:c>
      <ns0:c r="H63" s="0">
        <ns0:f>IFERROR(IF(FIND(".",B63)=5,--E63,--C63),0)</ns0:f>
        <ns0:v>0</ns0:v>
      </ns0:c>
      <ns0:c r="I63" s="0">
        <ns0:f>IFERROR(IF(AND(F63&gt;=2000,F63&lt;=2100,G63&gt;=1,G63&lt;=12,H63&gt;=1,H63&lt;=31),DATE(F63,G63,H63),0),0)</ns0:f>
        <ns0:v>0</ns0:v>
      </ns0:c>
      <ns0:c r="J63" s="0">
        <ns0:f>IFERROR(IF(ISNUMBER(Bookings!B63),IF(AND(Bookings!B63=INT(Bookings!B63),Bookings!B63&gt;=DATE(2000,1,1),Bookings!B63&lt;=DATE(2100,12,31)),Bookings!B63,0),IF(AND(A63&lt;&gt;"",LEN("x"&amp;B63)-LEN(SUBSTITUTE("x"&amp;B63,".",""))=2,OR(1&gt;LEN(B63),MID(B63,1,1)=".",ISNUMBER(FIND("x"&amp;MID(B63,1,1),"x0x1x2x3x4x5x6x7x8x9"))),OR(2&gt;LEN(B63),MID(B63,2,1)=".",ISNUMBER(FIND("x"&amp;MID(B63,2,1),"x0x1x2x3x4x5x6x7x8x9"))),OR(3&gt;LEN(B63),MID(B63,3,1)=".",ISNUMBER(FIND("x"&amp;MID(B63,3,1),"x0x1x2x3x4x5x6x7x8x9"))),OR(4&gt;LEN(B63),MID(B63,4,1)=".",ISNUMBER(FIND("x"&amp;MID(B63,4,1),"x0x1x2x3x4x5x6x7x8x9"))),OR(5&gt;LEN(B63),MID(B63,5,1)=".",ISNUMBER(FIND("x"&amp;MID(B63,5,1),"x0x1x2x3x4x5x6x7x8x9"))),OR(6&gt;LEN(B63),MID(B63,6,1)=".",ISNUMBER(FIND("x"&amp;MID(B63,6,1),"x0x1x2x3x4x5x6x7x8x9"))),OR(7&gt;LEN(B63),MID(B63,7,1)=".",ISNUMBER(FIND("x"&amp;MID(B63,7,1),"x0x1x2x3x4x5x6x7x8x9"))),OR(8&gt;LEN(B63),MID(B63,8,1)=".",ISNUMBER(FIND("x"&amp;MID(B63,8,1),"x0x1x2x3x4x5x6x7x8x9"))),OR(9&gt;LEN(B63),MID(B63,9,1)=".",ISNUMBER(FIND("x"&amp;MID(B63,9,1),"x0x1x2x3x4x5x6x7x8x9"))),OR(10&gt;LEN(B63),MID(B63,10,1)=".",ISNUMBER(FIND("x"&amp;MID(B63,10,1),"x0x1x2x3x4x5x6x7x8x9"))),OR(AND(FIND(".",B63)=5,LEN(B63)-FIND(".",B63,FIND(".",B63)+1)&gt;=1,LEN(B63)-FIND(".",B63,FIND(".",B63)+1)&lt;=2),AND(LEN(B63)-FIND(".",B63,FIND(".",B63)+1)=4,FIND(".",B63)&gt;=2,FIND(".",B63)&lt;=3)),FIND(".",B63,FIND(".",B63)+1)-FIND(".",B63)&gt;=2,FIND(".",B63,FIND(".",B63)+1)-FIND(".",B63)&lt;=3,F63&gt;=2000,F63&lt;=2100,YEAR(I63)=F63,MONTH(I63)=G63,DAY(I63)=H63),I63,0)),0)</ns0:f>
        <ns0:v>0</ns0:v>
      </ns0:c>
      <ns0:c r="K63" s="0">
        <ns0:f>IFERROR(IF(ISNUMBER(Bookings!D63),"",TRIM(Bookings!D63&amp;"")),"")</ns0:f>
      </ns0:c>
      <ns0:c r="L63" s="0">
        <ns0:f>IFERROR(SUBSTITUTE(SUBSTITUTE(K63,"/","."),"-","."),"")</ns0:f>
      </ns0:c>
      <ns0:c r="M63" s="0">
        <ns0:f>IFERROR(LEFT(L63,FIND(".",L63)-1),"")</ns0:f>
      </ns0:c>
      <ns0:c r="N63" s="0">
        <ns0:f>IFERROR(MID(L63,FIND(".",L63)+1,FIND(".",L63,FIND(".",L63)+1)-FIND(".",L63)-1),"")</ns0:f>
      </ns0:c>
      <ns0:c r="O63" s="0">
        <ns0:f>IFERROR(MID(L63,FIND(".",L63,FIND(".",L63)+1)+1,99),"")</ns0:f>
        <ns0:v>99</ns0:v>
      </ns0:c>
      <ns0:c r="P63" s="0">
        <ns0:f>IFERROR(IF(FIND(".",L63)=5,--M63,--O63),0)</ns0:f>
        <ns0:v>0</ns0:v>
      </ns0:c>
      <ns0:c r="Q63" s="0">
        <ns0:f>IFERROR(--N63,0)</ns0:f>
        <ns0:v>0</ns0:v>
      </ns0:c>
      <ns0:c r="R63" s="0">
        <ns0:f>IFERROR(IF(FIND(".",L63)=5,--O63,--M63),0)</ns0:f>
        <ns0:v>0</ns0:v>
      </ns0:c>
      <ns0:c r="S63" s="0">
        <ns0:f>IFERROR(IF(AND(P63&gt;=2000,P63&lt;=2100,Q63&gt;=1,Q63&lt;=12,R63&gt;=1,R63&lt;=31),DATE(P63,Q63,R63),0),0)</ns0:f>
        <ns0:v>0</ns0:v>
      </ns0:c>
      <ns0:c r="T63" s="0">
        <ns0:f>IFERROR(IF(ISNUMBER(Bookings!D63),IF(AND(Bookings!D63=INT(Bookings!D63),Bookings!D63&gt;=DATE(2000,1,1),Bookings!D63&lt;=DATE(2100,12,31)),Bookings!D63,0),IF(AND(K63&lt;&gt;"",LEN("x"&amp;L63)-LEN(SUBSTITUTE("x"&amp;L63,".",""))=2,OR(1&gt;LEN(L63),MID(L63,1,1)=".",ISNUMBER(FIND("x"&amp;MID(L63,1,1),"x0x1x2x3x4x5x6x7x8x9"))),OR(2&gt;LEN(L63),MID(L63,2,1)=".",ISNUMBER(FIND("x"&amp;MID(L63,2,1),"x0x1x2x3x4x5x6x7x8x9"))),OR(3&gt;LEN(L63),MID(L63,3,1)=".",ISNUMBER(FIND("x"&amp;MID(L63,3,1),"x0x1x2x3x4x5x6x7x8x9"))),OR(4&gt;LEN(L63),MID(L63,4,1)=".",ISNUMBER(FIND("x"&amp;MID(L63,4,1),"x0x1x2x3x4x5x6x7x8x9"))),OR(5&gt;LEN(L63),MID(L63,5,1)=".",ISNUMBER(FIND("x"&amp;MID(L63,5,1),"x0x1x2x3x4x5x6x7x8x9"))),OR(6&gt;LEN(L63),MID(L63,6,1)=".",ISNUMBER(FIND("x"&amp;MID(L63,6,1),"x0x1x2x3x4x5x6x7x8x9"))),OR(7&gt;LEN(L63),MID(L63,7,1)=".",ISNUMBER(FIND("x"&amp;MID(L63,7,1),"x0x1x2x3x4x5x6x7x8x9"))),OR(8&gt;LEN(L63),MID(L63,8,1)=".",ISNUMBER(FIND("x"&amp;MID(L63,8,1),"x0x1x2x3x4x5x6x7x8x9"))),OR(9&gt;LEN(L63),MID(L63,9,1)=".",ISNUMBER(FIND("x"&amp;MID(L63,9,1),"x0x1x2x3x4x5x6x7x8x9"))),OR(10&gt;LEN(L63),MID(L63,10,1)=".",ISNUMBER(FIND("x"&amp;MID(L63,10,1),"x0x1x2x3x4x5x6x7x8x9"))),OR(AND(FIND(".",L63)=5,LEN(L63)-FIND(".",L63,FIND(".",L63)+1)&gt;=1,LEN(L63)-FIND(".",L63,FIND(".",L63)+1)&lt;=2),AND(LEN(L63)-FIND(".",L63,FIND(".",L63)+1)=4,FIND(".",L63)&gt;=2,FIND(".",L63)&lt;=3)),FIND(".",L63,FIND(".",L63)+1)-FIND(".",L63)&gt;=2,FIND(".",L63,FIND(".",L63)+1)-FIND(".",L63)&lt;=3,P63&gt;=2000,P63&lt;=2100,YEAR(S63)=P63,MONTH(S63)=Q63,DAY(S63)=R63),S63,0)),0)</ns0:f>
        <ns0:v>0</ns0:v>
      </ns0:c>
      <ns0:c r="U63" s="0" t="str">
        <ns0:f>IF(Bookings!C63="","Full day",Bookings!C63)</ns0:f>
        <ns0:v>Full day</ns0:v>
      </ns0:c>
      <ns0:c r="V63" s="0" t="str">
        <ns0:f>IF(Bookings!E63="","Full day",Bookings!E63)</ns0:f>
        <ns0:v>Full day</ns0:v>
      </ns0:c>
      <ns0:c r="W63" s="0">
        <ns0:f>IF(J63=0,0,J63+IF(U63="PM",1,0))</ns0:f>
        <ns0:v>0</ns0:v>
      </ns0:c>
      <ns0:c r="X63" s="0">
        <ns0:f>IF(T63=0,0,T63-IF(V63="PM",1,0))</ns0:f>
        <ns0:v>0</ns0:v>
      </ns0:c>
      <ns0:c r="Y63" s="0">
        <ns0:f>IF(J63=0,0,J63+IF(U63="AM",1,0))</ns0:f>
        <ns0:v>0</ns0:v>
      </ns0:c>
      <ns0:c r="Z63" s="0">
        <ns0:f>IF(T63=0,0,T63-IF(V63="AM",1,0))</ns0:f>
        <ns0:v>0</ns0:v>
      </ns0:c>
      <ns0:c r="AA63" s="0">
        <ns0:f>IFERROR(IF(AND(J63&gt;0,'_Engine'!C63&gt;0,MID('_Engine'!W63,WEEKDAY(J63,2),1)="W",COUNTIF(Settings!$F$18:$F$67,J63)=0),1,0),0)</ns0:f>
        <ns0:v>0</ns0:v>
      </ns0:c>
      <ns0:c r="AB63" s="0">
        <ns0:f>IFERROR(IF(AND(T63&gt;0,'_Engine'!C63&gt;0,MID('_Engine'!W63,WEEKDAY(T63,2),1)="W",COUNTIF(Settings!$F$18:$F$67,T63)=0),1,0),0)</ns0:f>
        <ns0:v>0</ns0:v>
      </ns0:c>
      <ns0:c r="AC63" s="0">
        <ns0:f>IF(AND(J63&gt;0,T63&gt;0,W63&lt;=X63),1,0)</ns0:f>
        <ns0:v>0</ns0:v>
      </ns0:c>
      <ns0:c r="AD63" s="0">
        <ns0:f>IF(AND(J63&gt;0,T63&gt;0,Y63&lt;=Z63),1,0)</ns0:f>
        <ns0:v>0</ns0:v>
      </ns0:c>
    </ns0:row>
    <ns0:row r="64">
      <ns0:c r="A64" s="0">
        <ns0:f>IFERROR(IF(ISNUMBER(Bookings!B64),"",TRIM(Bookings!B64&amp;"")),"")</ns0:f>
      </ns0:c>
      <ns0:c r="B64" s="0">
        <ns0:f>IFERROR(SUBSTITUTE(SUBSTITUTE(A64,"/","."),"-","."),"")</ns0:f>
      </ns0:c>
      <ns0:c r="C64" s="0">
        <ns0:f>IFERROR(LEFT(B64,FIND(".",B64)-1),"")</ns0:f>
      </ns0:c>
      <ns0:c r="D64" s="0">
        <ns0:f>IFERROR(MID(B64,FIND(".",B64)+1,FIND(".",B64,FIND(".",B64)+1)-FIND(".",B64)-1),"")</ns0:f>
      </ns0:c>
      <ns0:c r="E64" s="0">
        <ns0:f>IFERROR(MID(B64,FIND(".",B64,FIND(".",B64)+1)+1,99),"")</ns0:f>
        <ns0:v>99</ns0:v>
      </ns0:c>
      <ns0:c r="F64" s="0">
        <ns0:f>IFERROR(IF(FIND(".",B64)=5,--C64,--E64),0)</ns0:f>
        <ns0:v>0</ns0:v>
      </ns0:c>
      <ns0:c r="G64" s="0">
        <ns0:f>IFERROR(--D64,0)</ns0:f>
        <ns0:v>0</ns0:v>
      </ns0:c>
      <ns0:c r="H64" s="0">
        <ns0:f>IFERROR(IF(FIND(".",B64)=5,--E64,--C64),0)</ns0:f>
        <ns0:v>0</ns0:v>
      </ns0:c>
      <ns0:c r="I64" s="0">
        <ns0:f>IFERROR(IF(AND(F64&gt;=2000,F64&lt;=2100,G64&gt;=1,G64&lt;=12,H64&gt;=1,H64&lt;=31),DATE(F64,G64,H64),0),0)</ns0:f>
        <ns0:v>0</ns0:v>
      </ns0:c>
      <ns0:c r="J64" s="0">
        <ns0:f>IFERROR(IF(ISNUMBER(Bookings!B64),IF(AND(Bookings!B64=INT(Bookings!B64),Bookings!B64&gt;=DATE(2000,1,1),Bookings!B64&lt;=DATE(2100,12,31)),Bookings!B64,0),IF(AND(A64&lt;&gt;"",LEN("x"&amp;B64)-LEN(SUBSTITUTE("x"&amp;B64,".",""))=2,OR(1&gt;LEN(B64),MID(B64,1,1)=".",ISNUMBER(FIND("x"&amp;MID(B64,1,1),"x0x1x2x3x4x5x6x7x8x9"))),OR(2&gt;LEN(B64),MID(B64,2,1)=".",ISNUMBER(FIND("x"&amp;MID(B64,2,1),"x0x1x2x3x4x5x6x7x8x9"))),OR(3&gt;LEN(B64),MID(B64,3,1)=".",ISNUMBER(FIND("x"&amp;MID(B64,3,1),"x0x1x2x3x4x5x6x7x8x9"))),OR(4&gt;LEN(B64),MID(B64,4,1)=".",ISNUMBER(FIND("x"&amp;MID(B64,4,1),"x0x1x2x3x4x5x6x7x8x9"))),OR(5&gt;LEN(B64),MID(B64,5,1)=".",ISNUMBER(FIND("x"&amp;MID(B64,5,1),"x0x1x2x3x4x5x6x7x8x9"))),OR(6&gt;LEN(B64),MID(B64,6,1)=".",ISNUMBER(FIND("x"&amp;MID(B64,6,1),"x0x1x2x3x4x5x6x7x8x9"))),OR(7&gt;LEN(B64),MID(B64,7,1)=".",ISNUMBER(FIND("x"&amp;MID(B64,7,1),"x0x1x2x3x4x5x6x7x8x9"))),OR(8&gt;LEN(B64),MID(B64,8,1)=".",ISNUMBER(FIND("x"&amp;MID(B64,8,1),"x0x1x2x3x4x5x6x7x8x9"))),OR(9&gt;LEN(B64),MID(B64,9,1)=".",ISNUMBER(FIND("x"&amp;MID(B64,9,1),"x0x1x2x3x4x5x6x7x8x9"))),OR(10&gt;LEN(B64),MID(B64,10,1)=".",ISNUMBER(FIND("x"&amp;MID(B64,10,1),"x0x1x2x3x4x5x6x7x8x9"))),OR(AND(FIND(".",B64)=5,LEN(B64)-FIND(".",B64,FIND(".",B64)+1)&gt;=1,LEN(B64)-FIND(".",B64,FIND(".",B64)+1)&lt;=2),AND(LEN(B64)-FIND(".",B64,FIND(".",B64)+1)=4,FIND(".",B64)&gt;=2,FIND(".",B64)&lt;=3)),FIND(".",B64,FIND(".",B64)+1)-FIND(".",B64)&gt;=2,FIND(".",B64,FIND(".",B64)+1)-FIND(".",B64)&lt;=3,F64&gt;=2000,F64&lt;=2100,YEAR(I64)=F64,MONTH(I64)=G64,DAY(I64)=H64),I64,0)),0)</ns0:f>
        <ns0:v>0</ns0:v>
      </ns0:c>
      <ns0:c r="K64" s="0">
        <ns0:f>IFERROR(IF(ISNUMBER(Bookings!D64),"",TRIM(Bookings!D64&amp;"")),"")</ns0:f>
      </ns0:c>
      <ns0:c r="L64" s="0">
        <ns0:f>IFERROR(SUBSTITUTE(SUBSTITUTE(K64,"/","."),"-","."),"")</ns0:f>
      </ns0:c>
      <ns0:c r="M64" s="0">
        <ns0:f>IFERROR(LEFT(L64,FIND(".",L64)-1),"")</ns0:f>
      </ns0:c>
      <ns0:c r="N64" s="0">
        <ns0:f>IFERROR(MID(L64,FIND(".",L64)+1,FIND(".",L64,FIND(".",L64)+1)-FIND(".",L64)-1),"")</ns0:f>
      </ns0:c>
      <ns0:c r="O64" s="0">
        <ns0:f>IFERROR(MID(L64,FIND(".",L64,FIND(".",L64)+1)+1,99),"")</ns0:f>
        <ns0:v>99</ns0:v>
      </ns0:c>
      <ns0:c r="P64" s="0">
        <ns0:f>IFERROR(IF(FIND(".",L64)=5,--M64,--O64),0)</ns0:f>
        <ns0:v>0</ns0:v>
      </ns0:c>
      <ns0:c r="Q64" s="0">
        <ns0:f>IFERROR(--N64,0)</ns0:f>
        <ns0:v>0</ns0:v>
      </ns0:c>
      <ns0:c r="R64" s="0">
        <ns0:f>IFERROR(IF(FIND(".",L64)=5,--O64,--M64),0)</ns0:f>
        <ns0:v>0</ns0:v>
      </ns0:c>
      <ns0:c r="S64" s="0">
        <ns0:f>IFERROR(IF(AND(P64&gt;=2000,P64&lt;=2100,Q64&gt;=1,Q64&lt;=12,R64&gt;=1,R64&lt;=31),DATE(P64,Q64,R64),0),0)</ns0:f>
        <ns0:v>0</ns0:v>
      </ns0:c>
      <ns0:c r="T64" s="0">
        <ns0:f>IFERROR(IF(ISNUMBER(Bookings!D64),IF(AND(Bookings!D64=INT(Bookings!D64),Bookings!D64&gt;=DATE(2000,1,1),Bookings!D64&lt;=DATE(2100,12,31)),Bookings!D64,0),IF(AND(K64&lt;&gt;"",LEN("x"&amp;L64)-LEN(SUBSTITUTE("x"&amp;L64,".",""))=2,OR(1&gt;LEN(L64),MID(L64,1,1)=".",ISNUMBER(FIND("x"&amp;MID(L64,1,1),"x0x1x2x3x4x5x6x7x8x9"))),OR(2&gt;LEN(L64),MID(L64,2,1)=".",ISNUMBER(FIND("x"&amp;MID(L64,2,1),"x0x1x2x3x4x5x6x7x8x9"))),OR(3&gt;LEN(L64),MID(L64,3,1)=".",ISNUMBER(FIND("x"&amp;MID(L64,3,1),"x0x1x2x3x4x5x6x7x8x9"))),OR(4&gt;LEN(L64),MID(L64,4,1)=".",ISNUMBER(FIND("x"&amp;MID(L64,4,1),"x0x1x2x3x4x5x6x7x8x9"))),OR(5&gt;LEN(L64),MID(L64,5,1)=".",ISNUMBER(FIND("x"&amp;MID(L64,5,1),"x0x1x2x3x4x5x6x7x8x9"))),OR(6&gt;LEN(L64),MID(L64,6,1)=".",ISNUMBER(FIND("x"&amp;MID(L64,6,1),"x0x1x2x3x4x5x6x7x8x9"))),OR(7&gt;LEN(L64),MID(L64,7,1)=".",ISNUMBER(FIND("x"&amp;MID(L64,7,1),"x0x1x2x3x4x5x6x7x8x9"))),OR(8&gt;LEN(L64),MID(L64,8,1)=".",ISNUMBER(FIND("x"&amp;MID(L64,8,1),"x0x1x2x3x4x5x6x7x8x9"))),OR(9&gt;LEN(L64),MID(L64,9,1)=".",ISNUMBER(FIND("x"&amp;MID(L64,9,1),"x0x1x2x3x4x5x6x7x8x9"))),OR(10&gt;LEN(L64),MID(L64,10,1)=".",ISNUMBER(FIND("x"&amp;MID(L64,10,1),"x0x1x2x3x4x5x6x7x8x9"))),OR(AND(FIND(".",L64)=5,LEN(L64)-FIND(".",L64,FIND(".",L64)+1)&gt;=1,LEN(L64)-FIND(".",L64,FIND(".",L64)+1)&lt;=2),AND(LEN(L64)-FIND(".",L64,FIND(".",L64)+1)=4,FIND(".",L64)&gt;=2,FIND(".",L64)&lt;=3)),FIND(".",L64,FIND(".",L64)+1)-FIND(".",L64)&gt;=2,FIND(".",L64,FIND(".",L64)+1)-FIND(".",L64)&lt;=3,P64&gt;=2000,P64&lt;=2100,YEAR(S64)=P64,MONTH(S64)=Q64,DAY(S64)=R64),S64,0)),0)</ns0:f>
        <ns0:v>0</ns0:v>
      </ns0:c>
      <ns0:c r="U64" s="0" t="str">
        <ns0:f>IF(Bookings!C64="","Full day",Bookings!C64)</ns0:f>
        <ns0:v>Full day</ns0:v>
      </ns0:c>
      <ns0:c r="V64" s="0" t="str">
        <ns0:f>IF(Bookings!E64="","Full day",Bookings!E64)</ns0:f>
        <ns0:v>Full day</ns0:v>
      </ns0:c>
      <ns0:c r="W64" s="0">
        <ns0:f>IF(J64=0,0,J64+IF(U64="PM",1,0))</ns0:f>
        <ns0:v>0</ns0:v>
      </ns0:c>
      <ns0:c r="X64" s="0">
        <ns0:f>IF(T64=0,0,T64-IF(V64="PM",1,0))</ns0:f>
        <ns0:v>0</ns0:v>
      </ns0:c>
      <ns0:c r="Y64" s="0">
        <ns0:f>IF(J64=0,0,J64+IF(U64="AM",1,0))</ns0:f>
        <ns0:v>0</ns0:v>
      </ns0:c>
      <ns0:c r="Z64" s="0">
        <ns0:f>IF(T64=0,0,T64-IF(V64="AM",1,0))</ns0:f>
        <ns0:v>0</ns0:v>
      </ns0:c>
      <ns0:c r="AA64" s="0">
        <ns0:f>IFERROR(IF(AND(J64&gt;0,'_Engine'!C64&gt;0,MID('_Engine'!W64,WEEKDAY(J64,2),1)="W",COUNTIF(Settings!$F$18:$F$67,J64)=0),1,0),0)</ns0:f>
        <ns0:v>0</ns0:v>
      </ns0:c>
      <ns0:c r="AB64" s="0">
        <ns0:f>IFERROR(IF(AND(T64&gt;0,'_Engine'!C64&gt;0,MID('_Engine'!W64,WEEKDAY(T64,2),1)="W",COUNTIF(Settings!$F$18:$F$67,T64)=0),1,0),0)</ns0:f>
        <ns0:v>0</ns0:v>
      </ns0:c>
      <ns0:c r="AC64" s="0">
        <ns0:f>IF(AND(J64&gt;0,T64&gt;0,W64&lt;=X64),1,0)</ns0:f>
        <ns0:v>0</ns0:v>
      </ns0:c>
      <ns0:c r="AD64" s="0">
        <ns0:f>IF(AND(J64&gt;0,T64&gt;0,Y64&lt;=Z64),1,0)</ns0:f>
        <ns0:v>0</ns0:v>
      </ns0:c>
    </ns0:row>
    <ns0:row r="65">
      <ns0:c r="A65" s="0">
        <ns0:f>IFERROR(IF(ISNUMBER(Bookings!B65),"",TRIM(Bookings!B65&amp;"")),"")</ns0:f>
      </ns0:c>
      <ns0:c r="B65" s="0">
        <ns0:f>IFERROR(SUBSTITUTE(SUBSTITUTE(A65,"/","."),"-","."),"")</ns0:f>
      </ns0:c>
      <ns0:c r="C65" s="0">
        <ns0:f>IFERROR(LEFT(B65,FIND(".",B65)-1),"")</ns0:f>
      </ns0:c>
      <ns0:c r="D65" s="0">
        <ns0:f>IFERROR(MID(B65,FIND(".",B65)+1,FIND(".",B65,FIND(".",B65)+1)-FIND(".",B65)-1),"")</ns0:f>
      </ns0:c>
      <ns0:c r="E65" s="0">
        <ns0:f>IFERROR(MID(B65,FIND(".",B65,FIND(".",B65)+1)+1,99),"")</ns0:f>
        <ns0:v>99</ns0:v>
      </ns0:c>
      <ns0:c r="F65" s="0">
        <ns0:f>IFERROR(IF(FIND(".",B65)=5,--C65,--E65),0)</ns0:f>
        <ns0:v>0</ns0:v>
      </ns0:c>
      <ns0:c r="G65" s="0">
        <ns0:f>IFERROR(--D65,0)</ns0:f>
        <ns0:v>0</ns0:v>
      </ns0:c>
      <ns0:c r="H65" s="0">
        <ns0:f>IFERROR(IF(FIND(".",B65)=5,--E65,--C65),0)</ns0:f>
        <ns0:v>0</ns0:v>
      </ns0:c>
      <ns0:c r="I65" s="0">
        <ns0:f>IFERROR(IF(AND(F65&gt;=2000,F65&lt;=2100,G65&gt;=1,G65&lt;=12,H65&gt;=1,H65&lt;=31),DATE(F65,G65,H65),0),0)</ns0:f>
        <ns0:v>0</ns0:v>
      </ns0:c>
      <ns0:c r="J65" s="0">
        <ns0:f>IFERROR(IF(ISNUMBER(Bookings!B65),IF(AND(Bookings!B65=INT(Bookings!B65),Bookings!B65&gt;=DATE(2000,1,1),Bookings!B65&lt;=DATE(2100,12,31)),Bookings!B65,0),IF(AND(A65&lt;&gt;"",LEN("x"&amp;B65)-LEN(SUBSTITUTE("x"&amp;B65,".",""))=2,OR(1&gt;LEN(B65),MID(B65,1,1)=".",ISNUMBER(FIND("x"&amp;MID(B65,1,1),"x0x1x2x3x4x5x6x7x8x9"))),OR(2&gt;LEN(B65),MID(B65,2,1)=".",ISNUMBER(FIND("x"&amp;MID(B65,2,1),"x0x1x2x3x4x5x6x7x8x9"))),OR(3&gt;LEN(B65),MID(B65,3,1)=".",ISNUMBER(FIND("x"&amp;MID(B65,3,1),"x0x1x2x3x4x5x6x7x8x9"))),OR(4&gt;LEN(B65),MID(B65,4,1)=".",ISNUMBER(FIND("x"&amp;MID(B65,4,1),"x0x1x2x3x4x5x6x7x8x9"))),OR(5&gt;LEN(B65),MID(B65,5,1)=".",ISNUMBER(FIND("x"&amp;MID(B65,5,1),"x0x1x2x3x4x5x6x7x8x9"))),OR(6&gt;LEN(B65),MID(B65,6,1)=".",ISNUMBER(FIND("x"&amp;MID(B65,6,1),"x0x1x2x3x4x5x6x7x8x9"))),OR(7&gt;LEN(B65),MID(B65,7,1)=".",ISNUMBER(FIND("x"&amp;MID(B65,7,1),"x0x1x2x3x4x5x6x7x8x9"))),OR(8&gt;LEN(B65),MID(B65,8,1)=".",ISNUMBER(FIND("x"&amp;MID(B65,8,1),"x0x1x2x3x4x5x6x7x8x9"))),OR(9&gt;LEN(B65),MID(B65,9,1)=".",ISNUMBER(FIND("x"&amp;MID(B65,9,1),"x0x1x2x3x4x5x6x7x8x9"))),OR(10&gt;LEN(B65),MID(B65,10,1)=".",ISNUMBER(FIND("x"&amp;MID(B65,10,1),"x0x1x2x3x4x5x6x7x8x9"))),OR(AND(FIND(".",B65)=5,LEN(B65)-FIND(".",B65,FIND(".",B65)+1)&gt;=1,LEN(B65)-FIND(".",B65,FIND(".",B65)+1)&lt;=2),AND(LEN(B65)-FIND(".",B65,FIND(".",B65)+1)=4,FIND(".",B65)&gt;=2,FIND(".",B65)&lt;=3)),FIND(".",B65,FIND(".",B65)+1)-FIND(".",B65)&gt;=2,FIND(".",B65,FIND(".",B65)+1)-FIND(".",B65)&lt;=3,F65&gt;=2000,F65&lt;=2100,YEAR(I65)=F65,MONTH(I65)=G65,DAY(I65)=H65),I65,0)),0)</ns0:f>
        <ns0:v>0</ns0:v>
      </ns0:c>
      <ns0:c r="K65" s="0">
        <ns0:f>IFERROR(IF(ISNUMBER(Bookings!D65),"",TRIM(Bookings!D65&amp;"")),"")</ns0:f>
      </ns0:c>
      <ns0:c r="L65" s="0">
        <ns0:f>IFERROR(SUBSTITUTE(SUBSTITUTE(K65,"/","."),"-","."),"")</ns0:f>
      </ns0:c>
      <ns0:c r="M65" s="0">
        <ns0:f>IFERROR(LEFT(L65,FIND(".",L65)-1),"")</ns0:f>
      </ns0:c>
      <ns0:c r="N65" s="0">
        <ns0:f>IFERROR(MID(L65,FIND(".",L65)+1,FIND(".",L65,FIND(".",L65)+1)-FIND(".",L65)-1),"")</ns0:f>
      </ns0:c>
      <ns0:c r="O65" s="0">
        <ns0:f>IFERROR(MID(L65,FIND(".",L65,FIND(".",L65)+1)+1,99),"")</ns0:f>
        <ns0:v>99</ns0:v>
      </ns0:c>
      <ns0:c r="P65" s="0">
        <ns0:f>IFERROR(IF(FIND(".",L65)=5,--M65,--O65),0)</ns0:f>
        <ns0:v>0</ns0:v>
      </ns0:c>
      <ns0:c r="Q65" s="0">
        <ns0:f>IFERROR(--N65,0)</ns0:f>
        <ns0:v>0</ns0:v>
      </ns0:c>
      <ns0:c r="R65" s="0">
        <ns0:f>IFERROR(IF(FIND(".",L65)=5,--O65,--M65),0)</ns0:f>
        <ns0:v>0</ns0:v>
      </ns0:c>
      <ns0:c r="S65" s="0">
        <ns0:f>IFERROR(IF(AND(P65&gt;=2000,P65&lt;=2100,Q65&gt;=1,Q65&lt;=12,R65&gt;=1,R65&lt;=31),DATE(P65,Q65,R65),0),0)</ns0:f>
        <ns0:v>0</ns0:v>
      </ns0:c>
      <ns0:c r="T65" s="0">
        <ns0:f>IFERROR(IF(ISNUMBER(Bookings!D65),IF(AND(Bookings!D65=INT(Bookings!D65),Bookings!D65&gt;=DATE(2000,1,1),Bookings!D65&lt;=DATE(2100,12,31)),Bookings!D65,0),IF(AND(K65&lt;&gt;"",LEN("x"&amp;L65)-LEN(SUBSTITUTE("x"&amp;L65,".",""))=2,OR(1&gt;LEN(L65),MID(L65,1,1)=".",ISNUMBER(FIND("x"&amp;MID(L65,1,1),"x0x1x2x3x4x5x6x7x8x9"))),OR(2&gt;LEN(L65),MID(L65,2,1)=".",ISNUMBER(FIND("x"&amp;MID(L65,2,1),"x0x1x2x3x4x5x6x7x8x9"))),OR(3&gt;LEN(L65),MID(L65,3,1)=".",ISNUMBER(FIND("x"&amp;MID(L65,3,1),"x0x1x2x3x4x5x6x7x8x9"))),OR(4&gt;LEN(L65),MID(L65,4,1)=".",ISNUMBER(FIND("x"&amp;MID(L65,4,1),"x0x1x2x3x4x5x6x7x8x9"))),OR(5&gt;LEN(L65),MID(L65,5,1)=".",ISNUMBER(FIND("x"&amp;MID(L65,5,1),"x0x1x2x3x4x5x6x7x8x9"))),OR(6&gt;LEN(L65),MID(L65,6,1)=".",ISNUMBER(FIND("x"&amp;MID(L65,6,1),"x0x1x2x3x4x5x6x7x8x9"))),OR(7&gt;LEN(L65),MID(L65,7,1)=".",ISNUMBER(FIND("x"&amp;MID(L65,7,1),"x0x1x2x3x4x5x6x7x8x9"))),OR(8&gt;LEN(L65),MID(L65,8,1)=".",ISNUMBER(FIND("x"&amp;MID(L65,8,1),"x0x1x2x3x4x5x6x7x8x9"))),OR(9&gt;LEN(L65),MID(L65,9,1)=".",ISNUMBER(FIND("x"&amp;MID(L65,9,1),"x0x1x2x3x4x5x6x7x8x9"))),OR(10&gt;LEN(L65),MID(L65,10,1)=".",ISNUMBER(FIND("x"&amp;MID(L65,10,1),"x0x1x2x3x4x5x6x7x8x9"))),OR(AND(FIND(".",L65)=5,LEN(L65)-FIND(".",L65,FIND(".",L65)+1)&gt;=1,LEN(L65)-FIND(".",L65,FIND(".",L65)+1)&lt;=2),AND(LEN(L65)-FIND(".",L65,FIND(".",L65)+1)=4,FIND(".",L65)&gt;=2,FIND(".",L65)&lt;=3)),FIND(".",L65,FIND(".",L65)+1)-FIND(".",L65)&gt;=2,FIND(".",L65,FIND(".",L65)+1)-FIND(".",L65)&lt;=3,P65&gt;=2000,P65&lt;=2100,YEAR(S65)=P65,MONTH(S65)=Q65,DAY(S65)=R65),S65,0)),0)</ns0:f>
        <ns0:v>0</ns0:v>
      </ns0:c>
      <ns0:c r="U65" s="0" t="str">
        <ns0:f>IF(Bookings!C65="","Full day",Bookings!C65)</ns0:f>
        <ns0:v>Full day</ns0:v>
      </ns0:c>
      <ns0:c r="V65" s="0" t="str">
        <ns0:f>IF(Bookings!E65="","Full day",Bookings!E65)</ns0:f>
        <ns0:v>Full day</ns0:v>
      </ns0:c>
      <ns0:c r="W65" s="0">
        <ns0:f>IF(J65=0,0,J65+IF(U65="PM",1,0))</ns0:f>
        <ns0:v>0</ns0:v>
      </ns0:c>
      <ns0:c r="X65" s="0">
        <ns0:f>IF(T65=0,0,T65-IF(V65="PM",1,0))</ns0:f>
        <ns0:v>0</ns0:v>
      </ns0:c>
      <ns0:c r="Y65" s="0">
        <ns0:f>IF(J65=0,0,J65+IF(U65="AM",1,0))</ns0:f>
        <ns0:v>0</ns0:v>
      </ns0:c>
      <ns0:c r="Z65" s="0">
        <ns0:f>IF(T65=0,0,T65-IF(V65="AM",1,0))</ns0:f>
        <ns0:v>0</ns0:v>
      </ns0:c>
      <ns0:c r="AA65" s="0">
        <ns0:f>IFERROR(IF(AND(J65&gt;0,'_Engine'!C65&gt;0,MID('_Engine'!W65,WEEKDAY(J65,2),1)="W",COUNTIF(Settings!$F$18:$F$67,J65)=0),1,0),0)</ns0:f>
        <ns0:v>0</ns0:v>
      </ns0:c>
      <ns0:c r="AB65" s="0">
        <ns0:f>IFERROR(IF(AND(T65&gt;0,'_Engine'!C65&gt;0,MID('_Engine'!W65,WEEKDAY(T65,2),1)="W",COUNTIF(Settings!$F$18:$F$67,T65)=0),1,0),0)</ns0:f>
        <ns0:v>0</ns0:v>
      </ns0:c>
      <ns0:c r="AC65" s="0">
        <ns0:f>IF(AND(J65&gt;0,T65&gt;0,W65&lt;=X65),1,0)</ns0:f>
        <ns0:v>0</ns0:v>
      </ns0:c>
      <ns0:c r="AD65" s="0">
        <ns0:f>IF(AND(J65&gt;0,T65&gt;0,Y65&lt;=Z65),1,0)</ns0:f>
        <ns0:v>0</ns0:v>
      </ns0:c>
    </ns0:row>
    <ns0:row r="66">
      <ns0:c r="A66" s="0">
        <ns0:f>IFERROR(IF(ISNUMBER(Bookings!B66),"",TRIM(Bookings!B66&amp;"")),"")</ns0:f>
      </ns0:c>
      <ns0:c r="B66" s="0">
        <ns0:f>IFERROR(SUBSTITUTE(SUBSTITUTE(A66,"/","."),"-","."),"")</ns0:f>
      </ns0:c>
      <ns0:c r="C66" s="0">
        <ns0:f>IFERROR(LEFT(B66,FIND(".",B66)-1),"")</ns0:f>
      </ns0:c>
      <ns0:c r="D66" s="0">
        <ns0:f>IFERROR(MID(B66,FIND(".",B66)+1,FIND(".",B66,FIND(".",B66)+1)-FIND(".",B66)-1),"")</ns0:f>
      </ns0:c>
      <ns0:c r="E66" s="0">
        <ns0:f>IFERROR(MID(B66,FIND(".",B66,FIND(".",B66)+1)+1,99),"")</ns0:f>
        <ns0:v>99</ns0:v>
      </ns0:c>
      <ns0:c r="F66" s="0">
        <ns0:f>IFERROR(IF(FIND(".",B66)=5,--C66,--E66),0)</ns0:f>
        <ns0:v>0</ns0:v>
      </ns0:c>
      <ns0:c r="G66" s="0">
        <ns0:f>IFERROR(--D66,0)</ns0:f>
        <ns0:v>0</ns0:v>
      </ns0:c>
      <ns0:c r="H66" s="0">
        <ns0:f>IFERROR(IF(FIND(".",B66)=5,--E66,--C66),0)</ns0:f>
        <ns0:v>0</ns0:v>
      </ns0:c>
      <ns0:c r="I66" s="0">
        <ns0:f>IFERROR(IF(AND(F66&gt;=2000,F66&lt;=2100,G66&gt;=1,G66&lt;=12,H66&gt;=1,H66&lt;=31),DATE(F66,G66,H66),0),0)</ns0:f>
        <ns0:v>0</ns0:v>
      </ns0:c>
      <ns0:c r="J66" s="0">
        <ns0:f>IFERROR(IF(ISNUMBER(Bookings!B66),IF(AND(Bookings!B66=INT(Bookings!B66),Bookings!B66&gt;=DATE(2000,1,1),Bookings!B66&lt;=DATE(2100,12,31)),Bookings!B66,0),IF(AND(A66&lt;&gt;"",LEN("x"&amp;B66)-LEN(SUBSTITUTE("x"&amp;B66,".",""))=2,OR(1&gt;LEN(B66),MID(B66,1,1)=".",ISNUMBER(FIND("x"&amp;MID(B66,1,1),"x0x1x2x3x4x5x6x7x8x9"))),OR(2&gt;LEN(B66),MID(B66,2,1)=".",ISNUMBER(FIND("x"&amp;MID(B66,2,1),"x0x1x2x3x4x5x6x7x8x9"))),OR(3&gt;LEN(B66),MID(B66,3,1)=".",ISNUMBER(FIND("x"&amp;MID(B66,3,1),"x0x1x2x3x4x5x6x7x8x9"))),OR(4&gt;LEN(B66),MID(B66,4,1)=".",ISNUMBER(FIND("x"&amp;MID(B66,4,1),"x0x1x2x3x4x5x6x7x8x9"))),OR(5&gt;LEN(B66),MID(B66,5,1)=".",ISNUMBER(FIND("x"&amp;MID(B66,5,1),"x0x1x2x3x4x5x6x7x8x9"))),OR(6&gt;LEN(B66),MID(B66,6,1)=".",ISNUMBER(FIND("x"&amp;MID(B66,6,1),"x0x1x2x3x4x5x6x7x8x9"))),OR(7&gt;LEN(B66),MID(B66,7,1)=".",ISNUMBER(FIND("x"&amp;MID(B66,7,1),"x0x1x2x3x4x5x6x7x8x9"))),OR(8&gt;LEN(B66),MID(B66,8,1)=".",ISNUMBER(FIND("x"&amp;MID(B66,8,1),"x0x1x2x3x4x5x6x7x8x9"))),OR(9&gt;LEN(B66),MID(B66,9,1)=".",ISNUMBER(FIND("x"&amp;MID(B66,9,1),"x0x1x2x3x4x5x6x7x8x9"))),OR(10&gt;LEN(B66),MID(B66,10,1)=".",ISNUMBER(FIND("x"&amp;MID(B66,10,1),"x0x1x2x3x4x5x6x7x8x9"))),OR(AND(FIND(".",B66)=5,LEN(B66)-FIND(".",B66,FIND(".",B66)+1)&gt;=1,LEN(B66)-FIND(".",B66,FIND(".",B66)+1)&lt;=2),AND(LEN(B66)-FIND(".",B66,FIND(".",B66)+1)=4,FIND(".",B66)&gt;=2,FIND(".",B66)&lt;=3)),FIND(".",B66,FIND(".",B66)+1)-FIND(".",B66)&gt;=2,FIND(".",B66,FIND(".",B66)+1)-FIND(".",B66)&lt;=3,F66&gt;=2000,F66&lt;=2100,YEAR(I66)=F66,MONTH(I66)=G66,DAY(I66)=H66),I66,0)),0)</ns0:f>
        <ns0:v>0</ns0:v>
      </ns0:c>
      <ns0:c r="K66" s="0">
        <ns0:f>IFERROR(IF(ISNUMBER(Bookings!D66),"",TRIM(Bookings!D66&amp;"")),"")</ns0:f>
      </ns0:c>
      <ns0:c r="L66" s="0">
        <ns0:f>IFERROR(SUBSTITUTE(SUBSTITUTE(K66,"/","."),"-","."),"")</ns0:f>
      </ns0:c>
      <ns0:c r="M66" s="0">
        <ns0:f>IFERROR(LEFT(L66,FIND(".",L66)-1),"")</ns0:f>
      </ns0:c>
      <ns0:c r="N66" s="0">
        <ns0:f>IFERROR(MID(L66,FIND(".",L66)+1,FIND(".",L66,FIND(".",L66)+1)-FIND(".",L66)-1),"")</ns0:f>
      </ns0:c>
      <ns0:c r="O66" s="0">
        <ns0:f>IFERROR(MID(L66,FIND(".",L66,FIND(".",L66)+1)+1,99),"")</ns0:f>
        <ns0:v>99</ns0:v>
      </ns0:c>
      <ns0:c r="P66" s="0">
        <ns0:f>IFERROR(IF(FIND(".",L66)=5,--M66,--O66),0)</ns0:f>
        <ns0:v>0</ns0:v>
      </ns0:c>
      <ns0:c r="Q66" s="0">
        <ns0:f>IFERROR(--N66,0)</ns0:f>
        <ns0:v>0</ns0:v>
      </ns0:c>
      <ns0:c r="R66" s="0">
        <ns0:f>IFERROR(IF(FIND(".",L66)=5,--O66,--M66),0)</ns0:f>
        <ns0:v>0</ns0:v>
      </ns0:c>
      <ns0:c r="S66" s="0">
        <ns0:f>IFERROR(IF(AND(P66&gt;=2000,P66&lt;=2100,Q66&gt;=1,Q66&lt;=12,R66&gt;=1,R66&lt;=31),DATE(P66,Q66,R66),0),0)</ns0:f>
        <ns0:v>0</ns0:v>
      </ns0:c>
      <ns0:c r="T66" s="0">
        <ns0:f>IFERROR(IF(ISNUMBER(Bookings!D66),IF(AND(Bookings!D66=INT(Bookings!D66),Bookings!D66&gt;=DATE(2000,1,1),Bookings!D66&lt;=DATE(2100,12,31)),Bookings!D66,0),IF(AND(K66&lt;&gt;"",LEN("x"&amp;L66)-LEN(SUBSTITUTE("x"&amp;L66,".",""))=2,OR(1&gt;LEN(L66),MID(L66,1,1)=".",ISNUMBER(FIND("x"&amp;MID(L66,1,1),"x0x1x2x3x4x5x6x7x8x9"))),OR(2&gt;LEN(L66),MID(L66,2,1)=".",ISNUMBER(FIND("x"&amp;MID(L66,2,1),"x0x1x2x3x4x5x6x7x8x9"))),OR(3&gt;LEN(L66),MID(L66,3,1)=".",ISNUMBER(FIND("x"&amp;MID(L66,3,1),"x0x1x2x3x4x5x6x7x8x9"))),OR(4&gt;LEN(L66),MID(L66,4,1)=".",ISNUMBER(FIND("x"&amp;MID(L66,4,1),"x0x1x2x3x4x5x6x7x8x9"))),OR(5&gt;LEN(L66),MID(L66,5,1)=".",ISNUMBER(FIND("x"&amp;MID(L66,5,1),"x0x1x2x3x4x5x6x7x8x9"))),OR(6&gt;LEN(L66),MID(L66,6,1)=".",ISNUMBER(FIND("x"&amp;MID(L66,6,1),"x0x1x2x3x4x5x6x7x8x9"))),OR(7&gt;LEN(L66),MID(L66,7,1)=".",ISNUMBER(FIND("x"&amp;MID(L66,7,1),"x0x1x2x3x4x5x6x7x8x9"))),OR(8&gt;LEN(L66),MID(L66,8,1)=".",ISNUMBER(FIND("x"&amp;MID(L66,8,1),"x0x1x2x3x4x5x6x7x8x9"))),OR(9&gt;LEN(L66),MID(L66,9,1)=".",ISNUMBER(FIND("x"&amp;MID(L66,9,1),"x0x1x2x3x4x5x6x7x8x9"))),OR(10&gt;LEN(L66),MID(L66,10,1)=".",ISNUMBER(FIND("x"&amp;MID(L66,10,1),"x0x1x2x3x4x5x6x7x8x9"))),OR(AND(FIND(".",L66)=5,LEN(L66)-FIND(".",L66,FIND(".",L66)+1)&gt;=1,LEN(L66)-FIND(".",L66,FIND(".",L66)+1)&lt;=2),AND(LEN(L66)-FIND(".",L66,FIND(".",L66)+1)=4,FIND(".",L66)&gt;=2,FIND(".",L66)&lt;=3)),FIND(".",L66,FIND(".",L66)+1)-FIND(".",L66)&gt;=2,FIND(".",L66,FIND(".",L66)+1)-FIND(".",L66)&lt;=3,P66&gt;=2000,P66&lt;=2100,YEAR(S66)=P66,MONTH(S66)=Q66,DAY(S66)=R66),S66,0)),0)</ns0:f>
        <ns0:v>0</ns0:v>
      </ns0:c>
      <ns0:c r="U66" s="0" t="str">
        <ns0:f>IF(Bookings!C66="","Full day",Bookings!C66)</ns0:f>
        <ns0:v>Full day</ns0:v>
      </ns0:c>
      <ns0:c r="V66" s="0" t="str">
        <ns0:f>IF(Bookings!E66="","Full day",Bookings!E66)</ns0:f>
        <ns0:v>Full day</ns0:v>
      </ns0:c>
      <ns0:c r="W66" s="0">
        <ns0:f>IF(J66=0,0,J66+IF(U66="PM",1,0))</ns0:f>
        <ns0:v>0</ns0:v>
      </ns0:c>
      <ns0:c r="X66" s="0">
        <ns0:f>IF(T66=0,0,T66-IF(V66="PM",1,0))</ns0:f>
        <ns0:v>0</ns0:v>
      </ns0:c>
      <ns0:c r="Y66" s="0">
        <ns0:f>IF(J66=0,0,J66+IF(U66="AM",1,0))</ns0:f>
        <ns0:v>0</ns0:v>
      </ns0:c>
      <ns0:c r="Z66" s="0">
        <ns0:f>IF(T66=0,0,T66-IF(V66="AM",1,0))</ns0:f>
        <ns0:v>0</ns0:v>
      </ns0:c>
      <ns0:c r="AA66" s="0">
        <ns0:f>IFERROR(IF(AND(J66&gt;0,'_Engine'!C66&gt;0,MID('_Engine'!W66,WEEKDAY(J66,2),1)="W",COUNTIF(Settings!$F$18:$F$67,J66)=0),1,0),0)</ns0:f>
        <ns0:v>0</ns0:v>
      </ns0:c>
      <ns0:c r="AB66" s="0">
        <ns0:f>IFERROR(IF(AND(T66&gt;0,'_Engine'!C66&gt;0,MID('_Engine'!W66,WEEKDAY(T66,2),1)="W",COUNTIF(Settings!$F$18:$F$67,T66)=0),1,0),0)</ns0:f>
        <ns0:v>0</ns0:v>
      </ns0:c>
      <ns0:c r="AC66" s="0">
        <ns0:f>IF(AND(J66&gt;0,T66&gt;0,W66&lt;=X66),1,0)</ns0:f>
        <ns0:v>0</ns0:v>
      </ns0:c>
      <ns0:c r="AD66" s="0">
        <ns0:f>IF(AND(J66&gt;0,T66&gt;0,Y66&lt;=Z66),1,0)</ns0:f>
        <ns0:v>0</ns0:v>
      </ns0:c>
    </ns0:row>
    <ns0:row r="67">
      <ns0:c r="A67" s="0">
        <ns0:f>IFERROR(IF(ISNUMBER(Bookings!B67),"",TRIM(Bookings!B67&amp;"")),"")</ns0:f>
      </ns0:c>
      <ns0:c r="B67" s="0">
        <ns0:f>IFERROR(SUBSTITUTE(SUBSTITUTE(A67,"/","."),"-","."),"")</ns0:f>
      </ns0:c>
      <ns0:c r="C67" s="0">
        <ns0:f>IFERROR(LEFT(B67,FIND(".",B67)-1),"")</ns0:f>
      </ns0:c>
      <ns0:c r="D67" s="0">
        <ns0:f>IFERROR(MID(B67,FIND(".",B67)+1,FIND(".",B67,FIND(".",B67)+1)-FIND(".",B67)-1),"")</ns0:f>
      </ns0:c>
      <ns0:c r="E67" s="0">
        <ns0:f>IFERROR(MID(B67,FIND(".",B67,FIND(".",B67)+1)+1,99),"")</ns0:f>
        <ns0:v>99</ns0:v>
      </ns0:c>
      <ns0:c r="F67" s="0">
        <ns0:f>IFERROR(IF(FIND(".",B67)=5,--C67,--E67),0)</ns0:f>
        <ns0:v>0</ns0:v>
      </ns0:c>
      <ns0:c r="G67" s="0">
        <ns0:f>IFERROR(--D67,0)</ns0:f>
        <ns0:v>0</ns0:v>
      </ns0:c>
      <ns0:c r="H67" s="0">
        <ns0:f>IFERROR(IF(FIND(".",B67)=5,--E67,--C67),0)</ns0:f>
        <ns0:v>0</ns0:v>
      </ns0:c>
      <ns0:c r="I67" s="0">
        <ns0:f>IFERROR(IF(AND(F67&gt;=2000,F67&lt;=2100,G67&gt;=1,G67&lt;=12,H67&gt;=1,H67&lt;=31),DATE(F67,G67,H67),0),0)</ns0:f>
        <ns0:v>0</ns0:v>
      </ns0:c>
      <ns0:c r="J67" s="0">
        <ns0:f>IFERROR(IF(ISNUMBER(Bookings!B67),IF(AND(Bookings!B67=INT(Bookings!B67),Bookings!B67&gt;=DATE(2000,1,1),Bookings!B67&lt;=DATE(2100,12,31)),Bookings!B67,0),IF(AND(A67&lt;&gt;"",LEN("x"&amp;B67)-LEN(SUBSTITUTE("x"&amp;B67,".",""))=2,OR(1&gt;LEN(B67),MID(B67,1,1)=".",ISNUMBER(FIND("x"&amp;MID(B67,1,1),"x0x1x2x3x4x5x6x7x8x9"))),OR(2&gt;LEN(B67),MID(B67,2,1)=".",ISNUMBER(FIND("x"&amp;MID(B67,2,1),"x0x1x2x3x4x5x6x7x8x9"))),OR(3&gt;LEN(B67),MID(B67,3,1)=".",ISNUMBER(FIND("x"&amp;MID(B67,3,1),"x0x1x2x3x4x5x6x7x8x9"))),OR(4&gt;LEN(B67),MID(B67,4,1)=".",ISNUMBER(FIND("x"&amp;MID(B67,4,1),"x0x1x2x3x4x5x6x7x8x9"))),OR(5&gt;LEN(B67),MID(B67,5,1)=".",ISNUMBER(FIND("x"&amp;MID(B67,5,1),"x0x1x2x3x4x5x6x7x8x9"))),OR(6&gt;LEN(B67),MID(B67,6,1)=".",ISNUMBER(FIND("x"&amp;MID(B67,6,1),"x0x1x2x3x4x5x6x7x8x9"))),OR(7&gt;LEN(B67),MID(B67,7,1)=".",ISNUMBER(FIND("x"&amp;MID(B67,7,1),"x0x1x2x3x4x5x6x7x8x9"))),OR(8&gt;LEN(B67),MID(B67,8,1)=".",ISNUMBER(FIND("x"&amp;MID(B67,8,1),"x0x1x2x3x4x5x6x7x8x9"))),OR(9&gt;LEN(B67),MID(B67,9,1)=".",ISNUMBER(FIND("x"&amp;MID(B67,9,1),"x0x1x2x3x4x5x6x7x8x9"))),OR(10&gt;LEN(B67),MID(B67,10,1)=".",ISNUMBER(FIND("x"&amp;MID(B67,10,1),"x0x1x2x3x4x5x6x7x8x9"))),OR(AND(FIND(".",B67)=5,LEN(B67)-FIND(".",B67,FIND(".",B67)+1)&gt;=1,LEN(B67)-FIND(".",B67,FIND(".",B67)+1)&lt;=2),AND(LEN(B67)-FIND(".",B67,FIND(".",B67)+1)=4,FIND(".",B67)&gt;=2,FIND(".",B67)&lt;=3)),FIND(".",B67,FIND(".",B67)+1)-FIND(".",B67)&gt;=2,FIND(".",B67,FIND(".",B67)+1)-FIND(".",B67)&lt;=3,F67&gt;=2000,F67&lt;=2100,YEAR(I67)=F67,MONTH(I67)=G67,DAY(I67)=H67),I67,0)),0)</ns0:f>
        <ns0:v>0</ns0:v>
      </ns0:c>
      <ns0:c r="K67" s="0">
        <ns0:f>IFERROR(IF(ISNUMBER(Bookings!D67),"",TRIM(Bookings!D67&amp;"")),"")</ns0:f>
      </ns0:c>
      <ns0:c r="L67" s="0">
        <ns0:f>IFERROR(SUBSTITUTE(SUBSTITUTE(K67,"/","."),"-","."),"")</ns0:f>
      </ns0:c>
      <ns0:c r="M67" s="0">
        <ns0:f>IFERROR(LEFT(L67,FIND(".",L67)-1),"")</ns0:f>
      </ns0:c>
      <ns0:c r="N67" s="0">
        <ns0:f>IFERROR(MID(L67,FIND(".",L67)+1,FIND(".",L67,FIND(".",L67)+1)-FIND(".",L67)-1),"")</ns0:f>
      </ns0:c>
      <ns0:c r="O67" s="0">
        <ns0:f>IFERROR(MID(L67,FIND(".",L67,FIND(".",L67)+1)+1,99),"")</ns0:f>
        <ns0:v>99</ns0:v>
      </ns0:c>
      <ns0:c r="P67" s="0">
        <ns0:f>IFERROR(IF(FIND(".",L67)=5,--M67,--O67),0)</ns0:f>
        <ns0:v>0</ns0:v>
      </ns0:c>
      <ns0:c r="Q67" s="0">
        <ns0:f>IFERROR(--N67,0)</ns0:f>
        <ns0:v>0</ns0:v>
      </ns0:c>
      <ns0:c r="R67" s="0">
        <ns0:f>IFERROR(IF(FIND(".",L67)=5,--O67,--M67),0)</ns0:f>
        <ns0:v>0</ns0:v>
      </ns0:c>
      <ns0:c r="S67" s="0">
        <ns0:f>IFERROR(IF(AND(P67&gt;=2000,P67&lt;=2100,Q67&gt;=1,Q67&lt;=12,R67&gt;=1,R67&lt;=31),DATE(P67,Q67,R67),0),0)</ns0:f>
        <ns0:v>0</ns0:v>
      </ns0:c>
      <ns0:c r="T67" s="0">
        <ns0:f>IFERROR(IF(ISNUMBER(Bookings!D67),IF(AND(Bookings!D67=INT(Bookings!D67),Bookings!D67&gt;=DATE(2000,1,1),Bookings!D67&lt;=DATE(2100,12,31)),Bookings!D67,0),IF(AND(K67&lt;&gt;"",LEN("x"&amp;L67)-LEN(SUBSTITUTE("x"&amp;L67,".",""))=2,OR(1&gt;LEN(L67),MID(L67,1,1)=".",ISNUMBER(FIND("x"&amp;MID(L67,1,1),"x0x1x2x3x4x5x6x7x8x9"))),OR(2&gt;LEN(L67),MID(L67,2,1)=".",ISNUMBER(FIND("x"&amp;MID(L67,2,1),"x0x1x2x3x4x5x6x7x8x9"))),OR(3&gt;LEN(L67),MID(L67,3,1)=".",ISNUMBER(FIND("x"&amp;MID(L67,3,1),"x0x1x2x3x4x5x6x7x8x9"))),OR(4&gt;LEN(L67),MID(L67,4,1)=".",ISNUMBER(FIND("x"&amp;MID(L67,4,1),"x0x1x2x3x4x5x6x7x8x9"))),OR(5&gt;LEN(L67),MID(L67,5,1)=".",ISNUMBER(FIND("x"&amp;MID(L67,5,1),"x0x1x2x3x4x5x6x7x8x9"))),OR(6&gt;LEN(L67),MID(L67,6,1)=".",ISNUMBER(FIND("x"&amp;MID(L67,6,1),"x0x1x2x3x4x5x6x7x8x9"))),OR(7&gt;LEN(L67),MID(L67,7,1)=".",ISNUMBER(FIND("x"&amp;MID(L67,7,1),"x0x1x2x3x4x5x6x7x8x9"))),OR(8&gt;LEN(L67),MID(L67,8,1)=".",ISNUMBER(FIND("x"&amp;MID(L67,8,1),"x0x1x2x3x4x5x6x7x8x9"))),OR(9&gt;LEN(L67),MID(L67,9,1)=".",ISNUMBER(FIND("x"&amp;MID(L67,9,1),"x0x1x2x3x4x5x6x7x8x9"))),OR(10&gt;LEN(L67),MID(L67,10,1)=".",ISNUMBER(FIND("x"&amp;MID(L67,10,1),"x0x1x2x3x4x5x6x7x8x9"))),OR(AND(FIND(".",L67)=5,LEN(L67)-FIND(".",L67,FIND(".",L67)+1)&gt;=1,LEN(L67)-FIND(".",L67,FIND(".",L67)+1)&lt;=2),AND(LEN(L67)-FIND(".",L67,FIND(".",L67)+1)=4,FIND(".",L67)&gt;=2,FIND(".",L67)&lt;=3)),FIND(".",L67,FIND(".",L67)+1)-FIND(".",L67)&gt;=2,FIND(".",L67,FIND(".",L67)+1)-FIND(".",L67)&lt;=3,P67&gt;=2000,P67&lt;=2100,YEAR(S67)=P67,MONTH(S67)=Q67,DAY(S67)=R67),S67,0)),0)</ns0:f>
        <ns0:v>0</ns0:v>
      </ns0:c>
      <ns0:c r="U67" s="0" t="str">
        <ns0:f>IF(Bookings!C67="","Full day",Bookings!C67)</ns0:f>
        <ns0:v>Full day</ns0:v>
      </ns0:c>
      <ns0:c r="V67" s="0" t="str">
        <ns0:f>IF(Bookings!E67="","Full day",Bookings!E67)</ns0:f>
        <ns0:v>Full day</ns0:v>
      </ns0:c>
      <ns0:c r="W67" s="0">
        <ns0:f>IF(J67=0,0,J67+IF(U67="PM",1,0))</ns0:f>
        <ns0:v>0</ns0:v>
      </ns0:c>
      <ns0:c r="X67" s="0">
        <ns0:f>IF(T67=0,0,T67-IF(V67="PM",1,0))</ns0:f>
        <ns0:v>0</ns0:v>
      </ns0:c>
      <ns0:c r="Y67" s="0">
        <ns0:f>IF(J67=0,0,J67+IF(U67="AM",1,0))</ns0:f>
        <ns0:v>0</ns0:v>
      </ns0:c>
      <ns0:c r="Z67" s="0">
        <ns0:f>IF(T67=0,0,T67-IF(V67="AM",1,0))</ns0:f>
        <ns0:v>0</ns0:v>
      </ns0:c>
      <ns0:c r="AA67" s="0">
        <ns0:f>IFERROR(IF(AND(J67&gt;0,'_Engine'!C67&gt;0,MID('_Engine'!W67,WEEKDAY(J67,2),1)="W",COUNTIF(Settings!$F$18:$F$67,J67)=0),1,0),0)</ns0:f>
        <ns0:v>0</ns0:v>
      </ns0:c>
      <ns0:c r="AB67" s="0">
        <ns0:f>IFERROR(IF(AND(T67&gt;0,'_Engine'!C67&gt;0,MID('_Engine'!W67,WEEKDAY(T67,2),1)="W",COUNTIF(Settings!$F$18:$F$67,T67)=0),1,0),0)</ns0:f>
        <ns0:v>0</ns0:v>
      </ns0:c>
      <ns0:c r="AC67" s="0">
        <ns0:f>IF(AND(J67&gt;0,T67&gt;0,W67&lt;=X67),1,0)</ns0:f>
        <ns0:v>0</ns0:v>
      </ns0:c>
      <ns0:c r="AD67" s="0">
        <ns0:f>IF(AND(J67&gt;0,T67&gt;0,Y67&lt;=Z67),1,0)</ns0:f>
        <ns0:v>0</ns0:v>
      </ns0:c>
    </ns0:row>
    <ns0:row r="68">
      <ns0:c r="A68" s="0">
        <ns0:f>IFERROR(IF(ISNUMBER(Bookings!B68),"",TRIM(Bookings!B68&amp;"")),"")</ns0:f>
      </ns0:c>
      <ns0:c r="B68" s="0">
        <ns0:f>IFERROR(SUBSTITUTE(SUBSTITUTE(A68,"/","."),"-","."),"")</ns0:f>
      </ns0:c>
      <ns0:c r="C68" s="0">
        <ns0:f>IFERROR(LEFT(B68,FIND(".",B68)-1),"")</ns0:f>
      </ns0:c>
      <ns0:c r="D68" s="0">
        <ns0:f>IFERROR(MID(B68,FIND(".",B68)+1,FIND(".",B68,FIND(".",B68)+1)-FIND(".",B68)-1),"")</ns0:f>
      </ns0:c>
      <ns0:c r="E68" s="0">
        <ns0:f>IFERROR(MID(B68,FIND(".",B68,FIND(".",B68)+1)+1,99),"")</ns0:f>
        <ns0:v>99</ns0:v>
      </ns0:c>
      <ns0:c r="F68" s="0">
        <ns0:f>IFERROR(IF(FIND(".",B68)=5,--C68,--E68),0)</ns0:f>
        <ns0:v>0</ns0:v>
      </ns0:c>
      <ns0:c r="G68" s="0">
        <ns0:f>IFERROR(--D68,0)</ns0:f>
        <ns0:v>0</ns0:v>
      </ns0:c>
      <ns0:c r="H68" s="0">
        <ns0:f>IFERROR(IF(FIND(".",B68)=5,--E68,--C68),0)</ns0:f>
        <ns0:v>0</ns0:v>
      </ns0:c>
      <ns0:c r="I68" s="0">
        <ns0:f>IFERROR(IF(AND(F68&gt;=2000,F68&lt;=2100,G68&gt;=1,G68&lt;=12,H68&gt;=1,H68&lt;=31),DATE(F68,G68,H68),0),0)</ns0:f>
        <ns0:v>0</ns0:v>
      </ns0:c>
      <ns0:c r="J68" s="0">
        <ns0:f>IFERROR(IF(ISNUMBER(Bookings!B68),IF(AND(Bookings!B68=INT(Bookings!B68),Bookings!B68&gt;=DATE(2000,1,1),Bookings!B68&lt;=DATE(2100,12,31)),Bookings!B68,0),IF(AND(A68&lt;&gt;"",LEN("x"&amp;B68)-LEN(SUBSTITUTE("x"&amp;B68,".",""))=2,OR(1&gt;LEN(B68),MID(B68,1,1)=".",ISNUMBER(FIND("x"&amp;MID(B68,1,1),"x0x1x2x3x4x5x6x7x8x9"))),OR(2&gt;LEN(B68),MID(B68,2,1)=".",ISNUMBER(FIND("x"&amp;MID(B68,2,1),"x0x1x2x3x4x5x6x7x8x9"))),OR(3&gt;LEN(B68),MID(B68,3,1)=".",ISNUMBER(FIND("x"&amp;MID(B68,3,1),"x0x1x2x3x4x5x6x7x8x9"))),OR(4&gt;LEN(B68),MID(B68,4,1)=".",ISNUMBER(FIND("x"&amp;MID(B68,4,1),"x0x1x2x3x4x5x6x7x8x9"))),OR(5&gt;LEN(B68),MID(B68,5,1)=".",ISNUMBER(FIND("x"&amp;MID(B68,5,1),"x0x1x2x3x4x5x6x7x8x9"))),OR(6&gt;LEN(B68),MID(B68,6,1)=".",ISNUMBER(FIND("x"&amp;MID(B68,6,1),"x0x1x2x3x4x5x6x7x8x9"))),OR(7&gt;LEN(B68),MID(B68,7,1)=".",ISNUMBER(FIND("x"&amp;MID(B68,7,1),"x0x1x2x3x4x5x6x7x8x9"))),OR(8&gt;LEN(B68),MID(B68,8,1)=".",ISNUMBER(FIND("x"&amp;MID(B68,8,1),"x0x1x2x3x4x5x6x7x8x9"))),OR(9&gt;LEN(B68),MID(B68,9,1)=".",ISNUMBER(FIND("x"&amp;MID(B68,9,1),"x0x1x2x3x4x5x6x7x8x9"))),OR(10&gt;LEN(B68),MID(B68,10,1)=".",ISNUMBER(FIND("x"&amp;MID(B68,10,1),"x0x1x2x3x4x5x6x7x8x9"))),OR(AND(FIND(".",B68)=5,LEN(B68)-FIND(".",B68,FIND(".",B68)+1)&gt;=1,LEN(B68)-FIND(".",B68,FIND(".",B68)+1)&lt;=2),AND(LEN(B68)-FIND(".",B68,FIND(".",B68)+1)=4,FIND(".",B68)&gt;=2,FIND(".",B68)&lt;=3)),FIND(".",B68,FIND(".",B68)+1)-FIND(".",B68)&gt;=2,FIND(".",B68,FIND(".",B68)+1)-FIND(".",B68)&lt;=3,F68&gt;=2000,F68&lt;=2100,YEAR(I68)=F68,MONTH(I68)=G68,DAY(I68)=H68),I68,0)),0)</ns0:f>
        <ns0:v>0</ns0:v>
      </ns0:c>
      <ns0:c r="K68" s="0">
        <ns0:f>IFERROR(IF(ISNUMBER(Bookings!D68),"",TRIM(Bookings!D68&amp;"")),"")</ns0:f>
      </ns0:c>
      <ns0:c r="L68" s="0">
        <ns0:f>IFERROR(SUBSTITUTE(SUBSTITUTE(K68,"/","."),"-","."),"")</ns0:f>
      </ns0:c>
      <ns0:c r="M68" s="0">
        <ns0:f>IFERROR(LEFT(L68,FIND(".",L68)-1),"")</ns0:f>
      </ns0:c>
      <ns0:c r="N68" s="0">
        <ns0:f>IFERROR(MID(L68,FIND(".",L68)+1,FIND(".",L68,FIND(".",L68)+1)-FIND(".",L68)-1),"")</ns0:f>
      </ns0:c>
      <ns0:c r="O68" s="0">
        <ns0:f>IFERROR(MID(L68,FIND(".",L68,FIND(".",L68)+1)+1,99),"")</ns0:f>
        <ns0:v>99</ns0:v>
      </ns0:c>
      <ns0:c r="P68" s="0">
        <ns0:f>IFERROR(IF(FIND(".",L68)=5,--M68,--O68),0)</ns0:f>
        <ns0:v>0</ns0:v>
      </ns0:c>
      <ns0:c r="Q68" s="0">
        <ns0:f>IFERROR(--N68,0)</ns0:f>
        <ns0:v>0</ns0:v>
      </ns0:c>
      <ns0:c r="R68" s="0">
        <ns0:f>IFERROR(IF(FIND(".",L68)=5,--O68,--M68),0)</ns0:f>
        <ns0:v>0</ns0:v>
      </ns0:c>
      <ns0:c r="S68" s="0">
        <ns0:f>IFERROR(IF(AND(P68&gt;=2000,P68&lt;=2100,Q68&gt;=1,Q68&lt;=12,R68&gt;=1,R68&lt;=31),DATE(P68,Q68,R68),0),0)</ns0:f>
        <ns0:v>0</ns0:v>
      </ns0:c>
      <ns0:c r="T68" s="0">
        <ns0:f>IFERROR(IF(ISNUMBER(Bookings!D68),IF(AND(Bookings!D68=INT(Bookings!D68),Bookings!D68&gt;=DATE(2000,1,1),Bookings!D68&lt;=DATE(2100,12,31)),Bookings!D68,0),IF(AND(K68&lt;&gt;"",LEN("x"&amp;L68)-LEN(SUBSTITUTE("x"&amp;L68,".",""))=2,OR(1&gt;LEN(L68),MID(L68,1,1)=".",ISNUMBER(FIND("x"&amp;MID(L68,1,1),"x0x1x2x3x4x5x6x7x8x9"))),OR(2&gt;LEN(L68),MID(L68,2,1)=".",ISNUMBER(FIND("x"&amp;MID(L68,2,1),"x0x1x2x3x4x5x6x7x8x9"))),OR(3&gt;LEN(L68),MID(L68,3,1)=".",ISNUMBER(FIND("x"&amp;MID(L68,3,1),"x0x1x2x3x4x5x6x7x8x9"))),OR(4&gt;LEN(L68),MID(L68,4,1)=".",ISNUMBER(FIND("x"&amp;MID(L68,4,1),"x0x1x2x3x4x5x6x7x8x9"))),OR(5&gt;LEN(L68),MID(L68,5,1)=".",ISNUMBER(FIND("x"&amp;MID(L68,5,1),"x0x1x2x3x4x5x6x7x8x9"))),OR(6&gt;LEN(L68),MID(L68,6,1)=".",ISNUMBER(FIND("x"&amp;MID(L68,6,1),"x0x1x2x3x4x5x6x7x8x9"))),OR(7&gt;LEN(L68),MID(L68,7,1)=".",ISNUMBER(FIND("x"&amp;MID(L68,7,1),"x0x1x2x3x4x5x6x7x8x9"))),OR(8&gt;LEN(L68),MID(L68,8,1)=".",ISNUMBER(FIND("x"&amp;MID(L68,8,1),"x0x1x2x3x4x5x6x7x8x9"))),OR(9&gt;LEN(L68),MID(L68,9,1)=".",ISNUMBER(FIND("x"&amp;MID(L68,9,1),"x0x1x2x3x4x5x6x7x8x9"))),OR(10&gt;LEN(L68),MID(L68,10,1)=".",ISNUMBER(FIND("x"&amp;MID(L68,10,1),"x0x1x2x3x4x5x6x7x8x9"))),OR(AND(FIND(".",L68)=5,LEN(L68)-FIND(".",L68,FIND(".",L68)+1)&gt;=1,LEN(L68)-FIND(".",L68,FIND(".",L68)+1)&lt;=2),AND(LEN(L68)-FIND(".",L68,FIND(".",L68)+1)=4,FIND(".",L68)&gt;=2,FIND(".",L68)&lt;=3)),FIND(".",L68,FIND(".",L68)+1)-FIND(".",L68)&gt;=2,FIND(".",L68,FIND(".",L68)+1)-FIND(".",L68)&lt;=3,P68&gt;=2000,P68&lt;=2100,YEAR(S68)=P68,MONTH(S68)=Q68,DAY(S68)=R68),S68,0)),0)</ns0:f>
        <ns0:v>0</ns0:v>
      </ns0:c>
      <ns0:c r="U68" s="0" t="str">
        <ns0:f>IF(Bookings!C68="","Full day",Bookings!C68)</ns0:f>
        <ns0:v>Full day</ns0:v>
      </ns0:c>
      <ns0:c r="V68" s="0" t="str">
        <ns0:f>IF(Bookings!E68="","Full day",Bookings!E68)</ns0:f>
        <ns0:v>Full day</ns0:v>
      </ns0:c>
      <ns0:c r="W68" s="0">
        <ns0:f>IF(J68=0,0,J68+IF(U68="PM",1,0))</ns0:f>
        <ns0:v>0</ns0:v>
      </ns0:c>
      <ns0:c r="X68" s="0">
        <ns0:f>IF(T68=0,0,T68-IF(V68="PM",1,0))</ns0:f>
        <ns0:v>0</ns0:v>
      </ns0:c>
      <ns0:c r="Y68" s="0">
        <ns0:f>IF(J68=0,0,J68+IF(U68="AM",1,0))</ns0:f>
        <ns0:v>0</ns0:v>
      </ns0:c>
      <ns0:c r="Z68" s="0">
        <ns0:f>IF(T68=0,0,T68-IF(V68="AM",1,0))</ns0:f>
        <ns0:v>0</ns0:v>
      </ns0:c>
      <ns0:c r="AA68" s="0">
        <ns0:f>IFERROR(IF(AND(J68&gt;0,'_Engine'!C68&gt;0,MID('_Engine'!W68,WEEKDAY(J68,2),1)="W",COUNTIF(Settings!$F$18:$F$67,J68)=0),1,0),0)</ns0:f>
        <ns0:v>0</ns0:v>
      </ns0:c>
      <ns0:c r="AB68" s="0">
        <ns0:f>IFERROR(IF(AND(T68&gt;0,'_Engine'!C68&gt;0,MID('_Engine'!W68,WEEKDAY(T68,2),1)="W",COUNTIF(Settings!$F$18:$F$67,T68)=0),1,0),0)</ns0:f>
        <ns0:v>0</ns0:v>
      </ns0:c>
      <ns0:c r="AC68" s="0">
        <ns0:f>IF(AND(J68&gt;0,T68&gt;0,W68&lt;=X68),1,0)</ns0:f>
        <ns0:v>0</ns0:v>
      </ns0:c>
      <ns0:c r="AD68" s="0">
        <ns0:f>IF(AND(J68&gt;0,T68&gt;0,Y68&lt;=Z68),1,0)</ns0:f>
        <ns0:v>0</ns0:v>
      </ns0:c>
    </ns0:row>
    <ns0:row r="69">
      <ns0:c r="A69" s="0">
        <ns0:f>IFERROR(IF(ISNUMBER(Bookings!B69),"",TRIM(Bookings!B69&amp;"")),"")</ns0:f>
      </ns0:c>
      <ns0:c r="B69" s="0">
        <ns0:f>IFERROR(SUBSTITUTE(SUBSTITUTE(A69,"/","."),"-","."),"")</ns0:f>
      </ns0:c>
      <ns0:c r="C69" s="0">
        <ns0:f>IFERROR(LEFT(B69,FIND(".",B69)-1),"")</ns0:f>
      </ns0:c>
      <ns0:c r="D69" s="0">
        <ns0:f>IFERROR(MID(B69,FIND(".",B69)+1,FIND(".",B69,FIND(".",B69)+1)-FIND(".",B69)-1),"")</ns0:f>
      </ns0:c>
      <ns0:c r="E69" s="0">
        <ns0:f>IFERROR(MID(B69,FIND(".",B69,FIND(".",B69)+1)+1,99),"")</ns0:f>
        <ns0:v>99</ns0:v>
      </ns0:c>
      <ns0:c r="F69" s="0">
        <ns0:f>IFERROR(IF(FIND(".",B69)=5,--C69,--E69),0)</ns0:f>
        <ns0:v>0</ns0:v>
      </ns0:c>
      <ns0:c r="G69" s="0">
        <ns0:f>IFERROR(--D69,0)</ns0:f>
        <ns0:v>0</ns0:v>
      </ns0:c>
      <ns0:c r="H69" s="0">
        <ns0:f>IFERROR(IF(FIND(".",B69)=5,--E69,--C69),0)</ns0:f>
        <ns0:v>0</ns0:v>
      </ns0:c>
      <ns0:c r="I69" s="0">
        <ns0:f>IFERROR(IF(AND(F69&gt;=2000,F69&lt;=2100,G69&gt;=1,G69&lt;=12,H69&gt;=1,H69&lt;=31),DATE(F69,G69,H69),0),0)</ns0:f>
        <ns0:v>0</ns0:v>
      </ns0:c>
      <ns0:c r="J69" s="0">
        <ns0:f>IFERROR(IF(ISNUMBER(Bookings!B69),IF(AND(Bookings!B69=INT(Bookings!B69),Bookings!B69&gt;=DATE(2000,1,1),Bookings!B69&lt;=DATE(2100,12,31)),Bookings!B69,0),IF(AND(A69&lt;&gt;"",LEN("x"&amp;B69)-LEN(SUBSTITUTE("x"&amp;B69,".",""))=2,OR(1&gt;LEN(B69),MID(B69,1,1)=".",ISNUMBER(FIND("x"&amp;MID(B69,1,1),"x0x1x2x3x4x5x6x7x8x9"))),OR(2&gt;LEN(B69),MID(B69,2,1)=".",ISNUMBER(FIND("x"&amp;MID(B69,2,1),"x0x1x2x3x4x5x6x7x8x9"))),OR(3&gt;LEN(B69),MID(B69,3,1)=".",ISNUMBER(FIND("x"&amp;MID(B69,3,1),"x0x1x2x3x4x5x6x7x8x9"))),OR(4&gt;LEN(B69),MID(B69,4,1)=".",ISNUMBER(FIND("x"&amp;MID(B69,4,1),"x0x1x2x3x4x5x6x7x8x9"))),OR(5&gt;LEN(B69),MID(B69,5,1)=".",ISNUMBER(FIND("x"&amp;MID(B69,5,1),"x0x1x2x3x4x5x6x7x8x9"))),OR(6&gt;LEN(B69),MID(B69,6,1)=".",ISNUMBER(FIND("x"&amp;MID(B69,6,1),"x0x1x2x3x4x5x6x7x8x9"))),OR(7&gt;LEN(B69),MID(B69,7,1)=".",ISNUMBER(FIND("x"&amp;MID(B69,7,1),"x0x1x2x3x4x5x6x7x8x9"))),OR(8&gt;LEN(B69),MID(B69,8,1)=".",ISNUMBER(FIND("x"&amp;MID(B69,8,1),"x0x1x2x3x4x5x6x7x8x9"))),OR(9&gt;LEN(B69),MID(B69,9,1)=".",ISNUMBER(FIND("x"&amp;MID(B69,9,1),"x0x1x2x3x4x5x6x7x8x9"))),OR(10&gt;LEN(B69),MID(B69,10,1)=".",ISNUMBER(FIND("x"&amp;MID(B69,10,1),"x0x1x2x3x4x5x6x7x8x9"))),OR(AND(FIND(".",B69)=5,LEN(B69)-FIND(".",B69,FIND(".",B69)+1)&gt;=1,LEN(B69)-FIND(".",B69,FIND(".",B69)+1)&lt;=2),AND(LEN(B69)-FIND(".",B69,FIND(".",B69)+1)=4,FIND(".",B69)&gt;=2,FIND(".",B69)&lt;=3)),FIND(".",B69,FIND(".",B69)+1)-FIND(".",B69)&gt;=2,FIND(".",B69,FIND(".",B69)+1)-FIND(".",B69)&lt;=3,F69&gt;=2000,F69&lt;=2100,YEAR(I69)=F69,MONTH(I69)=G69,DAY(I69)=H69),I69,0)),0)</ns0:f>
        <ns0:v>0</ns0:v>
      </ns0:c>
      <ns0:c r="K69" s="0">
        <ns0:f>IFERROR(IF(ISNUMBER(Bookings!D69),"",TRIM(Bookings!D69&amp;"")),"")</ns0:f>
      </ns0:c>
      <ns0:c r="L69" s="0">
        <ns0:f>IFERROR(SUBSTITUTE(SUBSTITUTE(K69,"/","."),"-","."),"")</ns0:f>
      </ns0:c>
      <ns0:c r="M69" s="0">
        <ns0:f>IFERROR(LEFT(L69,FIND(".",L69)-1),"")</ns0:f>
      </ns0:c>
      <ns0:c r="N69" s="0">
        <ns0:f>IFERROR(MID(L69,FIND(".",L69)+1,FIND(".",L69,FIND(".",L69)+1)-FIND(".",L69)-1),"")</ns0:f>
      </ns0:c>
      <ns0:c r="O69" s="0">
        <ns0:f>IFERROR(MID(L69,FIND(".",L69,FIND(".",L69)+1)+1,99),"")</ns0:f>
        <ns0:v>99</ns0:v>
      </ns0:c>
      <ns0:c r="P69" s="0">
        <ns0:f>IFERROR(IF(FIND(".",L69)=5,--M69,--O69),0)</ns0:f>
        <ns0:v>0</ns0:v>
      </ns0:c>
      <ns0:c r="Q69" s="0">
        <ns0:f>IFERROR(--N69,0)</ns0:f>
        <ns0:v>0</ns0:v>
      </ns0:c>
      <ns0:c r="R69" s="0">
        <ns0:f>IFERROR(IF(FIND(".",L69)=5,--O69,--M69),0)</ns0:f>
        <ns0:v>0</ns0:v>
      </ns0:c>
      <ns0:c r="S69" s="0">
        <ns0:f>IFERROR(IF(AND(P69&gt;=2000,P69&lt;=2100,Q69&gt;=1,Q69&lt;=12,R69&gt;=1,R69&lt;=31),DATE(P69,Q69,R69),0),0)</ns0:f>
        <ns0:v>0</ns0:v>
      </ns0:c>
      <ns0:c r="T69" s="0">
        <ns0:f>IFERROR(IF(ISNUMBER(Bookings!D69),IF(AND(Bookings!D69=INT(Bookings!D69),Bookings!D69&gt;=DATE(2000,1,1),Bookings!D69&lt;=DATE(2100,12,31)),Bookings!D69,0),IF(AND(K69&lt;&gt;"",LEN("x"&amp;L69)-LEN(SUBSTITUTE("x"&amp;L69,".",""))=2,OR(1&gt;LEN(L69),MID(L69,1,1)=".",ISNUMBER(FIND("x"&amp;MID(L69,1,1),"x0x1x2x3x4x5x6x7x8x9"))),OR(2&gt;LEN(L69),MID(L69,2,1)=".",ISNUMBER(FIND("x"&amp;MID(L69,2,1),"x0x1x2x3x4x5x6x7x8x9"))),OR(3&gt;LEN(L69),MID(L69,3,1)=".",ISNUMBER(FIND("x"&amp;MID(L69,3,1),"x0x1x2x3x4x5x6x7x8x9"))),OR(4&gt;LEN(L69),MID(L69,4,1)=".",ISNUMBER(FIND("x"&amp;MID(L69,4,1),"x0x1x2x3x4x5x6x7x8x9"))),OR(5&gt;LEN(L69),MID(L69,5,1)=".",ISNUMBER(FIND("x"&amp;MID(L69,5,1),"x0x1x2x3x4x5x6x7x8x9"))),OR(6&gt;LEN(L69),MID(L69,6,1)=".",ISNUMBER(FIND("x"&amp;MID(L69,6,1),"x0x1x2x3x4x5x6x7x8x9"))),OR(7&gt;LEN(L69),MID(L69,7,1)=".",ISNUMBER(FIND("x"&amp;MID(L69,7,1),"x0x1x2x3x4x5x6x7x8x9"))),OR(8&gt;LEN(L69),MID(L69,8,1)=".",ISNUMBER(FIND("x"&amp;MID(L69,8,1),"x0x1x2x3x4x5x6x7x8x9"))),OR(9&gt;LEN(L69),MID(L69,9,1)=".",ISNUMBER(FIND("x"&amp;MID(L69,9,1),"x0x1x2x3x4x5x6x7x8x9"))),OR(10&gt;LEN(L69),MID(L69,10,1)=".",ISNUMBER(FIND("x"&amp;MID(L69,10,1),"x0x1x2x3x4x5x6x7x8x9"))),OR(AND(FIND(".",L69)=5,LEN(L69)-FIND(".",L69,FIND(".",L69)+1)&gt;=1,LEN(L69)-FIND(".",L69,FIND(".",L69)+1)&lt;=2),AND(LEN(L69)-FIND(".",L69,FIND(".",L69)+1)=4,FIND(".",L69)&gt;=2,FIND(".",L69)&lt;=3)),FIND(".",L69,FIND(".",L69)+1)-FIND(".",L69)&gt;=2,FIND(".",L69,FIND(".",L69)+1)-FIND(".",L69)&lt;=3,P69&gt;=2000,P69&lt;=2100,YEAR(S69)=P69,MONTH(S69)=Q69,DAY(S69)=R69),S69,0)),0)</ns0:f>
        <ns0:v>0</ns0:v>
      </ns0:c>
      <ns0:c r="U69" s="0" t="str">
        <ns0:f>IF(Bookings!C69="","Full day",Bookings!C69)</ns0:f>
        <ns0:v>Full day</ns0:v>
      </ns0:c>
      <ns0:c r="V69" s="0" t="str">
        <ns0:f>IF(Bookings!E69="","Full day",Bookings!E69)</ns0:f>
        <ns0:v>Full day</ns0:v>
      </ns0:c>
      <ns0:c r="W69" s="0">
        <ns0:f>IF(J69=0,0,J69+IF(U69="PM",1,0))</ns0:f>
        <ns0:v>0</ns0:v>
      </ns0:c>
      <ns0:c r="X69" s="0">
        <ns0:f>IF(T69=0,0,T69-IF(V69="PM",1,0))</ns0:f>
        <ns0:v>0</ns0:v>
      </ns0:c>
      <ns0:c r="Y69" s="0">
        <ns0:f>IF(J69=0,0,J69+IF(U69="AM",1,0))</ns0:f>
        <ns0:v>0</ns0:v>
      </ns0:c>
      <ns0:c r="Z69" s="0">
        <ns0:f>IF(T69=0,0,T69-IF(V69="AM",1,0))</ns0:f>
        <ns0:v>0</ns0:v>
      </ns0:c>
      <ns0:c r="AA69" s="0">
        <ns0:f>IFERROR(IF(AND(J69&gt;0,'_Engine'!C69&gt;0,MID('_Engine'!W69,WEEKDAY(J69,2),1)="W",COUNTIF(Settings!$F$18:$F$67,J69)=0),1,0),0)</ns0:f>
        <ns0:v>0</ns0:v>
      </ns0:c>
      <ns0:c r="AB69" s="0">
        <ns0:f>IFERROR(IF(AND(T69&gt;0,'_Engine'!C69&gt;0,MID('_Engine'!W69,WEEKDAY(T69,2),1)="W",COUNTIF(Settings!$F$18:$F$67,T69)=0),1,0),0)</ns0:f>
        <ns0:v>0</ns0:v>
      </ns0:c>
      <ns0:c r="AC69" s="0">
        <ns0:f>IF(AND(J69&gt;0,T69&gt;0,W69&lt;=X69),1,0)</ns0:f>
        <ns0:v>0</ns0:v>
      </ns0:c>
      <ns0:c r="AD69" s="0">
        <ns0:f>IF(AND(J69&gt;0,T69&gt;0,Y69&lt;=Z69),1,0)</ns0:f>
        <ns0:v>0</ns0:v>
      </ns0:c>
    </ns0:row>
    <ns0:row r="70">
      <ns0:c r="A70" s="0">
        <ns0:f>IFERROR(IF(ISNUMBER(Bookings!B70),"",TRIM(Bookings!B70&amp;"")),"")</ns0:f>
      </ns0:c>
      <ns0:c r="B70" s="0">
        <ns0:f>IFERROR(SUBSTITUTE(SUBSTITUTE(A70,"/","."),"-","."),"")</ns0:f>
      </ns0:c>
      <ns0:c r="C70" s="0">
        <ns0:f>IFERROR(LEFT(B70,FIND(".",B70)-1),"")</ns0:f>
      </ns0:c>
      <ns0:c r="D70" s="0">
        <ns0:f>IFERROR(MID(B70,FIND(".",B70)+1,FIND(".",B70,FIND(".",B70)+1)-FIND(".",B70)-1),"")</ns0:f>
      </ns0:c>
      <ns0:c r="E70" s="0">
        <ns0:f>IFERROR(MID(B70,FIND(".",B70,FIND(".",B70)+1)+1,99),"")</ns0:f>
        <ns0:v>99</ns0:v>
      </ns0:c>
      <ns0:c r="F70" s="0">
        <ns0:f>IFERROR(IF(FIND(".",B70)=5,--C70,--E70),0)</ns0:f>
        <ns0:v>0</ns0:v>
      </ns0:c>
      <ns0:c r="G70" s="0">
        <ns0:f>IFERROR(--D70,0)</ns0:f>
        <ns0:v>0</ns0:v>
      </ns0:c>
      <ns0:c r="H70" s="0">
        <ns0:f>IFERROR(IF(FIND(".",B70)=5,--E70,--C70),0)</ns0:f>
        <ns0:v>0</ns0:v>
      </ns0:c>
      <ns0:c r="I70" s="0">
        <ns0:f>IFERROR(IF(AND(F70&gt;=2000,F70&lt;=2100,G70&gt;=1,G70&lt;=12,H70&gt;=1,H70&lt;=31),DATE(F70,G70,H70),0),0)</ns0:f>
        <ns0:v>0</ns0:v>
      </ns0:c>
      <ns0:c r="J70" s="0">
        <ns0:f>IFERROR(IF(ISNUMBER(Bookings!B70),IF(AND(Bookings!B70=INT(Bookings!B70),Bookings!B70&gt;=DATE(2000,1,1),Bookings!B70&lt;=DATE(2100,12,31)),Bookings!B70,0),IF(AND(A70&lt;&gt;"",LEN("x"&amp;B70)-LEN(SUBSTITUTE("x"&amp;B70,".",""))=2,OR(1&gt;LEN(B70),MID(B70,1,1)=".",ISNUMBER(FIND("x"&amp;MID(B70,1,1),"x0x1x2x3x4x5x6x7x8x9"))),OR(2&gt;LEN(B70),MID(B70,2,1)=".",ISNUMBER(FIND("x"&amp;MID(B70,2,1),"x0x1x2x3x4x5x6x7x8x9"))),OR(3&gt;LEN(B70),MID(B70,3,1)=".",ISNUMBER(FIND("x"&amp;MID(B70,3,1),"x0x1x2x3x4x5x6x7x8x9"))),OR(4&gt;LEN(B70),MID(B70,4,1)=".",ISNUMBER(FIND("x"&amp;MID(B70,4,1),"x0x1x2x3x4x5x6x7x8x9"))),OR(5&gt;LEN(B70),MID(B70,5,1)=".",ISNUMBER(FIND("x"&amp;MID(B70,5,1),"x0x1x2x3x4x5x6x7x8x9"))),OR(6&gt;LEN(B70),MID(B70,6,1)=".",ISNUMBER(FIND("x"&amp;MID(B70,6,1),"x0x1x2x3x4x5x6x7x8x9"))),OR(7&gt;LEN(B70),MID(B70,7,1)=".",ISNUMBER(FIND("x"&amp;MID(B70,7,1),"x0x1x2x3x4x5x6x7x8x9"))),OR(8&gt;LEN(B70),MID(B70,8,1)=".",ISNUMBER(FIND("x"&amp;MID(B70,8,1),"x0x1x2x3x4x5x6x7x8x9"))),OR(9&gt;LEN(B70),MID(B70,9,1)=".",ISNUMBER(FIND("x"&amp;MID(B70,9,1),"x0x1x2x3x4x5x6x7x8x9"))),OR(10&gt;LEN(B70),MID(B70,10,1)=".",ISNUMBER(FIND("x"&amp;MID(B70,10,1),"x0x1x2x3x4x5x6x7x8x9"))),OR(AND(FIND(".",B70)=5,LEN(B70)-FIND(".",B70,FIND(".",B70)+1)&gt;=1,LEN(B70)-FIND(".",B70,FIND(".",B70)+1)&lt;=2),AND(LEN(B70)-FIND(".",B70,FIND(".",B70)+1)=4,FIND(".",B70)&gt;=2,FIND(".",B70)&lt;=3)),FIND(".",B70,FIND(".",B70)+1)-FIND(".",B70)&gt;=2,FIND(".",B70,FIND(".",B70)+1)-FIND(".",B70)&lt;=3,F70&gt;=2000,F70&lt;=2100,YEAR(I70)=F70,MONTH(I70)=G70,DAY(I70)=H70),I70,0)),0)</ns0:f>
        <ns0:v>0</ns0:v>
      </ns0:c>
      <ns0:c r="K70" s="0">
        <ns0:f>IFERROR(IF(ISNUMBER(Bookings!D70),"",TRIM(Bookings!D70&amp;"")),"")</ns0:f>
      </ns0:c>
      <ns0:c r="L70" s="0">
        <ns0:f>IFERROR(SUBSTITUTE(SUBSTITUTE(K70,"/","."),"-","."),"")</ns0:f>
      </ns0:c>
      <ns0:c r="M70" s="0">
        <ns0:f>IFERROR(LEFT(L70,FIND(".",L70)-1),"")</ns0:f>
      </ns0:c>
      <ns0:c r="N70" s="0">
        <ns0:f>IFERROR(MID(L70,FIND(".",L70)+1,FIND(".",L70,FIND(".",L70)+1)-FIND(".",L70)-1),"")</ns0:f>
      </ns0:c>
      <ns0:c r="O70" s="0">
        <ns0:f>IFERROR(MID(L70,FIND(".",L70,FIND(".",L70)+1)+1,99),"")</ns0:f>
        <ns0:v>99</ns0:v>
      </ns0:c>
      <ns0:c r="P70" s="0">
        <ns0:f>IFERROR(IF(FIND(".",L70)=5,--M70,--O70),0)</ns0:f>
        <ns0:v>0</ns0:v>
      </ns0:c>
      <ns0:c r="Q70" s="0">
        <ns0:f>IFERROR(--N70,0)</ns0:f>
        <ns0:v>0</ns0:v>
      </ns0:c>
      <ns0:c r="R70" s="0">
        <ns0:f>IFERROR(IF(FIND(".",L70)=5,--O70,--M70),0)</ns0:f>
        <ns0:v>0</ns0:v>
      </ns0:c>
      <ns0:c r="S70" s="0">
        <ns0:f>IFERROR(IF(AND(P70&gt;=2000,P70&lt;=2100,Q70&gt;=1,Q70&lt;=12,R70&gt;=1,R70&lt;=31),DATE(P70,Q70,R70),0),0)</ns0:f>
        <ns0:v>0</ns0:v>
      </ns0:c>
      <ns0:c r="T70" s="0">
        <ns0:f>IFERROR(IF(ISNUMBER(Bookings!D70),IF(AND(Bookings!D70=INT(Bookings!D70),Bookings!D70&gt;=DATE(2000,1,1),Bookings!D70&lt;=DATE(2100,12,31)),Bookings!D70,0),IF(AND(K70&lt;&gt;"",LEN("x"&amp;L70)-LEN(SUBSTITUTE("x"&amp;L70,".",""))=2,OR(1&gt;LEN(L70),MID(L70,1,1)=".",ISNUMBER(FIND("x"&amp;MID(L70,1,1),"x0x1x2x3x4x5x6x7x8x9"))),OR(2&gt;LEN(L70),MID(L70,2,1)=".",ISNUMBER(FIND("x"&amp;MID(L70,2,1),"x0x1x2x3x4x5x6x7x8x9"))),OR(3&gt;LEN(L70),MID(L70,3,1)=".",ISNUMBER(FIND("x"&amp;MID(L70,3,1),"x0x1x2x3x4x5x6x7x8x9"))),OR(4&gt;LEN(L70),MID(L70,4,1)=".",ISNUMBER(FIND("x"&amp;MID(L70,4,1),"x0x1x2x3x4x5x6x7x8x9"))),OR(5&gt;LEN(L70),MID(L70,5,1)=".",ISNUMBER(FIND("x"&amp;MID(L70,5,1),"x0x1x2x3x4x5x6x7x8x9"))),OR(6&gt;LEN(L70),MID(L70,6,1)=".",ISNUMBER(FIND("x"&amp;MID(L70,6,1),"x0x1x2x3x4x5x6x7x8x9"))),OR(7&gt;LEN(L70),MID(L70,7,1)=".",ISNUMBER(FIND("x"&amp;MID(L70,7,1),"x0x1x2x3x4x5x6x7x8x9"))),OR(8&gt;LEN(L70),MID(L70,8,1)=".",ISNUMBER(FIND("x"&amp;MID(L70,8,1),"x0x1x2x3x4x5x6x7x8x9"))),OR(9&gt;LEN(L70),MID(L70,9,1)=".",ISNUMBER(FIND("x"&amp;MID(L70,9,1),"x0x1x2x3x4x5x6x7x8x9"))),OR(10&gt;LEN(L70),MID(L70,10,1)=".",ISNUMBER(FIND("x"&amp;MID(L70,10,1),"x0x1x2x3x4x5x6x7x8x9"))),OR(AND(FIND(".",L70)=5,LEN(L70)-FIND(".",L70,FIND(".",L70)+1)&gt;=1,LEN(L70)-FIND(".",L70,FIND(".",L70)+1)&lt;=2),AND(LEN(L70)-FIND(".",L70,FIND(".",L70)+1)=4,FIND(".",L70)&gt;=2,FIND(".",L70)&lt;=3)),FIND(".",L70,FIND(".",L70)+1)-FIND(".",L70)&gt;=2,FIND(".",L70,FIND(".",L70)+1)-FIND(".",L70)&lt;=3,P70&gt;=2000,P70&lt;=2100,YEAR(S70)=P70,MONTH(S70)=Q70,DAY(S70)=R70),S70,0)),0)</ns0:f>
        <ns0:v>0</ns0:v>
      </ns0:c>
      <ns0:c r="U70" s="0" t="str">
        <ns0:f>IF(Bookings!C70="","Full day",Bookings!C70)</ns0:f>
        <ns0:v>Full day</ns0:v>
      </ns0:c>
      <ns0:c r="V70" s="0" t="str">
        <ns0:f>IF(Bookings!E70="","Full day",Bookings!E70)</ns0:f>
        <ns0:v>Full day</ns0:v>
      </ns0:c>
      <ns0:c r="W70" s="0">
        <ns0:f>IF(J70=0,0,J70+IF(U70="PM",1,0))</ns0:f>
        <ns0:v>0</ns0:v>
      </ns0:c>
      <ns0:c r="X70" s="0">
        <ns0:f>IF(T70=0,0,T70-IF(V70="PM",1,0))</ns0:f>
        <ns0:v>0</ns0:v>
      </ns0:c>
      <ns0:c r="Y70" s="0">
        <ns0:f>IF(J70=0,0,J70+IF(U70="AM",1,0))</ns0:f>
        <ns0:v>0</ns0:v>
      </ns0:c>
      <ns0:c r="Z70" s="0">
        <ns0:f>IF(T70=0,0,T70-IF(V70="AM",1,0))</ns0:f>
        <ns0:v>0</ns0:v>
      </ns0:c>
      <ns0:c r="AA70" s="0">
        <ns0:f>IFERROR(IF(AND(J70&gt;0,'_Engine'!C70&gt;0,MID('_Engine'!W70,WEEKDAY(J70,2),1)="W",COUNTIF(Settings!$F$18:$F$67,J70)=0),1,0),0)</ns0:f>
        <ns0:v>0</ns0:v>
      </ns0:c>
      <ns0:c r="AB70" s="0">
        <ns0:f>IFERROR(IF(AND(T70&gt;0,'_Engine'!C70&gt;0,MID('_Engine'!W70,WEEKDAY(T70,2),1)="W",COUNTIF(Settings!$F$18:$F$67,T70)=0),1,0),0)</ns0:f>
        <ns0:v>0</ns0:v>
      </ns0:c>
      <ns0:c r="AC70" s="0">
        <ns0:f>IF(AND(J70&gt;0,T70&gt;0,W70&lt;=X70),1,0)</ns0:f>
        <ns0:v>0</ns0:v>
      </ns0:c>
      <ns0:c r="AD70" s="0">
        <ns0:f>IF(AND(J70&gt;0,T70&gt;0,Y70&lt;=Z70),1,0)</ns0:f>
        <ns0:v>0</ns0:v>
      </ns0:c>
    </ns0:row>
    <ns0:row r="71">
      <ns0:c r="A71" s="0">
        <ns0:f>IFERROR(IF(ISNUMBER(Bookings!B71),"",TRIM(Bookings!B71&amp;"")),"")</ns0:f>
      </ns0:c>
      <ns0:c r="B71" s="0">
        <ns0:f>IFERROR(SUBSTITUTE(SUBSTITUTE(A71,"/","."),"-","."),"")</ns0:f>
      </ns0:c>
      <ns0:c r="C71" s="0">
        <ns0:f>IFERROR(LEFT(B71,FIND(".",B71)-1),"")</ns0:f>
      </ns0:c>
      <ns0:c r="D71" s="0">
        <ns0:f>IFERROR(MID(B71,FIND(".",B71)+1,FIND(".",B71,FIND(".",B71)+1)-FIND(".",B71)-1),"")</ns0:f>
      </ns0:c>
      <ns0:c r="E71" s="0">
        <ns0:f>IFERROR(MID(B71,FIND(".",B71,FIND(".",B71)+1)+1,99),"")</ns0:f>
        <ns0:v>99</ns0:v>
      </ns0:c>
      <ns0:c r="F71" s="0">
        <ns0:f>IFERROR(IF(FIND(".",B71)=5,--C71,--E71),0)</ns0:f>
        <ns0:v>0</ns0:v>
      </ns0:c>
      <ns0:c r="G71" s="0">
        <ns0:f>IFERROR(--D71,0)</ns0:f>
        <ns0:v>0</ns0:v>
      </ns0:c>
      <ns0:c r="H71" s="0">
        <ns0:f>IFERROR(IF(FIND(".",B71)=5,--E71,--C71),0)</ns0:f>
        <ns0:v>0</ns0:v>
      </ns0:c>
      <ns0:c r="I71" s="0">
        <ns0:f>IFERROR(IF(AND(F71&gt;=2000,F71&lt;=2100,G71&gt;=1,G71&lt;=12,H71&gt;=1,H71&lt;=31),DATE(F71,G71,H71),0),0)</ns0:f>
        <ns0:v>0</ns0:v>
      </ns0:c>
      <ns0:c r="J71" s="0">
        <ns0:f>IFERROR(IF(ISNUMBER(Bookings!B71),IF(AND(Bookings!B71=INT(Bookings!B71),Bookings!B71&gt;=DATE(2000,1,1),Bookings!B71&lt;=DATE(2100,12,31)),Bookings!B71,0),IF(AND(A71&lt;&gt;"",LEN("x"&amp;B71)-LEN(SUBSTITUTE("x"&amp;B71,".",""))=2,OR(1&gt;LEN(B71),MID(B71,1,1)=".",ISNUMBER(FIND("x"&amp;MID(B71,1,1),"x0x1x2x3x4x5x6x7x8x9"))),OR(2&gt;LEN(B71),MID(B71,2,1)=".",ISNUMBER(FIND("x"&amp;MID(B71,2,1),"x0x1x2x3x4x5x6x7x8x9"))),OR(3&gt;LEN(B71),MID(B71,3,1)=".",ISNUMBER(FIND("x"&amp;MID(B71,3,1),"x0x1x2x3x4x5x6x7x8x9"))),OR(4&gt;LEN(B71),MID(B71,4,1)=".",ISNUMBER(FIND("x"&amp;MID(B71,4,1),"x0x1x2x3x4x5x6x7x8x9"))),OR(5&gt;LEN(B71),MID(B71,5,1)=".",ISNUMBER(FIND("x"&amp;MID(B71,5,1),"x0x1x2x3x4x5x6x7x8x9"))),OR(6&gt;LEN(B71),MID(B71,6,1)=".",ISNUMBER(FIND("x"&amp;MID(B71,6,1),"x0x1x2x3x4x5x6x7x8x9"))),OR(7&gt;LEN(B71),MID(B71,7,1)=".",ISNUMBER(FIND("x"&amp;MID(B71,7,1),"x0x1x2x3x4x5x6x7x8x9"))),OR(8&gt;LEN(B71),MID(B71,8,1)=".",ISNUMBER(FIND("x"&amp;MID(B71,8,1),"x0x1x2x3x4x5x6x7x8x9"))),OR(9&gt;LEN(B71),MID(B71,9,1)=".",ISNUMBER(FIND("x"&amp;MID(B71,9,1),"x0x1x2x3x4x5x6x7x8x9"))),OR(10&gt;LEN(B71),MID(B71,10,1)=".",ISNUMBER(FIND("x"&amp;MID(B71,10,1),"x0x1x2x3x4x5x6x7x8x9"))),OR(AND(FIND(".",B71)=5,LEN(B71)-FIND(".",B71,FIND(".",B71)+1)&gt;=1,LEN(B71)-FIND(".",B71,FIND(".",B71)+1)&lt;=2),AND(LEN(B71)-FIND(".",B71,FIND(".",B71)+1)=4,FIND(".",B71)&gt;=2,FIND(".",B71)&lt;=3)),FIND(".",B71,FIND(".",B71)+1)-FIND(".",B71)&gt;=2,FIND(".",B71,FIND(".",B71)+1)-FIND(".",B71)&lt;=3,F71&gt;=2000,F71&lt;=2100,YEAR(I71)=F71,MONTH(I71)=G71,DAY(I71)=H71),I71,0)),0)</ns0:f>
        <ns0:v>0</ns0:v>
      </ns0:c>
      <ns0:c r="K71" s="0">
        <ns0:f>IFERROR(IF(ISNUMBER(Bookings!D71),"",TRIM(Bookings!D71&amp;"")),"")</ns0:f>
      </ns0:c>
      <ns0:c r="L71" s="0">
        <ns0:f>IFERROR(SUBSTITUTE(SUBSTITUTE(K71,"/","."),"-","."),"")</ns0:f>
      </ns0:c>
      <ns0:c r="M71" s="0">
        <ns0:f>IFERROR(LEFT(L71,FIND(".",L71)-1),"")</ns0:f>
      </ns0:c>
      <ns0:c r="N71" s="0">
        <ns0:f>IFERROR(MID(L71,FIND(".",L71)+1,FIND(".",L71,FIND(".",L71)+1)-FIND(".",L71)-1),"")</ns0:f>
      </ns0:c>
      <ns0:c r="O71" s="0">
        <ns0:f>IFERROR(MID(L71,FIND(".",L71,FIND(".",L71)+1)+1,99),"")</ns0:f>
        <ns0:v>99</ns0:v>
      </ns0:c>
      <ns0:c r="P71" s="0">
        <ns0:f>IFERROR(IF(FIND(".",L71)=5,--M71,--O71),0)</ns0:f>
        <ns0:v>0</ns0:v>
      </ns0:c>
      <ns0:c r="Q71" s="0">
        <ns0:f>IFERROR(--N71,0)</ns0:f>
        <ns0:v>0</ns0:v>
      </ns0:c>
      <ns0:c r="R71" s="0">
        <ns0:f>IFERROR(IF(FIND(".",L71)=5,--O71,--M71),0)</ns0:f>
        <ns0:v>0</ns0:v>
      </ns0:c>
      <ns0:c r="S71" s="0">
        <ns0:f>IFERROR(IF(AND(P71&gt;=2000,P71&lt;=2100,Q71&gt;=1,Q71&lt;=12,R71&gt;=1,R71&lt;=31),DATE(P71,Q71,R71),0),0)</ns0:f>
        <ns0:v>0</ns0:v>
      </ns0:c>
      <ns0:c r="T71" s="0">
        <ns0:f>IFERROR(IF(ISNUMBER(Bookings!D71),IF(AND(Bookings!D71=INT(Bookings!D71),Bookings!D71&gt;=DATE(2000,1,1),Bookings!D71&lt;=DATE(2100,12,31)),Bookings!D71,0),IF(AND(K71&lt;&gt;"",LEN("x"&amp;L71)-LEN(SUBSTITUTE("x"&amp;L71,".",""))=2,OR(1&gt;LEN(L71),MID(L71,1,1)=".",ISNUMBER(FIND("x"&amp;MID(L71,1,1),"x0x1x2x3x4x5x6x7x8x9"))),OR(2&gt;LEN(L71),MID(L71,2,1)=".",ISNUMBER(FIND("x"&amp;MID(L71,2,1),"x0x1x2x3x4x5x6x7x8x9"))),OR(3&gt;LEN(L71),MID(L71,3,1)=".",ISNUMBER(FIND("x"&amp;MID(L71,3,1),"x0x1x2x3x4x5x6x7x8x9"))),OR(4&gt;LEN(L71),MID(L71,4,1)=".",ISNUMBER(FIND("x"&amp;MID(L71,4,1),"x0x1x2x3x4x5x6x7x8x9"))),OR(5&gt;LEN(L71),MID(L71,5,1)=".",ISNUMBER(FIND("x"&amp;MID(L71,5,1),"x0x1x2x3x4x5x6x7x8x9"))),OR(6&gt;LEN(L71),MID(L71,6,1)=".",ISNUMBER(FIND("x"&amp;MID(L71,6,1),"x0x1x2x3x4x5x6x7x8x9"))),OR(7&gt;LEN(L71),MID(L71,7,1)=".",ISNUMBER(FIND("x"&amp;MID(L71,7,1),"x0x1x2x3x4x5x6x7x8x9"))),OR(8&gt;LEN(L71),MID(L71,8,1)=".",ISNUMBER(FIND("x"&amp;MID(L71,8,1),"x0x1x2x3x4x5x6x7x8x9"))),OR(9&gt;LEN(L71),MID(L71,9,1)=".",ISNUMBER(FIND("x"&amp;MID(L71,9,1),"x0x1x2x3x4x5x6x7x8x9"))),OR(10&gt;LEN(L71),MID(L71,10,1)=".",ISNUMBER(FIND("x"&amp;MID(L71,10,1),"x0x1x2x3x4x5x6x7x8x9"))),OR(AND(FIND(".",L71)=5,LEN(L71)-FIND(".",L71,FIND(".",L71)+1)&gt;=1,LEN(L71)-FIND(".",L71,FIND(".",L71)+1)&lt;=2),AND(LEN(L71)-FIND(".",L71,FIND(".",L71)+1)=4,FIND(".",L71)&gt;=2,FIND(".",L71)&lt;=3)),FIND(".",L71,FIND(".",L71)+1)-FIND(".",L71)&gt;=2,FIND(".",L71,FIND(".",L71)+1)-FIND(".",L71)&lt;=3,P71&gt;=2000,P71&lt;=2100,YEAR(S71)=P71,MONTH(S71)=Q71,DAY(S71)=R71),S71,0)),0)</ns0:f>
        <ns0:v>0</ns0:v>
      </ns0:c>
      <ns0:c r="U71" s="0" t="str">
        <ns0:f>IF(Bookings!C71="","Full day",Bookings!C71)</ns0:f>
        <ns0:v>Full day</ns0:v>
      </ns0:c>
      <ns0:c r="V71" s="0" t="str">
        <ns0:f>IF(Bookings!E71="","Full day",Bookings!E71)</ns0:f>
        <ns0:v>Full day</ns0:v>
      </ns0:c>
      <ns0:c r="W71" s="0">
        <ns0:f>IF(J71=0,0,J71+IF(U71="PM",1,0))</ns0:f>
        <ns0:v>0</ns0:v>
      </ns0:c>
      <ns0:c r="X71" s="0">
        <ns0:f>IF(T71=0,0,T71-IF(V71="PM",1,0))</ns0:f>
        <ns0:v>0</ns0:v>
      </ns0:c>
      <ns0:c r="Y71" s="0">
        <ns0:f>IF(J71=0,0,J71+IF(U71="AM",1,0))</ns0:f>
        <ns0:v>0</ns0:v>
      </ns0:c>
      <ns0:c r="Z71" s="0">
        <ns0:f>IF(T71=0,0,T71-IF(V71="AM",1,0))</ns0:f>
        <ns0:v>0</ns0:v>
      </ns0:c>
      <ns0:c r="AA71" s="0">
        <ns0:f>IFERROR(IF(AND(J71&gt;0,'_Engine'!C71&gt;0,MID('_Engine'!W71,WEEKDAY(J71,2),1)="W",COUNTIF(Settings!$F$18:$F$67,J71)=0),1,0),0)</ns0:f>
        <ns0:v>0</ns0:v>
      </ns0:c>
      <ns0:c r="AB71" s="0">
        <ns0:f>IFERROR(IF(AND(T71&gt;0,'_Engine'!C71&gt;0,MID('_Engine'!W71,WEEKDAY(T71,2),1)="W",COUNTIF(Settings!$F$18:$F$67,T71)=0),1,0),0)</ns0:f>
        <ns0:v>0</ns0:v>
      </ns0:c>
      <ns0:c r="AC71" s="0">
        <ns0:f>IF(AND(J71&gt;0,T71&gt;0,W71&lt;=X71),1,0)</ns0:f>
        <ns0:v>0</ns0:v>
      </ns0:c>
      <ns0:c r="AD71" s="0">
        <ns0:f>IF(AND(J71&gt;0,T71&gt;0,Y71&lt;=Z71),1,0)</ns0:f>
        <ns0:v>0</ns0:v>
      </ns0:c>
    </ns0:row>
    <ns0:row r="72">
      <ns0:c r="A72" s="0">
        <ns0:f>IFERROR(IF(ISNUMBER(Bookings!B72),"",TRIM(Bookings!B72&amp;"")),"")</ns0:f>
      </ns0:c>
      <ns0:c r="B72" s="0">
        <ns0:f>IFERROR(SUBSTITUTE(SUBSTITUTE(A72,"/","."),"-","."),"")</ns0:f>
      </ns0:c>
      <ns0:c r="C72" s="0">
        <ns0:f>IFERROR(LEFT(B72,FIND(".",B72)-1),"")</ns0:f>
      </ns0:c>
      <ns0:c r="D72" s="0">
        <ns0:f>IFERROR(MID(B72,FIND(".",B72)+1,FIND(".",B72,FIND(".",B72)+1)-FIND(".",B72)-1),"")</ns0:f>
      </ns0:c>
      <ns0:c r="E72" s="0">
        <ns0:f>IFERROR(MID(B72,FIND(".",B72,FIND(".",B72)+1)+1,99),"")</ns0:f>
        <ns0:v>99</ns0:v>
      </ns0:c>
      <ns0:c r="F72" s="0">
        <ns0:f>IFERROR(IF(FIND(".",B72)=5,--C72,--E72),0)</ns0:f>
        <ns0:v>0</ns0:v>
      </ns0:c>
      <ns0:c r="G72" s="0">
        <ns0:f>IFERROR(--D72,0)</ns0:f>
        <ns0:v>0</ns0:v>
      </ns0:c>
      <ns0:c r="H72" s="0">
        <ns0:f>IFERROR(IF(FIND(".",B72)=5,--E72,--C72),0)</ns0:f>
        <ns0:v>0</ns0:v>
      </ns0:c>
      <ns0:c r="I72" s="0">
        <ns0:f>IFERROR(IF(AND(F72&gt;=2000,F72&lt;=2100,G72&gt;=1,G72&lt;=12,H72&gt;=1,H72&lt;=31),DATE(F72,G72,H72),0),0)</ns0:f>
        <ns0:v>0</ns0:v>
      </ns0:c>
      <ns0:c r="J72" s="0">
        <ns0:f>IFERROR(IF(ISNUMBER(Bookings!B72),IF(AND(Bookings!B72=INT(Bookings!B72),Bookings!B72&gt;=DATE(2000,1,1),Bookings!B72&lt;=DATE(2100,12,31)),Bookings!B72,0),IF(AND(A72&lt;&gt;"",LEN("x"&amp;B72)-LEN(SUBSTITUTE("x"&amp;B72,".",""))=2,OR(1&gt;LEN(B72),MID(B72,1,1)=".",ISNUMBER(FIND("x"&amp;MID(B72,1,1),"x0x1x2x3x4x5x6x7x8x9"))),OR(2&gt;LEN(B72),MID(B72,2,1)=".",ISNUMBER(FIND("x"&amp;MID(B72,2,1),"x0x1x2x3x4x5x6x7x8x9"))),OR(3&gt;LEN(B72),MID(B72,3,1)=".",ISNUMBER(FIND("x"&amp;MID(B72,3,1),"x0x1x2x3x4x5x6x7x8x9"))),OR(4&gt;LEN(B72),MID(B72,4,1)=".",ISNUMBER(FIND("x"&amp;MID(B72,4,1),"x0x1x2x3x4x5x6x7x8x9"))),OR(5&gt;LEN(B72),MID(B72,5,1)=".",ISNUMBER(FIND("x"&amp;MID(B72,5,1),"x0x1x2x3x4x5x6x7x8x9"))),OR(6&gt;LEN(B72),MID(B72,6,1)=".",ISNUMBER(FIND("x"&amp;MID(B72,6,1),"x0x1x2x3x4x5x6x7x8x9"))),OR(7&gt;LEN(B72),MID(B72,7,1)=".",ISNUMBER(FIND("x"&amp;MID(B72,7,1),"x0x1x2x3x4x5x6x7x8x9"))),OR(8&gt;LEN(B72),MID(B72,8,1)=".",ISNUMBER(FIND("x"&amp;MID(B72,8,1),"x0x1x2x3x4x5x6x7x8x9"))),OR(9&gt;LEN(B72),MID(B72,9,1)=".",ISNUMBER(FIND("x"&amp;MID(B72,9,1),"x0x1x2x3x4x5x6x7x8x9"))),OR(10&gt;LEN(B72),MID(B72,10,1)=".",ISNUMBER(FIND("x"&amp;MID(B72,10,1),"x0x1x2x3x4x5x6x7x8x9"))),OR(AND(FIND(".",B72)=5,LEN(B72)-FIND(".",B72,FIND(".",B72)+1)&gt;=1,LEN(B72)-FIND(".",B72,FIND(".",B72)+1)&lt;=2),AND(LEN(B72)-FIND(".",B72,FIND(".",B72)+1)=4,FIND(".",B72)&gt;=2,FIND(".",B72)&lt;=3)),FIND(".",B72,FIND(".",B72)+1)-FIND(".",B72)&gt;=2,FIND(".",B72,FIND(".",B72)+1)-FIND(".",B72)&lt;=3,F72&gt;=2000,F72&lt;=2100,YEAR(I72)=F72,MONTH(I72)=G72,DAY(I72)=H72),I72,0)),0)</ns0:f>
        <ns0:v>0</ns0:v>
      </ns0:c>
      <ns0:c r="K72" s="0">
        <ns0:f>IFERROR(IF(ISNUMBER(Bookings!D72),"",TRIM(Bookings!D72&amp;"")),"")</ns0:f>
      </ns0:c>
      <ns0:c r="L72" s="0">
        <ns0:f>IFERROR(SUBSTITUTE(SUBSTITUTE(K72,"/","."),"-","."),"")</ns0:f>
      </ns0:c>
      <ns0:c r="M72" s="0">
        <ns0:f>IFERROR(LEFT(L72,FIND(".",L72)-1),"")</ns0:f>
      </ns0:c>
      <ns0:c r="N72" s="0">
        <ns0:f>IFERROR(MID(L72,FIND(".",L72)+1,FIND(".",L72,FIND(".",L72)+1)-FIND(".",L72)-1),"")</ns0:f>
      </ns0:c>
      <ns0:c r="O72" s="0">
        <ns0:f>IFERROR(MID(L72,FIND(".",L72,FIND(".",L72)+1)+1,99),"")</ns0:f>
        <ns0:v>99</ns0:v>
      </ns0:c>
      <ns0:c r="P72" s="0">
        <ns0:f>IFERROR(IF(FIND(".",L72)=5,--M72,--O72),0)</ns0:f>
        <ns0:v>0</ns0:v>
      </ns0:c>
      <ns0:c r="Q72" s="0">
        <ns0:f>IFERROR(--N72,0)</ns0:f>
        <ns0:v>0</ns0:v>
      </ns0:c>
      <ns0:c r="R72" s="0">
        <ns0:f>IFERROR(IF(FIND(".",L72)=5,--O72,--M72),0)</ns0:f>
        <ns0:v>0</ns0:v>
      </ns0:c>
      <ns0:c r="S72" s="0">
        <ns0:f>IFERROR(IF(AND(P72&gt;=2000,P72&lt;=2100,Q72&gt;=1,Q72&lt;=12,R72&gt;=1,R72&lt;=31),DATE(P72,Q72,R72),0),0)</ns0:f>
        <ns0:v>0</ns0:v>
      </ns0:c>
      <ns0:c r="T72" s="0">
        <ns0:f>IFERROR(IF(ISNUMBER(Bookings!D72),IF(AND(Bookings!D72=INT(Bookings!D72),Bookings!D72&gt;=DATE(2000,1,1),Bookings!D72&lt;=DATE(2100,12,31)),Bookings!D72,0),IF(AND(K72&lt;&gt;"",LEN("x"&amp;L72)-LEN(SUBSTITUTE("x"&amp;L72,".",""))=2,OR(1&gt;LEN(L72),MID(L72,1,1)=".",ISNUMBER(FIND("x"&amp;MID(L72,1,1),"x0x1x2x3x4x5x6x7x8x9"))),OR(2&gt;LEN(L72),MID(L72,2,1)=".",ISNUMBER(FIND("x"&amp;MID(L72,2,1),"x0x1x2x3x4x5x6x7x8x9"))),OR(3&gt;LEN(L72),MID(L72,3,1)=".",ISNUMBER(FIND("x"&amp;MID(L72,3,1),"x0x1x2x3x4x5x6x7x8x9"))),OR(4&gt;LEN(L72),MID(L72,4,1)=".",ISNUMBER(FIND("x"&amp;MID(L72,4,1),"x0x1x2x3x4x5x6x7x8x9"))),OR(5&gt;LEN(L72),MID(L72,5,1)=".",ISNUMBER(FIND("x"&amp;MID(L72,5,1),"x0x1x2x3x4x5x6x7x8x9"))),OR(6&gt;LEN(L72),MID(L72,6,1)=".",ISNUMBER(FIND("x"&amp;MID(L72,6,1),"x0x1x2x3x4x5x6x7x8x9"))),OR(7&gt;LEN(L72),MID(L72,7,1)=".",ISNUMBER(FIND("x"&amp;MID(L72,7,1),"x0x1x2x3x4x5x6x7x8x9"))),OR(8&gt;LEN(L72),MID(L72,8,1)=".",ISNUMBER(FIND("x"&amp;MID(L72,8,1),"x0x1x2x3x4x5x6x7x8x9"))),OR(9&gt;LEN(L72),MID(L72,9,1)=".",ISNUMBER(FIND("x"&amp;MID(L72,9,1),"x0x1x2x3x4x5x6x7x8x9"))),OR(10&gt;LEN(L72),MID(L72,10,1)=".",ISNUMBER(FIND("x"&amp;MID(L72,10,1),"x0x1x2x3x4x5x6x7x8x9"))),OR(AND(FIND(".",L72)=5,LEN(L72)-FIND(".",L72,FIND(".",L72)+1)&gt;=1,LEN(L72)-FIND(".",L72,FIND(".",L72)+1)&lt;=2),AND(LEN(L72)-FIND(".",L72,FIND(".",L72)+1)=4,FIND(".",L72)&gt;=2,FIND(".",L72)&lt;=3)),FIND(".",L72,FIND(".",L72)+1)-FIND(".",L72)&gt;=2,FIND(".",L72,FIND(".",L72)+1)-FIND(".",L72)&lt;=3,P72&gt;=2000,P72&lt;=2100,YEAR(S72)=P72,MONTH(S72)=Q72,DAY(S72)=R72),S72,0)),0)</ns0:f>
        <ns0:v>0</ns0:v>
      </ns0:c>
      <ns0:c r="U72" s="0" t="str">
        <ns0:f>IF(Bookings!C72="","Full day",Bookings!C72)</ns0:f>
        <ns0:v>Full day</ns0:v>
      </ns0:c>
      <ns0:c r="V72" s="0" t="str">
        <ns0:f>IF(Bookings!E72="","Full day",Bookings!E72)</ns0:f>
        <ns0:v>Full day</ns0:v>
      </ns0:c>
      <ns0:c r="W72" s="0">
        <ns0:f>IF(J72=0,0,J72+IF(U72="PM",1,0))</ns0:f>
        <ns0:v>0</ns0:v>
      </ns0:c>
      <ns0:c r="X72" s="0">
        <ns0:f>IF(T72=0,0,T72-IF(V72="PM",1,0))</ns0:f>
        <ns0:v>0</ns0:v>
      </ns0:c>
      <ns0:c r="Y72" s="0">
        <ns0:f>IF(J72=0,0,J72+IF(U72="AM",1,0))</ns0:f>
        <ns0:v>0</ns0:v>
      </ns0:c>
      <ns0:c r="Z72" s="0">
        <ns0:f>IF(T72=0,0,T72-IF(V72="AM",1,0))</ns0:f>
        <ns0:v>0</ns0:v>
      </ns0:c>
      <ns0:c r="AA72" s="0">
        <ns0:f>IFERROR(IF(AND(J72&gt;0,'_Engine'!C72&gt;0,MID('_Engine'!W72,WEEKDAY(J72,2),1)="W",COUNTIF(Settings!$F$18:$F$67,J72)=0),1,0),0)</ns0:f>
        <ns0:v>0</ns0:v>
      </ns0:c>
      <ns0:c r="AB72" s="0">
        <ns0:f>IFERROR(IF(AND(T72&gt;0,'_Engine'!C72&gt;0,MID('_Engine'!W72,WEEKDAY(T72,2),1)="W",COUNTIF(Settings!$F$18:$F$67,T72)=0),1,0),0)</ns0:f>
        <ns0:v>0</ns0:v>
      </ns0:c>
      <ns0:c r="AC72" s="0">
        <ns0:f>IF(AND(J72&gt;0,T72&gt;0,W72&lt;=X72),1,0)</ns0:f>
        <ns0:v>0</ns0:v>
      </ns0:c>
      <ns0:c r="AD72" s="0">
        <ns0:f>IF(AND(J72&gt;0,T72&gt;0,Y72&lt;=Z72),1,0)</ns0:f>
        <ns0:v>0</ns0:v>
      </ns0:c>
    </ns0:row>
    <ns0:row r="73">
      <ns0:c r="A73" s="0">
        <ns0:f>IFERROR(IF(ISNUMBER(Bookings!B73),"",TRIM(Bookings!B73&amp;"")),"")</ns0:f>
      </ns0:c>
      <ns0:c r="B73" s="0">
        <ns0:f>IFERROR(SUBSTITUTE(SUBSTITUTE(A73,"/","."),"-","."),"")</ns0:f>
      </ns0:c>
      <ns0:c r="C73" s="0">
        <ns0:f>IFERROR(LEFT(B73,FIND(".",B73)-1),"")</ns0:f>
      </ns0:c>
      <ns0:c r="D73" s="0">
        <ns0:f>IFERROR(MID(B73,FIND(".",B73)+1,FIND(".",B73,FIND(".",B73)+1)-FIND(".",B73)-1),"")</ns0:f>
      </ns0:c>
      <ns0:c r="E73" s="0">
        <ns0:f>IFERROR(MID(B73,FIND(".",B73,FIND(".",B73)+1)+1,99),"")</ns0:f>
        <ns0:v>99</ns0:v>
      </ns0:c>
      <ns0:c r="F73" s="0">
        <ns0:f>IFERROR(IF(FIND(".",B73)=5,--C73,--E73),0)</ns0:f>
        <ns0:v>0</ns0:v>
      </ns0:c>
      <ns0:c r="G73" s="0">
        <ns0:f>IFERROR(--D73,0)</ns0:f>
        <ns0:v>0</ns0:v>
      </ns0:c>
      <ns0:c r="H73" s="0">
        <ns0:f>IFERROR(IF(FIND(".",B73)=5,--E73,--C73),0)</ns0:f>
        <ns0:v>0</ns0:v>
      </ns0:c>
      <ns0:c r="I73" s="0">
        <ns0:f>IFERROR(IF(AND(F73&gt;=2000,F73&lt;=2100,G73&gt;=1,G73&lt;=12,H73&gt;=1,H73&lt;=31),DATE(F73,G73,H73),0),0)</ns0:f>
        <ns0:v>0</ns0:v>
      </ns0:c>
      <ns0:c r="J73" s="0">
        <ns0:f>IFERROR(IF(ISNUMBER(Bookings!B73),IF(AND(Bookings!B73=INT(Bookings!B73),Bookings!B73&gt;=DATE(2000,1,1),Bookings!B73&lt;=DATE(2100,12,31)),Bookings!B73,0),IF(AND(A73&lt;&gt;"",LEN("x"&amp;B73)-LEN(SUBSTITUTE("x"&amp;B73,".",""))=2,OR(1&gt;LEN(B73),MID(B73,1,1)=".",ISNUMBER(FIND("x"&amp;MID(B73,1,1),"x0x1x2x3x4x5x6x7x8x9"))),OR(2&gt;LEN(B73),MID(B73,2,1)=".",ISNUMBER(FIND("x"&amp;MID(B73,2,1),"x0x1x2x3x4x5x6x7x8x9"))),OR(3&gt;LEN(B73),MID(B73,3,1)=".",ISNUMBER(FIND("x"&amp;MID(B73,3,1),"x0x1x2x3x4x5x6x7x8x9"))),OR(4&gt;LEN(B73),MID(B73,4,1)=".",ISNUMBER(FIND("x"&amp;MID(B73,4,1),"x0x1x2x3x4x5x6x7x8x9"))),OR(5&gt;LEN(B73),MID(B73,5,1)=".",ISNUMBER(FIND("x"&amp;MID(B73,5,1),"x0x1x2x3x4x5x6x7x8x9"))),OR(6&gt;LEN(B73),MID(B73,6,1)=".",ISNUMBER(FIND("x"&amp;MID(B73,6,1),"x0x1x2x3x4x5x6x7x8x9"))),OR(7&gt;LEN(B73),MID(B73,7,1)=".",ISNUMBER(FIND("x"&amp;MID(B73,7,1),"x0x1x2x3x4x5x6x7x8x9"))),OR(8&gt;LEN(B73),MID(B73,8,1)=".",ISNUMBER(FIND("x"&amp;MID(B73,8,1),"x0x1x2x3x4x5x6x7x8x9"))),OR(9&gt;LEN(B73),MID(B73,9,1)=".",ISNUMBER(FIND("x"&amp;MID(B73,9,1),"x0x1x2x3x4x5x6x7x8x9"))),OR(10&gt;LEN(B73),MID(B73,10,1)=".",ISNUMBER(FIND("x"&amp;MID(B73,10,1),"x0x1x2x3x4x5x6x7x8x9"))),OR(AND(FIND(".",B73)=5,LEN(B73)-FIND(".",B73,FIND(".",B73)+1)&gt;=1,LEN(B73)-FIND(".",B73,FIND(".",B73)+1)&lt;=2),AND(LEN(B73)-FIND(".",B73,FIND(".",B73)+1)=4,FIND(".",B73)&gt;=2,FIND(".",B73)&lt;=3)),FIND(".",B73,FIND(".",B73)+1)-FIND(".",B73)&gt;=2,FIND(".",B73,FIND(".",B73)+1)-FIND(".",B73)&lt;=3,F73&gt;=2000,F73&lt;=2100,YEAR(I73)=F73,MONTH(I73)=G73,DAY(I73)=H73),I73,0)),0)</ns0:f>
        <ns0:v>0</ns0:v>
      </ns0:c>
      <ns0:c r="K73" s="0">
        <ns0:f>IFERROR(IF(ISNUMBER(Bookings!D73),"",TRIM(Bookings!D73&amp;"")),"")</ns0:f>
      </ns0:c>
      <ns0:c r="L73" s="0">
        <ns0:f>IFERROR(SUBSTITUTE(SUBSTITUTE(K73,"/","."),"-","."),"")</ns0:f>
      </ns0:c>
      <ns0:c r="M73" s="0">
        <ns0:f>IFERROR(LEFT(L73,FIND(".",L73)-1),"")</ns0:f>
      </ns0:c>
      <ns0:c r="N73" s="0">
        <ns0:f>IFERROR(MID(L73,FIND(".",L73)+1,FIND(".",L73,FIND(".",L73)+1)-FIND(".",L73)-1),"")</ns0:f>
      </ns0:c>
      <ns0:c r="O73" s="0">
        <ns0:f>IFERROR(MID(L73,FIND(".",L73,FIND(".",L73)+1)+1,99),"")</ns0:f>
        <ns0:v>99</ns0:v>
      </ns0:c>
      <ns0:c r="P73" s="0">
        <ns0:f>IFERROR(IF(FIND(".",L73)=5,--M73,--O73),0)</ns0:f>
        <ns0:v>0</ns0:v>
      </ns0:c>
      <ns0:c r="Q73" s="0">
        <ns0:f>IFERROR(--N73,0)</ns0:f>
        <ns0:v>0</ns0:v>
      </ns0:c>
      <ns0:c r="R73" s="0">
        <ns0:f>IFERROR(IF(FIND(".",L73)=5,--O73,--M73),0)</ns0:f>
        <ns0:v>0</ns0:v>
      </ns0:c>
      <ns0:c r="S73" s="0">
        <ns0:f>IFERROR(IF(AND(P73&gt;=2000,P73&lt;=2100,Q73&gt;=1,Q73&lt;=12,R73&gt;=1,R73&lt;=31),DATE(P73,Q73,R73),0),0)</ns0:f>
        <ns0:v>0</ns0:v>
      </ns0:c>
      <ns0:c r="T73" s="0">
        <ns0:f>IFERROR(IF(ISNUMBER(Bookings!D73),IF(AND(Bookings!D73=INT(Bookings!D73),Bookings!D73&gt;=DATE(2000,1,1),Bookings!D73&lt;=DATE(2100,12,31)),Bookings!D73,0),IF(AND(K73&lt;&gt;"",LEN("x"&amp;L73)-LEN(SUBSTITUTE("x"&amp;L73,".",""))=2,OR(1&gt;LEN(L73),MID(L73,1,1)=".",ISNUMBER(FIND("x"&amp;MID(L73,1,1),"x0x1x2x3x4x5x6x7x8x9"))),OR(2&gt;LEN(L73),MID(L73,2,1)=".",ISNUMBER(FIND("x"&amp;MID(L73,2,1),"x0x1x2x3x4x5x6x7x8x9"))),OR(3&gt;LEN(L73),MID(L73,3,1)=".",ISNUMBER(FIND("x"&amp;MID(L73,3,1),"x0x1x2x3x4x5x6x7x8x9"))),OR(4&gt;LEN(L73),MID(L73,4,1)=".",ISNUMBER(FIND("x"&amp;MID(L73,4,1),"x0x1x2x3x4x5x6x7x8x9"))),OR(5&gt;LEN(L73),MID(L73,5,1)=".",ISNUMBER(FIND("x"&amp;MID(L73,5,1),"x0x1x2x3x4x5x6x7x8x9"))),OR(6&gt;LEN(L73),MID(L73,6,1)=".",ISNUMBER(FIND("x"&amp;MID(L73,6,1),"x0x1x2x3x4x5x6x7x8x9"))),OR(7&gt;LEN(L73),MID(L73,7,1)=".",ISNUMBER(FIND("x"&amp;MID(L73,7,1),"x0x1x2x3x4x5x6x7x8x9"))),OR(8&gt;LEN(L73),MID(L73,8,1)=".",ISNUMBER(FIND("x"&amp;MID(L73,8,1),"x0x1x2x3x4x5x6x7x8x9"))),OR(9&gt;LEN(L73),MID(L73,9,1)=".",ISNUMBER(FIND("x"&amp;MID(L73,9,1),"x0x1x2x3x4x5x6x7x8x9"))),OR(10&gt;LEN(L73),MID(L73,10,1)=".",ISNUMBER(FIND("x"&amp;MID(L73,10,1),"x0x1x2x3x4x5x6x7x8x9"))),OR(AND(FIND(".",L73)=5,LEN(L73)-FIND(".",L73,FIND(".",L73)+1)&gt;=1,LEN(L73)-FIND(".",L73,FIND(".",L73)+1)&lt;=2),AND(LEN(L73)-FIND(".",L73,FIND(".",L73)+1)=4,FIND(".",L73)&gt;=2,FIND(".",L73)&lt;=3)),FIND(".",L73,FIND(".",L73)+1)-FIND(".",L73)&gt;=2,FIND(".",L73,FIND(".",L73)+1)-FIND(".",L73)&lt;=3,P73&gt;=2000,P73&lt;=2100,YEAR(S73)=P73,MONTH(S73)=Q73,DAY(S73)=R73),S73,0)),0)</ns0:f>
        <ns0:v>0</ns0:v>
      </ns0:c>
      <ns0:c r="U73" s="0" t="str">
        <ns0:f>IF(Bookings!C73="","Full day",Bookings!C73)</ns0:f>
        <ns0:v>Full day</ns0:v>
      </ns0:c>
      <ns0:c r="V73" s="0" t="str">
        <ns0:f>IF(Bookings!E73="","Full day",Bookings!E73)</ns0:f>
        <ns0:v>Full day</ns0:v>
      </ns0:c>
      <ns0:c r="W73" s="0">
        <ns0:f>IF(J73=0,0,J73+IF(U73="PM",1,0))</ns0:f>
        <ns0:v>0</ns0:v>
      </ns0:c>
      <ns0:c r="X73" s="0">
        <ns0:f>IF(T73=0,0,T73-IF(V73="PM",1,0))</ns0:f>
        <ns0:v>0</ns0:v>
      </ns0:c>
      <ns0:c r="Y73" s="0">
        <ns0:f>IF(J73=0,0,J73+IF(U73="AM",1,0))</ns0:f>
        <ns0:v>0</ns0:v>
      </ns0:c>
      <ns0:c r="Z73" s="0">
        <ns0:f>IF(T73=0,0,T73-IF(V73="AM",1,0))</ns0:f>
        <ns0:v>0</ns0:v>
      </ns0:c>
      <ns0:c r="AA73" s="0">
        <ns0:f>IFERROR(IF(AND(J73&gt;0,'_Engine'!C73&gt;0,MID('_Engine'!W73,WEEKDAY(J73,2),1)="W",COUNTIF(Settings!$F$18:$F$67,J73)=0),1,0),0)</ns0:f>
        <ns0:v>0</ns0:v>
      </ns0:c>
      <ns0:c r="AB73" s="0">
        <ns0:f>IFERROR(IF(AND(T73&gt;0,'_Engine'!C73&gt;0,MID('_Engine'!W73,WEEKDAY(T73,2),1)="W",COUNTIF(Settings!$F$18:$F$67,T73)=0),1,0),0)</ns0:f>
        <ns0:v>0</ns0:v>
      </ns0:c>
      <ns0:c r="AC73" s="0">
        <ns0:f>IF(AND(J73&gt;0,T73&gt;0,W73&lt;=X73),1,0)</ns0:f>
        <ns0:v>0</ns0:v>
      </ns0:c>
      <ns0:c r="AD73" s="0">
        <ns0:f>IF(AND(J73&gt;0,T73&gt;0,Y73&lt;=Z73),1,0)</ns0:f>
        <ns0:v>0</ns0:v>
      </ns0:c>
    </ns0:row>
    <ns0:row r="74">
      <ns0:c r="A74" s="0">
        <ns0:f>IFERROR(IF(ISNUMBER(Bookings!B74),"",TRIM(Bookings!B74&amp;"")),"")</ns0:f>
      </ns0:c>
      <ns0:c r="B74" s="0">
        <ns0:f>IFERROR(SUBSTITUTE(SUBSTITUTE(A74,"/","."),"-","."),"")</ns0:f>
      </ns0:c>
      <ns0:c r="C74" s="0">
        <ns0:f>IFERROR(LEFT(B74,FIND(".",B74)-1),"")</ns0:f>
      </ns0:c>
      <ns0:c r="D74" s="0">
        <ns0:f>IFERROR(MID(B74,FIND(".",B74)+1,FIND(".",B74,FIND(".",B74)+1)-FIND(".",B74)-1),"")</ns0:f>
      </ns0:c>
      <ns0:c r="E74" s="0">
        <ns0:f>IFERROR(MID(B74,FIND(".",B74,FIND(".",B74)+1)+1,99),"")</ns0:f>
        <ns0:v>99</ns0:v>
      </ns0:c>
      <ns0:c r="F74" s="0">
        <ns0:f>IFERROR(IF(FIND(".",B74)=5,--C74,--E74),0)</ns0:f>
        <ns0:v>0</ns0:v>
      </ns0:c>
      <ns0:c r="G74" s="0">
        <ns0:f>IFERROR(--D74,0)</ns0:f>
        <ns0:v>0</ns0:v>
      </ns0:c>
      <ns0:c r="H74" s="0">
        <ns0:f>IFERROR(IF(FIND(".",B74)=5,--E74,--C74),0)</ns0:f>
        <ns0:v>0</ns0:v>
      </ns0:c>
      <ns0:c r="I74" s="0">
        <ns0:f>IFERROR(IF(AND(F74&gt;=2000,F74&lt;=2100,G74&gt;=1,G74&lt;=12,H74&gt;=1,H74&lt;=31),DATE(F74,G74,H74),0),0)</ns0:f>
        <ns0:v>0</ns0:v>
      </ns0:c>
      <ns0:c r="J74" s="0">
        <ns0:f>IFERROR(IF(ISNUMBER(Bookings!B74),IF(AND(Bookings!B74=INT(Bookings!B74),Bookings!B74&gt;=DATE(2000,1,1),Bookings!B74&lt;=DATE(2100,12,31)),Bookings!B74,0),IF(AND(A74&lt;&gt;"",LEN("x"&amp;B74)-LEN(SUBSTITUTE("x"&amp;B74,".",""))=2,OR(1&gt;LEN(B74),MID(B74,1,1)=".",ISNUMBER(FIND("x"&amp;MID(B74,1,1),"x0x1x2x3x4x5x6x7x8x9"))),OR(2&gt;LEN(B74),MID(B74,2,1)=".",ISNUMBER(FIND("x"&amp;MID(B74,2,1),"x0x1x2x3x4x5x6x7x8x9"))),OR(3&gt;LEN(B74),MID(B74,3,1)=".",ISNUMBER(FIND("x"&amp;MID(B74,3,1),"x0x1x2x3x4x5x6x7x8x9"))),OR(4&gt;LEN(B74),MID(B74,4,1)=".",ISNUMBER(FIND("x"&amp;MID(B74,4,1),"x0x1x2x3x4x5x6x7x8x9"))),OR(5&gt;LEN(B74),MID(B74,5,1)=".",ISNUMBER(FIND("x"&amp;MID(B74,5,1),"x0x1x2x3x4x5x6x7x8x9"))),OR(6&gt;LEN(B74),MID(B74,6,1)=".",ISNUMBER(FIND("x"&amp;MID(B74,6,1),"x0x1x2x3x4x5x6x7x8x9"))),OR(7&gt;LEN(B74),MID(B74,7,1)=".",ISNUMBER(FIND("x"&amp;MID(B74,7,1),"x0x1x2x3x4x5x6x7x8x9"))),OR(8&gt;LEN(B74),MID(B74,8,1)=".",ISNUMBER(FIND("x"&amp;MID(B74,8,1),"x0x1x2x3x4x5x6x7x8x9"))),OR(9&gt;LEN(B74),MID(B74,9,1)=".",ISNUMBER(FIND("x"&amp;MID(B74,9,1),"x0x1x2x3x4x5x6x7x8x9"))),OR(10&gt;LEN(B74),MID(B74,10,1)=".",ISNUMBER(FIND("x"&amp;MID(B74,10,1),"x0x1x2x3x4x5x6x7x8x9"))),OR(AND(FIND(".",B74)=5,LEN(B74)-FIND(".",B74,FIND(".",B74)+1)&gt;=1,LEN(B74)-FIND(".",B74,FIND(".",B74)+1)&lt;=2),AND(LEN(B74)-FIND(".",B74,FIND(".",B74)+1)=4,FIND(".",B74)&gt;=2,FIND(".",B74)&lt;=3)),FIND(".",B74,FIND(".",B74)+1)-FIND(".",B74)&gt;=2,FIND(".",B74,FIND(".",B74)+1)-FIND(".",B74)&lt;=3,F74&gt;=2000,F74&lt;=2100,YEAR(I74)=F74,MONTH(I74)=G74,DAY(I74)=H74),I74,0)),0)</ns0:f>
        <ns0:v>0</ns0:v>
      </ns0:c>
      <ns0:c r="K74" s="0">
        <ns0:f>IFERROR(IF(ISNUMBER(Bookings!D74),"",TRIM(Bookings!D74&amp;"")),"")</ns0:f>
      </ns0:c>
      <ns0:c r="L74" s="0">
        <ns0:f>IFERROR(SUBSTITUTE(SUBSTITUTE(K74,"/","."),"-","."),"")</ns0:f>
      </ns0:c>
      <ns0:c r="M74" s="0">
        <ns0:f>IFERROR(LEFT(L74,FIND(".",L74)-1),"")</ns0:f>
      </ns0:c>
      <ns0:c r="N74" s="0">
        <ns0:f>IFERROR(MID(L74,FIND(".",L74)+1,FIND(".",L74,FIND(".",L74)+1)-FIND(".",L74)-1),"")</ns0:f>
      </ns0:c>
      <ns0:c r="O74" s="0">
        <ns0:f>IFERROR(MID(L74,FIND(".",L74,FIND(".",L74)+1)+1,99),"")</ns0:f>
        <ns0:v>99</ns0:v>
      </ns0:c>
      <ns0:c r="P74" s="0">
        <ns0:f>IFERROR(IF(FIND(".",L74)=5,--M74,--O74),0)</ns0:f>
        <ns0:v>0</ns0:v>
      </ns0:c>
      <ns0:c r="Q74" s="0">
        <ns0:f>IFERROR(--N74,0)</ns0:f>
        <ns0:v>0</ns0:v>
      </ns0:c>
      <ns0:c r="R74" s="0">
        <ns0:f>IFERROR(IF(FIND(".",L74)=5,--O74,--M74),0)</ns0:f>
        <ns0:v>0</ns0:v>
      </ns0:c>
      <ns0:c r="S74" s="0">
        <ns0:f>IFERROR(IF(AND(P74&gt;=2000,P74&lt;=2100,Q74&gt;=1,Q74&lt;=12,R74&gt;=1,R74&lt;=31),DATE(P74,Q74,R74),0),0)</ns0:f>
        <ns0:v>0</ns0:v>
      </ns0:c>
      <ns0:c r="T74" s="0">
        <ns0:f>IFERROR(IF(ISNUMBER(Bookings!D74),IF(AND(Bookings!D74=INT(Bookings!D74),Bookings!D74&gt;=DATE(2000,1,1),Bookings!D74&lt;=DATE(2100,12,31)),Bookings!D74,0),IF(AND(K74&lt;&gt;"",LEN("x"&amp;L74)-LEN(SUBSTITUTE("x"&amp;L74,".",""))=2,OR(1&gt;LEN(L74),MID(L74,1,1)=".",ISNUMBER(FIND("x"&amp;MID(L74,1,1),"x0x1x2x3x4x5x6x7x8x9"))),OR(2&gt;LEN(L74),MID(L74,2,1)=".",ISNUMBER(FIND("x"&amp;MID(L74,2,1),"x0x1x2x3x4x5x6x7x8x9"))),OR(3&gt;LEN(L74),MID(L74,3,1)=".",ISNUMBER(FIND("x"&amp;MID(L74,3,1),"x0x1x2x3x4x5x6x7x8x9"))),OR(4&gt;LEN(L74),MID(L74,4,1)=".",ISNUMBER(FIND("x"&amp;MID(L74,4,1),"x0x1x2x3x4x5x6x7x8x9"))),OR(5&gt;LEN(L74),MID(L74,5,1)=".",ISNUMBER(FIND("x"&amp;MID(L74,5,1),"x0x1x2x3x4x5x6x7x8x9"))),OR(6&gt;LEN(L74),MID(L74,6,1)=".",ISNUMBER(FIND("x"&amp;MID(L74,6,1),"x0x1x2x3x4x5x6x7x8x9"))),OR(7&gt;LEN(L74),MID(L74,7,1)=".",ISNUMBER(FIND("x"&amp;MID(L74,7,1),"x0x1x2x3x4x5x6x7x8x9"))),OR(8&gt;LEN(L74),MID(L74,8,1)=".",ISNUMBER(FIND("x"&amp;MID(L74,8,1),"x0x1x2x3x4x5x6x7x8x9"))),OR(9&gt;LEN(L74),MID(L74,9,1)=".",ISNUMBER(FIND("x"&amp;MID(L74,9,1),"x0x1x2x3x4x5x6x7x8x9"))),OR(10&gt;LEN(L74),MID(L74,10,1)=".",ISNUMBER(FIND("x"&amp;MID(L74,10,1),"x0x1x2x3x4x5x6x7x8x9"))),OR(AND(FIND(".",L74)=5,LEN(L74)-FIND(".",L74,FIND(".",L74)+1)&gt;=1,LEN(L74)-FIND(".",L74,FIND(".",L74)+1)&lt;=2),AND(LEN(L74)-FIND(".",L74,FIND(".",L74)+1)=4,FIND(".",L74)&gt;=2,FIND(".",L74)&lt;=3)),FIND(".",L74,FIND(".",L74)+1)-FIND(".",L74)&gt;=2,FIND(".",L74,FIND(".",L74)+1)-FIND(".",L74)&lt;=3,P74&gt;=2000,P74&lt;=2100,YEAR(S74)=P74,MONTH(S74)=Q74,DAY(S74)=R74),S74,0)),0)</ns0:f>
        <ns0:v>0</ns0:v>
      </ns0:c>
      <ns0:c r="U74" s="0" t="str">
        <ns0:f>IF(Bookings!C74="","Full day",Bookings!C74)</ns0:f>
        <ns0:v>Full day</ns0:v>
      </ns0:c>
      <ns0:c r="V74" s="0" t="str">
        <ns0:f>IF(Bookings!E74="","Full day",Bookings!E74)</ns0:f>
        <ns0:v>Full day</ns0:v>
      </ns0:c>
      <ns0:c r="W74" s="0">
        <ns0:f>IF(J74=0,0,J74+IF(U74="PM",1,0))</ns0:f>
        <ns0:v>0</ns0:v>
      </ns0:c>
      <ns0:c r="X74" s="0">
        <ns0:f>IF(T74=0,0,T74-IF(V74="PM",1,0))</ns0:f>
        <ns0:v>0</ns0:v>
      </ns0:c>
      <ns0:c r="Y74" s="0">
        <ns0:f>IF(J74=0,0,J74+IF(U74="AM",1,0))</ns0:f>
        <ns0:v>0</ns0:v>
      </ns0:c>
      <ns0:c r="Z74" s="0">
        <ns0:f>IF(T74=0,0,T74-IF(V74="AM",1,0))</ns0:f>
        <ns0:v>0</ns0:v>
      </ns0:c>
      <ns0:c r="AA74" s="0">
        <ns0:f>IFERROR(IF(AND(J74&gt;0,'_Engine'!C74&gt;0,MID('_Engine'!W74,WEEKDAY(J74,2),1)="W",COUNTIF(Settings!$F$18:$F$67,J74)=0),1,0),0)</ns0:f>
        <ns0:v>0</ns0:v>
      </ns0:c>
      <ns0:c r="AB74" s="0">
        <ns0:f>IFERROR(IF(AND(T74&gt;0,'_Engine'!C74&gt;0,MID('_Engine'!W74,WEEKDAY(T74,2),1)="W",COUNTIF(Settings!$F$18:$F$67,T74)=0),1,0),0)</ns0:f>
        <ns0:v>0</ns0:v>
      </ns0:c>
      <ns0:c r="AC74" s="0">
        <ns0:f>IF(AND(J74&gt;0,T74&gt;0,W74&lt;=X74),1,0)</ns0:f>
        <ns0:v>0</ns0:v>
      </ns0:c>
      <ns0:c r="AD74" s="0">
        <ns0:f>IF(AND(J74&gt;0,T74&gt;0,Y74&lt;=Z74),1,0)</ns0:f>
        <ns0:v>0</ns0:v>
      </ns0:c>
    </ns0:row>
    <ns0:row r="75">
      <ns0:c r="A75" s="0">
        <ns0:f>IFERROR(IF(ISNUMBER(Bookings!B75),"",TRIM(Bookings!B75&amp;"")),"")</ns0:f>
      </ns0:c>
      <ns0:c r="B75" s="0">
        <ns0:f>IFERROR(SUBSTITUTE(SUBSTITUTE(A75,"/","."),"-","."),"")</ns0:f>
      </ns0:c>
      <ns0:c r="C75" s="0">
        <ns0:f>IFERROR(LEFT(B75,FIND(".",B75)-1),"")</ns0:f>
      </ns0:c>
      <ns0:c r="D75" s="0">
        <ns0:f>IFERROR(MID(B75,FIND(".",B75)+1,FIND(".",B75,FIND(".",B75)+1)-FIND(".",B75)-1),"")</ns0:f>
      </ns0:c>
      <ns0:c r="E75" s="0">
        <ns0:f>IFERROR(MID(B75,FIND(".",B75,FIND(".",B75)+1)+1,99),"")</ns0:f>
        <ns0:v>99</ns0:v>
      </ns0:c>
      <ns0:c r="F75" s="0">
        <ns0:f>IFERROR(IF(FIND(".",B75)=5,--C75,--E75),0)</ns0:f>
        <ns0:v>0</ns0:v>
      </ns0:c>
      <ns0:c r="G75" s="0">
        <ns0:f>IFERROR(--D75,0)</ns0:f>
        <ns0:v>0</ns0:v>
      </ns0:c>
      <ns0:c r="H75" s="0">
        <ns0:f>IFERROR(IF(FIND(".",B75)=5,--E75,--C75),0)</ns0:f>
        <ns0:v>0</ns0:v>
      </ns0:c>
      <ns0:c r="I75" s="0">
        <ns0:f>IFERROR(IF(AND(F75&gt;=2000,F75&lt;=2100,G75&gt;=1,G75&lt;=12,H75&gt;=1,H75&lt;=31),DATE(F75,G75,H75),0),0)</ns0:f>
        <ns0:v>0</ns0:v>
      </ns0:c>
      <ns0:c r="J75" s="0">
        <ns0:f>IFERROR(IF(ISNUMBER(Bookings!B75),IF(AND(Bookings!B75=INT(Bookings!B75),Bookings!B75&gt;=DATE(2000,1,1),Bookings!B75&lt;=DATE(2100,12,31)),Bookings!B75,0),IF(AND(A75&lt;&gt;"",LEN("x"&amp;B75)-LEN(SUBSTITUTE("x"&amp;B75,".",""))=2,OR(1&gt;LEN(B75),MID(B75,1,1)=".",ISNUMBER(FIND("x"&amp;MID(B75,1,1),"x0x1x2x3x4x5x6x7x8x9"))),OR(2&gt;LEN(B75),MID(B75,2,1)=".",ISNUMBER(FIND("x"&amp;MID(B75,2,1),"x0x1x2x3x4x5x6x7x8x9"))),OR(3&gt;LEN(B75),MID(B75,3,1)=".",ISNUMBER(FIND("x"&amp;MID(B75,3,1),"x0x1x2x3x4x5x6x7x8x9"))),OR(4&gt;LEN(B75),MID(B75,4,1)=".",ISNUMBER(FIND("x"&amp;MID(B75,4,1),"x0x1x2x3x4x5x6x7x8x9"))),OR(5&gt;LEN(B75),MID(B75,5,1)=".",ISNUMBER(FIND("x"&amp;MID(B75,5,1),"x0x1x2x3x4x5x6x7x8x9"))),OR(6&gt;LEN(B75),MID(B75,6,1)=".",ISNUMBER(FIND("x"&amp;MID(B75,6,1),"x0x1x2x3x4x5x6x7x8x9"))),OR(7&gt;LEN(B75),MID(B75,7,1)=".",ISNUMBER(FIND("x"&amp;MID(B75,7,1),"x0x1x2x3x4x5x6x7x8x9"))),OR(8&gt;LEN(B75),MID(B75,8,1)=".",ISNUMBER(FIND("x"&amp;MID(B75,8,1),"x0x1x2x3x4x5x6x7x8x9"))),OR(9&gt;LEN(B75),MID(B75,9,1)=".",ISNUMBER(FIND("x"&amp;MID(B75,9,1),"x0x1x2x3x4x5x6x7x8x9"))),OR(10&gt;LEN(B75),MID(B75,10,1)=".",ISNUMBER(FIND("x"&amp;MID(B75,10,1),"x0x1x2x3x4x5x6x7x8x9"))),OR(AND(FIND(".",B75)=5,LEN(B75)-FIND(".",B75,FIND(".",B75)+1)&gt;=1,LEN(B75)-FIND(".",B75,FIND(".",B75)+1)&lt;=2),AND(LEN(B75)-FIND(".",B75,FIND(".",B75)+1)=4,FIND(".",B75)&gt;=2,FIND(".",B75)&lt;=3)),FIND(".",B75,FIND(".",B75)+1)-FIND(".",B75)&gt;=2,FIND(".",B75,FIND(".",B75)+1)-FIND(".",B75)&lt;=3,F75&gt;=2000,F75&lt;=2100,YEAR(I75)=F75,MONTH(I75)=G75,DAY(I75)=H75),I75,0)),0)</ns0:f>
        <ns0:v>0</ns0:v>
      </ns0:c>
      <ns0:c r="K75" s="0">
        <ns0:f>IFERROR(IF(ISNUMBER(Bookings!D75),"",TRIM(Bookings!D75&amp;"")),"")</ns0:f>
      </ns0:c>
      <ns0:c r="L75" s="0">
        <ns0:f>IFERROR(SUBSTITUTE(SUBSTITUTE(K75,"/","."),"-","."),"")</ns0:f>
      </ns0:c>
      <ns0:c r="M75" s="0">
        <ns0:f>IFERROR(LEFT(L75,FIND(".",L75)-1),"")</ns0:f>
      </ns0:c>
      <ns0:c r="N75" s="0">
        <ns0:f>IFERROR(MID(L75,FIND(".",L75)+1,FIND(".",L75,FIND(".",L75)+1)-FIND(".",L75)-1),"")</ns0:f>
      </ns0:c>
      <ns0:c r="O75" s="0">
        <ns0:f>IFERROR(MID(L75,FIND(".",L75,FIND(".",L75)+1)+1,99),"")</ns0:f>
        <ns0:v>99</ns0:v>
      </ns0:c>
      <ns0:c r="P75" s="0">
        <ns0:f>IFERROR(IF(FIND(".",L75)=5,--M75,--O75),0)</ns0:f>
        <ns0:v>0</ns0:v>
      </ns0:c>
      <ns0:c r="Q75" s="0">
        <ns0:f>IFERROR(--N75,0)</ns0:f>
        <ns0:v>0</ns0:v>
      </ns0:c>
      <ns0:c r="R75" s="0">
        <ns0:f>IFERROR(IF(FIND(".",L75)=5,--O75,--M75),0)</ns0:f>
        <ns0:v>0</ns0:v>
      </ns0:c>
      <ns0:c r="S75" s="0">
        <ns0:f>IFERROR(IF(AND(P75&gt;=2000,P75&lt;=2100,Q75&gt;=1,Q75&lt;=12,R75&gt;=1,R75&lt;=31),DATE(P75,Q75,R75),0),0)</ns0:f>
        <ns0:v>0</ns0:v>
      </ns0:c>
      <ns0:c r="T75" s="0">
        <ns0:f>IFERROR(IF(ISNUMBER(Bookings!D75),IF(AND(Bookings!D75=INT(Bookings!D75),Bookings!D75&gt;=DATE(2000,1,1),Bookings!D75&lt;=DATE(2100,12,31)),Bookings!D75,0),IF(AND(K75&lt;&gt;"",LEN("x"&amp;L75)-LEN(SUBSTITUTE("x"&amp;L75,".",""))=2,OR(1&gt;LEN(L75),MID(L75,1,1)=".",ISNUMBER(FIND("x"&amp;MID(L75,1,1),"x0x1x2x3x4x5x6x7x8x9"))),OR(2&gt;LEN(L75),MID(L75,2,1)=".",ISNUMBER(FIND("x"&amp;MID(L75,2,1),"x0x1x2x3x4x5x6x7x8x9"))),OR(3&gt;LEN(L75),MID(L75,3,1)=".",ISNUMBER(FIND("x"&amp;MID(L75,3,1),"x0x1x2x3x4x5x6x7x8x9"))),OR(4&gt;LEN(L75),MID(L75,4,1)=".",ISNUMBER(FIND("x"&amp;MID(L75,4,1),"x0x1x2x3x4x5x6x7x8x9"))),OR(5&gt;LEN(L75),MID(L75,5,1)=".",ISNUMBER(FIND("x"&amp;MID(L75,5,1),"x0x1x2x3x4x5x6x7x8x9"))),OR(6&gt;LEN(L75),MID(L75,6,1)=".",ISNUMBER(FIND("x"&amp;MID(L75,6,1),"x0x1x2x3x4x5x6x7x8x9"))),OR(7&gt;LEN(L75),MID(L75,7,1)=".",ISNUMBER(FIND("x"&amp;MID(L75,7,1),"x0x1x2x3x4x5x6x7x8x9"))),OR(8&gt;LEN(L75),MID(L75,8,1)=".",ISNUMBER(FIND("x"&amp;MID(L75,8,1),"x0x1x2x3x4x5x6x7x8x9"))),OR(9&gt;LEN(L75),MID(L75,9,1)=".",ISNUMBER(FIND("x"&amp;MID(L75,9,1),"x0x1x2x3x4x5x6x7x8x9"))),OR(10&gt;LEN(L75),MID(L75,10,1)=".",ISNUMBER(FIND("x"&amp;MID(L75,10,1),"x0x1x2x3x4x5x6x7x8x9"))),OR(AND(FIND(".",L75)=5,LEN(L75)-FIND(".",L75,FIND(".",L75)+1)&gt;=1,LEN(L75)-FIND(".",L75,FIND(".",L75)+1)&lt;=2),AND(LEN(L75)-FIND(".",L75,FIND(".",L75)+1)=4,FIND(".",L75)&gt;=2,FIND(".",L75)&lt;=3)),FIND(".",L75,FIND(".",L75)+1)-FIND(".",L75)&gt;=2,FIND(".",L75,FIND(".",L75)+1)-FIND(".",L75)&lt;=3,P75&gt;=2000,P75&lt;=2100,YEAR(S75)=P75,MONTH(S75)=Q75,DAY(S75)=R75),S75,0)),0)</ns0:f>
        <ns0:v>0</ns0:v>
      </ns0:c>
      <ns0:c r="U75" s="0" t="str">
        <ns0:f>IF(Bookings!C75="","Full day",Bookings!C75)</ns0:f>
        <ns0:v>Full day</ns0:v>
      </ns0:c>
      <ns0:c r="V75" s="0" t="str">
        <ns0:f>IF(Bookings!E75="","Full day",Bookings!E75)</ns0:f>
        <ns0:v>Full day</ns0:v>
      </ns0:c>
      <ns0:c r="W75" s="0">
        <ns0:f>IF(J75=0,0,J75+IF(U75="PM",1,0))</ns0:f>
        <ns0:v>0</ns0:v>
      </ns0:c>
      <ns0:c r="X75" s="0">
        <ns0:f>IF(T75=0,0,T75-IF(V75="PM",1,0))</ns0:f>
        <ns0:v>0</ns0:v>
      </ns0:c>
      <ns0:c r="Y75" s="0">
        <ns0:f>IF(J75=0,0,J75+IF(U75="AM",1,0))</ns0:f>
        <ns0:v>0</ns0:v>
      </ns0:c>
      <ns0:c r="Z75" s="0">
        <ns0:f>IF(T75=0,0,T75-IF(V75="AM",1,0))</ns0:f>
        <ns0:v>0</ns0:v>
      </ns0:c>
      <ns0:c r="AA75" s="0">
        <ns0:f>IFERROR(IF(AND(J75&gt;0,'_Engine'!C75&gt;0,MID('_Engine'!W75,WEEKDAY(J75,2),1)="W",COUNTIF(Settings!$F$18:$F$67,J75)=0),1,0),0)</ns0:f>
        <ns0:v>0</ns0:v>
      </ns0:c>
      <ns0:c r="AB75" s="0">
        <ns0:f>IFERROR(IF(AND(T75&gt;0,'_Engine'!C75&gt;0,MID('_Engine'!W75,WEEKDAY(T75,2),1)="W",COUNTIF(Settings!$F$18:$F$67,T75)=0),1,0),0)</ns0:f>
        <ns0:v>0</ns0:v>
      </ns0:c>
      <ns0:c r="AC75" s="0">
        <ns0:f>IF(AND(J75&gt;0,T75&gt;0,W75&lt;=X75),1,0)</ns0:f>
        <ns0:v>0</ns0:v>
      </ns0:c>
      <ns0:c r="AD75" s="0">
        <ns0:f>IF(AND(J75&gt;0,T75&gt;0,Y75&lt;=Z75),1,0)</ns0:f>
        <ns0:v>0</ns0:v>
      </ns0:c>
    </ns0:row>
    <ns0:row r="76">
      <ns0:c r="A76" s="0">
        <ns0:f>IFERROR(IF(ISNUMBER(Bookings!B76),"",TRIM(Bookings!B76&amp;"")),"")</ns0:f>
      </ns0:c>
      <ns0:c r="B76" s="0">
        <ns0:f>IFERROR(SUBSTITUTE(SUBSTITUTE(A76,"/","."),"-","."),"")</ns0:f>
      </ns0:c>
      <ns0:c r="C76" s="0">
        <ns0:f>IFERROR(LEFT(B76,FIND(".",B76)-1),"")</ns0:f>
      </ns0:c>
      <ns0:c r="D76" s="0">
        <ns0:f>IFERROR(MID(B76,FIND(".",B76)+1,FIND(".",B76,FIND(".",B76)+1)-FIND(".",B76)-1),"")</ns0:f>
      </ns0:c>
      <ns0:c r="E76" s="0">
        <ns0:f>IFERROR(MID(B76,FIND(".",B76,FIND(".",B76)+1)+1,99),"")</ns0:f>
        <ns0:v>99</ns0:v>
      </ns0:c>
      <ns0:c r="F76" s="0">
        <ns0:f>IFERROR(IF(FIND(".",B76)=5,--C76,--E76),0)</ns0:f>
        <ns0:v>0</ns0:v>
      </ns0:c>
      <ns0:c r="G76" s="0">
        <ns0:f>IFERROR(--D76,0)</ns0:f>
        <ns0:v>0</ns0:v>
      </ns0:c>
      <ns0:c r="H76" s="0">
        <ns0:f>IFERROR(IF(FIND(".",B76)=5,--E76,--C76),0)</ns0:f>
        <ns0:v>0</ns0:v>
      </ns0:c>
      <ns0:c r="I76" s="0">
        <ns0:f>IFERROR(IF(AND(F76&gt;=2000,F76&lt;=2100,G76&gt;=1,G76&lt;=12,H76&gt;=1,H76&lt;=31),DATE(F76,G76,H76),0),0)</ns0:f>
        <ns0:v>0</ns0:v>
      </ns0:c>
      <ns0:c r="J76" s="0">
        <ns0:f>IFERROR(IF(ISNUMBER(Bookings!B76),IF(AND(Bookings!B76=INT(Bookings!B76),Bookings!B76&gt;=DATE(2000,1,1),Bookings!B76&lt;=DATE(2100,12,31)),Bookings!B76,0),IF(AND(A76&lt;&gt;"",LEN("x"&amp;B76)-LEN(SUBSTITUTE("x"&amp;B76,".",""))=2,OR(1&gt;LEN(B76),MID(B76,1,1)=".",ISNUMBER(FIND("x"&amp;MID(B76,1,1),"x0x1x2x3x4x5x6x7x8x9"))),OR(2&gt;LEN(B76),MID(B76,2,1)=".",ISNUMBER(FIND("x"&amp;MID(B76,2,1),"x0x1x2x3x4x5x6x7x8x9"))),OR(3&gt;LEN(B76),MID(B76,3,1)=".",ISNUMBER(FIND("x"&amp;MID(B76,3,1),"x0x1x2x3x4x5x6x7x8x9"))),OR(4&gt;LEN(B76),MID(B76,4,1)=".",ISNUMBER(FIND("x"&amp;MID(B76,4,1),"x0x1x2x3x4x5x6x7x8x9"))),OR(5&gt;LEN(B76),MID(B76,5,1)=".",ISNUMBER(FIND("x"&amp;MID(B76,5,1),"x0x1x2x3x4x5x6x7x8x9"))),OR(6&gt;LEN(B76),MID(B76,6,1)=".",ISNUMBER(FIND("x"&amp;MID(B76,6,1),"x0x1x2x3x4x5x6x7x8x9"))),OR(7&gt;LEN(B76),MID(B76,7,1)=".",ISNUMBER(FIND("x"&amp;MID(B76,7,1),"x0x1x2x3x4x5x6x7x8x9"))),OR(8&gt;LEN(B76),MID(B76,8,1)=".",ISNUMBER(FIND("x"&amp;MID(B76,8,1),"x0x1x2x3x4x5x6x7x8x9"))),OR(9&gt;LEN(B76),MID(B76,9,1)=".",ISNUMBER(FIND("x"&amp;MID(B76,9,1),"x0x1x2x3x4x5x6x7x8x9"))),OR(10&gt;LEN(B76),MID(B76,10,1)=".",ISNUMBER(FIND("x"&amp;MID(B76,10,1),"x0x1x2x3x4x5x6x7x8x9"))),OR(AND(FIND(".",B76)=5,LEN(B76)-FIND(".",B76,FIND(".",B76)+1)&gt;=1,LEN(B76)-FIND(".",B76,FIND(".",B76)+1)&lt;=2),AND(LEN(B76)-FIND(".",B76,FIND(".",B76)+1)=4,FIND(".",B76)&gt;=2,FIND(".",B76)&lt;=3)),FIND(".",B76,FIND(".",B76)+1)-FIND(".",B76)&gt;=2,FIND(".",B76,FIND(".",B76)+1)-FIND(".",B76)&lt;=3,F76&gt;=2000,F76&lt;=2100,YEAR(I76)=F76,MONTH(I76)=G76,DAY(I76)=H76),I76,0)),0)</ns0:f>
        <ns0:v>0</ns0:v>
      </ns0:c>
      <ns0:c r="K76" s="0">
        <ns0:f>IFERROR(IF(ISNUMBER(Bookings!D76),"",TRIM(Bookings!D76&amp;"")),"")</ns0:f>
      </ns0:c>
      <ns0:c r="L76" s="0">
        <ns0:f>IFERROR(SUBSTITUTE(SUBSTITUTE(K76,"/","."),"-","."),"")</ns0:f>
      </ns0:c>
      <ns0:c r="M76" s="0">
        <ns0:f>IFERROR(LEFT(L76,FIND(".",L76)-1),"")</ns0:f>
      </ns0:c>
      <ns0:c r="N76" s="0">
        <ns0:f>IFERROR(MID(L76,FIND(".",L76)+1,FIND(".",L76,FIND(".",L76)+1)-FIND(".",L76)-1),"")</ns0:f>
      </ns0:c>
      <ns0:c r="O76" s="0">
        <ns0:f>IFERROR(MID(L76,FIND(".",L76,FIND(".",L76)+1)+1,99),"")</ns0:f>
        <ns0:v>99</ns0:v>
      </ns0:c>
      <ns0:c r="P76" s="0">
        <ns0:f>IFERROR(IF(FIND(".",L76)=5,--M76,--O76),0)</ns0:f>
        <ns0:v>0</ns0:v>
      </ns0:c>
      <ns0:c r="Q76" s="0">
        <ns0:f>IFERROR(--N76,0)</ns0:f>
        <ns0:v>0</ns0:v>
      </ns0:c>
      <ns0:c r="R76" s="0">
        <ns0:f>IFERROR(IF(FIND(".",L76)=5,--O76,--M76),0)</ns0:f>
        <ns0:v>0</ns0:v>
      </ns0:c>
      <ns0:c r="S76" s="0">
        <ns0:f>IFERROR(IF(AND(P76&gt;=2000,P76&lt;=2100,Q76&gt;=1,Q76&lt;=12,R76&gt;=1,R76&lt;=31),DATE(P76,Q76,R76),0),0)</ns0:f>
        <ns0:v>0</ns0:v>
      </ns0:c>
      <ns0:c r="T76" s="0">
        <ns0:f>IFERROR(IF(ISNUMBER(Bookings!D76),IF(AND(Bookings!D76=INT(Bookings!D76),Bookings!D76&gt;=DATE(2000,1,1),Bookings!D76&lt;=DATE(2100,12,31)),Bookings!D76,0),IF(AND(K76&lt;&gt;"",LEN("x"&amp;L76)-LEN(SUBSTITUTE("x"&amp;L76,".",""))=2,OR(1&gt;LEN(L76),MID(L76,1,1)=".",ISNUMBER(FIND("x"&amp;MID(L76,1,1),"x0x1x2x3x4x5x6x7x8x9"))),OR(2&gt;LEN(L76),MID(L76,2,1)=".",ISNUMBER(FIND("x"&amp;MID(L76,2,1),"x0x1x2x3x4x5x6x7x8x9"))),OR(3&gt;LEN(L76),MID(L76,3,1)=".",ISNUMBER(FIND("x"&amp;MID(L76,3,1),"x0x1x2x3x4x5x6x7x8x9"))),OR(4&gt;LEN(L76),MID(L76,4,1)=".",ISNUMBER(FIND("x"&amp;MID(L76,4,1),"x0x1x2x3x4x5x6x7x8x9"))),OR(5&gt;LEN(L76),MID(L76,5,1)=".",ISNUMBER(FIND("x"&amp;MID(L76,5,1),"x0x1x2x3x4x5x6x7x8x9"))),OR(6&gt;LEN(L76),MID(L76,6,1)=".",ISNUMBER(FIND("x"&amp;MID(L76,6,1),"x0x1x2x3x4x5x6x7x8x9"))),OR(7&gt;LEN(L76),MID(L76,7,1)=".",ISNUMBER(FIND("x"&amp;MID(L76,7,1),"x0x1x2x3x4x5x6x7x8x9"))),OR(8&gt;LEN(L76),MID(L76,8,1)=".",ISNUMBER(FIND("x"&amp;MID(L76,8,1),"x0x1x2x3x4x5x6x7x8x9"))),OR(9&gt;LEN(L76),MID(L76,9,1)=".",ISNUMBER(FIND("x"&amp;MID(L76,9,1),"x0x1x2x3x4x5x6x7x8x9"))),OR(10&gt;LEN(L76),MID(L76,10,1)=".",ISNUMBER(FIND("x"&amp;MID(L76,10,1),"x0x1x2x3x4x5x6x7x8x9"))),OR(AND(FIND(".",L76)=5,LEN(L76)-FIND(".",L76,FIND(".",L76)+1)&gt;=1,LEN(L76)-FIND(".",L76,FIND(".",L76)+1)&lt;=2),AND(LEN(L76)-FIND(".",L76,FIND(".",L76)+1)=4,FIND(".",L76)&gt;=2,FIND(".",L76)&lt;=3)),FIND(".",L76,FIND(".",L76)+1)-FIND(".",L76)&gt;=2,FIND(".",L76,FIND(".",L76)+1)-FIND(".",L76)&lt;=3,P76&gt;=2000,P76&lt;=2100,YEAR(S76)=P76,MONTH(S76)=Q76,DAY(S76)=R76),S76,0)),0)</ns0:f>
        <ns0:v>0</ns0:v>
      </ns0:c>
      <ns0:c r="U76" s="0" t="str">
        <ns0:f>IF(Bookings!C76="","Full day",Bookings!C76)</ns0:f>
        <ns0:v>Full day</ns0:v>
      </ns0:c>
      <ns0:c r="V76" s="0" t="str">
        <ns0:f>IF(Bookings!E76="","Full day",Bookings!E76)</ns0:f>
        <ns0:v>Full day</ns0:v>
      </ns0:c>
      <ns0:c r="W76" s="0">
        <ns0:f>IF(J76=0,0,J76+IF(U76="PM",1,0))</ns0:f>
        <ns0:v>0</ns0:v>
      </ns0:c>
      <ns0:c r="X76" s="0">
        <ns0:f>IF(T76=0,0,T76-IF(V76="PM",1,0))</ns0:f>
        <ns0:v>0</ns0:v>
      </ns0:c>
      <ns0:c r="Y76" s="0">
        <ns0:f>IF(J76=0,0,J76+IF(U76="AM",1,0))</ns0:f>
        <ns0:v>0</ns0:v>
      </ns0:c>
      <ns0:c r="Z76" s="0">
        <ns0:f>IF(T76=0,0,T76-IF(V76="AM",1,0))</ns0:f>
        <ns0:v>0</ns0:v>
      </ns0:c>
      <ns0:c r="AA76" s="0">
        <ns0:f>IFERROR(IF(AND(J76&gt;0,'_Engine'!C76&gt;0,MID('_Engine'!W76,WEEKDAY(J76,2),1)="W",COUNTIF(Settings!$F$18:$F$67,J76)=0),1,0),0)</ns0:f>
        <ns0:v>0</ns0:v>
      </ns0:c>
      <ns0:c r="AB76" s="0">
        <ns0:f>IFERROR(IF(AND(T76&gt;0,'_Engine'!C76&gt;0,MID('_Engine'!W76,WEEKDAY(T76,2),1)="W",COUNTIF(Settings!$F$18:$F$67,T76)=0),1,0),0)</ns0:f>
        <ns0:v>0</ns0:v>
      </ns0:c>
      <ns0:c r="AC76" s="0">
        <ns0:f>IF(AND(J76&gt;0,T76&gt;0,W76&lt;=X76),1,0)</ns0:f>
        <ns0:v>0</ns0:v>
      </ns0:c>
      <ns0:c r="AD76" s="0">
        <ns0:f>IF(AND(J76&gt;0,T76&gt;0,Y76&lt;=Z76),1,0)</ns0:f>
        <ns0:v>0</ns0:v>
      </ns0:c>
    </ns0:row>
    <ns0:row r="77">
      <ns0:c r="A77" s="0">
        <ns0:f>IFERROR(IF(ISNUMBER(Bookings!B77),"",TRIM(Bookings!B77&amp;"")),"")</ns0:f>
      </ns0:c>
      <ns0:c r="B77" s="0">
        <ns0:f>IFERROR(SUBSTITUTE(SUBSTITUTE(A77,"/","."),"-","."),"")</ns0:f>
      </ns0:c>
      <ns0:c r="C77" s="0">
        <ns0:f>IFERROR(LEFT(B77,FIND(".",B77)-1),"")</ns0:f>
      </ns0:c>
      <ns0:c r="D77" s="0">
        <ns0:f>IFERROR(MID(B77,FIND(".",B77)+1,FIND(".",B77,FIND(".",B77)+1)-FIND(".",B77)-1),"")</ns0:f>
      </ns0:c>
      <ns0:c r="E77" s="0">
        <ns0:f>IFERROR(MID(B77,FIND(".",B77,FIND(".",B77)+1)+1,99),"")</ns0:f>
        <ns0:v>99</ns0:v>
      </ns0:c>
      <ns0:c r="F77" s="0">
        <ns0:f>IFERROR(IF(FIND(".",B77)=5,--C77,--E77),0)</ns0:f>
        <ns0:v>0</ns0:v>
      </ns0:c>
      <ns0:c r="G77" s="0">
        <ns0:f>IFERROR(--D77,0)</ns0:f>
        <ns0:v>0</ns0:v>
      </ns0:c>
      <ns0:c r="H77" s="0">
        <ns0:f>IFERROR(IF(FIND(".",B77)=5,--E77,--C77),0)</ns0:f>
        <ns0:v>0</ns0:v>
      </ns0:c>
      <ns0:c r="I77" s="0">
        <ns0:f>IFERROR(IF(AND(F77&gt;=2000,F77&lt;=2100,G77&gt;=1,G77&lt;=12,H77&gt;=1,H77&lt;=31),DATE(F77,G77,H77),0),0)</ns0:f>
        <ns0:v>0</ns0:v>
      </ns0:c>
      <ns0:c r="J77" s="0">
        <ns0:f>IFERROR(IF(ISNUMBER(Bookings!B77),IF(AND(Bookings!B77=INT(Bookings!B77),Bookings!B77&gt;=DATE(2000,1,1),Bookings!B77&lt;=DATE(2100,12,31)),Bookings!B77,0),IF(AND(A77&lt;&gt;"",LEN("x"&amp;B77)-LEN(SUBSTITUTE("x"&amp;B77,".",""))=2,OR(1&gt;LEN(B77),MID(B77,1,1)=".",ISNUMBER(FIND("x"&amp;MID(B77,1,1),"x0x1x2x3x4x5x6x7x8x9"))),OR(2&gt;LEN(B77),MID(B77,2,1)=".",ISNUMBER(FIND("x"&amp;MID(B77,2,1),"x0x1x2x3x4x5x6x7x8x9"))),OR(3&gt;LEN(B77),MID(B77,3,1)=".",ISNUMBER(FIND("x"&amp;MID(B77,3,1),"x0x1x2x3x4x5x6x7x8x9"))),OR(4&gt;LEN(B77),MID(B77,4,1)=".",ISNUMBER(FIND("x"&amp;MID(B77,4,1),"x0x1x2x3x4x5x6x7x8x9"))),OR(5&gt;LEN(B77),MID(B77,5,1)=".",ISNUMBER(FIND("x"&amp;MID(B77,5,1),"x0x1x2x3x4x5x6x7x8x9"))),OR(6&gt;LEN(B77),MID(B77,6,1)=".",ISNUMBER(FIND("x"&amp;MID(B77,6,1),"x0x1x2x3x4x5x6x7x8x9"))),OR(7&gt;LEN(B77),MID(B77,7,1)=".",ISNUMBER(FIND("x"&amp;MID(B77,7,1),"x0x1x2x3x4x5x6x7x8x9"))),OR(8&gt;LEN(B77),MID(B77,8,1)=".",ISNUMBER(FIND("x"&amp;MID(B77,8,1),"x0x1x2x3x4x5x6x7x8x9"))),OR(9&gt;LEN(B77),MID(B77,9,1)=".",ISNUMBER(FIND("x"&amp;MID(B77,9,1),"x0x1x2x3x4x5x6x7x8x9"))),OR(10&gt;LEN(B77),MID(B77,10,1)=".",ISNUMBER(FIND("x"&amp;MID(B77,10,1),"x0x1x2x3x4x5x6x7x8x9"))),OR(AND(FIND(".",B77)=5,LEN(B77)-FIND(".",B77,FIND(".",B77)+1)&gt;=1,LEN(B77)-FIND(".",B77,FIND(".",B77)+1)&lt;=2),AND(LEN(B77)-FIND(".",B77,FIND(".",B77)+1)=4,FIND(".",B77)&gt;=2,FIND(".",B77)&lt;=3)),FIND(".",B77,FIND(".",B77)+1)-FIND(".",B77)&gt;=2,FIND(".",B77,FIND(".",B77)+1)-FIND(".",B77)&lt;=3,F77&gt;=2000,F77&lt;=2100,YEAR(I77)=F77,MONTH(I77)=G77,DAY(I77)=H77),I77,0)),0)</ns0:f>
        <ns0:v>0</ns0:v>
      </ns0:c>
      <ns0:c r="K77" s="0">
        <ns0:f>IFERROR(IF(ISNUMBER(Bookings!D77),"",TRIM(Bookings!D77&amp;"")),"")</ns0:f>
      </ns0:c>
      <ns0:c r="L77" s="0">
        <ns0:f>IFERROR(SUBSTITUTE(SUBSTITUTE(K77,"/","."),"-","."),"")</ns0:f>
      </ns0:c>
      <ns0:c r="M77" s="0">
        <ns0:f>IFERROR(LEFT(L77,FIND(".",L77)-1),"")</ns0:f>
      </ns0:c>
      <ns0:c r="N77" s="0">
        <ns0:f>IFERROR(MID(L77,FIND(".",L77)+1,FIND(".",L77,FIND(".",L77)+1)-FIND(".",L77)-1),"")</ns0:f>
      </ns0:c>
      <ns0:c r="O77" s="0">
        <ns0:f>IFERROR(MID(L77,FIND(".",L77,FIND(".",L77)+1)+1,99),"")</ns0:f>
        <ns0:v>99</ns0:v>
      </ns0:c>
      <ns0:c r="P77" s="0">
        <ns0:f>IFERROR(IF(FIND(".",L77)=5,--M77,--O77),0)</ns0:f>
        <ns0:v>0</ns0:v>
      </ns0:c>
      <ns0:c r="Q77" s="0">
        <ns0:f>IFERROR(--N77,0)</ns0:f>
        <ns0:v>0</ns0:v>
      </ns0:c>
      <ns0:c r="R77" s="0">
        <ns0:f>IFERROR(IF(FIND(".",L77)=5,--O77,--M77),0)</ns0:f>
        <ns0:v>0</ns0:v>
      </ns0:c>
      <ns0:c r="S77" s="0">
        <ns0:f>IFERROR(IF(AND(P77&gt;=2000,P77&lt;=2100,Q77&gt;=1,Q77&lt;=12,R77&gt;=1,R77&lt;=31),DATE(P77,Q77,R77),0),0)</ns0:f>
        <ns0:v>0</ns0:v>
      </ns0:c>
      <ns0:c r="T77" s="0">
        <ns0:f>IFERROR(IF(ISNUMBER(Bookings!D77),IF(AND(Bookings!D77=INT(Bookings!D77),Bookings!D77&gt;=DATE(2000,1,1),Bookings!D77&lt;=DATE(2100,12,31)),Bookings!D77,0),IF(AND(K77&lt;&gt;"",LEN("x"&amp;L77)-LEN(SUBSTITUTE("x"&amp;L77,".",""))=2,OR(1&gt;LEN(L77),MID(L77,1,1)=".",ISNUMBER(FIND("x"&amp;MID(L77,1,1),"x0x1x2x3x4x5x6x7x8x9"))),OR(2&gt;LEN(L77),MID(L77,2,1)=".",ISNUMBER(FIND("x"&amp;MID(L77,2,1),"x0x1x2x3x4x5x6x7x8x9"))),OR(3&gt;LEN(L77),MID(L77,3,1)=".",ISNUMBER(FIND("x"&amp;MID(L77,3,1),"x0x1x2x3x4x5x6x7x8x9"))),OR(4&gt;LEN(L77),MID(L77,4,1)=".",ISNUMBER(FIND("x"&amp;MID(L77,4,1),"x0x1x2x3x4x5x6x7x8x9"))),OR(5&gt;LEN(L77),MID(L77,5,1)=".",ISNUMBER(FIND("x"&amp;MID(L77,5,1),"x0x1x2x3x4x5x6x7x8x9"))),OR(6&gt;LEN(L77),MID(L77,6,1)=".",ISNUMBER(FIND("x"&amp;MID(L77,6,1),"x0x1x2x3x4x5x6x7x8x9"))),OR(7&gt;LEN(L77),MID(L77,7,1)=".",ISNUMBER(FIND("x"&amp;MID(L77,7,1),"x0x1x2x3x4x5x6x7x8x9"))),OR(8&gt;LEN(L77),MID(L77,8,1)=".",ISNUMBER(FIND("x"&amp;MID(L77,8,1),"x0x1x2x3x4x5x6x7x8x9"))),OR(9&gt;LEN(L77),MID(L77,9,1)=".",ISNUMBER(FIND("x"&amp;MID(L77,9,1),"x0x1x2x3x4x5x6x7x8x9"))),OR(10&gt;LEN(L77),MID(L77,10,1)=".",ISNUMBER(FIND("x"&amp;MID(L77,10,1),"x0x1x2x3x4x5x6x7x8x9"))),OR(AND(FIND(".",L77)=5,LEN(L77)-FIND(".",L77,FIND(".",L77)+1)&gt;=1,LEN(L77)-FIND(".",L77,FIND(".",L77)+1)&lt;=2),AND(LEN(L77)-FIND(".",L77,FIND(".",L77)+1)=4,FIND(".",L77)&gt;=2,FIND(".",L77)&lt;=3)),FIND(".",L77,FIND(".",L77)+1)-FIND(".",L77)&gt;=2,FIND(".",L77,FIND(".",L77)+1)-FIND(".",L77)&lt;=3,P77&gt;=2000,P77&lt;=2100,YEAR(S77)=P77,MONTH(S77)=Q77,DAY(S77)=R77),S77,0)),0)</ns0:f>
        <ns0:v>0</ns0:v>
      </ns0:c>
      <ns0:c r="U77" s="0" t="str">
        <ns0:f>IF(Bookings!C77="","Full day",Bookings!C77)</ns0:f>
        <ns0:v>Full day</ns0:v>
      </ns0:c>
      <ns0:c r="V77" s="0" t="str">
        <ns0:f>IF(Bookings!E77="","Full day",Bookings!E77)</ns0:f>
        <ns0:v>Full day</ns0:v>
      </ns0:c>
      <ns0:c r="W77" s="0">
        <ns0:f>IF(J77=0,0,J77+IF(U77="PM",1,0))</ns0:f>
        <ns0:v>0</ns0:v>
      </ns0:c>
      <ns0:c r="X77" s="0">
        <ns0:f>IF(T77=0,0,T77-IF(V77="PM",1,0))</ns0:f>
        <ns0:v>0</ns0:v>
      </ns0:c>
      <ns0:c r="Y77" s="0">
        <ns0:f>IF(J77=0,0,J77+IF(U77="AM",1,0))</ns0:f>
        <ns0:v>0</ns0:v>
      </ns0:c>
      <ns0:c r="Z77" s="0">
        <ns0:f>IF(T77=0,0,T77-IF(V77="AM",1,0))</ns0:f>
        <ns0:v>0</ns0:v>
      </ns0:c>
      <ns0:c r="AA77" s="0">
        <ns0:f>IFERROR(IF(AND(J77&gt;0,'_Engine'!C77&gt;0,MID('_Engine'!W77,WEEKDAY(J77,2),1)="W",COUNTIF(Settings!$F$18:$F$67,J77)=0),1,0),0)</ns0:f>
        <ns0:v>0</ns0:v>
      </ns0:c>
      <ns0:c r="AB77" s="0">
        <ns0:f>IFERROR(IF(AND(T77&gt;0,'_Engine'!C77&gt;0,MID('_Engine'!W77,WEEKDAY(T77,2),1)="W",COUNTIF(Settings!$F$18:$F$67,T77)=0),1,0),0)</ns0:f>
        <ns0:v>0</ns0:v>
      </ns0:c>
      <ns0:c r="AC77" s="0">
        <ns0:f>IF(AND(J77&gt;0,T77&gt;0,W77&lt;=X77),1,0)</ns0:f>
        <ns0:v>0</ns0:v>
      </ns0:c>
      <ns0:c r="AD77" s="0">
        <ns0:f>IF(AND(J77&gt;0,T77&gt;0,Y77&lt;=Z77),1,0)</ns0:f>
        <ns0:v>0</ns0:v>
      </ns0:c>
    </ns0:row>
    <ns0:row r="78">
      <ns0:c r="A78" s="0">
        <ns0:f>IFERROR(IF(ISNUMBER(Bookings!B78),"",TRIM(Bookings!B78&amp;"")),"")</ns0:f>
      </ns0:c>
      <ns0:c r="B78" s="0">
        <ns0:f>IFERROR(SUBSTITUTE(SUBSTITUTE(A78,"/","."),"-","."),"")</ns0:f>
      </ns0:c>
      <ns0:c r="C78" s="0">
        <ns0:f>IFERROR(LEFT(B78,FIND(".",B78)-1),"")</ns0:f>
      </ns0:c>
      <ns0:c r="D78" s="0">
        <ns0:f>IFERROR(MID(B78,FIND(".",B78)+1,FIND(".",B78,FIND(".",B78)+1)-FIND(".",B78)-1),"")</ns0:f>
      </ns0:c>
      <ns0:c r="E78" s="0">
        <ns0:f>IFERROR(MID(B78,FIND(".",B78,FIND(".",B78)+1)+1,99),"")</ns0:f>
        <ns0:v>99</ns0:v>
      </ns0:c>
      <ns0:c r="F78" s="0">
        <ns0:f>IFERROR(IF(FIND(".",B78)=5,--C78,--E78),0)</ns0:f>
        <ns0:v>0</ns0:v>
      </ns0:c>
      <ns0:c r="G78" s="0">
        <ns0:f>IFERROR(--D78,0)</ns0:f>
        <ns0:v>0</ns0:v>
      </ns0:c>
      <ns0:c r="H78" s="0">
        <ns0:f>IFERROR(IF(FIND(".",B78)=5,--E78,--C78),0)</ns0:f>
        <ns0:v>0</ns0:v>
      </ns0:c>
      <ns0:c r="I78" s="0">
        <ns0:f>IFERROR(IF(AND(F78&gt;=2000,F78&lt;=2100,G78&gt;=1,G78&lt;=12,H78&gt;=1,H78&lt;=31),DATE(F78,G78,H78),0),0)</ns0:f>
        <ns0:v>0</ns0:v>
      </ns0:c>
      <ns0:c r="J78" s="0">
        <ns0:f>IFERROR(IF(ISNUMBER(Bookings!B78),IF(AND(Bookings!B78=INT(Bookings!B78),Bookings!B78&gt;=DATE(2000,1,1),Bookings!B78&lt;=DATE(2100,12,31)),Bookings!B78,0),IF(AND(A78&lt;&gt;"",LEN("x"&amp;B78)-LEN(SUBSTITUTE("x"&amp;B78,".",""))=2,OR(1&gt;LEN(B78),MID(B78,1,1)=".",ISNUMBER(FIND("x"&amp;MID(B78,1,1),"x0x1x2x3x4x5x6x7x8x9"))),OR(2&gt;LEN(B78),MID(B78,2,1)=".",ISNUMBER(FIND("x"&amp;MID(B78,2,1),"x0x1x2x3x4x5x6x7x8x9"))),OR(3&gt;LEN(B78),MID(B78,3,1)=".",ISNUMBER(FIND("x"&amp;MID(B78,3,1),"x0x1x2x3x4x5x6x7x8x9"))),OR(4&gt;LEN(B78),MID(B78,4,1)=".",ISNUMBER(FIND("x"&amp;MID(B78,4,1),"x0x1x2x3x4x5x6x7x8x9"))),OR(5&gt;LEN(B78),MID(B78,5,1)=".",ISNUMBER(FIND("x"&amp;MID(B78,5,1),"x0x1x2x3x4x5x6x7x8x9"))),OR(6&gt;LEN(B78),MID(B78,6,1)=".",ISNUMBER(FIND("x"&amp;MID(B78,6,1),"x0x1x2x3x4x5x6x7x8x9"))),OR(7&gt;LEN(B78),MID(B78,7,1)=".",ISNUMBER(FIND("x"&amp;MID(B78,7,1),"x0x1x2x3x4x5x6x7x8x9"))),OR(8&gt;LEN(B78),MID(B78,8,1)=".",ISNUMBER(FIND("x"&amp;MID(B78,8,1),"x0x1x2x3x4x5x6x7x8x9"))),OR(9&gt;LEN(B78),MID(B78,9,1)=".",ISNUMBER(FIND("x"&amp;MID(B78,9,1),"x0x1x2x3x4x5x6x7x8x9"))),OR(10&gt;LEN(B78),MID(B78,10,1)=".",ISNUMBER(FIND("x"&amp;MID(B78,10,1),"x0x1x2x3x4x5x6x7x8x9"))),OR(AND(FIND(".",B78)=5,LEN(B78)-FIND(".",B78,FIND(".",B78)+1)&gt;=1,LEN(B78)-FIND(".",B78,FIND(".",B78)+1)&lt;=2),AND(LEN(B78)-FIND(".",B78,FIND(".",B78)+1)=4,FIND(".",B78)&gt;=2,FIND(".",B78)&lt;=3)),FIND(".",B78,FIND(".",B78)+1)-FIND(".",B78)&gt;=2,FIND(".",B78,FIND(".",B78)+1)-FIND(".",B78)&lt;=3,F78&gt;=2000,F78&lt;=2100,YEAR(I78)=F78,MONTH(I78)=G78,DAY(I78)=H78),I78,0)),0)</ns0:f>
        <ns0:v>0</ns0:v>
      </ns0:c>
      <ns0:c r="K78" s="0">
        <ns0:f>IFERROR(IF(ISNUMBER(Bookings!D78),"",TRIM(Bookings!D78&amp;"")),"")</ns0:f>
      </ns0:c>
      <ns0:c r="L78" s="0">
        <ns0:f>IFERROR(SUBSTITUTE(SUBSTITUTE(K78,"/","."),"-","."),"")</ns0:f>
      </ns0:c>
      <ns0:c r="M78" s="0">
        <ns0:f>IFERROR(LEFT(L78,FIND(".",L78)-1),"")</ns0:f>
      </ns0:c>
      <ns0:c r="N78" s="0">
        <ns0:f>IFERROR(MID(L78,FIND(".",L78)+1,FIND(".",L78,FIND(".",L78)+1)-FIND(".",L78)-1),"")</ns0:f>
      </ns0:c>
      <ns0:c r="O78" s="0">
        <ns0:f>IFERROR(MID(L78,FIND(".",L78,FIND(".",L78)+1)+1,99),"")</ns0:f>
        <ns0:v>99</ns0:v>
      </ns0:c>
      <ns0:c r="P78" s="0">
        <ns0:f>IFERROR(IF(FIND(".",L78)=5,--M78,--O78),0)</ns0:f>
        <ns0:v>0</ns0:v>
      </ns0:c>
      <ns0:c r="Q78" s="0">
        <ns0:f>IFERROR(--N78,0)</ns0:f>
        <ns0:v>0</ns0:v>
      </ns0:c>
      <ns0:c r="R78" s="0">
        <ns0:f>IFERROR(IF(FIND(".",L78)=5,--O78,--M78),0)</ns0:f>
        <ns0:v>0</ns0:v>
      </ns0:c>
      <ns0:c r="S78" s="0">
        <ns0:f>IFERROR(IF(AND(P78&gt;=2000,P78&lt;=2100,Q78&gt;=1,Q78&lt;=12,R78&gt;=1,R78&lt;=31),DATE(P78,Q78,R78),0),0)</ns0:f>
        <ns0:v>0</ns0:v>
      </ns0:c>
      <ns0:c r="T78" s="0">
        <ns0:f>IFERROR(IF(ISNUMBER(Bookings!D78),IF(AND(Bookings!D78=INT(Bookings!D78),Bookings!D78&gt;=DATE(2000,1,1),Bookings!D78&lt;=DATE(2100,12,31)),Bookings!D78,0),IF(AND(K78&lt;&gt;"",LEN("x"&amp;L78)-LEN(SUBSTITUTE("x"&amp;L78,".",""))=2,OR(1&gt;LEN(L78),MID(L78,1,1)=".",ISNUMBER(FIND("x"&amp;MID(L78,1,1),"x0x1x2x3x4x5x6x7x8x9"))),OR(2&gt;LEN(L78),MID(L78,2,1)=".",ISNUMBER(FIND("x"&amp;MID(L78,2,1),"x0x1x2x3x4x5x6x7x8x9"))),OR(3&gt;LEN(L78),MID(L78,3,1)=".",ISNUMBER(FIND("x"&amp;MID(L78,3,1),"x0x1x2x3x4x5x6x7x8x9"))),OR(4&gt;LEN(L78),MID(L78,4,1)=".",ISNUMBER(FIND("x"&amp;MID(L78,4,1),"x0x1x2x3x4x5x6x7x8x9"))),OR(5&gt;LEN(L78),MID(L78,5,1)=".",ISNUMBER(FIND("x"&amp;MID(L78,5,1),"x0x1x2x3x4x5x6x7x8x9"))),OR(6&gt;LEN(L78),MID(L78,6,1)=".",ISNUMBER(FIND("x"&amp;MID(L78,6,1),"x0x1x2x3x4x5x6x7x8x9"))),OR(7&gt;LEN(L78),MID(L78,7,1)=".",ISNUMBER(FIND("x"&amp;MID(L78,7,1),"x0x1x2x3x4x5x6x7x8x9"))),OR(8&gt;LEN(L78),MID(L78,8,1)=".",ISNUMBER(FIND("x"&amp;MID(L78,8,1),"x0x1x2x3x4x5x6x7x8x9"))),OR(9&gt;LEN(L78),MID(L78,9,1)=".",ISNUMBER(FIND("x"&amp;MID(L78,9,1),"x0x1x2x3x4x5x6x7x8x9"))),OR(10&gt;LEN(L78),MID(L78,10,1)=".",ISNUMBER(FIND("x"&amp;MID(L78,10,1),"x0x1x2x3x4x5x6x7x8x9"))),OR(AND(FIND(".",L78)=5,LEN(L78)-FIND(".",L78,FIND(".",L78)+1)&gt;=1,LEN(L78)-FIND(".",L78,FIND(".",L78)+1)&lt;=2),AND(LEN(L78)-FIND(".",L78,FIND(".",L78)+1)=4,FIND(".",L78)&gt;=2,FIND(".",L78)&lt;=3)),FIND(".",L78,FIND(".",L78)+1)-FIND(".",L78)&gt;=2,FIND(".",L78,FIND(".",L78)+1)-FIND(".",L78)&lt;=3,P78&gt;=2000,P78&lt;=2100,YEAR(S78)=P78,MONTH(S78)=Q78,DAY(S78)=R78),S78,0)),0)</ns0:f>
        <ns0:v>0</ns0:v>
      </ns0:c>
      <ns0:c r="U78" s="0" t="str">
        <ns0:f>IF(Bookings!C78="","Full day",Bookings!C78)</ns0:f>
        <ns0:v>Full day</ns0:v>
      </ns0:c>
      <ns0:c r="V78" s="0" t="str">
        <ns0:f>IF(Bookings!E78="","Full day",Bookings!E78)</ns0:f>
        <ns0:v>Full day</ns0:v>
      </ns0:c>
      <ns0:c r="W78" s="0">
        <ns0:f>IF(J78=0,0,J78+IF(U78="PM",1,0))</ns0:f>
        <ns0:v>0</ns0:v>
      </ns0:c>
      <ns0:c r="X78" s="0">
        <ns0:f>IF(T78=0,0,T78-IF(V78="PM",1,0))</ns0:f>
        <ns0:v>0</ns0:v>
      </ns0:c>
      <ns0:c r="Y78" s="0">
        <ns0:f>IF(J78=0,0,J78+IF(U78="AM",1,0))</ns0:f>
        <ns0:v>0</ns0:v>
      </ns0:c>
      <ns0:c r="Z78" s="0">
        <ns0:f>IF(T78=0,0,T78-IF(V78="AM",1,0))</ns0:f>
        <ns0:v>0</ns0:v>
      </ns0:c>
      <ns0:c r="AA78" s="0">
        <ns0:f>IFERROR(IF(AND(J78&gt;0,'_Engine'!C78&gt;0,MID('_Engine'!W78,WEEKDAY(J78,2),1)="W",COUNTIF(Settings!$F$18:$F$67,J78)=0),1,0),0)</ns0:f>
        <ns0:v>0</ns0:v>
      </ns0:c>
      <ns0:c r="AB78" s="0">
        <ns0:f>IFERROR(IF(AND(T78&gt;0,'_Engine'!C78&gt;0,MID('_Engine'!W78,WEEKDAY(T78,2),1)="W",COUNTIF(Settings!$F$18:$F$67,T78)=0),1,0),0)</ns0:f>
        <ns0:v>0</ns0:v>
      </ns0:c>
      <ns0:c r="AC78" s="0">
        <ns0:f>IF(AND(J78&gt;0,T78&gt;0,W78&lt;=X78),1,0)</ns0:f>
        <ns0:v>0</ns0:v>
      </ns0:c>
      <ns0:c r="AD78" s="0">
        <ns0:f>IF(AND(J78&gt;0,T78&gt;0,Y78&lt;=Z78),1,0)</ns0:f>
        <ns0:v>0</ns0:v>
      </ns0:c>
    </ns0:row>
    <ns0:row r="79">
      <ns0:c r="A79" s="0">
        <ns0:f>IFERROR(IF(ISNUMBER(Bookings!B79),"",TRIM(Bookings!B79&amp;"")),"")</ns0:f>
      </ns0:c>
      <ns0:c r="B79" s="0">
        <ns0:f>IFERROR(SUBSTITUTE(SUBSTITUTE(A79,"/","."),"-","."),"")</ns0:f>
      </ns0:c>
      <ns0:c r="C79" s="0">
        <ns0:f>IFERROR(LEFT(B79,FIND(".",B79)-1),"")</ns0:f>
      </ns0:c>
      <ns0:c r="D79" s="0">
        <ns0:f>IFERROR(MID(B79,FIND(".",B79)+1,FIND(".",B79,FIND(".",B79)+1)-FIND(".",B79)-1),"")</ns0:f>
      </ns0:c>
      <ns0:c r="E79" s="0">
        <ns0:f>IFERROR(MID(B79,FIND(".",B79,FIND(".",B79)+1)+1,99),"")</ns0:f>
        <ns0:v>99</ns0:v>
      </ns0:c>
      <ns0:c r="F79" s="0">
        <ns0:f>IFERROR(IF(FIND(".",B79)=5,--C79,--E79),0)</ns0:f>
        <ns0:v>0</ns0:v>
      </ns0:c>
      <ns0:c r="G79" s="0">
        <ns0:f>IFERROR(--D79,0)</ns0:f>
        <ns0:v>0</ns0:v>
      </ns0:c>
      <ns0:c r="H79" s="0">
        <ns0:f>IFERROR(IF(FIND(".",B79)=5,--E79,--C79),0)</ns0:f>
        <ns0:v>0</ns0:v>
      </ns0:c>
      <ns0:c r="I79" s="0">
        <ns0:f>IFERROR(IF(AND(F79&gt;=2000,F79&lt;=2100,G79&gt;=1,G79&lt;=12,H79&gt;=1,H79&lt;=31),DATE(F79,G79,H79),0),0)</ns0:f>
        <ns0:v>0</ns0:v>
      </ns0:c>
      <ns0:c r="J79" s="0">
        <ns0:f>IFERROR(IF(ISNUMBER(Bookings!B79),IF(AND(Bookings!B79=INT(Bookings!B79),Bookings!B79&gt;=DATE(2000,1,1),Bookings!B79&lt;=DATE(2100,12,31)),Bookings!B79,0),IF(AND(A79&lt;&gt;"",LEN("x"&amp;B79)-LEN(SUBSTITUTE("x"&amp;B79,".",""))=2,OR(1&gt;LEN(B79),MID(B79,1,1)=".",ISNUMBER(FIND("x"&amp;MID(B79,1,1),"x0x1x2x3x4x5x6x7x8x9"))),OR(2&gt;LEN(B79),MID(B79,2,1)=".",ISNUMBER(FIND("x"&amp;MID(B79,2,1),"x0x1x2x3x4x5x6x7x8x9"))),OR(3&gt;LEN(B79),MID(B79,3,1)=".",ISNUMBER(FIND("x"&amp;MID(B79,3,1),"x0x1x2x3x4x5x6x7x8x9"))),OR(4&gt;LEN(B79),MID(B79,4,1)=".",ISNUMBER(FIND("x"&amp;MID(B79,4,1),"x0x1x2x3x4x5x6x7x8x9"))),OR(5&gt;LEN(B79),MID(B79,5,1)=".",ISNUMBER(FIND("x"&amp;MID(B79,5,1),"x0x1x2x3x4x5x6x7x8x9"))),OR(6&gt;LEN(B79),MID(B79,6,1)=".",ISNUMBER(FIND("x"&amp;MID(B79,6,1),"x0x1x2x3x4x5x6x7x8x9"))),OR(7&gt;LEN(B79),MID(B79,7,1)=".",ISNUMBER(FIND("x"&amp;MID(B79,7,1),"x0x1x2x3x4x5x6x7x8x9"))),OR(8&gt;LEN(B79),MID(B79,8,1)=".",ISNUMBER(FIND("x"&amp;MID(B79,8,1),"x0x1x2x3x4x5x6x7x8x9"))),OR(9&gt;LEN(B79),MID(B79,9,1)=".",ISNUMBER(FIND("x"&amp;MID(B79,9,1),"x0x1x2x3x4x5x6x7x8x9"))),OR(10&gt;LEN(B79),MID(B79,10,1)=".",ISNUMBER(FIND("x"&amp;MID(B79,10,1),"x0x1x2x3x4x5x6x7x8x9"))),OR(AND(FIND(".",B79)=5,LEN(B79)-FIND(".",B79,FIND(".",B79)+1)&gt;=1,LEN(B79)-FIND(".",B79,FIND(".",B79)+1)&lt;=2),AND(LEN(B79)-FIND(".",B79,FIND(".",B79)+1)=4,FIND(".",B79)&gt;=2,FIND(".",B79)&lt;=3)),FIND(".",B79,FIND(".",B79)+1)-FIND(".",B79)&gt;=2,FIND(".",B79,FIND(".",B79)+1)-FIND(".",B79)&lt;=3,F79&gt;=2000,F79&lt;=2100,YEAR(I79)=F79,MONTH(I79)=G79,DAY(I79)=H79),I79,0)),0)</ns0:f>
        <ns0:v>0</ns0:v>
      </ns0:c>
      <ns0:c r="K79" s="0">
        <ns0:f>IFERROR(IF(ISNUMBER(Bookings!D79),"",TRIM(Bookings!D79&amp;"")),"")</ns0:f>
      </ns0:c>
      <ns0:c r="L79" s="0">
        <ns0:f>IFERROR(SUBSTITUTE(SUBSTITUTE(K79,"/","."),"-","."),"")</ns0:f>
      </ns0:c>
      <ns0:c r="M79" s="0">
        <ns0:f>IFERROR(LEFT(L79,FIND(".",L79)-1),"")</ns0:f>
      </ns0:c>
      <ns0:c r="N79" s="0">
        <ns0:f>IFERROR(MID(L79,FIND(".",L79)+1,FIND(".",L79,FIND(".",L79)+1)-FIND(".",L79)-1),"")</ns0:f>
      </ns0:c>
      <ns0:c r="O79" s="0">
        <ns0:f>IFERROR(MID(L79,FIND(".",L79,FIND(".",L79)+1)+1,99),"")</ns0:f>
        <ns0:v>99</ns0:v>
      </ns0:c>
      <ns0:c r="P79" s="0">
        <ns0:f>IFERROR(IF(FIND(".",L79)=5,--M79,--O79),0)</ns0:f>
        <ns0:v>0</ns0:v>
      </ns0:c>
      <ns0:c r="Q79" s="0">
        <ns0:f>IFERROR(--N79,0)</ns0:f>
        <ns0:v>0</ns0:v>
      </ns0:c>
      <ns0:c r="R79" s="0">
        <ns0:f>IFERROR(IF(FIND(".",L79)=5,--O79,--M79),0)</ns0:f>
        <ns0:v>0</ns0:v>
      </ns0:c>
      <ns0:c r="S79" s="0">
        <ns0:f>IFERROR(IF(AND(P79&gt;=2000,P79&lt;=2100,Q79&gt;=1,Q79&lt;=12,R79&gt;=1,R79&lt;=31),DATE(P79,Q79,R79),0),0)</ns0:f>
        <ns0:v>0</ns0:v>
      </ns0:c>
      <ns0:c r="T79" s="0">
        <ns0:f>IFERROR(IF(ISNUMBER(Bookings!D79),IF(AND(Bookings!D79=INT(Bookings!D79),Bookings!D79&gt;=DATE(2000,1,1),Bookings!D79&lt;=DATE(2100,12,31)),Bookings!D79,0),IF(AND(K79&lt;&gt;"",LEN("x"&amp;L79)-LEN(SUBSTITUTE("x"&amp;L79,".",""))=2,OR(1&gt;LEN(L79),MID(L79,1,1)=".",ISNUMBER(FIND("x"&amp;MID(L79,1,1),"x0x1x2x3x4x5x6x7x8x9"))),OR(2&gt;LEN(L79),MID(L79,2,1)=".",ISNUMBER(FIND("x"&amp;MID(L79,2,1),"x0x1x2x3x4x5x6x7x8x9"))),OR(3&gt;LEN(L79),MID(L79,3,1)=".",ISNUMBER(FIND("x"&amp;MID(L79,3,1),"x0x1x2x3x4x5x6x7x8x9"))),OR(4&gt;LEN(L79),MID(L79,4,1)=".",ISNUMBER(FIND("x"&amp;MID(L79,4,1),"x0x1x2x3x4x5x6x7x8x9"))),OR(5&gt;LEN(L79),MID(L79,5,1)=".",ISNUMBER(FIND("x"&amp;MID(L79,5,1),"x0x1x2x3x4x5x6x7x8x9"))),OR(6&gt;LEN(L79),MID(L79,6,1)=".",ISNUMBER(FIND("x"&amp;MID(L79,6,1),"x0x1x2x3x4x5x6x7x8x9"))),OR(7&gt;LEN(L79),MID(L79,7,1)=".",ISNUMBER(FIND("x"&amp;MID(L79,7,1),"x0x1x2x3x4x5x6x7x8x9"))),OR(8&gt;LEN(L79),MID(L79,8,1)=".",ISNUMBER(FIND("x"&amp;MID(L79,8,1),"x0x1x2x3x4x5x6x7x8x9"))),OR(9&gt;LEN(L79),MID(L79,9,1)=".",ISNUMBER(FIND("x"&amp;MID(L79,9,1),"x0x1x2x3x4x5x6x7x8x9"))),OR(10&gt;LEN(L79),MID(L79,10,1)=".",ISNUMBER(FIND("x"&amp;MID(L79,10,1),"x0x1x2x3x4x5x6x7x8x9"))),OR(AND(FIND(".",L79)=5,LEN(L79)-FIND(".",L79,FIND(".",L79)+1)&gt;=1,LEN(L79)-FIND(".",L79,FIND(".",L79)+1)&lt;=2),AND(LEN(L79)-FIND(".",L79,FIND(".",L79)+1)=4,FIND(".",L79)&gt;=2,FIND(".",L79)&lt;=3)),FIND(".",L79,FIND(".",L79)+1)-FIND(".",L79)&gt;=2,FIND(".",L79,FIND(".",L79)+1)-FIND(".",L79)&lt;=3,P79&gt;=2000,P79&lt;=2100,YEAR(S79)=P79,MONTH(S79)=Q79,DAY(S79)=R79),S79,0)),0)</ns0:f>
        <ns0:v>0</ns0:v>
      </ns0:c>
      <ns0:c r="U79" s="0" t="str">
        <ns0:f>IF(Bookings!C79="","Full day",Bookings!C79)</ns0:f>
        <ns0:v>Full day</ns0:v>
      </ns0:c>
      <ns0:c r="V79" s="0" t="str">
        <ns0:f>IF(Bookings!E79="","Full day",Bookings!E79)</ns0:f>
        <ns0:v>Full day</ns0:v>
      </ns0:c>
      <ns0:c r="W79" s="0">
        <ns0:f>IF(J79=0,0,J79+IF(U79="PM",1,0))</ns0:f>
        <ns0:v>0</ns0:v>
      </ns0:c>
      <ns0:c r="X79" s="0">
        <ns0:f>IF(T79=0,0,T79-IF(V79="PM",1,0))</ns0:f>
        <ns0:v>0</ns0:v>
      </ns0:c>
      <ns0:c r="Y79" s="0">
        <ns0:f>IF(J79=0,0,J79+IF(U79="AM",1,0))</ns0:f>
        <ns0:v>0</ns0:v>
      </ns0:c>
      <ns0:c r="Z79" s="0">
        <ns0:f>IF(T79=0,0,T79-IF(V79="AM",1,0))</ns0:f>
        <ns0:v>0</ns0:v>
      </ns0:c>
      <ns0:c r="AA79" s="0">
        <ns0:f>IFERROR(IF(AND(J79&gt;0,'_Engine'!C79&gt;0,MID('_Engine'!W79,WEEKDAY(J79,2),1)="W",COUNTIF(Settings!$F$18:$F$67,J79)=0),1,0),0)</ns0:f>
        <ns0:v>0</ns0:v>
      </ns0:c>
      <ns0:c r="AB79" s="0">
        <ns0:f>IFERROR(IF(AND(T79&gt;0,'_Engine'!C79&gt;0,MID('_Engine'!W79,WEEKDAY(T79,2),1)="W",COUNTIF(Settings!$F$18:$F$67,T79)=0),1,0),0)</ns0:f>
        <ns0:v>0</ns0:v>
      </ns0:c>
      <ns0:c r="AC79" s="0">
        <ns0:f>IF(AND(J79&gt;0,T79&gt;0,W79&lt;=X79),1,0)</ns0:f>
        <ns0:v>0</ns0:v>
      </ns0:c>
      <ns0:c r="AD79" s="0">
        <ns0:f>IF(AND(J79&gt;0,T79&gt;0,Y79&lt;=Z79),1,0)</ns0:f>
        <ns0:v>0</ns0:v>
      </ns0:c>
    </ns0:row>
    <ns0:row r="80">
      <ns0:c r="A80" s="0">
        <ns0:f>IFERROR(IF(ISNUMBER(Bookings!B80),"",TRIM(Bookings!B80&amp;"")),"")</ns0:f>
      </ns0:c>
      <ns0:c r="B80" s="0">
        <ns0:f>IFERROR(SUBSTITUTE(SUBSTITUTE(A80,"/","."),"-","."),"")</ns0:f>
      </ns0:c>
      <ns0:c r="C80" s="0">
        <ns0:f>IFERROR(LEFT(B80,FIND(".",B80)-1),"")</ns0:f>
      </ns0:c>
      <ns0:c r="D80" s="0">
        <ns0:f>IFERROR(MID(B80,FIND(".",B80)+1,FIND(".",B80,FIND(".",B80)+1)-FIND(".",B80)-1),"")</ns0:f>
      </ns0:c>
      <ns0:c r="E80" s="0">
        <ns0:f>IFERROR(MID(B80,FIND(".",B80,FIND(".",B80)+1)+1,99),"")</ns0:f>
        <ns0:v>99</ns0:v>
      </ns0:c>
      <ns0:c r="F80" s="0">
        <ns0:f>IFERROR(IF(FIND(".",B80)=5,--C80,--E80),0)</ns0:f>
        <ns0:v>0</ns0:v>
      </ns0:c>
      <ns0:c r="G80" s="0">
        <ns0:f>IFERROR(--D80,0)</ns0:f>
        <ns0:v>0</ns0:v>
      </ns0:c>
      <ns0:c r="H80" s="0">
        <ns0:f>IFERROR(IF(FIND(".",B80)=5,--E80,--C80),0)</ns0:f>
        <ns0:v>0</ns0:v>
      </ns0:c>
      <ns0:c r="I80" s="0">
        <ns0:f>IFERROR(IF(AND(F80&gt;=2000,F80&lt;=2100,G80&gt;=1,G80&lt;=12,H80&gt;=1,H80&lt;=31),DATE(F80,G80,H80),0),0)</ns0:f>
        <ns0:v>0</ns0:v>
      </ns0:c>
      <ns0:c r="J80" s="0">
        <ns0:f>IFERROR(IF(ISNUMBER(Bookings!B80),IF(AND(Bookings!B80=INT(Bookings!B80),Bookings!B80&gt;=DATE(2000,1,1),Bookings!B80&lt;=DATE(2100,12,31)),Bookings!B80,0),IF(AND(A80&lt;&gt;"",LEN("x"&amp;B80)-LEN(SUBSTITUTE("x"&amp;B80,".",""))=2,OR(1&gt;LEN(B80),MID(B80,1,1)=".",ISNUMBER(FIND("x"&amp;MID(B80,1,1),"x0x1x2x3x4x5x6x7x8x9"))),OR(2&gt;LEN(B80),MID(B80,2,1)=".",ISNUMBER(FIND("x"&amp;MID(B80,2,1),"x0x1x2x3x4x5x6x7x8x9"))),OR(3&gt;LEN(B80),MID(B80,3,1)=".",ISNUMBER(FIND("x"&amp;MID(B80,3,1),"x0x1x2x3x4x5x6x7x8x9"))),OR(4&gt;LEN(B80),MID(B80,4,1)=".",ISNUMBER(FIND("x"&amp;MID(B80,4,1),"x0x1x2x3x4x5x6x7x8x9"))),OR(5&gt;LEN(B80),MID(B80,5,1)=".",ISNUMBER(FIND("x"&amp;MID(B80,5,1),"x0x1x2x3x4x5x6x7x8x9"))),OR(6&gt;LEN(B80),MID(B80,6,1)=".",ISNUMBER(FIND("x"&amp;MID(B80,6,1),"x0x1x2x3x4x5x6x7x8x9"))),OR(7&gt;LEN(B80),MID(B80,7,1)=".",ISNUMBER(FIND("x"&amp;MID(B80,7,1),"x0x1x2x3x4x5x6x7x8x9"))),OR(8&gt;LEN(B80),MID(B80,8,1)=".",ISNUMBER(FIND("x"&amp;MID(B80,8,1),"x0x1x2x3x4x5x6x7x8x9"))),OR(9&gt;LEN(B80),MID(B80,9,1)=".",ISNUMBER(FIND("x"&amp;MID(B80,9,1),"x0x1x2x3x4x5x6x7x8x9"))),OR(10&gt;LEN(B80),MID(B80,10,1)=".",ISNUMBER(FIND("x"&amp;MID(B80,10,1),"x0x1x2x3x4x5x6x7x8x9"))),OR(AND(FIND(".",B80)=5,LEN(B80)-FIND(".",B80,FIND(".",B80)+1)&gt;=1,LEN(B80)-FIND(".",B80,FIND(".",B80)+1)&lt;=2),AND(LEN(B80)-FIND(".",B80,FIND(".",B80)+1)=4,FIND(".",B80)&gt;=2,FIND(".",B80)&lt;=3)),FIND(".",B80,FIND(".",B80)+1)-FIND(".",B80)&gt;=2,FIND(".",B80,FIND(".",B80)+1)-FIND(".",B80)&lt;=3,F80&gt;=2000,F80&lt;=2100,YEAR(I80)=F80,MONTH(I80)=G80,DAY(I80)=H80),I80,0)),0)</ns0:f>
        <ns0:v>0</ns0:v>
      </ns0:c>
      <ns0:c r="K80" s="0">
        <ns0:f>IFERROR(IF(ISNUMBER(Bookings!D80),"",TRIM(Bookings!D80&amp;"")),"")</ns0:f>
      </ns0:c>
      <ns0:c r="L80" s="0">
        <ns0:f>IFERROR(SUBSTITUTE(SUBSTITUTE(K80,"/","."),"-","."),"")</ns0:f>
      </ns0:c>
      <ns0:c r="M80" s="0">
        <ns0:f>IFERROR(LEFT(L80,FIND(".",L80)-1),"")</ns0:f>
      </ns0:c>
      <ns0:c r="N80" s="0">
        <ns0:f>IFERROR(MID(L80,FIND(".",L80)+1,FIND(".",L80,FIND(".",L80)+1)-FIND(".",L80)-1),"")</ns0:f>
      </ns0:c>
      <ns0:c r="O80" s="0">
        <ns0:f>IFERROR(MID(L80,FIND(".",L80,FIND(".",L80)+1)+1,99),"")</ns0:f>
        <ns0:v>99</ns0:v>
      </ns0:c>
      <ns0:c r="P80" s="0">
        <ns0:f>IFERROR(IF(FIND(".",L80)=5,--M80,--O80),0)</ns0:f>
        <ns0:v>0</ns0:v>
      </ns0:c>
      <ns0:c r="Q80" s="0">
        <ns0:f>IFERROR(--N80,0)</ns0:f>
        <ns0:v>0</ns0:v>
      </ns0:c>
      <ns0:c r="R80" s="0">
        <ns0:f>IFERROR(IF(FIND(".",L80)=5,--O80,--M80),0)</ns0:f>
        <ns0:v>0</ns0:v>
      </ns0:c>
      <ns0:c r="S80" s="0">
        <ns0:f>IFERROR(IF(AND(P80&gt;=2000,P80&lt;=2100,Q80&gt;=1,Q80&lt;=12,R80&gt;=1,R80&lt;=31),DATE(P80,Q80,R80),0),0)</ns0:f>
        <ns0:v>0</ns0:v>
      </ns0:c>
      <ns0:c r="T80" s="0">
        <ns0:f>IFERROR(IF(ISNUMBER(Bookings!D80),IF(AND(Bookings!D80=INT(Bookings!D80),Bookings!D80&gt;=DATE(2000,1,1),Bookings!D80&lt;=DATE(2100,12,31)),Bookings!D80,0),IF(AND(K80&lt;&gt;"",LEN("x"&amp;L80)-LEN(SUBSTITUTE("x"&amp;L80,".",""))=2,OR(1&gt;LEN(L80),MID(L80,1,1)=".",ISNUMBER(FIND("x"&amp;MID(L80,1,1),"x0x1x2x3x4x5x6x7x8x9"))),OR(2&gt;LEN(L80),MID(L80,2,1)=".",ISNUMBER(FIND("x"&amp;MID(L80,2,1),"x0x1x2x3x4x5x6x7x8x9"))),OR(3&gt;LEN(L80),MID(L80,3,1)=".",ISNUMBER(FIND("x"&amp;MID(L80,3,1),"x0x1x2x3x4x5x6x7x8x9"))),OR(4&gt;LEN(L80),MID(L80,4,1)=".",ISNUMBER(FIND("x"&amp;MID(L80,4,1),"x0x1x2x3x4x5x6x7x8x9"))),OR(5&gt;LEN(L80),MID(L80,5,1)=".",ISNUMBER(FIND("x"&amp;MID(L80,5,1),"x0x1x2x3x4x5x6x7x8x9"))),OR(6&gt;LEN(L80),MID(L80,6,1)=".",ISNUMBER(FIND("x"&amp;MID(L80,6,1),"x0x1x2x3x4x5x6x7x8x9"))),OR(7&gt;LEN(L80),MID(L80,7,1)=".",ISNUMBER(FIND("x"&amp;MID(L80,7,1),"x0x1x2x3x4x5x6x7x8x9"))),OR(8&gt;LEN(L80),MID(L80,8,1)=".",ISNUMBER(FIND("x"&amp;MID(L80,8,1),"x0x1x2x3x4x5x6x7x8x9"))),OR(9&gt;LEN(L80),MID(L80,9,1)=".",ISNUMBER(FIND("x"&amp;MID(L80,9,1),"x0x1x2x3x4x5x6x7x8x9"))),OR(10&gt;LEN(L80),MID(L80,10,1)=".",ISNUMBER(FIND("x"&amp;MID(L80,10,1),"x0x1x2x3x4x5x6x7x8x9"))),OR(AND(FIND(".",L80)=5,LEN(L80)-FIND(".",L80,FIND(".",L80)+1)&gt;=1,LEN(L80)-FIND(".",L80,FIND(".",L80)+1)&lt;=2),AND(LEN(L80)-FIND(".",L80,FIND(".",L80)+1)=4,FIND(".",L80)&gt;=2,FIND(".",L80)&lt;=3)),FIND(".",L80,FIND(".",L80)+1)-FIND(".",L80)&gt;=2,FIND(".",L80,FIND(".",L80)+1)-FIND(".",L80)&lt;=3,P80&gt;=2000,P80&lt;=2100,YEAR(S80)=P80,MONTH(S80)=Q80,DAY(S80)=R80),S80,0)),0)</ns0:f>
        <ns0:v>0</ns0:v>
      </ns0:c>
      <ns0:c r="U80" s="0" t="str">
        <ns0:f>IF(Bookings!C80="","Full day",Bookings!C80)</ns0:f>
        <ns0:v>Full day</ns0:v>
      </ns0:c>
      <ns0:c r="V80" s="0" t="str">
        <ns0:f>IF(Bookings!E80="","Full day",Bookings!E80)</ns0:f>
        <ns0:v>Full day</ns0:v>
      </ns0:c>
      <ns0:c r="W80" s="0">
        <ns0:f>IF(J80=0,0,J80+IF(U80="PM",1,0))</ns0:f>
        <ns0:v>0</ns0:v>
      </ns0:c>
      <ns0:c r="X80" s="0">
        <ns0:f>IF(T80=0,0,T80-IF(V80="PM",1,0))</ns0:f>
        <ns0:v>0</ns0:v>
      </ns0:c>
      <ns0:c r="Y80" s="0">
        <ns0:f>IF(J80=0,0,J80+IF(U80="AM",1,0))</ns0:f>
        <ns0:v>0</ns0:v>
      </ns0:c>
      <ns0:c r="Z80" s="0">
        <ns0:f>IF(T80=0,0,T80-IF(V80="AM",1,0))</ns0:f>
        <ns0:v>0</ns0:v>
      </ns0:c>
      <ns0:c r="AA80" s="0">
        <ns0:f>IFERROR(IF(AND(J80&gt;0,'_Engine'!C80&gt;0,MID('_Engine'!W80,WEEKDAY(J80,2),1)="W",COUNTIF(Settings!$F$18:$F$67,J80)=0),1,0),0)</ns0:f>
        <ns0:v>0</ns0:v>
      </ns0:c>
      <ns0:c r="AB80" s="0">
        <ns0:f>IFERROR(IF(AND(T80&gt;0,'_Engine'!C80&gt;0,MID('_Engine'!W80,WEEKDAY(T80,2),1)="W",COUNTIF(Settings!$F$18:$F$67,T80)=0),1,0),0)</ns0:f>
        <ns0:v>0</ns0:v>
      </ns0:c>
      <ns0:c r="AC80" s="0">
        <ns0:f>IF(AND(J80&gt;0,T80&gt;0,W80&lt;=X80),1,0)</ns0:f>
        <ns0:v>0</ns0:v>
      </ns0:c>
      <ns0:c r="AD80" s="0">
        <ns0:f>IF(AND(J80&gt;0,T80&gt;0,Y80&lt;=Z80),1,0)</ns0:f>
        <ns0:v>0</ns0:v>
      </ns0:c>
    </ns0:row>
    <ns0:row r="81">
      <ns0:c r="A81" s="0">
        <ns0:f>IFERROR(IF(ISNUMBER(Bookings!B81),"",TRIM(Bookings!B81&amp;"")),"")</ns0:f>
      </ns0:c>
      <ns0:c r="B81" s="0">
        <ns0:f>IFERROR(SUBSTITUTE(SUBSTITUTE(A81,"/","."),"-","."),"")</ns0:f>
      </ns0:c>
      <ns0:c r="C81" s="0">
        <ns0:f>IFERROR(LEFT(B81,FIND(".",B81)-1),"")</ns0:f>
      </ns0:c>
      <ns0:c r="D81" s="0">
        <ns0:f>IFERROR(MID(B81,FIND(".",B81)+1,FIND(".",B81,FIND(".",B81)+1)-FIND(".",B81)-1),"")</ns0:f>
      </ns0:c>
      <ns0:c r="E81" s="0">
        <ns0:f>IFERROR(MID(B81,FIND(".",B81,FIND(".",B81)+1)+1,99),"")</ns0:f>
        <ns0:v>99</ns0:v>
      </ns0:c>
      <ns0:c r="F81" s="0">
        <ns0:f>IFERROR(IF(FIND(".",B81)=5,--C81,--E81),0)</ns0:f>
        <ns0:v>0</ns0:v>
      </ns0:c>
      <ns0:c r="G81" s="0">
        <ns0:f>IFERROR(--D81,0)</ns0:f>
        <ns0:v>0</ns0:v>
      </ns0:c>
      <ns0:c r="H81" s="0">
        <ns0:f>IFERROR(IF(FIND(".",B81)=5,--E81,--C81),0)</ns0:f>
        <ns0:v>0</ns0:v>
      </ns0:c>
      <ns0:c r="I81" s="0">
        <ns0:f>IFERROR(IF(AND(F81&gt;=2000,F81&lt;=2100,G81&gt;=1,G81&lt;=12,H81&gt;=1,H81&lt;=31),DATE(F81,G81,H81),0),0)</ns0:f>
        <ns0:v>0</ns0:v>
      </ns0:c>
      <ns0:c r="J81" s="0">
        <ns0:f>IFERROR(IF(ISNUMBER(Bookings!B81),IF(AND(Bookings!B81=INT(Bookings!B81),Bookings!B81&gt;=DATE(2000,1,1),Bookings!B81&lt;=DATE(2100,12,31)),Bookings!B81,0),IF(AND(A81&lt;&gt;"",LEN("x"&amp;B81)-LEN(SUBSTITUTE("x"&amp;B81,".",""))=2,OR(1&gt;LEN(B81),MID(B81,1,1)=".",ISNUMBER(FIND("x"&amp;MID(B81,1,1),"x0x1x2x3x4x5x6x7x8x9"))),OR(2&gt;LEN(B81),MID(B81,2,1)=".",ISNUMBER(FIND("x"&amp;MID(B81,2,1),"x0x1x2x3x4x5x6x7x8x9"))),OR(3&gt;LEN(B81),MID(B81,3,1)=".",ISNUMBER(FIND("x"&amp;MID(B81,3,1),"x0x1x2x3x4x5x6x7x8x9"))),OR(4&gt;LEN(B81),MID(B81,4,1)=".",ISNUMBER(FIND("x"&amp;MID(B81,4,1),"x0x1x2x3x4x5x6x7x8x9"))),OR(5&gt;LEN(B81),MID(B81,5,1)=".",ISNUMBER(FIND("x"&amp;MID(B81,5,1),"x0x1x2x3x4x5x6x7x8x9"))),OR(6&gt;LEN(B81),MID(B81,6,1)=".",ISNUMBER(FIND("x"&amp;MID(B81,6,1),"x0x1x2x3x4x5x6x7x8x9"))),OR(7&gt;LEN(B81),MID(B81,7,1)=".",ISNUMBER(FIND("x"&amp;MID(B81,7,1),"x0x1x2x3x4x5x6x7x8x9"))),OR(8&gt;LEN(B81),MID(B81,8,1)=".",ISNUMBER(FIND("x"&amp;MID(B81,8,1),"x0x1x2x3x4x5x6x7x8x9"))),OR(9&gt;LEN(B81),MID(B81,9,1)=".",ISNUMBER(FIND("x"&amp;MID(B81,9,1),"x0x1x2x3x4x5x6x7x8x9"))),OR(10&gt;LEN(B81),MID(B81,10,1)=".",ISNUMBER(FIND("x"&amp;MID(B81,10,1),"x0x1x2x3x4x5x6x7x8x9"))),OR(AND(FIND(".",B81)=5,LEN(B81)-FIND(".",B81,FIND(".",B81)+1)&gt;=1,LEN(B81)-FIND(".",B81,FIND(".",B81)+1)&lt;=2),AND(LEN(B81)-FIND(".",B81,FIND(".",B81)+1)=4,FIND(".",B81)&gt;=2,FIND(".",B81)&lt;=3)),FIND(".",B81,FIND(".",B81)+1)-FIND(".",B81)&gt;=2,FIND(".",B81,FIND(".",B81)+1)-FIND(".",B81)&lt;=3,F81&gt;=2000,F81&lt;=2100,YEAR(I81)=F81,MONTH(I81)=G81,DAY(I81)=H81),I81,0)),0)</ns0:f>
        <ns0:v>0</ns0:v>
      </ns0:c>
      <ns0:c r="K81" s="0">
        <ns0:f>IFERROR(IF(ISNUMBER(Bookings!D81),"",TRIM(Bookings!D81&amp;"")),"")</ns0:f>
      </ns0:c>
      <ns0:c r="L81" s="0">
        <ns0:f>IFERROR(SUBSTITUTE(SUBSTITUTE(K81,"/","."),"-","."),"")</ns0:f>
      </ns0:c>
      <ns0:c r="M81" s="0">
        <ns0:f>IFERROR(LEFT(L81,FIND(".",L81)-1),"")</ns0:f>
      </ns0:c>
      <ns0:c r="N81" s="0">
        <ns0:f>IFERROR(MID(L81,FIND(".",L81)+1,FIND(".",L81,FIND(".",L81)+1)-FIND(".",L81)-1),"")</ns0:f>
      </ns0:c>
      <ns0:c r="O81" s="0">
        <ns0:f>IFERROR(MID(L81,FIND(".",L81,FIND(".",L81)+1)+1,99),"")</ns0:f>
        <ns0:v>99</ns0:v>
      </ns0:c>
      <ns0:c r="P81" s="0">
        <ns0:f>IFERROR(IF(FIND(".",L81)=5,--M81,--O81),0)</ns0:f>
        <ns0:v>0</ns0:v>
      </ns0:c>
      <ns0:c r="Q81" s="0">
        <ns0:f>IFERROR(--N81,0)</ns0:f>
        <ns0:v>0</ns0:v>
      </ns0:c>
      <ns0:c r="R81" s="0">
        <ns0:f>IFERROR(IF(FIND(".",L81)=5,--O81,--M81),0)</ns0:f>
        <ns0:v>0</ns0:v>
      </ns0:c>
      <ns0:c r="S81" s="0">
        <ns0:f>IFERROR(IF(AND(P81&gt;=2000,P81&lt;=2100,Q81&gt;=1,Q81&lt;=12,R81&gt;=1,R81&lt;=31),DATE(P81,Q81,R81),0),0)</ns0:f>
        <ns0:v>0</ns0:v>
      </ns0:c>
      <ns0:c r="T81" s="0">
        <ns0:f>IFERROR(IF(ISNUMBER(Bookings!D81),IF(AND(Bookings!D81=INT(Bookings!D81),Bookings!D81&gt;=DATE(2000,1,1),Bookings!D81&lt;=DATE(2100,12,31)),Bookings!D81,0),IF(AND(K81&lt;&gt;"",LEN("x"&amp;L81)-LEN(SUBSTITUTE("x"&amp;L81,".",""))=2,OR(1&gt;LEN(L81),MID(L81,1,1)=".",ISNUMBER(FIND("x"&amp;MID(L81,1,1),"x0x1x2x3x4x5x6x7x8x9"))),OR(2&gt;LEN(L81),MID(L81,2,1)=".",ISNUMBER(FIND("x"&amp;MID(L81,2,1),"x0x1x2x3x4x5x6x7x8x9"))),OR(3&gt;LEN(L81),MID(L81,3,1)=".",ISNUMBER(FIND("x"&amp;MID(L81,3,1),"x0x1x2x3x4x5x6x7x8x9"))),OR(4&gt;LEN(L81),MID(L81,4,1)=".",ISNUMBER(FIND("x"&amp;MID(L81,4,1),"x0x1x2x3x4x5x6x7x8x9"))),OR(5&gt;LEN(L81),MID(L81,5,1)=".",ISNUMBER(FIND("x"&amp;MID(L81,5,1),"x0x1x2x3x4x5x6x7x8x9"))),OR(6&gt;LEN(L81),MID(L81,6,1)=".",ISNUMBER(FIND("x"&amp;MID(L81,6,1),"x0x1x2x3x4x5x6x7x8x9"))),OR(7&gt;LEN(L81),MID(L81,7,1)=".",ISNUMBER(FIND("x"&amp;MID(L81,7,1),"x0x1x2x3x4x5x6x7x8x9"))),OR(8&gt;LEN(L81),MID(L81,8,1)=".",ISNUMBER(FIND("x"&amp;MID(L81,8,1),"x0x1x2x3x4x5x6x7x8x9"))),OR(9&gt;LEN(L81),MID(L81,9,1)=".",ISNUMBER(FIND("x"&amp;MID(L81,9,1),"x0x1x2x3x4x5x6x7x8x9"))),OR(10&gt;LEN(L81),MID(L81,10,1)=".",ISNUMBER(FIND("x"&amp;MID(L81,10,1),"x0x1x2x3x4x5x6x7x8x9"))),OR(AND(FIND(".",L81)=5,LEN(L81)-FIND(".",L81,FIND(".",L81)+1)&gt;=1,LEN(L81)-FIND(".",L81,FIND(".",L81)+1)&lt;=2),AND(LEN(L81)-FIND(".",L81,FIND(".",L81)+1)=4,FIND(".",L81)&gt;=2,FIND(".",L81)&lt;=3)),FIND(".",L81,FIND(".",L81)+1)-FIND(".",L81)&gt;=2,FIND(".",L81,FIND(".",L81)+1)-FIND(".",L81)&lt;=3,P81&gt;=2000,P81&lt;=2100,YEAR(S81)=P81,MONTH(S81)=Q81,DAY(S81)=R81),S81,0)),0)</ns0:f>
        <ns0:v>0</ns0:v>
      </ns0:c>
      <ns0:c r="U81" s="0" t="str">
        <ns0:f>IF(Bookings!C81="","Full day",Bookings!C81)</ns0:f>
        <ns0:v>Full day</ns0:v>
      </ns0:c>
      <ns0:c r="V81" s="0" t="str">
        <ns0:f>IF(Bookings!E81="","Full day",Bookings!E81)</ns0:f>
        <ns0:v>Full day</ns0:v>
      </ns0:c>
      <ns0:c r="W81" s="0">
        <ns0:f>IF(J81=0,0,J81+IF(U81="PM",1,0))</ns0:f>
        <ns0:v>0</ns0:v>
      </ns0:c>
      <ns0:c r="X81" s="0">
        <ns0:f>IF(T81=0,0,T81-IF(V81="PM",1,0))</ns0:f>
        <ns0:v>0</ns0:v>
      </ns0:c>
      <ns0:c r="Y81" s="0">
        <ns0:f>IF(J81=0,0,J81+IF(U81="AM",1,0))</ns0:f>
        <ns0:v>0</ns0:v>
      </ns0:c>
      <ns0:c r="Z81" s="0">
        <ns0:f>IF(T81=0,0,T81-IF(V81="AM",1,0))</ns0:f>
        <ns0:v>0</ns0:v>
      </ns0:c>
      <ns0:c r="AA81" s="0">
        <ns0:f>IFERROR(IF(AND(J81&gt;0,'_Engine'!C81&gt;0,MID('_Engine'!W81,WEEKDAY(J81,2),1)="W",COUNTIF(Settings!$F$18:$F$67,J81)=0),1,0),0)</ns0:f>
        <ns0:v>0</ns0:v>
      </ns0:c>
      <ns0:c r="AB81" s="0">
        <ns0:f>IFERROR(IF(AND(T81&gt;0,'_Engine'!C81&gt;0,MID('_Engine'!W81,WEEKDAY(T81,2),1)="W",COUNTIF(Settings!$F$18:$F$67,T81)=0),1,0),0)</ns0:f>
        <ns0:v>0</ns0:v>
      </ns0:c>
      <ns0:c r="AC81" s="0">
        <ns0:f>IF(AND(J81&gt;0,T81&gt;0,W81&lt;=X81),1,0)</ns0:f>
        <ns0:v>0</ns0:v>
      </ns0:c>
      <ns0:c r="AD81" s="0">
        <ns0:f>IF(AND(J81&gt;0,T81&gt;0,Y81&lt;=Z81),1,0)</ns0:f>
        <ns0:v>0</ns0:v>
      </ns0:c>
    </ns0:row>
    <ns0:row r="82">
      <ns0:c r="A82" s="0">
        <ns0:f>IFERROR(IF(ISNUMBER(Bookings!B82),"",TRIM(Bookings!B82&amp;"")),"")</ns0:f>
      </ns0:c>
      <ns0:c r="B82" s="0">
        <ns0:f>IFERROR(SUBSTITUTE(SUBSTITUTE(A82,"/","."),"-","."),"")</ns0:f>
      </ns0:c>
      <ns0:c r="C82" s="0">
        <ns0:f>IFERROR(LEFT(B82,FIND(".",B82)-1),"")</ns0:f>
      </ns0:c>
      <ns0:c r="D82" s="0">
        <ns0:f>IFERROR(MID(B82,FIND(".",B82)+1,FIND(".",B82,FIND(".",B82)+1)-FIND(".",B82)-1),"")</ns0:f>
      </ns0:c>
      <ns0:c r="E82" s="0">
        <ns0:f>IFERROR(MID(B82,FIND(".",B82,FIND(".",B82)+1)+1,99),"")</ns0:f>
        <ns0:v>99</ns0:v>
      </ns0:c>
      <ns0:c r="F82" s="0">
        <ns0:f>IFERROR(IF(FIND(".",B82)=5,--C82,--E82),0)</ns0:f>
        <ns0:v>0</ns0:v>
      </ns0:c>
      <ns0:c r="G82" s="0">
        <ns0:f>IFERROR(--D82,0)</ns0:f>
        <ns0:v>0</ns0:v>
      </ns0:c>
      <ns0:c r="H82" s="0">
        <ns0:f>IFERROR(IF(FIND(".",B82)=5,--E82,--C82),0)</ns0:f>
        <ns0:v>0</ns0:v>
      </ns0:c>
      <ns0:c r="I82" s="0">
        <ns0:f>IFERROR(IF(AND(F82&gt;=2000,F82&lt;=2100,G82&gt;=1,G82&lt;=12,H82&gt;=1,H82&lt;=31),DATE(F82,G82,H82),0),0)</ns0:f>
        <ns0:v>0</ns0:v>
      </ns0:c>
      <ns0:c r="J82" s="0">
        <ns0:f>IFERROR(IF(ISNUMBER(Bookings!B82),IF(AND(Bookings!B82=INT(Bookings!B82),Bookings!B82&gt;=DATE(2000,1,1),Bookings!B82&lt;=DATE(2100,12,31)),Bookings!B82,0),IF(AND(A82&lt;&gt;"",LEN("x"&amp;B82)-LEN(SUBSTITUTE("x"&amp;B82,".",""))=2,OR(1&gt;LEN(B82),MID(B82,1,1)=".",ISNUMBER(FIND("x"&amp;MID(B82,1,1),"x0x1x2x3x4x5x6x7x8x9"))),OR(2&gt;LEN(B82),MID(B82,2,1)=".",ISNUMBER(FIND("x"&amp;MID(B82,2,1),"x0x1x2x3x4x5x6x7x8x9"))),OR(3&gt;LEN(B82),MID(B82,3,1)=".",ISNUMBER(FIND("x"&amp;MID(B82,3,1),"x0x1x2x3x4x5x6x7x8x9"))),OR(4&gt;LEN(B82),MID(B82,4,1)=".",ISNUMBER(FIND("x"&amp;MID(B82,4,1),"x0x1x2x3x4x5x6x7x8x9"))),OR(5&gt;LEN(B82),MID(B82,5,1)=".",ISNUMBER(FIND("x"&amp;MID(B82,5,1),"x0x1x2x3x4x5x6x7x8x9"))),OR(6&gt;LEN(B82),MID(B82,6,1)=".",ISNUMBER(FIND("x"&amp;MID(B82,6,1),"x0x1x2x3x4x5x6x7x8x9"))),OR(7&gt;LEN(B82),MID(B82,7,1)=".",ISNUMBER(FIND("x"&amp;MID(B82,7,1),"x0x1x2x3x4x5x6x7x8x9"))),OR(8&gt;LEN(B82),MID(B82,8,1)=".",ISNUMBER(FIND("x"&amp;MID(B82,8,1),"x0x1x2x3x4x5x6x7x8x9"))),OR(9&gt;LEN(B82),MID(B82,9,1)=".",ISNUMBER(FIND("x"&amp;MID(B82,9,1),"x0x1x2x3x4x5x6x7x8x9"))),OR(10&gt;LEN(B82),MID(B82,10,1)=".",ISNUMBER(FIND("x"&amp;MID(B82,10,1),"x0x1x2x3x4x5x6x7x8x9"))),OR(AND(FIND(".",B82)=5,LEN(B82)-FIND(".",B82,FIND(".",B82)+1)&gt;=1,LEN(B82)-FIND(".",B82,FIND(".",B82)+1)&lt;=2),AND(LEN(B82)-FIND(".",B82,FIND(".",B82)+1)=4,FIND(".",B82)&gt;=2,FIND(".",B82)&lt;=3)),FIND(".",B82,FIND(".",B82)+1)-FIND(".",B82)&gt;=2,FIND(".",B82,FIND(".",B82)+1)-FIND(".",B82)&lt;=3,F82&gt;=2000,F82&lt;=2100,YEAR(I82)=F82,MONTH(I82)=G82,DAY(I82)=H82),I82,0)),0)</ns0:f>
        <ns0:v>0</ns0:v>
      </ns0:c>
      <ns0:c r="K82" s="0">
        <ns0:f>IFERROR(IF(ISNUMBER(Bookings!D82),"",TRIM(Bookings!D82&amp;"")),"")</ns0:f>
      </ns0:c>
      <ns0:c r="L82" s="0">
        <ns0:f>IFERROR(SUBSTITUTE(SUBSTITUTE(K82,"/","."),"-","."),"")</ns0:f>
      </ns0:c>
      <ns0:c r="M82" s="0">
        <ns0:f>IFERROR(LEFT(L82,FIND(".",L82)-1),"")</ns0:f>
      </ns0:c>
      <ns0:c r="N82" s="0">
        <ns0:f>IFERROR(MID(L82,FIND(".",L82)+1,FIND(".",L82,FIND(".",L82)+1)-FIND(".",L82)-1),"")</ns0:f>
      </ns0:c>
      <ns0:c r="O82" s="0">
        <ns0:f>IFERROR(MID(L82,FIND(".",L82,FIND(".",L82)+1)+1,99),"")</ns0:f>
        <ns0:v>99</ns0:v>
      </ns0:c>
      <ns0:c r="P82" s="0">
        <ns0:f>IFERROR(IF(FIND(".",L82)=5,--M82,--O82),0)</ns0:f>
        <ns0:v>0</ns0:v>
      </ns0:c>
      <ns0:c r="Q82" s="0">
        <ns0:f>IFERROR(--N82,0)</ns0:f>
        <ns0:v>0</ns0:v>
      </ns0:c>
      <ns0:c r="R82" s="0">
        <ns0:f>IFERROR(IF(FIND(".",L82)=5,--O82,--M82),0)</ns0:f>
        <ns0:v>0</ns0:v>
      </ns0:c>
      <ns0:c r="S82" s="0">
        <ns0:f>IFERROR(IF(AND(P82&gt;=2000,P82&lt;=2100,Q82&gt;=1,Q82&lt;=12,R82&gt;=1,R82&lt;=31),DATE(P82,Q82,R82),0),0)</ns0:f>
        <ns0:v>0</ns0:v>
      </ns0:c>
      <ns0:c r="T82" s="0">
        <ns0:f>IFERROR(IF(ISNUMBER(Bookings!D82),IF(AND(Bookings!D82=INT(Bookings!D82),Bookings!D82&gt;=DATE(2000,1,1),Bookings!D82&lt;=DATE(2100,12,31)),Bookings!D82,0),IF(AND(K82&lt;&gt;"",LEN("x"&amp;L82)-LEN(SUBSTITUTE("x"&amp;L82,".",""))=2,OR(1&gt;LEN(L82),MID(L82,1,1)=".",ISNUMBER(FIND("x"&amp;MID(L82,1,1),"x0x1x2x3x4x5x6x7x8x9"))),OR(2&gt;LEN(L82),MID(L82,2,1)=".",ISNUMBER(FIND("x"&amp;MID(L82,2,1),"x0x1x2x3x4x5x6x7x8x9"))),OR(3&gt;LEN(L82),MID(L82,3,1)=".",ISNUMBER(FIND("x"&amp;MID(L82,3,1),"x0x1x2x3x4x5x6x7x8x9"))),OR(4&gt;LEN(L82),MID(L82,4,1)=".",ISNUMBER(FIND("x"&amp;MID(L82,4,1),"x0x1x2x3x4x5x6x7x8x9"))),OR(5&gt;LEN(L82),MID(L82,5,1)=".",ISNUMBER(FIND("x"&amp;MID(L82,5,1),"x0x1x2x3x4x5x6x7x8x9"))),OR(6&gt;LEN(L82),MID(L82,6,1)=".",ISNUMBER(FIND("x"&amp;MID(L82,6,1),"x0x1x2x3x4x5x6x7x8x9"))),OR(7&gt;LEN(L82),MID(L82,7,1)=".",ISNUMBER(FIND("x"&amp;MID(L82,7,1),"x0x1x2x3x4x5x6x7x8x9"))),OR(8&gt;LEN(L82),MID(L82,8,1)=".",ISNUMBER(FIND("x"&amp;MID(L82,8,1),"x0x1x2x3x4x5x6x7x8x9"))),OR(9&gt;LEN(L82),MID(L82,9,1)=".",ISNUMBER(FIND("x"&amp;MID(L82,9,1),"x0x1x2x3x4x5x6x7x8x9"))),OR(10&gt;LEN(L82),MID(L82,10,1)=".",ISNUMBER(FIND("x"&amp;MID(L82,10,1),"x0x1x2x3x4x5x6x7x8x9"))),OR(AND(FIND(".",L82)=5,LEN(L82)-FIND(".",L82,FIND(".",L82)+1)&gt;=1,LEN(L82)-FIND(".",L82,FIND(".",L82)+1)&lt;=2),AND(LEN(L82)-FIND(".",L82,FIND(".",L82)+1)=4,FIND(".",L82)&gt;=2,FIND(".",L82)&lt;=3)),FIND(".",L82,FIND(".",L82)+1)-FIND(".",L82)&gt;=2,FIND(".",L82,FIND(".",L82)+1)-FIND(".",L82)&lt;=3,P82&gt;=2000,P82&lt;=2100,YEAR(S82)=P82,MONTH(S82)=Q82,DAY(S82)=R82),S82,0)),0)</ns0:f>
        <ns0:v>0</ns0:v>
      </ns0:c>
      <ns0:c r="U82" s="0" t="str">
        <ns0:f>IF(Bookings!C82="","Full day",Bookings!C82)</ns0:f>
        <ns0:v>Full day</ns0:v>
      </ns0:c>
      <ns0:c r="V82" s="0" t="str">
        <ns0:f>IF(Bookings!E82="","Full day",Bookings!E82)</ns0:f>
        <ns0:v>Full day</ns0:v>
      </ns0:c>
      <ns0:c r="W82" s="0">
        <ns0:f>IF(J82=0,0,J82+IF(U82="PM",1,0))</ns0:f>
        <ns0:v>0</ns0:v>
      </ns0:c>
      <ns0:c r="X82" s="0">
        <ns0:f>IF(T82=0,0,T82-IF(V82="PM",1,0))</ns0:f>
        <ns0:v>0</ns0:v>
      </ns0:c>
      <ns0:c r="Y82" s="0">
        <ns0:f>IF(J82=0,0,J82+IF(U82="AM",1,0))</ns0:f>
        <ns0:v>0</ns0:v>
      </ns0:c>
      <ns0:c r="Z82" s="0">
        <ns0:f>IF(T82=0,0,T82-IF(V82="AM",1,0))</ns0:f>
        <ns0:v>0</ns0:v>
      </ns0:c>
      <ns0:c r="AA82" s="0">
        <ns0:f>IFERROR(IF(AND(J82&gt;0,'_Engine'!C82&gt;0,MID('_Engine'!W82,WEEKDAY(J82,2),1)="W",COUNTIF(Settings!$F$18:$F$67,J82)=0),1,0),0)</ns0:f>
        <ns0:v>0</ns0:v>
      </ns0:c>
      <ns0:c r="AB82" s="0">
        <ns0:f>IFERROR(IF(AND(T82&gt;0,'_Engine'!C82&gt;0,MID('_Engine'!W82,WEEKDAY(T82,2),1)="W",COUNTIF(Settings!$F$18:$F$67,T82)=0),1,0),0)</ns0:f>
        <ns0:v>0</ns0:v>
      </ns0:c>
      <ns0:c r="AC82" s="0">
        <ns0:f>IF(AND(J82&gt;0,T82&gt;0,W82&lt;=X82),1,0)</ns0:f>
        <ns0:v>0</ns0:v>
      </ns0:c>
      <ns0:c r="AD82" s="0">
        <ns0:f>IF(AND(J82&gt;0,T82&gt;0,Y82&lt;=Z82),1,0)</ns0:f>
        <ns0:v>0</ns0:v>
      </ns0:c>
    </ns0:row>
    <ns0:row r="83">
      <ns0:c r="A83" s="0">
        <ns0:f>IFERROR(IF(ISNUMBER(Bookings!B83),"",TRIM(Bookings!B83&amp;"")),"")</ns0:f>
      </ns0:c>
      <ns0:c r="B83" s="0">
        <ns0:f>IFERROR(SUBSTITUTE(SUBSTITUTE(A83,"/","."),"-","."),"")</ns0:f>
      </ns0:c>
      <ns0:c r="C83" s="0">
        <ns0:f>IFERROR(LEFT(B83,FIND(".",B83)-1),"")</ns0:f>
      </ns0:c>
      <ns0:c r="D83" s="0">
        <ns0:f>IFERROR(MID(B83,FIND(".",B83)+1,FIND(".",B83,FIND(".",B83)+1)-FIND(".",B83)-1),"")</ns0:f>
      </ns0:c>
      <ns0:c r="E83" s="0">
        <ns0:f>IFERROR(MID(B83,FIND(".",B83,FIND(".",B83)+1)+1,99),"")</ns0:f>
        <ns0:v>99</ns0:v>
      </ns0:c>
      <ns0:c r="F83" s="0">
        <ns0:f>IFERROR(IF(FIND(".",B83)=5,--C83,--E83),0)</ns0:f>
        <ns0:v>0</ns0:v>
      </ns0:c>
      <ns0:c r="G83" s="0">
        <ns0:f>IFERROR(--D83,0)</ns0:f>
        <ns0:v>0</ns0:v>
      </ns0:c>
      <ns0:c r="H83" s="0">
        <ns0:f>IFERROR(IF(FIND(".",B83)=5,--E83,--C83),0)</ns0:f>
        <ns0:v>0</ns0:v>
      </ns0:c>
      <ns0:c r="I83" s="0">
        <ns0:f>IFERROR(IF(AND(F83&gt;=2000,F83&lt;=2100,G83&gt;=1,G83&lt;=12,H83&gt;=1,H83&lt;=31),DATE(F83,G83,H83),0),0)</ns0:f>
        <ns0:v>0</ns0:v>
      </ns0:c>
      <ns0:c r="J83" s="0">
        <ns0:f>IFERROR(IF(ISNUMBER(Bookings!B83),IF(AND(Bookings!B83=INT(Bookings!B83),Bookings!B83&gt;=DATE(2000,1,1),Bookings!B83&lt;=DATE(2100,12,31)),Bookings!B83,0),IF(AND(A83&lt;&gt;"",LEN("x"&amp;B83)-LEN(SUBSTITUTE("x"&amp;B83,".",""))=2,OR(1&gt;LEN(B83),MID(B83,1,1)=".",ISNUMBER(FIND("x"&amp;MID(B83,1,1),"x0x1x2x3x4x5x6x7x8x9"))),OR(2&gt;LEN(B83),MID(B83,2,1)=".",ISNUMBER(FIND("x"&amp;MID(B83,2,1),"x0x1x2x3x4x5x6x7x8x9"))),OR(3&gt;LEN(B83),MID(B83,3,1)=".",ISNUMBER(FIND("x"&amp;MID(B83,3,1),"x0x1x2x3x4x5x6x7x8x9"))),OR(4&gt;LEN(B83),MID(B83,4,1)=".",ISNUMBER(FIND("x"&amp;MID(B83,4,1),"x0x1x2x3x4x5x6x7x8x9"))),OR(5&gt;LEN(B83),MID(B83,5,1)=".",ISNUMBER(FIND("x"&amp;MID(B83,5,1),"x0x1x2x3x4x5x6x7x8x9"))),OR(6&gt;LEN(B83),MID(B83,6,1)=".",ISNUMBER(FIND("x"&amp;MID(B83,6,1),"x0x1x2x3x4x5x6x7x8x9"))),OR(7&gt;LEN(B83),MID(B83,7,1)=".",ISNUMBER(FIND("x"&amp;MID(B83,7,1),"x0x1x2x3x4x5x6x7x8x9"))),OR(8&gt;LEN(B83),MID(B83,8,1)=".",ISNUMBER(FIND("x"&amp;MID(B83,8,1),"x0x1x2x3x4x5x6x7x8x9"))),OR(9&gt;LEN(B83),MID(B83,9,1)=".",ISNUMBER(FIND("x"&amp;MID(B83,9,1),"x0x1x2x3x4x5x6x7x8x9"))),OR(10&gt;LEN(B83),MID(B83,10,1)=".",ISNUMBER(FIND("x"&amp;MID(B83,10,1),"x0x1x2x3x4x5x6x7x8x9"))),OR(AND(FIND(".",B83)=5,LEN(B83)-FIND(".",B83,FIND(".",B83)+1)&gt;=1,LEN(B83)-FIND(".",B83,FIND(".",B83)+1)&lt;=2),AND(LEN(B83)-FIND(".",B83,FIND(".",B83)+1)=4,FIND(".",B83)&gt;=2,FIND(".",B83)&lt;=3)),FIND(".",B83,FIND(".",B83)+1)-FIND(".",B83)&gt;=2,FIND(".",B83,FIND(".",B83)+1)-FIND(".",B83)&lt;=3,F83&gt;=2000,F83&lt;=2100,YEAR(I83)=F83,MONTH(I83)=G83,DAY(I83)=H83),I83,0)),0)</ns0:f>
        <ns0:v>0</ns0:v>
      </ns0:c>
      <ns0:c r="K83" s="0">
        <ns0:f>IFERROR(IF(ISNUMBER(Bookings!D83),"",TRIM(Bookings!D83&amp;"")),"")</ns0:f>
      </ns0:c>
      <ns0:c r="L83" s="0">
        <ns0:f>IFERROR(SUBSTITUTE(SUBSTITUTE(K83,"/","."),"-","."),"")</ns0:f>
      </ns0:c>
      <ns0:c r="M83" s="0">
        <ns0:f>IFERROR(LEFT(L83,FIND(".",L83)-1),"")</ns0:f>
      </ns0:c>
      <ns0:c r="N83" s="0">
        <ns0:f>IFERROR(MID(L83,FIND(".",L83)+1,FIND(".",L83,FIND(".",L83)+1)-FIND(".",L83)-1),"")</ns0:f>
      </ns0:c>
      <ns0:c r="O83" s="0">
        <ns0:f>IFERROR(MID(L83,FIND(".",L83,FIND(".",L83)+1)+1,99),"")</ns0:f>
        <ns0:v>99</ns0:v>
      </ns0:c>
      <ns0:c r="P83" s="0">
        <ns0:f>IFERROR(IF(FIND(".",L83)=5,--M83,--O83),0)</ns0:f>
        <ns0:v>0</ns0:v>
      </ns0:c>
      <ns0:c r="Q83" s="0">
        <ns0:f>IFERROR(--N83,0)</ns0:f>
        <ns0:v>0</ns0:v>
      </ns0:c>
      <ns0:c r="R83" s="0">
        <ns0:f>IFERROR(IF(FIND(".",L83)=5,--O83,--M83),0)</ns0:f>
        <ns0:v>0</ns0:v>
      </ns0:c>
      <ns0:c r="S83" s="0">
        <ns0:f>IFERROR(IF(AND(P83&gt;=2000,P83&lt;=2100,Q83&gt;=1,Q83&lt;=12,R83&gt;=1,R83&lt;=31),DATE(P83,Q83,R83),0),0)</ns0:f>
        <ns0:v>0</ns0:v>
      </ns0:c>
      <ns0:c r="T83" s="0">
        <ns0:f>IFERROR(IF(ISNUMBER(Bookings!D83),IF(AND(Bookings!D83=INT(Bookings!D83),Bookings!D83&gt;=DATE(2000,1,1),Bookings!D83&lt;=DATE(2100,12,31)),Bookings!D83,0),IF(AND(K83&lt;&gt;"",LEN("x"&amp;L83)-LEN(SUBSTITUTE("x"&amp;L83,".",""))=2,OR(1&gt;LEN(L83),MID(L83,1,1)=".",ISNUMBER(FIND("x"&amp;MID(L83,1,1),"x0x1x2x3x4x5x6x7x8x9"))),OR(2&gt;LEN(L83),MID(L83,2,1)=".",ISNUMBER(FIND("x"&amp;MID(L83,2,1),"x0x1x2x3x4x5x6x7x8x9"))),OR(3&gt;LEN(L83),MID(L83,3,1)=".",ISNUMBER(FIND("x"&amp;MID(L83,3,1),"x0x1x2x3x4x5x6x7x8x9"))),OR(4&gt;LEN(L83),MID(L83,4,1)=".",ISNUMBER(FIND("x"&amp;MID(L83,4,1),"x0x1x2x3x4x5x6x7x8x9"))),OR(5&gt;LEN(L83),MID(L83,5,1)=".",ISNUMBER(FIND("x"&amp;MID(L83,5,1),"x0x1x2x3x4x5x6x7x8x9"))),OR(6&gt;LEN(L83),MID(L83,6,1)=".",ISNUMBER(FIND("x"&amp;MID(L83,6,1),"x0x1x2x3x4x5x6x7x8x9"))),OR(7&gt;LEN(L83),MID(L83,7,1)=".",ISNUMBER(FIND("x"&amp;MID(L83,7,1),"x0x1x2x3x4x5x6x7x8x9"))),OR(8&gt;LEN(L83),MID(L83,8,1)=".",ISNUMBER(FIND("x"&amp;MID(L83,8,1),"x0x1x2x3x4x5x6x7x8x9"))),OR(9&gt;LEN(L83),MID(L83,9,1)=".",ISNUMBER(FIND("x"&amp;MID(L83,9,1),"x0x1x2x3x4x5x6x7x8x9"))),OR(10&gt;LEN(L83),MID(L83,10,1)=".",ISNUMBER(FIND("x"&amp;MID(L83,10,1),"x0x1x2x3x4x5x6x7x8x9"))),OR(AND(FIND(".",L83)=5,LEN(L83)-FIND(".",L83,FIND(".",L83)+1)&gt;=1,LEN(L83)-FIND(".",L83,FIND(".",L83)+1)&lt;=2),AND(LEN(L83)-FIND(".",L83,FIND(".",L83)+1)=4,FIND(".",L83)&gt;=2,FIND(".",L83)&lt;=3)),FIND(".",L83,FIND(".",L83)+1)-FIND(".",L83)&gt;=2,FIND(".",L83,FIND(".",L83)+1)-FIND(".",L83)&lt;=3,P83&gt;=2000,P83&lt;=2100,YEAR(S83)=P83,MONTH(S83)=Q83,DAY(S83)=R83),S83,0)),0)</ns0:f>
        <ns0:v>0</ns0:v>
      </ns0:c>
      <ns0:c r="U83" s="0" t="str">
        <ns0:f>IF(Bookings!C83="","Full day",Bookings!C83)</ns0:f>
        <ns0:v>Full day</ns0:v>
      </ns0:c>
      <ns0:c r="V83" s="0" t="str">
        <ns0:f>IF(Bookings!E83="","Full day",Bookings!E83)</ns0:f>
        <ns0:v>Full day</ns0:v>
      </ns0:c>
      <ns0:c r="W83" s="0">
        <ns0:f>IF(J83=0,0,J83+IF(U83="PM",1,0))</ns0:f>
        <ns0:v>0</ns0:v>
      </ns0:c>
      <ns0:c r="X83" s="0">
        <ns0:f>IF(T83=0,0,T83-IF(V83="PM",1,0))</ns0:f>
        <ns0:v>0</ns0:v>
      </ns0:c>
      <ns0:c r="Y83" s="0">
        <ns0:f>IF(J83=0,0,J83+IF(U83="AM",1,0))</ns0:f>
        <ns0:v>0</ns0:v>
      </ns0:c>
      <ns0:c r="Z83" s="0">
        <ns0:f>IF(T83=0,0,T83-IF(V83="AM",1,0))</ns0:f>
        <ns0:v>0</ns0:v>
      </ns0:c>
      <ns0:c r="AA83" s="0">
        <ns0:f>IFERROR(IF(AND(J83&gt;0,'_Engine'!C83&gt;0,MID('_Engine'!W83,WEEKDAY(J83,2),1)="W",COUNTIF(Settings!$F$18:$F$67,J83)=0),1,0),0)</ns0:f>
        <ns0:v>0</ns0:v>
      </ns0:c>
      <ns0:c r="AB83" s="0">
        <ns0:f>IFERROR(IF(AND(T83&gt;0,'_Engine'!C83&gt;0,MID('_Engine'!W83,WEEKDAY(T83,2),1)="W",COUNTIF(Settings!$F$18:$F$67,T83)=0),1,0),0)</ns0:f>
        <ns0:v>0</ns0:v>
      </ns0:c>
      <ns0:c r="AC83" s="0">
        <ns0:f>IF(AND(J83&gt;0,T83&gt;0,W83&lt;=X83),1,0)</ns0:f>
        <ns0:v>0</ns0:v>
      </ns0:c>
      <ns0:c r="AD83" s="0">
        <ns0:f>IF(AND(J83&gt;0,T83&gt;0,Y83&lt;=Z83),1,0)</ns0:f>
        <ns0:v>0</ns0:v>
      </ns0:c>
    </ns0:row>
    <ns0:row r="84">
      <ns0:c r="A84" s="0">
        <ns0:f>IFERROR(IF(ISNUMBER(Bookings!B84),"",TRIM(Bookings!B84&amp;"")),"")</ns0:f>
      </ns0:c>
      <ns0:c r="B84" s="0">
        <ns0:f>IFERROR(SUBSTITUTE(SUBSTITUTE(A84,"/","."),"-","."),"")</ns0:f>
      </ns0:c>
      <ns0:c r="C84" s="0">
        <ns0:f>IFERROR(LEFT(B84,FIND(".",B84)-1),"")</ns0:f>
      </ns0:c>
      <ns0:c r="D84" s="0">
        <ns0:f>IFERROR(MID(B84,FIND(".",B84)+1,FIND(".",B84,FIND(".",B84)+1)-FIND(".",B84)-1),"")</ns0:f>
      </ns0:c>
      <ns0:c r="E84" s="0">
        <ns0:f>IFERROR(MID(B84,FIND(".",B84,FIND(".",B84)+1)+1,99),"")</ns0:f>
        <ns0:v>99</ns0:v>
      </ns0:c>
      <ns0:c r="F84" s="0">
        <ns0:f>IFERROR(IF(FIND(".",B84)=5,--C84,--E84),0)</ns0:f>
        <ns0:v>0</ns0:v>
      </ns0:c>
      <ns0:c r="G84" s="0">
        <ns0:f>IFERROR(--D84,0)</ns0:f>
        <ns0:v>0</ns0:v>
      </ns0:c>
      <ns0:c r="H84" s="0">
        <ns0:f>IFERROR(IF(FIND(".",B84)=5,--E84,--C84),0)</ns0:f>
        <ns0:v>0</ns0:v>
      </ns0:c>
      <ns0:c r="I84" s="0">
        <ns0:f>IFERROR(IF(AND(F84&gt;=2000,F84&lt;=2100,G84&gt;=1,G84&lt;=12,H84&gt;=1,H84&lt;=31),DATE(F84,G84,H84),0),0)</ns0:f>
        <ns0:v>0</ns0:v>
      </ns0:c>
      <ns0:c r="J84" s="0">
        <ns0:f>IFERROR(IF(ISNUMBER(Bookings!B84),IF(AND(Bookings!B84=INT(Bookings!B84),Bookings!B84&gt;=DATE(2000,1,1),Bookings!B84&lt;=DATE(2100,12,31)),Bookings!B84,0),IF(AND(A84&lt;&gt;"",LEN("x"&amp;B84)-LEN(SUBSTITUTE("x"&amp;B84,".",""))=2,OR(1&gt;LEN(B84),MID(B84,1,1)=".",ISNUMBER(FIND("x"&amp;MID(B84,1,1),"x0x1x2x3x4x5x6x7x8x9"))),OR(2&gt;LEN(B84),MID(B84,2,1)=".",ISNUMBER(FIND("x"&amp;MID(B84,2,1),"x0x1x2x3x4x5x6x7x8x9"))),OR(3&gt;LEN(B84),MID(B84,3,1)=".",ISNUMBER(FIND("x"&amp;MID(B84,3,1),"x0x1x2x3x4x5x6x7x8x9"))),OR(4&gt;LEN(B84),MID(B84,4,1)=".",ISNUMBER(FIND("x"&amp;MID(B84,4,1),"x0x1x2x3x4x5x6x7x8x9"))),OR(5&gt;LEN(B84),MID(B84,5,1)=".",ISNUMBER(FIND("x"&amp;MID(B84,5,1),"x0x1x2x3x4x5x6x7x8x9"))),OR(6&gt;LEN(B84),MID(B84,6,1)=".",ISNUMBER(FIND("x"&amp;MID(B84,6,1),"x0x1x2x3x4x5x6x7x8x9"))),OR(7&gt;LEN(B84),MID(B84,7,1)=".",ISNUMBER(FIND("x"&amp;MID(B84,7,1),"x0x1x2x3x4x5x6x7x8x9"))),OR(8&gt;LEN(B84),MID(B84,8,1)=".",ISNUMBER(FIND("x"&amp;MID(B84,8,1),"x0x1x2x3x4x5x6x7x8x9"))),OR(9&gt;LEN(B84),MID(B84,9,1)=".",ISNUMBER(FIND("x"&amp;MID(B84,9,1),"x0x1x2x3x4x5x6x7x8x9"))),OR(10&gt;LEN(B84),MID(B84,10,1)=".",ISNUMBER(FIND("x"&amp;MID(B84,10,1),"x0x1x2x3x4x5x6x7x8x9"))),OR(AND(FIND(".",B84)=5,LEN(B84)-FIND(".",B84,FIND(".",B84)+1)&gt;=1,LEN(B84)-FIND(".",B84,FIND(".",B84)+1)&lt;=2),AND(LEN(B84)-FIND(".",B84,FIND(".",B84)+1)=4,FIND(".",B84)&gt;=2,FIND(".",B84)&lt;=3)),FIND(".",B84,FIND(".",B84)+1)-FIND(".",B84)&gt;=2,FIND(".",B84,FIND(".",B84)+1)-FIND(".",B84)&lt;=3,F84&gt;=2000,F84&lt;=2100,YEAR(I84)=F84,MONTH(I84)=G84,DAY(I84)=H84),I84,0)),0)</ns0:f>
        <ns0:v>0</ns0:v>
      </ns0:c>
      <ns0:c r="K84" s="0">
        <ns0:f>IFERROR(IF(ISNUMBER(Bookings!D84),"",TRIM(Bookings!D84&amp;"")),"")</ns0:f>
      </ns0:c>
      <ns0:c r="L84" s="0">
        <ns0:f>IFERROR(SUBSTITUTE(SUBSTITUTE(K84,"/","."),"-","."),"")</ns0:f>
      </ns0:c>
      <ns0:c r="M84" s="0">
        <ns0:f>IFERROR(LEFT(L84,FIND(".",L84)-1),"")</ns0:f>
      </ns0:c>
      <ns0:c r="N84" s="0">
        <ns0:f>IFERROR(MID(L84,FIND(".",L84)+1,FIND(".",L84,FIND(".",L84)+1)-FIND(".",L84)-1),"")</ns0:f>
      </ns0:c>
      <ns0:c r="O84" s="0">
        <ns0:f>IFERROR(MID(L84,FIND(".",L84,FIND(".",L84)+1)+1,99),"")</ns0:f>
        <ns0:v>99</ns0:v>
      </ns0:c>
      <ns0:c r="P84" s="0">
        <ns0:f>IFERROR(IF(FIND(".",L84)=5,--M84,--O84),0)</ns0:f>
        <ns0:v>0</ns0:v>
      </ns0:c>
      <ns0:c r="Q84" s="0">
        <ns0:f>IFERROR(--N84,0)</ns0:f>
        <ns0:v>0</ns0:v>
      </ns0:c>
      <ns0:c r="R84" s="0">
        <ns0:f>IFERROR(IF(FIND(".",L84)=5,--O84,--M84),0)</ns0:f>
        <ns0:v>0</ns0:v>
      </ns0:c>
      <ns0:c r="S84" s="0">
        <ns0:f>IFERROR(IF(AND(P84&gt;=2000,P84&lt;=2100,Q84&gt;=1,Q84&lt;=12,R84&gt;=1,R84&lt;=31),DATE(P84,Q84,R84),0),0)</ns0:f>
        <ns0:v>0</ns0:v>
      </ns0:c>
      <ns0:c r="T84" s="0">
        <ns0:f>IFERROR(IF(ISNUMBER(Bookings!D84),IF(AND(Bookings!D84=INT(Bookings!D84),Bookings!D84&gt;=DATE(2000,1,1),Bookings!D84&lt;=DATE(2100,12,31)),Bookings!D84,0),IF(AND(K84&lt;&gt;"",LEN("x"&amp;L84)-LEN(SUBSTITUTE("x"&amp;L84,".",""))=2,OR(1&gt;LEN(L84),MID(L84,1,1)=".",ISNUMBER(FIND("x"&amp;MID(L84,1,1),"x0x1x2x3x4x5x6x7x8x9"))),OR(2&gt;LEN(L84),MID(L84,2,1)=".",ISNUMBER(FIND("x"&amp;MID(L84,2,1),"x0x1x2x3x4x5x6x7x8x9"))),OR(3&gt;LEN(L84),MID(L84,3,1)=".",ISNUMBER(FIND("x"&amp;MID(L84,3,1),"x0x1x2x3x4x5x6x7x8x9"))),OR(4&gt;LEN(L84),MID(L84,4,1)=".",ISNUMBER(FIND("x"&amp;MID(L84,4,1),"x0x1x2x3x4x5x6x7x8x9"))),OR(5&gt;LEN(L84),MID(L84,5,1)=".",ISNUMBER(FIND("x"&amp;MID(L84,5,1),"x0x1x2x3x4x5x6x7x8x9"))),OR(6&gt;LEN(L84),MID(L84,6,1)=".",ISNUMBER(FIND("x"&amp;MID(L84,6,1),"x0x1x2x3x4x5x6x7x8x9"))),OR(7&gt;LEN(L84),MID(L84,7,1)=".",ISNUMBER(FIND("x"&amp;MID(L84,7,1),"x0x1x2x3x4x5x6x7x8x9"))),OR(8&gt;LEN(L84),MID(L84,8,1)=".",ISNUMBER(FIND("x"&amp;MID(L84,8,1),"x0x1x2x3x4x5x6x7x8x9"))),OR(9&gt;LEN(L84),MID(L84,9,1)=".",ISNUMBER(FIND("x"&amp;MID(L84,9,1),"x0x1x2x3x4x5x6x7x8x9"))),OR(10&gt;LEN(L84),MID(L84,10,1)=".",ISNUMBER(FIND("x"&amp;MID(L84,10,1),"x0x1x2x3x4x5x6x7x8x9"))),OR(AND(FIND(".",L84)=5,LEN(L84)-FIND(".",L84,FIND(".",L84)+1)&gt;=1,LEN(L84)-FIND(".",L84,FIND(".",L84)+1)&lt;=2),AND(LEN(L84)-FIND(".",L84,FIND(".",L84)+1)=4,FIND(".",L84)&gt;=2,FIND(".",L84)&lt;=3)),FIND(".",L84,FIND(".",L84)+1)-FIND(".",L84)&gt;=2,FIND(".",L84,FIND(".",L84)+1)-FIND(".",L84)&lt;=3,P84&gt;=2000,P84&lt;=2100,YEAR(S84)=P84,MONTH(S84)=Q84,DAY(S84)=R84),S84,0)),0)</ns0:f>
        <ns0:v>0</ns0:v>
      </ns0:c>
      <ns0:c r="U84" s="0" t="str">
        <ns0:f>IF(Bookings!C84="","Full day",Bookings!C84)</ns0:f>
        <ns0:v>Full day</ns0:v>
      </ns0:c>
      <ns0:c r="V84" s="0" t="str">
        <ns0:f>IF(Bookings!E84="","Full day",Bookings!E84)</ns0:f>
        <ns0:v>Full day</ns0:v>
      </ns0:c>
      <ns0:c r="W84" s="0">
        <ns0:f>IF(J84=0,0,J84+IF(U84="PM",1,0))</ns0:f>
        <ns0:v>0</ns0:v>
      </ns0:c>
      <ns0:c r="X84" s="0">
        <ns0:f>IF(T84=0,0,T84-IF(V84="PM",1,0))</ns0:f>
        <ns0:v>0</ns0:v>
      </ns0:c>
      <ns0:c r="Y84" s="0">
        <ns0:f>IF(J84=0,0,J84+IF(U84="AM",1,0))</ns0:f>
        <ns0:v>0</ns0:v>
      </ns0:c>
      <ns0:c r="Z84" s="0">
        <ns0:f>IF(T84=0,0,T84-IF(V84="AM",1,0))</ns0:f>
        <ns0:v>0</ns0:v>
      </ns0:c>
      <ns0:c r="AA84" s="0">
        <ns0:f>IFERROR(IF(AND(J84&gt;0,'_Engine'!C84&gt;0,MID('_Engine'!W84,WEEKDAY(J84,2),1)="W",COUNTIF(Settings!$F$18:$F$67,J84)=0),1,0),0)</ns0:f>
        <ns0:v>0</ns0:v>
      </ns0:c>
      <ns0:c r="AB84" s="0">
        <ns0:f>IFERROR(IF(AND(T84&gt;0,'_Engine'!C84&gt;0,MID('_Engine'!W84,WEEKDAY(T84,2),1)="W",COUNTIF(Settings!$F$18:$F$67,T84)=0),1,0),0)</ns0:f>
        <ns0:v>0</ns0:v>
      </ns0:c>
      <ns0:c r="AC84" s="0">
        <ns0:f>IF(AND(J84&gt;0,T84&gt;0,W84&lt;=X84),1,0)</ns0:f>
        <ns0:v>0</ns0:v>
      </ns0:c>
      <ns0:c r="AD84" s="0">
        <ns0:f>IF(AND(J84&gt;0,T84&gt;0,Y84&lt;=Z84),1,0)</ns0:f>
        <ns0:v>0</ns0:v>
      </ns0:c>
    </ns0:row>
    <ns0:row r="85">
      <ns0:c r="A85" s="0">
        <ns0:f>IFERROR(IF(ISNUMBER(Bookings!B85),"",TRIM(Bookings!B85&amp;"")),"")</ns0:f>
      </ns0:c>
      <ns0:c r="B85" s="0">
        <ns0:f>IFERROR(SUBSTITUTE(SUBSTITUTE(A85,"/","."),"-","."),"")</ns0:f>
      </ns0:c>
      <ns0:c r="C85" s="0">
        <ns0:f>IFERROR(LEFT(B85,FIND(".",B85)-1),"")</ns0:f>
      </ns0:c>
      <ns0:c r="D85" s="0">
        <ns0:f>IFERROR(MID(B85,FIND(".",B85)+1,FIND(".",B85,FIND(".",B85)+1)-FIND(".",B85)-1),"")</ns0:f>
      </ns0:c>
      <ns0:c r="E85" s="0">
        <ns0:f>IFERROR(MID(B85,FIND(".",B85,FIND(".",B85)+1)+1,99),"")</ns0:f>
        <ns0:v>99</ns0:v>
      </ns0:c>
      <ns0:c r="F85" s="0">
        <ns0:f>IFERROR(IF(FIND(".",B85)=5,--C85,--E85),0)</ns0:f>
        <ns0:v>0</ns0:v>
      </ns0:c>
      <ns0:c r="G85" s="0">
        <ns0:f>IFERROR(--D85,0)</ns0:f>
        <ns0:v>0</ns0:v>
      </ns0:c>
      <ns0:c r="H85" s="0">
        <ns0:f>IFERROR(IF(FIND(".",B85)=5,--E85,--C85),0)</ns0:f>
        <ns0:v>0</ns0:v>
      </ns0:c>
      <ns0:c r="I85" s="0">
        <ns0:f>IFERROR(IF(AND(F85&gt;=2000,F85&lt;=2100,G85&gt;=1,G85&lt;=12,H85&gt;=1,H85&lt;=31),DATE(F85,G85,H85),0),0)</ns0:f>
        <ns0:v>0</ns0:v>
      </ns0:c>
      <ns0:c r="J85" s="0">
        <ns0:f>IFERROR(IF(ISNUMBER(Bookings!B85),IF(AND(Bookings!B85=INT(Bookings!B85),Bookings!B85&gt;=DATE(2000,1,1),Bookings!B85&lt;=DATE(2100,12,31)),Bookings!B85,0),IF(AND(A85&lt;&gt;"",LEN("x"&amp;B85)-LEN(SUBSTITUTE("x"&amp;B85,".",""))=2,OR(1&gt;LEN(B85),MID(B85,1,1)=".",ISNUMBER(FIND("x"&amp;MID(B85,1,1),"x0x1x2x3x4x5x6x7x8x9"))),OR(2&gt;LEN(B85),MID(B85,2,1)=".",ISNUMBER(FIND("x"&amp;MID(B85,2,1),"x0x1x2x3x4x5x6x7x8x9"))),OR(3&gt;LEN(B85),MID(B85,3,1)=".",ISNUMBER(FIND("x"&amp;MID(B85,3,1),"x0x1x2x3x4x5x6x7x8x9"))),OR(4&gt;LEN(B85),MID(B85,4,1)=".",ISNUMBER(FIND("x"&amp;MID(B85,4,1),"x0x1x2x3x4x5x6x7x8x9"))),OR(5&gt;LEN(B85),MID(B85,5,1)=".",ISNUMBER(FIND("x"&amp;MID(B85,5,1),"x0x1x2x3x4x5x6x7x8x9"))),OR(6&gt;LEN(B85),MID(B85,6,1)=".",ISNUMBER(FIND("x"&amp;MID(B85,6,1),"x0x1x2x3x4x5x6x7x8x9"))),OR(7&gt;LEN(B85),MID(B85,7,1)=".",ISNUMBER(FIND("x"&amp;MID(B85,7,1),"x0x1x2x3x4x5x6x7x8x9"))),OR(8&gt;LEN(B85),MID(B85,8,1)=".",ISNUMBER(FIND("x"&amp;MID(B85,8,1),"x0x1x2x3x4x5x6x7x8x9"))),OR(9&gt;LEN(B85),MID(B85,9,1)=".",ISNUMBER(FIND("x"&amp;MID(B85,9,1),"x0x1x2x3x4x5x6x7x8x9"))),OR(10&gt;LEN(B85),MID(B85,10,1)=".",ISNUMBER(FIND("x"&amp;MID(B85,10,1),"x0x1x2x3x4x5x6x7x8x9"))),OR(AND(FIND(".",B85)=5,LEN(B85)-FIND(".",B85,FIND(".",B85)+1)&gt;=1,LEN(B85)-FIND(".",B85,FIND(".",B85)+1)&lt;=2),AND(LEN(B85)-FIND(".",B85,FIND(".",B85)+1)=4,FIND(".",B85)&gt;=2,FIND(".",B85)&lt;=3)),FIND(".",B85,FIND(".",B85)+1)-FIND(".",B85)&gt;=2,FIND(".",B85,FIND(".",B85)+1)-FIND(".",B85)&lt;=3,F85&gt;=2000,F85&lt;=2100,YEAR(I85)=F85,MONTH(I85)=G85,DAY(I85)=H85),I85,0)),0)</ns0:f>
        <ns0:v>0</ns0:v>
      </ns0:c>
      <ns0:c r="K85" s="0">
        <ns0:f>IFERROR(IF(ISNUMBER(Bookings!D85),"",TRIM(Bookings!D85&amp;"")),"")</ns0:f>
      </ns0:c>
      <ns0:c r="L85" s="0">
        <ns0:f>IFERROR(SUBSTITUTE(SUBSTITUTE(K85,"/","."),"-","."),"")</ns0:f>
      </ns0:c>
      <ns0:c r="M85" s="0">
        <ns0:f>IFERROR(LEFT(L85,FIND(".",L85)-1),"")</ns0:f>
      </ns0:c>
      <ns0:c r="N85" s="0">
        <ns0:f>IFERROR(MID(L85,FIND(".",L85)+1,FIND(".",L85,FIND(".",L85)+1)-FIND(".",L85)-1),"")</ns0:f>
      </ns0:c>
      <ns0:c r="O85" s="0">
        <ns0:f>IFERROR(MID(L85,FIND(".",L85,FIND(".",L85)+1)+1,99),"")</ns0:f>
        <ns0:v>99</ns0:v>
      </ns0:c>
      <ns0:c r="P85" s="0">
        <ns0:f>IFERROR(IF(FIND(".",L85)=5,--M85,--O85),0)</ns0:f>
        <ns0:v>0</ns0:v>
      </ns0:c>
      <ns0:c r="Q85" s="0">
        <ns0:f>IFERROR(--N85,0)</ns0:f>
        <ns0:v>0</ns0:v>
      </ns0:c>
      <ns0:c r="R85" s="0">
        <ns0:f>IFERROR(IF(FIND(".",L85)=5,--O85,--M85),0)</ns0:f>
        <ns0:v>0</ns0:v>
      </ns0:c>
      <ns0:c r="S85" s="0">
        <ns0:f>IFERROR(IF(AND(P85&gt;=2000,P85&lt;=2100,Q85&gt;=1,Q85&lt;=12,R85&gt;=1,R85&lt;=31),DATE(P85,Q85,R85),0),0)</ns0:f>
        <ns0:v>0</ns0:v>
      </ns0:c>
      <ns0:c r="T85" s="0">
        <ns0:f>IFERROR(IF(ISNUMBER(Bookings!D85),IF(AND(Bookings!D85=INT(Bookings!D85),Bookings!D85&gt;=DATE(2000,1,1),Bookings!D85&lt;=DATE(2100,12,31)),Bookings!D85,0),IF(AND(K85&lt;&gt;"",LEN("x"&amp;L85)-LEN(SUBSTITUTE("x"&amp;L85,".",""))=2,OR(1&gt;LEN(L85),MID(L85,1,1)=".",ISNUMBER(FIND("x"&amp;MID(L85,1,1),"x0x1x2x3x4x5x6x7x8x9"))),OR(2&gt;LEN(L85),MID(L85,2,1)=".",ISNUMBER(FIND("x"&amp;MID(L85,2,1),"x0x1x2x3x4x5x6x7x8x9"))),OR(3&gt;LEN(L85),MID(L85,3,1)=".",ISNUMBER(FIND("x"&amp;MID(L85,3,1),"x0x1x2x3x4x5x6x7x8x9"))),OR(4&gt;LEN(L85),MID(L85,4,1)=".",ISNUMBER(FIND("x"&amp;MID(L85,4,1),"x0x1x2x3x4x5x6x7x8x9"))),OR(5&gt;LEN(L85),MID(L85,5,1)=".",ISNUMBER(FIND("x"&amp;MID(L85,5,1),"x0x1x2x3x4x5x6x7x8x9"))),OR(6&gt;LEN(L85),MID(L85,6,1)=".",ISNUMBER(FIND("x"&amp;MID(L85,6,1),"x0x1x2x3x4x5x6x7x8x9"))),OR(7&gt;LEN(L85),MID(L85,7,1)=".",ISNUMBER(FIND("x"&amp;MID(L85,7,1),"x0x1x2x3x4x5x6x7x8x9"))),OR(8&gt;LEN(L85),MID(L85,8,1)=".",ISNUMBER(FIND("x"&amp;MID(L85,8,1),"x0x1x2x3x4x5x6x7x8x9"))),OR(9&gt;LEN(L85),MID(L85,9,1)=".",ISNUMBER(FIND("x"&amp;MID(L85,9,1),"x0x1x2x3x4x5x6x7x8x9"))),OR(10&gt;LEN(L85),MID(L85,10,1)=".",ISNUMBER(FIND("x"&amp;MID(L85,10,1),"x0x1x2x3x4x5x6x7x8x9"))),OR(AND(FIND(".",L85)=5,LEN(L85)-FIND(".",L85,FIND(".",L85)+1)&gt;=1,LEN(L85)-FIND(".",L85,FIND(".",L85)+1)&lt;=2),AND(LEN(L85)-FIND(".",L85,FIND(".",L85)+1)=4,FIND(".",L85)&gt;=2,FIND(".",L85)&lt;=3)),FIND(".",L85,FIND(".",L85)+1)-FIND(".",L85)&gt;=2,FIND(".",L85,FIND(".",L85)+1)-FIND(".",L85)&lt;=3,P85&gt;=2000,P85&lt;=2100,YEAR(S85)=P85,MONTH(S85)=Q85,DAY(S85)=R85),S85,0)),0)</ns0:f>
        <ns0:v>0</ns0:v>
      </ns0:c>
      <ns0:c r="U85" s="0" t="str">
        <ns0:f>IF(Bookings!C85="","Full day",Bookings!C85)</ns0:f>
        <ns0:v>Full day</ns0:v>
      </ns0:c>
      <ns0:c r="V85" s="0" t="str">
        <ns0:f>IF(Bookings!E85="","Full day",Bookings!E85)</ns0:f>
        <ns0:v>Full day</ns0:v>
      </ns0:c>
      <ns0:c r="W85" s="0">
        <ns0:f>IF(J85=0,0,J85+IF(U85="PM",1,0))</ns0:f>
        <ns0:v>0</ns0:v>
      </ns0:c>
      <ns0:c r="X85" s="0">
        <ns0:f>IF(T85=0,0,T85-IF(V85="PM",1,0))</ns0:f>
        <ns0:v>0</ns0:v>
      </ns0:c>
      <ns0:c r="Y85" s="0">
        <ns0:f>IF(J85=0,0,J85+IF(U85="AM",1,0))</ns0:f>
        <ns0:v>0</ns0:v>
      </ns0:c>
      <ns0:c r="Z85" s="0">
        <ns0:f>IF(T85=0,0,T85-IF(V85="AM",1,0))</ns0:f>
        <ns0:v>0</ns0:v>
      </ns0:c>
      <ns0:c r="AA85" s="0">
        <ns0:f>IFERROR(IF(AND(J85&gt;0,'_Engine'!C85&gt;0,MID('_Engine'!W85,WEEKDAY(J85,2),1)="W",COUNTIF(Settings!$F$18:$F$67,J85)=0),1,0),0)</ns0:f>
        <ns0:v>0</ns0:v>
      </ns0:c>
      <ns0:c r="AB85" s="0">
        <ns0:f>IFERROR(IF(AND(T85&gt;0,'_Engine'!C85&gt;0,MID('_Engine'!W85,WEEKDAY(T85,2),1)="W",COUNTIF(Settings!$F$18:$F$67,T85)=0),1,0),0)</ns0:f>
        <ns0:v>0</ns0:v>
      </ns0:c>
      <ns0:c r="AC85" s="0">
        <ns0:f>IF(AND(J85&gt;0,T85&gt;0,W85&lt;=X85),1,0)</ns0:f>
        <ns0:v>0</ns0:v>
      </ns0:c>
      <ns0:c r="AD85" s="0">
        <ns0:f>IF(AND(J85&gt;0,T85&gt;0,Y85&lt;=Z85),1,0)</ns0:f>
        <ns0:v>0</ns0:v>
      </ns0:c>
    </ns0:row>
    <ns0:row r="86">
      <ns0:c r="A86" s="0">
        <ns0:f>IFERROR(IF(ISNUMBER(Bookings!B86),"",TRIM(Bookings!B86&amp;"")),"")</ns0:f>
      </ns0:c>
      <ns0:c r="B86" s="0">
        <ns0:f>IFERROR(SUBSTITUTE(SUBSTITUTE(A86,"/","."),"-","."),"")</ns0:f>
      </ns0:c>
      <ns0:c r="C86" s="0">
        <ns0:f>IFERROR(LEFT(B86,FIND(".",B86)-1),"")</ns0:f>
      </ns0:c>
      <ns0:c r="D86" s="0">
        <ns0:f>IFERROR(MID(B86,FIND(".",B86)+1,FIND(".",B86,FIND(".",B86)+1)-FIND(".",B86)-1),"")</ns0:f>
      </ns0:c>
      <ns0:c r="E86" s="0">
        <ns0:f>IFERROR(MID(B86,FIND(".",B86,FIND(".",B86)+1)+1,99),"")</ns0:f>
        <ns0:v>99</ns0:v>
      </ns0:c>
      <ns0:c r="F86" s="0">
        <ns0:f>IFERROR(IF(FIND(".",B86)=5,--C86,--E86),0)</ns0:f>
        <ns0:v>0</ns0:v>
      </ns0:c>
      <ns0:c r="G86" s="0">
        <ns0:f>IFERROR(--D86,0)</ns0:f>
        <ns0:v>0</ns0:v>
      </ns0:c>
      <ns0:c r="H86" s="0">
        <ns0:f>IFERROR(IF(FIND(".",B86)=5,--E86,--C86),0)</ns0:f>
        <ns0:v>0</ns0:v>
      </ns0:c>
      <ns0:c r="I86" s="0">
        <ns0:f>IFERROR(IF(AND(F86&gt;=2000,F86&lt;=2100,G86&gt;=1,G86&lt;=12,H86&gt;=1,H86&lt;=31),DATE(F86,G86,H86),0),0)</ns0:f>
        <ns0:v>0</ns0:v>
      </ns0:c>
      <ns0:c r="J86" s="0">
        <ns0:f>IFERROR(IF(ISNUMBER(Bookings!B86),IF(AND(Bookings!B86=INT(Bookings!B86),Bookings!B86&gt;=DATE(2000,1,1),Bookings!B86&lt;=DATE(2100,12,31)),Bookings!B86,0),IF(AND(A86&lt;&gt;"",LEN("x"&amp;B86)-LEN(SUBSTITUTE("x"&amp;B86,".",""))=2,OR(1&gt;LEN(B86),MID(B86,1,1)=".",ISNUMBER(FIND("x"&amp;MID(B86,1,1),"x0x1x2x3x4x5x6x7x8x9"))),OR(2&gt;LEN(B86),MID(B86,2,1)=".",ISNUMBER(FIND("x"&amp;MID(B86,2,1),"x0x1x2x3x4x5x6x7x8x9"))),OR(3&gt;LEN(B86),MID(B86,3,1)=".",ISNUMBER(FIND("x"&amp;MID(B86,3,1),"x0x1x2x3x4x5x6x7x8x9"))),OR(4&gt;LEN(B86),MID(B86,4,1)=".",ISNUMBER(FIND("x"&amp;MID(B86,4,1),"x0x1x2x3x4x5x6x7x8x9"))),OR(5&gt;LEN(B86),MID(B86,5,1)=".",ISNUMBER(FIND("x"&amp;MID(B86,5,1),"x0x1x2x3x4x5x6x7x8x9"))),OR(6&gt;LEN(B86),MID(B86,6,1)=".",ISNUMBER(FIND("x"&amp;MID(B86,6,1),"x0x1x2x3x4x5x6x7x8x9"))),OR(7&gt;LEN(B86),MID(B86,7,1)=".",ISNUMBER(FIND("x"&amp;MID(B86,7,1),"x0x1x2x3x4x5x6x7x8x9"))),OR(8&gt;LEN(B86),MID(B86,8,1)=".",ISNUMBER(FIND("x"&amp;MID(B86,8,1),"x0x1x2x3x4x5x6x7x8x9"))),OR(9&gt;LEN(B86),MID(B86,9,1)=".",ISNUMBER(FIND("x"&amp;MID(B86,9,1),"x0x1x2x3x4x5x6x7x8x9"))),OR(10&gt;LEN(B86),MID(B86,10,1)=".",ISNUMBER(FIND("x"&amp;MID(B86,10,1),"x0x1x2x3x4x5x6x7x8x9"))),OR(AND(FIND(".",B86)=5,LEN(B86)-FIND(".",B86,FIND(".",B86)+1)&gt;=1,LEN(B86)-FIND(".",B86,FIND(".",B86)+1)&lt;=2),AND(LEN(B86)-FIND(".",B86,FIND(".",B86)+1)=4,FIND(".",B86)&gt;=2,FIND(".",B86)&lt;=3)),FIND(".",B86,FIND(".",B86)+1)-FIND(".",B86)&gt;=2,FIND(".",B86,FIND(".",B86)+1)-FIND(".",B86)&lt;=3,F86&gt;=2000,F86&lt;=2100,YEAR(I86)=F86,MONTH(I86)=G86,DAY(I86)=H86),I86,0)),0)</ns0:f>
        <ns0:v>0</ns0:v>
      </ns0:c>
      <ns0:c r="K86" s="0">
        <ns0:f>IFERROR(IF(ISNUMBER(Bookings!D86),"",TRIM(Bookings!D86&amp;"")),"")</ns0:f>
      </ns0:c>
      <ns0:c r="L86" s="0">
        <ns0:f>IFERROR(SUBSTITUTE(SUBSTITUTE(K86,"/","."),"-","."),"")</ns0:f>
      </ns0:c>
      <ns0:c r="M86" s="0">
        <ns0:f>IFERROR(LEFT(L86,FIND(".",L86)-1),"")</ns0:f>
      </ns0:c>
      <ns0:c r="N86" s="0">
        <ns0:f>IFERROR(MID(L86,FIND(".",L86)+1,FIND(".",L86,FIND(".",L86)+1)-FIND(".",L86)-1),"")</ns0:f>
      </ns0:c>
      <ns0:c r="O86" s="0">
        <ns0:f>IFERROR(MID(L86,FIND(".",L86,FIND(".",L86)+1)+1,99),"")</ns0:f>
        <ns0:v>99</ns0:v>
      </ns0:c>
      <ns0:c r="P86" s="0">
        <ns0:f>IFERROR(IF(FIND(".",L86)=5,--M86,--O86),0)</ns0:f>
        <ns0:v>0</ns0:v>
      </ns0:c>
      <ns0:c r="Q86" s="0">
        <ns0:f>IFERROR(--N86,0)</ns0:f>
        <ns0:v>0</ns0:v>
      </ns0:c>
      <ns0:c r="R86" s="0">
        <ns0:f>IFERROR(IF(FIND(".",L86)=5,--O86,--M86),0)</ns0:f>
        <ns0:v>0</ns0:v>
      </ns0:c>
      <ns0:c r="S86" s="0">
        <ns0:f>IFERROR(IF(AND(P86&gt;=2000,P86&lt;=2100,Q86&gt;=1,Q86&lt;=12,R86&gt;=1,R86&lt;=31),DATE(P86,Q86,R86),0),0)</ns0:f>
        <ns0:v>0</ns0:v>
      </ns0:c>
      <ns0:c r="T86" s="0">
        <ns0:f>IFERROR(IF(ISNUMBER(Bookings!D86),IF(AND(Bookings!D86=INT(Bookings!D86),Bookings!D86&gt;=DATE(2000,1,1),Bookings!D86&lt;=DATE(2100,12,31)),Bookings!D86,0),IF(AND(K86&lt;&gt;"",LEN("x"&amp;L86)-LEN(SUBSTITUTE("x"&amp;L86,".",""))=2,OR(1&gt;LEN(L86),MID(L86,1,1)=".",ISNUMBER(FIND("x"&amp;MID(L86,1,1),"x0x1x2x3x4x5x6x7x8x9"))),OR(2&gt;LEN(L86),MID(L86,2,1)=".",ISNUMBER(FIND("x"&amp;MID(L86,2,1),"x0x1x2x3x4x5x6x7x8x9"))),OR(3&gt;LEN(L86),MID(L86,3,1)=".",ISNUMBER(FIND("x"&amp;MID(L86,3,1),"x0x1x2x3x4x5x6x7x8x9"))),OR(4&gt;LEN(L86),MID(L86,4,1)=".",ISNUMBER(FIND("x"&amp;MID(L86,4,1),"x0x1x2x3x4x5x6x7x8x9"))),OR(5&gt;LEN(L86),MID(L86,5,1)=".",ISNUMBER(FIND("x"&amp;MID(L86,5,1),"x0x1x2x3x4x5x6x7x8x9"))),OR(6&gt;LEN(L86),MID(L86,6,1)=".",ISNUMBER(FIND("x"&amp;MID(L86,6,1),"x0x1x2x3x4x5x6x7x8x9"))),OR(7&gt;LEN(L86),MID(L86,7,1)=".",ISNUMBER(FIND("x"&amp;MID(L86,7,1),"x0x1x2x3x4x5x6x7x8x9"))),OR(8&gt;LEN(L86),MID(L86,8,1)=".",ISNUMBER(FIND("x"&amp;MID(L86,8,1),"x0x1x2x3x4x5x6x7x8x9"))),OR(9&gt;LEN(L86),MID(L86,9,1)=".",ISNUMBER(FIND("x"&amp;MID(L86,9,1),"x0x1x2x3x4x5x6x7x8x9"))),OR(10&gt;LEN(L86),MID(L86,10,1)=".",ISNUMBER(FIND("x"&amp;MID(L86,10,1),"x0x1x2x3x4x5x6x7x8x9"))),OR(AND(FIND(".",L86)=5,LEN(L86)-FIND(".",L86,FIND(".",L86)+1)&gt;=1,LEN(L86)-FIND(".",L86,FIND(".",L86)+1)&lt;=2),AND(LEN(L86)-FIND(".",L86,FIND(".",L86)+1)=4,FIND(".",L86)&gt;=2,FIND(".",L86)&lt;=3)),FIND(".",L86,FIND(".",L86)+1)-FIND(".",L86)&gt;=2,FIND(".",L86,FIND(".",L86)+1)-FIND(".",L86)&lt;=3,P86&gt;=2000,P86&lt;=2100,YEAR(S86)=P86,MONTH(S86)=Q86,DAY(S86)=R86),S86,0)),0)</ns0:f>
        <ns0:v>0</ns0:v>
      </ns0:c>
      <ns0:c r="U86" s="0" t="str">
        <ns0:f>IF(Bookings!C86="","Full day",Bookings!C86)</ns0:f>
        <ns0:v>Full day</ns0:v>
      </ns0:c>
      <ns0:c r="V86" s="0" t="str">
        <ns0:f>IF(Bookings!E86="","Full day",Bookings!E86)</ns0:f>
        <ns0:v>Full day</ns0:v>
      </ns0:c>
      <ns0:c r="W86" s="0">
        <ns0:f>IF(J86=0,0,J86+IF(U86="PM",1,0))</ns0:f>
        <ns0:v>0</ns0:v>
      </ns0:c>
      <ns0:c r="X86" s="0">
        <ns0:f>IF(T86=0,0,T86-IF(V86="PM",1,0))</ns0:f>
        <ns0:v>0</ns0:v>
      </ns0:c>
      <ns0:c r="Y86" s="0">
        <ns0:f>IF(J86=0,0,J86+IF(U86="AM",1,0))</ns0:f>
        <ns0:v>0</ns0:v>
      </ns0:c>
      <ns0:c r="Z86" s="0">
        <ns0:f>IF(T86=0,0,T86-IF(V86="AM",1,0))</ns0:f>
        <ns0:v>0</ns0:v>
      </ns0:c>
      <ns0:c r="AA86" s="0">
        <ns0:f>IFERROR(IF(AND(J86&gt;0,'_Engine'!C86&gt;0,MID('_Engine'!W86,WEEKDAY(J86,2),1)="W",COUNTIF(Settings!$F$18:$F$67,J86)=0),1,0),0)</ns0:f>
        <ns0:v>0</ns0:v>
      </ns0:c>
      <ns0:c r="AB86" s="0">
        <ns0:f>IFERROR(IF(AND(T86&gt;0,'_Engine'!C86&gt;0,MID('_Engine'!W86,WEEKDAY(T86,2),1)="W",COUNTIF(Settings!$F$18:$F$67,T86)=0),1,0),0)</ns0:f>
        <ns0:v>0</ns0:v>
      </ns0:c>
      <ns0:c r="AC86" s="0">
        <ns0:f>IF(AND(J86&gt;0,T86&gt;0,W86&lt;=X86),1,0)</ns0:f>
        <ns0:v>0</ns0:v>
      </ns0:c>
      <ns0:c r="AD86" s="0">
        <ns0:f>IF(AND(J86&gt;0,T86&gt;0,Y86&lt;=Z86),1,0)</ns0:f>
        <ns0:v>0</ns0:v>
      </ns0:c>
    </ns0:row>
    <ns0:row r="87">
      <ns0:c r="A87" s="0">
        <ns0:f>IFERROR(IF(ISNUMBER(Bookings!B87),"",TRIM(Bookings!B87&amp;"")),"")</ns0:f>
      </ns0:c>
      <ns0:c r="B87" s="0">
        <ns0:f>IFERROR(SUBSTITUTE(SUBSTITUTE(A87,"/","."),"-","."),"")</ns0:f>
      </ns0:c>
      <ns0:c r="C87" s="0">
        <ns0:f>IFERROR(LEFT(B87,FIND(".",B87)-1),"")</ns0:f>
      </ns0:c>
      <ns0:c r="D87" s="0">
        <ns0:f>IFERROR(MID(B87,FIND(".",B87)+1,FIND(".",B87,FIND(".",B87)+1)-FIND(".",B87)-1),"")</ns0:f>
      </ns0:c>
      <ns0:c r="E87" s="0">
        <ns0:f>IFERROR(MID(B87,FIND(".",B87,FIND(".",B87)+1)+1,99),"")</ns0:f>
        <ns0:v>99</ns0:v>
      </ns0:c>
      <ns0:c r="F87" s="0">
        <ns0:f>IFERROR(IF(FIND(".",B87)=5,--C87,--E87),0)</ns0:f>
        <ns0:v>0</ns0:v>
      </ns0:c>
      <ns0:c r="G87" s="0">
        <ns0:f>IFERROR(--D87,0)</ns0:f>
        <ns0:v>0</ns0:v>
      </ns0:c>
      <ns0:c r="H87" s="0">
        <ns0:f>IFERROR(IF(FIND(".",B87)=5,--E87,--C87),0)</ns0:f>
        <ns0:v>0</ns0:v>
      </ns0:c>
      <ns0:c r="I87" s="0">
        <ns0:f>IFERROR(IF(AND(F87&gt;=2000,F87&lt;=2100,G87&gt;=1,G87&lt;=12,H87&gt;=1,H87&lt;=31),DATE(F87,G87,H87),0),0)</ns0:f>
        <ns0:v>0</ns0:v>
      </ns0:c>
      <ns0:c r="J87" s="0">
        <ns0:f>IFERROR(IF(ISNUMBER(Bookings!B87),IF(AND(Bookings!B87=INT(Bookings!B87),Bookings!B87&gt;=DATE(2000,1,1),Bookings!B87&lt;=DATE(2100,12,31)),Bookings!B87,0),IF(AND(A87&lt;&gt;"",LEN("x"&amp;B87)-LEN(SUBSTITUTE("x"&amp;B87,".",""))=2,OR(1&gt;LEN(B87),MID(B87,1,1)=".",ISNUMBER(FIND("x"&amp;MID(B87,1,1),"x0x1x2x3x4x5x6x7x8x9"))),OR(2&gt;LEN(B87),MID(B87,2,1)=".",ISNUMBER(FIND("x"&amp;MID(B87,2,1),"x0x1x2x3x4x5x6x7x8x9"))),OR(3&gt;LEN(B87),MID(B87,3,1)=".",ISNUMBER(FIND("x"&amp;MID(B87,3,1),"x0x1x2x3x4x5x6x7x8x9"))),OR(4&gt;LEN(B87),MID(B87,4,1)=".",ISNUMBER(FIND("x"&amp;MID(B87,4,1),"x0x1x2x3x4x5x6x7x8x9"))),OR(5&gt;LEN(B87),MID(B87,5,1)=".",ISNUMBER(FIND("x"&amp;MID(B87,5,1),"x0x1x2x3x4x5x6x7x8x9"))),OR(6&gt;LEN(B87),MID(B87,6,1)=".",ISNUMBER(FIND("x"&amp;MID(B87,6,1),"x0x1x2x3x4x5x6x7x8x9"))),OR(7&gt;LEN(B87),MID(B87,7,1)=".",ISNUMBER(FIND("x"&amp;MID(B87,7,1),"x0x1x2x3x4x5x6x7x8x9"))),OR(8&gt;LEN(B87),MID(B87,8,1)=".",ISNUMBER(FIND("x"&amp;MID(B87,8,1),"x0x1x2x3x4x5x6x7x8x9"))),OR(9&gt;LEN(B87),MID(B87,9,1)=".",ISNUMBER(FIND("x"&amp;MID(B87,9,1),"x0x1x2x3x4x5x6x7x8x9"))),OR(10&gt;LEN(B87),MID(B87,10,1)=".",ISNUMBER(FIND("x"&amp;MID(B87,10,1),"x0x1x2x3x4x5x6x7x8x9"))),OR(AND(FIND(".",B87)=5,LEN(B87)-FIND(".",B87,FIND(".",B87)+1)&gt;=1,LEN(B87)-FIND(".",B87,FIND(".",B87)+1)&lt;=2),AND(LEN(B87)-FIND(".",B87,FIND(".",B87)+1)=4,FIND(".",B87)&gt;=2,FIND(".",B87)&lt;=3)),FIND(".",B87,FIND(".",B87)+1)-FIND(".",B87)&gt;=2,FIND(".",B87,FIND(".",B87)+1)-FIND(".",B87)&lt;=3,F87&gt;=2000,F87&lt;=2100,YEAR(I87)=F87,MONTH(I87)=G87,DAY(I87)=H87),I87,0)),0)</ns0:f>
        <ns0:v>0</ns0:v>
      </ns0:c>
      <ns0:c r="K87" s="0">
        <ns0:f>IFERROR(IF(ISNUMBER(Bookings!D87),"",TRIM(Bookings!D87&amp;"")),"")</ns0:f>
      </ns0:c>
      <ns0:c r="L87" s="0">
        <ns0:f>IFERROR(SUBSTITUTE(SUBSTITUTE(K87,"/","."),"-","."),"")</ns0:f>
      </ns0:c>
      <ns0:c r="M87" s="0">
        <ns0:f>IFERROR(LEFT(L87,FIND(".",L87)-1),"")</ns0:f>
      </ns0:c>
      <ns0:c r="N87" s="0">
        <ns0:f>IFERROR(MID(L87,FIND(".",L87)+1,FIND(".",L87,FIND(".",L87)+1)-FIND(".",L87)-1),"")</ns0:f>
      </ns0:c>
      <ns0:c r="O87" s="0">
        <ns0:f>IFERROR(MID(L87,FIND(".",L87,FIND(".",L87)+1)+1,99),"")</ns0:f>
        <ns0:v>99</ns0:v>
      </ns0:c>
      <ns0:c r="P87" s="0">
        <ns0:f>IFERROR(IF(FIND(".",L87)=5,--M87,--O87),0)</ns0:f>
        <ns0:v>0</ns0:v>
      </ns0:c>
      <ns0:c r="Q87" s="0">
        <ns0:f>IFERROR(--N87,0)</ns0:f>
        <ns0:v>0</ns0:v>
      </ns0:c>
      <ns0:c r="R87" s="0">
        <ns0:f>IFERROR(IF(FIND(".",L87)=5,--O87,--M87),0)</ns0:f>
        <ns0:v>0</ns0:v>
      </ns0:c>
      <ns0:c r="S87" s="0">
        <ns0:f>IFERROR(IF(AND(P87&gt;=2000,P87&lt;=2100,Q87&gt;=1,Q87&lt;=12,R87&gt;=1,R87&lt;=31),DATE(P87,Q87,R87),0),0)</ns0:f>
        <ns0:v>0</ns0:v>
      </ns0:c>
      <ns0:c r="T87" s="0">
        <ns0:f>IFERROR(IF(ISNUMBER(Bookings!D87),IF(AND(Bookings!D87=INT(Bookings!D87),Bookings!D87&gt;=DATE(2000,1,1),Bookings!D87&lt;=DATE(2100,12,31)),Bookings!D87,0),IF(AND(K87&lt;&gt;"",LEN("x"&amp;L87)-LEN(SUBSTITUTE("x"&amp;L87,".",""))=2,OR(1&gt;LEN(L87),MID(L87,1,1)=".",ISNUMBER(FIND("x"&amp;MID(L87,1,1),"x0x1x2x3x4x5x6x7x8x9"))),OR(2&gt;LEN(L87),MID(L87,2,1)=".",ISNUMBER(FIND("x"&amp;MID(L87,2,1),"x0x1x2x3x4x5x6x7x8x9"))),OR(3&gt;LEN(L87),MID(L87,3,1)=".",ISNUMBER(FIND("x"&amp;MID(L87,3,1),"x0x1x2x3x4x5x6x7x8x9"))),OR(4&gt;LEN(L87),MID(L87,4,1)=".",ISNUMBER(FIND("x"&amp;MID(L87,4,1),"x0x1x2x3x4x5x6x7x8x9"))),OR(5&gt;LEN(L87),MID(L87,5,1)=".",ISNUMBER(FIND("x"&amp;MID(L87,5,1),"x0x1x2x3x4x5x6x7x8x9"))),OR(6&gt;LEN(L87),MID(L87,6,1)=".",ISNUMBER(FIND("x"&amp;MID(L87,6,1),"x0x1x2x3x4x5x6x7x8x9"))),OR(7&gt;LEN(L87),MID(L87,7,1)=".",ISNUMBER(FIND("x"&amp;MID(L87,7,1),"x0x1x2x3x4x5x6x7x8x9"))),OR(8&gt;LEN(L87),MID(L87,8,1)=".",ISNUMBER(FIND("x"&amp;MID(L87,8,1),"x0x1x2x3x4x5x6x7x8x9"))),OR(9&gt;LEN(L87),MID(L87,9,1)=".",ISNUMBER(FIND("x"&amp;MID(L87,9,1),"x0x1x2x3x4x5x6x7x8x9"))),OR(10&gt;LEN(L87),MID(L87,10,1)=".",ISNUMBER(FIND("x"&amp;MID(L87,10,1),"x0x1x2x3x4x5x6x7x8x9"))),OR(AND(FIND(".",L87)=5,LEN(L87)-FIND(".",L87,FIND(".",L87)+1)&gt;=1,LEN(L87)-FIND(".",L87,FIND(".",L87)+1)&lt;=2),AND(LEN(L87)-FIND(".",L87,FIND(".",L87)+1)=4,FIND(".",L87)&gt;=2,FIND(".",L87)&lt;=3)),FIND(".",L87,FIND(".",L87)+1)-FIND(".",L87)&gt;=2,FIND(".",L87,FIND(".",L87)+1)-FIND(".",L87)&lt;=3,P87&gt;=2000,P87&lt;=2100,YEAR(S87)=P87,MONTH(S87)=Q87,DAY(S87)=R87),S87,0)),0)</ns0:f>
        <ns0:v>0</ns0:v>
      </ns0:c>
      <ns0:c r="U87" s="0" t="str">
        <ns0:f>IF(Bookings!C87="","Full day",Bookings!C87)</ns0:f>
        <ns0:v>Full day</ns0:v>
      </ns0:c>
      <ns0:c r="V87" s="0" t="str">
        <ns0:f>IF(Bookings!E87="","Full day",Bookings!E87)</ns0:f>
        <ns0:v>Full day</ns0:v>
      </ns0:c>
      <ns0:c r="W87" s="0">
        <ns0:f>IF(J87=0,0,J87+IF(U87="PM",1,0))</ns0:f>
        <ns0:v>0</ns0:v>
      </ns0:c>
      <ns0:c r="X87" s="0">
        <ns0:f>IF(T87=0,0,T87-IF(V87="PM",1,0))</ns0:f>
        <ns0:v>0</ns0:v>
      </ns0:c>
      <ns0:c r="Y87" s="0">
        <ns0:f>IF(J87=0,0,J87+IF(U87="AM",1,0))</ns0:f>
        <ns0:v>0</ns0:v>
      </ns0:c>
      <ns0:c r="Z87" s="0">
        <ns0:f>IF(T87=0,0,T87-IF(V87="AM",1,0))</ns0:f>
        <ns0:v>0</ns0:v>
      </ns0:c>
      <ns0:c r="AA87" s="0">
        <ns0:f>IFERROR(IF(AND(J87&gt;0,'_Engine'!C87&gt;0,MID('_Engine'!W87,WEEKDAY(J87,2),1)="W",COUNTIF(Settings!$F$18:$F$67,J87)=0),1,0),0)</ns0:f>
        <ns0:v>0</ns0:v>
      </ns0:c>
      <ns0:c r="AB87" s="0">
        <ns0:f>IFERROR(IF(AND(T87&gt;0,'_Engine'!C87&gt;0,MID('_Engine'!W87,WEEKDAY(T87,2),1)="W",COUNTIF(Settings!$F$18:$F$67,T87)=0),1,0),0)</ns0:f>
        <ns0:v>0</ns0:v>
      </ns0:c>
      <ns0:c r="AC87" s="0">
        <ns0:f>IF(AND(J87&gt;0,T87&gt;0,W87&lt;=X87),1,0)</ns0:f>
        <ns0:v>0</ns0:v>
      </ns0:c>
      <ns0:c r="AD87" s="0">
        <ns0:f>IF(AND(J87&gt;0,T87&gt;0,Y87&lt;=Z87),1,0)</ns0:f>
        <ns0:v>0</ns0:v>
      </ns0:c>
    </ns0:row>
    <ns0:row r="88">
      <ns0:c r="A88" s="0">
        <ns0:f>IFERROR(IF(ISNUMBER(Bookings!B88),"",TRIM(Bookings!B88&amp;"")),"")</ns0:f>
      </ns0:c>
      <ns0:c r="B88" s="0">
        <ns0:f>IFERROR(SUBSTITUTE(SUBSTITUTE(A88,"/","."),"-","."),"")</ns0:f>
      </ns0:c>
      <ns0:c r="C88" s="0">
        <ns0:f>IFERROR(LEFT(B88,FIND(".",B88)-1),"")</ns0:f>
      </ns0:c>
      <ns0:c r="D88" s="0">
        <ns0:f>IFERROR(MID(B88,FIND(".",B88)+1,FIND(".",B88,FIND(".",B88)+1)-FIND(".",B88)-1),"")</ns0:f>
      </ns0:c>
      <ns0:c r="E88" s="0">
        <ns0:f>IFERROR(MID(B88,FIND(".",B88,FIND(".",B88)+1)+1,99),"")</ns0:f>
        <ns0:v>99</ns0:v>
      </ns0:c>
      <ns0:c r="F88" s="0">
        <ns0:f>IFERROR(IF(FIND(".",B88)=5,--C88,--E88),0)</ns0:f>
        <ns0:v>0</ns0:v>
      </ns0:c>
      <ns0:c r="G88" s="0">
        <ns0:f>IFERROR(--D88,0)</ns0:f>
        <ns0:v>0</ns0:v>
      </ns0:c>
      <ns0:c r="H88" s="0">
        <ns0:f>IFERROR(IF(FIND(".",B88)=5,--E88,--C88),0)</ns0:f>
        <ns0:v>0</ns0:v>
      </ns0:c>
      <ns0:c r="I88" s="0">
        <ns0:f>IFERROR(IF(AND(F88&gt;=2000,F88&lt;=2100,G88&gt;=1,G88&lt;=12,H88&gt;=1,H88&lt;=31),DATE(F88,G88,H88),0),0)</ns0:f>
        <ns0:v>0</ns0:v>
      </ns0:c>
      <ns0:c r="J88" s="0">
        <ns0:f>IFERROR(IF(ISNUMBER(Bookings!B88),IF(AND(Bookings!B88=INT(Bookings!B88),Bookings!B88&gt;=DATE(2000,1,1),Bookings!B88&lt;=DATE(2100,12,31)),Bookings!B88,0),IF(AND(A88&lt;&gt;"",LEN("x"&amp;B88)-LEN(SUBSTITUTE("x"&amp;B88,".",""))=2,OR(1&gt;LEN(B88),MID(B88,1,1)=".",ISNUMBER(FIND("x"&amp;MID(B88,1,1),"x0x1x2x3x4x5x6x7x8x9"))),OR(2&gt;LEN(B88),MID(B88,2,1)=".",ISNUMBER(FIND("x"&amp;MID(B88,2,1),"x0x1x2x3x4x5x6x7x8x9"))),OR(3&gt;LEN(B88),MID(B88,3,1)=".",ISNUMBER(FIND("x"&amp;MID(B88,3,1),"x0x1x2x3x4x5x6x7x8x9"))),OR(4&gt;LEN(B88),MID(B88,4,1)=".",ISNUMBER(FIND("x"&amp;MID(B88,4,1),"x0x1x2x3x4x5x6x7x8x9"))),OR(5&gt;LEN(B88),MID(B88,5,1)=".",ISNUMBER(FIND("x"&amp;MID(B88,5,1),"x0x1x2x3x4x5x6x7x8x9"))),OR(6&gt;LEN(B88),MID(B88,6,1)=".",ISNUMBER(FIND("x"&amp;MID(B88,6,1),"x0x1x2x3x4x5x6x7x8x9"))),OR(7&gt;LEN(B88),MID(B88,7,1)=".",ISNUMBER(FIND("x"&amp;MID(B88,7,1),"x0x1x2x3x4x5x6x7x8x9"))),OR(8&gt;LEN(B88),MID(B88,8,1)=".",ISNUMBER(FIND("x"&amp;MID(B88,8,1),"x0x1x2x3x4x5x6x7x8x9"))),OR(9&gt;LEN(B88),MID(B88,9,1)=".",ISNUMBER(FIND("x"&amp;MID(B88,9,1),"x0x1x2x3x4x5x6x7x8x9"))),OR(10&gt;LEN(B88),MID(B88,10,1)=".",ISNUMBER(FIND("x"&amp;MID(B88,10,1),"x0x1x2x3x4x5x6x7x8x9"))),OR(AND(FIND(".",B88)=5,LEN(B88)-FIND(".",B88,FIND(".",B88)+1)&gt;=1,LEN(B88)-FIND(".",B88,FIND(".",B88)+1)&lt;=2),AND(LEN(B88)-FIND(".",B88,FIND(".",B88)+1)=4,FIND(".",B88)&gt;=2,FIND(".",B88)&lt;=3)),FIND(".",B88,FIND(".",B88)+1)-FIND(".",B88)&gt;=2,FIND(".",B88,FIND(".",B88)+1)-FIND(".",B88)&lt;=3,F88&gt;=2000,F88&lt;=2100,YEAR(I88)=F88,MONTH(I88)=G88,DAY(I88)=H88),I88,0)),0)</ns0:f>
        <ns0:v>0</ns0:v>
      </ns0:c>
      <ns0:c r="K88" s="0">
        <ns0:f>IFERROR(IF(ISNUMBER(Bookings!D88),"",TRIM(Bookings!D88&amp;"")),"")</ns0:f>
      </ns0:c>
      <ns0:c r="L88" s="0">
        <ns0:f>IFERROR(SUBSTITUTE(SUBSTITUTE(K88,"/","."),"-","."),"")</ns0:f>
      </ns0:c>
      <ns0:c r="M88" s="0">
        <ns0:f>IFERROR(LEFT(L88,FIND(".",L88)-1),"")</ns0:f>
      </ns0:c>
      <ns0:c r="N88" s="0">
        <ns0:f>IFERROR(MID(L88,FIND(".",L88)+1,FIND(".",L88,FIND(".",L88)+1)-FIND(".",L88)-1),"")</ns0:f>
      </ns0:c>
      <ns0:c r="O88" s="0">
        <ns0:f>IFERROR(MID(L88,FIND(".",L88,FIND(".",L88)+1)+1,99),"")</ns0:f>
        <ns0:v>99</ns0:v>
      </ns0:c>
      <ns0:c r="P88" s="0">
        <ns0:f>IFERROR(IF(FIND(".",L88)=5,--M88,--O88),0)</ns0:f>
        <ns0:v>0</ns0:v>
      </ns0:c>
      <ns0:c r="Q88" s="0">
        <ns0:f>IFERROR(--N88,0)</ns0:f>
        <ns0:v>0</ns0:v>
      </ns0:c>
      <ns0:c r="R88" s="0">
        <ns0:f>IFERROR(IF(FIND(".",L88)=5,--O88,--M88),0)</ns0:f>
        <ns0:v>0</ns0:v>
      </ns0:c>
      <ns0:c r="S88" s="0">
        <ns0:f>IFERROR(IF(AND(P88&gt;=2000,P88&lt;=2100,Q88&gt;=1,Q88&lt;=12,R88&gt;=1,R88&lt;=31),DATE(P88,Q88,R88),0),0)</ns0:f>
        <ns0:v>0</ns0:v>
      </ns0:c>
      <ns0:c r="T88" s="0">
        <ns0:f>IFERROR(IF(ISNUMBER(Bookings!D88),IF(AND(Bookings!D88=INT(Bookings!D88),Bookings!D88&gt;=DATE(2000,1,1),Bookings!D88&lt;=DATE(2100,12,31)),Bookings!D88,0),IF(AND(K88&lt;&gt;"",LEN("x"&amp;L88)-LEN(SUBSTITUTE("x"&amp;L88,".",""))=2,OR(1&gt;LEN(L88),MID(L88,1,1)=".",ISNUMBER(FIND("x"&amp;MID(L88,1,1),"x0x1x2x3x4x5x6x7x8x9"))),OR(2&gt;LEN(L88),MID(L88,2,1)=".",ISNUMBER(FIND("x"&amp;MID(L88,2,1),"x0x1x2x3x4x5x6x7x8x9"))),OR(3&gt;LEN(L88),MID(L88,3,1)=".",ISNUMBER(FIND("x"&amp;MID(L88,3,1),"x0x1x2x3x4x5x6x7x8x9"))),OR(4&gt;LEN(L88),MID(L88,4,1)=".",ISNUMBER(FIND("x"&amp;MID(L88,4,1),"x0x1x2x3x4x5x6x7x8x9"))),OR(5&gt;LEN(L88),MID(L88,5,1)=".",ISNUMBER(FIND("x"&amp;MID(L88,5,1),"x0x1x2x3x4x5x6x7x8x9"))),OR(6&gt;LEN(L88),MID(L88,6,1)=".",ISNUMBER(FIND("x"&amp;MID(L88,6,1),"x0x1x2x3x4x5x6x7x8x9"))),OR(7&gt;LEN(L88),MID(L88,7,1)=".",ISNUMBER(FIND("x"&amp;MID(L88,7,1),"x0x1x2x3x4x5x6x7x8x9"))),OR(8&gt;LEN(L88),MID(L88,8,1)=".",ISNUMBER(FIND("x"&amp;MID(L88,8,1),"x0x1x2x3x4x5x6x7x8x9"))),OR(9&gt;LEN(L88),MID(L88,9,1)=".",ISNUMBER(FIND("x"&amp;MID(L88,9,1),"x0x1x2x3x4x5x6x7x8x9"))),OR(10&gt;LEN(L88),MID(L88,10,1)=".",ISNUMBER(FIND("x"&amp;MID(L88,10,1),"x0x1x2x3x4x5x6x7x8x9"))),OR(AND(FIND(".",L88)=5,LEN(L88)-FIND(".",L88,FIND(".",L88)+1)&gt;=1,LEN(L88)-FIND(".",L88,FIND(".",L88)+1)&lt;=2),AND(LEN(L88)-FIND(".",L88,FIND(".",L88)+1)=4,FIND(".",L88)&gt;=2,FIND(".",L88)&lt;=3)),FIND(".",L88,FIND(".",L88)+1)-FIND(".",L88)&gt;=2,FIND(".",L88,FIND(".",L88)+1)-FIND(".",L88)&lt;=3,P88&gt;=2000,P88&lt;=2100,YEAR(S88)=P88,MONTH(S88)=Q88,DAY(S88)=R88),S88,0)),0)</ns0:f>
        <ns0:v>0</ns0:v>
      </ns0:c>
      <ns0:c r="U88" s="0" t="str">
        <ns0:f>IF(Bookings!C88="","Full day",Bookings!C88)</ns0:f>
        <ns0:v>Full day</ns0:v>
      </ns0:c>
      <ns0:c r="V88" s="0" t="str">
        <ns0:f>IF(Bookings!E88="","Full day",Bookings!E88)</ns0:f>
        <ns0:v>Full day</ns0:v>
      </ns0:c>
      <ns0:c r="W88" s="0">
        <ns0:f>IF(J88=0,0,J88+IF(U88="PM",1,0))</ns0:f>
        <ns0:v>0</ns0:v>
      </ns0:c>
      <ns0:c r="X88" s="0">
        <ns0:f>IF(T88=0,0,T88-IF(V88="PM",1,0))</ns0:f>
        <ns0:v>0</ns0:v>
      </ns0:c>
      <ns0:c r="Y88" s="0">
        <ns0:f>IF(J88=0,0,J88+IF(U88="AM",1,0))</ns0:f>
        <ns0:v>0</ns0:v>
      </ns0:c>
      <ns0:c r="Z88" s="0">
        <ns0:f>IF(T88=0,0,T88-IF(V88="AM",1,0))</ns0:f>
        <ns0:v>0</ns0:v>
      </ns0:c>
      <ns0:c r="AA88" s="0">
        <ns0:f>IFERROR(IF(AND(J88&gt;0,'_Engine'!C88&gt;0,MID('_Engine'!W88,WEEKDAY(J88,2),1)="W",COUNTIF(Settings!$F$18:$F$67,J88)=0),1,0),0)</ns0:f>
        <ns0:v>0</ns0:v>
      </ns0:c>
      <ns0:c r="AB88" s="0">
        <ns0:f>IFERROR(IF(AND(T88&gt;0,'_Engine'!C88&gt;0,MID('_Engine'!W88,WEEKDAY(T88,2),1)="W",COUNTIF(Settings!$F$18:$F$67,T88)=0),1,0),0)</ns0:f>
        <ns0:v>0</ns0:v>
      </ns0:c>
      <ns0:c r="AC88" s="0">
        <ns0:f>IF(AND(J88&gt;0,T88&gt;0,W88&lt;=X88),1,0)</ns0:f>
        <ns0:v>0</ns0:v>
      </ns0:c>
      <ns0:c r="AD88" s="0">
        <ns0:f>IF(AND(J88&gt;0,T88&gt;0,Y88&lt;=Z88),1,0)</ns0:f>
        <ns0:v>0</ns0:v>
      </ns0:c>
    </ns0:row>
    <ns0:row r="89">
      <ns0:c r="A89" s="0">
        <ns0:f>IFERROR(IF(ISNUMBER(Bookings!B89),"",TRIM(Bookings!B89&amp;"")),"")</ns0:f>
      </ns0:c>
      <ns0:c r="B89" s="0">
        <ns0:f>IFERROR(SUBSTITUTE(SUBSTITUTE(A89,"/","."),"-","."),"")</ns0:f>
      </ns0:c>
      <ns0:c r="C89" s="0">
        <ns0:f>IFERROR(LEFT(B89,FIND(".",B89)-1),"")</ns0:f>
      </ns0:c>
      <ns0:c r="D89" s="0">
        <ns0:f>IFERROR(MID(B89,FIND(".",B89)+1,FIND(".",B89,FIND(".",B89)+1)-FIND(".",B89)-1),"")</ns0:f>
      </ns0:c>
      <ns0:c r="E89" s="0">
        <ns0:f>IFERROR(MID(B89,FIND(".",B89,FIND(".",B89)+1)+1,99),"")</ns0:f>
        <ns0:v>99</ns0:v>
      </ns0:c>
      <ns0:c r="F89" s="0">
        <ns0:f>IFERROR(IF(FIND(".",B89)=5,--C89,--E89),0)</ns0:f>
        <ns0:v>0</ns0:v>
      </ns0:c>
      <ns0:c r="G89" s="0">
        <ns0:f>IFERROR(--D89,0)</ns0:f>
        <ns0:v>0</ns0:v>
      </ns0:c>
      <ns0:c r="H89" s="0">
        <ns0:f>IFERROR(IF(FIND(".",B89)=5,--E89,--C89),0)</ns0:f>
        <ns0:v>0</ns0:v>
      </ns0:c>
      <ns0:c r="I89" s="0">
        <ns0:f>IFERROR(IF(AND(F89&gt;=2000,F89&lt;=2100,G89&gt;=1,G89&lt;=12,H89&gt;=1,H89&lt;=31),DATE(F89,G89,H89),0),0)</ns0:f>
        <ns0:v>0</ns0:v>
      </ns0:c>
      <ns0:c r="J89" s="0">
        <ns0:f>IFERROR(IF(ISNUMBER(Bookings!B89),IF(AND(Bookings!B89=INT(Bookings!B89),Bookings!B89&gt;=DATE(2000,1,1),Bookings!B89&lt;=DATE(2100,12,31)),Bookings!B89,0),IF(AND(A89&lt;&gt;"",LEN("x"&amp;B89)-LEN(SUBSTITUTE("x"&amp;B89,".",""))=2,OR(1&gt;LEN(B89),MID(B89,1,1)=".",ISNUMBER(FIND("x"&amp;MID(B89,1,1),"x0x1x2x3x4x5x6x7x8x9"))),OR(2&gt;LEN(B89),MID(B89,2,1)=".",ISNUMBER(FIND("x"&amp;MID(B89,2,1),"x0x1x2x3x4x5x6x7x8x9"))),OR(3&gt;LEN(B89),MID(B89,3,1)=".",ISNUMBER(FIND("x"&amp;MID(B89,3,1),"x0x1x2x3x4x5x6x7x8x9"))),OR(4&gt;LEN(B89),MID(B89,4,1)=".",ISNUMBER(FIND("x"&amp;MID(B89,4,1),"x0x1x2x3x4x5x6x7x8x9"))),OR(5&gt;LEN(B89),MID(B89,5,1)=".",ISNUMBER(FIND("x"&amp;MID(B89,5,1),"x0x1x2x3x4x5x6x7x8x9"))),OR(6&gt;LEN(B89),MID(B89,6,1)=".",ISNUMBER(FIND("x"&amp;MID(B89,6,1),"x0x1x2x3x4x5x6x7x8x9"))),OR(7&gt;LEN(B89),MID(B89,7,1)=".",ISNUMBER(FIND("x"&amp;MID(B89,7,1),"x0x1x2x3x4x5x6x7x8x9"))),OR(8&gt;LEN(B89),MID(B89,8,1)=".",ISNUMBER(FIND("x"&amp;MID(B89,8,1),"x0x1x2x3x4x5x6x7x8x9"))),OR(9&gt;LEN(B89),MID(B89,9,1)=".",ISNUMBER(FIND("x"&amp;MID(B89,9,1),"x0x1x2x3x4x5x6x7x8x9"))),OR(10&gt;LEN(B89),MID(B89,10,1)=".",ISNUMBER(FIND("x"&amp;MID(B89,10,1),"x0x1x2x3x4x5x6x7x8x9"))),OR(AND(FIND(".",B89)=5,LEN(B89)-FIND(".",B89,FIND(".",B89)+1)&gt;=1,LEN(B89)-FIND(".",B89,FIND(".",B89)+1)&lt;=2),AND(LEN(B89)-FIND(".",B89,FIND(".",B89)+1)=4,FIND(".",B89)&gt;=2,FIND(".",B89)&lt;=3)),FIND(".",B89,FIND(".",B89)+1)-FIND(".",B89)&gt;=2,FIND(".",B89,FIND(".",B89)+1)-FIND(".",B89)&lt;=3,F89&gt;=2000,F89&lt;=2100,YEAR(I89)=F89,MONTH(I89)=G89,DAY(I89)=H89),I89,0)),0)</ns0:f>
        <ns0:v>0</ns0:v>
      </ns0:c>
      <ns0:c r="K89" s="0">
        <ns0:f>IFERROR(IF(ISNUMBER(Bookings!D89),"",TRIM(Bookings!D89&amp;"")),"")</ns0:f>
      </ns0:c>
      <ns0:c r="L89" s="0">
        <ns0:f>IFERROR(SUBSTITUTE(SUBSTITUTE(K89,"/","."),"-","."),"")</ns0:f>
      </ns0:c>
      <ns0:c r="M89" s="0">
        <ns0:f>IFERROR(LEFT(L89,FIND(".",L89)-1),"")</ns0:f>
      </ns0:c>
      <ns0:c r="N89" s="0">
        <ns0:f>IFERROR(MID(L89,FIND(".",L89)+1,FIND(".",L89,FIND(".",L89)+1)-FIND(".",L89)-1),"")</ns0:f>
      </ns0:c>
      <ns0:c r="O89" s="0">
        <ns0:f>IFERROR(MID(L89,FIND(".",L89,FIND(".",L89)+1)+1,99),"")</ns0:f>
        <ns0:v>99</ns0:v>
      </ns0:c>
      <ns0:c r="P89" s="0">
        <ns0:f>IFERROR(IF(FIND(".",L89)=5,--M89,--O89),0)</ns0:f>
        <ns0:v>0</ns0:v>
      </ns0:c>
      <ns0:c r="Q89" s="0">
        <ns0:f>IFERROR(--N89,0)</ns0:f>
        <ns0:v>0</ns0:v>
      </ns0:c>
      <ns0:c r="R89" s="0">
        <ns0:f>IFERROR(IF(FIND(".",L89)=5,--O89,--M89),0)</ns0:f>
        <ns0:v>0</ns0:v>
      </ns0:c>
      <ns0:c r="S89" s="0">
        <ns0:f>IFERROR(IF(AND(P89&gt;=2000,P89&lt;=2100,Q89&gt;=1,Q89&lt;=12,R89&gt;=1,R89&lt;=31),DATE(P89,Q89,R89),0),0)</ns0:f>
        <ns0:v>0</ns0:v>
      </ns0:c>
      <ns0:c r="T89" s="0">
        <ns0:f>IFERROR(IF(ISNUMBER(Bookings!D89),IF(AND(Bookings!D89=INT(Bookings!D89),Bookings!D89&gt;=DATE(2000,1,1),Bookings!D89&lt;=DATE(2100,12,31)),Bookings!D89,0),IF(AND(K89&lt;&gt;"",LEN("x"&amp;L89)-LEN(SUBSTITUTE("x"&amp;L89,".",""))=2,OR(1&gt;LEN(L89),MID(L89,1,1)=".",ISNUMBER(FIND("x"&amp;MID(L89,1,1),"x0x1x2x3x4x5x6x7x8x9"))),OR(2&gt;LEN(L89),MID(L89,2,1)=".",ISNUMBER(FIND("x"&amp;MID(L89,2,1),"x0x1x2x3x4x5x6x7x8x9"))),OR(3&gt;LEN(L89),MID(L89,3,1)=".",ISNUMBER(FIND("x"&amp;MID(L89,3,1),"x0x1x2x3x4x5x6x7x8x9"))),OR(4&gt;LEN(L89),MID(L89,4,1)=".",ISNUMBER(FIND("x"&amp;MID(L89,4,1),"x0x1x2x3x4x5x6x7x8x9"))),OR(5&gt;LEN(L89),MID(L89,5,1)=".",ISNUMBER(FIND("x"&amp;MID(L89,5,1),"x0x1x2x3x4x5x6x7x8x9"))),OR(6&gt;LEN(L89),MID(L89,6,1)=".",ISNUMBER(FIND("x"&amp;MID(L89,6,1),"x0x1x2x3x4x5x6x7x8x9"))),OR(7&gt;LEN(L89),MID(L89,7,1)=".",ISNUMBER(FIND("x"&amp;MID(L89,7,1),"x0x1x2x3x4x5x6x7x8x9"))),OR(8&gt;LEN(L89),MID(L89,8,1)=".",ISNUMBER(FIND("x"&amp;MID(L89,8,1),"x0x1x2x3x4x5x6x7x8x9"))),OR(9&gt;LEN(L89),MID(L89,9,1)=".",ISNUMBER(FIND("x"&amp;MID(L89,9,1),"x0x1x2x3x4x5x6x7x8x9"))),OR(10&gt;LEN(L89),MID(L89,10,1)=".",ISNUMBER(FIND("x"&amp;MID(L89,10,1),"x0x1x2x3x4x5x6x7x8x9"))),OR(AND(FIND(".",L89)=5,LEN(L89)-FIND(".",L89,FIND(".",L89)+1)&gt;=1,LEN(L89)-FIND(".",L89,FIND(".",L89)+1)&lt;=2),AND(LEN(L89)-FIND(".",L89,FIND(".",L89)+1)=4,FIND(".",L89)&gt;=2,FIND(".",L89)&lt;=3)),FIND(".",L89,FIND(".",L89)+1)-FIND(".",L89)&gt;=2,FIND(".",L89,FIND(".",L89)+1)-FIND(".",L89)&lt;=3,P89&gt;=2000,P89&lt;=2100,YEAR(S89)=P89,MONTH(S89)=Q89,DAY(S89)=R89),S89,0)),0)</ns0:f>
        <ns0:v>0</ns0:v>
      </ns0:c>
      <ns0:c r="U89" s="0" t="str">
        <ns0:f>IF(Bookings!C89="","Full day",Bookings!C89)</ns0:f>
        <ns0:v>Full day</ns0:v>
      </ns0:c>
      <ns0:c r="V89" s="0" t="str">
        <ns0:f>IF(Bookings!E89="","Full day",Bookings!E89)</ns0:f>
        <ns0:v>Full day</ns0:v>
      </ns0:c>
      <ns0:c r="W89" s="0">
        <ns0:f>IF(J89=0,0,J89+IF(U89="PM",1,0))</ns0:f>
        <ns0:v>0</ns0:v>
      </ns0:c>
      <ns0:c r="X89" s="0">
        <ns0:f>IF(T89=0,0,T89-IF(V89="PM",1,0))</ns0:f>
        <ns0:v>0</ns0:v>
      </ns0:c>
      <ns0:c r="Y89" s="0">
        <ns0:f>IF(J89=0,0,J89+IF(U89="AM",1,0))</ns0:f>
        <ns0:v>0</ns0:v>
      </ns0:c>
      <ns0:c r="Z89" s="0">
        <ns0:f>IF(T89=0,0,T89-IF(V89="AM",1,0))</ns0:f>
        <ns0:v>0</ns0:v>
      </ns0:c>
      <ns0:c r="AA89" s="0">
        <ns0:f>IFERROR(IF(AND(J89&gt;0,'_Engine'!C89&gt;0,MID('_Engine'!W89,WEEKDAY(J89,2),1)="W",COUNTIF(Settings!$F$18:$F$67,J89)=0),1,0),0)</ns0:f>
        <ns0:v>0</ns0:v>
      </ns0:c>
      <ns0:c r="AB89" s="0">
        <ns0:f>IFERROR(IF(AND(T89&gt;0,'_Engine'!C89&gt;0,MID('_Engine'!W89,WEEKDAY(T89,2),1)="W",COUNTIF(Settings!$F$18:$F$67,T89)=0),1,0),0)</ns0:f>
        <ns0:v>0</ns0:v>
      </ns0:c>
      <ns0:c r="AC89" s="0">
        <ns0:f>IF(AND(J89&gt;0,T89&gt;0,W89&lt;=X89),1,0)</ns0:f>
        <ns0:v>0</ns0:v>
      </ns0:c>
      <ns0:c r="AD89" s="0">
        <ns0:f>IF(AND(J89&gt;0,T89&gt;0,Y89&lt;=Z89),1,0)</ns0:f>
        <ns0:v>0</ns0:v>
      </ns0:c>
    </ns0:row>
    <ns0:row r="90">
      <ns0:c r="A90" s="0">
        <ns0:f>IFERROR(IF(ISNUMBER(Bookings!B90),"",TRIM(Bookings!B90&amp;"")),"")</ns0:f>
      </ns0:c>
      <ns0:c r="B90" s="0">
        <ns0:f>IFERROR(SUBSTITUTE(SUBSTITUTE(A90,"/","."),"-","."),"")</ns0:f>
      </ns0:c>
      <ns0:c r="C90" s="0">
        <ns0:f>IFERROR(LEFT(B90,FIND(".",B90)-1),"")</ns0:f>
      </ns0:c>
      <ns0:c r="D90" s="0">
        <ns0:f>IFERROR(MID(B90,FIND(".",B90)+1,FIND(".",B90,FIND(".",B90)+1)-FIND(".",B90)-1),"")</ns0:f>
      </ns0:c>
      <ns0:c r="E90" s="0">
        <ns0:f>IFERROR(MID(B90,FIND(".",B90,FIND(".",B90)+1)+1,99),"")</ns0:f>
        <ns0:v>99</ns0:v>
      </ns0:c>
      <ns0:c r="F90" s="0">
        <ns0:f>IFERROR(IF(FIND(".",B90)=5,--C90,--E90),0)</ns0:f>
        <ns0:v>0</ns0:v>
      </ns0:c>
      <ns0:c r="G90" s="0">
        <ns0:f>IFERROR(--D90,0)</ns0:f>
        <ns0:v>0</ns0:v>
      </ns0:c>
      <ns0:c r="H90" s="0">
        <ns0:f>IFERROR(IF(FIND(".",B90)=5,--E90,--C90),0)</ns0:f>
        <ns0:v>0</ns0:v>
      </ns0:c>
      <ns0:c r="I90" s="0">
        <ns0:f>IFERROR(IF(AND(F90&gt;=2000,F90&lt;=2100,G90&gt;=1,G90&lt;=12,H90&gt;=1,H90&lt;=31),DATE(F90,G90,H90),0),0)</ns0:f>
        <ns0:v>0</ns0:v>
      </ns0:c>
      <ns0:c r="J90" s="0">
        <ns0:f>IFERROR(IF(ISNUMBER(Bookings!B90),IF(AND(Bookings!B90=INT(Bookings!B90),Bookings!B90&gt;=DATE(2000,1,1),Bookings!B90&lt;=DATE(2100,12,31)),Bookings!B90,0),IF(AND(A90&lt;&gt;"",LEN("x"&amp;B90)-LEN(SUBSTITUTE("x"&amp;B90,".",""))=2,OR(1&gt;LEN(B90),MID(B90,1,1)=".",ISNUMBER(FIND("x"&amp;MID(B90,1,1),"x0x1x2x3x4x5x6x7x8x9"))),OR(2&gt;LEN(B90),MID(B90,2,1)=".",ISNUMBER(FIND("x"&amp;MID(B90,2,1),"x0x1x2x3x4x5x6x7x8x9"))),OR(3&gt;LEN(B90),MID(B90,3,1)=".",ISNUMBER(FIND("x"&amp;MID(B90,3,1),"x0x1x2x3x4x5x6x7x8x9"))),OR(4&gt;LEN(B90),MID(B90,4,1)=".",ISNUMBER(FIND("x"&amp;MID(B90,4,1),"x0x1x2x3x4x5x6x7x8x9"))),OR(5&gt;LEN(B90),MID(B90,5,1)=".",ISNUMBER(FIND("x"&amp;MID(B90,5,1),"x0x1x2x3x4x5x6x7x8x9"))),OR(6&gt;LEN(B90),MID(B90,6,1)=".",ISNUMBER(FIND("x"&amp;MID(B90,6,1),"x0x1x2x3x4x5x6x7x8x9"))),OR(7&gt;LEN(B90),MID(B90,7,1)=".",ISNUMBER(FIND("x"&amp;MID(B90,7,1),"x0x1x2x3x4x5x6x7x8x9"))),OR(8&gt;LEN(B90),MID(B90,8,1)=".",ISNUMBER(FIND("x"&amp;MID(B90,8,1),"x0x1x2x3x4x5x6x7x8x9"))),OR(9&gt;LEN(B90),MID(B90,9,1)=".",ISNUMBER(FIND("x"&amp;MID(B90,9,1),"x0x1x2x3x4x5x6x7x8x9"))),OR(10&gt;LEN(B90),MID(B90,10,1)=".",ISNUMBER(FIND("x"&amp;MID(B90,10,1),"x0x1x2x3x4x5x6x7x8x9"))),OR(AND(FIND(".",B90)=5,LEN(B90)-FIND(".",B90,FIND(".",B90)+1)&gt;=1,LEN(B90)-FIND(".",B90,FIND(".",B90)+1)&lt;=2),AND(LEN(B90)-FIND(".",B90,FIND(".",B90)+1)=4,FIND(".",B90)&gt;=2,FIND(".",B90)&lt;=3)),FIND(".",B90,FIND(".",B90)+1)-FIND(".",B90)&gt;=2,FIND(".",B90,FIND(".",B90)+1)-FIND(".",B90)&lt;=3,F90&gt;=2000,F90&lt;=2100,YEAR(I90)=F90,MONTH(I90)=G90,DAY(I90)=H90),I90,0)),0)</ns0:f>
        <ns0:v>0</ns0:v>
      </ns0:c>
      <ns0:c r="K90" s="0">
        <ns0:f>IFERROR(IF(ISNUMBER(Bookings!D90),"",TRIM(Bookings!D90&amp;"")),"")</ns0:f>
      </ns0:c>
      <ns0:c r="L90" s="0">
        <ns0:f>IFERROR(SUBSTITUTE(SUBSTITUTE(K90,"/","."),"-","."),"")</ns0:f>
      </ns0:c>
      <ns0:c r="M90" s="0">
        <ns0:f>IFERROR(LEFT(L90,FIND(".",L90)-1),"")</ns0:f>
      </ns0:c>
      <ns0:c r="N90" s="0">
        <ns0:f>IFERROR(MID(L90,FIND(".",L90)+1,FIND(".",L90,FIND(".",L90)+1)-FIND(".",L90)-1),"")</ns0:f>
      </ns0:c>
      <ns0:c r="O90" s="0">
        <ns0:f>IFERROR(MID(L90,FIND(".",L90,FIND(".",L90)+1)+1,99),"")</ns0:f>
        <ns0:v>99</ns0:v>
      </ns0:c>
      <ns0:c r="P90" s="0">
        <ns0:f>IFERROR(IF(FIND(".",L90)=5,--M90,--O90),0)</ns0:f>
        <ns0:v>0</ns0:v>
      </ns0:c>
      <ns0:c r="Q90" s="0">
        <ns0:f>IFERROR(--N90,0)</ns0:f>
        <ns0:v>0</ns0:v>
      </ns0:c>
      <ns0:c r="R90" s="0">
        <ns0:f>IFERROR(IF(FIND(".",L90)=5,--O90,--M90),0)</ns0:f>
        <ns0:v>0</ns0:v>
      </ns0:c>
      <ns0:c r="S90" s="0">
        <ns0:f>IFERROR(IF(AND(P90&gt;=2000,P90&lt;=2100,Q90&gt;=1,Q90&lt;=12,R90&gt;=1,R90&lt;=31),DATE(P90,Q90,R90),0),0)</ns0:f>
        <ns0:v>0</ns0:v>
      </ns0:c>
      <ns0:c r="T90" s="0">
        <ns0:f>IFERROR(IF(ISNUMBER(Bookings!D90),IF(AND(Bookings!D90=INT(Bookings!D90),Bookings!D90&gt;=DATE(2000,1,1),Bookings!D90&lt;=DATE(2100,12,31)),Bookings!D90,0),IF(AND(K90&lt;&gt;"",LEN("x"&amp;L90)-LEN(SUBSTITUTE("x"&amp;L90,".",""))=2,OR(1&gt;LEN(L90),MID(L90,1,1)=".",ISNUMBER(FIND("x"&amp;MID(L90,1,1),"x0x1x2x3x4x5x6x7x8x9"))),OR(2&gt;LEN(L90),MID(L90,2,1)=".",ISNUMBER(FIND("x"&amp;MID(L90,2,1),"x0x1x2x3x4x5x6x7x8x9"))),OR(3&gt;LEN(L90),MID(L90,3,1)=".",ISNUMBER(FIND("x"&amp;MID(L90,3,1),"x0x1x2x3x4x5x6x7x8x9"))),OR(4&gt;LEN(L90),MID(L90,4,1)=".",ISNUMBER(FIND("x"&amp;MID(L90,4,1),"x0x1x2x3x4x5x6x7x8x9"))),OR(5&gt;LEN(L90),MID(L90,5,1)=".",ISNUMBER(FIND("x"&amp;MID(L90,5,1),"x0x1x2x3x4x5x6x7x8x9"))),OR(6&gt;LEN(L90),MID(L90,6,1)=".",ISNUMBER(FIND("x"&amp;MID(L90,6,1),"x0x1x2x3x4x5x6x7x8x9"))),OR(7&gt;LEN(L90),MID(L90,7,1)=".",ISNUMBER(FIND("x"&amp;MID(L90,7,1),"x0x1x2x3x4x5x6x7x8x9"))),OR(8&gt;LEN(L90),MID(L90,8,1)=".",ISNUMBER(FIND("x"&amp;MID(L90,8,1),"x0x1x2x3x4x5x6x7x8x9"))),OR(9&gt;LEN(L90),MID(L90,9,1)=".",ISNUMBER(FIND("x"&amp;MID(L90,9,1),"x0x1x2x3x4x5x6x7x8x9"))),OR(10&gt;LEN(L90),MID(L90,10,1)=".",ISNUMBER(FIND("x"&amp;MID(L90,10,1),"x0x1x2x3x4x5x6x7x8x9"))),OR(AND(FIND(".",L90)=5,LEN(L90)-FIND(".",L90,FIND(".",L90)+1)&gt;=1,LEN(L90)-FIND(".",L90,FIND(".",L90)+1)&lt;=2),AND(LEN(L90)-FIND(".",L90,FIND(".",L90)+1)=4,FIND(".",L90)&gt;=2,FIND(".",L90)&lt;=3)),FIND(".",L90,FIND(".",L90)+1)-FIND(".",L90)&gt;=2,FIND(".",L90,FIND(".",L90)+1)-FIND(".",L90)&lt;=3,P90&gt;=2000,P90&lt;=2100,YEAR(S90)=P90,MONTH(S90)=Q90,DAY(S90)=R90),S90,0)),0)</ns0:f>
        <ns0:v>0</ns0:v>
      </ns0:c>
      <ns0:c r="U90" s="0" t="str">
        <ns0:f>IF(Bookings!C90="","Full day",Bookings!C90)</ns0:f>
        <ns0:v>Full day</ns0:v>
      </ns0:c>
      <ns0:c r="V90" s="0" t="str">
        <ns0:f>IF(Bookings!E90="","Full day",Bookings!E90)</ns0:f>
        <ns0:v>Full day</ns0:v>
      </ns0:c>
      <ns0:c r="W90" s="0">
        <ns0:f>IF(J90=0,0,J90+IF(U90="PM",1,0))</ns0:f>
        <ns0:v>0</ns0:v>
      </ns0:c>
      <ns0:c r="X90" s="0">
        <ns0:f>IF(T90=0,0,T90-IF(V90="PM",1,0))</ns0:f>
        <ns0:v>0</ns0:v>
      </ns0:c>
      <ns0:c r="Y90" s="0">
        <ns0:f>IF(J90=0,0,J90+IF(U90="AM",1,0))</ns0:f>
        <ns0:v>0</ns0:v>
      </ns0:c>
      <ns0:c r="Z90" s="0">
        <ns0:f>IF(T90=0,0,T90-IF(V90="AM",1,0))</ns0:f>
        <ns0:v>0</ns0:v>
      </ns0:c>
      <ns0:c r="AA90" s="0">
        <ns0:f>IFERROR(IF(AND(J90&gt;0,'_Engine'!C90&gt;0,MID('_Engine'!W90,WEEKDAY(J90,2),1)="W",COUNTIF(Settings!$F$18:$F$67,J90)=0),1,0),0)</ns0:f>
        <ns0:v>0</ns0:v>
      </ns0:c>
      <ns0:c r="AB90" s="0">
        <ns0:f>IFERROR(IF(AND(T90&gt;0,'_Engine'!C90&gt;0,MID('_Engine'!W90,WEEKDAY(T90,2),1)="W",COUNTIF(Settings!$F$18:$F$67,T90)=0),1,0),0)</ns0:f>
        <ns0:v>0</ns0:v>
      </ns0:c>
      <ns0:c r="AC90" s="0">
        <ns0:f>IF(AND(J90&gt;0,T90&gt;0,W90&lt;=X90),1,0)</ns0:f>
        <ns0:v>0</ns0:v>
      </ns0:c>
      <ns0:c r="AD90" s="0">
        <ns0:f>IF(AND(J90&gt;0,T90&gt;0,Y90&lt;=Z90),1,0)</ns0:f>
        <ns0:v>0</ns0:v>
      </ns0:c>
    </ns0:row>
    <ns0:row r="91">
      <ns0:c r="A91" s="0">
        <ns0:f>IFERROR(IF(ISNUMBER(Bookings!B91),"",TRIM(Bookings!B91&amp;"")),"")</ns0:f>
      </ns0:c>
      <ns0:c r="B91" s="0">
        <ns0:f>IFERROR(SUBSTITUTE(SUBSTITUTE(A91,"/","."),"-","."),"")</ns0:f>
      </ns0:c>
      <ns0:c r="C91" s="0">
        <ns0:f>IFERROR(LEFT(B91,FIND(".",B91)-1),"")</ns0:f>
      </ns0:c>
      <ns0:c r="D91" s="0">
        <ns0:f>IFERROR(MID(B91,FIND(".",B91)+1,FIND(".",B91,FIND(".",B91)+1)-FIND(".",B91)-1),"")</ns0:f>
      </ns0:c>
      <ns0:c r="E91" s="0">
        <ns0:f>IFERROR(MID(B91,FIND(".",B91,FIND(".",B91)+1)+1,99),"")</ns0:f>
        <ns0:v>99</ns0:v>
      </ns0:c>
      <ns0:c r="F91" s="0">
        <ns0:f>IFERROR(IF(FIND(".",B91)=5,--C91,--E91),0)</ns0:f>
        <ns0:v>0</ns0:v>
      </ns0:c>
      <ns0:c r="G91" s="0">
        <ns0:f>IFERROR(--D91,0)</ns0:f>
        <ns0:v>0</ns0:v>
      </ns0:c>
      <ns0:c r="H91" s="0">
        <ns0:f>IFERROR(IF(FIND(".",B91)=5,--E91,--C91),0)</ns0:f>
        <ns0:v>0</ns0:v>
      </ns0:c>
      <ns0:c r="I91" s="0">
        <ns0:f>IFERROR(IF(AND(F91&gt;=2000,F91&lt;=2100,G91&gt;=1,G91&lt;=12,H91&gt;=1,H91&lt;=31),DATE(F91,G91,H91),0),0)</ns0:f>
        <ns0:v>0</ns0:v>
      </ns0:c>
      <ns0:c r="J91" s="0">
        <ns0:f>IFERROR(IF(ISNUMBER(Bookings!B91),IF(AND(Bookings!B91=INT(Bookings!B91),Bookings!B91&gt;=DATE(2000,1,1),Bookings!B91&lt;=DATE(2100,12,31)),Bookings!B91,0),IF(AND(A91&lt;&gt;"",LEN("x"&amp;B91)-LEN(SUBSTITUTE("x"&amp;B91,".",""))=2,OR(1&gt;LEN(B91),MID(B91,1,1)=".",ISNUMBER(FIND("x"&amp;MID(B91,1,1),"x0x1x2x3x4x5x6x7x8x9"))),OR(2&gt;LEN(B91),MID(B91,2,1)=".",ISNUMBER(FIND("x"&amp;MID(B91,2,1),"x0x1x2x3x4x5x6x7x8x9"))),OR(3&gt;LEN(B91),MID(B91,3,1)=".",ISNUMBER(FIND("x"&amp;MID(B91,3,1),"x0x1x2x3x4x5x6x7x8x9"))),OR(4&gt;LEN(B91),MID(B91,4,1)=".",ISNUMBER(FIND("x"&amp;MID(B91,4,1),"x0x1x2x3x4x5x6x7x8x9"))),OR(5&gt;LEN(B91),MID(B91,5,1)=".",ISNUMBER(FIND("x"&amp;MID(B91,5,1),"x0x1x2x3x4x5x6x7x8x9"))),OR(6&gt;LEN(B91),MID(B91,6,1)=".",ISNUMBER(FIND("x"&amp;MID(B91,6,1),"x0x1x2x3x4x5x6x7x8x9"))),OR(7&gt;LEN(B91),MID(B91,7,1)=".",ISNUMBER(FIND("x"&amp;MID(B91,7,1),"x0x1x2x3x4x5x6x7x8x9"))),OR(8&gt;LEN(B91),MID(B91,8,1)=".",ISNUMBER(FIND("x"&amp;MID(B91,8,1),"x0x1x2x3x4x5x6x7x8x9"))),OR(9&gt;LEN(B91),MID(B91,9,1)=".",ISNUMBER(FIND("x"&amp;MID(B91,9,1),"x0x1x2x3x4x5x6x7x8x9"))),OR(10&gt;LEN(B91),MID(B91,10,1)=".",ISNUMBER(FIND("x"&amp;MID(B91,10,1),"x0x1x2x3x4x5x6x7x8x9"))),OR(AND(FIND(".",B91)=5,LEN(B91)-FIND(".",B91,FIND(".",B91)+1)&gt;=1,LEN(B91)-FIND(".",B91,FIND(".",B91)+1)&lt;=2),AND(LEN(B91)-FIND(".",B91,FIND(".",B91)+1)=4,FIND(".",B91)&gt;=2,FIND(".",B91)&lt;=3)),FIND(".",B91,FIND(".",B91)+1)-FIND(".",B91)&gt;=2,FIND(".",B91,FIND(".",B91)+1)-FIND(".",B91)&lt;=3,F91&gt;=2000,F91&lt;=2100,YEAR(I91)=F91,MONTH(I91)=G91,DAY(I91)=H91),I91,0)),0)</ns0:f>
        <ns0:v>0</ns0:v>
      </ns0:c>
      <ns0:c r="K91" s="0">
        <ns0:f>IFERROR(IF(ISNUMBER(Bookings!D91),"",TRIM(Bookings!D91&amp;"")),"")</ns0:f>
      </ns0:c>
      <ns0:c r="L91" s="0">
        <ns0:f>IFERROR(SUBSTITUTE(SUBSTITUTE(K91,"/","."),"-","."),"")</ns0:f>
      </ns0:c>
      <ns0:c r="M91" s="0">
        <ns0:f>IFERROR(LEFT(L91,FIND(".",L91)-1),"")</ns0:f>
      </ns0:c>
      <ns0:c r="N91" s="0">
        <ns0:f>IFERROR(MID(L91,FIND(".",L91)+1,FIND(".",L91,FIND(".",L91)+1)-FIND(".",L91)-1),"")</ns0:f>
      </ns0:c>
      <ns0:c r="O91" s="0">
        <ns0:f>IFERROR(MID(L91,FIND(".",L91,FIND(".",L91)+1)+1,99),"")</ns0:f>
        <ns0:v>99</ns0:v>
      </ns0:c>
      <ns0:c r="P91" s="0">
        <ns0:f>IFERROR(IF(FIND(".",L91)=5,--M91,--O91),0)</ns0:f>
        <ns0:v>0</ns0:v>
      </ns0:c>
      <ns0:c r="Q91" s="0">
        <ns0:f>IFERROR(--N91,0)</ns0:f>
        <ns0:v>0</ns0:v>
      </ns0:c>
      <ns0:c r="R91" s="0">
        <ns0:f>IFERROR(IF(FIND(".",L91)=5,--O91,--M91),0)</ns0:f>
        <ns0:v>0</ns0:v>
      </ns0:c>
      <ns0:c r="S91" s="0">
        <ns0:f>IFERROR(IF(AND(P91&gt;=2000,P91&lt;=2100,Q91&gt;=1,Q91&lt;=12,R91&gt;=1,R91&lt;=31),DATE(P91,Q91,R91),0),0)</ns0:f>
        <ns0:v>0</ns0:v>
      </ns0:c>
      <ns0:c r="T91" s="0">
        <ns0:f>IFERROR(IF(ISNUMBER(Bookings!D91),IF(AND(Bookings!D91=INT(Bookings!D91),Bookings!D91&gt;=DATE(2000,1,1),Bookings!D91&lt;=DATE(2100,12,31)),Bookings!D91,0),IF(AND(K91&lt;&gt;"",LEN("x"&amp;L91)-LEN(SUBSTITUTE("x"&amp;L91,".",""))=2,OR(1&gt;LEN(L91),MID(L91,1,1)=".",ISNUMBER(FIND("x"&amp;MID(L91,1,1),"x0x1x2x3x4x5x6x7x8x9"))),OR(2&gt;LEN(L91),MID(L91,2,1)=".",ISNUMBER(FIND("x"&amp;MID(L91,2,1),"x0x1x2x3x4x5x6x7x8x9"))),OR(3&gt;LEN(L91),MID(L91,3,1)=".",ISNUMBER(FIND("x"&amp;MID(L91,3,1),"x0x1x2x3x4x5x6x7x8x9"))),OR(4&gt;LEN(L91),MID(L91,4,1)=".",ISNUMBER(FIND("x"&amp;MID(L91,4,1),"x0x1x2x3x4x5x6x7x8x9"))),OR(5&gt;LEN(L91),MID(L91,5,1)=".",ISNUMBER(FIND("x"&amp;MID(L91,5,1),"x0x1x2x3x4x5x6x7x8x9"))),OR(6&gt;LEN(L91),MID(L91,6,1)=".",ISNUMBER(FIND("x"&amp;MID(L91,6,1),"x0x1x2x3x4x5x6x7x8x9"))),OR(7&gt;LEN(L91),MID(L91,7,1)=".",ISNUMBER(FIND("x"&amp;MID(L91,7,1),"x0x1x2x3x4x5x6x7x8x9"))),OR(8&gt;LEN(L91),MID(L91,8,1)=".",ISNUMBER(FIND("x"&amp;MID(L91,8,1),"x0x1x2x3x4x5x6x7x8x9"))),OR(9&gt;LEN(L91),MID(L91,9,1)=".",ISNUMBER(FIND("x"&amp;MID(L91,9,1),"x0x1x2x3x4x5x6x7x8x9"))),OR(10&gt;LEN(L91),MID(L91,10,1)=".",ISNUMBER(FIND("x"&amp;MID(L91,10,1),"x0x1x2x3x4x5x6x7x8x9"))),OR(AND(FIND(".",L91)=5,LEN(L91)-FIND(".",L91,FIND(".",L91)+1)&gt;=1,LEN(L91)-FIND(".",L91,FIND(".",L91)+1)&lt;=2),AND(LEN(L91)-FIND(".",L91,FIND(".",L91)+1)=4,FIND(".",L91)&gt;=2,FIND(".",L91)&lt;=3)),FIND(".",L91,FIND(".",L91)+1)-FIND(".",L91)&gt;=2,FIND(".",L91,FIND(".",L91)+1)-FIND(".",L91)&lt;=3,P91&gt;=2000,P91&lt;=2100,YEAR(S91)=P91,MONTH(S91)=Q91,DAY(S91)=R91),S91,0)),0)</ns0:f>
        <ns0:v>0</ns0:v>
      </ns0:c>
      <ns0:c r="U91" s="0" t="str">
        <ns0:f>IF(Bookings!C91="","Full day",Bookings!C91)</ns0:f>
        <ns0:v>Full day</ns0:v>
      </ns0:c>
      <ns0:c r="V91" s="0" t="str">
        <ns0:f>IF(Bookings!E91="","Full day",Bookings!E91)</ns0:f>
        <ns0:v>Full day</ns0:v>
      </ns0:c>
      <ns0:c r="W91" s="0">
        <ns0:f>IF(J91=0,0,J91+IF(U91="PM",1,0))</ns0:f>
        <ns0:v>0</ns0:v>
      </ns0:c>
      <ns0:c r="X91" s="0">
        <ns0:f>IF(T91=0,0,T91-IF(V91="PM",1,0))</ns0:f>
        <ns0:v>0</ns0:v>
      </ns0:c>
      <ns0:c r="Y91" s="0">
        <ns0:f>IF(J91=0,0,J91+IF(U91="AM",1,0))</ns0:f>
        <ns0:v>0</ns0:v>
      </ns0:c>
      <ns0:c r="Z91" s="0">
        <ns0:f>IF(T91=0,0,T91-IF(V91="AM",1,0))</ns0:f>
        <ns0:v>0</ns0:v>
      </ns0:c>
      <ns0:c r="AA91" s="0">
        <ns0:f>IFERROR(IF(AND(J91&gt;0,'_Engine'!C91&gt;0,MID('_Engine'!W91,WEEKDAY(J91,2),1)="W",COUNTIF(Settings!$F$18:$F$67,J91)=0),1,0),0)</ns0:f>
        <ns0:v>0</ns0:v>
      </ns0:c>
      <ns0:c r="AB91" s="0">
        <ns0:f>IFERROR(IF(AND(T91&gt;0,'_Engine'!C91&gt;0,MID('_Engine'!W91,WEEKDAY(T91,2),1)="W",COUNTIF(Settings!$F$18:$F$67,T91)=0),1,0),0)</ns0:f>
        <ns0:v>0</ns0:v>
      </ns0:c>
      <ns0:c r="AC91" s="0">
        <ns0:f>IF(AND(J91&gt;0,T91&gt;0,W91&lt;=X91),1,0)</ns0:f>
        <ns0:v>0</ns0:v>
      </ns0:c>
      <ns0:c r="AD91" s="0">
        <ns0:f>IF(AND(J91&gt;0,T91&gt;0,Y91&lt;=Z91),1,0)</ns0:f>
        <ns0:v>0</ns0:v>
      </ns0:c>
    </ns0:row>
    <ns0:row r="92">
      <ns0:c r="A92" s="0">
        <ns0:f>IFERROR(IF(ISNUMBER(Bookings!B92),"",TRIM(Bookings!B92&amp;"")),"")</ns0:f>
      </ns0:c>
      <ns0:c r="B92" s="0">
        <ns0:f>IFERROR(SUBSTITUTE(SUBSTITUTE(A92,"/","."),"-","."),"")</ns0:f>
      </ns0:c>
      <ns0:c r="C92" s="0">
        <ns0:f>IFERROR(LEFT(B92,FIND(".",B92)-1),"")</ns0:f>
      </ns0:c>
      <ns0:c r="D92" s="0">
        <ns0:f>IFERROR(MID(B92,FIND(".",B92)+1,FIND(".",B92,FIND(".",B92)+1)-FIND(".",B92)-1),"")</ns0:f>
      </ns0:c>
      <ns0:c r="E92" s="0">
        <ns0:f>IFERROR(MID(B92,FIND(".",B92,FIND(".",B92)+1)+1,99),"")</ns0:f>
        <ns0:v>99</ns0:v>
      </ns0:c>
      <ns0:c r="F92" s="0">
        <ns0:f>IFERROR(IF(FIND(".",B92)=5,--C92,--E92),0)</ns0:f>
        <ns0:v>0</ns0:v>
      </ns0:c>
      <ns0:c r="G92" s="0">
        <ns0:f>IFERROR(--D92,0)</ns0:f>
        <ns0:v>0</ns0:v>
      </ns0:c>
      <ns0:c r="H92" s="0">
        <ns0:f>IFERROR(IF(FIND(".",B92)=5,--E92,--C92),0)</ns0:f>
        <ns0:v>0</ns0:v>
      </ns0:c>
      <ns0:c r="I92" s="0">
        <ns0:f>IFERROR(IF(AND(F92&gt;=2000,F92&lt;=2100,G92&gt;=1,G92&lt;=12,H92&gt;=1,H92&lt;=31),DATE(F92,G92,H92),0),0)</ns0:f>
        <ns0:v>0</ns0:v>
      </ns0:c>
      <ns0:c r="J92" s="0">
        <ns0:f>IFERROR(IF(ISNUMBER(Bookings!B92),IF(AND(Bookings!B92=INT(Bookings!B92),Bookings!B92&gt;=DATE(2000,1,1),Bookings!B92&lt;=DATE(2100,12,31)),Bookings!B92,0),IF(AND(A92&lt;&gt;"",LEN("x"&amp;B92)-LEN(SUBSTITUTE("x"&amp;B92,".",""))=2,OR(1&gt;LEN(B92),MID(B92,1,1)=".",ISNUMBER(FIND("x"&amp;MID(B92,1,1),"x0x1x2x3x4x5x6x7x8x9"))),OR(2&gt;LEN(B92),MID(B92,2,1)=".",ISNUMBER(FIND("x"&amp;MID(B92,2,1),"x0x1x2x3x4x5x6x7x8x9"))),OR(3&gt;LEN(B92),MID(B92,3,1)=".",ISNUMBER(FIND("x"&amp;MID(B92,3,1),"x0x1x2x3x4x5x6x7x8x9"))),OR(4&gt;LEN(B92),MID(B92,4,1)=".",ISNUMBER(FIND("x"&amp;MID(B92,4,1),"x0x1x2x3x4x5x6x7x8x9"))),OR(5&gt;LEN(B92),MID(B92,5,1)=".",ISNUMBER(FIND("x"&amp;MID(B92,5,1),"x0x1x2x3x4x5x6x7x8x9"))),OR(6&gt;LEN(B92),MID(B92,6,1)=".",ISNUMBER(FIND("x"&amp;MID(B92,6,1),"x0x1x2x3x4x5x6x7x8x9"))),OR(7&gt;LEN(B92),MID(B92,7,1)=".",ISNUMBER(FIND("x"&amp;MID(B92,7,1),"x0x1x2x3x4x5x6x7x8x9"))),OR(8&gt;LEN(B92),MID(B92,8,1)=".",ISNUMBER(FIND("x"&amp;MID(B92,8,1),"x0x1x2x3x4x5x6x7x8x9"))),OR(9&gt;LEN(B92),MID(B92,9,1)=".",ISNUMBER(FIND("x"&amp;MID(B92,9,1),"x0x1x2x3x4x5x6x7x8x9"))),OR(10&gt;LEN(B92),MID(B92,10,1)=".",ISNUMBER(FIND("x"&amp;MID(B92,10,1),"x0x1x2x3x4x5x6x7x8x9"))),OR(AND(FIND(".",B92)=5,LEN(B92)-FIND(".",B92,FIND(".",B92)+1)&gt;=1,LEN(B92)-FIND(".",B92,FIND(".",B92)+1)&lt;=2),AND(LEN(B92)-FIND(".",B92,FIND(".",B92)+1)=4,FIND(".",B92)&gt;=2,FIND(".",B92)&lt;=3)),FIND(".",B92,FIND(".",B92)+1)-FIND(".",B92)&gt;=2,FIND(".",B92,FIND(".",B92)+1)-FIND(".",B92)&lt;=3,F92&gt;=2000,F92&lt;=2100,YEAR(I92)=F92,MONTH(I92)=G92,DAY(I92)=H92),I92,0)),0)</ns0:f>
        <ns0:v>0</ns0:v>
      </ns0:c>
      <ns0:c r="K92" s="0">
        <ns0:f>IFERROR(IF(ISNUMBER(Bookings!D92),"",TRIM(Bookings!D92&amp;"")),"")</ns0:f>
      </ns0:c>
      <ns0:c r="L92" s="0">
        <ns0:f>IFERROR(SUBSTITUTE(SUBSTITUTE(K92,"/","."),"-","."),"")</ns0:f>
      </ns0:c>
      <ns0:c r="M92" s="0">
        <ns0:f>IFERROR(LEFT(L92,FIND(".",L92)-1),"")</ns0:f>
      </ns0:c>
      <ns0:c r="N92" s="0">
        <ns0:f>IFERROR(MID(L92,FIND(".",L92)+1,FIND(".",L92,FIND(".",L92)+1)-FIND(".",L92)-1),"")</ns0:f>
      </ns0:c>
      <ns0:c r="O92" s="0">
        <ns0:f>IFERROR(MID(L92,FIND(".",L92,FIND(".",L92)+1)+1,99),"")</ns0:f>
        <ns0:v>99</ns0:v>
      </ns0:c>
      <ns0:c r="P92" s="0">
        <ns0:f>IFERROR(IF(FIND(".",L92)=5,--M92,--O92),0)</ns0:f>
        <ns0:v>0</ns0:v>
      </ns0:c>
      <ns0:c r="Q92" s="0">
        <ns0:f>IFERROR(--N92,0)</ns0:f>
        <ns0:v>0</ns0:v>
      </ns0:c>
      <ns0:c r="R92" s="0">
        <ns0:f>IFERROR(IF(FIND(".",L92)=5,--O92,--M92),0)</ns0:f>
        <ns0:v>0</ns0:v>
      </ns0:c>
      <ns0:c r="S92" s="0">
        <ns0:f>IFERROR(IF(AND(P92&gt;=2000,P92&lt;=2100,Q92&gt;=1,Q92&lt;=12,R92&gt;=1,R92&lt;=31),DATE(P92,Q92,R92),0),0)</ns0:f>
        <ns0:v>0</ns0:v>
      </ns0:c>
      <ns0:c r="T92" s="0">
        <ns0:f>IFERROR(IF(ISNUMBER(Bookings!D92),IF(AND(Bookings!D92=INT(Bookings!D92),Bookings!D92&gt;=DATE(2000,1,1),Bookings!D92&lt;=DATE(2100,12,31)),Bookings!D92,0),IF(AND(K92&lt;&gt;"",LEN("x"&amp;L92)-LEN(SUBSTITUTE("x"&amp;L92,".",""))=2,OR(1&gt;LEN(L92),MID(L92,1,1)=".",ISNUMBER(FIND("x"&amp;MID(L92,1,1),"x0x1x2x3x4x5x6x7x8x9"))),OR(2&gt;LEN(L92),MID(L92,2,1)=".",ISNUMBER(FIND("x"&amp;MID(L92,2,1),"x0x1x2x3x4x5x6x7x8x9"))),OR(3&gt;LEN(L92),MID(L92,3,1)=".",ISNUMBER(FIND("x"&amp;MID(L92,3,1),"x0x1x2x3x4x5x6x7x8x9"))),OR(4&gt;LEN(L92),MID(L92,4,1)=".",ISNUMBER(FIND("x"&amp;MID(L92,4,1),"x0x1x2x3x4x5x6x7x8x9"))),OR(5&gt;LEN(L92),MID(L92,5,1)=".",ISNUMBER(FIND("x"&amp;MID(L92,5,1),"x0x1x2x3x4x5x6x7x8x9"))),OR(6&gt;LEN(L92),MID(L92,6,1)=".",ISNUMBER(FIND("x"&amp;MID(L92,6,1),"x0x1x2x3x4x5x6x7x8x9"))),OR(7&gt;LEN(L92),MID(L92,7,1)=".",ISNUMBER(FIND("x"&amp;MID(L92,7,1),"x0x1x2x3x4x5x6x7x8x9"))),OR(8&gt;LEN(L92),MID(L92,8,1)=".",ISNUMBER(FIND("x"&amp;MID(L92,8,1),"x0x1x2x3x4x5x6x7x8x9"))),OR(9&gt;LEN(L92),MID(L92,9,1)=".",ISNUMBER(FIND("x"&amp;MID(L92,9,1),"x0x1x2x3x4x5x6x7x8x9"))),OR(10&gt;LEN(L92),MID(L92,10,1)=".",ISNUMBER(FIND("x"&amp;MID(L92,10,1),"x0x1x2x3x4x5x6x7x8x9"))),OR(AND(FIND(".",L92)=5,LEN(L92)-FIND(".",L92,FIND(".",L92)+1)&gt;=1,LEN(L92)-FIND(".",L92,FIND(".",L92)+1)&lt;=2),AND(LEN(L92)-FIND(".",L92,FIND(".",L92)+1)=4,FIND(".",L92)&gt;=2,FIND(".",L92)&lt;=3)),FIND(".",L92,FIND(".",L92)+1)-FIND(".",L92)&gt;=2,FIND(".",L92,FIND(".",L92)+1)-FIND(".",L92)&lt;=3,P92&gt;=2000,P92&lt;=2100,YEAR(S92)=P92,MONTH(S92)=Q92,DAY(S92)=R92),S92,0)),0)</ns0:f>
        <ns0:v>0</ns0:v>
      </ns0:c>
      <ns0:c r="U92" s="0" t="str">
        <ns0:f>IF(Bookings!C92="","Full day",Bookings!C92)</ns0:f>
        <ns0:v>Full day</ns0:v>
      </ns0:c>
      <ns0:c r="V92" s="0" t="str">
        <ns0:f>IF(Bookings!E92="","Full day",Bookings!E92)</ns0:f>
        <ns0:v>Full day</ns0:v>
      </ns0:c>
      <ns0:c r="W92" s="0">
        <ns0:f>IF(J92=0,0,J92+IF(U92="PM",1,0))</ns0:f>
        <ns0:v>0</ns0:v>
      </ns0:c>
      <ns0:c r="X92" s="0">
        <ns0:f>IF(T92=0,0,T92-IF(V92="PM",1,0))</ns0:f>
        <ns0:v>0</ns0:v>
      </ns0:c>
      <ns0:c r="Y92" s="0">
        <ns0:f>IF(J92=0,0,J92+IF(U92="AM",1,0))</ns0:f>
        <ns0:v>0</ns0:v>
      </ns0:c>
      <ns0:c r="Z92" s="0">
        <ns0:f>IF(T92=0,0,T92-IF(V92="AM",1,0))</ns0:f>
        <ns0:v>0</ns0:v>
      </ns0:c>
      <ns0:c r="AA92" s="0">
        <ns0:f>IFERROR(IF(AND(J92&gt;0,'_Engine'!C92&gt;0,MID('_Engine'!W92,WEEKDAY(J92,2),1)="W",COUNTIF(Settings!$F$18:$F$67,J92)=0),1,0),0)</ns0:f>
        <ns0:v>0</ns0:v>
      </ns0:c>
      <ns0:c r="AB92" s="0">
        <ns0:f>IFERROR(IF(AND(T92&gt;0,'_Engine'!C92&gt;0,MID('_Engine'!W92,WEEKDAY(T92,2),1)="W",COUNTIF(Settings!$F$18:$F$67,T92)=0),1,0),0)</ns0:f>
        <ns0:v>0</ns0:v>
      </ns0:c>
      <ns0:c r="AC92" s="0">
        <ns0:f>IF(AND(J92&gt;0,T92&gt;0,W92&lt;=X92),1,0)</ns0:f>
        <ns0:v>0</ns0:v>
      </ns0:c>
      <ns0:c r="AD92" s="0">
        <ns0:f>IF(AND(J92&gt;0,T92&gt;0,Y92&lt;=Z92),1,0)</ns0:f>
        <ns0:v>0</ns0:v>
      </ns0:c>
    </ns0:row>
    <ns0:row r="93">
      <ns0:c r="A93" s="0">
        <ns0:f>IFERROR(IF(ISNUMBER(Bookings!B93),"",TRIM(Bookings!B93&amp;"")),"")</ns0:f>
      </ns0:c>
      <ns0:c r="B93" s="0">
        <ns0:f>IFERROR(SUBSTITUTE(SUBSTITUTE(A93,"/","."),"-","."),"")</ns0:f>
      </ns0:c>
      <ns0:c r="C93" s="0">
        <ns0:f>IFERROR(LEFT(B93,FIND(".",B93)-1),"")</ns0:f>
      </ns0:c>
      <ns0:c r="D93" s="0">
        <ns0:f>IFERROR(MID(B93,FIND(".",B93)+1,FIND(".",B93,FIND(".",B93)+1)-FIND(".",B93)-1),"")</ns0:f>
      </ns0:c>
      <ns0:c r="E93" s="0">
        <ns0:f>IFERROR(MID(B93,FIND(".",B93,FIND(".",B93)+1)+1,99),"")</ns0:f>
        <ns0:v>99</ns0:v>
      </ns0:c>
      <ns0:c r="F93" s="0">
        <ns0:f>IFERROR(IF(FIND(".",B93)=5,--C93,--E93),0)</ns0:f>
        <ns0:v>0</ns0:v>
      </ns0:c>
      <ns0:c r="G93" s="0">
        <ns0:f>IFERROR(--D93,0)</ns0:f>
        <ns0:v>0</ns0:v>
      </ns0:c>
      <ns0:c r="H93" s="0">
        <ns0:f>IFERROR(IF(FIND(".",B93)=5,--E93,--C93),0)</ns0:f>
        <ns0:v>0</ns0:v>
      </ns0:c>
      <ns0:c r="I93" s="0">
        <ns0:f>IFERROR(IF(AND(F93&gt;=2000,F93&lt;=2100,G93&gt;=1,G93&lt;=12,H93&gt;=1,H93&lt;=31),DATE(F93,G93,H93),0),0)</ns0:f>
        <ns0:v>0</ns0:v>
      </ns0:c>
      <ns0:c r="J93" s="0">
        <ns0:f>IFERROR(IF(ISNUMBER(Bookings!B93),IF(AND(Bookings!B93=INT(Bookings!B93),Bookings!B93&gt;=DATE(2000,1,1),Bookings!B93&lt;=DATE(2100,12,31)),Bookings!B93,0),IF(AND(A93&lt;&gt;"",LEN("x"&amp;B93)-LEN(SUBSTITUTE("x"&amp;B93,".",""))=2,OR(1&gt;LEN(B93),MID(B93,1,1)=".",ISNUMBER(FIND("x"&amp;MID(B93,1,1),"x0x1x2x3x4x5x6x7x8x9"))),OR(2&gt;LEN(B93),MID(B93,2,1)=".",ISNUMBER(FIND("x"&amp;MID(B93,2,1),"x0x1x2x3x4x5x6x7x8x9"))),OR(3&gt;LEN(B93),MID(B93,3,1)=".",ISNUMBER(FIND("x"&amp;MID(B93,3,1),"x0x1x2x3x4x5x6x7x8x9"))),OR(4&gt;LEN(B93),MID(B93,4,1)=".",ISNUMBER(FIND("x"&amp;MID(B93,4,1),"x0x1x2x3x4x5x6x7x8x9"))),OR(5&gt;LEN(B93),MID(B93,5,1)=".",ISNUMBER(FIND("x"&amp;MID(B93,5,1),"x0x1x2x3x4x5x6x7x8x9"))),OR(6&gt;LEN(B93),MID(B93,6,1)=".",ISNUMBER(FIND("x"&amp;MID(B93,6,1),"x0x1x2x3x4x5x6x7x8x9"))),OR(7&gt;LEN(B93),MID(B93,7,1)=".",ISNUMBER(FIND("x"&amp;MID(B93,7,1),"x0x1x2x3x4x5x6x7x8x9"))),OR(8&gt;LEN(B93),MID(B93,8,1)=".",ISNUMBER(FIND("x"&amp;MID(B93,8,1),"x0x1x2x3x4x5x6x7x8x9"))),OR(9&gt;LEN(B93),MID(B93,9,1)=".",ISNUMBER(FIND("x"&amp;MID(B93,9,1),"x0x1x2x3x4x5x6x7x8x9"))),OR(10&gt;LEN(B93),MID(B93,10,1)=".",ISNUMBER(FIND("x"&amp;MID(B93,10,1),"x0x1x2x3x4x5x6x7x8x9"))),OR(AND(FIND(".",B93)=5,LEN(B93)-FIND(".",B93,FIND(".",B93)+1)&gt;=1,LEN(B93)-FIND(".",B93,FIND(".",B93)+1)&lt;=2),AND(LEN(B93)-FIND(".",B93,FIND(".",B93)+1)=4,FIND(".",B93)&gt;=2,FIND(".",B93)&lt;=3)),FIND(".",B93,FIND(".",B93)+1)-FIND(".",B93)&gt;=2,FIND(".",B93,FIND(".",B93)+1)-FIND(".",B93)&lt;=3,F93&gt;=2000,F93&lt;=2100,YEAR(I93)=F93,MONTH(I93)=G93,DAY(I93)=H93),I93,0)),0)</ns0:f>
        <ns0:v>0</ns0:v>
      </ns0:c>
      <ns0:c r="K93" s="0">
        <ns0:f>IFERROR(IF(ISNUMBER(Bookings!D93),"",TRIM(Bookings!D93&amp;"")),"")</ns0:f>
      </ns0:c>
      <ns0:c r="L93" s="0">
        <ns0:f>IFERROR(SUBSTITUTE(SUBSTITUTE(K93,"/","."),"-","."),"")</ns0:f>
      </ns0:c>
      <ns0:c r="M93" s="0">
        <ns0:f>IFERROR(LEFT(L93,FIND(".",L93)-1),"")</ns0:f>
      </ns0:c>
      <ns0:c r="N93" s="0">
        <ns0:f>IFERROR(MID(L93,FIND(".",L93)+1,FIND(".",L93,FIND(".",L93)+1)-FIND(".",L93)-1),"")</ns0:f>
      </ns0:c>
      <ns0:c r="O93" s="0">
        <ns0:f>IFERROR(MID(L93,FIND(".",L93,FIND(".",L93)+1)+1,99),"")</ns0:f>
        <ns0:v>99</ns0:v>
      </ns0:c>
      <ns0:c r="P93" s="0">
        <ns0:f>IFERROR(IF(FIND(".",L93)=5,--M93,--O93),0)</ns0:f>
        <ns0:v>0</ns0:v>
      </ns0:c>
      <ns0:c r="Q93" s="0">
        <ns0:f>IFERROR(--N93,0)</ns0:f>
        <ns0:v>0</ns0:v>
      </ns0:c>
      <ns0:c r="R93" s="0">
        <ns0:f>IFERROR(IF(FIND(".",L93)=5,--O93,--M93),0)</ns0:f>
        <ns0:v>0</ns0:v>
      </ns0:c>
      <ns0:c r="S93" s="0">
        <ns0:f>IFERROR(IF(AND(P93&gt;=2000,P93&lt;=2100,Q93&gt;=1,Q93&lt;=12,R93&gt;=1,R93&lt;=31),DATE(P93,Q93,R93),0),0)</ns0:f>
        <ns0:v>0</ns0:v>
      </ns0:c>
      <ns0:c r="T93" s="0">
        <ns0:f>IFERROR(IF(ISNUMBER(Bookings!D93),IF(AND(Bookings!D93=INT(Bookings!D93),Bookings!D93&gt;=DATE(2000,1,1),Bookings!D93&lt;=DATE(2100,12,31)),Bookings!D93,0),IF(AND(K93&lt;&gt;"",LEN("x"&amp;L93)-LEN(SUBSTITUTE("x"&amp;L93,".",""))=2,OR(1&gt;LEN(L93),MID(L93,1,1)=".",ISNUMBER(FIND("x"&amp;MID(L93,1,1),"x0x1x2x3x4x5x6x7x8x9"))),OR(2&gt;LEN(L93),MID(L93,2,1)=".",ISNUMBER(FIND("x"&amp;MID(L93,2,1),"x0x1x2x3x4x5x6x7x8x9"))),OR(3&gt;LEN(L93),MID(L93,3,1)=".",ISNUMBER(FIND("x"&amp;MID(L93,3,1),"x0x1x2x3x4x5x6x7x8x9"))),OR(4&gt;LEN(L93),MID(L93,4,1)=".",ISNUMBER(FIND("x"&amp;MID(L93,4,1),"x0x1x2x3x4x5x6x7x8x9"))),OR(5&gt;LEN(L93),MID(L93,5,1)=".",ISNUMBER(FIND("x"&amp;MID(L93,5,1),"x0x1x2x3x4x5x6x7x8x9"))),OR(6&gt;LEN(L93),MID(L93,6,1)=".",ISNUMBER(FIND("x"&amp;MID(L93,6,1),"x0x1x2x3x4x5x6x7x8x9"))),OR(7&gt;LEN(L93),MID(L93,7,1)=".",ISNUMBER(FIND("x"&amp;MID(L93,7,1),"x0x1x2x3x4x5x6x7x8x9"))),OR(8&gt;LEN(L93),MID(L93,8,1)=".",ISNUMBER(FIND("x"&amp;MID(L93,8,1),"x0x1x2x3x4x5x6x7x8x9"))),OR(9&gt;LEN(L93),MID(L93,9,1)=".",ISNUMBER(FIND("x"&amp;MID(L93,9,1),"x0x1x2x3x4x5x6x7x8x9"))),OR(10&gt;LEN(L93),MID(L93,10,1)=".",ISNUMBER(FIND("x"&amp;MID(L93,10,1),"x0x1x2x3x4x5x6x7x8x9"))),OR(AND(FIND(".",L93)=5,LEN(L93)-FIND(".",L93,FIND(".",L93)+1)&gt;=1,LEN(L93)-FIND(".",L93,FIND(".",L93)+1)&lt;=2),AND(LEN(L93)-FIND(".",L93,FIND(".",L93)+1)=4,FIND(".",L93)&gt;=2,FIND(".",L93)&lt;=3)),FIND(".",L93,FIND(".",L93)+1)-FIND(".",L93)&gt;=2,FIND(".",L93,FIND(".",L93)+1)-FIND(".",L93)&lt;=3,P93&gt;=2000,P93&lt;=2100,YEAR(S93)=P93,MONTH(S93)=Q93,DAY(S93)=R93),S93,0)),0)</ns0:f>
        <ns0:v>0</ns0:v>
      </ns0:c>
      <ns0:c r="U93" s="0" t="str">
        <ns0:f>IF(Bookings!C93="","Full day",Bookings!C93)</ns0:f>
        <ns0:v>Full day</ns0:v>
      </ns0:c>
      <ns0:c r="V93" s="0" t="str">
        <ns0:f>IF(Bookings!E93="","Full day",Bookings!E93)</ns0:f>
        <ns0:v>Full day</ns0:v>
      </ns0:c>
      <ns0:c r="W93" s="0">
        <ns0:f>IF(J93=0,0,J93+IF(U93="PM",1,0))</ns0:f>
        <ns0:v>0</ns0:v>
      </ns0:c>
      <ns0:c r="X93" s="0">
        <ns0:f>IF(T93=0,0,T93-IF(V93="PM",1,0))</ns0:f>
        <ns0:v>0</ns0:v>
      </ns0:c>
      <ns0:c r="Y93" s="0">
        <ns0:f>IF(J93=0,0,J93+IF(U93="AM",1,0))</ns0:f>
        <ns0:v>0</ns0:v>
      </ns0:c>
      <ns0:c r="Z93" s="0">
        <ns0:f>IF(T93=0,0,T93-IF(V93="AM",1,0))</ns0:f>
        <ns0:v>0</ns0:v>
      </ns0:c>
      <ns0:c r="AA93" s="0">
        <ns0:f>IFERROR(IF(AND(J93&gt;0,'_Engine'!C93&gt;0,MID('_Engine'!W93,WEEKDAY(J93,2),1)="W",COUNTIF(Settings!$F$18:$F$67,J93)=0),1,0),0)</ns0:f>
        <ns0:v>0</ns0:v>
      </ns0:c>
      <ns0:c r="AB93" s="0">
        <ns0:f>IFERROR(IF(AND(T93&gt;0,'_Engine'!C93&gt;0,MID('_Engine'!W93,WEEKDAY(T93,2),1)="W",COUNTIF(Settings!$F$18:$F$67,T93)=0),1,0),0)</ns0:f>
        <ns0:v>0</ns0:v>
      </ns0:c>
      <ns0:c r="AC93" s="0">
        <ns0:f>IF(AND(J93&gt;0,T93&gt;0,W93&lt;=X93),1,0)</ns0:f>
        <ns0:v>0</ns0:v>
      </ns0:c>
      <ns0:c r="AD93" s="0">
        <ns0:f>IF(AND(J93&gt;0,T93&gt;0,Y93&lt;=Z93),1,0)</ns0:f>
        <ns0:v>0</ns0:v>
      </ns0:c>
    </ns0:row>
    <ns0:row r="94">
      <ns0:c r="A94" s="0">
        <ns0:f>IFERROR(IF(ISNUMBER(Bookings!B94),"",TRIM(Bookings!B94&amp;"")),"")</ns0:f>
      </ns0:c>
      <ns0:c r="B94" s="0">
        <ns0:f>IFERROR(SUBSTITUTE(SUBSTITUTE(A94,"/","."),"-","."),"")</ns0:f>
      </ns0:c>
      <ns0:c r="C94" s="0">
        <ns0:f>IFERROR(LEFT(B94,FIND(".",B94)-1),"")</ns0:f>
      </ns0:c>
      <ns0:c r="D94" s="0">
        <ns0:f>IFERROR(MID(B94,FIND(".",B94)+1,FIND(".",B94,FIND(".",B94)+1)-FIND(".",B94)-1),"")</ns0:f>
      </ns0:c>
      <ns0:c r="E94" s="0">
        <ns0:f>IFERROR(MID(B94,FIND(".",B94,FIND(".",B94)+1)+1,99),"")</ns0:f>
        <ns0:v>99</ns0:v>
      </ns0:c>
      <ns0:c r="F94" s="0">
        <ns0:f>IFERROR(IF(FIND(".",B94)=5,--C94,--E94),0)</ns0:f>
        <ns0:v>0</ns0:v>
      </ns0:c>
      <ns0:c r="G94" s="0">
        <ns0:f>IFERROR(--D94,0)</ns0:f>
        <ns0:v>0</ns0:v>
      </ns0:c>
      <ns0:c r="H94" s="0">
        <ns0:f>IFERROR(IF(FIND(".",B94)=5,--E94,--C94),0)</ns0:f>
        <ns0:v>0</ns0:v>
      </ns0:c>
      <ns0:c r="I94" s="0">
        <ns0:f>IFERROR(IF(AND(F94&gt;=2000,F94&lt;=2100,G94&gt;=1,G94&lt;=12,H94&gt;=1,H94&lt;=31),DATE(F94,G94,H94),0),0)</ns0:f>
        <ns0:v>0</ns0:v>
      </ns0:c>
      <ns0:c r="J94" s="0">
        <ns0:f>IFERROR(IF(ISNUMBER(Bookings!B94),IF(AND(Bookings!B94=INT(Bookings!B94),Bookings!B94&gt;=DATE(2000,1,1),Bookings!B94&lt;=DATE(2100,12,31)),Bookings!B94,0),IF(AND(A94&lt;&gt;"",LEN("x"&amp;B94)-LEN(SUBSTITUTE("x"&amp;B94,".",""))=2,OR(1&gt;LEN(B94),MID(B94,1,1)=".",ISNUMBER(FIND("x"&amp;MID(B94,1,1),"x0x1x2x3x4x5x6x7x8x9"))),OR(2&gt;LEN(B94),MID(B94,2,1)=".",ISNUMBER(FIND("x"&amp;MID(B94,2,1),"x0x1x2x3x4x5x6x7x8x9"))),OR(3&gt;LEN(B94),MID(B94,3,1)=".",ISNUMBER(FIND("x"&amp;MID(B94,3,1),"x0x1x2x3x4x5x6x7x8x9"))),OR(4&gt;LEN(B94),MID(B94,4,1)=".",ISNUMBER(FIND("x"&amp;MID(B94,4,1),"x0x1x2x3x4x5x6x7x8x9"))),OR(5&gt;LEN(B94),MID(B94,5,1)=".",ISNUMBER(FIND("x"&amp;MID(B94,5,1),"x0x1x2x3x4x5x6x7x8x9"))),OR(6&gt;LEN(B94),MID(B94,6,1)=".",ISNUMBER(FIND("x"&amp;MID(B94,6,1),"x0x1x2x3x4x5x6x7x8x9"))),OR(7&gt;LEN(B94),MID(B94,7,1)=".",ISNUMBER(FIND("x"&amp;MID(B94,7,1),"x0x1x2x3x4x5x6x7x8x9"))),OR(8&gt;LEN(B94),MID(B94,8,1)=".",ISNUMBER(FIND("x"&amp;MID(B94,8,1),"x0x1x2x3x4x5x6x7x8x9"))),OR(9&gt;LEN(B94),MID(B94,9,1)=".",ISNUMBER(FIND("x"&amp;MID(B94,9,1),"x0x1x2x3x4x5x6x7x8x9"))),OR(10&gt;LEN(B94),MID(B94,10,1)=".",ISNUMBER(FIND("x"&amp;MID(B94,10,1),"x0x1x2x3x4x5x6x7x8x9"))),OR(AND(FIND(".",B94)=5,LEN(B94)-FIND(".",B94,FIND(".",B94)+1)&gt;=1,LEN(B94)-FIND(".",B94,FIND(".",B94)+1)&lt;=2),AND(LEN(B94)-FIND(".",B94,FIND(".",B94)+1)=4,FIND(".",B94)&gt;=2,FIND(".",B94)&lt;=3)),FIND(".",B94,FIND(".",B94)+1)-FIND(".",B94)&gt;=2,FIND(".",B94,FIND(".",B94)+1)-FIND(".",B94)&lt;=3,F94&gt;=2000,F94&lt;=2100,YEAR(I94)=F94,MONTH(I94)=G94,DAY(I94)=H94),I94,0)),0)</ns0:f>
        <ns0:v>0</ns0:v>
      </ns0:c>
      <ns0:c r="K94" s="0">
        <ns0:f>IFERROR(IF(ISNUMBER(Bookings!D94),"",TRIM(Bookings!D94&amp;"")),"")</ns0:f>
      </ns0:c>
      <ns0:c r="L94" s="0">
        <ns0:f>IFERROR(SUBSTITUTE(SUBSTITUTE(K94,"/","."),"-","."),"")</ns0:f>
      </ns0:c>
      <ns0:c r="M94" s="0">
        <ns0:f>IFERROR(LEFT(L94,FIND(".",L94)-1),"")</ns0:f>
      </ns0:c>
      <ns0:c r="N94" s="0">
        <ns0:f>IFERROR(MID(L94,FIND(".",L94)+1,FIND(".",L94,FIND(".",L94)+1)-FIND(".",L94)-1),"")</ns0:f>
      </ns0:c>
      <ns0:c r="O94" s="0">
        <ns0:f>IFERROR(MID(L94,FIND(".",L94,FIND(".",L94)+1)+1,99),"")</ns0:f>
        <ns0:v>99</ns0:v>
      </ns0:c>
      <ns0:c r="P94" s="0">
        <ns0:f>IFERROR(IF(FIND(".",L94)=5,--M94,--O94),0)</ns0:f>
        <ns0:v>0</ns0:v>
      </ns0:c>
      <ns0:c r="Q94" s="0">
        <ns0:f>IFERROR(--N94,0)</ns0:f>
        <ns0:v>0</ns0:v>
      </ns0:c>
      <ns0:c r="R94" s="0">
        <ns0:f>IFERROR(IF(FIND(".",L94)=5,--O94,--M94),0)</ns0:f>
        <ns0:v>0</ns0:v>
      </ns0:c>
      <ns0:c r="S94" s="0">
        <ns0:f>IFERROR(IF(AND(P94&gt;=2000,P94&lt;=2100,Q94&gt;=1,Q94&lt;=12,R94&gt;=1,R94&lt;=31),DATE(P94,Q94,R94),0),0)</ns0:f>
        <ns0:v>0</ns0:v>
      </ns0:c>
      <ns0:c r="T94" s="0">
        <ns0:f>IFERROR(IF(ISNUMBER(Bookings!D94),IF(AND(Bookings!D94=INT(Bookings!D94),Bookings!D94&gt;=DATE(2000,1,1),Bookings!D94&lt;=DATE(2100,12,31)),Bookings!D94,0),IF(AND(K94&lt;&gt;"",LEN("x"&amp;L94)-LEN(SUBSTITUTE("x"&amp;L94,".",""))=2,OR(1&gt;LEN(L94),MID(L94,1,1)=".",ISNUMBER(FIND("x"&amp;MID(L94,1,1),"x0x1x2x3x4x5x6x7x8x9"))),OR(2&gt;LEN(L94),MID(L94,2,1)=".",ISNUMBER(FIND("x"&amp;MID(L94,2,1),"x0x1x2x3x4x5x6x7x8x9"))),OR(3&gt;LEN(L94),MID(L94,3,1)=".",ISNUMBER(FIND("x"&amp;MID(L94,3,1),"x0x1x2x3x4x5x6x7x8x9"))),OR(4&gt;LEN(L94),MID(L94,4,1)=".",ISNUMBER(FIND("x"&amp;MID(L94,4,1),"x0x1x2x3x4x5x6x7x8x9"))),OR(5&gt;LEN(L94),MID(L94,5,1)=".",ISNUMBER(FIND("x"&amp;MID(L94,5,1),"x0x1x2x3x4x5x6x7x8x9"))),OR(6&gt;LEN(L94),MID(L94,6,1)=".",ISNUMBER(FIND("x"&amp;MID(L94,6,1),"x0x1x2x3x4x5x6x7x8x9"))),OR(7&gt;LEN(L94),MID(L94,7,1)=".",ISNUMBER(FIND("x"&amp;MID(L94,7,1),"x0x1x2x3x4x5x6x7x8x9"))),OR(8&gt;LEN(L94),MID(L94,8,1)=".",ISNUMBER(FIND("x"&amp;MID(L94,8,1),"x0x1x2x3x4x5x6x7x8x9"))),OR(9&gt;LEN(L94),MID(L94,9,1)=".",ISNUMBER(FIND("x"&amp;MID(L94,9,1),"x0x1x2x3x4x5x6x7x8x9"))),OR(10&gt;LEN(L94),MID(L94,10,1)=".",ISNUMBER(FIND("x"&amp;MID(L94,10,1),"x0x1x2x3x4x5x6x7x8x9"))),OR(AND(FIND(".",L94)=5,LEN(L94)-FIND(".",L94,FIND(".",L94)+1)&gt;=1,LEN(L94)-FIND(".",L94,FIND(".",L94)+1)&lt;=2),AND(LEN(L94)-FIND(".",L94,FIND(".",L94)+1)=4,FIND(".",L94)&gt;=2,FIND(".",L94)&lt;=3)),FIND(".",L94,FIND(".",L94)+1)-FIND(".",L94)&gt;=2,FIND(".",L94,FIND(".",L94)+1)-FIND(".",L94)&lt;=3,P94&gt;=2000,P94&lt;=2100,YEAR(S94)=P94,MONTH(S94)=Q94,DAY(S94)=R94),S94,0)),0)</ns0:f>
        <ns0:v>0</ns0:v>
      </ns0:c>
      <ns0:c r="U94" s="0" t="str">
        <ns0:f>IF(Bookings!C94="","Full day",Bookings!C94)</ns0:f>
        <ns0:v>Full day</ns0:v>
      </ns0:c>
      <ns0:c r="V94" s="0" t="str">
        <ns0:f>IF(Bookings!E94="","Full day",Bookings!E94)</ns0:f>
        <ns0:v>Full day</ns0:v>
      </ns0:c>
      <ns0:c r="W94" s="0">
        <ns0:f>IF(J94=0,0,J94+IF(U94="PM",1,0))</ns0:f>
        <ns0:v>0</ns0:v>
      </ns0:c>
      <ns0:c r="X94" s="0">
        <ns0:f>IF(T94=0,0,T94-IF(V94="PM",1,0))</ns0:f>
        <ns0:v>0</ns0:v>
      </ns0:c>
      <ns0:c r="Y94" s="0">
        <ns0:f>IF(J94=0,0,J94+IF(U94="AM",1,0))</ns0:f>
        <ns0:v>0</ns0:v>
      </ns0:c>
      <ns0:c r="Z94" s="0">
        <ns0:f>IF(T94=0,0,T94-IF(V94="AM",1,0))</ns0:f>
        <ns0:v>0</ns0:v>
      </ns0:c>
      <ns0:c r="AA94" s="0">
        <ns0:f>IFERROR(IF(AND(J94&gt;0,'_Engine'!C94&gt;0,MID('_Engine'!W94,WEEKDAY(J94,2),1)="W",COUNTIF(Settings!$F$18:$F$67,J94)=0),1,0),0)</ns0:f>
        <ns0:v>0</ns0:v>
      </ns0:c>
      <ns0:c r="AB94" s="0">
        <ns0:f>IFERROR(IF(AND(T94&gt;0,'_Engine'!C94&gt;0,MID('_Engine'!W94,WEEKDAY(T94,2),1)="W",COUNTIF(Settings!$F$18:$F$67,T94)=0),1,0),0)</ns0:f>
        <ns0:v>0</ns0:v>
      </ns0:c>
      <ns0:c r="AC94" s="0">
        <ns0:f>IF(AND(J94&gt;0,T94&gt;0,W94&lt;=X94),1,0)</ns0:f>
        <ns0:v>0</ns0:v>
      </ns0:c>
      <ns0:c r="AD94" s="0">
        <ns0:f>IF(AND(J94&gt;0,T94&gt;0,Y94&lt;=Z94),1,0)</ns0:f>
        <ns0:v>0</ns0:v>
      </ns0:c>
    </ns0:row>
    <ns0:row r="95">
      <ns0:c r="A95" s="0">
        <ns0:f>IFERROR(IF(ISNUMBER(Bookings!B95),"",TRIM(Bookings!B95&amp;"")),"")</ns0:f>
      </ns0:c>
      <ns0:c r="B95" s="0">
        <ns0:f>IFERROR(SUBSTITUTE(SUBSTITUTE(A95,"/","."),"-","."),"")</ns0:f>
      </ns0:c>
      <ns0:c r="C95" s="0">
        <ns0:f>IFERROR(LEFT(B95,FIND(".",B95)-1),"")</ns0:f>
      </ns0:c>
      <ns0:c r="D95" s="0">
        <ns0:f>IFERROR(MID(B95,FIND(".",B95)+1,FIND(".",B95,FIND(".",B95)+1)-FIND(".",B95)-1),"")</ns0:f>
      </ns0:c>
      <ns0:c r="E95" s="0">
        <ns0:f>IFERROR(MID(B95,FIND(".",B95,FIND(".",B95)+1)+1,99),"")</ns0:f>
        <ns0:v>99</ns0:v>
      </ns0:c>
      <ns0:c r="F95" s="0">
        <ns0:f>IFERROR(IF(FIND(".",B95)=5,--C95,--E95),0)</ns0:f>
        <ns0:v>0</ns0:v>
      </ns0:c>
      <ns0:c r="G95" s="0">
        <ns0:f>IFERROR(--D95,0)</ns0:f>
        <ns0:v>0</ns0:v>
      </ns0:c>
      <ns0:c r="H95" s="0">
        <ns0:f>IFERROR(IF(FIND(".",B95)=5,--E95,--C95),0)</ns0:f>
        <ns0:v>0</ns0:v>
      </ns0:c>
      <ns0:c r="I95" s="0">
        <ns0:f>IFERROR(IF(AND(F95&gt;=2000,F95&lt;=2100,G95&gt;=1,G95&lt;=12,H95&gt;=1,H95&lt;=31),DATE(F95,G95,H95),0),0)</ns0:f>
        <ns0:v>0</ns0:v>
      </ns0:c>
      <ns0:c r="J95" s="0">
        <ns0:f>IFERROR(IF(ISNUMBER(Bookings!B95),IF(AND(Bookings!B95=INT(Bookings!B95),Bookings!B95&gt;=DATE(2000,1,1),Bookings!B95&lt;=DATE(2100,12,31)),Bookings!B95,0),IF(AND(A95&lt;&gt;"",LEN("x"&amp;B95)-LEN(SUBSTITUTE("x"&amp;B95,".",""))=2,OR(1&gt;LEN(B95),MID(B95,1,1)=".",ISNUMBER(FIND("x"&amp;MID(B95,1,1),"x0x1x2x3x4x5x6x7x8x9"))),OR(2&gt;LEN(B95),MID(B95,2,1)=".",ISNUMBER(FIND("x"&amp;MID(B95,2,1),"x0x1x2x3x4x5x6x7x8x9"))),OR(3&gt;LEN(B95),MID(B95,3,1)=".",ISNUMBER(FIND("x"&amp;MID(B95,3,1),"x0x1x2x3x4x5x6x7x8x9"))),OR(4&gt;LEN(B95),MID(B95,4,1)=".",ISNUMBER(FIND("x"&amp;MID(B95,4,1),"x0x1x2x3x4x5x6x7x8x9"))),OR(5&gt;LEN(B95),MID(B95,5,1)=".",ISNUMBER(FIND("x"&amp;MID(B95,5,1),"x0x1x2x3x4x5x6x7x8x9"))),OR(6&gt;LEN(B95),MID(B95,6,1)=".",ISNUMBER(FIND("x"&amp;MID(B95,6,1),"x0x1x2x3x4x5x6x7x8x9"))),OR(7&gt;LEN(B95),MID(B95,7,1)=".",ISNUMBER(FIND("x"&amp;MID(B95,7,1),"x0x1x2x3x4x5x6x7x8x9"))),OR(8&gt;LEN(B95),MID(B95,8,1)=".",ISNUMBER(FIND("x"&amp;MID(B95,8,1),"x0x1x2x3x4x5x6x7x8x9"))),OR(9&gt;LEN(B95),MID(B95,9,1)=".",ISNUMBER(FIND("x"&amp;MID(B95,9,1),"x0x1x2x3x4x5x6x7x8x9"))),OR(10&gt;LEN(B95),MID(B95,10,1)=".",ISNUMBER(FIND("x"&amp;MID(B95,10,1),"x0x1x2x3x4x5x6x7x8x9"))),OR(AND(FIND(".",B95)=5,LEN(B95)-FIND(".",B95,FIND(".",B95)+1)&gt;=1,LEN(B95)-FIND(".",B95,FIND(".",B95)+1)&lt;=2),AND(LEN(B95)-FIND(".",B95,FIND(".",B95)+1)=4,FIND(".",B95)&gt;=2,FIND(".",B95)&lt;=3)),FIND(".",B95,FIND(".",B95)+1)-FIND(".",B95)&gt;=2,FIND(".",B95,FIND(".",B95)+1)-FIND(".",B95)&lt;=3,F95&gt;=2000,F95&lt;=2100,YEAR(I95)=F95,MONTH(I95)=G95,DAY(I95)=H95),I95,0)),0)</ns0:f>
        <ns0:v>0</ns0:v>
      </ns0:c>
      <ns0:c r="K95" s="0">
        <ns0:f>IFERROR(IF(ISNUMBER(Bookings!D95),"",TRIM(Bookings!D95&amp;"")),"")</ns0:f>
      </ns0:c>
      <ns0:c r="L95" s="0">
        <ns0:f>IFERROR(SUBSTITUTE(SUBSTITUTE(K95,"/","."),"-","."),"")</ns0:f>
      </ns0:c>
      <ns0:c r="M95" s="0">
        <ns0:f>IFERROR(LEFT(L95,FIND(".",L95)-1),"")</ns0:f>
      </ns0:c>
      <ns0:c r="N95" s="0">
        <ns0:f>IFERROR(MID(L95,FIND(".",L95)+1,FIND(".",L95,FIND(".",L95)+1)-FIND(".",L95)-1),"")</ns0:f>
      </ns0:c>
      <ns0:c r="O95" s="0">
        <ns0:f>IFERROR(MID(L95,FIND(".",L95,FIND(".",L95)+1)+1,99),"")</ns0:f>
        <ns0:v>99</ns0:v>
      </ns0:c>
      <ns0:c r="P95" s="0">
        <ns0:f>IFERROR(IF(FIND(".",L95)=5,--M95,--O95),0)</ns0:f>
        <ns0:v>0</ns0:v>
      </ns0:c>
      <ns0:c r="Q95" s="0">
        <ns0:f>IFERROR(--N95,0)</ns0:f>
        <ns0:v>0</ns0:v>
      </ns0:c>
      <ns0:c r="R95" s="0">
        <ns0:f>IFERROR(IF(FIND(".",L95)=5,--O95,--M95),0)</ns0:f>
        <ns0:v>0</ns0:v>
      </ns0:c>
      <ns0:c r="S95" s="0">
        <ns0:f>IFERROR(IF(AND(P95&gt;=2000,P95&lt;=2100,Q95&gt;=1,Q95&lt;=12,R95&gt;=1,R95&lt;=31),DATE(P95,Q95,R95),0),0)</ns0:f>
        <ns0:v>0</ns0:v>
      </ns0:c>
      <ns0:c r="T95" s="0">
        <ns0:f>IFERROR(IF(ISNUMBER(Bookings!D95),IF(AND(Bookings!D95=INT(Bookings!D95),Bookings!D95&gt;=DATE(2000,1,1),Bookings!D95&lt;=DATE(2100,12,31)),Bookings!D95,0),IF(AND(K95&lt;&gt;"",LEN("x"&amp;L95)-LEN(SUBSTITUTE("x"&amp;L95,".",""))=2,OR(1&gt;LEN(L95),MID(L95,1,1)=".",ISNUMBER(FIND("x"&amp;MID(L95,1,1),"x0x1x2x3x4x5x6x7x8x9"))),OR(2&gt;LEN(L95),MID(L95,2,1)=".",ISNUMBER(FIND("x"&amp;MID(L95,2,1),"x0x1x2x3x4x5x6x7x8x9"))),OR(3&gt;LEN(L95),MID(L95,3,1)=".",ISNUMBER(FIND("x"&amp;MID(L95,3,1),"x0x1x2x3x4x5x6x7x8x9"))),OR(4&gt;LEN(L95),MID(L95,4,1)=".",ISNUMBER(FIND("x"&amp;MID(L95,4,1),"x0x1x2x3x4x5x6x7x8x9"))),OR(5&gt;LEN(L95),MID(L95,5,1)=".",ISNUMBER(FIND("x"&amp;MID(L95,5,1),"x0x1x2x3x4x5x6x7x8x9"))),OR(6&gt;LEN(L95),MID(L95,6,1)=".",ISNUMBER(FIND("x"&amp;MID(L95,6,1),"x0x1x2x3x4x5x6x7x8x9"))),OR(7&gt;LEN(L95),MID(L95,7,1)=".",ISNUMBER(FIND("x"&amp;MID(L95,7,1),"x0x1x2x3x4x5x6x7x8x9"))),OR(8&gt;LEN(L95),MID(L95,8,1)=".",ISNUMBER(FIND("x"&amp;MID(L95,8,1),"x0x1x2x3x4x5x6x7x8x9"))),OR(9&gt;LEN(L95),MID(L95,9,1)=".",ISNUMBER(FIND("x"&amp;MID(L95,9,1),"x0x1x2x3x4x5x6x7x8x9"))),OR(10&gt;LEN(L95),MID(L95,10,1)=".",ISNUMBER(FIND("x"&amp;MID(L95,10,1),"x0x1x2x3x4x5x6x7x8x9"))),OR(AND(FIND(".",L95)=5,LEN(L95)-FIND(".",L95,FIND(".",L95)+1)&gt;=1,LEN(L95)-FIND(".",L95,FIND(".",L95)+1)&lt;=2),AND(LEN(L95)-FIND(".",L95,FIND(".",L95)+1)=4,FIND(".",L95)&gt;=2,FIND(".",L95)&lt;=3)),FIND(".",L95,FIND(".",L95)+1)-FIND(".",L95)&gt;=2,FIND(".",L95,FIND(".",L95)+1)-FIND(".",L95)&lt;=3,P95&gt;=2000,P95&lt;=2100,YEAR(S95)=P95,MONTH(S95)=Q95,DAY(S95)=R95),S95,0)),0)</ns0:f>
        <ns0:v>0</ns0:v>
      </ns0:c>
      <ns0:c r="U95" s="0" t="str">
        <ns0:f>IF(Bookings!C95="","Full day",Bookings!C95)</ns0:f>
        <ns0:v>Full day</ns0:v>
      </ns0:c>
      <ns0:c r="V95" s="0" t="str">
        <ns0:f>IF(Bookings!E95="","Full day",Bookings!E95)</ns0:f>
        <ns0:v>Full day</ns0:v>
      </ns0:c>
      <ns0:c r="W95" s="0">
        <ns0:f>IF(J95=0,0,J95+IF(U95="PM",1,0))</ns0:f>
        <ns0:v>0</ns0:v>
      </ns0:c>
      <ns0:c r="X95" s="0">
        <ns0:f>IF(T95=0,0,T95-IF(V95="PM",1,0))</ns0:f>
        <ns0:v>0</ns0:v>
      </ns0:c>
      <ns0:c r="Y95" s="0">
        <ns0:f>IF(J95=0,0,J95+IF(U95="AM",1,0))</ns0:f>
        <ns0:v>0</ns0:v>
      </ns0:c>
      <ns0:c r="Z95" s="0">
        <ns0:f>IF(T95=0,0,T95-IF(V95="AM",1,0))</ns0:f>
        <ns0:v>0</ns0:v>
      </ns0:c>
      <ns0:c r="AA95" s="0">
        <ns0:f>IFERROR(IF(AND(J95&gt;0,'_Engine'!C95&gt;0,MID('_Engine'!W95,WEEKDAY(J95,2),1)="W",COUNTIF(Settings!$F$18:$F$67,J95)=0),1,0),0)</ns0:f>
        <ns0:v>0</ns0:v>
      </ns0:c>
      <ns0:c r="AB95" s="0">
        <ns0:f>IFERROR(IF(AND(T95&gt;0,'_Engine'!C95&gt;0,MID('_Engine'!W95,WEEKDAY(T95,2),1)="W",COUNTIF(Settings!$F$18:$F$67,T95)=0),1,0),0)</ns0:f>
        <ns0:v>0</ns0:v>
      </ns0:c>
      <ns0:c r="AC95" s="0">
        <ns0:f>IF(AND(J95&gt;0,T95&gt;0,W95&lt;=X95),1,0)</ns0:f>
        <ns0:v>0</ns0:v>
      </ns0:c>
      <ns0:c r="AD95" s="0">
        <ns0:f>IF(AND(J95&gt;0,T95&gt;0,Y95&lt;=Z95),1,0)</ns0:f>
        <ns0:v>0</ns0:v>
      </ns0:c>
    </ns0:row>
    <ns0:row r="96">
      <ns0:c r="A96" s="0">
        <ns0:f>IFERROR(IF(ISNUMBER(Bookings!B96),"",TRIM(Bookings!B96&amp;"")),"")</ns0:f>
      </ns0:c>
      <ns0:c r="B96" s="0">
        <ns0:f>IFERROR(SUBSTITUTE(SUBSTITUTE(A96,"/","."),"-","."),"")</ns0:f>
      </ns0:c>
      <ns0:c r="C96" s="0">
        <ns0:f>IFERROR(LEFT(B96,FIND(".",B96)-1),"")</ns0:f>
      </ns0:c>
      <ns0:c r="D96" s="0">
        <ns0:f>IFERROR(MID(B96,FIND(".",B96)+1,FIND(".",B96,FIND(".",B96)+1)-FIND(".",B96)-1),"")</ns0:f>
      </ns0:c>
      <ns0:c r="E96" s="0">
        <ns0:f>IFERROR(MID(B96,FIND(".",B96,FIND(".",B96)+1)+1,99),"")</ns0:f>
        <ns0:v>99</ns0:v>
      </ns0:c>
      <ns0:c r="F96" s="0">
        <ns0:f>IFERROR(IF(FIND(".",B96)=5,--C96,--E96),0)</ns0:f>
        <ns0:v>0</ns0:v>
      </ns0:c>
      <ns0:c r="G96" s="0">
        <ns0:f>IFERROR(--D96,0)</ns0:f>
        <ns0:v>0</ns0:v>
      </ns0:c>
      <ns0:c r="H96" s="0">
        <ns0:f>IFERROR(IF(FIND(".",B96)=5,--E96,--C96),0)</ns0:f>
        <ns0:v>0</ns0:v>
      </ns0:c>
      <ns0:c r="I96" s="0">
        <ns0:f>IFERROR(IF(AND(F96&gt;=2000,F96&lt;=2100,G96&gt;=1,G96&lt;=12,H96&gt;=1,H96&lt;=31),DATE(F96,G96,H96),0),0)</ns0:f>
        <ns0:v>0</ns0:v>
      </ns0:c>
      <ns0:c r="J96" s="0">
        <ns0:f>IFERROR(IF(ISNUMBER(Bookings!B96),IF(AND(Bookings!B96=INT(Bookings!B96),Bookings!B96&gt;=DATE(2000,1,1),Bookings!B96&lt;=DATE(2100,12,31)),Bookings!B96,0),IF(AND(A96&lt;&gt;"",LEN("x"&amp;B96)-LEN(SUBSTITUTE("x"&amp;B96,".",""))=2,OR(1&gt;LEN(B96),MID(B96,1,1)=".",ISNUMBER(FIND("x"&amp;MID(B96,1,1),"x0x1x2x3x4x5x6x7x8x9"))),OR(2&gt;LEN(B96),MID(B96,2,1)=".",ISNUMBER(FIND("x"&amp;MID(B96,2,1),"x0x1x2x3x4x5x6x7x8x9"))),OR(3&gt;LEN(B96),MID(B96,3,1)=".",ISNUMBER(FIND("x"&amp;MID(B96,3,1),"x0x1x2x3x4x5x6x7x8x9"))),OR(4&gt;LEN(B96),MID(B96,4,1)=".",ISNUMBER(FIND("x"&amp;MID(B96,4,1),"x0x1x2x3x4x5x6x7x8x9"))),OR(5&gt;LEN(B96),MID(B96,5,1)=".",ISNUMBER(FIND("x"&amp;MID(B96,5,1),"x0x1x2x3x4x5x6x7x8x9"))),OR(6&gt;LEN(B96),MID(B96,6,1)=".",ISNUMBER(FIND("x"&amp;MID(B96,6,1),"x0x1x2x3x4x5x6x7x8x9"))),OR(7&gt;LEN(B96),MID(B96,7,1)=".",ISNUMBER(FIND("x"&amp;MID(B96,7,1),"x0x1x2x3x4x5x6x7x8x9"))),OR(8&gt;LEN(B96),MID(B96,8,1)=".",ISNUMBER(FIND("x"&amp;MID(B96,8,1),"x0x1x2x3x4x5x6x7x8x9"))),OR(9&gt;LEN(B96),MID(B96,9,1)=".",ISNUMBER(FIND("x"&amp;MID(B96,9,1),"x0x1x2x3x4x5x6x7x8x9"))),OR(10&gt;LEN(B96),MID(B96,10,1)=".",ISNUMBER(FIND("x"&amp;MID(B96,10,1),"x0x1x2x3x4x5x6x7x8x9"))),OR(AND(FIND(".",B96)=5,LEN(B96)-FIND(".",B96,FIND(".",B96)+1)&gt;=1,LEN(B96)-FIND(".",B96,FIND(".",B96)+1)&lt;=2),AND(LEN(B96)-FIND(".",B96,FIND(".",B96)+1)=4,FIND(".",B96)&gt;=2,FIND(".",B96)&lt;=3)),FIND(".",B96,FIND(".",B96)+1)-FIND(".",B96)&gt;=2,FIND(".",B96,FIND(".",B96)+1)-FIND(".",B96)&lt;=3,F96&gt;=2000,F96&lt;=2100,YEAR(I96)=F96,MONTH(I96)=G96,DAY(I96)=H96),I96,0)),0)</ns0:f>
        <ns0:v>0</ns0:v>
      </ns0:c>
      <ns0:c r="K96" s="0">
        <ns0:f>IFERROR(IF(ISNUMBER(Bookings!D96),"",TRIM(Bookings!D96&amp;"")),"")</ns0:f>
      </ns0:c>
      <ns0:c r="L96" s="0">
        <ns0:f>IFERROR(SUBSTITUTE(SUBSTITUTE(K96,"/","."),"-","."),"")</ns0:f>
      </ns0:c>
      <ns0:c r="M96" s="0">
        <ns0:f>IFERROR(LEFT(L96,FIND(".",L96)-1),"")</ns0:f>
      </ns0:c>
      <ns0:c r="N96" s="0">
        <ns0:f>IFERROR(MID(L96,FIND(".",L96)+1,FIND(".",L96,FIND(".",L96)+1)-FIND(".",L96)-1),"")</ns0:f>
      </ns0:c>
      <ns0:c r="O96" s="0">
        <ns0:f>IFERROR(MID(L96,FIND(".",L96,FIND(".",L96)+1)+1,99),"")</ns0:f>
        <ns0:v>99</ns0:v>
      </ns0:c>
      <ns0:c r="P96" s="0">
        <ns0:f>IFERROR(IF(FIND(".",L96)=5,--M96,--O96),0)</ns0:f>
        <ns0:v>0</ns0:v>
      </ns0:c>
      <ns0:c r="Q96" s="0">
        <ns0:f>IFERROR(--N96,0)</ns0:f>
        <ns0:v>0</ns0:v>
      </ns0:c>
      <ns0:c r="R96" s="0">
        <ns0:f>IFERROR(IF(FIND(".",L96)=5,--O96,--M96),0)</ns0:f>
        <ns0:v>0</ns0:v>
      </ns0:c>
      <ns0:c r="S96" s="0">
        <ns0:f>IFERROR(IF(AND(P96&gt;=2000,P96&lt;=2100,Q96&gt;=1,Q96&lt;=12,R96&gt;=1,R96&lt;=31),DATE(P96,Q96,R96),0),0)</ns0:f>
        <ns0:v>0</ns0:v>
      </ns0:c>
      <ns0:c r="T96" s="0">
        <ns0:f>IFERROR(IF(ISNUMBER(Bookings!D96),IF(AND(Bookings!D96=INT(Bookings!D96),Bookings!D96&gt;=DATE(2000,1,1),Bookings!D96&lt;=DATE(2100,12,31)),Bookings!D96,0),IF(AND(K96&lt;&gt;"",LEN("x"&amp;L96)-LEN(SUBSTITUTE("x"&amp;L96,".",""))=2,OR(1&gt;LEN(L96),MID(L96,1,1)=".",ISNUMBER(FIND("x"&amp;MID(L96,1,1),"x0x1x2x3x4x5x6x7x8x9"))),OR(2&gt;LEN(L96),MID(L96,2,1)=".",ISNUMBER(FIND("x"&amp;MID(L96,2,1),"x0x1x2x3x4x5x6x7x8x9"))),OR(3&gt;LEN(L96),MID(L96,3,1)=".",ISNUMBER(FIND("x"&amp;MID(L96,3,1),"x0x1x2x3x4x5x6x7x8x9"))),OR(4&gt;LEN(L96),MID(L96,4,1)=".",ISNUMBER(FIND("x"&amp;MID(L96,4,1),"x0x1x2x3x4x5x6x7x8x9"))),OR(5&gt;LEN(L96),MID(L96,5,1)=".",ISNUMBER(FIND("x"&amp;MID(L96,5,1),"x0x1x2x3x4x5x6x7x8x9"))),OR(6&gt;LEN(L96),MID(L96,6,1)=".",ISNUMBER(FIND("x"&amp;MID(L96,6,1),"x0x1x2x3x4x5x6x7x8x9"))),OR(7&gt;LEN(L96),MID(L96,7,1)=".",ISNUMBER(FIND("x"&amp;MID(L96,7,1),"x0x1x2x3x4x5x6x7x8x9"))),OR(8&gt;LEN(L96),MID(L96,8,1)=".",ISNUMBER(FIND("x"&amp;MID(L96,8,1),"x0x1x2x3x4x5x6x7x8x9"))),OR(9&gt;LEN(L96),MID(L96,9,1)=".",ISNUMBER(FIND("x"&amp;MID(L96,9,1),"x0x1x2x3x4x5x6x7x8x9"))),OR(10&gt;LEN(L96),MID(L96,10,1)=".",ISNUMBER(FIND("x"&amp;MID(L96,10,1),"x0x1x2x3x4x5x6x7x8x9"))),OR(AND(FIND(".",L96)=5,LEN(L96)-FIND(".",L96,FIND(".",L96)+1)&gt;=1,LEN(L96)-FIND(".",L96,FIND(".",L96)+1)&lt;=2),AND(LEN(L96)-FIND(".",L96,FIND(".",L96)+1)=4,FIND(".",L96)&gt;=2,FIND(".",L96)&lt;=3)),FIND(".",L96,FIND(".",L96)+1)-FIND(".",L96)&gt;=2,FIND(".",L96,FIND(".",L96)+1)-FIND(".",L96)&lt;=3,P96&gt;=2000,P96&lt;=2100,YEAR(S96)=P96,MONTH(S96)=Q96,DAY(S96)=R96),S96,0)),0)</ns0:f>
        <ns0:v>0</ns0:v>
      </ns0:c>
      <ns0:c r="U96" s="0" t="str">
        <ns0:f>IF(Bookings!C96="","Full day",Bookings!C96)</ns0:f>
        <ns0:v>Full day</ns0:v>
      </ns0:c>
      <ns0:c r="V96" s="0" t="str">
        <ns0:f>IF(Bookings!E96="","Full day",Bookings!E96)</ns0:f>
        <ns0:v>Full day</ns0:v>
      </ns0:c>
      <ns0:c r="W96" s="0">
        <ns0:f>IF(J96=0,0,J96+IF(U96="PM",1,0))</ns0:f>
        <ns0:v>0</ns0:v>
      </ns0:c>
      <ns0:c r="X96" s="0">
        <ns0:f>IF(T96=0,0,T96-IF(V96="PM",1,0))</ns0:f>
        <ns0:v>0</ns0:v>
      </ns0:c>
      <ns0:c r="Y96" s="0">
        <ns0:f>IF(J96=0,0,J96+IF(U96="AM",1,0))</ns0:f>
        <ns0:v>0</ns0:v>
      </ns0:c>
      <ns0:c r="Z96" s="0">
        <ns0:f>IF(T96=0,0,T96-IF(V96="AM",1,0))</ns0:f>
        <ns0:v>0</ns0:v>
      </ns0:c>
      <ns0:c r="AA96" s="0">
        <ns0:f>IFERROR(IF(AND(J96&gt;0,'_Engine'!C96&gt;0,MID('_Engine'!W96,WEEKDAY(J96,2),1)="W",COUNTIF(Settings!$F$18:$F$67,J96)=0),1,0),0)</ns0:f>
        <ns0:v>0</ns0:v>
      </ns0:c>
      <ns0:c r="AB96" s="0">
        <ns0:f>IFERROR(IF(AND(T96&gt;0,'_Engine'!C96&gt;0,MID('_Engine'!W96,WEEKDAY(T96,2),1)="W",COUNTIF(Settings!$F$18:$F$67,T96)=0),1,0),0)</ns0:f>
        <ns0:v>0</ns0:v>
      </ns0:c>
      <ns0:c r="AC96" s="0">
        <ns0:f>IF(AND(J96&gt;0,T96&gt;0,W96&lt;=X96),1,0)</ns0:f>
        <ns0:v>0</ns0:v>
      </ns0:c>
      <ns0:c r="AD96" s="0">
        <ns0:f>IF(AND(J96&gt;0,T96&gt;0,Y96&lt;=Z96),1,0)</ns0:f>
        <ns0:v>0</ns0:v>
      </ns0:c>
    </ns0:row>
    <ns0:row r="97">
      <ns0:c r="A97" s="0">
        <ns0:f>IFERROR(IF(ISNUMBER(Bookings!B97),"",TRIM(Bookings!B97&amp;"")),"")</ns0:f>
      </ns0:c>
      <ns0:c r="B97" s="0">
        <ns0:f>IFERROR(SUBSTITUTE(SUBSTITUTE(A97,"/","."),"-","."),"")</ns0:f>
      </ns0:c>
      <ns0:c r="C97" s="0">
        <ns0:f>IFERROR(LEFT(B97,FIND(".",B97)-1),"")</ns0:f>
      </ns0:c>
      <ns0:c r="D97" s="0">
        <ns0:f>IFERROR(MID(B97,FIND(".",B97)+1,FIND(".",B97,FIND(".",B97)+1)-FIND(".",B97)-1),"")</ns0:f>
      </ns0:c>
      <ns0:c r="E97" s="0">
        <ns0:f>IFERROR(MID(B97,FIND(".",B97,FIND(".",B97)+1)+1,99),"")</ns0:f>
        <ns0:v>99</ns0:v>
      </ns0:c>
      <ns0:c r="F97" s="0">
        <ns0:f>IFERROR(IF(FIND(".",B97)=5,--C97,--E97),0)</ns0:f>
        <ns0:v>0</ns0:v>
      </ns0:c>
      <ns0:c r="G97" s="0">
        <ns0:f>IFERROR(--D97,0)</ns0:f>
        <ns0:v>0</ns0:v>
      </ns0:c>
      <ns0:c r="H97" s="0">
        <ns0:f>IFERROR(IF(FIND(".",B97)=5,--E97,--C97),0)</ns0:f>
        <ns0:v>0</ns0:v>
      </ns0:c>
      <ns0:c r="I97" s="0">
        <ns0:f>IFERROR(IF(AND(F97&gt;=2000,F97&lt;=2100,G97&gt;=1,G97&lt;=12,H97&gt;=1,H97&lt;=31),DATE(F97,G97,H97),0),0)</ns0:f>
        <ns0:v>0</ns0:v>
      </ns0:c>
      <ns0:c r="J97" s="0">
        <ns0:f>IFERROR(IF(ISNUMBER(Bookings!B97),IF(AND(Bookings!B97=INT(Bookings!B97),Bookings!B97&gt;=DATE(2000,1,1),Bookings!B97&lt;=DATE(2100,12,31)),Bookings!B97,0),IF(AND(A97&lt;&gt;"",LEN("x"&amp;B97)-LEN(SUBSTITUTE("x"&amp;B97,".",""))=2,OR(1&gt;LEN(B97),MID(B97,1,1)=".",ISNUMBER(FIND("x"&amp;MID(B97,1,1),"x0x1x2x3x4x5x6x7x8x9"))),OR(2&gt;LEN(B97),MID(B97,2,1)=".",ISNUMBER(FIND("x"&amp;MID(B97,2,1),"x0x1x2x3x4x5x6x7x8x9"))),OR(3&gt;LEN(B97),MID(B97,3,1)=".",ISNUMBER(FIND("x"&amp;MID(B97,3,1),"x0x1x2x3x4x5x6x7x8x9"))),OR(4&gt;LEN(B97),MID(B97,4,1)=".",ISNUMBER(FIND("x"&amp;MID(B97,4,1),"x0x1x2x3x4x5x6x7x8x9"))),OR(5&gt;LEN(B97),MID(B97,5,1)=".",ISNUMBER(FIND("x"&amp;MID(B97,5,1),"x0x1x2x3x4x5x6x7x8x9"))),OR(6&gt;LEN(B97),MID(B97,6,1)=".",ISNUMBER(FIND("x"&amp;MID(B97,6,1),"x0x1x2x3x4x5x6x7x8x9"))),OR(7&gt;LEN(B97),MID(B97,7,1)=".",ISNUMBER(FIND("x"&amp;MID(B97,7,1),"x0x1x2x3x4x5x6x7x8x9"))),OR(8&gt;LEN(B97),MID(B97,8,1)=".",ISNUMBER(FIND("x"&amp;MID(B97,8,1),"x0x1x2x3x4x5x6x7x8x9"))),OR(9&gt;LEN(B97),MID(B97,9,1)=".",ISNUMBER(FIND("x"&amp;MID(B97,9,1),"x0x1x2x3x4x5x6x7x8x9"))),OR(10&gt;LEN(B97),MID(B97,10,1)=".",ISNUMBER(FIND("x"&amp;MID(B97,10,1),"x0x1x2x3x4x5x6x7x8x9"))),OR(AND(FIND(".",B97)=5,LEN(B97)-FIND(".",B97,FIND(".",B97)+1)&gt;=1,LEN(B97)-FIND(".",B97,FIND(".",B97)+1)&lt;=2),AND(LEN(B97)-FIND(".",B97,FIND(".",B97)+1)=4,FIND(".",B97)&gt;=2,FIND(".",B97)&lt;=3)),FIND(".",B97,FIND(".",B97)+1)-FIND(".",B97)&gt;=2,FIND(".",B97,FIND(".",B97)+1)-FIND(".",B97)&lt;=3,F97&gt;=2000,F97&lt;=2100,YEAR(I97)=F97,MONTH(I97)=G97,DAY(I97)=H97),I97,0)),0)</ns0:f>
        <ns0:v>0</ns0:v>
      </ns0:c>
      <ns0:c r="K97" s="0">
        <ns0:f>IFERROR(IF(ISNUMBER(Bookings!D97),"",TRIM(Bookings!D97&amp;"")),"")</ns0:f>
      </ns0:c>
      <ns0:c r="L97" s="0">
        <ns0:f>IFERROR(SUBSTITUTE(SUBSTITUTE(K97,"/","."),"-","."),"")</ns0:f>
      </ns0:c>
      <ns0:c r="M97" s="0">
        <ns0:f>IFERROR(LEFT(L97,FIND(".",L97)-1),"")</ns0:f>
      </ns0:c>
      <ns0:c r="N97" s="0">
        <ns0:f>IFERROR(MID(L97,FIND(".",L97)+1,FIND(".",L97,FIND(".",L97)+1)-FIND(".",L97)-1),"")</ns0:f>
      </ns0:c>
      <ns0:c r="O97" s="0">
        <ns0:f>IFERROR(MID(L97,FIND(".",L97,FIND(".",L97)+1)+1,99),"")</ns0:f>
        <ns0:v>99</ns0:v>
      </ns0:c>
      <ns0:c r="P97" s="0">
        <ns0:f>IFERROR(IF(FIND(".",L97)=5,--M97,--O97),0)</ns0:f>
        <ns0:v>0</ns0:v>
      </ns0:c>
      <ns0:c r="Q97" s="0">
        <ns0:f>IFERROR(--N97,0)</ns0:f>
        <ns0:v>0</ns0:v>
      </ns0:c>
      <ns0:c r="R97" s="0">
        <ns0:f>IFERROR(IF(FIND(".",L97)=5,--O97,--M97),0)</ns0:f>
        <ns0:v>0</ns0:v>
      </ns0:c>
      <ns0:c r="S97" s="0">
        <ns0:f>IFERROR(IF(AND(P97&gt;=2000,P97&lt;=2100,Q97&gt;=1,Q97&lt;=12,R97&gt;=1,R97&lt;=31),DATE(P97,Q97,R97),0),0)</ns0:f>
        <ns0:v>0</ns0:v>
      </ns0:c>
      <ns0:c r="T97" s="0">
        <ns0:f>IFERROR(IF(ISNUMBER(Bookings!D97),IF(AND(Bookings!D97=INT(Bookings!D97),Bookings!D97&gt;=DATE(2000,1,1),Bookings!D97&lt;=DATE(2100,12,31)),Bookings!D97,0),IF(AND(K97&lt;&gt;"",LEN("x"&amp;L97)-LEN(SUBSTITUTE("x"&amp;L97,".",""))=2,OR(1&gt;LEN(L97),MID(L97,1,1)=".",ISNUMBER(FIND("x"&amp;MID(L97,1,1),"x0x1x2x3x4x5x6x7x8x9"))),OR(2&gt;LEN(L97),MID(L97,2,1)=".",ISNUMBER(FIND("x"&amp;MID(L97,2,1),"x0x1x2x3x4x5x6x7x8x9"))),OR(3&gt;LEN(L97),MID(L97,3,1)=".",ISNUMBER(FIND("x"&amp;MID(L97,3,1),"x0x1x2x3x4x5x6x7x8x9"))),OR(4&gt;LEN(L97),MID(L97,4,1)=".",ISNUMBER(FIND("x"&amp;MID(L97,4,1),"x0x1x2x3x4x5x6x7x8x9"))),OR(5&gt;LEN(L97),MID(L97,5,1)=".",ISNUMBER(FIND("x"&amp;MID(L97,5,1),"x0x1x2x3x4x5x6x7x8x9"))),OR(6&gt;LEN(L97),MID(L97,6,1)=".",ISNUMBER(FIND("x"&amp;MID(L97,6,1),"x0x1x2x3x4x5x6x7x8x9"))),OR(7&gt;LEN(L97),MID(L97,7,1)=".",ISNUMBER(FIND("x"&amp;MID(L97,7,1),"x0x1x2x3x4x5x6x7x8x9"))),OR(8&gt;LEN(L97),MID(L97,8,1)=".",ISNUMBER(FIND("x"&amp;MID(L97,8,1),"x0x1x2x3x4x5x6x7x8x9"))),OR(9&gt;LEN(L97),MID(L97,9,1)=".",ISNUMBER(FIND("x"&amp;MID(L97,9,1),"x0x1x2x3x4x5x6x7x8x9"))),OR(10&gt;LEN(L97),MID(L97,10,1)=".",ISNUMBER(FIND("x"&amp;MID(L97,10,1),"x0x1x2x3x4x5x6x7x8x9"))),OR(AND(FIND(".",L97)=5,LEN(L97)-FIND(".",L97,FIND(".",L97)+1)&gt;=1,LEN(L97)-FIND(".",L97,FIND(".",L97)+1)&lt;=2),AND(LEN(L97)-FIND(".",L97,FIND(".",L97)+1)=4,FIND(".",L97)&gt;=2,FIND(".",L97)&lt;=3)),FIND(".",L97,FIND(".",L97)+1)-FIND(".",L97)&gt;=2,FIND(".",L97,FIND(".",L97)+1)-FIND(".",L97)&lt;=3,P97&gt;=2000,P97&lt;=2100,YEAR(S97)=P97,MONTH(S97)=Q97,DAY(S97)=R97),S97,0)),0)</ns0:f>
        <ns0:v>0</ns0:v>
      </ns0:c>
      <ns0:c r="U97" s="0" t="str">
        <ns0:f>IF(Bookings!C97="","Full day",Bookings!C97)</ns0:f>
        <ns0:v>Full day</ns0:v>
      </ns0:c>
      <ns0:c r="V97" s="0" t="str">
        <ns0:f>IF(Bookings!E97="","Full day",Bookings!E97)</ns0:f>
        <ns0:v>Full day</ns0:v>
      </ns0:c>
      <ns0:c r="W97" s="0">
        <ns0:f>IF(J97=0,0,J97+IF(U97="PM",1,0))</ns0:f>
        <ns0:v>0</ns0:v>
      </ns0:c>
      <ns0:c r="X97" s="0">
        <ns0:f>IF(T97=0,0,T97-IF(V97="PM",1,0))</ns0:f>
        <ns0:v>0</ns0:v>
      </ns0:c>
      <ns0:c r="Y97" s="0">
        <ns0:f>IF(J97=0,0,J97+IF(U97="AM",1,0))</ns0:f>
        <ns0:v>0</ns0:v>
      </ns0:c>
      <ns0:c r="Z97" s="0">
        <ns0:f>IF(T97=0,0,T97-IF(V97="AM",1,0))</ns0:f>
        <ns0:v>0</ns0:v>
      </ns0:c>
      <ns0:c r="AA97" s="0">
        <ns0:f>IFERROR(IF(AND(J97&gt;0,'_Engine'!C97&gt;0,MID('_Engine'!W97,WEEKDAY(J97,2),1)="W",COUNTIF(Settings!$F$18:$F$67,J97)=0),1,0),0)</ns0:f>
        <ns0:v>0</ns0:v>
      </ns0:c>
      <ns0:c r="AB97" s="0">
        <ns0:f>IFERROR(IF(AND(T97&gt;0,'_Engine'!C97&gt;0,MID('_Engine'!W97,WEEKDAY(T97,2),1)="W",COUNTIF(Settings!$F$18:$F$67,T97)=0),1,0),0)</ns0:f>
        <ns0:v>0</ns0:v>
      </ns0:c>
      <ns0:c r="AC97" s="0">
        <ns0:f>IF(AND(J97&gt;0,T97&gt;0,W97&lt;=X97),1,0)</ns0:f>
        <ns0:v>0</ns0:v>
      </ns0:c>
      <ns0:c r="AD97" s="0">
        <ns0:f>IF(AND(J97&gt;0,T97&gt;0,Y97&lt;=Z97),1,0)</ns0:f>
        <ns0:v>0</ns0:v>
      </ns0:c>
    </ns0:row>
    <ns0:row r="98">
      <ns0:c r="A98" s="0">
        <ns0:f>IFERROR(IF(ISNUMBER(Bookings!B98),"",TRIM(Bookings!B98&amp;"")),"")</ns0:f>
      </ns0:c>
      <ns0:c r="B98" s="0">
        <ns0:f>IFERROR(SUBSTITUTE(SUBSTITUTE(A98,"/","."),"-","."),"")</ns0:f>
      </ns0:c>
      <ns0:c r="C98" s="0">
        <ns0:f>IFERROR(LEFT(B98,FIND(".",B98)-1),"")</ns0:f>
      </ns0:c>
      <ns0:c r="D98" s="0">
        <ns0:f>IFERROR(MID(B98,FIND(".",B98)+1,FIND(".",B98,FIND(".",B98)+1)-FIND(".",B98)-1),"")</ns0:f>
      </ns0:c>
      <ns0:c r="E98" s="0">
        <ns0:f>IFERROR(MID(B98,FIND(".",B98,FIND(".",B98)+1)+1,99),"")</ns0:f>
        <ns0:v>99</ns0:v>
      </ns0:c>
      <ns0:c r="F98" s="0">
        <ns0:f>IFERROR(IF(FIND(".",B98)=5,--C98,--E98),0)</ns0:f>
        <ns0:v>0</ns0:v>
      </ns0:c>
      <ns0:c r="G98" s="0">
        <ns0:f>IFERROR(--D98,0)</ns0:f>
        <ns0:v>0</ns0:v>
      </ns0:c>
      <ns0:c r="H98" s="0">
        <ns0:f>IFERROR(IF(FIND(".",B98)=5,--E98,--C98),0)</ns0:f>
        <ns0:v>0</ns0:v>
      </ns0:c>
      <ns0:c r="I98" s="0">
        <ns0:f>IFERROR(IF(AND(F98&gt;=2000,F98&lt;=2100,G98&gt;=1,G98&lt;=12,H98&gt;=1,H98&lt;=31),DATE(F98,G98,H98),0),0)</ns0:f>
        <ns0:v>0</ns0:v>
      </ns0:c>
      <ns0:c r="J98" s="0">
        <ns0:f>IFERROR(IF(ISNUMBER(Bookings!B98),IF(AND(Bookings!B98=INT(Bookings!B98),Bookings!B98&gt;=DATE(2000,1,1),Bookings!B98&lt;=DATE(2100,12,31)),Bookings!B98,0),IF(AND(A98&lt;&gt;"",LEN("x"&amp;B98)-LEN(SUBSTITUTE("x"&amp;B98,".",""))=2,OR(1&gt;LEN(B98),MID(B98,1,1)=".",ISNUMBER(FIND("x"&amp;MID(B98,1,1),"x0x1x2x3x4x5x6x7x8x9"))),OR(2&gt;LEN(B98),MID(B98,2,1)=".",ISNUMBER(FIND("x"&amp;MID(B98,2,1),"x0x1x2x3x4x5x6x7x8x9"))),OR(3&gt;LEN(B98),MID(B98,3,1)=".",ISNUMBER(FIND("x"&amp;MID(B98,3,1),"x0x1x2x3x4x5x6x7x8x9"))),OR(4&gt;LEN(B98),MID(B98,4,1)=".",ISNUMBER(FIND("x"&amp;MID(B98,4,1),"x0x1x2x3x4x5x6x7x8x9"))),OR(5&gt;LEN(B98),MID(B98,5,1)=".",ISNUMBER(FIND("x"&amp;MID(B98,5,1),"x0x1x2x3x4x5x6x7x8x9"))),OR(6&gt;LEN(B98),MID(B98,6,1)=".",ISNUMBER(FIND("x"&amp;MID(B98,6,1),"x0x1x2x3x4x5x6x7x8x9"))),OR(7&gt;LEN(B98),MID(B98,7,1)=".",ISNUMBER(FIND("x"&amp;MID(B98,7,1),"x0x1x2x3x4x5x6x7x8x9"))),OR(8&gt;LEN(B98),MID(B98,8,1)=".",ISNUMBER(FIND("x"&amp;MID(B98,8,1),"x0x1x2x3x4x5x6x7x8x9"))),OR(9&gt;LEN(B98),MID(B98,9,1)=".",ISNUMBER(FIND("x"&amp;MID(B98,9,1),"x0x1x2x3x4x5x6x7x8x9"))),OR(10&gt;LEN(B98),MID(B98,10,1)=".",ISNUMBER(FIND("x"&amp;MID(B98,10,1),"x0x1x2x3x4x5x6x7x8x9"))),OR(AND(FIND(".",B98)=5,LEN(B98)-FIND(".",B98,FIND(".",B98)+1)&gt;=1,LEN(B98)-FIND(".",B98,FIND(".",B98)+1)&lt;=2),AND(LEN(B98)-FIND(".",B98,FIND(".",B98)+1)=4,FIND(".",B98)&gt;=2,FIND(".",B98)&lt;=3)),FIND(".",B98,FIND(".",B98)+1)-FIND(".",B98)&gt;=2,FIND(".",B98,FIND(".",B98)+1)-FIND(".",B98)&lt;=3,F98&gt;=2000,F98&lt;=2100,YEAR(I98)=F98,MONTH(I98)=G98,DAY(I98)=H98),I98,0)),0)</ns0:f>
        <ns0:v>0</ns0:v>
      </ns0:c>
      <ns0:c r="K98" s="0">
        <ns0:f>IFERROR(IF(ISNUMBER(Bookings!D98),"",TRIM(Bookings!D98&amp;"")),"")</ns0:f>
      </ns0:c>
      <ns0:c r="L98" s="0">
        <ns0:f>IFERROR(SUBSTITUTE(SUBSTITUTE(K98,"/","."),"-","."),"")</ns0:f>
      </ns0:c>
      <ns0:c r="M98" s="0">
        <ns0:f>IFERROR(LEFT(L98,FIND(".",L98)-1),"")</ns0:f>
      </ns0:c>
      <ns0:c r="N98" s="0">
        <ns0:f>IFERROR(MID(L98,FIND(".",L98)+1,FIND(".",L98,FIND(".",L98)+1)-FIND(".",L98)-1),"")</ns0:f>
      </ns0:c>
      <ns0:c r="O98" s="0">
        <ns0:f>IFERROR(MID(L98,FIND(".",L98,FIND(".",L98)+1)+1,99),"")</ns0:f>
        <ns0:v>99</ns0:v>
      </ns0:c>
      <ns0:c r="P98" s="0">
        <ns0:f>IFERROR(IF(FIND(".",L98)=5,--M98,--O98),0)</ns0:f>
        <ns0:v>0</ns0:v>
      </ns0:c>
      <ns0:c r="Q98" s="0">
        <ns0:f>IFERROR(--N98,0)</ns0:f>
        <ns0:v>0</ns0:v>
      </ns0:c>
      <ns0:c r="R98" s="0">
        <ns0:f>IFERROR(IF(FIND(".",L98)=5,--O98,--M98),0)</ns0:f>
        <ns0:v>0</ns0:v>
      </ns0:c>
      <ns0:c r="S98" s="0">
        <ns0:f>IFERROR(IF(AND(P98&gt;=2000,P98&lt;=2100,Q98&gt;=1,Q98&lt;=12,R98&gt;=1,R98&lt;=31),DATE(P98,Q98,R98),0),0)</ns0:f>
        <ns0:v>0</ns0:v>
      </ns0:c>
      <ns0:c r="T98" s="0">
        <ns0:f>IFERROR(IF(ISNUMBER(Bookings!D98),IF(AND(Bookings!D98=INT(Bookings!D98),Bookings!D98&gt;=DATE(2000,1,1),Bookings!D98&lt;=DATE(2100,12,31)),Bookings!D98,0),IF(AND(K98&lt;&gt;"",LEN("x"&amp;L98)-LEN(SUBSTITUTE("x"&amp;L98,".",""))=2,OR(1&gt;LEN(L98),MID(L98,1,1)=".",ISNUMBER(FIND("x"&amp;MID(L98,1,1),"x0x1x2x3x4x5x6x7x8x9"))),OR(2&gt;LEN(L98),MID(L98,2,1)=".",ISNUMBER(FIND("x"&amp;MID(L98,2,1),"x0x1x2x3x4x5x6x7x8x9"))),OR(3&gt;LEN(L98),MID(L98,3,1)=".",ISNUMBER(FIND("x"&amp;MID(L98,3,1),"x0x1x2x3x4x5x6x7x8x9"))),OR(4&gt;LEN(L98),MID(L98,4,1)=".",ISNUMBER(FIND("x"&amp;MID(L98,4,1),"x0x1x2x3x4x5x6x7x8x9"))),OR(5&gt;LEN(L98),MID(L98,5,1)=".",ISNUMBER(FIND("x"&amp;MID(L98,5,1),"x0x1x2x3x4x5x6x7x8x9"))),OR(6&gt;LEN(L98),MID(L98,6,1)=".",ISNUMBER(FIND("x"&amp;MID(L98,6,1),"x0x1x2x3x4x5x6x7x8x9"))),OR(7&gt;LEN(L98),MID(L98,7,1)=".",ISNUMBER(FIND("x"&amp;MID(L98,7,1),"x0x1x2x3x4x5x6x7x8x9"))),OR(8&gt;LEN(L98),MID(L98,8,1)=".",ISNUMBER(FIND("x"&amp;MID(L98,8,1),"x0x1x2x3x4x5x6x7x8x9"))),OR(9&gt;LEN(L98),MID(L98,9,1)=".",ISNUMBER(FIND("x"&amp;MID(L98,9,1),"x0x1x2x3x4x5x6x7x8x9"))),OR(10&gt;LEN(L98),MID(L98,10,1)=".",ISNUMBER(FIND("x"&amp;MID(L98,10,1),"x0x1x2x3x4x5x6x7x8x9"))),OR(AND(FIND(".",L98)=5,LEN(L98)-FIND(".",L98,FIND(".",L98)+1)&gt;=1,LEN(L98)-FIND(".",L98,FIND(".",L98)+1)&lt;=2),AND(LEN(L98)-FIND(".",L98,FIND(".",L98)+1)=4,FIND(".",L98)&gt;=2,FIND(".",L98)&lt;=3)),FIND(".",L98,FIND(".",L98)+1)-FIND(".",L98)&gt;=2,FIND(".",L98,FIND(".",L98)+1)-FIND(".",L98)&lt;=3,P98&gt;=2000,P98&lt;=2100,YEAR(S98)=P98,MONTH(S98)=Q98,DAY(S98)=R98),S98,0)),0)</ns0:f>
        <ns0:v>0</ns0:v>
      </ns0:c>
      <ns0:c r="U98" s="0" t="str">
        <ns0:f>IF(Bookings!C98="","Full day",Bookings!C98)</ns0:f>
        <ns0:v>Full day</ns0:v>
      </ns0:c>
      <ns0:c r="V98" s="0" t="str">
        <ns0:f>IF(Bookings!E98="","Full day",Bookings!E98)</ns0:f>
        <ns0:v>Full day</ns0:v>
      </ns0:c>
      <ns0:c r="W98" s="0">
        <ns0:f>IF(J98=0,0,J98+IF(U98="PM",1,0))</ns0:f>
        <ns0:v>0</ns0:v>
      </ns0:c>
      <ns0:c r="X98" s="0">
        <ns0:f>IF(T98=0,0,T98-IF(V98="PM",1,0))</ns0:f>
        <ns0:v>0</ns0:v>
      </ns0:c>
      <ns0:c r="Y98" s="0">
        <ns0:f>IF(J98=0,0,J98+IF(U98="AM",1,0))</ns0:f>
        <ns0:v>0</ns0:v>
      </ns0:c>
      <ns0:c r="Z98" s="0">
        <ns0:f>IF(T98=0,0,T98-IF(V98="AM",1,0))</ns0:f>
        <ns0:v>0</ns0:v>
      </ns0:c>
      <ns0:c r="AA98" s="0">
        <ns0:f>IFERROR(IF(AND(J98&gt;0,'_Engine'!C98&gt;0,MID('_Engine'!W98,WEEKDAY(J98,2),1)="W",COUNTIF(Settings!$F$18:$F$67,J98)=0),1,0),0)</ns0:f>
        <ns0:v>0</ns0:v>
      </ns0:c>
      <ns0:c r="AB98" s="0">
        <ns0:f>IFERROR(IF(AND(T98&gt;0,'_Engine'!C98&gt;0,MID('_Engine'!W98,WEEKDAY(T98,2),1)="W",COUNTIF(Settings!$F$18:$F$67,T98)=0),1,0),0)</ns0:f>
        <ns0:v>0</ns0:v>
      </ns0:c>
      <ns0:c r="AC98" s="0">
        <ns0:f>IF(AND(J98&gt;0,T98&gt;0,W98&lt;=X98),1,0)</ns0:f>
        <ns0:v>0</ns0:v>
      </ns0:c>
      <ns0:c r="AD98" s="0">
        <ns0:f>IF(AND(J98&gt;0,T98&gt;0,Y98&lt;=Z98),1,0)</ns0:f>
        <ns0:v>0</ns0:v>
      </ns0:c>
    </ns0:row>
    <ns0:row r="99">
      <ns0:c r="A99" s="0">
        <ns0:f>IFERROR(IF(ISNUMBER(Bookings!B99),"",TRIM(Bookings!B99&amp;"")),"")</ns0:f>
      </ns0:c>
      <ns0:c r="B99" s="0">
        <ns0:f>IFERROR(SUBSTITUTE(SUBSTITUTE(A99,"/","."),"-","."),"")</ns0:f>
      </ns0:c>
      <ns0:c r="C99" s="0">
        <ns0:f>IFERROR(LEFT(B99,FIND(".",B99)-1),"")</ns0:f>
      </ns0:c>
      <ns0:c r="D99" s="0">
        <ns0:f>IFERROR(MID(B99,FIND(".",B99)+1,FIND(".",B99,FIND(".",B99)+1)-FIND(".",B99)-1),"")</ns0:f>
      </ns0:c>
      <ns0:c r="E99" s="0">
        <ns0:f>IFERROR(MID(B99,FIND(".",B99,FIND(".",B99)+1)+1,99),"")</ns0:f>
        <ns0:v>99</ns0:v>
      </ns0:c>
      <ns0:c r="F99" s="0">
        <ns0:f>IFERROR(IF(FIND(".",B99)=5,--C99,--E99),0)</ns0:f>
        <ns0:v>0</ns0:v>
      </ns0:c>
      <ns0:c r="G99" s="0">
        <ns0:f>IFERROR(--D99,0)</ns0:f>
        <ns0:v>0</ns0:v>
      </ns0:c>
      <ns0:c r="H99" s="0">
        <ns0:f>IFERROR(IF(FIND(".",B99)=5,--E99,--C99),0)</ns0:f>
        <ns0:v>0</ns0:v>
      </ns0:c>
      <ns0:c r="I99" s="0">
        <ns0:f>IFERROR(IF(AND(F99&gt;=2000,F99&lt;=2100,G99&gt;=1,G99&lt;=12,H99&gt;=1,H99&lt;=31),DATE(F99,G99,H99),0),0)</ns0:f>
        <ns0:v>0</ns0:v>
      </ns0:c>
      <ns0:c r="J99" s="0">
        <ns0:f>IFERROR(IF(ISNUMBER(Bookings!B99),IF(AND(Bookings!B99=INT(Bookings!B99),Bookings!B99&gt;=DATE(2000,1,1),Bookings!B99&lt;=DATE(2100,12,31)),Bookings!B99,0),IF(AND(A99&lt;&gt;"",LEN("x"&amp;B99)-LEN(SUBSTITUTE("x"&amp;B99,".",""))=2,OR(1&gt;LEN(B99),MID(B99,1,1)=".",ISNUMBER(FIND("x"&amp;MID(B99,1,1),"x0x1x2x3x4x5x6x7x8x9"))),OR(2&gt;LEN(B99),MID(B99,2,1)=".",ISNUMBER(FIND("x"&amp;MID(B99,2,1),"x0x1x2x3x4x5x6x7x8x9"))),OR(3&gt;LEN(B99),MID(B99,3,1)=".",ISNUMBER(FIND("x"&amp;MID(B99,3,1),"x0x1x2x3x4x5x6x7x8x9"))),OR(4&gt;LEN(B99),MID(B99,4,1)=".",ISNUMBER(FIND("x"&amp;MID(B99,4,1),"x0x1x2x3x4x5x6x7x8x9"))),OR(5&gt;LEN(B99),MID(B99,5,1)=".",ISNUMBER(FIND("x"&amp;MID(B99,5,1),"x0x1x2x3x4x5x6x7x8x9"))),OR(6&gt;LEN(B99),MID(B99,6,1)=".",ISNUMBER(FIND("x"&amp;MID(B99,6,1),"x0x1x2x3x4x5x6x7x8x9"))),OR(7&gt;LEN(B99),MID(B99,7,1)=".",ISNUMBER(FIND("x"&amp;MID(B99,7,1),"x0x1x2x3x4x5x6x7x8x9"))),OR(8&gt;LEN(B99),MID(B99,8,1)=".",ISNUMBER(FIND("x"&amp;MID(B99,8,1),"x0x1x2x3x4x5x6x7x8x9"))),OR(9&gt;LEN(B99),MID(B99,9,1)=".",ISNUMBER(FIND("x"&amp;MID(B99,9,1),"x0x1x2x3x4x5x6x7x8x9"))),OR(10&gt;LEN(B99),MID(B99,10,1)=".",ISNUMBER(FIND("x"&amp;MID(B99,10,1),"x0x1x2x3x4x5x6x7x8x9"))),OR(AND(FIND(".",B99)=5,LEN(B99)-FIND(".",B99,FIND(".",B99)+1)&gt;=1,LEN(B99)-FIND(".",B99,FIND(".",B99)+1)&lt;=2),AND(LEN(B99)-FIND(".",B99,FIND(".",B99)+1)=4,FIND(".",B99)&gt;=2,FIND(".",B99)&lt;=3)),FIND(".",B99,FIND(".",B99)+1)-FIND(".",B99)&gt;=2,FIND(".",B99,FIND(".",B99)+1)-FIND(".",B99)&lt;=3,F99&gt;=2000,F99&lt;=2100,YEAR(I99)=F99,MONTH(I99)=G99,DAY(I99)=H99),I99,0)),0)</ns0:f>
        <ns0:v>0</ns0:v>
      </ns0:c>
      <ns0:c r="K99" s="0">
        <ns0:f>IFERROR(IF(ISNUMBER(Bookings!D99),"",TRIM(Bookings!D99&amp;"")),"")</ns0:f>
      </ns0:c>
      <ns0:c r="L99" s="0">
        <ns0:f>IFERROR(SUBSTITUTE(SUBSTITUTE(K99,"/","."),"-","."),"")</ns0:f>
      </ns0:c>
      <ns0:c r="M99" s="0">
        <ns0:f>IFERROR(LEFT(L99,FIND(".",L99)-1),"")</ns0:f>
      </ns0:c>
      <ns0:c r="N99" s="0">
        <ns0:f>IFERROR(MID(L99,FIND(".",L99)+1,FIND(".",L99,FIND(".",L99)+1)-FIND(".",L99)-1),"")</ns0:f>
      </ns0:c>
      <ns0:c r="O99" s="0">
        <ns0:f>IFERROR(MID(L99,FIND(".",L99,FIND(".",L99)+1)+1,99),"")</ns0:f>
        <ns0:v>99</ns0:v>
      </ns0:c>
      <ns0:c r="P99" s="0">
        <ns0:f>IFERROR(IF(FIND(".",L99)=5,--M99,--O99),0)</ns0:f>
        <ns0:v>0</ns0:v>
      </ns0:c>
      <ns0:c r="Q99" s="0">
        <ns0:f>IFERROR(--N99,0)</ns0:f>
        <ns0:v>0</ns0:v>
      </ns0:c>
      <ns0:c r="R99" s="0">
        <ns0:f>IFERROR(IF(FIND(".",L99)=5,--O99,--M99),0)</ns0:f>
        <ns0:v>0</ns0:v>
      </ns0:c>
      <ns0:c r="S99" s="0">
        <ns0:f>IFERROR(IF(AND(P99&gt;=2000,P99&lt;=2100,Q99&gt;=1,Q99&lt;=12,R99&gt;=1,R99&lt;=31),DATE(P99,Q99,R99),0),0)</ns0:f>
        <ns0:v>0</ns0:v>
      </ns0:c>
      <ns0:c r="T99" s="0">
        <ns0:f>IFERROR(IF(ISNUMBER(Bookings!D99),IF(AND(Bookings!D99=INT(Bookings!D99),Bookings!D99&gt;=DATE(2000,1,1),Bookings!D99&lt;=DATE(2100,12,31)),Bookings!D99,0),IF(AND(K99&lt;&gt;"",LEN("x"&amp;L99)-LEN(SUBSTITUTE("x"&amp;L99,".",""))=2,OR(1&gt;LEN(L99),MID(L99,1,1)=".",ISNUMBER(FIND("x"&amp;MID(L99,1,1),"x0x1x2x3x4x5x6x7x8x9"))),OR(2&gt;LEN(L99),MID(L99,2,1)=".",ISNUMBER(FIND("x"&amp;MID(L99,2,1),"x0x1x2x3x4x5x6x7x8x9"))),OR(3&gt;LEN(L99),MID(L99,3,1)=".",ISNUMBER(FIND("x"&amp;MID(L99,3,1),"x0x1x2x3x4x5x6x7x8x9"))),OR(4&gt;LEN(L99),MID(L99,4,1)=".",ISNUMBER(FIND("x"&amp;MID(L99,4,1),"x0x1x2x3x4x5x6x7x8x9"))),OR(5&gt;LEN(L99),MID(L99,5,1)=".",ISNUMBER(FIND("x"&amp;MID(L99,5,1),"x0x1x2x3x4x5x6x7x8x9"))),OR(6&gt;LEN(L99),MID(L99,6,1)=".",ISNUMBER(FIND("x"&amp;MID(L99,6,1),"x0x1x2x3x4x5x6x7x8x9"))),OR(7&gt;LEN(L99),MID(L99,7,1)=".",ISNUMBER(FIND("x"&amp;MID(L99,7,1),"x0x1x2x3x4x5x6x7x8x9"))),OR(8&gt;LEN(L99),MID(L99,8,1)=".",ISNUMBER(FIND("x"&amp;MID(L99,8,1),"x0x1x2x3x4x5x6x7x8x9"))),OR(9&gt;LEN(L99),MID(L99,9,1)=".",ISNUMBER(FIND("x"&amp;MID(L99,9,1),"x0x1x2x3x4x5x6x7x8x9"))),OR(10&gt;LEN(L99),MID(L99,10,1)=".",ISNUMBER(FIND("x"&amp;MID(L99,10,1),"x0x1x2x3x4x5x6x7x8x9"))),OR(AND(FIND(".",L99)=5,LEN(L99)-FIND(".",L99,FIND(".",L99)+1)&gt;=1,LEN(L99)-FIND(".",L99,FIND(".",L99)+1)&lt;=2),AND(LEN(L99)-FIND(".",L99,FIND(".",L99)+1)=4,FIND(".",L99)&gt;=2,FIND(".",L99)&lt;=3)),FIND(".",L99,FIND(".",L99)+1)-FIND(".",L99)&gt;=2,FIND(".",L99,FIND(".",L99)+1)-FIND(".",L99)&lt;=3,P99&gt;=2000,P99&lt;=2100,YEAR(S99)=P99,MONTH(S99)=Q99,DAY(S99)=R99),S99,0)),0)</ns0:f>
        <ns0:v>0</ns0:v>
      </ns0:c>
      <ns0:c r="U99" s="0" t="str">
        <ns0:f>IF(Bookings!C99="","Full day",Bookings!C99)</ns0:f>
        <ns0:v>Full day</ns0:v>
      </ns0:c>
      <ns0:c r="V99" s="0" t="str">
        <ns0:f>IF(Bookings!E99="","Full day",Bookings!E99)</ns0:f>
        <ns0:v>Full day</ns0:v>
      </ns0:c>
      <ns0:c r="W99" s="0">
        <ns0:f>IF(J99=0,0,J99+IF(U99="PM",1,0))</ns0:f>
        <ns0:v>0</ns0:v>
      </ns0:c>
      <ns0:c r="X99" s="0">
        <ns0:f>IF(T99=0,0,T99-IF(V99="PM",1,0))</ns0:f>
        <ns0:v>0</ns0:v>
      </ns0:c>
      <ns0:c r="Y99" s="0">
        <ns0:f>IF(J99=0,0,J99+IF(U99="AM",1,0))</ns0:f>
        <ns0:v>0</ns0:v>
      </ns0:c>
      <ns0:c r="Z99" s="0">
        <ns0:f>IF(T99=0,0,T99-IF(V99="AM",1,0))</ns0:f>
        <ns0:v>0</ns0:v>
      </ns0:c>
      <ns0:c r="AA99" s="0">
        <ns0:f>IFERROR(IF(AND(J99&gt;0,'_Engine'!C99&gt;0,MID('_Engine'!W99,WEEKDAY(J99,2),1)="W",COUNTIF(Settings!$F$18:$F$67,J99)=0),1,0),0)</ns0:f>
        <ns0:v>0</ns0:v>
      </ns0:c>
      <ns0:c r="AB99" s="0">
        <ns0:f>IFERROR(IF(AND(T99&gt;0,'_Engine'!C99&gt;0,MID('_Engine'!W99,WEEKDAY(T99,2),1)="W",COUNTIF(Settings!$F$18:$F$67,T99)=0),1,0),0)</ns0:f>
        <ns0:v>0</ns0:v>
      </ns0:c>
      <ns0:c r="AC99" s="0">
        <ns0:f>IF(AND(J99&gt;0,T99&gt;0,W99&lt;=X99),1,0)</ns0:f>
        <ns0:v>0</ns0:v>
      </ns0:c>
      <ns0:c r="AD99" s="0">
        <ns0:f>IF(AND(J99&gt;0,T99&gt;0,Y99&lt;=Z99),1,0)</ns0:f>
        <ns0:v>0</ns0:v>
      </ns0:c>
    </ns0:row>
    <ns0:row r="100">
      <ns0:c r="A100" s="0">
        <ns0:f>IFERROR(IF(ISNUMBER(Bookings!B100),"",TRIM(Bookings!B100&amp;"")),"")</ns0:f>
      </ns0:c>
      <ns0:c r="B100" s="0">
        <ns0:f>IFERROR(SUBSTITUTE(SUBSTITUTE(A100,"/","."),"-","."),"")</ns0:f>
      </ns0:c>
      <ns0:c r="C100" s="0">
        <ns0:f>IFERROR(LEFT(B100,FIND(".",B100)-1),"")</ns0:f>
      </ns0:c>
      <ns0:c r="D100" s="0">
        <ns0:f>IFERROR(MID(B100,FIND(".",B100)+1,FIND(".",B100,FIND(".",B100)+1)-FIND(".",B100)-1),"")</ns0:f>
      </ns0:c>
      <ns0:c r="E100" s="0">
        <ns0:f>IFERROR(MID(B100,FIND(".",B100,FIND(".",B100)+1)+1,99),"")</ns0:f>
        <ns0:v>99</ns0:v>
      </ns0:c>
      <ns0:c r="F100" s="0">
        <ns0:f>IFERROR(IF(FIND(".",B100)=5,--C100,--E100),0)</ns0:f>
        <ns0:v>0</ns0:v>
      </ns0:c>
      <ns0:c r="G100" s="0">
        <ns0:f>IFERROR(--D100,0)</ns0:f>
        <ns0:v>0</ns0:v>
      </ns0:c>
      <ns0:c r="H100" s="0">
        <ns0:f>IFERROR(IF(FIND(".",B100)=5,--E100,--C100),0)</ns0:f>
        <ns0:v>0</ns0:v>
      </ns0:c>
      <ns0:c r="I100" s="0">
        <ns0:f>IFERROR(IF(AND(F100&gt;=2000,F100&lt;=2100,G100&gt;=1,G100&lt;=12,H100&gt;=1,H100&lt;=31),DATE(F100,G100,H100),0),0)</ns0:f>
        <ns0:v>0</ns0:v>
      </ns0:c>
      <ns0:c r="J100" s="0">
        <ns0:f>IFERROR(IF(ISNUMBER(Bookings!B100),IF(AND(Bookings!B100=INT(Bookings!B100),Bookings!B100&gt;=DATE(2000,1,1),Bookings!B100&lt;=DATE(2100,12,31)),Bookings!B100,0),IF(AND(A100&lt;&gt;"",LEN("x"&amp;B100)-LEN(SUBSTITUTE("x"&amp;B100,".",""))=2,OR(1&gt;LEN(B100),MID(B100,1,1)=".",ISNUMBER(FIND("x"&amp;MID(B100,1,1),"x0x1x2x3x4x5x6x7x8x9"))),OR(2&gt;LEN(B100),MID(B100,2,1)=".",ISNUMBER(FIND("x"&amp;MID(B100,2,1),"x0x1x2x3x4x5x6x7x8x9"))),OR(3&gt;LEN(B100),MID(B100,3,1)=".",ISNUMBER(FIND("x"&amp;MID(B100,3,1),"x0x1x2x3x4x5x6x7x8x9"))),OR(4&gt;LEN(B100),MID(B100,4,1)=".",ISNUMBER(FIND("x"&amp;MID(B100,4,1),"x0x1x2x3x4x5x6x7x8x9"))),OR(5&gt;LEN(B100),MID(B100,5,1)=".",ISNUMBER(FIND("x"&amp;MID(B100,5,1),"x0x1x2x3x4x5x6x7x8x9"))),OR(6&gt;LEN(B100),MID(B100,6,1)=".",ISNUMBER(FIND("x"&amp;MID(B100,6,1),"x0x1x2x3x4x5x6x7x8x9"))),OR(7&gt;LEN(B100),MID(B100,7,1)=".",ISNUMBER(FIND("x"&amp;MID(B100,7,1),"x0x1x2x3x4x5x6x7x8x9"))),OR(8&gt;LEN(B100),MID(B100,8,1)=".",ISNUMBER(FIND("x"&amp;MID(B100,8,1),"x0x1x2x3x4x5x6x7x8x9"))),OR(9&gt;LEN(B100),MID(B100,9,1)=".",ISNUMBER(FIND("x"&amp;MID(B100,9,1),"x0x1x2x3x4x5x6x7x8x9"))),OR(10&gt;LEN(B100),MID(B100,10,1)=".",ISNUMBER(FIND("x"&amp;MID(B100,10,1),"x0x1x2x3x4x5x6x7x8x9"))),OR(AND(FIND(".",B100)=5,LEN(B100)-FIND(".",B100,FIND(".",B100)+1)&gt;=1,LEN(B100)-FIND(".",B100,FIND(".",B100)+1)&lt;=2),AND(LEN(B100)-FIND(".",B100,FIND(".",B100)+1)=4,FIND(".",B100)&gt;=2,FIND(".",B100)&lt;=3)),FIND(".",B100,FIND(".",B100)+1)-FIND(".",B100)&gt;=2,FIND(".",B100,FIND(".",B100)+1)-FIND(".",B100)&lt;=3,F100&gt;=2000,F100&lt;=2100,YEAR(I100)=F100,MONTH(I100)=G100,DAY(I100)=H100),I100,0)),0)</ns0:f>
        <ns0:v>0</ns0:v>
      </ns0:c>
      <ns0:c r="K100" s="0">
        <ns0:f>IFERROR(IF(ISNUMBER(Bookings!D100),"",TRIM(Bookings!D100&amp;"")),"")</ns0:f>
      </ns0:c>
      <ns0:c r="L100" s="0">
        <ns0:f>IFERROR(SUBSTITUTE(SUBSTITUTE(K100,"/","."),"-","."),"")</ns0:f>
      </ns0:c>
      <ns0:c r="M100" s="0">
        <ns0:f>IFERROR(LEFT(L100,FIND(".",L100)-1),"")</ns0:f>
      </ns0:c>
      <ns0:c r="N100" s="0">
        <ns0:f>IFERROR(MID(L100,FIND(".",L100)+1,FIND(".",L100,FIND(".",L100)+1)-FIND(".",L100)-1),"")</ns0:f>
      </ns0:c>
      <ns0:c r="O100" s="0">
        <ns0:f>IFERROR(MID(L100,FIND(".",L100,FIND(".",L100)+1)+1,99),"")</ns0:f>
        <ns0:v>99</ns0:v>
      </ns0:c>
      <ns0:c r="P100" s="0">
        <ns0:f>IFERROR(IF(FIND(".",L100)=5,--M100,--O100),0)</ns0:f>
        <ns0:v>0</ns0:v>
      </ns0:c>
      <ns0:c r="Q100" s="0">
        <ns0:f>IFERROR(--N100,0)</ns0:f>
        <ns0:v>0</ns0:v>
      </ns0:c>
      <ns0:c r="R100" s="0">
        <ns0:f>IFERROR(IF(FIND(".",L100)=5,--O100,--M100),0)</ns0:f>
        <ns0:v>0</ns0:v>
      </ns0:c>
      <ns0:c r="S100" s="0">
        <ns0:f>IFERROR(IF(AND(P100&gt;=2000,P100&lt;=2100,Q100&gt;=1,Q100&lt;=12,R100&gt;=1,R100&lt;=31),DATE(P100,Q100,R100),0),0)</ns0:f>
        <ns0:v>0</ns0:v>
      </ns0:c>
      <ns0:c r="T100" s="0">
        <ns0:f>IFERROR(IF(ISNUMBER(Bookings!D100),IF(AND(Bookings!D100=INT(Bookings!D100),Bookings!D100&gt;=DATE(2000,1,1),Bookings!D100&lt;=DATE(2100,12,31)),Bookings!D100,0),IF(AND(K100&lt;&gt;"",LEN("x"&amp;L100)-LEN(SUBSTITUTE("x"&amp;L100,".",""))=2,OR(1&gt;LEN(L100),MID(L100,1,1)=".",ISNUMBER(FIND("x"&amp;MID(L100,1,1),"x0x1x2x3x4x5x6x7x8x9"))),OR(2&gt;LEN(L100),MID(L100,2,1)=".",ISNUMBER(FIND("x"&amp;MID(L100,2,1),"x0x1x2x3x4x5x6x7x8x9"))),OR(3&gt;LEN(L100),MID(L100,3,1)=".",ISNUMBER(FIND("x"&amp;MID(L100,3,1),"x0x1x2x3x4x5x6x7x8x9"))),OR(4&gt;LEN(L100),MID(L100,4,1)=".",ISNUMBER(FIND("x"&amp;MID(L100,4,1),"x0x1x2x3x4x5x6x7x8x9"))),OR(5&gt;LEN(L100),MID(L100,5,1)=".",ISNUMBER(FIND("x"&amp;MID(L100,5,1),"x0x1x2x3x4x5x6x7x8x9"))),OR(6&gt;LEN(L100),MID(L100,6,1)=".",ISNUMBER(FIND("x"&amp;MID(L100,6,1),"x0x1x2x3x4x5x6x7x8x9"))),OR(7&gt;LEN(L100),MID(L100,7,1)=".",ISNUMBER(FIND("x"&amp;MID(L100,7,1),"x0x1x2x3x4x5x6x7x8x9"))),OR(8&gt;LEN(L100),MID(L100,8,1)=".",ISNUMBER(FIND("x"&amp;MID(L100,8,1),"x0x1x2x3x4x5x6x7x8x9"))),OR(9&gt;LEN(L100),MID(L100,9,1)=".",ISNUMBER(FIND("x"&amp;MID(L100,9,1),"x0x1x2x3x4x5x6x7x8x9"))),OR(10&gt;LEN(L100),MID(L100,10,1)=".",ISNUMBER(FIND("x"&amp;MID(L100,10,1),"x0x1x2x3x4x5x6x7x8x9"))),OR(AND(FIND(".",L100)=5,LEN(L100)-FIND(".",L100,FIND(".",L100)+1)&gt;=1,LEN(L100)-FIND(".",L100,FIND(".",L100)+1)&lt;=2),AND(LEN(L100)-FIND(".",L100,FIND(".",L100)+1)=4,FIND(".",L100)&gt;=2,FIND(".",L100)&lt;=3)),FIND(".",L100,FIND(".",L100)+1)-FIND(".",L100)&gt;=2,FIND(".",L100,FIND(".",L100)+1)-FIND(".",L100)&lt;=3,P100&gt;=2000,P100&lt;=2100,YEAR(S100)=P100,MONTH(S100)=Q100,DAY(S100)=R100),S100,0)),0)</ns0:f>
        <ns0:v>0</ns0:v>
      </ns0:c>
      <ns0:c r="U100" s="0" t="str">
        <ns0:f>IF(Bookings!C100="","Full day",Bookings!C100)</ns0:f>
        <ns0:v>Full day</ns0:v>
      </ns0:c>
      <ns0:c r="V100" s="0" t="str">
        <ns0:f>IF(Bookings!E100="","Full day",Bookings!E100)</ns0:f>
        <ns0:v>Full day</ns0:v>
      </ns0:c>
      <ns0:c r="W100" s="0">
        <ns0:f>IF(J100=0,0,J100+IF(U100="PM",1,0))</ns0:f>
        <ns0:v>0</ns0:v>
      </ns0:c>
      <ns0:c r="X100" s="0">
        <ns0:f>IF(T100=0,0,T100-IF(V100="PM",1,0))</ns0:f>
        <ns0:v>0</ns0:v>
      </ns0:c>
      <ns0:c r="Y100" s="0">
        <ns0:f>IF(J100=0,0,J100+IF(U100="AM",1,0))</ns0:f>
        <ns0:v>0</ns0:v>
      </ns0:c>
      <ns0:c r="Z100" s="0">
        <ns0:f>IF(T100=0,0,T100-IF(V100="AM",1,0))</ns0:f>
        <ns0:v>0</ns0:v>
      </ns0:c>
      <ns0:c r="AA100" s="0">
        <ns0:f>IFERROR(IF(AND(J100&gt;0,'_Engine'!C100&gt;0,MID('_Engine'!W100,WEEKDAY(J100,2),1)="W",COUNTIF(Settings!$F$18:$F$67,J100)=0),1,0),0)</ns0:f>
        <ns0:v>0</ns0:v>
      </ns0:c>
      <ns0:c r="AB100" s="0">
        <ns0:f>IFERROR(IF(AND(T100&gt;0,'_Engine'!C100&gt;0,MID('_Engine'!W100,WEEKDAY(T100,2),1)="W",COUNTIF(Settings!$F$18:$F$67,T100)=0),1,0),0)</ns0:f>
        <ns0:v>0</ns0:v>
      </ns0:c>
      <ns0:c r="AC100" s="0">
        <ns0:f>IF(AND(J100&gt;0,T100&gt;0,W100&lt;=X100),1,0)</ns0:f>
        <ns0:v>0</ns0:v>
      </ns0:c>
      <ns0:c r="AD100" s="0">
        <ns0:f>IF(AND(J100&gt;0,T100&gt;0,Y100&lt;=Z100),1,0)</ns0:f>
        <ns0:v>0</ns0:v>
      </ns0:c>
    </ns0:row>
    <ns0:row r="101">
      <ns0:c r="A101" s="0">
        <ns0:f>IFERROR(IF(ISNUMBER(Bookings!B101),"",TRIM(Bookings!B101&amp;"")),"")</ns0:f>
      </ns0:c>
      <ns0:c r="B101" s="0">
        <ns0:f>IFERROR(SUBSTITUTE(SUBSTITUTE(A101,"/","."),"-","."),"")</ns0:f>
      </ns0:c>
      <ns0:c r="C101" s="0">
        <ns0:f>IFERROR(LEFT(B101,FIND(".",B101)-1),"")</ns0:f>
      </ns0:c>
      <ns0:c r="D101" s="0">
        <ns0:f>IFERROR(MID(B101,FIND(".",B101)+1,FIND(".",B101,FIND(".",B101)+1)-FIND(".",B101)-1),"")</ns0:f>
      </ns0:c>
      <ns0:c r="E101" s="0">
        <ns0:f>IFERROR(MID(B101,FIND(".",B101,FIND(".",B101)+1)+1,99),"")</ns0:f>
        <ns0:v>99</ns0:v>
      </ns0:c>
      <ns0:c r="F101" s="0">
        <ns0:f>IFERROR(IF(FIND(".",B101)=5,--C101,--E101),0)</ns0:f>
        <ns0:v>0</ns0:v>
      </ns0:c>
      <ns0:c r="G101" s="0">
        <ns0:f>IFERROR(--D101,0)</ns0:f>
        <ns0:v>0</ns0:v>
      </ns0:c>
      <ns0:c r="H101" s="0">
        <ns0:f>IFERROR(IF(FIND(".",B101)=5,--E101,--C101),0)</ns0:f>
        <ns0:v>0</ns0:v>
      </ns0:c>
      <ns0:c r="I101" s="0">
        <ns0:f>IFERROR(IF(AND(F101&gt;=2000,F101&lt;=2100,G101&gt;=1,G101&lt;=12,H101&gt;=1,H101&lt;=31),DATE(F101,G101,H101),0),0)</ns0:f>
        <ns0:v>0</ns0:v>
      </ns0:c>
      <ns0:c r="J101" s="0">
        <ns0:f>IFERROR(IF(ISNUMBER(Bookings!B101),IF(AND(Bookings!B101=INT(Bookings!B101),Bookings!B101&gt;=DATE(2000,1,1),Bookings!B101&lt;=DATE(2100,12,31)),Bookings!B101,0),IF(AND(A101&lt;&gt;"",LEN("x"&amp;B101)-LEN(SUBSTITUTE("x"&amp;B101,".",""))=2,OR(1&gt;LEN(B101),MID(B101,1,1)=".",ISNUMBER(FIND("x"&amp;MID(B101,1,1),"x0x1x2x3x4x5x6x7x8x9"))),OR(2&gt;LEN(B101),MID(B101,2,1)=".",ISNUMBER(FIND("x"&amp;MID(B101,2,1),"x0x1x2x3x4x5x6x7x8x9"))),OR(3&gt;LEN(B101),MID(B101,3,1)=".",ISNUMBER(FIND("x"&amp;MID(B101,3,1),"x0x1x2x3x4x5x6x7x8x9"))),OR(4&gt;LEN(B101),MID(B101,4,1)=".",ISNUMBER(FIND("x"&amp;MID(B101,4,1),"x0x1x2x3x4x5x6x7x8x9"))),OR(5&gt;LEN(B101),MID(B101,5,1)=".",ISNUMBER(FIND("x"&amp;MID(B101,5,1),"x0x1x2x3x4x5x6x7x8x9"))),OR(6&gt;LEN(B101),MID(B101,6,1)=".",ISNUMBER(FIND("x"&amp;MID(B101,6,1),"x0x1x2x3x4x5x6x7x8x9"))),OR(7&gt;LEN(B101),MID(B101,7,1)=".",ISNUMBER(FIND("x"&amp;MID(B101,7,1),"x0x1x2x3x4x5x6x7x8x9"))),OR(8&gt;LEN(B101),MID(B101,8,1)=".",ISNUMBER(FIND("x"&amp;MID(B101,8,1),"x0x1x2x3x4x5x6x7x8x9"))),OR(9&gt;LEN(B101),MID(B101,9,1)=".",ISNUMBER(FIND("x"&amp;MID(B101,9,1),"x0x1x2x3x4x5x6x7x8x9"))),OR(10&gt;LEN(B101),MID(B101,10,1)=".",ISNUMBER(FIND("x"&amp;MID(B101,10,1),"x0x1x2x3x4x5x6x7x8x9"))),OR(AND(FIND(".",B101)=5,LEN(B101)-FIND(".",B101,FIND(".",B101)+1)&gt;=1,LEN(B101)-FIND(".",B101,FIND(".",B101)+1)&lt;=2),AND(LEN(B101)-FIND(".",B101,FIND(".",B101)+1)=4,FIND(".",B101)&gt;=2,FIND(".",B101)&lt;=3)),FIND(".",B101,FIND(".",B101)+1)-FIND(".",B101)&gt;=2,FIND(".",B101,FIND(".",B101)+1)-FIND(".",B101)&lt;=3,F101&gt;=2000,F101&lt;=2100,YEAR(I101)=F101,MONTH(I101)=G101,DAY(I101)=H101),I101,0)),0)</ns0:f>
        <ns0:v>0</ns0:v>
      </ns0:c>
      <ns0:c r="K101" s="0">
        <ns0:f>IFERROR(IF(ISNUMBER(Bookings!D101),"",TRIM(Bookings!D101&amp;"")),"")</ns0:f>
      </ns0:c>
      <ns0:c r="L101" s="0">
        <ns0:f>IFERROR(SUBSTITUTE(SUBSTITUTE(K101,"/","."),"-","."),"")</ns0:f>
      </ns0:c>
      <ns0:c r="M101" s="0">
        <ns0:f>IFERROR(LEFT(L101,FIND(".",L101)-1),"")</ns0:f>
      </ns0:c>
      <ns0:c r="N101" s="0">
        <ns0:f>IFERROR(MID(L101,FIND(".",L101)+1,FIND(".",L101,FIND(".",L101)+1)-FIND(".",L101)-1),"")</ns0:f>
      </ns0:c>
      <ns0:c r="O101" s="0">
        <ns0:f>IFERROR(MID(L101,FIND(".",L101,FIND(".",L101)+1)+1,99),"")</ns0:f>
        <ns0:v>99</ns0:v>
      </ns0:c>
      <ns0:c r="P101" s="0">
        <ns0:f>IFERROR(IF(FIND(".",L101)=5,--M101,--O101),0)</ns0:f>
        <ns0:v>0</ns0:v>
      </ns0:c>
      <ns0:c r="Q101" s="0">
        <ns0:f>IFERROR(--N101,0)</ns0:f>
        <ns0:v>0</ns0:v>
      </ns0:c>
      <ns0:c r="R101" s="0">
        <ns0:f>IFERROR(IF(FIND(".",L101)=5,--O101,--M101),0)</ns0:f>
        <ns0:v>0</ns0:v>
      </ns0:c>
      <ns0:c r="S101" s="0">
        <ns0:f>IFERROR(IF(AND(P101&gt;=2000,P101&lt;=2100,Q101&gt;=1,Q101&lt;=12,R101&gt;=1,R101&lt;=31),DATE(P101,Q101,R101),0),0)</ns0:f>
        <ns0:v>0</ns0:v>
      </ns0:c>
      <ns0:c r="T101" s="0">
        <ns0:f>IFERROR(IF(ISNUMBER(Bookings!D101),IF(AND(Bookings!D101=INT(Bookings!D101),Bookings!D101&gt;=DATE(2000,1,1),Bookings!D101&lt;=DATE(2100,12,31)),Bookings!D101,0),IF(AND(K101&lt;&gt;"",LEN("x"&amp;L101)-LEN(SUBSTITUTE("x"&amp;L101,".",""))=2,OR(1&gt;LEN(L101),MID(L101,1,1)=".",ISNUMBER(FIND("x"&amp;MID(L101,1,1),"x0x1x2x3x4x5x6x7x8x9"))),OR(2&gt;LEN(L101),MID(L101,2,1)=".",ISNUMBER(FIND("x"&amp;MID(L101,2,1),"x0x1x2x3x4x5x6x7x8x9"))),OR(3&gt;LEN(L101),MID(L101,3,1)=".",ISNUMBER(FIND("x"&amp;MID(L101,3,1),"x0x1x2x3x4x5x6x7x8x9"))),OR(4&gt;LEN(L101),MID(L101,4,1)=".",ISNUMBER(FIND("x"&amp;MID(L101,4,1),"x0x1x2x3x4x5x6x7x8x9"))),OR(5&gt;LEN(L101),MID(L101,5,1)=".",ISNUMBER(FIND("x"&amp;MID(L101,5,1),"x0x1x2x3x4x5x6x7x8x9"))),OR(6&gt;LEN(L101),MID(L101,6,1)=".",ISNUMBER(FIND("x"&amp;MID(L101,6,1),"x0x1x2x3x4x5x6x7x8x9"))),OR(7&gt;LEN(L101),MID(L101,7,1)=".",ISNUMBER(FIND("x"&amp;MID(L101,7,1),"x0x1x2x3x4x5x6x7x8x9"))),OR(8&gt;LEN(L101),MID(L101,8,1)=".",ISNUMBER(FIND("x"&amp;MID(L101,8,1),"x0x1x2x3x4x5x6x7x8x9"))),OR(9&gt;LEN(L101),MID(L101,9,1)=".",ISNUMBER(FIND("x"&amp;MID(L101,9,1),"x0x1x2x3x4x5x6x7x8x9"))),OR(10&gt;LEN(L101),MID(L101,10,1)=".",ISNUMBER(FIND("x"&amp;MID(L101,10,1),"x0x1x2x3x4x5x6x7x8x9"))),OR(AND(FIND(".",L101)=5,LEN(L101)-FIND(".",L101,FIND(".",L101)+1)&gt;=1,LEN(L101)-FIND(".",L101,FIND(".",L101)+1)&lt;=2),AND(LEN(L101)-FIND(".",L101,FIND(".",L101)+1)=4,FIND(".",L101)&gt;=2,FIND(".",L101)&lt;=3)),FIND(".",L101,FIND(".",L101)+1)-FIND(".",L101)&gt;=2,FIND(".",L101,FIND(".",L101)+1)-FIND(".",L101)&lt;=3,P101&gt;=2000,P101&lt;=2100,YEAR(S101)=P101,MONTH(S101)=Q101,DAY(S101)=R101),S101,0)),0)</ns0:f>
        <ns0:v>0</ns0:v>
      </ns0:c>
      <ns0:c r="U101" s="0" t="str">
        <ns0:f>IF(Bookings!C101="","Full day",Bookings!C101)</ns0:f>
        <ns0:v>Full day</ns0:v>
      </ns0:c>
      <ns0:c r="V101" s="0" t="str">
        <ns0:f>IF(Bookings!E101="","Full day",Bookings!E101)</ns0:f>
        <ns0:v>Full day</ns0:v>
      </ns0:c>
      <ns0:c r="W101" s="0">
        <ns0:f>IF(J101=0,0,J101+IF(U101="PM",1,0))</ns0:f>
        <ns0:v>0</ns0:v>
      </ns0:c>
      <ns0:c r="X101" s="0">
        <ns0:f>IF(T101=0,0,T101-IF(V101="PM",1,0))</ns0:f>
        <ns0:v>0</ns0:v>
      </ns0:c>
      <ns0:c r="Y101" s="0">
        <ns0:f>IF(J101=0,0,J101+IF(U101="AM",1,0))</ns0:f>
        <ns0:v>0</ns0:v>
      </ns0:c>
      <ns0:c r="Z101" s="0">
        <ns0:f>IF(T101=0,0,T101-IF(V101="AM",1,0))</ns0:f>
        <ns0:v>0</ns0:v>
      </ns0:c>
      <ns0:c r="AA101" s="0">
        <ns0:f>IFERROR(IF(AND(J101&gt;0,'_Engine'!C101&gt;0,MID('_Engine'!W101,WEEKDAY(J101,2),1)="W",COUNTIF(Settings!$F$18:$F$67,J101)=0),1,0),0)</ns0:f>
        <ns0:v>0</ns0:v>
      </ns0:c>
      <ns0:c r="AB101" s="0">
        <ns0:f>IFERROR(IF(AND(T101&gt;0,'_Engine'!C101&gt;0,MID('_Engine'!W101,WEEKDAY(T101,2),1)="W",COUNTIF(Settings!$F$18:$F$67,T101)=0),1,0),0)</ns0:f>
        <ns0:v>0</ns0:v>
      </ns0:c>
      <ns0:c r="AC101" s="0">
        <ns0:f>IF(AND(J101&gt;0,T101&gt;0,W101&lt;=X101),1,0)</ns0:f>
        <ns0:v>0</ns0:v>
      </ns0:c>
      <ns0:c r="AD101" s="0">
        <ns0:f>IF(AND(J101&gt;0,T101&gt;0,Y101&lt;=Z101),1,0)</ns0:f>
        <ns0:v>0</ns0:v>
      </ns0:c>
    </ns0:row>
    <ns0:row r="102">
      <ns0:c r="A102" s="0">
        <ns0:f>IFERROR(IF(ISNUMBER(Bookings!B102),"",TRIM(Bookings!B102&amp;"")),"")</ns0:f>
      </ns0:c>
      <ns0:c r="B102" s="0">
        <ns0:f>IFERROR(SUBSTITUTE(SUBSTITUTE(A102,"/","."),"-","."),"")</ns0:f>
      </ns0:c>
      <ns0:c r="C102" s="0">
        <ns0:f>IFERROR(LEFT(B102,FIND(".",B102)-1),"")</ns0:f>
      </ns0:c>
      <ns0:c r="D102" s="0">
        <ns0:f>IFERROR(MID(B102,FIND(".",B102)+1,FIND(".",B102,FIND(".",B102)+1)-FIND(".",B102)-1),"")</ns0:f>
      </ns0:c>
      <ns0:c r="E102" s="0">
        <ns0:f>IFERROR(MID(B102,FIND(".",B102,FIND(".",B102)+1)+1,99),"")</ns0:f>
        <ns0:v>99</ns0:v>
      </ns0:c>
      <ns0:c r="F102" s="0">
        <ns0:f>IFERROR(IF(FIND(".",B102)=5,--C102,--E102),0)</ns0:f>
        <ns0:v>0</ns0:v>
      </ns0:c>
      <ns0:c r="G102" s="0">
        <ns0:f>IFERROR(--D102,0)</ns0:f>
        <ns0:v>0</ns0:v>
      </ns0:c>
      <ns0:c r="H102" s="0">
        <ns0:f>IFERROR(IF(FIND(".",B102)=5,--E102,--C102),0)</ns0:f>
        <ns0:v>0</ns0:v>
      </ns0:c>
      <ns0:c r="I102" s="0">
        <ns0:f>IFERROR(IF(AND(F102&gt;=2000,F102&lt;=2100,G102&gt;=1,G102&lt;=12,H102&gt;=1,H102&lt;=31),DATE(F102,G102,H102),0),0)</ns0:f>
        <ns0:v>0</ns0:v>
      </ns0:c>
      <ns0:c r="J102" s="0">
        <ns0:f>IFERROR(IF(ISNUMBER(Bookings!B102),IF(AND(Bookings!B102=INT(Bookings!B102),Bookings!B102&gt;=DATE(2000,1,1),Bookings!B102&lt;=DATE(2100,12,31)),Bookings!B102,0),IF(AND(A102&lt;&gt;"",LEN("x"&amp;B102)-LEN(SUBSTITUTE("x"&amp;B102,".",""))=2,OR(1&gt;LEN(B102),MID(B102,1,1)=".",ISNUMBER(FIND("x"&amp;MID(B102,1,1),"x0x1x2x3x4x5x6x7x8x9"))),OR(2&gt;LEN(B102),MID(B102,2,1)=".",ISNUMBER(FIND("x"&amp;MID(B102,2,1),"x0x1x2x3x4x5x6x7x8x9"))),OR(3&gt;LEN(B102),MID(B102,3,1)=".",ISNUMBER(FIND("x"&amp;MID(B102,3,1),"x0x1x2x3x4x5x6x7x8x9"))),OR(4&gt;LEN(B102),MID(B102,4,1)=".",ISNUMBER(FIND("x"&amp;MID(B102,4,1),"x0x1x2x3x4x5x6x7x8x9"))),OR(5&gt;LEN(B102),MID(B102,5,1)=".",ISNUMBER(FIND("x"&amp;MID(B102,5,1),"x0x1x2x3x4x5x6x7x8x9"))),OR(6&gt;LEN(B102),MID(B102,6,1)=".",ISNUMBER(FIND("x"&amp;MID(B102,6,1),"x0x1x2x3x4x5x6x7x8x9"))),OR(7&gt;LEN(B102),MID(B102,7,1)=".",ISNUMBER(FIND("x"&amp;MID(B102,7,1),"x0x1x2x3x4x5x6x7x8x9"))),OR(8&gt;LEN(B102),MID(B102,8,1)=".",ISNUMBER(FIND("x"&amp;MID(B102,8,1),"x0x1x2x3x4x5x6x7x8x9"))),OR(9&gt;LEN(B102),MID(B102,9,1)=".",ISNUMBER(FIND("x"&amp;MID(B102,9,1),"x0x1x2x3x4x5x6x7x8x9"))),OR(10&gt;LEN(B102),MID(B102,10,1)=".",ISNUMBER(FIND("x"&amp;MID(B102,10,1),"x0x1x2x3x4x5x6x7x8x9"))),OR(AND(FIND(".",B102)=5,LEN(B102)-FIND(".",B102,FIND(".",B102)+1)&gt;=1,LEN(B102)-FIND(".",B102,FIND(".",B102)+1)&lt;=2),AND(LEN(B102)-FIND(".",B102,FIND(".",B102)+1)=4,FIND(".",B102)&gt;=2,FIND(".",B102)&lt;=3)),FIND(".",B102,FIND(".",B102)+1)-FIND(".",B102)&gt;=2,FIND(".",B102,FIND(".",B102)+1)-FIND(".",B102)&lt;=3,F102&gt;=2000,F102&lt;=2100,YEAR(I102)=F102,MONTH(I102)=G102,DAY(I102)=H102),I102,0)),0)</ns0:f>
        <ns0:v>0</ns0:v>
      </ns0:c>
      <ns0:c r="K102" s="0">
        <ns0:f>IFERROR(IF(ISNUMBER(Bookings!D102),"",TRIM(Bookings!D102&amp;"")),"")</ns0:f>
      </ns0:c>
      <ns0:c r="L102" s="0">
        <ns0:f>IFERROR(SUBSTITUTE(SUBSTITUTE(K102,"/","."),"-","."),"")</ns0:f>
      </ns0:c>
      <ns0:c r="M102" s="0">
        <ns0:f>IFERROR(LEFT(L102,FIND(".",L102)-1),"")</ns0:f>
      </ns0:c>
      <ns0:c r="N102" s="0">
        <ns0:f>IFERROR(MID(L102,FIND(".",L102)+1,FIND(".",L102,FIND(".",L102)+1)-FIND(".",L102)-1),"")</ns0:f>
      </ns0:c>
      <ns0:c r="O102" s="0">
        <ns0:f>IFERROR(MID(L102,FIND(".",L102,FIND(".",L102)+1)+1,99),"")</ns0:f>
        <ns0:v>99</ns0:v>
      </ns0:c>
      <ns0:c r="P102" s="0">
        <ns0:f>IFERROR(IF(FIND(".",L102)=5,--M102,--O102),0)</ns0:f>
        <ns0:v>0</ns0:v>
      </ns0:c>
      <ns0:c r="Q102" s="0">
        <ns0:f>IFERROR(--N102,0)</ns0:f>
        <ns0:v>0</ns0:v>
      </ns0:c>
      <ns0:c r="R102" s="0">
        <ns0:f>IFERROR(IF(FIND(".",L102)=5,--O102,--M102),0)</ns0:f>
        <ns0:v>0</ns0:v>
      </ns0:c>
      <ns0:c r="S102" s="0">
        <ns0:f>IFERROR(IF(AND(P102&gt;=2000,P102&lt;=2100,Q102&gt;=1,Q102&lt;=12,R102&gt;=1,R102&lt;=31),DATE(P102,Q102,R102),0),0)</ns0:f>
        <ns0:v>0</ns0:v>
      </ns0:c>
      <ns0:c r="T102" s="0">
        <ns0:f>IFERROR(IF(ISNUMBER(Bookings!D102),IF(AND(Bookings!D102=INT(Bookings!D102),Bookings!D102&gt;=DATE(2000,1,1),Bookings!D102&lt;=DATE(2100,12,31)),Bookings!D102,0),IF(AND(K102&lt;&gt;"",LEN("x"&amp;L102)-LEN(SUBSTITUTE("x"&amp;L102,".",""))=2,OR(1&gt;LEN(L102),MID(L102,1,1)=".",ISNUMBER(FIND("x"&amp;MID(L102,1,1),"x0x1x2x3x4x5x6x7x8x9"))),OR(2&gt;LEN(L102),MID(L102,2,1)=".",ISNUMBER(FIND("x"&amp;MID(L102,2,1),"x0x1x2x3x4x5x6x7x8x9"))),OR(3&gt;LEN(L102),MID(L102,3,1)=".",ISNUMBER(FIND("x"&amp;MID(L102,3,1),"x0x1x2x3x4x5x6x7x8x9"))),OR(4&gt;LEN(L102),MID(L102,4,1)=".",ISNUMBER(FIND("x"&amp;MID(L102,4,1),"x0x1x2x3x4x5x6x7x8x9"))),OR(5&gt;LEN(L102),MID(L102,5,1)=".",ISNUMBER(FIND("x"&amp;MID(L102,5,1),"x0x1x2x3x4x5x6x7x8x9"))),OR(6&gt;LEN(L102),MID(L102,6,1)=".",ISNUMBER(FIND("x"&amp;MID(L102,6,1),"x0x1x2x3x4x5x6x7x8x9"))),OR(7&gt;LEN(L102),MID(L102,7,1)=".",ISNUMBER(FIND("x"&amp;MID(L102,7,1),"x0x1x2x3x4x5x6x7x8x9"))),OR(8&gt;LEN(L102),MID(L102,8,1)=".",ISNUMBER(FIND("x"&amp;MID(L102,8,1),"x0x1x2x3x4x5x6x7x8x9"))),OR(9&gt;LEN(L102),MID(L102,9,1)=".",ISNUMBER(FIND("x"&amp;MID(L102,9,1),"x0x1x2x3x4x5x6x7x8x9"))),OR(10&gt;LEN(L102),MID(L102,10,1)=".",ISNUMBER(FIND("x"&amp;MID(L102,10,1),"x0x1x2x3x4x5x6x7x8x9"))),OR(AND(FIND(".",L102)=5,LEN(L102)-FIND(".",L102,FIND(".",L102)+1)&gt;=1,LEN(L102)-FIND(".",L102,FIND(".",L102)+1)&lt;=2),AND(LEN(L102)-FIND(".",L102,FIND(".",L102)+1)=4,FIND(".",L102)&gt;=2,FIND(".",L102)&lt;=3)),FIND(".",L102,FIND(".",L102)+1)-FIND(".",L102)&gt;=2,FIND(".",L102,FIND(".",L102)+1)-FIND(".",L102)&lt;=3,P102&gt;=2000,P102&lt;=2100,YEAR(S102)=P102,MONTH(S102)=Q102,DAY(S102)=R102),S102,0)),0)</ns0:f>
        <ns0:v>0</ns0:v>
      </ns0:c>
      <ns0:c r="U102" s="0" t="str">
        <ns0:f>IF(Bookings!C102="","Full day",Bookings!C102)</ns0:f>
        <ns0:v>Full day</ns0:v>
      </ns0:c>
      <ns0:c r="V102" s="0" t="str">
        <ns0:f>IF(Bookings!E102="","Full day",Bookings!E102)</ns0:f>
        <ns0:v>Full day</ns0:v>
      </ns0:c>
      <ns0:c r="W102" s="0">
        <ns0:f>IF(J102=0,0,J102+IF(U102="PM",1,0))</ns0:f>
        <ns0:v>0</ns0:v>
      </ns0:c>
      <ns0:c r="X102" s="0">
        <ns0:f>IF(T102=0,0,T102-IF(V102="PM",1,0))</ns0:f>
        <ns0:v>0</ns0:v>
      </ns0:c>
      <ns0:c r="Y102" s="0">
        <ns0:f>IF(J102=0,0,J102+IF(U102="AM",1,0))</ns0:f>
        <ns0:v>0</ns0:v>
      </ns0:c>
      <ns0:c r="Z102" s="0">
        <ns0:f>IF(T102=0,0,T102-IF(V102="AM",1,0))</ns0:f>
        <ns0:v>0</ns0:v>
      </ns0:c>
      <ns0:c r="AA102" s="0">
        <ns0:f>IFERROR(IF(AND(J102&gt;0,'_Engine'!C102&gt;0,MID('_Engine'!W102,WEEKDAY(J102,2),1)="W",COUNTIF(Settings!$F$18:$F$67,J102)=0),1,0),0)</ns0:f>
        <ns0:v>0</ns0:v>
      </ns0:c>
      <ns0:c r="AB102" s="0">
        <ns0:f>IFERROR(IF(AND(T102&gt;0,'_Engine'!C102&gt;0,MID('_Engine'!W102,WEEKDAY(T102,2),1)="W",COUNTIF(Settings!$F$18:$F$67,T102)=0),1,0),0)</ns0:f>
        <ns0:v>0</ns0:v>
      </ns0:c>
      <ns0:c r="AC102" s="0">
        <ns0:f>IF(AND(J102&gt;0,T102&gt;0,W102&lt;=X102),1,0)</ns0:f>
        <ns0:v>0</ns0:v>
      </ns0:c>
      <ns0:c r="AD102" s="0">
        <ns0:f>IF(AND(J102&gt;0,T102&gt;0,Y102&lt;=Z102),1,0)</ns0:f>
        <ns0:v>0</ns0:v>
      </ns0:c>
    </ns0:row>
    <ns0:row r="103">
      <ns0:c r="A103" s="0">
        <ns0:f>IFERROR(IF(ISNUMBER(Bookings!B103),"",TRIM(Bookings!B103&amp;"")),"")</ns0:f>
      </ns0:c>
      <ns0:c r="B103" s="0">
        <ns0:f>IFERROR(SUBSTITUTE(SUBSTITUTE(A103,"/","."),"-","."),"")</ns0:f>
      </ns0:c>
      <ns0:c r="C103" s="0">
        <ns0:f>IFERROR(LEFT(B103,FIND(".",B103)-1),"")</ns0:f>
      </ns0:c>
      <ns0:c r="D103" s="0">
        <ns0:f>IFERROR(MID(B103,FIND(".",B103)+1,FIND(".",B103,FIND(".",B103)+1)-FIND(".",B103)-1),"")</ns0:f>
      </ns0:c>
      <ns0:c r="E103" s="0">
        <ns0:f>IFERROR(MID(B103,FIND(".",B103,FIND(".",B103)+1)+1,99),"")</ns0:f>
        <ns0:v>99</ns0:v>
      </ns0:c>
      <ns0:c r="F103" s="0">
        <ns0:f>IFERROR(IF(FIND(".",B103)=5,--C103,--E103),0)</ns0:f>
        <ns0:v>0</ns0:v>
      </ns0:c>
      <ns0:c r="G103" s="0">
        <ns0:f>IFERROR(--D103,0)</ns0:f>
        <ns0:v>0</ns0:v>
      </ns0:c>
      <ns0:c r="H103" s="0">
        <ns0:f>IFERROR(IF(FIND(".",B103)=5,--E103,--C103),0)</ns0:f>
        <ns0:v>0</ns0:v>
      </ns0:c>
      <ns0:c r="I103" s="0">
        <ns0:f>IFERROR(IF(AND(F103&gt;=2000,F103&lt;=2100,G103&gt;=1,G103&lt;=12,H103&gt;=1,H103&lt;=31),DATE(F103,G103,H103),0),0)</ns0:f>
        <ns0:v>0</ns0:v>
      </ns0:c>
      <ns0:c r="J103" s="0">
        <ns0:f>IFERROR(IF(ISNUMBER(Bookings!B103),IF(AND(Bookings!B103=INT(Bookings!B103),Bookings!B103&gt;=DATE(2000,1,1),Bookings!B103&lt;=DATE(2100,12,31)),Bookings!B103,0),IF(AND(A103&lt;&gt;"",LEN("x"&amp;B103)-LEN(SUBSTITUTE("x"&amp;B103,".",""))=2,OR(1&gt;LEN(B103),MID(B103,1,1)=".",ISNUMBER(FIND("x"&amp;MID(B103,1,1),"x0x1x2x3x4x5x6x7x8x9"))),OR(2&gt;LEN(B103),MID(B103,2,1)=".",ISNUMBER(FIND("x"&amp;MID(B103,2,1),"x0x1x2x3x4x5x6x7x8x9"))),OR(3&gt;LEN(B103),MID(B103,3,1)=".",ISNUMBER(FIND("x"&amp;MID(B103,3,1),"x0x1x2x3x4x5x6x7x8x9"))),OR(4&gt;LEN(B103),MID(B103,4,1)=".",ISNUMBER(FIND("x"&amp;MID(B103,4,1),"x0x1x2x3x4x5x6x7x8x9"))),OR(5&gt;LEN(B103),MID(B103,5,1)=".",ISNUMBER(FIND("x"&amp;MID(B103,5,1),"x0x1x2x3x4x5x6x7x8x9"))),OR(6&gt;LEN(B103),MID(B103,6,1)=".",ISNUMBER(FIND("x"&amp;MID(B103,6,1),"x0x1x2x3x4x5x6x7x8x9"))),OR(7&gt;LEN(B103),MID(B103,7,1)=".",ISNUMBER(FIND("x"&amp;MID(B103,7,1),"x0x1x2x3x4x5x6x7x8x9"))),OR(8&gt;LEN(B103),MID(B103,8,1)=".",ISNUMBER(FIND("x"&amp;MID(B103,8,1),"x0x1x2x3x4x5x6x7x8x9"))),OR(9&gt;LEN(B103),MID(B103,9,1)=".",ISNUMBER(FIND("x"&amp;MID(B103,9,1),"x0x1x2x3x4x5x6x7x8x9"))),OR(10&gt;LEN(B103),MID(B103,10,1)=".",ISNUMBER(FIND("x"&amp;MID(B103,10,1),"x0x1x2x3x4x5x6x7x8x9"))),OR(AND(FIND(".",B103)=5,LEN(B103)-FIND(".",B103,FIND(".",B103)+1)&gt;=1,LEN(B103)-FIND(".",B103,FIND(".",B103)+1)&lt;=2),AND(LEN(B103)-FIND(".",B103,FIND(".",B103)+1)=4,FIND(".",B103)&gt;=2,FIND(".",B103)&lt;=3)),FIND(".",B103,FIND(".",B103)+1)-FIND(".",B103)&gt;=2,FIND(".",B103,FIND(".",B103)+1)-FIND(".",B103)&lt;=3,F103&gt;=2000,F103&lt;=2100,YEAR(I103)=F103,MONTH(I103)=G103,DAY(I103)=H103),I103,0)),0)</ns0:f>
        <ns0:v>0</ns0:v>
      </ns0:c>
      <ns0:c r="K103" s="0">
        <ns0:f>IFERROR(IF(ISNUMBER(Bookings!D103),"",TRIM(Bookings!D103&amp;"")),"")</ns0:f>
      </ns0:c>
      <ns0:c r="L103" s="0">
        <ns0:f>IFERROR(SUBSTITUTE(SUBSTITUTE(K103,"/","."),"-","."),"")</ns0:f>
      </ns0:c>
      <ns0:c r="M103" s="0">
        <ns0:f>IFERROR(LEFT(L103,FIND(".",L103)-1),"")</ns0:f>
      </ns0:c>
      <ns0:c r="N103" s="0">
        <ns0:f>IFERROR(MID(L103,FIND(".",L103)+1,FIND(".",L103,FIND(".",L103)+1)-FIND(".",L103)-1),"")</ns0:f>
      </ns0:c>
      <ns0:c r="O103" s="0">
        <ns0:f>IFERROR(MID(L103,FIND(".",L103,FIND(".",L103)+1)+1,99),"")</ns0:f>
        <ns0:v>99</ns0:v>
      </ns0:c>
      <ns0:c r="P103" s="0">
        <ns0:f>IFERROR(IF(FIND(".",L103)=5,--M103,--O103),0)</ns0:f>
        <ns0:v>0</ns0:v>
      </ns0:c>
      <ns0:c r="Q103" s="0">
        <ns0:f>IFERROR(--N103,0)</ns0:f>
        <ns0:v>0</ns0:v>
      </ns0:c>
      <ns0:c r="R103" s="0">
        <ns0:f>IFERROR(IF(FIND(".",L103)=5,--O103,--M103),0)</ns0:f>
        <ns0:v>0</ns0:v>
      </ns0:c>
      <ns0:c r="S103" s="0">
        <ns0:f>IFERROR(IF(AND(P103&gt;=2000,P103&lt;=2100,Q103&gt;=1,Q103&lt;=12,R103&gt;=1,R103&lt;=31),DATE(P103,Q103,R103),0),0)</ns0:f>
        <ns0:v>0</ns0:v>
      </ns0:c>
      <ns0:c r="T103" s="0">
        <ns0:f>IFERROR(IF(ISNUMBER(Bookings!D103),IF(AND(Bookings!D103=INT(Bookings!D103),Bookings!D103&gt;=DATE(2000,1,1),Bookings!D103&lt;=DATE(2100,12,31)),Bookings!D103,0),IF(AND(K103&lt;&gt;"",LEN("x"&amp;L103)-LEN(SUBSTITUTE("x"&amp;L103,".",""))=2,OR(1&gt;LEN(L103),MID(L103,1,1)=".",ISNUMBER(FIND("x"&amp;MID(L103,1,1),"x0x1x2x3x4x5x6x7x8x9"))),OR(2&gt;LEN(L103),MID(L103,2,1)=".",ISNUMBER(FIND("x"&amp;MID(L103,2,1),"x0x1x2x3x4x5x6x7x8x9"))),OR(3&gt;LEN(L103),MID(L103,3,1)=".",ISNUMBER(FIND("x"&amp;MID(L103,3,1),"x0x1x2x3x4x5x6x7x8x9"))),OR(4&gt;LEN(L103),MID(L103,4,1)=".",ISNUMBER(FIND("x"&amp;MID(L103,4,1),"x0x1x2x3x4x5x6x7x8x9"))),OR(5&gt;LEN(L103),MID(L103,5,1)=".",ISNUMBER(FIND("x"&amp;MID(L103,5,1),"x0x1x2x3x4x5x6x7x8x9"))),OR(6&gt;LEN(L103),MID(L103,6,1)=".",ISNUMBER(FIND("x"&amp;MID(L103,6,1),"x0x1x2x3x4x5x6x7x8x9"))),OR(7&gt;LEN(L103),MID(L103,7,1)=".",ISNUMBER(FIND("x"&amp;MID(L103,7,1),"x0x1x2x3x4x5x6x7x8x9"))),OR(8&gt;LEN(L103),MID(L103,8,1)=".",ISNUMBER(FIND("x"&amp;MID(L103,8,1),"x0x1x2x3x4x5x6x7x8x9"))),OR(9&gt;LEN(L103),MID(L103,9,1)=".",ISNUMBER(FIND("x"&amp;MID(L103,9,1),"x0x1x2x3x4x5x6x7x8x9"))),OR(10&gt;LEN(L103),MID(L103,10,1)=".",ISNUMBER(FIND("x"&amp;MID(L103,10,1),"x0x1x2x3x4x5x6x7x8x9"))),OR(AND(FIND(".",L103)=5,LEN(L103)-FIND(".",L103,FIND(".",L103)+1)&gt;=1,LEN(L103)-FIND(".",L103,FIND(".",L103)+1)&lt;=2),AND(LEN(L103)-FIND(".",L103,FIND(".",L103)+1)=4,FIND(".",L103)&gt;=2,FIND(".",L103)&lt;=3)),FIND(".",L103,FIND(".",L103)+1)-FIND(".",L103)&gt;=2,FIND(".",L103,FIND(".",L103)+1)-FIND(".",L103)&lt;=3,P103&gt;=2000,P103&lt;=2100,YEAR(S103)=P103,MONTH(S103)=Q103,DAY(S103)=R103),S103,0)),0)</ns0:f>
        <ns0:v>0</ns0:v>
      </ns0:c>
      <ns0:c r="U103" s="0" t="str">
        <ns0:f>IF(Bookings!C103="","Full day",Bookings!C103)</ns0:f>
        <ns0:v>Full day</ns0:v>
      </ns0:c>
      <ns0:c r="V103" s="0" t="str">
        <ns0:f>IF(Bookings!E103="","Full day",Bookings!E103)</ns0:f>
        <ns0:v>Full day</ns0:v>
      </ns0:c>
      <ns0:c r="W103" s="0">
        <ns0:f>IF(J103=0,0,J103+IF(U103="PM",1,0))</ns0:f>
        <ns0:v>0</ns0:v>
      </ns0:c>
      <ns0:c r="X103" s="0">
        <ns0:f>IF(T103=0,0,T103-IF(V103="PM",1,0))</ns0:f>
        <ns0:v>0</ns0:v>
      </ns0:c>
      <ns0:c r="Y103" s="0">
        <ns0:f>IF(J103=0,0,J103+IF(U103="AM",1,0))</ns0:f>
        <ns0:v>0</ns0:v>
      </ns0:c>
      <ns0:c r="Z103" s="0">
        <ns0:f>IF(T103=0,0,T103-IF(V103="AM",1,0))</ns0:f>
        <ns0:v>0</ns0:v>
      </ns0:c>
      <ns0:c r="AA103" s="0">
        <ns0:f>IFERROR(IF(AND(J103&gt;0,'_Engine'!C103&gt;0,MID('_Engine'!W103,WEEKDAY(J103,2),1)="W",COUNTIF(Settings!$F$18:$F$67,J103)=0),1,0),0)</ns0:f>
        <ns0:v>0</ns0:v>
      </ns0:c>
      <ns0:c r="AB103" s="0">
        <ns0:f>IFERROR(IF(AND(T103&gt;0,'_Engine'!C103&gt;0,MID('_Engine'!W103,WEEKDAY(T103,2),1)="W",COUNTIF(Settings!$F$18:$F$67,T103)=0),1,0),0)</ns0:f>
        <ns0:v>0</ns0:v>
      </ns0:c>
      <ns0:c r="AC103" s="0">
        <ns0:f>IF(AND(J103&gt;0,T103&gt;0,W103&lt;=X103),1,0)</ns0:f>
        <ns0:v>0</ns0:v>
      </ns0:c>
      <ns0:c r="AD103" s="0">
        <ns0:f>IF(AND(J103&gt;0,T103&gt;0,Y103&lt;=Z103),1,0)</ns0:f>
        <ns0:v>0</ns0:v>
      </ns0:c>
    </ns0:row>
    <ns0:row r="104">
      <ns0:c r="A104" s="0">
        <ns0:f>IFERROR(IF(ISNUMBER(Bookings!B104),"",TRIM(Bookings!B104&amp;"")),"")</ns0:f>
      </ns0:c>
      <ns0:c r="B104" s="0">
        <ns0:f>IFERROR(SUBSTITUTE(SUBSTITUTE(A104,"/","."),"-","."),"")</ns0:f>
      </ns0:c>
      <ns0:c r="C104" s="0">
        <ns0:f>IFERROR(LEFT(B104,FIND(".",B104)-1),"")</ns0:f>
      </ns0:c>
      <ns0:c r="D104" s="0">
        <ns0:f>IFERROR(MID(B104,FIND(".",B104)+1,FIND(".",B104,FIND(".",B104)+1)-FIND(".",B104)-1),"")</ns0:f>
      </ns0:c>
      <ns0:c r="E104" s="0">
        <ns0:f>IFERROR(MID(B104,FIND(".",B104,FIND(".",B104)+1)+1,99),"")</ns0:f>
        <ns0:v>99</ns0:v>
      </ns0:c>
      <ns0:c r="F104" s="0">
        <ns0:f>IFERROR(IF(FIND(".",B104)=5,--C104,--E104),0)</ns0:f>
        <ns0:v>0</ns0:v>
      </ns0:c>
      <ns0:c r="G104" s="0">
        <ns0:f>IFERROR(--D104,0)</ns0:f>
        <ns0:v>0</ns0:v>
      </ns0:c>
      <ns0:c r="H104" s="0">
        <ns0:f>IFERROR(IF(FIND(".",B104)=5,--E104,--C104),0)</ns0:f>
        <ns0:v>0</ns0:v>
      </ns0:c>
      <ns0:c r="I104" s="0">
        <ns0:f>IFERROR(IF(AND(F104&gt;=2000,F104&lt;=2100,G104&gt;=1,G104&lt;=12,H104&gt;=1,H104&lt;=31),DATE(F104,G104,H104),0),0)</ns0:f>
        <ns0:v>0</ns0:v>
      </ns0:c>
      <ns0:c r="J104" s="0">
        <ns0:f>IFERROR(IF(ISNUMBER(Bookings!B104),IF(AND(Bookings!B104=INT(Bookings!B104),Bookings!B104&gt;=DATE(2000,1,1),Bookings!B104&lt;=DATE(2100,12,31)),Bookings!B104,0),IF(AND(A104&lt;&gt;"",LEN("x"&amp;B104)-LEN(SUBSTITUTE("x"&amp;B104,".",""))=2,OR(1&gt;LEN(B104),MID(B104,1,1)=".",ISNUMBER(FIND("x"&amp;MID(B104,1,1),"x0x1x2x3x4x5x6x7x8x9"))),OR(2&gt;LEN(B104),MID(B104,2,1)=".",ISNUMBER(FIND("x"&amp;MID(B104,2,1),"x0x1x2x3x4x5x6x7x8x9"))),OR(3&gt;LEN(B104),MID(B104,3,1)=".",ISNUMBER(FIND("x"&amp;MID(B104,3,1),"x0x1x2x3x4x5x6x7x8x9"))),OR(4&gt;LEN(B104),MID(B104,4,1)=".",ISNUMBER(FIND("x"&amp;MID(B104,4,1),"x0x1x2x3x4x5x6x7x8x9"))),OR(5&gt;LEN(B104),MID(B104,5,1)=".",ISNUMBER(FIND("x"&amp;MID(B104,5,1),"x0x1x2x3x4x5x6x7x8x9"))),OR(6&gt;LEN(B104),MID(B104,6,1)=".",ISNUMBER(FIND("x"&amp;MID(B104,6,1),"x0x1x2x3x4x5x6x7x8x9"))),OR(7&gt;LEN(B104),MID(B104,7,1)=".",ISNUMBER(FIND("x"&amp;MID(B104,7,1),"x0x1x2x3x4x5x6x7x8x9"))),OR(8&gt;LEN(B104),MID(B104,8,1)=".",ISNUMBER(FIND("x"&amp;MID(B104,8,1),"x0x1x2x3x4x5x6x7x8x9"))),OR(9&gt;LEN(B104),MID(B104,9,1)=".",ISNUMBER(FIND("x"&amp;MID(B104,9,1),"x0x1x2x3x4x5x6x7x8x9"))),OR(10&gt;LEN(B104),MID(B104,10,1)=".",ISNUMBER(FIND("x"&amp;MID(B104,10,1),"x0x1x2x3x4x5x6x7x8x9"))),OR(AND(FIND(".",B104)=5,LEN(B104)-FIND(".",B104,FIND(".",B104)+1)&gt;=1,LEN(B104)-FIND(".",B104,FIND(".",B104)+1)&lt;=2),AND(LEN(B104)-FIND(".",B104,FIND(".",B104)+1)=4,FIND(".",B104)&gt;=2,FIND(".",B104)&lt;=3)),FIND(".",B104,FIND(".",B104)+1)-FIND(".",B104)&gt;=2,FIND(".",B104,FIND(".",B104)+1)-FIND(".",B104)&lt;=3,F104&gt;=2000,F104&lt;=2100,YEAR(I104)=F104,MONTH(I104)=G104,DAY(I104)=H104),I104,0)),0)</ns0:f>
        <ns0:v>0</ns0:v>
      </ns0:c>
      <ns0:c r="K104" s="0">
        <ns0:f>IFERROR(IF(ISNUMBER(Bookings!D104),"",TRIM(Bookings!D104&amp;"")),"")</ns0:f>
      </ns0:c>
      <ns0:c r="L104" s="0">
        <ns0:f>IFERROR(SUBSTITUTE(SUBSTITUTE(K104,"/","."),"-","."),"")</ns0:f>
      </ns0:c>
      <ns0:c r="M104" s="0">
        <ns0:f>IFERROR(LEFT(L104,FIND(".",L104)-1),"")</ns0:f>
      </ns0:c>
      <ns0:c r="N104" s="0">
        <ns0:f>IFERROR(MID(L104,FIND(".",L104)+1,FIND(".",L104,FIND(".",L104)+1)-FIND(".",L104)-1),"")</ns0:f>
      </ns0:c>
      <ns0:c r="O104" s="0">
        <ns0:f>IFERROR(MID(L104,FIND(".",L104,FIND(".",L104)+1)+1,99),"")</ns0:f>
        <ns0:v>99</ns0:v>
      </ns0:c>
      <ns0:c r="P104" s="0">
        <ns0:f>IFERROR(IF(FIND(".",L104)=5,--M104,--O104),0)</ns0:f>
        <ns0:v>0</ns0:v>
      </ns0:c>
      <ns0:c r="Q104" s="0">
        <ns0:f>IFERROR(--N104,0)</ns0:f>
        <ns0:v>0</ns0:v>
      </ns0:c>
      <ns0:c r="R104" s="0">
        <ns0:f>IFERROR(IF(FIND(".",L104)=5,--O104,--M104),0)</ns0:f>
        <ns0:v>0</ns0:v>
      </ns0:c>
      <ns0:c r="S104" s="0">
        <ns0:f>IFERROR(IF(AND(P104&gt;=2000,P104&lt;=2100,Q104&gt;=1,Q104&lt;=12,R104&gt;=1,R104&lt;=31),DATE(P104,Q104,R104),0),0)</ns0:f>
        <ns0:v>0</ns0:v>
      </ns0:c>
      <ns0:c r="T104" s="0">
        <ns0:f>IFERROR(IF(ISNUMBER(Bookings!D104),IF(AND(Bookings!D104=INT(Bookings!D104),Bookings!D104&gt;=DATE(2000,1,1),Bookings!D104&lt;=DATE(2100,12,31)),Bookings!D104,0),IF(AND(K104&lt;&gt;"",LEN("x"&amp;L104)-LEN(SUBSTITUTE("x"&amp;L104,".",""))=2,OR(1&gt;LEN(L104),MID(L104,1,1)=".",ISNUMBER(FIND("x"&amp;MID(L104,1,1),"x0x1x2x3x4x5x6x7x8x9"))),OR(2&gt;LEN(L104),MID(L104,2,1)=".",ISNUMBER(FIND("x"&amp;MID(L104,2,1),"x0x1x2x3x4x5x6x7x8x9"))),OR(3&gt;LEN(L104),MID(L104,3,1)=".",ISNUMBER(FIND("x"&amp;MID(L104,3,1),"x0x1x2x3x4x5x6x7x8x9"))),OR(4&gt;LEN(L104),MID(L104,4,1)=".",ISNUMBER(FIND("x"&amp;MID(L104,4,1),"x0x1x2x3x4x5x6x7x8x9"))),OR(5&gt;LEN(L104),MID(L104,5,1)=".",ISNUMBER(FIND("x"&amp;MID(L104,5,1),"x0x1x2x3x4x5x6x7x8x9"))),OR(6&gt;LEN(L104),MID(L104,6,1)=".",ISNUMBER(FIND("x"&amp;MID(L104,6,1),"x0x1x2x3x4x5x6x7x8x9"))),OR(7&gt;LEN(L104),MID(L104,7,1)=".",ISNUMBER(FIND("x"&amp;MID(L104,7,1),"x0x1x2x3x4x5x6x7x8x9"))),OR(8&gt;LEN(L104),MID(L104,8,1)=".",ISNUMBER(FIND("x"&amp;MID(L104,8,1),"x0x1x2x3x4x5x6x7x8x9"))),OR(9&gt;LEN(L104),MID(L104,9,1)=".",ISNUMBER(FIND("x"&amp;MID(L104,9,1),"x0x1x2x3x4x5x6x7x8x9"))),OR(10&gt;LEN(L104),MID(L104,10,1)=".",ISNUMBER(FIND("x"&amp;MID(L104,10,1),"x0x1x2x3x4x5x6x7x8x9"))),OR(AND(FIND(".",L104)=5,LEN(L104)-FIND(".",L104,FIND(".",L104)+1)&gt;=1,LEN(L104)-FIND(".",L104,FIND(".",L104)+1)&lt;=2),AND(LEN(L104)-FIND(".",L104,FIND(".",L104)+1)=4,FIND(".",L104)&gt;=2,FIND(".",L104)&lt;=3)),FIND(".",L104,FIND(".",L104)+1)-FIND(".",L104)&gt;=2,FIND(".",L104,FIND(".",L104)+1)-FIND(".",L104)&lt;=3,P104&gt;=2000,P104&lt;=2100,YEAR(S104)=P104,MONTH(S104)=Q104,DAY(S104)=R104),S104,0)),0)</ns0:f>
        <ns0:v>0</ns0:v>
      </ns0:c>
      <ns0:c r="U104" s="0" t="str">
        <ns0:f>IF(Bookings!C104="","Full day",Bookings!C104)</ns0:f>
        <ns0:v>Full day</ns0:v>
      </ns0:c>
      <ns0:c r="V104" s="0" t="str">
        <ns0:f>IF(Bookings!E104="","Full day",Bookings!E104)</ns0:f>
        <ns0:v>Full day</ns0:v>
      </ns0:c>
      <ns0:c r="W104" s="0">
        <ns0:f>IF(J104=0,0,J104+IF(U104="PM",1,0))</ns0:f>
        <ns0:v>0</ns0:v>
      </ns0:c>
      <ns0:c r="X104" s="0">
        <ns0:f>IF(T104=0,0,T104-IF(V104="PM",1,0))</ns0:f>
        <ns0:v>0</ns0:v>
      </ns0:c>
      <ns0:c r="Y104" s="0">
        <ns0:f>IF(J104=0,0,J104+IF(U104="AM",1,0))</ns0:f>
        <ns0:v>0</ns0:v>
      </ns0:c>
      <ns0:c r="Z104" s="0">
        <ns0:f>IF(T104=0,0,T104-IF(V104="AM",1,0))</ns0:f>
        <ns0:v>0</ns0:v>
      </ns0:c>
      <ns0:c r="AA104" s="0">
        <ns0:f>IFERROR(IF(AND(J104&gt;0,'_Engine'!C104&gt;0,MID('_Engine'!W104,WEEKDAY(J104,2),1)="W",COUNTIF(Settings!$F$18:$F$67,J104)=0),1,0),0)</ns0:f>
        <ns0:v>0</ns0:v>
      </ns0:c>
      <ns0:c r="AB104" s="0">
        <ns0:f>IFERROR(IF(AND(T104&gt;0,'_Engine'!C104&gt;0,MID('_Engine'!W104,WEEKDAY(T104,2),1)="W",COUNTIF(Settings!$F$18:$F$67,T104)=0),1,0),0)</ns0:f>
        <ns0:v>0</ns0:v>
      </ns0:c>
      <ns0:c r="AC104" s="0">
        <ns0:f>IF(AND(J104&gt;0,T104&gt;0,W104&lt;=X104),1,0)</ns0:f>
        <ns0:v>0</ns0:v>
      </ns0:c>
      <ns0:c r="AD104" s="0">
        <ns0:f>IF(AND(J104&gt;0,T104&gt;0,Y104&lt;=Z104),1,0)</ns0:f>
        <ns0:v>0</ns0:v>
      </ns0:c>
    </ns0:row>
    <ns0:row r="105">
      <ns0:c r="A105" s="0">
        <ns0:f>IFERROR(IF(ISNUMBER(Bookings!B105),"",TRIM(Bookings!B105&amp;"")),"")</ns0:f>
      </ns0:c>
      <ns0:c r="B105" s="0">
        <ns0:f>IFERROR(SUBSTITUTE(SUBSTITUTE(A105,"/","."),"-","."),"")</ns0:f>
      </ns0:c>
      <ns0:c r="C105" s="0">
        <ns0:f>IFERROR(LEFT(B105,FIND(".",B105)-1),"")</ns0:f>
      </ns0:c>
      <ns0:c r="D105" s="0">
        <ns0:f>IFERROR(MID(B105,FIND(".",B105)+1,FIND(".",B105,FIND(".",B105)+1)-FIND(".",B105)-1),"")</ns0:f>
      </ns0:c>
      <ns0:c r="E105" s="0">
        <ns0:f>IFERROR(MID(B105,FIND(".",B105,FIND(".",B105)+1)+1,99),"")</ns0:f>
        <ns0:v>99</ns0:v>
      </ns0:c>
      <ns0:c r="F105" s="0">
        <ns0:f>IFERROR(IF(FIND(".",B105)=5,--C105,--E105),0)</ns0:f>
        <ns0:v>0</ns0:v>
      </ns0:c>
      <ns0:c r="G105" s="0">
        <ns0:f>IFERROR(--D105,0)</ns0:f>
        <ns0:v>0</ns0:v>
      </ns0:c>
      <ns0:c r="H105" s="0">
        <ns0:f>IFERROR(IF(FIND(".",B105)=5,--E105,--C105),0)</ns0:f>
        <ns0:v>0</ns0:v>
      </ns0:c>
      <ns0:c r="I105" s="0">
        <ns0:f>IFERROR(IF(AND(F105&gt;=2000,F105&lt;=2100,G105&gt;=1,G105&lt;=12,H105&gt;=1,H105&lt;=31),DATE(F105,G105,H105),0),0)</ns0:f>
        <ns0:v>0</ns0:v>
      </ns0:c>
      <ns0:c r="J105" s="0">
        <ns0:f>IFERROR(IF(ISNUMBER(Bookings!B105),IF(AND(Bookings!B105=INT(Bookings!B105),Bookings!B105&gt;=DATE(2000,1,1),Bookings!B105&lt;=DATE(2100,12,31)),Bookings!B105,0),IF(AND(A105&lt;&gt;"",LEN("x"&amp;B105)-LEN(SUBSTITUTE("x"&amp;B105,".",""))=2,OR(1&gt;LEN(B105),MID(B105,1,1)=".",ISNUMBER(FIND("x"&amp;MID(B105,1,1),"x0x1x2x3x4x5x6x7x8x9"))),OR(2&gt;LEN(B105),MID(B105,2,1)=".",ISNUMBER(FIND("x"&amp;MID(B105,2,1),"x0x1x2x3x4x5x6x7x8x9"))),OR(3&gt;LEN(B105),MID(B105,3,1)=".",ISNUMBER(FIND("x"&amp;MID(B105,3,1),"x0x1x2x3x4x5x6x7x8x9"))),OR(4&gt;LEN(B105),MID(B105,4,1)=".",ISNUMBER(FIND("x"&amp;MID(B105,4,1),"x0x1x2x3x4x5x6x7x8x9"))),OR(5&gt;LEN(B105),MID(B105,5,1)=".",ISNUMBER(FIND("x"&amp;MID(B105,5,1),"x0x1x2x3x4x5x6x7x8x9"))),OR(6&gt;LEN(B105),MID(B105,6,1)=".",ISNUMBER(FIND("x"&amp;MID(B105,6,1),"x0x1x2x3x4x5x6x7x8x9"))),OR(7&gt;LEN(B105),MID(B105,7,1)=".",ISNUMBER(FIND("x"&amp;MID(B105,7,1),"x0x1x2x3x4x5x6x7x8x9"))),OR(8&gt;LEN(B105),MID(B105,8,1)=".",ISNUMBER(FIND("x"&amp;MID(B105,8,1),"x0x1x2x3x4x5x6x7x8x9"))),OR(9&gt;LEN(B105),MID(B105,9,1)=".",ISNUMBER(FIND("x"&amp;MID(B105,9,1),"x0x1x2x3x4x5x6x7x8x9"))),OR(10&gt;LEN(B105),MID(B105,10,1)=".",ISNUMBER(FIND("x"&amp;MID(B105,10,1),"x0x1x2x3x4x5x6x7x8x9"))),OR(AND(FIND(".",B105)=5,LEN(B105)-FIND(".",B105,FIND(".",B105)+1)&gt;=1,LEN(B105)-FIND(".",B105,FIND(".",B105)+1)&lt;=2),AND(LEN(B105)-FIND(".",B105,FIND(".",B105)+1)=4,FIND(".",B105)&gt;=2,FIND(".",B105)&lt;=3)),FIND(".",B105,FIND(".",B105)+1)-FIND(".",B105)&gt;=2,FIND(".",B105,FIND(".",B105)+1)-FIND(".",B105)&lt;=3,F105&gt;=2000,F105&lt;=2100,YEAR(I105)=F105,MONTH(I105)=G105,DAY(I105)=H105),I105,0)),0)</ns0:f>
        <ns0:v>0</ns0:v>
      </ns0:c>
      <ns0:c r="K105" s="0">
        <ns0:f>IFERROR(IF(ISNUMBER(Bookings!D105),"",TRIM(Bookings!D105&amp;"")),"")</ns0:f>
      </ns0:c>
      <ns0:c r="L105" s="0">
        <ns0:f>IFERROR(SUBSTITUTE(SUBSTITUTE(K105,"/","."),"-","."),"")</ns0:f>
      </ns0:c>
      <ns0:c r="M105" s="0">
        <ns0:f>IFERROR(LEFT(L105,FIND(".",L105)-1),"")</ns0:f>
      </ns0:c>
      <ns0:c r="N105" s="0">
        <ns0:f>IFERROR(MID(L105,FIND(".",L105)+1,FIND(".",L105,FIND(".",L105)+1)-FIND(".",L105)-1),"")</ns0:f>
      </ns0:c>
      <ns0:c r="O105" s="0">
        <ns0:f>IFERROR(MID(L105,FIND(".",L105,FIND(".",L105)+1)+1,99),"")</ns0:f>
        <ns0:v>99</ns0:v>
      </ns0:c>
      <ns0:c r="P105" s="0">
        <ns0:f>IFERROR(IF(FIND(".",L105)=5,--M105,--O105),0)</ns0:f>
        <ns0:v>0</ns0:v>
      </ns0:c>
      <ns0:c r="Q105" s="0">
        <ns0:f>IFERROR(--N105,0)</ns0:f>
        <ns0:v>0</ns0:v>
      </ns0:c>
      <ns0:c r="R105" s="0">
        <ns0:f>IFERROR(IF(FIND(".",L105)=5,--O105,--M105),0)</ns0:f>
        <ns0:v>0</ns0:v>
      </ns0:c>
      <ns0:c r="S105" s="0">
        <ns0:f>IFERROR(IF(AND(P105&gt;=2000,P105&lt;=2100,Q105&gt;=1,Q105&lt;=12,R105&gt;=1,R105&lt;=31),DATE(P105,Q105,R105),0),0)</ns0:f>
        <ns0:v>0</ns0:v>
      </ns0:c>
      <ns0:c r="T105" s="0">
        <ns0:f>IFERROR(IF(ISNUMBER(Bookings!D105),IF(AND(Bookings!D105=INT(Bookings!D105),Bookings!D105&gt;=DATE(2000,1,1),Bookings!D105&lt;=DATE(2100,12,31)),Bookings!D105,0),IF(AND(K105&lt;&gt;"",LEN("x"&amp;L105)-LEN(SUBSTITUTE("x"&amp;L105,".",""))=2,OR(1&gt;LEN(L105),MID(L105,1,1)=".",ISNUMBER(FIND("x"&amp;MID(L105,1,1),"x0x1x2x3x4x5x6x7x8x9"))),OR(2&gt;LEN(L105),MID(L105,2,1)=".",ISNUMBER(FIND("x"&amp;MID(L105,2,1),"x0x1x2x3x4x5x6x7x8x9"))),OR(3&gt;LEN(L105),MID(L105,3,1)=".",ISNUMBER(FIND("x"&amp;MID(L105,3,1),"x0x1x2x3x4x5x6x7x8x9"))),OR(4&gt;LEN(L105),MID(L105,4,1)=".",ISNUMBER(FIND("x"&amp;MID(L105,4,1),"x0x1x2x3x4x5x6x7x8x9"))),OR(5&gt;LEN(L105),MID(L105,5,1)=".",ISNUMBER(FIND("x"&amp;MID(L105,5,1),"x0x1x2x3x4x5x6x7x8x9"))),OR(6&gt;LEN(L105),MID(L105,6,1)=".",ISNUMBER(FIND("x"&amp;MID(L105,6,1),"x0x1x2x3x4x5x6x7x8x9"))),OR(7&gt;LEN(L105),MID(L105,7,1)=".",ISNUMBER(FIND("x"&amp;MID(L105,7,1),"x0x1x2x3x4x5x6x7x8x9"))),OR(8&gt;LEN(L105),MID(L105,8,1)=".",ISNUMBER(FIND("x"&amp;MID(L105,8,1),"x0x1x2x3x4x5x6x7x8x9"))),OR(9&gt;LEN(L105),MID(L105,9,1)=".",ISNUMBER(FIND("x"&amp;MID(L105,9,1),"x0x1x2x3x4x5x6x7x8x9"))),OR(10&gt;LEN(L105),MID(L105,10,1)=".",ISNUMBER(FIND("x"&amp;MID(L105,10,1),"x0x1x2x3x4x5x6x7x8x9"))),OR(AND(FIND(".",L105)=5,LEN(L105)-FIND(".",L105,FIND(".",L105)+1)&gt;=1,LEN(L105)-FIND(".",L105,FIND(".",L105)+1)&lt;=2),AND(LEN(L105)-FIND(".",L105,FIND(".",L105)+1)=4,FIND(".",L105)&gt;=2,FIND(".",L105)&lt;=3)),FIND(".",L105,FIND(".",L105)+1)-FIND(".",L105)&gt;=2,FIND(".",L105,FIND(".",L105)+1)-FIND(".",L105)&lt;=3,P105&gt;=2000,P105&lt;=2100,YEAR(S105)=P105,MONTH(S105)=Q105,DAY(S105)=R105),S105,0)),0)</ns0:f>
        <ns0:v>0</ns0:v>
      </ns0:c>
      <ns0:c r="U105" s="0" t="str">
        <ns0:f>IF(Bookings!C105="","Full day",Bookings!C105)</ns0:f>
        <ns0:v>Full day</ns0:v>
      </ns0:c>
      <ns0:c r="V105" s="0" t="str">
        <ns0:f>IF(Bookings!E105="","Full day",Bookings!E105)</ns0:f>
        <ns0:v>Full day</ns0:v>
      </ns0:c>
      <ns0:c r="W105" s="0">
        <ns0:f>IF(J105=0,0,J105+IF(U105="PM",1,0))</ns0:f>
        <ns0:v>0</ns0:v>
      </ns0:c>
      <ns0:c r="X105" s="0">
        <ns0:f>IF(T105=0,0,T105-IF(V105="PM",1,0))</ns0:f>
        <ns0:v>0</ns0:v>
      </ns0:c>
      <ns0:c r="Y105" s="0">
        <ns0:f>IF(J105=0,0,J105+IF(U105="AM",1,0))</ns0:f>
        <ns0:v>0</ns0:v>
      </ns0:c>
      <ns0:c r="Z105" s="0">
        <ns0:f>IF(T105=0,0,T105-IF(V105="AM",1,0))</ns0:f>
        <ns0:v>0</ns0:v>
      </ns0:c>
      <ns0:c r="AA105" s="0">
        <ns0:f>IFERROR(IF(AND(J105&gt;0,'_Engine'!C105&gt;0,MID('_Engine'!W105,WEEKDAY(J105,2),1)="W",COUNTIF(Settings!$F$18:$F$67,J105)=0),1,0),0)</ns0:f>
        <ns0:v>0</ns0:v>
      </ns0:c>
      <ns0:c r="AB105" s="0">
        <ns0:f>IFERROR(IF(AND(T105&gt;0,'_Engine'!C105&gt;0,MID('_Engine'!W105,WEEKDAY(T105,2),1)="W",COUNTIF(Settings!$F$18:$F$67,T105)=0),1,0),0)</ns0:f>
        <ns0:v>0</ns0:v>
      </ns0:c>
      <ns0:c r="AC105" s="0">
        <ns0:f>IF(AND(J105&gt;0,T105&gt;0,W105&lt;=X105),1,0)</ns0:f>
        <ns0:v>0</ns0:v>
      </ns0:c>
      <ns0:c r="AD105" s="0">
        <ns0:f>IF(AND(J105&gt;0,T105&gt;0,Y105&lt;=Z105),1,0)</ns0:f>
        <ns0:v>0</ns0:v>
      </ns0:c>
    </ns0:row>
    <ns0:row r="106">
      <ns0:c r="A106" s="0">
        <ns0:f>IFERROR(IF(ISNUMBER(Bookings!B106),"",TRIM(Bookings!B106&amp;"")),"")</ns0:f>
      </ns0:c>
      <ns0:c r="B106" s="0">
        <ns0:f>IFERROR(SUBSTITUTE(SUBSTITUTE(A106,"/","."),"-","."),"")</ns0:f>
      </ns0:c>
      <ns0:c r="C106" s="0">
        <ns0:f>IFERROR(LEFT(B106,FIND(".",B106)-1),"")</ns0:f>
      </ns0:c>
      <ns0:c r="D106" s="0">
        <ns0:f>IFERROR(MID(B106,FIND(".",B106)+1,FIND(".",B106,FIND(".",B106)+1)-FIND(".",B106)-1),"")</ns0:f>
      </ns0:c>
      <ns0:c r="E106" s="0">
        <ns0:f>IFERROR(MID(B106,FIND(".",B106,FIND(".",B106)+1)+1,99),"")</ns0:f>
        <ns0:v>99</ns0:v>
      </ns0:c>
      <ns0:c r="F106" s="0">
        <ns0:f>IFERROR(IF(FIND(".",B106)=5,--C106,--E106),0)</ns0:f>
        <ns0:v>0</ns0:v>
      </ns0:c>
      <ns0:c r="G106" s="0">
        <ns0:f>IFERROR(--D106,0)</ns0:f>
        <ns0:v>0</ns0:v>
      </ns0:c>
      <ns0:c r="H106" s="0">
        <ns0:f>IFERROR(IF(FIND(".",B106)=5,--E106,--C106),0)</ns0:f>
        <ns0:v>0</ns0:v>
      </ns0:c>
      <ns0:c r="I106" s="0">
        <ns0:f>IFERROR(IF(AND(F106&gt;=2000,F106&lt;=2100,G106&gt;=1,G106&lt;=12,H106&gt;=1,H106&lt;=31),DATE(F106,G106,H106),0),0)</ns0:f>
        <ns0:v>0</ns0:v>
      </ns0:c>
      <ns0:c r="J106" s="0">
        <ns0:f>IFERROR(IF(ISNUMBER(Bookings!B106),IF(AND(Bookings!B106=INT(Bookings!B106),Bookings!B106&gt;=DATE(2000,1,1),Bookings!B106&lt;=DATE(2100,12,31)),Bookings!B106,0),IF(AND(A106&lt;&gt;"",LEN("x"&amp;B106)-LEN(SUBSTITUTE("x"&amp;B106,".",""))=2,OR(1&gt;LEN(B106),MID(B106,1,1)=".",ISNUMBER(FIND("x"&amp;MID(B106,1,1),"x0x1x2x3x4x5x6x7x8x9"))),OR(2&gt;LEN(B106),MID(B106,2,1)=".",ISNUMBER(FIND("x"&amp;MID(B106,2,1),"x0x1x2x3x4x5x6x7x8x9"))),OR(3&gt;LEN(B106),MID(B106,3,1)=".",ISNUMBER(FIND("x"&amp;MID(B106,3,1),"x0x1x2x3x4x5x6x7x8x9"))),OR(4&gt;LEN(B106),MID(B106,4,1)=".",ISNUMBER(FIND("x"&amp;MID(B106,4,1),"x0x1x2x3x4x5x6x7x8x9"))),OR(5&gt;LEN(B106),MID(B106,5,1)=".",ISNUMBER(FIND("x"&amp;MID(B106,5,1),"x0x1x2x3x4x5x6x7x8x9"))),OR(6&gt;LEN(B106),MID(B106,6,1)=".",ISNUMBER(FIND("x"&amp;MID(B106,6,1),"x0x1x2x3x4x5x6x7x8x9"))),OR(7&gt;LEN(B106),MID(B106,7,1)=".",ISNUMBER(FIND("x"&amp;MID(B106,7,1),"x0x1x2x3x4x5x6x7x8x9"))),OR(8&gt;LEN(B106),MID(B106,8,1)=".",ISNUMBER(FIND("x"&amp;MID(B106,8,1),"x0x1x2x3x4x5x6x7x8x9"))),OR(9&gt;LEN(B106),MID(B106,9,1)=".",ISNUMBER(FIND("x"&amp;MID(B106,9,1),"x0x1x2x3x4x5x6x7x8x9"))),OR(10&gt;LEN(B106),MID(B106,10,1)=".",ISNUMBER(FIND("x"&amp;MID(B106,10,1),"x0x1x2x3x4x5x6x7x8x9"))),OR(AND(FIND(".",B106)=5,LEN(B106)-FIND(".",B106,FIND(".",B106)+1)&gt;=1,LEN(B106)-FIND(".",B106,FIND(".",B106)+1)&lt;=2),AND(LEN(B106)-FIND(".",B106,FIND(".",B106)+1)=4,FIND(".",B106)&gt;=2,FIND(".",B106)&lt;=3)),FIND(".",B106,FIND(".",B106)+1)-FIND(".",B106)&gt;=2,FIND(".",B106,FIND(".",B106)+1)-FIND(".",B106)&lt;=3,F106&gt;=2000,F106&lt;=2100,YEAR(I106)=F106,MONTH(I106)=G106,DAY(I106)=H106),I106,0)),0)</ns0:f>
        <ns0:v>0</ns0:v>
      </ns0:c>
      <ns0:c r="K106" s="0">
        <ns0:f>IFERROR(IF(ISNUMBER(Bookings!D106),"",TRIM(Bookings!D106&amp;"")),"")</ns0:f>
      </ns0:c>
      <ns0:c r="L106" s="0">
        <ns0:f>IFERROR(SUBSTITUTE(SUBSTITUTE(K106,"/","."),"-","."),"")</ns0:f>
      </ns0:c>
      <ns0:c r="M106" s="0">
        <ns0:f>IFERROR(LEFT(L106,FIND(".",L106)-1),"")</ns0:f>
      </ns0:c>
      <ns0:c r="N106" s="0">
        <ns0:f>IFERROR(MID(L106,FIND(".",L106)+1,FIND(".",L106,FIND(".",L106)+1)-FIND(".",L106)-1),"")</ns0:f>
      </ns0:c>
      <ns0:c r="O106" s="0">
        <ns0:f>IFERROR(MID(L106,FIND(".",L106,FIND(".",L106)+1)+1,99),"")</ns0:f>
        <ns0:v>99</ns0:v>
      </ns0:c>
      <ns0:c r="P106" s="0">
        <ns0:f>IFERROR(IF(FIND(".",L106)=5,--M106,--O106),0)</ns0:f>
        <ns0:v>0</ns0:v>
      </ns0:c>
      <ns0:c r="Q106" s="0">
        <ns0:f>IFERROR(--N106,0)</ns0:f>
        <ns0:v>0</ns0:v>
      </ns0:c>
      <ns0:c r="R106" s="0">
        <ns0:f>IFERROR(IF(FIND(".",L106)=5,--O106,--M106),0)</ns0:f>
        <ns0:v>0</ns0:v>
      </ns0:c>
      <ns0:c r="S106" s="0">
        <ns0:f>IFERROR(IF(AND(P106&gt;=2000,P106&lt;=2100,Q106&gt;=1,Q106&lt;=12,R106&gt;=1,R106&lt;=31),DATE(P106,Q106,R106),0),0)</ns0:f>
        <ns0:v>0</ns0:v>
      </ns0:c>
      <ns0:c r="T106" s="0">
        <ns0:f>IFERROR(IF(ISNUMBER(Bookings!D106),IF(AND(Bookings!D106=INT(Bookings!D106),Bookings!D106&gt;=DATE(2000,1,1),Bookings!D106&lt;=DATE(2100,12,31)),Bookings!D106,0),IF(AND(K106&lt;&gt;"",LEN("x"&amp;L106)-LEN(SUBSTITUTE("x"&amp;L106,".",""))=2,OR(1&gt;LEN(L106),MID(L106,1,1)=".",ISNUMBER(FIND("x"&amp;MID(L106,1,1),"x0x1x2x3x4x5x6x7x8x9"))),OR(2&gt;LEN(L106),MID(L106,2,1)=".",ISNUMBER(FIND("x"&amp;MID(L106,2,1),"x0x1x2x3x4x5x6x7x8x9"))),OR(3&gt;LEN(L106),MID(L106,3,1)=".",ISNUMBER(FIND("x"&amp;MID(L106,3,1),"x0x1x2x3x4x5x6x7x8x9"))),OR(4&gt;LEN(L106),MID(L106,4,1)=".",ISNUMBER(FIND("x"&amp;MID(L106,4,1),"x0x1x2x3x4x5x6x7x8x9"))),OR(5&gt;LEN(L106),MID(L106,5,1)=".",ISNUMBER(FIND("x"&amp;MID(L106,5,1),"x0x1x2x3x4x5x6x7x8x9"))),OR(6&gt;LEN(L106),MID(L106,6,1)=".",ISNUMBER(FIND("x"&amp;MID(L106,6,1),"x0x1x2x3x4x5x6x7x8x9"))),OR(7&gt;LEN(L106),MID(L106,7,1)=".",ISNUMBER(FIND("x"&amp;MID(L106,7,1),"x0x1x2x3x4x5x6x7x8x9"))),OR(8&gt;LEN(L106),MID(L106,8,1)=".",ISNUMBER(FIND("x"&amp;MID(L106,8,1),"x0x1x2x3x4x5x6x7x8x9"))),OR(9&gt;LEN(L106),MID(L106,9,1)=".",ISNUMBER(FIND("x"&amp;MID(L106,9,1),"x0x1x2x3x4x5x6x7x8x9"))),OR(10&gt;LEN(L106),MID(L106,10,1)=".",ISNUMBER(FIND("x"&amp;MID(L106,10,1),"x0x1x2x3x4x5x6x7x8x9"))),OR(AND(FIND(".",L106)=5,LEN(L106)-FIND(".",L106,FIND(".",L106)+1)&gt;=1,LEN(L106)-FIND(".",L106,FIND(".",L106)+1)&lt;=2),AND(LEN(L106)-FIND(".",L106,FIND(".",L106)+1)=4,FIND(".",L106)&gt;=2,FIND(".",L106)&lt;=3)),FIND(".",L106,FIND(".",L106)+1)-FIND(".",L106)&gt;=2,FIND(".",L106,FIND(".",L106)+1)-FIND(".",L106)&lt;=3,P106&gt;=2000,P106&lt;=2100,YEAR(S106)=P106,MONTH(S106)=Q106,DAY(S106)=R106),S106,0)),0)</ns0:f>
        <ns0:v>0</ns0:v>
      </ns0:c>
      <ns0:c r="U106" s="0" t="str">
        <ns0:f>IF(Bookings!C106="","Full day",Bookings!C106)</ns0:f>
        <ns0:v>Full day</ns0:v>
      </ns0:c>
      <ns0:c r="V106" s="0" t="str">
        <ns0:f>IF(Bookings!E106="","Full day",Bookings!E106)</ns0:f>
        <ns0:v>Full day</ns0:v>
      </ns0:c>
      <ns0:c r="W106" s="0">
        <ns0:f>IF(J106=0,0,J106+IF(U106="PM",1,0))</ns0:f>
        <ns0:v>0</ns0:v>
      </ns0:c>
      <ns0:c r="X106" s="0">
        <ns0:f>IF(T106=0,0,T106-IF(V106="PM",1,0))</ns0:f>
        <ns0:v>0</ns0:v>
      </ns0:c>
      <ns0:c r="Y106" s="0">
        <ns0:f>IF(J106=0,0,J106+IF(U106="AM",1,0))</ns0:f>
        <ns0:v>0</ns0:v>
      </ns0:c>
      <ns0:c r="Z106" s="0">
        <ns0:f>IF(T106=0,0,T106-IF(V106="AM",1,0))</ns0:f>
        <ns0:v>0</ns0:v>
      </ns0:c>
      <ns0:c r="AA106" s="0">
        <ns0:f>IFERROR(IF(AND(J106&gt;0,'_Engine'!C106&gt;0,MID('_Engine'!W106,WEEKDAY(J106,2),1)="W",COUNTIF(Settings!$F$18:$F$67,J106)=0),1,0),0)</ns0:f>
        <ns0:v>0</ns0:v>
      </ns0:c>
      <ns0:c r="AB106" s="0">
        <ns0:f>IFERROR(IF(AND(T106&gt;0,'_Engine'!C106&gt;0,MID('_Engine'!W106,WEEKDAY(T106,2),1)="W",COUNTIF(Settings!$F$18:$F$67,T106)=0),1,0),0)</ns0:f>
        <ns0:v>0</ns0:v>
      </ns0:c>
      <ns0:c r="AC106" s="0">
        <ns0:f>IF(AND(J106&gt;0,T106&gt;0,W106&lt;=X106),1,0)</ns0:f>
        <ns0:v>0</ns0:v>
      </ns0:c>
      <ns0:c r="AD106" s="0">
        <ns0:f>IF(AND(J106&gt;0,T106&gt;0,Y106&lt;=Z106),1,0)</ns0:f>
        <ns0:v>0</ns0:v>
      </ns0:c>
    </ns0:row>
    <ns0:row r="107">
      <ns0:c r="A107" s="0">
        <ns0:f>IFERROR(IF(ISNUMBER(Bookings!B107),"",TRIM(Bookings!B107&amp;"")),"")</ns0:f>
      </ns0:c>
      <ns0:c r="B107" s="0">
        <ns0:f>IFERROR(SUBSTITUTE(SUBSTITUTE(A107,"/","."),"-","."),"")</ns0:f>
      </ns0:c>
      <ns0:c r="C107" s="0">
        <ns0:f>IFERROR(LEFT(B107,FIND(".",B107)-1),"")</ns0:f>
      </ns0:c>
      <ns0:c r="D107" s="0">
        <ns0:f>IFERROR(MID(B107,FIND(".",B107)+1,FIND(".",B107,FIND(".",B107)+1)-FIND(".",B107)-1),"")</ns0:f>
      </ns0:c>
      <ns0:c r="E107" s="0">
        <ns0:f>IFERROR(MID(B107,FIND(".",B107,FIND(".",B107)+1)+1,99),"")</ns0:f>
        <ns0:v>99</ns0:v>
      </ns0:c>
      <ns0:c r="F107" s="0">
        <ns0:f>IFERROR(IF(FIND(".",B107)=5,--C107,--E107),0)</ns0:f>
        <ns0:v>0</ns0:v>
      </ns0:c>
      <ns0:c r="G107" s="0">
        <ns0:f>IFERROR(--D107,0)</ns0:f>
        <ns0:v>0</ns0:v>
      </ns0:c>
      <ns0:c r="H107" s="0">
        <ns0:f>IFERROR(IF(FIND(".",B107)=5,--E107,--C107),0)</ns0:f>
        <ns0:v>0</ns0:v>
      </ns0:c>
      <ns0:c r="I107" s="0">
        <ns0:f>IFERROR(IF(AND(F107&gt;=2000,F107&lt;=2100,G107&gt;=1,G107&lt;=12,H107&gt;=1,H107&lt;=31),DATE(F107,G107,H107),0),0)</ns0:f>
        <ns0:v>0</ns0:v>
      </ns0:c>
      <ns0:c r="J107" s="0">
        <ns0:f>IFERROR(IF(ISNUMBER(Bookings!B107),IF(AND(Bookings!B107=INT(Bookings!B107),Bookings!B107&gt;=DATE(2000,1,1),Bookings!B107&lt;=DATE(2100,12,31)),Bookings!B107,0),IF(AND(A107&lt;&gt;"",LEN("x"&amp;B107)-LEN(SUBSTITUTE("x"&amp;B107,".",""))=2,OR(1&gt;LEN(B107),MID(B107,1,1)=".",ISNUMBER(FIND("x"&amp;MID(B107,1,1),"x0x1x2x3x4x5x6x7x8x9"))),OR(2&gt;LEN(B107),MID(B107,2,1)=".",ISNUMBER(FIND("x"&amp;MID(B107,2,1),"x0x1x2x3x4x5x6x7x8x9"))),OR(3&gt;LEN(B107),MID(B107,3,1)=".",ISNUMBER(FIND("x"&amp;MID(B107,3,1),"x0x1x2x3x4x5x6x7x8x9"))),OR(4&gt;LEN(B107),MID(B107,4,1)=".",ISNUMBER(FIND("x"&amp;MID(B107,4,1),"x0x1x2x3x4x5x6x7x8x9"))),OR(5&gt;LEN(B107),MID(B107,5,1)=".",ISNUMBER(FIND("x"&amp;MID(B107,5,1),"x0x1x2x3x4x5x6x7x8x9"))),OR(6&gt;LEN(B107),MID(B107,6,1)=".",ISNUMBER(FIND("x"&amp;MID(B107,6,1),"x0x1x2x3x4x5x6x7x8x9"))),OR(7&gt;LEN(B107),MID(B107,7,1)=".",ISNUMBER(FIND("x"&amp;MID(B107,7,1),"x0x1x2x3x4x5x6x7x8x9"))),OR(8&gt;LEN(B107),MID(B107,8,1)=".",ISNUMBER(FIND("x"&amp;MID(B107,8,1),"x0x1x2x3x4x5x6x7x8x9"))),OR(9&gt;LEN(B107),MID(B107,9,1)=".",ISNUMBER(FIND("x"&amp;MID(B107,9,1),"x0x1x2x3x4x5x6x7x8x9"))),OR(10&gt;LEN(B107),MID(B107,10,1)=".",ISNUMBER(FIND("x"&amp;MID(B107,10,1),"x0x1x2x3x4x5x6x7x8x9"))),OR(AND(FIND(".",B107)=5,LEN(B107)-FIND(".",B107,FIND(".",B107)+1)&gt;=1,LEN(B107)-FIND(".",B107,FIND(".",B107)+1)&lt;=2),AND(LEN(B107)-FIND(".",B107,FIND(".",B107)+1)=4,FIND(".",B107)&gt;=2,FIND(".",B107)&lt;=3)),FIND(".",B107,FIND(".",B107)+1)-FIND(".",B107)&gt;=2,FIND(".",B107,FIND(".",B107)+1)-FIND(".",B107)&lt;=3,F107&gt;=2000,F107&lt;=2100,YEAR(I107)=F107,MONTH(I107)=G107,DAY(I107)=H107),I107,0)),0)</ns0:f>
        <ns0:v>0</ns0:v>
      </ns0:c>
      <ns0:c r="K107" s="0">
        <ns0:f>IFERROR(IF(ISNUMBER(Bookings!D107),"",TRIM(Bookings!D107&amp;"")),"")</ns0:f>
      </ns0:c>
      <ns0:c r="L107" s="0">
        <ns0:f>IFERROR(SUBSTITUTE(SUBSTITUTE(K107,"/","."),"-","."),"")</ns0:f>
      </ns0:c>
      <ns0:c r="M107" s="0">
        <ns0:f>IFERROR(LEFT(L107,FIND(".",L107)-1),"")</ns0:f>
      </ns0:c>
      <ns0:c r="N107" s="0">
        <ns0:f>IFERROR(MID(L107,FIND(".",L107)+1,FIND(".",L107,FIND(".",L107)+1)-FIND(".",L107)-1),"")</ns0:f>
      </ns0:c>
      <ns0:c r="O107" s="0">
        <ns0:f>IFERROR(MID(L107,FIND(".",L107,FIND(".",L107)+1)+1,99),"")</ns0:f>
        <ns0:v>99</ns0:v>
      </ns0:c>
      <ns0:c r="P107" s="0">
        <ns0:f>IFERROR(IF(FIND(".",L107)=5,--M107,--O107),0)</ns0:f>
        <ns0:v>0</ns0:v>
      </ns0:c>
      <ns0:c r="Q107" s="0">
        <ns0:f>IFERROR(--N107,0)</ns0:f>
        <ns0:v>0</ns0:v>
      </ns0:c>
      <ns0:c r="R107" s="0">
        <ns0:f>IFERROR(IF(FIND(".",L107)=5,--O107,--M107),0)</ns0:f>
        <ns0:v>0</ns0:v>
      </ns0:c>
      <ns0:c r="S107" s="0">
        <ns0:f>IFERROR(IF(AND(P107&gt;=2000,P107&lt;=2100,Q107&gt;=1,Q107&lt;=12,R107&gt;=1,R107&lt;=31),DATE(P107,Q107,R107),0),0)</ns0:f>
        <ns0:v>0</ns0:v>
      </ns0:c>
      <ns0:c r="T107" s="0">
        <ns0:f>IFERROR(IF(ISNUMBER(Bookings!D107),IF(AND(Bookings!D107=INT(Bookings!D107),Bookings!D107&gt;=DATE(2000,1,1),Bookings!D107&lt;=DATE(2100,12,31)),Bookings!D107,0),IF(AND(K107&lt;&gt;"",LEN("x"&amp;L107)-LEN(SUBSTITUTE("x"&amp;L107,".",""))=2,OR(1&gt;LEN(L107),MID(L107,1,1)=".",ISNUMBER(FIND("x"&amp;MID(L107,1,1),"x0x1x2x3x4x5x6x7x8x9"))),OR(2&gt;LEN(L107),MID(L107,2,1)=".",ISNUMBER(FIND("x"&amp;MID(L107,2,1),"x0x1x2x3x4x5x6x7x8x9"))),OR(3&gt;LEN(L107),MID(L107,3,1)=".",ISNUMBER(FIND("x"&amp;MID(L107,3,1),"x0x1x2x3x4x5x6x7x8x9"))),OR(4&gt;LEN(L107),MID(L107,4,1)=".",ISNUMBER(FIND("x"&amp;MID(L107,4,1),"x0x1x2x3x4x5x6x7x8x9"))),OR(5&gt;LEN(L107),MID(L107,5,1)=".",ISNUMBER(FIND("x"&amp;MID(L107,5,1),"x0x1x2x3x4x5x6x7x8x9"))),OR(6&gt;LEN(L107),MID(L107,6,1)=".",ISNUMBER(FIND("x"&amp;MID(L107,6,1),"x0x1x2x3x4x5x6x7x8x9"))),OR(7&gt;LEN(L107),MID(L107,7,1)=".",ISNUMBER(FIND("x"&amp;MID(L107,7,1),"x0x1x2x3x4x5x6x7x8x9"))),OR(8&gt;LEN(L107),MID(L107,8,1)=".",ISNUMBER(FIND("x"&amp;MID(L107,8,1),"x0x1x2x3x4x5x6x7x8x9"))),OR(9&gt;LEN(L107),MID(L107,9,1)=".",ISNUMBER(FIND("x"&amp;MID(L107,9,1),"x0x1x2x3x4x5x6x7x8x9"))),OR(10&gt;LEN(L107),MID(L107,10,1)=".",ISNUMBER(FIND("x"&amp;MID(L107,10,1),"x0x1x2x3x4x5x6x7x8x9"))),OR(AND(FIND(".",L107)=5,LEN(L107)-FIND(".",L107,FIND(".",L107)+1)&gt;=1,LEN(L107)-FIND(".",L107,FIND(".",L107)+1)&lt;=2),AND(LEN(L107)-FIND(".",L107,FIND(".",L107)+1)=4,FIND(".",L107)&gt;=2,FIND(".",L107)&lt;=3)),FIND(".",L107,FIND(".",L107)+1)-FIND(".",L107)&gt;=2,FIND(".",L107,FIND(".",L107)+1)-FIND(".",L107)&lt;=3,P107&gt;=2000,P107&lt;=2100,YEAR(S107)=P107,MONTH(S107)=Q107,DAY(S107)=R107),S107,0)),0)</ns0:f>
        <ns0:v>0</ns0:v>
      </ns0:c>
      <ns0:c r="U107" s="0" t="str">
        <ns0:f>IF(Bookings!C107="","Full day",Bookings!C107)</ns0:f>
        <ns0:v>Full day</ns0:v>
      </ns0:c>
      <ns0:c r="V107" s="0" t="str">
        <ns0:f>IF(Bookings!E107="","Full day",Bookings!E107)</ns0:f>
        <ns0:v>Full day</ns0:v>
      </ns0:c>
      <ns0:c r="W107" s="0">
        <ns0:f>IF(J107=0,0,J107+IF(U107="PM",1,0))</ns0:f>
        <ns0:v>0</ns0:v>
      </ns0:c>
      <ns0:c r="X107" s="0">
        <ns0:f>IF(T107=0,0,T107-IF(V107="PM",1,0))</ns0:f>
        <ns0:v>0</ns0:v>
      </ns0:c>
      <ns0:c r="Y107" s="0">
        <ns0:f>IF(J107=0,0,J107+IF(U107="AM",1,0))</ns0:f>
        <ns0:v>0</ns0:v>
      </ns0:c>
      <ns0:c r="Z107" s="0">
        <ns0:f>IF(T107=0,0,T107-IF(V107="AM",1,0))</ns0:f>
        <ns0:v>0</ns0:v>
      </ns0:c>
      <ns0:c r="AA107" s="0">
        <ns0:f>IFERROR(IF(AND(J107&gt;0,'_Engine'!C107&gt;0,MID('_Engine'!W107,WEEKDAY(J107,2),1)="W",COUNTIF(Settings!$F$18:$F$67,J107)=0),1,0),0)</ns0:f>
        <ns0:v>0</ns0:v>
      </ns0:c>
      <ns0:c r="AB107" s="0">
        <ns0:f>IFERROR(IF(AND(T107&gt;0,'_Engine'!C107&gt;0,MID('_Engine'!W107,WEEKDAY(T107,2),1)="W",COUNTIF(Settings!$F$18:$F$67,T107)=0),1,0),0)</ns0:f>
        <ns0:v>0</ns0:v>
      </ns0:c>
      <ns0:c r="AC107" s="0">
        <ns0:f>IF(AND(J107&gt;0,T107&gt;0,W107&lt;=X107),1,0)</ns0:f>
        <ns0:v>0</ns0:v>
      </ns0:c>
      <ns0:c r="AD107" s="0">
        <ns0:f>IF(AND(J107&gt;0,T107&gt;0,Y107&lt;=Z107),1,0)</ns0:f>
        <ns0:v>0</ns0:v>
      </ns0:c>
    </ns0:row>
    <ns0:row r="108">
      <ns0:c r="A108" s="0">
        <ns0:f>IFERROR(IF(ISNUMBER(Bookings!B108),"",TRIM(Bookings!B108&amp;"")),"")</ns0:f>
      </ns0:c>
      <ns0:c r="B108" s="0">
        <ns0:f>IFERROR(SUBSTITUTE(SUBSTITUTE(A108,"/","."),"-","."),"")</ns0:f>
      </ns0:c>
      <ns0:c r="C108" s="0">
        <ns0:f>IFERROR(LEFT(B108,FIND(".",B108)-1),"")</ns0:f>
      </ns0:c>
      <ns0:c r="D108" s="0">
        <ns0:f>IFERROR(MID(B108,FIND(".",B108)+1,FIND(".",B108,FIND(".",B108)+1)-FIND(".",B108)-1),"")</ns0:f>
      </ns0:c>
      <ns0:c r="E108" s="0">
        <ns0:f>IFERROR(MID(B108,FIND(".",B108,FIND(".",B108)+1)+1,99),"")</ns0:f>
        <ns0:v>99</ns0:v>
      </ns0:c>
      <ns0:c r="F108" s="0">
        <ns0:f>IFERROR(IF(FIND(".",B108)=5,--C108,--E108),0)</ns0:f>
        <ns0:v>0</ns0:v>
      </ns0:c>
      <ns0:c r="G108" s="0">
        <ns0:f>IFERROR(--D108,0)</ns0:f>
        <ns0:v>0</ns0:v>
      </ns0:c>
      <ns0:c r="H108" s="0">
        <ns0:f>IFERROR(IF(FIND(".",B108)=5,--E108,--C108),0)</ns0:f>
        <ns0:v>0</ns0:v>
      </ns0:c>
      <ns0:c r="I108" s="0">
        <ns0:f>IFERROR(IF(AND(F108&gt;=2000,F108&lt;=2100,G108&gt;=1,G108&lt;=12,H108&gt;=1,H108&lt;=31),DATE(F108,G108,H108),0),0)</ns0:f>
        <ns0:v>0</ns0:v>
      </ns0:c>
      <ns0:c r="J108" s="0">
        <ns0:f>IFERROR(IF(ISNUMBER(Bookings!B108),IF(AND(Bookings!B108=INT(Bookings!B108),Bookings!B108&gt;=DATE(2000,1,1),Bookings!B108&lt;=DATE(2100,12,31)),Bookings!B108,0),IF(AND(A108&lt;&gt;"",LEN("x"&amp;B108)-LEN(SUBSTITUTE("x"&amp;B108,".",""))=2,OR(1&gt;LEN(B108),MID(B108,1,1)=".",ISNUMBER(FIND("x"&amp;MID(B108,1,1),"x0x1x2x3x4x5x6x7x8x9"))),OR(2&gt;LEN(B108),MID(B108,2,1)=".",ISNUMBER(FIND("x"&amp;MID(B108,2,1),"x0x1x2x3x4x5x6x7x8x9"))),OR(3&gt;LEN(B108),MID(B108,3,1)=".",ISNUMBER(FIND("x"&amp;MID(B108,3,1),"x0x1x2x3x4x5x6x7x8x9"))),OR(4&gt;LEN(B108),MID(B108,4,1)=".",ISNUMBER(FIND("x"&amp;MID(B108,4,1),"x0x1x2x3x4x5x6x7x8x9"))),OR(5&gt;LEN(B108),MID(B108,5,1)=".",ISNUMBER(FIND("x"&amp;MID(B108,5,1),"x0x1x2x3x4x5x6x7x8x9"))),OR(6&gt;LEN(B108),MID(B108,6,1)=".",ISNUMBER(FIND("x"&amp;MID(B108,6,1),"x0x1x2x3x4x5x6x7x8x9"))),OR(7&gt;LEN(B108),MID(B108,7,1)=".",ISNUMBER(FIND("x"&amp;MID(B108,7,1),"x0x1x2x3x4x5x6x7x8x9"))),OR(8&gt;LEN(B108),MID(B108,8,1)=".",ISNUMBER(FIND("x"&amp;MID(B108,8,1),"x0x1x2x3x4x5x6x7x8x9"))),OR(9&gt;LEN(B108),MID(B108,9,1)=".",ISNUMBER(FIND("x"&amp;MID(B108,9,1),"x0x1x2x3x4x5x6x7x8x9"))),OR(10&gt;LEN(B108),MID(B108,10,1)=".",ISNUMBER(FIND("x"&amp;MID(B108,10,1),"x0x1x2x3x4x5x6x7x8x9"))),OR(AND(FIND(".",B108)=5,LEN(B108)-FIND(".",B108,FIND(".",B108)+1)&gt;=1,LEN(B108)-FIND(".",B108,FIND(".",B108)+1)&lt;=2),AND(LEN(B108)-FIND(".",B108,FIND(".",B108)+1)=4,FIND(".",B108)&gt;=2,FIND(".",B108)&lt;=3)),FIND(".",B108,FIND(".",B108)+1)-FIND(".",B108)&gt;=2,FIND(".",B108,FIND(".",B108)+1)-FIND(".",B108)&lt;=3,F108&gt;=2000,F108&lt;=2100,YEAR(I108)=F108,MONTH(I108)=G108,DAY(I108)=H108),I108,0)),0)</ns0:f>
        <ns0:v>0</ns0:v>
      </ns0:c>
      <ns0:c r="K108" s="0">
        <ns0:f>IFERROR(IF(ISNUMBER(Bookings!D108),"",TRIM(Bookings!D108&amp;"")),"")</ns0:f>
      </ns0:c>
      <ns0:c r="L108" s="0">
        <ns0:f>IFERROR(SUBSTITUTE(SUBSTITUTE(K108,"/","."),"-","."),"")</ns0:f>
      </ns0:c>
      <ns0:c r="M108" s="0">
        <ns0:f>IFERROR(LEFT(L108,FIND(".",L108)-1),"")</ns0:f>
      </ns0:c>
      <ns0:c r="N108" s="0">
        <ns0:f>IFERROR(MID(L108,FIND(".",L108)+1,FIND(".",L108,FIND(".",L108)+1)-FIND(".",L108)-1),"")</ns0:f>
      </ns0:c>
      <ns0:c r="O108" s="0">
        <ns0:f>IFERROR(MID(L108,FIND(".",L108,FIND(".",L108)+1)+1,99),"")</ns0:f>
        <ns0:v>99</ns0:v>
      </ns0:c>
      <ns0:c r="P108" s="0">
        <ns0:f>IFERROR(IF(FIND(".",L108)=5,--M108,--O108),0)</ns0:f>
        <ns0:v>0</ns0:v>
      </ns0:c>
      <ns0:c r="Q108" s="0">
        <ns0:f>IFERROR(--N108,0)</ns0:f>
        <ns0:v>0</ns0:v>
      </ns0:c>
      <ns0:c r="R108" s="0">
        <ns0:f>IFERROR(IF(FIND(".",L108)=5,--O108,--M108),0)</ns0:f>
        <ns0:v>0</ns0:v>
      </ns0:c>
      <ns0:c r="S108" s="0">
        <ns0:f>IFERROR(IF(AND(P108&gt;=2000,P108&lt;=2100,Q108&gt;=1,Q108&lt;=12,R108&gt;=1,R108&lt;=31),DATE(P108,Q108,R108),0),0)</ns0:f>
        <ns0:v>0</ns0:v>
      </ns0:c>
      <ns0:c r="T108" s="0">
        <ns0:f>IFERROR(IF(ISNUMBER(Bookings!D108),IF(AND(Bookings!D108=INT(Bookings!D108),Bookings!D108&gt;=DATE(2000,1,1),Bookings!D108&lt;=DATE(2100,12,31)),Bookings!D108,0),IF(AND(K108&lt;&gt;"",LEN("x"&amp;L108)-LEN(SUBSTITUTE("x"&amp;L108,".",""))=2,OR(1&gt;LEN(L108),MID(L108,1,1)=".",ISNUMBER(FIND("x"&amp;MID(L108,1,1),"x0x1x2x3x4x5x6x7x8x9"))),OR(2&gt;LEN(L108),MID(L108,2,1)=".",ISNUMBER(FIND("x"&amp;MID(L108,2,1),"x0x1x2x3x4x5x6x7x8x9"))),OR(3&gt;LEN(L108),MID(L108,3,1)=".",ISNUMBER(FIND("x"&amp;MID(L108,3,1),"x0x1x2x3x4x5x6x7x8x9"))),OR(4&gt;LEN(L108),MID(L108,4,1)=".",ISNUMBER(FIND("x"&amp;MID(L108,4,1),"x0x1x2x3x4x5x6x7x8x9"))),OR(5&gt;LEN(L108),MID(L108,5,1)=".",ISNUMBER(FIND("x"&amp;MID(L108,5,1),"x0x1x2x3x4x5x6x7x8x9"))),OR(6&gt;LEN(L108),MID(L108,6,1)=".",ISNUMBER(FIND("x"&amp;MID(L108,6,1),"x0x1x2x3x4x5x6x7x8x9"))),OR(7&gt;LEN(L108),MID(L108,7,1)=".",ISNUMBER(FIND("x"&amp;MID(L108,7,1),"x0x1x2x3x4x5x6x7x8x9"))),OR(8&gt;LEN(L108),MID(L108,8,1)=".",ISNUMBER(FIND("x"&amp;MID(L108,8,1),"x0x1x2x3x4x5x6x7x8x9"))),OR(9&gt;LEN(L108),MID(L108,9,1)=".",ISNUMBER(FIND("x"&amp;MID(L108,9,1),"x0x1x2x3x4x5x6x7x8x9"))),OR(10&gt;LEN(L108),MID(L108,10,1)=".",ISNUMBER(FIND("x"&amp;MID(L108,10,1),"x0x1x2x3x4x5x6x7x8x9"))),OR(AND(FIND(".",L108)=5,LEN(L108)-FIND(".",L108,FIND(".",L108)+1)&gt;=1,LEN(L108)-FIND(".",L108,FIND(".",L108)+1)&lt;=2),AND(LEN(L108)-FIND(".",L108,FIND(".",L108)+1)=4,FIND(".",L108)&gt;=2,FIND(".",L108)&lt;=3)),FIND(".",L108,FIND(".",L108)+1)-FIND(".",L108)&gt;=2,FIND(".",L108,FIND(".",L108)+1)-FIND(".",L108)&lt;=3,P108&gt;=2000,P108&lt;=2100,YEAR(S108)=P108,MONTH(S108)=Q108,DAY(S108)=R108),S108,0)),0)</ns0:f>
        <ns0:v>0</ns0:v>
      </ns0:c>
      <ns0:c r="U108" s="0" t="str">
        <ns0:f>IF(Bookings!C108="","Full day",Bookings!C108)</ns0:f>
        <ns0:v>Full day</ns0:v>
      </ns0:c>
      <ns0:c r="V108" s="0" t="str">
        <ns0:f>IF(Bookings!E108="","Full day",Bookings!E108)</ns0:f>
        <ns0:v>Full day</ns0:v>
      </ns0:c>
      <ns0:c r="W108" s="0">
        <ns0:f>IF(J108=0,0,J108+IF(U108="PM",1,0))</ns0:f>
        <ns0:v>0</ns0:v>
      </ns0:c>
      <ns0:c r="X108" s="0">
        <ns0:f>IF(T108=0,0,T108-IF(V108="PM",1,0))</ns0:f>
        <ns0:v>0</ns0:v>
      </ns0:c>
      <ns0:c r="Y108" s="0">
        <ns0:f>IF(J108=0,0,J108+IF(U108="AM",1,0))</ns0:f>
        <ns0:v>0</ns0:v>
      </ns0:c>
      <ns0:c r="Z108" s="0">
        <ns0:f>IF(T108=0,0,T108-IF(V108="AM",1,0))</ns0:f>
        <ns0:v>0</ns0:v>
      </ns0:c>
      <ns0:c r="AA108" s="0">
        <ns0:f>IFERROR(IF(AND(J108&gt;0,'_Engine'!C108&gt;0,MID('_Engine'!W108,WEEKDAY(J108,2),1)="W",COUNTIF(Settings!$F$18:$F$67,J108)=0),1,0),0)</ns0:f>
        <ns0:v>0</ns0:v>
      </ns0:c>
      <ns0:c r="AB108" s="0">
        <ns0:f>IFERROR(IF(AND(T108&gt;0,'_Engine'!C108&gt;0,MID('_Engine'!W108,WEEKDAY(T108,2),1)="W",COUNTIF(Settings!$F$18:$F$67,T108)=0),1,0),0)</ns0:f>
        <ns0:v>0</ns0:v>
      </ns0:c>
      <ns0:c r="AC108" s="0">
        <ns0:f>IF(AND(J108&gt;0,T108&gt;0,W108&lt;=X108),1,0)</ns0:f>
        <ns0:v>0</ns0:v>
      </ns0:c>
      <ns0:c r="AD108" s="0">
        <ns0:f>IF(AND(J108&gt;0,T108&gt;0,Y108&lt;=Z108),1,0)</ns0:f>
        <ns0:v>0</ns0:v>
      </ns0:c>
    </ns0:row>
    <ns0:row r="109">
      <ns0:c r="A109" s="0">
        <ns0:f>IFERROR(IF(ISNUMBER(Bookings!B109),"",TRIM(Bookings!B109&amp;"")),"")</ns0:f>
      </ns0:c>
      <ns0:c r="B109" s="0">
        <ns0:f>IFERROR(SUBSTITUTE(SUBSTITUTE(A109,"/","."),"-","."),"")</ns0:f>
      </ns0:c>
      <ns0:c r="C109" s="0">
        <ns0:f>IFERROR(LEFT(B109,FIND(".",B109)-1),"")</ns0:f>
      </ns0:c>
      <ns0:c r="D109" s="0">
        <ns0:f>IFERROR(MID(B109,FIND(".",B109)+1,FIND(".",B109,FIND(".",B109)+1)-FIND(".",B109)-1),"")</ns0:f>
      </ns0:c>
      <ns0:c r="E109" s="0">
        <ns0:f>IFERROR(MID(B109,FIND(".",B109,FIND(".",B109)+1)+1,99),"")</ns0:f>
        <ns0:v>99</ns0:v>
      </ns0:c>
      <ns0:c r="F109" s="0">
        <ns0:f>IFERROR(IF(FIND(".",B109)=5,--C109,--E109),0)</ns0:f>
        <ns0:v>0</ns0:v>
      </ns0:c>
      <ns0:c r="G109" s="0">
        <ns0:f>IFERROR(--D109,0)</ns0:f>
        <ns0:v>0</ns0:v>
      </ns0:c>
      <ns0:c r="H109" s="0">
        <ns0:f>IFERROR(IF(FIND(".",B109)=5,--E109,--C109),0)</ns0:f>
        <ns0:v>0</ns0:v>
      </ns0:c>
      <ns0:c r="I109" s="0">
        <ns0:f>IFERROR(IF(AND(F109&gt;=2000,F109&lt;=2100,G109&gt;=1,G109&lt;=12,H109&gt;=1,H109&lt;=31),DATE(F109,G109,H109),0),0)</ns0:f>
        <ns0:v>0</ns0:v>
      </ns0:c>
      <ns0:c r="J109" s="0">
        <ns0:f>IFERROR(IF(ISNUMBER(Bookings!B109),IF(AND(Bookings!B109=INT(Bookings!B109),Bookings!B109&gt;=DATE(2000,1,1),Bookings!B109&lt;=DATE(2100,12,31)),Bookings!B109,0),IF(AND(A109&lt;&gt;"",LEN("x"&amp;B109)-LEN(SUBSTITUTE("x"&amp;B109,".",""))=2,OR(1&gt;LEN(B109),MID(B109,1,1)=".",ISNUMBER(FIND("x"&amp;MID(B109,1,1),"x0x1x2x3x4x5x6x7x8x9"))),OR(2&gt;LEN(B109),MID(B109,2,1)=".",ISNUMBER(FIND("x"&amp;MID(B109,2,1),"x0x1x2x3x4x5x6x7x8x9"))),OR(3&gt;LEN(B109),MID(B109,3,1)=".",ISNUMBER(FIND("x"&amp;MID(B109,3,1),"x0x1x2x3x4x5x6x7x8x9"))),OR(4&gt;LEN(B109),MID(B109,4,1)=".",ISNUMBER(FIND("x"&amp;MID(B109,4,1),"x0x1x2x3x4x5x6x7x8x9"))),OR(5&gt;LEN(B109),MID(B109,5,1)=".",ISNUMBER(FIND("x"&amp;MID(B109,5,1),"x0x1x2x3x4x5x6x7x8x9"))),OR(6&gt;LEN(B109),MID(B109,6,1)=".",ISNUMBER(FIND("x"&amp;MID(B109,6,1),"x0x1x2x3x4x5x6x7x8x9"))),OR(7&gt;LEN(B109),MID(B109,7,1)=".",ISNUMBER(FIND("x"&amp;MID(B109,7,1),"x0x1x2x3x4x5x6x7x8x9"))),OR(8&gt;LEN(B109),MID(B109,8,1)=".",ISNUMBER(FIND("x"&amp;MID(B109,8,1),"x0x1x2x3x4x5x6x7x8x9"))),OR(9&gt;LEN(B109),MID(B109,9,1)=".",ISNUMBER(FIND("x"&amp;MID(B109,9,1),"x0x1x2x3x4x5x6x7x8x9"))),OR(10&gt;LEN(B109),MID(B109,10,1)=".",ISNUMBER(FIND("x"&amp;MID(B109,10,1),"x0x1x2x3x4x5x6x7x8x9"))),OR(AND(FIND(".",B109)=5,LEN(B109)-FIND(".",B109,FIND(".",B109)+1)&gt;=1,LEN(B109)-FIND(".",B109,FIND(".",B109)+1)&lt;=2),AND(LEN(B109)-FIND(".",B109,FIND(".",B109)+1)=4,FIND(".",B109)&gt;=2,FIND(".",B109)&lt;=3)),FIND(".",B109,FIND(".",B109)+1)-FIND(".",B109)&gt;=2,FIND(".",B109,FIND(".",B109)+1)-FIND(".",B109)&lt;=3,F109&gt;=2000,F109&lt;=2100,YEAR(I109)=F109,MONTH(I109)=G109,DAY(I109)=H109),I109,0)),0)</ns0:f>
        <ns0:v>0</ns0:v>
      </ns0:c>
      <ns0:c r="K109" s="0">
        <ns0:f>IFERROR(IF(ISNUMBER(Bookings!D109),"",TRIM(Bookings!D109&amp;"")),"")</ns0:f>
      </ns0:c>
      <ns0:c r="L109" s="0">
        <ns0:f>IFERROR(SUBSTITUTE(SUBSTITUTE(K109,"/","."),"-","."),"")</ns0:f>
      </ns0:c>
      <ns0:c r="M109" s="0">
        <ns0:f>IFERROR(LEFT(L109,FIND(".",L109)-1),"")</ns0:f>
      </ns0:c>
      <ns0:c r="N109" s="0">
        <ns0:f>IFERROR(MID(L109,FIND(".",L109)+1,FIND(".",L109,FIND(".",L109)+1)-FIND(".",L109)-1),"")</ns0:f>
      </ns0:c>
      <ns0:c r="O109" s="0">
        <ns0:f>IFERROR(MID(L109,FIND(".",L109,FIND(".",L109)+1)+1,99),"")</ns0:f>
        <ns0:v>99</ns0:v>
      </ns0:c>
      <ns0:c r="P109" s="0">
        <ns0:f>IFERROR(IF(FIND(".",L109)=5,--M109,--O109),0)</ns0:f>
        <ns0:v>0</ns0:v>
      </ns0:c>
      <ns0:c r="Q109" s="0">
        <ns0:f>IFERROR(--N109,0)</ns0:f>
        <ns0:v>0</ns0:v>
      </ns0:c>
      <ns0:c r="R109" s="0">
        <ns0:f>IFERROR(IF(FIND(".",L109)=5,--O109,--M109),0)</ns0:f>
        <ns0:v>0</ns0:v>
      </ns0:c>
      <ns0:c r="S109" s="0">
        <ns0:f>IFERROR(IF(AND(P109&gt;=2000,P109&lt;=2100,Q109&gt;=1,Q109&lt;=12,R109&gt;=1,R109&lt;=31),DATE(P109,Q109,R109),0),0)</ns0:f>
        <ns0:v>0</ns0:v>
      </ns0:c>
      <ns0:c r="T109" s="0">
        <ns0:f>IFERROR(IF(ISNUMBER(Bookings!D109),IF(AND(Bookings!D109=INT(Bookings!D109),Bookings!D109&gt;=DATE(2000,1,1),Bookings!D109&lt;=DATE(2100,12,31)),Bookings!D109,0),IF(AND(K109&lt;&gt;"",LEN("x"&amp;L109)-LEN(SUBSTITUTE("x"&amp;L109,".",""))=2,OR(1&gt;LEN(L109),MID(L109,1,1)=".",ISNUMBER(FIND("x"&amp;MID(L109,1,1),"x0x1x2x3x4x5x6x7x8x9"))),OR(2&gt;LEN(L109),MID(L109,2,1)=".",ISNUMBER(FIND("x"&amp;MID(L109,2,1),"x0x1x2x3x4x5x6x7x8x9"))),OR(3&gt;LEN(L109),MID(L109,3,1)=".",ISNUMBER(FIND("x"&amp;MID(L109,3,1),"x0x1x2x3x4x5x6x7x8x9"))),OR(4&gt;LEN(L109),MID(L109,4,1)=".",ISNUMBER(FIND("x"&amp;MID(L109,4,1),"x0x1x2x3x4x5x6x7x8x9"))),OR(5&gt;LEN(L109),MID(L109,5,1)=".",ISNUMBER(FIND("x"&amp;MID(L109,5,1),"x0x1x2x3x4x5x6x7x8x9"))),OR(6&gt;LEN(L109),MID(L109,6,1)=".",ISNUMBER(FIND("x"&amp;MID(L109,6,1),"x0x1x2x3x4x5x6x7x8x9"))),OR(7&gt;LEN(L109),MID(L109,7,1)=".",ISNUMBER(FIND("x"&amp;MID(L109,7,1),"x0x1x2x3x4x5x6x7x8x9"))),OR(8&gt;LEN(L109),MID(L109,8,1)=".",ISNUMBER(FIND("x"&amp;MID(L109,8,1),"x0x1x2x3x4x5x6x7x8x9"))),OR(9&gt;LEN(L109),MID(L109,9,1)=".",ISNUMBER(FIND("x"&amp;MID(L109,9,1),"x0x1x2x3x4x5x6x7x8x9"))),OR(10&gt;LEN(L109),MID(L109,10,1)=".",ISNUMBER(FIND("x"&amp;MID(L109,10,1),"x0x1x2x3x4x5x6x7x8x9"))),OR(AND(FIND(".",L109)=5,LEN(L109)-FIND(".",L109,FIND(".",L109)+1)&gt;=1,LEN(L109)-FIND(".",L109,FIND(".",L109)+1)&lt;=2),AND(LEN(L109)-FIND(".",L109,FIND(".",L109)+1)=4,FIND(".",L109)&gt;=2,FIND(".",L109)&lt;=3)),FIND(".",L109,FIND(".",L109)+1)-FIND(".",L109)&gt;=2,FIND(".",L109,FIND(".",L109)+1)-FIND(".",L109)&lt;=3,P109&gt;=2000,P109&lt;=2100,YEAR(S109)=P109,MONTH(S109)=Q109,DAY(S109)=R109),S109,0)),0)</ns0:f>
        <ns0:v>0</ns0:v>
      </ns0:c>
      <ns0:c r="U109" s="0" t="str">
        <ns0:f>IF(Bookings!C109="","Full day",Bookings!C109)</ns0:f>
        <ns0:v>Full day</ns0:v>
      </ns0:c>
      <ns0:c r="V109" s="0" t="str">
        <ns0:f>IF(Bookings!E109="","Full day",Bookings!E109)</ns0:f>
        <ns0:v>Full day</ns0:v>
      </ns0:c>
      <ns0:c r="W109" s="0">
        <ns0:f>IF(J109=0,0,J109+IF(U109="PM",1,0))</ns0:f>
        <ns0:v>0</ns0:v>
      </ns0:c>
      <ns0:c r="X109" s="0">
        <ns0:f>IF(T109=0,0,T109-IF(V109="PM",1,0))</ns0:f>
        <ns0:v>0</ns0:v>
      </ns0:c>
      <ns0:c r="Y109" s="0">
        <ns0:f>IF(J109=0,0,J109+IF(U109="AM",1,0))</ns0:f>
        <ns0:v>0</ns0:v>
      </ns0:c>
      <ns0:c r="Z109" s="0">
        <ns0:f>IF(T109=0,0,T109-IF(V109="AM",1,0))</ns0:f>
        <ns0:v>0</ns0:v>
      </ns0:c>
      <ns0:c r="AA109" s="0">
        <ns0:f>IFERROR(IF(AND(J109&gt;0,'_Engine'!C109&gt;0,MID('_Engine'!W109,WEEKDAY(J109,2),1)="W",COUNTIF(Settings!$F$18:$F$67,J109)=0),1,0),0)</ns0:f>
        <ns0:v>0</ns0:v>
      </ns0:c>
      <ns0:c r="AB109" s="0">
        <ns0:f>IFERROR(IF(AND(T109&gt;0,'_Engine'!C109&gt;0,MID('_Engine'!W109,WEEKDAY(T109,2),1)="W",COUNTIF(Settings!$F$18:$F$67,T109)=0),1,0),0)</ns0:f>
        <ns0:v>0</ns0:v>
      </ns0:c>
      <ns0:c r="AC109" s="0">
        <ns0:f>IF(AND(J109&gt;0,T109&gt;0,W109&lt;=X109),1,0)</ns0:f>
        <ns0:v>0</ns0:v>
      </ns0:c>
      <ns0:c r="AD109" s="0">
        <ns0:f>IF(AND(J109&gt;0,T109&gt;0,Y109&lt;=Z109),1,0)</ns0:f>
        <ns0:v>0</ns0:v>
      </ns0:c>
    </ns0:row>
    <ns0:row r="110">
      <ns0:c r="A110" s="0">
        <ns0:f>IFERROR(IF(ISNUMBER(Bookings!B110),"",TRIM(Bookings!B110&amp;"")),"")</ns0:f>
      </ns0:c>
      <ns0:c r="B110" s="0">
        <ns0:f>IFERROR(SUBSTITUTE(SUBSTITUTE(A110,"/","."),"-","."),"")</ns0:f>
      </ns0:c>
      <ns0:c r="C110" s="0">
        <ns0:f>IFERROR(LEFT(B110,FIND(".",B110)-1),"")</ns0:f>
      </ns0:c>
      <ns0:c r="D110" s="0">
        <ns0:f>IFERROR(MID(B110,FIND(".",B110)+1,FIND(".",B110,FIND(".",B110)+1)-FIND(".",B110)-1),"")</ns0:f>
      </ns0:c>
      <ns0:c r="E110" s="0">
        <ns0:f>IFERROR(MID(B110,FIND(".",B110,FIND(".",B110)+1)+1,99),"")</ns0:f>
        <ns0:v>99</ns0:v>
      </ns0:c>
      <ns0:c r="F110" s="0">
        <ns0:f>IFERROR(IF(FIND(".",B110)=5,--C110,--E110),0)</ns0:f>
        <ns0:v>0</ns0:v>
      </ns0:c>
      <ns0:c r="G110" s="0">
        <ns0:f>IFERROR(--D110,0)</ns0:f>
        <ns0:v>0</ns0:v>
      </ns0:c>
      <ns0:c r="H110" s="0">
        <ns0:f>IFERROR(IF(FIND(".",B110)=5,--E110,--C110),0)</ns0:f>
        <ns0:v>0</ns0:v>
      </ns0:c>
      <ns0:c r="I110" s="0">
        <ns0:f>IFERROR(IF(AND(F110&gt;=2000,F110&lt;=2100,G110&gt;=1,G110&lt;=12,H110&gt;=1,H110&lt;=31),DATE(F110,G110,H110),0),0)</ns0:f>
        <ns0:v>0</ns0:v>
      </ns0:c>
      <ns0:c r="J110" s="0">
        <ns0:f>IFERROR(IF(ISNUMBER(Bookings!B110),IF(AND(Bookings!B110=INT(Bookings!B110),Bookings!B110&gt;=DATE(2000,1,1),Bookings!B110&lt;=DATE(2100,12,31)),Bookings!B110,0),IF(AND(A110&lt;&gt;"",LEN("x"&amp;B110)-LEN(SUBSTITUTE("x"&amp;B110,".",""))=2,OR(1&gt;LEN(B110),MID(B110,1,1)=".",ISNUMBER(FIND("x"&amp;MID(B110,1,1),"x0x1x2x3x4x5x6x7x8x9"))),OR(2&gt;LEN(B110),MID(B110,2,1)=".",ISNUMBER(FIND("x"&amp;MID(B110,2,1),"x0x1x2x3x4x5x6x7x8x9"))),OR(3&gt;LEN(B110),MID(B110,3,1)=".",ISNUMBER(FIND("x"&amp;MID(B110,3,1),"x0x1x2x3x4x5x6x7x8x9"))),OR(4&gt;LEN(B110),MID(B110,4,1)=".",ISNUMBER(FIND("x"&amp;MID(B110,4,1),"x0x1x2x3x4x5x6x7x8x9"))),OR(5&gt;LEN(B110),MID(B110,5,1)=".",ISNUMBER(FIND("x"&amp;MID(B110,5,1),"x0x1x2x3x4x5x6x7x8x9"))),OR(6&gt;LEN(B110),MID(B110,6,1)=".",ISNUMBER(FIND("x"&amp;MID(B110,6,1),"x0x1x2x3x4x5x6x7x8x9"))),OR(7&gt;LEN(B110),MID(B110,7,1)=".",ISNUMBER(FIND("x"&amp;MID(B110,7,1),"x0x1x2x3x4x5x6x7x8x9"))),OR(8&gt;LEN(B110),MID(B110,8,1)=".",ISNUMBER(FIND("x"&amp;MID(B110,8,1),"x0x1x2x3x4x5x6x7x8x9"))),OR(9&gt;LEN(B110),MID(B110,9,1)=".",ISNUMBER(FIND("x"&amp;MID(B110,9,1),"x0x1x2x3x4x5x6x7x8x9"))),OR(10&gt;LEN(B110),MID(B110,10,1)=".",ISNUMBER(FIND("x"&amp;MID(B110,10,1),"x0x1x2x3x4x5x6x7x8x9"))),OR(AND(FIND(".",B110)=5,LEN(B110)-FIND(".",B110,FIND(".",B110)+1)&gt;=1,LEN(B110)-FIND(".",B110,FIND(".",B110)+1)&lt;=2),AND(LEN(B110)-FIND(".",B110,FIND(".",B110)+1)=4,FIND(".",B110)&gt;=2,FIND(".",B110)&lt;=3)),FIND(".",B110,FIND(".",B110)+1)-FIND(".",B110)&gt;=2,FIND(".",B110,FIND(".",B110)+1)-FIND(".",B110)&lt;=3,F110&gt;=2000,F110&lt;=2100,YEAR(I110)=F110,MONTH(I110)=G110,DAY(I110)=H110),I110,0)),0)</ns0:f>
        <ns0:v>0</ns0:v>
      </ns0:c>
      <ns0:c r="K110" s="0">
        <ns0:f>IFERROR(IF(ISNUMBER(Bookings!D110),"",TRIM(Bookings!D110&amp;"")),"")</ns0:f>
      </ns0:c>
      <ns0:c r="L110" s="0">
        <ns0:f>IFERROR(SUBSTITUTE(SUBSTITUTE(K110,"/","."),"-","."),"")</ns0:f>
      </ns0:c>
      <ns0:c r="M110" s="0">
        <ns0:f>IFERROR(LEFT(L110,FIND(".",L110)-1),"")</ns0:f>
      </ns0:c>
      <ns0:c r="N110" s="0">
        <ns0:f>IFERROR(MID(L110,FIND(".",L110)+1,FIND(".",L110,FIND(".",L110)+1)-FIND(".",L110)-1),"")</ns0:f>
      </ns0:c>
      <ns0:c r="O110" s="0">
        <ns0:f>IFERROR(MID(L110,FIND(".",L110,FIND(".",L110)+1)+1,99),"")</ns0:f>
        <ns0:v>99</ns0:v>
      </ns0:c>
      <ns0:c r="P110" s="0">
        <ns0:f>IFERROR(IF(FIND(".",L110)=5,--M110,--O110),0)</ns0:f>
        <ns0:v>0</ns0:v>
      </ns0:c>
      <ns0:c r="Q110" s="0">
        <ns0:f>IFERROR(--N110,0)</ns0:f>
        <ns0:v>0</ns0:v>
      </ns0:c>
      <ns0:c r="R110" s="0">
        <ns0:f>IFERROR(IF(FIND(".",L110)=5,--O110,--M110),0)</ns0:f>
        <ns0:v>0</ns0:v>
      </ns0:c>
      <ns0:c r="S110" s="0">
        <ns0:f>IFERROR(IF(AND(P110&gt;=2000,P110&lt;=2100,Q110&gt;=1,Q110&lt;=12,R110&gt;=1,R110&lt;=31),DATE(P110,Q110,R110),0),0)</ns0:f>
        <ns0:v>0</ns0:v>
      </ns0:c>
      <ns0:c r="T110" s="0">
        <ns0:f>IFERROR(IF(ISNUMBER(Bookings!D110),IF(AND(Bookings!D110=INT(Bookings!D110),Bookings!D110&gt;=DATE(2000,1,1),Bookings!D110&lt;=DATE(2100,12,31)),Bookings!D110,0),IF(AND(K110&lt;&gt;"",LEN("x"&amp;L110)-LEN(SUBSTITUTE("x"&amp;L110,".",""))=2,OR(1&gt;LEN(L110),MID(L110,1,1)=".",ISNUMBER(FIND("x"&amp;MID(L110,1,1),"x0x1x2x3x4x5x6x7x8x9"))),OR(2&gt;LEN(L110),MID(L110,2,1)=".",ISNUMBER(FIND("x"&amp;MID(L110,2,1),"x0x1x2x3x4x5x6x7x8x9"))),OR(3&gt;LEN(L110),MID(L110,3,1)=".",ISNUMBER(FIND("x"&amp;MID(L110,3,1),"x0x1x2x3x4x5x6x7x8x9"))),OR(4&gt;LEN(L110),MID(L110,4,1)=".",ISNUMBER(FIND("x"&amp;MID(L110,4,1),"x0x1x2x3x4x5x6x7x8x9"))),OR(5&gt;LEN(L110),MID(L110,5,1)=".",ISNUMBER(FIND("x"&amp;MID(L110,5,1),"x0x1x2x3x4x5x6x7x8x9"))),OR(6&gt;LEN(L110),MID(L110,6,1)=".",ISNUMBER(FIND("x"&amp;MID(L110,6,1),"x0x1x2x3x4x5x6x7x8x9"))),OR(7&gt;LEN(L110),MID(L110,7,1)=".",ISNUMBER(FIND("x"&amp;MID(L110,7,1),"x0x1x2x3x4x5x6x7x8x9"))),OR(8&gt;LEN(L110),MID(L110,8,1)=".",ISNUMBER(FIND("x"&amp;MID(L110,8,1),"x0x1x2x3x4x5x6x7x8x9"))),OR(9&gt;LEN(L110),MID(L110,9,1)=".",ISNUMBER(FIND("x"&amp;MID(L110,9,1),"x0x1x2x3x4x5x6x7x8x9"))),OR(10&gt;LEN(L110),MID(L110,10,1)=".",ISNUMBER(FIND("x"&amp;MID(L110,10,1),"x0x1x2x3x4x5x6x7x8x9"))),OR(AND(FIND(".",L110)=5,LEN(L110)-FIND(".",L110,FIND(".",L110)+1)&gt;=1,LEN(L110)-FIND(".",L110,FIND(".",L110)+1)&lt;=2),AND(LEN(L110)-FIND(".",L110,FIND(".",L110)+1)=4,FIND(".",L110)&gt;=2,FIND(".",L110)&lt;=3)),FIND(".",L110,FIND(".",L110)+1)-FIND(".",L110)&gt;=2,FIND(".",L110,FIND(".",L110)+1)-FIND(".",L110)&lt;=3,P110&gt;=2000,P110&lt;=2100,YEAR(S110)=P110,MONTH(S110)=Q110,DAY(S110)=R110),S110,0)),0)</ns0:f>
        <ns0:v>0</ns0:v>
      </ns0:c>
      <ns0:c r="U110" s="0" t="str">
        <ns0:f>IF(Bookings!C110="","Full day",Bookings!C110)</ns0:f>
        <ns0:v>Full day</ns0:v>
      </ns0:c>
      <ns0:c r="V110" s="0" t="str">
        <ns0:f>IF(Bookings!E110="","Full day",Bookings!E110)</ns0:f>
        <ns0:v>Full day</ns0:v>
      </ns0:c>
      <ns0:c r="W110" s="0">
        <ns0:f>IF(J110=0,0,J110+IF(U110="PM",1,0))</ns0:f>
        <ns0:v>0</ns0:v>
      </ns0:c>
      <ns0:c r="X110" s="0">
        <ns0:f>IF(T110=0,0,T110-IF(V110="PM",1,0))</ns0:f>
        <ns0:v>0</ns0:v>
      </ns0:c>
      <ns0:c r="Y110" s="0">
        <ns0:f>IF(J110=0,0,J110+IF(U110="AM",1,0))</ns0:f>
        <ns0:v>0</ns0:v>
      </ns0:c>
      <ns0:c r="Z110" s="0">
        <ns0:f>IF(T110=0,0,T110-IF(V110="AM",1,0))</ns0:f>
        <ns0:v>0</ns0:v>
      </ns0:c>
      <ns0:c r="AA110" s="0">
        <ns0:f>IFERROR(IF(AND(J110&gt;0,'_Engine'!C110&gt;0,MID('_Engine'!W110,WEEKDAY(J110,2),1)="W",COUNTIF(Settings!$F$18:$F$67,J110)=0),1,0),0)</ns0:f>
        <ns0:v>0</ns0:v>
      </ns0:c>
      <ns0:c r="AB110" s="0">
        <ns0:f>IFERROR(IF(AND(T110&gt;0,'_Engine'!C110&gt;0,MID('_Engine'!W110,WEEKDAY(T110,2),1)="W",COUNTIF(Settings!$F$18:$F$67,T110)=0),1,0),0)</ns0:f>
        <ns0:v>0</ns0:v>
      </ns0:c>
      <ns0:c r="AC110" s="0">
        <ns0:f>IF(AND(J110&gt;0,T110&gt;0,W110&lt;=X110),1,0)</ns0:f>
        <ns0:v>0</ns0:v>
      </ns0:c>
      <ns0:c r="AD110" s="0">
        <ns0:f>IF(AND(J110&gt;0,T110&gt;0,Y110&lt;=Z110),1,0)</ns0:f>
        <ns0:v>0</ns0:v>
      </ns0:c>
    </ns0:row>
    <ns0:row r="111">
      <ns0:c r="A111" s="0">
        <ns0:f>IFERROR(IF(ISNUMBER(Bookings!B111),"",TRIM(Bookings!B111&amp;"")),"")</ns0:f>
      </ns0:c>
      <ns0:c r="B111" s="0">
        <ns0:f>IFERROR(SUBSTITUTE(SUBSTITUTE(A111,"/","."),"-","."),"")</ns0:f>
      </ns0:c>
      <ns0:c r="C111" s="0">
        <ns0:f>IFERROR(LEFT(B111,FIND(".",B111)-1),"")</ns0:f>
      </ns0:c>
      <ns0:c r="D111" s="0">
        <ns0:f>IFERROR(MID(B111,FIND(".",B111)+1,FIND(".",B111,FIND(".",B111)+1)-FIND(".",B111)-1),"")</ns0:f>
      </ns0:c>
      <ns0:c r="E111" s="0">
        <ns0:f>IFERROR(MID(B111,FIND(".",B111,FIND(".",B111)+1)+1,99),"")</ns0:f>
        <ns0:v>99</ns0:v>
      </ns0:c>
      <ns0:c r="F111" s="0">
        <ns0:f>IFERROR(IF(FIND(".",B111)=5,--C111,--E111),0)</ns0:f>
        <ns0:v>0</ns0:v>
      </ns0:c>
      <ns0:c r="G111" s="0">
        <ns0:f>IFERROR(--D111,0)</ns0:f>
        <ns0:v>0</ns0:v>
      </ns0:c>
      <ns0:c r="H111" s="0">
        <ns0:f>IFERROR(IF(FIND(".",B111)=5,--E111,--C111),0)</ns0:f>
        <ns0:v>0</ns0:v>
      </ns0:c>
      <ns0:c r="I111" s="0">
        <ns0:f>IFERROR(IF(AND(F111&gt;=2000,F111&lt;=2100,G111&gt;=1,G111&lt;=12,H111&gt;=1,H111&lt;=31),DATE(F111,G111,H111),0),0)</ns0:f>
        <ns0:v>0</ns0:v>
      </ns0:c>
      <ns0:c r="J111" s="0">
        <ns0:f>IFERROR(IF(ISNUMBER(Bookings!B111),IF(AND(Bookings!B111=INT(Bookings!B111),Bookings!B111&gt;=DATE(2000,1,1),Bookings!B111&lt;=DATE(2100,12,31)),Bookings!B111,0),IF(AND(A111&lt;&gt;"",LEN("x"&amp;B111)-LEN(SUBSTITUTE("x"&amp;B111,".",""))=2,OR(1&gt;LEN(B111),MID(B111,1,1)=".",ISNUMBER(FIND("x"&amp;MID(B111,1,1),"x0x1x2x3x4x5x6x7x8x9"))),OR(2&gt;LEN(B111),MID(B111,2,1)=".",ISNUMBER(FIND("x"&amp;MID(B111,2,1),"x0x1x2x3x4x5x6x7x8x9"))),OR(3&gt;LEN(B111),MID(B111,3,1)=".",ISNUMBER(FIND("x"&amp;MID(B111,3,1),"x0x1x2x3x4x5x6x7x8x9"))),OR(4&gt;LEN(B111),MID(B111,4,1)=".",ISNUMBER(FIND("x"&amp;MID(B111,4,1),"x0x1x2x3x4x5x6x7x8x9"))),OR(5&gt;LEN(B111),MID(B111,5,1)=".",ISNUMBER(FIND("x"&amp;MID(B111,5,1),"x0x1x2x3x4x5x6x7x8x9"))),OR(6&gt;LEN(B111),MID(B111,6,1)=".",ISNUMBER(FIND("x"&amp;MID(B111,6,1),"x0x1x2x3x4x5x6x7x8x9"))),OR(7&gt;LEN(B111),MID(B111,7,1)=".",ISNUMBER(FIND("x"&amp;MID(B111,7,1),"x0x1x2x3x4x5x6x7x8x9"))),OR(8&gt;LEN(B111),MID(B111,8,1)=".",ISNUMBER(FIND("x"&amp;MID(B111,8,1),"x0x1x2x3x4x5x6x7x8x9"))),OR(9&gt;LEN(B111),MID(B111,9,1)=".",ISNUMBER(FIND("x"&amp;MID(B111,9,1),"x0x1x2x3x4x5x6x7x8x9"))),OR(10&gt;LEN(B111),MID(B111,10,1)=".",ISNUMBER(FIND("x"&amp;MID(B111,10,1),"x0x1x2x3x4x5x6x7x8x9"))),OR(AND(FIND(".",B111)=5,LEN(B111)-FIND(".",B111,FIND(".",B111)+1)&gt;=1,LEN(B111)-FIND(".",B111,FIND(".",B111)+1)&lt;=2),AND(LEN(B111)-FIND(".",B111,FIND(".",B111)+1)=4,FIND(".",B111)&gt;=2,FIND(".",B111)&lt;=3)),FIND(".",B111,FIND(".",B111)+1)-FIND(".",B111)&gt;=2,FIND(".",B111,FIND(".",B111)+1)-FIND(".",B111)&lt;=3,F111&gt;=2000,F111&lt;=2100,YEAR(I111)=F111,MONTH(I111)=G111,DAY(I111)=H111),I111,0)),0)</ns0:f>
        <ns0:v>0</ns0:v>
      </ns0:c>
      <ns0:c r="K111" s="0">
        <ns0:f>IFERROR(IF(ISNUMBER(Bookings!D111),"",TRIM(Bookings!D111&amp;"")),"")</ns0:f>
      </ns0:c>
      <ns0:c r="L111" s="0">
        <ns0:f>IFERROR(SUBSTITUTE(SUBSTITUTE(K111,"/","."),"-","."),"")</ns0:f>
      </ns0:c>
      <ns0:c r="M111" s="0">
        <ns0:f>IFERROR(LEFT(L111,FIND(".",L111)-1),"")</ns0:f>
      </ns0:c>
      <ns0:c r="N111" s="0">
        <ns0:f>IFERROR(MID(L111,FIND(".",L111)+1,FIND(".",L111,FIND(".",L111)+1)-FIND(".",L111)-1),"")</ns0:f>
      </ns0:c>
      <ns0:c r="O111" s="0">
        <ns0:f>IFERROR(MID(L111,FIND(".",L111,FIND(".",L111)+1)+1,99),"")</ns0:f>
        <ns0:v>99</ns0:v>
      </ns0:c>
      <ns0:c r="P111" s="0">
        <ns0:f>IFERROR(IF(FIND(".",L111)=5,--M111,--O111),0)</ns0:f>
        <ns0:v>0</ns0:v>
      </ns0:c>
      <ns0:c r="Q111" s="0">
        <ns0:f>IFERROR(--N111,0)</ns0:f>
        <ns0:v>0</ns0:v>
      </ns0:c>
      <ns0:c r="R111" s="0">
        <ns0:f>IFERROR(IF(FIND(".",L111)=5,--O111,--M111),0)</ns0:f>
        <ns0:v>0</ns0:v>
      </ns0:c>
      <ns0:c r="S111" s="0">
        <ns0:f>IFERROR(IF(AND(P111&gt;=2000,P111&lt;=2100,Q111&gt;=1,Q111&lt;=12,R111&gt;=1,R111&lt;=31),DATE(P111,Q111,R111),0),0)</ns0:f>
        <ns0:v>0</ns0:v>
      </ns0:c>
      <ns0:c r="T111" s="0">
        <ns0:f>IFERROR(IF(ISNUMBER(Bookings!D111),IF(AND(Bookings!D111=INT(Bookings!D111),Bookings!D111&gt;=DATE(2000,1,1),Bookings!D111&lt;=DATE(2100,12,31)),Bookings!D111,0),IF(AND(K111&lt;&gt;"",LEN("x"&amp;L111)-LEN(SUBSTITUTE("x"&amp;L111,".",""))=2,OR(1&gt;LEN(L111),MID(L111,1,1)=".",ISNUMBER(FIND("x"&amp;MID(L111,1,1),"x0x1x2x3x4x5x6x7x8x9"))),OR(2&gt;LEN(L111),MID(L111,2,1)=".",ISNUMBER(FIND("x"&amp;MID(L111,2,1),"x0x1x2x3x4x5x6x7x8x9"))),OR(3&gt;LEN(L111),MID(L111,3,1)=".",ISNUMBER(FIND("x"&amp;MID(L111,3,1),"x0x1x2x3x4x5x6x7x8x9"))),OR(4&gt;LEN(L111),MID(L111,4,1)=".",ISNUMBER(FIND("x"&amp;MID(L111,4,1),"x0x1x2x3x4x5x6x7x8x9"))),OR(5&gt;LEN(L111),MID(L111,5,1)=".",ISNUMBER(FIND("x"&amp;MID(L111,5,1),"x0x1x2x3x4x5x6x7x8x9"))),OR(6&gt;LEN(L111),MID(L111,6,1)=".",ISNUMBER(FIND("x"&amp;MID(L111,6,1),"x0x1x2x3x4x5x6x7x8x9"))),OR(7&gt;LEN(L111),MID(L111,7,1)=".",ISNUMBER(FIND("x"&amp;MID(L111,7,1),"x0x1x2x3x4x5x6x7x8x9"))),OR(8&gt;LEN(L111),MID(L111,8,1)=".",ISNUMBER(FIND("x"&amp;MID(L111,8,1),"x0x1x2x3x4x5x6x7x8x9"))),OR(9&gt;LEN(L111),MID(L111,9,1)=".",ISNUMBER(FIND("x"&amp;MID(L111,9,1),"x0x1x2x3x4x5x6x7x8x9"))),OR(10&gt;LEN(L111),MID(L111,10,1)=".",ISNUMBER(FIND("x"&amp;MID(L111,10,1),"x0x1x2x3x4x5x6x7x8x9"))),OR(AND(FIND(".",L111)=5,LEN(L111)-FIND(".",L111,FIND(".",L111)+1)&gt;=1,LEN(L111)-FIND(".",L111,FIND(".",L111)+1)&lt;=2),AND(LEN(L111)-FIND(".",L111,FIND(".",L111)+1)=4,FIND(".",L111)&gt;=2,FIND(".",L111)&lt;=3)),FIND(".",L111,FIND(".",L111)+1)-FIND(".",L111)&gt;=2,FIND(".",L111,FIND(".",L111)+1)-FIND(".",L111)&lt;=3,P111&gt;=2000,P111&lt;=2100,YEAR(S111)=P111,MONTH(S111)=Q111,DAY(S111)=R111),S111,0)),0)</ns0:f>
        <ns0:v>0</ns0:v>
      </ns0:c>
      <ns0:c r="U111" s="0" t="str">
        <ns0:f>IF(Bookings!C111="","Full day",Bookings!C111)</ns0:f>
        <ns0:v>Full day</ns0:v>
      </ns0:c>
      <ns0:c r="V111" s="0" t="str">
        <ns0:f>IF(Bookings!E111="","Full day",Bookings!E111)</ns0:f>
        <ns0:v>Full day</ns0:v>
      </ns0:c>
      <ns0:c r="W111" s="0">
        <ns0:f>IF(J111=0,0,J111+IF(U111="PM",1,0))</ns0:f>
        <ns0:v>0</ns0:v>
      </ns0:c>
      <ns0:c r="X111" s="0">
        <ns0:f>IF(T111=0,0,T111-IF(V111="PM",1,0))</ns0:f>
        <ns0:v>0</ns0:v>
      </ns0:c>
      <ns0:c r="Y111" s="0">
        <ns0:f>IF(J111=0,0,J111+IF(U111="AM",1,0))</ns0:f>
        <ns0:v>0</ns0:v>
      </ns0:c>
      <ns0:c r="Z111" s="0">
        <ns0:f>IF(T111=0,0,T111-IF(V111="AM",1,0))</ns0:f>
        <ns0:v>0</ns0:v>
      </ns0:c>
      <ns0:c r="AA111" s="0">
        <ns0:f>IFERROR(IF(AND(J111&gt;0,'_Engine'!C111&gt;0,MID('_Engine'!W111,WEEKDAY(J111,2),1)="W",COUNTIF(Settings!$F$18:$F$67,J111)=0),1,0),0)</ns0:f>
        <ns0:v>0</ns0:v>
      </ns0:c>
      <ns0:c r="AB111" s="0">
        <ns0:f>IFERROR(IF(AND(T111&gt;0,'_Engine'!C111&gt;0,MID('_Engine'!W111,WEEKDAY(T111,2),1)="W",COUNTIF(Settings!$F$18:$F$67,T111)=0),1,0),0)</ns0:f>
        <ns0:v>0</ns0:v>
      </ns0:c>
      <ns0:c r="AC111" s="0">
        <ns0:f>IF(AND(J111&gt;0,T111&gt;0,W111&lt;=X111),1,0)</ns0:f>
        <ns0:v>0</ns0:v>
      </ns0:c>
      <ns0:c r="AD111" s="0">
        <ns0:f>IF(AND(J111&gt;0,T111&gt;0,Y111&lt;=Z111),1,0)</ns0:f>
        <ns0:v>0</ns0:v>
      </ns0:c>
    </ns0:row>
    <ns0:row r="112">
      <ns0:c r="A112" s="0">
        <ns0:f>IFERROR(IF(ISNUMBER(Bookings!B112),"",TRIM(Bookings!B112&amp;"")),"")</ns0:f>
      </ns0:c>
      <ns0:c r="B112" s="0">
        <ns0:f>IFERROR(SUBSTITUTE(SUBSTITUTE(A112,"/","."),"-","."),"")</ns0:f>
      </ns0:c>
      <ns0:c r="C112" s="0">
        <ns0:f>IFERROR(LEFT(B112,FIND(".",B112)-1),"")</ns0:f>
      </ns0:c>
      <ns0:c r="D112" s="0">
        <ns0:f>IFERROR(MID(B112,FIND(".",B112)+1,FIND(".",B112,FIND(".",B112)+1)-FIND(".",B112)-1),"")</ns0:f>
      </ns0:c>
      <ns0:c r="E112" s="0">
        <ns0:f>IFERROR(MID(B112,FIND(".",B112,FIND(".",B112)+1)+1,99),"")</ns0:f>
        <ns0:v>99</ns0:v>
      </ns0:c>
      <ns0:c r="F112" s="0">
        <ns0:f>IFERROR(IF(FIND(".",B112)=5,--C112,--E112),0)</ns0:f>
        <ns0:v>0</ns0:v>
      </ns0:c>
      <ns0:c r="G112" s="0">
        <ns0:f>IFERROR(--D112,0)</ns0:f>
        <ns0:v>0</ns0:v>
      </ns0:c>
      <ns0:c r="H112" s="0">
        <ns0:f>IFERROR(IF(FIND(".",B112)=5,--E112,--C112),0)</ns0:f>
        <ns0:v>0</ns0:v>
      </ns0:c>
      <ns0:c r="I112" s="0">
        <ns0:f>IFERROR(IF(AND(F112&gt;=2000,F112&lt;=2100,G112&gt;=1,G112&lt;=12,H112&gt;=1,H112&lt;=31),DATE(F112,G112,H112),0),0)</ns0:f>
        <ns0:v>0</ns0:v>
      </ns0:c>
      <ns0:c r="J112" s="0">
        <ns0:f>IFERROR(IF(ISNUMBER(Bookings!B112),IF(AND(Bookings!B112=INT(Bookings!B112),Bookings!B112&gt;=DATE(2000,1,1),Bookings!B112&lt;=DATE(2100,12,31)),Bookings!B112,0),IF(AND(A112&lt;&gt;"",LEN("x"&amp;B112)-LEN(SUBSTITUTE("x"&amp;B112,".",""))=2,OR(1&gt;LEN(B112),MID(B112,1,1)=".",ISNUMBER(FIND("x"&amp;MID(B112,1,1),"x0x1x2x3x4x5x6x7x8x9"))),OR(2&gt;LEN(B112),MID(B112,2,1)=".",ISNUMBER(FIND("x"&amp;MID(B112,2,1),"x0x1x2x3x4x5x6x7x8x9"))),OR(3&gt;LEN(B112),MID(B112,3,1)=".",ISNUMBER(FIND("x"&amp;MID(B112,3,1),"x0x1x2x3x4x5x6x7x8x9"))),OR(4&gt;LEN(B112),MID(B112,4,1)=".",ISNUMBER(FIND("x"&amp;MID(B112,4,1),"x0x1x2x3x4x5x6x7x8x9"))),OR(5&gt;LEN(B112),MID(B112,5,1)=".",ISNUMBER(FIND("x"&amp;MID(B112,5,1),"x0x1x2x3x4x5x6x7x8x9"))),OR(6&gt;LEN(B112),MID(B112,6,1)=".",ISNUMBER(FIND("x"&amp;MID(B112,6,1),"x0x1x2x3x4x5x6x7x8x9"))),OR(7&gt;LEN(B112),MID(B112,7,1)=".",ISNUMBER(FIND("x"&amp;MID(B112,7,1),"x0x1x2x3x4x5x6x7x8x9"))),OR(8&gt;LEN(B112),MID(B112,8,1)=".",ISNUMBER(FIND("x"&amp;MID(B112,8,1),"x0x1x2x3x4x5x6x7x8x9"))),OR(9&gt;LEN(B112),MID(B112,9,1)=".",ISNUMBER(FIND("x"&amp;MID(B112,9,1),"x0x1x2x3x4x5x6x7x8x9"))),OR(10&gt;LEN(B112),MID(B112,10,1)=".",ISNUMBER(FIND("x"&amp;MID(B112,10,1),"x0x1x2x3x4x5x6x7x8x9"))),OR(AND(FIND(".",B112)=5,LEN(B112)-FIND(".",B112,FIND(".",B112)+1)&gt;=1,LEN(B112)-FIND(".",B112,FIND(".",B112)+1)&lt;=2),AND(LEN(B112)-FIND(".",B112,FIND(".",B112)+1)=4,FIND(".",B112)&gt;=2,FIND(".",B112)&lt;=3)),FIND(".",B112,FIND(".",B112)+1)-FIND(".",B112)&gt;=2,FIND(".",B112,FIND(".",B112)+1)-FIND(".",B112)&lt;=3,F112&gt;=2000,F112&lt;=2100,YEAR(I112)=F112,MONTH(I112)=G112,DAY(I112)=H112),I112,0)),0)</ns0:f>
        <ns0:v>0</ns0:v>
      </ns0:c>
      <ns0:c r="K112" s="0">
        <ns0:f>IFERROR(IF(ISNUMBER(Bookings!D112),"",TRIM(Bookings!D112&amp;"")),"")</ns0:f>
      </ns0:c>
      <ns0:c r="L112" s="0">
        <ns0:f>IFERROR(SUBSTITUTE(SUBSTITUTE(K112,"/","."),"-","."),"")</ns0:f>
      </ns0:c>
      <ns0:c r="M112" s="0">
        <ns0:f>IFERROR(LEFT(L112,FIND(".",L112)-1),"")</ns0:f>
      </ns0:c>
      <ns0:c r="N112" s="0">
        <ns0:f>IFERROR(MID(L112,FIND(".",L112)+1,FIND(".",L112,FIND(".",L112)+1)-FIND(".",L112)-1),"")</ns0:f>
      </ns0:c>
      <ns0:c r="O112" s="0">
        <ns0:f>IFERROR(MID(L112,FIND(".",L112,FIND(".",L112)+1)+1,99),"")</ns0:f>
        <ns0:v>99</ns0:v>
      </ns0:c>
      <ns0:c r="P112" s="0">
        <ns0:f>IFERROR(IF(FIND(".",L112)=5,--M112,--O112),0)</ns0:f>
        <ns0:v>0</ns0:v>
      </ns0:c>
      <ns0:c r="Q112" s="0">
        <ns0:f>IFERROR(--N112,0)</ns0:f>
        <ns0:v>0</ns0:v>
      </ns0:c>
      <ns0:c r="R112" s="0">
        <ns0:f>IFERROR(IF(FIND(".",L112)=5,--O112,--M112),0)</ns0:f>
        <ns0:v>0</ns0:v>
      </ns0:c>
      <ns0:c r="S112" s="0">
        <ns0:f>IFERROR(IF(AND(P112&gt;=2000,P112&lt;=2100,Q112&gt;=1,Q112&lt;=12,R112&gt;=1,R112&lt;=31),DATE(P112,Q112,R112),0),0)</ns0:f>
        <ns0:v>0</ns0:v>
      </ns0:c>
      <ns0:c r="T112" s="0">
        <ns0:f>IFERROR(IF(ISNUMBER(Bookings!D112),IF(AND(Bookings!D112=INT(Bookings!D112),Bookings!D112&gt;=DATE(2000,1,1),Bookings!D112&lt;=DATE(2100,12,31)),Bookings!D112,0),IF(AND(K112&lt;&gt;"",LEN("x"&amp;L112)-LEN(SUBSTITUTE("x"&amp;L112,".",""))=2,OR(1&gt;LEN(L112),MID(L112,1,1)=".",ISNUMBER(FIND("x"&amp;MID(L112,1,1),"x0x1x2x3x4x5x6x7x8x9"))),OR(2&gt;LEN(L112),MID(L112,2,1)=".",ISNUMBER(FIND("x"&amp;MID(L112,2,1),"x0x1x2x3x4x5x6x7x8x9"))),OR(3&gt;LEN(L112),MID(L112,3,1)=".",ISNUMBER(FIND("x"&amp;MID(L112,3,1),"x0x1x2x3x4x5x6x7x8x9"))),OR(4&gt;LEN(L112),MID(L112,4,1)=".",ISNUMBER(FIND("x"&amp;MID(L112,4,1),"x0x1x2x3x4x5x6x7x8x9"))),OR(5&gt;LEN(L112),MID(L112,5,1)=".",ISNUMBER(FIND("x"&amp;MID(L112,5,1),"x0x1x2x3x4x5x6x7x8x9"))),OR(6&gt;LEN(L112),MID(L112,6,1)=".",ISNUMBER(FIND("x"&amp;MID(L112,6,1),"x0x1x2x3x4x5x6x7x8x9"))),OR(7&gt;LEN(L112),MID(L112,7,1)=".",ISNUMBER(FIND("x"&amp;MID(L112,7,1),"x0x1x2x3x4x5x6x7x8x9"))),OR(8&gt;LEN(L112),MID(L112,8,1)=".",ISNUMBER(FIND("x"&amp;MID(L112,8,1),"x0x1x2x3x4x5x6x7x8x9"))),OR(9&gt;LEN(L112),MID(L112,9,1)=".",ISNUMBER(FIND("x"&amp;MID(L112,9,1),"x0x1x2x3x4x5x6x7x8x9"))),OR(10&gt;LEN(L112),MID(L112,10,1)=".",ISNUMBER(FIND("x"&amp;MID(L112,10,1),"x0x1x2x3x4x5x6x7x8x9"))),OR(AND(FIND(".",L112)=5,LEN(L112)-FIND(".",L112,FIND(".",L112)+1)&gt;=1,LEN(L112)-FIND(".",L112,FIND(".",L112)+1)&lt;=2),AND(LEN(L112)-FIND(".",L112,FIND(".",L112)+1)=4,FIND(".",L112)&gt;=2,FIND(".",L112)&lt;=3)),FIND(".",L112,FIND(".",L112)+1)-FIND(".",L112)&gt;=2,FIND(".",L112,FIND(".",L112)+1)-FIND(".",L112)&lt;=3,P112&gt;=2000,P112&lt;=2100,YEAR(S112)=P112,MONTH(S112)=Q112,DAY(S112)=R112),S112,0)),0)</ns0:f>
        <ns0:v>0</ns0:v>
      </ns0:c>
      <ns0:c r="U112" s="0" t="str">
        <ns0:f>IF(Bookings!C112="","Full day",Bookings!C112)</ns0:f>
        <ns0:v>Full day</ns0:v>
      </ns0:c>
      <ns0:c r="V112" s="0" t="str">
        <ns0:f>IF(Bookings!E112="","Full day",Bookings!E112)</ns0:f>
        <ns0:v>Full day</ns0:v>
      </ns0:c>
      <ns0:c r="W112" s="0">
        <ns0:f>IF(J112=0,0,J112+IF(U112="PM",1,0))</ns0:f>
        <ns0:v>0</ns0:v>
      </ns0:c>
      <ns0:c r="X112" s="0">
        <ns0:f>IF(T112=0,0,T112-IF(V112="PM",1,0))</ns0:f>
        <ns0:v>0</ns0:v>
      </ns0:c>
      <ns0:c r="Y112" s="0">
        <ns0:f>IF(J112=0,0,J112+IF(U112="AM",1,0))</ns0:f>
        <ns0:v>0</ns0:v>
      </ns0:c>
      <ns0:c r="Z112" s="0">
        <ns0:f>IF(T112=0,0,T112-IF(V112="AM",1,0))</ns0:f>
        <ns0:v>0</ns0:v>
      </ns0:c>
      <ns0:c r="AA112" s="0">
        <ns0:f>IFERROR(IF(AND(J112&gt;0,'_Engine'!C112&gt;0,MID('_Engine'!W112,WEEKDAY(J112,2),1)="W",COUNTIF(Settings!$F$18:$F$67,J112)=0),1,0),0)</ns0:f>
        <ns0:v>0</ns0:v>
      </ns0:c>
      <ns0:c r="AB112" s="0">
        <ns0:f>IFERROR(IF(AND(T112&gt;0,'_Engine'!C112&gt;0,MID('_Engine'!W112,WEEKDAY(T112,2),1)="W",COUNTIF(Settings!$F$18:$F$67,T112)=0),1,0),0)</ns0:f>
        <ns0:v>0</ns0:v>
      </ns0:c>
      <ns0:c r="AC112" s="0">
        <ns0:f>IF(AND(J112&gt;0,T112&gt;0,W112&lt;=X112),1,0)</ns0:f>
        <ns0:v>0</ns0:v>
      </ns0:c>
      <ns0:c r="AD112" s="0">
        <ns0:f>IF(AND(J112&gt;0,T112&gt;0,Y112&lt;=Z112),1,0)</ns0:f>
        <ns0:v>0</ns0:v>
      </ns0:c>
    </ns0:row>
    <ns0:row r="113">
      <ns0:c r="A113" s="0">
        <ns0:f>IFERROR(IF(ISNUMBER(Bookings!B113),"",TRIM(Bookings!B113&amp;"")),"")</ns0:f>
      </ns0:c>
      <ns0:c r="B113" s="0">
        <ns0:f>IFERROR(SUBSTITUTE(SUBSTITUTE(A113,"/","."),"-","."),"")</ns0:f>
      </ns0:c>
      <ns0:c r="C113" s="0">
        <ns0:f>IFERROR(LEFT(B113,FIND(".",B113)-1),"")</ns0:f>
      </ns0:c>
      <ns0:c r="D113" s="0">
        <ns0:f>IFERROR(MID(B113,FIND(".",B113)+1,FIND(".",B113,FIND(".",B113)+1)-FIND(".",B113)-1),"")</ns0:f>
      </ns0:c>
      <ns0:c r="E113" s="0">
        <ns0:f>IFERROR(MID(B113,FIND(".",B113,FIND(".",B113)+1)+1,99),"")</ns0:f>
        <ns0:v>99</ns0:v>
      </ns0:c>
      <ns0:c r="F113" s="0">
        <ns0:f>IFERROR(IF(FIND(".",B113)=5,--C113,--E113),0)</ns0:f>
        <ns0:v>0</ns0:v>
      </ns0:c>
      <ns0:c r="G113" s="0">
        <ns0:f>IFERROR(--D113,0)</ns0:f>
        <ns0:v>0</ns0:v>
      </ns0:c>
      <ns0:c r="H113" s="0">
        <ns0:f>IFERROR(IF(FIND(".",B113)=5,--E113,--C113),0)</ns0:f>
        <ns0:v>0</ns0:v>
      </ns0:c>
      <ns0:c r="I113" s="0">
        <ns0:f>IFERROR(IF(AND(F113&gt;=2000,F113&lt;=2100,G113&gt;=1,G113&lt;=12,H113&gt;=1,H113&lt;=31),DATE(F113,G113,H113),0),0)</ns0:f>
        <ns0:v>0</ns0:v>
      </ns0:c>
      <ns0:c r="J113" s="0">
        <ns0:f>IFERROR(IF(ISNUMBER(Bookings!B113),IF(AND(Bookings!B113=INT(Bookings!B113),Bookings!B113&gt;=DATE(2000,1,1),Bookings!B113&lt;=DATE(2100,12,31)),Bookings!B113,0),IF(AND(A113&lt;&gt;"",LEN("x"&amp;B113)-LEN(SUBSTITUTE("x"&amp;B113,".",""))=2,OR(1&gt;LEN(B113),MID(B113,1,1)=".",ISNUMBER(FIND("x"&amp;MID(B113,1,1),"x0x1x2x3x4x5x6x7x8x9"))),OR(2&gt;LEN(B113),MID(B113,2,1)=".",ISNUMBER(FIND("x"&amp;MID(B113,2,1),"x0x1x2x3x4x5x6x7x8x9"))),OR(3&gt;LEN(B113),MID(B113,3,1)=".",ISNUMBER(FIND("x"&amp;MID(B113,3,1),"x0x1x2x3x4x5x6x7x8x9"))),OR(4&gt;LEN(B113),MID(B113,4,1)=".",ISNUMBER(FIND("x"&amp;MID(B113,4,1),"x0x1x2x3x4x5x6x7x8x9"))),OR(5&gt;LEN(B113),MID(B113,5,1)=".",ISNUMBER(FIND("x"&amp;MID(B113,5,1),"x0x1x2x3x4x5x6x7x8x9"))),OR(6&gt;LEN(B113),MID(B113,6,1)=".",ISNUMBER(FIND("x"&amp;MID(B113,6,1),"x0x1x2x3x4x5x6x7x8x9"))),OR(7&gt;LEN(B113),MID(B113,7,1)=".",ISNUMBER(FIND("x"&amp;MID(B113,7,1),"x0x1x2x3x4x5x6x7x8x9"))),OR(8&gt;LEN(B113),MID(B113,8,1)=".",ISNUMBER(FIND("x"&amp;MID(B113,8,1),"x0x1x2x3x4x5x6x7x8x9"))),OR(9&gt;LEN(B113),MID(B113,9,1)=".",ISNUMBER(FIND("x"&amp;MID(B113,9,1),"x0x1x2x3x4x5x6x7x8x9"))),OR(10&gt;LEN(B113),MID(B113,10,1)=".",ISNUMBER(FIND("x"&amp;MID(B113,10,1),"x0x1x2x3x4x5x6x7x8x9"))),OR(AND(FIND(".",B113)=5,LEN(B113)-FIND(".",B113,FIND(".",B113)+1)&gt;=1,LEN(B113)-FIND(".",B113,FIND(".",B113)+1)&lt;=2),AND(LEN(B113)-FIND(".",B113,FIND(".",B113)+1)=4,FIND(".",B113)&gt;=2,FIND(".",B113)&lt;=3)),FIND(".",B113,FIND(".",B113)+1)-FIND(".",B113)&gt;=2,FIND(".",B113,FIND(".",B113)+1)-FIND(".",B113)&lt;=3,F113&gt;=2000,F113&lt;=2100,YEAR(I113)=F113,MONTH(I113)=G113,DAY(I113)=H113),I113,0)),0)</ns0:f>
        <ns0:v>0</ns0:v>
      </ns0:c>
      <ns0:c r="K113" s="0">
        <ns0:f>IFERROR(IF(ISNUMBER(Bookings!D113),"",TRIM(Bookings!D113&amp;"")),"")</ns0:f>
      </ns0:c>
      <ns0:c r="L113" s="0">
        <ns0:f>IFERROR(SUBSTITUTE(SUBSTITUTE(K113,"/","."),"-","."),"")</ns0:f>
      </ns0:c>
      <ns0:c r="M113" s="0">
        <ns0:f>IFERROR(LEFT(L113,FIND(".",L113)-1),"")</ns0:f>
      </ns0:c>
      <ns0:c r="N113" s="0">
        <ns0:f>IFERROR(MID(L113,FIND(".",L113)+1,FIND(".",L113,FIND(".",L113)+1)-FIND(".",L113)-1),"")</ns0:f>
      </ns0:c>
      <ns0:c r="O113" s="0">
        <ns0:f>IFERROR(MID(L113,FIND(".",L113,FIND(".",L113)+1)+1,99),"")</ns0:f>
        <ns0:v>99</ns0:v>
      </ns0:c>
      <ns0:c r="P113" s="0">
        <ns0:f>IFERROR(IF(FIND(".",L113)=5,--M113,--O113),0)</ns0:f>
        <ns0:v>0</ns0:v>
      </ns0:c>
      <ns0:c r="Q113" s="0">
        <ns0:f>IFERROR(--N113,0)</ns0:f>
        <ns0:v>0</ns0:v>
      </ns0:c>
      <ns0:c r="R113" s="0">
        <ns0:f>IFERROR(IF(FIND(".",L113)=5,--O113,--M113),0)</ns0:f>
        <ns0:v>0</ns0:v>
      </ns0:c>
      <ns0:c r="S113" s="0">
        <ns0:f>IFERROR(IF(AND(P113&gt;=2000,P113&lt;=2100,Q113&gt;=1,Q113&lt;=12,R113&gt;=1,R113&lt;=31),DATE(P113,Q113,R113),0),0)</ns0:f>
        <ns0:v>0</ns0:v>
      </ns0:c>
      <ns0:c r="T113" s="0">
        <ns0:f>IFERROR(IF(ISNUMBER(Bookings!D113),IF(AND(Bookings!D113=INT(Bookings!D113),Bookings!D113&gt;=DATE(2000,1,1),Bookings!D113&lt;=DATE(2100,12,31)),Bookings!D113,0),IF(AND(K113&lt;&gt;"",LEN("x"&amp;L113)-LEN(SUBSTITUTE("x"&amp;L113,".",""))=2,OR(1&gt;LEN(L113),MID(L113,1,1)=".",ISNUMBER(FIND("x"&amp;MID(L113,1,1),"x0x1x2x3x4x5x6x7x8x9"))),OR(2&gt;LEN(L113),MID(L113,2,1)=".",ISNUMBER(FIND("x"&amp;MID(L113,2,1),"x0x1x2x3x4x5x6x7x8x9"))),OR(3&gt;LEN(L113),MID(L113,3,1)=".",ISNUMBER(FIND("x"&amp;MID(L113,3,1),"x0x1x2x3x4x5x6x7x8x9"))),OR(4&gt;LEN(L113),MID(L113,4,1)=".",ISNUMBER(FIND("x"&amp;MID(L113,4,1),"x0x1x2x3x4x5x6x7x8x9"))),OR(5&gt;LEN(L113),MID(L113,5,1)=".",ISNUMBER(FIND("x"&amp;MID(L113,5,1),"x0x1x2x3x4x5x6x7x8x9"))),OR(6&gt;LEN(L113),MID(L113,6,1)=".",ISNUMBER(FIND("x"&amp;MID(L113,6,1),"x0x1x2x3x4x5x6x7x8x9"))),OR(7&gt;LEN(L113),MID(L113,7,1)=".",ISNUMBER(FIND("x"&amp;MID(L113,7,1),"x0x1x2x3x4x5x6x7x8x9"))),OR(8&gt;LEN(L113),MID(L113,8,1)=".",ISNUMBER(FIND("x"&amp;MID(L113,8,1),"x0x1x2x3x4x5x6x7x8x9"))),OR(9&gt;LEN(L113),MID(L113,9,1)=".",ISNUMBER(FIND("x"&amp;MID(L113,9,1),"x0x1x2x3x4x5x6x7x8x9"))),OR(10&gt;LEN(L113),MID(L113,10,1)=".",ISNUMBER(FIND("x"&amp;MID(L113,10,1),"x0x1x2x3x4x5x6x7x8x9"))),OR(AND(FIND(".",L113)=5,LEN(L113)-FIND(".",L113,FIND(".",L113)+1)&gt;=1,LEN(L113)-FIND(".",L113,FIND(".",L113)+1)&lt;=2),AND(LEN(L113)-FIND(".",L113,FIND(".",L113)+1)=4,FIND(".",L113)&gt;=2,FIND(".",L113)&lt;=3)),FIND(".",L113,FIND(".",L113)+1)-FIND(".",L113)&gt;=2,FIND(".",L113,FIND(".",L113)+1)-FIND(".",L113)&lt;=3,P113&gt;=2000,P113&lt;=2100,YEAR(S113)=P113,MONTH(S113)=Q113,DAY(S113)=R113),S113,0)),0)</ns0:f>
        <ns0:v>0</ns0:v>
      </ns0:c>
      <ns0:c r="U113" s="0" t="str">
        <ns0:f>IF(Bookings!C113="","Full day",Bookings!C113)</ns0:f>
        <ns0:v>Full day</ns0:v>
      </ns0:c>
      <ns0:c r="V113" s="0" t="str">
        <ns0:f>IF(Bookings!E113="","Full day",Bookings!E113)</ns0:f>
        <ns0:v>Full day</ns0:v>
      </ns0:c>
      <ns0:c r="W113" s="0">
        <ns0:f>IF(J113=0,0,J113+IF(U113="PM",1,0))</ns0:f>
        <ns0:v>0</ns0:v>
      </ns0:c>
      <ns0:c r="X113" s="0">
        <ns0:f>IF(T113=0,0,T113-IF(V113="PM",1,0))</ns0:f>
        <ns0:v>0</ns0:v>
      </ns0:c>
      <ns0:c r="Y113" s="0">
        <ns0:f>IF(J113=0,0,J113+IF(U113="AM",1,0))</ns0:f>
        <ns0:v>0</ns0:v>
      </ns0:c>
      <ns0:c r="Z113" s="0">
        <ns0:f>IF(T113=0,0,T113-IF(V113="AM",1,0))</ns0:f>
        <ns0:v>0</ns0:v>
      </ns0:c>
      <ns0:c r="AA113" s="0">
        <ns0:f>IFERROR(IF(AND(J113&gt;0,'_Engine'!C113&gt;0,MID('_Engine'!W113,WEEKDAY(J113,2),1)="W",COUNTIF(Settings!$F$18:$F$67,J113)=0),1,0),0)</ns0:f>
        <ns0:v>0</ns0:v>
      </ns0:c>
      <ns0:c r="AB113" s="0">
        <ns0:f>IFERROR(IF(AND(T113&gt;0,'_Engine'!C113&gt;0,MID('_Engine'!W113,WEEKDAY(T113,2),1)="W",COUNTIF(Settings!$F$18:$F$67,T113)=0),1,0),0)</ns0:f>
        <ns0:v>0</ns0:v>
      </ns0:c>
      <ns0:c r="AC113" s="0">
        <ns0:f>IF(AND(J113&gt;0,T113&gt;0,W113&lt;=X113),1,0)</ns0:f>
        <ns0:v>0</ns0:v>
      </ns0:c>
      <ns0:c r="AD113" s="0">
        <ns0:f>IF(AND(J113&gt;0,T113&gt;0,Y113&lt;=Z113),1,0)</ns0:f>
        <ns0:v>0</ns0:v>
      </ns0:c>
    </ns0:row>
    <ns0:row r="114">
      <ns0:c r="A114" s="0">
        <ns0:f>IFERROR(IF(ISNUMBER(Bookings!B114),"",TRIM(Bookings!B114&amp;"")),"")</ns0:f>
      </ns0:c>
      <ns0:c r="B114" s="0">
        <ns0:f>IFERROR(SUBSTITUTE(SUBSTITUTE(A114,"/","."),"-","."),"")</ns0:f>
      </ns0:c>
      <ns0:c r="C114" s="0">
        <ns0:f>IFERROR(LEFT(B114,FIND(".",B114)-1),"")</ns0:f>
      </ns0:c>
      <ns0:c r="D114" s="0">
        <ns0:f>IFERROR(MID(B114,FIND(".",B114)+1,FIND(".",B114,FIND(".",B114)+1)-FIND(".",B114)-1),"")</ns0:f>
      </ns0:c>
      <ns0:c r="E114" s="0">
        <ns0:f>IFERROR(MID(B114,FIND(".",B114,FIND(".",B114)+1)+1,99),"")</ns0:f>
        <ns0:v>99</ns0:v>
      </ns0:c>
      <ns0:c r="F114" s="0">
        <ns0:f>IFERROR(IF(FIND(".",B114)=5,--C114,--E114),0)</ns0:f>
        <ns0:v>0</ns0:v>
      </ns0:c>
      <ns0:c r="G114" s="0">
        <ns0:f>IFERROR(--D114,0)</ns0:f>
        <ns0:v>0</ns0:v>
      </ns0:c>
      <ns0:c r="H114" s="0">
        <ns0:f>IFERROR(IF(FIND(".",B114)=5,--E114,--C114),0)</ns0:f>
        <ns0:v>0</ns0:v>
      </ns0:c>
      <ns0:c r="I114" s="0">
        <ns0:f>IFERROR(IF(AND(F114&gt;=2000,F114&lt;=2100,G114&gt;=1,G114&lt;=12,H114&gt;=1,H114&lt;=31),DATE(F114,G114,H114),0),0)</ns0:f>
        <ns0:v>0</ns0:v>
      </ns0:c>
      <ns0:c r="J114" s="0">
        <ns0:f>IFERROR(IF(ISNUMBER(Bookings!B114),IF(AND(Bookings!B114=INT(Bookings!B114),Bookings!B114&gt;=DATE(2000,1,1),Bookings!B114&lt;=DATE(2100,12,31)),Bookings!B114,0),IF(AND(A114&lt;&gt;"",LEN("x"&amp;B114)-LEN(SUBSTITUTE("x"&amp;B114,".",""))=2,OR(1&gt;LEN(B114),MID(B114,1,1)=".",ISNUMBER(FIND("x"&amp;MID(B114,1,1),"x0x1x2x3x4x5x6x7x8x9"))),OR(2&gt;LEN(B114),MID(B114,2,1)=".",ISNUMBER(FIND("x"&amp;MID(B114,2,1),"x0x1x2x3x4x5x6x7x8x9"))),OR(3&gt;LEN(B114),MID(B114,3,1)=".",ISNUMBER(FIND("x"&amp;MID(B114,3,1),"x0x1x2x3x4x5x6x7x8x9"))),OR(4&gt;LEN(B114),MID(B114,4,1)=".",ISNUMBER(FIND("x"&amp;MID(B114,4,1),"x0x1x2x3x4x5x6x7x8x9"))),OR(5&gt;LEN(B114),MID(B114,5,1)=".",ISNUMBER(FIND("x"&amp;MID(B114,5,1),"x0x1x2x3x4x5x6x7x8x9"))),OR(6&gt;LEN(B114),MID(B114,6,1)=".",ISNUMBER(FIND("x"&amp;MID(B114,6,1),"x0x1x2x3x4x5x6x7x8x9"))),OR(7&gt;LEN(B114),MID(B114,7,1)=".",ISNUMBER(FIND("x"&amp;MID(B114,7,1),"x0x1x2x3x4x5x6x7x8x9"))),OR(8&gt;LEN(B114),MID(B114,8,1)=".",ISNUMBER(FIND("x"&amp;MID(B114,8,1),"x0x1x2x3x4x5x6x7x8x9"))),OR(9&gt;LEN(B114),MID(B114,9,1)=".",ISNUMBER(FIND("x"&amp;MID(B114,9,1),"x0x1x2x3x4x5x6x7x8x9"))),OR(10&gt;LEN(B114),MID(B114,10,1)=".",ISNUMBER(FIND("x"&amp;MID(B114,10,1),"x0x1x2x3x4x5x6x7x8x9"))),OR(AND(FIND(".",B114)=5,LEN(B114)-FIND(".",B114,FIND(".",B114)+1)&gt;=1,LEN(B114)-FIND(".",B114,FIND(".",B114)+1)&lt;=2),AND(LEN(B114)-FIND(".",B114,FIND(".",B114)+1)=4,FIND(".",B114)&gt;=2,FIND(".",B114)&lt;=3)),FIND(".",B114,FIND(".",B114)+1)-FIND(".",B114)&gt;=2,FIND(".",B114,FIND(".",B114)+1)-FIND(".",B114)&lt;=3,F114&gt;=2000,F114&lt;=2100,YEAR(I114)=F114,MONTH(I114)=G114,DAY(I114)=H114),I114,0)),0)</ns0:f>
        <ns0:v>0</ns0:v>
      </ns0:c>
      <ns0:c r="K114" s="0">
        <ns0:f>IFERROR(IF(ISNUMBER(Bookings!D114),"",TRIM(Bookings!D114&amp;"")),"")</ns0:f>
      </ns0:c>
      <ns0:c r="L114" s="0">
        <ns0:f>IFERROR(SUBSTITUTE(SUBSTITUTE(K114,"/","."),"-","."),"")</ns0:f>
      </ns0:c>
      <ns0:c r="M114" s="0">
        <ns0:f>IFERROR(LEFT(L114,FIND(".",L114)-1),"")</ns0:f>
      </ns0:c>
      <ns0:c r="N114" s="0">
        <ns0:f>IFERROR(MID(L114,FIND(".",L114)+1,FIND(".",L114,FIND(".",L114)+1)-FIND(".",L114)-1),"")</ns0:f>
      </ns0:c>
      <ns0:c r="O114" s="0">
        <ns0:f>IFERROR(MID(L114,FIND(".",L114,FIND(".",L114)+1)+1,99),"")</ns0:f>
        <ns0:v>99</ns0:v>
      </ns0:c>
      <ns0:c r="P114" s="0">
        <ns0:f>IFERROR(IF(FIND(".",L114)=5,--M114,--O114),0)</ns0:f>
        <ns0:v>0</ns0:v>
      </ns0:c>
      <ns0:c r="Q114" s="0">
        <ns0:f>IFERROR(--N114,0)</ns0:f>
        <ns0:v>0</ns0:v>
      </ns0:c>
      <ns0:c r="R114" s="0">
        <ns0:f>IFERROR(IF(FIND(".",L114)=5,--O114,--M114),0)</ns0:f>
        <ns0:v>0</ns0:v>
      </ns0:c>
      <ns0:c r="S114" s="0">
        <ns0:f>IFERROR(IF(AND(P114&gt;=2000,P114&lt;=2100,Q114&gt;=1,Q114&lt;=12,R114&gt;=1,R114&lt;=31),DATE(P114,Q114,R114),0),0)</ns0:f>
        <ns0:v>0</ns0:v>
      </ns0:c>
      <ns0:c r="T114" s="0">
        <ns0:f>IFERROR(IF(ISNUMBER(Bookings!D114),IF(AND(Bookings!D114=INT(Bookings!D114),Bookings!D114&gt;=DATE(2000,1,1),Bookings!D114&lt;=DATE(2100,12,31)),Bookings!D114,0),IF(AND(K114&lt;&gt;"",LEN("x"&amp;L114)-LEN(SUBSTITUTE("x"&amp;L114,".",""))=2,OR(1&gt;LEN(L114),MID(L114,1,1)=".",ISNUMBER(FIND("x"&amp;MID(L114,1,1),"x0x1x2x3x4x5x6x7x8x9"))),OR(2&gt;LEN(L114),MID(L114,2,1)=".",ISNUMBER(FIND("x"&amp;MID(L114,2,1),"x0x1x2x3x4x5x6x7x8x9"))),OR(3&gt;LEN(L114),MID(L114,3,1)=".",ISNUMBER(FIND("x"&amp;MID(L114,3,1),"x0x1x2x3x4x5x6x7x8x9"))),OR(4&gt;LEN(L114),MID(L114,4,1)=".",ISNUMBER(FIND("x"&amp;MID(L114,4,1),"x0x1x2x3x4x5x6x7x8x9"))),OR(5&gt;LEN(L114),MID(L114,5,1)=".",ISNUMBER(FIND("x"&amp;MID(L114,5,1),"x0x1x2x3x4x5x6x7x8x9"))),OR(6&gt;LEN(L114),MID(L114,6,1)=".",ISNUMBER(FIND("x"&amp;MID(L114,6,1),"x0x1x2x3x4x5x6x7x8x9"))),OR(7&gt;LEN(L114),MID(L114,7,1)=".",ISNUMBER(FIND("x"&amp;MID(L114,7,1),"x0x1x2x3x4x5x6x7x8x9"))),OR(8&gt;LEN(L114),MID(L114,8,1)=".",ISNUMBER(FIND("x"&amp;MID(L114,8,1),"x0x1x2x3x4x5x6x7x8x9"))),OR(9&gt;LEN(L114),MID(L114,9,1)=".",ISNUMBER(FIND("x"&amp;MID(L114,9,1),"x0x1x2x3x4x5x6x7x8x9"))),OR(10&gt;LEN(L114),MID(L114,10,1)=".",ISNUMBER(FIND("x"&amp;MID(L114,10,1),"x0x1x2x3x4x5x6x7x8x9"))),OR(AND(FIND(".",L114)=5,LEN(L114)-FIND(".",L114,FIND(".",L114)+1)&gt;=1,LEN(L114)-FIND(".",L114,FIND(".",L114)+1)&lt;=2),AND(LEN(L114)-FIND(".",L114,FIND(".",L114)+1)=4,FIND(".",L114)&gt;=2,FIND(".",L114)&lt;=3)),FIND(".",L114,FIND(".",L114)+1)-FIND(".",L114)&gt;=2,FIND(".",L114,FIND(".",L114)+1)-FIND(".",L114)&lt;=3,P114&gt;=2000,P114&lt;=2100,YEAR(S114)=P114,MONTH(S114)=Q114,DAY(S114)=R114),S114,0)),0)</ns0:f>
        <ns0:v>0</ns0:v>
      </ns0:c>
      <ns0:c r="U114" s="0" t="str">
        <ns0:f>IF(Bookings!C114="","Full day",Bookings!C114)</ns0:f>
        <ns0:v>Full day</ns0:v>
      </ns0:c>
      <ns0:c r="V114" s="0" t="str">
        <ns0:f>IF(Bookings!E114="","Full day",Bookings!E114)</ns0:f>
        <ns0:v>Full day</ns0:v>
      </ns0:c>
      <ns0:c r="W114" s="0">
        <ns0:f>IF(J114=0,0,J114+IF(U114="PM",1,0))</ns0:f>
        <ns0:v>0</ns0:v>
      </ns0:c>
      <ns0:c r="X114" s="0">
        <ns0:f>IF(T114=0,0,T114-IF(V114="PM",1,0))</ns0:f>
        <ns0:v>0</ns0:v>
      </ns0:c>
      <ns0:c r="Y114" s="0">
        <ns0:f>IF(J114=0,0,J114+IF(U114="AM",1,0))</ns0:f>
        <ns0:v>0</ns0:v>
      </ns0:c>
      <ns0:c r="Z114" s="0">
        <ns0:f>IF(T114=0,0,T114-IF(V114="AM",1,0))</ns0:f>
        <ns0:v>0</ns0:v>
      </ns0:c>
      <ns0:c r="AA114" s="0">
        <ns0:f>IFERROR(IF(AND(J114&gt;0,'_Engine'!C114&gt;0,MID('_Engine'!W114,WEEKDAY(J114,2),1)="W",COUNTIF(Settings!$F$18:$F$67,J114)=0),1,0),0)</ns0:f>
        <ns0:v>0</ns0:v>
      </ns0:c>
      <ns0:c r="AB114" s="0">
        <ns0:f>IFERROR(IF(AND(T114&gt;0,'_Engine'!C114&gt;0,MID('_Engine'!W114,WEEKDAY(T114,2),1)="W",COUNTIF(Settings!$F$18:$F$67,T114)=0),1,0),0)</ns0:f>
        <ns0:v>0</ns0:v>
      </ns0:c>
      <ns0:c r="AC114" s="0">
        <ns0:f>IF(AND(J114&gt;0,T114&gt;0,W114&lt;=X114),1,0)</ns0:f>
        <ns0:v>0</ns0:v>
      </ns0:c>
      <ns0:c r="AD114" s="0">
        <ns0:f>IF(AND(J114&gt;0,T114&gt;0,Y114&lt;=Z114),1,0)</ns0:f>
        <ns0:v>0</ns0:v>
      </ns0:c>
    </ns0:row>
    <ns0:row r="115">
      <ns0:c r="A115" s="0">
        <ns0:f>IFERROR(IF(ISNUMBER(Bookings!B115),"",TRIM(Bookings!B115&amp;"")),"")</ns0:f>
      </ns0:c>
      <ns0:c r="B115" s="0">
        <ns0:f>IFERROR(SUBSTITUTE(SUBSTITUTE(A115,"/","."),"-","."),"")</ns0:f>
      </ns0:c>
      <ns0:c r="C115" s="0">
        <ns0:f>IFERROR(LEFT(B115,FIND(".",B115)-1),"")</ns0:f>
      </ns0:c>
      <ns0:c r="D115" s="0">
        <ns0:f>IFERROR(MID(B115,FIND(".",B115)+1,FIND(".",B115,FIND(".",B115)+1)-FIND(".",B115)-1),"")</ns0:f>
      </ns0:c>
      <ns0:c r="E115" s="0">
        <ns0:f>IFERROR(MID(B115,FIND(".",B115,FIND(".",B115)+1)+1,99),"")</ns0:f>
        <ns0:v>99</ns0:v>
      </ns0:c>
      <ns0:c r="F115" s="0">
        <ns0:f>IFERROR(IF(FIND(".",B115)=5,--C115,--E115),0)</ns0:f>
        <ns0:v>0</ns0:v>
      </ns0:c>
      <ns0:c r="G115" s="0">
        <ns0:f>IFERROR(--D115,0)</ns0:f>
        <ns0:v>0</ns0:v>
      </ns0:c>
      <ns0:c r="H115" s="0">
        <ns0:f>IFERROR(IF(FIND(".",B115)=5,--E115,--C115),0)</ns0:f>
        <ns0:v>0</ns0:v>
      </ns0:c>
      <ns0:c r="I115" s="0">
        <ns0:f>IFERROR(IF(AND(F115&gt;=2000,F115&lt;=2100,G115&gt;=1,G115&lt;=12,H115&gt;=1,H115&lt;=31),DATE(F115,G115,H115),0),0)</ns0:f>
        <ns0:v>0</ns0:v>
      </ns0:c>
      <ns0:c r="J115" s="0">
        <ns0:f>IFERROR(IF(ISNUMBER(Bookings!B115),IF(AND(Bookings!B115=INT(Bookings!B115),Bookings!B115&gt;=DATE(2000,1,1),Bookings!B115&lt;=DATE(2100,12,31)),Bookings!B115,0),IF(AND(A115&lt;&gt;"",LEN("x"&amp;B115)-LEN(SUBSTITUTE("x"&amp;B115,".",""))=2,OR(1&gt;LEN(B115),MID(B115,1,1)=".",ISNUMBER(FIND("x"&amp;MID(B115,1,1),"x0x1x2x3x4x5x6x7x8x9"))),OR(2&gt;LEN(B115),MID(B115,2,1)=".",ISNUMBER(FIND("x"&amp;MID(B115,2,1),"x0x1x2x3x4x5x6x7x8x9"))),OR(3&gt;LEN(B115),MID(B115,3,1)=".",ISNUMBER(FIND("x"&amp;MID(B115,3,1),"x0x1x2x3x4x5x6x7x8x9"))),OR(4&gt;LEN(B115),MID(B115,4,1)=".",ISNUMBER(FIND("x"&amp;MID(B115,4,1),"x0x1x2x3x4x5x6x7x8x9"))),OR(5&gt;LEN(B115),MID(B115,5,1)=".",ISNUMBER(FIND("x"&amp;MID(B115,5,1),"x0x1x2x3x4x5x6x7x8x9"))),OR(6&gt;LEN(B115),MID(B115,6,1)=".",ISNUMBER(FIND("x"&amp;MID(B115,6,1),"x0x1x2x3x4x5x6x7x8x9"))),OR(7&gt;LEN(B115),MID(B115,7,1)=".",ISNUMBER(FIND("x"&amp;MID(B115,7,1),"x0x1x2x3x4x5x6x7x8x9"))),OR(8&gt;LEN(B115),MID(B115,8,1)=".",ISNUMBER(FIND("x"&amp;MID(B115,8,1),"x0x1x2x3x4x5x6x7x8x9"))),OR(9&gt;LEN(B115),MID(B115,9,1)=".",ISNUMBER(FIND("x"&amp;MID(B115,9,1),"x0x1x2x3x4x5x6x7x8x9"))),OR(10&gt;LEN(B115),MID(B115,10,1)=".",ISNUMBER(FIND("x"&amp;MID(B115,10,1),"x0x1x2x3x4x5x6x7x8x9"))),OR(AND(FIND(".",B115)=5,LEN(B115)-FIND(".",B115,FIND(".",B115)+1)&gt;=1,LEN(B115)-FIND(".",B115,FIND(".",B115)+1)&lt;=2),AND(LEN(B115)-FIND(".",B115,FIND(".",B115)+1)=4,FIND(".",B115)&gt;=2,FIND(".",B115)&lt;=3)),FIND(".",B115,FIND(".",B115)+1)-FIND(".",B115)&gt;=2,FIND(".",B115,FIND(".",B115)+1)-FIND(".",B115)&lt;=3,F115&gt;=2000,F115&lt;=2100,YEAR(I115)=F115,MONTH(I115)=G115,DAY(I115)=H115),I115,0)),0)</ns0:f>
        <ns0:v>0</ns0:v>
      </ns0:c>
      <ns0:c r="K115" s="0">
        <ns0:f>IFERROR(IF(ISNUMBER(Bookings!D115),"",TRIM(Bookings!D115&amp;"")),"")</ns0:f>
      </ns0:c>
      <ns0:c r="L115" s="0">
        <ns0:f>IFERROR(SUBSTITUTE(SUBSTITUTE(K115,"/","."),"-","."),"")</ns0:f>
      </ns0:c>
      <ns0:c r="M115" s="0">
        <ns0:f>IFERROR(LEFT(L115,FIND(".",L115)-1),"")</ns0:f>
      </ns0:c>
      <ns0:c r="N115" s="0">
        <ns0:f>IFERROR(MID(L115,FIND(".",L115)+1,FIND(".",L115,FIND(".",L115)+1)-FIND(".",L115)-1),"")</ns0:f>
      </ns0:c>
      <ns0:c r="O115" s="0">
        <ns0:f>IFERROR(MID(L115,FIND(".",L115,FIND(".",L115)+1)+1,99),"")</ns0:f>
        <ns0:v>99</ns0:v>
      </ns0:c>
      <ns0:c r="P115" s="0">
        <ns0:f>IFERROR(IF(FIND(".",L115)=5,--M115,--O115),0)</ns0:f>
        <ns0:v>0</ns0:v>
      </ns0:c>
      <ns0:c r="Q115" s="0">
        <ns0:f>IFERROR(--N115,0)</ns0:f>
        <ns0:v>0</ns0:v>
      </ns0:c>
      <ns0:c r="R115" s="0">
        <ns0:f>IFERROR(IF(FIND(".",L115)=5,--O115,--M115),0)</ns0:f>
        <ns0:v>0</ns0:v>
      </ns0:c>
      <ns0:c r="S115" s="0">
        <ns0:f>IFERROR(IF(AND(P115&gt;=2000,P115&lt;=2100,Q115&gt;=1,Q115&lt;=12,R115&gt;=1,R115&lt;=31),DATE(P115,Q115,R115),0),0)</ns0:f>
        <ns0:v>0</ns0:v>
      </ns0:c>
      <ns0:c r="T115" s="0">
        <ns0:f>IFERROR(IF(ISNUMBER(Bookings!D115),IF(AND(Bookings!D115=INT(Bookings!D115),Bookings!D115&gt;=DATE(2000,1,1),Bookings!D115&lt;=DATE(2100,12,31)),Bookings!D115,0),IF(AND(K115&lt;&gt;"",LEN("x"&amp;L115)-LEN(SUBSTITUTE("x"&amp;L115,".",""))=2,OR(1&gt;LEN(L115),MID(L115,1,1)=".",ISNUMBER(FIND("x"&amp;MID(L115,1,1),"x0x1x2x3x4x5x6x7x8x9"))),OR(2&gt;LEN(L115),MID(L115,2,1)=".",ISNUMBER(FIND("x"&amp;MID(L115,2,1),"x0x1x2x3x4x5x6x7x8x9"))),OR(3&gt;LEN(L115),MID(L115,3,1)=".",ISNUMBER(FIND("x"&amp;MID(L115,3,1),"x0x1x2x3x4x5x6x7x8x9"))),OR(4&gt;LEN(L115),MID(L115,4,1)=".",ISNUMBER(FIND("x"&amp;MID(L115,4,1),"x0x1x2x3x4x5x6x7x8x9"))),OR(5&gt;LEN(L115),MID(L115,5,1)=".",ISNUMBER(FIND("x"&amp;MID(L115,5,1),"x0x1x2x3x4x5x6x7x8x9"))),OR(6&gt;LEN(L115),MID(L115,6,1)=".",ISNUMBER(FIND("x"&amp;MID(L115,6,1),"x0x1x2x3x4x5x6x7x8x9"))),OR(7&gt;LEN(L115),MID(L115,7,1)=".",ISNUMBER(FIND("x"&amp;MID(L115,7,1),"x0x1x2x3x4x5x6x7x8x9"))),OR(8&gt;LEN(L115),MID(L115,8,1)=".",ISNUMBER(FIND("x"&amp;MID(L115,8,1),"x0x1x2x3x4x5x6x7x8x9"))),OR(9&gt;LEN(L115),MID(L115,9,1)=".",ISNUMBER(FIND("x"&amp;MID(L115,9,1),"x0x1x2x3x4x5x6x7x8x9"))),OR(10&gt;LEN(L115),MID(L115,10,1)=".",ISNUMBER(FIND("x"&amp;MID(L115,10,1),"x0x1x2x3x4x5x6x7x8x9"))),OR(AND(FIND(".",L115)=5,LEN(L115)-FIND(".",L115,FIND(".",L115)+1)&gt;=1,LEN(L115)-FIND(".",L115,FIND(".",L115)+1)&lt;=2),AND(LEN(L115)-FIND(".",L115,FIND(".",L115)+1)=4,FIND(".",L115)&gt;=2,FIND(".",L115)&lt;=3)),FIND(".",L115,FIND(".",L115)+1)-FIND(".",L115)&gt;=2,FIND(".",L115,FIND(".",L115)+1)-FIND(".",L115)&lt;=3,P115&gt;=2000,P115&lt;=2100,YEAR(S115)=P115,MONTH(S115)=Q115,DAY(S115)=R115),S115,0)),0)</ns0:f>
        <ns0:v>0</ns0:v>
      </ns0:c>
      <ns0:c r="U115" s="0" t="str">
        <ns0:f>IF(Bookings!C115="","Full day",Bookings!C115)</ns0:f>
        <ns0:v>Full day</ns0:v>
      </ns0:c>
      <ns0:c r="V115" s="0" t="str">
        <ns0:f>IF(Bookings!E115="","Full day",Bookings!E115)</ns0:f>
        <ns0:v>Full day</ns0:v>
      </ns0:c>
      <ns0:c r="W115" s="0">
        <ns0:f>IF(J115=0,0,J115+IF(U115="PM",1,0))</ns0:f>
        <ns0:v>0</ns0:v>
      </ns0:c>
      <ns0:c r="X115" s="0">
        <ns0:f>IF(T115=0,0,T115-IF(V115="PM",1,0))</ns0:f>
        <ns0:v>0</ns0:v>
      </ns0:c>
      <ns0:c r="Y115" s="0">
        <ns0:f>IF(J115=0,0,J115+IF(U115="AM",1,0))</ns0:f>
        <ns0:v>0</ns0:v>
      </ns0:c>
      <ns0:c r="Z115" s="0">
        <ns0:f>IF(T115=0,0,T115-IF(V115="AM",1,0))</ns0:f>
        <ns0:v>0</ns0:v>
      </ns0:c>
      <ns0:c r="AA115" s="0">
        <ns0:f>IFERROR(IF(AND(J115&gt;0,'_Engine'!C115&gt;0,MID('_Engine'!W115,WEEKDAY(J115,2),1)="W",COUNTIF(Settings!$F$18:$F$67,J115)=0),1,0),0)</ns0:f>
        <ns0:v>0</ns0:v>
      </ns0:c>
      <ns0:c r="AB115" s="0">
        <ns0:f>IFERROR(IF(AND(T115&gt;0,'_Engine'!C115&gt;0,MID('_Engine'!W115,WEEKDAY(T115,2),1)="W",COUNTIF(Settings!$F$18:$F$67,T115)=0),1,0),0)</ns0:f>
        <ns0:v>0</ns0:v>
      </ns0:c>
      <ns0:c r="AC115" s="0">
        <ns0:f>IF(AND(J115&gt;0,T115&gt;0,W115&lt;=X115),1,0)</ns0:f>
        <ns0:v>0</ns0:v>
      </ns0:c>
      <ns0:c r="AD115" s="0">
        <ns0:f>IF(AND(J115&gt;0,T115&gt;0,Y115&lt;=Z115),1,0)</ns0:f>
        <ns0:v>0</ns0:v>
      </ns0:c>
    </ns0:row>
    <ns0:row r="116">
      <ns0:c r="A116" s="0">
        <ns0:f>IFERROR(IF(ISNUMBER(Bookings!B116),"",TRIM(Bookings!B116&amp;"")),"")</ns0:f>
      </ns0:c>
      <ns0:c r="B116" s="0">
        <ns0:f>IFERROR(SUBSTITUTE(SUBSTITUTE(A116,"/","."),"-","."),"")</ns0:f>
      </ns0:c>
      <ns0:c r="C116" s="0">
        <ns0:f>IFERROR(LEFT(B116,FIND(".",B116)-1),"")</ns0:f>
      </ns0:c>
      <ns0:c r="D116" s="0">
        <ns0:f>IFERROR(MID(B116,FIND(".",B116)+1,FIND(".",B116,FIND(".",B116)+1)-FIND(".",B116)-1),"")</ns0:f>
      </ns0:c>
      <ns0:c r="E116" s="0">
        <ns0:f>IFERROR(MID(B116,FIND(".",B116,FIND(".",B116)+1)+1,99),"")</ns0:f>
        <ns0:v>99</ns0:v>
      </ns0:c>
      <ns0:c r="F116" s="0">
        <ns0:f>IFERROR(IF(FIND(".",B116)=5,--C116,--E116),0)</ns0:f>
        <ns0:v>0</ns0:v>
      </ns0:c>
      <ns0:c r="G116" s="0">
        <ns0:f>IFERROR(--D116,0)</ns0:f>
        <ns0:v>0</ns0:v>
      </ns0:c>
      <ns0:c r="H116" s="0">
        <ns0:f>IFERROR(IF(FIND(".",B116)=5,--E116,--C116),0)</ns0:f>
        <ns0:v>0</ns0:v>
      </ns0:c>
      <ns0:c r="I116" s="0">
        <ns0:f>IFERROR(IF(AND(F116&gt;=2000,F116&lt;=2100,G116&gt;=1,G116&lt;=12,H116&gt;=1,H116&lt;=31),DATE(F116,G116,H116),0),0)</ns0:f>
        <ns0:v>0</ns0:v>
      </ns0:c>
      <ns0:c r="J116" s="0">
        <ns0:f>IFERROR(IF(ISNUMBER(Bookings!B116),IF(AND(Bookings!B116=INT(Bookings!B116),Bookings!B116&gt;=DATE(2000,1,1),Bookings!B116&lt;=DATE(2100,12,31)),Bookings!B116,0),IF(AND(A116&lt;&gt;"",LEN("x"&amp;B116)-LEN(SUBSTITUTE("x"&amp;B116,".",""))=2,OR(1&gt;LEN(B116),MID(B116,1,1)=".",ISNUMBER(FIND("x"&amp;MID(B116,1,1),"x0x1x2x3x4x5x6x7x8x9"))),OR(2&gt;LEN(B116),MID(B116,2,1)=".",ISNUMBER(FIND("x"&amp;MID(B116,2,1),"x0x1x2x3x4x5x6x7x8x9"))),OR(3&gt;LEN(B116),MID(B116,3,1)=".",ISNUMBER(FIND("x"&amp;MID(B116,3,1),"x0x1x2x3x4x5x6x7x8x9"))),OR(4&gt;LEN(B116),MID(B116,4,1)=".",ISNUMBER(FIND("x"&amp;MID(B116,4,1),"x0x1x2x3x4x5x6x7x8x9"))),OR(5&gt;LEN(B116),MID(B116,5,1)=".",ISNUMBER(FIND("x"&amp;MID(B116,5,1),"x0x1x2x3x4x5x6x7x8x9"))),OR(6&gt;LEN(B116),MID(B116,6,1)=".",ISNUMBER(FIND("x"&amp;MID(B116,6,1),"x0x1x2x3x4x5x6x7x8x9"))),OR(7&gt;LEN(B116),MID(B116,7,1)=".",ISNUMBER(FIND("x"&amp;MID(B116,7,1),"x0x1x2x3x4x5x6x7x8x9"))),OR(8&gt;LEN(B116),MID(B116,8,1)=".",ISNUMBER(FIND("x"&amp;MID(B116,8,1),"x0x1x2x3x4x5x6x7x8x9"))),OR(9&gt;LEN(B116),MID(B116,9,1)=".",ISNUMBER(FIND("x"&amp;MID(B116,9,1),"x0x1x2x3x4x5x6x7x8x9"))),OR(10&gt;LEN(B116),MID(B116,10,1)=".",ISNUMBER(FIND("x"&amp;MID(B116,10,1),"x0x1x2x3x4x5x6x7x8x9"))),OR(AND(FIND(".",B116)=5,LEN(B116)-FIND(".",B116,FIND(".",B116)+1)&gt;=1,LEN(B116)-FIND(".",B116,FIND(".",B116)+1)&lt;=2),AND(LEN(B116)-FIND(".",B116,FIND(".",B116)+1)=4,FIND(".",B116)&gt;=2,FIND(".",B116)&lt;=3)),FIND(".",B116,FIND(".",B116)+1)-FIND(".",B116)&gt;=2,FIND(".",B116,FIND(".",B116)+1)-FIND(".",B116)&lt;=3,F116&gt;=2000,F116&lt;=2100,YEAR(I116)=F116,MONTH(I116)=G116,DAY(I116)=H116),I116,0)),0)</ns0:f>
        <ns0:v>0</ns0:v>
      </ns0:c>
      <ns0:c r="K116" s="0">
        <ns0:f>IFERROR(IF(ISNUMBER(Bookings!D116),"",TRIM(Bookings!D116&amp;"")),"")</ns0:f>
      </ns0:c>
      <ns0:c r="L116" s="0">
        <ns0:f>IFERROR(SUBSTITUTE(SUBSTITUTE(K116,"/","."),"-","."),"")</ns0:f>
      </ns0:c>
      <ns0:c r="M116" s="0">
        <ns0:f>IFERROR(LEFT(L116,FIND(".",L116)-1),"")</ns0:f>
      </ns0:c>
      <ns0:c r="N116" s="0">
        <ns0:f>IFERROR(MID(L116,FIND(".",L116)+1,FIND(".",L116,FIND(".",L116)+1)-FIND(".",L116)-1),"")</ns0:f>
      </ns0:c>
      <ns0:c r="O116" s="0">
        <ns0:f>IFERROR(MID(L116,FIND(".",L116,FIND(".",L116)+1)+1,99),"")</ns0:f>
        <ns0:v>99</ns0:v>
      </ns0:c>
      <ns0:c r="P116" s="0">
        <ns0:f>IFERROR(IF(FIND(".",L116)=5,--M116,--O116),0)</ns0:f>
        <ns0:v>0</ns0:v>
      </ns0:c>
      <ns0:c r="Q116" s="0">
        <ns0:f>IFERROR(--N116,0)</ns0:f>
        <ns0:v>0</ns0:v>
      </ns0:c>
      <ns0:c r="R116" s="0">
        <ns0:f>IFERROR(IF(FIND(".",L116)=5,--O116,--M116),0)</ns0:f>
        <ns0:v>0</ns0:v>
      </ns0:c>
      <ns0:c r="S116" s="0">
        <ns0:f>IFERROR(IF(AND(P116&gt;=2000,P116&lt;=2100,Q116&gt;=1,Q116&lt;=12,R116&gt;=1,R116&lt;=31),DATE(P116,Q116,R116),0),0)</ns0:f>
        <ns0:v>0</ns0:v>
      </ns0:c>
      <ns0:c r="T116" s="0">
        <ns0:f>IFERROR(IF(ISNUMBER(Bookings!D116),IF(AND(Bookings!D116=INT(Bookings!D116),Bookings!D116&gt;=DATE(2000,1,1),Bookings!D116&lt;=DATE(2100,12,31)),Bookings!D116,0),IF(AND(K116&lt;&gt;"",LEN("x"&amp;L116)-LEN(SUBSTITUTE("x"&amp;L116,".",""))=2,OR(1&gt;LEN(L116),MID(L116,1,1)=".",ISNUMBER(FIND("x"&amp;MID(L116,1,1),"x0x1x2x3x4x5x6x7x8x9"))),OR(2&gt;LEN(L116),MID(L116,2,1)=".",ISNUMBER(FIND("x"&amp;MID(L116,2,1),"x0x1x2x3x4x5x6x7x8x9"))),OR(3&gt;LEN(L116),MID(L116,3,1)=".",ISNUMBER(FIND("x"&amp;MID(L116,3,1),"x0x1x2x3x4x5x6x7x8x9"))),OR(4&gt;LEN(L116),MID(L116,4,1)=".",ISNUMBER(FIND("x"&amp;MID(L116,4,1),"x0x1x2x3x4x5x6x7x8x9"))),OR(5&gt;LEN(L116),MID(L116,5,1)=".",ISNUMBER(FIND("x"&amp;MID(L116,5,1),"x0x1x2x3x4x5x6x7x8x9"))),OR(6&gt;LEN(L116),MID(L116,6,1)=".",ISNUMBER(FIND("x"&amp;MID(L116,6,1),"x0x1x2x3x4x5x6x7x8x9"))),OR(7&gt;LEN(L116),MID(L116,7,1)=".",ISNUMBER(FIND("x"&amp;MID(L116,7,1),"x0x1x2x3x4x5x6x7x8x9"))),OR(8&gt;LEN(L116),MID(L116,8,1)=".",ISNUMBER(FIND("x"&amp;MID(L116,8,1),"x0x1x2x3x4x5x6x7x8x9"))),OR(9&gt;LEN(L116),MID(L116,9,1)=".",ISNUMBER(FIND("x"&amp;MID(L116,9,1),"x0x1x2x3x4x5x6x7x8x9"))),OR(10&gt;LEN(L116),MID(L116,10,1)=".",ISNUMBER(FIND("x"&amp;MID(L116,10,1),"x0x1x2x3x4x5x6x7x8x9"))),OR(AND(FIND(".",L116)=5,LEN(L116)-FIND(".",L116,FIND(".",L116)+1)&gt;=1,LEN(L116)-FIND(".",L116,FIND(".",L116)+1)&lt;=2),AND(LEN(L116)-FIND(".",L116,FIND(".",L116)+1)=4,FIND(".",L116)&gt;=2,FIND(".",L116)&lt;=3)),FIND(".",L116,FIND(".",L116)+1)-FIND(".",L116)&gt;=2,FIND(".",L116,FIND(".",L116)+1)-FIND(".",L116)&lt;=3,P116&gt;=2000,P116&lt;=2100,YEAR(S116)=P116,MONTH(S116)=Q116,DAY(S116)=R116),S116,0)),0)</ns0:f>
        <ns0:v>0</ns0:v>
      </ns0:c>
      <ns0:c r="U116" s="0" t="str">
        <ns0:f>IF(Bookings!C116="","Full day",Bookings!C116)</ns0:f>
        <ns0:v>Full day</ns0:v>
      </ns0:c>
      <ns0:c r="V116" s="0" t="str">
        <ns0:f>IF(Bookings!E116="","Full day",Bookings!E116)</ns0:f>
        <ns0:v>Full day</ns0:v>
      </ns0:c>
      <ns0:c r="W116" s="0">
        <ns0:f>IF(J116=0,0,J116+IF(U116="PM",1,0))</ns0:f>
        <ns0:v>0</ns0:v>
      </ns0:c>
      <ns0:c r="X116" s="0">
        <ns0:f>IF(T116=0,0,T116-IF(V116="PM",1,0))</ns0:f>
        <ns0:v>0</ns0:v>
      </ns0:c>
      <ns0:c r="Y116" s="0">
        <ns0:f>IF(J116=0,0,J116+IF(U116="AM",1,0))</ns0:f>
        <ns0:v>0</ns0:v>
      </ns0:c>
      <ns0:c r="Z116" s="0">
        <ns0:f>IF(T116=0,0,T116-IF(V116="AM",1,0))</ns0:f>
        <ns0:v>0</ns0:v>
      </ns0:c>
      <ns0:c r="AA116" s="0">
        <ns0:f>IFERROR(IF(AND(J116&gt;0,'_Engine'!C116&gt;0,MID('_Engine'!W116,WEEKDAY(J116,2),1)="W",COUNTIF(Settings!$F$18:$F$67,J116)=0),1,0),0)</ns0:f>
        <ns0:v>0</ns0:v>
      </ns0:c>
      <ns0:c r="AB116" s="0">
        <ns0:f>IFERROR(IF(AND(T116&gt;0,'_Engine'!C116&gt;0,MID('_Engine'!W116,WEEKDAY(T116,2),1)="W",COUNTIF(Settings!$F$18:$F$67,T116)=0),1,0),0)</ns0:f>
        <ns0:v>0</ns0:v>
      </ns0:c>
      <ns0:c r="AC116" s="0">
        <ns0:f>IF(AND(J116&gt;0,T116&gt;0,W116&lt;=X116),1,0)</ns0:f>
        <ns0:v>0</ns0:v>
      </ns0:c>
      <ns0:c r="AD116" s="0">
        <ns0:f>IF(AND(J116&gt;0,T116&gt;0,Y116&lt;=Z116),1,0)</ns0:f>
        <ns0:v>0</ns0:v>
      </ns0:c>
    </ns0:row>
    <ns0:row r="117">
      <ns0:c r="A117" s="0">
        <ns0:f>IFERROR(IF(ISNUMBER(Bookings!B117),"",TRIM(Bookings!B117&amp;"")),"")</ns0:f>
      </ns0:c>
      <ns0:c r="B117" s="0">
        <ns0:f>IFERROR(SUBSTITUTE(SUBSTITUTE(A117,"/","."),"-","."),"")</ns0:f>
      </ns0:c>
      <ns0:c r="C117" s="0">
        <ns0:f>IFERROR(LEFT(B117,FIND(".",B117)-1),"")</ns0:f>
      </ns0:c>
      <ns0:c r="D117" s="0">
        <ns0:f>IFERROR(MID(B117,FIND(".",B117)+1,FIND(".",B117,FIND(".",B117)+1)-FIND(".",B117)-1),"")</ns0:f>
      </ns0:c>
      <ns0:c r="E117" s="0">
        <ns0:f>IFERROR(MID(B117,FIND(".",B117,FIND(".",B117)+1)+1,99),"")</ns0:f>
        <ns0:v>99</ns0:v>
      </ns0:c>
      <ns0:c r="F117" s="0">
        <ns0:f>IFERROR(IF(FIND(".",B117)=5,--C117,--E117),0)</ns0:f>
        <ns0:v>0</ns0:v>
      </ns0:c>
      <ns0:c r="G117" s="0">
        <ns0:f>IFERROR(--D117,0)</ns0:f>
        <ns0:v>0</ns0:v>
      </ns0:c>
      <ns0:c r="H117" s="0">
        <ns0:f>IFERROR(IF(FIND(".",B117)=5,--E117,--C117),0)</ns0:f>
        <ns0:v>0</ns0:v>
      </ns0:c>
      <ns0:c r="I117" s="0">
        <ns0:f>IFERROR(IF(AND(F117&gt;=2000,F117&lt;=2100,G117&gt;=1,G117&lt;=12,H117&gt;=1,H117&lt;=31),DATE(F117,G117,H117),0),0)</ns0:f>
        <ns0:v>0</ns0:v>
      </ns0:c>
      <ns0:c r="J117" s="0">
        <ns0:f>IFERROR(IF(ISNUMBER(Bookings!B117),IF(AND(Bookings!B117=INT(Bookings!B117),Bookings!B117&gt;=DATE(2000,1,1),Bookings!B117&lt;=DATE(2100,12,31)),Bookings!B117,0),IF(AND(A117&lt;&gt;"",LEN("x"&amp;B117)-LEN(SUBSTITUTE("x"&amp;B117,".",""))=2,OR(1&gt;LEN(B117),MID(B117,1,1)=".",ISNUMBER(FIND("x"&amp;MID(B117,1,1),"x0x1x2x3x4x5x6x7x8x9"))),OR(2&gt;LEN(B117),MID(B117,2,1)=".",ISNUMBER(FIND("x"&amp;MID(B117,2,1),"x0x1x2x3x4x5x6x7x8x9"))),OR(3&gt;LEN(B117),MID(B117,3,1)=".",ISNUMBER(FIND("x"&amp;MID(B117,3,1),"x0x1x2x3x4x5x6x7x8x9"))),OR(4&gt;LEN(B117),MID(B117,4,1)=".",ISNUMBER(FIND("x"&amp;MID(B117,4,1),"x0x1x2x3x4x5x6x7x8x9"))),OR(5&gt;LEN(B117),MID(B117,5,1)=".",ISNUMBER(FIND("x"&amp;MID(B117,5,1),"x0x1x2x3x4x5x6x7x8x9"))),OR(6&gt;LEN(B117),MID(B117,6,1)=".",ISNUMBER(FIND("x"&amp;MID(B117,6,1),"x0x1x2x3x4x5x6x7x8x9"))),OR(7&gt;LEN(B117),MID(B117,7,1)=".",ISNUMBER(FIND("x"&amp;MID(B117,7,1),"x0x1x2x3x4x5x6x7x8x9"))),OR(8&gt;LEN(B117),MID(B117,8,1)=".",ISNUMBER(FIND("x"&amp;MID(B117,8,1),"x0x1x2x3x4x5x6x7x8x9"))),OR(9&gt;LEN(B117),MID(B117,9,1)=".",ISNUMBER(FIND("x"&amp;MID(B117,9,1),"x0x1x2x3x4x5x6x7x8x9"))),OR(10&gt;LEN(B117),MID(B117,10,1)=".",ISNUMBER(FIND("x"&amp;MID(B117,10,1),"x0x1x2x3x4x5x6x7x8x9"))),OR(AND(FIND(".",B117)=5,LEN(B117)-FIND(".",B117,FIND(".",B117)+1)&gt;=1,LEN(B117)-FIND(".",B117,FIND(".",B117)+1)&lt;=2),AND(LEN(B117)-FIND(".",B117,FIND(".",B117)+1)=4,FIND(".",B117)&gt;=2,FIND(".",B117)&lt;=3)),FIND(".",B117,FIND(".",B117)+1)-FIND(".",B117)&gt;=2,FIND(".",B117,FIND(".",B117)+1)-FIND(".",B117)&lt;=3,F117&gt;=2000,F117&lt;=2100,YEAR(I117)=F117,MONTH(I117)=G117,DAY(I117)=H117),I117,0)),0)</ns0:f>
        <ns0:v>0</ns0:v>
      </ns0:c>
      <ns0:c r="K117" s="0">
        <ns0:f>IFERROR(IF(ISNUMBER(Bookings!D117),"",TRIM(Bookings!D117&amp;"")),"")</ns0:f>
      </ns0:c>
      <ns0:c r="L117" s="0">
        <ns0:f>IFERROR(SUBSTITUTE(SUBSTITUTE(K117,"/","."),"-","."),"")</ns0:f>
      </ns0:c>
      <ns0:c r="M117" s="0">
        <ns0:f>IFERROR(LEFT(L117,FIND(".",L117)-1),"")</ns0:f>
      </ns0:c>
      <ns0:c r="N117" s="0">
        <ns0:f>IFERROR(MID(L117,FIND(".",L117)+1,FIND(".",L117,FIND(".",L117)+1)-FIND(".",L117)-1),"")</ns0:f>
      </ns0:c>
      <ns0:c r="O117" s="0">
        <ns0:f>IFERROR(MID(L117,FIND(".",L117,FIND(".",L117)+1)+1,99),"")</ns0:f>
        <ns0:v>99</ns0:v>
      </ns0:c>
      <ns0:c r="P117" s="0">
        <ns0:f>IFERROR(IF(FIND(".",L117)=5,--M117,--O117),0)</ns0:f>
        <ns0:v>0</ns0:v>
      </ns0:c>
      <ns0:c r="Q117" s="0">
        <ns0:f>IFERROR(--N117,0)</ns0:f>
        <ns0:v>0</ns0:v>
      </ns0:c>
      <ns0:c r="R117" s="0">
        <ns0:f>IFERROR(IF(FIND(".",L117)=5,--O117,--M117),0)</ns0:f>
        <ns0:v>0</ns0:v>
      </ns0:c>
      <ns0:c r="S117" s="0">
        <ns0:f>IFERROR(IF(AND(P117&gt;=2000,P117&lt;=2100,Q117&gt;=1,Q117&lt;=12,R117&gt;=1,R117&lt;=31),DATE(P117,Q117,R117),0),0)</ns0:f>
        <ns0:v>0</ns0:v>
      </ns0:c>
      <ns0:c r="T117" s="0">
        <ns0:f>IFERROR(IF(ISNUMBER(Bookings!D117),IF(AND(Bookings!D117=INT(Bookings!D117),Bookings!D117&gt;=DATE(2000,1,1),Bookings!D117&lt;=DATE(2100,12,31)),Bookings!D117,0),IF(AND(K117&lt;&gt;"",LEN("x"&amp;L117)-LEN(SUBSTITUTE("x"&amp;L117,".",""))=2,OR(1&gt;LEN(L117),MID(L117,1,1)=".",ISNUMBER(FIND("x"&amp;MID(L117,1,1),"x0x1x2x3x4x5x6x7x8x9"))),OR(2&gt;LEN(L117),MID(L117,2,1)=".",ISNUMBER(FIND("x"&amp;MID(L117,2,1),"x0x1x2x3x4x5x6x7x8x9"))),OR(3&gt;LEN(L117),MID(L117,3,1)=".",ISNUMBER(FIND("x"&amp;MID(L117,3,1),"x0x1x2x3x4x5x6x7x8x9"))),OR(4&gt;LEN(L117),MID(L117,4,1)=".",ISNUMBER(FIND("x"&amp;MID(L117,4,1),"x0x1x2x3x4x5x6x7x8x9"))),OR(5&gt;LEN(L117),MID(L117,5,1)=".",ISNUMBER(FIND("x"&amp;MID(L117,5,1),"x0x1x2x3x4x5x6x7x8x9"))),OR(6&gt;LEN(L117),MID(L117,6,1)=".",ISNUMBER(FIND("x"&amp;MID(L117,6,1),"x0x1x2x3x4x5x6x7x8x9"))),OR(7&gt;LEN(L117),MID(L117,7,1)=".",ISNUMBER(FIND("x"&amp;MID(L117,7,1),"x0x1x2x3x4x5x6x7x8x9"))),OR(8&gt;LEN(L117),MID(L117,8,1)=".",ISNUMBER(FIND("x"&amp;MID(L117,8,1),"x0x1x2x3x4x5x6x7x8x9"))),OR(9&gt;LEN(L117),MID(L117,9,1)=".",ISNUMBER(FIND("x"&amp;MID(L117,9,1),"x0x1x2x3x4x5x6x7x8x9"))),OR(10&gt;LEN(L117),MID(L117,10,1)=".",ISNUMBER(FIND("x"&amp;MID(L117,10,1),"x0x1x2x3x4x5x6x7x8x9"))),OR(AND(FIND(".",L117)=5,LEN(L117)-FIND(".",L117,FIND(".",L117)+1)&gt;=1,LEN(L117)-FIND(".",L117,FIND(".",L117)+1)&lt;=2),AND(LEN(L117)-FIND(".",L117,FIND(".",L117)+1)=4,FIND(".",L117)&gt;=2,FIND(".",L117)&lt;=3)),FIND(".",L117,FIND(".",L117)+1)-FIND(".",L117)&gt;=2,FIND(".",L117,FIND(".",L117)+1)-FIND(".",L117)&lt;=3,P117&gt;=2000,P117&lt;=2100,YEAR(S117)=P117,MONTH(S117)=Q117,DAY(S117)=R117),S117,0)),0)</ns0:f>
        <ns0:v>0</ns0:v>
      </ns0:c>
      <ns0:c r="U117" s="0" t="str">
        <ns0:f>IF(Bookings!C117="","Full day",Bookings!C117)</ns0:f>
        <ns0:v>Full day</ns0:v>
      </ns0:c>
      <ns0:c r="V117" s="0" t="str">
        <ns0:f>IF(Bookings!E117="","Full day",Bookings!E117)</ns0:f>
        <ns0:v>Full day</ns0:v>
      </ns0:c>
      <ns0:c r="W117" s="0">
        <ns0:f>IF(J117=0,0,J117+IF(U117="PM",1,0))</ns0:f>
        <ns0:v>0</ns0:v>
      </ns0:c>
      <ns0:c r="X117" s="0">
        <ns0:f>IF(T117=0,0,T117-IF(V117="PM",1,0))</ns0:f>
        <ns0:v>0</ns0:v>
      </ns0:c>
      <ns0:c r="Y117" s="0">
        <ns0:f>IF(J117=0,0,J117+IF(U117="AM",1,0))</ns0:f>
        <ns0:v>0</ns0:v>
      </ns0:c>
      <ns0:c r="Z117" s="0">
        <ns0:f>IF(T117=0,0,T117-IF(V117="AM",1,0))</ns0:f>
        <ns0:v>0</ns0:v>
      </ns0:c>
      <ns0:c r="AA117" s="0">
        <ns0:f>IFERROR(IF(AND(J117&gt;0,'_Engine'!C117&gt;0,MID('_Engine'!W117,WEEKDAY(J117,2),1)="W",COUNTIF(Settings!$F$18:$F$67,J117)=0),1,0),0)</ns0:f>
        <ns0:v>0</ns0:v>
      </ns0:c>
      <ns0:c r="AB117" s="0">
        <ns0:f>IFERROR(IF(AND(T117&gt;0,'_Engine'!C117&gt;0,MID('_Engine'!W117,WEEKDAY(T117,2),1)="W",COUNTIF(Settings!$F$18:$F$67,T117)=0),1,0),0)</ns0:f>
        <ns0:v>0</ns0:v>
      </ns0:c>
      <ns0:c r="AC117" s="0">
        <ns0:f>IF(AND(J117&gt;0,T117&gt;0,W117&lt;=X117),1,0)</ns0:f>
        <ns0:v>0</ns0:v>
      </ns0:c>
      <ns0:c r="AD117" s="0">
        <ns0:f>IF(AND(J117&gt;0,T117&gt;0,Y117&lt;=Z117),1,0)</ns0:f>
        <ns0:v>0</ns0:v>
      </ns0:c>
    </ns0:row>
    <ns0:row r="118">
      <ns0:c r="A118" s="0">
        <ns0:f>IFERROR(IF(ISNUMBER(Bookings!B118),"",TRIM(Bookings!B118&amp;"")),"")</ns0:f>
      </ns0:c>
      <ns0:c r="B118" s="0">
        <ns0:f>IFERROR(SUBSTITUTE(SUBSTITUTE(A118,"/","."),"-","."),"")</ns0:f>
      </ns0:c>
      <ns0:c r="C118" s="0">
        <ns0:f>IFERROR(LEFT(B118,FIND(".",B118)-1),"")</ns0:f>
      </ns0:c>
      <ns0:c r="D118" s="0">
        <ns0:f>IFERROR(MID(B118,FIND(".",B118)+1,FIND(".",B118,FIND(".",B118)+1)-FIND(".",B118)-1),"")</ns0:f>
      </ns0:c>
      <ns0:c r="E118" s="0">
        <ns0:f>IFERROR(MID(B118,FIND(".",B118,FIND(".",B118)+1)+1,99),"")</ns0:f>
        <ns0:v>99</ns0:v>
      </ns0:c>
      <ns0:c r="F118" s="0">
        <ns0:f>IFERROR(IF(FIND(".",B118)=5,--C118,--E118),0)</ns0:f>
        <ns0:v>0</ns0:v>
      </ns0:c>
      <ns0:c r="G118" s="0">
        <ns0:f>IFERROR(--D118,0)</ns0:f>
        <ns0:v>0</ns0:v>
      </ns0:c>
      <ns0:c r="H118" s="0">
        <ns0:f>IFERROR(IF(FIND(".",B118)=5,--E118,--C118),0)</ns0:f>
        <ns0:v>0</ns0:v>
      </ns0:c>
      <ns0:c r="I118" s="0">
        <ns0:f>IFERROR(IF(AND(F118&gt;=2000,F118&lt;=2100,G118&gt;=1,G118&lt;=12,H118&gt;=1,H118&lt;=31),DATE(F118,G118,H118),0),0)</ns0:f>
        <ns0:v>0</ns0:v>
      </ns0:c>
      <ns0:c r="J118" s="0">
        <ns0:f>IFERROR(IF(ISNUMBER(Bookings!B118),IF(AND(Bookings!B118=INT(Bookings!B118),Bookings!B118&gt;=DATE(2000,1,1),Bookings!B118&lt;=DATE(2100,12,31)),Bookings!B118,0),IF(AND(A118&lt;&gt;"",LEN("x"&amp;B118)-LEN(SUBSTITUTE("x"&amp;B118,".",""))=2,OR(1&gt;LEN(B118),MID(B118,1,1)=".",ISNUMBER(FIND("x"&amp;MID(B118,1,1),"x0x1x2x3x4x5x6x7x8x9"))),OR(2&gt;LEN(B118),MID(B118,2,1)=".",ISNUMBER(FIND("x"&amp;MID(B118,2,1),"x0x1x2x3x4x5x6x7x8x9"))),OR(3&gt;LEN(B118),MID(B118,3,1)=".",ISNUMBER(FIND("x"&amp;MID(B118,3,1),"x0x1x2x3x4x5x6x7x8x9"))),OR(4&gt;LEN(B118),MID(B118,4,1)=".",ISNUMBER(FIND("x"&amp;MID(B118,4,1),"x0x1x2x3x4x5x6x7x8x9"))),OR(5&gt;LEN(B118),MID(B118,5,1)=".",ISNUMBER(FIND("x"&amp;MID(B118,5,1),"x0x1x2x3x4x5x6x7x8x9"))),OR(6&gt;LEN(B118),MID(B118,6,1)=".",ISNUMBER(FIND("x"&amp;MID(B118,6,1),"x0x1x2x3x4x5x6x7x8x9"))),OR(7&gt;LEN(B118),MID(B118,7,1)=".",ISNUMBER(FIND("x"&amp;MID(B118,7,1),"x0x1x2x3x4x5x6x7x8x9"))),OR(8&gt;LEN(B118),MID(B118,8,1)=".",ISNUMBER(FIND("x"&amp;MID(B118,8,1),"x0x1x2x3x4x5x6x7x8x9"))),OR(9&gt;LEN(B118),MID(B118,9,1)=".",ISNUMBER(FIND("x"&amp;MID(B118,9,1),"x0x1x2x3x4x5x6x7x8x9"))),OR(10&gt;LEN(B118),MID(B118,10,1)=".",ISNUMBER(FIND("x"&amp;MID(B118,10,1),"x0x1x2x3x4x5x6x7x8x9"))),OR(AND(FIND(".",B118)=5,LEN(B118)-FIND(".",B118,FIND(".",B118)+1)&gt;=1,LEN(B118)-FIND(".",B118,FIND(".",B118)+1)&lt;=2),AND(LEN(B118)-FIND(".",B118,FIND(".",B118)+1)=4,FIND(".",B118)&gt;=2,FIND(".",B118)&lt;=3)),FIND(".",B118,FIND(".",B118)+1)-FIND(".",B118)&gt;=2,FIND(".",B118,FIND(".",B118)+1)-FIND(".",B118)&lt;=3,F118&gt;=2000,F118&lt;=2100,YEAR(I118)=F118,MONTH(I118)=G118,DAY(I118)=H118),I118,0)),0)</ns0:f>
        <ns0:v>0</ns0:v>
      </ns0:c>
      <ns0:c r="K118" s="0">
        <ns0:f>IFERROR(IF(ISNUMBER(Bookings!D118),"",TRIM(Bookings!D118&amp;"")),"")</ns0:f>
      </ns0:c>
      <ns0:c r="L118" s="0">
        <ns0:f>IFERROR(SUBSTITUTE(SUBSTITUTE(K118,"/","."),"-","."),"")</ns0:f>
      </ns0:c>
      <ns0:c r="M118" s="0">
        <ns0:f>IFERROR(LEFT(L118,FIND(".",L118)-1),"")</ns0:f>
      </ns0:c>
      <ns0:c r="N118" s="0">
        <ns0:f>IFERROR(MID(L118,FIND(".",L118)+1,FIND(".",L118,FIND(".",L118)+1)-FIND(".",L118)-1),"")</ns0:f>
      </ns0:c>
      <ns0:c r="O118" s="0">
        <ns0:f>IFERROR(MID(L118,FIND(".",L118,FIND(".",L118)+1)+1,99),"")</ns0:f>
        <ns0:v>99</ns0:v>
      </ns0:c>
      <ns0:c r="P118" s="0">
        <ns0:f>IFERROR(IF(FIND(".",L118)=5,--M118,--O118),0)</ns0:f>
        <ns0:v>0</ns0:v>
      </ns0:c>
      <ns0:c r="Q118" s="0">
        <ns0:f>IFERROR(--N118,0)</ns0:f>
        <ns0:v>0</ns0:v>
      </ns0:c>
      <ns0:c r="R118" s="0">
        <ns0:f>IFERROR(IF(FIND(".",L118)=5,--O118,--M118),0)</ns0:f>
        <ns0:v>0</ns0:v>
      </ns0:c>
      <ns0:c r="S118" s="0">
        <ns0:f>IFERROR(IF(AND(P118&gt;=2000,P118&lt;=2100,Q118&gt;=1,Q118&lt;=12,R118&gt;=1,R118&lt;=31),DATE(P118,Q118,R118),0),0)</ns0:f>
        <ns0:v>0</ns0:v>
      </ns0:c>
      <ns0:c r="T118" s="0">
        <ns0:f>IFERROR(IF(ISNUMBER(Bookings!D118),IF(AND(Bookings!D118=INT(Bookings!D118),Bookings!D118&gt;=DATE(2000,1,1),Bookings!D118&lt;=DATE(2100,12,31)),Bookings!D118,0),IF(AND(K118&lt;&gt;"",LEN("x"&amp;L118)-LEN(SUBSTITUTE("x"&amp;L118,".",""))=2,OR(1&gt;LEN(L118),MID(L118,1,1)=".",ISNUMBER(FIND("x"&amp;MID(L118,1,1),"x0x1x2x3x4x5x6x7x8x9"))),OR(2&gt;LEN(L118),MID(L118,2,1)=".",ISNUMBER(FIND("x"&amp;MID(L118,2,1),"x0x1x2x3x4x5x6x7x8x9"))),OR(3&gt;LEN(L118),MID(L118,3,1)=".",ISNUMBER(FIND("x"&amp;MID(L118,3,1),"x0x1x2x3x4x5x6x7x8x9"))),OR(4&gt;LEN(L118),MID(L118,4,1)=".",ISNUMBER(FIND("x"&amp;MID(L118,4,1),"x0x1x2x3x4x5x6x7x8x9"))),OR(5&gt;LEN(L118),MID(L118,5,1)=".",ISNUMBER(FIND("x"&amp;MID(L118,5,1),"x0x1x2x3x4x5x6x7x8x9"))),OR(6&gt;LEN(L118),MID(L118,6,1)=".",ISNUMBER(FIND("x"&amp;MID(L118,6,1),"x0x1x2x3x4x5x6x7x8x9"))),OR(7&gt;LEN(L118),MID(L118,7,1)=".",ISNUMBER(FIND("x"&amp;MID(L118,7,1),"x0x1x2x3x4x5x6x7x8x9"))),OR(8&gt;LEN(L118),MID(L118,8,1)=".",ISNUMBER(FIND("x"&amp;MID(L118,8,1),"x0x1x2x3x4x5x6x7x8x9"))),OR(9&gt;LEN(L118),MID(L118,9,1)=".",ISNUMBER(FIND("x"&amp;MID(L118,9,1),"x0x1x2x3x4x5x6x7x8x9"))),OR(10&gt;LEN(L118),MID(L118,10,1)=".",ISNUMBER(FIND("x"&amp;MID(L118,10,1),"x0x1x2x3x4x5x6x7x8x9"))),OR(AND(FIND(".",L118)=5,LEN(L118)-FIND(".",L118,FIND(".",L118)+1)&gt;=1,LEN(L118)-FIND(".",L118,FIND(".",L118)+1)&lt;=2),AND(LEN(L118)-FIND(".",L118,FIND(".",L118)+1)=4,FIND(".",L118)&gt;=2,FIND(".",L118)&lt;=3)),FIND(".",L118,FIND(".",L118)+1)-FIND(".",L118)&gt;=2,FIND(".",L118,FIND(".",L118)+1)-FIND(".",L118)&lt;=3,P118&gt;=2000,P118&lt;=2100,YEAR(S118)=P118,MONTH(S118)=Q118,DAY(S118)=R118),S118,0)),0)</ns0:f>
        <ns0:v>0</ns0:v>
      </ns0:c>
      <ns0:c r="U118" s="0" t="str">
        <ns0:f>IF(Bookings!C118="","Full day",Bookings!C118)</ns0:f>
        <ns0:v>Full day</ns0:v>
      </ns0:c>
      <ns0:c r="V118" s="0" t="str">
        <ns0:f>IF(Bookings!E118="","Full day",Bookings!E118)</ns0:f>
        <ns0:v>Full day</ns0:v>
      </ns0:c>
      <ns0:c r="W118" s="0">
        <ns0:f>IF(J118=0,0,J118+IF(U118="PM",1,0))</ns0:f>
        <ns0:v>0</ns0:v>
      </ns0:c>
      <ns0:c r="X118" s="0">
        <ns0:f>IF(T118=0,0,T118-IF(V118="PM",1,0))</ns0:f>
        <ns0:v>0</ns0:v>
      </ns0:c>
      <ns0:c r="Y118" s="0">
        <ns0:f>IF(J118=0,0,J118+IF(U118="AM",1,0))</ns0:f>
        <ns0:v>0</ns0:v>
      </ns0:c>
      <ns0:c r="Z118" s="0">
        <ns0:f>IF(T118=0,0,T118-IF(V118="AM",1,0))</ns0:f>
        <ns0:v>0</ns0:v>
      </ns0:c>
      <ns0:c r="AA118" s="0">
        <ns0:f>IFERROR(IF(AND(J118&gt;0,'_Engine'!C118&gt;0,MID('_Engine'!W118,WEEKDAY(J118,2),1)="W",COUNTIF(Settings!$F$18:$F$67,J118)=0),1,0),0)</ns0:f>
        <ns0:v>0</ns0:v>
      </ns0:c>
      <ns0:c r="AB118" s="0">
        <ns0:f>IFERROR(IF(AND(T118&gt;0,'_Engine'!C118&gt;0,MID('_Engine'!W118,WEEKDAY(T118,2),1)="W",COUNTIF(Settings!$F$18:$F$67,T118)=0),1,0),0)</ns0:f>
        <ns0:v>0</ns0:v>
      </ns0:c>
      <ns0:c r="AC118" s="0">
        <ns0:f>IF(AND(J118&gt;0,T118&gt;0,W118&lt;=X118),1,0)</ns0:f>
        <ns0:v>0</ns0:v>
      </ns0:c>
      <ns0:c r="AD118" s="0">
        <ns0:f>IF(AND(J118&gt;0,T118&gt;0,Y118&lt;=Z118),1,0)</ns0:f>
        <ns0:v>0</ns0:v>
      </ns0:c>
    </ns0:row>
    <ns0:row r="119">
      <ns0:c r="A119" s="0">
        <ns0:f>IFERROR(IF(ISNUMBER(Bookings!B119),"",TRIM(Bookings!B119&amp;"")),"")</ns0:f>
      </ns0:c>
      <ns0:c r="B119" s="0">
        <ns0:f>IFERROR(SUBSTITUTE(SUBSTITUTE(A119,"/","."),"-","."),"")</ns0:f>
      </ns0:c>
      <ns0:c r="C119" s="0">
        <ns0:f>IFERROR(LEFT(B119,FIND(".",B119)-1),"")</ns0:f>
      </ns0:c>
      <ns0:c r="D119" s="0">
        <ns0:f>IFERROR(MID(B119,FIND(".",B119)+1,FIND(".",B119,FIND(".",B119)+1)-FIND(".",B119)-1),"")</ns0:f>
      </ns0:c>
      <ns0:c r="E119" s="0">
        <ns0:f>IFERROR(MID(B119,FIND(".",B119,FIND(".",B119)+1)+1,99),"")</ns0:f>
        <ns0:v>99</ns0:v>
      </ns0:c>
      <ns0:c r="F119" s="0">
        <ns0:f>IFERROR(IF(FIND(".",B119)=5,--C119,--E119),0)</ns0:f>
        <ns0:v>0</ns0:v>
      </ns0:c>
      <ns0:c r="G119" s="0">
        <ns0:f>IFERROR(--D119,0)</ns0:f>
        <ns0:v>0</ns0:v>
      </ns0:c>
      <ns0:c r="H119" s="0">
        <ns0:f>IFERROR(IF(FIND(".",B119)=5,--E119,--C119),0)</ns0:f>
        <ns0:v>0</ns0:v>
      </ns0:c>
      <ns0:c r="I119" s="0">
        <ns0:f>IFERROR(IF(AND(F119&gt;=2000,F119&lt;=2100,G119&gt;=1,G119&lt;=12,H119&gt;=1,H119&lt;=31),DATE(F119,G119,H119),0),0)</ns0:f>
        <ns0:v>0</ns0:v>
      </ns0:c>
      <ns0:c r="J119" s="0">
        <ns0:f>IFERROR(IF(ISNUMBER(Bookings!B119),IF(AND(Bookings!B119=INT(Bookings!B119),Bookings!B119&gt;=DATE(2000,1,1),Bookings!B119&lt;=DATE(2100,12,31)),Bookings!B119,0),IF(AND(A119&lt;&gt;"",LEN("x"&amp;B119)-LEN(SUBSTITUTE("x"&amp;B119,".",""))=2,OR(1&gt;LEN(B119),MID(B119,1,1)=".",ISNUMBER(FIND("x"&amp;MID(B119,1,1),"x0x1x2x3x4x5x6x7x8x9"))),OR(2&gt;LEN(B119),MID(B119,2,1)=".",ISNUMBER(FIND("x"&amp;MID(B119,2,1),"x0x1x2x3x4x5x6x7x8x9"))),OR(3&gt;LEN(B119),MID(B119,3,1)=".",ISNUMBER(FIND("x"&amp;MID(B119,3,1),"x0x1x2x3x4x5x6x7x8x9"))),OR(4&gt;LEN(B119),MID(B119,4,1)=".",ISNUMBER(FIND("x"&amp;MID(B119,4,1),"x0x1x2x3x4x5x6x7x8x9"))),OR(5&gt;LEN(B119),MID(B119,5,1)=".",ISNUMBER(FIND("x"&amp;MID(B119,5,1),"x0x1x2x3x4x5x6x7x8x9"))),OR(6&gt;LEN(B119),MID(B119,6,1)=".",ISNUMBER(FIND("x"&amp;MID(B119,6,1),"x0x1x2x3x4x5x6x7x8x9"))),OR(7&gt;LEN(B119),MID(B119,7,1)=".",ISNUMBER(FIND("x"&amp;MID(B119,7,1),"x0x1x2x3x4x5x6x7x8x9"))),OR(8&gt;LEN(B119),MID(B119,8,1)=".",ISNUMBER(FIND("x"&amp;MID(B119,8,1),"x0x1x2x3x4x5x6x7x8x9"))),OR(9&gt;LEN(B119),MID(B119,9,1)=".",ISNUMBER(FIND("x"&amp;MID(B119,9,1),"x0x1x2x3x4x5x6x7x8x9"))),OR(10&gt;LEN(B119),MID(B119,10,1)=".",ISNUMBER(FIND("x"&amp;MID(B119,10,1),"x0x1x2x3x4x5x6x7x8x9"))),OR(AND(FIND(".",B119)=5,LEN(B119)-FIND(".",B119,FIND(".",B119)+1)&gt;=1,LEN(B119)-FIND(".",B119,FIND(".",B119)+1)&lt;=2),AND(LEN(B119)-FIND(".",B119,FIND(".",B119)+1)=4,FIND(".",B119)&gt;=2,FIND(".",B119)&lt;=3)),FIND(".",B119,FIND(".",B119)+1)-FIND(".",B119)&gt;=2,FIND(".",B119,FIND(".",B119)+1)-FIND(".",B119)&lt;=3,F119&gt;=2000,F119&lt;=2100,YEAR(I119)=F119,MONTH(I119)=G119,DAY(I119)=H119),I119,0)),0)</ns0:f>
        <ns0:v>0</ns0:v>
      </ns0:c>
      <ns0:c r="K119" s="0">
        <ns0:f>IFERROR(IF(ISNUMBER(Bookings!D119),"",TRIM(Bookings!D119&amp;"")),"")</ns0:f>
      </ns0:c>
      <ns0:c r="L119" s="0">
        <ns0:f>IFERROR(SUBSTITUTE(SUBSTITUTE(K119,"/","."),"-","."),"")</ns0:f>
      </ns0:c>
      <ns0:c r="M119" s="0">
        <ns0:f>IFERROR(LEFT(L119,FIND(".",L119)-1),"")</ns0:f>
      </ns0:c>
      <ns0:c r="N119" s="0">
        <ns0:f>IFERROR(MID(L119,FIND(".",L119)+1,FIND(".",L119,FIND(".",L119)+1)-FIND(".",L119)-1),"")</ns0:f>
      </ns0:c>
      <ns0:c r="O119" s="0">
        <ns0:f>IFERROR(MID(L119,FIND(".",L119,FIND(".",L119)+1)+1,99),"")</ns0:f>
        <ns0:v>99</ns0:v>
      </ns0:c>
      <ns0:c r="P119" s="0">
        <ns0:f>IFERROR(IF(FIND(".",L119)=5,--M119,--O119),0)</ns0:f>
        <ns0:v>0</ns0:v>
      </ns0:c>
      <ns0:c r="Q119" s="0">
        <ns0:f>IFERROR(--N119,0)</ns0:f>
        <ns0:v>0</ns0:v>
      </ns0:c>
      <ns0:c r="R119" s="0">
        <ns0:f>IFERROR(IF(FIND(".",L119)=5,--O119,--M119),0)</ns0:f>
        <ns0:v>0</ns0:v>
      </ns0:c>
      <ns0:c r="S119" s="0">
        <ns0:f>IFERROR(IF(AND(P119&gt;=2000,P119&lt;=2100,Q119&gt;=1,Q119&lt;=12,R119&gt;=1,R119&lt;=31),DATE(P119,Q119,R119),0),0)</ns0:f>
        <ns0:v>0</ns0:v>
      </ns0:c>
      <ns0:c r="T119" s="0">
        <ns0:f>IFERROR(IF(ISNUMBER(Bookings!D119),IF(AND(Bookings!D119=INT(Bookings!D119),Bookings!D119&gt;=DATE(2000,1,1),Bookings!D119&lt;=DATE(2100,12,31)),Bookings!D119,0),IF(AND(K119&lt;&gt;"",LEN("x"&amp;L119)-LEN(SUBSTITUTE("x"&amp;L119,".",""))=2,OR(1&gt;LEN(L119),MID(L119,1,1)=".",ISNUMBER(FIND("x"&amp;MID(L119,1,1),"x0x1x2x3x4x5x6x7x8x9"))),OR(2&gt;LEN(L119),MID(L119,2,1)=".",ISNUMBER(FIND("x"&amp;MID(L119,2,1),"x0x1x2x3x4x5x6x7x8x9"))),OR(3&gt;LEN(L119),MID(L119,3,1)=".",ISNUMBER(FIND("x"&amp;MID(L119,3,1),"x0x1x2x3x4x5x6x7x8x9"))),OR(4&gt;LEN(L119),MID(L119,4,1)=".",ISNUMBER(FIND("x"&amp;MID(L119,4,1),"x0x1x2x3x4x5x6x7x8x9"))),OR(5&gt;LEN(L119),MID(L119,5,1)=".",ISNUMBER(FIND("x"&amp;MID(L119,5,1),"x0x1x2x3x4x5x6x7x8x9"))),OR(6&gt;LEN(L119),MID(L119,6,1)=".",ISNUMBER(FIND("x"&amp;MID(L119,6,1),"x0x1x2x3x4x5x6x7x8x9"))),OR(7&gt;LEN(L119),MID(L119,7,1)=".",ISNUMBER(FIND("x"&amp;MID(L119,7,1),"x0x1x2x3x4x5x6x7x8x9"))),OR(8&gt;LEN(L119),MID(L119,8,1)=".",ISNUMBER(FIND("x"&amp;MID(L119,8,1),"x0x1x2x3x4x5x6x7x8x9"))),OR(9&gt;LEN(L119),MID(L119,9,1)=".",ISNUMBER(FIND("x"&amp;MID(L119,9,1),"x0x1x2x3x4x5x6x7x8x9"))),OR(10&gt;LEN(L119),MID(L119,10,1)=".",ISNUMBER(FIND("x"&amp;MID(L119,10,1),"x0x1x2x3x4x5x6x7x8x9"))),OR(AND(FIND(".",L119)=5,LEN(L119)-FIND(".",L119,FIND(".",L119)+1)&gt;=1,LEN(L119)-FIND(".",L119,FIND(".",L119)+1)&lt;=2),AND(LEN(L119)-FIND(".",L119,FIND(".",L119)+1)=4,FIND(".",L119)&gt;=2,FIND(".",L119)&lt;=3)),FIND(".",L119,FIND(".",L119)+1)-FIND(".",L119)&gt;=2,FIND(".",L119,FIND(".",L119)+1)-FIND(".",L119)&lt;=3,P119&gt;=2000,P119&lt;=2100,YEAR(S119)=P119,MONTH(S119)=Q119,DAY(S119)=R119),S119,0)),0)</ns0:f>
        <ns0:v>0</ns0:v>
      </ns0:c>
      <ns0:c r="U119" s="0" t="str">
        <ns0:f>IF(Bookings!C119="","Full day",Bookings!C119)</ns0:f>
        <ns0:v>Full day</ns0:v>
      </ns0:c>
      <ns0:c r="V119" s="0" t="str">
        <ns0:f>IF(Bookings!E119="","Full day",Bookings!E119)</ns0:f>
        <ns0:v>Full day</ns0:v>
      </ns0:c>
      <ns0:c r="W119" s="0">
        <ns0:f>IF(J119=0,0,J119+IF(U119="PM",1,0))</ns0:f>
        <ns0:v>0</ns0:v>
      </ns0:c>
      <ns0:c r="X119" s="0">
        <ns0:f>IF(T119=0,0,T119-IF(V119="PM",1,0))</ns0:f>
        <ns0:v>0</ns0:v>
      </ns0:c>
      <ns0:c r="Y119" s="0">
        <ns0:f>IF(J119=0,0,J119+IF(U119="AM",1,0))</ns0:f>
        <ns0:v>0</ns0:v>
      </ns0:c>
      <ns0:c r="Z119" s="0">
        <ns0:f>IF(T119=0,0,T119-IF(V119="AM",1,0))</ns0:f>
        <ns0:v>0</ns0:v>
      </ns0:c>
      <ns0:c r="AA119" s="0">
        <ns0:f>IFERROR(IF(AND(J119&gt;0,'_Engine'!C119&gt;0,MID('_Engine'!W119,WEEKDAY(J119,2),1)="W",COUNTIF(Settings!$F$18:$F$67,J119)=0),1,0),0)</ns0:f>
        <ns0:v>0</ns0:v>
      </ns0:c>
      <ns0:c r="AB119" s="0">
        <ns0:f>IFERROR(IF(AND(T119&gt;0,'_Engine'!C119&gt;0,MID('_Engine'!W119,WEEKDAY(T119,2),1)="W",COUNTIF(Settings!$F$18:$F$67,T119)=0),1,0),0)</ns0:f>
        <ns0:v>0</ns0:v>
      </ns0:c>
      <ns0:c r="AC119" s="0">
        <ns0:f>IF(AND(J119&gt;0,T119&gt;0,W119&lt;=X119),1,0)</ns0:f>
        <ns0:v>0</ns0:v>
      </ns0:c>
      <ns0:c r="AD119" s="0">
        <ns0:f>IF(AND(J119&gt;0,T119&gt;0,Y119&lt;=Z119),1,0)</ns0:f>
        <ns0:v>0</ns0:v>
      </ns0:c>
    </ns0:row>
    <ns0:row r="120">
      <ns0:c r="A120" s="0">
        <ns0:f>IFERROR(IF(ISNUMBER(Bookings!B120),"",TRIM(Bookings!B120&amp;"")),"")</ns0:f>
      </ns0:c>
      <ns0:c r="B120" s="0">
        <ns0:f>IFERROR(SUBSTITUTE(SUBSTITUTE(A120,"/","."),"-","."),"")</ns0:f>
      </ns0:c>
      <ns0:c r="C120" s="0">
        <ns0:f>IFERROR(LEFT(B120,FIND(".",B120)-1),"")</ns0:f>
      </ns0:c>
      <ns0:c r="D120" s="0">
        <ns0:f>IFERROR(MID(B120,FIND(".",B120)+1,FIND(".",B120,FIND(".",B120)+1)-FIND(".",B120)-1),"")</ns0:f>
      </ns0:c>
      <ns0:c r="E120" s="0">
        <ns0:f>IFERROR(MID(B120,FIND(".",B120,FIND(".",B120)+1)+1,99),"")</ns0:f>
        <ns0:v>99</ns0:v>
      </ns0:c>
      <ns0:c r="F120" s="0">
        <ns0:f>IFERROR(IF(FIND(".",B120)=5,--C120,--E120),0)</ns0:f>
        <ns0:v>0</ns0:v>
      </ns0:c>
      <ns0:c r="G120" s="0">
        <ns0:f>IFERROR(--D120,0)</ns0:f>
        <ns0:v>0</ns0:v>
      </ns0:c>
      <ns0:c r="H120" s="0">
        <ns0:f>IFERROR(IF(FIND(".",B120)=5,--E120,--C120),0)</ns0:f>
        <ns0:v>0</ns0:v>
      </ns0:c>
      <ns0:c r="I120" s="0">
        <ns0:f>IFERROR(IF(AND(F120&gt;=2000,F120&lt;=2100,G120&gt;=1,G120&lt;=12,H120&gt;=1,H120&lt;=31),DATE(F120,G120,H120),0),0)</ns0:f>
        <ns0:v>0</ns0:v>
      </ns0:c>
      <ns0:c r="J120" s="0">
        <ns0:f>IFERROR(IF(ISNUMBER(Bookings!B120),IF(AND(Bookings!B120=INT(Bookings!B120),Bookings!B120&gt;=DATE(2000,1,1),Bookings!B120&lt;=DATE(2100,12,31)),Bookings!B120,0),IF(AND(A120&lt;&gt;"",LEN("x"&amp;B120)-LEN(SUBSTITUTE("x"&amp;B120,".",""))=2,OR(1&gt;LEN(B120),MID(B120,1,1)=".",ISNUMBER(FIND("x"&amp;MID(B120,1,1),"x0x1x2x3x4x5x6x7x8x9"))),OR(2&gt;LEN(B120),MID(B120,2,1)=".",ISNUMBER(FIND("x"&amp;MID(B120,2,1),"x0x1x2x3x4x5x6x7x8x9"))),OR(3&gt;LEN(B120),MID(B120,3,1)=".",ISNUMBER(FIND("x"&amp;MID(B120,3,1),"x0x1x2x3x4x5x6x7x8x9"))),OR(4&gt;LEN(B120),MID(B120,4,1)=".",ISNUMBER(FIND("x"&amp;MID(B120,4,1),"x0x1x2x3x4x5x6x7x8x9"))),OR(5&gt;LEN(B120),MID(B120,5,1)=".",ISNUMBER(FIND("x"&amp;MID(B120,5,1),"x0x1x2x3x4x5x6x7x8x9"))),OR(6&gt;LEN(B120),MID(B120,6,1)=".",ISNUMBER(FIND("x"&amp;MID(B120,6,1),"x0x1x2x3x4x5x6x7x8x9"))),OR(7&gt;LEN(B120),MID(B120,7,1)=".",ISNUMBER(FIND("x"&amp;MID(B120,7,1),"x0x1x2x3x4x5x6x7x8x9"))),OR(8&gt;LEN(B120),MID(B120,8,1)=".",ISNUMBER(FIND("x"&amp;MID(B120,8,1),"x0x1x2x3x4x5x6x7x8x9"))),OR(9&gt;LEN(B120),MID(B120,9,1)=".",ISNUMBER(FIND("x"&amp;MID(B120,9,1),"x0x1x2x3x4x5x6x7x8x9"))),OR(10&gt;LEN(B120),MID(B120,10,1)=".",ISNUMBER(FIND("x"&amp;MID(B120,10,1),"x0x1x2x3x4x5x6x7x8x9"))),OR(AND(FIND(".",B120)=5,LEN(B120)-FIND(".",B120,FIND(".",B120)+1)&gt;=1,LEN(B120)-FIND(".",B120,FIND(".",B120)+1)&lt;=2),AND(LEN(B120)-FIND(".",B120,FIND(".",B120)+1)=4,FIND(".",B120)&gt;=2,FIND(".",B120)&lt;=3)),FIND(".",B120,FIND(".",B120)+1)-FIND(".",B120)&gt;=2,FIND(".",B120,FIND(".",B120)+1)-FIND(".",B120)&lt;=3,F120&gt;=2000,F120&lt;=2100,YEAR(I120)=F120,MONTH(I120)=G120,DAY(I120)=H120),I120,0)),0)</ns0:f>
        <ns0:v>0</ns0:v>
      </ns0:c>
      <ns0:c r="K120" s="0">
        <ns0:f>IFERROR(IF(ISNUMBER(Bookings!D120),"",TRIM(Bookings!D120&amp;"")),"")</ns0:f>
      </ns0:c>
      <ns0:c r="L120" s="0">
        <ns0:f>IFERROR(SUBSTITUTE(SUBSTITUTE(K120,"/","."),"-","."),"")</ns0:f>
      </ns0:c>
      <ns0:c r="M120" s="0">
        <ns0:f>IFERROR(LEFT(L120,FIND(".",L120)-1),"")</ns0:f>
      </ns0:c>
      <ns0:c r="N120" s="0">
        <ns0:f>IFERROR(MID(L120,FIND(".",L120)+1,FIND(".",L120,FIND(".",L120)+1)-FIND(".",L120)-1),"")</ns0:f>
      </ns0:c>
      <ns0:c r="O120" s="0">
        <ns0:f>IFERROR(MID(L120,FIND(".",L120,FIND(".",L120)+1)+1,99),"")</ns0:f>
        <ns0:v>99</ns0:v>
      </ns0:c>
      <ns0:c r="P120" s="0">
        <ns0:f>IFERROR(IF(FIND(".",L120)=5,--M120,--O120),0)</ns0:f>
        <ns0:v>0</ns0:v>
      </ns0:c>
      <ns0:c r="Q120" s="0">
        <ns0:f>IFERROR(--N120,0)</ns0:f>
        <ns0:v>0</ns0:v>
      </ns0:c>
      <ns0:c r="R120" s="0">
        <ns0:f>IFERROR(IF(FIND(".",L120)=5,--O120,--M120),0)</ns0:f>
        <ns0:v>0</ns0:v>
      </ns0:c>
      <ns0:c r="S120" s="0">
        <ns0:f>IFERROR(IF(AND(P120&gt;=2000,P120&lt;=2100,Q120&gt;=1,Q120&lt;=12,R120&gt;=1,R120&lt;=31),DATE(P120,Q120,R120),0),0)</ns0:f>
        <ns0:v>0</ns0:v>
      </ns0:c>
      <ns0:c r="T120" s="0">
        <ns0:f>IFERROR(IF(ISNUMBER(Bookings!D120),IF(AND(Bookings!D120=INT(Bookings!D120),Bookings!D120&gt;=DATE(2000,1,1),Bookings!D120&lt;=DATE(2100,12,31)),Bookings!D120,0),IF(AND(K120&lt;&gt;"",LEN("x"&amp;L120)-LEN(SUBSTITUTE("x"&amp;L120,".",""))=2,OR(1&gt;LEN(L120),MID(L120,1,1)=".",ISNUMBER(FIND("x"&amp;MID(L120,1,1),"x0x1x2x3x4x5x6x7x8x9"))),OR(2&gt;LEN(L120),MID(L120,2,1)=".",ISNUMBER(FIND("x"&amp;MID(L120,2,1),"x0x1x2x3x4x5x6x7x8x9"))),OR(3&gt;LEN(L120),MID(L120,3,1)=".",ISNUMBER(FIND("x"&amp;MID(L120,3,1),"x0x1x2x3x4x5x6x7x8x9"))),OR(4&gt;LEN(L120),MID(L120,4,1)=".",ISNUMBER(FIND("x"&amp;MID(L120,4,1),"x0x1x2x3x4x5x6x7x8x9"))),OR(5&gt;LEN(L120),MID(L120,5,1)=".",ISNUMBER(FIND("x"&amp;MID(L120,5,1),"x0x1x2x3x4x5x6x7x8x9"))),OR(6&gt;LEN(L120),MID(L120,6,1)=".",ISNUMBER(FIND("x"&amp;MID(L120,6,1),"x0x1x2x3x4x5x6x7x8x9"))),OR(7&gt;LEN(L120),MID(L120,7,1)=".",ISNUMBER(FIND("x"&amp;MID(L120,7,1),"x0x1x2x3x4x5x6x7x8x9"))),OR(8&gt;LEN(L120),MID(L120,8,1)=".",ISNUMBER(FIND("x"&amp;MID(L120,8,1),"x0x1x2x3x4x5x6x7x8x9"))),OR(9&gt;LEN(L120),MID(L120,9,1)=".",ISNUMBER(FIND("x"&amp;MID(L120,9,1),"x0x1x2x3x4x5x6x7x8x9"))),OR(10&gt;LEN(L120),MID(L120,10,1)=".",ISNUMBER(FIND("x"&amp;MID(L120,10,1),"x0x1x2x3x4x5x6x7x8x9"))),OR(AND(FIND(".",L120)=5,LEN(L120)-FIND(".",L120,FIND(".",L120)+1)&gt;=1,LEN(L120)-FIND(".",L120,FIND(".",L120)+1)&lt;=2),AND(LEN(L120)-FIND(".",L120,FIND(".",L120)+1)=4,FIND(".",L120)&gt;=2,FIND(".",L120)&lt;=3)),FIND(".",L120,FIND(".",L120)+1)-FIND(".",L120)&gt;=2,FIND(".",L120,FIND(".",L120)+1)-FIND(".",L120)&lt;=3,P120&gt;=2000,P120&lt;=2100,YEAR(S120)=P120,MONTH(S120)=Q120,DAY(S120)=R120),S120,0)),0)</ns0:f>
        <ns0:v>0</ns0:v>
      </ns0:c>
      <ns0:c r="U120" s="0" t="str">
        <ns0:f>IF(Bookings!C120="","Full day",Bookings!C120)</ns0:f>
        <ns0:v>Full day</ns0:v>
      </ns0:c>
      <ns0:c r="V120" s="0" t="str">
        <ns0:f>IF(Bookings!E120="","Full day",Bookings!E120)</ns0:f>
        <ns0:v>Full day</ns0:v>
      </ns0:c>
      <ns0:c r="W120" s="0">
        <ns0:f>IF(J120=0,0,J120+IF(U120="PM",1,0))</ns0:f>
        <ns0:v>0</ns0:v>
      </ns0:c>
      <ns0:c r="X120" s="0">
        <ns0:f>IF(T120=0,0,T120-IF(V120="PM",1,0))</ns0:f>
        <ns0:v>0</ns0:v>
      </ns0:c>
      <ns0:c r="Y120" s="0">
        <ns0:f>IF(J120=0,0,J120+IF(U120="AM",1,0))</ns0:f>
        <ns0:v>0</ns0:v>
      </ns0:c>
      <ns0:c r="Z120" s="0">
        <ns0:f>IF(T120=0,0,T120-IF(V120="AM",1,0))</ns0:f>
        <ns0:v>0</ns0:v>
      </ns0:c>
      <ns0:c r="AA120" s="0">
        <ns0:f>IFERROR(IF(AND(J120&gt;0,'_Engine'!C120&gt;0,MID('_Engine'!W120,WEEKDAY(J120,2),1)="W",COUNTIF(Settings!$F$18:$F$67,J120)=0),1,0),0)</ns0:f>
        <ns0:v>0</ns0:v>
      </ns0:c>
      <ns0:c r="AB120" s="0">
        <ns0:f>IFERROR(IF(AND(T120&gt;0,'_Engine'!C120&gt;0,MID('_Engine'!W120,WEEKDAY(T120,2),1)="W",COUNTIF(Settings!$F$18:$F$67,T120)=0),1,0),0)</ns0:f>
        <ns0:v>0</ns0:v>
      </ns0:c>
      <ns0:c r="AC120" s="0">
        <ns0:f>IF(AND(J120&gt;0,T120&gt;0,W120&lt;=X120),1,0)</ns0:f>
        <ns0:v>0</ns0:v>
      </ns0:c>
      <ns0:c r="AD120" s="0">
        <ns0:f>IF(AND(J120&gt;0,T120&gt;0,Y120&lt;=Z120),1,0)</ns0:f>
        <ns0:v>0</ns0:v>
      </ns0:c>
    </ns0:row>
    <ns0:row r="121">
      <ns0:c r="A121" s="0">
        <ns0:f>IFERROR(IF(ISNUMBER(Bookings!B121),"",TRIM(Bookings!B121&amp;"")),"")</ns0:f>
      </ns0:c>
      <ns0:c r="B121" s="0">
        <ns0:f>IFERROR(SUBSTITUTE(SUBSTITUTE(A121,"/","."),"-","."),"")</ns0:f>
      </ns0:c>
      <ns0:c r="C121" s="0">
        <ns0:f>IFERROR(LEFT(B121,FIND(".",B121)-1),"")</ns0:f>
      </ns0:c>
      <ns0:c r="D121" s="0">
        <ns0:f>IFERROR(MID(B121,FIND(".",B121)+1,FIND(".",B121,FIND(".",B121)+1)-FIND(".",B121)-1),"")</ns0:f>
      </ns0:c>
      <ns0:c r="E121" s="0">
        <ns0:f>IFERROR(MID(B121,FIND(".",B121,FIND(".",B121)+1)+1,99),"")</ns0:f>
        <ns0:v>99</ns0:v>
      </ns0:c>
      <ns0:c r="F121" s="0">
        <ns0:f>IFERROR(IF(FIND(".",B121)=5,--C121,--E121),0)</ns0:f>
        <ns0:v>0</ns0:v>
      </ns0:c>
      <ns0:c r="G121" s="0">
        <ns0:f>IFERROR(--D121,0)</ns0:f>
        <ns0:v>0</ns0:v>
      </ns0:c>
      <ns0:c r="H121" s="0">
        <ns0:f>IFERROR(IF(FIND(".",B121)=5,--E121,--C121),0)</ns0:f>
        <ns0:v>0</ns0:v>
      </ns0:c>
      <ns0:c r="I121" s="0">
        <ns0:f>IFERROR(IF(AND(F121&gt;=2000,F121&lt;=2100,G121&gt;=1,G121&lt;=12,H121&gt;=1,H121&lt;=31),DATE(F121,G121,H121),0),0)</ns0:f>
        <ns0:v>0</ns0:v>
      </ns0:c>
      <ns0:c r="J121" s="0">
        <ns0:f>IFERROR(IF(ISNUMBER(Bookings!B121),IF(AND(Bookings!B121=INT(Bookings!B121),Bookings!B121&gt;=DATE(2000,1,1),Bookings!B121&lt;=DATE(2100,12,31)),Bookings!B121,0),IF(AND(A121&lt;&gt;"",LEN("x"&amp;B121)-LEN(SUBSTITUTE("x"&amp;B121,".",""))=2,OR(1&gt;LEN(B121),MID(B121,1,1)=".",ISNUMBER(FIND("x"&amp;MID(B121,1,1),"x0x1x2x3x4x5x6x7x8x9"))),OR(2&gt;LEN(B121),MID(B121,2,1)=".",ISNUMBER(FIND("x"&amp;MID(B121,2,1),"x0x1x2x3x4x5x6x7x8x9"))),OR(3&gt;LEN(B121),MID(B121,3,1)=".",ISNUMBER(FIND("x"&amp;MID(B121,3,1),"x0x1x2x3x4x5x6x7x8x9"))),OR(4&gt;LEN(B121),MID(B121,4,1)=".",ISNUMBER(FIND("x"&amp;MID(B121,4,1),"x0x1x2x3x4x5x6x7x8x9"))),OR(5&gt;LEN(B121),MID(B121,5,1)=".",ISNUMBER(FIND("x"&amp;MID(B121,5,1),"x0x1x2x3x4x5x6x7x8x9"))),OR(6&gt;LEN(B121),MID(B121,6,1)=".",ISNUMBER(FIND("x"&amp;MID(B121,6,1),"x0x1x2x3x4x5x6x7x8x9"))),OR(7&gt;LEN(B121),MID(B121,7,1)=".",ISNUMBER(FIND("x"&amp;MID(B121,7,1),"x0x1x2x3x4x5x6x7x8x9"))),OR(8&gt;LEN(B121),MID(B121,8,1)=".",ISNUMBER(FIND("x"&amp;MID(B121,8,1),"x0x1x2x3x4x5x6x7x8x9"))),OR(9&gt;LEN(B121),MID(B121,9,1)=".",ISNUMBER(FIND("x"&amp;MID(B121,9,1),"x0x1x2x3x4x5x6x7x8x9"))),OR(10&gt;LEN(B121),MID(B121,10,1)=".",ISNUMBER(FIND("x"&amp;MID(B121,10,1),"x0x1x2x3x4x5x6x7x8x9"))),OR(AND(FIND(".",B121)=5,LEN(B121)-FIND(".",B121,FIND(".",B121)+1)&gt;=1,LEN(B121)-FIND(".",B121,FIND(".",B121)+1)&lt;=2),AND(LEN(B121)-FIND(".",B121,FIND(".",B121)+1)=4,FIND(".",B121)&gt;=2,FIND(".",B121)&lt;=3)),FIND(".",B121,FIND(".",B121)+1)-FIND(".",B121)&gt;=2,FIND(".",B121,FIND(".",B121)+1)-FIND(".",B121)&lt;=3,F121&gt;=2000,F121&lt;=2100,YEAR(I121)=F121,MONTH(I121)=G121,DAY(I121)=H121),I121,0)),0)</ns0:f>
        <ns0:v>0</ns0:v>
      </ns0:c>
      <ns0:c r="K121" s="0">
        <ns0:f>IFERROR(IF(ISNUMBER(Bookings!D121),"",TRIM(Bookings!D121&amp;"")),"")</ns0:f>
      </ns0:c>
      <ns0:c r="L121" s="0">
        <ns0:f>IFERROR(SUBSTITUTE(SUBSTITUTE(K121,"/","."),"-","."),"")</ns0:f>
      </ns0:c>
      <ns0:c r="M121" s="0">
        <ns0:f>IFERROR(LEFT(L121,FIND(".",L121)-1),"")</ns0:f>
      </ns0:c>
      <ns0:c r="N121" s="0">
        <ns0:f>IFERROR(MID(L121,FIND(".",L121)+1,FIND(".",L121,FIND(".",L121)+1)-FIND(".",L121)-1),"")</ns0:f>
      </ns0:c>
      <ns0:c r="O121" s="0">
        <ns0:f>IFERROR(MID(L121,FIND(".",L121,FIND(".",L121)+1)+1,99),"")</ns0:f>
        <ns0:v>99</ns0:v>
      </ns0:c>
      <ns0:c r="P121" s="0">
        <ns0:f>IFERROR(IF(FIND(".",L121)=5,--M121,--O121),0)</ns0:f>
        <ns0:v>0</ns0:v>
      </ns0:c>
      <ns0:c r="Q121" s="0">
        <ns0:f>IFERROR(--N121,0)</ns0:f>
        <ns0:v>0</ns0:v>
      </ns0:c>
      <ns0:c r="R121" s="0">
        <ns0:f>IFERROR(IF(FIND(".",L121)=5,--O121,--M121),0)</ns0:f>
        <ns0:v>0</ns0:v>
      </ns0:c>
      <ns0:c r="S121" s="0">
        <ns0:f>IFERROR(IF(AND(P121&gt;=2000,P121&lt;=2100,Q121&gt;=1,Q121&lt;=12,R121&gt;=1,R121&lt;=31),DATE(P121,Q121,R121),0),0)</ns0:f>
        <ns0:v>0</ns0:v>
      </ns0:c>
      <ns0:c r="T121" s="0">
        <ns0:f>IFERROR(IF(ISNUMBER(Bookings!D121),IF(AND(Bookings!D121=INT(Bookings!D121),Bookings!D121&gt;=DATE(2000,1,1),Bookings!D121&lt;=DATE(2100,12,31)),Bookings!D121,0),IF(AND(K121&lt;&gt;"",LEN("x"&amp;L121)-LEN(SUBSTITUTE("x"&amp;L121,".",""))=2,OR(1&gt;LEN(L121),MID(L121,1,1)=".",ISNUMBER(FIND("x"&amp;MID(L121,1,1),"x0x1x2x3x4x5x6x7x8x9"))),OR(2&gt;LEN(L121),MID(L121,2,1)=".",ISNUMBER(FIND("x"&amp;MID(L121,2,1),"x0x1x2x3x4x5x6x7x8x9"))),OR(3&gt;LEN(L121),MID(L121,3,1)=".",ISNUMBER(FIND("x"&amp;MID(L121,3,1),"x0x1x2x3x4x5x6x7x8x9"))),OR(4&gt;LEN(L121),MID(L121,4,1)=".",ISNUMBER(FIND("x"&amp;MID(L121,4,1),"x0x1x2x3x4x5x6x7x8x9"))),OR(5&gt;LEN(L121),MID(L121,5,1)=".",ISNUMBER(FIND("x"&amp;MID(L121,5,1),"x0x1x2x3x4x5x6x7x8x9"))),OR(6&gt;LEN(L121),MID(L121,6,1)=".",ISNUMBER(FIND("x"&amp;MID(L121,6,1),"x0x1x2x3x4x5x6x7x8x9"))),OR(7&gt;LEN(L121),MID(L121,7,1)=".",ISNUMBER(FIND("x"&amp;MID(L121,7,1),"x0x1x2x3x4x5x6x7x8x9"))),OR(8&gt;LEN(L121),MID(L121,8,1)=".",ISNUMBER(FIND("x"&amp;MID(L121,8,1),"x0x1x2x3x4x5x6x7x8x9"))),OR(9&gt;LEN(L121),MID(L121,9,1)=".",ISNUMBER(FIND("x"&amp;MID(L121,9,1),"x0x1x2x3x4x5x6x7x8x9"))),OR(10&gt;LEN(L121),MID(L121,10,1)=".",ISNUMBER(FIND("x"&amp;MID(L121,10,1),"x0x1x2x3x4x5x6x7x8x9"))),OR(AND(FIND(".",L121)=5,LEN(L121)-FIND(".",L121,FIND(".",L121)+1)&gt;=1,LEN(L121)-FIND(".",L121,FIND(".",L121)+1)&lt;=2),AND(LEN(L121)-FIND(".",L121,FIND(".",L121)+1)=4,FIND(".",L121)&gt;=2,FIND(".",L121)&lt;=3)),FIND(".",L121,FIND(".",L121)+1)-FIND(".",L121)&gt;=2,FIND(".",L121,FIND(".",L121)+1)-FIND(".",L121)&lt;=3,P121&gt;=2000,P121&lt;=2100,YEAR(S121)=P121,MONTH(S121)=Q121,DAY(S121)=R121),S121,0)),0)</ns0:f>
        <ns0:v>0</ns0:v>
      </ns0:c>
      <ns0:c r="U121" s="0" t="str">
        <ns0:f>IF(Bookings!C121="","Full day",Bookings!C121)</ns0:f>
        <ns0:v>Full day</ns0:v>
      </ns0:c>
      <ns0:c r="V121" s="0" t="str">
        <ns0:f>IF(Bookings!E121="","Full day",Bookings!E121)</ns0:f>
        <ns0:v>Full day</ns0:v>
      </ns0:c>
      <ns0:c r="W121" s="0">
        <ns0:f>IF(J121=0,0,J121+IF(U121="PM",1,0))</ns0:f>
        <ns0:v>0</ns0:v>
      </ns0:c>
      <ns0:c r="X121" s="0">
        <ns0:f>IF(T121=0,0,T121-IF(V121="PM",1,0))</ns0:f>
        <ns0:v>0</ns0:v>
      </ns0:c>
      <ns0:c r="Y121" s="0">
        <ns0:f>IF(J121=0,0,J121+IF(U121="AM",1,0))</ns0:f>
        <ns0:v>0</ns0:v>
      </ns0:c>
      <ns0:c r="Z121" s="0">
        <ns0:f>IF(T121=0,0,T121-IF(V121="AM",1,0))</ns0:f>
        <ns0:v>0</ns0:v>
      </ns0:c>
      <ns0:c r="AA121" s="0">
        <ns0:f>IFERROR(IF(AND(J121&gt;0,'_Engine'!C121&gt;0,MID('_Engine'!W121,WEEKDAY(J121,2),1)="W",COUNTIF(Settings!$F$18:$F$67,J121)=0),1,0),0)</ns0:f>
        <ns0:v>0</ns0:v>
      </ns0:c>
      <ns0:c r="AB121" s="0">
        <ns0:f>IFERROR(IF(AND(T121&gt;0,'_Engine'!C121&gt;0,MID('_Engine'!W121,WEEKDAY(T121,2),1)="W",COUNTIF(Settings!$F$18:$F$67,T121)=0),1,0),0)</ns0:f>
        <ns0:v>0</ns0:v>
      </ns0:c>
      <ns0:c r="AC121" s="0">
        <ns0:f>IF(AND(J121&gt;0,T121&gt;0,W121&lt;=X121),1,0)</ns0:f>
        <ns0:v>0</ns0:v>
      </ns0:c>
      <ns0:c r="AD121" s="0">
        <ns0:f>IF(AND(J121&gt;0,T121&gt;0,Y121&lt;=Z121),1,0)</ns0:f>
        <ns0:v>0</ns0:v>
      </ns0:c>
    </ns0:row>
    <ns0:row r="122">
      <ns0:c r="A122" s="0">
        <ns0:f>IFERROR(IF(ISNUMBER(Bookings!B122),"",TRIM(Bookings!B122&amp;"")),"")</ns0:f>
      </ns0:c>
      <ns0:c r="B122" s="0">
        <ns0:f>IFERROR(SUBSTITUTE(SUBSTITUTE(A122,"/","."),"-","."),"")</ns0:f>
      </ns0:c>
      <ns0:c r="C122" s="0">
        <ns0:f>IFERROR(LEFT(B122,FIND(".",B122)-1),"")</ns0:f>
      </ns0:c>
      <ns0:c r="D122" s="0">
        <ns0:f>IFERROR(MID(B122,FIND(".",B122)+1,FIND(".",B122,FIND(".",B122)+1)-FIND(".",B122)-1),"")</ns0:f>
      </ns0:c>
      <ns0:c r="E122" s="0">
        <ns0:f>IFERROR(MID(B122,FIND(".",B122,FIND(".",B122)+1)+1,99),"")</ns0:f>
        <ns0:v>99</ns0:v>
      </ns0:c>
      <ns0:c r="F122" s="0">
        <ns0:f>IFERROR(IF(FIND(".",B122)=5,--C122,--E122),0)</ns0:f>
        <ns0:v>0</ns0:v>
      </ns0:c>
      <ns0:c r="G122" s="0">
        <ns0:f>IFERROR(--D122,0)</ns0:f>
        <ns0:v>0</ns0:v>
      </ns0:c>
      <ns0:c r="H122" s="0">
        <ns0:f>IFERROR(IF(FIND(".",B122)=5,--E122,--C122),0)</ns0:f>
        <ns0:v>0</ns0:v>
      </ns0:c>
      <ns0:c r="I122" s="0">
        <ns0:f>IFERROR(IF(AND(F122&gt;=2000,F122&lt;=2100,G122&gt;=1,G122&lt;=12,H122&gt;=1,H122&lt;=31),DATE(F122,G122,H122),0),0)</ns0:f>
        <ns0:v>0</ns0:v>
      </ns0:c>
      <ns0:c r="J122" s="0">
        <ns0:f>IFERROR(IF(ISNUMBER(Bookings!B122),IF(AND(Bookings!B122=INT(Bookings!B122),Bookings!B122&gt;=DATE(2000,1,1),Bookings!B122&lt;=DATE(2100,12,31)),Bookings!B122,0),IF(AND(A122&lt;&gt;"",LEN("x"&amp;B122)-LEN(SUBSTITUTE("x"&amp;B122,".",""))=2,OR(1&gt;LEN(B122),MID(B122,1,1)=".",ISNUMBER(FIND("x"&amp;MID(B122,1,1),"x0x1x2x3x4x5x6x7x8x9"))),OR(2&gt;LEN(B122),MID(B122,2,1)=".",ISNUMBER(FIND("x"&amp;MID(B122,2,1),"x0x1x2x3x4x5x6x7x8x9"))),OR(3&gt;LEN(B122),MID(B122,3,1)=".",ISNUMBER(FIND("x"&amp;MID(B122,3,1),"x0x1x2x3x4x5x6x7x8x9"))),OR(4&gt;LEN(B122),MID(B122,4,1)=".",ISNUMBER(FIND("x"&amp;MID(B122,4,1),"x0x1x2x3x4x5x6x7x8x9"))),OR(5&gt;LEN(B122),MID(B122,5,1)=".",ISNUMBER(FIND("x"&amp;MID(B122,5,1),"x0x1x2x3x4x5x6x7x8x9"))),OR(6&gt;LEN(B122),MID(B122,6,1)=".",ISNUMBER(FIND("x"&amp;MID(B122,6,1),"x0x1x2x3x4x5x6x7x8x9"))),OR(7&gt;LEN(B122),MID(B122,7,1)=".",ISNUMBER(FIND("x"&amp;MID(B122,7,1),"x0x1x2x3x4x5x6x7x8x9"))),OR(8&gt;LEN(B122),MID(B122,8,1)=".",ISNUMBER(FIND("x"&amp;MID(B122,8,1),"x0x1x2x3x4x5x6x7x8x9"))),OR(9&gt;LEN(B122),MID(B122,9,1)=".",ISNUMBER(FIND("x"&amp;MID(B122,9,1),"x0x1x2x3x4x5x6x7x8x9"))),OR(10&gt;LEN(B122),MID(B122,10,1)=".",ISNUMBER(FIND("x"&amp;MID(B122,10,1),"x0x1x2x3x4x5x6x7x8x9"))),OR(AND(FIND(".",B122)=5,LEN(B122)-FIND(".",B122,FIND(".",B122)+1)&gt;=1,LEN(B122)-FIND(".",B122,FIND(".",B122)+1)&lt;=2),AND(LEN(B122)-FIND(".",B122,FIND(".",B122)+1)=4,FIND(".",B122)&gt;=2,FIND(".",B122)&lt;=3)),FIND(".",B122,FIND(".",B122)+1)-FIND(".",B122)&gt;=2,FIND(".",B122,FIND(".",B122)+1)-FIND(".",B122)&lt;=3,F122&gt;=2000,F122&lt;=2100,YEAR(I122)=F122,MONTH(I122)=G122,DAY(I122)=H122),I122,0)),0)</ns0:f>
        <ns0:v>0</ns0:v>
      </ns0:c>
      <ns0:c r="K122" s="0">
        <ns0:f>IFERROR(IF(ISNUMBER(Bookings!D122),"",TRIM(Bookings!D122&amp;"")),"")</ns0:f>
      </ns0:c>
      <ns0:c r="L122" s="0">
        <ns0:f>IFERROR(SUBSTITUTE(SUBSTITUTE(K122,"/","."),"-","."),"")</ns0:f>
      </ns0:c>
      <ns0:c r="M122" s="0">
        <ns0:f>IFERROR(LEFT(L122,FIND(".",L122)-1),"")</ns0:f>
      </ns0:c>
      <ns0:c r="N122" s="0">
        <ns0:f>IFERROR(MID(L122,FIND(".",L122)+1,FIND(".",L122,FIND(".",L122)+1)-FIND(".",L122)-1),"")</ns0:f>
      </ns0:c>
      <ns0:c r="O122" s="0">
        <ns0:f>IFERROR(MID(L122,FIND(".",L122,FIND(".",L122)+1)+1,99),"")</ns0:f>
        <ns0:v>99</ns0:v>
      </ns0:c>
      <ns0:c r="P122" s="0">
        <ns0:f>IFERROR(IF(FIND(".",L122)=5,--M122,--O122),0)</ns0:f>
        <ns0:v>0</ns0:v>
      </ns0:c>
      <ns0:c r="Q122" s="0">
        <ns0:f>IFERROR(--N122,0)</ns0:f>
        <ns0:v>0</ns0:v>
      </ns0:c>
      <ns0:c r="R122" s="0">
        <ns0:f>IFERROR(IF(FIND(".",L122)=5,--O122,--M122),0)</ns0:f>
        <ns0:v>0</ns0:v>
      </ns0:c>
      <ns0:c r="S122" s="0">
        <ns0:f>IFERROR(IF(AND(P122&gt;=2000,P122&lt;=2100,Q122&gt;=1,Q122&lt;=12,R122&gt;=1,R122&lt;=31),DATE(P122,Q122,R122),0),0)</ns0:f>
        <ns0:v>0</ns0:v>
      </ns0:c>
      <ns0:c r="T122" s="0">
        <ns0:f>IFERROR(IF(ISNUMBER(Bookings!D122),IF(AND(Bookings!D122=INT(Bookings!D122),Bookings!D122&gt;=DATE(2000,1,1),Bookings!D122&lt;=DATE(2100,12,31)),Bookings!D122,0),IF(AND(K122&lt;&gt;"",LEN("x"&amp;L122)-LEN(SUBSTITUTE("x"&amp;L122,".",""))=2,OR(1&gt;LEN(L122),MID(L122,1,1)=".",ISNUMBER(FIND("x"&amp;MID(L122,1,1),"x0x1x2x3x4x5x6x7x8x9"))),OR(2&gt;LEN(L122),MID(L122,2,1)=".",ISNUMBER(FIND("x"&amp;MID(L122,2,1),"x0x1x2x3x4x5x6x7x8x9"))),OR(3&gt;LEN(L122),MID(L122,3,1)=".",ISNUMBER(FIND("x"&amp;MID(L122,3,1),"x0x1x2x3x4x5x6x7x8x9"))),OR(4&gt;LEN(L122),MID(L122,4,1)=".",ISNUMBER(FIND("x"&amp;MID(L122,4,1),"x0x1x2x3x4x5x6x7x8x9"))),OR(5&gt;LEN(L122),MID(L122,5,1)=".",ISNUMBER(FIND("x"&amp;MID(L122,5,1),"x0x1x2x3x4x5x6x7x8x9"))),OR(6&gt;LEN(L122),MID(L122,6,1)=".",ISNUMBER(FIND("x"&amp;MID(L122,6,1),"x0x1x2x3x4x5x6x7x8x9"))),OR(7&gt;LEN(L122),MID(L122,7,1)=".",ISNUMBER(FIND("x"&amp;MID(L122,7,1),"x0x1x2x3x4x5x6x7x8x9"))),OR(8&gt;LEN(L122),MID(L122,8,1)=".",ISNUMBER(FIND("x"&amp;MID(L122,8,1),"x0x1x2x3x4x5x6x7x8x9"))),OR(9&gt;LEN(L122),MID(L122,9,1)=".",ISNUMBER(FIND("x"&amp;MID(L122,9,1),"x0x1x2x3x4x5x6x7x8x9"))),OR(10&gt;LEN(L122),MID(L122,10,1)=".",ISNUMBER(FIND("x"&amp;MID(L122,10,1),"x0x1x2x3x4x5x6x7x8x9"))),OR(AND(FIND(".",L122)=5,LEN(L122)-FIND(".",L122,FIND(".",L122)+1)&gt;=1,LEN(L122)-FIND(".",L122,FIND(".",L122)+1)&lt;=2),AND(LEN(L122)-FIND(".",L122,FIND(".",L122)+1)=4,FIND(".",L122)&gt;=2,FIND(".",L122)&lt;=3)),FIND(".",L122,FIND(".",L122)+1)-FIND(".",L122)&gt;=2,FIND(".",L122,FIND(".",L122)+1)-FIND(".",L122)&lt;=3,P122&gt;=2000,P122&lt;=2100,YEAR(S122)=P122,MONTH(S122)=Q122,DAY(S122)=R122),S122,0)),0)</ns0:f>
        <ns0:v>0</ns0:v>
      </ns0:c>
      <ns0:c r="U122" s="0" t="str">
        <ns0:f>IF(Bookings!C122="","Full day",Bookings!C122)</ns0:f>
        <ns0:v>Full day</ns0:v>
      </ns0:c>
      <ns0:c r="V122" s="0" t="str">
        <ns0:f>IF(Bookings!E122="","Full day",Bookings!E122)</ns0:f>
        <ns0:v>Full day</ns0:v>
      </ns0:c>
      <ns0:c r="W122" s="0">
        <ns0:f>IF(J122=0,0,J122+IF(U122="PM",1,0))</ns0:f>
        <ns0:v>0</ns0:v>
      </ns0:c>
      <ns0:c r="X122" s="0">
        <ns0:f>IF(T122=0,0,T122-IF(V122="PM",1,0))</ns0:f>
        <ns0:v>0</ns0:v>
      </ns0:c>
      <ns0:c r="Y122" s="0">
        <ns0:f>IF(J122=0,0,J122+IF(U122="AM",1,0))</ns0:f>
        <ns0:v>0</ns0:v>
      </ns0:c>
      <ns0:c r="Z122" s="0">
        <ns0:f>IF(T122=0,0,T122-IF(V122="AM",1,0))</ns0:f>
        <ns0:v>0</ns0:v>
      </ns0:c>
      <ns0:c r="AA122" s="0">
        <ns0:f>IFERROR(IF(AND(J122&gt;0,'_Engine'!C122&gt;0,MID('_Engine'!W122,WEEKDAY(J122,2),1)="W",COUNTIF(Settings!$F$18:$F$67,J122)=0),1,0),0)</ns0:f>
        <ns0:v>0</ns0:v>
      </ns0:c>
      <ns0:c r="AB122" s="0">
        <ns0:f>IFERROR(IF(AND(T122&gt;0,'_Engine'!C122&gt;0,MID('_Engine'!W122,WEEKDAY(T122,2),1)="W",COUNTIF(Settings!$F$18:$F$67,T122)=0),1,0),0)</ns0:f>
        <ns0:v>0</ns0:v>
      </ns0:c>
      <ns0:c r="AC122" s="0">
        <ns0:f>IF(AND(J122&gt;0,T122&gt;0,W122&lt;=X122),1,0)</ns0:f>
        <ns0:v>0</ns0:v>
      </ns0:c>
      <ns0:c r="AD122" s="0">
        <ns0:f>IF(AND(J122&gt;0,T122&gt;0,Y122&lt;=Z122),1,0)</ns0:f>
        <ns0:v>0</ns0:v>
      </ns0:c>
    </ns0:row>
    <ns0:row r="123">
      <ns0:c r="A123" s="0">
        <ns0:f>IFERROR(IF(ISNUMBER(Bookings!B123),"",TRIM(Bookings!B123&amp;"")),"")</ns0:f>
      </ns0:c>
      <ns0:c r="B123" s="0">
        <ns0:f>IFERROR(SUBSTITUTE(SUBSTITUTE(A123,"/","."),"-","."),"")</ns0:f>
      </ns0:c>
      <ns0:c r="C123" s="0">
        <ns0:f>IFERROR(LEFT(B123,FIND(".",B123)-1),"")</ns0:f>
      </ns0:c>
      <ns0:c r="D123" s="0">
        <ns0:f>IFERROR(MID(B123,FIND(".",B123)+1,FIND(".",B123,FIND(".",B123)+1)-FIND(".",B123)-1),"")</ns0:f>
      </ns0:c>
      <ns0:c r="E123" s="0">
        <ns0:f>IFERROR(MID(B123,FIND(".",B123,FIND(".",B123)+1)+1,99),"")</ns0:f>
        <ns0:v>99</ns0:v>
      </ns0:c>
      <ns0:c r="F123" s="0">
        <ns0:f>IFERROR(IF(FIND(".",B123)=5,--C123,--E123),0)</ns0:f>
        <ns0:v>0</ns0:v>
      </ns0:c>
      <ns0:c r="G123" s="0">
        <ns0:f>IFERROR(--D123,0)</ns0:f>
        <ns0:v>0</ns0:v>
      </ns0:c>
      <ns0:c r="H123" s="0">
        <ns0:f>IFERROR(IF(FIND(".",B123)=5,--E123,--C123),0)</ns0:f>
        <ns0:v>0</ns0:v>
      </ns0:c>
      <ns0:c r="I123" s="0">
        <ns0:f>IFERROR(IF(AND(F123&gt;=2000,F123&lt;=2100,G123&gt;=1,G123&lt;=12,H123&gt;=1,H123&lt;=31),DATE(F123,G123,H123),0),0)</ns0:f>
        <ns0:v>0</ns0:v>
      </ns0:c>
      <ns0:c r="J123" s="0">
        <ns0:f>IFERROR(IF(ISNUMBER(Bookings!B123),IF(AND(Bookings!B123=INT(Bookings!B123),Bookings!B123&gt;=DATE(2000,1,1),Bookings!B123&lt;=DATE(2100,12,31)),Bookings!B123,0),IF(AND(A123&lt;&gt;"",LEN("x"&amp;B123)-LEN(SUBSTITUTE("x"&amp;B123,".",""))=2,OR(1&gt;LEN(B123),MID(B123,1,1)=".",ISNUMBER(FIND("x"&amp;MID(B123,1,1),"x0x1x2x3x4x5x6x7x8x9"))),OR(2&gt;LEN(B123),MID(B123,2,1)=".",ISNUMBER(FIND("x"&amp;MID(B123,2,1),"x0x1x2x3x4x5x6x7x8x9"))),OR(3&gt;LEN(B123),MID(B123,3,1)=".",ISNUMBER(FIND("x"&amp;MID(B123,3,1),"x0x1x2x3x4x5x6x7x8x9"))),OR(4&gt;LEN(B123),MID(B123,4,1)=".",ISNUMBER(FIND("x"&amp;MID(B123,4,1),"x0x1x2x3x4x5x6x7x8x9"))),OR(5&gt;LEN(B123),MID(B123,5,1)=".",ISNUMBER(FIND("x"&amp;MID(B123,5,1),"x0x1x2x3x4x5x6x7x8x9"))),OR(6&gt;LEN(B123),MID(B123,6,1)=".",ISNUMBER(FIND("x"&amp;MID(B123,6,1),"x0x1x2x3x4x5x6x7x8x9"))),OR(7&gt;LEN(B123),MID(B123,7,1)=".",ISNUMBER(FIND("x"&amp;MID(B123,7,1),"x0x1x2x3x4x5x6x7x8x9"))),OR(8&gt;LEN(B123),MID(B123,8,1)=".",ISNUMBER(FIND("x"&amp;MID(B123,8,1),"x0x1x2x3x4x5x6x7x8x9"))),OR(9&gt;LEN(B123),MID(B123,9,1)=".",ISNUMBER(FIND("x"&amp;MID(B123,9,1),"x0x1x2x3x4x5x6x7x8x9"))),OR(10&gt;LEN(B123),MID(B123,10,1)=".",ISNUMBER(FIND("x"&amp;MID(B123,10,1),"x0x1x2x3x4x5x6x7x8x9"))),OR(AND(FIND(".",B123)=5,LEN(B123)-FIND(".",B123,FIND(".",B123)+1)&gt;=1,LEN(B123)-FIND(".",B123,FIND(".",B123)+1)&lt;=2),AND(LEN(B123)-FIND(".",B123,FIND(".",B123)+1)=4,FIND(".",B123)&gt;=2,FIND(".",B123)&lt;=3)),FIND(".",B123,FIND(".",B123)+1)-FIND(".",B123)&gt;=2,FIND(".",B123,FIND(".",B123)+1)-FIND(".",B123)&lt;=3,F123&gt;=2000,F123&lt;=2100,YEAR(I123)=F123,MONTH(I123)=G123,DAY(I123)=H123),I123,0)),0)</ns0:f>
        <ns0:v>0</ns0:v>
      </ns0:c>
      <ns0:c r="K123" s="0">
        <ns0:f>IFERROR(IF(ISNUMBER(Bookings!D123),"",TRIM(Bookings!D123&amp;"")),"")</ns0:f>
      </ns0:c>
      <ns0:c r="L123" s="0">
        <ns0:f>IFERROR(SUBSTITUTE(SUBSTITUTE(K123,"/","."),"-","."),"")</ns0:f>
      </ns0:c>
      <ns0:c r="M123" s="0">
        <ns0:f>IFERROR(LEFT(L123,FIND(".",L123)-1),"")</ns0:f>
      </ns0:c>
      <ns0:c r="N123" s="0">
        <ns0:f>IFERROR(MID(L123,FIND(".",L123)+1,FIND(".",L123,FIND(".",L123)+1)-FIND(".",L123)-1),"")</ns0:f>
      </ns0:c>
      <ns0:c r="O123" s="0">
        <ns0:f>IFERROR(MID(L123,FIND(".",L123,FIND(".",L123)+1)+1,99),"")</ns0:f>
        <ns0:v>99</ns0:v>
      </ns0:c>
      <ns0:c r="P123" s="0">
        <ns0:f>IFERROR(IF(FIND(".",L123)=5,--M123,--O123),0)</ns0:f>
        <ns0:v>0</ns0:v>
      </ns0:c>
      <ns0:c r="Q123" s="0">
        <ns0:f>IFERROR(--N123,0)</ns0:f>
        <ns0:v>0</ns0:v>
      </ns0:c>
      <ns0:c r="R123" s="0">
        <ns0:f>IFERROR(IF(FIND(".",L123)=5,--O123,--M123),0)</ns0:f>
        <ns0:v>0</ns0:v>
      </ns0:c>
      <ns0:c r="S123" s="0">
        <ns0:f>IFERROR(IF(AND(P123&gt;=2000,P123&lt;=2100,Q123&gt;=1,Q123&lt;=12,R123&gt;=1,R123&lt;=31),DATE(P123,Q123,R123),0),0)</ns0:f>
        <ns0:v>0</ns0:v>
      </ns0:c>
      <ns0:c r="T123" s="0">
        <ns0:f>IFERROR(IF(ISNUMBER(Bookings!D123),IF(AND(Bookings!D123=INT(Bookings!D123),Bookings!D123&gt;=DATE(2000,1,1),Bookings!D123&lt;=DATE(2100,12,31)),Bookings!D123,0),IF(AND(K123&lt;&gt;"",LEN("x"&amp;L123)-LEN(SUBSTITUTE("x"&amp;L123,".",""))=2,OR(1&gt;LEN(L123),MID(L123,1,1)=".",ISNUMBER(FIND("x"&amp;MID(L123,1,1),"x0x1x2x3x4x5x6x7x8x9"))),OR(2&gt;LEN(L123),MID(L123,2,1)=".",ISNUMBER(FIND("x"&amp;MID(L123,2,1),"x0x1x2x3x4x5x6x7x8x9"))),OR(3&gt;LEN(L123),MID(L123,3,1)=".",ISNUMBER(FIND("x"&amp;MID(L123,3,1),"x0x1x2x3x4x5x6x7x8x9"))),OR(4&gt;LEN(L123),MID(L123,4,1)=".",ISNUMBER(FIND("x"&amp;MID(L123,4,1),"x0x1x2x3x4x5x6x7x8x9"))),OR(5&gt;LEN(L123),MID(L123,5,1)=".",ISNUMBER(FIND("x"&amp;MID(L123,5,1),"x0x1x2x3x4x5x6x7x8x9"))),OR(6&gt;LEN(L123),MID(L123,6,1)=".",ISNUMBER(FIND("x"&amp;MID(L123,6,1),"x0x1x2x3x4x5x6x7x8x9"))),OR(7&gt;LEN(L123),MID(L123,7,1)=".",ISNUMBER(FIND("x"&amp;MID(L123,7,1),"x0x1x2x3x4x5x6x7x8x9"))),OR(8&gt;LEN(L123),MID(L123,8,1)=".",ISNUMBER(FIND("x"&amp;MID(L123,8,1),"x0x1x2x3x4x5x6x7x8x9"))),OR(9&gt;LEN(L123),MID(L123,9,1)=".",ISNUMBER(FIND("x"&amp;MID(L123,9,1),"x0x1x2x3x4x5x6x7x8x9"))),OR(10&gt;LEN(L123),MID(L123,10,1)=".",ISNUMBER(FIND("x"&amp;MID(L123,10,1),"x0x1x2x3x4x5x6x7x8x9"))),OR(AND(FIND(".",L123)=5,LEN(L123)-FIND(".",L123,FIND(".",L123)+1)&gt;=1,LEN(L123)-FIND(".",L123,FIND(".",L123)+1)&lt;=2),AND(LEN(L123)-FIND(".",L123,FIND(".",L123)+1)=4,FIND(".",L123)&gt;=2,FIND(".",L123)&lt;=3)),FIND(".",L123,FIND(".",L123)+1)-FIND(".",L123)&gt;=2,FIND(".",L123,FIND(".",L123)+1)-FIND(".",L123)&lt;=3,P123&gt;=2000,P123&lt;=2100,YEAR(S123)=P123,MONTH(S123)=Q123,DAY(S123)=R123),S123,0)),0)</ns0:f>
        <ns0:v>0</ns0:v>
      </ns0:c>
      <ns0:c r="U123" s="0" t="str">
        <ns0:f>IF(Bookings!C123="","Full day",Bookings!C123)</ns0:f>
        <ns0:v>Full day</ns0:v>
      </ns0:c>
      <ns0:c r="V123" s="0" t="str">
        <ns0:f>IF(Bookings!E123="","Full day",Bookings!E123)</ns0:f>
        <ns0:v>Full day</ns0:v>
      </ns0:c>
      <ns0:c r="W123" s="0">
        <ns0:f>IF(J123=0,0,J123+IF(U123="PM",1,0))</ns0:f>
        <ns0:v>0</ns0:v>
      </ns0:c>
      <ns0:c r="X123" s="0">
        <ns0:f>IF(T123=0,0,T123-IF(V123="PM",1,0))</ns0:f>
        <ns0:v>0</ns0:v>
      </ns0:c>
      <ns0:c r="Y123" s="0">
        <ns0:f>IF(J123=0,0,J123+IF(U123="AM",1,0))</ns0:f>
        <ns0:v>0</ns0:v>
      </ns0:c>
      <ns0:c r="Z123" s="0">
        <ns0:f>IF(T123=0,0,T123-IF(V123="AM",1,0))</ns0:f>
        <ns0:v>0</ns0:v>
      </ns0:c>
      <ns0:c r="AA123" s="0">
        <ns0:f>IFERROR(IF(AND(J123&gt;0,'_Engine'!C123&gt;0,MID('_Engine'!W123,WEEKDAY(J123,2),1)="W",COUNTIF(Settings!$F$18:$F$67,J123)=0),1,0),0)</ns0:f>
        <ns0:v>0</ns0:v>
      </ns0:c>
      <ns0:c r="AB123" s="0">
        <ns0:f>IFERROR(IF(AND(T123&gt;0,'_Engine'!C123&gt;0,MID('_Engine'!W123,WEEKDAY(T123,2),1)="W",COUNTIF(Settings!$F$18:$F$67,T123)=0),1,0),0)</ns0:f>
        <ns0:v>0</ns0:v>
      </ns0:c>
      <ns0:c r="AC123" s="0">
        <ns0:f>IF(AND(J123&gt;0,T123&gt;0,W123&lt;=X123),1,0)</ns0:f>
        <ns0:v>0</ns0:v>
      </ns0:c>
      <ns0:c r="AD123" s="0">
        <ns0:f>IF(AND(J123&gt;0,T123&gt;0,Y123&lt;=Z123),1,0)</ns0:f>
        <ns0:v>0</ns0:v>
      </ns0:c>
    </ns0:row>
    <ns0:row r="124">
      <ns0:c r="A124" s="0">
        <ns0:f>IFERROR(IF(ISNUMBER(Bookings!B124),"",TRIM(Bookings!B124&amp;"")),"")</ns0:f>
      </ns0:c>
      <ns0:c r="B124" s="0">
        <ns0:f>IFERROR(SUBSTITUTE(SUBSTITUTE(A124,"/","."),"-","."),"")</ns0:f>
      </ns0:c>
      <ns0:c r="C124" s="0">
        <ns0:f>IFERROR(LEFT(B124,FIND(".",B124)-1),"")</ns0:f>
      </ns0:c>
      <ns0:c r="D124" s="0">
        <ns0:f>IFERROR(MID(B124,FIND(".",B124)+1,FIND(".",B124,FIND(".",B124)+1)-FIND(".",B124)-1),"")</ns0:f>
      </ns0:c>
      <ns0:c r="E124" s="0">
        <ns0:f>IFERROR(MID(B124,FIND(".",B124,FIND(".",B124)+1)+1,99),"")</ns0:f>
        <ns0:v>99</ns0:v>
      </ns0:c>
      <ns0:c r="F124" s="0">
        <ns0:f>IFERROR(IF(FIND(".",B124)=5,--C124,--E124),0)</ns0:f>
        <ns0:v>0</ns0:v>
      </ns0:c>
      <ns0:c r="G124" s="0">
        <ns0:f>IFERROR(--D124,0)</ns0:f>
        <ns0:v>0</ns0:v>
      </ns0:c>
      <ns0:c r="H124" s="0">
        <ns0:f>IFERROR(IF(FIND(".",B124)=5,--E124,--C124),0)</ns0:f>
        <ns0:v>0</ns0:v>
      </ns0:c>
      <ns0:c r="I124" s="0">
        <ns0:f>IFERROR(IF(AND(F124&gt;=2000,F124&lt;=2100,G124&gt;=1,G124&lt;=12,H124&gt;=1,H124&lt;=31),DATE(F124,G124,H124),0),0)</ns0:f>
        <ns0:v>0</ns0:v>
      </ns0:c>
      <ns0:c r="J124" s="0">
        <ns0:f>IFERROR(IF(ISNUMBER(Bookings!B124),IF(AND(Bookings!B124=INT(Bookings!B124),Bookings!B124&gt;=DATE(2000,1,1),Bookings!B124&lt;=DATE(2100,12,31)),Bookings!B124,0),IF(AND(A124&lt;&gt;"",LEN("x"&amp;B124)-LEN(SUBSTITUTE("x"&amp;B124,".",""))=2,OR(1&gt;LEN(B124),MID(B124,1,1)=".",ISNUMBER(FIND("x"&amp;MID(B124,1,1),"x0x1x2x3x4x5x6x7x8x9"))),OR(2&gt;LEN(B124),MID(B124,2,1)=".",ISNUMBER(FIND("x"&amp;MID(B124,2,1),"x0x1x2x3x4x5x6x7x8x9"))),OR(3&gt;LEN(B124),MID(B124,3,1)=".",ISNUMBER(FIND("x"&amp;MID(B124,3,1),"x0x1x2x3x4x5x6x7x8x9"))),OR(4&gt;LEN(B124),MID(B124,4,1)=".",ISNUMBER(FIND("x"&amp;MID(B124,4,1),"x0x1x2x3x4x5x6x7x8x9"))),OR(5&gt;LEN(B124),MID(B124,5,1)=".",ISNUMBER(FIND("x"&amp;MID(B124,5,1),"x0x1x2x3x4x5x6x7x8x9"))),OR(6&gt;LEN(B124),MID(B124,6,1)=".",ISNUMBER(FIND("x"&amp;MID(B124,6,1),"x0x1x2x3x4x5x6x7x8x9"))),OR(7&gt;LEN(B124),MID(B124,7,1)=".",ISNUMBER(FIND("x"&amp;MID(B124,7,1),"x0x1x2x3x4x5x6x7x8x9"))),OR(8&gt;LEN(B124),MID(B124,8,1)=".",ISNUMBER(FIND("x"&amp;MID(B124,8,1),"x0x1x2x3x4x5x6x7x8x9"))),OR(9&gt;LEN(B124),MID(B124,9,1)=".",ISNUMBER(FIND("x"&amp;MID(B124,9,1),"x0x1x2x3x4x5x6x7x8x9"))),OR(10&gt;LEN(B124),MID(B124,10,1)=".",ISNUMBER(FIND("x"&amp;MID(B124,10,1),"x0x1x2x3x4x5x6x7x8x9"))),OR(AND(FIND(".",B124)=5,LEN(B124)-FIND(".",B124,FIND(".",B124)+1)&gt;=1,LEN(B124)-FIND(".",B124,FIND(".",B124)+1)&lt;=2),AND(LEN(B124)-FIND(".",B124,FIND(".",B124)+1)=4,FIND(".",B124)&gt;=2,FIND(".",B124)&lt;=3)),FIND(".",B124,FIND(".",B124)+1)-FIND(".",B124)&gt;=2,FIND(".",B124,FIND(".",B124)+1)-FIND(".",B124)&lt;=3,F124&gt;=2000,F124&lt;=2100,YEAR(I124)=F124,MONTH(I124)=G124,DAY(I124)=H124),I124,0)),0)</ns0:f>
        <ns0:v>0</ns0:v>
      </ns0:c>
      <ns0:c r="K124" s="0">
        <ns0:f>IFERROR(IF(ISNUMBER(Bookings!D124),"",TRIM(Bookings!D124&amp;"")),"")</ns0:f>
      </ns0:c>
      <ns0:c r="L124" s="0">
        <ns0:f>IFERROR(SUBSTITUTE(SUBSTITUTE(K124,"/","."),"-","."),"")</ns0:f>
      </ns0:c>
      <ns0:c r="M124" s="0">
        <ns0:f>IFERROR(LEFT(L124,FIND(".",L124)-1),"")</ns0:f>
      </ns0:c>
      <ns0:c r="N124" s="0">
        <ns0:f>IFERROR(MID(L124,FIND(".",L124)+1,FIND(".",L124,FIND(".",L124)+1)-FIND(".",L124)-1),"")</ns0:f>
      </ns0:c>
      <ns0:c r="O124" s="0">
        <ns0:f>IFERROR(MID(L124,FIND(".",L124,FIND(".",L124)+1)+1,99),"")</ns0:f>
        <ns0:v>99</ns0:v>
      </ns0:c>
      <ns0:c r="P124" s="0">
        <ns0:f>IFERROR(IF(FIND(".",L124)=5,--M124,--O124),0)</ns0:f>
        <ns0:v>0</ns0:v>
      </ns0:c>
      <ns0:c r="Q124" s="0">
        <ns0:f>IFERROR(--N124,0)</ns0:f>
        <ns0:v>0</ns0:v>
      </ns0:c>
      <ns0:c r="R124" s="0">
        <ns0:f>IFERROR(IF(FIND(".",L124)=5,--O124,--M124),0)</ns0:f>
        <ns0:v>0</ns0:v>
      </ns0:c>
      <ns0:c r="S124" s="0">
        <ns0:f>IFERROR(IF(AND(P124&gt;=2000,P124&lt;=2100,Q124&gt;=1,Q124&lt;=12,R124&gt;=1,R124&lt;=31),DATE(P124,Q124,R124),0),0)</ns0:f>
        <ns0:v>0</ns0:v>
      </ns0:c>
      <ns0:c r="T124" s="0">
        <ns0:f>IFERROR(IF(ISNUMBER(Bookings!D124),IF(AND(Bookings!D124=INT(Bookings!D124),Bookings!D124&gt;=DATE(2000,1,1),Bookings!D124&lt;=DATE(2100,12,31)),Bookings!D124,0),IF(AND(K124&lt;&gt;"",LEN("x"&amp;L124)-LEN(SUBSTITUTE("x"&amp;L124,".",""))=2,OR(1&gt;LEN(L124),MID(L124,1,1)=".",ISNUMBER(FIND("x"&amp;MID(L124,1,1),"x0x1x2x3x4x5x6x7x8x9"))),OR(2&gt;LEN(L124),MID(L124,2,1)=".",ISNUMBER(FIND("x"&amp;MID(L124,2,1),"x0x1x2x3x4x5x6x7x8x9"))),OR(3&gt;LEN(L124),MID(L124,3,1)=".",ISNUMBER(FIND("x"&amp;MID(L124,3,1),"x0x1x2x3x4x5x6x7x8x9"))),OR(4&gt;LEN(L124),MID(L124,4,1)=".",ISNUMBER(FIND("x"&amp;MID(L124,4,1),"x0x1x2x3x4x5x6x7x8x9"))),OR(5&gt;LEN(L124),MID(L124,5,1)=".",ISNUMBER(FIND("x"&amp;MID(L124,5,1),"x0x1x2x3x4x5x6x7x8x9"))),OR(6&gt;LEN(L124),MID(L124,6,1)=".",ISNUMBER(FIND("x"&amp;MID(L124,6,1),"x0x1x2x3x4x5x6x7x8x9"))),OR(7&gt;LEN(L124),MID(L124,7,1)=".",ISNUMBER(FIND("x"&amp;MID(L124,7,1),"x0x1x2x3x4x5x6x7x8x9"))),OR(8&gt;LEN(L124),MID(L124,8,1)=".",ISNUMBER(FIND("x"&amp;MID(L124,8,1),"x0x1x2x3x4x5x6x7x8x9"))),OR(9&gt;LEN(L124),MID(L124,9,1)=".",ISNUMBER(FIND("x"&amp;MID(L124,9,1),"x0x1x2x3x4x5x6x7x8x9"))),OR(10&gt;LEN(L124),MID(L124,10,1)=".",ISNUMBER(FIND("x"&amp;MID(L124,10,1),"x0x1x2x3x4x5x6x7x8x9"))),OR(AND(FIND(".",L124)=5,LEN(L124)-FIND(".",L124,FIND(".",L124)+1)&gt;=1,LEN(L124)-FIND(".",L124,FIND(".",L124)+1)&lt;=2),AND(LEN(L124)-FIND(".",L124,FIND(".",L124)+1)=4,FIND(".",L124)&gt;=2,FIND(".",L124)&lt;=3)),FIND(".",L124,FIND(".",L124)+1)-FIND(".",L124)&gt;=2,FIND(".",L124,FIND(".",L124)+1)-FIND(".",L124)&lt;=3,P124&gt;=2000,P124&lt;=2100,YEAR(S124)=P124,MONTH(S124)=Q124,DAY(S124)=R124),S124,0)),0)</ns0:f>
        <ns0:v>0</ns0:v>
      </ns0:c>
      <ns0:c r="U124" s="0" t="str">
        <ns0:f>IF(Bookings!C124="","Full day",Bookings!C124)</ns0:f>
        <ns0:v>Full day</ns0:v>
      </ns0:c>
      <ns0:c r="V124" s="0" t="str">
        <ns0:f>IF(Bookings!E124="","Full day",Bookings!E124)</ns0:f>
        <ns0:v>Full day</ns0:v>
      </ns0:c>
      <ns0:c r="W124" s="0">
        <ns0:f>IF(J124=0,0,J124+IF(U124="PM",1,0))</ns0:f>
        <ns0:v>0</ns0:v>
      </ns0:c>
      <ns0:c r="X124" s="0">
        <ns0:f>IF(T124=0,0,T124-IF(V124="PM",1,0))</ns0:f>
        <ns0:v>0</ns0:v>
      </ns0:c>
      <ns0:c r="Y124" s="0">
        <ns0:f>IF(J124=0,0,J124+IF(U124="AM",1,0))</ns0:f>
        <ns0:v>0</ns0:v>
      </ns0:c>
      <ns0:c r="Z124" s="0">
        <ns0:f>IF(T124=0,0,T124-IF(V124="AM",1,0))</ns0:f>
        <ns0:v>0</ns0:v>
      </ns0:c>
      <ns0:c r="AA124" s="0">
        <ns0:f>IFERROR(IF(AND(J124&gt;0,'_Engine'!C124&gt;0,MID('_Engine'!W124,WEEKDAY(J124,2),1)="W",COUNTIF(Settings!$F$18:$F$67,J124)=0),1,0),0)</ns0:f>
        <ns0:v>0</ns0:v>
      </ns0:c>
      <ns0:c r="AB124" s="0">
        <ns0:f>IFERROR(IF(AND(T124&gt;0,'_Engine'!C124&gt;0,MID('_Engine'!W124,WEEKDAY(T124,2),1)="W",COUNTIF(Settings!$F$18:$F$67,T124)=0),1,0),0)</ns0:f>
        <ns0:v>0</ns0:v>
      </ns0:c>
      <ns0:c r="AC124" s="0">
        <ns0:f>IF(AND(J124&gt;0,T124&gt;0,W124&lt;=X124),1,0)</ns0:f>
        <ns0:v>0</ns0:v>
      </ns0:c>
      <ns0:c r="AD124" s="0">
        <ns0:f>IF(AND(J124&gt;0,T124&gt;0,Y124&lt;=Z124),1,0)</ns0:f>
        <ns0:v>0</ns0:v>
      </ns0:c>
    </ns0:row>
    <ns0:row r="125">
      <ns0:c r="A125" s="0">
        <ns0:f>IFERROR(IF(ISNUMBER(Bookings!B125),"",TRIM(Bookings!B125&amp;"")),"")</ns0:f>
      </ns0:c>
      <ns0:c r="B125" s="0">
        <ns0:f>IFERROR(SUBSTITUTE(SUBSTITUTE(A125,"/","."),"-","."),"")</ns0:f>
      </ns0:c>
      <ns0:c r="C125" s="0">
        <ns0:f>IFERROR(LEFT(B125,FIND(".",B125)-1),"")</ns0:f>
      </ns0:c>
      <ns0:c r="D125" s="0">
        <ns0:f>IFERROR(MID(B125,FIND(".",B125)+1,FIND(".",B125,FIND(".",B125)+1)-FIND(".",B125)-1),"")</ns0:f>
      </ns0:c>
      <ns0:c r="E125" s="0">
        <ns0:f>IFERROR(MID(B125,FIND(".",B125,FIND(".",B125)+1)+1,99),"")</ns0:f>
        <ns0:v>99</ns0:v>
      </ns0:c>
      <ns0:c r="F125" s="0">
        <ns0:f>IFERROR(IF(FIND(".",B125)=5,--C125,--E125),0)</ns0:f>
        <ns0:v>0</ns0:v>
      </ns0:c>
      <ns0:c r="G125" s="0">
        <ns0:f>IFERROR(--D125,0)</ns0:f>
        <ns0:v>0</ns0:v>
      </ns0:c>
      <ns0:c r="H125" s="0">
        <ns0:f>IFERROR(IF(FIND(".",B125)=5,--E125,--C125),0)</ns0:f>
        <ns0:v>0</ns0:v>
      </ns0:c>
      <ns0:c r="I125" s="0">
        <ns0:f>IFERROR(IF(AND(F125&gt;=2000,F125&lt;=2100,G125&gt;=1,G125&lt;=12,H125&gt;=1,H125&lt;=31),DATE(F125,G125,H125),0),0)</ns0:f>
        <ns0:v>0</ns0:v>
      </ns0:c>
      <ns0:c r="J125" s="0">
        <ns0:f>IFERROR(IF(ISNUMBER(Bookings!B125),IF(AND(Bookings!B125=INT(Bookings!B125),Bookings!B125&gt;=DATE(2000,1,1),Bookings!B125&lt;=DATE(2100,12,31)),Bookings!B125,0),IF(AND(A125&lt;&gt;"",LEN("x"&amp;B125)-LEN(SUBSTITUTE("x"&amp;B125,".",""))=2,OR(1&gt;LEN(B125),MID(B125,1,1)=".",ISNUMBER(FIND("x"&amp;MID(B125,1,1),"x0x1x2x3x4x5x6x7x8x9"))),OR(2&gt;LEN(B125),MID(B125,2,1)=".",ISNUMBER(FIND("x"&amp;MID(B125,2,1),"x0x1x2x3x4x5x6x7x8x9"))),OR(3&gt;LEN(B125),MID(B125,3,1)=".",ISNUMBER(FIND("x"&amp;MID(B125,3,1),"x0x1x2x3x4x5x6x7x8x9"))),OR(4&gt;LEN(B125),MID(B125,4,1)=".",ISNUMBER(FIND("x"&amp;MID(B125,4,1),"x0x1x2x3x4x5x6x7x8x9"))),OR(5&gt;LEN(B125),MID(B125,5,1)=".",ISNUMBER(FIND("x"&amp;MID(B125,5,1),"x0x1x2x3x4x5x6x7x8x9"))),OR(6&gt;LEN(B125),MID(B125,6,1)=".",ISNUMBER(FIND("x"&amp;MID(B125,6,1),"x0x1x2x3x4x5x6x7x8x9"))),OR(7&gt;LEN(B125),MID(B125,7,1)=".",ISNUMBER(FIND("x"&amp;MID(B125,7,1),"x0x1x2x3x4x5x6x7x8x9"))),OR(8&gt;LEN(B125),MID(B125,8,1)=".",ISNUMBER(FIND("x"&amp;MID(B125,8,1),"x0x1x2x3x4x5x6x7x8x9"))),OR(9&gt;LEN(B125),MID(B125,9,1)=".",ISNUMBER(FIND("x"&amp;MID(B125,9,1),"x0x1x2x3x4x5x6x7x8x9"))),OR(10&gt;LEN(B125),MID(B125,10,1)=".",ISNUMBER(FIND("x"&amp;MID(B125,10,1),"x0x1x2x3x4x5x6x7x8x9"))),OR(AND(FIND(".",B125)=5,LEN(B125)-FIND(".",B125,FIND(".",B125)+1)&gt;=1,LEN(B125)-FIND(".",B125,FIND(".",B125)+1)&lt;=2),AND(LEN(B125)-FIND(".",B125,FIND(".",B125)+1)=4,FIND(".",B125)&gt;=2,FIND(".",B125)&lt;=3)),FIND(".",B125,FIND(".",B125)+1)-FIND(".",B125)&gt;=2,FIND(".",B125,FIND(".",B125)+1)-FIND(".",B125)&lt;=3,F125&gt;=2000,F125&lt;=2100,YEAR(I125)=F125,MONTH(I125)=G125,DAY(I125)=H125),I125,0)),0)</ns0:f>
        <ns0:v>0</ns0:v>
      </ns0:c>
      <ns0:c r="K125" s="0">
        <ns0:f>IFERROR(IF(ISNUMBER(Bookings!D125),"",TRIM(Bookings!D125&amp;"")),"")</ns0:f>
      </ns0:c>
      <ns0:c r="L125" s="0">
        <ns0:f>IFERROR(SUBSTITUTE(SUBSTITUTE(K125,"/","."),"-","."),"")</ns0:f>
      </ns0:c>
      <ns0:c r="M125" s="0">
        <ns0:f>IFERROR(LEFT(L125,FIND(".",L125)-1),"")</ns0:f>
      </ns0:c>
      <ns0:c r="N125" s="0">
        <ns0:f>IFERROR(MID(L125,FIND(".",L125)+1,FIND(".",L125,FIND(".",L125)+1)-FIND(".",L125)-1),"")</ns0:f>
      </ns0:c>
      <ns0:c r="O125" s="0">
        <ns0:f>IFERROR(MID(L125,FIND(".",L125,FIND(".",L125)+1)+1,99),"")</ns0:f>
        <ns0:v>99</ns0:v>
      </ns0:c>
      <ns0:c r="P125" s="0">
        <ns0:f>IFERROR(IF(FIND(".",L125)=5,--M125,--O125),0)</ns0:f>
        <ns0:v>0</ns0:v>
      </ns0:c>
      <ns0:c r="Q125" s="0">
        <ns0:f>IFERROR(--N125,0)</ns0:f>
        <ns0:v>0</ns0:v>
      </ns0:c>
      <ns0:c r="R125" s="0">
        <ns0:f>IFERROR(IF(FIND(".",L125)=5,--O125,--M125),0)</ns0:f>
        <ns0:v>0</ns0:v>
      </ns0:c>
      <ns0:c r="S125" s="0">
        <ns0:f>IFERROR(IF(AND(P125&gt;=2000,P125&lt;=2100,Q125&gt;=1,Q125&lt;=12,R125&gt;=1,R125&lt;=31),DATE(P125,Q125,R125),0),0)</ns0:f>
        <ns0:v>0</ns0:v>
      </ns0:c>
      <ns0:c r="T125" s="0">
        <ns0:f>IFERROR(IF(ISNUMBER(Bookings!D125),IF(AND(Bookings!D125=INT(Bookings!D125),Bookings!D125&gt;=DATE(2000,1,1),Bookings!D125&lt;=DATE(2100,12,31)),Bookings!D125,0),IF(AND(K125&lt;&gt;"",LEN("x"&amp;L125)-LEN(SUBSTITUTE("x"&amp;L125,".",""))=2,OR(1&gt;LEN(L125),MID(L125,1,1)=".",ISNUMBER(FIND("x"&amp;MID(L125,1,1),"x0x1x2x3x4x5x6x7x8x9"))),OR(2&gt;LEN(L125),MID(L125,2,1)=".",ISNUMBER(FIND("x"&amp;MID(L125,2,1),"x0x1x2x3x4x5x6x7x8x9"))),OR(3&gt;LEN(L125),MID(L125,3,1)=".",ISNUMBER(FIND("x"&amp;MID(L125,3,1),"x0x1x2x3x4x5x6x7x8x9"))),OR(4&gt;LEN(L125),MID(L125,4,1)=".",ISNUMBER(FIND("x"&amp;MID(L125,4,1),"x0x1x2x3x4x5x6x7x8x9"))),OR(5&gt;LEN(L125),MID(L125,5,1)=".",ISNUMBER(FIND("x"&amp;MID(L125,5,1),"x0x1x2x3x4x5x6x7x8x9"))),OR(6&gt;LEN(L125),MID(L125,6,1)=".",ISNUMBER(FIND("x"&amp;MID(L125,6,1),"x0x1x2x3x4x5x6x7x8x9"))),OR(7&gt;LEN(L125),MID(L125,7,1)=".",ISNUMBER(FIND("x"&amp;MID(L125,7,1),"x0x1x2x3x4x5x6x7x8x9"))),OR(8&gt;LEN(L125),MID(L125,8,1)=".",ISNUMBER(FIND("x"&amp;MID(L125,8,1),"x0x1x2x3x4x5x6x7x8x9"))),OR(9&gt;LEN(L125),MID(L125,9,1)=".",ISNUMBER(FIND("x"&amp;MID(L125,9,1),"x0x1x2x3x4x5x6x7x8x9"))),OR(10&gt;LEN(L125),MID(L125,10,1)=".",ISNUMBER(FIND("x"&amp;MID(L125,10,1),"x0x1x2x3x4x5x6x7x8x9"))),OR(AND(FIND(".",L125)=5,LEN(L125)-FIND(".",L125,FIND(".",L125)+1)&gt;=1,LEN(L125)-FIND(".",L125,FIND(".",L125)+1)&lt;=2),AND(LEN(L125)-FIND(".",L125,FIND(".",L125)+1)=4,FIND(".",L125)&gt;=2,FIND(".",L125)&lt;=3)),FIND(".",L125,FIND(".",L125)+1)-FIND(".",L125)&gt;=2,FIND(".",L125,FIND(".",L125)+1)-FIND(".",L125)&lt;=3,P125&gt;=2000,P125&lt;=2100,YEAR(S125)=P125,MONTH(S125)=Q125,DAY(S125)=R125),S125,0)),0)</ns0:f>
        <ns0:v>0</ns0:v>
      </ns0:c>
      <ns0:c r="U125" s="0" t="str">
        <ns0:f>IF(Bookings!C125="","Full day",Bookings!C125)</ns0:f>
        <ns0:v>Full day</ns0:v>
      </ns0:c>
      <ns0:c r="V125" s="0" t="str">
        <ns0:f>IF(Bookings!E125="","Full day",Bookings!E125)</ns0:f>
        <ns0:v>Full day</ns0:v>
      </ns0:c>
      <ns0:c r="W125" s="0">
        <ns0:f>IF(J125=0,0,J125+IF(U125="PM",1,0))</ns0:f>
        <ns0:v>0</ns0:v>
      </ns0:c>
      <ns0:c r="X125" s="0">
        <ns0:f>IF(T125=0,0,T125-IF(V125="PM",1,0))</ns0:f>
        <ns0:v>0</ns0:v>
      </ns0:c>
      <ns0:c r="Y125" s="0">
        <ns0:f>IF(J125=0,0,J125+IF(U125="AM",1,0))</ns0:f>
        <ns0:v>0</ns0:v>
      </ns0:c>
      <ns0:c r="Z125" s="0">
        <ns0:f>IF(T125=0,0,T125-IF(V125="AM",1,0))</ns0:f>
        <ns0:v>0</ns0:v>
      </ns0:c>
      <ns0:c r="AA125" s="0">
        <ns0:f>IFERROR(IF(AND(J125&gt;0,'_Engine'!C125&gt;0,MID('_Engine'!W125,WEEKDAY(J125,2),1)="W",COUNTIF(Settings!$F$18:$F$67,J125)=0),1,0),0)</ns0:f>
        <ns0:v>0</ns0:v>
      </ns0:c>
      <ns0:c r="AB125" s="0">
        <ns0:f>IFERROR(IF(AND(T125&gt;0,'_Engine'!C125&gt;0,MID('_Engine'!W125,WEEKDAY(T125,2),1)="W",COUNTIF(Settings!$F$18:$F$67,T125)=0),1,0),0)</ns0:f>
        <ns0:v>0</ns0:v>
      </ns0:c>
      <ns0:c r="AC125" s="0">
        <ns0:f>IF(AND(J125&gt;0,T125&gt;0,W125&lt;=X125),1,0)</ns0:f>
        <ns0:v>0</ns0:v>
      </ns0:c>
      <ns0:c r="AD125" s="0">
        <ns0:f>IF(AND(J125&gt;0,T125&gt;0,Y125&lt;=Z125),1,0)</ns0:f>
        <ns0:v>0</ns0:v>
      </ns0:c>
    </ns0:row>
    <ns0:row r="126">
      <ns0:c r="A126" s="0">
        <ns0:f>IFERROR(IF(ISNUMBER(Bookings!B126),"",TRIM(Bookings!B126&amp;"")),"")</ns0:f>
      </ns0:c>
      <ns0:c r="B126" s="0">
        <ns0:f>IFERROR(SUBSTITUTE(SUBSTITUTE(A126,"/","."),"-","."),"")</ns0:f>
      </ns0:c>
      <ns0:c r="C126" s="0">
        <ns0:f>IFERROR(LEFT(B126,FIND(".",B126)-1),"")</ns0:f>
      </ns0:c>
      <ns0:c r="D126" s="0">
        <ns0:f>IFERROR(MID(B126,FIND(".",B126)+1,FIND(".",B126,FIND(".",B126)+1)-FIND(".",B126)-1),"")</ns0:f>
      </ns0:c>
      <ns0:c r="E126" s="0">
        <ns0:f>IFERROR(MID(B126,FIND(".",B126,FIND(".",B126)+1)+1,99),"")</ns0:f>
        <ns0:v>99</ns0:v>
      </ns0:c>
      <ns0:c r="F126" s="0">
        <ns0:f>IFERROR(IF(FIND(".",B126)=5,--C126,--E126),0)</ns0:f>
        <ns0:v>0</ns0:v>
      </ns0:c>
      <ns0:c r="G126" s="0">
        <ns0:f>IFERROR(--D126,0)</ns0:f>
        <ns0:v>0</ns0:v>
      </ns0:c>
      <ns0:c r="H126" s="0">
        <ns0:f>IFERROR(IF(FIND(".",B126)=5,--E126,--C126),0)</ns0:f>
        <ns0:v>0</ns0:v>
      </ns0:c>
      <ns0:c r="I126" s="0">
        <ns0:f>IFERROR(IF(AND(F126&gt;=2000,F126&lt;=2100,G126&gt;=1,G126&lt;=12,H126&gt;=1,H126&lt;=31),DATE(F126,G126,H126),0),0)</ns0:f>
        <ns0:v>0</ns0:v>
      </ns0:c>
      <ns0:c r="J126" s="0">
        <ns0:f>IFERROR(IF(ISNUMBER(Bookings!B126),IF(AND(Bookings!B126=INT(Bookings!B126),Bookings!B126&gt;=DATE(2000,1,1),Bookings!B126&lt;=DATE(2100,12,31)),Bookings!B126,0),IF(AND(A126&lt;&gt;"",LEN("x"&amp;B126)-LEN(SUBSTITUTE("x"&amp;B126,".",""))=2,OR(1&gt;LEN(B126),MID(B126,1,1)=".",ISNUMBER(FIND("x"&amp;MID(B126,1,1),"x0x1x2x3x4x5x6x7x8x9"))),OR(2&gt;LEN(B126),MID(B126,2,1)=".",ISNUMBER(FIND("x"&amp;MID(B126,2,1),"x0x1x2x3x4x5x6x7x8x9"))),OR(3&gt;LEN(B126),MID(B126,3,1)=".",ISNUMBER(FIND("x"&amp;MID(B126,3,1),"x0x1x2x3x4x5x6x7x8x9"))),OR(4&gt;LEN(B126),MID(B126,4,1)=".",ISNUMBER(FIND("x"&amp;MID(B126,4,1),"x0x1x2x3x4x5x6x7x8x9"))),OR(5&gt;LEN(B126),MID(B126,5,1)=".",ISNUMBER(FIND("x"&amp;MID(B126,5,1),"x0x1x2x3x4x5x6x7x8x9"))),OR(6&gt;LEN(B126),MID(B126,6,1)=".",ISNUMBER(FIND("x"&amp;MID(B126,6,1),"x0x1x2x3x4x5x6x7x8x9"))),OR(7&gt;LEN(B126),MID(B126,7,1)=".",ISNUMBER(FIND("x"&amp;MID(B126,7,1),"x0x1x2x3x4x5x6x7x8x9"))),OR(8&gt;LEN(B126),MID(B126,8,1)=".",ISNUMBER(FIND("x"&amp;MID(B126,8,1),"x0x1x2x3x4x5x6x7x8x9"))),OR(9&gt;LEN(B126),MID(B126,9,1)=".",ISNUMBER(FIND("x"&amp;MID(B126,9,1),"x0x1x2x3x4x5x6x7x8x9"))),OR(10&gt;LEN(B126),MID(B126,10,1)=".",ISNUMBER(FIND("x"&amp;MID(B126,10,1),"x0x1x2x3x4x5x6x7x8x9"))),OR(AND(FIND(".",B126)=5,LEN(B126)-FIND(".",B126,FIND(".",B126)+1)&gt;=1,LEN(B126)-FIND(".",B126,FIND(".",B126)+1)&lt;=2),AND(LEN(B126)-FIND(".",B126,FIND(".",B126)+1)=4,FIND(".",B126)&gt;=2,FIND(".",B126)&lt;=3)),FIND(".",B126,FIND(".",B126)+1)-FIND(".",B126)&gt;=2,FIND(".",B126,FIND(".",B126)+1)-FIND(".",B126)&lt;=3,F126&gt;=2000,F126&lt;=2100,YEAR(I126)=F126,MONTH(I126)=G126,DAY(I126)=H126),I126,0)),0)</ns0:f>
        <ns0:v>0</ns0:v>
      </ns0:c>
      <ns0:c r="K126" s="0">
        <ns0:f>IFERROR(IF(ISNUMBER(Bookings!D126),"",TRIM(Bookings!D126&amp;"")),"")</ns0:f>
      </ns0:c>
      <ns0:c r="L126" s="0">
        <ns0:f>IFERROR(SUBSTITUTE(SUBSTITUTE(K126,"/","."),"-","."),"")</ns0:f>
      </ns0:c>
      <ns0:c r="M126" s="0">
        <ns0:f>IFERROR(LEFT(L126,FIND(".",L126)-1),"")</ns0:f>
      </ns0:c>
      <ns0:c r="N126" s="0">
        <ns0:f>IFERROR(MID(L126,FIND(".",L126)+1,FIND(".",L126,FIND(".",L126)+1)-FIND(".",L126)-1),"")</ns0:f>
      </ns0:c>
      <ns0:c r="O126" s="0">
        <ns0:f>IFERROR(MID(L126,FIND(".",L126,FIND(".",L126)+1)+1,99),"")</ns0:f>
        <ns0:v>99</ns0:v>
      </ns0:c>
      <ns0:c r="P126" s="0">
        <ns0:f>IFERROR(IF(FIND(".",L126)=5,--M126,--O126),0)</ns0:f>
        <ns0:v>0</ns0:v>
      </ns0:c>
      <ns0:c r="Q126" s="0">
        <ns0:f>IFERROR(--N126,0)</ns0:f>
        <ns0:v>0</ns0:v>
      </ns0:c>
      <ns0:c r="R126" s="0">
        <ns0:f>IFERROR(IF(FIND(".",L126)=5,--O126,--M126),0)</ns0:f>
        <ns0:v>0</ns0:v>
      </ns0:c>
      <ns0:c r="S126" s="0">
        <ns0:f>IFERROR(IF(AND(P126&gt;=2000,P126&lt;=2100,Q126&gt;=1,Q126&lt;=12,R126&gt;=1,R126&lt;=31),DATE(P126,Q126,R126),0),0)</ns0:f>
        <ns0:v>0</ns0:v>
      </ns0:c>
      <ns0:c r="T126" s="0">
        <ns0:f>IFERROR(IF(ISNUMBER(Bookings!D126),IF(AND(Bookings!D126=INT(Bookings!D126),Bookings!D126&gt;=DATE(2000,1,1),Bookings!D126&lt;=DATE(2100,12,31)),Bookings!D126,0),IF(AND(K126&lt;&gt;"",LEN("x"&amp;L126)-LEN(SUBSTITUTE("x"&amp;L126,".",""))=2,OR(1&gt;LEN(L126),MID(L126,1,1)=".",ISNUMBER(FIND("x"&amp;MID(L126,1,1),"x0x1x2x3x4x5x6x7x8x9"))),OR(2&gt;LEN(L126),MID(L126,2,1)=".",ISNUMBER(FIND("x"&amp;MID(L126,2,1),"x0x1x2x3x4x5x6x7x8x9"))),OR(3&gt;LEN(L126),MID(L126,3,1)=".",ISNUMBER(FIND("x"&amp;MID(L126,3,1),"x0x1x2x3x4x5x6x7x8x9"))),OR(4&gt;LEN(L126),MID(L126,4,1)=".",ISNUMBER(FIND("x"&amp;MID(L126,4,1),"x0x1x2x3x4x5x6x7x8x9"))),OR(5&gt;LEN(L126),MID(L126,5,1)=".",ISNUMBER(FIND("x"&amp;MID(L126,5,1),"x0x1x2x3x4x5x6x7x8x9"))),OR(6&gt;LEN(L126),MID(L126,6,1)=".",ISNUMBER(FIND("x"&amp;MID(L126,6,1),"x0x1x2x3x4x5x6x7x8x9"))),OR(7&gt;LEN(L126),MID(L126,7,1)=".",ISNUMBER(FIND("x"&amp;MID(L126,7,1),"x0x1x2x3x4x5x6x7x8x9"))),OR(8&gt;LEN(L126),MID(L126,8,1)=".",ISNUMBER(FIND("x"&amp;MID(L126,8,1),"x0x1x2x3x4x5x6x7x8x9"))),OR(9&gt;LEN(L126),MID(L126,9,1)=".",ISNUMBER(FIND("x"&amp;MID(L126,9,1),"x0x1x2x3x4x5x6x7x8x9"))),OR(10&gt;LEN(L126),MID(L126,10,1)=".",ISNUMBER(FIND("x"&amp;MID(L126,10,1),"x0x1x2x3x4x5x6x7x8x9"))),OR(AND(FIND(".",L126)=5,LEN(L126)-FIND(".",L126,FIND(".",L126)+1)&gt;=1,LEN(L126)-FIND(".",L126,FIND(".",L126)+1)&lt;=2),AND(LEN(L126)-FIND(".",L126,FIND(".",L126)+1)=4,FIND(".",L126)&gt;=2,FIND(".",L126)&lt;=3)),FIND(".",L126,FIND(".",L126)+1)-FIND(".",L126)&gt;=2,FIND(".",L126,FIND(".",L126)+1)-FIND(".",L126)&lt;=3,P126&gt;=2000,P126&lt;=2100,YEAR(S126)=P126,MONTH(S126)=Q126,DAY(S126)=R126),S126,0)),0)</ns0:f>
        <ns0:v>0</ns0:v>
      </ns0:c>
      <ns0:c r="U126" s="0" t="str">
        <ns0:f>IF(Bookings!C126="","Full day",Bookings!C126)</ns0:f>
        <ns0:v>Full day</ns0:v>
      </ns0:c>
      <ns0:c r="V126" s="0" t="str">
        <ns0:f>IF(Bookings!E126="","Full day",Bookings!E126)</ns0:f>
        <ns0:v>Full day</ns0:v>
      </ns0:c>
      <ns0:c r="W126" s="0">
        <ns0:f>IF(J126=0,0,J126+IF(U126="PM",1,0))</ns0:f>
        <ns0:v>0</ns0:v>
      </ns0:c>
      <ns0:c r="X126" s="0">
        <ns0:f>IF(T126=0,0,T126-IF(V126="PM",1,0))</ns0:f>
        <ns0:v>0</ns0:v>
      </ns0:c>
      <ns0:c r="Y126" s="0">
        <ns0:f>IF(J126=0,0,J126+IF(U126="AM",1,0))</ns0:f>
        <ns0:v>0</ns0:v>
      </ns0:c>
      <ns0:c r="Z126" s="0">
        <ns0:f>IF(T126=0,0,T126-IF(V126="AM",1,0))</ns0:f>
        <ns0:v>0</ns0:v>
      </ns0:c>
      <ns0:c r="AA126" s="0">
        <ns0:f>IFERROR(IF(AND(J126&gt;0,'_Engine'!C126&gt;0,MID('_Engine'!W126,WEEKDAY(J126,2),1)="W",COUNTIF(Settings!$F$18:$F$67,J126)=0),1,0),0)</ns0:f>
        <ns0:v>0</ns0:v>
      </ns0:c>
      <ns0:c r="AB126" s="0">
        <ns0:f>IFERROR(IF(AND(T126&gt;0,'_Engine'!C126&gt;0,MID('_Engine'!W126,WEEKDAY(T126,2),1)="W",COUNTIF(Settings!$F$18:$F$67,T126)=0),1,0),0)</ns0:f>
        <ns0:v>0</ns0:v>
      </ns0:c>
      <ns0:c r="AC126" s="0">
        <ns0:f>IF(AND(J126&gt;0,T126&gt;0,W126&lt;=X126),1,0)</ns0:f>
        <ns0:v>0</ns0:v>
      </ns0:c>
      <ns0:c r="AD126" s="0">
        <ns0:f>IF(AND(J126&gt;0,T126&gt;0,Y126&lt;=Z126),1,0)</ns0:f>
        <ns0:v>0</ns0:v>
      </ns0:c>
    </ns0:row>
    <ns0:row r="127">
      <ns0:c r="A127" s="0">
        <ns0:f>IFERROR(IF(ISNUMBER(Bookings!B127),"",TRIM(Bookings!B127&amp;"")),"")</ns0:f>
      </ns0:c>
      <ns0:c r="B127" s="0">
        <ns0:f>IFERROR(SUBSTITUTE(SUBSTITUTE(A127,"/","."),"-","."),"")</ns0:f>
      </ns0:c>
      <ns0:c r="C127" s="0">
        <ns0:f>IFERROR(LEFT(B127,FIND(".",B127)-1),"")</ns0:f>
      </ns0:c>
      <ns0:c r="D127" s="0">
        <ns0:f>IFERROR(MID(B127,FIND(".",B127)+1,FIND(".",B127,FIND(".",B127)+1)-FIND(".",B127)-1),"")</ns0:f>
      </ns0:c>
      <ns0:c r="E127" s="0">
        <ns0:f>IFERROR(MID(B127,FIND(".",B127,FIND(".",B127)+1)+1,99),"")</ns0:f>
        <ns0:v>99</ns0:v>
      </ns0:c>
      <ns0:c r="F127" s="0">
        <ns0:f>IFERROR(IF(FIND(".",B127)=5,--C127,--E127),0)</ns0:f>
        <ns0:v>0</ns0:v>
      </ns0:c>
      <ns0:c r="G127" s="0">
        <ns0:f>IFERROR(--D127,0)</ns0:f>
        <ns0:v>0</ns0:v>
      </ns0:c>
      <ns0:c r="H127" s="0">
        <ns0:f>IFERROR(IF(FIND(".",B127)=5,--E127,--C127),0)</ns0:f>
        <ns0:v>0</ns0:v>
      </ns0:c>
      <ns0:c r="I127" s="0">
        <ns0:f>IFERROR(IF(AND(F127&gt;=2000,F127&lt;=2100,G127&gt;=1,G127&lt;=12,H127&gt;=1,H127&lt;=31),DATE(F127,G127,H127),0),0)</ns0:f>
        <ns0:v>0</ns0:v>
      </ns0:c>
      <ns0:c r="J127" s="0">
        <ns0:f>IFERROR(IF(ISNUMBER(Bookings!B127),IF(AND(Bookings!B127=INT(Bookings!B127),Bookings!B127&gt;=DATE(2000,1,1),Bookings!B127&lt;=DATE(2100,12,31)),Bookings!B127,0),IF(AND(A127&lt;&gt;"",LEN("x"&amp;B127)-LEN(SUBSTITUTE("x"&amp;B127,".",""))=2,OR(1&gt;LEN(B127),MID(B127,1,1)=".",ISNUMBER(FIND("x"&amp;MID(B127,1,1),"x0x1x2x3x4x5x6x7x8x9"))),OR(2&gt;LEN(B127),MID(B127,2,1)=".",ISNUMBER(FIND("x"&amp;MID(B127,2,1),"x0x1x2x3x4x5x6x7x8x9"))),OR(3&gt;LEN(B127),MID(B127,3,1)=".",ISNUMBER(FIND("x"&amp;MID(B127,3,1),"x0x1x2x3x4x5x6x7x8x9"))),OR(4&gt;LEN(B127),MID(B127,4,1)=".",ISNUMBER(FIND("x"&amp;MID(B127,4,1),"x0x1x2x3x4x5x6x7x8x9"))),OR(5&gt;LEN(B127),MID(B127,5,1)=".",ISNUMBER(FIND("x"&amp;MID(B127,5,1),"x0x1x2x3x4x5x6x7x8x9"))),OR(6&gt;LEN(B127),MID(B127,6,1)=".",ISNUMBER(FIND("x"&amp;MID(B127,6,1),"x0x1x2x3x4x5x6x7x8x9"))),OR(7&gt;LEN(B127),MID(B127,7,1)=".",ISNUMBER(FIND("x"&amp;MID(B127,7,1),"x0x1x2x3x4x5x6x7x8x9"))),OR(8&gt;LEN(B127),MID(B127,8,1)=".",ISNUMBER(FIND("x"&amp;MID(B127,8,1),"x0x1x2x3x4x5x6x7x8x9"))),OR(9&gt;LEN(B127),MID(B127,9,1)=".",ISNUMBER(FIND("x"&amp;MID(B127,9,1),"x0x1x2x3x4x5x6x7x8x9"))),OR(10&gt;LEN(B127),MID(B127,10,1)=".",ISNUMBER(FIND("x"&amp;MID(B127,10,1),"x0x1x2x3x4x5x6x7x8x9"))),OR(AND(FIND(".",B127)=5,LEN(B127)-FIND(".",B127,FIND(".",B127)+1)&gt;=1,LEN(B127)-FIND(".",B127,FIND(".",B127)+1)&lt;=2),AND(LEN(B127)-FIND(".",B127,FIND(".",B127)+1)=4,FIND(".",B127)&gt;=2,FIND(".",B127)&lt;=3)),FIND(".",B127,FIND(".",B127)+1)-FIND(".",B127)&gt;=2,FIND(".",B127,FIND(".",B127)+1)-FIND(".",B127)&lt;=3,F127&gt;=2000,F127&lt;=2100,YEAR(I127)=F127,MONTH(I127)=G127,DAY(I127)=H127),I127,0)),0)</ns0:f>
        <ns0:v>0</ns0:v>
      </ns0:c>
      <ns0:c r="K127" s="0">
        <ns0:f>IFERROR(IF(ISNUMBER(Bookings!D127),"",TRIM(Bookings!D127&amp;"")),"")</ns0:f>
      </ns0:c>
      <ns0:c r="L127" s="0">
        <ns0:f>IFERROR(SUBSTITUTE(SUBSTITUTE(K127,"/","."),"-","."),"")</ns0:f>
      </ns0:c>
      <ns0:c r="M127" s="0">
        <ns0:f>IFERROR(LEFT(L127,FIND(".",L127)-1),"")</ns0:f>
      </ns0:c>
      <ns0:c r="N127" s="0">
        <ns0:f>IFERROR(MID(L127,FIND(".",L127)+1,FIND(".",L127,FIND(".",L127)+1)-FIND(".",L127)-1),"")</ns0:f>
      </ns0:c>
      <ns0:c r="O127" s="0">
        <ns0:f>IFERROR(MID(L127,FIND(".",L127,FIND(".",L127)+1)+1,99),"")</ns0:f>
        <ns0:v>99</ns0:v>
      </ns0:c>
      <ns0:c r="P127" s="0">
        <ns0:f>IFERROR(IF(FIND(".",L127)=5,--M127,--O127),0)</ns0:f>
        <ns0:v>0</ns0:v>
      </ns0:c>
      <ns0:c r="Q127" s="0">
        <ns0:f>IFERROR(--N127,0)</ns0:f>
        <ns0:v>0</ns0:v>
      </ns0:c>
      <ns0:c r="R127" s="0">
        <ns0:f>IFERROR(IF(FIND(".",L127)=5,--O127,--M127),0)</ns0:f>
        <ns0:v>0</ns0:v>
      </ns0:c>
      <ns0:c r="S127" s="0">
        <ns0:f>IFERROR(IF(AND(P127&gt;=2000,P127&lt;=2100,Q127&gt;=1,Q127&lt;=12,R127&gt;=1,R127&lt;=31),DATE(P127,Q127,R127),0),0)</ns0:f>
        <ns0:v>0</ns0:v>
      </ns0:c>
      <ns0:c r="T127" s="0">
        <ns0:f>IFERROR(IF(ISNUMBER(Bookings!D127),IF(AND(Bookings!D127=INT(Bookings!D127),Bookings!D127&gt;=DATE(2000,1,1),Bookings!D127&lt;=DATE(2100,12,31)),Bookings!D127,0),IF(AND(K127&lt;&gt;"",LEN("x"&amp;L127)-LEN(SUBSTITUTE("x"&amp;L127,".",""))=2,OR(1&gt;LEN(L127),MID(L127,1,1)=".",ISNUMBER(FIND("x"&amp;MID(L127,1,1),"x0x1x2x3x4x5x6x7x8x9"))),OR(2&gt;LEN(L127),MID(L127,2,1)=".",ISNUMBER(FIND("x"&amp;MID(L127,2,1),"x0x1x2x3x4x5x6x7x8x9"))),OR(3&gt;LEN(L127),MID(L127,3,1)=".",ISNUMBER(FIND("x"&amp;MID(L127,3,1),"x0x1x2x3x4x5x6x7x8x9"))),OR(4&gt;LEN(L127),MID(L127,4,1)=".",ISNUMBER(FIND("x"&amp;MID(L127,4,1),"x0x1x2x3x4x5x6x7x8x9"))),OR(5&gt;LEN(L127),MID(L127,5,1)=".",ISNUMBER(FIND("x"&amp;MID(L127,5,1),"x0x1x2x3x4x5x6x7x8x9"))),OR(6&gt;LEN(L127),MID(L127,6,1)=".",ISNUMBER(FIND("x"&amp;MID(L127,6,1),"x0x1x2x3x4x5x6x7x8x9"))),OR(7&gt;LEN(L127),MID(L127,7,1)=".",ISNUMBER(FIND("x"&amp;MID(L127,7,1),"x0x1x2x3x4x5x6x7x8x9"))),OR(8&gt;LEN(L127),MID(L127,8,1)=".",ISNUMBER(FIND("x"&amp;MID(L127,8,1),"x0x1x2x3x4x5x6x7x8x9"))),OR(9&gt;LEN(L127),MID(L127,9,1)=".",ISNUMBER(FIND("x"&amp;MID(L127,9,1),"x0x1x2x3x4x5x6x7x8x9"))),OR(10&gt;LEN(L127),MID(L127,10,1)=".",ISNUMBER(FIND("x"&amp;MID(L127,10,1),"x0x1x2x3x4x5x6x7x8x9"))),OR(AND(FIND(".",L127)=5,LEN(L127)-FIND(".",L127,FIND(".",L127)+1)&gt;=1,LEN(L127)-FIND(".",L127,FIND(".",L127)+1)&lt;=2),AND(LEN(L127)-FIND(".",L127,FIND(".",L127)+1)=4,FIND(".",L127)&gt;=2,FIND(".",L127)&lt;=3)),FIND(".",L127,FIND(".",L127)+1)-FIND(".",L127)&gt;=2,FIND(".",L127,FIND(".",L127)+1)-FIND(".",L127)&lt;=3,P127&gt;=2000,P127&lt;=2100,YEAR(S127)=P127,MONTH(S127)=Q127,DAY(S127)=R127),S127,0)),0)</ns0:f>
        <ns0:v>0</ns0:v>
      </ns0:c>
      <ns0:c r="U127" s="0" t="str">
        <ns0:f>IF(Bookings!C127="","Full day",Bookings!C127)</ns0:f>
        <ns0:v>Full day</ns0:v>
      </ns0:c>
      <ns0:c r="V127" s="0" t="str">
        <ns0:f>IF(Bookings!E127="","Full day",Bookings!E127)</ns0:f>
        <ns0:v>Full day</ns0:v>
      </ns0:c>
      <ns0:c r="W127" s="0">
        <ns0:f>IF(J127=0,0,J127+IF(U127="PM",1,0))</ns0:f>
        <ns0:v>0</ns0:v>
      </ns0:c>
      <ns0:c r="X127" s="0">
        <ns0:f>IF(T127=0,0,T127-IF(V127="PM",1,0))</ns0:f>
        <ns0:v>0</ns0:v>
      </ns0:c>
      <ns0:c r="Y127" s="0">
        <ns0:f>IF(J127=0,0,J127+IF(U127="AM",1,0))</ns0:f>
        <ns0:v>0</ns0:v>
      </ns0:c>
      <ns0:c r="Z127" s="0">
        <ns0:f>IF(T127=0,0,T127-IF(V127="AM",1,0))</ns0:f>
        <ns0:v>0</ns0:v>
      </ns0:c>
      <ns0:c r="AA127" s="0">
        <ns0:f>IFERROR(IF(AND(J127&gt;0,'_Engine'!C127&gt;0,MID('_Engine'!W127,WEEKDAY(J127,2),1)="W",COUNTIF(Settings!$F$18:$F$67,J127)=0),1,0),0)</ns0:f>
        <ns0:v>0</ns0:v>
      </ns0:c>
      <ns0:c r="AB127" s="0">
        <ns0:f>IFERROR(IF(AND(T127&gt;0,'_Engine'!C127&gt;0,MID('_Engine'!W127,WEEKDAY(T127,2),1)="W",COUNTIF(Settings!$F$18:$F$67,T127)=0),1,0),0)</ns0:f>
        <ns0:v>0</ns0:v>
      </ns0:c>
      <ns0:c r="AC127" s="0">
        <ns0:f>IF(AND(J127&gt;0,T127&gt;0,W127&lt;=X127),1,0)</ns0:f>
        <ns0:v>0</ns0:v>
      </ns0:c>
      <ns0:c r="AD127" s="0">
        <ns0:f>IF(AND(J127&gt;0,T127&gt;0,Y127&lt;=Z127),1,0)</ns0:f>
        <ns0:v>0</ns0:v>
      </ns0:c>
    </ns0:row>
    <ns0:row r="128">
      <ns0:c r="A128" s="0">
        <ns0:f>IFERROR(IF(ISNUMBER(Bookings!B128),"",TRIM(Bookings!B128&amp;"")),"")</ns0:f>
      </ns0:c>
      <ns0:c r="B128" s="0">
        <ns0:f>IFERROR(SUBSTITUTE(SUBSTITUTE(A128,"/","."),"-","."),"")</ns0:f>
      </ns0:c>
      <ns0:c r="C128" s="0">
        <ns0:f>IFERROR(LEFT(B128,FIND(".",B128)-1),"")</ns0:f>
      </ns0:c>
      <ns0:c r="D128" s="0">
        <ns0:f>IFERROR(MID(B128,FIND(".",B128)+1,FIND(".",B128,FIND(".",B128)+1)-FIND(".",B128)-1),"")</ns0:f>
      </ns0:c>
      <ns0:c r="E128" s="0">
        <ns0:f>IFERROR(MID(B128,FIND(".",B128,FIND(".",B128)+1)+1,99),"")</ns0:f>
        <ns0:v>99</ns0:v>
      </ns0:c>
      <ns0:c r="F128" s="0">
        <ns0:f>IFERROR(IF(FIND(".",B128)=5,--C128,--E128),0)</ns0:f>
        <ns0:v>0</ns0:v>
      </ns0:c>
      <ns0:c r="G128" s="0">
        <ns0:f>IFERROR(--D128,0)</ns0:f>
        <ns0:v>0</ns0:v>
      </ns0:c>
      <ns0:c r="H128" s="0">
        <ns0:f>IFERROR(IF(FIND(".",B128)=5,--E128,--C128),0)</ns0:f>
        <ns0:v>0</ns0:v>
      </ns0:c>
      <ns0:c r="I128" s="0">
        <ns0:f>IFERROR(IF(AND(F128&gt;=2000,F128&lt;=2100,G128&gt;=1,G128&lt;=12,H128&gt;=1,H128&lt;=31),DATE(F128,G128,H128),0),0)</ns0:f>
        <ns0:v>0</ns0:v>
      </ns0:c>
      <ns0:c r="J128" s="0">
        <ns0:f>IFERROR(IF(ISNUMBER(Bookings!B128),IF(AND(Bookings!B128=INT(Bookings!B128),Bookings!B128&gt;=DATE(2000,1,1),Bookings!B128&lt;=DATE(2100,12,31)),Bookings!B128,0),IF(AND(A128&lt;&gt;"",LEN("x"&amp;B128)-LEN(SUBSTITUTE("x"&amp;B128,".",""))=2,OR(1&gt;LEN(B128),MID(B128,1,1)=".",ISNUMBER(FIND("x"&amp;MID(B128,1,1),"x0x1x2x3x4x5x6x7x8x9"))),OR(2&gt;LEN(B128),MID(B128,2,1)=".",ISNUMBER(FIND("x"&amp;MID(B128,2,1),"x0x1x2x3x4x5x6x7x8x9"))),OR(3&gt;LEN(B128),MID(B128,3,1)=".",ISNUMBER(FIND("x"&amp;MID(B128,3,1),"x0x1x2x3x4x5x6x7x8x9"))),OR(4&gt;LEN(B128),MID(B128,4,1)=".",ISNUMBER(FIND("x"&amp;MID(B128,4,1),"x0x1x2x3x4x5x6x7x8x9"))),OR(5&gt;LEN(B128),MID(B128,5,1)=".",ISNUMBER(FIND("x"&amp;MID(B128,5,1),"x0x1x2x3x4x5x6x7x8x9"))),OR(6&gt;LEN(B128),MID(B128,6,1)=".",ISNUMBER(FIND("x"&amp;MID(B128,6,1),"x0x1x2x3x4x5x6x7x8x9"))),OR(7&gt;LEN(B128),MID(B128,7,1)=".",ISNUMBER(FIND("x"&amp;MID(B128,7,1),"x0x1x2x3x4x5x6x7x8x9"))),OR(8&gt;LEN(B128),MID(B128,8,1)=".",ISNUMBER(FIND("x"&amp;MID(B128,8,1),"x0x1x2x3x4x5x6x7x8x9"))),OR(9&gt;LEN(B128),MID(B128,9,1)=".",ISNUMBER(FIND("x"&amp;MID(B128,9,1),"x0x1x2x3x4x5x6x7x8x9"))),OR(10&gt;LEN(B128),MID(B128,10,1)=".",ISNUMBER(FIND("x"&amp;MID(B128,10,1),"x0x1x2x3x4x5x6x7x8x9"))),OR(AND(FIND(".",B128)=5,LEN(B128)-FIND(".",B128,FIND(".",B128)+1)&gt;=1,LEN(B128)-FIND(".",B128,FIND(".",B128)+1)&lt;=2),AND(LEN(B128)-FIND(".",B128,FIND(".",B128)+1)=4,FIND(".",B128)&gt;=2,FIND(".",B128)&lt;=3)),FIND(".",B128,FIND(".",B128)+1)-FIND(".",B128)&gt;=2,FIND(".",B128,FIND(".",B128)+1)-FIND(".",B128)&lt;=3,F128&gt;=2000,F128&lt;=2100,YEAR(I128)=F128,MONTH(I128)=G128,DAY(I128)=H128),I128,0)),0)</ns0:f>
        <ns0:v>0</ns0:v>
      </ns0:c>
      <ns0:c r="K128" s="0">
        <ns0:f>IFERROR(IF(ISNUMBER(Bookings!D128),"",TRIM(Bookings!D128&amp;"")),"")</ns0:f>
      </ns0:c>
      <ns0:c r="L128" s="0">
        <ns0:f>IFERROR(SUBSTITUTE(SUBSTITUTE(K128,"/","."),"-","."),"")</ns0:f>
      </ns0:c>
      <ns0:c r="M128" s="0">
        <ns0:f>IFERROR(LEFT(L128,FIND(".",L128)-1),"")</ns0:f>
      </ns0:c>
      <ns0:c r="N128" s="0">
        <ns0:f>IFERROR(MID(L128,FIND(".",L128)+1,FIND(".",L128,FIND(".",L128)+1)-FIND(".",L128)-1),"")</ns0:f>
      </ns0:c>
      <ns0:c r="O128" s="0">
        <ns0:f>IFERROR(MID(L128,FIND(".",L128,FIND(".",L128)+1)+1,99),"")</ns0:f>
        <ns0:v>99</ns0:v>
      </ns0:c>
      <ns0:c r="P128" s="0">
        <ns0:f>IFERROR(IF(FIND(".",L128)=5,--M128,--O128),0)</ns0:f>
        <ns0:v>0</ns0:v>
      </ns0:c>
      <ns0:c r="Q128" s="0">
        <ns0:f>IFERROR(--N128,0)</ns0:f>
        <ns0:v>0</ns0:v>
      </ns0:c>
      <ns0:c r="R128" s="0">
        <ns0:f>IFERROR(IF(FIND(".",L128)=5,--O128,--M128),0)</ns0:f>
        <ns0:v>0</ns0:v>
      </ns0:c>
      <ns0:c r="S128" s="0">
        <ns0:f>IFERROR(IF(AND(P128&gt;=2000,P128&lt;=2100,Q128&gt;=1,Q128&lt;=12,R128&gt;=1,R128&lt;=31),DATE(P128,Q128,R128),0),0)</ns0:f>
        <ns0:v>0</ns0:v>
      </ns0:c>
      <ns0:c r="T128" s="0">
        <ns0:f>IFERROR(IF(ISNUMBER(Bookings!D128),IF(AND(Bookings!D128=INT(Bookings!D128),Bookings!D128&gt;=DATE(2000,1,1),Bookings!D128&lt;=DATE(2100,12,31)),Bookings!D128,0),IF(AND(K128&lt;&gt;"",LEN("x"&amp;L128)-LEN(SUBSTITUTE("x"&amp;L128,".",""))=2,OR(1&gt;LEN(L128),MID(L128,1,1)=".",ISNUMBER(FIND("x"&amp;MID(L128,1,1),"x0x1x2x3x4x5x6x7x8x9"))),OR(2&gt;LEN(L128),MID(L128,2,1)=".",ISNUMBER(FIND("x"&amp;MID(L128,2,1),"x0x1x2x3x4x5x6x7x8x9"))),OR(3&gt;LEN(L128),MID(L128,3,1)=".",ISNUMBER(FIND("x"&amp;MID(L128,3,1),"x0x1x2x3x4x5x6x7x8x9"))),OR(4&gt;LEN(L128),MID(L128,4,1)=".",ISNUMBER(FIND("x"&amp;MID(L128,4,1),"x0x1x2x3x4x5x6x7x8x9"))),OR(5&gt;LEN(L128),MID(L128,5,1)=".",ISNUMBER(FIND("x"&amp;MID(L128,5,1),"x0x1x2x3x4x5x6x7x8x9"))),OR(6&gt;LEN(L128),MID(L128,6,1)=".",ISNUMBER(FIND("x"&amp;MID(L128,6,1),"x0x1x2x3x4x5x6x7x8x9"))),OR(7&gt;LEN(L128),MID(L128,7,1)=".",ISNUMBER(FIND("x"&amp;MID(L128,7,1),"x0x1x2x3x4x5x6x7x8x9"))),OR(8&gt;LEN(L128),MID(L128,8,1)=".",ISNUMBER(FIND("x"&amp;MID(L128,8,1),"x0x1x2x3x4x5x6x7x8x9"))),OR(9&gt;LEN(L128),MID(L128,9,1)=".",ISNUMBER(FIND("x"&amp;MID(L128,9,1),"x0x1x2x3x4x5x6x7x8x9"))),OR(10&gt;LEN(L128),MID(L128,10,1)=".",ISNUMBER(FIND("x"&amp;MID(L128,10,1),"x0x1x2x3x4x5x6x7x8x9"))),OR(AND(FIND(".",L128)=5,LEN(L128)-FIND(".",L128,FIND(".",L128)+1)&gt;=1,LEN(L128)-FIND(".",L128,FIND(".",L128)+1)&lt;=2),AND(LEN(L128)-FIND(".",L128,FIND(".",L128)+1)=4,FIND(".",L128)&gt;=2,FIND(".",L128)&lt;=3)),FIND(".",L128,FIND(".",L128)+1)-FIND(".",L128)&gt;=2,FIND(".",L128,FIND(".",L128)+1)-FIND(".",L128)&lt;=3,P128&gt;=2000,P128&lt;=2100,YEAR(S128)=P128,MONTH(S128)=Q128,DAY(S128)=R128),S128,0)),0)</ns0:f>
        <ns0:v>0</ns0:v>
      </ns0:c>
      <ns0:c r="U128" s="0" t="str">
        <ns0:f>IF(Bookings!C128="","Full day",Bookings!C128)</ns0:f>
        <ns0:v>Full day</ns0:v>
      </ns0:c>
      <ns0:c r="V128" s="0" t="str">
        <ns0:f>IF(Bookings!E128="","Full day",Bookings!E128)</ns0:f>
        <ns0:v>Full day</ns0:v>
      </ns0:c>
      <ns0:c r="W128" s="0">
        <ns0:f>IF(J128=0,0,J128+IF(U128="PM",1,0))</ns0:f>
        <ns0:v>0</ns0:v>
      </ns0:c>
      <ns0:c r="X128" s="0">
        <ns0:f>IF(T128=0,0,T128-IF(V128="PM",1,0))</ns0:f>
        <ns0:v>0</ns0:v>
      </ns0:c>
      <ns0:c r="Y128" s="0">
        <ns0:f>IF(J128=0,0,J128+IF(U128="AM",1,0))</ns0:f>
        <ns0:v>0</ns0:v>
      </ns0:c>
      <ns0:c r="Z128" s="0">
        <ns0:f>IF(T128=0,0,T128-IF(V128="AM",1,0))</ns0:f>
        <ns0:v>0</ns0:v>
      </ns0:c>
      <ns0:c r="AA128" s="0">
        <ns0:f>IFERROR(IF(AND(J128&gt;0,'_Engine'!C128&gt;0,MID('_Engine'!W128,WEEKDAY(J128,2),1)="W",COUNTIF(Settings!$F$18:$F$67,J128)=0),1,0),0)</ns0:f>
        <ns0:v>0</ns0:v>
      </ns0:c>
      <ns0:c r="AB128" s="0">
        <ns0:f>IFERROR(IF(AND(T128&gt;0,'_Engine'!C128&gt;0,MID('_Engine'!W128,WEEKDAY(T128,2),1)="W",COUNTIF(Settings!$F$18:$F$67,T128)=0),1,0),0)</ns0:f>
        <ns0:v>0</ns0:v>
      </ns0:c>
      <ns0:c r="AC128" s="0">
        <ns0:f>IF(AND(J128&gt;0,T128&gt;0,W128&lt;=X128),1,0)</ns0:f>
        <ns0:v>0</ns0:v>
      </ns0:c>
      <ns0:c r="AD128" s="0">
        <ns0:f>IF(AND(J128&gt;0,T128&gt;0,Y128&lt;=Z128),1,0)</ns0:f>
        <ns0:v>0</ns0:v>
      </ns0:c>
    </ns0:row>
    <ns0:row r="129">
      <ns0:c r="A129" s="0">
        <ns0:f>IFERROR(IF(ISNUMBER(Bookings!B129),"",TRIM(Bookings!B129&amp;"")),"")</ns0:f>
      </ns0:c>
      <ns0:c r="B129" s="0">
        <ns0:f>IFERROR(SUBSTITUTE(SUBSTITUTE(A129,"/","."),"-","."),"")</ns0:f>
      </ns0:c>
      <ns0:c r="C129" s="0">
        <ns0:f>IFERROR(LEFT(B129,FIND(".",B129)-1),"")</ns0:f>
      </ns0:c>
      <ns0:c r="D129" s="0">
        <ns0:f>IFERROR(MID(B129,FIND(".",B129)+1,FIND(".",B129,FIND(".",B129)+1)-FIND(".",B129)-1),"")</ns0:f>
      </ns0:c>
      <ns0:c r="E129" s="0">
        <ns0:f>IFERROR(MID(B129,FIND(".",B129,FIND(".",B129)+1)+1,99),"")</ns0:f>
        <ns0:v>99</ns0:v>
      </ns0:c>
      <ns0:c r="F129" s="0">
        <ns0:f>IFERROR(IF(FIND(".",B129)=5,--C129,--E129),0)</ns0:f>
        <ns0:v>0</ns0:v>
      </ns0:c>
      <ns0:c r="G129" s="0">
        <ns0:f>IFERROR(--D129,0)</ns0:f>
        <ns0:v>0</ns0:v>
      </ns0:c>
      <ns0:c r="H129" s="0">
        <ns0:f>IFERROR(IF(FIND(".",B129)=5,--E129,--C129),0)</ns0:f>
        <ns0:v>0</ns0:v>
      </ns0:c>
      <ns0:c r="I129" s="0">
        <ns0:f>IFERROR(IF(AND(F129&gt;=2000,F129&lt;=2100,G129&gt;=1,G129&lt;=12,H129&gt;=1,H129&lt;=31),DATE(F129,G129,H129),0),0)</ns0:f>
        <ns0:v>0</ns0:v>
      </ns0:c>
      <ns0:c r="J129" s="0">
        <ns0:f>IFERROR(IF(ISNUMBER(Bookings!B129),IF(AND(Bookings!B129=INT(Bookings!B129),Bookings!B129&gt;=DATE(2000,1,1),Bookings!B129&lt;=DATE(2100,12,31)),Bookings!B129,0),IF(AND(A129&lt;&gt;"",LEN("x"&amp;B129)-LEN(SUBSTITUTE("x"&amp;B129,".",""))=2,OR(1&gt;LEN(B129),MID(B129,1,1)=".",ISNUMBER(FIND("x"&amp;MID(B129,1,1),"x0x1x2x3x4x5x6x7x8x9"))),OR(2&gt;LEN(B129),MID(B129,2,1)=".",ISNUMBER(FIND("x"&amp;MID(B129,2,1),"x0x1x2x3x4x5x6x7x8x9"))),OR(3&gt;LEN(B129),MID(B129,3,1)=".",ISNUMBER(FIND("x"&amp;MID(B129,3,1),"x0x1x2x3x4x5x6x7x8x9"))),OR(4&gt;LEN(B129),MID(B129,4,1)=".",ISNUMBER(FIND("x"&amp;MID(B129,4,1),"x0x1x2x3x4x5x6x7x8x9"))),OR(5&gt;LEN(B129),MID(B129,5,1)=".",ISNUMBER(FIND("x"&amp;MID(B129,5,1),"x0x1x2x3x4x5x6x7x8x9"))),OR(6&gt;LEN(B129),MID(B129,6,1)=".",ISNUMBER(FIND("x"&amp;MID(B129,6,1),"x0x1x2x3x4x5x6x7x8x9"))),OR(7&gt;LEN(B129),MID(B129,7,1)=".",ISNUMBER(FIND("x"&amp;MID(B129,7,1),"x0x1x2x3x4x5x6x7x8x9"))),OR(8&gt;LEN(B129),MID(B129,8,1)=".",ISNUMBER(FIND("x"&amp;MID(B129,8,1),"x0x1x2x3x4x5x6x7x8x9"))),OR(9&gt;LEN(B129),MID(B129,9,1)=".",ISNUMBER(FIND("x"&amp;MID(B129,9,1),"x0x1x2x3x4x5x6x7x8x9"))),OR(10&gt;LEN(B129),MID(B129,10,1)=".",ISNUMBER(FIND("x"&amp;MID(B129,10,1),"x0x1x2x3x4x5x6x7x8x9"))),OR(AND(FIND(".",B129)=5,LEN(B129)-FIND(".",B129,FIND(".",B129)+1)&gt;=1,LEN(B129)-FIND(".",B129,FIND(".",B129)+1)&lt;=2),AND(LEN(B129)-FIND(".",B129,FIND(".",B129)+1)=4,FIND(".",B129)&gt;=2,FIND(".",B129)&lt;=3)),FIND(".",B129,FIND(".",B129)+1)-FIND(".",B129)&gt;=2,FIND(".",B129,FIND(".",B129)+1)-FIND(".",B129)&lt;=3,F129&gt;=2000,F129&lt;=2100,YEAR(I129)=F129,MONTH(I129)=G129,DAY(I129)=H129),I129,0)),0)</ns0:f>
        <ns0:v>0</ns0:v>
      </ns0:c>
      <ns0:c r="K129" s="0">
        <ns0:f>IFERROR(IF(ISNUMBER(Bookings!D129),"",TRIM(Bookings!D129&amp;"")),"")</ns0:f>
      </ns0:c>
      <ns0:c r="L129" s="0">
        <ns0:f>IFERROR(SUBSTITUTE(SUBSTITUTE(K129,"/","."),"-","."),"")</ns0:f>
      </ns0:c>
      <ns0:c r="M129" s="0">
        <ns0:f>IFERROR(LEFT(L129,FIND(".",L129)-1),"")</ns0:f>
      </ns0:c>
      <ns0:c r="N129" s="0">
        <ns0:f>IFERROR(MID(L129,FIND(".",L129)+1,FIND(".",L129,FIND(".",L129)+1)-FIND(".",L129)-1),"")</ns0:f>
      </ns0:c>
      <ns0:c r="O129" s="0">
        <ns0:f>IFERROR(MID(L129,FIND(".",L129,FIND(".",L129)+1)+1,99),"")</ns0:f>
        <ns0:v>99</ns0:v>
      </ns0:c>
      <ns0:c r="P129" s="0">
        <ns0:f>IFERROR(IF(FIND(".",L129)=5,--M129,--O129),0)</ns0:f>
        <ns0:v>0</ns0:v>
      </ns0:c>
      <ns0:c r="Q129" s="0">
        <ns0:f>IFERROR(--N129,0)</ns0:f>
        <ns0:v>0</ns0:v>
      </ns0:c>
      <ns0:c r="R129" s="0">
        <ns0:f>IFERROR(IF(FIND(".",L129)=5,--O129,--M129),0)</ns0:f>
        <ns0:v>0</ns0:v>
      </ns0:c>
      <ns0:c r="S129" s="0">
        <ns0:f>IFERROR(IF(AND(P129&gt;=2000,P129&lt;=2100,Q129&gt;=1,Q129&lt;=12,R129&gt;=1,R129&lt;=31),DATE(P129,Q129,R129),0),0)</ns0:f>
        <ns0:v>0</ns0:v>
      </ns0:c>
      <ns0:c r="T129" s="0">
        <ns0:f>IFERROR(IF(ISNUMBER(Bookings!D129),IF(AND(Bookings!D129=INT(Bookings!D129),Bookings!D129&gt;=DATE(2000,1,1),Bookings!D129&lt;=DATE(2100,12,31)),Bookings!D129,0),IF(AND(K129&lt;&gt;"",LEN("x"&amp;L129)-LEN(SUBSTITUTE("x"&amp;L129,".",""))=2,OR(1&gt;LEN(L129),MID(L129,1,1)=".",ISNUMBER(FIND("x"&amp;MID(L129,1,1),"x0x1x2x3x4x5x6x7x8x9"))),OR(2&gt;LEN(L129),MID(L129,2,1)=".",ISNUMBER(FIND("x"&amp;MID(L129,2,1),"x0x1x2x3x4x5x6x7x8x9"))),OR(3&gt;LEN(L129),MID(L129,3,1)=".",ISNUMBER(FIND("x"&amp;MID(L129,3,1),"x0x1x2x3x4x5x6x7x8x9"))),OR(4&gt;LEN(L129),MID(L129,4,1)=".",ISNUMBER(FIND("x"&amp;MID(L129,4,1),"x0x1x2x3x4x5x6x7x8x9"))),OR(5&gt;LEN(L129),MID(L129,5,1)=".",ISNUMBER(FIND("x"&amp;MID(L129,5,1),"x0x1x2x3x4x5x6x7x8x9"))),OR(6&gt;LEN(L129),MID(L129,6,1)=".",ISNUMBER(FIND("x"&amp;MID(L129,6,1),"x0x1x2x3x4x5x6x7x8x9"))),OR(7&gt;LEN(L129),MID(L129,7,1)=".",ISNUMBER(FIND("x"&amp;MID(L129,7,1),"x0x1x2x3x4x5x6x7x8x9"))),OR(8&gt;LEN(L129),MID(L129,8,1)=".",ISNUMBER(FIND("x"&amp;MID(L129,8,1),"x0x1x2x3x4x5x6x7x8x9"))),OR(9&gt;LEN(L129),MID(L129,9,1)=".",ISNUMBER(FIND("x"&amp;MID(L129,9,1),"x0x1x2x3x4x5x6x7x8x9"))),OR(10&gt;LEN(L129),MID(L129,10,1)=".",ISNUMBER(FIND("x"&amp;MID(L129,10,1),"x0x1x2x3x4x5x6x7x8x9"))),OR(AND(FIND(".",L129)=5,LEN(L129)-FIND(".",L129,FIND(".",L129)+1)&gt;=1,LEN(L129)-FIND(".",L129,FIND(".",L129)+1)&lt;=2),AND(LEN(L129)-FIND(".",L129,FIND(".",L129)+1)=4,FIND(".",L129)&gt;=2,FIND(".",L129)&lt;=3)),FIND(".",L129,FIND(".",L129)+1)-FIND(".",L129)&gt;=2,FIND(".",L129,FIND(".",L129)+1)-FIND(".",L129)&lt;=3,P129&gt;=2000,P129&lt;=2100,YEAR(S129)=P129,MONTH(S129)=Q129,DAY(S129)=R129),S129,0)),0)</ns0:f>
        <ns0:v>0</ns0:v>
      </ns0:c>
      <ns0:c r="U129" s="0" t="str">
        <ns0:f>IF(Bookings!C129="","Full day",Bookings!C129)</ns0:f>
        <ns0:v>Full day</ns0:v>
      </ns0:c>
      <ns0:c r="V129" s="0" t="str">
        <ns0:f>IF(Bookings!E129="","Full day",Bookings!E129)</ns0:f>
        <ns0:v>Full day</ns0:v>
      </ns0:c>
      <ns0:c r="W129" s="0">
        <ns0:f>IF(J129=0,0,J129+IF(U129="PM",1,0))</ns0:f>
        <ns0:v>0</ns0:v>
      </ns0:c>
      <ns0:c r="X129" s="0">
        <ns0:f>IF(T129=0,0,T129-IF(V129="PM",1,0))</ns0:f>
        <ns0:v>0</ns0:v>
      </ns0:c>
      <ns0:c r="Y129" s="0">
        <ns0:f>IF(J129=0,0,J129+IF(U129="AM",1,0))</ns0:f>
        <ns0:v>0</ns0:v>
      </ns0:c>
      <ns0:c r="Z129" s="0">
        <ns0:f>IF(T129=0,0,T129-IF(V129="AM",1,0))</ns0:f>
        <ns0:v>0</ns0:v>
      </ns0:c>
      <ns0:c r="AA129" s="0">
        <ns0:f>IFERROR(IF(AND(J129&gt;0,'_Engine'!C129&gt;0,MID('_Engine'!W129,WEEKDAY(J129,2),1)="W",COUNTIF(Settings!$F$18:$F$67,J129)=0),1,0),0)</ns0:f>
        <ns0:v>0</ns0:v>
      </ns0:c>
      <ns0:c r="AB129" s="0">
        <ns0:f>IFERROR(IF(AND(T129&gt;0,'_Engine'!C129&gt;0,MID('_Engine'!W129,WEEKDAY(T129,2),1)="W",COUNTIF(Settings!$F$18:$F$67,T129)=0),1,0),0)</ns0:f>
        <ns0:v>0</ns0:v>
      </ns0:c>
      <ns0:c r="AC129" s="0">
        <ns0:f>IF(AND(J129&gt;0,T129&gt;0,W129&lt;=X129),1,0)</ns0:f>
        <ns0:v>0</ns0:v>
      </ns0:c>
      <ns0:c r="AD129" s="0">
        <ns0:f>IF(AND(J129&gt;0,T129&gt;0,Y129&lt;=Z129),1,0)</ns0:f>
        <ns0:v>0</ns0:v>
      </ns0:c>
    </ns0:row>
    <ns0:row r="130">
      <ns0:c r="A130" s="0">
        <ns0:f>IFERROR(IF(ISNUMBER(Bookings!B130),"",TRIM(Bookings!B130&amp;"")),"")</ns0:f>
      </ns0:c>
      <ns0:c r="B130" s="0">
        <ns0:f>IFERROR(SUBSTITUTE(SUBSTITUTE(A130,"/","."),"-","."),"")</ns0:f>
      </ns0:c>
      <ns0:c r="C130" s="0">
        <ns0:f>IFERROR(LEFT(B130,FIND(".",B130)-1),"")</ns0:f>
      </ns0:c>
      <ns0:c r="D130" s="0">
        <ns0:f>IFERROR(MID(B130,FIND(".",B130)+1,FIND(".",B130,FIND(".",B130)+1)-FIND(".",B130)-1),"")</ns0:f>
      </ns0:c>
      <ns0:c r="E130" s="0">
        <ns0:f>IFERROR(MID(B130,FIND(".",B130,FIND(".",B130)+1)+1,99),"")</ns0:f>
        <ns0:v>99</ns0:v>
      </ns0:c>
      <ns0:c r="F130" s="0">
        <ns0:f>IFERROR(IF(FIND(".",B130)=5,--C130,--E130),0)</ns0:f>
        <ns0:v>0</ns0:v>
      </ns0:c>
      <ns0:c r="G130" s="0">
        <ns0:f>IFERROR(--D130,0)</ns0:f>
        <ns0:v>0</ns0:v>
      </ns0:c>
      <ns0:c r="H130" s="0">
        <ns0:f>IFERROR(IF(FIND(".",B130)=5,--E130,--C130),0)</ns0:f>
        <ns0:v>0</ns0:v>
      </ns0:c>
      <ns0:c r="I130" s="0">
        <ns0:f>IFERROR(IF(AND(F130&gt;=2000,F130&lt;=2100,G130&gt;=1,G130&lt;=12,H130&gt;=1,H130&lt;=31),DATE(F130,G130,H130),0),0)</ns0:f>
        <ns0:v>0</ns0:v>
      </ns0:c>
      <ns0:c r="J130" s="0">
        <ns0:f>IFERROR(IF(ISNUMBER(Bookings!B130),IF(AND(Bookings!B130=INT(Bookings!B130),Bookings!B130&gt;=DATE(2000,1,1),Bookings!B130&lt;=DATE(2100,12,31)),Bookings!B130,0),IF(AND(A130&lt;&gt;"",LEN("x"&amp;B130)-LEN(SUBSTITUTE("x"&amp;B130,".",""))=2,OR(1&gt;LEN(B130),MID(B130,1,1)=".",ISNUMBER(FIND("x"&amp;MID(B130,1,1),"x0x1x2x3x4x5x6x7x8x9"))),OR(2&gt;LEN(B130),MID(B130,2,1)=".",ISNUMBER(FIND("x"&amp;MID(B130,2,1),"x0x1x2x3x4x5x6x7x8x9"))),OR(3&gt;LEN(B130),MID(B130,3,1)=".",ISNUMBER(FIND("x"&amp;MID(B130,3,1),"x0x1x2x3x4x5x6x7x8x9"))),OR(4&gt;LEN(B130),MID(B130,4,1)=".",ISNUMBER(FIND("x"&amp;MID(B130,4,1),"x0x1x2x3x4x5x6x7x8x9"))),OR(5&gt;LEN(B130),MID(B130,5,1)=".",ISNUMBER(FIND("x"&amp;MID(B130,5,1),"x0x1x2x3x4x5x6x7x8x9"))),OR(6&gt;LEN(B130),MID(B130,6,1)=".",ISNUMBER(FIND("x"&amp;MID(B130,6,1),"x0x1x2x3x4x5x6x7x8x9"))),OR(7&gt;LEN(B130),MID(B130,7,1)=".",ISNUMBER(FIND("x"&amp;MID(B130,7,1),"x0x1x2x3x4x5x6x7x8x9"))),OR(8&gt;LEN(B130),MID(B130,8,1)=".",ISNUMBER(FIND("x"&amp;MID(B130,8,1),"x0x1x2x3x4x5x6x7x8x9"))),OR(9&gt;LEN(B130),MID(B130,9,1)=".",ISNUMBER(FIND("x"&amp;MID(B130,9,1),"x0x1x2x3x4x5x6x7x8x9"))),OR(10&gt;LEN(B130),MID(B130,10,1)=".",ISNUMBER(FIND("x"&amp;MID(B130,10,1),"x0x1x2x3x4x5x6x7x8x9"))),OR(AND(FIND(".",B130)=5,LEN(B130)-FIND(".",B130,FIND(".",B130)+1)&gt;=1,LEN(B130)-FIND(".",B130,FIND(".",B130)+1)&lt;=2),AND(LEN(B130)-FIND(".",B130,FIND(".",B130)+1)=4,FIND(".",B130)&gt;=2,FIND(".",B130)&lt;=3)),FIND(".",B130,FIND(".",B130)+1)-FIND(".",B130)&gt;=2,FIND(".",B130,FIND(".",B130)+1)-FIND(".",B130)&lt;=3,F130&gt;=2000,F130&lt;=2100,YEAR(I130)=F130,MONTH(I130)=G130,DAY(I130)=H130),I130,0)),0)</ns0:f>
        <ns0:v>0</ns0:v>
      </ns0:c>
      <ns0:c r="K130" s="0">
        <ns0:f>IFERROR(IF(ISNUMBER(Bookings!D130),"",TRIM(Bookings!D130&amp;"")),"")</ns0:f>
      </ns0:c>
      <ns0:c r="L130" s="0">
        <ns0:f>IFERROR(SUBSTITUTE(SUBSTITUTE(K130,"/","."),"-","."),"")</ns0:f>
      </ns0:c>
      <ns0:c r="M130" s="0">
        <ns0:f>IFERROR(LEFT(L130,FIND(".",L130)-1),"")</ns0:f>
      </ns0:c>
      <ns0:c r="N130" s="0">
        <ns0:f>IFERROR(MID(L130,FIND(".",L130)+1,FIND(".",L130,FIND(".",L130)+1)-FIND(".",L130)-1),"")</ns0:f>
      </ns0:c>
      <ns0:c r="O130" s="0">
        <ns0:f>IFERROR(MID(L130,FIND(".",L130,FIND(".",L130)+1)+1,99),"")</ns0:f>
        <ns0:v>99</ns0:v>
      </ns0:c>
      <ns0:c r="P130" s="0">
        <ns0:f>IFERROR(IF(FIND(".",L130)=5,--M130,--O130),0)</ns0:f>
        <ns0:v>0</ns0:v>
      </ns0:c>
      <ns0:c r="Q130" s="0">
        <ns0:f>IFERROR(--N130,0)</ns0:f>
        <ns0:v>0</ns0:v>
      </ns0:c>
      <ns0:c r="R130" s="0">
        <ns0:f>IFERROR(IF(FIND(".",L130)=5,--O130,--M130),0)</ns0:f>
        <ns0:v>0</ns0:v>
      </ns0:c>
      <ns0:c r="S130" s="0">
        <ns0:f>IFERROR(IF(AND(P130&gt;=2000,P130&lt;=2100,Q130&gt;=1,Q130&lt;=12,R130&gt;=1,R130&lt;=31),DATE(P130,Q130,R130),0),0)</ns0:f>
        <ns0:v>0</ns0:v>
      </ns0:c>
      <ns0:c r="T130" s="0">
        <ns0:f>IFERROR(IF(ISNUMBER(Bookings!D130),IF(AND(Bookings!D130=INT(Bookings!D130),Bookings!D130&gt;=DATE(2000,1,1),Bookings!D130&lt;=DATE(2100,12,31)),Bookings!D130,0),IF(AND(K130&lt;&gt;"",LEN("x"&amp;L130)-LEN(SUBSTITUTE("x"&amp;L130,".",""))=2,OR(1&gt;LEN(L130),MID(L130,1,1)=".",ISNUMBER(FIND("x"&amp;MID(L130,1,1),"x0x1x2x3x4x5x6x7x8x9"))),OR(2&gt;LEN(L130),MID(L130,2,1)=".",ISNUMBER(FIND("x"&amp;MID(L130,2,1),"x0x1x2x3x4x5x6x7x8x9"))),OR(3&gt;LEN(L130),MID(L130,3,1)=".",ISNUMBER(FIND("x"&amp;MID(L130,3,1),"x0x1x2x3x4x5x6x7x8x9"))),OR(4&gt;LEN(L130),MID(L130,4,1)=".",ISNUMBER(FIND("x"&amp;MID(L130,4,1),"x0x1x2x3x4x5x6x7x8x9"))),OR(5&gt;LEN(L130),MID(L130,5,1)=".",ISNUMBER(FIND("x"&amp;MID(L130,5,1),"x0x1x2x3x4x5x6x7x8x9"))),OR(6&gt;LEN(L130),MID(L130,6,1)=".",ISNUMBER(FIND("x"&amp;MID(L130,6,1),"x0x1x2x3x4x5x6x7x8x9"))),OR(7&gt;LEN(L130),MID(L130,7,1)=".",ISNUMBER(FIND("x"&amp;MID(L130,7,1),"x0x1x2x3x4x5x6x7x8x9"))),OR(8&gt;LEN(L130),MID(L130,8,1)=".",ISNUMBER(FIND("x"&amp;MID(L130,8,1),"x0x1x2x3x4x5x6x7x8x9"))),OR(9&gt;LEN(L130),MID(L130,9,1)=".",ISNUMBER(FIND("x"&amp;MID(L130,9,1),"x0x1x2x3x4x5x6x7x8x9"))),OR(10&gt;LEN(L130),MID(L130,10,1)=".",ISNUMBER(FIND("x"&amp;MID(L130,10,1),"x0x1x2x3x4x5x6x7x8x9"))),OR(AND(FIND(".",L130)=5,LEN(L130)-FIND(".",L130,FIND(".",L130)+1)&gt;=1,LEN(L130)-FIND(".",L130,FIND(".",L130)+1)&lt;=2),AND(LEN(L130)-FIND(".",L130,FIND(".",L130)+1)=4,FIND(".",L130)&gt;=2,FIND(".",L130)&lt;=3)),FIND(".",L130,FIND(".",L130)+1)-FIND(".",L130)&gt;=2,FIND(".",L130,FIND(".",L130)+1)-FIND(".",L130)&lt;=3,P130&gt;=2000,P130&lt;=2100,YEAR(S130)=P130,MONTH(S130)=Q130,DAY(S130)=R130),S130,0)),0)</ns0:f>
        <ns0:v>0</ns0:v>
      </ns0:c>
      <ns0:c r="U130" s="0" t="str">
        <ns0:f>IF(Bookings!C130="","Full day",Bookings!C130)</ns0:f>
        <ns0:v>Full day</ns0:v>
      </ns0:c>
      <ns0:c r="V130" s="0" t="str">
        <ns0:f>IF(Bookings!E130="","Full day",Bookings!E130)</ns0:f>
        <ns0:v>Full day</ns0:v>
      </ns0:c>
      <ns0:c r="W130" s="0">
        <ns0:f>IF(J130=0,0,J130+IF(U130="PM",1,0))</ns0:f>
        <ns0:v>0</ns0:v>
      </ns0:c>
      <ns0:c r="X130" s="0">
        <ns0:f>IF(T130=0,0,T130-IF(V130="PM",1,0))</ns0:f>
        <ns0:v>0</ns0:v>
      </ns0:c>
      <ns0:c r="Y130" s="0">
        <ns0:f>IF(J130=0,0,J130+IF(U130="AM",1,0))</ns0:f>
        <ns0:v>0</ns0:v>
      </ns0:c>
      <ns0:c r="Z130" s="0">
        <ns0:f>IF(T130=0,0,T130-IF(V130="AM",1,0))</ns0:f>
        <ns0:v>0</ns0:v>
      </ns0:c>
      <ns0:c r="AA130" s="0">
        <ns0:f>IFERROR(IF(AND(J130&gt;0,'_Engine'!C130&gt;0,MID('_Engine'!W130,WEEKDAY(J130,2),1)="W",COUNTIF(Settings!$F$18:$F$67,J130)=0),1,0),0)</ns0:f>
        <ns0:v>0</ns0:v>
      </ns0:c>
      <ns0:c r="AB130" s="0">
        <ns0:f>IFERROR(IF(AND(T130&gt;0,'_Engine'!C130&gt;0,MID('_Engine'!W130,WEEKDAY(T130,2),1)="W",COUNTIF(Settings!$F$18:$F$67,T130)=0),1,0),0)</ns0:f>
        <ns0:v>0</ns0:v>
      </ns0:c>
      <ns0:c r="AC130" s="0">
        <ns0:f>IF(AND(J130&gt;0,T130&gt;0,W130&lt;=X130),1,0)</ns0:f>
        <ns0:v>0</ns0:v>
      </ns0:c>
      <ns0:c r="AD130" s="0">
        <ns0:f>IF(AND(J130&gt;0,T130&gt;0,Y130&lt;=Z130),1,0)</ns0:f>
        <ns0:v>0</ns0:v>
      </ns0:c>
    </ns0:row>
    <ns0:row r="131">
      <ns0:c r="A131" s="0">
        <ns0:f>IFERROR(IF(ISNUMBER(Bookings!B131),"",TRIM(Bookings!B131&amp;"")),"")</ns0:f>
      </ns0:c>
      <ns0:c r="B131" s="0">
        <ns0:f>IFERROR(SUBSTITUTE(SUBSTITUTE(A131,"/","."),"-","."),"")</ns0:f>
      </ns0:c>
      <ns0:c r="C131" s="0">
        <ns0:f>IFERROR(LEFT(B131,FIND(".",B131)-1),"")</ns0:f>
      </ns0:c>
      <ns0:c r="D131" s="0">
        <ns0:f>IFERROR(MID(B131,FIND(".",B131)+1,FIND(".",B131,FIND(".",B131)+1)-FIND(".",B131)-1),"")</ns0:f>
      </ns0:c>
      <ns0:c r="E131" s="0">
        <ns0:f>IFERROR(MID(B131,FIND(".",B131,FIND(".",B131)+1)+1,99),"")</ns0:f>
        <ns0:v>99</ns0:v>
      </ns0:c>
      <ns0:c r="F131" s="0">
        <ns0:f>IFERROR(IF(FIND(".",B131)=5,--C131,--E131),0)</ns0:f>
        <ns0:v>0</ns0:v>
      </ns0:c>
      <ns0:c r="G131" s="0">
        <ns0:f>IFERROR(--D131,0)</ns0:f>
        <ns0:v>0</ns0:v>
      </ns0:c>
      <ns0:c r="H131" s="0">
        <ns0:f>IFERROR(IF(FIND(".",B131)=5,--E131,--C131),0)</ns0:f>
        <ns0:v>0</ns0:v>
      </ns0:c>
      <ns0:c r="I131" s="0">
        <ns0:f>IFERROR(IF(AND(F131&gt;=2000,F131&lt;=2100,G131&gt;=1,G131&lt;=12,H131&gt;=1,H131&lt;=31),DATE(F131,G131,H131),0),0)</ns0:f>
        <ns0:v>0</ns0:v>
      </ns0:c>
      <ns0:c r="J131" s="0">
        <ns0:f>IFERROR(IF(ISNUMBER(Bookings!B131),IF(AND(Bookings!B131=INT(Bookings!B131),Bookings!B131&gt;=DATE(2000,1,1),Bookings!B131&lt;=DATE(2100,12,31)),Bookings!B131,0),IF(AND(A131&lt;&gt;"",LEN("x"&amp;B131)-LEN(SUBSTITUTE("x"&amp;B131,".",""))=2,OR(1&gt;LEN(B131),MID(B131,1,1)=".",ISNUMBER(FIND("x"&amp;MID(B131,1,1),"x0x1x2x3x4x5x6x7x8x9"))),OR(2&gt;LEN(B131),MID(B131,2,1)=".",ISNUMBER(FIND("x"&amp;MID(B131,2,1),"x0x1x2x3x4x5x6x7x8x9"))),OR(3&gt;LEN(B131),MID(B131,3,1)=".",ISNUMBER(FIND("x"&amp;MID(B131,3,1),"x0x1x2x3x4x5x6x7x8x9"))),OR(4&gt;LEN(B131),MID(B131,4,1)=".",ISNUMBER(FIND("x"&amp;MID(B131,4,1),"x0x1x2x3x4x5x6x7x8x9"))),OR(5&gt;LEN(B131),MID(B131,5,1)=".",ISNUMBER(FIND("x"&amp;MID(B131,5,1),"x0x1x2x3x4x5x6x7x8x9"))),OR(6&gt;LEN(B131),MID(B131,6,1)=".",ISNUMBER(FIND("x"&amp;MID(B131,6,1),"x0x1x2x3x4x5x6x7x8x9"))),OR(7&gt;LEN(B131),MID(B131,7,1)=".",ISNUMBER(FIND("x"&amp;MID(B131,7,1),"x0x1x2x3x4x5x6x7x8x9"))),OR(8&gt;LEN(B131),MID(B131,8,1)=".",ISNUMBER(FIND("x"&amp;MID(B131,8,1),"x0x1x2x3x4x5x6x7x8x9"))),OR(9&gt;LEN(B131),MID(B131,9,1)=".",ISNUMBER(FIND("x"&amp;MID(B131,9,1),"x0x1x2x3x4x5x6x7x8x9"))),OR(10&gt;LEN(B131),MID(B131,10,1)=".",ISNUMBER(FIND("x"&amp;MID(B131,10,1),"x0x1x2x3x4x5x6x7x8x9"))),OR(AND(FIND(".",B131)=5,LEN(B131)-FIND(".",B131,FIND(".",B131)+1)&gt;=1,LEN(B131)-FIND(".",B131,FIND(".",B131)+1)&lt;=2),AND(LEN(B131)-FIND(".",B131,FIND(".",B131)+1)=4,FIND(".",B131)&gt;=2,FIND(".",B131)&lt;=3)),FIND(".",B131,FIND(".",B131)+1)-FIND(".",B131)&gt;=2,FIND(".",B131,FIND(".",B131)+1)-FIND(".",B131)&lt;=3,F131&gt;=2000,F131&lt;=2100,YEAR(I131)=F131,MONTH(I131)=G131,DAY(I131)=H131),I131,0)),0)</ns0:f>
        <ns0:v>0</ns0:v>
      </ns0:c>
      <ns0:c r="K131" s="0">
        <ns0:f>IFERROR(IF(ISNUMBER(Bookings!D131),"",TRIM(Bookings!D131&amp;"")),"")</ns0:f>
      </ns0:c>
      <ns0:c r="L131" s="0">
        <ns0:f>IFERROR(SUBSTITUTE(SUBSTITUTE(K131,"/","."),"-","."),"")</ns0:f>
      </ns0:c>
      <ns0:c r="M131" s="0">
        <ns0:f>IFERROR(LEFT(L131,FIND(".",L131)-1),"")</ns0:f>
      </ns0:c>
      <ns0:c r="N131" s="0">
        <ns0:f>IFERROR(MID(L131,FIND(".",L131)+1,FIND(".",L131,FIND(".",L131)+1)-FIND(".",L131)-1),"")</ns0:f>
      </ns0:c>
      <ns0:c r="O131" s="0">
        <ns0:f>IFERROR(MID(L131,FIND(".",L131,FIND(".",L131)+1)+1,99),"")</ns0:f>
        <ns0:v>99</ns0:v>
      </ns0:c>
      <ns0:c r="P131" s="0">
        <ns0:f>IFERROR(IF(FIND(".",L131)=5,--M131,--O131),0)</ns0:f>
        <ns0:v>0</ns0:v>
      </ns0:c>
      <ns0:c r="Q131" s="0">
        <ns0:f>IFERROR(--N131,0)</ns0:f>
        <ns0:v>0</ns0:v>
      </ns0:c>
      <ns0:c r="R131" s="0">
        <ns0:f>IFERROR(IF(FIND(".",L131)=5,--O131,--M131),0)</ns0:f>
        <ns0:v>0</ns0:v>
      </ns0:c>
      <ns0:c r="S131" s="0">
        <ns0:f>IFERROR(IF(AND(P131&gt;=2000,P131&lt;=2100,Q131&gt;=1,Q131&lt;=12,R131&gt;=1,R131&lt;=31),DATE(P131,Q131,R131),0),0)</ns0:f>
        <ns0:v>0</ns0:v>
      </ns0:c>
      <ns0:c r="T131" s="0">
        <ns0:f>IFERROR(IF(ISNUMBER(Bookings!D131),IF(AND(Bookings!D131=INT(Bookings!D131),Bookings!D131&gt;=DATE(2000,1,1),Bookings!D131&lt;=DATE(2100,12,31)),Bookings!D131,0),IF(AND(K131&lt;&gt;"",LEN("x"&amp;L131)-LEN(SUBSTITUTE("x"&amp;L131,".",""))=2,OR(1&gt;LEN(L131),MID(L131,1,1)=".",ISNUMBER(FIND("x"&amp;MID(L131,1,1),"x0x1x2x3x4x5x6x7x8x9"))),OR(2&gt;LEN(L131),MID(L131,2,1)=".",ISNUMBER(FIND("x"&amp;MID(L131,2,1),"x0x1x2x3x4x5x6x7x8x9"))),OR(3&gt;LEN(L131),MID(L131,3,1)=".",ISNUMBER(FIND("x"&amp;MID(L131,3,1),"x0x1x2x3x4x5x6x7x8x9"))),OR(4&gt;LEN(L131),MID(L131,4,1)=".",ISNUMBER(FIND("x"&amp;MID(L131,4,1),"x0x1x2x3x4x5x6x7x8x9"))),OR(5&gt;LEN(L131),MID(L131,5,1)=".",ISNUMBER(FIND("x"&amp;MID(L131,5,1),"x0x1x2x3x4x5x6x7x8x9"))),OR(6&gt;LEN(L131),MID(L131,6,1)=".",ISNUMBER(FIND("x"&amp;MID(L131,6,1),"x0x1x2x3x4x5x6x7x8x9"))),OR(7&gt;LEN(L131),MID(L131,7,1)=".",ISNUMBER(FIND("x"&amp;MID(L131,7,1),"x0x1x2x3x4x5x6x7x8x9"))),OR(8&gt;LEN(L131),MID(L131,8,1)=".",ISNUMBER(FIND("x"&amp;MID(L131,8,1),"x0x1x2x3x4x5x6x7x8x9"))),OR(9&gt;LEN(L131),MID(L131,9,1)=".",ISNUMBER(FIND("x"&amp;MID(L131,9,1),"x0x1x2x3x4x5x6x7x8x9"))),OR(10&gt;LEN(L131),MID(L131,10,1)=".",ISNUMBER(FIND("x"&amp;MID(L131,10,1),"x0x1x2x3x4x5x6x7x8x9"))),OR(AND(FIND(".",L131)=5,LEN(L131)-FIND(".",L131,FIND(".",L131)+1)&gt;=1,LEN(L131)-FIND(".",L131,FIND(".",L131)+1)&lt;=2),AND(LEN(L131)-FIND(".",L131,FIND(".",L131)+1)=4,FIND(".",L131)&gt;=2,FIND(".",L131)&lt;=3)),FIND(".",L131,FIND(".",L131)+1)-FIND(".",L131)&gt;=2,FIND(".",L131,FIND(".",L131)+1)-FIND(".",L131)&lt;=3,P131&gt;=2000,P131&lt;=2100,YEAR(S131)=P131,MONTH(S131)=Q131,DAY(S131)=R131),S131,0)),0)</ns0:f>
        <ns0:v>0</ns0:v>
      </ns0:c>
      <ns0:c r="U131" s="0" t="str">
        <ns0:f>IF(Bookings!C131="","Full day",Bookings!C131)</ns0:f>
        <ns0:v>Full day</ns0:v>
      </ns0:c>
      <ns0:c r="V131" s="0" t="str">
        <ns0:f>IF(Bookings!E131="","Full day",Bookings!E131)</ns0:f>
        <ns0:v>Full day</ns0:v>
      </ns0:c>
      <ns0:c r="W131" s="0">
        <ns0:f>IF(J131=0,0,J131+IF(U131="PM",1,0))</ns0:f>
        <ns0:v>0</ns0:v>
      </ns0:c>
      <ns0:c r="X131" s="0">
        <ns0:f>IF(T131=0,0,T131-IF(V131="PM",1,0))</ns0:f>
        <ns0:v>0</ns0:v>
      </ns0:c>
      <ns0:c r="Y131" s="0">
        <ns0:f>IF(J131=0,0,J131+IF(U131="AM",1,0))</ns0:f>
        <ns0:v>0</ns0:v>
      </ns0:c>
      <ns0:c r="Z131" s="0">
        <ns0:f>IF(T131=0,0,T131-IF(V131="AM",1,0))</ns0:f>
        <ns0:v>0</ns0:v>
      </ns0:c>
      <ns0:c r="AA131" s="0">
        <ns0:f>IFERROR(IF(AND(J131&gt;0,'_Engine'!C131&gt;0,MID('_Engine'!W131,WEEKDAY(J131,2),1)="W",COUNTIF(Settings!$F$18:$F$67,J131)=0),1,0),0)</ns0:f>
        <ns0:v>0</ns0:v>
      </ns0:c>
      <ns0:c r="AB131" s="0">
        <ns0:f>IFERROR(IF(AND(T131&gt;0,'_Engine'!C131&gt;0,MID('_Engine'!W131,WEEKDAY(T131,2),1)="W",COUNTIF(Settings!$F$18:$F$67,T131)=0),1,0),0)</ns0:f>
        <ns0:v>0</ns0:v>
      </ns0:c>
      <ns0:c r="AC131" s="0">
        <ns0:f>IF(AND(J131&gt;0,T131&gt;0,W131&lt;=X131),1,0)</ns0:f>
        <ns0:v>0</ns0:v>
      </ns0:c>
      <ns0:c r="AD131" s="0">
        <ns0:f>IF(AND(J131&gt;0,T131&gt;0,Y131&lt;=Z131),1,0)</ns0:f>
        <ns0:v>0</ns0:v>
      </ns0:c>
    </ns0:row>
    <ns0:row r="132">
      <ns0:c r="A132" s="0">
        <ns0:f>IFERROR(IF(ISNUMBER(Bookings!B132),"",TRIM(Bookings!B132&amp;"")),"")</ns0:f>
      </ns0:c>
      <ns0:c r="B132" s="0">
        <ns0:f>IFERROR(SUBSTITUTE(SUBSTITUTE(A132,"/","."),"-","."),"")</ns0:f>
      </ns0:c>
      <ns0:c r="C132" s="0">
        <ns0:f>IFERROR(LEFT(B132,FIND(".",B132)-1),"")</ns0:f>
      </ns0:c>
      <ns0:c r="D132" s="0">
        <ns0:f>IFERROR(MID(B132,FIND(".",B132)+1,FIND(".",B132,FIND(".",B132)+1)-FIND(".",B132)-1),"")</ns0:f>
      </ns0:c>
      <ns0:c r="E132" s="0">
        <ns0:f>IFERROR(MID(B132,FIND(".",B132,FIND(".",B132)+1)+1,99),"")</ns0:f>
        <ns0:v>99</ns0:v>
      </ns0:c>
      <ns0:c r="F132" s="0">
        <ns0:f>IFERROR(IF(FIND(".",B132)=5,--C132,--E132),0)</ns0:f>
        <ns0:v>0</ns0:v>
      </ns0:c>
      <ns0:c r="G132" s="0">
        <ns0:f>IFERROR(--D132,0)</ns0:f>
        <ns0:v>0</ns0:v>
      </ns0:c>
      <ns0:c r="H132" s="0">
        <ns0:f>IFERROR(IF(FIND(".",B132)=5,--E132,--C132),0)</ns0:f>
        <ns0:v>0</ns0:v>
      </ns0:c>
      <ns0:c r="I132" s="0">
        <ns0:f>IFERROR(IF(AND(F132&gt;=2000,F132&lt;=2100,G132&gt;=1,G132&lt;=12,H132&gt;=1,H132&lt;=31),DATE(F132,G132,H132),0),0)</ns0:f>
        <ns0:v>0</ns0:v>
      </ns0:c>
      <ns0:c r="J132" s="0">
        <ns0:f>IFERROR(IF(ISNUMBER(Bookings!B132),IF(AND(Bookings!B132=INT(Bookings!B132),Bookings!B132&gt;=DATE(2000,1,1),Bookings!B132&lt;=DATE(2100,12,31)),Bookings!B132,0),IF(AND(A132&lt;&gt;"",LEN("x"&amp;B132)-LEN(SUBSTITUTE("x"&amp;B132,".",""))=2,OR(1&gt;LEN(B132),MID(B132,1,1)=".",ISNUMBER(FIND("x"&amp;MID(B132,1,1),"x0x1x2x3x4x5x6x7x8x9"))),OR(2&gt;LEN(B132),MID(B132,2,1)=".",ISNUMBER(FIND("x"&amp;MID(B132,2,1),"x0x1x2x3x4x5x6x7x8x9"))),OR(3&gt;LEN(B132),MID(B132,3,1)=".",ISNUMBER(FIND("x"&amp;MID(B132,3,1),"x0x1x2x3x4x5x6x7x8x9"))),OR(4&gt;LEN(B132),MID(B132,4,1)=".",ISNUMBER(FIND("x"&amp;MID(B132,4,1),"x0x1x2x3x4x5x6x7x8x9"))),OR(5&gt;LEN(B132),MID(B132,5,1)=".",ISNUMBER(FIND("x"&amp;MID(B132,5,1),"x0x1x2x3x4x5x6x7x8x9"))),OR(6&gt;LEN(B132),MID(B132,6,1)=".",ISNUMBER(FIND("x"&amp;MID(B132,6,1),"x0x1x2x3x4x5x6x7x8x9"))),OR(7&gt;LEN(B132),MID(B132,7,1)=".",ISNUMBER(FIND("x"&amp;MID(B132,7,1),"x0x1x2x3x4x5x6x7x8x9"))),OR(8&gt;LEN(B132),MID(B132,8,1)=".",ISNUMBER(FIND("x"&amp;MID(B132,8,1),"x0x1x2x3x4x5x6x7x8x9"))),OR(9&gt;LEN(B132),MID(B132,9,1)=".",ISNUMBER(FIND("x"&amp;MID(B132,9,1),"x0x1x2x3x4x5x6x7x8x9"))),OR(10&gt;LEN(B132),MID(B132,10,1)=".",ISNUMBER(FIND("x"&amp;MID(B132,10,1),"x0x1x2x3x4x5x6x7x8x9"))),OR(AND(FIND(".",B132)=5,LEN(B132)-FIND(".",B132,FIND(".",B132)+1)&gt;=1,LEN(B132)-FIND(".",B132,FIND(".",B132)+1)&lt;=2),AND(LEN(B132)-FIND(".",B132,FIND(".",B132)+1)=4,FIND(".",B132)&gt;=2,FIND(".",B132)&lt;=3)),FIND(".",B132,FIND(".",B132)+1)-FIND(".",B132)&gt;=2,FIND(".",B132,FIND(".",B132)+1)-FIND(".",B132)&lt;=3,F132&gt;=2000,F132&lt;=2100,YEAR(I132)=F132,MONTH(I132)=G132,DAY(I132)=H132),I132,0)),0)</ns0:f>
        <ns0:v>0</ns0:v>
      </ns0:c>
      <ns0:c r="K132" s="0">
        <ns0:f>IFERROR(IF(ISNUMBER(Bookings!D132),"",TRIM(Bookings!D132&amp;"")),"")</ns0:f>
      </ns0:c>
      <ns0:c r="L132" s="0">
        <ns0:f>IFERROR(SUBSTITUTE(SUBSTITUTE(K132,"/","."),"-","."),"")</ns0:f>
      </ns0:c>
      <ns0:c r="M132" s="0">
        <ns0:f>IFERROR(LEFT(L132,FIND(".",L132)-1),"")</ns0:f>
      </ns0:c>
      <ns0:c r="N132" s="0">
        <ns0:f>IFERROR(MID(L132,FIND(".",L132)+1,FIND(".",L132,FIND(".",L132)+1)-FIND(".",L132)-1),"")</ns0:f>
      </ns0:c>
      <ns0:c r="O132" s="0">
        <ns0:f>IFERROR(MID(L132,FIND(".",L132,FIND(".",L132)+1)+1,99),"")</ns0:f>
        <ns0:v>99</ns0:v>
      </ns0:c>
      <ns0:c r="P132" s="0">
        <ns0:f>IFERROR(IF(FIND(".",L132)=5,--M132,--O132),0)</ns0:f>
        <ns0:v>0</ns0:v>
      </ns0:c>
      <ns0:c r="Q132" s="0">
        <ns0:f>IFERROR(--N132,0)</ns0:f>
        <ns0:v>0</ns0:v>
      </ns0:c>
      <ns0:c r="R132" s="0">
        <ns0:f>IFERROR(IF(FIND(".",L132)=5,--O132,--M132),0)</ns0:f>
        <ns0:v>0</ns0:v>
      </ns0:c>
      <ns0:c r="S132" s="0">
        <ns0:f>IFERROR(IF(AND(P132&gt;=2000,P132&lt;=2100,Q132&gt;=1,Q132&lt;=12,R132&gt;=1,R132&lt;=31),DATE(P132,Q132,R132),0),0)</ns0:f>
        <ns0:v>0</ns0:v>
      </ns0:c>
      <ns0:c r="T132" s="0">
        <ns0:f>IFERROR(IF(ISNUMBER(Bookings!D132),IF(AND(Bookings!D132=INT(Bookings!D132),Bookings!D132&gt;=DATE(2000,1,1),Bookings!D132&lt;=DATE(2100,12,31)),Bookings!D132,0),IF(AND(K132&lt;&gt;"",LEN("x"&amp;L132)-LEN(SUBSTITUTE("x"&amp;L132,".",""))=2,OR(1&gt;LEN(L132),MID(L132,1,1)=".",ISNUMBER(FIND("x"&amp;MID(L132,1,1),"x0x1x2x3x4x5x6x7x8x9"))),OR(2&gt;LEN(L132),MID(L132,2,1)=".",ISNUMBER(FIND("x"&amp;MID(L132,2,1),"x0x1x2x3x4x5x6x7x8x9"))),OR(3&gt;LEN(L132),MID(L132,3,1)=".",ISNUMBER(FIND("x"&amp;MID(L132,3,1),"x0x1x2x3x4x5x6x7x8x9"))),OR(4&gt;LEN(L132),MID(L132,4,1)=".",ISNUMBER(FIND("x"&amp;MID(L132,4,1),"x0x1x2x3x4x5x6x7x8x9"))),OR(5&gt;LEN(L132),MID(L132,5,1)=".",ISNUMBER(FIND("x"&amp;MID(L132,5,1),"x0x1x2x3x4x5x6x7x8x9"))),OR(6&gt;LEN(L132),MID(L132,6,1)=".",ISNUMBER(FIND("x"&amp;MID(L132,6,1),"x0x1x2x3x4x5x6x7x8x9"))),OR(7&gt;LEN(L132),MID(L132,7,1)=".",ISNUMBER(FIND("x"&amp;MID(L132,7,1),"x0x1x2x3x4x5x6x7x8x9"))),OR(8&gt;LEN(L132),MID(L132,8,1)=".",ISNUMBER(FIND("x"&amp;MID(L132,8,1),"x0x1x2x3x4x5x6x7x8x9"))),OR(9&gt;LEN(L132),MID(L132,9,1)=".",ISNUMBER(FIND("x"&amp;MID(L132,9,1),"x0x1x2x3x4x5x6x7x8x9"))),OR(10&gt;LEN(L132),MID(L132,10,1)=".",ISNUMBER(FIND("x"&amp;MID(L132,10,1),"x0x1x2x3x4x5x6x7x8x9"))),OR(AND(FIND(".",L132)=5,LEN(L132)-FIND(".",L132,FIND(".",L132)+1)&gt;=1,LEN(L132)-FIND(".",L132,FIND(".",L132)+1)&lt;=2),AND(LEN(L132)-FIND(".",L132,FIND(".",L132)+1)=4,FIND(".",L132)&gt;=2,FIND(".",L132)&lt;=3)),FIND(".",L132,FIND(".",L132)+1)-FIND(".",L132)&gt;=2,FIND(".",L132,FIND(".",L132)+1)-FIND(".",L132)&lt;=3,P132&gt;=2000,P132&lt;=2100,YEAR(S132)=P132,MONTH(S132)=Q132,DAY(S132)=R132),S132,0)),0)</ns0:f>
        <ns0:v>0</ns0:v>
      </ns0:c>
      <ns0:c r="U132" s="0" t="str">
        <ns0:f>IF(Bookings!C132="","Full day",Bookings!C132)</ns0:f>
        <ns0:v>Full day</ns0:v>
      </ns0:c>
      <ns0:c r="V132" s="0" t="str">
        <ns0:f>IF(Bookings!E132="","Full day",Bookings!E132)</ns0:f>
        <ns0:v>Full day</ns0:v>
      </ns0:c>
      <ns0:c r="W132" s="0">
        <ns0:f>IF(J132=0,0,J132+IF(U132="PM",1,0))</ns0:f>
        <ns0:v>0</ns0:v>
      </ns0:c>
      <ns0:c r="X132" s="0">
        <ns0:f>IF(T132=0,0,T132-IF(V132="PM",1,0))</ns0:f>
        <ns0:v>0</ns0:v>
      </ns0:c>
      <ns0:c r="Y132" s="0">
        <ns0:f>IF(J132=0,0,J132+IF(U132="AM",1,0))</ns0:f>
        <ns0:v>0</ns0:v>
      </ns0:c>
      <ns0:c r="Z132" s="0">
        <ns0:f>IF(T132=0,0,T132-IF(V132="AM",1,0))</ns0:f>
        <ns0:v>0</ns0:v>
      </ns0:c>
      <ns0:c r="AA132" s="0">
        <ns0:f>IFERROR(IF(AND(J132&gt;0,'_Engine'!C132&gt;0,MID('_Engine'!W132,WEEKDAY(J132,2),1)="W",COUNTIF(Settings!$F$18:$F$67,J132)=0),1,0),0)</ns0:f>
        <ns0:v>0</ns0:v>
      </ns0:c>
      <ns0:c r="AB132" s="0">
        <ns0:f>IFERROR(IF(AND(T132&gt;0,'_Engine'!C132&gt;0,MID('_Engine'!W132,WEEKDAY(T132,2),1)="W",COUNTIF(Settings!$F$18:$F$67,T132)=0),1,0),0)</ns0:f>
        <ns0:v>0</ns0:v>
      </ns0:c>
      <ns0:c r="AC132" s="0">
        <ns0:f>IF(AND(J132&gt;0,T132&gt;0,W132&lt;=X132),1,0)</ns0:f>
        <ns0:v>0</ns0:v>
      </ns0:c>
      <ns0:c r="AD132" s="0">
        <ns0:f>IF(AND(J132&gt;0,T132&gt;0,Y132&lt;=Z132),1,0)</ns0:f>
        <ns0:v>0</ns0:v>
      </ns0:c>
    </ns0:row>
    <ns0:row r="133">
      <ns0:c r="A133" s="0">
        <ns0:f>IFERROR(IF(ISNUMBER(Bookings!B133),"",TRIM(Bookings!B133&amp;"")),"")</ns0:f>
      </ns0:c>
      <ns0:c r="B133" s="0">
        <ns0:f>IFERROR(SUBSTITUTE(SUBSTITUTE(A133,"/","."),"-","."),"")</ns0:f>
      </ns0:c>
      <ns0:c r="C133" s="0">
        <ns0:f>IFERROR(LEFT(B133,FIND(".",B133)-1),"")</ns0:f>
      </ns0:c>
      <ns0:c r="D133" s="0">
        <ns0:f>IFERROR(MID(B133,FIND(".",B133)+1,FIND(".",B133,FIND(".",B133)+1)-FIND(".",B133)-1),"")</ns0:f>
      </ns0:c>
      <ns0:c r="E133" s="0">
        <ns0:f>IFERROR(MID(B133,FIND(".",B133,FIND(".",B133)+1)+1,99),"")</ns0:f>
        <ns0:v>99</ns0:v>
      </ns0:c>
      <ns0:c r="F133" s="0">
        <ns0:f>IFERROR(IF(FIND(".",B133)=5,--C133,--E133),0)</ns0:f>
        <ns0:v>0</ns0:v>
      </ns0:c>
      <ns0:c r="G133" s="0">
        <ns0:f>IFERROR(--D133,0)</ns0:f>
        <ns0:v>0</ns0:v>
      </ns0:c>
      <ns0:c r="H133" s="0">
        <ns0:f>IFERROR(IF(FIND(".",B133)=5,--E133,--C133),0)</ns0:f>
        <ns0:v>0</ns0:v>
      </ns0:c>
      <ns0:c r="I133" s="0">
        <ns0:f>IFERROR(IF(AND(F133&gt;=2000,F133&lt;=2100,G133&gt;=1,G133&lt;=12,H133&gt;=1,H133&lt;=31),DATE(F133,G133,H133),0),0)</ns0:f>
        <ns0:v>0</ns0:v>
      </ns0:c>
      <ns0:c r="J133" s="0">
        <ns0:f>IFERROR(IF(ISNUMBER(Bookings!B133),IF(AND(Bookings!B133=INT(Bookings!B133),Bookings!B133&gt;=DATE(2000,1,1),Bookings!B133&lt;=DATE(2100,12,31)),Bookings!B133,0),IF(AND(A133&lt;&gt;"",LEN("x"&amp;B133)-LEN(SUBSTITUTE("x"&amp;B133,".",""))=2,OR(1&gt;LEN(B133),MID(B133,1,1)=".",ISNUMBER(FIND("x"&amp;MID(B133,1,1),"x0x1x2x3x4x5x6x7x8x9"))),OR(2&gt;LEN(B133),MID(B133,2,1)=".",ISNUMBER(FIND("x"&amp;MID(B133,2,1),"x0x1x2x3x4x5x6x7x8x9"))),OR(3&gt;LEN(B133),MID(B133,3,1)=".",ISNUMBER(FIND("x"&amp;MID(B133,3,1),"x0x1x2x3x4x5x6x7x8x9"))),OR(4&gt;LEN(B133),MID(B133,4,1)=".",ISNUMBER(FIND("x"&amp;MID(B133,4,1),"x0x1x2x3x4x5x6x7x8x9"))),OR(5&gt;LEN(B133),MID(B133,5,1)=".",ISNUMBER(FIND("x"&amp;MID(B133,5,1),"x0x1x2x3x4x5x6x7x8x9"))),OR(6&gt;LEN(B133),MID(B133,6,1)=".",ISNUMBER(FIND("x"&amp;MID(B133,6,1),"x0x1x2x3x4x5x6x7x8x9"))),OR(7&gt;LEN(B133),MID(B133,7,1)=".",ISNUMBER(FIND("x"&amp;MID(B133,7,1),"x0x1x2x3x4x5x6x7x8x9"))),OR(8&gt;LEN(B133),MID(B133,8,1)=".",ISNUMBER(FIND("x"&amp;MID(B133,8,1),"x0x1x2x3x4x5x6x7x8x9"))),OR(9&gt;LEN(B133),MID(B133,9,1)=".",ISNUMBER(FIND("x"&amp;MID(B133,9,1),"x0x1x2x3x4x5x6x7x8x9"))),OR(10&gt;LEN(B133),MID(B133,10,1)=".",ISNUMBER(FIND("x"&amp;MID(B133,10,1),"x0x1x2x3x4x5x6x7x8x9"))),OR(AND(FIND(".",B133)=5,LEN(B133)-FIND(".",B133,FIND(".",B133)+1)&gt;=1,LEN(B133)-FIND(".",B133,FIND(".",B133)+1)&lt;=2),AND(LEN(B133)-FIND(".",B133,FIND(".",B133)+1)=4,FIND(".",B133)&gt;=2,FIND(".",B133)&lt;=3)),FIND(".",B133,FIND(".",B133)+1)-FIND(".",B133)&gt;=2,FIND(".",B133,FIND(".",B133)+1)-FIND(".",B133)&lt;=3,F133&gt;=2000,F133&lt;=2100,YEAR(I133)=F133,MONTH(I133)=G133,DAY(I133)=H133),I133,0)),0)</ns0:f>
        <ns0:v>0</ns0:v>
      </ns0:c>
      <ns0:c r="K133" s="0">
        <ns0:f>IFERROR(IF(ISNUMBER(Bookings!D133),"",TRIM(Bookings!D133&amp;"")),"")</ns0:f>
      </ns0:c>
      <ns0:c r="L133" s="0">
        <ns0:f>IFERROR(SUBSTITUTE(SUBSTITUTE(K133,"/","."),"-","."),"")</ns0:f>
      </ns0:c>
      <ns0:c r="M133" s="0">
        <ns0:f>IFERROR(LEFT(L133,FIND(".",L133)-1),"")</ns0:f>
      </ns0:c>
      <ns0:c r="N133" s="0">
        <ns0:f>IFERROR(MID(L133,FIND(".",L133)+1,FIND(".",L133,FIND(".",L133)+1)-FIND(".",L133)-1),"")</ns0:f>
      </ns0:c>
      <ns0:c r="O133" s="0">
        <ns0:f>IFERROR(MID(L133,FIND(".",L133,FIND(".",L133)+1)+1,99),"")</ns0:f>
        <ns0:v>99</ns0:v>
      </ns0:c>
      <ns0:c r="P133" s="0">
        <ns0:f>IFERROR(IF(FIND(".",L133)=5,--M133,--O133),0)</ns0:f>
        <ns0:v>0</ns0:v>
      </ns0:c>
      <ns0:c r="Q133" s="0">
        <ns0:f>IFERROR(--N133,0)</ns0:f>
        <ns0:v>0</ns0:v>
      </ns0:c>
      <ns0:c r="R133" s="0">
        <ns0:f>IFERROR(IF(FIND(".",L133)=5,--O133,--M133),0)</ns0:f>
        <ns0:v>0</ns0:v>
      </ns0:c>
      <ns0:c r="S133" s="0">
        <ns0:f>IFERROR(IF(AND(P133&gt;=2000,P133&lt;=2100,Q133&gt;=1,Q133&lt;=12,R133&gt;=1,R133&lt;=31),DATE(P133,Q133,R133),0),0)</ns0:f>
        <ns0:v>0</ns0:v>
      </ns0:c>
      <ns0:c r="T133" s="0">
        <ns0:f>IFERROR(IF(ISNUMBER(Bookings!D133),IF(AND(Bookings!D133=INT(Bookings!D133),Bookings!D133&gt;=DATE(2000,1,1),Bookings!D133&lt;=DATE(2100,12,31)),Bookings!D133,0),IF(AND(K133&lt;&gt;"",LEN("x"&amp;L133)-LEN(SUBSTITUTE("x"&amp;L133,".",""))=2,OR(1&gt;LEN(L133),MID(L133,1,1)=".",ISNUMBER(FIND("x"&amp;MID(L133,1,1),"x0x1x2x3x4x5x6x7x8x9"))),OR(2&gt;LEN(L133),MID(L133,2,1)=".",ISNUMBER(FIND("x"&amp;MID(L133,2,1),"x0x1x2x3x4x5x6x7x8x9"))),OR(3&gt;LEN(L133),MID(L133,3,1)=".",ISNUMBER(FIND("x"&amp;MID(L133,3,1),"x0x1x2x3x4x5x6x7x8x9"))),OR(4&gt;LEN(L133),MID(L133,4,1)=".",ISNUMBER(FIND("x"&amp;MID(L133,4,1),"x0x1x2x3x4x5x6x7x8x9"))),OR(5&gt;LEN(L133),MID(L133,5,1)=".",ISNUMBER(FIND("x"&amp;MID(L133,5,1),"x0x1x2x3x4x5x6x7x8x9"))),OR(6&gt;LEN(L133),MID(L133,6,1)=".",ISNUMBER(FIND("x"&amp;MID(L133,6,1),"x0x1x2x3x4x5x6x7x8x9"))),OR(7&gt;LEN(L133),MID(L133,7,1)=".",ISNUMBER(FIND("x"&amp;MID(L133,7,1),"x0x1x2x3x4x5x6x7x8x9"))),OR(8&gt;LEN(L133),MID(L133,8,1)=".",ISNUMBER(FIND("x"&amp;MID(L133,8,1),"x0x1x2x3x4x5x6x7x8x9"))),OR(9&gt;LEN(L133),MID(L133,9,1)=".",ISNUMBER(FIND("x"&amp;MID(L133,9,1),"x0x1x2x3x4x5x6x7x8x9"))),OR(10&gt;LEN(L133),MID(L133,10,1)=".",ISNUMBER(FIND("x"&amp;MID(L133,10,1),"x0x1x2x3x4x5x6x7x8x9"))),OR(AND(FIND(".",L133)=5,LEN(L133)-FIND(".",L133,FIND(".",L133)+1)&gt;=1,LEN(L133)-FIND(".",L133,FIND(".",L133)+1)&lt;=2),AND(LEN(L133)-FIND(".",L133,FIND(".",L133)+1)=4,FIND(".",L133)&gt;=2,FIND(".",L133)&lt;=3)),FIND(".",L133,FIND(".",L133)+1)-FIND(".",L133)&gt;=2,FIND(".",L133,FIND(".",L133)+1)-FIND(".",L133)&lt;=3,P133&gt;=2000,P133&lt;=2100,YEAR(S133)=P133,MONTH(S133)=Q133,DAY(S133)=R133),S133,0)),0)</ns0:f>
        <ns0:v>0</ns0:v>
      </ns0:c>
      <ns0:c r="U133" s="0" t="str">
        <ns0:f>IF(Bookings!C133="","Full day",Bookings!C133)</ns0:f>
        <ns0:v>Full day</ns0:v>
      </ns0:c>
      <ns0:c r="V133" s="0" t="str">
        <ns0:f>IF(Bookings!E133="","Full day",Bookings!E133)</ns0:f>
        <ns0:v>Full day</ns0:v>
      </ns0:c>
      <ns0:c r="W133" s="0">
        <ns0:f>IF(J133=0,0,J133+IF(U133="PM",1,0))</ns0:f>
        <ns0:v>0</ns0:v>
      </ns0:c>
      <ns0:c r="X133" s="0">
        <ns0:f>IF(T133=0,0,T133-IF(V133="PM",1,0))</ns0:f>
        <ns0:v>0</ns0:v>
      </ns0:c>
      <ns0:c r="Y133" s="0">
        <ns0:f>IF(J133=0,0,J133+IF(U133="AM",1,0))</ns0:f>
        <ns0:v>0</ns0:v>
      </ns0:c>
      <ns0:c r="Z133" s="0">
        <ns0:f>IF(T133=0,0,T133-IF(V133="AM",1,0))</ns0:f>
        <ns0:v>0</ns0:v>
      </ns0:c>
      <ns0:c r="AA133" s="0">
        <ns0:f>IFERROR(IF(AND(J133&gt;0,'_Engine'!C133&gt;0,MID('_Engine'!W133,WEEKDAY(J133,2),1)="W",COUNTIF(Settings!$F$18:$F$67,J133)=0),1,0),0)</ns0:f>
        <ns0:v>0</ns0:v>
      </ns0:c>
      <ns0:c r="AB133" s="0">
        <ns0:f>IFERROR(IF(AND(T133&gt;0,'_Engine'!C133&gt;0,MID('_Engine'!W133,WEEKDAY(T133,2),1)="W",COUNTIF(Settings!$F$18:$F$67,T133)=0),1,0),0)</ns0:f>
        <ns0:v>0</ns0:v>
      </ns0:c>
      <ns0:c r="AC133" s="0">
        <ns0:f>IF(AND(J133&gt;0,T133&gt;0,W133&lt;=X133),1,0)</ns0:f>
        <ns0:v>0</ns0:v>
      </ns0:c>
      <ns0:c r="AD133" s="0">
        <ns0:f>IF(AND(J133&gt;0,T133&gt;0,Y133&lt;=Z133),1,0)</ns0:f>
        <ns0:v>0</ns0:v>
      </ns0:c>
    </ns0:row>
    <ns0:row r="134">
      <ns0:c r="A134" s="0">
        <ns0:f>IFERROR(IF(ISNUMBER(Bookings!B134),"",TRIM(Bookings!B134&amp;"")),"")</ns0:f>
      </ns0:c>
      <ns0:c r="B134" s="0">
        <ns0:f>IFERROR(SUBSTITUTE(SUBSTITUTE(A134,"/","."),"-","."),"")</ns0:f>
      </ns0:c>
      <ns0:c r="C134" s="0">
        <ns0:f>IFERROR(LEFT(B134,FIND(".",B134)-1),"")</ns0:f>
      </ns0:c>
      <ns0:c r="D134" s="0">
        <ns0:f>IFERROR(MID(B134,FIND(".",B134)+1,FIND(".",B134,FIND(".",B134)+1)-FIND(".",B134)-1),"")</ns0:f>
      </ns0:c>
      <ns0:c r="E134" s="0">
        <ns0:f>IFERROR(MID(B134,FIND(".",B134,FIND(".",B134)+1)+1,99),"")</ns0:f>
        <ns0:v>99</ns0:v>
      </ns0:c>
      <ns0:c r="F134" s="0">
        <ns0:f>IFERROR(IF(FIND(".",B134)=5,--C134,--E134),0)</ns0:f>
        <ns0:v>0</ns0:v>
      </ns0:c>
      <ns0:c r="G134" s="0">
        <ns0:f>IFERROR(--D134,0)</ns0:f>
        <ns0:v>0</ns0:v>
      </ns0:c>
      <ns0:c r="H134" s="0">
        <ns0:f>IFERROR(IF(FIND(".",B134)=5,--E134,--C134),0)</ns0:f>
        <ns0:v>0</ns0:v>
      </ns0:c>
      <ns0:c r="I134" s="0">
        <ns0:f>IFERROR(IF(AND(F134&gt;=2000,F134&lt;=2100,G134&gt;=1,G134&lt;=12,H134&gt;=1,H134&lt;=31),DATE(F134,G134,H134),0),0)</ns0:f>
        <ns0:v>0</ns0:v>
      </ns0:c>
      <ns0:c r="J134" s="0">
        <ns0:f>IFERROR(IF(ISNUMBER(Bookings!B134),IF(AND(Bookings!B134=INT(Bookings!B134),Bookings!B134&gt;=DATE(2000,1,1),Bookings!B134&lt;=DATE(2100,12,31)),Bookings!B134,0),IF(AND(A134&lt;&gt;"",LEN("x"&amp;B134)-LEN(SUBSTITUTE("x"&amp;B134,".",""))=2,OR(1&gt;LEN(B134),MID(B134,1,1)=".",ISNUMBER(FIND("x"&amp;MID(B134,1,1),"x0x1x2x3x4x5x6x7x8x9"))),OR(2&gt;LEN(B134),MID(B134,2,1)=".",ISNUMBER(FIND("x"&amp;MID(B134,2,1),"x0x1x2x3x4x5x6x7x8x9"))),OR(3&gt;LEN(B134),MID(B134,3,1)=".",ISNUMBER(FIND("x"&amp;MID(B134,3,1),"x0x1x2x3x4x5x6x7x8x9"))),OR(4&gt;LEN(B134),MID(B134,4,1)=".",ISNUMBER(FIND("x"&amp;MID(B134,4,1),"x0x1x2x3x4x5x6x7x8x9"))),OR(5&gt;LEN(B134),MID(B134,5,1)=".",ISNUMBER(FIND("x"&amp;MID(B134,5,1),"x0x1x2x3x4x5x6x7x8x9"))),OR(6&gt;LEN(B134),MID(B134,6,1)=".",ISNUMBER(FIND("x"&amp;MID(B134,6,1),"x0x1x2x3x4x5x6x7x8x9"))),OR(7&gt;LEN(B134),MID(B134,7,1)=".",ISNUMBER(FIND("x"&amp;MID(B134,7,1),"x0x1x2x3x4x5x6x7x8x9"))),OR(8&gt;LEN(B134),MID(B134,8,1)=".",ISNUMBER(FIND("x"&amp;MID(B134,8,1),"x0x1x2x3x4x5x6x7x8x9"))),OR(9&gt;LEN(B134),MID(B134,9,1)=".",ISNUMBER(FIND("x"&amp;MID(B134,9,1),"x0x1x2x3x4x5x6x7x8x9"))),OR(10&gt;LEN(B134),MID(B134,10,1)=".",ISNUMBER(FIND("x"&amp;MID(B134,10,1),"x0x1x2x3x4x5x6x7x8x9"))),OR(AND(FIND(".",B134)=5,LEN(B134)-FIND(".",B134,FIND(".",B134)+1)&gt;=1,LEN(B134)-FIND(".",B134,FIND(".",B134)+1)&lt;=2),AND(LEN(B134)-FIND(".",B134,FIND(".",B134)+1)=4,FIND(".",B134)&gt;=2,FIND(".",B134)&lt;=3)),FIND(".",B134,FIND(".",B134)+1)-FIND(".",B134)&gt;=2,FIND(".",B134,FIND(".",B134)+1)-FIND(".",B134)&lt;=3,F134&gt;=2000,F134&lt;=2100,YEAR(I134)=F134,MONTH(I134)=G134,DAY(I134)=H134),I134,0)),0)</ns0:f>
        <ns0:v>0</ns0:v>
      </ns0:c>
      <ns0:c r="K134" s="0">
        <ns0:f>IFERROR(IF(ISNUMBER(Bookings!D134),"",TRIM(Bookings!D134&amp;"")),"")</ns0:f>
      </ns0:c>
      <ns0:c r="L134" s="0">
        <ns0:f>IFERROR(SUBSTITUTE(SUBSTITUTE(K134,"/","."),"-","."),"")</ns0:f>
      </ns0:c>
      <ns0:c r="M134" s="0">
        <ns0:f>IFERROR(LEFT(L134,FIND(".",L134)-1),"")</ns0:f>
      </ns0:c>
      <ns0:c r="N134" s="0">
        <ns0:f>IFERROR(MID(L134,FIND(".",L134)+1,FIND(".",L134,FIND(".",L134)+1)-FIND(".",L134)-1),"")</ns0:f>
      </ns0:c>
      <ns0:c r="O134" s="0">
        <ns0:f>IFERROR(MID(L134,FIND(".",L134,FIND(".",L134)+1)+1,99),"")</ns0:f>
        <ns0:v>99</ns0:v>
      </ns0:c>
      <ns0:c r="P134" s="0">
        <ns0:f>IFERROR(IF(FIND(".",L134)=5,--M134,--O134),0)</ns0:f>
        <ns0:v>0</ns0:v>
      </ns0:c>
      <ns0:c r="Q134" s="0">
        <ns0:f>IFERROR(--N134,0)</ns0:f>
        <ns0:v>0</ns0:v>
      </ns0:c>
      <ns0:c r="R134" s="0">
        <ns0:f>IFERROR(IF(FIND(".",L134)=5,--O134,--M134),0)</ns0:f>
        <ns0:v>0</ns0:v>
      </ns0:c>
      <ns0:c r="S134" s="0">
        <ns0:f>IFERROR(IF(AND(P134&gt;=2000,P134&lt;=2100,Q134&gt;=1,Q134&lt;=12,R134&gt;=1,R134&lt;=31),DATE(P134,Q134,R134),0),0)</ns0:f>
        <ns0:v>0</ns0:v>
      </ns0:c>
      <ns0:c r="T134" s="0">
        <ns0:f>IFERROR(IF(ISNUMBER(Bookings!D134),IF(AND(Bookings!D134=INT(Bookings!D134),Bookings!D134&gt;=DATE(2000,1,1),Bookings!D134&lt;=DATE(2100,12,31)),Bookings!D134,0),IF(AND(K134&lt;&gt;"",LEN("x"&amp;L134)-LEN(SUBSTITUTE("x"&amp;L134,".",""))=2,OR(1&gt;LEN(L134),MID(L134,1,1)=".",ISNUMBER(FIND("x"&amp;MID(L134,1,1),"x0x1x2x3x4x5x6x7x8x9"))),OR(2&gt;LEN(L134),MID(L134,2,1)=".",ISNUMBER(FIND("x"&amp;MID(L134,2,1),"x0x1x2x3x4x5x6x7x8x9"))),OR(3&gt;LEN(L134),MID(L134,3,1)=".",ISNUMBER(FIND("x"&amp;MID(L134,3,1),"x0x1x2x3x4x5x6x7x8x9"))),OR(4&gt;LEN(L134),MID(L134,4,1)=".",ISNUMBER(FIND("x"&amp;MID(L134,4,1),"x0x1x2x3x4x5x6x7x8x9"))),OR(5&gt;LEN(L134),MID(L134,5,1)=".",ISNUMBER(FIND("x"&amp;MID(L134,5,1),"x0x1x2x3x4x5x6x7x8x9"))),OR(6&gt;LEN(L134),MID(L134,6,1)=".",ISNUMBER(FIND("x"&amp;MID(L134,6,1),"x0x1x2x3x4x5x6x7x8x9"))),OR(7&gt;LEN(L134),MID(L134,7,1)=".",ISNUMBER(FIND("x"&amp;MID(L134,7,1),"x0x1x2x3x4x5x6x7x8x9"))),OR(8&gt;LEN(L134),MID(L134,8,1)=".",ISNUMBER(FIND("x"&amp;MID(L134,8,1),"x0x1x2x3x4x5x6x7x8x9"))),OR(9&gt;LEN(L134),MID(L134,9,1)=".",ISNUMBER(FIND("x"&amp;MID(L134,9,1),"x0x1x2x3x4x5x6x7x8x9"))),OR(10&gt;LEN(L134),MID(L134,10,1)=".",ISNUMBER(FIND("x"&amp;MID(L134,10,1),"x0x1x2x3x4x5x6x7x8x9"))),OR(AND(FIND(".",L134)=5,LEN(L134)-FIND(".",L134,FIND(".",L134)+1)&gt;=1,LEN(L134)-FIND(".",L134,FIND(".",L134)+1)&lt;=2),AND(LEN(L134)-FIND(".",L134,FIND(".",L134)+1)=4,FIND(".",L134)&gt;=2,FIND(".",L134)&lt;=3)),FIND(".",L134,FIND(".",L134)+1)-FIND(".",L134)&gt;=2,FIND(".",L134,FIND(".",L134)+1)-FIND(".",L134)&lt;=3,P134&gt;=2000,P134&lt;=2100,YEAR(S134)=P134,MONTH(S134)=Q134,DAY(S134)=R134),S134,0)),0)</ns0:f>
        <ns0:v>0</ns0:v>
      </ns0:c>
      <ns0:c r="U134" s="0" t="str">
        <ns0:f>IF(Bookings!C134="","Full day",Bookings!C134)</ns0:f>
        <ns0:v>Full day</ns0:v>
      </ns0:c>
      <ns0:c r="V134" s="0" t="str">
        <ns0:f>IF(Bookings!E134="","Full day",Bookings!E134)</ns0:f>
        <ns0:v>Full day</ns0:v>
      </ns0:c>
      <ns0:c r="W134" s="0">
        <ns0:f>IF(J134=0,0,J134+IF(U134="PM",1,0))</ns0:f>
        <ns0:v>0</ns0:v>
      </ns0:c>
      <ns0:c r="X134" s="0">
        <ns0:f>IF(T134=0,0,T134-IF(V134="PM",1,0))</ns0:f>
        <ns0:v>0</ns0:v>
      </ns0:c>
      <ns0:c r="Y134" s="0">
        <ns0:f>IF(J134=0,0,J134+IF(U134="AM",1,0))</ns0:f>
        <ns0:v>0</ns0:v>
      </ns0:c>
      <ns0:c r="Z134" s="0">
        <ns0:f>IF(T134=0,0,T134-IF(V134="AM",1,0))</ns0:f>
        <ns0:v>0</ns0:v>
      </ns0:c>
      <ns0:c r="AA134" s="0">
        <ns0:f>IFERROR(IF(AND(J134&gt;0,'_Engine'!C134&gt;0,MID('_Engine'!W134,WEEKDAY(J134,2),1)="W",COUNTIF(Settings!$F$18:$F$67,J134)=0),1,0),0)</ns0:f>
        <ns0:v>0</ns0:v>
      </ns0:c>
      <ns0:c r="AB134" s="0">
        <ns0:f>IFERROR(IF(AND(T134&gt;0,'_Engine'!C134&gt;0,MID('_Engine'!W134,WEEKDAY(T134,2),1)="W",COUNTIF(Settings!$F$18:$F$67,T134)=0),1,0),0)</ns0:f>
        <ns0:v>0</ns0:v>
      </ns0:c>
      <ns0:c r="AC134" s="0">
        <ns0:f>IF(AND(J134&gt;0,T134&gt;0,W134&lt;=X134),1,0)</ns0:f>
        <ns0:v>0</ns0:v>
      </ns0:c>
      <ns0:c r="AD134" s="0">
        <ns0:f>IF(AND(J134&gt;0,T134&gt;0,Y134&lt;=Z134),1,0)</ns0:f>
        <ns0:v>0</ns0:v>
      </ns0:c>
    </ns0:row>
    <ns0:row r="135">
      <ns0:c r="A135" s="0">
        <ns0:f>IFERROR(IF(ISNUMBER(Bookings!B135),"",TRIM(Bookings!B135&amp;"")),"")</ns0:f>
      </ns0:c>
      <ns0:c r="B135" s="0">
        <ns0:f>IFERROR(SUBSTITUTE(SUBSTITUTE(A135,"/","."),"-","."),"")</ns0:f>
      </ns0:c>
      <ns0:c r="C135" s="0">
        <ns0:f>IFERROR(LEFT(B135,FIND(".",B135)-1),"")</ns0:f>
      </ns0:c>
      <ns0:c r="D135" s="0">
        <ns0:f>IFERROR(MID(B135,FIND(".",B135)+1,FIND(".",B135,FIND(".",B135)+1)-FIND(".",B135)-1),"")</ns0:f>
      </ns0:c>
      <ns0:c r="E135" s="0">
        <ns0:f>IFERROR(MID(B135,FIND(".",B135,FIND(".",B135)+1)+1,99),"")</ns0:f>
        <ns0:v>99</ns0:v>
      </ns0:c>
      <ns0:c r="F135" s="0">
        <ns0:f>IFERROR(IF(FIND(".",B135)=5,--C135,--E135),0)</ns0:f>
        <ns0:v>0</ns0:v>
      </ns0:c>
      <ns0:c r="G135" s="0">
        <ns0:f>IFERROR(--D135,0)</ns0:f>
        <ns0:v>0</ns0:v>
      </ns0:c>
      <ns0:c r="H135" s="0">
        <ns0:f>IFERROR(IF(FIND(".",B135)=5,--E135,--C135),0)</ns0:f>
        <ns0:v>0</ns0:v>
      </ns0:c>
      <ns0:c r="I135" s="0">
        <ns0:f>IFERROR(IF(AND(F135&gt;=2000,F135&lt;=2100,G135&gt;=1,G135&lt;=12,H135&gt;=1,H135&lt;=31),DATE(F135,G135,H135),0),0)</ns0:f>
        <ns0:v>0</ns0:v>
      </ns0:c>
      <ns0:c r="J135" s="0">
        <ns0:f>IFERROR(IF(ISNUMBER(Bookings!B135),IF(AND(Bookings!B135=INT(Bookings!B135),Bookings!B135&gt;=DATE(2000,1,1),Bookings!B135&lt;=DATE(2100,12,31)),Bookings!B135,0),IF(AND(A135&lt;&gt;"",LEN("x"&amp;B135)-LEN(SUBSTITUTE("x"&amp;B135,".",""))=2,OR(1&gt;LEN(B135),MID(B135,1,1)=".",ISNUMBER(FIND("x"&amp;MID(B135,1,1),"x0x1x2x3x4x5x6x7x8x9"))),OR(2&gt;LEN(B135),MID(B135,2,1)=".",ISNUMBER(FIND("x"&amp;MID(B135,2,1),"x0x1x2x3x4x5x6x7x8x9"))),OR(3&gt;LEN(B135),MID(B135,3,1)=".",ISNUMBER(FIND("x"&amp;MID(B135,3,1),"x0x1x2x3x4x5x6x7x8x9"))),OR(4&gt;LEN(B135),MID(B135,4,1)=".",ISNUMBER(FIND("x"&amp;MID(B135,4,1),"x0x1x2x3x4x5x6x7x8x9"))),OR(5&gt;LEN(B135),MID(B135,5,1)=".",ISNUMBER(FIND("x"&amp;MID(B135,5,1),"x0x1x2x3x4x5x6x7x8x9"))),OR(6&gt;LEN(B135),MID(B135,6,1)=".",ISNUMBER(FIND("x"&amp;MID(B135,6,1),"x0x1x2x3x4x5x6x7x8x9"))),OR(7&gt;LEN(B135),MID(B135,7,1)=".",ISNUMBER(FIND("x"&amp;MID(B135,7,1),"x0x1x2x3x4x5x6x7x8x9"))),OR(8&gt;LEN(B135),MID(B135,8,1)=".",ISNUMBER(FIND("x"&amp;MID(B135,8,1),"x0x1x2x3x4x5x6x7x8x9"))),OR(9&gt;LEN(B135),MID(B135,9,1)=".",ISNUMBER(FIND("x"&amp;MID(B135,9,1),"x0x1x2x3x4x5x6x7x8x9"))),OR(10&gt;LEN(B135),MID(B135,10,1)=".",ISNUMBER(FIND("x"&amp;MID(B135,10,1),"x0x1x2x3x4x5x6x7x8x9"))),OR(AND(FIND(".",B135)=5,LEN(B135)-FIND(".",B135,FIND(".",B135)+1)&gt;=1,LEN(B135)-FIND(".",B135,FIND(".",B135)+1)&lt;=2),AND(LEN(B135)-FIND(".",B135,FIND(".",B135)+1)=4,FIND(".",B135)&gt;=2,FIND(".",B135)&lt;=3)),FIND(".",B135,FIND(".",B135)+1)-FIND(".",B135)&gt;=2,FIND(".",B135,FIND(".",B135)+1)-FIND(".",B135)&lt;=3,F135&gt;=2000,F135&lt;=2100,YEAR(I135)=F135,MONTH(I135)=G135,DAY(I135)=H135),I135,0)),0)</ns0:f>
        <ns0:v>0</ns0:v>
      </ns0:c>
      <ns0:c r="K135" s="0">
        <ns0:f>IFERROR(IF(ISNUMBER(Bookings!D135),"",TRIM(Bookings!D135&amp;"")),"")</ns0:f>
      </ns0:c>
      <ns0:c r="L135" s="0">
        <ns0:f>IFERROR(SUBSTITUTE(SUBSTITUTE(K135,"/","."),"-","."),"")</ns0:f>
      </ns0:c>
      <ns0:c r="M135" s="0">
        <ns0:f>IFERROR(LEFT(L135,FIND(".",L135)-1),"")</ns0:f>
      </ns0:c>
      <ns0:c r="N135" s="0">
        <ns0:f>IFERROR(MID(L135,FIND(".",L135)+1,FIND(".",L135,FIND(".",L135)+1)-FIND(".",L135)-1),"")</ns0:f>
      </ns0:c>
      <ns0:c r="O135" s="0">
        <ns0:f>IFERROR(MID(L135,FIND(".",L135,FIND(".",L135)+1)+1,99),"")</ns0:f>
        <ns0:v>99</ns0:v>
      </ns0:c>
      <ns0:c r="P135" s="0">
        <ns0:f>IFERROR(IF(FIND(".",L135)=5,--M135,--O135),0)</ns0:f>
        <ns0:v>0</ns0:v>
      </ns0:c>
      <ns0:c r="Q135" s="0">
        <ns0:f>IFERROR(--N135,0)</ns0:f>
        <ns0:v>0</ns0:v>
      </ns0:c>
      <ns0:c r="R135" s="0">
        <ns0:f>IFERROR(IF(FIND(".",L135)=5,--O135,--M135),0)</ns0:f>
        <ns0:v>0</ns0:v>
      </ns0:c>
      <ns0:c r="S135" s="0">
        <ns0:f>IFERROR(IF(AND(P135&gt;=2000,P135&lt;=2100,Q135&gt;=1,Q135&lt;=12,R135&gt;=1,R135&lt;=31),DATE(P135,Q135,R135),0),0)</ns0:f>
        <ns0:v>0</ns0:v>
      </ns0:c>
      <ns0:c r="T135" s="0">
        <ns0:f>IFERROR(IF(ISNUMBER(Bookings!D135),IF(AND(Bookings!D135=INT(Bookings!D135),Bookings!D135&gt;=DATE(2000,1,1),Bookings!D135&lt;=DATE(2100,12,31)),Bookings!D135,0),IF(AND(K135&lt;&gt;"",LEN("x"&amp;L135)-LEN(SUBSTITUTE("x"&amp;L135,".",""))=2,OR(1&gt;LEN(L135),MID(L135,1,1)=".",ISNUMBER(FIND("x"&amp;MID(L135,1,1),"x0x1x2x3x4x5x6x7x8x9"))),OR(2&gt;LEN(L135),MID(L135,2,1)=".",ISNUMBER(FIND("x"&amp;MID(L135,2,1),"x0x1x2x3x4x5x6x7x8x9"))),OR(3&gt;LEN(L135),MID(L135,3,1)=".",ISNUMBER(FIND("x"&amp;MID(L135,3,1),"x0x1x2x3x4x5x6x7x8x9"))),OR(4&gt;LEN(L135),MID(L135,4,1)=".",ISNUMBER(FIND("x"&amp;MID(L135,4,1),"x0x1x2x3x4x5x6x7x8x9"))),OR(5&gt;LEN(L135),MID(L135,5,1)=".",ISNUMBER(FIND("x"&amp;MID(L135,5,1),"x0x1x2x3x4x5x6x7x8x9"))),OR(6&gt;LEN(L135),MID(L135,6,1)=".",ISNUMBER(FIND("x"&amp;MID(L135,6,1),"x0x1x2x3x4x5x6x7x8x9"))),OR(7&gt;LEN(L135),MID(L135,7,1)=".",ISNUMBER(FIND("x"&amp;MID(L135,7,1),"x0x1x2x3x4x5x6x7x8x9"))),OR(8&gt;LEN(L135),MID(L135,8,1)=".",ISNUMBER(FIND("x"&amp;MID(L135,8,1),"x0x1x2x3x4x5x6x7x8x9"))),OR(9&gt;LEN(L135),MID(L135,9,1)=".",ISNUMBER(FIND("x"&amp;MID(L135,9,1),"x0x1x2x3x4x5x6x7x8x9"))),OR(10&gt;LEN(L135),MID(L135,10,1)=".",ISNUMBER(FIND("x"&amp;MID(L135,10,1),"x0x1x2x3x4x5x6x7x8x9"))),OR(AND(FIND(".",L135)=5,LEN(L135)-FIND(".",L135,FIND(".",L135)+1)&gt;=1,LEN(L135)-FIND(".",L135,FIND(".",L135)+1)&lt;=2),AND(LEN(L135)-FIND(".",L135,FIND(".",L135)+1)=4,FIND(".",L135)&gt;=2,FIND(".",L135)&lt;=3)),FIND(".",L135,FIND(".",L135)+1)-FIND(".",L135)&gt;=2,FIND(".",L135,FIND(".",L135)+1)-FIND(".",L135)&lt;=3,P135&gt;=2000,P135&lt;=2100,YEAR(S135)=P135,MONTH(S135)=Q135,DAY(S135)=R135),S135,0)),0)</ns0:f>
        <ns0:v>0</ns0:v>
      </ns0:c>
      <ns0:c r="U135" s="0" t="str">
        <ns0:f>IF(Bookings!C135="","Full day",Bookings!C135)</ns0:f>
        <ns0:v>Full day</ns0:v>
      </ns0:c>
      <ns0:c r="V135" s="0" t="str">
        <ns0:f>IF(Bookings!E135="","Full day",Bookings!E135)</ns0:f>
        <ns0:v>Full day</ns0:v>
      </ns0:c>
      <ns0:c r="W135" s="0">
        <ns0:f>IF(J135=0,0,J135+IF(U135="PM",1,0))</ns0:f>
        <ns0:v>0</ns0:v>
      </ns0:c>
      <ns0:c r="X135" s="0">
        <ns0:f>IF(T135=0,0,T135-IF(V135="PM",1,0))</ns0:f>
        <ns0:v>0</ns0:v>
      </ns0:c>
      <ns0:c r="Y135" s="0">
        <ns0:f>IF(J135=0,0,J135+IF(U135="AM",1,0))</ns0:f>
        <ns0:v>0</ns0:v>
      </ns0:c>
      <ns0:c r="Z135" s="0">
        <ns0:f>IF(T135=0,0,T135-IF(V135="AM",1,0))</ns0:f>
        <ns0:v>0</ns0:v>
      </ns0:c>
      <ns0:c r="AA135" s="0">
        <ns0:f>IFERROR(IF(AND(J135&gt;0,'_Engine'!C135&gt;0,MID('_Engine'!W135,WEEKDAY(J135,2),1)="W",COUNTIF(Settings!$F$18:$F$67,J135)=0),1,0),0)</ns0:f>
        <ns0:v>0</ns0:v>
      </ns0:c>
      <ns0:c r="AB135" s="0">
        <ns0:f>IFERROR(IF(AND(T135&gt;0,'_Engine'!C135&gt;0,MID('_Engine'!W135,WEEKDAY(T135,2),1)="W",COUNTIF(Settings!$F$18:$F$67,T135)=0),1,0),0)</ns0:f>
        <ns0:v>0</ns0:v>
      </ns0:c>
      <ns0:c r="AC135" s="0">
        <ns0:f>IF(AND(J135&gt;0,T135&gt;0,W135&lt;=X135),1,0)</ns0:f>
        <ns0:v>0</ns0:v>
      </ns0:c>
      <ns0:c r="AD135" s="0">
        <ns0:f>IF(AND(J135&gt;0,T135&gt;0,Y135&lt;=Z135),1,0)</ns0:f>
        <ns0:v>0</ns0:v>
      </ns0:c>
    </ns0:row>
    <ns0:row r="136">
      <ns0:c r="A136" s="0">
        <ns0:f>IFERROR(IF(ISNUMBER(Bookings!B136),"",TRIM(Bookings!B136&amp;"")),"")</ns0:f>
      </ns0:c>
      <ns0:c r="B136" s="0">
        <ns0:f>IFERROR(SUBSTITUTE(SUBSTITUTE(A136,"/","."),"-","."),"")</ns0:f>
      </ns0:c>
      <ns0:c r="C136" s="0">
        <ns0:f>IFERROR(LEFT(B136,FIND(".",B136)-1),"")</ns0:f>
      </ns0:c>
      <ns0:c r="D136" s="0">
        <ns0:f>IFERROR(MID(B136,FIND(".",B136)+1,FIND(".",B136,FIND(".",B136)+1)-FIND(".",B136)-1),"")</ns0:f>
      </ns0:c>
      <ns0:c r="E136" s="0">
        <ns0:f>IFERROR(MID(B136,FIND(".",B136,FIND(".",B136)+1)+1,99),"")</ns0:f>
        <ns0:v>99</ns0:v>
      </ns0:c>
      <ns0:c r="F136" s="0">
        <ns0:f>IFERROR(IF(FIND(".",B136)=5,--C136,--E136),0)</ns0:f>
        <ns0:v>0</ns0:v>
      </ns0:c>
      <ns0:c r="G136" s="0">
        <ns0:f>IFERROR(--D136,0)</ns0:f>
        <ns0:v>0</ns0:v>
      </ns0:c>
      <ns0:c r="H136" s="0">
        <ns0:f>IFERROR(IF(FIND(".",B136)=5,--E136,--C136),0)</ns0:f>
        <ns0:v>0</ns0:v>
      </ns0:c>
      <ns0:c r="I136" s="0">
        <ns0:f>IFERROR(IF(AND(F136&gt;=2000,F136&lt;=2100,G136&gt;=1,G136&lt;=12,H136&gt;=1,H136&lt;=31),DATE(F136,G136,H136),0),0)</ns0:f>
        <ns0:v>0</ns0:v>
      </ns0:c>
      <ns0:c r="J136" s="0">
        <ns0:f>IFERROR(IF(ISNUMBER(Bookings!B136),IF(AND(Bookings!B136=INT(Bookings!B136),Bookings!B136&gt;=DATE(2000,1,1),Bookings!B136&lt;=DATE(2100,12,31)),Bookings!B136,0),IF(AND(A136&lt;&gt;"",LEN("x"&amp;B136)-LEN(SUBSTITUTE("x"&amp;B136,".",""))=2,OR(1&gt;LEN(B136),MID(B136,1,1)=".",ISNUMBER(FIND("x"&amp;MID(B136,1,1),"x0x1x2x3x4x5x6x7x8x9"))),OR(2&gt;LEN(B136),MID(B136,2,1)=".",ISNUMBER(FIND("x"&amp;MID(B136,2,1),"x0x1x2x3x4x5x6x7x8x9"))),OR(3&gt;LEN(B136),MID(B136,3,1)=".",ISNUMBER(FIND("x"&amp;MID(B136,3,1),"x0x1x2x3x4x5x6x7x8x9"))),OR(4&gt;LEN(B136),MID(B136,4,1)=".",ISNUMBER(FIND("x"&amp;MID(B136,4,1),"x0x1x2x3x4x5x6x7x8x9"))),OR(5&gt;LEN(B136),MID(B136,5,1)=".",ISNUMBER(FIND("x"&amp;MID(B136,5,1),"x0x1x2x3x4x5x6x7x8x9"))),OR(6&gt;LEN(B136),MID(B136,6,1)=".",ISNUMBER(FIND("x"&amp;MID(B136,6,1),"x0x1x2x3x4x5x6x7x8x9"))),OR(7&gt;LEN(B136),MID(B136,7,1)=".",ISNUMBER(FIND("x"&amp;MID(B136,7,1),"x0x1x2x3x4x5x6x7x8x9"))),OR(8&gt;LEN(B136),MID(B136,8,1)=".",ISNUMBER(FIND("x"&amp;MID(B136,8,1),"x0x1x2x3x4x5x6x7x8x9"))),OR(9&gt;LEN(B136),MID(B136,9,1)=".",ISNUMBER(FIND("x"&amp;MID(B136,9,1),"x0x1x2x3x4x5x6x7x8x9"))),OR(10&gt;LEN(B136),MID(B136,10,1)=".",ISNUMBER(FIND("x"&amp;MID(B136,10,1),"x0x1x2x3x4x5x6x7x8x9"))),OR(AND(FIND(".",B136)=5,LEN(B136)-FIND(".",B136,FIND(".",B136)+1)&gt;=1,LEN(B136)-FIND(".",B136,FIND(".",B136)+1)&lt;=2),AND(LEN(B136)-FIND(".",B136,FIND(".",B136)+1)=4,FIND(".",B136)&gt;=2,FIND(".",B136)&lt;=3)),FIND(".",B136,FIND(".",B136)+1)-FIND(".",B136)&gt;=2,FIND(".",B136,FIND(".",B136)+1)-FIND(".",B136)&lt;=3,F136&gt;=2000,F136&lt;=2100,YEAR(I136)=F136,MONTH(I136)=G136,DAY(I136)=H136),I136,0)),0)</ns0:f>
        <ns0:v>0</ns0:v>
      </ns0:c>
      <ns0:c r="K136" s="0">
        <ns0:f>IFERROR(IF(ISNUMBER(Bookings!D136),"",TRIM(Bookings!D136&amp;"")),"")</ns0:f>
      </ns0:c>
      <ns0:c r="L136" s="0">
        <ns0:f>IFERROR(SUBSTITUTE(SUBSTITUTE(K136,"/","."),"-","."),"")</ns0:f>
      </ns0:c>
      <ns0:c r="M136" s="0">
        <ns0:f>IFERROR(LEFT(L136,FIND(".",L136)-1),"")</ns0:f>
      </ns0:c>
      <ns0:c r="N136" s="0">
        <ns0:f>IFERROR(MID(L136,FIND(".",L136)+1,FIND(".",L136,FIND(".",L136)+1)-FIND(".",L136)-1),"")</ns0:f>
      </ns0:c>
      <ns0:c r="O136" s="0">
        <ns0:f>IFERROR(MID(L136,FIND(".",L136,FIND(".",L136)+1)+1,99),"")</ns0:f>
        <ns0:v>99</ns0:v>
      </ns0:c>
      <ns0:c r="P136" s="0">
        <ns0:f>IFERROR(IF(FIND(".",L136)=5,--M136,--O136),0)</ns0:f>
        <ns0:v>0</ns0:v>
      </ns0:c>
      <ns0:c r="Q136" s="0">
        <ns0:f>IFERROR(--N136,0)</ns0:f>
        <ns0:v>0</ns0:v>
      </ns0:c>
      <ns0:c r="R136" s="0">
        <ns0:f>IFERROR(IF(FIND(".",L136)=5,--O136,--M136),0)</ns0:f>
        <ns0:v>0</ns0:v>
      </ns0:c>
      <ns0:c r="S136" s="0">
        <ns0:f>IFERROR(IF(AND(P136&gt;=2000,P136&lt;=2100,Q136&gt;=1,Q136&lt;=12,R136&gt;=1,R136&lt;=31),DATE(P136,Q136,R136),0),0)</ns0:f>
        <ns0:v>0</ns0:v>
      </ns0:c>
      <ns0:c r="T136" s="0">
        <ns0:f>IFERROR(IF(ISNUMBER(Bookings!D136),IF(AND(Bookings!D136=INT(Bookings!D136),Bookings!D136&gt;=DATE(2000,1,1),Bookings!D136&lt;=DATE(2100,12,31)),Bookings!D136,0),IF(AND(K136&lt;&gt;"",LEN("x"&amp;L136)-LEN(SUBSTITUTE("x"&amp;L136,".",""))=2,OR(1&gt;LEN(L136),MID(L136,1,1)=".",ISNUMBER(FIND("x"&amp;MID(L136,1,1),"x0x1x2x3x4x5x6x7x8x9"))),OR(2&gt;LEN(L136),MID(L136,2,1)=".",ISNUMBER(FIND("x"&amp;MID(L136,2,1),"x0x1x2x3x4x5x6x7x8x9"))),OR(3&gt;LEN(L136),MID(L136,3,1)=".",ISNUMBER(FIND("x"&amp;MID(L136,3,1),"x0x1x2x3x4x5x6x7x8x9"))),OR(4&gt;LEN(L136),MID(L136,4,1)=".",ISNUMBER(FIND("x"&amp;MID(L136,4,1),"x0x1x2x3x4x5x6x7x8x9"))),OR(5&gt;LEN(L136),MID(L136,5,1)=".",ISNUMBER(FIND("x"&amp;MID(L136,5,1),"x0x1x2x3x4x5x6x7x8x9"))),OR(6&gt;LEN(L136),MID(L136,6,1)=".",ISNUMBER(FIND("x"&amp;MID(L136,6,1),"x0x1x2x3x4x5x6x7x8x9"))),OR(7&gt;LEN(L136),MID(L136,7,1)=".",ISNUMBER(FIND("x"&amp;MID(L136,7,1),"x0x1x2x3x4x5x6x7x8x9"))),OR(8&gt;LEN(L136),MID(L136,8,1)=".",ISNUMBER(FIND("x"&amp;MID(L136,8,1),"x0x1x2x3x4x5x6x7x8x9"))),OR(9&gt;LEN(L136),MID(L136,9,1)=".",ISNUMBER(FIND("x"&amp;MID(L136,9,1),"x0x1x2x3x4x5x6x7x8x9"))),OR(10&gt;LEN(L136),MID(L136,10,1)=".",ISNUMBER(FIND("x"&amp;MID(L136,10,1),"x0x1x2x3x4x5x6x7x8x9"))),OR(AND(FIND(".",L136)=5,LEN(L136)-FIND(".",L136,FIND(".",L136)+1)&gt;=1,LEN(L136)-FIND(".",L136,FIND(".",L136)+1)&lt;=2),AND(LEN(L136)-FIND(".",L136,FIND(".",L136)+1)=4,FIND(".",L136)&gt;=2,FIND(".",L136)&lt;=3)),FIND(".",L136,FIND(".",L136)+1)-FIND(".",L136)&gt;=2,FIND(".",L136,FIND(".",L136)+1)-FIND(".",L136)&lt;=3,P136&gt;=2000,P136&lt;=2100,YEAR(S136)=P136,MONTH(S136)=Q136,DAY(S136)=R136),S136,0)),0)</ns0:f>
        <ns0:v>0</ns0:v>
      </ns0:c>
      <ns0:c r="U136" s="0" t="str">
        <ns0:f>IF(Bookings!C136="","Full day",Bookings!C136)</ns0:f>
        <ns0:v>Full day</ns0:v>
      </ns0:c>
      <ns0:c r="V136" s="0" t="str">
        <ns0:f>IF(Bookings!E136="","Full day",Bookings!E136)</ns0:f>
        <ns0:v>Full day</ns0:v>
      </ns0:c>
      <ns0:c r="W136" s="0">
        <ns0:f>IF(J136=0,0,J136+IF(U136="PM",1,0))</ns0:f>
        <ns0:v>0</ns0:v>
      </ns0:c>
      <ns0:c r="X136" s="0">
        <ns0:f>IF(T136=0,0,T136-IF(V136="PM",1,0))</ns0:f>
        <ns0:v>0</ns0:v>
      </ns0:c>
      <ns0:c r="Y136" s="0">
        <ns0:f>IF(J136=0,0,J136+IF(U136="AM",1,0))</ns0:f>
        <ns0:v>0</ns0:v>
      </ns0:c>
      <ns0:c r="Z136" s="0">
        <ns0:f>IF(T136=0,0,T136-IF(V136="AM",1,0))</ns0:f>
        <ns0:v>0</ns0:v>
      </ns0:c>
      <ns0:c r="AA136" s="0">
        <ns0:f>IFERROR(IF(AND(J136&gt;0,'_Engine'!C136&gt;0,MID('_Engine'!W136,WEEKDAY(J136,2),1)="W",COUNTIF(Settings!$F$18:$F$67,J136)=0),1,0),0)</ns0:f>
        <ns0:v>0</ns0:v>
      </ns0:c>
      <ns0:c r="AB136" s="0">
        <ns0:f>IFERROR(IF(AND(T136&gt;0,'_Engine'!C136&gt;0,MID('_Engine'!W136,WEEKDAY(T136,2),1)="W",COUNTIF(Settings!$F$18:$F$67,T136)=0),1,0),0)</ns0:f>
        <ns0:v>0</ns0:v>
      </ns0:c>
      <ns0:c r="AC136" s="0">
        <ns0:f>IF(AND(J136&gt;0,T136&gt;0,W136&lt;=X136),1,0)</ns0:f>
        <ns0:v>0</ns0:v>
      </ns0:c>
      <ns0:c r="AD136" s="0">
        <ns0:f>IF(AND(J136&gt;0,T136&gt;0,Y136&lt;=Z136),1,0)</ns0:f>
        <ns0:v>0</ns0:v>
      </ns0:c>
    </ns0:row>
    <ns0:row r="137">
      <ns0:c r="A137" s="0">
        <ns0:f>IFERROR(IF(ISNUMBER(Bookings!B137),"",TRIM(Bookings!B137&amp;"")),"")</ns0:f>
      </ns0:c>
      <ns0:c r="B137" s="0">
        <ns0:f>IFERROR(SUBSTITUTE(SUBSTITUTE(A137,"/","."),"-","."),"")</ns0:f>
      </ns0:c>
      <ns0:c r="C137" s="0">
        <ns0:f>IFERROR(LEFT(B137,FIND(".",B137)-1),"")</ns0:f>
      </ns0:c>
      <ns0:c r="D137" s="0">
        <ns0:f>IFERROR(MID(B137,FIND(".",B137)+1,FIND(".",B137,FIND(".",B137)+1)-FIND(".",B137)-1),"")</ns0:f>
      </ns0:c>
      <ns0:c r="E137" s="0">
        <ns0:f>IFERROR(MID(B137,FIND(".",B137,FIND(".",B137)+1)+1,99),"")</ns0:f>
        <ns0:v>99</ns0:v>
      </ns0:c>
      <ns0:c r="F137" s="0">
        <ns0:f>IFERROR(IF(FIND(".",B137)=5,--C137,--E137),0)</ns0:f>
        <ns0:v>0</ns0:v>
      </ns0:c>
      <ns0:c r="G137" s="0">
        <ns0:f>IFERROR(--D137,0)</ns0:f>
        <ns0:v>0</ns0:v>
      </ns0:c>
      <ns0:c r="H137" s="0">
        <ns0:f>IFERROR(IF(FIND(".",B137)=5,--E137,--C137),0)</ns0:f>
        <ns0:v>0</ns0:v>
      </ns0:c>
      <ns0:c r="I137" s="0">
        <ns0:f>IFERROR(IF(AND(F137&gt;=2000,F137&lt;=2100,G137&gt;=1,G137&lt;=12,H137&gt;=1,H137&lt;=31),DATE(F137,G137,H137),0),0)</ns0:f>
        <ns0:v>0</ns0:v>
      </ns0:c>
      <ns0:c r="J137" s="0">
        <ns0:f>IFERROR(IF(ISNUMBER(Bookings!B137),IF(AND(Bookings!B137=INT(Bookings!B137),Bookings!B137&gt;=DATE(2000,1,1),Bookings!B137&lt;=DATE(2100,12,31)),Bookings!B137,0),IF(AND(A137&lt;&gt;"",LEN("x"&amp;B137)-LEN(SUBSTITUTE("x"&amp;B137,".",""))=2,OR(1&gt;LEN(B137),MID(B137,1,1)=".",ISNUMBER(FIND("x"&amp;MID(B137,1,1),"x0x1x2x3x4x5x6x7x8x9"))),OR(2&gt;LEN(B137),MID(B137,2,1)=".",ISNUMBER(FIND("x"&amp;MID(B137,2,1),"x0x1x2x3x4x5x6x7x8x9"))),OR(3&gt;LEN(B137),MID(B137,3,1)=".",ISNUMBER(FIND("x"&amp;MID(B137,3,1),"x0x1x2x3x4x5x6x7x8x9"))),OR(4&gt;LEN(B137),MID(B137,4,1)=".",ISNUMBER(FIND("x"&amp;MID(B137,4,1),"x0x1x2x3x4x5x6x7x8x9"))),OR(5&gt;LEN(B137),MID(B137,5,1)=".",ISNUMBER(FIND("x"&amp;MID(B137,5,1),"x0x1x2x3x4x5x6x7x8x9"))),OR(6&gt;LEN(B137),MID(B137,6,1)=".",ISNUMBER(FIND("x"&amp;MID(B137,6,1),"x0x1x2x3x4x5x6x7x8x9"))),OR(7&gt;LEN(B137),MID(B137,7,1)=".",ISNUMBER(FIND("x"&amp;MID(B137,7,1),"x0x1x2x3x4x5x6x7x8x9"))),OR(8&gt;LEN(B137),MID(B137,8,1)=".",ISNUMBER(FIND("x"&amp;MID(B137,8,1),"x0x1x2x3x4x5x6x7x8x9"))),OR(9&gt;LEN(B137),MID(B137,9,1)=".",ISNUMBER(FIND("x"&amp;MID(B137,9,1),"x0x1x2x3x4x5x6x7x8x9"))),OR(10&gt;LEN(B137),MID(B137,10,1)=".",ISNUMBER(FIND("x"&amp;MID(B137,10,1),"x0x1x2x3x4x5x6x7x8x9"))),OR(AND(FIND(".",B137)=5,LEN(B137)-FIND(".",B137,FIND(".",B137)+1)&gt;=1,LEN(B137)-FIND(".",B137,FIND(".",B137)+1)&lt;=2),AND(LEN(B137)-FIND(".",B137,FIND(".",B137)+1)=4,FIND(".",B137)&gt;=2,FIND(".",B137)&lt;=3)),FIND(".",B137,FIND(".",B137)+1)-FIND(".",B137)&gt;=2,FIND(".",B137,FIND(".",B137)+1)-FIND(".",B137)&lt;=3,F137&gt;=2000,F137&lt;=2100,YEAR(I137)=F137,MONTH(I137)=G137,DAY(I137)=H137),I137,0)),0)</ns0:f>
        <ns0:v>0</ns0:v>
      </ns0:c>
      <ns0:c r="K137" s="0">
        <ns0:f>IFERROR(IF(ISNUMBER(Bookings!D137),"",TRIM(Bookings!D137&amp;"")),"")</ns0:f>
      </ns0:c>
      <ns0:c r="L137" s="0">
        <ns0:f>IFERROR(SUBSTITUTE(SUBSTITUTE(K137,"/","."),"-","."),"")</ns0:f>
      </ns0:c>
      <ns0:c r="M137" s="0">
        <ns0:f>IFERROR(LEFT(L137,FIND(".",L137)-1),"")</ns0:f>
      </ns0:c>
      <ns0:c r="N137" s="0">
        <ns0:f>IFERROR(MID(L137,FIND(".",L137)+1,FIND(".",L137,FIND(".",L137)+1)-FIND(".",L137)-1),"")</ns0:f>
      </ns0:c>
      <ns0:c r="O137" s="0">
        <ns0:f>IFERROR(MID(L137,FIND(".",L137,FIND(".",L137)+1)+1,99),"")</ns0:f>
        <ns0:v>99</ns0:v>
      </ns0:c>
      <ns0:c r="P137" s="0">
        <ns0:f>IFERROR(IF(FIND(".",L137)=5,--M137,--O137),0)</ns0:f>
        <ns0:v>0</ns0:v>
      </ns0:c>
      <ns0:c r="Q137" s="0">
        <ns0:f>IFERROR(--N137,0)</ns0:f>
        <ns0:v>0</ns0:v>
      </ns0:c>
      <ns0:c r="R137" s="0">
        <ns0:f>IFERROR(IF(FIND(".",L137)=5,--O137,--M137),0)</ns0:f>
        <ns0:v>0</ns0:v>
      </ns0:c>
      <ns0:c r="S137" s="0">
        <ns0:f>IFERROR(IF(AND(P137&gt;=2000,P137&lt;=2100,Q137&gt;=1,Q137&lt;=12,R137&gt;=1,R137&lt;=31),DATE(P137,Q137,R137),0),0)</ns0:f>
        <ns0:v>0</ns0:v>
      </ns0:c>
      <ns0:c r="T137" s="0">
        <ns0:f>IFERROR(IF(ISNUMBER(Bookings!D137),IF(AND(Bookings!D137=INT(Bookings!D137),Bookings!D137&gt;=DATE(2000,1,1),Bookings!D137&lt;=DATE(2100,12,31)),Bookings!D137,0),IF(AND(K137&lt;&gt;"",LEN("x"&amp;L137)-LEN(SUBSTITUTE("x"&amp;L137,".",""))=2,OR(1&gt;LEN(L137),MID(L137,1,1)=".",ISNUMBER(FIND("x"&amp;MID(L137,1,1),"x0x1x2x3x4x5x6x7x8x9"))),OR(2&gt;LEN(L137),MID(L137,2,1)=".",ISNUMBER(FIND("x"&amp;MID(L137,2,1),"x0x1x2x3x4x5x6x7x8x9"))),OR(3&gt;LEN(L137),MID(L137,3,1)=".",ISNUMBER(FIND("x"&amp;MID(L137,3,1),"x0x1x2x3x4x5x6x7x8x9"))),OR(4&gt;LEN(L137),MID(L137,4,1)=".",ISNUMBER(FIND("x"&amp;MID(L137,4,1),"x0x1x2x3x4x5x6x7x8x9"))),OR(5&gt;LEN(L137),MID(L137,5,1)=".",ISNUMBER(FIND("x"&amp;MID(L137,5,1),"x0x1x2x3x4x5x6x7x8x9"))),OR(6&gt;LEN(L137),MID(L137,6,1)=".",ISNUMBER(FIND("x"&amp;MID(L137,6,1),"x0x1x2x3x4x5x6x7x8x9"))),OR(7&gt;LEN(L137),MID(L137,7,1)=".",ISNUMBER(FIND("x"&amp;MID(L137,7,1),"x0x1x2x3x4x5x6x7x8x9"))),OR(8&gt;LEN(L137),MID(L137,8,1)=".",ISNUMBER(FIND("x"&amp;MID(L137,8,1),"x0x1x2x3x4x5x6x7x8x9"))),OR(9&gt;LEN(L137),MID(L137,9,1)=".",ISNUMBER(FIND("x"&amp;MID(L137,9,1),"x0x1x2x3x4x5x6x7x8x9"))),OR(10&gt;LEN(L137),MID(L137,10,1)=".",ISNUMBER(FIND("x"&amp;MID(L137,10,1),"x0x1x2x3x4x5x6x7x8x9"))),OR(AND(FIND(".",L137)=5,LEN(L137)-FIND(".",L137,FIND(".",L137)+1)&gt;=1,LEN(L137)-FIND(".",L137,FIND(".",L137)+1)&lt;=2),AND(LEN(L137)-FIND(".",L137,FIND(".",L137)+1)=4,FIND(".",L137)&gt;=2,FIND(".",L137)&lt;=3)),FIND(".",L137,FIND(".",L137)+1)-FIND(".",L137)&gt;=2,FIND(".",L137,FIND(".",L137)+1)-FIND(".",L137)&lt;=3,P137&gt;=2000,P137&lt;=2100,YEAR(S137)=P137,MONTH(S137)=Q137,DAY(S137)=R137),S137,0)),0)</ns0:f>
        <ns0:v>0</ns0:v>
      </ns0:c>
      <ns0:c r="U137" s="0" t="str">
        <ns0:f>IF(Bookings!C137="","Full day",Bookings!C137)</ns0:f>
        <ns0:v>Full day</ns0:v>
      </ns0:c>
      <ns0:c r="V137" s="0" t="str">
        <ns0:f>IF(Bookings!E137="","Full day",Bookings!E137)</ns0:f>
        <ns0:v>Full day</ns0:v>
      </ns0:c>
      <ns0:c r="W137" s="0">
        <ns0:f>IF(J137=0,0,J137+IF(U137="PM",1,0))</ns0:f>
        <ns0:v>0</ns0:v>
      </ns0:c>
      <ns0:c r="X137" s="0">
        <ns0:f>IF(T137=0,0,T137-IF(V137="PM",1,0))</ns0:f>
        <ns0:v>0</ns0:v>
      </ns0:c>
      <ns0:c r="Y137" s="0">
        <ns0:f>IF(J137=0,0,J137+IF(U137="AM",1,0))</ns0:f>
        <ns0:v>0</ns0:v>
      </ns0:c>
      <ns0:c r="Z137" s="0">
        <ns0:f>IF(T137=0,0,T137-IF(V137="AM",1,0))</ns0:f>
        <ns0:v>0</ns0:v>
      </ns0:c>
      <ns0:c r="AA137" s="0">
        <ns0:f>IFERROR(IF(AND(J137&gt;0,'_Engine'!C137&gt;0,MID('_Engine'!W137,WEEKDAY(J137,2),1)="W",COUNTIF(Settings!$F$18:$F$67,J137)=0),1,0),0)</ns0:f>
        <ns0:v>0</ns0:v>
      </ns0:c>
      <ns0:c r="AB137" s="0">
        <ns0:f>IFERROR(IF(AND(T137&gt;0,'_Engine'!C137&gt;0,MID('_Engine'!W137,WEEKDAY(T137,2),1)="W",COUNTIF(Settings!$F$18:$F$67,T137)=0),1,0),0)</ns0:f>
        <ns0:v>0</ns0:v>
      </ns0:c>
      <ns0:c r="AC137" s="0">
        <ns0:f>IF(AND(J137&gt;0,T137&gt;0,W137&lt;=X137),1,0)</ns0:f>
        <ns0:v>0</ns0:v>
      </ns0:c>
      <ns0:c r="AD137" s="0">
        <ns0:f>IF(AND(J137&gt;0,T137&gt;0,Y137&lt;=Z137),1,0)</ns0:f>
        <ns0:v>0</ns0:v>
      </ns0:c>
    </ns0:row>
    <ns0:row r="138">
      <ns0:c r="A138" s="0">
        <ns0:f>IFERROR(IF(ISNUMBER(Bookings!B138),"",TRIM(Bookings!B138&amp;"")),"")</ns0:f>
      </ns0:c>
      <ns0:c r="B138" s="0">
        <ns0:f>IFERROR(SUBSTITUTE(SUBSTITUTE(A138,"/","."),"-","."),"")</ns0:f>
      </ns0:c>
      <ns0:c r="C138" s="0">
        <ns0:f>IFERROR(LEFT(B138,FIND(".",B138)-1),"")</ns0:f>
      </ns0:c>
      <ns0:c r="D138" s="0">
        <ns0:f>IFERROR(MID(B138,FIND(".",B138)+1,FIND(".",B138,FIND(".",B138)+1)-FIND(".",B138)-1),"")</ns0:f>
      </ns0:c>
      <ns0:c r="E138" s="0">
        <ns0:f>IFERROR(MID(B138,FIND(".",B138,FIND(".",B138)+1)+1,99),"")</ns0:f>
        <ns0:v>99</ns0:v>
      </ns0:c>
      <ns0:c r="F138" s="0">
        <ns0:f>IFERROR(IF(FIND(".",B138)=5,--C138,--E138),0)</ns0:f>
        <ns0:v>0</ns0:v>
      </ns0:c>
      <ns0:c r="G138" s="0">
        <ns0:f>IFERROR(--D138,0)</ns0:f>
        <ns0:v>0</ns0:v>
      </ns0:c>
      <ns0:c r="H138" s="0">
        <ns0:f>IFERROR(IF(FIND(".",B138)=5,--E138,--C138),0)</ns0:f>
        <ns0:v>0</ns0:v>
      </ns0:c>
      <ns0:c r="I138" s="0">
        <ns0:f>IFERROR(IF(AND(F138&gt;=2000,F138&lt;=2100,G138&gt;=1,G138&lt;=12,H138&gt;=1,H138&lt;=31),DATE(F138,G138,H138),0),0)</ns0:f>
        <ns0:v>0</ns0:v>
      </ns0:c>
      <ns0:c r="J138" s="0">
        <ns0:f>IFERROR(IF(ISNUMBER(Bookings!B138),IF(AND(Bookings!B138=INT(Bookings!B138),Bookings!B138&gt;=DATE(2000,1,1),Bookings!B138&lt;=DATE(2100,12,31)),Bookings!B138,0),IF(AND(A138&lt;&gt;"",LEN("x"&amp;B138)-LEN(SUBSTITUTE("x"&amp;B138,".",""))=2,OR(1&gt;LEN(B138),MID(B138,1,1)=".",ISNUMBER(FIND("x"&amp;MID(B138,1,1),"x0x1x2x3x4x5x6x7x8x9"))),OR(2&gt;LEN(B138),MID(B138,2,1)=".",ISNUMBER(FIND("x"&amp;MID(B138,2,1),"x0x1x2x3x4x5x6x7x8x9"))),OR(3&gt;LEN(B138),MID(B138,3,1)=".",ISNUMBER(FIND("x"&amp;MID(B138,3,1),"x0x1x2x3x4x5x6x7x8x9"))),OR(4&gt;LEN(B138),MID(B138,4,1)=".",ISNUMBER(FIND("x"&amp;MID(B138,4,1),"x0x1x2x3x4x5x6x7x8x9"))),OR(5&gt;LEN(B138),MID(B138,5,1)=".",ISNUMBER(FIND("x"&amp;MID(B138,5,1),"x0x1x2x3x4x5x6x7x8x9"))),OR(6&gt;LEN(B138),MID(B138,6,1)=".",ISNUMBER(FIND("x"&amp;MID(B138,6,1),"x0x1x2x3x4x5x6x7x8x9"))),OR(7&gt;LEN(B138),MID(B138,7,1)=".",ISNUMBER(FIND("x"&amp;MID(B138,7,1),"x0x1x2x3x4x5x6x7x8x9"))),OR(8&gt;LEN(B138),MID(B138,8,1)=".",ISNUMBER(FIND("x"&amp;MID(B138,8,1),"x0x1x2x3x4x5x6x7x8x9"))),OR(9&gt;LEN(B138),MID(B138,9,1)=".",ISNUMBER(FIND("x"&amp;MID(B138,9,1),"x0x1x2x3x4x5x6x7x8x9"))),OR(10&gt;LEN(B138),MID(B138,10,1)=".",ISNUMBER(FIND("x"&amp;MID(B138,10,1),"x0x1x2x3x4x5x6x7x8x9"))),OR(AND(FIND(".",B138)=5,LEN(B138)-FIND(".",B138,FIND(".",B138)+1)&gt;=1,LEN(B138)-FIND(".",B138,FIND(".",B138)+1)&lt;=2),AND(LEN(B138)-FIND(".",B138,FIND(".",B138)+1)=4,FIND(".",B138)&gt;=2,FIND(".",B138)&lt;=3)),FIND(".",B138,FIND(".",B138)+1)-FIND(".",B138)&gt;=2,FIND(".",B138,FIND(".",B138)+1)-FIND(".",B138)&lt;=3,F138&gt;=2000,F138&lt;=2100,YEAR(I138)=F138,MONTH(I138)=G138,DAY(I138)=H138),I138,0)),0)</ns0:f>
        <ns0:v>0</ns0:v>
      </ns0:c>
      <ns0:c r="K138" s="0">
        <ns0:f>IFERROR(IF(ISNUMBER(Bookings!D138),"",TRIM(Bookings!D138&amp;"")),"")</ns0:f>
      </ns0:c>
      <ns0:c r="L138" s="0">
        <ns0:f>IFERROR(SUBSTITUTE(SUBSTITUTE(K138,"/","."),"-","."),"")</ns0:f>
      </ns0:c>
      <ns0:c r="M138" s="0">
        <ns0:f>IFERROR(LEFT(L138,FIND(".",L138)-1),"")</ns0:f>
      </ns0:c>
      <ns0:c r="N138" s="0">
        <ns0:f>IFERROR(MID(L138,FIND(".",L138)+1,FIND(".",L138,FIND(".",L138)+1)-FIND(".",L138)-1),"")</ns0:f>
      </ns0:c>
      <ns0:c r="O138" s="0">
        <ns0:f>IFERROR(MID(L138,FIND(".",L138,FIND(".",L138)+1)+1,99),"")</ns0:f>
        <ns0:v>99</ns0:v>
      </ns0:c>
      <ns0:c r="P138" s="0">
        <ns0:f>IFERROR(IF(FIND(".",L138)=5,--M138,--O138),0)</ns0:f>
        <ns0:v>0</ns0:v>
      </ns0:c>
      <ns0:c r="Q138" s="0">
        <ns0:f>IFERROR(--N138,0)</ns0:f>
        <ns0:v>0</ns0:v>
      </ns0:c>
      <ns0:c r="R138" s="0">
        <ns0:f>IFERROR(IF(FIND(".",L138)=5,--O138,--M138),0)</ns0:f>
        <ns0:v>0</ns0:v>
      </ns0:c>
      <ns0:c r="S138" s="0">
        <ns0:f>IFERROR(IF(AND(P138&gt;=2000,P138&lt;=2100,Q138&gt;=1,Q138&lt;=12,R138&gt;=1,R138&lt;=31),DATE(P138,Q138,R138),0),0)</ns0:f>
        <ns0:v>0</ns0:v>
      </ns0:c>
      <ns0:c r="T138" s="0">
        <ns0:f>IFERROR(IF(ISNUMBER(Bookings!D138),IF(AND(Bookings!D138=INT(Bookings!D138),Bookings!D138&gt;=DATE(2000,1,1),Bookings!D138&lt;=DATE(2100,12,31)),Bookings!D138,0),IF(AND(K138&lt;&gt;"",LEN("x"&amp;L138)-LEN(SUBSTITUTE("x"&amp;L138,".",""))=2,OR(1&gt;LEN(L138),MID(L138,1,1)=".",ISNUMBER(FIND("x"&amp;MID(L138,1,1),"x0x1x2x3x4x5x6x7x8x9"))),OR(2&gt;LEN(L138),MID(L138,2,1)=".",ISNUMBER(FIND("x"&amp;MID(L138,2,1),"x0x1x2x3x4x5x6x7x8x9"))),OR(3&gt;LEN(L138),MID(L138,3,1)=".",ISNUMBER(FIND("x"&amp;MID(L138,3,1),"x0x1x2x3x4x5x6x7x8x9"))),OR(4&gt;LEN(L138),MID(L138,4,1)=".",ISNUMBER(FIND("x"&amp;MID(L138,4,1),"x0x1x2x3x4x5x6x7x8x9"))),OR(5&gt;LEN(L138),MID(L138,5,1)=".",ISNUMBER(FIND("x"&amp;MID(L138,5,1),"x0x1x2x3x4x5x6x7x8x9"))),OR(6&gt;LEN(L138),MID(L138,6,1)=".",ISNUMBER(FIND("x"&amp;MID(L138,6,1),"x0x1x2x3x4x5x6x7x8x9"))),OR(7&gt;LEN(L138),MID(L138,7,1)=".",ISNUMBER(FIND("x"&amp;MID(L138,7,1),"x0x1x2x3x4x5x6x7x8x9"))),OR(8&gt;LEN(L138),MID(L138,8,1)=".",ISNUMBER(FIND("x"&amp;MID(L138,8,1),"x0x1x2x3x4x5x6x7x8x9"))),OR(9&gt;LEN(L138),MID(L138,9,1)=".",ISNUMBER(FIND("x"&amp;MID(L138,9,1),"x0x1x2x3x4x5x6x7x8x9"))),OR(10&gt;LEN(L138),MID(L138,10,1)=".",ISNUMBER(FIND("x"&amp;MID(L138,10,1),"x0x1x2x3x4x5x6x7x8x9"))),OR(AND(FIND(".",L138)=5,LEN(L138)-FIND(".",L138,FIND(".",L138)+1)&gt;=1,LEN(L138)-FIND(".",L138,FIND(".",L138)+1)&lt;=2),AND(LEN(L138)-FIND(".",L138,FIND(".",L138)+1)=4,FIND(".",L138)&gt;=2,FIND(".",L138)&lt;=3)),FIND(".",L138,FIND(".",L138)+1)-FIND(".",L138)&gt;=2,FIND(".",L138,FIND(".",L138)+1)-FIND(".",L138)&lt;=3,P138&gt;=2000,P138&lt;=2100,YEAR(S138)=P138,MONTH(S138)=Q138,DAY(S138)=R138),S138,0)),0)</ns0:f>
        <ns0:v>0</ns0:v>
      </ns0:c>
      <ns0:c r="U138" s="0" t="str">
        <ns0:f>IF(Bookings!C138="","Full day",Bookings!C138)</ns0:f>
        <ns0:v>Full day</ns0:v>
      </ns0:c>
      <ns0:c r="V138" s="0" t="str">
        <ns0:f>IF(Bookings!E138="","Full day",Bookings!E138)</ns0:f>
        <ns0:v>Full day</ns0:v>
      </ns0:c>
      <ns0:c r="W138" s="0">
        <ns0:f>IF(J138=0,0,J138+IF(U138="PM",1,0))</ns0:f>
        <ns0:v>0</ns0:v>
      </ns0:c>
      <ns0:c r="X138" s="0">
        <ns0:f>IF(T138=0,0,T138-IF(V138="PM",1,0))</ns0:f>
        <ns0:v>0</ns0:v>
      </ns0:c>
      <ns0:c r="Y138" s="0">
        <ns0:f>IF(J138=0,0,J138+IF(U138="AM",1,0))</ns0:f>
        <ns0:v>0</ns0:v>
      </ns0:c>
      <ns0:c r="Z138" s="0">
        <ns0:f>IF(T138=0,0,T138-IF(V138="AM",1,0))</ns0:f>
        <ns0:v>0</ns0:v>
      </ns0:c>
      <ns0:c r="AA138" s="0">
        <ns0:f>IFERROR(IF(AND(J138&gt;0,'_Engine'!C138&gt;0,MID('_Engine'!W138,WEEKDAY(J138,2),1)="W",COUNTIF(Settings!$F$18:$F$67,J138)=0),1,0),0)</ns0:f>
        <ns0:v>0</ns0:v>
      </ns0:c>
      <ns0:c r="AB138" s="0">
        <ns0:f>IFERROR(IF(AND(T138&gt;0,'_Engine'!C138&gt;0,MID('_Engine'!W138,WEEKDAY(T138,2),1)="W",COUNTIF(Settings!$F$18:$F$67,T138)=0),1,0),0)</ns0:f>
        <ns0:v>0</ns0:v>
      </ns0:c>
      <ns0:c r="AC138" s="0">
        <ns0:f>IF(AND(J138&gt;0,T138&gt;0,W138&lt;=X138),1,0)</ns0:f>
        <ns0:v>0</ns0:v>
      </ns0:c>
      <ns0:c r="AD138" s="0">
        <ns0:f>IF(AND(J138&gt;0,T138&gt;0,Y138&lt;=Z138),1,0)</ns0:f>
        <ns0:v>0</ns0:v>
      </ns0:c>
    </ns0:row>
    <ns0:row r="139">
      <ns0:c r="A139" s="0">
        <ns0:f>IFERROR(IF(ISNUMBER(Bookings!B139),"",TRIM(Bookings!B139&amp;"")),"")</ns0:f>
      </ns0:c>
      <ns0:c r="B139" s="0">
        <ns0:f>IFERROR(SUBSTITUTE(SUBSTITUTE(A139,"/","."),"-","."),"")</ns0:f>
      </ns0:c>
      <ns0:c r="C139" s="0">
        <ns0:f>IFERROR(LEFT(B139,FIND(".",B139)-1),"")</ns0:f>
      </ns0:c>
      <ns0:c r="D139" s="0">
        <ns0:f>IFERROR(MID(B139,FIND(".",B139)+1,FIND(".",B139,FIND(".",B139)+1)-FIND(".",B139)-1),"")</ns0:f>
      </ns0:c>
      <ns0:c r="E139" s="0">
        <ns0:f>IFERROR(MID(B139,FIND(".",B139,FIND(".",B139)+1)+1,99),"")</ns0:f>
        <ns0:v>99</ns0:v>
      </ns0:c>
      <ns0:c r="F139" s="0">
        <ns0:f>IFERROR(IF(FIND(".",B139)=5,--C139,--E139),0)</ns0:f>
        <ns0:v>0</ns0:v>
      </ns0:c>
      <ns0:c r="G139" s="0">
        <ns0:f>IFERROR(--D139,0)</ns0:f>
        <ns0:v>0</ns0:v>
      </ns0:c>
      <ns0:c r="H139" s="0">
        <ns0:f>IFERROR(IF(FIND(".",B139)=5,--E139,--C139),0)</ns0:f>
        <ns0:v>0</ns0:v>
      </ns0:c>
      <ns0:c r="I139" s="0">
        <ns0:f>IFERROR(IF(AND(F139&gt;=2000,F139&lt;=2100,G139&gt;=1,G139&lt;=12,H139&gt;=1,H139&lt;=31),DATE(F139,G139,H139),0),0)</ns0:f>
        <ns0:v>0</ns0:v>
      </ns0:c>
      <ns0:c r="J139" s="0">
        <ns0:f>IFERROR(IF(ISNUMBER(Bookings!B139),IF(AND(Bookings!B139=INT(Bookings!B139),Bookings!B139&gt;=DATE(2000,1,1),Bookings!B139&lt;=DATE(2100,12,31)),Bookings!B139,0),IF(AND(A139&lt;&gt;"",LEN("x"&amp;B139)-LEN(SUBSTITUTE("x"&amp;B139,".",""))=2,OR(1&gt;LEN(B139),MID(B139,1,1)=".",ISNUMBER(FIND("x"&amp;MID(B139,1,1),"x0x1x2x3x4x5x6x7x8x9"))),OR(2&gt;LEN(B139),MID(B139,2,1)=".",ISNUMBER(FIND("x"&amp;MID(B139,2,1),"x0x1x2x3x4x5x6x7x8x9"))),OR(3&gt;LEN(B139),MID(B139,3,1)=".",ISNUMBER(FIND("x"&amp;MID(B139,3,1),"x0x1x2x3x4x5x6x7x8x9"))),OR(4&gt;LEN(B139),MID(B139,4,1)=".",ISNUMBER(FIND("x"&amp;MID(B139,4,1),"x0x1x2x3x4x5x6x7x8x9"))),OR(5&gt;LEN(B139),MID(B139,5,1)=".",ISNUMBER(FIND("x"&amp;MID(B139,5,1),"x0x1x2x3x4x5x6x7x8x9"))),OR(6&gt;LEN(B139),MID(B139,6,1)=".",ISNUMBER(FIND("x"&amp;MID(B139,6,1),"x0x1x2x3x4x5x6x7x8x9"))),OR(7&gt;LEN(B139),MID(B139,7,1)=".",ISNUMBER(FIND("x"&amp;MID(B139,7,1),"x0x1x2x3x4x5x6x7x8x9"))),OR(8&gt;LEN(B139),MID(B139,8,1)=".",ISNUMBER(FIND("x"&amp;MID(B139,8,1),"x0x1x2x3x4x5x6x7x8x9"))),OR(9&gt;LEN(B139),MID(B139,9,1)=".",ISNUMBER(FIND("x"&amp;MID(B139,9,1),"x0x1x2x3x4x5x6x7x8x9"))),OR(10&gt;LEN(B139),MID(B139,10,1)=".",ISNUMBER(FIND("x"&amp;MID(B139,10,1),"x0x1x2x3x4x5x6x7x8x9"))),OR(AND(FIND(".",B139)=5,LEN(B139)-FIND(".",B139,FIND(".",B139)+1)&gt;=1,LEN(B139)-FIND(".",B139,FIND(".",B139)+1)&lt;=2),AND(LEN(B139)-FIND(".",B139,FIND(".",B139)+1)=4,FIND(".",B139)&gt;=2,FIND(".",B139)&lt;=3)),FIND(".",B139,FIND(".",B139)+1)-FIND(".",B139)&gt;=2,FIND(".",B139,FIND(".",B139)+1)-FIND(".",B139)&lt;=3,F139&gt;=2000,F139&lt;=2100,YEAR(I139)=F139,MONTH(I139)=G139,DAY(I139)=H139),I139,0)),0)</ns0:f>
        <ns0:v>0</ns0:v>
      </ns0:c>
      <ns0:c r="K139" s="0">
        <ns0:f>IFERROR(IF(ISNUMBER(Bookings!D139),"",TRIM(Bookings!D139&amp;"")),"")</ns0:f>
      </ns0:c>
      <ns0:c r="L139" s="0">
        <ns0:f>IFERROR(SUBSTITUTE(SUBSTITUTE(K139,"/","."),"-","."),"")</ns0:f>
      </ns0:c>
      <ns0:c r="M139" s="0">
        <ns0:f>IFERROR(LEFT(L139,FIND(".",L139)-1),"")</ns0:f>
      </ns0:c>
      <ns0:c r="N139" s="0">
        <ns0:f>IFERROR(MID(L139,FIND(".",L139)+1,FIND(".",L139,FIND(".",L139)+1)-FIND(".",L139)-1),"")</ns0:f>
      </ns0:c>
      <ns0:c r="O139" s="0">
        <ns0:f>IFERROR(MID(L139,FIND(".",L139,FIND(".",L139)+1)+1,99),"")</ns0:f>
        <ns0:v>99</ns0:v>
      </ns0:c>
      <ns0:c r="P139" s="0">
        <ns0:f>IFERROR(IF(FIND(".",L139)=5,--M139,--O139),0)</ns0:f>
        <ns0:v>0</ns0:v>
      </ns0:c>
      <ns0:c r="Q139" s="0">
        <ns0:f>IFERROR(--N139,0)</ns0:f>
        <ns0:v>0</ns0:v>
      </ns0:c>
      <ns0:c r="R139" s="0">
        <ns0:f>IFERROR(IF(FIND(".",L139)=5,--O139,--M139),0)</ns0:f>
        <ns0:v>0</ns0:v>
      </ns0:c>
      <ns0:c r="S139" s="0">
        <ns0:f>IFERROR(IF(AND(P139&gt;=2000,P139&lt;=2100,Q139&gt;=1,Q139&lt;=12,R139&gt;=1,R139&lt;=31),DATE(P139,Q139,R139),0),0)</ns0:f>
        <ns0:v>0</ns0:v>
      </ns0:c>
      <ns0:c r="T139" s="0">
        <ns0:f>IFERROR(IF(ISNUMBER(Bookings!D139),IF(AND(Bookings!D139=INT(Bookings!D139),Bookings!D139&gt;=DATE(2000,1,1),Bookings!D139&lt;=DATE(2100,12,31)),Bookings!D139,0),IF(AND(K139&lt;&gt;"",LEN("x"&amp;L139)-LEN(SUBSTITUTE("x"&amp;L139,".",""))=2,OR(1&gt;LEN(L139),MID(L139,1,1)=".",ISNUMBER(FIND("x"&amp;MID(L139,1,1),"x0x1x2x3x4x5x6x7x8x9"))),OR(2&gt;LEN(L139),MID(L139,2,1)=".",ISNUMBER(FIND("x"&amp;MID(L139,2,1),"x0x1x2x3x4x5x6x7x8x9"))),OR(3&gt;LEN(L139),MID(L139,3,1)=".",ISNUMBER(FIND("x"&amp;MID(L139,3,1),"x0x1x2x3x4x5x6x7x8x9"))),OR(4&gt;LEN(L139),MID(L139,4,1)=".",ISNUMBER(FIND("x"&amp;MID(L139,4,1),"x0x1x2x3x4x5x6x7x8x9"))),OR(5&gt;LEN(L139),MID(L139,5,1)=".",ISNUMBER(FIND("x"&amp;MID(L139,5,1),"x0x1x2x3x4x5x6x7x8x9"))),OR(6&gt;LEN(L139),MID(L139,6,1)=".",ISNUMBER(FIND("x"&amp;MID(L139,6,1),"x0x1x2x3x4x5x6x7x8x9"))),OR(7&gt;LEN(L139),MID(L139,7,1)=".",ISNUMBER(FIND("x"&amp;MID(L139,7,1),"x0x1x2x3x4x5x6x7x8x9"))),OR(8&gt;LEN(L139),MID(L139,8,1)=".",ISNUMBER(FIND("x"&amp;MID(L139,8,1),"x0x1x2x3x4x5x6x7x8x9"))),OR(9&gt;LEN(L139),MID(L139,9,1)=".",ISNUMBER(FIND("x"&amp;MID(L139,9,1),"x0x1x2x3x4x5x6x7x8x9"))),OR(10&gt;LEN(L139),MID(L139,10,1)=".",ISNUMBER(FIND("x"&amp;MID(L139,10,1),"x0x1x2x3x4x5x6x7x8x9"))),OR(AND(FIND(".",L139)=5,LEN(L139)-FIND(".",L139,FIND(".",L139)+1)&gt;=1,LEN(L139)-FIND(".",L139,FIND(".",L139)+1)&lt;=2),AND(LEN(L139)-FIND(".",L139,FIND(".",L139)+1)=4,FIND(".",L139)&gt;=2,FIND(".",L139)&lt;=3)),FIND(".",L139,FIND(".",L139)+1)-FIND(".",L139)&gt;=2,FIND(".",L139,FIND(".",L139)+1)-FIND(".",L139)&lt;=3,P139&gt;=2000,P139&lt;=2100,YEAR(S139)=P139,MONTH(S139)=Q139,DAY(S139)=R139),S139,0)),0)</ns0:f>
        <ns0:v>0</ns0:v>
      </ns0:c>
      <ns0:c r="U139" s="0" t="str">
        <ns0:f>IF(Bookings!C139="","Full day",Bookings!C139)</ns0:f>
        <ns0:v>Full day</ns0:v>
      </ns0:c>
      <ns0:c r="V139" s="0" t="str">
        <ns0:f>IF(Bookings!E139="","Full day",Bookings!E139)</ns0:f>
        <ns0:v>Full day</ns0:v>
      </ns0:c>
      <ns0:c r="W139" s="0">
        <ns0:f>IF(J139=0,0,J139+IF(U139="PM",1,0))</ns0:f>
        <ns0:v>0</ns0:v>
      </ns0:c>
      <ns0:c r="X139" s="0">
        <ns0:f>IF(T139=0,0,T139-IF(V139="PM",1,0))</ns0:f>
        <ns0:v>0</ns0:v>
      </ns0:c>
      <ns0:c r="Y139" s="0">
        <ns0:f>IF(J139=0,0,J139+IF(U139="AM",1,0))</ns0:f>
        <ns0:v>0</ns0:v>
      </ns0:c>
      <ns0:c r="Z139" s="0">
        <ns0:f>IF(T139=0,0,T139-IF(V139="AM",1,0))</ns0:f>
        <ns0:v>0</ns0:v>
      </ns0:c>
      <ns0:c r="AA139" s="0">
        <ns0:f>IFERROR(IF(AND(J139&gt;0,'_Engine'!C139&gt;0,MID('_Engine'!W139,WEEKDAY(J139,2),1)="W",COUNTIF(Settings!$F$18:$F$67,J139)=0),1,0),0)</ns0:f>
        <ns0:v>0</ns0:v>
      </ns0:c>
      <ns0:c r="AB139" s="0">
        <ns0:f>IFERROR(IF(AND(T139&gt;0,'_Engine'!C139&gt;0,MID('_Engine'!W139,WEEKDAY(T139,2),1)="W",COUNTIF(Settings!$F$18:$F$67,T139)=0),1,0),0)</ns0:f>
        <ns0:v>0</ns0:v>
      </ns0:c>
      <ns0:c r="AC139" s="0">
        <ns0:f>IF(AND(J139&gt;0,T139&gt;0,W139&lt;=X139),1,0)</ns0:f>
        <ns0:v>0</ns0:v>
      </ns0:c>
      <ns0:c r="AD139" s="0">
        <ns0:f>IF(AND(J139&gt;0,T139&gt;0,Y139&lt;=Z139),1,0)</ns0:f>
        <ns0:v>0</ns0:v>
      </ns0:c>
    </ns0:row>
    <ns0:row r="140">
      <ns0:c r="A140" s="0">
        <ns0:f>IFERROR(IF(ISNUMBER(Bookings!B140),"",TRIM(Bookings!B140&amp;"")),"")</ns0:f>
      </ns0:c>
      <ns0:c r="B140" s="0">
        <ns0:f>IFERROR(SUBSTITUTE(SUBSTITUTE(A140,"/","."),"-","."),"")</ns0:f>
      </ns0:c>
      <ns0:c r="C140" s="0">
        <ns0:f>IFERROR(LEFT(B140,FIND(".",B140)-1),"")</ns0:f>
      </ns0:c>
      <ns0:c r="D140" s="0">
        <ns0:f>IFERROR(MID(B140,FIND(".",B140)+1,FIND(".",B140,FIND(".",B140)+1)-FIND(".",B140)-1),"")</ns0:f>
      </ns0:c>
      <ns0:c r="E140" s="0">
        <ns0:f>IFERROR(MID(B140,FIND(".",B140,FIND(".",B140)+1)+1,99),"")</ns0:f>
        <ns0:v>99</ns0:v>
      </ns0:c>
      <ns0:c r="F140" s="0">
        <ns0:f>IFERROR(IF(FIND(".",B140)=5,--C140,--E140),0)</ns0:f>
        <ns0:v>0</ns0:v>
      </ns0:c>
      <ns0:c r="G140" s="0">
        <ns0:f>IFERROR(--D140,0)</ns0:f>
        <ns0:v>0</ns0:v>
      </ns0:c>
      <ns0:c r="H140" s="0">
        <ns0:f>IFERROR(IF(FIND(".",B140)=5,--E140,--C140),0)</ns0:f>
        <ns0:v>0</ns0:v>
      </ns0:c>
      <ns0:c r="I140" s="0">
        <ns0:f>IFERROR(IF(AND(F140&gt;=2000,F140&lt;=2100,G140&gt;=1,G140&lt;=12,H140&gt;=1,H140&lt;=31),DATE(F140,G140,H140),0),0)</ns0:f>
        <ns0:v>0</ns0:v>
      </ns0:c>
      <ns0:c r="J140" s="0">
        <ns0:f>IFERROR(IF(ISNUMBER(Bookings!B140),IF(AND(Bookings!B140=INT(Bookings!B140),Bookings!B140&gt;=DATE(2000,1,1),Bookings!B140&lt;=DATE(2100,12,31)),Bookings!B140,0),IF(AND(A140&lt;&gt;"",LEN("x"&amp;B140)-LEN(SUBSTITUTE("x"&amp;B140,".",""))=2,OR(1&gt;LEN(B140),MID(B140,1,1)=".",ISNUMBER(FIND("x"&amp;MID(B140,1,1),"x0x1x2x3x4x5x6x7x8x9"))),OR(2&gt;LEN(B140),MID(B140,2,1)=".",ISNUMBER(FIND("x"&amp;MID(B140,2,1),"x0x1x2x3x4x5x6x7x8x9"))),OR(3&gt;LEN(B140),MID(B140,3,1)=".",ISNUMBER(FIND("x"&amp;MID(B140,3,1),"x0x1x2x3x4x5x6x7x8x9"))),OR(4&gt;LEN(B140),MID(B140,4,1)=".",ISNUMBER(FIND("x"&amp;MID(B140,4,1),"x0x1x2x3x4x5x6x7x8x9"))),OR(5&gt;LEN(B140),MID(B140,5,1)=".",ISNUMBER(FIND("x"&amp;MID(B140,5,1),"x0x1x2x3x4x5x6x7x8x9"))),OR(6&gt;LEN(B140),MID(B140,6,1)=".",ISNUMBER(FIND("x"&amp;MID(B140,6,1),"x0x1x2x3x4x5x6x7x8x9"))),OR(7&gt;LEN(B140),MID(B140,7,1)=".",ISNUMBER(FIND("x"&amp;MID(B140,7,1),"x0x1x2x3x4x5x6x7x8x9"))),OR(8&gt;LEN(B140),MID(B140,8,1)=".",ISNUMBER(FIND("x"&amp;MID(B140,8,1),"x0x1x2x3x4x5x6x7x8x9"))),OR(9&gt;LEN(B140),MID(B140,9,1)=".",ISNUMBER(FIND("x"&amp;MID(B140,9,1),"x0x1x2x3x4x5x6x7x8x9"))),OR(10&gt;LEN(B140),MID(B140,10,1)=".",ISNUMBER(FIND("x"&amp;MID(B140,10,1),"x0x1x2x3x4x5x6x7x8x9"))),OR(AND(FIND(".",B140)=5,LEN(B140)-FIND(".",B140,FIND(".",B140)+1)&gt;=1,LEN(B140)-FIND(".",B140,FIND(".",B140)+1)&lt;=2),AND(LEN(B140)-FIND(".",B140,FIND(".",B140)+1)=4,FIND(".",B140)&gt;=2,FIND(".",B140)&lt;=3)),FIND(".",B140,FIND(".",B140)+1)-FIND(".",B140)&gt;=2,FIND(".",B140,FIND(".",B140)+1)-FIND(".",B140)&lt;=3,F140&gt;=2000,F140&lt;=2100,YEAR(I140)=F140,MONTH(I140)=G140,DAY(I140)=H140),I140,0)),0)</ns0:f>
        <ns0:v>0</ns0:v>
      </ns0:c>
      <ns0:c r="K140" s="0">
        <ns0:f>IFERROR(IF(ISNUMBER(Bookings!D140),"",TRIM(Bookings!D140&amp;"")),"")</ns0:f>
      </ns0:c>
      <ns0:c r="L140" s="0">
        <ns0:f>IFERROR(SUBSTITUTE(SUBSTITUTE(K140,"/","."),"-","."),"")</ns0:f>
      </ns0:c>
      <ns0:c r="M140" s="0">
        <ns0:f>IFERROR(LEFT(L140,FIND(".",L140)-1),"")</ns0:f>
      </ns0:c>
      <ns0:c r="N140" s="0">
        <ns0:f>IFERROR(MID(L140,FIND(".",L140)+1,FIND(".",L140,FIND(".",L140)+1)-FIND(".",L140)-1),"")</ns0:f>
      </ns0:c>
      <ns0:c r="O140" s="0">
        <ns0:f>IFERROR(MID(L140,FIND(".",L140,FIND(".",L140)+1)+1,99),"")</ns0:f>
        <ns0:v>99</ns0:v>
      </ns0:c>
      <ns0:c r="P140" s="0">
        <ns0:f>IFERROR(IF(FIND(".",L140)=5,--M140,--O140),0)</ns0:f>
        <ns0:v>0</ns0:v>
      </ns0:c>
      <ns0:c r="Q140" s="0">
        <ns0:f>IFERROR(--N140,0)</ns0:f>
        <ns0:v>0</ns0:v>
      </ns0:c>
      <ns0:c r="R140" s="0">
        <ns0:f>IFERROR(IF(FIND(".",L140)=5,--O140,--M140),0)</ns0:f>
        <ns0:v>0</ns0:v>
      </ns0:c>
      <ns0:c r="S140" s="0">
        <ns0:f>IFERROR(IF(AND(P140&gt;=2000,P140&lt;=2100,Q140&gt;=1,Q140&lt;=12,R140&gt;=1,R140&lt;=31),DATE(P140,Q140,R140),0),0)</ns0:f>
        <ns0:v>0</ns0:v>
      </ns0:c>
      <ns0:c r="T140" s="0">
        <ns0:f>IFERROR(IF(ISNUMBER(Bookings!D140),IF(AND(Bookings!D140=INT(Bookings!D140),Bookings!D140&gt;=DATE(2000,1,1),Bookings!D140&lt;=DATE(2100,12,31)),Bookings!D140,0),IF(AND(K140&lt;&gt;"",LEN("x"&amp;L140)-LEN(SUBSTITUTE("x"&amp;L140,".",""))=2,OR(1&gt;LEN(L140),MID(L140,1,1)=".",ISNUMBER(FIND("x"&amp;MID(L140,1,1),"x0x1x2x3x4x5x6x7x8x9"))),OR(2&gt;LEN(L140),MID(L140,2,1)=".",ISNUMBER(FIND("x"&amp;MID(L140,2,1),"x0x1x2x3x4x5x6x7x8x9"))),OR(3&gt;LEN(L140),MID(L140,3,1)=".",ISNUMBER(FIND("x"&amp;MID(L140,3,1),"x0x1x2x3x4x5x6x7x8x9"))),OR(4&gt;LEN(L140),MID(L140,4,1)=".",ISNUMBER(FIND("x"&amp;MID(L140,4,1),"x0x1x2x3x4x5x6x7x8x9"))),OR(5&gt;LEN(L140),MID(L140,5,1)=".",ISNUMBER(FIND("x"&amp;MID(L140,5,1),"x0x1x2x3x4x5x6x7x8x9"))),OR(6&gt;LEN(L140),MID(L140,6,1)=".",ISNUMBER(FIND("x"&amp;MID(L140,6,1),"x0x1x2x3x4x5x6x7x8x9"))),OR(7&gt;LEN(L140),MID(L140,7,1)=".",ISNUMBER(FIND("x"&amp;MID(L140,7,1),"x0x1x2x3x4x5x6x7x8x9"))),OR(8&gt;LEN(L140),MID(L140,8,1)=".",ISNUMBER(FIND("x"&amp;MID(L140,8,1),"x0x1x2x3x4x5x6x7x8x9"))),OR(9&gt;LEN(L140),MID(L140,9,1)=".",ISNUMBER(FIND("x"&amp;MID(L140,9,1),"x0x1x2x3x4x5x6x7x8x9"))),OR(10&gt;LEN(L140),MID(L140,10,1)=".",ISNUMBER(FIND("x"&amp;MID(L140,10,1),"x0x1x2x3x4x5x6x7x8x9"))),OR(AND(FIND(".",L140)=5,LEN(L140)-FIND(".",L140,FIND(".",L140)+1)&gt;=1,LEN(L140)-FIND(".",L140,FIND(".",L140)+1)&lt;=2),AND(LEN(L140)-FIND(".",L140,FIND(".",L140)+1)=4,FIND(".",L140)&gt;=2,FIND(".",L140)&lt;=3)),FIND(".",L140,FIND(".",L140)+1)-FIND(".",L140)&gt;=2,FIND(".",L140,FIND(".",L140)+1)-FIND(".",L140)&lt;=3,P140&gt;=2000,P140&lt;=2100,YEAR(S140)=P140,MONTH(S140)=Q140,DAY(S140)=R140),S140,0)),0)</ns0:f>
        <ns0:v>0</ns0:v>
      </ns0:c>
      <ns0:c r="U140" s="0" t="str">
        <ns0:f>IF(Bookings!C140="","Full day",Bookings!C140)</ns0:f>
        <ns0:v>Full day</ns0:v>
      </ns0:c>
      <ns0:c r="V140" s="0" t="str">
        <ns0:f>IF(Bookings!E140="","Full day",Bookings!E140)</ns0:f>
        <ns0:v>Full day</ns0:v>
      </ns0:c>
      <ns0:c r="W140" s="0">
        <ns0:f>IF(J140=0,0,J140+IF(U140="PM",1,0))</ns0:f>
        <ns0:v>0</ns0:v>
      </ns0:c>
      <ns0:c r="X140" s="0">
        <ns0:f>IF(T140=0,0,T140-IF(V140="PM",1,0))</ns0:f>
        <ns0:v>0</ns0:v>
      </ns0:c>
      <ns0:c r="Y140" s="0">
        <ns0:f>IF(J140=0,0,J140+IF(U140="AM",1,0))</ns0:f>
        <ns0:v>0</ns0:v>
      </ns0:c>
      <ns0:c r="Z140" s="0">
        <ns0:f>IF(T140=0,0,T140-IF(V140="AM",1,0))</ns0:f>
        <ns0:v>0</ns0:v>
      </ns0:c>
      <ns0:c r="AA140" s="0">
        <ns0:f>IFERROR(IF(AND(J140&gt;0,'_Engine'!C140&gt;0,MID('_Engine'!W140,WEEKDAY(J140,2),1)="W",COUNTIF(Settings!$F$18:$F$67,J140)=0),1,0),0)</ns0:f>
        <ns0:v>0</ns0:v>
      </ns0:c>
      <ns0:c r="AB140" s="0">
        <ns0:f>IFERROR(IF(AND(T140&gt;0,'_Engine'!C140&gt;0,MID('_Engine'!W140,WEEKDAY(T140,2),1)="W",COUNTIF(Settings!$F$18:$F$67,T140)=0),1,0),0)</ns0:f>
        <ns0:v>0</ns0:v>
      </ns0:c>
      <ns0:c r="AC140" s="0">
        <ns0:f>IF(AND(J140&gt;0,T140&gt;0,W140&lt;=X140),1,0)</ns0:f>
        <ns0:v>0</ns0:v>
      </ns0:c>
      <ns0:c r="AD140" s="0">
        <ns0:f>IF(AND(J140&gt;0,T140&gt;0,Y140&lt;=Z140),1,0)</ns0:f>
        <ns0:v>0</ns0:v>
      </ns0:c>
    </ns0:row>
    <ns0:row r="141">
      <ns0:c r="A141" s="0">
        <ns0:f>IFERROR(IF(ISNUMBER(Bookings!B141),"",TRIM(Bookings!B141&amp;"")),"")</ns0:f>
      </ns0:c>
      <ns0:c r="B141" s="0">
        <ns0:f>IFERROR(SUBSTITUTE(SUBSTITUTE(A141,"/","."),"-","."),"")</ns0:f>
      </ns0:c>
      <ns0:c r="C141" s="0">
        <ns0:f>IFERROR(LEFT(B141,FIND(".",B141)-1),"")</ns0:f>
      </ns0:c>
      <ns0:c r="D141" s="0">
        <ns0:f>IFERROR(MID(B141,FIND(".",B141)+1,FIND(".",B141,FIND(".",B141)+1)-FIND(".",B141)-1),"")</ns0:f>
      </ns0:c>
      <ns0:c r="E141" s="0">
        <ns0:f>IFERROR(MID(B141,FIND(".",B141,FIND(".",B141)+1)+1,99),"")</ns0:f>
        <ns0:v>99</ns0:v>
      </ns0:c>
      <ns0:c r="F141" s="0">
        <ns0:f>IFERROR(IF(FIND(".",B141)=5,--C141,--E141),0)</ns0:f>
        <ns0:v>0</ns0:v>
      </ns0:c>
      <ns0:c r="G141" s="0">
        <ns0:f>IFERROR(--D141,0)</ns0:f>
        <ns0:v>0</ns0:v>
      </ns0:c>
      <ns0:c r="H141" s="0">
        <ns0:f>IFERROR(IF(FIND(".",B141)=5,--E141,--C141),0)</ns0:f>
        <ns0:v>0</ns0:v>
      </ns0:c>
      <ns0:c r="I141" s="0">
        <ns0:f>IFERROR(IF(AND(F141&gt;=2000,F141&lt;=2100,G141&gt;=1,G141&lt;=12,H141&gt;=1,H141&lt;=31),DATE(F141,G141,H141),0),0)</ns0:f>
        <ns0:v>0</ns0:v>
      </ns0:c>
      <ns0:c r="J141" s="0">
        <ns0:f>IFERROR(IF(ISNUMBER(Bookings!B141),IF(AND(Bookings!B141=INT(Bookings!B141),Bookings!B141&gt;=DATE(2000,1,1),Bookings!B141&lt;=DATE(2100,12,31)),Bookings!B141,0),IF(AND(A141&lt;&gt;"",LEN("x"&amp;B141)-LEN(SUBSTITUTE("x"&amp;B141,".",""))=2,OR(1&gt;LEN(B141),MID(B141,1,1)=".",ISNUMBER(FIND("x"&amp;MID(B141,1,1),"x0x1x2x3x4x5x6x7x8x9"))),OR(2&gt;LEN(B141),MID(B141,2,1)=".",ISNUMBER(FIND("x"&amp;MID(B141,2,1),"x0x1x2x3x4x5x6x7x8x9"))),OR(3&gt;LEN(B141),MID(B141,3,1)=".",ISNUMBER(FIND("x"&amp;MID(B141,3,1),"x0x1x2x3x4x5x6x7x8x9"))),OR(4&gt;LEN(B141),MID(B141,4,1)=".",ISNUMBER(FIND("x"&amp;MID(B141,4,1),"x0x1x2x3x4x5x6x7x8x9"))),OR(5&gt;LEN(B141),MID(B141,5,1)=".",ISNUMBER(FIND("x"&amp;MID(B141,5,1),"x0x1x2x3x4x5x6x7x8x9"))),OR(6&gt;LEN(B141),MID(B141,6,1)=".",ISNUMBER(FIND("x"&amp;MID(B141,6,1),"x0x1x2x3x4x5x6x7x8x9"))),OR(7&gt;LEN(B141),MID(B141,7,1)=".",ISNUMBER(FIND("x"&amp;MID(B141,7,1),"x0x1x2x3x4x5x6x7x8x9"))),OR(8&gt;LEN(B141),MID(B141,8,1)=".",ISNUMBER(FIND("x"&amp;MID(B141,8,1),"x0x1x2x3x4x5x6x7x8x9"))),OR(9&gt;LEN(B141),MID(B141,9,1)=".",ISNUMBER(FIND("x"&amp;MID(B141,9,1),"x0x1x2x3x4x5x6x7x8x9"))),OR(10&gt;LEN(B141),MID(B141,10,1)=".",ISNUMBER(FIND("x"&amp;MID(B141,10,1),"x0x1x2x3x4x5x6x7x8x9"))),OR(AND(FIND(".",B141)=5,LEN(B141)-FIND(".",B141,FIND(".",B141)+1)&gt;=1,LEN(B141)-FIND(".",B141,FIND(".",B141)+1)&lt;=2),AND(LEN(B141)-FIND(".",B141,FIND(".",B141)+1)=4,FIND(".",B141)&gt;=2,FIND(".",B141)&lt;=3)),FIND(".",B141,FIND(".",B141)+1)-FIND(".",B141)&gt;=2,FIND(".",B141,FIND(".",B141)+1)-FIND(".",B141)&lt;=3,F141&gt;=2000,F141&lt;=2100,YEAR(I141)=F141,MONTH(I141)=G141,DAY(I141)=H141),I141,0)),0)</ns0:f>
        <ns0:v>0</ns0:v>
      </ns0:c>
      <ns0:c r="K141" s="0">
        <ns0:f>IFERROR(IF(ISNUMBER(Bookings!D141),"",TRIM(Bookings!D141&amp;"")),"")</ns0:f>
      </ns0:c>
      <ns0:c r="L141" s="0">
        <ns0:f>IFERROR(SUBSTITUTE(SUBSTITUTE(K141,"/","."),"-","."),"")</ns0:f>
      </ns0:c>
      <ns0:c r="M141" s="0">
        <ns0:f>IFERROR(LEFT(L141,FIND(".",L141)-1),"")</ns0:f>
      </ns0:c>
      <ns0:c r="N141" s="0">
        <ns0:f>IFERROR(MID(L141,FIND(".",L141)+1,FIND(".",L141,FIND(".",L141)+1)-FIND(".",L141)-1),"")</ns0:f>
      </ns0:c>
      <ns0:c r="O141" s="0">
        <ns0:f>IFERROR(MID(L141,FIND(".",L141,FIND(".",L141)+1)+1,99),"")</ns0:f>
        <ns0:v>99</ns0:v>
      </ns0:c>
      <ns0:c r="P141" s="0">
        <ns0:f>IFERROR(IF(FIND(".",L141)=5,--M141,--O141),0)</ns0:f>
        <ns0:v>0</ns0:v>
      </ns0:c>
      <ns0:c r="Q141" s="0">
        <ns0:f>IFERROR(--N141,0)</ns0:f>
        <ns0:v>0</ns0:v>
      </ns0:c>
      <ns0:c r="R141" s="0">
        <ns0:f>IFERROR(IF(FIND(".",L141)=5,--O141,--M141),0)</ns0:f>
        <ns0:v>0</ns0:v>
      </ns0:c>
      <ns0:c r="S141" s="0">
        <ns0:f>IFERROR(IF(AND(P141&gt;=2000,P141&lt;=2100,Q141&gt;=1,Q141&lt;=12,R141&gt;=1,R141&lt;=31),DATE(P141,Q141,R141),0),0)</ns0:f>
        <ns0:v>0</ns0:v>
      </ns0:c>
      <ns0:c r="T141" s="0">
        <ns0:f>IFERROR(IF(ISNUMBER(Bookings!D141),IF(AND(Bookings!D141=INT(Bookings!D141),Bookings!D141&gt;=DATE(2000,1,1),Bookings!D141&lt;=DATE(2100,12,31)),Bookings!D141,0),IF(AND(K141&lt;&gt;"",LEN("x"&amp;L141)-LEN(SUBSTITUTE("x"&amp;L141,".",""))=2,OR(1&gt;LEN(L141),MID(L141,1,1)=".",ISNUMBER(FIND("x"&amp;MID(L141,1,1),"x0x1x2x3x4x5x6x7x8x9"))),OR(2&gt;LEN(L141),MID(L141,2,1)=".",ISNUMBER(FIND("x"&amp;MID(L141,2,1),"x0x1x2x3x4x5x6x7x8x9"))),OR(3&gt;LEN(L141),MID(L141,3,1)=".",ISNUMBER(FIND("x"&amp;MID(L141,3,1),"x0x1x2x3x4x5x6x7x8x9"))),OR(4&gt;LEN(L141),MID(L141,4,1)=".",ISNUMBER(FIND("x"&amp;MID(L141,4,1),"x0x1x2x3x4x5x6x7x8x9"))),OR(5&gt;LEN(L141),MID(L141,5,1)=".",ISNUMBER(FIND("x"&amp;MID(L141,5,1),"x0x1x2x3x4x5x6x7x8x9"))),OR(6&gt;LEN(L141),MID(L141,6,1)=".",ISNUMBER(FIND("x"&amp;MID(L141,6,1),"x0x1x2x3x4x5x6x7x8x9"))),OR(7&gt;LEN(L141),MID(L141,7,1)=".",ISNUMBER(FIND("x"&amp;MID(L141,7,1),"x0x1x2x3x4x5x6x7x8x9"))),OR(8&gt;LEN(L141),MID(L141,8,1)=".",ISNUMBER(FIND("x"&amp;MID(L141,8,1),"x0x1x2x3x4x5x6x7x8x9"))),OR(9&gt;LEN(L141),MID(L141,9,1)=".",ISNUMBER(FIND("x"&amp;MID(L141,9,1),"x0x1x2x3x4x5x6x7x8x9"))),OR(10&gt;LEN(L141),MID(L141,10,1)=".",ISNUMBER(FIND("x"&amp;MID(L141,10,1),"x0x1x2x3x4x5x6x7x8x9"))),OR(AND(FIND(".",L141)=5,LEN(L141)-FIND(".",L141,FIND(".",L141)+1)&gt;=1,LEN(L141)-FIND(".",L141,FIND(".",L141)+1)&lt;=2),AND(LEN(L141)-FIND(".",L141,FIND(".",L141)+1)=4,FIND(".",L141)&gt;=2,FIND(".",L141)&lt;=3)),FIND(".",L141,FIND(".",L141)+1)-FIND(".",L141)&gt;=2,FIND(".",L141,FIND(".",L141)+1)-FIND(".",L141)&lt;=3,P141&gt;=2000,P141&lt;=2100,YEAR(S141)=P141,MONTH(S141)=Q141,DAY(S141)=R141),S141,0)),0)</ns0:f>
        <ns0:v>0</ns0:v>
      </ns0:c>
      <ns0:c r="U141" s="0" t="str">
        <ns0:f>IF(Bookings!C141="","Full day",Bookings!C141)</ns0:f>
        <ns0:v>Full day</ns0:v>
      </ns0:c>
      <ns0:c r="V141" s="0" t="str">
        <ns0:f>IF(Bookings!E141="","Full day",Bookings!E141)</ns0:f>
        <ns0:v>Full day</ns0:v>
      </ns0:c>
      <ns0:c r="W141" s="0">
        <ns0:f>IF(J141=0,0,J141+IF(U141="PM",1,0))</ns0:f>
        <ns0:v>0</ns0:v>
      </ns0:c>
      <ns0:c r="X141" s="0">
        <ns0:f>IF(T141=0,0,T141-IF(V141="PM",1,0))</ns0:f>
        <ns0:v>0</ns0:v>
      </ns0:c>
      <ns0:c r="Y141" s="0">
        <ns0:f>IF(J141=0,0,J141+IF(U141="AM",1,0))</ns0:f>
        <ns0:v>0</ns0:v>
      </ns0:c>
      <ns0:c r="Z141" s="0">
        <ns0:f>IF(T141=0,0,T141-IF(V141="AM",1,0))</ns0:f>
        <ns0:v>0</ns0:v>
      </ns0:c>
      <ns0:c r="AA141" s="0">
        <ns0:f>IFERROR(IF(AND(J141&gt;0,'_Engine'!C141&gt;0,MID('_Engine'!W141,WEEKDAY(J141,2),1)="W",COUNTIF(Settings!$F$18:$F$67,J141)=0),1,0),0)</ns0:f>
        <ns0:v>0</ns0:v>
      </ns0:c>
      <ns0:c r="AB141" s="0">
        <ns0:f>IFERROR(IF(AND(T141&gt;0,'_Engine'!C141&gt;0,MID('_Engine'!W141,WEEKDAY(T141,2),1)="W",COUNTIF(Settings!$F$18:$F$67,T141)=0),1,0),0)</ns0:f>
        <ns0:v>0</ns0:v>
      </ns0:c>
      <ns0:c r="AC141" s="0">
        <ns0:f>IF(AND(J141&gt;0,T141&gt;0,W141&lt;=X141),1,0)</ns0:f>
        <ns0:v>0</ns0:v>
      </ns0:c>
      <ns0:c r="AD141" s="0">
        <ns0:f>IF(AND(J141&gt;0,T141&gt;0,Y141&lt;=Z141),1,0)</ns0:f>
        <ns0:v>0</ns0:v>
      </ns0:c>
    </ns0:row>
    <ns0:row r="142">
      <ns0:c r="A142" s="0">
        <ns0:f>IFERROR(IF(ISNUMBER(Bookings!B142),"",TRIM(Bookings!B142&amp;"")),"")</ns0:f>
      </ns0:c>
      <ns0:c r="B142" s="0">
        <ns0:f>IFERROR(SUBSTITUTE(SUBSTITUTE(A142,"/","."),"-","."),"")</ns0:f>
      </ns0:c>
      <ns0:c r="C142" s="0">
        <ns0:f>IFERROR(LEFT(B142,FIND(".",B142)-1),"")</ns0:f>
      </ns0:c>
      <ns0:c r="D142" s="0">
        <ns0:f>IFERROR(MID(B142,FIND(".",B142)+1,FIND(".",B142,FIND(".",B142)+1)-FIND(".",B142)-1),"")</ns0:f>
      </ns0:c>
      <ns0:c r="E142" s="0">
        <ns0:f>IFERROR(MID(B142,FIND(".",B142,FIND(".",B142)+1)+1,99),"")</ns0:f>
        <ns0:v>99</ns0:v>
      </ns0:c>
      <ns0:c r="F142" s="0">
        <ns0:f>IFERROR(IF(FIND(".",B142)=5,--C142,--E142),0)</ns0:f>
        <ns0:v>0</ns0:v>
      </ns0:c>
      <ns0:c r="G142" s="0">
        <ns0:f>IFERROR(--D142,0)</ns0:f>
        <ns0:v>0</ns0:v>
      </ns0:c>
      <ns0:c r="H142" s="0">
        <ns0:f>IFERROR(IF(FIND(".",B142)=5,--E142,--C142),0)</ns0:f>
        <ns0:v>0</ns0:v>
      </ns0:c>
      <ns0:c r="I142" s="0">
        <ns0:f>IFERROR(IF(AND(F142&gt;=2000,F142&lt;=2100,G142&gt;=1,G142&lt;=12,H142&gt;=1,H142&lt;=31),DATE(F142,G142,H142),0),0)</ns0:f>
        <ns0:v>0</ns0:v>
      </ns0:c>
      <ns0:c r="J142" s="0">
        <ns0:f>IFERROR(IF(ISNUMBER(Bookings!B142),IF(AND(Bookings!B142=INT(Bookings!B142),Bookings!B142&gt;=DATE(2000,1,1),Bookings!B142&lt;=DATE(2100,12,31)),Bookings!B142,0),IF(AND(A142&lt;&gt;"",LEN("x"&amp;B142)-LEN(SUBSTITUTE("x"&amp;B142,".",""))=2,OR(1&gt;LEN(B142),MID(B142,1,1)=".",ISNUMBER(FIND("x"&amp;MID(B142,1,1),"x0x1x2x3x4x5x6x7x8x9"))),OR(2&gt;LEN(B142),MID(B142,2,1)=".",ISNUMBER(FIND("x"&amp;MID(B142,2,1),"x0x1x2x3x4x5x6x7x8x9"))),OR(3&gt;LEN(B142),MID(B142,3,1)=".",ISNUMBER(FIND("x"&amp;MID(B142,3,1),"x0x1x2x3x4x5x6x7x8x9"))),OR(4&gt;LEN(B142),MID(B142,4,1)=".",ISNUMBER(FIND("x"&amp;MID(B142,4,1),"x0x1x2x3x4x5x6x7x8x9"))),OR(5&gt;LEN(B142),MID(B142,5,1)=".",ISNUMBER(FIND("x"&amp;MID(B142,5,1),"x0x1x2x3x4x5x6x7x8x9"))),OR(6&gt;LEN(B142),MID(B142,6,1)=".",ISNUMBER(FIND("x"&amp;MID(B142,6,1),"x0x1x2x3x4x5x6x7x8x9"))),OR(7&gt;LEN(B142),MID(B142,7,1)=".",ISNUMBER(FIND("x"&amp;MID(B142,7,1),"x0x1x2x3x4x5x6x7x8x9"))),OR(8&gt;LEN(B142),MID(B142,8,1)=".",ISNUMBER(FIND("x"&amp;MID(B142,8,1),"x0x1x2x3x4x5x6x7x8x9"))),OR(9&gt;LEN(B142),MID(B142,9,1)=".",ISNUMBER(FIND("x"&amp;MID(B142,9,1),"x0x1x2x3x4x5x6x7x8x9"))),OR(10&gt;LEN(B142),MID(B142,10,1)=".",ISNUMBER(FIND("x"&amp;MID(B142,10,1),"x0x1x2x3x4x5x6x7x8x9"))),OR(AND(FIND(".",B142)=5,LEN(B142)-FIND(".",B142,FIND(".",B142)+1)&gt;=1,LEN(B142)-FIND(".",B142,FIND(".",B142)+1)&lt;=2),AND(LEN(B142)-FIND(".",B142,FIND(".",B142)+1)=4,FIND(".",B142)&gt;=2,FIND(".",B142)&lt;=3)),FIND(".",B142,FIND(".",B142)+1)-FIND(".",B142)&gt;=2,FIND(".",B142,FIND(".",B142)+1)-FIND(".",B142)&lt;=3,F142&gt;=2000,F142&lt;=2100,YEAR(I142)=F142,MONTH(I142)=G142,DAY(I142)=H142),I142,0)),0)</ns0:f>
        <ns0:v>0</ns0:v>
      </ns0:c>
      <ns0:c r="K142" s="0">
        <ns0:f>IFERROR(IF(ISNUMBER(Bookings!D142),"",TRIM(Bookings!D142&amp;"")),"")</ns0:f>
      </ns0:c>
      <ns0:c r="L142" s="0">
        <ns0:f>IFERROR(SUBSTITUTE(SUBSTITUTE(K142,"/","."),"-","."),"")</ns0:f>
      </ns0:c>
      <ns0:c r="M142" s="0">
        <ns0:f>IFERROR(LEFT(L142,FIND(".",L142)-1),"")</ns0:f>
      </ns0:c>
      <ns0:c r="N142" s="0">
        <ns0:f>IFERROR(MID(L142,FIND(".",L142)+1,FIND(".",L142,FIND(".",L142)+1)-FIND(".",L142)-1),"")</ns0:f>
      </ns0:c>
      <ns0:c r="O142" s="0">
        <ns0:f>IFERROR(MID(L142,FIND(".",L142,FIND(".",L142)+1)+1,99),"")</ns0:f>
        <ns0:v>99</ns0:v>
      </ns0:c>
      <ns0:c r="P142" s="0">
        <ns0:f>IFERROR(IF(FIND(".",L142)=5,--M142,--O142),0)</ns0:f>
        <ns0:v>0</ns0:v>
      </ns0:c>
      <ns0:c r="Q142" s="0">
        <ns0:f>IFERROR(--N142,0)</ns0:f>
        <ns0:v>0</ns0:v>
      </ns0:c>
      <ns0:c r="R142" s="0">
        <ns0:f>IFERROR(IF(FIND(".",L142)=5,--O142,--M142),0)</ns0:f>
        <ns0:v>0</ns0:v>
      </ns0:c>
      <ns0:c r="S142" s="0">
        <ns0:f>IFERROR(IF(AND(P142&gt;=2000,P142&lt;=2100,Q142&gt;=1,Q142&lt;=12,R142&gt;=1,R142&lt;=31),DATE(P142,Q142,R142),0),0)</ns0:f>
        <ns0:v>0</ns0:v>
      </ns0:c>
      <ns0:c r="T142" s="0">
        <ns0:f>IFERROR(IF(ISNUMBER(Bookings!D142),IF(AND(Bookings!D142=INT(Bookings!D142),Bookings!D142&gt;=DATE(2000,1,1),Bookings!D142&lt;=DATE(2100,12,31)),Bookings!D142,0),IF(AND(K142&lt;&gt;"",LEN("x"&amp;L142)-LEN(SUBSTITUTE("x"&amp;L142,".",""))=2,OR(1&gt;LEN(L142),MID(L142,1,1)=".",ISNUMBER(FIND("x"&amp;MID(L142,1,1),"x0x1x2x3x4x5x6x7x8x9"))),OR(2&gt;LEN(L142),MID(L142,2,1)=".",ISNUMBER(FIND("x"&amp;MID(L142,2,1),"x0x1x2x3x4x5x6x7x8x9"))),OR(3&gt;LEN(L142),MID(L142,3,1)=".",ISNUMBER(FIND("x"&amp;MID(L142,3,1),"x0x1x2x3x4x5x6x7x8x9"))),OR(4&gt;LEN(L142),MID(L142,4,1)=".",ISNUMBER(FIND("x"&amp;MID(L142,4,1),"x0x1x2x3x4x5x6x7x8x9"))),OR(5&gt;LEN(L142),MID(L142,5,1)=".",ISNUMBER(FIND("x"&amp;MID(L142,5,1),"x0x1x2x3x4x5x6x7x8x9"))),OR(6&gt;LEN(L142),MID(L142,6,1)=".",ISNUMBER(FIND("x"&amp;MID(L142,6,1),"x0x1x2x3x4x5x6x7x8x9"))),OR(7&gt;LEN(L142),MID(L142,7,1)=".",ISNUMBER(FIND("x"&amp;MID(L142,7,1),"x0x1x2x3x4x5x6x7x8x9"))),OR(8&gt;LEN(L142),MID(L142,8,1)=".",ISNUMBER(FIND("x"&amp;MID(L142,8,1),"x0x1x2x3x4x5x6x7x8x9"))),OR(9&gt;LEN(L142),MID(L142,9,1)=".",ISNUMBER(FIND("x"&amp;MID(L142,9,1),"x0x1x2x3x4x5x6x7x8x9"))),OR(10&gt;LEN(L142),MID(L142,10,1)=".",ISNUMBER(FIND("x"&amp;MID(L142,10,1),"x0x1x2x3x4x5x6x7x8x9"))),OR(AND(FIND(".",L142)=5,LEN(L142)-FIND(".",L142,FIND(".",L142)+1)&gt;=1,LEN(L142)-FIND(".",L142,FIND(".",L142)+1)&lt;=2),AND(LEN(L142)-FIND(".",L142,FIND(".",L142)+1)=4,FIND(".",L142)&gt;=2,FIND(".",L142)&lt;=3)),FIND(".",L142,FIND(".",L142)+1)-FIND(".",L142)&gt;=2,FIND(".",L142,FIND(".",L142)+1)-FIND(".",L142)&lt;=3,P142&gt;=2000,P142&lt;=2100,YEAR(S142)=P142,MONTH(S142)=Q142,DAY(S142)=R142),S142,0)),0)</ns0:f>
        <ns0:v>0</ns0:v>
      </ns0:c>
      <ns0:c r="U142" s="0" t="str">
        <ns0:f>IF(Bookings!C142="","Full day",Bookings!C142)</ns0:f>
        <ns0:v>Full day</ns0:v>
      </ns0:c>
      <ns0:c r="V142" s="0" t="str">
        <ns0:f>IF(Bookings!E142="","Full day",Bookings!E142)</ns0:f>
        <ns0:v>Full day</ns0:v>
      </ns0:c>
      <ns0:c r="W142" s="0">
        <ns0:f>IF(J142=0,0,J142+IF(U142="PM",1,0))</ns0:f>
        <ns0:v>0</ns0:v>
      </ns0:c>
      <ns0:c r="X142" s="0">
        <ns0:f>IF(T142=0,0,T142-IF(V142="PM",1,0))</ns0:f>
        <ns0:v>0</ns0:v>
      </ns0:c>
      <ns0:c r="Y142" s="0">
        <ns0:f>IF(J142=0,0,J142+IF(U142="AM",1,0))</ns0:f>
        <ns0:v>0</ns0:v>
      </ns0:c>
      <ns0:c r="Z142" s="0">
        <ns0:f>IF(T142=0,0,T142-IF(V142="AM",1,0))</ns0:f>
        <ns0:v>0</ns0:v>
      </ns0:c>
      <ns0:c r="AA142" s="0">
        <ns0:f>IFERROR(IF(AND(J142&gt;0,'_Engine'!C142&gt;0,MID('_Engine'!W142,WEEKDAY(J142,2),1)="W",COUNTIF(Settings!$F$18:$F$67,J142)=0),1,0),0)</ns0:f>
        <ns0:v>0</ns0:v>
      </ns0:c>
      <ns0:c r="AB142" s="0">
        <ns0:f>IFERROR(IF(AND(T142&gt;0,'_Engine'!C142&gt;0,MID('_Engine'!W142,WEEKDAY(T142,2),1)="W",COUNTIF(Settings!$F$18:$F$67,T142)=0),1,0),0)</ns0:f>
        <ns0:v>0</ns0:v>
      </ns0:c>
      <ns0:c r="AC142" s="0">
        <ns0:f>IF(AND(J142&gt;0,T142&gt;0,W142&lt;=X142),1,0)</ns0:f>
        <ns0:v>0</ns0:v>
      </ns0:c>
      <ns0:c r="AD142" s="0">
        <ns0:f>IF(AND(J142&gt;0,T142&gt;0,Y142&lt;=Z142),1,0)</ns0:f>
        <ns0:v>0</ns0:v>
      </ns0:c>
    </ns0:row>
    <ns0:row r="143">
      <ns0:c r="A143" s="0">
        <ns0:f>IFERROR(IF(ISNUMBER(Bookings!B143),"",TRIM(Bookings!B143&amp;"")),"")</ns0:f>
      </ns0:c>
      <ns0:c r="B143" s="0">
        <ns0:f>IFERROR(SUBSTITUTE(SUBSTITUTE(A143,"/","."),"-","."),"")</ns0:f>
      </ns0:c>
      <ns0:c r="C143" s="0">
        <ns0:f>IFERROR(LEFT(B143,FIND(".",B143)-1),"")</ns0:f>
      </ns0:c>
      <ns0:c r="D143" s="0">
        <ns0:f>IFERROR(MID(B143,FIND(".",B143)+1,FIND(".",B143,FIND(".",B143)+1)-FIND(".",B143)-1),"")</ns0:f>
      </ns0:c>
      <ns0:c r="E143" s="0">
        <ns0:f>IFERROR(MID(B143,FIND(".",B143,FIND(".",B143)+1)+1,99),"")</ns0:f>
        <ns0:v>99</ns0:v>
      </ns0:c>
      <ns0:c r="F143" s="0">
        <ns0:f>IFERROR(IF(FIND(".",B143)=5,--C143,--E143),0)</ns0:f>
        <ns0:v>0</ns0:v>
      </ns0:c>
      <ns0:c r="G143" s="0">
        <ns0:f>IFERROR(--D143,0)</ns0:f>
        <ns0:v>0</ns0:v>
      </ns0:c>
      <ns0:c r="H143" s="0">
        <ns0:f>IFERROR(IF(FIND(".",B143)=5,--E143,--C143),0)</ns0:f>
        <ns0:v>0</ns0:v>
      </ns0:c>
      <ns0:c r="I143" s="0">
        <ns0:f>IFERROR(IF(AND(F143&gt;=2000,F143&lt;=2100,G143&gt;=1,G143&lt;=12,H143&gt;=1,H143&lt;=31),DATE(F143,G143,H143),0),0)</ns0:f>
        <ns0:v>0</ns0:v>
      </ns0:c>
      <ns0:c r="J143" s="0">
        <ns0:f>IFERROR(IF(ISNUMBER(Bookings!B143),IF(AND(Bookings!B143=INT(Bookings!B143),Bookings!B143&gt;=DATE(2000,1,1),Bookings!B143&lt;=DATE(2100,12,31)),Bookings!B143,0),IF(AND(A143&lt;&gt;"",LEN("x"&amp;B143)-LEN(SUBSTITUTE("x"&amp;B143,".",""))=2,OR(1&gt;LEN(B143),MID(B143,1,1)=".",ISNUMBER(FIND("x"&amp;MID(B143,1,1),"x0x1x2x3x4x5x6x7x8x9"))),OR(2&gt;LEN(B143),MID(B143,2,1)=".",ISNUMBER(FIND("x"&amp;MID(B143,2,1),"x0x1x2x3x4x5x6x7x8x9"))),OR(3&gt;LEN(B143),MID(B143,3,1)=".",ISNUMBER(FIND("x"&amp;MID(B143,3,1),"x0x1x2x3x4x5x6x7x8x9"))),OR(4&gt;LEN(B143),MID(B143,4,1)=".",ISNUMBER(FIND("x"&amp;MID(B143,4,1),"x0x1x2x3x4x5x6x7x8x9"))),OR(5&gt;LEN(B143),MID(B143,5,1)=".",ISNUMBER(FIND("x"&amp;MID(B143,5,1),"x0x1x2x3x4x5x6x7x8x9"))),OR(6&gt;LEN(B143),MID(B143,6,1)=".",ISNUMBER(FIND("x"&amp;MID(B143,6,1),"x0x1x2x3x4x5x6x7x8x9"))),OR(7&gt;LEN(B143),MID(B143,7,1)=".",ISNUMBER(FIND("x"&amp;MID(B143,7,1),"x0x1x2x3x4x5x6x7x8x9"))),OR(8&gt;LEN(B143),MID(B143,8,1)=".",ISNUMBER(FIND("x"&amp;MID(B143,8,1),"x0x1x2x3x4x5x6x7x8x9"))),OR(9&gt;LEN(B143),MID(B143,9,1)=".",ISNUMBER(FIND("x"&amp;MID(B143,9,1),"x0x1x2x3x4x5x6x7x8x9"))),OR(10&gt;LEN(B143),MID(B143,10,1)=".",ISNUMBER(FIND("x"&amp;MID(B143,10,1),"x0x1x2x3x4x5x6x7x8x9"))),OR(AND(FIND(".",B143)=5,LEN(B143)-FIND(".",B143,FIND(".",B143)+1)&gt;=1,LEN(B143)-FIND(".",B143,FIND(".",B143)+1)&lt;=2),AND(LEN(B143)-FIND(".",B143,FIND(".",B143)+1)=4,FIND(".",B143)&gt;=2,FIND(".",B143)&lt;=3)),FIND(".",B143,FIND(".",B143)+1)-FIND(".",B143)&gt;=2,FIND(".",B143,FIND(".",B143)+1)-FIND(".",B143)&lt;=3,F143&gt;=2000,F143&lt;=2100,YEAR(I143)=F143,MONTH(I143)=G143,DAY(I143)=H143),I143,0)),0)</ns0:f>
        <ns0:v>0</ns0:v>
      </ns0:c>
      <ns0:c r="K143" s="0">
        <ns0:f>IFERROR(IF(ISNUMBER(Bookings!D143),"",TRIM(Bookings!D143&amp;"")),"")</ns0:f>
      </ns0:c>
      <ns0:c r="L143" s="0">
        <ns0:f>IFERROR(SUBSTITUTE(SUBSTITUTE(K143,"/","."),"-","."),"")</ns0:f>
      </ns0:c>
      <ns0:c r="M143" s="0">
        <ns0:f>IFERROR(LEFT(L143,FIND(".",L143)-1),"")</ns0:f>
      </ns0:c>
      <ns0:c r="N143" s="0">
        <ns0:f>IFERROR(MID(L143,FIND(".",L143)+1,FIND(".",L143,FIND(".",L143)+1)-FIND(".",L143)-1),"")</ns0:f>
      </ns0:c>
      <ns0:c r="O143" s="0">
        <ns0:f>IFERROR(MID(L143,FIND(".",L143,FIND(".",L143)+1)+1,99),"")</ns0:f>
        <ns0:v>99</ns0:v>
      </ns0:c>
      <ns0:c r="P143" s="0">
        <ns0:f>IFERROR(IF(FIND(".",L143)=5,--M143,--O143),0)</ns0:f>
        <ns0:v>0</ns0:v>
      </ns0:c>
      <ns0:c r="Q143" s="0">
        <ns0:f>IFERROR(--N143,0)</ns0:f>
        <ns0:v>0</ns0:v>
      </ns0:c>
      <ns0:c r="R143" s="0">
        <ns0:f>IFERROR(IF(FIND(".",L143)=5,--O143,--M143),0)</ns0:f>
        <ns0:v>0</ns0:v>
      </ns0:c>
      <ns0:c r="S143" s="0">
        <ns0:f>IFERROR(IF(AND(P143&gt;=2000,P143&lt;=2100,Q143&gt;=1,Q143&lt;=12,R143&gt;=1,R143&lt;=31),DATE(P143,Q143,R143),0),0)</ns0:f>
        <ns0:v>0</ns0:v>
      </ns0:c>
      <ns0:c r="T143" s="0">
        <ns0:f>IFERROR(IF(ISNUMBER(Bookings!D143),IF(AND(Bookings!D143=INT(Bookings!D143),Bookings!D143&gt;=DATE(2000,1,1),Bookings!D143&lt;=DATE(2100,12,31)),Bookings!D143,0),IF(AND(K143&lt;&gt;"",LEN("x"&amp;L143)-LEN(SUBSTITUTE("x"&amp;L143,".",""))=2,OR(1&gt;LEN(L143),MID(L143,1,1)=".",ISNUMBER(FIND("x"&amp;MID(L143,1,1),"x0x1x2x3x4x5x6x7x8x9"))),OR(2&gt;LEN(L143),MID(L143,2,1)=".",ISNUMBER(FIND("x"&amp;MID(L143,2,1),"x0x1x2x3x4x5x6x7x8x9"))),OR(3&gt;LEN(L143),MID(L143,3,1)=".",ISNUMBER(FIND("x"&amp;MID(L143,3,1),"x0x1x2x3x4x5x6x7x8x9"))),OR(4&gt;LEN(L143),MID(L143,4,1)=".",ISNUMBER(FIND("x"&amp;MID(L143,4,1),"x0x1x2x3x4x5x6x7x8x9"))),OR(5&gt;LEN(L143),MID(L143,5,1)=".",ISNUMBER(FIND("x"&amp;MID(L143,5,1),"x0x1x2x3x4x5x6x7x8x9"))),OR(6&gt;LEN(L143),MID(L143,6,1)=".",ISNUMBER(FIND("x"&amp;MID(L143,6,1),"x0x1x2x3x4x5x6x7x8x9"))),OR(7&gt;LEN(L143),MID(L143,7,1)=".",ISNUMBER(FIND("x"&amp;MID(L143,7,1),"x0x1x2x3x4x5x6x7x8x9"))),OR(8&gt;LEN(L143),MID(L143,8,1)=".",ISNUMBER(FIND("x"&amp;MID(L143,8,1),"x0x1x2x3x4x5x6x7x8x9"))),OR(9&gt;LEN(L143),MID(L143,9,1)=".",ISNUMBER(FIND("x"&amp;MID(L143,9,1),"x0x1x2x3x4x5x6x7x8x9"))),OR(10&gt;LEN(L143),MID(L143,10,1)=".",ISNUMBER(FIND("x"&amp;MID(L143,10,1),"x0x1x2x3x4x5x6x7x8x9"))),OR(AND(FIND(".",L143)=5,LEN(L143)-FIND(".",L143,FIND(".",L143)+1)&gt;=1,LEN(L143)-FIND(".",L143,FIND(".",L143)+1)&lt;=2),AND(LEN(L143)-FIND(".",L143,FIND(".",L143)+1)=4,FIND(".",L143)&gt;=2,FIND(".",L143)&lt;=3)),FIND(".",L143,FIND(".",L143)+1)-FIND(".",L143)&gt;=2,FIND(".",L143,FIND(".",L143)+1)-FIND(".",L143)&lt;=3,P143&gt;=2000,P143&lt;=2100,YEAR(S143)=P143,MONTH(S143)=Q143,DAY(S143)=R143),S143,0)),0)</ns0:f>
        <ns0:v>0</ns0:v>
      </ns0:c>
      <ns0:c r="U143" s="0" t="str">
        <ns0:f>IF(Bookings!C143="","Full day",Bookings!C143)</ns0:f>
        <ns0:v>Full day</ns0:v>
      </ns0:c>
      <ns0:c r="V143" s="0" t="str">
        <ns0:f>IF(Bookings!E143="","Full day",Bookings!E143)</ns0:f>
        <ns0:v>Full day</ns0:v>
      </ns0:c>
      <ns0:c r="W143" s="0">
        <ns0:f>IF(J143=0,0,J143+IF(U143="PM",1,0))</ns0:f>
        <ns0:v>0</ns0:v>
      </ns0:c>
      <ns0:c r="X143" s="0">
        <ns0:f>IF(T143=0,0,T143-IF(V143="PM",1,0))</ns0:f>
        <ns0:v>0</ns0:v>
      </ns0:c>
      <ns0:c r="Y143" s="0">
        <ns0:f>IF(J143=0,0,J143+IF(U143="AM",1,0))</ns0:f>
        <ns0:v>0</ns0:v>
      </ns0:c>
      <ns0:c r="Z143" s="0">
        <ns0:f>IF(T143=0,0,T143-IF(V143="AM",1,0))</ns0:f>
        <ns0:v>0</ns0:v>
      </ns0:c>
      <ns0:c r="AA143" s="0">
        <ns0:f>IFERROR(IF(AND(J143&gt;0,'_Engine'!C143&gt;0,MID('_Engine'!W143,WEEKDAY(J143,2),1)="W",COUNTIF(Settings!$F$18:$F$67,J143)=0),1,0),0)</ns0:f>
        <ns0:v>0</ns0:v>
      </ns0:c>
      <ns0:c r="AB143" s="0">
        <ns0:f>IFERROR(IF(AND(T143&gt;0,'_Engine'!C143&gt;0,MID('_Engine'!W143,WEEKDAY(T143,2),1)="W",COUNTIF(Settings!$F$18:$F$67,T143)=0),1,0),0)</ns0:f>
        <ns0:v>0</ns0:v>
      </ns0:c>
      <ns0:c r="AC143" s="0">
        <ns0:f>IF(AND(J143&gt;0,T143&gt;0,W143&lt;=X143),1,0)</ns0:f>
        <ns0:v>0</ns0:v>
      </ns0:c>
      <ns0:c r="AD143" s="0">
        <ns0:f>IF(AND(J143&gt;0,T143&gt;0,Y143&lt;=Z143),1,0)</ns0:f>
        <ns0:v>0</ns0:v>
      </ns0:c>
    </ns0:row>
    <ns0:row r="144">
      <ns0:c r="A144" s="0">
        <ns0:f>IFERROR(IF(ISNUMBER(Bookings!B144),"",TRIM(Bookings!B144&amp;"")),"")</ns0:f>
      </ns0:c>
      <ns0:c r="B144" s="0">
        <ns0:f>IFERROR(SUBSTITUTE(SUBSTITUTE(A144,"/","."),"-","."),"")</ns0:f>
      </ns0:c>
      <ns0:c r="C144" s="0">
        <ns0:f>IFERROR(LEFT(B144,FIND(".",B144)-1),"")</ns0:f>
      </ns0:c>
      <ns0:c r="D144" s="0">
        <ns0:f>IFERROR(MID(B144,FIND(".",B144)+1,FIND(".",B144,FIND(".",B144)+1)-FIND(".",B144)-1),"")</ns0:f>
      </ns0:c>
      <ns0:c r="E144" s="0">
        <ns0:f>IFERROR(MID(B144,FIND(".",B144,FIND(".",B144)+1)+1,99),"")</ns0:f>
        <ns0:v>99</ns0:v>
      </ns0:c>
      <ns0:c r="F144" s="0">
        <ns0:f>IFERROR(IF(FIND(".",B144)=5,--C144,--E144),0)</ns0:f>
        <ns0:v>0</ns0:v>
      </ns0:c>
      <ns0:c r="G144" s="0">
        <ns0:f>IFERROR(--D144,0)</ns0:f>
        <ns0:v>0</ns0:v>
      </ns0:c>
      <ns0:c r="H144" s="0">
        <ns0:f>IFERROR(IF(FIND(".",B144)=5,--E144,--C144),0)</ns0:f>
        <ns0:v>0</ns0:v>
      </ns0:c>
      <ns0:c r="I144" s="0">
        <ns0:f>IFERROR(IF(AND(F144&gt;=2000,F144&lt;=2100,G144&gt;=1,G144&lt;=12,H144&gt;=1,H144&lt;=31),DATE(F144,G144,H144),0),0)</ns0:f>
        <ns0:v>0</ns0:v>
      </ns0:c>
      <ns0:c r="J144" s="0">
        <ns0:f>IFERROR(IF(ISNUMBER(Bookings!B144),IF(AND(Bookings!B144=INT(Bookings!B144),Bookings!B144&gt;=DATE(2000,1,1),Bookings!B144&lt;=DATE(2100,12,31)),Bookings!B144,0),IF(AND(A144&lt;&gt;"",LEN("x"&amp;B144)-LEN(SUBSTITUTE("x"&amp;B144,".",""))=2,OR(1&gt;LEN(B144),MID(B144,1,1)=".",ISNUMBER(FIND("x"&amp;MID(B144,1,1),"x0x1x2x3x4x5x6x7x8x9"))),OR(2&gt;LEN(B144),MID(B144,2,1)=".",ISNUMBER(FIND("x"&amp;MID(B144,2,1),"x0x1x2x3x4x5x6x7x8x9"))),OR(3&gt;LEN(B144),MID(B144,3,1)=".",ISNUMBER(FIND("x"&amp;MID(B144,3,1),"x0x1x2x3x4x5x6x7x8x9"))),OR(4&gt;LEN(B144),MID(B144,4,1)=".",ISNUMBER(FIND("x"&amp;MID(B144,4,1),"x0x1x2x3x4x5x6x7x8x9"))),OR(5&gt;LEN(B144),MID(B144,5,1)=".",ISNUMBER(FIND("x"&amp;MID(B144,5,1),"x0x1x2x3x4x5x6x7x8x9"))),OR(6&gt;LEN(B144),MID(B144,6,1)=".",ISNUMBER(FIND("x"&amp;MID(B144,6,1),"x0x1x2x3x4x5x6x7x8x9"))),OR(7&gt;LEN(B144),MID(B144,7,1)=".",ISNUMBER(FIND("x"&amp;MID(B144,7,1),"x0x1x2x3x4x5x6x7x8x9"))),OR(8&gt;LEN(B144),MID(B144,8,1)=".",ISNUMBER(FIND("x"&amp;MID(B144,8,1),"x0x1x2x3x4x5x6x7x8x9"))),OR(9&gt;LEN(B144),MID(B144,9,1)=".",ISNUMBER(FIND("x"&amp;MID(B144,9,1),"x0x1x2x3x4x5x6x7x8x9"))),OR(10&gt;LEN(B144),MID(B144,10,1)=".",ISNUMBER(FIND("x"&amp;MID(B144,10,1),"x0x1x2x3x4x5x6x7x8x9"))),OR(AND(FIND(".",B144)=5,LEN(B144)-FIND(".",B144,FIND(".",B144)+1)&gt;=1,LEN(B144)-FIND(".",B144,FIND(".",B144)+1)&lt;=2),AND(LEN(B144)-FIND(".",B144,FIND(".",B144)+1)=4,FIND(".",B144)&gt;=2,FIND(".",B144)&lt;=3)),FIND(".",B144,FIND(".",B144)+1)-FIND(".",B144)&gt;=2,FIND(".",B144,FIND(".",B144)+1)-FIND(".",B144)&lt;=3,F144&gt;=2000,F144&lt;=2100,YEAR(I144)=F144,MONTH(I144)=G144,DAY(I144)=H144),I144,0)),0)</ns0:f>
        <ns0:v>0</ns0:v>
      </ns0:c>
      <ns0:c r="K144" s="0">
        <ns0:f>IFERROR(IF(ISNUMBER(Bookings!D144),"",TRIM(Bookings!D144&amp;"")),"")</ns0:f>
      </ns0:c>
      <ns0:c r="L144" s="0">
        <ns0:f>IFERROR(SUBSTITUTE(SUBSTITUTE(K144,"/","."),"-","."),"")</ns0:f>
      </ns0:c>
      <ns0:c r="M144" s="0">
        <ns0:f>IFERROR(LEFT(L144,FIND(".",L144)-1),"")</ns0:f>
      </ns0:c>
      <ns0:c r="N144" s="0">
        <ns0:f>IFERROR(MID(L144,FIND(".",L144)+1,FIND(".",L144,FIND(".",L144)+1)-FIND(".",L144)-1),"")</ns0:f>
      </ns0:c>
      <ns0:c r="O144" s="0">
        <ns0:f>IFERROR(MID(L144,FIND(".",L144,FIND(".",L144)+1)+1,99),"")</ns0:f>
        <ns0:v>99</ns0:v>
      </ns0:c>
      <ns0:c r="P144" s="0">
        <ns0:f>IFERROR(IF(FIND(".",L144)=5,--M144,--O144),0)</ns0:f>
        <ns0:v>0</ns0:v>
      </ns0:c>
      <ns0:c r="Q144" s="0">
        <ns0:f>IFERROR(--N144,0)</ns0:f>
        <ns0:v>0</ns0:v>
      </ns0:c>
      <ns0:c r="R144" s="0">
        <ns0:f>IFERROR(IF(FIND(".",L144)=5,--O144,--M144),0)</ns0:f>
        <ns0:v>0</ns0:v>
      </ns0:c>
      <ns0:c r="S144" s="0">
        <ns0:f>IFERROR(IF(AND(P144&gt;=2000,P144&lt;=2100,Q144&gt;=1,Q144&lt;=12,R144&gt;=1,R144&lt;=31),DATE(P144,Q144,R144),0),0)</ns0:f>
        <ns0:v>0</ns0:v>
      </ns0:c>
      <ns0:c r="T144" s="0">
        <ns0:f>IFERROR(IF(ISNUMBER(Bookings!D144),IF(AND(Bookings!D144=INT(Bookings!D144),Bookings!D144&gt;=DATE(2000,1,1),Bookings!D144&lt;=DATE(2100,12,31)),Bookings!D144,0),IF(AND(K144&lt;&gt;"",LEN("x"&amp;L144)-LEN(SUBSTITUTE("x"&amp;L144,".",""))=2,OR(1&gt;LEN(L144),MID(L144,1,1)=".",ISNUMBER(FIND("x"&amp;MID(L144,1,1),"x0x1x2x3x4x5x6x7x8x9"))),OR(2&gt;LEN(L144),MID(L144,2,1)=".",ISNUMBER(FIND("x"&amp;MID(L144,2,1),"x0x1x2x3x4x5x6x7x8x9"))),OR(3&gt;LEN(L144),MID(L144,3,1)=".",ISNUMBER(FIND("x"&amp;MID(L144,3,1),"x0x1x2x3x4x5x6x7x8x9"))),OR(4&gt;LEN(L144),MID(L144,4,1)=".",ISNUMBER(FIND("x"&amp;MID(L144,4,1),"x0x1x2x3x4x5x6x7x8x9"))),OR(5&gt;LEN(L144),MID(L144,5,1)=".",ISNUMBER(FIND("x"&amp;MID(L144,5,1),"x0x1x2x3x4x5x6x7x8x9"))),OR(6&gt;LEN(L144),MID(L144,6,1)=".",ISNUMBER(FIND("x"&amp;MID(L144,6,1),"x0x1x2x3x4x5x6x7x8x9"))),OR(7&gt;LEN(L144),MID(L144,7,1)=".",ISNUMBER(FIND("x"&amp;MID(L144,7,1),"x0x1x2x3x4x5x6x7x8x9"))),OR(8&gt;LEN(L144),MID(L144,8,1)=".",ISNUMBER(FIND("x"&amp;MID(L144,8,1),"x0x1x2x3x4x5x6x7x8x9"))),OR(9&gt;LEN(L144),MID(L144,9,1)=".",ISNUMBER(FIND("x"&amp;MID(L144,9,1),"x0x1x2x3x4x5x6x7x8x9"))),OR(10&gt;LEN(L144),MID(L144,10,1)=".",ISNUMBER(FIND("x"&amp;MID(L144,10,1),"x0x1x2x3x4x5x6x7x8x9"))),OR(AND(FIND(".",L144)=5,LEN(L144)-FIND(".",L144,FIND(".",L144)+1)&gt;=1,LEN(L144)-FIND(".",L144,FIND(".",L144)+1)&lt;=2),AND(LEN(L144)-FIND(".",L144,FIND(".",L144)+1)=4,FIND(".",L144)&gt;=2,FIND(".",L144)&lt;=3)),FIND(".",L144,FIND(".",L144)+1)-FIND(".",L144)&gt;=2,FIND(".",L144,FIND(".",L144)+1)-FIND(".",L144)&lt;=3,P144&gt;=2000,P144&lt;=2100,YEAR(S144)=P144,MONTH(S144)=Q144,DAY(S144)=R144),S144,0)),0)</ns0:f>
        <ns0:v>0</ns0:v>
      </ns0:c>
      <ns0:c r="U144" s="0" t="str">
        <ns0:f>IF(Bookings!C144="","Full day",Bookings!C144)</ns0:f>
        <ns0:v>Full day</ns0:v>
      </ns0:c>
      <ns0:c r="V144" s="0" t="str">
        <ns0:f>IF(Bookings!E144="","Full day",Bookings!E144)</ns0:f>
        <ns0:v>Full day</ns0:v>
      </ns0:c>
      <ns0:c r="W144" s="0">
        <ns0:f>IF(J144=0,0,J144+IF(U144="PM",1,0))</ns0:f>
        <ns0:v>0</ns0:v>
      </ns0:c>
      <ns0:c r="X144" s="0">
        <ns0:f>IF(T144=0,0,T144-IF(V144="PM",1,0))</ns0:f>
        <ns0:v>0</ns0:v>
      </ns0:c>
      <ns0:c r="Y144" s="0">
        <ns0:f>IF(J144=0,0,J144+IF(U144="AM",1,0))</ns0:f>
        <ns0:v>0</ns0:v>
      </ns0:c>
      <ns0:c r="Z144" s="0">
        <ns0:f>IF(T144=0,0,T144-IF(V144="AM",1,0))</ns0:f>
        <ns0:v>0</ns0:v>
      </ns0:c>
      <ns0:c r="AA144" s="0">
        <ns0:f>IFERROR(IF(AND(J144&gt;0,'_Engine'!C144&gt;0,MID('_Engine'!W144,WEEKDAY(J144,2),1)="W",COUNTIF(Settings!$F$18:$F$67,J144)=0),1,0),0)</ns0:f>
        <ns0:v>0</ns0:v>
      </ns0:c>
      <ns0:c r="AB144" s="0">
        <ns0:f>IFERROR(IF(AND(T144&gt;0,'_Engine'!C144&gt;0,MID('_Engine'!W144,WEEKDAY(T144,2),1)="W",COUNTIF(Settings!$F$18:$F$67,T144)=0),1,0),0)</ns0:f>
        <ns0:v>0</ns0:v>
      </ns0:c>
      <ns0:c r="AC144" s="0">
        <ns0:f>IF(AND(J144&gt;0,T144&gt;0,W144&lt;=X144),1,0)</ns0:f>
        <ns0:v>0</ns0:v>
      </ns0:c>
      <ns0:c r="AD144" s="0">
        <ns0:f>IF(AND(J144&gt;0,T144&gt;0,Y144&lt;=Z144),1,0)</ns0:f>
        <ns0:v>0</ns0:v>
      </ns0:c>
    </ns0:row>
    <ns0:row r="145">
      <ns0:c r="A145" s="0">
        <ns0:f>IFERROR(IF(ISNUMBER(Bookings!B145),"",TRIM(Bookings!B145&amp;"")),"")</ns0:f>
      </ns0:c>
      <ns0:c r="B145" s="0">
        <ns0:f>IFERROR(SUBSTITUTE(SUBSTITUTE(A145,"/","."),"-","."),"")</ns0:f>
      </ns0:c>
      <ns0:c r="C145" s="0">
        <ns0:f>IFERROR(LEFT(B145,FIND(".",B145)-1),"")</ns0:f>
      </ns0:c>
      <ns0:c r="D145" s="0">
        <ns0:f>IFERROR(MID(B145,FIND(".",B145)+1,FIND(".",B145,FIND(".",B145)+1)-FIND(".",B145)-1),"")</ns0:f>
      </ns0:c>
      <ns0:c r="E145" s="0">
        <ns0:f>IFERROR(MID(B145,FIND(".",B145,FIND(".",B145)+1)+1,99),"")</ns0:f>
        <ns0:v>99</ns0:v>
      </ns0:c>
      <ns0:c r="F145" s="0">
        <ns0:f>IFERROR(IF(FIND(".",B145)=5,--C145,--E145),0)</ns0:f>
        <ns0:v>0</ns0:v>
      </ns0:c>
      <ns0:c r="G145" s="0">
        <ns0:f>IFERROR(--D145,0)</ns0:f>
        <ns0:v>0</ns0:v>
      </ns0:c>
      <ns0:c r="H145" s="0">
        <ns0:f>IFERROR(IF(FIND(".",B145)=5,--E145,--C145),0)</ns0:f>
        <ns0:v>0</ns0:v>
      </ns0:c>
      <ns0:c r="I145" s="0">
        <ns0:f>IFERROR(IF(AND(F145&gt;=2000,F145&lt;=2100,G145&gt;=1,G145&lt;=12,H145&gt;=1,H145&lt;=31),DATE(F145,G145,H145),0),0)</ns0:f>
        <ns0:v>0</ns0:v>
      </ns0:c>
      <ns0:c r="J145" s="0">
        <ns0:f>IFERROR(IF(ISNUMBER(Bookings!B145),IF(AND(Bookings!B145=INT(Bookings!B145),Bookings!B145&gt;=DATE(2000,1,1),Bookings!B145&lt;=DATE(2100,12,31)),Bookings!B145,0),IF(AND(A145&lt;&gt;"",LEN("x"&amp;B145)-LEN(SUBSTITUTE("x"&amp;B145,".",""))=2,OR(1&gt;LEN(B145),MID(B145,1,1)=".",ISNUMBER(FIND("x"&amp;MID(B145,1,1),"x0x1x2x3x4x5x6x7x8x9"))),OR(2&gt;LEN(B145),MID(B145,2,1)=".",ISNUMBER(FIND("x"&amp;MID(B145,2,1),"x0x1x2x3x4x5x6x7x8x9"))),OR(3&gt;LEN(B145),MID(B145,3,1)=".",ISNUMBER(FIND("x"&amp;MID(B145,3,1),"x0x1x2x3x4x5x6x7x8x9"))),OR(4&gt;LEN(B145),MID(B145,4,1)=".",ISNUMBER(FIND("x"&amp;MID(B145,4,1),"x0x1x2x3x4x5x6x7x8x9"))),OR(5&gt;LEN(B145),MID(B145,5,1)=".",ISNUMBER(FIND("x"&amp;MID(B145,5,1),"x0x1x2x3x4x5x6x7x8x9"))),OR(6&gt;LEN(B145),MID(B145,6,1)=".",ISNUMBER(FIND("x"&amp;MID(B145,6,1),"x0x1x2x3x4x5x6x7x8x9"))),OR(7&gt;LEN(B145),MID(B145,7,1)=".",ISNUMBER(FIND("x"&amp;MID(B145,7,1),"x0x1x2x3x4x5x6x7x8x9"))),OR(8&gt;LEN(B145),MID(B145,8,1)=".",ISNUMBER(FIND("x"&amp;MID(B145,8,1),"x0x1x2x3x4x5x6x7x8x9"))),OR(9&gt;LEN(B145),MID(B145,9,1)=".",ISNUMBER(FIND("x"&amp;MID(B145,9,1),"x0x1x2x3x4x5x6x7x8x9"))),OR(10&gt;LEN(B145),MID(B145,10,1)=".",ISNUMBER(FIND("x"&amp;MID(B145,10,1),"x0x1x2x3x4x5x6x7x8x9"))),OR(AND(FIND(".",B145)=5,LEN(B145)-FIND(".",B145,FIND(".",B145)+1)&gt;=1,LEN(B145)-FIND(".",B145,FIND(".",B145)+1)&lt;=2),AND(LEN(B145)-FIND(".",B145,FIND(".",B145)+1)=4,FIND(".",B145)&gt;=2,FIND(".",B145)&lt;=3)),FIND(".",B145,FIND(".",B145)+1)-FIND(".",B145)&gt;=2,FIND(".",B145,FIND(".",B145)+1)-FIND(".",B145)&lt;=3,F145&gt;=2000,F145&lt;=2100,YEAR(I145)=F145,MONTH(I145)=G145,DAY(I145)=H145),I145,0)),0)</ns0:f>
        <ns0:v>0</ns0:v>
      </ns0:c>
      <ns0:c r="K145" s="0">
        <ns0:f>IFERROR(IF(ISNUMBER(Bookings!D145),"",TRIM(Bookings!D145&amp;"")),"")</ns0:f>
      </ns0:c>
      <ns0:c r="L145" s="0">
        <ns0:f>IFERROR(SUBSTITUTE(SUBSTITUTE(K145,"/","."),"-","."),"")</ns0:f>
      </ns0:c>
      <ns0:c r="M145" s="0">
        <ns0:f>IFERROR(LEFT(L145,FIND(".",L145)-1),"")</ns0:f>
      </ns0:c>
      <ns0:c r="N145" s="0">
        <ns0:f>IFERROR(MID(L145,FIND(".",L145)+1,FIND(".",L145,FIND(".",L145)+1)-FIND(".",L145)-1),"")</ns0:f>
      </ns0:c>
      <ns0:c r="O145" s="0">
        <ns0:f>IFERROR(MID(L145,FIND(".",L145,FIND(".",L145)+1)+1,99),"")</ns0:f>
        <ns0:v>99</ns0:v>
      </ns0:c>
      <ns0:c r="P145" s="0">
        <ns0:f>IFERROR(IF(FIND(".",L145)=5,--M145,--O145),0)</ns0:f>
        <ns0:v>0</ns0:v>
      </ns0:c>
      <ns0:c r="Q145" s="0">
        <ns0:f>IFERROR(--N145,0)</ns0:f>
        <ns0:v>0</ns0:v>
      </ns0:c>
      <ns0:c r="R145" s="0">
        <ns0:f>IFERROR(IF(FIND(".",L145)=5,--O145,--M145),0)</ns0:f>
        <ns0:v>0</ns0:v>
      </ns0:c>
      <ns0:c r="S145" s="0">
        <ns0:f>IFERROR(IF(AND(P145&gt;=2000,P145&lt;=2100,Q145&gt;=1,Q145&lt;=12,R145&gt;=1,R145&lt;=31),DATE(P145,Q145,R145),0),0)</ns0:f>
        <ns0:v>0</ns0:v>
      </ns0:c>
      <ns0:c r="T145" s="0">
        <ns0:f>IFERROR(IF(ISNUMBER(Bookings!D145),IF(AND(Bookings!D145=INT(Bookings!D145),Bookings!D145&gt;=DATE(2000,1,1),Bookings!D145&lt;=DATE(2100,12,31)),Bookings!D145,0),IF(AND(K145&lt;&gt;"",LEN("x"&amp;L145)-LEN(SUBSTITUTE("x"&amp;L145,".",""))=2,OR(1&gt;LEN(L145),MID(L145,1,1)=".",ISNUMBER(FIND("x"&amp;MID(L145,1,1),"x0x1x2x3x4x5x6x7x8x9"))),OR(2&gt;LEN(L145),MID(L145,2,1)=".",ISNUMBER(FIND("x"&amp;MID(L145,2,1),"x0x1x2x3x4x5x6x7x8x9"))),OR(3&gt;LEN(L145),MID(L145,3,1)=".",ISNUMBER(FIND("x"&amp;MID(L145,3,1),"x0x1x2x3x4x5x6x7x8x9"))),OR(4&gt;LEN(L145),MID(L145,4,1)=".",ISNUMBER(FIND("x"&amp;MID(L145,4,1),"x0x1x2x3x4x5x6x7x8x9"))),OR(5&gt;LEN(L145),MID(L145,5,1)=".",ISNUMBER(FIND("x"&amp;MID(L145,5,1),"x0x1x2x3x4x5x6x7x8x9"))),OR(6&gt;LEN(L145),MID(L145,6,1)=".",ISNUMBER(FIND("x"&amp;MID(L145,6,1),"x0x1x2x3x4x5x6x7x8x9"))),OR(7&gt;LEN(L145),MID(L145,7,1)=".",ISNUMBER(FIND("x"&amp;MID(L145,7,1),"x0x1x2x3x4x5x6x7x8x9"))),OR(8&gt;LEN(L145),MID(L145,8,1)=".",ISNUMBER(FIND("x"&amp;MID(L145,8,1),"x0x1x2x3x4x5x6x7x8x9"))),OR(9&gt;LEN(L145),MID(L145,9,1)=".",ISNUMBER(FIND("x"&amp;MID(L145,9,1),"x0x1x2x3x4x5x6x7x8x9"))),OR(10&gt;LEN(L145),MID(L145,10,1)=".",ISNUMBER(FIND("x"&amp;MID(L145,10,1),"x0x1x2x3x4x5x6x7x8x9"))),OR(AND(FIND(".",L145)=5,LEN(L145)-FIND(".",L145,FIND(".",L145)+1)&gt;=1,LEN(L145)-FIND(".",L145,FIND(".",L145)+1)&lt;=2),AND(LEN(L145)-FIND(".",L145,FIND(".",L145)+1)=4,FIND(".",L145)&gt;=2,FIND(".",L145)&lt;=3)),FIND(".",L145,FIND(".",L145)+1)-FIND(".",L145)&gt;=2,FIND(".",L145,FIND(".",L145)+1)-FIND(".",L145)&lt;=3,P145&gt;=2000,P145&lt;=2100,YEAR(S145)=P145,MONTH(S145)=Q145,DAY(S145)=R145),S145,0)),0)</ns0:f>
        <ns0:v>0</ns0:v>
      </ns0:c>
      <ns0:c r="U145" s="0" t="str">
        <ns0:f>IF(Bookings!C145="","Full day",Bookings!C145)</ns0:f>
        <ns0:v>Full day</ns0:v>
      </ns0:c>
      <ns0:c r="V145" s="0" t="str">
        <ns0:f>IF(Bookings!E145="","Full day",Bookings!E145)</ns0:f>
        <ns0:v>Full day</ns0:v>
      </ns0:c>
      <ns0:c r="W145" s="0">
        <ns0:f>IF(J145=0,0,J145+IF(U145="PM",1,0))</ns0:f>
        <ns0:v>0</ns0:v>
      </ns0:c>
      <ns0:c r="X145" s="0">
        <ns0:f>IF(T145=0,0,T145-IF(V145="PM",1,0))</ns0:f>
        <ns0:v>0</ns0:v>
      </ns0:c>
      <ns0:c r="Y145" s="0">
        <ns0:f>IF(J145=0,0,J145+IF(U145="AM",1,0))</ns0:f>
        <ns0:v>0</ns0:v>
      </ns0:c>
      <ns0:c r="Z145" s="0">
        <ns0:f>IF(T145=0,0,T145-IF(V145="AM",1,0))</ns0:f>
        <ns0:v>0</ns0:v>
      </ns0:c>
      <ns0:c r="AA145" s="0">
        <ns0:f>IFERROR(IF(AND(J145&gt;0,'_Engine'!C145&gt;0,MID('_Engine'!W145,WEEKDAY(J145,2),1)="W",COUNTIF(Settings!$F$18:$F$67,J145)=0),1,0),0)</ns0:f>
        <ns0:v>0</ns0:v>
      </ns0:c>
      <ns0:c r="AB145" s="0">
        <ns0:f>IFERROR(IF(AND(T145&gt;0,'_Engine'!C145&gt;0,MID('_Engine'!W145,WEEKDAY(T145,2),1)="W",COUNTIF(Settings!$F$18:$F$67,T145)=0),1,0),0)</ns0:f>
        <ns0:v>0</ns0:v>
      </ns0:c>
      <ns0:c r="AC145" s="0">
        <ns0:f>IF(AND(J145&gt;0,T145&gt;0,W145&lt;=X145),1,0)</ns0:f>
        <ns0:v>0</ns0:v>
      </ns0:c>
      <ns0:c r="AD145" s="0">
        <ns0:f>IF(AND(J145&gt;0,T145&gt;0,Y145&lt;=Z145),1,0)</ns0:f>
        <ns0:v>0</ns0:v>
      </ns0:c>
    </ns0:row>
    <ns0:row r="146">
      <ns0:c r="A146" s="0">
        <ns0:f>IFERROR(IF(ISNUMBER(Bookings!B146),"",TRIM(Bookings!B146&amp;"")),"")</ns0:f>
      </ns0:c>
      <ns0:c r="B146" s="0">
        <ns0:f>IFERROR(SUBSTITUTE(SUBSTITUTE(A146,"/","."),"-","."),"")</ns0:f>
      </ns0:c>
      <ns0:c r="C146" s="0">
        <ns0:f>IFERROR(LEFT(B146,FIND(".",B146)-1),"")</ns0:f>
      </ns0:c>
      <ns0:c r="D146" s="0">
        <ns0:f>IFERROR(MID(B146,FIND(".",B146)+1,FIND(".",B146,FIND(".",B146)+1)-FIND(".",B146)-1),"")</ns0:f>
      </ns0:c>
      <ns0:c r="E146" s="0">
        <ns0:f>IFERROR(MID(B146,FIND(".",B146,FIND(".",B146)+1)+1,99),"")</ns0:f>
        <ns0:v>99</ns0:v>
      </ns0:c>
      <ns0:c r="F146" s="0">
        <ns0:f>IFERROR(IF(FIND(".",B146)=5,--C146,--E146),0)</ns0:f>
        <ns0:v>0</ns0:v>
      </ns0:c>
      <ns0:c r="G146" s="0">
        <ns0:f>IFERROR(--D146,0)</ns0:f>
        <ns0:v>0</ns0:v>
      </ns0:c>
      <ns0:c r="H146" s="0">
        <ns0:f>IFERROR(IF(FIND(".",B146)=5,--E146,--C146),0)</ns0:f>
        <ns0:v>0</ns0:v>
      </ns0:c>
      <ns0:c r="I146" s="0">
        <ns0:f>IFERROR(IF(AND(F146&gt;=2000,F146&lt;=2100,G146&gt;=1,G146&lt;=12,H146&gt;=1,H146&lt;=31),DATE(F146,G146,H146),0),0)</ns0:f>
        <ns0:v>0</ns0:v>
      </ns0:c>
      <ns0:c r="J146" s="0">
        <ns0:f>IFERROR(IF(ISNUMBER(Bookings!B146),IF(AND(Bookings!B146=INT(Bookings!B146),Bookings!B146&gt;=DATE(2000,1,1),Bookings!B146&lt;=DATE(2100,12,31)),Bookings!B146,0),IF(AND(A146&lt;&gt;"",LEN("x"&amp;B146)-LEN(SUBSTITUTE("x"&amp;B146,".",""))=2,OR(1&gt;LEN(B146),MID(B146,1,1)=".",ISNUMBER(FIND("x"&amp;MID(B146,1,1),"x0x1x2x3x4x5x6x7x8x9"))),OR(2&gt;LEN(B146),MID(B146,2,1)=".",ISNUMBER(FIND("x"&amp;MID(B146,2,1),"x0x1x2x3x4x5x6x7x8x9"))),OR(3&gt;LEN(B146),MID(B146,3,1)=".",ISNUMBER(FIND("x"&amp;MID(B146,3,1),"x0x1x2x3x4x5x6x7x8x9"))),OR(4&gt;LEN(B146),MID(B146,4,1)=".",ISNUMBER(FIND("x"&amp;MID(B146,4,1),"x0x1x2x3x4x5x6x7x8x9"))),OR(5&gt;LEN(B146),MID(B146,5,1)=".",ISNUMBER(FIND("x"&amp;MID(B146,5,1),"x0x1x2x3x4x5x6x7x8x9"))),OR(6&gt;LEN(B146),MID(B146,6,1)=".",ISNUMBER(FIND("x"&amp;MID(B146,6,1),"x0x1x2x3x4x5x6x7x8x9"))),OR(7&gt;LEN(B146),MID(B146,7,1)=".",ISNUMBER(FIND("x"&amp;MID(B146,7,1),"x0x1x2x3x4x5x6x7x8x9"))),OR(8&gt;LEN(B146),MID(B146,8,1)=".",ISNUMBER(FIND("x"&amp;MID(B146,8,1),"x0x1x2x3x4x5x6x7x8x9"))),OR(9&gt;LEN(B146),MID(B146,9,1)=".",ISNUMBER(FIND("x"&amp;MID(B146,9,1),"x0x1x2x3x4x5x6x7x8x9"))),OR(10&gt;LEN(B146),MID(B146,10,1)=".",ISNUMBER(FIND("x"&amp;MID(B146,10,1),"x0x1x2x3x4x5x6x7x8x9"))),OR(AND(FIND(".",B146)=5,LEN(B146)-FIND(".",B146,FIND(".",B146)+1)&gt;=1,LEN(B146)-FIND(".",B146,FIND(".",B146)+1)&lt;=2),AND(LEN(B146)-FIND(".",B146,FIND(".",B146)+1)=4,FIND(".",B146)&gt;=2,FIND(".",B146)&lt;=3)),FIND(".",B146,FIND(".",B146)+1)-FIND(".",B146)&gt;=2,FIND(".",B146,FIND(".",B146)+1)-FIND(".",B146)&lt;=3,F146&gt;=2000,F146&lt;=2100,YEAR(I146)=F146,MONTH(I146)=G146,DAY(I146)=H146),I146,0)),0)</ns0:f>
        <ns0:v>0</ns0:v>
      </ns0:c>
      <ns0:c r="K146" s="0">
        <ns0:f>IFERROR(IF(ISNUMBER(Bookings!D146),"",TRIM(Bookings!D146&amp;"")),"")</ns0:f>
      </ns0:c>
      <ns0:c r="L146" s="0">
        <ns0:f>IFERROR(SUBSTITUTE(SUBSTITUTE(K146,"/","."),"-","."),"")</ns0:f>
      </ns0:c>
      <ns0:c r="M146" s="0">
        <ns0:f>IFERROR(LEFT(L146,FIND(".",L146)-1),"")</ns0:f>
      </ns0:c>
      <ns0:c r="N146" s="0">
        <ns0:f>IFERROR(MID(L146,FIND(".",L146)+1,FIND(".",L146,FIND(".",L146)+1)-FIND(".",L146)-1),"")</ns0:f>
      </ns0:c>
      <ns0:c r="O146" s="0">
        <ns0:f>IFERROR(MID(L146,FIND(".",L146,FIND(".",L146)+1)+1,99),"")</ns0:f>
        <ns0:v>99</ns0:v>
      </ns0:c>
      <ns0:c r="P146" s="0">
        <ns0:f>IFERROR(IF(FIND(".",L146)=5,--M146,--O146),0)</ns0:f>
        <ns0:v>0</ns0:v>
      </ns0:c>
      <ns0:c r="Q146" s="0">
        <ns0:f>IFERROR(--N146,0)</ns0:f>
        <ns0:v>0</ns0:v>
      </ns0:c>
      <ns0:c r="R146" s="0">
        <ns0:f>IFERROR(IF(FIND(".",L146)=5,--O146,--M146),0)</ns0:f>
        <ns0:v>0</ns0:v>
      </ns0:c>
      <ns0:c r="S146" s="0">
        <ns0:f>IFERROR(IF(AND(P146&gt;=2000,P146&lt;=2100,Q146&gt;=1,Q146&lt;=12,R146&gt;=1,R146&lt;=31),DATE(P146,Q146,R146),0),0)</ns0:f>
        <ns0:v>0</ns0:v>
      </ns0:c>
      <ns0:c r="T146" s="0">
        <ns0:f>IFERROR(IF(ISNUMBER(Bookings!D146),IF(AND(Bookings!D146=INT(Bookings!D146),Bookings!D146&gt;=DATE(2000,1,1),Bookings!D146&lt;=DATE(2100,12,31)),Bookings!D146,0),IF(AND(K146&lt;&gt;"",LEN("x"&amp;L146)-LEN(SUBSTITUTE("x"&amp;L146,".",""))=2,OR(1&gt;LEN(L146),MID(L146,1,1)=".",ISNUMBER(FIND("x"&amp;MID(L146,1,1),"x0x1x2x3x4x5x6x7x8x9"))),OR(2&gt;LEN(L146),MID(L146,2,1)=".",ISNUMBER(FIND("x"&amp;MID(L146,2,1),"x0x1x2x3x4x5x6x7x8x9"))),OR(3&gt;LEN(L146),MID(L146,3,1)=".",ISNUMBER(FIND("x"&amp;MID(L146,3,1),"x0x1x2x3x4x5x6x7x8x9"))),OR(4&gt;LEN(L146),MID(L146,4,1)=".",ISNUMBER(FIND("x"&amp;MID(L146,4,1),"x0x1x2x3x4x5x6x7x8x9"))),OR(5&gt;LEN(L146),MID(L146,5,1)=".",ISNUMBER(FIND("x"&amp;MID(L146,5,1),"x0x1x2x3x4x5x6x7x8x9"))),OR(6&gt;LEN(L146),MID(L146,6,1)=".",ISNUMBER(FIND("x"&amp;MID(L146,6,1),"x0x1x2x3x4x5x6x7x8x9"))),OR(7&gt;LEN(L146),MID(L146,7,1)=".",ISNUMBER(FIND("x"&amp;MID(L146,7,1),"x0x1x2x3x4x5x6x7x8x9"))),OR(8&gt;LEN(L146),MID(L146,8,1)=".",ISNUMBER(FIND("x"&amp;MID(L146,8,1),"x0x1x2x3x4x5x6x7x8x9"))),OR(9&gt;LEN(L146),MID(L146,9,1)=".",ISNUMBER(FIND("x"&amp;MID(L146,9,1),"x0x1x2x3x4x5x6x7x8x9"))),OR(10&gt;LEN(L146),MID(L146,10,1)=".",ISNUMBER(FIND("x"&amp;MID(L146,10,1),"x0x1x2x3x4x5x6x7x8x9"))),OR(AND(FIND(".",L146)=5,LEN(L146)-FIND(".",L146,FIND(".",L146)+1)&gt;=1,LEN(L146)-FIND(".",L146,FIND(".",L146)+1)&lt;=2),AND(LEN(L146)-FIND(".",L146,FIND(".",L146)+1)=4,FIND(".",L146)&gt;=2,FIND(".",L146)&lt;=3)),FIND(".",L146,FIND(".",L146)+1)-FIND(".",L146)&gt;=2,FIND(".",L146,FIND(".",L146)+1)-FIND(".",L146)&lt;=3,P146&gt;=2000,P146&lt;=2100,YEAR(S146)=P146,MONTH(S146)=Q146,DAY(S146)=R146),S146,0)),0)</ns0:f>
        <ns0:v>0</ns0:v>
      </ns0:c>
      <ns0:c r="U146" s="0" t="str">
        <ns0:f>IF(Bookings!C146="","Full day",Bookings!C146)</ns0:f>
        <ns0:v>Full day</ns0:v>
      </ns0:c>
      <ns0:c r="V146" s="0" t="str">
        <ns0:f>IF(Bookings!E146="","Full day",Bookings!E146)</ns0:f>
        <ns0:v>Full day</ns0:v>
      </ns0:c>
      <ns0:c r="W146" s="0">
        <ns0:f>IF(J146=0,0,J146+IF(U146="PM",1,0))</ns0:f>
        <ns0:v>0</ns0:v>
      </ns0:c>
      <ns0:c r="X146" s="0">
        <ns0:f>IF(T146=0,0,T146-IF(V146="PM",1,0))</ns0:f>
        <ns0:v>0</ns0:v>
      </ns0:c>
      <ns0:c r="Y146" s="0">
        <ns0:f>IF(J146=0,0,J146+IF(U146="AM",1,0))</ns0:f>
        <ns0:v>0</ns0:v>
      </ns0:c>
      <ns0:c r="Z146" s="0">
        <ns0:f>IF(T146=0,0,T146-IF(V146="AM",1,0))</ns0:f>
        <ns0:v>0</ns0:v>
      </ns0:c>
      <ns0:c r="AA146" s="0">
        <ns0:f>IFERROR(IF(AND(J146&gt;0,'_Engine'!C146&gt;0,MID('_Engine'!W146,WEEKDAY(J146,2),1)="W",COUNTIF(Settings!$F$18:$F$67,J146)=0),1,0),0)</ns0:f>
        <ns0:v>0</ns0:v>
      </ns0:c>
      <ns0:c r="AB146" s="0">
        <ns0:f>IFERROR(IF(AND(T146&gt;0,'_Engine'!C146&gt;0,MID('_Engine'!W146,WEEKDAY(T146,2),1)="W",COUNTIF(Settings!$F$18:$F$67,T146)=0),1,0),0)</ns0:f>
        <ns0:v>0</ns0:v>
      </ns0:c>
      <ns0:c r="AC146" s="0">
        <ns0:f>IF(AND(J146&gt;0,T146&gt;0,W146&lt;=X146),1,0)</ns0:f>
        <ns0:v>0</ns0:v>
      </ns0:c>
      <ns0:c r="AD146" s="0">
        <ns0:f>IF(AND(J146&gt;0,T146&gt;0,Y146&lt;=Z146),1,0)</ns0:f>
        <ns0:v>0</ns0:v>
      </ns0:c>
    </ns0:row>
    <ns0:row r="147">
      <ns0:c r="A147" s="0">
        <ns0:f>IFERROR(IF(ISNUMBER(Bookings!B147),"",TRIM(Bookings!B147&amp;"")),"")</ns0:f>
      </ns0:c>
      <ns0:c r="B147" s="0">
        <ns0:f>IFERROR(SUBSTITUTE(SUBSTITUTE(A147,"/","."),"-","."),"")</ns0:f>
      </ns0:c>
      <ns0:c r="C147" s="0">
        <ns0:f>IFERROR(LEFT(B147,FIND(".",B147)-1),"")</ns0:f>
      </ns0:c>
      <ns0:c r="D147" s="0">
        <ns0:f>IFERROR(MID(B147,FIND(".",B147)+1,FIND(".",B147,FIND(".",B147)+1)-FIND(".",B147)-1),"")</ns0:f>
      </ns0:c>
      <ns0:c r="E147" s="0">
        <ns0:f>IFERROR(MID(B147,FIND(".",B147,FIND(".",B147)+1)+1,99),"")</ns0:f>
        <ns0:v>99</ns0:v>
      </ns0:c>
      <ns0:c r="F147" s="0">
        <ns0:f>IFERROR(IF(FIND(".",B147)=5,--C147,--E147),0)</ns0:f>
        <ns0:v>0</ns0:v>
      </ns0:c>
      <ns0:c r="G147" s="0">
        <ns0:f>IFERROR(--D147,0)</ns0:f>
        <ns0:v>0</ns0:v>
      </ns0:c>
      <ns0:c r="H147" s="0">
        <ns0:f>IFERROR(IF(FIND(".",B147)=5,--E147,--C147),0)</ns0:f>
        <ns0:v>0</ns0:v>
      </ns0:c>
      <ns0:c r="I147" s="0">
        <ns0:f>IFERROR(IF(AND(F147&gt;=2000,F147&lt;=2100,G147&gt;=1,G147&lt;=12,H147&gt;=1,H147&lt;=31),DATE(F147,G147,H147),0),0)</ns0:f>
        <ns0:v>0</ns0:v>
      </ns0:c>
      <ns0:c r="J147" s="0">
        <ns0:f>IFERROR(IF(ISNUMBER(Bookings!B147),IF(AND(Bookings!B147=INT(Bookings!B147),Bookings!B147&gt;=DATE(2000,1,1),Bookings!B147&lt;=DATE(2100,12,31)),Bookings!B147,0),IF(AND(A147&lt;&gt;"",LEN("x"&amp;B147)-LEN(SUBSTITUTE("x"&amp;B147,".",""))=2,OR(1&gt;LEN(B147),MID(B147,1,1)=".",ISNUMBER(FIND("x"&amp;MID(B147,1,1),"x0x1x2x3x4x5x6x7x8x9"))),OR(2&gt;LEN(B147),MID(B147,2,1)=".",ISNUMBER(FIND("x"&amp;MID(B147,2,1),"x0x1x2x3x4x5x6x7x8x9"))),OR(3&gt;LEN(B147),MID(B147,3,1)=".",ISNUMBER(FIND("x"&amp;MID(B147,3,1),"x0x1x2x3x4x5x6x7x8x9"))),OR(4&gt;LEN(B147),MID(B147,4,1)=".",ISNUMBER(FIND("x"&amp;MID(B147,4,1),"x0x1x2x3x4x5x6x7x8x9"))),OR(5&gt;LEN(B147),MID(B147,5,1)=".",ISNUMBER(FIND("x"&amp;MID(B147,5,1),"x0x1x2x3x4x5x6x7x8x9"))),OR(6&gt;LEN(B147),MID(B147,6,1)=".",ISNUMBER(FIND("x"&amp;MID(B147,6,1),"x0x1x2x3x4x5x6x7x8x9"))),OR(7&gt;LEN(B147),MID(B147,7,1)=".",ISNUMBER(FIND("x"&amp;MID(B147,7,1),"x0x1x2x3x4x5x6x7x8x9"))),OR(8&gt;LEN(B147),MID(B147,8,1)=".",ISNUMBER(FIND("x"&amp;MID(B147,8,1),"x0x1x2x3x4x5x6x7x8x9"))),OR(9&gt;LEN(B147),MID(B147,9,1)=".",ISNUMBER(FIND("x"&amp;MID(B147,9,1),"x0x1x2x3x4x5x6x7x8x9"))),OR(10&gt;LEN(B147),MID(B147,10,1)=".",ISNUMBER(FIND("x"&amp;MID(B147,10,1),"x0x1x2x3x4x5x6x7x8x9"))),OR(AND(FIND(".",B147)=5,LEN(B147)-FIND(".",B147,FIND(".",B147)+1)&gt;=1,LEN(B147)-FIND(".",B147,FIND(".",B147)+1)&lt;=2),AND(LEN(B147)-FIND(".",B147,FIND(".",B147)+1)=4,FIND(".",B147)&gt;=2,FIND(".",B147)&lt;=3)),FIND(".",B147,FIND(".",B147)+1)-FIND(".",B147)&gt;=2,FIND(".",B147,FIND(".",B147)+1)-FIND(".",B147)&lt;=3,F147&gt;=2000,F147&lt;=2100,YEAR(I147)=F147,MONTH(I147)=G147,DAY(I147)=H147),I147,0)),0)</ns0:f>
        <ns0:v>0</ns0:v>
      </ns0:c>
      <ns0:c r="K147" s="0">
        <ns0:f>IFERROR(IF(ISNUMBER(Bookings!D147),"",TRIM(Bookings!D147&amp;"")),"")</ns0:f>
      </ns0:c>
      <ns0:c r="L147" s="0">
        <ns0:f>IFERROR(SUBSTITUTE(SUBSTITUTE(K147,"/","."),"-","."),"")</ns0:f>
      </ns0:c>
      <ns0:c r="M147" s="0">
        <ns0:f>IFERROR(LEFT(L147,FIND(".",L147)-1),"")</ns0:f>
      </ns0:c>
      <ns0:c r="N147" s="0">
        <ns0:f>IFERROR(MID(L147,FIND(".",L147)+1,FIND(".",L147,FIND(".",L147)+1)-FIND(".",L147)-1),"")</ns0:f>
      </ns0:c>
      <ns0:c r="O147" s="0">
        <ns0:f>IFERROR(MID(L147,FIND(".",L147,FIND(".",L147)+1)+1,99),"")</ns0:f>
        <ns0:v>99</ns0:v>
      </ns0:c>
      <ns0:c r="P147" s="0">
        <ns0:f>IFERROR(IF(FIND(".",L147)=5,--M147,--O147),0)</ns0:f>
        <ns0:v>0</ns0:v>
      </ns0:c>
      <ns0:c r="Q147" s="0">
        <ns0:f>IFERROR(--N147,0)</ns0:f>
        <ns0:v>0</ns0:v>
      </ns0:c>
      <ns0:c r="R147" s="0">
        <ns0:f>IFERROR(IF(FIND(".",L147)=5,--O147,--M147),0)</ns0:f>
        <ns0:v>0</ns0:v>
      </ns0:c>
      <ns0:c r="S147" s="0">
        <ns0:f>IFERROR(IF(AND(P147&gt;=2000,P147&lt;=2100,Q147&gt;=1,Q147&lt;=12,R147&gt;=1,R147&lt;=31),DATE(P147,Q147,R147),0),0)</ns0:f>
        <ns0:v>0</ns0:v>
      </ns0:c>
      <ns0:c r="T147" s="0">
        <ns0:f>IFERROR(IF(ISNUMBER(Bookings!D147),IF(AND(Bookings!D147=INT(Bookings!D147),Bookings!D147&gt;=DATE(2000,1,1),Bookings!D147&lt;=DATE(2100,12,31)),Bookings!D147,0),IF(AND(K147&lt;&gt;"",LEN("x"&amp;L147)-LEN(SUBSTITUTE("x"&amp;L147,".",""))=2,OR(1&gt;LEN(L147),MID(L147,1,1)=".",ISNUMBER(FIND("x"&amp;MID(L147,1,1),"x0x1x2x3x4x5x6x7x8x9"))),OR(2&gt;LEN(L147),MID(L147,2,1)=".",ISNUMBER(FIND("x"&amp;MID(L147,2,1),"x0x1x2x3x4x5x6x7x8x9"))),OR(3&gt;LEN(L147),MID(L147,3,1)=".",ISNUMBER(FIND("x"&amp;MID(L147,3,1),"x0x1x2x3x4x5x6x7x8x9"))),OR(4&gt;LEN(L147),MID(L147,4,1)=".",ISNUMBER(FIND("x"&amp;MID(L147,4,1),"x0x1x2x3x4x5x6x7x8x9"))),OR(5&gt;LEN(L147),MID(L147,5,1)=".",ISNUMBER(FIND("x"&amp;MID(L147,5,1),"x0x1x2x3x4x5x6x7x8x9"))),OR(6&gt;LEN(L147),MID(L147,6,1)=".",ISNUMBER(FIND("x"&amp;MID(L147,6,1),"x0x1x2x3x4x5x6x7x8x9"))),OR(7&gt;LEN(L147),MID(L147,7,1)=".",ISNUMBER(FIND("x"&amp;MID(L147,7,1),"x0x1x2x3x4x5x6x7x8x9"))),OR(8&gt;LEN(L147),MID(L147,8,1)=".",ISNUMBER(FIND("x"&amp;MID(L147,8,1),"x0x1x2x3x4x5x6x7x8x9"))),OR(9&gt;LEN(L147),MID(L147,9,1)=".",ISNUMBER(FIND("x"&amp;MID(L147,9,1),"x0x1x2x3x4x5x6x7x8x9"))),OR(10&gt;LEN(L147),MID(L147,10,1)=".",ISNUMBER(FIND("x"&amp;MID(L147,10,1),"x0x1x2x3x4x5x6x7x8x9"))),OR(AND(FIND(".",L147)=5,LEN(L147)-FIND(".",L147,FIND(".",L147)+1)&gt;=1,LEN(L147)-FIND(".",L147,FIND(".",L147)+1)&lt;=2),AND(LEN(L147)-FIND(".",L147,FIND(".",L147)+1)=4,FIND(".",L147)&gt;=2,FIND(".",L147)&lt;=3)),FIND(".",L147,FIND(".",L147)+1)-FIND(".",L147)&gt;=2,FIND(".",L147,FIND(".",L147)+1)-FIND(".",L147)&lt;=3,P147&gt;=2000,P147&lt;=2100,YEAR(S147)=P147,MONTH(S147)=Q147,DAY(S147)=R147),S147,0)),0)</ns0:f>
        <ns0:v>0</ns0:v>
      </ns0:c>
      <ns0:c r="U147" s="0" t="str">
        <ns0:f>IF(Bookings!C147="","Full day",Bookings!C147)</ns0:f>
        <ns0:v>Full day</ns0:v>
      </ns0:c>
      <ns0:c r="V147" s="0" t="str">
        <ns0:f>IF(Bookings!E147="","Full day",Bookings!E147)</ns0:f>
        <ns0:v>Full day</ns0:v>
      </ns0:c>
      <ns0:c r="W147" s="0">
        <ns0:f>IF(J147=0,0,J147+IF(U147="PM",1,0))</ns0:f>
        <ns0:v>0</ns0:v>
      </ns0:c>
      <ns0:c r="X147" s="0">
        <ns0:f>IF(T147=0,0,T147-IF(V147="PM",1,0))</ns0:f>
        <ns0:v>0</ns0:v>
      </ns0:c>
      <ns0:c r="Y147" s="0">
        <ns0:f>IF(J147=0,0,J147+IF(U147="AM",1,0))</ns0:f>
        <ns0:v>0</ns0:v>
      </ns0:c>
      <ns0:c r="Z147" s="0">
        <ns0:f>IF(T147=0,0,T147-IF(V147="AM",1,0))</ns0:f>
        <ns0:v>0</ns0:v>
      </ns0:c>
      <ns0:c r="AA147" s="0">
        <ns0:f>IFERROR(IF(AND(J147&gt;0,'_Engine'!C147&gt;0,MID('_Engine'!W147,WEEKDAY(J147,2),1)="W",COUNTIF(Settings!$F$18:$F$67,J147)=0),1,0),0)</ns0:f>
        <ns0:v>0</ns0:v>
      </ns0:c>
      <ns0:c r="AB147" s="0">
        <ns0:f>IFERROR(IF(AND(T147&gt;0,'_Engine'!C147&gt;0,MID('_Engine'!W147,WEEKDAY(T147,2),1)="W",COUNTIF(Settings!$F$18:$F$67,T147)=0),1,0),0)</ns0:f>
        <ns0:v>0</ns0:v>
      </ns0:c>
      <ns0:c r="AC147" s="0">
        <ns0:f>IF(AND(J147&gt;0,T147&gt;0,W147&lt;=X147),1,0)</ns0:f>
        <ns0:v>0</ns0:v>
      </ns0:c>
      <ns0:c r="AD147" s="0">
        <ns0:f>IF(AND(J147&gt;0,T147&gt;0,Y147&lt;=Z147),1,0)</ns0:f>
        <ns0:v>0</ns0:v>
      </ns0:c>
    </ns0:row>
    <ns0:row r="148">
      <ns0:c r="A148" s="0">
        <ns0:f>IFERROR(IF(ISNUMBER(Bookings!B148),"",TRIM(Bookings!B148&amp;"")),"")</ns0:f>
      </ns0:c>
      <ns0:c r="B148" s="0">
        <ns0:f>IFERROR(SUBSTITUTE(SUBSTITUTE(A148,"/","."),"-","."),"")</ns0:f>
      </ns0:c>
      <ns0:c r="C148" s="0">
        <ns0:f>IFERROR(LEFT(B148,FIND(".",B148)-1),"")</ns0:f>
      </ns0:c>
      <ns0:c r="D148" s="0">
        <ns0:f>IFERROR(MID(B148,FIND(".",B148)+1,FIND(".",B148,FIND(".",B148)+1)-FIND(".",B148)-1),"")</ns0:f>
      </ns0:c>
      <ns0:c r="E148" s="0">
        <ns0:f>IFERROR(MID(B148,FIND(".",B148,FIND(".",B148)+1)+1,99),"")</ns0:f>
        <ns0:v>99</ns0:v>
      </ns0:c>
      <ns0:c r="F148" s="0">
        <ns0:f>IFERROR(IF(FIND(".",B148)=5,--C148,--E148),0)</ns0:f>
        <ns0:v>0</ns0:v>
      </ns0:c>
      <ns0:c r="G148" s="0">
        <ns0:f>IFERROR(--D148,0)</ns0:f>
        <ns0:v>0</ns0:v>
      </ns0:c>
      <ns0:c r="H148" s="0">
        <ns0:f>IFERROR(IF(FIND(".",B148)=5,--E148,--C148),0)</ns0:f>
        <ns0:v>0</ns0:v>
      </ns0:c>
      <ns0:c r="I148" s="0">
        <ns0:f>IFERROR(IF(AND(F148&gt;=2000,F148&lt;=2100,G148&gt;=1,G148&lt;=12,H148&gt;=1,H148&lt;=31),DATE(F148,G148,H148),0),0)</ns0:f>
        <ns0:v>0</ns0:v>
      </ns0:c>
      <ns0:c r="J148" s="0">
        <ns0:f>IFERROR(IF(ISNUMBER(Bookings!B148),IF(AND(Bookings!B148=INT(Bookings!B148),Bookings!B148&gt;=DATE(2000,1,1),Bookings!B148&lt;=DATE(2100,12,31)),Bookings!B148,0),IF(AND(A148&lt;&gt;"",LEN("x"&amp;B148)-LEN(SUBSTITUTE("x"&amp;B148,".",""))=2,OR(1&gt;LEN(B148),MID(B148,1,1)=".",ISNUMBER(FIND("x"&amp;MID(B148,1,1),"x0x1x2x3x4x5x6x7x8x9"))),OR(2&gt;LEN(B148),MID(B148,2,1)=".",ISNUMBER(FIND("x"&amp;MID(B148,2,1),"x0x1x2x3x4x5x6x7x8x9"))),OR(3&gt;LEN(B148),MID(B148,3,1)=".",ISNUMBER(FIND("x"&amp;MID(B148,3,1),"x0x1x2x3x4x5x6x7x8x9"))),OR(4&gt;LEN(B148),MID(B148,4,1)=".",ISNUMBER(FIND("x"&amp;MID(B148,4,1),"x0x1x2x3x4x5x6x7x8x9"))),OR(5&gt;LEN(B148),MID(B148,5,1)=".",ISNUMBER(FIND("x"&amp;MID(B148,5,1),"x0x1x2x3x4x5x6x7x8x9"))),OR(6&gt;LEN(B148),MID(B148,6,1)=".",ISNUMBER(FIND("x"&amp;MID(B148,6,1),"x0x1x2x3x4x5x6x7x8x9"))),OR(7&gt;LEN(B148),MID(B148,7,1)=".",ISNUMBER(FIND("x"&amp;MID(B148,7,1),"x0x1x2x3x4x5x6x7x8x9"))),OR(8&gt;LEN(B148),MID(B148,8,1)=".",ISNUMBER(FIND("x"&amp;MID(B148,8,1),"x0x1x2x3x4x5x6x7x8x9"))),OR(9&gt;LEN(B148),MID(B148,9,1)=".",ISNUMBER(FIND("x"&amp;MID(B148,9,1),"x0x1x2x3x4x5x6x7x8x9"))),OR(10&gt;LEN(B148),MID(B148,10,1)=".",ISNUMBER(FIND("x"&amp;MID(B148,10,1),"x0x1x2x3x4x5x6x7x8x9"))),OR(AND(FIND(".",B148)=5,LEN(B148)-FIND(".",B148,FIND(".",B148)+1)&gt;=1,LEN(B148)-FIND(".",B148,FIND(".",B148)+1)&lt;=2),AND(LEN(B148)-FIND(".",B148,FIND(".",B148)+1)=4,FIND(".",B148)&gt;=2,FIND(".",B148)&lt;=3)),FIND(".",B148,FIND(".",B148)+1)-FIND(".",B148)&gt;=2,FIND(".",B148,FIND(".",B148)+1)-FIND(".",B148)&lt;=3,F148&gt;=2000,F148&lt;=2100,YEAR(I148)=F148,MONTH(I148)=G148,DAY(I148)=H148),I148,0)),0)</ns0:f>
        <ns0:v>0</ns0:v>
      </ns0:c>
      <ns0:c r="K148" s="0">
        <ns0:f>IFERROR(IF(ISNUMBER(Bookings!D148),"",TRIM(Bookings!D148&amp;"")),"")</ns0:f>
      </ns0:c>
      <ns0:c r="L148" s="0">
        <ns0:f>IFERROR(SUBSTITUTE(SUBSTITUTE(K148,"/","."),"-","."),"")</ns0:f>
      </ns0:c>
      <ns0:c r="M148" s="0">
        <ns0:f>IFERROR(LEFT(L148,FIND(".",L148)-1),"")</ns0:f>
      </ns0:c>
      <ns0:c r="N148" s="0">
        <ns0:f>IFERROR(MID(L148,FIND(".",L148)+1,FIND(".",L148,FIND(".",L148)+1)-FIND(".",L148)-1),"")</ns0:f>
      </ns0:c>
      <ns0:c r="O148" s="0">
        <ns0:f>IFERROR(MID(L148,FIND(".",L148,FIND(".",L148)+1)+1,99),"")</ns0:f>
        <ns0:v>99</ns0:v>
      </ns0:c>
      <ns0:c r="P148" s="0">
        <ns0:f>IFERROR(IF(FIND(".",L148)=5,--M148,--O148),0)</ns0:f>
        <ns0:v>0</ns0:v>
      </ns0:c>
      <ns0:c r="Q148" s="0">
        <ns0:f>IFERROR(--N148,0)</ns0:f>
        <ns0:v>0</ns0:v>
      </ns0:c>
      <ns0:c r="R148" s="0">
        <ns0:f>IFERROR(IF(FIND(".",L148)=5,--O148,--M148),0)</ns0:f>
        <ns0:v>0</ns0:v>
      </ns0:c>
      <ns0:c r="S148" s="0">
        <ns0:f>IFERROR(IF(AND(P148&gt;=2000,P148&lt;=2100,Q148&gt;=1,Q148&lt;=12,R148&gt;=1,R148&lt;=31),DATE(P148,Q148,R148),0),0)</ns0:f>
        <ns0:v>0</ns0:v>
      </ns0:c>
      <ns0:c r="T148" s="0">
        <ns0:f>IFERROR(IF(ISNUMBER(Bookings!D148),IF(AND(Bookings!D148=INT(Bookings!D148),Bookings!D148&gt;=DATE(2000,1,1),Bookings!D148&lt;=DATE(2100,12,31)),Bookings!D148,0),IF(AND(K148&lt;&gt;"",LEN("x"&amp;L148)-LEN(SUBSTITUTE("x"&amp;L148,".",""))=2,OR(1&gt;LEN(L148),MID(L148,1,1)=".",ISNUMBER(FIND("x"&amp;MID(L148,1,1),"x0x1x2x3x4x5x6x7x8x9"))),OR(2&gt;LEN(L148),MID(L148,2,1)=".",ISNUMBER(FIND("x"&amp;MID(L148,2,1),"x0x1x2x3x4x5x6x7x8x9"))),OR(3&gt;LEN(L148),MID(L148,3,1)=".",ISNUMBER(FIND("x"&amp;MID(L148,3,1),"x0x1x2x3x4x5x6x7x8x9"))),OR(4&gt;LEN(L148),MID(L148,4,1)=".",ISNUMBER(FIND("x"&amp;MID(L148,4,1),"x0x1x2x3x4x5x6x7x8x9"))),OR(5&gt;LEN(L148),MID(L148,5,1)=".",ISNUMBER(FIND("x"&amp;MID(L148,5,1),"x0x1x2x3x4x5x6x7x8x9"))),OR(6&gt;LEN(L148),MID(L148,6,1)=".",ISNUMBER(FIND("x"&amp;MID(L148,6,1),"x0x1x2x3x4x5x6x7x8x9"))),OR(7&gt;LEN(L148),MID(L148,7,1)=".",ISNUMBER(FIND("x"&amp;MID(L148,7,1),"x0x1x2x3x4x5x6x7x8x9"))),OR(8&gt;LEN(L148),MID(L148,8,1)=".",ISNUMBER(FIND("x"&amp;MID(L148,8,1),"x0x1x2x3x4x5x6x7x8x9"))),OR(9&gt;LEN(L148),MID(L148,9,1)=".",ISNUMBER(FIND("x"&amp;MID(L148,9,1),"x0x1x2x3x4x5x6x7x8x9"))),OR(10&gt;LEN(L148),MID(L148,10,1)=".",ISNUMBER(FIND("x"&amp;MID(L148,10,1),"x0x1x2x3x4x5x6x7x8x9"))),OR(AND(FIND(".",L148)=5,LEN(L148)-FIND(".",L148,FIND(".",L148)+1)&gt;=1,LEN(L148)-FIND(".",L148,FIND(".",L148)+1)&lt;=2),AND(LEN(L148)-FIND(".",L148,FIND(".",L148)+1)=4,FIND(".",L148)&gt;=2,FIND(".",L148)&lt;=3)),FIND(".",L148,FIND(".",L148)+1)-FIND(".",L148)&gt;=2,FIND(".",L148,FIND(".",L148)+1)-FIND(".",L148)&lt;=3,P148&gt;=2000,P148&lt;=2100,YEAR(S148)=P148,MONTH(S148)=Q148,DAY(S148)=R148),S148,0)),0)</ns0:f>
        <ns0:v>0</ns0:v>
      </ns0:c>
      <ns0:c r="U148" s="0" t="str">
        <ns0:f>IF(Bookings!C148="","Full day",Bookings!C148)</ns0:f>
        <ns0:v>Full day</ns0:v>
      </ns0:c>
      <ns0:c r="V148" s="0" t="str">
        <ns0:f>IF(Bookings!E148="","Full day",Bookings!E148)</ns0:f>
        <ns0:v>Full day</ns0:v>
      </ns0:c>
      <ns0:c r="W148" s="0">
        <ns0:f>IF(J148=0,0,J148+IF(U148="PM",1,0))</ns0:f>
        <ns0:v>0</ns0:v>
      </ns0:c>
      <ns0:c r="X148" s="0">
        <ns0:f>IF(T148=0,0,T148-IF(V148="PM",1,0))</ns0:f>
        <ns0:v>0</ns0:v>
      </ns0:c>
      <ns0:c r="Y148" s="0">
        <ns0:f>IF(J148=0,0,J148+IF(U148="AM",1,0))</ns0:f>
        <ns0:v>0</ns0:v>
      </ns0:c>
      <ns0:c r="Z148" s="0">
        <ns0:f>IF(T148=0,0,T148-IF(V148="AM",1,0))</ns0:f>
        <ns0:v>0</ns0:v>
      </ns0:c>
      <ns0:c r="AA148" s="0">
        <ns0:f>IFERROR(IF(AND(J148&gt;0,'_Engine'!C148&gt;0,MID('_Engine'!W148,WEEKDAY(J148,2),1)="W",COUNTIF(Settings!$F$18:$F$67,J148)=0),1,0),0)</ns0:f>
        <ns0:v>0</ns0:v>
      </ns0:c>
      <ns0:c r="AB148" s="0">
        <ns0:f>IFERROR(IF(AND(T148&gt;0,'_Engine'!C148&gt;0,MID('_Engine'!W148,WEEKDAY(T148,2),1)="W",COUNTIF(Settings!$F$18:$F$67,T148)=0),1,0),0)</ns0:f>
        <ns0:v>0</ns0:v>
      </ns0:c>
      <ns0:c r="AC148" s="0">
        <ns0:f>IF(AND(J148&gt;0,T148&gt;0,W148&lt;=X148),1,0)</ns0:f>
        <ns0:v>0</ns0:v>
      </ns0:c>
      <ns0:c r="AD148" s="0">
        <ns0:f>IF(AND(J148&gt;0,T148&gt;0,Y148&lt;=Z148),1,0)</ns0:f>
        <ns0:v>0</ns0:v>
      </ns0:c>
    </ns0:row>
    <ns0:row r="149">
      <ns0:c r="A149" s="0">
        <ns0:f>IFERROR(IF(ISNUMBER(Bookings!B149),"",TRIM(Bookings!B149&amp;"")),"")</ns0:f>
      </ns0:c>
      <ns0:c r="B149" s="0">
        <ns0:f>IFERROR(SUBSTITUTE(SUBSTITUTE(A149,"/","."),"-","."),"")</ns0:f>
      </ns0:c>
      <ns0:c r="C149" s="0">
        <ns0:f>IFERROR(LEFT(B149,FIND(".",B149)-1),"")</ns0:f>
      </ns0:c>
      <ns0:c r="D149" s="0">
        <ns0:f>IFERROR(MID(B149,FIND(".",B149)+1,FIND(".",B149,FIND(".",B149)+1)-FIND(".",B149)-1),"")</ns0:f>
      </ns0:c>
      <ns0:c r="E149" s="0">
        <ns0:f>IFERROR(MID(B149,FIND(".",B149,FIND(".",B149)+1)+1,99),"")</ns0:f>
        <ns0:v>99</ns0:v>
      </ns0:c>
      <ns0:c r="F149" s="0">
        <ns0:f>IFERROR(IF(FIND(".",B149)=5,--C149,--E149),0)</ns0:f>
        <ns0:v>0</ns0:v>
      </ns0:c>
      <ns0:c r="G149" s="0">
        <ns0:f>IFERROR(--D149,0)</ns0:f>
        <ns0:v>0</ns0:v>
      </ns0:c>
      <ns0:c r="H149" s="0">
        <ns0:f>IFERROR(IF(FIND(".",B149)=5,--E149,--C149),0)</ns0:f>
        <ns0:v>0</ns0:v>
      </ns0:c>
      <ns0:c r="I149" s="0">
        <ns0:f>IFERROR(IF(AND(F149&gt;=2000,F149&lt;=2100,G149&gt;=1,G149&lt;=12,H149&gt;=1,H149&lt;=31),DATE(F149,G149,H149),0),0)</ns0:f>
        <ns0:v>0</ns0:v>
      </ns0:c>
      <ns0:c r="J149" s="0">
        <ns0:f>IFERROR(IF(ISNUMBER(Bookings!B149),IF(AND(Bookings!B149=INT(Bookings!B149),Bookings!B149&gt;=DATE(2000,1,1),Bookings!B149&lt;=DATE(2100,12,31)),Bookings!B149,0),IF(AND(A149&lt;&gt;"",LEN("x"&amp;B149)-LEN(SUBSTITUTE("x"&amp;B149,".",""))=2,OR(1&gt;LEN(B149),MID(B149,1,1)=".",ISNUMBER(FIND("x"&amp;MID(B149,1,1),"x0x1x2x3x4x5x6x7x8x9"))),OR(2&gt;LEN(B149),MID(B149,2,1)=".",ISNUMBER(FIND("x"&amp;MID(B149,2,1),"x0x1x2x3x4x5x6x7x8x9"))),OR(3&gt;LEN(B149),MID(B149,3,1)=".",ISNUMBER(FIND("x"&amp;MID(B149,3,1),"x0x1x2x3x4x5x6x7x8x9"))),OR(4&gt;LEN(B149),MID(B149,4,1)=".",ISNUMBER(FIND("x"&amp;MID(B149,4,1),"x0x1x2x3x4x5x6x7x8x9"))),OR(5&gt;LEN(B149),MID(B149,5,1)=".",ISNUMBER(FIND("x"&amp;MID(B149,5,1),"x0x1x2x3x4x5x6x7x8x9"))),OR(6&gt;LEN(B149),MID(B149,6,1)=".",ISNUMBER(FIND("x"&amp;MID(B149,6,1),"x0x1x2x3x4x5x6x7x8x9"))),OR(7&gt;LEN(B149),MID(B149,7,1)=".",ISNUMBER(FIND("x"&amp;MID(B149,7,1),"x0x1x2x3x4x5x6x7x8x9"))),OR(8&gt;LEN(B149),MID(B149,8,1)=".",ISNUMBER(FIND("x"&amp;MID(B149,8,1),"x0x1x2x3x4x5x6x7x8x9"))),OR(9&gt;LEN(B149),MID(B149,9,1)=".",ISNUMBER(FIND("x"&amp;MID(B149,9,1),"x0x1x2x3x4x5x6x7x8x9"))),OR(10&gt;LEN(B149),MID(B149,10,1)=".",ISNUMBER(FIND("x"&amp;MID(B149,10,1),"x0x1x2x3x4x5x6x7x8x9"))),OR(AND(FIND(".",B149)=5,LEN(B149)-FIND(".",B149,FIND(".",B149)+1)&gt;=1,LEN(B149)-FIND(".",B149,FIND(".",B149)+1)&lt;=2),AND(LEN(B149)-FIND(".",B149,FIND(".",B149)+1)=4,FIND(".",B149)&gt;=2,FIND(".",B149)&lt;=3)),FIND(".",B149,FIND(".",B149)+1)-FIND(".",B149)&gt;=2,FIND(".",B149,FIND(".",B149)+1)-FIND(".",B149)&lt;=3,F149&gt;=2000,F149&lt;=2100,YEAR(I149)=F149,MONTH(I149)=G149,DAY(I149)=H149),I149,0)),0)</ns0:f>
        <ns0:v>0</ns0:v>
      </ns0:c>
      <ns0:c r="K149" s="0">
        <ns0:f>IFERROR(IF(ISNUMBER(Bookings!D149),"",TRIM(Bookings!D149&amp;"")),"")</ns0:f>
      </ns0:c>
      <ns0:c r="L149" s="0">
        <ns0:f>IFERROR(SUBSTITUTE(SUBSTITUTE(K149,"/","."),"-","."),"")</ns0:f>
      </ns0:c>
      <ns0:c r="M149" s="0">
        <ns0:f>IFERROR(LEFT(L149,FIND(".",L149)-1),"")</ns0:f>
      </ns0:c>
      <ns0:c r="N149" s="0">
        <ns0:f>IFERROR(MID(L149,FIND(".",L149)+1,FIND(".",L149,FIND(".",L149)+1)-FIND(".",L149)-1),"")</ns0:f>
      </ns0:c>
      <ns0:c r="O149" s="0">
        <ns0:f>IFERROR(MID(L149,FIND(".",L149,FIND(".",L149)+1)+1,99),"")</ns0:f>
        <ns0:v>99</ns0:v>
      </ns0:c>
      <ns0:c r="P149" s="0">
        <ns0:f>IFERROR(IF(FIND(".",L149)=5,--M149,--O149),0)</ns0:f>
        <ns0:v>0</ns0:v>
      </ns0:c>
      <ns0:c r="Q149" s="0">
        <ns0:f>IFERROR(--N149,0)</ns0:f>
        <ns0:v>0</ns0:v>
      </ns0:c>
      <ns0:c r="R149" s="0">
        <ns0:f>IFERROR(IF(FIND(".",L149)=5,--O149,--M149),0)</ns0:f>
        <ns0:v>0</ns0:v>
      </ns0:c>
      <ns0:c r="S149" s="0">
        <ns0:f>IFERROR(IF(AND(P149&gt;=2000,P149&lt;=2100,Q149&gt;=1,Q149&lt;=12,R149&gt;=1,R149&lt;=31),DATE(P149,Q149,R149),0),0)</ns0:f>
        <ns0:v>0</ns0:v>
      </ns0:c>
      <ns0:c r="T149" s="0">
        <ns0:f>IFERROR(IF(ISNUMBER(Bookings!D149),IF(AND(Bookings!D149=INT(Bookings!D149),Bookings!D149&gt;=DATE(2000,1,1),Bookings!D149&lt;=DATE(2100,12,31)),Bookings!D149,0),IF(AND(K149&lt;&gt;"",LEN("x"&amp;L149)-LEN(SUBSTITUTE("x"&amp;L149,".",""))=2,OR(1&gt;LEN(L149),MID(L149,1,1)=".",ISNUMBER(FIND("x"&amp;MID(L149,1,1),"x0x1x2x3x4x5x6x7x8x9"))),OR(2&gt;LEN(L149),MID(L149,2,1)=".",ISNUMBER(FIND("x"&amp;MID(L149,2,1),"x0x1x2x3x4x5x6x7x8x9"))),OR(3&gt;LEN(L149),MID(L149,3,1)=".",ISNUMBER(FIND("x"&amp;MID(L149,3,1),"x0x1x2x3x4x5x6x7x8x9"))),OR(4&gt;LEN(L149),MID(L149,4,1)=".",ISNUMBER(FIND("x"&amp;MID(L149,4,1),"x0x1x2x3x4x5x6x7x8x9"))),OR(5&gt;LEN(L149),MID(L149,5,1)=".",ISNUMBER(FIND("x"&amp;MID(L149,5,1),"x0x1x2x3x4x5x6x7x8x9"))),OR(6&gt;LEN(L149),MID(L149,6,1)=".",ISNUMBER(FIND("x"&amp;MID(L149,6,1),"x0x1x2x3x4x5x6x7x8x9"))),OR(7&gt;LEN(L149),MID(L149,7,1)=".",ISNUMBER(FIND("x"&amp;MID(L149,7,1),"x0x1x2x3x4x5x6x7x8x9"))),OR(8&gt;LEN(L149),MID(L149,8,1)=".",ISNUMBER(FIND("x"&amp;MID(L149,8,1),"x0x1x2x3x4x5x6x7x8x9"))),OR(9&gt;LEN(L149),MID(L149,9,1)=".",ISNUMBER(FIND("x"&amp;MID(L149,9,1),"x0x1x2x3x4x5x6x7x8x9"))),OR(10&gt;LEN(L149),MID(L149,10,1)=".",ISNUMBER(FIND("x"&amp;MID(L149,10,1),"x0x1x2x3x4x5x6x7x8x9"))),OR(AND(FIND(".",L149)=5,LEN(L149)-FIND(".",L149,FIND(".",L149)+1)&gt;=1,LEN(L149)-FIND(".",L149,FIND(".",L149)+1)&lt;=2),AND(LEN(L149)-FIND(".",L149,FIND(".",L149)+1)=4,FIND(".",L149)&gt;=2,FIND(".",L149)&lt;=3)),FIND(".",L149,FIND(".",L149)+1)-FIND(".",L149)&gt;=2,FIND(".",L149,FIND(".",L149)+1)-FIND(".",L149)&lt;=3,P149&gt;=2000,P149&lt;=2100,YEAR(S149)=P149,MONTH(S149)=Q149,DAY(S149)=R149),S149,0)),0)</ns0:f>
        <ns0:v>0</ns0:v>
      </ns0:c>
      <ns0:c r="U149" s="0" t="str">
        <ns0:f>IF(Bookings!C149="","Full day",Bookings!C149)</ns0:f>
        <ns0:v>Full day</ns0:v>
      </ns0:c>
      <ns0:c r="V149" s="0" t="str">
        <ns0:f>IF(Bookings!E149="","Full day",Bookings!E149)</ns0:f>
        <ns0:v>Full day</ns0:v>
      </ns0:c>
      <ns0:c r="W149" s="0">
        <ns0:f>IF(J149=0,0,J149+IF(U149="PM",1,0))</ns0:f>
        <ns0:v>0</ns0:v>
      </ns0:c>
      <ns0:c r="X149" s="0">
        <ns0:f>IF(T149=0,0,T149-IF(V149="PM",1,0))</ns0:f>
        <ns0:v>0</ns0:v>
      </ns0:c>
      <ns0:c r="Y149" s="0">
        <ns0:f>IF(J149=0,0,J149+IF(U149="AM",1,0))</ns0:f>
        <ns0:v>0</ns0:v>
      </ns0:c>
      <ns0:c r="Z149" s="0">
        <ns0:f>IF(T149=0,0,T149-IF(V149="AM",1,0))</ns0:f>
        <ns0:v>0</ns0:v>
      </ns0:c>
      <ns0:c r="AA149" s="0">
        <ns0:f>IFERROR(IF(AND(J149&gt;0,'_Engine'!C149&gt;0,MID('_Engine'!W149,WEEKDAY(J149,2),1)="W",COUNTIF(Settings!$F$18:$F$67,J149)=0),1,0),0)</ns0:f>
        <ns0:v>0</ns0:v>
      </ns0:c>
      <ns0:c r="AB149" s="0">
        <ns0:f>IFERROR(IF(AND(T149&gt;0,'_Engine'!C149&gt;0,MID('_Engine'!W149,WEEKDAY(T149,2),1)="W",COUNTIF(Settings!$F$18:$F$67,T149)=0),1,0),0)</ns0:f>
        <ns0:v>0</ns0:v>
      </ns0:c>
      <ns0:c r="AC149" s="0">
        <ns0:f>IF(AND(J149&gt;0,T149&gt;0,W149&lt;=X149),1,0)</ns0:f>
        <ns0:v>0</ns0:v>
      </ns0:c>
      <ns0:c r="AD149" s="0">
        <ns0:f>IF(AND(J149&gt;0,T149&gt;0,Y149&lt;=Z149),1,0)</ns0:f>
        <ns0:v>0</ns0:v>
      </ns0:c>
    </ns0:row>
    <ns0:row r="150">
      <ns0:c r="A150" s="0">
        <ns0:f>IFERROR(IF(ISNUMBER(Bookings!B150),"",TRIM(Bookings!B150&amp;"")),"")</ns0:f>
      </ns0:c>
      <ns0:c r="B150" s="0">
        <ns0:f>IFERROR(SUBSTITUTE(SUBSTITUTE(A150,"/","."),"-","."),"")</ns0:f>
      </ns0:c>
      <ns0:c r="C150" s="0">
        <ns0:f>IFERROR(LEFT(B150,FIND(".",B150)-1),"")</ns0:f>
      </ns0:c>
      <ns0:c r="D150" s="0">
        <ns0:f>IFERROR(MID(B150,FIND(".",B150)+1,FIND(".",B150,FIND(".",B150)+1)-FIND(".",B150)-1),"")</ns0:f>
      </ns0:c>
      <ns0:c r="E150" s="0">
        <ns0:f>IFERROR(MID(B150,FIND(".",B150,FIND(".",B150)+1)+1,99),"")</ns0:f>
        <ns0:v>99</ns0:v>
      </ns0:c>
      <ns0:c r="F150" s="0">
        <ns0:f>IFERROR(IF(FIND(".",B150)=5,--C150,--E150),0)</ns0:f>
        <ns0:v>0</ns0:v>
      </ns0:c>
      <ns0:c r="G150" s="0">
        <ns0:f>IFERROR(--D150,0)</ns0:f>
        <ns0:v>0</ns0:v>
      </ns0:c>
      <ns0:c r="H150" s="0">
        <ns0:f>IFERROR(IF(FIND(".",B150)=5,--E150,--C150),0)</ns0:f>
        <ns0:v>0</ns0:v>
      </ns0:c>
      <ns0:c r="I150" s="0">
        <ns0:f>IFERROR(IF(AND(F150&gt;=2000,F150&lt;=2100,G150&gt;=1,G150&lt;=12,H150&gt;=1,H150&lt;=31),DATE(F150,G150,H150),0),0)</ns0:f>
        <ns0:v>0</ns0:v>
      </ns0:c>
      <ns0:c r="J150" s="0">
        <ns0:f>IFERROR(IF(ISNUMBER(Bookings!B150),IF(AND(Bookings!B150=INT(Bookings!B150),Bookings!B150&gt;=DATE(2000,1,1),Bookings!B150&lt;=DATE(2100,12,31)),Bookings!B150,0),IF(AND(A150&lt;&gt;"",LEN("x"&amp;B150)-LEN(SUBSTITUTE("x"&amp;B150,".",""))=2,OR(1&gt;LEN(B150),MID(B150,1,1)=".",ISNUMBER(FIND("x"&amp;MID(B150,1,1),"x0x1x2x3x4x5x6x7x8x9"))),OR(2&gt;LEN(B150),MID(B150,2,1)=".",ISNUMBER(FIND("x"&amp;MID(B150,2,1),"x0x1x2x3x4x5x6x7x8x9"))),OR(3&gt;LEN(B150),MID(B150,3,1)=".",ISNUMBER(FIND("x"&amp;MID(B150,3,1),"x0x1x2x3x4x5x6x7x8x9"))),OR(4&gt;LEN(B150),MID(B150,4,1)=".",ISNUMBER(FIND("x"&amp;MID(B150,4,1),"x0x1x2x3x4x5x6x7x8x9"))),OR(5&gt;LEN(B150),MID(B150,5,1)=".",ISNUMBER(FIND("x"&amp;MID(B150,5,1),"x0x1x2x3x4x5x6x7x8x9"))),OR(6&gt;LEN(B150),MID(B150,6,1)=".",ISNUMBER(FIND("x"&amp;MID(B150,6,1),"x0x1x2x3x4x5x6x7x8x9"))),OR(7&gt;LEN(B150),MID(B150,7,1)=".",ISNUMBER(FIND("x"&amp;MID(B150,7,1),"x0x1x2x3x4x5x6x7x8x9"))),OR(8&gt;LEN(B150),MID(B150,8,1)=".",ISNUMBER(FIND("x"&amp;MID(B150,8,1),"x0x1x2x3x4x5x6x7x8x9"))),OR(9&gt;LEN(B150),MID(B150,9,1)=".",ISNUMBER(FIND("x"&amp;MID(B150,9,1),"x0x1x2x3x4x5x6x7x8x9"))),OR(10&gt;LEN(B150),MID(B150,10,1)=".",ISNUMBER(FIND("x"&amp;MID(B150,10,1),"x0x1x2x3x4x5x6x7x8x9"))),OR(AND(FIND(".",B150)=5,LEN(B150)-FIND(".",B150,FIND(".",B150)+1)&gt;=1,LEN(B150)-FIND(".",B150,FIND(".",B150)+1)&lt;=2),AND(LEN(B150)-FIND(".",B150,FIND(".",B150)+1)=4,FIND(".",B150)&gt;=2,FIND(".",B150)&lt;=3)),FIND(".",B150,FIND(".",B150)+1)-FIND(".",B150)&gt;=2,FIND(".",B150,FIND(".",B150)+1)-FIND(".",B150)&lt;=3,F150&gt;=2000,F150&lt;=2100,YEAR(I150)=F150,MONTH(I150)=G150,DAY(I150)=H150),I150,0)),0)</ns0:f>
        <ns0:v>0</ns0:v>
      </ns0:c>
      <ns0:c r="K150" s="0">
        <ns0:f>IFERROR(IF(ISNUMBER(Bookings!D150),"",TRIM(Bookings!D150&amp;"")),"")</ns0:f>
      </ns0:c>
      <ns0:c r="L150" s="0">
        <ns0:f>IFERROR(SUBSTITUTE(SUBSTITUTE(K150,"/","."),"-","."),"")</ns0:f>
      </ns0:c>
      <ns0:c r="M150" s="0">
        <ns0:f>IFERROR(LEFT(L150,FIND(".",L150)-1),"")</ns0:f>
      </ns0:c>
      <ns0:c r="N150" s="0">
        <ns0:f>IFERROR(MID(L150,FIND(".",L150)+1,FIND(".",L150,FIND(".",L150)+1)-FIND(".",L150)-1),"")</ns0:f>
      </ns0:c>
      <ns0:c r="O150" s="0">
        <ns0:f>IFERROR(MID(L150,FIND(".",L150,FIND(".",L150)+1)+1,99),"")</ns0:f>
        <ns0:v>99</ns0:v>
      </ns0:c>
      <ns0:c r="P150" s="0">
        <ns0:f>IFERROR(IF(FIND(".",L150)=5,--M150,--O150),0)</ns0:f>
        <ns0:v>0</ns0:v>
      </ns0:c>
      <ns0:c r="Q150" s="0">
        <ns0:f>IFERROR(--N150,0)</ns0:f>
        <ns0:v>0</ns0:v>
      </ns0:c>
      <ns0:c r="R150" s="0">
        <ns0:f>IFERROR(IF(FIND(".",L150)=5,--O150,--M150),0)</ns0:f>
        <ns0:v>0</ns0:v>
      </ns0:c>
      <ns0:c r="S150" s="0">
        <ns0:f>IFERROR(IF(AND(P150&gt;=2000,P150&lt;=2100,Q150&gt;=1,Q150&lt;=12,R150&gt;=1,R150&lt;=31),DATE(P150,Q150,R150),0),0)</ns0:f>
        <ns0:v>0</ns0:v>
      </ns0:c>
      <ns0:c r="T150" s="0">
        <ns0:f>IFERROR(IF(ISNUMBER(Bookings!D150),IF(AND(Bookings!D150=INT(Bookings!D150),Bookings!D150&gt;=DATE(2000,1,1),Bookings!D150&lt;=DATE(2100,12,31)),Bookings!D150,0),IF(AND(K150&lt;&gt;"",LEN("x"&amp;L150)-LEN(SUBSTITUTE("x"&amp;L150,".",""))=2,OR(1&gt;LEN(L150),MID(L150,1,1)=".",ISNUMBER(FIND("x"&amp;MID(L150,1,1),"x0x1x2x3x4x5x6x7x8x9"))),OR(2&gt;LEN(L150),MID(L150,2,1)=".",ISNUMBER(FIND("x"&amp;MID(L150,2,1),"x0x1x2x3x4x5x6x7x8x9"))),OR(3&gt;LEN(L150),MID(L150,3,1)=".",ISNUMBER(FIND("x"&amp;MID(L150,3,1),"x0x1x2x3x4x5x6x7x8x9"))),OR(4&gt;LEN(L150),MID(L150,4,1)=".",ISNUMBER(FIND("x"&amp;MID(L150,4,1),"x0x1x2x3x4x5x6x7x8x9"))),OR(5&gt;LEN(L150),MID(L150,5,1)=".",ISNUMBER(FIND("x"&amp;MID(L150,5,1),"x0x1x2x3x4x5x6x7x8x9"))),OR(6&gt;LEN(L150),MID(L150,6,1)=".",ISNUMBER(FIND("x"&amp;MID(L150,6,1),"x0x1x2x3x4x5x6x7x8x9"))),OR(7&gt;LEN(L150),MID(L150,7,1)=".",ISNUMBER(FIND("x"&amp;MID(L150,7,1),"x0x1x2x3x4x5x6x7x8x9"))),OR(8&gt;LEN(L150),MID(L150,8,1)=".",ISNUMBER(FIND("x"&amp;MID(L150,8,1),"x0x1x2x3x4x5x6x7x8x9"))),OR(9&gt;LEN(L150),MID(L150,9,1)=".",ISNUMBER(FIND("x"&amp;MID(L150,9,1),"x0x1x2x3x4x5x6x7x8x9"))),OR(10&gt;LEN(L150),MID(L150,10,1)=".",ISNUMBER(FIND("x"&amp;MID(L150,10,1),"x0x1x2x3x4x5x6x7x8x9"))),OR(AND(FIND(".",L150)=5,LEN(L150)-FIND(".",L150,FIND(".",L150)+1)&gt;=1,LEN(L150)-FIND(".",L150,FIND(".",L150)+1)&lt;=2),AND(LEN(L150)-FIND(".",L150,FIND(".",L150)+1)=4,FIND(".",L150)&gt;=2,FIND(".",L150)&lt;=3)),FIND(".",L150,FIND(".",L150)+1)-FIND(".",L150)&gt;=2,FIND(".",L150,FIND(".",L150)+1)-FIND(".",L150)&lt;=3,P150&gt;=2000,P150&lt;=2100,YEAR(S150)=P150,MONTH(S150)=Q150,DAY(S150)=R150),S150,0)),0)</ns0:f>
        <ns0:v>0</ns0:v>
      </ns0:c>
      <ns0:c r="U150" s="0" t="str">
        <ns0:f>IF(Bookings!C150="","Full day",Bookings!C150)</ns0:f>
        <ns0:v>Full day</ns0:v>
      </ns0:c>
      <ns0:c r="V150" s="0" t="str">
        <ns0:f>IF(Bookings!E150="","Full day",Bookings!E150)</ns0:f>
        <ns0:v>Full day</ns0:v>
      </ns0:c>
      <ns0:c r="W150" s="0">
        <ns0:f>IF(J150=0,0,J150+IF(U150="PM",1,0))</ns0:f>
        <ns0:v>0</ns0:v>
      </ns0:c>
      <ns0:c r="X150" s="0">
        <ns0:f>IF(T150=0,0,T150-IF(V150="PM",1,0))</ns0:f>
        <ns0:v>0</ns0:v>
      </ns0:c>
      <ns0:c r="Y150" s="0">
        <ns0:f>IF(J150=0,0,J150+IF(U150="AM",1,0))</ns0:f>
        <ns0:v>0</ns0:v>
      </ns0:c>
      <ns0:c r="Z150" s="0">
        <ns0:f>IF(T150=0,0,T150-IF(V150="AM",1,0))</ns0:f>
        <ns0:v>0</ns0:v>
      </ns0:c>
      <ns0:c r="AA150" s="0">
        <ns0:f>IFERROR(IF(AND(J150&gt;0,'_Engine'!C150&gt;0,MID('_Engine'!W150,WEEKDAY(J150,2),1)="W",COUNTIF(Settings!$F$18:$F$67,J150)=0),1,0),0)</ns0:f>
        <ns0:v>0</ns0:v>
      </ns0:c>
      <ns0:c r="AB150" s="0">
        <ns0:f>IFERROR(IF(AND(T150&gt;0,'_Engine'!C150&gt;0,MID('_Engine'!W150,WEEKDAY(T150,2),1)="W",COUNTIF(Settings!$F$18:$F$67,T150)=0),1,0),0)</ns0:f>
        <ns0:v>0</ns0:v>
      </ns0:c>
      <ns0:c r="AC150" s="0">
        <ns0:f>IF(AND(J150&gt;0,T150&gt;0,W150&lt;=X150),1,0)</ns0:f>
        <ns0:v>0</ns0:v>
      </ns0:c>
      <ns0:c r="AD150" s="0">
        <ns0:f>IF(AND(J150&gt;0,T150&gt;0,Y150&lt;=Z150),1,0)</ns0:f>
        <ns0:v>0</ns0:v>
      </ns0:c>
    </ns0:row>
    <ns0:row r="151">
      <ns0:c r="A151" s="0">
        <ns0:f>IFERROR(IF(ISNUMBER(Bookings!B151),"",TRIM(Bookings!B151&amp;"")),"")</ns0:f>
      </ns0:c>
      <ns0:c r="B151" s="0">
        <ns0:f>IFERROR(SUBSTITUTE(SUBSTITUTE(A151,"/","."),"-","."),"")</ns0:f>
      </ns0:c>
      <ns0:c r="C151" s="0">
        <ns0:f>IFERROR(LEFT(B151,FIND(".",B151)-1),"")</ns0:f>
      </ns0:c>
      <ns0:c r="D151" s="0">
        <ns0:f>IFERROR(MID(B151,FIND(".",B151)+1,FIND(".",B151,FIND(".",B151)+1)-FIND(".",B151)-1),"")</ns0:f>
      </ns0:c>
      <ns0:c r="E151" s="0">
        <ns0:f>IFERROR(MID(B151,FIND(".",B151,FIND(".",B151)+1)+1,99),"")</ns0:f>
        <ns0:v>99</ns0:v>
      </ns0:c>
      <ns0:c r="F151" s="0">
        <ns0:f>IFERROR(IF(FIND(".",B151)=5,--C151,--E151),0)</ns0:f>
        <ns0:v>0</ns0:v>
      </ns0:c>
      <ns0:c r="G151" s="0">
        <ns0:f>IFERROR(--D151,0)</ns0:f>
        <ns0:v>0</ns0:v>
      </ns0:c>
      <ns0:c r="H151" s="0">
        <ns0:f>IFERROR(IF(FIND(".",B151)=5,--E151,--C151),0)</ns0:f>
        <ns0:v>0</ns0:v>
      </ns0:c>
      <ns0:c r="I151" s="0">
        <ns0:f>IFERROR(IF(AND(F151&gt;=2000,F151&lt;=2100,G151&gt;=1,G151&lt;=12,H151&gt;=1,H151&lt;=31),DATE(F151,G151,H151),0),0)</ns0:f>
        <ns0:v>0</ns0:v>
      </ns0:c>
      <ns0:c r="J151" s="0">
        <ns0:f>IFERROR(IF(ISNUMBER(Bookings!B151),IF(AND(Bookings!B151=INT(Bookings!B151),Bookings!B151&gt;=DATE(2000,1,1),Bookings!B151&lt;=DATE(2100,12,31)),Bookings!B151,0),IF(AND(A151&lt;&gt;"",LEN("x"&amp;B151)-LEN(SUBSTITUTE("x"&amp;B151,".",""))=2,OR(1&gt;LEN(B151),MID(B151,1,1)=".",ISNUMBER(FIND("x"&amp;MID(B151,1,1),"x0x1x2x3x4x5x6x7x8x9"))),OR(2&gt;LEN(B151),MID(B151,2,1)=".",ISNUMBER(FIND("x"&amp;MID(B151,2,1),"x0x1x2x3x4x5x6x7x8x9"))),OR(3&gt;LEN(B151),MID(B151,3,1)=".",ISNUMBER(FIND("x"&amp;MID(B151,3,1),"x0x1x2x3x4x5x6x7x8x9"))),OR(4&gt;LEN(B151),MID(B151,4,1)=".",ISNUMBER(FIND("x"&amp;MID(B151,4,1),"x0x1x2x3x4x5x6x7x8x9"))),OR(5&gt;LEN(B151),MID(B151,5,1)=".",ISNUMBER(FIND("x"&amp;MID(B151,5,1),"x0x1x2x3x4x5x6x7x8x9"))),OR(6&gt;LEN(B151),MID(B151,6,1)=".",ISNUMBER(FIND("x"&amp;MID(B151,6,1),"x0x1x2x3x4x5x6x7x8x9"))),OR(7&gt;LEN(B151),MID(B151,7,1)=".",ISNUMBER(FIND("x"&amp;MID(B151,7,1),"x0x1x2x3x4x5x6x7x8x9"))),OR(8&gt;LEN(B151),MID(B151,8,1)=".",ISNUMBER(FIND("x"&amp;MID(B151,8,1),"x0x1x2x3x4x5x6x7x8x9"))),OR(9&gt;LEN(B151),MID(B151,9,1)=".",ISNUMBER(FIND("x"&amp;MID(B151,9,1),"x0x1x2x3x4x5x6x7x8x9"))),OR(10&gt;LEN(B151),MID(B151,10,1)=".",ISNUMBER(FIND("x"&amp;MID(B151,10,1),"x0x1x2x3x4x5x6x7x8x9"))),OR(AND(FIND(".",B151)=5,LEN(B151)-FIND(".",B151,FIND(".",B151)+1)&gt;=1,LEN(B151)-FIND(".",B151,FIND(".",B151)+1)&lt;=2),AND(LEN(B151)-FIND(".",B151,FIND(".",B151)+1)=4,FIND(".",B151)&gt;=2,FIND(".",B151)&lt;=3)),FIND(".",B151,FIND(".",B151)+1)-FIND(".",B151)&gt;=2,FIND(".",B151,FIND(".",B151)+1)-FIND(".",B151)&lt;=3,F151&gt;=2000,F151&lt;=2100,YEAR(I151)=F151,MONTH(I151)=G151,DAY(I151)=H151),I151,0)),0)</ns0:f>
        <ns0:v>0</ns0:v>
      </ns0:c>
      <ns0:c r="K151" s="0">
        <ns0:f>IFERROR(IF(ISNUMBER(Bookings!D151),"",TRIM(Bookings!D151&amp;"")),"")</ns0:f>
      </ns0:c>
      <ns0:c r="L151" s="0">
        <ns0:f>IFERROR(SUBSTITUTE(SUBSTITUTE(K151,"/","."),"-","."),"")</ns0:f>
      </ns0:c>
      <ns0:c r="M151" s="0">
        <ns0:f>IFERROR(LEFT(L151,FIND(".",L151)-1),"")</ns0:f>
      </ns0:c>
      <ns0:c r="N151" s="0">
        <ns0:f>IFERROR(MID(L151,FIND(".",L151)+1,FIND(".",L151,FIND(".",L151)+1)-FIND(".",L151)-1),"")</ns0:f>
      </ns0:c>
      <ns0:c r="O151" s="0">
        <ns0:f>IFERROR(MID(L151,FIND(".",L151,FIND(".",L151)+1)+1,99),"")</ns0:f>
        <ns0:v>99</ns0:v>
      </ns0:c>
      <ns0:c r="P151" s="0">
        <ns0:f>IFERROR(IF(FIND(".",L151)=5,--M151,--O151),0)</ns0:f>
        <ns0:v>0</ns0:v>
      </ns0:c>
      <ns0:c r="Q151" s="0">
        <ns0:f>IFERROR(--N151,0)</ns0:f>
        <ns0:v>0</ns0:v>
      </ns0:c>
      <ns0:c r="R151" s="0">
        <ns0:f>IFERROR(IF(FIND(".",L151)=5,--O151,--M151),0)</ns0:f>
        <ns0:v>0</ns0:v>
      </ns0:c>
      <ns0:c r="S151" s="0">
        <ns0:f>IFERROR(IF(AND(P151&gt;=2000,P151&lt;=2100,Q151&gt;=1,Q151&lt;=12,R151&gt;=1,R151&lt;=31),DATE(P151,Q151,R151),0),0)</ns0:f>
        <ns0:v>0</ns0:v>
      </ns0:c>
      <ns0:c r="T151" s="0">
        <ns0:f>IFERROR(IF(ISNUMBER(Bookings!D151),IF(AND(Bookings!D151=INT(Bookings!D151),Bookings!D151&gt;=DATE(2000,1,1),Bookings!D151&lt;=DATE(2100,12,31)),Bookings!D151,0),IF(AND(K151&lt;&gt;"",LEN("x"&amp;L151)-LEN(SUBSTITUTE("x"&amp;L151,".",""))=2,OR(1&gt;LEN(L151),MID(L151,1,1)=".",ISNUMBER(FIND("x"&amp;MID(L151,1,1),"x0x1x2x3x4x5x6x7x8x9"))),OR(2&gt;LEN(L151),MID(L151,2,1)=".",ISNUMBER(FIND("x"&amp;MID(L151,2,1),"x0x1x2x3x4x5x6x7x8x9"))),OR(3&gt;LEN(L151),MID(L151,3,1)=".",ISNUMBER(FIND("x"&amp;MID(L151,3,1),"x0x1x2x3x4x5x6x7x8x9"))),OR(4&gt;LEN(L151),MID(L151,4,1)=".",ISNUMBER(FIND("x"&amp;MID(L151,4,1),"x0x1x2x3x4x5x6x7x8x9"))),OR(5&gt;LEN(L151),MID(L151,5,1)=".",ISNUMBER(FIND("x"&amp;MID(L151,5,1),"x0x1x2x3x4x5x6x7x8x9"))),OR(6&gt;LEN(L151),MID(L151,6,1)=".",ISNUMBER(FIND("x"&amp;MID(L151,6,1),"x0x1x2x3x4x5x6x7x8x9"))),OR(7&gt;LEN(L151),MID(L151,7,1)=".",ISNUMBER(FIND("x"&amp;MID(L151,7,1),"x0x1x2x3x4x5x6x7x8x9"))),OR(8&gt;LEN(L151),MID(L151,8,1)=".",ISNUMBER(FIND("x"&amp;MID(L151,8,1),"x0x1x2x3x4x5x6x7x8x9"))),OR(9&gt;LEN(L151),MID(L151,9,1)=".",ISNUMBER(FIND("x"&amp;MID(L151,9,1),"x0x1x2x3x4x5x6x7x8x9"))),OR(10&gt;LEN(L151),MID(L151,10,1)=".",ISNUMBER(FIND("x"&amp;MID(L151,10,1),"x0x1x2x3x4x5x6x7x8x9"))),OR(AND(FIND(".",L151)=5,LEN(L151)-FIND(".",L151,FIND(".",L151)+1)&gt;=1,LEN(L151)-FIND(".",L151,FIND(".",L151)+1)&lt;=2),AND(LEN(L151)-FIND(".",L151,FIND(".",L151)+1)=4,FIND(".",L151)&gt;=2,FIND(".",L151)&lt;=3)),FIND(".",L151,FIND(".",L151)+1)-FIND(".",L151)&gt;=2,FIND(".",L151,FIND(".",L151)+1)-FIND(".",L151)&lt;=3,P151&gt;=2000,P151&lt;=2100,YEAR(S151)=P151,MONTH(S151)=Q151,DAY(S151)=R151),S151,0)),0)</ns0:f>
        <ns0:v>0</ns0:v>
      </ns0:c>
      <ns0:c r="U151" s="0" t="str">
        <ns0:f>IF(Bookings!C151="","Full day",Bookings!C151)</ns0:f>
        <ns0:v>Full day</ns0:v>
      </ns0:c>
      <ns0:c r="V151" s="0" t="str">
        <ns0:f>IF(Bookings!E151="","Full day",Bookings!E151)</ns0:f>
        <ns0:v>Full day</ns0:v>
      </ns0:c>
      <ns0:c r="W151" s="0">
        <ns0:f>IF(J151=0,0,J151+IF(U151="PM",1,0))</ns0:f>
        <ns0:v>0</ns0:v>
      </ns0:c>
      <ns0:c r="X151" s="0">
        <ns0:f>IF(T151=0,0,T151-IF(V151="PM",1,0))</ns0:f>
        <ns0:v>0</ns0:v>
      </ns0:c>
      <ns0:c r="Y151" s="0">
        <ns0:f>IF(J151=0,0,J151+IF(U151="AM",1,0))</ns0:f>
        <ns0:v>0</ns0:v>
      </ns0:c>
      <ns0:c r="Z151" s="0">
        <ns0:f>IF(T151=0,0,T151-IF(V151="AM",1,0))</ns0:f>
        <ns0:v>0</ns0:v>
      </ns0:c>
      <ns0:c r="AA151" s="0">
        <ns0:f>IFERROR(IF(AND(J151&gt;0,'_Engine'!C151&gt;0,MID('_Engine'!W151,WEEKDAY(J151,2),1)="W",COUNTIF(Settings!$F$18:$F$67,J151)=0),1,0),0)</ns0:f>
        <ns0:v>0</ns0:v>
      </ns0:c>
      <ns0:c r="AB151" s="0">
        <ns0:f>IFERROR(IF(AND(T151&gt;0,'_Engine'!C151&gt;0,MID('_Engine'!W151,WEEKDAY(T151,2),1)="W",COUNTIF(Settings!$F$18:$F$67,T151)=0),1,0),0)</ns0:f>
        <ns0:v>0</ns0:v>
      </ns0:c>
      <ns0:c r="AC151" s="0">
        <ns0:f>IF(AND(J151&gt;0,T151&gt;0,W151&lt;=X151),1,0)</ns0:f>
        <ns0:v>0</ns0:v>
      </ns0:c>
      <ns0:c r="AD151" s="0">
        <ns0:f>IF(AND(J151&gt;0,T151&gt;0,Y151&lt;=Z151),1,0)</ns0:f>
        <ns0:v>0</ns0:v>
      </ns0:c>
    </ns0:row>
    <ns0:row r="152">
      <ns0:c r="A152" s="0">
        <ns0:f>IFERROR(IF(ISNUMBER(Bookings!B152),"",TRIM(Bookings!B152&amp;"")),"")</ns0:f>
      </ns0:c>
      <ns0:c r="B152" s="0">
        <ns0:f>IFERROR(SUBSTITUTE(SUBSTITUTE(A152,"/","."),"-","."),"")</ns0:f>
      </ns0:c>
      <ns0:c r="C152" s="0">
        <ns0:f>IFERROR(LEFT(B152,FIND(".",B152)-1),"")</ns0:f>
      </ns0:c>
      <ns0:c r="D152" s="0">
        <ns0:f>IFERROR(MID(B152,FIND(".",B152)+1,FIND(".",B152,FIND(".",B152)+1)-FIND(".",B152)-1),"")</ns0:f>
      </ns0:c>
      <ns0:c r="E152" s="0">
        <ns0:f>IFERROR(MID(B152,FIND(".",B152,FIND(".",B152)+1)+1,99),"")</ns0:f>
        <ns0:v>99</ns0:v>
      </ns0:c>
      <ns0:c r="F152" s="0">
        <ns0:f>IFERROR(IF(FIND(".",B152)=5,--C152,--E152),0)</ns0:f>
        <ns0:v>0</ns0:v>
      </ns0:c>
      <ns0:c r="G152" s="0">
        <ns0:f>IFERROR(--D152,0)</ns0:f>
        <ns0:v>0</ns0:v>
      </ns0:c>
      <ns0:c r="H152" s="0">
        <ns0:f>IFERROR(IF(FIND(".",B152)=5,--E152,--C152),0)</ns0:f>
        <ns0:v>0</ns0:v>
      </ns0:c>
      <ns0:c r="I152" s="0">
        <ns0:f>IFERROR(IF(AND(F152&gt;=2000,F152&lt;=2100,G152&gt;=1,G152&lt;=12,H152&gt;=1,H152&lt;=31),DATE(F152,G152,H152),0),0)</ns0:f>
        <ns0:v>0</ns0:v>
      </ns0:c>
      <ns0:c r="J152" s="0">
        <ns0:f>IFERROR(IF(ISNUMBER(Bookings!B152),IF(AND(Bookings!B152=INT(Bookings!B152),Bookings!B152&gt;=DATE(2000,1,1),Bookings!B152&lt;=DATE(2100,12,31)),Bookings!B152,0),IF(AND(A152&lt;&gt;"",LEN("x"&amp;B152)-LEN(SUBSTITUTE("x"&amp;B152,".",""))=2,OR(1&gt;LEN(B152),MID(B152,1,1)=".",ISNUMBER(FIND("x"&amp;MID(B152,1,1),"x0x1x2x3x4x5x6x7x8x9"))),OR(2&gt;LEN(B152),MID(B152,2,1)=".",ISNUMBER(FIND("x"&amp;MID(B152,2,1),"x0x1x2x3x4x5x6x7x8x9"))),OR(3&gt;LEN(B152),MID(B152,3,1)=".",ISNUMBER(FIND("x"&amp;MID(B152,3,1),"x0x1x2x3x4x5x6x7x8x9"))),OR(4&gt;LEN(B152),MID(B152,4,1)=".",ISNUMBER(FIND("x"&amp;MID(B152,4,1),"x0x1x2x3x4x5x6x7x8x9"))),OR(5&gt;LEN(B152),MID(B152,5,1)=".",ISNUMBER(FIND("x"&amp;MID(B152,5,1),"x0x1x2x3x4x5x6x7x8x9"))),OR(6&gt;LEN(B152),MID(B152,6,1)=".",ISNUMBER(FIND("x"&amp;MID(B152,6,1),"x0x1x2x3x4x5x6x7x8x9"))),OR(7&gt;LEN(B152),MID(B152,7,1)=".",ISNUMBER(FIND("x"&amp;MID(B152,7,1),"x0x1x2x3x4x5x6x7x8x9"))),OR(8&gt;LEN(B152),MID(B152,8,1)=".",ISNUMBER(FIND("x"&amp;MID(B152,8,1),"x0x1x2x3x4x5x6x7x8x9"))),OR(9&gt;LEN(B152),MID(B152,9,1)=".",ISNUMBER(FIND("x"&amp;MID(B152,9,1),"x0x1x2x3x4x5x6x7x8x9"))),OR(10&gt;LEN(B152),MID(B152,10,1)=".",ISNUMBER(FIND("x"&amp;MID(B152,10,1),"x0x1x2x3x4x5x6x7x8x9"))),OR(AND(FIND(".",B152)=5,LEN(B152)-FIND(".",B152,FIND(".",B152)+1)&gt;=1,LEN(B152)-FIND(".",B152,FIND(".",B152)+1)&lt;=2),AND(LEN(B152)-FIND(".",B152,FIND(".",B152)+1)=4,FIND(".",B152)&gt;=2,FIND(".",B152)&lt;=3)),FIND(".",B152,FIND(".",B152)+1)-FIND(".",B152)&gt;=2,FIND(".",B152,FIND(".",B152)+1)-FIND(".",B152)&lt;=3,F152&gt;=2000,F152&lt;=2100,YEAR(I152)=F152,MONTH(I152)=G152,DAY(I152)=H152),I152,0)),0)</ns0:f>
        <ns0:v>0</ns0:v>
      </ns0:c>
      <ns0:c r="K152" s="0">
        <ns0:f>IFERROR(IF(ISNUMBER(Bookings!D152),"",TRIM(Bookings!D152&amp;"")),"")</ns0:f>
      </ns0:c>
      <ns0:c r="L152" s="0">
        <ns0:f>IFERROR(SUBSTITUTE(SUBSTITUTE(K152,"/","."),"-","."),"")</ns0:f>
      </ns0:c>
      <ns0:c r="M152" s="0">
        <ns0:f>IFERROR(LEFT(L152,FIND(".",L152)-1),"")</ns0:f>
      </ns0:c>
      <ns0:c r="N152" s="0">
        <ns0:f>IFERROR(MID(L152,FIND(".",L152)+1,FIND(".",L152,FIND(".",L152)+1)-FIND(".",L152)-1),"")</ns0:f>
      </ns0:c>
      <ns0:c r="O152" s="0">
        <ns0:f>IFERROR(MID(L152,FIND(".",L152,FIND(".",L152)+1)+1,99),"")</ns0:f>
        <ns0:v>99</ns0:v>
      </ns0:c>
      <ns0:c r="P152" s="0">
        <ns0:f>IFERROR(IF(FIND(".",L152)=5,--M152,--O152),0)</ns0:f>
        <ns0:v>0</ns0:v>
      </ns0:c>
      <ns0:c r="Q152" s="0">
        <ns0:f>IFERROR(--N152,0)</ns0:f>
        <ns0:v>0</ns0:v>
      </ns0:c>
      <ns0:c r="R152" s="0">
        <ns0:f>IFERROR(IF(FIND(".",L152)=5,--O152,--M152),0)</ns0:f>
        <ns0:v>0</ns0:v>
      </ns0:c>
      <ns0:c r="S152" s="0">
        <ns0:f>IFERROR(IF(AND(P152&gt;=2000,P152&lt;=2100,Q152&gt;=1,Q152&lt;=12,R152&gt;=1,R152&lt;=31),DATE(P152,Q152,R152),0),0)</ns0:f>
        <ns0:v>0</ns0:v>
      </ns0:c>
      <ns0:c r="T152" s="0">
        <ns0:f>IFERROR(IF(ISNUMBER(Bookings!D152),IF(AND(Bookings!D152=INT(Bookings!D152),Bookings!D152&gt;=DATE(2000,1,1),Bookings!D152&lt;=DATE(2100,12,31)),Bookings!D152,0),IF(AND(K152&lt;&gt;"",LEN("x"&amp;L152)-LEN(SUBSTITUTE("x"&amp;L152,".",""))=2,OR(1&gt;LEN(L152),MID(L152,1,1)=".",ISNUMBER(FIND("x"&amp;MID(L152,1,1),"x0x1x2x3x4x5x6x7x8x9"))),OR(2&gt;LEN(L152),MID(L152,2,1)=".",ISNUMBER(FIND("x"&amp;MID(L152,2,1),"x0x1x2x3x4x5x6x7x8x9"))),OR(3&gt;LEN(L152),MID(L152,3,1)=".",ISNUMBER(FIND("x"&amp;MID(L152,3,1),"x0x1x2x3x4x5x6x7x8x9"))),OR(4&gt;LEN(L152),MID(L152,4,1)=".",ISNUMBER(FIND("x"&amp;MID(L152,4,1),"x0x1x2x3x4x5x6x7x8x9"))),OR(5&gt;LEN(L152),MID(L152,5,1)=".",ISNUMBER(FIND("x"&amp;MID(L152,5,1),"x0x1x2x3x4x5x6x7x8x9"))),OR(6&gt;LEN(L152),MID(L152,6,1)=".",ISNUMBER(FIND("x"&amp;MID(L152,6,1),"x0x1x2x3x4x5x6x7x8x9"))),OR(7&gt;LEN(L152),MID(L152,7,1)=".",ISNUMBER(FIND("x"&amp;MID(L152,7,1),"x0x1x2x3x4x5x6x7x8x9"))),OR(8&gt;LEN(L152),MID(L152,8,1)=".",ISNUMBER(FIND("x"&amp;MID(L152,8,1),"x0x1x2x3x4x5x6x7x8x9"))),OR(9&gt;LEN(L152),MID(L152,9,1)=".",ISNUMBER(FIND("x"&amp;MID(L152,9,1),"x0x1x2x3x4x5x6x7x8x9"))),OR(10&gt;LEN(L152),MID(L152,10,1)=".",ISNUMBER(FIND("x"&amp;MID(L152,10,1),"x0x1x2x3x4x5x6x7x8x9"))),OR(AND(FIND(".",L152)=5,LEN(L152)-FIND(".",L152,FIND(".",L152)+1)&gt;=1,LEN(L152)-FIND(".",L152,FIND(".",L152)+1)&lt;=2),AND(LEN(L152)-FIND(".",L152,FIND(".",L152)+1)=4,FIND(".",L152)&gt;=2,FIND(".",L152)&lt;=3)),FIND(".",L152,FIND(".",L152)+1)-FIND(".",L152)&gt;=2,FIND(".",L152,FIND(".",L152)+1)-FIND(".",L152)&lt;=3,P152&gt;=2000,P152&lt;=2100,YEAR(S152)=P152,MONTH(S152)=Q152,DAY(S152)=R152),S152,0)),0)</ns0:f>
        <ns0:v>0</ns0:v>
      </ns0:c>
      <ns0:c r="U152" s="0" t="str">
        <ns0:f>IF(Bookings!C152="","Full day",Bookings!C152)</ns0:f>
        <ns0:v>Full day</ns0:v>
      </ns0:c>
      <ns0:c r="V152" s="0" t="str">
        <ns0:f>IF(Bookings!E152="","Full day",Bookings!E152)</ns0:f>
        <ns0:v>Full day</ns0:v>
      </ns0:c>
      <ns0:c r="W152" s="0">
        <ns0:f>IF(J152=0,0,J152+IF(U152="PM",1,0))</ns0:f>
        <ns0:v>0</ns0:v>
      </ns0:c>
      <ns0:c r="X152" s="0">
        <ns0:f>IF(T152=0,0,T152-IF(V152="PM",1,0))</ns0:f>
        <ns0:v>0</ns0:v>
      </ns0:c>
      <ns0:c r="Y152" s="0">
        <ns0:f>IF(J152=0,0,J152+IF(U152="AM",1,0))</ns0:f>
        <ns0:v>0</ns0:v>
      </ns0:c>
      <ns0:c r="Z152" s="0">
        <ns0:f>IF(T152=0,0,T152-IF(V152="AM",1,0))</ns0:f>
        <ns0:v>0</ns0:v>
      </ns0:c>
      <ns0:c r="AA152" s="0">
        <ns0:f>IFERROR(IF(AND(J152&gt;0,'_Engine'!C152&gt;0,MID('_Engine'!W152,WEEKDAY(J152,2),1)="W",COUNTIF(Settings!$F$18:$F$67,J152)=0),1,0),0)</ns0:f>
        <ns0:v>0</ns0:v>
      </ns0:c>
      <ns0:c r="AB152" s="0">
        <ns0:f>IFERROR(IF(AND(T152&gt;0,'_Engine'!C152&gt;0,MID('_Engine'!W152,WEEKDAY(T152,2),1)="W",COUNTIF(Settings!$F$18:$F$67,T152)=0),1,0),0)</ns0:f>
        <ns0:v>0</ns0:v>
      </ns0:c>
      <ns0:c r="AC152" s="0">
        <ns0:f>IF(AND(J152&gt;0,T152&gt;0,W152&lt;=X152),1,0)</ns0:f>
        <ns0:v>0</ns0:v>
      </ns0:c>
      <ns0:c r="AD152" s="0">
        <ns0:f>IF(AND(J152&gt;0,T152&gt;0,Y152&lt;=Z152),1,0)</ns0:f>
        <ns0:v>0</ns0:v>
      </ns0:c>
    </ns0:row>
    <ns0:row r="153">
      <ns0:c r="A153" s="0">
        <ns0:f>IFERROR(IF(ISNUMBER(Bookings!B153),"",TRIM(Bookings!B153&amp;"")),"")</ns0:f>
      </ns0:c>
      <ns0:c r="B153" s="0">
        <ns0:f>IFERROR(SUBSTITUTE(SUBSTITUTE(A153,"/","."),"-","."),"")</ns0:f>
      </ns0:c>
      <ns0:c r="C153" s="0">
        <ns0:f>IFERROR(LEFT(B153,FIND(".",B153)-1),"")</ns0:f>
      </ns0:c>
      <ns0:c r="D153" s="0">
        <ns0:f>IFERROR(MID(B153,FIND(".",B153)+1,FIND(".",B153,FIND(".",B153)+1)-FIND(".",B153)-1),"")</ns0:f>
      </ns0:c>
      <ns0:c r="E153" s="0">
        <ns0:f>IFERROR(MID(B153,FIND(".",B153,FIND(".",B153)+1)+1,99),"")</ns0:f>
        <ns0:v>99</ns0:v>
      </ns0:c>
      <ns0:c r="F153" s="0">
        <ns0:f>IFERROR(IF(FIND(".",B153)=5,--C153,--E153),0)</ns0:f>
        <ns0:v>0</ns0:v>
      </ns0:c>
      <ns0:c r="G153" s="0">
        <ns0:f>IFERROR(--D153,0)</ns0:f>
        <ns0:v>0</ns0:v>
      </ns0:c>
      <ns0:c r="H153" s="0">
        <ns0:f>IFERROR(IF(FIND(".",B153)=5,--E153,--C153),0)</ns0:f>
        <ns0:v>0</ns0:v>
      </ns0:c>
      <ns0:c r="I153" s="0">
        <ns0:f>IFERROR(IF(AND(F153&gt;=2000,F153&lt;=2100,G153&gt;=1,G153&lt;=12,H153&gt;=1,H153&lt;=31),DATE(F153,G153,H153),0),0)</ns0:f>
        <ns0:v>0</ns0:v>
      </ns0:c>
      <ns0:c r="J153" s="0">
        <ns0:f>IFERROR(IF(ISNUMBER(Bookings!B153),IF(AND(Bookings!B153=INT(Bookings!B153),Bookings!B153&gt;=DATE(2000,1,1),Bookings!B153&lt;=DATE(2100,12,31)),Bookings!B153,0),IF(AND(A153&lt;&gt;"",LEN("x"&amp;B153)-LEN(SUBSTITUTE("x"&amp;B153,".",""))=2,OR(1&gt;LEN(B153),MID(B153,1,1)=".",ISNUMBER(FIND("x"&amp;MID(B153,1,1),"x0x1x2x3x4x5x6x7x8x9"))),OR(2&gt;LEN(B153),MID(B153,2,1)=".",ISNUMBER(FIND("x"&amp;MID(B153,2,1),"x0x1x2x3x4x5x6x7x8x9"))),OR(3&gt;LEN(B153),MID(B153,3,1)=".",ISNUMBER(FIND("x"&amp;MID(B153,3,1),"x0x1x2x3x4x5x6x7x8x9"))),OR(4&gt;LEN(B153),MID(B153,4,1)=".",ISNUMBER(FIND("x"&amp;MID(B153,4,1),"x0x1x2x3x4x5x6x7x8x9"))),OR(5&gt;LEN(B153),MID(B153,5,1)=".",ISNUMBER(FIND("x"&amp;MID(B153,5,1),"x0x1x2x3x4x5x6x7x8x9"))),OR(6&gt;LEN(B153),MID(B153,6,1)=".",ISNUMBER(FIND("x"&amp;MID(B153,6,1),"x0x1x2x3x4x5x6x7x8x9"))),OR(7&gt;LEN(B153),MID(B153,7,1)=".",ISNUMBER(FIND("x"&amp;MID(B153,7,1),"x0x1x2x3x4x5x6x7x8x9"))),OR(8&gt;LEN(B153),MID(B153,8,1)=".",ISNUMBER(FIND("x"&amp;MID(B153,8,1),"x0x1x2x3x4x5x6x7x8x9"))),OR(9&gt;LEN(B153),MID(B153,9,1)=".",ISNUMBER(FIND("x"&amp;MID(B153,9,1),"x0x1x2x3x4x5x6x7x8x9"))),OR(10&gt;LEN(B153),MID(B153,10,1)=".",ISNUMBER(FIND("x"&amp;MID(B153,10,1),"x0x1x2x3x4x5x6x7x8x9"))),OR(AND(FIND(".",B153)=5,LEN(B153)-FIND(".",B153,FIND(".",B153)+1)&gt;=1,LEN(B153)-FIND(".",B153,FIND(".",B153)+1)&lt;=2),AND(LEN(B153)-FIND(".",B153,FIND(".",B153)+1)=4,FIND(".",B153)&gt;=2,FIND(".",B153)&lt;=3)),FIND(".",B153,FIND(".",B153)+1)-FIND(".",B153)&gt;=2,FIND(".",B153,FIND(".",B153)+1)-FIND(".",B153)&lt;=3,F153&gt;=2000,F153&lt;=2100,YEAR(I153)=F153,MONTH(I153)=G153,DAY(I153)=H153),I153,0)),0)</ns0:f>
        <ns0:v>0</ns0:v>
      </ns0:c>
      <ns0:c r="K153" s="0">
        <ns0:f>IFERROR(IF(ISNUMBER(Bookings!D153),"",TRIM(Bookings!D153&amp;"")),"")</ns0:f>
      </ns0:c>
      <ns0:c r="L153" s="0">
        <ns0:f>IFERROR(SUBSTITUTE(SUBSTITUTE(K153,"/","."),"-","."),"")</ns0:f>
      </ns0:c>
      <ns0:c r="M153" s="0">
        <ns0:f>IFERROR(LEFT(L153,FIND(".",L153)-1),"")</ns0:f>
      </ns0:c>
      <ns0:c r="N153" s="0">
        <ns0:f>IFERROR(MID(L153,FIND(".",L153)+1,FIND(".",L153,FIND(".",L153)+1)-FIND(".",L153)-1),"")</ns0:f>
      </ns0:c>
      <ns0:c r="O153" s="0">
        <ns0:f>IFERROR(MID(L153,FIND(".",L153,FIND(".",L153)+1)+1,99),"")</ns0:f>
        <ns0:v>99</ns0:v>
      </ns0:c>
      <ns0:c r="P153" s="0">
        <ns0:f>IFERROR(IF(FIND(".",L153)=5,--M153,--O153),0)</ns0:f>
        <ns0:v>0</ns0:v>
      </ns0:c>
      <ns0:c r="Q153" s="0">
        <ns0:f>IFERROR(--N153,0)</ns0:f>
        <ns0:v>0</ns0:v>
      </ns0:c>
      <ns0:c r="R153" s="0">
        <ns0:f>IFERROR(IF(FIND(".",L153)=5,--O153,--M153),0)</ns0:f>
        <ns0:v>0</ns0:v>
      </ns0:c>
      <ns0:c r="S153" s="0">
        <ns0:f>IFERROR(IF(AND(P153&gt;=2000,P153&lt;=2100,Q153&gt;=1,Q153&lt;=12,R153&gt;=1,R153&lt;=31),DATE(P153,Q153,R153),0),0)</ns0:f>
        <ns0:v>0</ns0:v>
      </ns0:c>
      <ns0:c r="T153" s="0">
        <ns0:f>IFERROR(IF(ISNUMBER(Bookings!D153),IF(AND(Bookings!D153=INT(Bookings!D153),Bookings!D153&gt;=DATE(2000,1,1),Bookings!D153&lt;=DATE(2100,12,31)),Bookings!D153,0),IF(AND(K153&lt;&gt;"",LEN("x"&amp;L153)-LEN(SUBSTITUTE("x"&amp;L153,".",""))=2,OR(1&gt;LEN(L153),MID(L153,1,1)=".",ISNUMBER(FIND("x"&amp;MID(L153,1,1),"x0x1x2x3x4x5x6x7x8x9"))),OR(2&gt;LEN(L153),MID(L153,2,1)=".",ISNUMBER(FIND("x"&amp;MID(L153,2,1),"x0x1x2x3x4x5x6x7x8x9"))),OR(3&gt;LEN(L153),MID(L153,3,1)=".",ISNUMBER(FIND("x"&amp;MID(L153,3,1),"x0x1x2x3x4x5x6x7x8x9"))),OR(4&gt;LEN(L153),MID(L153,4,1)=".",ISNUMBER(FIND("x"&amp;MID(L153,4,1),"x0x1x2x3x4x5x6x7x8x9"))),OR(5&gt;LEN(L153),MID(L153,5,1)=".",ISNUMBER(FIND("x"&amp;MID(L153,5,1),"x0x1x2x3x4x5x6x7x8x9"))),OR(6&gt;LEN(L153),MID(L153,6,1)=".",ISNUMBER(FIND("x"&amp;MID(L153,6,1),"x0x1x2x3x4x5x6x7x8x9"))),OR(7&gt;LEN(L153),MID(L153,7,1)=".",ISNUMBER(FIND("x"&amp;MID(L153,7,1),"x0x1x2x3x4x5x6x7x8x9"))),OR(8&gt;LEN(L153),MID(L153,8,1)=".",ISNUMBER(FIND("x"&amp;MID(L153,8,1),"x0x1x2x3x4x5x6x7x8x9"))),OR(9&gt;LEN(L153),MID(L153,9,1)=".",ISNUMBER(FIND("x"&amp;MID(L153,9,1),"x0x1x2x3x4x5x6x7x8x9"))),OR(10&gt;LEN(L153),MID(L153,10,1)=".",ISNUMBER(FIND("x"&amp;MID(L153,10,1),"x0x1x2x3x4x5x6x7x8x9"))),OR(AND(FIND(".",L153)=5,LEN(L153)-FIND(".",L153,FIND(".",L153)+1)&gt;=1,LEN(L153)-FIND(".",L153,FIND(".",L153)+1)&lt;=2),AND(LEN(L153)-FIND(".",L153,FIND(".",L153)+1)=4,FIND(".",L153)&gt;=2,FIND(".",L153)&lt;=3)),FIND(".",L153,FIND(".",L153)+1)-FIND(".",L153)&gt;=2,FIND(".",L153,FIND(".",L153)+1)-FIND(".",L153)&lt;=3,P153&gt;=2000,P153&lt;=2100,YEAR(S153)=P153,MONTH(S153)=Q153,DAY(S153)=R153),S153,0)),0)</ns0:f>
        <ns0:v>0</ns0:v>
      </ns0:c>
      <ns0:c r="U153" s="0" t="str">
        <ns0:f>IF(Bookings!C153="","Full day",Bookings!C153)</ns0:f>
        <ns0:v>Full day</ns0:v>
      </ns0:c>
      <ns0:c r="V153" s="0" t="str">
        <ns0:f>IF(Bookings!E153="","Full day",Bookings!E153)</ns0:f>
        <ns0:v>Full day</ns0:v>
      </ns0:c>
      <ns0:c r="W153" s="0">
        <ns0:f>IF(J153=0,0,J153+IF(U153="PM",1,0))</ns0:f>
        <ns0:v>0</ns0:v>
      </ns0:c>
      <ns0:c r="X153" s="0">
        <ns0:f>IF(T153=0,0,T153-IF(V153="PM",1,0))</ns0:f>
        <ns0:v>0</ns0:v>
      </ns0:c>
      <ns0:c r="Y153" s="0">
        <ns0:f>IF(J153=0,0,J153+IF(U153="AM",1,0))</ns0:f>
        <ns0:v>0</ns0:v>
      </ns0:c>
      <ns0:c r="Z153" s="0">
        <ns0:f>IF(T153=0,0,T153-IF(V153="AM",1,0))</ns0:f>
        <ns0:v>0</ns0:v>
      </ns0:c>
      <ns0:c r="AA153" s="0">
        <ns0:f>IFERROR(IF(AND(J153&gt;0,'_Engine'!C153&gt;0,MID('_Engine'!W153,WEEKDAY(J153,2),1)="W",COUNTIF(Settings!$F$18:$F$67,J153)=0),1,0),0)</ns0:f>
        <ns0:v>0</ns0:v>
      </ns0:c>
      <ns0:c r="AB153" s="0">
        <ns0:f>IFERROR(IF(AND(T153&gt;0,'_Engine'!C153&gt;0,MID('_Engine'!W153,WEEKDAY(T153,2),1)="W",COUNTIF(Settings!$F$18:$F$67,T153)=0),1,0),0)</ns0:f>
        <ns0:v>0</ns0:v>
      </ns0:c>
      <ns0:c r="AC153" s="0">
        <ns0:f>IF(AND(J153&gt;0,T153&gt;0,W153&lt;=X153),1,0)</ns0:f>
        <ns0:v>0</ns0:v>
      </ns0:c>
      <ns0:c r="AD153" s="0">
        <ns0:f>IF(AND(J153&gt;0,T153&gt;0,Y153&lt;=Z153),1,0)</ns0:f>
        <ns0:v>0</ns0:v>
      </ns0:c>
    </ns0:row>
    <ns0:row r="154">
      <ns0:c r="A154" s="0">
        <ns0:f>IFERROR(IF(ISNUMBER(Bookings!B154),"",TRIM(Bookings!B154&amp;"")),"")</ns0:f>
      </ns0:c>
      <ns0:c r="B154" s="0">
        <ns0:f>IFERROR(SUBSTITUTE(SUBSTITUTE(A154,"/","."),"-","."),"")</ns0:f>
      </ns0:c>
      <ns0:c r="C154" s="0">
        <ns0:f>IFERROR(LEFT(B154,FIND(".",B154)-1),"")</ns0:f>
      </ns0:c>
      <ns0:c r="D154" s="0">
        <ns0:f>IFERROR(MID(B154,FIND(".",B154)+1,FIND(".",B154,FIND(".",B154)+1)-FIND(".",B154)-1),"")</ns0:f>
      </ns0:c>
      <ns0:c r="E154" s="0">
        <ns0:f>IFERROR(MID(B154,FIND(".",B154,FIND(".",B154)+1)+1,99),"")</ns0:f>
        <ns0:v>99</ns0:v>
      </ns0:c>
      <ns0:c r="F154" s="0">
        <ns0:f>IFERROR(IF(FIND(".",B154)=5,--C154,--E154),0)</ns0:f>
        <ns0:v>0</ns0:v>
      </ns0:c>
      <ns0:c r="G154" s="0">
        <ns0:f>IFERROR(--D154,0)</ns0:f>
        <ns0:v>0</ns0:v>
      </ns0:c>
      <ns0:c r="H154" s="0">
        <ns0:f>IFERROR(IF(FIND(".",B154)=5,--E154,--C154),0)</ns0:f>
        <ns0:v>0</ns0:v>
      </ns0:c>
      <ns0:c r="I154" s="0">
        <ns0:f>IFERROR(IF(AND(F154&gt;=2000,F154&lt;=2100,G154&gt;=1,G154&lt;=12,H154&gt;=1,H154&lt;=31),DATE(F154,G154,H154),0),0)</ns0:f>
        <ns0:v>0</ns0:v>
      </ns0:c>
      <ns0:c r="J154" s="0">
        <ns0:f>IFERROR(IF(ISNUMBER(Bookings!B154),IF(AND(Bookings!B154=INT(Bookings!B154),Bookings!B154&gt;=DATE(2000,1,1),Bookings!B154&lt;=DATE(2100,12,31)),Bookings!B154,0),IF(AND(A154&lt;&gt;"",LEN("x"&amp;B154)-LEN(SUBSTITUTE("x"&amp;B154,".",""))=2,OR(1&gt;LEN(B154),MID(B154,1,1)=".",ISNUMBER(FIND("x"&amp;MID(B154,1,1),"x0x1x2x3x4x5x6x7x8x9"))),OR(2&gt;LEN(B154),MID(B154,2,1)=".",ISNUMBER(FIND("x"&amp;MID(B154,2,1),"x0x1x2x3x4x5x6x7x8x9"))),OR(3&gt;LEN(B154),MID(B154,3,1)=".",ISNUMBER(FIND("x"&amp;MID(B154,3,1),"x0x1x2x3x4x5x6x7x8x9"))),OR(4&gt;LEN(B154),MID(B154,4,1)=".",ISNUMBER(FIND("x"&amp;MID(B154,4,1),"x0x1x2x3x4x5x6x7x8x9"))),OR(5&gt;LEN(B154),MID(B154,5,1)=".",ISNUMBER(FIND("x"&amp;MID(B154,5,1),"x0x1x2x3x4x5x6x7x8x9"))),OR(6&gt;LEN(B154),MID(B154,6,1)=".",ISNUMBER(FIND("x"&amp;MID(B154,6,1),"x0x1x2x3x4x5x6x7x8x9"))),OR(7&gt;LEN(B154),MID(B154,7,1)=".",ISNUMBER(FIND("x"&amp;MID(B154,7,1),"x0x1x2x3x4x5x6x7x8x9"))),OR(8&gt;LEN(B154),MID(B154,8,1)=".",ISNUMBER(FIND("x"&amp;MID(B154,8,1),"x0x1x2x3x4x5x6x7x8x9"))),OR(9&gt;LEN(B154),MID(B154,9,1)=".",ISNUMBER(FIND("x"&amp;MID(B154,9,1),"x0x1x2x3x4x5x6x7x8x9"))),OR(10&gt;LEN(B154),MID(B154,10,1)=".",ISNUMBER(FIND("x"&amp;MID(B154,10,1),"x0x1x2x3x4x5x6x7x8x9"))),OR(AND(FIND(".",B154)=5,LEN(B154)-FIND(".",B154,FIND(".",B154)+1)&gt;=1,LEN(B154)-FIND(".",B154,FIND(".",B154)+1)&lt;=2),AND(LEN(B154)-FIND(".",B154,FIND(".",B154)+1)=4,FIND(".",B154)&gt;=2,FIND(".",B154)&lt;=3)),FIND(".",B154,FIND(".",B154)+1)-FIND(".",B154)&gt;=2,FIND(".",B154,FIND(".",B154)+1)-FIND(".",B154)&lt;=3,F154&gt;=2000,F154&lt;=2100,YEAR(I154)=F154,MONTH(I154)=G154,DAY(I154)=H154),I154,0)),0)</ns0:f>
        <ns0:v>0</ns0:v>
      </ns0:c>
      <ns0:c r="K154" s="0">
        <ns0:f>IFERROR(IF(ISNUMBER(Bookings!D154),"",TRIM(Bookings!D154&amp;"")),"")</ns0:f>
      </ns0:c>
      <ns0:c r="L154" s="0">
        <ns0:f>IFERROR(SUBSTITUTE(SUBSTITUTE(K154,"/","."),"-","."),"")</ns0:f>
      </ns0:c>
      <ns0:c r="M154" s="0">
        <ns0:f>IFERROR(LEFT(L154,FIND(".",L154)-1),"")</ns0:f>
      </ns0:c>
      <ns0:c r="N154" s="0">
        <ns0:f>IFERROR(MID(L154,FIND(".",L154)+1,FIND(".",L154,FIND(".",L154)+1)-FIND(".",L154)-1),"")</ns0:f>
      </ns0:c>
      <ns0:c r="O154" s="0">
        <ns0:f>IFERROR(MID(L154,FIND(".",L154,FIND(".",L154)+1)+1,99),"")</ns0:f>
        <ns0:v>99</ns0:v>
      </ns0:c>
      <ns0:c r="P154" s="0">
        <ns0:f>IFERROR(IF(FIND(".",L154)=5,--M154,--O154),0)</ns0:f>
        <ns0:v>0</ns0:v>
      </ns0:c>
      <ns0:c r="Q154" s="0">
        <ns0:f>IFERROR(--N154,0)</ns0:f>
        <ns0:v>0</ns0:v>
      </ns0:c>
      <ns0:c r="R154" s="0">
        <ns0:f>IFERROR(IF(FIND(".",L154)=5,--O154,--M154),0)</ns0:f>
        <ns0:v>0</ns0:v>
      </ns0:c>
      <ns0:c r="S154" s="0">
        <ns0:f>IFERROR(IF(AND(P154&gt;=2000,P154&lt;=2100,Q154&gt;=1,Q154&lt;=12,R154&gt;=1,R154&lt;=31),DATE(P154,Q154,R154),0),0)</ns0:f>
        <ns0:v>0</ns0:v>
      </ns0:c>
      <ns0:c r="T154" s="0">
        <ns0:f>IFERROR(IF(ISNUMBER(Bookings!D154),IF(AND(Bookings!D154=INT(Bookings!D154),Bookings!D154&gt;=DATE(2000,1,1),Bookings!D154&lt;=DATE(2100,12,31)),Bookings!D154,0),IF(AND(K154&lt;&gt;"",LEN("x"&amp;L154)-LEN(SUBSTITUTE("x"&amp;L154,".",""))=2,OR(1&gt;LEN(L154),MID(L154,1,1)=".",ISNUMBER(FIND("x"&amp;MID(L154,1,1),"x0x1x2x3x4x5x6x7x8x9"))),OR(2&gt;LEN(L154),MID(L154,2,1)=".",ISNUMBER(FIND("x"&amp;MID(L154,2,1),"x0x1x2x3x4x5x6x7x8x9"))),OR(3&gt;LEN(L154),MID(L154,3,1)=".",ISNUMBER(FIND("x"&amp;MID(L154,3,1),"x0x1x2x3x4x5x6x7x8x9"))),OR(4&gt;LEN(L154),MID(L154,4,1)=".",ISNUMBER(FIND("x"&amp;MID(L154,4,1),"x0x1x2x3x4x5x6x7x8x9"))),OR(5&gt;LEN(L154),MID(L154,5,1)=".",ISNUMBER(FIND("x"&amp;MID(L154,5,1),"x0x1x2x3x4x5x6x7x8x9"))),OR(6&gt;LEN(L154),MID(L154,6,1)=".",ISNUMBER(FIND("x"&amp;MID(L154,6,1),"x0x1x2x3x4x5x6x7x8x9"))),OR(7&gt;LEN(L154),MID(L154,7,1)=".",ISNUMBER(FIND("x"&amp;MID(L154,7,1),"x0x1x2x3x4x5x6x7x8x9"))),OR(8&gt;LEN(L154),MID(L154,8,1)=".",ISNUMBER(FIND("x"&amp;MID(L154,8,1),"x0x1x2x3x4x5x6x7x8x9"))),OR(9&gt;LEN(L154),MID(L154,9,1)=".",ISNUMBER(FIND("x"&amp;MID(L154,9,1),"x0x1x2x3x4x5x6x7x8x9"))),OR(10&gt;LEN(L154),MID(L154,10,1)=".",ISNUMBER(FIND("x"&amp;MID(L154,10,1),"x0x1x2x3x4x5x6x7x8x9"))),OR(AND(FIND(".",L154)=5,LEN(L154)-FIND(".",L154,FIND(".",L154)+1)&gt;=1,LEN(L154)-FIND(".",L154,FIND(".",L154)+1)&lt;=2),AND(LEN(L154)-FIND(".",L154,FIND(".",L154)+1)=4,FIND(".",L154)&gt;=2,FIND(".",L154)&lt;=3)),FIND(".",L154,FIND(".",L154)+1)-FIND(".",L154)&gt;=2,FIND(".",L154,FIND(".",L154)+1)-FIND(".",L154)&lt;=3,P154&gt;=2000,P154&lt;=2100,YEAR(S154)=P154,MONTH(S154)=Q154,DAY(S154)=R154),S154,0)),0)</ns0:f>
        <ns0:v>0</ns0:v>
      </ns0:c>
      <ns0:c r="U154" s="0" t="str">
        <ns0:f>IF(Bookings!C154="","Full day",Bookings!C154)</ns0:f>
        <ns0:v>Full day</ns0:v>
      </ns0:c>
      <ns0:c r="V154" s="0" t="str">
        <ns0:f>IF(Bookings!E154="","Full day",Bookings!E154)</ns0:f>
        <ns0:v>Full day</ns0:v>
      </ns0:c>
      <ns0:c r="W154" s="0">
        <ns0:f>IF(J154=0,0,J154+IF(U154="PM",1,0))</ns0:f>
        <ns0:v>0</ns0:v>
      </ns0:c>
      <ns0:c r="X154" s="0">
        <ns0:f>IF(T154=0,0,T154-IF(V154="PM",1,0))</ns0:f>
        <ns0:v>0</ns0:v>
      </ns0:c>
      <ns0:c r="Y154" s="0">
        <ns0:f>IF(J154=0,0,J154+IF(U154="AM",1,0))</ns0:f>
        <ns0:v>0</ns0:v>
      </ns0:c>
      <ns0:c r="Z154" s="0">
        <ns0:f>IF(T154=0,0,T154-IF(V154="AM",1,0))</ns0:f>
        <ns0:v>0</ns0:v>
      </ns0:c>
      <ns0:c r="AA154" s="0">
        <ns0:f>IFERROR(IF(AND(J154&gt;0,'_Engine'!C154&gt;0,MID('_Engine'!W154,WEEKDAY(J154,2),1)="W",COUNTIF(Settings!$F$18:$F$67,J154)=0),1,0),0)</ns0:f>
        <ns0:v>0</ns0:v>
      </ns0:c>
      <ns0:c r="AB154" s="0">
        <ns0:f>IFERROR(IF(AND(T154&gt;0,'_Engine'!C154&gt;0,MID('_Engine'!W154,WEEKDAY(T154,2),1)="W",COUNTIF(Settings!$F$18:$F$67,T154)=0),1,0),0)</ns0:f>
        <ns0:v>0</ns0:v>
      </ns0:c>
      <ns0:c r="AC154" s="0">
        <ns0:f>IF(AND(J154&gt;0,T154&gt;0,W154&lt;=X154),1,0)</ns0:f>
        <ns0:v>0</ns0:v>
      </ns0:c>
      <ns0:c r="AD154" s="0">
        <ns0:f>IF(AND(J154&gt;0,T154&gt;0,Y154&lt;=Z154),1,0)</ns0:f>
        <ns0:v>0</ns0:v>
      </ns0:c>
    </ns0:row>
    <ns0:row r="155">
      <ns0:c r="A155" s="0">
        <ns0:f>IFERROR(IF(ISNUMBER(Bookings!B155),"",TRIM(Bookings!B155&amp;"")),"")</ns0:f>
      </ns0:c>
      <ns0:c r="B155" s="0">
        <ns0:f>IFERROR(SUBSTITUTE(SUBSTITUTE(A155,"/","."),"-","."),"")</ns0:f>
      </ns0:c>
      <ns0:c r="C155" s="0">
        <ns0:f>IFERROR(LEFT(B155,FIND(".",B155)-1),"")</ns0:f>
      </ns0:c>
      <ns0:c r="D155" s="0">
        <ns0:f>IFERROR(MID(B155,FIND(".",B155)+1,FIND(".",B155,FIND(".",B155)+1)-FIND(".",B155)-1),"")</ns0:f>
      </ns0:c>
      <ns0:c r="E155" s="0">
        <ns0:f>IFERROR(MID(B155,FIND(".",B155,FIND(".",B155)+1)+1,99),"")</ns0:f>
        <ns0:v>99</ns0:v>
      </ns0:c>
      <ns0:c r="F155" s="0">
        <ns0:f>IFERROR(IF(FIND(".",B155)=5,--C155,--E155),0)</ns0:f>
        <ns0:v>0</ns0:v>
      </ns0:c>
      <ns0:c r="G155" s="0">
        <ns0:f>IFERROR(--D155,0)</ns0:f>
        <ns0:v>0</ns0:v>
      </ns0:c>
      <ns0:c r="H155" s="0">
        <ns0:f>IFERROR(IF(FIND(".",B155)=5,--E155,--C155),0)</ns0:f>
        <ns0:v>0</ns0:v>
      </ns0:c>
      <ns0:c r="I155" s="0">
        <ns0:f>IFERROR(IF(AND(F155&gt;=2000,F155&lt;=2100,G155&gt;=1,G155&lt;=12,H155&gt;=1,H155&lt;=31),DATE(F155,G155,H155),0),0)</ns0:f>
        <ns0:v>0</ns0:v>
      </ns0:c>
      <ns0:c r="J155" s="0">
        <ns0:f>IFERROR(IF(ISNUMBER(Bookings!B155),IF(AND(Bookings!B155=INT(Bookings!B155),Bookings!B155&gt;=DATE(2000,1,1),Bookings!B155&lt;=DATE(2100,12,31)),Bookings!B155,0),IF(AND(A155&lt;&gt;"",LEN("x"&amp;B155)-LEN(SUBSTITUTE("x"&amp;B155,".",""))=2,OR(1&gt;LEN(B155),MID(B155,1,1)=".",ISNUMBER(FIND("x"&amp;MID(B155,1,1),"x0x1x2x3x4x5x6x7x8x9"))),OR(2&gt;LEN(B155),MID(B155,2,1)=".",ISNUMBER(FIND("x"&amp;MID(B155,2,1),"x0x1x2x3x4x5x6x7x8x9"))),OR(3&gt;LEN(B155),MID(B155,3,1)=".",ISNUMBER(FIND("x"&amp;MID(B155,3,1),"x0x1x2x3x4x5x6x7x8x9"))),OR(4&gt;LEN(B155),MID(B155,4,1)=".",ISNUMBER(FIND("x"&amp;MID(B155,4,1),"x0x1x2x3x4x5x6x7x8x9"))),OR(5&gt;LEN(B155),MID(B155,5,1)=".",ISNUMBER(FIND("x"&amp;MID(B155,5,1),"x0x1x2x3x4x5x6x7x8x9"))),OR(6&gt;LEN(B155),MID(B155,6,1)=".",ISNUMBER(FIND("x"&amp;MID(B155,6,1),"x0x1x2x3x4x5x6x7x8x9"))),OR(7&gt;LEN(B155),MID(B155,7,1)=".",ISNUMBER(FIND("x"&amp;MID(B155,7,1),"x0x1x2x3x4x5x6x7x8x9"))),OR(8&gt;LEN(B155),MID(B155,8,1)=".",ISNUMBER(FIND("x"&amp;MID(B155,8,1),"x0x1x2x3x4x5x6x7x8x9"))),OR(9&gt;LEN(B155),MID(B155,9,1)=".",ISNUMBER(FIND("x"&amp;MID(B155,9,1),"x0x1x2x3x4x5x6x7x8x9"))),OR(10&gt;LEN(B155),MID(B155,10,1)=".",ISNUMBER(FIND("x"&amp;MID(B155,10,1),"x0x1x2x3x4x5x6x7x8x9"))),OR(AND(FIND(".",B155)=5,LEN(B155)-FIND(".",B155,FIND(".",B155)+1)&gt;=1,LEN(B155)-FIND(".",B155,FIND(".",B155)+1)&lt;=2),AND(LEN(B155)-FIND(".",B155,FIND(".",B155)+1)=4,FIND(".",B155)&gt;=2,FIND(".",B155)&lt;=3)),FIND(".",B155,FIND(".",B155)+1)-FIND(".",B155)&gt;=2,FIND(".",B155,FIND(".",B155)+1)-FIND(".",B155)&lt;=3,F155&gt;=2000,F155&lt;=2100,YEAR(I155)=F155,MONTH(I155)=G155,DAY(I155)=H155),I155,0)),0)</ns0:f>
        <ns0:v>0</ns0:v>
      </ns0:c>
      <ns0:c r="K155" s="0">
        <ns0:f>IFERROR(IF(ISNUMBER(Bookings!D155),"",TRIM(Bookings!D155&amp;"")),"")</ns0:f>
      </ns0:c>
      <ns0:c r="L155" s="0">
        <ns0:f>IFERROR(SUBSTITUTE(SUBSTITUTE(K155,"/","."),"-","."),"")</ns0:f>
      </ns0:c>
      <ns0:c r="M155" s="0">
        <ns0:f>IFERROR(LEFT(L155,FIND(".",L155)-1),"")</ns0:f>
      </ns0:c>
      <ns0:c r="N155" s="0">
        <ns0:f>IFERROR(MID(L155,FIND(".",L155)+1,FIND(".",L155,FIND(".",L155)+1)-FIND(".",L155)-1),"")</ns0:f>
      </ns0:c>
      <ns0:c r="O155" s="0">
        <ns0:f>IFERROR(MID(L155,FIND(".",L155,FIND(".",L155)+1)+1,99),"")</ns0:f>
        <ns0:v>99</ns0:v>
      </ns0:c>
      <ns0:c r="P155" s="0">
        <ns0:f>IFERROR(IF(FIND(".",L155)=5,--M155,--O155),0)</ns0:f>
        <ns0:v>0</ns0:v>
      </ns0:c>
      <ns0:c r="Q155" s="0">
        <ns0:f>IFERROR(--N155,0)</ns0:f>
        <ns0:v>0</ns0:v>
      </ns0:c>
      <ns0:c r="R155" s="0">
        <ns0:f>IFERROR(IF(FIND(".",L155)=5,--O155,--M155),0)</ns0:f>
        <ns0:v>0</ns0:v>
      </ns0:c>
      <ns0:c r="S155" s="0">
        <ns0:f>IFERROR(IF(AND(P155&gt;=2000,P155&lt;=2100,Q155&gt;=1,Q155&lt;=12,R155&gt;=1,R155&lt;=31),DATE(P155,Q155,R155),0),0)</ns0:f>
        <ns0:v>0</ns0:v>
      </ns0:c>
      <ns0:c r="T155" s="0">
        <ns0:f>IFERROR(IF(ISNUMBER(Bookings!D155),IF(AND(Bookings!D155=INT(Bookings!D155),Bookings!D155&gt;=DATE(2000,1,1),Bookings!D155&lt;=DATE(2100,12,31)),Bookings!D155,0),IF(AND(K155&lt;&gt;"",LEN("x"&amp;L155)-LEN(SUBSTITUTE("x"&amp;L155,".",""))=2,OR(1&gt;LEN(L155),MID(L155,1,1)=".",ISNUMBER(FIND("x"&amp;MID(L155,1,1),"x0x1x2x3x4x5x6x7x8x9"))),OR(2&gt;LEN(L155),MID(L155,2,1)=".",ISNUMBER(FIND("x"&amp;MID(L155,2,1),"x0x1x2x3x4x5x6x7x8x9"))),OR(3&gt;LEN(L155),MID(L155,3,1)=".",ISNUMBER(FIND("x"&amp;MID(L155,3,1),"x0x1x2x3x4x5x6x7x8x9"))),OR(4&gt;LEN(L155),MID(L155,4,1)=".",ISNUMBER(FIND("x"&amp;MID(L155,4,1),"x0x1x2x3x4x5x6x7x8x9"))),OR(5&gt;LEN(L155),MID(L155,5,1)=".",ISNUMBER(FIND("x"&amp;MID(L155,5,1),"x0x1x2x3x4x5x6x7x8x9"))),OR(6&gt;LEN(L155),MID(L155,6,1)=".",ISNUMBER(FIND("x"&amp;MID(L155,6,1),"x0x1x2x3x4x5x6x7x8x9"))),OR(7&gt;LEN(L155),MID(L155,7,1)=".",ISNUMBER(FIND("x"&amp;MID(L155,7,1),"x0x1x2x3x4x5x6x7x8x9"))),OR(8&gt;LEN(L155),MID(L155,8,1)=".",ISNUMBER(FIND("x"&amp;MID(L155,8,1),"x0x1x2x3x4x5x6x7x8x9"))),OR(9&gt;LEN(L155),MID(L155,9,1)=".",ISNUMBER(FIND("x"&amp;MID(L155,9,1),"x0x1x2x3x4x5x6x7x8x9"))),OR(10&gt;LEN(L155),MID(L155,10,1)=".",ISNUMBER(FIND("x"&amp;MID(L155,10,1),"x0x1x2x3x4x5x6x7x8x9"))),OR(AND(FIND(".",L155)=5,LEN(L155)-FIND(".",L155,FIND(".",L155)+1)&gt;=1,LEN(L155)-FIND(".",L155,FIND(".",L155)+1)&lt;=2),AND(LEN(L155)-FIND(".",L155,FIND(".",L155)+1)=4,FIND(".",L155)&gt;=2,FIND(".",L155)&lt;=3)),FIND(".",L155,FIND(".",L155)+1)-FIND(".",L155)&gt;=2,FIND(".",L155,FIND(".",L155)+1)-FIND(".",L155)&lt;=3,P155&gt;=2000,P155&lt;=2100,YEAR(S155)=P155,MONTH(S155)=Q155,DAY(S155)=R155),S155,0)),0)</ns0:f>
        <ns0:v>0</ns0:v>
      </ns0:c>
      <ns0:c r="U155" s="0" t="str">
        <ns0:f>IF(Bookings!C155="","Full day",Bookings!C155)</ns0:f>
        <ns0:v>Full day</ns0:v>
      </ns0:c>
      <ns0:c r="V155" s="0" t="str">
        <ns0:f>IF(Bookings!E155="","Full day",Bookings!E155)</ns0:f>
        <ns0:v>Full day</ns0:v>
      </ns0:c>
      <ns0:c r="W155" s="0">
        <ns0:f>IF(J155=0,0,J155+IF(U155="PM",1,0))</ns0:f>
        <ns0:v>0</ns0:v>
      </ns0:c>
      <ns0:c r="X155" s="0">
        <ns0:f>IF(T155=0,0,T155-IF(V155="PM",1,0))</ns0:f>
        <ns0:v>0</ns0:v>
      </ns0:c>
      <ns0:c r="Y155" s="0">
        <ns0:f>IF(J155=0,0,J155+IF(U155="AM",1,0))</ns0:f>
        <ns0:v>0</ns0:v>
      </ns0:c>
      <ns0:c r="Z155" s="0">
        <ns0:f>IF(T155=0,0,T155-IF(V155="AM",1,0))</ns0:f>
        <ns0:v>0</ns0:v>
      </ns0:c>
      <ns0:c r="AA155" s="0">
        <ns0:f>IFERROR(IF(AND(J155&gt;0,'_Engine'!C155&gt;0,MID('_Engine'!W155,WEEKDAY(J155,2),1)="W",COUNTIF(Settings!$F$18:$F$67,J155)=0),1,0),0)</ns0:f>
        <ns0:v>0</ns0:v>
      </ns0:c>
      <ns0:c r="AB155" s="0">
        <ns0:f>IFERROR(IF(AND(T155&gt;0,'_Engine'!C155&gt;0,MID('_Engine'!W155,WEEKDAY(T155,2),1)="W",COUNTIF(Settings!$F$18:$F$67,T155)=0),1,0),0)</ns0:f>
        <ns0:v>0</ns0:v>
      </ns0:c>
      <ns0:c r="AC155" s="0">
        <ns0:f>IF(AND(J155&gt;0,T155&gt;0,W155&lt;=X155),1,0)</ns0:f>
        <ns0:v>0</ns0:v>
      </ns0:c>
      <ns0:c r="AD155" s="0">
        <ns0:f>IF(AND(J155&gt;0,T155&gt;0,Y155&lt;=Z155),1,0)</ns0:f>
        <ns0:v>0</ns0:v>
      </ns0:c>
    </ns0:row>
    <ns0:row r="156">
      <ns0:c r="A156" s="0">
        <ns0:f>IFERROR(IF(ISNUMBER(Bookings!B156),"",TRIM(Bookings!B156&amp;"")),"")</ns0:f>
      </ns0:c>
      <ns0:c r="B156" s="0">
        <ns0:f>IFERROR(SUBSTITUTE(SUBSTITUTE(A156,"/","."),"-","."),"")</ns0:f>
      </ns0:c>
      <ns0:c r="C156" s="0">
        <ns0:f>IFERROR(LEFT(B156,FIND(".",B156)-1),"")</ns0:f>
      </ns0:c>
      <ns0:c r="D156" s="0">
        <ns0:f>IFERROR(MID(B156,FIND(".",B156)+1,FIND(".",B156,FIND(".",B156)+1)-FIND(".",B156)-1),"")</ns0:f>
      </ns0:c>
      <ns0:c r="E156" s="0">
        <ns0:f>IFERROR(MID(B156,FIND(".",B156,FIND(".",B156)+1)+1,99),"")</ns0:f>
        <ns0:v>99</ns0:v>
      </ns0:c>
      <ns0:c r="F156" s="0">
        <ns0:f>IFERROR(IF(FIND(".",B156)=5,--C156,--E156),0)</ns0:f>
        <ns0:v>0</ns0:v>
      </ns0:c>
      <ns0:c r="G156" s="0">
        <ns0:f>IFERROR(--D156,0)</ns0:f>
        <ns0:v>0</ns0:v>
      </ns0:c>
      <ns0:c r="H156" s="0">
        <ns0:f>IFERROR(IF(FIND(".",B156)=5,--E156,--C156),0)</ns0:f>
        <ns0:v>0</ns0:v>
      </ns0:c>
      <ns0:c r="I156" s="0">
        <ns0:f>IFERROR(IF(AND(F156&gt;=2000,F156&lt;=2100,G156&gt;=1,G156&lt;=12,H156&gt;=1,H156&lt;=31),DATE(F156,G156,H156),0),0)</ns0:f>
        <ns0:v>0</ns0:v>
      </ns0:c>
      <ns0:c r="J156" s="0">
        <ns0:f>IFERROR(IF(ISNUMBER(Bookings!B156),IF(AND(Bookings!B156=INT(Bookings!B156),Bookings!B156&gt;=DATE(2000,1,1),Bookings!B156&lt;=DATE(2100,12,31)),Bookings!B156,0),IF(AND(A156&lt;&gt;"",LEN("x"&amp;B156)-LEN(SUBSTITUTE("x"&amp;B156,".",""))=2,OR(1&gt;LEN(B156),MID(B156,1,1)=".",ISNUMBER(FIND("x"&amp;MID(B156,1,1),"x0x1x2x3x4x5x6x7x8x9"))),OR(2&gt;LEN(B156),MID(B156,2,1)=".",ISNUMBER(FIND("x"&amp;MID(B156,2,1),"x0x1x2x3x4x5x6x7x8x9"))),OR(3&gt;LEN(B156),MID(B156,3,1)=".",ISNUMBER(FIND("x"&amp;MID(B156,3,1),"x0x1x2x3x4x5x6x7x8x9"))),OR(4&gt;LEN(B156),MID(B156,4,1)=".",ISNUMBER(FIND("x"&amp;MID(B156,4,1),"x0x1x2x3x4x5x6x7x8x9"))),OR(5&gt;LEN(B156),MID(B156,5,1)=".",ISNUMBER(FIND("x"&amp;MID(B156,5,1),"x0x1x2x3x4x5x6x7x8x9"))),OR(6&gt;LEN(B156),MID(B156,6,1)=".",ISNUMBER(FIND("x"&amp;MID(B156,6,1),"x0x1x2x3x4x5x6x7x8x9"))),OR(7&gt;LEN(B156),MID(B156,7,1)=".",ISNUMBER(FIND("x"&amp;MID(B156,7,1),"x0x1x2x3x4x5x6x7x8x9"))),OR(8&gt;LEN(B156),MID(B156,8,1)=".",ISNUMBER(FIND("x"&amp;MID(B156,8,1),"x0x1x2x3x4x5x6x7x8x9"))),OR(9&gt;LEN(B156),MID(B156,9,1)=".",ISNUMBER(FIND("x"&amp;MID(B156,9,1),"x0x1x2x3x4x5x6x7x8x9"))),OR(10&gt;LEN(B156),MID(B156,10,1)=".",ISNUMBER(FIND("x"&amp;MID(B156,10,1),"x0x1x2x3x4x5x6x7x8x9"))),OR(AND(FIND(".",B156)=5,LEN(B156)-FIND(".",B156,FIND(".",B156)+1)&gt;=1,LEN(B156)-FIND(".",B156,FIND(".",B156)+1)&lt;=2),AND(LEN(B156)-FIND(".",B156,FIND(".",B156)+1)=4,FIND(".",B156)&gt;=2,FIND(".",B156)&lt;=3)),FIND(".",B156,FIND(".",B156)+1)-FIND(".",B156)&gt;=2,FIND(".",B156,FIND(".",B156)+1)-FIND(".",B156)&lt;=3,F156&gt;=2000,F156&lt;=2100,YEAR(I156)=F156,MONTH(I156)=G156,DAY(I156)=H156),I156,0)),0)</ns0:f>
        <ns0:v>0</ns0:v>
      </ns0:c>
      <ns0:c r="K156" s="0">
        <ns0:f>IFERROR(IF(ISNUMBER(Bookings!D156),"",TRIM(Bookings!D156&amp;"")),"")</ns0:f>
      </ns0:c>
      <ns0:c r="L156" s="0">
        <ns0:f>IFERROR(SUBSTITUTE(SUBSTITUTE(K156,"/","."),"-","."),"")</ns0:f>
      </ns0:c>
      <ns0:c r="M156" s="0">
        <ns0:f>IFERROR(LEFT(L156,FIND(".",L156)-1),"")</ns0:f>
      </ns0:c>
      <ns0:c r="N156" s="0">
        <ns0:f>IFERROR(MID(L156,FIND(".",L156)+1,FIND(".",L156,FIND(".",L156)+1)-FIND(".",L156)-1),"")</ns0:f>
      </ns0:c>
      <ns0:c r="O156" s="0">
        <ns0:f>IFERROR(MID(L156,FIND(".",L156,FIND(".",L156)+1)+1,99),"")</ns0:f>
        <ns0:v>99</ns0:v>
      </ns0:c>
      <ns0:c r="P156" s="0">
        <ns0:f>IFERROR(IF(FIND(".",L156)=5,--M156,--O156),0)</ns0:f>
        <ns0:v>0</ns0:v>
      </ns0:c>
      <ns0:c r="Q156" s="0">
        <ns0:f>IFERROR(--N156,0)</ns0:f>
        <ns0:v>0</ns0:v>
      </ns0:c>
      <ns0:c r="R156" s="0">
        <ns0:f>IFERROR(IF(FIND(".",L156)=5,--O156,--M156),0)</ns0:f>
        <ns0:v>0</ns0:v>
      </ns0:c>
      <ns0:c r="S156" s="0">
        <ns0:f>IFERROR(IF(AND(P156&gt;=2000,P156&lt;=2100,Q156&gt;=1,Q156&lt;=12,R156&gt;=1,R156&lt;=31),DATE(P156,Q156,R156),0),0)</ns0:f>
        <ns0:v>0</ns0:v>
      </ns0:c>
      <ns0:c r="T156" s="0">
        <ns0:f>IFERROR(IF(ISNUMBER(Bookings!D156),IF(AND(Bookings!D156=INT(Bookings!D156),Bookings!D156&gt;=DATE(2000,1,1),Bookings!D156&lt;=DATE(2100,12,31)),Bookings!D156,0),IF(AND(K156&lt;&gt;"",LEN("x"&amp;L156)-LEN(SUBSTITUTE("x"&amp;L156,".",""))=2,OR(1&gt;LEN(L156),MID(L156,1,1)=".",ISNUMBER(FIND("x"&amp;MID(L156,1,1),"x0x1x2x3x4x5x6x7x8x9"))),OR(2&gt;LEN(L156),MID(L156,2,1)=".",ISNUMBER(FIND("x"&amp;MID(L156,2,1),"x0x1x2x3x4x5x6x7x8x9"))),OR(3&gt;LEN(L156),MID(L156,3,1)=".",ISNUMBER(FIND("x"&amp;MID(L156,3,1),"x0x1x2x3x4x5x6x7x8x9"))),OR(4&gt;LEN(L156),MID(L156,4,1)=".",ISNUMBER(FIND("x"&amp;MID(L156,4,1),"x0x1x2x3x4x5x6x7x8x9"))),OR(5&gt;LEN(L156),MID(L156,5,1)=".",ISNUMBER(FIND("x"&amp;MID(L156,5,1),"x0x1x2x3x4x5x6x7x8x9"))),OR(6&gt;LEN(L156),MID(L156,6,1)=".",ISNUMBER(FIND("x"&amp;MID(L156,6,1),"x0x1x2x3x4x5x6x7x8x9"))),OR(7&gt;LEN(L156),MID(L156,7,1)=".",ISNUMBER(FIND("x"&amp;MID(L156,7,1),"x0x1x2x3x4x5x6x7x8x9"))),OR(8&gt;LEN(L156),MID(L156,8,1)=".",ISNUMBER(FIND("x"&amp;MID(L156,8,1),"x0x1x2x3x4x5x6x7x8x9"))),OR(9&gt;LEN(L156),MID(L156,9,1)=".",ISNUMBER(FIND("x"&amp;MID(L156,9,1),"x0x1x2x3x4x5x6x7x8x9"))),OR(10&gt;LEN(L156),MID(L156,10,1)=".",ISNUMBER(FIND("x"&amp;MID(L156,10,1),"x0x1x2x3x4x5x6x7x8x9"))),OR(AND(FIND(".",L156)=5,LEN(L156)-FIND(".",L156,FIND(".",L156)+1)&gt;=1,LEN(L156)-FIND(".",L156,FIND(".",L156)+1)&lt;=2),AND(LEN(L156)-FIND(".",L156,FIND(".",L156)+1)=4,FIND(".",L156)&gt;=2,FIND(".",L156)&lt;=3)),FIND(".",L156,FIND(".",L156)+1)-FIND(".",L156)&gt;=2,FIND(".",L156,FIND(".",L156)+1)-FIND(".",L156)&lt;=3,P156&gt;=2000,P156&lt;=2100,YEAR(S156)=P156,MONTH(S156)=Q156,DAY(S156)=R156),S156,0)),0)</ns0:f>
        <ns0:v>0</ns0:v>
      </ns0:c>
      <ns0:c r="U156" s="0" t="str">
        <ns0:f>IF(Bookings!C156="","Full day",Bookings!C156)</ns0:f>
        <ns0:v>Full day</ns0:v>
      </ns0:c>
      <ns0:c r="V156" s="0" t="str">
        <ns0:f>IF(Bookings!E156="","Full day",Bookings!E156)</ns0:f>
        <ns0:v>Full day</ns0:v>
      </ns0:c>
      <ns0:c r="W156" s="0">
        <ns0:f>IF(J156=0,0,J156+IF(U156="PM",1,0))</ns0:f>
        <ns0:v>0</ns0:v>
      </ns0:c>
      <ns0:c r="X156" s="0">
        <ns0:f>IF(T156=0,0,T156-IF(V156="PM",1,0))</ns0:f>
        <ns0:v>0</ns0:v>
      </ns0:c>
      <ns0:c r="Y156" s="0">
        <ns0:f>IF(J156=0,0,J156+IF(U156="AM",1,0))</ns0:f>
        <ns0:v>0</ns0:v>
      </ns0:c>
      <ns0:c r="Z156" s="0">
        <ns0:f>IF(T156=0,0,T156-IF(V156="AM",1,0))</ns0:f>
        <ns0:v>0</ns0:v>
      </ns0:c>
      <ns0:c r="AA156" s="0">
        <ns0:f>IFERROR(IF(AND(J156&gt;0,'_Engine'!C156&gt;0,MID('_Engine'!W156,WEEKDAY(J156,2),1)="W",COUNTIF(Settings!$F$18:$F$67,J156)=0),1,0),0)</ns0:f>
        <ns0:v>0</ns0:v>
      </ns0:c>
      <ns0:c r="AB156" s="0">
        <ns0:f>IFERROR(IF(AND(T156&gt;0,'_Engine'!C156&gt;0,MID('_Engine'!W156,WEEKDAY(T156,2),1)="W",COUNTIF(Settings!$F$18:$F$67,T156)=0),1,0),0)</ns0:f>
        <ns0:v>0</ns0:v>
      </ns0:c>
      <ns0:c r="AC156" s="0">
        <ns0:f>IF(AND(J156&gt;0,T156&gt;0,W156&lt;=X156),1,0)</ns0:f>
        <ns0:v>0</ns0:v>
      </ns0:c>
      <ns0:c r="AD156" s="0">
        <ns0:f>IF(AND(J156&gt;0,T156&gt;0,Y156&lt;=Z156),1,0)</ns0:f>
        <ns0:v>0</ns0:v>
      </ns0:c>
    </ns0:row>
    <ns0:row r="157">
      <ns0:c r="A157" s="0">
        <ns0:f>IFERROR(IF(ISNUMBER(Bookings!B157),"",TRIM(Bookings!B157&amp;"")),"")</ns0:f>
      </ns0:c>
      <ns0:c r="B157" s="0">
        <ns0:f>IFERROR(SUBSTITUTE(SUBSTITUTE(A157,"/","."),"-","."),"")</ns0:f>
      </ns0:c>
      <ns0:c r="C157" s="0">
        <ns0:f>IFERROR(LEFT(B157,FIND(".",B157)-1),"")</ns0:f>
      </ns0:c>
      <ns0:c r="D157" s="0">
        <ns0:f>IFERROR(MID(B157,FIND(".",B157)+1,FIND(".",B157,FIND(".",B157)+1)-FIND(".",B157)-1),"")</ns0:f>
      </ns0:c>
      <ns0:c r="E157" s="0">
        <ns0:f>IFERROR(MID(B157,FIND(".",B157,FIND(".",B157)+1)+1,99),"")</ns0:f>
        <ns0:v>99</ns0:v>
      </ns0:c>
      <ns0:c r="F157" s="0">
        <ns0:f>IFERROR(IF(FIND(".",B157)=5,--C157,--E157),0)</ns0:f>
        <ns0:v>0</ns0:v>
      </ns0:c>
      <ns0:c r="G157" s="0">
        <ns0:f>IFERROR(--D157,0)</ns0:f>
        <ns0:v>0</ns0:v>
      </ns0:c>
      <ns0:c r="H157" s="0">
        <ns0:f>IFERROR(IF(FIND(".",B157)=5,--E157,--C157),0)</ns0:f>
        <ns0:v>0</ns0:v>
      </ns0:c>
      <ns0:c r="I157" s="0">
        <ns0:f>IFERROR(IF(AND(F157&gt;=2000,F157&lt;=2100,G157&gt;=1,G157&lt;=12,H157&gt;=1,H157&lt;=31),DATE(F157,G157,H157),0),0)</ns0:f>
        <ns0:v>0</ns0:v>
      </ns0:c>
      <ns0:c r="J157" s="0">
        <ns0:f>IFERROR(IF(ISNUMBER(Bookings!B157),IF(AND(Bookings!B157=INT(Bookings!B157),Bookings!B157&gt;=DATE(2000,1,1),Bookings!B157&lt;=DATE(2100,12,31)),Bookings!B157,0),IF(AND(A157&lt;&gt;"",LEN("x"&amp;B157)-LEN(SUBSTITUTE("x"&amp;B157,".",""))=2,OR(1&gt;LEN(B157),MID(B157,1,1)=".",ISNUMBER(FIND("x"&amp;MID(B157,1,1),"x0x1x2x3x4x5x6x7x8x9"))),OR(2&gt;LEN(B157),MID(B157,2,1)=".",ISNUMBER(FIND("x"&amp;MID(B157,2,1),"x0x1x2x3x4x5x6x7x8x9"))),OR(3&gt;LEN(B157),MID(B157,3,1)=".",ISNUMBER(FIND("x"&amp;MID(B157,3,1),"x0x1x2x3x4x5x6x7x8x9"))),OR(4&gt;LEN(B157),MID(B157,4,1)=".",ISNUMBER(FIND("x"&amp;MID(B157,4,1),"x0x1x2x3x4x5x6x7x8x9"))),OR(5&gt;LEN(B157),MID(B157,5,1)=".",ISNUMBER(FIND("x"&amp;MID(B157,5,1),"x0x1x2x3x4x5x6x7x8x9"))),OR(6&gt;LEN(B157),MID(B157,6,1)=".",ISNUMBER(FIND("x"&amp;MID(B157,6,1),"x0x1x2x3x4x5x6x7x8x9"))),OR(7&gt;LEN(B157),MID(B157,7,1)=".",ISNUMBER(FIND("x"&amp;MID(B157,7,1),"x0x1x2x3x4x5x6x7x8x9"))),OR(8&gt;LEN(B157),MID(B157,8,1)=".",ISNUMBER(FIND("x"&amp;MID(B157,8,1),"x0x1x2x3x4x5x6x7x8x9"))),OR(9&gt;LEN(B157),MID(B157,9,1)=".",ISNUMBER(FIND("x"&amp;MID(B157,9,1),"x0x1x2x3x4x5x6x7x8x9"))),OR(10&gt;LEN(B157),MID(B157,10,1)=".",ISNUMBER(FIND("x"&amp;MID(B157,10,1),"x0x1x2x3x4x5x6x7x8x9"))),OR(AND(FIND(".",B157)=5,LEN(B157)-FIND(".",B157,FIND(".",B157)+1)&gt;=1,LEN(B157)-FIND(".",B157,FIND(".",B157)+1)&lt;=2),AND(LEN(B157)-FIND(".",B157,FIND(".",B157)+1)=4,FIND(".",B157)&gt;=2,FIND(".",B157)&lt;=3)),FIND(".",B157,FIND(".",B157)+1)-FIND(".",B157)&gt;=2,FIND(".",B157,FIND(".",B157)+1)-FIND(".",B157)&lt;=3,F157&gt;=2000,F157&lt;=2100,YEAR(I157)=F157,MONTH(I157)=G157,DAY(I157)=H157),I157,0)),0)</ns0:f>
        <ns0:v>0</ns0:v>
      </ns0:c>
      <ns0:c r="K157" s="0">
        <ns0:f>IFERROR(IF(ISNUMBER(Bookings!D157),"",TRIM(Bookings!D157&amp;"")),"")</ns0:f>
      </ns0:c>
      <ns0:c r="L157" s="0">
        <ns0:f>IFERROR(SUBSTITUTE(SUBSTITUTE(K157,"/","."),"-","."),"")</ns0:f>
      </ns0:c>
      <ns0:c r="M157" s="0">
        <ns0:f>IFERROR(LEFT(L157,FIND(".",L157)-1),"")</ns0:f>
      </ns0:c>
      <ns0:c r="N157" s="0">
        <ns0:f>IFERROR(MID(L157,FIND(".",L157)+1,FIND(".",L157,FIND(".",L157)+1)-FIND(".",L157)-1),"")</ns0:f>
      </ns0:c>
      <ns0:c r="O157" s="0">
        <ns0:f>IFERROR(MID(L157,FIND(".",L157,FIND(".",L157)+1)+1,99),"")</ns0:f>
        <ns0:v>99</ns0:v>
      </ns0:c>
      <ns0:c r="P157" s="0">
        <ns0:f>IFERROR(IF(FIND(".",L157)=5,--M157,--O157),0)</ns0:f>
        <ns0:v>0</ns0:v>
      </ns0:c>
      <ns0:c r="Q157" s="0">
        <ns0:f>IFERROR(--N157,0)</ns0:f>
        <ns0:v>0</ns0:v>
      </ns0:c>
      <ns0:c r="R157" s="0">
        <ns0:f>IFERROR(IF(FIND(".",L157)=5,--O157,--M157),0)</ns0:f>
        <ns0:v>0</ns0:v>
      </ns0:c>
      <ns0:c r="S157" s="0">
        <ns0:f>IFERROR(IF(AND(P157&gt;=2000,P157&lt;=2100,Q157&gt;=1,Q157&lt;=12,R157&gt;=1,R157&lt;=31),DATE(P157,Q157,R157),0),0)</ns0:f>
        <ns0:v>0</ns0:v>
      </ns0:c>
      <ns0:c r="T157" s="0">
        <ns0:f>IFERROR(IF(ISNUMBER(Bookings!D157),IF(AND(Bookings!D157=INT(Bookings!D157),Bookings!D157&gt;=DATE(2000,1,1),Bookings!D157&lt;=DATE(2100,12,31)),Bookings!D157,0),IF(AND(K157&lt;&gt;"",LEN("x"&amp;L157)-LEN(SUBSTITUTE("x"&amp;L157,".",""))=2,OR(1&gt;LEN(L157),MID(L157,1,1)=".",ISNUMBER(FIND("x"&amp;MID(L157,1,1),"x0x1x2x3x4x5x6x7x8x9"))),OR(2&gt;LEN(L157),MID(L157,2,1)=".",ISNUMBER(FIND("x"&amp;MID(L157,2,1),"x0x1x2x3x4x5x6x7x8x9"))),OR(3&gt;LEN(L157),MID(L157,3,1)=".",ISNUMBER(FIND("x"&amp;MID(L157,3,1),"x0x1x2x3x4x5x6x7x8x9"))),OR(4&gt;LEN(L157),MID(L157,4,1)=".",ISNUMBER(FIND("x"&amp;MID(L157,4,1),"x0x1x2x3x4x5x6x7x8x9"))),OR(5&gt;LEN(L157),MID(L157,5,1)=".",ISNUMBER(FIND("x"&amp;MID(L157,5,1),"x0x1x2x3x4x5x6x7x8x9"))),OR(6&gt;LEN(L157),MID(L157,6,1)=".",ISNUMBER(FIND("x"&amp;MID(L157,6,1),"x0x1x2x3x4x5x6x7x8x9"))),OR(7&gt;LEN(L157),MID(L157,7,1)=".",ISNUMBER(FIND("x"&amp;MID(L157,7,1),"x0x1x2x3x4x5x6x7x8x9"))),OR(8&gt;LEN(L157),MID(L157,8,1)=".",ISNUMBER(FIND("x"&amp;MID(L157,8,1),"x0x1x2x3x4x5x6x7x8x9"))),OR(9&gt;LEN(L157),MID(L157,9,1)=".",ISNUMBER(FIND("x"&amp;MID(L157,9,1),"x0x1x2x3x4x5x6x7x8x9"))),OR(10&gt;LEN(L157),MID(L157,10,1)=".",ISNUMBER(FIND("x"&amp;MID(L157,10,1),"x0x1x2x3x4x5x6x7x8x9"))),OR(AND(FIND(".",L157)=5,LEN(L157)-FIND(".",L157,FIND(".",L157)+1)&gt;=1,LEN(L157)-FIND(".",L157,FIND(".",L157)+1)&lt;=2),AND(LEN(L157)-FIND(".",L157,FIND(".",L157)+1)=4,FIND(".",L157)&gt;=2,FIND(".",L157)&lt;=3)),FIND(".",L157,FIND(".",L157)+1)-FIND(".",L157)&gt;=2,FIND(".",L157,FIND(".",L157)+1)-FIND(".",L157)&lt;=3,P157&gt;=2000,P157&lt;=2100,YEAR(S157)=P157,MONTH(S157)=Q157,DAY(S157)=R157),S157,0)),0)</ns0:f>
        <ns0:v>0</ns0:v>
      </ns0:c>
      <ns0:c r="U157" s="0" t="str">
        <ns0:f>IF(Bookings!C157="","Full day",Bookings!C157)</ns0:f>
        <ns0:v>Full day</ns0:v>
      </ns0:c>
      <ns0:c r="V157" s="0" t="str">
        <ns0:f>IF(Bookings!E157="","Full day",Bookings!E157)</ns0:f>
        <ns0:v>Full day</ns0:v>
      </ns0:c>
      <ns0:c r="W157" s="0">
        <ns0:f>IF(J157=0,0,J157+IF(U157="PM",1,0))</ns0:f>
        <ns0:v>0</ns0:v>
      </ns0:c>
      <ns0:c r="X157" s="0">
        <ns0:f>IF(T157=0,0,T157-IF(V157="PM",1,0))</ns0:f>
        <ns0:v>0</ns0:v>
      </ns0:c>
      <ns0:c r="Y157" s="0">
        <ns0:f>IF(J157=0,0,J157+IF(U157="AM",1,0))</ns0:f>
        <ns0:v>0</ns0:v>
      </ns0:c>
      <ns0:c r="Z157" s="0">
        <ns0:f>IF(T157=0,0,T157-IF(V157="AM",1,0))</ns0:f>
        <ns0:v>0</ns0:v>
      </ns0:c>
      <ns0:c r="AA157" s="0">
        <ns0:f>IFERROR(IF(AND(J157&gt;0,'_Engine'!C157&gt;0,MID('_Engine'!W157,WEEKDAY(J157,2),1)="W",COUNTIF(Settings!$F$18:$F$67,J157)=0),1,0),0)</ns0:f>
        <ns0:v>0</ns0:v>
      </ns0:c>
      <ns0:c r="AB157" s="0">
        <ns0:f>IFERROR(IF(AND(T157&gt;0,'_Engine'!C157&gt;0,MID('_Engine'!W157,WEEKDAY(T157,2),1)="W",COUNTIF(Settings!$F$18:$F$67,T157)=0),1,0),0)</ns0:f>
        <ns0:v>0</ns0:v>
      </ns0:c>
      <ns0:c r="AC157" s="0">
        <ns0:f>IF(AND(J157&gt;0,T157&gt;0,W157&lt;=X157),1,0)</ns0:f>
        <ns0:v>0</ns0:v>
      </ns0:c>
      <ns0:c r="AD157" s="0">
        <ns0:f>IF(AND(J157&gt;0,T157&gt;0,Y157&lt;=Z157),1,0)</ns0:f>
        <ns0:v>0</ns0:v>
      </ns0:c>
    </ns0:row>
    <ns0:row r="158">
      <ns0:c r="A158" s="0">
        <ns0:f>IFERROR(IF(ISNUMBER(Bookings!B158),"",TRIM(Bookings!B158&amp;"")),"")</ns0:f>
      </ns0:c>
      <ns0:c r="B158" s="0">
        <ns0:f>IFERROR(SUBSTITUTE(SUBSTITUTE(A158,"/","."),"-","."),"")</ns0:f>
      </ns0:c>
      <ns0:c r="C158" s="0">
        <ns0:f>IFERROR(LEFT(B158,FIND(".",B158)-1),"")</ns0:f>
      </ns0:c>
      <ns0:c r="D158" s="0">
        <ns0:f>IFERROR(MID(B158,FIND(".",B158)+1,FIND(".",B158,FIND(".",B158)+1)-FIND(".",B158)-1),"")</ns0:f>
      </ns0:c>
      <ns0:c r="E158" s="0">
        <ns0:f>IFERROR(MID(B158,FIND(".",B158,FIND(".",B158)+1)+1,99),"")</ns0:f>
        <ns0:v>99</ns0:v>
      </ns0:c>
      <ns0:c r="F158" s="0">
        <ns0:f>IFERROR(IF(FIND(".",B158)=5,--C158,--E158),0)</ns0:f>
        <ns0:v>0</ns0:v>
      </ns0:c>
      <ns0:c r="G158" s="0">
        <ns0:f>IFERROR(--D158,0)</ns0:f>
        <ns0:v>0</ns0:v>
      </ns0:c>
      <ns0:c r="H158" s="0">
        <ns0:f>IFERROR(IF(FIND(".",B158)=5,--E158,--C158),0)</ns0:f>
        <ns0:v>0</ns0:v>
      </ns0:c>
      <ns0:c r="I158" s="0">
        <ns0:f>IFERROR(IF(AND(F158&gt;=2000,F158&lt;=2100,G158&gt;=1,G158&lt;=12,H158&gt;=1,H158&lt;=31),DATE(F158,G158,H158),0),0)</ns0:f>
        <ns0:v>0</ns0:v>
      </ns0:c>
      <ns0:c r="J158" s="0">
        <ns0:f>IFERROR(IF(ISNUMBER(Bookings!B158),IF(AND(Bookings!B158=INT(Bookings!B158),Bookings!B158&gt;=DATE(2000,1,1),Bookings!B158&lt;=DATE(2100,12,31)),Bookings!B158,0),IF(AND(A158&lt;&gt;"",LEN("x"&amp;B158)-LEN(SUBSTITUTE("x"&amp;B158,".",""))=2,OR(1&gt;LEN(B158),MID(B158,1,1)=".",ISNUMBER(FIND("x"&amp;MID(B158,1,1),"x0x1x2x3x4x5x6x7x8x9"))),OR(2&gt;LEN(B158),MID(B158,2,1)=".",ISNUMBER(FIND("x"&amp;MID(B158,2,1),"x0x1x2x3x4x5x6x7x8x9"))),OR(3&gt;LEN(B158),MID(B158,3,1)=".",ISNUMBER(FIND("x"&amp;MID(B158,3,1),"x0x1x2x3x4x5x6x7x8x9"))),OR(4&gt;LEN(B158),MID(B158,4,1)=".",ISNUMBER(FIND("x"&amp;MID(B158,4,1),"x0x1x2x3x4x5x6x7x8x9"))),OR(5&gt;LEN(B158),MID(B158,5,1)=".",ISNUMBER(FIND("x"&amp;MID(B158,5,1),"x0x1x2x3x4x5x6x7x8x9"))),OR(6&gt;LEN(B158),MID(B158,6,1)=".",ISNUMBER(FIND("x"&amp;MID(B158,6,1),"x0x1x2x3x4x5x6x7x8x9"))),OR(7&gt;LEN(B158),MID(B158,7,1)=".",ISNUMBER(FIND("x"&amp;MID(B158,7,1),"x0x1x2x3x4x5x6x7x8x9"))),OR(8&gt;LEN(B158),MID(B158,8,1)=".",ISNUMBER(FIND("x"&amp;MID(B158,8,1),"x0x1x2x3x4x5x6x7x8x9"))),OR(9&gt;LEN(B158),MID(B158,9,1)=".",ISNUMBER(FIND("x"&amp;MID(B158,9,1),"x0x1x2x3x4x5x6x7x8x9"))),OR(10&gt;LEN(B158),MID(B158,10,1)=".",ISNUMBER(FIND("x"&amp;MID(B158,10,1),"x0x1x2x3x4x5x6x7x8x9"))),OR(AND(FIND(".",B158)=5,LEN(B158)-FIND(".",B158,FIND(".",B158)+1)&gt;=1,LEN(B158)-FIND(".",B158,FIND(".",B158)+1)&lt;=2),AND(LEN(B158)-FIND(".",B158,FIND(".",B158)+1)=4,FIND(".",B158)&gt;=2,FIND(".",B158)&lt;=3)),FIND(".",B158,FIND(".",B158)+1)-FIND(".",B158)&gt;=2,FIND(".",B158,FIND(".",B158)+1)-FIND(".",B158)&lt;=3,F158&gt;=2000,F158&lt;=2100,YEAR(I158)=F158,MONTH(I158)=G158,DAY(I158)=H158),I158,0)),0)</ns0:f>
        <ns0:v>0</ns0:v>
      </ns0:c>
      <ns0:c r="K158" s="0">
        <ns0:f>IFERROR(IF(ISNUMBER(Bookings!D158),"",TRIM(Bookings!D158&amp;"")),"")</ns0:f>
      </ns0:c>
      <ns0:c r="L158" s="0">
        <ns0:f>IFERROR(SUBSTITUTE(SUBSTITUTE(K158,"/","."),"-","."),"")</ns0:f>
      </ns0:c>
      <ns0:c r="M158" s="0">
        <ns0:f>IFERROR(LEFT(L158,FIND(".",L158)-1),"")</ns0:f>
      </ns0:c>
      <ns0:c r="N158" s="0">
        <ns0:f>IFERROR(MID(L158,FIND(".",L158)+1,FIND(".",L158,FIND(".",L158)+1)-FIND(".",L158)-1),"")</ns0:f>
      </ns0:c>
      <ns0:c r="O158" s="0">
        <ns0:f>IFERROR(MID(L158,FIND(".",L158,FIND(".",L158)+1)+1,99),"")</ns0:f>
        <ns0:v>99</ns0:v>
      </ns0:c>
      <ns0:c r="P158" s="0">
        <ns0:f>IFERROR(IF(FIND(".",L158)=5,--M158,--O158),0)</ns0:f>
        <ns0:v>0</ns0:v>
      </ns0:c>
      <ns0:c r="Q158" s="0">
        <ns0:f>IFERROR(--N158,0)</ns0:f>
        <ns0:v>0</ns0:v>
      </ns0:c>
      <ns0:c r="R158" s="0">
        <ns0:f>IFERROR(IF(FIND(".",L158)=5,--O158,--M158),0)</ns0:f>
        <ns0:v>0</ns0:v>
      </ns0:c>
      <ns0:c r="S158" s="0">
        <ns0:f>IFERROR(IF(AND(P158&gt;=2000,P158&lt;=2100,Q158&gt;=1,Q158&lt;=12,R158&gt;=1,R158&lt;=31),DATE(P158,Q158,R158),0),0)</ns0:f>
        <ns0:v>0</ns0:v>
      </ns0:c>
      <ns0:c r="T158" s="0">
        <ns0:f>IFERROR(IF(ISNUMBER(Bookings!D158),IF(AND(Bookings!D158=INT(Bookings!D158),Bookings!D158&gt;=DATE(2000,1,1),Bookings!D158&lt;=DATE(2100,12,31)),Bookings!D158,0),IF(AND(K158&lt;&gt;"",LEN("x"&amp;L158)-LEN(SUBSTITUTE("x"&amp;L158,".",""))=2,OR(1&gt;LEN(L158),MID(L158,1,1)=".",ISNUMBER(FIND("x"&amp;MID(L158,1,1),"x0x1x2x3x4x5x6x7x8x9"))),OR(2&gt;LEN(L158),MID(L158,2,1)=".",ISNUMBER(FIND("x"&amp;MID(L158,2,1),"x0x1x2x3x4x5x6x7x8x9"))),OR(3&gt;LEN(L158),MID(L158,3,1)=".",ISNUMBER(FIND("x"&amp;MID(L158,3,1),"x0x1x2x3x4x5x6x7x8x9"))),OR(4&gt;LEN(L158),MID(L158,4,1)=".",ISNUMBER(FIND("x"&amp;MID(L158,4,1),"x0x1x2x3x4x5x6x7x8x9"))),OR(5&gt;LEN(L158),MID(L158,5,1)=".",ISNUMBER(FIND("x"&amp;MID(L158,5,1),"x0x1x2x3x4x5x6x7x8x9"))),OR(6&gt;LEN(L158),MID(L158,6,1)=".",ISNUMBER(FIND("x"&amp;MID(L158,6,1),"x0x1x2x3x4x5x6x7x8x9"))),OR(7&gt;LEN(L158),MID(L158,7,1)=".",ISNUMBER(FIND("x"&amp;MID(L158,7,1),"x0x1x2x3x4x5x6x7x8x9"))),OR(8&gt;LEN(L158),MID(L158,8,1)=".",ISNUMBER(FIND("x"&amp;MID(L158,8,1),"x0x1x2x3x4x5x6x7x8x9"))),OR(9&gt;LEN(L158),MID(L158,9,1)=".",ISNUMBER(FIND("x"&amp;MID(L158,9,1),"x0x1x2x3x4x5x6x7x8x9"))),OR(10&gt;LEN(L158),MID(L158,10,1)=".",ISNUMBER(FIND("x"&amp;MID(L158,10,1),"x0x1x2x3x4x5x6x7x8x9"))),OR(AND(FIND(".",L158)=5,LEN(L158)-FIND(".",L158,FIND(".",L158)+1)&gt;=1,LEN(L158)-FIND(".",L158,FIND(".",L158)+1)&lt;=2),AND(LEN(L158)-FIND(".",L158,FIND(".",L158)+1)=4,FIND(".",L158)&gt;=2,FIND(".",L158)&lt;=3)),FIND(".",L158,FIND(".",L158)+1)-FIND(".",L158)&gt;=2,FIND(".",L158,FIND(".",L158)+1)-FIND(".",L158)&lt;=3,P158&gt;=2000,P158&lt;=2100,YEAR(S158)=P158,MONTH(S158)=Q158,DAY(S158)=R158),S158,0)),0)</ns0:f>
        <ns0:v>0</ns0:v>
      </ns0:c>
      <ns0:c r="U158" s="0" t="str">
        <ns0:f>IF(Bookings!C158="","Full day",Bookings!C158)</ns0:f>
        <ns0:v>Full day</ns0:v>
      </ns0:c>
      <ns0:c r="V158" s="0" t="str">
        <ns0:f>IF(Bookings!E158="","Full day",Bookings!E158)</ns0:f>
        <ns0:v>Full day</ns0:v>
      </ns0:c>
      <ns0:c r="W158" s="0">
        <ns0:f>IF(J158=0,0,J158+IF(U158="PM",1,0))</ns0:f>
        <ns0:v>0</ns0:v>
      </ns0:c>
      <ns0:c r="X158" s="0">
        <ns0:f>IF(T158=0,0,T158-IF(V158="PM",1,0))</ns0:f>
        <ns0:v>0</ns0:v>
      </ns0:c>
      <ns0:c r="Y158" s="0">
        <ns0:f>IF(J158=0,0,J158+IF(U158="AM",1,0))</ns0:f>
        <ns0:v>0</ns0:v>
      </ns0:c>
      <ns0:c r="Z158" s="0">
        <ns0:f>IF(T158=0,0,T158-IF(V158="AM",1,0))</ns0:f>
        <ns0:v>0</ns0:v>
      </ns0:c>
      <ns0:c r="AA158" s="0">
        <ns0:f>IFERROR(IF(AND(J158&gt;0,'_Engine'!C158&gt;0,MID('_Engine'!W158,WEEKDAY(J158,2),1)="W",COUNTIF(Settings!$F$18:$F$67,J158)=0),1,0),0)</ns0:f>
        <ns0:v>0</ns0:v>
      </ns0:c>
      <ns0:c r="AB158" s="0">
        <ns0:f>IFERROR(IF(AND(T158&gt;0,'_Engine'!C158&gt;0,MID('_Engine'!W158,WEEKDAY(T158,2),1)="W",COUNTIF(Settings!$F$18:$F$67,T158)=0),1,0),0)</ns0:f>
        <ns0:v>0</ns0:v>
      </ns0:c>
      <ns0:c r="AC158" s="0">
        <ns0:f>IF(AND(J158&gt;0,T158&gt;0,W158&lt;=X158),1,0)</ns0:f>
        <ns0:v>0</ns0:v>
      </ns0:c>
      <ns0:c r="AD158" s="0">
        <ns0:f>IF(AND(J158&gt;0,T158&gt;0,Y158&lt;=Z158),1,0)</ns0:f>
        <ns0:v>0</ns0:v>
      </ns0:c>
    </ns0:row>
    <ns0:row r="159">
      <ns0:c r="A159" s="0">
        <ns0:f>IFERROR(IF(ISNUMBER(Bookings!B159),"",TRIM(Bookings!B159&amp;"")),"")</ns0:f>
      </ns0:c>
      <ns0:c r="B159" s="0">
        <ns0:f>IFERROR(SUBSTITUTE(SUBSTITUTE(A159,"/","."),"-","."),"")</ns0:f>
      </ns0:c>
      <ns0:c r="C159" s="0">
        <ns0:f>IFERROR(LEFT(B159,FIND(".",B159)-1),"")</ns0:f>
      </ns0:c>
      <ns0:c r="D159" s="0">
        <ns0:f>IFERROR(MID(B159,FIND(".",B159)+1,FIND(".",B159,FIND(".",B159)+1)-FIND(".",B159)-1),"")</ns0:f>
      </ns0:c>
      <ns0:c r="E159" s="0">
        <ns0:f>IFERROR(MID(B159,FIND(".",B159,FIND(".",B159)+1)+1,99),"")</ns0:f>
        <ns0:v>99</ns0:v>
      </ns0:c>
      <ns0:c r="F159" s="0">
        <ns0:f>IFERROR(IF(FIND(".",B159)=5,--C159,--E159),0)</ns0:f>
        <ns0:v>0</ns0:v>
      </ns0:c>
      <ns0:c r="G159" s="0">
        <ns0:f>IFERROR(--D159,0)</ns0:f>
        <ns0:v>0</ns0:v>
      </ns0:c>
      <ns0:c r="H159" s="0">
        <ns0:f>IFERROR(IF(FIND(".",B159)=5,--E159,--C159),0)</ns0:f>
        <ns0:v>0</ns0:v>
      </ns0:c>
      <ns0:c r="I159" s="0">
        <ns0:f>IFERROR(IF(AND(F159&gt;=2000,F159&lt;=2100,G159&gt;=1,G159&lt;=12,H159&gt;=1,H159&lt;=31),DATE(F159,G159,H159),0),0)</ns0:f>
        <ns0:v>0</ns0:v>
      </ns0:c>
      <ns0:c r="J159" s="0">
        <ns0:f>IFERROR(IF(ISNUMBER(Bookings!B159),IF(AND(Bookings!B159=INT(Bookings!B159),Bookings!B159&gt;=DATE(2000,1,1),Bookings!B159&lt;=DATE(2100,12,31)),Bookings!B159,0),IF(AND(A159&lt;&gt;"",LEN("x"&amp;B159)-LEN(SUBSTITUTE("x"&amp;B159,".",""))=2,OR(1&gt;LEN(B159),MID(B159,1,1)=".",ISNUMBER(FIND("x"&amp;MID(B159,1,1),"x0x1x2x3x4x5x6x7x8x9"))),OR(2&gt;LEN(B159),MID(B159,2,1)=".",ISNUMBER(FIND("x"&amp;MID(B159,2,1),"x0x1x2x3x4x5x6x7x8x9"))),OR(3&gt;LEN(B159),MID(B159,3,1)=".",ISNUMBER(FIND("x"&amp;MID(B159,3,1),"x0x1x2x3x4x5x6x7x8x9"))),OR(4&gt;LEN(B159),MID(B159,4,1)=".",ISNUMBER(FIND("x"&amp;MID(B159,4,1),"x0x1x2x3x4x5x6x7x8x9"))),OR(5&gt;LEN(B159),MID(B159,5,1)=".",ISNUMBER(FIND("x"&amp;MID(B159,5,1),"x0x1x2x3x4x5x6x7x8x9"))),OR(6&gt;LEN(B159),MID(B159,6,1)=".",ISNUMBER(FIND("x"&amp;MID(B159,6,1),"x0x1x2x3x4x5x6x7x8x9"))),OR(7&gt;LEN(B159),MID(B159,7,1)=".",ISNUMBER(FIND("x"&amp;MID(B159,7,1),"x0x1x2x3x4x5x6x7x8x9"))),OR(8&gt;LEN(B159),MID(B159,8,1)=".",ISNUMBER(FIND("x"&amp;MID(B159,8,1),"x0x1x2x3x4x5x6x7x8x9"))),OR(9&gt;LEN(B159),MID(B159,9,1)=".",ISNUMBER(FIND("x"&amp;MID(B159,9,1),"x0x1x2x3x4x5x6x7x8x9"))),OR(10&gt;LEN(B159),MID(B159,10,1)=".",ISNUMBER(FIND("x"&amp;MID(B159,10,1),"x0x1x2x3x4x5x6x7x8x9"))),OR(AND(FIND(".",B159)=5,LEN(B159)-FIND(".",B159,FIND(".",B159)+1)&gt;=1,LEN(B159)-FIND(".",B159,FIND(".",B159)+1)&lt;=2),AND(LEN(B159)-FIND(".",B159,FIND(".",B159)+1)=4,FIND(".",B159)&gt;=2,FIND(".",B159)&lt;=3)),FIND(".",B159,FIND(".",B159)+1)-FIND(".",B159)&gt;=2,FIND(".",B159,FIND(".",B159)+1)-FIND(".",B159)&lt;=3,F159&gt;=2000,F159&lt;=2100,YEAR(I159)=F159,MONTH(I159)=G159,DAY(I159)=H159),I159,0)),0)</ns0:f>
        <ns0:v>0</ns0:v>
      </ns0:c>
      <ns0:c r="K159" s="0">
        <ns0:f>IFERROR(IF(ISNUMBER(Bookings!D159),"",TRIM(Bookings!D159&amp;"")),"")</ns0:f>
      </ns0:c>
      <ns0:c r="L159" s="0">
        <ns0:f>IFERROR(SUBSTITUTE(SUBSTITUTE(K159,"/","."),"-","."),"")</ns0:f>
      </ns0:c>
      <ns0:c r="M159" s="0">
        <ns0:f>IFERROR(LEFT(L159,FIND(".",L159)-1),"")</ns0:f>
      </ns0:c>
      <ns0:c r="N159" s="0">
        <ns0:f>IFERROR(MID(L159,FIND(".",L159)+1,FIND(".",L159,FIND(".",L159)+1)-FIND(".",L159)-1),"")</ns0:f>
      </ns0:c>
      <ns0:c r="O159" s="0">
        <ns0:f>IFERROR(MID(L159,FIND(".",L159,FIND(".",L159)+1)+1,99),"")</ns0:f>
        <ns0:v>99</ns0:v>
      </ns0:c>
      <ns0:c r="P159" s="0">
        <ns0:f>IFERROR(IF(FIND(".",L159)=5,--M159,--O159),0)</ns0:f>
        <ns0:v>0</ns0:v>
      </ns0:c>
      <ns0:c r="Q159" s="0">
        <ns0:f>IFERROR(--N159,0)</ns0:f>
        <ns0:v>0</ns0:v>
      </ns0:c>
      <ns0:c r="R159" s="0">
        <ns0:f>IFERROR(IF(FIND(".",L159)=5,--O159,--M159),0)</ns0:f>
        <ns0:v>0</ns0:v>
      </ns0:c>
      <ns0:c r="S159" s="0">
        <ns0:f>IFERROR(IF(AND(P159&gt;=2000,P159&lt;=2100,Q159&gt;=1,Q159&lt;=12,R159&gt;=1,R159&lt;=31),DATE(P159,Q159,R159),0),0)</ns0:f>
        <ns0:v>0</ns0:v>
      </ns0:c>
      <ns0:c r="T159" s="0">
        <ns0:f>IFERROR(IF(ISNUMBER(Bookings!D159),IF(AND(Bookings!D159=INT(Bookings!D159),Bookings!D159&gt;=DATE(2000,1,1),Bookings!D159&lt;=DATE(2100,12,31)),Bookings!D159,0),IF(AND(K159&lt;&gt;"",LEN("x"&amp;L159)-LEN(SUBSTITUTE("x"&amp;L159,".",""))=2,OR(1&gt;LEN(L159),MID(L159,1,1)=".",ISNUMBER(FIND("x"&amp;MID(L159,1,1),"x0x1x2x3x4x5x6x7x8x9"))),OR(2&gt;LEN(L159),MID(L159,2,1)=".",ISNUMBER(FIND("x"&amp;MID(L159,2,1),"x0x1x2x3x4x5x6x7x8x9"))),OR(3&gt;LEN(L159),MID(L159,3,1)=".",ISNUMBER(FIND("x"&amp;MID(L159,3,1),"x0x1x2x3x4x5x6x7x8x9"))),OR(4&gt;LEN(L159),MID(L159,4,1)=".",ISNUMBER(FIND("x"&amp;MID(L159,4,1),"x0x1x2x3x4x5x6x7x8x9"))),OR(5&gt;LEN(L159),MID(L159,5,1)=".",ISNUMBER(FIND("x"&amp;MID(L159,5,1),"x0x1x2x3x4x5x6x7x8x9"))),OR(6&gt;LEN(L159),MID(L159,6,1)=".",ISNUMBER(FIND("x"&amp;MID(L159,6,1),"x0x1x2x3x4x5x6x7x8x9"))),OR(7&gt;LEN(L159),MID(L159,7,1)=".",ISNUMBER(FIND("x"&amp;MID(L159,7,1),"x0x1x2x3x4x5x6x7x8x9"))),OR(8&gt;LEN(L159),MID(L159,8,1)=".",ISNUMBER(FIND("x"&amp;MID(L159,8,1),"x0x1x2x3x4x5x6x7x8x9"))),OR(9&gt;LEN(L159),MID(L159,9,1)=".",ISNUMBER(FIND("x"&amp;MID(L159,9,1),"x0x1x2x3x4x5x6x7x8x9"))),OR(10&gt;LEN(L159),MID(L159,10,1)=".",ISNUMBER(FIND("x"&amp;MID(L159,10,1),"x0x1x2x3x4x5x6x7x8x9"))),OR(AND(FIND(".",L159)=5,LEN(L159)-FIND(".",L159,FIND(".",L159)+1)&gt;=1,LEN(L159)-FIND(".",L159,FIND(".",L159)+1)&lt;=2),AND(LEN(L159)-FIND(".",L159,FIND(".",L159)+1)=4,FIND(".",L159)&gt;=2,FIND(".",L159)&lt;=3)),FIND(".",L159,FIND(".",L159)+1)-FIND(".",L159)&gt;=2,FIND(".",L159,FIND(".",L159)+1)-FIND(".",L159)&lt;=3,P159&gt;=2000,P159&lt;=2100,YEAR(S159)=P159,MONTH(S159)=Q159,DAY(S159)=R159),S159,0)),0)</ns0:f>
        <ns0:v>0</ns0:v>
      </ns0:c>
      <ns0:c r="U159" s="0" t="str">
        <ns0:f>IF(Bookings!C159="","Full day",Bookings!C159)</ns0:f>
        <ns0:v>Full day</ns0:v>
      </ns0:c>
      <ns0:c r="V159" s="0" t="str">
        <ns0:f>IF(Bookings!E159="","Full day",Bookings!E159)</ns0:f>
        <ns0:v>Full day</ns0:v>
      </ns0:c>
      <ns0:c r="W159" s="0">
        <ns0:f>IF(J159=0,0,J159+IF(U159="PM",1,0))</ns0:f>
        <ns0:v>0</ns0:v>
      </ns0:c>
      <ns0:c r="X159" s="0">
        <ns0:f>IF(T159=0,0,T159-IF(V159="PM",1,0))</ns0:f>
        <ns0:v>0</ns0:v>
      </ns0:c>
      <ns0:c r="Y159" s="0">
        <ns0:f>IF(J159=0,0,J159+IF(U159="AM",1,0))</ns0:f>
        <ns0:v>0</ns0:v>
      </ns0:c>
      <ns0:c r="Z159" s="0">
        <ns0:f>IF(T159=0,0,T159-IF(V159="AM",1,0))</ns0:f>
        <ns0:v>0</ns0:v>
      </ns0:c>
      <ns0:c r="AA159" s="0">
        <ns0:f>IFERROR(IF(AND(J159&gt;0,'_Engine'!C159&gt;0,MID('_Engine'!W159,WEEKDAY(J159,2),1)="W",COUNTIF(Settings!$F$18:$F$67,J159)=0),1,0),0)</ns0:f>
        <ns0:v>0</ns0:v>
      </ns0:c>
      <ns0:c r="AB159" s="0">
        <ns0:f>IFERROR(IF(AND(T159&gt;0,'_Engine'!C159&gt;0,MID('_Engine'!W159,WEEKDAY(T159,2),1)="W",COUNTIF(Settings!$F$18:$F$67,T159)=0),1,0),0)</ns0:f>
        <ns0:v>0</ns0:v>
      </ns0:c>
      <ns0:c r="AC159" s="0">
        <ns0:f>IF(AND(J159&gt;0,T159&gt;0,W159&lt;=X159),1,0)</ns0:f>
        <ns0:v>0</ns0:v>
      </ns0:c>
      <ns0:c r="AD159" s="0">
        <ns0:f>IF(AND(J159&gt;0,T159&gt;0,Y159&lt;=Z159),1,0)</ns0:f>
        <ns0:v>0</ns0:v>
      </ns0:c>
    </ns0:row>
    <ns0:row r="160">
      <ns0:c r="A160" s="0">
        <ns0:f>IFERROR(IF(ISNUMBER(Bookings!B160),"",TRIM(Bookings!B160&amp;"")),"")</ns0:f>
      </ns0:c>
      <ns0:c r="B160" s="0">
        <ns0:f>IFERROR(SUBSTITUTE(SUBSTITUTE(A160,"/","."),"-","."),"")</ns0:f>
      </ns0:c>
      <ns0:c r="C160" s="0">
        <ns0:f>IFERROR(LEFT(B160,FIND(".",B160)-1),"")</ns0:f>
      </ns0:c>
      <ns0:c r="D160" s="0">
        <ns0:f>IFERROR(MID(B160,FIND(".",B160)+1,FIND(".",B160,FIND(".",B160)+1)-FIND(".",B160)-1),"")</ns0:f>
      </ns0:c>
      <ns0:c r="E160" s="0">
        <ns0:f>IFERROR(MID(B160,FIND(".",B160,FIND(".",B160)+1)+1,99),"")</ns0:f>
        <ns0:v>99</ns0:v>
      </ns0:c>
      <ns0:c r="F160" s="0">
        <ns0:f>IFERROR(IF(FIND(".",B160)=5,--C160,--E160),0)</ns0:f>
        <ns0:v>0</ns0:v>
      </ns0:c>
      <ns0:c r="G160" s="0">
        <ns0:f>IFERROR(--D160,0)</ns0:f>
        <ns0:v>0</ns0:v>
      </ns0:c>
      <ns0:c r="H160" s="0">
        <ns0:f>IFERROR(IF(FIND(".",B160)=5,--E160,--C160),0)</ns0:f>
        <ns0:v>0</ns0:v>
      </ns0:c>
      <ns0:c r="I160" s="0">
        <ns0:f>IFERROR(IF(AND(F160&gt;=2000,F160&lt;=2100,G160&gt;=1,G160&lt;=12,H160&gt;=1,H160&lt;=31),DATE(F160,G160,H160),0),0)</ns0:f>
        <ns0:v>0</ns0:v>
      </ns0:c>
      <ns0:c r="J160" s="0">
        <ns0:f>IFERROR(IF(ISNUMBER(Bookings!B160),IF(AND(Bookings!B160=INT(Bookings!B160),Bookings!B160&gt;=DATE(2000,1,1),Bookings!B160&lt;=DATE(2100,12,31)),Bookings!B160,0),IF(AND(A160&lt;&gt;"",LEN("x"&amp;B160)-LEN(SUBSTITUTE("x"&amp;B160,".",""))=2,OR(1&gt;LEN(B160),MID(B160,1,1)=".",ISNUMBER(FIND("x"&amp;MID(B160,1,1),"x0x1x2x3x4x5x6x7x8x9"))),OR(2&gt;LEN(B160),MID(B160,2,1)=".",ISNUMBER(FIND("x"&amp;MID(B160,2,1),"x0x1x2x3x4x5x6x7x8x9"))),OR(3&gt;LEN(B160),MID(B160,3,1)=".",ISNUMBER(FIND("x"&amp;MID(B160,3,1),"x0x1x2x3x4x5x6x7x8x9"))),OR(4&gt;LEN(B160),MID(B160,4,1)=".",ISNUMBER(FIND("x"&amp;MID(B160,4,1),"x0x1x2x3x4x5x6x7x8x9"))),OR(5&gt;LEN(B160),MID(B160,5,1)=".",ISNUMBER(FIND("x"&amp;MID(B160,5,1),"x0x1x2x3x4x5x6x7x8x9"))),OR(6&gt;LEN(B160),MID(B160,6,1)=".",ISNUMBER(FIND("x"&amp;MID(B160,6,1),"x0x1x2x3x4x5x6x7x8x9"))),OR(7&gt;LEN(B160),MID(B160,7,1)=".",ISNUMBER(FIND("x"&amp;MID(B160,7,1),"x0x1x2x3x4x5x6x7x8x9"))),OR(8&gt;LEN(B160),MID(B160,8,1)=".",ISNUMBER(FIND("x"&amp;MID(B160,8,1),"x0x1x2x3x4x5x6x7x8x9"))),OR(9&gt;LEN(B160),MID(B160,9,1)=".",ISNUMBER(FIND("x"&amp;MID(B160,9,1),"x0x1x2x3x4x5x6x7x8x9"))),OR(10&gt;LEN(B160),MID(B160,10,1)=".",ISNUMBER(FIND("x"&amp;MID(B160,10,1),"x0x1x2x3x4x5x6x7x8x9"))),OR(AND(FIND(".",B160)=5,LEN(B160)-FIND(".",B160,FIND(".",B160)+1)&gt;=1,LEN(B160)-FIND(".",B160,FIND(".",B160)+1)&lt;=2),AND(LEN(B160)-FIND(".",B160,FIND(".",B160)+1)=4,FIND(".",B160)&gt;=2,FIND(".",B160)&lt;=3)),FIND(".",B160,FIND(".",B160)+1)-FIND(".",B160)&gt;=2,FIND(".",B160,FIND(".",B160)+1)-FIND(".",B160)&lt;=3,F160&gt;=2000,F160&lt;=2100,YEAR(I160)=F160,MONTH(I160)=G160,DAY(I160)=H160),I160,0)),0)</ns0:f>
        <ns0:v>0</ns0:v>
      </ns0:c>
      <ns0:c r="K160" s="0">
        <ns0:f>IFERROR(IF(ISNUMBER(Bookings!D160),"",TRIM(Bookings!D160&amp;"")),"")</ns0:f>
      </ns0:c>
      <ns0:c r="L160" s="0">
        <ns0:f>IFERROR(SUBSTITUTE(SUBSTITUTE(K160,"/","."),"-","."),"")</ns0:f>
      </ns0:c>
      <ns0:c r="M160" s="0">
        <ns0:f>IFERROR(LEFT(L160,FIND(".",L160)-1),"")</ns0:f>
      </ns0:c>
      <ns0:c r="N160" s="0">
        <ns0:f>IFERROR(MID(L160,FIND(".",L160)+1,FIND(".",L160,FIND(".",L160)+1)-FIND(".",L160)-1),"")</ns0:f>
      </ns0:c>
      <ns0:c r="O160" s="0">
        <ns0:f>IFERROR(MID(L160,FIND(".",L160,FIND(".",L160)+1)+1,99),"")</ns0:f>
        <ns0:v>99</ns0:v>
      </ns0:c>
      <ns0:c r="P160" s="0">
        <ns0:f>IFERROR(IF(FIND(".",L160)=5,--M160,--O160),0)</ns0:f>
        <ns0:v>0</ns0:v>
      </ns0:c>
      <ns0:c r="Q160" s="0">
        <ns0:f>IFERROR(--N160,0)</ns0:f>
        <ns0:v>0</ns0:v>
      </ns0:c>
      <ns0:c r="R160" s="0">
        <ns0:f>IFERROR(IF(FIND(".",L160)=5,--O160,--M160),0)</ns0:f>
        <ns0:v>0</ns0:v>
      </ns0:c>
      <ns0:c r="S160" s="0">
        <ns0:f>IFERROR(IF(AND(P160&gt;=2000,P160&lt;=2100,Q160&gt;=1,Q160&lt;=12,R160&gt;=1,R160&lt;=31),DATE(P160,Q160,R160),0),0)</ns0:f>
        <ns0:v>0</ns0:v>
      </ns0:c>
      <ns0:c r="T160" s="0">
        <ns0:f>IFERROR(IF(ISNUMBER(Bookings!D160),IF(AND(Bookings!D160=INT(Bookings!D160),Bookings!D160&gt;=DATE(2000,1,1),Bookings!D160&lt;=DATE(2100,12,31)),Bookings!D160,0),IF(AND(K160&lt;&gt;"",LEN("x"&amp;L160)-LEN(SUBSTITUTE("x"&amp;L160,".",""))=2,OR(1&gt;LEN(L160),MID(L160,1,1)=".",ISNUMBER(FIND("x"&amp;MID(L160,1,1),"x0x1x2x3x4x5x6x7x8x9"))),OR(2&gt;LEN(L160),MID(L160,2,1)=".",ISNUMBER(FIND("x"&amp;MID(L160,2,1),"x0x1x2x3x4x5x6x7x8x9"))),OR(3&gt;LEN(L160),MID(L160,3,1)=".",ISNUMBER(FIND("x"&amp;MID(L160,3,1),"x0x1x2x3x4x5x6x7x8x9"))),OR(4&gt;LEN(L160),MID(L160,4,1)=".",ISNUMBER(FIND("x"&amp;MID(L160,4,1),"x0x1x2x3x4x5x6x7x8x9"))),OR(5&gt;LEN(L160),MID(L160,5,1)=".",ISNUMBER(FIND("x"&amp;MID(L160,5,1),"x0x1x2x3x4x5x6x7x8x9"))),OR(6&gt;LEN(L160),MID(L160,6,1)=".",ISNUMBER(FIND("x"&amp;MID(L160,6,1),"x0x1x2x3x4x5x6x7x8x9"))),OR(7&gt;LEN(L160),MID(L160,7,1)=".",ISNUMBER(FIND("x"&amp;MID(L160,7,1),"x0x1x2x3x4x5x6x7x8x9"))),OR(8&gt;LEN(L160),MID(L160,8,1)=".",ISNUMBER(FIND("x"&amp;MID(L160,8,1),"x0x1x2x3x4x5x6x7x8x9"))),OR(9&gt;LEN(L160),MID(L160,9,1)=".",ISNUMBER(FIND("x"&amp;MID(L160,9,1),"x0x1x2x3x4x5x6x7x8x9"))),OR(10&gt;LEN(L160),MID(L160,10,1)=".",ISNUMBER(FIND("x"&amp;MID(L160,10,1),"x0x1x2x3x4x5x6x7x8x9"))),OR(AND(FIND(".",L160)=5,LEN(L160)-FIND(".",L160,FIND(".",L160)+1)&gt;=1,LEN(L160)-FIND(".",L160,FIND(".",L160)+1)&lt;=2),AND(LEN(L160)-FIND(".",L160,FIND(".",L160)+1)=4,FIND(".",L160)&gt;=2,FIND(".",L160)&lt;=3)),FIND(".",L160,FIND(".",L160)+1)-FIND(".",L160)&gt;=2,FIND(".",L160,FIND(".",L160)+1)-FIND(".",L160)&lt;=3,P160&gt;=2000,P160&lt;=2100,YEAR(S160)=P160,MONTH(S160)=Q160,DAY(S160)=R160),S160,0)),0)</ns0:f>
        <ns0:v>0</ns0:v>
      </ns0:c>
      <ns0:c r="U160" s="0" t="str">
        <ns0:f>IF(Bookings!C160="","Full day",Bookings!C160)</ns0:f>
        <ns0:v>Full day</ns0:v>
      </ns0:c>
      <ns0:c r="V160" s="0" t="str">
        <ns0:f>IF(Bookings!E160="","Full day",Bookings!E160)</ns0:f>
        <ns0:v>Full day</ns0:v>
      </ns0:c>
      <ns0:c r="W160" s="0">
        <ns0:f>IF(J160=0,0,J160+IF(U160="PM",1,0))</ns0:f>
        <ns0:v>0</ns0:v>
      </ns0:c>
      <ns0:c r="X160" s="0">
        <ns0:f>IF(T160=0,0,T160-IF(V160="PM",1,0))</ns0:f>
        <ns0:v>0</ns0:v>
      </ns0:c>
      <ns0:c r="Y160" s="0">
        <ns0:f>IF(J160=0,0,J160+IF(U160="AM",1,0))</ns0:f>
        <ns0:v>0</ns0:v>
      </ns0:c>
      <ns0:c r="Z160" s="0">
        <ns0:f>IF(T160=0,0,T160-IF(V160="AM",1,0))</ns0:f>
        <ns0:v>0</ns0:v>
      </ns0:c>
      <ns0:c r="AA160" s="0">
        <ns0:f>IFERROR(IF(AND(J160&gt;0,'_Engine'!C160&gt;0,MID('_Engine'!W160,WEEKDAY(J160,2),1)="W",COUNTIF(Settings!$F$18:$F$67,J160)=0),1,0),0)</ns0:f>
        <ns0:v>0</ns0:v>
      </ns0:c>
      <ns0:c r="AB160" s="0">
        <ns0:f>IFERROR(IF(AND(T160&gt;0,'_Engine'!C160&gt;0,MID('_Engine'!W160,WEEKDAY(T160,2),1)="W",COUNTIF(Settings!$F$18:$F$67,T160)=0),1,0),0)</ns0:f>
        <ns0:v>0</ns0:v>
      </ns0:c>
      <ns0:c r="AC160" s="0">
        <ns0:f>IF(AND(J160&gt;0,T160&gt;0,W160&lt;=X160),1,0)</ns0:f>
        <ns0:v>0</ns0:v>
      </ns0:c>
      <ns0:c r="AD160" s="0">
        <ns0:f>IF(AND(J160&gt;0,T160&gt;0,Y160&lt;=Z160),1,0)</ns0:f>
        <ns0:v>0</ns0:v>
      </ns0:c>
    </ns0:row>
    <ns0:row r="161">
      <ns0:c r="A161" s="0">
        <ns0:f>IFERROR(IF(ISNUMBER(Bookings!B161),"",TRIM(Bookings!B161&amp;"")),"")</ns0:f>
      </ns0:c>
      <ns0:c r="B161" s="0">
        <ns0:f>IFERROR(SUBSTITUTE(SUBSTITUTE(A161,"/","."),"-","."),"")</ns0:f>
      </ns0:c>
      <ns0:c r="C161" s="0">
        <ns0:f>IFERROR(LEFT(B161,FIND(".",B161)-1),"")</ns0:f>
      </ns0:c>
      <ns0:c r="D161" s="0">
        <ns0:f>IFERROR(MID(B161,FIND(".",B161)+1,FIND(".",B161,FIND(".",B161)+1)-FIND(".",B161)-1),"")</ns0:f>
      </ns0:c>
      <ns0:c r="E161" s="0">
        <ns0:f>IFERROR(MID(B161,FIND(".",B161,FIND(".",B161)+1)+1,99),"")</ns0:f>
        <ns0:v>99</ns0:v>
      </ns0:c>
      <ns0:c r="F161" s="0">
        <ns0:f>IFERROR(IF(FIND(".",B161)=5,--C161,--E161),0)</ns0:f>
        <ns0:v>0</ns0:v>
      </ns0:c>
      <ns0:c r="G161" s="0">
        <ns0:f>IFERROR(--D161,0)</ns0:f>
        <ns0:v>0</ns0:v>
      </ns0:c>
      <ns0:c r="H161" s="0">
        <ns0:f>IFERROR(IF(FIND(".",B161)=5,--E161,--C161),0)</ns0:f>
        <ns0:v>0</ns0:v>
      </ns0:c>
      <ns0:c r="I161" s="0">
        <ns0:f>IFERROR(IF(AND(F161&gt;=2000,F161&lt;=2100,G161&gt;=1,G161&lt;=12,H161&gt;=1,H161&lt;=31),DATE(F161,G161,H161),0),0)</ns0:f>
        <ns0:v>0</ns0:v>
      </ns0:c>
      <ns0:c r="J161" s="0">
        <ns0:f>IFERROR(IF(ISNUMBER(Bookings!B161),IF(AND(Bookings!B161=INT(Bookings!B161),Bookings!B161&gt;=DATE(2000,1,1),Bookings!B161&lt;=DATE(2100,12,31)),Bookings!B161,0),IF(AND(A161&lt;&gt;"",LEN("x"&amp;B161)-LEN(SUBSTITUTE("x"&amp;B161,".",""))=2,OR(1&gt;LEN(B161),MID(B161,1,1)=".",ISNUMBER(FIND("x"&amp;MID(B161,1,1),"x0x1x2x3x4x5x6x7x8x9"))),OR(2&gt;LEN(B161),MID(B161,2,1)=".",ISNUMBER(FIND("x"&amp;MID(B161,2,1),"x0x1x2x3x4x5x6x7x8x9"))),OR(3&gt;LEN(B161),MID(B161,3,1)=".",ISNUMBER(FIND("x"&amp;MID(B161,3,1),"x0x1x2x3x4x5x6x7x8x9"))),OR(4&gt;LEN(B161),MID(B161,4,1)=".",ISNUMBER(FIND("x"&amp;MID(B161,4,1),"x0x1x2x3x4x5x6x7x8x9"))),OR(5&gt;LEN(B161),MID(B161,5,1)=".",ISNUMBER(FIND("x"&amp;MID(B161,5,1),"x0x1x2x3x4x5x6x7x8x9"))),OR(6&gt;LEN(B161),MID(B161,6,1)=".",ISNUMBER(FIND("x"&amp;MID(B161,6,1),"x0x1x2x3x4x5x6x7x8x9"))),OR(7&gt;LEN(B161),MID(B161,7,1)=".",ISNUMBER(FIND("x"&amp;MID(B161,7,1),"x0x1x2x3x4x5x6x7x8x9"))),OR(8&gt;LEN(B161),MID(B161,8,1)=".",ISNUMBER(FIND("x"&amp;MID(B161,8,1),"x0x1x2x3x4x5x6x7x8x9"))),OR(9&gt;LEN(B161),MID(B161,9,1)=".",ISNUMBER(FIND("x"&amp;MID(B161,9,1),"x0x1x2x3x4x5x6x7x8x9"))),OR(10&gt;LEN(B161),MID(B161,10,1)=".",ISNUMBER(FIND("x"&amp;MID(B161,10,1),"x0x1x2x3x4x5x6x7x8x9"))),OR(AND(FIND(".",B161)=5,LEN(B161)-FIND(".",B161,FIND(".",B161)+1)&gt;=1,LEN(B161)-FIND(".",B161,FIND(".",B161)+1)&lt;=2),AND(LEN(B161)-FIND(".",B161,FIND(".",B161)+1)=4,FIND(".",B161)&gt;=2,FIND(".",B161)&lt;=3)),FIND(".",B161,FIND(".",B161)+1)-FIND(".",B161)&gt;=2,FIND(".",B161,FIND(".",B161)+1)-FIND(".",B161)&lt;=3,F161&gt;=2000,F161&lt;=2100,YEAR(I161)=F161,MONTH(I161)=G161,DAY(I161)=H161),I161,0)),0)</ns0:f>
        <ns0:v>0</ns0:v>
      </ns0:c>
      <ns0:c r="K161" s="0">
        <ns0:f>IFERROR(IF(ISNUMBER(Bookings!D161),"",TRIM(Bookings!D161&amp;"")),"")</ns0:f>
      </ns0:c>
      <ns0:c r="L161" s="0">
        <ns0:f>IFERROR(SUBSTITUTE(SUBSTITUTE(K161,"/","."),"-","."),"")</ns0:f>
      </ns0:c>
      <ns0:c r="M161" s="0">
        <ns0:f>IFERROR(LEFT(L161,FIND(".",L161)-1),"")</ns0:f>
      </ns0:c>
      <ns0:c r="N161" s="0">
        <ns0:f>IFERROR(MID(L161,FIND(".",L161)+1,FIND(".",L161,FIND(".",L161)+1)-FIND(".",L161)-1),"")</ns0:f>
      </ns0:c>
      <ns0:c r="O161" s="0">
        <ns0:f>IFERROR(MID(L161,FIND(".",L161,FIND(".",L161)+1)+1,99),"")</ns0:f>
        <ns0:v>99</ns0:v>
      </ns0:c>
      <ns0:c r="P161" s="0">
        <ns0:f>IFERROR(IF(FIND(".",L161)=5,--M161,--O161),0)</ns0:f>
        <ns0:v>0</ns0:v>
      </ns0:c>
      <ns0:c r="Q161" s="0">
        <ns0:f>IFERROR(--N161,0)</ns0:f>
        <ns0:v>0</ns0:v>
      </ns0:c>
      <ns0:c r="R161" s="0">
        <ns0:f>IFERROR(IF(FIND(".",L161)=5,--O161,--M161),0)</ns0:f>
        <ns0:v>0</ns0:v>
      </ns0:c>
      <ns0:c r="S161" s="0">
        <ns0:f>IFERROR(IF(AND(P161&gt;=2000,P161&lt;=2100,Q161&gt;=1,Q161&lt;=12,R161&gt;=1,R161&lt;=31),DATE(P161,Q161,R161),0),0)</ns0:f>
        <ns0:v>0</ns0:v>
      </ns0:c>
      <ns0:c r="T161" s="0">
        <ns0:f>IFERROR(IF(ISNUMBER(Bookings!D161),IF(AND(Bookings!D161=INT(Bookings!D161),Bookings!D161&gt;=DATE(2000,1,1),Bookings!D161&lt;=DATE(2100,12,31)),Bookings!D161,0),IF(AND(K161&lt;&gt;"",LEN("x"&amp;L161)-LEN(SUBSTITUTE("x"&amp;L161,".",""))=2,OR(1&gt;LEN(L161),MID(L161,1,1)=".",ISNUMBER(FIND("x"&amp;MID(L161,1,1),"x0x1x2x3x4x5x6x7x8x9"))),OR(2&gt;LEN(L161),MID(L161,2,1)=".",ISNUMBER(FIND("x"&amp;MID(L161,2,1),"x0x1x2x3x4x5x6x7x8x9"))),OR(3&gt;LEN(L161),MID(L161,3,1)=".",ISNUMBER(FIND("x"&amp;MID(L161,3,1),"x0x1x2x3x4x5x6x7x8x9"))),OR(4&gt;LEN(L161),MID(L161,4,1)=".",ISNUMBER(FIND("x"&amp;MID(L161,4,1),"x0x1x2x3x4x5x6x7x8x9"))),OR(5&gt;LEN(L161),MID(L161,5,1)=".",ISNUMBER(FIND("x"&amp;MID(L161,5,1),"x0x1x2x3x4x5x6x7x8x9"))),OR(6&gt;LEN(L161),MID(L161,6,1)=".",ISNUMBER(FIND("x"&amp;MID(L161,6,1),"x0x1x2x3x4x5x6x7x8x9"))),OR(7&gt;LEN(L161),MID(L161,7,1)=".",ISNUMBER(FIND("x"&amp;MID(L161,7,1),"x0x1x2x3x4x5x6x7x8x9"))),OR(8&gt;LEN(L161),MID(L161,8,1)=".",ISNUMBER(FIND("x"&amp;MID(L161,8,1),"x0x1x2x3x4x5x6x7x8x9"))),OR(9&gt;LEN(L161),MID(L161,9,1)=".",ISNUMBER(FIND("x"&amp;MID(L161,9,1),"x0x1x2x3x4x5x6x7x8x9"))),OR(10&gt;LEN(L161),MID(L161,10,1)=".",ISNUMBER(FIND("x"&amp;MID(L161,10,1),"x0x1x2x3x4x5x6x7x8x9"))),OR(AND(FIND(".",L161)=5,LEN(L161)-FIND(".",L161,FIND(".",L161)+1)&gt;=1,LEN(L161)-FIND(".",L161,FIND(".",L161)+1)&lt;=2),AND(LEN(L161)-FIND(".",L161,FIND(".",L161)+1)=4,FIND(".",L161)&gt;=2,FIND(".",L161)&lt;=3)),FIND(".",L161,FIND(".",L161)+1)-FIND(".",L161)&gt;=2,FIND(".",L161,FIND(".",L161)+1)-FIND(".",L161)&lt;=3,P161&gt;=2000,P161&lt;=2100,YEAR(S161)=P161,MONTH(S161)=Q161,DAY(S161)=R161),S161,0)),0)</ns0:f>
        <ns0:v>0</ns0:v>
      </ns0:c>
      <ns0:c r="U161" s="0" t="str">
        <ns0:f>IF(Bookings!C161="","Full day",Bookings!C161)</ns0:f>
        <ns0:v>Full day</ns0:v>
      </ns0:c>
      <ns0:c r="V161" s="0" t="str">
        <ns0:f>IF(Bookings!E161="","Full day",Bookings!E161)</ns0:f>
        <ns0:v>Full day</ns0:v>
      </ns0:c>
      <ns0:c r="W161" s="0">
        <ns0:f>IF(J161=0,0,J161+IF(U161="PM",1,0))</ns0:f>
        <ns0:v>0</ns0:v>
      </ns0:c>
      <ns0:c r="X161" s="0">
        <ns0:f>IF(T161=0,0,T161-IF(V161="PM",1,0))</ns0:f>
        <ns0:v>0</ns0:v>
      </ns0:c>
      <ns0:c r="Y161" s="0">
        <ns0:f>IF(J161=0,0,J161+IF(U161="AM",1,0))</ns0:f>
        <ns0:v>0</ns0:v>
      </ns0:c>
      <ns0:c r="Z161" s="0">
        <ns0:f>IF(T161=0,0,T161-IF(V161="AM",1,0))</ns0:f>
        <ns0:v>0</ns0:v>
      </ns0:c>
      <ns0:c r="AA161" s="0">
        <ns0:f>IFERROR(IF(AND(J161&gt;0,'_Engine'!C161&gt;0,MID('_Engine'!W161,WEEKDAY(J161,2),1)="W",COUNTIF(Settings!$F$18:$F$67,J161)=0),1,0),0)</ns0:f>
        <ns0:v>0</ns0:v>
      </ns0:c>
      <ns0:c r="AB161" s="0">
        <ns0:f>IFERROR(IF(AND(T161&gt;0,'_Engine'!C161&gt;0,MID('_Engine'!W161,WEEKDAY(T161,2),1)="W",COUNTIF(Settings!$F$18:$F$67,T161)=0),1,0),0)</ns0:f>
        <ns0:v>0</ns0:v>
      </ns0:c>
      <ns0:c r="AC161" s="0">
        <ns0:f>IF(AND(J161&gt;0,T161&gt;0,W161&lt;=X161),1,0)</ns0:f>
        <ns0:v>0</ns0:v>
      </ns0:c>
      <ns0:c r="AD161" s="0">
        <ns0:f>IF(AND(J161&gt;0,T161&gt;0,Y161&lt;=Z161),1,0)</ns0:f>
        <ns0:v>0</ns0:v>
      </ns0:c>
    </ns0:row>
    <ns0:row r="162">
      <ns0:c r="A162" s="0">
        <ns0:f>IFERROR(IF(ISNUMBER(Bookings!B162),"",TRIM(Bookings!B162&amp;"")),"")</ns0:f>
      </ns0:c>
      <ns0:c r="B162" s="0">
        <ns0:f>IFERROR(SUBSTITUTE(SUBSTITUTE(A162,"/","."),"-","."),"")</ns0:f>
      </ns0:c>
      <ns0:c r="C162" s="0">
        <ns0:f>IFERROR(LEFT(B162,FIND(".",B162)-1),"")</ns0:f>
      </ns0:c>
      <ns0:c r="D162" s="0">
        <ns0:f>IFERROR(MID(B162,FIND(".",B162)+1,FIND(".",B162,FIND(".",B162)+1)-FIND(".",B162)-1),"")</ns0:f>
      </ns0:c>
      <ns0:c r="E162" s="0">
        <ns0:f>IFERROR(MID(B162,FIND(".",B162,FIND(".",B162)+1)+1,99),"")</ns0:f>
        <ns0:v>99</ns0:v>
      </ns0:c>
      <ns0:c r="F162" s="0">
        <ns0:f>IFERROR(IF(FIND(".",B162)=5,--C162,--E162),0)</ns0:f>
        <ns0:v>0</ns0:v>
      </ns0:c>
      <ns0:c r="G162" s="0">
        <ns0:f>IFERROR(--D162,0)</ns0:f>
        <ns0:v>0</ns0:v>
      </ns0:c>
      <ns0:c r="H162" s="0">
        <ns0:f>IFERROR(IF(FIND(".",B162)=5,--E162,--C162),0)</ns0:f>
        <ns0:v>0</ns0:v>
      </ns0:c>
      <ns0:c r="I162" s="0">
        <ns0:f>IFERROR(IF(AND(F162&gt;=2000,F162&lt;=2100,G162&gt;=1,G162&lt;=12,H162&gt;=1,H162&lt;=31),DATE(F162,G162,H162),0),0)</ns0:f>
        <ns0:v>0</ns0:v>
      </ns0:c>
      <ns0:c r="J162" s="0">
        <ns0:f>IFERROR(IF(ISNUMBER(Bookings!B162),IF(AND(Bookings!B162=INT(Bookings!B162),Bookings!B162&gt;=DATE(2000,1,1),Bookings!B162&lt;=DATE(2100,12,31)),Bookings!B162,0),IF(AND(A162&lt;&gt;"",LEN("x"&amp;B162)-LEN(SUBSTITUTE("x"&amp;B162,".",""))=2,OR(1&gt;LEN(B162),MID(B162,1,1)=".",ISNUMBER(FIND("x"&amp;MID(B162,1,1),"x0x1x2x3x4x5x6x7x8x9"))),OR(2&gt;LEN(B162),MID(B162,2,1)=".",ISNUMBER(FIND("x"&amp;MID(B162,2,1),"x0x1x2x3x4x5x6x7x8x9"))),OR(3&gt;LEN(B162),MID(B162,3,1)=".",ISNUMBER(FIND("x"&amp;MID(B162,3,1),"x0x1x2x3x4x5x6x7x8x9"))),OR(4&gt;LEN(B162),MID(B162,4,1)=".",ISNUMBER(FIND("x"&amp;MID(B162,4,1),"x0x1x2x3x4x5x6x7x8x9"))),OR(5&gt;LEN(B162),MID(B162,5,1)=".",ISNUMBER(FIND("x"&amp;MID(B162,5,1),"x0x1x2x3x4x5x6x7x8x9"))),OR(6&gt;LEN(B162),MID(B162,6,1)=".",ISNUMBER(FIND("x"&amp;MID(B162,6,1),"x0x1x2x3x4x5x6x7x8x9"))),OR(7&gt;LEN(B162),MID(B162,7,1)=".",ISNUMBER(FIND("x"&amp;MID(B162,7,1),"x0x1x2x3x4x5x6x7x8x9"))),OR(8&gt;LEN(B162),MID(B162,8,1)=".",ISNUMBER(FIND("x"&amp;MID(B162,8,1),"x0x1x2x3x4x5x6x7x8x9"))),OR(9&gt;LEN(B162),MID(B162,9,1)=".",ISNUMBER(FIND("x"&amp;MID(B162,9,1),"x0x1x2x3x4x5x6x7x8x9"))),OR(10&gt;LEN(B162),MID(B162,10,1)=".",ISNUMBER(FIND("x"&amp;MID(B162,10,1),"x0x1x2x3x4x5x6x7x8x9"))),OR(AND(FIND(".",B162)=5,LEN(B162)-FIND(".",B162,FIND(".",B162)+1)&gt;=1,LEN(B162)-FIND(".",B162,FIND(".",B162)+1)&lt;=2),AND(LEN(B162)-FIND(".",B162,FIND(".",B162)+1)=4,FIND(".",B162)&gt;=2,FIND(".",B162)&lt;=3)),FIND(".",B162,FIND(".",B162)+1)-FIND(".",B162)&gt;=2,FIND(".",B162,FIND(".",B162)+1)-FIND(".",B162)&lt;=3,F162&gt;=2000,F162&lt;=2100,YEAR(I162)=F162,MONTH(I162)=G162,DAY(I162)=H162),I162,0)),0)</ns0:f>
        <ns0:v>0</ns0:v>
      </ns0:c>
      <ns0:c r="K162" s="0">
        <ns0:f>IFERROR(IF(ISNUMBER(Bookings!D162),"",TRIM(Bookings!D162&amp;"")),"")</ns0:f>
      </ns0:c>
      <ns0:c r="L162" s="0">
        <ns0:f>IFERROR(SUBSTITUTE(SUBSTITUTE(K162,"/","."),"-","."),"")</ns0:f>
      </ns0:c>
      <ns0:c r="M162" s="0">
        <ns0:f>IFERROR(LEFT(L162,FIND(".",L162)-1),"")</ns0:f>
      </ns0:c>
      <ns0:c r="N162" s="0">
        <ns0:f>IFERROR(MID(L162,FIND(".",L162)+1,FIND(".",L162,FIND(".",L162)+1)-FIND(".",L162)-1),"")</ns0:f>
      </ns0:c>
      <ns0:c r="O162" s="0">
        <ns0:f>IFERROR(MID(L162,FIND(".",L162,FIND(".",L162)+1)+1,99),"")</ns0:f>
        <ns0:v>99</ns0:v>
      </ns0:c>
      <ns0:c r="P162" s="0">
        <ns0:f>IFERROR(IF(FIND(".",L162)=5,--M162,--O162),0)</ns0:f>
        <ns0:v>0</ns0:v>
      </ns0:c>
      <ns0:c r="Q162" s="0">
        <ns0:f>IFERROR(--N162,0)</ns0:f>
        <ns0:v>0</ns0:v>
      </ns0:c>
      <ns0:c r="R162" s="0">
        <ns0:f>IFERROR(IF(FIND(".",L162)=5,--O162,--M162),0)</ns0:f>
        <ns0:v>0</ns0:v>
      </ns0:c>
      <ns0:c r="S162" s="0">
        <ns0:f>IFERROR(IF(AND(P162&gt;=2000,P162&lt;=2100,Q162&gt;=1,Q162&lt;=12,R162&gt;=1,R162&lt;=31),DATE(P162,Q162,R162),0),0)</ns0:f>
        <ns0:v>0</ns0:v>
      </ns0:c>
      <ns0:c r="T162" s="0">
        <ns0:f>IFERROR(IF(ISNUMBER(Bookings!D162),IF(AND(Bookings!D162=INT(Bookings!D162),Bookings!D162&gt;=DATE(2000,1,1),Bookings!D162&lt;=DATE(2100,12,31)),Bookings!D162,0),IF(AND(K162&lt;&gt;"",LEN("x"&amp;L162)-LEN(SUBSTITUTE("x"&amp;L162,".",""))=2,OR(1&gt;LEN(L162),MID(L162,1,1)=".",ISNUMBER(FIND("x"&amp;MID(L162,1,1),"x0x1x2x3x4x5x6x7x8x9"))),OR(2&gt;LEN(L162),MID(L162,2,1)=".",ISNUMBER(FIND("x"&amp;MID(L162,2,1),"x0x1x2x3x4x5x6x7x8x9"))),OR(3&gt;LEN(L162),MID(L162,3,1)=".",ISNUMBER(FIND("x"&amp;MID(L162,3,1),"x0x1x2x3x4x5x6x7x8x9"))),OR(4&gt;LEN(L162),MID(L162,4,1)=".",ISNUMBER(FIND("x"&amp;MID(L162,4,1),"x0x1x2x3x4x5x6x7x8x9"))),OR(5&gt;LEN(L162),MID(L162,5,1)=".",ISNUMBER(FIND("x"&amp;MID(L162,5,1),"x0x1x2x3x4x5x6x7x8x9"))),OR(6&gt;LEN(L162),MID(L162,6,1)=".",ISNUMBER(FIND("x"&amp;MID(L162,6,1),"x0x1x2x3x4x5x6x7x8x9"))),OR(7&gt;LEN(L162),MID(L162,7,1)=".",ISNUMBER(FIND("x"&amp;MID(L162,7,1),"x0x1x2x3x4x5x6x7x8x9"))),OR(8&gt;LEN(L162),MID(L162,8,1)=".",ISNUMBER(FIND("x"&amp;MID(L162,8,1),"x0x1x2x3x4x5x6x7x8x9"))),OR(9&gt;LEN(L162),MID(L162,9,1)=".",ISNUMBER(FIND("x"&amp;MID(L162,9,1),"x0x1x2x3x4x5x6x7x8x9"))),OR(10&gt;LEN(L162),MID(L162,10,1)=".",ISNUMBER(FIND("x"&amp;MID(L162,10,1),"x0x1x2x3x4x5x6x7x8x9"))),OR(AND(FIND(".",L162)=5,LEN(L162)-FIND(".",L162,FIND(".",L162)+1)&gt;=1,LEN(L162)-FIND(".",L162,FIND(".",L162)+1)&lt;=2),AND(LEN(L162)-FIND(".",L162,FIND(".",L162)+1)=4,FIND(".",L162)&gt;=2,FIND(".",L162)&lt;=3)),FIND(".",L162,FIND(".",L162)+1)-FIND(".",L162)&gt;=2,FIND(".",L162,FIND(".",L162)+1)-FIND(".",L162)&lt;=3,P162&gt;=2000,P162&lt;=2100,YEAR(S162)=P162,MONTH(S162)=Q162,DAY(S162)=R162),S162,0)),0)</ns0:f>
        <ns0:v>0</ns0:v>
      </ns0:c>
      <ns0:c r="U162" s="0" t="str">
        <ns0:f>IF(Bookings!C162="","Full day",Bookings!C162)</ns0:f>
        <ns0:v>Full day</ns0:v>
      </ns0:c>
      <ns0:c r="V162" s="0" t="str">
        <ns0:f>IF(Bookings!E162="","Full day",Bookings!E162)</ns0:f>
        <ns0:v>Full day</ns0:v>
      </ns0:c>
      <ns0:c r="W162" s="0">
        <ns0:f>IF(J162=0,0,J162+IF(U162="PM",1,0))</ns0:f>
        <ns0:v>0</ns0:v>
      </ns0:c>
      <ns0:c r="X162" s="0">
        <ns0:f>IF(T162=0,0,T162-IF(V162="PM",1,0))</ns0:f>
        <ns0:v>0</ns0:v>
      </ns0:c>
      <ns0:c r="Y162" s="0">
        <ns0:f>IF(J162=0,0,J162+IF(U162="AM",1,0))</ns0:f>
        <ns0:v>0</ns0:v>
      </ns0:c>
      <ns0:c r="Z162" s="0">
        <ns0:f>IF(T162=0,0,T162-IF(V162="AM",1,0))</ns0:f>
        <ns0:v>0</ns0:v>
      </ns0:c>
      <ns0:c r="AA162" s="0">
        <ns0:f>IFERROR(IF(AND(J162&gt;0,'_Engine'!C162&gt;0,MID('_Engine'!W162,WEEKDAY(J162,2),1)="W",COUNTIF(Settings!$F$18:$F$67,J162)=0),1,0),0)</ns0:f>
        <ns0:v>0</ns0:v>
      </ns0:c>
      <ns0:c r="AB162" s="0">
        <ns0:f>IFERROR(IF(AND(T162&gt;0,'_Engine'!C162&gt;0,MID('_Engine'!W162,WEEKDAY(T162,2),1)="W",COUNTIF(Settings!$F$18:$F$67,T162)=0),1,0),0)</ns0:f>
        <ns0:v>0</ns0:v>
      </ns0:c>
      <ns0:c r="AC162" s="0">
        <ns0:f>IF(AND(J162&gt;0,T162&gt;0,W162&lt;=X162),1,0)</ns0:f>
        <ns0:v>0</ns0:v>
      </ns0:c>
      <ns0:c r="AD162" s="0">
        <ns0:f>IF(AND(J162&gt;0,T162&gt;0,Y162&lt;=Z162),1,0)</ns0:f>
        <ns0:v>0</ns0:v>
      </ns0:c>
    </ns0:row>
    <ns0:row r="163">
      <ns0:c r="A163" s="0">
        <ns0:f>IFERROR(IF(ISNUMBER(Bookings!B163),"",TRIM(Bookings!B163&amp;"")),"")</ns0:f>
      </ns0:c>
      <ns0:c r="B163" s="0">
        <ns0:f>IFERROR(SUBSTITUTE(SUBSTITUTE(A163,"/","."),"-","."),"")</ns0:f>
      </ns0:c>
      <ns0:c r="C163" s="0">
        <ns0:f>IFERROR(LEFT(B163,FIND(".",B163)-1),"")</ns0:f>
      </ns0:c>
      <ns0:c r="D163" s="0">
        <ns0:f>IFERROR(MID(B163,FIND(".",B163)+1,FIND(".",B163,FIND(".",B163)+1)-FIND(".",B163)-1),"")</ns0:f>
      </ns0:c>
      <ns0:c r="E163" s="0">
        <ns0:f>IFERROR(MID(B163,FIND(".",B163,FIND(".",B163)+1)+1,99),"")</ns0:f>
        <ns0:v>99</ns0:v>
      </ns0:c>
      <ns0:c r="F163" s="0">
        <ns0:f>IFERROR(IF(FIND(".",B163)=5,--C163,--E163),0)</ns0:f>
        <ns0:v>0</ns0:v>
      </ns0:c>
      <ns0:c r="G163" s="0">
        <ns0:f>IFERROR(--D163,0)</ns0:f>
        <ns0:v>0</ns0:v>
      </ns0:c>
      <ns0:c r="H163" s="0">
        <ns0:f>IFERROR(IF(FIND(".",B163)=5,--E163,--C163),0)</ns0:f>
        <ns0:v>0</ns0:v>
      </ns0:c>
      <ns0:c r="I163" s="0">
        <ns0:f>IFERROR(IF(AND(F163&gt;=2000,F163&lt;=2100,G163&gt;=1,G163&lt;=12,H163&gt;=1,H163&lt;=31),DATE(F163,G163,H163),0),0)</ns0:f>
        <ns0:v>0</ns0:v>
      </ns0:c>
      <ns0:c r="J163" s="0">
        <ns0:f>IFERROR(IF(ISNUMBER(Bookings!B163),IF(AND(Bookings!B163=INT(Bookings!B163),Bookings!B163&gt;=DATE(2000,1,1),Bookings!B163&lt;=DATE(2100,12,31)),Bookings!B163,0),IF(AND(A163&lt;&gt;"",LEN("x"&amp;B163)-LEN(SUBSTITUTE("x"&amp;B163,".",""))=2,OR(1&gt;LEN(B163),MID(B163,1,1)=".",ISNUMBER(FIND("x"&amp;MID(B163,1,1),"x0x1x2x3x4x5x6x7x8x9"))),OR(2&gt;LEN(B163),MID(B163,2,1)=".",ISNUMBER(FIND("x"&amp;MID(B163,2,1),"x0x1x2x3x4x5x6x7x8x9"))),OR(3&gt;LEN(B163),MID(B163,3,1)=".",ISNUMBER(FIND("x"&amp;MID(B163,3,1),"x0x1x2x3x4x5x6x7x8x9"))),OR(4&gt;LEN(B163),MID(B163,4,1)=".",ISNUMBER(FIND("x"&amp;MID(B163,4,1),"x0x1x2x3x4x5x6x7x8x9"))),OR(5&gt;LEN(B163),MID(B163,5,1)=".",ISNUMBER(FIND("x"&amp;MID(B163,5,1),"x0x1x2x3x4x5x6x7x8x9"))),OR(6&gt;LEN(B163),MID(B163,6,1)=".",ISNUMBER(FIND("x"&amp;MID(B163,6,1),"x0x1x2x3x4x5x6x7x8x9"))),OR(7&gt;LEN(B163),MID(B163,7,1)=".",ISNUMBER(FIND("x"&amp;MID(B163,7,1),"x0x1x2x3x4x5x6x7x8x9"))),OR(8&gt;LEN(B163),MID(B163,8,1)=".",ISNUMBER(FIND("x"&amp;MID(B163,8,1),"x0x1x2x3x4x5x6x7x8x9"))),OR(9&gt;LEN(B163),MID(B163,9,1)=".",ISNUMBER(FIND("x"&amp;MID(B163,9,1),"x0x1x2x3x4x5x6x7x8x9"))),OR(10&gt;LEN(B163),MID(B163,10,1)=".",ISNUMBER(FIND("x"&amp;MID(B163,10,1),"x0x1x2x3x4x5x6x7x8x9"))),OR(AND(FIND(".",B163)=5,LEN(B163)-FIND(".",B163,FIND(".",B163)+1)&gt;=1,LEN(B163)-FIND(".",B163,FIND(".",B163)+1)&lt;=2),AND(LEN(B163)-FIND(".",B163,FIND(".",B163)+1)=4,FIND(".",B163)&gt;=2,FIND(".",B163)&lt;=3)),FIND(".",B163,FIND(".",B163)+1)-FIND(".",B163)&gt;=2,FIND(".",B163,FIND(".",B163)+1)-FIND(".",B163)&lt;=3,F163&gt;=2000,F163&lt;=2100,YEAR(I163)=F163,MONTH(I163)=G163,DAY(I163)=H163),I163,0)),0)</ns0:f>
        <ns0:v>0</ns0:v>
      </ns0:c>
      <ns0:c r="K163" s="0">
        <ns0:f>IFERROR(IF(ISNUMBER(Bookings!D163),"",TRIM(Bookings!D163&amp;"")),"")</ns0:f>
      </ns0:c>
      <ns0:c r="L163" s="0">
        <ns0:f>IFERROR(SUBSTITUTE(SUBSTITUTE(K163,"/","."),"-","."),"")</ns0:f>
      </ns0:c>
      <ns0:c r="M163" s="0">
        <ns0:f>IFERROR(LEFT(L163,FIND(".",L163)-1),"")</ns0:f>
      </ns0:c>
      <ns0:c r="N163" s="0">
        <ns0:f>IFERROR(MID(L163,FIND(".",L163)+1,FIND(".",L163,FIND(".",L163)+1)-FIND(".",L163)-1),"")</ns0:f>
      </ns0:c>
      <ns0:c r="O163" s="0">
        <ns0:f>IFERROR(MID(L163,FIND(".",L163,FIND(".",L163)+1)+1,99),"")</ns0:f>
        <ns0:v>99</ns0:v>
      </ns0:c>
      <ns0:c r="P163" s="0">
        <ns0:f>IFERROR(IF(FIND(".",L163)=5,--M163,--O163),0)</ns0:f>
        <ns0:v>0</ns0:v>
      </ns0:c>
      <ns0:c r="Q163" s="0">
        <ns0:f>IFERROR(--N163,0)</ns0:f>
        <ns0:v>0</ns0:v>
      </ns0:c>
      <ns0:c r="R163" s="0">
        <ns0:f>IFERROR(IF(FIND(".",L163)=5,--O163,--M163),0)</ns0:f>
        <ns0:v>0</ns0:v>
      </ns0:c>
      <ns0:c r="S163" s="0">
        <ns0:f>IFERROR(IF(AND(P163&gt;=2000,P163&lt;=2100,Q163&gt;=1,Q163&lt;=12,R163&gt;=1,R163&lt;=31),DATE(P163,Q163,R163),0),0)</ns0:f>
        <ns0:v>0</ns0:v>
      </ns0:c>
      <ns0:c r="T163" s="0">
        <ns0:f>IFERROR(IF(ISNUMBER(Bookings!D163),IF(AND(Bookings!D163=INT(Bookings!D163),Bookings!D163&gt;=DATE(2000,1,1),Bookings!D163&lt;=DATE(2100,12,31)),Bookings!D163,0),IF(AND(K163&lt;&gt;"",LEN("x"&amp;L163)-LEN(SUBSTITUTE("x"&amp;L163,".",""))=2,OR(1&gt;LEN(L163),MID(L163,1,1)=".",ISNUMBER(FIND("x"&amp;MID(L163,1,1),"x0x1x2x3x4x5x6x7x8x9"))),OR(2&gt;LEN(L163),MID(L163,2,1)=".",ISNUMBER(FIND("x"&amp;MID(L163,2,1),"x0x1x2x3x4x5x6x7x8x9"))),OR(3&gt;LEN(L163),MID(L163,3,1)=".",ISNUMBER(FIND("x"&amp;MID(L163,3,1),"x0x1x2x3x4x5x6x7x8x9"))),OR(4&gt;LEN(L163),MID(L163,4,1)=".",ISNUMBER(FIND("x"&amp;MID(L163,4,1),"x0x1x2x3x4x5x6x7x8x9"))),OR(5&gt;LEN(L163),MID(L163,5,1)=".",ISNUMBER(FIND("x"&amp;MID(L163,5,1),"x0x1x2x3x4x5x6x7x8x9"))),OR(6&gt;LEN(L163),MID(L163,6,1)=".",ISNUMBER(FIND("x"&amp;MID(L163,6,1),"x0x1x2x3x4x5x6x7x8x9"))),OR(7&gt;LEN(L163),MID(L163,7,1)=".",ISNUMBER(FIND("x"&amp;MID(L163,7,1),"x0x1x2x3x4x5x6x7x8x9"))),OR(8&gt;LEN(L163),MID(L163,8,1)=".",ISNUMBER(FIND("x"&amp;MID(L163,8,1),"x0x1x2x3x4x5x6x7x8x9"))),OR(9&gt;LEN(L163),MID(L163,9,1)=".",ISNUMBER(FIND("x"&amp;MID(L163,9,1),"x0x1x2x3x4x5x6x7x8x9"))),OR(10&gt;LEN(L163),MID(L163,10,1)=".",ISNUMBER(FIND("x"&amp;MID(L163,10,1),"x0x1x2x3x4x5x6x7x8x9"))),OR(AND(FIND(".",L163)=5,LEN(L163)-FIND(".",L163,FIND(".",L163)+1)&gt;=1,LEN(L163)-FIND(".",L163,FIND(".",L163)+1)&lt;=2),AND(LEN(L163)-FIND(".",L163,FIND(".",L163)+1)=4,FIND(".",L163)&gt;=2,FIND(".",L163)&lt;=3)),FIND(".",L163,FIND(".",L163)+1)-FIND(".",L163)&gt;=2,FIND(".",L163,FIND(".",L163)+1)-FIND(".",L163)&lt;=3,P163&gt;=2000,P163&lt;=2100,YEAR(S163)=P163,MONTH(S163)=Q163,DAY(S163)=R163),S163,0)),0)</ns0:f>
        <ns0:v>0</ns0:v>
      </ns0:c>
      <ns0:c r="U163" s="0" t="str">
        <ns0:f>IF(Bookings!C163="","Full day",Bookings!C163)</ns0:f>
        <ns0:v>Full day</ns0:v>
      </ns0:c>
      <ns0:c r="V163" s="0" t="str">
        <ns0:f>IF(Bookings!E163="","Full day",Bookings!E163)</ns0:f>
        <ns0:v>Full day</ns0:v>
      </ns0:c>
      <ns0:c r="W163" s="0">
        <ns0:f>IF(J163=0,0,J163+IF(U163="PM",1,0))</ns0:f>
        <ns0:v>0</ns0:v>
      </ns0:c>
      <ns0:c r="X163" s="0">
        <ns0:f>IF(T163=0,0,T163-IF(V163="PM",1,0))</ns0:f>
        <ns0:v>0</ns0:v>
      </ns0:c>
      <ns0:c r="Y163" s="0">
        <ns0:f>IF(J163=0,0,J163+IF(U163="AM",1,0))</ns0:f>
        <ns0:v>0</ns0:v>
      </ns0:c>
      <ns0:c r="Z163" s="0">
        <ns0:f>IF(T163=0,0,T163-IF(V163="AM",1,0))</ns0:f>
        <ns0:v>0</ns0:v>
      </ns0:c>
      <ns0:c r="AA163" s="0">
        <ns0:f>IFERROR(IF(AND(J163&gt;0,'_Engine'!C163&gt;0,MID('_Engine'!W163,WEEKDAY(J163,2),1)="W",COUNTIF(Settings!$F$18:$F$67,J163)=0),1,0),0)</ns0:f>
        <ns0:v>0</ns0:v>
      </ns0:c>
      <ns0:c r="AB163" s="0">
        <ns0:f>IFERROR(IF(AND(T163&gt;0,'_Engine'!C163&gt;0,MID('_Engine'!W163,WEEKDAY(T163,2),1)="W",COUNTIF(Settings!$F$18:$F$67,T163)=0),1,0),0)</ns0:f>
        <ns0:v>0</ns0:v>
      </ns0:c>
      <ns0:c r="AC163" s="0">
        <ns0:f>IF(AND(J163&gt;0,T163&gt;0,W163&lt;=X163),1,0)</ns0:f>
        <ns0:v>0</ns0:v>
      </ns0:c>
      <ns0:c r="AD163" s="0">
        <ns0:f>IF(AND(J163&gt;0,T163&gt;0,Y163&lt;=Z163),1,0)</ns0:f>
        <ns0:v>0</ns0:v>
      </ns0:c>
    </ns0:row>
    <ns0:row r="164">
      <ns0:c r="A164" s="0">
        <ns0:f>IFERROR(IF(ISNUMBER(Bookings!B164),"",TRIM(Bookings!B164&amp;"")),"")</ns0:f>
      </ns0:c>
      <ns0:c r="B164" s="0">
        <ns0:f>IFERROR(SUBSTITUTE(SUBSTITUTE(A164,"/","."),"-","."),"")</ns0:f>
      </ns0:c>
      <ns0:c r="C164" s="0">
        <ns0:f>IFERROR(LEFT(B164,FIND(".",B164)-1),"")</ns0:f>
      </ns0:c>
      <ns0:c r="D164" s="0">
        <ns0:f>IFERROR(MID(B164,FIND(".",B164)+1,FIND(".",B164,FIND(".",B164)+1)-FIND(".",B164)-1),"")</ns0:f>
      </ns0:c>
      <ns0:c r="E164" s="0">
        <ns0:f>IFERROR(MID(B164,FIND(".",B164,FIND(".",B164)+1)+1,99),"")</ns0:f>
        <ns0:v>99</ns0:v>
      </ns0:c>
      <ns0:c r="F164" s="0">
        <ns0:f>IFERROR(IF(FIND(".",B164)=5,--C164,--E164),0)</ns0:f>
        <ns0:v>0</ns0:v>
      </ns0:c>
      <ns0:c r="G164" s="0">
        <ns0:f>IFERROR(--D164,0)</ns0:f>
        <ns0:v>0</ns0:v>
      </ns0:c>
      <ns0:c r="H164" s="0">
        <ns0:f>IFERROR(IF(FIND(".",B164)=5,--E164,--C164),0)</ns0:f>
        <ns0:v>0</ns0:v>
      </ns0:c>
      <ns0:c r="I164" s="0">
        <ns0:f>IFERROR(IF(AND(F164&gt;=2000,F164&lt;=2100,G164&gt;=1,G164&lt;=12,H164&gt;=1,H164&lt;=31),DATE(F164,G164,H164),0),0)</ns0:f>
        <ns0:v>0</ns0:v>
      </ns0:c>
      <ns0:c r="J164" s="0">
        <ns0:f>IFERROR(IF(ISNUMBER(Bookings!B164),IF(AND(Bookings!B164=INT(Bookings!B164),Bookings!B164&gt;=DATE(2000,1,1),Bookings!B164&lt;=DATE(2100,12,31)),Bookings!B164,0),IF(AND(A164&lt;&gt;"",LEN("x"&amp;B164)-LEN(SUBSTITUTE("x"&amp;B164,".",""))=2,OR(1&gt;LEN(B164),MID(B164,1,1)=".",ISNUMBER(FIND("x"&amp;MID(B164,1,1),"x0x1x2x3x4x5x6x7x8x9"))),OR(2&gt;LEN(B164),MID(B164,2,1)=".",ISNUMBER(FIND("x"&amp;MID(B164,2,1),"x0x1x2x3x4x5x6x7x8x9"))),OR(3&gt;LEN(B164),MID(B164,3,1)=".",ISNUMBER(FIND("x"&amp;MID(B164,3,1),"x0x1x2x3x4x5x6x7x8x9"))),OR(4&gt;LEN(B164),MID(B164,4,1)=".",ISNUMBER(FIND("x"&amp;MID(B164,4,1),"x0x1x2x3x4x5x6x7x8x9"))),OR(5&gt;LEN(B164),MID(B164,5,1)=".",ISNUMBER(FIND("x"&amp;MID(B164,5,1),"x0x1x2x3x4x5x6x7x8x9"))),OR(6&gt;LEN(B164),MID(B164,6,1)=".",ISNUMBER(FIND("x"&amp;MID(B164,6,1),"x0x1x2x3x4x5x6x7x8x9"))),OR(7&gt;LEN(B164),MID(B164,7,1)=".",ISNUMBER(FIND("x"&amp;MID(B164,7,1),"x0x1x2x3x4x5x6x7x8x9"))),OR(8&gt;LEN(B164),MID(B164,8,1)=".",ISNUMBER(FIND("x"&amp;MID(B164,8,1),"x0x1x2x3x4x5x6x7x8x9"))),OR(9&gt;LEN(B164),MID(B164,9,1)=".",ISNUMBER(FIND("x"&amp;MID(B164,9,1),"x0x1x2x3x4x5x6x7x8x9"))),OR(10&gt;LEN(B164),MID(B164,10,1)=".",ISNUMBER(FIND("x"&amp;MID(B164,10,1),"x0x1x2x3x4x5x6x7x8x9"))),OR(AND(FIND(".",B164)=5,LEN(B164)-FIND(".",B164,FIND(".",B164)+1)&gt;=1,LEN(B164)-FIND(".",B164,FIND(".",B164)+1)&lt;=2),AND(LEN(B164)-FIND(".",B164,FIND(".",B164)+1)=4,FIND(".",B164)&gt;=2,FIND(".",B164)&lt;=3)),FIND(".",B164,FIND(".",B164)+1)-FIND(".",B164)&gt;=2,FIND(".",B164,FIND(".",B164)+1)-FIND(".",B164)&lt;=3,F164&gt;=2000,F164&lt;=2100,YEAR(I164)=F164,MONTH(I164)=G164,DAY(I164)=H164),I164,0)),0)</ns0:f>
        <ns0:v>0</ns0:v>
      </ns0:c>
      <ns0:c r="K164" s="0">
        <ns0:f>IFERROR(IF(ISNUMBER(Bookings!D164),"",TRIM(Bookings!D164&amp;"")),"")</ns0:f>
      </ns0:c>
      <ns0:c r="L164" s="0">
        <ns0:f>IFERROR(SUBSTITUTE(SUBSTITUTE(K164,"/","."),"-","."),"")</ns0:f>
      </ns0:c>
      <ns0:c r="M164" s="0">
        <ns0:f>IFERROR(LEFT(L164,FIND(".",L164)-1),"")</ns0:f>
      </ns0:c>
      <ns0:c r="N164" s="0">
        <ns0:f>IFERROR(MID(L164,FIND(".",L164)+1,FIND(".",L164,FIND(".",L164)+1)-FIND(".",L164)-1),"")</ns0:f>
      </ns0:c>
      <ns0:c r="O164" s="0">
        <ns0:f>IFERROR(MID(L164,FIND(".",L164,FIND(".",L164)+1)+1,99),"")</ns0:f>
        <ns0:v>99</ns0:v>
      </ns0:c>
      <ns0:c r="P164" s="0">
        <ns0:f>IFERROR(IF(FIND(".",L164)=5,--M164,--O164),0)</ns0:f>
        <ns0:v>0</ns0:v>
      </ns0:c>
      <ns0:c r="Q164" s="0">
        <ns0:f>IFERROR(--N164,0)</ns0:f>
        <ns0:v>0</ns0:v>
      </ns0:c>
      <ns0:c r="R164" s="0">
        <ns0:f>IFERROR(IF(FIND(".",L164)=5,--O164,--M164),0)</ns0:f>
        <ns0:v>0</ns0:v>
      </ns0:c>
      <ns0:c r="S164" s="0">
        <ns0:f>IFERROR(IF(AND(P164&gt;=2000,P164&lt;=2100,Q164&gt;=1,Q164&lt;=12,R164&gt;=1,R164&lt;=31),DATE(P164,Q164,R164),0),0)</ns0:f>
        <ns0:v>0</ns0:v>
      </ns0:c>
      <ns0:c r="T164" s="0">
        <ns0:f>IFERROR(IF(ISNUMBER(Bookings!D164),IF(AND(Bookings!D164=INT(Bookings!D164),Bookings!D164&gt;=DATE(2000,1,1),Bookings!D164&lt;=DATE(2100,12,31)),Bookings!D164,0),IF(AND(K164&lt;&gt;"",LEN("x"&amp;L164)-LEN(SUBSTITUTE("x"&amp;L164,".",""))=2,OR(1&gt;LEN(L164),MID(L164,1,1)=".",ISNUMBER(FIND("x"&amp;MID(L164,1,1),"x0x1x2x3x4x5x6x7x8x9"))),OR(2&gt;LEN(L164),MID(L164,2,1)=".",ISNUMBER(FIND("x"&amp;MID(L164,2,1),"x0x1x2x3x4x5x6x7x8x9"))),OR(3&gt;LEN(L164),MID(L164,3,1)=".",ISNUMBER(FIND("x"&amp;MID(L164,3,1),"x0x1x2x3x4x5x6x7x8x9"))),OR(4&gt;LEN(L164),MID(L164,4,1)=".",ISNUMBER(FIND("x"&amp;MID(L164,4,1),"x0x1x2x3x4x5x6x7x8x9"))),OR(5&gt;LEN(L164),MID(L164,5,1)=".",ISNUMBER(FIND("x"&amp;MID(L164,5,1),"x0x1x2x3x4x5x6x7x8x9"))),OR(6&gt;LEN(L164),MID(L164,6,1)=".",ISNUMBER(FIND("x"&amp;MID(L164,6,1),"x0x1x2x3x4x5x6x7x8x9"))),OR(7&gt;LEN(L164),MID(L164,7,1)=".",ISNUMBER(FIND("x"&amp;MID(L164,7,1),"x0x1x2x3x4x5x6x7x8x9"))),OR(8&gt;LEN(L164),MID(L164,8,1)=".",ISNUMBER(FIND("x"&amp;MID(L164,8,1),"x0x1x2x3x4x5x6x7x8x9"))),OR(9&gt;LEN(L164),MID(L164,9,1)=".",ISNUMBER(FIND("x"&amp;MID(L164,9,1),"x0x1x2x3x4x5x6x7x8x9"))),OR(10&gt;LEN(L164),MID(L164,10,1)=".",ISNUMBER(FIND("x"&amp;MID(L164,10,1),"x0x1x2x3x4x5x6x7x8x9"))),OR(AND(FIND(".",L164)=5,LEN(L164)-FIND(".",L164,FIND(".",L164)+1)&gt;=1,LEN(L164)-FIND(".",L164,FIND(".",L164)+1)&lt;=2),AND(LEN(L164)-FIND(".",L164,FIND(".",L164)+1)=4,FIND(".",L164)&gt;=2,FIND(".",L164)&lt;=3)),FIND(".",L164,FIND(".",L164)+1)-FIND(".",L164)&gt;=2,FIND(".",L164,FIND(".",L164)+1)-FIND(".",L164)&lt;=3,P164&gt;=2000,P164&lt;=2100,YEAR(S164)=P164,MONTH(S164)=Q164,DAY(S164)=R164),S164,0)),0)</ns0:f>
        <ns0:v>0</ns0:v>
      </ns0:c>
      <ns0:c r="U164" s="0" t="str">
        <ns0:f>IF(Bookings!C164="","Full day",Bookings!C164)</ns0:f>
        <ns0:v>Full day</ns0:v>
      </ns0:c>
      <ns0:c r="V164" s="0" t="str">
        <ns0:f>IF(Bookings!E164="","Full day",Bookings!E164)</ns0:f>
        <ns0:v>Full day</ns0:v>
      </ns0:c>
      <ns0:c r="W164" s="0">
        <ns0:f>IF(J164=0,0,J164+IF(U164="PM",1,0))</ns0:f>
        <ns0:v>0</ns0:v>
      </ns0:c>
      <ns0:c r="X164" s="0">
        <ns0:f>IF(T164=0,0,T164-IF(V164="PM",1,0))</ns0:f>
        <ns0:v>0</ns0:v>
      </ns0:c>
      <ns0:c r="Y164" s="0">
        <ns0:f>IF(J164=0,0,J164+IF(U164="AM",1,0))</ns0:f>
        <ns0:v>0</ns0:v>
      </ns0:c>
      <ns0:c r="Z164" s="0">
        <ns0:f>IF(T164=0,0,T164-IF(V164="AM",1,0))</ns0:f>
        <ns0:v>0</ns0:v>
      </ns0:c>
      <ns0:c r="AA164" s="0">
        <ns0:f>IFERROR(IF(AND(J164&gt;0,'_Engine'!C164&gt;0,MID('_Engine'!W164,WEEKDAY(J164,2),1)="W",COUNTIF(Settings!$F$18:$F$67,J164)=0),1,0),0)</ns0:f>
        <ns0:v>0</ns0:v>
      </ns0:c>
      <ns0:c r="AB164" s="0">
        <ns0:f>IFERROR(IF(AND(T164&gt;0,'_Engine'!C164&gt;0,MID('_Engine'!W164,WEEKDAY(T164,2),1)="W",COUNTIF(Settings!$F$18:$F$67,T164)=0),1,0),0)</ns0:f>
        <ns0:v>0</ns0:v>
      </ns0:c>
      <ns0:c r="AC164" s="0">
        <ns0:f>IF(AND(J164&gt;0,T164&gt;0,W164&lt;=X164),1,0)</ns0:f>
        <ns0:v>0</ns0:v>
      </ns0:c>
      <ns0:c r="AD164" s="0">
        <ns0:f>IF(AND(J164&gt;0,T164&gt;0,Y164&lt;=Z164),1,0)</ns0:f>
        <ns0:v>0</ns0:v>
      </ns0:c>
    </ns0:row>
    <ns0:row r="165">
      <ns0:c r="A165" s="0">
        <ns0:f>IFERROR(IF(ISNUMBER(Bookings!B165),"",TRIM(Bookings!B165&amp;"")),"")</ns0:f>
      </ns0:c>
      <ns0:c r="B165" s="0">
        <ns0:f>IFERROR(SUBSTITUTE(SUBSTITUTE(A165,"/","."),"-","."),"")</ns0:f>
      </ns0:c>
      <ns0:c r="C165" s="0">
        <ns0:f>IFERROR(LEFT(B165,FIND(".",B165)-1),"")</ns0:f>
      </ns0:c>
      <ns0:c r="D165" s="0">
        <ns0:f>IFERROR(MID(B165,FIND(".",B165)+1,FIND(".",B165,FIND(".",B165)+1)-FIND(".",B165)-1),"")</ns0:f>
      </ns0:c>
      <ns0:c r="E165" s="0">
        <ns0:f>IFERROR(MID(B165,FIND(".",B165,FIND(".",B165)+1)+1,99),"")</ns0:f>
        <ns0:v>99</ns0:v>
      </ns0:c>
      <ns0:c r="F165" s="0">
        <ns0:f>IFERROR(IF(FIND(".",B165)=5,--C165,--E165),0)</ns0:f>
        <ns0:v>0</ns0:v>
      </ns0:c>
      <ns0:c r="G165" s="0">
        <ns0:f>IFERROR(--D165,0)</ns0:f>
        <ns0:v>0</ns0:v>
      </ns0:c>
      <ns0:c r="H165" s="0">
        <ns0:f>IFERROR(IF(FIND(".",B165)=5,--E165,--C165),0)</ns0:f>
        <ns0:v>0</ns0:v>
      </ns0:c>
      <ns0:c r="I165" s="0">
        <ns0:f>IFERROR(IF(AND(F165&gt;=2000,F165&lt;=2100,G165&gt;=1,G165&lt;=12,H165&gt;=1,H165&lt;=31),DATE(F165,G165,H165),0),0)</ns0:f>
        <ns0:v>0</ns0:v>
      </ns0:c>
      <ns0:c r="J165" s="0">
        <ns0:f>IFERROR(IF(ISNUMBER(Bookings!B165),IF(AND(Bookings!B165=INT(Bookings!B165),Bookings!B165&gt;=DATE(2000,1,1),Bookings!B165&lt;=DATE(2100,12,31)),Bookings!B165,0),IF(AND(A165&lt;&gt;"",LEN("x"&amp;B165)-LEN(SUBSTITUTE("x"&amp;B165,".",""))=2,OR(1&gt;LEN(B165),MID(B165,1,1)=".",ISNUMBER(FIND("x"&amp;MID(B165,1,1),"x0x1x2x3x4x5x6x7x8x9"))),OR(2&gt;LEN(B165),MID(B165,2,1)=".",ISNUMBER(FIND("x"&amp;MID(B165,2,1),"x0x1x2x3x4x5x6x7x8x9"))),OR(3&gt;LEN(B165),MID(B165,3,1)=".",ISNUMBER(FIND("x"&amp;MID(B165,3,1),"x0x1x2x3x4x5x6x7x8x9"))),OR(4&gt;LEN(B165),MID(B165,4,1)=".",ISNUMBER(FIND("x"&amp;MID(B165,4,1),"x0x1x2x3x4x5x6x7x8x9"))),OR(5&gt;LEN(B165),MID(B165,5,1)=".",ISNUMBER(FIND("x"&amp;MID(B165,5,1),"x0x1x2x3x4x5x6x7x8x9"))),OR(6&gt;LEN(B165),MID(B165,6,1)=".",ISNUMBER(FIND("x"&amp;MID(B165,6,1),"x0x1x2x3x4x5x6x7x8x9"))),OR(7&gt;LEN(B165),MID(B165,7,1)=".",ISNUMBER(FIND("x"&amp;MID(B165,7,1),"x0x1x2x3x4x5x6x7x8x9"))),OR(8&gt;LEN(B165),MID(B165,8,1)=".",ISNUMBER(FIND("x"&amp;MID(B165,8,1),"x0x1x2x3x4x5x6x7x8x9"))),OR(9&gt;LEN(B165),MID(B165,9,1)=".",ISNUMBER(FIND("x"&amp;MID(B165,9,1),"x0x1x2x3x4x5x6x7x8x9"))),OR(10&gt;LEN(B165),MID(B165,10,1)=".",ISNUMBER(FIND("x"&amp;MID(B165,10,1),"x0x1x2x3x4x5x6x7x8x9"))),OR(AND(FIND(".",B165)=5,LEN(B165)-FIND(".",B165,FIND(".",B165)+1)&gt;=1,LEN(B165)-FIND(".",B165,FIND(".",B165)+1)&lt;=2),AND(LEN(B165)-FIND(".",B165,FIND(".",B165)+1)=4,FIND(".",B165)&gt;=2,FIND(".",B165)&lt;=3)),FIND(".",B165,FIND(".",B165)+1)-FIND(".",B165)&gt;=2,FIND(".",B165,FIND(".",B165)+1)-FIND(".",B165)&lt;=3,F165&gt;=2000,F165&lt;=2100,YEAR(I165)=F165,MONTH(I165)=G165,DAY(I165)=H165),I165,0)),0)</ns0:f>
        <ns0:v>0</ns0:v>
      </ns0:c>
      <ns0:c r="K165" s="0">
        <ns0:f>IFERROR(IF(ISNUMBER(Bookings!D165),"",TRIM(Bookings!D165&amp;"")),"")</ns0:f>
      </ns0:c>
      <ns0:c r="L165" s="0">
        <ns0:f>IFERROR(SUBSTITUTE(SUBSTITUTE(K165,"/","."),"-","."),"")</ns0:f>
      </ns0:c>
      <ns0:c r="M165" s="0">
        <ns0:f>IFERROR(LEFT(L165,FIND(".",L165)-1),"")</ns0:f>
      </ns0:c>
      <ns0:c r="N165" s="0">
        <ns0:f>IFERROR(MID(L165,FIND(".",L165)+1,FIND(".",L165,FIND(".",L165)+1)-FIND(".",L165)-1),"")</ns0:f>
      </ns0:c>
      <ns0:c r="O165" s="0">
        <ns0:f>IFERROR(MID(L165,FIND(".",L165,FIND(".",L165)+1)+1,99),"")</ns0:f>
        <ns0:v>99</ns0:v>
      </ns0:c>
      <ns0:c r="P165" s="0">
        <ns0:f>IFERROR(IF(FIND(".",L165)=5,--M165,--O165),0)</ns0:f>
        <ns0:v>0</ns0:v>
      </ns0:c>
      <ns0:c r="Q165" s="0">
        <ns0:f>IFERROR(--N165,0)</ns0:f>
        <ns0:v>0</ns0:v>
      </ns0:c>
      <ns0:c r="R165" s="0">
        <ns0:f>IFERROR(IF(FIND(".",L165)=5,--O165,--M165),0)</ns0:f>
        <ns0:v>0</ns0:v>
      </ns0:c>
      <ns0:c r="S165" s="0">
        <ns0:f>IFERROR(IF(AND(P165&gt;=2000,P165&lt;=2100,Q165&gt;=1,Q165&lt;=12,R165&gt;=1,R165&lt;=31),DATE(P165,Q165,R165),0),0)</ns0:f>
        <ns0:v>0</ns0:v>
      </ns0:c>
      <ns0:c r="T165" s="0">
        <ns0:f>IFERROR(IF(ISNUMBER(Bookings!D165),IF(AND(Bookings!D165=INT(Bookings!D165),Bookings!D165&gt;=DATE(2000,1,1),Bookings!D165&lt;=DATE(2100,12,31)),Bookings!D165,0),IF(AND(K165&lt;&gt;"",LEN("x"&amp;L165)-LEN(SUBSTITUTE("x"&amp;L165,".",""))=2,OR(1&gt;LEN(L165),MID(L165,1,1)=".",ISNUMBER(FIND("x"&amp;MID(L165,1,1),"x0x1x2x3x4x5x6x7x8x9"))),OR(2&gt;LEN(L165),MID(L165,2,1)=".",ISNUMBER(FIND("x"&amp;MID(L165,2,1),"x0x1x2x3x4x5x6x7x8x9"))),OR(3&gt;LEN(L165),MID(L165,3,1)=".",ISNUMBER(FIND("x"&amp;MID(L165,3,1),"x0x1x2x3x4x5x6x7x8x9"))),OR(4&gt;LEN(L165),MID(L165,4,1)=".",ISNUMBER(FIND("x"&amp;MID(L165,4,1),"x0x1x2x3x4x5x6x7x8x9"))),OR(5&gt;LEN(L165),MID(L165,5,1)=".",ISNUMBER(FIND("x"&amp;MID(L165,5,1),"x0x1x2x3x4x5x6x7x8x9"))),OR(6&gt;LEN(L165),MID(L165,6,1)=".",ISNUMBER(FIND("x"&amp;MID(L165,6,1),"x0x1x2x3x4x5x6x7x8x9"))),OR(7&gt;LEN(L165),MID(L165,7,1)=".",ISNUMBER(FIND("x"&amp;MID(L165,7,1),"x0x1x2x3x4x5x6x7x8x9"))),OR(8&gt;LEN(L165),MID(L165,8,1)=".",ISNUMBER(FIND("x"&amp;MID(L165,8,1),"x0x1x2x3x4x5x6x7x8x9"))),OR(9&gt;LEN(L165),MID(L165,9,1)=".",ISNUMBER(FIND("x"&amp;MID(L165,9,1),"x0x1x2x3x4x5x6x7x8x9"))),OR(10&gt;LEN(L165),MID(L165,10,1)=".",ISNUMBER(FIND("x"&amp;MID(L165,10,1),"x0x1x2x3x4x5x6x7x8x9"))),OR(AND(FIND(".",L165)=5,LEN(L165)-FIND(".",L165,FIND(".",L165)+1)&gt;=1,LEN(L165)-FIND(".",L165,FIND(".",L165)+1)&lt;=2),AND(LEN(L165)-FIND(".",L165,FIND(".",L165)+1)=4,FIND(".",L165)&gt;=2,FIND(".",L165)&lt;=3)),FIND(".",L165,FIND(".",L165)+1)-FIND(".",L165)&gt;=2,FIND(".",L165,FIND(".",L165)+1)-FIND(".",L165)&lt;=3,P165&gt;=2000,P165&lt;=2100,YEAR(S165)=P165,MONTH(S165)=Q165,DAY(S165)=R165),S165,0)),0)</ns0:f>
        <ns0:v>0</ns0:v>
      </ns0:c>
      <ns0:c r="U165" s="0" t="str">
        <ns0:f>IF(Bookings!C165="","Full day",Bookings!C165)</ns0:f>
        <ns0:v>Full day</ns0:v>
      </ns0:c>
      <ns0:c r="V165" s="0" t="str">
        <ns0:f>IF(Bookings!E165="","Full day",Bookings!E165)</ns0:f>
        <ns0:v>Full day</ns0:v>
      </ns0:c>
      <ns0:c r="W165" s="0">
        <ns0:f>IF(J165=0,0,J165+IF(U165="PM",1,0))</ns0:f>
        <ns0:v>0</ns0:v>
      </ns0:c>
      <ns0:c r="X165" s="0">
        <ns0:f>IF(T165=0,0,T165-IF(V165="PM",1,0))</ns0:f>
        <ns0:v>0</ns0:v>
      </ns0:c>
      <ns0:c r="Y165" s="0">
        <ns0:f>IF(J165=0,0,J165+IF(U165="AM",1,0))</ns0:f>
        <ns0:v>0</ns0:v>
      </ns0:c>
      <ns0:c r="Z165" s="0">
        <ns0:f>IF(T165=0,0,T165-IF(V165="AM",1,0))</ns0:f>
        <ns0:v>0</ns0:v>
      </ns0:c>
      <ns0:c r="AA165" s="0">
        <ns0:f>IFERROR(IF(AND(J165&gt;0,'_Engine'!C165&gt;0,MID('_Engine'!W165,WEEKDAY(J165,2),1)="W",COUNTIF(Settings!$F$18:$F$67,J165)=0),1,0),0)</ns0:f>
        <ns0:v>0</ns0:v>
      </ns0:c>
      <ns0:c r="AB165" s="0">
        <ns0:f>IFERROR(IF(AND(T165&gt;0,'_Engine'!C165&gt;0,MID('_Engine'!W165,WEEKDAY(T165,2),1)="W",COUNTIF(Settings!$F$18:$F$67,T165)=0),1,0),0)</ns0:f>
        <ns0:v>0</ns0:v>
      </ns0:c>
      <ns0:c r="AC165" s="0">
        <ns0:f>IF(AND(J165&gt;0,T165&gt;0,W165&lt;=X165),1,0)</ns0:f>
        <ns0:v>0</ns0:v>
      </ns0:c>
      <ns0:c r="AD165" s="0">
        <ns0:f>IF(AND(J165&gt;0,T165&gt;0,Y165&lt;=Z165),1,0)</ns0:f>
        <ns0:v>0</ns0:v>
      </ns0:c>
    </ns0:row>
    <ns0:row r="166">
      <ns0:c r="A166" s="0">
        <ns0:f>IFERROR(IF(ISNUMBER(Bookings!B166),"",TRIM(Bookings!B166&amp;"")),"")</ns0:f>
      </ns0:c>
      <ns0:c r="B166" s="0">
        <ns0:f>IFERROR(SUBSTITUTE(SUBSTITUTE(A166,"/","."),"-","."),"")</ns0:f>
      </ns0:c>
      <ns0:c r="C166" s="0">
        <ns0:f>IFERROR(LEFT(B166,FIND(".",B166)-1),"")</ns0:f>
      </ns0:c>
      <ns0:c r="D166" s="0">
        <ns0:f>IFERROR(MID(B166,FIND(".",B166)+1,FIND(".",B166,FIND(".",B166)+1)-FIND(".",B166)-1),"")</ns0:f>
      </ns0:c>
      <ns0:c r="E166" s="0">
        <ns0:f>IFERROR(MID(B166,FIND(".",B166,FIND(".",B166)+1)+1,99),"")</ns0:f>
        <ns0:v>99</ns0:v>
      </ns0:c>
      <ns0:c r="F166" s="0">
        <ns0:f>IFERROR(IF(FIND(".",B166)=5,--C166,--E166),0)</ns0:f>
        <ns0:v>0</ns0:v>
      </ns0:c>
      <ns0:c r="G166" s="0">
        <ns0:f>IFERROR(--D166,0)</ns0:f>
        <ns0:v>0</ns0:v>
      </ns0:c>
      <ns0:c r="H166" s="0">
        <ns0:f>IFERROR(IF(FIND(".",B166)=5,--E166,--C166),0)</ns0:f>
        <ns0:v>0</ns0:v>
      </ns0:c>
      <ns0:c r="I166" s="0">
        <ns0:f>IFERROR(IF(AND(F166&gt;=2000,F166&lt;=2100,G166&gt;=1,G166&lt;=12,H166&gt;=1,H166&lt;=31),DATE(F166,G166,H166),0),0)</ns0:f>
        <ns0:v>0</ns0:v>
      </ns0:c>
      <ns0:c r="J166" s="0">
        <ns0:f>IFERROR(IF(ISNUMBER(Bookings!B166),IF(AND(Bookings!B166=INT(Bookings!B166),Bookings!B166&gt;=DATE(2000,1,1),Bookings!B166&lt;=DATE(2100,12,31)),Bookings!B166,0),IF(AND(A166&lt;&gt;"",LEN("x"&amp;B166)-LEN(SUBSTITUTE("x"&amp;B166,".",""))=2,OR(1&gt;LEN(B166),MID(B166,1,1)=".",ISNUMBER(FIND("x"&amp;MID(B166,1,1),"x0x1x2x3x4x5x6x7x8x9"))),OR(2&gt;LEN(B166),MID(B166,2,1)=".",ISNUMBER(FIND("x"&amp;MID(B166,2,1),"x0x1x2x3x4x5x6x7x8x9"))),OR(3&gt;LEN(B166),MID(B166,3,1)=".",ISNUMBER(FIND("x"&amp;MID(B166,3,1),"x0x1x2x3x4x5x6x7x8x9"))),OR(4&gt;LEN(B166),MID(B166,4,1)=".",ISNUMBER(FIND("x"&amp;MID(B166,4,1),"x0x1x2x3x4x5x6x7x8x9"))),OR(5&gt;LEN(B166),MID(B166,5,1)=".",ISNUMBER(FIND("x"&amp;MID(B166,5,1),"x0x1x2x3x4x5x6x7x8x9"))),OR(6&gt;LEN(B166),MID(B166,6,1)=".",ISNUMBER(FIND("x"&amp;MID(B166,6,1),"x0x1x2x3x4x5x6x7x8x9"))),OR(7&gt;LEN(B166),MID(B166,7,1)=".",ISNUMBER(FIND("x"&amp;MID(B166,7,1),"x0x1x2x3x4x5x6x7x8x9"))),OR(8&gt;LEN(B166),MID(B166,8,1)=".",ISNUMBER(FIND("x"&amp;MID(B166,8,1),"x0x1x2x3x4x5x6x7x8x9"))),OR(9&gt;LEN(B166),MID(B166,9,1)=".",ISNUMBER(FIND("x"&amp;MID(B166,9,1),"x0x1x2x3x4x5x6x7x8x9"))),OR(10&gt;LEN(B166),MID(B166,10,1)=".",ISNUMBER(FIND("x"&amp;MID(B166,10,1),"x0x1x2x3x4x5x6x7x8x9"))),OR(AND(FIND(".",B166)=5,LEN(B166)-FIND(".",B166,FIND(".",B166)+1)&gt;=1,LEN(B166)-FIND(".",B166,FIND(".",B166)+1)&lt;=2),AND(LEN(B166)-FIND(".",B166,FIND(".",B166)+1)=4,FIND(".",B166)&gt;=2,FIND(".",B166)&lt;=3)),FIND(".",B166,FIND(".",B166)+1)-FIND(".",B166)&gt;=2,FIND(".",B166,FIND(".",B166)+1)-FIND(".",B166)&lt;=3,F166&gt;=2000,F166&lt;=2100,YEAR(I166)=F166,MONTH(I166)=G166,DAY(I166)=H166),I166,0)),0)</ns0:f>
        <ns0:v>0</ns0:v>
      </ns0:c>
      <ns0:c r="K166" s="0">
        <ns0:f>IFERROR(IF(ISNUMBER(Bookings!D166),"",TRIM(Bookings!D166&amp;"")),"")</ns0:f>
      </ns0:c>
      <ns0:c r="L166" s="0">
        <ns0:f>IFERROR(SUBSTITUTE(SUBSTITUTE(K166,"/","."),"-","."),"")</ns0:f>
      </ns0:c>
      <ns0:c r="M166" s="0">
        <ns0:f>IFERROR(LEFT(L166,FIND(".",L166)-1),"")</ns0:f>
      </ns0:c>
      <ns0:c r="N166" s="0">
        <ns0:f>IFERROR(MID(L166,FIND(".",L166)+1,FIND(".",L166,FIND(".",L166)+1)-FIND(".",L166)-1),"")</ns0:f>
      </ns0:c>
      <ns0:c r="O166" s="0">
        <ns0:f>IFERROR(MID(L166,FIND(".",L166,FIND(".",L166)+1)+1,99),"")</ns0:f>
        <ns0:v>99</ns0:v>
      </ns0:c>
      <ns0:c r="P166" s="0">
        <ns0:f>IFERROR(IF(FIND(".",L166)=5,--M166,--O166),0)</ns0:f>
        <ns0:v>0</ns0:v>
      </ns0:c>
      <ns0:c r="Q166" s="0">
        <ns0:f>IFERROR(--N166,0)</ns0:f>
        <ns0:v>0</ns0:v>
      </ns0:c>
      <ns0:c r="R166" s="0">
        <ns0:f>IFERROR(IF(FIND(".",L166)=5,--O166,--M166),0)</ns0:f>
        <ns0:v>0</ns0:v>
      </ns0:c>
      <ns0:c r="S166" s="0">
        <ns0:f>IFERROR(IF(AND(P166&gt;=2000,P166&lt;=2100,Q166&gt;=1,Q166&lt;=12,R166&gt;=1,R166&lt;=31),DATE(P166,Q166,R166),0),0)</ns0:f>
        <ns0:v>0</ns0:v>
      </ns0:c>
      <ns0:c r="T166" s="0">
        <ns0:f>IFERROR(IF(ISNUMBER(Bookings!D166),IF(AND(Bookings!D166=INT(Bookings!D166),Bookings!D166&gt;=DATE(2000,1,1),Bookings!D166&lt;=DATE(2100,12,31)),Bookings!D166,0),IF(AND(K166&lt;&gt;"",LEN("x"&amp;L166)-LEN(SUBSTITUTE("x"&amp;L166,".",""))=2,OR(1&gt;LEN(L166),MID(L166,1,1)=".",ISNUMBER(FIND("x"&amp;MID(L166,1,1),"x0x1x2x3x4x5x6x7x8x9"))),OR(2&gt;LEN(L166),MID(L166,2,1)=".",ISNUMBER(FIND("x"&amp;MID(L166,2,1),"x0x1x2x3x4x5x6x7x8x9"))),OR(3&gt;LEN(L166),MID(L166,3,1)=".",ISNUMBER(FIND("x"&amp;MID(L166,3,1),"x0x1x2x3x4x5x6x7x8x9"))),OR(4&gt;LEN(L166),MID(L166,4,1)=".",ISNUMBER(FIND("x"&amp;MID(L166,4,1),"x0x1x2x3x4x5x6x7x8x9"))),OR(5&gt;LEN(L166),MID(L166,5,1)=".",ISNUMBER(FIND("x"&amp;MID(L166,5,1),"x0x1x2x3x4x5x6x7x8x9"))),OR(6&gt;LEN(L166),MID(L166,6,1)=".",ISNUMBER(FIND("x"&amp;MID(L166,6,1),"x0x1x2x3x4x5x6x7x8x9"))),OR(7&gt;LEN(L166),MID(L166,7,1)=".",ISNUMBER(FIND("x"&amp;MID(L166,7,1),"x0x1x2x3x4x5x6x7x8x9"))),OR(8&gt;LEN(L166),MID(L166,8,1)=".",ISNUMBER(FIND("x"&amp;MID(L166,8,1),"x0x1x2x3x4x5x6x7x8x9"))),OR(9&gt;LEN(L166),MID(L166,9,1)=".",ISNUMBER(FIND("x"&amp;MID(L166,9,1),"x0x1x2x3x4x5x6x7x8x9"))),OR(10&gt;LEN(L166),MID(L166,10,1)=".",ISNUMBER(FIND("x"&amp;MID(L166,10,1),"x0x1x2x3x4x5x6x7x8x9"))),OR(AND(FIND(".",L166)=5,LEN(L166)-FIND(".",L166,FIND(".",L166)+1)&gt;=1,LEN(L166)-FIND(".",L166,FIND(".",L166)+1)&lt;=2),AND(LEN(L166)-FIND(".",L166,FIND(".",L166)+1)=4,FIND(".",L166)&gt;=2,FIND(".",L166)&lt;=3)),FIND(".",L166,FIND(".",L166)+1)-FIND(".",L166)&gt;=2,FIND(".",L166,FIND(".",L166)+1)-FIND(".",L166)&lt;=3,P166&gt;=2000,P166&lt;=2100,YEAR(S166)=P166,MONTH(S166)=Q166,DAY(S166)=R166),S166,0)),0)</ns0:f>
        <ns0:v>0</ns0:v>
      </ns0:c>
      <ns0:c r="U166" s="0" t="str">
        <ns0:f>IF(Bookings!C166="","Full day",Bookings!C166)</ns0:f>
        <ns0:v>Full day</ns0:v>
      </ns0:c>
      <ns0:c r="V166" s="0" t="str">
        <ns0:f>IF(Bookings!E166="","Full day",Bookings!E166)</ns0:f>
        <ns0:v>Full day</ns0:v>
      </ns0:c>
      <ns0:c r="W166" s="0">
        <ns0:f>IF(J166=0,0,J166+IF(U166="PM",1,0))</ns0:f>
        <ns0:v>0</ns0:v>
      </ns0:c>
      <ns0:c r="X166" s="0">
        <ns0:f>IF(T166=0,0,T166-IF(V166="PM",1,0))</ns0:f>
        <ns0:v>0</ns0:v>
      </ns0:c>
      <ns0:c r="Y166" s="0">
        <ns0:f>IF(J166=0,0,J166+IF(U166="AM",1,0))</ns0:f>
        <ns0:v>0</ns0:v>
      </ns0:c>
      <ns0:c r="Z166" s="0">
        <ns0:f>IF(T166=0,0,T166-IF(V166="AM",1,0))</ns0:f>
        <ns0:v>0</ns0:v>
      </ns0:c>
      <ns0:c r="AA166" s="0">
        <ns0:f>IFERROR(IF(AND(J166&gt;0,'_Engine'!C166&gt;0,MID('_Engine'!W166,WEEKDAY(J166,2),1)="W",COUNTIF(Settings!$F$18:$F$67,J166)=0),1,0),0)</ns0:f>
        <ns0:v>0</ns0:v>
      </ns0:c>
      <ns0:c r="AB166" s="0">
        <ns0:f>IFERROR(IF(AND(T166&gt;0,'_Engine'!C166&gt;0,MID('_Engine'!W166,WEEKDAY(T166,2),1)="W",COUNTIF(Settings!$F$18:$F$67,T166)=0),1,0),0)</ns0:f>
        <ns0:v>0</ns0:v>
      </ns0:c>
      <ns0:c r="AC166" s="0">
        <ns0:f>IF(AND(J166&gt;0,T166&gt;0,W166&lt;=X166),1,0)</ns0:f>
        <ns0:v>0</ns0:v>
      </ns0:c>
      <ns0:c r="AD166" s="0">
        <ns0:f>IF(AND(J166&gt;0,T166&gt;0,Y166&lt;=Z166),1,0)</ns0:f>
        <ns0:v>0</ns0:v>
      </ns0:c>
    </ns0:row>
    <ns0:row r="167">
      <ns0:c r="A167" s="0">
        <ns0:f>IFERROR(IF(ISNUMBER(Bookings!B167),"",TRIM(Bookings!B167&amp;"")),"")</ns0:f>
      </ns0:c>
      <ns0:c r="B167" s="0">
        <ns0:f>IFERROR(SUBSTITUTE(SUBSTITUTE(A167,"/","."),"-","."),"")</ns0:f>
      </ns0:c>
      <ns0:c r="C167" s="0">
        <ns0:f>IFERROR(LEFT(B167,FIND(".",B167)-1),"")</ns0:f>
      </ns0:c>
      <ns0:c r="D167" s="0">
        <ns0:f>IFERROR(MID(B167,FIND(".",B167)+1,FIND(".",B167,FIND(".",B167)+1)-FIND(".",B167)-1),"")</ns0:f>
      </ns0:c>
      <ns0:c r="E167" s="0">
        <ns0:f>IFERROR(MID(B167,FIND(".",B167,FIND(".",B167)+1)+1,99),"")</ns0:f>
        <ns0:v>99</ns0:v>
      </ns0:c>
      <ns0:c r="F167" s="0">
        <ns0:f>IFERROR(IF(FIND(".",B167)=5,--C167,--E167),0)</ns0:f>
        <ns0:v>0</ns0:v>
      </ns0:c>
      <ns0:c r="G167" s="0">
        <ns0:f>IFERROR(--D167,0)</ns0:f>
        <ns0:v>0</ns0:v>
      </ns0:c>
      <ns0:c r="H167" s="0">
        <ns0:f>IFERROR(IF(FIND(".",B167)=5,--E167,--C167),0)</ns0:f>
        <ns0:v>0</ns0:v>
      </ns0:c>
      <ns0:c r="I167" s="0">
        <ns0:f>IFERROR(IF(AND(F167&gt;=2000,F167&lt;=2100,G167&gt;=1,G167&lt;=12,H167&gt;=1,H167&lt;=31),DATE(F167,G167,H167),0),0)</ns0:f>
        <ns0:v>0</ns0:v>
      </ns0:c>
      <ns0:c r="J167" s="0">
        <ns0:f>IFERROR(IF(ISNUMBER(Bookings!B167),IF(AND(Bookings!B167=INT(Bookings!B167),Bookings!B167&gt;=DATE(2000,1,1),Bookings!B167&lt;=DATE(2100,12,31)),Bookings!B167,0),IF(AND(A167&lt;&gt;"",LEN("x"&amp;B167)-LEN(SUBSTITUTE("x"&amp;B167,".",""))=2,OR(1&gt;LEN(B167),MID(B167,1,1)=".",ISNUMBER(FIND("x"&amp;MID(B167,1,1),"x0x1x2x3x4x5x6x7x8x9"))),OR(2&gt;LEN(B167),MID(B167,2,1)=".",ISNUMBER(FIND("x"&amp;MID(B167,2,1),"x0x1x2x3x4x5x6x7x8x9"))),OR(3&gt;LEN(B167),MID(B167,3,1)=".",ISNUMBER(FIND("x"&amp;MID(B167,3,1),"x0x1x2x3x4x5x6x7x8x9"))),OR(4&gt;LEN(B167),MID(B167,4,1)=".",ISNUMBER(FIND("x"&amp;MID(B167,4,1),"x0x1x2x3x4x5x6x7x8x9"))),OR(5&gt;LEN(B167),MID(B167,5,1)=".",ISNUMBER(FIND("x"&amp;MID(B167,5,1),"x0x1x2x3x4x5x6x7x8x9"))),OR(6&gt;LEN(B167),MID(B167,6,1)=".",ISNUMBER(FIND("x"&amp;MID(B167,6,1),"x0x1x2x3x4x5x6x7x8x9"))),OR(7&gt;LEN(B167),MID(B167,7,1)=".",ISNUMBER(FIND("x"&amp;MID(B167,7,1),"x0x1x2x3x4x5x6x7x8x9"))),OR(8&gt;LEN(B167),MID(B167,8,1)=".",ISNUMBER(FIND("x"&amp;MID(B167,8,1),"x0x1x2x3x4x5x6x7x8x9"))),OR(9&gt;LEN(B167),MID(B167,9,1)=".",ISNUMBER(FIND("x"&amp;MID(B167,9,1),"x0x1x2x3x4x5x6x7x8x9"))),OR(10&gt;LEN(B167),MID(B167,10,1)=".",ISNUMBER(FIND("x"&amp;MID(B167,10,1),"x0x1x2x3x4x5x6x7x8x9"))),OR(AND(FIND(".",B167)=5,LEN(B167)-FIND(".",B167,FIND(".",B167)+1)&gt;=1,LEN(B167)-FIND(".",B167,FIND(".",B167)+1)&lt;=2),AND(LEN(B167)-FIND(".",B167,FIND(".",B167)+1)=4,FIND(".",B167)&gt;=2,FIND(".",B167)&lt;=3)),FIND(".",B167,FIND(".",B167)+1)-FIND(".",B167)&gt;=2,FIND(".",B167,FIND(".",B167)+1)-FIND(".",B167)&lt;=3,F167&gt;=2000,F167&lt;=2100,YEAR(I167)=F167,MONTH(I167)=G167,DAY(I167)=H167),I167,0)),0)</ns0:f>
        <ns0:v>0</ns0:v>
      </ns0:c>
      <ns0:c r="K167" s="0">
        <ns0:f>IFERROR(IF(ISNUMBER(Bookings!D167),"",TRIM(Bookings!D167&amp;"")),"")</ns0:f>
      </ns0:c>
      <ns0:c r="L167" s="0">
        <ns0:f>IFERROR(SUBSTITUTE(SUBSTITUTE(K167,"/","."),"-","."),"")</ns0:f>
      </ns0:c>
      <ns0:c r="M167" s="0">
        <ns0:f>IFERROR(LEFT(L167,FIND(".",L167)-1),"")</ns0:f>
      </ns0:c>
      <ns0:c r="N167" s="0">
        <ns0:f>IFERROR(MID(L167,FIND(".",L167)+1,FIND(".",L167,FIND(".",L167)+1)-FIND(".",L167)-1),"")</ns0:f>
      </ns0:c>
      <ns0:c r="O167" s="0">
        <ns0:f>IFERROR(MID(L167,FIND(".",L167,FIND(".",L167)+1)+1,99),"")</ns0:f>
        <ns0:v>99</ns0:v>
      </ns0:c>
      <ns0:c r="P167" s="0">
        <ns0:f>IFERROR(IF(FIND(".",L167)=5,--M167,--O167),0)</ns0:f>
        <ns0:v>0</ns0:v>
      </ns0:c>
      <ns0:c r="Q167" s="0">
        <ns0:f>IFERROR(--N167,0)</ns0:f>
        <ns0:v>0</ns0:v>
      </ns0:c>
      <ns0:c r="R167" s="0">
        <ns0:f>IFERROR(IF(FIND(".",L167)=5,--O167,--M167),0)</ns0:f>
        <ns0:v>0</ns0:v>
      </ns0:c>
      <ns0:c r="S167" s="0">
        <ns0:f>IFERROR(IF(AND(P167&gt;=2000,P167&lt;=2100,Q167&gt;=1,Q167&lt;=12,R167&gt;=1,R167&lt;=31),DATE(P167,Q167,R167),0),0)</ns0:f>
        <ns0:v>0</ns0:v>
      </ns0:c>
      <ns0:c r="T167" s="0">
        <ns0:f>IFERROR(IF(ISNUMBER(Bookings!D167),IF(AND(Bookings!D167=INT(Bookings!D167),Bookings!D167&gt;=DATE(2000,1,1),Bookings!D167&lt;=DATE(2100,12,31)),Bookings!D167,0),IF(AND(K167&lt;&gt;"",LEN("x"&amp;L167)-LEN(SUBSTITUTE("x"&amp;L167,".",""))=2,OR(1&gt;LEN(L167),MID(L167,1,1)=".",ISNUMBER(FIND("x"&amp;MID(L167,1,1),"x0x1x2x3x4x5x6x7x8x9"))),OR(2&gt;LEN(L167),MID(L167,2,1)=".",ISNUMBER(FIND("x"&amp;MID(L167,2,1),"x0x1x2x3x4x5x6x7x8x9"))),OR(3&gt;LEN(L167),MID(L167,3,1)=".",ISNUMBER(FIND("x"&amp;MID(L167,3,1),"x0x1x2x3x4x5x6x7x8x9"))),OR(4&gt;LEN(L167),MID(L167,4,1)=".",ISNUMBER(FIND("x"&amp;MID(L167,4,1),"x0x1x2x3x4x5x6x7x8x9"))),OR(5&gt;LEN(L167),MID(L167,5,1)=".",ISNUMBER(FIND("x"&amp;MID(L167,5,1),"x0x1x2x3x4x5x6x7x8x9"))),OR(6&gt;LEN(L167),MID(L167,6,1)=".",ISNUMBER(FIND("x"&amp;MID(L167,6,1),"x0x1x2x3x4x5x6x7x8x9"))),OR(7&gt;LEN(L167),MID(L167,7,1)=".",ISNUMBER(FIND("x"&amp;MID(L167,7,1),"x0x1x2x3x4x5x6x7x8x9"))),OR(8&gt;LEN(L167),MID(L167,8,1)=".",ISNUMBER(FIND("x"&amp;MID(L167,8,1),"x0x1x2x3x4x5x6x7x8x9"))),OR(9&gt;LEN(L167),MID(L167,9,1)=".",ISNUMBER(FIND("x"&amp;MID(L167,9,1),"x0x1x2x3x4x5x6x7x8x9"))),OR(10&gt;LEN(L167),MID(L167,10,1)=".",ISNUMBER(FIND("x"&amp;MID(L167,10,1),"x0x1x2x3x4x5x6x7x8x9"))),OR(AND(FIND(".",L167)=5,LEN(L167)-FIND(".",L167,FIND(".",L167)+1)&gt;=1,LEN(L167)-FIND(".",L167,FIND(".",L167)+1)&lt;=2),AND(LEN(L167)-FIND(".",L167,FIND(".",L167)+1)=4,FIND(".",L167)&gt;=2,FIND(".",L167)&lt;=3)),FIND(".",L167,FIND(".",L167)+1)-FIND(".",L167)&gt;=2,FIND(".",L167,FIND(".",L167)+1)-FIND(".",L167)&lt;=3,P167&gt;=2000,P167&lt;=2100,YEAR(S167)=P167,MONTH(S167)=Q167,DAY(S167)=R167),S167,0)),0)</ns0:f>
        <ns0:v>0</ns0:v>
      </ns0:c>
      <ns0:c r="U167" s="0" t="str">
        <ns0:f>IF(Bookings!C167="","Full day",Bookings!C167)</ns0:f>
        <ns0:v>Full day</ns0:v>
      </ns0:c>
      <ns0:c r="V167" s="0" t="str">
        <ns0:f>IF(Bookings!E167="","Full day",Bookings!E167)</ns0:f>
        <ns0:v>Full day</ns0:v>
      </ns0:c>
      <ns0:c r="W167" s="0">
        <ns0:f>IF(J167=0,0,J167+IF(U167="PM",1,0))</ns0:f>
        <ns0:v>0</ns0:v>
      </ns0:c>
      <ns0:c r="X167" s="0">
        <ns0:f>IF(T167=0,0,T167-IF(V167="PM",1,0))</ns0:f>
        <ns0:v>0</ns0:v>
      </ns0:c>
      <ns0:c r="Y167" s="0">
        <ns0:f>IF(J167=0,0,J167+IF(U167="AM",1,0))</ns0:f>
        <ns0:v>0</ns0:v>
      </ns0:c>
      <ns0:c r="Z167" s="0">
        <ns0:f>IF(T167=0,0,T167-IF(V167="AM",1,0))</ns0:f>
        <ns0:v>0</ns0:v>
      </ns0:c>
      <ns0:c r="AA167" s="0">
        <ns0:f>IFERROR(IF(AND(J167&gt;0,'_Engine'!C167&gt;0,MID('_Engine'!W167,WEEKDAY(J167,2),1)="W",COUNTIF(Settings!$F$18:$F$67,J167)=0),1,0),0)</ns0:f>
        <ns0:v>0</ns0:v>
      </ns0:c>
      <ns0:c r="AB167" s="0">
        <ns0:f>IFERROR(IF(AND(T167&gt;0,'_Engine'!C167&gt;0,MID('_Engine'!W167,WEEKDAY(T167,2),1)="W",COUNTIF(Settings!$F$18:$F$67,T167)=0),1,0),0)</ns0:f>
        <ns0:v>0</ns0:v>
      </ns0:c>
      <ns0:c r="AC167" s="0">
        <ns0:f>IF(AND(J167&gt;0,T167&gt;0,W167&lt;=X167),1,0)</ns0:f>
        <ns0:v>0</ns0:v>
      </ns0:c>
      <ns0:c r="AD167" s="0">
        <ns0:f>IF(AND(J167&gt;0,T167&gt;0,Y167&lt;=Z167),1,0)</ns0:f>
        <ns0:v>0</ns0:v>
      </ns0:c>
    </ns0:row>
    <ns0:row r="168">
      <ns0:c r="A168" s="0">
        <ns0:f>IFERROR(IF(ISNUMBER(Bookings!B168),"",TRIM(Bookings!B168&amp;"")),"")</ns0:f>
      </ns0:c>
      <ns0:c r="B168" s="0">
        <ns0:f>IFERROR(SUBSTITUTE(SUBSTITUTE(A168,"/","."),"-","."),"")</ns0:f>
      </ns0:c>
      <ns0:c r="C168" s="0">
        <ns0:f>IFERROR(LEFT(B168,FIND(".",B168)-1),"")</ns0:f>
      </ns0:c>
      <ns0:c r="D168" s="0">
        <ns0:f>IFERROR(MID(B168,FIND(".",B168)+1,FIND(".",B168,FIND(".",B168)+1)-FIND(".",B168)-1),"")</ns0:f>
      </ns0:c>
      <ns0:c r="E168" s="0">
        <ns0:f>IFERROR(MID(B168,FIND(".",B168,FIND(".",B168)+1)+1,99),"")</ns0:f>
        <ns0:v>99</ns0:v>
      </ns0:c>
      <ns0:c r="F168" s="0">
        <ns0:f>IFERROR(IF(FIND(".",B168)=5,--C168,--E168),0)</ns0:f>
        <ns0:v>0</ns0:v>
      </ns0:c>
      <ns0:c r="G168" s="0">
        <ns0:f>IFERROR(--D168,0)</ns0:f>
        <ns0:v>0</ns0:v>
      </ns0:c>
      <ns0:c r="H168" s="0">
        <ns0:f>IFERROR(IF(FIND(".",B168)=5,--E168,--C168),0)</ns0:f>
        <ns0:v>0</ns0:v>
      </ns0:c>
      <ns0:c r="I168" s="0">
        <ns0:f>IFERROR(IF(AND(F168&gt;=2000,F168&lt;=2100,G168&gt;=1,G168&lt;=12,H168&gt;=1,H168&lt;=31),DATE(F168,G168,H168),0),0)</ns0:f>
        <ns0:v>0</ns0:v>
      </ns0:c>
      <ns0:c r="J168" s="0">
        <ns0:f>IFERROR(IF(ISNUMBER(Bookings!B168),IF(AND(Bookings!B168=INT(Bookings!B168),Bookings!B168&gt;=DATE(2000,1,1),Bookings!B168&lt;=DATE(2100,12,31)),Bookings!B168,0),IF(AND(A168&lt;&gt;"",LEN("x"&amp;B168)-LEN(SUBSTITUTE("x"&amp;B168,".",""))=2,OR(1&gt;LEN(B168),MID(B168,1,1)=".",ISNUMBER(FIND("x"&amp;MID(B168,1,1),"x0x1x2x3x4x5x6x7x8x9"))),OR(2&gt;LEN(B168),MID(B168,2,1)=".",ISNUMBER(FIND("x"&amp;MID(B168,2,1),"x0x1x2x3x4x5x6x7x8x9"))),OR(3&gt;LEN(B168),MID(B168,3,1)=".",ISNUMBER(FIND("x"&amp;MID(B168,3,1),"x0x1x2x3x4x5x6x7x8x9"))),OR(4&gt;LEN(B168),MID(B168,4,1)=".",ISNUMBER(FIND("x"&amp;MID(B168,4,1),"x0x1x2x3x4x5x6x7x8x9"))),OR(5&gt;LEN(B168),MID(B168,5,1)=".",ISNUMBER(FIND("x"&amp;MID(B168,5,1),"x0x1x2x3x4x5x6x7x8x9"))),OR(6&gt;LEN(B168),MID(B168,6,1)=".",ISNUMBER(FIND("x"&amp;MID(B168,6,1),"x0x1x2x3x4x5x6x7x8x9"))),OR(7&gt;LEN(B168),MID(B168,7,1)=".",ISNUMBER(FIND("x"&amp;MID(B168,7,1),"x0x1x2x3x4x5x6x7x8x9"))),OR(8&gt;LEN(B168),MID(B168,8,1)=".",ISNUMBER(FIND("x"&amp;MID(B168,8,1),"x0x1x2x3x4x5x6x7x8x9"))),OR(9&gt;LEN(B168),MID(B168,9,1)=".",ISNUMBER(FIND("x"&amp;MID(B168,9,1),"x0x1x2x3x4x5x6x7x8x9"))),OR(10&gt;LEN(B168),MID(B168,10,1)=".",ISNUMBER(FIND("x"&amp;MID(B168,10,1),"x0x1x2x3x4x5x6x7x8x9"))),OR(AND(FIND(".",B168)=5,LEN(B168)-FIND(".",B168,FIND(".",B168)+1)&gt;=1,LEN(B168)-FIND(".",B168,FIND(".",B168)+1)&lt;=2),AND(LEN(B168)-FIND(".",B168,FIND(".",B168)+1)=4,FIND(".",B168)&gt;=2,FIND(".",B168)&lt;=3)),FIND(".",B168,FIND(".",B168)+1)-FIND(".",B168)&gt;=2,FIND(".",B168,FIND(".",B168)+1)-FIND(".",B168)&lt;=3,F168&gt;=2000,F168&lt;=2100,YEAR(I168)=F168,MONTH(I168)=G168,DAY(I168)=H168),I168,0)),0)</ns0:f>
        <ns0:v>0</ns0:v>
      </ns0:c>
      <ns0:c r="K168" s="0">
        <ns0:f>IFERROR(IF(ISNUMBER(Bookings!D168),"",TRIM(Bookings!D168&amp;"")),"")</ns0:f>
      </ns0:c>
      <ns0:c r="L168" s="0">
        <ns0:f>IFERROR(SUBSTITUTE(SUBSTITUTE(K168,"/","."),"-","."),"")</ns0:f>
      </ns0:c>
      <ns0:c r="M168" s="0">
        <ns0:f>IFERROR(LEFT(L168,FIND(".",L168)-1),"")</ns0:f>
      </ns0:c>
      <ns0:c r="N168" s="0">
        <ns0:f>IFERROR(MID(L168,FIND(".",L168)+1,FIND(".",L168,FIND(".",L168)+1)-FIND(".",L168)-1),"")</ns0:f>
      </ns0:c>
      <ns0:c r="O168" s="0">
        <ns0:f>IFERROR(MID(L168,FIND(".",L168,FIND(".",L168)+1)+1,99),"")</ns0:f>
        <ns0:v>99</ns0:v>
      </ns0:c>
      <ns0:c r="P168" s="0">
        <ns0:f>IFERROR(IF(FIND(".",L168)=5,--M168,--O168),0)</ns0:f>
        <ns0:v>0</ns0:v>
      </ns0:c>
      <ns0:c r="Q168" s="0">
        <ns0:f>IFERROR(--N168,0)</ns0:f>
        <ns0:v>0</ns0:v>
      </ns0:c>
      <ns0:c r="R168" s="0">
        <ns0:f>IFERROR(IF(FIND(".",L168)=5,--O168,--M168),0)</ns0:f>
        <ns0:v>0</ns0:v>
      </ns0:c>
      <ns0:c r="S168" s="0">
        <ns0:f>IFERROR(IF(AND(P168&gt;=2000,P168&lt;=2100,Q168&gt;=1,Q168&lt;=12,R168&gt;=1,R168&lt;=31),DATE(P168,Q168,R168),0),0)</ns0:f>
        <ns0:v>0</ns0:v>
      </ns0:c>
      <ns0:c r="T168" s="0">
        <ns0:f>IFERROR(IF(ISNUMBER(Bookings!D168),IF(AND(Bookings!D168=INT(Bookings!D168),Bookings!D168&gt;=DATE(2000,1,1),Bookings!D168&lt;=DATE(2100,12,31)),Bookings!D168,0),IF(AND(K168&lt;&gt;"",LEN("x"&amp;L168)-LEN(SUBSTITUTE("x"&amp;L168,".",""))=2,OR(1&gt;LEN(L168),MID(L168,1,1)=".",ISNUMBER(FIND("x"&amp;MID(L168,1,1),"x0x1x2x3x4x5x6x7x8x9"))),OR(2&gt;LEN(L168),MID(L168,2,1)=".",ISNUMBER(FIND("x"&amp;MID(L168,2,1),"x0x1x2x3x4x5x6x7x8x9"))),OR(3&gt;LEN(L168),MID(L168,3,1)=".",ISNUMBER(FIND("x"&amp;MID(L168,3,1),"x0x1x2x3x4x5x6x7x8x9"))),OR(4&gt;LEN(L168),MID(L168,4,1)=".",ISNUMBER(FIND("x"&amp;MID(L168,4,1),"x0x1x2x3x4x5x6x7x8x9"))),OR(5&gt;LEN(L168),MID(L168,5,1)=".",ISNUMBER(FIND("x"&amp;MID(L168,5,1),"x0x1x2x3x4x5x6x7x8x9"))),OR(6&gt;LEN(L168),MID(L168,6,1)=".",ISNUMBER(FIND("x"&amp;MID(L168,6,1),"x0x1x2x3x4x5x6x7x8x9"))),OR(7&gt;LEN(L168),MID(L168,7,1)=".",ISNUMBER(FIND("x"&amp;MID(L168,7,1),"x0x1x2x3x4x5x6x7x8x9"))),OR(8&gt;LEN(L168),MID(L168,8,1)=".",ISNUMBER(FIND("x"&amp;MID(L168,8,1),"x0x1x2x3x4x5x6x7x8x9"))),OR(9&gt;LEN(L168),MID(L168,9,1)=".",ISNUMBER(FIND("x"&amp;MID(L168,9,1),"x0x1x2x3x4x5x6x7x8x9"))),OR(10&gt;LEN(L168),MID(L168,10,1)=".",ISNUMBER(FIND("x"&amp;MID(L168,10,1),"x0x1x2x3x4x5x6x7x8x9"))),OR(AND(FIND(".",L168)=5,LEN(L168)-FIND(".",L168,FIND(".",L168)+1)&gt;=1,LEN(L168)-FIND(".",L168,FIND(".",L168)+1)&lt;=2),AND(LEN(L168)-FIND(".",L168,FIND(".",L168)+1)=4,FIND(".",L168)&gt;=2,FIND(".",L168)&lt;=3)),FIND(".",L168,FIND(".",L168)+1)-FIND(".",L168)&gt;=2,FIND(".",L168,FIND(".",L168)+1)-FIND(".",L168)&lt;=3,P168&gt;=2000,P168&lt;=2100,YEAR(S168)=P168,MONTH(S168)=Q168,DAY(S168)=R168),S168,0)),0)</ns0:f>
        <ns0:v>0</ns0:v>
      </ns0:c>
      <ns0:c r="U168" s="0" t="str">
        <ns0:f>IF(Bookings!C168="","Full day",Bookings!C168)</ns0:f>
        <ns0:v>Full day</ns0:v>
      </ns0:c>
      <ns0:c r="V168" s="0" t="str">
        <ns0:f>IF(Bookings!E168="","Full day",Bookings!E168)</ns0:f>
        <ns0:v>Full day</ns0:v>
      </ns0:c>
      <ns0:c r="W168" s="0">
        <ns0:f>IF(J168=0,0,J168+IF(U168="PM",1,0))</ns0:f>
        <ns0:v>0</ns0:v>
      </ns0:c>
      <ns0:c r="X168" s="0">
        <ns0:f>IF(T168=0,0,T168-IF(V168="PM",1,0))</ns0:f>
        <ns0:v>0</ns0:v>
      </ns0:c>
      <ns0:c r="Y168" s="0">
        <ns0:f>IF(J168=0,0,J168+IF(U168="AM",1,0))</ns0:f>
        <ns0:v>0</ns0:v>
      </ns0:c>
      <ns0:c r="Z168" s="0">
        <ns0:f>IF(T168=0,0,T168-IF(V168="AM",1,0))</ns0:f>
        <ns0:v>0</ns0:v>
      </ns0:c>
      <ns0:c r="AA168" s="0">
        <ns0:f>IFERROR(IF(AND(J168&gt;0,'_Engine'!C168&gt;0,MID('_Engine'!W168,WEEKDAY(J168,2),1)="W",COUNTIF(Settings!$F$18:$F$67,J168)=0),1,0),0)</ns0:f>
        <ns0:v>0</ns0:v>
      </ns0:c>
      <ns0:c r="AB168" s="0">
        <ns0:f>IFERROR(IF(AND(T168&gt;0,'_Engine'!C168&gt;0,MID('_Engine'!W168,WEEKDAY(T168,2),1)="W",COUNTIF(Settings!$F$18:$F$67,T168)=0),1,0),0)</ns0:f>
        <ns0:v>0</ns0:v>
      </ns0:c>
      <ns0:c r="AC168" s="0">
        <ns0:f>IF(AND(J168&gt;0,T168&gt;0,W168&lt;=X168),1,0)</ns0:f>
        <ns0:v>0</ns0:v>
      </ns0:c>
      <ns0:c r="AD168" s="0">
        <ns0:f>IF(AND(J168&gt;0,T168&gt;0,Y168&lt;=Z168),1,0)</ns0:f>
        <ns0:v>0</ns0:v>
      </ns0:c>
    </ns0:row>
    <ns0:row r="169">
      <ns0:c r="A169" s="0">
        <ns0:f>IFERROR(IF(ISNUMBER(Bookings!B169),"",TRIM(Bookings!B169&amp;"")),"")</ns0:f>
      </ns0:c>
      <ns0:c r="B169" s="0">
        <ns0:f>IFERROR(SUBSTITUTE(SUBSTITUTE(A169,"/","."),"-","."),"")</ns0:f>
      </ns0:c>
      <ns0:c r="C169" s="0">
        <ns0:f>IFERROR(LEFT(B169,FIND(".",B169)-1),"")</ns0:f>
      </ns0:c>
      <ns0:c r="D169" s="0">
        <ns0:f>IFERROR(MID(B169,FIND(".",B169)+1,FIND(".",B169,FIND(".",B169)+1)-FIND(".",B169)-1),"")</ns0:f>
      </ns0:c>
      <ns0:c r="E169" s="0">
        <ns0:f>IFERROR(MID(B169,FIND(".",B169,FIND(".",B169)+1)+1,99),"")</ns0:f>
        <ns0:v>99</ns0:v>
      </ns0:c>
      <ns0:c r="F169" s="0">
        <ns0:f>IFERROR(IF(FIND(".",B169)=5,--C169,--E169),0)</ns0:f>
        <ns0:v>0</ns0:v>
      </ns0:c>
      <ns0:c r="G169" s="0">
        <ns0:f>IFERROR(--D169,0)</ns0:f>
        <ns0:v>0</ns0:v>
      </ns0:c>
      <ns0:c r="H169" s="0">
        <ns0:f>IFERROR(IF(FIND(".",B169)=5,--E169,--C169),0)</ns0:f>
        <ns0:v>0</ns0:v>
      </ns0:c>
      <ns0:c r="I169" s="0">
        <ns0:f>IFERROR(IF(AND(F169&gt;=2000,F169&lt;=2100,G169&gt;=1,G169&lt;=12,H169&gt;=1,H169&lt;=31),DATE(F169,G169,H169),0),0)</ns0:f>
        <ns0:v>0</ns0:v>
      </ns0:c>
      <ns0:c r="J169" s="0">
        <ns0:f>IFERROR(IF(ISNUMBER(Bookings!B169),IF(AND(Bookings!B169=INT(Bookings!B169),Bookings!B169&gt;=DATE(2000,1,1),Bookings!B169&lt;=DATE(2100,12,31)),Bookings!B169,0),IF(AND(A169&lt;&gt;"",LEN("x"&amp;B169)-LEN(SUBSTITUTE("x"&amp;B169,".",""))=2,OR(1&gt;LEN(B169),MID(B169,1,1)=".",ISNUMBER(FIND("x"&amp;MID(B169,1,1),"x0x1x2x3x4x5x6x7x8x9"))),OR(2&gt;LEN(B169),MID(B169,2,1)=".",ISNUMBER(FIND("x"&amp;MID(B169,2,1),"x0x1x2x3x4x5x6x7x8x9"))),OR(3&gt;LEN(B169),MID(B169,3,1)=".",ISNUMBER(FIND("x"&amp;MID(B169,3,1),"x0x1x2x3x4x5x6x7x8x9"))),OR(4&gt;LEN(B169),MID(B169,4,1)=".",ISNUMBER(FIND("x"&amp;MID(B169,4,1),"x0x1x2x3x4x5x6x7x8x9"))),OR(5&gt;LEN(B169),MID(B169,5,1)=".",ISNUMBER(FIND("x"&amp;MID(B169,5,1),"x0x1x2x3x4x5x6x7x8x9"))),OR(6&gt;LEN(B169),MID(B169,6,1)=".",ISNUMBER(FIND("x"&amp;MID(B169,6,1),"x0x1x2x3x4x5x6x7x8x9"))),OR(7&gt;LEN(B169),MID(B169,7,1)=".",ISNUMBER(FIND("x"&amp;MID(B169,7,1),"x0x1x2x3x4x5x6x7x8x9"))),OR(8&gt;LEN(B169),MID(B169,8,1)=".",ISNUMBER(FIND("x"&amp;MID(B169,8,1),"x0x1x2x3x4x5x6x7x8x9"))),OR(9&gt;LEN(B169),MID(B169,9,1)=".",ISNUMBER(FIND("x"&amp;MID(B169,9,1),"x0x1x2x3x4x5x6x7x8x9"))),OR(10&gt;LEN(B169),MID(B169,10,1)=".",ISNUMBER(FIND("x"&amp;MID(B169,10,1),"x0x1x2x3x4x5x6x7x8x9"))),OR(AND(FIND(".",B169)=5,LEN(B169)-FIND(".",B169,FIND(".",B169)+1)&gt;=1,LEN(B169)-FIND(".",B169,FIND(".",B169)+1)&lt;=2),AND(LEN(B169)-FIND(".",B169,FIND(".",B169)+1)=4,FIND(".",B169)&gt;=2,FIND(".",B169)&lt;=3)),FIND(".",B169,FIND(".",B169)+1)-FIND(".",B169)&gt;=2,FIND(".",B169,FIND(".",B169)+1)-FIND(".",B169)&lt;=3,F169&gt;=2000,F169&lt;=2100,YEAR(I169)=F169,MONTH(I169)=G169,DAY(I169)=H169),I169,0)),0)</ns0:f>
        <ns0:v>0</ns0:v>
      </ns0:c>
      <ns0:c r="K169" s="0">
        <ns0:f>IFERROR(IF(ISNUMBER(Bookings!D169),"",TRIM(Bookings!D169&amp;"")),"")</ns0:f>
      </ns0:c>
      <ns0:c r="L169" s="0">
        <ns0:f>IFERROR(SUBSTITUTE(SUBSTITUTE(K169,"/","."),"-","."),"")</ns0:f>
      </ns0:c>
      <ns0:c r="M169" s="0">
        <ns0:f>IFERROR(LEFT(L169,FIND(".",L169)-1),"")</ns0:f>
      </ns0:c>
      <ns0:c r="N169" s="0">
        <ns0:f>IFERROR(MID(L169,FIND(".",L169)+1,FIND(".",L169,FIND(".",L169)+1)-FIND(".",L169)-1),"")</ns0:f>
      </ns0:c>
      <ns0:c r="O169" s="0">
        <ns0:f>IFERROR(MID(L169,FIND(".",L169,FIND(".",L169)+1)+1,99),"")</ns0:f>
        <ns0:v>99</ns0:v>
      </ns0:c>
      <ns0:c r="P169" s="0">
        <ns0:f>IFERROR(IF(FIND(".",L169)=5,--M169,--O169),0)</ns0:f>
        <ns0:v>0</ns0:v>
      </ns0:c>
      <ns0:c r="Q169" s="0">
        <ns0:f>IFERROR(--N169,0)</ns0:f>
        <ns0:v>0</ns0:v>
      </ns0:c>
      <ns0:c r="R169" s="0">
        <ns0:f>IFERROR(IF(FIND(".",L169)=5,--O169,--M169),0)</ns0:f>
        <ns0:v>0</ns0:v>
      </ns0:c>
      <ns0:c r="S169" s="0">
        <ns0:f>IFERROR(IF(AND(P169&gt;=2000,P169&lt;=2100,Q169&gt;=1,Q169&lt;=12,R169&gt;=1,R169&lt;=31),DATE(P169,Q169,R169),0),0)</ns0:f>
        <ns0:v>0</ns0:v>
      </ns0:c>
      <ns0:c r="T169" s="0">
        <ns0:f>IFERROR(IF(ISNUMBER(Bookings!D169),IF(AND(Bookings!D169=INT(Bookings!D169),Bookings!D169&gt;=DATE(2000,1,1),Bookings!D169&lt;=DATE(2100,12,31)),Bookings!D169,0),IF(AND(K169&lt;&gt;"",LEN("x"&amp;L169)-LEN(SUBSTITUTE("x"&amp;L169,".",""))=2,OR(1&gt;LEN(L169),MID(L169,1,1)=".",ISNUMBER(FIND("x"&amp;MID(L169,1,1),"x0x1x2x3x4x5x6x7x8x9"))),OR(2&gt;LEN(L169),MID(L169,2,1)=".",ISNUMBER(FIND("x"&amp;MID(L169,2,1),"x0x1x2x3x4x5x6x7x8x9"))),OR(3&gt;LEN(L169),MID(L169,3,1)=".",ISNUMBER(FIND("x"&amp;MID(L169,3,1),"x0x1x2x3x4x5x6x7x8x9"))),OR(4&gt;LEN(L169),MID(L169,4,1)=".",ISNUMBER(FIND("x"&amp;MID(L169,4,1),"x0x1x2x3x4x5x6x7x8x9"))),OR(5&gt;LEN(L169),MID(L169,5,1)=".",ISNUMBER(FIND("x"&amp;MID(L169,5,1),"x0x1x2x3x4x5x6x7x8x9"))),OR(6&gt;LEN(L169),MID(L169,6,1)=".",ISNUMBER(FIND("x"&amp;MID(L169,6,1),"x0x1x2x3x4x5x6x7x8x9"))),OR(7&gt;LEN(L169),MID(L169,7,1)=".",ISNUMBER(FIND("x"&amp;MID(L169,7,1),"x0x1x2x3x4x5x6x7x8x9"))),OR(8&gt;LEN(L169),MID(L169,8,1)=".",ISNUMBER(FIND("x"&amp;MID(L169,8,1),"x0x1x2x3x4x5x6x7x8x9"))),OR(9&gt;LEN(L169),MID(L169,9,1)=".",ISNUMBER(FIND("x"&amp;MID(L169,9,1),"x0x1x2x3x4x5x6x7x8x9"))),OR(10&gt;LEN(L169),MID(L169,10,1)=".",ISNUMBER(FIND("x"&amp;MID(L169,10,1),"x0x1x2x3x4x5x6x7x8x9"))),OR(AND(FIND(".",L169)=5,LEN(L169)-FIND(".",L169,FIND(".",L169)+1)&gt;=1,LEN(L169)-FIND(".",L169,FIND(".",L169)+1)&lt;=2),AND(LEN(L169)-FIND(".",L169,FIND(".",L169)+1)=4,FIND(".",L169)&gt;=2,FIND(".",L169)&lt;=3)),FIND(".",L169,FIND(".",L169)+1)-FIND(".",L169)&gt;=2,FIND(".",L169,FIND(".",L169)+1)-FIND(".",L169)&lt;=3,P169&gt;=2000,P169&lt;=2100,YEAR(S169)=P169,MONTH(S169)=Q169,DAY(S169)=R169),S169,0)),0)</ns0:f>
        <ns0:v>0</ns0:v>
      </ns0:c>
      <ns0:c r="U169" s="0" t="str">
        <ns0:f>IF(Bookings!C169="","Full day",Bookings!C169)</ns0:f>
        <ns0:v>Full day</ns0:v>
      </ns0:c>
      <ns0:c r="V169" s="0" t="str">
        <ns0:f>IF(Bookings!E169="","Full day",Bookings!E169)</ns0:f>
        <ns0:v>Full day</ns0:v>
      </ns0:c>
      <ns0:c r="W169" s="0">
        <ns0:f>IF(J169=0,0,J169+IF(U169="PM",1,0))</ns0:f>
        <ns0:v>0</ns0:v>
      </ns0:c>
      <ns0:c r="X169" s="0">
        <ns0:f>IF(T169=0,0,T169-IF(V169="PM",1,0))</ns0:f>
        <ns0:v>0</ns0:v>
      </ns0:c>
      <ns0:c r="Y169" s="0">
        <ns0:f>IF(J169=0,0,J169+IF(U169="AM",1,0))</ns0:f>
        <ns0:v>0</ns0:v>
      </ns0:c>
      <ns0:c r="Z169" s="0">
        <ns0:f>IF(T169=0,0,T169-IF(V169="AM",1,0))</ns0:f>
        <ns0:v>0</ns0:v>
      </ns0:c>
      <ns0:c r="AA169" s="0">
        <ns0:f>IFERROR(IF(AND(J169&gt;0,'_Engine'!C169&gt;0,MID('_Engine'!W169,WEEKDAY(J169,2),1)="W",COUNTIF(Settings!$F$18:$F$67,J169)=0),1,0),0)</ns0:f>
        <ns0:v>0</ns0:v>
      </ns0:c>
      <ns0:c r="AB169" s="0">
        <ns0:f>IFERROR(IF(AND(T169&gt;0,'_Engine'!C169&gt;0,MID('_Engine'!W169,WEEKDAY(T169,2),1)="W",COUNTIF(Settings!$F$18:$F$67,T169)=0),1,0),0)</ns0:f>
        <ns0:v>0</ns0:v>
      </ns0:c>
      <ns0:c r="AC169" s="0">
        <ns0:f>IF(AND(J169&gt;0,T169&gt;0,W169&lt;=X169),1,0)</ns0:f>
        <ns0:v>0</ns0:v>
      </ns0:c>
      <ns0:c r="AD169" s="0">
        <ns0:f>IF(AND(J169&gt;0,T169&gt;0,Y169&lt;=Z169),1,0)</ns0:f>
        <ns0:v>0</ns0:v>
      </ns0:c>
    </ns0:row>
    <ns0:row r="170">
      <ns0:c r="A170" s="0">
        <ns0:f>IFERROR(IF(ISNUMBER(Bookings!B170),"",TRIM(Bookings!B170&amp;"")),"")</ns0:f>
      </ns0:c>
      <ns0:c r="B170" s="0">
        <ns0:f>IFERROR(SUBSTITUTE(SUBSTITUTE(A170,"/","."),"-","."),"")</ns0:f>
      </ns0:c>
      <ns0:c r="C170" s="0">
        <ns0:f>IFERROR(LEFT(B170,FIND(".",B170)-1),"")</ns0:f>
      </ns0:c>
      <ns0:c r="D170" s="0">
        <ns0:f>IFERROR(MID(B170,FIND(".",B170)+1,FIND(".",B170,FIND(".",B170)+1)-FIND(".",B170)-1),"")</ns0:f>
      </ns0:c>
      <ns0:c r="E170" s="0">
        <ns0:f>IFERROR(MID(B170,FIND(".",B170,FIND(".",B170)+1)+1,99),"")</ns0:f>
        <ns0:v>99</ns0:v>
      </ns0:c>
      <ns0:c r="F170" s="0">
        <ns0:f>IFERROR(IF(FIND(".",B170)=5,--C170,--E170),0)</ns0:f>
        <ns0:v>0</ns0:v>
      </ns0:c>
      <ns0:c r="G170" s="0">
        <ns0:f>IFERROR(--D170,0)</ns0:f>
        <ns0:v>0</ns0:v>
      </ns0:c>
      <ns0:c r="H170" s="0">
        <ns0:f>IFERROR(IF(FIND(".",B170)=5,--E170,--C170),0)</ns0:f>
        <ns0:v>0</ns0:v>
      </ns0:c>
      <ns0:c r="I170" s="0">
        <ns0:f>IFERROR(IF(AND(F170&gt;=2000,F170&lt;=2100,G170&gt;=1,G170&lt;=12,H170&gt;=1,H170&lt;=31),DATE(F170,G170,H170),0),0)</ns0:f>
        <ns0:v>0</ns0:v>
      </ns0:c>
      <ns0:c r="J170" s="0">
        <ns0:f>IFERROR(IF(ISNUMBER(Bookings!B170),IF(AND(Bookings!B170=INT(Bookings!B170),Bookings!B170&gt;=DATE(2000,1,1),Bookings!B170&lt;=DATE(2100,12,31)),Bookings!B170,0),IF(AND(A170&lt;&gt;"",LEN("x"&amp;B170)-LEN(SUBSTITUTE("x"&amp;B170,".",""))=2,OR(1&gt;LEN(B170),MID(B170,1,1)=".",ISNUMBER(FIND("x"&amp;MID(B170,1,1),"x0x1x2x3x4x5x6x7x8x9"))),OR(2&gt;LEN(B170),MID(B170,2,1)=".",ISNUMBER(FIND("x"&amp;MID(B170,2,1),"x0x1x2x3x4x5x6x7x8x9"))),OR(3&gt;LEN(B170),MID(B170,3,1)=".",ISNUMBER(FIND("x"&amp;MID(B170,3,1),"x0x1x2x3x4x5x6x7x8x9"))),OR(4&gt;LEN(B170),MID(B170,4,1)=".",ISNUMBER(FIND("x"&amp;MID(B170,4,1),"x0x1x2x3x4x5x6x7x8x9"))),OR(5&gt;LEN(B170),MID(B170,5,1)=".",ISNUMBER(FIND("x"&amp;MID(B170,5,1),"x0x1x2x3x4x5x6x7x8x9"))),OR(6&gt;LEN(B170),MID(B170,6,1)=".",ISNUMBER(FIND("x"&amp;MID(B170,6,1),"x0x1x2x3x4x5x6x7x8x9"))),OR(7&gt;LEN(B170),MID(B170,7,1)=".",ISNUMBER(FIND("x"&amp;MID(B170,7,1),"x0x1x2x3x4x5x6x7x8x9"))),OR(8&gt;LEN(B170),MID(B170,8,1)=".",ISNUMBER(FIND("x"&amp;MID(B170,8,1),"x0x1x2x3x4x5x6x7x8x9"))),OR(9&gt;LEN(B170),MID(B170,9,1)=".",ISNUMBER(FIND("x"&amp;MID(B170,9,1),"x0x1x2x3x4x5x6x7x8x9"))),OR(10&gt;LEN(B170),MID(B170,10,1)=".",ISNUMBER(FIND("x"&amp;MID(B170,10,1),"x0x1x2x3x4x5x6x7x8x9"))),OR(AND(FIND(".",B170)=5,LEN(B170)-FIND(".",B170,FIND(".",B170)+1)&gt;=1,LEN(B170)-FIND(".",B170,FIND(".",B170)+1)&lt;=2),AND(LEN(B170)-FIND(".",B170,FIND(".",B170)+1)=4,FIND(".",B170)&gt;=2,FIND(".",B170)&lt;=3)),FIND(".",B170,FIND(".",B170)+1)-FIND(".",B170)&gt;=2,FIND(".",B170,FIND(".",B170)+1)-FIND(".",B170)&lt;=3,F170&gt;=2000,F170&lt;=2100,YEAR(I170)=F170,MONTH(I170)=G170,DAY(I170)=H170),I170,0)),0)</ns0:f>
        <ns0:v>0</ns0:v>
      </ns0:c>
      <ns0:c r="K170" s="0">
        <ns0:f>IFERROR(IF(ISNUMBER(Bookings!D170),"",TRIM(Bookings!D170&amp;"")),"")</ns0:f>
      </ns0:c>
      <ns0:c r="L170" s="0">
        <ns0:f>IFERROR(SUBSTITUTE(SUBSTITUTE(K170,"/","."),"-","."),"")</ns0:f>
      </ns0:c>
      <ns0:c r="M170" s="0">
        <ns0:f>IFERROR(LEFT(L170,FIND(".",L170)-1),"")</ns0:f>
      </ns0:c>
      <ns0:c r="N170" s="0">
        <ns0:f>IFERROR(MID(L170,FIND(".",L170)+1,FIND(".",L170,FIND(".",L170)+1)-FIND(".",L170)-1),"")</ns0:f>
      </ns0:c>
      <ns0:c r="O170" s="0">
        <ns0:f>IFERROR(MID(L170,FIND(".",L170,FIND(".",L170)+1)+1,99),"")</ns0:f>
        <ns0:v>99</ns0:v>
      </ns0:c>
      <ns0:c r="P170" s="0">
        <ns0:f>IFERROR(IF(FIND(".",L170)=5,--M170,--O170),0)</ns0:f>
        <ns0:v>0</ns0:v>
      </ns0:c>
      <ns0:c r="Q170" s="0">
        <ns0:f>IFERROR(--N170,0)</ns0:f>
        <ns0:v>0</ns0:v>
      </ns0:c>
      <ns0:c r="R170" s="0">
        <ns0:f>IFERROR(IF(FIND(".",L170)=5,--O170,--M170),0)</ns0:f>
        <ns0:v>0</ns0:v>
      </ns0:c>
      <ns0:c r="S170" s="0">
        <ns0:f>IFERROR(IF(AND(P170&gt;=2000,P170&lt;=2100,Q170&gt;=1,Q170&lt;=12,R170&gt;=1,R170&lt;=31),DATE(P170,Q170,R170),0),0)</ns0:f>
        <ns0:v>0</ns0:v>
      </ns0:c>
      <ns0:c r="T170" s="0">
        <ns0:f>IFERROR(IF(ISNUMBER(Bookings!D170),IF(AND(Bookings!D170=INT(Bookings!D170),Bookings!D170&gt;=DATE(2000,1,1),Bookings!D170&lt;=DATE(2100,12,31)),Bookings!D170,0),IF(AND(K170&lt;&gt;"",LEN("x"&amp;L170)-LEN(SUBSTITUTE("x"&amp;L170,".",""))=2,OR(1&gt;LEN(L170),MID(L170,1,1)=".",ISNUMBER(FIND("x"&amp;MID(L170,1,1),"x0x1x2x3x4x5x6x7x8x9"))),OR(2&gt;LEN(L170),MID(L170,2,1)=".",ISNUMBER(FIND("x"&amp;MID(L170,2,1),"x0x1x2x3x4x5x6x7x8x9"))),OR(3&gt;LEN(L170),MID(L170,3,1)=".",ISNUMBER(FIND("x"&amp;MID(L170,3,1),"x0x1x2x3x4x5x6x7x8x9"))),OR(4&gt;LEN(L170),MID(L170,4,1)=".",ISNUMBER(FIND("x"&amp;MID(L170,4,1),"x0x1x2x3x4x5x6x7x8x9"))),OR(5&gt;LEN(L170),MID(L170,5,1)=".",ISNUMBER(FIND("x"&amp;MID(L170,5,1),"x0x1x2x3x4x5x6x7x8x9"))),OR(6&gt;LEN(L170),MID(L170,6,1)=".",ISNUMBER(FIND("x"&amp;MID(L170,6,1),"x0x1x2x3x4x5x6x7x8x9"))),OR(7&gt;LEN(L170),MID(L170,7,1)=".",ISNUMBER(FIND("x"&amp;MID(L170,7,1),"x0x1x2x3x4x5x6x7x8x9"))),OR(8&gt;LEN(L170),MID(L170,8,1)=".",ISNUMBER(FIND("x"&amp;MID(L170,8,1),"x0x1x2x3x4x5x6x7x8x9"))),OR(9&gt;LEN(L170),MID(L170,9,1)=".",ISNUMBER(FIND("x"&amp;MID(L170,9,1),"x0x1x2x3x4x5x6x7x8x9"))),OR(10&gt;LEN(L170),MID(L170,10,1)=".",ISNUMBER(FIND("x"&amp;MID(L170,10,1),"x0x1x2x3x4x5x6x7x8x9"))),OR(AND(FIND(".",L170)=5,LEN(L170)-FIND(".",L170,FIND(".",L170)+1)&gt;=1,LEN(L170)-FIND(".",L170,FIND(".",L170)+1)&lt;=2),AND(LEN(L170)-FIND(".",L170,FIND(".",L170)+1)=4,FIND(".",L170)&gt;=2,FIND(".",L170)&lt;=3)),FIND(".",L170,FIND(".",L170)+1)-FIND(".",L170)&gt;=2,FIND(".",L170,FIND(".",L170)+1)-FIND(".",L170)&lt;=3,P170&gt;=2000,P170&lt;=2100,YEAR(S170)=P170,MONTH(S170)=Q170,DAY(S170)=R170),S170,0)),0)</ns0:f>
        <ns0:v>0</ns0:v>
      </ns0:c>
      <ns0:c r="U170" s="0" t="str">
        <ns0:f>IF(Bookings!C170="","Full day",Bookings!C170)</ns0:f>
        <ns0:v>Full day</ns0:v>
      </ns0:c>
      <ns0:c r="V170" s="0" t="str">
        <ns0:f>IF(Bookings!E170="","Full day",Bookings!E170)</ns0:f>
        <ns0:v>Full day</ns0:v>
      </ns0:c>
      <ns0:c r="W170" s="0">
        <ns0:f>IF(J170=0,0,J170+IF(U170="PM",1,0))</ns0:f>
        <ns0:v>0</ns0:v>
      </ns0:c>
      <ns0:c r="X170" s="0">
        <ns0:f>IF(T170=0,0,T170-IF(V170="PM",1,0))</ns0:f>
        <ns0:v>0</ns0:v>
      </ns0:c>
      <ns0:c r="Y170" s="0">
        <ns0:f>IF(J170=0,0,J170+IF(U170="AM",1,0))</ns0:f>
        <ns0:v>0</ns0:v>
      </ns0:c>
      <ns0:c r="Z170" s="0">
        <ns0:f>IF(T170=0,0,T170-IF(V170="AM",1,0))</ns0:f>
        <ns0:v>0</ns0:v>
      </ns0:c>
      <ns0:c r="AA170" s="0">
        <ns0:f>IFERROR(IF(AND(J170&gt;0,'_Engine'!C170&gt;0,MID('_Engine'!W170,WEEKDAY(J170,2),1)="W",COUNTIF(Settings!$F$18:$F$67,J170)=0),1,0),0)</ns0:f>
        <ns0:v>0</ns0:v>
      </ns0:c>
      <ns0:c r="AB170" s="0">
        <ns0:f>IFERROR(IF(AND(T170&gt;0,'_Engine'!C170&gt;0,MID('_Engine'!W170,WEEKDAY(T170,2),1)="W",COUNTIF(Settings!$F$18:$F$67,T170)=0),1,0),0)</ns0:f>
        <ns0:v>0</ns0:v>
      </ns0:c>
      <ns0:c r="AC170" s="0">
        <ns0:f>IF(AND(J170&gt;0,T170&gt;0,W170&lt;=X170),1,0)</ns0:f>
        <ns0:v>0</ns0:v>
      </ns0:c>
      <ns0:c r="AD170" s="0">
        <ns0:f>IF(AND(J170&gt;0,T170&gt;0,Y170&lt;=Z170),1,0)</ns0:f>
        <ns0:v>0</ns0:v>
      </ns0:c>
    </ns0:row>
    <ns0:row r="171">
      <ns0:c r="A171" s="0">
        <ns0:f>IFERROR(IF(ISNUMBER(Bookings!B171),"",TRIM(Bookings!B171&amp;"")),"")</ns0:f>
      </ns0:c>
      <ns0:c r="B171" s="0">
        <ns0:f>IFERROR(SUBSTITUTE(SUBSTITUTE(A171,"/","."),"-","."),"")</ns0:f>
      </ns0:c>
      <ns0:c r="C171" s="0">
        <ns0:f>IFERROR(LEFT(B171,FIND(".",B171)-1),"")</ns0:f>
      </ns0:c>
      <ns0:c r="D171" s="0">
        <ns0:f>IFERROR(MID(B171,FIND(".",B171)+1,FIND(".",B171,FIND(".",B171)+1)-FIND(".",B171)-1),"")</ns0:f>
      </ns0:c>
      <ns0:c r="E171" s="0">
        <ns0:f>IFERROR(MID(B171,FIND(".",B171,FIND(".",B171)+1)+1,99),"")</ns0:f>
        <ns0:v>99</ns0:v>
      </ns0:c>
      <ns0:c r="F171" s="0">
        <ns0:f>IFERROR(IF(FIND(".",B171)=5,--C171,--E171),0)</ns0:f>
        <ns0:v>0</ns0:v>
      </ns0:c>
      <ns0:c r="G171" s="0">
        <ns0:f>IFERROR(--D171,0)</ns0:f>
        <ns0:v>0</ns0:v>
      </ns0:c>
      <ns0:c r="H171" s="0">
        <ns0:f>IFERROR(IF(FIND(".",B171)=5,--E171,--C171),0)</ns0:f>
        <ns0:v>0</ns0:v>
      </ns0:c>
      <ns0:c r="I171" s="0">
        <ns0:f>IFERROR(IF(AND(F171&gt;=2000,F171&lt;=2100,G171&gt;=1,G171&lt;=12,H171&gt;=1,H171&lt;=31),DATE(F171,G171,H171),0),0)</ns0:f>
        <ns0:v>0</ns0:v>
      </ns0:c>
      <ns0:c r="J171" s="0">
        <ns0:f>IFERROR(IF(ISNUMBER(Bookings!B171),IF(AND(Bookings!B171=INT(Bookings!B171),Bookings!B171&gt;=DATE(2000,1,1),Bookings!B171&lt;=DATE(2100,12,31)),Bookings!B171,0),IF(AND(A171&lt;&gt;"",LEN("x"&amp;B171)-LEN(SUBSTITUTE("x"&amp;B171,".",""))=2,OR(1&gt;LEN(B171),MID(B171,1,1)=".",ISNUMBER(FIND("x"&amp;MID(B171,1,1),"x0x1x2x3x4x5x6x7x8x9"))),OR(2&gt;LEN(B171),MID(B171,2,1)=".",ISNUMBER(FIND("x"&amp;MID(B171,2,1),"x0x1x2x3x4x5x6x7x8x9"))),OR(3&gt;LEN(B171),MID(B171,3,1)=".",ISNUMBER(FIND("x"&amp;MID(B171,3,1),"x0x1x2x3x4x5x6x7x8x9"))),OR(4&gt;LEN(B171),MID(B171,4,1)=".",ISNUMBER(FIND("x"&amp;MID(B171,4,1),"x0x1x2x3x4x5x6x7x8x9"))),OR(5&gt;LEN(B171),MID(B171,5,1)=".",ISNUMBER(FIND("x"&amp;MID(B171,5,1),"x0x1x2x3x4x5x6x7x8x9"))),OR(6&gt;LEN(B171),MID(B171,6,1)=".",ISNUMBER(FIND("x"&amp;MID(B171,6,1),"x0x1x2x3x4x5x6x7x8x9"))),OR(7&gt;LEN(B171),MID(B171,7,1)=".",ISNUMBER(FIND("x"&amp;MID(B171,7,1),"x0x1x2x3x4x5x6x7x8x9"))),OR(8&gt;LEN(B171),MID(B171,8,1)=".",ISNUMBER(FIND("x"&amp;MID(B171,8,1),"x0x1x2x3x4x5x6x7x8x9"))),OR(9&gt;LEN(B171),MID(B171,9,1)=".",ISNUMBER(FIND("x"&amp;MID(B171,9,1),"x0x1x2x3x4x5x6x7x8x9"))),OR(10&gt;LEN(B171),MID(B171,10,1)=".",ISNUMBER(FIND("x"&amp;MID(B171,10,1),"x0x1x2x3x4x5x6x7x8x9"))),OR(AND(FIND(".",B171)=5,LEN(B171)-FIND(".",B171,FIND(".",B171)+1)&gt;=1,LEN(B171)-FIND(".",B171,FIND(".",B171)+1)&lt;=2),AND(LEN(B171)-FIND(".",B171,FIND(".",B171)+1)=4,FIND(".",B171)&gt;=2,FIND(".",B171)&lt;=3)),FIND(".",B171,FIND(".",B171)+1)-FIND(".",B171)&gt;=2,FIND(".",B171,FIND(".",B171)+1)-FIND(".",B171)&lt;=3,F171&gt;=2000,F171&lt;=2100,YEAR(I171)=F171,MONTH(I171)=G171,DAY(I171)=H171),I171,0)),0)</ns0:f>
        <ns0:v>0</ns0:v>
      </ns0:c>
      <ns0:c r="K171" s="0">
        <ns0:f>IFERROR(IF(ISNUMBER(Bookings!D171),"",TRIM(Bookings!D171&amp;"")),"")</ns0:f>
      </ns0:c>
      <ns0:c r="L171" s="0">
        <ns0:f>IFERROR(SUBSTITUTE(SUBSTITUTE(K171,"/","."),"-","."),"")</ns0:f>
      </ns0:c>
      <ns0:c r="M171" s="0">
        <ns0:f>IFERROR(LEFT(L171,FIND(".",L171)-1),"")</ns0:f>
      </ns0:c>
      <ns0:c r="N171" s="0">
        <ns0:f>IFERROR(MID(L171,FIND(".",L171)+1,FIND(".",L171,FIND(".",L171)+1)-FIND(".",L171)-1),"")</ns0:f>
      </ns0:c>
      <ns0:c r="O171" s="0">
        <ns0:f>IFERROR(MID(L171,FIND(".",L171,FIND(".",L171)+1)+1,99),"")</ns0:f>
        <ns0:v>99</ns0:v>
      </ns0:c>
      <ns0:c r="P171" s="0">
        <ns0:f>IFERROR(IF(FIND(".",L171)=5,--M171,--O171),0)</ns0:f>
        <ns0:v>0</ns0:v>
      </ns0:c>
      <ns0:c r="Q171" s="0">
        <ns0:f>IFERROR(--N171,0)</ns0:f>
        <ns0:v>0</ns0:v>
      </ns0:c>
      <ns0:c r="R171" s="0">
        <ns0:f>IFERROR(IF(FIND(".",L171)=5,--O171,--M171),0)</ns0:f>
        <ns0:v>0</ns0:v>
      </ns0:c>
      <ns0:c r="S171" s="0">
        <ns0:f>IFERROR(IF(AND(P171&gt;=2000,P171&lt;=2100,Q171&gt;=1,Q171&lt;=12,R171&gt;=1,R171&lt;=31),DATE(P171,Q171,R171),0),0)</ns0:f>
        <ns0:v>0</ns0:v>
      </ns0:c>
      <ns0:c r="T171" s="0">
        <ns0:f>IFERROR(IF(ISNUMBER(Bookings!D171),IF(AND(Bookings!D171=INT(Bookings!D171),Bookings!D171&gt;=DATE(2000,1,1),Bookings!D171&lt;=DATE(2100,12,31)),Bookings!D171,0),IF(AND(K171&lt;&gt;"",LEN("x"&amp;L171)-LEN(SUBSTITUTE("x"&amp;L171,".",""))=2,OR(1&gt;LEN(L171),MID(L171,1,1)=".",ISNUMBER(FIND("x"&amp;MID(L171,1,1),"x0x1x2x3x4x5x6x7x8x9"))),OR(2&gt;LEN(L171),MID(L171,2,1)=".",ISNUMBER(FIND("x"&amp;MID(L171,2,1),"x0x1x2x3x4x5x6x7x8x9"))),OR(3&gt;LEN(L171),MID(L171,3,1)=".",ISNUMBER(FIND("x"&amp;MID(L171,3,1),"x0x1x2x3x4x5x6x7x8x9"))),OR(4&gt;LEN(L171),MID(L171,4,1)=".",ISNUMBER(FIND("x"&amp;MID(L171,4,1),"x0x1x2x3x4x5x6x7x8x9"))),OR(5&gt;LEN(L171),MID(L171,5,1)=".",ISNUMBER(FIND("x"&amp;MID(L171,5,1),"x0x1x2x3x4x5x6x7x8x9"))),OR(6&gt;LEN(L171),MID(L171,6,1)=".",ISNUMBER(FIND("x"&amp;MID(L171,6,1),"x0x1x2x3x4x5x6x7x8x9"))),OR(7&gt;LEN(L171),MID(L171,7,1)=".",ISNUMBER(FIND("x"&amp;MID(L171,7,1),"x0x1x2x3x4x5x6x7x8x9"))),OR(8&gt;LEN(L171),MID(L171,8,1)=".",ISNUMBER(FIND("x"&amp;MID(L171,8,1),"x0x1x2x3x4x5x6x7x8x9"))),OR(9&gt;LEN(L171),MID(L171,9,1)=".",ISNUMBER(FIND("x"&amp;MID(L171,9,1),"x0x1x2x3x4x5x6x7x8x9"))),OR(10&gt;LEN(L171),MID(L171,10,1)=".",ISNUMBER(FIND("x"&amp;MID(L171,10,1),"x0x1x2x3x4x5x6x7x8x9"))),OR(AND(FIND(".",L171)=5,LEN(L171)-FIND(".",L171,FIND(".",L171)+1)&gt;=1,LEN(L171)-FIND(".",L171,FIND(".",L171)+1)&lt;=2),AND(LEN(L171)-FIND(".",L171,FIND(".",L171)+1)=4,FIND(".",L171)&gt;=2,FIND(".",L171)&lt;=3)),FIND(".",L171,FIND(".",L171)+1)-FIND(".",L171)&gt;=2,FIND(".",L171,FIND(".",L171)+1)-FIND(".",L171)&lt;=3,P171&gt;=2000,P171&lt;=2100,YEAR(S171)=P171,MONTH(S171)=Q171,DAY(S171)=R171),S171,0)),0)</ns0:f>
        <ns0:v>0</ns0:v>
      </ns0:c>
      <ns0:c r="U171" s="0" t="str">
        <ns0:f>IF(Bookings!C171="","Full day",Bookings!C171)</ns0:f>
        <ns0:v>Full day</ns0:v>
      </ns0:c>
      <ns0:c r="V171" s="0" t="str">
        <ns0:f>IF(Bookings!E171="","Full day",Bookings!E171)</ns0:f>
        <ns0:v>Full day</ns0:v>
      </ns0:c>
      <ns0:c r="W171" s="0">
        <ns0:f>IF(J171=0,0,J171+IF(U171="PM",1,0))</ns0:f>
        <ns0:v>0</ns0:v>
      </ns0:c>
      <ns0:c r="X171" s="0">
        <ns0:f>IF(T171=0,0,T171-IF(V171="PM",1,0))</ns0:f>
        <ns0:v>0</ns0:v>
      </ns0:c>
      <ns0:c r="Y171" s="0">
        <ns0:f>IF(J171=0,0,J171+IF(U171="AM",1,0))</ns0:f>
        <ns0:v>0</ns0:v>
      </ns0:c>
      <ns0:c r="Z171" s="0">
        <ns0:f>IF(T171=0,0,T171-IF(V171="AM",1,0))</ns0:f>
        <ns0:v>0</ns0:v>
      </ns0:c>
      <ns0:c r="AA171" s="0">
        <ns0:f>IFERROR(IF(AND(J171&gt;0,'_Engine'!C171&gt;0,MID('_Engine'!W171,WEEKDAY(J171,2),1)="W",COUNTIF(Settings!$F$18:$F$67,J171)=0),1,0),0)</ns0:f>
        <ns0:v>0</ns0:v>
      </ns0:c>
      <ns0:c r="AB171" s="0">
        <ns0:f>IFERROR(IF(AND(T171&gt;0,'_Engine'!C171&gt;0,MID('_Engine'!W171,WEEKDAY(T171,2),1)="W",COUNTIF(Settings!$F$18:$F$67,T171)=0),1,0),0)</ns0:f>
        <ns0:v>0</ns0:v>
      </ns0:c>
      <ns0:c r="AC171" s="0">
        <ns0:f>IF(AND(J171&gt;0,T171&gt;0,W171&lt;=X171),1,0)</ns0:f>
        <ns0:v>0</ns0:v>
      </ns0:c>
      <ns0:c r="AD171" s="0">
        <ns0:f>IF(AND(J171&gt;0,T171&gt;0,Y171&lt;=Z171),1,0)</ns0:f>
        <ns0:v>0</ns0:v>
      </ns0:c>
    </ns0:row>
    <ns0:row r="172">
      <ns0:c r="A172" s="0">
        <ns0:f>IFERROR(IF(ISNUMBER(Bookings!B172),"",TRIM(Bookings!B172&amp;"")),"")</ns0:f>
      </ns0:c>
      <ns0:c r="B172" s="0">
        <ns0:f>IFERROR(SUBSTITUTE(SUBSTITUTE(A172,"/","."),"-","."),"")</ns0:f>
      </ns0:c>
      <ns0:c r="C172" s="0">
        <ns0:f>IFERROR(LEFT(B172,FIND(".",B172)-1),"")</ns0:f>
      </ns0:c>
      <ns0:c r="D172" s="0">
        <ns0:f>IFERROR(MID(B172,FIND(".",B172)+1,FIND(".",B172,FIND(".",B172)+1)-FIND(".",B172)-1),"")</ns0:f>
      </ns0:c>
      <ns0:c r="E172" s="0">
        <ns0:f>IFERROR(MID(B172,FIND(".",B172,FIND(".",B172)+1)+1,99),"")</ns0:f>
        <ns0:v>99</ns0:v>
      </ns0:c>
      <ns0:c r="F172" s="0">
        <ns0:f>IFERROR(IF(FIND(".",B172)=5,--C172,--E172),0)</ns0:f>
        <ns0:v>0</ns0:v>
      </ns0:c>
      <ns0:c r="G172" s="0">
        <ns0:f>IFERROR(--D172,0)</ns0:f>
        <ns0:v>0</ns0:v>
      </ns0:c>
      <ns0:c r="H172" s="0">
        <ns0:f>IFERROR(IF(FIND(".",B172)=5,--E172,--C172),0)</ns0:f>
        <ns0:v>0</ns0:v>
      </ns0:c>
      <ns0:c r="I172" s="0">
        <ns0:f>IFERROR(IF(AND(F172&gt;=2000,F172&lt;=2100,G172&gt;=1,G172&lt;=12,H172&gt;=1,H172&lt;=31),DATE(F172,G172,H172),0),0)</ns0:f>
        <ns0:v>0</ns0:v>
      </ns0:c>
      <ns0:c r="J172" s="0">
        <ns0:f>IFERROR(IF(ISNUMBER(Bookings!B172),IF(AND(Bookings!B172=INT(Bookings!B172),Bookings!B172&gt;=DATE(2000,1,1),Bookings!B172&lt;=DATE(2100,12,31)),Bookings!B172,0),IF(AND(A172&lt;&gt;"",LEN("x"&amp;B172)-LEN(SUBSTITUTE("x"&amp;B172,".",""))=2,OR(1&gt;LEN(B172),MID(B172,1,1)=".",ISNUMBER(FIND("x"&amp;MID(B172,1,1),"x0x1x2x3x4x5x6x7x8x9"))),OR(2&gt;LEN(B172),MID(B172,2,1)=".",ISNUMBER(FIND("x"&amp;MID(B172,2,1),"x0x1x2x3x4x5x6x7x8x9"))),OR(3&gt;LEN(B172),MID(B172,3,1)=".",ISNUMBER(FIND("x"&amp;MID(B172,3,1),"x0x1x2x3x4x5x6x7x8x9"))),OR(4&gt;LEN(B172),MID(B172,4,1)=".",ISNUMBER(FIND("x"&amp;MID(B172,4,1),"x0x1x2x3x4x5x6x7x8x9"))),OR(5&gt;LEN(B172),MID(B172,5,1)=".",ISNUMBER(FIND("x"&amp;MID(B172,5,1),"x0x1x2x3x4x5x6x7x8x9"))),OR(6&gt;LEN(B172),MID(B172,6,1)=".",ISNUMBER(FIND("x"&amp;MID(B172,6,1),"x0x1x2x3x4x5x6x7x8x9"))),OR(7&gt;LEN(B172),MID(B172,7,1)=".",ISNUMBER(FIND("x"&amp;MID(B172,7,1),"x0x1x2x3x4x5x6x7x8x9"))),OR(8&gt;LEN(B172),MID(B172,8,1)=".",ISNUMBER(FIND("x"&amp;MID(B172,8,1),"x0x1x2x3x4x5x6x7x8x9"))),OR(9&gt;LEN(B172),MID(B172,9,1)=".",ISNUMBER(FIND("x"&amp;MID(B172,9,1),"x0x1x2x3x4x5x6x7x8x9"))),OR(10&gt;LEN(B172),MID(B172,10,1)=".",ISNUMBER(FIND("x"&amp;MID(B172,10,1),"x0x1x2x3x4x5x6x7x8x9"))),OR(AND(FIND(".",B172)=5,LEN(B172)-FIND(".",B172,FIND(".",B172)+1)&gt;=1,LEN(B172)-FIND(".",B172,FIND(".",B172)+1)&lt;=2),AND(LEN(B172)-FIND(".",B172,FIND(".",B172)+1)=4,FIND(".",B172)&gt;=2,FIND(".",B172)&lt;=3)),FIND(".",B172,FIND(".",B172)+1)-FIND(".",B172)&gt;=2,FIND(".",B172,FIND(".",B172)+1)-FIND(".",B172)&lt;=3,F172&gt;=2000,F172&lt;=2100,YEAR(I172)=F172,MONTH(I172)=G172,DAY(I172)=H172),I172,0)),0)</ns0:f>
        <ns0:v>0</ns0:v>
      </ns0:c>
      <ns0:c r="K172" s="0">
        <ns0:f>IFERROR(IF(ISNUMBER(Bookings!D172),"",TRIM(Bookings!D172&amp;"")),"")</ns0:f>
      </ns0:c>
      <ns0:c r="L172" s="0">
        <ns0:f>IFERROR(SUBSTITUTE(SUBSTITUTE(K172,"/","."),"-","."),"")</ns0:f>
      </ns0:c>
      <ns0:c r="M172" s="0">
        <ns0:f>IFERROR(LEFT(L172,FIND(".",L172)-1),"")</ns0:f>
      </ns0:c>
      <ns0:c r="N172" s="0">
        <ns0:f>IFERROR(MID(L172,FIND(".",L172)+1,FIND(".",L172,FIND(".",L172)+1)-FIND(".",L172)-1),"")</ns0:f>
      </ns0:c>
      <ns0:c r="O172" s="0">
        <ns0:f>IFERROR(MID(L172,FIND(".",L172,FIND(".",L172)+1)+1,99),"")</ns0:f>
        <ns0:v>99</ns0:v>
      </ns0:c>
      <ns0:c r="P172" s="0">
        <ns0:f>IFERROR(IF(FIND(".",L172)=5,--M172,--O172),0)</ns0:f>
        <ns0:v>0</ns0:v>
      </ns0:c>
      <ns0:c r="Q172" s="0">
        <ns0:f>IFERROR(--N172,0)</ns0:f>
        <ns0:v>0</ns0:v>
      </ns0:c>
      <ns0:c r="R172" s="0">
        <ns0:f>IFERROR(IF(FIND(".",L172)=5,--O172,--M172),0)</ns0:f>
        <ns0:v>0</ns0:v>
      </ns0:c>
      <ns0:c r="S172" s="0">
        <ns0:f>IFERROR(IF(AND(P172&gt;=2000,P172&lt;=2100,Q172&gt;=1,Q172&lt;=12,R172&gt;=1,R172&lt;=31),DATE(P172,Q172,R172),0),0)</ns0:f>
        <ns0:v>0</ns0:v>
      </ns0:c>
      <ns0:c r="T172" s="0">
        <ns0:f>IFERROR(IF(ISNUMBER(Bookings!D172),IF(AND(Bookings!D172=INT(Bookings!D172),Bookings!D172&gt;=DATE(2000,1,1),Bookings!D172&lt;=DATE(2100,12,31)),Bookings!D172,0),IF(AND(K172&lt;&gt;"",LEN("x"&amp;L172)-LEN(SUBSTITUTE("x"&amp;L172,".",""))=2,OR(1&gt;LEN(L172),MID(L172,1,1)=".",ISNUMBER(FIND("x"&amp;MID(L172,1,1),"x0x1x2x3x4x5x6x7x8x9"))),OR(2&gt;LEN(L172),MID(L172,2,1)=".",ISNUMBER(FIND("x"&amp;MID(L172,2,1),"x0x1x2x3x4x5x6x7x8x9"))),OR(3&gt;LEN(L172),MID(L172,3,1)=".",ISNUMBER(FIND("x"&amp;MID(L172,3,1),"x0x1x2x3x4x5x6x7x8x9"))),OR(4&gt;LEN(L172),MID(L172,4,1)=".",ISNUMBER(FIND("x"&amp;MID(L172,4,1),"x0x1x2x3x4x5x6x7x8x9"))),OR(5&gt;LEN(L172),MID(L172,5,1)=".",ISNUMBER(FIND("x"&amp;MID(L172,5,1),"x0x1x2x3x4x5x6x7x8x9"))),OR(6&gt;LEN(L172),MID(L172,6,1)=".",ISNUMBER(FIND("x"&amp;MID(L172,6,1),"x0x1x2x3x4x5x6x7x8x9"))),OR(7&gt;LEN(L172),MID(L172,7,1)=".",ISNUMBER(FIND("x"&amp;MID(L172,7,1),"x0x1x2x3x4x5x6x7x8x9"))),OR(8&gt;LEN(L172),MID(L172,8,1)=".",ISNUMBER(FIND("x"&amp;MID(L172,8,1),"x0x1x2x3x4x5x6x7x8x9"))),OR(9&gt;LEN(L172),MID(L172,9,1)=".",ISNUMBER(FIND("x"&amp;MID(L172,9,1),"x0x1x2x3x4x5x6x7x8x9"))),OR(10&gt;LEN(L172),MID(L172,10,1)=".",ISNUMBER(FIND("x"&amp;MID(L172,10,1),"x0x1x2x3x4x5x6x7x8x9"))),OR(AND(FIND(".",L172)=5,LEN(L172)-FIND(".",L172,FIND(".",L172)+1)&gt;=1,LEN(L172)-FIND(".",L172,FIND(".",L172)+1)&lt;=2),AND(LEN(L172)-FIND(".",L172,FIND(".",L172)+1)=4,FIND(".",L172)&gt;=2,FIND(".",L172)&lt;=3)),FIND(".",L172,FIND(".",L172)+1)-FIND(".",L172)&gt;=2,FIND(".",L172,FIND(".",L172)+1)-FIND(".",L172)&lt;=3,P172&gt;=2000,P172&lt;=2100,YEAR(S172)=P172,MONTH(S172)=Q172,DAY(S172)=R172),S172,0)),0)</ns0:f>
        <ns0:v>0</ns0:v>
      </ns0:c>
      <ns0:c r="U172" s="0" t="str">
        <ns0:f>IF(Bookings!C172="","Full day",Bookings!C172)</ns0:f>
        <ns0:v>Full day</ns0:v>
      </ns0:c>
      <ns0:c r="V172" s="0" t="str">
        <ns0:f>IF(Bookings!E172="","Full day",Bookings!E172)</ns0:f>
        <ns0:v>Full day</ns0:v>
      </ns0:c>
      <ns0:c r="W172" s="0">
        <ns0:f>IF(J172=0,0,J172+IF(U172="PM",1,0))</ns0:f>
        <ns0:v>0</ns0:v>
      </ns0:c>
      <ns0:c r="X172" s="0">
        <ns0:f>IF(T172=0,0,T172-IF(V172="PM",1,0))</ns0:f>
        <ns0:v>0</ns0:v>
      </ns0:c>
      <ns0:c r="Y172" s="0">
        <ns0:f>IF(J172=0,0,J172+IF(U172="AM",1,0))</ns0:f>
        <ns0:v>0</ns0:v>
      </ns0:c>
      <ns0:c r="Z172" s="0">
        <ns0:f>IF(T172=0,0,T172-IF(V172="AM",1,0))</ns0:f>
        <ns0:v>0</ns0:v>
      </ns0:c>
      <ns0:c r="AA172" s="0">
        <ns0:f>IFERROR(IF(AND(J172&gt;0,'_Engine'!C172&gt;0,MID('_Engine'!W172,WEEKDAY(J172,2),1)="W",COUNTIF(Settings!$F$18:$F$67,J172)=0),1,0),0)</ns0:f>
        <ns0:v>0</ns0:v>
      </ns0:c>
      <ns0:c r="AB172" s="0">
        <ns0:f>IFERROR(IF(AND(T172&gt;0,'_Engine'!C172&gt;0,MID('_Engine'!W172,WEEKDAY(T172,2),1)="W",COUNTIF(Settings!$F$18:$F$67,T172)=0),1,0),0)</ns0:f>
        <ns0:v>0</ns0:v>
      </ns0:c>
      <ns0:c r="AC172" s="0">
        <ns0:f>IF(AND(J172&gt;0,T172&gt;0,W172&lt;=X172),1,0)</ns0:f>
        <ns0:v>0</ns0:v>
      </ns0:c>
      <ns0:c r="AD172" s="0">
        <ns0:f>IF(AND(J172&gt;0,T172&gt;0,Y172&lt;=Z172),1,0)</ns0:f>
        <ns0:v>0</ns0:v>
      </ns0:c>
    </ns0:row>
    <ns0:row r="173">
      <ns0:c r="A173" s="0">
        <ns0:f>IFERROR(IF(ISNUMBER(Bookings!B173),"",TRIM(Bookings!B173&amp;"")),"")</ns0:f>
      </ns0:c>
      <ns0:c r="B173" s="0">
        <ns0:f>IFERROR(SUBSTITUTE(SUBSTITUTE(A173,"/","."),"-","."),"")</ns0:f>
      </ns0:c>
      <ns0:c r="C173" s="0">
        <ns0:f>IFERROR(LEFT(B173,FIND(".",B173)-1),"")</ns0:f>
      </ns0:c>
      <ns0:c r="D173" s="0">
        <ns0:f>IFERROR(MID(B173,FIND(".",B173)+1,FIND(".",B173,FIND(".",B173)+1)-FIND(".",B173)-1),"")</ns0:f>
      </ns0:c>
      <ns0:c r="E173" s="0">
        <ns0:f>IFERROR(MID(B173,FIND(".",B173,FIND(".",B173)+1)+1,99),"")</ns0:f>
        <ns0:v>99</ns0:v>
      </ns0:c>
      <ns0:c r="F173" s="0">
        <ns0:f>IFERROR(IF(FIND(".",B173)=5,--C173,--E173),0)</ns0:f>
        <ns0:v>0</ns0:v>
      </ns0:c>
      <ns0:c r="G173" s="0">
        <ns0:f>IFERROR(--D173,0)</ns0:f>
        <ns0:v>0</ns0:v>
      </ns0:c>
      <ns0:c r="H173" s="0">
        <ns0:f>IFERROR(IF(FIND(".",B173)=5,--E173,--C173),0)</ns0:f>
        <ns0:v>0</ns0:v>
      </ns0:c>
      <ns0:c r="I173" s="0">
        <ns0:f>IFERROR(IF(AND(F173&gt;=2000,F173&lt;=2100,G173&gt;=1,G173&lt;=12,H173&gt;=1,H173&lt;=31),DATE(F173,G173,H173),0),0)</ns0:f>
        <ns0:v>0</ns0:v>
      </ns0:c>
      <ns0:c r="J173" s="0">
        <ns0:f>IFERROR(IF(ISNUMBER(Bookings!B173),IF(AND(Bookings!B173=INT(Bookings!B173),Bookings!B173&gt;=DATE(2000,1,1),Bookings!B173&lt;=DATE(2100,12,31)),Bookings!B173,0),IF(AND(A173&lt;&gt;"",LEN("x"&amp;B173)-LEN(SUBSTITUTE("x"&amp;B173,".",""))=2,OR(1&gt;LEN(B173),MID(B173,1,1)=".",ISNUMBER(FIND("x"&amp;MID(B173,1,1),"x0x1x2x3x4x5x6x7x8x9"))),OR(2&gt;LEN(B173),MID(B173,2,1)=".",ISNUMBER(FIND("x"&amp;MID(B173,2,1),"x0x1x2x3x4x5x6x7x8x9"))),OR(3&gt;LEN(B173),MID(B173,3,1)=".",ISNUMBER(FIND("x"&amp;MID(B173,3,1),"x0x1x2x3x4x5x6x7x8x9"))),OR(4&gt;LEN(B173),MID(B173,4,1)=".",ISNUMBER(FIND("x"&amp;MID(B173,4,1),"x0x1x2x3x4x5x6x7x8x9"))),OR(5&gt;LEN(B173),MID(B173,5,1)=".",ISNUMBER(FIND("x"&amp;MID(B173,5,1),"x0x1x2x3x4x5x6x7x8x9"))),OR(6&gt;LEN(B173),MID(B173,6,1)=".",ISNUMBER(FIND("x"&amp;MID(B173,6,1),"x0x1x2x3x4x5x6x7x8x9"))),OR(7&gt;LEN(B173),MID(B173,7,1)=".",ISNUMBER(FIND("x"&amp;MID(B173,7,1),"x0x1x2x3x4x5x6x7x8x9"))),OR(8&gt;LEN(B173),MID(B173,8,1)=".",ISNUMBER(FIND("x"&amp;MID(B173,8,1),"x0x1x2x3x4x5x6x7x8x9"))),OR(9&gt;LEN(B173),MID(B173,9,1)=".",ISNUMBER(FIND("x"&amp;MID(B173,9,1),"x0x1x2x3x4x5x6x7x8x9"))),OR(10&gt;LEN(B173),MID(B173,10,1)=".",ISNUMBER(FIND("x"&amp;MID(B173,10,1),"x0x1x2x3x4x5x6x7x8x9"))),OR(AND(FIND(".",B173)=5,LEN(B173)-FIND(".",B173,FIND(".",B173)+1)&gt;=1,LEN(B173)-FIND(".",B173,FIND(".",B173)+1)&lt;=2),AND(LEN(B173)-FIND(".",B173,FIND(".",B173)+1)=4,FIND(".",B173)&gt;=2,FIND(".",B173)&lt;=3)),FIND(".",B173,FIND(".",B173)+1)-FIND(".",B173)&gt;=2,FIND(".",B173,FIND(".",B173)+1)-FIND(".",B173)&lt;=3,F173&gt;=2000,F173&lt;=2100,YEAR(I173)=F173,MONTH(I173)=G173,DAY(I173)=H173),I173,0)),0)</ns0:f>
        <ns0:v>0</ns0:v>
      </ns0:c>
      <ns0:c r="K173" s="0">
        <ns0:f>IFERROR(IF(ISNUMBER(Bookings!D173),"",TRIM(Bookings!D173&amp;"")),"")</ns0:f>
      </ns0:c>
      <ns0:c r="L173" s="0">
        <ns0:f>IFERROR(SUBSTITUTE(SUBSTITUTE(K173,"/","."),"-","."),"")</ns0:f>
      </ns0:c>
      <ns0:c r="M173" s="0">
        <ns0:f>IFERROR(LEFT(L173,FIND(".",L173)-1),"")</ns0:f>
      </ns0:c>
      <ns0:c r="N173" s="0">
        <ns0:f>IFERROR(MID(L173,FIND(".",L173)+1,FIND(".",L173,FIND(".",L173)+1)-FIND(".",L173)-1),"")</ns0:f>
      </ns0:c>
      <ns0:c r="O173" s="0">
        <ns0:f>IFERROR(MID(L173,FIND(".",L173,FIND(".",L173)+1)+1,99),"")</ns0:f>
        <ns0:v>99</ns0:v>
      </ns0:c>
      <ns0:c r="P173" s="0">
        <ns0:f>IFERROR(IF(FIND(".",L173)=5,--M173,--O173),0)</ns0:f>
        <ns0:v>0</ns0:v>
      </ns0:c>
      <ns0:c r="Q173" s="0">
        <ns0:f>IFERROR(--N173,0)</ns0:f>
        <ns0:v>0</ns0:v>
      </ns0:c>
      <ns0:c r="R173" s="0">
        <ns0:f>IFERROR(IF(FIND(".",L173)=5,--O173,--M173),0)</ns0:f>
        <ns0:v>0</ns0:v>
      </ns0:c>
      <ns0:c r="S173" s="0">
        <ns0:f>IFERROR(IF(AND(P173&gt;=2000,P173&lt;=2100,Q173&gt;=1,Q173&lt;=12,R173&gt;=1,R173&lt;=31),DATE(P173,Q173,R173),0),0)</ns0:f>
        <ns0:v>0</ns0:v>
      </ns0:c>
      <ns0:c r="T173" s="0">
        <ns0:f>IFERROR(IF(ISNUMBER(Bookings!D173),IF(AND(Bookings!D173=INT(Bookings!D173),Bookings!D173&gt;=DATE(2000,1,1),Bookings!D173&lt;=DATE(2100,12,31)),Bookings!D173,0),IF(AND(K173&lt;&gt;"",LEN("x"&amp;L173)-LEN(SUBSTITUTE("x"&amp;L173,".",""))=2,OR(1&gt;LEN(L173),MID(L173,1,1)=".",ISNUMBER(FIND("x"&amp;MID(L173,1,1),"x0x1x2x3x4x5x6x7x8x9"))),OR(2&gt;LEN(L173),MID(L173,2,1)=".",ISNUMBER(FIND("x"&amp;MID(L173,2,1),"x0x1x2x3x4x5x6x7x8x9"))),OR(3&gt;LEN(L173),MID(L173,3,1)=".",ISNUMBER(FIND("x"&amp;MID(L173,3,1),"x0x1x2x3x4x5x6x7x8x9"))),OR(4&gt;LEN(L173),MID(L173,4,1)=".",ISNUMBER(FIND("x"&amp;MID(L173,4,1),"x0x1x2x3x4x5x6x7x8x9"))),OR(5&gt;LEN(L173),MID(L173,5,1)=".",ISNUMBER(FIND("x"&amp;MID(L173,5,1),"x0x1x2x3x4x5x6x7x8x9"))),OR(6&gt;LEN(L173),MID(L173,6,1)=".",ISNUMBER(FIND("x"&amp;MID(L173,6,1),"x0x1x2x3x4x5x6x7x8x9"))),OR(7&gt;LEN(L173),MID(L173,7,1)=".",ISNUMBER(FIND("x"&amp;MID(L173,7,1),"x0x1x2x3x4x5x6x7x8x9"))),OR(8&gt;LEN(L173),MID(L173,8,1)=".",ISNUMBER(FIND("x"&amp;MID(L173,8,1),"x0x1x2x3x4x5x6x7x8x9"))),OR(9&gt;LEN(L173),MID(L173,9,1)=".",ISNUMBER(FIND("x"&amp;MID(L173,9,1),"x0x1x2x3x4x5x6x7x8x9"))),OR(10&gt;LEN(L173),MID(L173,10,1)=".",ISNUMBER(FIND("x"&amp;MID(L173,10,1),"x0x1x2x3x4x5x6x7x8x9"))),OR(AND(FIND(".",L173)=5,LEN(L173)-FIND(".",L173,FIND(".",L173)+1)&gt;=1,LEN(L173)-FIND(".",L173,FIND(".",L173)+1)&lt;=2),AND(LEN(L173)-FIND(".",L173,FIND(".",L173)+1)=4,FIND(".",L173)&gt;=2,FIND(".",L173)&lt;=3)),FIND(".",L173,FIND(".",L173)+1)-FIND(".",L173)&gt;=2,FIND(".",L173,FIND(".",L173)+1)-FIND(".",L173)&lt;=3,P173&gt;=2000,P173&lt;=2100,YEAR(S173)=P173,MONTH(S173)=Q173,DAY(S173)=R173),S173,0)),0)</ns0:f>
        <ns0:v>0</ns0:v>
      </ns0:c>
      <ns0:c r="U173" s="0" t="str">
        <ns0:f>IF(Bookings!C173="","Full day",Bookings!C173)</ns0:f>
        <ns0:v>Full day</ns0:v>
      </ns0:c>
      <ns0:c r="V173" s="0" t="str">
        <ns0:f>IF(Bookings!E173="","Full day",Bookings!E173)</ns0:f>
        <ns0:v>Full day</ns0:v>
      </ns0:c>
      <ns0:c r="W173" s="0">
        <ns0:f>IF(J173=0,0,J173+IF(U173="PM",1,0))</ns0:f>
        <ns0:v>0</ns0:v>
      </ns0:c>
      <ns0:c r="X173" s="0">
        <ns0:f>IF(T173=0,0,T173-IF(V173="PM",1,0))</ns0:f>
        <ns0:v>0</ns0:v>
      </ns0:c>
      <ns0:c r="Y173" s="0">
        <ns0:f>IF(J173=0,0,J173+IF(U173="AM",1,0))</ns0:f>
        <ns0:v>0</ns0:v>
      </ns0:c>
      <ns0:c r="Z173" s="0">
        <ns0:f>IF(T173=0,0,T173-IF(V173="AM",1,0))</ns0:f>
        <ns0:v>0</ns0:v>
      </ns0:c>
      <ns0:c r="AA173" s="0">
        <ns0:f>IFERROR(IF(AND(J173&gt;0,'_Engine'!C173&gt;0,MID('_Engine'!W173,WEEKDAY(J173,2),1)="W",COUNTIF(Settings!$F$18:$F$67,J173)=0),1,0),0)</ns0:f>
        <ns0:v>0</ns0:v>
      </ns0:c>
      <ns0:c r="AB173" s="0">
        <ns0:f>IFERROR(IF(AND(T173&gt;0,'_Engine'!C173&gt;0,MID('_Engine'!W173,WEEKDAY(T173,2),1)="W",COUNTIF(Settings!$F$18:$F$67,T173)=0),1,0),0)</ns0:f>
        <ns0:v>0</ns0:v>
      </ns0:c>
      <ns0:c r="AC173" s="0">
        <ns0:f>IF(AND(J173&gt;0,T173&gt;0,W173&lt;=X173),1,0)</ns0:f>
        <ns0:v>0</ns0:v>
      </ns0:c>
      <ns0:c r="AD173" s="0">
        <ns0:f>IF(AND(J173&gt;0,T173&gt;0,Y173&lt;=Z173),1,0)</ns0:f>
        <ns0:v>0</ns0:v>
      </ns0:c>
    </ns0:row>
    <ns0:row r="174">
      <ns0:c r="A174" s="0">
        <ns0:f>IFERROR(IF(ISNUMBER(Bookings!B174),"",TRIM(Bookings!B174&amp;"")),"")</ns0:f>
      </ns0:c>
      <ns0:c r="B174" s="0">
        <ns0:f>IFERROR(SUBSTITUTE(SUBSTITUTE(A174,"/","."),"-","."),"")</ns0:f>
      </ns0:c>
      <ns0:c r="C174" s="0">
        <ns0:f>IFERROR(LEFT(B174,FIND(".",B174)-1),"")</ns0:f>
      </ns0:c>
      <ns0:c r="D174" s="0">
        <ns0:f>IFERROR(MID(B174,FIND(".",B174)+1,FIND(".",B174,FIND(".",B174)+1)-FIND(".",B174)-1),"")</ns0:f>
      </ns0:c>
      <ns0:c r="E174" s="0">
        <ns0:f>IFERROR(MID(B174,FIND(".",B174,FIND(".",B174)+1)+1,99),"")</ns0:f>
        <ns0:v>99</ns0:v>
      </ns0:c>
      <ns0:c r="F174" s="0">
        <ns0:f>IFERROR(IF(FIND(".",B174)=5,--C174,--E174),0)</ns0:f>
        <ns0:v>0</ns0:v>
      </ns0:c>
      <ns0:c r="G174" s="0">
        <ns0:f>IFERROR(--D174,0)</ns0:f>
        <ns0:v>0</ns0:v>
      </ns0:c>
      <ns0:c r="H174" s="0">
        <ns0:f>IFERROR(IF(FIND(".",B174)=5,--E174,--C174),0)</ns0:f>
        <ns0:v>0</ns0:v>
      </ns0:c>
      <ns0:c r="I174" s="0">
        <ns0:f>IFERROR(IF(AND(F174&gt;=2000,F174&lt;=2100,G174&gt;=1,G174&lt;=12,H174&gt;=1,H174&lt;=31),DATE(F174,G174,H174),0),0)</ns0:f>
        <ns0:v>0</ns0:v>
      </ns0:c>
      <ns0:c r="J174" s="0">
        <ns0:f>IFERROR(IF(ISNUMBER(Bookings!B174),IF(AND(Bookings!B174=INT(Bookings!B174),Bookings!B174&gt;=DATE(2000,1,1),Bookings!B174&lt;=DATE(2100,12,31)),Bookings!B174,0),IF(AND(A174&lt;&gt;"",LEN("x"&amp;B174)-LEN(SUBSTITUTE("x"&amp;B174,".",""))=2,OR(1&gt;LEN(B174),MID(B174,1,1)=".",ISNUMBER(FIND("x"&amp;MID(B174,1,1),"x0x1x2x3x4x5x6x7x8x9"))),OR(2&gt;LEN(B174),MID(B174,2,1)=".",ISNUMBER(FIND("x"&amp;MID(B174,2,1),"x0x1x2x3x4x5x6x7x8x9"))),OR(3&gt;LEN(B174),MID(B174,3,1)=".",ISNUMBER(FIND("x"&amp;MID(B174,3,1),"x0x1x2x3x4x5x6x7x8x9"))),OR(4&gt;LEN(B174),MID(B174,4,1)=".",ISNUMBER(FIND("x"&amp;MID(B174,4,1),"x0x1x2x3x4x5x6x7x8x9"))),OR(5&gt;LEN(B174),MID(B174,5,1)=".",ISNUMBER(FIND("x"&amp;MID(B174,5,1),"x0x1x2x3x4x5x6x7x8x9"))),OR(6&gt;LEN(B174),MID(B174,6,1)=".",ISNUMBER(FIND("x"&amp;MID(B174,6,1),"x0x1x2x3x4x5x6x7x8x9"))),OR(7&gt;LEN(B174),MID(B174,7,1)=".",ISNUMBER(FIND("x"&amp;MID(B174,7,1),"x0x1x2x3x4x5x6x7x8x9"))),OR(8&gt;LEN(B174),MID(B174,8,1)=".",ISNUMBER(FIND("x"&amp;MID(B174,8,1),"x0x1x2x3x4x5x6x7x8x9"))),OR(9&gt;LEN(B174),MID(B174,9,1)=".",ISNUMBER(FIND("x"&amp;MID(B174,9,1),"x0x1x2x3x4x5x6x7x8x9"))),OR(10&gt;LEN(B174),MID(B174,10,1)=".",ISNUMBER(FIND("x"&amp;MID(B174,10,1),"x0x1x2x3x4x5x6x7x8x9"))),OR(AND(FIND(".",B174)=5,LEN(B174)-FIND(".",B174,FIND(".",B174)+1)&gt;=1,LEN(B174)-FIND(".",B174,FIND(".",B174)+1)&lt;=2),AND(LEN(B174)-FIND(".",B174,FIND(".",B174)+1)=4,FIND(".",B174)&gt;=2,FIND(".",B174)&lt;=3)),FIND(".",B174,FIND(".",B174)+1)-FIND(".",B174)&gt;=2,FIND(".",B174,FIND(".",B174)+1)-FIND(".",B174)&lt;=3,F174&gt;=2000,F174&lt;=2100,YEAR(I174)=F174,MONTH(I174)=G174,DAY(I174)=H174),I174,0)),0)</ns0:f>
        <ns0:v>0</ns0:v>
      </ns0:c>
      <ns0:c r="K174" s="0">
        <ns0:f>IFERROR(IF(ISNUMBER(Bookings!D174),"",TRIM(Bookings!D174&amp;"")),"")</ns0:f>
      </ns0:c>
      <ns0:c r="L174" s="0">
        <ns0:f>IFERROR(SUBSTITUTE(SUBSTITUTE(K174,"/","."),"-","."),"")</ns0:f>
      </ns0:c>
      <ns0:c r="M174" s="0">
        <ns0:f>IFERROR(LEFT(L174,FIND(".",L174)-1),"")</ns0:f>
      </ns0:c>
      <ns0:c r="N174" s="0">
        <ns0:f>IFERROR(MID(L174,FIND(".",L174)+1,FIND(".",L174,FIND(".",L174)+1)-FIND(".",L174)-1),"")</ns0:f>
      </ns0:c>
      <ns0:c r="O174" s="0">
        <ns0:f>IFERROR(MID(L174,FIND(".",L174,FIND(".",L174)+1)+1,99),"")</ns0:f>
        <ns0:v>99</ns0:v>
      </ns0:c>
      <ns0:c r="P174" s="0">
        <ns0:f>IFERROR(IF(FIND(".",L174)=5,--M174,--O174),0)</ns0:f>
        <ns0:v>0</ns0:v>
      </ns0:c>
      <ns0:c r="Q174" s="0">
        <ns0:f>IFERROR(--N174,0)</ns0:f>
        <ns0:v>0</ns0:v>
      </ns0:c>
      <ns0:c r="R174" s="0">
        <ns0:f>IFERROR(IF(FIND(".",L174)=5,--O174,--M174),0)</ns0:f>
        <ns0:v>0</ns0:v>
      </ns0:c>
      <ns0:c r="S174" s="0">
        <ns0:f>IFERROR(IF(AND(P174&gt;=2000,P174&lt;=2100,Q174&gt;=1,Q174&lt;=12,R174&gt;=1,R174&lt;=31),DATE(P174,Q174,R174),0),0)</ns0:f>
        <ns0:v>0</ns0:v>
      </ns0:c>
      <ns0:c r="T174" s="0">
        <ns0:f>IFERROR(IF(ISNUMBER(Bookings!D174),IF(AND(Bookings!D174=INT(Bookings!D174),Bookings!D174&gt;=DATE(2000,1,1),Bookings!D174&lt;=DATE(2100,12,31)),Bookings!D174,0),IF(AND(K174&lt;&gt;"",LEN("x"&amp;L174)-LEN(SUBSTITUTE("x"&amp;L174,".",""))=2,OR(1&gt;LEN(L174),MID(L174,1,1)=".",ISNUMBER(FIND("x"&amp;MID(L174,1,1),"x0x1x2x3x4x5x6x7x8x9"))),OR(2&gt;LEN(L174),MID(L174,2,1)=".",ISNUMBER(FIND("x"&amp;MID(L174,2,1),"x0x1x2x3x4x5x6x7x8x9"))),OR(3&gt;LEN(L174),MID(L174,3,1)=".",ISNUMBER(FIND("x"&amp;MID(L174,3,1),"x0x1x2x3x4x5x6x7x8x9"))),OR(4&gt;LEN(L174),MID(L174,4,1)=".",ISNUMBER(FIND("x"&amp;MID(L174,4,1),"x0x1x2x3x4x5x6x7x8x9"))),OR(5&gt;LEN(L174),MID(L174,5,1)=".",ISNUMBER(FIND("x"&amp;MID(L174,5,1),"x0x1x2x3x4x5x6x7x8x9"))),OR(6&gt;LEN(L174),MID(L174,6,1)=".",ISNUMBER(FIND("x"&amp;MID(L174,6,1),"x0x1x2x3x4x5x6x7x8x9"))),OR(7&gt;LEN(L174),MID(L174,7,1)=".",ISNUMBER(FIND("x"&amp;MID(L174,7,1),"x0x1x2x3x4x5x6x7x8x9"))),OR(8&gt;LEN(L174),MID(L174,8,1)=".",ISNUMBER(FIND("x"&amp;MID(L174,8,1),"x0x1x2x3x4x5x6x7x8x9"))),OR(9&gt;LEN(L174),MID(L174,9,1)=".",ISNUMBER(FIND("x"&amp;MID(L174,9,1),"x0x1x2x3x4x5x6x7x8x9"))),OR(10&gt;LEN(L174),MID(L174,10,1)=".",ISNUMBER(FIND("x"&amp;MID(L174,10,1),"x0x1x2x3x4x5x6x7x8x9"))),OR(AND(FIND(".",L174)=5,LEN(L174)-FIND(".",L174,FIND(".",L174)+1)&gt;=1,LEN(L174)-FIND(".",L174,FIND(".",L174)+1)&lt;=2),AND(LEN(L174)-FIND(".",L174,FIND(".",L174)+1)=4,FIND(".",L174)&gt;=2,FIND(".",L174)&lt;=3)),FIND(".",L174,FIND(".",L174)+1)-FIND(".",L174)&gt;=2,FIND(".",L174,FIND(".",L174)+1)-FIND(".",L174)&lt;=3,P174&gt;=2000,P174&lt;=2100,YEAR(S174)=P174,MONTH(S174)=Q174,DAY(S174)=R174),S174,0)),0)</ns0:f>
        <ns0:v>0</ns0:v>
      </ns0:c>
      <ns0:c r="U174" s="0" t="str">
        <ns0:f>IF(Bookings!C174="","Full day",Bookings!C174)</ns0:f>
        <ns0:v>Full day</ns0:v>
      </ns0:c>
      <ns0:c r="V174" s="0" t="str">
        <ns0:f>IF(Bookings!E174="","Full day",Bookings!E174)</ns0:f>
        <ns0:v>Full day</ns0:v>
      </ns0:c>
      <ns0:c r="W174" s="0">
        <ns0:f>IF(J174=0,0,J174+IF(U174="PM",1,0))</ns0:f>
        <ns0:v>0</ns0:v>
      </ns0:c>
      <ns0:c r="X174" s="0">
        <ns0:f>IF(T174=0,0,T174-IF(V174="PM",1,0))</ns0:f>
        <ns0:v>0</ns0:v>
      </ns0:c>
      <ns0:c r="Y174" s="0">
        <ns0:f>IF(J174=0,0,J174+IF(U174="AM",1,0))</ns0:f>
        <ns0:v>0</ns0:v>
      </ns0:c>
      <ns0:c r="Z174" s="0">
        <ns0:f>IF(T174=0,0,T174-IF(V174="AM",1,0))</ns0:f>
        <ns0:v>0</ns0:v>
      </ns0:c>
      <ns0:c r="AA174" s="0">
        <ns0:f>IFERROR(IF(AND(J174&gt;0,'_Engine'!C174&gt;0,MID('_Engine'!W174,WEEKDAY(J174,2),1)="W",COUNTIF(Settings!$F$18:$F$67,J174)=0),1,0),0)</ns0:f>
        <ns0:v>0</ns0:v>
      </ns0:c>
      <ns0:c r="AB174" s="0">
        <ns0:f>IFERROR(IF(AND(T174&gt;0,'_Engine'!C174&gt;0,MID('_Engine'!W174,WEEKDAY(T174,2),1)="W",COUNTIF(Settings!$F$18:$F$67,T174)=0),1,0),0)</ns0:f>
        <ns0:v>0</ns0:v>
      </ns0:c>
      <ns0:c r="AC174" s="0">
        <ns0:f>IF(AND(J174&gt;0,T174&gt;0,W174&lt;=X174),1,0)</ns0:f>
        <ns0:v>0</ns0:v>
      </ns0:c>
      <ns0:c r="AD174" s="0">
        <ns0:f>IF(AND(J174&gt;0,T174&gt;0,Y174&lt;=Z174),1,0)</ns0:f>
        <ns0:v>0</ns0:v>
      </ns0:c>
    </ns0:row>
    <ns0:row r="175">
      <ns0:c r="A175" s="0">
        <ns0:f>IFERROR(IF(ISNUMBER(Bookings!B175),"",TRIM(Bookings!B175&amp;"")),"")</ns0:f>
      </ns0:c>
      <ns0:c r="B175" s="0">
        <ns0:f>IFERROR(SUBSTITUTE(SUBSTITUTE(A175,"/","."),"-","."),"")</ns0:f>
      </ns0:c>
      <ns0:c r="C175" s="0">
        <ns0:f>IFERROR(LEFT(B175,FIND(".",B175)-1),"")</ns0:f>
      </ns0:c>
      <ns0:c r="D175" s="0">
        <ns0:f>IFERROR(MID(B175,FIND(".",B175)+1,FIND(".",B175,FIND(".",B175)+1)-FIND(".",B175)-1),"")</ns0:f>
      </ns0:c>
      <ns0:c r="E175" s="0">
        <ns0:f>IFERROR(MID(B175,FIND(".",B175,FIND(".",B175)+1)+1,99),"")</ns0:f>
        <ns0:v>99</ns0:v>
      </ns0:c>
      <ns0:c r="F175" s="0">
        <ns0:f>IFERROR(IF(FIND(".",B175)=5,--C175,--E175),0)</ns0:f>
        <ns0:v>0</ns0:v>
      </ns0:c>
      <ns0:c r="G175" s="0">
        <ns0:f>IFERROR(--D175,0)</ns0:f>
        <ns0:v>0</ns0:v>
      </ns0:c>
      <ns0:c r="H175" s="0">
        <ns0:f>IFERROR(IF(FIND(".",B175)=5,--E175,--C175),0)</ns0:f>
        <ns0:v>0</ns0:v>
      </ns0:c>
      <ns0:c r="I175" s="0">
        <ns0:f>IFERROR(IF(AND(F175&gt;=2000,F175&lt;=2100,G175&gt;=1,G175&lt;=12,H175&gt;=1,H175&lt;=31),DATE(F175,G175,H175),0),0)</ns0:f>
        <ns0:v>0</ns0:v>
      </ns0:c>
      <ns0:c r="J175" s="0">
        <ns0:f>IFERROR(IF(ISNUMBER(Bookings!B175),IF(AND(Bookings!B175=INT(Bookings!B175),Bookings!B175&gt;=DATE(2000,1,1),Bookings!B175&lt;=DATE(2100,12,31)),Bookings!B175,0),IF(AND(A175&lt;&gt;"",LEN("x"&amp;B175)-LEN(SUBSTITUTE("x"&amp;B175,".",""))=2,OR(1&gt;LEN(B175),MID(B175,1,1)=".",ISNUMBER(FIND("x"&amp;MID(B175,1,1),"x0x1x2x3x4x5x6x7x8x9"))),OR(2&gt;LEN(B175),MID(B175,2,1)=".",ISNUMBER(FIND("x"&amp;MID(B175,2,1),"x0x1x2x3x4x5x6x7x8x9"))),OR(3&gt;LEN(B175),MID(B175,3,1)=".",ISNUMBER(FIND("x"&amp;MID(B175,3,1),"x0x1x2x3x4x5x6x7x8x9"))),OR(4&gt;LEN(B175),MID(B175,4,1)=".",ISNUMBER(FIND("x"&amp;MID(B175,4,1),"x0x1x2x3x4x5x6x7x8x9"))),OR(5&gt;LEN(B175),MID(B175,5,1)=".",ISNUMBER(FIND("x"&amp;MID(B175,5,1),"x0x1x2x3x4x5x6x7x8x9"))),OR(6&gt;LEN(B175),MID(B175,6,1)=".",ISNUMBER(FIND("x"&amp;MID(B175,6,1),"x0x1x2x3x4x5x6x7x8x9"))),OR(7&gt;LEN(B175),MID(B175,7,1)=".",ISNUMBER(FIND("x"&amp;MID(B175,7,1),"x0x1x2x3x4x5x6x7x8x9"))),OR(8&gt;LEN(B175),MID(B175,8,1)=".",ISNUMBER(FIND("x"&amp;MID(B175,8,1),"x0x1x2x3x4x5x6x7x8x9"))),OR(9&gt;LEN(B175),MID(B175,9,1)=".",ISNUMBER(FIND("x"&amp;MID(B175,9,1),"x0x1x2x3x4x5x6x7x8x9"))),OR(10&gt;LEN(B175),MID(B175,10,1)=".",ISNUMBER(FIND("x"&amp;MID(B175,10,1),"x0x1x2x3x4x5x6x7x8x9"))),OR(AND(FIND(".",B175)=5,LEN(B175)-FIND(".",B175,FIND(".",B175)+1)&gt;=1,LEN(B175)-FIND(".",B175,FIND(".",B175)+1)&lt;=2),AND(LEN(B175)-FIND(".",B175,FIND(".",B175)+1)=4,FIND(".",B175)&gt;=2,FIND(".",B175)&lt;=3)),FIND(".",B175,FIND(".",B175)+1)-FIND(".",B175)&gt;=2,FIND(".",B175,FIND(".",B175)+1)-FIND(".",B175)&lt;=3,F175&gt;=2000,F175&lt;=2100,YEAR(I175)=F175,MONTH(I175)=G175,DAY(I175)=H175),I175,0)),0)</ns0:f>
        <ns0:v>0</ns0:v>
      </ns0:c>
      <ns0:c r="K175" s="0">
        <ns0:f>IFERROR(IF(ISNUMBER(Bookings!D175),"",TRIM(Bookings!D175&amp;"")),"")</ns0:f>
      </ns0:c>
      <ns0:c r="L175" s="0">
        <ns0:f>IFERROR(SUBSTITUTE(SUBSTITUTE(K175,"/","."),"-","."),"")</ns0:f>
      </ns0:c>
      <ns0:c r="M175" s="0">
        <ns0:f>IFERROR(LEFT(L175,FIND(".",L175)-1),"")</ns0:f>
      </ns0:c>
      <ns0:c r="N175" s="0">
        <ns0:f>IFERROR(MID(L175,FIND(".",L175)+1,FIND(".",L175,FIND(".",L175)+1)-FIND(".",L175)-1),"")</ns0:f>
      </ns0:c>
      <ns0:c r="O175" s="0">
        <ns0:f>IFERROR(MID(L175,FIND(".",L175,FIND(".",L175)+1)+1,99),"")</ns0:f>
        <ns0:v>99</ns0:v>
      </ns0:c>
      <ns0:c r="P175" s="0">
        <ns0:f>IFERROR(IF(FIND(".",L175)=5,--M175,--O175),0)</ns0:f>
        <ns0:v>0</ns0:v>
      </ns0:c>
      <ns0:c r="Q175" s="0">
        <ns0:f>IFERROR(--N175,0)</ns0:f>
        <ns0:v>0</ns0:v>
      </ns0:c>
      <ns0:c r="R175" s="0">
        <ns0:f>IFERROR(IF(FIND(".",L175)=5,--O175,--M175),0)</ns0:f>
        <ns0:v>0</ns0:v>
      </ns0:c>
      <ns0:c r="S175" s="0">
        <ns0:f>IFERROR(IF(AND(P175&gt;=2000,P175&lt;=2100,Q175&gt;=1,Q175&lt;=12,R175&gt;=1,R175&lt;=31),DATE(P175,Q175,R175),0),0)</ns0:f>
        <ns0:v>0</ns0:v>
      </ns0:c>
      <ns0:c r="T175" s="0">
        <ns0:f>IFERROR(IF(ISNUMBER(Bookings!D175),IF(AND(Bookings!D175=INT(Bookings!D175),Bookings!D175&gt;=DATE(2000,1,1),Bookings!D175&lt;=DATE(2100,12,31)),Bookings!D175,0),IF(AND(K175&lt;&gt;"",LEN("x"&amp;L175)-LEN(SUBSTITUTE("x"&amp;L175,".",""))=2,OR(1&gt;LEN(L175),MID(L175,1,1)=".",ISNUMBER(FIND("x"&amp;MID(L175,1,1),"x0x1x2x3x4x5x6x7x8x9"))),OR(2&gt;LEN(L175),MID(L175,2,1)=".",ISNUMBER(FIND("x"&amp;MID(L175,2,1),"x0x1x2x3x4x5x6x7x8x9"))),OR(3&gt;LEN(L175),MID(L175,3,1)=".",ISNUMBER(FIND("x"&amp;MID(L175,3,1),"x0x1x2x3x4x5x6x7x8x9"))),OR(4&gt;LEN(L175),MID(L175,4,1)=".",ISNUMBER(FIND("x"&amp;MID(L175,4,1),"x0x1x2x3x4x5x6x7x8x9"))),OR(5&gt;LEN(L175),MID(L175,5,1)=".",ISNUMBER(FIND("x"&amp;MID(L175,5,1),"x0x1x2x3x4x5x6x7x8x9"))),OR(6&gt;LEN(L175),MID(L175,6,1)=".",ISNUMBER(FIND("x"&amp;MID(L175,6,1),"x0x1x2x3x4x5x6x7x8x9"))),OR(7&gt;LEN(L175),MID(L175,7,1)=".",ISNUMBER(FIND("x"&amp;MID(L175,7,1),"x0x1x2x3x4x5x6x7x8x9"))),OR(8&gt;LEN(L175),MID(L175,8,1)=".",ISNUMBER(FIND("x"&amp;MID(L175,8,1),"x0x1x2x3x4x5x6x7x8x9"))),OR(9&gt;LEN(L175),MID(L175,9,1)=".",ISNUMBER(FIND("x"&amp;MID(L175,9,1),"x0x1x2x3x4x5x6x7x8x9"))),OR(10&gt;LEN(L175),MID(L175,10,1)=".",ISNUMBER(FIND("x"&amp;MID(L175,10,1),"x0x1x2x3x4x5x6x7x8x9"))),OR(AND(FIND(".",L175)=5,LEN(L175)-FIND(".",L175,FIND(".",L175)+1)&gt;=1,LEN(L175)-FIND(".",L175,FIND(".",L175)+1)&lt;=2),AND(LEN(L175)-FIND(".",L175,FIND(".",L175)+1)=4,FIND(".",L175)&gt;=2,FIND(".",L175)&lt;=3)),FIND(".",L175,FIND(".",L175)+1)-FIND(".",L175)&gt;=2,FIND(".",L175,FIND(".",L175)+1)-FIND(".",L175)&lt;=3,P175&gt;=2000,P175&lt;=2100,YEAR(S175)=P175,MONTH(S175)=Q175,DAY(S175)=R175),S175,0)),0)</ns0:f>
        <ns0:v>0</ns0:v>
      </ns0:c>
      <ns0:c r="U175" s="0" t="str">
        <ns0:f>IF(Bookings!C175="","Full day",Bookings!C175)</ns0:f>
        <ns0:v>Full day</ns0:v>
      </ns0:c>
      <ns0:c r="V175" s="0" t="str">
        <ns0:f>IF(Bookings!E175="","Full day",Bookings!E175)</ns0:f>
        <ns0:v>Full day</ns0:v>
      </ns0:c>
      <ns0:c r="W175" s="0">
        <ns0:f>IF(J175=0,0,J175+IF(U175="PM",1,0))</ns0:f>
        <ns0:v>0</ns0:v>
      </ns0:c>
      <ns0:c r="X175" s="0">
        <ns0:f>IF(T175=0,0,T175-IF(V175="PM",1,0))</ns0:f>
        <ns0:v>0</ns0:v>
      </ns0:c>
      <ns0:c r="Y175" s="0">
        <ns0:f>IF(J175=0,0,J175+IF(U175="AM",1,0))</ns0:f>
        <ns0:v>0</ns0:v>
      </ns0:c>
      <ns0:c r="Z175" s="0">
        <ns0:f>IF(T175=0,0,T175-IF(V175="AM",1,0))</ns0:f>
        <ns0:v>0</ns0:v>
      </ns0:c>
      <ns0:c r="AA175" s="0">
        <ns0:f>IFERROR(IF(AND(J175&gt;0,'_Engine'!C175&gt;0,MID('_Engine'!W175,WEEKDAY(J175,2),1)="W",COUNTIF(Settings!$F$18:$F$67,J175)=0),1,0),0)</ns0:f>
        <ns0:v>0</ns0:v>
      </ns0:c>
      <ns0:c r="AB175" s="0">
        <ns0:f>IFERROR(IF(AND(T175&gt;0,'_Engine'!C175&gt;0,MID('_Engine'!W175,WEEKDAY(T175,2),1)="W",COUNTIF(Settings!$F$18:$F$67,T175)=0),1,0),0)</ns0:f>
        <ns0:v>0</ns0:v>
      </ns0:c>
      <ns0:c r="AC175" s="0">
        <ns0:f>IF(AND(J175&gt;0,T175&gt;0,W175&lt;=X175),1,0)</ns0:f>
        <ns0:v>0</ns0:v>
      </ns0:c>
      <ns0:c r="AD175" s="0">
        <ns0:f>IF(AND(J175&gt;0,T175&gt;0,Y175&lt;=Z175),1,0)</ns0:f>
        <ns0:v>0</ns0:v>
      </ns0:c>
    </ns0:row>
    <ns0:row r="176">
      <ns0:c r="A176" s="0">
        <ns0:f>IFERROR(IF(ISNUMBER(Bookings!B176),"",TRIM(Bookings!B176&amp;"")),"")</ns0:f>
      </ns0:c>
      <ns0:c r="B176" s="0">
        <ns0:f>IFERROR(SUBSTITUTE(SUBSTITUTE(A176,"/","."),"-","."),"")</ns0:f>
      </ns0:c>
      <ns0:c r="C176" s="0">
        <ns0:f>IFERROR(LEFT(B176,FIND(".",B176)-1),"")</ns0:f>
      </ns0:c>
      <ns0:c r="D176" s="0">
        <ns0:f>IFERROR(MID(B176,FIND(".",B176)+1,FIND(".",B176,FIND(".",B176)+1)-FIND(".",B176)-1),"")</ns0:f>
      </ns0:c>
      <ns0:c r="E176" s="0">
        <ns0:f>IFERROR(MID(B176,FIND(".",B176,FIND(".",B176)+1)+1,99),"")</ns0:f>
        <ns0:v>99</ns0:v>
      </ns0:c>
      <ns0:c r="F176" s="0">
        <ns0:f>IFERROR(IF(FIND(".",B176)=5,--C176,--E176),0)</ns0:f>
        <ns0:v>0</ns0:v>
      </ns0:c>
      <ns0:c r="G176" s="0">
        <ns0:f>IFERROR(--D176,0)</ns0:f>
        <ns0:v>0</ns0:v>
      </ns0:c>
      <ns0:c r="H176" s="0">
        <ns0:f>IFERROR(IF(FIND(".",B176)=5,--E176,--C176),0)</ns0:f>
        <ns0:v>0</ns0:v>
      </ns0:c>
      <ns0:c r="I176" s="0">
        <ns0:f>IFERROR(IF(AND(F176&gt;=2000,F176&lt;=2100,G176&gt;=1,G176&lt;=12,H176&gt;=1,H176&lt;=31),DATE(F176,G176,H176),0),0)</ns0:f>
        <ns0:v>0</ns0:v>
      </ns0:c>
      <ns0:c r="J176" s="0">
        <ns0:f>IFERROR(IF(ISNUMBER(Bookings!B176),IF(AND(Bookings!B176=INT(Bookings!B176),Bookings!B176&gt;=DATE(2000,1,1),Bookings!B176&lt;=DATE(2100,12,31)),Bookings!B176,0),IF(AND(A176&lt;&gt;"",LEN("x"&amp;B176)-LEN(SUBSTITUTE("x"&amp;B176,".",""))=2,OR(1&gt;LEN(B176),MID(B176,1,1)=".",ISNUMBER(FIND("x"&amp;MID(B176,1,1),"x0x1x2x3x4x5x6x7x8x9"))),OR(2&gt;LEN(B176),MID(B176,2,1)=".",ISNUMBER(FIND("x"&amp;MID(B176,2,1),"x0x1x2x3x4x5x6x7x8x9"))),OR(3&gt;LEN(B176),MID(B176,3,1)=".",ISNUMBER(FIND("x"&amp;MID(B176,3,1),"x0x1x2x3x4x5x6x7x8x9"))),OR(4&gt;LEN(B176),MID(B176,4,1)=".",ISNUMBER(FIND("x"&amp;MID(B176,4,1),"x0x1x2x3x4x5x6x7x8x9"))),OR(5&gt;LEN(B176),MID(B176,5,1)=".",ISNUMBER(FIND("x"&amp;MID(B176,5,1),"x0x1x2x3x4x5x6x7x8x9"))),OR(6&gt;LEN(B176),MID(B176,6,1)=".",ISNUMBER(FIND("x"&amp;MID(B176,6,1),"x0x1x2x3x4x5x6x7x8x9"))),OR(7&gt;LEN(B176),MID(B176,7,1)=".",ISNUMBER(FIND("x"&amp;MID(B176,7,1),"x0x1x2x3x4x5x6x7x8x9"))),OR(8&gt;LEN(B176),MID(B176,8,1)=".",ISNUMBER(FIND("x"&amp;MID(B176,8,1),"x0x1x2x3x4x5x6x7x8x9"))),OR(9&gt;LEN(B176),MID(B176,9,1)=".",ISNUMBER(FIND("x"&amp;MID(B176,9,1),"x0x1x2x3x4x5x6x7x8x9"))),OR(10&gt;LEN(B176),MID(B176,10,1)=".",ISNUMBER(FIND("x"&amp;MID(B176,10,1),"x0x1x2x3x4x5x6x7x8x9"))),OR(AND(FIND(".",B176)=5,LEN(B176)-FIND(".",B176,FIND(".",B176)+1)&gt;=1,LEN(B176)-FIND(".",B176,FIND(".",B176)+1)&lt;=2),AND(LEN(B176)-FIND(".",B176,FIND(".",B176)+1)=4,FIND(".",B176)&gt;=2,FIND(".",B176)&lt;=3)),FIND(".",B176,FIND(".",B176)+1)-FIND(".",B176)&gt;=2,FIND(".",B176,FIND(".",B176)+1)-FIND(".",B176)&lt;=3,F176&gt;=2000,F176&lt;=2100,YEAR(I176)=F176,MONTH(I176)=G176,DAY(I176)=H176),I176,0)),0)</ns0:f>
        <ns0:v>0</ns0:v>
      </ns0:c>
      <ns0:c r="K176" s="0">
        <ns0:f>IFERROR(IF(ISNUMBER(Bookings!D176),"",TRIM(Bookings!D176&amp;"")),"")</ns0:f>
      </ns0:c>
      <ns0:c r="L176" s="0">
        <ns0:f>IFERROR(SUBSTITUTE(SUBSTITUTE(K176,"/","."),"-","."),"")</ns0:f>
      </ns0:c>
      <ns0:c r="M176" s="0">
        <ns0:f>IFERROR(LEFT(L176,FIND(".",L176)-1),"")</ns0:f>
      </ns0:c>
      <ns0:c r="N176" s="0">
        <ns0:f>IFERROR(MID(L176,FIND(".",L176)+1,FIND(".",L176,FIND(".",L176)+1)-FIND(".",L176)-1),"")</ns0:f>
      </ns0:c>
      <ns0:c r="O176" s="0">
        <ns0:f>IFERROR(MID(L176,FIND(".",L176,FIND(".",L176)+1)+1,99),"")</ns0:f>
        <ns0:v>99</ns0:v>
      </ns0:c>
      <ns0:c r="P176" s="0">
        <ns0:f>IFERROR(IF(FIND(".",L176)=5,--M176,--O176),0)</ns0:f>
        <ns0:v>0</ns0:v>
      </ns0:c>
      <ns0:c r="Q176" s="0">
        <ns0:f>IFERROR(--N176,0)</ns0:f>
        <ns0:v>0</ns0:v>
      </ns0:c>
      <ns0:c r="R176" s="0">
        <ns0:f>IFERROR(IF(FIND(".",L176)=5,--O176,--M176),0)</ns0:f>
        <ns0:v>0</ns0:v>
      </ns0:c>
      <ns0:c r="S176" s="0">
        <ns0:f>IFERROR(IF(AND(P176&gt;=2000,P176&lt;=2100,Q176&gt;=1,Q176&lt;=12,R176&gt;=1,R176&lt;=31),DATE(P176,Q176,R176),0),0)</ns0:f>
        <ns0:v>0</ns0:v>
      </ns0:c>
      <ns0:c r="T176" s="0">
        <ns0:f>IFERROR(IF(ISNUMBER(Bookings!D176),IF(AND(Bookings!D176=INT(Bookings!D176),Bookings!D176&gt;=DATE(2000,1,1),Bookings!D176&lt;=DATE(2100,12,31)),Bookings!D176,0),IF(AND(K176&lt;&gt;"",LEN("x"&amp;L176)-LEN(SUBSTITUTE("x"&amp;L176,".",""))=2,OR(1&gt;LEN(L176),MID(L176,1,1)=".",ISNUMBER(FIND("x"&amp;MID(L176,1,1),"x0x1x2x3x4x5x6x7x8x9"))),OR(2&gt;LEN(L176),MID(L176,2,1)=".",ISNUMBER(FIND("x"&amp;MID(L176,2,1),"x0x1x2x3x4x5x6x7x8x9"))),OR(3&gt;LEN(L176),MID(L176,3,1)=".",ISNUMBER(FIND("x"&amp;MID(L176,3,1),"x0x1x2x3x4x5x6x7x8x9"))),OR(4&gt;LEN(L176),MID(L176,4,1)=".",ISNUMBER(FIND("x"&amp;MID(L176,4,1),"x0x1x2x3x4x5x6x7x8x9"))),OR(5&gt;LEN(L176),MID(L176,5,1)=".",ISNUMBER(FIND("x"&amp;MID(L176,5,1),"x0x1x2x3x4x5x6x7x8x9"))),OR(6&gt;LEN(L176),MID(L176,6,1)=".",ISNUMBER(FIND("x"&amp;MID(L176,6,1),"x0x1x2x3x4x5x6x7x8x9"))),OR(7&gt;LEN(L176),MID(L176,7,1)=".",ISNUMBER(FIND("x"&amp;MID(L176,7,1),"x0x1x2x3x4x5x6x7x8x9"))),OR(8&gt;LEN(L176),MID(L176,8,1)=".",ISNUMBER(FIND("x"&amp;MID(L176,8,1),"x0x1x2x3x4x5x6x7x8x9"))),OR(9&gt;LEN(L176),MID(L176,9,1)=".",ISNUMBER(FIND("x"&amp;MID(L176,9,1),"x0x1x2x3x4x5x6x7x8x9"))),OR(10&gt;LEN(L176),MID(L176,10,1)=".",ISNUMBER(FIND("x"&amp;MID(L176,10,1),"x0x1x2x3x4x5x6x7x8x9"))),OR(AND(FIND(".",L176)=5,LEN(L176)-FIND(".",L176,FIND(".",L176)+1)&gt;=1,LEN(L176)-FIND(".",L176,FIND(".",L176)+1)&lt;=2),AND(LEN(L176)-FIND(".",L176,FIND(".",L176)+1)=4,FIND(".",L176)&gt;=2,FIND(".",L176)&lt;=3)),FIND(".",L176,FIND(".",L176)+1)-FIND(".",L176)&gt;=2,FIND(".",L176,FIND(".",L176)+1)-FIND(".",L176)&lt;=3,P176&gt;=2000,P176&lt;=2100,YEAR(S176)=P176,MONTH(S176)=Q176,DAY(S176)=R176),S176,0)),0)</ns0:f>
        <ns0:v>0</ns0:v>
      </ns0:c>
      <ns0:c r="U176" s="0" t="str">
        <ns0:f>IF(Bookings!C176="","Full day",Bookings!C176)</ns0:f>
        <ns0:v>Full day</ns0:v>
      </ns0:c>
      <ns0:c r="V176" s="0" t="str">
        <ns0:f>IF(Bookings!E176="","Full day",Bookings!E176)</ns0:f>
        <ns0:v>Full day</ns0:v>
      </ns0:c>
      <ns0:c r="W176" s="0">
        <ns0:f>IF(J176=0,0,J176+IF(U176="PM",1,0))</ns0:f>
        <ns0:v>0</ns0:v>
      </ns0:c>
      <ns0:c r="X176" s="0">
        <ns0:f>IF(T176=0,0,T176-IF(V176="PM",1,0))</ns0:f>
        <ns0:v>0</ns0:v>
      </ns0:c>
      <ns0:c r="Y176" s="0">
        <ns0:f>IF(J176=0,0,J176+IF(U176="AM",1,0))</ns0:f>
        <ns0:v>0</ns0:v>
      </ns0:c>
      <ns0:c r="Z176" s="0">
        <ns0:f>IF(T176=0,0,T176-IF(V176="AM",1,0))</ns0:f>
        <ns0:v>0</ns0:v>
      </ns0:c>
      <ns0:c r="AA176" s="0">
        <ns0:f>IFERROR(IF(AND(J176&gt;0,'_Engine'!C176&gt;0,MID('_Engine'!W176,WEEKDAY(J176,2),1)="W",COUNTIF(Settings!$F$18:$F$67,J176)=0),1,0),0)</ns0:f>
        <ns0:v>0</ns0:v>
      </ns0:c>
      <ns0:c r="AB176" s="0">
        <ns0:f>IFERROR(IF(AND(T176&gt;0,'_Engine'!C176&gt;0,MID('_Engine'!W176,WEEKDAY(T176,2),1)="W",COUNTIF(Settings!$F$18:$F$67,T176)=0),1,0),0)</ns0:f>
        <ns0:v>0</ns0:v>
      </ns0:c>
      <ns0:c r="AC176" s="0">
        <ns0:f>IF(AND(J176&gt;0,T176&gt;0,W176&lt;=X176),1,0)</ns0:f>
        <ns0:v>0</ns0:v>
      </ns0:c>
      <ns0:c r="AD176" s="0">
        <ns0:f>IF(AND(J176&gt;0,T176&gt;0,Y176&lt;=Z176),1,0)</ns0:f>
        <ns0:v>0</ns0:v>
      </ns0:c>
    </ns0:row>
    <ns0:row r="177">
      <ns0:c r="A177" s="0">
        <ns0:f>IFERROR(IF(ISNUMBER(Bookings!B177),"",TRIM(Bookings!B177&amp;"")),"")</ns0:f>
      </ns0:c>
      <ns0:c r="B177" s="0">
        <ns0:f>IFERROR(SUBSTITUTE(SUBSTITUTE(A177,"/","."),"-","."),"")</ns0:f>
      </ns0:c>
      <ns0:c r="C177" s="0">
        <ns0:f>IFERROR(LEFT(B177,FIND(".",B177)-1),"")</ns0:f>
      </ns0:c>
      <ns0:c r="D177" s="0">
        <ns0:f>IFERROR(MID(B177,FIND(".",B177)+1,FIND(".",B177,FIND(".",B177)+1)-FIND(".",B177)-1),"")</ns0:f>
      </ns0:c>
      <ns0:c r="E177" s="0">
        <ns0:f>IFERROR(MID(B177,FIND(".",B177,FIND(".",B177)+1)+1,99),"")</ns0:f>
        <ns0:v>99</ns0:v>
      </ns0:c>
      <ns0:c r="F177" s="0">
        <ns0:f>IFERROR(IF(FIND(".",B177)=5,--C177,--E177),0)</ns0:f>
        <ns0:v>0</ns0:v>
      </ns0:c>
      <ns0:c r="G177" s="0">
        <ns0:f>IFERROR(--D177,0)</ns0:f>
        <ns0:v>0</ns0:v>
      </ns0:c>
      <ns0:c r="H177" s="0">
        <ns0:f>IFERROR(IF(FIND(".",B177)=5,--E177,--C177),0)</ns0:f>
        <ns0:v>0</ns0:v>
      </ns0:c>
      <ns0:c r="I177" s="0">
        <ns0:f>IFERROR(IF(AND(F177&gt;=2000,F177&lt;=2100,G177&gt;=1,G177&lt;=12,H177&gt;=1,H177&lt;=31),DATE(F177,G177,H177),0),0)</ns0:f>
        <ns0:v>0</ns0:v>
      </ns0:c>
      <ns0:c r="J177" s="0">
        <ns0:f>IFERROR(IF(ISNUMBER(Bookings!B177),IF(AND(Bookings!B177=INT(Bookings!B177),Bookings!B177&gt;=DATE(2000,1,1),Bookings!B177&lt;=DATE(2100,12,31)),Bookings!B177,0),IF(AND(A177&lt;&gt;"",LEN("x"&amp;B177)-LEN(SUBSTITUTE("x"&amp;B177,".",""))=2,OR(1&gt;LEN(B177),MID(B177,1,1)=".",ISNUMBER(FIND("x"&amp;MID(B177,1,1),"x0x1x2x3x4x5x6x7x8x9"))),OR(2&gt;LEN(B177),MID(B177,2,1)=".",ISNUMBER(FIND("x"&amp;MID(B177,2,1),"x0x1x2x3x4x5x6x7x8x9"))),OR(3&gt;LEN(B177),MID(B177,3,1)=".",ISNUMBER(FIND("x"&amp;MID(B177,3,1),"x0x1x2x3x4x5x6x7x8x9"))),OR(4&gt;LEN(B177),MID(B177,4,1)=".",ISNUMBER(FIND("x"&amp;MID(B177,4,1),"x0x1x2x3x4x5x6x7x8x9"))),OR(5&gt;LEN(B177),MID(B177,5,1)=".",ISNUMBER(FIND("x"&amp;MID(B177,5,1),"x0x1x2x3x4x5x6x7x8x9"))),OR(6&gt;LEN(B177),MID(B177,6,1)=".",ISNUMBER(FIND("x"&amp;MID(B177,6,1),"x0x1x2x3x4x5x6x7x8x9"))),OR(7&gt;LEN(B177),MID(B177,7,1)=".",ISNUMBER(FIND("x"&amp;MID(B177,7,1),"x0x1x2x3x4x5x6x7x8x9"))),OR(8&gt;LEN(B177),MID(B177,8,1)=".",ISNUMBER(FIND("x"&amp;MID(B177,8,1),"x0x1x2x3x4x5x6x7x8x9"))),OR(9&gt;LEN(B177),MID(B177,9,1)=".",ISNUMBER(FIND("x"&amp;MID(B177,9,1),"x0x1x2x3x4x5x6x7x8x9"))),OR(10&gt;LEN(B177),MID(B177,10,1)=".",ISNUMBER(FIND("x"&amp;MID(B177,10,1),"x0x1x2x3x4x5x6x7x8x9"))),OR(AND(FIND(".",B177)=5,LEN(B177)-FIND(".",B177,FIND(".",B177)+1)&gt;=1,LEN(B177)-FIND(".",B177,FIND(".",B177)+1)&lt;=2),AND(LEN(B177)-FIND(".",B177,FIND(".",B177)+1)=4,FIND(".",B177)&gt;=2,FIND(".",B177)&lt;=3)),FIND(".",B177,FIND(".",B177)+1)-FIND(".",B177)&gt;=2,FIND(".",B177,FIND(".",B177)+1)-FIND(".",B177)&lt;=3,F177&gt;=2000,F177&lt;=2100,YEAR(I177)=F177,MONTH(I177)=G177,DAY(I177)=H177),I177,0)),0)</ns0:f>
        <ns0:v>0</ns0:v>
      </ns0:c>
      <ns0:c r="K177" s="0">
        <ns0:f>IFERROR(IF(ISNUMBER(Bookings!D177),"",TRIM(Bookings!D177&amp;"")),"")</ns0:f>
      </ns0:c>
      <ns0:c r="L177" s="0">
        <ns0:f>IFERROR(SUBSTITUTE(SUBSTITUTE(K177,"/","."),"-","."),"")</ns0:f>
      </ns0:c>
      <ns0:c r="M177" s="0">
        <ns0:f>IFERROR(LEFT(L177,FIND(".",L177)-1),"")</ns0:f>
      </ns0:c>
      <ns0:c r="N177" s="0">
        <ns0:f>IFERROR(MID(L177,FIND(".",L177)+1,FIND(".",L177,FIND(".",L177)+1)-FIND(".",L177)-1),"")</ns0:f>
      </ns0:c>
      <ns0:c r="O177" s="0">
        <ns0:f>IFERROR(MID(L177,FIND(".",L177,FIND(".",L177)+1)+1,99),"")</ns0:f>
        <ns0:v>99</ns0:v>
      </ns0:c>
      <ns0:c r="P177" s="0">
        <ns0:f>IFERROR(IF(FIND(".",L177)=5,--M177,--O177),0)</ns0:f>
        <ns0:v>0</ns0:v>
      </ns0:c>
      <ns0:c r="Q177" s="0">
        <ns0:f>IFERROR(--N177,0)</ns0:f>
        <ns0:v>0</ns0:v>
      </ns0:c>
      <ns0:c r="R177" s="0">
        <ns0:f>IFERROR(IF(FIND(".",L177)=5,--O177,--M177),0)</ns0:f>
        <ns0:v>0</ns0:v>
      </ns0:c>
      <ns0:c r="S177" s="0">
        <ns0:f>IFERROR(IF(AND(P177&gt;=2000,P177&lt;=2100,Q177&gt;=1,Q177&lt;=12,R177&gt;=1,R177&lt;=31),DATE(P177,Q177,R177),0),0)</ns0:f>
        <ns0:v>0</ns0:v>
      </ns0:c>
      <ns0:c r="T177" s="0">
        <ns0:f>IFERROR(IF(ISNUMBER(Bookings!D177),IF(AND(Bookings!D177=INT(Bookings!D177),Bookings!D177&gt;=DATE(2000,1,1),Bookings!D177&lt;=DATE(2100,12,31)),Bookings!D177,0),IF(AND(K177&lt;&gt;"",LEN("x"&amp;L177)-LEN(SUBSTITUTE("x"&amp;L177,".",""))=2,OR(1&gt;LEN(L177),MID(L177,1,1)=".",ISNUMBER(FIND("x"&amp;MID(L177,1,1),"x0x1x2x3x4x5x6x7x8x9"))),OR(2&gt;LEN(L177),MID(L177,2,1)=".",ISNUMBER(FIND("x"&amp;MID(L177,2,1),"x0x1x2x3x4x5x6x7x8x9"))),OR(3&gt;LEN(L177),MID(L177,3,1)=".",ISNUMBER(FIND("x"&amp;MID(L177,3,1),"x0x1x2x3x4x5x6x7x8x9"))),OR(4&gt;LEN(L177),MID(L177,4,1)=".",ISNUMBER(FIND("x"&amp;MID(L177,4,1),"x0x1x2x3x4x5x6x7x8x9"))),OR(5&gt;LEN(L177),MID(L177,5,1)=".",ISNUMBER(FIND("x"&amp;MID(L177,5,1),"x0x1x2x3x4x5x6x7x8x9"))),OR(6&gt;LEN(L177),MID(L177,6,1)=".",ISNUMBER(FIND("x"&amp;MID(L177,6,1),"x0x1x2x3x4x5x6x7x8x9"))),OR(7&gt;LEN(L177),MID(L177,7,1)=".",ISNUMBER(FIND("x"&amp;MID(L177,7,1),"x0x1x2x3x4x5x6x7x8x9"))),OR(8&gt;LEN(L177),MID(L177,8,1)=".",ISNUMBER(FIND("x"&amp;MID(L177,8,1),"x0x1x2x3x4x5x6x7x8x9"))),OR(9&gt;LEN(L177),MID(L177,9,1)=".",ISNUMBER(FIND("x"&amp;MID(L177,9,1),"x0x1x2x3x4x5x6x7x8x9"))),OR(10&gt;LEN(L177),MID(L177,10,1)=".",ISNUMBER(FIND("x"&amp;MID(L177,10,1),"x0x1x2x3x4x5x6x7x8x9"))),OR(AND(FIND(".",L177)=5,LEN(L177)-FIND(".",L177,FIND(".",L177)+1)&gt;=1,LEN(L177)-FIND(".",L177,FIND(".",L177)+1)&lt;=2),AND(LEN(L177)-FIND(".",L177,FIND(".",L177)+1)=4,FIND(".",L177)&gt;=2,FIND(".",L177)&lt;=3)),FIND(".",L177,FIND(".",L177)+1)-FIND(".",L177)&gt;=2,FIND(".",L177,FIND(".",L177)+1)-FIND(".",L177)&lt;=3,P177&gt;=2000,P177&lt;=2100,YEAR(S177)=P177,MONTH(S177)=Q177,DAY(S177)=R177),S177,0)),0)</ns0:f>
        <ns0:v>0</ns0:v>
      </ns0:c>
      <ns0:c r="U177" s="0" t="str">
        <ns0:f>IF(Bookings!C177="","Full day",Bookings!C177)</ns0:f>
        <ns0:v>Full day</ns0:v>
      </ns0:c>
      <ns0:c r="V177" s="0" t="str">
        <ns0:f>IF(Bookings!E177="","Full day",Bookings!E177)</ns0:f>
        <ns0:v>Full day</ns0:v>
      </ns0:c>
      <ns0:c r="W177" s="0">
        <ns0:f>IF(J177=0,0,J177+IF(U177="PM",1,0))</ns0:f>
        <ns0:v>0</ns0:v>
      </ns0:c>
      <ns0:c r="X177" s="0">
        <ns0:f>IF(T177=0,0,T177-IF(V177="PM",1,0))</ns0:f>
        <ns0:v>0</ns0:v>
      </ns0:c>
      <ns0:c r="Y177" s="0">
        <ns0:f>IF(J177=0,0,J177+IF(U177="AM",1,0))</ns0:f>
        <ns0:v>0</ns0:v>
      </ns0:c>
      <ns0:c r="Z177" s="0">
        <ns0:f>IF(T177=0,0,T177-IF(V177="AM",1,0))</ns0:f>
        <ns0:v>0</ns0:v>
      </ns0:c>
      <ns0:c r="AA177" s="0">
        <ns0:f>IFERROR(IF(AND(J177&gt;0,'_Engine'!C177&gt;0,MID('_Engine'!W177,WEEKDAY(J177,2),1)="W",COUNTIF(Settings!$F$18:$F$67,J177)=0),1,0),0)</ns0:f>
        <ns0:v>0</ns0:v>
      </ns0:c>
      <ns0:c r="AB177" s="0">
        <ns0:f>IFERROR(IF(AND(T177&gt;0,'_Engine'!C177&gt;0,MID('_Engine'!W177,WEEKDAY(T177,2),1)="W",COUNTIF(Settings!$F$18:$F$67,T177)=0),1,0),0)</ns0:f>
        <ns0:v>0</ns0:v>
      </ns0:c>
      <ns0:c r="AC177" s="0">
        <ns0:f>IF(AND(J177&gt;0,T177&gt;0,W177&lt;=X177),1,0)</ns0:f>
        <ns0:v>0</ns0:v>
      </ns0:c>
      <ns0:c r="AD177" s="0">
        <ns0:f>IF(AND(J177&gt;0,T177&gt;0,Y177&lt;=Z177),1,0)</ns0:f>
        <ns0:v>0</ns0:v>
      </ns0:c>
    </ns0:row>
    <ns0:row r="178">
      <ns0:c r="A178" s="0">
        <ns0:f>IFERROR(IF(ISNUMBER(Bookings!B178),"",TRIM(Bookings!B178&amp;"")),"")</ns0:f>
      </ns0:c>
      <ns0:c r="B178" s="0">
        <ns0:f>IFERROR(SUBSTITUTE(SUBSTITUTE(A178,"/","."),"-","."),"")</ns0:f>
      </ns0:c>
      <ns0:c r="C178" s="0">
        <ns0:f>IFERROR(LEFT(B178,FIND(".",B178)-1),"")</ns0:f>
      </ns0:c>
      <ns0:c r="D178" s="0">
        <ns0:f>IFERROR(MID(B178,FIND(".",B178)+1,FIND(".",B178,FIND(".",B178)+1)-FIND(".",B178)-1),"")</ns0:f>
      </ns0:c>
      <ns0:c r="E178" s="0">
        <ns0:f>IFERROR(MID(B178,FIND(".",B178,FIND(".",B178)+1)+1,99),"")</ns0:f>
        <ns0:v>99</ns0:v>
      </ns0:c>
      <ns0:c r="F178" s="0">
        <ns0:f>IFERROR(IF(FIND(".",B178)=5,--C178,--E178),0)</ns0:f>
        <ns0:v>0</ns0:v>
      </ns0:c>
      <ns0:c r="G178" s="0">
        <ns0:f>IFERROR(--D178,0)</ns0:f>
        <ns0:v>0</ns0:v>
      </ns0:c>
      <ns0:c r="H178" s="0">
        <ns0:f>IFERROR(IF(FIND(".",B178)=5,--E178,--C178),0)</ns0:f>
        <ns0:v>0</ns0:v>
      </ns0:c>
      <ns0:c r="I178" s="0">
        <ns0:f>IFERROR(IF(AND(F178&gt;=2000,F178&lt;=2100,G178&gt;=1,G178&lt;=12,H178&gt;=1,H178&lt;=31),DATE(F178,G178,H178),0),0)</ns0:f>
        <ns0:v>0</ns0:v>
      </ns0:c>
      <ns0:c r="J178" s="0">
        <ns0:f>IFERROR(IF(ISNUMBER(Bookings!B178),IF(AND(Bookings!B178=INT(Bookings!B178),Bookings!B178&gt;=DATE(2000,1,1),Bookings!B178&lt;=DATE(2100,12,31)),Bookings!B178,0),IF(AND(A178&lt;&gt;"",LEN("x"&amp;B178)-LEN(SUBSTITUTE("x"&amp;B178,".",""))=2,OR(1&gt;LEN(B178),MID(B178,1,1)=".",ISNUMBER(FIND("x"&amp;MID(B178,1,1),"x0x1x2x3x4x5x6x7x8x9"))),OR(2&gt;LEN(B178),MID(B178,2,1)=".",ISNUMBER(FIND("x"&amp;MID(B178,2,1),"x0x1x2x3x4x5x6x7x8x9"))),OR(3&gt;LEN(B178),MID(B178,3,1)=".",ISNUMBER(FIND("x"&amp;MID(B178,3,1),"x0x1x2x3x4x5x6x7x8x9"))),OR(4&gt;LEN(B178),MID(B178,4,1)=".",ISNUMBER(FIND("x"&amp;MID(B178,4,1),"x0x1x2x3x4x5x6x7x8x9"))),OR(5&gt;LEN(B178),MID(B178,5,1)=".",ISNUMBER(FIND("x"&amp;MID(B178,5,1),"x0x1x2x3x4x5x6x7x8x9"))),OR(6&gt;LEN(B178),MID(B178,6,1)=".",ISNUMBER(FIND("x"&amp;MID(B178,6,1),"x0x1x2x3x4x5x6x7x8x9"))),OR(7&gt;LEN(B178),MID(B178,7,1)=".",ISNUMBER(FIND("x"&amp;MID(B178,7,1),"x0x1x2x3x4x5x6x7x8x9"))),OR(8&gt;LEN(B178),MID(B178,8,1)=".",ISNUMBER(FIND("x"&amp;MID(B178,8,1),"x0x1x2x3x4x5x6x7x8x9"))),OR(9&gt;LEN(B178),MID(B178,9,1)=".",ISNUMBER(FIND("x"&amp;MID(B178,9,1),"x0x1x2x3x4x5x6x7x8x9"))),OR(10&gt;LEN(B178),MID(B178,10,1)=".",ISNUMBER(FIND("x"&amp;MID(B178,10,1),"x0x1x2x3x4x5x6x7x8x9"))),OR(AND(FIND(".",B178)=5,LEN(B178)-FIND(".",B178,FIND(".",B178)+1)&gt;=1,LEN(B178)-FIND(".",B178,FIND(".",B178)+1)&lt;=2),AND(LEN(B178)-FIND(".",B178,FIND(".",B178)+1)=4,FIND(".",B178)&gt;=2,FIND(".",B178)&lt;=3)),FIND(".",B178,FIND(".",B178)+1)-FIND(".",B178)&gt;=2,FIND(".",B178,FIND(".",B178)+1)-FIND(".",B178)&lt;=3,F178&gt;=2000,F178&lt;=2100,YEAR(I178)=F178,MONTH(I178)=G178,DAY(I178)=H178),I178,0)),0)</ns0:f>
        <ns0:v>0</ns0:v>
      </ns0:c>
      <ns0:c r="K178" s="0">
        <ns0:f>IFERROR(IF(ISNUMBER(Bookings!D178),"",TRIM(Bookings!D178&amp;"")),"")</ns0:f>
      </ns0:c>
      <ns0:c r="L178" s="0">
        <ns0:f>IFERROR(SUBSTITUTE(SUBSTITUTE(K178,"/","."),"-","."),"")</ns0:f>
      </ns0:c>
      <ns0:c r="M178" s="0">
        <ns0:f>IFERROR(LEFT(L178,FIND(".",L178)-1),"")</ns0:f>
      </ns0:c>
      <ns0:c r="N178" s="0">
        <ns0:f>IFERROR(MID(L178,FIND(".",L178)+1,FIND(".",L178,FIND(".",L178)+1)-FIND(".",L178)-1),"")</ns0:f>
      </ns0:c>
      <ns0:c r="O178" s="0">
        <ns0:f>IFERROR(MID(L178,FIND(".",L178,FIND(".",L178)+1)+1,99),"")</ns0:f>
        <ns0:v>99</ns0:v>
      </ns0:c>
      <ns0:c r="P178" s="0">
        <ns0:f>IFERROR(IF(FIND(".",L178)=5,--M178,--O178),0)</ns0:f>
        <ns0:v>0</ns0:v>
      </ns0:c>
      <ns0:c r="Q178" s="0">
        <ns0:f>IFERROR(--N178,0)</ns0:f>
        <ns0:v>0</ns0:v>
      </ns0:c>
      <ns0:c r="R178" s="0">
        <ns0:f>IFERROR(IF(FIND(".",L178)=5,--O178,--M178),0)</ns0:f>
        <ns0:v>0</ns0:v>
      </ns0:c>
      <ns0:c r="S178" s="0">
        <ns0:f>IFERROR(IF(AND(P178&gt;=2000,P178&lt;=2100,Q178&gt;=1,Q178&lt;=12,R178&gt;=1,R178&lt;=31),DATE(P178,Q178,R178),0),0)</ns0:f>
        <ns0:v>0</ns0:v>
      </ns0:c>
      <ns0:c r="T178" s="0">
        <ns0:f>IFERROR(IF(ISNUMBER(Bookings!D178),IF(AND(Bookings!D178=INT(Bookings!D178),Bookings!D178&gt;=DATE(2000,1,1),Bookings!D178&lt;=DATE(2100,12,31)),Bookings!D178,0),IF(AND(K178&lt;&gt;"",LEN("x"&amp;L178)-LEN(SUBSTITUTE("x"&amp;L178,".",""))=2,OR(1&gt;LEN(L178),MID(L178,1,1)=".",ISNUMBER(FIND("x"&amp;MID(L178,1,1),"x0x1x2x3x4x5x6x7x8x9"))),OR(2&gt;LEN(L178),MID(L178,2,1)=".",ISNUMBER(FIND("x"&amp;MID(L178,2,1),"x0x1x2x3x4x5x6x7x8x9"))),OR(3&gt;LEN(L178),MID(L178,3,1)=".",ISNUMBER(FIND("x"&amp;MID(L178,3,1),"x0x1x2x3x4x5x6x7x8x9"))),OR(4&gt;LEN(L178),MID(L178,4,1)=".",ISNUMBER(FIND("x"&amp;MID(L178,4,1),"x0x1x2x3x4x5x6x7x8x9"))),OR(5&gt;LEN(L178),MID(L178,5,1)=".",ISNUMBER(FIND("x"&amp;MID(L178,5,1),"x0x1x2x3x4x5x6x7x8x9"))),OR(6&gt;LEN(L178),MID(L178,6,1)=".",ISNUMBER(FIND("x"&amp;MID(L178,6,1),"x0x1x2x3x4x5x6x7x8x9"))),OR(7&gt;LEN(L178),MID(L178,7,1)=".",ISNUMBER(FIND("x"&amp;MID(L178,7,1),"x0x1x2x3x4x5x6x7x8x9"))),OR(8&gt;LEN(L178),MID(L178,8,1)=".",ISNUMBER(FIND("x"&amp;MID(L178,8,1),"x0x1x2x3x4x5x6x7x8x9"))),OR(9&gt;LEN(L178),MID(L178,9,1)=".",ISNUMBER(FIND("x"&amp;MID(L178,9,1),"x0x1x2x3x4x5x6x7x8x9"))),OR(10&gt;LEN(L178),MID(L178,10,1)=".",ISNUMBER(FIND("x"&amp;MID(L178,10,1),"x0x1x2x3x4x5x6x7x8x9"))),OR(AND(FIND(".",L178)=5,LEN(L178)-FIND(".",L178,FIND(".",L178)+1)&gt;=1,LEN(L178)-FIND(".",L178,FIND(".",L178)+1)&lt;=2),AND(LEN(L178)-FIND(".",L178,FIND(".",L178)+1)=4,FIND(".",L178)&gt;=2,FIND(".",L178)&lt;=3)),FIND(".",L178,FIND(".",L178)+1)-FIND(".",L178)&gt;=2,FIND(".",L178,FIND(".",L178)+1)-FIND(".",L178)&lt;=3,P178&gt;=2000,P178&lt;=2100,YEAR(S178)=P178,MONTH(S178)=Q178,DAY(S178)=R178),S178,0)),0)</ns0:f>
        <ns0:v>0</ns0:v>
      </ns0:c>
      <ns0:c r="U178" s="0" t="str">
        <ns0:f>IF(Bookings!C178="","Full day",Bookings!C178)</ns0:f>
        <ns0:v>Full day</ns0:v>
      </ns0:c>
      <ns0:c r="V178" s="0" t="str">
        <ns0:f>IF(Bookings!E178="","Full day",Bookings!E178)</ns0:f>
        <ns0:v>Full day</ns0:v>
      </ns0:c>
      <ns0:c r="W178" s="0">
        <ns0:f>IF(J178=0,0,J178+IF(U178="PM",1,0))</ns0:f>
        <ns0:v>0</ns0:v>
      </ns0:c>
      <ns0:c r="X178" s="0">
        <ns0:f>IF(T178=0,0,T178-IF(V178="PM",1,0))</ns0:f>
        <ns0:v>0</ns0:v>
      </ns0:c>
      <ns0:c r="Y178" s="0">
        <ns0:f>IF(J178=0,0,J178+IF(U178="AM",1,0))</ns0:f>
        <ns0:v>0</ns0:v>
      </ns0:c>
      <ns0:c r="Z178" s="0">
        <ns0:f>IF(T178=0,0,T178-IF(V178="AM",1,0))</ns0:f>
        <ns0:v>0</ns0:v>
      </ns0:c>
      <ns0:c r="AA178" s="0">
        <ns0:f>IFERROR(IF(AND(J178&gt;0,'_Engine'!C178&gt;0,MID('_Engine'!W178,WEEKDAY(J178,2),1)="W",COUNTIF(Settings!$F$18:$F$67,J178)=0),1,0),0)</ns0:f>
        <ns0:v>0</ns0:v>
      </ns0:c>
      <ns0:c r="AB178" s="0">
        <ns0:f>IFERROR(IF(AND(T178&gt;0,'_Engine'!C178&gt;0,MID('_Engine'!W178,WEEKDAY(T178,2),1)="W",COUNTIF(Settings!$F$18:$F$67,T178)=0),1,0),0)</ns0:f>
        <ns0:v>0</ns0:v>
      </ns0:c>
      <ns0:c r="AC178" s="0">
        <ns0:f>IF(AND(J178&gt;0,T178&gt;0,W178&lt;=X178),1,0)</ns0:f>
        <ns0:v>0</ns0:v>
      </ns0:c>
      <ns0:c r="AD178" s="0">
        <ns0:f>IF(AND(J178&gt;0,T178&gt;0,Y178&lt;=Z178),1,0)</ns0:f>
        <ns0:v>0</ns0:v>
      </ns0:c>
    </ns0:row>
    <ns0:row r="179">
      <ns0:c r="A179" s="0">
        <ns0:f>IFERROR(IF(ISNUMBER(Bookings!B179),"",TRIM(Bookings!B179&amp;"")),"")</ns0:f>
      </ns0:c>
      <ns0:c r="B179" s="0">
        <ns0:f>IFERROR(SUBSTITUTE(SUBSTITUTE(A179,"/","."),"-","."),"")</ns0:f>
      </ns0:c>
      <ns0:c r="C179" s="0">
        <ns0:f>IFERROR(LEFT(B179,FIND(".",B179)-1),"")</ns0:f>
      </ns0:c>
      <ns0:c r="D179" s="0">
        <ns0:f>IFERROR(MID(B179,FIND(".",B179)+1,FIND(".",B179,FIND(".",B179)+1)-FIND(".",B179)-1),"")</ns0:f>
      </ns0:c>
      <ns0:c r="E179" s="0">
        <ns0:f>IFERROR(MID(B179,FIND(".",B179,FIND(".",B179)+1)+1,99),"")</ns0:f>
        <ns0:v>99</ns0:v>
      </ns0:c>
      <ns0:c r="F179" s="0">
        <ns0:f>IFERROR(IF(FIND(".",B179)=5,--C179,--E179),0)</ns0:f>
        <ns0:v>0</ns0:v>
      </ns0:c>
      <ns0:c r="G179" s="0">
        <ns0:f>IFERROR(--D179,0)</ns0:f>
        <ns0:v>0</ns0:v>
      </ns0:c>
      <ns0:c r="H179" s="0">
        <ns0:f>IFERROR(IF(FIND(".",B179)=5,--E179,--C179),0)</ns0:f>
        <ns0:v>0</ns0:v>
      </ns0:c>
      <ns0:c r="I179" s="0">
        <ns0:f>IFERROR(IF(AND(F179&gt;=2000,F179&lt;=2100,G179&gt;=1,G179&lt;=12,H179&gt;=1,H179&lt;=31),DATE(F179,G179,H179),0),0)</ns0:f>
        <ns0:v>0</ns0:v>
      </ns0:c>
      <ns0:c r="J179" s="0">
        <ns0:f>IFERROR(IF(ISNUMBER(Bookings!B179),IF(AND(Bookings!B179=INT(Bookings!B179),Bookings!B179&gt;=DATE(2000,1,1),Bookings!B179&lt;=DATE(2100,12,31)),Bookings!B179,0),IF(AND(A179&lt;&gt;"",LEN("x"&amp;B179)-LEN(SUBSTITUTE("x"&amp;B179,".",""))=2,OR(1&gt;LEN(B179),MID(B179,1,1)=".",ISNUMBER(FIND("x"&amp;MID(B179,1,1),"x0x1x2x3x4x5x6x7x8x9"))),OR(2&gt;LEN(B179),MID(B179,2,1)=".",ISNUMBER(FIND("x"&amp;MID(B179,2,1),"x0x1x2x3x4x5x6x7x8x9"))),OR(3&gt;LEN(B179),MID(B179,3,1)=".",ISNUMBER(FIND("x"&amp;MID(B179,3,1),"x0x1x2x3x4x5x6x7x8x9"))),OR(4&gt;LEN(B179),MID(B179,4,1)=".",ISNUMBER(FIND("x"&amp;MID(B179,4,1),"x0x1x2x3x4x5x6x7x8x9"))),OR(5&gt;LEN(B179),MID(B179,5,1)=".",ISNUMBER(FIND("x"&amp;MID(B179,5,1),"x0x1x2x3x4x5x6x7x8x9"))),OR(6&gt;LEN(B179),MID(B179,6,1)=".",ISNUMBER(FIND("x"&amp;MID(B179,6,1),"x0x1x2x3x4x5x6x7x8x9"))),OR(7&gt;LEN(B179),MID(B179,7,1)=".",ISNUMBER(FIND("x"&amp;MID(B179,7,1),"x0x1x2x3x4x5x6x7x8x9"))),OR(8&gt;LEN(B179),MID(B179,8,1)=".",ISNUMBER(FIND("x"&amp;MID(B179,8,1),"x0x1x2x3x4x5x6x7x8x9"))),OR(9&gt;LEN(B179),MID(B179,9,1)=".",ISNUMBER(FIND("x"&amp;MID(B179,9,1),"x0x1x2x3x4x5x6x7x8x9"))),OR(10&gt;LEN(B179),MID(B179,10,1)=".",ISNUMBER(FIND("x"&amp;MID(B179,10,1),"x0x1x2x3x4x5x6x7x8x9"))),OR(AND(FIND(".",B179)=5,LEN(B179)-FIND(".",B179,FIND(".",B179)+1)&gt;=1,LEN(B179)-FIND(".",B179,FIND(".",B179)+1)&lt;=2),AND(LEN(B179)-FIND(".",B179,FIND(".",B179)+1)=4,FIND(".",B179)&gt;=2,FIND(".",B179)&lt;=3)),FIND(".",B179,FIND(".",B179)+1)-FIND(".",B179)&gt;=2,FIND(".",B179,FIND(".",B179)+1)-FIND(".",B179)&lt;=3,F179&gt;=2000,F179&lt;=2100,YEAR(I179)=F179,MONTH(I179)=G179,DAY(I179)=H179),I179,0)),0)</ns0:f>
        <ns0:v>0</ns0:v>
      </ns0:c>
      <ns0:c r="K179" s="0">
        <ns0:f>IFERROR(IF(ISNUMBER(Bookings!D179),"",TRIM(Bookings!D179&amp;"")),"")</ns0:f>
      </ns0:c>
      <ns0:c r="L179" s="0">
        <ns0:f>IFERROR(SUBSTITUTE(SUBSTITUTE(K179,"/","."),"-","."),"")</ns0:f>
      </ns0:c>
      <ns0:c r="M179" s="0">
        <ns0:f>IFERROR(LEFT(L179,FIND(".",L179)-1),"")</ns0:f>
      </ns0:c>
      <ns0:c r="N179" s="0">
        <ns0:f>IFERROR(MID(L179,FIND(".",L179)+1,FIND(".",L179,FIND(".",L179)+1)-FIND(".",L179)-1),"")</ns0:f>
      </ns0:c>
      <ns0:c r="O179" s="0">
        <ns0:f>IFERROR(MID(L179,FIND(".",L179,FIND(".",L179)+1)+1,99),"")</ns0:f>
        <ns0:v>99</ns0:v>
      </ns0:c>
      <ns0:c r="P179" s="0">
        <ns0:f>IFERROR(IF(FIND(".",L179)=5,--M179,--O179),0)</ns0:f>
        <ns0:v>0</ns0:v>
      </ns0:c>
      <ns0:c r="Q179" s="0">
        <ns0:f>IFERROR(--N179,0)</ns0:f>
        <ns0:v>0</ns0:v>
      </ns0:c>
      <ns0:c r="R179" s="0">
        <ns0:f>IFERROR(IF(FIND(".",L179)=5,--O179,--M179),0)</ns0:f>
        <ns0:v>0</ns0:v>
      </ns0:c>
      <ns0:c r="S179" s="0">
        <ns0:f>IFERROR(IF(AND(P179&gt;=2000,P179&lt;=2100,Q179&gt;=1,Q179&lt;=12,R179&gt;=1,R179&lt;=31),DATE(P179,Q179,R179),0),0)</ns0:f>
        <ns0:v>0</ns0:v>
      </ns0:c>
      <ns0:c r="T179" s="0">
        <ns0:f>IFERROR(IF(ISNUMBER(Bookings!D179),IF(AND(Bookings!D179=INT(Bookings!D179),Bookings!D179&gt;=DATE(2000,1,1),Bookings!D179&lt;=DATE(2100,12,31)),Bookings!D179,0),IF(AND(K179&lt;&gt;"",LEN("x"&amp;L179)-LEN(SUBSTITUTE("x"&amp;L179,".",""))=2,OR(1&gt;LEN(L179),MID(L179,1,1)=".",ISNUMBER(FIND("x"&amp;MID(L179,1,1),"x0x1x2x3x4x5x6x7x8x9"))),OR(2&gt;LEN(L179),MID(L179,2,1)=".",ISNUMBER(FIND("x"&amp;MID(L179,2,1),"x0x1x2x3x4x5x6x7x8x9"))),OR(3&gt;LEN(L179),MID(L179,3,1)=".",ISNUMBER(FIND("x"&amp;MID(L179,3,1),"x0x1x2x3x4x5x6x7x8x9"))),OR(4&gt;LEN(L179),MID(L179,4,1)=".",ISNUMBER(FIND("x"&amp;MID(L179,4,1),"x0x1x2x3x4x5x6x7x8x9"))),OR(5&gt;LEN(L179),MID(L179,5,1)=".",ISNUMBER(FIND("x"&amp;MID(L179,5,1),"x0x1x2x3x4x5x6x7x8x9"))),OR(6&gt;LEN(L179),MID(L179,6,1)=".",ISNUMBER(FIND("x"&amp;MID(L179,6,1),"x0x1x2x3x4x5x6x7x8x9"))),OR(7&gt;LEN(L179),MID(L179,7,1)=".",ISNUMBER(FIND("x"&amp;MID(L179,7,1),"x0x1x2x3x4x5x6x7x8x9"))),OR(8&gt;LEN(L179),MID(L179,8,1)=".",ISNUMBER(FIND("x"&amp;MID(L179,8,1),"x0x1x2x3x4x5x6x7x8x9"))),OR(9&gt;LEN(L179),MID(L179,9,1)=".",ISNUMBER(FIND("x"&amp;MID(L179,9,1),"x0x1x2x3x4x5x6x7x8x9"))),OR(10&gt;LEN(L179),MID(L179,10,1)=".",ISNUMBER(FIND("x"&amp;MID(L179,10,1),"x0x1x2x3x4x5x6x7x8x9"))),OR(AND(FIND(".",L179)=5,LEN(L179)-FIND(".",L179,FIND(".",L179)+1)&gt;=1,LEN(L179)-FIND(".",L179,FIND(".",L179)+1)&lt;=2),AND(LEN(L179)-FIND(".",L179,FIND(".",L179)+1)=4,FIND(".",L179)&gt;=2,FIND(".",L179)&lt;=3)),FIND(".",L179,FIND(".",L179)+1)-FIND(".",L179)&gt;=2,FIND(".",L179,FIND(".",L179)+1)-FIND(".",L179)&lt;=3,P179&gt;=2000,P179&lt;=2100,YEAR(S179)=P179,MONTH(S179)=Q179,DAY(S179)=R179),S179,0)),0)</ns0:f>
        <ns0:v>0</ns0:v>
      </ns0:c>
      <ns0:c r="U179" s="0" t="str">
        <ns0:f>IF(Bookings!C179="","Full day",Bookings!C179)</ns0:f>
        <ns0:v>Full day</ns0:v>
      </ns0:c>
      <ns0:c r="V179" s="0" t="str">
        <ns0:f>IF(Bookings!E179="","Full day",Bookings!E179)</ns0:f>
        <ns0:v>Full day</ns0:v>
      </ns0:c>
      <ns0:c r="W179" s="0">
        <ns0:f>IF(J179=0,0,J179+IF(U179="PM",1,0))</ns0:f>
        <ns0:v>0</ns0:v>
      </ns0:c>
      <ns0:c r="X179" s="0">
        <ns0:f>IF(T179=0,0,T179-IF(V179="PM",1,0))</ns0:f>
        <ns0:v>0</ns0:v>
      </ns0:c>
      <ns0:c r="Y179" s="0">
        <ns0:f>IF(J179=0,0,J179+IF(U179="AM",1,0))</ns0:f>
        <ns0:v>0</ns0:v>
      </ns0:c>
      <ns0:c r="Z179" s="0">
        <ns0:f>IF(T179=0,0,T179-IF(V179="AM",1,0))</ns0:f>
        <ns0:v>0</ns0:v>
      </ns0:c>
      <ns0:c r="AA179" s="0">
        <ns0:f>IFERROR(IF(AND(J179&gt;0,'_Engine'!C179&gt;0,MID('_Engine'!W179,WEEKDAY(J179,2),1)="W",COUNTIF(Settings!$F$18:$F$67,J179)=0),1,0),0)</ns0:f>
        <ns0:v>0</ns0:v>
      </ns0:c>
      <ns0:c r="AB179" s="0">
        <ns0:f>IFERROR(IF(AND(T179&gt;0,'_Engine'!C179&gt;0,MID('_Engine'!W179,WEEKDAY(T179,2),1)="W",COUNTIF(Settings!$F$18:$F$67,T179)=0),1,0),0)</ns0:f>
        <ns0:v>0</ns0:v>
      </ns0:c>
      <ns0:c r="AC179" s="0">
        <ns0:f>IF(AND(J179&gt;0,T179&gt;0,W179&lt;=X179),1,0)</ns0:f>
        <ns0:v>0</ns0:v>
      </ns0:c>
      <ns0:c r="AD179" s="0">
        <ns0:f>IF(AND(J179&gt;0,T179&gt;0,Y179&lt;=Z179),1,0)</ns0:f>
        <ns0:v>0</ns0:v>
      </ns0:c>
    </ns0:row>
    <ns0:row r="180">
      <ns0:c r="A180" s="0">
        <ns0:f>IFERROR(IF(ISNUMBER(Bookings!B180),"",TRIM(Bookings!B180&amp;"")),"")</ns0:f>
      </ns0:c>
      <ns0:c r="B180" s="0">
        <ns0:f>IFERROR(SUBSTITUTE(SUBSTITUTE(A180,"/","."),"-","."),"")</ns0:f>
      </ns0:c>
      <ns0:c r="C180" s="0">
        <ns0:f>IFERROR(LEFT(B180,FIND(".",B180)-1),"")</ns0:f>
      </ns0:c>
      <ns0:c r="D180" s="0">
        <ns0:f>IFERROR(MID(B180,FIND(".",B180)+1,FIND(".",B180,FIND(".",B180)+1)-FIND(".",B180)-1),"")</ns0:f>
      </ns0:c>
      <ns0:c r="E180" s="0">
        <ns0:f>IFERROR(MID(B180,FIND(".",B180,FIND(".",B180)+1)+1,99),"")</ns0:f>
        <ns0:v>99</ns0:v>
      </ns0:c>
      <ns0:c r="F180" s="0">
        <ns0:f>IFERROR(IF(FIND(".",B180)=5,--C180,--E180),0)</ns0:f>
        <ns0:v>0</ns0:v>
      </ns0:c>
      <ns0:c r="G180" s="0">
        <ns0:f>IFERROR(--D180,0)</ns0:f>
        <ns0:v>0</ns0:v>
      </ns0:c>
      <ns0:c r="H180" s="0">
        <ns0:f>IFERROR(IF(FIND(".",B180)=5,--E180,--C180),0)</ns0:f>
        <ns0:v>0</ns0:v>
      </ns0:c>
      <ns0:c r="I180" s="0">
        <ns0:f>IFERROR(IF(AND(F180&gt;=2000,F180&lt;=2100,G180&gt;=1,G180&lt;=12,H180&gt;=1,H180&lt;=31),DATE(F180,G180,H180),0),0)</ns0:f>
        <ns0:v>0</ns0:v>
      </ns0:c>
      <ns0:c r="J180" s="0">
        <ns0:f>IFERROR(IF(ISNUMBER(Bookings!B180),IF(AND(Bookings!B180=INT(Bookings!B180),Bookings!B180&gt;=DATE(2000,1,1),Bookings!B180&lt;=DATE(2100,12,31)),Bookings!B180,0),IF(AND(A180&lt;&gt;"",LEN("x"&amp;B180)-LEN(SUBSTITUTE("x"&amp;B180,".",""))=2,OR(1&gt;LEN(B180),MID(B180,1,1)=".",ISNUMBER(FIND("x"&amp;MID(B180,1,1),"x0x1x2x3x4x5x6x7x8x9"))),OR(2&gt;LEN(B180),MID(B180,2,1)=".",ISNUMBER(FIND("x"&amp;MID(B180,2,1),"x0x1x2x3x4x5x6x7x8x9"))),OR(3&gt;LEN(B180),MID(B180,3,1)=".",ISNUMBER(FIND("x"&amp;MID(B180,3,1),"x0x1x2x3x4x5x6x7x8x9"))),OR(4&gt;LEN(B180),MID(B180,4,1)=".",ISNUMBER(FIND("x"&amp;MID(B180,4,1),"x0x1x2x3x4x5x6x7x8x9"))),OR(5&gt;LEN(B180),MID(B180,5,1)=".",ISNUMBER(FIND("x"&amp;MID(B180,5,1),"x0x1x2x3x4x5x6x7x8x9"))),OR(6&gt;LEN(B180),MID(B180,6,1)=".",ISNUMBER(FIND("x"&amp;MID(B180,6,1),"x0x1x2x3x4x5x6x7x8x9"))),OR(7&gt;LEN(B180),MID(B180,7,1)=".",ISNUMBER(FIND("x"&amp;MID(B180,7,1),"x0x1x2x3x4x5x6x7x8x9"))),OR(8&gt;LEN(B180),MID(B180,8,1)=".",ISNUMBER(FIND("x"&amp;MID(B180,8,1),"x0x1x2x3x4x5x6x7x8x9"))),OR(9&gt;LEN(B180),MID(B180,9,1)=".",ISNUMBER(FIND("x"&amp;MID(B180,9,1),"x0x1x2x3x4x5x6x7x8x9"))),OR(10&gt;LEN(B180),MID(B180,10,1)=".",ISNUMBER(FIND("x"&amp;MID(B180,10,1),"x0x1x2x3x4x5x6x7x8x9"))),OR(AND(FIND(".",B180)=5,LEN(B180)-FIND(".",B180,FIND(".",B180)+1)&gt;=1,LEN(B180)-FIND(".",B180,FIND(".",B180)+1)&lt;=2),AND(LEN(B180)-FIND(".",B180,FIND(".",B180)+1)=4,FIND(".",B180)&gt;=2,FIND(".",B180)&lt;=3)),FIND(".",B180,FIND(".",B180)+1)-FIND(".",B180)&gt;=2,FIND(".",B180,FIND(".",B180)+1)-FIND(".",B180)&lt;=3,F180&gt;=2000,F180&lt;=2100,YEAR(I180)=F180,MONTH(I180)=G180,DAY(I180)=H180),I180,0)),0)</ns0:f>
        <ns0:v>0</ns0:v>
      </ns0:c>
      <ns0:c r="K180" s="0">
        <ns0:f>IFERROR(IF(ISNUMBER(Bookings!D180),"",TRIM(Bookings!D180&amp;"")),"")</ns0:f>
      </ns0:c>
      <ns0:c r="L180" s="0">
        <ns0:f>IFERROR(SUBSTITUTE(SUBSTITUTE(K180,"/","."),"-","."),"")</ns0:f>
      </ns0:c>
      <ns0:c r="M180" s="0">
        <ns0:f>IFERROR(LEFT(L180,FIND(".",L180)-1),"")</ns0:f>
      </ns0:c>
      <ns0:c r="N180" s="0">
        <ns0:f>IFERROR(MID(L180,FIND(".",L180)+1,FIND(".",L180,FIND(".",L180)+1)-FIND(".",L180)-1),"")</ns0:f>
      </ns0:c>
      <ns0:c r="O180" s="0">
        <ns0:f>IFERROR(MID(L180,FIND(".",L180,FIND(".",L180)+1)+1,99),"")</ns0:f>
        <ns0:v>99</ns0:v>
      </ns0:c>
      <ns0:c r="P180" s="0">
        <ns0:f>IFERROR(IF(FIND(".",L180)=5,--M180,--O180),0)</ns0:f>
        <ns0:v>0</ns0:v>
      </ns0:c>
      <ns0:c r="Q180" s="0">
        <ns0:f>IFERROR(--N180,0)</ns0:f>
        <ns0:v>0</ns0:v>
      </ns0:c>
      <ns0:c r="R180" s="0">
        <ns0:f>IFERROR(IF(FIND(".",L180)=5,--O180,--M180),0)</ns0:f>
        <ns0:v>0</ns0:v>
      </ns0:c>
      <ns0:c r="S180" s="0">
        <ns0:f>IFERROR(IF(AND(P180&gt;=2000,P180&lt;=2100,Q180&gt;=1,Q180&lt;=12,R180&gt;=1,R180&lt;=31),DATE(P180,Q180,R180),0),0)</ns0:f>
        <ns0:v>0</ns0:v>
      </ns0:c>
      <ns0:c r="T180" s="0">
        <ns0:f>IFERROR(IF(ISNUMBER(Bookings!D180),IF(AND(Bookings!D180=INT(Bookings!D180),Bookings!D180&gt;=DATE(2000,1,1),Bookings!D180&lt;=DATE(2100,12,31)),Bookings!D180,0),IF(AND(K180&lt;&gt;"",LEN("x"&amp;L180)-LEN(SUBSTITUTE("x"&amp;L180,".",""))=2,OR(1&gt;LEN(L180),MID(L180,1,1)=".",ISNUMBER(FIND("x"&amp;MID(L180,1,1),"x0x1x2x3x4x5x6x7x8x9"))),OR(2&gt;LEN(L180),MID(L180,2,1)=".",ISNUMBER(FIND("x"&amp;MID(L180,2,1),"x0x1x2x3x4x5x6x7x8x9"))),OR(3&gt;LEN(L180),MID(L180,3,1)=".",ISNUMBER(FIND("x"&amp;MID(L180,3,1),"x0x1x2x3x4x5x6x7x8x9"))),OR(4&gt;LEN(L180),MID(L180,4,1)=".",ISNUMBER(FIND("x"&amp;MID(L180,4,1),"x0x1x2x3x4x5x6x7x8x9"))),OR(5&gt;LEN(L180),MID(L180,5,1)=".",ISNUMBER(FIND("x"&amp;MID(L180,5,1),"x0x1x2x3x4x5x6x7x8x9"))),OR(6&gt;LEN(L180),MID(L180,6,1)=".",ISNUMBER(FIND("x"&amp;MID(L180,6,1),"x0x1x2x3x4x5x6x7x8x9"))),OR(7&gt;LEN(L180),MID(L180,7,1)=".",ISNUMBER(FIND("x"&amp;MID(L180,7,1),"x0x1x2x3x4x5x6x7x8x9"))),OR(8&gt;LEN(L180),MID(L180,8,1)=".",ISNUMBER(FIND("x"&amp;MID(L180,8,1),"x0x1x2x3x4x5x6x7x8x9"))),OR(9&gt;LEN(L180),MID(L180,9,1)=".",ISNUMBER(FIND("x"&amp;MID(L180,9,1),"x0x1x2x3x4x5x6x7x8x9"))),OR(10&gt;LEN(L180),MID(L180,10,1)=".",ISNUMBER(FIND("x"&amp;MID(L180,10,1),"x0x1x2x3x4x5x6x7x8x9"))),OR(AND(FIND(".",L180)=5,LEN(L180)-FIND(".",L180,FIND(".",L180)+1)&gt;=1,LEN(L180)-FIND(".",L180,FIND(".",L180)+1)&lt;=2),AND(LEN(L180)-FIND(".",L180,FIND(".",L180)+1)=4,FIND(".",L180)&gt;=2,FIND(".",L180)&lt;=3)),FIND(".",L180,FIND(".",L180)+1)-FIND(".",L180)&gt;=2,FIND(".",L180,FIND(".",L180)+1)-FIND(".",L180)&lt;=3,P180&gt;=2000,P180&lt;=2100,YEAR(S180)=P180,MONTH(S180)=Q180,DAY(S180)=R180),S180,0)),0)</ns0:f>
        <ns0:v>0</ns0:v>
      </ns0:c>
      <ns0:c r="U180" s="0" t="str">
        <ns0:f>IF(Bookings!C180="","Full day",Bookings!C180)</ns0:f>
        <ns0:v>Full day</ns0:v>
      </ns0:c>
      <ns0:c r="V180" s="0" t="str">
        <ns0:f>IF(Bookings!E180="","Full day",Bookings!E180)</ns0:f>
        <ns0:v>Full day</ns0:v>
      </ns0:c>
      <ns0:c r="W180" s="0">
        <ns0:f>IF(J180=0,0,J180+IF(U180="PM",1,0))</ns0:f>
        <ns0:v>0</ns0:v>
      </ns0:c>
      <ns0:c r="X180" s="0">
        <ns0:f>IF(T180=0,0,T180-IF(V180="PM",1,0))</ns0:f>
        <ns0:v>0</ns0:v>
      </ns0:c>
      <ns0:c r="Y180" s="0">
        <ns0:f>IF(J180=0,0,J180+IF(U180="AM",1,0))</ns0:f>
        <ns0:v>0</ns0:v>
      </ns0:c>
      <ns0:c r="Z180" s="0">
        <ns0:f>IF(T180=0,0,T180-IF(V180="AM",1,0))</ns0:f>
        <ns0:v>0</ns0:v>
      </ns0:c>
      <ns0:c r="AA180" s="0">
        <ns0:f>IFERROR(IF(AND(J180&gt;0,'_Engine'!C180&gt;0,MID('_Engine'!W180,WEEKDAY(J180,2),1)="W",COUNTIF(Settings!$F$18:$F$67,J180)=0),1,0),0)</ns0:f>
        <ns0:v>0</ns0:v>
      </ns0:c>
      <ns0:c r="AB180" s="0">
        <ns0:f>IFERROR(IF(AND(T180&gt;0,'_Engine'!C180&gt;0,MID('_Engine'!W180,WEEKDAY(T180,2),1)="W",COUNTIF(Settings!$F$18:$F$67,T180)=0),1,0),0)</ns0:f>
        <ns0:v>0</ns0:v>
      </ns0:c>
      <ns0:c r="AC180" s="0">
        <ns0:f>IF(AND(J180&gt;0,T180&gt;0,W180&lt;=X180),1,0)</ns0:f>
        <ns0:v>0</ns0:v>
      </ns0:c>
      <ns0:c r="AD180" s="0">
        <ns0:f>IF(AND(J180&gt;0,T180&gt;0,Y180&lt;=Z180),1,0)</ns0:f>
        <ns0:v>0</ns0:v>
      </ns0:c>
    </ns0:row>
    <ns0:row r="181">
      <ns0:c r="A181" s="0">
        <ns0:f>IFERROR(IF(ISNUMBER(Bookings!B181),"",TRIM(Bookings!B181&amp;"")),"")</ns0:f>
      </ns0:c>
      <ns0:c r="B181" s="0">
        <ns0:f>IFERROR(SUBSTITUTE(SUBSTITUTE(A181,"/","."),"-","."),"")</ns0:f>
      </ns0:c>
      <ns0:c r="C181" s="0">
        <ns0:f>IFERROR(LEFT(B181,FIND(".",B181)-1),"")</ns0:f>
      </ns0:c>
      <ns0:c r="D181" s="0">
        <ns0:f>IFERROR(MID(B181,FIND(".",B181)+1,FIND(".",B181,FIND(".",B181)+1)-FIND(".",B181)-1),"")</ns0:f>
      </ns0:c>
      <ns0:c r="E181" s="0">
        <ns0:f>IFERROR(MID(B181,FIND(".",B181,FIND(".",B181)+1)+1,99),"")</ns0:f>
        <ns0:v>99</ns0:v>
      </ns0:c>
      <ns0:c r="F181" s="0">
        <ns0:f>IFERROR(IF(FIND(".",B181)=5,--C181,--E181),0)</ns0:f>
        <ns0:v>0</ns0:v>
      </ns0:c>
      <ns0:c r="G181" s="0">
        <ns0:f>IFERROR(--D181,0)</ns0:f>
        <ns0:v>0</ns0:v>
      </ns0:c>
      <ns0:c r="H181" s="0">
        <ns0:f>IFERROR(IF(FIND(".",B181)=5,--E181,--C181),0)</ns0:f>
        <ns0:v>0</ns0:v>
      </ns0:c>
      <ns0:c r="I181" s="0">
        <ns0:f>IFERROR(IF(AND(F181&gt;=2000,F181&lt;=2100,G181&gt;=1,G181&lt;=12,H181&gt;=1,H181&lt;=31),DATE(F181,G181,H181),0),0)</ns0:f>
        <ns0:v>0</ns0:v>
      </ns0:c>
      <ns0:c r="J181" s="0">
        <ns0:f>IFERROR(IF(ISNUMBER(Bookings!B181),IF(AND(Bookings!B181=INT(Bookings!B181),Bookings!B181&gt;=DATE(2000,1,1),Bookings!B181&lt;=DATE(2100,12,31)),Bookings!B181,0),IF(AND(A181&lt;&gt;"",LEN("x"&amp;B181)-LEN(SUBSTITUTE("x"&amp;B181,".",""))=2,OR(1&gt;LEN(B181),MID(B181,1,1)=".",ISNUMBER(FIND("x"&amp;MID(B181,1,1),"x0x1x2x3x4x5x6x7x8x9"))),OR(2&gt;LEN(B181),MID(B181,2,1)=".",ISNUMBER(FIND("x"&amp;MID(B181,2,1),"x0x1x2x3x4x5x6x7x8x9"))),OR(3&gt;LEN(B181),MID(B181,3,1)=".",ISNUMBER(FIND("x"&amp;MID(B181,3,1),"x0x1x2x3x4x5x6x7x8x9"))),OR(4&gt;LEN(B181),MID(B181,4,1)=".",ISNUMBER(FIND("x"&amp;MID(B181,4,1),"x0x1x2x3x4x5x6x7x8x9"))),OR(5&gt;LEN(B181),MID(B181,5,1)=".",ISNUMBER(FIND("x"&amp;MID(B181,5,1),"x0x1x2x3x4x5x6x7x8x9"))),OR(6&gt;LEN(B181),MID(B181,6,1)=".",ISNUMBER(FIND("x"&amp;MID(B181,6,1),"x0x1x2x3x4x5x6x7x8x9"))),OR(7&gt;LEN(B181),MID(B181,7,1)=".",ISNUMBER(FIND("x"&amp;MID(B181,7,1),"x0x1x2x3x4x5x6x7x8x9"))),OR(8&gt;LEN(B181),MID(B181,8,1)=".",ISNUMBER(FIND("x"&amp;MID(B181,8,1),"x0x1x2x3x4x5x6x7x8x9"))),OR(9&gt;LEN(B181),MID(B181,9,1)=".",ISNUMBER(FIND("x"&amp;MID(B181,9,1),"x0x1x2x3x4x5x6x7x8x9"))),OR(10&gt;LEN(B181),MID(B181,10,1)=".",ISNUMBER(FIND("x"&amp;MID(B181,10,1),"x0x1x2x3x4x5x6x7x8x9"))),OR(AND(FIND(".",B181)=5,LEN(B181)-FIND(".",B181,FIND(".",B181)+1)&gt;=1,LEN(B181)-FIND(".",B181,FIND(".",B181)+1)&lt;=2),AND(LEN(B181)-FIND(".",B181,FIND(".",B181)+1)=4,FIND(".",B181)&gt;=2,FIND(".",B181)&lt;=3)),FIND(".",B181,FIND(".",B181)+1)-FIND(".",B181)&gt;=2,FIND(".",B181,FIND(".",B181)+1)-FIND(".",B181)&lt;=3,F181&gt;=2000,F181&lt;=2100,YEAR(I181)=F181,MONTH(I181)=G181,DAY(I181)=H181),I181,0)),0)</ns0:f>
        <ns0:v>0</ns0:v>
      </ns0:c>
      <ns0:c r="K181" s="0">
        <ns0:f>IFERROR(IF(ISNUMBER(Bookings!D181),"",TRIM(Bookings!D181&amp;"")),"")</ns0:f>
      </ns0:c>
      <ns0:c r="L181" s="0">
        <ns0:f>IFERROR(SUBSTITUTE(SUBSTITUTE(K181,"/","."),"-","."),"")</ns0:f>
      </ns0:c>
      <ns0:c r="M181" s="0">
        <ns0:f>IFERROR(LEFT(L181,FIND(".",L181)-1),"")</ns0:f>
      </ns0:c>
      <ns0:c r="N181" s="0">
        <ns0:f>IFERROR(MID(L181,FIND(".",L181)+1,FIND(".",L181,FIND(".",L181)+1)-FIND(".",L181)-1),"")</ns0:f>
      </ns0:c>
      <ns0:c r="O181" s="0">
        <ns0:f>IFERROR(MID(L181,FIND(".",L181,FIND(".",L181)+1)+1,99),"")</ns0:f>
        <ns0:v>99</ns0:v>
      </ns0:c>
      <ns0:c r="P181" s="0">
        <ns0:f>IFERROR(IF(FIND(".",L181)=5,--M181,--O181),0)</ns0:f>
        <ns0:v>0</ns0:v>
      </ns0:c>
      <ns0:c r="Q181" s="0">
        <ns0:f>IFERROR(--N181,0)</ns0:f>
        <ns0:v>0</ns0:v>
      </ns0:c>
      <ns0:c r="R181" s="0">
        <ns0:f>IFERROR(IF(FIND(".",L181)=5,--O181,--M181),0)</ns0:f>
        <ns0:v>0</ns0:v>
      </ns0:c>
      <ns0:c r="S181" s="0">
        <ns0:f>IFERROR(IF(AND(P181&gt;=2000,P181&lt;=2100,Q181&gt;=1,Q181&lt;=12,R181&gt;=1,R181&lt;=31),DATE(P181,Q181,R181),0),0)</ns0:f>
        <ns0:v>0</ns0:v>
      </ns0:c>
      <ns0:c r="T181" s="0">
        <ns0:f>IFERROR(IF(ISNUMBER(Bookings!D181),IF(AND(Bookings!D181=INT(Bookings!D181),Bookings!D181&gt;=DATE(2000,1,1),Bookings!D181&lt;=DATE(2100,12,31)),Bookings!D181,0),IF(AND(K181&lt;&gt;"",LEN("x"&amp;L181)-LEN(SUBSTITUTE("x"&amp;L181,".",""))=2,OR(1&gt;LEN(L181),MID(L181,1,1)=".",ISNUMBER(FIND("x"&amp;MID(L181,1,1),"x0x1x2x3x4x5x6x7x8x9"))),OR(2&gt;LEN(L181),MID(L181,2,1)=".",ISNUMBER(FIND("x"&amp;MID(L181,2,1),"x0x1x2x3x4x5x6x7x8x9"))),OR(3&gt;LEN(L181),MID(L181,3,1)=".",ISNUMBER(FIND("x"&amp;MID(L181,3,1),"x0x1x2x3x4x5x6x7x8x9"))),OR(4&gt;LEN(L181),MID(L181,4,1)=".",ISNUMBER(FIND("x"&amp;MID(L181,4,1),"x0x1x2x3x4x5x6x7x8x9"))),OR(5&gt;LEN(L181),MID(L181,5,1)=".",ISNUMBER(FIND("x"&amp;MID(L181,5,1),"x0x1x2x3x4x5x6x7x8x9"))),OR(6&gt;LEN(L181),MID(L181,6,1)=".",ISNUMBER(FIND("x"&amp;MID(L181,6,1),"x0x1x2x3x4x5x6x7x8x9"))),OR(7&gt;LEN(L181),MID(L181,7,1)=".",ISNUMBER(FIND("x"&amp;MID(L181,7,1),"x0x1x2x3x4x5x6x7x8x9"))),OR(8&gt;LEN(L181),MID(L181,8,1)=".",ISNUMBER(FIND("x"&amp;MID(L181,8,1),"x0x1x2x3x4x5x6x7x8x9"))),OR(9&gt;LEN(L181),MID(L181,9,1)=".",ISNUMBER(FIND("x"&amp;MID(L181,9,1),"x0x1x2x3x4x5x6x7x8x9"))),OR(10&gt;LEN(L181),MID(L181,10,1)=".",ISNUMBER(FIND("x"&amp;MID(L181,10,1),"x0x1x2x3x4x5x6x7x8x9"))),OR(AND(FIND(".",L181)=5,LEN(L181)-FIND(".",L181,FIND(".",L181)+1)&gt;=1,LEN(L181)-FIND(".",L181,FIND(".",L181)+1)&lt;=2),AND(LEN(L181)-FIND(".",L181,FIND(".",L181)+1)=4,FIND(".",L181)&gt;=2,FIND(".",L181)&lt;=3)),FIND(".",L181,FIND(".",L181)+1)-FIND(".",L181)&gt;=2,FIND(".",L181,FIND(".",L181)+1)-FIND(".",L181)&lt;=3,P181&gt;=2000,P181&lt;=2100,YEAR(S181)=P181,MONTH(S181)=Q181,DAY(S181)=R181),S181,0)),0)</ns0:f>
        <ns0:v>0</ns0:v>
      </ns0:c>
      <ns0:c r="U181" s="0" t="str">
        <ns0:f>IF(Bookings!C181="","Full day",Bookings!C181)</ns0:f>
        <ns0:v>Full day</ns0:v>
      </ns0:c>
      <ns0:c r="V181" s="0" t="str">
        <ns0:f>IF(Bookings!E181="","Full day",Bookings!E181)</ns0:f>
        <ns0:v>Full day</ns0:v>
      </ns0:c>
      <ns0:c r="W181" s="0">
        <ns0:f>IF(J181=0,0,J181+IF(U181="PM",1,0))</ns0:f>
        <ns0:v>0</ns0:v>
      </ns0:c>
      <ns0:c r="X181" s="0">
        <ns0:f>IF(T181=0,0,T181-IF(V181="PM",1,0))</ns0:f>
        <ns0:v>0</ns0:v>
      </ns0:c>
      <ns0:c r="Y181" s="0">
        <ns0:f>IF(J181=0,0,J181+IF(U181="AM",1,0))</ns0:f>
        <ns0:v>0</ns0:v>
      </ns0:c>
      <ns0:c r="Z181" s="0">
        <ns0:f>IF(T181=0,0,T181-IF(V181="AM",1,0))</ns0:f>
        <ns0:v>0</ns0:v>
      </ns0:c>
      <ns0:c r="AA181" s="0">
        <ns0:f>IFERROR(IF(AND(J181&gt;0,'_Engine'!C181&gt;0,MID('_Engine'!W181,WEEKDAY(J181,2),1)="W",COUNTIF(Settings!$F$18:$F$67,J181)=0),1,0),0)</ns0:f>
        <ns0:v>0</ns0:v>
      </ns0:c>
      <ns0:c r="AB181" s="0">
        <ns0:f>IFERROR(IF(AND(T181&gt;0,'_Engine'!C181&gt;0,MID('_Engine'!W181,WEEKDAY(T181,2),1)="W",COUNTIF(Settings!$F$18:$F$67,T181)=0),1,0),0)</ns0:f>
        <ns0:v>0</ns0:v>
      </ns0:c>
      <ns0:c r="AC181" s="0">
        <ns0:f>IF(AND(J181&gt;0,T181&gt;0,W181&lt;=X181),1,0)</ns0:f>
        <ns0:v>0</ns0:v>
      </ns0:c>
      <ns0:c r="AD181" s="0">
        <ns0:f>IF(AND(J181&gt;0,T181&gt;0,Y181&lt;=Z181),1,0)</ns0:f>
        <ns0:v>0</ns0:v>
      </ns0:c>
    </ns0:row>
    <ns0:row r="182">
      <ns0:c r="A182" s="0">
        <ns0:f>IFERROR(IF(ISNUMBER(Bookings!B182),"",TRIM(Bookings!B182&amp;"")),"")</ns0:f>
      </ns0:c>
      <ns0:c r="B182" s="0">
        <ns0:f>IFERROR(SUBSTITUTE(SUBSTITUTE(A182,"/","."),"-","."),"")</ns0:f>
      </ns0:c>
      <ns0:c r="C182" s="0">
        <ns0:f>IFERROR(LEFT(B182,FIND(".",B182)-1),"")</ns0:f>
      </ns0:c>
      <ns0:c r="D182" s="0">
        <ns0:f>IFERROR(MID(B182,FIND(".",B182)+1,FIND(".",B182,FIND(".",B182)+1)-FIND(".",B182)-1),"")</ns0:f>
      </ns0:c>
      <ns0:c r="E182" s="0">
        <ns0:f>IFERROR(MID(B182,FIND(".",B182,FIND(".",B182)+1)+1,99),"")</ns0:f>
        <ns0:v>99</ns0:v>
      </ns0:c>
      <ns0:c r="F182" s="0">
        <ns0:f>IFERROR(IF(FIND(".",B182)=5,--C182,--E182),0)</ns0:f>
        <ns0:v>0</ns0:v>
      </ns0:c>
      <ns0:c r="G182" s="0">
        <ns0:f>IFERROR(--D182,0)</ns0:f>
        <ns0:v>0</ns0:v>
      </ns0:c>
      <ns0:c r="H182" s="0">
        <ns0:f>IFERROR(IF(FIND(".",B182)=5,--E182,--C182),0)</ns0:f>
        <ns0:v>0</ns0:v>
      </ns0:c>
      <ns0:c r="I182" s="0">
        <ns0:f>IFERROR(IF(AND(F182&gt;=2000,F182&lt;=2100,G182&gt;=1,G182&lt;=12,H182&gt;=1,H182&lt;=31),DATE(F182,G182,H182),0),0)</ns0:f>
        <ns0:v>0</ns0:v>
      </ns0:c>
      <ns0:c r="J182" s="0">
        <ns0:f>IFERROR(IF(ISNUMBER(Bookings!B182),IF(AND(Bookings!B182=INT(Bookings!B182),Bookings!B182&gt;=DATE(2000,1,1),Bookings!B182&lt;=DATE(2100,12,31)),Bookings!B182,0),IF(AND(A182&lt;&gt;"",LEN("x"&amp;B182)-LEN(SUBSTITUTE("x"&amp;B182,".",""))=2,OR(1&gt;LEN(B182),MID(B182,1,1)=".",ISNUMBER(FIND("x"&amp;MID(B182,1,1),"x0x1x2x3x4x5x6x7x8x9"))),OR(2&gt;LEN(B182),MID(B182,2,1)=".",ISNUMBER(FIND("x"&amp;MID(B182,2,1),"x0x1x2x3x4x5x6x7x8x9"))),OR(3&gt;LEN(B182),MID(B182,3,1)=".",ISNUMBER(FIND("x"&amp;MID(B182,3,1),"x0x1x2x3x4x5x6x7x8x9"))),OR(4&gt;LEN(B182),MID(B182,4,1)=".",ISNUMBER(FIND("x"&amp;MID(B182,4,1),"x0x1x2x3x4x5x6x7x8x9"))),OR(5&gt;LEN(B182),MID(B182,5,1)=".",ISNUMBER(FIND("x"&amp;MID(B182,5,1),"x0x1x2x3x4x5x6x7x8x9"))),OR(6&gt;LEN(B182),MID(B182,6,1)=".",ISNUMBER(FIND("x"&amp;MID(B182,6,1),"x0x1x2x3x4x5x6x7x8x9"))),OR(7&gt;LEN(B182),MID(B182,7,1)=".",ISNUMBER(FIND("x"&amp;MID(B182,7,1),"x0x1x2x3x4x5x6x7x8x9"))),OR(8&gt;LEN(B182),MID(B182,8,1)=".",ISNUMBER(FIND("x"&amp;MID(B182,8,1),"x0x1x2x3x4x5x6x7x8x9"))),OR(9&gt;LEN(B182),MID(B182,9,1)=".",ISNUMBER(FIND("x"&amp;MID(B182,9,1),"x0x1x2x3x4x5x6x7x8x9"))),OR(10&gt;LEN(B182),MID(B182,10,1)=".",ISNUMBER(FIND("x"&amp;MID(B182,10,1),"x0x1x2x3x4x5x6x7x8x9"))),OR(AND(FIND(".",B182)=5,LEN(B182)-FIND(".",B182,FIND(".",B182)+1)&gt;=1,LEN(B182)-FIND(".",B182,FIND(".",B182)+1)&lt;=2),AND(LEN(B182)-FIND(".",B182,FIND(".",B182)+1)=4,FIND(".",B182)&gt;=2,FIND(".",B182)&lt;=3)),FIND(".",B182,FIND(".",B182)+1)-FIND(".",B182)&gt;=2,FIND(".",B182,FIND(".",B182)+1)-FIND(".",B182)&lt;=3,F182&gt;=2000,F182&lt;=2100,YEAR(I182)=F182,MONTH(I182)=G182,DAY(I182)=H182),I182,0)),0)</ns0:f>
        <ns0:v>0</ns0:v>
      </ns0:c>
      <ns0:c r="K182" s="0">
        <ns0:f>IFERROR(IF(ISNUMBER(Bookings!D182),"",TRIM(Bookings!D182&amp;"")),"")</ns0:f>
      </ns0:c>
      <ns0:c r="L182" s="0">
        <ns0:f>IFERROR(SUBSTITUTE(SUBSTITUTE(K182,"/","."),"-","."),"")</ns0:f>
      </ns0:c>
      <ns0:c r="M182" s="0">
        <ns0:f>IFERROR(LEFT(L182,FIND(".",L182)-1),"")</ns0:f>
      </ns0:c>
      <ns0:c r="N182" s="0">
        <ns0:f>IFERROR(MID(L182,FIND(".",L182)+1,FIND(".",L182,FIND(".",L182)+1)-FIND(".",L182)-1),"")</ns0:f>
      </ns0:c>
      <ns0:c r="O182" s="0">
        <ns0:f>IFERROR(MID(L182,FIND(".",L182,FIND(".",L182)+1)+1,99),"")</ns0:f>
        <ns0:v>99</ns0:v>
      </ns0:c>
      <ns0:c r="P182" s="0">
        <ns0:f>IFERROR(IF(FIND(".",L182)=5,--M182,--O182),0)</ns0:f>
        <ns0:v>0</ns0:v>
      </ns0:c>
      <ns0:c r="Q182" s="0">
        <ns0:f>IFERROR(--N182,0)</ns0:f>
        <ns0:v>0</ns0:v>
      </ns0:c>
      <ns0:c r="R182" s="0">
        <ns0:f>IFERROR(IF(FIND(".",L182)=5,--O182,--M182),0)</ns0:f>
        <ns0:v>0</ns0:v>
      </ns0:c>
      <ns0:c r="S182" s="0">
        <ns0:f>IFERROR(IF(AND(P182&gt;=2000,P182&lt;=2100,Q182&gt;=1,Q182&lt;=12,R182&gt;=1,R182&lt;=31),DATE(P182,Q182,R182),0),0)</ns0:f>
        <ns0:v>0</ns0:v>
      </ns0:c>
      <ns0:c r="T182" s="0">
        <ns0:f>IFERROR(IF(ISNUMBER(Bookings!D182),IF(AND(Bookings!D182=INT(Bookings!D182),Bookings!D182&gt;=DATE(2000,1,1),Bookings!D182&lt;=DATE(2100,12,31)),Bookings!D182,0),IF(AND(K182&lt;&gt;"",LEN("x"&amp;L182)-LEN(SUBSTITUTE("x"&amp;L182,".",""))=2,OR(1&gt;LEN(L182),MID(L182,1,1)=".",ISNUMBER(FIND("x"&amp;MID(L182,1,1),"x0x1x2x3x4x5x6x7x8x9"))),OR(2&gt;LEN(L182),MID(L182,2,1)=".",ISNUMBER(FIND("x"&amp;MID(L182,2,1),"x0x1x2x3x4x5x6x7x8x9"))),OR(3&gt;LEN(L182),MID(L182,3,1)=".",ISNUMBER(FIND("x"&amp;MID(L182,3,1),"x0x1x2x3x4x5x6x7x8x9"))),OR(4&gt;LEN(L182),MID(L182,4,1)=".",ISNUMBER(FIND("x"&amp;MID(L182,4,1),"x0x1x2x3x4x5x6x7x8x9"))),OR(5&gt;LEN(L182),MID(L182,5,1)=".",ISNUMBER(FIND("x"&amp;MID(L182,5,1),"x0x1x2x3x4x5x6x7x8x9"))),OR(6&gt;LEN(L182),MID(L182,6,1)=".",ISNUMBER(FIND("x"&amp;MID(L182,6,1),"x0x1x2x3x4x5x6x7x8x9"))),OR(7&gt;LEN(L182),MID(L182,7,1)=".",ISNUMBER(FIND("x"&amp;MID(L182,7,1),"x0x1x2x3x4x5x6x7x8x9"))),OR(8&gt;LEN(L182),MID(L182,8,1)=".",ISNUMBER(FIND("x"&amp;MID(L182,8,1),"x0x1x2x3x4x5x6x7x8x9"))),OR(9&gt;LEN(L182),MID(L182,9,1)=".",ISNUMBER(FIND("x"&amp;MID(L182,9,1),"x0x1x2x3x4x5x6x7x8x9"))),OR(10&gt;LEN(L182),MID(L182,10,1)=".",ISNUMBER(FIND("x"&amp;MID(L182,10,1),"x0x1x2x3x4x5x6x7x8x9"))),OR(AND(FIND(".",L182)=5,LEN(L182)-FIND(".",L182,FIND(".",L182)+1)&gt;=1,LEN(L182)-FIND(".",L182,FIND(".",L182)+1)&lt;=2),AND(LEN(L182)-FIND(".",L182,FIND(".",L182)+1)=4,FIND(".",L182)&gt;=2,FIND(".",L182)&lt;=3)),FIND(".",L182,FIND(".",L182)+1)-FIND(".",L182)&gt;=2,FIND(".",L182,FIND(".",L182)+1)-FIND(".",L182)&lt;=3,P182&gt;=2000,P182&lt;=2100,YEAR(S182)=P182,MONTH(S182)=Q182,DAY(S182)=R182),S182,0)),0)</ns0:f>
        <ns0:v>0</ns0:v>
      </ns0:c>
      <ns0:c r="U182" s="0" t="str">
        <ns0:f>IF(Bookings!C182="","Full day",Bookings!C182)</ns0:f>
        <ns0:v>Full day</ns0:v>
      </ns0:c>
      <ns0:c r="V182" s="0" t="str">
        <ns0:f>IF(Bookings!E182="","Full day",Bookings!E182)</ns0:f>
        <ns0:v>Full day</ns0:v>
      </ns0:c>
      <ns0:c r="W182" s="0">
        <ns0:f>IF(J182=0,0,J182+IF(U182="PM",1,0))</ns0:f>
        <ns0:v>0</ns0:v>
      </ns0:c>
      <ns0:c r="X182" s="0">
        <ns0:f>IF(T182=0,0,T182-IF(V182="PM",1,0))</ns0:f>
        <ns0:v>0</ns0:v>
      </ns0:c>
      <ns0:c r="Y182" s="0">
        <ns0:f>IF(J182=0,0,J182+IF(U182="AM",1,0))</ns0:f>
        <ns0:v>0</ns0:v>
      </ns0:c>
      <ns0:c r="Z182" s="0">
        <ns0:f>IF(T182=0,0,T182-IF(V182="AM",1,0))</ns0:f>
        <ns0:v>0</ns0:v>
      </ns0:c>
      <ns0:c r="AA182" s="0">
        <ns0:f>IFERROR(IF(AND(J182&gt;0,'_Engine'!C182&gt;0,MID('_Engine'!W182,WEEKDAY(J182,2),1)="W",COUNTIF(Settings!$F$18:$F$67,J182)=0),1,0),0)</ns0:f>
        <ns0:v>0</ns0:v>
      </ns0:c>
      <ns0:c r="AB182" s="0">
        <ns0:f>IFERROR(IF(AND(T182&gt;0,'_Engine'!C182&gt;0,MID('_Engine'!W182,WEEKDAY(T182,2),1)="W",COUNTIF(Settings!$F$18:$F$67,T182)=0),1,0),0)</ns0:f>
        <ns0:v>0</ns0:v>
      </ns0:c>
      <ns0:c r="AC182" s="0">
        <ns0:f>IF(AND(J182&gt;0,T182&gt;0,W182&lt;=X182),1,0)</ns0:f>
        <ns0:v>0</ns0:v>
      </ns0:c>
      <ns0:c r="AD182" s="0">
        <ns0:f>IF(AND(J182&gt;0,T182&gt;0,Y182&lt;=Z182),1,0)</ns0:f>
        <ns0:v>0</ns0:v>
      </ns0:c>
    </ns0:row>
    <ns0:row r="183">
      <ns0:c r="A183" s="0">
        <ns0:f>IFERROR(IF(ISNUMBER(Bookings!B183),"",TRIM(Bookings!B183&amp;"")),"")</ns0:f>
      </ns0:c>
      <ns0:c r="B183" s="0">
        <ns0:f>IFERROR(SUBSTITUTE(SUBSTITUTE(A183,"/","."),"-","."),"")</ns0:f>
      </ns0:c>
      <ns0:c r="C183" s="0">
        <ns0:f>IFERROR(LEFT(B183,FIND(".",B183)-1),"")</ns0:f>
      </ns0:c>
      <ns0:c r="D183" s="0">
        <ns0:f>IFERROR(MID(B183,FIND(".",B183)+1,FIND(".",B183,FIND(".",B183)+1)-FIND(".",B183)-1),"")</ns0:f>
      </ns0:c>
      <ns0:c r="E183" s="0">
        <ns0:f>IFERROR(MID(B183,FIND(".",B183,FIND(".",B183)+1)+1,99),"")</ns0:f>
        <ns0:v>99</ns0:v>
      </ns0:c>
      <ns0:c r="F183" s="0">
        <ns0:f>IFERROR(IF(FIND(".",B183)=5,--C183,--E183),0)</ns0:f>
        <ns0:v>0</ns0:v>
      </ns0:c>
      <ns0:c r="G183" s="0">
        <ns0:f>IFERROR(--D183,0)</ns0:f>
        <ns0:v>0</ns0:v>
      </ns0:c>
      <ns0:c r="H183" s="0">
        <ns0:f>IFERROR(IF(FIND(".",B183)=5,--E183,--C183),0)</ns0:f>
        <ns0:v>0</ns0:v>
      </ns0:c>
      <ns0:c r="I183" s="0">
        <ns0:f>IFERROR(IF(AND(F183&gt;=2000,F183&lt;=2100,G183&gt;=1,G183&lt;=12,H183&gt;=1,H183&lt;=31),DATE(F183,G183,H183),0),0)</ns0:f>
        <ns0:v>0</ns0:v>
      </ns0:c>
      <ns0:c r="J183" s="0">
        <ns0:f>IFERROR(IF(ISNUMBER(Bookings!B183),IF(AND(Bookings!B183=INT(Bookings!B183),Bookings!B183&gt;=DATE(2000,1,1),Bookings!B183&lt;=DATE(2100,12,31)),Bookings!B183,0),IF(AND(A183&lt;&gt;"",LEN("x"&amp;B183)-LEN(SUBSTITUTE("x"&amp;B183,".",""))=2,OR(1&gt;LEN(B183),MID(B183,1,1)=".",ISNUMBER(FIND("x"&amp;MID(B183,1,1),"x0x1x2x3x4x5x6x7x8x9"))),OR(2&gt;LEN(B183),MID(B183,2,1)=".",ISNUMBER(FIND("x"&amp;MID(B183,2,1),"x0x1x2x3x4x5x6x7x8x9"))),OR(3&gt;LEN(B183),MID(B183,3,1)=".",ISNUMBER(FIND("x"&amp;MID(B183,3,1),"x0x1x2x3x4x5x6x7x8x9"))),OR(4&gt;LEN(B183),MID(B183,4,1)=".",ISNUMBER(FIND("x"&amp;MID(B183,4,1),"x0x1x2x3x4x5x6x7x8x9"))),OR(5&gt;LEN(B183),MID(B183,5,1)=".",ISNUMBER(FIND("x"&amp;MID(B183,5,1),"x0x1x2x3x4x5x6x7x8x9"))),OR(6&gt;LEN(B183),MID(B183,6,1)=".",ISNUMBER(FIND("x"&amp;MID(B183,6,1),"x0x1x2x3x4x5x6x7x8x9"))),OR(7&gt;LEN(B183),MID(B183,7,1)=".",ISNUMBER(FIND("x"&amp;MID(B183,7,1),"x0x1x2x3x4x5x6x7x8x9"))),OR(8&gt;LEN(B183),MID(B183,8,1)=".",ISNUMBER(FIND("x"&amp;MID(B183,8,1),"x0x1x2x3x4x5x6x7x8x9"))),OR(9&gt;LEN(B183),MID(B183,9,1)=".",ISNUMBER(FIND("x"&amp;MID(B183,9,1),"x0x1x2x3x4x5x6x7x8x9"))),OR(10&gt;LEN(B183),MID(B183,10,1)=".",ISNUMBER(FIND("x"&amp;MID(B183,10,1),"x0x1x2x3x4x5x6x7x8x9"))),OR(AND(FIND(".",B183)=5,LEN(B183)-FIND(".",B183,FIND(".",B183)+1)&gt;=1,LEN(B183)-FIND(".",B183,FIND(".",B183)+1)&lt;=2),AND(LEN(B183)-FIND(".",B183,FIND(".",B183)+1)=4,FIND(".",B183)&gt;=2,FIND(".",B183)&lt;=3)),FIND(".",B183,FIND(".",B183)+1)-FIND(".",B183)&gt;=2,FIND(".",B183,FIND(".",B183)+1)-FIND(".",B183)&lt;=3,F183&gt;=2000,F183&lt;=2100,YEAR(I183)=F183,MONTH(I183)=G183,DAY(I183)=H183),I183,0)),0)</ns0:f>
        <ns0:v>0</ns0:v>
      </ns0:c>
      <ns0:c r="K183" s="0">
        <ns0:f>IFERROR(IF(ISNUMBER(Bookings!D183),"",TRIM(Bookings!D183&amp;"")),"")</ns0:f>
      </ns0:c>
      <ns0:c r="L183" s="0">
        <ns0:f>IFERROR(SUBSTITUTE(SUBSTITUTE(K183,"/","."),"-","."),"")</ns0:f>
      </ns0:c>
      <ns0:c r="M183" s="0">
        <ns0:f>IFERROR(LEFT(L183,FIND(".",L183)-1),"")</ns0:f>
      </ns0:c>
      <ns0:c r="N183" s="0">
        <ns0:f>IFERROR(MID(L183,FIND(".",L183)+1,FIND(".",L183,FIND(".",L183)+1)-FIND(".",L183)-1),"")</ns0:f>
      </ns0:c>
      <ns0:c r="O183" s="0">
        <ns0:f>IFERROR(MID(L183,FIND(".",L183,FIND(".",L183)+1)+1,99),"")</ns0:f>
        <ns0:v>99</ns0:v>
      </ns0:c>
      <ns0:c r="P183" s="0">
        <ns0:f>IFERROR(IF(FIND(".",L183)=5,--M183,--O183),0)</ns0:f>
        <ns0:v>0</ns0:v>
      </ns0:c>
      <ns0:c r="Q183" s="0">
        <ns0:f>IFERROR(--N183,0)</ns0:f>
        <ns0:v>0</ns0:v>
      </ns0:c>
      <ns0:c r="R183" s="0">
        <ns0:f>IFERROR(IF(FIND(".",L183)=5,--O183,--M183),0)</ns0:f>
        <ns0:v>0</ns0:v>
      </ns0:c>
      <ns0:c r="S183" s="0">
        <ns0:f>IFERROR(IF(AND(P183&gt;=2000,P183&lt;=2100,Q183&gt;=1,Q183&lt;=12,R183&gt;=1,R183&lt;=31),DATE(P183,Q183,R183),0),0)</ns0:f>
        <ns0:v>0</ns0:v>
      </ns0:c>
      <ns0:c r="T183" s="0">
        <ns0:f>IFERROR(IF(ISNUMBER(Bookings!D183),IF(AND(Bookings!D183=INT(Bookings!D183),Bookings!D183&gt;=DATE(2000,1,1),Bookings!D183&lt;=DATE(2100,12,31)),Bookings!D183,0),IF(AND(K183&lt;&gt;"",LEN("x"&amp;L183)-LEN(SUBSTITUTE("x"&amp;L183,".",""))=2,OR(1&gt;LEN(L183),MID(L183,1,1)=".",ISNUMBER(FIND("x"&amp;MID(L183,1,1),"x0x1x2x3x4x5x6x7x8x9"))),OR(2&gt;LEN(L183),MID(L183,2,1)=".",ISNUMBER(FIND("x"&amp;MID(L183,2,1),"x0x1x2x3x4x5x6x7x8x9"))),OR(3&gt;LEN(L183),MID(L183,3,1)=".",ISNUMBER(FIND("x"&amp;MID(L183,3,1),"x0x1x2x3x4x5x6x7x8x9"))),OR(4&gt;LEN(L183),MID(L183,4,1)=".",ISNUMBER(FIND("x"&amp;MID(L183,4,1),"x0x1x2x3x4x5x6x7x8x9"))),OR(5&gt;LEN(L183),MID(L183,5,1)=".",ISNUMBER(FIND("x"&amp;MID(L183,5,1),"x0x1x2x3x4x5x6x7x8x9"))),OR(6&gt;LEN(L183),MID(L183,6,1)=".",ISNUMBER(FIND("x"&amp;MID(L183,6,1),"x0x1x2x3x4x5x6x7x8x9"))),OR(7&gt;LEN(L183),MID(L183,7,1)=".",ISNUMBER(FIND("x"&amp;MID(L183,7,1),"x0x1x2x3x4x5x6x7x8x9"))),OR(8&gt;LEN(L183),MID(L183,8,1)=".",ISNUMBER(FIND("x"&amp;MID(L183,8,1),"x0x1x2x3x4x5x6x7x8x9"))),OR(9&gt;LEN(L183),MID(L183,9,1)=".",ISNUMBER(FIND("x"&amp;MID(L183,9,1),"x0x1x2x3x4x5x6x7x8x9"))),OR(10&gt;LEN(L183),MID(L183,10,1)=".",ISNUMBER(FIND("x"&amp;MID(L183,10,1),"x0x1x2x3x4x5x6x7x8x9"))),OR(AND(FIND(".",L183)=5,LEN(L183)-FIND(".",L183,FIND(".",L183)+1)&gt;=1,LEN(L183)-FIND(".",L183,FIND(".",L183)+1)&lt;=2),AND(LEN(L183)-FIND(".",L183,FIND(".",L183)+1)=4,FIND(".",L183)&gt;=2,FIND(".",L183)&lt;=3)),FIND(".",L183,FIND(".",L183)+1)-FIND(".",L183)&gt;=2,FIND(".",L183,FIND(".",L183)+1)-FIND(".",L183)&lt;=3,P183&gt;=2000,P183&lt;=2100,YEAR(S183)=P183,MONTH(S183)=Q183,DAY(S183)=R183),S183,0)),0)</ns0:f>
        <ns0:v>0</ns0:v>
      </ns0:c>
      <ns0:c r="U183" s="0" t="str">
        <ns0:f>IF(Bookings!C183="","Full day",Bookings!C183)</ns0:f>
        <ns0:v>Full day</ns0:v>
      </ns0:c>
      <ns0:c r="V183" s="0" t="str">
        <ns0:f>IF(Bookings!E183="","Full day",Bookings!E183)</ns0:f>
        <ns0:v>Full day</ns0:v>
      </ns0:c>
      <ns0:c r="W183" s="0">
        <ns0:f>IF(J183=0,0,J183+IF(U183="PM",1,0))</ns0:f>
        <ns0:v>0</ns0:v>
      </ns0:c>
      <ns0:c r="X183" s="0">
        <ns0:f>IF(T183=0,0,T183-IF(V183="PM",1,0))</ns0:f>
        <ns0:v>0</ns0:v>
      </ns0:c>
      <ns0:c r="Y183" s="0">
        <ns0:f>IF(J183=0,0,J183+IF(U183="AM",1,0))</ns0:f>
        <ns0:v>0</ns0:v>
      </ns0:c>
      <ns0:c r="Z183" s="0">
        <ns0:f>IF(T183=0,0,T183-IF(V183="AM",1,0))</ns0:f>
        <ns0:v>0</ns0:v>
      </ns0:c>
      <ns0:c r="AA183" s="0">
        <ns0:f>IFERROR(IF(AND(J183&gt;0,'_Engine'!C183&gt;0,MID('_Engine'!W183,WEEKDAY(J183,2),1)="W",COUNTIF(Settings!$F$18:$F$67,J183)=0),1,0),0)</ns0:f>
        <ns0:v>0</ns0:v>
      </ns0:c>
      <ns0:c r="AB183" s="0">
        <ns0:f>IFERROR(IF(AND(T183&gt;0,'_Engine'!C183&gt;0,MID('_Engine'!W183,WEEKDAY(T183,2),1)="W",COUNTIF(Settings!$F$18:$F$67,T183)=0),1,0),0)</ns0:f>
        <ns0:v>0</ns0:v>
      </ns0:c>
      <ns0:c r="AC183" s="0">
        <ns0:f>IF(AND(J183&gt;0,T183&gt;0,W183&lt;=X183),1,0)</ns0:f>
        <ns0:v>0</ns0:v>
      </ns0:c>
      <ns0:c r="AD183" s="0">
        <ns0:f>IF(AND(J183&gt;0,T183&gt;0,Y183&lt;=Z183),1,0)</ns0:f>
        <ns0:v>0</ns0:v>
      </ns0:c>
    </ns0:row>
    <ns0:row r="184">
      <ns0:c r="A184" s="0">
        <ns0:f>IFERROR(IF(ISNUMBER(Bookings!B184),"",TRIM(Bookings!B184&amp;"")),"")</ns0:f>
      </ns0:c>
      <ns0:c r="B184" s="0">
        <ns0:f>IFERROR(SUBSTITUTE(SUBSTITUTE(A184,"/","."),"-","."),"")</ns0:f>
      </ns0:c>
      <ns0:c r="C184" s="0">
        <ns0:f>IFERROR(LEFT(B184,FIND(".",B184)-1),"")</ns0:f>
      </ns0:c>
      <ns0:c r="D184" s="0">
        <ns0:f>IFERROR(MID(B184,FIND(".",B184)+1,FIND(".",B184,FIND(".",B184)+1)-FIND(".",B184)-1),"")</ns0:f>
      </ns0:c>
      <ns0:c r="E184" s="0">
        <ns0:f>IFERROR(MID(B184,FIND(".",B184,FIND(".",B184)+1)+1,99),"")</ns0:f>
        <ns0:v>99</ns0:v>
      </ns0:c>
      <ns0:c r="F184" s="0">
        <ns0:f>IFERROR(IF(FIND(".",B184)=5,--C184,--E184),0)</ns0:f>
        <ns0:v>0</ns0:v>
      </ns0:c>
      <ns0:c r="G184" s="0">
        <ns0:f>IFERROR(--D184,0)</ns0:f>
        <ns0:v>0</ns0:v>
      </ns0:c>
      <ns0:c r="H184" s="0">
        <ns0:f>IFERROR(IF(FIND(".",B184)=5,--E184,--C184),0)</ns0:f>
        <ns0:v>0</ns0:v>
      </ns0:c>
      <ns0:c r="I184" s="0">
        <ns0:f>IFERROR(IF(AND(F184&gt;=2000,F184&lt;=2100,G184&gt;=1,G184&lt;=12,H184&gt;=1,H184&lt;=31),DATE(F184,G184,H184),0),0)</ns0:f>
        <ns0:v>0</ns0:v>
      </ns0:c>
      <ns0:c r="J184" s="0">
        <ns0:f>IFERROR(IF(ISNUMBER(Bookings!B184),IF(AND(Bookings!B184=INT(Bookings!B184),Bookings!B184&gt;=DATE(2000,1,1),Bookings!B184&lt;=DATE(2100,12,31)),Bookings!B184,0),IF(AND(A184&lt;&gt;"",LEN("x"&amp;B184)-LEN(SUBSTITUTE("x"&amp;B184,".",""))=2,OR(1&gt;LEN(B184),MID(B184,1,1)=".",ISNUMBER(FIND("x"&amp;MID(B184,1,1),"x0x1x2x3x4x5x6x7x8x9"))),OR(2&gt;LEN(B184),MID(B184,2,1)=".",ISNUMBER(FIND("x"&amp;MID(B184,2,1),"x0x1x2x3x4x5x6x7x8x9"))),OR(3&gt;LEN(B184),MID(B184,3,1)=".",ISNUMBER(FIND("x"&amp;MID(B184,3,1),"x0x1x2x3x4x5x6x7x8x9"))),OR(4&gt;LEN(B184),MID(B184,4,1)=".",ISNUMBER(FIND("x"&amp;MID(B184,4,1),"x0x1x2x3x4x5x6x7x8x9"))),OR(5&gt;LEN(B184),MID(B184,5,1)=".",ISNUMBER(FIND("x"&amp;MID(B184,5,1),"x0x1x2x3x4x5x6x7x8x9"))),OR(6&gt;LEN(B184),MID(B184,6,1)=".",ISNUMBER(FIND("x"&amp;MID(B184,6,1),"x0x1x2x3x4x5x6x7x8x9"))),OR(7&gt;LEN(B184),MID(B184,7,1)=".",ISNUMBER(FIND("x"&amp;MID(B184,7,1),"x0x1x2x3x4x5x6x7x8x9"))),OR(8&gt;LEN(B184),MID(B184,8,1)=".",ISNUMBER(FIND("x"&amp;MID(B184,8,1),"x0x1x2x3x4x5x6x7x8x9"))),OR(9&gt;LEN(B184),MID(B184,9,1)=".",ISNUMBER(FIND("x"&amp;MID(B184,9,1),"x0x1x2x3x4x5x6x7x8x9"))),OR(10&gt;LEN(B184),MID(B184,10,1)=".",ISNUMBER(FIND("x"&amp;MID(B184,10,1),"x0x1x2x3x4x5x6x7x8x9"))),OR(AND(FIND(".",B184)=5,LEN(B184)-FIND(".",B184,FIND(".",B184)+1)&gt;=1,LEN(B184)-FIND(".",B184,FIND(".",B184)+1)&lt;=2),AND(LEN(B184)-FIND(".",B184,FIND(".",B184)+1)=4,FIND(".",B184)&gt;=2,FIND(".",B184)&lt;=3)),FIND(".",B184,FIND(".",B184)+1)-FIND(".",B184)&gt;=2,FIND(".",B184,FIND(".",B184)+1)-FIND(".",B184)&lt;=3,F184&gt;=2000,F184&lt;=2100,YEAR(I184)=F184,MONTH(I184)=G184,DAY(I184)=H184),I184,0)),0)</ns0:f>
        <ns0:v>0</ns0:v>
      </ns0:c>
      <ns0:c r="K184" s="0">
        <ns0:f>IFERROR(IF(ISNUMBER(Bookings!D184),"",TRIM(Bookings!D184&amp;"")),"")</ns0:f>
      </ns0:c>
      <ns0:c r="L184" s="0">
        <ns0:f>IFERROR(SUBSTITUTE(SUBSTITUTE(K184,"/","."),"-","."),"")</ns0:f>
      </ns0:c>
      <ns0:c r="M184" s="0">
        <ns0:f>IFERROR(LEFT(L184,FIND(".",L184)-1),"")</ns0:f>
      </ns0:c>
      <ns0:c r="N184" s="0">
        <ns0:f>IFERROR(MID(L184,FIND(".",L184)+1,FIND(".",L184,FIND(".",L184)+1)-FIND(".",L184)-1),"")</ns0:f>
      </ns0:c>
      <ns0:c r="O184" s="0">
        <ns0:f>IFERROR(MID(L184,FIND(".",L184,FIND(".",L184)+1)+1,99),"")</ns0:f>
        <ns0:v>99</ns0:v>
      </ns0:c>
      <ns0:c r="P184" s="0">
        <ns0:f>IFERROR(IF(FIND(".",L184)=5,--M184,--O184),0)</ns0:f>
        <ns0:v>0</ns0:v>
      </ns0:c>
      <ns0:c r="Q184" s="0">
        <ns0:f>IFERROR(--N184,0)</ns0:f>
        <ns0:v>0</ns0:v>
      </ns0:c>
      <ns0:c r="R184" s="0">
        <ns0:f>IFERROR(IF(FIND(".",L184)=5,--O184,--M184),0)</ns0:f>
        <ns0:v>0</ns0:v>
      </ns0:c>
      <ns0:c r="S184" s="0">
        <ns0:f>IFERROR(IF(AND(P184&gt;=2000,P184&lt;=2100,Q184&gt;=1,Q184&lt;=12,R184&gt;=1,R184&lt;=31),DATE(P184,Q184,R184),0),0)</ns0:f>
        <ns0:v>0</ns0:v>
      </ns0:c>
      <ns0:c r="T184" s="0">
        <ns0:f>IFERROR(IF(ISNUMBER(Bookings!D184),IF(AND(Bookings!D184=INT(Bookings!D184),Bookings!D184&gt;=DATE(2000,1,1),Bookings!D184&lt;=DATE(2100,12,31)),Bookings!D184,0),IF(AND(K184&lt;&gt;"",LEN("x"&amp;L184)-LEN(SUBSTITUTE("x"&amp;L184,".",""))=2,OR(1&gt;LEN(L184),MID(L184,1,1)=".",ISNUMBER(FIND("x"&amp;MID(L184,1,1),"x0x1x2x3x4x5x6x7x8x9"))),OR(2&gt;LEN(L184),MID(L184,2,1)=".",ISNUMBER(FIND("x"&amp;MID(L184,2,1),"x0x1x2x3x4x5x6x7x8x9"))),OR(3&gt;LEN(L184),MID(L184,3,1)=".",ISNUMBER(FIND("x"&amp;MID(L184,3,1),"x0x1x2x3x4x5x6x7x8x9"))),OR(4&gt;LEN(L184),MID(L184,4,1)=".",ISNUMBER(FIND("x"&amp;MID(L184,4,1),"x0x1x2x3x4x5x6x7x8x9"))),OR(5&gt;LEN(L184),MID(L184,5,1)=".",ISNUMBER(FIND("x"&amp;MID(L184,5,1),"x0x1x2x3x4x5x6x7x8x9"))),OR(6&gt;LEN(L184),MID(L184,6,1)=".",ISNUMBER(FIND("x"&amp;MID(L184,6,1),"x0x1x2x3x4x5x6x7x8x9"))),OR(7&gt;LEN(L184),MID(L184,7,1)=".",ISNUMBER(FIND("x"&amp;MID(L184,7,1),"x0x1x2x3x4x5x6x7x8x9"))),OR(8&gt;LEN(L184),MID(L184,8,1)=".",ISNUMBER(FIND("x"&amp;MID(L184,8,1),"x0x1x2x3x4x5x6x7x8x9"))),OR(9&gt;LEN(L184),MID(L184,9,1)=".",ISNUMBER(FIND("x"&amp;MID(L184,9,1),"x0x1x2x3x4x5x6x7x8x9"))),OR(10&gt;LEN(L184),MID(L184,10,1)=".",ISNUMBER(FIND("x"&amp;MID(L184,10,1),"x0x1x2x3x4x5x6x7x8x9"))),OR(AND(FIND(".",L184)=5,LEN(L184)-FIND(".",L184,FIND(".",L184)+1)&gt;=1,LEN(L184)-FIND(".",L184,FIND(".",L184)+1)&lt;=2),AND(LEN(L184)-FIND(".",L184,FIND(".",L184)+1)=4,FIND(".",L184)&gt;=2,FIND(".",L184)&lt;=3)),FIND(".",L184,FIND(".",L184)+1)-FIND(".",L184)&gt;=2,FIND(".",L184,FIND(".",L184)+1)-FIND(".",L184)&lt;=3,P184&gt;=2000,P184&lt;=2100,YEAR(S184)=P184,MONTH(S184)=Q184,DAY(S184)=R184),S184,0)),0)</ns0:f>
        <ns0:v>0</ns0:v>
      </ns0:c>
      <ns0:c r="U184" s="0" t="str">
        <ns0:f>IF(Bookings!C184="","Full day",Bookings!C184)</ns0:f>
        <ns0:v>Full day</ns0:v>
      </ns0:c>
      <ns0:c r="V184" s="0" t="str">
        <ns0:f>IF(Bookings!E184="","Full day",Bookings!E184)</ns0:f>
        <ns0:v>Full day</ns0:v>
      </ns0:c>
      <ns0:c r="W184" s="0">
        <ns0:f>IF(J184=0,0,J184+IF(U184="PM",1,0))</ns0:f>
        <ns0:v>0</ns0:v>
      </ns0:c>
      <ns0:c r="X184" s="0">
        <ns0:f>IF(T184=0,0,T184-IF(V184="PM",1,0))</ns0:f>
        <ns0:v>0</ns0:v>
      </ns0:c>
      <ns0:c r="Y184" s="0">
        <ns0:f>IF(J184=0,0,J184+IF(U184="AM",1,0))</ns0:f>
        <ns0:v>0</ns0:v>
      </ns0:c>
      <ns0:c r="Z184" s="0">
        <ns0:f>IF(T184=0,0,T184-IF(V184="AM",1,0))</ns0:f>
        <ns0:v>0</ns0:v>
      </ns0:c>
      <ns0:c r="AA184" s="0">
        <ns0:f>IFERROR(IF(AND(J184&gt;0,'_Engine'!C184&gt;0,MID('_Engine'!W184,WEEKDAY(J184,2),1)="W",COUNTIF(Settings!$F$18:$F$67,J184)=0),1,0),0)</ns0:f>
        <ns0:v>0</ns0:v>
      </ns0:c>
      <ns0:c r="AB184" s="0">
        <ns0:f>IFERROR(IF(AND(T184&gt;0,'_Engine'!C184&gt;0,MID('_Engine'!W184,WEEKDAY(T184,2),1)="W",COUNTIF(Settings!$F$18:$F$67,T184)=0),1,0),0)</ns0:f>
        <ns0:v>0</ns0:v>
      </ns0:c>
      <ns0:c r="AC184" s="0">
        <ns0:f>IF(AND(J184&gt;0,T184&gt;0,W184&lt;=X184),1,0)</ns0:f>
        <ns0:v>0</ns0:v>
      </ns0:c>
      <ns0:c r="AD184" s="0">
        <ns0:f>IF(AND(J184&gt;0,T184&gt;0,Y184&lt;=Z184),1,0)</ns0:f>
        <ns0:v>0</ns0:v>
      </ns0:c>
    </ns0:row>
    <ns0:row r="185">
      <ns0:c r="A185" s="0">
        <ns0:f>IFERROR(IF(ISNUMBER(Bookings!B185),"",TRIM(Bookings!B185&amp;"")),"")</ns0:f>
      </ns0:c>
      <ns0:c r="B185" s="0">
        <ns0:f>IFERROR(SUBSTITUTE(SUBSTITUTE(A185,"/","."),"-","."),"")</ns0:f>
      </ns0:c>
      <ns0:c r="C185" s="0">
        <ns0:f>IFERROR(LEFT(B185,FIND(".",B185)-1),"")</ns0:f>
      </ns0:c>
      <ns0:c r="D185" s="0">
        <ns0:f>IFERROR(MID(B185,FIND(".",B185)+1,FIND(".",B185,FIND(".",B185)+1)-FIND(".",B185)-1),"")</ns0:f>
      </ns0:c>
      <ns0:c r="E185" s="0">
        <ns0:f>IFERROR(MID(B185,FIND(".",B185,FIND(".",B185)+1)+1,99),"")</ns0:f>
        <ns0:v>99</ns0:v>
      </ns0:c>
      <ns0:c r="F185" s="0">
        <ns0:f>IFERROR(IF(FIND(".",B185)=5,--C185,--E185),0)</ns0:f>
        <ns0:v>0</ns0:v>
      </ns0:c>
      <ns0:c r="G185" s="0">
        <ns0:f>IFERROR(--D185,0)</ns0:f>
        <ns0:v>0</ns0:v>
      </ns0:c>
      <ns0:c r="H185" s="0">
        <ns0:f>IFERROR(IF(FIND(".",B185)=5,--E185,--C185),0)</ns0:f>
        <ns0:v>0</ns0:v>
      </ns0:c>
      <ns0:c r="I185" s="0">
        <ns0:f>IFERROR(IF(AND(F185&gt;=2000,F185&lt;=2100,G185&gt;=1,G185&lt;=12,H185&gt;=1,H185&lt;=31),DATE(F185,G185,H185),0),0)</ns0:f>
        <ns0:v>0</ns0:v>
      </ns0:c>
      <ns0:c r="J185" s="0">
        <ns0:f>IFERROR(IF(ISNUMBER(Bookings!B185),IF(AND(Bookings!B185=INT(Bookings!B185),Bookings!B185&gt;=DATE(2000,1,1),Bookings!B185&lt;=DATE(2100,12,31)),Bookings!B185,0),IF(AND(A185&lt;&gt;"",LEN("x"&amp;B185)-LEN(SUBSTITUTE("x"&amp;B185,".",""))=2,OR(1&gt;LEN(B185),MID(B185,1,1)=".",ISNUMBER(FIND("x"&amp;MID(B185,1,1),"x0x1x2x3x4x5x6x7x8x9"))),OR(2&gt;LEN(B185),MID(B185,2,1)=".",ISNUMBER(FIND("x"&amp;MID(B185,2,1),"x0x1x2x3x4x5x6x7x8x9"))),OR(3&gt;LEN(B185),MID(B185,3,1)=".",ISNUMBER(FIND("x"&amp;MID(B185,3,1),"x0x1x2x3x4x5x6x7x8x9"))),OR(4&gt;LEN(B185),MID(B185,4,1)=".",ISNUMBER(FIND("x"&amp;MID(B185,4,1),"x0x1x2x3x4x5x6x7x8x9"))),OR(5&gt;LEN(B185),MID(B185,5,1)=".",ISNUMBER(FIND("x"&amp;MID(B185,5,1),"x0x1x2x3x4x5x6x7x8x9"))),OR(6&gt;LEN(B185),MID(B185,6,1)=".",ISNUMBER(FIND("x"&amp;MID(B185,6,1),"x0x1x2x3x4x5x6x7x8x9"))),OR(7&gt;LEN(B185),MID(B185,7,1)=".",ISNUMBER(FIND("x"&amp;MID(B185,7,1),"x0x1x2x3x4x5x6x7x8x9"))),OR(8&gt;LEN(B185),MID(B185,8,1)=".",ISNUMBER(FIND("x"&amp;MID(B185,8,1),"x0x1x2x3x4x5x6x7x8x9"))),OR(9&gt;LEN(B185),MID(B185,9,1)=".",ISNUMBER(FIND("x"&amp;MID(B185,9,1),"x0x1x2x3x4x5x6x7x8x9"))),OR(10&gt;LEN(B185),MID(B185,10,1)=".",ISNUMBER(FIND("x"&amp;MID(B185,10,1),"x0x1x2x3x4x5x6x7x8x9"))),OR(AND(FIND(".",B185)=5,LEN(B185)-FIND(".",B185,FIND(".",B185)+1)&gt;=1,LEN(B185)-FIND(".",B185,FIND(".",B185)+1)&lt;=2),AND(LEN(B185)-FIND(".",B185,FIND(".",B185)+1)=4,FIND(".",B185)&gt;=2,FIND(".",B185)&lt;=3)),FIND(".",B185,FIND(".",B185)+1)-FIND(".",B185)&gt;=2,FIND(".",B185,FIND(".",B185)+1)-FIND(".",B185)&lt;=3,F185&gt;=2000,F185&lt;=2100,YEAR(I185)=F185,MONTH(I185)=G185,DAY(I185)=H185),I185,0)),0)</ns0:f>
        <ns0:v>0</ns0:v>
      </ns0:c>
      <ns0:c r="K185" s="0">
        <ns0:f>IFERROR(IF(ISNUMBER(Bookings!D185),"",TRIM(Bookings!D185&amp;"")),"")</ns0:f>
      </ns0:c>
      <ns0:c r="L185" s="0">
        <ns0:f>IFERROR(SUBSTITUTE(SUBSTITUTE(K185,"/","."),"-","."),"")</ns0:f>
      </ns0:c>
      <ns0:c r="M185" s="0">
        <ns0:f>IFERROR(LEFT(L185,FIND(".",L185)-1),"")</ns0:f>
      </ns0:c>
      <ns0:c r="N185" s="0">
        <ns0:f>IFERROR(MID(L185,FIND(".",L185)+1,FIND(".",L185,FIND(".",L185)+1)-FIND(".",L185)-1),"")</ns0:f>
      </ns0:c>
      <ns0:c r="O185" s="0">
        <ns0:f>IFERROR(MID(L185,FIND(".",L185,FIND(".",L185)+1)+1,99),"")</ns0:f>
        <ns0:v>99</ns0:v>
      </ns0:c>
      <ns0:c r="P185" s="0">
        <ns0:f>IFERROR(IF(FIND(".",L185)=5,--M185,--O185),0)</ns0:f>
        <ns0:v>0</ns0:v>
      </ns0:c>
      <ns0:c r="Q185" s="0">
        <ns0:f>IFERROR(--N185,0)</ns0:f>
        <ns0:v>0</ns0:v>
      </ns0:c>
      <ns0:c r="R185" s="0">
        <ns0:f>IFERROR(IF(FIND(".",L185)=5,--O185,--M185),0)</ns0:f>
        <ns0:v>0</ns0:v>
      </ns0:c>
      <ns0:c r="S185" s="0">
        <ns0:f>IFERROR(IF(AND(P185&gt;=2000,P185&lt;=2100,Q185&gt;=1,Q185&lt;=12,R185&gt;=1,R185&lt;=31),DATE(P185,Q185,R185),0),0)</ns0:f>
        <ns0:v>0</ns0:v>
      </ns0:c>
      <ns0:c r="T185" s="0">
        <ns0:f>IFERROR(IF(ISNUMBER(Bookings!D185),IF(AND(Bookings!D185=INT(Bookings!D185),Bookings!D185&gt;=DATE(2000,1,1),Bookings!D185&lt;=DATE(2100,12,31)),Bookings!D185,0),IF(AND(K185&lt;&gt;"",LEN("x"&amp;L185)-LEN(SUBSTITUTE("x"&amp;L185,".",""))=2,OR(1&gt;LEN(L185),MID(L185,1,1)=".",ISNUMBER(FIND("x"&amp;MID(L185,1,1),"x0x1x2x3x4x5x6x7x8x9"))),OR(2&gt;LEN(L185),MID(L185,2,1)=".",ISNUMBER(FIND("x"&amp;MID(L185,2,1),"x0x1x2x3x4x5x6x7x8x9"))),OR(3&gt;LEN(L185),MID(L185,3,1)=".",ISNUMBER(FIND("x"&amp;MID(L185,3,1),"x0x1x2x3x4x5x6x7x8x9"))),OR(4&gt;LEN(L185),MID(L185,4,1)=".",ISNUMBER(FIND("x"&amp;MID(L185,4,1),"x0x1x2x3x4x5x6x7x8x9"))),OR(5&gt;LEN(L185),MID(L185,5,1)=".",ISNUMBER(FIND("x"&amp;MID(L185,5,1),"x0x1x2x3x4x5x6x7x8x9"))),OR(6&gt;LEN(L185),MID(L185,6,1)=".",ISNUMBER(FIND("x"&amp;MID(L185,6,1),"x0x1x2x3x4x5x6x7x8x9"))),OR(7&gt;LEN(L185),MID(L185,7,1)=".",ISNUMBER(FIND("x"&amp;MID(L185,7,1),"x0x1x2x3x4x5x6x7x8x9"))),OR(8&gt;LEN(L185),MID(L185,8,1)=".",ISNUMBER(FIND("x"&amp;MID(L185,8,1),"x0x1x2x3x4x5x6x7x8x9"))),OR(9&gt;LEN(L185),MID(L185,9,1)=".",ISNUMBER(FIND("x"&amp;MID(L185,9,1),"x0x1x2x3x4x5x6x7x8x9"))),OR(10&gt;LEN(L185),MID(L185,10,1)=".",ISNUMBER(FIND("x"&amp;MID(L185,10,1),"x0x1x2x3x4x5x6x7x8x9"))),OR(AND(FIND(".",L185)=5,LEN(L185)-FIND(".",L185,FIND(".",L185)+1)&gt;=1,LEN(L185)-FIND(".",L185,FIND(".",L185)+1)&lt;=2),AND(LEN(L185)-FIND(".",L185,FIND(".",L185)+1)=4,FIND(".",L185)&gt;=2,FIND(".",L185)&lt;=3)),FIND(".",L185,FIND(".",L185)+1)-FIND(".",L185)&gt;=2,FIND(".",L185,FIND(".",L185)+1)-FIND(".",L185)&lt;=3,P185&gt;=2000,P185&lt;=2100,YEAR(S185)=P185,MONTH(S185)=Q185,DAY(S185)=R185),S185,0)),0)</ns0:f>
        <ns0:v>0</ns0:v>
      </ns0:c>
      <ns0:c r="U185" s="0" t="str">
        <ns0:f>IF(Bookings!C185="","Full day",Bookings!C185)</ns0:f>
        <ns0:v>Full day</ns0:v>
      </ns0:c>
      <ns0:c r="V185" s="0" t="str">
        <ns0:f>IF(Bookings!E185="","Full day",Bookings!E185)</ns0:f>
        <ns0:v>Full day</ns0:v>
      </ns0:c>
      <ns0:c r="W185" s="0">
        <ns0:f>IF(J185=0,0,J185+IF(U185="PM",1,0))</ns0:f>
        <ns0:v>0</ns0:v>
      </ns0:c>
      <ns0:c r="X185" s="0">
        <ns0:f>IF(T185=0,0,T185-IF(V185="PM",1,0))</ns0:f>
        <ns0:v>0</ns0:v>
      </ns0:c>
      <ns0:c r="Y185" s="0">
        <ns0:f>IF(J185=0,0,J185+IF(U185="AM",1,0))</ns0:f>
        <ns0:v>0</ns0:v>
      </ns0:c>
      <ns0:c r="Z185" s="0">
        <ns0:f>IF(T185=0,0,T185-IF(V185="AM",1,0))</ns0:f>
        <ns0:v>0</ns0:v>
      </ns0:c>
      <ns0:c r="AA185" s="0">
        <ns0:f>IFERROR(IF(AND(J185&gt;0,'_Engine'!C185&gt;0,MID('_Engine'!W185,WEEKDAY(J185,2),1)="W",COUNTIF(Settings!$F$18:$F$67,J185)=0),1,0),0)</ns0:f>
        <ns0:v>0</ns0:v>
      </ns0:c>
      <ns0:c r="AB185" s="0">
        <ns0:f>IFERROR(IF(AND(T185&gt;0,'_Engine'!C185&gt;0,MID('_Engine'!W185,WEEKDAY(T185,2),1)="W",COUNTIF(Settings!$F$18:$F$67,T185)=0),1,0),0)</ns0:f>
        <ns0:v>0</ns0:v>
      </ns0:c>
      <ns0:c r="AC185" s="0">
        <ns0:f>IF(AND(J185&gt;0,T185&gt;0,W185&lt;=X185),1,0)</ns0:f>
        <ns0:v>0</ns0:v>
      </ns0:c>
      <ns0:c r="AD185" s="0">
        <ns0:f>IF(AND(J185&gt;0,T185&gt;0,Y185&lt;=Z185),1,0)</ns0:f>
        <ns0:v>0</ns0:v>
      </ns0:c>
    </ns0:row>
    <ns0:row r="186">
      <ns0:c r="A186" s="0">
        <ns0:f>IFERROR(IF(ISNUMBER(Bookings!B186),"",TRIM(Bookings!B186&amp;"")),"")</ns0:f>
      </ns0:c>
      <ns0:c r="B186" s="0">
        <ns0:f>IFERROR(SUBSTITUTE(SUBSTITUTE(A186,"/","."),"-","."),"")</ns0:f>
      </ns0:c>
      <ns0:c r="C186" s="0">
        <ns0:f>IFERROR(LEFT(B186,FIND(".",B186)-1),"")</ns0:f>
      </ns0:c>
      <ns0:c r="D186" s="0">
        <ns0:f>IFERROR(MID(B186,FIND(".",B186)+1,FIND(".",B186,FIND(".",B186)+1)-FIND(".",B186)-1),"")</ns0:f>
      </ns0:c>
      <ns0:c r="E186" s="0">
        <ns0:f>IFERROR(MID(B186,FIND(".",B186,FIND(".",B186)+1)+1,99),"")</ns0:f>
        <ns0:v>99</ns0:v>
      </ns0:c>
      <ns0:c r="F186" s="0">
        <ns0:f>IFERROR(IF(FIND(".",B186)=5,--C186,--E186),0)</ns0:f>
        <ns0:v>0</ns0:v>
      </ns0:c>
      <ns0:c r="G186" s="0">
        <ns0:f>IFERROR(--D186,0)</ns0:f>
        <ns0:v>0</ns0:v>
      </ns0:c>
      <ns0:c r="H186" s="0">
        <ns0:f>IFERROR(IF(FIND(".",B186)=5,--E186,--C186),0)</ns0:f>
        <ns0:v>0</ns0:v>
      </ns0:c>
      <ns0:c r="I186" s="0">
        <ns0:f>IFERROR(IF(AND(F186&gt;=2000,F186&lt;=2100,G186&gt;=1,G186&lt;=12,H186&gt;=1,H186&lt;=31),DATE(F186,G186,H186),0),0)</ns0:f>
        <ns0:v>0</ns0:v>
      </ns0:c>
      <ns0:c r="J186" s="0">
        <ns0:f>IFERROR(IF(ISNUMBER(Bookings!B186),IF(AND(Bookings!B186=INT(Bookings!B186),Bookings!B186&gt;=DATE(2000,1,1),Bookings!B186&lt;=DATE(2100,12,31)),Bookings!B186,0),IF(AND(A186&lt;&gt;"",LEN("x"&amp;B186)-LEN(SUBSTITUTE("x"&amp;B186,".",""))=2,OR(1&gt;LEN(B186),MID(B186,1,1)=".",ISNUMBER(FIND("x"&amp;MID(B186,1,1),"x0x1x2x3x4x5x6x7x8x9"))),OR(2&gt;LEN(B186),MID(B186,2,1)=".",ISNUMBER(FIND("x"&amp;MID(B186,2,1),"x0x1x2x3x4x5x6x7x8x9"))),OR(3&gt;LEN(B186),MID(B186,3,1)=".",ISNUMBER(FIND("x"&amp;MID(B186,3,1),"x0x1x2x3x4x5x6x7x8x9"))),OR(4&gt;LEN(B186),MID(B186,4,1)=".",ISNUMBER(FIND("x"&amp;MID(B186,4,1),"x0x1x2x3x4x5x6x7x8x9"))),OR(5&gt;LEN(B186),MID(B186,5,1)=".",ISNUMBER(FIND("x"&amp;MID(B186,5,1),"x0x1x2x3x4x5x6x7x8x9"))),OR(6&gt;LEN(B186),MID(B186,6,1)=".",ISNUMBER(FIND("x"&amp;MID(B186,6,1),"x0x1x2x3x4x5x6x7x8x9"))),OR(7&gt;LEN(B186),MID(B186,7,1)=".",ISNUMBER(FIND("x"&amp;MID(B186,7,1),"x0x1x2x3x4x5x6x7x8x9"))),OR(8&gt;LEN(B186),MID(B186,8,1)=".",ISNUMBER(FIND("x"&amp;MID(B186,8,1),"x0x1x2x3x4x5x6x7x8x9"))),OR(9&gt;LEN(B186),MID(B186,9,1)=".",ISNUMBER(FIND("x"&amp;MID(B186,9,1),"x0x1x2x3x4x5x6x7x8x9"))),OR(10&gt;LEN(B186),MID(B186,10,1)=".",ISNUMBER(FIND("x"&amp;MID(B186,10,1),"x0x1x2x3x4x5x6x7x8x9"))),OR(AND(FIND(".",B186)=5,LEN(B186)-FIND(".",B186,FIND(".",B186)+1)&gt;=1,LEN(B186)-FIND(".",B186,FIND(".",B186)+1)&lt;=2),AND(LEN(B186)-FIND(".",B186,FIND(".",B186)+1)=4,FIND(".",B186)&gt;=2,FIND(".",B186)&lt;=3)),FIND(".",B186,FIND(".",B186)+1)-FIND(".",B186)&gt;=2,FIND(".",B186,FIND(".",B186)+1)-FIND(".",B186)&lt;=3,F186&gt;=2000,F186&lt;=2100,YEAR(I186)=F186,MONTH(I186)=G186,DAY(I186)=H186),I186,0)),0)</ns0:f>
        <ns0:v>0</ns0:v>
      </ns0:c>
      <ns0:c r="K186" s="0">
        <ns0:f>IFERROR(IF(ISNUMBER(Bookings!D186),"",TRIM(Bookings!D186&amp;"")),"")</ns0:f>
      </ns0:c>
      <ns0:c r="L186" s="0">
        <ns0:f>IFERROR(SUBSTITUTE(SUBSTITUTE(K186,"/","."),"-","."),"")</ns0:f>
      </ns0:c>
      <ns0:c r="M186" s="0">
        <ns0:f>IFERROR(LEFT(L186,FIND(".",L186)-1),"")</ns0:f>
      </ns0:c>
      <ns0:c r="N186" s="0">
        <ns0:f>IFERROR(MID(L186,FIND(".",L186)+1,FIND(".",L186,FIND(".",L186)+1)-FIND(".",L186)-1),"")</ns0:f>
      </ns0:c>
      <ns0:c r="O186" s="0">
        <ns0:f>IFERROR(MID(L186,FIND(".",L186,FIND(".",L186)+1)+1,99),"")</ns0:f>
        <ns0:v>99</ns0:v>
      </ns0:c>
      <ns0:c r="P186" s="0">
        <ns0:f>IFERROR(IF(FIND(".",L186)=5,--M186,--O186),0)</ns0:f>
        <ns0:v>0</ns0:v>
      </ns0:c>
      <ns0:c r="Q186" s="0">
        <ns0:f>IFERROR(--N186,0)</ns0:f>
        <ns0:v>0</ns0:v>
      </ns0:c>
      <ns0:c r="R186" s="0">
        <ns0:f>IFERROR(IF(FIND(".",L186)=5,--O186,--M186),0)</ns0:f>
        <ns0:v>0</ns0:v>
      </ns0:c>
      <ns0:c r="S186" s="0">
        <ns0:f>IFERROR(IF(AND(P186&gt;=2000,P186&lt;=2100,Q186&gt;=1,Q186&lt;=12,R186&gt;=1,R186&lt;=31),DATE(P186,Q186,R186),0),0)</ns0:f>
        <ns0:v>0</ns0:v>
      </ns0:c>
      <ns0:c r="T186" s="0">
        <ns0:f>IFERROR(IF(ISNUMBER(Bookings!D186),IF(AND(Bookings!D186=INT(Bookings!D186),Bookings!D186&gt;=DATE(2000,1,1),Bookings!D186&lt;=DATE(2100,12,31)),Bookings!D186,0),IF(AND(K186&lt;&gt;"",LEN("x"&amp;L186)-LEN(SUBSTITUTE("x"&amp;L186,".",""))=2,OR(1&gt;LEN(L186),MID(L186,1,1)=".",ISNUMBER(FIND("x"&amp;MID(L186,1,1),"x0x1x2x3x4x5x6x7x8x9"))),OR(2&gt;LEN(L186),MID(L186,2,1)=".",ISNUMBER(FIND("x"&amp;MID(L186,2,1),"x0x1x2x3x4x5x6x7x8x9"))),OR(3&gt;LEN(L186),MID(L186,3,1)=".",ISNUMBER(FIND("x"&amp;MID(L186,3,1),"x0x1x2x3x4x5x6x7x8x9"))),OR(4&gt;LEN(L186),MID(L186,4,1)=".",ISNUMBER(FIND("x"&amp;MID(L186,4,1),"x0x1x2x3x4x5x6x7x8x9"))),OR(5&gt;LEN(L186),MID(L186,5,1)=".",ISNUMBER(FIND("x"&amp;MID(L186,5,1),"x0x1x2x3x4x5x6x7x8x9"))),OR(6&gt;LEN(L186),MID(L186,6,1)=".",ISNUMBER(FIND("x"&amp;MID(L186,6,1),"x0x1x2x3x4x5x6x7x8x9"))),OR(7&gt;LEN(L186),MID(L186,7,1)=".",ISNUMBER(FIND("x"&amp;MID(L186,7,1),"x0x1x2x3x4x5x6x7x8x9"))),OR(8&gt;LEN(L186),MID(L186,8,1)=".",ISNUMBER(FIND("x"&amp;MID(L186,8,1),"x0x1x2x3x4x5x6x7x8x9"))),OR(9&gt;LEN(L186),MID(L186,9,1)=".",ISNUMBER(FIND("x"&amp;MID(L186,9,1),"x0x1x2x3x4x5x6x7x8x9"))),OR(10&gt;LEN(L186),MID(L186,10,1)=".",ISNUMBER(FIND("x"&amp;MID(L186,10,1),"x0x1x2x3x4x5x6x7x8x9"))),OR(AND(FIND(".",L186)=5,LEN(L186)-FIND(".",L186,FIND(".",L186)+1)&gt;=1,LEN(L186)-FIND(".",L186,FIND(".",L186)+1)&lt;=2),AND(LEN(L186)-FIND(".",L186,FIND(".",L186)+1)=4,FIND(".",L186)&gt;=2,FIND(".",L186)&lt;=3)),FIND(".",L186,FIND(".",L186)+1)-FIND(".",L186)&gt;=2,FIND(".",L186,FIND(".",L186)+1)-FIND(".",L186)&lt;=3,P186&gt;=2000,P186&lt;=2100,YEAR(S186)=P186,MONTH(S186)=Q186,DAY(S186)=R186),S186,0)),0)</ns0:f>
        <ns0:v>0</ns0:v>
      </ns0:c>
      <ns0:c r="U186" s="0" t="str">
        <ns0:f>IF(Bookings!C186="","Full day",Bookings!C186)</ns0:f>
        <ns0:v>Full day</ns0:v>
      </ns0:c>
      <ns0:c r="V186" s="0" t="str">
        <ns0:f>IF(Bookings!E186="","Full day",Bookings!E186)</ns0:f>
        <ns0:v>Full day</ns0:v>
      </ns0:c>
      <ns0:c r="W186" s="0">
        <ns0:f>IF(J186=0,0,J186+IF(U186="PM",1,0))</ns0:f>
        <ns0:v>0</ns0:v>
      </ns0:c>
      <ns0:c r="X186" s="0">
        <ns0:f>IF(T186=0,0,T186-IF(V186="PM",1,0))</ns0:f>
        <ns0:v>0</ns0:v>
      </ns0:c>
      <ns0:c r="Y186" s="0">
        <ns0:f>IF(J186=0,0,J186+IF(U186="AM",1,0))</ns0:f>
        <ns0:v>0</ns0:v>
      </ns0:c>
      <ns0:c r="Z186" s="0">
        <ns0:f>IF(T186=0,0,T186-IF(V186="AM",1,0))</ns0:f>
        <ns0:v>0</ns0:v>
      </ns0:c>
      <ns0:c r="AA186" s="0">
        <ns0:f>IFERROR(IF(AND(J186&gt;0,'_Engine'!C186&gt;0,MID('_Engine'!W186,WEEKDAY(J186,2),1)="W",COUNTIF(Settings!$F$18:$F$67,J186)=0),1,0),0)</ns0:f>
        <ns0:v>0</ns0:v>
      </ns0:c>
      <ns0:c r="AB186" s="0">
        <ns0:f>IFERROR(IF(AND(T186&gt;0,'_Engine'!C186&gt;0,MID('_Engine'!W186,WEEKDAY(T186,2),1)="W",COUNTIF(Settings!$F$18:$F$67,T186)=0),1,0),0)</ns0:f>
        <ns0:v>0</ns0:v>
      </ns0:c>
      <ns0:c r="AC186" s="0">
        <ns0:f>IF(AND(J186&gt;0,T186&gt;0,W186&lt;=X186),1,0)</ns0:f>
        <ns0:v>0</ns0:v>
      </ns0:c>
      <ns0:c r="AD186" s="0">
        <ns0:f>IF(AND(J186&gt;0,T186&gt;0,Y186&lt;=Z186),1,0)</ns0:f>
        <ns0:v>0</ns0:v>
      </ns0:c>
    </ns0:row>
    <ns0:row r="187">
      <ns0:c r="A187" s="0">
        <ns0:f>IFERROR(IF(ISNUMBER(Bookings!B187),"",TRIM(Bookings!B187&amp;"")),"")</ns0:f>
      </ns0:c>
      <ns0:c r="B187" s="0">
        <ns0:f>IFERROR(SUBSTITUTE(SUBSTITUTE(A187,"/","."),"-","."),"")</ns0:f>
      </ns0:c>
      <ns0:c r="C187" s="0">
        <ns0:f>IFERROR(LEFT(B187,FIND(".",B187)-1),"")</ns0:f>
      </ns0:c>
      <ns0:c r="D187" s="0">
        <ns0:f>IFERROR(MID(B187,FIND(".",B187)+1,FIND(".",B187,FIND(".",B187)+1)-FIND(".",B187)-1),"")</ns0:f>
      </ns0:c>
      <ns0:c r="E187" s="0">
        <ns0:f>IFERROR(MID(B187,FIND(".",B187,FIND(".",B187)+1)+1,99),"")</ns0:f>
        <ns0:v>99</ns0:v>
      </ns0:c>
      <ns0:c r="F187" s="0">
        <ns0:f>IFERROR(IF(FIND(".",B187)=5,--C187,--E187),0)</ns0:f>
        <ns0:v>0</ns0:v>
      </ns0:c>
      <ns0:c r="G187" s="0">
        <ns0:f>IFERROR(--D187,0)</ns0:f>
        <ns0:v>0</ns0:v>
      </ns0:c>
      <ns0:c r="H187" s="0">
        <ns0:f>IFERROR(IF(FIND(".",B187)=5,--E187,--C187),0)</ns0:f>
        <ns0:v>0</ns0:v>
      </ns0:c>
      <ns0:c r="I187" s="0">
        <ns0:f>IFERROR(IF(AND(F187&gt;=2000,F187&lt;=2100,G187&gt;=1,G187&lt;=12,H187&gt;=1,H187&lt;=31),DATE(F187,G187,H187),0),0)</ns0:f>
        <ns0:v>0</ns0:v>
      </ns0:c>
      <ns0:c r="J187" s="0">
        <ns0:f>IFERROR(IF(ISNUMBER(Bookings!B187),IF(AND(Bookings!B187=INT(Bookings!B187),Bookings!B187&gt;=DATE(2000,1,1),Bookings!B187&lt;=DATE(2100,12,31)),Bookings!B187,0),IF(AND(A187&lt;&gt;"",LEN("x"&amp;B187)-LEN(SUBSTITUTE("x"&amp;B187,".",""))=2,OR(1&gt;LEN(B187),MID(B187,1,1)=".",ISNUMBER(FIND("x"&amp;MID(B187,1,1),"x0x1x2x3x4x5x6x7x8x9"))),OR(2&gt;LEN(B187),MID(B187,2,1)=".",ISNUMBER(FIND("x"&amp;MID(B187,2,1),"x0x1x2x3x4x5x6x7x8x9"))),OR(3&gt;LEN(B187),MID(B187,3,1)=".",ISNUMBER(FIND("x"&amp;MID(B187,3,1),"x0x1x2x3x4x5x6x7x8x9"))),OR(4&gt;LEN(B187),MID(B187,4,1)=".",ISNUMBER(FIND("x"&amp;MID(B187,4,1),"x0x1x2x3x4x5x6x7x8x9"))),OR(5&gt;LEN(B187),MID(B187,5,1)=".",ISNUMBER(FIND("x"&amp;MID(B187,5,1),"x0x1x2x3x4x5x6x7x8x9"))),OR(6&gt;LEN(B187),MID(B187,6,1)=".",ISNUMBER(FIND("x"&amp;MID(B187,6,1),"x0x1x2x3x4x5x6x7x8x9"))),OR(7&gt;LEN(B187),MID(B187,7,1)=".",ISNUMBER(FIND("x"&amp;MID(B187,7,1),"x0x1x2x3x4x5x6x7x8x9"))),OR(8&gt;LEN(B187),MID(B187,8,1)=".",ISNUMBER(FIND("x"&amp;MID(B187,8,1),"x0x1x2x3x4x5x6x7x8x9"))),OR(9&gt;LEN(B187),MID(B187,9,1)=".",ISNUMBER(FIND("x"&amp;MID(B187,9,1),"x0x1x2x3x4x5x6x7x8x9"))),OR(10&gt;LEN(B187),MID(B187,10,1)=".",ISNUMBER(FIND("x"&amp;MID(B187,10,1),"x0x1x2x3x4x5x6x7x8x9"))),OR(AND(FIND(".",B187)=5,LEN(B187)-FIND(".",B187,FIND(".",B187)+1)&gt;=1,LEN(B187)-FIND(".",B187,FIND(".",B187)+1)&lt;=2),AND(LEN(B187)-FIND(".",B187,FIND(".",B187)+1)=4,FIND(".",B187)&gt;=2,FIND(".",B187)&lt;=3)),FIND(".",B187,FIND(".",B187)+1)-FIND(".",B187)&gt;=2,FIND(".",B187,FIND(".",B187)+1)-FIND(".",B187)&lt;=3,F187&gt;=2000,F187&lt;=2100,YEAR(I187)=F187,MONTH(I187)=G187,DAY(I187)=H187),I187,0)),0)</ns0:f>
        <ns0:v>0</ns0:v>
      </ns0:c>
      <ns0:c r="K187" s="0">
        <ns0:f>IFERROR(IF(ISNUMBER(Bookings!D187),"",TRIM(Bookings!D187&amp;"")),"")</ns0:f>
      </ns0:c>
      <ns0:c r="L187" s="0">
        <ns0:f>IFERROR(SUBSTITUTE(SUBSTITUTE(K187,"/","."),"-","."),"")</ns0:f>
      </ns0:c>
      <ns0:c r="M187" s="0">
        <ns0:f>IFERROR(LEFT(L187,FIND(".",L187)-1),"")</ns0:f>
      </ns0:c>
      <ns0:c r="N187" s="0">
        <ns0:f>IFERROR(MID(L187,FIND(".",L187)+1,FIND(".",L187,FIND(".",L187)+1)-FIND(".",L187)-1),"")</ns0:f>
      </ns0:c>
      <ns0:c r="O187" s="0">
        <ns0:f>IFERROR(MID(L187,FIND(".",L187,FIND(".",L187)+1)+1,99),"")</ns0:f>
        <ns0:v>99</ns0:v>
      </ns0:c>
      <ns0:c r="P187" s="0">
        <ns0:f>IFERROR(IF(FIND(".",L187)=5,--M187,--O187),0)</ns0:f>
        <ns0:v>0</ns0:v>
      </ns0:c>
      <ns0:c r="Q187" s="0">
        <ns0:f>IFERROR(--N187,0)</ns0:f>
        <ns0:v>0</ns0:v>
      </ns0:c>
      <ns0:c r="R187" s="0">
        <ns0:f>IFERROR(IF(FIND(".",L187)=5,--O187,--M187),0)</ns0:f>
        <ns0:v>0</ns0:v>
      </ns0:c>
      <ns0:c r="S187" s="0">
        <ns0:f>IFERROR(IF(AND(P187&gt;=2000,P187&lt;=2100,Q187&gt;=1,Q187&lt;=12,R187&gt;=1,R187&lt;=31),DATE(P187,Q187,R187),0),0)</ns0:f>
        <ns0:v>0</ns0:v>
      </ns0:c>
      <ns0:c r="T187" s="0">
        <ns0:f>IFERROR(IF(ISNUMBER(Bookings!D187),IF(AND(Bookings!D187=INT(Bookings!D187),Bookings!D187&gt;=DATE(2000,1,1),Bookings!D187&lt;=DATE(2100,12,31)),Bookings!D187,0),IF(AND(K187&lt;&gt;"",LEN("x"&amp;L187)-LEN(SUBSTITUTE("x"&amp;L187,".",""))=2,OR(1&gt;LEN(L187),MID(L187,1,1)=".",ISNUMBER(FIND("x"&amp;MID(L187,1,1),"x0x1x2x3x4x5x6x7x8x9"))),OR(2&gt;LEN(L187),MID(L187,2,1)=".",ISNUMBER(FIND("x"&amp;MID(L187,2,1),"x0x1x2x3x4x5x6x7x8x9"))),OR(3&gt;LEN(L187),MID(L187,3,1)=".",ISNUMBER(FIND("x"&amp;MID(L187,3,1),"x0x1x2x3x4x5x6x7x8x9"))),OR(4&gt;LEN(L187),MID(L187,4,1)=".",ISNUMBER(FIND("x"&amp;MID(L187,4,1),"x0x1x2x3x4x5x6x7x8x9"))),OR(5&gt;LEN(L187),MID(L187,5,1)=".",ISNUMBER(FIND("x"&amp;MID(L187,5,1),"x0x1x2x3x4x5x6x7x8x9"))),OR(6&gt;LEN(L187),MID(L187,6,1)=".",ISNUMBER(FIND("x"&amp;MID(L187,6,1),"x0x1x2x3x4x5x6x7x8x9"))),OR(7&gt;LEN(L187),MID(L187,7,1)=".",ISNUMBER(FIND("x"&amp;MID(L187,7,1),"x0x1x2x3x4x5x6x7x8x9"))),OR(8&gt;LEN(L187),MID(L187,8,1)=".",ISNUMBER(FIND("x"&amp;MID(L187,8,1),"x0x1x2x3x4x5x6x7x8x9"))),OR(9&gt;LEN(L187),MID(L187,9,1)=".",ISNUMBER(FIND("x"&amp;MID(L187,9,1),"x0x1x2x3x4x5x6x7x8x9"))),OR(10&gt;LEN(L187),MID(L187,10,1)=".",ISNUMBER(FIND("x"&amp;MID(L187,10,1),"x0x1x2x3x4x5x6x7x8x9"))),OR(AND(FIND(".",L187)=5,LEN(L187)-FIND(".",L187,FIND(".",L187)+1)&gt;=1,LEN(L187)-FIND(".",L187,FIND(".",L187)+1)&lt;=2),AND(LEN(L187)-FIND(".",L187,FIND(".",L187)+1)=4,FIND(".",L187)&gt;=2,FIND(".",L187)&lt;=3)),FIND(".",L187,FIND(".",L187)+1)-FIND(".",L187)&gt;=2,FIND(".",L187,FIND(".",L187)+1)-FIND(".",L187)&lt;=3,P187&gt;=2000,P187&lt;=2100,YEAR(S187)=P187,MONTH(S187)=Q187,DAY(S187)=R187),S187,0)),0)</ns0:f>
        <ns0:v>0</ns0:v>
      </ns0:c>
      <ns0:c r="U187" s="0" t="str">
        <ns0:f>IF(Bookings!C187="","Full day",Bookings!C187)</ns0:f>
        <ns0:v>Full day</ns0:v>
      </ns0:c>
      <ns0:c r="V187" s="0" t="str">
        <ns0:f>IF(Bookings!E187="","Full day",Bookings!E187)</ns0:f>
        <ns0:v>Full day</ns0:v>
      </ns0:c>
      <ns0:c r="W187" s="0">
        <ns0:f>IF(J187=0,0,J187+IF(U187="PM",1,0))</ns0:f>
        <ns0:v>0</ns0:v>
      </ns0:c>
      <ns0:c r="X187" s="0">
        <ns0:f>IF(T187=0,0,T187-IF(V187="PM",1,0))</ns0:f>
        <ns0:v>0</ns0:v>
      </ns0:c>
      <ns0:c r="Y187" s="0">
        <ns0:f>IF(J187=0,0,J187+IF(U187="AM",1,0))</ns0:f>
        <ns0:v>0</ns0:v>
      </ns0:c>
      <ns0:c r="Z187" s="0">
        <ns0:f>IF(T187=0,0,T187-IF(V187="AM",1,0))</ns0:f>
        <ns0:v>0</ns0:v>
      </ns0:c>
      <ns0:c r="AA187" s="0">
        <ns0:f>IFERROR(IF(AND(J187&gt;0,'_Engine'!C187&gt;0,MID('_Engine'!W187,WEEKDAY(J187,2),1)="W",COUNTIF(Settings!$F$18:$F$67,J187)=0),1,0),0)</ns0:f>
        <ns0:v>0</ns0:v>
      </ns0:c>
      <ns0:c r="AB187" s="0">
        <ns0:f>IFERROR(IF(AND(T187&gt;0,'_Engine'!C187&gt;0,MID('_Engine'!W187,WEEKDAY(T187,2),1)="W",COUNTIF(Settings!$F$18:$F$67,T187)=0),1,0),0)</ns0:f>
        <ns0:v>0</ns0:v>
      </ns0:c>
      <ns0:c r="AC187" s="0">
        <ns0:f>IF(AND(J187&gt;0,T187&gt;0,W187&lt;=X187),1,0)</ns0:f>
        <ns0:v>0</ns0:v>
      </ns0:c>
      <ns0:c r="AD187" s="0">
        <ns0:f>IF(AND(J187&gt;0,T187&gt;0,Y187&lt;=Z187),1,0)</ns0:f>
        <ns0:v>0</ns0:v>
      </ns0:c>
    </ns0:row>
    <ns0:row r="188">
      <ns0:c r="A188" s="0">
        <ns0:f>IFERROR(IF(ISNUMBER(Bookings!B188),"",TRIM(Bookings!B188&amp;"")),"")</ns0:f>
      </ns0:c>
      <ns0:c r="B188" s="0">
        <ns0:f>IFERROR(SUBSTITUTE(SUBSTITUTE(A188,"/","."),"-","."),"")</ns0:f>
      </ns0:c>
      <ns0:c r="C188" s="0">
        <ns0:f>IFERROR(LEFT(B188,FIND(".",B188)-1),"")</ns0:f>
      </ns0:c>
      <ns0:c r="D188" s="0">
        <ns0:f>IFERROR(MID(B188,FIND(".",B188)+1,FIND(".",B188,FIND(".",B188)+1)-FIND(".",B188)-1),"")</ns0:f>
      </ns0:c>
      <ns0:c r="E188" s="0">
        <ns0:f>IFERROR(MID(B188,FIND(".",B188,FIND(".",B188)+1)+1,99),"")</ns0:f>
        <ns0:v>99</ns0:v>
      </ns0:c>
      <ns0:c r="F188" s="0">
        <ns0:f>IFERROR(IF(FIND(".",B188)=5,--C188,--E188),0)</ns0:f>
        <ns0:v>0</ns0:v>
      </ns0:c>
      <ns0:c r="G188" s="0">
        <ns0:f>IFERROR(--D188,0)</ns0:f>
        <ns0:v>0</ns0:v>
      </ns0:c>
      <ns0:c r="H188" s="0">
        <ns0:f>IFERROR(IF(FIND(".",B188)=5,--E188,--C188),0)</ns0:f>
        <ns0:v>0</ns0:v>
      </ns0:c>
      <ns0:c r="I188" s="0">
        <ns0:f>IFERROR(IF(AND(F188&gt;=2000,F188&lt;=2100,G188&gt;=1,G188&lt;=12,H188&gt;=1,H188&lt;=31),DATE(F188,G188,H188),0),0)</ns0:f>
        <ns0:v>0</ns0:v>
      </ns0:c>
      <ns0:c r="J188" s="0">
        <ns0:f>IFERROR(IF(ISNUMBER(Bookings!B188),IF(AND(Bookings!B188=INT(Bookings!B188),Bookings!B188&gt;=DATE(2000,1,1),Bookings!B188&lt;=DATE(2100,12,31)),Bookings!B188,0),IF(AND(A188&lt;&gt;"",LEN("x"&amp;B188)-LEN(SUBSTITUTE("x"&amp;B188,".",""))=2,OR(1&gt;LEN(B188),MID(B188,1,1)=".",ISNUMBER(FIND("x"&amp;MID(B188,1,1),"x0x1x2x3x4x5x6x7x8x9"))),OR(2&gt;LEN(B188),MID(B188,2,1)=".",ISNUMBER(FIND("x"&amp;MID(B188,2,1),"x0x1x2x3x4x5x6x7x8x9"))),OR(3&gt;LEN(B188),MID(B188,3,1)=".",ISNUMBER(FIND("x"&amp;MID(B188,3,1),"x0x1x2x3x4x5x6x7x8x9"))),OR(4&gt;LEN(B188),MID(B188,4,1)=".",ISNUMBER(FIND("x"&amp;MID(B188,4,1),"x0x1x2x3x4x5x6x7x8x9"))),OR(5&gt;LEN(B188),MID(B188,5,1)=".",ISNUMBER(FIND("x"&amp;MID(B188,5,1),"x0x1x2x3x4x5x6x7x8x9"))),OR(6&gt;LEN(B188),MID(B188,6,1)=".",ISNUMBER(FIND("x"&amp;MID(B188,6,1),"x0x1x2x3x4x5x6x7x8x9"))),OR(7&gt;LEN(B188),MID(B188,7,1)=".",ISNUMBER(FIND("x"&amp;MID(B188,7,1),"x0x1x2x3x4x5x6x7x8x9"))),OR(8&gt;LEN(B188),MID(B188,8,1)=".",ISNUMBER(FIND("x"&amp;MID(B188,8,1),"x0x1x2x3x4x5x6x7x8x9"))),OR(9&gt;LEN(B188),MID(B188,9,1)=".",ISNUMBER(FIND("x"&amp;MID(B188,9,1),"x0x1x2x3x4x5x6x7x8x9"))),OR(10&gt;LEN(B188),MID(B188,10,1)=".",ISNUMBER(FIND("x"&amp;MID(B188,10,1),"x0x1x2x3x4x5x6x7x8x9"))),OR(AND(FIND(".",B188)=5,LEN(B188)-FIND(".",B188,FIND(".",B188)+1)&gt;=1,LEN(B188)-FIND(".",B188,FIND(".",B188)+1)&lt;=2),AND(LEN(B188)-FIND(".",B188,FIND(".",B188)+1)=4,FIND(".",B188)&gt;=2,FIND(".",B188)&lt;=3)),FIND(".",B188,FIND(".",B188)+1)-FIND(".",B188)&gt;=2,FIND(".",B188,FIND(".",B188)+1)-FIND(".",B188)&lt;=3,F188&gt;=2000,F188&lt;=2100,YEAR(I188)=F188,MONTH(I188)=G188,DAY(I188)=H188),I188,0)),0)</ns0:f>
        <ns0:v>0</ns0:v>
      </ns0:c>
      <ns0:c r="K188" s="0">
        <ns0:f>IFERROR(IF(ISNUMBER(Bookings!D188),"",TRIM(Bookings!D188&amp;"")),"")</ns0:f>
      </ns0:c>
      <ns0:c r="L188" s="0">
        <ns0:f>IFERROR(SUBSTITUTE(SUBSTITUTE(K188,"/","."),"-","."),"")</ns0:f>
      </ns0:c>
      <ns0:c r="M188" s="0">
        <ns0:f>IFERROR(LEFT(L188,FIND(".",L188)-1),"")</ns0:f>
      </ns0:c>
      <ns0:c r="N188" s="0">
        <ns0:f>IFERROR(MID(L188,FIND(".",L188)+1,FIND(".",L188,FIND(".",L188)+1)-FIND(".",L188)-1),"")</ns0:f>
      </ns0:c>
      <ns0:c r="O188" s="0">
        <ns0:f>IFERROR(MID(L188,FIND(".",L188,FIND(".",L188)+1)+1,99),"")</ns0:f>
        <ns0:v>99</ns0:v>
      </ns0:c>
      <ns0:c r="P188" s="0">
        <ns0:f>IFERROR(IF(FIND(".",L188)=5,--M188,--O188),0)</ns0:f>
        <ns0:v>0</ns0:v>
      </ns0:c>
      <ns0:c r="Q188" s="0">
        <ns0:f>IFERROR(--N188,0)</ns0:f>
        <ns0:v>0</ns0:v>
      </ns0:c>
      <ns0:c r="R188" s="0">
        <ns0:f>IFERROR(IF(FIND(".",L188)=5,--O188,--M188),0)</ns0:f>
        <ns0:v>0</ns0:v>
      </ns0:c>
      <ns0:c r="S188" s="0">
        <ns0:f>IFERROR(IF(AND(P188&gt;=2000,P188&lt;=2100,Q188&gt;=1,Q188&lt;=12,R188&gt;=1,R188&lt;=31),DATE(P188,Q188,R188),0),0)</ns0:f>
        <ns0:v>0</ns0:v>
      </ns0:c>
      <ns0:c r="T188" s="0">
        <ns0:f>IFERROR(IF(ISNUMBER(Bookings!D188),IF(AND(Bookings!D188=INT(Bookings!D188),Bookings!D188&gt;=DATE(2000,1,1),Bookings!D188&lt;=DATE(2100,12,31)),Bookings!D188,0),IF(AND(K188&lt;&gt;"",LEN("x"&amp;L188)-LEN(SUBSTITUTE("x"&amp;L188,".",""))=2,OR(1&gt;LEN(L188),MID(L188,1,1)=".",ISNUMBER(FIND("x"&amp;MID(L188,1,1),"x0x1x2x3x4x5x6x7x8x9"))),OR(2&gt;LEN(L188),MID(L188,2,1)=".",ISNUMBER(FIND("x"&amp;MID(L188,2,1),"x0x1x2x3x4x5x6x7x8x9"))),OR(3&gt;LEN(L188),MID(L188,3,1)=".",ISNUMBER(FIND("x"&amp;MID(L188,3,1),"x0x1x2x3x4x5x6x7x8x9"))),OR(4&gt;LEN(L188),MID(L188,4,1)=".",ISNUMBER(FIND("x"&amp;MID(L188,4,1),"x0x1x2x3x4x5x6x7x8x9"))),OR(5&gt;LEN(L188),MID(L188,5,1)=".",ISNUMBER(FIND("x"&amp;MID(L188,5,1),"x0x1x2x3x4x5x6x7x8x9"))),OR(6&gt;LEN(L188),MID(L188,6,1)=".",ISNUMBER(FIND("x"&amp;MID(L188,6,1),"x0x1x2x3x4x5x6x7x8x9"))),OR(7&gt;LEN(L188),MID(L188,7,1)=".",ISNUMBER(FIND("x"&amp;MID(L188,7,1),"x0x1x2x3x4x5x6x7x8x9"))),OR(8&gt;LEN(L188),MID(L188,8,1)=".",ISNUMBER(FIND("x"&amp;MID(L188,8,1),"x0x1x2x3x4x5x6x7x8x9"))),OR(9&gt;LEN(L188),MID(L188,9,1)=".",ISNUMBER(FIND("x"&amp;MID(L188,9,1),"x0x1x2x3x4x5x6x7x8x9"))),OR(10&gt;LEN(L188),MID(L188,10,1)=".",ISNUMBER(FIND("x"&amp;MID(L188,10,1),"x0x1x2x3x4x5x6x7x8x9"))),OR(AND(FIND(".",L188)=5,LEN(L188)-FIND(".",L188,FIND(".",L188)+1)&gt;=1,LEN(L188)-FIND(".",L188,FIND(".",L188)+1)&lt;=2),AND(LEN(L188)-FIND(".",L188,FIND(".",L188)+1)=4,FIND(".",L188)&gt;=2,FIND(".",L188)&lt;=3)),FIND(".",L188,FIND(".",L188)+1)-FIND(".",L188)&gt;=2,FIND(".",L188,FIND(".",L188)+1)-FIND(".",L188)&lt;=3,P188&gt;=2000,P188&lt;=2100,YEAR(S188)=P188,MONTH(S188)=Q188,DAY(S188)=R188),S188,0)),0)</ns0:f>
        <ns0:v>0</ns0:v>
      </ns0:c>
      <ns0:c r="U188" s="0" t="str">
        <ns0:f>IF(Bookings!C188="","Full day",Bookings!C188)</ns0:f>
        <ns0:v>Full day</ns0:v>
      </ns0:c>
      <ns0:c r="V188" s="0" t="str">
        <ns0:f>IF(Bookings!E188="","Full day",Bookings!E188)</ns0:f>
        <ns0:v>Full day</ns0:v>
      </ns0:c>
      <ns0:c r="W188" s="0">
        <ns0:f>IF(J188=0,0,J188+IF(U188="PM",1,0))</ns0:f>
        <ns0:v>0</ns0:v>
      </ns0:c>
      <ns0:c r="X188" s="0">
        <ns0:f>IF(T188=0,0,T188-IF(V188="PM",1,0))</ns0:f>
        <ns0:v>0</ns0:v>
      </ns0:c>
      <ns0:c r="Y188" s="0">
        <ns0:f>IF(J188=0,0,J188+IF(U188="AM",1,0))</ns0:f>
        <ns0:v>0</ns0:v>
      </ns0:c>
      <ns0:c r="Z188" s="0">
        <ns0:f>IF(T188=0,0,T188-IF(V188="AM",1,0))</ns0:f>
        <ns0:v>0</ns0:v>
      </ns0:c>
      <ns0:c r="AA188" s="0">
        <ns0:f>IFERROR(IF(AND(J188&gt;0,'_Engine'!C188&gt;0,MID('_Engine'!W188,WEEKDAY(J188,2),1)="W",COUNTIF(Settings!$F$18:$F$67,J188)=0),1,0),0)</ns0:f>
        <ns0:v>0</ns0:v>
      </ns0:c>
      <ns0:c r="AB188" s="0">
        <ns0:f>IFERROR(IF(AND(T188&gt;0,'_Engine'!C188&gt;0,MID('_Engine'!W188,WEEKDAY(T188,2),1)="W",COUNTIF(Settings!$F$18:$F$67,T188)=0),1,0),0)</ns0:f>
        <ns0:v>0</ns0:v>
      </ns0:c>
      <ns0:c r="AC188" s="0">
        <ns0:f>IF(AND(J188&gt;0,T188&gt;0,W188&lt;=X188),1,0)</ns0:f>
        <ns0:v>0</ns0:v>
      </ns0:c>
      <ns0:c r="AD188" s="0">
        <ns0:f>IF(AND(J188&gt;0,T188&gt;0,Y188&lt;=Z188),1,0)</ns0:f>
        <ns0:v>0</ns0:v>
      </ns0:c>
    </ns0:row>
    <ns0:row r="189">
      <ns0:c r="A189" s="0">
        <ns0:f>IFERROR(IF(ISNUMBER(Bookings!B189),"",TRIM(Bookings!B189&amp;"")),"")</ns0:f>
      </ns0:c>
      <ns0:c r="B189" s="0">
        <ns0:f>IFERROR(SUBSTITUTE(SUBSTITUTE(A189,"/","."),"-","."),"")</ns0:f>
      </ns0:c>
      <ns0:c r="C189" s="0">
        <ns0:f>IFERROR(LEFT(B189,FIND(".",B189)-1),"")</ns0:f>
      </ns0:c>
      <ns0:c r="D189" s="0">
        <ns0:f>IFERROR(MID(B189,FIND(".",B189)+1,FIND(".",B189,FIND(".",B189)+1)-FIND(".",B189)-1),"")</ns0:f>
      </ns0:c>
      <ns0:c r="E189" s="0">
        <ns0:f>IFERROR(MID(B189,FIND(".",B189,FIND(".",B189)+1)+1,99),"")</ns0:f>
        <ns0:v>99</ns0:v>
      </ns0:c>
      <ns0:c r="F189" s="0">
        <ns0:f>IFERROR(IF(FIND(".",B189)=5,--C189,--E189),0)</ns0:f>
        <ns0:v>0</ns0:v>
      </ns0:c>
      <ns0:c r="G189" s="0">
        <ns0:f>IFERROR(--D189,0)</ns0:f>
        <ns0:v>0</ns0:v>
      </ns0:c>
      <ns0:c r="H189" s="0">
        <ns0:f>IFERROR(IF(FIND(".",B189)=5,--E189,--C189),0)</ns0:f>
        <ns0:v>0</ns0:v>
      </ns0:c>
      <ns0:c r="I189" s="0">
        <ns0:f>IFERROR(IF(AND(F189&gt;=2000,F189&lt;=2100,G189&gt;=1,G189&lt;=12,H189&gt;=1,H189&lt;=31),DATE(F189,G189,H189),0),0)</ns0:f>
        <ns0:v>0</ns0:v>
      </ns0:c>
      <ns0:c r="J189" s="0">
        <ns0:f>IFERROR(IF(ISNUMBER(Bookings!B189),IF(AND(Bookings!B189=INT(Bookings!B189),Bookings!B189&gt;=DATE(2000,1,1),Bookings!B189&lt;=DATE(2100,12,31)),Bookings!B189,0),IF(AND(A189&lt;&gt;"",LEN("x"&amp;B189)-LEN(SUBSTITUTE("x"&amp;B189,".",""))=2,OR(1&gt;LEN(B189),MID(B189,1,1)=".",ISNUMBER(FIND("x"&amp;MID(B189,1,1),"x0x1x2x3x4x5x6x7x8x9"))),OR(2&gt;LEN(B189),MID(B189,2,1)=".",ISNUMBER(FIND("x"&amp;MID(B189,2,1),"x0x1x2x3x4x5x6x7x8x9"))),OR(3&gt;LEN(B189),MID(B189,3,1)=".",ISNUMBER(FIND("x"&amp;MID(B189,3,1),"x0x1x2x3x4x5x6x7x8x9"))),OR(4&gt;LEN(B189),MID(B189,4,1)=".",ISNUMBER(FIND("x"&amp;MID(B189,4,1),"x0x1x2x3x4x5x6x7x8x9"))),OR(5&gt;LEN(B189),MID(B189,5,1)=".",ISNUMBER(FIND("x"&amp;MID(B189,5,1),"x0x1x2x3x4x5x6x7x8x9"))),OR(6&gt;LEN(B189),MID(B189,6,1)=".",ISNUMBER(FIND("x"&amp;MID(B189,6,1),"x0x1x2x3x4x5x6x7x8x9"))),OR(7&gt;LEN(B189),MID(B189,7,1)=".",ISNUMBER(FIND("x"&amp;MID(B189,7,1),"x0x1x2x3x4x5x6x7x8x9"))),OR(8&gt;LEN(B189),MID(B189,8,1)=".",ISNUMBER(FIND("x"&amp;MID(B189,8,1),"x0x1x2x3x4x5x6x7x8x9"))),OR(9&gt;LEN(B189),MID(B189,9,1)=".",ISNUMBER(FIND("x"&amp;MID(B189,9,1),"x0x1x2x3x4x5x6x7x8x9"))),OR(10&gt;LEN(B189),MID(B189,10,1)=".",ISNUMBER(FIND("x"&amp;MID(B189,10,1),"x0x1x2x3x4x5x6x7x8x9"))),OR(AND(FIND(".",B189)=5,LEN(B189)-FIND(".",B189,FIND(".",B189)+1)&gt;=1,LEN(B189)-FIND(".",B189,FIND(".",B189)+1)&lt;=2),AND(LEN(B189)-FIND(".",B189,FIND(".",B189)+1)=4,FIND(".",B189)&gt;=2,FIND(".",B189)&lt;=3)),FIND(".",B189,FIND(".",B189)+1)-FIND(".",B189)&gt;=2,FIND(".",B189,FIND(".",B189)+1)-FIND(".",B189)&lt;=3,F189&gt;=2000,F189&lt;=2100,YEAR(I189)=F189,MONTH(I189)=G189,DAY(I189)=H189),I189,0)),0)</ns0:f>
        <ns0:v>0</ns0:v>
      </ns0:c>
      <ns0:c r="K189" s="0">
        <ns0:f>IFERROR(IF(ISNUMBER(Bookings!D189),"",TRIM(Bookings!D189&amp;"")),"")</ns0:f>
      </ns0:c>
      <ns0:c r="L189" s="0">
        <ns0:f>IFERROR(SUBSTITUTE(SUBSTITUTE(K189,"/","."),"-","."),"")</ns0:f>
      </ns0:c>
      <ns0:c r="M189" s="0">
        <ns0:f>IFERROR(LEFT(L189,FIND(".",L189)-1),"")</ns0:f>
      </ns0:c>
      <ns0:c r="N189" s="0">
        <ns0:f>IFERROR(MID(L189,FIND(".",L189)+1,FIND(".",L189,FIND(".",L189)+1)-FIND(".",L189)-1),"")</ns0:f>
      </ns0:c>
      <ns0:c r="O189" s="0">
        <ns0:f>IFERROR(MID(L189,FIND(".",L189,FIND(".",L189)+1)+1,99),"")</ns0:f>
        <ns0:v>99</ns0:v>
      </ns0:c>
      <ns0:c r="P189" s="0">
        <ns0:f>IFERROR(IF(FIND(".",L189)=5,--M189,--O189),0)</ns0:f>
        <ns0:v>0</ns0:v>
      </ns0:c>
      <ns0:c r="Q189" s="0">
        <ns0:f>IFERROR(--N189,0)</ns0:f>
        <ns0:v>0</ns0:v>
      </ns0:c>
      <ns0:c r="R189" s="0">
        <ns0:f>IFERROR(IF(FIND(".",L189)=5,--O189,--M189),0)</ns0:f>
        <ns0:v>0</ns0:v>
      </ns0:c>
      <ns0:c r="S189" s="0">
        <ns0:f>IFERROR(IF(AND(P189&gt;=2000,P189&lt;=2100,Q189&gt;=1,Q189&lt;=12,R189&gt;=1,R189&lt;=31),DATE(P189,Q189,R189),0),0)</ns0:f>
        <ns0:v>0</ns0:v>
      </ns0:c>
      <ns0:c r="T189" s="0">
        <ns0:f>IFERROR(IF(ISNUMBER(Bookings!D189),IF(AND(Bookings!D189=INT(Bookings!D189),Bookings!D189&gt;=DATE(2000,1,1),Bookings!D189&lt;=DATE(2100,12,31)),Bookings!D189,0),IF(AND(K189&lt;&gt;"",LEN("x"&amp;L189)-LEN(SUBSTITUTE("x"&amp;L189,".",""))=2,OR(1&gt;LEN(L189),MID(L189,1,1)=".",ISNUMBER(FIND("x"&amp;MID(L189,1,1),"x0x1x2x3x4x5x6x7x8x9"))),OR(2&gt;LEN(L189),MID(L189,2,1)=".",ISNUMBER(FIND("x"&amp;MID(L189,2,1),"x0x1x2x3x4x5x6x7x8x9"))),OR(3&gt;LEN(L189),MID(L189,3,1)=".",ISNUMBER(FIND("x"&amp;MID(L189,3,1),"x0x1x2x3x4x5x6x7x8x9"))),OR(4&gt;LEN(L189),MID(L189,4,1)=".",ISNUMBER(FIND("x"&amp;MID(L189,4,1),"x0x1x2x3x4x5x6x7x8x9"))),OR(5&gt;LEN(L189),MID(L189,5,1)=".",ISNUMBER(FIND("x"&amp;MID(L189,5,1),"x0x1x2x3x4x5x6x7x8x9"))),OR(6&gt;LEN(L189),MID(L189,6,1)=".",ISNUMBER(FIND("x"&amp;MID(L189,6,1),"x0x1x2x3x4x5x6x7x8x9"))),OR(7&gt;LEN(L189),MID(L189,7,1)=".",ISNUMBER(FIND("x"&amp;MID(L189,7,1),"x0x1x2x3x4x5x6x7x8x9"))),OR(8&gt;LEN(L189),MID(L189,8,1)=".",ISNUMBER(FIND("x"&amp;MID(L189,8,1),"x0x1x2x3x4x5x6x7x8x9"))),OR(9&gt;LEN(L189),MID(L189,9,1)=".",ISNUMBER(FIND("x"&amp;MID(L189,9,1),"x0x1x2x3x4x5x6x7x8x9"))),OR(10&gt;LEN(L189),MID(L189,10,1)=".",ISNUMBER(FIND("x"&amp;MID(L189,10,1),"x0x1x2x3x4x5x6x7x8x9"))),OR(AND(FIND(".",L189)=5,LEN(L189)-FIND(".",L189,FIND(".",L189)+1)&gt;=1,LEN(L189)-FIND(".",L189,FIND(".",L189)+1)&lt;=2),AND(LEN(L189)-FIND(".",L189,FIND(".",L189)+1)=4,FIND(".",L189)&gt;=2,FIND(".",L189)&lt;=3)),FIND(".",L189,FIND(".",L189)+1)-FIND(".",L189)&gt;=2,FIND(".",L189,FIND(".",L189)+1)-FIND(".",L189)&lt;=3,P189&gt;=2000,P189&lt;=2100,YEAR(S189)=P189,MONTH(S189)=Q189,DAY(S189)=R189),S189,0)),0)</ns0:f>
        <ns0:v>0</ns0:v>
      </ns0:c>
      <ns0:c r="U189" s="0" t="str">
        <ns0:f>IF(Bookings!C189="","Full day",Bookings!C189)</ns0:f>
        <ns0:v>Full day</ns0:v>
      </ns0:c>
      <ns0:c r="V189" s="0" t="str">
        <ns0:f>IF(Bookings!E189="","Full day",Bookings!E189)</ns0:f>
        <ns0:v>Full day</ns0:v>
      </ns0:c>
      <ns0:c r="W189" s="0">
        <ns0:f>IF(J189=0,0,J189+IF(U189="PM",1,0))</ns0:f>
        <ns0:v>0</ns0:v>
      </ns0:c>
      <ns0:c r="X189" s="0">
        <ns0:f>IF(T189=0,0,T189-IF(V189="PM",1,0))</ns0:f>
        <ns0:v>0</ns0:v>
      </ns0:c>
      <ns0:c r="Y189" s="0">
        <ns0:f>IF(J189=0,0,J189+IF(U189="AM",1,0))</ns0:f>
        <ns0:v>0</ns0:v>
      </ns0:c>
      <ns0:c r="Z189" s="0">
        <ns0:f>IF(T189=0,0,T189-IF(V189="AM",1,0))</ns0:f>
        <ns0:v>0</ns0:v>
      </ns0:c>
      <ns0:c r="AA189" s="0">
        <ns0:f>IFERROR(IF(AND(J189&gt;0,'_Engine'!C189&gt;0,MID('_Engine'!W189,WEEKDAY(J189,2),1)="W",COUNTIF(Settings!$F$18:$F$67,J189)=0),1,0),0)</ns0:f>
        <ns0:v>0</ns0:v>
      </ns0:c>
      <ns0:c r="AB189" s="0">
        <ns0:f>IFERROR(IF(AND(T189&gt;0,'_Engine'!C189&gt;0,MID('_Engine'!W189,WEEKDAY(T189,2),1)="W",COUNTIF(Settings!$F$18:$F$67,T189)=0),1,0),0)</ns0:f>
        <ns0:v>0</ns0:v>
      </ns0:c>
      <ns0:c r="AC189" s="0">
        <ns0:f>IF(AND(J189&gt;0,T189&gt;0,W189&lt;=X189),1,0)</ns0:f>
        <ns0:v>0</ns0:v>
      </ns0:c>
      <ns0:c r="AD189" s="0">
        <ns0:f>IF(AND(J189&gt;0,T189&gt;0,Y189&lt;=Z189),1,0)</ns0:f>
        <ns0:v>0</ns0:v>
      </ns0:c>
    </ns0:row>
    <ns0:row r="190">
      <ns0:c r="A190" s="0">
        <ns0:f>IFERROR(IF(ISNUMBER(Bookings!B190),"",TRIM(Bookings!B190&amp;"")),"")</ns0:f>
      </ns0:c>
      <ns0:c r="B190" s="0">
        <ns0:f>IFERROR(SUBSTITUTE(SUBSTITUTE(A190,"/","."),"-","."),"")</ns0:f>
      </ns0:c>
      <ns0:c r="C190" s="0">
        <ns0:f>IFERROR(LEFT(B190,FIND(".",B190)-1),"")</ns0:f>
      </ns0:c>
      <ns0:c r="D190" s="0">
        <ns0:f>IFERROR(MID(B190,FIND(".",B190)+1,FIND(".",B190,FIND(".",B190)+1)-FIND(".",B190)-1),"")</ns0:f>
      </ns0:c>
      <ns0:c r="E190" s="0">
        <ns0:f>IFERROR(MID(B190,FIND(".",B190,FIND(".",B190)+1)+1,99),"")</ns0:f>
        <ns0:v>99</ns0:v>
      </ns0:c>
      <ns0:c r="F190" s="0">
        <ns0:f>IFERROR(IF(FIND(".",B190)=5,--C190,--E190),0)</ns0:f>
        <ns0:v>0</ns0:v>
      </ns0:c>
      <ns0:c r="G190" s="0">
        <ns0:f>IFERROR(--D190,0)</ns0:f>
        <ns0:v>0</ns0:v>
      </ns0:c>
      <ns0:c r="H190" s="0">
        <ns0:f>IFERROR(IF(FIND(".",B190)=5,--E190,--C190),0)</ns0:f>
        <ns0:v>0</ns0:v>
      </ns0:c>
      <ns0:c r="I190" s="0">
        <ns0:f>IFERROR(IF(AND(F190&gt;=2000,F190&lt;=2100,G190&gt;=1,G190&lt;=12,H190&gt;=1,H190&lt;=31),DATE(F190,G190,H190),0),0)</ns0:f>
        <ns0:v>0</ns0:v>
      </ns0:c>
      <ns0:c r="J190" s="0">
        <ns0:f>IFERROR(IF(ISNUMBER(Bookings!B190),IF(AND(Bookings!B190=INT(Bookings!B190),Bookings!B190&gt;=DATE(2000,1,1),Bookings!B190&lt;=DATE(2100,12,31)),Bookings!B190,0),IF(AND(A190&lt;&gt;"",LEN("x"&amp;B190)-LEN(SUBSTITUTE("x"&amp;B190,".",""))=2,OR(1&gt;LEN(B190),MID(B190,1,1)=".",ISNUMBER(FIND("x"&amp;MID(B190,1,1),"x0x1x2x3x4x5x6x7x8x9"))),OR(2&gt;LEN(B190),MID(B190,2,1)=".",ISNUMBER(FIND("x"&amp;MID(B190,2,1),"x0x1x2x3x4x5x6x7x8x9"))),OR(3&gt;LEN(B190),MID(B190,3,1)=".",ISNUMBER(FIND("x"&amp;MID(B190,3,1),"x0x1x2x3x4x5x6x7x8x9"))),OR(4&gt;LEN(B190),MID(B190,4,1)=".",ISNUMBER(FIND("x"&amp;MID(B190,4,1),"x0x1x2x3x4x5x6x7x8x9"))),OR(5&gt;LEN(B190),MID(B190,5,1)=".",ISNUMBER(FIND("x"&amp;MID(B190,5,1),"x0x1x2x3x4x5x6x7x8x9"))),OR(6&gt;LEN(B190),MID(B190,6,1)=".",ISNUMBER(FIND("x"&amp;MID(B190,6,1),"x0x1x2x3x4x5x6x7x8x9"))),OR(7&gt;LEN(B190),MID(B190,7,1)=".",ISNUMBER(FIND("x"&amp;MID(B190,7,1),"x0x1x2x3x4x5x6x7x8x9"))),OR(8&gt;LEN(B190),MID(B190,8,1)=".",ISNUMBER(FIND("x"&amp;MID(B190,8,1),"x0x1x2x3x4x5x6x7x8x9"))),OR(9&gt;LEN(B190),MID(B190,9,1)=".",ISNUMBER(FIND("x"&amp;MID(B190,9,1),"x0x1x2x3x4x5x6x7x8x9"))),OR(10&gt;LEN(B190),MID(B190,10,1)=".",ISNUMBER(FIND("x"&amp;MID(B190,10,1),"x0x1x2x3x4x5x6x7x8x9"))),OR(AND(FIND(".",B190)=5,LEN(B190)-FIND(".",B190,FIND(".",B190)+1)&gt;=1,LEN(B190)-FIND(".",B190,FIND(".",B190)+1)&lt;=2),AND(LEN(B190)-FIND(".",B190,FIND(".",B190)+1)=4,FIND(".",B190)&gt;=2,FIND(".",B190)&lt;=3)),FIND(".",B190,FIND(".",B190)+1)-FIND(".",B190)&gt;=2,FIND(".",B190,FIND(".",B190)+1)-FIND(".",B190)&lt;=3,F190&gt;=2000,F190&lt;=2100,YEAR(I190)=F190,MONTH(I190)=G190,DAY(I190)=H190),I190,0)),0)</ns0:f>
        <ns0:v>0</ns0:v>
      </ns0:c>
      <ns0:c r="K190" s="0">
        <ns0:f>IFERROR(IF(ISNUMBER(Bookings!D190),"",TRIM(Bookings!D190&amp;"")),"")</ns0:f>
      </ns0:c>
      <ns0:c r="L190" s="0">
        <ns0:f>IFERROR(SUBSTITUTE(SUBSTITUTE(K190,"/","."),"-","."),"")</ns0:f>
      </ns0:c>
      <ns0:c r="M190" s="0">
        <ns0:f>IFERROR(LEFT(L190,FIND(".",L190)-1),"")</ns0:f>
      </ns0:c>
      <ns0:c r="N190" s="0">
        <ns0:f>IFERROR(MID(L190,FIND(".",L190)+1,FIND(".",L190,FIND(".",L190)+1)-FIND(".",L190)-1),"")</ns0:f>
      </ns0:c>
      <ns0:c r="O190" s="0">
        <ns0:f>IFERROR(MID(L190,FIND(".",L190,FIND(".",L190)+1)+1,99),"")</ns0:f>
        <ns0:v>99</ns0:v>
      </ns0:c>
      <ns0:c r="P190" s="0">
        <ns0:f>IFERROR(IF(FIND(".",L190)=5,--M190,--O190),0)</ns0:f>
        <ns0:v>0</ns0:v>
      </ns0:c>
      <ns0:c r="Q190" s="0">
        <ns0:f>IFERROR(--N190,0)</ns0:f>
        <ns0:v>0</ns0:v>
      </ns0:c>
      <ns0:c r="R190" s="0">
        <ns0:f>IFERROR(IF(FIND(".",L190)=5,--O190,--M190),0)</ns0:f>
        <ns0:v>0</ns0:v>
      </ns0:c>
      <ns0:c r="S190" s="0">
        <ns0:f>IFERROR(IF(AND(P190&gt;=2000,P190&lt;=2100,Q190&gt;=1,Q190&lt;=12,R190&gt;=1,R190&lt;=31),DATE(P190,Q190,R190),0),0)</ns0:f>
        <ns0:v>0</ns0:v>
      </ns0:c>
      <ns0:c r="T190" s="0">
        <ns0:f>IFERROR(IF(ISNUMBER(Bookings!D190),IF(AND(Bookings!D190=INT(Bookings!D190),Bookings!D190&gt;=DATE(2000,1,1),Bookings!D190&lt;=DATE(2100,12,31)),Bookings!D190,0),IF(AND(K190&lt;&gt;"",LEN("x"&amp;L190)-LEN(SUBSTITUTE("x"&amp;L190,".",""))=2,OR(1&gt;LEN(L190),MID(L190,1,1)=".",ISNUMBER(FIND("x"&amp;MID(L190,1,1),"x0x1x2x3x4x5x6x7x8x9"))),OR(2&gt;LEN(L190),MID(L190,2,1)=".",ISNUMBER(FIND("x"&amp;MID(L190,2,1),"x0x1x2x3x4x5x6x7x8x9"))),OR(3&gt;LEN(L190),MID(L190,3,1)=".",ISNUMBER(FIND("x"&amp;MID(L190,3,1),"x0x1x2x3x4x5x6x7x8x9"))),OR(4&gt;LEN(L190),MID(L190,4,1)=".",ISNUMBER(FIND("x"&amp;MID(L190,4,1),"x0x1x2x3x4x5x6x7x8x9"))),OR(5&gt;LEN(L190),MID(L190,5,1)=".",ISNUMBER(FIND("x"&amp;MID(L190,5,1),"x0x1x2x3x4x5x6x7x8x9"))),OR(6&gt;LEN(L190),MID(L190,6,1)=".",ISNUMBER(FIND("x"&amp;MID(L190,6,1),"x0x1x2x3x4x5x6x7x8x9"))),OR(7&gt;LEN(L190),MID(L190,7,1)=".",ISNUMBER(FIND("x"&amp;MID(L190,7,1),"x0x1x2x3x4x5x6x7x8x9"))),OR(8&gt;LEN(L190),MID(L190,8,1)=".",ISNUMBER(FIND("x"&amp;MID(L190,8,1),"x0x1x2x3x4x5x6x7x8x9"))),OR(9&gt;LEN(L190),MID(L190,9,1)=".",ISNUMBER(FIND("x"&amp;MID(L190,9,1),"x0x1x2x3x4x5x6x7x8x9"))),OR(10&gt;LEN(L190),MID(L190,10,1)=".",ISNUMBER(FIND("x"&amp;MID(L190,10,1),"x0x1x2x3x4x5x6x7x8x9"))),OR(AND(FIND(".",L190)=5,LEN(L190)-FIND(".",L190,FIND(".",L190)+1)&gt;=1,LEN(L190)-FIND(".",L190,FIND(".",L190)+1)&lt;=2),AND(LEN(L190)-FIND(".",L190,FIND(".",L190)+1)=4,FIND(".",L190)&gt;=2,FIND(".",L190)&lt;=3)),FIND(".",L190,FIND(".",L190)+1)-FIND(".",L190)&gt;=2,FIND(".",L190,FIND(".",L190)+1)-FIND(".",L190)&lt;=3,P190&gt;=2000,P190&lt;=2100,YEAR(S190)=P190,MONTH(S190)=Q190,DAY(S190)=R190),S190,0)),0)</ns0:f>
        <ns0:v>0</ns0:v>
      </ns0:c>
      <ns0:c r="U190" s="0" t="str">
        <ns0:f>IF(Bookings!C190="","Full day",Bookings!C190)</ns0:f>
        <ns0:v>Full day</ns0:v>
      </ns0:c>
      <ns0:c r="V190" s="0" t="str">
        <ns0:f>IF(Bookings!E190="","Full day",Bookings!E190)</ns0:f>
        <ns0:v>Full day</ns0:v>
      </ns0:c>
      <ns0:c r="W190" s="0">
        <ns0:f>IF(J190=0,0,J190+IF(U190="PM",1,0))</ns0:f>
        <ns0:v>0</ns0:v>
      </ns0:c>
      <ns0:c r="X190" s="0">
        <ns0:f>IF(T190=0,0,T190-IF(V190="PM",1,0))</ns0:f>
        <ns0:v>0</ns0:v>
      </ns0:c>
      <ns0:c r="Y190" s="0">
        <ns0:f>IF(J190=0,0,J190+IF(U190="AM",1,0))</ns0:f>
        <ns0:v>0</ns0:v>
      </ns0:c>
      <ns0:c r="Z190" s="0">
        <ns0:f>IF(T190=0,0,T190-IF(V190="AM",1,0))</ns0:f>
        <ns0:v>0</ns0:v>
      </ns0:c>
      <ns0:c r="AA190" s="0">
        <ns0:f>IFERROR(IF(AND(J190&gt;0,'_Engine'!C190&gt;0,MID('_Engine'!W190,WEEKDAY(J190,2),1)="W",COUNTIF(Settings!$F$18:$F$67,J190)=0),1,0),0)</ns0:f>
        <ns0:v>0</ns0:v>
      </ns0:c>
      <ns0:c r="AB190" s="0">
        <ns0:f>IFERROR(IF(AND(T190&gt;0,'_Engine'!C190&gt;0,MID('_Engine'!W190,WEEKDAY(T190,2),1)="W",COUNTIF(Settings!$F$18:$F$67,T190)=0),1,0),0)</ns0:f>
        <ns0:v>0</ns0:v>
      </ns0:c>
      <ns0:c r="AC190" s="0">
        <ns0:f>IF(AND(J190&gt;0,T190&gt;0,W190&lt;=X190),1,0)</ns0:f>
        <ns0:v>0</ns0:v>
      </ns0:c>
      <ns0:c r="AD190" s="0">
        <ns0:f>IF(AND(J190&gt;0,T190&gt;0,Y190&lt;=Z190),1,0)</ns0:f>
        <ns0:v>0</ns0:v>
      </ns0:c>
    </ns0:row>
    <ns0:row r="191">
      <ns0:c r="A191" s="0">
        <ns0:f>IFERROR(IF(ISNUMBER(Bookings!B191),"",TRIM(Bookings!B191&amp;"")),"")</ns0:f>
      </ns0:c>
      <ns0:c r="B191" s="0">
        <ns0:f>IFERROR(SUBSTITUTE(SUBSTITUTE(A191,"/","."),"-","."),"")</ns0:f>
      </ns0:c>
      <ns0:c r="C191" s="0">
        <ns0:f>IFERROR(LEFT(B191,FIND(".",B191)-1),"")</ns0:f>
      </ns0:c>
      <ns0:c r="D191" s="0">
        <ns0:f>IFERROR(MID(B191,FIND(".",B191)+1,FIND(".",B191,FIND(".",B191)+1)-FIND(".",B191)-1),"")</ns0:f>
      </ns0:c>
      <ns0:c r="E191" s="0">
        <ns0:f>IFERROR(MID(B191,FIND(".",B191,FIND(".",B191)+1)+1,99),"")</ns0:f>
        <ns0:v>99</ns0:v>
      </ns0:c>
      <ns0:c r="F191" s="0">
        <ns0:f>IFERROR(IF(FIND(".",B191)=5,--C191,--E191),0)</ns0:f>
        <ns0:v>0</ns0:v>
      </ns0:c>
      <ns0:c r="G191" s="0">
        <ns0:f>IFERROR(--D191,0)</ns0:f>
        <ns0:v>0</ns0:v>
      </ns0:c>
      <ns0:c r="H191" s="0">
        <ns0:f>IFERROR(IF(FIND(".",B191)=5,--E191,--C191),0)</ns0:f>
        <ns0:v>0</ns0:v>
      </ns0:c>
      <ns0:c r="I191" s="0">
        <ns0:f>IFERROR(IF(AND(F191&gt;=2000,F191&lt;=2100,G191&gt;=1,G191&lt;=12,H191&gt;=1,H191&lt;=31),DATE(F191,G191,H191),0),0)</ns0:f>
        <ns0:v>0</ns0:v>
      </ns0:c>
      <ns0:c r="J191" s="0">
        <ns0:f>IFERROR(IF(ISNUMBER(Bookings!B191),IF(AND(Bookings!B191=INT(Bookings!B191),Bookings!B191&gt;=DATE(2000,1,1),Bookings!B191&lt;=DATE(2100,12,31)),Bookings!B191,0),IF(AND(A191&lt;&gt;"",LEN("x"&amp;B191)-LEN(SUBSTITUTE("x"&amp;B191,".",""))=2,OR(1&gt;LEN(B191),MID(B191,1,1)=".",ISNUMBER(FIND("x"&amp;MID(B191,1,1),"x0x1x2x3x4x5x6x7x8x9"))),OR(2&gt;LEN(B191),MID(B191,2,1)=".",ISNUMBER(FIND("x"&amp;MID(B191,2,1),"x0x1x2x3x4x5x6x7x8x9"))),OR(3&gt;LEN(B191),MID(B191,3,1)=".",ISNUMBER(FIND("x"&amp;MID(B191,3,1),"x0x1x2x3x4x5x6x7x8x9"))),OR(4&gt;LEN(B191),MID(B191,4,1)=".",ISNUMBER(FIND("x"&amp;MID(B191,4,1),"x0x1x2x3x4x5x6x7x8x9"))),OR(5&gt;LEN(B191),MID(B191,5,1)=".",ISNUMBER(FIND("x"&amp;MID(B191,5,1),"x0x1x2x3x4x5x6x7x8x9"))),OR(6&gt;LEN(B191),MID(B191,6,1)=".",ISNUMBER(FIND("x"&amp;MID(B191,6,1),"x0x1x2x3x4x5x6x7x8x9"))),OR(7&gt;LEN(B191),MID(B191,7,1)=".",ISNUMBER(FIND("x"&amp;MID(B191,7,1),"x0x1x2x3x4x5x6x7x8x9"))),OR(8&gt;LEN(B191),MID(B191,8,1)=".",ISNUMBER(FIND("x"&amp;MID(B191,8,1),"x0x1x2x3x4x5x6x7x8x9"))),OR(9&gt;LEN(B191),MID(B191,9,1)=".",ISNUMBER(FIND("x"&amp;MID(B191,9,1),"x0x1x2x3x4x5x6x7x8x9"))),OR(10&gt;LEN(B191),MID(B191,10,1)=".",ISNUMBER(FIND("x"&amp;MID(B191,10,1),"x0x1x2x3x4x5x6x7x8x9"))),OR(AND(FIND(".",B191)=5,LEN(B191)-FIND(".",B191,FIND(".",B191)+1)&gt;=1,LEN(B191)-FIND(".",B191,FIND(".",B191)+1)&lt;=2),AND(LEN(B191)-FIND(".",B191,FIND(".",B191)+1)=4,FIND(".",B191)&gt;=2,FIND(".",B191)&lt;=3)),FIND(".",B191,FIND(".",B191)+1)-FIND(".",B191)&gt;=2,FIND(".",B191,FIND(".",B191)+1)-FIND(".",B191)&lt;=3,F191&gt;=2000,F191&lt;=2100,YEAR(I191)=F191,MONTH(I191)=G191,DAY(I191)=H191),I191,0)),0)</ns0:f>
        <ns0:v>0</ns0:v>
      </ns0:c>
      <ns0:c r="K191" s="0">
        <ns0:f>IFERROR(IF(ISNUMBER(Bookings!D191),"",TRIM(Bookings!D191&amp;"")),"")</ns0:f>
      </ns0:c>
      <ns0:c r="L191" s="0">
        <ns0:f>IFERROR(SUBSTITUTE(SUBSTITUTE(K191,"/","."),"-","."),"")</ns0:f>
      </ns0:c>
      <ns0:c r="M191" s="0">
        <ns0:f>IFERROR(LEFT(L191,FIND(".",L191)-1),"")</ns0:f>
      </ns0:c>
      <ns0:c r="N191" s="0">
        <ns0:f>IFERROR(MID(L191,FIND(".",L191)+1,FIND(".",L191,FIND(".",L191)+1)-FIND(".",L191)-1),"")</ns0:f>
      </ns0:c>
      <ns0:c r="O191" s="0">
        <ns0:f>IFERROR(MID(L191,FIND(".",L191,FIND(".",L191)+1)+1,99),"")</ns0:f>
        <ns0:v>99</ns0:v>
      </ns0:c>
      <ns0:c r="P191" s="0">
        <ns0:f>IFERROR(IF(FIND(".",L191)=5,--M191,--O191),0)</ns0:f>
        <ns0:v>0</ns0:v>
      </ns0:c>
      <ns0:c r="Q191" s="0">
        <ns0:f>IFERROR(--N191,0)</ns0:f>
        <ns0:v>0</ns0:v>
      </ns0:c>
      <ns0:c r="R191" s="0">
        <ns0:f>IFERROR(IF(FIND(".",L191)=5,--O191,--M191),0)</ns0:f>
        <ns0:v>0</ns0:v>
      </ns0:c>
      <ns0:c r="S191" s="0">
        <ns0:f>IFERROR(IF(AND(P191&gt;=2000,P191&lt;=2100,Q191&gt;=1,Q191&lt;=12,R191&gt;=1,R191&lt;=31),DATE(P191,Q191,R191),0),0)</ns0:f>
        <ns0:v>0</ns0:v>
      </ns0:c>
      <ns0:c r="T191" s="0">
        <ns0:f>IFERROR(IF(ISNUMBER(Bookings!D191),IF(AND(Bookings!D191=INT(Bookings!D191),Bookings!D191&gt;=DATE(2000,1,1),Bookings!D191&lt;=DATE(2100,12,31)),Bookings!D191,0),IF(AND(K191&lt;&gt;"",LEN("x"&amp;L191)-LEN(SUBSTITUTE("x"&amp;L191,".",""))=2,OR(1&gt;LEN(L191),MID(L191,1,1)=".",ISNUMBER(FIND("x"&amp;MID(L191,1,1),"x0x1x2x3x4x5x6x7x8x9"))),OR(2&gt;LEN(L191),MID(L191,2,1)=".",ISNUMBER(FIND("x"&amp;MID(L191,2,1),"x0x1x2x3x4x5x6x7x8x9"))),OR(3&gt;LEN(L191),MID(L191,3,1)=".",ISNUMBER(FIND("x"&amp;MID(L191,3,1),"x0x1x2x3x4x5x6x7x8x9"))),OR(4&gt;LEN(L191),MID(L191,4,1)=".",ISNUMBER(FIND("x"&amp;MID(L191,4,1),"x0x1x2x3x4x5x6x7x8x9"))),OR(5&gt;LEN(L191),MID(L191,5,1)=".",ISNUMBER(FIND("x"&amp;MID(L191,5,1),"x0x1x2x3x4x5x6x7x8x9"))),OR(6&gt;LEN(L191),MID(L191,6,1)=".",ISNUMBER(FIND("x"&amp;MID(L191,6,1),"x0x1x2x3x4x5x6x7x8x9"))),OR(7&gt;LEN(L191),MID(L191,7,1)=".",ISNUMBER(FIND("x"&amp;MID(L191,7,1),"x0x1x2x3x4x5x6x7x8x9"))),OR(8&gt;LEN(L191),MID(L191,8,1)=".",ISNUMBER(FIND("x"&amp;MID(L191,8,1),"x0x1x2x3x4x5x6x7x8x9"))),OR(9&gt;LEN(L191),MID(L191,9,1)=".",ISNUMBER(FIND("x"&amp;MID(L191,9,1),"x0x1x2x3x4x5x6x7x8x9"))),OR(10&gt;LEN(L191),MID(L191,10,1)=".",ISNUMBER(FIND("x"&amp;MID(L191,10,1),"x0x1x2x3x4x5x6x7x8x9"))),OR(AND(FIND(".",L191)=5,LEN(L191)-FIND(".",L191,FIND(".",L191)+1)&gt;=1,LEN(L191)-FIND(".",L191,FIND(".",L191)+1)&lt;=2),AND(LEN(L191)-FIND(".",L191,FIND(".",L191)+1)=4,FIND(".",L191)&gt;=2,FIND(".",L191)&lt;=3)),FIND(".",L191,FIND(".",L191)+1)-FIND(".",L191)&gt;=2,FIND(".",L191,FIND(".",L191)+1)-FIND(".",L191)&lt;=3,P191&gt;=2000,P191&lt;=2100,YEAR(S191)=P191,MONTH(S191)=Q191,DAY(S191)=R191),S191,0)),0)</ns0:f>
        <ns0:v>0</ns0:v>
      </ns0:c>
      <ns0:c r="U191" s="0" t="str">
        <ns0:f>IF(Bookings!C191="","Full day",Bookings!C191)</ns0:f>
        <ns0:v>Full day</ns0:v>
      </ns0:c>
      <ns0:c r="V191" s="0" t="str">
        <ns0:f>IF(Bookings!E191="","Full day",Bookings!E191)</ns0:f>
        <ns0:v>Full day</ns0:v>
      </ns0:c>
      <ns0:c r="W191" s="0">
        <ns0:f>IF(J191=0,0,J191+IF(U191="PM",1,0))</ns0:f>
        <ns0:v>0</ns0:v>
      </ns0:c>
      <ns0:c r="X191" s="0">
        <ns0:f>IF(T191=0,0,T191-IF(V191="PM",1,0))</ns0:f>
        <ns0:v>0</ns0:v>
      </ns0:c>
      <ns0:c r="Y191" s="0">
        <ns0:f>IF(J191=0,0,J191+IF(U191="AM",1,0))</ns0:f>
        <ns0:v>0</ns0:v>
      </ns0:c>
      <ns0:c r="Z191" s="0">
        <ns0:f>IF(T191=0,0,T191-IF(V191="AM",1,0))</ns0:f>
        <ns0:v>0</ns0:v>
      </ns0:c>
      <ns0:c r="AA191" s="0">
        <ns0:f>IFERROR(IF(AND(J191&gt;0,'_Engine'!C191&gt;0,MID('_Engine'!W191,WEEKDAY(J191,2),1)="W",COUNTIF(Settings!$F$18:$F$67,J191)=0),1,0),0)</ns0:f>
        <ns0:v>0</ns0:v>
      </ns0:c>
      <ns0:c r="AB191" s="0">
        <ns0:f>IFERROR(IF(AND(T191&gt;0,'_Engine'!C191&gt;0,MID('_Engine'!W191,WEEKDAY(T191,2),1)="W",COUNTIF(Settings!$F$18:$F$67,T191)=0),1,0),0)</ns0:f>
        <ns0:v>0</ns0:v>
      </ns0:c>
      <ns0:c r="AC191" s="0">
        <ns0:f>IF(AND(J191&gt;0,T191&gt;0,W191&lt;=X191),1,0)</ns0:f>
        <ns0:v>0</ns0:v>
      </ns0:c>
      <ns0:c r="AD191" s="0">
        <ns0:f>IF(AND(J191&gt;0,T191&gt;0,Y191&lt;=Z191),1,0)</ns0:f>
        <ns0:v>0</ns0:v>
      </ns0:c>
    </ns0:row>
    <ns0:row r="192">
      <ns0:c r="A192" s="0">
        <ns0:f>IFERROR(IF(ISNUMBER(Bookings!B192),"",TRIM(Bookings!B192&amp;"")),"")</ns0:f>
      </ns0:c>
      <ns0:c r="B192" s="0">
        <ns0:f>IFERROR(SUBSTITUTE(SUBSTITUTE(A192,"/","."),"-","."),"")</ns0:f>
      </ns0:c>
      <ns0:c r="C192" s="0">
        <ns0:f>IFERROR(LEFT(B192,FIND(".",B192)-1),"")</ns0:f>
      </ns0:c>
      <ns0:c r="D192" s="0">
        <ns0:f>IFERROR(MID(B192,FIND(".",B192)+1,FIND(".",B192,FIND(".",B192)+1)-FIND(".",B192)-1),"")</ns0:f>
      </ns0:c>
      <ns0:c r="E192" s="0">
        <ns0:f>IFERROR(MID(B192,FIND(".",B192,FIND(".",B192)+1)+1,99),"")</ns0:f>
        <ns0:v>99</ns0:v>
      </ns0:c>
      <ns0:c r="F192" s="0">
        <ns0:f>IFERROR(IF(FIND(".",B192)=5,--C192,--E192),0)</ns0:f>
        <ns0:v>0</ns0:v>
      </ns0:c>
      <ns0:c r="G192" s="0">
        <ns0:f>IFERROR(--D192,0)</ns0:f>
        <ns0:v>0</ns0:v>
      </ns0:c>
      <ns0:c r="H192" s="0">
        <ns0:f>IFERROR(IF(FIND(".",B192)=5,--E192,--C192),0)</ns0:f>
        <ns0:v>0</ns0:v>
      </ns0:c>
      <ns0:c r="I192" s="0">
        <ns0:f>IFERROR(IF(AND(F192&gt;=2000,F192&lt;=2100,G192&gt;=1,G192&lt;=12,H192&gt;=1,H192&lt;=31),DATE(F192,G192,H192),0),0)</ns0:f>
        <ns0:v>0</ns0:v>
      </ns0:c>
      <ns0:c r="J192" s="0">
        <ns0:f>IFERROR(IF(ISNUMBER(Bookings!B192),IF(AND(Bookings!B192=INT(Bookings!B192),Bookings!B192&gt;=DATE(2000,1,1),Bookings!B192&lt;=DATE(2100,12,31)),Bookings!B192,0),IF(AND(A192&lt;&gt;"",LEN("x"&amp;B192)-LEN(SUBSTITUTE("x"&amp;B192,".",""))=2,OR(1&gt;LEN(B192),MID(B192,1,1)=".",ISNUMBER(FIND("x"&amp;MID(B192,1,1),"x0x1x2x3x4x5x6x7x8x9"))),OR(2&gt;LEN(B192),MID(B192,2,1)=".",ISNUMBER(FIND("x"&amp;MID(B192,2,1),"x0x1x2x3x4x5x6x7x8x9"))),OR(3&gt;LEN(B192),MID(B192,3,1)=".",ISNUMBER(FIND("x"&amp;MID(B192,3,1),"x0x1x2x3x4x5x6x7x8x9"))),OR(4&gt;LEN(B192),MID(B192,4,1)=".",ISNUMBER(FIND("x"&amp;MID(B192,4,1),"x0x1x2x3x4x5x6x7x8x9"))),OR(5&gt;LEN(B192),MID(B192,5,1)=".",ISNUMBER(FIND("x"&amp;MID(B192,5,1),"x0x1x2x3x4x5x6x7x8x9"))),OR(6&gt;LEN(B192),MID(B192,6,1)=".",ISNUMBER(FIND("x"&amp;MID(B192,6,1),"x0x1x2x3x4x5x6x7x8x9"))),OR(7&gt;LEN(B192),MID(B192,7,1)=".",ISNUMBER(FIND("x"&amp;MID(B192,7,1),"x0x1x2x3x4x5x6x7x8x9"))),OR(8&gt;LEN(B192),MID(B192,8,1)=".",ISNUMBER(FIND("x"&amp;MID(B192,8,1),"x0x1x2x3x4x5x6x7x8x9"))),OR(9&gt;LEN(B192),MID(B192,9,1)=".",ISNUMBER(FIND("x"&amp;MID(B192,9,1),"x0x1x2x3x4x5x6x7x8x9"))),OR(10&gt;LEN(B192),MID(B192,10,1)=".",ISNUMBER(FIND("x"&amp;MID(B192,10,1),"x0x1x2x3x4x5x6x7x8x9"))),OR(AND(FIND(".",B192)=5,LEN(B192)-FIND(".",B192,FIND(".",B192)+1)&gt;=1,LEN(B192)-FIND(".",B192,FIND(".",B192)+1)&lt;=2),AND(LEN(B192)-FIND(".",B192,FIND(".",B192)+1)=4,FIND(".",B192)&gt;=2,FIND(".",B192)&lt;=3)),FIND(".",B192,FIND(".",B192)+1)-FIND(".",B192)&gt;=2,FIND(".",B192,FIND(".",B192)+1)-FIND(".",B192)&lt;=3,F192&gt;=2000,F192&lt;=2100,YEAR(I192)=F192,MONTH(I192)=G192,DAY(I192)=H192),I192,0)),0)</ns0:f>
        <ns0:v>0</ns0:v>
      </ns0:c>
      <ns0:c r="K192" s="0">
        <ns0:f>IFERROR(IF(ISNUMBER(Bookings!D192),"",TRIM(Bookings!D192&amp;"")),"")</ns0:f>
      </ns0:c>
      <ns0:c r="L192" s="0">
        <ns0:f>IFERROR(SUBSTITUTE(SUBSTITUTE(K192,"/","."),"-","."),"")</ns0:f>
      </ns0:c>
      <ns0:c r="M192" s="0">
        <ns0:f>IFERROR(LEFT(L192,FIND(".",L192)-1),"")</ns0:f>
      </ns0:c>
      <ns0:c r="N192" s="0">
        <ns0:f>IFERROR(MID(L192,FIND(".",L192)+1,FIND(".",L192,FIND(".",L192)+1)-FIND(".",L192)-1),"")</ns0:f>
      </ns0:c>
      <ns0:c r="O192" s="0">
        <ns0:f>IFERROR(MID(L192,FIND(".",L192,FIND(".",L192)+1)+1,99),"")</ns0:f>
        <ns0:v>99</ns0:v>
      </ns0:c>
      <ns0:c r="P192" s="0">
        <ns0:f>IFERROR(IF(FIND(".",L192)=5,--M192,--O192),0)</ns0:f>
        <ns0:v>0</ns0:v>
      </ns0:c>
      <ns0:c r="Q192" s="0">
        <ns0:f>IFERROR(--N192,0)</ns0:f>
        <ns0:v>0</ns0:v>
      </ns0:c>
      <ns0:c r="R192" s="0">
        <ns0:f>IFERROR(IF(FIND(".",L192)=5,--O192,--M192),0)</ns0:f>
        <ns0:v>0</ns0:v>
      </ns0:c>
      <ns0:c r="S192" s="0">
        <ns0:f>IFERROR(IF(AND(P192&gt;=2000,P192&lt;=2100,Q192&gt;=1,Q192&lt;=12,R192&gt;=1,R192&lt;=31),DATE(P192,Q192,R192),0),0)</ns0:f>
        <ns0:v>0</ns0:v>
      </ns0:c>
      <ns0:c r="T192" s="0">
        <ns0:f>IFERROR(IF(ISNUMBER(Bookings!D192),IF(AND(Bookings!D192=INT(Bookings!D192),Bookings!D192&gt;=DATE(2000,1,1),Bookings!D192&lt;=DATE(2100,12,31)),Bookings!D192,0),IF(AND(K192&lt;&gt;"",LEN("x"&amp;L192)-LEN(SUBSTITUTE("x"&amp;L192,".",""))=2,OR(1&gt;LEN(L192),MID(L192,1,1)=".",ISNUMBER(FIND("x"&amp;MID(L192,1,1),"x0x1x2x3x4x5x6x7x8x9"))),OR(2&gt;LEN(L192),MID(L192,2,1)=".",ISNUMBER(FIND("x"&amp;MID(L192,2,1),"x0x1x2x3x4x5x6x7x8x9"))),OR(3&gt;LEN(L192),MID(L192,3,1)=".",ISNUMBER(FIND("x"&amp;MID(L192,3,1),"x0x1x2x3x4x5x6x7x8x9"))),OR(4&gt;LEN(L192),MID(L192,4,1)=".",ISNUMBER(FIND("x"&amp;MID(L192,4,1),"x0x1x2x3x4x5x6x7x8x9"))),OR(5&gt;LEN(L192),MID(L192,5,1)=".",ISNUMBER(FIND("x"&amp;MID(L192,5,1),"x0x1x2x3x4x5x6x7x8x9"))),OR(6&gt;LEN(L192),MID(L192,6,1)=".",ISNUMBER(FIND("x"&amp;MID(L192,6,1),"x0x1x2x3x4x5x6x7x8x9"))),OR(7&gt;LEN(L192),MID(L192,7,1)=".",ISNUMBER(FIND("x"&amp;MID(L192,7,1),"x0x1x2x3x4x5x6x7x8x9"))),OR(8&gt;LEN(L192),MID(L192,8,1)=".",ISNUMBER(FIND("x"&amp;MID(L192,8,1),"x0x1x2x3x4x5x6x7x8x9"))),OR(9&gt;LEN(L192),MID(L192,9,1)=".",ISNUMBER(FIND("x"&amp;MID(L192,9,1),"x0x1x2x3x4x5x6x7x8x9"))),OR(10&gt;LEN(L192),MID(L192,10,1)=".",ISNUMBER(FIND("x"&amp;MID(L192,10,1),"x0x1x2x3x4x5x6x7x8x9"))),OR(AND(FIND(".",L192)=5,LEN(L192)-FIND(".",L192,FIND(".",L192)+1)&gt;=1,LEN(L192)-FIND(".",L192,FIND(".",L192)+1)&lt;=2),AND(LEN(L192)-FIND(".",L192,FIND(".",L192)+1)=4,FIND(".",L192)&gt;=2,FIND(".",L192)&lt;=3)),FIND(".",L192,FIND(".",L192)+1)-FIND(".",L192)&gt;=2,FIND(".",L192,FIND(".",L192)+1)-FIND(".",L192)&lt;=3,P192&gt;=2000,P192&lt;=2100,YEAR(S192)=P192,MONTH(S192)=Q192,DAY(S192)=R192),S192,0)),0)</ns0:f>
        <ns0:v>0</ns0:v>
      </ns0:c>
      <ns0:c r="U192" s="0" t="str">
        <ns0:f>IF(Bookings!C192="","Full day",Bookings!C192)</ns0:f>
        <ns0:v>Full day</ns0:v>
      </ns0:c>
      <ns0:c r="V192" s="0" t="str">
        <ns0:f>IF(Bookings!E192="","Full day",Bookings!E192)</ns0:f>
        <ns0:v>Full day</ns0:v>
      </ns0:c>
      <ns0:c r="W192" s="0">
        <ns0:f>IF(J192=0,0,J192+IF(U192="PM",1,0))</ns0:f>
        <ns0:v>0</ns0:v>
      </ns0:c>
      <ns0:c r="X192" s="0">
        <ns0:f>IF(T192=0,0,T192-IF(V192="PM",1,0))</ns0:f>
        <ns0:v>0</ns0:v>
      </ns0:c>
      <ns0:c r="Y192" s="0">
        <ns0:f>IF(J192=0,0,J192+IF(U192="AM",1,0))</ns0:f>
        <ns0:v>0</ns0:v>
      </ns0:c>
      <ns0:c r="Z192" s="0">
        <ns0:f>IF(T192=0,0,T192-IF(V192="AM",1,0))</ns0:f>
        <ns0:v>0</ns0:v>
      </ns0:c>
      <ns0:c r="AA192" s="0">
        <ns0:f>IFERROR(IF(AND(J192&gt;0,'_Engine'!C192&gt;0,MID('_Engine'!W192,WEEKDAY(J192,2),1)="W",COUNTIF(Settings!$F$18:$F$67,J192)=0),1,0),0)</ns0:f>
        <ns0:v>0</ns0:v>
      </ns0:c>
      <ns0:c r="AB192" s="0">
        <ns0:f>IFERROR(IF(AND(T192&gt;0,'_Engine'!C192&gt;0,MID('_Engine'!W192,WEEKDAY(T192,2),1)="W",COUNTIF(Settings!$F$18:$F$67,T192)=0),1,0),0)</ns0:f>
        <ns0:v>0</ns0:v>
      </ns0:c>
      <ns0:c r="AC192" s="0">
        <ns0:f>IF(AND(J192&gt;0,T192&gt;0,W192&lt;=X192),1,0)</ns0:f>
        <ns0:v>0</ns0:v>
      </ns0:c>
      <ns0:c r="AD192" s="0">
        <ns0:f>IF(AND(J192&gt;0,T192&gt;0,Y192&lt;=Z192),1,0)</ns0:f>
        <ns0:v>0</ns0:v>
      </ns0:c>
    </ns0:row>
    <ns0:row r="193">
      <ns0:c r="A193" s="0">
        <ns0:f>IFERROR(IF(ISNUMBER(Bookings!B193),"",TRIM(Bookings!B193&amp;"")),"")</ns0:f>
      </ns0:c>
      <ns0:c r="B193" s="0">
        <ns0:f>IFERROR(SUBSTITUTE(SUBSTITUTE(A193,"/","."),"-","."),"")</ns0:f>
      </ns0:c>
      <ns0:c r="C193" s="0">
        <ns0:f>IFERROR(LEFT(B193,FIND(".",B193)-1),"")</ns0:f>
      </ns0:c>
      <ns0:c r="D193" s="0">
        <ns0:f>IFERROR(MID(B193,FIND(".",B193)+1,FIND(".",B193,FIND(".",B193)+1)-FIND(".",B193)-1),"")</ns0:f>
      </ns0:c>
      <ns0:c r="E193" s="0">
        <ns0:f>IFERROR(MID(B193,FIND(".",B193,FIND(".",B193)+1)+1,99),"")</ns0:f>
        <ns0:v>99</ns0:v>
      </ns0:c>
      <ns0:c r="F193" s="0">
        <ns0:f>IFERROR(IF(FIND(".",B193)=5,--C193,--E193),0)</ns0:f>
        <ns0:v>0</ns0:v>
      </ns0:c>
      <ns0:c r="G193" s="0">
        <ns0:f>IFERROR(--D193,0)</ns0:f>
        <ns0:v>0</ns0:v>
      </ns0:c>
      <ns0:c r="H193" s="0">
        <ns0:f>IFERROR(IF(FIND(".",B193)=5,--E193,--C193),0)</ns0:f>
        <ns0:v>0</ns0:v>
      </ns0:c>
      <ns0:c r="I193" s="0">
        <ns0:f>IFERROR(IF(AND(F193&gt;=2000,F193&lt;=2100,G193&gt;=1,G193&lt;=12,H193&gt;=1,H193&lt;=31),DATE(F193,G193,H193),0),0)</ns0:f>
        <ns0:v>0</ns0:v>
      </ns0:c>
      <ns0:c r="J193" s="0">
        <ns0:f>IFERROR(IF(ISNUMBER(Bookings!B193),IF(AND(Bookings!B193=INT(Bookings!B193),Bookings!B193&gt;=DATE(2000,1,1),Bookings!B193&lt;=DATE(2100,12,31)),Bookings!B193,0),IF(AND(A193&lt;&gt;"",LEN("x"&amp;B193)-LEN(SUBSTITUTE("x"&amp;B193,".",""))=2,OR(1&gt;LEN(B193),MID(B193,1,1)=".",ISNUMBER(FIND("x"&amp;MID(B193,1,1),"x0x1x2x3x4x5x6x7x8x9"))),OR(2&gt;LEN(B193),MID(B193,2,1)=".",ISNUMBER(FIND("x"&amp;MID(B193,2,1),"x0x1x2x3x4x5x6x7x8x9"))),OR(3&gt;LEN(B193),MID(B193,3,1)=".",ISNUMBER(FIND("x"&amp;MID(B193,3,1),"x0x1x2x3x4x5x6x7x8x9"))),OR(4&gt;LEN(B193),MID(B193,4,1)=".",ISNUMBER(FIND("x"&amp;MID(B193,4,1),"x0x1x2x3x4x5x6x7x8x9"))),OR(5&gt;LEN(B193),MID(B193,5,1)=".",ISNUMBER(FIND("x"&amp;MID(B193,5,1),"x0x1x2x3x4x5x6x7x8x9"))),OR(6&gt;LEN(B193),MID(B193,6,1)=".",ISNUMBER(FIND("x"&amp;MID(B193,6,1),"x0x1x2x3x4x5x6x7x8x9"))),OR(7&gt;LEN(B193),MID(B193,7,1)=".",ISNUMBER(FIND("x"&amp;MID(B193,7,1),"x0x1x2x3x4x5x6x7x8x9"))),OR(8&gt;LEN(B193),MID(B193,8,1)=".",ISNUMBER(FIND("x"&amp;MID(B193,8,1),"x0x1x2x3x4x5x6x7x8x9"))),OR(9&gt;LEN(B193),MID(B193,9,1)=".",ISNUMBER(FIND("x"&amp;MID(B193,9,1),"x0x1x2x3x4x5x6x7x8x9"))),OR(10&gt;LEN(B193),MID(B193,10,1)=".",ISNUMBER(FIND("x"&amp;MID(B193,10,1),"x0x1x2x3x4x5x6x7x8x9"))),OR(AND(FIND(".",B193)=5,LEN(B193)-FIND(".",B193,FIND(".",B193)+1)&gt;=1,LEN(B193)-FIND(".",B193,FIND(".",B193)+1)&lt;=2),AND(LEN(B193)-FIND(".",B193,FIND(".",B193)+1)=4,FIND(".",B193)&gt;=2,FIND(".",B193)&lt;=3)),FIND(".",B193,FIND(".",B193)+1)-FIND(".",B193)&gt;=2,FIND(".",B193,FIND(".",B193)+1)-FIND(".",B193)&lt;=3,F193&gt;=2000,F193&lt;=2100,YEAR(I193)=F193,MONTH(I193)=G193,DAY(I193)=H193),I193,0)),0)</ns0:f>
        <ns0:v>0</ns0:v>
      </ns0:c>
      <ns0:c r="K193" s="0">
        <ns0:f>IFERROR(IF(ISNUMBER(Bookings!D193),"",TRIM(Bookings!D193&amp;"")),"")</ns0:f>
      </ns0:c>
      <ns0:c r="L193" s="0">
        <ns0:f>IFERROR(SUBSTITUTE(SUBSTITUTE(K193,"/","."),"-","."),"")</ns0:f>
      </ns0:c>
      <ns0:c r="M193" s="0">
        <ns0:f>IFERROR(LEFT(L193,FIND(".",L193)-1),"")</ns0:f>
      </ns0:c>
      <ns0:c r="N193" s="0">
        <ns0:f>IFERROR(MID(L193,FIND(".",L193)+1,FIND(".",L193,FIND(".",L193)+1)-FIND(".",L193)-1),"")</ns0:f>
      </ns0:c>
      <ns0:c r="O193" s="0">
        <ns0:f>IFERROR(MID(L193,FIND(".",L193,FIND(".",L193)+1)+1,99),"")</ns0:f>
        <ns0:v>99</ns0:v>
      </ns0:c>
      <ns0:c r="P193" s="0">
        <ns0:f>IFERROR(IF(FIND(".",L193)=5,--M193,--O193),0)</ns0:f>
        <ns0:v>0</ns0:v>
      </ns0:c>
      <ns0:c r="Q193" s="0">
        <ns0:f>IFERROR(--N193,0)</ns0:f>
        <ns0:v>0</ns0:v>
      </ns0:c>
      <ns0:c r="R193" s="0">
        <ns0:f>IFERROR(IF(FIND(".",L193)=5,--O193,--M193),0)</ns0:f>
        <ns0:v>0</ns0:v>
      </ns0:c>
      <ns0:c r="S193" s="0">
        <ns0:f>IFERROR(IF(AND(P193&gt;=2000,P193&lt;=2100,Q193&gt;=1,Q193&lt;=12,R193&gt;=1,R193&lt;=31),DATE(P193,Q193,R193),0),0)</ns0:f>
        <ns0:v>0</ns0:v>
      </ns0:c>
      <ns0:c r="T193" s="0">
        <ns0:f>IFERROR(IF(ISNUMBER(Bookings!D193),IF(AND(Bookings!D193=INT(Bookings!D193),Bookings!D193&gt;=DATE(2000,1,1),Bookings!D193&lt;=DATE(2100,12,31)),Bookings!D193,0),IF(AND(K193&lt;&gt;"",LEN("x"&amp;L193)-LEN(SUBSTITUTE("x"&amp;L193,".",""))=2,OR(1&gt;LEN(L193),MID(L193,1,1)=".",ISNUMBER(FIND("x"&amp;MID(L193,1,1),"x0x1x2x3x4x5x6x7x8x9"))),OR(2&gt;LEN(L193),MID(L193,2,1)=".",ISNUMBER(FIND("x"&amp;MID(L193,2,1),"x0x1x2x3x4x5x6x7x8x9"))),OR(3&gt;LEN(L193),MID(L193,3,1)=".",ISNUMBER(FIND("x"&amp;MID(L193,3,1),"x0x1x2x3x4x5x6x7x8x9"))),OR(4&gt;LEN(L193),MID(L193,4,1)=".",ISNUMBER(FIND("x"&amp;MID(L193,4,1),"x0x1x2x3x4x5x6x7x8x9"))),OR(5&gt;LEN(L193),MID(L193,5,1)=".",ISNUMBER(FIND("x"&amp;MID(L193,5,1),"x0x1x2x3x4x5x6x7x8x9"))),OR(6&gt;LEN(L193),MID(L193,6,1)=".",ISNUMBER(FIND("x"&amp;MID(L193,6,1),"x0x1x2x3x4x5x6x7x8x9"))),OR(7&gt;LEN(L193),MID(L193,7,1)=".",ISNUMBER(FIND("x"&amp;MID(L193,7,1),"x0x1x2x3x4x5x6x7x8x9"))),OR(8&gt;LEN(L193),MID(L193,8,1)=".",ISNUMBER(FIND("x"&amp;MID(L193,8,1),"x0x1x2x3x4x5x6x7x8x9"))),OR(9&gt;LEN(L193),MID(L193,9,1)=".",ISNUMBER(FIND("x"&amp;MID(L193,9,1),"x0x1x2x3x4x5x6x7x8x9"))),OR(10&gt;LEN(L193),MID(L193,10,1)=".",ISNUMBER(FIND("x"&amp;MID(L193,10,1),"x0x1x2x3x4x5x6x7x8x9"))),OR(AND(FIND(".",L193)=5,LEN(L193)-FIND(".",L193,FIND(".",L193)+1)&gt;=1,LEN(L193)-FIND(".",L193,FIND(".",L193)+1)&lt;=2),AND(LEN(L193)-FIND(".",L193,FIND(".",L193)+1)=4,FIND(".",L193)&gt;=2,FIND(".",L193)&lt;=3)),FIND(".",L193,FIND(".",L193)+1)-FIND(".",L193)&gt;=2,FIND(".",L193,FIND(".",L193)+1)-FIND(".",L193)&lt;=3,P193&gt;=2000,P193&lt;=2100,YEAR(S193)=P193,MONTH(S193)=Q193,DAY(S193)=R193),S193,0)),0)</ns0:f>
        <ns0:v>0</ns0:v>
      </ns0:c>
      <ns0:c r="U193" s="0" t="str">
        <ns0:f>IF(Bookings!C193="","Full day",Bookings!C193)</ns0:f>
        <ns0:v>Full day</ns0:v>
      </ns0:c>
      <ns0:c r="V193" s="0" t="str">
        <ns0:f>IF(Bookings!E193="","Full day",Bookings!E193)</ns0:f>
        <ns0:v>Full day</ns0:v>
      </ns0:c>
      <ns0:c r="W193" s="0">
        <ns0:f>IF(J193=0,0,J193+IF(U193="PM",1,0))</ns0:f>
        <ns0:v>0</ns0:v>
      </ns0:c>
      <ns0:c r="X193" s="0">
        <ns0:f>IF(T193=0,0,T193-IF(V193="PM",1,0))</ns0:f>
        <ns0:v>0</ns0:v>
      </ns0:c>
      <ns0:c r="Y193" s="0">
        <ns0:f>IF(J193=0,0,J193+IF(U193="AM",1,0))</ns0:f>
        <ns0:v>0</ns0:v>
      </ns0:c>
      <ns0:c r="Z193" s="0">
        <ns0:f>IF(T193=0,0,T193-IF(V193="AM",1,0))</ns0:f>
        <ns0:v>0</ns0:v>
      </ns0:c>
      <ns0:c r="AA193" s="0">
        <ns0:f>IFERROR(IF(AND(J193&gt;0,'_Engine'!C193&gt;0,MID('_Engine'!W193,WEEKDAY(J193,2),1)="W",COUNTIF(Settings!$F$18:$F$67,J193)=0),1,0),0)</ns0:f>
        <ns0:v>0</ns0:v>
      </ns0:c>
      <ns0:c r="AB193" s="0">
        <ns0:f>IFERROR(IF(AND(T193&gt;0,'_Engine'!C193&gt;0,MID('_Engine'!W193,WEEKDAY(T193,2),1)="W",COUNTIF(Settings!$F$18:$F$67,T193)=0),1,0),0)</ns0:f>
        <ns0:v>0</ns0:v>
      </ns0:c>
      <ns0:c r="AC193" s="0">
        <ns0:f>IF(AND(J193&gt;0,T193&gt;0,W193&lt;=X193),1,0)</ns0:f>
        <ns0:v>0</ns0:v>
      </ns0:c>
      <ns0:c r="AD193" s="0">
        <ns0:f>IF(AND(J193&gt;0,T193&gt;0,Y193&lt;=Z193),1,0)</ns0:f>
        <ns0:v>0</ns0:v>
      </ns0:c>
    </ns0:row>
    <ns0:row r="194">
      <ns0:c r="A194" s="0">
        <ns0:f>IFERROR(IF(ISNUMBER(Bookings!B194),"",TRIM(Bookings!B194&amp;"")),"")</ns0:f>
      </ns0:c>
      <ns0:c r="B194" s="0">
        <ns0:f>IFERROR(SUBSTITUTE(SUBSTITUTE(A194,"/","."),"-","."),"")</ns0:f>
      </ns0:c>
      <ns0:c r="C194" s="0">
        <ns0:f>IFERROR(LEFT(B194,FIND(".",B194)-1),"")</ns0:f>
      </ns0:c>
      <ns0:c r="D194" s="0">
        <ns0:f>IFERROR(MID(B194,FIND(".",B194)+1,FIND(".",B194,FIND(".",B194)+1)-FIND(".",B194)-1),"")</ns0:f>
      </ns0:c>
      <ns0:c r="E194" s="0">
        <ns0:f>IFERROR(MID(B194,FIND(".",B194,FIND(".",B194)+1)+1,99),"")</ns0:f>
        <ns0:v>99</ns0:v>
      </ns0:c>
      <ns0:c r="F194" s="0">
        <ns0:f>IFERROR(IF(FIND(".",B194)=5,--C194,--E194),0)</ns0:f>
        <ns0:v>0</ns0:v>
      </ns0:c>
      <ns0:c r="G194" s="0">
        <ns0:f>IFERROR(--D194,0)</ns0:f>
        <ns0:v>0</ns0:v>
      </ns0:c>
      <ns0:c r="H194" s="0">
        <ns0:f>IFERROR(IF(FIND(".",B194)=5,--E194,--C194),0)</ns0:f>
        <ns0:v>0</ns0:v>
      </ns0:c>
      <ns0:c r="I194" s="0">
        <ns0:f>IFERROR(IF(AND(F194&gt;=2000,F194&lt;=2100,G194&gt;=1,G194&lt;=12,H194&gt;=1,H194&lt;=31),DATE(F194,G194,H194),0),0)</ns0:f>
        <ns0:v>0</ns0:v>
      </ns0:c>
      <ns0:c r="J194" s="0">
        <ns0:f>IFERROR(IF(ISNUMBER(Bookings!B194),IF(AND(Bookings!B194=INT(Bookings!B194),Bookings!B194&gt;=DATE(2000,1,1),Bookings!B194&lt;=DATE(2100,12,31)),Bookings!B194,0),IF(AND(A194&lt;&gt;"",LEN("x"&amp;B194)-LEN(SUBSTITUTE("x"&amp;B194,".",""))=2,OR(1&gt;LEN(B194),MID(B194,1,1)=".",ISNUMBER(FIND("x"&amp;MID(B194,1,1),"x0x1x2x3x4x5x6x7x8x9"))),OR(2&gt;LEN(B194),MID(B194,2,1)=".",ISNUMBER(FIND("x"&amp;MID(B194,2,1),"x0x1x2x3x4x5x6x7x8x9"))),OR(3&gt;LEN(B194),MID(B194,3,1)=".",ISNUMBER(FIND("x"&amp;MID(B194,3,1),"x0x1x2x3x4x5x6x7x8x9"))),OR(4&gt;LEN(B194),MID(B194,4,1)=".",ISNUMBER(FIND("x"&amp;MID(B194,4,1),"x0x1x2x3x4x5x6x7x8x9"))),OR(5&gt;LEN(B194),MID(B194,5,1)=".",ISNUMBER(FIND("x"&amp;MID(B194,5,1),"x0x1x2x3x4x5x6x7x8x9"))),OR(6&gt;LEN(B194),MID(B194,6,1)=".",ISNUMBER(FIND("x"&amp;MID(B194,6,1),"x0x1x2x3x4x5x6x7x8x9"))),OR(7&gt;LEN(B194),MID(B194,7,1)=".",ISNUMBER(FIND("x"&amp;MID(B194,7,1),"x0x1x2x3x4x5x6x7x8x9"))),OR(8&gt;LEN(B194),MID(B194,8,1)=".",ISNUMBER(FIND("x"&amp;MID(B194,8,1),"x0x1x2x3x4x5x6x7x8x9"))),OR(9&gt;LEN(B194),MID(B194,9,1)=".",ISNUMBER(FIND("x"&amp;MID(B194,9,1),"x0x1x2x3x4x5x6x7x8x9"))),OR(10&gt;LEN(B194),MID(B194,10,1)=".",ISNUMBER(FIND("x"&amp;MID(B194,10,1),"x0x1x2x3x4x5x6x7x8x9"))),OR(AND(FIND(".",B194)=5,LEN(B194)-FIND(".",B194,FIND(".",B194)+1)&gt;=1,LEN(B194)-FIND(".",B194,FIND(".",B194)+1)&lt;=2),AND(LEN(B194)-FIND(".",B194,FIND(".",B194)+1)=4,FIND(".",B194)&gt;=2,FIND(".",B194)&lt;=3)),FIND(".",B194,FIND(".",B194)+1)-FIND(".",B194)&gt;=2,FIND(".",B194,FIND(".",B194)+1)-FIND(".",B194)&lt;=3,F194&gt;=2000,F194&lt;=2100,YEAR(I194)=F194,MONTH(I194)=G194,DAY(I194)=H194),I194,0)),0)</ns0:f>
        <ns0:v>0</ns0:v>
      </ns0:c>
      <ns0:c r="K194" s="0">
        <ns0:f>IFERROR(IF(ISNUMBER(Bookings!D194),"",TRIM(Bookings!D194&amp;"")),"")</ns0:f>
      </ns0:c>
      <ns0:c r="L194" s="0">
        <ns0:f>IFERROR(SUBSTITUTE(SUBSTITUTE(K194,"/","."),"-","."),"")</ns0:f>
      </ns0:c>
      <ns0:c r="M194" s="0">
        <ns0:f>IFERROR(LEFT(L194,FIND(".",L194)-1),"")</ns0:f>
      </ns0:c>
      <ns0:c r="N194" s="0">
        <ns0:f>IFERROR(MID(L194,FIND(".",L194)+1,FIND(".",L194,FIND(".",L194)+1)-FIND(".",L194)-1),"")</ns0:f>
      </ns0:c>
      <ns0:c r="O194" s="0">
        <ns0:f>IFERROR(MID(L194,FIND(".",L194,FIND(".",L194)+1)+1,99),"")</ns0:f>
        <ns0:v>99</ns0:v>
      </ns0:c>
      <ns0:c r="P194" s="0">
        <ns0:f>IFERROR(IF(FIND(".",L194)=5,--M194,--O194),0)</ns0:f>
        <ns0:v>0</ns0:v>
      </ns0:c>
      <ns0:c r="Q194" s="0">
        <ns0:f>IFERROR(--N194,0)</ns0:f>
        <ns0:v>0</ns0:v>
      </ns0:c>
      <ns0:c r="R194" s="0">
        <ns0:f>IFERROR(IF(FIND(".",L194)=5,--O194,--M194),0)</ns0:f>
        <ns0:v>0</ns0:v>
      </ns0:c>
      <ns0:c r="S194" s="0">
        <ns0:f>IFERROR(IF(AND(P194&gt;=2000,P194&lt;=2100,Q194&gt;=1,Q194&lt;=12,R194&gt;=1,R194&lt;=31),DATE(P194,Q194,R194),0),0)</ns0:f>
        <ns0:v>0</ns0:v>
      </ns0:c>
      <ns0:c r="T194" s="0">
        <ns0:f>IFERROR(IF(ISNUMBER(Bookings!D194),IF(AND(Bookings!D194=INT(Bookings!D194),Bookings!D194&gt;=DATE(2000,1,1),Bookings!D194&lt;=DATE(2100,12,31)),Bookings!D194,0),IF(AND(K194&lt;&gt;"",LEN("x"&amp;L194)-LEN(SUBSTITUTE("x"&amp;L194,".",""))=2,OR(1&gt;LEN(L194),MID(L194,1,1)=".",ISNUMBER(FIND("x"&amp;MID(L194,1,1),"x0x1x2x3x4x5x6x7x8x9"))),OR(2&gt;LEN(L194),MID(L194,2,1)=".",ISNUMBER(FIND("x"&amp;MID(L194,2,1),"x0x1x2x3x4x5x6x7x8x9"))),OR(3&gt;LEN(L194),MID(L194,3,1)=".",ISNUMBER(FIND("x"&amp;MID(L194,3,1),"x0x1x2x3x4x5x6x7x8x9"))),OR(4&gt;LEN(L194),MID(L194,4,1)=".",ISNUMBER(FIND("x"&amp;MID(L194,4,1),"x0x1x2x3x4x5x6x7x8x9"))),OR(5&gt;LEN(L194),MID(L194,5,1)=".",ISNUMBER(FIND("x"&amp;MID(L194,5,1),"x0x1x2x3x4x5x6x7x8x9"))),OR(6&gt;LEN(L194),MID(L194,6,1)=".",ISNUMBER(FIND("x"&amp;MID(L194,6,1),"x0x1x2x3x4x5x6x7x8x9"))),OR(7&gt;LEN(L194),MID(L194,7,1)=".",ISNUMBER(FIND("x"&amp;MID(L194,7,1),"x0x1x2x3x4x5x6x7x8x9"))),OR(8&gt;LEN(L194),MID(L194,8,1)=".",ISNUMBER(FIND("x"&amp;MID(L194,8,1),"x0x1x2x3x4x5x6x7x8x9"))),OR(9&gt;LEN(L194),MID(L194,9,1)=".",ISNUMBER(FIND("x"&amp;MID(L194,9,1),"x0x1x2x3x4x5x6x7x8x9"))),OR(10&gt;LEN(L194),MID(L194,10,1)=".",ISNUMBER(FIND("x"&amp;MID(L194,10,1),"x0x1x2x3x4x5x6x7x8x9"))),OR(AND(FIND(".",L194)=5,LEN(L194)-FIND(".",L194,FIND(".",L194)+1)&gt;=1,LEN(L194)-FIND(".",L194,FIND(".",L194)+1)&lt;=2),AND(LEN(L194)-FIND(".",L194,FIND(".",L194)+1)=4,FIND(".",L194)&gt;=2,FIND(".",L194)&lt;=3)),FIND(".",L194,FIND(".",L194)+1)-FIND(".",L194)&gt;=2,FIND(".",L194,FIND(".",L194)+1)-FIND(".",L194)&lt;=3,P194&gt;=2000,P194&lt;=2100,YEAR(S194)=P194,MONTH(S194)=Q194,DAY(S194)=R194),S194,0)),0)</ns0:f>
        <ns0:v>0</ns0:v>
      </ns0:c>
      <ns0:c r="U194" s="0" t="str">
        <ns0:f>IF(Bookings!C194="","Full day",Bookings!C194)</ns0:f>
        <ns0:v>Full day</ns0:v>
      </ns0:c>
      <ns0:c r="V194" s="0" t="str">
        <ns0:f>IF(Bookings!E194="","Full day",Bookings!E194)</ns0:f>
        <ns0:v>Full day</ns0:v>
      </ns0:c>
      <ns0:c r="W194" s="0">
        <ns0:f>IF(J194=0,0,J194+IF(U194="PM",1,0))</ns0:f>
        <ns0:v>0</ns0:v>
      </ns0:c>
      <ns0:c r="X194" s="0">
        <ns0:f>IF(T194=0,0,T194-IF(V194="PM",1,0))</ns0:f>
        <ns0:v>0</ns0:v>
      </ns0:c>
      <ns0:c r="Y194" s="0">
        <ns0:f>IF(J194=0,0,J194+IF(U194="AM",1,0))</ns0:f>
        <ns0:v>0</ns0:v>
      </ns0:c>
      <ns0:c r="Z194" s="0">
        <ns0:f>IF(T194=0,0,T194-IF(V194="AM",1,0))</ns0:f>
        <ns0:v>0</ns0:v>
      </ns0:c>
      <ns0:c r="AA194" s="0">
        <ns0:f>IFERROR(IF(AND(J194&gt;0,'_Engine'!C194&gt;0,MID('_Engine'!W194,WEEKDAY(J194,2),1)="W",COUNTIF(Settings!$F$18:$F$67,J194)=0),1,0),0)</ns0:f>
        <ns0:v>0</ns0:v>
      </ns0:c>
      <ns0:c r="AB194" s="0">
        <ns0:f>IFERROR(IF(AND(T194&gt;0,'_Engine'!C194&gt;0,MID('_Engine'!W194,WEEKDAY(T194,2),1)="W",COUNTIF(Settings!$F$18:$F$67,T194)=0),1,0),0)</ns0:f>
        <ns0:v>0</ns0:v>
      </ns0:c>
      <ns0:c r="AC194" s="0">
        <ns0:f>IF(AND(J194&gt;0,T194&gt;0,W194&lt;=X194),1,0)</ns0:f>
        <ns0:v>0</ns0:v>
      </ns0:c>
      <ns0:c r="AD194" s="0">
        <ns0:f>IF(AND(J194&gt;0,T194&gt;0,Y194&lt;=Z194),1,0)</ns0:f>
        <ns0:v>0</ns0:v>
      </ns0:c>
    </ns0:row>
    <ns0:row r="195">
      <ns0:c r="A195" s="0">
        <ns0:f>IFERROR(IF(ISNUMBER(Bookings!B195),"",TRIM(Bookings!B195&amp;"")),"")</ns0:f>
      </ns0:c>
      <ns0:c r="B195" s="0">
        <ns0:f>IFERROR(SUBSTITUTE(SUBSTITUTE(A195,"/","."),"-","."),"")</ns0:f>
      </ns0:c>
      <ns0:c r="C195" s="0">
        <ns0:f>IFERROR(LEFT(B195,FIND(".",B195)-1),"")</ns0:f>
      </ns0:c>
      <ns0:c r="D195" s="0">
        <ns0:f>IFERROR(MID(B195,FIND(".",B195)+1,FIND(".",B195,FIND(".",B195)+1)-FIND(".",B195)-1),"")</ns0:f>
      </ns0:c>
      <ns0:c r="E195" s="0">
        <ns0:f>IFERROR(MID(B195,FIND(".",B195,FIND(".",B195)+1)+1,99),"")</ns0:f>
        <ns0:v>99</ns0:v>
      </ns0:c>
      <ns0:c r="F195" s="0">
        <ns0:f>IFERROR(IF(FIND(".",B195)=5,--C195,--E195),0)</ns0:f>
        <ns0:v>0</ns0:v>
      </ns0:c>
      <ns0:c r="G195" s="0">
        <ns0:f>IFERROR(--D195,0)</ns0:f>
        <ns0:v>0</ns0:v>
      </ns0:c>
      <ns0:c r="H195" s="0">
        <ns0:f>IFERROR(IF(FIND(".",B195)=5,--E195,--C195),0)</ns0:f>
        <ns0:v>0</ns0:v>
      </ns0:c>
      <ns0:c r="I195" s="0">
        <ns0:f>IFERROR(IF(AND(F195&gt;=2000,F195&lt;=2100,G195&gt;=1,G195&lt;=12,H195&gt;=1,H195&lt;=31),DATE(F195,G195,H195),0),0)</ns0:f>
        <ns0:v>0</ns0:v>
      </ns0:c>
      <ns0:c r="J195" s="0">
        <ns0:f>IFERROR(IF(ISNUMBER(Bookings!B195),IF(AND(Bookings!B195=INT(Bookings!B195),Bookings!B195&gt;=DATE(2000,1,1),Bookings!B195&lt;=DATE(2100,12,31)),Bookings!B195,0),IF(AND(A195&lt;&gt;"",LEN("x"&amp;B195)-LEN(SUBSTITUTE("x"&amp;B195,".",""))=2,OR(1&gt;LEN(B195),MID(B195,1,1)=".",ISNUMBER(FIND("x"&amp;MID(B195,1,1),"x0x1x2x3x4x5x6x7x8x9"))),OR(2&gt;LEN(B195),MID(B195,2,1)=".",ISNUMBER(FIND("x"&amp;MID(B195,2,1),"x0x1x2x3x4x5x6x7x8x9"))),OR(3&gt;LEN(B195),MID(B195,3,1)=".",ISNUMBER(FIND("x"&amp;MID(B195,3,1),"x0x1x2x3x4x5x6x7x8x9"))),OR(4&gt;LEN(B195),MID(B195,4,1)=".",ISNUMBER(FIND("x"&amp;MID(B195,4,1),"x0x1x2x3x4x5x6x7x8x9"))),OR(5&gt;LEN(B195),MID(B195,5,1)=".",ISNUMBER(FIND("x"&amp;MID(B195,5,1),"x0x1x2x3x4x5x6x7x8x9"))),OR(6&gt;LEN(B195),MID(B195,6,1)=".",ISNUMBER(FIND("x"&amp;MID(B195,6,1),"x0x1x2x3x4x5x6x7x8x9"))),OR(7&gt;LEN(B195),MID(B195,7,1)=".",ISNUMBER(FIND("x"&amp;MID(B195,7,1),"x0x1x2x3x4x5x6x7x8x9"))),OR(8&gt;LEN(B195),MID(B195,8,1)=".",ISNUMBER(FIND("x"&amp;MID(B195,8,1),"x0x1x2x3x4x5x6x7x8x9"))),OR(9&gt;LEN(B195),MID(B195,9,1)=".",ISNUMBER(FIND("x"&amp;MID(B195,9,1),"x0x1x2x3x4x5x6x7x8x9"))),OR(10&gt;LEN(B195),MID(B195,10,1)=".",ISNUMBER(FIND("x"&amp;MID(B195,10,1),"x0x1x2x3x4x5x6x7x8x9"))),OR(AND(FIND(".",B195)=5,LEN(B195)-FIND(".",B195,FIND(".",B195)+1)&gt;=1,LEN(B195)-FIND(".",B195,FIND(".",B195)+1)&lt;=2),AND(LEN(B195)-FIND(".",B195,FIND(".",B195)+1)=4,FIND(".",B195)&gt;=2,FIND(".",B195)&lt;=3)),FIND(".",B195,FIND(".",B195)+1)-FIND(".",B195)&gt;=2,FIND(".",B195,FIND(".",B195)+1)-FIND(".",B195)&lt;=3,F195&gt;=2000,F195&lt;=2100,YEAR(I195)=F195,MONTH(I195)=G195,DAY(I195)=H195),I195,0)),0)</ns0:f>
        <ns0:v>0</ns0:v>
      </ns0:c>
      <ns0:c r="K195" s="0">
        <ns0:f>IFERROR(IF(ISNUMBER(Bookings!D195),"",TRIM(Bookings!D195&amp;"")),"")</ns0:f>
      </ns0:c>
      <ns0:c r="L195" s="0">
        <ns0:f>IFERROR(SUBSTITUTE(SUBSTITUTE(K195,"/","."),"-","."),"")</ns0:f>
      </ns0:c>
      <ns0:c r="M195" s="0">
        <ns0:f>IFERROR(LEFT(L195,FIND(".",L195)-1),"")</ns0:f>
      </ns0:c>
      <ns0:c r="N195" s="0">
        <ns0:f>IFERROR(MID(L195,FIND(".",L195)+1,FIND(".",L195,FIND(".",L195)+1)-FIND(".",L195)-1),"")</ns0:f>
      </ns0:c>
      <ns0:c r="O195" s="0">
        <ns0:f>IFERROR(MID(L195,FIND(".",L195,FIND(".",L195)+1)+1,99),"")</ns0:f>
        <ns0:v>99</ns0:v>
      </ns0:c>
      <ns0:c r="P195" s="0">
        <ns0:f>IFERROR(IF(FIND(".",L195)=5,--M195,--O195),0)</ns0:f>
        <ns0:v>0</ns0:v>
      </ns0:c>
      <ns0:c r="Q195" s="0">
        <ns0:f>IFERROR(--N195,0)</ns0:f>
        <ns0:v>0</ns0:v>
      </ns0:c>
      <ns0:c r="R195" s="0">
        <ns0:f>IFERROR(IF(FIND(".",L195)=5,--O195,--M195),0)</ns0:f>
        <ns0:v>0</ns0:v>
      </ns0:c>
      <ns0:c r="S195" s="0">
        <ns0:f>IFERROR(IF(AND(P195&gt;=2000,P195&lt;=2100,Q195&gt;=1,Q195&lt;=12,R195&gt;=1,R195&lt;=31),DATE(P195,Q195,R195),0),0)</ns0:f>
        <ns0:v>0</ns0:v>
      </ns0:c>
      <ns0:c r="T195" s="0">
        <ns0:f>IFERROR(IF(ISNUMBER(Bookings!D195),IF(AND(Bookings!D195=INT(Bookings!D195),Bookings!D195&gt;=DATE(2000,1,1),Bookings!D195&lt;=DATE(2100,12,31)),Bookings!D195,0),IF(AND(K195&lt;&gt;"",LEN("x"&amp;L195)-LEN(SUBSTITUTE("x"&amp;L195,".",""))=2,OR(1&gt;LEN(L195),MID(L195,1,1)=".",ISNUMBER(FIND("x"&amp;MID(L195,1,1),"x0x1x2x3x4x5x6x7x8x9"))),OR(2&gt;LEN(L195),MID(L195,2,1)=".",ISNUMBER(FIND("x"&amp;MID(L195,2,1),"x0x1x2x3x4x5x6x7x8x9"))),OR(3&gt;LEN(L195),MID(L195,3,1)=".",ISNUMBER(FIND("x"&amp;MID(L195,3,1),"x0x1x2x3x4x5x6x7x8x9"))),OR(4&gt;LEN(L195),MID(L195,4,1)=".",ISNUMBER(FIND("x"&amp;MID(L195,4,1),"x0x1x2x3x4x5x6x7x8x9"))),OR(5&gt;LEN(L195),MID(L195,5,1)=".",ISNUMBER(FIND("x"&amp;MID(L195,5,1),"x0x1x2x3x4x5x6x7x8x9"))),OR(6&gt;LEN(L195),MID(L195,6,1)=".",ISNUMBER(FIND("x"&amp;MID(L195,6,1),"x0x1x2x3x4x5x6x7x8x9"))),OR(7&gt;LEN(L195),MID(L195,7,1)=".",ISNUMBER(FIND("x"&amp;MID(L195,7,1),"x0x1x2x3x4x5x6x7x8x9"))),OR(8&gt;LEN(L195),MID(L195,8,1)=".",ISNUMBER(FIND("x"&amp;MID(L195,8,1),"x0x1x2x3x4x5x6x7x8x9"))),OR(9&gt;LEN(L195),MID(L195,9,1)=".",ISNUMBER(FIND("x"&amp;MID(L195,9,1),"x0x1x2x3x4x5x6x7x8x9"))),OR(10&gt;LEN(L195),MID(L195,10,1)=".",ISNUMBER(FIND("x"&amp;MID(L195,10,1),"x0x1x2x3x4x5x6x7x8x9"))),OR(AND(FIND(".",L195)=5,LEN(L195)-FIND(".",L195,FIND(".",L195)+1)&gt;=1,LEN(L195)-FIND(".",L195,FIND(".",L195)+1)&lt;=2),AND(LEN(L195)-FIND(".",L195,FIND(".",L195)+1)=4,FIND(".",L195)&gt;=2,FIND(".",L195)&lt;=3)),FIND(".",L195,FIND(".",L195)+1)-FIND(".",L195)&gt;=2,FIND(".",L195,FIND(".",L195)+1)-FIND(".",L195)&lt;=3,P195&gt;=2000,P195&lt;=2100,YEAR(S195)=P195,MONTH(S195)=Q195,DAY(S195)=R195),S195,0)),0)</ns0:f>
        <ns0:v>0</ns0:v>
      </ns0:c>
      <ns0:c r="U195" s="0" t="str">
        <ns0:f>IF(Bookings!C195="","Full day",Bookings!C195)</ns0:f>
        <ns0:v>Full day</ns0:v>
      </ns0:c>
      <ns0:c r="V195" s="0" t="str">
        <ns0:f>IF(Bookings!E195="","Full day",Bookings!E195)</ns0:f>
        <ns0:v>Full day</ns0:v>
      </ns0:c>
      <ns0:c r="W195" s="0">
        <ns0:f>IF(J195=0,0,J195+IF(U195="PM",1,0))</ns0:f>
        <ns0:v>0</ns0:v>
      </ns0:c>
      <ns0:c r="X195" s="0">
        <ns0:f>IF(T195=0,0,T195-IF(V195="PM",1,0))</ns0:f>
        <ns0:v>0</ns0:v>
      </ns0:c>
      <ns0:c r="Y195" s="0">
        <ns0:f>IF(J195=0,0,J195+IF(U195="AM",1,0))</ns0:f>
        <ns0:v>0</ns0:v>
      </ns0:c>
      <ns0:c r="Z195" s="0">
        <ns0:f>IF(T195=0,0,T195-IF(V195="AM",1,0))</ns0:f>
        <ns0:v>0</ns0:v>
      </ns0:c>
      <ns0:c r="AA195" s="0">
        <ns0:f>IFERROR(IF(AND(J195&gt;0,'_Engine'!C195&gt;0,MID('_Engine'!W195,WEEKDAY(J195,2),1)="W",COUNTIF(Settings!$F$18:$F$67,J195)=0),1,0),0)</ns0:f>
        <ns0:v>0</ns0:v>
      </ns0:c>
      <ns0:c r="AB195" s="0">
        <ns0:f>IFERROR(IF(AND(T195&gt;0,'_Engine'!C195&gt;0,MID('_Engine'!W195,WEEKDAY(T195,2),1)="W",COUNTIF(Settings!$F$18:$F$67,T195)=0),1,0),0)</ns0:f>
        <ns0:v>0</ns0:v>
      </ns0:c>
      <ns0:c r="AC195" s="0">
        <ns0:f>IF(AND(J195&gt;0,T195&gt;0,W195&lt;=X195),1,0)</ns0:f>
        <ns0:v>0</ns0:v>
      </ns0:c>
      <ns0:c r="AD195" s="0">
        <ns0:f>IF(AND(J195&gt;0,T195&gt;0,Y195&lt;=Z195),1,0)</ns0:f>
        <ns0:v>0</ns0:v>
      </ns0:c>
    </ns0:row>
    <ns0:row r="196">
      <ns0:c r="A196" s="0">
        <ns0:f>IFERROR(IF(ISNUMBER(Bookings!B196),"",TRIM(Bookings!B196&amp;"")),"")</ns0:f>
      </ns0:c>
      <ns0:c r="B196" s="0">
        <ns0:f>IFERROR(SUBSTITUTE(SUBSTITUTE(A196,"/","."),"-","."),"")</ns0:f>
      </ns0:c>
      <ns0:c r="C196" s="0">
        <ns0:f>IFERROR(LEFT(B196,FIND(".",B196)-1),"")</ns0:f>
      </ns0:c>
      <ns0:c r="D196" s="0">
        <ns0:f>IFERROR(MID(B196,FIND(".",B196)+1,FIND(".",B196,FIND(".",B196)+1)-FIND(".",B196)-1),"")</ns0:f>
      </ns0:c>
      <ns0:c r="E196" s="0">
        <ns0:f>IFERROR(MID(B196,FIND(".",B196,FIND(".",B196)+1)+1,99),"")</ns0:f>
        <ns0:v>99</ns0:v>
      </ns0:c>
      <ns0:c r="F196" s="0">
        <ns0:f>IFERROR(IF(FIND(".",B196)=5,--C196,--E196),0)</ns0:f>
        <ns0:v>0</ns0:v>
      </ns0:c>
      <ns0:c r="G196" s="0">
        <ns0:f>IFERROR(--D196,0)</ns0:f>
        <ns0:v>0</ns0:v>
      </ns0:c>
      <ns0:c r="H196" s="0">
        <ns0:f>IFERROR(IF(FIND(".",B196)=5,--E196,--C196),0)</ns0:f>
        <ns0:v>0</ns0:v>
      </ns0:c>
      <ns0:c r="I196" s="0">
        <ns0:f>IFERROR(IF(AND(F196&gt;=2000,F196&lt;=2100,G196&gt;=1,G196&lt;=12,H196&gt;=1,H196&lt;=31),DATE(F196,G196,H196),0),0)</ns0:f>
        <ns0:v>0</ns0:v>
      </ns0:c>
      <ns0:c r="J196" s="0">
        <ns0:f>IFERROR(IF(ISNUMBER(Bookings!B196),IF(AND(Bookings!B196=INT(Bookings!B196),Bookings!B196&gt;=DATE(2000,1,1),Bookings!B196&lt;=DATE(2100,12,31)),Bookings!B196,0),IF(AND(A196&lt;&gt;"",LEN("x"&amp;B196)-LEN(SUBSTITUTE("x"&amp;B196,".",""))=2,OR(1&gt;LEN(B196),MID(B196,1,1)=".",ISNUMBER(FIND("x"&amp;MID(B196,1,1),"x0x1x2x3x4x5x6x7x8x9"))),OR(2&gt;LEN(B196),MID(B196,2,1)=".",ISNUMBER(FIND("x"&amp;MID(B196,2,1),"x0x1x2x3x4x5x6x7x8x9"))),OR(3&gt;LEN(B196),MID(B196,3,1)=".",ISNUMBER(FIND("x"&amp;MID(B196,3,1),"x0x1x2x3x4x5x6x7x8x9"))),OR(4&gt;LEN(B196),MID(B196,4,1)=".",ISNUMBER(FIND("x"&amp;MID(B196,4,1),"x0x1x2x3x4x5x6x7x8x9"))),OR(5&gt;LEN(B196),MID(B196,5,1)=".",ISNUMBER(FIND("x"&amp;MID(B196,5,1),"x0x1x2x3x4x5x6x7x8x9"))),OR(6&gt;LEN(B196),MID(B196,6,1)=".",ISNUMBER(FIND("x"&amp;MID(B196,6,1),"x0x1x2x3x4x5x6x7x8x9"))),OR(7&gt;LEN(B196),MID(B196,7,1)=".",ISNUMBER(FIND("x"&amp;MID(B196,7,1),"x0x1x2x3x4x5x6x7x8x9"))),OR(8&gt;LEN(B196),MID(B196,8,1)=".",ISNUMBER(FIND("x"&amp;MID(B196,8,1),"x0x1x2x3x4x5x6x7x8x9"))),OR(9&gt;LEN(B196),MID(B196,9,1)=".",ISNUMBER(FIND("x"&amp;MID(B196,9,1),"x0x1x2x3x4x5x6x7x8x9"))),OR(10&gt;LEN(B196),MID(B196,10,1)=".",ISNUMBER(FIND("x"&amp;MID(B196,10,1),"x0x1x2x3x4x5x6x7x8x9"))),OR(AND(FIND(".",B196)=5,LEN(B196)-FIND(".",B196,FIND(".",B196)+1)&gt;=1,LEN(B196)-FIND(".",B196,FIND(".",B196)+1)&lt;=2),AND(LEN(B196)-FIND(".",B196,FIND(".",B196)+1)=4,FIND(".",B196)&gt;=2,FIND(".",B196)&lt;=3)),FIND(".",B196,FIND(".",B196)+1)-FIND(".",B196)&gt;=2,FIND(".",B196,FIND(".",B196)+1)-FIND(".",B196)&lt;=3,F196&gt;=2000,F196&lt;=2100,YEAR(I196)=F196,MONTH(I196)=G196,DAY(I196)=H196),I196,0)),0)</ns0:f>
        <ns0:v>0</ns0:v>
      </ns0:c>
      <ns0:c r="K196" s="0">
        <ns0:f>IFERROR(IF(ISNUMBER(Bookings!D196),"",TRIM(Bookings!D196&amp;"")),"")</ns0:f>
      </ns0:c>
      <ns0:c r="L196" s="0">
        <ns0:f>IFERROR(SUBSTITUTE(SUBSTITUTE(K196,"/","."),"-","."),"")</ns0:f>
      </ns0:c>
      <ns0:c r="M196" s="0">
        <ns0:f>IFERROR(LEFT(L196,FIND(".",L196)-1),"")</ns0:f>
      </ns0:c>
      <ns0:c r="N196" s="0">
        <ns0:f>IFERROR(MID(L196,FIND(".",L196)+1,FIND(".",L196,FIND(".",L196)+1)-FIND(".",L196)-1),"")</ns0:f>
      </ns0:c>
      <ns0:c r="O196" s="0">
        <ns0:f>IFERROR(MID(L196,FIND(".",L196,FIND(".",L196)+1)+1,99),"")</ns0:f>
        <ns0:v>99</ns0:v>
      </ns0:c>
      <ns0:c r="P196" s="0">
        <ns0:f>IFERROR(IF(FIND(".",L196)=5,--M196,--O196),0)</ns0:f>
        <ns0:v>0</ns0:v>
      </ns0:c>
      <ns0:c r="Q196" s="0">
        <ns0:f>IFERROR(--N196,0)</ns0:f>
        <ns0:v>0</ns0:v>
      </ns0:c>
      <ns0:c r="R196" s="0">
        <ns0:f>IFERROR(IF(FIND(".",L196)=5,--O196,--M196),0)</ns0:f>
        <ns0:v>0</ns0:v>
      </ns0:c>
      <ns0:c r="S196" s="0">
        <ns0:f>IFERROR(IF(AND(P196&gt;=2000,P196&lt;=2100,Q196&gt;=1,Q196&lt;=12,R196&gt;=1,R196&lt;=31),DATE(P196,Q196,R196),0),0)</ns0:f>
        <ns0:v>0</ns0:v>
      </ns0:c>
      <ns0:c r="T196" s="0">
        <ns0:f>IFERROR(IF(ISNUMBER(Bookings!D196),IF(AND(Bookings!D196=INT(Bookings!D196),Bookings!D196&gt;=DATE(2000,1,1),Bookings!D196&lt;=DATE(2100,12,31)),Bookings!D196,0),IF(AND(K196&lt;&gt;"",LEN("x"&amp;L196)-LEN(SUBSTITUTE("x"&amp;L196,".",""))=2,OR(1&gt;LEN(L196),MID(L196,1,1)=".",ISNUMBER(FIND("x"&amp;MID(L196,1,1),"x0x1x2x3x4x5x6x7x8x9"))),OR(2&gt;LEN(L196),MID(L196,2,1)=".",ISNUMBER(FIND("x"&amp;MID(L196,2,1),"x0x1x2x3x4x5x6x7x8x9"))),OR(3&gt;LEN(L196),MID(L196,3,1)=".",ISNUMBER(FIND("x"&amp;MID(L196,3,1),"x0x1x2x3x4x5x6x7x8x9"))),OR(4&gt;LEN(L196),MID(L196,4,1)=".",ISNUMBER(FIND("x"&amp;MID(L196,4,1),"x0x1x2x3x4x5x6x7x8x9"))),OR(5&gt;LEN(L196),MID(L196,5,1)=".",ISNUMBER(FIND("x"&amp;MID(L196,5,1),"x0x1x2x3x4x5x6x7x8x9"))),OR(6&gt;LEN(L196),MID(L196,6,1)=".",ISNUMBER(FIND("x"&amp;MID(L196,6,1),"x0x1x2x3x4x5x6x7x8x9"))),OR(7&gt;LEN(L196),MID(L196,7,1)=".",ISNUMBER(FIND("x"&amp;MID(L196,7,1),"x0x1x2x3x4x5x6x7x8x9"))),OR(8&gt;LEN(L196),MID(L196,8,1)=".",ISNUMBER(FIND("x"&amp;MID(L196,8,1),"x0x1x2x3x4x5x6x7x8x9"))),OR(9&gt;LEN(L196),MID(L196,9,1)=".",ISNUMBER(FIND("x"&amp;MID(L196,9,1),"x0x1x2x3x4x5x6x7x8x9"))),OR(10&gt;LEN(L196),MID(L196,10,1)=".",ISNUMBER(FIND("x"&amp;MID(L196,10,1),"x0x1x2x3x4x5x6x7x8x9"))),OR(AND(FIND(".",L196)=5,LEN(L196)-FIND(".",L196,FIND(".",L196)+1)&gt;=1,LEN(L196)-FIND(".",L196,FIND(".",L196)+1)&lt;=2),AND(LEN(L196)-FIND(".",L196,FIND(".",L196)+1)=4,FIND(".",L196)&gt;=2,FIND(".",L196)&lt;=3)),FIND(".",L196,FIND(".",L196)+1)-FIND(".",L196)&gt;=2,FIND(".",L196,FIND(".",L196)+1)-FIND(".",L196)&lt;=3,P196&gt;=2000,P196&lt;=2100,YEAR(S196)=P196,MONTH(S196)=Q196,DAY(S196)=R196),S196,0)),0)</ns0:f>
        <ns0:v>0</ns0:v>
      </ns0:c>
      <ns0:c r="U196" s="0" t="str">
        <ns0:f>IF(Bookings!C196="","Full day",Bookings!C196)</ns0:f>
        <ns0:v>Full day</ns0:v>
      </ns0:c>
      <ns0:c r="V196" s="0" t="str">
        <ns0:f>IF(Bookings!E196="","Full day",Bookings!E196)</ns0:f>
        <ns0:v>Full day</ns0:v>
      </ns0:c>
      <ns0:c r="W196" s="0">
        <ns0:f>IF(J196=0,0,J196+IF(U196="PM",1,0))</ns0:f>
        <ns0:v>0</ns0:v>
      </ns0:c>
      <ns0:c r="X196" s="0">
        <ns0:f>IF(T196=0,0,T196-IF(V196="PM",1,0))</ns0:f>
        <ns0:v>0</ns0:v>
      </ns0:c>
      <ns0:c r="Y196" s="0">
        <ns0:f>IF(J196=0,0,J196+IF(U196="AM",1,0))</ns0:f>
        <ns0:v>0</ns0:v>
      </ns0:c>
      <ns0:c r="Z196" s="0">
        <ns0:f>IF(T196=0,0,T196-IF(V196="AM",1,0))</ns0:f>
        <ns0:v>0</ns0:v>
      </ns0:c>
      <ns0:c r="AA196" s="0">
        <ns0:f>IFERROR(IF(AND(J196&gt;0,'_Engine'!C196&gt;0,MID('_Engine'!W196,WEEKDAY(J196,2),1)="W",COUNTIF(Settings!$F$18:$F$67,J196)=0),1,0),0)</ns0:f>
        <ns0:v>0</ns0:v>
      </ns0:c>
      <ns0:c r="AB196" s="0">
        <ns0:f>IFERROR(IF(AND(T196&gt;0,'_Engine'!C196&gt;0,MID('_Engine'!W196,WEEKDAY(T196,2),1)="W",COUNTIF(Settings!$F$18:$F$67,T196)=0),1,0),0)</ns0:f>
        <ns0:v>0</ns0:v>
      </ns0:c>
      <ns0:c r="AC196" s="0">
        <ns0:f>IF(AND(J196&gt;0,T196&gt;0,W196&lt;=X196),1,0)</ns0:f>
        <ns0:v>0</ns0:v>
      </ns0:c>
      <ns0:c r="AD196" s="0">
        <ns0:f>IF(AND(J196&gt;0,T196&gt;0,Y196&lt;=Z196),1,0)</ns0:f>
        <ns0:v>0</ns0:v>
      </ns0:c>
    </ns0:row>
    <ns0:row r="197">
      <ns0:c r="A197" s="0">
        <ns0:f>IFERROR(IF(ISNUMBER(Bookings!B197),"",TRIM(Bookings!B197&amp;"")),"")</ns0:f>
      </ns0:c>
      <ns0:c r="B197" s="0">
        <ns0:f>IFERROR(SUBSTITUTE(SUBSTITUTE(A197,"/","."),"-","."),"")</ns0:f>
      </ns0:c>
      <ns0:c r="C197" s="0">
        <ns0:f>IFERROR(LEFT(B197,FIND(".",B197)-1),"")</ns0:f>
      </ns0:c>
      <ns0:c r="D197" s="0">
        <ns0:f>IFERROR(MID(B197,FIND(".",B197)+1,FIND(".",B197,FIND(".",B197)+1)-FIND(".",B197)-1),"")</ns0:f>
      </ns0:c>
      <ns0:c r="E197" s="0">
        <ns0:f>IFERROR(MID(B197,FIND(".",B197,FIND(".",B197)+1)+1,99),"")</ns0:f>
        <ns0:v>99</ns0:v>
      </ns0:c>
      <ns0:c r="F197" s="0">
        <ns0:f>IFERROR(IF(FIND(".",B197)=5,--C197,--E197),0)</ns0:f>
        <ns0:v>0</ns0:v>
      </ns0:c>
      <ns0:c r="G197" s="0">
        <ns0:f>IFERROR(--D197,0)</ns0:f>
        <ns0:v>0</ns0:v>
      </ns0:c>
      <ns0:c r="H197" s="0">
        <ns0:f>IFERROR(IF(FIND(".",B197)=5,--E197,--C197),0)</ns0:f>
        <ns0:v>0</ns0:v>
      </ns0:c>
      <ns0:c r="I197" s="0">
        <ns0:f>IFERROR(IF(AND(F197&gt;=2000,F197&lt;=2100,G197&gt;=1,G197&lt;=12,H197&gt;=1,H197&lt;=31),DATE(F197,G197,H197),0),0)</ns0:f>
        <ns0:v>0</ns0:v>
      </ns0:c>
      <ns0:c r="J197" s="0">
        <ns0:f>IFERROR(IF(ISNUMBER(Bookings!B197),IF(AND(Bookings!B197=INT(Bookings!B197),Bookings!B197&gt;=DATE(2000,1,1),Bookings!B197&lt;=DATE(2100,12,31)),Bookings!B197,0),IF(AND(A197&lt;&gt;"",LEN("x"&amp;B197)-LEN(SUBSTITUTE("x"&amp;B197,".",""))=2,OR(1&gt;LEN(B197),MID(B197,1,1)=".",ISNUMBER(FIND("x"&amp;MID(B197,1,1),"x0x1x2x3x4x5x6x7x8x9"))),OR(2&gt;LEN(B197),MID(B197,2,1)=".",ISNUMBER(FIND("x"&amp;MID(B197,2,1),"x0x1x2x3x4x5x6x7x8x9"))),OR(3&gt;LEN(B197),MID(B197,3,1)=".",ISNUMBER(FIND("x"&amp;MID(B197,3,1),"x0x1x2x3x4x5x6x7x8x9"))),OR(4&gt;LEN(B197),MID(B197,4,1)=".",ISNUMBER(FIND("x"&amp;MID(B197,4,1),"x0x1x2x3x4x5x6x7x8x9"))),OR(5&gt;LEN(B197),MID(B197,5,1)=".",ISNUMBER(FIND("x"&amp;MID(B197,5,1),"x0x1x2x3x4x5x6x7x8x9"))),OR(6&gt;LEN(B197),MID(B197,6,1)=".",ISNUMBER(FIND("x"&amp;MID(B197,6,1),"x0x1x2x3x4x5x6x7x8x9"))),OR(7&gt;LEN(B197),MID(B197,7,1)=".",ISNUMBER(FIND("x"&amp;MID(B197,7,1),"x0x1x2x3x4x5x6x7x8x9"))),OR(8&gt;LEN(B197),MID(B197,8,1)=".",ISNUMBER(FIND("x"&amp;MID(B197,8,1),"x0x1x2x3x4x5x6x7x8x9"))),OR(9&gt;LEN(B197),MID(B197,9,1)=".",ISNUMBER(FIND("x"&amp;MID(B197,9,1),"x0x1x2x3x4x5x6x7x8x9"))),OR(10&gt;LEN(B197),MID(B197,10,1)=".",ISNUMBER(FIND("x"&amp;MID(B197,10,1),"x0x1x2x3x4x5x6x7x8x9"))),OR(AND(FIND(".",B197)=5,LEN(B197)-FIND(".",B197,FIND(".",B197)+1)&gt;=1,LEN(B197)-FIND(".",B197,FIND(".",B197)+1)&lt;=2),AND(LEN(B197)-FIND(".",B197,FIND(".",B197)+1)=4,FIND(".",B197)&gt;=2,FIND(".",B197)&lt;=3)),FIND(".",B197,FIND(".",B197)+1)-FIND(".",B197)&gt;=2,FIND(".",B197,FIND(".",B197)+1)-FIND(".",B197)&lt;=3,F197&gt;=2000,F197&lt;=2100,YEAR(I197)=F197,MONTH(I197)=G197,DAY(I197)=H197),I197,0)),0)</ns0:f>
        <ns0:v>0</ns0:v>
      </ns0:c>
      <ns0:c r="K197" s="0">
        <ns0:f>IFERROR(IF(ISNUMBER(Bookings!D197),"",TRIM(Bookings!D197&amp;"")),"")</ns0:f>
      </ns0:c>
      <ns0:c r="L197" s="0">
        <ns0:f>IFERROR(SUBSTITUTE(SUBSTITUTE(K197,"/","."),"-","."),"")</ns0:f>
      </ns0:c>
      <ns0:c r="M197" s="0">
        <ns0:f>IFERROR(LEFT(L197,FIND(".",L197)-1),"")</ns0:f>
      </ns0:c>
      <ns0:c r="N197" s="0">
        <ns0:f>IFERROR(MID(L197,FIND(".",L197)+1,FIND(".",L197,FIND(".",L197)+1)-FIND(".",L197)-1),"")</ns0:f>
      </ns0:c>
      <ns0:c r="O197" s="0">
        <ns0:f>IFERROR(MID(L197,FIND(".",L197,FIND(".",L197)+1)+1,99),"")</ns0:f>
        <ns0:v>99</ns0:v>
      </ns0:c>
      <ns0:c r="P197" s="0">
        <ns0:f>IFERROR(IF(FIND(".",L197)=5,--M197,--O197),0)</ns0:f>
        <ns0:v>0</ns0:v>
      </ns0:c>
      <ns0:c r="Q197" s="0">
        <ns0:f>IFERROR(--N197,0)</ns0:f>
        <ns0:v>0</ns0:v>
      </ns0:c>
      <ns0:c r="R197" s="0">
        <ns0:f>IFERROR(IF(FIND(".",L197)=5,--O197,--M197),0)</ns0:f>
        <ns0:v>0</ns0:v>
      </ns0:c>
      <ns0:c r="S197" s="0">
        <ns0:f>IFERROR(IF(AND(P197&gt;=2000,P197&lt;=2100,Q197&gt;=1,Q197&lt;=12,R197&gt;=1,R197&lt;=31),DATE(P197,Q197,R197),0),0)</ns0:f>
        <ns0:v>0</ns0:v>
      </ns0:c>
      <ns0:c r="T197" s="0">
        <ns0:f>IFERROR(IF(ISNUMBER(Bookings!D197),IF(AND(Bookings!D197=INT(Bookings!D197),Bookings!D197&gt;=DATE(2000,1,1),Bookings!D197&lt;=DATE(2100,12,31)),Bookings!D197,0),IF(AND(K197&lt;&gt;"",LEN("x"&amp;L197)-LEN(SUBSTITUTE("x"&amp;L197,".",""))=2,OR(1&gt;LEN(L197),MID(L197,1,1)=".",ISNUMBER(FIND("x"&amp;MID(L197,1,1),"x0x1x2x3x4x5x6x7x8x9"))),OR(2&gt;LEN(L197),MID(L197,2,1)=".",ISNUMBER(FIND("x"&amp;MID(L197,2,1),"x0x1x2x3x4x5x6x7x8x9"))),OR(3&gt;LEN(L197),MID(L197,3,1)=".",ISNUMBER(FIND("x"&amp;MID(L197,3,1),"x0x1x2x3x4x5x6x7x8x9"))),OR(4&gt;LEN(L197),MID(L197,4,1)=".",ISNUMBER(FIND("x"&amp;MID(L197,4,1),"x0x1x2x3x4x5x6x7x8x9"))),OR(5&gt;LEN(L197),MID(L197,5,1)=".",ISNUMBER(FIND("x"&amp;MID(L197,5,1),"x0x1x2x3x4x5x6x7x8x9"))),OR(6&gt;LEN(L197),MID(L197,6,1)=".",ISNUMBER(FIND("x"&amp;MID(L197,6,1),"x0x1x2x3x4x5x6x7x8x9"))),OR(7&gt;LEN(L197),MID(L197,7,1)=".",ISNUMBER(FIND("x"&amp;MID(L197,7,1),"x0x1x2x3x4x5x6x7x8x9"))),OR(8&gt;LEN(L197),MID(L197,8,1)=".",ISNUMBER(FIND("x"&amp;MID(L197,8,1),"x0x1x2x3x4x5x6x7x8x9"))),OR(9&gt;LEN(L197),MID(L197,9,1)=".",ISNUMBER(FIND("x"&amp;MID(L197,9,1),"x0x1x2x3x4x5x6x7x8x9"))),OR(10&gt;LEN(L197),MID(L197,10,1)=".",ISNUMBER(FIND("x"&amp;MID(L197,10,1),"x0x1x2x3x4x5x6x7x8x9"))),OR(AND(FIND(".",L197)=5,LEN(L197)-FIND(".",L197,FIND(".",L197)+1)&gt;=1,LEN(L197)-FIND(".",L197,FIND(".",L197)+1)&lt;=2),AND(LEN(L197)-FIND(".",L197,FIND(".",L197)+1)=4,FIND(".",L197)&gt;=2,FIND(".",L197)&lt;=3)),FIND(".",L197,FIND(".",L197)+1)-FIND(".",L197)&gt;=2,FIND(".",L197,FIND(".",L197)+1)-FIND(".",L197)&lt;=3,P197&gt;=2000,P197&lt;=2100,YEAR(S197)=P197,MONTH(S197)=Q197,DAY(S197)=R197),S197,0)),0)</ns0:f>
        <ns0:v>0</ns0:v>
      </ns0:c>
      <ns0:c r="U197" s="0" t="str">
        <ns0:f>IF(Bookings!C197="","Full day",Bookings!C197)</ns0:f>
        <ns0:v>Full day</ns0:v>
      </ns0:c>
      <ns0:c r="V197" s="0" t="str">
        <ns0:f>IF(Bookings!E197="","Full day",Bookings!E197)</ns0:f>
        <ns0:v>Full day</ns0:v>
      </ns0:c>
      <ns0:c r="W197" s="0">
        <ns0:f>IF(J197=0,0,J197+IF(U197="PM",1,0))</ns0:f>
        <ns0:v>0</ns0:v>
      </ns0:c>
      <ns0:c r="X197" s="0">
        <ns0:f>IF(T197=0,0,T197-IF(V197="PM",1,0))</ns0:f>
        <ns0:v>0</ns0:v>
      </ns0:c>
      <ns0:c r="Y197" s="0">
        <ns0:f>IF(J197=0,0,J197+IF(U197="AM",1,0))</ns0:f>
        <ns0:v>0</ns0:v>
      </ns0:c>
      <ns0:c r="Z197" s="0">
        <ns0:f>IF(T197=0,0,T197-IF(V197="AM",1,0))</ns0:f>
        <ns0:v>0</ns0:v>
      </ns0:c>
      <ns0:c r="AA197" s="0">
        <ns0:f>IFERROR(IF(AND(J197&gt;0,'_Engine'!C197&gt;0,MID('_Engine'!W197,WEEKDAY(J197,2),1)="W",COUNTIF(Settings!$F$18:$F$67,J197)=0),1,0),0)</ns0:f>
        <ns0:v>0</ns0:v>
      </ns0:c>
      <ns0:c r="AB197" s="0">
        <ns0:f>IFERROR(IF(AND(T197&gt;0,'_Engine'!C197&gt;0,MID('_Engine'!W197,WEEKDAY(T197,2),1)="W",COUNTIF(Settings!$F$18:$F$67,T197)=0),1,0),0)</ns0:f>
        <ns0:v>0</ns0:v>
      </ns0:c>
      <ns0:c r="AC197" s="0">
        <ns0:f>IF(AND(J197&gt;0,T197&gt;0,W197&lt;=X197),1,0)</ns0:f>
        <ns0:v>0</ns0:v>
      </ns0:c>
      <ns0:c r="AD197" s="0">
        <ns0:f>IF(AND(J197&gt;0,T197&gt;0,Y197&lt;=Z197),1,0)</ns0:f>
        <ns0:v>0</ns0:v>
      </ns0:c>
    </ns0:row>
    <ns0:row r="198">
      <ns0:c r="A198" s="0">
        <ns0:f>IFERROR(IF(ISNUMBER(Bookings!B198),"",TRIM(Bookings!B198&amp;"")),"")</ns0:f>
      </ns0:c>
      <ns0:c r="B198" s="0">
        <ns0:f>IFERROR(SUBSTITUTE(SUBSTITUTE(A198,"/","."),"-","."),"")</ns0:f>
      </ns0:c>
      <ns0:c r="C198" s="0">
        <ns0:f>IFERROR(LEFT(B198,FIND(".",B198)-1),"")</ns0:f>
      </ns0:c>
      <ns0:c r="D198" s="0">
        <ns0:f>IFERROR(MID(B198,FIND(".",B198)+1,FIND(".",B198,FIND(".",B198)+1)-FIND(".",B198)-1),"")</ns0:f>
      </ns0:c>
      <ns0:c r="E198" s="0">
        <ns0:f>IFERROR(MID(B198,FIND(".",B198,FIND(".",B198)+1)+1,99),"")</ns0:f>
        <ns0:v>99</ns0:v>
      </ns0:c>
      <ns0:c r="F198" s="0">
        <ns0:f>IFERROR(IF(FIND(".",B198)=5,--C198,--E198),0)</ns0:f>
        <ns0:v>0</ns0:v>
      </ns0:c>
      <ns0:c r="G198" s="0">
        <ns0:f>IFERROR(--D198,0)</ns0:f>
        <ns0:v>0</ns0:v>
      </ns0:c>
      <ns0:c r="H198" s="0">
        <ns0:f>IFERROR(IF(FIND(".",B198)=5,--E198,--C198),0)</ns0:f>
        <ns0:v>0</ns0:v>
      </ns0:c>
      <ns0:c r="I198" s="0">
        <ns0:f>IFERROR(IF(AND(F198&gt;=2000,F198&lt;=2100,G198&gt;=1,G198&lt;=12,H198&gt;=1,H198&lt;=31),DATE(F198,G198,H198),0),0)</ns0:f>
        <ns0:v>0</ns0:v>
      </ns0:c>
      <ns0:c r="J198" s="0">
        <ns0:f>IFERROR(IF(ISNUMBER(Bookings!B198),IF(AND(Bookings!B198=INT(Bookings!B198),Bookings!B198&gt;=DATE(2000,1,1),Bookings!B198&lt;=DATE(2100,12,31)),Bookings!B198,0),IF(AND(A198&lt;&gt;"",LEN("x"&amp;B198)-LEN(SUBSTITUTE("x"&amp;B198,".",""))=2,OR(1&gt;LEN(B198),MID(B198,1,1)=".",ISNUMBER(FIND("x"&amp;MID(B198,1,1),"x0x1x2x3x4x5x6x7x8x9"))),OR(2&gt;LEN(B198),MID(B198,2,1)=".",ISNUMBER(FIND("x"&amp;MID(B198,2,1),"x0x1x2x3x4x5x6x7x8x9"))),OR(3&gt;LEN(B198),MID(B198,3,1)=".",ISNUMBER(FIND("x"&amp;MID(B198,3,1),"x0x1x2x3x4x5x6x7x8x9"))),OR(4&gt;LEN(B198),MID(B198,4,1)=".",ISNUMBER(FIND("x"&amp;MID(B198,4,1),"x0x1x2x3x4x5x6x7x8x9"))),OR(5&gt;LEN(B198),MID(B198,5,1)=".",ISNUMBER(FIND("x"&amp;MID(B198,5,1),"x0x1x2x3x4x5x6x7x8x9"))),OR(6&gt;LEN(B198),MID(B198,6,1)=".",ISNUMBER(FIND("x"&amp;MID(B198,6,1),"x0x1x2x3x4x5x6x7x8x9"))),OR(7&gt;LEN(B198),MID(B198,7,1)=".",ISNUMBER(FIND("x"&amp;MID(B198,7,1),"x0x1x2x3x4x5x6x7x8x9"))),OR(8&gt;LEN(B198),MID(B198,8,1)=".",ISNUMBER(FIND("x"&amp;MID(B198,8,1),"x0x1x2x3x4x5x6x7x8x9"))),OR(9&gt;LEN(B198),MID(B198,9,1)=".",ISNUMBER(FIND("x"&amp;MID(B198,9,1),"x0x1x2x3x4x5x6x7x8x9"))),OR(10&gt;LEN(B198),MID(B198,10,1)=".",ISNUMBER(FIND("x"&amp;MID(B198,10,1),"x0x1x2x3x4x5x6x7x8x9"))),OR(AND(FIND(".",B198)=5,LEN(B198)-FIND(".",B198,FIND(".",B198)+1)&gt;=1,LEN(B198)-FIND(".",B198,FIND(".",B198)+1)&lt;=2),AND(LEN(B198)-FIND(".",B198,FIND(".",B198)+1)=4,FIND(".",B198)&gt;=2,FIND(".",B198)&lt;=3)),FIND(".",B198,FIND(".",B198)+1)-FIND(".",B198)&gt;=2,FIND(".",B198,FIND(".",B198)+1)-FIND(".",B198)&lt;=3,F198&gt;=2000,F198&lt;=2100,YEAR(I198)=F198,MONTH(I198)=G198,DAY(I198)=H198),I198,0)),0)</ns0:f>
        <ns0:v>0</ns0:v>
      </ns0:c>
      <ns0:c r="K198" s="0">
        <ns0:f>IFERROR(IF(ISNUMBER(Bookings!D198),"",TRIM(Bookings!D198&amp;"")),"")</ns0:f>
      </ns0:c>
      <ns0:c r="L198" s="0">
        <ns0:f>IFERROR(SUBSTITUTE(SUBSTITUTE(K198,"/","."),"-","."),"")</ns0:f>
      </ns0:c>
      <ns0:c r="M198" s="0">
        <ns0:f>IFERROR(LEFT(L198,FIND(".",L198)-1),"")</ns0:f>
      </ns0:c>
      <ns0:c r="N198" s="0">
        <ns0:f>IFERROR(MID(L198,FIND(".",L198)+1,FIND(".",L198,FIND(".",L198)+1)-FIND(".",L198)-1),"")</ns0:f>
      </ns0:c>
      <ns0:c r="O198" s="0">
        <ns0:f>IFERROR(MID(L198,FIND(".",L198,FIND(".",L198)+1)+1,99),"")</ns0:f>
        <ns0:v>99</ns0:v>
      </ns0:c>
      <ns0:c r="P198" s="0">
        <ns0:f>IFERROR(IF(FIND(".",L198)=5,--M198,--O198),0)</ns0:f>
        <ns0:v>0</ns0:v>
      </ns0:c>
      <ns0:c r="Q198" s="0">
        <ns0:f>IFERROR(--N198,0)</ns0:f>
        <ns0:v>0</ns0:v>
      </ns0:c>
      <ns0:c r="R198" s="0">
        <ns0:f>IFERROR(IF(FIND(".",L198)=5,--O198,--M198),0)</ns0:f>
        <ns0:v>0</ns0:v>
      </ns0:c>
      <ns0:c r="S198" s="0">
        <ns0:f>IFERROR(IF(AND(P198&gt;=2000,P198&lt;=2100,Q198&gt;=1,Q198&lt;=12,R198&gt;=1,R198&lt;=31),DATE(P198,Q198,R198),0),0)</ns0:f>
        <ns0:v>0</ns0:v>
      </ns0:c>
      <ns0:c r="T198" s="0">
        <ns0:f>IFERROR(IF(ISNUMBER(Bookings!D198),IF(AND(Bookings!D198=INT(Bookings!D198),Bookings!D198&gt;=DATE(2000,1,1),Bookings!D198&lt;=DATE(2100,12,31)),Bookings!D198,0),IF(AND(K198&lt;&gt;"",LEN("x"&amp;L198)-LEN(SUBSTITUTE("x"&amp;L198,".",""))=2,OR(1&gt;LEN(L198),MID(L198,1,1)=".",ISNUMBER(FIND("x"&amp;MID(L198,1,1),"x0x1x2x3x4x5x6x7x8x9"))),OR(2&gt;LEN(L198),MID(L198,2,1)=".",ISNUMBER(FIND("x"&amp;MID(L198,2,1),"x0x1x2x3x4x5x6x7x8x9"))),OR(3&gt;LEN(L198),MID(L198,3,1)=".",ISNUMBER(FIND("x"&amp;MID(L198,3,1),"x0x1x2x3x4x5x6x7x8x9"))),OR(4&gt;LEN(L198),MID(L198,4,1)=".",ISNUMBER(FIND("x"&amp;MID(L198,4,1),"x0x1x2x3x4x5x6x7x8x9"))),OR(5&gt;LEN(L198),MID(L198,5,1)=".",ISNUMBER(FIND("x"&amp;MID(L198,5,1),"x0x1x2x3x4x5x6x7x8x9"))),OR(6&gt;LEN(L198),MID(L198,6,1)=".",ISNUMBER(FIND("x"&amp;MID(L198,6,1),"x0x1x2x3x4x5x6x7x8x9"))),OR(7&gt;LEN(L198),MID(L198,7,1)=".",ISNUMBER(FIND("x"&amp;MID(L198,7,1),"x0x1x2x3x4x5x6x7x8x9"))),OR(8&gt;LEN(L198),MID(L198,8,1)=".",ISNUMBER(FIND("x"&amp;MID(L198,8,1),"x0x1x2x3x4x5x6x7x8x9"))),OR(9&gt;LEN(L198),MID(L198,9,1)=".",ISNUMBER(FIND("x"&amp;MID(L198,9,1),"x0x1x2x3x4x5x6x7x8x9"))),OR(10&gt;LEN(L198),MID(L198,10,1)=".",ISNUMBER(FIND("x"&amp;MID(L198,10,1),"x0x1x2x3x4x5x6x7x8x9"))),OR(AND(FIND(".",L198)=5,LEN(L198)-FIND(".",L198,FIND(".",L198)+1)&gt;=1,LEN(L198)-FIND(".",L198,FIND(".",L198)+1)&lt;=2),AND(LEN(L198)-FIND(".",L198,FIND(".",L198)+1)=4,FIND(".",L198)&gt;=2,FIND(".",L198)&lt;=3)),FIND(".",L198,FIND(".",L198)+1)-FIND(".",L198)&gt;=2,FIND(".",L198,FIND(".",L198)+1)-FIND(".",L198)&lt;=3,P198&gt;=2000,P198&lt;=2100,YEAR(S198)=P198,MONTH(S198)=Q198,DAY(S198)=R198),S198,0)),0)</ns0:f>
        <ns0:v>0</ns0:v>
      </ns0:c>
      <ns0:c r="U198" s="0" t="str">
        <ns0:f>IF(Bookings!C198="","Full day",Bookings!C198)</ns0:f>
        <ns0:v>Full day</ns0:v>
      </ns0:c>
      <ns0:c r="V198" s="0" t="str">
        <ns0:f>IF(Bookings!E198="","Full day",Bookings!E198)</ns0:f>
        <ns0:v>Full day</ns0:v>
      </ns0:c>
      <ns0:c r="W198" s="0">
        <ns0:f>IF(J198=0,0,J198+IF(U198="PM",1,0))</ns0:f>
        <ns0:v>0</ns0:v>
      </ns0:c>
      <ns0:c r="X198" s="0">
        <ns0:f>IF(T198=0,0,T198-IF(V198="PM",1,0))</ns0:f>
        <ns0:v>0</ns0:v>
      </ns0:c>
      <ns0:c r="Y198" s="0">
        <ns0:f>IF(J198=0,0,J198+IF(U198="AM",1,0))</ns0:f>
        <ns0:v>0</ns0:v>
      </ns0:c>
      <ns0:c r="Z198" s="0">
        <ns0:f>IF(T198=0,0,T198-IF(V198="AM",1,0))</ns0:f>
        <ns0:v>0</ns0:v>
      </ns0:c>
      <ns0:c r="AA198" s="0">
        <ns0:f>IFERROR(IF(AND(J198&gt;0,'_Engine'!C198&gt;0,MID('_Engine'!W198,WEEKDAY(J198,2),1)="W",COUNTIF(Settings!$F$18:$F$67,J198)=0),1,0),0)</ns0:f>
        <ns0:v>0</ns0:v>
      </ns0:c>
      <ns0:c r="AB198" s="0">
        <ns0:f>IFERROR(IF(AND(T198&gt;0,'_Engine'!C198&gt;0,MID('_Engine'!W198,WEEKDAY(T198,2),1)="W",COUNTIF(Settings!$F$18:$F$67,T198)=0),1,0),0)</ns0:f>
        <ns0:v>0</ns0:v>
      </ns0:c>
      <ns0:c r="AC198" s="0">
        <ns0:f>IF(AND(J198&gt;0,T198&gt;0,W198&lt;=X198),1,0)</ns0:f>
        <ns0:v>0</ns0:v>
      </ns0:c>
      <ns0:c r="AD198" s="0">
        <ns0:f>IF(AND(J198&gt;0,T198&gt;0,Y198&lt;=Z198),1,0)</ns0:f>
        <ns0:v>0</ns0:v>
      </ns0:c>
    </ns0:row>
    <ns0:row r="199">
      <ns0:c r="A199" s="0">
        <ns0:f>IFERROR(IF(ISNUMBER(Bookings!B199),"",TRIM(Bookings!B199&amp;"")),"")</ns0:f>
      </ns0:c>
      <ns0:c r="B199" s="0">
        <ns0:f>IFERROR(SUBSTITUTE(SUBSTITUTE(A199,"/","."),"-","."),"")</ns0:f>
      </ns0:c>
      <ns0:c r="C199" s="0">
        <ns0:f>IFERROR(LEFT(B199,FIND(".",B199)-1),"")</ns0:f>
      </ns0:c>
      <ns0:c r="D199" s="0">
        <ns0:f>IFERROR(MID(B199,FIND(".",B199)+1,FIND(".",B199,FIND(".",B199)+1)-FIND(".",B199)-1),"")</ns0:f>
      </ns0:c>
      <ns0:c r="E199" s="0">
        <ns0:f>IFERROR(MID(B199,FIND(".",B199,FIND(".",B199)+1)+1,99),"")</ns0:f>
        <ns0:v>99</ns0:v>
      </ns0:c>
      <ns0:c r="F199" s="0">
        <ns0:f>IFERROR(IF(FIND(".",B199)=5,--C199,--E199),0)</ns0:f>
        <ns0:v>0</ns0:v>
      </ns0:c>
      <ns0:c r="G199" s="0">
        <ns0:f>IFERROR(--D199,0)</ns0:f>
        <ns0:v>0</ns0:v>
      </ns0:c>
      <ns0:c r="H199" s="0">
        <ns0:f>IFERROR(IF(FIND(".",B199)=5,--E199,--C199),0)</ns0:f>
        <ns0:v>0</ns0:v>
      </ns0:c>
      <ns0:c r="I199" s="0">
        <ns0:f>IFERROR(IF(AND(F199&gt;=2000,F199&lt;=2100,G199&gt;=1,G199&lt;=12,H199&gt;=1,H199&lt;=31),DATE(F199,G199,H199),0),0)</ns0:f>
        <ns0:v>0</ns0:v>
      </ns0:c>
      <ns0:c r="J199" s="0">
        <ns0:f>IFERROR(IF(ISNUMBER(Bookings!B199),IF(AND(Bookings!B199=INT(Bookings!B199),Bookings!B199&gt;=DATE(2000,1,1),Bookings!B199&lt;=DATE(2100,12,31)),Bookings!B199,0),IF(AND(A199&lt;&gt;"",LEN("x"&amp;B199)-LEN(SUBSTITUTE("x"&amp;B199,".",""))=2,OR(1&gt;LEN(B199),MID(B199,1,1)=".",ISNUMBER(FIND("x"&amp;MID(B199,1,1),"x0x1x2x3x4x5x6x7x8x9"))),OR(2&gt;LEN(B199),MID(B199,2,1)=".",ISNUMBER(FIND("x"&amp;MID(B199,2,1),"x0x1x2x3x4x5x6x7x8x9"))),OR(3&gt;LEN(B199),MID(B199,3,1)=".",ISNUMBER(FIND("x"&amp;MID(B199,3,1),"x0x1x2x3x4x5x6x7x8x9"))),OR(4&gt;LEN(B199),MID(B199,4,1)=".",ISNUMBER(FIND("x"&amp;MID(B199,4,1),"x0x1x2x3x4x5x6x7x8x9"))),OR(5&gt;LEN(B199),MID(B199,5,1)=".",ISNUMBER(FIND("x"&amp;MID(B199,5,1),"x0x1x2x3x4x5x6x7x8x9"))),OR(6&gt;LEN(B199),MID(B199,6,1)=".",ISNUMBER(FIND("x"&amp;MID(B199,6,1),"x0x1x2x3x4x5x6x7x8x9"))),OR(7&gt;LEN(B199),MID(B199,7,1)=".",ISNUMBER(FIND("x"&amp;MID(B199,7,1),"x0x1x2x3x4x5x6x7x8x9"))),OR(8&gt;LEN(B199),MID(B199,8,1)=".",ISNUMBER(FIND("x"&amp;MID(B199,8,1),"x0x1x2x3x4x5x6x7x8x9"))),OR(9&gt;LEN(B199),MID(B199,9,1)=".",ISNUMBER(FIND("x"&amp;MID(B199,9,1),"x0x1x2x3x4x5x6x7x8x9"))),OR(10&gt;LEN(B199),MID(B199,10,1)=".",ISNUMBER(FIND("x"&amp;MID(B199,10,1),"x0x1x2x3x4x5x6x7x8x9"))),OR(AND(FIND(".",B199)=5,LEN(B199)-FIND(".",B199,FIND(".",B199)+1)&gt;=1,LEN(B199)-FIND(".",B199,FIND(".",B199)+1)&lt;=2),AND(LEN(B199)-FIND(".",B199,FIND(".",B199)+1)=4,FIND(".",B199)&gt;=2,FIND(".",B199)&lt;=3)),FIND(".",B199,FIND(".",B199)+1)-FIND(".",B199)&gt;=2,FIND(".",B199,FIND(".",B199)+1)-FIND(".",B199)&lt;=3,F199&gt;=2000,F199&lt;=2100,YEAR(I199)=F199,MONTH(I199)=G199,DAY(I199)=H199),I199,0)),0)</ns0:f>
        <ns0:v>0</ns0:v>
      </ns0:c>
      <ns0:c r="K199" s="0">
        <ns0:f>IFERROR(IF(ISNUMBER(Bookings!D199),"",TRIM(Bookings!D199&amp;"")),"")</ns0:f>
      </ns0:c>
      <ns0:c r="L199" s="0">
        <ns0:f>IFERROR(SUBSTITUTE(SUBSTITUTE(K199,"/","."),"-","."),"")</ns0:f>
      </ns0:c>
      <ns0:c r="M199" s="0">
        <ns0:f>IFERROR(LEFT(L199,FIND(".",L199)-1),"")</ns0:f>
      </ns0:c>
      <ns0:c r="N199" s="0">
        <ns0:f>IFERROR(MID(L199,FIND(".",L199)+1,FIND(".",L199,FIND(".",L199)+1)-FIND(".",L199)-1),"")</ns0:f>
      </ns0:c>
      <ns0:c r="O199" s="0">
        <ns0:f>IFERROR(MID(L199,FIND(".",L199,FIND(".",L199)+1)+1,99),"")</ns0:f>
        <ns0:v>99</ns0:v>
      </ns0:c>
      <ns0:c r="P199" s="0">
        <ns0:f>IFERROR(IF(FIND(".",L199)=5,--M199,--O199),0)</ns0:f>
        <ns0:v>0</ns0:v>
      </ns0:c>
      <ns0:c r="Q199" s="0">
        <ns0:f>IFERROR(--N199,0)</ns0:f>
        <ns0:v>0</ns0:v>
      </ns0:c>
      <ns0:c r="R199" s="0">
        <ns0:f>IFERROR(IF(FIND(".",L199)=5,--O199,--M199),0)</ns0:f>
        <ns0:v>0</ns0:v>
      </ns0:c>
      <ns0:c r="S199" s="0">
        <ns0:f>IFERROR(IF(AND(P199&gt;=2000,P199&lt;=2100,Q199&gt;=1,Q199&lt;=12,R199&gt;=1,R199&lt;=31),DATE(P199,Q199,R199),0),0)</ns0:f>
        <ns0:v>0</ns0:v>
      </ns0:c>
      <ns0:c r="T199" s="0">
        <ns0:f>IFERROR(IF(ISNUMBER(Bookings!D199),IF(AND(Bookings!D199=INT(Bookings!D199),Bookings!D199&gt;=DATE(2000,1,1),Bookings!D199&lt;=DATE(2100,12,31)),Bookings!D199,0),IF(AND(K199&lt;&gt;"",LEN("x"&amp;L199)-LEN(SUBSTITUTE("x"&amp;L199,".",""))=2,OR(1&gt;LEN(L199),MID(L199,1,1)=".",ISNUMBER(FIND("x"&amp;MID(L199,1,1),"x0x1x2x3x4x5x6x7x8x9"))),OR(2&gt;LEN(L199),MID(L199,2,1)=".",ISNUMBER(FIND("x"&amp;MID(L199,2,1),"x0x1x2x3x4x5x6x7x8x9"))),OR(3&gt;LEN(L199),MID(L199,3,1)=".",ISNUMBER(FIND("x"&amp;MID(L199,3,1),"x0x1x2x3x4x5x6x7x8x9"))),OR(4&gt;LEN(L199),MID(L199,4,1)=".",ISNUMBER(FIND("x"&amp;MID(L199,4,1),"x0x1x2x3x4x5x6x7x8x9"))),OR(5&gt;LEN(L199),MID(L199,5,1)=".",ISNUMBER(FIND("x"&amp;MID(L199,5,1),"x0x1x2x3x4x5x6x7x8x9"))),OR(6&gt;LEN(L199),MID(L199,6,1)=".",ISNUMBER(FIND("x"&amp;MID(L199,6,1),"x0x1x2x3x4x5x6x7x8x9"))),OR(7&gt;LEN(L199),MID(L199,7,1)=".",ISNUMBER(FIND("x"&amp;MID(L199,7,1),"x0x1x2x3x4x5x6x7x8x9"))),OR(8&gt;LEN(L199),MID(L199,8,1)=".",ISNUMBER(FIND("x"&amp;MID(L199,8,1),"x0x1x2x3x4x5x6x7x8x9"))),OR(9&gt;LEN(L199),MID(L199,9,1)=".",ISNUMBER(FIND("x"&amp;MID(L199,9,1),"x0x1x2x3x4x5x6x7x8x9"))),OR(10&gt;LEN(L199),MID(L199,10,1)=".",ISNUMBER(FIND("x"&amp;MID(L199,10,1),"x0x1x2x3x4x5x6x7x8x9"))),OR(AND(FIND(".",L199)=5,LEN(L199)-FIND(".",L199,FIND(".",L199)+1)&gt;=1,LEN(L199)-FIND(".",L199,FIND(".",L199)+1)&lt;=2),AND(LEN(L199)-FIND(".",L199,FIND(".",L199)+1)=4,FIND(".",L199)&gt;=2,FIND(".",L199)&lt;=3)),FIND(".",L199,FIND(".",L199)+1)-FIND(".",L199)&gt;=2,FIND(".",L199,FIND(".",L199)+1)-FIND(".",L199)&lt;=3,P199&gt;=2000,P199&lt;=2100,YEAR(S199)=P199,MONTH(S199)=Q199,DAY(S199)=R199),S199,0)),0)</ns0:f>
        <ns0:v>0</ns0:v>
      </ns0:c>
      <ns0:c r="U199" s="0" t="str">
        <ns0:f>IF(Bookings!C199="","Full day",Bookings!C199)</ns0:f>
        <ns0:v>Full day</ns0:v>
      </ns0:c>
      <ns0:c r="V199" s="0" t="str">
        <ns0:f>IF(Bookings!E199="","Full day",Bookings!E199)</ns0:f>
        <ns0:v>Full day</ns0:v>
      </ns0:c>
      <ns0:c r="W199" s="0">
        <ns0:f>IF(J199=0,0,J199+IF(U199="PM",1,0))</ns0:f>
        <ns0:v>0</ns0:v>
      </ns0:c>
      <ns0:c r="X199" s="0">
        <ns0:f>IF(T199=0,0,T199-IF(V199="PM",1,0))</ns0:f>
        <ns0:v>0</ns0:v>
      </ns0:c>
      <ns0:c r="Y199" s="0">
        <ns0:f>IF(J199=0,0,J199+IF(U199="AM",1,0))</ns0:f>
        <ns0:v>0</ns0:v>
      </ns0:c>
      <ns0:c r="Z199" s="0">
        <ns0:f>IF(T199=0,0,T199-IF(V199="AM",1,0))</ns0:f>
        <ns0:v>0</ns0:v>
      </ns0:c>
      <ns0:c r="AA199" s="0">
        <ns0:f>IFERROR(IF(AND(J199&gt;0,'_Engine'!C199&gt;0,MID('_Engine'!W199,WEEKDAY(J199,2),1)="W",COUNTIF(Settings!$F$18:$F$67,J199)=0),1,0),0)</ns0:f>
        <ns0:v>0</ns0:v>
      </ns0:c>
      <ns0:c r="AB199" s="0">
        <ns0:f>IFERROR(IF(AND(T199&gt;0,'_Engine'!C199&gt;0,MID('_Engine'!W199,WEEKDAY(T199,2),1)="W",COUNTIF(Settings!$F$18:$F$67,T199)=0),1,0),0)</ns0:f>
        <ns0:v>0</ns0:v>
      </ns0:c>
      <ns0:c r="AC199" s="0">
        <ns0:f>IF(AND(J199&gt;0,T199&gt;0,W199&lt;=X199),1,0)</ns0:f>
        <ns0:v>0</ns0:v>
      </ns0:c>
      <ns0:c r="AD199" s="0">
        <ns0:f>IF(AND(J199&gt;0,T199&gt;0,Y199&lt;=Z199),1,0)</ns0:f>
        <ns0:v>0</ns0:v>
      </ns0:c>
    </ns0:row>
    <ns0:row r="200">
      <ns0:c r="A200" s="0">
        <ns0:f>IFERROR(IF(ISNUMBER(Bookings!B200),"",TRIM(Bookings!B200&amp;"")),"")</ns0:f>
      </ns0:c>
      <ns0:c r="B200" s="0">
        <ns0:f>IFERROR(SUBSTITUTE(SUBSTITUTE(A200,"/","."),"-","."),"")</ns0:f>
      </ns0:c>
      <ns0:c r="C200" s="0">
        <ns0:f>IFERROR(LEFT(B200,FIND(".",B200)-1),"")</ns0:f>
      </ns0:c>
      <ns0:c r="D200" s="0">
        <ns0:f>IFERROR(MID(B200,FIND(".",B200)+1,FIND(".",B200,FIND(".",B200)+1)-FIND(".",B200)-1),"")</ns0:f>
      </ns0:c>
      <ns0:c r="E200" s="0">
        <ns0:f>IFERROR(MID(B200,FIND(".",B200,FIND(".",B200)+1)+1,99),"")</ns0:f>
        <ns0:v>99</ns0:v>
      </ns0:c>
      <ns0:c r="F200" s="0">
        <ns0:f>IFERROR(IF(FIND(".",B200)=5,--C200,--E200),0)</ns0:f>
        <ns0:v>0</ns0:v>
      </ns0:c>
      <ns0:c r="G200" s="0">
        <ns0:f>IFERROR(--D200,0)</ns0:f>
        <ns0:v>0</ns0:v>
      </ns0:c>
      <ns0:c r="H200" s="0">
        <ns0:f>IFERROR(IF(FIND(".",B200)=5,--E200,--C200),0)</ns0:f>
        <ns0:v>0</ns0:v>
      </ns0:c>
      <ns0:c r="I200" s="0">
        <ns0:f>IFERROR(IF(AND(F200&gt;=2000,F200&lt;=2100,G200&gt;=1,G200&lt;=12,H200&gt;=1,H200&lt;=31),DATE(F200,G200,H200),0),0)</ns0:f>
        <ns0:v>0</ns0:v>
      </ns0:c>
      <ns0:c r="J200" s="0">
        <ns0:f>IFERROR(IF(ISNUMBER(Bookings!B200),IF(AND(Bookings!B200=INT(Bookings!B200),Bookings!B200&gt;=DATE(2000,1,1),Bookings!B200&lt;=DATE(2100,12,31)),Bookings!B200,0),IF(AND(A200&lt;&gt;"",LEN("x"&amp;B200)-LEN(SUBSTITUTE("x"&amp;B200,".",""))=2,OR(1&gt;LEN(B200),MID(B200,1,1)=".",ISNUMBER(FIND("x"&amp;MID(B200,1,1),"x0x1x2x3x4x5x6x7x8x9"))),OR(2&gt;LEN(B200),MID(B200,2,1)=".",ISNUMBER(FIND("x"&amp;MID(B200,2,1),"x0x1x2x3x4x5x6x7x8x9"))),OR(3&gt;LEN(B200),MID(B200,3,1)=".",ISNUMBER(FIND("x"&amp;MID(B200,3,1),"x0x1x2x3x4x5x6x7x8x9"))),OR(4&gt;LEN(B200),MID(B200,4,1)=".",ISNUMBER(FIND("x"&amp;MID(B200,4,1),"x0x1x2x3x4x5x6x7x8x9"))),OR(5&gt;LEN(B200),MID(B200,5,1)=".",ISNUMBER(FIND("x"&amp;MID(B200,5,1),"x0x1x2x3x4x5x6x7x8x9"))),OR(6&gt;LEN(B200),MID(B200,6,1)=".",ISNUMBER(FIND("x"&amp;MID(B200,6,1),"x0x1x2x3x4x5x6x7x8x9"))),OR(7&gt;LEN(B200),MID(B200,7,1)=".",ISNUMBER(FIND("x"&amp;MID(B200,7,1),"x0x1x2x3x4x5x6x7x8x9"))),OR(8&gt;LEN(B200),MID(B200,8,1)=".",ISNUMBER(FIND("x"&amp;MID(B200,8,1),"x0x1x2x3x4x5x6x7x8x9"))),OR(9&gt;LEN(B200),MID(B200,9,1)=".",ISNUMBER(FIND("x"&amp;MID(B200,9,1),"x0x1x2x3x4x5x6x7x8x9"))),OR(10&gt;LEN(B200),MID(B200,10,1)=".",ISNUMBER(FIND("x"&amp;MID(B200,10,1),"x0x1x2x3x4x5x6x7x8x9"))),OR(AND(FIND(".",B200)=5,LEN(B200)-FIND(".",B200,FIND(".",B200)+1)&gt;=1,LEN(B200)-FIND(".",B200,FIND(".",B200)+1)&lt;=2),AND(LEN(B200)-FIND(".",B200,FIND(".",B200)+1)=4,FIND(".",B200)&gt;=2,FIND(".",B200)&lt;=3)),FIND(".",B200,FIND(".",B200)+1)-FIND(".",B200)&gt;=2,FIND(".",B200,FIND(".",B200)+1)-FIND(".",B200)&lt;=3,F200&gt;=2000,F200&lt;=2100,YEAR(I200)=F200,MONTH(I200)=G200,DAY(I200)=H200),I200,0)),0)</ns0:f>
        <ns0:v>0</ns0:v>
      </ns0:c>
      <ns0:c r="K200" s="0">
        <ns0:f>IFERROR(IF(ISNUMBER(Bookings!D200),"",TRIM(Bookings!D200&amp;"")),"")</ns0:f>
      </ns0:c>
      <ns0:c r="L200" s="0">
        <ns0:f>IFERROR(SUBSTITUTE(SUBSTITUTE(K200,"/","."),"-","."),"")</ns0:f>
      </ns0:c>
      <ns0:c r="M200" s="0">
        <ns0:f>IFERROR(LEFT(L200,FIND(".",L200)-1),"")</ns0:f>
      </ns0:c>
      <ns0:c r="N200" s="0">
        <ns0:f>IFERROR(MID(L200,FIND(".",L200)+1,FIND(".",L200,FIND(".",L200)+1)-FIND(".",L200)-1),"")</ns0:f>
      </ns0:c>
      <ns0:c r="O200" s="0">
        <ns0:f>IFERROR(MID(L200,FIND(".",L200,FIND(".",L200)+1)+1,99),"")</ns0:f>
        <ns0:v>99</ns0:v>
      </ns0:c>
      <ns0:c r="P200" s="0">
        <ns0:f>IFERROR(IF(FIND(".",L200)=5,--M200,--O200),0)</ns0:f>
        <ns0:v>0</ns0:v>
      </ns0:c>
      <ns0:c r="Q200" s="0">
        <ns0:f>IFERROR(--N200,0)</ns0:f>
        <ns0:v>0</ns0:v>
      </ns0:c>
      <ns0:c r="R200" s="0">
        <ns0:f>IFERROR(IF(FIND(".",L200)=5,--O200,--M200),0)</ns0:f>
        <ns0:v>0</ns0:v>
      </ns0:c>
      <ns0:c r="S200" s="0">
        <ns0:f>IFERROR(IF(AND(P200&gt;=2000,P200&lt;=2100,Q200&gt;=1,Q200&lt;=12,R200&gt;=1,R200&lt;=31),DATE(P200,Q200,R200),0),0)</ns0:f>
        <ns0:v>0</ns0:v>
      </ns0:c>
      <ns0:c r="T200" s="0">
        <ns0:f>IFERROR(IF(ISNUMBER(Bookings!D200),IF(AND(Bookings!D200=INT(Bookings!D200),Bookings!D200&gt;=DATE(2000,1,1),Bookings!D200&lt;=DATE(2100,12,31)),Bookings!D200,0),IF(AND(K200&lt;&gt;"",LEN("x"&amp;L200)-LEN(SUBSTITUTE("x"&amp;L200,".",""))=2,OR(1&gt;LEN(L200),MID(L200,1,1)=".",ISNUMBER(FIND("x"&amp;MID(L200,1,1),"x0x1x2x3x4x5x6x7x8x9"))),OR(2&gt;LEN(L200),MID(L200,2,1)=".",ISNUMBER(FIND("x"&amp;MID(L200,2,1),"x0x1x2x3x4x5x6x7x8x9"))),OR(3&gt;LEN(L200),MID(L200,3,1)=".",ISNUMBER(FIND("x"&amp;MID(L200,3,1),"x0x1x2x3x4x5x6x7x8x9"))),OR(4&gt;LEN(L200),MID(L200,4,1)=".",ISNUMBER(FIND("x"&amp;MID(L200,4,1),"x0x1x2x3x4x5x6x7x8x9"))),OR(5&gt;LEN(L200),MID(L200,5,1)=".",ISNUMBER(FIND("x"&amp;MID(L200,5,1),"x0x1x2x3x4x5x6x7x8x9"))),OR(6&gt;LEN(L200),MID(L200,6,1)=".",ISNUMBER(FIND("x"&amp;MID(L200,6,1),"x0x1x2x3x4x5x6x7x8x9"))),OR(7&gt;LEN(L200),MID(L200,7,1)=".",ISNUMBER(FIND("x"&amp;MID(L200,7,1),"x0x1x2x3x4x5x6x7x8x9"))),OR(8&gt;LEN(L200),MID(L200,8,1)=".",ISNUMBER(FIND("x"&amp;MID(L200,8,1),"x0x1x2x3x4x5x6x7x8x9"))),OR(9&gt;LEN(L200),MID(L200,9,1)=".",ISNUMBER(FIND("x"&amp;MID(L200,9,1),"x0x1x2x3x4x5x6x7x8x9"))),OR(10&gt;LEN(L200),MID(L200,10,1)=".",ISNUMBER(FIND("x"&amp;MID(L200,10,1),"x0x1x2x3x4x5x6x7x8x9"))),OR(AND(FIND(".",L200)=5,LEN(L200)-FIND(".",L200,FIND(".",L200)+1)&gt;=1,LEN(L200)-FIND(".",L200,FIND(".",L200)+1)&lt;=2),AND(LEN(L200)-FIND(".",L200,FIND(".",L200)+1)=4,FIND(".",L200)&gt;=2,FIND(".",L200)&lt;=3)),FIND(".",L200,FIND(".",L200)+1)-FIND(".",L200)&gt;=2,FIND(".",L200,FIND(".",L200)+1)-FIND(".",L200)&lt;=3,P200&gt;=2000,P200&lt;=2100,YEAR(S200)=P200,MONTH(S200)=Q200,DAY(S200)=R200),S200,0)),0)</ns0:f>
        <ns0:v>0</ns0:v>
      </ns0:c>
      <ns0:c r="U200" s="0" t="str">
        <ns0:f>IF(Bookings!C200="","Full day",Bookings!C200)</ns0:f>
        <ns0:v>Full day</ns0:v>
      </ns0:c>
      <ns0:c r="V200" s="0" t="str">
        <ns0:f>IF(Bookings!E200="","Full day",Bookings!E200)</ns0:f>
        <ns0:v>Full day</ns0:v>
      </ns0:c>
      <ns0:c r="W200" s="0">
        <ns0:f>IF(J200=0,0,J200+IF(U200="PM",1,0))</ns0:f>
        <ns0:v>0</ns0:v>
      </ns0:c>
      <ns0:c r="X200" s="0">
        <ns0:f>IF(T200=0,0,T200-IF(V200="PM",1,0))</ns0:f>
        <ns0:v>0</ns0:v>
      </ns0:c>
      <ns0:c r="Y200" s="0">
        <ns0:f>IF(J200=0,0,J200+IF(U200="AM",1,0))</ns0:f>
        <ns0:v>0</ns0:v>
      </ns0:c>
      <ns0:c r="Z200" s="0">
        <ns0:f>IF(T200=0,0,T200-IF(V200="AM",1,0))</ns0:f>
        <ns0:v>0</ns0:v>
      </ns0:c>
      <ns0:c r="AA200" s="0">
        <ns0:f>IFERROR(IF(AND(J200&gt;0,'_Engine'!C200&gt;0,MID('_Engine'!W200,WEEKDAY(J200,2),1)="W",COUNTIF(Settings!$F$18:$F$67,J200)=0),1,0),0)</ns0:f>
        <ns0:v>0</ns0:v>
      </ns0:c>
      <ns0:c r="AB200" s="0">
        <ns0:f>IFERROR(IF(AND(T200&gt;0,'_Engine'!C200&gt;0,MID('_Engine'!W200,WEEKDAY(T200,2),1)="W",COUNTIF(Settings!$F$18:$F$67,T200)=0),1,0),0)</ns0:f>
        <ns0:v>0</ns0:v>
      </ns0:c>
      <ns0:c r="AC200" s="0">
        <ns0:f>IF(AND(J200&gt;0,T200&gt;0,W200&lt;=X200),1,0)</ns0:f>
        <ns0:v>0</ns0:v>
      </ns0:c>
      <ns0:c r="AD200" s="0">
        <ns0:f>IF(AND(J200&gt;0,T200&gt;0,Y200&lt;=Z200),1,0)</ns0:f>
        <ns0:v>0</ns0:v>
      </ns0:c>
    </ns0:row>
    <ns0:row r="201">
      <ns0:c r="A201" s="0">
        <ns0:f>IFERROR(IF(ISNUMBER(Bookings!B201),"",TRIM(Bookings!B201&amp;"")),"")</ns0:f>
      </ns0:c>
      <ns0:c r="B201" s="0">
        <ns0:f>IFERROR(SUBSTITUTE(SUBSTITUTE(A201,"/","."),"-","."),"")</ns0:f>
      </ns0:c>
      <ns0:c r="C201" s="0">
        <ns0:f>IFERROR(LEFT(B201,FIND(".",B201)-1),"")</ns0:f>
      </ns0:c>
      <ns0:c r="D201" s="0">
        <ns0:f>IFERROR(MID(B201,FIND(".",B201)+1,FIND(".",B201,FIND(".",B201)+1)-FIND(".",B201)-1),"")</ns0:f>
      </ns0:c>
      <ns0:c r="E201" s="0">
        <ns0:f>IFERROR(MID(B201,FIND(".",B201,FIND(".",B201)+1)+1,99),"")</ns0:f>
        <ns0:v>99</ns0:v>
      </ns0:c>
      <ns0:c r="F201" s="0">
        <ns0:f>IFERROR(IF(FIND(".",B201)=5,--C201,--E201),0)</ns0:f>
        <ns0:v>0</ns0:v>
      </ns0:c>
      <ns0:c r="G201" s="0">
        <ns0:f>IFERROR(--D201,0)</ns0:f>
        <ns0:v>0</ns0:v>
      </ns0:c>
      <ns0:c r="H201" s="0">
        <ns0:f>IFERROR(IF(FIND(".",B201)=5,--E201,--C201),0)</ns0:f>
        <ns0:v>0</ns0:v>
      </ns0:c>
      <ns0:c r="I201" s="0">
        <ns0:f>IFERROR(IF(AND(F201&gt;=2000,F201&lt;=2100,G201&gt;=1,G201&lt;=12,H201&gt;=1,H201&lt;=31),DATE(F201,G201,H201),0),0)</ns0:f>
        <ns0:v>0</ns0:v>
      </ns0:c>
      <ns0:c r="J201" s="0">
        <ns0:f>IFERROR(IF(ISNUMBER(Bookings!B201),IF(AND(Bookings!B201=INT(Bookings!B201),Bookings!B201&gt;=DATE(2000,1,1),Bookings!B201&lt;=DATE(2100,12,31)),Bookings!B201,0),IF(AND(A201&lt;&gt;"",LEN("x"&amp;B201)-LEN(SUBSTITUTE("x"&amp;B201,".",""))=2,OR(1&gt;LEN(B201),MID(B201,1,1)=".",ISNUMBER(FIND("x"&amp;MID(B201,1,1),"x0x1x2x3x4x5x6x7x8x9"))),OR(2&gt;LEN(B201),MID(B201,2,1)=".",ISNUMBER(FIND("x"&amp;MID(B201,2,1),"x0x1x2x3x4x5x6x7x8x9"))),OR(3&gt;LEN(B201),MID(B201,3,1)=".",ISNUMBER(FIND("x"&amp;MID(B201,3,1),"x0x1x2x3x4x5x6x7x8x9"))),OR(4&gt;LEN(B201),MID(B201,4,1)=".",ISNUMBER(FIND("x"&amp;MID(B201,4,1),"x0x1x2x3x4x5x6x7x8x9"))),OR(5&gt;LEN(B201),MID(B201,5,1)=".",ISNUMBER(FIND("x"&amp;MID(B201,5,1),"x0x1x2x3x4x5x6x7x8x9"))),OR(6&gt;LEN(B201),MID(B201,6,1)=".",ISNUMBER(FIND("x"&amp;MID(B201,6,1),"x0x1x2x3x4x5x6x7x8x9"))),OR(7&gt;LEN(B201),MID(B201,7,1)=".",ISNUMBER(FIND("x"&amp;MID(B201,7,1),"x0x1x2x3x4x5x6x7x8x9"))),OR(8&gt;LEN(B201),MID(B201,8,1)=".",ISNUMBER(FIND("x"&amp;MID(B201,8,1),"x0x1x2x3x4x5x6x7x8x9"))),OR(9&gt;LEN(B201),MID(B201,9,1)=".",ISNUMBER(FIND("x"&amp;MID(B201,9,1),"x0x1x2x3x4x5x6x7x8x9"))),OR(10&gt;LEN(B201),MID(B201,10,1)=".",ISNUMBER(FIND("x"&amp;MID(B201,10,1),"x0x1x2x3x4x5x6x7x8x9"))),OR(AND(FIND(".",B201)=5,LEN(B201)-FIND(".",B201,FIND(".",B201)+1)&gt;=1,LEN(B201)-FIND(".",B201,FIND(".",B201)+1)&lt;=2),AND(LEN(B201)-FIND(".",B201,FIND(".",B201)+1)=4,FIND(".",B201)&gt;=2,FIND(".",B201)&lt;=3)),FIND(".",B201,FIND(".",B201)+1)-FIND(".",B201)&gt;=2,FIND(".",B201,FIND(".",B201)+1)-FIND(".",B201)&lt;=3,F201&gt;=2000,F201&lt;=2100,YEAR(I201)=F201,MONTH(I201)=G201,DAY(I201)=H201),I201,0)),0)</ns0:f>
        <ns0:v>0</ns0:v>
      </ns0:c>
      <ns0:c r="K201" s="0">
        <ns0:f>IFERROR(IF(ISNUMBER(Bookings!D201),"",TRIM(Bookings!D201&amp;"")),"")</ns0:f>
      </ns0:c>
      <ns0:c r="L201" s="0">
        <ns0:f>IFERROR(SUBSTITUTE(SUBSTITUTE(K201,"/","."),"-","."),"")</ns0:f>
      </ns0:c>
      <ns0:c r="M201" s="0">
        <ns0:f>IFERROR(LEFT(L201,FIND(".",L201)-1),"")</ns0:f>
      </ns0:c>
      <ns0:c r="N201" s="0">
        <ns0:f>IFERROR(MID(L201,FIND(".",L201)+1,FIND(".",L201,FIND(".",L201)+1)-FIND(".",L201)-1),"")</ns0:f>
      </ns0:c>
      <ns0:c r="O201" s="0">
        <ns0:f>IFERROR(MID(L201,FIND(".",L201,FIND(".",L201)+1)+1,99),"")</ns0:f>
        <ns0:v>99</ns0:v>
      </ns0:c>
      <ns0:c r="P201" s="0">
        <ns0:f>IFERROR(IF(FIND(".",L201)=5,--M201,--O201),0)</ns0:f>
        <ns0:v>0</ns0:v>
      </ns0:c>
      <ns0:c r="Q201" s="0">
        <ns0:f>IFERROR(--N201,0)</ns0:f>
        <ns0:v>0</ns0:v>
      </ns0:c>
      <ns0:c r="R201" s="0">
        <ns0:f>IFERROR(IF(FIND(".",L201)=5,--O201,--M201),0)</ns0:f>
        <ns0:v>0</ns0:v>
      </ns0:c>
      <ns0:c r="S201" s="0">
        <ns0:f>IFERROR(IF(AND(P201&gt;=2000,P201&lt;=2100,Q201&gt;=1,Q201&lt;=12,R201&gt;=1,R201&lt;=31),DATE(P201,Q201,R201),0),0)</ns0:f>
        <ns0:v>0</ns0:v>
      </ns0:c>
      <ns0:c r="T201" s="0">
        <ns0:f>IFERROR(IF(ISNUMBER(Bookings!D201),IF(AND(Bookings!D201=INT(Bookings!D201),Bookings!D201&gt;=DATE(2000,1,1),Bookings!D201&lt;=DATE(2100,12,31)),Bookings!D201,0),IF(AND(K201&lt;&gt;"",LEN("x"&amp;L201)-LEN(SUBSTITUTE("x"&amp;L201,".",""))=2,OR(1&gt;LEN(L201),MID(L201,1,1)=".",ISNUMBER(FIND("x"&amp;MID(L201,1,1),"x0x1x2x3x4x5x6x7x8x9"))),OR(2&gt;LEN(L201),MID(L201,2,1)=".",ISNUMBER(FIND("x"&amp;MID(L201,2,1),"x0x1x2x3x4x5x6x7x8x9"))),OR(3&gt;LEN(L201),MID(L201,3,1)=".",ISNUMBER(FIND("x"&amp;MID(L201,3,1),"x0x1x2x3x4x5x6x7x8x9"))),OR(4&gt;LEN(L201),MID(L201,4,1)=".",ISNUMBER(FIND("x"&amp;MID(L201,4,1),"x0x1x2x3x4x5x6x7x8x9"))),OR(5&gt;LEN(L201),MID(L201,5,1)=".",ISNUMBER(FIND("x"&amp;MID(L201,5,1),"x0x1x2x3x4x5x6x7x8x9"))),OR(6&gt;LEN(L201),MID(L201,6,1)=".",ISNUMBER(FIND("x"&amp;MID(L201,6,1),"x0x1x2x3x4x5x6x7x8x9"))),OR(7&gt;LEN(L201),MID(L201,7,1)=".",ISNUMBER(FIND("x"&amp;MID(L201,7,1),"x0x1x2x3x4x5x6x7x8x9"))),OR(8&gt;LEN(L201),MID(L201,8,1)=".",ISNUMBER(FIND("x"&amp;MID(L201,8,1),"x0x1x2x3x4x5x6x7x8x9"))),OR(9&gt;LEN(L201),MID(L201,9,1)=".",ISNUMBER(FIND("x"&amp;MID(L201,9,1),"x0x1x2x3x4x5x6x7x8x9"))),OR(10&gt;LEN(L201),MID(L201,10,1)=".",ISNUMBER(FIND("x"&amp;MID(L201,10,1),"x0x1x2x3x4x5x6x7x8x9"))),OR(AND(FIND(".",L201)=5,LEN(L201)-FIND(".",L201,FIND(".",L201)+1)&gt;=1,LEN(L201)-FIND(".",L201,FIND(".",L201)+1)&lt;=2),AND(LEN(L201)-FIND(".",L201,FIND(".",L201)+1)=4,FIND(".",L201)&gt;=2,FIND(".",L201)&lt;=3)),FIND(".",L201,FIND(".",L201)+1)-FIND(".",L201)&gt;=2,FIND(".",L201,FIND(".",L201)+1)-FIND(".",L201)&lt;=3,P201&gt;=2000,P201&lt;=2100,YEAR(S201)=P201,MONTH(S201)=Q201,DAY(S201)=R201),S201,0)),0)</ns0:f>
        <ns0:v>0</ns0:v>
      </ns0:c>
      <ns0:c r="U201" s="0" t="str">
        <ns0:f>IF(Bookings!C201="","Full day",Bookings!C201)</ns0:f>
        <ns0:v>Full day</ns0:v>
      </ns0:c>
      <ns0:c r="V201" s="0" t="str">
        <ns0:f>IF(Bookings!E201="","Full day",Bookings!E201)</ns0:f>
        <ns0:v>Full day</ns0:v>
      </ns0:c>
      <ns0:c r="W201" s="0">
        <ns0:f>IF(J201=0,0,J201+IF(U201="PM",1,0))</ns0:f>
        <ns0:v>0</ns0:v>
      </ns0:c>
      <ns0:c r="X201" s="0">
        <ns0:f>IF(T201=0,0,T201-IF(V201="PM",1,0))</ns0:f>
        <ns0:v>0</ns0:v>
      </ns0:c>
      <ns0:c r="Y201" s="0">
        <ns0:f>IF(J201=0,0,J201+IF(U201="AM",1,0))</ns0:f>
        <ns0:v>0</ns0:v>
      </ns0:c>
      <ns0:c r="Z201" s="0">
        <ns0:f>IF(T201=0,0,T201-IF(V201="AM",1,0))</ns0:f>
        <ns0:v>0</ns0:v>
      </ns0:c>
      <ns0:c r="AA201" s="0">
        <ns0:f>IFERROR(IF(AND(J201&gt;0,'_Engine'!C201&gt;0,MID('_Engine'!W201,WEEKDAY(J201,2),1)="W",COUNTIF(Settings!$F$18:$F$67,J201)=0),1,0),0)</ns0:f>
        <ns0:v>0</ns0:v>
      </ns0:c>
      <ns0:c r="AB201" s="0">
        <ns0:f>IFERROR(IF(AND(T201&gt;0,'_Engine'!C201&gt;0,MID('_Engine'!W201,WEEKDAY(T201,2),1)="W",COUNTIF(Settings!$F$18:$F$67,T201)=0),1,0),0)</ns0:f>
        <ns0:v>0</ns0:v>
      </ns0:c>
      <ns0:c r="AC201" s="0">
        <ns0:f>IF(AND(J201&gt;0,T201&gt;0,W201&lt;=X201),1,0)</ns0:f>
        <ns0:v>0</ns0:v>
      </ns0:c>
      <ns0:c r="AD201" s="0">
        <ns0:f>IF(AND(J201&gt;0,T201&gt;0,Y201&lt;=Z201),1,0)</ns0:f>
        <ns0:v>0</ns0:v>
      </ns0:c>
    </ns0:row>
    <ns0:row r="202">
      <ns0:c r="A202" s="0">
        <ns0:f>IFERROR(IF(ISNUMBER(Bookings!B202),"",TRIM(Bookings!B202&amp;"")),"")</ns0:f>
      </ns0:c>
      <ns0:c r="B202" s="0">
        <ns0:f>IFERROR(SUBSTITUTE(SUBSTITUTE(A202,"/","."),"-","."),"")</ns0:f>
      </ns0:c>
      <ns0:c r="C202" s="0">
        <ns0:f>IFERROR(LEFT(B202,FIND(".",B202)-1),"")</ns0:f>
      </ns0:c>
      <ns0:c r="D202" s="0">
        <ns0:f>IFERROR(MID(B202,FIND(".",B202)+1,FIND(".",B202,FIND(".",B202)+1)-FIND(".",B202)-1),"")</ns0:f>
      </ns0:c>
      <ns0:c r="E202" s="0">
        <ns0:f>IFERROR(MID(B202,FIND(".",B202,FIND(".",B202)+1)+1,99),"")</ns0:f>
        <ns0:v>99</ns0:v>
      </ns0:c>
      <ns0:c r="F202" s="0">
        <ns0:f>IFERROR(IF(FIND(".",B202)=5,--C202,--E202),0)</ns0:f>
        <ns0:v>0</ns0:v>
      </ns0:c>
      <ns0:c r="G202" s="0">
        <ns0:f>IFERROR(--D202,0)</ns0:f>
        <ns0:v>0</ns0:v>
      </ns0:c>
      <ns0:c r="H202" s="0">
        <ns0:f>IFERROR(IF(FIND(".",B202)=5,--E202,--C202),0)</ns0:f>
        <ns0:v>0</ns0:v>
      </ns0:c>
      <ns0:c r="I202" s="0">
        <ns0:f>IFERROR(IF(AND(F202&gt;=2000,F202&lt;=2100,G202&gt;=1,G202&lt;=12,H202&gt;=1,H202&lt;=31),DATE(F202,G202,H202),0),0)</ns0:f>
        <ns0:v>0</ns0:v>
      </ns0:c>
      <ns0:c r="J202" s="0">
        <ns0:f>IFERROR(IF(ISNUMBER(Bookings!B202),IF(AND(Bookings!B202=INT(Bookings!B202),Bookings!B202&gt;=DATE(2000,1,1),Bookings!B202&lt;=DATE(2100,12,31)),Bookings!B202,0),IF(AND(A202&lt;&gt;"",LEN("x"&amp;B202)-LEN(SUBSTITUTE("x"&amp;B202,".",""))=2,OR(1&gt;LEN(B202),MID(B202,1,1)=".",ISNUMBER(FIND("x"&amp;MID(B202,1,1),"x0x1x2x3x4x5x6x7x8x9"))),OR(2&gt;LEN(B202),MID(B202,2,1)=".",ISNUMBER(FIND("x"&amp;MID(B202,2,1),"x0x1x2x3x4x5x6x7x8x9"))),OR(3&gt;LEN(B202),MID(B202,3,1)=".",ISNUMBER(FIND("x"&amp;MID(B202,3,1),"x0x1x2x3x4x5x6x7x8x9"))),OR(4&gt;LEN(B202),MID(B202,4,1)=".",ISNUMBER(FIND("x"&amp;MID(B202,4,1),"x0x1x2x3x4x5x6x7x8x9"))),OR(5&gt;LEN(B202),MID(B202,5,1)=".",ISNUMBER(FIND("x"&amp;MID(B202,5,1),"x0x1x2x3x4x5x6x7x8x9"))),OR(6&gt;LEN(B202),MID(B202,6,1)=".",ISNUMBER(FIND("x"&amp;MID(B202,6,1),"x0x1x2x3x4x5x6x7x8x9"))),OR(7&gt;LEN(B202),MID(B202,7,1)=".",ISNUMBER(FIND("x"&amp;MID(B202,7,1),"x0x1x2x3x4x5x6x7x8x9"))),OR(8&gt;LEN(B202),MID(B202,8,1)=".",ISNUMBER(FIND("x"&amp;MID(B202,8,1),"x0x1x2x3x4x5x6x7x8x9"))),OR(9&gt;LEN(B202),MID(B202,9,1)=".",ISNUMBER(FIND("x"&amp;MID(B202,9,1),"x0x1x2x3x4x5x6x7x8x9"))),OR(10&gt;LEN(B202),MID(B202,10,1)=".",ISNUMBER(FIND("x"&amp;MID(B202,10,1),"x0x1x2x3x4x5x6x7x8x9"))),OR(AND(FIND(".",B202)=5,LEN(B202)-FIND(".",B202,FIND(".",B202)+1)&gt;=1,LEN(B202)-FIND(".",B202,FIND(".",B202)+1)&lt;=2),AND(LEN(B202)-FIND(".",B202,FIND(".",B202)+1)=4,FIND(".",B202)&gt;=2,FIND(".",B202)&lt;=3)),FIND(".",B202,FIND(".",B202)+1)-FIND(".",B202)&gt;=2,FIND(".",B202,FIND(".",B202)+1)-FIND(".",B202)&lt;=3,F202&gt;=2000,F202&lt;=2100,YEAR(I202)=F202,MONTH(I202)=G202,DAY(I202)=H202),I202,0)),0)</ns0:f>
        <ns0:v>0</ns0:v>
      </ns0:c>
      <ns0:c r="K202" s="0">
        <ns0:f>IFERROR(IF(ISNUMBER(Bookings!D202),"",TRIM(Bookings!D202&amp;"")),"")</ns0:f>
      </ns0:c>
      <ns0:c r="L202" s="0">
        <ns0:f>IFERROR(SUBSTITUTE(SUBSTITUTE(K202,"/","."),"-","."),"")</ns0:f>
      </ns0:c>
      <ns0:c r="M202" s="0">
        <ns0:f>IFERROR(LEFT(L202,FIND(".",L202)-1),"")</ns0:f>
      </ns0:c>
      <ns0:c r="N202" s="0">
        <ns0:f>IFERROR(MID(L202,FIND(".",L202)+1,FIND(".",L202,FIND(".",L202)+1)-FIND(".",L202)-1),"")</ns0:f>
      </ns0:c>
      <ns0:c r="O202" s="0">
        <ns0:f>IFERROR(MID(L202,FIND(".",L202,FIND(".",L202)+1)+1,99),"")</ns0:f>
        <ns0:v>99</ns0:v>
      </ns0:c>
      <ns0:c r="P202" s="0">
        <ns0:f>IFERROR(IF(FIND(".",L202)=5,--M202,--O202),0)</ns0:f>
        <ns0:v>0</ns0:v>
      </ns0:c>
      <ns0:c r="Q202" s="0">
        <ns0:f>IFERROR(--N202,0)</ns0:f>
        <ns0:v>0</ns0:v>
      </ns0:c>
      <ns0:c r="R202" s="0">
        <ns0:f>IFERROR(IF(FIND(".",L202)=5,--O202,--M202),0)</ns0:f>
        <ns0:v>0</ns0:v>
      </ns0:c>
      <ns0:c r="S202" s="0">
        <ns0:f>IFERROR(IF(AND(P202&gt;=2000,P202&lt;=2100,Q202&gt;=1,Q202&lt;=12,R202&gt;=1,R202&lt;=31),DATE(P202,Q202,R202),0),0)</ns0:f>
        <ns0:v>0</ns0:v>
      </ns0:c>
      <ns0:c r="T202" s="0">
        <ns0:f>IFERROR(IF(ISNUMBER(Bookings!D202),IF(AND(Bookings!D202=INT(Bookings!D202),Bookings!D202&gt;=DATE(2000,1,1),Bookings!D202&lt;=DATE(2100,12,31)),Bookings!D202,0),IF(AND(K202&lt;&gt;"",LEN("x"&amp;L202)-LEN(SUBSTITUTE("x"&amp;L202,".",""))=2,OR(1&gt;LEN(L202),MID(L202,1,1)=".",ISNUMBER(FIND("x"&amp;MID(L202,1,1),"x0x1x2x3x4x5x6x7x8x9"))),OR(2&gt;LEN(L202),MID(L202,2,1)=".",ISNUMBER(FIND("x"&amp;MID(L202,2,1),"x0x1x2x3x4x5x6x7x8x9"))),OR(3&gt;LEN(L202),MID(L202,3,1)=".",ISNUMBER(FIND("x"&amp;MID(L202,3,1),"x0x1x2x3x4x5x6x7x8x9"))),OR(4&gt;LEN(L202),MID(L202,4,1)=".",ISNUMBER(FIND("x"&amp;MID(L202,4,1),"x0x1x2x3x4x5x6x7x8x9"))),OR(5&gt;LEN(L202),MID(L202,5,1)=".",ISNUMBER(FIND("x"&amp;MID(L202,5,1),"x0x1x2x3x4x5x6x7x8x9"))),OR(6&gt;LEN(L202),MID(L202,6,1)=".",ISNUMBER(FIND("x"&amp;MID(L202,6,1),"x0x1x2x3x4x5x6x7x8x9"))),OR(7&gt;LEN(L202),MID(L202,7,1)=".",ISNUMBER(FIND("x"&amp;MID(L202,7,1),"x0x1x2x3x4x5x6x7x8x9"))),OR(8&gt;LEN(L202),MID(L202,8,1)=".",ISNUMBER(FIND("x"&amp;MID(L202,8,1),"x0x1x2x3x4x5x6x7x8x9"))),OR(9&gt;LEN(L202),MID(L202,9,1)=".",ISNUMBER(FIND("x"&amp;MID(L202,9,1),"x0x1x2x3x4x5x6x7x8x9"))),OR(10&gt;LEN(L202),MID(L202,10,1)=".",ISNUMBER(FIND("x"&amp;MID(L202,10,1),"x0x1x2x3x4x5x6x7x8x9"))),OR(AND(FIND(".",L202)=5,LEN(L202)-FIND(".",L202,FIND(".",L202)+1)&gt;=1,LEN(L202)-FIND(".",L202,FIND(".",L202)+1)&lt;=2),AND(LEN(L202)-FIND(".",L202,FIND(".",L202)+1)=4,FIND(".",L202)&gt;=2,FIND(".",L202)&lt;=3)),FIND(".",L202,FIND(".",L202)+1)-FIND(".",L202)&gt;=2,FIND(".",L202,FIND(".",L202)+1)-FIND(".",L202)&lt;=3,P202&gt;=2000,P202&lt;=2100,YEAR(S202)=P202,MONTH(S202)=Q202,DAY(S202)=R202),S202,0)),0)</ns0:f>
        <ns0:v>0</ns0:v>
      </ns0:c>
      <ns0:c r="U202" s="0" t="str">
        <ns0:f>IF(Bookings!C202="","Full day",Bookings!C202)</ns0:f>
        <ns0:v>Full day</ns0:v>
      </ns0:c>
      <ns0:c r="V202" s="0" t="str">
        <ns0:f>IF(Bookings!E202="","Full day",Bookings!E202)</ns0:f>
        <ns0:v>Full day</ns0:v>
      </ns0:c>
      <ns0:c r="W202" s="0">
        <ns0:f>IF(J202=0,0,J202+IF(U202="PM",1,0))</ns0:f>
        <ns0:v>0</ns0:v>
      </ns0:c>
      <ns0:c r="X202" s="0">
        <ns0:f>IF(T202=0,0,T202-IF(V202="PM",1,0))</ns0:f>
        <ns0:v>0</ns0:v>
      </ns0:c>
      <ns0:c r="Y202" s="0">
        <ns0:f>IF(J202=0,0,J202+IF(U202="AM",1,0))</ns0:f>
        <ns0:v>0</ns0:v>
      </ns0:c>
      <ns0:c r="Z202" s="0">
        <ns0:f>IF(T202=0,0,T202-IF(V202="AM",1,0))</ns0:f>
        <ns0:v>0</ns0:v>
      </ns0:c>
      <ns0:c r="AA202" s="0">
        <ns0:f>IFERROR(IF(AND(J202&gt;0,'_Engine'!C202&gt;0,MID('_Engine'!W202,WEEKDAY(J202,2),1)="W",COUNTIF(Settings!$F$18:$F$67,J202)=0),1,0),0)</ns0:f>
        <ns0:v>0</ns0:v>
      </ns0:c>
      <ns0:c r="AB202" s="0">
        <ns0:f>IFERROR(IF(AND(T202&gt;0,'_Engine'!C202&gt;0,MID('_Engine'!W202,WEEKDAY(T202,2),1)="W",COUNTIF(Settings!$F$18:$F$67,T202)=0),1,0),0)</ns0:f>
        <ns0:v>0</ns0:v>
      </ns0:c>
      <ns0:c r="AC202" s="0">
        <ns0:f>IF(AND(J202&gt;0,T202&gt;0,W202&lt;=X202),1,0)</ns0:f>
        <ns0:v>0</ns0:v>
      </ns0:c>
      <ns0:c r="AD202" s="0">
        <ns0:f>IF(AND(J202&gt;0,T202&gt;0,Y202&lt;=Z202),1,0)</ns0:f>
        <ns0:v>0</ns0:v>
      </ns0:c>
    </ns0:row>
    <ns0:row r="203">
      <ns0:c r="A203" s="0">
        <ns0:f>IFERROR(IF(ISNUMBER(Bookings!B203),"",TRIM(Bookings!B203&amp;"")),"")</ns0:f>
      </ns0:c>
      <ns0:c r="B203" s="0">
        <ns0:f>IFERROR(SUBSTITUTE(SUBSTITUTE(A203,"/","."),"-","."),"")</ns0:f>
      </ns0:c>
      <ns0:c r="C203" s="0">
        <ns0:f>IFERROR(LEFT(B203,FIND(".",B203)-1),"")</ns0:f>
      </ns0:c>
      <ns0:c r="D203" s="0">
        <ns0:f>IFERROR(MID(B203,FIND(".",B203)+1,FIND(".",B203,FIND(".",B203)+1)-FIND(".",B203)-1),"")</ns0:f>
      </ns0:c>
      <ns0:c r="E203" s="0">
        <ns0:f>IFERROR(MID(B203,FIND(".",B203,FIND(".",B203)+1)+1,99),"")</ns0:f>
        <ns0:v>99</ns0:v>
      </ns0:c>
      <ns0:c r="F203" s="0">
        <ns0:f>IFERROR(IF(FIND(".",B203)=5,--C203,--E203),0)</ns0:f>
        <ns0:v>0</ns0:v>
      </ns0:c>
      <ns0:c r="G203" s="0">
        <ns0:f>IFERROR(--D203,0)</ns0:f>
        <ns0:v>0</ns0:v>
      </ns0:c>
      <ns0:c r="H203" s="0">
        <ns0:f>IFERROR(IF(FIND(".",B203)=5,--E203,--C203),0)</ns0:f>
        <ns0:v>0</ns0:v>
      </ns0:c>
      <ns0:c r="I203" s="0">
        <ns0:f>IFERROR(IF(AND(F203&gt;=2000,F203&lt;=2100,G203&gt;=1,G203&lt;=12,H203&gt;=1,H203&lt;=31),DATE(F203,G203,H203),0),0)</ns0:f>
        <ns0:v>0</ns0:v>
      </ns0:c>
      <ns0:c r="J203" s="0">
        <ns0:f>IFERROR(IF(ISNUMBER(Bookings!B203),IF(AND(Bookings!B203=INT(Bookings!B203),Bookings!B203&gt;=DATE(2000,1,1),Bookings!B203&lt;=DATE(2100,12,31)),Bookings!B203,0),IF(AND(A203&lt;&gt;"",LEN("x"&amp;B203)-LEN(SUBSTITUTE("x"&amp;B203,".",""))=2,OR(1&gt;LEN(B203),MID(B203,1,1)=".",ISNUMBER(FIND("x"&amp;MID(B203,1,1),"x0x1x2x3x4x5x6x7x8x9"))),OR(2&gt;LEN(B203),MID(B203,2,1)=".",ISNUMBER(FIND("x"&amp;MID(B203,2,1),"x0x1x2x3x4x5x6x7x8x9"))),OR(3&gt;LEN(B203),MID(B203,3,1)=".",ISNUMBER(FIND("x"&amp;MID(B203,3,1),"x0x1x2x3x4x5x6x7x8x9"))),OR(4&gt;LEN(B203),MID(B203,4,1)=".",ISNUMBER(FIND("x"&amp;MID(B203,4,1),"x0x1x2x3x4x5x6x7x8x9"))),OR(5&gt;LEN(B203),MID(B203,5,1)=".",ISNUMBER(FIND("x"&amp;MID(B203,5,1),"x0x1x2x3x4x5x6x7x8x9"))),OR(6&gt;LEN(B203),MID(B203,6,1)=".",ISNUMBER(FIND("x"&amp;MID(B203,6,1),"x0x1x2x3x4x5x6x7x8x9"))),OR(7&gt;LEN(B203),MID(B203,7,1)=".",ISNUMBER(FIND("x"&amp;MID(B203,7,1),"x0x1x2x3x4x5x6x7x8x9"))),OR(8&gt;LEN(B203),MID(B203,8,1)=".",ISNUMBER(FIND("x"&amp;MID(B203,8,1),"x0x1x2x3x4x5x6x7x8x9"))),OR(9&gt;LEN(B203),MID(B203,9,1)=".",ISNUMBER(FIND("x"&amp;MID(B203,9,1),"x0x1x2x3x4x5x6x7x8x9"))),OR(10&gt;LEN(B203),MID(B203,10,1)=".",ISNUMBER(FIND("x"&amp;MID(B203,10,1),"x0x1x2x3x4x5x6x7x8x9"))),OR(AND(FIND(".",B203)=5,LEN(B203)-FIND(".",B203,FIND(".",B203)+1)&gt;=1,LEN(B203)-FIND(".",B203,FIND(".",B203)+1)&lt;=2),AND(LEN(B203)-FIND(".",B203,FIND(".",B203)+1)=4,FIND(".",B203)&gt;=2,FIND(".",B203)&lt;=3)),FIND(".",B203,FIND(".",B203)+1)-FIND(".",B203)&gt;=2,FIND(".",B203,FIND(".",B203)+1)-FIND(".",B203)&lt;=3,F203&gt;=2000,F203&lt;=2100,YEAR(I203)=F203,MONTH(I203)=G203,DAY(I203)=H203),I203,0)),0)</ns0:f>
        <ns0:v>0</ns0:v>
      </ns0:c>
      <ns0:c r="K203" s="0">
        <ns0:f>IFERROR(IF(ISNUMBER(Bookings!D203),"",TRIM(Bookings!D203&amp;"")),"")</ns0:f>
      </ns0:c>
      <ns0:c r="L203" s="0">
        <ns0:f>IFERROR(SUBSTITUTE(SUBSTITUTE(K203,"/","."),"-","."),"")</ns0:f>
      </ns0:c>
      <ns0:c r="M203" s="0">
        <ns0:f>IFERROR(LEFT(L203,FIND(".",L203)-1),"")</ns0:f>
      </ns0:c>
      <ns0:c r="N203" s="0">
        <ns0:f>IFERROR(MID(L203,FIND(".",L203)+1,FIND(".",L203,FIND(".",L203)+1)-FIND(".",L203)-1),"")</ns0:f>
      </ns0:c>
      <ns0:c r="O203" s="0">
        <ns0:f>IFERROR(MID(L203,FIND(".",L203,FIND(".",L203)+1)+1,99),"")</ns0:f>
        <ns0:v>99</ns0:v>
      </ns0:c>
      <ns0:c r="P203" s="0">
        <ns0:f>IFERROR(IF(FIND(".",L203)=5,--M203,--O203),0)</ns0:f>
        <ns0:v>0</ns0:v>
      </ns0:c>
      <ns0:c r="Q203" s="0">
        <ns0:f>IFERROR(--N203,0)</ns0:f>
        <ns0:v>0</ns0:v>
      </ns0:c>
      <ns0:c r="R203" s="0">
        <ns0:f>IFERROR(IF(FIND(".",L203)=5,--O203,--M203),0)</ns0:f>
        <ns0:v>0</ns0:v>
      </ns0:c>
      <ns0:c r="S203" s="0">
        <ns0:f>IFERROR(IF(AND(P203&gt;=2000,P203&lt;=2100,Q203&gt;=1,Q203&lt;=12,R203&gt;=1,R203&lt;=31),DATE(P203,Q203,R203),0),0)</ns0:f>
        <ns0:v>0</ns0:v>
      </ns0:c>
      <ns0:c r="T203" s="0">
        <ns0:f>IFERROR(IF(ISNUMBER(Bookings!D203),IF(AND(Bookings!D203=INT(Bookings!D203),Bookings!D203&gt;=DATE(2000,1,1),Bookings!D203&lt;=DATE(2100,12,31)),Bookings!D203,0),IF(AND(K203&lt;&gt;"",LEN("x"&amp;L203)-LEN(SUBSTITUTE("x"&amp;L203,".",""))=2,OR(1&gt;LEN(L203),MID(L203,1,1)=".",ISNUMBER(FIND("x"&amp;MID(L203,1,1),"x0x1x2x3x4x5x6x7x8x9"))),OR(2&gt;LEN(L203),MID(L203,2,1)=".",ISNUMBER(FIND("x"&amp;MID(L203,2,1),"x0x1x2x3x4x5x6x7x8x9"))),OR(3&gt;LEN(L203),MID(L203,3,1)=".",ISNUMBER(FIND("x"&amp;MID(L203,3,1),"x0x1x2x3x4x5x6x7x8x9"))),OR(4&gt;LEN(L203),MID(L203,4,1)=".",ISNUMBER(FIND("x"&amp;MID(L203,4,1),"x0x1x2x3x4x5x6x7x8x9"))),OR(5&gt;LEN(L203),MID(L203,5,1)=".",ISNUMBER(FIND("x"&amp;MID(L203,5,1),"x0x1x2x3x4x5x6x7x8x9"))),OR(6&gt;LEN(L203),MID(L203,6,1)=".",ISNUMBER(FIND("x"&amp;MID(L203,6,1),"x0x1x2x3x4x5x6x7x8x9"))),OR(7&gt;LEN(L203),MID(L203,7,1)=".",ISNUMBER(FIND("x"&amp;MID(L203,7,1),"x0x1x2x3x4x5x6x7x8x9"))),OR(8&gt;LEN(L203),MID(L203,8,1)=".",ISNUMBER(FIND("x"&amp;MID(L203,8,1),"x0x1x2x3x4x5x6x7x8x9"))),OR(9&gt;LEN(L203),MID(L203,9,1)=".",ISNUMBER(FIND("x"&amp;MID(L203,9,1),"x0x1x2x3x4x5x6x7x8x9"))),OR(10&gt;LEN(L203),MID(L203,10,1)=".",ISNUMBER(FIND("x"&amp;MID(L203,10,1),"x0x1x2x3x4x5x6x7x8x9"))),OR(AND(FIND(".",L203)=5,LEN(L203)-FIND(".",L203,FIND(".",L203)+1)&gt;=1,LEN(L203)-FIND(".",L203,FIND(".",L203)+1)&lt;=2),AND(LEN(L203)-FIND(".",L203,FIND(".",L203)+1)=4,FIND(".",L203)&gt;=2,FIND(".",L203)&lt;=3)),FIND(".",L203,FIND(".",L203)+1)-FIND(".",L203)&gt;=2,FIND(".",L203,FIND(".",L203)+1)-FIND(".",L203)&lt;=3,P203&gt;=2000,P203&lt;=2100,YEAR(S203)=P203,MONTH(S203)=Q203,DAY(S203)=R203),S203,0)),0)</ns0:f>
        <ns0:v>0</ns0:v>
      </ns0:c>
      <ns0:c r="U203" s="0" t="str">
        <ns0:f>IF(Bookings!C203="","Full day",Bookings!C203)</ns0:f>
        <ns0:v>Full day</ns0:v>
      </ns0:c>
      <ns0:c r="V203" s="0" t="str">
        <ns0:f>IF(Bookings!E203="","Full day",Bookings!E203)</ns0:f>
        <ns0:v>Full day</ns0:v>
      </ns0:c>
      <ns0:c r="W203" s="0">
        <ns0:f>IF(J203=0,0,J203+IF(U203="PM",1,0))</ns0:f>
        <ns0:v>0</ns0:v>
      </ns0:c>
      <ns0:c r="X203" s="0">
        <ns0:f>IF(T203=0,0,T203-IF(V203="PM",1,0))</ns0:f>
        <ns0:v>0</ns0:v>
      </ns0:c>
      <ns0:c r="Y203" s="0">
        <ns0:f>IF(J203=0,0,J203+IF(U203="AM",1,0))</ns0:f>
        <ns0:v>0</ns0:v>
      </ns0:c>
      <ns0:c r="Z203" s="0">
        <ns0:f>IF(T203=0,0,T203-IF(V203="AM",1,0))</ns0:f>
        <ns0:v>0</ns0:v>
      </ns0:c>
      <ns0:c r="AA203" s="0">
        <ns0:f>IFERROR(IF(AND(J203&gt;0,'_Engine'!C203&gt;0,MID('_Engine'!W203,WEEKDAY(J203,2),1)="W",COUNTIF(Settings!$F$18:$F$67,J203)=0),1,0),0)</ns0:f>
        <ns0:v>0</ns0:v>
      </ns0:c>
      <ns0:c r="AB203" s="0">
        <ns0:f>IFERROR(IF(AND(T203&gt;0,'_Engine'!C203&gt;0,MID('_Engine'!W203,WEEKDAY(T203,2),1)="W",COUNTIF(Settings!$F$18:$F$67,T203)=0),1,0),0)</ns0:f>
        <ns0:v>0</ns0:v>
      </ns0:c>
      <ns0:c r="AC203" s="0">
        <ns0:f>IF(AND(J203&gt;0,T203&gt;0,W203&lt;=X203),1,0)</ns0:f>
        <ns0:v>0</ns0:v>
      </ns0:c>
      <ns0:c r="AD203" s="0">
        <ns0:f>IF(AND(J203&gt;0,T203&gt;0,Y203&lt;=Z203),1,0)</ns0:f>
        <ns0:v>0</ns0:v>
      </ns0:c>
    </ns0:row>
    <ns0:row r="204">
      <ns0:c r="A204" s="0">
        <ns0:f>IFERROR(IF(ISNUMBER(Bookings!B204),"",TRIM(Bookings!B204&amp;"")),"")</ns0:f>
      </ns0:c>
      <ns0:c r="B204" s="0">
        <ns0:f>IFERROR(SUBSTITUTE(SUBSTITUTE(A204,"/","."),"-","."),"")</ns0:f>
      </ns0:c>
      <ns0:c r="C204" s="0">
        <ns0:f>IFERROR(LEFT(B204,FIND(".",B204)-1),"")</ns0:f>
      </ns0:c>
      <ns0:c r="D204" s="0">
        <ns0:f>IFERROR(MID(B204,FIND(".",B204)+1,FIND(".",B204,FIND(".",B204)+1)-FIND(".",B204)-1),"")</ns0:f>
      </ns0:c>
      <ns0:c r="E204" s="0">
        <ns0:f>IFERROR(MID(B204,FIND(".",B204,FIND(".",B204)+1)+1,99),"")</ns0:f>
        <ns0:v>99</ns0:v>
      </ns0:c>
      <ns0:c r="F204" s="0">
        <ns0:f>IFERROR(IF(FIND(".",B204)=5,--C204,--E204),0)</ns0:f>
        <ns0:v>0</ns0:v>
      </ns0:c>
      <ns0:c r="G204" s="0">
        <ns0:f>IFERROR(--D204,0)</ns0:f>
        <ns0:v>0</ns0:v>
      </ns0:c>
      <ns0:c r="H204" s="0">
        <ns0:f>IFERROR(IF(FIND(".",B204)=5,--E204,--C204),0)</ns0:f>
        <ns0:v>0</ns0:v>
      </ns0:c>
      <ns0:c r="I204" s="0">
        <ns0:f>IFERROR(IF(AND(F204&gt;=2000,F204&lt;=2100,G204&gt;=1,G204&lt;=12,H204&gt;=1,H204&lt;=31),DATE(F204,G204,H204),0),0)</ns0:f>
        <ns0:v>0</ns0:v>
      </ns0:c>
      <ns0:c r="J204" s="0">
        <ns0:f>IFERROR(IF(ISNUMBER(Bookings!B204),IF(AND(Bookings!B204=INT(Bookings!B204),Bookings!B204&gt;=DATE(2000,1,1),Bookings!B204&lt;=DATE(2100,12,31)),Bookings!B204,0),IF(AND(A204&lt;&gt;"",LEN("x"&amp;B204)-LEN(SUBSTITUTE("x"&amp;B204,".",""))=2,OR(1&gt;LEN(B204),MID(B204,1,1)=".",ISNUMBER(FIND("x"&amp;MID(B204,1,1),"x0x1x2x3x4x5x6x7x8x9"))),OR(2&gt;LEN(B204),MID(B204,2,1)=".",ISNUMBER(FIND("x"&amp;MID(B204,2,1),"x0x1x2x3x4x5x6x7x8x9"))),OR(3&gt;LEN(B204),MID(B204,3,1)=".",ISNUMBER(FIND("x"&amp;MID(B204,3,1),"x0x1x2x3x4x5x6x7x8x9"))),OR(4&gt;LEN(B204),MID(B204,4,1)=".",ISNUMBER(FIND("x"&amp;MID(B204,4,1),"x0x1x2x3x4x5x6x7x8x9"))),OR(5&gt;LEN(B204),MID(B204,5,1)=".",ISNUMBER(FIND("x"&amp;MID(B204,5,1),"x0x1x2x3x4x5x6x7x8x9"))),OR(6&gt;LEN(B204),MID(B204,6,1)=".",ISNUMBER(FIND("x"&amp;MID(B204,6,1),"x0x1x2x3x4x5x6x7x8x9"))),OR(7&gt;LEN(B204),MID(B204,7,1)=".",ISNUMBER(FIND("x"&amp;MID(B204,7,1),"x0x1x2x3x4x5x6x7x8x9"))),OR(8&gt;LEN(B204),MID(B204,8,1)=".",ISNUMBER(FIND("x"&amp;MID(B204,8,1),"x0x1x2x3x4x5x6x7x8x9"))),OR(9&gt;LEN(B204),MID(B204,9,1)=".",ISNUMBER(FIND("x"&amp;MID(B204,9,1),"x0x1x2x3x4x5x6x7x8x9"))),OR(10&gt;LEN(B204),MID(B204,10,1)=".",ISNUMBER(FIND("x"&amp;MID(B204,10,1),"x0x1x2x3x4x5x6x7x8x9"))),OR(AND(FIND(".",B204)=5,LEN(B204)-FIND(".",B204,FIND(".",B204)+1)&gt;=1,LEN(B204)-FIND(".",B204,FIND(".",B204)+1)&lt;=2),AND(LEN(B204)-FIND(".",B204,FIND(".",B204)+1)=4,FIND(".",B204)&gt;=2,FIND(".",B204)&lt;=3)),FIND(".",B204,FIND(".",B204)+1)-FIND(".",B204)&gt;=2,FIND(".",B204,FIND(".",B204)+1)-FIND(".",B204)&lt;=3,F204&gt;=2000,F204&lt;=2100,YEAR(I204)=F204,MONTH(I204)=G204,DAY(I204)=H204),I204,0)),0)</ns0:f>
        <ns0:v>0</ns0:v>
      </ns0:c>
      <ns0:c r="K204" s="0">
        <ns0:f>IFERROR(IF(ISNUMBER(Bookings!D204),"",TRIM(Bookings!D204&amp;"")),"")</ns0:f>
      </ns0:c>
      <ns0:c r="L204" s="0">
        <ns0:f>IFERROR(SUBSTITUTE(SUBSTITUTE(K204,"/","."),"-","."),"")</ns0:f>
      </ns0:c>
      <ns0:c r="M204" s="0">
        <ns0:f>IFERROR(LEFT(L204,FIND(".",L204)-1),"")</ns0:f>
      </ns0:c>
      <ns0:c r="N204" s="0">
        <ns0:f>IFERROR(MID(L204,FIND(".",L204)+1,FIND(".",L204,FIND(".",L204)+1)-FIND(".",L204)-1),"")</ns0:f>
      </ns0:c>
      <ns0:c r="O204" s="0">
        <ns0:f>IFERROR(MID(L204,FIND(".",L204,FIND(".",L204)+1)+1,99),"")</ns0:f>
        <ns0:v>99</ns0:v>
      </ns0:c>
      <ns0:c r="P204" s="0">
        <ns0:f>IFERROR(IF(FIND(".",L204)=5,--M204,--O204),0)</ns0:f>
        <ns0:v>0</ns0:v>
      </ns0:c>
      <ns0:c r="Q204" s="0">
        <ns0:f>IFERROR(--N204,0)</ns0:f>
        <ns0:v>0</ns0:v>
      </ns0:c>
      <ns0:c r="R204" s="0">
        <ns0:f>IFERROR(IF(FIND(".",L204)=5,--O204,--M204),0)</ns0:f>
        <ns0:v>0</ns0:v>
      </ns0:c>
      <ns0:c r="S204" s="0">
        <ns0:f>IFERROR(IF(AND(P204&gt;=2000,P204&lt;=2100,Q204&gt;=1,Q204&lt;=12,R204&gt;=1,R204&lt;=31),DATE(P204,Q204,R204),0),0)</ns0:f>
        <ns0:v>0</ns0:v>
      </ns0:c>
      <ns0:c r="T204" s="0">
        <ns0:f>IFERROR(IF(ISNUMBER(Bookings!D204),IF(AND(Bookings!D204=INT(Bookings!D204),Bookings!D204&gt;=DATE(2000,1,1),Bookings!D204&lt;=DATE(2100,12,31)),Bookings!D204,0),IF(AND(K204&lt;&gt;"",LEN("x"&amp;L204)-LEN(SUBSTITUTE("x"&amp;L204,".",""))=2,OR(1&gt;LEN(L204),MID(L204,1,1)=".",ISNUMBER(FIND("x"&amp;MID(L204,1,1),"x0x1x2x3x4x5x6x7x8x9"))),OR(2&gt;LEN(L204),MID(L204,2,1)=".",ISNUMBER(FIND("x"&amp;MID(L204,2,1),"x0x1x2x3x4x5x6x7x8x9"))),OR(3&gt;LEN(L204),MID(L204,3,1)=".",ISNUMBER(FIND("x"&amp;MID(L204,3,1),"x0x1x2x3x4x5x6x7x8x9"))),OR(4&gt;LEN(L204),MID(L204,4,1)=".",ISNUMBER(FIND("x"&amp;MID(L204,4,1),"x0x1x2x3x4x5x6x7x8x9"))),OR(5&gt;LEN(L204),MID(L204,5,1)=".",ISNUMBER(FIND("x"&amp;MID(L204,5,1),"x0x1x2x3x4x5x6x7x8x9"))),OR(6&gt;LEN(L204),MID(L204,6,1)=".",ISNUMBER(FIND("x"&amp;MID(L204,6,1),"x0x1x2x3x4x5x6x7x8x9"))),OR(7&gt;LEN(L204),MID(L204,7,1)=".",ISNUMBER(FIND("x"&amp;MID(L204,7,1),"x0x1x2x3x4x5x6x7x8x9"))),OR(8&gt;LEN(L204),MID(L204,8,1)=".",ISNUMBER(FIND("x"&amp;MID(L204,8,1),"x0x1x2x3x4x5x6x7x8x9"))),OR(9&gt;LEN(L204),MID(L204,9,1)=".",ISNUMBER(FIND("x"&amp;MID(L204,9,1),"x0x1x2x3x4x5x6x7x8x9"))),OR(10&gt;LEN(L204),MID(L204,10,1)=".",ISNUMBER(FIND("x"&amp;MID(L204,10,1),"x0x1x2x3x4x5x6x7x8x9"))),OR(AND(FIND(".",L204)=5,LEN(L204)-FIND(".",L204,FIND(".",L204)+1)&gt;=1,LEN(L204)-FIND(".",L204,FIND(".",L204)+1)&lt;=2),AND(LEN(L204)-FIND(".",L204,FIND(".",L204)+1)=4,FIND(".",L204)&gt;=2,FIND(".",L204)&lt;=3)),FIND(".",L204,FIND(".",L204)+1)-FIND(".",L204)&gt;=2,FIND(".",L204,FIND(".",L204)+1)-FIND(".",L204)&lt;=3,P204&gt;=2000,P204&lt;=2100,YEAR(S204)=P204,MONTH(S204)=Q204,DAY(S204)=R204),S204,0)),0)</ns0:f>
        <ns0:v>0</ns0:v>
      </ns0:c>
      <ns0:c r="U204" s="0" t="str">
        <ns0:f>IF(Bookings!C204="","Full day",Bookings!C204)</ns0:f>
        <ns0:v>Full day</ns0:v>
      </ns0:c>
      <ns0:c r="V204" s="0" t="str">
        <ns0:f>IF(Bookings!E204="","Full day",Bookings!E204)</ns0:f>
        <ns0:v>Full day</ns0:v>
      </ns0:c>
      <ns0:c r="W204" s="0">
        <ns0:f>IF(J204=0,0,J204+IF(U204="PM",1,0))</ns0:f>
        <ns0:v>0</ns0:v>
      </ns0:c>
      <ns0:c r="X204" s="0">
        <ns0:f>IF(T204=0,0,T204-IF(V204="PM",1,0))</ns0:f>
        <ns0:v>0</ns0:v>
      </ns0:c>
      <ns0:c r="Y204" s="0">
        <ns0:f>IF(J204=0,0,J204+IF(U204="AM",1,0))</ns0:f>
        <ns0:v>0</ns0:v>
      </ns0:c>
      <ns0:c r="Z204" s="0">
        <ns0:f>IF(T204=0,0,T204-IF(V204="AM",1,0))</ns0:f>
        <ns0:v>0</ns0:v>
      </ns0:c>
      <ns0:c r="AA204" s="0">
        <ns0:f>IFERROR(IF(AND(J204&gt;0,'_Engine'!C204&gt;0,MID('_Engine'!W204,WEEKDAY(J204,2),1)="W",COUNTIF(Settings!$F$18:$F$67,J204)=0),1,0),0)</ns0:f>
        <ns0:v>0</ns0:v>
      </ns0:c>
      <ns0:c r="AB204" s="0">
        <ns0:f>IFERROR(IF(AND(T204&gt;0,'_Engine'!C204&gt;0,MID('_Engine'!W204,WEEKDAY(T204,2),1)="W",COUNTIF(Settings!$F$18:$F$67,T204)=0),1,0),0)</ns0:f>
        <ns0:v>0</ns0:v>
      </ns0:c>
      <ns0:c r="AC204" s="0">
        <ns0:f>IF(AND(J204&gt;0,T204&gt;0,W204&lt;=X204),1,0)</ns0:f>
        <ns0:v>0</ns0:v>
      </ns0:c>
      <ns0:c r="AD204" s="0">
        <ns0:f>IF(AND(J204&gt;0,T204&gt;0,Y204&lt;=Z204),1,0)</ns0:f>
        <ns0:v>0</ns0:v>
      </ns0:c>
    </ns0:row>
    <ns0:row r="205">
      <ns0:c r="A205" s="0">
        <ns0:f>IFERROR(IF(ISNUMBER(Bookings!B205),"",TRIM(Bookings!B205&amp;"")),"")</ns0:f>
      </ns0:c>
      <ns0:c r="B205" s="0">
        <ns0:f>IFERROR(SUBSTITUTE(SUBSTITUTE(A205,"/","."),"-","."),"")</ns0:f>
      </ns0:c>
      <ns0:c r="C205" s="0">
        <ns0:f>IFERROR(LEFT(B205,FIND(".",B205)-1),"")</ns0:f>
      </ns0:c>
      <ns0:c r="D205" s="0">
        <ns0:f>IFERROR(MID(B205,FIND(".",B205)+1,FIND(".",B205,FIND(".",B205)+1)-FIND(".",B205)-1),"")</ns0:f>
      </ns0:c>
      <ns0:c r="E205" s="0">
        <ns0:f>IFERROR(MID(B205,FIND(".",B205,FIND(".",B205)+1)+1,99),"")</ns0:f>
        <ns0:v>99</ns0:v>
      </ns0:c>
      <ns0:c r="F205" s="0">
        <ns0:f>IFERROR(IF(FIND(".",B205)=5,--C205,--E205),0)</ns0:f>
        <ns0:v>0</ns0:v>
      </ns0:c>
      <ns0:c r="G205" s="0">
        <ns0:f>IFERROR(--D205,0)</ns0:f>
        <ns0:v>0</ns0:v>
      </ns0:c>
      <ns0:c r="H205" s="0">
        <ns0:f>IFERROR(IF(FIND(".",B205)=5,--E205,--C205),0)</ns0:f>
        <ns0:v>0</ns0:v>
      </ns0:c>
      <ns0:c r="I205" s="0">
        <ns0:f>IFERROR(IF(AND(F205&gt;=2000,F205&lt;=2100,G205&gt;=1,G205&lt;=12,H205&gt;=1,H205&lt;=31),DATE(F205,G205,H205),0),0)</ns0:f>
        <ns0:v>0</ns0:v>
      </ns0:c>
      <ns0:c r="J205" s="0">
        <ns0:f>IFERROR(IF(ISNUMBER(Bookings!B205),IF(AND(Bookings!B205=INT(Bookings!B205),Bookings!B205&gt;=DATE(2000,1,1),Bookings!B205&lt;=DATE(2100,12,31)),Bookings!B205,0),IF(AND(A205&lt;&gt;"",LEN("x"&amp;B205)-LEN(SUBSTITUTE("x"&amp;B205,".",""))=2,OR(1&gt;LEN(B205),MID(B205,1,1)=".",ISNUMBER(FIND("x"&amp;MID(B205,1,1),"x0x1x2x3x4x5x6x7x8x9"))),OR(2&gt;LEN(B205),MID(B205,2,1)=".",ISNUMBER(FIND("x"&amp;MID(B205,2,1),"x0x1x2x3x4x5x6x7x8x9"))),OR(3&gt;LEN(B205),MID(B205,3,1)=".",ISNUMBER(FIND("x"&amp;MID(B205,3,1),"x0x1x2x3x4x5x6x7x8x9"))),OR(4&gt;LEN(B205),MID(B205,4,1)=".",ISNUMBER(FIND("x"&amp;MID(B205,4,1),"x0x1x2x3x4x5x6x7x8x9"))),OR(5&gt;LEN(B205),MID(B205,5,1)=".",ISNUMBER(FIND("x"&amp;MID(B205,5,1),"x0x1x2x3x4x5x6x7x8x9"))),OR(6&gt;LEN(B205),MID(B205,6,1)=".",ISNUMBER(FIND("x"&amp;MID(B205,6,1),"x0x1x2x3x4x5x6x7x8x9"))),OR(7&gt;LEN(B205),MID(B205,7,1)=".",ISNUMBER(FIND("x"&amp;MID(B205,7,1),"x0x1x2x3x4x5x6x7x8x9"))),OR(8&gt;LEN(B205),MID(B205,8,1)=".",ISNUMBER(FIND("x"&amp;MID(B205,8,1),"x0x1x2x3x4x5x6x7x8x9"))),OR(9&gt;LEN(B205),MID(B205,9,1)=".",ISNUMBER(FIND("x"&amp;MID(B205,9,1),"x0x1x2x3x4x5x6x7x8x9"))),OR(10&gt;LEN(B205),MID(B205,10,1)=".",ISNUMBER(FIND("x"&amp;MID(B205,10,1),"x0x1x2x3x4x5x6x7x8x9"))),OR(AND(FIND(".",B205)=5,LEN(B205)-FIND(".",B205,FIND(".",B205)+1)&gt;=1,LEN(B205)-FIND(".",B205,FIND(".",B205)+1)&lt;=2),AND(LEN(B205)-FIND(".",B205,FIND(".",B205)+1)=4,FIND(".",B205)&gt;=2,FIND(".",B205)&lt;=3)),FIND(".",B205,FIND(".",B205)+1)-FIND(".",B205)&gt;=2,FIND(".",B205,FIND(".",B205)+1)-FIND(".",B205)&lt;=3,F205&gt;=2000,F205&lt;=2100,YEAR(I205)=F205,MONTH(I205)=G205,DAY(I205)=H205),I205,0)),0)</ns0:f>
        <ns0:v>0</ns0:v>
      </ns0:c>
      <ns0:c r="K205" s="0">
        <ns0:f>IFERROR(IF(ISNUMBER(Bookings!D205),"",TRIM(Bookings!D205&amp;"")),"")</ns0:f>
      </ns0:c>
      <ns0:c r="L205" s="0">
        <ns0:f>IFERROR(SUBSTITUTE(SUBSTITUTE(K205,"/","."),"-","."),"")</ns0:f>
      </ns0:c>
      <ns0:c r="M205" s="0">
        <ns0:f>IFERROR(LEFT(L205,FIND(".",L205)-1),"")</ns0:f>
      </ns0:c>
      <ns0:c r="N205" s="0">
        <ns0:f>IFERROR(MID(L205,FIND(".",L205)+1,FIND(".",L205,FIND(".",L205)+1)-FIND(".",L205)-1),"")</ns0:f>
      </ns0:c>
      <ns0:c r="O205" s="0">
        <ns0:f>IFERROR(MID(L205,FIND(".",L205,FIND(".",L205)+1)+1,99),"")</ns0:f>
        <ns0:v>99</ns0:v>
      </ns0:c>
      <ns0:c r="P205" s="0">
        <ns0:f>IFERROR(IF(FIND(".",L205)=5,--M205,--O205),0)</ns0:f>
        <ns0:v>0</ns0:v>
      </ns0:c>
      <ns0:c r="Q205" s="0">
        <ns0:f>IFERROR(--N205,0)</ns0:f>
        <ns0:v>0</ns0:v>
      </ns0:c>
      <ns0:c r="R205" s="0">
        <ns0:f>IFERROR(IF(FIND(".",L205)=5,--O205,--M205),0)</ns0:f>
        <ns0:v>0</ns0:v>
      </ns0:c>
      <ns0:c r="S205" s="0">
        <ns0:f>IFERROR(IF(AND(P205&gt;=2000,P205&lt;=2100,Q205&gt;=1,Q205&lt;=12,R205&gt;=1,R205&lt;=31),DATE(P205,Q205,R205),0),0)</ns0:f>
        <ns0:v>0</ns0:v>
      </ns0:c>
      <ns0:c r="T205" s="0">
        <ns0:f>IFERROR(IF(ISNUMBER(Bookings!D205),IF(AND(Bookings!D205=INT(Bookings!D205),Bookings!D205&gt;=DATE(2000,1,1),Bookings!D205&lt;=DATE(2100,12,31)),Bookings!D205,0),IF(AND(K205&lt;&gt;"",LEN("x"&amp;L205)-LEN(SUBSTITUTE("x"&amp;L205,".",""))=2,OR(1&gt;LEN(L205),MID(L205,1,1)=".",ISNUMBER(FIND("x"&amp;MID(L205,1,1),"x0x1x2x3x4x5x6x7x8x9"))),OR(2&gt;LEN(L205),MID(L205,2,1)=".",ISNUMBER(FIND("x"&amp;MID(L205,2,1),"x0x1x2x3x4x5x6x7x8x9"))),OR(3&gt;LEN(L205),MID(L205,3,1)=".",ISNUMBER(FIND("x"&amp;MID(L205,3,1),"x0x1x2x3x4x5x6x7x8x9"))),OR(4&gt;LEN(L205),MID(L205,4,1)=".",ISNUMBER(FIND("x"&amp;MID(L205,4,1),"x0x1x2x3x4x5x6x7x8x9"))),OR(5&gt;LEN(L205),MID(L205,5,1)=".",ISNUMBER(FIND("x"&amp;MID(L205,5,1),"x0x1x2x3x4x5x6x7x8x9"))),OR(6&gt;LEN(L205),MID(L205,6,1)=".",ISNUMBER(FIND("x"&amp;MID(L205,6,1),"x0x1x2x3x4x5x6x7x8x9"))),OR(7&gt;LEN(L205),MID(L205,7,1)=".",ISNUMBER(FIND("x"&amp;MID(L205,7,1),"x0x1x2x3x4x5x6x7x8x9"))),OR(8&gt;LEN(L205),MID(L205,8,1)=".",ISNUMBER(FIND("x"&amp;MID(L205,8,1),"x0x1x2x3x4x5x6x7x8x9"))),OR(9&gt;LEN(L205),MID(L205,9,1)=".",ISNUMBER(FIND("x"&amp;MID(L205,9,1),"x0x1x2x3x4x5x6x7x8x9"))),OR(10&gt;LEN(L205),MID(L205,10,1)=".",ISNUMBER(FIND("x"&amp;MID(L205,10,1),"x0x1x2x3x4x5x6x7x8x9"))),OR(AND(FIND(".",L205)=5,LEN(L205)-FIND(".",L205,FIND(".",L205)+1)&gt;=1,LEN(L205)-FIND(".",L205,FIND(".",L205)+1)&lt;=2),AND(LEN(L205)-FIND(".",L205,FIND(".",L205)+1)=4,FIND(".",L205)&gt;=2,FIND(".",L205)&lt;=3)),FIND(".",L205,FIND(".",L205)+1)-FIND(".",L205)&gt;=2,FIND(".",L205,FIND(".",L205)+1)-FIND(".",L205)&lt;=3,P205&gt;=2000,P205&lt;=2100,YEAR(S205)=P205,MONTH(S205)=Q205,DAY(S205)=R205),S205,0)),0)</ns0:f>
        <ns0:v>0</ns0:v>
      </ns0:c>
      <ns0:c r="U205" s="0" t="str">
        <ns0:f>IF(Bookings!C205="","Full day",Bookings!C205)</ns0:f>
        <ns0:v>Full day</ns0:v>
      </ns0:c>
      <ns0:c r="V205" s="0" t="str">
        <ns0:f>IF(Bookings!E205="","Full day",Bookings!E205)</ns0:f>
        <ns0:v>Full day</ns0:v>
      </ns0:c>
      <ns0:c r="W205" s="0">
        <ns0:f>IF(J205=0,0,J205+IF(U205="PM",1,0))</ns0:f>
        <ns0:v>0</ns0:v>
      </ns0:c>
      <ns0:c r="X205" s="0">
        <ns0:f>IF(T205=0,0,T205-IF(V205="PM",1,0))</ns0:f>
        <ns0:v>0</ns0:v>
      </ns0:c>
      <ns0:c r="Y205" s="0">
        <ns0:f>IF(J205=0,0,J205+IF(U205="AM",1,0))</ns0:f>
        <ns0:v>0</ns0:v>
      </ns0:c>
      <ns0:c r="Z205" s="0">
        <ns0:f>IF(T205=0,0,T205-IF(V205="AM",1,0))</ns0:f>
        <ns0:v>0</ns0:v>
      </ns0:c>
      <ns0:c r="AA205" s="0">
        <ns0:f>IFERROR(IF(AND(J205&gt;0,'_Engine'!C205&gt;0,MID('_Engine'!W205,WEEKDAY(J205,2),1)="W",COUNTIF(Settings!$F$18:$F$67,J205)=0),1,0),0)</ns0:f>
        <ns0:v>0</ns0:v>
      </ns0:c>
      <ns0:c r="AB205" s="0">
        <ns0:f>IFERROR(IF(AND(T205&gt;0,'_Engine'!C205&gt;0,MID('_Engine'!W205,WEEKDAY(T205,2),1)="W",COUNTIF(Settings!$F$18:$F$67,T205)=0),1,0),0)</ns0:f>
        <ns0:v>0</ns0:v>
      </ns0:c>
      <ns0:c r="AC205" s="0">
        <ns0:f>IF(AND(J205&gt;0,T205&gt;0,W205&lt;=X205),1,0)</ns0:f>
        <ns0:v>0</ns0:v>
      </ns0:c>
      <ns0:c r="AD205" s="0">
        <ns0:f>IF(AND(J205&gt;0,T205&gt;0,Y205&lt;=Z205),1,0)</ns0:f>
        <ns0:v>0</ns0:v>
      </ns0:c>
    </ns0:row>
    <ns0:row r="206">
      <ns0:c r="A206" s="0">
        <ns0:f>IFERROR(IF(ISNUMBER(Bookings!B206),"",TRIM(Bookings!B206&amp;"")),"")</ns0:f>
      </ns0:c>
      <ns0:c r="B206" s="0">
        <ns0:f>IFERROR(SUBSTITUTE(SUBSTITUTE(A206,"/","."),"-","."),"")</ns0:f>
      </ns0:c>
      <ns0:c r="C206" s="0">
        <ns0:f>IFERROR(LEFT(B206,FIND(".",B206)-1),"")</ns0:f>
      </ns0:c>
      <ns0:c r="D206" s="0">
        <ns0:f>IFERROR(MID(B206,FIND(".",B206)+1,FIND(".",B206,FIND(".",B206)+1)-FIND(".",B206)-1),"")</ns0:f>
      </ns0:c>
      <ns0:c r="E206" s="0">
        <ns0:f>IFERROR(MID(B206,FIND(".",B206,FIND(".",B206)+1)+1,99),"")</ns0:f>
        <ns0:v>99</ns0:v>
      </ns0:c>
      <ns0:c r="F206" s="0">
        <ns0:f>IFERROR(IF(FIND(".",B206)=5,--C206,--E206),0)</ns0:f>
        <ns0:v>0</ns0:v>
      </ns0:c>
      <ns0:c r="G206" s="0">
        <ns0:f>IFERROR(--D206,0)</ns0:f>
        <ns0:v>0</ns0:v>
      </ns0:c>
      <ns0:c r="H206" s="0">
        <ns0:f>IFERROR(IF(FIND(".",B206)=5,--E206,--C206),0)</ns0:f>
        <ns0:v>0</ns0:v>
      </ns0:c>
      <ns0:c r="I206" s="0">
        <ns0:f>IFERROR(IF(AND(F206&gt;=2000,F206&lt;=2100,G206&gt;=1,G206&lt;=12,H206&gt;=1,H206&lt;=31),DATE(F206,G206,H206),0),0)</ns0:f>
        <ns0:v>0</ns0:v>
      </ns0:c>
      <ns0:c r="J206" s="0">
        <ns0:f>IFERROR(IF(ISNUMBER(Bookings!B206),IF(AND(Bookings!B206=INT(Bookings!B206),Bookings!B206&gt;=DATE(2000,1,1),Bookings!B206&lt;=DATE(2100,12,31)),Bookings!B206,0),IF(AND(A206&lt;&gt;"",LEN("x"&amp;B206)-LEN(SUBSTITUTE("x"&amp;B206,".",""))=2,OR(1&gt;LEN(B206),MID(B206,1,1)=".",ISNUMBER(FIND("x"&amp;MID(B206,1,1),"x0x1x2x3x4x5x6x7x8x9"))),OR(2&gt;LEN(B206),MID(B206,2,1)=".",ISNUMBER(FIND("x"&amp;MID(B206,2,1),"x0x1x2x3x4x5x6x7x8x9"))),OR(3&gt;LEN(B206),MID(B206,3,1)=".",ISNUMBER(FIND("x"&amp;MID(B206,3,1),"x0x1x2x3x4x5x6x7x8x9"))),OR(4&gt;LEN(B206),MID(B206,4,1)=".",ISNUMBER(FIND("x"&amp;MID(B206,4,1),"x0x1x2x3x4x5x6x7x8x9"))),OR(5&gt;LEN(B206),MID(B206,5,1)=".",ISNUMBER(FIND("x"&amp;MID(B206,5,1),"x0x1x2x3x4x5x6x7x8x9"))),OR(6&gt;LEN(B206),MID(B206,6,1)=".",ISNUMBER(FIND("x"&amp;MID(B206,6,1),"x0x1x2x3x4x5x6x7x8x9"))),OR(7&gt;LEN(B206),MID(B206,7,1)=".",ISNUMBER(FIND("x"&amp;MID(B206,7,1),"x0x1x2x3x4x5x6x7x8x9"))),OR(8&gt;LEN(B206),MID(B206,8,1)=".",ISNUMBER(FIND("x"&amp;MID(B206,8,1),"x0x1x2x3x4x5x6x7x8x9"))),OR(9&gt;LEN(B206),MID(B206,9,1)=".",ISNUMBER(FIND("x"&amp;MID(B206,9,1),"x0x1x2x3x4x5x6x7x8x9"))),OR(10&gt;LEN(B206),MID(B206,10,1)=".",ISNUMBER(FIND("x"&amp;MID(B206,10,1),"x0x1x2x3x4x5x6x7x8x9"))),OR(AND(FIND(".",B206)=5,LEN(B206)-FIND(".",B206,FIND(".",B206)+1)&gt;=1,LEN(B206)-FIND(".",B206,FIND(".",B206)+1)&lt;=2),AND(LEN(B206)-FIND(".",B206,FIND(".",B206)+1)=4,FIND(".",B206)&gt;=2,FIND(".",B206)&lt;=3)),FIND(".",B206,FIND(".",B206)+1)-FIND(".",B206)&gt;=2,FIND(".",B206,FIND(".",B206)+1)-FIND(".",B206)&lt;=3,F206&gt;=2000,F206&lt;=2100,YEAR(I206)=F206,MONTH(I206)=G206,DAY(I206)=H206),I206,0)),0)</ns0:f>
        <ns0:v>0</ns0:v>
      </ns0:c>
      <ns0:c r="K206" s="0">
        <ns0:f>IFERROR(IF(ISNUMBER(Bookings!D206),"",TRIM(Bookings!D206&amp;"")),"")</ns0:f>
      </ns0:c>
      <ns0:c r="L206" s="0">
        <ns0:f>IFERROR(SUBSTITUTE(SUBSTITUTE(K206,"/","."),"-","."),"")</ns0:f>
      </ns0:c>
      <ns0:c r="M206" s="0">
        <ns0:f>IFERROR(LEFT(L206,FIND(".",L206)-1),"")</ns0:f>
      </ns0:c>
      <ns0:c r="N206" s="0">
        <ns0:f>IFERROR(MID(L206,FIND(".",L206)+1,FIND(".",L206,FIND(".",L206)+1)-FIND(".",L206)-1),"")</ns0:f>
      </ns0:c>
      <ns0:c r="O206" s="0">
        <ns0:f>IFERROR(MID(L206,FIND(".",L206,FIND(".",L206)+1)+1,99),"")</ns0:f>
        <ns0:v>99</ns0:v>
      </ns0:c>
      <ns0:c r="P206" s="0">
        <ns0:f>IFERROR(IF(FIND(".",L206)=5,--M206,--O206),0)</ns0:f>
        <ns0:v>0</ns0:v>
      </ns0:c>
      <ns0:c r="Q206" s="0">
        <ns0:f>IFERROR(--N206,0)</ns0:f>
        <ns0:v>0</ns0:v>
      </ns0:c>
      <ns0:c r="R206" s="0">
        <ns0:f>IFERROR(IF(FIND(".",L206)=5,--O206,--M206),0)</ns0:f>
        <ns0:v>0</ns0:v>
      </ns0:c>
      <ns0:c r="S206" s="0">
        <ns0:f>IFERROR(IF(AND(P206&gt;=2000,P206&lt;=2100,Q206&gt;=1,Q206&lt;=12,R206&gt;=1,R206&lt;=31),DATE(P206,Q206,R206),0),0)</ns0:f>
        <ns0:v>0</ns0:v>
      </ns0:c>
      <ns0:c r="T206" s="0">
        <ns0:f>IFERROR(IF(ISNUMBER(Bookings!D206),IF(AND(Bookings!D206=INT(Bookings!D206),Bookings!D206&gt;=DATE(2000,1,1),Bookings!D206&lt;=DATE(2100,12,31)),Bookings!D206,0),IF(AND(K206&lt;&gt;"",LEN("x"&amp;L206)-LEN(SUBSTITUTE("x"&amp;L206,".",""))=2,OR(1&gt;LEN(L206),MID(L206,1,1)=".",ISNUMBER(FIND("x"&amp;MID(L206,1,1),"x0x1x2x3x4x5x6x7x8x9"))),OR(2&gt;LEN(L206),MID(L206,2,1)=".",ISNUMBER(FIND("x"&amp;MID(L206,2,1),"x0x1x2x3x4x5x6x7x8x9"))),OR(3&gt;LEN(L206),MID(L206,3,1)=".",ISNUMBER(FIND("x"&amp;MID(L206,3,1),"x0x1x2x3x4x5x6x7x8x9"))),OR(4&gt;LEN(L206),MID(L206,4,1)=".",ISNUMBER(FIND("x"&amp;MID(L206,4,1),"x0x1x2x3x4x5x6x7x8x9"))),OR(5&gt;LEN(L206),MID(L206,5,1)=".",ISNUMBER(FIND("x"&amp;MID(L206,5,1),"x0x1x2x3x4x5x6x7x8x9"))),OR(6&gt;LEN(L206),MID(L206,6,1)=".",ISNUMBER(FIND("x"&amp;MID(L206,6,1),"x0x1x2x3x4x5x6x7x8x9"))),OR(7&gt;LEN(L206),MID(L206,7,1)=".",ISNUMBER(FIND("x"&amp;MID(L206,7,1),"x0x1x2x3x4x5x6x7x8x9"))),OR(8&gt;LEN(L206),MID(L206,8,1)=".",ISNUMBER(FIND("x"&amp;MID(L206,8,1),"x0x1x2x3x4x5x6x7x8x9"))),OR(9&gt;LEN(L206),MID(L206,9,1)=".",ISNUMBER(FIND("x"&amp;MID(L206,9,1),"x0x1x2x3x4x5x6x7x8x9"))),OR(10&gt;LEN(L206),MID(L206,10,1)=".",ISNUMBER(FIND("x"&amp;MID(L206,10,1),"x0x1x2x3x4x5x6x7x8x9"))),OR(AND(FIND(".",L206)=5,LEN(L206)-FIND(".",L206,FIND(".",L206)+1)&gt;=1,LEN(L206)-FIND(".",L206,FIND(".",L206)+1)&lt;=2),AND(LEN(L206)-FIND(".",L206,FIND(".",L206)+1)=4,FIND(".",L206)&gt;=2,FIND(".",L206)&lt;=3)),FIND(".",L206,FIND(".",L206)+1)-FIND(".",L206)&gt;=2,FIND(".",L206,FIND(".",L206)+1)-FIND(".",L206)&lt;=3,P206&gt;=2000,P206&lt;=2100,YEAR(S206)=P206,MONTH(S206)=Q206,DAY(S206)=R206),S206,0)),0)</ns0:f>
        <ns0:v>0</ns0:v>
      </ns0:c>
      <ns0:c r="U206" s="0" t="str">
        <ns0:f>IF(Bookings!C206="","Full day",Bookings!C206)</ns0:f>
        <ns0:v>Full day</ns0:v>
      </ns0:c>
      <ns0:c r="V206" s="0" t="str">
        <ns0:f>IF(Bookings!E206="","Full day",Bookings!E206)</ns0:f>
        <ns0:v>Full day</ns0:v>
      </ns0:c>
      <ns0:c r="W206" s="0">
        <ns0:f>IF(J206=0,0,J206+IF(U206="PM",1,0))</ns0:f>
        <ns0:v>0</ns0:v>
      </ns0:c>
      <ns0:c r="X206" s="0">
        <ns0:f>IF(T206=0,0,T206-IF(V206="PM",1,0))</ns0:f>
        <ns0:v>0</ns0:v>
      </ns0:c>
      <ns0:c r="Y206" s="0">
        <ns0:f>IF(J206=0,0,J206+IF(U206="AM",1,0))</ns0:f>
        <ns0:v>0</ns0:v>
      </ns0:c>
      <ns0:c r="Z206" s="0">
        <ns0:f>IF(T206=0,0,T206-IF(V206="AM",1,0))</ns0:f>
        <ns0:v>0</ns0:v>
      </ns0:c>
      <ns0:c r="AA206" s="0">
        <ns0:f>IFERROR(IF(AND(J206&gt;0,'_Engine'!C206&gt;0,MID('_Engine'!W206,WEEKDAY(J206,2),1)="W",COUNTIF(Settings!$F$18:$F$67,J206)=0),1,0),0)</ns0:f>
        <ns0:v>0</ns0:v>
      </ns0:c>
      <ns0:c r="AB206" s="0">
        <ns0:f>IFERROR(IF(AND(T206&gt;0,'_Engine'!C206&gt;0,MID('_Engine'!W206,WEEKDAY(T206,2),1)="W",COUNTIF(Settings!$F$18:$F$67,T206)=0),1,0),0)</ns0:f>
        <ns0:v>0</ns0:v>
      </ns0:c>
      <ns0:c r="AC206" s="0">
        <ns0:f>IF(AND(J206&gt;0,T206&gt;0,W206&lt;=X206),1,0)</ns0:f>
        <ns0:v>0</ns0:v>
      </ns0:c>
      <ns0:c r="AD206" s="0">
        <ns0:f>IF(AND(J206&gt;0,T206&gt;0,Y206&lt;=Z206),1,0)</ns0:f>
        <ns0:v>0</ns0:v>
      </ns0:c>
    </ns0:row>
    <ns0:row r="207">
      <ns0:c r="A207" s="0">
        <ns0:f>IFERROR(IF(ISNUMBER(Bookings!B207),"",TRIM(Bookings!B207&amp;"")),"")</ns0:f>
      </ns0:c>
      <ns0:c r="B207" s="0">
        <ns0:f>IFERROR(SUBSTITUTE(SUBSTITUTE(A207,"/","."),"-","."),"")</ns0:f>
      </ns0:c>
      <ns0:c r="C207" s="0">
        <ns0:f>IFERROR(LEFT(B207,FIND(".",B207)-1),"")</ns0:f>
      </ns0:c>
      <ns0:c r="D207" s="0">
        <ns0:f>IFERROR(MID(B207,FIND(".",B207)+1,FIND(".",B207,FIND(".",B207)+1)-FIND(".",B207)-1),"")</ns0:f>
      </ns0:c>
      <ns0:c r="E207" s="0">
        <ns0:f>IFERROR(MID(B207,FIND(".",B207,FIND(".",B207)+1)+1,99),"")</ns0:f>
        <ns0:v>99</ns0:v>
      </ns0:c>
      <ns0:c r="F207" s="0">
        <ns0:f>IFERROR(IF(FIND(".",B207)=5,--C207,--E207),0)</ns0:f>
        <ns0:v>0</ns0:v>
      </ns0:c>
      <ns0:c r="G207" s="0">
        <ns0:f>IFERROR(--D207,0)</ns0:f>
        <ns0:v>0</ns0:v>
      </ns0:c>
      <ns0:c r="H207" s="0">
        <ns0:f>IFERROR(IF(FIND(".",B207)=5,--E207,--C207),0)</ns0:f>
        <ns0:v>0</ns0:v>
      </ns0:c>
      <ns0:c r="I207" s="0">
        <ns0:f>IFERROR(IF(AND(F207&gt;=2000,F207&lt;=2100,G207&gt;=1,G207&lt;=12,H207&gt;=1,H207&lt;=31),DATE(F207,G207,H207),0),0)</ns0:f>
        <ns0:v>0</ns0:v>
      </ns0:c>
      <ns0:c r="J207" s="0">
        <ns0:f>IFERROR(IF(ISNUMBER(Bookings!B207),IF(AND(Bookings!B207=INT(Bookings!B207),Bookings!B207&gt;=DATE(2000,1,1),Bookings!B207&lt;=DATE(2100,12,31)),Bookings!B207,0),IF(AND(A207&lt;&gt;"",LEN("x"&amp;B207)-LEN(SUBSTITUTE("x"&amp;B207,".",""))=2,OR(1&gt;LEN(B207),MID(B207,1,1)=".",ISNUMBER(FIND("x"&amp;MID(B207,1,1),"x0x1x2x3x4x5x6x7x8x9"))),OR(2&gt;LEN(B207),MID(B207,2,1)=".",ISNUMBER(FIND("x"&amp;MID(B207,2,1),"x0x1x2x3x4x5x6x7x8x9"))),OR(3&gt;LEN(B207),MID(B207,3,1)=".",ISNUMBER(FIND("x"&amp;MID(B207,3,1),"x0x1x2x3x4x5x6x7x8x9"))),OR(4&gt;LEN(B207),MID(B207,4,1)=".",ISNUMBER(FIND("x"&amp;MID(B207,4,1),"x0x1x2x3x4x5x6x7x8x9"))),OR(5&gt;LEN(B207),MID(B207,5,1)=".",ISNUMBER(FIND("x"&amp;MID(B207,5,1),"x0x1x2x3x4x5x6x7x8x9"))),OR(6&gt;LEN(B207),MID(B207,6,1)=".",ISNUMBER(FIND("x"&amp;MID(B207,6,1),"x0x1x2x3x4x5x6x7x8x9"))),OR(7&gt;LEN(B207),MID(B207,7,1)=".",ISNUMBER(FIND("x"&amp;MID(B207,7,1),"x0x1x2x3x4x5x6x7x8x9"))),OR(8&gt;LEN(B207),MID(B207,8,1)=".",ISNUMBER(FIND("x"&amp;MID(B207,8,1),"x0x1x2x3x4x5x6x7x8x9"))),OR(9&gt;LEN(B207),MID(B207,9,1)=".",ISNUMBER(FIND("x"&amp;MID(B207,9,1),"x0x1x2x3x4x5x6x7x8x9"))),OR(10&gt;LEN(B207),MID(B207,10,1)=".",ISNUMBER(FIND("x"&amp;MID(B207,10,1),"x0x1x2x3x4x5x6x7x8x9"))),OR(AND(FIND(".",B207)=5,LEN(B207)-FIND(".",B207,FIND(".",B207)+1)&gt;=1,LEN(B207)-FIND(".",B207,FIND(".",B207)+1)&lt;=2),AND(LEN(B207)-FIND(".",B207,FIND(".",B207)+1)=4,FIND(".",B207)&gt;=2,FIND(".",B207)&lt;=3)),FIND(".",B207,FIND(".",B207)+1)-FIND(".",B207)&gt;=2,FIND(".",B207,FIND(".",B207)+1)-FIND(".",B207)&lt;=3,F207&gt;=2000,F207&lt;=2100,YEAR(I207)=F207,MONTH(I207)=G207,DAY(I207)=H207),I207,0)),0)</ns0:f>
        <ns0:v>0</ns0:v>
      </ns0:c>
      <ns0:c r="K207" s="0">
        <ns0:f>IFERROR(IF(ISNUMBER(Bookings!D207),"",TRIM(Bookings!D207&amp;"")),"")</ns0:f>
      </ns0:c>
      <ns0:c r="L207" s="0">
        <ns0:f>IFERROR(SUBSTITUTE(SUBSTITUTE(K207,"/","."),"-","."),"")</ns0:f>
      </ns0:c>
      <ns0:c r="M207" s="0">
        <ns0:f>IFERROR(LEFT(L207,FIND(".",L207)-1),"")</ns0:f>
      </ns0:c>
      <ns0:c r="N207" s="0">
        <ns0:f>IFERROR(MID(L207,FIND(".",L207)+1,FIND(".",L207,FIND(".",L207)+1)-FIND(".",L207)-1),"")</ns0:f>
      </ns0:c>
      <ns0:c r="O207" s="0">
        <ns0:f>IFERROR(MID(L207,FIND(".",L207,FIND(".",L207)+1)+1,99),"")</ns0:f>
        <ns0:v>99</ns0:v>
      </ns0:c>
      <ns0:c r="P207" s="0">
        <ns0:f>IFERROR(IF(FIND(".",L207)=5,--M207,--O207),0)</ns0:f>
        <ns0:v>0</ns0:v>
      </ns0:c>
      <ns0:c r="Q207" s="0">
        <ns0:f>IFERROR(--N207,0)</ns0:f>
        <ns0:v>0</ns0:v>
      </ns0:c>
      <ns0:c r="R207" s="0">
        <ns0:f>IFERROR(IF(FIND(".",L207)=5,--O207,--M207),0)</ns0:f>
        <ns0:v>0</ns0:v>
      </ns0:c>
      <ns0:c r="S207" s="0">
        <ns0:f>IFERROR(IF(AND(P207&gt;=2000,P207&lt;=2100,Q207&gt;=1,Q207&lt;=12,R207&gt;=1,R207&lt;=31),DATE(P207,Q207,R207),0),0)</ns0:f>
        <ns0:v>0</ns0:v>
      </ns0:c>
      <ns0:c r="T207" s="0">
        <ns0:f>IFERROR(IF(ISNUMBER(Bookings!D207),IF(AND(Bookings!D207=INT(Bookings!D207),Bookings!D207&gt;=DATE(2000,1,1),Bookings!D207&lt;=DATE(2100,12,31)),Bookings!D207,0),IF(AND(K207&lt;&gt;"",LEN("x"&amp;L207)-LEN(SUBSTITUTE("x"&amp;L207,".",""))=2,OR(1&gt;LEN(L207),MID(L207,1,1)=".",ISNUMBER(FIND("x"&amp;MID(L207,1,1),"x0x1x2x3x4x5x6x7x8x9"))),OR(2&gt;LEN(L207),MID(L207,2,1)=".",ISNUMBER(FIND("x"&amp;MID(L207,2,1),"x0x1x2x3x4x5x6x7x8x9"))),OR(3&gt;LEN(L207),MID(L207,3,1)=".",ISNUMBER(FIND("x"&amp;MID(L207,3,1),"x0x1x2x3x4x5x6x7x8x9"))),OR(4&gt;LEN(L207),MID(L207,4,1)=".",ISNUMBER(FIND("x"&amp;MID(L207,4,1),"x0x1x2x3x4x5x6x7x8x9"))),OR(5&gt;LEN(L207),MID(L207,5,1)=".",ISNUMBER(FIND("x"&amp;MID(L207,5,1),"x0x1x2x3x4x5x6x7x8x9"))),OR(6&gt;LEN(L207),MID(L207,6,1)=".",ISNUMBER(FIND("x"&amp;MID(L207,6,1),"x0x1x2x3x4x5x6x7x8x9"))),OR(7&gt;LEN(L207),MID(L207,7,1)=".",ISNUMBER(FIND("x"&amp;MID(L207,7,1),"x0x1x2x3x4x5x6x7x8x9"))),OR(8&gt;LEN(L207),MID(L207,8,1)=".",ISNUMBER(FIND("x"&amp;MID(L207,8,1),"x0x1x2x3x4x5x6x7x8x9"))),OR(9&gt;LEN(L207),MID(L207,9,1)=".",ISNUMBER(FIND("x"&amp;MID(L207,9,1),"x0x1x2x3x4x5x6x7x8x9"))),OR(10&gt;LEN(L207),MID(L207,10,1)=".",ISNUMBER(FIND("x"&amp;MID(L207,10,1),"x0x1x2x3x4x5x6x7x8x9"))),OR(AND(FIND(".",L207)=5,LEN(L207)-FIND(".",L207,FIND(".",L207)+1)&gt;=1,LEN(L207)-FIND(".",L207,FIND(".",L207)+1)&lt;=2),AND(LEN(L207)-FIND(".",L207,FIND(".",L207)+1)=4,FIND(".",L207)&gt;=2,FIND(".",L207)&lt;=3)),FIND(".",L207,FIND(".",L207)+1)-FIND(".",L207)&gt;=2,FIND(".",L207,FIND(".",L207)+1)-FIND(".",L207)&lt;=3,P207&gt;=2000,P207&lt;=2100,YEAR(S207)=P207,MONTH(S207)=Q207,DAY(S207)=R207),S207,0)),0)</ns0:f>
        <ns0:v>0</ns0:v>
      </ns0:c>
      <ns0:c r="U207" s="0" t="str">
        <ns0:f>IF(Bookings!C207="","Full day",Bookings!C207)</ns0:f>
        <ns0:v>Full day</ns0:v>
      </ns0:c>
      <ns0:c r="V207" s="0" t="str">
        <ns0:f>IF(Bookings!E207="","Full day",Bookings!E207)</ns0:f>
        <ns0:v>Full day</ns0:v>
      </ns0:c>
      <ns0:c r="W207" s="0">
        <ns0:f>IF(J207=0,0,J207+IF(U207="PM",1,0))</ns0:f>
        <ns0:v>0</ns0:v>
      </ns0:c>
      <ns0:c r="X207" s="0">
        <ns0:f>IF(T207=0,0,T207-IF(V207="PM",1,0))</ns0:f>
        <ns0:v>0</ns0:v>
      </ns0:c>
      <ns0:c r="Y207" s="0">
        <ns0:f>IF(J207=0,0,J207+IF(U207="AM",1,0))</ns0:f>
        <ns0:v>0</ns0:v>
      </ns0:c>
      <ns0:c r="Z207" s="0">
        <ns0:f>IF(T207=0,0,T207-IF(V207="AM",1,0))</ns0:f>
        <ns0:v>0</ns0:v>
      </ns0:c>
      <ns0:c r="AA207" s="0">
        <ns0:f>IFERROR(IF(AND(J207&gt;0,'_Engine'!C207&gt;0,MID('_Engine'!W207,WEEKDAY(J207,2),1)="W",COUNTIF(Settings!$F$18:$F$67,J207)=0),1,0),0)</ns0:f>
        <ns0:v>0</ns0:v>
      </ns0:c>
      <ns0:c r="AB207" s="0">
        <ns0:f>IFERROR(IF(AND(T207&gt;0,'_Engine'!C207&gt;0,MID('_Engine'!W207,WEEKDAY(T207,2),1)="W",COUNTIF(Settings!$F$18:$F$67,T207)=0),1,0),0)</ns0:f>
        <ns0:v>0</ns0:v>
      </ns0:c>
      <ns0:c r="AC207" s="0">
        <ns0:f>IF(AND(J207&gt;0,T207&gt;0,W207&lt;=X207),1,0)</ns0:f>
        <ns0:v>0</ns0:v>
      </ns0:c>
      <ns0:c r="AD207" s="0">
        <ns0:f>IF(AND(J207&gt;0,T207&gt;0,Y207&lt;=Z207),1,0)</ns0:f>
        <ns0:v>0</ns0:v>
      </ns0:c>
    </ns0:row>
    <ns0:row r="208">
      <ns0:c r="A208" s="0">
        <ns0:f>IFERROR(IF(ISNUMBER(Bookings!B208),"",TRIM(Bookings!B208&amp;"")),"")</ns0:f>
      </ns0:c>
      <ns0:c r="B208" s="0">
        <ns0:f>IFERROR(SUBSTITUTE(SUBSTITUTE(A208,"/","."),"-","."),"")</ns0:f>
      </ns0:c>
      <ns0:c r="C208" s="0">
        <ns0:f>IFERROR(LEFT(B208,FIND(".",B208)-1),"")</ns0:f>
      </ns0:c>
      <ns0:c r="D208" s="0">
        <ns0:f>IFERROR(MID(B208,FIND(".",B208)+1,FIND(".",B208,FIND(".",B208)+1)-FIND(".",B208)-1),"")</ns0:f>
      </ns0:c>
      <ns0:c r="E208" s="0">
        <ns0:f>IFERROR(MID(B208,FIND(".",B208,FIND(".",B208)+1)+1,99),"")</ns0:f>
        <ns0:v>99</ns0:v>
      </ns0:c>
      <ns0:c r="F208" s="0">
        <ns0:f>IFERROR(IF(FIND(".",B208)=5,--C208,--E208),0)</ns0:f>
        <ns0:v>0</ns0:v>
      </ns0:c>
      <ns0:c r="G208" s="0">
        <ns0:f>IFERROR(--D208,0)</ns0:f>
        <ns0:v>0</ns0:v>
      </ns0:c>
      <ns0:c r="H208" s="0">
        <ns0:f>IFERROR(IF(FIND(".",B208)=5,--E208,--C208),0)</ns0:f>
        <ns0:v>0</ns0:v>
      </ns0:c>
      <ns0:c r="I208" s="0">
        <ns0:f>IFERROR(IF(AND(F208&gt;=2000,F208&lt;=2100,G208&gt;=1,G208&lt;=12,H208&gt;=1,H208&lt;=31),DATE(F208,G208,H208),0),0)</ns0:f>
        <ns0:v>0</ns0:v>
      </ns0:c>
      <ns0:c r="J208" s="0">
        <ns0:f>IFERROR(IF(ISNUMBER(Bookings!B208),IF(AND(Bookings!B208=INT(Bookings!B208),Bookings!B208&gt;=DATE(2000,1,1),Bookings!B208&lt;=DATE(2100,12,31)),Bookings!B208,0),IF(AND(A208&lt;&gt;"",LEN("x"&amp;B208)-LEN(SUBSTITUTE("x"&amp;B208,".",""))=2,OR(1&gt;LEN(B208),MID(B208,1,1)=".",ISNUMBER(FIND("x"&amp;MID(B208,1,1),"x0x1x2x3x4x5x6x7x8x9"))),OR(2&gt;LEN(B208),MID(B208,2,1)=".",ISNUMBER(FIND("x"&amp;MID(B208,2,1),"x0x1x2x3x4x5x6x7x8x9"))),OR(3&gt;LEN(B208),MID(B208,3,1)=".",ISNUMBER(FIND("x"&amp;MID(B208,3,1),"x0x1x2x3x4x5x6x7x8x9"))),OR(4&gt;LEN(B208),MID(B208,4,1)=".",ISNUMBER(FIND("x"&amp;MID(B208,4,1),"x0x1x2x3x4x5x6x7x8x9"))),OR(5&gt;LEN(B208),MID(B208,5,1)=".",ISNUMBER(FIND("x"&amp;MID(B208,5,1),"x0x1x2x3x4x5x6x7x8x9"))),OR(6&gt;LEN(B208),MID(B208,6,1)=".",ISNUMBER(FIND("x"&amp;MID(B208,6,1),"x0x1x2x3x4x5x6x7x8x9"))),OR(7&gt;LEN(B208),MID(B208,7,1)=".",ISNUMBER(FIND("x"&amp;MID(B208,7,1),"x0x1x2x3x4x5x6x7x8x9"))),OR(8&gt;LEN(B208),MID(B208,8,1)=".",ISNUMBER(FIND("x"&amp;MID(B208,8,1),"x0x1x2x3x4x5x6x7x8x9"))),OR(9&gt;LEN(B208),MID(B208,9,1)=".",ISNUMBER(FIND("x"&amp;MID(B208,9,1),"x0x1x2x3x4x5x6x7x8x9"))),OR(10&gt;LEN(B208),MID(B208,10,1)=".",ISNUMBER(FIND("x"&amp;MID(B208,10,1),"x0x1x2x3x4x5x6x7x8x9"))),OR(AND(FIND(".",B208)=5,LEN(B208)-FIND(".",B208,FIND(".",B208)+1)&gt;=1,LEN(B208)-FIND(".",B208,FIND(".",B208)+1)&lt;=2),AND(LEN(B208)-FIND(".",B208,FIND(".",B208)+1)=4,FIND(".",B208)&gt;=2,FIND(".",B208)&lt;=3)),FIND(".",B208,FIND(".",B208)+1)-FIND(".",B208)&gt;=2,FIND(".",B208,FIND(".",B208)+1)-FIND(".",B208)&lt;=3,F208&gt;=2000,F208&lt;=2100,YEAR(I208)=F208,MONTH(I208)=G208,DAY(I208)=H208),I208,0)),0)</ns0:f>
        <ns0:v>0</ns0:v>
      </ns0:c>
      <ns0:c r="K208" s="0">
        <ns0:f>IFERROR(IF(ISNUMBER(Bookings!D208),"",TRIM(Bookings!D208&amp;"")),"")</ns0:f>
      </ns0:c>
      <ns0:c r="L208" s="0">
        <ns0:f>IFERROR(SUBSTITUTE(SUBSTITUTE(K208,"/","."),"-","."),"")</ns0:f>
      </ns0:c>
      <ns0:c r="M208" s="0">
        <ns0:f>IFERROR(LEFT(L208,FIND(".",L208)-1),"")</ns0:f>
      </ns0:c>
      <ns0:c r="N208" s="0">
        <ns0:f>IFERROR(MID(L208,FIND(".",L208)+1,FIND(".",L208,FIND(".",L208)+1)-FIND(".",L208)-1),"")</ns0:f>
      </ns0:c>
      <ns0:c r="O208" s="0">
        <ns0:f>IFERROR(MID(L208,FIND(".",L208,FIND(".",L208)+1)+1,99),"")</ns0:f>
        <ns0:v>99</ns0:v>
      </ns0:c>
      <ns0:c r="P208" s="0">
        <ns0:f>IFERROR(IF(FIND(".",L208)=5,--M208,--O208),0)</ns0:f>
        <ns0:v>0</ns0:v>
      </ns0:c>
      <ns0:c r="Q208" s="0">
        <ns0:f>IFERROR(--N208,0)</ns0:f>
        <ns0:v>0</ns0:v>
      </ns0:c>
      <ns0:c r="R208" s="0">
        <ns0:f>IFERROR(IF(FIND(".",L208)=5,--O208,--M208),0)</ns0:f>
        <ns0:v>0</ns0:v>
      </ns0:c>
      <ns0:c r="S208" s="0">
        <ns0:f>IFERROR(IF(AND(P208&gt;=2000,P208&lt;=2100,Q208&gt;=1,Q208&lt;=12,R208&gt;=1,R208&lt;=31),DATE(P208,Q208,R208),0),0)</ns0:f>
        <ns0:v>0</ns0:v>
      </ns0:c>
      <ns0:c r="T208" s="0">
        <ns0:f>IFERROR(IF(ISNUMBER(Bookings!D208),IF(AND(Bookings!D208=INT(Bookings!D208),Bookings!D208&gt;=DATE(2000,1,1),Bookings!D208&lt;=DATE(2100,12,31)),Bookings!D208,0),IF(AND(K208&lt;&gt;"",LEN("x"&amp;L208)-LEN(SUBSTITUTE("x"&amp;L208,".",""))=2,OR(1&gt;LEN(L208),MID(L208,1,1)=".",ISNUMBER(FIND("x"&amp;MID(L208,1,1),"x0x1x2x3x4x5x6x7x8x9"))),OR(2&gt;LEN(L208),MID(L208,2,1)=".",ISNUMBER(FIND("x"&amp;MID(L208,2,1),"x0x1x2x3x4x5x6x7x8x9"))),OR(3&gt;LEN(L208),MID(L208,3,1)=".",ISNUMBER(FIND("x"&amp;MID(L208,3,1),"x0x1x2x3x4x5x6x7x8x9"))),OR(4&gt;LEN(L208),MID(L208,4,1)=".",ISNUMBER(FIND("x"&amp;MID(L208,4,1),"x0x1x2x3x4x5x6x7x8x9"))),OR(5&gt;LEN(L208),MID(L208,5,1)=".",ISNUMBER(FIND("x"&amp;MID(L208,5,1),"x0x1x2x3x4x5x6x7x8x9"))),OR(6&gt;LEN(L208),MID(L208,6,1)=".",ISNUMBER(FIND("x"&amp;MID(L208,6,1),"x0x1x2x3x4x5x6x7x8x9"))),OR(7&gt;LEN(L208),MID(L208,7,1)=".",ISNUMBER(FIND("x"&amp;MID(L208,7,1),"x0x1x2x3x4x5x6x7x8x9"))),OR(8&gt;LEN(L208),MID(L208,8,1)=".",ISNUMBER(FIND("x"&amp;MID(L208,8,1),"x0x1x2x3x4x5x6x7x8x9"))),OR(9&gt;LEN(L208),MID(L208,9,1)=".",ISNUMBER(FIND("x"&amp;MID(L208,9,1),"x0x1x2x3x4x5x6x7x8x9"))),OR(10&gt;LEN(L208),MID(L208,10,1)=".",ISNUMBER(FIND("x"&amp;MID(L208,10,1),"x0x1x2x3x4x5x6x7x8x9"))),OR(AND(FIND(".",L208)=5,LEN(L208)-FIND(".",L208,FIND(".",L208)+1)&gt;=1,LEN(L208)-FIND(".",L208,FIND(".",L208)+1)&lt;=2),AND(LEN(L208)-FIND(".",L208,FIND(".",L208)+1)=4,FIND(".",L208)&gt;=2,FIND(".",L208)&lt;=3)),FIND(".",L208,FIND(".",L208)+1)-FIND(".",L208)&gt;=2,FIND(".",L208,FIND(".",L208)+1)-FIND(".",L208)&lt;=3,P208&gt;=2000,P208&lt;=2100,YEAR(S208)=P208,MONTH(S208)=Q208,DAY(S208)=R208),S208,0)),0)</ns0:f>
        <ns0:v>0</ns0:v>
      </ns0:c>
      <ns0:c r="U208" s="0" t="str">
        <ns0:f>IF(Bookings!C208="","Full day",Bookings!C208)</ns0:f>
        <ns0:v>Full day</ns0:v>
      </ns0:c>
      <ns0:c r="V208" s="0" t="str">
        <ns0:f>IF(Bookings!E208="","Full day",Bookings!E208)</ns0:f>
        <ns0:v>Full day</ns0:v>
      </ns0:c>
      <ns0:c r="W208" s="0">
        <ns0:f>IF(J208=0,0,J208+IF(U208="PM",1,0))</ns0:f>
        <ns0:v>0</ns0:v>
      </ns0:c>
      <ns0:c r="X208" s="0">
        <ns0:f>IF(T208=0,0,T208-IF(V208="PM",1,0))</ns0:f>
        <ns0:v>0</ns0:v>
      </ns0:c>
      <ns0:c r="Y208" s="0">
        <ns0:f>IF(J208=0,0,J208+IF(U208="AM",1,0))</ns0:f>
        <ns0:v>0</ns0:v>
      </ns0:c>
      <ns0:c r="Z208" s="0">
        <ns0:f>IF(T208=0,0,T208-IF(V208="AM",1,0))</ns0:f>
        <ns0:v>0</ns0:v>
      </ns0:c>
      <ns0:c r="AA208" s="0">
        <ns0:f>IFERROR(IF(AND(J208&gt;0,'_Engine'!C208&gt;0,MID('_Engine'!W208,WEEKDAY(J208,2),1)="W",COUNTIF(Settings!$F$18:$F$67,J208)=0),1,0),0)</ns0:f>
        <ns0:v>0</ns0:v>
      </ns0:c>
      <ns0:c r="AB208" s="0">
        <ns0:f>IFERROR(IF(AND(T208&gt;0,'_Engine'!C208&gt;0,MID('_Engine'!W208,WEEKDAY(T208,2),1)="W",COUNTIF(Settings!$F$18:$F$67,T208)=0),1,0),0)</ns0:f>
        <ns0:v>0</ns0:v>
      </ns0:c>
      <ns0:c r="AC208" s="0">
        <ns0:f>IF(AND(J208&gt;0,T208&gt;0,W208&lt;=X208),1,0)</ns0:f>
        <ns0:v>0</ns0:v>
      </ns0:c>
      <ns0:c r="AD208" s="0">
        <ns0:f>IF(AND(J208&gt;0,T208&gt;0,Y208&lt;=Z208),1,0)</ns0:f>
        <ns0:v>0</ns0:v>
      </ns0:c>
    </ns0:row>
    <ns0:row r="209">
      <ns0:c r="A209" s="0">
        <ns0:f>IFERROR(IF(ISNUMBER(Bookings!B209),"",TRIM(Bookings!B209&amp;"")),"")</ns0:f>
      </ns0:c>
      <ns0:c r="B209" s="0">
        <ns0:f>IFERROR(SUBSTITUTE(SUBSTITUTE(A209,"/","."),"-","."),"")</ns0:f>
      </ns0:c>
      <ns0:c r="C209" s="0">
        <ns0:f>IFERROR(LEFT(B209,FIND(".",B209)-1),"")</ns0:f>
      </ns0:c>
      <ns0:c r="D209" s="0">
        <ns0:f>IFERROR(MID(B209,FIND(".",B209)+1,FIND(".",B209,FIND(".",B209)+1)-FIND(".",B209)-1),"")</ns0:f>
      </ns0:c>
      <ns0:c r="E209" s="0">
        <ns0:f>IFERROR(MID(B209,FIND(".",B209,FIND(".",B209)+1)+1,99),"")</ns0:f>
        <ns0:v>99</ns0:v>
      </ns0:c>
      <ns0:c r="F209" s="0">
        <ns0:f>IFERROR(IF(FIND(".",B209)=5,--C209,--E209),0)</ns0:f>
        <ns0:v>0</ns0:v>
      </ns0:c>
      <ns0:c r="G209" s="0">
        <ns0:f>IFERROR(--D209,0)</ns0:f>
        <ns0:v>0</ns0:v>
      </ns0:c>
      <ns0:c r="H209" s="0">
        <ns0:f>IFERROR(IF(FIND(".",B209)=5,--E209,--C209),0)</ns0:f>
        <ns0:v>0</ns0:v>
      </ns0:c>
      <ns0:c r="I209" s="0">
        <ns0:f>IFERROR(IF(AND(F209&gt;=2000,F209&lt;=2100,G209&gt;=1,G209&lt;=12,H209&gt;=1,H209&lt;=31),DATE(F209,G209,H209),0),0)</ns0:f>
        <ns0:v>0</ns0:v>
      </ns0:c>
      <ns0:c r="J209" s="0">
        <ns0:f>IFERROR(IF(ISNUMBER(Bookings!B209),IF(AND(Bookings!B209=INT(Bookings!B209),Bookings!B209&gt;=DATE(2000,1,1),Bookings!B209&lt;=DATE(2100,12,31)),Bookings!B209,0),IF(AND(A209&lt;&gt;"",LEN("x"&amp;B209)-LEN(SUBSTITUTE("x"&amp;B209,".",""))=2,OR(1&gt;LEN(B209),MID(B209,1,1)=".",ISNUMBER(FIND("x"&amp;MID(B209,1,1),"x0x1x2x3x4x5x6x7x8x9"))),OR(2&gt;LEN(B209),MID(B209,2,1)=".",ISNUMBER(FIND("x"&amp;MID(B209,2,1),"x0x1x2x3x4x5x6x7x8x9"))),OR(3&gt;LEN(B209),MID(B209,3,1)=".",ISNUMBER(FIND("x"&amp;MID(B209,3,1),"x0x1x2x3x4x5x6x7x8x9"))),OR(4&gt;LEN(B209),MID(B209,4,1)=".",ISNUMBER(FIND("x"&amp;MID(B209,4,1),"x0x1x2x3x4x5x6x7x8x9"))),OR(5&gt;LEN(B209),MID(B209,5,1)=".",ISNUMBER(FIND("x"&amp;MID(B209,5,1),"x0x1x2x3x4x5x6x7x8x9"))),OR(6&gt;LEN(B209),MID(B209,6,1)=".",ISNUMBER(FIND("x"&amp;MID(B209,6,1),"x0x1x2x3x4x5x6x7x8x9"))),OR(7&gt;LEN(B209),MID(B209,7,1)=".",ISNUMBER(FIND("x"&amp;MID(B209,7,1),"x0x1x2x3x4x5x6x7x8x9"))),OR(8&gt;LEN(B209),MID(B209,8,1)=".",ISNUMBER(FIND("x"&amp;MID(B209,8,1),"x0x1x2x3x4x5x6x7x8x9"))),OR(9&gt;LEN(B209),MID(B209,9,1)=".",ISNUMBER(FIND("x"&amp;MID(B209,9,1),"x0x1x2x3x4x5x6x7x8x9"))),OR(10&gt;LEN(B209),MID(B209,10,1)=".",ISNUMBER(FIND("x"&amp;MID(B209,10,1),"x0x1x2x3x4x5x6x7x8x9"))),OR(AND(FIND(".",B209)=5,LEN(B209)-FIND(".",B209,FIND(".",B209)+1)&gt;=1,LEN(B209)-FIND(".",B209,FIND(".",B209)+1)&lt;=2),AND(LEN(B209)-FIND(".",B209,FIND(".",B209)+1)=4,FIND(".",B209)&gt;=2,FIND(".",B209)&lt;=3)),FIND(".",B209,FIND(".",B209)+1)-FIND(".",B209)&gt;=2,FIND(".",B209,FIND(".",B209)+1)-FIND(".",B209)&lt;=3,F209&gt;=2000,F209&lt;=2100,YEAR(I209)=F209,MONTH(I209)=G209,DAY(I209)=H209),I209,0)),0)</ns0:f>
        <ns0:v>0</ns0:v>
      </ns0:c>
      <ns0:c r="K209" s="0">
        <ns0:f>IFERROR(IF(ISNUMBER(Bookings!D209),"",TRIM(Bookings!D209&amp;"")),"")</ns0:f>
      </ns0:c>
      <ns0:c r="L209" s="0">
        <ns0:f>IFERROR(SUBSTITUTE(SUBSTITUTE(K209,"/","."),"-","."),"")</ns0:f>
      </ns0:c>
      <ns0:c r="M209" s="0">
        <ns0:f>IFERROR(LEFT(L209,FIND(".",L209)-1),"")</ns0:f>
      </ns0:c>
      <ns0:c r="N209" s="0">
        <ns0:f>IFERROR(MID(L209,FIND(".",L209)+1,FIND(".",L209,FIND(".",L209)+1)-FIND(".",L209)-1),"")</ns0:f>
      </ns0:c>
      <ns0:c r="O209" s="0">
        <ns0:f>IFERROR(MID(L209,FIND(".",L209,FIND(".",L209)+1)+1,99),"")</ns0:f>
        <ns0:v>99</ns0:v>
      </ns0:c>
      <ns0:c r="P209" s="0">
        <ns0:f>IFERROR(IF(FIND(".",L209)=5,--M209,--O209),0)</ns0:f>
        <ns0:v>0</ns0:v>
      </ns0:c>
      <ns0:c r="Q209" s="0">
        <ns0:f>IFERROR(--N209,0)</ns0:f>
        <ns0:v>0</ns0:v>
      </ns0:c>
      <ns0:c r="R209" s="0">
        <ns0:f>IFERROR(IF(FIND(".",L209)=5,--O209,--M209),0)</ns0:f>
        <ns0:v>0</ns0:v>
      </ns0:c>
      <ns0:c r="S209" s="0">
        <ns0:f>IFERROR(IF(AND(P209&gt;=2000,P209&lt;=2100,Q209&gt;=1,Q209&lt;=12,R209&gt;=1,R209&lt;=31),DATE(P209,Q209,R209),0),0)</ns0:f>
        <ns0:v>0</ns0:v>
      </ns0:c>
      <ns0:c r="T209" s="0">
        <ns0:f>IFERROR(IF(ISNUMBER(Bookings!D209),IF(AND(Bookings!D209=INT(Bookings!D209),Bookings!D209&gt;=DATE(2000,1,1),Bookings!D209&lt;=DATE(2100,12,31)),Bookings!D209,0),IF(AND(K209&lt;&gt;"",LEN("x"&amp;L209)-LEN(SUBSTITUTE("x"&amp;L209,".",""))=2,OR(1&gt;LEN(L209),MID(L209,1,1)=".",ISNUMBER(FIND("x"&amp;MID(L209,1,1),"x0x1x2x3x4x5x6x7x8x9"))),OR(2&gt;LEN(L209),MID(L209,2,1)=".",ISNUMBER(FIND("x"&amp;MID(L209,2,1),"x0x1x2x3x4x5x6x7x8x9"))),OR(3&gt;LEN(L209),MID(L209,3,1)=".",ISNUMBER(FIND("x"&amp;MID(L209,3,1),"x0x1x2x3x4x5x6x7x8x9"))),OR(4&gt;LEN(L209),MID(L209,4,1)=".",ISNUMBER(FIND("x"&amp;MID(L209,4,1),"x0x1x2x3x4x5x6x7x8x9"))),OR(5&gt;LEN(L209),MID(L209,5,1)=".",ISNUMBER(FIND("x"&amp;MID(L209,5,1),"x0x1x2x3x4x5x6x7x8x9"))),OR(6&gt;LEN(L209),MID(L209,6,1)=".",ISNUMBER(FIND("x"&amp;MID(L209,6,1),"x0x1x2x3x4x5x6x7x8x9"))),OR(7&gt;LEN(L209),MID(L209,7,1)=".",ISNUMBER(FIND("x"&amp;MID(L209,7,1),"x0x1x2x3x4x5x6x7x8x9"))),OR(8&gt;LEN(L209),MID(L209,8,1)=".",ISNUMBER(FIND("x"&amp;MID(L209,8,1),"x0x1x2x3x4x5x6x7x8x9"))),OR(9&gt;LEN(L209),MID(L209,9,1)=".",ISNUMBER(FIND("x"&amp;MID(L209,9,1),"x0x1x2x3x4x5x6x7x8x9"))),OR(10&gt;LEN(L209),MID(L209,10,1)=".",ISNUMBER(FIND("x"&amp;MID(L209,10,1),"x0x1x2x3x4x5x6x7x8x9"))),OR(AND(FIND(".",L209)=5,LEN(L209)-FIND(".",L209,FIND(".",L209)+1)&gt;=1,LEN(L209)-FIND(".",L209,FIND(".",L209)+1)&lt;=2),AND(LEN(L209)-FIND(".",L209,FIND(".",L209)+1)=4,FIND(".",L209)&gt;=2,FIND(".",L209)&lt;=3)),FIND(".",L209,FIND(".",L209)+1)-FIND(".",L209)&gt;=2,FIND(".",L209,FIND(".",L209)+1)-FIND(".",L209)&lt;=3,P209&gt;=2000,P209&lt;=2100,YEAR(S209)=P209,MONTH(S209)=Q209,DAY(S209)=R209),S209,0)),0)</ns0:f>
        <ns0:v>0</ns0:v>
      </ns0:c>
      <ns0:c r="U209" s="0" t="str">
        <ns0:f>IF(Bookings!C209="","Full day",Bookings!C209)</ns0:f>
        <ns0:v>Full day</ns0:v>
      </ns0:c>
      <ns0:c r="V209" s="0" t="str">
        <ns0:f>IF(Bookings!E209="","Full day",Bookings!E209)</ns0:f>
        <ns0:v>Full day</ns0:v>
      </ns0:c>
      <ns0:c r="W209" s="0">
        <ns0:f>IF(J209=0,0,J209+IF(U209="PM",1,0))</ns0:f>
        <ns0:v>0</ns0:v>
      </ns0:c>
      <ns0:c r="X209" s="0">
        <ns0:f>IF(T209=0,0,T209-IF(V209="PM",1,0))</ns0:f>
        <ns0:v>0</ns0:v>
      </ns0:c>
      <ns0:c r="Y209" s="0">
        <ns0:f>IF(J209=0,0,J209+IF(U209="AM",1,0))</ns0:f>
        <ns0:v>0</ns0:v>
      </ns0:c>
      <ns0:c r="Z209" s="0">
        <ns0:f>IF(T209=0,0,T209-IF(V209="AM",1,0))</ns0:f>
        <ns0:v>0</ns0:v>
      </ns0:c>
      <ns0:c r="AA209" s="0">
        <ns0:f>IFERROR(IF(AND(J209&gt;0,'_Engine'!C209&gt;0,MID('_Engine'!W209,WEEKDAY(J209,2),1)="W",COUNTIF(Settings!$F$18:$F$67,J209)=0),1,0),0)</ns0:f>
        <ns0:v>0</ns0:v>
      </ns0:c>
      <ns0:c r="AB209" s="0">
        <ns0:f>IFERROR(IF(AND(T209&gt;0,'_Engine'!C209&gt;0,MID('_Engine'!W209,WEEKDAY(T209,2),1)="W",COUNTIF(Settings!$F$18:$F$67,T209)=0),1,0),0)</ns0:f>
        <ns0:v>0</ns0:v>
      </ns0:c>
      <ns0:c r="AC209" s="0">
        <ns0:f>IF(AND(J209&gt;0,T209&gt;0,W209&lt;=X209),1,0)</ns0:f>
        <ns0:v>0</ns0:v>
      </ns0:c>
      <ns0:c r="AD209" s="0">
        <ns0:f>IF(AND(J209&gt;0,T209&gt;0,Y209&lt;=Z209),1,0)</ns0:f>
        <ns0:v>0</ns0:v>
      </ns0:c>
    </ns0:row>
    <ns0:row r="210">
      <ns0:c r="A210" s="0">
        <ns0:f>IFERROR(IF(ISNUMBER(Bookings!B210),"",TRIM(Bookings!B210&amp;"")),"")</ns0:f>
      </ns0:c>
      <ns0:c r="B210" s="0">
        <ns0:f>IFERROR(SUBSTITUTE(SUBSTITUTE(A210,"/","."),"-","."),"")</ns0:f>
      </ns0:c>
      <ns0:c r="C210" s="0">
        <ns0:f>IFERROR(LEFT(B210,FIND(".",B210)-1),"")</ns0:f>
      </ns0:c>
      <ns0:c r="D210" s="0">
        <ns0:f>IFERROR(MID(B210,FIND(".",B210)+1,FIND(".",B210,FIND(".",B210)+1)-FIND(".",B210)-1),"")</ns0:f>
      </ns0:c>
      <ns0:c r="E210" s="0">
        <ns0:f>IFERROR(MID(B210,FIND(".",B210,FIND(".",B210)+1)+1,99),"")</ns0:f>
        <ns0:v>99</ns0:v>
      </ns0:c>
      <ns0:c r="F210" s="0">
        <ns0:f>IFERROR(IF(FIND(".",B210)=5,--C210,--E210),0)</ns0:f>
        <ns0:v>0</ns0:v>
      </ns0:c>
      <ns0:c r="G210" s="0">
        <ns0:f>IFERROR(--D210,0)</ns0:f>
        <ns0:v>0</ns0:v>
      </ns0:c>
      <ns0:c r="H210" s="0">
        <ns0:f>IFERROR(IF(FIND(".",B210)=5,--E210,--C210),0)</ns0:f>
        <ns0:v>0</ns0:v>
      </ns0:c>
      <ns0:c r="I210" s="0">
        <ns0:f>IFERROR(IF(AND(F210&gt;=2000,F210&lt;=2100,G210&gt;=1,G210&lt;=12,H210&gt;=1,H210&lt;=31),DATE(F210,G210,H210),0),0)</ns0:f>
        <ns0:v>0</ns0:v>
      </ns0:c>
      <ns0:c r="J210" s="0">
        <ns0:f>IFERROR(IF(ISNUMBER(Bookings!B210),IF(AND(Bookings!B210=INT(Bookings!B210),Bookings!B210&gt;=DATE(2000,1,1),Bookings!B210&lt;=DATE(2100,12,31)),Bookings!B210,0),IF(AND(A210&lt;&gt;"",LEN("x"&amp;B210)-LEN(SUBSTITUTE("x"&amp;B210,".",""))=2,OR(1&gt;LEN(B210),MID(B210,1,1)=".",ISNUMBER(FIND("x"&amp;MID(B210,1,1),"x0x1x2x3x4x5x6x7x8x9"))),OR(2&gt;LEN(B210),MID(B210,2,1)=".",ISNUMBER(FIND("x"&amp;MID(B210,2,1),"x0x1x2x3x4x5x6x7x8x9"))),OR(3&gt;LEN(B210),MID(B210,3,1)=".",ISNUMBER(FIND("x"&amp;MID(B210,3,1),"x0x1x2x3x4x5x6x7x8x9"))),OR(4&gt;LEN(B210),MID(B210,4,1)=".",ISNUMBER(FIND("x"&amp;MID(B210,4,1),"x0x1x2x3x4x5x6x7x8x9"))),OR(5&gt;LEN(B210),MID(B210,5,1)=".",ISNUMBER(FIND("x"&amp;MID(B210,5,1),"x0x1x2x3x4x5x6x7x8x9"))),OR(6&gt;LEN(B210),MID(B210,6,1)=".",ISNUMBER(FIND("x"&amp;MID(B210,6,1),"x0x1x2x3x4x5x6x7x8x9"))),OR(7&gt;LEN(B210),MID(B210,7,1)=".",ISNUMBER(FIND("x"&amp;MID(B210,7,1),"x0x1x2x3x4x5x6x7x8x9"))),OR(8&gt;LEN(B210),MID(B210,8,1)=".",ISNUMBER(FIND("x"&amp;MID(B210,8,1),"x0x1x2x3x4x5x6x7x8x9"))),OR(9&gt;LEN(B210),MID(B210,9,1)=".",ISNUMBER(FIND("x"&amp;MID(B210,9,1),"x0x1x2x3x4x5x6x7x8x9"))),OR(10&gt;LEN(B210),MID(B210,10,1)=".",ISNUMBER(FIND("x"&amp;MID(B210,10,1),"x0x1x2x3x4x5x6x7x8x9"))),OR(AND(FIND(".",B210)=5,LEN(B210)-FIND(".",B210,FIND(".",B210)+1)&gt;=1,LEN(B210)-FIND(".",B210,FIND(".",B210)+1)&lt;=2),AND(LEN(B210)-FIND(".",B210,FIND(".",B210)+1)=4,FIND(".",B210)&gt;=2,FIND(".",B210)&lt;=3)),FIND(".",B210,FIND(".",B210)+1)-FIND(".",B210)&gt;=2,FIND(".",B210,FIND(".",B210)+1)-FIND(".",B210)&lt;=3,F210&gt;=2000,F210&lt;=2100,YEAR(I210)=F210,MONTH(I210)=G210,DAY(I210)=H210),I210,0)),0)</ns0:f>
        <ns0:v>0</ns0:v>
      </ns0:c>
      <ns0:c r="K210" s="0">
        <ns0:f>IFERROR(IF(ISNUMBER(Bookings!D210),"",TRIM(Bookings!D210&amp;"")),"")</ns0:f>
      </ns0:c>
      <ns0:c r="L210" s="0">
        <ns0:f>IFERROR(SUBSTITUTE(SUBSTITUTE(K210,"/","."),"-","."),"")</ns0:f>
      </ns0:c>
      <ns0:c r="M210" s="0">
        <ns0:f>IFERROR(LEFT(L210,FIND(".",L210)-1),"")</ns0:f>
      </ns0:c>
      <ns0:c r="N210" s="0">
        <ns0:f>IFERROR(MID(L210,FIND(".",L210)+1,FIND(".",L210,FIND(".",L210)+1)-FIND(".",L210)-1),"")</ns0:f>
      </ns0:c>
      <ns0:c r="O210" s="0">
        <ns0:f>IFERROR(MID(L210,FIND(".",L210,FIND(".",L210)+1)+1,99),"")</ns0:f>
        <ns0:v>99</ns0:v>
      </ns0:c>
      <ns0:c r="P210" s="0">
        <ns0:f>IFERROR(IF(FIND(".",L210)=5,--M210,--O210),0)</ns0:f>
        <ns0:v>0</ns0:v>
      </ns0:c>
      <ns0:c r="Q210" s="0">
        <ns0:f>IFERROR(--N210,0)</ns0:f>
        <ns0:v>0</ns0:v>
      </ns0:c>
      <ns0:c r="R210" s="0">
        <ns0:f>IFERROR(IF(FIND(".",L210)=5,--O210,--M210),0)</ns0:f>
        <ns0:v>0</ns0:v>
      </ns0:c>
      <ns0:c r="S210" s="0">
        <ns0:f>IFERROR(IF(AND(P210&gt;=2000,P210&lt;=2100,Q210&gt;=1,Q210&lt;=12,R210&gt;=1,R210&lt;=31),DATE(P210,Q210,R210),0),0)</ns0:f>
        <ns0:v>0</ns0:v>
      </ns0:c>
      <ns0:c r="T210" s="0">
        <ns0:f>IFERROR(IF(ISNUMBER(Bookings!D210),IF(AND(Bookings!D210=INT(Bookings!D210),Bookings!D210&gt;=DATE(2000,1,1),Bookings!D210&lt;=DATE(2100,12,31)),Bookings!D210,0),IF(AND(K210&lt;&gt;"",LEN("x"&amp;L210)-LEN(SUBSTITUTE("x"&amp;L210,".",""))=2,OR(1&gt;LEN(L210),MID(L210,1,1)=".",ISNUMBER(FIND("x"&amp;MID(L210,1,1),"x0x1x2x3x4x5x6x7x8x9"))),OR(2&gt;LEN(L210),MID(L210,2,1)=".",ISNUMBER(FIND("x"&amp;MID(L210,2,1),"x0x1x2x3x4x5x6x7x8x9"))),OR(3&gt;LEN(L210),MID(L210,3,1)=".",ISNUMBER(FIND("x"&amp;MID(L210,3,1),"x0x1x2x3x4x5x6x7x8x9"))),OR(4&gt;LEN(L210),MID(L210,4,1)=".",ISNUMBER(FIND("x"&amp;MID(L210,4,1),"x0x1x2x3x4x5x6x7x8x9"))),OR(5&gt;LEN(L210),MID(L210,5,1)=".",ISNUMBER(FIND("x"&amp;MID(L210,5,1),"x0x1x2x3x4x5x6x7x8x9"))),OR(6&gt;LEN(L210),MID(L210,6,1)=".",ISNUMBER(FIND("x"&amp;MID(L210,6,1),"x0x1x2x3x4x5x6x7x8x9"))),OR(7&gt;LEN(L210),MID(L210,7,1)=".",ISNUMBER(FIND("x"&amp;MID(L210,7,1),"x0x1x2x3x4x5x6x7x8x9"))),OR(8&gt;LEN(L210),MID(L210,8,1)=".",ISNUMBER(FIND("x"&amp;MID(L210,8,1),"x0x1x2x3x4x5x6x7x8x9"))),OR(9&gt;LEN(L210),MID(L210,9,1)=".",ISNUMBER(FIND("x"&amp;MID(L210,9,1),"x0x1x2x3x4x5x6x7x8x9"))),OR(10&gt;LEN(L210),MID(L210,10,1)=".",ISNUMBER(FIND("x"&amp;MID(L210,10,1),"x0x1x2x3x4x5x6x7x8x9"))),OR(AND(FIND(".",L210)=5,LEN(L210)-FIND(".",L210,FIND(".",L210)+1)&gt;=1,LEN(L210)-FIND(".",L210,FIND(".",L210)+1)&lt;=2),AND(LEN(L210)-FIND(".",L210,FIND(".",L210)+1)=4,FIND(".",L210)&gt;=2,FIND(".",L210)&lt;=3)),FIND(".",L210,FIND(".",L210)+1)-FIND(".",L210)&gt;=2,FIND(".",L210,FIND(".",L210)+1)-FIND(".",L210)&lt;=3,P210&gt;=2000,P210&lt;=2100,YEAR(S210)=P210,MONTH(S210)=Q210,DAY(S210)=R210),S210,0)),0)</ns0:f>
        <ns0:v>0</ns0:v>
      </ns0:c>
      <ns0:c r="U210" s="0" t="str">
        <ns0:f>IF(Bookings!C210="","Full day",Bookings!C210)</ns0:f>
        <ns0:v>Full day</ns0:v>
      </ns0:c>
      <ns0:c r="V210" s="0" t="str">
        <ns0:f>IF(Bookings!E210="","Full day",Bookings!E210)</ns0:f>
        <ns0:v>Full day</ns0:v>
      </ns0:c>
      <ns0:c r="W210" s="0">
        <ns0:f>IF(J210=0,0,J210+IF(U210="PM",1,0))</ns0:f>
        <ns0:v>0</ns0:v>
      </ns0:c>
      <ns0:c r="X210" s="0">
        <ns0:f>IF(T210=0,0,T210-IF(V210="PM",1,0))</ns0:f>
        <ns0:v>0</ns0:v>
      </ns0:c>
      <ns0:c r="Y210" s="0">
        <ns0:f>IF(J210=0,0,J210+IF(U210="AM",1,0))</ns0:f>
        <ns0:v>0</ns0:v>
      </ns0:c>
      <ns0:c r="Z210" s="0">
        <ns0:f>IF(T210=0,0,T210-IF(V210="AM",1,0))</ns0:f>
        <ns0:v>0</ns0:v>
      </ns0:c>
      <ns0:c r="AA210" s="0">
        <ns0:f>IFERROR(IF(AND(J210&gt;0,'_Engine'!C210&gt;0,MID('_Engine'!W210,WEEKDAY(J210,2),1)="W",COUNTIF(Settings!$F$18:$F$67,J210)=0),1,0),0)</ns0:f>
        <ns0:v>0</ns0:v>
      </ns0:c>
      <ns0:c r="AB210" s="0">
        <ns0:f>IFERROR(IF(AND(T210&gt;0,'_Engine'!C210&gt;0,MID('_Engine'!W210,WEEKDAY(T210,2),1)="W",COUNTIF(Settings!$F$18:$F$67,T210)=0),1,0),0)</ns0:f>
        <ns0:v>0</ns0:v>
      </ns0:c>
      <ns0:c r="AC210" s="0">
        <ns0:f>IF(AND(J210&gt;0,T210&gt;0,W210&lt;=X210),1,0)</ns0:f>
        <ns0:v>0</ns0:v>
      </ns0:c>
      <ns0:c r="AD210" s="0">
        <ns0:f>IF(AND(J210&gt;0,T210&gt;0,Y210&lt;=Z210),1,0)</ns0:f>
        <ns0:v>0</ns0:v>
      </ns0:c>
    </ns0:row>
    <ns0:row r="211">
      <ns0:c r="A211" s="0">
        <ns0:f>IFERROR(IF(ISNUMBER(Bookings!B211),"",TRIM(Bookings!B211&amp;"")),"")</ns0:f>
      </ns0:c>
      <ns0:c r="B211" s="0">
        <ns0:f>IFERROR(SUBSTITUTE(SUBSTITUTE(A211,"/","."),"-","."),"")</ns0:f>
      </ns0:c>
      <ns0:c r="C211" s="0">
        <ns0:f>IFERROR(LEFT(B211,FIND(".",B211)-1),"")</ns0:f>
      </ns0:c>
      <ns0:c r="D211" s="0">
        <ns0:f>IFERROR(MID(B211,FIND(".",B211)+1,FIND(".",B211,FIND(".",B211)+1)-FIND(".",B211)-1),"")</ns0:f>
      </ns0:c>
      <ns0:c r="E211" s="0">
        <ns0:f>IFERROR(MID(B211,FIND(".",B211,FIND(".",B211)+1)+1,99),"")</ns0:f>
        <ns0:v>99</ns0:v>
      </ns0:c>
      <ns0:c r="F211" s="0">
        <ns0:f>IFERROR(IF(FIND(".",B211)=5,--C211,--E211),0)</ns0:f>
        <ns0:v>0</ns0:v>
      </ns0:c>
      <ns0:c r="G211" s="0">
        <ns0:f>IFERROR(--D211,0)</ns0:f>
        <ns0:v>0</ns0:v>
      </ns0:c>
      <ns0:c r="H211" s="0">
        <ns0:f>IFERROR(IF(FIND(".",B211)=5,--E211,--C211),0)</ns0:f>
        <ns0:v>0</ns0:v>
      </ns0:c>
      <ns0:c r="I211" s="0">
        <ns0:f>IFERROR(IF(AND(F211&gt;=2000,F211&lt;=2100,G211&gt;=1,G211&lt;=12,H211&gt;=1,H211&lt;=31),DATE(F211,G211,H211),0),0)</ns0:f>
        <ns0:v>0</ns0:v>
      </ns0:c>
      <ns0:c r="J211" s="0">
        <ns0:f>IFERROR(IF(ISNUMBER(Bookings!B211),IF(AND(Bookings!B211=INT(Bookings!B211),Bookings!B211&gt;=DATE(2000,1,1),Bookings!B211&lt;=DATE(2100,12,31)),Bookings!B211,0),IF(AND(A211&lt;&gt;"",LEN("x"&amp;B211)-LEN(SUBSTITUTE("x"&amp;B211,".",""))=2,OR(1&gt;LEN(B211),MID(B211,1,1)=".",ISNUMBER(FIND("x"&amp;MID(B211,1,1),"x0x1x2x3x4x5x6x7x8x9"))),OR(2&gt;LEN(B211),MID(B211,2,1)=".",ISNUMBER(FIND("x"&amp;MID(B211,2,1),"x0x1x2x3x4x5x6x7x8x9"))),OR(3&gt;LEN(B211),MID(B211,3,1)=".",ISNUMBER(FIND("x"&amp;MID(B211,3,1),"x0x1x2x3x4x5x6x7x8x9"))),OR(4&gt;LEN(B211),MID(B211,4,1)=".",ISNUMBER(FIND("x"&amp;MID(B211,4,1),"x0x1x2x3x4x5x6x7x8x9"))),OR(5&gt;LEN(B211),MID(B211,5,1)=".",ISNUMBER(FIND("x"&amp;MID(B211,5,1),"x0x1x2x3x4x5x6x7x8x9"))),OR(6&gt;LEN(B211),MID(B211,6,1)=".",ISNUMBER(FIND("x"&amp;MID(B211,6,1),"x0x1x2x3x4x5x6x7x8x9"))),OR(7&gt;LEN(B211),MID(B211,7,1)=".",ISNUMBER(FIND("x"&amp;MID(B211,7,1),"x0x1x2x3x4x5x6x7x8x9"))),OR(8&gt;LEN(B211),MID(B211,8,1)=".",ISNUMBER(FIND("x"&amp;MID(B211,8,1),"x0x1x2x3x4x5x6x7x8x9"))),OR(9&gt;LEN(B211),MID(B211,9,1)=".",ISNUMBER(FIND("x"&amp;MID(B211,9,1),"x0x1x2x3x4x5x6x7x8x9"))),OR(10&gt;LEN(B211),MID(B211,10,1)=".",ISNUMBER(FIND("x"&amp;MID(B211,10,1),"x0x1x2x3x4x5x6x7x8x9"))),OR(AND(FIND(".",B211)=5,LEN(B211)-FIND(".",B211,FIND(".",B211)+1)&gt;=1,LEN(B211)-FIND(".",B211,FIND(".",B211)+1)&lt;=2),AND(LEN(B211)-FIND(".",B211,FIND(".",B211)+1)=4,FIND(".",B211)&gt;=2,FIND(".",B211)&lt;=3)),FIND(".",B211,FIND(".",B211)+1)-FIND(".",B211)&gt;=2,FIND(".",B211,FIND(".",B211)+1)-FIND(".",B211)&lt;=3,F211&gt;=2000,F211&lt;=2100,YEAR(I211)=F211,MONTH(I211)=G211,DAY(I211)=H211),I211,0)),0)</ns0:f>
        <ns0:v>0</ns0:v>
      </ns0:c>
      <ns0:c r="K211" s="0">
        <ns0:f>IFERROR(IF(ISNUMBER(Bookings!D211),"",TRIM(Bookings!D211&amp;"")),"")</ns0:f>
      </ns0:c>
      <ns0:c r="L211" s="0">
        <ns0:f>IFERROR(SUBSTITUTE(SUBSTITUTE(K211,"/","."),"-","."),"")</ns0:f>
      </ns0:c>
      <ns0:c r="M211" s="0">
        <ns0:f>IFERROR(LEFT(L211,FIND(".",L211)-1),"")</ns0:f>
      </ns0:c>
      <ns0:c r="N211" s="0">
        <ns0:f>IFERROR(MID(L211,FIND(".",L211)+1,FIND(".",L211,FIND(".",L211)+1)-FIND(".",L211)-1),"")</ns0:f>
      </ns0:c>
      <ns0:c r="O211" s="0">
        <ns0:f>IFERROR(MID(L211,FIND(".",L211,FIND(".",L211)+1)+1,99),"")</ns0:f>
        <ns0:v>99</ns0:v>
      </ns0:c>
      <ns0:c r="P211" s="0">
        <ns0:f>IFERROR(IF(FIND(".",L211)=5,--M211,--O211),0)</ns0:f>
        <ns0:v>0</ns0:v>
      </ns0:c>
      <ns0:c r="Q211" s="0">
        <ns0:f>IFERROR(--N211,0)</ns0:f>
        <ns0:v>0</ns0:v>
      </ns0:c>
      <ns0:c r="R211" s="0">
        <ns0:f>IFERROR(IF(FIND(".",L211)=5,--O211,--M211),0)</ns0:f>
        <ns0:v>0</ns0:v>
      </ns0:c>
      <ns0:c r="S211" s="0">
        <ns0:f>IFERROR(IF(AND(P211&gt;=2000,P211&lt;=2100,Q211&gt;=1,Q211&lt;=12,R211&gt;=1,R211&lt;=31),DATE(P211,Q211,R211),0),0)</ns0:f>
        <ns0:v>0</ns0:v>
      </ns0:c>
      <ns0:c r="T211" s="0">
        <ns0:f>IFERROR(IF(ISNUMBER(Bookings!D211),IF(AND(Bookings!D211=INT(Bookings!D211),Bookings!D211&gt;=DATE(2000,1,1),Bookings!D211&lt;=DATE(2100,12,31)),Bookings!D211,0),IF(AND(K211&lt;&gt;"",LEN("x"&amp;L211)-LEN(SUBSTITUTE("x"&amp;L211,".",""))=2,OR(1&gt;LEN(L211),MID(L211,1,1)=".",ISNUMBER(FIND("x"&amp;MID(L211,1,1),"x0x1x2x3x4x5x6x7x8x9"))),OR(2&gt;LEN(L211),MID(L211,2,1)=".",ISNUMBER(FIND("x"&amp;MID(L211,2,1),"x0x1x2x3x4x5x6x7x8x9"))),OR(3&gt;LEN(L211),MID(L211,3,1)=".",ISNUMBER(FIND("x"&amp;MID(L211,3,1),"x0x1x2x3x4x5x6x7x8x9"))),OR(4&gt;LEN(L211),MID(L211,4,1)=".",ISNUMBER(FIND("x"&amp;MID(L211,4,1),"x0x1x2x3x4x5x6x7x8x9"))),OR(5&gt;LEN(L211),MID(L211,5,1)=".",ISNUMBER(FIND("x"&amp;MID(L211,5,1),"x0x1x2x3x4x5x6x7x8x9"))),OR(6&gt;LEN(L211),MID(L211,6,1)=".",ISNUMBER(FIND("x"&amp;MID(L211,6,1),"x0x1x2x3x4x5x6x7x8x9"))),OR(7&gt;LEN(L211),MID(L211,7,1)=".",ISNUMBER(FIND("x"&amp;MID(L211,7,1),"x0x1x2x3x4x5x6x7x8x9"))),OR(8&gt;LEN(L211),MID(L211,8,1)=".",ISNUMBER(FIND("x"&amp;MID(L211,8,1),"x0x1x2x3x4x5x6x7x8x9"))),OR(9&gt;LEN(L211),MID(L211,9,1)=".",ISNUMBER(FIND("x"&amp;MID(L211,9,1),"x0x1x2x3x4x5x6x7x8x9"))),OR(10&gt;LEN(L211),MID(L211,10,1)=".",ISNUMBER(FIND("x"&amp;MID(L211,10,1),"x0x1x2x3x4x5x6x7x8x9"))),OR(AND(FIND(".",L211)=5,LEN(L211)-FIND(".",L211,FIND(".",L211)+1)&gt;=1,LEN(L211)-FIND(".",L211,FIND(".",L211)+1)&lt;=2),AND(LEN(L211)-FIND(".",L211,FIND(".",L211)+1)=4,FIND(".",L211)&gt;=2,FIND(".",L211)&lt;=3)),FIND(".",L211,FIND(".",L211)+1)-FIND(".",L211)&gt;=2,FIND(".",L211,FIND(".",L211)+1)-FIND(".",L211)&lt;=3,P211&gt;=2000,P211&lt;=2100,YEAR(S211)=P211,MONTH(S211)=Q211,DAY(S211)=R211),S211,0)),0)</ns0:f>
        <ns0:v>0</ns0:v>
      </ns0:c>
      <ns0:c r="U211" s="0" t="str">
        <ns0:f>IF(Bookings!C211="","Full day",Bookings!C211)</ns0:f>
        <ns0:v>Full day</ns0:v>
      </ns0:c>
      <ns0:c r="V211" s="0" t="str">
        <ns0:f>IF(Bookings!E211="","Full day",Bookings!E211)</ns0:f>
        <ns0:v>Full day</ns0:v>
      </ns0:c>
      <ns0:c r="W211" s="0">
        <ns0:f>IF(J211=0,0,J211+IF(U211="PM",1,0))</ns0:f>
        <ns0:v>0</ns0:v>
      </ns0:c>
      <ns0:c r="X211" s="0">
        <ns0:f>IF(T211=0,0,T211-IF(V211="PM",1,0))</ns0:f>
        <ns0:v>0</ns0:v>
      </ns0:c>
      <ns0:c r="Y211" s="0">
        <ns0:f>IF(J211=0,0,J211+IF(U211="AM",1,0))</ns0:f>
        <ns0:v>0</ns0:v>
      </ns0:c>
      <ns0:c r="Z211" s="0">
        <ns0:f>IF(T211=0,0,T211-IF(V211="AM",1,0))</ns0:f>
        <ns0:v>0</ns0:v>
      </ns0:c>
      <ns0:c r="AA211" s="0">
        <ns0:f>IFERROR(IF(AND(J211&gt;0,'_Engine'!C211&gt;0,MID('_Engine'!W211,WEEKDAY(J211,2),1)="W",COUNTIF(Settings!$F$18:$F$67,J211)=0),1,0),0)</ns0:f>
        <ns0:v>0</ns0:v>
      </ns0:c>
      <ns0:c r="AB211" s="0">
        <ns0:f>IFERROR(IF(AND(T211&gt;0,'_Engine'!C211&gt;0,MID('_Engine'!W211,WEEKDAY(T211,2),1)="W",COUNTIF(Settings!$F$18:$F$67,T211)=0),1,0),0)</ns0:f>
        <ns0:v>0</ns0:v>
      </ns0:c>
      <ns0:c r="AC211" s="0">
        <ns0:f>IF(AND(J211&gt;0,T211&gt;0,W211&lt;=X211),1,0)</ns0:f>
        <ns0:v>0</ns0:v>
      </ns0:c>
      <ns0:c r="AD211" s="0">
        <ns0:f>IF(AND(J211&gt;0,T211&gt;0,Y211&lt;=Z211),1,0)</ns0:f>
        <ns0:v>0</ns0:v>
      </ns0:c>
    </ns0:row>
    <ns0:row r="212">
      <ns0:c r="A212" s="0">
        <ns0:f>IFERROR(IF(ISNUMBER(Bookings!B212),"",TRIM(Bookings!B212&amp;"")),"")</ns0:f>
      </ns0:c>
      <ns0:c r="B212" s="0">
        <ns0:f>IFERROR(SUBSTITUTE(SUBSTITUTE(A212,"/","."),"-","."),"")</ns0:f>
      </ns0:c>
      <ns0:c r="C212" s="0">
        <ns0:f>IFERROR(LEFT(B212,FIND(".",B212)-1),"")</ns0:f>
      </ns0:c>
      <ns0:c r="D212" s="0">
        <ns0:f>IFERROR(MID(B212,FIND(".",B212)+1,FIND(".",B212,FIND(".",B212)+1)-FIND(".",B212)-1),"")</ns0:f>
      </ns0:c>
      <ns0:c r="E212" s="0">
        <ns0:f>IFERROR(MID(B212,FIND(".",B212,FIND(".",B212)+1)+1,99),"")</ns0:f>
        <ns0:v>99</ns0:v>
      </ns0:c>
      <ns0:c r="F212" s="0">
        <ns0:f>IFERROR(IF(FIND(".",B212)=5,--C212,--E212),0)</ns0:f>
        <ns0:v>0</ns0:v>
      </ns0:c>
      <ns0:c r="G212" s="0">
        <ns0:f>IFERROR(--D212,0)</ns0:f>
        <ns0:v>0</ns0:v>
      </ns0:c>
      <ns0:c r="H212" s="0">
        <ns0:f>IFERROR(IF(FIND(".",B212)=5,--E212,--C212),0)</ns0:f>
        <ns0:v>0</ns0:v>
      </ns0:c>
      <ns0:c r="I212" s="0">
        <ns0:f>IFERROR(IF(AND(F212&gt;=2000,F212&lt;=2100,G212&gt;=1,G212&lt;=12,H212&gt;=1,H212&lt;=31),DATE(F212,G212,H212),0),0)</ns0:f>
        <ns0:v>0</ns0:v>
      </ns0:c>
      <ns0:c r="J212" s="0">
        <ns0:f>IFERROR(IF(ISNUMBER(Bookings!B212),IF(AND(Bookings!B212=INT(Bookings!B212),Bookings!B212&gt;=DATE(2000,1,1),Bookings!B212&lt;=DATE(2100,12,31)),Bookings!B212,0),IF(AND(A212&lt;&gt;"",LEN("x"&amp;B212)-LEN(SUBSTITUTE("x"&amp;B212,".",""))=2,OR(1&gt;LEN(B212),MID(B212,1,1)=".",ISNUMBER(FIND("x"&amp;MID(B212,1,1),"x0x1x2x3x4x5x6x7x8x9"))),OR(2&gt;LEN(B212),MID(B212,2,1)=".",ISNUMBER(FIND("x"&amp;MID(B212,2,1),"x0x1x2x3x4x5x6x7x8x9"))),OR(3&gt;LEN(B212),MID(B212,3,1)=".",ISNUMBER(FIND("x"&amp;MID(B212,3,1),"x0x1x2x3x4x5x6x7x8x9"))),OR(4&gt;LEN(B212),MID(B212,4,1)=".",ISNUMBER(FIND("x"&amp;MID(B212,4,1),"x0x1x2x3x4x5x6x7x8x9"))),OR(5&gt;LEN(B212),MID(B212,5,1)=".",ISNUMBER(FIND("x"&amp;MID(B212,5,1),"x0x1x2x3x4x5x6x7x8x9"))),OR(6&gt;LEN(B212),MID(B212,6,1)=".",ISNUMBER(FIND("x"&amp;MID(B212,6,1),"x0x1x2x3x4x5x6x7x8x9"))),OR(7&gt;LEN(B212),MID(B212,7,1)=".",ISNUMBER(FIND("x"&amp;MID(B212,7,1),"x0x1x2x3x4x5x6x7x8x9"))),OR(8&gt;LEN(B212),MID(B212,8,1)=".",ISNUMBER(FIND("x"&amp;MID(B212,8,1),"x0x1x2x3x4x5x6x7x8x9"))),OR(9&gt;LEN(B212),MID(B212,9,1)=".",ISNUMBER(FIND("x"&amp;MID(B212,9,1),"x0x1x2x3x4x5x6x7x8x9"))),OR(10&gt;LEN(B212),MID(B212,10,1)=".",ISNUMBER(FIND("x"&amp;MID(B212,10,1),"x0x1x2x3x4x5x6x7x8x9"))),OR(AND(FIND(".",B212)=5,LEN(B212)-FIND(".",B212,FIND(".",B212)+1)&gt;=1,LEN(B212)-FIND(".",B212,FIND(".",B212)+1)&lt;=2),AND(LEN(B212)-FIND(".",B212,FIND(".",B212)+1)=4,FIND(".",B212)&gt;=2,FIND(".",B212)&lt;=3)),FIND(".",B212,FIND(".",B212)+1)-FIND(".",B212)&gt;=2,FIND(".",B212,FIND(".",B212)+1)-FIND(".",B212)&lt;=3,F212&gt;=2000,F212&lt;=2100,YEAR(I212)=F212,MONTH(I212)=G212,DAY(I212)=H212),I212,0)),0)</ns0:f>
        <ns0:v>0</ns0:v>
      </ns0:c>
      <ns0:c r="K212" s="0">
        <ns0:f>IFERROR(IF(ISNUMBER(Bookings!D212),"",TRIM(Bookings!D212&amp;"")),"")</ns0:f>
      </ns0:c>
      <ns0:c r="L212" s="0">
        <ns0:f>IFERROR(SUBSTITUTE(SUBSTITUTE(K212,"/","."),"-","."),"")</ns0:f>
      </ns0:c>
      <ns0:c r="M212" s="0">
        <ns0:f>IFERROR(LEFT(L212,FIND(".",L212)-1),"")</ns0:f>
      </ns0:c>
      <ns0:c r="N212" s="0">
        <ns0:f>IFERROR(MID(L212,FIND(".",L212)+1,FIND(".",L212,FIND(".",L212)+1)-FIND(".",L212)-1),"")</ns0:f>
      </ns0:c>
      <ns0:c r="O212" s="0">
        <ns0:f>IFERROR(MID(L212,FIND(".",L212,FIND(".",L212)+1)+1,99),"")</ns0:f>
        <ns0:v>99</ns0:v>
      </ns0:c>
      <ns0:c r="P212" s="0">
        <ns0:f>IFERROR(IF(FIND(".",L212)=5,--M212,--O212),0)</ns0:f>
        <ns0:v>0</ns0:v>
      </ns0:c>
      <ns0:c r="Q212" s="0">
        <ns0:f>IFERROR(--N212,0)</ns0:f>
        <ns0:v>0</ns0:v>
      </ns0:c>
      <ns0:c r="R212" s="0">
        <ns0:f>IFERROR(IF(FIND(".",L212)=5,--O212,--M212),0)</ns0:f>
        <ns0:v>0</ns0:v>
      </ns0:c>
      <ns0:c r="S212" s="0">
        <ns0:f>IFERROR(IF(AND(P212&gt;=2000,P212&lt;=2100,Q212&gt;=1,Q212&lt;=12,R212&gt;=1,R212&lt;=31),DATE(P212,Q212,R212),0),0)</ns0:f>
        <ns0:v>0</ns0:v>
      </ns0:c>
      <ns0:c r="T212" s="0">
        <ns0:f>IFERROR(IF(ISNUMBER(Bookings!D212),IF(AND(Bookings!D212=INT(Bookings!D212),Bookings!D212&gt;=DATE(2000,1,1),Bookings!D212&lt;=DATE(2100,12,31)),Bookings!D212,0),IF(AND(K212&lt;&gt;"",LEN("x"&amp;L212)-LEN(SUBSTITUTE("x"&amp;L212,".",""))=2,OR(1&gt;LEN(L212),MID(L212,1,1)=".",ISNUMBER(FIND("x"&amp;MID(L212,1,1),"x0x1x2x3x4x5x6x7x8x9"))),OR(2&gt;LEN(L212),MID(L212,2,1)=".",ISNUMBER(FIND("x"&amp;MID(L212,2,1),"x0x1x2x3x4x5x6x7x8x9"))),OR(3&gt;LEN(L212),MID(L212,3,1)=".",ISNUMBER(FIND("x"&amp;MID(L212,3,1),"x0x1x2x3x4x5x6x7x8x9"))),OR(4&gt;LEN(L212),MID(L212,4,1)=".",ISNUMBER(FIND("x"&amp;MID(L212,4,1),"x0x1x2x3x4x5x6x7x8x9"))),OR(5&gt;LEN(L212),MID(L212,5,1)=".",ISNUMBER(FIND("x"&amp;MID(L212,5,1),"x0x1x2x3x4x5x6x7x8x9"))),OR(6&gt;LEN(L212),MID(L212,6,1)=".",ISNUMBER(FIND("x"&amp;MID(L212,6,1),"x0x1x2x3x4x5x6x7x8x9"))),OR(7&gt;LEN(L212),MID(L212,7,1)=".",ISNUMBER(FIND("x"&amp;MID(L212,7,1),"x0x1x2x3x4x5x6x7x8x9"))),OR(8&gt;LEN(L212),MID(L212,8,1)=".",ISNUMBER(FIND("x"&amp;MID(L212,8,1),"x0x1x2x3x4x5x6x7x8x9"))),OR(9&gt;LEN(L212),MID(L212,9,1)=".",ISNUMBER(FIND("x"&amp;MID(L212,9,1),"x0x1x2x3x4x5x6x7x8x9"))),OR(10&gt;LEN(L212),MID(L212,10,1)=".",ISNUMBER(FIND("x"&amp;MID(L212,10,1),"x0x1x2x3x4x5x6x7x8x9"))),OR(AND(FIND(".",L212)=5,LEN(L212)-FIND(".",L212,FIND(".",L212)+1)&gt;=1,LEN(L212)-FIND(".",L212,FIND(".",L212)+1)&lt;=2),AND(LEN(L212)-FIND(".",L212,FIND(".",L212)+1)=4,FIND(".",L212)&gt;=2,FIND(".",L212)&lt;=3)),FIND(".",L212,FIND(".",L212)+1)-FIND(".",L212)&gt;=2,FIND(".",L212,FIND(".",L212)+1)-FIND(".",L212)&lt;=3,P212&gt;=2000,P212&lt;=2100,YEAR(S212)=P212,MONTH(S212)=Q212,DAY(S212)=R212),S212,0)),0)</ns0:f>
        <ns0:v>0</ns0:v>
      </ns0:c>
      <ns0:c r="U212" s="0" t="str">
        <ns0:f>IF(Bookings!C212="","Full day",Bookings!C212)</ns0:f>
        <ns0:v>Full day</ns0:v>
      </ns0:c>
      <ns0:c r="V212" s="0" t="str">
        <ns0:f>IF(Bookings!E212="","Full day",Bookings!E212)</ns0:f>
        <ns0:v>Full day</ns0:v>
      </ns0:c>
      <ns0:c r="W212" s="0">
        <ns0:f>IF(J212=0,0,J212+IF(U212="PM",1,0))</ns0:f>
        <ns0:v>0</ns0:v>
      </ns0:c>
      <ns0:c r="X212" s="0">
        <ns0:f>IF(T212=0,0,T212-IF(V212="PM",1,0))</ns0:f>
        <ns0:v>0</ns0:v>
      </ns0:c>
      <ns0:c r="Y212" s="0">
        <ns0:f>IF(J212=0,0,J212+IF(U212="AM",1,0))</ns0:f>
        <ns0:v>0</ns0:v>
      </ns0:c>
      <ns0:c r="Z212" s="0">
        <ns0:f>IF(T212=0,0,T212-IF(V212="AM",1,0))</ns0:f>
        <ns0:v>0</ns0:v>
      </ns0:c>
      <ns0:c r="AA212" s="0">
        <ns0:f>IFERROR(IF(AND(J212&gt;0,'_Engine'!C212&gt;0,MID('_Engine'!W212,WEEKDAY(J212,2),1)="W",COUNTIF(Settings!$F$18:$F$67,J212)=0),1,0),0)</ns0:f>
        <ns0:v>0</ns0:v>
      </ns0:c>
      <ns0:c r="AB212" s="0">
        <ns0:f>IFERROR(IF(AND(T212&gt;0,'_Engine'!C212&gt;0,MID('_Engine'!W212,WEEKDAY(T212,2),1)="W",COUNTIF(Settings!$F$18:$F$67,T212)=0),1,0),0)</ns0:f>
        <ns0:v>0</ns0:v>
      </ns0:c>
      <ns0:c r="AC212" s="0">
        <ns0:f>IF(AND(J212&gt;0,T212&gt;0,W212&lt;=X212),1,0)</ns0:f>
        <ns0:v>0</ns0:v>
      </ns0:c>
      <ns0:c r="AD212" s="0">
        <ns0:f>IF(AND(J212&gt;0,T212&gt;0,Y212&lt;=Z212),1,0)</ns0:f>
        <ns0:v>0</ns0:v>
      </ns0:c>
    </ns0:row>
    <ns0:row r="213">
      <ns0:c r="A213" s="0">
        <ns0:f>IFERROR(IF(ISNUMBER(Bookings!B213),"",TRIM(Bookings!B213&amp;"")),"")</ns0:f>
      </ns0:c>
      <ns0:c r="B213" s="0">
        <ns0:f>IFERROR(SUBSTITUTE(SUBSTITUTE(A213,"/","."),"-","."),"")</ns0:f>
      </ns0:c>
      <ns0:c r="C213" s="0">
        <ns0:f>IFERROR(LEFT(B213,FIND(".",B213)-1),"")</ns0:f>
      </ns0:c>
      <ns0:c r="D213" s="0">
        <ns0:f>IFERROR(MID(B213,FIND(".",B213)+1,FIND(".",B213,FIND(".",B213)+1)-FIND(".",B213)-1),"")</ns0:f>
      </ns0:c>
      <ns0:c r="E213" s="0">
        <ns0:f>IFERROR(MID(B213,FIND(".",B213,FIND(".",B213)+1)+1,99),"")</ns0:f>
        <ns0:v>99</ns0:v>
      </ns0:c>
      <ns0:c r="F213" s="0">
        <ns0:f>IFERROR(IF(FIND(".",B213)=5,--C213,--E213),0)</ns0:f>
        <ns0:v>0</ns0:v>
      </ns0:c>
      <ns0:c r="G213" s="0">
        <ns0:f>IFERROR(--D213,0)</ns0:f>
        <ns0:v>0</ns0:v>
      </ns0:c>
      <ns0:c r="H213" s="0">
        <ns0:f>IFERROR(IF(FIND(".",B213)=5,--E213,--C213),0)</ns0:f>
        <ns0:v>0</ns0:v>
      </ns0:c>
      <ns0:c r="I213" s="0">
        <ns0:f>IFERROR(IF(AND(F213&gt;=2000,F213&lt;=2100,G213&gt;=1,G213&lt;=12,H213&gt;=1,H213&lt;=31),DATE(F213,G213,H213),0),0)</ns0:f>
        <ns0:v>0</ns0:v>
      </ns0:c>
      <ns0:c r="J213" s="0">
        <ns0:f>IFERROR(IF(ISNUMBER(Bookings!B213),IF(AND(Bookings!B213=INT(Bookings!B213),Bookings!B213&gt;=DATE(2000,1,1),Bookings!B213&lt;=DATE(2100,12,31)),Bookings!B213,0),IF(AND(A213&lt;&gt;"",LEN("x"&amp;B213)-LEN(SUBSTITUTE("x"&amp;B213,".",""))=2,OR(1&gt;LEN(B213),MID(B213,1,1)=".",ISNUMBER(FIND("x"&amp;MID(B213,1,1),"x0x1x2x3x4x5x6x7x8x9"))),OR(2&gt;LEN(B213),MID(B213,2,1)=".",ISNUMBER(FIND("x"&amp;MID(B213,2,1),"x0x1x2x3x4x5x6x7x8x9"))),OR(3&gt;LEN(B213),MID(B213,3,1)=".",ISNUMBER(FIND("x"&amp;MID(B213,3,1),"x0x1x2x3x4x5x6x7x8x9"))),OR(4&gt;LEN(B213),MID(B213,4,1)=".",ISNUMBER(FIND("x"&amp;MID(B213,4,1),"x0x1x2x3x4x5x6x7x8x9"))),OR(5&gt;LEN(B213),MID(B213,5,1)=".",ISNUMBER(FIND("x"&amp;MID(B213,5,1),"x0x1x2x3x4x5x6x7x8x9"))),OR(6&gt;LEN(B213),MID(B213,6,1)=".",ISNUMBER(FIND("x"&amp;MID(B213,6,1),"x0x1x2x3x4x5x6x7x8x9"))),OR(7&gt;LEN(B213),MID(B213,7,1)=".",ISNUMBER(FIND("x"&amp;MID(B213,7,1),"x0x1x2x3x4x5x6x7x8x9"))),OR(8&gt;LEN(B213),MID(B213,8,1)=".",ISNUMBER(FIND("x"&amp;MID(B213,8,1),"x0x1x2x3x4x5x6x7x8x9"))),OR(9&gt;LEN(B213),MID(B213,9,1)=".",ISNUMBER(FIND("x"&amp;MID(B213,9,1),"x0x1x2x3x4x5x6x7x8x9"))),OR(10&gt;LEN(B213),MID(B213,10,1)=".",ISNUMBER(FIND("x"&amp;MID(B213,10,1),"x0x1x2x3x4x5x6x7x8x9"))),OR(AND(FIND(".",B213)=5,LEN(B213)-FIND(".",B213,FIND(".",B213)+1)&gt;=1,LEN(B213)-FIND(".",B213,FIND(".",B213)+1)&lt;=2),AND(LEN(B213)-FIND(".",B213,FIND(".",B213)+1)=4,FIND(".",B213)&gt;=2,FIND(".",B213)&lt;=3)),FIND(".",B213,FIND(".",B213)+1)-FIND(".",B213)&gt;=2,FIND(".",B213,FIND(".",B213)+1)-FIND(".",B213)&lt;=3,F213&gt;=2000,F213&lt;=2100,YEAR(I213)=F213,MONTH(I213)=G213,DAY(I213)=H213),I213,0)),0)</ns0:f>
        <ns0:v>0</ns0:v>
      </ns0:c>
      <ns0:c r="K213" s="0">
        <ns0:f>IFERROR(IF(ISNUMBER(Bookings!D213),"",TRIM(Bookings!D213&amp;"")),"")</ns0:f>
      </ns0:c>
      <ns0:c r="L213" s="0">
        <ns0:f>IFERROR(SUBSTITUTE(SUBSTITUTE(K213,"/","."),"-","."),"")</ns0:f>
      </ns0:c>
      <ns0:c r="M213" s="0">
        <ns0:f>IFERROR(LEFT(L213,FIND(".",L213)-1),"")</ns0:f>
      </ns0:c>
      <ns0:c r="N213" s="0">
        <ns0:f>IFERROR(MID(L213,FIND(".",L213)+1,FIND(".",L213,FIND(".",L213)+1)-FIND(".",L213)-1),"")</ns0:f>
      </ns0:c>
      <ns0:c r="O213" s="0">
        <ns0:f>IFERROR(MID(L213,FIND(".",L213,FIND(".",L213)+1)+1,99),"")</ns0:f>
        <ns0:v>99</ns0:v>
      </ns0:c>
      <ns0:c r="P213" s="0">
        <ns0:f>IFERROR(IF(FIND(".",L213)=5,--M213,--O213),0)</ns0:f>
        <ns0:v>0</ns0:v>
      </ns0:c>
      <ns0:c r="Q213" s="0">
        <ns0:f>IFERROR(--N213,0)</ns0:f>
        <ns0:v>0</ns0:v>
      </ns0:c>
      <ns0:c r="R213" s="0">
        <ns0:f>IFERROR(IF(FIND(".",L213)=5,--O213,--M213),0)</ns0:f>
        <ns0:v>0</ns0:v>
      </ns0:c>
      <ns0:c r="S213" s="0">
        <ns0:f>IFERROR(IF(AND(P213&gt;=2000,P213&lt;=2100,Q213&gt;=1,Q213&lt;=12,R213&gt;=1,R213&lt;=31),DATE(P213,Q213,R213),0),0)</ns0:f>
        <ns0:v>0</ns0:v>
      </ns0:c>
      <ns0:c r="T213" s="0">
        <ns0:f>IFERROR(IF(ISNUMBER(Bookings!D213),IF(AND(Bookings!D213=INT(Bookings!D213),Bookings!D213&gt;=DATE(2000,1,1),Bookings!D213&lt;=DATE(2100,12,31)),Bookings!D213,0),IF(AND(K213&lt;&gt;"",LEN("x"&amp;L213)-LEN(SUBSTITUTE("x"&amp;L213,".",""))=2,OR(1&gt;LEN(L213),MID(L213,1,1)=".",ISNUMBER(FIND("x"&amp;MID(L213,1,1),"x0x1x2x3x4x5x6x7x8x9"))),OR(2&gt;LEN(L213),MID(L213,2,1)=".",ISNUMBER(FIND("x"&amp;MID(L213,2,1),"x0x1x2x3x4x5x6x7x8x9"))),OR(3&gt;LEN(L213),MID(L213,3,1)=".",ISNUMBER(FIND("x"&amp;MID(L213,3,1),"x0x1x2x3x4x5x6x7x8x9"))),OR(4&gt;LEN(L213),MID(L213,4,1)=".",ISNUMBER(FIND("x"&amp;MID(L213,4,1),"x0x1x2x3x4x5x6x7x8x9"))),OR(5&gt;LEN(L213),MID(L213,5,1)=".",ISNUMBER(FIND("x"&amp;MID(L213,5,1),"x0x1x2x3x4x5x6x7x8x9"))),OR(6&gt;LEN(L213),MID(L213,6,1)=".",ISNUMBER(FIND("x"&amp;MID(L213,6,1),"x0x1x2x3x4x5x6x7x8x9"))),OR(7&gt;LEN(L213),MID(L213,7,1)=".",ISNUMBER(FIND("x"&amp;MID(L213,7,1),"x0x1x2x3x4x5x6x7x8x9"))),OR(8&gt;LEN(L213),MID(L213,8,1)=".",ISNUMBER(FIND("x"&amp;MID(L213,8,1),"x0x1x2x3x4x5x6x7x8x9"))),OR(9&gt;LEN(L213),MID(L213,9,1)=".",ISNUMBER(FIND("x"&amp;MID(L213,9,1),"x0x1x2x3x4x5x6x7x8x9"))),OR(10&gt;LEN(L213),MID(L213,10,1)=".",ISNUMBER(FIND("x"&amp;MID(L213,10,1),"x0x1x2x3x4x5x6x7x8x9"))),OR(AND(FIND(".",L213)=5,LEN(L213)-FIND(".",L213,FIND(".",L213)+1)&gt;=1,LEN(L213)-FIND(".",L213,FIND(".",L213)+1)&lt;=2),AND(LEN(L213)-FIND(".",L213,FIND(".",L213)+1)=4,FIND(".",L213)&gt;=2,FIND(".",L213)&lt;=3)),FIND(".",L213,FIND(".",L213)+1)-FIND(".",L213)&gt;=2,FIND(".",L213,FIND(".",L213)+1)-FIND(".",L213)&lt;=3,P213&gt;=2000,P213&lt;=2100,YEAR(S213)=P213,MONTH(S213)=Q213,DAY(S213)=R213),S213,0)),0)</ns0:f>
        <ns0:v>0</ns0:v>
      </ns0:c>
      <ns0:c r="U213" s="0" t="str">
        <ns0:f>IF(Bookings!C213="","Full day",Bookings!C213)</ns0:f>
        <ns0:v>Full day</ns0:v>
      </ns0:c>
      <ns0:c r="V213" s="0" t="str">
        <ns0:f>IF(Bookings!E213="","Full day",Bookings!E213)</ns0:f>
        <ns0:v>Full day</ns0:v>
      </ns0:c>
      <ns0:c r="W213" s="0">
        <ns0:f>IF(J213=0,0,J213+IF(U213="PM",1,0))</ns0:f>
        <ns0:v>0</ns0:v>
      </ns0:c>
      <ns0:c r="X213" s="0">
        <ns0:f>IF(T213=0,0,T213-IF(V213="PM",1,0))</ns0:f>
        <ns0:v>0</ns0:v>
      </ns0:c>
      <ns0:c r="Y213" s="0">
        <ns0:f>IF(J213=0,0,J213+IF(U213="AM",1,0))</ns0:f>
        <ns0:v>0</ns0:v>
      </ns0:c>
      <ns0:c r="Z213" s="0">
        <ns0:f>IF(T213=0,0,T213-IF(V213="AM",1,0))</ns0:f>
        <ns0:v>0</ns0:v>
      </ns0:c>
      <ns0:c r="AA213" s="0">
        <ns0:f>IFERROR(IF(AND(J213&gt;0,'_Engine'!C213&gt;0,MID('_Engine'!W213,WEEKDAY(J213,2),1)="W",COUNTIF(Settings!$F$18:$F$67,J213)=0),1,0),0)</ns0:f>
        <ns0:v>0</ns0:v>
      </ns0:c>
      <ns0:c r="AB213" s="0">
        <ns0:f>IFERROR(IF(AND(T213&gt;0,'_Engine'!C213&gt;0,MID('_Engine'!W213,WEEKDAY(T213,2),1)="W",COUNTIF(Settings!$F$18:$F$67,T213)=0),1,0),0)</ns0:f>
        <ns0:v>0</ns0:v>
      </ns0:c>
      <ns0:c r="AC213" s="0">
        <ns0:f>IF(AND(J213&gt;0,T213&gt;0,W213&lt;=X213),1,0)</ns0:f>
        <ns0:v>0</ns0:v>
      </ns0:c>
      <ns0:c r="AD213" s="0">
        <ns0:f>IF(AND(J213&gt;0,T213&gt;0,Y213&lt;=Z213),1,0)</ns0:f>
        <ns0:v>0</ns0:v>
      </ns0:c>
    </ns0:row>
    <ns0:row r="214">
      <ns0:c r="A214" s="0">
        <ns0:f>IFERROR(IF(ISNUMBER(Bookings!B214),"",TRIM(Bookings!B214&amp;"")),"")</ns0:f>
      </ns0:c>
      <ns0:c r="B214" s="0">
        <ns0:f>IFERROR(SUBSTITUTE(SUBSTITUTE(A214,"/","."),"-","."),"")</ns0:f>
      </ns0:c>
      <ns0:c r="C214" s="0">
        <ns0:f>IFERROR(LEFT(B214,FIND(".",B214)-1),"")</ns0:f>
      </ns0:c>
      <ns0:c r="D214" s="0">
        <ns0:f>IFERROR(MID(B214,FIND(".",B214)+1,FIND(".",B214,FIND(".",B214)+1)-FIND(".",B214)-1),"")</ns0:f>
      </ns0:c>
      <ns0:c r="E214" s="0">
        <ns0:f>IFERROR(MID(B214,FIND(".",B214,FIND(".",B214)+1)+1,99),"")</ns0:f>
        <ns0:v>99</ns0:v>
      </ns0:c>
      <ns0:c r="F214" s="0">
        <ns0:f>IFERROR(IF(FIND(".",B214)=5,--C214,--E214),0)</ns0:f>
        <ns0:v>0</ns0:v>
      </ns0:c>
      <ns0:c r="G214" s="0">
        <ns0:f>IFERROR(--D214,0)</ns0:f>
        <ns0:v>0</ns0:v>
      </ns0:c>
      <ns0:c r="H214" s="0">
        <ns0:f>IFERROR(IF(FIND(".",B214)=5,--E214,--C214),0)</ns0:f>
        <ns0:v>0</ns0:v>
      </ns0:c>
      <ns0:c r="I214" s="0">
        <ns0:f>IFERROR(IF(AND(F214&gt;=2000,F214&lt;=2100,G214&gt;=1,G214&lt;=12,H214&gt;=1,H214&lt;=31),DATE(F214,G214,H214),0),0)</ns0:f>
        <ns0:v>0</ns0:v>
      </ns0:c>
      <ns0:c r="J214" s="0">
        <ns0:f>IFERROR(IF(ISNUMBER(Bookings!B214),IF(AND(Bookings!B214=INT(Bookings!B214),Bookings!B214&gt;=DATE(2000,1,1),Bookings!B214&lt;=DATE(2100,12,31)),Bookings!B214,0),IF(AND(A214&lt;&gt;"",LEN("x"&amp;B214)-LEN(SUBSTITUTE("x"&amp;B214,".",""))=2,OR(1&gt;LEN(B214),MID(B214,1,1)=".",ISNUMBER(FIND("x"&amp;MID(B214,1,1),"x0x1x2x3x4x5x6x7x8x9"))),OR(2&gt;LEN(B214),MID(B214,2,1)=".",ISNUMBER(FIND("x"&amp;MID(B214,2,1),"x0x1x2x3x4x5x6x7x8x9"))),OR(3&gt;LEN(B214),MID(B214,3,1)=".",ISNUMBER(FIND("x"&amp;MID(B214,3,1),"x0x1x2x3x4x5x6x7x8x9"))),OR(4&gt;LEN(B214),MID(B214,4,1)=".",ISNUMBER(FIND("x"&amp;MID(B214,4,1),"x0x1x2x3x4x5x6x7x8x9"))),OR(5&gt;LEN(B214),MID(B214,5,1)=".",ISNUMBER(FIND("x"&amp;MID(B214,5,1),"x0x1x2x3x4x5x6x7x8x9"))),OR(6&gt;LEN(B214),MID(B214,6,1)=".",ISNUMBER(FIND("x"&amp;MID(B214,6,1),"x0x1x2x3x4x5x6x7x8x9"))),OR(7&gt;LEN(B214),MID(B214,7,1)=".",ISNUMBER(FIND("x"&amp;MID(B214,7,1),"x0x1x2x3x4x5x6x7x8x9"))),OR(8&gt;LEN(B214),MID(B214,8,1)=".",ISNUMBER(FIND("x"&amp;MID(B214,8,1),"x0x1x2x3x4x5x6x7x8x9"))),OR(9&gt;LEN(B214),MID(B214,9,1)=".",ISNUMBER(FIND("x"&amp;MID(B214,9,1),"x0x1x2x3x4x5x6x7x8x9"))),OR(10&gt;LEN(B214),MID(B214,10,1)=".",ISNUMBER(FIND("x"&amp;MID(B214,10,1),"x0x1x2x3x4x5x6x7x8x9"))),OR(AND(FIND(".",B214)=5,LEN(B214)-FIND(".",B214,FIND(".",B214)+1)&gt;=1,LEN(B214)-FIND(".",B214,FIND(".",B214)+1)&lt;=2),AND(LEN(B214)-FIND(".",B214,FIND(".",B214)+1)=4,FIND(".",B214)&gt;=2,FIND(".",B214)&lt;=3)),FIND(".",B214,FIND(".",B214)+1)-FIND(".",B214)&gt;=2,FIND(".",B214,FIND(".",B214)+1)-FIND(".",B214)&lt;=3,F214&gt;=2000,F214&lt;=2100,YEAR(I214)=F214,MONTH(I214)=G214,DAY(I214)=H214),I214,0)),0)</ns0:f>
        <ns0:v>0</ns0:v>
      </ns0:c>
      <ns0:c r="K214" s="0">
        <ns0:f>IFERROR(IF(ISNUMBER(Bookings!D214),"",TRIM(Bookings!D214&amp;"")),"")</ns0:f>
      </ns0:c>
      <ns0:c r="L214" s="0">
        <ns0:f>IFERROR(SUBSTITUTE(SUBSTITUTE(K214,"/","."),"-","."),"")</ns0:f>
      </ns0:c>
      <ns0:c r="M214" s="0">
        <ns0:f>IFERROR(LEFT(L214,FIND(".",L214)-1),"")</ns0:f>
      </ns0:c>
      <ns0:c r="N214" s="0">
        <ns0:f>IFERROR(MID(L214,FIND(".",L214)+1,FIND(".",L214,FIND(".",L214)+1)-FIND(".",L214)-1),"")</ns0:f>
      </ns0:c>
      <ns0:c r="O214" s="0">
        <ns0:f>IFERROR(MID(L214,FIND(".",L214,FIND(".",L214)+1)+1,99),"")</ns0:f>
        <ns0:v>99</ns0:v>
      </ns0:c>
      <ns0:c r="P214" s="0">
        <ns0:f>IFERROR(IF(FIND(".",L214)=5,--M214,--O214),0)</ns0:f>
        <ns0:v>0</ns0:v>
      </ns0:c>
      <ns0:c r="Q214" s="0">
        <ns0:f>IFERROR(--N214,0)</ns0:f>
        <ns0:v>0</ns0:v>
      </ns0:c>
      <ns0:c r="R214" s="0">
        <ns0:f>IFERROR(IF(FIND(".",L214)=5,--O214,--M214),0)</ns0:f>
        <ns0:v>0</ns0:v>
      </ns0:c>
      <ns0:c r="S214" s="0">
        <ns0:f>IFERROR(IF(AND(P214&gt;=2000,P214&lt;=2100,Q214&gt;=1,Q214&lt;=12,R214&gt;=1,R214&lt;=31),DATE(P214,Q214,R214),0),0)</ns0:f>
        <ns0:v>0</ns0:v>
      </ns0:c>
      <ns0:c r="T214" s="0">
        <ns0:f>IFERROR(IF(ISNUMBER(Bookings!D214),IF(AND(Bookings!D214=INT(Bookings!D214),Bookings!D214&gt;=DATE(2000,1,1),Bookings!D214&lt;=DATE(2100,12,31)),Bookings!D214,0),IF(AND(K214&lt;&gt;"",LEN("x"&amp;L214)-LEN(SUBSTITUTE("x"&amp;L214,".",""))=2,OR(1&gt;LEN(L214),MID(L214,1,1)=".",ISNUMBER(FIND("x"&amp;MID(L214,1,1),"x0x1x2x3x4x5x6x7x8x9"))),OR(2&gt;LEN(L214),MID(L214,2,1)=".",ISNUMBER(FIND("x"&amp;MID(L214,2,1),"x0x1x2x3x4x5x6x7x8x9"))),OR(3&gt;LEN(L214),MID(L214,3,1)=".",ISNUMBER(FIND("x"&amp;MID(L214,3,1),"x0x1x2x3x4x5x6x7x8x9"))),OR(4&gt;LEN(L214),MID(L214,4,1)=".",ISNUMBER(FIND("x"&amp;MID(L214,4,1),"x0x1x2x3x4x5x6x7x8x9"))),OR(5&gt;LEN(L214),MID(L214,5,1)=".",ISNUMBER(FIND("x"&amp;MID(L214,5,1),"x0x1x2x3x4x5x6x7x8x9"))),OR(6&gt;LEN(L214),MID(L214,6,1)=".",ISNUMBER(FIND("x"&amp;MID(L214,6,1),"x0x1x2x3x4x5x6x7x8x9"))),OR(7&gt;LEN(L214),MID(L214,7,1)=".",ISNUMBER(FIND("x"&amp;MID(L214,7,1),"x0x1x2x3x4x5x6x7x8x9"))),OR(8&gt;LEN(L214),MID(L214,8,1)=".",ISNUMBER(FIND("x"&amp;MID(L214,8,1),"x0x1x2x3x4x5x6x7x8x9"))),OR(9&gt;LEN(L214),MID(L214,9,1)=".",ISNUMBER(FIND("x"&amp;MID(L214,9,1),"x0x1x2x3x4x5x6x7x8x9"))),OR(10&gt;LEN(L214),MID(L214,10,1)=".",ISNUMBER(FIND("x"&amp;MID(L214,10,1),"x0x1x2x3x4x5x6x7x8x9"))),OR(AND(FIND(".",L214)=5,LEN(L214)-FIND(".",L214,FIND(".",L214)+1)&gt;=1,LEN(L214)-FIND(".",L214,FIND(".",L214)+1)&lt;=2),AND(LEN(L214)-FIND(".",L214,FIND(".",L214)+1)=4,FIND(".",L214)&gt;=2,FIND(".",L214)&lt;=3)),FIND(".",L214,FIND(".",L214)+1)-FIND(".",L214)&gt;=2,FIND(".",L214,FIND(".",L214)+1)-FIND(".",L214)&lt;=3,P214&gt;=2000,P214&lt;=2100,YEAR(S214)=P214,MONTH(S214)=Q214,DAY(S214)=R214),S214,0)),0)</ns0:f>
        <ns0:v>0</ns0:v>
      </ns0:c>
      <ns0:c r="U214" s="0" t="str">
        <ns0:f>IF(Bookings!C214="","Full day",Bookings!C214)</ns0:f>
        <ns0:v>Full day</ns0:v>
      </ns0:c>
      <ns0:c r="V214" s="0" t="str">
        <ns0:f>IF(Bookings!E214="","Full day",Bookings!E214)</ns0:f>
        <ns0:v>Full day</ns0:v>
      </ns0:c>
      <ns0:c r="W214" s="0">
        <ns0:f>IF(J214=0,0,J214+IF(U214="PM",1,0))</ns0:f>
        <ns0:v>0</ns0:v>
      </ns0:c>
      <ns0:c r="X214" s="0">
        <ns0:f>IF(T214=0,0,T214-IF(V214="PM",1,0))</ns0:f>
        <ns0:v>0</ns0:v>
      </ns0:c>
      <ns0:c r="Y214" s="0">
        <ns0:f>IF(J214=0,0,J214+IF(U214="AM",1,0))</ns0:f>
        <ns0:v>0</ns0:v>
      </ns0:c>
      <ns0:c r="Z214" s="0">
        <ns0:f>IF(T214=0,0,T214-IF(V214="AM",1,0))</ns0:f>
        <ns0:v>0</ns0:v>
      </ns0:c>
      <ns0:c r="AA214" s="0">
        <ns0:f>IFERROR(IF(AND(J214&gt;0,'_Engine'!C214&gt;0,MID('_Engine'!W214,WEEKDAY(J214,2),1)="W",COUNTIF(Settings!$F$18:$F$67,J214)=0),1,0),0)</ns0:f>
        <ns0:v>0</ns0:v>
      </ns0:c>
      <ns0:c r="AB214" s="0">
        <ns0:f>IFERROR(IF(AND(T214&gt;0,'_Engine'!C214&gt;0,MID('_Engine'!W214,WEEKDAY(T214,2),1)="W",COUNTIF(Settings!$F$18:$F$67,T214)=0),1,0),0)</ns0:f>
        <ns0:v>0</ns0:v>
      </ns0:c>
      <ns0:c r="AC214" s="0">
        <ns0:f>IF(AND(J214&gt;0,T214&gt;0,W214&lt;=X214),1,0)</ns0:f>
        <ns0:v>0</ns0:v>
      </ns0:c>
      <ns0:c r="AD214" s="0">
        <ns0:f>IF(AND(J214&gt;0,T214&gt;0,Y214&lt;=Z214),1,0)</ns0:f>
        <ns0:v>0</ns0:v>
      </ns0:c>
    </ns0:row>
    <ns0:row r="215">
      <ns0:c r="A215" s="0">
        <ns0:f>IFERROR(IF(ISNUMBER(Bookings!B215),"",TRIM(Bookings!B215&amp;"")),"")</ns0:f>
      </ns0:c>
      <ns0:c r="B215" s="0">
        <ns0:f>IFERROR(SUBSTITUTE(SUBSTITUTE(A215,"/","."),"-","."),"")</ns0:f>
      </ns0:c>
      <ns0:c r="C215" s="0">
        <ns0:f>IFERROR(LEFT(B215,FIND(".",B215)-1),"")</ns0:f>
      </ns0:c>
      <ns0:c r="D215" s="0">
        <ns0:f>IFERROR(MID(B215,FIND(".",B215)+1,FIND(".",B215,FIND(".",B215)+1)-FIND(".",B215)-1),"")</ns0:f>
      </ns0:c>
      <ns0:c r="E215" s="0">
        <ns0:f>IFERROR(MID(B215,FIND(".",B215,FIND(".",B215)+1)+1,99),"")</ns0:f>
        <ns0:v>99</ns0:v>
      </ns0:c>
      <ns0:c r="F215" s="0">
        <ns0:f>IFERROR(IF(FIND(".",B215)=5,--C215,--E215),0)</ns0:f>
        <ns0:v>0</ns0:v>
      </ns0:c>
      <ns0:c r="G215" s="0">
        <ns0:f>IFERROR(--D215,0)</ns0:f>
        <ns0:v>0</ns0:v>
      </ns0:c>
      <ns0:c r="H215" s="0">
        <ns0:f>IFERROR(IF(FIND(".",B215)=5,--E215,--C215),0)</ns0:f>
        <ns0:v>0</ns0:v>
      </ns0:c>
      <ns0:c r="I215" s="0">
        <ns0:f>IFERROR(IF(AND(F215&gt;=2000,F215&lt;=2100,G215&gt;=1,G215&lt;=12,H215&gt;=1,H215&lt;=31),DATE(F215,G215,H215),0),0)</ns0:f>
        <ns0:v>0</ns0:v>
      </ns0:c>
      <ns0:c r="J215" s="0">
        <ns0:f>IFERROR(IF(ISNUMBER(Bookings!B215),IF(AND(Bookings!B215=INT(Bookings!B215),Bookings!B215&gt;=DATE(2000,1,1),Bookings!B215&lt;=DATE(2100,12,31)),Bookings!B215,0),IF(AND(A215&lt;&gt;"",LEN("x"&amp;B215)-LEN(SUBSTITUTE("x"&amp;B215,".",""))=2,OR(1&gt;LEN(B215),MID(B215,1,1)=".",ISNUMBER(FIND("x"&amp;MID(B215,1,1),"x0x1x2x3x4x5x6x7x8x9"))),OR(2&gt;LEN(B215),MID(B215,2,1)=".",ISNUMBER(FIND("x"&amp;MID(B215,2,1),"x0x1x2x3x4x5x6x7x8x9"))),OR(3&gt;LEN(B215),MID(B215,3,1)=".",ISNUMBER(FIND("x"&amp;MID(B215,3,1),"x0x1x2x3x4x5x6x7x8x9"))),OR(4&gt;LEN(B215),MID(B215,4,1)=".",ISNUMBER(FIND("x"&amp;MID(B215,4,1),"x0x1x2x3x4x5x6x7x8x9"))),OR(5&gt;LEN(B215),MID(B215,5,1)=".",ISNUMBER(FIND("x"&amp;MID(B215,5,1),"x0x1x2x3x4x5x6x7x8x9"))),OR(6&gt;LEN(B215),MID(B215,6,1)=".",ISNUMBER(FIND("x"&amp;MID(B215,6,1),"x0x1x2x3x4x5x6x7x8x9"))),OR(7&gt;LEN(B215),MID(B215,7,1)=".",ISNUMBER(FIND("x"&amp;MID(B215,7,1),"x0x1x2x3x4x5x6x7x8x9"))),OR(8&gt;LEN(B215),MID(B215,8,1)=".",ISNUMBER(FIND("x"&amp;MID(B215,8,1),"x0x1x2x3x4x5x6x7x8x9"))),OR(9&gt;LEN(B215),MID(B215,9,1)=".",ISNUMBER(FIND("x"&amp;MID(B215,9,1),"x0x1x2x3x4x5x6x7x8x9"))),OR(10&gt;LEN(B215),MID(B215,10,1)=".",ISNUMBER(FIND("x"&amp;MID(B215,10,1),"x0x1x2x3x4x5x6x7x8x9"))),OR(AND(FIND(".",B215)=5,LEN(B215)-FIND(".",B215,FIND(".",B215)+1)&gt;=1,LEN(B215)-FIND(".",B215,FIND(".",B215)+1)&lt;=2),AND(LEN(B215)-FIND(".",B215,FIND(".",B215)+1)=4,FIND(".",B215)&gt;=2,FIND(".",B215)&lt;=3)),FIND(".",B215,FIND(".",B215)+1)-FIND(".",B215)&gt;=2,FIND(".",B215,FIND(".",B215)+1)-FIND(".",B215)&lt;=3,F215&gt;=2000,F215&lt;=2100,YEAR(I215)=F215,MONTH(I215)=G215,DAY(I215)=H215),I215,0)),0)</ns0:f>
        <ns0:v>0</ns0:v>
      </ns0:c>
      <ns0:c r="K215" s="0">
        <ns0:f>IFERROR(IF(ISNUMBER(Bookings!D215),"",TRIM(Bookings!D215&amp;"")),"")</ns0:f>
      </ns0:c>
      <ns0:c r="L215" s="0">
        <ns0:f>IFERROR(SUBSTITUTE(SUBSTITUTE(K215,"/","."),"-","."),"")</ns0:f>
      </ns0:c>
      <ns0:c r="M215" s="0">
        <ns0:f>IFERROR(LEFT(L215,FIND(".",L215)-1),"")</ns0:f>
      </ns0:c>
      <ns0:c r="N215" s="0">
        <ns0:f>IFERROR(MID(L215,FIND(".",L215)+1,FIND(".",L215,FIND(".",L215)+1)-FIND(".",L215)-1),"")</ns0:f>
      </ns0:c>
      <ns0:c r="O215" s="0">
        <ns0:f>IFERROR(MID(L215,FIND(".",L215,FIND(".",L215)+1)+1,99),"")</ns0:f>
        <ns0:v>99</ns0:v>
      </ns0:c>
      <ns0:c r="P215" s="0">
        <ns0:f>IFERROR(IF(FIND(".",L215)=5,--M215,--O215),0)</ns0:f>
        <ns0:v>0</ns0:v>
      </ns0:c>
      <ns0:c r="Q215" s="0">
        <ns0:f>IFERROR(--N215,0)</ns0:f>
        <ns0:v>0</ns0:v>
      </ns0:c>
      <ns0:c r="R215" s="0">
        <ns0:f>IFERROR(IF(FIND(".",L215)=5,--O215,--M215),0)</ns0:f>
        <ns0:v>0</ns0:v>
      </ns0:c>
      <ns0:c r="S215" s="0">
        <ns0:f>IFERROR(IF(AND(P215&gt;=2000,P215&lt;=2100,Q215&gt;=1,Q215&lt;=12,R215&gt;=1,R215&lt;=31),DATE(P215,Q215,R215),0),0)</ns0:f>
        <ns0:v>0</ns0:v>
      </ns0:c>
      <ns0:c r="T215" s="0">
        <ns0:f>IFERROR(IF(ISNUMBER(Bookings!D215),IF(AND(Bookings!D215=INT(Bookings!D215),Bookings!D215&gt;=DATE(2000,1,1),Bookings!D215&lt;=DATE(2100,12,31)),Bookings!D215,0),IF(AND(K215&lt;&gt;"",LEN("x"&amp;L215)-LEN(SUBSTITUTE("x"&amp;L215,".",""))=2,OR(1&gt;LEN(L215),MID(L215,1,1)=".",ISNUMBER(FIND("x"&amp;MID(L215,1,1),"x0x1x2x3x4x5x6x7x8x9"))),OR(2&gt;LEN(L215),MID(L215,2,1)=".",ISNUMBER(FIND("x"&amp;MID(L215,2,1),"x0x1x2x3x4x5x6x7x8x9"))),OR(3&gt;LEN(L215),MID(L215,3,1)=".",ISNUMBER(FIND("x"&amp;MID(L215,3,1),"x0x1x2x3x4x5x6x7x8x9"))),OR(4&gt;LEN(L215),MID(L215,4,1)=".",ISNUMBER(FIND("x"&amp;MID(L215,4,1),"x0x1x2x3x4x5x6x7x8x9"))),OR(5&gt;LEN(L215),MID(L215,5,1)=".",ISNUMBER(FIND("x"&amp;MID(L215,5,1),"x0x1x2x3x4x5x6x7x8x9"))),OR(6&gt;LEN(L215),MID(L215,6,1)=".",ISNUMBER(FIND("x"&amp;MID(L215,6,1),"x0x1x2x3x4x5x6x7x8x9"))),OR(7&gt;LEN(L215),MID(L215,7,1)=".",ISNUMBER(FIND("x"&amp;MID(L215,7,1),"x0x1x2x3x4x5x6x7x8x9"))),OR(8&gt;LEN(L215),MID(L215,8,1)=".",ISNUMBER(FIND("x"&amp;MID(L215,8,1),"x0x1x2x3x4x5x6x7x8x9"))),OR(9&gt;LEN(L215),MID(L215,9,1)=".",ISNUMBER(FIND("x"&amp;MID(L215,9,1),"x0x1x2x3x4x5x6x7x8x9"))),OR(10&gt;LEN(L215),MID(L215,10,1)=".",ISNUMBER(FIND("x"&amp;MID(L215,10,1),"x0x1x2x3x4x5x6x7x8x9"))),OR(AND(FIND(".",L215)=5,LEN(L215)-FIND(".",L215,FIND(".",L215)+1)&gt;=1,LEN(L215)-FIND(".",L215,FIND(".",L215)+1)&lt;=2),AND(LEN(L215)-FIND(".",L215,FIND(".",L215)+1)=4,FIND(".",L215)&gt;=2,FIND(".",L215)&lt;=3)),FIND(".",L215,FIND(".",L215)+1)-FIND(".",L215)&gt;=2,FIND(".",L215,FIND(".",L215)+1)-FIND(".",L215)&lt;=3,P215&gt;=2000,P215&lt;=2100,YEAR(S215)=P215,MONTH(S215)=Q215,DAY(S215)=R215),S215,0)),0)</ns0:f>
        <ns0:v>0</ns0:v>
      </ns0:c>
      <ns0:c r="U215" s="0" t="str">
        <ns0:f>IF(Bookings!C215="","Full day",Bookings!C215)</ns0:f>
        <ns0:v>Full day</ns0:v>
      </ns0:c>
      <ns0:c r="V215" s="0" t="str">
        <ns0:f>IF(Bookings!E215="","Full day",Bookings!E215)</ns0:f>
        <ns0:v>Full day</ns0:v>
      </ns0:c>
      <ns0:c r="W215" s="0">
        <ns0:f>IF(J215=0,0,J215+IF(U215="PM",1,0))</ns0:f>
        <ns0:v>0</ns0:v>
      </ns0:c>
      <ns0:c r="X215" s="0">
        <ns0:f>IF(T215=0,0,T215-IF(V215="PM",1,0))</ns0:f>
        <ns0:v>0</ns0:v>
      </ns0:c>
      <ns0:c r="Y215" s="0">
        <ns0:f>IF(J215=0,0,J215+IF(U215="AM",1,0))</ns0:f>
        <ns0:v>0</ns0:v>
      </ns0:c>
      <ns0:c r="Z215" s="0">
        <ns0:f>IF(T215=0,0,T215-IF(V215="AM",1,0))</ns0:f>
        <ns0:v>0</ns0:v>
      </ns0:c>
      <ns0:c r="AA215" s="0">
        <ns0:f>IFERROR(IF(AND(J215&gt;0,'_Engine'!C215&gt;0,MID('_Engine'!W215,WEEKDAY(J215,2),1)="W",COUNTIF(Settings!$F$18:$F$67,J215)=0),1,0),0)</ns0:f>
        <ns0:v>0</ns0:v>
      </ns0:c>
      <ns0:c r="AB215" s="0">
        <ns0:f>IFERROR(IF(AND(T215&gt;0,'_Engine'!C215&gt;0,MID('_Engine'!W215,WEEKDAY(T215,2),1)="W",COUNTIF(Settings!$F$18:$F$67,T215)=0),1,0),0)</ns0:f>
        <ns0:v>0</ns0:v>
      </ns0:c>
      <ns0:c r="AC215" s="0">
        <ns0:f>IF(AND(J215&gt;0,T215&gt;0,W215&lt;=X215),1,0)</ns0:f>
        <ns0:v>0</ns0:v>
      </ns0:c>
      <ns0:c r="AD215" s="0">
        <ns0:f>IF(AND(J215&gt;0,T215&gt;0,Y215&lt;=Z215),1,0)</ns0:f>
        <ns0:v>0</ns0:v>
      </ns0:c>
    </ns0:row>
    <ns0:row r="216">
      <ns0:c r="A216" s="0">
        <ns0:f>IFERROR(IF(ISNUMBER(Bookings!B216),"",TRIM(Bookings!B216&amp;"")),"")</ns0:f>
      </ns0:c>
      <ns0:c r="B216" s="0">
        <ns0:f>IFERROR(SUBSTITUTE(SUBSTITUTE(A216,"/","."),"-","."),"")</ns0:f>
      </ns0:c>
      <ns0:c r="C216" s="0">
        <ns0:f>IFERROR(LEFT(B216,FIND(".",B216)-1),"")</ns0:f>
      </ns0:c>
      <ns0:c r="D216" s="0">
        <ns0:f>IFERROR(MID(B216,FIND(".",B216)+1,FIND(".",B216,FIND(".",B216)+1)-FIND(".",B216)-1),"")</ns0:f>
      </ns0:c>
      <ns0:c r="E216" s="0">
        <ns0:f>IFERROR(MID(B216,FIND(".",B216,FIND(".",B216)+1)+1,99),"")</ns0:f>
        <ns0:v>99</ns0:v>
      </ns0:c>
      <ns0:c r="F216" s="0">
        <ns0:f>IFERROR(IF(FIND(".",B216)=5,--C216,--E216),0)</ns0:f>
        <ns0:v>0</ns0:v>
      </ns0:c>
      <ns0:c r="G216" s="0">
        <ns0:f>IFERROR(--D216,0)</ns0:f>
        <ns0:v>0</ns0:v>
      </ns0:c>
      <ns0:c r="H216" s="0">
        <ns0:f>IFERROR(IF(FIND(".",B216)=5,--E216,--C216),0)</ns0:f>
        <ns0:v>0</ns0:v>
      </ns0:c>
      <ns0:c r="I216" s="0">
        <ns0:f>IFERROR(IF(AND(F216&gt;=2000,F216&lt;=2100,G216&gt;=1,G216&lt;=12,H216&gt;=1,H216&lt;=31),DATE(F216,G216,H216),0),0)</ns0:f>
        <ns0:v>0</ns0:v>
      </ns0:c>
      <ns0:c r="J216" s="0">
        <ns0:f>IFERROR(IF(ISNUMBER(Bookings!B216),IF(AND(Bookings!B216=INT(Bookings!B216),Bookings!B216&gt;=DATE(2000,1,1),Bookings!B216&lt;=DATE(2100,12,31)),Bookings!B216,0),IF(AND(A216&lt;&gt;"",LEN("x"&amp;B216)-LEN(SUBSTITUTE("x"&amp;B216,".",""))=2,OR(1&gt;LEN(B216),MID(B216,1,1)=".",ISNUMBER(FIND("x"&amp;MID(B216,1,1),"x0x1x2x3x4x5x6x7x8x9"))),OR(2&gt;LEN(B216),MID(B216,2,1)=".",ISNUMBER(FIND("x"&amp;MID(B216,2,1),"x0x1x2x3x4x5x6x7x8x9"))),OR(3&gt;LEN(B216),MID(B216,3,1)=".",ISNUMBER(FIND("x"&amp;MID(B216,3,1),"x0x1x2x3x4x5x6x7x8x9"))),OR(4&gt;LEN(B216),MID(B216,4,1)=".",ISNUMBER(FIND("x"&amp;MID(B216,4,1),"x0x1x2x3x4x5x6x7x8x9"))),OR(5&gt;LEN(B216),MID(B216,5,1)=".",ISNUMBER(FIND("x"&amp;MID(B216,5,1),"x0x1x2x3x4x5x6x7x8x9"))),OR(6&gt;LEN(B216),MID(B216,6,1)=".",ISNUMBER(FIND("x"&amp;MID(B216,6,1),"x0x1x2x3x4x5x6x7x8x9"))),OR(7&gt;LEN(B216),MID(B216,7,1)=".",ISNUMBER(FIND("x"&amp;MID(B216,7,1),"x0x1x2x3x4x5x6x7x8x9"))),OR(8&gt;LEN(B216),MID(B216,8,1)=".",ISNUMBER(FIND("x"&amp;MID(B216,8,1),"x0x1x2x3x4x5x6x7x8x9"))),OR(9&gt;LEN(B216),MID(B216,9,1)=".",ISNUMBER(FIND("x"&amp;MID(B216,9,1),"x0x1x2x3x4x5x6x7x8x9"))),OR(10&gt;LEN(B216),MID(B216,10,1)=".",ISNUMBER(FIND("x"&amp;MID(B216,10,1),"x0x1x2x3x4x5x6x7x8x9"))),OR(AND(FIND(".",B216)=5,LEN(B216)-FIND(".",B216,FIND(".",B216)+1)&gt;=1,LEN(B216)-FIND(".",B216,FIND(".",B216)+1)&lt;=2),AND(LEN(B216)-FIND(".",B216,FIND(".",B216)+1)=4,FIND(".",B216)&gt;=2,FIND(".",B216)&lt;=3)),FIND(".",B216,FIND(".",B216)+1)-FIND(".",B216)&gt;=2,FIND(".",B216,FIND(".",B216)+1)-FIND(".",B216)&lt;=3,F216&gt;=2000,F216&lt;=2100,YEAR(I216)=F216,MONTH(I216)=G216,DAY(I216)=H216),I216,0)),0)</ns0:f>
        <ns0:v>0</ns0:v>
      </ns0:c>
      <ns0:c r="K216" s="0">
        <ns0:f>IFERROR(IF(ISNUMBER(Bookings!D216),"",TRIM(Bookings!D216&amp;"")),"")</ns0:f>
      </ns0:c>
      <ns0:c r="L216" s="0">
        <ns0:f>IFERROR(SUBSTITUTE(SUBSTITUTE(K216,"/","."),"-","."),"")</ns0:f>
      </ns0:c>
      <ns0:c r="M216" s="0">
        <ns0:f>IFERROR(LEFT(L216,FIND(".",L216)-1),"")</ns0:f>
      </ns0:c>
      <ns0:c r="N216" s="0">
        <ns0:f>IFERROR(MID(L216,FIND(".",L216)+1,FIND(".",L216,FIND(".",L216)+1)-FIND(".",L216)-1),"")</ns0:f>
      </ns0:c>
      <ns0:c r="O216" s="0">
        <ns0:f>IFERROR(MID(L216,FIND(".",L216,FIND(".",L216)+1)+1,99),"")</ns0:f>
        <ns0:v>99</ns0:v>
      </ns0:c>
      <ns0:c r="P216" s="0">
        <ns0:f>IFERROR(IF(FIND(".",L216)=5,--M216,--O216),0)</ns0:f>
        <ns0:v>0</ns0:v>
      </ns0:c>
      <ns0:c r="Q216" s="0">
        <ns0:f>IFERROR(--N216,0)</ns0:f>
        <ns0:v>0</ns0:v>
      </ns0:c>
      <ns0:c r="R216" s="0">
        <ns0:f>IFERROR(IF(FIND(".",L216)=5,--O216,--M216),0)</ns0:f>
        <ns0:v>0</ns0:v>
      </ns0:c>
      <ns0:c r="S216" s="0">
        <ns0:f>IFERROR(IF(AND(P216&gt;=2000,P216&lt;=2100,Q216&gt;=1,Q216&lt;=12,R216&gt;=1,R216&lt;=31),DATE(P216,Q216,R216),0),0)</ns0:f>
        <ns0:v>0</ns0:v>
      </ns0:c>
      <ns0:c r="T216" s="0">
        <ns0:f>IFERROR(IF(ISNUMBER(Bookings!D216),IF(AND(Bookings!D216=INT(Bookings!D216),Bookings!D216&gt;=DATE(2000,1,1),Bookings!D216&lt;=DATE(2100,12,31)),Bookings!D216,0),IF(AND(K216&lt;&gt;"",LEN("x"&amp;L216)-LEN(SUBSTITUTE("x"&amp;L216,".",""))=2,OR(1&gt;LEN(L216),MID(L216,1,1)=".",ISNUMBER(FIND("x"&amp;MID(L216,1,1),"x0x1x2x3x4x5x6x7x8x9"))),OR(2&gt;LEN(L216),MID(L216,2,1)=".",ISNUMBER(FIND("x"&amp;MID(L216,2,1),"x0x1x2x3x4x5x6x7x8x9"))),OR(3&gt;LEN(L216),MID(L216,3,1)=".",ISNUMBER(FIND("x"&amp;MID(L216,3,1),"x0x1x2x3x4x5x6x7x8x9"))),OR(4&gt;LEN(L216),MID(L216,4,1)=".",ISNUMBER(FIND("x"&amp;MID(L216,4,1),"x0x1x2x3x4x5x6x7x8x9"))),OR(5&gt;LEN(L216),MID(L216,5,1)=".",ISNUMBER(FIND("x"&amp;MID(L216,5,1),"x0x1x2x3x4x5x6x7x8x9"))),OR(6&gt;LEN(L216),MID(L216,6,1)=".",ISNUMBER(FIND("x"&amp;MID(L216,6,1),"x0x1x2x3x4x5x6x7x8x9"))),OR(7&gt;LEN(L216),MID(L216,7,1)=".",ISNUMBER(FIND("x"&amp;MID(L216,7,1),"x0x1x2x3x4x5x6x7x8x9"))),OR(8&gt;LEN(L216),MID(L216,8,1)=".",ISNUMBER(FIND("x"&amp;MID(L216,8,1),"x0x1x2x3x4x5x6x7x8x9"))),OR(9&gt;LEN(L216),MID(L216,9,1)=".",ISNUMBER(FIND("x"&amp;MID(L216,9,1),"x0x1x2x3x4x5x6x7x8x9"))),OR(10&gt;LEN(L216),MID(L216,10,1)=".",ISNUMBER(FIND("x"&amp;MID(L216,10,1),"x0x1x2x3x4x5x6x7x8x9"))),OR(AND(FIND(".",L216)=5,LEN(L216)-FIND(".",L216,FIND(".",L216)+1)&gt;=1,LEN(L216)-FIND(".",L216,FIND(".",L216)+1)&lt;=2),AND(LEN(L216)-FIND(".",L216,FIND(".",L216)+1)=4,FIND(".",L216)&gt;=2,FIND(".",L216)&lt;=3)),FIND(".",L216,FIND(".",L216)+1)-FIND(".",L216)&gt;=2,FIND(".",L216,FIND(".",L216)+1)-FIND(".",L216)&lt;=3,P216&gt;=2000,P216&lt;=2100,YEAR(S216)=P216,MONTH(S216)=Q216,DAY(S216)=R216),S216,0)),0)</ns0:f>
        <ns0:v>0</ns0:v>
      </ns0:c>
      <ns0:c r="U216" s="0" t="str">
        <ns0:f>IF(Bookings!C216="","Full day",Bookings!C216)</ns0:f>
        <ns0:v>Full day</ns0:v>
      </ns0:c>
      <ns0:c r="V216" s="0" t="str">
        <ns0:f>IF(Bookings!E216="","Full day",Bookings!E216)</ns0:f>
        <ns0:v>Full day</ns0:v>
      </ns0:c>
      <ns0:c r="W216" s="0">
        <ns0:f>IF(J216=0,0,J216+IF(U216="PM",1,0))</ns0:f>
        <ns0:v>0</ns0:v>
      </ns0:c>
      <ns0:c r="X216" s="0">
        <ns0:f>IF(T216=0,0,T216-IF(V216="PM",1,0))</ns0:f>
        <ns0:v>0</ns0:v>
      </ns0:c>
      <ns0:c r="Y216" s="0">
        <ns0:f>IF(J216=0,0,J216+IF(U216="AM",1,0))</ns0:f>
        <ns0:v>0</ns0:v>
      </ns0:c>
      <ns0:c r="Z216" s="0">
        <ns0:f>IF(T216=0,0,T216-IF(V216="AM",1,0))</ns0:f>
        <ns0:v>0</ns0:v>
      </ns0:c>
      <ns0:c r="AA216" s="0">
        <ns0:f>IFERROR(IF(AND(J216&gt;0,'_Engine'!C216&gt;0,MID('_Engine'!W216,WEEKDAY(J216,2),1)="W",COUNTIF(Settings!$F$18:$F$67,J216)=0),1,0),0)</ns0:f>
        <ns0:v>0</ns0:v>
      </ns0:c>
      <ns0:c r="AB216" s="0">
        <ns0:f>IFERROR(IF(AND(T216&gt;0,'_Engine'!C216&gt;0,MID('_Engine'!W216,WEEKDAY(T216,2),1)="W",COUNTIF(Settings!$F$18:$F$67,T216)=0),1,0),0)</ns0:f>
        <ns0:v>0</ns0:v>
      </ns0:c>
      <ns0:c r="AC216" s="0">
        <ns0:f>IF(AND(J216&gt;0,T216&gt;0,W216&lt;=X216),1,0)</ns0:f>
        <ns0:v>0</ns0:v>
      </ns0:c>
      <ns0:c r="AD216" s="0">
        <ns0:f>IF(AND(J216&gt;0,T216&gt;0,Y216&lt;=Z216),1,0)</ns0:f>
        <ns0:v>0</ns0:v>
      </ns0:c>
    </ns0:row>
    <ns0:row r="217">
      <ns0:c r="A217" s="0">
        <ns0:f>IFERROR(IF(ISNUMBER(Bookings!B217),"",TRIM(Bookings!B217&amp;"")),"")</ns0:f>
      </ns0:c>
      <ns0:c r="B217" s="0">
        <ns0:f>IFERROR(SUBSTITUTE(SUBSTITUTE(A217,"/","."),"-","."),"")</ns0:f>
      </ns0:c>
      <ns0:c r="C217" s="0">
        <ns0:f>IFERROR(LEFT(B217,FIND(".",B217)-1),"")</ns0:f>
      </ns0:c>
      <ns0:c r="D217" s="0">
        <ns0:f>IFERROR(MID(B217,FIND(".",B217)+1,FIND(".",B217,FIND(".",B217)+1)-FIND(".",B217)-1),"")</ns0:f>
      </ns0:c>
      <ns0:c r="E217" s="0">
        <ns0:f>IFERROR(MID(B217,FIND(".",B217,FIND(".",B217)+1)+1,99),"")</ns0:f>
        <ns0:v>99</ns0:v>
      </ns0:c>
      <ns0:c r="F217" s="0">
        <ns0:f>IFERROR(IF(FIND(".",B217)=5,--C217,--E217),0)</ns0:f>
        <ns0:v>0</ns0:v>
      </ns0:c>
      <ns0:c r="G217" s="0">
        <ns0:f>IFERROR(--D217,0)</ns0:f>
        <ns0:v>0</ns0:v>
      </ns0:c>
      <ns0:c r="H217" s="0">
        <ns0:f>IFERROR(IF(FIND(".",B217)=5,--E217,--C217),0)</ns0:f>
        <ns0:v>0</ns0:v>
      </ns0:c>
      <ns0:c r="I217" s="0">
        <ns0:f>IFERROR(IF(AND(F217&gt;=2000,F217&lt;=2100,G217&gt;=1,G217&lt;=12,H217&gt;=1,H217&lt;=31),DATE(F217,G217,H217),0),0)</ns0:f>
        <ns0:v>0</ns0:v>
      </ns0:c>
      <ns0:c r="J217" s="0">
        <ns0:f>IFERROR(IF(ISNUMBER(Bookings!B217),IF(AND(Bookings!B217=INT(Bookings!B217),Bookings!B217&gt;=DATE(2000,1,1),Bookings!B217&lt;=DATE(2100,12,31)),Bookings!B217,0),IF(AND(A217&lt;&gt;"",LEN("x"&amp;B217)-LEN(SUBSTITUTE("x"&amp;B217,".",""))=2,OR(1&gt;LEN(B217),MID(B217,1,1)=".",ISNUMBER(FIND("x"&amp;MID(B217,1,1),"x0x1x2x3x4x5x6x7x8x9"))),OR(2&gt;LEN(B217),MID(B217,2,1)=".",ISNUMBER(FIND("x"&amp;MID(B217,2,1),"x0x1x2x3x4x5x6x7x8x9"))),OR(3&gt;LEN(B217),MID(B217,3,1)=".",ISNUMBER(FIND("x"&amp;MID(B217,3,1),"x0x1x2x3x4x5x6x7x8x9"))),OR(4&gt;LEN(B217),MID(B217,4,1)=".",ISNUMBER(FIND("x"&amp;MID(B217,4,1),"x0x1x2x3x4x5x6x7x8x9"))),OR(5&gt;LEN(B217),MID(B217,5,1)=".",ISNUMBER(FIND("x"&amp;MID(B217,5,1),"x0x1x2x3x4x5x6x7x8x9"))),OR(6&gt;LEN(B217),MID(B217,6,1)=".",ISNUMBER(FIND("x"&amp;MID(B217,6,1),"x0x1x2x3x4x5x6x7x8x9"))),OR(7&gt;LEN(B217),MID(B217,7,1)=".",ISNUMBER(FIND("x"&amp;MID(B217,7,1),"x0x1x2x3x4x5x6x7x8x9"))),OR(8&gt;LEN(B217),MID(B217,8,1)=".",ISNUMBER(FIND("x"&amp;MID(B217,8,1),"x0x1x2x3x4x5x6x7x8x9"))),OR(9&gt;LEN(B217),MID(B217,9,1)=".",ISNUMBER(FIND("x"&amp;MID(B217,9,1),"x0x1x2x3x4x5x6x7x8x9"))),OR(10&gt;LEN(B217),MID(B217,10,1)=".",ISNUMBER(FIND("x"&amp;MID(B217,10,1),"x0x1x2x3x4x5x6x7x8x9"))),OR(AND(FIND(".",B217)=5,LEN(B217)-FIND(".",B217,FIND(".",B217)+1)&gt;=1,LEN(B217)-FIND(".",B217,FIND(".",B217)+1)&lt;=2),AND(LEN(B217)-FIND(".",B217,FIND(".",B217)+1)=4,FIND(".",B217)&gt;=2,FIND(".",B217)&lt;=3)),FIND(".",B217,FIND(".",B217)+1)-FIND(".",B217)&gt;=2,FIND(".",B217,FIND(".",B217)+1)-FIND(".",B217)&lt;=3,F217&gt;=2000,F217&lt;=2100,YEAR(I217)=F217,MONTH(I217)=G217,DAY(I217)=H217),I217,0)),0)</ns0:f>
        <ns0:v>0</ns0:v>
      </ns0:c>
      <ns0:c r="K217" s="0">
        <ns0:f>IFERROR(IF(ISNUMBER(Bookings!D217),"",TRIM(Bookings!D217&amp;"")),"")</ns0:f>
      </ns0:c>
      <ns0:c r="L217" s="0">
        <ns0:f>IFERROR(SUBSTITUTE(SUBSTITUTE(K217,"/","."),"-","."),"")</ns0:f>
      </ns0:c>
      <ns0:c r="M217" s="0">
        <ns0:f>IFERROR(LEFT(L217,FIND(".",L217)-1),"")</ns0:f>
      </ns0:c>
      <ns0:c r="N217" s="0">
        <ns0:f>IFERROR(MID(L217,FIND(".",L217)+1,FIND(".",L217,FIND(".",L217)+1)-FIND(".",L217)-1),"")</ns0:f>
      </ns0:c>
      <ns0:c r="O217" s="0">
        <ns0:f>IFERROR(MID(L217,FIND(".",L217,FIND(".",L217)+1)+1,99),"")</ns0:f>
        <ns0:v>99</ns0:v>
      </ns0:c>
      <ns0:c r="P217" s="0">
        <ns0:f>IFERROR(IF(FIND(".",L217)=5,--M217,--O217),0)</ns0:f>
        <ns0:v>0</ns0:v>
      </ns0:c>
      <ns0:c r="Q217" s="0">
        <ns0:f>IFERROR(--N217,0)</ns0:f>
        <ns0:v>0</ns0:v>
      </ns0:c>
      <ns0:c r="R217" s="0">
        <ns0:f>IFERROR(IF(FIND(".",L217)=5,--O217,--M217),0)</ns0:f>
        <ns0:v>0</ns0:v>
      </ns0:c>
      <ns0:c r="S217" s="0">
        <ns0:f>IFERROR(IF(AND(P217&gt;=2000,P217&lt;=2100,Q217&gt;=1,Q217&lt;=12,R217&gt;=1,R217&lt;=31),DATE(P217,Q217,R217),0),0)</ns0:f>
        <ns0:v>0</ns0:v>
      </ns0:c>
      <ns0:c r="T217" s="0">
        <ns0:f>IFERROR(IF(ISNUMBER(Bookings!D217),IF(AND(Bookings!D217=INT(Bookings!D217),Bookings!D217&gt;=DATE(2000,1,1),Bookings!D217&lt;=DATE(2100,12,31)),Bookings!D217,0),IF(AND(K217&lt;&gt;"",LEN("x"&amp;L217)-LEN(SUBSTITUTE("x"&amp;L217,".",""))=2,OR(1&gt;LEN(L217),MID(L217,1,1)=".",ISNUMBER(FIND("x"&amp;MID(L217,1,1),"x0x1x2x3x4x5x6x7x8x9"))),OR(2&gt;LEN(L217),MID(L217,2,1)=".",ISNUMBER(FIND("x"&amp;MID(L217,2,1),"x0x1x2x3x4x5x6x7x8x9"))),OR(3&gt;LEN(L217),MID(L217,3,1)=".",ISNUMBER(FIND("x"&amp;MID(L217,3,1),"x0x1x2x3x4x5x6x7x8x9"))),OR(4&gt;LEN(L217),MID(L217,4,1)=".",ISNUMBER(FIND("x"&amp;MID(L217,4,1),"x0x1x2x3x4x5x6x7x8x9"))),OR(5&gt;LEN(L217),MID(L217,5,1)=".",ISNUMBER(FIND("x"&amp;MID(L217,5,1),"x0x1x2x3x4x5x6x7x8x9"))),OR(6&gt;LEN(L217),MID(L217,6,1)=".",ISNUMBER(FIND("x"&amp;MID(L217,6,1),"x0x1x2x3x4x5x6x7x8x9"))),OR(7&gt;LEN(L217),MID(L217,7,1)=".",ISNUMBER(FIND("x"&amp;MID(L217,7,1),"x0x1x2x3x4x5x6x7x8x9"))),OR(8&gt;LEN(L217),MID(L217,8,1)=".",ISNUMBER(FIND("x"&amp;MID(L217,8,1),"x0x1x2x3x4x5x6x7x8x9"))),OR(9&gt;LEN(L217),MID(L217,9,1)=".",ISNUMBER(FIND("x"&amp;MID(L217,9,1),"x0x1x2x3x4x5x6x7x8x9"))),OR(10&gt;LEN(L217),MID(L217,10,1)=".",ISNUMBER(FIND("x"&amp;MID(L217,10,1),"x0x1x2x3x4x5x6x7x8x9"))),OR(AND(FIND(".",L217)=5,LEN(L217)-FIND(".",L217,FIND(".",L217)+1)&gt;=1,LEN(L217)-FIND(".",L217,FIND(".",L217)+1)&lt;=2),AND(LEN(L217)-FIND(".",L217,FIND(".",L217)+1)=4,FIND(".",L217)&gt;=2,FIND(".",L217)&lt;=3)),FIND(".",L217,FIND(".",L217)+1)-FIND(".",L217)&gt;=2,FIND(".",L217,FIND(".",L217)+1)-FIND(".",L217)&lt;=3,P217&gt;=2000,P217&lt;=2100,YEAR(S217)=P217,MONTH(S217)=Q217,DAY(S217)=R217),S217,0)),0)</ns0:f>
        <ns0:v>0</ns0:v>
      </ns0:c>
      <ns0:c r="U217" s="0" t="str">
        <ns0:f>IF(Bookings!C217="","Full day",Bookings!C217)</ns0:f>
        <ns0:v>Full day</ns0:v>
      </ns0:c>
      <ns0:c r="V217" s="0" t="str">
        <ns0:f>IF(Bookings!E217="","Full day",Bookings!E217)</ns0:f>
        <ns0:v>Full day</ns0:v>
      </ns0:c>
      <ns0:c r="W217" s="0">
        <ns0:f>IF(J217=0,0,J217+IF(U217="PM",1,0))</ns0:f>
        <ns0:v>0</ns0:v>
      </ns0:c>
      <ns0:c r="X217" s="0">
        <ns0:f>IF(T217=0,0,T217-IF(V217="PM",1,0))</ns0:f>
        <ns0:v>0</ns0:v>
      </ns0:c>
      <ns0:c r="Y217" s="0">
        <ns0:f>IF(J217=0,0,J217+IF(U217="AM",1,0))</ns0:f>
        <ns0:v>0</ns0:v>
      </ns0:c>
      <ns0:c r="Z217" s="0">
        <ns0:f>IF(T217=0,0,T217-IF(V217="AM",1,0))</ns0:f>
        <ns0:v>0</ns0:v>
      </ns0:c>
      <ns0:c r="AA217" s="0">
        <ns0:f>IFERROR(IF(AND(J217&gt;0,'_Engine'!C217&gt;0,MID('_Engine'!W217,WEEKDAY(J217,2),1)="W",COUNTIF(Settings!$F$18:$F$67,J217)=0),1,0),0)</ns0:f>
        <ns0:v>0</ns0:v>
      </ns0:c>
      <ns0:c r="AB217" s="0">
        <ns0:f>IFERROR(IF(AND(T217&gt;0,'_Engine'!C217&gt;0,MID('_Engine'!W217,WEEKDAY(T217,2),1)="W",COUNTIF(Settings!$F$18:$F$67,T217)=0),1,0),0)</ns0:f>
        <ns0:v>0</ns0:v>
      </ns0:c>
      <ns0:c r="AC217" s="0">
        <ns0:f>IF(AND(J217&gt;0,T217&gt;0,W217&lt;=X217),1,0)</ns0:f>
        <ns0:v>0</ns0:v>
      </ns0:c>
      <ns0:c r="AD217" s="0">
        <ns0:f>IF(AND(J217&gt;0,T217&gt;0,Y217&lt;=Z217),1,0)</ns0:f>
        <ns0:v>0</ns0:v>
      </ns0:c>
    </ns0:row>
    <ns0:row r="218">
      <ns0:c r="A218" s="0">
        <ns0:f>IFERROR(IF(ISNUMBER(Bookings!B218),"",TRIM(Bookings!B218&amp;"")),"")</ns0:f>
      </ns0:c>
      <ns0:c r="B218" s="0">
        <ns0:f>IFERROR(SUBSTITUTE(SUBSTITUTE(A218,"/","."),"-","."),"")</ns0:f>
      </ns0:c>
      <ns0:c r="C218" s="0">
        <ns0:f>IFERROR(LEFT(B218,FIND(".",B218)-1),"")</ns0:f>
      </ns0:c>
      <ns0:c r="D218" s="0">
        <ns0:f>IFERROR(MID(B218,FIND(".",B218)+1,FIND(".",B218,FIND(".",B218)+1)-FIND(".",B218)-1),"")</ns0:f>
      </ns0:c>
      <ns0:c r="E218" s="0">
        <ns0:f>IFERROR(MID(B218,FIND(".",B218,FIND(".",B218)+1)+1,99),"")</ns0:f>
        <ns0:v>99</ns0:v>
      </ns0:c>
      <ns0:c r="F218" s="0">
        <ns0:f>IFERROR(IF(FIND(".",B218)=5,--C218,--E218),0)</ns0:f>
        <ns0:v>0</ns0:v>
      </ns0:c>
      <ns0:c r="G218" s="0">
        <ns0:f>IFERROR(--D218,0)</ns0:f>
        <ns0:v>0</ns0:v>
      </ns0:c>
      <ns0:c r="H218" s="0">
        <ns0:f>IFERROR(IF(FIND(".",B218)=5,--E218,--C218),0)</ns0:f>
        <ns0:v>0</ns0:v>
      </ns0:c>
      <ns0:c r="I218" s="0">
        <ns0:f>IFERROR(IF(AND(F218&gt;=2000,F218&lt;=2100,G218&gt;=1,G218&lt;=12,H218&gt;=1,H218&lt;=31),DATE(F218,G218,H218),0),0)</ns0:f>
        <ns0:v>0</ns0:v>
      </ns0:c>
      <ns0:c r="J218" s="0">
        <ns0:f>IFERROR(IF(ISNUMBER(Bookings!B218),IF(AND(Bookings!B218=INT(Bookings!B218),Bookings!B218&gt;=DATE(2000,1,1),Bookings!B218&lt;=DATE(2100,12,31)),Bookings!B218,0),IF(AND(A218&lt;&gt;"",LEN("x"&amp;B218)-LEN(SUBSTITUTE("x"&amp;B218,".",""))=2,OR(1&gt;LEN(B218),MID(B218,1,1)=".",ISNUMBER(FIND("x"&amp;MID(B218,1,1),"x0x1x2x3x4x5x6x7x8x9"))),OR(2&gt;LEN(B218),MID(B218,2,1)=".",ISNUMBER(FIND("x"&amp;MID(B218,2,1),"x0x1x2x3x4x5x6x7x8x9"))),OR(3&gt;LEN(B218),MID(B218,3,1)=".",ISNUMBER(FIND("x"&amp;MID(B218,3,1),"x0x1x2x3x4x5x6x7x8x9"))),OR(4&gt;LEN(B218),MID(B218,4,1)=".",ISNUMBER(FIND("x"&amp;MID(B218,4,1),"x0x1x2x3x4x5x6x7x8x9"))),OR(5&gt;LEN(B218),MID(B218,5,1)=".",ISNUMBER(FIND("x"&amp;MID(B218,5,1),"x0x1x2x3x4x5x6x7x8x9"))),OR(6&gt;LEN(B218),MID(B218,6,1)=".",ISNUMBER(FIND("x"&amp;MID(B218,6,1),"x0x1x2x3x4x5x6x7x8x9"))),OR(7&gt;LEN(B218),MID(B218,7,1)=".",ISNUMBER(FIND("x"&amp;MID(B218,7,1),"x0x1x2x3x4x5x6x7x8x9"))),OR(8&gt;LEN(B218),MID(B218,8,1)=".",ISNUMBER(FIND("x"&amp;MID(B218,8,1),"x0x1x2x3x4x5x6x7x8x9"))),OR(9&gt;LEN(B218),MID(B218,9,1)=".",ISNUMBER(FIND("x"&amp;MID(B218,9,1),"x0x1x2x3x4x5x6x7x8x9"))),OR(10&gt;LEN(B218),MID(B218,10,1)=".",ISNUMBER(FIND("x"&amp;MID(B218,10,1),"x0x1x2x3x4x5x6x7x8x9"))),OR(AND(FIND(".",B218)=5,LEN(B218)-FIND(".",B218,FIND(".",B218)+1)&gt;=1,LEN(B218)-FIND(".",B218,FIND(".",B218)+1)&lt;=2),AND(LEN(B218)-FIND(".",B218,FIND(".",B218)+1)=4,FIND(".",B218)&gt;=2,FIND(".",B218)&lt;=3)),FIND(".",B218,FIND(".",B218)+1)-FIND(".",B218)&gt;=2,FIND(".",B218,FIND(".",B218)+1)-FIND(".",B218)&lt;=3,F218&gt;=2000,F218&lt;=2100,YEAR(I218)=F218,MONTH(I218)=G218,DAY(I218)=H218),I218,0)),0)</ns0:f>
        <ns0:v>0</ns0:v>
      </ns0:c>
      <ns0:c r="K218" s="0">
        <ns0:f>IFERROR(IF(ISNUMBER(Bookings!D218),"",TRIM(Bookings!D218&amp;"")),"")</ns0:f>
      </ns0:c>
      <ns0:c r="L218" s="0">
        <ns0:f>IFERROR(SUBSTITUTE(SUBSTITUTE(K218,"/","."),"-","."),"")</ns0:f>
      </ns0:c>
      <ns0:c r="M218" s="0">
        <ns0:f>IFERROR(LEFT(L218,FIND(".",L218)-1),"")</ns0:f>
      </ns0:c>
      <ns0:c r="N218" s="0">
        <ns0:f>IFERROR(MID(L218,FIND(".",L218)+1,FIND(".",L218,FIND(".",L218)+1)-FIND(".",L218)-1),"")</ns0:f>
      </ns0:c>
      <ns0:c r="O218" s="0">
        <ns0:f>IFERROR(MID(L218,FIND(".",L218,FIND(".",L218)+1)+1,99),"")</ns0:f>
        <ns0:v>99</ns0:v>
      </ns0:c>
      <ns0:c r="P218" s="0">
        <ns0:f>IFERROR(IF(FIND(".",L218)=5,--M218,--O218),0)</ns0:f>
        <ns0:v>0</ns0:v>
      </ns0:c>
      <ns0:c r="Q218" s="0">
        <ns0:f>IFERROR(--N218,0)</ns0:f>
        <ns0:v>0</ns0:v>
      </ns0:c>
      <ns0:c r="R218" s="0">
        <ns0:f>IFERROR(IF(FIND(".",L218)=5,--O218,--M218),0)</ns0:f>
        <ns0:v>0</ns0:v>
      </ns0:c>
      <ns0:c r="S218" s="0">
        <ns0:f>IFERROR(IF(AND(P218&gt;=2000,P218&lt;=2100,Q218&gt;=1,Q218&lt;=12,R218&gt;=1,R218&lt;=31),DATE(P218,Q218,R218),0),0)</ns0:f>
        <ns0:v>0</ns0:v>
      </ns0:c>
      <ns0:c r="T218" s="0">
        <ns0:f>IFERROR(IF(ISNUMBER(Bookings!D218),IF(AND(Bookings!D218=INT(Bookings!D218),Bookings!D218&gt;=DATE(2000,1,1),Bookings!D218&lt;=DATE(2100,12,31)),Bookings!D218,0),IF(AND(K218&lt;&gt;"",LEN("x"&amp;L218)-LEN(SUBSTITUTE("x"&amp;L218,".",""))=2,OR(1&gt;LEN(L218),MID(L218,1,1)=".",ISNUMBER(FIND("x"&amp;MID(L218,1,1),"x0x1x2x3x4x5x6x7x8x9"))),OR(2&gt;LEN(L218),MID(L218,2,1)=".",ISNUMBER(FIND("x"&amp;MID(L218,2,1),"x0x1x2x3x4x5x6x7x8x9"))),OR(3&gt;LEN(L218),MID(L218,3,1)=".",ISNUMBER(FIND("x"&amp;MID(L218,3,1),"x0x1x2x3x4x5x6x7x8x9"))),OR(4&gt;LEN(L218),MID(L218,4,1)=".",ISNUMBER(FIND("x"&amp;MID(L218,4,1),"x0x1x2x3x4x5x6x7x8x9"))),OR(5&gt;LEN(L218),MID(L218,5,1)=".",ISNUMBER(FIND("x"&amp;MID(L218,5,1),"x0x1x2x3x4x5x6x7x8x9"))),OR(6&gt;LEN(L218),MID(L218,6,1)=".",ISNUMBER(FIND("x"&amp;MID(L218,6,1),"x0x1x2x3x4x5x6x7x8x9"))),OR(7&gt;LEN(L218),MID(L218,7,1)=".",ISNUMBER(FIND("x"&amp;MID(L218,7,1),"x0x1x2x3x4x5x6x7x8x9"))),OR(8&gt;LEN(L218),MID(L218,8,1)=".",ISNUMBER(FIND("x"&amp;MID(L218,8,1),"x0x1x2x3x4x5x6x7x8x9"))),OR(9&gt;LEN(L218),MID(L218,9,1)=".",ISNUMBER(FIND("x"&amp;MID(L218,9,1),"x0x1x2x3x4x5x6x7x8x9"))),OR(10&gt;LEN(L218),MID(L218,10,1)=".",ISNUMBER(FIND("x"&amp;MID(L218,10,1),"x0x1x2x3x4x5x6x7x8x9"))),OR(AND(FIND(".",L218)=5,LEN(L218)-FIND(".",L218,FIND(".",L218)+1)&gt;=1,LEN(L218)-FIND(".",L218,FIND(".",L218)+1)&lt;=2),AND(LEN(L218)-FIND(".",L218,FIND(".",L218)+1)=4,FIND(".",L218)&gt;=2,FIND(".",L218)&lt;=3)),FIND(".",L218,FIND(".",L218)+1)-FIND(".",L218)&gt;=2,FIND(".",L218,FIND(".",L218)+1)-FIND(".",L218)&lt;=3,P218&gt;=2000,P218&lt;=2100,YEAR(S218)=P218,MONTH(S218)=Q218,DAY(S218)=R218),S218,0)),0)</ns0:f>
        <ns0:v>0</ns0:v>
      </ns0:c>
      <ns0:c r="U218" s="0" t="str">
        <ns0:f>IF(Bookings!C218="","Full day",Bookings!C218)</ns0:f>
        <ns0:v>Full day</ns0:v>
      </ns0:c>
      <ns0:c r="V218" s="0" t="str">
        <ns0:f>IF(Bookings!E218="","Full day",Bookings!E218)</ns0:f>
        <ns0:v>Full day</ns0:v>
      </ns0:c>
      <ns0:c r="W218" s="0">
        <ns0:f>IF(J218=0,0,J218+IF(U218="PM",1,0))</ns0:f>
        <ns0:v>0</ns0:v>
      </ns0:c>
      <ns0:c r="X218" s="0">
        <ns0:f>IF(T218=0,0,T218-IF(V218="PM",1,0))</ns0:f>
        <ns0:v>0</ns0:v>
      </ns0:c>
      <ns0:c r="Y218" s="0">
        <ns0:f>IF(J218=0,0,J218+IF(U218="AM",1,0))</ns0:f>
        <ns0:v>0</ns0:v>
      </ns0:c>
      <ns0:c r="Z218" s="0">
        <ns0:f>IF(T218=0,0,T218-IF(V218="AM",1,0))</ns0:f>
        <ns0:v>0</ns0:v>
      </ns0:c>
      <ns0:c r="AA218" s="0">
        <ns0:f>IFERROR(IF(AND(J218&gt;0,'_Engine'!C218&gt;0,MID('_Engine'!W218,WEEKDAY(J218,2),1)="W",COUNTIF(Settings!$F$18:$F$67,J218)=0),1,0),0)</ns0:f>
        <ns0:v>0</ns0:v>
      </ns0:c>
      <ns0:c r="AB218" s="0">
        <ns0:f>IFERROR(IF(AND(T218&gt;0,'_Engine'!C218&gt;0,MID('_Engine'!W218,WEEKDAY(T218,2),1)="W",COUNTIF(Settings!$F$18:$F$67,T218)=0),1,0),0)</ns0:f>
        <ns0:v>0</ns0:v>
      </ns0:c>
      <ns0:c r="AC218" s="0">
        <ns0:f>IF(AND(J218&gt;0,T218&gt;0,W218&lt;=X218),1,0)</ns0:f>
        <ns0:v>0</ns0:v>
      </ns0:c>
      <ns0:c r="AD218" s="0">
        <ns0:f>IF(AND(J218&gt;0,T218&gt;0,Y218&lt;=Z218),1,0)</ns0:f>
        <ns0:v>0</ns0:v>
      </ns0:c>
    </ns0:row>
    <ns0:row r="219">
      <ns0:c r="A219" s="0">
        <ns0:f>IFERROR(IF(ISNUMBER(Bookings!B219),"",TRIM(Bookings!B219&amp;"")),"")</ns0:f>
      </ns0:c>
      <ns0:c r="B219" s="0">
        <ns0:f>IFERROR(SUBSTITUTE(SUBSTITUTE(A219,"/","."),"-","."),"")</ns0:f>
      </ns0:c>
      <ns0:c r="C219" s="0">
        <ns0:f>IFERROR(LEFT(B219,FIND(".",B219)-1),"")</ns0:f>
      </ns0:c>
      <ns0:c r="D219" s="0">
        <ns0:f>IFERROR(MID(B219,FIND(".",B219)+1,FIND(".",B219,FIND(".",B219)+1)-FIND(".",B219)-1),"")</ns0:f>
      </ns0:c>
      <ns0:c r="E219" s="0">
        <ns0:f>IFERROR(MID(B219,FIND(".",B219,FIND(".",B219)+1)+1,99),"")</ns0:f>
        <ns0:v>99</ns0:v>
      </ns0:c>
      <ns0:c r="F219" s="0">
        <ns0:f>IFERROR(IF(FIND(".",B219)=5,--C219,--E219),0)</ns0:f>
        <ns0:v>0</ns0:v>
      </ns0:c>
      <ns0:c r="G219" s="0">
        <ns0:f>IFERROR(--D219,0)</ns0:f>
        <ns0:v>0</ns0:v>
      </ns0:c>
      <ns0:c r="H219" s="0">
        <ns0:f>IFERROR(IF(FIND(".",B219)=5,--E219,--C219),0)</ns0:f>
        <ns0:v>0</ns0:v>
      </ns0:c>
      <ns0:c r="I219" s="0">
        <ns0:f>IFERROR(IF(AND(F219&gt;=2000,F219&lt;=2100,G219&gt;=1,G219&lt;=12,H219&gt;=1,H219&lt;=31),DATE(F219,G219,H219),0),0)</ns0:f>
        <ns0:v>0</ns0:v>
      </ns0:c>
      <ns0:c r="J219" s="0">
        <ns0:f>IFERROR(IF(ISNUMBER(Bookings!B219),IF(AND(Bookings!B219=INT(Bookings!B219),Bookings!B219&gt;=DATE(2000,1,1),Bookings!B219&lt;=DATE(2100,12,31)),Bookings!B219,0),IF(AND(A219&lt;&gt;"",LEN("x"&amp;B219)-LEN(SUBSTITUTE("x"&amp;B219,".",""))=2,OR(1&gt;LEN(B219),MID(B219,1,1)=".",ISNUMBER(FIND("x"&amp;MID(B219,1,1),"x0x1x2x3x4x5x6x7x8x9"))),OR(2&gt;LEN(B219),MID(B219,2,1)=".",ISNUMBER(FIND("x"&amp;MID(B219,2,1),"x0x1x2x3x4x5x6x7x8x9"))),OR(3&gt;LEN(B219),MID(B219,3,1)=".",ISNUMBER(FIND("x"&amp;MID(B219,3,1),"x0x1x2x3x4x5x6x7x8x9"))),OR(4&gt;LEN(B219),MID(B219,4,1)=".",ISNUMBER(FIND("x"&amp;MID(B219,4,1),"x0x1x2x3x4x5x6x7x8x9"))),OR(5&gt;LEN(B219),MID(B219,5,1)=".",ISNUMBER(FIND("x"&amp;MID(B219,5,1),"x0x1x2x3x4x5x6x7x8x9"))),OR(6&gt;LEN(B219),MID(B219,6,1)=".",ISNUMBER(FIND("x"&amp;MID(B219,6,1),"x0x1x2x3x4x5x6x7x8x9"))),OR(7&gt;LEN(B219),MID(B219,7,1)=".",ISNUMBER(FIND("x"&amp;MID(B219,7,1),"x0x1x2x3x4x5x6x7x8x9"))),OR(8&gt;LEN(B219),MID(B219,8,1)=".",ISNUMBER(FIND("x"&amp;MID(B219,8,1),"x0x1x2x3x4x5x6x7x8x9"))),OR(9&gt;LEN(B219),MID(B219,9,1)=".",ISNUMBER(FIND("x"&amp;MID(B219,9,1),"x0x1x2x3x4x5x6x7x8x9"))),OR(10&gt;LEN(B219),MID(B219,10,1)=".",ISNUMBER(FIND("x"&amp;MID(B219,10,1),"x0x1x2x3x4x5x6x7x8x9"))),OR(AND(FIND(".",B219)=5,LEN(B219)-FIND(".",B219,FIND(".",B219)+1)&gt;=1,LEN(B219)-FIND(".",B219,FIND(".",B219)+1)&lt;=2),AND(LEN(B219)-FIND(".",B219,FIND(".",B219)+1)=4,FIND(".",B219)&gt;=2,FIND(".",B219)&lt;=3)),FIND(".",B219,FIND(".",B219)+1)-FIND(".",B219)&gt;=2,FIND(".",B219,FIND(".",B219)+1)-FIND(".",B219)&lt;=3,F219&gt;=2000,F219&lt;=2100,YEAR(I219)=F219,MONTH(I219)=G219,DAY(I219)=H219),I219,0)),0)</ns0:f>
        <ns0:v>0</ns0:v>
      </ns0:c>
      <ns0:c r="K219" s="0">
        <ns0:f>IFERROR(IF(ISNUMBER(Bookings!D219),"",TRIM(Bookings!D219&amp;"")),"")</ns0:f>
      </ns0:c>
      <ns0:c r="L219" s="0">
        <ns0:f>IFERROR(SUBSTITUTE(SUBSTITUTE(K219,"/","."),"-","."),"")</ns0:f>
      </ns0:c>
      <ns0:c r="M219" s="0">
        <ns0:f>IFERROR(LEFT(L219,FIND(".",L219)-1),"")</ns0:f>
      </ns0:c>
      <ns0:c r="N219" s="0">
        <ns0:f>IFERROR(MID(L219,FIND(".",L219)+1,FIND(".",L219,FIND(".",L219)+1)-FIND(".",L219)-1),"")</ns0:f>
      </ns0:c>
      <ns0:c r="O219" s="0">
        <ns0:f>IFERROR(MID(L219,FIND(".",L219,FIND(".",L219)+1)+1,99),"")</ns0:f>
        <ns0:v>99</ns0:v>
      </ns0:c>
      <ns0:c r="P219" s="0">
        <ns0:f>IFERROR(IF(FIND(".",L219)=5,--M219,--O219),0)</ns0:f>
        <ns0:v>0</ns0:v>
      </ns0:c>
      <ns0:c r="Q219" s="0">
        <ns0:f>IFERROR(--N219,0)</ns0:f>
        <ns0:v>0</ns0:v>
      </ns0:c>
      <ns0:c r="R219" s="0">
        <ns0:f>IFERROR(IF(FIND(".",L219)=5,--O219,--M219),0)</ns0:f>
        <ns0:v>0</ns0:v>
      </ns0:c>
      <ns0:c r="S219" s="0">
        <ns0:f>IFERROR(IF(AND(P219&gt;=2000,P219&lt;=2100,Q219&gt;=1,Q219&lt;=12,R219&gt;=1,R219&lt;=31),DATE(P219,Q219,R219),0),0)</ns0:f>
        <ns0:v>0</ns0:v>
      </ns0:c>
      <ns0:c r="T219" s="0">
        <ns0:f>IFERROR(IF(ISNUMBER(Bookings!D219),IF(AND(Bookings!D219=INT(Bookings!D219),Bookings!D219&gt;=DATE(2000,1,1),Bookings!D219&lt;=DATE(2100,12,31)),Bookings!D219,0),IF(AND(K219&lt;&gt;"",LEN("x"&amp;L219)-LEN(SUBSTITUTE("x"&amp;L219,".",""))=2,OR(1&gt;LEN(L219),MID(L219,1,1)=".",ISNUMBER(FIND("x"&amp;MID(L219,1,1),"x0x1x2x3x4x5x6x7x8x9"))),OR(2&gt;LEN(L219),MID(L219,2,1)=".",ISNUMBER(FIND("x"&amp;MID(L219,2,1),"x0x1x2x3x4x5x6x7x8x9"))),OR(3&gt;LEN(L219),MID(L219,3,1)=".",ISNUMBER(FIND("x"&amp;MID(L219,3,1),"x0x1x2x3x4x5x6x7x8x9"))),OR(4&gt;LEN(L219),MID(L219,4,1)=".",ISNUMBER(FIND("x"&amp;MID(L219,4,1),"x0x1x2x3x4x5x6x7x8x9"))),OR(5&gt;LEN(L219),MID(L219,5,1)=".",ISNUMBER(FIND("x"&amp;MID(L219,5,1),"x0x1x2x3x4x5x6x7x8x9"))),OR(6&gt;LEN(L219),MID(L219,6,1)=".",ISNUMBER(FIND("x"&amp;MID(L219,6,1),"x0x1x2x3x4x5x6x7x8x9"))),OR(7&gt;LEN(L219),MID(L219,7,1)=".",ISNUMBER(FIND("x"&amp;MID(L219,7,1),"x0x1x2x3x4x5x6x7x8x9"))),OR(8&gt;LEN(L219),MID(L219,8,1)=".",ISNUMBER(FIND("x"&amp;MID(L219,8,1),"x0x1x2x3x4x5x6x7x8x9"))),OR(9&gt;LEN(L219),MID(L219,9,1)=".",ISNUMBER(FIND("x"&amp;MID(L219,9,1),"x0x1x2x3x4x5x6x7x8x9"))),OR(10&gt;LEN(L219),MID(L219,10,1)=".",ISNUMBER(FIND("x"&amp;MID(L219,10,1),"x0x1x2x3x4x5x6x7x8x9"))),OR(AND(FIND(".",L219)=5,LEN(L219)-FIND(".",L219,FIND(".",L219)+1)&gt;=1,LEN(L219)-FIND(".",L219,FIND(".",L219)+1)&lt;=2),AND(LEN(L219)-FIND(".",L219,FIND(".",L219)+1)=4,FIND(".",L219)&gt;=2,FIND(".",L219)&lt;=3)),FIND(".",L219,FIND(".",L219)+1)-FIND(".",L219)&gt;=2,FIND(".",L219,FIND(".",L219)+1)-FIND(".",L219)&lt;=3,P219&gt;=2000,P219&lt;=2100,YEAR(S219)=P219,MONTH(S219)=Q219,DAY(S219)=R219),S219,0)),0)</ns0:f>
        <ns0:v>0</ns0:v>
      </ns0:c>
      <ns0:c r="U219" s="0" t="str">
        <ns0:f>IF(Bookings!C219="","Full day",Bookings!C219)</ns0:f>
        <ns0:v>Full day</ns0:v>
      </ns0:c>
      <ns0:c r="V219" s="0" t="str">
        <ns0:f>IF(Bookings!E219="","Full day",Bookings!E219)</ns0:f>
        <ns0:v>Full day</ns0:v>
      </ns0:c>
      <ns0:c r="W219" s="0">
        <ns0:f>IF(J219=0,0,J219+IF(U219="PM",1,0))</ns0:f>
        <ns0:v>0</ns0:v>
      </ns0:c>
      <ns0:c r="X219" s="0">
        <ns0:f>IF(T219=0,0,T219-IF(V219="PM",1,0))</ns0:f>
        <ns0:v>0</ns0:v>
      </ns0:c>
      <ns0:c r="Y219" s="0">
        <ns0:f>IF(J219=0,0,J219+IF(U219="AM",1,0))</ns0:f>
        <ns0:v>0</ns0:v>
      </ns0:c>
      <ns0:c r="Z219" s="0">
        <ns0:f>IF(T219=0,0,T219-IF(V219="AM",1,0))</ns0:f>
        <ns0:v>0</ns0:v>
      </ns0:c>
      <ns0:c r="AA219" s="0">
        <ns0:f>IFERROR(IF(AND(J219&gt;0,'_Engine'!C219&gt;0,MID('_Engine'!W219,WEEKDAY(J219,2),1)="W",COUNTIF(Settings!$F$18:$F$67,J219)=0),1,0),0)</ns0:f>
        <ns0:v>0</ns0:v>
      </ns0:c>
      <ns0:c r="AB219" s="0">
        <ns0:f>IFERROR(IF(AND(T219&gt;0,'_Engine'!C219&gt;0,MID('_Engine'!W219,WEEKDAY(T219,2),1)="W",COUNTIF(Settings!$F$18:$F$67,T219)=0),1,0),0)</ns0:f>
        <ns0:v>0</ns0:v>
      </ns0:c>
      <ns0:c r="AC219" s="0">
        <ns0:f>IF(AND(J219&gt;0,T219&gt;0,W219&lt;=X219),1,0)</ns0:f>
        <ns0:v>0</ns0:v>
      </ns0:c>
      <ns0:c r="AD219" s="0">
        <ns0:f>IF(AND(J219&gt;0,T219&gt;0,Y219&lt;=Z219),1,0)</ns0:f>
        <ns0:v>0</ns0:v>
      </ns0:c>
    </ns0:row>
    <ns0:row r="220">
      <ns0:c r="A220" s="0">
        <ns0:f>IFERROR(IF(ISNUMBER(Bookings!B220),"",TRIM(Bookings!B220&amp;"")),"")</ns0:f>
      </ns0:c>
      <ns0:c r="B220" s="0">
        <ns0:f>IFERROR(SUBSTITUTE(SUBSTITUTE(A220,"/","."),"-","."),"")</ns0:f>
      </ns0:c>
      <ns0:c r="C220" s="0">
        <ns0:f>IFERROR(LEFT(B220,FIND(".",B220)-1),"")</ns0:f>
      </ns0:c>
      <ns0:c r="D220" s="0">
        <ns0:f>IFERROR(MID(B220,FIND(".",B220)+1,FIND(".",B220,FIND(".",B220)+1)-FIND(".",B220)-1),"")</ns0:f>
      </ns0:c>
      <ns0:c r="E220" s="0">
        <ns0:f>IFERROR(MID(B220,FIND(".",B220,FIND(".",B220)+1)+1,99),"")</ns0:f>
        <ns0:v>99</ns0:v>
      </ns0:c>
      <ns0:c r="F220" s="0">
        <ns0:f>IFERROR(IF(FIND(".",B220)=5,--C220,--E220),0)</ns0:f>
        <ns0:v>0</ns0:v>
      </ns0:c>
      <ns0:c r="G220" s="0">
        <ns0:f>IFERROR(--D220,0)</ns0:f>
        <ns0:v>0</ns0:v>
      </ns0:c>
      <ns0:c r="H220" s="0">
        <ns0:f>IFERROR(IF(FIND(".",B220)=5,--E220,--C220),0)</ns0:f>
        <ns0:v>0</ns0:v>
      </ns0:c>
      <ns0:c r="I220" s="0">
        <ns0:f>IFERROR(IF(AND(F220&gt;=2000,F220&lt;=2100,G220&gt;=1,G220&lt;=12,H220&gt;=1,H220&lt;=31),DATE(F220,G220,H220),0),0)</ns0:f>
        <ns0:v>0</ns0:v>
      </ns0:c>
      <ns0:c r="J220" s="0">
        <ns0:f>IFERROR(IF(ISNUMBER(Bookings!B220),IF(AND(Bookings!B220=INT(Bookings!B220),Bookings!B220&gt;=DATE(2000,1,1),Bookings!B220&lt;=DATE(2100,12,31)),Bookings!B220,0),IF(AND(A220&lt;&gt;"",LEN("x"&amp;B220)-LEN(SUBSTITUTE("x"&amp;B220,".",""))=2,OR(1&gt;LEN(B220),MID(B220,1,1)=".",ISNUMBER(FIND("x"&amp;MID(B220,1,1),"x0x1x2x3x4x5x6x7x8x9"))),OR(2&gt;LEN(B220),MID(B220,2,1)=".",ISNUMBER(FIND("x"&amp;MID(B220,2,1),"x0x1x2x3x4x5x6x7x8x9"))),OR(3&gt;LEN(B220),MID(B220,3,1)=".",ISNUMBER(FIND("x"&amp;MID(B220,3,1),"x0x1x2x3x4x5x6x7x8x9"))),OR(4&gt;LEN(B220),MID(B220,4,1)=".",ISNUMBER(FIND("x"&amp;MID(B220,4,1),"x0x1x2x3x4x5x6x7x8x9"))),OR(5&gt;LEN(B220),MID(B220,5,1)=".",ISNUMBER(FIND("x"&amp;MID(B220,5,1),"x0x1x2x3x4x5x6x7x8x9"))),OR(6&gt;LEN(B220),MID(B220,6,1)=".",ISNUMBER(FIND("x"&amp;MID(B220,6,1),"x0x1x2x3x4x5x6x7x8x9"))),OR(7&gt;LEN(B220),MID(B220,7,1)=".",ISNUMBER(FIND("x"&amp;MID(B220,7,1),"x0x1x2x3x4x5x6x7x8x9"))),OR(8&gt;LEN(B220),MID(B220,8,1)=".",ISNUMBER(FIND("x"&amp;MID(B220,8,1),"x0x1x2x3x4x5x6x7x8x9"))),OR(9&gt;LEN(B220),MID(B220,9,1)=".",ISNUMBER(FIND("x"&amp;MID(B220,9,1),"x0x1x2x3x4x5x6x7x8x9"))),OR(10&gt;LEN(B220),MID(B220,10,1)=".",ISNUMBER(FIND("x"&amp;MID(B220,10,1),"x0x1x2x3x4x5x6x7x8x9"))),OR(AND(FIND(".",B220)=5,LEN(B220)-FIND(".",B220,FIND(".",B220)+1)&gt;=1,LEN(B220)-FIND(".",B220,FIND(".",B220)+1)&lt;=2),AND(LEN(B220)-FIND(".",B220,FIND(".",B220)+1)=4,FIND(".",B220)&gt;=2,FIND(".",B220)&lt;=3)),FIND(".",B220,FIND(".",B220)+1)-FIND(".",B220)&gt;=2,FIND(".",B220,FIND(".",B220)+1)-FIND(".",B220)&lt;=3,F220&gt;=2000,F220&lt;=2100,YEAR(I220)=F220,MONTH(I220)=G220,DAY(I220)=H220),I220,0)),0)</ns0:f>
        <ns0:v>0</ns0:v>
      </ns0:c>
      <ns0:c r="K220" s="0">
        <ns0:f>IFERROR(IF(ISNUMBER(Bookings!D220),"",TRIM(Bookings!D220&amp;"")),"")</ns0:f>
      </ns0:c>
      <ns0:c r="L220" s="0">
        <ns0:f>IFERROR(SUBSTITUTE(SUBSTITUTE(K220,"/","."),"-","."),"")</ns0:f>
      </ns0:c>
      <ns0:c r="M220" s="0">
        <ns0:f>IFERROR(LEFT(L220,FIND(".",L220)-1),"")</ns0:f>
      </ns0:c>
      <ns0:c r="N220" s="0">
        <ns0:f>IFERROR(MID(L220,FIND(".",L220)+1,FIND(".",L220,FIND(".",L220)+1)-FIND(".",L220)-1),"")</ns0:f>
      </ns0:c>
      <ns0:c r="O220" s="0">
        <ns0:f>IFERROR(MID(L220,FIND(".",L220,FIND(".",L220)+1)+1,99),"")</ns0:f>
        <ns0:v>99</ns0:v>
      </ns0:c>
      <ns0:c r="P220" s="0">
        <ns0:f>IFERROR(IF(FIND(".",L220)=5,--M220,--O220),0)</ns0:f>
        <ns0:v>0</ns0:v>
      </ns0:c>
      <ns0:c r="Q220" s="0">
        <ns0:f>IFERROR(--N220,0)</ns0:f>
        <ns0:v>0</ns0:v>
      </ns0:c>
      <ns0:c r="R220" s="0">
        <ns0:f>IFERROR(IF(FIND(".",L220)=5,--O220,--M220),0)</ns0:f>
        <ns0:v>0</ns0:v>
      </ns0:c>
      <ns0:c r="S220" s="0">
        <ns0:f>IFERROR(IF(AND(P220&gt;=2000,P220&lt;=2100,Q220&gt;=1,Q220&lt;=12,R220&gt;=1,R220&lt;=31),DATE(P220,Q220,R220),0),0)</ns0:f>
        <ns0:v>0</ns0:v>
      </ns0:c>
      <ns0:c r="T220" s="0">
        <ns0:f>IFERROR(IF(ISNUMBER(Bookings!D220),IF(AND(Bookings!D220=INT(Bookings!D220),Bookings!D220&gt;=DATE(2000,1,1),Bookings!D220&lt;=DATE(2100,12,31)),Bookings!D220,0),IF(AND(K220&lt;&gt;"",LEN("x"&amp;L220)-LEN(SUBSTITUTE("x"&amp;L220,".",""))=2,OR(1&gt;LEN(L220),MID(L220,1,1)=".",ISNUMBER(FIND("x"&amp;MID(L220,1,1),"x0x1x2x3x4x5x6x7x8x9"))),OR(2&gt;LEN(L220),MID(L220,2,1)=".",ISNUMBER(FIND("x"&amp;MID(L220,2,1),"x0x1x2x3x4x5x6x7x8x9"))),OR(3&gt;LEN(L220),MID(L220,3,1)=".",ISNUMBER(FIND("x"&amp;MID(L220,3,1),"x0x1x2x3x4x5x6x7x8x9"))),OR(4&gt;LEN(L220),MID(L220,4,1)=".",ISNUMBER(FIND("x"&amp;MID(L220,4,1),"x0x1x2x3x4x5x6x7x8x9"))),OR(5&gt;LEN(L220),MID(L220,5,1)=".",ISNUMBER(FIND("x"&amp;MID(L220,5,1),"x0x1x2x3x4x5x6x7x8x9"))),OR(6&gt;LEN(L220),MID(L220,6,1)=".",ISNUMBER(FIND("x"&amp;MID(L220,6,1),"x0x1x2x3x4x5x6x7x8x9"))),OR(7&gt;LEN(L220),MID(L220,7,1)=".",ISNUMBER(FIND("x"&amp;MID(L220,7,1),"x0x1x2x3x4x5x6x7x8x9"))),OR(8&gt;LEN(L220),MID(L220,8,1)=".",ISNUMBER(FIND("x"&amp;MID(L220,8,1),"x0x1x2x3x4x5x6x7x8x9"))),OR(9&gt;LEN(L220),MID(L220,9,1)=".",ISNUMBER(FIND("x"&amp;MID(L220,9,1),"x0x1x2x3x4x5x6x7x8x9"))),OR(10&gt;LEN(L220),MID(L220,10,1)=".",ISNUMBER(FIND("x"&amp;MID(L220,10,1),"x0x1x2x3x4x5x6x7x8x9"))),OR(AND(FIND(".",L220)=5,LEN(L220)-FIND(".",L220,FIND(".",L220)+1)&gt;=1,LEN(L220)-FIND(".",L220,FIND(".",L220)+1)&lt;=2),AND(LEN(L220)-FIND(".",L220,FIND(".",L220)+1)=4,FIND(".",L220)&gt;=2,FIND(".",L220)&lt;=3)),FIND(".",L220,FIND(".",L220)+1)-FIND(".",L220)&gt;=2,FIND(".",L220,FIND(".",L220)+1)-FIND(".",L220)&lt;=3,P220&gt;=2000,P220&lt;=2100,YEAR(S220)=P220,MONTH(S220)=Q220,DAY(S220)=R220),S220,0)),0)</ns0:f>
        <ns0:v>0</ns0:v>
      </ns0:c>
      <ns0:c r="U220" s="0" t="str">
        <ns0:f>IF(Bookings!C220="","Full day",Bookings!C220)</ns0:f>
        <ns0:v>Full day</ns0:v>
      </ns0:c>
      <ns0:c r="V220" s="0" t="str">
        <ns0:f>IF(Bookings!E220="","Full day",Bookings!E220)</ns0:f>
        <ns0:v>Full day</ns0:v>
      </ns0:c>
      <ns0:c r="W220" s="0">
        <ns0:f>IF(J220=0,0,J220+IF(U220="PM",1,0))</ns0:f>
        <ns0:v>0</ns0:v>
      </ns0:c>
      <ns0:c r="X220" s="0">
        <ns0:f>IF(T220=0,0,T220-IF(V220="PM",1,0))</ns0:f>
        <ns0:v>0</ns0:v>
      </ns0:c>
      <ns0:c r="Y220" s="0">
        <ns0:f>IF(J220=0,0,J220+IF(U220="AM",1,0))</ns0:f>
        <ns0:v>0</ns0:v>
      </ns0:c>
      <ns0:c r="Z220" s="0">
        <ns0:f>IF(T220=0,0,T220-IF(V220="AM",1,0))</ns0:f>
        <ns0:v>0</ns0:v>
      </ns0:c>
      <ns0:c r="AA220" s="0">
        <ns0:f>IFERROR(IF(AND(J220&gt;0,'_Engine'!C220&gt;0,MID('_Engine'!W220,WEEKDAY(J220,2),1)="W",COUNTIF(Settings!$F$18:$F$67,J220)=0),1,0),0)</ns0:f>
        <ns0:v>0</ns0:v>
      </ns0:c>
      <ns0:c r="AB220" s="0">
        <ns0:f>IFERROR(IF(AND(T220&gt;0,'_Engine'!C220&gt;0,MID('_Engine'!W220,WEEKDAY(T220,2),1)="W",COUNTIF(Settings!$F$18:$F$67,T220)=0),1,0),0)</ns0:f>
        <ns0:v>0</ns0:v>
      </ns0:c>
      <ns0:c r="AC220" s="0">
        <ns0:f>IF(AND(J220&gt;0,T220&gt;0,W220&lt;=X220),1,0)</ns0:f>
        <ns0:v>0</ns0:v>
      </ns0:c>
      <ns0:c r="AD220" s="0">
        <ns0:f>IF(AND(J220&gt;0,T220&gt;0,Y220&lt;=Z220),1,0)</ns0:f>
        <ns0:v>0</ns0:v>
      </ns0:c>
    </ns0:row>
    <ns0:row r="221">
      <ns0:c r="A221" s="0">
        <ns0:f>IFERROR(IF(ISNUMBER(Bookings!B221),"",TRIM(Bookings!B221&amp;"")),"")</ns0:f>
      </ns0:c>
      <ns0:c r="B221" s="0">
        <ns0:f>IFERROR(SUBSTITUTE(SUBSTITUTE(A221,"/","."),"-","."),"")</ns0:f>
      </ns0:c>
      <ns0:c r="C221" s="0">
        <ns0:f>IFERROR(LEFT(B221,FIND(".",B221)-1),"")</ns0:f>
      </ns0:c>
      <ns0:c r="D221" s="0">
        <ns0:f>IFERROR(MID(B221,FIND(".",B221)+1,FIND(".",B221,FIND(".",B221)+1)-FIND(".",B221)-1),"")</ns0:f>
      </ns0:c>
      <ns0:c r="E221" s="0">
        <ns0:f>IFERROR(MID(B221,FIND(".",B221,FIND(".",B221)+1)+1,99),"")</ns0:f>
        <ns0:v>99</ns0:v>
      </ns0:c>
      <ns0:c r="F221" s="0">
        <ns0:f>IFERROR(IF(FIND(".",B221)=5,--C221,--E221),0)</ns0:f>
        <ns0:v>0</ns0:v>
      </ns0:c>
      <ns0:c r="G221" s="0">
        <ns0:f>IFERROR(--D221,0)</ns0:f>
        <ns0:v>0</ns0:v>
      </ns0:c>
      <ns0:c r="H221" s="0">
        <ns0:f>IFERROR(IF(FIND(".",B221)=5,--E221,--C221),0)</ns0:f>
        <ns0:v>0</ns0:v>
      </ns0:c>
      <ns0:c r="I221" s="0">
        <ns0:f>IFERROR(IF(AND(F221&gt;=2000,F221&lt;=2100,G221&gt;=1,G221&lt;=12,H221&gt;=1,H221&lt;=31),DATE(F221,G221,H221),0),0)</ns0:f>
        <ns0:v>0</ns0:v>
      </ns0:c>
      <ns0:c r="J221" s="0">
        <ns0:f>IFERROR(IF(ISNUMBER(Bookings!B221),IF(AND(Bookings!B221=INT(Bookings!B221),Bookings!B221&gt;=DATE(2000,1,1),Bookings!B221&lt;=DATE(2100,12,31)),Bookings!B221,0),IF(AND(A221&lt;&gt;"",LEN("x"&amp;B221)-LEN(SUBSTITUTE("x"&amp;B221,".",""))=2,OR(1&gt;LEN(B221),MID(B221,1,1)=".",ISNUMBER(FIND("x"&amp;MID(B221,1,1),"x0x1x2x3x4x5x6x7x8x9"))),OR(2&gt;LEN(B221),MID(B221,2,1)=".",ISNUMBER(FIND("x"&amp;MID(B221,2,1),"x0x1x2x3x4x5x6x7x8x9"))),OR(3&gt;LEN(B221),MID(B221,3,1)=".",ISNUMBER(FIND("x"&amp;MID(B221,3,1),"x0x1x2x3x4x5x6x7x8x9"))),OR(4&gt;LEN(B221),MID(B221,4,1)=".",ISNUMBER(FIND("x"&amp;MID(B221,4,1),"x0x1x2x3x4x5x6x7x8x9"))),OR(5&gt;LEN(B221),MID(B221,5,1)=".",ISNUMBER(FIND("x"&amp;MID(B221,5,1),"x0x1x2x3x4x5x6x7x8x9"))),OR(6&gt;LEN(B221),MID(B221,6,1)=".",ISNUMBER(FIND("x"&amp;MID(B221,6,1),"x0x1x2x3x4x5x6x7x8x9"))),OR(7&gt;LEN(B221),MID(B221,7,1)=".",ISNUMBER(FIND("x"&amp;MID(B221,7,1),"x0x1x2x3x4x5x6x7x8x9"))),OR(8&gt;LEN(B221),MID(B221,8,1)=".",ISNUMBER(FIND("x"&amp;MID(B221,8,1),"x0x1x2x3x4x5x6x7x8x9"))),OR(9&gt;LEN(B221),MID(B221,9,1)=".",ISNUMBER(FIND("x"&amp;MID(B221,9,1),"x0x1x2x3x4x5x6x7x8x9"))),OR(10&gt;LEN(B221),MID(B221,10,1)=".",ISNUMBER(FIND("x"&amp;MID(B221,10,1),"x0x1x2x3x4x5x6x7x8x9"))),OR(AND(FIND(".",B221)=5,LEN(B221)-FIND(".",B221,FIND(".",B221)+1)&gt;=1,LEN(B221)-FIND(".",B221,FIND(".",B221)+1)&lt;=2),AND(LEN(B221)-FIND(".",B221,FIND(".",B221)+1)=4,FIND(".",B221)&gt;=2,FIND(".",B221)&lt;=3)),FIND(".",B221,FIND(".",B221)+1)-FIND(".",B221)&gt;=2,FIND(".",B221,FIND(".",B221)+1)-FIND(".",B221)&lt;=3,F221&gt;=2000,F221&lt;=2100,YEAR(I221)=F221,MONTH(I221)=G221,DAY(I221)=H221),I221,0)),0)</ns0:f>
        <ns0:v>0</ns0:v>
      </ns0:c>
      <ns0:c r="K221" s="0">
        <ns0:f>IFERROR(IF(ISNUMBER(Bookings!D221),"",TRIM(Bookings!D221&amp;"")),"")</ns0:f>
      </ns0:c>
      <ns0:c r="L221" s="0">
        <ns0:f>IFERROR(SUBSTITUTE(SUBSTITUTE(K221,"/","."),"-","."),"")</ns0:f>
      </ns0:c>
      <ns0:c r="M221" s="0">
        <ns0:f>IFERROR(LEFT(L221,FIND(".",L221)-1),"")</ns0:f>
      </ns0:c>
      <ns0:c r="N221" s="0">
        <ns0:f>IFERROR(MID(L221,FIND(".",L221)+1,FIND(".",L221,FIND(".",L221)+1)-FIND(".",L221)-1),"")</ns0:f>
      </ns0:c>
      <ns0:c r="O221" s="0">
        <ns0:f>IFERROR(MID(L221,FIND(".",L221,FIND(".",L221)+1)+1,99),"")</ns0:f>
        <ns0:v>99</ns0:v>
      </ns0:c>
      <ns0:c r="P221" s="0">
        <ns0:f>IFERROR(IF(FIND(".",L221)=5,--M221,--O221),0)</ns0:f>
        <ns0:v>0</ns0:v>
      </ns0:c>
      <ns0:c r="Q221" s="0">
        <ns0:f>IFERROR(--N221,0)</ns0:f>
        <ns0:v>0</ns0:v>
      </ns0:c>
      <ns0:c r="R221" s="0">
        <ns0:f>IFERROR(IF(FIND(".",L221)=5,--O221,--M221),0)</ns0:f>
        <ns0:v>0</ns0:v>
      </ns0:c>
      <ns0:c r="S221" s="0">
        <ns0:f>IFERROR(IF(AND(P221&gt;=2000,P221&lt;=2100,Q221&gt;=1,Q221&lt;=12,R221&gt;=1,R221&lt;=31),DATE(P221,Q221,R221),0),0)</ns0:f>
        <ns0:v>0</ns0:v>
      </ns0:c>
      <ns0:c r="T221" s="0">
        <ns0:f>IFERROR(IF(ISNUMBER(Bookings!D221),IF(AND(Bookings!D221=INT(Bookings!D221),Bookings!D221&gt;=DATE(2000,1,1),Bookings!D221&lt;=DATE(2100,12,31)),Bookings!D221,0),IF(AND(K221&lt;&gt;"",LEN("x"&amp;L221)-LEN(SUBSTITUTE("x"&amp;L221,".",""))=2,OR(1&gt;LEN(L221),MID(L221,1,1)=".",ISNUMBER(FIND("x"&amp;MID(L221,1,1),"x0x1x2x3x4x5x6x7x8x9"))),OR(2&gt;LEN(L221),MID(L221,2,1)=".",ISNUMBER(FIND("x"&amp;MID(L221,2,1),"x0x1x2x3x4x5x6x7x8x9"))),OR(3&gt;LEN(L221),MID(L221,3,1)=".",ISNUMBER(FIND("x"&amp;MID(L221,3,1),"x0x1x2x3x4x5x6x7x8x9"))),OR(4&gt;LEN(L221),MID(L221,4,1)=".",ISNUMBER(FIND("x"&amp;MID(L221,4,1),"x0x1x2x3x4x5x6x7x8x9"))),OR(5&gt;LEN(L221),MID(L221,5,1)=".",ISNUMBER(FIND("x"&amp;MID(L221,5,1),"x0x1x2x3x4x5x6x7x8x9"))),OR(6&gt;LEN(L221),MID(L221,6,1)=".",ISNUMBER(FIND("x"&amp;MID(L221,6,1),"x0x1x2x3x4x5x6x7x8x9"))),OR(7&gt;LEN(L221),MID(L221,7,1)=".",ISNUMBER(FIND("x"&amp;MID(L221,7,1),"x0x1x2x3x4x5x6x7x8x9"))),OR(8&gt;LEN(L221),MID(L221,8,1)=".",ISNUMBER(FIND("x"&amp;MID(L221,8,1),"x0x1x2x3x4x5x6x7x8x9"))),OR(9&gt;LEN(L221),MID(L221,9,1)=".",ISNUMBER(FIND("x"&amp;MID(L221,9,1),"x0x1x2x3x4x5x6x7x8x9"))),OR(10&gt;LEN(L221),MID(L221,10,1)=".",ISNUMBER(FIND("x"&amp;MID(L221,10,1),"x0x1x2x3x4x5x6x7x8x9"))),OR(AND(FIND(".",L221)=5,LEN(L221)-FIND(".",L221,FIND(".",L221)+1)&gt;=1,LEN(L221)-FIND(".",L221,FIND(".",L221)+1)&lt;=2),AND(LEN(L221)-FIND(".",L221,FIND(".",L221)+1)=4,FIND(".",L221)&gt;=2,FIND(".",L221)&lt;=3)),FIND(".",L221,FIND(".",L221)+1)-FIND(".",L221)&gt;=2,FIND(".",L221,FIND(".",L221)+1)-FIND(".",L221)&lt;=3,P221&gt;=2000,P221&lt;=2100,YEAR(S221)=P221,MONTH(S221)=Q221,DAY(S221)=R221),S221,0)),0)</ns0:f>
        <ns0:v>0</ns0:v>
      </ns0:c>
      <ns0:c r="U221" s="0" t="str">
        <ns0:f>IF(Bookings!C221="","Full day",Bookings!C221)</ns0:f>
        <ns0:v>Full day</ns0:v>
      </ns0:c>
      <ns0:c r="V221" s="0" t="str">
        <ns0:f>IF(Bookings!E221="","Full day",Bookings!E221)</ns0:f>
        <ns0:v>Full day</ns0:v>
      </ns0:c>
      <ns0:c r="W221" s="0">
        <ns0:f>IF(J221=0,0,J221+IF(U221="PM",1,0))</ns0:f>
        <ns0:v>0</ns0:v>
      </ns0:c>
      <ns0:c r="X221" s="0">
        <ns0:f>IF(T221=0,0,T221-IF(V221="PM",1,0))</ns0:f>
        <ns0:v>0</ns0:v>
      </ns0:c>
      <ns0:c r="Y221" s="0">
        <ns0:f>IF(J221=0,0,J221+IF(U221="AM",1,0))</ns0:f>
        <ns0:v>0</ns0:v>
      </ns0:c>
      <ns0:c r="Z221" s="0">
        <ns0:f>IF(T221=0,0,T221-IF(V221="AM",1,0))</ns0:f>
        <ns0:v>0</ns0:v>
      </ns0:c>
      <ns0:c r="AA221" s="0">
        <ns0:f>IFERROR(IF(AND(J221&gt;0,'_Engine'!C221&gt;0,MID('_Engine'!W221,WEEKDAY(J221,2),1)="W",COUNTIF(Settings!$F$18:$F$67,J221)=0),1,0),0)</ns0:f>
        <ns0:v>0</ns0:v>
      </ns0:c>
      <ns0:c r="AB221" s="0">
        <ns0:f>IFERROR(IF(AND(T221&gt;0,'_Engine'!C221&gt;0,MID('_Engine'!W221,WEEKDAY(T221,2),1)="W",COUNTIF(Settings!$F$18:$F$67,T221)=0),1,0),0)</ns0:f>
        <ns0:v>0</ns0:v>
      </ns0:c>
      <ns0:c r="AC221" s="0">
        <ns0:f>IF(AND(J221&gt;0,T221&gt;0,W221&lt;=X221),1,0)</ns0:f>
        <ns0:v>0</ns0:v>
      </ns0:c>
      <ns0:c r="AD221" s="0">
        <ns0:f>IF(AND(J221&gt;0,T221&gt;0,Y221&lt;=Z221),1,0)</ns0:f>
        <ns0:v>0</ns0:v>
      </ns0:c>
    </ns0:row>
    <ns0:row r="222">
      <ns0:c r="A222" s="0">
        <ns0:f>IFERROR(IF(ISNUMBER(Bookings!B222),"",TRIM(Bookings!B222&amp;"")),"")</ns0:f>
      </ns0:c>
      <ns0:c r="B222" s="0">
        <ns0:f>IFERROR(SUBSTITUTE(SUBSTITUTE(A222,"/","."),"-","."),"")</ns0:f>
      </ns0:c>
      <ns0:c r="C222" s="0">
        <ns0:f>IFERROR(LEFT(B222,FIND(".",B222)-1),"")</ns0:f>
      </ns0:c>
      <ns0:c r="D222" s="0">
        <ns0:f>IFERROR(MID(B222,FIND(".",B222)+1,FIND(".",B222,FIND(".",B222)+1)-FIND(".",B222)-1),"")</ns0:f>
      </ns0:c>
      <ns0:c r="E222" s="0">
        <ns0:f>IFERROR(MID(B222,FIND(".",B222,FIND(".",B222)+1)+1,99),"")</ns0:f>
        <ns0:v>99</ns0:v>
      </ns0:c>
      <ns0:c r="F222" s="0">
        <ns0:f>IFERROR(IF(FIND(".",B222)=5,--C222,--E222),0)</ns0:f>
        <ns0:v>0</ns0:v>
      </ns0:c>
      <ns0:c r="G222" s="0">
        <ns0:f>IFERROR(--D222,0)</ns0:f>
        <ns0:v>0</ns0:v>
      </ns0:c>
      <ns0:c r="H222" s="0">
        <ns0:f>IFERROR(IF(FIND(".",B222)=5,--E222,--C222),0)</ns0:f>
        <ns0:v>0</ns0:v>
      </ns0:c>
      <ns0:c r="I222" s="0">
        <ns0:f>IFERROR(IF(AND(F222&gt;=2000,F222&lt;=2100,G222&gt;=1,G222&lt;=12,H222&gt;=1,H222&lt;=31),DATE(F222,G222,H222),0),0)</ns0:f>
        <ns0:v>0</ns0:v>
      </ns0:c>
      <ns0:c r="J222" s="0">
        <ns0:f>IFERROR(IF(ISNUMBER(Bookings!B222),IF(AND(Bookings!B222=INT(Bookings!B222),Bookings!B222&gt;=DATE(2000,1,1),Bookings!B222&lt;=DATE(2100,12,31)),Bookings!B222,0),IF(AND(A222&lt;&gt;"",LEN("x"&amp;B222)-LEN(SUBSTITUTE("x"&amp;B222,".",""))=2,OR(1&gt;LEN(B222),MID(B222,1,1)=".",ISNUMBER(FIND("x"&amp;MID(B222,1,1),"x0x1x2x3x4x5x6x7x8x9"))),OR(2&gt;LEN(B222),MID(B222,2,1)=".",ISNUMBER(FIND("x"&amp;MID(B222,2,1),"x0x1x2x3x4x5x6x7x8x9"))),OR(3&gt;LEN(B222),MID(B222,3,1)=".",ISNUMBER(FIND("x"&amp;MID(B222,3,1),"x0x1x2x3x4x5x6x7x8x9"))),OR(4&gt;LEN(B222),MID(B222,4,1)=".",ISNUMBER(FIND("x"&amp;MID(B222,4,1),"x0x1x2x3x4x5x6x7x8x9"))),OR(5&gt;LEN(B222),MID(B222,5,1)=".",ISNUMBER(FIND("x"&amp;MID(B222,5,1),"x0x1x2x3x4x5x6x7x8x9"))),OR(6&gt;LEN(B222),MID(B222,6,1)=".",ISNUMBER(FIND("x"&amp;MID(B222,6,1),"x0x1x2x3x4x5x6x7x8x9"))),OR(7&gt;LEN(B222),MID(B222,7,1)=".",ISNUMBER(FIND("x"&amp;MID(B222,7,1),"x0x1x2x3x4x5x6x7x8x9"))),OR(8&gt;LEN(B222),MID(B222,8,1)=".",ISNUMBER(FIND("x"&amp;MID(B222,8,1),"x0x1x2x3x4x5x6x7x8x9"))),OR(9&gt;LEN(B222),MID(B222,9,1)=".",ISNUMBER(FIND("x"&amp;MID(B222,9,1),"x0x1x2x3x4x5x6x7x8x9"))),OR(10&gt;LEN(B222),MID(B222,10,1)=".",ISNUMBER(FIND("x"&amp;MID(B222,10,1),"x0x1x2x3x4x5x6x7x8x9"))),OR(AND(FIND(".",B222)=5,LEN(B222)-FIND(".",B222,FIND(".",B222)+1)&gt;=1,LEN(B222)-FIND(".",B222,FIND(".",B222)+1)&lt;=2),AND(LEN(B222)-FIND(".",B222,FIND(".",B222)+1)=4,FIND(".",B222)&gt;=2,FIND(".",B222)&lt;=3)),FIND(".",B222,FIND(".",B222)+1)-FIND(".",B222)&gt;=2,FIND(".",B222,FIND(".",B222)+1)-FIND(".",B222)&lt;=3,F222&gt;=2000,F222&lt;=2100,YEAR(I222)=F222,MONTH(I222)=G222,DAY(I222)=H222),I222,0)),0)</ns0:f>
        <ns0:v>0</ns0:v>
      </ns0:c>
      <ns0:c r="K222" s="0">
        <ns0:f>IFERROR(IF(ISNUMBER(Bookings!D222),"",TRIM(Bookings!D222&amp;"")),"")</ns0:f>
      </ns0:c>
      <ns0:c r="L222" s="0">
        <ns0:f>IFERROR(SUBSTITUTE(SUBSTITUTE(K222,"/","."),"-","."),"")</ns0:f>
      </ns0:c>
      <ns0:c r="M222" s="0">
        <ns0:f>IFERROR(LEFT(L222,FIND(".",L222)-1),"")</ns0:f>
      </ns0:c>
      <ns0:c r="N222" s="0">
        <ns0:f>IFERROR(MID(L222,FIND(".",L222)+1,FIND(".",L222,FIND(".",L222)+1)-FIND(".",L222)-1),"")</ns0:f>
      </ns0:c>
      <ns0:c r="O222" s="0">
        <ns0:f>IFERROR(MID(L222,FIND(".",L222,FIND(".",L222)+1)+1,99),"")</ns0:f>
        <ns0:v>99</ns0:v>
      </ns0:c>
      <ns0:c r="P222" s="0">
        <ns0:f>IFERROR(IF(FIND(".",L222)=5,--M222,--O222),0)</ns0:f>
        <ns0:v>0</ns0:v>
      </ns0:c>
      <ns0:c r="Q222" s="0">
        <ns0:f>IFERROR(--N222,0)</ns0:f>
        <ns0:v>0</ns0:v>
      </ns0:c>
      <ns0:c r="R222" s="0">
        <ns0:f>IFERROR(IF(FIND(".",L222)=5,--O222,--M222),0)</ns0:f>
        <ns0:v>0</ns0:v>
      </ns0:c>
      <ns0:c r="S222" s="0">
        <ns0:f>IFERROR(IF(AND(P222&gt;=2000,P222&lt;=2100,Q222&gt;=1,Q222&lt;=12,R222&gt;=1,R222&lt;=31),DATE(P222,Q222,R222),0),0)</ns0:f>
        <ns0:v>0</ns0:v>
      </ns0:c>
      <ns0:c r="T222" s="0">
        <ns0:f>IFERROR(IF(ISNUMBER(Bookings!D222),IF(AND(Bookings!D222=INT(Bookings!D222),Bookings!D222&gt;=DATE(2000,1,1),Bookings!D222&lt;=DATE(2100,12,31)),Bookings!D222,0),IF(AND(K222&lt;&gt;"",LEN("x"&amp;L222)-LEN(SUBSTITUTE("x"&amp;L222,".",""))=2,OR(1&gt;LEN(L222),MID(L222,1,1)=".",ISNUMBER(FIND("x"&amp;MID(L222,1,1),"x0x1x2x3x4x5x6x7x8x9"))),OR(2&gt;LEN(L222),MID(L222,2,1)=".",ISNUMBER(FIND("x"&amp;MID(L222,2,1),"x0x1x2x3x4x5x6x7x8x9"))),OR(3&gt;LEN(L222),MID(L222,3,1)=".",ISNUMBER(FIND("x"&amp;MID(L222,3,1),"x0x1x2x3x4x5x6x7x8x9"))),OR(4&gt;LEN(L222),MID(L222,4,1)=".",ISNUMBER(FIND("x"&amp;MID(L222,4,1),"x0x1x2x3x4x5x6x7x8x9"))),OR(5&gt;LEN(L222),MID(L222,5,1)=".",ISNUMBER(FIND("x"&amp;MID(L222,5,1),"x0x1x2x3x4x5x6x7x8x9"))),OR(6&gt;LEN(L222),MID(L222,6,1)=".",ISNUMBER(FIND("x"&amp;MID(L222,6,1),"x0x1x2x3x4x5x6x7x8x9"))),OR(7&gt;LEN(L222),MID(L222,7,1)=".",ISNUMBER(FIND("x"&amp;MID(L222,7,1),"x0x1x2x3x4x5x6x7x8x9"))),OR(8&gt;LEN(L222),MID(L222,8,1)=".",ISNUMBER(FIND("x"&amp;MID(L222,8,1),"x0x1x2x3x4x5x6x7x8x9"))),OR(9&gt;LEN(L222),MID(L222,9,1)=".",ISNUMBER(FIND("x"&amp;MID(L222,9,1),"x0x1x2x3x4x5x6x7x8x9"))),OR(10&gt;LEN(L222),MID(L222,10,1)=".",ISNUMBER(FIND("x"&amp;MID(L222,10,1),"x0x1x2x3x4x5x6x7x8x9"))),OR(AND(FIND(".",L222)=5,LEN(L222)-FIND(".",L222,FIND(".",L222)+1)&gt;=1,LEN(L222)-FIND(".",L222,FIND(".",L222)+1)&lt;=2),AND(LEN(L222)-FIND(".",L222,FIND(".",L222)+1)=4,FIND(".",L222)&gt;=2,FIND(".",L222)&lt;=3)),FIND(".",L222,FIND(".",L222)+1)-FIND(".",L222)&gt;=2,FIND(".",L222,FIND(".",L222)+1)-FIND(".",L222)&lt;=3,P222&gt;=2000,P222&lt;=2100,YEAR(S222)=P222,MONTH(S222)=Q222,DAY(S222)=R222),S222,0)),0)</ns0:f>
        <ns0:v>0</ns0:v>
      </ns0:c>
      <ns0:c r="U222" s="0" t="str">
        <ns0:f>IF(Bookings!C222="","Full day",Bookings!C222)</ns0:f>
        <ns0:v>Full day</ns0:v>
      </ns0:c>
      <ns0:c r="V222" s="0" t="str">
        <ns0:f>IF(Bookings!E222="","Full day",Bookings!E222)</ns0:f>
        <ns0:v>Full day</ns0:v>
      </ns0:c>
      <ns0:c r="W222" s="0">
        <ns0:f>IF(J222=0,0,J222+IF(U222="PM",1,0))</ns0:f>
        <ns0:v>0</ns0:v>
      </ns0:c>
      <ns0:c r="X222" s="0">
        <ns0:f>IF(T222=0,0,T222-IF(V222="PM",1,0))</ns0:f>
        <ns0:v>0</ns0:v>
      </ns0:c>
      <ns0:c r="Y222" s="0">
        <ns0:f>IF(J222=0,0,J222+IF(U222="AM",1,0))</ns0:f>
        <ns0:v>0</ns0:v>
      </ns0:c>
      <ns0:c r="Z222" s="0">
        <ns0:f>IF(T222=0,0,T222-IF(V222="AM",1,0))</ns0:f>
        <ns0:v>0</ns0:v>
      </ns0:c>
      <ns0:c r="AA222" s="0">
        <ns0:f>IFERROR(IF(AND(J222&gt;0,'_Engine'!C222&gt;0,MID('_Engine'!W222,WEEKDAY(J222,2),1)="W",COUNTIF(Settings!$F$18:$F$67,J222)=0),1,0),0)</ns0:f>
        <ns0:v>0</ns0:v>
      </ns0:c>
      <ns0:c r="AB222" s="0">
        <ns0:f>IFERROR(IF(AND(T222&gt;0,'_Engine'!C222&gt;0,MID('_Engine'!W222,WEEKDAY(T222,2),1)="W",COUNTIF(Settings!$F$18:$F$67,T222)=0),1,0),0)</ns0:f>
        <ns0:v>0</ns0:v>
      </ns0:c>
      <ns0:c r="AC222" s="0">
        <ns0:f>IF(AND(J222&gt;0,T222&gt;0,W222&lt;=X222),1,0)</ns0:f>
        <ns0:v>0</ns0:v>
      </ns0:c>
      <ns0:c r="AD222" s="0">
        <ns0:f>IF(AND(J222&gt;0,T222&gt;0,Y222&lt;=Z222),1,0)</ns0:f>
        <ns0:v>0</ns0:v>
      </ns0:c>
    </ns0:row>
    <ns0:row r="223">
      <ns0:c r="A223" s="0">
        <ns0:f>IFERROR(IF(ISNUMBER(Bookings!B223),"",TRIM(Bookings!B223&amp;"")),"")</ns0:f>
      </ns0:c>
      <ns0:c r="B223" s="0">
        <ns0:f>IFERROR(SUBSTITUTE(SUBSTITUTE(A223,"/","."),"-","."),"")</ns0:f>
      </ns0:c>
      <ns0:c r="C223" s="0">
        <ns0:f>IFERROR(LEFT(B223,FIND(".",B223)-1),"")</ns0:f>
      </ns0:c>
      <ns0:c r="D223" s="0">
        <ns0:f>IFERROR(MID(B223,FIND(".",B223)+1,FIND(".",B223,FIND(".",B223)+1)-FIND(".",B223)-1),"")</ns0:f>
      </ns0:c>
      <ns0:c r="E223" s="0">
        <ns0:f>IFERROR(MID(B223,FIND(".",B223,FIND(".",B223)+1)+1,99),"")</ns0:f>
        <ns0:v>99</ns0:v>
      </ns0:c>
      <ns0:c r="F223" s="0">
        <ns0:f>IFERROR(IF(FIND(".",B223)=5,--C223,--E223),0)</ns0:f>
        <ns0:v>0</ns0:v>
      </ns0:c>
      <ns0:c r="G223" s="0">
        <ns0:f>IFERROR(--D223,0)</ns0:f>
        <ns0:v>0</ns0:v>
      </ns0:c>
      <ns0:c r="H223" s="0">
        <ns0:f>IFERROR(IF(FIND(".",B223)=5,--E223,--C223),0)</ns0:f>
        <ns0:v>0</ns0:v>
      </ns0:c>
      <ns0:c r="I223" s="0">
        <ns0:f>IFERROR(IF(AND(F223&gt;=2000,F223&lt;=2100,G223&gt;=1,G223&lt;=12,H223&gt;=1,H223&lt;=31),DATE(F223,G223,H223),0),0)</ns0:f>
        <ns0:v>0</ns0:v>
      </ns0:c>
      <ns0:c r="J223" s="0">
        <ns0:f>IFERROR(IF(ISNUMBER(Bookings!B223),IF(AND(Bookings!B223=INT(Bookings!B223),Bookings!B223&gt;=DATE(2000,1,1),Bookings!B223&lt;=DATE(2100,12,31)),Bookings!B223,0),IF(AND(A223&lt;&gt;"",LEN("x"&amp;B223)-LEN(SUBSTITUTE("x"&amp;B223,".",""))=2,OR(1&gt;LEN(B223),MID(B223,1,1)=".",ISNUMBER(FIND("x"&amp;MID(B223,1,1),"x0x1x2x3x4x5x6x7x8x9"))),OR(2&gt;LEN(B223),MID(B223,2,1)=".",ISNUMBER(FIND("x"&amp;MID(B223,2,1),"x0x1x2x3x4x5x6x7x8x9"))),OR(3&gt;LEN(B223),MID(B223,3,1)=".",ISNUMBER(FIND("x"&amp;MID(B223,3,1),"x0x1x2x3x4x5x6x7x8x9"))),OR(4&gt;LEN(B223),MID(B223,4,1)=".",ISNUMBER(FIND("x"&amp;MID(B223,4,1),"x0x1x2x3x4x5x6x7x8x9"))),OR(5&gt;LEN(B223),MID(B223,5,1)=".",ISNUMBER(FIND("x"&amp;MID(B223,5,1),"x0x1x2x3x4x5x6x7x8x9"))),OR(6&gt;LEN(B223),MID(B223,6,1)=".",ISNUMBER(FIND("x"&amp;MID(B223,6,1),"x0x1x2x3x4x5x6x7x8x9"))),OR(7&gt;LEN(B223),MID(B223,7,1)=".",ISNUMBER(FIND("x"&amp;MID(B223,7,1),"x0x1x2x3x4x5x6x7x8x9"))),OR(8&gt;LEN(B223),MID(B223,8,1)=".",ISNUMBER(FIND("x"&amp;MID(B223,8,1),"x0x1x2x3x4x5x6x7x8x9"))),OR(9&gt;LEN(B223),MID(B223,9,1)=".",ISNUMBER(FIND("x"&amp;MID(B223,9,1),"x0x1x2x3x4x5x6x7x8x9"))),OR(10&gt;LEN(B223),MID(B223,10,1)=".",ISNUMBER(FIND("x"&amp;MID(B223,10,1),"x0x1x2x3x4x5x6x7x8x9"))),OR(AND(FIND(".",B223)=5,LEN(B223)-FIND(".",B223,FIND(".",B223)+1)&gt;=1,LEN(B223)-FIND(".",B223,FIND(".",B223)+1)&lt;=2),AND(LEN(B223)-FIND(".",B223,FIND(".",B223)+1)=4,FIND(".",B223)&gt;=2,FIND(".",B223)&lt;=3)),FIND(".",B223,FIND(".",B223)+1)-FIND(".",B223)&gt;=2,FIND(".",B223,FIND(".",B223)+1)-FIND(".",B223)&lt;=3,F223&gt;=2000,F223&lt;=2100,YEAR(I223)=F223,MONTH(I223)=G223,DAY(I223)=H223),I223,0)),0)</ns0:f>
        <ns0:v>0</ns0:v>
      </ns0:c>
      <ns0:c r="K223" s="0">
        <ns0:f>IFERROR(IF(ISNUMBER(Bookings!D223),"",TRIM(Bookings!D223&amp;"")),"")</ns0:f>
      </ns0:c>
      <ns0:c r="L223" s="0">
        <ns0:f>IFERROR(SUBSTITUTE(SUBSTITUTE(K223,"/","."),"-","."),"")</ns0:f>
      </ns0:c>
      <ns0:c r="M223" s="0">
        <ns0:f>IFERROR(LEFT(L223,FIND(".",L223)-1),"")</ns0:f>
      </ns0:c>
      <ns0:c r="N223" s="0">
        <ns0:f>IFERROR(MID(L223,FIND(".",L223)+1,FIND(".",L223,FIND(".",L223)+1)-FIND(".",L223)-1),"")</ns0:f>
      </ns0:c>
      <ns0:c r="O223" s="0">
        <ns0:f>IFERROR(MID(L223,FIND(".",L223,FIND(".",L223)+1)+1,99),"")</ns0:f>
        <ns0:v>99</ns0:v>
      </ns0:c>
      <ns0:c r="P223" s="0">
        <ns0:f>IFERROR(IF(FIND(".",L223)=5,--M223,--O223),0)</ns0:f>
        <ns0:v>0</ns0:v>
      </ns0:c>
      <ns0:c r="Q223" s="0">
        <ns0:f>IFERROR(--N223,0)</ns0:f>
        <ns0:v>0</ns0:v>
      </ns0:c>
      <ns0:c r="R223" s="0">
        <ns0:f>IFERROR(IF(FIND(".",L223)=5,--O223,--M223),0)</ns0:f>
        <ns0:v>0</ns0:v>
      </ns0:c>
      <ns0:c r="S223" s="0">
        <ns0:f>IFERROR(IF(AND(P223&gt;=2000,P223&lt;=2100,Q223&gt;=1,Q223&lt;=12,R223&gt;=1,R223&lt;=31),DATE(P223,Q223,R223),0),0)</ns0:f>
        <ns0:v>0</ns0:v>
      </ns0:c>
      <ns0:c r="T223" s="0">
        <ns0:f>IFERROR(IF(ISNUMBER(Bookings!D223),IF(AND(Bookings!D223=INT(Bookings!D223),Bookings!D223&gt;=DATE(2000,1,1),Bookings!D223&lt;=DATE(2100,12,31)),Bookings!D223,0),IF(AND(K223&lt;&gt;"",LEN("x"&amp;L223)-LEN(SUBSTITUTE("x"&amp;L223,".",""))=2,OR(1&gt;LEN(L223),MID(L223,1,1)=".",ISNUMBER(FIND("x"&amp;MID(L223,1,1),"x0x1x2x3x4x5x6x7x8x9"))),OR(2&gt;LEN(L223),MID(L223,2,1)=".",ISNUMBER(FIND("x"&amp;MID(L223,2,1),"x0x1x2x3x4x5x6x7x8x9"))),OR(3&gt;LEN(L223),MID(L223,3,1)=".",ISNUMBER(FIND("x"&amp;MID(L223,3,1),"x0x1x2x3x4x5x6x7x8x9"))),OR(4&gt;LEN(L223),MID(L223,4,1)=".",ISNUMBER(FIND("x"&amp;MID(L223,4,1),"x0x1x2x3x4x5x6x7x8x9"))),OR(5&gt;LEN(L223),MID(L223,5,1)=".",ISNUMBER(FIND("x"&amp;MID(L223,5,1),"x0x1x2x3x4x5x6x7x8x9"))),OR(6&gt;LEN(L223),MID(L223,6,1)=".",ISNUMBER(FIND("x"&amp;MID(L223,6,1),"x0x1x2x3x4x5x6x7x8x9"))),OR(7&gt;LEN(L223),MID(L223,7,1)=".",ISNUMBER(FIND("x"&amp;MID(L223,7,1),"x0x1x2x3x4x5x6x7x8x9"))),OR(8&gt;LEN(L223),MID(L223,8,1)=".",ISNUMBER(FIND("x"&amp;MID(L223,8,1),"x0x1x2x3x4x5x6x7x8x9"))),OR(9&gt;LEN(L223),MID(L223,9,1)=".",ISNUMBER(FIND("x"&amp;MID(L223,9,1),"x0x1x2x3x4x5x6x7x8x9"))),OR(10&gt;LEN(L223),MID(L223,10,1)=".",ISNUMBER(FIND("x"&amp;MID(L223,10,1),"x0x1x2x3x4x5x6x7x8x9"))),OR(AND(FIND(".",L223)=5,LEN(L223)-FIND(".",L223,FIND(".",L223)+1)&gt;=1,LEN(L223)-FIND(".",L223,FIND(".",L223)+1)&lt;=2),AND(LEN(L223)-FIND(".",L223,FIND(".",L223)+1)=4,FIND(".",L223)&gt;=2,FIND(".",L223)&lt;=3)),FIND(".",L223,FIND(".",L223)+1)-FIND(".",L223)&gt;=2,FIND(".",L223,FIND(".",L223)+1)-FIND(".",L223)&lt;=3,P223&gt;=2000,P223&lt;=2100,YEAR(S223)=P223,MONTH(S223)=Q223,DAY(S223)=R223),S223,0)),0)</ns0:f>
        <ns0:v>0</ns0:v>
      </ns0:c>
      <ns0:c r="U223" s="0" t="str">
        <ns0:f>IF(Bookings!C223="","Full day",Bookings!C223)</ns0:f>
        <ns0:v>Full day</ns0:v>
      </ns0:c>
      <ns0:c r="V223" s="0" t="str">
        <ns0:f>IF(Bookings!E223="","Full day",Bookings!E223)</ns0:f>
        <ns0:v>Full day</ns0:v>
      </ns0:c>
      <ns0:c r="W223" s="0">
        <ns0:f>IF(J223=0,0,J223+IF(U223="PM",1,0))</ns0:f>
        <ns0:v>0</ns0:v>
      </ns0:c>
      <ns0:c r="X223" s="0">
        <ns0:f>IF(T223=0,0,T223-IF(V223="PM",1,0))</ns0:f>
        <ns0:v>0</ns0:v>
      </ns0:c>
      <ns0:c r="Y223" s="0">
        <ns0:f>IF(J223=0,0,J223+IF(U223="AM",1,0))</ns0:f>
        <ns0:v>0</ns0:v>
      </ns0:c>
      <ns0:c r="Z223" s="0">
        <ns0:f>IF(T223=0,0,T223-IF(V223="AM",1,0))</ns0:f>
        <ns0:v>0</ns0:v>
      </ns0:c>
      <ns0:c r="AA223" s="0">
        <ns0:f>IFERROR(IF(AND(J223&gt;0,'_Engine'!C223&gt;0,MID('_Engine'!W223,WEEKDAY(J223,2),1)="W",COUNTIF(Settings!$F$18:$F$67,J223)=0),1,0),0)</ns0:f>
        <ns0:v>0</ns0:v>
      </ns0:c>
      <ns0:c r="AB223" s="0">
        <ns0:f>IFERROR(IF(AND(T223&gt;0,'_Engine'!C223&gt;0,MID('_Engine'!W223,WEEKDAY(T223,2),1)="W",COUNTIF(Settings!$F$18:$F$67,T223)=0),1,0),0)</ns0:f>
        <ns0:v>0</ns0:v>
      </ns0:c>
      <ns0:c r="AC223" s="0">
        <ns0:f>IF(AND(J223&gt;0,T223&gt;0,W223&lt;=X223),1,0)</ns0:f>
        <ns0:v>0</ns0:v>
      </ns0:c>
      <ns0:c r="AD223" s="0">
        <ns0:f>IF(AND(J223&gt;0,T223&gt;0,Y223&lt;=Z223),1,0)</ns0:f>
        <ns0:v>0</ns0:v>
      </ns0:c>
    </ns0:row>
    <ns0:row r="224">
      <ns0:c r="A224" s="0">
        <ns0:f>IFERROR(IF(ISNUMBER(Bookings!B224),"",TRIM(Bookings!B224&amp;"")),"")</ns0:f>
      </ns0:c>
      <ns0:c r="B224" s="0">
        <ns0:f>IFERROR(SUBSTITUTE(SUBSTITUTE(A224,"/","."),"-","."),"")</ns0:f>
      </ns0:c>
      <ns0:c r="C224" s="0">
        <ns0:f>IFERROR(LEFT(B224,FIND(".",B224)-1),"")</ns0:f>
      </ns0:c>
      <ns0:c r="D224" s="0">
        <ns0:f>IFERROR(MID(B224,FIND(".",B224)+1,FIND(".",B224,FIND(".",B224)+1)-FIND(".",B224)-1),"")</ns0:f>
      </ns0:c>
      <ns0:c r="E224" s="0">
        <ns0:f>IFERROR(MID(B224,FIND(".",B224,FIND(".",B224)+1)+1,99),"")</ns0:f>
        <ns0:v>99</ns0:v>
      </ns0:c>
      <ns0:c r="F224" s="0">
        <ns0:f>IFERROR(IF(FIND(".",B224)=5,--C224,--E224),0)</ns0:f>
        <ns0:v>0</ns0:v>
      </ns0:c>
      <ns0:c r="G224" s="0">
        <ns0:f>IFERROR(--D224,0)</ns0:f>
        <ns0:v>0</ns0:v>
      </ns0:c>
      <ns0:c r="H224" s="0">
        <ns0:f>IFERROR(IF(FIND(".",B224)=5,--E224,--C224),0)</ns0:f>
        <ns0:v>0</ns0:v>
      </ns0:c>
      <ns0:c r="I224" s="0">
        <ns0:f>IFERROR(IF(AND(F224&gt;=2000,F224&lt;=2100,G224&gt;=1,G224&lt;=12,H224&gt;=1,H224&lt;=31),DATE(F224,G224,H224),0),0)</ns0:f>
        <ns0:v>0</ns0:v>
      </ns0:c>
      <ns0:c r="J224" s="0">
        <ns0:f>IFERROR(IF(ISNUMBER(Bookings!B224),IF(AND(Bookings!B224=INT(Bookings!B224),Bookings!B224&gt;=DATE(2000,1,1),Bookings!B224&lt;=DATE(2100,12,31)),Bookings!B224,0),IF(AND(A224&lt;&gt;"",LEN("x"&amp;B224)-LEN(SUBSTITUTE("x"&amp;B224,".",""))=2,OR(1&gt;LEN(B224),MID(B224,1,1)=".",ISNUMBER(FIND("x"&amp;MID(B224,1,1),"x0x1x2x3x4x5x6x7x8x9"))),OR(2&gt;LEN(B224),MID(B224,2,1)=".",ISNUMBER(FIND("x"&amp;MID(B224,2,1),"x0x1x2x3x4x5x6x7x8x9"))),OR(3&gt;LEN(B224),MID(B224,3,1)=".",ISNUMBER(FIND("x"&amp;MID(B224,3,1),"x0x1x2x3x4x5x6x7x8x9"))),OR(4&gt;LEN(B224),MID(B224,4,1)=".",ISNUMBER(FIND("x"&amp;MID(B224,4,1),"x0x1x2x3x4x5x6x7x8x9"))),OR(5&gt;LEN(B224),MID(B224,5,1)=".",ISNUMBER(FIND("x"&amp;MID(B224,5,1),"x0x1x2x3x4x5x6x7x8x9"))),OR(6&gt;LEN(B224),MID(B224,6,1)=".",ISNUMBER(FIND("x"&amp;MID(B224,6,1),"x0x1x2x3x4x5x6x7x8x9"))),OR(7&gt;LEN(B224),MID(B224,7,1)=".",ISNUMBER(FIND("x"&amp;MID(B224,7,1),"x0x1x2x3x4x5x6x7x8x9"))),OR(8&gt;LEN(B224),MID(B224,8,1)=".",ISNUMBER(FIND("x"&amp;MID(B224,8,1),"x0x1x2x3x4x5x6x7x8x9"))),OR(9&gt;LEN(B224),MID(B224,9,1)=".",ISNUMBER(FIND("x"&amp;MID(B224,9,1),"x0x1x2x3x4x5x6x7x8x9"))),OR(10&gt;LEN(B224),MID(B224,10,1)=".",ISNUMBER(FIND("x"&amp;MID(B224,10,1),"x0x1x2x3x4x5x6x7x8x9"))),OR(AND(FIND(".",B224)=5,LEN(B224)-FIND(".",B224,FIND(".",B224)+1)&gt;=1,LEN(B224)-FIND(".",B224,FIND(".",B224)+1)&lt;=2),AND(LEN(B224)-FIND(".",B224,FIND(".",B224)+1)=4,FIND(".",B224)&gt;=2,FIND(".",B224)&lt;=3)),FIND(".",B224,FIND(".",B224)+1)-FIND(".",B224)&gt;=2,FIND(".",B224,FIND(".",B224)+1)-FIND(".",B224)&lt;=3,F224&gt;=2000,F224&lt;=2100,YEAR(I224)=F224,MONTH(I224)=G224,DAY(I224)=H224),I224,0)),0)</ns0:f>
        <ns0:v>0</ns0:v>
      </ns0:c>
      <ns0:c r="K224" s="0">
        <ns0:f>IFERROR(IF(ISNUMBER(Bookings!D224),"",TRIM(Bookings!D224&amp;"")),"")</ns0:f>
      </ns0:c>
      <ns0:c r="L224" s="0">
        <ns0:f>IFERROR(SUBSTITUTE(SUBSTITUTE(K224,"/","."),"-","."),"")</ns0:f>
      </ns0:c>
      <ns0:c r="M224" s="0">
        <ns0:f>IFERROR(LEFT(L224,FIND(".",L224)-1),"")</ns0:f>
      </ns0:c>
      <ns0:c r="N224" s="0">
        <ns0:f>IFERROR(MID(L224,FIND(".",L224)+1,FIND(".",L224,FIND(".",L224)+1)-FIND(".",L224)-1),"")</ns0:f>
      </ns0:c>
      <ns0:c r="O224" s="0">
        <ns0:f>IFERROR(MID(L224,FIND(".",L224,FIND(".",L224)+1)+1,99),"")</ns0:f>
        <ns0:v>99</ns0:v>
      </ns0:c>
      <ns0:c r="P224" s="0">
        <ns0:f>IFERROR(IF(FIND(".",L224)=5,--M224,--O224),0)</ns0:f>
        <ns0:v>0</ns0:v>
      </ns0:c>
      <ns0:c r="Q224" s="0">
        <ns0:f>IFERROR(--N224,0)</ns0:f>
        <ns0:v>0</ns0:v>
      </ns0:c>
      <ns0:c r="R224" s="0">
        <ns0:f>IFERROR(IF(FIND(".",L224)=5,--O224,--M224),0)</ns0:f>
        <ns0:v>0</ns0:v>
      </ns0:c>
      <ns0:c r="S224" s="0">
        <ns0:f>IFERROR(IF(AND(P224&gt;=2000,P224&lt;=2100,Q224&gt;=1,Q224&lt;=12,R224&gt;=1,R224&lt;=31),DATE(P224,Q224,R224),0),0)</ns0:f>
        <ns0:v>0</ns0:v>
      </ns0:c>
      <ns0:c r="T224" s="0">
        <ns0:f>IFERROR(IF(ISNUMBER(Bookings!D224),IF(AND(Bookings!D224=INT(Bookings!D224),Bookings!D224&gt;=DATE(2000,1,1),Bookings!D224&lt;=DATE(2100,12,31)),Bookings!D224,0),IF(AND(K224&lt;&gt;"",LEN("x"&amp;L224)-LEN(SUBSTITUTE("x"&amp;L224,".",""))=2,OR(1&gt;LEN(L224),MID(L224,1,1)=".",ISNUMBER(FIND("x"&amp;MID(L224,1,1),"x0x1x2x3x4x5x6x7x8x9"))),OR(2&gt;LEN(L224),MID(L224,2,1)=".",ISNUMBER(FIND("x"&amp;MID(L224,2,1),"x0x1x2x3x4x5x6x7x8x9"))),OR(3&gt;LEN(L224),MID(L224,3,1)=".",ISNUMBER(FIND("x"&amp;MID(L224,3,1),"x0x1x2x3x4x5x6x7x8x9"))),OR(4&gt;LEN(L224),MID(L224,4,1)=".",ISNUMBER(FIND("x"&amp;MID(L224,4,1),"x0x1x2x3x4x5x6x7x8x9"))),OR(5&gt;LEN(L224),MID(L224,5,1)=".",ISNUMBER(FIND("x"&amp;MID(L224,5,1),"x0x1x2x3x4x5x6x7x8x9"))),OR(6&gt;LEN(L224),MID(L224,6,1)=".",ISNUMBER(FIND("x"&amp;MID(L224,6,1),"x0x1x2x3x4x5x6x7x8x9"))),OR(7&gt;LEN(L224),MID(L224,7,1)=".",ISNUMBER(FIND("x"&amp;MID(L224,7,1),"x0x1x2x3x4x5x6x7x8x9"))),OR(8&gt;LEN(L224),MID(L224,8,1)=".",ISNUMBER(FIND("x"&amp;MID(L224,8,1),"x0x1x2x3x4x5x6x7x8x9"))),OR(9&gt;LEN(L224),MID(L224,9,1)=".",ISNUMBER(FIND("x"&amp;MID(L224,9,1),"x0x1x2x3x4x5x6x7x8x9"))),OR(10&gt;LEN(L224),MID(L224,10,1)=".",ISNUMBER(FIND("x"&amp;MID(L224,10,1),"x0x1x2x3x4x5x6x7x8x9"))),OR(AND(FIND(".",L224)=5,LEN(L224)-FIND(".",L224,FIND(".",L224)+1)&gt;=1,LEN(L224)-FIND(".",L224,FIND(".",L224)+1)&lt;=2),AND(LEN(L224)-FIND(".",L224,FIND(".",L224)+1)=4,FIND(".",L224)&gt;=2,FIND(".",L224)&lt;=3)),FIND(".",L224,FIND(".",L224)+1)-FIND(".",L224)&gt;=2,FIND(".",L224,FIND(".",L224)+1)-FIND(".",L224)&lt;=3,P224&gt;=2000,P224&lt;=2100,YEAR(S224)=P224,MONTH(S224)=Q224,DAY(S224)=R224),S224,0)),0)</ns0:f>
        <ns0:v>0</ns0:v>
      </ns0:c>
      <ns0:c r="U224" s="0" t="str">
        <ns0:f>IF(Bookings!C224="","Full day",Bookings!C224)</ns0:f>
        <ns0:v>Full day</ns0:v>
      </ns0:c>
      <ns0:c r="V224" s="0" t="str">
        <ns0:f>IF(Bookings!E224="","Full day",Bookings!E224)</ns0:f>
        <ns0:v>Full day</ns0:v>
      </ns0:c>
      <ns0:c r="W224" s="0">
        <ns0:f>IF(J224=0,0,J224+IF(U224="PM",1,0))</ns0:f>
        <ns0:v>0</ns0:v>
      </ns0:c>
      <ns0:c r="X224" s="0">
        <ns0:f>IF(T224=0,0,T224-IF(V224="PM",1,0))</ns0:f>
        <ns0:v>0</ns0:v>
      </ns0:c>
      <ns0:c r="Y224" s="0">
        <ns0:f>IF(J224=0,0,J224+IF(U224="AM",1,0))</ns0:f>
        <ns0:v>0</ns0:v>
      </ns0:c>
      <ns0:c r="Z224" s="0">
        <ns0:f>IF(T224=0,0,T224-IF(V224="AM",1,0))</ns0:f>
        <ns0:v>0</ns0:v>
      </ns0:c>
      <ns0:c r="AA224" s="0">
        <ns0:f>IFERROR(IF(AND(J224&gt;0,'_Engine'!C224&gt;0,MID('_Engine'!W224,WEEKDAY(J224,2),1)="W",COUNTIF(Settings!$F$18:$F$67,J224)=0),1,0),0)</ns0:f>
        <ns0:v>0</ns0:v>
      </ns0:c>
      <ns0:c r="AB224" s="0">
        <ns0:f>IFERROR(IF(AND(T224&gt;0,'_Engine'!C224&gt;0,MID('_Engine'!W224,WEEKDAY(T224,2),1)="W",COUNTIF(Settings!$F$18:$F$67,T224)=0),1,0),0)</ns0:f>
        <ns0:v>0</ns0:v>
      </ns0:c>
      <ns0:c r="AC224" s="0">
        <ns0:f>IF(AND(J224&gt;0,T224&gt;0,W224&lt;=X224),1,0)</ns0:f>
        <ns0:v>0</ns0:v>
      </ns0:c>
      <ns0:c r="AD224" s="0">
        <ns0:f>IF(AND(J224&gt;0,T224&gt;0,Y224&lt;=Z224),1,0)</ns0:f>
        <ns0:v>0</ns0:v>
      </ns0:c>
    </ns0:row>
    <ns0:row r="225">
      <ns0:c r="A225" s="0">
        <ns0:f>IFERROR(IF(ISNUMBER(Bookings!B225),"",TRIM(Bookings!B225&amp;"")),"")</ns0:f>
      </ns0:c>
      <ns0:c r="B225" s="0">
        <ns0:f>IFERROR(SUBSTITUTE(SUBSTITUTE(A225,"/","."),"-","."),"")</ns0:f>
      </ns0:c>
      <ns0:c r="C225" s="0">
        <ns0:f>IFERROR(LEFT(B225,FIND(".",B225)-1),"")</ns0:f>
      </ns0:c>
      <ns0:c r="D225" s="0">
        <ns0:f>IFERROR(MID(B225,FIND(".",B225)+1,FIND(".",B225,FIND(".",B225)+1)-FIND(".",B225)-1),"")</ns0:f>
      </ns0:c>
      <ns0:c r="E225" s="0">
        <ns0:f>IFERROR(MID(B225,FIND(".",B225,FIND(".",B225)+1)+1,99),"")</ns0:f>
        <ns0:v>99</ns0:v>
      </ns0:c>
      <ns0:c r="F225" s="0">
        <ns0:f>IFERROR(IF(FIND(".",B225)=5,--C225,--E225),0)</ns0:f>
        <ns0:v>0</ns0:v>
      </ns0:c>
      <ns0:c r="G225" s="0">
        <ns0:f>IFERROR(--D225,0)</ns0:f>
        <ns0:v>0</ns0:v>
      </ns0:c>
      <ns0:c r="H225" s="0">
        <ns0:f>IFERROR(IF(FIND(".",B225)=5,--E225,--C225),0)</ns0:f>
        <ns0:v>0</ns0:v>
      </ns0:c>
      <ns0:c r="I225" s="0">
        <ns0:f>IFERROR(IF(AND(F225&gt;=2000,F225&lt;=2100,G225&gt;=1,G225&lt;=12,H225&gt;=1,H225&lt;=31),DATE(F225,G225,H225),0),0)</ns0:f>
        <ns0:v>0</ns0:v>
      </ns0:c>
      <ns0:c r="J225" s="0">
        <ns0:f>IFERROR(IF(ISNUMBER(Bookings!B225),IF(AND(Bookings!B225=INT(Bookings!B225),Bookings!B225&gt;=DATE(2000,1,1),Bookings!B225&lt;=DATE(2100,12,31)),Bookings!B225,0),IF(AND(A225&lt;&gt;"",LEN("x"&amp;B225)-LEN(SUBSTITUTE("x"&amp;B225,".",""))=2,OR(1&gt;LEN(B225),MID(B225,1,1)=".",ISNUMBER(FIND("x"&amp;MID(B225,1,1),"x0x1x2x3x4x5x6x7x8x9"))),OR(2&gt;LEN(B225),MID(B225,2,1)=".",ISNUMBER(FIND("x"&amp;MID(B225,2,1),"x0x1x2x3x4x5x6x7x8x9"))),OR(3&gt;LEN(B225),MID(B225,3,1)=".",ISNUMBER(FIND("x"&amp;MID(B225,3,1),"x0x1x2x3x4x5x6x7x8x9"))),OR(4&gt;LEN(B225),MID(B225,4,1)=".",ISNUMBER(FIND("x"&amp;MID(B225,4,1),"x0x1x2x3x4x5x6x7x8x9"))),OR(5&gt;LEN(B225),MID(B225,5,1)=".",ISNUMBER(FIND("x"&amp;MID(B225,5,1),"x0x1x2x3x4x5x6x7x8x9"))),OR(6&gt;LEN(B225),MID(B225,6,1)=".",ISNUMBER(FIND("x"&amp;MID(B225,6,1),"x0x1x2x3x4x5x6x7x8x9"))),OR(7&gt;LEN(B225),MID(B225,7,1)=".",ISNUMBER(FIND("x"&amp;MID(B225,7,1),"x0x1x2x3x4x5x6x7x8x9"))),OR(8&gt;LEN(B225),MID(B225,8,1)=".",ISNUMBER(FIND("x"&amp;MID(B225,8,1),"x0x1x2x3x4x5x6x7x8x9"))),OR(9&gt;LEN(B225),MID(B225,9,1)=".",ISNUMBER(FIND("x"&amp;MID(B225,9,1),"x0x1x2x3x4x5x6x7x8x9"))),OR(10&gt;LEN(B225),MID(B225,10,1)=".",ISNUMBER(FIND("x"&amp;MID(B225,10,1),"x0x1x2x3x4x5x6x7x8x9"))),OR(AND(FIND(".",B225)=5,LEN(B225)-FIND(".",B225,FIND(".",B225)+1)&gt;=1,LEN(B225)-FIND(".",B225,FIND(".",B225)+1)&lt;=2),AND(LEN(B225)-FIND(".",B225,FIND(".",B225)+1)=4,FIND(".",B225)&gt;=2,FIND(".",B225)&lt;=3)),FIND(".",B225,FIND(".",B225)+1)-FIND(".",B225)&gt;=2,FIND(".",B225,FIND(".",B225)+1)-FIND(".",B225)&lt;=3,F225&gt;=2000,F225&lt;=2100,YEAR(I225)=F225,MONTH(I225)=G225,DAY(I225)=H225),I225,0)),0)</ns0:f>
        <ns0:v>0</ns0:v>
      </ns0:c>
      <ns0:c r="K225" s="0">
        <ns0:f>IFERROR(IF(ISNUMBER(Bookings!D225),"",TRIM(Bookings!D225&amp;"")),"")</ns0:f>
      </ns0:c>
      <ns0:c r="L225" s="0">
        <ns0:f>IFERROR(SUBSTITUTE(SUBSTITUTE(K225,"/","."),"-","."),"")</ns0:f>
      </ns0:c>
      <ns0:c r="M225" s="0">
        <ns0:f>IFERROR(LEFT(L225,FIND(".",L225)-1),"")</ns0:f>
      </ns0:c>
      <ns0:c r="N225" s="0">
        <ns0:f>IFERROR(MID(L225,FIND(".",L225)+1,FIND(".",L225,FIND(".",L225)+1)-FIND(".",L225)-1),"")</ns0:f>
      </ns0:c>
      <ns0:c r="O225" s="0">
        <ns0:f>IFERROR(MID(L225,FIND(".",L225,FIND(".",L225)+1)+1,99),"")</ns0:f>
        <ns0:v>99</ns0:v>
      </ns0:c>
      <ns0:c r="P225" s="0">
        <ns0:f>IFERROR(IF(FIND(".",L225)=5,--M225,--O225),0)</ns0:f>
        <ns0:v>0</ns0:v>
      </ns0:c>
      <ns0:c r="Q225" s="0">
        <ns0:f>IFERROR(--N225,0)</ns0:f>
        <ns0:v>0</ns0:v>
      </ns0:c>
      <ns0:c r="R225" s="0">
        <ns0:f>IFERROR(IF(FIND(".",L225)=5,--O225,--M225),0)</ns0:f>
        <ns0:v>0</ns0:v>
      </ns0:c>
      <ns0:c r="S225" s="0">
        <ns0:f>IFERROR(IF(AND(P225&gt;=2000,P225&lt;=2100,Q225&gt;=1,Q225&lt;=12,R225&gt;=1,R225&lt;=31),DATE(P225,Q225,R225),0),0)</ns0:f>
        <ns0:v>0</ns0:v>
      </ns0:c>
      <ns0:c r="T225" s="0">
        <ns0:f>IFERROR(IF(ISNUMBER(Bookings!D225),IF(AND(Bookings!D225=INT(Bookings!D225),Bookings!D225&gt;=DATE(2000,1,1),Bookings!D225&lt;=DATE(2100,12,31)),Bookings!D225,0),IF(AND(K225&lt;&gt;"",LEN("x"&amp;L225)-LEN(SUBSTITUTE("x"&amp;L225,".",""))=2,OR(1&gt;LEN(L225),MID(L225,1,1)=".",ISNUMBER(FIND("x"&amp;MID(L225,1,1),"x0x1x2x3x4x5x6x7x8x9"))),OR(2&gt;LEN(L225),MID(L225,2,1)=".",ISNUMBER(FIND("x"&amp;MID(L225,2,1),"x0x1x2x3x4x5x6x7x8x9"))),OR(3&gt;LEN(L225),MID(L225,3,1)=".",ISNUMBER(FIND("x"&amp;MID(L225,3,1),"x0x1x2x3x4x5x6x7x8x9"))),OR(4&gt;LEN(L225),MID(L225,4,1)=".",ISNUMBER(FIND("x"&amp;MID(L225,4,1),"x0x1x2x3x4x5x6x7x8x9"))),OR(5&gt;LEN(L225),MID(L225,5,1)=".",ISNUMBER(FIND("x"&amp;MID(L225,5,1),"x0x1x2x3x4x5x6x7x8x9"))),OR(6&gt;LEN(L225),MID(L225,6,1)=".",ISNUMBER(FIND("x"&amp;MID(L225,6,1),"x0x1x2x3x4x5x6x7x8x9"))),OR(7&gt;LEN(L225),MID(L225,7,1)=".",ISNUMBER(FIND("x"&amp;MID(L225,7,1),"x0x1x2x3x4x5x6x7x8x9"))),OR(8&gt;LEN(L225),MID(L225,8,1)=".",ISNUMBER(FIND("x"&amp;MID(L225,8,1),"x0x1x2x3x4x5x6x7x8x9"))),OR(9&gt;LEN(L225),MID(L225,9,1)=".",ISNUMBER(FIND("x"&amp;MID(L225,9,1),"x0x1x2x3x4x5x6x7x8x9"))),OR(10&gt;LEN(L225),MID(L225,10,1)=".",ISNUMBER(FIND("x"&amp;MID(L225,10,1),"x0x1x2x3x4x5x6x7x8x9"))),OR(AND(FIND(".",L225)=5,LEN(L225)-FIND(".",L225,FIND(".",L225)+1)&gt;=1,LEN(L225)-FIND(".",L225,FIND(".",L225)+1)&lt;=2),AND(LEN(L225)-FIND(".",L225,FIND(".",L225)+1)=4,FIND(".",L225)&gt;=2,FIND(".",L225)&lt;=3)),FIND(".",L225,FIND(".",L225)+1)-FIND(".",L225)&gt;=2,FIND(".",L225,FIND(".",L225)+1)-FIND(".",L225)&lt;=3,P225&gt;=2000,P225&lt;=2100,YEAR(S225)=P225,MONTH(S225)=Q225,DAY(S225)=R225),S225,0)),0)</ns0:f>
        <ns0:v>0</ns0:v>
      </ns0:c>
      <ns0:c r="U225" s="0" t="str">
        <ns0:f>IF(Bookings!C225="","Full day",Bookings!C225)</ns0:f>
        <ns0:v>Full day</ns0:v>
      </ns0:c>
      <ns0:c r="V225" s="0" t="str">
        <ns0:f>IF(Bookings!E225="","Full day",Bookings!E225)</ns0:f>
        <ns0:v>Full day</ns0:v>
      </ns0:c>
      <ns0:c r="W225" s="0">
        <ns0:f>IF(J225=0,0,J225+IF(U225="PM",1,0))</ns0:f>
        <ns0:v>0</ns0:v>
      </ns0:c>
      <ns0:c r="X225" s="0">
        <ns0:f>IF(T225=0,0,T225-IF(V225="PM",1,0))</ns0:f>
        <ns0:v>0</ns0:v>
      </ns0:c>
      <ns0:c r="Y225" s="0">
        <ns0:f>IF(J225=0,0,J225+IF(U225="AM",1,0))</ns0:f>
        <ns0:v>0</ns0:v>
      </ns0:c>
      <ns0:c r="Z225" s="0">
        <ns0:f>IF(T225=0,0,T225-IF(V225="AM",1,0))</ns0:f>
        <ns0:v>0</ns0:v>
      </ns0:c>
      <ns0:c r="AA225" s="0">
        <ns0:f>IFERROR(IF(AND(J225&gt;0,'_Engine'!C225&gt;0,MID('_Engine'!W225,WEEKDAY(J225,2),1)="W",COUNTIF(Settings!$F$18:$F$67,J225)=0),1,0),0)</ns0:f>
        <ns0:v>0</ns0:v>
      </ns0:c>
      <ns0:c r="AB225" s="0">
        <ns0:f>IFERROR(IF(AND(T225&gt;0,'_Engine'!C225&gt;0,MID('_Engine'!W225,WEEKDAY(T225,2),1)="W",COUNTIF(Settings!$F$18:$F$67,T225)=0),1,0),0)</ns0:f>
        <ns0:v>0</ns0:v>
      </ns0:c>
      <ns0:c r="AC225" s="0">
        <ns0:f>IF(AND(J225&gt;0,T225&gt;0,W225&lt;=X225),1,0)</ns0:f>
        <ns0:v>0</ns0:v>
      </ns0:c>
      <ns0:c r="AD225" s="0">
        <ns0:f>IF(AND(J225&gt;0,T225&gt;0,Y225&lt;=Z225),1,0)</ns0:f>
        <ns0:v>0</ns0:v>
      </ns0:c>
    </ns0:row>
    <ns0:row r="226">
      <ns0:c r="A226" s="0">
        <ns0:f>IFERROR(IF(ISNUMBER(Bookings!B226),"",TRIM(Bookings!B226&amp;"")),"")</ns0:f>
      </ns0:c>
      <ns0:c r="B226" s="0">
        <ns0:f>IFERROR(SUBSTITUTE(SUBSTITUTE(A226,"/","."),"-","."),"")</ns0:f>
      </ns0:c>
      <ns0:c r="C226" s="0">
        <ns0:f>IFERROR(LEFT(B226,FIND(".",B226)-1),"")</ns0:f>
      </ns0:c>
      <ns0:c r="D226" s="0">
        <ns0:f>IFERROR(MID(B226,FIND(".",B226)+1,FIND(".",B226,FIND(".",B226)+1)-FIND(".",B226)-1),"")</ns0:f>
      </ns0:c>
      <ns0:c r="E226" s="0">
        <ns0:f>IFERROR(MID(B226,FIND(".",B226,FIND(".",B226)+1)+1,99),"")</ns0:f>
        <ns0:v>99</ns0:v>
      </ns0:c>
      <ns0:c r="F226" s="0">
        <ns0:f>IFERROR(IF(FIND(".",B226)=5,--C226,--E226),0)</ns0:f>
        <ns0:v>0</ns0:v>
      </ns0:c>
      <ns0:c r="G226" s="0">
        <ns0:f>IFERROR(--D226,0)</ns0:f>
        <ns0:v>0</ns0:v>
      </ns0:c>
      <ns0:c r="H226" s="0">
        <ns0:f>IFERROR(IF(FIND(".",B226)=5,--E226,--C226),0)</ns0:f>
        <ns0:v>0</ns0:v>
      </ns0:c>
      <ns0:c r="I226" s="0">
        <ns0:f>IFERROR(IF(AND(F226&gt;=2000,F226&lt;=2100,G226&gt;=1,G226&lt;=12,H226&gt;=1,H226&lt;=31),DATE(F226,G226,H226),0),0)</ns0:f>
        <ns0:v>0</ns0:v>
      </ns0:c>
      <ns0:c r="J226" s="0">
        <ns0:f>IFERROR(IF(ISNUMBER(Bookings!B226),IF(AND(Bookings!B226=INT(Bookings!B226),Bookings!B226&gt;=DATE(2000,1,1),Bookings!B226&lt;=DATE(2100,12,31)),Bookings!B226,0),IF(AND(A226&lt;&gt;"",LEN("x"&amp;B226)-LEN(SUBSTITUTE("x"&amp;B226,".",""))=2,OR(1&gt;LEN(B226),MID(B226,1,1)=".",ISNUMBER(FIND("x"&amp;MID(B226,1,1),"x0x1x2x3x4x5x6x7x8x9"))),OR(2&gt;LEN(B226),MID(B226,2,1)=".",ISNUMBER(FIND("x"&amp;MID(B226,2,1),"x0x1x2x3x4x5x6x7x8x9"))),OR(3&gt;LEN(B226),MID(B226,3,1)=".",ISNUMBER(FIND("x"&amp;MID(B226,3,1),"x0x1x2x3x4x5x6x7x8x9"))),OR(4&gt;LEN(B226),MID(B226,4,1)=".",ISNUMBER(FIND("x"&amp;MID(B226,4,1),"x0x1x2x3x4x5x6x7x8x9"))),OR(5&gt;LEN(B226),MID(B226,5,1)=".",ISNUMBER(FIND("x"&amp;MID(B226,5,1),"x0x1x2x3x4x5x6x7x8x9"))),OR(6&gt;LEN(B226),MID(B226,6,1)=".",ISNUMBER(FIND("x"&amp;MID(B226,6,1),"x0x1x2x3x4x5x6x7x8x9"))),OR(7&gt;LEN(B226),MID(B226,7,1)=".",ISNUMBER(FIND("x"&amp;MID(B226,7,1),"x0x1x2x3x4x5x6x7x8x9"))),OR(8&gt;LEN(B226),MID(B226,8,1)=".",ISNUMBER(FIND("x"&amp;MID(B226,8,1),"x0x1x2x3x4x5x6x7x8x9"))),OR(9&gt;LEN(B226),MID(B226,9,1)=".",ISNUMBER(FIND("x"&amp;MID(B226,9,1),"x0x1x2x3x4x5x6x7x8x9"))),OR(10&gt;LEN(B226),MID(B226,10,1)=".",ISNUMBER(FIND("x"&amp;MID(B226,10,1),"x0x1x2x3x4x5x6x7x8x9"))),OR(AND(FIND(".",B226)=5,LEN(B226)-FIND(".",B226,FIND(".",B226)+1)&gt;=1,LEN(B226)-FIND(".",B226,FIND(".",B226)+1)&lt;=2),AND(LEN(B226)-FIND(".",B226,FIND(".",B226)+1)=4,FIND(".",B226)&gt;=2,FIND(".",B226)&lt;=3)),FIND(".",B226,FIND(".",B226)+1)-FIND(".",B226)&gt;=2,FIND(".",B226,FIND(".",B226)+1)-FIND(".",B226)&lt;=3,F226&gt;=2000,F226&lt;=2100,YEAR(I226)=F226,MONTH(I226)=G226,DAY(I226)=H226),I226,0)),0)</ns0:f>
        <ns0:v>0</ns0:v>
      </ns0:c>
      <ns0:c r="K226" s="0">
        <ns0:f>IFERROR(IF(ISNUMBER(Bookings!D226),"",TRIM(Bookings!D226&amp;"")),"")</ns0:f>
      </ns0:c>
      <ns0:c r="L226" s="0">
        <ns0:f>IFERROR(SUBSTITUTE(SUBSTITUTE(K226,"/","."),"-","."),"")</ns0:f>
      </ns0:c>
      <ns0:c r="M226" s="0">
        <ns0:f>IFERROR(LEFT(L226,FIND(".",L226)-1),"")</ns0:f>
      </ns0:c>
      <ns0:c r="N226" s="0">
        <ns0:f>IFERROR(MID(L226,FIND(".",L226)+1,FIND(".",L226,FIND(".",L226)+1)-FIND(".",L226)-1),"")</ns0:f>
      </ns0:c>
      <ns0:c r="O226" s="0">
        <ns0:f>IFERROR(MID(L226,FIND(".",L226,FIND(".",L226)+1)+1,99),"")</ns0:f>
        <ns0:v>99</ns0:v>
      </ns0:c>
      <ns0:c r="P226" s="0">
        <ns0:f>IFERROR(IF(FIND(".",L226)=5,--M226,--O226),0)</ns0:f>
        <ns0:v>0</ns0:v>
      </ns0:c>
      <ns0:c r="Q226" s="0">
        <ns0:f>IFERROR(--N226,0)</ns0:f>
        <ns0:v>0</ns0:v>
      </ns0:c>
      <ns0:c r="R226" s="0">
        <ns0:f>IFERROR(IF(FIND(".",L226)=5,--O226,--M226),0)</ns0:f>
        <ns0:v>0</ns0:v>
      </ns0:c>
      <ns0:c r="S226" s="0">
        <ns0:f>IFERROR(IF(AND(P226&gt;=2000,P226&lt;=2100,Q226&gt;=1,Q226&lt;=12,R226&gt;=1,R226&lt;=31),DATE(P226,Q226,R226),0),0)</ns0:f>
        <ns0:v>0</ns0:v>
      </ns0:c>
      <ns0:c r="T226" s="0">
        <ns0:f>IFERROR(IF(ISNUMBER(Bookings!D226),IF(AND(Bookings!D226=INT(Bookings!D226),Bookings!D226&gt;=DATE(2000,1,1),Bookings!D226&lt;=DATE(2100,12,31)),Bookings!D226,0),IF(AND(K226&lt;&gt;"",LEN("x"&amp;L226)-LEN(SUBSTITUTE("x"&amp;L226,".",""))=2,OR(1&gt;LEN(L226),MID(L226,1,1)=".",ISNUMBER(FIND("x"&amp;MID(L226,1,1),"x0x1x2x3x4x5x6x7x8x9"))),OR(2&gt;LEN(L226),MID(L226,2,1)=".",ISNUMBER(FIND("x"&amp;MID(L226,2,1),"x0x1x2x3x4x5x6x7x8x9"))),OR(3&gt;LEN(L226),MID(L226,3,1)=".",ISNUMBER(FIND("x"&amp;MID(L226,3,1),"x0x1x2x3x4x5x6x7x8x9"))),OR(4&gt;LEN(L226),MID(L226,4,1)=".",ISNUMBER(FIND("x"&amp;MID(L226,4,1),"x0x1x2x3x4x5x6x7x8x9"))),OR(5&gt;LEN(L226),MID(L226,5,1)=".",ISNUMBER(FIND("x"&amp;MID(L226,5,1),"x0x1x2x3x4x5x6x7x8x9"))),OR(6&gt;LEN(L226),MID(L226,6,1)=".",ISNUMBER(FIND("x"&amp;MID(L226,6,1),"x0x1x2x3x4x5x6x7x8x9"))),OR(7&gt;LEN(L226),MID(L226,7,1)=".",ISNUMBER(FIND("x"&amp;MID(L226,7,1),"x0x1x2x3x4x5x6x7x8x9"))),OR(8&gt;LEN(L226),MID(L226,8,1)=".",ISNUMBER(FIND("x"&amp;MID(L226,8,1),"x0x1x2x3x4x5x6x7x8x9"))),OR(9&gt;LEN(L226),MID(L226,9,1)=".",ISNUMBER(FIND("x"&amp;MID(L226,9,1),"x0x1x2x3x4x5x6x7x8x9"))),OR(10&gt;LEN(L226),MID(L226,10,1)=".",ISNUMBER(FIND("x"&amp;MID(L226,10,1),"x0x1x2x3x4x5x6x7x8x9"))),OR(AND(FIND(".",L226)=5,LEN(L226)-FIND(".",L226,FIND(".",L226)+1)&gt;=1,LEN(L226)-FIND(".",L226,FIND(".",L226)+1)&lt;=2),AND(LEN(L226)-FIND(".",L226,FIND(".",L226)+1)=4,FIND(".",L226)&gt;=2,FIND(".",L226)&lt;=3)),FIND(".",L226,FIND(".",L226)+1)-FIND(".",L226)&gt;=2,FIND(".",L226,FIND(".",L226)+1)-FIND(".",L226)&lt;=3,P226&gt;=2000,P226&lt;=2100,YEAR(S226)=P226,MONTH(S226)=Q226,DAY(S226)=R226),S226,0)),0)</ns0:f>
        <ns0:v>0</ns0:v>
      </ns0:c>
      <ns0:c r="U226" s="0" t="str">
        <ns0:f>IF(Bookings!C226="","Full day",Bookings!C226)</ns0:f>
        <ns0:v>Full day</ns0:v>
      </ns0:c>
      <ns0:c r="V226" s="0" t="str">
        <ns0:f>IF(Bookings!E226="","Full day",Bookings!E226)</ns0:f>
        <ns0:v>Full day</ns0:v>
      </ns0:c>
      <ns0:c r="W226" s="0">
        <ns0:f>IF(J226=0,0,J226+IF(U226="PM",1,0))</ns0:f>
        <ns0:v>0</ns0:v>
      </ns0:c>
      <ns0:c r="X226" s="0">
        <ns0:f>IF(T226=0,0,T226-IF(V226="PM",1,0))</ns0:f>
        <ns0:v>0</ns0:v>
      </ns0:c>
      <ns0:c r="Y226" s="0">
        <ns0:f>IF(J226=0,0,J226+IF(U226="AM",1,0))</ns0:f>
        <ns0:v>0</ns0:v>
      </ns0:c>
      <ns0:c r="Z226" s="0">
        <ns0:f>IF(T226=0,0,T226-IF(V226="AM",1,0))</ns0:f>
        <ns0:v>0</ns0:v>
      </ns0:c>
      <ns0:c r="AA226" s="0">
        <ns0:f>IFERROR(IF(AND(J226&gt;0,'_Engine'!C226&gt;0,MID('_Engine'!W226,WEEKDAY(J226,2),1)="W",COUNTIF(Settings!$F$18:$F$67,J226)=0),1,0),0)</ns0:f>
        <ns0:v>0</ns0:v>
      </ns0:c>
      <ns0:c r="AB226" s="0">
        <ns0:f>IFERROR(IF(AND(T226&gt;0,'_Engine'!C226&gt;0,MID('_Engine'!W226,WEEKDAY(T226,2),1)="W",COUNTIF(Settings!$F$18:$F$67,T226)=0),1,0),0)</ns0:f>
        <ns0:v>0</ns0:v>
      </ns0:c>
      <ns0:c r="AC226" s="0">
        <ns0:f>IF(AND(J226&gt;0,T226&gt;0,W226&lt;=X226),1,0)</ns0:f>
        <ns0:v>0</ns0:v>
      </ns0:c>
      <ns0:c r="AD226" s="0">
        <ns0:f>IF(AND(J226&gt;0,T226&gt;0,Y226&lt;=Z226),1,0)</ns0:f>
        <ns0:v>0</ns0:v>
      </ns0:c>
    </ns0:row>
    <ns0:row r="227">
      <ns0:c r="A227" s="0">
        <ns0:f>IFERROR(IF(ISNUMBER(Bookings!B227),"",TRIM(Bookings!B227&amp;"")),"")</ns0:f>
      </ns0:c>
      <ns0:c r="B227" s="0">
        <ns0:f>IFERROR(SUBSTITUTE(SUBSTITUTE(A227,"/","."),"-","."),"")</ns0:f>
      </ns0:c>
      <ns0:c r="C227" s="0">
        <ns0:f>IFERROR(LEFT(B227,FIND(".",B227)-1),"")</ns0:f>
      </ns0:c>
      <ns0:c r="D227" s="0">
        <ns0:f>IFERROR(MID(B227,FIND(".",B227)+1,FIND(".",B227,FIND(".",B227)+1)-FIND(".",B227)-1),"")</ns0:f>
      </ns0:c>
      <ns0:c r="E227" s="0">
        <ns0:f>IFERROR(MID(B227,FIND(".",B227,FIND(".",B227)+1)+1,99),"")</ns0:f>
        <ns0:v>99</ns0:v>
      </ns0:c>
      <ns0:c r="F227" s="0">
        <ns0:f>IFERROR(IF(FIND(".",B227)=5,--C227,--E227),0)</ns0:f>
        <ns0:v>0</ns0:v>
      </ns0:c>
      <ns0:c r="G227" s="0">
        <ns0:f>IFERROR(--D227,0)</ns0:f>
        <ns0:v>0</ns0:v>
      </ns0:c>
      <ns0:c r="H227" s="0">
        <ns0:f>IFERROR(IF(FIND(".",B227)=5,--E227,--C227),0)</ns0:f>
        <ns0:v>0</ns0:v>
      </ns0:c>
      <ns0:c r="I227" s="0">
        <ns0:f>IFERROR(IF(AND(F227&gt;=2000,F227&lt;=2100,G227&gt;=1,G227&lt;=12,H227&gt;=1,H227&lt;=31),DATE(F227,G227,H227),0),0)</ns0:f>
        <ns0:v>0</ns0:v>
      </ns0:c>
      <ns0:c r="J227" s="0">
        <ns0:f>IFERROR(IF(ISNUMBER(Bookings!B227),IF(AND(Bookings!B227=INT(Bookings!B227),Bookings!B227&gt;=DATE(2000,1,1),Bookings!B227&lt;=DATE(2100,12,31)),Bookings!B227,0),IF(AND(A227&lt;&gt;"",LEN("x"&amp;B227)-LEN(SUBSTITUTE("x"&amp;B227,".",""))=2,OR(1&gt;LEN(B227),MID(B227,1,1)=".",ISNUMBER(FIND("x"&amp;MID(B227,1,1),"x0x1x2x3x4x5x6x7x8x9"))),OR(2&gt;LEN(B227),MID(B227,2,1)=".",ISNUMBER(FIND("x"&amp;MID(B227,2,1),"x0x1x2x3x4x5x6x7x8x9"))),OR(3&gt;LEN(B227),MID(B227,3,1)=".",ISNUMBER(FIND("x"&amp;MID(B227,3,1),"x0x1x2x3x4x5x6x7x8x9"))),OR(4&gt;LEN(B227),MID(B227,4,1)=".",ISNUMBER(FIND("x"&amp;MID(B227,4,1),"x0x1x2x3x4x5x6x7x8x9"))),OR(5&gt;LEN(B227),MID(B227,5,1)=".",ISNUMBER(FIND("x"&amp;MID(B227,5,1),"x0x1x2x3x4x5x6x7x8x9"))),OR(6&gt;LEN(B227),MID(B227,6,1)=".",ISNUMBER(FIND("x"&amp;MID(B227,6,1),"x0x1x2x3x4x5x6x7x8x9"))),OR(7&gt;LEN(B227),MID(B227,7,1)=".",ISNUMBER(FIND("x"&amp;MID(B227,7,1),"x0x1x2x3x4x5x6x7x8x9"))),OR(8&gt;LEN(B227),MID(B227,8,1)=".",ISNUMBER(FIND("x"&amp;MID(B227,8,1),"x0x1x2x3x4x5x6x7x8x9"))),OR(9&gt;LEN(B227),MID(B227,9,1)=".",ISNUMBER(FIND("x"&amp;MID(B227,9,1),"x0x1x2x3x4x5x6x7x8x9"))),OR(10&gt;LEN(B227),MID(B227,10,1)=".",ISNUMBER(FIND("x"&amp;MID(B227,10,1),"x0x1x2x3x4x5x6x7x8x9"))),OR(AND(FIND(".",B227)=5,LEN(B227)-FIND(".",B227,FIND(".",B227)+1)&gt;=1,LEN(B227)-FIND(".",B227,FIND(".",B227)+1)&lt;=2),AND(LEN(B227)-FIND(".",B227,FIND(".",B227)+1)=4,FIND(".",B227)&gt;=2,FIND(".",B227)&lt;=3)),FIND(".",B227,FIND(".",B227)+1)-FIND(".",B227)&gt;=2,FIND(".",B227,FIND(".",B227)+1)-FIND(".",B227)&lt;=3,F227&gt;=2000,F227&lt;=2100,YEAR(I227)=F227,MONTH(I227)=G227,DAY(I227)=H227),I227,0)),0)</ns0:f>
        <ns0:v>0</ns0:v>
      </ns0:c>
      <ns0:c r="K227" s="0">
        <ns0:f>IFERROR(IF(ISNUMBER(Bookings!D227),"",TRIM(Bookings!D227&amp;"")),"")</ns0:f>
      </ns0:c>
      <ns0:c r="L227" s="0">
        <ns0:f>IFERROR(SUBSTITUTE(SUBSTITUTE(K227,"/","."),"-","."),"")</ns0:f>
      </ns0:c>
      <ns0:c r="M227" s="0">
        <ns0:f>IFERROR(LEFT(L227,FIND(".",L227)-1),"")</ns0:f>
      </ns0:c>
      <ns0:c r="N227" s="0">
        <ns0:f>IFERROR(MID(L227,FIND(".",L227)+1,FIND(".",L227,FIND(".",L227)+1)-FIND(".",L227)-1),"")</ns0:f>
      </ns0:c>
      <ns0:c r="O227" s="0">
        <ns0:f>IFERROR(MID(L227,FIND(".",L227,FIND(".",L227)+1)+1,99),"")</ns0:f>
        <ns0:v>99</ns0:v>
      </ns0:c>
      <ns0:c r="P227" s="0">
        <ns0:f>IFERROR(IF(FIND(".",L227)=5,--M227,--O227),0)</ns0:f>
        <ns0:v>0</ns0:v>
      </ns0:c>
      <ns0:c r="Q227" s="0">
        <ns0:f>IFERROR(--N227,0)</ns0:f>
        <ns0:v>0</ns0:v>
      </ns0:c>
      <ns0:c r="R227" s="0">
        <ns0:f>IFERROR(IF(FIND(".",L227)=5,--O227,--M227),0)</ns0:f>
        <ns0:v>0</ns0:v>
      </ns0:c>
      <ns0:c r="S227" s="0">
        <ns0:f>IFERROR(IF(AND(P227&gt;=2000,P227&lt;=2100,Q227&gt;=1,Q227&lt;=12,R227&gt;=1,R227&lt;=31),DATE(P227,Q227,R227),0),0)</ns0:f>
        <ns0:v>0</ns0:v>
      </ns0:c>
      <ns0:c r="T227" s="0">
        <ns0:f>IFERROR(IF(ISNUMBER(Bookings!D227),IF(AND(Bookings!D227=INT(Bookings!D227),Bookings!D227&gt;=DATE(2000,1,1),Bookings!D227&lt;=DATE(2100,12,31)),Bookings!D227,0),IF(AND(K227&lt;&gt;"",LEN("x"&amp;L227)-LEN(SUBSTITUTE("x"&amp;L227,".",""))=2,OR(1&gt;LEN(L227),MID(L227,1,1)=".",ISNUMBER(FIND("x"&amp;MID(L227,1,1),"x0x1x2x3x4x5x6x7x8x9"))),OR(2&gt;LEN(L227),MID(L227,2,1)=".",ISNUMBER(FIND("x"&amp;MID(L227,2,1),"x0x1x2x3x4x5x6x7x8x9"))),OR(3&gt;LEN(L227),MID(L227,3,1)=".",ISNUMBER(FIND("x"&amp;MID(L227,3,1),"x0x1x2x3x4x5x6x7x8x9"))),OR(4&gt;LEN(L227),MID(L227,4,1)=".",ISNUMBER(FIND("x"&amp;MID(L227,4,1),"x0x1x2x3x4x5x6x7x8x9"))),OR(5&gt;LEN(L227),MID(L227,5,1)=".",ISNUMBER(FIND("x"&amp;MID(L227,5,1),"x0x1x2x3x4x5x6x7x8x9"))),OR(6&gt;LEN(L227),MID(L227,6,1)=".",ISNUMBER(FIND("x"&amp;MID(L227,6,1),"x0x1x2x3x4x5x6x7x8x9"))),OR(7&gt;LEN(L227),MID(L227,7,1)=".",ISNUMBER(FIND("x"&amp;MID(L227,7,1),"x0x1x2x3x4x5x6x7x8x9"))),OR(8&gt;LEN(L227),MID(L227,8,1)=".",ISNUMBER(FIND("x"&amp;MID(L227,8,1),"x0x1x2x3x4x5x6x7x8x9"))),OR(9&gt;LEN(L227),MID(L227,9,1)=".",ISNUMBER(FIND("x"&amp;MID(L227,9,1),"x0x1x2x3x4x5x6x7x8x9"))),OR(10&gt;LEN(L227),MID(L227,10,1)=".",ISNUMBER(FIND("x"&amp;MID(L227,10,1),"x0x1x2x3x4x5x6x7x8x9"))),OR(AND(FIND(".",L227)=5,LEN(L227)-FIND(".",L227,FIND(".",L227)+1)&gt;=1,LEN(L227)-FIND(".",L227,FIND(".",L227)+1)&lt;=2),AND(LEN(L227)-FIND(".",L227,FIND(".",L227)+1)=4,FIND(".",L227)&gt;=2,FIND(".",L227)&lt;=3)),FIND(".",L227,FIND(".",L227)+1)-FIND(".",L227)&gt;=2,FIND(".",L227,FIND(".",L227)+1)-FIND(".",L227)&lt;=3,P227&gt;=2000,P227&lt;=2100,YEAR(S227)=P227,MONTH(S227)=Q227,DAY(S227)=R227),S227,0)),0)</ns0:f>
        <ns0:v>0</ns0:v>
      </ns0:c>
      <ns0:c r="U227" s="0" t="str">
        <ns0:f>IF(Bookings!C227="","Full day",Bookings!C227)</ns0:f>
        <ns0:v>Full day</ns0:v>
      </ns0:c>
      <ns0:c r="V227" s="0" t="str">
        <ns0:f>IF(Bookings!E227="","Full day",Bookings!E227)</ns0:f>
        <ns0:v>Full day</ns0:v>
      </ns0:c>
      <ns0:c r="W227" s="0">
        <ns0:f>IF(J227=0,0,J227+IF(U227="PM",1,0))</ns0:f>
        <ns0:v>0</ns0:v>
      </ns0:c>
      <ns0:c r="X227" s="0">
        <ns0:f>IF(T227=0,0,T227-IF(V227="PM",1,0))</ns0:f>
        <ns0:v>0</ns0:v>
      </ns0:c>
      <ns0:c r="Y227" s="0">
        <ns0:f>IF(J227=0,0,J227+IF(U227="AM",1,0))</ns0:f>
        <ns0:v>0</ns0:v>
      </ns0:c>
      <ns0:c r="Z227" s="0">
        <ns0:f>IF(T227=0,0,T227-IF(V227="AM",1,0))</ns0:f>
        <ns0:v>0</ns0:v>
      </ns0:c>
      <ns0:c r="AA227" s="0">
        <ns0:f>IFERROR(IF(AND(J227&gt;0,'_Engine'!C227&gt;0,MID('_Engine'!W227,WEEKDAY(J227,2),1)="W",COUNTIF(Settings!$F$18:$F$67,J227)=0),1,0),0)</ns0:f>
        <ns0:v>0</ns0:v>
      </ns0:c>
      <ns0:c r="AB227" s="0">
        <ns0:f>IFERROR(IF(AND(T227&gt;0,'_Engine'!C227&gt;0,MID('_Engine'!W227,WEEKDAY(T227,2),1)="W",COUNTIF(Settings!$F$18:$F$67,T227)=0),1,0),0)</ns0:f>
        <ns0:v>0</ns0:v>
      </ns0:c>
      <ns0:c r="AC227" s="0">
        <ns0:f>IF(AND(J227&gt;0,T227&gt;0,W227&lt;=X227),1,0)</ns0:f>
        <ns0:v>0</ns0:v>
      </ns0:c>
      <ns0:c r="AD227" s="0">
        <ns0:f>IF(AND(J227&gt;0,T227&gt;0,Y227&lt;=Z227),1,0)</ns0:f>
        <ns0:v>0</ns0:v>
      </ns0:c>
    </ns0:row>
    <ns0:row r="228">
      <ns0:c r="A228" s="0">
        <ns0:f>IFERROR(IF(ISNUMBER(Bookings!B228),"",TRIM(Bookings!B228&amp;"")),"")</ns0:f>
      </ns0:c>
      <ns0:c r="B228" s="0">
        <ns0:f>IFERROR(SUBSTITUTE(SUBSTITUTE(A228,"/","."),"-","."),"")</ns0:f>
      </ns0:c>
      <ns0:c r="C228" s="0">
        <ns0:f>IFERROR(LEFT(B228,FIND(".",B228)-1),"")</ns0:f>
      </ns0:c>
      <ns0:c r="D228" s="0">
        <ns0:f>IFERROR(MID(B228,FIND(".",B228)+1,FIND(".",B228,FIND(".",B228)+1)-FIND(".",B228)-1),"")</ns0:f>
      </ns0:c>
      <ns0:c r="E228" s="0">
        <ns0:f>IFERROR(MID(B228,FIND(".",B228,FIND(".",B228)+1)+1,99),"")</ns0:f>
        <ns0:v>99</ns0:v>
      </ns0:c>
      <ns0:c r="F228" s="0">
        <ns0:f>IFERROR(IF(FIND(".",B228)=5,--C228,--E228),0)</ns0:f>
        <ns0:v>0</ns0:v>
      </ns0:c>
      <ns0:c r="G228" s="0">
        <ns0:f>IFERROR(--D228,0)</ns0:f>
        <ns0:v>0</ns0:v>
      </ns0:c>
      <ns0:c r="H228" s="0">
        <ns0:f>IFERROR(IF(FIND(".",B228)=5,--E228,--C228),0)</ns0:f>
        <ns0:v>0</ns0:v>
      </ns0:c>
      <ns0:c r="I228" s="0">
        <ns0:f>IFERROR(IF(AND(F228&gt;=2000,F228&lt;=2100,G228&gt;=1,G228&lt;=12,H228&gt;=1,H228&lt;=31),DATE(F228,G228,H228),0),0)</ns0:f>
        <ns0:v>0</ns0:v>
      </ns0:c>
      <ns0:c r="J228" s="0">
        <ns0:f>IFERROR(IF(ISNUMBER(Bookings!B228),IF(AND(Bookings!B228=INT(Bookings!B228),Bookings!B228&gt;=DATE(2000,1,1),Bookings!B228&lt;=DATE(2100,12,31)),Bookings!B228,0),IF(AND(A228&lt;&gt;"",LEN("x"&amp;B228)-LEN(SUBSTITUTE("x"&amp;B228,".",""))=2,OR(1&gt;LEN(B228),MID(B228,1,1)=".",ISNUMBER(FIND("x"&amp;MID(B228,1,1),"x0x1x2x3x4x5x6x7x8x9"))),OR(2&gt;LEN(B228),MID(B228,2,1)=".",ISNUMBER(FIND("x"&amp;MID(B228,2,1),"x0x1x2x3x4x5x6x7x8x9"))),OR(3&gt;LEN(B228),MID(B228,3,1)=".",ISNUMBER(FIND("x"&amp;MID(B228,3,1),"x0x1x2x3x4x5x6x7x8x9"))),OR(4&gt;LEN(B228),MID(B228,4,1)=".",ISNUMBER(FIND("x"&amp;MID(B228,4,1),"x0x1x2x3x4x5x6x7x8x9"))),OR(5&gt;LEN(B228),MID(B228,5,1)=".",ISNUMBER(FIND("x"&amp;MID(B228,5,1),"x0x1x2x3x4x5x6x7x8x9"))),OR(6&gt;LEN(B228),MID(B228,6,1)=".",ISNUMBER(FIND("x"&amp;MID(B228,6,1),"x0x1x2x3x4x5x6x7x8x9"))),OR(7&gt;LEN(B228),MID(B228,7,1)=".",ISNUMBER(FIND("x"&amp;MID(B228,7,1),"x0x1x2x3x4x5x6x7x8x9"))),OR(8&gt;LEN(B228),MID(B228,8,1)=".",ISNUMBER(FIND("x"&amp;MID(B228,8,1),"x0x1x2x3x4x5x6x7x8x9"))),OR(9&gt;LEN(B228),MID(B228,9,1)=".",ISNUMBER(FIND("x"&amp;MID(B228,9,1),"x0x1x2x3x4x5x6x7x8x9"))),OR(10&gt;LEN(B228),MID(B228,10,1)=".",ISNUMBER(FIND("x"&amp;MID(B228,10,1),"x0x1x2x3x4x5x6x7x8x9"))),OR(AND(FIND(".",B228)=5,LEN(B228)-FIND(".",B228,FIND(".",B228)+1)&gt;=1,LEN(B228)-FIND(".",B228,FIND(".",B228)+1)&lt;=2),AND(LEN(B228)-FIND(".",B228,FIND(".",B228)+1)=4,FIND(".",B228)&gt;=2,FIND(".",B228)&lt;=3)),FIND(".",B228,FIND(".",B228)+1)-FIND(".",B228)&gt;=2,FIND(".",B228,FIND(".",B228)+1)-FIND(".",B228)&lt;=3,F228&gt;=2000,F228&lt;=2100,YEAR(I228)=F228,MONTH(I228)=G228,DAY(I228)=H228),I228,0)),0)</ns0:f>
        <ns0:v>0</ns0:v>
      </ns0:c>
      <ns0:c r="K228" s="0">
        <ns0:f>IFERROR(IF(ISNUMBER(Bookings!D228),"",TRIM(Bookings!D228&amp;"")),"")</ns0:f>
      </ns0:c>
      <ns0:c r="L228" s="0">
        <ns0:f>IFERROR(SUBSTITUTE(SUBSTITUTE(K228,"/","."),"-","."),"")</ns0:f>
      </ns0:c>
      <ns0:c r="M228" s="0">
        <ns0:f>IFERROR(LEFT(L228,FIND(".",L228)-1),"")</ns0:f>
      </ns0:c>
      <ns0:c r="N228" s="0">
        <ns0:f>IFERROR(MID(L228,FIND(".",L228)+1,FIND(".",L228,FIND(".",L228)+1)-FIND(".",L228)-1),"")</ns0:f>
      </ns0:c>
      <ns0:c r="O228" s="0">
        <ns0:f>IFERROR(MID(L228,FIND(".",L228,FIND(".",L228)+1)+1,99),"")</ns0:f>
        <ns0:v>99</ns0:v>
      </ns0:c>
      <ns0:c r="P228" s="0">
        <ns0:f>IFERROR(IF(FIND(".",L228)=5,--M228,--O228),0)</ns0:f>
        <ns0:v>0</ns0:v>
      </ns0:c>
      <ns0:c r="Q228" s="0">
        <ns0:f>IFERROR(--N228,0)</ns0:f>
        <ns0:v>0</ns0:v>
      </ns0:c>
      <ns0:c r="R228" s="0">
        <ns0:f>IFERROR(IF(FIND(".",L228)=5,--O228,--M228),0)</ns0:f>
        <ns0:v>0</ns0:v>
      </ns0:c>
      <ns0:c r="S228" s="0">
        <ns0:f>IFERROR(IF(AND(P228&gt;=2000,P228&lt;=2100,Q228&gt;=1,Q228&lt;=12,R228&gt;=1,R228&lt;=31),DATE(P228,Q228,R228),0),0)</ns0:f>
        <ns0:v>0</ns0:v>
      </ns0:c>
      <ns0:c r="T228" s="0">
        <ns0:f>IFERROR(IF(ISNUMBER(Bookings!D228),IF(AND(Bookings!D228=INT(Bookings!D228),Bookings!D228&gt;=DATE(2000,1,1),Bookings!D228&lt;=DATE(2100,12,31)),Bookings!D228,0),IF(AND(K228&lt;&gt;"",LEN("x"&amp;L228)-LEN(SUBSTITUTE("x"&amp;L228,".",""))=2,OR(1&gt;LEN(L228),MID(L228,1,1)=".",ISNUMBER(FIND("x"&amp;MID(L228,1,1),"x0x1x2x3x4x5x6x7x8x9"))),OR(2&gt;LEN(L228),MID(L228,2,1)=".",ISNUMBER(FIND("x"&amp;MID(L228,2,1),"x0x1x2x3x4x5x6x7x8x9"))),OR(3&gt;LEN(L228),MID(L228,3,1)=".",ISNUMBER(FIND("x"&amp;MID(L228,3,1),"x0x1x2x3x4x5x6x7x8x9"))),OR(4&gt;LEN(L228),MID(L228,4,1)=".",ISNUMBER(FIND("x"&amp;MID(L228,4,1),"x0x1x2x3x4x5x6x7x8x9"))),OR(5&gt;LEN(L228),MID(L228,5,1)=".",ISNUMBER(FIND("x"&amp;MID(L228,5,1),"x0x1x2x3x4x5x6x7x8x9"))),OR(6&gt;LEN(L228),MID(L228,6,1)=".",ISNUMBER(FIND("x"&amp;MID(L228,6,1),"x0x1x2x3x4x5x6x7x8x9"))),OR(7&gt;LEN(L228),MID(L228,7,1)=".",ISNUMBER(FIND("x"&amp;MID(L228,7,1),"x0x1x2x3x4x5x6x7x8x9"))),OR(8&gt;LEN(L228),MID(L228,8,1)=".",ISNUMBER(FIND("x"&amp;MID(L228,8,1),"x0x1x2x3x4x5x6x7x8x9"))),OR(9&gt;LEN(L228),MID(L228,9,1)=".",ISNUMBER(FIND("x"&amp;MID(L228,9,1),"x0x1x2x3x4x5x6x7x8x9"))),OR(10&gt;LEN(L228),MID(L228,10,1)=".",ISNUMBER(FIND("x"&amp;MID(L228,10,1),"x0x1x2x3x4x5x6x7x8x9"))),OR(AND(FIND(".",L228)=5,LEN(L228)-FIND(".",L228,FIND(".",L228)+1)&gt;=1,LEN(L228)-FIND(".",L228,FIND(".",L228)+1)&lt;=2),AND(LEN(L228)-FIND(".",L228,FIND(".",L228)+1)=4,FIND(".",L228)&gt;=2,FIND(".",L228)&lt;=3)),FIND(".",L228,FIND(".",L228)+1)-FIND(".",L228)&gt;=2,FIND(".",L228,FIND(".",L228)+1)-FIND(".",L228)&lt;=3,P228&gt;=2000,P228&lt;=2100,YEAR(S228)=P228,MONTH(S228)=Q228,DAY(S228)=R228),S228,0)),0)</ns0:f>
        <ns0:v>0</ns0:v>
      </ns0:c>
      <ns0:c r="U228" s="0" t="str">
        <ns0:f>IF(Bookings!C228="","Full day",Bookings!C228)</ns0:f>
        <ns0:v>Full day</ns0:v>
      </ns0:c>
      <ns0:c r="V228" s="0" t="str">
        <ns0:f>IF(Bookings!E228="","Full day",Bookings!E228)</ns0:f>
        <ns0:v>Full day</ns0:v>
      </ns0:c>
      <ns0:c r="W228" s="0">
        <ns0:f>IF(J228=0,0,J228+IF(U228="PM",1,0))</ns0:f>
        <ns0:v>0</ns0:v>
      </ns0:c>
      <ns0:c r="X228" s="0">
        <ns0:f>IF(T228=0,0,T228-IF(V228="PM",1,0))</ns0:f>
        <ns0:v>0</ns0:v>
      </ns0:c>
      <ns0:c r="Y228" s="0">
        <ns0:f>IF(J228=0,0,J228+IF(U228="AM",1,0))</ns0:f>
        <ns0:v>0</ns0:v>
      </ns0:c>
      <ns0:c r="Z228" s="0">
        <ns0:f>IF(T228=0,0,T228-IF(V228="AM",1,0))</ns0:f>
        <ns0:v>0</ns0:v>
      </ns0:c>
      <ns0:c r="AA228" s="0">
        <ns0:f>IFERROR(IF(AND(J228&gt;0,'_Engine'!C228&gt;0,MID('_Engine'!W228,WEEKDAY(J228,2),1)="W",COUNTIF(Settings!$F$18:$F$67,J228)=0),1,0),0)</ns0:f>
        <ns0:v>0</ns0:v>
      </ns0:c>
      <ns0:c r="AB228" s="0">
        <ns0:f>IFERROR(IF(AND(T228&gt;0,'_Engine'!C228&gt;0,MID('_Engine'!W228,WEEKDAY(T228,2),1)="W",COUNTIF(Settings!$F$18:$F$67,T228)=0),1,0),0)</ns0:f>
        <ns0:v>0</ns0:v>
      </ns0:c>
      <ns0:c r="AC228" s="0">
        <ns0:f>IF(AND(J228&gt;0,T228&gt;0,W228&lt;=X228),1,0)</ns0:f>
        <ns0:v>0</ns0:v>
      </ns0:c>
      <ns0:c r="AD228" s="0">
        <ns0:f>IF(AND(J228&gt;0,T228&gt;0,Y228&lt;=Z228),1,0)</ns0:f>
        <ns0:v>0</ns0:v>
      </ns0:c>
    </ns0:row>
    <ns0:row r="229">
      <ns0:c r="A229" s="0">
        <ns0:f>IFERROR(IF(ISNUMBER(Bookings!B229),"",TRIM(Bookings!B229&amp;"")),"")</ns0:f>
      </ns0:c>
      <ns0:c r="B229" s="0">
        <ns0:f>IFERROR(SUBSTITUTE(SUBSTITUTE(A229,"/","."),"-","."),"")</ns0:f>
      </ns0:c>
      <ns0:c r="C229" s="0">
        <ns0:f>IFERROR(LEFT(B229,FIND(".",B229)-1),"")</ns0:f>
      </ns0:c>
      <ns0:c r="D229" s="0">
        <ns0:f>IFERROR(MID(B229,FIND(".",B229)+1,FIND(".",B229,FIND(".",B229)+1)-FIND(".",B229)-1),"")</ns0:f>
      </ns0:c>
      <ns0:c r="E229" s="0">
        <ns0:f>IFERROR(MID(B229,FIND(".",B229,FIND(".",B229)+1)+1,99),"")</ns0:f>
        <ns0:v>99</ns0:v>
      </ns0:c>
      <ns0:c r="F229" s="0">
        <ns0:f>IFERROR(IF(FIND(".",B229)=5,--C229,--E229),0)</ns0:f>
        <ns0:v>0</ns0:v>
      </ns0:c>
      <ns0:c r="G229" s="0">
        <ns0:f>IFERROR(--D229,0)</ns0:f>
        <ns0:v>0</ns0:v>
      </ns0:c>
      <ns0:c r="H229" s="0">
        <ns0:f>IFERROR(IF(FIND(".",B229)=5,--E229,--C229),0)</ns0:f>
        <ns0:v>0</ns0:v>
      </ns0:c>
      <ns0:c r="I229" s="0">
        <ns0:f>IFERROR(IF(AND(F229&gt;=2000,F229&lt;=2100,G229&gt;=1,G229&lt;=12,H229&gt;=1,H229&lt;=31),DATE(F229,G229,H229),0),0)</ns0:f>
        <ns0:v>0</ns0:v>
      </ns0:c>
      <ns0:c r="J229" s="0">
        <ns0:f>IFERROR(IF(ISNUMBER(Bookings!B229),IF(AND(Bookings!B229=INT(Bookings!B229),Bookings!B229&gt;=DATE(2000,1,1),Bookings!B229&lt;=DATE(2100,12,31)),Bookings!B229,0),IF(AND(A229&lt;&gt;"",LEN("x"&amp;B229)-LEN(SUBSTITUTE("x"&amp;B229,".",""))=2,OR(1&gt;LEN(B229),MID(B229,1,1)=".",ISNUMBER(FIND("x"&amp;MID(B229,1,1),"x0x1x2x3x4x5x6x7x8x9"))),OR(2&gt;LEN(B229),MID(B229,2,1)=".",ISNUMBER(FIND("x"&amp;MID(B229,2,1),"x0x1x2x3x4x5x6x7x8x9"))),OR(3&gt;LEN(B229),MID(B229,3,1)=".",ISNUMBER(FIND("x"&amp;MID(B229,3,1),"x0x1x2x3x4x5x6x7x8x9"))),OR(4&gt;LEN(B229),MID(B229,4,1)=".",ISNUMBER(FIND("x"&amp;MID(B229,4,1),"x0x1x2x3x4x5x6x7x8x9"))),OR(5&gt;LEN(B229),MID(B229,5,1)=".",ISNUMBER(FIND("x"&amp;MID(B229,5,1),"x0x1x2x3x4x5x6x7x8x9"))),OR(6&gt;LEN(B229),MID(B229,6,1)=".",ISNUMBER(FIND("x"&amp;MID(B229,6,1),"x0x1x2x3x4x5x6x7x8x9"))),OR(7&gt;LEN(B229),MID(B229,7,1)=".",ISNUMBER(FIND("x"&amp;MID(B229,7,1),"x0x1x2x3x4x5x6x7x8x9"))),OR(8&gt;LEN(B229),MID(B229,8,1)=".",ISNUMBER(FIND("x"&amp;MID(B229,8,1),"x0x1x2x3x4x5x6x7x8x9"))),OR(9&gt;LEN(B229),MID(B229,9,1)=".",ISNUMBER(FIND("x"&amp;MID(B229,9,1),"x0x1x2x3x4x5x6x7x8x9"))),OR(10&gt;LEN(B229),MID(B229,10,1)=".",ISNUMBER(FIND("x"&amp;MID(B229,10,1),"x0x1x2x3x4x5x6x7x8x9"))),OR(AND(FIND(".",B229)=5,LEN(B229)-FIND(".",B229,FIND(".",B229)+1)&gt;=1,LEN(B229)-FIND(".",B229,FIND(".",B229)+1)&lt;=2),AND(LEN(B229)-FIND(".",B229,FIND(".",B229)+1)=4,FIND(".",B229)&gt;=2,FIND(".",B229)&lt;=3)),FIND(".",B229,FIND(".",B229)+1)-FIND(".",B229)&gt;=2,FIND(".",B229,FIND(".",B229)+1)-FIND(".",B229)&lt;=3,F229&gt;=2000,F229&lt;=2100,YEAR(I229)=F229,MONTH(I229)=G229,DAY(I229)=H229),I229,0)),0)</ns0:f>
        <ns0:v>0</ns0:v>
      </ns0:c>
      <ns0:c r="K229" s="0">
        <ns0:f>IFERROR(IF(ISNUMBER(Bookings!D229),"",TRIM(Bookings!D229&amp;"")),"")</ns0:f>
      </ns0:c>
      <ns0:c r="L229" s="0">
        <ns0:f>IFERROR(SUBSTITUTE(SUBSTITUTE(K229,"/","."),"-","."),"")</ns0:f>
      </ns0:c>
      <ns0:c r="M229" s="0">
        <ns0:f>IFERROR(LEFT(L229,FIND(".",L229)-1),"")</ns0:f>
      </ns0:c>
      <ns0:c r="N229" s="0">
        <ns0:f>IFERROR(MID(L229,FIND(".",L229)+1,FIND(".",L229,FIND(".",L229)+1)-FIND(".",L229)-1),"")</ns0:f>
      </ns0:c>
      <ns0:c r="O229" s="0">
        <ns0:f>IFERROR(MID(L229,FIND(".",L229,FIND(".",L229)+1)+1,99),"")</ns0:f>
        <ns0:v>99</ns0:v>
      </ns0:c>
      <ns0:c r="P229" s="0">
        <ns0:f>IFERROR(IF(FIND(".",L229)=5,--M229,--O229),0)</ns0:f>
        <ns0:v>0</ns0:v>
      </ns0:c>
      <ns0:c r="Q229" s="0">
        <ns0:f>IFERROR(--N229,0)</ns0:f>
        <ns0:v>0</ns0:v>
      </ns0:c>
      <ns0:c r="R229" s="0">
        <ns0:f>IFERROR(IF(FIND(".",L229)=5,--O229,--M229),0)</ns0:f>
        <ns0:v>0</ns0:v>
      </ns0:c>
      <ns0:c r="S229" s="0">
        <ns0:f>IFERROR(IF(AND(P229&gt;=2000,P229&lt;=2100,Q229&gt;=1,Q229&lt;=12,R229&gt;=1,R229&lt;=31),DATE(P229,Q229,R229),0),0)</ns0:f>
        <ns0:v>0</ns0:v>
      </ns0:c>
      <ns0:c r="T229" s="0">
        <ns0:f>IFERROR(IF(ISNUMBER(Bookings!D229),IF(AND(Bookings!D229=INT(Bookings!D229),Bookings!D229&gt;=DATE(2000,1,1),Bookings!D229&lt;=DATE(2100,12,31)),Bookings!D229,0),IF(AND(K229&lt;&gt;"",LEN("x"&amp;L229)-LEN(SUBSTITUTE("x"&amp;L229,".",""))=2,OR(1&gt;LEN(L229),MID(L229,1,1)=".",ISNUMBER(FIND("x"&amp;MID(L229,1,1),"x0x1x2x3x4x5x6x7x8x9"))),OR(2&gt;LEN(L229),MID(L229,2,1)=".",ISNUMBER(FIND("x"&amp;MID(L229,2,1),"x0x1x2x3x4x5x6x7x8x9"))),OR(3&gt;LEN(L229),MID(L229,3,1)=".",ISNUMBER(FIND("x"&amp;MID(L229,3,1),"x0x1x2x3x4x5x6x7x8x9"))),OR(4&gt;LEN(L229),MID(L229,4,1)=".",ISNUMBER(FIND("x"&amp;MID(L229,4,1),"x0x1x2x3x4x5x6x7x8x9"))),OR(5&gt;LEN(L229),MID(L229,5,1)=".",ISNUMBER(FIND("x"&amp;MID(L229,5,1),"x0x1x2x3x4x5x6x7x8x9"))),OR(6&gt;LEN(L229),MID(L229,6,1)=".",ISNUMBER(FIND("x"&amp;MID(L229,6,1),"x0x1x2x3x4x5x6x7x8x9"))),OR(7&gt;LEN(L229),MID(L229,7,1)=".",ISNUMBER(FIND("x"&amp;MID(L229,7,1),"x0x1x2x3x4x5x6x7x8x9"))),OR(8&gt;LEN(L229),MID(L229,8,1)=".",ISNUMBER(FIND("x"&amp;MID(L229,8,1),"x0x1x2x3x4x5x6x7x8x9"))),OR(9&gt;LEN(L229),MID(L229,9,1)=".",ISNUMBER(FIND("x"&amp;MID(L229,9,1),"x0x1x2x3x4x5x6x7x8x9"))),OR(10&gt;LEN(L229),MID(L229,10,1)=".",ISNUMBER(FIND("x"&amp;MID(L229,10,1),"x0x1x2x3x4x5x6x7x8x9"))),OR(AND(FIND(".",L229)=5,LEN(L229)-FIND(".",L229,FIND(".",L229)+1)&gt;=1,LEN(L229)-FIND(".",L229,FIND(".",L229)+1)&lt;=2),AND(LEN(L229)-FIND(".",L229,FIND(".",L229)+1)=4,FIND(".",L229)&gt;=2,FIND(".",L229)&lt;=3)),FIND(".",L229,FIND(".",L229)+1)-FIND(".",L229)&gt;=2,FIND(".",L229,FIND(".",L229)+1)-FIND(".",L229)&lt;=3,P229&gt;=2000,P229&lt;=2100,YEAR(S229)=P229,MONTH(S229)=Q229,DAY(S229)=R229),S229,0)),0)</ns0:f>
        <ns0:v>0</ns0:v>
      </ns0:c>
      <ns0:c r="U229" s="0" t="str">
        <ns0:f>IF(Bookings!C229="","Full day",Bookings!C229)</ns0:f>
        <ns0:v>Full day</ns0:v>
      </ns0:c>
      <ns0:c r="V229" s="0" t="str">
        <ns0:f>IF(Bookings!E229="","Full day",Bookings!E229)</ns0:f>
        <ns0:v>Full day</ns0:v>
      </ns0:c>
      <ns0:c r="W229" s="0">
        <ns0:f>IF(J229=0,0,J229+IF(U229="PM",1,0))</ns0:f>
        <ns0:v>0</ns0:v>
      </ns0:c>
      <ns0:c r="X229" s="0">
        <ns0:f>IF(T229=0,0,T229-IF(V229="PM",1,0))</ns0:f>
        <ns0:v>0</ns0:v>
      </ns0:c>
      <ns0:c r="Y229" s="0">
        <ns0:f>IF(J229=0,0,J229+IF(U229="AM",1,0))</ns0:f>
        <ns0:v>0</ns0:v>
      </ns0:c>
      <ns0:c r="Z229" s="0">
        <ns0:f>IF(T229=0,0,T229-IF(V229="AM",1,0))</ns0:f>
        <ns0:v>0</ns0:v>
      </ns0:c>
      <ns0:c r="AA229" s="0">
        <ns0:f>IFERROR(IF(AND(J229&gt;0,'_Engine'!C229&gt;0,MID('_Engine'!W229,WEEKDAY(J229,2),1)="W",COUNTIF(Settings!$F$18:$F$67,J229)=0),1,0),0)</ns0:f>
        <ns0:v>0</ns0:v>
      </ns0:c>
      <ns0:c r="AB229" s="0">
        <ns0:f>IFERROR(IF(AND(T229&gt;0,'_Engine'!C229&gt;0,MID('_Engine'!W229,WEEKDAY(T229,2),1)="W",COUNTIF(Settings!$F$18:$F$67,T229)=0),1,0),0)</ns0:f>
        <ns0:v>0</ns0:v>
      </ns0:c>
      <ns0:c r="AC229" s="0">
        <ns0:f>IF(AND(J229&gt;0,T229&gt;0,W229&lt;=X229),1,0)</ns0:f>
        <ns0:v>0</ns0:v>
      </ns0:c>
      <ns0:c r="AD229" s="0">
        <ns0:f>IF(AND(J229&gt;0,T229&gt;0,Y229&lt;=Z229),1,0)</ns0:f>
        <ns0:v>0</ns0:v>
      </ns0:c>
    </ns0:row>
    <ns0:row r="230">
      <ns0:c r="A230" s="0">
        <ns0:f>IFERROR(IF(ISNUMBER(Bookings!B230),"",TRIM(Bookings!B230&amp;"")),"")</ns0:f>
      </ns0:c>
      <ns0:c r="B230" s="0">
        <ns0:f>IFERROR(SUBSTITUTE(SUBSTITUTE(A230,"/","."),"-","."),"")</ns0:f>
      </ns0:c>
      <ns0:c r="C230" s="0">
        <ns0:f>IFERROR(LEFT(B230,FIND(".",B230)-1),"")</ns0:f>
      </ns0:c>
      <ns0:c r="D230" s="0">
        <ns0:f>IFERROR(MID(B230,FIND(".",B230)+1,FIND(".",B230,FIND(".",B230)+1)-FIND(".",B230)-1),"")</ns0:f>
      </ns0:c>
      <ns0:c r="E230" s="0">
        <ns0:f>IFERROR(MID(B230,FIND(".",B230,FIND(".",B230)+1)+1,99),"")</ns0:f>
        <ns0:v>99</ns0:v>
      </ns0:c>
      <ns0:c r="F230" s="0">
        <ns0:f>IFERROR(IF(FIND(".",B230)=5,--C230,--E230),0)</ns0:f>
        <ns0:v>0</ns0:v>
      </ns0:c>
      <ns0:c r="G230" s="0">
        <ns0:f>IFERROR(--D230,0)</ns0:f>
        <ns0:v>0</ns0:v>
      </ns0:c>
      <ns0:c r="H230" s="0">
        <ns0:f>IFERROR(IF(FIND(".",B230)=5,--E230,--C230),0)</ns0:f>
        <ns0:v>0</ns0:v>
      </ns0:c>
      <ns0:c r="I230" s="0">
        <ns0:f>IFERROR(IF(AND(F230&gt;=2000,F230&lt;=2100,G230&gt;=1,G230&lt;=12,H230&gt;=1,H230&lt;=31),DATE(F230,G230,H230),0),0)</ns0:f>
        <ns0:v>0</ns0:v>
      </ns0:c>
      <ns0:c r="J230" s="0">
        <ns0:f>IFERROR(IF(ISNUMBER(Bookings!B230),IF(AND(Bookings!B230=INT(Bookings!B230),Bookings!B230&gt;=DATE(2000,1,1),Bookings!B230&lt;=DATE(2100,12,31)),Bookings!B230,0),IF(AND(A230&lt;&gt;"",LEN("x"&amp;B230)-LEN(SUBSTITUTE("x"&amp;B230,".",""))=2,OR(1&gt;LEN(B230),MID(B230,1,1)=".",ISNUMBER(FIND("x"&amp;MID(B230,1,1),"x0x1x2x3x4x5x6x7x8x9"))),OR(2&gt;LEN(B230),MID(B230,2,1)=".",ISNUMBER(FIND("x"&amp;MID(B230,2,1),"x0x1x2x3x4x5x6x7x8x9"))),OR(3&gt;LEN(B230),MID(B230,3,1)=".",ISNUMBER(FIND("x"&amp;MID(B230,3,1),"x0x1x2x3x4x5x6x7x8x9"))),OR(4&gt;LEN(B230),MID(B230,4,1)=".",ISNUMBER(FIND("x"&amp;MID(B230,4,1),"x0x1x2x3x4x5x6x7x8x9"))),OR(5&gt;LEN(B230),MID(B230,5,1)=".",ISNUMBER(FIND("x"&amp;MID(B230,5,1),"x0x1x2x3x4x5x6x7x8x9"))),OR(6&gt;LEN(B230),MID(B230,6,1)=".",ISNUMBER(FIND("x"&amp;MID(B230,6,1),"x0x1x2x3x4x5x6x7x8x9"))),OR(7&gt;LEN(B230),MID(B230,7,1)=".",ISNUMBER(FIND("x"&amp;MID(B230,7,1),"x0x1x2x3x4x5x6x7x8x9"))),OR(8&gt;LEN(B230),MID(B230,8,1)=".",ISNUMBER(FIND("x"&amp;MID(B230,8,1),"x0x1x2x3x4x5x6x7x8x9"))),OR(9&gt;LEN(B230),MID(B230,9,1)=".",ISNUMBER(FIND("x"&amp;MID(B230,9,1),"x0x1x2x3x4x5x6x7x8x9"))),OR(10&gt;LEN(B230),MID(B230,10,1)=".",ISNUMBER(FIND("x"&amp;MID(B230,10,1),"x0x1x2x3x4x5x6x7x8x9"))),OR(AND(FIND(".",B230)=5,LEN(B230)-FIND(".",B230,FIND(".",B230)+1)&gt;=1,LEN(B230)-FIND(".",B230,FIND(".",B230)+1)&lt;=2),AND(LEN(B230)-FIND(".",B230,FIND(".",B230)+1)=4,FIND(".",B230)&gt;=2,FIND(".",B230)&lt;=3)),FIND(".",B230,FIND(".",B230)+1)-FIND(".",B230)&gt;=2,FIND(".",B230,FIND(".",B230)+1)-FIND(".",B230)&lt;=3,F230&gt;=2000,F230&lt;=2100,YEAR(I230)=F230,MONTH(I230)=G230,DAY(I230)=H230),I230,0)),0)</ns0:f>
        <ns0:v>0</ns0:v>
      </ns0:c>
      <ns0:c r="K230" s="0">
        <ns0:f>IFERROR(IF(ISNUMBER(Bookings!D230),"",TRIM(Bookings!D230&amp;"")),"")</ns0:f>
      </ns0:c>
      <ns0:c r="L230" s="0">
        <ns0:f>IFERROR(SUBSTITUTE(SUBSTITUTE(K230,"/","."),"-","."),"")</ns0:f>
      </ns0:c>
      <ns0:c r="M230" s="0">
        <ns0:f>IFERROR(LEFT(L230,FIND(".",L230)-1),"")</ns0:f>
      </ns0:c>
      <ns0:c r="N230" s="0">
        <ns0:f>IFERROR(MID(L230,FIND(".",L230)+1,FIND(".",L230,FIND(".",L230)+1)-FIND(".",L230)-1),"")</ns0:f>
      </ns0:c>
      <ns0:c r="O230" s="0">
        <ns0:f>IFERROR(MID(L230,FIND(".",L230,FIND(".",L230)+1)+1,99),"")</ns0:f>
        <ns0:v>99</ns0:v>
      </ns0:c>
      <ns0:c r="P230" s="0">
        <ns0:f>IFERROR(IF(FIND(".",L230)=5,--M230,--O230),0)</ns0:f>
        <ns0:v>0</ns0:v>
      </ns0:c>
      <ns0:c r="Q230" s="0">
        <ns0:f>IFERROR(--N230,0)</ns0:f>
        <ns0:v>0</ns0:v>
      </ns0:c>
      <ns0:c r="R230" s="0">
        <ns0:f>IFERROR(IF(FIND(".",L230)=5,--O230,--M230),0)</ns0:f>
        <ns0:v>0</ns0:v>
      </ns0:c>
      <ns0:c r="S230" s="0">
        <ns0:f>IFERROR(IF(AND(P230&gt;=2000,P230&lt;=2100,Q230&gt;=1,Q230&lt;=12,R230&gt;=1,R230&lt;=31),DATE(P230,Q230,R230),0),0)</ns0:f>
        <ns0:v>0</ns0:v>
      </ns0:c>
      <ns0:c r="T230" s="0">
        <ns0:f>IFERROR(IF(ISNUMBER(Bookings!D230),IF(AND(Bookings!D230=INT(Bookings!D230),Bookings!D230&gt;=DATE(2000,1,1),Bookings!D230&lt;=DATE(2100,12,31)),Bookings!D230,0),IF(AND(K230&lt;&gt;"",LEN("x"&amp;L230)-LEN(SUBSTITUTE("x"&amp;L230,".",""))=2,OR(1&gt;LEN(L230),MID(L230,1,1)=".",ISNUMBER(FIND("x"&amp;MID(L230,1,1),"x0x1x2x3x4x5x6x7x8x9"))),OR(2&gt;LEN(L230),MID(L230,2,1)=".",ISNUMBER(FIND("x"&amp;MID(L230,2,1),"x0x1x2x3x4x5x6x7x8x9"))),OR(3&gt;LEN(L230),MID(L230,3,1)=".",ISNUMBER(FIND("x"&amp;MID(L230,3,1),"x0x1x2x3x4x5x6x7x8x9"))),OR(4&gt;LEN(L230),MID(L230,4,1)=".",ISNUMBER(FIND("x"&amp;MID(L230,4,1),"x0x1x2x3x4x5x6x7x8x9"))),OR(5&gt;LEN(L230),MID(L230,5,1)=".",ISNUMBER(FIND("x"&amp;MID(L230,5,1),"x0x1x2x3x4x5x6x7x8x9"))),OR(6&gt;LEN(L230),MID(L230,6,1)=".",ISNUMBER(FIND("x"&amp;MID(L230,6,1),"x0x1x2x3x4x5x6x7x8x9"))),OR(7&gt;LEN(L230),MID(L230,7,1)=".",ISNUMBER(FIND("x"&amp;MID(L230,7,1),"x0x1x2x3x4x5x6x7x8x9"))),OR(8&gt;LEN(L230),MID(L230,8,1)=".",ISNUMBER(FIND("x"&amp;MID(L230,8,1),"x0x1x2x3x4x5x6x7x8x9"))),OR(9&gt;LEN(L230),MID(L230,9,1)=".",ISNUMBER(FIND("x"&amp;MID(L230,9,1),"x0x1x2x3x4x5x6x7x8x9"))),OR(10&gt;LEN(L230),MID(L230,10,1)=".",ISNUMBER(FIND("x"&amp;MID(L230,10,1),"x0x1x2x3x4x5x6x7x8x9"))),OR(AND(FIND(".",L230)=5,LEN(L230)-FIND(".",L230,FIND(".",L230)+1)&gt;=1,LEN(L230)-FIND(".",L230,FIND(".",L230)+1)&lt;=2),AND(LEN(L230)-FIND(".",L230,FIND(".",L230)+1)=4,FIND(".",L230)&gt;=2,FIND(".",L230)&lt;=3)),FIND(".",L230,FIND(".",L230)+1)-FIND(".",L230)&gt;=2,FIND(".",L230,FIND(".",L230)+1)-FIND(".",L230)&lt;=3,P230&gt;=2000,P230&lt;=2100,YEAR(S230)=P230,MONTH(S230)=Q230,DAY(S230)=R230),S230,0)),0)</ns0:f>
        <ns0:v>0</ns0:v>
      </ns0:c>
      <ns0:c r="U230" s="0" t="str">
        <ns0:f>IF(Bookings!C230="","Full day",Bookings!C230)</ns0:f>
        <ns0:v>Full day</ns0:v>
      </ns0:c>
      <ns0:c r="V230" s="0" t="str">
        <ns0:f>IF(Bookings!E230="","Full day",Bookings!E230)</ns0:f>
        <ns0:v>Full day</ns0:v>
      </ns0:c>
      <ns0:c r="W230" s="0">
        <ns0:f>IF(J230=0,0,J230+IF(U230="PM",1,0))</ns0:f>
        <ns0:v>0</ns0:v>
      </ns0:c>
      <ns0:c r="X230" s="0">
        <ns0:f>IF(T230=0,0,T230-IF(V230="PM",1,0))</ns0:f>
        <ns0:v>0</ns0:v>
      </ns0:c>
      <ns0:c r="Y230" s="0">
        <ns0:f>IF(J230=0,0,J230+IF(U230="AM",1,0))</ns0:f>
        <ns0:v>0</ns0:v>
      </ns0:c>
      <ns0:c r="Z230" s="0">
        <ns0:f>IF(T230=0,0,T230-IF(V230="AM",1,0))</ns0:f>
        <ns0:v>0</ns0:v>
      </ns0:c>
      <ns0:c r="AA230" s="0">
        <ns0:f>IFERROR(IF(AND(J230&gt;0,'_Engine'!C230&gt;0,MID('_Engine'!W230,WEEKDAY(J230,2),1)="W",COUNTIF(Settings!$F$18:$F$67,J230)=0),1,0),0)</ns0:f>
        <ns0:v>0</ns0:v>
      </ns0:c>
      <ns0:c r="AB230" s="0">
        <ns0:f>IFERROR(IF(AND(T230&gt;0,'_Engine'!C230&gt;0,MID('_Engine'!W230,WEEKDAY(T230,2),1)="W",COUNTIF(Settings!$F$18:$F$67,T230)=0),1,0),0)</ns0:f>
        <ns0:v>0</ns0:v>
      </ns0:c>
      <ns0:c r="AC230" s="0">
        <ns0:f>IF(AND(J230&gt;0,T230&gt;0,W230&lt;=X230),1,0)</ns0:f>
        <ns0:v>0</ns0:v>
      </ns0:c>
      <ns0:c r="AD230" s="0">
        <ns0:f>IF(AND(J230&gt;0,T230&gt;0,Y230&lt;=Z230),1,0)</ns0:f>
        <ns0:v>0</ns0:v>
      </ns0:c>
    </ns0:row>
    <ns0:row r="231">
      <ns0:c r="A231" s="0">
        <ns0:f>IFERROR(IF(ISNUMBER(Bookings!B231),"",TRIM(Bookings!B231&amp;"")),"")</ns0:f>
      </ns0:c>
      <ns0:c r="B231" s="0">
        <ns0:f>IFERROR(SUBSTITUTE(SUBSTITUTE(A231,"/","."),"-","."),"")</ns0:f>
      </ns0:c>
      <ns0:c r="C231" s="0">
        <ns0:f>IFERROR(LEFT(B231,FIND(".",B231)-1),"")</ns0:f>
      </ns0:c>
      <ns0:c r="D231" s="0">
        <ns0:f>IFERROR(MID(B231,FIND(".",B231)+1,FIND(".",B231,FIND(".",B231)+1)-FIND(".",B231)-1),"")</ns0:f>
      </ns0:c>
      <ns0:c r="E231" s="0">
        <ns0:f>IFERROR(MID(B231,FIND(".",B231,FIND(".",B231)+1)+1,99),"")</ns0:f>
        <ns0:v>99</ns0:v>
      </ns0:c>
      <ns0:c r="F231" s="0">
        <ns0:f>IFERROR(IF(FIND(".",B231)=5,--C231,--E231),0)</ns0:f>
        <ns0:v>0</ns0:v>
      </ns0:c>
      <ns0:c r="G231" s="0">
        <ns0:f>IFERROR(--D231,0)</ns0:f>
        <ns0:v>0</ns0:v>
      </ns0:c>
      <ns0:c r="H231" s="0">
        <ns0:f>IFERROR(IF(FIND(".",B231)=5,--E231,--C231),0)</ns0:f>
        <ns0:v>0</ns0:v>
      </ns0:c>
      <ns0:c r="I231" s="0">
        <ns0:f>IFERROR(IF(AND(F231&gt;=2000,F231&lt;=2100,G231&gt;=1,G231&lt;=12,H231&gt;=1,H231&lt;=31),DATE(F231,G231,H231),0),0)</ns0:f>
        <ns0:v>0</ns0:v>
      </ns0:c>
      <ns0:c r="J231" s="0">
        <ns0:f>IFERROR(IF(ISNUMBER(Bookings!B231),IF(AND(Bookings!B231=INT(Bookings!B231),Bookings!B231&gt;=DATE(2000,1,1),Bookings!B231&lt;=DATE(2100,12,31)),Bookings!B231,0),IF(AND(A231&lt;&gt;"",LEN("x"&amp;B231)-LEN(SUBSTITUTE("x"&amp;B231,".",""))=2,OR(1&gt;LEN(B231),MID(B231,1,1)=".",ISNUMBER(FIND("x"&amp;MID(B231,1,1),"x0x1x2x3x4x5x6x7x8x9"))),OR(2&gt;LEN(B231),MID(B231,2,1)=".",ISNUMBER(FIND("x"&amp;MID(B231,2,1),"x0x1x2x3x4x5x6x7x8x9"))),OR(3&gt;LEN(B231),MID(B231,3,1)=".",ISNUMBER(FIND("x"&amp;MID(B231,3,1),"x0x1x2x3x4x5x6x7x8x9"))),OR(4&gt;LEN(B231),MID(B231,4,1)=".",ISNUMBER(FIND("x"&amp;MID(B231,4,1),"x0x1x2x3x4x5x6x7x8x9"))),OR(5&gt;LEN(B231),MID(B231,5,1)=".",ISNUMBER(FIND("x"&amp;MID(B231,5,1),"x0x1x2x3x4x5x6x7x8x9"))),OR(6&gt;LEN(B231),MID(B231,6,1)=".",ISNUMBER(FIND("x"&amp;MID(B231,6,1),"x0x1x2x3x4x5x6x7x8x9"))),OR(7&gt;LEN(B231),MID(B231,7,1)=".",ISNUMBER(FIND("x"&amp;MID(B231,7,1),"x0x1x2x3x4x5x6x7x8x9"))),OR(8&gt;LEN(B231),MID(B231,8,1)=".",ISNUMBER(FIND("x"&amp;MID(B231,8,1),"x0x1x2x3x4x5x6x7x8x9"))),OR(9&gt;LEN(B231),MID(B231,9,1)=".",ISNUMBER(FIND("x"&amp;MID(B231,9,1),"x0x1x2x3x4x5x6x7x8x9"))),OR(10&gt;LEN(B231),MID(B231,10,1)=".",ISNUMBER(FIND("x"&amp;MID(B231,10,1),"x0x1x2x3x4x5x6x7x8x9"))),OR(AND(FIND(".",B231)=5,LEN(B231)-FIND(".",B231,FIND(".",B231)+1)&gt;=1,LEN(B231)-FIND(".",B231,FIND(".",B231)+1)&lt;=2),AND(LEN(B231)-FIND(".",B231,FIND(".",B231)+1)=4,FIND(".",B231)&gt;=2,FIND(".",B231)&lt;=3)),FIND(".",B231,FIND(".",B231)+1)-FIND(".",B231)&gt;=2,FIND(".",B231,FIND(".",B231)+1)-FIND(".",B231)&lt;=3,F231&gt;=2000,F231&lt;=2100,YEAR(I231)=F231,MONTH(I231)=G231,DAY(I231)=H231),I231,0)),0)</ns0:f>
        <ns0:v>0</ns0:v>
      </ns0:c>
      <ns0:c r="K231" s="0">
        <ns0:f>IFERROR(IF(ISNUMBER(Bookings!D231),"",TRIM(Bookings!D231&amp;"")),"")</ns0:f>
      </ns0:c>
      <ns0:c r="L231" s="0">
        <ns0:f>IFERROR(SUBSTITUTE(SUBSTITUTE(K231,"/","."),"-","."),"")</ns0:f>
      </ns0:c>
      <ns0:c r="M231" s="0">
        <ns0:f>IFERROR(LEFT(L231,FIND(".",L231)-1),"")</ns0:f>
      </ns0:c>
      <ns0:c r="N231" s="0">
        <ns0:f>IFERROR(MID(L231,FIND(".",L231)+1,FIND(".",L231,FIND(".",L231)+1)-FIND(".",L231)-1),"")</ns0:f>
      </ns0:c>
      <ns0:c r="O231" s="0">
        <ns0:f>IFERROR(MID(L231,FIND(".",L231,FIND(".",L231)+1)+1,99),"")</ns0:f>
        <ns0:v>99</ns0:v>
      </ns0:c>
      <ns0:c r="P231" s="0">
        <ns0:f>IFERROR(IF(FIND(".",L231)=5,--M231,--O231),0)</ns0:f>
        <ns0:v>0</ns0:v>
      </ns0:c>
      <ns0:c r="Q231" s="0">
        <ns0:f>IFERROR(--N231,0)</ns0:f>
        <ns0:v>0</ns0:v>
      </ns0:c>
      <ns0:c r="R231" s="0">
        <ns0:f>IFERROR(IF(FIND(".",L231)=5,--O231,--M231),0)</ns0:f>
        <ns0:v>0</ns0:v>
      </ns0:c>
      <ns0:c r="S231" s="0">
        <ns0:f>IFERROR(IF(AND(P231&gt;=2000,P231&lt;=2100,Q231&gt;=1,Q231&lt;=12,R231&gt;=1,R231&lt;=31),DATE(P231,Q231,R231),0),0)</ns0:f>
        <ns0:v>0</ns0:v>
      </ns0:c>
      <ns0:c r="T231" s="0">
        <ns0:f>IFERROR(IF(ISNUMBER(Bookings!D231),IF(AND(Bookings!D231=INT(Bookings!D231),Bookings!D231&gt;=DATE(2000,1,1),Bookings!D231&lt;=DATE(2100,12,31)),Bookings!D231,0),IF(AND(K231&lt;&gt;"",LEN("x"&amp;L231)-LEN(SUBSTITUTE("x"&amp;L231,".",""))=2,OR(1&gt;LEN(L231),MID(L231,1,1)=".",ISNUMBER(FIND("x"&amp;MID(L231,1,1),"x0x1x2x3x4x5x6x7x8x9"))),OR(2&gt;LEN(L231),MID(L231,2,1)=".",ISNUMBER(FIND("x"&amp;MID(L231,2,1),"x0x1x2x3x4x5x6x7x8x9"))),OR(3&gt;LEN(L231),MID(L231,3,1)=".",ISNUMBER(FIND("x"&amp;MID(L231,3,1),"x0x1x2x3x4x5x6x7x8x9"))),OR(4&gt;LEN(L231),MID(L231,4,1)=".",ISNUMBER(FIND("x"&amp;MID(L231,4,1),"x0x1x2x3x4x5x6x7x8x9"))),OR(5&gt;LEN(L231),MID(L231,5,1)=".",ISNUMBER(FIND("x"&amp;MID(L231,5,1),"x0x1x2x3x4x5x6x7x8x9"))),OR(6&gt;LEN(L231),MID(L231,6,1)=".",ISNUMBER(FIND("x"&amp;MID(L231,6,1),"x0x1x2x3x4x5x6x7x8x9"))),OR(7&gt;LEN(L231),MID(L231,7,1)=".",ISNUMBER(FIND("x"&amp;MID(L231,7,1),"x0x1x2x3x4x5x6x7x8x9"))),OR(8&gt;LEN(L231),MID(L231,8,1)=".",ISNUMBER(FIND("x"&amp;MID(L231,8,1),"x0x1x2x3x4x5x6x7x8x9"))),OR(9&gt;LEN(L231),MID(L231,9,1)=".",ISNUMBER(FIND("x"&amp;MID(L231,9,1),"x0x1x2x3x4x5x6x7x8x9"))),OR(10&gt;LEN(L231),MID(L231,10,1)=".",ISNUMBER(FIND("x"&amp;MID(L231,10,1),"x0x1x2x3x4x5x6x7x8x9"))),OR(AND(FIND(".",L231)=5,LEN(L231)-FIND(".",L231,FIND(".",L231)+1)&gt;=1,LEN(L231)-FIND(".",L231,FIND(".",L231)+1)&lt;=2),AND(LEN(L231)-FIND(".",L231,FIND(".",L231)+1)=4,FIND(".",L231)&gt;=2,FIND(".",L231)&lt;=3)),FIND(".",L231,FIND(".",L231)+1)-FIND(".",L231)&gt;=2,FIND(".",L231,FIND(".",L231)+1)-FIND(".",L231)&lt;=3,P231&gt;=2000,P231&lt;=2100,YEAR(S231)=P231,MONTH(S231)=Q231,DAY(S231)=R231),S231,0)),0)</ns0:f>
        <ns0:v>0</ns0:v>
      </ns0:c>
      <ns0:c r="U231" s="0" t="str">
        <ns0:f>IF(Bookings!C231="","Full day",Bookings!C231)</ns0:f>
        <ns0:v>Full day</ns0:v>
      </ns0:c>
      <ns0:c r="V231" s="0" t="str">
        <ns0:f>IF(Bookings!E231="","Full day",Bookings!E231)</ns0:f>
        <ns0:v>Full day</ns0:v>
      </ns0:c>
      <ns0:c r="W231" s="0">
        <ns0:f>IF(J231=0,0,J231+IF(U231="PM",1,0))</ns0:f>
        <ns0:v>0</ns0:v>
      </ns0:c>
      <ns0:c r="X231" s="0">
        <ns0:f>IF(T231=0,0,T231-IF(V231="PM",1,0))</ns0:f>
        <ns0:v>0</ns0:v>
      </ns0:c>
      <ns0:c r="Y231" s="0">
        <ns0:f>IF(J231=0,0,J231+IF(U231="AM",1,0))</ns0:f>
        <ns0:v>0</ns0:v>
      </ns0:c>
      <ns0:c r="Z231" s="0">
        <ns0:f>IF(T231=0,0,T231-IF(V231="AM",1,0))</ns0:f>
        <ns0:v>0</ns0:v>
      </ns0:c>
      <ns0:c r="AA231" s="0">
        <ns0:f>IFERROR(IF(AND(J231&gt;0,'_Engine'!C231&gt;0,MID('_Engine'!W231,WEEKDAY(J231,2),1)="W",COUNTIF(Settings!$F$18:$F$67,J231)=0),1,0),0)</ns0:f>
        <ns0:v>0</ns0:v>
      </ns0:c>
      <ns0:c r="AB231" s="0">
        <ns0:f>IFERROR(IF(AND(T231&gt;0,'_Engine'!C231&gt;0,MID('_Engine'!W231,WEEKDAY(T231,2),1)="W",COUNTIF(Settings!$F$18:$F$67,T231)=0),1,0),0)</ns0:f>
        <ns0:v>0</ns0:v>
      </ns0:c>
      <ns0:c r="AC231" s="0">
        <ns0:f>IF(AND(J231&gt;0,T231&gt;0,W231&lt;=X231),1,0)</ns0:f>
        <ns0:v>0</ns0:v>
      </ns0:c>
      <ns0:c r="AD231" s="0">
        <ns0:f>IF(AND(J231&gt;0,T231&gt;0,Y231&lt;=Z231),1,0)</ns0:f>
        <ns0:v>0</ns0:v>
      </ns0:c>
    </ns0:row>
    <ns0:row r="232">
      <ns0:c r="A232" s="0">
        <ns0:f>IFERROR(IF(ISNUMBER(Bookings!B232),"",TRIM(Bookings!B232&amp;"")),"")</ns0:f>
      </ns0:c>
      <ns0:c r="B232" s="0">
        <ns0:f>IFERROR(SUBSTITUTE(SUBSTITUTE(A232,"/","."),"-","."),"")</ns0:f>
      </ns0:c>
      <ns0:c r="C232" s="0">
        <ns0:f>IFERROR(LEFT(B232,FIND(".",B232)-1),"")</ns0:f>
      </ns0:c>
      <ns0:c r="D232" s="0">
        <ns0:f>IFERROR(MID(B232,FIND(".",B232)+1,FIND(".",B232,FIND(".",B232)+1)-FIND(".",B232)-1),"")</ns0:f>
      </ns0:c>
      <ns0:c r="E232" s="0">
        <ns0:f>IFERROR(MID(B232,FIND(".",B232,FIND(".",B232)+1)+1,99),"")</ns0:f>
        <ns0:v>99</ns0:v>
      </ns0:c>
      <ns0:c r="F232" s="0">
        <ns0:f>IFERROR(IF(FIND(".",B232)=5,--C232,--E232),0)</ns0:f>
        <ns0:v>0</ns0:v>
      </ns0:c>
      <ns0:c r="G232" s="0">
        <ns0:f>IFERROR(--D232,0)</ns0:f>
        <ns0:v>0</ns0:v>
      </ns0:c>
      <ns0:c r="H232" s="0">
        <ns0:f>IFERROR(IF(FIND(".",B232)=5,--E232,--C232),0)</ns0:f>
        <ns0:v>0</ns0:v>
      </ns0:c>
      <ns0:c r="I232" s="0">
        <ns0:f>IFERROR(IF(AND(F232&gt;=2000,F232&lt;=2100,G232&gt;=1,G232&lt;=12,H232&gt;=1,H232&lt;=31),DATE(F232,G232,H232),0),0)</ns0:f>
        <ns0:v>0</ns0:v>
      </ns0:c>
      <ns0:c r="J232" s="0">
        <ns0:f>IFERROR(IF(ISNUMBER(Bookings!B232),IF(AND(Bookings!B232=INT(Bookings!B232),Bookings!B232&gt;=DATE(2000,1,1),Bookings!B232&lt;=DATE(2100,12,31)),Bookings!B232,0),IF(AND(A232&lt;&gt;"",LEN("x"&amp;B232)-LEN(SUBSTITUTE("x"&amp;B232,".",""))=2,OR(1&gt;LEN(B232),MID(B232,1,1)=".",ISNUMBER(FIND("x"&amp;MID(B232,1,1),"x0x1x2x3x4x5x6x7x8x9"))),OR(2&gt;LEN(B232),MID(B232,2,1)=".",ISNUMBER(FIND("x"&amp;MID(B232,2,1),"x0x1x2x3x4x5x6x7x8x9"))),OR(3&gt;LEN(B232),MID(B232,3,1)=".",ISNUMBER(FIND("x"&amp;MID(B232,3,1),"x0x1x2x3x4x5x6x7x8x9"))),OR(4&gt;LEN(B232),MID(B232,4,1)=".",ISNUMBER(FIND("x"&amp;MID(B232,4,1),"x0x1x2x3x4x5x6x7x8x9"))),OR(5&gt;LEN(B232),MID(B232,5,1)=".",ISNUMBER(FIND("x"&amp;MID(B232,5,1),"x0x1x2x3x4x5x6x7x8x9"))),OR(6&gt;LEN(B232),MID(B232,6,1)=".",ISNUMBER(FIND("x"&amp;MID(B232,6,1),"x0x1x2x3x4x5x6x7x8x9"))),OR(7&gt;LEN(B232),MID(B232,7,1)=".",ISNUMBER(FIND("x"&amp;MID(B232,7,1),"x0x1x2x3x4x5x6x7x8x9"))),OR(8&gt;LEN(B232),MID(B232,8,1)=".",ISNUMBER(FIND("x"&amp;MID(B232,8,1),"x0x1x2x3x4x5x6x7x8x9"))),OR(9&gt;LEN(B232),MID(B232,9,1)=".",ISNUMBER(FIND("x"&amp;MID(B232,9,1),"x0x1x2x3x4x5x6x7x8x9"))),OR(10&gt;LEN(B232),MID(B232,10,1)=".",ISNUMBER(FIND("x"&amp;MID(B232,10,1),"x0x1x2x3x4x5x6x7x8x9"))),OR(AND(FIND(".",B232)=5,LEN(B232)-FIND(".",B232,FIND(".",B232)+1)&gt;=1,LEN(B232)-FIND(".",B232,FIND(".",B232)+1)&lt;=2),AND(LEN(B232)-FIND(".",B232,FIND(".",B232)+1)=4,FIND(".",B232)&gt;=2,FIND(".",B232)&lt;=3)),FIND(".",B232,FIND(".",B232)+1)-FIND(".",B232)&gt;=2,FIND(".",B232,FIND(".",B232)+1)-FIND(".",B232)&lt;=3,F232&gt;=2000,F232&lt;=2100,YEAR(I232)=F232,MONTH(I232)=G232,DAY(I232)=H232),I232,0)),0)</ns0:f>
        <ns0:v>0</ns0:v>
      </ns0:c>
      <ns0:c r="K232" s="0">
        <ns0:f>IFERROR(IF(ISNUMBER(Bookings!D232),"",TRIM(Bookings!D232&amp;"")),"")</ns0:f>
      </ns0:c>
      <ns0:c r="L232" s="0">
        <ns0:f>IFERROR(SUBSTITUTE(SUBSTITUTE(K232,"/","."),"-","."),"")</ns0:f>
      </ns0:c>
      <ns0:c r="M232" s="0">
        <ns0:f>IFERROR(LEFT(L232,FIND(".",L232)-1),"")</ns0:f>
      </ns0:c>
      <ns0:c r="N232" s="0">
        <ns0:f>IFERROR(MID(L232,FIND(".",L232)+1,FIND(".",L232,FIND(".",L232)+1)-FIND(".",L232)-1),"")</ns0:f>
      </ns0:c>
      <ns0:c r="O232" s="0">
        <ns0:f>IFERROR(MID(L232,FIND(".",L232,FIND(".",L232)+1)+1,99),"")</ns0:f>
        <ns0:v>99</ns0:v>
      </ns0:c>
      <ns0:c r="P232" s="0">
        <ns0:f>IFERROR(IF(FIND(".",L232)=5,--M232,--O232),0)</ns0:f>
        <ns0:v>0</ns0:v>
      </ns0:c>
      <ns0:c r="Q232" s="0">
        <ns0:f>IFERROR(--N232,0)</ns0:f>
        <ns0:v>0</ns0:v>
      </ns0:c>
      <ns0:c r="R232" s="0">
        <ns0:f>IFERROR(IF(FIND(".",L232)=5,--O232,--M232),0)</ns0:f>
        <ns0:v>0</ns0:v>
      </ns0:c>
      <ns0:c r="S232" s="0">
        <ns0:f>IFERROR(IF(AND(P232&gt;=2000,P232&lt;=2100,Q232&gt;=1,Q232&lt;=12,R232&gt;=1,R232&lt;=31),DATE(P232,Q232,R232),0),0)</ns0:f>
        <ns0:v>0</ns0:v>
      </ns0:c>
      <ns0:c r="T232" s="0">
        <ns0:f>IFERROR(IF(ISNUMBER(Bookings!D232),IF(AND(Bookings!D232=INT(Bookings!D232),Bookings!D232&gt;=DATE(2000,1,1),Bookings!D232&lt;=DATE(2100,12,31)),Bookings!D232,0),IF(AND(K232&lt;&gt;"",LEN("x"&amp;L232)-LEN(SUBSTITUTE("x"&amp;L232,".",""))=2,OR(1&gt;LEN(L232),MID(L232,1,1)=".",ISNUMBER(FIND("x"&amp;MID(L232,1,1),"x0x1x2x3x4x5x6x7x8x9"))),OR(2&gt;LEN(L232),MID(L232,2,1)=".",ISNUMBER(FIND("x"&amp;MID(L232,2,1),"x0x1x2x3x4x5x6x7x8x9"))),OR(3&gt;LEN(L232),MID(L232,3,1)=".",ISNUMBER(FIND("x"&amp;MID(L232,3,1),"x0x1x2x3x4x5x6x7x8x9"))),OR(4&gt;LEN(L232),MID(L232,4,1)=".",ISNUMBER(FIND("x"&amp;MID(L232,4,1),"x0x1x2x3x4x5x6x7x8x9"))),OR(5&gt;LEN(L232),MID(L232,5,1)=".",ISNUMBER(FIND("x"&amp;MID(L232,5,1),"x0x1x2x3x4x5x6x7x8x9"))),OR(6&gt;LEN(L232),MID(L232,6,1)=".",ISNUMBER(FIND("x"&amp;MID(L232,6,1),"x0x1x2x3x4x5x6x7x8x9"))),OR(7&gt;LEN(L232),MID(L232,7,1)=".",ISNUMBER(FIND("x"&amp;MID(L232,7,1),"x0x1x2x3x4x5x6x7x8x9"))),OR(8&gt;LEN(L232),MID(L232,8,1)=".",ISNUMBER(FIND("x"&amp;MID(L232,8,1),"x0x1x2x3x4x5x6x7x8x9"))),OR(9&gt;LEN(L232),MID(L232,9,1)=".",ISNUMBER(FIND("x"&amp;MID(L232,9,1),"x0x1x2x3x4x5x6x7x8x9"))),OR(10&gt;LEN(L232),MID(L232,10,1)=".",ISNUMBER(FIND("x"&amp;MID(L232,10,1),"x0x1x2x3x4x5x6x7x8x9"))),OR(AND(FIND(".",L232)=5,LEN(L232)-FIND(".",L232,FIND(".",L232)+1)&gt;=1,LEN(L232)-FIND(".",L232,FIND(".",L232)+1)&lt;=2),AND(LEN(L232)-FIND(".",L232,FIND(".",L232)+1)=4,FIND(".",L232)&gt;=2,FIND(".",L232)&lt;=3)),FIND(".",L232,FIND(".",L232)+1)-FIND(".",L232)&gt;=2,FIND(".",L232,FIND(".",L232)+1)-FIND(".",L232)&lt;=3,P232&gt;=2000,P232&lt;=2100,YEAR(S232)=P232,MONTH(S232)=Q232,DAY(S232)=R232),S232,0)),0)</ns0:f>
        <ns0:v>0</ns0:v>
      </ns0:c>
      <ns0:c r="U232" s="0" t="str">
        <ns0:f>IF(Bookings!C232="","Full day",Bookings!C232)</ns0:f>
        <ns0:v>Full day</ns0:v>
      </ns0:c>
      <ns0:c r="V232" s="0" t="str">
        <ns0:f>IF(Bookings!E232="","Full day",Bookings!E232)</ns0:f>
        <ns0:v>Full day</ns0:v>
      </ns0:c>
      <ns0:c r="W232" s="0">
        <ns0:f>IF(J232=0,0,J232+IF(U232="PM",1,0))</ns0:f>
        <ns0:v>0</ns0:v>
      </ns0:c>
      <ns0:c r="X232" s="0">
        <ns0:f>IF(T232=0,0,T232-IF(V232="PM",1,0))</ns0:f>
        <ns0:v>0</ns0:v>
      </ns0:c>
      <ns0:c r="Y232" s="0">
        <ns0:f>IF(J232=0,0,J232+IF(U232="AM",1,0))</ns0:f>
        <ns0:v>0</ns0:v>
      </ns0:c>
      <ns0:c r="Z232" s="0">
        <ns0:f>IF(T232=0,0,T232-IF(V232="AM",1,0))</ns0:f>
        <ns0:v>0</ns0:v>
      </ns0:c>
      <ns0:c r="AA232" s="0">
        <ns0:f>IFERROR(IF(AND(J232&gt;0,'_Engine'!C232&gt;0,MID('_Engine'!W232,WEEKDAY(J232,2),1)="W",COUNTIF(Settings!$F$18:$F$67,J232)=0),1,0),0)</ns0:f>
        <ns0:v>0</ns0:v>
      </ns0:c>
      <ns0:c r="AB232" s="0">
        <ns0:f>IFERROR(IF(AND(T232&gt;0,'_Engine'!C232&gt;0,MID('_Engine'!W232,WEEKDAY(T232,2),1)="W",COUNTIF(Settings!$F$18:$F$67,T232)=0),1,0),0)</ns0:f>
        <ns0:v>0</ns0:v>
      </ns0:c>
      <ns0:c r="AC232" s="0">
        <ns0:f>IF(AND(J232&gt;0,T232&gt;0,W232&lt;=X232),1,0)</ns0:f>
        <ns0:v>0</ns0:v>
      </ns0:c>
      <ns0:c r="AD232" s="0">
        <ns0:f>IF(AND(J232&gt;0,T232&gt;0,Y232&lt;=Z232),1,0)</ns0:f>
        <ns0:v>0</ns0:v>
      </ns0:c>
    </ns0:row>
    <ns0:row r="233">
      <ns0:c r="A233" s="0">
        <ns0:f>IFERROR(IF(ISNUMBER(Bookings!B233),"",TRIM(Bookings!B233&amp;"")),"")</ns0:f>
      </ns0:c>
      <ns0:c r="B233" s="0">
        <ns0:f>IFERROR(SUBSTITUTE(SUBSTITUTE(A233,"/","."),"-","."),"")</ns0:f>
      </ns0:c>
      <ns0:c r="C233" s="0">
        <ns0:f>IFERROR(LEFT(B233,FIND(".",B233)-1),"")</ns0:f>
      </ns0:c>
      <ns0:c r="D233" s="0">
        <ns0:f>IFERROR(MID(B233,FIND(".",B233)+1,FIND(".",B233,FIND(".",B233)+1)-FIND(".",B233)-1),"")</ns0:f>
      </ns0:c>
      <ns0:c r="E233" s="0">
        <ns0:f>IFERROR(MID(B233,FIND(".",B233,FIND(".",B233)+1)+1,99),"")</ns0:f>
        <ns0:v>99</ns0:v>
      </ns0:c>
      <ns0:c r="F233" s="0">
        <ns0:f>IFERROR(IF(FIND(".",B233)=5,--C233,--E233),0)</ns0:f>
        <ns0:v>0</ns0:v>
      </ns0:c>
      <ns0:c r="G233" s="0">
        <ns0:f>IFERROR(--D233,0)</ns0:f>
        <ns0:v>0</ns0:v>
      </ns0:c>
      <ns0:c r="H233" s="0">
        <ns0:f>IFERROR(IF(FIND(".",B233)=5,--E233,--C233),0)</ns0:f>
        <ns0:v>0</ns0:v>
      </ns0:c>
      <ns0:c r="I233" s="0">
        <ns0:f>IFERROR(IF(AND(F233&gt;=2000,F233&lt;=2100,G233&gt;=1,G233&lt;=12,H233&gt;=1,H233&lt;=31),DATE(F233,G233,H233),0),0)</ns0:f>
        <ns0:v>0</ns0:v>
      </ns0:c>
      <ns0:c r="J233" s="0">
        <ns0:f>IFERROR(IF(ISNUMBER(Bookings!B233),IF(AND(Bookings!B233=INT(Bookings!B233),Bookings!B233&gt;=DATE(2000,1,1),Bookings!B233&lt;=DATE(2100,12,31)),Bookings!B233,0),IF(AND(A233&lt;&gt;"",LEN("x"&amp;B233)-LEN(SUBSTITUTE("x"&amp;B233,".",""))=2,OR(1&gt;LEN(B233),MID(B233,1,1)=".",ISNUMBER(FIND("x"&amp;MID(B233,1,1),"x0x1x2x3x4x5x6x7x8x9"))),OR(2&gt;LEN(B233),MID(B233,2,1)=".",ISNUMBER(FIND("x"&amp;MID(B233,2,1),"x0x1x2x3x4x5x6x7x8x9"))),OR(3&gt;LEN(B233),MID(B233,3,1)=".",ISNUMBER(FIND("x"&amp;MID(B233,3,1),"x0x1x2x3x4x5x6x7x8x9"))),OR(4&gt;LEN(B233),MID(B233,4,1)=".",ISNUMBER(FIND("x"&amp;MID(B233,4,1),"x0x1x2x3x4x5x6x7x8x9"))),OR(5&gt;LEN(B233),MID(B233,5,1)=".",ISNUMBER(FIND("x"&amp;MID(B233,5,1),"x0x1x2x3x4x5x6x7x8x9"))),OR(6&gt;LEN(B233),MID(B233,6,1)=".",ISNUMBER(FIND("x"&amp;MID(B233,6,1),"x0x1x2x3x4x5x6x7x8x9"))),OR(7&gt;LEN(B233),MID(B233,7,1)=".",ISNUMBER(FIND("x"&amp;MID(B233,7,1),"x0x1x2x3x4x5x6x7x8x9"))),OR(8&gt;LEN(B233),MID(B233,8,1)=".",ISNUMBER(FIND("x"&amp;MID(B233,8,1),"x0x1x2x3x4x5x6x7x8x9"))),OR(9&gt;LEN(B233),MID(B233,9,1)=".",ISNUMBER(FIND("x"&amp;MID(B233,9,1),"x0x1x2x3x4x5x6x7x8x9"))),OR(10&gt;LEN(B233),MID(B233,10,1)=".",ISNUMBER(FIND("x"&amp;MID(B233,10,1),"x0x1x2x3x4x5x6x7x8x9"))),OR(AND(FIND(".",B233)=5,LEN(B233)-FIND(".",B233,FIND(".",B233)+1)&gt;=1,LEN(B233)-FIND(".",B233,FIND(".",B233)+1)&lt;=2),AND(LEN(B233)-FIND(".",B233,FIND(".",B233)+1)=4,FIND(".",B233)&gt;=2,FIND(".",B233)&lt;=3)),FIND(".",B233,FIND(".",B233)+1)-FIND(".",B233)&gt;=2,FIND(".",B233,FIND(".",B233)+1)-FIND(".",B233)&lt;=3,F233&gt;=2000,F233&lt;=2100,YEAR(I233)=F233,MONTH(I233)=G233,DAY(I233)=H233),I233,0)),0)</ns0:f>
        <ns0:v>0</ns0:v>
      </ns0:c>
      <ns0:c r="K233" s="0">
        <ns0:f>IFERROR(IF(ISNUMBER(Bookings!D233),"",TRIM(Bookings!D233&amp;"")),"")</ns0:f>
      </ns0:c>
      <ns0:c r="L233" s="0">
        <ns0:f>IFERROR(SUBSTITUTE(SUBSTITUTE(K233,"/","."),"-","."),"")</ns0:f>
      </ns0:c>
      <ns0:c r="M233" s="0">
        <ns0:f>IFERROR(LEFT(L233,FIND(".",L233)-1),"")</ns0:f>
      </ns0:c>
      <ns0:c r="N233" s="0">
        <ns0:f>IFERROR(MID(L233,FIND(".",L233)+1,FIND(".",L233,FIND(".",L233)+1)-FIND(".",L233)-1),"")</ns0:f>
      </ns0:c>
      <ns0:c r="O233" s="0">
        <ns0:f>IFERROR(MID(L233,FIND(".",L233,FIND(".",L233)+1)+1,99),"")</ns0:f>
        <ns0:v>99</ns0:v>
      </ns0:c>
      <ns0:c r="P233" s="0">
        <ns0:f>IFERROR(IF(FIND(".",L233)=5,--M233,--O233),0)</ns0:f>
        <ns0:v>0</ns0:v>
      </ns0:c>
      <ns0:c r="Q233" s="0">
        <ns0:f>IFERROR(--N233,0)</ns0:f>
        <ns0:v>0</ns0:v>
      </ns0:c>
      <ns0:c r="R233" s="0">
        <ns0:f>IFERROR(IF(FIND(".",L233)=5,--O233,--M233),0)</ns0:f>
        <ns0:v>0</ns0:v>
      </ns0:c>
      <ns0:c r="S233" s="0">
        <ns0:f>IFERROR(IF(AND(P233&gt;=2000,P233&lt;=2100,Q233&gt;=1,Q233&lt;=12,R233&gt;=1,R233&lt;=31),DATE(P233,Q233,R233),0),0)</ns0:f>
        <ns0:v>0</ns0:v>
      </ns0:c>
      <ns0:c r="T233" s="0">
        <ns0:f>IFERROR(IF(ISNUMBER(Bookings!D233),IF(AND(Bookings!D233=INT(Bookings!D233),Bookings!D233&gt;=DATE(2000,1,1),Bookings!D233&lt;=DATE(2100,12,31)),Bookings!D233,0),IF(AND(K233&lt;&gt;"",LEN("x"&amp;L233)-LEN(SUBSTITUTE("x"&amp;L233,".",""))=2,OR(1&gt;LEN(L233),MID(L233,1,1)=".",ISNUMBER(FIND("x"&amp;MID(L233,1,1),"x0x1x2x3x4x5x6x7x8x9"))),OR(2&gt;LEN(L233),MID(L233,2,1)=".",ISNUMBER(FIND("x"&amp;MID(L233,2,1),"x0x1x2x3x4x5x6x7x8x9"))),OR(3&gt;LEN(L233),MID(L233,3,1)=".",ISNUMBER(FIND("x"&amp;MID(L233,3,1),"x0x1x2x3x4x5x6x7x8x9"))),OR(4&gt;LEN(L233),MID(L233,4,1)=".",ISNUMBER(FIND("x"&amp;MID(L233,4,1),"x0x1x2x3x4x5x6x7x8x9"))),OR(5&gt;LEN(L233),MID(L233,5,1)=".",ISNUMBER(FIND("x"&amp;MID(L233,5,1),"x0x1x2x3x4x5x6x7x8x9"))),OR(6&gt;LEN(L233),MID(L233,6,1)=".",ISNUMBER(FIND("x"&amp;MID(L233,6,1),"x0x1x2x3x4x5x6x7x8x9"))),OR(7&gt;LEN(L233),MID(L233,7,1)=".",ISNUMBER(FIND("x"&amp;MID(L233,7,1),"x0x1x2x3x4x5x6x7x8x9"))),OR(8&gt;LEN(L233),MID(L233,8,1)=".",ISNUMBER(FIND("x"&amp;MID(L233,8,1),"x0x1x2x3x4x5x6x7x8x9"))),OR(9&gt;LEN(L233),MID(L233,9,1)=".",ISNUMBER(FIND("x"&amp;MID(L233,9,1),"x0x1x2x3x4x5x6x7x8x9"))),OR(10&gt;LEN(L233),MID(L233,10,1)=".",ISNUMBER(FIND("x"&amp;MID(L233,10,1),"x0x1x2x3x4x5x6x7x8x9"))),OR(AND(FIND(".",L233)=5,LEN(L233)-FIND(".",L233,FIND(".",L233)+1)&gt;=1,LEN(L233)-FIND(".",L233,FIND(".",L233)+1)&lt;=2),AND(LEN(L233)-FIND(".",L233,FIND(".",L233)+1)=4,FIND(".",L233)&gt;=2,FIND(".",L233)&lt;=3)),FIND(".",L233,FIND(".",L233)+1)-FIND(".",L233)&gt;=2,FIND(".",L233,FIND(".",L233)+1)-FIND(".",L233)&lt;=3,P233&gt;=2000,P233&lt;=2100,YEAR(S233)=P233,MONTH(S233)=Q233,DAY(S233)=R233),S233,0)),0)</ns0:f>
        <ns0:v>0</ns0:v>
      </ns0:c>
      <ns0:c r="U233" s="0" t="str">
        <ns0:f>IF(Bookings!C233="","Full day",Bookings!C233)</ns0:f>
        <ns0:v>Full day</ns0:v>
      </ns0:c>
      <ns0:c r="V233" s="0" t="str">
        <ns0:f>IF(Bookings!E233="","Full day",Bookings!E233)</ns0:f>
        <ns0:v>Full day</ns0:v>
      </ns0:c>
      <ns0:c r="W233" s="0">
        <ns0:f>IF(J233=0,0,J233+IF(U233="PM",1,0))</ns0:f>
        <ns0:v>0</ns0:v>
      </ns0:c>
      <ns0:c r="X233" s="0">
        <ns0:f>IF(T233=0,0,T233-IF(V233="PM",1,0))</ns0:f>
        <ns0:v>0</ns0:v>
      </ns0:c>
      <ns0:c r="Y233" s="0">
        <ns0:f>IF(J233=0,0,J233+IF(U233="AM",1,0))</ns0:f>
        <ns0:v>0</ns0:v>
      </ns0:c>
      <ns0:c r="Z233" s="0">
        <ns0:f>IF(T233=0,0,T233-IF(V233="AM",1,0))</ns0:f>
        <ns0:v>0</ns0:v>
      </ns0:c>
      <ns0:c r="AA233" s="0">
        <ns0:f>IFERROR(IF(AND(J233&gt;0,'_Engine'!C233&gt;0,MID('_Engine'!W233,WEEKDAY(J233,2),1)="W",COUNTIF(Settings!$F$18:$F$67,J233)=0),1,0),0)</ns0:f>
        <ns0:v>0</ns0:v>
      </ns0:c>
      <ns0:c r="AB233" s="0">
        <ns0:f>IFERROR(IF(AND(T233&gt;0,'_Engine'!C233&gt;0,MID('_Engine'!W233,WEEKDAY(T233,2),1)="W",COUNTIF(Settings!$F$18:$F$67,T233)=0),1,0),0)</ns0:f>
        <ns0:v>0</ns0:v>
      </ns0:c>
      <ns0:c r="AC233" s="0">
        <ns0:f>IF(AND(J233&gt;0,T233&gt;0,W233&lt;=X233),1,0)</ns0:f>
        <ns0:v>0</ns0:v>
      </ns0:c>
      <ns0:c r="AD233" s="0">
        <ns0:f>IF(AND(J233&gt;0,T233&gt;0,Y233&lt;=Z233),1,0)</ns0:f>
        <ns0:v>0</ns0:v>
      </ns0:c>
    </ns0:row>
    <ns0:row r="234">
      <ns0:c r="A234" s="0">
        <ns0:f>IFERROR(IF(ISNUMBER(Bookings!B234),"",TRIM(Bookings!B234&amp;"")),"")</ns0:f>
      </ns0:c>
      <ns0:c r="B234" s="0">
        <ns0:f>IFERROR(SUBSTITUTE(SUBSTITUTE(A234,"/","."),"-","."),"")</ns0:f>
      </ns0:c>
      <ns0:c r="C234" s="0">
        <ns0:f>IFERROR(LEFT(B234,FIND(".",B234)-1),"")</ns0:f>
      </ns0:c>
      <ns0:c r="D234" s="0">
        <ns0:f>IFERROR(MID(B234,FIND(".",B234)+1,FIND(".",B234,FIND(".",B234)+1)-FIND(".",B234)-1),"")</ns0:f>
      </ns0:c>
      <ns0:c r="E234" s="0">
        <ns0:f>IFERROR(MID(B234,FIND(".",B234,FIND(".",B234)+1)+1,99),"")</ns0:f>
        <ns0:v>99</ns0:v>
      </ns0:c>
      <ns0:c r="F234" s="0">
        <ns0:f>IFERROR(IF(FIND(".",B234)=5,--C234,--E234),0)</ns0:f>
        <ns0:v>0</ns0:v>
      </ns0:c>
      <ns0:c r="G234" s="0">
        <ns0:f>IFERROR(--D234,0)</ns0:f>
        <ns0:v>0</ns0:v>
      </ns0:c>
      <ns0:c r="H234" s="0">
        <ns0:f>IFERROR(IF(FIND(".",B234)=5,--E234,--C234),0)</ns0:f>
        <ns0:v>0</ns0:v>
      </ns0:c>
      <ns0:c r="I234" s="0">
        <ns0:f>IFERROR(IF(AND(F234&gt;=2000,F234&lt;=2100,G234&gt;=1,G234&lt;=12,H234&gt;=1,H234&lt;=31),DATE(F234,G234,H234),0),0)</ns0:f>
        <ns0:v>0</ns0:v>
      </ns0:c>
      <ns0:c r="J234" s="0">
        <ns0:f>IFERROR(IF(ISNUMBER(Bookings!B234),IF(AND(Bookings!B234=INT(Bookings!B234),Bookings!B234&gt;=DATE(2000,1,1),Bookings!B234&lt;=DATE(2100,12,31)),Bookings!B234,0),IF(AND(A234&lt;&gt;"",LEN("x"&amp;B234)-LEN(SUBSTITUTE("x"&amp;B234,".",""))=2,OR(1&gt;LEN(B234),MID(B234,1,1)=".",ISNUMBER(FIND("x"&amp;MID(B234,1,1),"x0x1x2x3x4x5x6x7x8x9"))),OR(2&gt;LEN(B234),MID(B234,2,1)=".",ISNUMBER(FIND("x"&amp;MID(B234,2,1),"x0x1x2x3x4x5x6x7x8x9"))),OR(3&gt;LEN(B234),MID(B234,3,1)=".",ISNUMBER(FIND("x"&amp;MID(B234,3,1),"x0x1x2x3x4x5x6x7x8x9"))),OR(4&gt;LEN(B234),MID(B234,4,1)=".",ISNUMBER(FIND("x"&amp;MID(B234,4,1),"x0x1x2x3x4x5x6x7x8x9"))),OR(5&gt;LEN(B234),MID(B234,5,1)=".",ISNUMBER(FIND("x"&amp;MID(B234,5,1),"x0x1x2x3x4x5x6x7x8x9"))),OR(6&gt;LEN(B234),MID(B234,6,1)=".",ISNUMBER(FIND("x"&amp;MID(B234,6,1),"x0x1x2x3x4x5x6x7x8x9"))),OR(7&gt;LEN(B234),MID(B234,7,1)=".",ISNUMBER(FIND("x"&amp;MID(B234,7,1),"x0x1x2x3x4x5x6x7x8x9"))),OR(8&gt;LEN(B234),MID(B234,8,1)=".",ISNUMBER(FIND("x"&amp;MID(B234,8,1),"x0x1x2x3x4x5x6x7x8x9"))),OR(9&gt;LEN(B234),MID(B234,9,1)=".",ISNUMBER(FIND("x"&amp;MID(B234,9,1),"x0x1x2x3x4x5x6x7x8x9"))),OR(10&gt;LEN(B234),MID(B234,10,1)=".",ISNUMBER(FIND("x"&amp;MID(B234,10,1),"x0x1x2x3x4x5x6x7x8x9"))),OR(AND(FIND(".",B234)=5,LEN(B234)-FIND(".",B234,FIND(".",B234)+1)&gt;=1,LEN(B234)-FIND(".",B234,FIND(".",B234)+1)&lt;=2),AND(LEN(B234)-FIND(".",B234,FIND(".",B234)+1)=4,FIND(".",B234)&gt;=2,FIND(".",B234)&lt;=3)),FIND(".",B234,FIND(".",B234)+1)-FIND(".",B234)&gt;=2,FIND(".",B234,FIND(".",B234)+1)-FIND(".",B234)&lt;=3,F234&gt;=2000,F234&lt;=2100,YEAR(I234)=F234,MONTH(I234)=G234,DAY(I234)=H234),I234,0)),0)</ns0:f>
        <ns0:v>0</ns0:v>
      </ns0:c>
      <ns0:c r="K234" s="0">
        <ns0:f>IFERROR(IF(ISNUMBER(Bookings!D234),"",TRIM(Bookings!D234&amp;"")),"")</ns0:f>
      </ns0:c>
      <ns0:c r="L234" s="0">
        <ns0:f>IFERROR(SUBSTITUTE(SUBSTITUTE(K234,"/","."),"-","."),"")</ns0:f>
      </ns0:c>
      <ns0:c r="M234" s="0">
        <ns0:f>IFERROR(LEFT(L234,FIND(".",L234)-1),"")</ns0:f>
      </ns0:c>
      <ns0:c r="N234" s="0">
        <ns0:f>IFERROR(MID(L234,FIND(".",L234)+1,FIND(".",L234,FIND(".",L234)+1)-FIND(".",L234)-1),"")</ns0:f>
      </ns0:c>
      <ns0:c r="O234" s="0">
        <ns0:f>IFERROR(MID(L234,FIND(".",L234,FIND(".",L234)+1)+1,99),"")</ns0:f>
        <ns0:v>99</ns0:v>
      </ns0:c>
      <ns0:c r="P234" s="0">
        <ns0:f>IFERROR(IF(FIND(".",L234)=5,--M234,--O234),0)</ns0:f>
        <ns0:v>0</ns0:v>
      </ns0:c>
      <ns0:c r="Q234" s="0">
        <ns0:f>IFERROR(--N234,0)</ns0:f>
        <ns0:v>0</ns0:v>
      </ns0:c>
      <ns0:c r="R234" s="0">
        <ns0:f>IFERROR(IF(FIND(".",L234)=5,--O234,--M234),0)</ns0:f>
        <ns0:v>0</ns0:v>
      </ns0:c>
      <ns0:c r="S234" s="0">
        <ns0:f>IFERROR(IF(AND(P234&gt;=2000,P234&lt;=2100,Q234&gt;=1,Q234&lt;=12,R234&gt;=1,R234&lt;=31),DATE(P234,Q234,R234),0),0)</ns0:f>
        <ns0:v>0</ns0:v>
      </ns0:c>
      <ns0:c r="T234" s="0">
        <ns0:f>IFERROR(IF(ISNUMBER(Bookings!D234),IF(AND(Bookings!D234=INT(Bookings!D234),Bookings!D234&gt;=DATE(2000,1,1),Bookings!D234&lt;=DATE(2100,12,31)),Bookings!D234,0),IF(AND(K234&lt;&gt;"",LEN("x"&amp;L234)-LEN(SUBSTITUTE("x"&amp;L234,".",""))=2,OR(1&gt;LEN(L234),MID(L234,1,1)=".",ISNUMBER(FIND("x"&amp;MID(L234,1,1),"x0x1x2x3x4x5x6x7x8x9"))),OR(2&gt;LEN(L234),MID(L234,2,1)=".",ISNUMBER(FIND("x"&amp;MID(L234,2,1),"x0x1x2x3x4x5x6x7x8x9"))),OR(3&gt;LEN(L234),MID(L234,3,1)=".",ISNUMBER(FIND("x"&amp;MID(L234,3,1),"x0x1x2x3x4x5x6x7x8x9"))),OR(4&gt;LEN(L234),MID(L234,4,1)=".",ISNUMBER(FIND("x"&amp;MID(L234,4,1),"x0x1x2x3x4x5x6x7x8x9"))),OR(5&gt;LEN(L234),MID(L234,5,1)=".",ISNUMBER(FIND("x"&amp;MID(L234,5,1),"x0x1x2x3x4x5x6x7x8x9"))),OR(6&gt;LEN(L234),MID(L234,6,1)=".",ISNUMBER(FIND("x"&amp;MID(L234,6,1),"x0x1x2x3x4x5x6x7x8x9"))),OR(7&gt;LEN(L234),MID(L234,7,1)=".",ISNUMBER(FIND("x"&amp;MID(L234,7,1),"x0x1x2x3x4x5x6x7x8x9"))),OR(8&gt;LEN(L234),MID(L234,8,1)=".",ISNUMBER(FIND("x"&amp;MID(L234,8,1),"x0x1x2x3x4x5x6x7x8x9"))),OR(9&gt;LEN(L234),MID(L234,9,1)=".",ISNUMBER(FIND("x"&amp;MID(L234,9,1),"x0x1x2x3x4x5x6x7x8x9"))),OR(10&gt;LEN(L234),MID(L234,10,1)=".",ISNUMBER(FIND("x"&amp;MID(L234,10,1),"x0x1x2x3x4x5x6x7x8x9"))),OR(AND(FIND(".",L234)=5,LEN(L234)-FIND(".",L234,FIND(".",L234)+1)&gt;=1,LEN(L234)-FIND(".",L234,FIND(".",L234)+1)&lt;=2),AND(LEN(L234)-FIND(".",L234,FIND(".",L234)+1)=4,FIND(".",L234)&gt;=2,FIND(".",L234)&lt;=3)),FIND(".",L234,FIND(".",L234)+1)-FIND(".",L234)&gt;=2,FIND(".",L234,FIND(".",L234)+1)-FIND(".",L234)&lt;=3,P234&gt;=2000,P234&lt;=2100,YEAR(S234)=P234,MONTH(S234)=Q234,DAY(S234)=R234),S234,0)),0)</ns0:f>
        <ns0:v>0</ns0:v>
      </ns0:c>
      <ns0:c r="U234" s="0" t="str">
        <ns0:f>IF(Bookings!C234="","Full day",Bookings!C234)</ns0:f>
        <ns0:v>Full day</ns0:v>
      </ns0:c>
      <ns0:c r="V234" s="0" t="str">
        <ns0:f>IF(Bookings!E234="","Full day",Bookings!E234)</ns0:f>
        <ns0:v>Full day</ns0:v>
      </ns0:c>
      <ns0:c r="W234" s="0">
        <ns0:f>IF(J234=0,0,J234+IF(U234="PM",1,0))</ns0:f>
        <ns0:v>0</ns0:v>
      </ns0:c>
      <ns0:c r="X234" s="0">
        <ns0:f>IF(T234=0,0,T234-IF(V234="PM",1,0))</ns0:f>
        <ns0:v>0</ns0:v>
      </ns0:c>
      <ns0:c r="Y234" s="0">
        <ns0:f>IF(J234=0,0,J234+IF(U234="AM",1,0))</ns0:f>
        <ns0:v>0</ns0:v>
      </ns0:c>
      <ns0:c r="Z234" s="0">
        <ns0:f>IF(T234=0,0,T234-IF(V234="AM",1,0))</ns0:f>
        <ns0:v>0</ns0:v>
      </ns0:c>
      <ns0:c r="AA234" s="0">
        <ns0:f>IFERROR(IF(AND(J234&gt;0,'_Engine'!C234&gt;0,MID('_Engine'!W234,WEEKDAY(J234,2),1)="W",COUNTIF(Settings!$F$18:$F$67,J234)=0),1,0),0)</ns0:f>
        <ns0:v>0</ns0:v>
      </ns0:c>
      <ns0:c r="AB234" s="0">
        <ns0:f>IFERROR(IF(AND(T234&gt;0,'_Engine'!C234&gt;0,MID('_Engine'!W234,WEEKDAY(T234,2),1)="W",COUNTIF(Settings!$F$18:$F$67,T234)=0),1,0),0)</ns0:f>
        <ns0:v>0</ns0:v>
      </ns0:c>
      <ns0:c r="AC234" s="0">
        <ns0:f>IF(AND(J234&gt;0,T234&gt;0,W234&lt;=X234),1,0)</ns0:f>
        <ns0:v>0</ns0:v>
      </ns0:c>
      <ns0:c r="AD234" s="0">
        <ns0:f>IF(AND(J234&gt;0,T234&gt;0,Y234&lt;=Z234),1,0)</ns0:f>
        <ns0:v>0</ns0:v>
      </ns0:c>
    </ns0:row>
    <ns0:row r="235">
      <ns0:c r="A235" s="0">
        <ns0:f>IFERROR(IF(ISNUMBER(Bookings!B235),"",TRIM(Bookings!B235&amp;"")),"")</ns0:f>
      </ns0:c>
      <ns0:c r="B235" s="0">
        <ns0:f>IFERROR(SUBSTITUTE(SUBSTITUTE(A235,"/","."),"-","."),"")</ns0:f>
      </ns0:c>
      <ns0:c r="C235" s="0">
        <ns0:f>IFERROR(LEFT(B235,FIND(".",B235)-1),"")</ns0:f>
      </ns0:c>
      <ns0:c r="D235" s="0">
        <ns0:f>IFERROR(MID(B235,FIND(".",B235)+1,FIND(".",B235,FIND(".",B235)+1)-FIND(".",B235)-1),"")</ns0:f>
      </ns0:c>
      <ns0:c r="E235" s="0">
        <ns0:f>IFERROR(MID(B235,FIND(".",B235,FIND(".",B235)+1)+1,99),"")</ns0:f>
        <ns0:v>99</ns0:v>
      </ns0:c>
      <ns0:c r="F235" s="0">
        <ns0:f>IFERROR(IF(FIND(".",B235)=5,--C235,--E235),0)</ns0:f>
        <ns0:v>0</ns0:v>
      </ns0:c>
      <ns0:c r="G235" s="0">
        <ns0:f>IFERROR(--D235,0)</ns0:f>
        <ns0:v>0</ns0:v>
      </ns0:c>
      <ns0:c r="H235" s="0">
        <ns0:f>IFERROR(IF(FIND(".",B235)=5,--E235,--C235),0)</ns0:f>
        <ns0:v>0</ns0:v>
      </ns0:c>
      <ns0:c r="I235" s="0">
        <ns0:f>IFERROR(IF(AND(F235&gt;=2000,F235&lt;=2100,G235&gt;=1,G235&lt;=12,H235&gt;=1,H235&lt;=31),DATE(F235,G235,H235),0),0)</ns0:f>
        <ns0:v>0</ns0:v>
      </ns0:c>
      <ns0:c r="J235" s="0">
        <ns0:f>IFERROR(IF(ISNUMBER(Bookings!B235),IF(AND(Bookings!B235=INT(Bookings!B235),Bookings!B235&gt;=DATE(2000,1,1),Bookings!B235&lt;=DATE(2100,12,31)),Bookings!B235,0),IF(AND(A235&lt;&gt;"",LEN("x"&amp;B235)-LEN(SUBSTITUTE("x"&amp;B235,".",""))=2,OR(1&gt;LEN(B235),MID(B235,1,1)=".",ISNUMBER(FIND("x"&amp;MID(B235,1,1),"x0x1x2x3x4x5x6x7x8x9"))),OR(2&gt;LEN(B235),MID(B235,2,1)=".",ISNUMBER(FIND("x"&amp;MID(B235,2,1),"x0x1x2x3x4x5x6x7x8x9"))),OR(3&gt;LEN(B235),MID(B235,3,1)=".",ISNUMBER(FIND("x"&amp;MID(B235,3,1),"x0x1x2x3x4x5x6x7x8x9"))),OR(4&gt;LEN(B235),MID(B235,4,1)=".",ISNUMBER(FIND("x"&amp;MID(B235,4,1),"x0x1x2x3x4x5x6x7x8x9"))),OR(5&gt;LEN(B235),MID(B235,5,1)=".",ISNUMBER(FIND("x"&amp;MID(B235,5,1),"x0x1x2x3x4x5x6x7x8x9"))),OR(6&gt;LEN(B235),MID(B235,6,1)=".",ISNUMBER(FIND("x"&amp;MID(B235,6,1),"x0x1x2x3x4x5x6x7x8x9"))),OR(7&gt;LEN(B235),MID(B235,7,1)=".",ISNUMBER(FIND("x"&amp;MID(B235,7,1),"x0x1x2x3x4x5x6x7x8x9"))),OR(8&gt;LEN(B235),MID(B235,8,1)=".",ISNUMBER(FIND("x"&amp;MID(B235,8,1),"x0x1x2x3x4x5x6x7x8x9"))),OR(9&gt;LEN(B235),MID(B235,9,1)=".",ISNUMBER(FIND("x"&amp;MID(B235,9,1),"x0x1x2x3x4x5x6x7x8x9"))),OR(10&gt;LEN(B235),MID(B235,10,1)=".",ISNUMBER(FIND("x"&amp;MID(B235,10,1),"x0x1x2x3x4x5x6x7x8x9"))),OR(AND(FIND(".",B235)=5,LEN(B235)-FIND(".",B235,FIND(".",B235)+1)&gt;=1,LEN(B235)-FIND(".",B235,FIND(".",B235)+1)&lt;=2),AND(LEN(B235)-FIND(".",B235,FIND(".",B235)+1)=4,FIND(".",B235)&gt;=2,FIND(".",B235)&lt;=3)),FIND(".",B235,FIND(".",B235)+1)-FIND(".",B235)&gt;=2,FIND(".",B235,FIND(".",B235)+1)-FIND(".",B235)&lt;=3,F235&gt;=2000,F235&lt;=2100,YEAR(I235)=F235,MONTH(I235)=G235,DAY(I235)=H235),I235,0)),0)</ns0:f>
        <ns0:v>0</ns0:v>
      </ns0:c>
      <ns0:c r="K235" s="0">
        <ns0:f>IFERROR(IF(ISNUMBER(Bookings!D235),"",TRIM(Bookings!D235&amp;"")),"")</ns0:f>
      </ns0:c>
      <ns0:c r="L235" s="0">
        <ns0:f>IFERROR(SUBSTITUTE(SUBSTITUTE(K235,"/","."),"-","."),"")</ns0:f>
      </ns0:c>
      <ns0:c r="M235" s="0">
        <ns0:f>IFERROR(LEFT(L235,FIND(".",L235)-1),"")</ns0:f>
      </ns0:c>
      <ns0:c r="N235" s="0">
        <ns0:f>IFERROR(MID(L235,FIND(".",L235)+1,FIND(".",L235,FIND(".",L235)+1)-FIND(".",L235)-1),"")</ns0:f>
      </ns0:c>
      <ns0:c r="O235" s="0">
        <ns0:f>IFERROR(MID(L235,FIND(".",L235,FIND(".",L235)+1)+1,99),"")</ns0:f>
        <ns0:v>99</ns0:v>
      </ns0:c>
      <ns0:c r="P235" s="0">
        <ns0:f>IFERROR(IF(FIND(".",L235)=5,--M235,--O235),0)</ns0:f>
        <ns0:v>0</ns0:v>
      </ns0:c>
      <ns0:c r="Q235" s="0">
        <ns0:f>IFERROR(--N235,0)</ns0:f>
        <ns0:v>0</ns0:v>
      </ns0:c>
      <ns0:c r="R235" s="0">
        <ns0:f>IFERROR(IF(FIND(".",L235)=5,--O235,--M235),0)</ns0:f>
        <ns0:v>0</ns0:v>
      </ns0:c>
      <ns0:c r="S235" s="0">
        <ns0:f>IFERROR(IF(AND(P235&gt;=2000,P235&lt;=2100,Q235&gt;=1,Q235&lt;=12,R235&gt;=1,R235&lt;=31),DATE(P235,Q235,R235),0),0)</ns0:f>
        <ns0:v>0</ns0:v>
      </ns0:c>
      <ns0:c r="T235" s="0">
        <ns0:f>IFERROR(IF(ISNUMBER(Bookings!D235),IF(AND(Bookings!D235=INT(Bookings!D235),Bookings!D235&gt;=DATE(2000,1,1),Bookings!D235&lt;=DATE(2100,12,31)),Bookings!D235,0),IF(AND(K235&lt;&gt;"",LEN("x"&amp;L235)-LEN(SUBSTITUTE("x"&amp;L235,".",""))=2,OR(1&gt;LEN(L235),MID(L235,1,1)=".",ISNUMBER(FIND("x"&amp;MID(L235,1,1),"x0x1x2x3x4x5x6x7x8x9"))),OR(2&gt;LEN(L235),MID(L235,2,1)=".",ISNUMBER(FIND("x"&amp;MID(L235,2,1),"x0x1x2x3x4x5x6x7x8x9"))),OR(3&gt;LEN(L235),MID(L235,3,1)=".",ISNUMBER(FIND("x"&amp;MID(L235,3,1),"x0x1x2x3x4x5x6x7x8x9"))),OR(4&gt;LEN(L235),MID(L235,4,1)=".",ISNUMBER(FIND("x"&amp;MID(L235,4,1),"x0x1x2x3x4x5x6x7x8x9"))),OR(5&gt;LEN(L235),MID(L235,5,1)=".",ISNUMBER(FIND("x"&amp;MID(L235,5,1),"x0x1x2x3x4x5x6x7x8x9"))),OR(6&gt;LEN(L235),MID(L235,6,1)=".",ISNUMBER(FIND("x"&amp;MID(L235,6,1),"x0x1x2x3x4x5x6x7x8x9"))),OR(7&gt;LEN(L235),MID(L235,7,1)=".",ISNUMBER(FIND("x"&amp;MID(L235,7,1),"x0x1x2x3x4x5x6x7x8x9"))),OR(8&gt;LEN(L235),MID(L235,8,1)=".",ISNUMBER(FIND("x"&amp;MID(L235,8,1),"x0x1x2x3x4x5x6x7x8x9"))),OR(9&gt;LEN(L235),MID(L235,9,1)=".",ISNUMBER(FIND("x"&amp;MID(L235,9,1),"x0x1x2x3x4x5x6x7x8x9"))),OR(10&gt;LEN(L235),MID(L235,10,1)=".",ISNUMBER(FIND("x"&amp;MID(L235,10,1),"x0x1x2x3x4x5x6x7x8x9"))),OR(AND(FIND(".",L235)=5,LEN(L235)-FIND(".",L235,FIND(".",L235)+1)&gt;=1,LEN(L235)-FIND(".",L235,FIND(".",L235)+1)&lt;=2),AND(LEN(L235)-FIND(".",L235,FIND(".",L235)+1)=4,FIND(".",L235)&gt;=2,FIND(".",L235)&lt;=3)),FIND(".",L235,FIND(".",L235)+1)-FIND(".",L235)&gt;=2,FIND(".",L235,FIND(".",L235)+1)-FIND(".",L235)&lt;=3,P235&gt;=2000,P235&lt;=2100,YEAR(S235)=P235,MONTH(S235)=Q235,DAY(S235)=R235),S235,0)),0)</ns0:f>
        <ns0:v>0</ns0:v>
      </ns0:c>
      <ns0:c r="U235" s="0" t="str">
        <ns0:f>IF(Bookings!C235="","Full day",Bookings!C235)</ns0:f>
        <ns0:v>Full day</ns0:v>
      </ns0:c>
      <ns0:c r="V235" s="0" t="str">
        <ns0:f>IF(Bookings!E235="","Full day",Bookings!E235)</ns0:f>
        <ns0:v>Full day</ns0:v>
      </ns0:c>
      <ns0:c r="W235" s="0">
        <ns0:f>IF(J235=0,0,J235+IF(U235="PM",1,0))</ns0:f>
        <ns0:v>0</ns0:v>
      </ns0:c>
      <ns0:c r="X235" s="0">
        <ns0:f>IF(T235=0,0,T235-IF(V235="PM",1,0))</ns0:f>
        <ns0:v>0</ns0:v>
      </ns0:c>
      <ns0:c r="Y235" s="0">
        <ns0:f>IF(J235=0,0,J235+IF(U235="AM",1,0))</ns0:f>
        <ns0:v>0</ns0:v>
      </ns0:c>
      <ns0:c r="Z235" s="0">
        <ns0:f>IF(T235=0,0,T235-IF(V235="AM",1,0))</ns0:f>
        <ns0:v>0</ns0:v>
      </ns0:c>
      <ns0:c r="AA235" s="0">
        <ns0:f>IFERROR(IF(AND(J235&gt;0,'_Engine'!C235&gt;0,MID('_Engine'!W235,WEEKDAY(J235,2),1)="W",COUNTIF(Settings!$F$18:$F$67,J235)=0),1,0),0)</ns0:f>
        <ns0:v>0</ns0:v>
      </ns0:c>
      <ns0:c r="AB235" s="0">
        <ns0:f>IFERROR(IF(AND(T235&gt;0,'_Engine'!C235&gt;0,MID('_Engine'!W235,WEEKDAY(T235,2),1)="W",COUNTIF(Settings!$F$18:$F$67,T235)=0),1,0),0)</ns0:f>
        <ns0:v>0</ns0:v>
      </ns0:c>
      <ns0:c r="AC235" s="0">
        <ns0:f>IF(AND(J235&gt;0,T235&gt;0,W235&lt;=X235),1,0)</ns0:f>
        <ns0:v>0</ns0:v>
      </ns0:c>
      <ns0:c r="AD235" s="0">
        <ns0:f>IF(AND(J235&gt;0,T235&gt;0,Y235&lt;=Z235),1,0)</ns0:f>
        <ns0:v>0</ns0:v>
      </ns0:c>
    </ns0:row>
    <ns0:row r="236">
      <ns0:c r="A236" s="0">
        <ns0:f>IFERROR(IF(ISNUMBER(Bookings!B236),"",TRIM(Bookings!B236&amp;"")),"")</ns0:f>
      </ns0:c>
      <ns0:c r="B236" s="0">
        <ns0:f>IFERROR(SUBSTITUTE(SUBSTITUTE(A236,"/","."),"-","."),"")</ns0:f>
      </ns0:c>
      <ns0:c r="C236" s="0">
        <ns0:f>IFERROR(LEFT(B236,FIND(".",B236)-1),"")</ns0:f>
      </ns0:c>
      <ns0:c r="D236" s="0">
        <ns0:f>IFERROR(MID(B236,FIND(".",B236)+1,FIND(".",B236,FIND(".",B236)+1)-FIND(".",B236)-1),"")</ns0:f>
      </ns0:c>
      <ns0:c r="E236" s="0">
        <ns0:f>IFERROR(MID(B236,FIND(".",B236,FIND(".",B236)+1)+1,99),"")</ns0:f>
        <ns0:v>99</ns0:v>
      </ns0:c>
      <ns0:c r="F236" s="0">
        <ns0:f>IFERROR(IF(FIND(".",B236)=5,--C236,--E236),0)</ns0:f>
        <ns0:v>0</ns0:v>
      </ns0:c>
      <ns0:c r="G236" s="0">
        <ns0:f>IFERROR(--D236,0)</ns0:f>
        <ns0:v>0</ns0:v>
      </ns0:c>
      <ns0:c r="H236" s="0">
        <ns0:f>IFERROR(IF(FIND(".",B236)=5,--E236,--C236),0)</ns0:f>
        <ns0:v>0</ns0:v>
      </ns0:c>
      <ns0:c r="I236" s="0">
        <ns0:f>IFERROR(IF(AND(F236&gt;=2000,F236&lt;=2100,G236&gt;=1,G236&lt;=12,H236&gt;=1,H236&lt;=31),DATE(F236,G236,H236),0),0)</ns0:f>
        <ns0:v>0</ns0:v>
      </ns0:c>
      <ns0:c r="J236" s="0">
        <ns0:f>IFERROR(IF(ISNUMBER(Bookings!B236),IF(AND(Bookings!B236=INT(Bookings!B236),Bookings!B236&gt;=DATE(2000,1,1),Bookings!B236&lt;=DATE(2100,12,31)),Bookings!B236,0),IF(AND(A236&lt;&gt;"",LEN("x"&amp;B236)-LEN(SUBSTITUTE("x"&amp;B236,".",""))=2,OR(1&gt;LEN(B236),MID(B236,1,1)=".",ISNUMBER(FIND("x"&amp;MID(B236,1,1),"x0x1x2x3x4x5x6x7x8x9"))),OR(2&gt;LEN(B236),MID(B236,2,1)=".",ISNUMBER(FIND("x"&amp;MID(B236,2,1),"x0x1x2x3x4x5x6x7x8x9"))),OR(3&gt;LEN(B236),MID(B236,3,1)=".",ISNUMBER(FIND("x"&amp;MID(B236,3,1),"x0x1x2x3x4x5x6x7x8x9"))),OR(4&gt;LEN(B236),MID(B236,4,1)=".",ISNUMBER(FIND("x"&amp;MID(B236,4,1),"x0x1x2x3x4x5x6x7x8x9"))),OR(5&gt;LEN(B236),MID(B236,5,1)=".",ISNUMBER(FIND("x"&amp;MID(B236,5,1),"x0x1x2x3x4x5x6x7x8x9"))),OR(6&gt;LEN(B236),MID(B236,6,1)=".",ISNUMBER(FIND("x"&amp;MID(B236,6,1),"x0x1x2x3x4x5x6x7x8x9"))),OR(7&gt;LEN(B236),MID(B236,7,1)=".",ISNUMBER(FIND("x"&amp;MID(B236,7,1),"x0x1x2x3x4x5x6x7x8x9"))),OR(8&gt;LEN(B236),MID(B236,8,1)=".",ISNUMBER(FIND("x"&amp;MID(B236,8,1),"x0x1x2x3x4x5x6x7x8x9"))),OR(9&gt;LEN(B236),MID(B236,9,1)=".",ISNUMBER(FIND("x"&amp;MID(B236,9,1),"x0x1x2x3x4x5x6x7x8x9"))),OR(10&gt;LEN(B236),MID(B236,10,1)=".",ISNUMBER(FIND("x"&amp;MID(B236,10,1),"x0x1x2x3x4x5x6x7x8x9"))),OR(AND(FIND(".",B236)=5,LEN(B236)-FIND(".",B236,FIND(".",B236)+1)&gt;=1,LEN(B236)-FIND(".",B236,FIND(".",B236)+1)&lt;=2),AND(LEN(B236)-FIND(".",B236,FIND(".",B236)+1)=4,FIND(".",B236)&gt;=2,FIND(".",B236)&lt;=3)),FIND(".",B236,FIND(".",B236)+1)-FIND(".",B236)&gt;=2,FIND(".",B236,FIND(".",B236)+1)-FIND(".",B236)&lt;=3,F236&gt;=2000,F236&lt;=2100,YEAR(I236)=F236,MONTH(I236)=G236,DAY(I236)=H236),I236,0)),0)</ns0:f>
        <ns0:v>0</ns0:v>
      </ns0:c>
      <ns0:c r="K236" s="0">
        <ns0:f>IFERROR(IF(ISNUMBER(Bookings!D236),"",TRIM(Bookings!D236&amp;"")),"")</ns0:f>
      </ns0:c>
      <ns0:c r="L236" s="0">
        <ns0:f>IFERROR(SUBSTITUTE(SUBSTITUTE(K236,"/","."),"-","."),"")</ns0:f>
      </ns0:c>
      <ns0:c r="M236" s="0">
        <ns0:f>IFERROR(LEFT(L236,FIND(".",L236)-1),"")</ns0:f>
      </ns0:c>
      <ns0:c r="N236" s="0">
        <ns0:f>IFERROR(MID(L236,FIND(".",L236)+1,FIND(".",L236,FIND(".",L236)+1)-FIND(".",L236)-1),"")</ns0:f>
      </ns0:c>
      <ns0:c r="O236" s="0">
        <ns0:f>IFERROR(MID(L236,FIND(".",L236,FIND(".",L236)+1)+1,99),"")</ns0:f>
        <ns0:v>99</ns0:v>
      </ns0:c>
      <ns0:c r="P236" s="0">
        <ns0:f>IFERROR(IF(FIND(".",L236)=5,--M236,--O236),0)</ns0:f>
        <ns0:v>0</ns0:v>
      </ns0:c>
      <ns0:c r="Q236" s="0">
        <ns0:f>IFERROR(--N236,0)</ns0:f>
        <ns0:v>0</ns0:v>
      </ns0:c>
      <ns0:c r="R236" s="0">
        <ns0:f>IFERROR(IF(FIND(".",L236)=5,--O236,--M236),0)</ns0:f>
        <ns0:v>0</ns0:v>
      </ns0:c>
      <ns0:c r="S236" s="0">
        <ns0:f>IFERROR(IF(AND(P236&gt;=2000,P236&lt;=2100,Q236&gt;=1,Q236&lt;=12,R236&gt;=1,R236&lt;=31),DATE(P236,Q236,R236),0),0)</ns0:f>
        <ns0:v>0</ns0:v>
      </ns0:c>
      <ns0:c r="T236" s="0">
        <ns0:f>IFERROR(IF(ISNUMBER(Bookings!D236),IF(AND(Bookings!D236=INT(Bookings!D236),Bookings!D236&gt;=DATE(2000,1,1),Bookings!D236&lt;=DATE(2100,12,31)),Bookings!D236,0),IF(AND(K236&lt;&gt;"",LEN("x"&amp;L236)-LEN(SUBSTITUTE("x"&amp;L236,".",""))=2,OR(1&gt;LEN(L236),MID(L236,1,1)=".",ISNUMBER(FIND("x"&amp;MID(L236,1,1),"x0x1x2x3x4x5x6x7x8x9"))),OR(2&gt;LEN(L236),MID(L236,2,1)=".",ISNUMBER(FIND("x"&amp;MID(L236,2,1),"x0x1x2x3x4x5x6x7x8x9"))),OR(3&gt;LEN(L236),MID(L236,3,1)=".",ISNUMBER(FIND("x"&amp;MID(L236,3,1),"x0x1x2x3x4x5x6x7x8x9"))),OR(4&gt;LEN(L236),MID(L236,4,1)=".",ISNUMBER(FIND("x"&amp;MID(L236,4,1),"x0x1x2x3x4x5x6x7x8x9"))),OR(5&gt;LEN(L236),MID(L236,5,1)=".",ISNUMBER(FIND("x"&amp;MID(L236,5,1),"x0x1x2x3x4x5x6x7x8x9"))),OR(6&gt;LEN(L236),MID(L236,6,1)=".",ISNUMBER(FIND("x"&amp;MID(L236,6,1),"x0x1x2x3x4x5x6x7x8x9"))),OR(7&gt;LEN(L236),MID(L236,7,1)=".",ISNUMBER(FIND("x"&amp;MID(L236,7,1),"x0x1x2x3x4x5x6x7x8x9"))),OR(8&gt;LEN(L236),MID(L236,8,1)=".",ISNUMBER(FIND("x"&amp;MID(L236,8,1),"x0x1x2x3x4x5x6x7x8x9"))),OR(9&gt;LEN(L236),MID(L236,9,1)=".",ISNUMBER(FIND("x"&amp;MID(L236,9,1),"x0x1x2x3x4x5x6x7x8x9"))),OR(10&gt;LEN(L236),MID(L236,10,1)=".",ISNUMBER(FIND("x"&amp;MID(L236,10,1),"x0x1x2x3x4x5x6x7x8x9"))),OR(AND(FIND(".",L236)=5,LEN(L236)-FIND(".",L236,FIND(".",L236)+1)&gt;=1,LEN(L236)-FIND(".",L236,FIND(".",L236)+1)&lt;=2),AND(LEN(L236)-FIND(".",L236,FIND(".",L236)+1)=4,FIND(".",L236)&gt;=2,FIND(".",L236)&lt;=3)),FIND(".",L236,FIND(".",L236)+1)-FIND(".",L236)&gt;=2,FIND(".",L236,FIND(".",L236)+1)-FIND(".",L236)&lt;=3,P236&gt;=2000,P236&lt;=2100,YEAR(S236)=P236,MONTH(S236)=Q236,DAY(S236)=R236),S236,0)),0)</ns0:f>
        <ns0:v>0</ns0:v>
      </ns0:c>
      <ns0:c r="U236" s="0" t="str">
        <ns0:f>IF(Bookings!C236="","Full day",Bookings!C236)</ns0:f>
        <ns0:v>Full day</ns0:v>
      </ns0:c>
      <ns0:c r="V236" s="0" t="str">
        <ns0:f>IF(Bookings!E236="","Full day",Bookings!E236)</ns0:f>
        <ns0:v>Full day</ns0:v>
      </ns0:c>
      <ns0:c r="W236" s="0">
        <ns0:f>IF(J236=0,0,J236+IF(U236="PM",1,0))</ns0:f>
        <ns0:v>0</ns0:v>
      </ns0:c>
      <ns0:c r="X236" s="0">
        <ns0:f>IF(T236=0,0,T236-IF(V236="PM",1,0))</ns0:f>
        <ns0:v>0</ns0:v>
      </ns0:c>
      <ns0:c r="Y236" s="0">
        <ns0:f>IF(J236=0,0,J236+IF(U236="AM",1,0))</ns0:f>
        <ns0:v>0</ns0:v>
      </ns0:c>
      <ns0:c r="Z236" s="0">
        <ns0:f>IF(T236=0,0,T236-IF(V236="AM",1,0))</ns0:f>
        <ns0:v>0</ns0:v>
      </ns0:c>
      <ns0:c r="AA236" s="0">
        <ns0:f>IFERROR(IF(AND(J236&gt;0,'_Engine'!C236&gt;0,MID('_Engine'!W236,WEEKDAY(J236,2),1)="W",COUNTIF(Settings!$F$18:$F$67,J236)=0),1,0),0)</ns0:f>
        <ns0:v>0</ns0:v>
      </ns0:c>
      <ns0:c r="AB236" s="0">
        <ns0:f>IFERROR(IF(AND(T236&gt;0,'_Engine'!C236&gt;0,MID('_Engine'!W236,WEEKDAY(T236,2),1)="W",COUNTIF(Settings!$F$18:$F$67,T236)=0),1,0),0)</ns0:f>
        <ns0:v>0</ns0:v>
      </ns0:c>
      <ns0:c r="AC236" s="0">
        <ns0:f>IF(AND(J236&gt;0,T236&gt;0,W236&lt;=X236),1,0)</ns0:f>
        <ns0:v>0</ns0:v>
      </ns0:c>
      <ns0:c r="AD236" s="0">
        <ns0:f>IF(AND(J236&gt;0,T236&gt;0,Y236&lt;=Z236),1,0)</ns0:f>
        <ns0:v>0</ns0:v>
      </ns0:c>
    </ns0:row>
    <ns0:row r="237">
      <ns0:c r="A237" s="0">
        <ns0:f>IFERROR(IF(ISNUMBER(Bookings!B237),"",TRIM(Bookings!B237&amp;"")),"")</ns0:f>
      </ns0:c>
      <ns0:c r="B237" s="0">
        <ns0:f>IFERROR(SUBSTITUTE(SUBSTITUTE(A237,"/","."),"-","."),"")</ns0:f>
      </ns0:c>
      <ns0:c r="C237" s="0">
        <ns0:f>IFERROR(LEFT(B237,FIND(".",B237)-1),"")</ns0:f>
      </ns0:c>
      <ns0:c r="D237" s="0">
        <ns0:f>IFERROR(MID(B237,FIND(".",B237)+1,FIND(".",B237,FIND(".",B237)+1)-FIND(".",B237)-1),"")</ns0:f>
      </ns0:c>
      <ns0:c r="E237" s="0">
        <ns0:f>IFERROR(MID(B237,FIND(".",B237,FIND(".",B237)+1)+1,99),"")</ns0:f>
        <ns0:v>99</ns0:v>
      </ns0:c>
      <ns0:c r="F237" s="0">
        <ns0:f>IFERROR(IF(FIND(".",B237)=5,--C237,--E237),0)</ns0:f>
        <ns0:v>0</ns0:v>
      </ns0:c>
      <ns0:c r="G237" s="0">
        <ns0:f>IFERROR(--D237,0)</ns0:f>
        <ns0:v>0</ns0:v>
      </ns0:c>
      <ns0:c r="H237" s="0">
        <ns0:f>IFERROR(IF(FIND(".",B237)=5,--E237,--C237),0)</ns0:f>
        <ns0:v>0</ns0:v>
      </ns0:c>
      <ns0:c r="I237" s="0">
        <ns0:f>IFERROR(IF(AND(F237&gt;=2000,F237&lt;=2100,G237&gt;=1,G237&lt;=12,H237&gt;=1,H237&lt;=31),DATE(F237,G237,H237),0),0)</ns0:f>
        <ns0:v>0</ns0:v>
      </ns0:c>
      <ns0:c r="J237" s="0">
        <ns0:f>IFERROR(IF(ISNUMBER(Bookings!B237),IF(AND(Bookings!B237=INT(Bookings!B237),Bookings!B237&gt;=DATE(2000,1,1),Bookings!B237&lt;=DATE(2100,12,31)),Bookings!B237,0),IF(AND(A237&lt;&gt;"",LEN("x"&amp;B237)-LEN(SUBSTITUTE("x"&amp;B237,".",""))=2,OR(1&gt;LEN(B237),MID(B237,1,1)=".",ISNUMBER(FIND("x"&amp;MID(B237,1,1),"x0x1x2x3x4x5x6x7x8x9"))),OR(2&gt;LEN(B237),MID(B237,2,1)=".",ISNUMBER(FIND("x"&amp;MID(B237,2,1),"x0x1x2x3x4x5x6x7x8x9"))),OR(3&gt;LEN(B237),MID(B237,3,1)=".",ISNUMBER(FIND("x"&amp;MID(B237,3,1),"x0x1x2x3x4x5x6x7x8x9"))),OR(4&gt;LEN(B237),MID(B237,4,1)=".",ISNUMBER(FIND("x"&amp;MID(B237,4,1),"x0x1x2x3x4x5x6x7x8x9"))),OR(5&gt;LEN(B237),MID(B237,5,1)=".",ISNUMBER(FIND("x"&amp;MID(B237,5,1),"x0x1x2x3x4x5x6x7x8x9"))),OR(6&gt;LEN(B237),MID(B237,6,1)=".",ISNUMBER(FIND("x"&amp;MID(B237,6,1),"x0x1x2x3x4x5x6x7x8x9"))),OR(7&gt;LEN(B237),MID(B237,7,1)=".",ISNUMBER(FIND("x"&amp;MID(B237,7,1),"x0x1x2x3x4x5x6x7x8x9"))),OR(8&gt;LEN(B237),MID(B237,8,1)=".",ISNUMBER(FIND("x"&amp;MID(B237,8,1),"x0x1x2x3x4x5x6x7x8x9"))),OR(9&gt;LEN(B237),MID(B237,9,1)=".",ISNUMBER(FIND("x"&amp;MID(B237,9,1),"x0x1x2x3x4x5x6x7x8x9"))),OR(10&gt;LEN(B237),MID(B237,10,1)=".",ISNUMBER(FIND("x"&amp;MID(B237,10,1),"x0x1x2x3x4x5x6x7x8x9"))),OR(AND(FIND(".",B237)=5,LEN(B237)-FIND(".",B237,FIND(".",B237)+1)&gt;=1,LEN(B237)-FIND(".",B237,FIND(".",B237)+1)&lt;=2),AND(LEN(B237)-FIND(".",B237,FIND(".",B237)+1)=4,FIND(".",B237)&gt;=2,FIND(".",B237)&lt;=3)),FIND(".",B237,FIND(".",B237)+1)-FIND(".",B237)&gt;=2,FIND(".",B237,FIND(".",B237)+1)-FIND(".",B237)&lt;=3,F237&gt;=2000,F237&lt;=2100,YEAR(I237)=F237,MONTH(I237)=G237,DAY(I237)=H237),I237,0)),0)</ns0:f>
        <ns0:v>0</ns0:v>
      </ns0:c>
      <ns0:c r="K237" s="0">
        <ns0:f>IFERROR(IF(ISNUMBER(Bookings!D237),"",TRIM(Bookings!D237&amp;"")),"")</ns0:f>
      </ns0:c>
      <ns0:c r="L237" s="0">
        <ns0:f>IFERROR(SUBSTITUTE(SUBSTITUTE(K237,"/","."),"-","."),"")</ns0:f>
      </ns0:c>
      <ns0:c r="M237" s="0">
        <ns0:f>IFERROR(LEFT(L237,FIND(".",L237)-1),"")</ns0:f>
      </ns0:c>
      <ns0:c r="N237" s="0">
        <ns0:f>IFERROR(MID(L237,FIND(".",L237)+1,FIND(".",L237,FIND(".",L237)+1)-FIND(".",L237)-1),"")</ns0:f>
      </ns0:c>
      <ns0:c r="O237" s="0">
        <ns0:f>IFERROR(MID(L237,FIND(".",L237,FIND(".",L237)+1)+1,99),"")</ns0:f>
        <ns0:v>99</ns0:v>
      </ns0:c>
      <ns0:c r="P237" s="0">
        <ns0:f>IFERROR(IF(FIND(".",L237)=5,--M237,--O237),0)</ns0:f>
        <ns0:v>0</ns0:v>
      </ns0:c>
      <ns0:c r="Q237" s="0">
        <ns0:f>IFERROR(--N237,0)</ns0:f>
        <ns0:v>0</ns0:v>
      </ns0:c>
      <ns0:c r="R237" s="0">
        <ns0:f>IFERROR(IF(FIND(".",L237)=5,--O237,--M237),0)</ns0:f>
        <ns0:v>0</ns0:v>
      </ns0:c>
      <ns0:c r="S237" s="0">
        <ns0:f>IFERROR(IF(AND(P237&gt;=2000,P237&lt;=2100,Q237&gt;=1,Q237&lt;=12,R237&gt;=1,R237&lt;=31),DATE(P237,Q237,R237),0),0)</ns0:f>
        <ns0:v>0</ns0:v>
      </ns0:c>
      <ns0:c r="T237" s="0">
        <ns0:f>IFERROR(IF(ISNUMBER(Bookings!D237),IF(AND(Bookings!D237=INT(Bookings!D237),Bookings!D237&gt;=DATE(2000,1,1),Bookings!D237&lt;=DATE(2100,12,31)),Bookings!D237,0),IF(AND(K237&lt;&gt;"",LEN("x"&amp;L237)-LEN(SUBSTITUTE("x"&amp;L237,".",""))=2,OR(1&gt;LEN(L237),MID(L237,1,1)=".",ISNUMBER(FIND("x"&amp;MID(L237,1,1),"x0x1x2x3x4x5x6x7x8x9"))),OR(2&gt;LEN(L237),MID(L237,2,1)=".",ISNUMBER(FIND("x"&amp;MID(L237,2,1),"x0x1x2x3x4x5x6x7x8x9"))),OR(3&gt;LEN(L237),MID(L237,3,1)=".",ISNUMBER(FIND("x"&amp;MID(L237,3,1),"x0x1x2x3x4x5x6x7x8x9"))),OR(4&gt;LEN(L237),MID(L237,4,1)=".",ISNUMBER(FIND("x"&amp;MID(L237,4,1),"x0x1x2x3x4x5x6x7x8x9"))),OR(5&gt;LEN(L237),MID(L237,5,1)=".",ISNUMBER(FIND("x"&amp;MID(L237,5,1),"x0x1x2x3x4x5x6x7x8x9"))),OR(6&gt;LEN(L237),MID(L237,6,1)=".",ISNUMBER(FIND("x"&amp;MID(L237,6,1),"x0x1x2x3x4x5x6x7x8x9"))),OR(7&gt;LEN(L237),MID(L237,7,1)=".",ISNUMBER(FIND("x"&amp;MID(L237,7,1),"x0x1x2x3x4x5x6x7x8x9"))),OR(8&gt;LEN(L237),MID(L237,8,1)=".",ISNUMBER(FIND("x"&amp;MID(L237,8,1),"x0x1x2x3x4x5x6x7x8x9"))),OR(9&gt;LEN(L237),MID(L237,9,1)=".",ISNUMBER(FIND("x"&amp;MID(L237,9,1),"x0x1x2x3x4x5x6x7x8x9"))),OR(10&gt;LEN(L237),MID(L237,10,1)=".",ISNUMBER(FIND("x"&amp;MID(L237,10,1),"x0x1x2x3x4x5x6x7x8x9"))),OR(AND(FIND(".",L237)=5,LEN(L237)-FIND(".",L237,FIND(".",L237)+1)&gt;=1,LEN(L237)-FIND(".",L237,FIND(".",L237)+1)&lt;=2),AND(LEN(L237)-FIND(".",L237,FIND(".",L237)+1)=4,FIND(".",L237)&gt;=2,FIND(".",L237)&lt;=3)),FIND(".",L237,FIND(".",L237)+1)-FIND(".",L237)&gt;=2,FIND(".",L237,FIND(".",L237)+1)-FIND(".",L237)&lt;=3,P237&gt;=2000,P237&lt;=2100,YEAR(S237)=P237,MONTH(S237)=Q237,DAY(S237)=R237),S237,0)),0)</ns0:f>
        <ns0:v>0</ns0:v>
      </ns0:c>
      <ns0:c r="U237" s="0" t="str">
        <ns0:f>IF(Bookings!C237="","Full day",Bookings!C237)</ns0:f>
        <ns0:v>Full day</ns0:v>
      </ns0:c>
      <ns0:c r="V237" s="0" t="str">
        <ns0:f>IF(Bookings!E237="","Full day",Bookings!E237)</ns0:f>
        <ns0:v>Full day</ns0:v>
      </ns0:c>
      <ns0:c r="W237" s="0">
        <ns0:f>IF(J237=0,0,J237+IF(U237="PM",1,0))</ns0:f>
        <ns0:v>0</ns0:v>
      </ns0:c>
      <ns0:c r="X237" s="0">
        <ns0:f>IF(T237=0,0,T237-IF(V237="PM",1,0))</ns0:f>
        <ns0:v>0</ns0:v>
      </ns0:c>
      <ns0:c r="Y237" s="0">
        <ns0:f>IF(J237=0,0,J237+IF(U237="AM",1,0))</ns0:f>
        <ns0:v>0</ns0:v>
      </ns0:c>
      <ns0:c r="Z237" s="0">
        <ns0:f>IF(T237=0,0,T237-IF(V237="AM",1,0))</ns0:f>
        <ns0:v>0</ns0:v>
      </ns0:c>
      <ns0:c r="AA237" s="0">
        <ns0:f>IFERROR(IF(AND(J237&gt;0,'_Engine'!C237&gt;0,MID('_Engine'!W237,WEEKDAY(J237,2),1)="W",COUNTIF(Settings!$F$18:$F$67,J237)=0),1,0),0)</ns0:f>
        <ns0:v>0</ns0:v>
      </ns0:c>
      <ns0:c r="AB237" s="0">
        <ns0:f>IFERROR(IF(AND(T237&gt;0,'_Engine'!C237&gt;0,MID('_Engine'!W237,WEEKDAY(T237,2),1)="W",COUNTIF(Settings!$F$18:$F$67,T237)=0),1,0),0)</ns0:f>
        <ns0:v>0</ns0:v>
      </ns0:c>
      <ns0:c r="AC237" s="0">
        <ns0:f>IF(AND(J237&gt;0,T237&gt;0,W237&lt;=X237),1,0)</ns0:f>
        <ns0:v>0</ns0:v>
      </ns0:c>
      <ns0:c r="AD237" s="0">
        <ns0:f>IF(AND(J237&gt;0,T237&gt;0,Y237&lt;=Z237),1,0)</ns0:f>
        <ns0:v>0</ns0:v>
      </ns0:c>
    </ns0:row>
    <ns0:row r="238">
      <ns0:c r="A238" s="0">
        <ns0:f>IFERROR(IF(ISNUMBER(Bookings!B238),"",TRIM(Bookings!B238&amp;"")),"")</ns0:f>
      </ns0:c>
      <ns0:c r="B238" s="0">
        <ns0:f>IFERROR(SUBSTITUTE(SUBSTITUTE(A238,"/","."),"-","."),"")</ns0:f>
      </ns0:c>
      <ns0:c r="C238" s="0">
        <ns0:f>IFERROR(LEFT(B238,FIND(".",B238)-1),"")</ns0:f>
      </ns0:c>
      <ns0:c r="D238" s="0">
        <ns0:f>IFERROR(MID(B238,FIND(".",B238)+1,FIND(".",B238,FIND(".",B238)+1)-FIND(".",B238)-1),"")</ns0:f>
      </ns0:c>
      <ns0:c r="E238" s="0">
        <ns0:f>IFERROR(MID(B238,FIND(".",B238,FIND(".",B238)+1)+1,99),"")</ns0:f>
        <ns0:v>99</ns0:v>
      </ns0:c>
      <ns0:c r="F238" s="0">
        <ns0:f>IFERROR(IF(FIND(".",B238)=5,--C238,--E238),0)</ns0:f>
        <ns0:v>0</ns0:v>
      </ns0:c>
      <ns0:c r="G238" s="0">
        <ns0:f>IFERROR(--D238,0)</ns0:f>
        <ns0:v>0</ns0:v>
      </ns0:c>
      <ns0:c r="H238" s="0">
        <ns0:f>IFERROR(IF(FIND(".",B238)=5,--E238,--C238),0)</ns0:f>
        <ns0:v>0</ns0:v>
      </ns0:c>
      <ns0:c r="I238" s="0">
        <ns0:f>IFERROR(IF(AND(F238&gt;=2000,F238&lt;=2100,G238&gt;=1,G238&lt;=12,H238&gt;=1,H238&lt;=31),DATE(F238,G238,H238),0),0)</ns0:f>
        <ns0:v>0</ns0:v>
      </ns0:c>
      <ns0:c r="J238" s="0">
        <ns0:f>IFERROR(IF(ISNUMBER(Bookings!B238),IF(AND(Bookings!B238=INT(Bookings!B238),Bookings!B238&gt;=DATE(2000,1,1),Bookings!B238&lt;=DATE(2100,12,31)),Bookings!B238,0),IF(AND(A238&lt;&gt;"",LEN("x"&amp;B238)-LEN(SUBSTITUTE("x"&amp;B238,".",""))=2,OR(1&gt;LEN(B238),MID(B238,1,1)=".",ISNUMBER(FIND("x"&amp;MID(B238,1,1),"x0x1x2x3x4x5x6x7x8x9"))),OR(2&gt;LEN(B238),MID(B238,2,1)=".",ISNUMBER(FIND("x"&amp;MID(B238,2,1),"x0x1x2x3x4x5x6x7x8x9"))),OR(3&gt;LEN(B238),MID(B238,3,1)=".",ISNUMBER(FIND("x"&amp;MID(B238,3,1),"x0x1x2x3x4x5x6x7x8x9"))),OR(4&gt;LEN(B238),MID(B238,4,1)=".",ISNUMBER(FIND("x"&amp;MID(B238,4,1),"x0x1x2x3x4x5x6x7x8x9"))),OR(5&gt;LEN(B238),MID(B238,5,1)=".",ISNUMBER(FIND("x"&amp;MID(B238,5,1),"x0x1x2x3x4x5x6x7x8x9"))),OR(6&gt;LEN(B238),MID(B238,6,1)=".",ISNUMBER(FIND("x"&amp;MID(B238,6,1),"x0x1x2x3x4x5x6x7x8x9"))),OR(7&gt;LEN(B238),MID(B238,7,1)=".",ISNUMBER(FIND("x"&amp;MID(B238,7,1),"x0x1x2x3x4x5x6x7x8x9"))),OR(8&gt;LEN(B238),MID(B238,8,1)=".",ISNUMBER(FIND("x"&amp;MID(B238,8,1),"x0x1x2x3x4x5x6x7x8x9"))),OR(9&gt;LEN(B238),MID(B238,9,1)=".",ISNUMBER(FIND("x"&amp;MID(B238,9,1),"x0x1x2x3x4x5x6x7x8x9"))),OR(10&gt;LEN(B238),MID(B238,10,1)=".",ISNUMBER(FIND("x"&amp;MID(B238,10,1),"x0x1x2x3x4x5x6x7x8x9"))),OR(AND(FIND(".",B238)=5,LEN(B238)-FIND(".",B238,FIND(".",B238)+1)&gt;=1,LEN(B238)-FIND(".",B238,FIND(".",B238)+1)&lt;=2),AND(LEN(B238)-FIND(".",B238,FIND(".",B238)+1)=4,FIND(".",B238)&gt;=2,FIND(".",B238)&lt;=3)),FIND(".",B238,FIND(".",B238)+1)-FIND(".",B238)&gt;=2,FIND(".",B238,FIND(".",B238)+1)-FIND(".",B238)&lt;=3,F238&gt;=2000,F238&lt;=2100,YEAR(I238)=F238,MONTH(I238)=G238,DAY(I238)=H238),I238,0)),0)</ns0:f>
        <ns0:v>0</ns0:v>
      </ns0:c>
      <ns0:c r="K238" s="0">
        <ns0:f>IFERROR(IF(ISNUMBER(Bookings!D238),"",TRIM(Bookings!D238&amp;"")),"")</ns0:f>
      </ns0:c>
      <ns0:c r="L238" s="0">
        <ns0:f>IFERROR(SUBSTITUTE(SUBSTITUTE(K238,"/","."),"-","."),"")</ns0:f>
      </ns0:c>
      <ns0:c r="M238" s="0">
        <ns0:f>IFERROR(LEFT(L238,FIND(".",L238)-1),"")</ns0:f>
      </ns0:c>
      <ns0:c r="N238" s="0">
        <ns0:f>IFERROR(MID(L238,FIND(".",L238)+1,FIND(".",L238,FIND(".",L238)+1)-FIND(".",L238)-1),"")</ns0:f>
      </ns0:c>
      <ns0:c r="O238" s="0">
        <ns0:f>IFERROR(MID(L238,FIND(".",L238,FIND(".",L238)+1)+1,99),"")</ns0:f>
        <ns0:v>99</ns0:v>
      </ns0:c>
      <ns0:c r="P238" s="0">
        <ns0:f>IFERROR(IF(FIND(".",L238)=5,--M238,--O238),0)</ns0:f>
        <ns0:v>0</ns0:v>
      </ns0:c>
      <ns0:c r="Q238" s="0">
        <ns0:f>IFERROR(--N238,0)</ns0:f>
        <ns0:v>0</ns0:v>
      </ns0:c>
      <ns0:c r="R238" s="0">
        <ns0:f>IFERROR(IF(FIND(".",L238)=5,--O238,--M238),0)</ns0:f>
        <ns0:v>0</ns0:v>
      </ns0:c>
      <ns0:c r="S238" s="0">
        <ns0:f>IFERROR(IF(AND(P238&gt;=2000,P238&lt;=2100,Q238&gt;=1,Q238&lt;=12,R238&gt;=1,R238&lt;=31),DATE(P238,Q238,R238),0),0)</ns0:f>
        <ns0:v>0</ns0:v>
      </ns0:c>
      <ns0:c r="T238" s="0">
        <ns0:f>IFERROR(IF(ISNUMBER(Bookings!D238),IF(AND(Bookings!D238=INT(Bookings!D238),Bookings!D238&gt;=DATE(2000,1,1),Bookings!D238&lt;=DATE(2100,12,31)),Bookings!D238,0),IF(AND(K238&lt;&gt;"",LEN("x"&amp;L238)-LEN(SUBSTITUTE("x"&amp;L238,".",""))=2,OR(1&gt;LEN(L238),MID(L238,1,1)=".",ISNUMBER(FIND("x"&amp;MID(L238,1,1),"x0x1x2x3x4x5x6x7x8x9"))),OR(2&gt;LEN(L238),MID(L238,2,1)=".",ISNUMBER(FIND("x"&amp;MID(L238,2,1),"x0x1x2x3x4x5x6x7x8x9"))),OR(3&gt;LEN(L238),MID(L238,3,1)=".",ISNUMBER(FIND("x"&amp;MID(L238,3,1),"x0x1x2x3x4x5x6x7x8x9"))),OR(4&gt;LEN(L238),MID(L238,4,1)=".",ISNUMBER(FIND("x"&amp;MID(L238,4,1),"x0x1x2x3x4x5x6x7x8x9"))),OR(5&gt;LEN(L238),MID(L238,5,1)=".",ISNUMBER(FIND("x"&amp;MID(L238,5,1),"x0x1x2x3x4x5x6x7x8x9"))),OR(6&gt;LEN(L238),MID(L238,6,1)=".",ISNUMBER(FIND("x"&amp;MID(L238,6,1),"x0x1x2x3x4x5x6x7x8x9"))),OR(7&gt;LEN(L238),MID(L238,7,1)=".",ISNUMBER(FIND("x"&amp;MID(L238,7,1),"x0x1x2x3x4x5x6x7x8x9"))),OR(8&gt;LEN(L238),MID(L238,8,1)=".",ISNUMBER(FIND("x"&amp;MID(L238,8,1),"x0x1x2x3x4x5x6x7x8x9"))),OR(9&gt;LEN(L238),MID(L238,9,1)=".",ISNUMBER(FIND("x"&amp;MID(L238,9,1),"x0x1x2x3x4x5x6x7x8x9"))),OR(10&gt;LEN(L238),MID(L238,10,1)=".",ISNUMBER(FIND("x"&amp;MID(L238,10,1),"x0x1x2x3x4x5x6x7x8x9"))),OR(AND(FIND(".",L238)=5,LEN(L238)-FIND(".",L238,FIND(".",L238)+1)&gt;=1,LEN(L238)-FIND(".",L238,FIND(".",L238)+1)&lt;=2),AND(LEN(L238)-FIND(".",L238,FIND(".",L238)+1)=4,FIND(".",L238)&gt;=2,FIND(".",L238)&lt;=3)),FIND(".",L238,FIND(".",L238)+1)-FIND(".",L238)&gt;=2,FIND(".",L238,FIND(".",L238)+1)-FIND(".",L238)&lt;=3,P238&gt;=2000,P238&lt;=2100,YEAR(S238)=P238,MONTH(S238)=Q238,DAY(S238)=R238),S238,0)),0)</ns0:f>
        <ns0:v>0</ns0:v>
      </ns0:c>
      <ns0:c r="U238" s="0" t="str">
        <ns0:f>IF(Bookings!C238="","Full day",Bookings!C238)</ns0:f>
        <ns0:v>Full day</ns0:v>
      </ns0:c>
      <ns0:c r="V238" s="0" t="str">
        <ns0:f>IF(Bookings!E238="","Full day",Bookings!E238)</ns0:f>
        <ns0:v>Full day</ns0:v>
      </ns0:c>
      <ns0:c r="W238" s="0">
        <ns0:f>IF(J238=0,0,J238+IF(U238="PM",1,0))</ns0:f>
        <ns0:v>0</ns0:v>
      </ns0:c>
      <ns0:c r="X238" s="0">
        <ns0:f>IF(T238=0,0,T238-IF(V238="PM",1,0))</ns0:f>
        <ns0:v>0</ns0:v>
      </ns0:c>
      <ns0:c r="Y238" s="0">
        <ns0:f>IF(J238=0,0,J238+IF(U238="AM",1,0))</ns0:f>
        <ns0:v>0</ns0:v>
      </ns0:c>
      <ns0:c r="Z238" s="0">
        <ns0:f>IF(T238=0,0,T238-IF(V238="AM",1,0))</ns0:f>
        <ns0:v>0</ns0:v>
      </ns0:c>
      <ns0:c r="AA238" s="0">
        <ns0:f>IFERROR(IF(AND(J238&gt;0,'_Engine'!C238&gt;0,MID('_Engine'!W238,WEEKDAY(J238,2),1)="W",COUNTIF(Settings!$F$18:$F$67,J238)=0),1,0),0)</ns0:f>
        <ns0:v>0</ns0:v>
      </ns0:c>
      <ns0:c r="AB238" s="0">
        <ns0:f>IFERROR(IF(AND(T238&gt;0,'_Engine'!C238&gt;0,MID('_Engine'!W238,WEEKDAY(T238,2),1)="W",COUNTIF(Settings!$F$18:$F$67,T238)=0),1,0),0)</ns0:f>
        <ns0:v>0</ns0:v>
      </ns0:c>
      <ns0:c r="AC238" s="0">
        <ns0:f>IF(AND(J238&gt;0,T238&gt;0,W238&lt;=X238),1,0)</ns0:f>
        <ns0:v>0</ns0:v>
      </ns0:c>
      <ns0:c r="AD238" s="0">
        <ns0:f>IF(AND(J238&gt;0,T238&gt;0,Y238&lt;=Z238),1,0)</ns0:f>
        <ns0:v>0</ns0:v>
      </ns0:c>
    </ns0:row>
    <ns0:row r="239">
      <ns0:c r="A239" s="0">
        <ns0:f>IFERROR(IF(ISNUMBER(Bookings!B239),"",TRIM(Bookings!B239&amp;"")),"")</ns0:f>
      </ns0:c>
      <ns0:c r="B239" s="0">
        <ns0:f>IFERROR(SUBSTITUTE(SUBSTITUTE(A239,"/","."),"-","."),"")</ns0:f>
      </ns0:c>
      <ns0:c r="C239" s="0">
        <ns0:f>IFERROR(LEFT(B239,FIND(".",B239)-1),"")</ns0:f>
      </ns0:c>
      <ns0:c r="D239" s="0">
        <ns0:f>IFERROR(MID(B239,FIND(".",B239)+1,FIND(".",B239,FIND(".",B239)+1)-FIND(".",B239)-1),"")</ns0:f>
      </ns0:c>
      <ns0:c r="E239" s="0">
        <ns0:f>IFERROR(MID(B239,FIND(".",B239,FIND(".",B239)+1)+1,99),"")</ns0:f>
        <ns0:v>99</ns0:v>
      </ns0:c>
      <ns0:c r="F239" s="0">
        <ns0:f>IFERROR(IF(FIND(".",B239)=5,--C239,--E239),0)</ns0:f>
        <ns0:v>0</ns0:v>
      </ns0:c>
      <ns0:c r="G239" s="0">
        <ns0:f>IFERROR(--D239,0)</ns0:f>
        <ns0:v>0</ns0:v>
      </ns0:c>
      <ns0:c r="H239" s="0">
        <ns0:f>IFERROR(IF(FIND(".",B239)=5,--E239,--C239),0)</ns0:f>
        <ns0:v>0</ns0:v>
      </ns0:c>
      <ns0:c r="I239" s="0">
        <ns0:f>IFERROR(IF(AND(F239&gt;=2000,F239&lt;=2100,G239&gt;=1,G239&lt;=12,H239&gt;=1,H239&lt;=31),DATE(F239,G239,H239),0),0)</ns0:f>
        <ns0:v>0</ns0:v>
      </ns0:c>
      <ns0:c r="J239" s="0">
        <ns0:f>IFERROR(IF(ISNUMBER(Bookings!B239),IF(AND(Bookings!B239=INT(Bookings!B239),Bookings!B239&gt;=DATE(2000,1,1),Bookings!B239&lt;=DATE(2100,12,31)),Bookings!B239,0),IF(AND(A239&lt;&gt;"",LEN("x"&amp;B239)-LEN(SUBSTITUTE("x"&amp;B239,".",""))=2,OR(1&gt;LEN(B239),MID(B239,1,1)=".",ISNUMBER(FIND("x"&amp;MID(B239,1,1),"x0x1x2x3x4x5x6x7x8x9"))),OR(2&gt;LEN(B239),MID(B239,2,1)=".",ISNUMBER(FIND("x"&amp;MID(B239,2,1),"x0x1x2x3x4x5x6x7x8x9"))),OR(3&gt;LEN(B239),MID(B239,3,1)=".",ISNUMBER(FIND("x"&amp;MID(B239,3,1),"x0x1x2x3x4x5x6x7x8x9"))),OR(4&gt;LEN(B239),MID(B239,4,1)=".",ISNUMBER(FIND("x"&amp;MID(B239,4,1),"x0x1x2x3x4x5x6x7x8x9"))),OR(5&gt;LEN(B239),MID(B239,5,1)=".",ISNUMBER(FIND("x"&amp;MID(B239,5,1),"x0x1x2x3x4x5x6x7x8x9"))),OR(6&gt;LEN(B239),MID(B239,6,1)=".",ISNUMBER(FIND("x"&amp;MID(B239,6,1),"x0x1x2x3x4x5x6x7x8x9"))),OR(7&gt;LEN(B239),MID(B239,7,1)=".",ISNUMBER(FIND("x"&amp;MID(B239,7,1),"x0x1x2x3x4x5x6x7x8x9"))),OR(8&gt;LEN(B239),MID(B239,8,1)=".",ISNUMBER(FIND("x"&amp;MID(B239,8,1),"x0x1x2x3x4x5x6x7x8x9"))),OR(9&gt;LEN(B239),MID(B239,9,1)=".",ISNUMBER(FIND("x"&amp;MID(B239,9,1),"x0x1x2x3x4x5x6x7x8x9"))),OR(10&gt;LEN(B239),MID(B239,10,1)=".",ISNUMBER(FIND("x"&amp;MID(B239,10,1),"x0x1x2x3x4x5x6x7x8x9"))),OR(AND(FIND(".",B239)=5,LEN(B239)-FIND(".",B239,FIND(".",B239)+1)&gt;=1,LEN(B239)-FIND(".",B239,FIND(".",B239)+1)&lt;=2),AND(LEN(B239)-FIND(".",B239,FIND(".",B239)+1)=4,FIND(".",B239)&gt;=2,FIND(".",B239)&lt;=3)),FIND(".",B239,FIND(".",B239)+1)-FIND(".",B239)&gt;=2,FIND(".",B239,FIND(".",B239)+1)-FIND(".",B239)&lt;=3,F239&gt;=2000,F239&lt;=2100,YEAR(I239)=F239,MONTH(I239)=G239,DAY(I239)=H239),I239,0)),0)</ns0:f>
        <ns0:v>0</ns0:v>
      </ns0:c>
      <ns0:c r="K239" s="0">
        <ns0:f>IFERROR(IF(ISNUMBER(Bookings!D239),"",TRIM(Bookings!D239&amp;"")),"")</ns0:f>
      </ns0:c>
      <ns0:c r="L239" s="0">
        <ns0:f>IFERROR(SUBSTITUTE(SUBSTITUTE(K239,"/","."),"-","."),"")</ns0:f>
      </ns0:c>
      <ns0:c r="M239" s="0">
        <ns0:f>IFERROR(LEFT(L239,FIND(".",L239)-1),"")</ns0:f>
      </ns0:c>
      <ns0:c r="N239" s="0">
        <ns0:f>IFERROR(MID(L239,FIND(".",L239)+1,FIND(".",L239,FIND(".",L239)+1)-FIND(".",L239)-1),"")</ns0:f>
      </ns0:c>
      <ns0:c r="O239" s="0">
        <ns0:f>IFERROR(MID(L239,FIND(".",L239,FIND(".",L239)+1)+1,99),"")</ns0:f>
        <ns0:v>99</ns0:v>
      </ns0:c>
      <ns0:c r="P239" s="0">
        <ns0:f>IFERROR(IF(FIND(".",L239)=5,--M239,--O239),0)</ns0:f>
        <ns0:v>0</ns0:v>
      </ns0:c>
      <ns0:c r="Q239" s="0">
        <ns0:f>IFERROR(--N239,0)</ns0:f>
        <ns0:v>0</ns0:v>
      </ns0:c>
      <ns0:c r="R239" s="0">
        <ns0:f>IFERROR(IF(FIND(".",L239)=5,--O239,--M239),0)</ns0:f>
        <ns0:v>0</ns0:v>
      </ns0:c>
      <ns0:c r="S239" s="0">
        <ns0:f>IFERROR(IF(AND(P239&gt;=2000,P239&lt;=2100,Q239&gt;=1,Q239&lt;=12,R239&gt;=1,R239&lt;=31),DATE(P239,Q239,R239),0),0)</ns0:f>
        <ns0:v>0</ns0:v>
      </ns0:c>
      <ns0:c r="T239" s="0">
        <ns0:f>IFERROR(IF(ISNUMBER(Bookings!D239),IF(AND(Bookings!D239=INT(Bookings!D239),Bookings!D239&gt;=DATE(2000,1,1),Bookings!D239&lt;=DATE(2100,12,31)),Bookings!D239,0),IF(AND(K239&lt;&gt;"",LEN("x"&amp;L239)-LEN(SUBSTITUTE("x"&amp;L239,".",""))=2,OR(1&gt;LEN(L239),MID(L239,1,1)=".",ISNUMBER(FIND("x"&amp;MID(L239,1,1),"x0x1x2x3x4x5x6x7x8x9"))),OR(2&gt;LEN(L239),MID(L239,2,1)=".",ISNUMBER(FIND("x"&amp;MID(L239,2,1),"x0x1x2x3x4x5x6x7x8x9"))),OR(3&gt;LEN(L239),MID(L239,3,1)=".",ISNUMBER(FIND("x"&amp;MID(L239,3,1),"x0x1x2x3x4x5x6x7x8x9"))),OR(4&gt;LEN(L239),MID(L239,4,1)=".",ISNUMBER(FIND("x"&amp;MID(L239,4,1),"x0x1x2x3x4x5x6x7x8x9"))),OR(5&gt;LEN(L239),MID(L239,5,1)=".",ISNUMBER(FIND("x"&amp;MID(L239,5,1),"x0x1x2x3x4x5x6x7x8x9"))),OR(6&gt;LEN(L239),MID(L239,6,1)=".",ISNUMBER(FIND("x"&amp;MID(L239,6,1),"x0x1x2x3x4x5x6x7x8x9"))),OR(7&gt;LEN(L239),MID(L239,7,1)=".",ISNUMBER(FIND("x"&amp;MID(L239,7,1),"x0x1x2x3x4x5x6x7x8x9"))),OR(8&gt;LEN(L239),MID(L239,8,1)=".",ISNUMBER(FIND("x"&amp;MID(L239,8,1),"x0x1x2x3x4x5x6x7x8x9"))),OR(9&gt;LEN(L239),MID(L239,9,1)=".",ISNUMBER(FIND("x"&amp;MID(L239,9,1),"x0x1x2x3x4x5x6x7x8x9"))),OR(10&gt;LEN(L239),MID(L239,10,1)=".",ISNUMBER(FIND("x"&amp;MID(L239,10,1),"x0x1x2x3x4x5x6x7x8x9"))),OR(AND(FIND(".",L239)=5,LEN(L239)-FIND(".",L239,FIND(".",L239)+1)&gt;=1,LEN(L239)-FIND(".",L239,FIND(".",L239)+1)&lt;=2),AND(LEN(L239)-FIND(".",L239,FIND(".",L239)+1)=4,FIND(".",L239)&gt;=2,FIND(".",L239)&lt;=3)),FIND(".",L239,FIND(".",L239)+1)-FIND(".",L239)&gt;=2,FIND(".",L239,FIND(".",L239)+1)-FIND(".",L239)&lt;=3,P239&gt;=2000,P239&lt;=2100,YEAR(S239)=P239,MONTH(S239)=Q239,DAY(S239)=R239),S239,0)),0)</ns0:f>
        <ns0:v>0</ns0:v>
      </ns0:c>
      <ns0:c r="U239" s="0" t="str">
        <ns0:f>IF(Bookings!C239="","Full day",Bookings!C239)</ns0:f>
        <ns0:v>Full day</ns0:v>
      </ns0:c>
      <ns0:c r="V239" s="0" t="str">
        <ns0:f>IF(Bookings!E239="","Full day",Bookings!E239)</ns0:f>
        <ns0:v>Full day</ns0:v>
      </ns0:c>
      <ns0:c r="W239" s="0">
        <ns0:f>IF(J239=0,0,J239+IF(U239="PM",1,0))</ns0:f>
        <ns0:v>0</ns0:v>
      </ns0:c>
      <ns0:c r="X239" s="0">
        <ns0:f>IF(T239=0,0,T239-IF(V239="PM",1,0))</ns0:f>
        <ns0:v>0</ns0:v>
      </ns0:c>
      <ns0:c r="Y239" s="0">
        <ns0:f>IF(J239=0,0,J239+IF(U239="AM",1,0))</ns0:f>
        <ns0:v>0</ns0:v>
      </ns0:c>
      <ns0:c r="Z239" s="0">
        <ns0:f>IF(T239=0,0,T239-IF(V239="AM",1,0))</ns0:f>
        <ns0:v>0</ns0:v>
      </ns0:c>
      <ns0:c r="AA239" s="0">
        <ns0:f>IFERROR(IF(AND(J239&gt;0,'_Engine'!C239&gt;0,MID('_Engine'!W239,WEEKDAY(J239,2),1)="W",COUNTIF(Settings!$F$18:$F$67,J239)=0),1,0),0)</ns0:f>
        <ns0:v>0</ns0:v>
      </ns0:c>
      <ns0:c r="AB239" s="0">
        <ns0:f>IFERROR(IF(AND(T239&gt;0,'_Engine'!C239&gt;0,MID('_Engine'!W239,WEEKDAY(T239,2),1)="W",COUNTIF(Settings!$F$18:$F$67,T239)=0),1,0),0)</ns0:f>
        <ns0:v>0</ns0:v>
      </ns0:c>
      <ns0:c r="AC239" s="0">
        <ns0:f>IF(AND(J239&gt;0,T239&gt;0,W239&lt;=X239),1,0)</ns0:f>
        <ns0:v>0</ns0:v>
      </ns0:c>
      <ns0:c r="AD239" s="0">
        <ns0:f>IF(AND(J239&gt;0,T239&gt;0,Y239&lt;=Z239),1,0)</ns0:f>
        <ns0:v>0</ns0:v>
      </ns0:c>
    </ns0:row>
    <ns0:row r="240">
      <ns0:c r="A240" s="0">
        <ns0:f>IFERROR(IF(ISNUMBER(Bookings!B240),"",TRIM(Bookings!B240&amp;"")),"")</ns0:f>
      </ns0:c>
      <ns0:c r="B240" s="0">
        <ns0:f>IFERROR(SUBSTITUTE(SUBSTITUTE(A240,"/","."),"-","."),"")</ns0:f>
      </ns0:c>
      <ns0:c r="C240" s="0">
        <ns0:f>IFERROR(LEFT(B240,FIND(".",B240)-1),"")</ns0:f>
      </ns0:c>
      <ns0:c r="D240" s="0">
        <ns0:f>IFERROR(MID(B240,FIND(".",B240)+1,FIND(".",B240,FIND(".",B240)+1)-FIND(".",B240)-1),"")</ns0:f>
      </ns0:c>
      <ns0:c r="E240" s="0">
        <ns0:f>IFERROR(MID(B240,FIND(".",B240,FIND(".",B240)+1)+1,99),"")</ns0:f>
        <ns0:v>99</ns0:v>
      </ns0:c>
      <ns0:c r="F240" s="0">
        <ns0:f>IFERROR(IF(FIND(".",B240)=5,--C240,--E240),0)</ns0:f>
        <ns0:v>0</ns0:v>
      </ns0:c>
      <ns0:c r="G240" s="0">
        <ns0:f>IFERROR(--D240,0)</ns0:f>
        <ns0:v>0</ns0:v>
      </ns0:c>
      <ns0:c r="H240" s="0">
        <ns0:f>IFERROR(IF(FIND(".",B240)=5,--E240,--C240),0)</ns0:f>
        <ns0:v>0</ns0:v>
      </ns0:c>
      <ns0:c r="I240" s="0">
        <ns0:f>IFERROR(IF(AND(F240&gt;=2000,F240&lt;=2100,G240&gt;=1,G240&lt;=12,H240&gt;=1,H240&lt;=31),DATE(F240,G240,H240),0),0)</ns0:f>
        <ns0:v>0</ns0:v>
      </ns0:c>
      <ns0:c r="J240" s="0">
        <ns0:f>IFERROR(IF(ISNUMBER(Bookings!B240),IF(AND(Bookings!B240=INT(Bookings!B240),Bookings!B240&gt;=DATE(2000,1,1),Bookings!B240&lt;=DATE(2100,12,31)),Bookings!B240,0),IF(AND(A240&lt;&gt;"",LEN("x"&amp;B240)-LEN(SUBSTITUTE("x"&amp;B240,".",""))=2,OR(1&gt;LEN(B240),MID(B240,1,1)=".",ISNUMBER(FIND("x"&amp;MID(B240,1,1),"x0x1x2x3x4x5x6x7x8x9"))),OR(2&gt;LEN(B240),MID(B240,2,1)=".",ISNUMBER(FIND("x"&amp;MID(B240,2,1),"x0x1x2x3x4x5x6x7x8x9"))),OR(3&gt;LEN(B240),MID(B240,3,1)=".",ISNUMBER(FIND("x"&amp;MID(B240,3,1),"x0x1x2x3x4x5x6x7x8x9"))),OR(4&gt;LEN(B240),MID(B240,4,1)=".",ISNUMBER(FIND("x"&amp;MID(B240,4,1),"x0x1x2x3x4x5x6x7x8x9"))),OR(5&gt;LEN(B240),MID(B240,5,1)=".",ISNUMBER(FIND("x"&amp;MID(B240,5,1),"x0x1x2x3x4x5x6x7x8x9"))),OR(6&gt;LEN(B240),MID(B240,6,1)=".",ISNUMBER(FIND("x"&amp;MID(B240,6,1),"x0x1x2x3x4x5x6x7x8x9"))),OR(7&gt;LEN(B240),MID(B240,7,1)=".",ISNUMBER(FIND("x"&amp;MID(B240,7,1),"x0x1x2x3x4x5x6x7x8x9"))),OR(8&gt;LEN(B240),MID(B240,8,1)=".",ISNUMBER(FIND("x"&amp;MID(B240,8,1),"x0x1x2x3x4x5x6x7x8x9"))),OR(9&gt;LEN(B240),MID(B240,9,1)=".",ISNUMBER(FIND("x"&amp;MID(B240,9,1),"x0x1x2x3x4x5x6x7x8x9"))),OR(10&gt;LEN(B240),MID(B240,10,1)=".",ISNUMBER(FIND("x"&amp;MID(B240,10,1),"x0x1x2x3x4x5x6x7x8x9"))),OR(AND(FIND(".",B240)=5,LEN(B240)-FIND(".",B240,FIND(".",B240)+1)&gt;=1,LEN(B240)-FIND(".",B240,FIND(".",B240)+1)&lt;=2),AND(LEN(B240)-FIND(".",B240,FIND(".",B240)+1)=4,FIND(".",B240)&gt;=2,FIND(".",B240)&lt;=3)),FIND(".",B240,FIND(".",B240)+1)-FIND(".",B240)&gt;=2,FIND(".",B240,FIND(".",B240)+1)-FIND(".",B240)&lt;=3,F240&gt;=2000,F240&lt;=2100,YEAR(I240)=F240,MONTH(I240)=G240,DAY(I240)=H240),I240,0)),0)</ns0:f>
        <ns0:v>0</ns0:v>
      </ns0:c>
      <ns0:c r="K240" s="0">
        <ns0:f>IFERROR(IF(ISNUMBER(Bookings!D240),"",TRIM(Bookings!D240&amp;"")),"")</ns0:f>
      </ns0:c>
      <ns0:c r="L240" s="0">
        <ns0:f>IFERROR(SUBSTITUTE(SUBSTITUTE(K240,"/","."),"-","."),"")</ns0:f>
      </ns0:c>
      <ns0:c r="M240" s="0">
        <ns0:f>IFERROR(LEFT(L240,FIND(".",L240)-1),"")</ns0:f>
      </ns0:c>
      <ns0:c r="N240" s="0">
        <ns0:f>IFERROR(MID(L240,FIND(".",L240)+1,FIND(".",L240,FIND(".",L240)+1)-FIND(".",L240)-1),"")</ns0:f>
      </ns0:c>
      <ns0:c r="O240" s="0">
        <ns0:f>IFERROR(MID(L240,FIND(".",L240,FIND(".",L240)+1)+1,99),"")</ns0:f>
        <ns0:v>99</ns0:v>
      </ns0:c>
      <ns0:c r="P240" s="0">
        <ns0:f>IFERROR(IF(FIND(".",L240)=5,--M240,--O240),0)</ns0:f>
        <ns0:v>0</ns0:v>
      </ns0:c>
      <ns0:c r="Q240" s="0">
        <ns0:f>IFERROR(--N240,0)</ns0:f>
        <ns0:v>0</ns0:v>
      </ns0:c>
      <ns0:c r="R240" s="0">
        <ns0:f>IFERROR(IF(FIND(".",L240)=5,--O240,--M240),0)</ns0:f>
        <ns0:v>0</ns0:v>
      </ns0:c>
      <ns0:c r="S240" s="0">
        <ns0:f>IFERROR(IF(AND(P240&gt;=2000,P240&lt;=2100,Q240&gt;=1,Q240&lt;=12,R240&gt;=1,R240&lt;=31),DATE(P240,Q240,R240),0),0)</ns0:f>
        <ns0:v>0</ns0:v>
      </ns0:c>
      <ns0:c r="T240" s="0">
        <ns0:f>IFERROR(IF(ISNUMBER(Bookings!D240),IF(AND(Bookings!D240=INT(Bookings!D240),Bookings!D240&gt;=DATE(2000,1,1),Bookings!D240&lt;=DATE(2100,12,31)),Bookings!D240,0),IF(AND(K240&lt;&gt;"",LEN("x"&amp;L240)-LEN(SUBSTITUTE("x"&amp;L240,".",""))=2,OR(1&gt;LEN(L240),MID(L240,1,1)=".",ISNUMBER(FIND("x"&amp;MID(L240,1,1),"x0x1x2x3x4x5x6x7x8x9"))),OR(2&gt;LEN(L240),MID(L240,2,1)=".",ISNUMBER(FIND("x"&amp;MID(L240,2,1),"x0x1x2x3x4x5x6x7x8x9"))),OR(3&gt;LEN(L240),MID(L240,3,1)=".",ISNUMBER(FIND("x"&amp;MID(L240,3,1),"x0x1x2x3x4x5x6x7x8x9"))),OR(4&gt;LEN(L240),MID(L240,4,1)=".",ISNUMBER(FIND("x"&amp;MID(L240,4,1),"x0x1x2x3x4x5x6x7x8x9"))),OR(5&gt;LEN(L240),MID(L240,5,1)=".",ISNUMBER(FIND("x"&amp;MID(L240,5,1),"x0x1x2x3x4x5x6x7x8x9"))),OR(6&gt;LEN(L240),MID(L240,6,1)=".",ISNUMBER(FIND("x"&amp;MID(L240,6,1),"x0x1x2x3x4x5x6x7x8x9"))),OR(7&gt;LEN(L240),MID(L240,7,1)=".",ISNUMBER(FIND("x"&amp;MID(L240,7,1),"x0x1x2x3x4x5x6x7x8x9"))),OR(8&gt;LEN(L240),MID(L240,8,1)=".",ISNUMBER(FIND("x"&amp;MID(L240,8,1),"x0x1x2x3x4x5x6x7x8x9"))),OR(9&gt;LEN(L240),MID(L240,9,1)=".",ISNUMBER(FIND("x"&amp;MID(L240,9,1),"x0x1x2x3x4x5x6x7x8x9"))),OR(10&gt;LEN(L240),MID(L240,10,1)=".",ISNUMBER(FIND("x"&amp;MID(L240,10,1),"x0x1x2x3x4x5x6x7x8x9"))),OR(AND(FIND(".",L240)=5,LEN(L240)-FIND(".",L240,FIND(".",L240)+1)&gt;=1,LEN(L240)-FIND(".",L240,FIND(".",L240)+1)&lt;=2),AND(LEN(L240)-FIND(".",L240,FIND(".",L240)+1)=4,FIND(".",L240)&gt;=2,FIND(".",L240)&lt;=3)),FIND(".",L240,FIND(".",L240)+1)-FIND(".",L240)&gt;=2,FIND(".",L240,FIND(".",L240)+1)-FIND(".",L240)&lt;=3,P240&gt;=2000,P240&lt;=2100,YEAR(S240)=P240,MONTH(S240)=Q240,DAY(S240)=R240),S240,0)),0)</ns0:f>
        <ns0:v>0</ns0:v>
      </ns0:c>
      <ns0:c r="U240" s="0" t="str">
        <ns0:f>IF(Bookings!C240="","Full day",Bookings!C240)</ns0:f>
        <ns0:v>Full day</ns0:v>
      </ns0:c>
      <ns0:c r="V240" s="0" t="str">
        <ns0:f>IF(Bookings!E240="","Full day",Bookings!E240)</ns0:f>
        <ns0:v>Full day</ns0:v>
      </ns0:c>
      <ns0:c r="W240" s="0">
        <ns0:f>IF(J240=0,0,J240+IF(U240="PM",1,0))</ns0:f>
        <ns0:v>0</ns0:v>
      </ns0:c>
      <ns0:c r="X240" s="0">
        <ns0:f>IF(T240=0,0,T240-IF(V240="PM",1,0))</ns0:f>
        <ns0:v>0</ns0:v>
      </ns0:c>
      <ns0:c r="Y240" s="0">
        <ns0:f>IF(J240=0,0,J240+IF(U240="AM",1,0))</ns0:f>
        <ns0:v>0</ns0:v>
      </ns0:c>
      <ns0:c r="Z240" s="0">
        <ns0:f>IF(T240=0,0,T240-IF(V240="AM",1,0))</ns0:f>
        <ns0:v>0</ns0:v>
      </ns0:c>
      <ns0:c r="AA240" s="0">
        <ns0:f>IFERROR(IF(AND(J240&gt;0,'_Engine'!C240&gt;0,MID('_Engine'!W240,WEEKDAY(J240,2),1)="W",COUNTIF(Settings!$F$18:$F$67,J240)=0),1,0),0)</ns0:f>
        <ns0:v>0</ns0:v>
      </ns0:c>
      <ns0:c r="AB240" s="0">
        <ns0:f>IFERROR(IF(AND(T240&gt;0,'_Engine'!C240&gt;0,MID('_Engine'!W240,WEEKDAY(T240,2),1)="W",COUNTIF(Settings!$F$18:$F$67,T240)=0),1,0),0)</ns0:f>
        <ns0:v>0</ns0:v>
      </ns0:c>
      <ns0:c r="AC240" s="0">
        <ns0:f>IF(AND(J240&gt;0,T240&gt;0,W240&lt;=X240),1,0)</ns0:f>
        <ns0:v>0</ns0:v>
      </ns0:c>
      <ns0:c r="AD240" s="0">
        <ns0:f>IF(AND(J240&gt;0,T240&gt;0,Y240&lt;=Z240),1,0)</ns0:f>
        <ns0:v>0</ns0:v>
      </ns0:c>
    </ns0:row>
    <ns0:row r="241">
      <ns0:c r="A241" s="0">
        <ns0:f>IFERROR(IF(ISNUMBER(Bookings!B241),"",TRIM(Bookings!B241&amp;"")),"")</ns0:f>
      </ns0:c>
      <ns0:c r="B241" s="0">
        <ns0:f>IFERROR(SUBSTITUTE(SUBSTITUTE(A241,"/","."),"-","."),"")</ns0:f>
      </ns0:c>
      <ns0:c r="C241" s="0">
        <ns0:f>IFERROR(LEFT(B241,FIND(".",B241)-1),"")</ns0:f>
      </ns0:c>
      <ns0:c r="D241" s="0">
        <ns0:f>IFERROR(MID(B241,FIND(".",B241)+1,FIND(".",B241,FIND(".",B241)+1)-FIND(".",B241)-1),"")</ns0:f>
      </ns0:c>
      <ns0:c r="E241" s="0">
        <ns0:f>IFERROR(MID(B241,FIND(".",B241,FIND(".",B241)+1)+1,99),"")</ns0:f>
        <ns0:v>99</ns0:v>
      </ns0:c>
      <ns0:c r="F241" s="0">
        <ns0:f>IFERROR(IF(FIND(".",B241)=5,--C241,--E241),0)</ns0:f>
        <ns0:v>0</ns0:v>
      </ns0:c>
      <ns0:c r="G241" s="0">
        <ns0:f>IFERROR(--D241,0)</ns0:f>
        <ns0:v>0</ns0:v>
      </ns0:c>
      <ns0:c r="H241" s="0">
        <ns0:f>IFERROR(IF(FIND(".",B241)=5,--E241,--C241),0)</ns0:f>
        <ns0:v>0</ns0:v>
      </ns0:c>
      <ns0:c r="I241" s="0">
        <ns0:f>IFERROR(IF(AND(F241&gt;=2000,F241&lt;=2100,G241&gt;=1,G241&lt;=12,H241&gt;=1,H241&lt;=31),DATE(F241,G241,H241),0),0)</ns0:f>
        <ns0:v>0</ns0:v>
      </ns0:c>
      <ns0:c r="J241" s="0">
        <ns0:f>IFERROR(IF(ISNUMBER(Bookings!B241),IF(AND(Bookings!B241=INT(Bookings!B241),Bookings!B241&gt;=DATE(2000,1,1),Bookings!B241&lt;=DATE(2100,12,31)),Bookings!B241,0),IF(AND(A241&lt;&gt;"",LEN("x"&amp;B241)-LEN(SUBSTITUTE("x"&amp;B241,".",""))=2,OR(1&gt;LEN(B241),MID(B241,1,1)=".",ISNUMBER(FIND("x"&amp;MID(B241,1,1),"x0x1x2x3x4x5x6x7x8x9"))),OR(2&gt;LEN(B241),MID(B241,2,1)=".",ISNUMBER(FIND("x"&amp;MID(B241,2,1),"x0x1x2x3x4x5x6x7x8x9"))),OR(3&gt;LEN(B241),MID(B241,3,1)=".",ISNUMBER(FIND("x"&amp;MID(B241,3,1),"x0x1x2x3x4x5x6x7x8x9"))),OR(4&gt;LEN(B241),MID(B241,4,1)=".",ISNUMBER(FIND("x"&amp;MID(B241,4,1),"x0x1x2x3x4x5x6x7x8x9"))),OR(5&gt;LEN(B241),MID(B241,5,1)=".",ISNUMBER(FIND("x"&amp;MID(B241,5,1),"x0x1x2x3x4x5x6x7x8x9"))),OR(6&gt;LEN(B241),MID(B241,6,1)=".",ISNUMBER(FIND("x"&amp;MID(B241,6,1),"x0x1x2x3x4x5x6x7x8x9"))),OR(7&gt;LEN(B241),MID(B241,7,1)=".",ISNUMBER(FIND("x"&amp;MID(B241,7,1),"x0x1x2x3x4x5x6x7x8x9"))),OR(8&gt;LEN(B241),MID(B241,8,1)=".",ISNUMBER(FIND("x"&amp;MID(B241,8,1),"x0x1x2x3x4x5x6x7x8x9"))),OR(9&gt;LEN(B241),MID(B241,9,1)=".",ISNUMBER(FIND("x"&amp;MID(B241,9,1),"x0x1x2x3x4x5x6x7x8x9"))),OR(10&gt;LEN(B241),MID(B241,10,1)=".",ISNUMBER(FIND("x"&amp;MID(B241,10,1),"x0x1x2x3x4x5x6x7x8x9"))),OR(AND(FIND(".",B241)=5,LEN(B241)-FIND(".",B241,FIND(".",B241)+1)&gt;=1,LEN(B241)-FIND(".",B241,FIND(".",B241)+1)&lt;=2),AND(LEN(B241)-FIND(".",B241,FIND(".",B241)+1)=4,FIND(".",B241)&gt;=2,FIND(".",B241)&lt;=3)),FIND(".",B241,FIND(".",B241)+1)-FIND(".",B241)&gt;=2,FIND(".",B241,FIND(".",B241)+1)-FIND(".",B241)&lt;=3,F241&gt;=2000,F241&lt;=2100,YEAR(I241)=F241,MONTH(I241)=G241,DAY(I241)=H241),I241,0)),0)</ns0:f>
        <ns0:v>0</ns0:v>
      </ns0:c>
      <ns0:c r="K241" s="0">
        <ns0:f>IFERROR(IF(ISNUMBER(Bookings!D241),"",TRIM(Bookings!D241&amp;"")),"")</ns0:f>
      </ns0:c>
      <ns0:c r="L241" s="0">
        <ns0:f>IFERROR(SUBSTITUTE(SUBSTITUTE(K241,"/","."),"-","."),"")</ns0:f>
      </ns0:c>
      <ns0:c r="M241" s="0">
        <ns0:f>IFERROR(LEFT(L241,FIND(".",L241)-1),"")</ns0:f>
      </ns0:c>
      <ns0:c r="N241" s="0">
        <ns0:f>IFERROR(MID(L241,FIND(".",L241)+1,FIND(".",L241,FIND(".",L241)+1)-FIND(".",L241)-1),"")</ns0:f>
      </ns0:c>
      <ns0:c r="O241" s="0">
        <ns0:f>IFERROR(MID(L241,FIND(".",L241,FIND(".",L241)+1)+1,99),"")</ns0:f>
        <ns0:v>99</ns0:v>
      </ns0:c>
      <ns0:c r="P241" s="0">
        <ns0:f>IFERROR(IF(FIND(".",L241)=5,--M241,--O241),0)</ns0:f>
        <ns0:v>0</ns0:v>
      </ns0:c>
      <ns0:c r="Q241" s="0">
        <ns0:f>IFERROR(--N241,0)</ns0:f>
        <ns0:v>0</ns0:v>
      </ns0:c>
      <ns0:c r="R241" s="0">
        <ns0:f>IFERROR(IF(FIND(".",L241)=5,--O241,--M241),0)</ns0:f>
        <ns0:v>0</ns0:v>
      </ns0:c>
      <ns0:c r="S241" s="0">
        <ns0:f>IFERROR(IF(AND(P241&gt;=2000,P241&lt;=2100,Q241&gt;=1,Q241&lt;=12,R241&gt;=1,R241&lt;=31),DATE(P241,Q241,R241),0),0)</ns0:f>
        <ns0:v>0</ns0:v>
      </ns0:c>
      <ns0:c r="T241" s="0">
        <ns0:f>IFERROR(IF(ISNUMBER(Bookings!D241),IF(AND(Bookings!D241=INT(Bookings!D241),Bookings!D241&gt;=DATE(2000,1,1),Bookings!D241&lt;=DATE(2100,12,31)),Bookings!D241,0),IF(AND(K241&lt;&gt;"",LEN("x"&amp;L241)-LEN(SUBSTITUTE("x"&amp;L241,".",""))=2,OR(1&gt;LEN(L241),MID(L241,1,1)=".",ISNUMBER(FIND("x"&amp;MID(L241,1,1),"x0x1x2x3x4x5x6x7x8x9"))),OR(2&gt;LEN(L241),MID(L241,2,1)=".",ISNUMBER(FIND("x"&amp;MID(L241,2,1),"x0x1x2x3x4x5x6x7x8x9"))),OR(3&gt;LEN(L241),MID(L241,3,1)=".",ISNUMBER(FIND("x"&amp;MID(L241,3,1),"x0x1x2x3x4x5x6x7x8x9"))),OR(4&gt;LEN(L241),MID(L241,4,1)=".",ISNUMBER(FIND("x"&amp;MID(L241,4,1),"x0x1x2x3x4x5x6x7x8x9"))),OR(5&gt;LEN(L241),MID(L241,5,1)=".",ISNUMBER(FIND("x"&amp;MID(L241,5,1),"x0x1x2x3x4x5x6x7x8x9"))),OR(6&gt;LEN(L241),MID(L241,6,1)=".",ISNUMBER(FIND("x"&amp;MID(L241,6,1),"x0x1x2x3x4x5x6x7x8x9"))),OR(7&gt;LEN(L241),MID(L241,7,1)=".",ISNUMBER(FIND("x"&amp;MID(L241,7,1),"x0x1x2x3x4x5x6x7x8x9"))),OR(8&gt;LEN(L241),MID(L241,8,1)=".",ISNUMBER(FIND("x"&amp;MID(L241,8,1),"x0x1x2x3x4x5x6x7x8x9"))),OR(9&gt;LEN(L241),MID(L241,9,1)=".",ISNUMBER(FIND("x"&amp;MID(L241,9,1),"x0x1x2x3x4x5x6x7x8x9"))),OR(10&gt;LEN(L241),MID(L241,10,1)=".",ISNUMBER(FIND("x"&amp;MID(L241,10,1),"x0x1x2x3x4x5x6x7x8x9"))),OR(AND(FIND(".",L241)=5,LEN(L241)-FIND(".",L241,FIND(".",L241)+1)&gt;=1,LEN(L241)-FIND(".",L241,FIND(".",L241)+1)&lt;=2),AND(LEN(L241)-FIND(".",L241,FIND(".",L241)+1)=4,FIND(".",L241)&gt;=2,FIND(".",L241)&lt;=3)),FIND(".",L241,FIND(".",L241)+1)-FIND(".",L241)&gt;=2,FIND(".",L241,FIND(".",L241)+1)-FIND(".",L241)&lt;=3,P241&gt;=2000,P241&lt;=2100,YEAR(S241)=P241,MONTH(S241)=Q241,DAY(S241)=R241),S241,0)),0)</ns0:f>
        <ns0:v>0</ns0:v>
      </ns0:c>
      <ns0:c r="U241" s="0" t="str">
        <ns0:f>IF(Bookings!C241="","Full day",Bookings!C241)</ns0:f>
        <ns0:v>Full day</ns0:v>
      </ns0:c>
      <ns0:c r="V241" s="0" t="str">
        <ns0:f>IF(Bookings!E241="","Full day",Bookings!E241)</ns0:f>
        <ns0:v>Full day</ns0:v>
      </ns0:c>
      <ns0:c r="W241" s="0">
        <ns0:f>IF(J241=0,0,J241+IF(U241="PM",1,0))</ns0:f>
        <ns0:v>0</ns0:v>
      </ns0:c>
      <ns0:c r="X241" s="0">
        <ns0:f>IF(T241=0,0,T241-IF(V241="PM",1,0))</ns0:f>
        <ns0:v>0</ns0:v>
      </ns0:c>
      <ns0:c r="Y241" s="0">
        <ns0:f>IF(J241=0,0,J241+IF(U241="AM",1,0))</ns0:f>
        <ns0:v>0</ns0:v>
      </ns0:c>
      <ns0:c r="Z241" s="0">
        <ns0:f>IF(T241=0,0,T241-IF(V241="AM",1,0))</ns0:f>
        <ns0:v>0</ns0:v>
      </ns0:c>
      <ns0:c r="AA241" s="0">
        <ns0:f>IFERROR(IF(AND(J241&gt;0,'_Engine'!C241&gt;0,MID('_Engine'!W241,WEEKDAY(J241,2),1)="W",COUNTIF(Settings!$F$18:$F$67,J241)=0),1,0),0)</ns0:f>
        <ns0:v>0</ns0:v>
      </ns0:c>
      <ns0:c r="AB241" s="0">
        <ns0:f>IFERROR(IF(AND(T241&gt;0,'_Engine'!C241&gt;0,MID('_Engine'!W241,WEEKDAY(T241,2),1)="W",COUNTIF(Settings!$F$18:$F$67,T241)=0),1,0),0)</ns0:f>
        <ns0:v>0</ns0:v>
      </ns0:c>
      <ns0:c r="AC241" s="0">
        <ns0:f>IF(AND(J241&gt;0,T241&gt;0,W241&lt;=X241),1,0)</ns0:f>
        <ns0:v>0</ns0:v>
      </ns0:c>
      <ns0:c r="AD241" s="0">
        <ns0:f>IF(AND(J241&gt;0,T241&gt;0,Y241&lt;=Z241),1,0)</ns0:f>
        <ns0:v>0</ns0:v>
      </ns0:c>
    </ns0:row>
    <ns0:row r="242">
      <ns0:c r="A242" s="0">
        <ns0:f>IFERROR(IF(ISNUMBER(Bookings!B242),"",TRIM(Bookings!B242&amp;"")),"")</ns0:f>
      </ns0:c>
      <ns0:c r="B242" s="0">
        <ns0:f>IFERROR(SUBSTITUTE(SUBSTITUTE(A242,"/","."),"-","."),"")</ns0:f>
      </ns0:c>
      <ns0:c r="C242" s="0">
        <ns0:f>IFERROR(LEFT(B242,FIND(".",B242)-1),"")</ns0:f>
      </ns0:c>
      <ns0:c r="D242" s="0">
        <ns0:f>IFERROR(MID(B242,FIND(".",B242)+1,FIND(".",B242,FIND(".",B242)+1)-FIND(".",B242)-1),"")</ns0:f>
      </ns0:c>
      <ns0:c r="E242" s="0">
        <ns0:f>IFERROR(MID(B242,FIND(".",B242,FIND(".",B242)+1)+1,99),"")</ns0:f>
        <ns0:v>99</ns0:v>
      </ns0:c>
      <ns0:c r="F242" s="0">
        <ns0:f>IFERROR(IF(FIND(".",B242)=5,--C242,--E242),0)</ns0:f>
        <ns0:v>0</ns0:v>
      </ns0:c>
      <ns0:c r="G242" s="0">
        <ns0:f>IFERROR(--D242,0)</ns0:f>
        <ns0:v>0</ns0:v>
      </ns0:c>
      <ns0:c r="H242" s="0">
        <ns0:f>IFERROR(IF(FIND(".",B242)=5,--E242,--C242),0)</ns0:f>
        <ns0:v>0</ns0:v>
      </ns0:c>
      <ns0:c r="I242" s="0">
        <ns0:f>IFERROR(IF(AND(F242&gt;=2000,F242&lt;=2100,G242&gt;=1,G242&lt;=12,H242&gt;=1,H242&lt;=31),DATE(F242,G242,H242),0),0)</ns0:f>
        <ns0:v>0</ns0:v>
      </ns0:c>
      <ns0:c r="J242" s="0">
        <ns0:f>IFERROR(IF(ISNUMBER(Bookings!B242),IF(AND(Bookings!B242=INT(Bookings!B242),Bookings!B242&gt;=DATE(2000,1,1),Bookings!B242&lt;=DATE(2100,12,31)),Bookings!B242,0),IF(AND(A242&lt;&gt;"",LEN("x"&amp;B242)-LEN(SUBSTITUTE("x"&amp;B242,".",""))=2,OR(1&gt;LEN(B242),MID(B242,1,1)=".",ISNUMBER(FIND("x"&amp;MID(B242,1,1),"x0x1x2x3x4x5x6x7x8x9"))),OR(2&gt;LEN(B242),MID(B242,2,1)=".",ISNUMBER(FIND("x"&amp;MID(B242,2,1),"x0x1x2x3x4x5x6x7x8x9"))),OR(3&gt;LEN(B242),MID(B242,3,1)=".",ISNUMBER(FIND("x"&amp;MID(B242,3,1),"x0x1x2x3x4x5x6x7x8x9"))),OR(4&gt;LEN(B242),MID(B242,4,1)=".",ISNUMBER(FIND("x"&amp;MID(B242,4,1),"x0x1x2x3x4x5x6x7x8x9"))),OR(5&gt;LEN(B242),MID(B242,5,1)=".",ISNUMBER(FIND("x"&amp;MID(B242,5,1),"x0x1x2x3x4x5x6x7x8x9"))),OR(6&gt;LEN(B242),MID(B242,6,1)=".",ISNUMBER(FIND("x"&amp;MID(B242,6,1),"x0x1x2x3x4x5x6x7x8x9"))),OR(7&gt;LEN(B242),MID(B242,7,1)=".",ISNUMBER(FIND("x"&amp;MID(B242,7,1),"x0x1x2x3x4x5x6x7x8x9"))),OR(8&gt;LEN(B242),MID(B242,8,1)=".",ISNUMBER(FIND("x"&amp;MID(B242,8,1),"x0x1x2x3x4x5x6x7x8x9"))),OR(9&gt;LEN(B242),MID(B242,9,1)=".",ISNUMBER(FIND("x"&amp;MID(B242,9,1),"x0x1x2x3x4x5x6x7x8x9"))),OR(10&gt;LEN(B242),MID(B242,10,1)=".",ISNUMBER(FIND("x"&amp;MID(B242,10,1),"x0x1x2x3x4x5x6x7x8x9"))),OR(AND(FIND(".",B242)=5,LEN(B242)-FIND(".",B242,FIND(".",B242)+1)&gt;=1,LEN(B242)-FIND(".",B242,FIND(".",B242)+1)&lt;=2),AND(LEN(B242)-FIND(".",B242,FIND(".",B242)+1)=4,FIND(".",B242)&gt;=2,FIND(".",B242)&lt;=3)),FIND(".",B242,FIND(".",B242)+1)-FIND(".",B242)&gt;=2,FIND(".",B242,FIND(".",B242)+1)-FIND(".",B242)&lt;=3,F242&gt;=2000,F242&lt;=2100,YEAR(I242)=F242,MONTH(I242)=G242,DAY(I242)=H242),I242,0)),0)</ns0:f>
        <ns0:v>0</ns0:v>
      </ns0:c>
      <ns0:c r="K242" s="0">
        <ns0:f>IFERROR(IF(ISNUMBER(Bookings!D242),"",TRIM(Bookings!D242&amp;"")),"")</ns0:f>
      </ns0:c>
      <ns0:c r="L242" s="0">
        <ns0:f>IFERROR(SUBSTITUTE(SUBSTITUTE(K242,"/","."),"-","."),"")</ns0:f>
      </ns0:c>
      <ns0:c r="M242" s="0">
        <ns0:f>IFERROR(LEFT(L242,FIND(".",L242)-1),"")</ns0:f>
      </ns0:c>
      <ns0:c r="N242" s="0">
        <ns0:f>IFERROR(MID(L242,FIND(".",L242)+1,FIND(".",L242,FIND(".",L242)+1)-FIND(".",L242)-1),"")</ns0:f>
      </ns0:c>
      <ns0:c r="O242" s="0">
        <ns0:f>IFERROR(MID(L242,FIND(".",L242,FIND(".",L242)+1)+1,99),"")</ns0:f>
        <ns0:v>99</ns0:v>
      </ns0:c>
      <ns0:c r="P242" s="0">
        <ns0:f>IFERROR(IF(FIND(".",L242)=5,--M242,--O242),0)</ns0:f>
        <ns0:v>0</ns0:v>
      </ns0:c>
      <ns0:c r="Q242" s="0">
        <ns0:f>IFERROR(--N242,0)</ns0:f>
        <ns0:v>0</ns0:v>
      </ns0:c>
      <ns0:c r="R242" s="0">
        <ns0:f>IFERROR(IF(FIND(".",L242)=5,--O242,--M242),0)</ns0:f>
        <ns0:v>0</ns0:v>
      </ns0:c>
      <ns0:c r="S242" s="0">
        <ns0:f>IFERROR(IF(AND(P242&gt;=2000,P242&lt;=2100,Q242&gt;=1,Q242&lt;=12,R242&gt;=1,R242&lt;=31),DATE(P242,Q242,R242),0),0)</ns0:f>
        <ns0:v>0</ns0:v>
      </ns0:c>
      <ns0:c r="T242" s="0">
        <ns0:f>IFERROR(IF(ISNUMBER(Bookings!D242),IF(AND(Bookings!D242=INT(Bookings!D242),Bookings!D242&gt;=DATE(2000,1,1),Bookings!D242&lt;=DATE(2100,12,31)),Bookings!D242,0),IF(AND(K242&lt;&gt;"",LEN("x"&amp;L242)-LEN(SUBSTITUTE("x"&amp;L242,".",""))=2,OR(1&gt;LEN(L242),MID(L242,1,1)=".",ISNUMBER(FIND("x"&amp;MID(L242,1,1),"x0x1x2x3x4x5x6x7x8x9"))),OR(2&gt;LEN(L242),MID(L242,2,1)=".",ISNUMBER(FIND("x"&amp;MID(L242,2,1),"x0x1x2x3x4x5x6x7x8x9"))),OR(3&gt;LEN(L242),MID(L242,3,1)=".",ISNUMBER(FIND("x"&amp;MID(L242,3,1),"x0x1x2x3x4x5x6x7x8x9"))),OR(4&gt;LEN(L242),MID(L242,4,1)=".",ISNUMBER(FIND("x"&amp;MID(L242,4,1),"x0x1x2x3x4x5x6x7x8x9"))),OR(5&gt;LEN(L242),MID(L242,5,1)=".",ISNUMBER(FIND("x"&amp;MID(L242,5,1),"x0x1x2x3x4x5x6x7x8x9"))),OR(6&gt;LEN(L242),MID(L242,6,1)=".",ISNUMBER(FIND("x"&amp;MID(L242,6,1),"x0x1x2x3x4x5x6x7x8x9"))),OR(7&gt;LEN(L242),MID(L242,7,1)=".",ISNUMBER(FIND("x"&amp;MID(L242,7,1),"x0x1x2x3x4x5x6x7x8x9"))),OR(8&gt;LEN(L242),MID(L242,8,1)=".",ISNUMBER(FIND("x"&amp;MID(L242,8,1),"x0x1x2x3x4x5x6x7x8x9"))),OR(9&gt;LEN(L242),MID(L242,9,1)=".",ISNUMBER(FIND("x"&amp;MID(L242,9,1),"x0x1x2x3x4x5x6x7x8x9"))),OR(10&gt;LEN(L242),MID(L242,10,1)=".",ISNUMBER(FIND("x"&amp;MID(L242,10,1),"x0x1x2x3x4x5x6x7x8x9"))),OR(AND(FIND(".",L242)=5,LEN(L242)-FIND(".",L242,FIND(".",L242)+1)&gt;=1,LEN(L242)-FIND(".",L242,FIND(".",L242)+1)&lt;=2),AND(LEN(L242)-FIND(".",L242,FIND(".",L242)+1)=4,FIND(".",L242)&gt;=2,FIND(".",L242)&lt;=3)),FIND(".",L242,FIND(".",L242)+1)-FIND(".",L242)&gt;=2,FIND(".",L242,FIND(".",L242)+1)-FIND(".",L242)&lt;=3,P242&gt;=2000,P242&lt;=2100,YEAR(S242)=P242,MONTH(S242)=Q242,DAY(S242)=R242),S242,0)),0)</ns0:f>
        <ns0:v>0</ns0:v>
      </ns0:c>
      <ns0:c r="U242" s="0" t="str">
        <ns0:f>IF(Bookings!C242="","Full day",Bookings!C242)</ns0:f>
        <ns0:v>Full day</ns0:v>
      </ns0:c>
      <ns0:c r="V242" s="0" t="str">
        <ns0:f>IF(Bookings!E242="","Full day",Bookings!E242)</ns0:f>
        <ns0:v>Full day</ns0:v>
      </ns0:c>
      <ns0:c r="W242" s="0">
        <ns0:f>IF(J242=0,0,J242+IF(U242="PM",1,0))</ns0:f>
        <ns0:v>0</ns0:v>
      </ns0:c>
      <ns0:c r="X242" s="0">
        <ns0:f>IF(T242=0,0,T242-IF(V242="PM",1,0))</ns0:f>
        <ns0:v>0</ns0:v>
      </ns0:c>
      <ns0:c r="Y242" s="0">
        <ns0:f>IF(J242=0,0,J242+IF(U242="AM",1,0))</ns0:f>
        <ns0:v>0</ns0:v>
      </ns0:c>
      <ns0:c r="Z242" s="0">
        <ns0:f>IF(T242=0,0,T242-IF(V242="AM",1,0))</ns0:f>
        <ns0:v>0</ns0:v>
      </ns0:c>
      <ns0:c r="AA242" s="0">
        <ns0:f>IFERROR(IF(AND(J242&gt;0,'_Engine'!C242&gt;0,MID('_Engine'!W242,WEEKDAY(J242,2),1)="W",COUNTIF(Settings!$F$18:$F$67,J242)=0),1,0),0)</ns0:f>
        <ns0:v>0</ns0:v>
      </ns0:c>
      <ns0:c r="AB242" s="0">
        <ns0:f>IFERROR(IF(AND(T242&gt;0,'_Engine'!C242&gt;0,MID('_Engine'!W242,WEEKDAY(T242,2),1)="W",COUNTIF(Settings!$F$18:$F$67,T242)=0),1,0),0)</ns0:f>
        <ns0:v>0</ns0:v>
      </ns0:c>
      <ns0:c r="AC242" s="0">
        <ns0:f>IF(AND(J242&gt;0,T242&gt;0,W242&lt;=X242),1,0)</ns0:f>
        <ns0:v>0</ns0:v>
      </ns0:c>
      <ns0:c r="AD242" s="0">
        <ns0:f>IF(AND(J242&gt;0,T242&gt;0,Y242&lt;=Z242),1,0)</ns0:f>
        <ns0:v>0</ns0:v>
      </ns0:c>
    </ns0:row>
    <ns0:row r="243">
      <ns0:c r="A243" s="0">
        <ns0:f>IFERROR(IF(ISNUMBER(Bookings!B243),"",TRIM(Bookings!B243&amp;"")),"")</ns0:f>
      </ns0:c>
      <ns0:c r="B243" s="0">
        <ns0:f>IFERROR(SUBSTITUTE(SUBSTITUTE(A243,"/","."),"-","."),"")</ns0:f>
      </ns0:c>
      <ns0:c r="C243" s="0">
        <ns0:f>IFERROR(LEFT(B243,FIND(".",B243)-1),"")</ns0:f>
      </ns0:c>
      <ns0:c r="D243" s="0">
        <ns0:f>IFERROR(MID(B243,FIND(".",B243)+1,FIND(".",B243,FIND(".",B243)+1)-FIND(".",B243)-1),"")</ns0:f>
      </ns0:c>
      <ns0:c r="E243" s="0">
        <ns0:f>IFERROR(MID(B243,FIND(".",B243,FIND(".",B243)+1)+1,99),"")</ns0:f>
        <ns0:v>99</ns0:v>
      </ns0:c>
      <ns0:c r="F243" s="0">
        <ns0:f>IFERROR(IF(FIND(".",B243)=5,--C243,--E243),0)</ns0:f>
        <ns0:v>0</ns0:v>
      </ns0:c>
      <ns0:c r="G243" s="0">
        <ns0:f>IFERROR(--D243,0)</ns0:f>
        <ns0:v>0</ns0:v>
      </ns0:c>
      <ns0:c r="H243" s="0">
        <ns0:f>IFERROR(IF(FIND(".",B243)=5,--E243,--C243),0)</ns0:f>
        <ns0:v>0</ns0:v>
      </ns0:c>
      <ns0:c r="I243" s="0">
        <ns0:f>IFERROR(IF(AND(F243&gt;=2000,F243&lt;=2100,G243&gt;=1,G243&lt;=12,H243&gt;=1,H243&lt;=31),DATE(F243,G243,H243),0),0)</ns0:f>
        <ns0:v>0</ns0:v>
      </ns0:c>
      <ns0:c r="J243" s="0">
        <ns0:f>IFERROR(IF(ISNUMBER(Bookings!B243),IF(AND(Bookings!B243=INT(Bookings!B243),Bookings!B243&gt;=DATE(2000,1,1),Bookings!B243&lt;=DATE(2100,12,31)),Bookings!B243,0),IF(AND(A243&lt;&gt;"",LEN("x"&amp;B243)-LEN(SUBSTITUTE("x"&amp;B243,".",""))=2,OR(1&gt;LEN(B243),MID(B243,1,1)=".",ISNUMBER(FIND("x"&amp;MID(B243,1,1),"x0x1x2x3x4x5x6x7x8x9"))),OR(2&gt;LEN(B243),MID(B243,2,1)=".",ISNUMBER(FIND("x"&amp;MID(B243,2,1),"x0x1x2x3x4x5x6x7x8x9"))),OR(3&gt;LEN(B243),MID(B243,3,1)=".",ISNUMBER(FIND("x"&amp;MID(B243,3,1),"x0x1x2x3x4x5x6x7x8x9"))),OR(4&gt;LEN(B243),MID(B243,4,1)=".",ISNUMBER(FIND("x"&amp;MID(B243,4,1),"x0x1x2x3x4x5x6x7x8x9"))),OR(5&gt;LEN(B243),MID(B243,5,1)=".",ISNUMBER(FIND("x"&amp;MID(B243,5,1),"x0x1x2x3x4x5x6x7x8x9"))),OR(6&gt;LEN(B243),MID(B243,6,1)=".",ISNUMBER(FIND("x"&amp;MID(B243,6,1),"x0x1x2x3x4x5x6x7x8x9"))),OR(7&gt;LEN(B243),MID(B243,7,1)=".",ISNUMBER(FIND("x"&amp;MID(B243,7,1),"x0x1x2x3x4x5x6x7x8x9"))),OR(8&gt;LEN(B243),MID(B243,8,1)=".",ISNUMBER(FIND("x"&amp;MID(B243,8,1),"x0x1x2x3x4x5x6x7x8x9"))),OR(9&gt;LEN(B243),MID(B243,9,1)=".",ISNUMBER(FIND("x"&amp;MID(B243,9,1),"x0x1x2x3x4x5x6x7x8x9"))),OR(10&gt;LEN(B243),MID(B243,10,1)=".",ISNUMBER(FIND("x"&amp;MID(B243,10,1),"x0x1x2x3x4x5x6x7x8x9"))),OR(AND(FIND(".",B243)=5,LEN(B243)-FIND(".",B243,FIND(".",B243)+1)&gt;=1,LEN(B243)-FIND(".",B243,FIND(".",B243)+1)&lt;=2),AND(LEN(B243)-FIND(".",B243,FIND(".",B243)+1)=4,FIND(".",B243)&gt;=2,FIND(".",B243)&lt;=3)),FIND(".",B243,FIND(".",B243)+1)-FIND(".",B243)&gt;=2,FIND(".",B243,FIND(".",B243)+1)-FIND(".",B243)&lt;=3,F243&gt;=2000,F243&lt;=2100,YEAR(I243)=F243,MONTH(I243)=G243,DAY(I243)=H243),I243,0)),0)</ns0:f>
        <ns0:v>0</ns0:v>
      </ns0:c>
      <ns0:c r="K243" s="0">
        <ns0:f>IFERROR(IF(ISNUMBER(Bookings!D243),"",TRIM(Bookings!D243&amp;"")),"")</ns0:f>
      </ns0:c>
      <ns0:c r="L243" s="0">
        <ns0:f>IFERROR(SUBSTITUTE(SUBSTITUTE(K243,"/","."),"-","."),"")</ns0:f>
      </ns0:c>
      <ns0:c r="M243" s="0">
        <ns0:f>IFERROR(LEFT(L243,FIND(".",L243)-1),"")</ns0:f>
      </ns0:c>
      <ns0:c r="N243" s="0">
        <ns0:f>IFERROR(MID(L243,FIND(".",L243)+1,FIND(".",L243,FIND(".",L243)+1)-FIND(".",L243)-1),"")</ns0:f>
      </ns0:c>
      <ns0:c r="O243" s="0">
        <ns0:f>IFERROR(MID(L243,FIND(".",L243,FIND(".",L243)+1)+1,99),"")</ns0:f>
        <ns0:v>99</ns0:v>
      </ns0:c>
      <ns0:c r="P243" s="0">
        <ns0:f>IFERROR(IF(FIND(".",L243)=5,--M243,--O243),0)</ns0:f>
        <ns0:v>0</ns0:v>
      </ns0:c>
      <ns0:c r="Q243" s="0">
        <ns0:f>IFERROR(--N243,0)</ns0:f>
        <ns0:v>0</ns0:v>
      </ns0:c>
      <ns0:c r="R243" s="0">
        <ns0:f>IFERROR(IF(FIND(".",L243)=5,--O243,--M243),0)</ns0:f>
        <ns0:v>0</ns0:v>
      </ns0:c>
      <ns0:c r="S243" s="0">
        <ns0:f>IFERROR(IF(AND(P243&gt;=2000,P243&lt;=2100,Q243&gt;=1,Q243&lt;=12,R243&gt;=1,R243&lt;=31),DATE(P243,Q243,R243),0),0)</ns0:f>
        <ns0:v>0</ns0:v>
      </ns0:c>
      <ns0:c r="T243" s="0">
        <ns0:f>IFERROR(IF(ISNUMBER(Bookings!D243),IF(AND(Bookings!D243=INT(Bookings!D243),Bookings!D243&gt;=DATE(2000,1,1),Bookings!D243&lt;=DATE(2100,12,31)),Bookings!D243,0),IF(AND(K243&lt;&gt;"",LEN("x"&amp;L243)-LEN(SUBSTITUTE("x"&amp;L243,".",""))=2,OR(1&gt;LEN(L243),MID(L243,1,1)=".",ISNUMBER(FIND("x"&amp;MID(L243,1,1),"x0x1x2x3x4x5x6x7x8x9"))),OR(2&gt;LEN(L243),MID(L243,2,1)=".",ISNUMBER(FIND("x"&amp;MID(L243,2,1),"x0x1x2x3x4x5x6x7x8x9"))),OR(3&gt;LEN(L243),MID(L243,3,1)=".",ISNUMBER(FIND("x"&amp;MID(L243,3,1),"x0x1x2x3x4x5x6x7x8x9"))),OR(4&gt;LEN(L243),MID(L243,4,1)=".",ISNUMBER(FIND("x"&amp;MID(L243,4,1),"x0x1x2x3x4x5x6x7x8x9"))),OR(5&gt;LEN(L243),MID(L243,5,1)=".",ISNUMBER(FIND("x"&amp;MID(L243,5,1),"x0x1x2x3x4x5x6x7x8x9"))),OR(6&gt;LEN(L243),MID(L243,6,1)=".",ISNUMBER(FIND("x"&amp;MID(L243,6,1),"x0x1x2x3x4x5x6x7x8x9"))),OR(7&gt;LEN(L243),MID(L243,7,1)=".",ISNUMBER(FIND("x"&amp;MID(L243,7,1),"x0x1x2x3x4x5x6x7x8x9"))),OR(8&gt;LEN(L243),MID(L243,8,1)=".",ISNUMBER(FIND("x"&amp;MID(L243,8,1),"x0x1x2x3x4x5x6x7x8x9"))),OR(9&gt;LEN(L243),MID(L243,9,1)=".",ISNUMBER(FIND("x"&amp;MID(L243,9,1),"x0x1x2x3x4x5x6x7x8x9"))),OR(10&gt;LEN(L243),MID(L243,10,1)=".",ISNUMBER(FIND("x"&amp;MID(L243,10,1),"x0x1x2x3x4x5x6x7x8x9"))),OR(AND(FIND(".",L243)=5,LEN(L243)-FIND(".",L243,FIND(".",L243)+1)&gt;=1,LEN(L243)-FIND(".",L243,FIND(".",L243)+1)&lt;=2),AND(LEN(L243)-FIND(".",L243,FIND(".",L243)+1)=4,FIND(".",L243)&gt;=2,FIND(".",L243)&lt;=3)),FIND(".",L243,FIND(".",L243)+1)-FIND(".",L243)&gt;=2,FIND(".",L243,FIND(".",L243)+1)-FIND(".",L243)&lt;=3,P243&gt;=2000,P243&lt;=2100,YEAR(S243)=P243,MONTH(S243)=Q243,DAY(S243)=R243),S243,0)),0)</ns0:f>
        <ns0:v>0</ns0:v>
      </ns0:c>
      <ns0:c r="U243" s="0" t="str">
        <ns0:f>IF(Bookings!C243="","Full day",Bookings!C243)</ns0:f>
        <ns0:v>Full day</ns0:v>
      </ns0:c>
      <ns0:c r="V243" s="0" t="str">
        <ns0:f>IF(Bookings!E243="","Full day",Bookings!E243)</ns0:f>
        <ns0:v>Full day</ns0:v>
      </ns0:c>
      <ns0:c r="W243" s="0">
        <ns0:f>IF(J243=0,0,J243+IF(U243="PM",1,0))</ns0:f>
        <ns0:v>0</ns0:v>
      </ns0:c>
      <ns0:c r="X243" s="0">
        <ns0:f>IF(T243=0,0,T243-IF(V243="PM",1,0))</ns0:f>
        <ns0:v>0</ns0:v>
      </ns0:c>
      <ns0:c r="Y243" s="0">
        <ns0:f>IF(J243=0,0,J243+IF(U243="AM",1,0))</ns0:f>
        <ns0:v>0</ns0:v>
      </ns0:c>
      <ns0:c r="Z243" s="0">
        <ns0:f>IF(T243=0,0,T243-IF(V243="AM",1,0))</ns0:f>
        <ns0:v>0</ns0:v>
      </ns0:c>
      <ns0:c r="AA243" s="0">
        <ns0:f>IFERROR(IF(AND(J243&gt;0,'_Engine'!C243&gt;0,MID('_Engine'!W243,WEEKDAY(J243,2),1)="W",COUNTIF(Settings!$F$18:$F$67,J243)=0),1,0),0)</ns0:f>
        <ns0:v>0</ns0:v>
      </ns0:c>
      <ns0:c r="AB243" s="0">
        <ns0:f>IFERROR(IF(AND(T243&gt;0,'_Engine'!C243&gt;0,MID('_Engine'!W243,WEEKDAY(T243,2),1)="W",COUNTIF(Settings!$F$18:$F$67,T243)=0),1,0),0)</ns0:f>
        <ns0:v>0</ns0:v>
      </ns0:c>
      <ns0:c r="AC243" s="0">
        <ns0:f>IF(AND(J243&gt;0,T243&gt;0,W243&lt;=X243),1,0)</ns0:f>
        <ns0:v>0</ns0:v>
      </ns0:c>
      <ns0:c r="AD243" s="0">
        <ns0:f>IF(AND(J243&gt;0,T243&gt;0,Y243&lt;=Z243),1,0)</ns0:f>
        <ns0:v>0</ns0:v>
      </ns0:c>
    </ns0:row>
    <ns0:row r="244">
      <ns0:c r="A244" s="0">
        <ns0:f>IFERROR(IF(ISNUMBER(Bookings!B244),"",TRIM(Bookings!B244&amp;"")),"")</ns0:f>
      </ns0:c>
      <ns0:c r="B244" s="0">
        <ns0:f>IFERROR(SUBSTITUTE(SUBSTITUTE(A244,"/","."),"-","."),"")</ns0:f>
      </ns0:c>
      <ns0:c r="C244" s="0">
        <ns0:f>IFERROR(LEFT(B244,FIND(".",B244)-1),"")</ns0:f>
      </ns0:c>
      <ns0:c r="D244" s="0">
        <ns0:f>IFERROR(MID(B244,FIND(".",B244)+1,FIND(".",B244,FIND(".",B244)+1)-FIND(".",B244)-1),"")</ns0:f>
      </ns0:c>
      <ns0:c r="E244" s="0">
        <ns0:f>IFERROR(MID(B244,FIND(".",B244,FIND(".",B244)+1)+1,99),"")</ns0:f>
        <ns0:v>99</ns0:v>
      </ns0:c>
      <ns0:c r="F244" s="0">
        <ns0:f>IFERROR(IF(FIND(".",B244)=5,--C244,--E244),0)</ns0:f>
        <ns0:v>0</ns0:v>
      </ns0:c>
      <ns0:c r="G244" s="0">
        <ns0:f>IFERROR(--D244,0)</ns0:f>
        <ns0:v>0</ns0:v>
      </ns0:c>
      <ns0:c r="H244" s="0">
        <ns0:f>IFERROR(IF(FIND(".",B244)=5,--E244,--C244),0)</ns0:f>
        <ns0:v>0</ns0:v>
      </ns0:c>
      <ns0:c r="I244" s="0">
        <ns0:f>IFERROR(IF(AND(F244&gt;=2000,F244&lt;=2100,G244&gt;=1,G244&lt;=12,H244&gt;=1,H244&lt;=31),DATE(F244,G244,H244),0),0)</ns0:f>
        <ns0:v>0</ns0:v>
      </ns0:c>
      <ns0:c r="J244" s="0">
        <ns0:f>IFERROR(IF(ISNUMBER(Bookings!B244),IF(AND(Bookings!B244=INT(Bookings!B244),Bookings!B244&gt;=DATE(2000,1,1),Bookings!B244&lt;=DATE(2100,12,31)),Bookings!B244,0),IF(AND(A244&lt;&gt;"",LEN("x"&amp;B244)-LEN(SUBSTITUTE("x"&amp;B244,".",""))=2,OR(1&gt;LEN(B244),MID(B244,1,1)=".",ISNUMBER(FIND("x"&amp;MID(B244,1,1),"x0x1x2x3x4x5x6x7x8x9"))),OR(2&gt;LEN(B244),MID(B244,2,1)=".",ISNUMBER(FIND("x"&amp;MID(B244,2,1),"x0x1x2x3x4x5x6x7x8x9"))),OR(3&gt;LEN(B244),MID(B244,3,1)=".",ISNUMBER(FIND("x"&amp;MID(B244,3,1),"x0x1x2x3x4x5x6x7x8x9"))),OR(4&gt;LEN(B244),MID(B244,4,1)=".",ISNUMBER(FIND("x"&amp;MID(B244,4,1),"x0x1x2x3x4x5x6x7x8x9"))),OR(5&gt;LEN(B244),MID(B244,5,1)=".",ISNUMBER(FIND("x"&amp;MID(B244,5,1),"x0x1x2x3x4x5x6x7x8x9"))),OR(6&gt;LEN(B244),MID(B244,6,1)=".",ISNUMBER(FIND("x"&amp;MID(B244,6,1),"x0x1x2x3x4x5x6x7x8x9"))),OR(7&gt;LEN(B244),MID(B244,7,1)=".",ISNUMBER(FIND("x"&amp;MID(B244,7,1),"x0x1x2x3x4x5x6x7x8x9"))),OR(8&gt;LEN(B244),MID(B244,8,1)=".",ISNUMBER(FIND("x"&amp;MID(B244,8,1),"x0x1x2x3x4x5x6x7x8x9"))),OR(9&gt;LEN(B244),MID(B244,9,1)=".",ISNUMBER(FIND("x"&amp;MID(B244,9,1),"x0x1x2x3x4x5x6x7x8x9"))),OR(10&gt;LEN(B244),MID(B244,10,1)=".",ISNUMBER(FIND("x"&amp;MID(B244,10,1),"x0x1x2x3x4x5x6x7x8x9"))),OR(AND(FIND(".",B244)=5,LEN(B244)-FIND(".",B244,FIND(".",B244)+1)&gt;=1,LEN(B244)-FIND(".",B244,FIND(".",B244)+1)&lt;=2),AND(LEN(B244)-FIND(".",B244,FIND(".",B244)+1)=4,FIND(".",B244)&gt;=2,FIND(".",B244)&lt;=3)),FIND(".",B244,FIND(".",B244)+1)-FIND(".",B244)&gt;=2,FIND(".",B244,FIND(".",B244)+1)-FIND(".",B244)&lt;=3,F244&gt;=2000,F244&lt;=2100,YEAR(I244)=F244,MONTH(I244)=G244,DAY(I244)=H244),I244,0)),0)</ns0:f>
        <ns0:v>0</ns0:v>
      </ns0:c>
      <ns0:c r="K244" s="0">
        <ns0:f>IFERROR(IF(ISNUMBER(Bookings!D244),"",TRIM(Bookings!D244&amp;"")),"")</ns0:f>
      </ns0:c>
      <ns0:c r="L244" s="0">
        <ns0:f>IFERROR(SUBSTITUTE(SUBSTITUTE(K244,"/","."),"-","."),"")</ns0:f>
      </ns0:c>
      <ns0:c r="M244" s="0">
        <ns0:f>IFERROR(LEFT(L244,FIND(".",L244)-1),"")</ns0:f>
      </ns0:c>
      <ns0:c r="N244" s="0">
        <ns0:f>IFERROR(MID(L244,FIND(".",L244)+1,FIND(".",L244,FIND(".",L244)+1)-FIND(".",L244)-1),"")</ns0:f>
      </ns0:c>
      <ns0:c r="O244" s="0">
        <ns0:f>IFERROR(MID(L244,FIND(".",L244,FIND(".",L244)+1)+1,99),"")</ns0:f>
        <ns0:v>99</ns0:v>
      </ns0:c>
      <ns0:c r="P244" s="0">
        <ns0:f>IFERROR(IF(FIND(".",L244)=5,--M244,--O244),0)</ns0:f>
        <ns0:v>0</ns0:v>
      </ns0:c>
      <ns0:c r="Q244" s="0">
        <ns0:f>IFERROR(--N244,0)</ns0:f>
        <ns0:v>0</ns0:v>
      </ns0:c>
      <ns0:c r="R244" s="0">
        <ns0:f>IFERROR(IF(FIND(".",L244)=5,--O244,--M244),0)</ns0:f>
        <ns0:v>0</ns0:v>
      </ns0:c>
      <ns0:c r="S244" s="0">
        <ns0:f>IFERROR(IF(AND(P244&gt;=2000,P244&lt;=2100,Q244&gt;=1,Q244&lt;=12,R244&gt;=1,R244&lt;=31),DATE(P244,Q244,R244),0),0)</ns0:f>
        <ns0:v>0</ns0:v>
      </ns0:c>
      <ns0:c r="T244" s="0">
        <ns0:f>IFERROR(IF(ISNUMBER(Bookings!D244),IF(AND(Bookings!D244=INT(Bookings!D244),Bookings!D244&gt;=DATE(2000,1,1),Bookings!D244&lt;=DATE(2100,12,31)),Bookings!D244,0),IF(AND(K244&lt;&gt;"",LEN("x"&amp;L244)-LEN(SUBSTITUTE("x"&amp;L244,".",""))=2,OR(1&gt;LEN(L244),MID(L244,1,1)=".",ISNUMBER(FIND("x"&amp;MID(L244,1,1),"x0x1x2x3x4x5x6x7x8x9"))),OR(2&gt;LEN(L244),MID(L244,2,1)=".",ISNUMBER(FIND("x"&amp;MID(L244,2,1),"x0x1x2x3x4x5x6x7x8x9"))),OR(3&gt;LEN(L244),MID(L244,3,1)=".",ISNUMBER(FIND("x"&amp;MID(L244,3,1),"x0x1x2x3x4x5x6x7x8x9"))),OR(4&gt;LEN(L244),MID(L244,4,1)=".",ISNUMBER(FIND("x"&amp;MID(L244,4,1),"x0x1x2x3x4x5x6x7x8x9"))),OR(5&gt;LEN(L244),MID(L244,5,1)=".",ISNUMBER(FIND("x"&amp;MID(L244,5,1),"x0x1x2x3x4x5x6x7x8x9"))),OR(6&gt;LEN(L244),MID(L244,6,1)=".",ISNUMBER(FIND("x"&amp;MID(L244,6,1),"x0x1x2x3x4x5x6x7x8x9"))),OR(7&gt;LEN(L244),MID(L244,7,1)=".",ISNUMBER(FIND("x"&amp;MID(L244,7,1),"x0x1x2x3x4x5x6x7x8x9"))),OR(8&gt;LEN(L244),MID(L244,8,1)=".",ISNUMBER(FIND("x"&amp;MID(L244,8,1),"x0x1x2x3x4x5x6x7x8x9"))),OR(9&gt;LEN(L244),MID(L244,9,1)=".",ISNUMBER(FIND("x"&amp;MID(L244,9,1),"x0x1x2x3x4x5x6x7x8x9"))),OR(10&gt;LEN(L244),MID(L244,10,1)=".",ISNUMBER(FIND("x"&amp;MID(L244,10,1),"x0x1x2x3x4x5x6x7x8x9"))),OR(AND(FIND(".",L244)=5,LEN(L244)-FIND(".",L244,FIND(".",L244)+1)&gt;=1,LEN(L244)-FIND(".",L244,FIND(".",L244)+1)&lt;=2),AND(LEN(L244)-FIND(".",L244,FIND(".",L244)+1)=4,FIND(".",L244)&gt;=2,FIND(".",L244)&lt;=3)),FIND(".",L244,FIND(".",L244)+1)-FIND(".",L244)&gt;=2,FIND(".",L244,FIND(".",L244)+1)-FIND(".",L244)&lt;=3,P244&gt;=2000,P244&lt;=2100,YEAR(S244)=P244,MONTH(S244)=Q244,DAY(S244)=R244),S244,0)),0)</ns0:f>
        <ns0:v>0</ns0:v>
      </ns0:c>
      <ns0:c r="U244" s="0" t="str">
        <ns0:f>IF(Bookings!C244="","Full day",Bookings!C244)</ns0:f>
        <ns0:v>Full day</ns0:v>
      </ns0:c>
      <ns0:c r="V244" s="0" t="str">
        <ns0:f>IF(Bookings!E244="","Full day",Bookings!E244)</ns0:f>
        <ns0:v>Full day</ns0:v>
      </ns0:c>
      <ns0:c r="W244" s="0">
        <ns0:f>IF(J244=0,0,J244+IF(U244="PM",1,0))</ns0:f>
        <ns0:v>0</ns0:v>
      </ns0:c>
      <ns0:c r="X244" s="0">
        <ns0:f>IF(T244=0,0,T244-IF(V244="PM",1,0))</ns0:f>
        <ns0:v>0</ns0:v>
      </ns0:c>
      <ns0:c r="Y244" s="0">
        <ns0:f>IF(J244=0,0,J244+IF(U244="AM",1,0))</ns0:f>
        <ns0:v>0</ns0:v>
      </ns0:c>
      <ns0:c r="Z244" s="0">
        <ns0:f>IF(T244=0,0,T244-IF(V244="AM",1,0))</ns0:f>
        <ns0:v>0</ns0:v>
      </ns0:c>
      <ns0:c r="AA244" s="0">
        <ns0:f>IFERROR(IF(AND(J244&gt;0,'_Engine'!C244&gt;0,MID('_Engine'!W244,WEEKDAY(J244,2),1)="W",COUNTIF(Settings!$F$18:$F$67,J244)=0),1,0),0)</ns0:f>
        <ns0:v>0</ns0:v>
      </ns0:c>
      <ns0:c r="AB244" s="0">
        <ns0:f>IFERROR(IF(AND(T244&gt;0,'_Engine'!C244&gt;0,MID('_Engine'!W244,WEEKDAY(T244,2),1)="W",COUNTIF(Settings!$F$18:$F$67,T244)=0),1,0),0)</ns0:f>
        <ns0:v>0</ns0:v>
      </ns0:c>
      <ns0:c r="AC244" s="0">
        <ns0:f>IF(AND(J244&gt;0,T244&gt;0,W244&lt;=X244),1,0)</ns0:f>
        <ns0:v>0</ns0:v>
      </ns0:c>
      <ns0:c r="AD244" s="0">
        <ns0:f>IF(AND(J244&gt;0,T244&gt;0,Y244&lt;=Z244),1,0)</ns0:f>
        <ns0:v>0</ns0:v>
      </ns0:c>
    </ns0:row>
    <ns0:row r="245">
      <ns0:c r="A245" s="0">
        <ns0:f>IFERROR(IF(ISNUMBER(Bookings!B245),"",TRIM(Bookings!B245&amp;"")),"")</ns0:f>
      </ns0:c>
      <ns0:c r="B245" s="0">
        <ns0:f>IFERROR(SUBSTITUTE(SUBSTITUTE(A245,"/","."),"-","."),"")</ns0:f>
      </ns0:c>
      <ns0:c r="C245" s="0">
        <ns0:f>IFERROR(LEFT(B245,FIND(".",B245)-1),"")</ns0:f>
      </ns0:c>
      <ns0:c r="D245" s="0">
        <ns0:f>IFERROR(MID(B245,FIND(".",B245)+1,FIND(".",B245,FIND(".",B245)+1)-FIND(".",B245)-1),"")</ns0:f>
      </ns0:c>
      <ns0:c r="E245" s="0">
        <ns0:f>IFERROR(MID(B245,FIND(".",B245,FIND(".",B245)+1)+1,99),"")</ns0:f>
        <ns0:v>99</ns0:v>
      </ns0:c>
      <ns0:c r="F245" s="0">
        <ns0:f>IFERROR(IF(FIND(".",B245)=5,--C245,--E245),0)</ns0:f>
        <ns0:v>0</ns0:v>
      </ns0:c>
      <ns0:c r="G245" s="0">
        <ns0:f>IFERROR(--D245,0)</ns0:f>
        <ns0:v>0</ns0:v>
      </ns0:c>
      <ns0:c r="H245" s="0">
        <ns0:f>IFERROR(IF(FIND(".",B245)=5,--E245,--C245),0)</ns0:f>
        <ns0:v>0</ns0:v>
      </ns0:c>
      <ns0:c r="I245" s="0">
        <ns0:f>IFERROR(IF(AND(F245&gt;=2000,F245&lt;=2100,G245&gt;=1,G245&lt;=12,H245&gt;=1,H245&lt;=31),DATE(F245,G245,H245),0),0)</ns0:f>
        <ns0:v>0</ns0:v>
      </ns0:c>
      <ns0:c r="J245" s="0">
        <ns0:f>IFERROR(IF(ISNUMBER(Bookings!B245),IF(AND(Bookings!B245=INT(Bookings!B245),Bookings!B245&gt;=DATE(2000,1,1),Bookings!B245&lt;=DATE(2100,12,31)),Bookings!B245,0),IF(AND(A245&lt;&gt;"",LEN("x"&amp;B245)-LEN(SUBSTITUTE("x"&amp;B245,".",""))=2,OR(1&gt;LEN(B245),MID(B245,1,1)=".",ISNUMBER(FIND("x"&amp;MID(B245,1,1),"x0x1x2x3x4x5x6x7x8x9"))),OR(2&gt;LEN(B245),MID(B245,2,1)=".",ISNUMBER(FIND("x"&amp;MID(B245,2,1),"x0x1x2x3x4x5x6x7x8x9"))),OR(3&gt;LEN(B245),MID(B245,3,1)=".",ISNUMBER(FIND("x"&amp;MID(B245,3,1),"x0x1x2x3x4x5x6x7x8x9"))),OR(4&gt;LEN(B245),MID(B245,4,1)=".",ISNUMBER(FIND("x"&amp;MID(B245,4,1),"x0x1x2x3x4x5x6x7x8x9"))),OR(5&gt;LEN(B245),MID(B245,5,1)=".",ISNUMBER(FIND("x"&amp;MID(B245,5,1),"x0x1x2x3x4x5x6x7x8x9"))),OR(6&gt;LEN(B245),MID(B245,6,1)=".",ISNUMBER(FIND("x"&amp;MID(B245,6,1),"x0x1x2x3x4x5x6x7x8x9"))),OR(7&gt;LEN(B245),MID(B245,7,1)=".",ISNUMBER(FIND("x"&amp;MID(B245,7,1),"x0x1x2x3x4x5x6x7x8x9"))),OR(8&gt;LEN(B245),MID(B245,8,1)=".",ISNUMBER(FIND("x"&amp;MID(B245,8,1),"x0x1x2x3x4x5x6x7x8x9"))),OR(9&gt;LEN(B245),MID(B245,9,1)=".",ISNUMBER(FIND("x"&amp;MID(B245,9,1),"x0x1x2x3x4x5x6x7x8x9"))),OR(10&gt;LEN(B245),MID(B245,10,1)=".",ISNUMBER(FIND("x"&amp;MID(B245,10,1),"x0x1x2x3x4x5x6x7x8x9"))),OR(AND(FIND(".",B245)=5,LEN(B245)-FIND(".",B245,FIND(".",B245)+1)&gt;=1,LEN(B245)-FIND(".",B245,FIND(".",B245)+1)&lt;=2),AND(LEN(B245)-FIND(".",B245,FIND(".",B245)+1)=4,FIND(".",B245)&gt;=2,FIND(".",B245)&lt;=3)),FIND(".",B245,FIND(".",B245)+1)-FIND(".",B245)&gt;=2,FIND(".",B245,FIND(".",B245)+1)-FIND(".",B245)&lt;=3,F245&gt;=2000,F245&lt;=2100,YEAR(I245)=F245,MONTH(I245)=G245,DAY(I245)=H245),I245,0)),0)</ns0:f>
        <ns0:v>0</ns0:v>
      </ns0:c>
      <ns0:c r="K245" s="0">
        <ns0:f>IFERROR(IF(ISNUMBER(Bookings!D245),"",TRIM(Bookings!D245&amp;"")),"")</ns0:f>
      </ns0:c>
      <ns0:c r="L245" s="0">
        <ns0:f>IFERROR(SUBSTITUTE(SUBSTITUTE(K245,"/","."),"-","."),"")</ns0:f>
      </ns0:c>
      <ns0:c r="M245" s="0">
        <ns0:f>IFERROR(LEFT(L245,FIND(".",L245)-1),"")</ns0:f>
      </ns0:c>
      <ns0:c r="N245" s="0">
        <ns0:f>IFERROR(MID(L245,FIND(".",L245)+1,FIND(".",L245,FIND(".",L245)+1)-FIND(".",L245)-1),"")</ns0:f>
      </ns0:c>
      <ns0:c r="O245" s="0">
        <ns0:f>IFERROR(MID(L245,FIND(".",L245,FIND(".",L245)+1)+1,99),"")</ns0:f>
        <ns0:v>99</ns0:v>
      </ns0:c>
      <ns0:c r="P245" s="0">
        <ns0:f>IFERROR(IF(FIND(".",L245)=5,--M245,--O245),0)</ns0:f>
        <ns0:v>0</ns0:v>
      </ns0:c>
      <ns0:c r="Q245" s="0">
        <ns0:f>IFERROR(--N245,0)</ns0:f>
        <ns0:v>0</ns0:v>
      </ns0:c>
      <ns0:c r="R245" s="0">
        <ns0:f>IFERROR(IF(FIND(".",L245)=5,--O245,--M245),0)</ns0:f>
        <ns0:v>0</ns0:v>
      </ns0:c>
      <ns0:c r="S245" s="0">
        <ns0:f>IFERROR(IF(AND(P245&gt;=2000,P245&lt;=2100,Q245&gt;=1,Q245&lt;=12,R245&gt;=1,R245&lt;=31),DATE(P245,Q245,R245),0),0)</ns0:f>
        <ns0:v>0</ns0:v>
      </ns0:c>
      <ns0:c r="T245" s="0">
        <ns0:f>IFERROR(IF(ISNUMBER(Bookings!D245),IF(AND(Bookings!D245=INT(Bookings!D245),Bookings!D245&gt;=DATE(2000,1,1),Bookings!D245&lt;=DATE(2100,12,31)),Bookings!D245,0),IF(AND(K245&lt;&gt;"",LEN("x"&amp;L245)-LEN(SUBSTITUTE("x"&amp;L245,".",""))=2,OR(1&gt;LEN(L245),MID(L245,1,1)=".",ISNUMBER(FIND("x"&amp;MID(L245,1,1),"x0x1x2x3x4x5x6x7x8x9"))),OR(2&gt;LEN(L245),MID(L245,2,1)=".",ISNUMBER(FIND("x"&amp;MID(L245,2,1),"x0x1x2x3x4x5x6x7x8x9"))),OR(3&gt;LEN(L245),MID(L245,3,1)=".",ISNUMBER(FIND("x"&amp;MID(L245,3,1),"x0x1x2x3x4x5x6x7x8x9"))),OR(4&gt;LEN(L245),MID(L245,4,1)=".",ISNUMBER(FIND("x"&amp;MID(L245,4,1),"x0x1x2x3x4x5x6x7x8x9"))),OR(5&gt;LEN(L245),MID(L245,5,1)=".",ISNUMBER(FIND("x"&amp;MID(L245,5,1),"x0x1x2x3x4x5x6x7x8x9"))),OR(6&gt;LEN(L245),MID(L245,6,1)=".",ISNUMBER(FIND("x"&amp;MID(L245,6,1),"x0x1x2x3x4x5x6x7x8x9"))),OR(7&gt;LEN(L245),MID(L245,7,1)=".",ISNUMBER(FIND("x"&amp;MID(L245,7,1),"x0x1x2x3x4x5x6x7x8x9"))),OR(8&gt;LEN(L245),MID(L245,8,1)=".",ISNUMBER(FIND("x"&amp;MID(L245,8,1),"x0x1x2x3x4x5x6x7x8x9"))),OR(9&gt;LEN(L245),MID(L245,9,1)=".",ISNUMBER(FIND("x"&amp;MID(L245,9,1),"x0x1x2x3x4x5x6x7x8x9"))),OR(10&gt;LEN(L245),MID(L245,10,1)=".",ISNUMBER(FIND("x"&amp;MID(L245,10,1),"x0x1x2x3x4x5x6x7x8x9"))),OR(AND(FIND(".",L245)=5,LEN(L245)-FIND(".",L245,FIND(".",L245)+1)&gt;=1,LEN(L245)-FIND(".",L245,FIND(".",L245)+1)&lt;=2),AND(LEN(L245)-FIND(".",L245,FIND(".",L245)+1)=4,FIND(".",L245)&gt;=2,FIND(".",L245)&lt;=3)),FIND(".",L245,FIND(".",L245)+1)-FIND(".",L245)&gt;=2,FIND(".",L245,FIND(".",L245)+1)-FIND(".",L245)&lt;=3,P245&gt;=2000,P245&lt;=2100,YEAR(S245)=P245,MONTH(S245)=Q245,DAY(S245)=R245),S245,0)),0)</ns0:f>
        <ns0:v>0</ns0:v>
      </ns0:c>
      <ns0:c r="U245" s="0" t="str">
        <ns0:f>IF(Bookings!C245="","Full day",Bookings!C245)</ns0:f>
        <ns0:v>Full day</ns0:v>
      </ns0:c>
      <ns0:c r="V245" s="0" t="str">
        <ns0:f>IF(Bookings!E245="","Full day",Bookings!E245)</ns0:f>
        <ns0:v>Full day</ns0:v>
      </ns0:c>
      <ns0:c r="W245" s="0">
        <ns0:f>IF(J245=0,0,J245+IF(U245="PM",1,0))</ns0:f>
        <ns0:v>0</ns0:v>
      </ns0:c>
      <ns0:c r="X245" s="0">
        <ns0:f>IF(T245=0,0,T245-IF(V245="PM",1,0))</ns0:f>
        <ns0:v>0</ns0:v>
      </ns0:c>
      <ns0:c r="Y245" s="0">
        <ns0:f>IF(J245=0,0,J245+IF(U245="AM",1,0))</ns0:f>
        <ns0:v>0</ns0:v>
      </ns0:c>
      <ns0:c r="Z245" s="0">
        <ns0:f>IF(T245=0,0,T245-IF(V245="AM",1,0))</ns0:f>
        <ns0:v>0</ns0:v>
      </ns0:c>
      <ns0:c r="AA245" s="0">
        <ns0:f>IFERROR(IF(AND(J245&gt;0,'_Engine'!C245&gt;0,MID('_Engine'!W245,WEEKDAY(J245,2),1)="W",COUNTIF(Settings!$F$18:$F$67,J245)=0),1,0),0)</ns0:f>
        <ns0:v>0</ns0:v>
      </ns0:c>
      <ns0:c r="AB245" s="0">
        <ns0:f>IFERROR(IF(AND(T245&gt;0,'_Engine'!C245&gt;0,MID('_Engine'!W245,WEEKDAY(T245,2),1)="W",COUNTIF(Settings!$F$18:$F$67,T245)=0),1,0),0)</ns0:f>
        <ns0:v>0</ns0:v>
      </ns0:c>
      <ns0:c r="AC245" s="0">
        <ns0:f>IF(AND(J245&gt;0,T245&gt;0,W245&lt;=X245),1,0)</ns0:f>
        <ns0:v>0</ns0:v>
      </ns0:c>
      <ns0:c r="AD245" s="0">
        <ns0:f>IF(AND(J245&gt;0,T245&gt;0,Y245&lt;=Z245),1,0)</ns0:f>
        <ns0:v>0</ns0:v>
      </ns0:c>
    </ns0:row>
    <ns0:row r="246">
      <ns0:c r="A246" s="0">
        <ns0:f>IFERROR(IF(ISNUMBER(Bookings!B246),"",TRIM(Bookings!B246&amp;"")),"")</ns0:f>
      </ns0:c>
      <ns0:c r="B246" s="0">
        <ns0:f>IFERROR(SUBSTITUTE(SUBSTITUTE(A246,"/","."),"-","."),"")</ns0:f>
      </ns0:c>
      <ns0:c r="C246" s="0">
        <ns0:f>IFERROR(LEFT(B246,FIND(".",B246)-1),"")</ns0:f>
      </ns0:c>
      <ns0:c r="D246" s="0">
        <ns0:f>IFERROR(MID(B246,FIND(".",B246)+1,FIND(".",B246,FIND(".",B246)+1)-FIND(".",B246)-1),"")</ns0:f>
      </ns0:c>
      <ns0:c r="E246" s="0">
        <ns0:f>IFERROR(MID(B246,FIND(".",B246,FIND(".",B246)+1)+1,99),"")</ns0:f>
        <ns0:v>99</ns0:v>
      </ns0:c>
      <ns0:c r="F246" s="0">
        <ns0:f>IFERROR(IF(FIND(".",B246)=5,--C246,--E246),0)</ns0:f>
        <ns0:v>0</ns0:v>
      </ns0:c>
      <ns0:c r="G246" s="0">
        <ns0:f>IFERROR(--D246,0)</ns0:f>
        <ns0:v>0</ns0:v>
      </ns0:c>
      <ns0:c r="H246" s="0">
        <ns0:f>IFERROR(IF(FIND(".",B246)=5,--E246,--C246),0)</ns0:f>
        <ns0:v>0</ns0:v>
      </ns0:c>
      <ns0:c r="I246" s="0">
        <ns0:f>IFERROR(IF(AND(F246&gt;=2000,F246&lt;=2100,G246&gt;=1,G246&lt;=12,H246&gt;=1,H246&lt;=31),DATE(F246,G246,H246),0),0)</ns0:f>
        <ns0:v>0</ns0:v>
      </ns0:c>
      <ns0:c r="J246" s="0">
        <ns0:f>IFERROR(IF(ISNUMBER(Bookings!B246),IF(AND(Bookings!B246=INT(Bookings!B246),Bookings!B246&gt;=DATE(2000,1,1),Bookings!B246&lt;=DATE(2100,12,31)),Bookings!B246,0),IF(AND(A246&lt;&gt;"",LEN("x"&amp;B246)-LEN(SUBSTITUTE("x"&amp;B246,".",""))=2,OR(1&gt;LEN(B246),MID(B246,1,1)=".",ISNUMBER(FIND("x"&amp;MID(B246,1,1),"x0x1x2x3x4x5x6x7x8x9"))),OR(2&gt;LEN(B246),MID(B246,2,1)=".",ISNUMBER(FIND("x"&amp;MID(B246,2,1),"x0x1x2x3x4x5x6x7x8x9"))),OR(3&gt;LEN(B246),MID(B246,3,1)=".",ISNUMBER(FIND("x"&amp;MID(B246,3,1),"x0x1x2x3x4x5x6x7x8x9"))),OR(4&gt;LEN(B246),MID(B246,4,1)=".",ISNUMBER(FIND("x"&amp;MID(B246,4,1),"x0x1x2x3x4x5x6x7x8x9"))),OR(5&gt;LEN(B246),MID(B246,5,1)=".",ISNUMBER(FIND("x"&amp;MID(B246,5,1),"x0x1x2x3x4x5x6x7x8x9"))),OR(6&gt;LEN(B246),MID(B246,6,1)=".",ISNUMBER(FIND("x"&amp;MID(B246,6,1),"x0x1x2x3x4x5x6x7x8x9"))),OR(7&gt;LEN(B246),MID(B246,7,1)=".",ISNUMBER(FIND("x"&amp;MID(B246,7,1),"x0x1x2x3x4x5x6x7x8x9"))),OR(8&gt;LEN(B246),MID(B246,8,1)=".",ISNUMBER(FIND("x"&amp;MID(B246,8,1),"x0x1x2x3x4x5x6x7x8x9"))),OR(9&gt;LEN(B246),MID(B246,9,1)=".",ISNUMBER(FIND("x"&amp;MID(B246,9,1),"x0x1x2x3x4x5x6x7x8x9"))),OR(10&gt;LEN(B246),MID(B246,10,1)=".",ISNUMBER(FIND("x"&amp;MID(B246,10,1),"x0x1x2x3x4x5x6x7x8x9"))),OR(AND(FIND(".",B246)=5,LEN(B246)-FIND(".",B246,FIND(".",B246)+1)&gt;=1,LEN(B246)-FIND(".",B246,FIND(".",B246)+1)&lt;=2),AND(LEN(B246)-FIND(".",B246,FIND(".",B246)+1)=4,FIND(".",B246)&gt;=2,FIND(".",B246)&lt;=3)),FIND(".",B246,FIND(".",B246)+1)-FIND(".",B246)&gt;=2,FIND(".",B246,FIND(".",B246)+1)-FIND(".",B246)&lt;=3,F246&gt;=2000,F246&lt;=2100,YEAR(I246)=F246,MONTH(I246)=G246,DAY(I246)=H246),I246,0)),0)</ns0:f>
        <ns0:v>0</ns0:v>
      </ns0:c>
      <ns0:c r="K246" s="0">
        <ns0:f>IFERROR(IF(ISNUMBER(Bookings!D246),"",TRIM(Bookings!D246&amp;"")),"")</ns0:f>
      </ns0:c>
      <ns0:c r="L246" s="0">
        <ns0:f>IFERROR(SUBSTITUTE(SUBSTITUTE(K246,"/","."),"-","."),"")</ns0:f>
      </ns0:c>
      <ns0:c r="M246" s="0">
        <ns0:f>IFERROR(LEFT(L246,FIND(".",L246)-1),"")</ns0:f>
      </ns0:c>
      <ns0:c r="N246" s="0">
        <ns0:f>IFERROR(MID(L246,FIND(".",L246)+1,FIND(".",L246,FIND(".",L246)+1)-FIND(".",L246)-1),"")</ns0:f>
      </ns0:c>
      <ns0:c r="O246" s="0">
        <ns0:f>IFERROR(MID(L246,FIND(".",L246,FIND(".",L246)+1)+1,99),"")</ns0:f>
        <ns0:v>99</ns0:v>
      </ns0:c>
      <ns0:c r="P246" s="0">
        <ns0:f>IFERROR(IF(FIND(".",L246)=5,--M246,--O246),0)</ns0:f>
        <ns0:v>0</ns0:v>
      </ns0:c>
      <ns0:c r="Q246" s="0">
        <ns0:f>IFERROR(--N246,0)</ns0:f>
        <ns0:v>0</ns0:v>
      </ns0:c>
      <ns0:c r="R246" s="0">
        <ns0:f>IFERROR(IF(FIND(".",L246)=5,--O246,--M246),0)</ns0:f>
        <ns0:v>0</ns0:v>
      </ns0:c>
      <ns0:c r="S246" s="0">
        <ns0:f>IFERROR(IF(AND(P246&gt;=2000,P246&lt;=2100,Q246&gt;=1,Q246&lt;=12,R246&gt;=1,R246&lt;=31),DATE(P246,Q246,R246),0),0)</ns0:f>
        <ns0:v>0</ns0:v>
      </ns0:c>
      <ns0:c r="T246" s="0">
        <ns0:f>IFERROR(IF(ISNUMBER(Bookings!D246),IF(AND(Bookings!D246=INT(Bookings!D246),Bookings!D246&gt;=DATE(2000,1,1),Bookings!D246&lt;=DATE(2100,12,31)),Bookings!D246,0),IF(AND(K246&lt;&gt;"",LEN("x"&amp;L246)-LEN(SUBSTITUTE("x"&amp;L246,".",""))=2,OR(1&gt;LEN(L246),MID(L246,1,1)=".",ISNUMBER(FIND("x"&amp;MID(L246,1,1),"x0x1x2x3x4x5x6x7x8x9"))),OR(2&gt;LEN(L246),MID(L246,2,1)=".",ISNUMBER(FIND("x"&amp;MID(L246,2,1),"x0x1x2x3x4x5x6x7x8x9"))),OR(3&gt;LEN(L246),MID(L246,3,1)=".",ISNUMBER(FIND("x"&amp;MID(L246,3,1),"x0x1x2x3x4x5x6x7x8x9"))),OR(4&gt;LEN(L246),MID(L246,4,1)=".",ISNUMBER(FIND("x"&amp;MID(L246,4,1),"x0x1x2x3x4x5x6x7x8x9"))),OR(5&gt;LEN(L246),MID(L246,5,1)=".",ISNUMBER(FIND("x"&amp;MID(L246,5,1),"x0x1x2x3x4x5x6x7x8x9"))),OR(6&gt;LEN(L246),MID(L246,6,1)=".",ISNUMBER(FIND("x"&amp;MID(L246,6,1),"x0x1x2x3x4x5x6x7x8x9"))),OR(7&gt;LEN(L246),MID(L246,7,1)=".",ISNUMBER(FIND("x"&amp;MID(L246,7,1),"x0x1x2x3x4x5x6x7x8x9"))),OR(8&gt;LEN(L246),MID(L246,8,1)=".",ISNUMBER(FIND("x"&amp;MID(L246,8,1),"x0x1x2x3x4x5x6x7x8x9"))),OR(9&gt;LEN(L246),MID(L246,9,1)=".",ISNUMBER(FIND("x"&amp;MID(L246,9,1),"x0x1x2x3x4x5x6x7x8x9"))),OR(10&gt;LEN(L246),MID(L246,10,1)=".",ISNUMBER(FIND("x"&amp;MID(L246,10,1),"x0x1x2x3x4x5x6x7x8x9"))),OR(AND(FIND(".",L246)=5,LEN(L246)-FIND(".",L246,FIND(".",L246)+1)&gt;=1,LEN(L246)-FIND(".",L246,FIND(".",L246)+1)&lt;=2),AND(LEN(L246)-FIND(".",L246,FIND(".",L246)+1)=4,FIND(".",L246)&gt;=2,FIND(".",L246)&lt;=3)),FIND(".",L246,FIND(".",L246)+1)-FIND(".",L246)&gt;=2,FIND(".",L246,FIND(".",L246)+1)-FIND(".",L246)&lt;=3,P246&gt;=2000,P246&lt;=2100,YEAR(S246)=P246,MONTH(S246)=Q246,DAY(S246)=R246),S246,0)),0)</ns0:f>
        <ns0:v>0</ns0:v>
      </ns0:c>
      <ns0:c r="U246" s="0" t="str">
        <ns0:f>IF(Bookings!C246="","Full day",Bookings!C246)</ns0:f>
        <ns0:v>Full day</ns0:v>
      </ns0:c>
      <ns0:c r="V246" s="0" t="str">
        <ns0:f>IF(Bookings!E246="","Full day",Bookings!E246)</ns0:f>
        <ns0:v>Full day</ns0:v>
      </ns0:c>
      <ns0:c r="W246" s="0">
        <ns0:f>IF(J246=0,0,J246+IF(U246="PM",1,0))</ns0:f>
        <ns0:v>0</ns0:v>
      </ns0:c>
      <ns0:c r="X246" s="0">
        <ns0:f>IF(T246=0,0,T246-IF(V246="PM",1,0))</ns0:f>
        <ns0:v>0</ns0:v>
      </ns0:c>
      <ns0:c r="Y246" s="0">
        <ns0:f>IF(J246=0,0,J246+IF(U246="AM",1,0))</ns0:f>
        <ns0:v>0</ns0:v>
      </ns0:c>
      <ns0:c r="Z246" s="0">
        <ns0:f>IF(T246=0,0,T246-IF(V246="AM",1,0))</ns0:f>
        <ns0:v>0</ns0:v>
      </ns0:c>
      <ns0:c r="AA246" s="0">
        <ns0:f>IFERROR(IF(AND(J246&gt;0,'_Engine'!C246&gt;0,MID('_Engine'!W246,WEEKDAY(J246,2),1)="W",COUNTIF(Settings!$F$18:$F$67,J246)=0),1,0),0)</ns0:f>
        <ns0:v>0</ns0:v>
      </ns0:c>
      <ns0:c r="AB246" s="0">
        <ns0:f>IFERROR(IF(AND(T246&gt;0,'_Engine'!C246&gt;0,MID('_Engine'!W246,WEEKDAY(T246,2),1)="W",COUNTIF(Settings!$F$18:$F$67,T246)=0),1,0),0)</ns0:f>
        <ns0:v>0</ns0:v>
      </ns0:c>
      <ns0:c r="AC246" s="0">
        <ns0:f>IF(AND(J246&gt;0,T246&gt;0,W246&lt;=X246),1,0)</ns0:f>
        <ns0:v>0</ns0:v>
      </ns0:c>
      <ns0:c r="AD246" s="0">
        <ns0:f>IF(AND(J246&gt;0,T246&gt;0,Y246&lt;=Z246),1,0)</ns0:f>
        <ns0:v>0</ns0:v>
      </ns0:c>
    </ns0:row>
    <ns0:row r="247">
      <ns0:c r="A247" s="0">
        <ns0:f>IFERROR(IF(ISNUMBER(Bookings!B247),"",TRIM(Bookings!B247&amp;"")),"")</ns0:f>
      </ns0:c>
      <ns0:c r="B247" s="0">
        <ns0:f>IFERROR(SUBSTITUTE(SUBSTITUTE(A247,"/","."),"-","."),"")</ns0:f>
      </ns0:c>
      <ns0:c r="C247" s="0">
        <ns0:f>IFERROR(LEFT(B247,FIND(".",B247)-1),"")</ns0:f>
      </ns0:c>
      <ns0:c r="D247" s="0">
        <ns0:f>IFERROR(MID(B247,FIND(".",B247)+1,FIND(".",B247,FIND(".",B247)+1)-FIND(".",B247)-1),"")</ns0:f>
      </ns0:c>
      <ns0:c r="E247" s="0">
        <ns0:f>IFERROR(MID(B247,FIND(".",B247,FIND(".",B247)+1)+1,99),"")</ns0:f>
        <ns0:v>99</ns0:v>
      </ns0:c>
      <ns0:c r="F247" s="0">
        <ns0:f>IFERROR(IF(FIND(".",B247)=5,--C247,--E247),0)</ns0:f>
        <ns0:v>0</ns0:v>
      </ns0:c>
      <ns0:c r="G247" s="0">
        <ns0:f>IFERROR(--D247,0)</ns0:f>
        <ns0:v>0</ns0:v>
      </ns0:c>
      <ns0:c r="H247" s="0">
        <ns0:f>IFERROR(IF(FIND(".",B247)=5,--E247,--C247),0)</ns0:f>
        <ns0:v>0</ns0:v>
      </ns0:c>
      <ns0:c r="I247" s="0">
        <ns0:f>IFERROR(IF(AND(F247&gt;=2000,F247&lt;=2100,G247&gt;=1,G247&lt;=12,H247&gt;=1,H247&lt;=31),DATE(F247,G247,H247),0),0)</ns0:f>
        <ns0:v>0</ns0:v>
      </ns0:c>
      <ns0:c r="J247" s="0">
        <ns0:f>IFERROR(IF(ISNUMBER(Bookings!B247),IF(AND(Bookings!B247=INT(Bookings!B247),Bookings!B247&gt;=DATE(2000,1,1),Bookings!B247&lt;=DATE(2100,12,31)),Bookings!B247,0),IF(AND(A247&lt;&gt;"",LEN("x"&amp;B247)-LEN(SUBSTITUTE("x"&amp;B247,".",""))=2,OR(1&gt;LEN(B247),MID(B247,1,1)=".",ISNUMBER(FIND("x"&amp;MID(B247,1,1),"x0x1x2x3x4x5x6x7x8x9"))),OR(2&gt;LEN(B247),MID(B247,2,1)=".",ISNUMBER(FIND("x"&amp;MID(B247,2,1),"x0x1x2x3x4x5x6x7x8x9"))),OR(3&gt;LEN(B247),MID(B247,3,1)=".",ISNUMBER(FIND("x"&amp;MID(B247,3,1),"x0x1x2x3x4x5x6x7x8x9"))),OR(4&gt;LEN(B247),MID(B247,4,1)=".",ISNUMBER(FIND("x"&amp;MID(B247,4,1),"x0x1x2x3x4x5x6x7x8x9"))),OR(5&gt;LEN(B247),MID(B247,5,1)=".",ISNUMBER(FIND("x"&amp;MID(B247,5,1),"x0x1x2x3x4x5x6x7x8x9"))),OR(6&gt;LEN(B247),MID(B247,6,1)=".",ISNUMBER(FIND("x"&amp;MID(B247,6,1),"x0x1x2x3x4x5x6x7x8x9"))),OR(7&gt;LEN(B247),MID(B247,7,1)=".",ISNUMBER(FIND("x"&amp;MID(B247,7,1),"x0x1x2x3x4x5x6x7x8x9"))),OR(8&gt;LEN(B247),MID(B247,8,1)=".",ISNUMBER(FIND("x"&amp;MID(B247,8,1),"x0x1x2x3x4x5x6x7x8x9"))),OR(9&gt;LEN(B247),MID(B247,9,1)=".",ISNUMBER(FIND("x"&amp;MID(B247,9,1),"x0x1x2x3x4x5x6x7x8x9"))),OR(10&gt;LEN(B247),MID(B247,10,1)=".",ISNUMBER(FIND("x"&amp;MID(B247,10,1),"x0x1x2x3x4x5x6x7x8x9"))),OR(AND(FIND(".",B247)=5,LEN(B247)-FIND(".",B247,FIND(".",B247)+1)&gt;=1,LEN(B247)-FIND(".",B247,FIND(".",B247)+1)&lt;=2),AND(LEN(B247)-FIND(".",B247,FIND(".",B247)+1)=4,FIND(".",B247)&gt;=2,FIND(".",B247)&lt;=3)),FIND(".",B247,FIND(".",B247)+1)-FIND(".",B247)&gt;=2,FIND(".",B247,FIND(".",B247)+1)-FIND(".",B247)&lt;=3,F247&gt;=2000,F247&lt;=2100,YEAR(I247)=F247,MONTH(I247)=G247,DAY(I247)=H247),I247,0)),0)</ns0:f>
        <ns0:v>0</ns0:v>
      </ns0:c>
      <ns0:c r="K247" s="0">
        <ns0:f>IFERROR(IF(ISNUMBER(Bookings!D247),"",TRIM(Bookings!D247&amp;"")),"")</ns0:f>
      </ns0:c>
      <ns0:c r="L247" s="0">
        <ns0:f>IFERROR(SUBSTITUTE(SUBSTITUTE(K247,"/","."),"-","."),"")</ns0:f>
      </ns0:c>
      <ns0:c r="M247" s="0">
        <ns0:f>IFERROR(LEFT(L247,FIND(".",L247)-1),"")</ns0:f>
      </ns0:c>
      <ns0:c r="N247" s="0">
        <ns0:f>IFERROR(MID(L247,FIND(".",L247)+1,FIND(".",L247,FIND(".",L247)+1)-FIND(".",L247)-1),"")</ns0:f>
      </ns0:c>
      <ns0:c r="O247" s="0">
        <ns0:f>IFERROR(MID(L247,FIND(".",L247,FIND(".",L247)+1)+1,99),"")</ns0:f>
        <ns0:v>99</ns0:v>
      </ns0:c>
      <ns0:c r="P247" s="0">
        <ns0:f>IFERROR(IF(FIND(".",L247)=5,--M247,--O247),0)</ns0:f>
        <ns0:v>0</ns0:v>
      </ns0:c>
      <ns0:c r="Q247" s="0">
        <ns0:f>IFERROR(--N247,0)</ns0:f>
        <ns0:v>0</ns0:v>
      </ns0:c>
      <ns0:c r="R247" s="0">
        <ns0:f>IFERROR(IF(FIND(".",L247)=5,--O247,--M247),0)</ns0:f>
        <ns0:v>0</ns0:v>
      </ns0:c>
      <ns0:c r="S247" s="0">
        <ns0:f>IFERROR(IF(AND(P247&gt;=2000,P247&lt;=2100,Q247&gt;=1,Q247&lt;=12,R247&gt;=1,R247&lt;=31),DATE(P247,Q247,R247),0),0)</ns0:f>
        <ns0:v>0</ns0:v>
      </ns0:c>
      <ns0:c r="T247" s="0">
        <ns0:f>IFERROR(IF(ISNUMBER(Bookings!D247),IF(AND(Bookings!D247=INT(Bookings!D247),Bookings!D247&gt;=DATE(2000,1,1),Bookings!D247&lt;=DATE(2100,12,31)),Bookings!D247,0),IF(AND(K247&lt;&gt;"",LEN("x"&amp;L247)-LEN(SUBSTITUTE("x"&amp;L247,".",""))=2,OR(1&gt;LEN(L247),MID(L247,1,1)=".",ISNUMBER(FIND("x"&amp;MID(L247,1,1),"x0x1x2x3x4x5x6x7x8x9"))),OR(2&gt;LEN(L247),MID(L247,2,1)=".",ISNUMBER(FIND("x"&amp;MID(L247,2,1),"x0x1x2x3x4x5x6x7x8x9"))),OR(3&gt;LEN(L247),MID(L247,3,1)=".",ISNUMBER(FIND("x"&amp;MID(L247,3,1),"x0x1x2x3x4x5x6x7x8x9"))),OR(4&gt;LEN(L247),MID(L247,4,1)=".",ISNUMBER(FIND("x"&amp;MID(L247,4,1),"x0x1x2x3x4x5x6x7x8x9"))),OR(5&gt;LEN(L247),MID(L247,5,1)=".",ISNUMBER(FIND("x"&amp;MID(L247,5,1),"x0x1x2x3x4x5x6x7x8x9"))),OR(6&gt;LEN(L247),MID(L247,6,1)=".",ISNUMBER(FIND("x"&amp;MID(L247,6,1),"x0x1x2x3x4x5x6x7x8x9"))),OR(7&gt;LEN(L247),MID(L247,7,1)=".",ISNUMBER(FIND("x"&amp;MID(L247,7,1),"x0x1x2x3x4x5x6x7x8x9"))),OR(8&gt;LEN(L247),MID(L247,8,1)=".",ISNUMBER(FIND("x"&amp;MID(L247,8,1),"x0x1x2x3x4x5x6x7x8x9"))),OR(9&gt;LEN(L247),MID(L247,9,1)=".",ISNUMBER(FIND("x"&amp;MID(L247,9,1),"x0x1x2x3x4x5x6x7x8x9"))),OR(10&gt;LEN(L247),MID(L247,10,1)=".",ISNUMBER(FIND("x"&amp;MID(L247,10,1),"x0x1x2x3x4x5x6x7x8x9"))),OR(AND(FIND(".",L247)=5,LEN(L247)-FIND(".",L247,FIND(".",L247)+1)&gt;=1,LEN(L247)-FIND(".",L247,FIND(".",L247)+1)&lt;=2),AND(LEN(L247)-FIND(".",L247,FIND(".",L247)+1)=4,FIND(".",L247)&gt;=2,FIND(".",L247)&lt;=3)),FIND(".",L247,FIND(".",L247)+1)-FIND(".",L247)&gt;=2,FIND(".",L247,FIND(".",L247)+1)-FIND(".",L247)&lt;=3,P247&gt;=2000,P247&lt;=2100,YEAR(S247)=P247,MONTH(S247)=Q247,DAY(S247)=R247),S247,0)),0)</ns0:f>
        <ns0:v>0</ns0:v>
      </ns0:c>
      <ns0:c r="U247" s="0" t="str">
        <ns0:f>IF(Bookings!C247="","Full day",Bookings!C247)</ns0:f>
        <ns0:v>Full day</ns0:v>
      </ns0:c>
      <ns0:c r="V247" s="0" t="str">
        <ns0:f>IF(Bookings!E247="","Full day",Bookings!E247)</ns0:f>
        <ns0:v>Full day</ns0:v>
      </ns0:c>
      <ns0:c r="W247" s="0">
        <ns0:f>IF(J247=0,0,J247+IF(U247="PM",1,0))</ns0:f>
        <ns0:v>0</ns0:v>
      </ns0:c>
      <ns0:c r="X247" s="0">
        <ns0:f>IF(T247=0,0,T247-IF(V247="PM",1,0))</ns0:f>
        <ns0:v>0</ns0:v>
      </ns0:c>
      <ns0:c r="Y247" s="0">
        <ns0:f>IF(J247=0,0,J247+IF(U247="AM",1,0))</ns0:f>
        <ns0:v>0</ns0:v>
      </ns0:c>
      <ns0:c r="Z247" s="0">
        <ns0:f>IF(T247=0,0,T247-IF(V247="AM",1,0))</ns0:f>
        <ns0:v>0</ns0:v>
      </ns0:c>
      <ns0:c r="AA247" s="0">
        <ns0:f>IFERROR(IF(AND(J247&gt;0,'_Engine'!C247&gt;0,MID('_Engine'!W247,WEEKDAY(J247,2),1)="W",COUNTIF(Settings!$F$18:$F$67,J247)=0),1,0),0)</ns0:f>
        <ns0:v>0</ns0:v>
      </ns0:c>
      <ns0:c r="AB247" s="0">
        <ns0:f>IFERROR(IF(AND(T247&gt;0,'_Engine'!C247&gt;0,MID('_Engine'!W247,WEEKDAY(T247,2),1)="W",COUNTIF(Settings!$F$18:$F$67,T247)=0),1,0),0)</ns0:f>
        <ns0:v>0</ns0:v>
      </ns0:c>
      <ns0:c r="AC247" s="0">
        <ns0:f>IF(AND(J247&gt;0,T247&gt;0,W247&lt;=X247),1,0)</ns0:f>
        <ns0:v>0</ns0:v>
      </ns0:c>
      <ns0:c r="AD247" s="0">
        <ns0:f>IF(AND(J247&gt;0,T247&gt;0,Y247&lt;=Z247),1,0)</ns0:f>
        <ns0:v>0</ns0:v>
      </ns0:c>
    </ns0:row>
    <ns0:row r="248">
      <ns0:c r="A248" s="0">
        <ns0:f>IFERROR(IF(ISNUMBER(Bookings!B248),"",TRIM(Bookings!B248&amp;"")),"")</ns0:f>
      </ns0:c>
      <ns0:c r="B248" s="0">
        <ns0:f>IFERROR(SUBSTITUTE(SUBSTITUTE(A248,"/","."),"-","."),"")</ns0:f>
      </ns0:c>
      <ns0:c r="C248" s="0">
        <ns0:f>IFERROR(LEFT(B248,FIND(".",B248)-1),"")</ns0:f>
      </ns0:c>
      <ns0:c r="D248" s="0">
        <ns0:f>IFERROR(MID(B248,FIND(".",B248)+1,FIND(".",B248,FIND(".",B248)+1)-FIND(".",B248)-1),"")</ns0:f>
      </ns0:c>
      <ns0:c r="E248" s="0">
        <ns0:f>IFERROR(MID(B248,FIND(".",B248,FIND(".",B248)+1)+1,99),"")</ns0:f>
        <ns0:v>99</ns0:v>
      </ns0:c>
      <ns0:c r="F248" s="0">
        <ns0:f>IFERROR(IF(FIND(".",B248)=5,--C248,--E248),0)</ns0:f>
        <ns0:v>0</ns0:v>
      </ns0:c>
      <ns0:c r="G248" s="0">
        <ns0:f>IFERROR(--D248,0)</ns0:f>
        <ns0:v>0</ns0:v>
      </ns0:c>
      <ns0:c r="H248" s="0">
        <ns0:f>IFERROR(IF(FIND(".",B248)=5,--E248,--C248),0)</ns0:f>
        <ns0:v>0</ns0:v>
      </ns0:c>
      <ns0:c r="I248" s="0">
        <ns0:f>IFERROR(IF(AND(F248&gt;=2000,F248&lt;=2100,G248&gt;=1,G248&lt;=12,H248&gt;=1,H248&lt;=31),DATE(F248,G248,H248),0),0)</ns0:f>
        <ns0:v>0</ns0:v>
      </ns0:c>
      <ns0:c r="J248" s="0">
        <ns0:f>IFERROR(IF(ISNUMBER(Bookings!B248),IF(AND(Bookings!B248=INT(Bookings!B248),Bookings!B248&gt;=DATE(2000,1,1),Bookings!B248&lt;=DATE(2100,12,31)),Bookings!B248,0),IF(AND(A248&lt;&gt;"",LEN("x"&amp;B248)-LEN(SUBSTITUTE("x"&amp;B248,".",""))=2,OR(1&gt;LEN(B248),MID(B248,1,1)=".",ISNUMBER(FIND("x"&amp;MID(B248,1,1),"x0x1x2x3x4x5x6x7x8x9"))),OR(2&gt;LEN(B248),MID(B248,2,1)=".",ISNUMBER(FIND("x"&amp;MID(B248,2,1),"x0x1x2x3x4x5x6x7x8x9"))),OR(3&gt;LEN(B248),MID(B248,3,1)=".",ISNUMBER(FIND("x"&amp;MID(B248,3,1),"x0x1x2x3x4x5x6x7x8x9"))),OR(4&gt;LEN(B248),MID(B248,4,1)=".",ISNUMBER(FIND("x"&amp;MID(B248,4,1),"x0x1x2x3x4x5x6x7x8x9"))),OR(5&gt;LEN(B248),MID(B248,5,1)=".",ISNUMBER(FIND("x"&amp;MID(B248,5,1),"x0x1x2x3x4x5x6x7x8x9"))),OR(6&gt;LEN(B248),MID(B248,6,1)=".",ISNUMBER(FIND("x"&amp;MID(B248,6,1),"x0x1x2x3x4x5x6x7x8x9"))),OR(7&gt;LEN(B248),MID(B248,7,1)=".",ISNUMBER(FIND("x"&amp;MID(B248,7,1),"x0x1x2x3x4x5x6x7x8x9"))),OR(8&gt;LEN(B248),MID(B248,8,1)=".",ISNUMBER(FIND("x"&amp;MID(B248,8,1),"x0x1x2x3x4x5x6x7x8x9"))),OR(9&gt;LEN(B248),MID(B248,9,1)=".",ISNUMBER(FIND("x"&amp;MID(B248,9,1),"x0x1x2x3x4x5x6x7x8x9"))),OR(10&gt;LEN(B248),MID(B248,10,1)=".",ISNUMBER(FIND("x"&amp;MID(B248,10,1),"x0x1x2x3x4x5x6x7x8x9"))),OR(AND(FIND(".",B248)=5,LEN(B248)-FIND(".",B248,FIND(".",B248)+1)&gt;=1,LEN(B248)-FIND(".",B248,FIND(".",B248)+1)&lt;=2),AND(LEN(B248)-FIND(".",B248,FIND(".",B248)+1)=4,FIND(".",B248)&gt;=2,FIND(".",B248)&lt;=3)),FIND(".",B248,FIND(".",B248)+1)-FIND(".",B248)&gt;=2,FIND(".",B248,FIND(".",B248)+1)-FIND(".",B248)&lt;=3,F248&gt;=2000,F248&lt;=2100,YEAR(I248)=F248,MONTH(I248)=G248,DAY(I248)=H248),I248,0)),0)</ns0:f>
        <ns0:v>0</ns0:v>
      </ns0:c>
      <ns0:c r="K248" s="0">
        <ns0:f>IFERROR(IF(ISNUMBER(Bookings!D248),"",TRIM(Bookings!D248&amp;"")),"")</ns0:f>
      </ns0:c>
      <ns0:c r="L248" s="0">
        <ns0:f>IFERROR(SUBSTITUTE(SUBSTITUTE(K248,"/","."),"-","."),"")</ns0:f>
      </ns0:c>
      <ns0:c r="M248" s="0">
        <ns0:f>IFERROR(LEFT(L248,FIND(".",L248)-1),"")</ns0:f>
      </ns0:c>
      <ns0:c r="N248" s="0">
        <ns0:f>IFERROR(MID(L248,FIND(".",L248)+1,FIND(".",L248,FIND(".",L248)+1)-FIND(".",L248)-1),"")</ns0:f>
      </ns0:c>
      <ns0:c r="O248" s="0">
        <ns0:f>IFERROR(MID(L248,FIND(".",L248,FIND(".",L248)+1)+1,99),"")</ns0:f>
        <ns0:v>99</ns0:v>
      </ns0:c>
      <ns0:c r="P248" s="0">
        <ns0:f>IFERROR(IF(FIND(".",L248)=5,--M248,--O248),0)</ns0:f>
        <ns0:v>0</ns0:v>
      </ns0:c>
      <ns0:c r="Q248" s="0">
        <ns0:f>IFERROR(--N248,0)</ns0:f>
        <ns0:v>0</ns0:v>
      </ns0:c>
      <ns0:c r="R248" s="0">
        <ns0:f>IFERROR(IF(FIND(".",L248)=5,--O248,--M248),0)</ns0:f>
        <ns0:v>0</ns0:v>
      </ns0:c>
      <ns0:c r="S248" s="0">
        <ns0:f>IFERROR(IF(AND(P248&gt;=2000,P248&lt;=2100,Q248&gt;=1,Q248&lt;=12,R248&gt;=1,R248&lt;=31),DATE(P248,Q248,R248),0),0)</ns0:f>
        <ns0:v>0</ns0:v>
      </ns0:c>
      <ns0:c r="T248" s="0">
        <ns0:f>IFERROR(IF(ISNUMBER(Bookings!D248),IF(AND(Bookings!D248=INT(Bookings!D248),Bookings!D248&gt;=DATE(2000,1,1),Bookings!D248&lt;=DATE(2100,12,31)),Bookings!D248,0),IF(AND(K248&lt;&gt;"",LEN("x"&amp;L248)-LEN(SUBSTITUTE("x"&amp;L248,".",""))=2,OR(1&gt;LEN(L248),MID(L248,1,1)=".",ISNUMBER(FIND("x"&amp;MID(L248,1,1),"x0x1x2x3x4x5x6x7x8x9"))),OR(2&gt;LEN(L248),MID(L248,2,1)=".",ISNUMBER(FIND("x"&amp;MID(L248,2,1),"x0x1x2x3x4x5x6x7x8x9"))),OR(3&gt;LEN(L248),MID(L248,3,1)=".",ISNUMBER(FIND("x"&amp;MID(L248,3,1),"x0x1x2x3x4x5x6x7x8x9"))),OR(4&gt;LEN(L248),MID(L248,4,1)=".",ISNUMBER(FIND("x"&amp;MID(L248,4,1),"x0x1x2x3x4x5x6x7x8x9"))),OR(5&gt;LEN(L248),MID(L248,5,1)=".",ISNUMBER(FIND("x"&amp;MID(L248,5,1),"x0x1x2x3x4x5x6x7x8x9"))),OR(6&gt;LEN(L248),MID(L248,6,1)=".",ISNUMBER(FIND("x"&amp;MID(L248,6,1),"x0x1x2x3x4x5x6x7x8x9"))),OR(7&gt;LEN(L248),MID(L248,7,1)=".",ISNUMBER(FIND("x"&amp;MID(L248,7,1),"x0x1x2x3x4x5x6x7x8x9"))),OR(8&gt;LEN(L248),MID(L248,8,1)=".",ISNUMBER(FIND("x"&amp;MID(L248,8,1),"x0x1x2x3x4x5x6x7x8x9"))),OR(9&gt;LEN(L248),MID(L248,9,1)=".",ISNUMBER(FIND("x"&amp;MID(L248,9,1),"x0x1x2x3x4x5x6x7x8x9"))),OR(10&gt;LEN(L248),MID(L248,10,1)=".",ISNUMBER(FIND("x"&amp;MID(L248,10,1),"x0x1x2x3x4x5x6x7x8x9"))),OR(AND(FIND(".",L248)=5,LEN(L248)-FIND(".",L248,FIND(".",L248)+1)&gt;=1,LEN(L248)-FIND(".",L248,FIND(".",L248)+1)&lt;=2),AND(LEN(L248)-FIND(".",L248,FIND(".",L248)+1)=4,FIND(".",L248)&gt;=2,FIND(".",L248)&lt;=3)),FIND(".",L248,FIND(".",L248)+1)-FIND(".",L248)&gt;=2,FIND(".",L248,FIND(".",L248)+1)-FIND(".",L248)&lt;=3,P248&gt;=2000,P248&lt;=2100,YEAR(S248)=P248,MONTH(S248)=Q248,DAY(S248)=R248),S248,0)),0)</ns0:f>
        <ns0:v>0</ns0:v>
      </ns0:c>
      <ns0:c r="U248" s="0" t="str">
        <ns0:f>IF(Bookings!C248="","Full day",Bookings!C248)</ns0:f>
        <ns0:v>Full day</ns0:v>
      </ns0:c>
      <ns0:c r="V248" s="0" t="str">
        <ns0:f>IF(Bookings!E248="","Full day",Bookings!E248)</ns0:f>
        <ns0:v>Full day</ns0:v>
      </ns0:c>
      <ns0:c r="W248" s="0">
        <ns0:f>IF(J248=0,0,J248+IF(U248="PM",1,0))</ns0:f>
        <ns0:v>0</ns0:v>
      </ns0:c>
      <ns0:c r="X248" s="0">
        <ns0:f>IF(T248=0,0,T248-IF(V248="PM",1,0))</ns0:f>
        <ns0:v>0</ns0:v>
      </ns0:c>
      <ns0:c r="Y248" s="0">
        <ns0:f>IF(J248=0,0,J248+IF(U248="AM",1,0))</ns0:f>
        <ns0:v>0</ns0:v>
      </ns0:c>
      <ns0:c r="Z248" s="0">
        <ns0:f>IF(T248=0,0,T248-IF(V248="AM",1,0))</ns0:f>
        <ns0:v>0</ns0:v>
      </ns0:c>
      <ns0:c r="AA248" s="0">
        <ns0:f>IFERROR(IF(AND(J248&gt;0,'_Engine'!C248&gt;0,MID('_Engine'!W248,WEEKDAY(J248,2),1)="W",COUNTIF(Settings!$F$18:$F$67,J248)=0),1,0),0)</ns0:f>
        <ns0:v>0</ns0:v>
      </ns0:c>
      <ns0:c r="AB248" s="0">
        <ns0:f>IFERROR(IF(AND(T248&gt;0,'_Engine'!C248&gt;0,MID('_Engine'!W248,WEEKDAY(T248,2),1)="W",COUNTIF(Settings!$F$18:$F$67,T248)=0),1,0),0)</ns0:f>
        <ns0:v>0</ns0:v>
      </ns0:c>
      <ns0:c r="AC248" s="0">
        <ns0:f>IF(AND(J248&gt;0,T248&gt;0,W248&lt;=X248),1,0)</ns0:f>
        <ns0:v>0</ns0:v>
      </ns0:c>
      <ns0:c r="AD248" s="0">
        <ns0:f>IF(AND(J248&gt;0,T248&gt;0,Y248&lt;=Z248),1,0)</ns0:f>
        <ns0:v>0</ns0:v>
      </ns0:c>
    </ns0:row>
    <ns0:row r="249">
      <ns0:c r="A249" s="0">
        <ns0:f>IFERROR(IF(ISNUMBER(Bookings!B249),"",TRIM(Bookings!B249&amp;"")),"")</ns0:f>
      </ns0:c>
      <ns0:c r="B249" s="0">
        <ns0:f>IFERROR(SUBSTITUTE(SUBSTITUTE(A249,"/","."),"-","."),"")</ns0:f>
      </ns0:c>
      <ns0:c r="C249" s="0">
        <ns0:f>IFERROR(LEFT(B249,FIND(".",B249)-1),"")</ns0:f>
      </ns0:c>
      <ns0:c r="D249" s="0">
        <ns0:f>IFERROR(MID(B249,FIND(".",B249)+1,FIND(".",B249,FIND(".",B249)+1)-FIND(".",B249)-1),"")</ns0:f>
      </ns0:c>
      <ns0:c r="E249" s="0">
        <ns0:f>IFERROR(MID(B249,FIND(".",B249,FIND(".",B249)+1)+1,99),"")</ns0:f>
        <ns0:v>99</ns0:v>
      </ns0:c>
      <ns0:c r="F249" s="0">
        <ns0:f>IFERROR(IF(FIND(".",B249)=5,--C249,--E249),0)</ns0:f>
        <ns0:v>0</ns0:v>
      </ns0:c>
      <ns0:c r="G249" s="0">
        <ns0:f>IFERROR(--D249,0)</ns0:f>
        <ns0:v>0</ns0:v>
      </ns0:c>
      <ns0:c r="H249" s="0">
        <ns0:f>IFERROR(IF(FIND(".",B249)=5,--E249,--C249),0)</ns0:f>
        <ns0:v>0</ns0:v>
      </ns0:c>
      <ns0:c r="I249" s="0">
        <ns0:f>IFERROR(IF(AND(F249&gt;=2000,F249&lt;=2100,G249&gt;=1,G249&lt;=12,H249&gt;=1,H249&lt;=31),DATE(F249,G249,H249),0),0)</ns0:f>
        <ns0:v>0</ns0:v>
      </ns0:c>
      <ns0:c r="J249" s="0">
        <ns0:f>IFERROR(IF(ISNUMBER(Bookings!B249),IF(AND(Bookings!B249=INT(Bookings!B249),Bookings!B249&gt;=DATE(2000,1,1),Bookings!B249&lt;=DATE(2100,12,31)),Bookings!B249,0),IF(AND(A249&lt;&gt;"",LEN("x"&amp;B249)-LEN(SUBSTITUTE("x"&amp;B249,".",""))=2,OR(1&gt;LEN(B249),MID(B249,1,1)=".",ISNUMBER(FIND("x"&amp;MID(B249,1,1),"x0x1x2x3x4x5x6x7x8x9"))),OR(2&gt;LEN(B249),MID(B249,2,1)=".",ISNUMBER(FIND("x"&amp;MID(B249,2,1),"x0x1x2x3x4x5x6x7x8x9"))),OR(3&gt;LEN(B249),MID(B249,3,1)=".",ISNUMBER(FIND("x"&amp;MID(B249,3,1),"x0x1x2x3x4x5x6x7x8x9"))),OR(4&gt;LEN(B249),MID(B249,4,1)=".",ISNUMBER(FIND("x"&amp;MID(B249,4,1),"x0x1x2x3x4x5x6x7x8x9"))),OR(5&gt;LEN(B249),MID(B249,5,1)=".",ISNUMBER(FIND("x"&amp;MID(B249,5,1),"x0x1x2x3x4x5x6x7x8x9"))),OR(6&gt;LEN(B249),MID(B249,6,1)=".",ISNUMBER(FIND("x"&amp;MID(B249,6,1),"x0x1x2x3x4x5x6x7x8x9"))),OR(7&gt;LEN(B249),MID(B249,7,1)=".",ISNUMBER(FIND("x"&amp;MID(B249,7,1),"x0x1x2x3x4x5x6x7x8x9"))),OR(8&gt;LEN(B249),MID(B249,8,1)=".",ISNUMBER(FIND("x"&amp;MID(B249,8,1),"x0x1x2x3x4x5x6x7x8x9"))),OR(9&gt;LEN(B249),MID(B249,9,1)=".",ISNUMBER(FIND("x"&amp;MID(B249,9,1),"x0x1x2x3x4x5x6x7x8x9"))),OR(10&gt;LEN(B249),MID(B249,10,1)=".",ISNUMBER(FIND("x"&amp;MID(B249,10,1),"x0x1x2x3x4x5x6x7x8x9"))),OR(AND(FIND(".",B249)=5,LEN(B249)-FIND(".",B249,FIND(".",B249)+1)&gt;=1,LEN(B249)-FIND(".",B249,FIND(".",B249)+1)&lt;=2),AND(LEN(B249)-FIND(".",B249,FIND(".",B249)+1)=4,FIND(".",B249)&gt;=2,FIND(".",B249)&lt;=3)),FIND(".",B249,FIND(".",B249)+1)-FIND(".",B249)&gt;=2,FIND(".",B249,FIND(".",B249)+1)-FIND(".",B249)&lt;=3,F249&gt;=2000,F249&lt;=2100,YEAR(I249)=F249,MONTH(I249)=G249,DAY(I249)=H249),I249,0)),0)</ns0:f>
        <ns0:v>0</ns0:v>
      </ns0:c>
      <ns0:c r="K249" s="0">
        <ns0:f>IFERROR(IF(ISNUMBER(Bookings!D249),"",TRIM(Bookings!D249&amp;"")),"")</ns0:f>
      </ns0:c>
      <ns0:c r="L249" s="0">
        <ns0:f>IFERROR(SUBSTITUTE(SUBSTITUTE(K249,"/","."),"-","."),"")</ns0:f>
      </ns0:c>
      <ns0:c r="M249" s="0">
        <ns0:f>IFERROR(LEFT(L249,FIND(".",L249)-1),"")</ns0:f>
      </ns0:c>
      <ns0:c r="N249" s="0">
        <ns0:f>IFERROR(MID(L249,FIND(".",L249)+1,FIND(".",L249,FIND(".",L249)+1)-FIND(".",L249)-1),"")</ns0:f>
      </ns0:c>
      <ns0:c r="O249" s="0">
        <ns0:f>IFERROR(MID(L249,FIND(".",L249,FIND(".",L249)+1)+1,99),"")</ns0:f>
        <ns0:v>99</ns0:v>
      </ns0:c>
      <ns0:c r="P249" s="0">
        <ns0:f>IFERROR(IF(FIND(".",L249)=5,--M249,--O249),0)</ns0:f>
        <ns0:v>0</ns0:v>
      </ns0:c>
      <ns0:c r="Q249" s="0">
        <ns0:f>IFERROR(--N249,0)</ns0:f>
        <ns0:v>0</ns0:v>
      </ns0:c>
      <ns0:c r="R249" s="0">
        <ns0:f>IFERROR(IF(FIND(".",L249)=5,--O249,--M249),0)</ns0:f>
        <ns0:v>0</ns0:v>
      </ns0:c>
      <ns0:c r="S249" s="0">
        <ns0:f>IFERROR(IF(AND(P249&gt;=2000,P249&lt;=2100,Q249&gt;=1,Q249&lt;=12,R249&gt;=1,R249&lt;=31),DATE(P249,Q249,R249),0),0)</ns0:f>
        <ns0:v>0</ns0:v>
      </ns0:c>
      <ns0:c r="T249" s="0">
        <ns0:f>IFERROR(IF(ISNUMBER(Bookings!D249),IF(AND(Bookings!D249=INT(Bookings!D249),Bookings!D249&gt;=DATE(2000,1,1),Bookings!D249&lt;=DATE(2100,12,31)),Bookings!D249,0),IF(AND(K249&lt;&gt;"",LEN("x"&amp;L249)-LEN(SUBSTITUTE("x"&amp;L249,".",""))=2,OR(1&gt;LEN(L249),MID(L249,1,1)=".",ISNUMBER(FIND("x"&amp;MID(L249,1,1),"x0x1x2x3x4x5x6x7x8x9"))),OR(2&gt;LEN(L249),MID(L249,2,1)=".",ISNUMBER(FIND("x"&amp;MID(L249,2,1),"x0x1x2x3x4x5x6x7x8x9"))),OR(3&gt;LEN(L249),MID(L249,3,1)=".",ISNUMBER(FIND("x"&amp;MID(L249,3,1),"x0x1x2x3x4x5x6x7x8x9"))),OR(4&gt;LEN(L249),MID(L249,4,1)=".",ISNUMBER(FIND("x"&amp;MID(L249,4,1),"x0x1x2x3x4x5x6x7x8x9"))),OR(5&gt;LEN(L249),MID(L249,5,1)=".",ISNUMBER(FIND("x"&amp;MID(L249,5,1),"x0x1x2x3x4x5x6x7x8x9"))),OR(6&gt;LEN(L249),MID(L249,6,1)=".",ISNUMBER(FIND("x"&amp;MID(L249,6,1),"x0x1x2x3x4x5x6x7x8x9"))),OR(7&gt;LEN(L249),MID(L249,7,1)=".",ISNUMBER(FIND("x"&amp;MID(L249,7,1),"x0x1x2x3x4x5x6x7x8x9"))),OR(8&gt;LEN(L249),MID(L249,8,1)=".",ISNUMBER(FIND("x"&amp;MID(L249,8,1),"x0x1x2x3x4x5x6x7x8x9"))),OR(9&gt;LEN(L249),MID(L249,9,1)=".",ISNUMBER(FIND("x"&amp;MID(L249,9,1),"x0x1x2x3x4x5x6x7x8x9"))),OR(10&gt;LEN(L249),MID(L249,10,1)=".",ISNUMBER(FIND("x"&amp;MID(L249,10,1),"x0x1x2x3x4x5x6x7x8x9"))),OR(AND(FIND(".",L249)=5,LEN(L249)-FIND(".",L249,FIND(".",L249)+1)&gt;=1,LEN(L249)-FIND(".",L249,FIND(".",L249)+1)&lt;=2),AND(LEN(L249)-FIND(".",L249,FIND(".",L249)+1)=4,FIND(".",L249)&gt;=2,FIND(".",L249)&lt;=3)),FIND(".",L249,FIND(".",L249)+1)-FIND(".",L249)&gt;=2,FIND(".",L249,FIND(".",L249)+1)-FIND(".",L249)&lt;=3,P249&gt;=2000,P249&lt;=2100,YEAR(S249)=P249,MONTH(S249)=Q249,DAY(S249)=R249),S249,0)),0)</ns0:f>
        <ns0:v>0</ns0:v>
      </ns0:c>
      <ns0:c r="U249" s="0" t="str">
        <ns0:f>IF(Bookings!C249="","Full day",Bookings!C249)</ns0:f>
        <ns0:v>Full day</ns0:v>
      </ns0:c>
      <ns0:c r="V249" s="0" t="str">
        <ns0:f>IF(Bookings!E249="","Full day",Bookings!E249)</ns0:f>
        <ns0:v>Full day</ns0:v>
      </ns0:c>
      <ns0:c r="W249" s="0">
        <ns0:f>IF(J249=0,0,J249+IF(U249="PM",1,0))</ns0:f>
        <ns0:v>0</ns0:v>
      </ns0:c>
      <ns0:c r="X249" s="0">
        <ns0:f>IF(T249=0,0,T249-IF(V249="PM",1,0))</ns0:f>
        <ns0:v>0</ns0:v>
      </ns0:c>
      <ns0:c r="Y249" s="0">
        <ns0:f>IF(J249=0,0,J249+IF(U249="AM",1,0))</ns0:f>
        <ns0:v>0</ns0:v>
      </ns0:c>
      <ns0:c r="Z249" s="0">
        <ns0:f>IF(T249=0,0,T249-IF(V249="AM",1,0))</ns0:f>
        <ns0:v>0</ns0:v>
      </ns0:c>
      <ns0:c r="AA249" s="0">
        <ns0:f>IFERROR(IF(AND(J249&gt;0,'_Engine'!C249&gt;0,MID('_Engine'!W249,WEEKDAY(J249,2),1)="W",COUNTIF(Settings!$F$18:$F$67,J249)=0),1,0),0)</ns0:f>
        <ns0:v>0</ns0:v>
      </ns0:c>
      <ns0:c r="AB249" s="0">
        <ns0:f>IFERROR(IF(AND(T249&gt;0,'_Engine'!C249&gt;0,MID('_Engine'!W249,WEEKDAY(T249,2),1)="W",COUNTIF(Settings!$F$18:$F$67,T249)=0),1,0),0)</ns0:f>
        <ns0:v>0</ns0:v>
      </ns0:c>
      <ns0:c r="AC249" s="0">
        <ns0:f>IF(AND(J249&gt;0,T249&gt;0,W249&lt;=X249),1,0)</ns0:f>
        <ns0:v>0</ns0:v>
      </ns0:c>
      <ns0:c r="AD249" s="0">
        <ns0:f>IF(AND(J249&gt;0,T249&gt;0,Y249&lt;=Z249),1,0)</ns0:f>
        <ns0:v>0</ns0:v>
      </ns0:c>
    </ns0:row>
    <ns0:row r="250">
      <ns0:c r="A250" s="0">
        <ns0:f>IFERROR(IF(ISNUMBER(Bookings!B250),"",TRIM(Bookings!B250&amp;"")),"")</ns0:f>
      </ns0:c>
      <ns0:c r="B250" s="0">
        <ns0:f>IFERROR(SUBSTITUTE(SUBSTITUTE(A250,"/","."),"-","."),"")</ns0:f>
      </ns0:c>
      <ns0:c r="C250" s="0">
        <ns0:f>IFERROR(LEFT(B250,FIND(".",B250)-1),"")</ns0:f>
      </ns0:c>
      <ns0:c r="D250" s="0">
        <ns0:f>IFERROR(MID(B250,FIND(".",B250)+1,FIND(".",B250,FIND(".",B250)+1)-FIND(".",B250)-1),"")</ns0:f>
      </ns0:c>
      <ns0:c r="E250" s="0">
        <ns0:f>IFERROR(MID(B250,FIND(".",B250,FIND(".",B250)+1)+1,99),"")</ns0:f>
        <ns0:v>99</ns0:v>
      </ns0:c>
      <ns0:c r="F250" s="0">
        <ns0:f>IFERROR(IF(FIND(".",B250)=5,--C250,--E250),0)</ns0:f>
        <ns0:v>0</ns0:v>
      </ns0:c>
      <ns0:c r="G250" s="0">
        <ns0:f>IFERROR(--D250,0)</ns0:f>
        <ns0:v>0</ns0:v>
      </ns0:c>
      <ns0:c r="H250" s="0">
        <ns0:f>IFERROR(IF(FIND(".",B250)=5,--E250,--C250),0)</ns0:f>
        <ns0:v>0</ns0:v>
      </ns0:c>
      <ns0:c r="I250" s="0">
        <ns0:f>IFERROR(IF(AND(F250&gt;=2000,F250&lt;=2100,G250&gt;=1,G250&lt;=12,H250&gt;=1,H250&lt;=31),DATE(F250,G250,H250),0),0)</ns0:f>
        <ns0:v>0</ns0:v>
      </ns0:c>
      <ns0:c r="J250" s="0">
        <ns0:f>IFERROR(IF(ISNUMBER(Bookings!B250),IF(AND(Bookings!B250=INT(Bookings!B250),Bookings!B250&gt;=DATE(2000,1,1),Bookings!B250&lt;=DATE(2100,12,31)),Bookings!B250,0),IF(AND(A250&lt;&gt;"",LEN("x"&amp;B250)-LEN(SUBSTITUTE("x"&amp;B250,".",""))=2,OR(1&gt;LEN(B250),MID(B250,1,1)=".",ISNUMBER(FIND("x"&amp;MID(B250,1,1),"x0x1x2x3x4x5x6x7x8x9"))),OR(2&gt;LEN(B250),MID(B250,2,1)=".",ISNUMBER(FIND("x"&amp;MID(B250,2,1),"x0x1x2x3x4x5x6x7x8x9"))),OR(3&gt;LEN(B250),MID(B250,3,1)=".",ISNUMBER(FIND("x"&amp;MID(B250,3,1),"x0x1x2x3x4x5x6x7x8x9"))),OR(4&gt;LEN(B250),MID(B250,4,1)=".",ISNUMBER(FIND("x"&amp;MID(B250,4,1),"x0x1x2x3x4x5x6x7x8x9"))),OR(5&gt;LEN(B250),MID(B250,5,1)=".",ISNUMBER(FIND("x"&amp;MID(B250,5,1),"x0x1x2x3x4x5x6x7x8x9"))),OR(6&gt;LEN(B250),MID(B250,6,1)=".",ISNUMBER(FIND("x"&amp;MID(B250,6,1),"x0x1x2x3x4x5x6x7x8x9"))),OR(7&gt;LEN(B250),MID(B250,7,1)=".",ISNUMBER(FIND("x"&amp;MID(B250,7,1),"x0x1x2x3x4x5x6x7x8x9"))),OR(8&gt;LEN(B250),MID(B250,8,1)=".",ISNUMBER(FIND("x"&amp;MID(B250,8,1),"x0x1x2x3x4x5x6x7x8x9"))),OR(9&gt;LEN(B250),MID(B250,9,1)=".",ISNUMBER(FIND("x"&amp;MID(B250,9,1),"x0x1x2x3x4x5x6x7x8x9"))),OR(10&gt;LEN(B250),MID(B250,10,1)=".",ISNUMBER(FIND("x"&amp;MID(B250,10,1),"x0x1x2x3x4x5x6x7x8x9"))),OR(AND(FIND(".",B250)=5,LEN(B250)-FIND(".",B250,FIND(".",B250)+1)&gt;=1,LEN(B250)-FIND(".",B250,FIND(".",B250)+1)&lt;=2),AND(LEN(B250)-FIND(".",B250,FIND(".",B250)+1)=4,FIND(".",B250)&gt;=2,FIND(".",B250)&lt;=3)),FIND(".",B250,FIND(".",B250)+1)-FIND(".",B250)&gt;=2,FIND(".",B250,FIND(".",B250)+1)-FIND(".",B250)&lt;=3,F250&gt;=2000,F250&lt;=2100,YEAR(I250)=F250,MONTH(I250)=G250,DAY(I250)=H250),I250,0)),0)</ns0:f>
        <ns0:v>0</ns0:v>
      </ns0:c>
      <ns0:c r="K250" s="0">
        <ns0:f>IFERROR(IF(ISNUMBER(Bookings!D250),"",TRIM(Bookings!D250&amp;"")),"")</ns0:f>
      </ns0:c>
      <ns0:c r="L250" s="0">
        <ns0:f>IFERROR(SUBSTITUTE(SUBSTITUTE(K250,"/","."),"-","."),"")</ns0:f>
      </ns0:c>
      <ns0:c r="M250" s="0">
        <ns0:f>IFERROR(LEFT(L250,FIND(".",L250)-1),"")</ns0:f>
      </ns0:c>
      <ns0:c r="N250" s="0">
        <ns0:f>IFERROR(MID(L250,FIND(".",L250)+1,FIND(".",L250,FIND(".",L250)+1)-FIND(".",L250)-1),"")</ns0:f>
      </ns0:c>
      <ns0:c r="O250" s="0">
        <ns0:f>IFERROR(MID(L250,FIND(".",L250,FIND(".",L250)+1)+1,99),"")</ns0:f>
        <ns0:v>99</ns0:v>
      </ns0:c>
      <ns0:c r="P250" s="0">
        <ns0:f>IFERROR(IF(FIND(".",L250)=5,--M250,--O250),0)</ns0:f>
        <ns0:v>0</ns0:v>
      </ns0:c>
      <ns0:c r="Q250" s="0">
        <ns0:f>IFERROR(--N250,0)</ns0:f>
        <ns0:v>0</ns0:v>
      </ns0:c>
      <ns0:c r="R250" s="0">
        <ns0:f>IFERROR(IF(FIND(".",L250)=5,--O250,--M250),0)</ns0:f>
        <ns0:v>0</ns0:v>
      </ns0:c>
      <ns0:c r="S250" s="0">
        <ns0:f>IFERROR(IF(AND(P250&gt;=2000,P250&lt;=2100,Q250&gt;=1,Q250&lt;=12,R250&gt;=1,R250&lt;=31),DATE(P250,Q250,R250),0),0)</ns0:f>
        <ns0:v>0</ns0:v>
      </ns0:c>
      <ns0:c r="T250" s="0">
        <ns0:f>IFERROR(IF(ISNUMBER(Bookings!D250),IF(AND(Bookings!D250=INT(Bookings!D250),Bookings!D250&gt;=DATE(2000,1,1),Bookings!D250&lt;=DATE(2100,12,31)),Bookings!D250,0),IF(AND(K250&lt;&gt;"",LEN("x"&amp;L250)-LEN(SUBSTITUTE("x"&amp;L250,".",""))=2,OR(1&gt;LEN(L250),MID(L250,1,1)=".",ISNUMBER(FIND("x"&amp;MID(L250,1,1),"x0x1x2x3x4x5x6x7x8x9"))),OR(2&gt;LEN(L250),MID(L250,2,1)=".",ISNUMBER(FIND("x"&amp;MID(L250,2,1),"x0x1x2x3x4x5x6x7x8x9"))),OR(3&gt;LEN(L250),MID(L250,3,1)=".",ISNUMBER(FIND("x"&amp;MID(L250,3,1),"x0x1x2x3x4x5x6x7x8x9"))),OR(4&gt;LEN(L250),MID(L250,4,1)=".",ISNUMBER(FIND("x"&amp;MID(L250,4,1),"x0x1x2x3x4x5x6x7x8x9"))),OR(5&gt;LEN(L250),MID(L250,5,1)=".",ISNUMBER(FIND("x"&amp;MID(L250,5,1),"x0x1x2x3x4x5x6x7x8x9"))),OR(6&gt;LEN(L250),MID(L250,6,1)=".",ISNUMBER(FIND("x"&amp;MID(L250,6,1),"x0x1x2x3x4x5x6x7x8x9"))),OR(7&gt;LEN(L250),MID(L250,7,1)=".",ISNUMBER(FIND("x"&amp;MID(L250,7,1),"x0x1x2x3x4x5x6x7x8x9"))),OR(8&gt;LEN(L250),MID(L250,8,1)=".",ISNUMBER(FIND("x"&amp;MID(L250,8,1),"x0x1x2x3x4x5x6x7x8x9"))),OR(9&gt;LEN(L250),MID(L250,9,1)=".",ISNUMBER(FIND("x"&amp;MID(L250,9,1),"x0x1x2x3x4x5x6x7x8x9"))),OR(10&gt;LEN(L250),MID(L250,10,1)=".",ISNUMBER(FIND("x"&amp;MID(L250,10,1),"x0x1x2x3x4x5x6x7x8x9"))),OR(AND(FIND(".",L250)=5,LEN(L250)-FIND(".",L250,FIND(".",L250)+1)&gt;=1,LEN(L250)-FIND(".",L250,FIND(".",L250)+1)&lt;=2),AND(LEN(L250)-FIND(".",L250,FIND(".",L250)+1)=4,FIND(".",L250)&gt;=2,FIND(".",L250)&lt;=3)),FIND(".",L250,FIND(".",L250)+1)-FIND(".",L250)&gt;=2,FIND(".",L250,FIND(".",L250)+1)-FIND(".",L250)&lt;=3,P250&gt;=2000,P250&lt;=2100,YEAR(S250)=P250,MONTH(S250)=Q250,DAY(S250)=R250),S250,0)),0)</ns0:f>
        <ns0:v>0</ns0:v>
      </ns0:c>
      <ns0:c r="U250" s="0" t="str">
        <ns0:f>IF(Bookings!C250="","Full day",Bookings!C250)</ns0:f>
        <ns0:v>Full day</ns0:v>
      </ns0:c>
      <ns0:c r="V250" s="0" t="str">
        <ns0:f>IF(Bookings!E250="","Full day",Bookings!E250)</ns0:f>
        <ns0:v>Full day</ns0:v>
      </ns0:c>
      <ns0:c r="W250" s="0">
        <ns0:f>IF(J250=0,0,J250+IF(U250="PM",1,0))</ns0:f>
        <ns0:v>0</ns0:v>
      </ns0:c>
      <ns0:c r="X250" s="0">
        <ns0:f>IF(T250=0,0,T250-IF(V250="PM",1,0))</ns0:f>
        <ns0:v>0</ns0:v>
      </ns0:c>
      <ns0:c r="Y250" s="0">
        <ns0:f>IF(J250=0,0,J250+IF(U250="AM",1,0))</ns0:f>
        <ns0:v>0</ns0:v>
      </ns0:c>
      <ns0:c r="Z250" s="0">
        <ns0:f>IF(T250=0,0,T250-IF(V250="AM",1,0))</ns0:f>
        <ns0:v>0</ns0:v>
      </ns0:c>
      <ns0:c r="AA250" s="0">
        <ns0:f>IFERROR(IF(AND(J250&gt;0,'_Engine'!C250&gt;0,MID('_Engine'!W250,WEEKDAY(J250,2),1)="W",COUNTIF(Settings!$F$18:$F$67,J250)=0),1,0),0)</ns0:f>
        <ns0:v>0</ns0:v>
      </ns0:c>
      <ns0:c r="AB250" s="0">
        <ns0:f>IFERROR(IF(AND(T250&gt;0,'_Engine'!C250&gt;0,MID('_Engine'!W250,WEEKDAY(T250,2),1)="W",COUNTIF(Settings!$F$18:$F$67,T250)=0),1,0),0)</ns0:f>
        <ns0:v>0</ns0:v>
      </ns0:c>
      <ns0:c r="AC250" s="0">
        <ns0:f>IF(AND(J250&gt;0,T250&gt;0,W250&lt;=X250),1,0)</ns0:f>
        <ns0:v>0</ns0:v>
      </ns0:c>
      <ns0:c r="AD250" s="0">
        <ns0:f>IF(AND(J250&gt;0,T250&gt;0,Y250&lt;=Z250),1,0)</ns0:f>
        <ns0:v>0</ns0:v>
      </ns0:c>
    </ns0:row>
    <ns0:row r="251">
      <ns0:c r="A251" s="0">
        <ns0:f>IFERROR(IF(ISNUMBER(Bookings!B251),"",TRIM(Bookings!B251&amp;"")),"")</ns0:f>
      </ns0:c>
      <ns0:c r="B251" s="0">
        <ns0:f>IFERROR(SUBSTITUTE(SUBSTITUTE(A251,"/","."),"-","."),"")</ns0:f>
      </ns0:c>
      <ns0:c r="C251" s="0">
        <ns0:f>IFERROR(LEFT(B251,FIND(".",B251)-1),"")</ns0:f>
      </ns0:c>
      <ns0:c r="D251" s="0">
        <ns0:f>IFERROR(MID(B251,FIND(".",B251)+1,FIND(".",B251,FIND(".",B251)+1)-FIND(".",B251)-1),"")</ns0:f>
      </ns0:c>
      <ns0:c r="E251" s="0">
        <ns0:f>IFERROR(MID(B251,FIND(".",B251,FIND(".",B251)+1)+1,99),"")</ns0:f>
        <ns0:v>99</ns0:v>
      </ns0:c>
      <ns0:c r="F251" s="0">
        <ns0:f>IFERROR(IF(FIND(".",B251)=5,--C251,--E251),0)</ns0:f>
        <ns0:v>0</ns0:v>
      </ns0:c>
      <ns0:c r="G251" s="0">
        <ns0:f>IFERROR(--D251,0)</ns0:f>
        <ns0:v>0</ns0:v>
      </ns0:c>
      <ns0:c r="H251" s="0">
        <ns0:f>IFERROR(IF(FIND(".",B251)=5,--E251,--C251),0)</ns0:f>
        <ns0:v>0</ns0:v>
      </ns0:c>
      <ns0:c r="I251" s="0">
        <ns0:f>IFERROR(IF(AND(F251&gt;=2000,F251&lt;=2100,G251&gt;=1,G251&lt;=12,H251&gt;=1,H251&lt;=31),DATE(F251,G251,H251),0),0)</ns0:f>
        <ns0:v>0</ns0:v>
      </ns0:c>
      <ns0:c r="J251" s="0">
        <ns0:f>IFERROR(IF(ISNUMBER(Bookings!B251),IF(AND(Bookings!B251=INT(Bookings!B251),Bookings!B251&gt;=DATE(2000,1,1),Bookings!B251&lt;=DATE(2100,12,31)),Bookings!B251,0),IF(AND(A251&lt;&gt;"",LEN("x"&amp;B251)-LEN(SUBSTITUTE("x"&amp;B251,".",""))=2,OR(1&gt;LEN(B251),MID(B251,1,1)=".",ISNUMBER(FIND("x"&amp;MID(B251,1,1),"x0x1x2x3x4x5x6x7x8x9"))),OR(2&gt;LEN(B251),MID(B251,2,1)=".",ISNUMBER(FIND("x"&amp;MID(B251,2,1),"x0x1x2x3x4x5x6x7x8x9"))),OR(3&gt;LEN(B251),MID(B251,3,1)=".",ISNUMBER(FIND("x"&amp;MID(B251,3,1),"x0x1x2x3x4x5x6x7x8x9"))),OR(4&gt;LEN(B251),MID(B251,4,1)=".",ISNUMBER(FIND("x"&amp;MID(B251,4,1),"x0x1x2x3x4x5x6x7x8x9"))),OR(5&gt;LEN(B251),MID(B251,5,1)=".",ISNUMBER(FIND("x"&amp;MID(B251,5,1),"x0x1x2x3x4x5x6x7x8x9"))),OR(6&gt;LEN(B251),MID(B251,6,1)=".",ISNUMBER(FIND("x"&amp;MID(B251,6,1),"x0x1x2x3x4x5x6x7x8x9"))),OR(7&gt;LEN(B251),MID(B251,7,1)=".",ISNUMBER(FIND("x"&amp;MID(B251,7,1),"x0x1x2x3x4x5x6x7x8x9"))),OR(8&gt;LEN(B251),MID(B251,8,1)=".",ISNUMBER(FIND("x"&amp;MID(B251,8,1),"x0x1x2x3x4x5x6x7x8x9"))),OR(9&gt;LEN(B251),MID(B251,9,1)=".",ISNUMBER(FIND("x"&amp;MID(B251,9,1),"x0x1x2x3x4x5x6x7x8x9"))),OR(10&gt;LEN(B251),MID(B251,10,1)=".",ISNUMBER(FIND("x"&amp;MID(B251,10,1),"x0x1x2x3x4x5x6x7x8x9"))),OR(AND(FIND(".",B251)=5,LEN(B251)-FIND(".",B251,FIND(".",B251)+1)&gt;=1,LEN(B251)-FIND(".",B251,FIND(".",B251)+1)&lt;=2),AND(LEN(B251)-FIND(".",B251,FIND(".",B251)+1)=4,FIND(".",B251)&gt;=2,FIND(".",B251)&lt;=3)),FIND(".",B251,FIND(".",B251)+1)-FIND(".",B251)&gt;=2,FIND(".",B251,FIND(".",B251)+1)-FIND(".",B251)&lt;=3,F251&gt;=2000,F251&lt;=2100,YEAR(I251)=F251,MONTH(I251)=G251,DAY(I251)=H251),I251,0)),0)</ns0:f>
        <ns0:v>0</ns0:v>
      </ns0:c>
      <ns0:c r="K251" s="0">
        <ns0:f>IFERROR(IF(ISNUMBER(Bookings!D251),"",TRIM(Bookings!D251&amp;"")),"")</ns0:f>
      </ns0:c>
      <ns0:c r="L251" s="0">
        <ns0:f>IFERROR(SUBSTITUTE(SUBSTITUTE(K251,"/","."),"-","."),"")</ns0:f>
      </ns0:c>
      <ns0:c r="M251" s="0">
        <ns0:f>IFERROR(LEFT(L251,FIND(".",L251)-1),"")</ns0:f>
      </ns0:c>
      <ns0:c r="N251" s="0">
        <ns0:f>IFERROR(MID(L251,FIND(".",L251)+1,FIND(".",L251,FIND(".",L251)+1)-FIND(".",L251)-1),"")</ns0:f>
      </ns0:c>
      <ns0:c r="O251" s="0">
        <ns0:f>IFERROR(MID(L251,FIND(".",L251,FIND(".",L251)+1)+1,99),"")</ns0:f>
        <ns0:v>99</ns0:v>
      </ns0:c>
      <ns0:c r="P251" s="0">
        <ns0:f>IFERROR(IF(FIND(".",L251)=5,--M251,--O251),0)</ns0:f>
        <ns0:v>0</ns0:v>
      </ns0:c>
      <ns0:c r="Q251" s="0">
        <ns0:f>IFERROR(--N251,0)</ns0:f>
        <ns0:v>0</ns0:v>
      </ns0:c>
      <ns0:c r="R251" s="0">
        <ns0:f>IFERROR(IF(FIND(".",L251)=5,--O251,--M251),0)</ns0:f>
        <ns0:v>0</ns0:v>
      </ns0:c>
      <ns0:c r="S251" s="0">
        <ns0:f>IFERROR(IF(AND(P251&gt;=2000,P251&lt;=2100,Q251&gt;=1,Q251&lt;=12,R251&gt;=1,R251&lt;=31),DATE(P251,Q251,R251),0),0)</ns0:f>
        <ns0:v>0</ns0:v>
      </ns0:c>
      <ns0:c r="T251" s="0">
        <ns0:f>IFERROR(IF(ISNUMBER(Bookings!D251),IF(AND(Bookings!D251=INT(Bookings!D251),Bookings!D251&gt;=DATE(2000,1,1),Bookings!D251&lt;=DATE(2100,12,31)),Bookings!D251,0),IF(AND(K251&lt;&gt;"",LEN("x"&amp;L251)-LEN(SUBSTITUTE("x"&amp;L251,".",""))=2,OR(1&gt;LEN(L251),MID(L251,1,1)=".",ISNUMBER(FIND("x"&amp;MID(L251,1,1),"x0x1x2x3x4x5x6x7x8x9"))),OR(2&gt;LEN(L251),MID(L251,2,1)=".",ISNUMBER(FIND("x"&amp;MID(L251,2,1),"x0x1x2x3x4x5x6x7x8x9"))),OR(3&gt;LEN(L251),MID(L251,3,1)=".",ISNUMBER(FIND("x"&amp;MID(L251,3,1),"x0x1x2x3x4x5x6x7x8x9"))),OR(4&gt;LEN(L251),MID(L251,4,1)=".",ISNUMBER(FIND("x"&amp;MID(L251,4,1),"x0x1x2x3x4x5x6x7x8x9"))),OR(5&gt;LEN(L251),MID(L251,5,1)=".",ISNUMBER(FIND("x"&amp;MID(L251,5,1),"x0x1x2x3x4x5x6x7x8x9"))),OR(6&gt;LEN(L251),MID(L251,6,1)=".",ISNUMBER(FIND("x"&amp;MID(L251,6,1),"x0x1x2x3x4x5x6x7x8x9"))),OR(7&gt;LEN(L251),MID(L251,7,1)=".",ISNUMBER(FIND("x"&amp;MID(L251,7,1),"x0x1x2x3x4x5x6x7x8x9"))),OR(8&gt;LEN(L251),MID(L251,8,1)=".",ISNUMBER(FIND("x"&amp;MID(L251,8,1),"x0x1x2x3x4x5x6x7x8x9"))),OR(9&gt;LEN(L251),MID(L251,9,1)=".",ISNUMBER(FIND("x"&amp;MID(L251,9,1),"x0x1x2x3x4x5x6x7x8x9"))),OR(10&gt;LEN(L251),MID(L251,10,1)=".",ISNUMBER(FIND("x"&amp;MID(L251,10,1),"x0x1x2x3x4x5x6x7x8x9"))),OR(AND(FIND(".",L251)=5,LEN(L251)-FIND(".",L251,FIND(".",L251)+1)&gt;=1,LEN(L251)-FIND(".",L251,FIND(".",L251)+1)&lt;=2),AND(LEN(L251)-FIND(".",L251,FIND(".",L251)+1)=4,FIND(".",L251)&gt;=2,FIND(".",L251)&lt;=3)),FIND(".",L251,FIND(".",L251)+1)-FIND(".",L251)&gt;=2,FIND(".",L251,FIND(".",L251)+1)-FIND(".",L251)&lt;=3,P251&gt;=2000,P251&lt;=2100,YEAR(S251)=P251,MONTH(S251)=Q251,DAY(S251)=R251),S251,0)),0)</ns0:f>
        <ns0:v>0</ns0:v>
      </ns0:c>
      <ns0:c r="U251" s="0" t="str">
        <ns0:f>IF(Bookings!C251="","Full day",Bookings!C251)</ns0:f>
        <ns0:v>Full day</ns0:v>
      </ns0:c>
      <ns0:c r="V251" s="0" t="str">
        <ns0:f>IF(Bookings!E251="","Full day",Bookings!E251)</ns0:f>
        <ns0:v>Full day</ns0:v>
      </ns0:c>
      <ns0:c r="W251" s="0">
        <ns0:f>IF(J251=0,0,J251+IF(U251="PM",1,0))</ns0:f>
        <ns0:v>0</ns0:v>
      </ns0:c>
      <ns0:c r="X251" s="0">
        <ns0:f>IF(T251=0,0,T251-IF(V251="PM",1,0))</ns0:f>
        <ns0:v>0</ns0:v>
      </ns0:c>
      <ns0:c r="Y251" s="0">
        <ns0:f>IF(J251=0,0,J251+IF(U251="AM",1,0))</ns0:f>
        <ns0:v>0</ns0:v>
      </ns0:c>
      <ns0:c r="Z251" s="0">
        <ns0:f>IF(T251=0,0,T251-IF(V251="AM",1,0))</ns0:f>
        <ns0:v>0</ns0:v>
      </ns0:c>
      <ns0:c r="AA251" s="0">
        <ns0:f>IFERROR(IF(AND(J251&gt;0,'_Engine'!C251&gt;0,MID('_Engine'!W251,WEEKDAY(J251,2),1)="W",COUNTIF(Settings!$F$18:$F$67,J251)=0),1,0),0)</ns0:f>
        <ns0:v>0</ns0:v>
      </ns0:c>
      <ns0:c r="AB251" s="0">
        <ns0:f>IFERROR(IF(AND(T251&gt;0,'_Engine'!C251&gt;0,MID('_Engine'!W251,WEEKDAY(T251,2),1)="W",COUNTIF(Settings!$F$18:$F$67,T251)=0),1,0),0)</ns0:f>
        <ns0:v>0</ns0:v>
      </ns0:c>
      <ns0:c r="AC251" s="0">
        <ns0:f>IF(AND(J251&gt;0,T251&gt;0,W251&lt;=X251),1,0)</ns0:f>
        <ns0:v>0</ns0:v>
      </ns0:c>
      <ns0:c r="AD251" s="0">
        <ns0:f>IF(AND(J251&gt;0,T251&gt;0,Y251&lt;=Z251),1,0)</ns0:f>
        <ns0:v>0</ns0:v>
      </ns0:c>
    </ns0:row>
    <ns0:row r="252">
      <ns0:c r="A252" s="0">
        <ns0:f>IFERROR(IF(ISNUMBER(Bookings!B252),"",TRIM(Bookings!B252&amp;"")),"")</ns0:f>
      </ns0:c>
      <ns0:c r="B252" s="0">
        <ns0:f>IFERROR(SUBSTITUTE(SUBSTITUTE(A252,"/","."),"-","."),"")</ns0:f>
      </ns0:c>
      <ns0:c r="C252" s="0">
        <ns0:f>IFERROR(LEFT(B252,FIND(".",B252)-1),"")</ns0:f>
      </ns0:c>
      <ns0:c r="D252" s="0">
        <ns0:f>IFERROR(MID(B252,FIND(".",B252)+1,FIND(".",B252,FIND(".",B252)+1)-FIND(".",B252)-1),"")</ns0:f>
      </ns0:c>
      <ns0:c r="E252" s="0">
        <ns0:f>IFERROR(MID(B252,FIND(".",B252,FIND(".",B252)+1)+1,99),"")</ns0:f>
        <ns0:v>99</ns0:v>
      </ns0:c>
      <ns0:c r="F252" s="0">
        <ns0:f>IFERROR(IF(FIND(".",B252)=5,--C252,--E252),0)</ns0:f>
        <ns0:v>0</ns0:v>
      </ns0:c>
      <ns0:c r="G252" s="0">
        <ns0:f>IFERROR(--D252,0)</ns0:f>
        <ns0:v>0</ns0:v>
      </ns0:c>
      <ns0:c r="H252" s="0">
        <ns0:f>IFERROR(IF(FIND(".",B252)=5,--E252,--C252),0)</ns0:f>
        <ns0:v>0</ns0:v>
      </ns0:c>
      <ns0:c r="I252" s="0">
        <ns0:f>IFERROR(IF(AND(F252&gt;=2000,F252&lt;=2100,G252&gt;=1,G252&lt;=12,H252&gt;=1,H252&lt;=31),DATE(F252,G252,H252),0),0)</ns0:f>
        <ns0:v>0</ns0:v>
      </ns0:c>
      <ns0:c r="J252" s="0">
        <ns0:f>IFERROR(IF(ISNUMBER(Bookings!B252),IF(AND(Bookings!B252=INT(Bookings!B252),Bookings!B252&gt;=DATE(2000,1,1),Bookings!B252&lt;=DATE(2100,12,31)),Bookings!B252,0),IF(AND(A252&lt;&gt;"",LEN("x"&amp;B252)-LEN(SUBSTITUTE("x"&amp;B252,".",""))=2,OR(1&gt;LEN(B252),MID(B252,1,1)=".",ISNUMBER(FIND("x"&amp;MID(B252,1,1),"x0x1x2x3x4x5x6x7x8x9"))),OR(2&gt;LEN(B252),MID(B252,2,1)=".",ISNUMBER(FIND("x"&amp;MID(B252,2,1),"x0x1x2x3x4x5x6x7x8x9"))),OR(3&gt;LEN(B252),MID(B252,3,1)=".",ISNUMBER(FIND("x"&amp;MID(B252,3,1),"x0x1x2x3x4x5x6x7x8x9"))),OR(4&gt;LEN(B252),MID(B252,4,1)=".",ISNUMBER(FIND("x"&amp;MID(B252,4,1),"x0x1x2x3x4x5x6x7x8x9"))),OR(5&gt;LEN(B252),MID(B252,5,1)=".",ISNUMBER(FIND("x"&amp;MID(B252,5,1),"x0x1x2x3x4x5x6x7x8x9"))),OR(6&gt;LEN(B252),MID(B252,6,1)=".",ISNUMBER(FIND("x"&amp;MID(B252,6,1),"x0x1x2x3x4x5x6x7x8x9"))),OR(7&gt;LEN(B252),MID(B252,7,1)=".",ISNUMBER(FIND("x"&amp;MID(B252,7,1),"x0x1x2x3x4x5x6x7x8x9"))),OR(8&gt;LEN(B252),MID(B252,8,1)=".",ISNUMBER(FIND("x"&amp;MID(B252,8,1),"x0x1x2x3x4x5x6x7x8x9"))),OR(9&gt;LEN(B252),MID(B252,9,1)=".",ISNUMBER(FIND("x"&amp;MID(B252,9,1),"x0x1x2x3x4x5x6x7x8x9"))),OR(10&gt;LEN(B252),MID(B252,10,1)=".",ISNUMBER(FIND("x"&amp;MID(B252,10,1),"x0x1x2x3x4x5x6x7x8x9"))),OR(AND(FIND(".",B252)=5,LEN(B252)-FIND(".",B252,FIND(".",B252)+1)&gt;=1,LEN(B252)-FIND(".",B252,FIND(".",B252)+1)&lt;=2),AND(LEN(B252)-FIND(".",B252,FIND(".",B252)+1)=4,FIND(".",B252)&gt;=2,FIND(".",B252)&lt;=3)),FIND(".",B252,FIND(".",B252)+1)-FIND(".",B252)&gt;=2,FIND(".",B252,FIND(".",B252)+1)-FIND(".",B252)&lt;=3,F252&gt;=2000,F252&lt;=2100,YEAR(I252)=F252,MONTH(I252)=G252,DAY(I252)=H252),I252,0)),0)</ns0:f>
        <ns0:v>0</ns0:v>
      </ns0:c>
      <ns0:c r="K252" s="0">
        <ns0:f>IFERROR(IF(ISNUMBER(Bookings!D252),"",TRIM(Bookings!D252&amp;"")),"")</ns0:f>
      </ns0:c>
      <ns0:c r="L252" s="0">
        <ns0:f>IFERROR(SUBSTITUTE(SUBSTITUTE(K252,"/","."),"-","."),"")</ns0:f>
      </ns0:c>
      <ns0:c r="M252" s="0">
        <ns0:f>IFERROR(LEFT(L252,FIND(".",L252)-1),"")</ns0:f>
      </ns0:c>
      <ns0:c r="N252" s="0">
        <ns0:f>IFERROR(MID(L252,FIND(".",L252)+1,FIND(".",L252,FIND(".",L252)+1)-FIND(".",L252)-1),"")</ns0:f>
      </ns0:c>
      <ns0:c r="O252" s="0">
        <ns0:f>IFERROR(MID(L252,FIND(".",L252,FIND(".",L252)+1)+1,99),"")</ns0:f>
        <ns0:v>99</ns0:v>
      </ns0:c>
      <ns0:c r="P252" s="0">
        <ns0:f>IFERROR(IF(FIND(".",L252)=5,--M252,--O252),0)</ns0:f>
        <ns0:v>0</ns0:v>
      </ns0:c>
      <ns0:c r="Q252" s="0">
        <ns0:f>IFERROR(--N252,0)</ns0:f>
        <ns0:v>0</ns0:v>
      </ns0:c>
      <ns0:c r="R252" s="0">
        <ns0:f>IFERROR(IF(FIND(".",L252)=5,--O252,--M252),0)</ns0:f>
        <ns0:v>0</ns0:v>
      </ns0:c>
      <ns0:c r="S252" s="0">
        <ns0:f>IFERROR(IF(AND(P252&gt;=2000,P252&lt;=2100,Q252&gt;=1,Q252&lt;=12,R252&gt;=1,R252&lt;=31),DATE(P252,Q252,R252),0),0)</ns0:f>
        <ns0:v>0</ns0:v>
      </ns0:c>
      <ns0:c r="T252" s="0">
        <ns0:f>IFERROR(IF(ISNUMBER(Bookings!D252),IF(AND(Bookings!D252=INT(Bookings!D252),Bookings!D252&gt;=DATE(2000,1,1),Bookings!D252&lt;=DATE(2100,12,31)),Bookings!D252,0),IF(AND(K252&lt;&gt;"",LEN("x"&amp;L252)-LEN(SUBSTITUTE("x"&amp;L252,".",""))=2,OR(1&gt;LEN(L252),MID(L252,1,1)=".",ISNUMBER(FIND("x"&amp;MID(L252,1,1),"x0x1x2x3x4x5x6x7x8x9"))),OR(2&gt;LEN(L252),MID(L252,2,1)=".",ISNUMBER(FIND("x"&amp;MID(L252,2,1),"x0x1x2x3x4x5x6x7x8x9"))),OR(3&gt;LEN(L252),MID(L252,3,1)=".",ISNUMBER(FIND("x"&amp;MID(L252,3,1),"x0x1x2x3x4x5x6x7x8x9"))),OR(4&gt;LEN(L252),MID(L252,4,1)=".",ISNUMBER(FIND("x"&amp;MID(L252,4,1),"x0x1x2x3x4x5x6x7x8x9"))),OR(5&gt;LEN(L252),MID(L252,5,1)=".",ISNUMBER(FIND("x"&amp;MID(L252,5,1),"x0x1x2x3x4x5x6x7x8x9"))),OR(6&gt;LEN(L252),MID(L252,6,1)=".",ISNUMBER(FIND("x"&amp;MID(L252,6,1),"x0x1x2x3x4x5x6x7x8x9"))),OR(7&gt;LEN(L252),MID(L252,7,1)=".",ISNUMBER(FIND("x"&amp;MID(L252,7,1),"x0x1x2x3x4x5x6x7x8x9"))),OR(8&gt;LEN(L252),MID(L252,8,1)=".",ISNUMBER(FIND("x"&amp;MID(L252,8,1),"x0x1x2x3x4x5x6x7x8x9"))),OR(9&gt;LEN(L252),MID(L252,9,1)=".",ISNUMBER(FIND("x"&amp;MID(L252,9,1),"x0x1x2x3x4x5x6x7x8x9"))),OR(10&gt;LEN(L252),MID(L252,10,1)=".",ISNUMBER(FIND("x"&amp;MID(L252,10,1),"x0x1x2x3x4x5x6x7x8x9"))),OR(AND(FIND(".",L252)=5,LEN(L252)-FIND(".",L252,FIND(".",L252)+1)&gt;=1,LEN(L252)-FIND(".",L252,FIND(".",L252)+1)&lt;=2),AND(LEN(L252)-FIND(".",L252,FIND(".",L252)+1)=4,FIND(".",L252)&gt;=2,FIND(".",L252)&lt;=3)),FIND(".",L252,FIND(".",L252)+1)-FIND(".",L252)&gt;=2,FIND(".",L252,FIND(".",L252)+1)-FIND(".",L252)&lt;=3,P252&gt;=2000,P252&lt;=2100,YEAR(S252)=P252,MONTH(S252)=Q252,DAY(S252)=R252),S252,0)),0)</ns0:f>
        <ns0:v>0</ns0:v>
      </ns0:c>
      <ns0:c r="U252" s="0" t="str">
        <ns0:f>IF(Bookings!C252="","Full day",Bookings!C252)</ns0:f>
        <ns0:v>Full day</ns0:v>
      </ns0:c>
      <ns0:c r="V252" s="0" t="str">
        <ns0:f>IF(Bookings!E252="","Full day",Bookings!E252)</ns0:f>
        <ns0:v>Full day</ns0:v>
      </ns0:c>
      <ns0:c r="W252" s="0">
        <ns0:f>IF(J252=0,0,J252+IF(U252="PM",1,0))</ns0:f>
        <ns0:v>0</ns0:v>
      </ns0:c>
      <ns0:c r="X252" s="0">
        <ns0:f>IF(T252=0,0,T252-IF(V252="PM",1,0))</ns0:f>
        <ns0:v>0</ns0:v>
      </ns0:c>
      <ns0:c r="Y252" s="0">
        <ns0:f>IF(J252=0,0,J252+IF(U252="AM",1,0))</ns0:f>
        <ns0:v>0</ns0:v>
      </ns0:c>
      <ns0:c r="Z252" s="0">
        <ns0:f>IF(T252=0,0,T252-IF(V252="AM",1,0))</ns0:f>
        <ns0:v>0</ns0:v>
      </ns0:c>
      <ns0:c r="AA252" s="0">
        <ns0:f>IFERROR(IF(AND(J252&gt;0,'_Engine'!C252&gt;0,MID('_Engine'!W252,WEEKDAY(J252,2),1)="W",COUNTIF(Settings!$F$18:$F$67,J252)=0),1,0),0)</ns0:f>
        <ns0:v>0</ns0:v>
      </ns0:c>
      <ns0:c r="AB252" s="0">
        <ns0:f>IFERROR(IF(AND(T252&gt;0,'_Engine'!C252&gt;0,MID('_Engine'!W252,WEEKDAY(T252,2),1)="W",COUNTIF(Settings!$F$18:$F$67,T252)=0),1,0),0)</ns0:f>
        <ns0:v>0</ns0:v>
      </ns0:c>
      <ns0:c r="AC252" s="0">
        <ns0:f>IF(AND(J252&gt;0,T252&gt;0,W252&lt;=X252),1,0)</ns0:f>
        <ns0:v>0</ns0:v>
      </ns0:c>
      <ns0:c r="AD252" s="0">
        <ns0:f>IF(AND(J252&gt;0,T252&gt;0,Y252&lt;=Z252),1,0)</ns0:f>
        <ns0:v>0</ns0:v>
      </ns0:c>
    </ns0:row>
    <ns0:row r="253">
      <ns0:c r="A253" s="0">
        <ns0:f>IFERROR(IF(ISNUMBER(Bookings!B253),"",TRIM(Bookings!B253&amp;"")),"")</ns0:f>
      </ns0:c>
      <ns0:c r="B253" s="0">
        <ns0:f>IFERROR(SUBSTITUTE(SUBSTITUTE(A253,"/","."),"-","."),"")</ns0:f>
      </ns0:c>
      <ns0:c r="C253" s="0">
        <ns0:f>IFERROR(LEFT(B253,FIND(".",B253)-1),"")</ns0:f>
      </ns0:c>
      <ns0:c r="D253" s="0">
        <ns0:f>IFERROR(MID(B253,FIND(".",B253)+1,FIND(".",B253,FIND(".",B253)+1)-FIND(".",B253)-1),"")</ns0:f>
      </ns0:c>
      <ns0:c r="E253" s="0">
        <ns0:f>IFERROR(MID(B253,FIND(".",B253,FIND(".",B253)+1)+1,99),"")</ns0:f>
        <ns0:v>99</ns0:v>
      </ns0:c>
      <ns0:c r="F253" s="0">
        <ns0:f>IFERROR(IF(FIND(".",B253)=5,--C253,--E253),0)</ns0:f>
        <ns0:v>0</ns0:v>
      </ns0:c>
      <ns0:c r="G253" s="0">
        <ns0:f>IFERROR(--D253,0)</ns0:f>
        <ns0:v>0</ns0:v>
      </ns0:c>
      <ns0:c r="H253" s="0">
        <ns0:f>IFERROR(IF(FIND(".",B253)=5,--E253,--C253),0)</ns0:f>
        <ns0:v>0</ns0:v>
      </ns0:c>
      <ns0:c r="I253" s="0">
        <ns0:f>IFERROR(IF(AND(F253&gt;=2000,F253&lt;=2100,G253&gt;=1,G253&lt;=12,H253&gt;=1,H253&lt;=31),DATE(F253,G253,H253),0),0)</ns0:f>
        <ns0:v>0</ns0:v>
      </ns0:c>
      <ns0:c r="J253" s="0">
        <ns0:f>IFERROR(IF(ISNUMBER(Bookings!B253),IF(AND(Bookings!B253=INT(Bookings!B253),Bookings!B253&gt;=DATE(2000,1,1),Bookings!B253&lt;=DATE(2100,12,31)),Bookings!B253,0),IF(AND(A253&lt;&gt;"",LEN("x"&amp;B253)-LEN(SUBSTITUTE("x"&amp;B253,".",""))=2,OR(1&gt;LEN(B253),MID(B253,1,1)=".",ISNUMBER(FIND("x"&amp;MID(B253,1,1),"x0x1x2x3x4x5x6x7x8x9"))),OR(2&gt;LEN(B253),MID(B253,2,1)=".",ISNUMBER(FIND("x"&amp;MID(B253,2,1),"x0x1x2x3x4x5x6x7x8x9"))),OR(3&gt;LEN(B253),MID(B253,3,1)=".",ISNUMBER(FIND("x"&amp;MID(B253,3,1),"x0x1x2x3x4x5x6x7x8x9"))),OR(4&gt;LEN(B253),MID(B253,4,1)=".",ISNUMBER(FIND("x"&amp;MID(B253,4,1),"x0x1x2x3x4x5x6x7x8x9"))),OR(5&gt;LEN(B253),MID(B253,5,1)=".",ISNUMBER(FIND("x"&amp;MID(B253,5,1),"x0x1x2x3x4x5x6x7x8x9"))),OR(6&gt;LEN(B253),MID(B253,6,1)=".",ISNUMBER(FIND("x"&amp;MID(B253,6,1),"x0x1x2x3x4x5x6x7x8x9"))),OR(7&gt;LEN(B253),MID(B253,7,1)=".",ISNUMBER(FIND("x"&amp;MID(B253,7,1),"x0x1x2x3x4x5x6x7x8x9"))),OR(8&gt;LEN(B253),MID(B253,8,1)=".",ISNUMBER(FIND("x"&amp;MID(B253,8,1),"x0x1x2x3x4x5x6x7x8x9"))),OR(9&gt;LEN(B253),MID(B253,9,1)=".",ISNUMBER(FIND("x"&amp;MID(B253,9,1),"x0x1x2x3x4x5x6x7x8x9"))),OR(10&gt;LEN(B253),MID(B253,10,1)=".",ISNUMBER(FIND("x"&amp;MID(B253,10,1),"x0x1x2x3x4x5x6x7x8x9"))),OR(AND(FIND(".",B253)=5,LEN(B253)-FIND(".",B253,FIND(".",B253)+1)&gt;=1,LEN(B253)-FIND(".",B253,FIND(".",B253)+1)&lt;=2),AND(LEN(B253)-FIND(".",B253,FIND(".",B253)+1)=4,FIND(".",B253)&gt;=2,FIND(".",B253)&lt;=3)),FIND(".",B253,FIND(".",B253)+1)-FIND(".",B253)&gt;=2,FIND(".",B253,FIND(".",B253)+1)-FIND(".",B253)&lt;=3,F253&gt;=2000,F253&lt;=2100,YEAR(I253)=F253,MONTH(I253)=G253,DAY(I253)=H253),I253,0)),0)</ns0:f>
        <ns0:v>0</ns0:v>
      </ns0:c>
      <ns0:c r="K253" s="0">
        <ns0:f>IFERROR(IF(ISNUMBER(Bookings!D253),"",TRIM(Bookings!D253&amp;"")),"")</ns0:f>
      </ns0:c>
      <ns0:c r="L253" s="0">
        <ns0:f>IFERROR(SUBSTITUTE(SUBSTITUTE(K253,"/","."),"-","."),"")</ns0:f>
      </ns0:c>
      <ns0:c r="M253" s="0">
        <ns0:f>IFERROR(LEFT(L253,FIND(".",L253)-1),"")</ns0:f>
      </ns0:c>
      <ns0:c r="N253" s="0">
        <ns0:f>IFERROR(MID(L253,FIND(".",L253)+1,FIND(".",L253,FIND(".",L253)+1)-FIND(".",L253)-1),"")</ns0:f>
      </ns0:c>
      <ns0:c r="O253" s="0">
        <ns0:f>IFERROR(MID(L253,FIND(".",L253,FIND(".",L253)+1)+1,99),"")</ns0:f>
        <ns0:v>99</ns0:v>
      </ns0:c>
      <ns0:c r="P253" s="0">
        <ns0:f>IFERROR(IF(FIND(".",L253)=5,--M253,--O253),0)</ns0:f>
        <ns0:v>0</ns0:v>
      </ns0:c>
      <ns0:c r="Q253" s="0">
        <ns0:f>IFERROR(--N253,0)</ns0:f>
        <ns0:v>0</ns0:v>
      </ns0:c>
      <ns0:c r="R253" s="0">
        <ns0:f>IFERROR(IF(FIND(".",L253)=5,--O253,--M253),0)</ns0:f>
        <ns0:v>0</ns0:v>
      </ns0:c>
      <ns0:c r="S253" s="0">
        <ns0:f>IFERROR(IF(AND(P253&gt;=2000,P253&lt;=2100,Q253&gt;=1,Q253&lt;=12,R253&gt;=1,R253&lt;=31),DATE(P253,Q253,R253),0),0)</ns0:f>
        <ns0:v>0</ns0:v>
      </ns0:c>
      <ns0:c r="T253" s="0">
        <ns0:f>IFERROR(IF(ISNUMBER(Bookings!D253),IF(AND(Bookings!D253=INT(Bookings!D253),Bookings!D253&gt;=DATE(2000,1,1),Bookings!D253&lt;=DATE(2100,12,31)),Bookings!D253,0),IF(AND(K253&lt;&gt;"",LEN("x"&amp;L253)-LEN(SUBSTITUTE("x"&amp;L253,".",""))=2,OR(1&gt;LEN(L253),MID(L253,1,1)=".",ISNUMBER(FIND("x"&amp;MID(L253,1,1),"x0x1x2x3x4x5x6x7x8x9"))),OR(2&gt;LEN(L253),MID(L253,2,1)=".",ISNUMBER(FIND("x"&amp;MID(L253,2,1),"x0x1x2x3x4x5x6x7x8x9"))),OR(3&gt;LEN(L253),MID(L253,3,1)=".",ISNUMBER(FIND("x"&amp;MID(L253,3,1),"x0x1x2x3x4x5x6x7x8x9"))),OR(4&gt;LEN(L253),MID(L253,4,1)=".",ISNUMBER(FIND("x"&amp;MID(L253,4,1),"x0x1x2x3x4x5x6x7x8x9"))),OR(5&gt;LEN(L253),MID(L253,5,1)=".",ISNUMBER(FIND("x"&amp;MID(L253,5,1),"x0x1x2x3x4x5x6x7x8x9"))),OR(6&gt;LEN(L253),MID(L253,6,1)=".",ISNUMBER(FIND("x"&amp;MID(L253,6,1),"x0x1x2x3x4x5x6x7x8x9"))),OR(7&gt;LEN(L253),MID(L253,7,1)=".",ISNUMBER(FIND("x"&amp;MID(L253,7,1),"x0x1x2x3x4x5x6x7x8x9"))),OR(8&gt;LEN(L253),MID(L253,8,1)=".",ISNUMBER(FIND("x"&amp;MID(L253,8,1),"x0x1x2x3x4x5x6x7x8x9"))),OR(9&gt;LEN(L253),MID(L253,9,1)=".",ISNUMBER(FIND("x"&amp;MID(L253,9,1),"x0x1x2x3x4x5x6x7x8x9"))),OR(10&gt;LEN(L253),MID(L253,10,1)=".",ISNUMBER(FIND("x"&amp;MID(L253,10,1),"x0x1x2x3x4x5x6x7x8x9"))),OR(AND(FIND(".",L253)=5,LEN(L253)-FIND(".",L253,FIND(".",L253)+1)&gt;=1,LEN(L253)-FIND(".",L253,FIND(".",L253)+1)&lt;=2),AND(LEN(L253)-FIND(".",L253,FIND(".",L253)+1)=4,FIND(".",L253)&gt;=2,FIND(".",L253)&lt;=3)),FIND(".",L253,FIND(".",L253)+1)-FIND(".",L253)&gt;=2,FIND(".",L253,FIND(".",L253)+1)-FIND(".",L253)&lt;=3,P253&gt;=2000,P253&lt;=2100,YEAR(S253)=P253,MONTH(S253)=Q253,DAY(S253)=R253),S253,0)),0)</ns0:f>
        <ns0:v>0</ns0:v>
      </ns0:c>
      <ns0:c r="U253" s="0" t="str">
        <ns0:f>IF(Bookings!C253="","Full day",Bookings!C253)</ns0:f>
        <ns0:v>Full day</ns0:v>
      </ns0:c>
      <ns0:c r="V253" s="0" t="str">
        <ns0:f>IF(Bookings!E253="","Full day",Bookings!E253)</ns0:f>
        <ns0:v>Full day</ns0:v>
      </ns0:c>
      <ns0:c r="W253" s="0">
        <ns0:f>IF(J253=0,0,J253+IF(U253="PM",1,0))</ns0:f>
        <ns0:v>0</ns0:v>
      </ns0:c>
      <ns0:c r="X253" s="0">
        <ns0:f>IF(T253=0,0,T253-IF(V253="PM",1,0))</ns0:f>
        <ns0:v>0</ns0:v>
      </ns0:c>
      <ns0:c r="Y253" s="0">
        <ns0:f>IF(J253=0,0,J253+IF(U253="AM",1,0))</ns0:f>
        <ns0:v>0</ns0:v>
      </ns0:c>
      <ns0:c r="Z253" s="0">
        <ns0:f>IF(T253=0,0,T253-IF(V253="AM",1,0))</ns0:f>
        <ns0:v>0</ns0:v>
      </ns0:c>
      <ns0:c r="AA253" s="0">
        <ns0:f>IFERROR(IF(AND(J253&gt;0,'_Engine'!C253&gt;0,MID('_Engine'!W253,WEEKDAY(J253,2),1)="W",COUNTIF(Settings!$F$18:$F$67,J253)=0),1,0),0)</ns0:f>
        <ns0:v>0</ns0:v>
      </ns0:c>
      <ns0:c r="AB253" s="0">
        <ns0:f>IFERROR(IF(AND(T253&gt;0,'_Engine'!C253&gt;0,MID('_Engine'!W253,WEEKDAY(T253,2),1)="W",COUNTIF(Settings!$F$18:$F$67,T253)=0),1,0),0)</ns0:f>
        <ns0:v>0</ns0:v>
      </ns0:c>
      <ns0:c r="AC253" s="0">
        <ns0:f>IF(AND(J253&gt;0,T253&gt;0,W253&lt;=X253),1,0)</ns0:f>
        <ns0:v>0</ns0:v>
      </ns0:c>
      <ns0:c r="AD253" s="0">
        <ns0:f>IF(AND(J253&gt;0,T253&gt;0,Y253&lt;=Z253),1,0)</ns0:f>
        <ns0:v>0</ns0:v>
      </ns0:c>
    </ns0:row>
    <ns0:row r="254">
      <ns0:c r="A254" s="0">
        <ns0:f>IFERROR(IF(ISNUMBER(Bookings!B254),"",TRIM(Bookings!B254&amp;"")),"")</ns0:f>
      </ns0:c>
      <ns0:c r="B254" s="0">
        <ns0:f>IFERROR(SUBSTITUTE(SUBSTITUTE(A254,"/","."),"-","."),"")</ns0:f>
      </ns0:c>
      <ns0:c r="C254" s="0">
        <ns0:f>IFERROR(LEFT(B254,FIND(".",B254)-1),"")</ns0:f>
      </ns0:c>
      <ns0:c r="D254" s="0">
        <ns0:f>IFERROR(MID(B254,FIND(".",B254)+1,FIND(".",B254,FIND(".",B254)+1)-FIND(".",B254)-1),"")</ns0:f>
      </ns0:c>
      <ns0:c r="E254" s="0">
        <ns0:f>IFERROR(MID(B254,FIND(".",B254,FIND(".",B254)+1)+1,99),"")</ns0:f>
        <ns0:v>99</ns0:v>
      </ns0:c>
      <ns0:c r="F254" s="0">
        <ns0:f>IFERROR(IF(FIND(".",B254)=5,--C254,--E254),0)</ns0:f>
        <ns0:v>0</ns0:v>
      </ns0:c>
      <ns0:c r="G254" s="0">
        <ns0:f>IFERROR(--D254,0)</ns0:f>
        <ns0:v>0</ns0:v>
      </ns0:c>
      <ns0:c r="H254" s="0">
        <ns0:f>IFERROR(IF(FIND(".",B254)=5,--E254,--C254),0)</ns0:f>
        <ns0:v>0</ns0:v>
      </ns0:c>
      <ns0:c r="I254" s="0">
        <ns0:f>IFERROR(IF(AND(F254&gt;=2000,F254&lt;=2100,G254&gt;=1,G254&lt;=12,H254&gt;=1,H254&lt;=31),DATE(F254,G254,H254),0),0)</ns0:f>
        <ns0:v>0</ns0:v>
      </ns0:c>
      <ns0:c r="J254" s="0">
        <ns0:f>IFERROR(IF(ISNUMBER(Bookings!B254),IF(AND(Bookings!B254=INT(Bookings!B254),Bookings!B254&gt;=DATE(2000,1,1),Bookings!B254&lt;=DATE(2100,12,31)),Bookings!B254,0),IF(AND(A254&lt;&gt;"",LEN("x"&amp;B254)-LEN(SUBSTITUTE("x"&amp;B254,".",""))=2,OR(1&gt;LEN(B254),MID(B254,1,1)=".",ISNUMBER(FIND("x"&amp;MID(B254,1,1),"x0x1x2x3x4x5x6x7x8x9"))),OR(2&gt;LEN(B254),MID(B254,2,1)=".",ISNUMBER(FIND("x"&amp;MID(B254,2,1),"x0x1x2x3x4x5x6x7x8x9"))),OR(3&gt;LEN(B254),MID(B254,3,1)=".",ISNUMBER(FIND("x"&amp;MID(B254,3,1),"x0x1x2x3x4x5x6x7x8x9"))),OR(4&gt;LEN(B254),MID(B254,4,1)=".",ISNUMBER(FIND("x"&amp;MID(B254,4,1),"x0x1x2x3x4x5x6x7x8x9"))),OR(5&gt;LEN(B254),MID(B254,5,1)=".",ISNUMBER(FIND("x"&amp;MID(B254,5,1),"x0x1x2x3x4x5x6x7x8x9"))),OR(6&gt;LEN(B254),MID(B254,6,1)=".",ISNUMBER(FIND("x"&amp;MID(B254,6,1),"x0x1x2x3x4x5x6x7x8x9"))),OR(7&gt;LEN(B254),MID(B254,7,1)=".",ISNUMBER(FIND("x"&amp;MID(B254,7,1),"x0x1x2x3x4x5x6x7x8x9"))),OR(8&gt;LEN(B254),MID(B254,8,1)=".",ISNUMBER(FIND("x"&amp;MID(B254,8,1),"x0x1x2x3x4x5x6x7x8x9"))),OR(9&gt;LEN(B254),MID(B254,9,1)=".",ISNUMBER(FIND("x"&amp;MID(B254,9,1),"x0x1x2x3x4x5x6x7x8x9"))),OR(10&gt;LEN(B254),MID(B254,10,1)=".",ISNUMBER(FIND("x"&amp;MID(B254,10,1),"x0x1x2x3x4x5x6x7x8x9"))),OR(AND(FIND(".",B254)=5,LEN(B254)-FIND(".",B254,FIND(".",B254)+1)&gt;=1,LEN(B254)-FIND(".",B254,FIND(".",B254)+1)&lt;=2),AND(LEN(B254)-FIND(".",B254,FIND(".",B254)+1)=4,FIND(".",B254)&gt;=2,FIND(".",B254)&lt;=3)),FIND(".",B254,FIND(".",B254)+1)-FIND(".",B254)&gt;=2,FIND(".",B254,FIND(".",B254)+1)-FIND(".",B254)&lt;=3,F254&gt;=2000,F254&lt;=2100,YEAR(I254)=F254,MONTH(I254)=G254,DAY(I254)=H254),I254,0)),0)</ns0:f>
        <ns0:v>0</ns0:v>
      </ns0:c>
      <ns0:c r="K254" s="0">
        <ns0:f>IFERROR(IF(ISNUMBER(Bookings!D254),"",TRIM(Bookings!D254&amp;"")),"")</ns0:f>
      </ns0:c>
      <ns0:c r="L254" s="0">
        <ns0:f>IFERROR(SUBSTITUTE(SUBSTITUTE(K254,"/","."),"-","."),"")</ns0:f>
      </ns0:c>
      <ns0:c r="M254" s="0">
        <ns0:f>IFERROR(LEFT(L254,FIND(".",L254)-1),"")</ns0:f>
      </ns0:c>
      <ns0:c r="N254" s="0">
        <ns0:f>IFERROR(MID(L254,FIND(".",L254)+1,FIND(".",L254,FIND(".",L254)+1)-FIND(".",L254)-1),"")</ns0:f>
      </ns0:c>
      <ns0:c r="O254" s="0">
        <ns0:f>IFERROR(MID(L254,FIND(".",L254,FIND(".",L254)+1)+1,99),"")</ns0:f>
        <ns0:v>99</ns0:v>
      </ns0:c>
      <ns0:c r="P254" s="0">
        <ns0:f>IFERROR(IF(FIND(".",L254)=5,--M254,--O254),0)</ns0:f>
        <ns0:v>0</ns0:v>
      </ns0:c>
      <ns0:c r="Q254" s="0">
        <ns0:f>IFERROR(--N254,0)</ns0:f>
        <ns0:v>0</ns0:v>
      </ns0:c>
      <ns0:c r="R254" s="0">
        <ns0:f>IFERROR(IF(FIND(".",L254)=5,--O254,--M254),0)</ns0:f>
        <ns0:v>0</ns0:v>
      </ns0:c>
      <ns0:c r="S254" s="0">
        <ns0:f>IFERROR(IF(AND(P254&gt;=2000,P254&lt;=2100,Q254&gt;=1,Q254&lt;=12,R254&gt;=1,R254&lt;=31),DATE(P254,Q254,R254),0),0)</ns0:f>
        <ns0:v>0</ns0:v>
      </ns0:c>
      <ns0:c r="T254" s="0">
        <ns0:f>IFERROR(IF(ISNUMBER(Bookings!D254),IF(AND(Bookings!D254=INT(Bookings!D254),Bookings!D254&gt;=DATE(2000,1,1),Bookings!D254&lt;=DATE(2100,12,31)),Bookings!D254,0),IF(AND(K254&lt;&gt;"",LEN("x"&amp;L254)-LEN(SUBSTITUTE("x"&amp;L254,".",""))=2,OR(1&gt;LEN(L254),MID(L254,1,1)=".",ISNUMBER(FIND("x"&amp;MID(L254,1,1),"x0x1x2x3x4x5x6x7x8x9"))),OR(2&gt;LEN(L254),MID(L254,2,1)=".",ISNUMBER(FIND("x"&amp;MID(L254,2,1),"x0x1x2x3x4x5x6x7x8x9"))),OR(3&gt;LEN(L254),MID(L254,3,1)=".",ISNUMBER(FIND("x"&amp;MID(L254,3,1),"x0x1x2x3x4x5x6x7x8x9"))),OR(4&gt;LEN(L254),MID(L254,4,1)=".",ISNUMBER(FIND("x"&amp;MID(L254,4,1),"x0x1x2x3x4x5x6x7x8x9"))),OR(5&gt;LEN(L254),MID(L254,5,1)=".",ISNUMBER(FIND("x"&amp;MID(L254,5,1),"x0x1x2x3x4x5x6x7x8x9"))),OR(6&gt;LEN(L254),MID(L254,6,1)=".",ISNUMBER(FIND("x"&amp;MID(L254,6,1),"x0x1x2x3x4x5x6x7x8x9"))),OR(7&gt;LEN(L254),MID(L254,7,1)=".",ISNUMBER(FIND("x"&amp;MID(L254,7,1),"x0x1x2x3x4x5x6x7x8x9"))),OR(8&gt;LEN(L254),MID(L254,8,1)=".",ISNUMBER(FIND("x"&amp;MID(L254,8,1),"x0x1x2x3x4x5x6x7x8x9"))),OR(9&gt;LEN(L254),MID(L254,9,1)=".",ISNUMBER(FIND("x"&amp;MID(L254,9,1),"x0x1x2x3x4x5x6x7x8x9"))),OR(10&gt;LEN(L254),MID(L254,10,1)=".",ISNUMBER(FIND("x"&amp;MID(L254,10,1),"x0x1x2x3x4x5x6x7x8x9"))),OR(AND(FIND(".",L254)=5,LEN(L254)-FIND(".",L254,FIND(".",L254)+1)&gt;=1,LEN(L254)-FIND(".",L254,FIND(".",L254)+1)&lt;=2),AND(LEN(L254)-FIND(".",L254,FIND(".",L254)+1)=4,FIND(".",L254)&gt;=2,FIND(".",L254)&lt;=3)),FIND(".",L254,FIND(".",L254)+1)-FIND(".",L254)&gt;=2,FIND(".",L254,FIND(".",L254)+1)-FIND(".",L254)&lt;=3,P254&gt;=2000,P254&lt;=2100,YEAR(S254)=P254,MONTH(S254)=Q254,DAY(S254)=R254),S254,0)),0)</ns0:f>
        <ns0:v>0</ns0:v>
      </ns0:c>
      <ns0:c r="U254" s="0" t="str">
        <ns0:f>IF(Bookings!C254="","Full day",Bookings!C254)</ns0:f>
        <ns0:v>Full day</ns0:v>
      </ns0:c>
      <ns0:c r="V254" s="0" t="str">
        <ns0:f>IF(Bookings!E254="","Full day",Bookings!E254)</ns0:f>
        <ns0:v>Full day</ns0:v>
      </ns0:c>
      <ns0:c r="W254" s="0">
        <ns0:f>IF(J254=0,0,J254+IF(U254="PM",1,0))</ns0:f>
        <ns0:v>0</ns0:v>
      </ns0:c>
      <ns0:c r="X254" s="0">
        <ns0:f>IF(T254=0,0,T254-IF(V254="PM",1,0))</ns0:f>
        <ns0:v>0</ns0:v>
      </ns0:c>
      <ns0:c r="Y254" s="0">
        <ns0:f>IF(J254=0,0,J254+IF(U254="AM",1,0))</ns0:f>
        <ns0:v>0</ns0:v>
      </ns0:c>
      <ns0:c r="Z254" s="0">
        <ns0:f>IF(T254=0,0,T254-IF(V254="AM",1,0))</ns0:f>
        <ns0:v>0</ns0:v>
      </ns0:c>
      <ns0:c r="AA254" s="0">
        <ns0:f>IFERROR(IF(AND(J254&gt;0,'_Engine'!C254&gt;0,MID('_Engine'!W254,WEEKDAY(J254,2),1)="W",COUNTIF(Settings!$F$18:$F$67,J254)=0),1,0),0)</ns0:f>
        <ns0:v>0</ns0:v>
      </ns0:c>
      <ns0:c r="AB254" s="0">
        <ns0:f>IFERROR(IF(AND(T254&gt;0,'_Engine'!C254&gt;0,MID('_Engine'!W254,WEEKDAY(T254,2),1)="W",COUNTIF(Settings!$F$18:$F$67,T254)=0),1,0),0)</ns0:f>
        <ns0:v>0</ns0:v>
      </ns0:c>
      <ns0:c r="AC254" s="0">
        <ns0:f>IF(AND(J254&gt;0,T254&gt;0,W254&lt;=X254),1,0)</ns0:f>
        <ns0:v>0</ns0:v>
      </ns0:c>
      <ns0:c r="AD254" s="0">
        <ns0:f>IF(AND(J254&gt;0,T254&gt;0,Y254&lt;=Z254),1,0)</ns0:f>
        <ns0:v>0</ns0:v>
      </ns0:c>
    </ns0:row>
    <ns0:row r="255">
      <ns0:c r="A255" s="0">
        <ns0:f>IFERROR(IF(ISNUMBER(Bookings!B255),"",TRIM(Bookings!B255&amp;"")),"")</ns0:f>
      </ns0:c>
      <ns0:c r="B255" s="0">
        <ns0:f>IFERROR(SUBSTITUTE(SUBSTITUTE(A255,"/","."),"-","."),"")</ns0:f>
      </ns0:c>
      <ns0:c r="C255" s="0">
        <ns0:f>IFERROR(LEFT(B255,FIND(".",B255)-1),"")</ns0:f>
      </ns0:c>
      <ns0:c r="D255" s="0">
        <ns0:f>IFERROR(MID(B255,FIND(".",B255)+1,FIND(".",B255,FIND(".",B255)+1)-FIND(".",B255)-1),"")</ns0:f>
      </ns0:c>
      <ns0:c r="E255" s="0">
        <ns0:f>IFERROR(MID(B255,FIND(".",B255,FIND(".",B255)+1)+1,99),"")</ns0:f>
        <ns0:v>99</ns0:v>
      </ns0:c>
      <ns0:c r="F255" s="0">
        <ns0:f>IFERROR(IF(FIND(".",B255)=5,--C255,--E255),0)</ns0:f>
        <ns0:v>0</ns0:v>
      </ns0:c>
      <ns0:c r="G255" s="0">
        <ns0:f>IFERROR(--D255,0)</ns0:f>
        <ns0:v>0</ns0:v>
      </ns0:c>
      <ns0:c r="H255" s="0">
        <ns0:f>IFERROR(IF(FIND(".",B255)=5,--E255,--C255),0)</ns0:f>
        <ns0:v>0</ns0:v>
      </ns0:c>
      <ns0:c r="I255" s="0">
        <ns0:f>IFERROR(IF(AND(F255&gt;=2000,F255&lt;=2100,G255&gt;=1,G255&lt;=12,H255&gt;=1,H255&lt;=31),DATE(F255,G255,H255),0),0)</ns0:f>
        <ns0:v>0</ns0:v>
      </ns0:c>
      <ns0:c r="J255" s="0">
        <ns0:f>IFERROR(IF(ISNUMBER(Bookings!B255),IF(AND(Bookings!B255=INT(Bookings!B255),Bookings!B255&gt;=DATE(2000,1,1),Bookings!B255&lt;=DATE(2100,12,31)),Bookings!B255,0),IF(AND(A255&lt;&gt;"",LEN("x"&amp;B255)-LEN(SUBSTITUTE("x"&amp;B255,".",""))=2,OR(1&gt;LEN(B255),MID(B255,1,1)=".",ISNUMBER(FIND("x"&amp;MID(B255,1,1),"x0x1x2x3x4x5x6x7x8x9"))),OR(2&gt;LEN(B255),MID(B255,2,1)=".",ISNUMBER(FIND("x"&amp;MID(B255,2,1),"x0x1x2x3x4x5x6x7x8x9"))),OR(3&gt;LEN(B255),MID(B255,3,1)=".",ISNUMBER(FIND("x"&amp;MID(B255,3,1),"x0x1x2x3x4x5x6x7x8x9"))),OR(4&gt;LEN(B255),MID(B255,4,1)=".",ISNUMBER(FIND("x"&amp;MID(B255,4,1),"x0x1x2x3x4x5x6x7x8x9"))),OR(5&gt;LEN(B255),MID(B255,5,1)=".",ISNUMBER(FIND("x"&amp;MID(B255,5,1),"x0x1x2x3x4x5x6x7x8x9"))),OR(6&gt;LEN(B255),MID(B255,6,1)=".",ISNUMBER(FIND("x"&amp;MID(B255,6,1),"x0x1x2x3x4x5x6x7x8x9"))),OR(7&gt;LEN(B255),MID(B255,7,1)=".",ISNUMBER(FIND("x"&amp;MID(B255,7,1),"x0x1x2x3x4x5x6x7x8x9"))),OR(8&gt;LEN(B255),MID(B255,8,1)=".",ISNUMBER(FIND("x"&amp;MID(B255,8,1),"x0x1x2x3x4x5x6x7x8x9"))),OR(9&gt;LEN(B255),MID(B255,9,1)=".",ISNUMBER(FIND("x"&amp;MID(B255,9,1),"x0x1x2x3x4x5x6x7x8x9"))),OR(10&gt;LEN(B255),MID(B255,10,1)=".",ISNUMBER(FIND("x"&amp;MID(B255,10,1),"x0x1x2x3x4x5x6x7x8x9"))),OR(AND(FIND(".",B255)=5,LEN(B255)-FIND(".",B255,FIND(".",B255)+1)&gt;=1,LEN(B255)-FIND(".",B255,FIND(".",B255)+1)&lt;=2),AND(LEN(B255)-FIND(".",B255,FIND(".",B255)+1)=4,FIND(".",B255)&gt;=2,FIND(".",B255)&lt;=3)),FIND(".",B255,FIND(".",B255)+1)-FIND(".",B255)&gt;=2,FIND(".",B255,FIND(".",B255)+1)-FIND(".",B255)&lt;=3,F255&gt;=2000,F255&lt;=2100,YEAR(I255)=F255,MONTH(I255)=G255,DAY(I255)=H255),I255,0)),0)</ns0:f>
        <ns0:v>0</ns0:v>
      </ns0:c>
      <ns0:c r="K255" s="0">
        <ns0:f>IFERROR(IF(ISNUMBER(Bookings!D255),"",TRIM(Bookings!D255&amp;"")),"")</ns0:f>
      </ns0:c>
      <ns0:c r="L255" s="0">
        <ns0:f>IFERROR(SUBSTITUTE(SUBSTITUTE(K255,"/","."),"-","."),"")</ns0:f>
      </ns0:c>
      <ns0:c r="M255" s="0">
        <ns0:f>IFERROR(LEFT(L255,FIND(".",L255)-1),"")</ns0:f>
      </ns0:c>
      <ns0:c r="N255" s="0">
        <ns0:f>IFERROR(MID(L255,FIND(".",L255)+1,FIND(".",L255,FIND(".",L255)+1)-FIND(".",L255)-1),"")</ns0:f>
      </ns0:c>
      <ns0:c r="O255" s="0">
        <ns0:f>IFERROR(MID(L255,FIND(".",L255,FIND(".",L255)+1)+1,99),"")</ns0:f>
        <ns0:v>99</ns0:v>
      </ns0:c>
      <ns0:c r="P255" s="0">
        <ns0:f>IFERROR(IF(FIND(".",L255)=5,--M255,--O255),0)</ns0:f>
        <ns0:v>0</ns0:v>
      </ns0:c>
      <ns0:c r="Q255" s="0">
        <ns0:f>IFERROR(--N255,0)</ns0:f>
        <ns0:v>0</ns0:v>
      </ns0:c>
      <ns0:c r="R255" s="0">
        <ns0:f>IFERROR(IF(FIND(".",L255)=5,--O255,--M255),0)</ns0:f>
        <ns0:v>0</ns0:v>
      </ns0:c>
      <ns0:c r="S255" s="0">
        <ns0:f>IFERROR(IF(AND(P255&gt;=2000,P255&lt;=2100,Q255&gt;=1,Q255&lt;=12,R255&gt;=1,R255&lt;=31),DATE(P255,Q255,R255),0),0)</ns0:f>
        <ns0:v>0</ns0:v>
      </ns0:c>
      <ns0:c r="T255" s="0">
        <ns0:f>IFERROR(IF(ISNUMBER(Bookings!D255),IF(AND(Bookings!D255=INT(Bookings!D255),Bookings!D255&gt;=DATE(2000,1,1),Bookings!D255&lt;=DATE(2100,12,31)),Bookings!D255,0),IF(AND(K255&lt;&gt;"",LEN("x"&amp;L255)-LEN(SUBSTITUTE("x"&amp;L255,".",""))=2,OR(1&gt;LEN(L255),MID(L255,1,1)=".",ISNUMBER(FIND("x"&amp;MID(L255,1,1),"x0x1x2x3x4x5x6x7x8x9"))),OR(2&gt;LEN(L255),MID(L255,2,1)=".",ISNUMBER(FIND("x"&amp;MID(L255,2,1),"x0x1x2x3x4x5x6x7x8x9"))),OR(3&gt;LEN(L255),MID(L255,3,1)=".",ISNUMBER(FIND("x"&amp;MID(L255,3,1),"x0x1x2x3x4x5x6x7x8x9"))),OR(4&gt;LEN(L255),MID(L255,4,1)=".",ISNUMBER(FIND("x"&amp;MID(L255,4,1),"x0x1x2x3x4x5x6x7x8x9"))),OR(5&gt;LEN(L255),MID(L255,5,1)=".",ISNUMBER(FIND("x"&amp;MID(L255,5,1),"x0x1x2x3x4x5x6x7x8x9"))),OR(6&gt;LEN(L255),MID(L255,6,1)=".",ISNUMBER(FIND("x"&amp;MID(L255,6,1),"x0x1x2x3x4x5x6x7x8x9"))),OR(7&gt;LEN(L255),MID(L255,7,1)=".",ISNUMBER(FIND("x"&amp;MID(L255,7,1),"x0x1x2x3x4x5x6x7x8x9"))),OR(8&gt;LEN(L255),MID(L255,8,1)=".",ISNUMBER(FIND("x"&amp;MID(L255,8,1),"x0x1x2x3x4x5x6x7x8x9"))),OR(9&gt;LEN(L255),MID(L255,9,1)=".",ISNUMBER(FIND("x"&amp;MID(L255,9,1),"x0x1x2x3x4x5x6x7x8x9"))),OR(10&gt;LEN(L255),MID(L255,10,1)=".",ISNUMBER(FIND("x"&amp;MID(L255,10,1),"x0x1x2x3x4x5x6x7x8x9"))),OR(AND(FIND(".",L255)=5,LEN(L255)-FIND(".",L255,FIND(".",L255)+1)&gt;=1,LEN(L255)-FIND(".",L255,FIND(".",L255)+1)&lt;=2),AND(LEN(L255)-FIND(".",L255,FIND(".",L255)+1)=4,FIND(".",L255)&gt;=2,FIND(".",L255)&lt;=3)),FIND(".",L255,FIND(".",L255)+1)-FIND(".",L255)&gt;=2,FIND(".",L255,FIND(".",L255)+1)-FIND(".",L255)&lt;=3,P255&gt;=2000,P255&lt;=2100,YEAR(S255)=P255,MONTH(S255)=Q255,DAY(S255)=R255),S255,0)),0)</ns0:f>
        <ns0:v>0</ns0:v>
      </ns0:c>
      <ns0:c r="U255" s="0" t="str">
        <ns0:f>IF(Bookings!C255="","Full day",Bookings!C255)</ns0:f>
        <ns0:v>Full day</ns0:v>
      </ns0:c>
      <ns0:c r="V255" s="0" t="str">
        <ns0:f>IF(Bookings!E255="","Full day",Bookings!E255)</ns0:f>
        <ns0:v>Full day</ns0:v>
      </ns0:c>
      <ns0:c r="W255" s="0">
        <ns0:f>IF(J255=0,0,J255+IF(U255="PM",1,0))</ns0:f>
        <ns0:v>0</ns0:v>
      </ns0:c>
      <ns0:c r="X255" s="0">
        <ns0:f>IF(T255=0,0,T255-IF(V255="PM",1,0))</ns0:f>
        <ns0:v>0</ns0:v>
      </ns0:c>
      <ns0:c r="Y255" s="0">
        <ns0:f>IF(J255=0,0,J255+IF(U255="AM",1,0))</ns0:f>
        <ns0:v>0</ns0:v>
      </ns0:c>
      <ns0:c r="Z255" s="0">
        <ns0:f>IF(T255=0,0,T255-IF(V255="AM",1,0))</ns0:f>
        <ns0:v>0</ns0:v>
      </ns0:c>
      <ns0:c r="AA255" s="0">
        <ns0:f>IFERROR(IF(AND(J255&gt;0,'_Engine'!C255&gt;0,MID('_Engine'!W255,WEEKDAY(J255,2),1)="W",COUNTIF(Settings!$F$18:$F$67,J255)=0),1,0),0)</ns0:f>
        <ns0:v>0</ns0:v>
      </ns0:c>
      <ns0:c r="AB255" s="0">
        <ns0:f>IFERROR(IF(AND(T255&gt;0,'_Engine'!C255&gt;0,MID('_Engine'!W255,WEEKDAY(T255,2),1)="W",COUNTIF(Settings!$F$18:$F$67,T255)=0),1,0),0)</ns0:f>
        <ns0:v>0</ns0:v>
      </ns0:c>
      <ns0:c r="AC255" s="0">
        <ns0:f>IF(AND(J255&gt;0,T255&gt;0,W255&lt;=X255),1,0)</ns0:f>
        <ns0:v>0</ns0:v>
      </ns0:c>
      <ns0:c r="AD255" s="0">
        <ns0:f>IF(AND(J255&gt;0,T255&gt;0,Y255&lt;=Z255),1,0)</ns0:f>
        <ns0:v>0</ns0:v>
      </ns0:c>
    </ns0:row>
    <ns0:row r="256">
      <ns0:c r="A256" s="0">
        <ns0:f>IFERROR(IF(ISNUMBER(Bookings!B256),"",TRIM(Bookings!B256&amp;"")),"")</ns0:f>
      </ns0:c>
      <ns0:c r="B256" s="0">
        <ns0:f>IFERROR(SUBSTITUTE(SUBSTITUTE(A256,"/","."),"-","."),"")</ns0:f>
      </ns0:c>
      <ns0:c r="C256" s="0">
        <ns0:f>IFERROR(LEFT(B256,FIND(".",B256)-1),"")</ns0:f>
      </ns0:c>
      <ns0:c r="D256" s="0">
        <ns0:f>IFERROR(MID(B256,FIND(".",B256)+1,FIND(".",B256,FIND(".",B256)+1)-FIND(".",B256)-1),"")</ns0:f>
      </ns0:c>
      <ns0:c r="E256" s="0">
        <ns0:f>IFERROR(MID(B256,FIND(".",B256,FIND(".",B256)+1)+1,99),"")</ns0:f>
        <ns0:v>99</ns0:v>
      </ns0:c>
      <ns0:c r="F256" s="0">
        <ns0:f>IFERROR(IF(FIND(".",B256)=5,--C256,--E256),0)</ns0:f>
        <ns0:v>0</ns0:v>
      </ns0:c>
      <ns0:c r="G256" s="0">
        <ns0:f>IFERROR(--D256,0)</ns0:f>
        <ns0:v>0</ns0:v>
      </ns0:c>
      <ns0:c r="H256" s="0">
        <ns0:f>IFERROR(IF(FIND(".",B256)=5,--E256,--C256),0)</ns0:f>
        <ns0:v>0</ns0:v>
      </ns0:c>
      <ns0:c r="I256" s="0">
        <ns0:f>IFERROR(IF(AND(F256&gt;=2000,F256&lt;=2100,G256&gt;=1,G256&lt;=12,H256&gt;=1,H256&lt;=31),DATE(F256,G256,H256),0),0)</ns0:f>
        <ns0:v>0</ns0:v>
      </ns0:c>
      <ns0:c r="J256" s="0">
        <ns0:f>IFERROR(IF(ISNUMBER(Bookings!B256),IF(AND(Bookings!B256=INT(Bookings!B256),Bookings!B256&gt;=DATE(2000,1,1),Bookings!B256&lt;=DATE(2100,12,31)),Bookings!B256,0),IF(AND(A256&lt;&gt;"",LEN("x"&amp;B256)-LEN(SUBSTITUTE("x"&amp;B256,".",""))=2,OR(1&gt;LEN(B256),MID(B256,1,1)=".",ISNUMBER(FIND("x"&amp;MID(B256,1,1),"x0x1x2x3x4x5x6x7x8x9"))),OR(2&gt;LEN(B256),MID(B256,2,1)=".",ISNUMBER(FIND("x"&amp;MID(B256,2,1),"x0x1x2x3x4x5x6x7x8x9"))),OR(3&gt;LEN(B256),MID(B256,3,1)=".",ISNUMBER(FIND("x"&amp;MID(B256,3,1),"x0x1x2x3x4x5x6x7x8x9"))),OR(4&gt;LEN(B256),MID(B256,4,1)=".",ISNUMBER(FIND("x"&amp;MID(B256,4,1),"x0x1x2x3x4x5x6x7x8x9"))),OR(5&gt;LEN(B256),MID(B256,5,1)=".",ISNUMBER(FIND("x"&amp;MID(B256,5,1),"x0x1x2x3x4x5x6x7x8x9"))),OR(6&gt;LEN(B256),MID(B256,6,1)=".",ISNUMBER(FIND("x"&amp;MID(B256,6,1),"x0x1x2x3x4x5x6x7x8x9"))),OR(7&gt;LEN(B256),MID(B256,7,1)=".",ISNUMBER(FIND("x"&amp;MID(B256,7,1),"x0x1x2x3x4x5x6x7x8x9"))),OR(8&gt;LEN(B256),MID(B256,8,1)=".",ISNUMBER(FIND("x"&amp;MID(B256,8,1),"x0x1x2x3x4x5x6x7x8x9"))),OR(9&gt;LEN(B256),MID(B256,9,1)=".",ISNUMBER(FIND("x"&amp;MID(B256,9,1),"x0x1x2x3x4x5x6x7x8x9"))),OR(10&gt;LEN(B256),MID(B256,10,1)=".",ISNUMBER(FIND("x"&amp;MID(B256,10,1),"x0x1x2x3x4x5x6x7x8x9"))),OR(AND(FIND(".",B256)=5,LEN(B256)-FIND(".",B256,FIND(".",B256)+1)&gt;=1,LEN(B256)-FIND(".",B256,FIND(".",B256)+1)&lt;=2),AND(LEN(B256)-FIND(".",B256,FIND(".",B256)+1)=4,FIND(".",B256)&gt;=2,FIND(".",B256)&lt;=3)),FIND(".",B256,FIND(".",B256)+1)-FIND(".",B256)&gt;=2,FIND(".",B256,FIND(".",B256)+1)-FIND(".",B256)&lt;=3,F256&gt;=2000,F256&lt;=2100,YEAR(I256)=F256,MONTH(I256)=G256,DAY(I256)=H256),I256,0)),0)</ns0:f>
        <ns0:v>0</ns0:v>
      </ns0:c>
      <ns0:c r="K256" s="0">
        <ns0:f>IFERROR(IF(ISNUMBER(Bookings!D256),"",TRIM(Bookings!D256&amp;"")),"")</ns0:f>
      </ns0:c>
      <ns0:c r="L256" s="0">
        <ns0:f>IFERROR(SUBSTITUTE(SUBSTITUTE(K256,"/","."),"-","."),"")</ns0:f>
      </ns0:c>
      <ns0:c r="M256" s="0">
        <ns0:f>IFERROR(LEFT(L256,FIND(".",L256)-1),"")</ns0:f>
      </ns0:c>
      <ns0:c r="N256" s="0">
        <ns0:f>IFERROR(MID(L256,FIND(".",L256)+1,FIND(".",L256,FIND(".",L256)+1)-FIND(".",L256)-1),"")</ns0:f>
      </ns0:c>
      <ns0:c r="O256" s="0">
        <ns0:f>IFERROR(MID(L256,FIND(".",L256,FIND(".",L256)+1)+1,99),"")</ns0:f>
        <ns0:v>99</ns0:v>
      </ns0:c>
      <ns0:c r="P256" s="0">
        <ns0:f>IFERROR(IF(FIND(".",L256)=5,--M256,--O256),0)</ns0:f>
        <ns0:v>0</ns0:v>
      </ns0:c>
      <ns0:c r="Q256" s="0">
        <ns0:f>IFERROR(--N256,0)</ns0:f>
        <ns0:v>0</ns0:v>
      </ns0:c>
      <ns0:c r="R256" s="0">
        <ns0:f>IFERROR(IF(FIND(".",L256)=5,--O256,--M256),0)</ns0:f>
        <ns0:v>0</ns0:v>
      </ns0:c>
      <ns0:c r="S256" s="0">
        <ns0:f>IFERROR(IF(AND(P256&gt;=2000,P256&lt;=2100,Q256&gt;=1,Q256&lt;=12,R256&gt;=1,R256&lt;=31),DATE(P256,Q256,R256),0),0)</ns0:f>
        <ns0:v>0</ns0:v>
      </ns0:c>
      <ns0:c r="T256" s="0">
        <ns0:f>IFERROR(IF(ISNUMBER(Bookings!D256),IF(AND(Bookings!D256=INT(Bookings!D256),Bookings!D256&gt;=DATE(2000,1,1),Bookings!D256&lt;=DATE(2100,12,31)),Bookings!D256,0),IF(AND(K256&lt;&gt;"",LEN("x"&amp;L256)-LEN(SUBSTITUTE("x"&amp;L256,".",""))=2,OR(1&gt;LEN(L256),MID(L256,1,1)=".",ISNUMBER(FIND("x"&amp;MID(L256,1,1),"x0x1x2x3x4x5x6x7x8x9"))),OR(2&gt;LEN(L256),MID(L256,2,1)=".",ISNUMBER(FIND("x"&amp;MID(L256,2,1),"x0x1x2x3x4x5x6x7x8x9"))),OR(3&gt;LEN(L256),MID(L256,3,1)=".",ISNUMBER(FIND("x"&amp;MID(L256,3,1),"x0x1x2x3x4x5x6x7x8x9"))),OR(4&gt;LEN(L256),MID(L256,4,1)=".",ISNUMBER(FIND("x"&amp;MID(L256,4,1),"x0x1x2x3x4x5x6x7x8x9"))),OR(5&gt;LEN(L256),MID(L256,5,1)=".",ISNUMBER(FIND("x"&amp;MID(L256,5,1),"x0x1x2x3x4x5x6x7x8x9"))),OR(6&gt;LEN(L256),MID(L256,6,1)=".",ISNUMBER(FIND("x"&amp;MID(L256,6,1),"x0x1x2x3x4x5x6x7x8x9"))),OR(7&gt;LEN(L256),MID(L256,7,1)=".",ISNUMBER(FIND("x"&amp;MID(L256,7,1),"x0x1x2x3x4x5x6x7x8x9"))),OR(8&gt;LEN(L256),MID(L256,8,1)=".",ISNUMBER(FIND("x"&amp;MID(L256,8,1),"x0x1x2x3x4x5x6x7x8x9"))),OR(9&gt;LEN(L256),MID(L256,9,1)=".",ISNUMBER(FIND("x"&amp;MID(L256,9,1),"x0x1x2x3x4x5x6x7x8x9"))),OR(10&gt;LEN(L256),MID(L256,10,1)=".",ISNUMBER(FIND("x"&amp;MID(L256,10,1),"x0x1x2x3x4x5x6x7x8x9"))),OR(AND(FIND(".",L256)=5,LEN(L256)-FIND(".",L256,FIND(".",L256)+1)&gt;=1,LEN(L256)-FIND(".",L256,FIND(".",L256)+1)&lt;=2),AND(LEN(L256)-FIND(".",L256,FIND(".",L256)+1)=4,FIND(".",L256)&gt;=2,FIND(".",L256)&lt;=3)),FIND(".",L256,FIND(".",L256)+1)-FIND(".",L256)&gt;=2,FIND(".",L256,FIND(".",L256)+1)-FIND(".",L256)&lt;=3,P256&gt;=2000,P256&lt;=2100,YEAR(S256)=P256,MONTH(S256)=Q256,DAY(S256)=R256),S256,0)),0)</ns0:f>
        <ns0:v>0</ns0:v>
      </ns0:c>
      <ns0:c r="U256" s="0" t="str">
        <ns0:f>IF(Bookings!C256="","Full day",Bookings!C256)</ns0:f>
        <ns0:v>Full day</ns0:v>
      </ns0:c>
      <ns0:c r="V256" s="0" t="str">
        <ns0:f>IF(Bookings!E256="","Full day",Bookings!E256)</ns0:f>
        <ns0:v>Full day</ns0:v>
      </ns0:c>
      <ns0:c r="W256" s="0">
        <ns0:f>IF(J256=0,0,J256+IF(U256="PM",1,0))</ns0:f>
        <ns0:v>0</ns0:v>
      </ns0:c>
      <ns0:c r="X256" s="0">
        <ns0:f>IF(T256=0,0,T256-IF(V256="PM",1,0))</ns0:f>
        <ns0:v>0</ns0:v>
      </ns0:c>
      <ns0:c r="Y256" s="0">
        <ns0:f>IF(J256=0,0,J256+IF(U256="AM",1,0))</ns0:f>
        <ns0:v>0</ns0:v>
      </ns0:c>
      <ns0:c r="Z256" s="0">
        <ns0:f>IF(T256=0,0,T256-IF(V256="AM",1,0))</ns0:f>
        <ns0:v>0</ns0:v>
      </ns0:c>
      <ns0:c r="AA256" s="0">
        <ns0:f>IFERROR(IF(AND(J256&gt;0,'_Engine'!C256&gt;0,MID('_Engine'!W256,WEEKDAY(J256,2),1)="W",COUNTIF(Settings!$F$18:$F$67,J256)=0),1,0),0)</ns0:f>
        <ns0:v>0</ns0:v>
      </ns0:c>
      <ns0:c r="AB256" s="0">
        <ns0:f>IFERROR(IF(AND(T256&gt;0,'_Engine'!C256&gt;0,MID('_Engine'!W256,WEEKDAY(T256,2),1)="W",COUNTIF(Settings!$F$18:$F$67,T256)=0),1,0),0)</ns0:f>
        <ns0:v>0</ns0:v>
      </ns0:c>
      <ns0:c r="AC256" s="0">
        <ns0:f>IF(AND(J256&gt;0,T256&gt;0,W256&lt;=X256),1,0)</ns0:f>
        <ns0:v>0</ns0:v>
      </ns0:c>
      <ns0:c r="AD256" s="0">
        <ns0:f>IF(AND(J256&gt;0,T256&gt;0,Y256&lt;=Z256),1,0)</ns0:f>
        <ns0:v>0</ns0:v>
      </ns0:c>
    </ns0:row>
    <ns0:row r="257">
      <ns0:c r="A257" s="0">
        <ns0:f>IFERROR(IF(ISNUMBER(Bookings!B257),"",TRIM(Bookings!B257&amp;"")),"")</ns0:f>
      </ns0:c>
      <ns0:c r="B257" s="0">
        <ns0:f>IFERROR(SUBSTITUTE(SUBSTITUTE(A257,"/","."),"-","."),"")</ns0:f>
      </ns0:c>
      <ns0:c r="C257" s="0">
        <ns0:f>IFERROR(LEFT(B257,FIND(".",B257)-1),"")</ns0:f>
      </ns0:c>
      <ns0:c r="D257" s="0">
        <ns0:f>IFERROR(MID(B257,FIND(".",B257)+1,FIND(".",B257,FIND(".",B257)+1)-FIND(".",B257)-1),"")</ns0:f>
      </ns0:c>
      <ns0:c r="E257" s="0">
        <ns0:f>IFERROR(MID(B257,FIND(".",B257,FIND(".",B257)+1)+1,99),"")</ns0:f>
        <ns0:v>99</ns0:v>
      </ns0:c>
      <ns0:c r="F257" s="0">
        <ns0:f>IFERROR(IF(FIND(".",B257)=5,--C257,--E257),0)</ns0:f>
        <ns0:v>0</ns0:v>
      </ns0:c>
      <ns0:c r="G257" s="0">
        <ns0:f>IFERROR(--D257,0)</ns0:f>
        <ns0:v>0</ns0:v>
      </ns0:c>
      <ns0:c r="H257" s="0">
        <ns0:f>IFERROR(IF(FIND(".",B257)=5,--E257,--C257),0)</ns0:f>
        <ns0:v>0</ns0:v>
      </ns0:c>
      <ns0:c r="I257" s="0">
        <ns0:f>IFERROR(IF(AND(F257&gt;=2000,F257&lt;=2100,G257&gt;=1,G257&lt;=12,H257&gt;=1,H257&lt;=31),DATE(F257,G257,H257),0),0)</ns0:f>
        <ns0:v>0</ns0:v>
      </ns0:c>
      <ns0:c r="J257" s="0">
        <ns0:f>IFERROR(IF(ISNUMBER(Bookings!B257),IF(AND(Bookings!B257=INT(Bookings!B257),Bookings!B257&gt;=DATE(2000,1,1),Bookings!B257&lt;=DATE(2100,12,31)),Bookings!B257,0),IF(AND(A257&lt;&gt;"",LEN("x"&amp;B257)-LEN(SUBSTITUTE("x"&amp;B257,".",""))=2,OR(1&gt;LEN(B257),MID(B257,1,1)=".",ISNUMBER(FIND("x"&amp;MID(B257,1,1),"x0x1x2x3x4x5x6x7x8x9"))),OR(2&gt;LEN(B257),MID(B257,2,1)=".",ISNUMBER(FIND("x"&amp;MID(B257,2,1),"x0x1x2x3x4x5x6x7x8x9"))),OR(3&gt;LEN(B257),MID(B257,3,1)=".",ISNUMBER(FIND("x"&amp;MID(B257,3,1),"x0x1x2x3x4x5x6x7x8x9"))),OR(4&gt;LEN(B257),MID(B257,4,1)=".",ISNUMBER(FIND("x"&amp;MID(B257,4,1),"x0x1x2x3x4x5x6x7x8x9"))),OR(5&gt;LEN(B257),MID(B257,5,1)=".",ISNUMBER(FIND("x"&amp;MID(B257,5,1),"x0x1x2x3x4x5x6x7x8x9"))),OR(6&gt;LEN(B257),MID(B257,6,1)=".",ISNUMBER(FIND("x"&amp;MID(B257,6,1),"x0x1x2x3x4x5x6x7x8x9"))),OR(7&gt;LEN(B257),MID(B257,7,1)=".",ISNUMBER(FIND("x"&amp;MID(B257,7,1),"x0x1x2x3x4x5x6x7x8x9"))),OR(8&gt;LEN(B257),MID(B257,8,1)=".",ISNUMBER(FIND("x"&amp;MID(B257,8,1),"x0x1x2x3x4x5x6x7x8x9"))),OR(9&gt;LEN(B257),MID(B257,9,1)=".",ISNUMBER(FIND("x"&amp;MID(B257,9,1),"x0x1x2x3x4x5x6x7x8x9"))),OR(10&gt;LEN(B257),MID(B257,10,1)=".",ISNUMBER(FIND("x"&amp;MID(B257,10,1),"x0x1x2x3x4x5x6x7x8x9"))),OR(AND(FIND(".",B257)=5,LEN(B257)-FIND(".",B257,FIND(".",B257)+1)&gt;=1,LEN(B257)-FIND(".",B257,FIND(".",B257)+1)&lt;=2),AND(LEN(B257)-FIND(".",B257,FIND(".",B257)+1)=4,FIND(".",B257)&gt;=2,FIND(".",B257)&lt;=3)),FIND(".",B257,FIND(".",B257)+1)-FIND(".",B257)&gt;=2,FIND(".",B257,FIND(".",B257)+1)-FIND(".",B257)&lt;=3,F257&gt;=2000,F257&lt;=2100,YEAR(I257)=F257,MONTH(I257)=G257,DAY(I257)=H257),I257,0)),0)</ns0:f>
        <ns0:v>0</ns0:v>
      </ns0:c>
      <ns0:c r="K257" s="0">
        <ns0:f>IFERROR(IF(ISNUMBER(Bookings!D257),"",TRIM(Bookings!D257&amp;"")),"")</ns0:f>
      </ns0:c>
      <ns0:c r="L257" s="0">
        <ns0:f>IFERROR(SUBSTITUTE(SUBSTITUTE(K257,"/","."),"-","."),"")</ns0:f>
      </ns0:c>
      <ns0:c r="M257" s="0">
        <ns0:f>IFERROR(LEFT(L257,FIND(".",L257)-1),"")</ns0:f>
      </ns0:c>
      <ns0:c r="N257" s="0">
        <ns0:f>IFERROR(MID(L257,FIND(".",L257)+1,FIND(".",L257,FIND(".",L257)+1)-FIND(".",L257)-1),"")</ns0:f>
      </ns0:c>
      <ns0:c r="O257" s="0">
        <ns0:f>IFERROR(MID(L257,FIND(".",L257,FIND(".",L257)+1)+1,99),"")</ns0:f>
        <ns0:v>99</ns0:v>
      </ns0:c>
      <ns0:c r="P257" s="0">
        <ns0:f>IFERROR(IF(FIND(".",L257)=5,--M257,--O257),0)</ns0:f>
        <ns0:v>0</ns0:v>
      </ns0:c>
      <ns0:c r="Q257" s="0">
        <ns0:f>IFERROR(--N257,0)</ns0:f>
        <ns0:v>0</ns0:v>
      </ns0:c>
      <ns0:c r="R257" s="0">
        <ns0:f>IFERROR(IF(FIND(".",L257)=5,--O257,--M257),0)</ns0:f>
        <ns0:v>0</ns0:v>
      </ns0:c>
      <ns0:c r="S257" s="0">
        <ns0:f>IFERROR(IF(AND(P257&gt;=2000,P257&lt;=2100,Q257&gt;=1,Q257&lt;=12,R257&gt;=1,R257&lt;=31),DATE(P257,Q257,R257),0),0)</ns0:f>
        <ns0:v>0</ns0:v>
      </ns0:c>
      <ns0:c r="T257" s="0">
        <ns0:f>IFERROR(IF(ISNUMBER(Bookings!D257),IF(AND(Bookings!D257=INT(Bookings!D257),Bookings!D257&gt;=DATE(2000,1,1),Bookings!D257&lt;=DATE(2100,12,31)),Bookings!D257,0),IF(AND(K257&lt;&gt;"",LEN("x"&amp;L257)-LEN(SUBSTITUTE("x"&amp;L257,".",""))=2,OR(1&gt;LEN(L257),MID(L257,1,1)=".",ISNUMBER(FIND("x"&amp;MID(L257,1,1),"x0x1x2x3x4x5x6x7x8x9"))),OR(2&gt;LEN(L257),MID(L257,2,1)=".",ISNUMBER(FIND("x"&amp;MID(L257,2,1),"x0x1x2x3x4x5x6x7x8x9"))),OR(3&gt;LEN(L257),MID(L257,3,1)=".",ISNUMBER(FIND("x"&amp;MID(L257,3,1),"x0x1x2x3x4x5x6x7x8x9"))),OR(4&gt;LEN(L257),MID(L257,4,1)=".",ISNUMBER(FIND("x"&amp;MID(L257,4,1),"x0x1x2x3x4x5x6x7x8x9"))),OR(5&gt;LEN(L257),MID(L257,5,1)=".",ISNUMBER(FIND("x"&amp;MID(L257,5,1),"x0x1x2x3x4x5x6x7x8x9"))),OR(6&gt;LEN(L257),MID(L257,6,1)=".",ISNUMBER(FIND("x"&amp;MID(L257,6,1),"x0x1x2x3x4x5x6x7x8x9"))),OR(7&gt;LEN(L257),MID(L257,7,1)=".",ISNUMBER(FIND("x"&amp;MID(L257,7,1),"x0x1x2x3x4x5x6x7x8x9"))),OR(8&gt;LEN(L257),MID(L257,8,1)=".",ISNUMBER(FIND("x"&amp;MID(L257,8,1),"x0x1x2x3x4x5x6x7x8x9"))),OR(9&gt;LEN(L257),MID(L257,9,1)=".",ISNUMBER(FIND("x"&amp;MID(L257,9,1),"x0x1x2x3x4x5x6x7x8x9"))),OR(10&gt;LEN(L257),MID(L257,10,1)=".",ISNUMBER(FIND("x"&amp;MID(L257,10,1),"x0x1x2x3x4x5x6x7x8x9"))),OR(AND(FIND(".",L257)=5,LEN(L257)-FIND(".",L257,FIND(".",L257)+1)&gt;=1,LEN(L257)-FIND(".",L257,FIND(".",L257)+1)&lt;=2),AND(LEN(L257)-FIND(".",L257,FIND(".",L257)+1)=4,FIND(".",L257)&gt;=2,FIND(".",L257)&lt;=3)),FIND(".",L257,FIND(".",L257)+1)-FIND(".",L257)&gt;=2,FIND(".",L257,FIND(".",L257)+1)-FIND(".",L257)&lt;=3,P257&gt;=2000,P257&lt;=2100,YEAR(S257)=P257,MONTH(S257)=Q257,DAY(S257)=R257),S257,0)),0)</ns0:f>
        <ns0:v>0</ns0:v>
      </ns0:c>
      <ns0:c r="U257" s="0" t="str">
        <ns0:f>IF(Bookings!C257="","Full day",Bookings!C257)</ns0:f>
        <ns0:v>Full day</ns0:v>
      </ns0:c>
      <ns0:c r="V257" s="0" t="str">
        <ns0:f>IF(Bookings!E257="","Full day",Bookings!E257)</ns0:f>
        <ns0:v>Full day</ns0:v>
      </ns0:c>
      <ns0:c r="W257" s="0">
        <ns0:f>IF(J257=0,0,J257+IF(U257="PM",1,0))</ns0:f>
        <ns0:v>0</ns0:v>
      </ns0:c>
      <ns0:c r="X257" s="0">
        <ns0:f>IF(T257=0,0,T257-IF(V257="PM",1,0))</ns0:f>
        <ns0:v>0</ns0:v>
      </ns0:c>
      <ns0:c r="Y257" s="0">
        <ns0:f>IF(J257=0,0,J257+IF(U257="AM",1,0))</ns0:f>
        <ns0:v>0</ns0:v>
      </ns0:c>
      <ns0:c r="Z257" s="0">
        <ns0:f>IF(T257=0,0,T257-IF(V257="AM",1,0))</ns0:f>
        <ns0:v>0</ns0:v>
      </ns0:c>
      <ns0:c r="AA257" s="0">
        <ns0:f>IFERROR(IF(AND(J257&gt;0,'_Engine'!C257&gt;0,MID('_Engine'!W257,WEEKDAY(J257,2),1)="W",COUNTIF(Settings!$F$18:$F$67,J257)=0),1,0),0)</ns0:f>
        <ns0:v>0</ns0:v>
      </ns0:c>
      <ns0:c r="AB257" s="0">
        <ns0:f>IFERROR(IF(AND(T257&gt;0,'_Engine'!C257&gt;0,MID('_Engine'!W257,WEEKDAY(T257,2),1)="W",COUNTIF(Settings!$F$18:$F$67,T257)=0),1,0),0)</ns0:f>
        <ns0:v>0</ns0:v>
      </ns0:c>
      <ns0:c r="AC257" s="0">
        <ns0:f>IF(AND(J257&gt;0,T257&gt;0,W257&lt;=X257),1,0)</ns0:f>
        <ns0:v>0</ns0:v>
      </ns0:c>
      <ns0:c r="AD257" s="0">
        <ns0:f>IF(AND(J257&gt;0,T257&gt;0,Y257&lt;=Z257),1,0)</ns0:f>
        <ns0:v>0</ns0:v>
      </ns0:c>
    </ns0:row>
    <ns0:row r="258">
      <ns0:c r="A258" s="0">
        <ns0:f>IFERROR(IF(ISNUMBER(Bookings!B258),"",TRIM(Bookings!B258&amp;"")),"")</ns0:f>
      </ns0:c>
      <ns0:c r="B258" s="0">
        <ns0:f>IFERROR(SUBSTITUTE(SUBSTITUTE(A258,"/","."),"-","."),"")</ns0:f>
      </ns0:c>
      <ns0:c r="C258" s="0">
        <ns0:f>IFERROR(LEFT(B258,FIND(".",B258)-1),"")</ns0:f>
      </ns0:c>
      <ns0:c r="D258" s="0">
        <ns0:f>IFERROR(MID(B258,FIND(".",B258)+1,FIND(".",B258,FIND(".",B258)+1)-FIND(".",B258)-1),"")</ns0:f>
      </ns0:c>
      <ns0:c r="E258" s="0">
        <ns0:f>IFERROR(MID(B258,FIND(".",B258,FIND(".",B258)+1)+1,99),"")</ns0:f>
        <ns0:v>99</ns0:v>
      </ns0:c>
      <ns0:c r="F258" s="0">
        <ns0:f>IFERROR(IF(FIND(".",B258)=5,--C258,--E258),0)</ns0:f>
        <ns0:v>0</ns0:v>
      </ns0:c>
      <ns0:c r="G258" s="0">
        <ns0:f>IFERROR(--D258,0)</ns0:f>
        <ns0:v>0</ns0:v>
      </ns0:c>
      <ns0:c r="H258" s="0">
        <ns0:f>IFERROR(IF(FIND(".",B258)=5,--E258,--C258),0)</ns0:f>
        <ns0:v>0</ns0:v>
      </ns0:c>
      <ns0:c r="I258" s="0">
        <ns0:f>IFERROR(IF(AND(F258&gt;=2000,F258&lt;=2100,G258&gt;=1,G258&lt;=12,H258&gt;=1,H258&lt;=31),DATE(F258,G258,H258),0),0)</ns0:f>
        <ns0:v>0</ns0:v>
      </ns0:c>
      <ns0:c r="J258" s="0">
        <ns0:f>IFERROR(IF(ISNUMBER(Bookings!B258),IF(AND(Bookings!B258=INT(Bookings!B258),Bookings!B258&gt;=DATE(2000,1,1),Bookings!B258&lt;=DATE(2100,12,31)),Bookings!B258,0),IF(AND(A258&lt;&gt;"",LEN("x"&amp;B258)-LEN(SUBSTITUTE("x"&amp;B258,".",""))=2,OR(1&gt;LEN(B258),MID(B258,1,1)=".",ISNUMBER(FIND("x"&amp;MID(B258,1,1),"x0x1x2x3x4x5x6x7x8x9"))),OR(2&gt;LEN(B258),MID(B258,2,1)=".",ISNUMBER(FIND("x"&amp;MID(B258,2,1),"x0x1x2x3x4x5x6x7x8x9"))),OR(3&gt;LEN(B258),MID(B258,3,1)=".",ISNUMBER(FIND("x"&amp;MID(B258,3,1),"x0x1x2x3x4x5x6x7x8x9"))),OR(4&gt;LEN(B258),MID(B258,4,1)=".",ISNUMBER(FIND("x"&amp;MID(B258,4,1),"x0x1x2x3x4x5x6x7x8x9"))),OR(5&gt;LEN(B258),MID(B258,5,1)=".",ISNUMBER(FIND("x"&amp;MID(B258,5,1),"x0x1x2x3x4x5x6x7x8x9"))),OR(6&gt;LEN(B258),MID(B258,6,1)=".",ISNUMBER(FIND("x"&amp;MID(B258,6,1),"x0x1x2x3x4x5x6x7x8x9"))),OR(7&gt;LEN(B258),MID(B258,7,1)=".",ISNUMBER(FIND("x"&amp;MID(B258,7,1),"x0x1x2x3x4x5x6x7x8x9"))),OR(8&gt;LEN(B258),MID(B258,8,1)=".",ISNUMBER(FIND("x"&amp;MID(B258,8,1),"x0x1x2x3x4x5x6x7x8x9"))),OR(9&gt;LEN(B258),MID(B258,9,1)=".",ISNUMBER(FIND("x"&amp;MID(B258,9,1),"x0x1x2x3x4x5x6x7x8x9"))),OR(10&gt;LEN(B258),MID(B258,10,1)=".",ISNUMBER(FIND("x"&amp;MID(B258,10,1),"x0x1x2x3x4x5x6x7x8x9"))),OR(AND(FIND(".",B258)=5,LEN(B258)-FIND(".",B258,FIND(".",B258)+1)&gt;=1,LEN(B258)-FIND(".",B258,FIND(".",B258)+1)&lt;=2),AND(LEN(B258)-FIND(".",B258,FIND(".",B258)+1)=4,FIND(".",B258)&gt;=2,FIND(".",B258)&lt;=3)),FIND(".",B258,FIND(".",B258)+1)-FIND(".",B258)&gt;=2,FIND(".",B258,FIND(".",B258)+1)-FIND(".",B258)&lt;=3,F258&gt;=2000,F258&lt;=2100,YEAR(I258)=F258,MONTH(I258)=G258,DAY(I258)=H258),I258,0)),0)</ns0:f>
        <ns0:v>0</ns0:v>
      </ns0:c>
      <ns0:c r="K258" s="0">
        <ns0:f>IFERROR(IF(ISNUMBER(Bookings!D258),"",TRIM(Bookings!D258&amp;"")),"")</ns0:f>
      </ns0:c>
      <ns0:c r="L258" s="0">
        <ns0:f>IFERROR(SUBSTITUTE(SUBSTITUTE(K258,"/","."),"-","."),"")</ns0:f>
      </ns0:c>
      <ns0:c r="M258" s="0">
        <ns0:f>IFERROR(LEFT(L258,FIND(".",L258)-1),"")</ns0:f>
      </ns0:c>
      <ns0:c r="N258" s="0">
        <ns0:f>IFERROR(MID(L258,FIND(".",L258)+1,FIND(".",L258,FIND(".",L258)+1)-FIND(".",L258)-1),"")</ns0:f>
      </ns0:c>
      <ns0:c r="O258" s="0">
        <ns0:f>IFERROR(MID(L258,FIND(".",L258,FIND(".",L258)+1)+1,99),"")</ns0:f>
        <ns0:v>99</ns0:v>
      </ns0:c>
      <ns0:c r="P258" s="0">
        <ns0:f>IFERROR(IF(FIND(".",L258)=5,--M258,--O258),0)</ns0:f>
        <ns0:v>0</ns0:v>
      </ns0:c>
      <ns0:c r="Q258" s="0">
        <ns0:f>IFERROR(--N258,0)</ns0:f>
        <ns0:v>0</ns0:v>
      </ns0:c>
      <ns0:c r="R258" s="0">
        <ns0:f>IFERROR(IF(FIND(".",L258)=5,--O258,--M258),0)</ns0:f>
        <ns0:v>0</ns0:v>
      </ns0:c>
      <ns0:c r="S258" s="0">
        <ns0:f>IFERROR(IF(AND(P258&gt;=2000,P258&lt;=2100,Q258&gt;=1,Q258&lt;=12,R258&gt;=1,R258&lt;=31),DATE(P258,Q258,R258),0),0)</ns0:f>
        <ns0:v>0</ns0:v>
      </ns0:c>
      <ns0:c r="T258" s="0">
        <ns0:f>IFERROR(IF(ISNUMBER(Bookings!D258),IF(AND(Bookings!D258=INT(Bookings!D258),Bookings!D258&gt;=DATE(2000,1,1),Bookings!D258&lt;=DATE(2100,12,31)),Bookings!D258,0),IF(AND(K258&lt;&gt;"",LEN("x"&amp;L258)-LEN(SUBSTITUTE("x"&amp;L258,".",""))=2,OR(1&gt;LEN(L258),MID(L258,1,1)=".",ISNUMBER(FIND("x"&amp;MID(L258,1,1),"x0x1x2x3x4x5x6x7x8x9"))),OR(2&gt;LEN(L258),MID(L258,2,1)=".",ISNUMBER(FIND("x"&amp;MID(L258,2,1),"x0x1x2x3x4x5x6x7x8x9"))),OR(3&gt;LEN(L258),MID(L258,3,1)=".",ISNUMBER(FIND("x"&amp;MID(L258,3,1),"x0x1x2x3x4x5x6x7x8x9"))),OR(4&gt;LEN(L258),MID(L258,4,1)=".",ISNUMBER(FIND("x"&amp;MID(L258,4,1),"x0x1x2x3x4x5x6x7x8x9"))),OR(5&gt;LEN(L258),MID(L258,5,1)=".",ISNUMBER(FIND("x"&amp;MID(L258,5,1),"x0x1x2x3x4x5x6x7x8x9"))),OR(6&gt;LEN(L258),MID(L258,6,1)=".",ISNUMBER(FIND("x"&amp;MID(L258,6,1),"x0x1x2x3x4x5x6x7x8x9"))),OR(7&gt;LEN(L258),MID(L258,7,1)=".",ISNUMBER(FIND("x"&amp;MID(L258,7,1),"x0x1x2x3x4x5x6x7x8x9"))),OR(8&gt;LEN(L258),MID(L258,8,1)=".",ISNUMBER(FIND("x"&amp;MID(L258,8,1),"x0x1x2x3x4x5x6x7x8x9"))),OR(9&gt;LEN(L258),MID(L258,9,1)=".",ISNUMBER(FIND("x"&amp;MID(L258,9,1),"x0x1x2x3x4x5x6x7x8x9"))),OR(10&gt;LEN(L258),MID(L258,10,1)=".",ISNUMBER(FIND("x"&amp;MID(L258,10,1),"x0x1x2x3x4x5x6x7x8x9"))),OR(AND(FIND(".",L258)=5,LEN(L258)-FIND(".",L258,FIND(".",L258)+1)&gt;=1,LEN(L258)-FIND(".",L258,FIND(".",L258)+1)&lt;=2),AND(LEN(L258)-FIND(".",L258,FIND(".",L258)+1)=4,FIND(".",L258)&gt;=2,FIND(".",L258)&lt;=3)),FIND(".",L258,FIND(".",L258)+1)-FIND(".",L258)&gt;=2,FIND(".",L258,FIND(".",L258)+1)-FIND(".",L258)&lt;=3,P258&gt;=2000,P258&lt;=2100,YEAR(S258)=P258,MONTH(S258)=Q258,DAY(S258)=R258),S258,0)),0)</ns0:f>
        <ns0:v>0</ns0:v>
      </ns0:c>
      <ns0:c r="U258" s="0" t="str">
        <ns0:f>IF(Bookings!C258="","Full day",Bookings!C258)</ns0:f>
        <ns0:v>Full day</ns0:v>
      </ns0:c>
      <ns0:c r="V258" s="0" t="str">
        <ns0:f>IF(Bookings!E258="","Full day",Bookings!E258)</ns0:f>
        <ns0:v>Full day</ns0:v>
      </ns0:c>
      <ns0:c r="W258" s="0">
        <ns0:f>IF(J258=0,0,J258+IF(U258="PM",1,0))</ns0:f>
        <ns0:v>0</ns0:v>
      </ns0:c>
      <ns0:c r="X258" s="0">
        <ns0:f>IF(T258=0,0,T258-IF(V258="PM",1,0))</ns0:f>
        <ns0:v>0</ns0:v>
      </ns0:c>
      <ns0:c r="Y258" s="0">
        <ns0:f>IF(J258=0,0,J258+IF(U258="AM",1,0))</ns0:f>
        <ns0:v>0</ns0:v>
      </ns0:c>
      <ns0:c r="Z258" s="0">
        <ns0:f>IF(T258=0,0,T258-IF(V258="AM",1,0))</ns0:f>
        <ns0:v>0</ns0:v>
      </ns0:c>
      <ns0:c r="AA258" s="0">
        <ns0:f>IFERROR(IF(AND(J258&gt;0,'_Engine'!C258&gt;0,MID('_Engine'!W258,WEEKDAY(J258,2),1)="W",COUNTIF(Settings!$F$18:$F$67,J258)=0),1,0),0)</ns0:f>
        <ns0:v>0</ns0:v>
      </ns0:c>
      <ns0:c r="AB258" s="0">
        <ns0:f>IFERROR(IF(AND(T258&gt;0,'_Engine'!C258&gt;0,MID('_Engine'!W258,WEEKDAY(T258,2),1)="W",COUNTIF(Settings!$F$18:$F$67,T258)=0),1,0),0)</ns0:f>
        <ns0:v>0</ns0:v>
      </ns0:c>
      <ns0:c r="AC258" s="0">
        <ns0:f>IF(AND(J258&gt;0,T258&gt;0,W258&lt;=X258),1,0)</ns0:f>
        <ns0:v>0</ns0:v>
      </ns0:c>
      <ns0:c r="AD258" s="0">
        <ns0:f>IF(AND(J258&gt;0,T258&gt;0,Y258&lt;=Z258),1,0)</ns0:f>
        <ns0:v>0</ns0:v>
      </ns0:c>
    </ns0:row>
    <ns0:row r="259">
      <ns0:c r="A259" s="0">
        <ns0:f>IFERROR(IF(ISNUMBER(Bookings!B259),"",TRIM(Bookings!B259&amp;"")),"")</ns0:f>
      </ns0:c>
      <ns0:c r="B259" s="0">
        <ns0:f>IFERROR(SUBSTITUTE(SUBSTITUTE(A259,"/","."),"-","."),"")</ns0:f>
      </ns0:c>
      <ns0:c r="C259" s="0">
        <ns0:f>IFERROR(LEFT(B259,FIND(".",B259)-1),"")</ns0:f>
      </ns0:c>
      <ns0:c r="D259" s="0">
        <ns0:f>IFERROR(MID(B259,FIND(".",B259)+1,FIND(".",B259,FIND(".",B259)+1)-FIND(".",B259)-1),"")</ns0:f>
      </ns0:c>
      <ns0:c r="E259" s="0">
        <ns0:f>IFERROR(MID(B259,FIND(".",B259,FIND(".",B259)+1)+1,99),"")</ns0:f>
        <ns0:v>99</ns0:v>
      </ns0:c>
      <ns0:c r="F259" s="0">
        <ns0:f>IFERROR(IF(FIND(".",B259)=5,--C259,--E259),0)</ns0:f>
        <ns0:v>0</ns0:v>
      </ns0:c>
      <ns0:c r="G259" s="0">
        <ns0:f>IFERROR(--D259,0)</ns0:f>
        <ns0:v>0</ns0:v>
      </ns0:c>
      <ns0:c r="H259" s="0">
        <ns0:f>IFERROR(IF(FIND(".",B259)=5,--E259,--C259),0)</ns0:f>
        <ns0:v>0</ns0:v>
      </ns0:c>
      <ns0:c r="I259" s="0">
        <ns0:f>IFERROR(IF(AND(F259&gt;=2000,F259&lt;=2100,G259&gt;=1,G259&lt;=12,H259&gt;=1,H259&lt;=31),DATE(F259,G259,H259),0),0)</ns0:f>
        <ns0:v>0</ns0:v>
      </ns0:c>
      <ns0:c r="J259" s="0">
        <ns0:f>IFERROR(IF(ISNUMBER(Bookings!B259),IF(AND(Bookings!B259=INT(Bookings!B259),Bookings!B259&gt;=DATE(2000,1,1),Bookings!B259&lt;=DATE(2100,12,31)),Bookings!B259,0),IF(AND(A259&lt;&gt;"",LEN("x"&amp;B259)-LEN(SUBSTITUTE("x"&amp;B259,".",""))=2,OR(1&gt;LEN(B259),MID(B259,1,1)=".",ISNUMBER(FIND("x"&amp;MID(B259,1,1),"x0x1x2x3x4x5x6x7x8x9"))),OR(2&gt;LEN(B259),MID(B259,2,1)=".",ISNUMBER(FIND("x"&amp;MID(B259,2,1),"x0x1x2x3x4x5x6x7x8x9"))),OR(3&gt;LEN(B259),MID(B259,3,1)=".",ISNUMBER(FIND("x"&amp;MID(B259,3,1),"x0x1x2x3x4x5x6x7x8x9"))),OR(4&gt;LEN(B259),MID(B259,4,1)=".",ISNUMBER(FIND("x"&amp;MID(B259,4,1),"x0x1x2x3x4x5x6x7x8x9"))),OR(5&gt;LEN(B259),MID(B259,5,1)=".",ISNUMBER(FIND("x"&amp;MID(B259,5,1),"x0x1x2x3x4x5x6x7x8x9"))),OR(6&gt;LEN(B259),MID(B259,6,1)=".",ISNUMBER(FIND("x"&amp;MID(B259,6,1),"x0x1x2x3x4x5x6x7x8x9"))),OR(7&gt;LEN(B259),MID(B259,7,1)=".",ISNUMBER(FIND("x"&amp;MID(B259,7,1),"x0x1x2x3x4x5x6x7x8x9"))),OR(8&gt;LEN(B259),MID(B259,8,1)=".",ISNUMBER(FIND("x"&amp;MID(B259,8,1),"x0x1x2x3x4x5x6x7x8x9"))),OR(9&gt;LEN(B259),MID(B259,9,1)=".",ISNUMBER(FIND("x"&amp;MID(B259,9,1),"x0x1x2x3x4x5x6x7x8x9"))),OR(10&gt;LEN(B259),MID(B259,10,1)=".",ISNUMBER(FIND("x"&amp;MID(B259,10,1),"x0x1x2x3x4x5x6x7x8x9"))),OR(AND(FIND(".",B259)=5,LEN(B259)-FIND(".",B259,FIND(".",B259)+1)&gt;=1,LEN(B259)-FIND(".",B259,FIND(".",B259)+1)&lt;=2),AND(LEN(B259)-FIND(".",B259,FIND(".",B259)+1)=4,FIND(".",B259)&gt;=2,FIND(".",B259)&lt;=3)),FIND(".",B259,FIND(".",B259)+1)-FIND(".",B259)&gt;=2,FIND(".",B259,FIND(".",B259)+1)-FIND(".",B259)&lt;=3,F259&gt;=2000,F259&lt;=2100,YEAR(I259)=F259,MONTH(I259)=G259,DAY(I259)=H259),I259,0)),0)</ns0:f>
        <ns0:v>0</ns0:v>
      </ns0:c>
      <ns0:c r="K259" s="0">
        <ns0:f>IFERROR(IF(ISNUMBER(Bookings!D259),"",TRIM(Bookings!D259&amp;"")),"")</ns0:f>
      </ns0:c>
      <ns0:c r="L259" s="0">
        <ns0:f>IFERROR(SUBSTITUTE(SUBSTITUTE(K259,"/","."),"-","."),"")</ns0:f>
      </ns0:c>
      <ns0:c r="M259" s="0">
        <ns0:f>IFERROR(LEFT(L259,FIND(".",L259)-1),"")</ns0:f>
      </ns0:c>
      <ns0:c r="N259" s="0">
        <ns0:f>IFERROR(MID(L259,FIND(".",L259)+1,FIND(".",L259,FIND(".",L259)+1)-FIND(".",L259)-1),"")</ns0:f>
      </ns0:c>
      <ns0:c r="O259" s="0">
        <ns0:f>IFERROR(MID(L259,FIND(".",L259,FIND(".",L259)+1)+1,99),"")</ns0:f>
        <ns0:v>99</ns0:v>
      </ns0:c>
      <ns0:c r="P259" s="0">
        <ns0:f>IFERROR(IF(FIND(".",L259)=5,--M259,--O259),0)</ns0:f>
        <ns0:v>0</ns0:v>
      </ns0:c>
      <ns0:c r="Q259" s="0">
        <ns0:f>IFERROR(--N259,0)</ns0:f>
        <ns0:v>0</ns0:v>
      </ns0:c>
      <ns0:c r="R259" s="0">
        <ns0:f>IFERROR(IF(FIND(".",L259)=5,--O259,--M259),0)</ns0:f>
        <ns0:v>0</ns0:v>
      </ns0:c>
      <ns0:c r="S259" s="0">
        <ns0:f>IFERROR(IF(AND(P259&gt;=2000,P259&lt;=2100,Q259&gt;=1,Q259&lt;=12,R259&gt;=1,R259&lt;=31),DATE(P259,Q259,R259),0),0)</ns0:f>
        <ns0:v>0</ns0:v>
      </ns0:c>
      <ns0:c r="T259" s="0">
        <ns0:f>IFERROR(IF(ISNUMBER(Bookings!D259),IF(AND(Bookings!D259=INT(Bookings!D259),Bookings!D259&gt;=DATE(2000,1,1),Bookings!D259&lt;=DATE(2100,12,31)),Bookings!D259,0),IF(AND(K259&lt;&gt;"",LEN("x"&amp;L259)-LEN(SUBSTITUTE("x"&amp;L259,".",""))=2,OR(1&gt;LEN(L259),MID(L259,1,1)=".",ISNUMBER(FIND("x"&amp;MID(L259,1,1),"x0x1x2x3x4x5x6x7x8x9"))),OR(2&gt;LEN(L259),MID(L259,2,1)=".",ISNUMBER(FIND("x"&amp;MID(L259,2,1),"x0x1x2x3x4x5x6x7x8x9"))),OR(3&gt;LEN(L259),MID(L259,3,1)=".",ISNUMBER(FIND("x"&amp;MID(L259,3,1),"x0x1x2x3x4x5x6x7x8x9"))),OR(4&gt;LEN(L259),MID(L259,4,1)=".",ISNUMBER(FIND("x"&amp;MID(L259,4,1),"x0x1x2x3x4x5x6x7x8x9"))),OR(5&gt;LEN(L259),MID(L259,5,1)=".",ISNUMBER(FIND("x"&amp;MID(L259,5,1),"x0x1x2x3x4x5x6x7x8x9"))),OR(6&gt;LEN(L259),MID(L259,6,1)=".",ISNUMBER(FIND("x"&amp;MID(L259,6,1),"x0x1x2x3x4x5x6x7x8x9"))),OR(7&gt;LEN(L259),MID(L259,7,1)=".",ISNUMBER(FIND("x"&amp;MID(L259,7,1),"x0x1x2x3x4x5x6x7x8x9"))),OR(8&gt;LEN(L259),MID(L259,8,1)=".",ISNUMBER(FIND("x"&amp;MID(L259,8,1),"x0x1x2x3x4x5x6x7x8x9"))),OR(9&gt;LEN(L259),MID(L259,9,1)=".",ISNUMBER(FIND("x"&amp;MID(L259,9,1),"x0x1x2x3x4x5x6x7x8x9"))),OR(10&gt;LEN(L259),MID(L259,10,1)=".",ISNUMBER(FIND("x"&amp;MID(L259,10,1),"x0x1x2x3x4x5x6x7x8x9"))),OR(AND(FIND(".",L259)=5,LEN(L259)-FIND(".",L259,FIND(".",L259)+1)&gt;=1,LEN(L259)-FIND(".",L259,FIND(".",L259)+1)&lt;=2),AND(LEN(L259)-FIND(".",L259,FIND(".",L259)+1)=4,FIND(".",L259)&gt;=2,FIND(".",L259)&lt;=3)),FIND(".",L259,FIND(".",L259)+1)-FIND(".",L259)&gt;=2,FIND(".",L259,FIND(".",L259)+1)-FIND(".",L259)&lt;=3,P259&gt;=2000,P259&lt;=2100,YEAR(S259)=P259,MONTH(S259)=Q259,DAY(S259)=R259),S259,0)),0)</ns0:f>
        <ns0:v>0</ns0:v>
      </ns0:c>
      <ns0:c r="U259" s="0" t="str">
        <ns0:f>IF(Bookings!C259="","Full day",Bookings!C259)</ns0:f>
        <ns0:v>Full day</ns0:v>
      </ns0:c>
      <ns0:c r="V259" s="0" t="str">
        <ns0:f>IF(Bookings!E259="","Full day",Bookings!E259)</ns0:f>
        <ns0:v>Full day</ns0:v>
      </ns0:c>
      <ns0:c r="W259" s="0">
        <ns0:f>IF(J259=0,0,J259+IF(U259="PM",1,0))</ns0:f>
        <ns0:v>0</ns0:v>
      </ns0:c>
      <ns0:c r="X259" s="0">
        <ns0:f>IF(T259=0,0,T259-IF(V259="PM",1,0))</ns0:f>
        <ns0:v>0</ns0:v>
      </ns0:c>
      <ns0:c r="Y259" s="0">
        <ns0:f>IF(J259=0,0,J259+IF(U259="AM",1,0))</ns0:f>
        <ns0:v>0</ns0:v>
      </ns0:c>
      <ns0:c r="Z259" s="0">
        <ns0:f>IF(T259=0,0,T259-IF(V259="AM",1,0))</ns0:f>
        <ns0:v>0</ns0:v>
      </ns0:c>
      <ns0:c r="AA259" s="0">
        <ns0:f>IFERROR(IF(AND(J259&gt;0,'_Engine'!C259&gt;0,MID('_Engine'!W259,WEEKDAY(J259,2),1)="W",COUNTIF(Settings!$F$18:$F$67,J259)=0),1,0),0)</ns0:f>
        <ns0:v>0</ns0:v>
      </ns0:c>
      <ns0:c r="AB259" s="0">
        <ns0:f>IFERROR(IF(AND(T259&gt;0,'_Engine'!C259&gt;0,MID('_Engine'!W259,WEEKDAY(T259,2),1)="W",COUNTIF(Settings!$F$18:$F$67,T259)=0),1,0),0)</ns0:f>
        <ns0:v>0</ns0:v>
      </ns0:c>
      <ns0:c r="AC259" s="0">
        <ns0:f>IF(AND(J259&gt;0,T259&gt;0,W259&lt;=X259),1,0)</ns0:f>
        <ns0:v>0</ns0:v>
      </ns0:c>
      <ns0:c r="AD259" s="0">
        <ns0:f>IF(AND(J259&gt;0,T259&gt;0,Y259&lt;=Z259),1,0)</ns0:f>
        <ns0:v>0</ns0:v>
      </ns0:c>
    </ns0:row>
    <ns0:row r="260">
      <ns0:c r="A260" s="0">
        <ns0:f>IFERROR(IF(ISNUMBER(Bookings!B260),"",TRIM(Bookings!B260&amp;"")),"")</ns0:f>
      </ns0:c>
      <ns0:c r="B260" s="0">
        <ns0:f>IFERROR(SUBSTITUTE(SUBSTITUTE(A260,"/","."),"-","."),"")</ns0:f>
      </ns0:c>
      <ns0:c r="C260" s="0">
        <ns0:f>IFERROR(LEFT(B260,FIND(".",B260)-1),"")</ns0:f>
      </ns0:c>
      <ns0:c r="D260" s="0">
        <ns0:f>IFERROR(MID(B260,FIND(".",B260)+1,FIND(".",B260,FIND(".",B260)+1)-FIND(".",B260)-1),"")</ns0:f>
      </ns0:c>
      <ns0:c r="E260" s="0">
        <ns0:f>IFERROR(MID(B260,FIND(".",B260,FIND(".",B260)+1)+1,99),"")</ns0:f>
        <ns0:v>99</ns0:v>
      </ns0:c>
      <ns0:c r="F260" s="0">
        <ns0:f>IFERROR(IF(FIND(".",B260)=5,--C260,--E260),0)</ns0:f>
        <ns0:v>0</ns0:v>
      </ns0:c>
      <ns0:c r="G260" s="0">
        <ns0:f>IFERROR(--D260,0)</ns0:f>
        <ns0:v>0</ns0:v>
      </ns0:c>
      <ns0:c r="H260" s="0">
        <ns0:f>IFERROR(IF(FIND(".",B260)=5,--E260,--C260),0)</ns0:f>
        <ns0:v>0</ns0:v>
      </ns0:c>
      <ns0:c r="I260" s="0">
        <ns0:f>IFERROR(IF(AND(F260&gt;=2000,F260&lt;=2100,G260&gt;=1,G260&lt;=12,H260&gt;=1,H260&lt;=31),DATE(F260,G260,H260),0),0)</ns0:f>
        <ns0:v>0</ns0:v>
      </ns0:c>
      <ns0:c r="J260" s="0">
        <ns0:f>IFERROR(IF(ISNUMBER(Bookings!B260),IF(AND(Bookings!B260=INT(Bookings!B260),Bookings!B260&gt;=DATE(2000,1,1),Bookings!B260&lt;=DATE(2100,12,31)),Bookings!B260,0),IF(AND(A260&lt;&gt;"",LEN("x"&amp;B260)-LEN(SUBSTITUTE("x"&amp;B260,".",""))=2,OR(1&gt;LEN(B260),MID(B260,1,1)=".",ISNUMBER(FIND("x"&amp;MID(B260,1,1),"x0x1x2x3x4x5x6x7x8x9"))),OR(2&gt;LEN(B260),MID(B260,2,1)=".",ISNUMBER(FIND("x"&amp;MID(B260,2,1),"x0x1x2x3x4x5x6x7x8x9"))),OR(3&gt;LEN(B260),MID(B260,3,1)=".",ISNUMBER(FIND("x"&amp;MID(B260,3,1),"x0x1x2x3x4x5x6x7x8x9"))),OR(4&gt;LEN(B260),MID(B260,4,1)=".",ISNUMBER(FIND("x"&amp;MID(B260,4,1),"x0x1x2x3x4x5x6x7x8x9"))),OR(5&gt;LEN(B260),MID(B260,5,1)=".",ISNUMBER(FIND("x"&amp;MID(B260,5,1),"x0x1x2x3x4x5x6x7x8x9"))),OR(6&gt;LEN(B260),MID(B260,6,1)=".",ISNUMBER(FIND("x"&amp;MID(B260,6,1),"x0x1x2x3x4x5x6x7x8x9"))),OR(7&gt;LEN(B260),MID(B260,7,1)=".",ISNUMBER(FIND("x"&amp;MID(B260,7,1),"x0x1x2x3x4x5x6x7x8x9"))),OR(8&gt;LEN(B260),MID(B260,8,1)=".",ISNUMBER(FIND("x"&amp;MID(B260,8,1),"x0x1x2x3x4x5x6x7x8x9"))),OR(9&gt;LEN(B260),MID(B260,9,1)=".",ISNUMBER(FIND("x"&amp;MID(B260,9,1),"x0x1x2x3x4x5x6x7x8x9"))),OR(10&gt;LEN(B260),MID(B260,10,1)=".",ISNUMBER(FIND("x"&amp;MID(B260,10,1),"x0x1x2x3x4x5x6x7x8x9"))),OR(AND(FIND(".",B260)=5,LEN(B260)-FIND(".",B260,FIND(".",B260)+1)&gt;=1,LEN(B260)-FIND(".",B260,FIND(".",B260)+1)&lt;=2),AND(LEN(B260)-FIND(".",B260,FIND(".",B260)+1)=4,FIND(".",B260)&gt;=2,FIND(".",B260)&lt;=3)),FIND(".",B260,FIND(".",B260)+1)-FIND(".",B260)&gt;=2,FIND(".",B260,FIND(".",B260)+1)-FIND(".",B260)&lt;=3,F260&gt;=2000,F260&lt;=2100,YEAR(I260)=F260,MONTH(I260)=G260,DAY(I260)=H260),I260,0)),0)</ns0:f>
        <ns0:v>0</ns0:v>
      </ns0:c>
      <ns0:c r="K260" s="0">
        <ns0:f>IFERROR(IF(ISNUMBER(Bookings!D260),"",TRIM(Bookings!D260&amp;"")),"")</ns0:f>
      </ns0:c>
      <ns0:c r="L260" s="0">
        <ns0:f>IFERROR(SUBSTITUTE(SUBSTITUTE(K260,"/","."),"-","."),"")</ns0:f>
      </ns0:c>
      <ns0:c r="M260" s="0">
        <ns0:f>IFERROR(LEFT(L260,FIND(".",L260)-1),"")</ns0:f>
      </ns0:c>
      <ns0:c r="N260" s="0">
        <ns0:f>IFERROR(MID(L260,FIND(".",L260)+1,FIND(".",L260,FIND(".",L260)+1)-FIND(".",L260)-1),"")</ns0:f>
      </ns0:c>
      <ns0:c r="O260" s="0">
        <ns0:f>IFERROR(MID(L260,FIND(".",L260,FIND(".",L260)+1)+1,99),"")</ns0:f>
        <ns0:v>99</ns0:v>
      </ns0:c>
      <ns0:c r="P260" s="0">
        <ns0:f>IFERROR(IF(FIND(".",L260)=5,--M260,--O260),0)</ns0:f>
        <ns0:v>0</ns0:v>
      </ns0:c>
      <ns0:c r="Q260" s="0">
        <ns0:f>IFERROR(--N260,0)</ns0:f>
        <ns0:v>0</ns0:v>
      </ns0:c>
      <ns0:c r="R260" s="0">
        <ns0:f>IFERROR(IF(FIND(".",L260)=5,--O260,--M260),0)</ns0:f>
        <ns0:v>0</ns0:v>
      </ns0:c>
      <ns0:c r="S260" s="0">
        <ns0:f>IFERROR(IF(AND(P260&gt;=2000,P260&lt;=2100,Q260&gt;=1,Q260&lt;=12,R260&gt;=1,R260&lt;=31),DATE(P260,Q260,R260),0),0)</ns0:f>
        <ns0:v>0</ns0:v>
      </ns0:c>
      <ns0:c r="T260" s="0">
        <ns0:f>IFERROR(IF(ISNUMBER(Bookings!D260),IF(AND(Bookings!D260=INT(Bookings!D260),Bookings!D260&gt;=DATE(2000,1,1),Bookings!D260&lt;=DATE(2100,12,31)),Bookings!D260,0),IF(AND(K260&lt;&gt;"",LEN("x"&amp;L260)-LEN(SUBSTITUTE("x"&amp;L260,".",""))=2,OR(1&gt;LEN(L260),MID(L260,1,1)=".",ISNUMBER(FIND("x"&amp;MID(L260,1,1),"x0x1x2x3x4x5x6x7x8x9"))),OR(2&gt;LEN(L260),MID(L260,2,1)=".",ISNUMBER(FIND("x"&amp;MID(L260,2,1),"x0x1x2x3x4x5x6x7x8x9"))),OR(3&gt;LEN(L260),MID(L260,3,1)=".",ISNUMBER(FIND("x"&amp;MID(L260,3,1),"x0x1x2x3x4x5x6x7x8x9"))),OR(4&gt;LEN(L260),MID(L260,4,1)=".",ISNUMBER(FIND("x"&amp;MID(L260,4,1),"x0x1x2x3x4x5x6x7x8x9"))),OR(5&gt;LEN(L260),MID(L260,5,1)=".",ISNUMBER(FIND("x"&amp;MID(L260,5,1),"x0x1x2x3x4x5x6x7x8x9"))),OR(6&gt;LEN(L260),MID(L260,6,1)=".",ISNUMBER(FIND("x"&amp;MID(L260,6,1),"x0x1x2x3x4x5x6x7x8x9"))),OR(7&gt;LEN(L260),MID(L260,7,1)=".",ISNUMBER(FIND("x"&amp;MID(L260,7,1),"x0x1x2x3x4x5x6x7x8x9"))),OR(8&gt;LEN(L260),MID(L260,8,1)=".",ISNUMBER(FIND("x"&amp;MID(L260,8,1),"x0x1x2x3x4x5x6x7x8x9"))),OR(9&gt;LEN(L260),MID(L260,9,1)=".",ISNUMBER(FIND("x"&amp;MID(L260,9,1),"x0x1x2x3x4x5x6x7x8x9"))),OR(10&gt;LEN(L260),MID(L260,10,1)=".",ISNUMBER(FIND("x"&amp;MID(L260,10,1),"x0x1x2x3x4x5x6x7x8x9"))),OR(AND(FIND(".",L260)=5,LEN(L260)-FIND(".",L260,FIND(".",L260)+1)&gt;=1,LEN(L260)-FIND(".",L260,FIND(".",L260)+1)&lt;=2),AND(LEN(L260)-FIND(".",L260,FIND(".",L260)+1)=4,FIND(".",L260)&gt;=2,FIND(".",L260)&lt;=3)),FIND(".",L260,FIND(".",L260)+1)-FIND(".",L260)&gt;=2,FIND(".",L260,FIND(".",L260)+1)-FIND(".",L260)&lt;=3,P260&gt;=2000,P260&lt;=2100,YEAR(S260)=P260,MONTH(S260)=Q260,DAY(S260)=R260),S260,0)),0)</ns0:f>
        <ns0:v>0</ns0:v>
      </ns0:c>
      <ns0:c r="U260" s="0" t="str">
        <ns0:f>IF(Bookings!C260="","Full day",Bookings!C260)</ns0:f>
        <ns0:v>Full day</ns0:v>
      </ns0:c>
      <ns0:c r="V260" s="0" t="str">
        <ns0:f>IF(Bookings!E260="","Full day",Bookings!E260)</ns0:f>
        <ns0:v>Full day</ns0:v>
      </ns0:c>
      <ns0:c r="W260" s="0">
        <ns0:f>IF(J260=0,0,J260+IF(U260="PM",1,0))</ns0:f>
        <ns0:v>0</ns0:v>
      </ns0:c>
      <ns0:c r="X260" s="0">
        <ns0:f>IF(T260=0,0,T260-IF(V260="PM",1,0))</ns0:f>
        <ns0:v>0</ns0:v>
      </ns0:c>
      <ns0:c r="Y260" s="0">
        <ns0:f>IF(J260=0,0,J260+IF(U260="AM",1,0))</ns0:f>
        <ns0:v>0</ns0:v>
      </ns0:c>
      <ns0:c r="Z260" s="0">
        <ns0:f>IF(T260=0,0,T260-IF(V260="AM",1,0))</ns0:f>
        <ns0:v>0</ns0:v>
      </ns0:c>
      <ns0:c r="AA260" s="0">
        <ns0:f>IFERROR(IF(AND(J260&gt;0,'_Engine'!C260&gt;0,MID('_Engine'!W260,WEEKDAY(J260,2),1)="W",COUNTIF(Settings!$F$18:$F$67,J260)=0),1,0),0)</ns0:f>
        <ns0:v>0</ns0:v>
      </ns0:c>
      <ns0:c r="AB260" s="0">
        <ns0:f>IFERROR(IF(AND(T260&gt;0,'_Engine'!C260&gt;0,MID('_Engine'!W260,WEEKDAY(T260,2),1)="W",COUNTIF(Settings!$F$18:$F$67,T260)=0),1,0),0)</ns0:f>
        <ns0:v>0</ns0:v>
      </ns0:c>
      <ns0:c r="AC260" s="0">
        <ns0:f>IF(AND(J260&gt;0,T260&gt;0,W260&lt;=X260),1,0)</ns0:f>
        <ns0:v>0</ns0:v>
      </ns0:c>
      <ns0:c r="AD260" s="0">
        <ns0:f>IF(AND(J260&gt;0,T260&gt;0,Y260&lt;=Z260),1,0)</ns0:f>
        <ns0:v>0</ns0:v>
      </ns0:c>
    </ns0:row>
    <ns0:row r="261">
      <ns0:c r="A261" s="0">
        <ns0:f>IFERROR(IF(ISNUMBER(Bookings!B261),"",TRIM(Bookings!B261&amp;"")),"")</ns0:f>
      </ns0:c>
      <ns0:c r="B261" s="0">
        <ns0:f>IFERROR(SUBSTITUTE(SUBSTITUTE(A261,"/","."),"-","."),"")</ns0:f>
      </ns0:c>
      <ns0:c r="C261" s="0">
        <ns0:f>IFERROR(LEFT(B261,FIND(".",B261)-1),"")</ns0:f>
      </ns0:c>
      <ns0:c r="D261" s="0">
        <ns0:f>IFERROR(MID(B261,FIND(".",B261)+1,FIND(".",B261,FIND(".",B261)+1)-FIND(".",B261)-1),"")</ns0:f>
      </ns0:c>
      <ns0:c r="E261" s="0">
        <ns0:f>IFERROR(MID(B261,FIND(".",B261,FIND(".",B261)+1)+1,99),"")</ns0:f>
        <ns0:v>99</ns0:v>
      </ns0:c>
      <ns0:c r="F261" s="0">
        <ns0:f>IFERROR(IF(FIND(".",B261)=5,--C261,--E261),0)</ns0:f>
        <ns0:v>0</ns0:v>
      </ns0:c>
      <ns0:c r="G261" s="0">
        <ns0:f>IFERROR(--D261,0)</ns0:f>
        <ns0:v>0</ns0:v>
      </ns0:c>
      <ns0:c r="H261" s="0">
        <ns0:f>IFERROR(IF(FIND(".",B261)=5,--E261,--C261),0)</ns0:f>
        <ns0:v>0</ns0:v>
      </ns0:c>
      <ns0:c r="I261" s="0">
        <ns0:f>IFERROR(IF(AND(F261&gt;=2000,F261&lt;=2100,G261&gt;=1,G261&lt;=12,H261&gt;=1,H261&lt;=31),DATE(F261,G261,H261),0),0)</ns0:f>
        <ns0:v>0</ns0:v>
      </ns0:c>
      <ns0:c r="J261" s="0">
        <ns0:f>IFERROR(IF(ISNUMBER(Bookings!B261),IF(AND(Bookings!B261=INT(Bookings!B261),Bookings!B261&gt;=DATE(2000,1,1),Bookings!B261&lt;=DATE(2100,12,31)),Bookings!B261,0),IF(AND(A261&lt;&gt;"",LEN("x"&amp;B261)-LEN(SUBSTITUTE("x"&amp;B261,".",""))=2,OR(1&gt;LEN(B261),MID(B261,1,1)=".",ISNUMBER(FIND("x"&amp;MID(B261,1,1),"x0x1x2x3x4x5x6x7x8x9"))),OR(2&gt;LEN(B261),MID(B261,2,1)=".",ISNUMBER(FIND("x"&amp;MID(B261,2,1),"x0x1x2x3x4x5x6x7x8x9"))),OR(3&gt;LEN(B261),MID(B261,3,1)=".",ISNUMBER(FIND("x"&amp;MID(B261,3,1),"x0x1x2x3x4x5x6x7x8x9"))),OR(4&gt;LEN(B261),MID(B261,4,1)=".",ISNUMBER(FIND("x"&amp;MID(B261,4,1),"x0x1x2x3x4x5x6x7x8x9"))),OR(5&gt;LEN(B261),MID(B261,5,1)=".",ISNUMBER(FIND("x"&amp;MID(B261,5,1),"x0x1x2x3x4x5x6x7x8x9"))),OR(6&gt;LEN(B261),MID(B261,6,1)=".",ISNUMBER(FIND("x"&amp;MID(B261,6,1),"x0x1x2x3x4x5x6x7x8x9"))),OR(7&gt;LEN(B261),MID(B261,7,1)=".",ISNUMBER(FIND("x"&amp;MID(B261,7,1),"x0x1x2x3x4x5x6x7x8x9"))),OR(8&gt;LEN(B261),MID(B261,8,1)=".",ISNUMBER(FIND("x"&amp;MID(B261,8,1),"x0x1x2x3x4x5x6x7x8x9"))),OR(9&gt;LEN(B261),MID(B261,9,1)=".",ISNUMBER(FIND("x"&amp;MID(B261,9,1),"x0x1x2x3x4x5x6x7x8x9"))),OR(10&gt;LEN(B261),MID(B261,10,1)=".",ISNUMBER(FIND("x"&amp;MID(B261,10,1),"x0x1x2x3x4x5x6x7x8x9"))),OR(AND(FIND(".",B261)=5,LEN(B261)-FIND(".",B261,FIND(".",B261)+1)&gt;=1,LEN(B261)-FIND(".",B261,FIND(".",B261)+1)&lt;=2),AND(LEN(B261)-FIND(".",B261,FIND(".",B261)+1)=4,FIND(".",B261)&gt;=2,FIND(".",B261)&lt;=3)),FIND(".",B261,FIND(".",B261)+1)-FIND(".",B261)&gt;=2,FIND(".",B261,FIND(".",B261)+1)-FIND(".",B261)&lt;=3,F261&gt;=2000,F261&lt;=2100,YEAR(I261)=F261,MONTH(I261)=G261,DAY(I261)=H261),I261,0)),0)</ns0:f>
        <ns0:v>0</ns0:v>
      </ns0:c>
      <ns0:c r="K261" s="0">
        <ns0:f>IFERROR(IF(ISNUMBER(Bookings!D261),"",TRIM(Bookings!D261&amp;"")),"")</ns0:f>
      </ns0:c>
      <ns0:c r="L261" s="0">
        <ns0:f>IFERROR(SUBSTITUTE(SUBSTITUTE(K261,"/","."),"-","."),"")</ns0:f>
      </ns0:c>
      <ns0:c r="M261" s="0">
        <ns0:f>IFERROR(LEFT(L261,FIND(".",L261)-1),"")</ns0:f>
      </ns0:c>
      <ns0:c r="N261" s="0">
        <ns0:f>IFERROR(MID(L261,FIND(".",L261)+1,FIND(".",L261,FIND(".",L261)+1)-FIND(".",L261)-1),"")</ns0:f>
      </ns0:c>
      <ns0:c r="O261" s="0">
        <ns0:f>IFERROR(MID(L261,FIND(".",L261,FIND(".",L261)+1)+1,99),"")</ns0:f>
        <ns0:v>99</ns0:v>
      </ns0:c>
      <ns0:c r="P261" s="0">
        <ns0:f>IFERROR(IF(FIND(".",L261)=5,--M261,--O261),0)</ns0:f>
        <ns0:v>0</ns0:v>
      </ns0:c>
      <ns0:c r="Q261" s="0">
        <ns0:f>IFERROR(--N261,0)</ns0:f>
        <ns0:v>0</ns0:v>
      </ns0:c>
      <ns0:c r="R261" s="0">
        <ns0:f>IFERROR(IF(FIND(".",L261)=5,--O261,--M261),0)</ns0:f>
        <ns0:v>0</ns0:v>
      </ns0:c>
      <ns0:c r="S261" s="0">
        <ns0:f>IFERROR(IF(AND(P261&gt;=2000,P261&lt;=2100,Q261&gt;=1,Q261&lt;=12,R261&gt;=1,R261&lt;=31),DATE(P261,Q261,R261),0),0)</ns0:f>
        <ns0:v>0</ns0:v>
      </ns0:c>
      <ns0:c r="T261" s="0">
        <ns0:f>IFERROR(IF(ISNUMBER(Bookings!D261),IF(AND(Bookings!D261=INT(Bookings!D261),Bookings!D261&gt;=DATE(2000,1,1),Bookings!D261&lt;=DATE(2100,12,31)),Bookings!D261,0),IF(AND(K261&lt;&gt;"",LEN("x"&amp;L261)-LEN(SUBSTITUTE("x"&amp;L261,".",""))=2,OR(1&gt;LEN(L261),MID(L261,1,1)=".",ISNUMBER(FIND("x"&amp;MID(L261,1,1),"x0x1x2x3x4x5x6x7x8x9"))),OR(2&gt;LEN(L261),MID(L261,2,1)=".",ISNUMBER(FIND("x"&amp;MID(L261,2,1),"x0x1x2x3x4x5x6x7x8x9"))),OR(3&gt;LEN(L261),MID(L261,3,1)=".",ISNUMBER(FIND("x"&amp;MID(L261,3,1),"x0x1x2x3x4x5x6x7x8x9"))),OR(4&gt;LEN(L261),MID(L261,4,1)=".",ISNUMBER(FIND("x"&amp;MID(L261,4,1),"x0x1x2x3x4x5x6x7x8x9"))),OR(5&gt;LEN(L261),MID(L261,5,1)=".",ISNUMBER(FIND("x"&amp;MID(L261,5,1),"x0x1x2x3x4x5x6x7x8x9"))),OR(6&gt;LEN(L261),MID(L261,6,1)=".",ISNUMBER(FIND("x"&amp;MID(L261,6,1),"x0x1x2x3x4x5x6x7x8x9"))),OR(7&gt;LEN(L261),MID(L261,7,1)=".",ISNUMBER(FIND("x"&amp;MID(L261,7,1),"x0x1x2x3x4x5x6x7x8x9"))),OR(8&gt;LEN(L261),MID(L261,8,1)=".",ISNUMBER(FIND("x"&amp;MID(L261,8,1),"x0x1x2x3x4x5x6x7x8x9"))),OR(9&gt;LEN(L261),MID(L261,9,1)=".",ISNUMBER(FIND("x"&amp;MID(L261,9,1),"x0x1x2x3x4x5x6x7x8x9"))),OR(10&gt;LEN(L261),MID(L261,10,1)=".",ISNUMBER(FIND("x"&amp;MID(L261,10,1),"x0x1x2x3x4x5x6x7x8x9"))),OR(AND(FIND(".",L261)=5,LEN(L261)-FIND(".",L261,FIND(".",L261)+1)&gt;=1,LEN(L261)-FIND(".",L261,FIND(".",L261)+1)&lt;=2),AND(LEN(L261)-FIND(".",L261,FIND(".",L261)+1)=4,FIND(".",L261)&gt;=2,FIND(".",L261)&lt;=3)),FIND(".",L261,FIND(".",L261)+1)-FIND(".",L261)&gt;=2,FIND(".",L261,FIND(".",L261)+1)-FIND(".",L261)&lt;=3,P261&gt;=2000,P261&lt;=2100,YEAR(S261)=P261,MONTH(S261)=Q261,DAY(S261)=R261),S261,0)),0)</ns0:f>
        <ns0:v>0</ns0:v>
      </ns0:c>
      <ns0:c r="U261" s="0" t="str">
        <ns0:f>IF(Bookings!C261="","Full day",Bookings!C261)</ns0:f>
        <ns0:v>Full day</ns0:v>
      </ns0:c>
      <ns0:c r="V261" s="0" t="str">
        <ns0:f>IF(Bookings!E261="","Full day",Bookings!E261)</ns0:f>
        <ns0:v>Full day</ns0:v>
      </ns0:c>
      <ns0:c r="W261" s="0">
        <ns0:f>IF(J261=0,0,J261+IF(U261="PM",1,0))</ns0:f>
        <ns0:v>0</ns0:v>
      </ns0:c>
      <ns0:c r="X261" s="0">
        <ns0:f>IF(T261=0,0,T261-IF(V261="PM",1,0))</ns0:f>
        <ns0:v>0</ns0:v>
      </ns0:c>
      <ns0:c r="Y261" s="0">
        <ns0:f>IF(J261=0,0,J261+IF(U261="AM",1,0))</ns0:f>
        <ns0:v>0</ns0:v>
      </ns0:c>
      <ns0:c r="Z261" s="0">
        <ns0:f>IF(T261=0,0,T261-IF(V261="AM",1,0))</ns0:f>
        <ns0:v>0</ns0:v>
      </ns0:c>
      <ns0:c r="AA261" s="0">
        <ns0:f>IFERROR(IF(AND(J261&gt;0,'_Engine'!C261&gt;0,MID('_Engine'!W261,WEEKDAY(J261,2),1)="W",COUNTIF(Settings!$F$18:$F$67,J261)=0),1,0),0)</ns0:f>
        <ns0:v>0</ns0:v>
      </ns0:c>
      <ns0:c r="AB261" s="0">
        <ns0:f>IFERROR(IF(AND(T261&gt;0,'_Engine'!C261&gt;0,MID('_Engine'!W261,WEEKDAY(T261,2),1)="W",COUNTIF(Settings!$F$18:$F$67,T261)=0),1,0),0)</ns0:f>
        <ns0:v>0</ns0:v>
      </ns0:c>
      <ns0:c r="AC261" s="0">
        <ns0:f>IF(AND(J261&gt;0,T261&gt;0,W261&lt;=X261),1,0)</ns0:f>
        <ns0:v>0</ns0:v>
      </ns0:c>
      <ns0:c r="AD261" s="0">
        <ns0:f>IF(AND(J261&gt;0,T261&gt;0,Y261&lt;=Z261),1,0)</ns0:f>
        <ns0:v>0</ns0:v>
      </ns0:c>
    </ns0:row>
    <ns0:row r="262">
      <ns0:c r="A262" s="0">
        <ns0:f>IFERROR(IF(ISNUMBER(Bookings!B262),"",TRIM(Bookings!B262&amp;"")),"")</ns0:f>
      </ns0:c>
      <ns0:c r="B262" s="0">
        <ns0:f>IFERROR(SUBSTITUTE(SUBSTITUTE(A262,"/","."),"-","."),"")</ns0:f>
      </ns0:c>
      <ns0:c r="C262" s="0">
        <ns0:f>IFERROR(LEFT(B262,FIND(".",B262)-1),"")</ns0:f>
      </ns0:c>
      <ns0:c r="D262" s="0">
        <ns0:f>IFERROR(MID(B262,FIND(".",B262)+1,FIND(".",B262,FIND(".",B262)+1)-FIND(".",B262)-1),"")</ns0:f>
      </ns0:c>
      <ns0:c r="E262" s="0">
        <ns0:f>IFERROR(MID(B262,FIND(".",B262,FIND(".",B262)+1)+1,99),"")</ns0:f>
        <ns0:v>99</ns0:v>
      </ns0:c>
      <ns0:c r="F262" s="0">
        <ns0:f>IFERROR(IF(FIND(".",B262)=5,--C262,--E262),0)</ns0:f>
        <ns0:v>0</ns0:v>
      </ns0:c>
      <ns0:c r="G262" s="0">
        <ns0:f>IFERROR(--D262,0)</ns0:f>
        <ns0:v>0</ns0:v>
      </ns0:c>
      <ns0:c r="H262" s="0">
        <ns0:f>IFERROR(IF(FIND(".",B262)=5,--E262,--C262),0)</ns0:f>
        <ns0:v>0</ns0:v>
      </ns0:c>
      <ns0:c r="I262" s="0">
        <ns0:f>IFERROR(IF(AND(F262&gt;=2000,F262&lt;=2100,G262&gt;=1,G262&lt;=12,H262&gt;=1,H262&lt;=31),DATE(F262,G262,H262),0),0)</ns0:f>
        <ns0:v>0</ns0:v>
      </ns0:c>
      <ns0:c r="J262" s="0">
        <ns0:f>IFERROR(IF(ISNUMBER(Bookings!B262),IF(AND(Bookings!B262=INT(Bookings!B262),Bookings!B262&gt;=DATE(2000,1,1),Bookings!B262&lt;=DATE(2100,12,31)),Bookings!B262,0),IF(AND(A262&lt;&gt;"",LEN("x"&amp;B262)-LEN(SUBSTITUTE("x"&amp;B262,".",""))=2,OR(1&gt;LEN(B262),MID(B262,1,1)=".",ISNUMBER(FIND("x"&amp;MID(B262,1,1),"x0x1x2x3x4x5x6x7x8x9"))),OR(2&gt;LEN(B262),MID(B262,2,1)=".",ISNUMBER(FIND("x"&amp;MID(B262,2,1),"x0x1x2x3x4x5x6x7x8x9"))),OR(3&gt;LEN(B262),MID(B262,3,1)=".",ISNUMBER(FIND("x"&amp;MID(B262,3,1),"x0x1x2x3x4x5x6x7x8x9"))),OR(4&gt;LEN(B262),MID(B262,4,1)=".",ISNUMBER(FIND("x"&amp;MID(B262,4,1),"x0x1x2x3x4x5x6x7x8x9"))),OR(5&gt;LEN(B262),MID(B262,5,1)=".",ISNUMBER(FIND("x"&amp;MID(B262,5,1),"x0x1x2x3x4x5x6x7x8x9"))),OR(6&gt;LEN(B262),MID(B262,6,1)=".",ISNUMBER(FIND("x"&amp;MID(B262,6,1),"x0x1x2x3x4x5x6x7x8x9"))),OR(7&gt;LEN(B262),MID(B262,7,1)=".",ISNUMBER(FIND("x"&amp;MID(B262,7,1),"x0x1x2x3x4x5x6x7x8x9"))),OR(8&gt;LEN(B262),MID(B262,8,1)=".",ISNUMBER(FIND("x"&amp;MID(B262,8,1),"x0x1x2x3x4x5x6x7x8x9"))),OR(9&gt;LEN(B262),MID(B262,9,1)=".",ISNUMBER(FIND("x"&amp;MID(B262,9,1),"x0x1x2x3x4x5x6x7x8x9"))),OR(10&gt;LEN(B262),MID(B262,10,1)=".",ISNUMBER(FIND("x"&amp;MID(B262,10,1),"x0x1x2x3x4x5x6x7x8x9"))),OR(AND(FIND(".",B262)=5,LEN(B262)-FIND(".",B262,FIND(".",B262)+1)&gt;=1,LEN(B262)-FIND(".",B262,FIND(".",B262)+1)&lt;=2),AND(LEN(B262)-FIND(".",B262,FIND(".",B262)+1)=4,FIND(".",B262)&gt;=2,FIND(".",B262)&lt;=3)),FIND(".",B262,FIND(".",B262)+1)-FIND(".",B262)&gt;=2,FIND(".",B262,FIND(".",B262)+1)-FIND(".",B262)&lt;=3,F262&gt;=2000,F262&lt;=2100,YEAR(I262)=F262,MONTH(I262)=G262,DAY(I262)=H262),I262,0)),0)</ns0:f>
        <ns0:v>0</ns0:v>
      </ns0:c>
      <ns0:c r="K262" s="0">
        <ns0:f>IFERROR(IF(ISNUMBER(Bookings!D262),"",TRIM(Bookings!D262&amp;"")),"")</ns0:f>
      </ns0:c>
      <ns0:c r="L262" s="0">
        <ns0:f>IFERROR(SUBSTITUTE(SUBSTITUTE(K262,"/","."),"-","."),"")</ns0:f>
      </ns0:c>
      <ns0:c r="M262" s="0">
        <ns0:f>IFERROR(LEFT(L262,FIND(".",L262)-1),"")</ns0:f>
      </ns0:c>
      <ns0:c r="N262" s="0">
        <ns0:f>IFERROR(MID(L262,FIND(".",L262)+1,FIND(".",L262,FIND(".",L262)+1)-FIND(".",L262)-1),"")</ns0:f>
      </ns0:c>
      <ns0:c r="O262" s="0">
        <ns0:f>IFERROR(MID(L262,FIND(".",L262,FIND(".",L262)+1)+1,99),"")</ns0:f>
        <ns0:v>99</ns0:v>
      </ns0:c>
      <ns0:c r="P262" s="0">
        <ns0:f>IFERROR(IF(FIND(".",L262)=5,--M262,--O262),0)</ns0:f>
        <ns0:v>0</ns0:v>
      </ns0:c>
      <ns0:c r="Q262" s="0">
        <ns0:f>IFERROR(--N262,0)</ns0:f>
        <ns0:v>0</ns0:v>
      </ns0:c>
      <ns0:c r="R262" s="0">
        <ns0:f>IFERROR(IF(FIND(".",L262)=5,--O262,--M262),0)</ns0:f>
        <ns0:v>0</ns0:v>
      </ns0:c>
      <ns0:c r="S262" s="0">
        <ns0:f>IFERROR(IF(AND(P262&gt;=2000,P262&lt;=2100,Q262&gt;=1,Q262&lt;=12,R262&gt;=1,R262&lt;=31),DATE(P262,Q262,R262),0),0)</ns0:f>
        <ns0:v>0</ns0:v>
      </ns0:c>
      <ns0:c r="T262" s="0">
        <ns0:f>IFERROR(IF(ISNUMBER(Bookings!D262),IF(AND(Bookings!D262=INT(Bookings!D262),Bookings!D262&gt;=DATE(2000,1,1),Bookings!D262&lt;=DATE(2100,12,31)),Bookings!D262,0),IF(AND(K262&lt;&gt;"",LEN("x"&amp;L262)-LEN(SUBSTITUTE("x"&amp;L262,".",""))=2,OR(1&gt;LEN(L262),MID(L262,1,1)=".",ISNUMBER(FIND("x"&amp;MID(L262,1,1),"x0x1x2x3x4x5x6x7x8x9"))),OR(2&gt;LEN(L262),MID(L262,2,1)=".",ISNUMBER(FIND("x"&amp;MID(L262,2,1),"x0x1x2x3x4x5x6x7x8x9"))),OR(3&gt;LEN(L262),MID(L262,3,1)=".",ISNUMBER(FIND("x"&amp;MID(L262,3,1),"x0x1x2x3x4x5x6x7x8x9"))),OR(4&gt;LEN(L262),MID(L262,4,1)=".",ISNUMBER(FIND("x"&amp;MID(L262,4,1),"x0x1x2x3x4x5x6x7x8x9"))),OR(5&gt;LEN(L262),MID(L262,5,1)=".",ISNUMBER(FIND("x"&amp;MID(L262,5,1),"x0x1x2x3x4x5x6x7x8x9"))),OR(6&gt;LEN(L262),MID(L262,6,1)=".",ISNUMBER(FIND("x"&amp;MID(L262,6,1),"x0x1x2x3x4x5x6x7x8x9"))),OR(7&gt;LEN(L262),MID(L262,7,1)=".",ISNUMBER(FIND("x"&amp;MID(L262,7,1),"x0x1x2x3x4x5x6x7x8x9"))),OR(8&gt;LEN(L262),MID(L262,8,1)=".",ISNUMBER(FIND("x"&amp;MID(L262,8,1),"x0x1x2x3x4x5x6x7x8x9"))),OR(9&gt;LEN(L262),MID(L262,9,1)=".",ISNUMBER(FIND("x"&amp;MID(L262,9,1),"x0x1x2x3x4x5x6x7x8x9"))),OR(10&gt;LEN(L262),MID(L262,10,1)=".",ISNUMBER(FIND("x"&amp;MID(L262,10,1),"x0x1x2x3x4x5x6x7x8x9"))),OR(AND(FIND(".",L262)=5,LEN(L262)-FIND(".",L262,FIND(".",L262)+1)&gt;=1,LEN(L262)-FIND(".",L262,FIND(".",L262)+1)&lt;=2),AND(LEN(L262)-FIND(".",L262,FIND(".",L262)+1)=4,FIND(".",L262)&gt;=2,FIND(".",L262)&lt;=3)),FIND(".",L262,FIND(".",L262)+1)-FIND(".",L262)&gt;=2,FIND(".",L262,FIND(".",L262)+1)-FIND(".",L262)&lt;=3,P262&gt;=2000,P262&lt;=2100,YEAR(S262)=P262,MONTH(S262)=Q262,DAY(S262)=R262),S262,0)),0)</ns0:f>
        <ns0:v>0</ns0:v>
      </ns0:c>
      <ns0:c r="U262" s="0" t="str">
        <ns0:f>IF(Bookings!C262="","Full day",Bookings!C262)</ns0:f>
        <ns0:v>Full day</ns0:v>
      </ns0:c>
      <ns0:c r="V262" s="0" t="str">
        <ns0:f>IF(Bookings!E262="","Full day",Bookings!E262)</ns0:f>
        <ns0:v>Full day</ns0:v>
      </ns0:c>
      <ns0:c r="W262" s="0">
        <ns0:f>IF(J262=0,0,J262+IF(U262="PM",1,0))</ns0:f>
        <ns0:v>0</ns0:v>
      </ns0:c>
      <ns0:c r="X262" s="0">
        <ns0:f>IF(T262=0,0,T262-IF(V262="PM",1,0))</ns0:f>
        <ns0:v>0</ns0:v>
      </ns0:c>
      <ns0:c r="Y262" s="0">
        <ns0:f>IF(J262=0,0,J262+IF(U262="AM",1,0))</ns0:f>
        <ns0:v>0</ns0:v>
      </ns0:c>
      <ns0:c r="Z262" s="0">
        <ns0:f>IF(T262=0,0,T262-IF(V262="AM",1,0))</ns0:f>
        <ns0:v>0</ns0:v>
      </ns0:c>
      <ns0:c r="AA262" s="0">
        <ns0:f>IFERROR(IF(AND(J262&gt;0,'_Engine'!C262&gt;0,MID('_Engine'!W262,WEEKDAY(J262,2),1)="W",COUNTIF(Settings!$F$18:$F$67,J262)=0),1,0),0)</ns0:f>
        <ns0:v>0</ns0:v>
      </ns0:c>
      <ns0:c r="AB262" s="0">
        <ns0:f>IFERROR(IF(AND(T262&gt;0,'_Engine'!C262&gt;0,MID('_Engine'!W262,WEEKDAY(T262,2),1)="W",COUNTIF(Settings!$F$18:$F$67,T262)=0),1,0),0)</ns0:f>
        <ns0:v>0</ns0:v>
      </ns0:c>
      <ns0:c r="AC262" s="0">
        <ns0:f>IF(AND(J262&gt;0,T262&gt;0,W262&lt;=X262),1,0)</ns0:f>
        <ns0:v>0</ns0:v>
      </ns0:c>
      <ns0:c r="AD262" s="0">
        <ns0:f>IF(AND(J262&gt;0,T262&gt;0,Y262&lt;=Z262),1,0)</ns0:f>
        <ns0:v>0</ns0:v>
      </ns0:c>
    </ns0:row>
    <ns0:row r="263">
      <ns0:c r="A263" s="0">
        <ns0:f>IFERROR(IF(ISNUMBER(Bookings!B263),"",TRIM(Bookings!B263&amp;"")),"")</ns0:f>
      </ns0:c>
      <ns0:c r="B263" s="0">
        <ns0:f>IFERROR(SUBSTITUTE(SUBSTITUTE(A263,"/","."),"-","."),"")</ns0:f>
      </ns0:c>
      <ns0:c r="C263" s="0">
        <ns0:f>IFERROR(LEFT(B263,FIND(".",B263)-1),"")</ns0:f>
      </ns0:c>
      <ns0:c r="D263" s="0">
        <ns0:f>IFERROR(MID(B263,FIND(".",B263)+1,FIND(".",B263,FIND(".",B263)+1)-FIND(".",B263)-1),"")</ns0:f>
      </ns0:c>
      <ns0:c r="E263" s="0">
        <ns0:f>IFERROR(MID(B263,FIND(".",B263,FIND(".",B263)+1)+1,99),"")</ns0:f>
        <ns0:v>99</ns0:v>
      </ns0:c>
      <ns0:c r="F263" s="0">
        <ns0:f>IFERROR(IF(FIND(".",B263)=5,--C263,--E263),0)</ns0:f>
        <ns0:v>0</ns0:v>
      </ns0:c>
      <ns0:c r="G263" s="0">
        <ns0:f>IFERROR(--D263,0)</ns0:f>
        <ns0:v>0</ns0:v>
      </ns0:c>
      <ns0:c r="H263" s="0">
        <ns0:f>IFERROR(IF(FIND(".",B263)=5,--E263,--C263),0)</ns0:f>
        <ns0:v>0</ns0:v>
      </ns0:c>
      <ns0:c r="I263" s="0">
        <ns0:f>IFERROR(IF(AND(F263&gt;=2000,F263&lt;=2100,G263&gt;=1,G263&lt;=12,H263&gt;=1,H263&lt;=31),DATE(F263,G263,H263),0),0)</ns0:f>
        <ns0:v>0</ns0:v>
      </ns0:c>
      <ns0:c r="J263" s="0">
        <ns0:f>IFERROR(IF(ISNUMBER(Bookings!B263),IF(AND(Bookings!B263=INT(Bookings!B263),Bookings!B263&gt;=DATE(2000,1,1),Bookings!B263&lt;=DATE(2100,12,31)),Bookings!B263,0),IF(AND(A263&lt;&gt;"",LEN("x"&amp;B263)-LEN(SUBSTITUTE("x"&amp;B263,".",""))=2,OR(1&gt;LEN(B263),MID(B263,1,1)=".",ISNUMBER(FIND("x"&amp;MID(B263,1,1),"x0x1x2x3x4x5x6x7x8x9"))),OR(2&gt;LEN(B263),MID(B263,2,1)=".",ISNUMBER(FIND("x"&amp;MID(B263,2,1),"x0x1x2x3x4x5x6x7x8x9"))),OR(3&gt;LEN(B263),MID(B263,3,1)=".",ISNUMBER(FIND("x"&amp;MID(B263,3,1),"x0x1x2x3x4x5x6x7x8x9"))),OR(4&gt;LEN(B263),MID(B263,4,1)=".",ISNUMBER(FIND("x"&amp;MID(B263,4,1),"x0x1x2x3x4x5x6x7x8x9"))),OR(5&gt;LEN(B263),MID(B263,5,1)=".",ISNUMBER(FIND("x"&amp;MID(B263,5,1),"x0x1x2x3x4x5x6x7x8x9"))),OR(6&gt;LEN(B263),MID(B263,6,1)=".",ISNUMBER(FIND("x"&amp;MID(B263,6,1),"x0x1x2x3x4x5x6x7x8x9"))),OR(7&gt;LEN(B263),MID(B263,7,1)=".",ISNUMBER(FIND("x"&amp;MID(B263,7,1),"x0x1x2x3x4x5x6x7x8x9"))),OR(8&gt;LEN(B263),MID(B263,8,1)=".",ISNUMBER(FIND("x"&amp;MID(B263,8,1),"x0x1x2x3x4x5x6x7x8x9"))),OR(9&gt;LEN(B263),MID(B263,9,1)=".",ISNUMBER(FIND("x"&amp;MID(B263,9,1),"x0x1x2x3x4x5x6x7x8x9"))),OR(10&gt;LEN(B263),MID(B263,10,1)=".",ISNUMBER(FIND("x"&amp;MID(B263,10,1),"x0x1x2x3x4x5x6x7x8x9"))),OR(AND(FIND(".",B263)=5,LEN(B263)-FIND(".",B263,FIND(".",B263)+1)&gt;=1,LEN(B263)-FIND(".",B263,FIND(".",B263)+1)&lt;=2),AND(LEN(B263)-FIND(".",B263,FIND(".",B263)+1)=4,FIND(".",B263)&gt;=2,FIND(".",B263)&lt;=3)),FIND(".",B263,FIND(".",B263)+1)-FIND(".",B263)&gt;=2,FIND(".",B263,FIND(".",B263)+1)-FIND(".",B263)&lt;=3,F263&gt;=2000,F263&lt;=2100,YEAR(I263)=F263,MONTH(I263)=G263,DAY(I263)=H263),I263,0)),0)</ns0:f>
        <ns0:v>0</ns0:v>
      </ns0:c>
      <ns0:c r="K263" s="0">
        <ns0:f>IFERROR(IF(ISNUMBER(Bookings!D263),"",TRIM(Bookings!D263&amp;"")),"")</ns0:f>
      </ns0:c>
      <ns0:c r="L263" s="0">
        <ns0:f>IFERROR(SUBSTITUTE(SUBSTITUTE(K263,"/","."),"-","."),"")</ns0:f>
      </ns0:c>
      <ns0:c r="M263" s="0">
        <ns0:f>IFERROR(LEFT(L263,FIND(".",L263)-1),"")</ns0:f>
      </ns0:c>
      <ns0:c r="N263" s="0">
        <ns0:f>IFERROR(MID(L263,FIND(".",L263)+1,FIND(".",L263,FIND(".",L263)+1)-FIND(".",L263)-1),"")</ns0:f>
      </ns0:c>
      <ns0:c r="O263" s="0">
        <ns0:f>IFERROR(MID(L263,FIND(".",L263,FIND(".",L263)+1)+1,99),"")</ns0:f>
        <ns0:v>99</ns0:v>
      </ns0:c>
      <ns0:c r="P263" s="0">
        <ns0:f>IFERROR(IF(FIND(".",L263)=5,--M263,--O263),0)</ns0:f>
        <ns0:v>0</ns0:v>
      </ns0:c>
      <ns0:c r="Q263" s="0">
        <ns0:f>IFERROR(--N263,0)</ns0:f>
        <ns0:v>0</ns0:v>
      </ns0:c>
      <ns0:c r="R263" s="0">
        <ns0:f>IFERROR(IF(FIND(".",L263)=5,--O263,--M263),0)</ns0:f>
        <ns0:v>0</ns0:v>
      </ns0:c>
      <ns0:c r="S263" s="0">
        <ns0:f>IFERROR(IF(AND(P263&gt;=2000,P263&lt;=2100,Q263&gt;=1,Q263&lt;=12,R263&gt;=1,R263&lt;=31),DATE(P263,Q263,R263),0),0)</ns0:f>
        <ns0:v>0</ns0:v>
      </ns0:c>
      <ns0:c r="T263" s="0">
        <ns0:f>IFERROR(IF(ISNUMBER(Bookings!D263),IF(AND(Bookings!D263=INT(Bookings!D263),Bookings!D263&gt;=DATE(2000,1,1),Bookings!D263&lt;=DATE(2100,12,31)),Bookings!D263,0),IF(AND(K263&lt;&gt;"",LEN("x"&amp;L263)-LEN(SUBSTITUTE("x"&amp;L263,".",""))=2,OR(1&gt;LEN(L263),MID(L263,1,1)=".",ISNUMBER(FIND("x"&amp;MID(L263,1,1),"x0x1x2x3x4x5x6x7x8x9"))),OR(2&gt;LEN(L263),MID(L263,2,1)=".",ISNUMBER(FIND("x"&amp;MID(L263,2,1),"x0x1x2x3x4x5x6x7x8x9"))),OR(3&gt;LEN(L263),MID(L263,3,1)=".",ISNUMBER(FIND("x"&amp;MID(L263,3,1),"x0x1x2x3x4x5x6x7x8x9"))),OR(4&gt;LEN(L263),MID(L263,4,1)=".",ISNUMBER(FIND("x"&amp;MID(L263,4,1),"x0x1x2x3x4x5x6x7x8x9"))),OR(5&gt;LEN(L263),MID(L263,5,1)=".",ISNUMBER(FIND("x"&amp;MID(L263,5,1),"x0x1x2x3x4x5x6x7x8x9"))),OR(6&gt;LEN(L263),MID(L263,6,1)=".",ISNUMBER(FIND("x"&amp;MID(L263,6,1),"x0x1x2x3x4x5x6x7x8x9"))),OR(7&gt;LEN(L263),MID(L263,7,1)=".",ISNUMBER(FIND("x"&amp;MID(L263,7,1),"x0x1x2x3x4x5x6x7x8x9"))),OR(8&gt;LEN(L263),MID(L263,8,1)=".",ISNUMBER(FIND("x"&amp;MID(L263,8,1),"x0x1x2x3x4x5x6x7x8x9"))),OR(9&gt;LEN(L263),MID(L263,9,1)=".",ISNUMBER(FIND("x"&amp;MID(L263,9,1),"x0x1x2x3x4x5x6x7x8x9"))),OR(10&gt;LEN(L263),MID(L263,10,1)=".",ISNUMBER(FIND("x"&amp;MID(L263,10,1),"x0x1x2x3x4x5x6x7x8x9"))),OR(AND(FIND(".",L263)=5,LEN(L263)-FIND(".",L263,FIND(".",L263)+1)&gt;=1,LEN(L263)-FIND(".",L263,FIND(".",L263)+1)&lt;=2),AND(LEN(L263)-FIND(".",L263,FIND(".",L263)+1)=4,FIND(".",L263)&gt;=2,FIND(".",L263)&lt;=3)),FIND(".",L263,FIND(".",L263)+1)-FIND(".",L263)&gt;=2,FIND(".",L263,FIND(".",L263)+1)-FIND(".",L263)&lt;=3,P263&gt;=2000,P263&lt;=2100,YEAR(S263)=P263,MONTH(S263)=Q263,DAY(S263)=R263),S263,0)),0)</ns0:f>
        <ns0:v>0</ns0:v>
      </ns0:c>
      <ns0:c r="U263" s="0" t="str">
        <ns0:f>IF(Bookings!C263="","Full day",Bookings!C263)</ns0:f>
        <ns0:v>Full day</ns0:v>
      </ns0:c>
      <ns0:c r="V263" s="0" t="str">
        <ns0:f>IF(Bookings!E263="","Full day",Bookings!E263)</ns0:f>
        <ns0:v>Full day</ns0:v>
      </ns0:c>
      <ns0:c r="W263" s="0">
        <ns0:f>IF(J263=0,0,J263+IF(U263="PM",1,0))</ns0:f>
        <ns0:v>0</ns0:v>
      </ns0:c>
      <ns0:c r="X263" s="0">
        <ns0:f>IF(T263=0,0,T263-IF(V263="PM",1,0))</ns0:f>
        <ns0:v>0</ns0:v>
      </ns0:c>
      <ns0:c r="Y263" s="0">
        <ns0:f>IF(J263=0,0,J263+IF(U263="AM",1,0))</ns0:f>
        <ns0:v>0</ns0:v>
      </ns0:c>
      <ns0:c r="Z263" s="0">
        <ns0:f>IF(T263=0,0,T263-IF(V263="AM",1,0))</ns0:f>
        <ns0:v>0</ns0:v>
      </ns0:c>
      <ns0:c r="AA263" s="0">
        <ns0:f>IFERROR(IF(AND(J263&gt;0,'_Engine'!C263&gt;0,MID('_Engine'!W263,WEEKDAY(J263,2),1)="W",COUNTIF(Settings!$F$18:$F$67,J263)=0),1,0),0)</ns0:f>
        <ns0:v>0</ns0:v>
      </ns0:c>
      <ns0:c r="AB263" s="0">
        <ns0:f>IFERROR(IF(AND(T263&gt;0,'_Engine'!C263&gt;0,MID('_Engine'!W263,WEEKDAY(T263,2),1)="W",COUNTIF(Settings!$F$18:$F$67,T263)=0),1,0),0)</ns0:f>
        <ns0:v>0</ns0:v>
      </ns0:c>
      <ns0:c r="AC263" s="0">
        <ns0:f>IF(AND(J263&gt;0,T263&gt;0,W263&lt;=X263),1,0)</ns0:f>
        <ns0:v>0</ns0:v>
      </ns0:c>
      <ns0:c r="AD263" s="0">
        <ns0:f>IF(AND(J263&gt;0,T263&gt;0,Y263&lt;=Z263),1,0)</ns0:f>
        <ns0:v>0</ns0:v>
      </ns0:c>
    </ns0:row>
    <ns0:row r="264">
      <ns0:c r="A264" s="0">
        <ns0:f>IFERROR(IF(ISNUMBER(Bookings!B264),"",TRIM(Bookings!B264&amp;"")),"")</ns0:f>
      </ns0:c>
      <ns0:c r="B264" s="0">
        <ns0:f>IFERROR(SUBSTITUTE(SUBSTITUTE(A264,"/","."),"-","."),"")</ns0:f>
      </ns0:c>
      <ns0:c r="C264" s="0">
        <ns0:f>IFERROR(LEFT(B264,FIND(".",B264)-1),"")</ns0:f>
      </ns0:c>
      <ns0:c r="D264" s="0">
        <ns0:f>IFERROR(MID(B264,FIND(".",B264)+1,FIND(".",B264,FIND(".",B264)+1)-FIND(".",B264)-1),"")</ns0:f>
      </ns0:c>
      <ns0:c r="E264" s="0">
        <ns0:f>IFERROR(MID(B264,FIND(".",B264,FIND(".",B264)+1)+1,99),"")</ns0:f>
        <ns0:v>99</ns0:v>
      </ns0:c>
      <ns0:c r="F264" s="0">
        <ns0:f>IFERROR(IF(FIND(".",B264)=5,--C264,--E264),0)</ns0:f>
        <ns0:v>0</ns0:v>
      </ns0:c>
      <ns0:c r="G264" s="0">
        <ns0:f>IFERROR(--D264,0)</ns0:f>
        <ns0:v>0</ns0:v>
      </ns0:c>
      <ns0:c r="H264" s="0">
        <ns0:f>IFERROR(IF(FIND(".",B264)=5,--E264,--C264),0)</ns0:f>
        <ns0:v>0</ns0:v>
      </ns0:c>
      <ns0:c r="I264" s="0">
        <ns0:f>IFERROR(IF(AND(F264&gt;=2000,F264&lt;=2100,G264&gt;=1,G264&lt;=12,H264&gt;=1,H264&lt;=31),DATE(F264,G264,H264),0),0)</ns0:f>
        <ns0:v>0</ns0:v>
      </ns0:c>
      <ns0:c r="J264" s="0">
        <ns0:f>IFERROR(IF(ISNUMBER(Bookings!B264),IF(AND(Bookings!B264=INT(Bookings!B264),Bookings!B264&gt;=DATE(2000,1,1),Bookings!B264&lt;=DATE(2100,12,31)),Bookings!B264,0),IF(AND(A264&lt;&gt;"",LEN("x"&amp;B264)-LEN(SUBSTITUTE("x"&amp;B264,".",""))=2,OR(1&gt;LEN(B264),MID(B264,1,1)=".",ISNUMBER(FIND("x"&amp;MID(B264,1,1),"x0x1x2x3x4x5x6x7x8x9"))),OR(2&gt;LEN(B264),MID(B264,2,1)=".",ISNUMBER(FIND("x"&amp;MID(B264,2,1),"x0x1x2x3x4x5x6x7x8x9"))),OR(3&gt;LEN(B264),MID(B264,3,1)=".",ISNUMBER(FIND("x"&amp;MID(B264,3,1),"x0x1x2x3x4x5x6x7x8x9"))),OR(4&gt;LEN(B264),MID(B264,4,1)=".",ISNUMBER(FIND("x"&amp;MID(B264,4,1),"x0x1x2x3x4x5x6x7x8x9"))),OR(5&gt;LEN(B264),MID(B264,5,1)=".",ISNUMBER(FIND("x"&amp;MID(B264,5,1),"x0x1x2x3x4x5x6x7x8x9"))),OR(6&gt;LEN(B264),MID(B264,6,1)=".",ISNUMBER(FIND("x"&amp;MID(B264,6,1),"x0x1x2x3x4x5x6x7x8x9"))),OR(7&gt;LEN(B264),MID(B264,7,1)=".",ISNUMBER(FIND("x"&amp;MID(B264,7,1),"x0x1x2x3x4x5x6x7x8x9"))),OR(8&gt;LEN(B264),MID(B264,8,1)=".",ISNUMBER(FIND("x"&amp;MID(B264,8,1),"x0x1x2x3x4x5x6x7x8x9"))),OR(9&gt;LEN(B264),MID(B264,9,1)=".",ISNUMBER(FIND("x"&amp;MID(B264,9,1),"x0x1x2x3x4x5x6x7x8x9"))),OR(10&gt;LEN(B264),MID(B264,10,1)=".",ISNUMBER(FIND("x"&amp;MID(B264,10,1),"x0x1x2x3x4x5x6x7x8x9"))),OR(AND(FIND(".",B264)=5,LEN(B264)-FIND(".",B264,FIND(".",B264)+1)&gt;=1,LEN(B264)-FIND(".",B264,FIND(".",B264)+1)&lt;=2),AND(LEN(B264)-FIND(".",B264,FIND(".",B264)+1)=4,FIND(".",B264)&gt;=2,FIND(".",B264)&lt;=3)),FIND(".",B264,FIND(".",B264)+1)-FIND(".",B264)&gt;=2,FIND(".",B264,FIND(".",B264)+1)-FIND(".",B264)&lt;=3,F264&gt;=2000,F264&lt;=2100,YEAR(I264)=F264,MONTH(I264)=G264,DAY(I264)=H264),I264,0)),0)</ns0:f>
        <ns0:v>0</ns0:v>
      </ns0:c>
      <ns0:c r="K264" s="0">
        <ns0:f>IFERROR(IF(ISNUMBER(Bookings!D264),"",TRIM(Bookings!D264&amp;"")),"")</ns0:f>
      </ns0:c>
      <ns0:c r="L264" s="0">
        <ns0:f>IFERROR(SUBSTITUTE(SUBSTITUTE(K264,"/","."),"-","."),"")</ns0:f>
      </ns0:c>
      <ns0:c r="M264" s="0">
        <ns0:f>IFERROR(LEFT(L264,FIND(".",L264)-1),"")</ns0:f>
      </ns0:c>
      <ns0:c r="N264" s="0">
        <ns0:f>IFERROR(MID(L264,FIND(".",L264)+1,FIND(".",L264,FIND(".",L264)+1)-FIND(".",L264)-1),"")</ns0:f>
      </ns0:c>
      <ns0:c r="O264" s="0">
        <ns0:f>IFERROR(MID(L264,FIND(".",L264,FIND(".",L264)+1)+1,99),"")</ns0:f>
        <ns0:v>99</ns0:v>
      </ns0:c>
      <ns0:c r="P264" s="0">
        <ns0:f>IFERROR(IF(FIND(".",L264)=5,--M264,--O264),0)</ns0:f>
        <ns0:v>0</ns0:v>
      </ns0:c>
      <ns0:c r="Q264" s="0">
        <ns0:f>IFERROR(--N264,0)</ns0:f>
        <ns0:v>0</ns0:v>
      </ns0:c>
      <ns0:c r="R264" s="0">
        <ns0:f>IFERROR(IF(FIND(".",L264)=5,--O264,--M264),0)</ns0:f>
        <ns0:v>0</ns0:v>
      </ns0:c>
      <ns0:c r="S264" s="0">
        <ns0:f>IFERROR(IF(AND(P264&gt;=2000,P264&lt;=2100,Q264&gt;=1,Q264&lt;=12,R264&gt;=1,R264&lt;=31),DATE(P264,Q264,R264),0),0)</ns0:f>
        <ns0:v>0</ns0:v>
      </ns0:c>
      <ns0:c r="T264" s="0">
        <ns0:f>IFERROR(IF(ISNUMBER(Bookings!D264),IF(AND(Bookings!D264=INT(Bookings!D264),Bookings!D264&gt;=DATE(2000,1,1),Bookings!D264&lt;=DATE(2100,12,31)),Bookings!D264,0),IF(AND(K264&lt;&gt;"",LEN("x"&amp;L264)-LEN(SUBSTITUTE("x"&amp;L264,".",""))=2,OR(1&gt;LEN(L264),MID(L264,1,1)=".",ISNUMBER(FIND("x"&amp;MID(L264,1,1),"x0x1x2x3x4x5x6x7x8x9"))),OR(2&gt;LEN(L264),MID(L264,2,1)=".",ISNUMBER(FIND("x"&amp;MID(L264,2,1),"x0x1x2x3x4x5x6x7x8x9"))),OR(3&gt;LEN(L264),MID(L264,3,1)=".",ISNUMBER(FIND("x"&amp;MID(L264,3,1),"x0x1x2x3x4x5x6x7x8x9"))),OR(4&gt;LEN(L264),MID(L264,4,1)=".",ISNUMBER(FIND("x"&amp;MID(L264,4,1),"x0x1x2x3x4x5x6x7x8x9"))),OR(5&gt;LEN(L264),MID(L264,5,1)=".",ISNUMBER(FIND("x"&amp;MID(L264,5,1),"x0x1x2x3x4x5x6x7x8x9"))),OR(6&gt;LEN(L264),MID(L264,6,1)=".",ISNUMBER(FIND("x"&amp;MID(L264,6,1),"x0x1x2x3x4x5x6x7x8x9"))),OR(7&gt;LEN(L264),MID(L264,7,1)=".",ISNUMBER(FIND("x"&amp;MID(L264,7,1),"x0x1x2x3x4x5x6x7x8x9"))),OR(8&gt;LEN(L264),MID(L264,8,1)=".",ISNUMBER(FIND("x"&amp;MID(L264,8,1),"x0x1x2x3x4x5x6x7x8x9"))),OR(9&gt;LEN(L264),MID(L264,9,1)=".",ISNUMBER(FIND("x"&amp;MID(L264,9,1),"x0x1x2x3x4x5x6x7x8x9"))),OR(10&gt;LEN(L264),MID(L264,10,1)=".",ISNUMBER(FIND("x"&amp;MID(L264,10,1),"x0x1x2x3x4x5x6x7x8x9"))),OR(AND(FIND(".",L264)=5,LEN(L264)-FIND(".",L264,FIND(".",L264)+1)&gt;=1,LEN(L264)-FIND(".",L264,FIND(".",L264)+1)&lt;=2),AND(LEN(L264)-FIND(".",L264,FIND(".",L264)+1)=4,FIND(".",L264)&gt;=2,FIND(".",L264)&lt;=3)),FIND(".",L264,FIND(".",L264)+1)-FIND(".",L264)&gt;=2,FIND(".",L264,FIND(".",L264)+1)-FIND(".",L264)&lt;=3,P264&gt;=2000,P264&lt;=2100,YEAR(S264)=P264,MONTH(S264)=Q264,DAY(S264)=R264),S264,0)),0)</ns0:f>
        <ns0:v>0</ns0:v>
      </ns0:c>
      <ns0:c r="U264" s="0" t="str">
        <ns0:f>IF(Bookings!C264="","Full day",Bookings!C264)</ns0:f>
        <ns0:v>Full day</ns0:v>
      </ns0:c>
      <ns0:c r="V264" s="0" t="str">
        <ns0:f>IF(Bookings!E264="","Full day",Bookings!E264)</ns0:f>
        <ns0:v>Full day</ns0:v>
      </ns0:c>
      <ns0:c r="W264" s="0">
        <ns0:f>IF(J264=0,0,J264+IF(U264="PM",1,0))</ns0:f>
        <ns0:v>0</ns0:v>
      </ns0:c>
      <ns0:c r="X264" s="0">
        <ns0:f>IF(T264=0,0,T264-IF(V264="PM",1,0))</ns0:f>
        <ns0:v>0</ns0:v>
      </ns0:c>
      <ns0:c r="Y264" s="0">
        <ns0:f>IF(J264=0,0,J264+IF(U264="AM",1,0))</ns0:f>
        <ns0:v>0</ns0:v>
      </ns0:c>
      <ns0:c r="Z264" s="0">
        <ns0:f>IF(T264=0,0,T264-IF(V264="AM",1,0))</ns0:f>
        <ns0:v>0</ns0:v>
      </ns0:c>
      <ns0:c r="AA264" s="0">
        <ns0:f>IFERROR(IF(AND(J264&gt;0,'_Engine'!C264&gt;0,MID('_Engine'!W264,WEEKDAY(J264,2),1)="W",COUNTIF(Settings!$F$18:$F$67,J264)=0),1,0),0)</ns0:f>
        <ns0:v>0</ns0:v>
      </ns0:c>
      <ns0:c r="AB264" s="0">
        <ns0:f>IFERROR(IF(AND(T264&gt;0,'_Engine'!C264&gt;0,MID('_Engine'!W264,WEEKDAY(T264,2),1)="W",COUNTIF(Settings!$F$18:$F$67,T264)=0),1,0),0)</ns0:f>
        <ns0:v>0</ns0:v>
      </ns0:c>
      <ns0:c r="AC264" s="0">
        <ns0:f>IF(AND(J264&gt;0,T264&gt;0,W264&lt;=X264),1,0)</ns0:f>
        <ns0:v>0</ns0:v>
      </ns0:c>
      <ns0:c r="AD264" s="0">
        <ns0:f>IF(AND(J264&gt;0,T264&gt;0,Y264&lt;=Z264),1,0)</ns0:f>
        <ns0:v>0</ns0:v>
      </ns0:c>
    </ns0:row>
    <ns0:row r="265">
      <ns0:c r="A265" s="0">
        <ns0:f>IFERROR(IF(ISNUMBER(Bookings!B265),"",TRIM(Bookings!B265&amp;"")),"")</ns0:f>
      </ns0:c>
      <ns0:c r="B265" s="0">
        <ns0:f>IFERROR(SUBSTITUTE(SUBSTITUTE(A265,"/","."),"-","."),"")</ns0:f>
      </ns0:c>
      <ns0:c r="C265" s="0">
        <ns0:f>IFERROR(LEFT(B265,FIND(".",B265)-1),"")</ns0:f>
      </ns0:c>
      <ns0:c r="D265" s="0">
        <ns0:f>IFERROR(MID(B265,FIND(".",B265)+1,FIND(".",B265,FIND(".",B265)+1)-FIND(".",B265)-1),"")</ns0:f>
      </ns0:c>
      <ns0:c r="E265" s="0">
        <ns0:f>IFERROR(MID(B265,FIND(".",B265,FIND(".",B265)+1)+1,99),"")</ns0:f>
        <ns0:v>99</ns0:v>
      </ns0:c>
      <ns0:c r="F265" s="0">
        <ns0:f>IFERROR(IF(FIND(".",B265)=5,--C265,--E265),0)</ns0:f>
        <ns0:v>0</ns0:v>
      </ns0:c>
      <ns0:c r="G265" s="0">
        <ns0:f>IFERROR(--D265,0)</ns0:f>
        <ns0:v>0</ns0:v>
      </ns0:c>
      <ns0:c r="H265" s="0">
        <ns0:f>IFERROR(IF(FIND(".",B265)=5,--E265,--C265),0)</ns0:f>
        <ns0:v>0</ns0:v>
      </ns0:c>
      <ns0:c r="I265" s="0">
        <ns0:f>IFERROR(IF(AND(F265&gt;=2000,F265&lt;=2100,G265&gt;=1,G265&lt;=12,H265&gt;=1,H265&lt;=31),DATE(F265,G265,H265),0),0)</ns0:f>
        <ns0:v>0</ns0:v>
      </ns0:c>
      <ns0:c r="J265" s="0">
        <ns0:f>IFERROR(IF(ISNUMBER(Bookings!B265),IF(AND(Bookings!B265=INT(Bookings!B265),Bookings!B265&gt;=DATE(2000,1,1),Bookings!B265&lt;=DATE(2100,12,31)),Bookings!B265,0),IF(AND(A265&lt;&gt;"",LEN("x"&amp;B265)-LEN(SUBSTITUTE("x"&amp;B265,".",""))=2,OR(1&gt;LEN(B265),MID(B265,1,1)=".",ISNUMBER(FIND("x"&amp;MID(B265,1,1),"x0x1x2x3x4x5x6x7x8x9"))),OR(2&gt;LEN(B265),MID(B265,2,1)=".",ISNUMBER(FIND("x"&amp;MID(B265,2,1),"x0x1x2x3x4x5x6x7x8x9"))),OR(3&gt;LEN(B265),MID(B265,3,1)=".",ISNUMBER(FIND("x"&amp;MID(B265,3,1),"x0x1x2x3x4x5x6x7x8x9"))),OR(4&gt;LEN(B265),MID(B265,4,1)=".",ISNUMBER(FIND("x"&amp;MID(B265,4,1),"x0x1x2x3x4x5x6x7x8x9"))),OR(5&gt;LEN(B265),MID(B265,5,1)=".",ISNUMBER(FIND("x"&amp;MID(B265,5,1),"x0x1x2x3x4x5x6x7x8x9"))),OR(6&gt;LEN(B265),MID(B265,6,1)=".",ISNUMBER(FIND("x"&amp;MID(B265,6,1),"x0x1x2x3x4x5x6x7x8x9"))),OR(7&gt;LEN(B265),MID(B265,7,1)=".",ISNUMBER(FIND("x"&amp;MID(B265,7,1),"x0x1x2x3x4x5x6x7x8x9"))),OR(8&gt;LEN(B265),MID(B265,8,1)=".",ISNUMBER(FIND("x"&amp;MID(B265,8,1),"x0x1x2x3x4x5x6x7x8x9"))),OR(9&gt;LEN(B265),MID(B265,9,1)=".",ISNUMBER(FIND("x"&amp;MID(B265,9,1),"x0x1x2x3x4x5x6x7x8x9"))),OR(10&gt;LEN(B265),MID(B265,10,1)=".",ISNUMBER(FIND("x"&amp;MID(B265,10,1),"x0x1x2x3x4x5x6x7x8x9"))),OR(AND(FIND(".",B265)=5,LEN(B265)-FIND(".",B265,FIND(".",B265)+1)&gt;=1,LEN(B265)-FIND(".",B265,FIND(".",B265)+1)&lt;=2),AND(LEN(B265)-FIND(".",B265,FIND(".",B265)+1)=4,FIND(".",B265)&gt;=2,FIND(".",B265)&lt;=3)),FIND(".",B265,FIND(".",B265)+1)-FIND(".",B265)&gt;=2,FIND(".",B265,FIND(".",B265)+1)-FIND(".",B265)&lt;=3,F265&gt;=2000,F265&lt;=2100,YEAR(I265)=F265,MONTH(I265)=G265,DAY(I265)=H265),I265,0)),0)</ns0:f>
        <ns0:v>0</ns0:v>
      </ns0:c>
      <ns0:c r="K265" s="0">
        <ns0:f>IFERROR(IF(ISNUMBER(Bookings!D265),"",TRIM(Bookings!D265&amp;"")),"")</ns0:f>
      </ns0:c>
      <ns0:c r="L265" s="0">
        <ns0:f>IFERROR(SUBSTITUTE(SUBSTITUTE(K265,"/","."),"-","."),"")</ns0:f>
      </ns0:c>
      <ns0:c r="M265" s="0">
        <ns0:f>IFERROR(LEFT(L265,FIND(".",L265)-1),"")</ns0:f>
      </ns0:c>
      <ns0:c r="N265" s="0">
        <ns0:f>IFERROR(MID(L265,FIND(".",L265)+1,FIND(".",L265,FIND(".",L265)+1)-FIND(".",L265)-1),"")</ns0:f>
      </ns0:c>
      <ns0:c r="O265" s="0">
        <ns0:f>IFERROR(MID(L265,FIND(".",L265,FIND(".",L265)+1)+1,99),"")</ns0:f>
        <ns0:v>99</ns0:v>
      </ns0:c>
      <ns0:c r="P265" s="0">
        <ns0:f>IFERROR(IF(FIND(".",L265)=5,--M265,--O265),0)</ns0:f>
        <ns0:v>0</ns0:v>
      </ns0:c>
      <ns0:c r="Q265" s="0">
        <ns0:f>IFERROR(--N265,0)</ns0:f>
        <ns0:v>0</ns0:v>
      </ns0:c>
      <ns0:c r="R265" s="0">
        <ns0:f>IFERROR(IF(FIND(".",L265)=5,--O265,--M265),0)</ns0:f>
        <ns0:v>0</ns0:v>
      </ns0:c>
      <ns0:c r="S265" s="0">
        <ns0:f>IFERROR(IF(AND(P265&gt;=2000,P265&lt;=2100,Q265&gt;=1,Q265&lt;=12,R265&gt;=1,R265&lt;=31),DATE(P265,Q265,R265),0),0)</ns0:f>
        <ns0:v>0</ns0:v>
      </ns0:c>
      <ns0:c r="T265" s="0">
        <ns0:f>IFERROR(IF(ISNUMBER(Bookings!D265),IF(AND(Bookings!D265=INT(Bookings!D265),Bookings!D265&gt;=DATE(2000,1,1),Bookings!D265&lt;=DATE(2100,12,31)),Bookings!D265,0),IF(AND(K265&lt;&gt;"",LEN("x"&amp;L265)-LEN(SUBSTITUTE("x"&amp;L265,".",""))=2,OR(1&gt;LEN(L265),MID(L265,1,1)=".",ISNUMBER(FIND("x"&amp;MID(L265,1,1),"x0x1x2x3x4x5x6x7x8x9"))),OR(2&gt;LEN(L265),MID(L265,2,1)=".",ISNUMBER(FIND("x"&amp;MID(L265,2,1),"x0x1x2x3x4x5x6x7x8x9"))),OR(3&gt;LEN(L265),MID(L265,3,1)=".",ISNUMBER(FIND("x"&amp;MID(L265,3,1),"x0x1x2x3x4x5x6x7x8x9"))),OR(4&gt;LEN(L265),MID(L265,4,1)=".",ISNUMBER(FIND("x"&amp;MID(L265,4,1),"x0x1x2x3x4x5x6x7x8x9"))),OR(5&gt;LEN(L265),MID(L265,5,1)=".",ISNUMBER(FIND("x"&amp;MID(L265,5,1),"x0x1x2x3x4x5x6x7x8x9"))),OR(6&gt;LEN(L265),MID(L265,6,1)=".",ISNUMBER(FIND("x"&amp;MID(L265,6,1),"x0x1x2x3x4x5x6x7x8x9"))),OR(7&gt;LEN(L265),MID(L265,7,1)=".",ISNUMBER(FIND("x"&amp;MID(L265,7,1),"x0x1x2x3x4x5x6x7x8x9"))),OR(8&gt;LEN(L265),MID(L265,8,1)=".",ISNUMBER(FIND("x"&amp;MID(L265,8,1),"x0x1x2x3x4x5x6x7x8x9"))),OR(9&gt;LEN(L265),MID(L265,9,1)=".",ISNUMBER(FIND("x"&amp;MID(L265,9,1),"x0x1x2x3x4x5x6x7x8x9"))),OR(10&gt;LEN(L265),MID(L265,10,1)=".",ISNUMBER(FIND("x"&amp;MID(L265,10,1),"x0x1x2x3x4x5x6x7x8x9"))),OR(AND(FIND(".",L265)=5,LEN(L265)-FIND(".",L265,FIND(".",L265)+1)&gt;=1,LEN(L265)-FIND(".",L265,FIND(".",L265)+1)&lt;=2),AND(LEN(L265)-FIND(".",L265,FIND(".",L265)+1)=4,FIND(".",L265)&gt;=2,FIND(".",L265)&lt;=3)),FIND(".",L265,FIND(".",L265)+1)-FIND(".",L265)&gt;=2,FIND(".",L265,FIND(".",L265)+1)-FIND(".",L265)&lt;=3,P265&gt;=2000,P265&lt;=2100,YEAR(S265)=P265,MONTH(S265)=Q265,DAY(S265)=R265),S265,0)),0)</ns0:f>
        <ns0:v>0</ns0:v>
      </ns0:c>
      <ns0:c r="U265" s="0" t="str">
        <ns0:f>IF(Bookings!C265="","Full day",Bookings!C265)</ns0:f>
        <ns0:v>Full day</ns0:v>
      </ns0:c>
      <ns0:c r="V265" s="0" t="str">
        <ns0:f>IF(Bookings!E265="","Full day",Bookings!E265)</ns0:f>
        <ns0:v>Full day</ns0:v>
      </ns0:c>
      <ns0:c r="W265" s="0">
        <ns0:f>IF(J265=0,0,J265+IF(U265="PM",1,0))</ns0:f>
        <ns0:v>0</ns0:v>
      </ns0:c>
      <ns0:c r="X265" s="0">
        <ns0:f>IF(T265=0,0,T265-IF(V265="PM",1,0))</ns0:f>
        <ns0:v>0</ns0:v>
      </ns0:c>
      <ns0:c r="Y265" s="0">
        <ns0:f>IF(J265=0,0,J265+IF(U265="AM",1,0))</ns0:f>
        <ns0:v>0</ns0:v>
      </ns0:c>
      <ns0:c r="Z265" s="0">
        <ns0:f>IF(T265=0,0,T265-IF(V265="AM",1,0))</ns0:f>
        <ns0:v>0</ns0:v>
      </ns0:c>
      <ns0:c r="AA265" s="0">
        <ns0:f>IFERROR(IF(AND(J265&gt;0,'_Engine'!C265&gt;0,MID('_Engine'!W265,WEEKDAY(J265,2),1)="W",COUNTIF(Settings!$F$18:$F$67,J265)=0),1,0),0)</ns0:f>
        <ns0:v>0</ns0:v>
      </ns0:c>
      <ns0:c r="AB265" s="0">
        <ns0:f>IFERROR(IF(AND(T265&gt;0,'_Engine'!C265&gt;0,MID('_Engine'!W265,WEEKDAY(T265,2),1)="W",COUNTIF(Settings!$F$18:$F$67,T265)=0),1,0),0)</ns0:f>
        <ns0:v>0</ns0:v>
      </ns0:c>
      <ns0:c r="AC265" s="0">
        <ns0:f>IF(AND(J265&gt;0,T265&gt;0,W265&lt;=X265),1,0)</ns0:f>
        <ns0:v>0</ns0:v>
      </ns0:c>
      <ns0:c r="AD265" s="0">
        <ns0:f>IF(AND(J265&gt;0,T265&gt;0,Y265&lt;=Z265),1,0)</ns0:f>
        <ns0:v>0</ns0:v>
      </ns0:c>
    </ns0:row>
    <ns0:row r="266">
      <ns0:c r="A266" s="0">
        <ns0:f>IFERROR(IF(ISNUMBER(Bookings!B266),"",TRIM(Bookings!B266&amp;"")),"")</ns0:f>
      </ns0:c>
      <ns0:c r="B266" s="0">
        <ns0:f>IFERROR(SUBSTITUTE(SUBSTITUTE(A266,"/","."),"-","."),"")</ns0:f>
      </ns0:c>
      <ns0:c r="C266" s="0">
        <ns0:f>IFERROR(LEFT(B266,FIND(".",B266)-1),"")</ns0:f>
      </ns0:c>
      <ns0:c r="D266" s="0">
        <ns0:f>IFERROR(MID(B266,FIND(".",B266)+1,FIND(".",B266,FIND(".",B266)+1)-FIND(".",B266)-1),"")</ns0:f>
      </ns0:c>
      <ns0:c r="E266" s="0">
        <ns0:f>IFERROR(MID(B266,FIND(".",B266,FIND(".",B266)+1)+1,99),"")</ns0:f>
        <ns0:v>99</ns0:v>
      </ns0:c>
      <ns0:c r="F266" s="0">
        <ns0:f>IFERROR(IF(FIND(".",B266)=5,--C266,--E266),0)</ns0:f>
        <ns0:v>0</ns0:v>
      </ns0:c>
      <ns0:c r="G266" s="0">
        <ns0:f>IFERROR(--D266,0)</ns0:f>
        <ns0:v>0</ns0:v>
      </ns0:c>
      <ns0:c r="H266" s="0">
        <ns0:f>IFERROR(IF(FIND(".",B266)=5,--E266,--C266),0)</ns0:f>
        <ns0:v>0</ns0:v>
      </ns0:c>
      <ns0:c r="I266" s="0">
        <ns0:f>IFERROR(IF(AND(F266&gt;=2000,F266&lt;=2100,G266&gt;=1,G266&lt;=12,H266&gt;=1,H266&lt;=31),DATE(F266,G266,H266),0),0)</ns0:f>
        <ns0:v>0</ns0:v>
      </ns0:c>
      <ns0:c r="J266" s="0">
        <ns0:f>IFERROR(IF(ISNUMBER(Bookings!B266),IF(AND(Bookings!B266=INT(Bookings!B266),Bookings!B266&gt;=DATE(2000,1,1),Bookings!B266&lt;=DATE(2100,12,31)),Bookings!B266,0),IF(AND(A266&lt;&gt;"",LEN("x"&amp;B266)-LEN(SUBSTITUTE("x"&amp;B266,".",""))=2,OR(1&gt;LEN(B266),MID(B266,1,1)=".",ISNUMBER(FIND("x"&amp;MID(B266,1,1),"x0x1x2x3x4x5x6x7x8x9"))),OR(2&gt;LEN(B266),MID(B266,2,1)=".",ISNUMBER(FIND("x"&amp;MID(B266,2,1),"x0x1x2x3x4x5x6x7x8x9"))),OR(3&gt;LEN(B266),MID(B266,3,1)=".",ISNUMBER(FIND("x"&amp;MID(B266,3,1),"x0x1x2x3x4x5x6x7x8x9"))),OR(4&gt;LEN(B266),MID(B266,4,1)=".",ISNUMBER(FIND("x"&amp;MID(B266,4,1),"x0x1x2x3x4x5x6x7x8x9"))),OR(5&gt;LEN(B266),MID(B266,5,1)=".",ISNUMBER(FIND("x"&amp;MID(B266,5,1),"x0x1x2x3x4x5x6x7x8x9"))),OR(6&gt;LEN(B266),MID(B266,6,1)=".",ISNUMBER(FIND("x"&amp;MID(B266,6,1),"x0x1x2x3x4x5x6x7x8x9"))),OR(7&gt;LEN(B266),MID(B266,7,1)=".",ISNUMBER(FIND("x"&amp;MID(B266,7,1),"x0x1x2x3x4x5x6x7x8x9"))),OR(8&gt;LEN(B266),MID(B266,8,1)=".",ISNUMBER(FIND("x"&amp;MID(B266,8,1),"x0x1x2x3x4x5x6x7x8x9"))),OR(9&gt;LEN(B266),MID(B266,9,1)=".",ISNUMBER(FIND("x"&amp;MID(B266,9,1),"x0x1x2x3x4x5x6x7x8x9"))),OR(10&gt;LEN(B266),MID(B266,10,1)=".",ISNUMBER(FIND("x"&amp;MID(B266,10,1),"x0x1x2x3x4x5x6x7x8x9"))),OR(AND(FIND(".",B266)=5,LEN(B266)-FIND(".",B266,FIND(".",B266)+1)&gt;=1,LEN(B266)-FIND(".",B266,FIND(".",B266)+1)&lt;=2),AND(LEN(B266)-FIND(".",B266,FIND(".",B266)+1)=4,FIND(".",B266)&gt;=2,FIND(".",B266)&lt;=3)),FIND(".",B266,FIND(".",B266)+1)-FIND(".",B266)&gt;=2,FIND(".",B266,FIND(".",B266)+1)-FIND(".",B266)&lt;=3,F266&gt;=2000,F266&lt;=2100,YEAR(I266)=F266,MONTH(I266)=G266,DAY(I266)=H266),I266,0)),0)</ns0:f>
        <ns0:v>0</ns0:v>
      </ns0:c>
      <ns0:c r="K266" s="0">
        <ns0:f>IFERROR(IF(ISNUMBER(Bookings!D266),"",TRIM(Bookings!D266&amp;"")),"")</ns0:f>
      </ns0:c>
      <ns0:c r="L266" s="0">
        <ns0:f>IFERROR(SUBSTITUTE(SUBSTITUTE(K266,"/","."),"-","."),"")</ns0:f>
      </ns0:c>
      <ns0:c r="M266" s="0">
        <ns0:f>IFERROR(LEFT(L266,FIND(".",L266)-1),"")</ns0:f>
      </ns0:c>
      <ns0:c r="N266" s="0">
        <ns0:f>IFERROR(MID(L266,FIND(".",L266)+1,FIND(".",L266,FIND(".",L266)+1)-FIND(".",L266)-1),"")</ns0:f>
      </ns0:c>
      <ns0:c r="O266" s="0">
        <ns0:f>IFERROR(MID(L266,FIND(".",L266,FIND(".",L266)+1)+1,99),"")</ns0:f>
        <ns0:v>99</ns0:v>
      </ns0:c>
      <ns0:c r="P266" s="0">
        <ns0:f>IFERROR(IF(FIND(".",L266)=5,--M266,--O266),0)</ns0:f>
        <ns0:v>0</ns0:v>
      </ns0:c>
      <ns0:c r="Q266" s="0">
        <ns0:f>IFERROR(--N266,0)</ns0:f>
        <ns0:v>0</ns0:v>
      </ns0:c>
      <ns0:c r="R266" s="0">
        <ns0:f>IFERROR(IF(FIND(".",L266)=5,--O266,--M266),0)</ns0:f>
        <ns0:v>0</ns0:v>
      </ns0:c>
      <ns0:c r="S266" s="0">
        <ns0:f>IFERROR(IF(AND(P266&gt;=2000,P266&lt;=2100,Q266&gt;=1,Q266&lt;=12,R266&gt;=1,R266&lt;=31),DATE(P266,Q266,R266),0),0)</ns0:f>
        <ns0:v>0</ns0:v>
      </ns0:c>
      <ns0:c r="T266" s="0">
        <ns0:f>IFERROR(IF(ISNUMBER(Bookings!D266),IF(AND(Bookings!D266=INT(Bookings!D266),Bookings!D266&gt;=DATE(2000,1,1),Bookings!D266&lt;=DATE(2100,12,31)),Bookings!D266,0),IF(AND(K266&lt;&gt;"",LEN("x"&amp;L266)-LEN(SUBSTITUTE("x"&amp;L266,".",""))=2,OR(1&gt;LEN(L266),MID(L266,1,1)=".",ISNUMBER(FIND("x"&amp;MID(L266,1,1),"x0x1x2x3x4x5x6x7x8x9"))),OR(2&gt;LEN(L266),MID(L266,2,1)=".",ISNUMBER(FIND("x"&amp;MID(L266,2,1),"x0x1x2x3x4x5x6x7x8x9"))),OR(3&gt;LEN(L266),MID(L266,3,1)=".",ISNUMBER(FIND("x"&amp;MID(L266,3,1),"x0x1x2x3x4x5x6x7x8x9"))),OR(4&gt;LEN(L266),MID(L266,4,1)=".",ISNUMBER(FIND("x"&amp;MID(L266,4,1),"x0x1x2x3x4x5x6x7x8x9"))),OR(5&gt;LEN(L266),MID(L266,5,1)=".",ISNUMBER(FIND("x"&amp;MID(L266,5,1),"x0x1x2x3x4x5x6x7x8x9"))),OR(6&gt;LEN(L266),MID(L266,6,1)=".",ISNUMBER(FIND("x"&amp;MID(L266,6,1),"x0x1x2x3x4x5x6x7x8x9"))),OR(7&gt;LEN(L266),MID(L266,7,1)=".",ISNUMBER(FIND("x"&amp;MID(L266,7,1),"x0x1x2x3x4x5x6x7x8x9"))),OR(8&gt;LEN(L266),MID(L266,8,1)=".",ISNUMBER(FIND("x"&amp;MID(L266,8,1),"x0x1x2x3x4x5x6x7x8x9"))),OR(9&gt;LEN(L266),MID(L266,9,1)=".",ISNUMBER(FIND("x"&amp;MID(L266,9,1),"x0x1x2x3x4x5x6x7x8x9"))),OR(10&gt;LEN(L266),MID(L266,10,1)=".",ISNUMBER(FIND("x"&amp;MID(L266,10,1),"x0x1x2x3x4x5x6x7x8x9"))),OR(AND(FIND(".",L266)=5,LEN(L266)-FIND(".",L266,FIND(".",L266)+1)&gt;=1,LEN(L266)-FIND(".",L266,FIND(".",L266)+1)&lt;=2),AND(LEN(L266)-FIND(".",L266,FIND(".",L266)+1)=4,FIND(".",L266)&gt;=2,FIND(".",L266)&lt;=3)),FIND(".",L266,FIND(".",L266)+1)-FIND(".",L266)&gt;=2,FIND(".",L266,FIND(".",L266)+1)-FIND(".",L266)&lt;=3,P266&gt;=2000,P266&lt;=2100,YEAR(S266)=P266,MONTH(S266)=Q266,DAY(S266)=R266),S266,0)),0)</ns0:f>
        <ns0:v>0</ns0:v>
      </ns0:c>
      <ns0:c r="U266" s="0" t="str">
        <ns0:f>IF(Bookings!C266="","Full day",Bookings!C266)</ns0:f>
        <ns0:v>Full day</ns0:v>
      </ns0:c>
      <ns0:c r="V266" s="0" t="str">
        <ns0:f>IF(Bookings!E266="","Full day",Bookings!E266)</ns0:f>
        <ns0:v>Full day</ns0:v>
      </ns0:c>
      <ns0:c r="W266" s="0">
        <ns0:f>IF(J266=0,0,J266+IF(U266="PM",1,0))</ns0:f>
        <ns0:v>0</ns0:v>
      </ns0:c>
      <ns0:c r="X266" s="0">
        <ns0:f>IF(T266=0,0,T266-IF(V266="PM",1,0))</ns0:f>
        <ns0:v>0</ns0:v>
      </ns0:c>
      <ns0:c r="Y266" s="0">
        <ns0:f>IF(J266=0,0,J266+IF(U266="AM",1,0))</ns0:f>
        <ns0:v>0</ns0:v>
      </ns0:c>
      <ns0:c r="Z266" s="0">
        <ns0:f>IF(T266=0,0,T266-IF(V266="AM",1,0))</ns0:f>
        <ns0:v>0</ns0:v>
      </ns0:c>
      <ns0:c r="AA266" s="0">
        <ns0:f>IFERROR(IF(AND(J266&gt;0,'_Engine'!C266&gt;0,MID('_Engine'!W266,WEEKDAY(J266,2),1)="W",COUNTIF(Settings!$F$18:$F$67,J266)=0),1,0),0)</ns0:f>
        <ns0:v>0</ns0:v>
      </ns0:c>
      <ns0:c r="AB266" s="0">
        <ns0:f>IFERROR(IF(AND(T266&gt;0,'_Engine'!C266&gt;0,MID('_Engine'!W266,WEEKDAY(T266,2),1)="W",COUNTIF(Settings!$F$18:$F$67,T266)=0),1,0),0)</ns0:f>
        <ns0:v>0</ns0:v>
      </ns0:c>
      <ns0:c r="AC266" s="0">
        <ns0:f>IF(AND(J266&gt;0,T266&gt;0,W266&lt;=X266),1,0)</ns0:f>
        <ns0:v>0</ns0:v>
      </ns0:c>
      <ns0:c r="AD266" s="0">
        <ns0:f>IF(AND(J266&gt;0,T266&gt;0,Y266&lt;=Z266),1,0)</ns0:f>
        <ns0:v>0</ns0:v>
      </ns0:c>
    </ns0:row>
    <ns0:row r="267">
      <ns0:c r="A267" s="0">
        <ns0:f>IFERROR(IF(ISNUMBER(Bookings!B267),"",TRIM(Bookings!B267&amp;"")),"")</ns0:f>
      </ns0:c>
      <ns0:c r="B267" s="0">
        <ns0:f>IFERROR(SUBSTITUTE(SUBSTITUTE(A267,"/","."),"-","."),"")</ns0:f>
      </ns0:c>
      <ns0:c r="C267" s="0">
        <ns0:f>IFERROR(LEFT(B267,FIND(".",B267)-1),"")</ns0:f>
      </ns0:c>
      <ns0:c r="D267" s="0">
        <ns0:f>IFERROR(MID(B267,FIND(".",B267)+1,FIND(".",B267,FIND(".",B267)+1)-FIND(".",B267)-1),"")</ns0:f>
      </ns0:c>
      <ns0:c r="E267" s="0">
        <ns0:f>IFERROR(MID(B267,FIND(".",B267,FIND(".",B267)+1)+1,99),"")</ns0:f>
        <ns0:v>99</ns0:v>
      </ns0:c>
      <ns0:c r="F267" s="0">
        <ns0:f>IFERROR(IF(FIND(".",B267)=5,--C267,--E267),0)</ns0:f>
        <ns0:v>0</ns0:v>
      </ns0:c>
      <ns0:c r="G267" s="0">
        <ns0:f>IFERROR(--D267,0)</ns0:f>
        <ns0:v>0</ns0:v>
      </ns0:c>
      <ns0:c r="H267" s="0">
        <ns0:f>IFERROR(IF(FIND(".",B267)=5,--E267,--C267),0)</ns0:f>
        <ns0:v>0</ns0:v>
      </ns0:c>
      <ns0:c r="I267" s="0">
        <ns0:f>IFERROR(IF(AND(F267&gt;=2000,F267&lt;=2100,G267&gt;=1,G267&lt;=12,H267&gt;=1,H267&lt;=31),DATE(F267,G267,H267),0),0)</ns0:f>
        <ns0:v>0</ns0:v>
      </ns0:c>
      <ns0:c r="J267" s="0">
        <ns0:f>IFERROR(IF(ISNUMBER(Bookings!B267),IF(AND(Bookings!B267=INT(Bookings!B267),Bookings!B267&gt;=DATE(2000,1,1),Bookings!B267&lt;=DATE(2100,12,31)),Bookings!B267,0),IF(AND(A267&lt;&gt;"",LEN("x"&amp;B267)-LEN(SUBSTITUTE("x"&amp;B267,".",""))=2,OR(1&gt;LEN(B267),MID(B267,1,1)=".",ISNUMBER(FIND("x"&amp;MID(B267,1,1),"x0x1x2x3x4x5x6x7x8x9"))),OR(2&gt;LEN(B267),MID(B267,2,1)=".",ISNUMBER(FIND("x"&amp;MID(B267,2,1),"x0x1x2x3x4x5x6x7x8x9"))),OR(3&gt;LEN(B267),MID(B267,3,1)=".",ISNUMBER(FIND("x"&amp;MID(B267,3,1),"x0x1x2x3x4x5x6x7x8x9"))),OR(4&gt;LEN(B267),MID(B267,4,1)=".",ISNUMBER(FIND("x"&amp;MID(B267,4,1),"x0x1x2x3x4x5x6x7x8x9"))),OR(5&gt;LEN(B267),MID(B267,5,1)=".",ISNUMBER(FIND("x"&amp;MID(B267,5,1),"x0x1x2x3x4x5x6x7x8x9"))),OR(6&gt;LEN(B267),MID(B267,6,1)=".",ISNUMBER(FIND("x"&amp;MID(B267,6,1),"x0x1x2x3x4x5x6x7x8x9"))),OR(7&gt;LEN(B267),MID(B267,7,1)=".",ISNUMBER(FIND("x"&amp;MID(B267,7,1),"x0x1x2x3x4x5x6x7x8x9"))),OR(8&gt;LEN(B267),MID(B267,8,1)=".",ISNUMBER(FIND("x"&amp;MID(B267,8,1),"x0x1x2x3x4x5x6x7x8x9"))),OR(9&gt;LEN(B267),MID(B267,9,1)=".",ISNUMBER(FIND("x"&amp;MID(B267,9,1),"x0x1x2x3x4x5x6x7x8x9"))),OR(10&gt;LEN(B267),MID(B267,10,1)=".",ISNUMBER(FIND("x"&amp;MID(B267,10,1),"x0x1x2x3x4x5x6x7x8x9"))),OR(AND(FIND(".",B267)=5,LEN(B267)-FIND(".",B267,FIND(".",B267)+1)&gt;=1,LEN(B267)-FIND(".",B267,FIND(".",B267)+1)&lt;=2),AND(LEN(B267)-FIND(".",B267,FIND(".",B267)+1)=4,FIND(".",B267)&gt;=2,FIND(".",B267)&lt;=3)),FIND(".",B267,FIND(".",B267)+1)-FIND(".",B267)&gt;=2,FIND(".",B267,FIND(".",B267)+1)-FIND(".",B267)&lt;=3,F267&gt;=2000,F267&lt;=2100,YEAR(I267)=F267,MONTH(I267)=G267,DAY(I267)=H267),I267,0)),0)</ns0:f>
        <ns0:v>0</ns0:v>
      </ns0:c>
      <ns0:c r="K267" s="0">
        <ns0:f>IFERROR(IF(ISNUMBER(Bookings!D267),"",TRIM(Bookings!D267&amp;"")),"")</ns0:f>
      </ns0:c>
      <ns0:c r="L267" s="0">
        <ns0:f>IFERROR(SUBSTITUTE(SUBSTITUTE(K267,"/","."),"-","."),"")</ns0:f>
      </ns0:c>
      <ns0:c r="M267" s="0">
        <ns0:f>IFERROR(LEFT(L267,FIND(".",L267)-1),"")</ns0:f>
      </ns0:c>
      <ns0:c r="N267" s="0">
        <ns0:f>IFERROR(MID(L267,FIND(".",L267)+1,FIND(".",L267,FIND(".",L267)+1)-FIND(".",L267)-1),"")</ns0:f>
      </ns0:c>
      <ns0:c r="O267" s="0">
        <ns0:f>IFERROR(MID(L267,FIND(".",L267,FIND(".",L267)+1)+1,99),"")</ns0:f>
        <ns0:v>99</ns0:v>
      </ns0:c>
      <ns0:c r="P267" s="0">
        <ns0:f>IFERROR(IF(FIND(".",L267)=5,--M267,--O267),0)</ns0:f>
        <ns0:v>0</ns0:v>
      </ns0:c>
      <ns0:c r="Q267" s="0">
        <ns0:f>IFERROR(--N267,0)</ns0:f>
        <ns0:v>0</ns0:v>
      </ns0:c>
      <ns0:c r="R267" s="0">
        <ns0:f>IFERROR(IF(FIND(".",L267)=5,--O267,--M267),0)</ns0:f>
        <ns0:v>0</ns0:v>
      </ns0:c>
      <ns0:c r="S267" s="0">
        <ns0:f>IFERROR(IF(AND(P267&gt;=2000,P267&lt;=2100,Q267&gt;=1,Q267&lt;=12,R267&gt;=1,R267&lt;=31),DATE(P267,Q267,R267),0),0)</ns0:f>
        <ns0:v>0</ns0:v>
      </ns0:c>
      <ns0:c r="T267" s="0">
        <ns0:f>IFERROR(IF(ISNUMBER(Bookings!D267),IF(AND(Bookings!D267=INT(Bookings!D267),Bookings!D267&gt;=DATE(2000,1,1),Bookings!D267&lt;=DATE(2100,12,31)),Bookings!D267,0),IF(AND(K267&lt;&gt;"",LEN("x"&amp;L267)-LEN(SUBSTITUTE("x"&amp;L267,".",""))=2,OR(1&gt;LEN(L267),MID(L267,1,1)=".",ISNUMBER(FIND("x"&amp;MID(L267,1,1),"x0x1x2x3x4x5x6x7x8x9"))),OR(2&gt;LEN(L267),MID(L267,2,1)=".",ISNUMBER(FIND("x"&amp;MID(L267,2,1),"x0x1x2x3x4x5x6x7x8x9"))),OR(3&gt;LEN(L267),MID(L267,3,1)=".",ISNUMBER(FIND("x"&amp;MID(L267,3,1),"x0x1x2x3x4x5x6x7x8x9"))),OR(4&gt;LEN(L267),MID(L267,4,1)=".",ISNUMBER(FIND("x"&amp;MID(L267,4,1),"x0x1x2x3x4x5x6x7x8x9"))),OR(5&gt;LEN(L267),MID(L267,5,1)=".",ISNUMBER(FIND("x"&amp;MID(L267,5,1),"x0x1x2x3x4x5x6x7x8x9"))),OR(6&gt;LEN(L267),MID(L267,6,1)=".",ISNUMBER(FIND("x"&amp;MID(L267,6,1),"x0x1x2x3x4x5x6x7x8x9"))),OR(7&gt;LEN(L267),MID(L267,7,1)=".",ISNUMBER(FIND("x"&amp;MID(L267,7,1),"x0x1x2x3x4x5x6x7x8x9"))),OR(8&gt;LEN(L267),MID(L267,8,1)=".",ISNUMBER(FIND("x"&amp;MID(L267,8,1),"x0x1x2x3x4x5x6x7x8x9"))),OR(9&gt;LEN(L267),MID(L267,9,1)=".",ISNUMBER(FIND("x"&amp;MID(L267,9,1),"x0x1x2x3x4x5x6x7x8x9"))),OR(10&gt;LEN(L267),MID(L267,10,1)=".",ISNUMBER(FIND("x"&amp;MID(L267,10,1),"x0x1x2x3x4x5x6x7x8x9"))),OR(AND(FIND(".",L267)=5,LEN(L267)-FIND(".",L267,FIND(".",L267)+1)&gt;=1,LEN(L267)-FIND(".",L267,FIND(".",L267)+1)&lt;=2),AND(LEN(L267)-FIND(".",L267,FIND(".",L267)+1)=4,FIND(".",L267)&gt;=2,FIND(".",L267)&lt;=3)),FIND(".",L267,FIND(".",L267)+1)-FIND(".",L267)&gt;=2,FIND(".",L267,FIND(".",L267)+1)-FIND(".",L267)&lt;=3,P267&gt;=2000,P267&lt;=2100,YEAR(S267)=P267,MONTH(S267)=Q267,DAY(S267)=R267),S267,0)),0)</ns0:f>
        <ns0:v>0</ns0:v>
      </ns0:c>
      <ns0:c r="U267" s="0" t="str">
        <ns0:f>IF(Bookings!C267="","Full day",Bookings!C267)</ns0:f>
        <ns0:v>Full day</ns0:v>
      </ns0:c>
      <ns0:c r="V267" s="0" t="str">
        <ns0:f>IF(Bookings!E267="","Full day",Bookings!E267)</ns0:f>
        <ns0:v>Full day</ns0:v>
      </ns0:c>
      <ns0:c r="W267" s="0">
        <ns0:f>IF(J267=0,0,J267+IF(U267="PM",1,0))</ns0:f>
        <ns0:v>0</ns0:v>
      </ns0:c>
      <ns0:c r="X267" s="0">
        <ns0:f>IF(T267=0,0,T267-IF(V267="PM",1,0))</ns0:f>
        <ns0:v>0</ns0:v>
      </ns0:c>
      <ns0:c r="Y267" s="0">
        <ns0:f>IF(J267=0,0,J267+IF(U267="AM",1,0))</ns0:f>
        <ns0:v>0</ns0:v>
      </ns0:c>
      <ns0:c r="Z267" s="0">
        <ns0:f>IF(T267=0,0,T267-IF(V267="AM",1,0))</ns0:f>
        <ns0:v>0</ns0:v>
      </ns0:c>
      <ns0:c r="AA267" s="0">
        <ns0:f>IFERROR(IF(AND(J267&gt;0,'_Engine'!C267&gt;0,MID('_Engine'!W267,WEEKDAY(J267,2),1)="W",COUNTIF(Settings!$F$18:$F$67,J267)=0),1,0),0)</ns0:f>
        <ns0:v>0</ns0:v>
      </ns0:c>
      <ns0:c r="AB267" s="0">
        <ns0:f>IFERROR(IF(AND(T267&gt;0,'_Engine'!C267&gt;0,MID('_Engine'!W267,WEEKDAY(T267,2),1)="W",COUNTIF(Settings!$F$18:$F$67,T267)=0),1,0),0)</ns0:f>
        <ns0:v>0</ns0:v>
      </ns0:c>
      <ns0:c r="AC267" s="0">
        <ns0:f>IF(AND(J267&gt;0,T267&gt;0,W267&lt;=X267),1,0)</ns0:f>
        <ns0:v>0</ns0:v>
      </ns0:c>
      <ns0:c r="AD267" s="0">
        <ns0:f>IF(AND(J267&gt;0,T267&gt;0,Y267&lt;=Z267),1,0)</ns0:f>
        <ns0:v>0</ns0:v>
      </ns0:c>
    </ns0:row>
    <ns0:row r="268">
      <ns0:c r="A268" s="0">
        <ns0:f>IFERROR(IF(ISNUMBER(Bookings!B268),"",TRIM(Bookings!B268&amp;"")),"")</ns0:f>
      </ns0:c>
      <ns0:c r="B268" s="0">
        <ns0:f>IFERROR(SUBSTITUTE(SUBSTITUTE(A268,"/","."),"-","."),"")</ns0:f>
      </ns0:c>
      <ns0:c r="C268" s="0">
        <ns0:f>IFERROR(LEFT(B268,FIND(".",B268)-1),"")</ns0:f>
      </ns0:c>
      <ns0:c r="D268" s="0">
        <ns0:f>IFERROR(MID(B268,FIND(".",B268)+1,FIND(".",B268,FIND(".",B268)+1)-FIND(".",B268)-1),"")</ns0:f>
      </ns0:c>
      <ns0:c r="E268" s="0">
        <ns0:f>IFERROR(MID(B268,FIND(".",B268,FIND(".",B268)+1)+1,99),"")</ns0:f>
        <ns0:v>99</ns0:v>
      </ns0:c>
      <ns0:c r="F268" s="0">
        <ns0:f>IFERROR(IF(FIND(".",B268)=5,--C268,--E268),0)</ns0:f>
        <ns0:v>0</ns0:v>
      </ns0:c>
      <ns0:c r="G268" s="0">
        <ns0:f>IFERROR(--D268,0)</ns0:f>
        <ns0:v>0</ns0:v>
      </ns0:c>
      <ns0:c r="H268" s="0">
        <ns0:f>IFERROR(IF(FIND(".",B268)=5,--E268,--C268),0)</ns0:f>
        <ns0:v>0</ns0:v>
      </ns0:c>
      <ns0:c r="I268" s="0">
        <ns0:f>IFERROR(IF(AND(F268&gt;=2000,F268&lt;=2100,G268&gt;=1,G268&lt;=12,H268&gt;=1,H268&lt;=31),DATE(F268,G268,H268),0),0)</ns0:f>
        <ns0:v>0</ns0:v>
      </ns0:c>
      <ns0:c r="J268" s="0">
        <ns0:f>IFERROR(IF(ISNUMBER(Bookings!B268),IF(AND(Bookings!B268=INT(Bookings!B268),Bookings!B268&gt;=DATE(2000,1,1),Bookings!B268&lt;=DATE(2100,12,31)),Bookings!B268,0),IF(AND(A268&lt;&gt;"",LEN("x"&amp;B268)-LEN(SUBSTITUTE("x"&amp;B268,".",""))=2,OR(1&gt;LEN(B268),MID(B268,1,1)=".",ISNUMBER(FIND("x"&amp;MID(B268,1,1),"x0x1x2x3x4x5x6x7x8x9"))),OR(2&gt;LEN(B268),MID(B268,2,1)=".",ISNUMBER(FIND("x"&amp;MID(B268,2,1),"x0x1x2x3x4x5x6x7x8x9"))),OR(3&gt;LEN(B268),MID(B268,3,1)=".",ISNUMBER(FIND("x"&amp;MID(B268,3,1),"x0x1x2x3x4x5x6x7x8x9"))),OR(4&gt;LEN(B268),MID(B268,4,1)=".",ISNUMBER(FIND("x"&amp;MID(B268,4,1),"x0x1x2x3x4x5x6x7x8x9"))),OR(5&gt;LEN(B268),MID(B268,5,1)=".",ISNUMBER(FIND("x"&amp;MID(B268,5,1),"x0x1x2x3x4x5x6x7x8x9"))),OR(6&gt;LEN(B268),MID(B268,6,1)=".",ISNUMBER(FIND("x"&amp;MID(B268,6,1),"x0x1x2x3x4x5x6x7x8x9"))),OR(7&gt;LEN(B268),MID(B268,7,1)=".",ISNUMBER(FIND("x"&amp;MID(B268,7,1),"x0x1x2x3x4x5x6x7x8x9"))),OR(8&gt;LEN(B268),MID(B268,8,1)=".",ISNUMBER(FIND("x"&amp;MID(B268,8,1),"x0x1x2x3x4x5x6x7x8x9"))),OR(9&gt;LEN(B268),MID(B268,9,1)=".",ISNUMBER(FIND("x"&amp;MID(B268,9,1),"x0x1x2x3x4x5x6x7x8x9"))),OR(10&gt;LEN(B268),MID(B268,10,1)=".",ISNUMBER(FIND("x"&amp;MID(B268,10,1),"x0x1x2x3x4x5x6x7x8x9"))),OR(AND(FIND(".",B268)=5,LEN(B268)-FIND(".",B268,FIND(".",B268)+1)&gt;=1,LEN(B268)-FIND(".",B268,FIND(".",B268)+1)&lt;=2),AND(LEN(B268)-FIND(".",B268,FIND(".",B268)+1)=4,FIND(".",B268)&gt;=2,FIND(".",B268)&lt;=3)),FIND(".",B268,FIND(".",B268)+1)-FIND(".",B268)&gt;=2,FIND(".",B268,FIND(".",B268)+1)-FIND(".",B268)&lt;=3,F268&gt;=2000,F268&lt;=2100,YEAR(I268)=F268,MONTH(I268)=G268,DAY(I268)=H268),I268,0)),0)</ns0:f>
        <ns0:v>0</ns0:v>
      </ns0:c>
      <ns0:c r="K268" s="0">
        <ns0:f>IFERROR(IF(ISNUMBER(Bookings!D268),"",TRIM(Bookings!D268&amp;"")),"")</ns0:f>
      </ns0:c>
      <ns0:c r="L268" s="0">
        <ns0:f>IFERROR(SUBSTITUTE(SUBSTITUTE(K268,"/","."),"-","."),"")</ns0:f>
      </ns0:c>
      <ns0:c r="M268" s="0">
        <ns0:f>IFERROR(LEFT(L268,FIND(".",L268)-1),"")</ns0:f>
      </ns0:c>
      <ns0:c r="N268" s="0">
        <ns0:f>IFERROR(MID(L268,FIND(".",L268)+1,FIND(".",L268,FIND(".",L268)+1)-FIND(".",L268)-1),"")</ns0:f>
      </ns0:c>
      <ns0:c r="O268" s="0">
        <ns0:f>IFERROR(MID(L268,FIND(".",L268,FIND(".",L268)+1)+1,99),"")</ns0:f>
        <ns0:v>99</ns0:v>
      </ns0:c>
      <ns0:c r="P268" s="0">
        <ns0:f>IFERROR(IF(FIND(".",L268)=5,--M268,--O268),0)</ns0:f>
        <ns0:v>0</ns0:v>
      </ns0:c>
      <ns0:c r="Q268" s="0">
        <ns0:f>IFERROR(--N268,0)</ns0:f>
        <ns0:v>0</ns0:v>
      </ns0:c>
      <ns0:c r="R268" s="0">
        <ns0:f>IFERROR(IF(FIND(".",L268)=5,--O268,--M268),0)</ns0:f>
        <ns0:v>0</ns0:v>
      </ns0:c>
      <ns0:c r="S268" s="0">
        <ns0:f>IFERROR(IF(AND(P268&gt;=2000,P268&lt;=2100,Q268&gt;=1,Q268&lt;=12,R268&gt;=1,R268&lt;=31),DATE(P268,Q268,R268),0),0)</ns0:f>
        <ns0:v>0</ns0:v>
      </ns0:c>
      <ns0:c r="T268" s="0">
        <ns0:f>IFERROR(IF(ISNUMBER(Bookings!D268),IF(AND(Bookings!D268=INT(Bookings!D268),Bookings!D268&gt;=DATE(2000,1,1),Bookings!D268&lt;=DATE(2100,12,31)),Bookings!D268,0),IF(AND(K268&lt;&gt;"",LEN("x"&amp;L268)-LEN(SUBSTITUTE("x"&amp;L268,".",""))=2,OR(1&gt;LEN(L268),MID(L268,1,1)=".",ISNUMBER(FIND("x"&amp;MID(L268,1,1),"x0x1x2x3x4x5x6x7x8x9"))),OR(2&gt;LEN(L268),MID(L268,2,1)=".",ISNUMBER(FIND("x"&amp;MID(L268,2,1),"x0x1x2x3x4x5x6x7x8x9"))),OR(3&gt;LEN(L268),MID(L268,3,1)=".",ISNUMBER(FIND("x"&amp;MID(L268,3,1),"x0x1x2x3x4x5x6x7x8x9"))),OR(4&gt;LEN(L268),MID(L268,4,1)=".",ISNUMBER(FIND("x"&amp;MID(L268,4,1),"x0x1x2x3x4x5x6x7x8x9"))),OR(5&gt;LEN(L268),MID(L268,5,1)=".",ISNUMBER(FIND("x"&amp;MID(L268,5,1),"x0x1x2x3x4x5x6x7x8x9"))),OR(6&gt;LEN(L268),MID(L268,6,1)=".",ISNUMBER(FIND("x"&amp;MID(L268,6,1),"x0x1x2x3x4x5x6x7x8x9"))),OR(7&gt;LEN(L268),MID(L268,7,1)=".",ISNUMBER(FIND("x"&amp;MID(L268,7,1),"x0x1x2x3x4x5x6x7x8x9"))),OR(8&gt;LEN(L268),MID(L268,8,1)=".",ISNUMBER(FIND("x"&amp;MID(L268,8,1),"x0x1x2x3x4x5x6x7x8x9"))),OR(9&gt;LEN(L268),MID(L268,9,1)=".",ISNUMBER(FIND("x"&amp;MID(L268,9,1),"x0x1x2x3x4x5x6x7x8x9"))),OR(10&gt;LEN(L268),MID(L268,10,1)=".",ISNUMBER(FIND("x"&amp;MID(L268,10,1),"x0x1x2x3x4x5x6x7x8x9"))),OR(AND(FIND(".",L268)=5,LEN(L268)-FIND(".",L268,FIND(".",L268)+1)&gt;=1,LEN(L268)-FIND(".",L268,FIND(".",L268)+1)&lt;=2),AND(LEN(L268)-FIND(".",L268,FIND(".",L268)+1)=4,FIND(".",L268)&gt;=2,FIND(".",L268)&lt;=3)),FIND(".",L268,FIND(".",L268)+1)-FIND(".",L268)&gt;=2,FIND(".",L268,FIND(".",L268)+1)-FIND(".",L268)&lt;=3,P268&gt;=2000,P268&lt;=2100,YEAR(S268)=P268,MONTH(S268)=Q268,DAY(S268)=R268),S268,0)),0)</ns0:f>
        <ns0:v>0</ns0:v>
      </ns0:c>
      <ns0:c r="U268" s="0" t="str">
        <ns0:f>IF(Bookings!C268="","Full day",Bookings!C268)</ns0:f>
        <ns0:v>Full day</ns0:v>
      </ns0:c>
      <ns0:c r="V268" s="0" t="str">
        <ns0:f>IF(Bookings!E268="","Full day",Bookings!E268)</ns0:f>
        <ns0:v>Full day</ns0:v>
      </ns0:c>
      <ns0:c r="W268" s="0">
        <ns0:f>IF(J268=0,0,J268+IF(U268="PM",1,0))</ns0:f>
        <ns0:v>0</ns0:v>
      </ns0:c>
      <ns0:c r="X268" s="0">
        <ns0:f>IF(T268=0,0,T268-IF(V268="PM",1,0))</ns0:f>
        <ns0:v>0</ns0:v>
      </ns0:c>
      <ns0:c r="Y268" s="0">
        <ns0:f>IF(J268=0,0,J268+IF(U268="AM",1,0))</ns0:f>
        <ns0:v>0</ns0:v>
      </ns0:c>
      <ns0:c r="Z268" s="0">
        <ns0:f>IF(T268=0,0,T268-IF(V268="AM",1,0))</ns0:f>
        <ns0:v>0</ns0:v>
      </ns0:c>
      <ns0:c r="AA268" s="0">
        <ns0:f>IFERROR(IF(AND(J268&gt;0,'_Engine'!C268&gt;0,MID('_Engine'!W268,WEEKDAY(J268,2),1)="W",COUNTIF(Settings!$F$18:$F$67,J268)=0),1,0),0)</ns0:f>
        <ns0:v>0</ns0:v>
      </ns0:c>
      <ns0:c r="AB268" s="0">
        <ns0:f>IFERROR(IF(AND(T268&gt;0,'_Engine'!C268&gt;0,MID('_Engine'!W268,WEEKDAY(T268,2),1)="W",COUNTIF(Settings!$F$18:$F$67,T268)=0),1,0),0)</ns0:f>
        <ns0:v>0</ns0:v>
      </ns0:c>
      <ns0:c r="AC268" s="0">
        <ns0:f>IF(AND(J268&gt;0,T268&gt;0,W268&lt;=X268),1,0)</ns0:f>
        <ns0:v>0</ns0:v>
      </ns0:c>
      <ns0:c r="AD268" s="0">
        <ns0:f>IF(AND(J268&gt;0,T268&gt;0,Y268&lt;=Z268),1,0)</ns0:f>
        <ns0:v>0</ns0:v>
      </ns0:c>
    </ns0:row>
    <ns0:row r="269">
      <ns0:c r="A269" s="0">
        <ns0:f>IFERROR(IF(ISNUMBER(Bookings!B269),"",TRIM(Bookings!B269&amp;"")),"")</ns0:f>
      </ns0:c>
      <ns0:c r="B269" s="0">
        <ns0:f>IFERROR(SUBSTITUTE(SUBSTITUTE(A269,"/","."),"-","."),"")</ns0:f>
      </ns0:c>
      <ns0:c r="C269" s="0">
        <ns0:f>IFERROR(LEFT(B269,FIND(".",B269)-1),"")</ns0:f>
      </ns0:c>
      <ns0:c r="D269" s="0">
        <ns0:f>IFERROR(MID(B269,FIND(".",B269)+1,FIND(".",B269,FIND(".",B269)+1)-FIND(".",B269)-1),"")</ns0:f>
      </ns0:c>
      <ns0:c r="E269" s="0">
        <ns0:f>IFERROR(MID(B269,FIND(".",B269,FIND(".",B269)+1)+1,99),"")</ns0:f>
        <ns0:v>99</ns0:v>
      </ns0:c>
      <ns0:c r="F269" s="0">
        <ns0:f>IFERROR(IF(FIND(".",B269)=5,--C269,--E269),0)</ns0:f>
        <ns0:v>0</ns0:v>
      </ns0:c>
      <ns0:c r="G269" s="0">
        <ns0:f>IFERROR(--D269,0)</ns0:f>
        <ns0:v>0</ns0:v>
      </ns0:c>
      <ns0:c r="H269" s="0">
        <ns0:f>IFERROR(IF(FIND(".",B269)=5,--E269,--C269),0)</ns0:f>
        <ns0:v>0</ns0:v>
      </ns0:c>
      <ns0:c r="I269" s="0">
        <ns0:f>IFERROR(IF(AND(F269&gt;=2000,F269&lt;=2100,G269&gt;=1,G269&lt;=12,H269&gt;=1,H269&lt;=31),DATE(F269,G269,H269),0),0)</ns0:f>
        <ns0:v>0</ns0:v>
      </ns0:c>
      <ns0:c r="J269" s="0">
        <ns0:f>IFERROR(IF(ISNUMBER(Bookings!B269),IF(AND(Bookings!B269=INT(Bookings!B269),Bookings!B269&gt;=DATE(2000,1,1),Bookings!B269&lt;=DATE(2100,12,31)),Bookings!B269,0),IF(AND(A269&lt;&gt;"",LEN("x"&amp;B269)-LEN(SUBSTITUTE("x"&amp;B269,".",""))=2,OR(1&gt;LEN(B269),MID(B269,1,1)=".",ISNUMBER(FIND("x"&amp;MID(B269,1,1),"x0x1x2x3x4x5x6x7x8x9"))),OR(2&gt;LEN(B269),MID(B269,2,1)=".",ISNUMBER(FIND("x"&amp;MID(B269,2,1),"x0x1x2x3x4x5x6x7x8x9"))),OR(3&gt;LEN(B269),MID(B269,3,1)=".",ISNUMBER(FIND("x"&amp;MID(B269,3,1),"x0x1x2x3x4x5x6x7x8x9"))),OR(4&gt;LEN(B269),MID(B269,4,1)=".",ISNUMBER(FIND("x"&amp;MID(B269,4,1),"x0x1x2x3x4x5x6x7x8x9"))),OR(5&gt;LEN(B269),MID(B269,5,1)=".",ISNUMBER(FIND("x"&amp;MID(B269,5,1),"x0x1x2x3x4x5x6x7x8x9"))),OR(6&gt;LEN(B269),MID(B269,6,1)=".",ISNUMBER(FIND("x"&amp;MID(B269,6,1),"x0x1x2x3x4x5x6x7x8x9"))),OR(7&gt;LEN(B269),MID(B269,7,1)=".",ISNUMBER(FIND("x"&amp;MID(B269,7,1),"x0x1x2x3x4x5x6x7x8x9"))),OR(8&gt;LEN(B269),MID(B269,8,1)=".",ISNUMBER(FIND("x"&amp;MID(B269,8,1),"x0x1x2x3x4x5x6x7x8x9"))),OR(9&gt;LEN(B269),MID(B269,9,1)=".",ISNUMBER(FIND("x"&amp;MID(B269,9,1),"x0x1x2x3x4x5x6x7x8x9"))),OR(10&gt;LEN(B269),MID(B269,10,1)=".",ISNUMBER(FIND("x"&amp;MID(B269,10,1),"x0x1x2x3x4x5x6x7x8x9"))),OR(AND(FIND(".",B269)=5,LEN(B269)-FIND(".",B269,FIND(".",B269)+1)&gt;=1,LEN(B269)-FIND(".",B269,FIND(".",B269)+1)&lt;=2),AND(LEN(B269)-FIND(".",B269,FIND(".",B269)+1)=4,FIND(".",B269)&gt;=2,FIND(".",B269)&lt;=3)),FIND(".",B269,FIND(".",B269)+1)-FIND(".",B269)&gt;=2,FIND(".",B269,FIND(".",B269)+1)-FIND(".",B269)&lt;=3,F269&gt;=2000,F269&lt;=2100,YEAR(I269)=F269,MONTH(I269)=G269,DAY(I269)=H269),I269,0)),0)</ns0:f>
        <ns0:v>0</ns0:v>
      </ns0:c>
      <ns0:c r="K269" s="0">
        <ns0:f>IFERROR(IF(ISNUMBER(Bookings!D269),"",TRIM(Bookings!D269&amp;"")),"")</ns0:f>
      </ns0:c>
      <ns0:c r="L269" s="0">
        <ns0:f>IFERROR(SUBSTITUTE(SUBSTITUTE(K269,"/","."),"-","."),"")</ns0:f>
      </ns0:c>
      <ns0:c r="M269" s="0">
        <ns0:f>IFERROR(LEFT(L269,FIND(".",L269)-1),"")</ns0:f>
      </ns0:c>
      <ns0:c r="N269" s="0">
        <ns0:f>IFERROR(MID(L269,FIND(".",L269)+1,FIND(".",L269,FIND(".",L269)+1)-FIND(".",L269)-1),"")</ns0:f>
      </ns0:c>
      <ns0:c r="O269" s="0">
        <ns0:f>IFERROR(MID(L269,FIND(".",L269,FIND(".",L269)+1)+1,99),"")</ns0:f>
        <ns0:v>99</ns0:v>
      </ns0:c>
      <ns0:c r="P269" s="0">
        <ns0:f>IFERROR(IF(FIND(".",L269)=5,--M269,--O269),0)</ns0:f>
        <ns0:v>0</ns0:v>
      </ns0:c>
      <ns0:c r="Q269" s="0">
        <ns0:f>IFERROR(--N269,0)</ns0:f>
        <ns0:v>0</ns0:v>
      </ns0:c>
      <ns0:c r="R269" s="0">
        <ns0:f>IFERROR(IF(FIND(".",L269)=5,--O269,--M269),0)</ns0:f>
        <ns0:v>0</ns0:v>
      </ns0:c>
      <ns0:c r="S269" s="0">
        <ns0:f>IFERROR(IF(AND(P269&gt;=2000,P269&lt;=2100,Q269&gt;=1,Q269&lt;=12,R269&gt;=1,R269&lt;=31),DATE(P269,Q269,R269),0),0)</ns0:f>
        <ns0:v>0</ns0:v>
      </ns0:c>
      <ns0:c r="T269" s="0">
        <ns0:f>IFERROR(IF(ISNUMBER(Bookings!D269),IF(AND(Bookings!D269=INT(Bookings!D269),Bookings!D269&gt;=DATE(2000,1,1),Bookings!D269&lt;=DATE(2100,12,31)),Bookings!D269,0),IF(AND(K269&lt;&gt;"",LEN("x"&amp;L269)-LEN(SUBSTITUTE("x"&amp;L269,".",""))=2,OR(1&gt;LEN(L269),MID(L269,1,1)=".",ISNUMBER(FIND("x"&amp;MID(L269,1,1),"x0x1x2x3x4x5x6x7x8x9"))),OR(2&gt;LEN(L269),MID(L269,2,1)=".",ISNUMBER(FIND("x"&amp;MID(L269,2,1),"x0x1x2x3x4x5x6x7x8x9"))),OR(3&gt;LEN(L269),MID(L269,3,1)=".",ISNUMBER(FIND("x"&amp;MID(L269,3,1),"x0x1x2x3x4x5x6x7x8x9"))),OR(4&gt;LEN(L269),MID(L269,4,1)=".",ISNUMBER(FIND("x"&amp;MID(L269,4,1),"x0x1x2x3x4x5x6x7x8x9"))),OR(5&gt;LEN(L269),MID(L269,5,1)=".",ISNUMBER(FIND("x"&amp;MID(L269,5,1),"x0x1x2x3x4x5x6x7x8x9"))),OR(6&gt;LEN(L269),MID(L269,6,1)=".",ISNUMBER(FIND("x"&amp;MID(L269,6,1),"x0x1x2x3x4x5x6x7x8x9"))),OR(7&gt;LEN(L269),MID(L269,7,1)=".",ISNUMBER(FIND("x"&amp;MID(L269,7,1),"x0x1x2x3x4x5x6x7x8x9"))),OR(8&gt;LEN(L269),MID(L269,8,1)=".",ISNUMBER(FIND("x"&amp;MID(L269,8,1),"x0x1x2x3x4x5x6x7x8x9"))),OR(9&gt;LEN(L269),MID(L269,9,1)=".",ISNUMBER(FIND("x"&amp;MID(L269,9,1),"x0x1x2x3x4x5x6x7x8x9"))),OR(10&gt;LEN(L269),MID(L269,10,1)=".",ISNUMBER(FIND("x"&amp;MID(L269,10,1),"x0x1x2x3x4x5x6x7x8x9"))),OR(AND(FIND(".",L269)=5,LEN(L269)-FIND(".",L269,FIND(".",L269)+1)&gt;=1,LEN(L269)-FIND(".",L269,FIND(".",L269)+1)&lt;=2),AND(LEN(L269)-FIND(".",L269,FIND(".",L269)+1)=4,FIND(".",L269)&gt;=2,FIND(".",L269)&lt;=3)),FIND(".",L269,FIND(".",L269)+1)-FIND(".",L269)&gt;=2,FIND(".",L269,FIND(".",L269)+1)-FIND(".",L269)&lt;=3,P269&gt;=2000,P269&lt;=2100,YEAR(S269)=P269,MONTH(S269)=Q269,DAY(S269)=R269),S269,0)),0)</ns0:f>
        <ns0:v>0</ns0:v>
      </ns0:c>
      <ns0:c r="U269" s="0" t="str">
        <ns0:f>IF(Bookings!C269="","Full day",Bookings!C269)</ns0:f>
        <ns0:v>Full day</ns0:v>
      </ns0:c>
      <ns0:c r="V269" s="0" t="str">
        <ns0:f>IF(Bookings!E269="","Full day",Bookings!E269)</ns0:f>
        <ns0:v>Full day</ns0:v>
      </ns0:c>
      <ns0:c r="W269" s="0">
        <ns0:f>IF(J269=0,0,J269+IF(U269="PM",1,0))</ns0:f>
        <ns0:v>0</ns0:v>
      </ns0:c>
      <ns0:c r="X269" s="0">
        <ns0:f>IF(T269=0,0,T269-IF(V269="PM",1,0))</ns0:f>
        <ns0:v>0</ns0:v>
      </ns0:c>
      <ns0:c r="Y269" s="0">
        <ns0:f>IF(J269=0,0,J269+IF(U269="AM",1,0))</ns0:f>
        <ns0:v>0</ns0:v>
      </ns0:c>
      <ns0:c r="Z269" s="0">
        <ns0:f>IF(T269=0,0,T269-IF(V269="AM",1,0))</ns0:f>
        <ns0:v>0</ns0:v>
      </ns0:c>
      <ns0:c r="AA269" s="0">
        <ns0:f>IFERROR(IF(AND(J269&gt;0,'_Engine'!C269&gt;0,MID('_Engine'!W269,WEEKDAY(J269,2),1)="W",COUNTIF(Settings!$F$18:$F$67,J269)=0),1,0),0)</ns0:f>
        <ns0:v>0</ns0:v>
      </ns0:c>
      <ns0:c r="AB269" s="0">
        <ns0:f>IFERROR(IF(AND(T269&gt;0,'_Engine'!C269&gt;0,MID('_Engine'!W269,WEEKDAY(T269,2),1)="W",COUNTIF(Settings!$F$18:$F$67,T269)=0),1,0),0)</ns0:f>
        <ns0:v>0</ns0:v>
      </ns0:c>
      <ns0:c r="AC269" s="0">
        <ns0:f>IF(AND(J269&gt;0,T269&gt;0,W269&lt;=X269),1,0)</ns0:f>
        <ns0:v>0</ns0:v>
      </ns0:c>
      <ns0:c r="AD269" s="0">
        <ns0:f>IF(AND(J269&gt;0,T269&gt;0,Y269&lt;=Z269),1,0)</ns0:f>
        <ns0:v>0</ns0:v>
      </ns0:c>
    </ns0:row>
    <ns0:row r="270">
      <ns0:c r="A270" s="0">
        <ns0:f>IFERROR(IF(ISNUMBER(Bookings!B270),"",TRIM(Bookings!B270&amp;"")),"")</ns0:f>
      </ns0:c>
      <ns0:c r="B270" s="0">
        <ns0:f>IFERROR(SUBSTITUTE(SUBSTITUTE(A270,"/","."),"-","."),"")</ns0:f>
      </ns0:c>
      <ns0:c r="C270" s="0">
        <ns0:f>IFERROR(LEFT(B270,FIND(".",B270)-1),"")</ns0:f>
      </ns0:c>
      <ns0:c r="D270" s="0">
        <ns0:f>IFERROR(MID(B270,FIND(".",B270)+1,FIND(".",B270,FIND(".",B270)+1)-FIND(".",B270)-1),"")</ns0:f>
      </ns0:c>
      <ns0:c r="E270" s="0">
        <ns0:f>IFERROR(MID(B270,FIND(".",B270,FIND(".",B270)+1)+1,99),"")</ns0:f>
        <ns0:v>99</ns0:v>
      </ns0:c>
      <ns0:c r="F270" s="0">
        <ns0:f>IFERROR(IF(FIND(".",B270)=5,--C270,--E270),0)</ns0:f>
        <ns0:v>0</ns0:v>
      </ns0:c>
      <ns0:c r="G270" s="0">
        <ns0:f>IFERROR(--D270,0)</ns0:f>
        <ns0:v>0</ns0:v>
      </ns0:c>
      <ns0:c r="H270" s="0">
        <ns0:f>IFERROR(IF(FIND(".",B270)=5,--E270,--C270),0)</ns0:f>
        <ns0:v>0</ns0:v>
      </ns0:c>
      <ns0:c r="I270" s="0">
        <ns0:f>IFERROR(IF(AND(F270&gt;=2000,F270&lt;=2100,G270&gt;=1,G270&lt;=12,H270&gt;=1,H270&lt;=31),DATE(F270,G270,H270),0),0)</ns0:f>
        <ns0:v>0</ns0:v>
      </ns0:c>
      <ns0:c r="J270" s="0">
        <ns0:f>IFERROR(IF(ISNUMBER(Bookings!B270),IF(AND(Bookings!B270=INT(Bookings!B270),Bookings!B270&gt;=DATE(2000,1,1),Bookings!B270&lt;=DATE(2100,12,31)),Bookings!B270,0),IF(AND(A270&lt;&gt;"",LEN("x"&amp;B270)-LEN(SUBSTITUTE("x"&amp;B270,".",""))=2,OR(1&gt;LEN(B270),MID(B270,1,1)=".",ISNUMBER(FIND("x"&amp;MID(B270,1,1),"x0x1x2x3x4x5x6x7x8x9"))),OR(2&gt;LEN(B270),MID(B270,2,1)=".",ISNUMBER(FIND("x"&amp;MID(B270,2,1),"x0x1x2x3x4x5x6x7x8x9"))),OR(3&gt;LEN(B270),MID(B270,3,1)=".",ISNUMBER(FIND("x"&amp;MID(B270,3,1),"x0x1x2x3x4x5x6x7x8x9"))),OR(4&gt;LEN(B270),MID(B270,4,1)=".",ISNUMBER(FIND("x"&amp;MID(B270,4,1),"x0x1x2x3x4x5x6x7x8x9"))),OR(5&gt;LEN(B270),MID(B270,5,1)=".",ISNUMBER(FIND("x"&amp;MID(B270,5,1),"x0x1x2x3x4x5x6x7x8x9"))),OR(6&gt;LEN(B270),MID(B270,6,1)=".",ISNUMBER(FIND("x"&amp;MID(B270,6,1),"x0x1x2x3x4x5x6x7x8x9"))),OR(7&gt;LEN(B270),MID(B270,7,1)=".",ISNUMBER(FIND("x"&amp;MID(B270,7,1),"x0x1x2x3x4x5x6x7x8x9"))),OR(8&gt;LEN(B270),MID(B270,8,1)=".",ISNUMBER(FIND("x"&amp;MID(B270,8,1),"x0x1x2x3x4x5x6x7x8x9"))),OR(9&gt;LEN(B270),MID(B270,9,1)=".",ISNUMBER(FIND("x"&amp;MID(B270,9,1),"x0x1x2x3x4x5x6x7x8x9"))),OR(10&gt;LEN(B270),MID(B270,10,1)=".",ISNUMBER(FIND("x"&amp;MID(B270,10,1),"x0x1x2x3x4x5x6x7x8x9"))),OR(AND(FIND(".",B270)=5,LEN(B270)-FIND(".",B270,FIND(".",B270)+1)&gt;=1,LEN(B270)-FIND(".",B270,FIND(".",B270)+1)&lt;=2),AND(LEN(B270)-FIND(".",B270,FIND(".",B270)+1)=4,FIND(".",B270)&gt;=2,FIND(".",B270)&lt;=3)),FIND(".",B270,FIND(".",B270)+1)-FIND(".",B270)&gt;=2,FIND(".",B270,FIND(".",B270)+1)-FIND(".",B270)&lt;=3,F270&gt;=2000,F270&lt;=2100,YEAR(I270)=F270,MONTH(I270)=G270,DAY(I270)=H270),I270,0)),0)</ns0:f>
        <ns0:v>0</ns0:v>
      </ns0:c>
      <ns0:c r="K270" s="0">
        <ns0:f>IFERROR(IF(ISNUMBER(Bookings!D270),"",TRIM(Bookings!D270&amp;"")),"")</ns0:f>
      </ns0:c>
      <ns0:c r="L270" s="0">
        <ns0:f>IFERROR(SUBSTITUTE(SUBSTITUTE(K270,"/","."),"-","."),"")</ns0:f>
      </ns0:c>
      <ns0:c r="M270" s="0">
        <ns0:f>IFERROR(LEFT(L270,FIND(".",L270)-1),"")</ns0:f>
      </ns0:c>
      <ns0:c r="N270" s="0">
        <ns0:f>IFERROR(MID(L270,FIND(".",L270)+1,FIND(".",L270,FIND(".",L270)+1)-FIND(".",L270)-1),"")</ns0:f>
      </ns0:c>
      <ns0:c r="O270" s="0">
        <ns0:f>IFERROR(MID(L270,FIND(".",L270,FIND(".",L270)+1)+1,99),"")</ns0:f>
        <ns0:v>99</ns0:v>
      </ns0:c>
      <ns0:c r="P270" s="0">
        <ns0:f>IFERROR(IF(FIND(".",L270)=5,--M270,--O270),0)</ns0:f>
        <ns0:v>0</ns0:v>
      </ns0:c>
      <ns0:c r="Q270" s="0">
        <ns0:f>IFERROR(--N270,0)</ns0:f>
        <ns0:v>0</ns0:v>
      </ns0:c>
      <ns0:c r="R270" s="0">
        <ns0:f>IFERROR(IF(FIND(".",L270)=5,--O270,--M270),0)</ns0:f>
        <ns0:v>0</ns0:v>
      </ns0:c>
      <ns0:c r="S270" s="0">
        <ns0:f>IFERROR(IF(AND(P270&gt;=2000,P270&lt;=2100,Q270&gt;=1,Q270&lt;=12,R270&gt;=1,R270&lt;=31),DATE(P270,Q270,R270),0),0)</ns0:f>
        <ns0:v>0</ns0:v>
      </ns0:c>
      <ns0:c r="T270" s="0">
        <ns0:f>IFERROR(IF(ISNUMBER(Bookings!D270),IF(AND(Bookings!D270=INT(Bookings!D270),Bookings!D270&gt;=DATE(2000,1,1),Bookings!D270&lt;=DATE(2100,12,31)),Bookings!D270,0),IF(AND(K270&lt;&gt;"",LEN("x"&amp;L270)-LEN(SUBSTITUTE("x"&amp;L270,".",""))=2,OR(1&gt;LEN(L270),MID(L270,1,1)=".",ISNUMBER(FIND("x"&amp;MID(L270,1,1),"x0x1x2x3x4x5x6x7x8x9"))),OR(2&gt;LEN(L270),MID(L270,2,1)=".",ISNUMBER(FIND("x"&amp;MID(L270,2,1),"x0x1x2x3x4x5x6x7x8x9"))),OR(3&gt;LEN(L270),MID(L270,3,1)=".",ISNUMBER(FIND("x"&amp;MID(L270,3,1),"x0x1x2x3x4x5x6x7x8x9"))),OR(4&gt;LEN(L270),MID(L270,4,1)=".",ISNUMBER(FIND("x"&amp;MID(L270,4,1),"x0x1x2x3x4x5x6x7x8x9"))),OR(5&gt;LEN(L270),MID(L270,5,1)=".",ISNUMBER(FIND("x"&amp;MID(L270,5,1),"x0x1x2x3x4x5x6x7x8x9"))),OR(6&gt;LEN(L270),MID(L270,6,1)=".",ISNUMBER(FIND("x"&amp;MID(L270,6,1),"x0x1x2x3x4x5x6x7x8x9"))),OR(7&gt;LEN(L270),MID(L270,7,1)=".",ISNUMBER(FIND("x"&amp;MID(L270,7,1),"x0x1x2x3x4x5x6x7x8x9"))),OR(8&gt;LEN(L270),MID(L270,8,1)=".",ISNUMBER(FIND("x"&amp;MID(L270,8,1),"x0x1x2x3x4x5x6x7x8x9"))),OR(9&gt;LEN(L270),MID(L270,9,1)=".",ISNUMBER(FIND("x"&amp;MID(L270,9,1),"x0x1x2x3x4x5x6x7x8x9"))),OR(10&gt;LEN(L270),MID(L270,10,1)=".",ISNUMBER(FIND("x"&amp;MID(L270,10,1),"x0x1x2x3x4x5x6x7x8x9"))),OR(AND(FIND(".",L270)=5,LEN(L270)-FIND(".",L270,FIND(".",L270)+1)&gt;=1,LEN(L270)-FIND(".",L270,FIND(".",L270)+1)&lt;=2),AND(LEN(L270)-FIND(".",L270,FIND(".",L270)+1)=4,FIND(".",L270)&gt;=2,FIND(".",L270)&lt;=3)),FIND(".",L270,FIND(".",L270)+1)-FIND(".",L270)&gt;=2,FIND(".",L270,FIND(".",L270)+1)-FIND(".",L270)&lt;=3,P270&gt;=2000,P270&lt;=2100,YEAR(S270)=P270,MONTH(S270)=Q270,DAY(S270)=R270),S270,0)),0)</ns0:f>
        <ns0:v>0</ns0:v>
      </ns0:c>
      <ns0:c r="U270" s="0" t="str">
        <ns0:f>IF(Bookings!C270="","Full day",Bookings!C270)</ns0:f>
        <ns0:v>Full day</ns0:v>
      </ns0:c>
      <ns0:c r="V270" s="0" t="str">
        <ns0:f>IF(Bookings!E270="","Full day",Bookings!E270)</ns0:f>
        <ns0:v>Full day</ns0:v>
      </ns0:c>
      <ns0:c r="W270" s="0">
        <ns0:f>IF(J270=0,0,J270+IF(U270="PM",1,0))</ns0:f>
        <ns0:v>0</ns0:v>
      </ns0:c>
      <ns0:c r="X270" s="0">
        <ns0:f>IF(T270=0,0,T270-IF(V270="PM",1,0))</ns0:f>
        <ns0:v>0</ns0:v>
      </ns0:c>
      <ns0:c r="Y270" s="0">
        <ns0:f>IF(J270=0,0,J270+IF(U270="AM",1,0))</ns0:f>
        <ns0:v>0</ns0:v>
      </ns0:c>
      <ns0:c r="Z270" s="0">
        <ns0:f>IF(T270=0,0,T270-IF(V270="AM",1,0))</ns0:f>
        <ns0:v>0</ns0:v>
      </ns0:c>
      <ns0:c r="AA270" s="0">
        <ns0:f>IFERROR(IF(AND(J270&gt;0,'_Engine'!C270&gt;0,MID('_Engine'!W270,WEEKDAY(J270,2),1)="W",COUNTIF(Settings!$F$18:$F$67,J270)=0),1,0),0)</ns0:f>
        <ns0:v>0</ns0:v>
      </ns0:c>
      <ns0:c r="AB270" s="0">
        <ns0:f>IFERROR(IF(AND(T270&gt;0,'_Engine'!C270&gt;0,MID('_Engine'!W270,WEEKDAY(T270,2),1)="W",COUNTIF(Settings!$F$18:$F$67,T270)=0),1,0),0)</ns0:f>
        <ns0:v>0</ns0:v>
      </ns0:c>
      <ns0:c r="AC270" s="0">
        <ns0:f>IF(AND(J270&gt;0,T270&gt;0,W270&lt;=X270),1,0)</ns0:f>
        <ns0:v>0</ns0:v>
      </ns0:c>
      <ns0:c r="AD270" s="0">
        <ns0:f>IF(AND(J270&gt;0,T270&gt;0,Y270&lt;=Z270),1,0)</ns0:f>
        <ns0:v>0</ns0:v>
      </ns0:c>
    </ns0:row>
    <ns0:row r="271">
      <ns0:c r="A271" s="0">
        <ns0:f>IFERROR(IF(ISNUMBER(Bookings!B271),"",TRIM(Bookings!B271&amp;"")),"")</ns0:f>
      </ns0:c>
      <ns0:c r="B271" s="0">
        <ns0:f>IFERROR(SUBSTITUTE(SUBSTITUTE(A271,"/","."),"-","."),"")</ns0:f>
      </ns0:c>
      <ns0:c r="C271" s="0">
        <ns0:f>IFERROR(LEFT(B271,FIND(".",B271)-1),"")</ns0:f>
      </ns0:c>
      <ns0:c r="D271" s="0">
        <ns0:f>IFERROR(MID(B271,FIND(".",B271)+1,FIND(".",B271,FIND(".",B271)+1)-FIND(".",B271)-1),"")</ns0:f>
      </ns0:c>
      <ns0:c r="E271" s="0">
        <ns0:f>IFERROR(MID(B271,FIND(".",B271,FIND(".",B271)+1)+1,99),"")</ns0:f>
        <ns0:v>99</ns0:v>
      </ns0:c>
      <ns0:c r="F271" s="0">
        <ns0:f>IFERROR(IF(FIND(".",B271)=5,--C271,--E271),0)</ns0:f>
        <ns0:v>0</ns0:v>
      </ns0:c>
      <ns0:c r="G271" s="0">
        <ns0:f>IFERROR(--D271,0)</ns0:f>
        <ns0:v>0</ns0:v>
      </ns0:c>
      <ns0:c r="H271" s="0">
        <ns0:f>IFERROR(IF(FIND(".",B271)=5,--E271,--C271),0)</ns0:f>
        <ns0:v>0</ns0:v>
      </ns0:c>
      <ns0:c r="I271" s="0">
        <ns0:f>IFERROR(IF(AND(F271&gt;=2000,F271&lt;=2100,G271&gt;=1,G271&lt;=12,H271&gt;=1,H271&lt;=31),DATE(F271,G271,H271),0),0)</ns0:f>
        <ns0:v>0</ns0:v>
      </ns0:c>
      <ns0:c r="J271" s="0">
        <ns0:f>IFERROR(IF(ISNUMBER(Bookings!B271),IF(AND(Bookings!B271=INT(Bookings!B271),Bookings!B271&gt;=DATE(2000,1,1),Bookings!B271&lt;=DATE(2100,12,31)),Bookings!B271,0),IF(AND(A271&lt;&gt;"",LEN("x"&amp;B271)-LEN(SUBSTITUTE("x"&amp;B271,".",""))=2,OR(1&gt;LEN(B271),MID(B271,1,1)=".",ISNUMBER(FIND("x"&amp;MID(B271,1,1),"x0x1x2x3x4x5x6x7x8x9"))),OR(2&gt;LEN(B271),MID(B271,2,1)=".",ISNUMBER(FIND("x"&amp;MID(B271,2,1),"x0x1x2x3x4x5x6x7x8x9"))),OR(3&gt;LEN(B271),MID(B271,3,1)=".",ISNUMBER(FIND("x"&amp;MID(B271,3,1),"x0x1x2x3x4x5x6x7x8x9"))),OR(4&gt;LEN(B271),MID(B271,4,1)=".",ISNUMBER(FIND("x"&amp;MID(B271,4,1),"x0x1x2x3x4x5x6x7x8x9"))),OR(5&gt;LEN(B271),MID(B271,5,1)=".",ISNUMBER(FIND("x"&amp;MID(B271,5,1),"x0x1x2x3x4x5x6x7x8x9"))),OR(6&gt;LEN(B271),MID(B271,6,1)=".",ISNUMBER(FIND("x"&amp;MID(B271,6,1),"x0x1x2x3x4x5x6x7x8x9"))),OR(7&gt;LEN(B271),MID(B271,7,1)=".",ISNUMBER(FIND("x"&amp;MID(B271,7,1),"x0x1x2x3x4x5x6x7x8x9"))),OR(8&gt;LEN(B271),MID(B271,8,1)=".",ISNUMBER(FIND("x"&amp;MID(B271,8,1),"x0x1x2x3x4x5x6x7x8x9"))),OR(9&gt;LEN(B271),MID(B271,9,1)=".",ISNUMBER(FIND("x"&amp;MID(B271,9,1),"x0x1x2x3x4x5x6x7x8x9"))),OR(10&gt;LEN(B271),MID(B271,10,1)=".",ISNUMBER(FIND("x"&amp;MID(B271,10,1),"x0x1x2x3x4x5x6x7x8x9"))),OR(AND(FIND(".",B271)=5,LEN(B271)-FIND(".",B271,FIND(".",B271)+1)&gt;=1,LEN(B271)-FIND(".",B271,FIND(".",B271)+1)&lt;=2),AND(LEN(B271)-FIND(".",B271,FIND(".",B271)+1)=4,FIND(".",B271)&gt;=2,FIND(".",B271)&lt;=3)),FIND(".",B271,FIND(".",B271)+1)-FIND(".",B271)&gt;=2,FIND(".",B271,FIND(".",B271)+1)-FIND(".",B271)&lt;=3,F271&gt;=2000,F271&lt;=2100,YEAR(I271)=F271,MONTH(I271)=G271,DAY(I271)=H271),I271,0)),0)</ns0:f>
        <ns0:v>0</ns0:v>
      </ns0:c>
      <ns0:c r="K271" s="0">
        <ns0:f>IFERROR(IF(ISNUMBER(Bookings!D271),"",TRIM(Bookings!D271&amp;"")),"")</ns0:f>
      </ns0:c>
      <ns0:c r="L271" s="0">
        <ns0:f>IFERROR(SUBSTITUTE(SUBSTITUTE(K271,"/","."),"-","."),"")</ns0:f>
      </ns0:c>
      <ns0:c r="M271" s="0">
        <ns0:f>IFERROR(LEFT(L271,FIND(".",L271)-1),"")</ns0:f>
      </ns0:c>
      <ns0:c r="N271" s="0">
        <ns0:f>IFERROR(MID(L271,FIND(".",L271)+1,FIND(".",L271,FIND(".",L271)+1)-FIND(".",L271)-1),"")</ns0:f>
      </ns0:c>
      <ns0:c r="O271" s="0">
        <ns0:f>IFERROR(MID(L271,FIND(".",L271,FIND(".",L271)+1)+1,99),"")</ns0:f>
        <ns0:v>99</ns0:v>
      </ns0:c>
      <ns0:c r="P271" s="0">
        <ns0:f>IFERROR(IF(FIND(".",L271)=5,--M271,--O271),0)</ns0:f>
        <ns0:v>0</ns0:v>
      </ns0:c>
      <ns0:c r="Q271" s="0">
        <ns0:f>IFERROR(--N271,0)</ns0:f>
        <ns0:v>0</ns0:v>
      </ns0:c>
      <ns0:c r="R271" s="0">
        <ns0:f>IFERROR(IF(FIND(".",L271)=5,--O271,--M271),0)</ns0:f>
        <ns0:v>0</ns0:v>
      </ns0:c>
      <ns0:c r="S271" s="0">
        <ns0:f>IFERROR(IF(AND(P271&gt;=2000,P271&lt;=2100,Q271&gt;=1,Q271&lt;=12,R271&gt;=1,R271&lt;=31),DATE(P271,Q271,R271),0),0)</ns0:f>
        <ns0:v>0</ns0:v>
      </ns0:c>
      <ns0:c r="T271" s="0">
        <ns0:f>IFERROR(IF(ISNUMBER(Bookings!D271),IF(AND(Bookings!D271=INT(Bookings!D271),Bookings!D271&gt;=DATE(2000,1,1),Bookings!D271&lt;=DATE(2100,12,31)),Bookings!D271,0),IF(AND(K271&lt;&gt;"",LEN("x"&amp;L271)-LEN(SUBSTITUTE("x"&amp;L271,".",""))=2,OR(1&gt;LEN(L271),MID(L271,1,1)=".",ISNUMBER(FIND("x"&amp;MID(L271,1,1),"x0x1x2x3x4x5x6x7x8x9"))),OR(2&gt;LEN(L271),MID(L271,2,1)=".",ISNUMBER(FIND("x"&amp;MID(L271,2,1),"x0x1x2x3x4x5x6x7x8x9"))),OR(3&gt;LEN(L271),MID(L271,3,1)=".",ISNUMBER(FIND("x"&amp;MID(L271,3,1),"x0x1x2x3x4x5x6x7x8x9"))),OR(4&gt;LEN(L271),MID(L271,4,1)=".",ISNUMBER(FIND("x"&amp;MID(L271,4,1),"x0x1x2x3x4x5x6x7x8x9"))),OR(5&gt;LEN(L271),MID(L271,5,1)=".",ISNUMBER(FIND("x"&amp;MID(L271,5,1),"x0x1x2x3x4x5x6x7x8x9"))),OR(6&gt;LEN(L271),MID(L271,6,1)=".",ISNUMBER(FIND("x"&amp;MID(L271,6,1),"x0x1x2x3x4x5x6x7x8x9"))),OR(7&gt;LEN(L271),MID(L271,7,1)=".",ISNUMBER(FIND("x"&amp;MID(L271,7,1),"x0x1x2x3x4x5x6x7x8x9"))),OR(8&gt;LEN(L271),MID(L271,8,1)=".",ISNUMBER(FIND("x"&amp;MID(L271,8,1),"x0x1x2x3x4x5x6x7x8x9"))),OR(9&gt;LEN(L271),MID(L271,9,1)=".",ISNUMBER(FIND("x"&amp;MID(L271,9,1),"x0x1x2x3x4x5x6x7x8x9"))),OR(10&gt;LEN(L271),MID(L271,10,1)=".",ISNUMBER(FIND("x"&amp;MID(L271,10,1),"x0x1x2x3x4x5x6x7x8x9"))),OR(AND(FIND(".",L271)=5,LEN(L271)-FIND(".",L271,FIND(".",L271)+1)&gt;=1,LEN(L271)-FIND(".",L271,FIND(".",L271)+1)&lt;=2),AND(LEN(L271)-FIND(".",L271,FIND(".",L271)+1)=4,FIND(".",L271)&gt;=2,FIND(".",L271)&lt;=3)),FIND(".",L271,FIND(".",L271)+1)-FIND(".",L271)&gt;=2,FIND(".",L271,FIND(".",L271)+1)-FIND(".",L271)&lt;=3,P271&gt;=2000,P271&lt;=2100,YEAR(S271)=P271,MONTH(S271)=Q271,DAY(S271)=R271),S271,0)),0)</ns0:f>
        <ns0:v>0</ns0:v>
      </ns0:c>
      <ns0:c r="U271" s="0" t="str">
        <ns0:f>IF(Bookings!C271="","Full day",Bookings!C271)</ns0:f>
        <ns0:v>Full day</ns0:v>
      </ns0:c>
      <ns0:c r="V271" s="0" t="str">
        <ns0:f>IF(Bookings!E271="","Full day",Bookings!E271)</ns0:f>
        <ns0:v>Full day</ns0:v>
      </ns0:c>
      <ns0:c r="W271" s="0">
        <ns0:f>IF(J271=0,0,J271+IF(U271="PM",1,0))</ns0:f>
        <ns0:v>0</ns0:v>
      </ns0:c>
      <ns0:c r="X271" s="0">
        <ns0:f>IF(T271=0,0,T271-IF(V271="PM",1,0))</ns0:f>
        <ns0:v>0</ns0:v>
      </ns0:c>
      <ns0:c r="Y271" s="0">
        <ns0:f>IF(J271=0,0,J271+IF(U271="AM",1,0))</ns0:f>
        <ns0:v>0</ns0:v>
      </ns0:c>
      <ns0:c r="Z271" s="0">
        <ns0:f>IF(T271=0,0,T271-IF(V271="AM",1,0))</ns0:f>
        <ns0:v>0</ns0:v>
      </ns0:c>
      <ns0:c r="AA271" s="0">
        <ns0:f>IFERROR(IF(AND(J271&gt;0,'_Engine'!C271&gt;0,MID('_Engine'!W271,WEEKDAY(J271,2),1)="W",COUNTIF(Settings!$F$18:$F$67,J271)=0),1,0),0)</ns0:f>
        <ns0:v>0</ns0:v>
      </ns0:c>
      <ns0:c r="AB271" s="0">
        <ns0:f>IFERROR(IF(AND(T271&gt;0,'_Engine'!C271&gt;0,MID('_Engine'!W271,WEEKDAY(T271,2),1)="W",COUNTIF(Settings!$F$18:$F$67,T271)=0),1,0),0)</ns0:f>
        <ns0:v>0</ns0:v>
      </ns0:c>
      <ns0:c r="AC271" s="0">
        <ns0:f>IF(AND(J271&gt;0,T271&gt;0,W271&lt;=X271),1,0)</ns0:f>
        <ns0:v>0</ns0:v>
      </ns0:c>
      <ns0:c r="AD271" s="0">
        <ns0:f>IF(AND(J271&gt;0,T271&gt;0,Y271&lt;=Z271),1,0)</ns0:f>
        <ns0:v>0</ns0:v>
      </ns0:c>
    </ns0:row>
    <ns0:row r="272">
      <ns0:c r="A272" s="0">
        <ns0:f>IFERROR(IF(ISNUMBER(Bookings!B272),"",TRIM(Bookings!B272&amp;"")),"")</ns0:f>
      </ns0:c>
      <ns0:c r="B272" s="0">
        <ns0:f>IFERROR(SUBSTITUTE(SUBSTITUTE(A272,"/","."),"-","."),"")</ns0:f>
      </ns0:c>
      <ns0:c r="C272" s="0">
        <ns0:f>IFERROR(LEFT(B272,FIND(".",B272)-1),"")</ns0:f>
      </ns0:c>
      <ns0:c r="D272" s="0">
        <ns0:f>IFERROR(MID(B272,FIND(".",B272)+1,FIND(".",B272,FIND(".",B272)+1)-FIND(".",B272)-1),"")</ns0:f>
      </ns0:c>
      <ns0:c r="E272" s="0">
        <ns0:f>IFERROR(MID(B272,FIND(".",B272,FIND(".",B272)+1)+1,99),"")</ns0:f>
        <ns0:v>99</ns0:v>
      </ns0:c>
      <ns0:c r="F272" s="0">
        <ns0:f>IFERROR(IF(FIND(".",B272)=5,--C272,--E272),0)</ns0:f>
        <ns0:v>0</ns0:v>
      </ns0:c>
      <ns0:c r="G272" s="0">
        <ns0:f>IFERROR(--D272,0)</ns0:f>
        <ns0:v>0</ns0:v>
      </ns0:c>
      <ns0:c r="H272" s="0">
        <ns0:f>IFERROR(IF(FIND(".",B272)=5,--E272,--C272),0)</ns0:f>
        <ns0:v>0</ns0:v>
      </ns0:c>
      <ns0:c r="I272" s="0">
        <ns0:f>IFERROR(IF(AND(F272&gt;=2000,F272&lt;=2100,G272&gt;=1,G272&lt;=12,H272&gt;=1,H272&lt;=31),DATE(F272,G272,H272),0),0)</ns0:f>
        <ns0:v>0</ns0:v>
      </ns0:c>
      <ns0:c r="J272" s="0">
        <ns0:f>IFERROR(IF(ISNUMBER(Bookings!B272),IF(AND(Bookings!B272=INT(Bookings!B272),Bookings!B272&gt;=DATE(2000,1,1),Bookings!B272&lt;=DATE(2100,12,31)),Bookings!B272,0),IF(AND(A272&lt;&gt;"",LEN("x"&amp;B272)-LEN(SUBSTITUTE("x"&amp;B272,".",""))=2,OR(1&gt;LEN(B272),MID(B272,1,1)=".",ISNUMBER(FIND("x"&amp;MID(B272,1,1),"x0x1x2x3x4x5x6x7x8x9"))),OR(2&gt;LEN(B272),MID(B272,2,1)=".",ISNUMBER(FIND("x"&amp;MID(B272,2,1),"x0x1x2x3x4x5x6x7x8x9"))),OR(3&gt;LEN(B272),MID(B272,3,1)=".",ISNUMBER(FIND("x"&amp;MID(B272,3,1),"x0x1x2x3x4x5x6x7x8x9"))),OR(4&gt;LEN(B272),MID(B272,4,1)=".",ISNUMBER(FIND("x"&amp;MID(B272,4,1),"x0x1x2x3x4x5x6x7x8x9"))),OR(5&gt;LEN(B272),MID(B272,5,1)=".",ISNUMBER(FIND("x"&amp;MID(B272,5,1),"x0x1x2x3x4x5x6x7x8x9"))),OR(6&gt;LEN(B272),MID(B272,6,1)=".",ISNUMBER(FIND("x"&amp;MID(B272,6,1),"x0x1x2x3x4x5x6x7x8x9"))),OR(7&gt;LEN(B272),MID(B272,7,1)=".",ISNUMBER(FIND("x"&amp;MID(B272,7,1),"x0x1x2x3x4x5x6x7x8x9"))),OR(8&gt;LEN(B272),MID(B272,8,1)=".",ISNUMBER(FIND("x"&amp;MID(B272,8,1),"x0x1x2x3x4x5x6x7x8x9"))),OR(9&gt;LEN(B272),MID(B272,9,1)=".",ISNUMBER(FIND("x"&amp;MID(B272,9,1),"x0x1x2x3x4x5x6x7x8x9"))),OR(10&gt;LEN(B272),MID(B272,10,1)=".",ISNUMBER(FIND("x"&amp;MID(B272,10,1),"x0x1x2x3x4x5x6x7x8x9"))),OR(AND(FIND(".",B272)=5,LEN(B272)-FIND(".",B272,FIND(".",B272)+1)&gt;=1,LEN(B272)-FIND(".",B272,FIND(".",B272)+1)&lt;=2),AND(LEN(B272)-FIND(".",B272,FIND(".",B272)+1)=4,FIND(".",B272)&gt;=2,FIND(".",B272)&lt;=3)),FIND(".",B272,FIND(".",B272)+1)-FIND(".",B272)&gt;=2,FIND(".",B272,FIND(".",B272)+1)-FIND(".",B272)&lt;=3,F272&gt;=2000,F272&lt;=2100,YEAR(I272)=F272,MONTH(I272)=G272,DAY(I272)=H272),I272,0)),0)</ns0:f>
        <ns0:v>0</ns0:v>
      </ns0:c>
      <ns0:c r="K272" s="0">
        <ns0:f>IFERROR(IF(ISNUMBER(Bookings!D272),"",TRIM(Bookings!D272&amp;"")),"")</ns0:f>
      </ns0:c>
      <ns0:c r="L272" s="0">
        <ns0:f>IFERROR(SUBSTITUTE(SUBSTITUTE(K272,"/","."),"-","."),"")</ns0:f>
      </ns0:c>
      <ns0:c r="M272" s="0">
        <ns0:f>IFERROR(LEFT(L272,FIND(".",L272)-1),"")</ns0:f>
      </ns0:c>
      <ns0:c r="N272" s="0">
        <ns0:f>IFERROR(MID(L272,FIND(".",L272)+1,FIND(".",L272,FIND(".",L272)+1)-FIND(".",L272)-1),"")</ns0:f>
      </ns0:c>
      <ns0:c r="O272" s="0">
        <ns0:f>IFERROR(MID(L272,FIND(".",L272,FIND(".",L272)+1)+1,99),"")</ns0:f>
        <ns0:v>99</ns0:v>
      </ns0:c>
      <ns0:c r="P272" s="0">
        <ns0:f>IFERROR(IF(FIND(".",L272)=5,--M272,--O272),0)</ns0:f>
        <ns0:v>0</ns0:v>
      </ns0:c>
      <ns0:c r="Q272" s="0">
        <ns0:f>IFERROR(--N272,0)</ns0:f>
        <ns0:v>0</ns0:v>
      </ns0:c>
      <ns0:c r="R272" s="0">
        <ns0:f>IFERROR(IF(FIND(".",L272)=5,--O272,--M272),0)</ns0:f>
        <ns0:v>0</ns0:v>
      </ns0:c>
      <ns0:c r="S272" s="0">
        <ns0:f>IFERROR(IF(AND(P272&gt;=2000,P272&lt;=2100,Q272&gt;=1,Q272&lt;=12,R272&gt;=1,R272&lt;=31),DATE(P272,Q272,R272),0),0)</ns0:f>
        <ns0:v>0</ns0:v>
      </ns0:c>
      <ns0:c r="T272" s="0">
        <ns0:f>IFERROR(IF(ISNUMBER(Bookings!D272),IF(AND(Bookings!D272=INT(Bookings!D272),Bookings!D272&gt;=DATE(2000,1,1),Bookings!D272&lt;=DATE(2100,12,31)),Bookings!D272,0),IF(AND(K272&lt;&gt;"",LEN("x"&amp;L272)-LEN(SUBSTITUTE("x"&amp;L272,".",""))=2,OR(1&gt;LEN(L272),MID(L272,1,1)=".",ISNUMBER(FIND("x"&amp;MID(L272,1,1),"x0x1x2x3x4x5x6x7x8x9"))),OR(2&gt;LEN(L272),MID(L272,2,1)=".",ISNUMBER(FIND("x"&amp;MID(L272,2,1),"x0x1x2x3x4x5x6x7x8x9"))),OR(3&gt;LEN(L272),MID(L272,3,1)=".",ISNUMBER(FIND("x"&amp;MID(L272,3,1),"x0x1x2x3x4x5x6x7x8x9"))),OR(4&gt;LEN(L272),MID(L272,4,1)=".",ISNUMBER(FIND("x"&amp;MID(L272,4,1),"x0x1x2x3x4x5x6x7x8x9"))),OR(5&gt;LEN(L272),MID(L272,5,1)=".",ISNUMBER(FIND("x"&amp;MID(L272,5,1),"x0x1x2x3x4x5x6x7x8x9"))),OR(6&gt;LEN(L272),MID(L272,6,1)=".",ISNUMBER(FIND("x"&amp;MID(L272,6,1),"x0x1x2x3x4x5x6x7x8x9"))),OR(7&gt;LEN(L272),MID(L272,7,1)=".",ISNUMBER(FIND("x"&amp;MID(L272,7,1),"x0x1x2x3x4x5x6x7x8x9"))),OR(8&gt;LEN(L272),MID(L272,8,1)=".",ISNUMBER(FIND("x"&amp;MID(L272,8,1),"x0x1x2x3x4x5x6x7x8x9"))),OR(9&gt;LEN(L272),MID(L272,9,1)=".",ISNUMBER(FIND("x"&amp;MID(L272,9,1),"x0x1x2x3x4x5x6x7x8x9"))),OR(10&gt;LEN(L272),MID(L272,10,1)=".",ISNUMBER(FIND("x"&amp;MID(L272,10,1),"x0x1x2x3x4x5x6x7x8x9"))),OR(AND(FIND(".",L272)=5,LEN(L272)-FIND(".",L272,FIND(".",L272)+1)&gt;=1,LEN(L272)-FIND(".",L272,FIND(".",L272)+1)&lt;=2),AND(LEN(L272)-FIND(".",L272,FIND(".",L272)+1)=4,FIND(".",L272)&gt;=2,FIND(".",L272)&lt;=3)),FIND(".",L272,FIND(".",L272)+1)-FIND(".",L272)&gt;=2,FIND(".",L272,FIND(".",L272)+1)-FIND(".",L272)&lt;=3,P272&gt;=2000,P272&lt;=2100,YEAR(S272)=P272,MONTH(S272)=Q272,DAY(S272)=R272),S272,0)),0)</ns0:f>
        <ns0:v>0</ns0:v>
      </ns0:c>
      <ns0:c r="U272" s="0" t="str">
        <ns0:f>IF(Bookings!C272="","Full day",Bookings!C272)</ns0:f>
        <ns0:v>Full day</ns0:v>
      </ns0:c>
      <ns0:c r="V272" s="0" t="str">
        <ns0:f>IF(Bookings!E272="","Full day",Bookings!E272)</ns0:f>
        <ns0:v>Full day</ns0:v>
      </ns0:c>
      <ns0:c r="W272" s="0">
        <ns0:f>IF(J272=0,0,J272+IF(U272="PM",1,0))</ns0:f>
        <ns0:v>0</ns0:v>
      </ns0:c>
      <ns0:c r="X272" s="0">
        <ns0:f>IF(T272=0,0,T272-IF(V272="PM",1,0))</ns0:f>
        <ns0:v>0</ns0:v>
      </ns0:c>
      <ns0:c r="Y272" s="0">
        <ns0:f>IF(J272=0,0,J272+IF(U272="AM",1,0))</ns0:f>
        <ns0:v>0</ns0:v>
      </ns0:c>
      <ns0:c r="Z272" s="0">
        <ns0:f>IF(T272=0,0,T272-IF(V272="AM",1,0))</ns0:f>
        <ns0:v>0</ns0:v>
      </ns0:c>
      <ns0:c r="AA272" s="0">
        <ns0:f>IFERROR(IF(AND(J272&gt;0,'_Engine'!C272&gt;0,MID('_Engine'!W272,WEEKDAY(J272,2),1)="W",COUNTIF(Settings!$F$18:$F$67,J272)=0),1,0),0)</ns0:f>
        <ns0:v>0</ns0:v>
      </ns0:c>
      <ns0:c r="AB272" s="0">
        <ns0:f>IFERROR(IF(AND(T272&gt;0,'_Engine'!C272&gt;0,MID('_Engine'!W272,WEEKDAY(T272,2),1)="W",COUNTIF(Settings!$F$18:$F$67,T272)=0),1,0),0)</ns0:f>
        <ns0:v>0</ns0:v>
      </ns0:c>
      <ns0:c r="AC272" s="0">
        <ns0:f>IF(AND(J272&gt;0,T272&gt;0,W272&lt;=X272),1,0)</ns0:f>
        <ns0:v>0</ns0:v>
      </ns0:c>
      <ns0:c r="AD272" s="0">
        <ns0:f>IF(AND(J272&gt;0,T272&gt;0,Y272&lt;=Z272),1,0)</ns0:f>
        <ns0:v>0</ns0:v>
      </ns0:c>
    </ns0:row>
    <ns0:row r="273">
      <ns0:c r="A273" s="0">
        <ns0:f>IFERROR(IF(ISNUMBER(Bookings!B273),"",TRIM(Bookings!B273&amp;"")),"")</ns0:f>
      </ns0:c>
      <ns0:c r="B273" s="0">
        <ns0:f>IFERROR(SUBSTITUTE(SUBSTITUTE(A273,"/","."),"-","."),"")</ns0:f>
      </ns0:c>
      <ns0:c r="C273" s="0">
        <ns0:f>IFERROR(LEFT(B273,FIND(".",B273)-1),"")</ns0:f>
      </ns0:c>
      <ns0:c r="D273" s="0">
        <ns0:f>IFERROR(MID(B273,FIND(".",B273)+1,FIND(".",B273,FIND(".",B273)+1)-FIND(".",B273)-1),"")</ns0:f>
      </ns0:c>
      <ns0:c r="E273" s="0">
        <ns0:f>IFERROR(MID(B273,FIND(".",B273,FIND(".",B273)+1)+1,99),"")</ns0:f>
        <ns0:v>99</ns0:v>
      </ns0:c>
      <ns0:c r="F273" s="0">
        <ns0:f>IFERROR(IF(FIND(".",B273)=5,--C273,--E273),0)</ns0:f>
        <ns0:v>0</ns0:v>
      </ns0:c>
      <ns0:c r="G273" s="0">
        <ns0:f>IFERROR(--D273,0)</ns0:f>
        <ns0:v>0</ns0:v>
      </ns0:c>
      <ns0:c r="H273" s="0">
        <ns0:f>IFERROR(IF(FIND(".",B273)=5,--E273,--C273),0)</ns0:f>
        <ns0:v>0</ns0:v>
      </ns0:c>
      <ns0:c r="I273" s="0">
        <ns0:f>IFERROR(IF(AND(F273&gt;=2000,F273&lt;=2100,G273&gt;=1,G273&lt;=12,H273&gt;=1,H273&lt;=31),DATE(F273,G273,H273),0),0)</ns0:f>
        <ns0:v>0</ns0:v>
      </ns0:c>
      <ns0:c r="J273" s="0">
        <ns0:f>IFERROR(IF(ISNUMBER(Bookings!B273),IF(AND(Bookings!B273=INT(Bookings!B273),Bookings!B273&gt;=DATE(2000,1,1),Bookings!B273&lt;=DATE(2100,12,31)),Bookings!B273,0),IF(AND(A273&lt;&gt;"",LEN("x"&amp;B273)-LEN(SUBSTITUTE("x"&amp;B273,".",""))=2,OR(1&gt;LEN(B273),MID(B273,1,1)=".",ISNUMBER(FIND("x"&amp;MID(B273,1,1),"x0x1x2x3x4x5x6x7x8x9"))),OR(2&gt;LEN(B273),MID(B273,2,1)=".",ISNUMBER(FIND("x"&amp;MID(B273,2,1),"x0x1x2x3x4x5x6x7x8x9"))),OR(3&gt;LEN(B273),MID(B273,3,1)=".",ISNUMBER(FIND("x"&amp;MID(B273,3,1),"x0x1x2x3x4x5x6x7x8x9"))),OR(4&gt;LEN(B273),MID(B273,4,1)=".",ISNUMBER(FIND("x"&amp;MID(B273,4,1),"x0x1x2x3x4x5x6x7x8x9"))),OR(5&gt;LEN(B273),MID(B273,5,1)=".",ISNUMBER(FIND("x"&amp;MID(B273,5,1),"x0x1x2x3x4x5x6x7x8x9"))),OR(6&gt;LEN(B273),MID(B273,6,1)=".",ISNUMBER(FIND("x"&amp;MID(B273,6,1),"x0x1x2x3x4x5x6x7x8x9"))),OR(7&gt;LEN(B273),MID(B273,7,1)=".",ISNUMBER(FIND("x"&amp;MID(B273,7,1),"x0x1x2x3x4x5x6x7x8x9"))),OR(8&gt;LEN(B273),MID(B273,8,1)=".",ISNUMBER(FIND("x"&amp;MID(B273,8,1),"x0x1x2x3x4x5x6x7x8x9"))),OR(9&gt;LEN(B273),MID(B273,9,1)=".",ISNUMBER(FIND("x"&amp;MID(B273,9,1),"x0x1x2x3x4x5x6x7x8x9"))),OR(10&gt;LEN(B273),MID(B273,10,1)=".",ISNUMBER(FIND("x"&amp;MID(B273,10,1),"x0x1x2x3x4x5x6x7x8x9"))),OR(AND(FIND(".",B273)=5,LEN(B273)-FIND(".",B273,FIND(".",B273)+1)&gt;=1,LEN(B273)-FIND(".",B273,FIND(".",B273)+1)&lt;=2),AND(LEN(B273)-FIND(".",B273,FIND(".",B273)+1)=4,FIND(".",B273)&gt;=2,FIND(".",B273)&lt;=3)),FIND(".",B273,FIND(".",B273)+1)-FIND(".",B273)&gt;=2,FIND(".",B273,FIND(".",B273)+1)-FIND(".",B273)&lt;=3,F273&gt;=2000,F273&lt;=2100,YEAR(I273)=F273,MONTH(I273)=G273,DAY(I273)=H273),I273,0)),0)</ns0:f>
        <ns0:v>0</ns0:v>
      </ns0:c>
      <ns0:c r="K273" s="0">
        <ns0:f>IFERROR(IF(ISNUMBER(Bookings!D273),"",TRIM(Bookings!D273&amp;"")),"")</ns0:f>
      </ns0:c>
      <ns0:c r="L273" s="0">
        <ns0:f>IFERROR(SUBSTITUTE(SUBSTITUTE(K273,"/","."),"-","."),"")</ns0:f>
      </ns0:c>
      <ns0:c r="M273" s="0">
        <ns0:f>IFERROR(LEFT(L273,FIND(".",L273)-1),"")</ns0:f>
      </ns0:c>
      <ns0:c r="N273" s="0">
        <ns0:f>IFERROR(MID(L273,FIND(".",L273)+1,FIND(".",L273,FIND(".",L273)+1)-FIND(".",L273)-1),"")</ns0:f>
      </ns0:c>
      <ns0:c r="O273" s="0">
        <ns0:f>IFERROR(MID(L273,FIND(".",L273,FIND(".",L273)+1)+1,99),"")</ns0:f>
        <ns0:v>99</ns0:v>
      </ns0:c>
      <ns0:c r="P273" s="0">
        <ns0:f>IFERROR(IF(FIND(".",L273)=5,--M273,--O273),0)</ns0:f>
        <ns0:v>0</ns0:v>
      </ns0:c>
      <ns0:c r="Q273" s="0">
        <ns0:f>IFERROR(--N273,0)</ns0:f>
        <ns0:v>0</ns0:v>
      </ns0:c>
      <ns0:c r="R273" s="0">
        <ns0:f>IFERROR(IF(FIND(".",L273)=5,--O273,--M273),0)</ns0:f>
        <ns0:v>0</ns0:v>
      </ns0:c>
      <ns0:c r="S273" s="0">
        <ns0:f>IFERROR(IF(AND(P273&gt;=2000,P273&lt;=2100,Q273&gt;=1,Q273&lt;=12,R273&gt;=1,R273&lt;=31),DATE(P273,Q273,R273),0),0)</ns0:f>
        <ns0:v>0</ns0:v>
      </ns0:c>
      <ns0:c r="T273" s="0">
        <ns0:f>IFERROR(IF(ISNUMBER(Bookings!D273),IF(AND(Bookings!D273=INT(Bookings!D273),Bookings!D273&gt;=DATE(2000,1,1),Bookings!D273&lt;=DATE(2100,12,31)),Bookings!D273,0),IF(AND(K273&lt;&gt;"",LEN("x"&amp;L273)-LEN(SUBSTITUTE("x"&amp;L273,".",""))=2,OR(1&gt;LEN(L273),MID(L273,1,1)=".",ISNUMBER(FIND("x"&amp;MID(L273,1,1),"x0x1x2x3x4x5x6x7x8x9"))),OR(2&gt;LEN(L273),MID(L273,2,1)=".",ISNUMBER(FIND("x"&amp;MID(L273,2,1),"x0x1x2x3x4x5x6x7x8x9"))),OR(3&gt;LEN(L273),MID(L273,3,1)=".",ISNUMBER(FIND("x"&amp;MID(L273,3,1),"x0x1x2x3x4x5x6x7x8x9"))),OR(4&gt;LEN(L273),MID(L273,4,1)=".",ISNUMBER(FIND("x"&amp;MID(L273,4,1),"x0x1x2x3x4x5x6x7x8x9"))),OR(5&gt;LEN(L273),MID(L273,5,1)=".",ISNUMBER(FIND("x"&amp;MID(L273,5,1),"x0x1x2x3x4x5x6x7x8x9"))),OR(6&gt;LEN(L273),MID(L273,6,1)=".",ISNUMBER(FIND("x"&amp;MID(L273,6,1),"x0x1x2x3x4x5x6x7x8x9"))),OR(7&gt;LEN(L273),MID(L273,7,1)=".",ISNUMBER(FIND("x"&amp;MID(L273,7,1),"x0x1x2x3x4x5x6x7x8x9"))),OR(8&gt;LEN(L273),MID(L273,8,1)=".",ISNUMBER(FIND("x"&amp;MID(L273,8,1),"x0x1x2x3x4x5x6x7x8x9"))),OR(9&gt;LEN(L273),MID(L273,9,1)=".",ISNUMBER(FIND("x"&amp;MID(L273,9,1),"x0x1x2x3x4x5x6x7x8x9"))),OR(10&gt;LEN(L273),MID(L273,10,1)=".",ISNUMBER(FIND("x"&amp;MID(L273,10,1),"x0x1x2x3x4x5x6x7x8x9"))),OR(AND(FIND(".",L273)=5,LEN(L273)-FIND(".",L273,FIND(".",L273)+1)&gt;=1,LEN(L273)-FIND(".",L273,FIND(".",L273)+1)&lt;=2),AND(LEN(L273)-FIND(".",L273,FIND(".",L273)+1)=4,FIND(".",L273)&gt;=2,FIND(".",L273)&lt;=3)),FIND(".",L273,FIND(".",L273)+1)-FIND(".",L273)&gt;=2,FIND(".",L273,FIND(".",L273)+1)-FIND(".",L273)&lt;=3,P273&gt;=2000,P273&lt;=2100,YEAR(S273)=P273,MONTH(S273)=Q273,DAY(S273)=R273),S273,0)),0)</ns0:f>
        <ns0:v>0</ns0:v>
      </ns0:c>
      <ns0:c r="U273" s="0" t="str">
        <ns0:f>IF(Bookings!C273="","Full day",Bookings!C273)</ns0:f>
        <ns0:v>Full day</ns0:v>
      </ns0:c>
      <ns0:c r="V273" s="0" t="str">
        <ns0:f>IF(Bookings!E273="","Full day",Bookings!E273)</ns0:f>
        <ns0:v>Full day</ns0:v>
      </ns0:c>
      <ns0:c r="W273" s="0">
        <ns0:f>IF(J273=0,0,J273+IF(U273="PM",1,0))</ns0:f>
        <ns0:v>0</ns0:v>
      </ns0:c>
      <ns0:c r="X273" s="0">
        <ns0:f>IF(T273=0,0,T273-IF(V273="PM",1,0))</ns0:f>
        <ns0:v>0</ns0:v>
      </ns0:c>
      <ns0:c r="Y273" s="0">
        <ns0:f>IF(J273=0,0,J273+IF(U273="AM",1,0))</ns0:f>
        <ns0:v>0</ns0:v>
      </ns0:c>
      <ns0:c r="Z273" s="0">
        <ns0:f>IF(T273=0,0,T273-IF(V273="AM",1,0))</ns0:f>
        <ns0:v>0</ns0:v>
      </ns0:c>
      <ns0:c r="AA273" s="0">
        <ns0:f>IFERROR(IF(AND(J273&gt;0,'_Engine'!C273&gt;0,MID('_Engine'!W273,WEEKDAY(J273,2),1)="W",COUNTIF(Settings!$F$18:$F$67,J273)=0),1,0),0)</ns0:f>
        <ns0:v>0</ns0:v>
      </ns0:c>
      <ns0:c r="AB273" s="0">
        <ns0:f>IFERROR(IF(AND(T273&gt;0,'_Engine'!C273&gt;0,MID('_Engine'!W273,WEEKDAY(T273,2),1)="W",COUNTIF(Settings!$F$18:$F$67,T273)=0),1,0),0)</ns0:f>
        <ns0:v>0</ns0:v>
      </ns0:c>
      <ns0:c r="AC273" s="0">
        <ns0:f>IF(AND(J273&gt;0,T273&gt;0,W273&lt;=X273),1,0)</ns0:f>
        <ns0:v>0</ns0:v>
      </ns0:c>
      <ns0:c r="AD273" s="0">
        <ns0:f>IF(AND(J273&gt;0,T273&gt;0,Y273&lt;=Z273),1,0)</ns0:f>
        <ns0:v>0</ns0:v>
      </ns0:c>
    </ns0:row>
    <ns0:row r="274">
      <ns0:c r="A274" s="0">
        <ns0:f>IFERROR(IF(ISNUMBER(Bookings!B274),"",TRIM(Bookings!B274&amp;"")),"")</ns0:f>
      </ns0:c>
      <ns0:c r="B274" s="0">
        <ns0:f>IFERROR(SUBSTITUTE(SUBSTITUTE(A274,"/","."),"-","."),"")</ns0:f>
      </ns0:c>
      <ns0:c r="C274" s="0">
        <ns0:f>IFERROR(LEFT(B274,FIND(".",B274)-1),"")</ns0:f>
      </ns0:c>
      <ns0:c r="D274" s="0">
        <ns0:f>IFERROR(MID(B274,FIND(".",B274)+1,FIND(".",B274,FIND(".",B274)+1)-FIND(".",B274)-1),"")</ns0:f>
      </ns0:c>
      <ns0:c r="E274" s="0">
        <ns0:f>IFERROR(MID(B274,FIND(".",B274,FIND(".",B274)+1)+1,99),"")</ns0:f>
        <ns0:v>99</ns0:v>
      </ns0:c>
      <ns0:c r="F274" s="0">
        <ns0:f>IFERROR(IF(FIND(".",B274)=5,--C274,--E274),0)</ns0:f>
        <ns0:v>0</ns0:v>
      </ns0:c>
      <ns0:c r="G274" s="0">
        <ns0:f>IFERROR(--D274,0)</ns0:f>
        <ns0:v>0</ns0:v>
      </ns0:c>
      <ns0:c r="H274" s="0">
        <ns0:f>IFERROR(IF(FIND(".",B274)=5,--E274,--C274),0)</ns0:f>
        <ns0:v>0</ns0:v>
      </ns0:c>
      <ns0:c r="I274" s="0">
        <ns0:f>IFERROR(IF(AND(F274&gt;=2000,F274&lt;=2100,G274&gt;=1,G274&lt;=12,H274&gt;=1,H274&lt;=31),DATE(F274,G274,H274),0),0)</ns0:f>
        <ns0:v>0</ns0:v>
      </ns0:c>
      <ns0:c r="J274" s="0">
        <ns0:f>IFERROR(IF(ISNUMBER(Bookings!B274),IF(AND(Bookings!B274=INT(Bookings!B274),Bookings!B274&gt;=DATE(2000,1,1),Bookings!B274&lt;=DATE(2100,12,31)),Bookings!B274,0),IF(AND(A274&lt;&gt;"",LEN("x"&amp;B274)-LEN(SUBSTITUTE("x"&amp;B274,".",""))=2,OR(1&gt;LEN(B274),MID(B274,1,1)=".",ISNUMBER(FIND("x"&amp;MID(B274,1,1),"x0x1x2x3x4x5x6x7x8x9"))),OR(2&gt;LEN(B274),MID(B274,2,1)=".",ISNUMBER(FIND("x"&amp;MID(B274,2,1),"x0x1x2x3x4x5x6x7x8x9"))),OR(3&gt;LEN(B274),MID(B274,3,1)=".",ISNUMBER(FIND("x"&amp;MID(B274,3,1),"x0x1x2x3x4x5x6x7x8x9"))),OR(4&gt;LEN(B274),MID(B274,4,1)=".",ISNUMBER(FIND("x"&amp;MID(B274,4,1),"x0x1x2x3x4x5x6x7x8x9"))),OR(5&gt;LEN(B274),MID(B274,5,1)=".",ISNUMBER(FIND("x"&amp;MID(B274,5,1),"x0x1x2x3x4x5x6x7x8x9"))),OR(6&gt;LEN(B274),MID(B274,6,1)=".",ISNUMBER(FIND("x"&amp;MID(B274,6,1),"x0x1x2x3x4x5x6x7x8x9"))),OR(7&gt;LEN(B274),MID(B274,7,1)=".",ISNUMBER(FIND("x"&amp;MID(B274,7,1),"x0x1x2x3x4x5x6x7x8x9"))),OR(8&gt;LEN(B274),MID(B274,8,1)=".",ISNUMBER(FIND("x"&amp;MID(B274,8,1),"x0x1x2x3x4x5x6x7x8x9"))),OR(9&gt;LEN(B274),MID(B274,9,1)=".",ISNUMBER(FIND("x"&amp;MID(B274,9,1),"x0x1x2x3x4x5x6x7x8x9"))),OR(10&gt;LEN(B274),MID(B274,10,1)=".",ISNUMBER(FIND("x"&amp;MID(B274,10,1),"x0x1x2x3x4x5x6x7x8x9"))),OR(AND(FIND(".",B274)=5,LEN(B274)-FIND(".",B274,FIND(".",B274)+1)&gt;=1,LEN(B274)-FIND(".",B274,FIND(".",B274)+1)&lt;=2),AND(LEN(B274)-FIND(".",B274,FIND(".",B274)+1)=4,FIND(".",B274)&gt;=2,FIND(".",B274)&lt;=3)),FIND(".",B274,FIND(".",B274)+1)-FIND(".",B274)&gt;=2,FIND(".",B274,FIND(".",B274)+1)-FIND(".",B274)&lt;=3,F274&gt;=2000,F274&lt;=2100,YEAR(I274)=F274,MONTH(I274)=G274,DAY(I274)=H274),I274,0)),0)</ns0:f>
        <ns0:v>0</ns0:v>
      </ns0:c>
      <ns0:c r="K274" s="0">
        <ns0:f>IFERROR(IF(ISNUMBER(Bookings!D274),"",TRIM(Bookings!D274&amp;"")),"")</ns0:f>
      </ns0:c>
      <ns0:c r="L274" s="0">
        <ns0:f>IFERROR(SUBSTITUTE(SUBSTITUTE(K274,"/","."),"-","."),"")</ns0:f>
      </ns0:c>
      <ns0:c r="M274" s="0">
        <ns0:f>IFERROR(LEFT(L274,FIND(".",L274)-1),"")</ns0:f>
      </ns0:c>
      <ns0:c r="N274" s="0">
        <ns0:f>IFERROR(MID(L274,FIND(".",L274)+1,FIND(".",L274,FIND(".",L274)+1)-FIND(".",L274)-1),"")</ns0:f>
      </ns0:c>
      <ns0:c r="O274" s="0">
        <ns0:f>IFERROR(MID(L274,FIND(".",L274,FIND(".",L274)+1)+1,99),"")</ns0:f>
        <ns0:v>99</ns0:v>
      </ns0:c>
      <ns0:c r="P274" s="0">
        <ns0:f>IFERROR(IF(FIND(".",L274)=5,--M274,--O274),0)</ns0:f>
        <ns0:v>0</ns0:v>
      </ns0:c>
      <ns0:c r="Q274" s="0">
        <ns0:f>IFERROR(--N274,0)</ns0:f>
        <ns0:v>0</ns0:v>
      </ns0:c>
      <ns0:c r="R274" s="0">
        <ns0:f>IFERROR(IF(FIND(".",L274)=5,--O274,--M274),0)</ns0:f>
        <ns0:v>0</ns0:v>
      </ns0:c>
      <ns0:c r="S274" s="0">
        <ns0:f>IFERROR(IF(AND(P274&gt;=2000,P274&lt;=2100,Q274&gt;=1,Q274&lt;=12,R274&gt;=1,R274&lt;=31),DATE(P274,Q274,R274),0),0)</ns0:f>
        <ns0:v>0</ns0:v>
      </ns0:c>
      <ns0:c r="T274" s="0">
        <ns0:f>IFERROR(IF(ISNUMBER(Bookings!D274),IF(AND(Bookings!D274=INT(Bookings!D274),Bookings!D274&gt;=DATE(2000,1,1),Bookings!D274&lt;=DATE(2100,12,31)),Bookings!D274,0),IF(AND(K274&lt;&gt;"",LEN("x"&amp;L274)-LEN(SUBSTITUTE("x"&amp;L274,".",""))=2,OR(1&gt;LEN(L274),MID(L274,1,1)=".",ISNUMBER(FIND("x"&amp;MID(L274,1,1),"x0x1x2x3x4x5x6x7x8x9"))),OR(2&gt;LEN(L274),MID(L274,2,1)=".",ISNUMBER(FIND("x"&amp;MID(L274,2,1),"x0x1x2x3x4x5x6x7x8x9"))),OR(3&gt;LEN(L274),MID(L274,3,1)=".",ISNUMBER(FIND("x"&amp;MID(L274,3,1),"x0x1x2x3x4x5x6x7x8x9"))),OR(4&gt;LEN(L274),MID(L274,4,1)=".",ISNUMBER(FIND("x"&amp;MID(L274,4,1),"x0x1x2x3x4x5x6x7x8x9"))),OR(5&gt;LEN(L274),MID(L274,5,1)=".",ISNUMBER(FIND("x"&amp;MID(L274,5,1),"x0x1x2x3x4x5x6x7x8x9"))),OR(6&gt;LEN(L274),MID(L274,6,1)=".",ISNUMBER(FIND("x"&amp;MID(L274,6,1),"x0x1x2x3x4x5x6x7x8x9"))),OR(7&gt;LEN(L274),MID(L274,7,1)=".",ISNUMBER(FIND("x"&amp;MID(L274,7,1),"x0x1x2x3x4x5x6x7x8x9"))),OR(8&gt;LEN(L274),MID(L274,8,1)=".",ISNUMBER(FIND("x"&amp;MID(L274,8,1),"x0x1x2x3x4x5x6x7x8x9"))),OR(9&gt;LEN(L274),MID(L274,9,1)=".",ISNUMBER(FIND("x"&amp;MID(L274,9,1),"x0x1x2x3x4x5x6x7x8x9"))),OR(10&gt;LEN(L274),MID(L274,10,1)=".",ISNUMBER(FIND("x"&amp;MID(L274,10,1),"x0x1x2x3x4x5x6x7x8x9"))),OR(AND(FIND(".",L274)=5,LEN(L274)-FIND(".",L274,FIND(".",L274)+1)&gt;=1,LEN(L274)-FIND(".",L274,FIND(".",L274)+1)&lt;=2),AND(LEN(L274)-FIND(".",L274,FIND(".",L274)+1)=4,FIND(".",L274)&gt;=2,FIND(".",L274)&lt;=3)),FIND(".",L274,FIND(".",L274)+1)-FIND(".",L274)&gt;=2,FIND(".",L274,FIND(".",L274)+1)-FIND(".",L274)&lt;=3,P274&gt;=2000,P274&lt;=2100,YEAR(S274)=P274,MONTH(S274)=Q274,DAY(S274)=R274),S274,0)),0)</ns0:f>
        <ns0:v>0</ns0:v>
      </ns0:c>
      <ns0:c r="U274" s="0" t="str">
        <ns0:f>IF(Bookings!C274="","Full day",Bookings!C274)</ns0:f>
        <ns0:v>Full day</ns0:v>
      </ns0:c>
      <ns0:c r="V274" s="0" t="str">
        <ns0:f>IF(Bookings!E274="","Full day",Bookings!E274)</ns0:f>
        <ns0:v>Full day</ns0:v>
      </ns0:c>
      <ns0:c r="W274" s="0">
        <ns0:f>IF(J274=0,0,J274+IF(U274="PM",1,0))</ns0:f>
        <ns0:v>0</ns0:v>
      </ns0:c>
      <ns0:c r="X274" s="0">
        <ns0:f>IF(T274=0,0,T274-IF(V274="PM",1,0))</ns0:f>
        <ns0:v>0</ns0:v>
      </ns0:c>
      <ns0:c r="Y274" s="0">
        <ns0:f>IF(J274=0,0,J274+IF(U274="AM",1,0))</ns0:f>
        <ns0:v>0</ns0:v>
      </ns0:c>
      <ns0:c r="Z274" s="0">
        <ns0:f>IF(T274=0,0,T274-IF(V274="AM",1,0))</ns0:f>
        <ns0:v>0</ns0:v>
      </ns0:c>
      <ns0:c r="AA274" s="0">
        <ns0:f>IFERROR(IF(AND(J274&gt;0,'_Engine'!C274&gt;0,MID('_Engine'!W274,WEEKDAY(J274,2),1)="W",COUNTIF(Settings!$F$18:$F$67,J274)=0),1,0),0)</ns0:f>
        <ns0:v>0</ns0:v>
      </ns0:c>
      <ns0:c r="AB274" s="0">
        <ns0:f>IFERROR(IF(AND(T274&gt;0,'_Engine'!C274&gt;0,MID('_Engine'!W274,WEEKDAY(T274,2),1)="W",COUNTIF(Settings!$F$18:$F$67,T274)=0),1,0),0)</ns0:f>
        <ns0:v>0</ns0:v>
      </ns0:c>
      <ns0:c r="AC274" s="0">
        <ns0:f>IF(AND(J274&gt;0,T274&gt;0,W274&lt;=X274),1,0)</ns0:f>
        <ns0:v>0</ns0:v>
      </ns0:c>
      <ns0:c r="AD274" s="0">
        <ns0:f>IF(AND(J274&gt;0,T274&gt;0,Y274&lt;=Z274),1,0)</ns0:f>
        <ns0:v>0</ns0:v>
      </ns0:c>
    </ns0:row>
    <ns0:row r="275">
      <ns0:c r="A275" s="0">
        <ns0:f>IFERROR(IF(ISNUMBER(Bookings!B275),"",TRIM(Bookings!B275&amp;"")),"")</ns0:f>
      </ns0:c>
      <ns0:c r="B275" s="0">
        <ns0:f>IFERROR(SUBSTITUTE(SUBSTITUTE(A275,"/","."),"-","."),"")</ns0:f>
      </ns0:c>
      <ns0:c r="C275" s="0">
        <ns0:f>IFERROR(LEFT(B275,FIND(".",B275)-1),"")</ns0:f>
      </ns0:c>
      <ns0:c r="D275" s="0">
        <ns0:f>IFERROR(MID(B275,FIND(".",B275)+1,FIND(".",B275,FIND(".",B275)+1)-FIND(".",B275)-1),"")</ns0:f>
      </ns0:c>
      <ns0:c r="E275" s="0">
        <ns0:f>IFERROR(MID(B275,FIND(".",B275,FIND(".",B275)+1)+1,99),"")</ns0:f>
        <ns0:v>99</ns0:v>
      </ns0:c>
      <ns0:c r="F275" s="0">
        <ns0:f>IFERROR(IF(FIND(".",B275)=5,--C275,--E275),0)</ns0:f>
        <ns0:v>0</ns0:v>
      </ns0:c>
      <ns0:c r="G275" s="0">
        <ns0:f>IFERROR(--D275,0)</ns0:f>
        <ns0:v>0</ns0:v>
      </ns0:c>
      <ns0:c r="H275" s="0">
        <ns0:f>IFERROR(IF(FIND(".",B275)=5,--E275,--C275),0)</ns0:f>
        <ns0:v>0</ns0:v>
      </ns0:c>
      <ns0:c r="I275" s="0">
        <ns0:f>IFERROR(IF(AND(F275&gt;=2000,F275&lt;=2100,G275&gt;=1,G275&lt;=12,H275&gt;=1,H275&lt;=31),DATE(F275,G275,H275),0),0)</ns0:f>
        <ns0:v>0</ns0:v>
      </ns0:c>
      <ns0:c r="J275" s="0">
        <ns0:f>IFERROR(IF(ISNUMBER(Bookings!B275),IF(AND(Bookings!B275=INT(Bookings!B275),Bookings!B275&gt;=DATE(2000,1,1),Bookings!B275&lt;=DATE(2100,12,31)),Bookings!B275,0),IF(AND(A275&lt;&gt;"",LEN("x"&amp;B275)-LEN(SUBSTITUTE("x"&amp;B275,".",""))=2,OR(1&gt;LEN(B275),MID(B275,1,1)=".",ISNUMBER(FIND("x"&amp;MID(B275,1,1),"x0x1x2x3x4x5x6x7x8x9"))),OR(2&gt;LEN(B275),MID(B275,2,1)=".",ISNUMBER(FIND("x"&amp;MID(B275,2,1),"x0x1x2x3x4x5x6x7x8x9"))),OR(3&gt;LEN(B275),MID(B275,3,1)=".",ISNUMBER(FIND("x"&amp;MID(B275,3,1),"x0x1x2x3x4x5x6x7x8x9"))),OR(4&gt;LEN(B275),MID(B275,4,1)=".",ISNUMBER(FIND("x"&amp;MID(B275,4,1),"x0x1x2x3x4x5x6x7x8x9"))),OR(5&gt;LEN(B275),MID(B275,5,1)=".",ISNUMBER(FIND("x"&amp;MID(B275,5,1),"x0x1x2x3x4x5x6x7x8x9"))),OR(6&gt;LEN(B275),MID(B275,6,1)=".",ISNUMBER(FIND("x"&amp;MID(B275,6,1),"x0x1x2x3x4x5x6x7x8x9"))),OR(7&gt;LEN(B275),MID(B275,7,1)=".",ISNUMBER(FIND("x"&amp;MID(B275,7,1),"x0x1x2x3x4x5x6x7x8x9"))),OR(8&gt;LEN(B275),MID(B275,8,1)=".",ISNUMBER(FIND("x"&amp;MID(B275,8,1),"x0x1x2x3x4x5x6x7x8x9"))),OR(9&gt;LEN(B275),MID(B275,9,1)=".",ISNUMBER(FIND("x"&amp;MID(B275,9,1),"x0x1x2x3x4x5x6x7x8x9"))),OR(10&gt;LEN(B275),MID(B275,10,1)=".",ISNUMBER(FIND("x"&amp;MID(B275,10,1),"x0x1x2x3x4x5x6x7x8x9"))),OR(AND(FIND(".",B275)=5,LEN(B275)-FIND(".",B275,FIND(".",B275)+1)&gt;=1,LEN(B275)-FIND(".",B275,FIND(".",B275)+1)&lt;=2),AND(LEN(B275)-FIND(".",B275,FIND(".",B275)+1)=4,FIND(".",B275)&gt;=2,FIND(".",B275)&lt;=3)),FIND(".",B275,FIND(".",B275)+1)-FIND(".",B275)&gt;=2,FIND(".",B275,FIND(".",B275)+1)-FIND(".",B275)&lt;=3,F275&gt;=2000,F275&lt;=2100,YEAR(I275)=F275,MONTH(I275)=G275,DAY(I275)=H275),I275,0)),0)</ns0:f>
        <ns0:v>0</ns0:v>
      </ns0:c>
      <ns0:c r="K275" s="0">
        <ns0:f>IFERROR(IF(ISNUMBER(Bookings!D275),"",TRIM(Bookings!D275&amp;"")),"")</ns0:f>
      </ns0:c>
      <ns0:c r="L275" s="0">
        <ns0:f>IFERROR(SUBSTITUTE(SUBSTITUTE(K275,"/","."),"-","."),"")</ns0:f>
      </ns0:c>
      <ns0:c r="M275" s="0">
        <ns0:f>IFERROR(LEFT(L275,FIND(".",L275)-1),"")</ns0:f>
      </ns0:c>
      <ns0:c r="N275" s="0">
        <ns0:f>IFERROR(MID(L275,FIND(".",L275)+1,FIND(".",L275,FIND(".",L275)+1)-FIND(".",L275)-1),"")</ns0:f>
      </ns0:c>
      <ns0:c r="O275" s="0">
        <ns0:f>IFERROR(MID(L275,FIND(".",L275,FIND(".",L275)+1)+1,99),"")</ns0:f>
        <ns0:v>99</ns0:v>
      </ns0:c>
      <ns0:c r="P275" s="0">
        <ns0:f>IFERROR(IF(FIND(".",L275)=5,--M275,--O275),0)</ns0:f>
        <ns0:v>0</ns0:v>
      </ns0:c>
      <ns0:c r="Q275" s="0">
        <ns0:f>IFERROR(--N275,0)</ns0:f>
        <ns0:v>0</ns0:v>
      </ns0:c>
      <ns0:c r="R275" s="0">
        <ns0:f>IFERROR(IF(FIND(".",L275)=5,--O275,--M275),0)</ns0:f>
        <ns0:v>0</ns0:v>
      </ns0:c>
      <ns0:c r="S275" s="0">
        <ns0:f>IFERROR(IF(AND(P275&gt;=2000,P275&lt;=2100,Q275&gt;=1,Q275&lt;=12,R275&gt;=1,R275&lt;=31),DATE(P275,Q275,R275),0),0)</ns0:f>
        <ns0:v>0</ns0:v>
      </ns0:c>
      <ns0:c r="T275" s="0">
        <ns0:f>IFERROR(IF(ISNUMBER(Bookings!D275),IF(AND(Bookings!D275=INT(Bookings!D275),Bookings!D275&gt;=DATE(2000,1,1),Bookings!D275&lt;=DATE(2100,12,31)),Bookings!D275,0),IF(AND(K275&lt;&gt;"",LEN("x"&amp;L275)-LEN(SUBSTITUTE("x"&amp;L275,".",""))=2,OR(1&gt;LEN(L275),MID(L275,1,1)=".",ISNUMBER(FIND("x"&amp;MID(L275,1,1),"x0x1x2x3x4x5x6x7x8x9"))),OR(2&gt;LEN(L275),MID(L275,2,1)=".",ISNUMBER(FIND("x"&amp;MID(L275,2,1),"x0x1x2x3x4x5x6x7x8x9"))),OR(3&gt;LEN(L275),MID(L275,3,1)=".",ISNUMBER(FIND("x"&amp;MID(L275,3,1),"x0x1x2x3x4x5x6x7x8x9"))),OR(4&gt;LEN(L275),MID(L275,4,1)=".",ISNUMBER(FIND("x"&amp;MID(L275,4,1),"x0x1x2x3x4x5x6x7x8x9"))),OR(5&gt;LEN(L275),MID(L275,5,1)=".",ISNUMBER(FIND("x"&amp;MID(L275,5,1),"x0x1x2x3x4x5x6x7x8x9"))),OR(6&gt;LEN(L275),MID(L275,6,1)=".",ISNUMBER(FIND("x"&amp;MID(L275,6,1),"x0x1x2x3x4x5x6x7x8x9"))),OR(7&gt;LEN(L275),MID(L275,7,1)=".",ISNUMBER(FIND("x"&amp;MID(L275,7,1),"x0x1x2x3x4x5x6x7x8x9"))),OR(8&gt;LEN(L275),MID(L275,8,1)=".",ISNUMBER(FIND("x"&amp;MID(L275,8,1),"x0x1x2x3x4x5x6x7x8x9"))),OR(9&gt;LEN(L275),MID(L275,9,1)=".",ISNUMBER(FIND("x"&amp;MID(L275,9,1),"x0x1x2x3x4x5x6x7x8x9"))),OR(10&gt;LEN(L275),MID(L275,10,1)=".",ISNUMBER(FIND("x"&amp;MID(L275,10,1),"x0x1x2x3x4x5x6x7x8x9"))),OR(AND(FIND(".",L275)=5,LEN(L275)-FIND(".",L275,FIND(".",L275)+1)&gt;=1,LEN(L275)-FIND(".",L275,FIND(".",L275)+1)&lt;=2),AND(LEN(L275)-FIND(".",L275,FIND(".",L275)+1)=4,FIND(".",L275)&gt;=2,FIND(".",L275)&lt;=3)),FIND(".",L275,FIND(".",L275)+1)-FIND(".",L275)&gt;=2,FIND(".",L275,FIND(".",L275)+1)-FIND(".",L275)&lt;=3,P275&gt;=2000,P275&lt;=2100,YEAR(S275)=P275,MONTH(S275)=Q275,DAY(S275)=R275),S275,0)),0)</ns0:f>
        <ns0:v>0</ns0:v>
      </ns0:c>
      <ns0:c r="U275" s="0" t="str">
        <ns0:f>IF(Bookings!C275="","Full day",Bookings!C275)</ns0:f>
        <ns0:v>Full day</ns0:v>
      </ns0:c>
      <ns0:c r="V275" s="0" t="str">
        <ns0:f>IF(Bookings!E275="","Full day",Bookings!E275)</ns0:f>
        <ns0:v>Full day</ns0:v>
      </ns0:c>
      <ns0:c r="W275" s="0">
        <ns0:f>IF(J275=0,0,J275+IF(U275="PM",1,0))</ns0:f>
        <ns0:v>0</ns0:v>
      </ns0:c>
      <ns0:c r="X275" s="0">
        <ns0:f>IF(T275=0,0,T275-IF(V275="PM",1,0))</ns0:f>
        <ns0:v>0</ns0:v>
      </ns0:c>
      <ns0:c r="Y275" s="0">
        <ns0:f>IF(J275=0,0,J275+IF(U275="AM",1,0))</ns0:f>
        <ns0:v>0</ns0:v>
      </ns0:c>
      <ns0:c r="Z275" s="0">
        <ns0:f>IF(T275=0,0,T275-IF(V275="AM",1,0))</ns0:f>
        <ns0:v>0</ns0:v>
      </ns0:c>
      <ns0:c r="AA275" s="0">
        <ns0:f>IFERROR(IF(AND(J275&gt;0,'_Engine'!C275&gt;0,MID('_Engine'!W275,WEEKDAY(J275,2),1)="W",COUNTIF(Settings!$F$18:$F$67,J275)=0),1,0),0)</ns0:f>
        <ns0:v>0</ns0:v>
      </ns0:c>
      <ns0:c r="AB275" s="0">
        <ns0:f>IFERROR(IF(AND(T275&gt;0,'_Engine'!C275&gt;0,MID('_Engine'!W275,WEEKDAY(T275,2),1)="W",COUNTIF(Settings!$F$18:$F$67,T275)=0),1,0),0)</ns0:f>
        <ns0:v>0</ns0:v>
      </ns0:c>
      <ns0:c r="AC275" s="0">
        <ns0:f>IF(AND(J275&gt;0,T275&gt;0,W275&lt;=X275),1,0)</ns0:f>
        <ns0:v>0</ns0:v>
      </ns0:c>
      <ns0:c r="AD275" s="0">
        <ns0:f>IF(AND(J275&gt;0,T275&gt;0,Y275&lt;=Z275),1,0)</ns0:f>
        <ns0:v>0</ns0:v>
      </ns0:c>
    </ns0:row>
    <ns0:row r="276">
      <ns0:c r="A276" s="0">
        <ns0:f>IFERROR(IF(ISNUMBER(Bookings!B276),"",TRIM(Bookings!B276&amp;"")),"")</ns0:f>
      </ns0:c>
      <ns0:c r="B276" s="0">
        <ns0:f>IFERROR(SUBSTITUTE(SUBSTITUTE(A276,"/","."),"-","."),"")</ns0:f>
      </ns0:c>
      <ns0:c r="C276" s="0">
        <ns0:f>IFERROR(LEFT(B276,FIND(".",B276)-1),"")</ns0:f>
      </ns0:c>
      <ns0:c r="D276" s="0">
        <ns0:f>IFERROR(MID(B276,FIND(".",B276)+1,FIND(".",B276,FIND(".",B276)+1)-FIND(".",B276)-1),"")</ns0:f>
      </ns0:c>
      <ns0:c r="E276" s="0">
        <ns0:f>IFERROR(MID(B276,FIND(".",B276,FIND(".",B276)+1)+1,99),"")</ns0:f>
        <ns0:v>99</ns0:v>
      </ns0:c>
      <ns0:c r="F276" s="0">
        <ns0:f>IFERROR(IF(FIND(".",B276)=5,--C276,--E276),0)</ns0:f>
        <ns0:v>0</ns0:v>
      </ns0:c>
      <ns0:c r="G276" s="0">
        <ns0:f>IFERROR(--D276,0)</ns0:f>
        <ns0:v>0</ns0:v>
      </ns0:c>
      <ns0:c r="H276" s="0">
        <ns0:f>IFERROR(IF(FIND(".",B276)=5,--E276,--C276),0)</ns0:f>
        <ns0:v>0</ns0:v>
      </ns0:c>
      <ns0:c r="I276" s="0">
        <ns0:f>IFERROR(IF(AND(F276&gt;=2000,F276&lt;=2100,G276&gt;=1,G276&lt;=12,H276&gt;=1,H276&lt;=31),DATE(F276,G276,H276),0),0)</ns0:f>
        <ns0:v>0</ns0:v>
      </ns0:c>
      <ns0:c r="J276" s="0">
        <ns0:f>IFERROR(IF(ISNUMBER(Bookings!B276),IF(AND(Bookings!B276=INT(Bookings!B276),Bookings!B276&gt;=DATE(2000,1,1),Bookings!B276&lt;=DATE(2100,12,31)),Bookings!B276,0),IF(AND(A276&lt;&gt;"",LEN("x"&amp;B276)-LEN(SUBSTITUTE("x"&amp;B276,".",""))=2,OR(1&gt;LEN(B276),MID(B276,1,1)=".",ISNUMBER(FIND("x"&amp;MID(B276,1,1),"x0x1x2x3x4x5x6x7x8x9"))),OR(2&gt;LEN(B276),MID(B276,2,1)=".",ISNUMBER(FIND("x"&amp;MID(B276,2,1),"x0x1x2x3x4x5x6x7x8x9"))),OR(3&gt;LEN(B276),MID(B276,3,1)=".",ISNUMBER(FIND("x"&amp;MID(B276,3,1),"x0x1x2x3x4x5x6x7x8x9"))),OR(4&gt;LEN(B276),MID(B276,4,1)=".",ISNUMBER(FIND("x"&amp;MID(B276,4,1),"x0x1x2x3x4x5x6x7x8x9"))),OR(5&gt;LEN(B276),MID(B276,5,1)=".",ISNUMBER(FIND("x"&amp;MID(B276,5,1),"x0x1x2x3x4x5x6x7x8x9"))),OR(6&gt;LEN(B276),MID(B276,6,1)=".",ISNUMBER(FIND("x"&amp;MID(B276,6,1),"x0x1x2x3x4x5x6x7x8x9"))),OR(7&gt;LEN(B276),MID(B276,7,1)=".",ISNUMBER(FIND("x"&amp;MID(B276,7,1),"x0x1x2x3x4x5x6x7x8x9"))),OR(8&gt;LEN(B276),MID(B276,8,1)=".",ISNUMBER(FIND("x"&amp;MID(B276,8,1),"x0x1x2x3x4x5x6x7x8x9"))),OR(9&gt;LEN(B276),MID(B276,9,1)=".",ISNUMBER(FIND("x"&amp;MID(B276,9,1),"x0x1x2x3x4x5x6x7x8x9"))),OR(10&gt;LEN(B276),MID(B276,10,1)=".",ISNUMBER(FIND("x"&amp;MID(B276,10,1),"x0x1x2x3x4x5x6x7x8x9"))),OR(AND(FIND(".",B276)=5,LEN(B276)-FIND(".",B276,FIND(".",B276)+1)&gt;=1,LEN(B276)-FIND(".",B276,FIND(".",B276)+1)&lt;=2),AND(LEN(B276)-FIND(".",B276,FIND(".",B276)+1)=4,FIND(".",B276)&gt;=2,FIND(".",B276)&lt;=3)),FIND(".",B276,FIND(".",B276)+1)-FIND(".",B276)&gt;=2,FIND(".",B276,FIND(".",B276)+1)-FIND(".",B276)&lt;=3,F276&gt;=2000,F276&lt;=2100,YEAR(I276)=F276,MONTH(I276)=G276,DAY(I276)=H276),I276,0)),0)</ns0:f>
        <ns0:v>0</ns0:v>
      </ns0:c>
      <ns0:c r="K276" s="0">
        <ns0:f>IFERROR(IF(ISNUMBER(Bookings!D276),"",TRIM(Bookings!D276&amp;"")),"")</ns0:f>
      </ns0:c>
      <ns0:c r="L276" s="0">
        <ns0:f>IFERROR(SUBSTITUTE(SUBSTITUTE(K276,"/","."),"-","."),"")</ns0:f>
      </ns0:c>
      <ns0:c r="M276" s="0">
        <ns0:f>IFERROR(LEFT(L276,FIND(".",L276)-1),"")</ns0:f>
      </ns0:c>
      <ns0:c r="N276" s="0">
        <ns0:f>IFERROR(MID(L276,FIND(".",L276)+1,FIND(".",L276,FIND(".",L276)+1)-FIND(".",L276)-1),"")</ns0:f>
      </ns0:c>
      <ns0:c r="O276" s="0">
        <ns0:f>IFERROR(MID(L276,FIND(".",L276,FIND(".",L276)+1)+1,99),"")</ns0:f>
        <ns0:v>99</ns0:v>
      </ns0:c>
      <ns0:c r="P276" s="0">
        <ns0:f>IFERROR(IF(FIND(".",L276)=5,--M276,--O276),0)</ns0:f>
        <ns0:v>0</ns0:v>
      </ns0:c>
      <ns0:c r="Q276" s="0">
        <ns0:f>IFERROR(--N276,0)</ns0:f>
        <ns0:v>0</ns0:v>
      </ns0:c>
      <ns0:c r="R276" s="0">
        <ns0:f>IFERROR(IF(FIND(".",L276)=5,--O276,--M276),0)</ns0:f>
        <ns0:v>0</ns0:v>
      </ns0:c>
      <ns0:c r="S276" s="0">
        <ns0:f>IFERROR(IF(AND(P276&gt;=2000,P276&lt;=2100,Q276&gt;=1,Q276&lt;=12,R276&gt;=1,R276&lt;=31),DATE(P276,Q276,R276),0),0)</ns0:f>
        <ns0:v>0</ns0:v>
      </ns0:c>
      <ns0:c r="T276" s="0">
        <ns0:f>IFERROR(IF(ISNUMBER(Bookings!D276),IF(AND(Bookings!D276=INT(Bookings!D276),Bookings!D276&gt;=DATE(2000,1,1),Bookings!D276&lt;=DATE(2100,12,31)),Bookings!D276,0),IF(AND(K276&lt;&gt;"",LEN("x"&amp;L276)-LEN(SUBSTITUTE("x"&amp;L276,".",""))=2,OR(1&gt;LEN(L276),MID(L276,1,1)=".",ISNUMBER(FIND("x"&amp;MID(L276,1,1),"x0x1x2x3x4x5x6x7x8x9"))),OR(2&gt;LEN(L276),MID(L276,2,1)=".",ISNUMBER(FIND("x"&amp;MID(L276,2,1),"x0x1x2x3x4x5x6x7x8x9"))),OR(3&gt;LEN(L276),MID(L276,3,1)=".",ISNUMBER(FIND("x"&amp;MID(L276,3,1),"x0x1x2x3x4x5x6x7x8x9"))),OR(4&gt;LEN(L276),MID(L276,4,1)=".",ISNUMBER(FIND("x"&amp;MID(L276,4,1),"x0x1x2x3x4x5x6x7x8x9"))),OR(5&gt;LEN(L276),MID(L276,5,1)=".",ISNUMBER(FIND("x"&amp;MID(L276,5,1),"x0x1x2x3x4x5x6x7x8x9"))),OR(6&gt;LEN(L276),MID(L276,6,1)=".",ISNUMBER(FIND("x"&amp;MID(L276,6,1),"x0x1x2x3x4x5x6x7x8x9"))),OR(7&gt;LEN(L276),MID(L276,7,1)=".",ISNUMBER(FIND("x"&amp;MID(L276,7,1),"x0x1x2x3x4x5x6x7x8x9"))),OR(8&gt;LEN(L276),MID(L276,8,1)=".",ISNUMBER(FIND("x"&amp;MID(L276,8,1),"x0x1x2x3x4x5x6x7x8x9"))),OR(9&gt;LEN(L276),MID(L276,9,1)=".",ISNUMBER(FIND("x"&amp;MID(L276,9,1),"x0x1x2x3x4x5x6x7x8x9"))),OR(10&gt;LEN(L276),MID(L276,10,1)=".",ISNUMBER(FIND("x"&amp;MID(L276,10,1),"x0x1x2x3x4x5x6x7x8x9"))),OR(AND(FIND(".",L276)=5,LEN(L276)-FIND(".",L276,FIND(".",L276)+1)&gt;=1,LEN(L276)-FIND(".",L276,FIND(".",L276)+1)&lt;=2),AND(LEN(L276)-FIND(".",L276,FIND(".",L276)+1)=4,FIND(".",L276)&gt;=2,FIND(".",L276)&lt;=3)),FIND(".",L276,FIND(".",L276)+1)-FIND(".",L276)&gt;=2,FIND(".",L276,FIND(".",L276)+1)-FIND(".",L276)&lt;=3,P276&gt;=2000,P276&lt;=2100,YEAR(S276)=P276,MONTH(S276)=Q276,DAY(S276)=R276),S276,0)),0)</ns0:f>
        <ns0:v>0</ns0:v>
      </ns0:c>
      <ns0:c r="U276" s="0" t="str">
        <ns0:f>IF(Bookings!C276="","Full day",Bookings!C276)</ns0:f>
        <ns0:v>Full day</ns0:v>
      </ns0:c>
      <ns0:c r="V276" s="0" t="str">
        <ns0:f>IF(Bookings!E276="","Full day",Bookings!E276)</ns0:f>
        <ns0:v>Full day</ns0:v>
      </ns0:c>
      <ns0:c r="W276" s="0">
        <ns0:f>IF(J276=0,0,J276+IF(U276="PM",1,0))</ns0:f>
        <ns0:v>0</ns0:v>
      </ns0:c>
      <ns0:c r="X276" s="0">
        <ns0:f>IF(T276=0,0,T276-IF(V276="PM",1,0))</ns0:f>
        <ns0:v>0</ns0:v>
      </ns0:c>
      <ns0:c r="Y276" s="0">
        <ns0:f>IF(J276=0,0,J276+IF(U276="AM",1,0))</ns0:f>
        <ns0:v>0</ns0:v>
      </ns0:c>
      <ns0:c r="Z276" s="0">
        <ns0:f>IF(T276=0,0,T276-IF(V276="AM",1,0))</ns0:f>
        <ns0:v>0</ns0:v>
      </ns0:c>
      <ns0:c r="AA276" s="0">
        <ns0:f>IFERROR(IF(AND(J276&gt;0,'_Engine'!C276&gt;0,MID('_Engine'!W276,WEEKDAY(J276,2),1)="W",COUNTIF(Settings!$F$18:$F$67,J276)=0),1,0),0)</ns0:f>
        <ns0:v>0</ns0:v>
      </ns0:c>
      <ns0:c r="AB276" s="0">
        <ns0:f>IFERROR(IF(AND(T276&gt;0,'_Engine'!C276&gt;0,MID('_Engine'!W276,WEEKDAY(T276,2),1)="W",COUNTIF(Settings!$F$18:$F$67,T276)=0),1,0),0)</ns0:f>
        <ns0:v>0</ns0:v>
      </ns0:c>
      <ns0:c r="AC276" s="0">
        <ns0:f>IF(AND(J276&gt;0,T276&gt;0,W276&lt;=X276),1,0)</ns0:f>
        <ns0:v>0</ns0:v>
      </ns0:c>
      <ns0:c r="AD276" s="0">
        <ns0:f>IF(AND(J276&gt;0,T276&gt;0,Y276&lt;=Z276),1,0)</ns0:f>
        <ns0:v>0</ns0:v>
      </ns0:c>
    </ns0:row>
    <ns0:row r="277">
      <ns0:c r="A277" s="0">
        <ns0:f>IFERROR(IF(ISNUMBER(Bookings!B277),"",TRIM(Bookings!B277&amp;"")),"")</ns0:f>
      </ns0:c>
      <ns0:c r="B277" s="0">
        <ns0:f>IFERROR(SUBSTITUTE(SUBSTITUTE(A277,"/","."),"-","."),"")</ns0:f>
      </ns0:c>
      <ns0:c r="C277" s="0">
        <ns0:f>IFERROR(LEFT(B277,FIND(".",B277)-1),"")</ns0:f>
      </ns0:c>
      <ns0:c r="D277" s="0">
        <ns0:f>IFERROR(MID(B277,FIND(".",B277)+1,FIND(".",B277,FIND(".",B277)+1)-FIND(".",B277)-1),"")</ns0:f>
      </ns0:c>
      <ns0:c r="E277" s="0">
        <ns0:f>IFERROR(MID(B277,FIND(".",B277,FIND(".",B277)+1)+1,99),"")</ns0:f>
        <ns0:v>99</ns0:v>
      </ns0:c>
      <ns0:c r="F277" s="0">
        <ns0:f>IFERROR(IF(FIND(".",B277)=5,--C277,--E277),0)</ns0:f>
        <ns0:v>0</ns0:v>
      </ns0:c>
      <ns0:c r="G277" s="0">
        <ns0:f>IFERROR(--D277,0)</ns0:f>
        <ns0:v>0</ns0:v>
      </ns0:c>
      <ns0:c r="H277" s="0">
        <ns0:f>IFERROR(IF(FIND(".",B277)=5,--E277,--C277),0)</ns0:f>
        <ns0:v>0</ns0:v>
      </ns0:c>
      <ns0:c r="I277" s="0">
        <ns0:f>IFERROR(IF(AND(F277&gt;=2000,F277&lt;=2100,G277&gt;=1,G277&lt;=12,H277&gt;=1,H277&lt;=31),DATE(F277,G277,H277),0),0)</ns0:f>
        <ns0:v>0</ns0:v>
      </ns0:c>
      <ns0:c r="J277" s="0">
        <ns0:f>IFERROR(IF(ISNUMBER(Bookings!B277),IF(AND(Bookings!B277=INT(Bookings!B277),Bookings!B277&gt;=DATE(2000,1,1),Bookings!B277&lt;=DATE(2100,12,31)),Bookings!B277,0),IF(AND(A277&lt;&gt;"",LEN("x"&amp;B277)-LEN(SUBSTITUTE("x"&amp;B277,".",""))=2,OR(1&gt;LEN(B277),MID(B277,1,1)=".",ISNUMBER(FIND("x"&amp;MID(B277,1,1),"x0x1x2x3x4x5x6x7x8x9"))),OR(2&gt;LEN(B277),MID(B277,2,1)=".",ISNUMBER(FIND("x"&amp;MID(B277,2,1),"x0x1x2x3x4x5x6x7x8x9"))),OR(3&gt;LEN(B277),MID(B277,3,1)=".",ISNUMBER(FIND("x"&amp;MID(B277,3,1),"x0x1x2x3x4x5x6x7x8x9"))),OR(4&gt;LEN(B277),MID(B277,4,1)=".",ISNUMBER(FIND("x"&amp;MID(B277,4,1),"x0x1x2x3x4x5x6x7x8x9"))),OR(5&gt;LEN(B277),MID(B277,5,1)=".",ISNUMBER(FIND("x"&amp;MID(B277,5,1),"x0x1x2x3x4x5x6x7x8x9"))),OR(6&gt;LEN(B277),MID(B277,6,1)=".",ISNUMBER(FIND("x"&amp;MID(B277,6,1),"x0x1x2x3x4x5x6x7x8x9"))),OR(7&gt;LEN(B277),MID(B277,7,1)=".",ISNUMBER(FIND("x"&amp;MID(B277,7,1),"x0x1x2x3x4x5x6x7x8x9"))),OR(8&gt;LEN(B277),MID(B277,8,1)=".",ISNUMBER(FIND("x"&amp;MID(B277,8,1),"x0x1x2x3x4x5x6x7x8x9"))),OR(9&gt;LEN(B277),MID(B277,9,1)=".",ISNUMBER(FIND("x"&amp;MID(B277,9,1),"x0x1x2x3x4x5x6x7x8x9"))),OR(10&gt;LEN(B277),MID(B277,10,1)=".",ISNUMBER(FIND("x"&amp;MID(B277,10,1),"x0x1x2x3x4x5x6x7x8x9"))),OR(AND(FIND(".",B277)=5,LEN(B277)-FIND(".",B277,FIND(".",B277)+1)&gt;=1,LEN(B277)-FIND(".",B277,FIND(".",B277)+1)&lt;=2),AND(LEN(B277)-FIND(".",B277,FIND(".",B277)+1)=4,FIND(".",B277)&gt;=2,FIND(".",B277)&lt;=3)),FIND(".",B277,FIND(".",B277)+1)-FIND(".",B277)&gt;=2,FIND(".",B277,FIND(".",B277)+1)-FIND(".",B277)&lt;=3,F277&gt;=2000,F277&lt;=2100,YEAR(I277)=F277,MONTH(I277)=G277,DAY(I277)=H277),I277,0)),0)</ns0:f>
        <ns0:v>0</ns0:v>
      </ns0:c>
      <ns0:c r="K277" s="0">
        <ns0:f>IFERROR(IF(ISNUMBER(Bookings!D277),"",TRIM(Bookings!D277&amp;"")),"")</ns0:f>
      </ns0:c>
      <ns0:c r="L277" s="0">
        <ns0:f>IFERROR(SUBSTITUTE(SUBSTITUTE(K277,"/","."),"-","."),"")</ns0:f>
      </ns0:c>
      <ns0:c r="M277" s="0">
        <ns0:f>IFERROR(LEFT(L277,FIND(".",L277)-1),"")</ns0:f>
      </ns0:c>
      <ns0:c r="N277" s="0">
        <ns0:f>IFERROR(MID(L277,FIND(".",L277)+1,FIND(".",L277,FIND(".",L277)+1)-FIND(".",L277)-1),"")</ns0:f>
      </ns0:c>
      <ns0:c r="O277" s="0">
        <ns0:f>IFERROR(MID(L277,FIND(".",L277,FIND(".",L277)+1)+1,99),"")</ns0:f>
        <ns0:v>99</ns0:v>
      </ns0:c>
      <ns0:c r="P277" s="0">
        <ns0:f>IFERROR(IF(FIND(".",L277)=5,--M277,--O277),0)</ns0:f>
        <ns0:v>0</ns0:v>
      </ns0:c>
      <ns0:c r="Q277" s="0">
        <ns0:f>IFERROR(--N277,0)</ns0:f>
        <ns0:v>0</ns0:v>
      </ns0:c>
      <ns0:c r="R277" s="0">
        <ns0:f>IFERROR(IF(FIND(".",L277)=5,--O277,--M277),0)</ns0:f>
        <ns0:v>0</ns0:v>
      </ns0:c>
      <ns0:c r="S277" s="0">
        <ns0:f>IFERROR(IF(AND(P277&gt;=2000,P277&lt;=2100,Q277&gt;=1,Q277&lt;=12,R277&gt;=1,R277&lt;=31),DATE(P277,Q277,R277),0),0)</ns0:f>
        <ns0:v>0</ns0:v>
      </ns0:c>
      <ns0:c r="T277" s="0">
        <ns0:f>IFERROR(IF(ISNUMBER(Bookings!D277),IF(AND(Bookings!D277=INT(Bookings!D277),Bookings!D277&gt;=DATE(2000,1,1),Bookings!D277&lt;=DATE(2100,12,31)),Bookings!D277,0),IF(AND(K277&lt;&gt;"",LEN("x"&amp;L277)-LEN(SUBSTITUTE("x"&amp;L277,".",""))=2,OR(1&gt;LEN(L277),MID(L277,1,1)=".",ISNUMBER(FIND("x"&amp;MID(L277,1,1),"x0x1x2x3x4x5x6x7x8x9"))),OR(2&gt;LEN(L277),MID(L277,2,1)=".",ISNUMBER(FIND("x"&amp;MID(L277,2,1),"x0x1x2x3x4x5x6x7x8x9"))),OR(3&gt;LEN(L277),MID(L277,3,1)=".",ISNUMBER(FIND("x"&amp;MID(L277,3,1),"x0x1x2x3x4x5x6x7x8x9"))),OR(4&gt;LEN(L277),MID(L277,4,1)=".",ISNUMBER(FIND("x"&amp;MID(L277,4,1),"x0x1x2x3x4x5x6x7x8x9"))),OR(5&gt;LEN(L277),MID(L277,5,1)=".",ISNUMBER(FIND("x"&amp;MID(L277,5,1),"x0x1x2x3x4x5x6x7x8x9"))),OR(6&gt;LEN(L277),MID(L277,6,1)=".",ISNUMBER(FIND("x"&amp;MID(L277,6,1),"x0x1x2x3x4x5x6x7x8x9"))),OR(7&gt;LEN(L277),MID(L277,7,1)=".",ISNUMBER(FIND("x"&amp;MID(L277,7,1),"x0x1x2x3x4x5x6x7x8x9"))),OR(8&gt;LEN(L277),MID(L277,8,1)=".",ISNUMBER(FIND("x"&amp;MID(L277,8,1),"x0x1x2x3x4x5x6x7x8x9"))),OR(9&gt;LEN(L277),MID(L277,9,1)=".",ISNUMBER(FIND("x"&amp;MID(L277,9,1),"x0x1x2x3x4x5x6x7x8x9"))),OR(10&gt;LEN(L277),MID(L277,10,1)=".",ISNUMBER(FIND("x"&amp;MID(L277,10,1),"x0x1x2x3x4x5x6x7x8x9"))),OR(AND(FIND(".",L277)=5,LEN(L277)-FIND(".",L277,FIND(".",L277)+1)&gt;=1,LEN(L277)-FIND(".",L277,FIND(".",L277)+1)&lt;=2),AND(LEN(L277)-FIND(".",L277,FIND(".",L277)+1)=4,FIND(".",L277)&gt;=2,FIND(".",L277)&lt;=3)),FIND(".",L277,FIND(".",L277)+1)-FIND(".",L277)&gt;=2,FIND(".",L277,FIND(".",L277)+1)-FIND(".",L277)&lt;=3,P277&gt;=2000,P277&lt;=2100,YEAR(S277)=P277,MONTH(S277)=Q277,DAY(S277)=R277),S277,0)),0)</ns0:f>
        <ns0:v>0</ns0:v>
      </ns0:c>
      <ns0:c r="U277" s="0" t="str">
        <ns0:f>IF(Bookings!C277="","Full day",Bookings!C277)</ns0:f>
        <ns0:v>Full day</ns0:v>
      </ns0:c>
      <ns0:c r="V277" s="0" t="str">
        <ns0:f>IF(Bookings!E277="","Full day",Bookings!E277)</ns0:f>
        <ns0:v>Full day</ns0:v>
      </ns0:c>
      <ns0:c r="W277" s="0">
        <ns0:f>IF(J277=0,0,J277+IF(U277="PM",1,0))</ns0:f>
        <ns0:v>0</ns0:v>
      </ns0:c>
      <ns0:c r="X277" s="0">
        <ns0:f>IF(T277=0,0,T277-IF(V277="PM",1,0))</ns0:f>
        <ns0:v>0</ns0:v>
      </ns0:c>
      <ns0:c r="Y277" s="0">
        <ns0:f>IF(J277=0,0,J277+IF(U277="AM",1,0))</ns0:f>
        <ns0:v>0</ns0:v>
      </ns0:c>
      <ns0:c r="Z277" s="0">
        <ns0:f>IF(T277=0,0,T277-IF(V277="AM",1,0))</ns0:f>
        <ns0:v>0</ns0:v>
      </ns0:c>
      <ns0:c r="AA277" s="0">
        <ns0:f>IFERROR(IF(AND(J277&gt;0,'_Engine'!C277&gt;0,MID('_Engine'!W277,WEEKDAY(J277,2),1)="W",COUNTIF(Settings!$F$18:$F$67,J277)=0),1,0),0)</ns0:f>
        <ns0:v>0</ns0:v>
      </ns0:c>
      <ns0:c r="AB277" s="0">
        <ns0:f>IFERROR(IF(AND(T277&gt;0,'_Engine'!C277&gt;0,MID('_Engine'!W277,WEEKDAY(T277,2),1)="W",COUNTIF(Settings!$F$18:$F$67,T277)=0),1,0),0)</ns0:f>
        <ns0:v>0</ns0:v>
      </ns0:c>
      <ns0:c r="AC277" s="0">
        <ns0:f>IF(AND(J277&gt;0,T277&gt;0,W277&lt;=X277),1,0)</ns0:f>
        <ns0:v>0</ns0:v>
      </ns0:c>
      <ns0:c r="AD277" s="0">
        <ns0:f>IF(AND(J277&gt;0,T277&gt;0,Y277&lt;=Z277),1,0)</ns0:f>
        <ns0:v>0</ns0:v>
      </ns0:c>
    </ns0:row>
    <ns0:row r="278">
      <ns0:c r="A278" s="0">
        <ns0:f>IFERROR(IF(ISNUMBER(Bookings!B278),"",TRIM(Bookings!B278&amp;"")),"")</ns0:f>
      </ns0:c>
      <ns0:c r="B278" s="0">
        <ns0:f>IFERROR(SUBSTITUTE(SUBSTITUTE(A278,"/","."),"-","."),"")</ns0:f>
      </ns0:c>
      <ns0:c r="C278" s="0">
        <ns0:f>IFERROR(LEFT(B278,FIND(".",B278)-1),"")</ns0:f>
      </ns0:c>
      <ns0:c r="D278" s="0">
        <ns0:f>IFERROR(MID(B278,FIND(".",B278)+1,FIND(".",B278,FIND(".",B278)+1)-FIND(".",B278)-1),"")</ns0:f>
      </ns0:c>
      <ns0:c r="E278" s="0">
        <ns0:f>IFERROR(MID(B278,FIND(".",B278,FIND(".",B278)+1)+1,99),"")</ns0:f>
        <ns0:v>99</ns0:v>
      </ns0:c>
      <ns0:c r="F278" s="0">
        <ns0:f>IFERROR(IF(FIND(".",B278)=5,--C278,--E278),0)</ns0:f>
        <ns0:v>0</ns0:v>
      </ns0:c>
      <ns0:c r="G278" s="0">
        <ns0:f>IFERROR(--D278,0)</ns0:f>
        <ns0:v>0</ns0:v>
      </ns0:c>
      <ns0:c r="H278" s="0">
        <ns0:f>IFERROR(IF(FIND(".",B278)=5,--E278,--C278),0)</ns0:f>
        <ns0:v>0</ns0:v>
      </ns0:c>
      <ns0:c r="I278" s="0">
        <ns0:f>IFERROR(IF(AND(F278&gt;=2000,F278&lt;=2100,G278&gt;=1,G278&lt;=12,H278&gt;=1,H278&lt;=31),DATE(F278,G278,H278),0),0)</ns0:f>
        <ns0:v>0</ns0:v>
      </ns0:c>
      <ns0:c r="J278" s="0">
        <ns0:f>IFERROR(IF(ISNUMBER(Bookings!B278),IF(AND(Bookings!B278=INT(Bookings!B278),Bookings!B278&gt;=DATE(2000,1,1),Bookings!B278&lt;=DATE(2100,12,31)),Bookings!B278,0),IF(AND(A278&lt;&gt;"",LEN("x"&amp;B278)-LEN(SUBSTITUTE("x"&amp;B278,".",""))=2,OR(1&gt;LEN(B278),MID(B278,1,1)=".",ISNUMBER(FIND("x"&amp;MID(B278,1,1),"x0x1x2x3x4x5x6x7x8x9"))),OR(2&gt;LEN(B278),MID(B278,2,1)=".",ISNUMBER(FIND("x"&amp;MID(B278,2,1),"x0x1x2x3x4x5x6x7x8x9"))),OR(3&gt;LEN(B278),MID(B278,3,1)=".",ISNUMBER(FIND("x"&amp;MID(B278,3,1),"x0x1x2x3x4x5x6x7x8x9"))),OR(4&gt;LEN(B278),MID(B278,4,1)=".",ISNUMBER(FIND("x"&amp;MID(B278,4,1),"x0x1x2x3x4x5x6x7x8x9"))),OR(5&gt;LEN(B278),MID(B278,5,1)=".",ISNUMBER(FIND("x"&amp;MID(B278,5,1),"x0x1x2x3x4x5x6x7x8x9"))),OR(6&gt;LEN(B278),MID(B278,6,1)=".",ISNUMBER(FIND("x"&amp;MID(B278,6,1),"x0x1x2x3x4x5x6x7x8x9"))),OR(7&gt;LEN(B278),MID(B278,7,1)=".",ISNUMBER(FIND("x"&amp;MID(B278,7,1),"x0x1x2x3x4x5x6x7x8x9"))),OR(8&gt;LEN(B278),MID(B278,8,1)=".",ISNUMBER(FIND("x"&amp;MID(B278,8,1),"x0x1x2x3x4x5x6x7x8x9"))),OR(9&gt;LEN(B278),MID(B278,9,1)=".",ISNUMBER(FIND("x"&amp;MID(B278,9,1),"x0x1x2x3x4x5x6x7x8x9"))),OR(10&gt;LEN(B278),MID(B278,10,1)=".",ISNUMBER(FIND("x"&amp;MID(B278,10,1),"x0x1x2x3x4x5x6x7x8x9"))),OR(AND(FIND(".",B278)=5,LEN(B278)-FIND(".",B278,FIND(".",B278)+1)&gt;=1,LEN(B278)-FIND(".",B278,FIND(".",B278)+1)&lt;=2),AND(LEN(B278)-FIND(".",B278,FIND(".",B278)+1)=4,FIND(".",B278)&gt;=2,FIND(".",B278)&lt;=3)),FIND(".",B278,FIND(".",B278)+1)-FIND(".",B278)&gt;=2,FIND(".",B278,FIND(".",B278)+1)-FIND(".",B278)&lt;=3,F278&gt;=2000,F278&lt;=2100,YEAR(I278)=F278,MONTH(I278)=G278,DAY(I278)=H278),I278,0)),0)</ns0:f>
        <ns0:v>0</ns0:v>
      </ns0:c>
      <ns0:c r="K278" s="0">
        <ns0:f>IFERROR(IF(ISNUMBER(Bookings!D278),"",TRIM(Bookings!D278&amp;"")),"")</ns0:f>
      </ns0:c>
      <ns0:c r="L278" s="0">
        <ns0:f>IFERROR(SUBSTITUTE(SUBSTITUTE(K278,"/","."),"-","."),"")</ns0:f>
      </ns0:c>
      <ns0:c r="M278" s="0">
        <ns0:f>IFERROR(LEFT(L278,FIND(".",L278)-1),"")</ns0:f>
      </ns0:c>
      <ns0:c r="N278" s="0">
        <ns0:f>IFERROR(MID(L278,FIND(".",L278)+1,FIND(".",L278,FIND(".",L278)+1)-FIND(".",L278)-1),"")</ns0:f>
      </ns0:c>
      <ns0:c r="O278" s="0">
        <ns0:f>IFERROR(MID(L278,FIND(".",L278,FIND(".",L278)+1)+1,99),"")</ns0:f>
        <ns0:v>99</ns0:v>
      </ns0:c>
      <ns0:c r="P278" s="0">
        <ns0:f>IFERROR(IF(FIND(".",L278)=5,--M278,--O278),0)</ns0:f>
        <ns0:v>0</ns0:v>
      </ns0:c>
      <ns0:c r="Q278" s="0">
        <ns0:f>IFERROR(--N278,0)</ns0:f>
        <ns0:v>0</ns0:v>
      </ns0:c>
      <ns0:c r="R278" s="0">
        <ns0:f>IFERROR(IF(FIND(".",L278)=5,--O278,--M278),0)</ns0:f>
        <ns0:v>0</ns0:v>
      </ns0:c>
      <ns0:c r="S278" s="0">
        <ns0:f>IFERROR(IF(AND(P278&gt;=2000,P278&lt;=2100,Q278&gt;=1,Q278&lt;=12,R278&gt;=1,R278&lt;=31),DATE(P278,Q278,R278),0),0)</ns0:f>
        <ns0:v>0</ns0:v>
      </ns0:c>
      <ns0:c r="T278" s="0">
        <ns0:f>IFERROR(IF(ISNUMBER(Bookings!D278),IF(AND(Bookings!D278=INT(Bookings!D278),Bookings!D278&gt;=DATE(2000,1,1),Bookings!D278&lt;=DATE(2100,12,31)),Bookings!D278,0),IF(AND(K278&lt;&gt;"",LEN("x"&amp;L278)-LEN(SUBSTITUTE("x"&amp;L278,".",""))=2,OR(1&gt;LEN(L278),MID(L278,1,1)=".",ISNUMBER(FIND("x"&amp;MID(L278,1,1),"x0x1x2x3x4x5x6x7x8x9"))),OR(2&gt;LEN(L278),MID(L278,2,1)=".",ISNUMBER(FIND("x"&amp;MID(L278,2,1),"x0x1x2x3x4x5x6x7x8x9"))),OR(3&gt;LEN(L278),MID(L278,3,1)=".",ISNUMBER(FIND("x"&amp;MID(L278,3,1),"x0x1x2x3x4x5x6x7x8x9"))),OR(4&gt;LEN(L278),MID(L278,4,1)=".",ISNUMBER(FIND("x"&amp;MID(L278,4,1),"x0x1x2x3x4x5x6x7x8x9"))),OR(5&gt;LEN(L278),MID(L278,5,1)=".",ISNUMBER(FIND("x"&amp;MID(L278,5,1),"x0x1x2x3x4x5x6x7x8x9"))),OR(6&gt;LEN(L278),MID(L278,6,1)=".",ISNUMBER(FIND("x"&amp;MID(L278,6,1),"x0x1x2x3x4x5x6x7x8x9"))),OR(7&gt;LEN(L278),MID(L278,7,1)=".",ISNUMBER(FIND("x"&amp;MID(L278,7,1),"x0x1x2x3x4x5x6x7x8x9"))),OR(8&gt;LEN(L278),MID(L278,8,1)=".",ISNUMBER(FIND("x"&amp;MID(L278,8,1),"x0x1x2x3x4x5x6x7x8x9"))),OR(9&gt;LEN(L278),MID(L278,9,1)=".",ISNUMBER(FIND("x"&amp;MID(L278,9,1),"x0x1x2x3x4x5x6x7x8x9"))),OR(10&gt;LEN(L278),MID(L278,10,1)=".",ISNUMBER(FIND("x"&amp;MID(L278,10,1),"x0x1x2x3x4x5x6x7x8x9"))),OR(AND(FIND(".",L278)=5,LEN(L278)-FIND(".",L278,FIND(".",L278)+1)&gt;=1,LEN(L278)-FIND(".",L278,FIND(".",L278)+1)&lt;=2),AND(LEN(L278)-FIND(".",L278,FIND(".",L278)+1)=4,FIND(".",L278)&gt;=2,FIND(".",L278)&lt;=3)),FIND(".",L278,FIND(".",L278)+1)-FIND(".",L278)&gt;=2,FIND(".",L278,FIND(".",L278)+1)-FIND(".",L278)&lt;=3,P278&gt;=2000,P278&lt;=2100,YEAR(S278)=P278,MONTH(S278)=Q278,DAY(S278)=R278),S278,0)),0)</ns0:f>
        <ns0:v>0</ns0:v>
      </ns0:c>
      <ns0:c r="U278" s="0" t="str">
        <ns0:f>IF(Bookings!C278="","Full day",Bookings!C278)</ns0:f>
        <ns0:v>Full day</ns0:v>
      </ns0:c>
      <ns0:c r="V278" s="0" t="str">
        <ns0:f>IF(Bookings!E278="","Full day",Bookings!E278)</ns0:f>
        <ns0:v>Full day</ns0:v>
      </ns0:c>
      <ns0:c r="W278" s="0">
        <ns0:f>IF(J278=0,0,J278+IF(U278="PM",1,0))</ns0:f>
        <ns0:v>0</ns0:v>
      </ns0:c>
      <ns0:c r="X278" s="0">
        <ns0:f>IF(T278=0,0,T278-IF(V278="PM",1,0))</ns0:f>
        <ns0:v>0</ns0:v>
      </ns0:c>
      <ns0:c r="Y278" s="0">
        <ns0:f>IF(J278=0,0,J278+IF(U278="AM",1,0))</ns0:f>
        <ns0:v>0</ns0:v>
      </ns0:c>
      <ns0:c r="Z278" s="0">
        <ns0:f>IF(T278=0,0,T278-IF(V278="AM",1,0))</ns0:f>
        <ns0:v>0</ns0:v>
      </ns0:c>
      <ns0:c r="AA278" s="0">
        <ns0:f>IFERROR(IF(AND(J278&gt;0,'_Engine'!C278&gt;0,MID('_Engine'!W278,WEEKDAY(J278,2),1)="W",COUNTIF(Settings!$F$18:$F$67,J278)=0),1,0),0)</ns0:f>
        <ns0:v>0</ns0:v>
      </ns0:c>
      <ns0:c r="AB278" s="0">
        <ns0:f>IFERROR(IF(AND(T278&gt;0,'_Engine'!C278&gt;0,MID('_Engine'!W278,WEEKDAY(T278,2),1)="W",COUNTIF(Settings!$F$18:$F$67,T278)=0),1,0),0)</ns0:f>
        <ns0:v>0</ns0:v>
      </ns0:c>
      <ns0:c r="AC278" s="0">
        <ns0:f>IF(AND(J278&gt;0,T278&gt;0,W278&lt;=X278),1,0)</ns0:f>
        <ns0:v>0</ns0:v>
      </ns0:c>
      <ns0:c r="AD278" s="0">
        <ns0:f>IF(AND(J278&gt;0,T278&gt;0,Y278&lt;=Z278),1,0)</ns0:f>
        <ns0:v>0</ns0:v>
      </ns0:c>
    </ns0:row>
    <ns0:row r="279">
      <ns0:c r="A279" s="0">
        <ns0:f>IFERROR(IF(ISNUMBER(Bookings!B279),"",TRIM(Bookings!B279&amp;"")),"")</ns0:f>
      </ns0:c>
      <ns0:c r="B279" s="0">
        <ns0:f>IFERROR(SUBSTITUTE(SUBSTITUTE(A279,"/","."),"-","."),"")</ns0:f>
      </ns0:c>
      <ns0:c r="C279" s="0">
        <ns0:f>IFERROR(LEFT(B279,FIND(".",B279)-1),"")</ns0:f>
      </ns0:c>
      <ns0:c r="D279" s="0">
        <ns0:f>IFERROR(MID(B279,FIND(".",B279)+1,FIND(".",B279,FIND(".",B279)+1)-FIND(".",B279)-1),"")</ns0:f>
      </ns0:c>
      <ns0:c r="E279" s="0">
        <ns0:f>IFERROR(MID(B279,FIND(".",B279,FIND(".",B279)+1)+1,99),"")</ns0:f>
        <ns0:v>99</ns0:v>
      </ns0:c>
      <ns0:c r="F279" s="0">
        <ns0:f>IFERROR(IF(FIND(".",B279)=5,--C279,--E279),0)</ns0:f>
        <ns0:v>0</ns0:v>
      </ns0:c>
      <ns0:c r="G279" s="0">
        <ns0:f>IFERROR(--D279,0)</ns0:f>
        <ns0:v>0</ns0:v>
      </ns0:c>
      <ns0:c r="H279" s="0">
        <ns0:f>IFERROR(IF(FIND(".",B279)=5,--E279,--C279),0)</ns0:f>
        <ns0:v>0</ns0:v>
      </ns0:c>
      <ns0:c r="I279" s="0">
        <ns0:f>IFERROR(IF(AND(F279&gt;=2000,F279&lt;=2100,G279&gt;=1,G279&lt;=12,H279&gt;=1,H279&lt;=31),DATE(F279,G279,H279),0),0)</ns0:f>
        <ns0:v>0</ns0:v>
      </ns0:c>
      <ns0:c r="J279" s="0">
        <ns0:f>IFERROR(IF(ISNUMBER(Bookings!B279),IF(AND(Bookings!B279=INT(Bookings!B279),Bookings!B279&gt;=DATE(2000,1,1),Bookings!B279&lt;=DATE(2100,12,31)),Bookings!B279,0),IF(AND(A279&lt;&gt;"",LEN("x"&amp;B279)-LEN(SUBSTITUTE("x"&amp;B279,".",""))=2,OR(1&gt;LEN(B279),MID(B279,1,1)=".",ISNUMBER(FIND("x"&amp;MID(B279,1,1),"x0x1x2x3x4x5x6x7x8x9"))),OR(2&gt;LEN(B279),MID(B279,2,1)=".",ISNUMBER(FIND("x"&amp;MID(B279,2,1),"x0x1x2x3x4x5x6x7x8x9"))),OR(3&gt;LEN(B279),MID(B279,3,1)=".",ISNUMBER(FIND("x"&amp;MID(B279,3,1),"x0x1x2x3x4x5x6x7x8x9"))),OR(4&gt;LEN(B279),MID(B279,4,1)=".",ISNUMBER(FIND("x"&amp;MID(B279,4,1),"x0x1x2x3x4x5x6x7x8x9"))),OR(5&gt;LEN(B279),MID(B279,5,1)=".",ISNUMBER(FIND("x"&amp;MID(B279,5,1),"x0x1x2x3x4x5x6x7x8x9"))),OR(6&gt;LEN(B279),MID(B279,6,1)=".",ISNUMBER(FIND("x"&amp;MID(B279,6,1),"x0x1x2x3x4x5x6x7x8x9"))),OR(7&gt;LEN(B279),MID(B279,7,1)=".",ISNUMBER(FIND("x"&amp;MID(B279,7,1),"x0x1x2x3x4x5x6x7x8x9"))),OR(8&gt;LEN(B279),MID(B279,8,1)=".",ISNUMBER(FIND("x"&amp;MID(B279,8,1),"x0x1x2x3x4x5x6x7x8x9"))),OR(9&gt;LEN(B279),MID(B279,9,1)=".",ISNUMBER(FIND("x"&amp;MID(B279,9,1),"x0x1x2x3x4x5x6x7x8x9"))),OR(10&gt;LEN(B279),MID(B279,10,1)=".",ISNUMBER(FIND("x"&amp;MID(B279,10,1),"x0x1x2x3x4x5x6x7x8x9"))),OR(AND(FIND(".",B279)=5,LEN(B279)-FIND(".",B279,FIND(".",B279)+1)&gt;=1,LEN(B279)-FIND(".",B279,FIND(".",B279)+1)&lt;=2),AND(LEN(B279)-FIND(".",B279,FIND(".",B279)+1)=4,FIND(".",B279)&gt;=2,FIND(".",B279)&lt;=3)),FIND(".",B279,FIND(".",B279)+1)-FIND(".",B279)&gt;=2,FIND(".",B279,FIND(".",B279)+1)-FIND(".",B279)&lt;=3,F279&gt;=2000,F279&lt;=2100,YEAR(I279)=F279,MONTH(I279)=G279,DAY(I279)=H279),I279,0)),0)</ns0:f>
        <ns0:v>0</ns0:v>
      </ns0:c>
      <ns0:c r="K279" s="0">
        <ns0:f>IFERROR(IF(ISNUMBER(Bookings!D279),"",TRIM(Bookings!D279&amp;"")),"")</ns0:f>
      </ns0:c>
      <ns0:c r="L279" s="0">
        <ns0:f>IFERROR(SUBSTITUTE(SUBSTITUTE(K279,"/","."),"-","."),"")</ns0:f>
      </ns0:c>
      <ns0:c r="M279" s="0">
        <ns0:f>IFERROR(LEFT(L279,FIND(".",L279)-1),"")</ns0:f>
      </ns0:c>
      <ns0:c r="N279" s="0">
        <ns0:f>IFERROR(MID(L279,FIND(".",L279)+1,FIND(".",L279,FIND(".",L279)+1)-FIND(".",L279)-1),"")</ns0:f>
      </ns0:c>
      <ns0:c r="O279" s="0">
        <ns0:f>IFERROR(MID(L279,FIND(".",L279,FIND(".",L279)+1)+1,99),"")</ns0:f>
        <ns0:v>99</ns0:v>
      </ns0:c>
      <ns0:c r="P279" s="0">
        <ns0:f>IFERROR(IF(FIND(".",L279)=5,--M279,--O279),0)</ns0:f>
        <ns0:v>0</ns0:v>
      </ns0:c>
      <ns0:c r="Q279" s="0">
        <ns0:f>IFERROR(--N279,0)</ns0:f>
        <ns0:v>0</ns0:v>
      </ns0:c>
      <ns0:c r="R279" s="0">
        <ns0:f>IFERROR(IF(FIND(".",L279)=5,--O279,--M279),0)</ns0:f>
        <ns0:v>0</ns0:v>
      </ns0:c>
      <ns0:c r="S279" s="0">
        <ns0:f>IFERROR(IF(AND(P279&gt;=2000,P279&lt;=2100,Q279&gt;=1,Q279&lt;=12,R279&gt;=1,R279&lt;=31),DATE(P279,Q279,R279),0),0)</ns0:f>
        <ns0:v>0</ns0:v>
      </ns0:c>
      <ns0:c r="T279" s="0">
        <ns0:f>IFERROR(IF(ISNUMBER(Bookings!D279),IF(AND(Bookings!D279=INT(Bookings!D279),Bookings!D279&gt;=DATE(2000,1,1),Bookings!D279&lt;=DATE(2100,12,31)),Bookings!D279,0),IF(AND(K279&lt;&gt;"",LEN("x"&amp;L279)-LEN(SUBSTITUTE("x"&amp;L279,".",""))=2,OR(1&gt;LEN(L279),MID(L279,1,1)=".",ISNUMBER(FIND("x"&amp;MID(L279,1,1),"x0x1x2x3x4x5x6x7x8x9"))),OR(2&gt;LEN(L279),MID(L279,2,1)=".",ISNUMBER(FIND("x"&amp;MID(L279,2,1),"x0x1x2x3x4x5x6x7x8x9"))),OR(3&gt;LEN(L279),MID(L279,3,1)=".",ISNUMBER(FIND("x"&amp;MID(L279,3,1),"x0x1x2x3x4x5x6x7x8x9"))),OR(4&gt;LEN(L279),MID(L279,4,1)=".",ISNUMBER(FIND("x"&amp;MID(L279,4,1),"x0x1x2x3x4x5x6x7x8x9"))),OR(5&gt;LEN(L279),MID(L279,5,1)=".",ISNUMBER(FIND("x"&amp;MID(L279,5,1),"x0x1x2x3x4x5x6x7x8x9"))),OR(6&gt;LEN(L279),MID(L279,6,1)=".",ISNUMBER(FIND("x"&amp;MID(L279,6,1),"x0x1x2x3x4x5x6x7x8x9"))),OR(7&gt;LEN(L279),MID(L279,7,1)=".",ISNUMBER(FIND("x"&amp;MID(L279,7,1),"x0x1x2x3x4x5x6x7x8x9"))),OR(8&gt;LEN(L279),MID(L279,8,1)=".",ISNUMBER(FIND("x"&amp;MID(L279,8,1),"x0x1x2x3x4x5x6x7x8x9"))),OR(9&gt;LEN(L279),MID(L279,9,1)=".",ISNUMBER(FIND("x"&amp;MID(L279,9,1),"x0x1x2x3x4x5x6x7x8x9"))),OR(10&gt;LEN(L279),MID(L279,10,1)=".",ISNUMBER(FIND("x"&amp;MID(L279,10,1),"x0x1x2x3x4x5x6x7x8x9"))),OR(AND(FIND(".",L279)=5,LEN(L279)-FIND(".",L279,FIND(".",L279)+1)&gt;=1,LEN(L279)-FIND(".",L279,FIND(".",L279)+1)&lt;=2),AND(LEN(L279)-FIND(".",L279,FIND(".",L279)+1)=4,FIND(".",L279)&gt;=2,FIND(".",L279)&lt;=3)),FIND(".",L279,FIND(".",L279)+1)-FIND(".",L279)&gt;=2,FIND(".",L279,FIND(".",L279)+1)-FIND(".",L279)&lt;=3,P279&gt;=2000,P279&lt;=2100,YEAR(S279)=P279,MONTH(S279)=Q279,DAY(S279)=R279),S279,0)),0)</ns0:f>
        <ns0:v>0</ns0:v>
      </ns0:c>
      <ns0:c r="U279" s="0" t="str">
        <ns0:f>IF(Bookings!C279="","Full day",Bookings!C279)</ns0:f>
        <ns0:v>Full day</ns0:v>
      </ns0:c>
      <ns0:c r="V279" s="0" t="str">
        <ns0:f>IF(Bookings!E279="","Full day",Bookings!E279)</ns0:f>
        <ns0:v>Full day</ns0:v>
      </ns0:c>
      <ns0:c r="W279" s="0">
        <ns0:f>IF(J279=0,0,J279+IF(U279="PM",1,0))</ns0:f>
        <ns0:v>0</ns0:v>
      </ns0:c>
      <ns0:c r="X279" s="0">
        <ns0:f>IF(T279=0,0,T279-IF(V279="PM",1,0))</ns0:f>
        <ns0:v>0</ns0:v>
      </ns0:c>
      <ns0:c r="Y279" s="0">
        <ns0:f>IF(J279=0,0,J279+IF(U279="AM",1,0))</ns0:f>
        <ns0:v>0</ns0:v>
      </ns0:c>
      <ns0:c r="Z279" s="0">
        <ns0:f>IF(T279=0,0,T279-IF(V279="AM",1,0))</ns0:f>
        <ns0:v>0</ns0:v>
      </ns0:c>
      <ns0:c r="AA279" s="0">
        <ns0:f>IFERROR(IF(AND(J279&gt;0,'_Engine'!C279&gt;0,MID('_Engine'!W279,WEEKDAY(J279,2),1)="W",COUNTIF(Settings!$F$18:$F$67,J279)=0),1,0),0)</ns0:f>
        <ns0:v>0</ns0:v>
      </ns0:c>
      <ns0:c r="AB279" s="0">
        <ns0:f>IFERROR(IF(AND(T279&gt;0,'_Engine'!C279&gt;0,MID('_Engine'!W279,WEEKDAY(T279,2),1)="W",COUNTIF(Settings!$F$18:$F$67,T279)=0),1,0),0)</ns0:f>
        <ns0:v>0</ns0:v>
      </ns0:c>
      <ns0:c r="AC279" s="0">
        <ns0:f>IF(AND(J279&gt;0,T279&gt;0,W279&lt;=X279),1,0)</ns0:f>
        <ns0:v>0</ns0:v>
      </ns0:c>
      <ns0:c r="AD279" s="0">
        <ns0:f>IF(AND(J279&gt;0,T279&gt;0,Y279&lt;=Z279),1,0)</ns0:f>
        <ns0:v>0</ns0:v>
      </ns0:c>
    </ns0:row>
    <ns0:row r="280">
      <ns0:c r="A280" s="0">
        <ns0:f>IFERROR(IF(ISNUMBER(Bookings!B280),"",TRIM(Bookings!B280&amp;"")),"")</ns0:f>
      </ns0:c>
      <ns0:c r="B280" s="0">
        <ns0:f>IFERROR(SUBSTITUTE(SUBSTITUTE(A280,"/","."),"-","."),"")</ns0:f>
      </ns0:c>
      <ns0:c r="C280" s="0">
        <ns0:f>IFERROR(LEFT(B280,FIND(".",B280)-1),"")</ns0:f>
      </ns0:c>
      <ns0:c r="D280" s="0">
        <ns0:f>IFERROR(MID(B280,FIND(".",B280)+1,FIND(".",B280,FIND(".",B280)+1)-FIND(".",B280)-1),"")</ns0:f>
      </ns0:c>
      <ns0:c r="E280" s="0">
        <ns0:f>IFERROR(MID(B280,FIND(".",B280,FIND(".",B280)+1)+1,99),"")</ns0:f>
        <ns0:v>99</ns0:v>
      </ns0:c>
      <ns0:c r="F280" s="0">
        <ns0:f>IFERROR(IF(FIND(".",B280)=5,--C280,--E280),0)</ns0:f>
        <ns0:v>0</ns0:v>
      </ns0:c>
      <ns0:c r="G280" s="0">
        <ns0:f>IFERROR(--D280,0)</ns0:f>
        <ns0:v>0</ns0:v>
      </ns0:c>
      <ns0:c r="H280" s="0">
        <ns0:f>IFERROR(IF(FIND(".",B280)=5,--E280,--C280),0)</ns0:f>
        <ns0:v>0</ns0:v>
      </ns0:c>
      <ns0:c r="I280" s="0">
        <ns0:f>IFERROR(IF(AND(F280&gt;=2000,F280&lt;=2100,G280&gt;=1,G280&lt;=12,H280&gt;=1,H280&lt;=31),DATE(F280,G280,H280),0),0)</ns0:f>
        <ns0:v>0</ns0:v>
      </ns0:c>
      <ns0:c r="J280" s="0">
        <ns0:f>IFERROR(IF(ISNUMBER(Bookings!B280),IF(AND(Bookings!B280=INT(Bookings!B280),Bookings!B280&gt;=DATE(2000,1,1),Bookings!B280&lt;=DATE(2100,12,31)),Bookings!B280,0),IF(AND(A280&lt;&gt;"",LEN("x"&amp;B280)-LEN(SUBSTITUTE("x"&amp;B280,".",""))=2,OR(1&gt;LEN(B280),MID(B280,1,1)=".",ISNUMBER(FIND("x"&amp;MID(B280,1,1),"x0x1x2x3x4x5x6x7x8x9"))),OR(2&gt;LEN(B280),MID(B280,2,1)=".",ISNUMBER(FIND("x"&amp;MID(B280,2,1),"x0x1x2x3x4x5x6x7x8x9"))),OR(3&gt;LEN(B280),MID(B280,3,1)=".",ISNUMBER(FIND("x"&amp;MID(B280,3,1),"x0x1x2x3x4x5x6x7x8x9"))),OR(4&gt;LEN(B280),MID(B280,4,1)=".",ISNUMBER(FIND("x"&amp;MID(B280,4,1),"x0x1x2x3x4x5x6x7x8x9"))),OR(5&gt;LEN(B280),MID(B280,5,1)=".",ISNUMBER(FIND("x"&amp;MID(B280,5,1),"x0x1x2x3x4x5x6x7x8x9"))),OR(6&gt;LEN(B280),MID(B280,6,1)=".",ISNUMBER(FIND("x"&amp;MID(B280,6,1),"x0x1x2x3x4x5x6x7x8x9"))),OR(7&gt;LEN(B280),MID(B280,7,1)=".",ISNUMBER(FIND("x"&amp;MID(B280,7,1),"x0x1x2x3x4x5x6x7x8x9"))),OR(8&gt;LEN(B280),MID(B280,8,1)=".",ISNUMBER(FIND("x"&amp;MID(B280,8,1),"x0x1x2x3x4x5x6x7x8x9"))),OR(9&gt;LEN(B280),MID(B280,9,1)=".",ISNUMBER(FIND("x"&amp;MID(B280,9,1),"x0x1x2x3x4x5x6x7x8x9"))),OR(10&gt;LEN(B280),MID(B280,10,1)=".",ISNUMBER(FIND("x"&amp;MID(B280,10,1),"x0x1x2x3x4x5x6x7x8x9"))),OR(AND(FIND(".",B280)=5,LEN(B280)-FIND(".",B280,FIND(".",B280)+1)&gt;=1,LEN(B280)-FIND(".",B280,FIND(".",B280)+1)&lt;=2),AND(LEN(B280)-FIND(".",B280,FIND(".",B280)+1)=4,FIND(".",B280)&gt;=2,FIND(".",B280)&lt;=3)),FIND(".",B280,FIND(".",B280)+1)-FIND(".",B280)&gt;=2,FIND(".",B280,FIND(".",B280)+1)-FIND(".",B280)&lt;=3,F280&gt;=2000,F280&lt;=2100,YEAR(I280)=F280,MONTH(I280)=G280,DAY(I280)=H280),I280,0)),0)</ns0:f>
        <ns0:v>0</ns0:v>
      </ns0:c>
      <ns0:c r="K280" s="0">
        <ns0:f>IFERROR(IF(ISNUMBER(Bookings!D280),"",TRIM(Bookings!D280&amp;"")),"")</ns0:f>
      </ns0:c>
      <ns0:c r="L280" s="0">
        <ns0:f>IFERROR(SUBSTITUTE(SUBSTITUTE(K280,"/","."),"-","."),"")</ns0:f>
      </ns0:c>
      <ns0:c r="M280" s="0">
        <ns0:f>IFERROR(LEFT(L280,FIND(".",L280)-1),"")</ns0:f>
      </ns0:c>
      <ns0:c r="N280" s="0">
        <ns0:f>IFERROR(MID(L280,FIND(".",L280)+1,FIND(".",L280,FIND(".",L280)+1)-FIND(".",L280)-1),"")</ns0:f>
      </ns0:c>
      <ns0:c r="O280" s="0">
        <ns0:f>IFERROR(MID(L280,FIND(".",L280,FIND(".",L280)+1)+1,99),"")</ns0:f>
        <ns0:v>99</ns0:v>
      </ns0:c>
      <ns0:c r="P280" s="0">
        <ns0:f>IFERROR(IF(FIND(".",L280)=5,--M280,--O280),0)</ns0:f>
        <ns0:v>0</ns0:v>
      </ns0:c>
      <ns0:c r="Q280" s="0">
        <ns0:f>IFERROR(--N280,0)</ns0:f>
        <ns0:v>0</ns0:v>
      </ns0:c>
      <ns0:c r="R280" s="0">
        <ns0:f>IFERROR(IF(FIND(".",L280)=5,--O280,--M280),0)</ns0:f>
        <ns0:v>0</ns0:v>
      </ns0:c>
      <ns0:c r="S280" s="0">
        <ns0:f>IFERROR(IF(AND(P280&gt;=2000,P280&lt;=2100,Q280&gt;=1,Q280&lt;=12,R280&gt;=1,R280&lt;=31),DATE(P280,Q280,R280),0),0)</ns0:f>
        <ns0:v>0</ns0:v>
      </ns0:c>
      <ns0:c r="T280" s="0">
        <ns0:f>IFERROR(IF(ISNUMBER(Bookings!D280),IF(AND(Bookings!D280=INT(Bookings!D280),Bookings!D280&gt;=DATE(2000,1,1),Bookings!D280&lt;=DATE(2100,12,31)),Bookings!D280,0),IF(AND(K280&lt;&gt;"",LEN("x"&amp;L280)-LEN(SUBSTITUTE("x"&amp;L280,".",""))=2,OR(1&gt;LEN(L280),MID(L280,1,1)=".",ISNUMBER(FIND("x"&amp;MID(L280,1,1),"x0x1x2x3x4x5x6x7x8x9"))),OR(2&gt;LEN(L280),MID(L280,2,1)=".",ISNUMBER(FIND("x"&amp;MID(L280,2,1),"x0x1x2x3x4x5x6x7x8x9"))),OR(3&gt;LEN(L280),MID(L280,3,1)=".",ISNUMBER(FIND("x"&amp;MID(L280,3,1),"x0x1x2x3x4x5x6x7x8x9"))),OR(4&gt;LEN(L280),MID(L280,4,1)=".",ISNUMBER(FIND("x"&amp;MID(L280,4,1),"x0x1x2x3x4x5x6x7x8x9"))),OR(5&gt;LEN(L280),MID(L280,5,1)=".",ISNUMBER(FIND("x"&amp;MID(L280,5,1),"x0x1x2x3x4x5x6x7x8x9"))),OR(6&gt;LEN(L280),MID(L280,6,1)=".",ISNUMBER(FIND("x"&amp;MID(L280,6,1),"x0x1x2x3x4x5x6x7x8x9"))),OR(7&gt;LEN(L280),MID(L280,7,1)=".",ISNUMBER(FIND("x"&amp;MID(L280,7,1),"x0x1x2x3x4x5x6x7x8x9"))),OR(8&gt;LEN(L280),MID(L280,8,1)=".",ISNUMBER(FIND("x"&amp;MID(L280,8,1),"x0x1x2x3x4x5x6x7x8x9"))),OR(9&gt;LEN(L280),MID(L280,9,1)=".",ISNUMBER(FIND("x"&amp;MID(L280,9,1),"x0x1x2x3x4x5x6x7x8x9"))),OR(10&gt;LEN(L280),MID(L280,10,1)=".",ISNUMBER(FIND("x"&amp;MID(L280,10,1),"x0x1x2x3x4x5x6x7x8x9"))),OR(AND(FIND(".",L280)=5,LEN(L280)-FIND(".",L280,FIND(".",L280)+1)&gt;=1,LEN(L280)-FIND(".",L280,FIND(".",L280)+1)&lt;=2),AND(LEN(L280)-FIND(".",L280,FIND(".",L280)+1)=4,FIND(".",L280)&gt;=2,FIND(".",L280)&lt;=3)),FIND(".",L280,FIND(".",L280)+1)-FIND(".",L280)&gt;=2,FIND(".",L280,FIND(".",L280)+1)-FIND(".",L280)&lt;=3,P280&gt;=2000,P280&lt;=2100,YEAR(S280)=P280,MONTH(S280)=Q280,DAY(S280)=R280),S280,0)),0)</ns0:f>
        <ns0:v>0</ns0:v>
      </ns0:c>
      <ns0:c r="U280" s="0" t="str">
        <ns0:f>IF(Bookings!C280="","Full day",Bookings!C280)</ns0:f>
        <ns0:v>Full day</ns0:v>
      </ns0:c>
      <ns0:c r="V280" s="0" t="str">
        <ns0:f>IF(Bookings!E280="","Full day",Bookings!E280)</ns0:f>
        <ns0:v>Full day</ns0:v>
      </ns0:c>
      <ns0:c r="W280" s="0">
        <ns0:f>IF(J280=0,0,J280+IF(U280="PM",1,0))</ns0:f>
        <ns0:v>0</ns0:v>
      </ns0:c>
      <ns0:c r="X280" s="0">
        <ns0:f>IF(T280=0,0,T280-IF(V280="PM",1,0))</ns0:f>
        <ns0:v>0</ns0:v>
      </ns0:c>
      <ns0:c r="Y280" s="0">
        <ns0:f>IF(J280=0,0,J280+IF(U280="AM",1,0))</ns0:f>
        <ns0:v>0</ns0:v>
      </ns0:c>
      <ns0:c r="Z280" s="0">
        <ns0:f>IF(T280=0,0,T280-IF(V280="AM",1,0))</ns0:f>
        <ns0:v>0</ns0:v>
      </ns0:c>
      <ns0:c r="AA280" s="0">
        <ns0:f>IFERROR(IF(AND(J280&gt;0,'_Engine'!C280&gt;0,MID('_Engine'!W280,WEEKDAY(J280,2),1)="W",COUNTIF(Settings!$F$18:$F$67,J280)=0),1,0),0)</ns0:f>
        <ns0:v>0</ns0:v>
      </ns0:c>
      <ns0:c r="AB280" s="0">
        <ns0:f>IFERROR(IF(AND(T280&gt;0,'_Engine'!C280&gt;0,MID('_Engine'!W280,WEEKDAY(T280,2),1)="W",COUNTIF(Settings!$F$18:$F$67,T280)=0),1,0),0)</ns0:f>
        <ns0:v>0</ns0:v>
      </ns0:c>
      <ns0:c r="AC280" s="0">
        <ns0:f>IF(AND(J280&gt;0,T280&gt;0,W280&lt;=X280),1,0)</ns0:f>
        <ns0:v>0</ns0:v>
      </ns0:c>
      <ns0:c r="AD280" s="0">
        <ns0:f>IF(AND(J280&gt;0,T280&gt;0,Y280&lt;=Z280),1,0)</ns0:f>
        <ns0:v>0</ns0:v>
      </ns0:c>
    </ns0:row>
    <ns0:row r="281">
      <ns0:c r="A281" s="0">
        <ns0:f>IFERROR(IF(ISNUMBER(Bookings!B281),"",TRIM(Bookings!B281&amp;"")),"")</ns0:f>
      </ns0:c>
      <ns0:c r="B281" s="0">
        <ns0:f>IFERROR(SUBSTITUTE(SUBSTITUTE(A281,"/","."),"-","."),"")</ns0:f>
      </ns0:c>
      <ns0:c r="C281" s="0">
        <ns0:f>IFERROR(LEFT(B281,FIND(".",B281)-1),"")</ns0:f>
      </ns0:c>
      <ns0:c r="D281" s="0">
        <ns0:f>IFERROR(MID(B281,FIND(".",B281)+1,FIND(".",B281,FIND(".",B281)+1)-FIND(".",B281)-1),"")</ns0:f>
      </ns0:c>
      <ns0:c r="E281" s="0">
        <ns0:f>IFERROR(MID(B281,FIND(".",B281,FIND(".",B281)+1)+1,99),"")</ns0:f>
        <ns0:v>99</ns0:v>
      </ns0:c>
      <ns0:c r="F281" s="0">
        <ns0:f>IFERROR(IF(FIND(".",B281)=5,--C281,--E281),0)</ns0:f>
        <ns0:v>0</ns0:v>
      </ns0:c>
      <ns0:c r="G281" s="0">
        <ns0:f>IFERROR(--D281,0)</ns0:f>
        <ns0:v>0</ns0:v>
      </ns0:c>
      <ns0:c r="H281" s="0">
        <ns0:f>IFERROR(IF(FIND(".",B281)=5,--E281,--C281),0)</ns0:f>
        <ns0:v>0</ns0:v>
      </ns0:c>
      <ns0:c r="I281" s="0">
        <ns0:f>IFERROR(IF(AND(F281&gt;=2000,F281&lt;=2100,G281&gt;=1,G281&lt;=12,H281&gt;=1,H281&lt;=31),DATE(F281,G281,H281),0),0)</ns0:f>
        <ns0:v>0</ns0:v>
      </ns0:c>
      <ns0:c r="J281" s="0">
        <ns0:f>IFERROR(IF(ISNUMBER(Bookings!B281),IF(AND(Bookings!B281=INT(Bookings!B281),Bookings!B281&gt;=DATE(2000,1,1),Bookings!B281&lt;=DATE(2100,12,31)),Bookings!B281,0),IF(AND(A281&lt;&gt;"",LEN("x"&amp;B281)-LEN(SUBSTITUTE("x"&amp;B281,".",""))=2,OR(1&gt;LEN(B281),MID(B281,1,1)=".",ISNUMBER(FIND("x"&amp;MID(B281,1,1),"x0x1x2x3x4x5x6x7x8x9"))),OR(2&gt;LEN(B281),MID(B281,2,1)=".",ISNUMBER(FIND("x"&amp;MID(B281,2,1),"x0x1x2x3x4x5x6x7x8x9"))),OR(3&gt;LEN(B281),MID(B281,3,1)=".",ISNUMBER(FIND("x"&amp;MID(B281,3,1),"x0x1x2x3x4x5x6x7x8x9"))),OR(4&gt;LEN(B281),MID(B281,4,1)=".",ISNUMBER(FIND("x"&amp;MID(B281,4,1),"x0x1x2x3x4x5x6x7x8x9"))),OR(5&gt;LEN(B281),MID(B281,5,1)=".",ISNUMBER(FIND("x"&amp;MID(B281,5,1),"x0x1x2x3x4x5x6x7x8x9"))),OR(6&gt;LEN(B281),MID(B281,6,1)=".",ISNUMBER(FIND("x"&amp;MID(B281,6,1),"x0x1x2x3x4x5x6x7x8x9"))),OR(7&gt;LEN(B281),MID(B281,7,1)=".",ISNUMBER(FIND("x"&amp;MID(B281,7,1),"x0x1x2x3x4x5x6x7x8x9"))),OR(8&gt;LEN(B281),MID(B281,8,1)=".",ISNUMBER(FIND("x"&amp;MID(B281,8,1),"x0x1x2x3x4x5x6x7x8x9"))),OR(9&gt;LEN(B281),MID(B281,9,1)=".",ISNUMBER(FIND("x"&amp;MID(B281,9,1),"x0x1x2x3x4x5x6x7x8x9"))),OR(10&gt;LEN(B281),MID(B281,10,1)=".",ISNUMBER(FIND("x"&amp;MID(B281,10,1),"x0x1x2x3x4x5x6x7x8x9"))),OR(AND(FIND(".",B281)=5,LEN(B281)-FIND(".",B281,FIND(".",B281)+1)&gt;=1,LEN(B281)-FIND(".",B281,FIND(".",B281)+1)&lt;=2),AND(LEN(B281)-FIND(".",B281,FIND(".",B281)+1)=4,FIND(".",B281)&gt;=2,FIND(".",B281)&lt;=3)),FIND(".",B281,FIND(".",B281)+1)-FIND(".",B281)&gt;=2,FIND(".",B281,FIND(".",B281)+1)-FIND(".",B281)&lt;=3,F281&gt;=2000,F281&lt;=2100,YEAR(I281)=F281,MONTH(I281)=G281,DAY(I281)=H281),I281,0)),0)</ns0:f>
        <ns0:v>0</ns0:v>
      </ns0:c>
      <ns0:c r="K281" s="0">
        <ns0:f>IFERROR(IF(ISNUMBER(Bookings!D281),"",TRIM(Bookings!D281&amp;"")),"")</ns0:f>
      </ns0:c>
      <ns0:c r="L281" s="0">
        <ns0:f>IFERROR(SUBSTITUTE(SUBSTITUTE(K281,"/","."),"-","."),"")</ns0:f>
      </ns0:c>
      <ns0:c r="M281" s="0">
        <ns0:f>IFERROR(LEFT(L281,FIND(".",L281)-1),"")</ns0:f>
      </ns0:c>
      <ns0:c r="N281" s="0">
        <ns0:f>IFERROR(MID(L281,FIND(".",L281)+1,FIND(".",L281,FIND(".",L281)+1)-FIND(".",L281)-1),"")</ns0:f>
      </ns0:c>
      <ns0:c r="O281" s="0">
        <ns0:f>IFERROR(MID(L281,FIND(".",L281,FIND(".",L281)+1)+1,99),"")</ns0:f>
        <ns0:v>99</ns0:v>
      </ns0:c>
      <ns0:c r="P281" s="0">
        <ns0:f>IFERROR(IF(FIND(".",L281)=5,--M281,--O281),0)</ns0:f>
        <ns0:v>0</ns0:v>
      </ns0:c>
      <ns0:c r="Q281" s="0">
        <ns0:f>IFERROR(--N281,0)</ns0:f>
        <ns0:v>0</ns0:v>
      </ns0:c>
      <ns0:c r="R281" s="0">
        <ns0:f>IFERROR(IF(FIND(".",L281)=5,--O281,--M281),0)</ns0:f>
        <ns0:v>0</ns0:v>
      </ns0:c>
      <ns0:c r="S281" s="0">
        <ns0:f>IFERROR(IF(AND(P281&gt;=2000,P281&lt;=2100,Q281&gt;=1,Q281&lt;=12,R281&gt;=1,R281&lt;=31),DATE(P281,Q281,R281),0),0)</ns0:f>
        <ns0:v>0</ns0:v>
      </ns0:c>
      <ns0:c r="T281" s="0">
        <ns0:f>IFERROR(IF(ISNUMBER(Bookings!D281),IF(AND(Bookings!D281=INT(Bookings!D281),Bookings!D281&gt;=DATE(2000,1,1),Bookings!D281&lt;=DATE(2100,12,31)),Bookings!D281,0),IF(AND(K281&lt;&gt;"",LEN("x"&amp;L281)-LEN(SUBSTITUTE("x"&amp;L281,".",""))=2,OR(1&gt;LEN(L281),MID(L281,1,1)=".",ISNUMBER(FIND("x"&amp;MID(L281,1,1),"x0x1x2x3x4x5x6x7x8x9"))),OR(2&gt;LEN(L281),MID(L281,2,1)=".",ISNUMBER(FIND("x"&amp;MID(L281,2,1),"x0x1x2x3x4x5x6x7x8x9"))),OR(3&gt;LEN(L281),MID(L281,3,1)=".",ISNUMBER(FIND("x"&amp;MID(L281,3,1),"x0x1x2x3x4x5x6x7x8x9"))),OR(4&gt;LEN(L281),MID(L281,4,1)=".",ISNUMBER(FIND("x"&amp;MID(L281,4,1),"x0x1x2x3x4x5x6x7x8x9"))),OR(5&gt;LEN(L281),MID(L281,5,1)=".",ISNUMBER(FIND("x"&amp;MID(L281,5,1),"x0x1x2x3x4x5x6x7x8x9"))),OR(6&gt;LEN(L281),MID(L281,6,1)=".",ISNUMBER(FIND("x"&amp;MID(L281,6,1),"x0x1x2x3x4x5x6x7x8x9"))),OR(7&gt;LEN(L281),MID(L281,7,1)=".",ISNUMBER(FIND("x"&amp;MID(L281,7,1),"x0x1x2x3x4x5x6x7x8x9"))),OR(8&gt;LEN(L281),MID(L281,8,1)=".",ISNUMBER(FIND("x"&amp;MID(L281,8,1),"x0x1x2x3x4x5x6x7x8x9"))),OR(9&gt;LEN(L281),MID(L281,9,1)=".",ISNUMBER(FIND("x"&amp;MID(L281,9,1),"x0x1x2x3x4x5x6x7x8x9"))),OR(10&gt;LEN(L281),MID(L281,10,1)=".",ISNUMBER(FIND("x"&amp;MID(L281,10,1),"x0x1x2x3x4x5x6x7x8x9"))),OR(AND(FIND(".",L281)=5,LEN(L281)-FIND(".",L281,FIND(".",L281)+1)&gt;=1,LEN(L281)-FIND(".",L281,FIND(".",L281)+1)&lt;=2),AND(LEN(L281)-FIND(".",L281,FIND(".",L281)+1)=4,FIND(".",L281)&gt;=2,FIND(".",L281)&lt;=3)),FIND(".",L281,FIND(".",L281)+1)-FIND(".",L281)&gt;=2,FIND(".",L281,FIND(".",L281)+1)-FIND(".",L281)&lt;=3,P281&gt;=2000,P281&lt;=2100,YEAR(S281)=P281,MONTH(S281)=Q281,DAY(S281)=R281),S281,0)),0)</ns0:f>
        <ns0:v>0</ns0:v>
      </ns0:c>
      <ns0:c r="U281" s="0" t="str">
        <ns0:f>IF(Bookings!C281="","Full day",Bookings!C281)</ns0:f>
        <ns0:v>Full day</ns0:v>
      </ns0:c>
      <ns0:c r="V281" s="0" t="str">
        <ns0:f>IF(Bookings!E281="","Full day",Bookings!E281)</ns0:f>
        <ns0:v>Full day</ns0:v>
      </ns0:c>
      <ns0:c r="W281" s="0">
        <ns0:f>IF(J281=0,0,J281+IF(U281="PM",1,0))</ns0:f>
        <ns0:v>0</ns0:v>
      </ns0:c>
      <ns0:c r="X281" s="0">
        <ns0:f>IF(T281=0,0,T281-IF(V281="PM",1,0))</ns0:f>
        <ns0:v>0</ns0:v>
      </ns0:c>
      <ns0:c r="Y281" s="0">
        <ns0:f>IF(J281=0,0,J281+IF(U281="AM",1,0))</ns0:f>
        <ns0:v>0</ns0:v>
      </ns0:c>
      <ns0:c r="Z281" s="0">
        <ns0:f>IF(T281=0,0,T281-IF(V281="AM",1,0))</ns0:f>
        <ns0:v>0</ns0:v>
      </ns0:c>
      <ns0:c r="AA281" s="0">
        <ns0:f>IFERROR(IF(AND(J281&gt;0,'_Engine'!C281&gt;0,MID('_Engine'!W281,WEEKDAY(J281,2),1)="W",COUNTIF(Settings!$F$18:$F$67,J281)=0),1,0),0)</ns0:f>
        <ns0:v>0</ns0:v>
      </ns0:c>
      <ns0:c r="AB281" s="0">
        <ns0:f>IFERROR(IF(AND(T281&gt;0,'_Engine'!C281&gt;0,MID('_Engine'!W281,WEEKDAY(T281,2),1)="W",COUNTIF(Settings!$F$18:$F$67,T281)=0),1,0),0)</ns0:f>
        <ns0:v>0</ns0:v>
      </ns0:c>
      <ns0:c r="AC281" s="0">
        <ns0:f>IF(AND(J281&gt;0,T281&gt;0,W281&lt;=X281),1,0)</ns0:f>
        <ns0:v>0</ns0:v>
      </ns0:c>
      <ns0:c r="AD281" s="0">
        <ns0:f>IF(AND(J281&gt;0,T281&gt;0,Y281&lt;=Z281),1,0)</ns0:f>
        <ns0:v>0</ns0:v>
      </ns0:c>
    </ns0:row>
    <ns0:row r="282">
      <ns0:c r="A282" s="0">
        <ns0:f>IFERROR(IF(ISNUMBER(Bookings!B282),"",TRIM(Bookings!B282&amp;"")),"")</ns0:f>
      </ns0:c>
      <ns0:c r="B282" s="0">
        <ns0:f>IFERROR(SUBSTITUTE(SUBSTITUTE(A282,"/","."),"-","."),"")</ns0:f>
      </ns0:c>
      <ns0:c r="C282" s="0">
        <ns0:f>IFERROR(LEFT(B282,FIND(".",B282)-1),"")</ns0:f>
      </ns0:c>
      <ns0:c r="D282" s="0">
        <ns0:f>IFERROR(MID(B282,FIND(".",B282)+1,FIND(".",B282,FIND(".",B282)+1)-FIND(".",B282)-1),"")</ns0:f>
      </ns0:c>
      <ns0:c r="E282" s="0">
        <ns0:f>IFERROR(MID(B282,FIND(".",B282,FIND(".",B282)+1)+1,99),"")</ns0:f>
        <ns0:v>99</ns0:v>
      </ns0:c>
      <ns0:c r="F282" s="0">
        <ns0:f>IFERROR(IF(FIND(".",B282)=5,--C282,--E282),0)</ns0:f>
        <ns0:v>0</ns0:v>
      </ns0:c>
      <ns0:c r="G282" s="0">
        <ns0:f>IFERROR(--D282,0)</ns0:f>
        <ns0:v>0</ns0:v>
      </ns0:c>
      <ns0:c r="H282" s="0">
        <ns0:f>IFERROR(IF(FIND(".",B282)=5,--E282,--C282),0)</ns0:f>
        <ns0:v>0</ns0:v>
      </ns0:c>
      <ns0:c r="I282" s="0">
        <ns0:f>IFERROR(IF(AND(F282&gt;=2000,F282&lt;=2100,G282&gt;=1,G282&lt;=12,H282&gt;=1,H282&lt;=31),DATE(F282,G282,H282),0),0)</ns0:f>
        <ns0:v>0</ns0:v>
      </ns0:c>
      <ns0:c r="J282" s="0">
        <ns0:f>IFERROR(IF(ISNUMBER(Bookings!B282),IF(AND(Bookings!B282=INT(Bookings!B282),Bookings!B282&gt;=DATE(2000,1,1),Bookings!B282&lt;=DATE(2100,12,31)),Bookings!B282,0),IF(AND(A282&lt;&gt;"",LEN("x"&amp;B282)-LEN(SUBSTITUTE("x"&amp;B282,".",""))=2,OR(1&gt;LEN(B282),MID(B282,1,1)=".",ISNUMBER(FIND("x"&amp;MID(B282,1,1),"x0x1x2x3x4x5x6x7x8x9"))),OR(2&gt;LEN(B282),MID(B282,2,1)=".",ISNUMBER(FIND("x"&amp;MID(B282,2,1),"x0x1x2x3x4x5x6x7x8x9"))),OR(3&gt;LEN(B282),MID(B282,3,1)=".",ISNUMBER(FIND("x"&amp;MID(B282,3,1),"x0x1x2x3x4x5x6x7x8x9"))),OR(4&gt;LEN(B282),MID(B282,4,1)=".",ISNUMBER(FIND("x"&amp;MID(B282,4,1),"x0x1x2x3x4x5x6x7x8x9"))),OR(5&gt;LEN(B282),MID(B282,5,1)=".",ISNUMBER(FIND("x"&amp;MID(B282,5,1),"x0x1x2x3x4x5x6x7x8x9"))),OR(6&gt;LEN(B282),MID(B282,6,1)=".",ISNUMBER(FIND("x"&amp;MID(B282,6,1),"x0x1x2x3x4x5x6x7x8x9"))),OR(7&gt;LEN(B282),MID(B282,7,1)=".",ISNUMBER(FIND("x"&amp;MID(B282,7,1),"x0x1x2x3x4x5x6x7x8x9"))),OR(8&gt;LEN(B282),MID(B282,8,1)=".",ISNUMBER(FIND("x"&amp;MID(B282,8,1),"x0x1x2x3x4x5x6x7x8x9"))),OR(9&gt;LEN(B282),MID(B282,9,1)=".",ISNUMBER(FIND("x"&amp;MID(B282,9,1),"x0x1x2x3x4x5x6x7x8x9"))),OR(10&gt;LEN(B282),MID(B282,10,1)=".",ISNUMBER(FIND("x"&amp;MID(B282,10,1),"x0x1x2x3x4x5x6x7x8x9"))),OR(AND(FIND(".",B282)=5,LEN(B282)-FIND(".",B282,FIND(".",B282)+1)&gt;=1,LEN(B282)-FIND(".",B282,FIND(".",B282)+1)&lt;=2),AND(LEN(B282)-FIND(".",B282,FIND(".",B282)+1)=4,FIND(".",B282)&gt;=2,FIND(".",B282)&lt;=3)),FIND(".",B282,FIND(".",B282)+1)-FIND(".",B282)&gt;=2,FIND(".",B282,FIND(".",B282)+1)-FIND(".",B282)&lt;=3,F282&gt;=2000,F282&lt;=2100,YEAR(I282)=F282,MONTH(I282)=G282,DAY(I282)=H282),I282,0)),0)</ns0:f>
        <ns0:v>0</ns0:v>
      </ns0:c>
      <ns0:c r="K282" s="0">
        <ns0:f>IFERROR(IF(ISNUMBER(Bookings!D282),"",TRIM(Bookings!D282&amp;"")),"")</ns0:f>
      </ns0:c>
      <ns0:c r="L282" s="0">
        <ns0:f>IFERROR(SUBSTITUTE(SUBSTITUTE(K282,"/","."),"-","."),"")</ns0:f>
      </ns0:c>
      <ns0:c r="M282" s="0">
        <ns0:f>IFERROR(LEFT(L282,FIND(".",L282)-1),"")</ns0:f>
      </ns0:c>
      <ns0:c r="N282" s="0">
        <ns0:f>IFERROR(MID(L282,FIND(".",L282)+1,FIND(".",L282,FIND(".",L282)+1)-FIND(".",L282)-1),"")</ns0:f>
      </ns0:c>
      <ns0:c r="O282" s="0">
        <ns0:f>IFERROR(MID(L282,FIND(".",L282,FIND(".",L282)+1)+1,99),"")</ns0:f>
        <ns0:v>99</ns0:v>
      </ns0:c>
      <ns0:c r="P282" s="0">
        <ns0:f>IFERROR(IF(FIND(".",L282)=5,--M282,--O282),0)</ns0:f>
        <ns0:v>0</ns0:v>
      </ns0:c>
      <ns0:c r="Q282" s="0">
        <ns0:f>IFERROR(--N282,0)</ns0:f>
        <ns0:v>0</ns0:v>
      </ns0:c>
      <ns0:c r="R282" s="0">
        <ns0:f>IFERROR(IF(FIND(".",L282)=5,--O282,--M282),0)</ns0:f>
        <ns0:v>0</ns0:v>
      </ns0:c>
      <ns0:c r="S282" s="0">
        <ns0:f>IFERROR(IF(AND(P282&gt;=2000,P282&lt;=2100,Q282&gt;=1,Q282&lt;=12,R282&gt;=1,R282&lt;=31),DATE(P282,Q282,R282),0),0)</ns0:f>
        <ns0:v>0</ns0:v>
      </ns0:c>
      <ns0:c r="T282" s="0">
        <ns0:f>IFERROR(IF(ISNUMBER(Bookings!D282),IF(AND(Bookings!D282=INT(Bookings!D282),Bookings!D282&gt;=DATE(2000,1,1),Bookings!D282&lt;=DATE(2100,12,31)),Bookings!D282,0),IF(AND(K282&lt;&gt;"",LEN("x"&amp;L282)-LEN(SUBSTITUTE("x"&amp;L282,".",""))=2,OR(1&gt;LEN(L282),MID(L282,1,1)=".",ISNUMBER(FIND("x"&amp;MID(L282,1,1),"x0x1x2x3x4x5x6x7x8x9"))),OR(2&gt;LEN(L282),MID(L282,2,1)=".",ISNUMBER(FIND("x"&amp;MID(L282,2,1),"x0x1x2x3x4x5x6x7x8x9"))),OR(3&gt;LEN(L282),MID(L282,3,1)=".",ISNUMBER(FIND("x"&amp;MID(L282,3,1),"x0x1x2x3x4x5x6x7x8x9"))),OR(4&gt;LEN(L282),MID(L282,4,1)=".",ISNUMBER(FIND("x"&amp;MID(L282,4,1),"x0x1x2x3x4x5x6x7x8x9"))),OR(5&gt;LEN(L282),MID(L282,5,1)=".",ISNUMBER(FIND("x"&amp;MID(L282,5,1),"x0x1x2x3x4x5x6x7x8x9"))),OR(6&gt;LEN(L282),MID(L282,6,1)=".",ISNUMBER(FIND("x"&amp;MID(L282,6,1),"x0x1x2x3x4x5x6x7x8x9"))),OR(7&gt;LEN(L282),MID(L282,7,1)=".",ISNUMBER(FIND("x"&amp;MID(L282,7,1),"x0x1x2x3x4x5x6x7x8x9"))),OR(8&gt;LEN(L282),MID(L282,8,1)=".",ISNUMBER(FIND("x"&amp;MID(L282,8,1),"x0x1x2x3x4x5x6x7x8x9"))),OR(9&gt;LEN(L282),MID(L282,9,1)=".",ISNUMBER(FIND("x"&amp;MID(L282,9,1),"x0x1x2x3x4x5x6x7x8x9"))),OR(10&gt;LEN(L282),MID(L282,10,1)=".",ISNUMBER(FIND("x"&amp;MID(L282,10,1),"x0x1x2x3x4x5x6x7x8x9"))),OR(AND(FIND(".",L282)=5,LEN(L282)-FIND(".",L282,FIND(".",L282)+1)&gt;=1,LEN(L282)-FIND(".",L282,FIND(".",L282)+1)&lt;=2),AND(LEN(L282)-FIND(".",L282,FIND(".",L282)+1)=4,FIND(".",L282)&gt;=2,FIND(".",L282)&lt;=3)),FIND(".",L282,FIND(".",L282)+1)-FIND(".",L282)&gt;=2,FIND(".",L282,FIND(".",L282)+1)-FIND(".",L282)&lt;=3,P282&gt;=2000,P282&lt;=2100,YEAR(S282)=P282,MONTH(S282)=Q282,DAY(S282)=R282),S282,0)),0)</ns0:f>
        <ns0:v>0</ns0:v>
      </ns0:c>
      <ns0:c r="U282" s="0" t="str">
        <ns0:f>IF(Bookings!C282="","Full day",Bookings!C282)</ns0:f>
        <ns0:v>Full day</ns0:v>
      </ns0:c>
      <ns0:c r="V282" s="0" t="str">
        <ns0:f>IF(Bookings!E282="","Full day",Bookings!E282)</ns0:f>
        <ns0:v>Full day</ns0:v>
      </ns0:c>
      <ns0:c r="W282" s="0">
        <ns0:f>IF(J282=0,0,J282+IF(U282="PM",1,0))</ns0:f>
        <ns0:v>0</ns0:v>
      </ns0:c>
      <ns0:c r="X282" s="0">
        <ns0:f>IF(T282=0,0,T282-IF(V282="PM",1,0))</ns0:f>
        <ns0:v>0</ns0:v>
      </ns0:c>
      <ns0:c r="Y282" s="0">
        <ns0:f>IF(J282=0,0,J282+IF(U282="AM",1,0))</ns0:f>
        <ns0:v>0</ns0:v>
      </ns0:c>
      <ns0:c r="Z282" s="0">
        <ns0:f>IF(T282=0,0,T282-IF(V282="AM",1,0))</ns0:f>
        <ns0:v>0</ns0:v>
      </ns0:c>
      <ns0:c r="AA282" s="0">
        <ns0:f>IFERROR(IF(AND(J282&gt;0,'_Engine'!C282&gt;0,MID('_Engine'!W282,WEEKDAY(J282,2),1)="W",COUNTIF(Settings!$F$18:$F$67,J282)=0),1,0),0)</ns0:f>
        <ns0:v>0</ns0:v>
      </ns0:c>
      <ns0:c r="AB282" s="0">
        <ns0:f>IFERROR(IF(AND(T282&gt;0,'_Engine'!C282&gt;0,MID('_Engine'!W282,WEEKDAY(T282,2),1)="W",COUNTIF(Settings!$F$18:$F$67,T282)=0),1,0),0)</ns0:f>
        <ns0:v>0</ns0:v>
      </ns0:c>
      <ns0:c r="AC282" s="0">
        <ns0:f>IF(AND(J282&gt;0,T282&gt;0,W282&lt;=X282),1,0)</ns0:f>
        <ns0:v>0</ns0:v>
      </ns0:c>
      <ns0:c r="AD282" s="0">
        <ns0:f>IF(AND(J282&gt;0,T282&gt;0,Y282&lt;=Z282),1,0)</ns0:f>
        <ns0:v>0</ns0:v>
      </ns0:c>
    </ns0:row>
    <ns0:row r="283">
      <ns0:c r="A283" s="0">
        <ns0:f>IFERROR(IF(ISNUMBER(Bookings!B283),"",TRIM(Bookings!B283&amp;"")),"")</ns0:f>
      </ns0:c>
      <ns0:c r="B283" s="0">
        <ns0:f>IFERROR(SUBSTITUTE(SUBSTITUTE(A283,"/","."),"-","."),"")</ns0:f>
      </ns0:c>
      <ns0:c r="C283" s="0">
        <ns0:f>IFERROR(LEFT(B283,FIND(".",B283)-1),"")</ns0:f>
      </ns0:c>
      <ns0:c r="D283" s="0">
        <ns0:f>IFERROR(MID(B283,FIND(".",B283)+1,FIND(".",B283,FIND(".",B283)+1)-FIND(".",B283)-1),"")</ns0:f>
      </ns0:c>
      <ns0:c r="E283" s="0">
        <ns0:f>IFERROR(MID(B283,FIND(".",B283,FIND(".",B283)+1)+1,99),"")</ns0:f>
        <ns0:v>99</ns0:v>
      </ns0:c>
      <ns0:c r="F283" s="0">
        <ns0:f>IFERROR(IF(FIND(".",B283)=5,--C283,--E283),0)</ns0:f>
        <ns0:v>0</ns0:v>
      </ns0:c>
      <ns0:c r="G283" s="0">
        <ns0:f>IFERROR(--D283,0)</ns0:f>
        <ns0:v>0</ns0:v>
      </ns0:c>
      <ns0:c r="H283" s="0">
        <ns0:f>IFERROR(IF(FIND(".",B283)=5,--E283,--C283),0)</ns0:f>
        <ns0:v>0</ns0:v>
      </ns0:c>
      <ns0:c r="I283" s="0">
        <ns0:f>IFERROR(IF(AND(F283&gt;=2000,F283&lt;=2100,G283&gt;=1,G283&lt;=12,H283&gt;=1,H283&lt;=31),DATE(F283,G283,H283),0),0)</ns0:f>
        <ns0:v>0</ns0:v>
      </ns0:c>
      <ns0:c r="J283" s="0">
        <ns0:f>IFERROR(IF(ISNUMBER(Bookings!B283),IF(AND(Bookings!B283=INT(Bookings!B283),Bookings!B283&gt;=DATE(2000,1,1),Bookings!B283&lt;=DATE(2100,12,31)),Bookings!B283,0),IF(AND(A283&lt;&gt;"",LEN("x"&amp;B283)-LEN(SUBSTITUTE("x"&amp;B283,".",""))=2,OR(1&gt;LEN(B283),MID(B283,1,1)=".",ISNUMBER(FIND("x"&amp;MID(B283,1,1),"x0x1x2x3x4x5x6x7x8x9"))),OR(2&gt;LEN(B283),MID(B283,2,1)=".",ISNUMBER(FIND("x"&amp;MID(B283,2,1),"x0x1x2x3x4x5x6x7x8x9"))),OR(3&gt;LEN(B283),MID(B283,3,1)=".",ISNUMBER(FIND("x"&amp;MID(B283,3,1),"x0x1x2x3x4x5x6x7x8x9"))),OR(4&gt;LEN(B283),MID(B283,4,1)=".",ISNUMBER(FIND("x"&amp;MID(B283,4,1),"x0x1x2x3x4x5x6x7x8x9"))),OR(5&gt;LEN(B283),MID(B283,5,1)=".",ISNUMBER(FIND("x"&amp;MID(B283,5,1),"x0x1x2x3x4x5x6x7x8x9"))),OR(6&gt;LEN(B283),MID(B283,6,1)=".",ISNUMBER(FIND("x"&amp;MID(B283,6,1),"x0x1x2x3x4x5x6x7x8x9"))),OR(7&gt;LEN(B283),MID(B283,7,1)=".",ISNUMBER(FIND("x"&amp;MID(B283,7,1),"x0x1x2x3x4x5x6x7x8x9"))),OR(8&gt;LEN(B283),MID(B283,8,1)=".",ISNUMBER(FIND("x"&amp;MID(B283,8,1),"x0x1x2x3x4x5x6x7x8x9"))),OR(9&gt;LEN(B283),MID(B283,9,1)=".",ISNUMBER(FIND("x"&amp;MID(B283,9,1),"x0x1x2x3x4x5x6x7x8x9"))),OR(10&gt;LEN(B283),MID(B283,10,1)=".",ISNUMBER(FIND("x"&amp;MID(B283,10,1),"x0x1x2x3x4x5x6x7x8x9"))),OR(AND(FIND(".",B283)=5,LEN(B283)-FIND(".",B283,FIND(".",B283)+1)&gt;=1,LEN(B283)-FIND(".",B283,FIND(".",B283)+1)&lt;=2),AND(LEN(B283)-FIND(".",B283,FIND(".",B283)+1)=4,FIND(".",B283)&gt;=2,FIND(".",B283)&lt;=3)),FIND(".",B283,FIND(".",B283)+1)-FIND(".",B283)&gt;=2,FIND(".",B283,FIND(".",B283)+1)-FIND(".",B283)&lt;=3,F283&gt;=2000,F283&lt;=2100,YEAR(I283)=F283,MONTH(I283)=G283,DAY(I283)=H283),I283,0)),0)</ns0:f>
        <ns0:v>0</ns0:v>
      </ns0:c>
      <ns0:c r="K283" s="0">
        <ns0:f>IFERROR(IF(ISNUMBER(Bookings!D283),"",TRIM(Bookings!D283&amp;"")),"")</ns0:f>
      </ns0:c>
      <ns0:c r="L283" s="0">
        <ns0:f>IFERROR(SUBSTITUTE(SUBSTITUTE(K283,"/","."),"-","."),"")</ns0:f>
      </ns0:c>
      <ns0:c r="M283" s="0">
        <ns0:f>IFERROR(LEFT(L283,FIND(".",L283)-1),"")</ns0:f>
      </ns0:c>
      <ns0:c r="N283" s="0">
        <ns0:f>IFERROR(MID(L283,FIND(".",L283)+1,FIND(".",L283,FIND(".",L283)+1)-FIND(".",L283)-1),"")</ns0:f>
      </ns0:c>
      <ns0:c r="O283" s="0">
        <ns0:f>IFERROR(MID(L283,FIND(".",L283,FIND(".",L283)+1)+1,99),"")</ns0:f>
        <ns0:v>99</ns0:v>
      </ns0:c>
      <ns0:c r="P283" s="0">
        <ns0:f>IFERROR(IF(FIND(".",L283)=5,--M283,--O283),0)</ns0:f>
        <ns0:v>0</ns0:v>
      </ns0:c>
      <ns0:c r="Q283" s="0">
        <ns0:f>IFERROR(--N283,0)</ns0:f>
        <ns0:v>0</ns0:v>
      </ns0:c>
      <ns0:c r="R283" s="0">
        <ns0:f>IFERROR(IF(FIND(".",L283)=5,--O283,--M283),0)</ns0:f>
        <ns0:v>0</ns0:v>
      </ns0:c>
      <ns0:c r="S283" s="0">
        <ns0:f>IFERROR(IF(AND(P283&gt;=2000,P283&lt;=2100,Q283&gt;=1,Q283&lt;=12,R283&gt;=1,R283&lt;=31),DATE(P283,Q283,R283),0),0)</ns0:f>
        <ns0:v>0</ns0:v>
      </ns0:c>
      <ns0:c r="T283" s="0">
        <ns0:f>IFERROR(IF(ISNUMBER(Bookings!D283),IF(AND(Bookings!D283=INT(Bookings!D283),Bookings!D283&gt;=DATE(2000,1,1),Bookings!D283&lt;=DATE(2100,12,31)),Bookings!D283,0),IF(AND(K283&lt;&gt;"",LEN("x"&amp;L283)-LEN(SUBSTITUTE("x"&amp;L283,".",""))=2,OR(1&gt;LEN(L283),MID(L283,1,1)=".",ISNUMBER(FIND("x"&amp;MID(L283,1,1),"x0x1x2x3x4x5x6x7x8x9"))),OR(2&gt;LEN(L283),MID(L283,2,1)=".",ISNUMBER(FIND("x"&amp;MID(L283,2,1),"x0x1x2x3x4x5x6x7x8x9"))),OR(3&gt;LEN(L283),MID(L283,3,1)=".",ISNUMBER(FIND("x"&amp;MID(L283,3,1),"x0x1x2x3x4x5x6x7x8x9"))),OR(4&gt;LEN(L283),MID(L283,4,1)=".",ISNUMBER(FIND("x"&amp;MID(L283,4,1),"x0x1x2x3x4x5x6x7x8x9"))),OR(5&gt;LEN(L283),MID(L283,5,1)=".",ISNUMBER(FIND("x"&amp;MID(L283,5,1),"x0x1x2x3x4x5x6x7x8x9"))),OR(6&gt;LEN(L283),MID(L283,6,1)=".",ISNUMBER(FIND("x"&amp;MID(L283,6,1),"x0x1x2x3x4x5x6x7x8x9"))),OR(7&gt;LEN(L283),MID(L283,7,1)=".",ISNUMBER(FIND("x"&amp;MID(L283,7,1),"x0x1x2x3x4x5x6x7x8x9"))),OR(8&gt;LEN(L283),MID(L283,8,1)=".",ISNUMBER(FIND("x"&amp;MID(L283,8,1),"x0x1x2x3x4x5x6x7x8x9"))),OR(9&gt;LEN(L283),MID(L283,9,1)=".",ISNUMBER(FIND("x"&amp;MID(L283,9,1),"x0x1x2x3x4x5x6x7x8x9"))),OR(10&gt;LEN(L283),MID(L283,10,1)=".",ISNUMBER(FIND("x"&amp;MID(L283,10,1),"x0x1x2x3x4x5x6x7x8x9"))),OR(AND(FIND(".",L283)=5,LEN(L283)-FIND(".",L283,FIND(".",L283)+1)&gt;=1,LEN(L283)-FIND(".",L283,FIND(".",L283)+1)&lt;=2),AND(LEN(L283)-FIND(".",L283,FIND(".",L283)+1)=4,FIND(".",L283)&gt;=2,FIND(".",L283)&lt;=3)),FIND(".",L283,FIND(".",L283)+1)-FIND(".",L283)&gt;=2,FIND(".",L283,FIND(".",L283)+1)-FIND(".",L283)&lt;=3,P283&gt;=2000,P283&lt;=2100,YEAR(S283)=P283,MONTH(S283)=Q283,DAY(S283)=R283),S283,0)),0)</ns0:f>
        <ns0:v>0</ns0:v>
      </ns0:c>
      <ns0:c r="U283" s="0" t="str">
        <ns0:f>IF(Bookings!C283="","Full day",Bookings!C283)</ns0:f>
        <ns0:v>Full day</ns0:v>
      </ns0:c>
      <ns0:c r="V283" s="0" t="str">
        <ns0:f>IF(Bookings!E283="","Full day",Bookings!E283)</ns0:f>
        <ns0:v>Full day</ns0:v>
      </ns0:c>
      <ns0:c r="W283" s="0">
        <ns0:f>IF(J283=0,0,J283+IF(U283="PM",1,0))</ns0:f>
        <ns0:v>0</ns0:v>
      </ns0:c>
      <ns0:c r="X283" s="0">
        <ns0:f>IF(T283=0,0,T283-IF(V283="PM",1,0))</ns0:f>
        <ns0:v>0</ns0:v>
      </ns0:c>
      <ns0:c r="Y283" s="0">
        <ns0:f>IF(J283=0,0,J283+IF(U283="AM",1,0))</ns0:f>
        <ns0:v>0</ns0:v>
      </ns0:c>
      <ns0:c r="Z283" s="0">
        <ns0:f>IF(T283=0,0,T283-IF(V283="AM",1,0))</ns0:f>
        <ns0:v>0</ns0:v>
      </ns0:c>
      <ns0:c r="AA283" s="0">
        <ns0:f>IFERROR(IF(AND(J283&gt;0,'_Engine'!C283&gt;0,MID('_Engine'!W283,WEEKDAY(J283,2),1)="W",COUNTIF(Settings!$F$18:$F$67,J283)=0),1,0),0)</ns0:f>
        <ns0:v>0</ns0:v>
      </ns0:c>
      <ns0:c r="AB283" s="0">
        <ns0:f>IFERROR(IF(AND(T283&gt;0,'_Engine'!C283&gt;0,MID('_Engine'!W283,WEEKDAY(T283,2),1)="W",COUNTIF(Settings!$F$18:$F$67,T283)=0),1,0),0)</ns0:f>
        <ns0:v>0</ns0:v>
      </ns0:c>
      <ns0:c r="AC283" s="0">
        <ns0:f>IF(AND(J283&gt;0,T283&gt;0,W283&lt;=X283),1,0)</ns0:f>
        <ns0:v>0</ns0:v>
      </ns0:c>
      <ns0:c r="AD283" s="0">
        <ns0:f>IF(AND(J283&gt;0,T283&gt;0,Y283&lt;=Z283),1,0)</ns0:f>
        <ns0:v>0</ns0:v>
      </ns0:c>
    </ns0:row>
    <ns0:row r="284">
      <ns0:c r="A284" s="0">
        <ns0:f>IFERROR(IF(ISNUMBER(Bookings!B284),"",TRIM(Bookings!B284&amp;"")),"")</ns0:f>
      </ns0:c>
      <ns0:c r="B284" s="0">
        <ns0:f>IFERROR(SUBSTITUTE(SUBSTITUTE(A284,"/","."),"-","."),"")</ns0:f>
      </ns0:c>
      <ns0:c r="C284" s="0">
        <ns0:f>IFERROR(LEFT(B284,FIND(".",B284)-1),"")</ns0:f>
      </ns0:c>
      <ns0:c r="D284" s="0">
        <ns0:f>IFERROR(MID(B284,FIND(".",B284)+1,FIND(".",B284,FIND(".",B284)+1)-FIND(".",B284)-1),"")</ns0:f>
      </ns0:c>
      <ns0:c r="E284" s="0">
        <ns0:f>IFERROR(MID(B284,FIND(".",B284,FIND(".",B284)+1)+1,99),"")</ns0:f>
        <ns0:v>99</ns0:v>
      </ns0:c>
      <ns0:c r="F284" s="0">
        <ns0:f>IFERROR(IF(FIND(".",B284)=5,--C284,--E284),0)</ns0:f>
        <ns0:v>0</ns0:v>
      </ns0:c>
      <ns0:c r="G284" s="0">
        <ns0:f>IFERROR(--D284,0)</ns0:f>
        <ns0:v>0</ns0:v>
      </ns0:c>
      <ns0:c r="H284" s="0">
        <ns0:f>IFERROR(IF(FIND(".",B284)=5,--E284,--C284),0)</ns0:f>
        <ns0:v>0</ns0:v>
      </ns0:c>
      <ns0:c r="I284" s="0">
        <ns0:f>IFERROR(IF(AND(F284&gt;=2000,F284&lt;=2100,G284&gt;=1,G284&lt;=12,H284&gt;=1,H284&lt;=31),DATE(F284,G284,H284),0),0)</ns0:f>
        <ns0:v>0</ns0:v>
      </ns0:c>
      <ns0:c r="J284" s="0">
        <ns0:f>IFERROR(IF(ISNUMBER(Bookings!B284),IF(AND(Bookings!B284=INT(Bookings!B284),Bookings!B284&gt;=DATE(2000,1,1),Bookings!B284&lt;=DATE(2100,12,31)),Bookings!B284,0),IF(AND(A284&lt;&gt;"",LEN("x"&amp;B284)-LEN(SUBSTITUTE("x"&amp;B284,".",""))=2,OR(1&gt;LEN(B284),MID(B284,1,1)=".",ISNUMBER(FIND("x"&amp;MID(B284,1,1),"x0x1x2x3x4x5x6x7x8x9"))),OR(2&gt;LEN(B284),MID(B284,2,1)=".",ISNUMBER(FIND("x"&amp;MID(B284,2,1),"x0x1x2x3x4x5x6x7x8x9"))),OR(3&gt;LEN(B284),MID(B284,3,1)=".",ISNUMBER(FIND("x"&amp;MID(B284,3,1),"x0x1x2x3x4x5x6x7x8x9"))),OR(4&gt;LEN(B284),MID(B284,4,1)=".",ISNUMBER(FIND("x"&amp;MID(B284,4,1),"x0x1x2x3x4x5x6x7x8x9"))),OR(5&gt;LEN(B284),MID(B284,5,1)=".",ISNUMBER(FIND("x"&amp;MID(B284,5,1),"x0x1x2x3x4x5x6x7x8x9"))),OR(6&gt;LEN(B284),MID(B284,6,1)=".",ISNUMBER(FIND("x"&amp;MID(B284,6,1),"x0x1x2x3x4x5x6x7x8x9"))),OR(7&gt;LEN(B284),MID(B284,7,1)=".",ISNUMBER(FIND("x"&amp;MID(B284,7,1),"x0x1x2x3x4x5x6x7x8x9"))),OR(8&gt;LEN(B284),MID(B284,8,1)=".",ISNUMBER(FIND("x"&amp;MID(B284,8,1),"x0x1x2x3x4x5x6x7x8x9"))),OR(9&gt;LEN(B284),MID(B284,9,1)=".",ISNUMBER(FIND("x"&amp;MID(B284,9,1),"x0x1x2x3x4x5x6x7x8x9"))),OR(10&gt;LEN(B284),MID(B284,10,1)=".",ISNUMBER(FIND("x"&amp;MID(B284,10,1),"x0x1x2x3x4x5x6x7x8x9"))),OR(AND(FIND(".",B284)=5,LEN(B284)-FIND(".",B284,FIND(".",B284)+1)&gt;=1,LEN(B284)-FIND(".",B284,FIND(".",B284)+1)&lt;=2),AND(LEN(B284)-FIND(".",B284,FIND(".",B284)+1)=4,FIND(".",B284)&gt;=2,FIND(".",B284)&lt;=3)),FIND(".",B284,FIND(".",B284)+1)-FIND(".",B284)&gt;=2,FIND(".",B284,FIND(".",B284)+1)-FIND(".",B284)&lt;=3,F284&gt;=2000,F284&lt;=2100,YEAR(I284)=F284,MONTH(I284)=G284,DAY(I284)=H284),I284,0)),0)</ns0:f>
        <ns0:v>0</ns0:v>
      </ns0:c>
      <ns0:c r="K284" s="0">
        <ns0:f>IFERROR(IF(ISNUMBER(Bookings!D284),"",TRIM(Bookings!D284&amp;"")),"")</ns0:f>
      </ns0:c>
      <ns0:c r="L284" s="0">
        <ns0:f>IFERROR(SUBSTITUTE(SUBSTITUTE(K284,"/","."),"-","."),"")</ns0:f>
      </ns0:c>
      <ns0:c r="M284" s="0">
        <ns0:f>IFERROR(LEFT(L284,FIND(".",L284)-1),"")</ns0:f>
      </ns0:c>
      <ns0:c r="N284" s="0">
        <ns0:f>IFERROR(MID(L284,FIND(".",L284)+1,FIND(".",L284,FIND(".",L284)+1)-FIND(".",L284)-1),"")</ns0:f>
      </ns0:c>
      <ns0:c r="O284" s="0">
        <ns0:f>IFERROR(MID(L284,FIND(".",L284,FIND(".",L284)+1)+1,99),"")</ns0:f>
        <ns0:v>99</ns0:v>
      </ns0:c>
      <ns0:c r="P284" s="0">
        <ns0:f>IFERROR(IF(FIND(".",L284)=5,--M284,--O284),0)</ns0:f>
        <ns0:v>0</ns0:v>
      </ns0:c>
      <ns0:c r="Q284" s="0">
        <ns0:f>IFERROR(--N284,0)</ns0:f>
        <ns0:v>0</ns0:v>
      </ns0:c>
      <ns0:c r="R284" s="0">
        <ns0:f>IFERROR(IF(FIND(".",L284)=5,--O284,--M284),0)</ns0:f>
        <ns0:v>0</ns0:v>
      </ns0:c>
      <ns0:c r="S284" s="0">
        <ns0:f>IFERROR(IF(AND(P284&gt;=2000,P284&lt;=2100,Q284&gt;=1,Q284&lt;=12,R284&gt;=1,R284&lt;=31),DATE(P284,Q284,R284),0),0)</ns0:f>
        <ns0:v>0</ns0:v>
      </ns0:c>
      <ns0:c r="T284" s="0">
        <ns0:f>IFERROR(IF(ISNUMBER(Bookings!D284),IF(AND(Bookings!D284=INT(Bookings!D284),Bookings!D284&gt;=DATE(2000,1,1),Bookings!D284&lt;=DATE(2100,12,31)),Bookings!D284,0),IF(AND(K284&lt;&gt;"",LEN("x"&amp;L284)-LEN(SUBSTITUTE("x"&amp;L284,".",""))=2,OR(1&gt;LEN(L284),MID(L284,1,1)=".",ISNUMBER(FIND("x"&amp;MID(L284,1,1),"x0x1x2x3x4x5x6x7x8x9"))),OR(2&gt;LEN(L284),MID(L284,2,1)=".",ISNUMBER(FIND("x"&amp;MID(L284,2,1),"x0x1x2x3x4x5x6x7x8x9"))),OR(3&gt;LEN(L284),MID(L284,3,1)=".",ISNUMBER(FIND("x"&amp;MID(L284,3,1),"x0x1x2x3x4x5x6x7x8x9"))),OR(4&gt;LEN(L284),MID(L284,4,1)=".",ISNUMBER(FIND("x"&amp;MID(L284,4,1),"x0x1x2x3x4x5x6x7x8x9"))),OR(5&gt;LEN(L284),MID(L284,5,1)=".",ISNUMBER(FIND("x"&amp;MID(L284,5,1),"x0x1x2x3x4x5x6x7x8x9"))),OR(6&gt;LEN(L284),MID(L284,6,1)=".",ISNUMBER(FIND("x"&amp;MID(L284,6,1),"x0x1x2x3x4x5x6x7x8x9"))),OR(7&gt;LEN(L284),MID(L284,7,1)=".",ISNUMBER(FIND("x"&amp;MID(L284,7,1),"x0x1x2x3x4x5x6x7x8x9"))),OR(8&gt;LEN(L284),MID(L284,8,1)=".",ISNUMBER(FIND("x"&amp;MID(L284,8,1),"x0x1x2x3x4x5x6x7x8x9"))),OR(9&gt;LEN(L284),MID(L284,9,1)=".",ISNUMBER(FIND("x"&amp;MID(L284,9,1),"x0x1x2x3x4x5x6x7x8x9"))),OR(10&gt;LEN(L284),MID(L284,10,1)=".",ISNUMBER(FIND("x"&amp;MID(L284,10,1),"x0x1x2x3x4x5x6x7x8x9"))),OR(AND(FIND(".",L284)=5,LEN(L284)-FIND(".",L284,FIND(".",L284)+1)&gt;=1,LEN(L284)-FIND(".",L284,FIND(".",L284)+1)&lt;=2),AND(LEN(L284)-FIND(".",L284,FIND(".",L284)+1)=4,FIND(".",L284)&gt;=2,FIND(".",L284)&lt;=3)),FIND(".",L284,FIND(".",L284)+1)-FIND(".",L284)&gt;=2,FIND(".",L284,FIND(".",L284)+1)-FIND(".",L284)&lt;=3,P284&gt;=2000,P284&lt;=2100,YEAR(S284)=P284,MONTH(S284)=Q284,DAY(S284)=R284),S284,0)),0)</ns0:f>
        <ns0:v>0</ns0:v>
      </ns0:c>
      <ns0:c r="U284" s="0" t="str">
        <ns0:f>IF(Bookings!C284="","Full day",Bookings!C284)</ns0:f>
        <ns0:v>Full day</ns0:v>
      </ns0:c>
      <ns0:c r="V284" s="0" t="str">
        <ns0:f>IF(Bookings!E284="","Full day",Bookings!E284)</ns0:f>
        <ns0:v>Full day</ns0:v>
      </ns0:c>
      <ns0:c r="W284" s="0">
        <ns0:f>IF(J284=0,0,J284+IF(U284="PM",1,0))</ns0:f>
        <ns0:v>0</ns0:v>
      </ns0:c>
      <ns0:c r="X284" s="0">
        <ns0:f>IF(T284=0,0,T284-IF(V284="PM",1,0))</ns0:f>
        <ns0:v>0</ns0:v>
      </ns0:c>
      <ns0:c r="Y284" s="0">
        <ns0:f>IF(J284=0,0,J284+IF(U284="AM",1,0))</ns0:f>
        <ns0:v>0</ns0:v>
      </ns0:c>
      <ns0:c r="Z284" s="0">
        <ns0:f>IF(T284=0,0,T284-IF(V284="AM",1,0))</ns0:f>
        <ns0:v>0</ns0:v>
      </ns0:c>
      <ns0:c r="AA284" s="0">
        <ns0:f>IFERROR(IF(AND(J284&gt;0,'_Engine'!C284&gt;0,MID('_Engine'!W284,WEEKDAY(J284,2),1)="W",COUNTIF(Settings!$F$18:$F$67,J284)=0),1,0),0)</ns0:f>
        <ns0:v>0</ns0:v>
      </ns0:c>
      <ns0:c r="AB284" s="0">
        <ns0:f>IFERROR(IF(AND(T284&gt;0,'_Engine'!C284&gt;0,MID('_Engine'!W284,WEEKDAY(T284,2),1)="W",COUNTIF(Settings!$F$18:$F$67,T284)=0),1,0),0)</ns0:f>
        <ns0:v>0</ns0:v>
      </ns0:c>
      <ns0:c r="AC284" s="0">
        <ns0:f>IF(AND(J284&gt;0,T284&gt;0,W284&lt;=X284),1,0)</ns0:f>
        <ns0:v>0</ns0:v>
      </ns0:c>
      <ns0:c r="AD284" s="0">
        <ns0:f>IF(AND(J284&gt;0,T284&gt;0,Y284&lt;=Z284),1,0)</ns0:f>
        <ns0:v>0</ns0:v>
      </ns0:c>
    </ns0:row>
    <ns0:row r="285">
      <ns0:c r="A285" s="0">
        <ns0:f>IFERROR(IF(ISNUMBER(Bookings!B285),"",TRIM(Bookings!B285&amp;"")),"")</ns0:f>
      </ns0:c>
      <ns0:c r="B285" s="0">
        <ns0:f>IFERROR(SUBSTITUTE(SUBSTITUTE(A285,"/","."),"-","."),"")</ns0:f>
      </ns0:c>
      <ns0:c r="C285" s="0">
        <ns0:f>IFERROR(LEFT(B285,FIND(".",B285)-1),"")</ns0:f>
      </ns0:c>
      <ns0:c r="D285" s="0">
        <ns0:f>IFERROR(MID(B285,FIND(".",B285)+1,FIND(".",B285,FIND(".",B285)+1)-FIND(".",B285)-1),"")</ns0:f>
      </ns0:c>
      <ns0:c r="E285" s="0">
        <ns0:f>IFERROR(MID(B285,FIND(".",B285,FIND(".",B285)+1)+1,99),"")</ns0:f>
        <ns0:v>99</ns0:v>
      </ns0:c>
      <ns0:c r="F285" s="0">
        <ns0:f>IFERROR(IF(FIND(".",B285)=5,--C285,--E285),0)</ns0:f>
        <ns0:v>0</ns0:v>
      </ns0:c>
      <ns0:c r="G285" s="0">
        <ns0:f>IFERROR(--D285,0)</ns0:f>
        <ns0:v>0</ns0:v>
      </ns0:c>
      <ns0:c r="H285" s="0">
        <ns0:f>IFERROR(IF(FIND(".",B285)=5,--E285,--C285),0)</ns0:f>
        <ns0:v>0</ns0:v>
      </ns0:c>
      <ns0:c r="I285" s="0">
        <ns0:f>IFERROR(IF(AND(F285&gt;=2000,F285&lt;=2100,G285&gt;=1,G285&lt;=12,H285&gt;=1,H285&lt;=31),DATE(F285,G285,H285),0),0)</ns0:f>
        <ns0:v>0</ns0:v>
      </ns0:c>
      <ns0:c r="J285" s="0">
        <ns0:f>IFERROR(IF(ISNUMBER(Bookings!B285),IF(AND(Bookings!B285=INT(Bookings!B285),Bookings!B285&gt;=DATE(2000,1,1),Bookings!B285&lt;=DATE(2100,12,31)),Bookings!B285,0),IF(AND(A285&lt;&gt;"",LEN("x"&amp;B285)-LEN(SUBSTITUTE("x"&amp;B285,".",""))=2,OR(1&gt;LEN(B285),MID(B285,1,1)=".",ISNUMBER(FIND("x"&amp;MID(B285,1,1),"x0x1x2x3x4x5x6x7x8x9"))),OR(2&gt;LEN(B285),MID(B285,2,1)=".",ISNUMBER(FIND("x"&amp;MID(B285,2,1),"x0x1x2x3x4x5x6x7x8x9"))),OR(3&gt;LEN(B285),MID(B285,3,1)=".",ISNUMBER(FIND("x"&amp;MID(B285,3,1),"x0x1x2x3x4x5x6x7x8x9"))),OR(4&gt;LEN(B285),MID(B285,4,1)=".",ISNUMBER(FIND("x"&amp;MID(B285,4,1),"x0x1x2x3x4x5x6x7x8x9"))),OR(5&gt;LEN(B285),MID(B285,5,1)=".",ISNUMBER(FIND("x"&amp;MID(B285,5,1),"x0x1x2x3x4x5x6x7x8x9"))),OR(6&gt;LEN(B285),MID(B285,6,1)=".",ISNUMBER(FIND("x"&amp;MID(B285,6,1),"x0x1x2x3x4x5x6x7x8x9"))),OR(7&gt;LEN(B285),MID(B285,7,1)=".",ISNUMBER(FIND("x"&amp;MID(B285,7,1),"x0x1x2x3x4x5x6x7x8x9"))),OR(8&gt;LEN(B285),MID(B285,8,1)=".",ISNUMBER(FIND("x"&amp;MID(B285,8,1),"x0x1x2x3x4x5x6x7x8x9"))),OR(9&gt;LEN(B285),MID(B285,9,1)=".",ISNUMBER(FIND("x"&amp;MID(B285,9,1),"x0x1x2x3x4x5x6x7x8x9"))),OR(10&gt;LEN(B285),MID(B285,10,1)=".",ISNUMBER(FIND("x"&amp;MID(B285,10,1),"x0x1x2x3x4x5x6x7x8x9"))),OR(AND(FIND(".",B285)=5,LEN(B285)-FIND(".",B285,FIND(".",B285)+1)&gt;=1,LEN(B285)-FIND(".",B285,FIND(".",B285)+1)&lt;=2),AND(LEN(B285)-FIND(".",B285,FIND(".",B285)+1)=4,FIND(".",B285)&gt;=2,FIND(".",B285)&lt;=3)),FIND(".",B285,FIND(".",B285)+1)-FIND(".",B285)&gt;=2,FIND(".",B285,FIND(".",B285)+1)-FIND(".",B285)&lt;=3,F285&gt;=2000,F285&lt;=2100,YEAR(I285)=F285,MONTH(I285)=G285,DAY(I285)=H285),I285,0)),0)</ns0:f>
        <ns0:v>0</ns0:v>
      </ns0:c>
      <ns0:c r="K285" s="0">
        <ns0:f>IFERROR(IF(ISNUMBER(Bookings!D285),"",TRIM(Bookings!D285&amp;"")),"")</ns0:f>
      </ns0:c>
      <ns0:c r="L285" s="0">
        <ns0:f>IFERROR(SUBSTITUTE(SUBSTITUTE(K285,"/","."),"-","."),"")</ns0:f>
      </ns0:c>
      <ns0:c r="M285" s="0">
        <ns0:f>IFERROR(LEFT(L285,FIND(".",L285)-1),"")</ns0:f>
      </ns0:c>
      <ns0:c r="N285" s="0">
        <ns0:f>IFERROR(MID(L285,FIND(".",L285)+1,FIND(".",L285,FIND(".",L285)+1)-FIND(".",L285)-1),"")</ns0:f>
      </ns0:c>
      <ns0:c r="O285" s="0">
        <ns0:f>IFERROR(MID(L285,FIND(".",L285,FIND(".",L285)+1)+1,99),"")</ns0:f>
        <ns0:v>99</ns0:v>
      </ns0:c>
      <ns0:c r="P285" s="0">
        <ns0:f>IFERROR(IF(FIND(".",L285)=5,--M285,--O285),0)</ns0:f>
        <ns0:v>0</ns0:v>
      </ns0:c>
      <ns0:c r="Q285" s="0">
        <ns0:f>IFERROR(--N285,0)</ns0:f>
        <ns0:v>0</ns0:v>
      </ns0:c>
      <ns0:c r="R285" s="0">
        <ns0:f>IFERROR(IF(FIND(".",L285)=5,--O285,--M285),0)</ns0:f>
        <ns0:v>0</ns0:v>
      </ns0:c>
      <ns0:c r="S285" s="0">
        <ns0:f>IFERROR(IF(AND(P285&gt;=2000,P285&lt;=2100,Q285&gt;=1,Q285&lt;=12,R285&gt;=1,R285&lt;=31),DATE(P285,Q285,R285),0),0)</ns0:f>
        <ns0:v>0</ns0:v>
      </ns0:c>
      <ns0:c r="T285" s="0">
        <ns0:f>IFERROR(IF(ISNUMBER(Bookings!D285),IF(AND(Bookings!D285=INT(Bookings!D285),Bookings!D285&gt;=DATE(2000,1,1),Bookings!D285&lt;=DATE(2100,12,31)),Bookings!D285,0),IF(AND(K285&lt;&gt;"",LEN("x"&amp;L285)-LEN(SUBSTITUTE("x"&amp;L285,".",""))=2,OR(1&gt;LEN(L285),MID(L285,1,1)=".",ISNUMBER(FIND("x"&amp;MID(L285,1,1),"x0x1x2x3x4x5x6x7x8x9"))),OR(2&gt;LEN(L285),MID(L285,2,1)=".",ISNUMBER(FIND("x"&amp;MID(L285,2,1),"x0x1x2x3x4x5x6x7x8x9"))),OR(3&gt;LEN(L285),MID(L285,3,1)=".",ISNUMBER(FIND("x"&amp;MID(L285,3,1),"x0x1x2x3x4x5x6x7x8x9"))),OR(4&gt;LEN(L285),MID(L285,4,1)=".",ISNUMBER(FIND("x"&amp;MID(L285,4,1),"x0x1x2x3x4x5x6x7x8x9"))),OR(5&gt;LEN(L285),MID(L285,5,1)=".",ISNUMBER(FIND("x"&amp;MID(L285,5,1),"x0x1x2x3x4x5x6x7x8x9"))),OR(6&gt;LEN(L285),MID(L285,6,1)=".",ISNUMBER(FIND("x"&amp;MID(L285,6,1),"x0x1x2x3x4x5x6x7x8x9"))),OR(7&gt;LEN(L285),MID(L285,7,1)=".",ISNUMBER(FIND("x"&amp;MID(L285,7,1),"x0x1x2x3x4x5x6x7x8x9"))),OR(8&gt;LEN(L285),MID(L285,8,1)=".",ISNUMBER(FIND("x"&amp;MID(L285,8,1),"x0x1x2x3x4x5x6x7x8x9"))),OR(9&gt;LEN(L285),MID(L285,9,1)=".",ISNUMBER(FIND("x"&amp;MID(L285,9,1),"x0x1x2x3x4x5x6x7x8x9"))),OR(10&gt;LEN(L285),MID(L285,10,1)=".",ISNUMBER(FIND("x"&amp;MID(L285,10,1),"x0x1x2x3x4x5x6x7x8x9"))),OR(AND(FIND(".",L285)=5,LEN(L285)-FIND(".",L285,FIND(".",L285)+1)&gt;=1,LEN(L285)-FIND(".",L285,FIND(".",L285)+1)&lt;=2),AND(LEN(L285)-FIND(".",L285,FIND(".",L285)+1)=4,FIND(".",L285)&gt;=2,FIND(".",L285)&lt;=3)),FIND(".",L285,FIND(".",L285)+1)-FIND(".",L285)&gt;=2,FIND(".",L285,FIND(".",L285)+1)-FIND(".",L285)&lt;=3,P285&gt;=2000,P285&lt;=2100,YEAR(S285)=P285,MONTH(S285)=Q285,DAY(S285)=R285),S285,0)),0)</ns0:f>
        <ns0:v>0</ns0:v>
      </ns0:c>
      <ns0:c r="U285" s="0" t="str">
        <ns0:f>IF(Bookings!C285="","Full day",Bookings!C285)</ns0:f>
        <ns0:v>Full day</ns0:v>
      </ns0:c>
      <ns0:c r="V285" s="0" t="str">
        <ns0:f>IF(Bookings!E285="","Full day",Bookings!E285)</ns0:f>
        <ns0:v>Full day</ns0:v>
      </ns0:c>
      <ns0:c r="W285" s="0">
        <ns0:f>IF(J285=0,0,J285+IF(U285="PM",1,0))</ns0:f>
        <ns0:v>0</ns0:v>
      </ns0:c>
      <ns0:c r="X285" s="0">
        <ns0:f>IF(T285=0,0,T285-IF(V285="PM",1,0))</ns0:f>
        <ns0:v>0</ns0:v>
      </ns0:c>
      <ns0:c r="Y285" s="0">
        <ns0:f>IF(J285=0,0,J285+IF(U285="AM",1,0))</ns0:f>
        <ns0:v>0</ns0:v>
      </ns0:c>
      <ns0:c r="Z285" s="0">
        <ns0:f>IF(T285=0,0,T285-IF(V285="AM",1,0))</ns0:f>
        <ns0:v>0</ns0:v>
      </ns0:c>
      <ns0:c r="AA285" s="0">
        <ns0:f>IFERROR(IF(AND(J285&gt;0,'_Engine'!C285&gt;0,MID('_Engine'!W285,WEEKDAY(J285,2),1)="W",COUNTIF(Settings!$F$18:$F$67,J285)=0),1,0),0)</ns0:f>
        <ns0:v>0</ns0:v>
      </ns0:c>
      <ns0:c r="AB285" s="0">
        <ns0:f>IFERROR(IF(AND(T285&gt;0,'_Engine'!C285&gt;0,MID('_Engine'!W285,WEEKDAY(T285,2),1)="W",COUNTIF(Settings!$F$18:$F$67,T285)=0),1,0),0)</ns0:f>
        <ns0:v>0</ns0:v>
      </ns0:c>
      <ns0:c r="AC285" s="0">
        <ns0:f>IF(AND(J285&gt;0,T285&gt;0,W285&lt;=X285),1,0)</ns0:f>
        <ns0:v>0</ns0:v>
      </ns0:c>
      <ns0:c r="AD285" s="0">
        <ns0:f>IF(AND(J285&gt;0,T285&gt;0,Y285&lt;=Z285),1,0)</ns0:f>
        <ns0:v>0</ns0:v>
      </ns0:c>
    </ns0:row>
    <ns0:row r="286">
      <ns0:c r="A286" s="0">
        <ns0:f>IFERROR(IF(ISNUMBER(Bookings!B286),"",TRIM(Bookings!B286&amp;"")),"")</ns0:f>
      </ns0:c>
      <ns0:c r="B286" s="0">
        <ns0:f>IFERROR(SUBSTITUTE(SUBSTITUTE(A286,"/","."),"-","."),"")</ns0:f>
      </ns0:c>
      <ns0:c r="C286" s="0">
        <ns0:f>IFERROR(LEFT(B286,FIND(".",B286)-1),"")</ns0:f>
      </ns0:c>
      <ns0:c r="D286" s="0">
        <ns0:f>IFERROR(MID(B286,FIND(".",B286)+1,FIND(".",B286,FIND(".",B286)+1)-FIND(".",B286)-1),"")</ns0:f>
      </ns0:c>
      <ns0:c r="E286" s="0">
        <ns0:f>IFERROR(MID(B286,FIND(".",B286,FIND(".",B286)+1)+1,99),"")</ns0:f>
        <ns0:v>99</ns0:v>
      </ns0:c>
      <ns0:c r="F286" s="0">
        <ns0:f>IFERROR(IF(FIND(".",B286)=5,--C286,--E286),0)</ns0:f>
        <ns0:v>0</ns0:v>
      </ns0:c>
      <ns0:c r="G286" s="0">
        <ns0:f>IFERROR(--D286,0)</ns0:f>
        <ns0:v>0</ns0:v>
      </ns0:c>
      <ns0:c r="H286" s="0">
        <ns0:f>IFERROR(IF(FIND(".",B286)=5,--E286,--C286),0)</ns0:f>
        <ns0:v>0</ns0:v>
      </ns0:c>
      <ns0:c r="I286" s="0">
        <ns0:f>IFERROR(IF(AND(F286&gt;=2000,F286&lt;=2100,G286&gt;=1,G286&lt;=12,H286&gt;=1,H286&lt;=31),DATE(F286,G286,H286),0),0)</ns0:f>
        <ns0:v>0</ns0:v>
      </ns0:c>
      <ns0:c r="J286" s="0">
        <ns0:f>IFERROR(IF(ISNUMBER(Bookings!B286),IF(AND(Bookings!B286=INT(Bookings!B286),Bookings!B286&gt;=DATE(2000,1,1),Bookings!B286&lt;=DATE(2100,12,31)),Bookings!B286,0),IF(AND(A286&lt;&gt;"",LEN("x"&amp;B286)-LEN(SUBSTITUTE("x"&amp;B286,".",""))=2,OR(1&gt;LEN(B286),MID(B286,1,1)=".",ISNUMBER(FIND("x"&amp;MID(B286,1,1),"x0x1x2x3x4x5x6x7x8x9"))),OR(2&gt;LEN(B286),MID(B286,2,1)=".",ISNUMBER(FIND("x"&amp;MID(B286,2,1),"x0x1x2x3x4x5x6x7x8x9"))),OR(3&gt;LEN(B286),MID(B286,3,1)=".",ISNUMBER(FIND("x"&amp;MID(B286,3,1),"x0x1x2x3x4x5x6x7x8x9"))),OR(4&gt;LEN(B286),MID(B286,4,1)=".",ISNUMBER(FIND("x"&amp;MID(B286,4,1),"x0x1x2x3x4x5x6x7x8x9"))),OR(5&gt;LEN(B286),MID(B286,5,1)=".",ISNUMBER(FIND("x"&amp;MID(B286,5,1),"x0x1x2x3x4x5x6x7x8x9"))),OR(6&gt;LEN(B286),MID(B286,6,1)=".",ISNUMBER(FIND("x"&amp;MID(B286,6,1),"x0x1x2x3x4x5x6x7x8x9"))),OR(7&gt;LEN(B286),MID(B286,7,1)=".",ISNUMBER(FIND("x"&amp;MID(B286,7,1),"x0x1x2x3x4x5x6x7x8x9"))),OR(8&gt;LEN(B286),MID(B286,8,1)=".",ISNUMBER(FIND("x"&amp;MID(B286,8,1),"x0x1x2x3x4x5x6x7x8x9"))),OR(9&gt;LEN(B286),MID(B286,9,1)=".",ISNUMBER(FIND("x"&amp;MID(B286,9,1),"x0x1x2x3x4x5x6x7x8x9"))),OR(10&gt;LEN(B286),MID(B286,10,1)=".",ISNUMBER(FIND("x"&amp;MID(B286,10,1),"x0x1x2x3x4x5x6x7x8x9"))),OR(AND(FIND(".",B286)=5,LEN(B286)-FIND(".",B286,FIND(".",B286)+1)&gt;=1,LEN(B286)-FIND(".",B286,FIND(".",B286)+1)&lt;=2),AND(LEN(B286)-FIND(".",B286,FIND(".",B286)+1)=4,FIND(".",B286)&gt;=2,FIND(".",B286)&lt;=3)),FIND(".",B286,FIND(".",B286)+1)-FIND(".",B286)&gt;=2,FIND(".",B286,FIND(".",B286)+1)-FIND(".",B286)&lt;=3,F286&gt;=2000,F286&lt;=2100,YEAR(I286)=F286,MONTH(I286)=G286,DAY(I286)=H286),I286,0)),0)</ns0:f>
        <ns0:v>0</ns0:v>
      </ns0:c>
      <ns0:c r="K286" s="0">
        <ns0:f>IFERROR(IF(ISNUMBER(Bookings!D286),"",TRIM(Bookings!D286&amp;"")),"")</ns0:f>
      </ns0:c>
      <ns0:c r="L286" s="0">
        <ns0:f>IFERROR(SUBSTITUTE(SUBSTITUTE(K286,"/","."),"-","."),"")</ns0:f>
      </ns0:c>
      <ns0:c r="M286" s="0">
        <ns0:f>IFERROR(LEFT(L286,FIND(".",L286)-1),"")</ns0:f>
      </ns0:c>
      <ns0:c r="N286" s="0">
        <ns0:f>IFERROR(MID(L286,FIND(".",L286)+1,FIND(".",L286,FIND(".",L286)+1)-FIND(".",L286)-1),"")</ns0:f>
      </ns0:c>
      <ns0:c r="O286" s="0">
        <ns0:f>IFERROR(MID(L286,FIND(".",L286,FIND(".",L286)+1)+1,99),"")</ns0:f>
        <ns0:v>99</ns0:v>
      </ns0:c>
      <ns0:c r="P286" s="0">
        <ns0:f>IFERROR(IF(FIND(".",L286)=5,--M286,--O286),0)</ns0:f>
        <ns0:v>0</ns0:v>
      </ns0:c>
      <ns0:c r="Q286" s="0">
        <ns0:f>IFERROR(--N286,0)</ns0:f>
        <ns0:v>0</ns0:v>
      </ns0:c>
      <ns0:c r="R286" s="0">
        <ns0:f>IFERROR(IF(FIND(".",L286)=5,--O286,--M286),0)</ns0:f>
        <ns0:v>0</ns0:v>
      </ns0:c>
      <ns0:c r="S286" s="0">
        <ns0:f>IFERROR(IF(AND(P286&gt;=2000,P286&lt;=2100,Q286&gt;=1,Q286&lt;=12,R286&gt;=1,R286&lt;=31),DATE(P286,Q286,R286),0),0)</ns0:f>
        <ns0:v>0</ns0:v>
      </ns0:c>
      <ns0:c r="T286" s="0">
        <ns0:f>IFERROR(IF(ISNUMBER(Bookings!D286),IF(AND(Bookings!D286=INT(Bookings!D286),Bookings!D286&gt;=DATE(2000,1,1),Bookings!D286&lt;=DATE(2100,12,31)),Bookings!D286,0),IF(AND(K286&lt;&gt;"",LEN("x"&amp;L286)-LEN(SUBSTITUTE("x"&amp;L286,".",""))=2,OR(1&gt;LEN(L286),MID(L286,1,1)=".",ISNUMBER(FIND("x"&amp;MID(L286,1,1),"x0x1x2x3x4x5x6x7x8x9"))),OR(2&gt;LEN(L286),MID(L286,2,1)=".",ISNUMBER(FIND("x"&amp;MID(L286,2,1),"x0x1x2x3x4x5x6x7x8x9"))),OR(3&gt;LEN(L286),MID(L286,3,1)=".",ISNUMBER(FIND("x"&amp;MID(L286,3,1),"x0x1x2x3x4x5x6x7x8x9"))),OR(4&gt;LEN(L286),MID(L286,4,1)=".",ISNUMBER(FIND("x"&amp;MID(L286,4,1),"x0x1x2x3x4x5x6x7x8x9"))),OR(5&gt;LEN(L286),MID(L286,5,1)=".",ISNUMBER(FIND("x"&amp;MID(L286,5,1),"x0x1x2x3x4x5x6x7x8x9"))),OR(6&gt;LEN(L286),MID(L286,6,1)=".",ISNUMBER(FIND("x"&amp;MID(L286,6,1),"x0x1x2x3x4x5x6x7x8x9"))),OR(7&gt;LEN(L286),MID(L286,7,1)=".",ISNUMBER(FIND("x"&amp;MID(L286,7,1),"x0x1x2x3x4x5x6x7x8x9"))),OR(8&gt;LEN(L286),MID(L286,8,1)=".",ISNUMBER(FIND("x"&amp;MID(L286,8,1),"x0x1x2x3x4x5x6x7x8x9"))),OR(9&gt;LEN(L286),MID(L286,9,1)=".",ISNUMBER(FIND("x"&amp;MID(L286,9,1),"x0x1x2x3x4x5x6x7x8x9"))),OR(10&gt;LEN(L286),MID(L286,10,1)=".",ISNUMBER(FIND("x"&amp;MID(L286,10,1),"x0x1x2x3x4x5x6x7x8x9"))),OR(AND(FIND(".",L286)=5,LEN(L286)-FIND(".",L286,FIND(".",L286)+1)&gt;=1,LEN(L286)-FIND(".",L286,FIND(".",L286)+1)&lt;=2),AND(LEN(L286)-FIND(".",L286,FIND(".",L286)+1)=4,FIND(".",L286)&gt;=2,FIND(".",L286)&lt;=3)),FIND(".",L286,FIND(".",L286)+1)-FIND(".",L286)&gt;=2,FIND(".",L286,FIND(".",L286)+1)-FIND(".",L286)&lt;=3,P286&gt;=2000,P286&lt;=2100,YEAR(S286)=P286,MONTH(S286)=Q286,DAY(S286)=R286),S286,0)),0)</ns0:f>
        <ns0:v>0</ns0:v>
      </ns0:c>
      <ns0:c r="U286" s="0" t="str">
        <ns0:f>IF(Bookings!C286="","Full day",Bookings!C286)</ns0:f>
        <ns0:v>Full day</ns0:v>
      </ns0:c>
      <ns0:c r="V286" s="0" t="str">
        <ns0:f>IF(Bookings!E286="","Full day",Bookings!E286)</ns0:f>
        <ns0:v>Full day</ns0:v>
      </ns0:c>
      <ns0:c r="W286" s="0">
        <ns0:f>IF(J286=0,0,J286+IF(U286="PM",1,0))</ns0:f>
        <ns0:v>0</ns0:v>
      </ns0:c>
      <ns0:c r="X286" s="0">
        <ns0:f>IF(T286=0,0,T286-IF(V286="PM",1,0))</ns0:f>
        <ns0:v>0</ns0:v>
      </ns0:c>
      <ns0:c r="Y286" s="0">
        <ns0:f>IF(J286=0,0,J286+IF(U286="AM",1,0))</ns0:f>
        <ns0:v>0</ns0:v>
      </ns0:c>
      <ns0:c r="Z286" s="0">
        <ns0:f>IF(T286=0,0,T286-IF(V286="AM",1,0))</ns0:f>
        <ns0:v>0</ns0:v>
      </ns0:c>
      <ns0:c r="AA286" s="0">
        <ns0:f>IFERROR(IF(AND(J286&gt;0,'_Engine'!C286&gt;0,MID('_Engine'!W286,WEEKDAY(J286,2),1)="W",COUNTIF(Settings!$F$18:$F$67,J286)=0),1,0),0)</ns0:f>
        <ns0:v>0</ns0:v>
      </ns0:c>
      <ns0:c r="AB286" s="0">
        <ns0:f>IFERROR(IF(AND(T286&gt;0,'_Engine'!C286&gt;0,MID('_Engine'!W286,WEEKDAY(T286,2),1)="W",COUNTIF(Settings!$F$18:$F$67,T286)=0),1,0),0)</ns0:f>
        <ns0:v>0</ns0:v>
      </ns0:c>
      <ns0:c r="AC286" s="0">
        <ns0:f>IF(AND(J286&gt;0,T286&gt;0,W286&lt;=X286),1,0)</ns0:f>
        <ns0:v>0</ns0:v>
      </ns0:c>
      <ns0:c r="AD286" s="0">
        <ns0:f>IF(AND(J286&gt;0,T286&gt;0,Y286&lt;=Z286),1,0)</ns0:f>
        <ns0:v>0</ns0:v>
      </ns0:c>
    </ns0:row>
    <ns0:row r="287">
      <ns0:c r="A287" s="0">
        <ns0:f>IFERROR(IF(ISNUMBER(Bookings!B287),"",TRIM(Bookings!B287&amp;"")),"")</ns0:f>
      </ns0:c>
      <ns0:c r="B287" s="0">
        <ns0:f>IFERROR(SUBSTITUTE(SUBSTITUTE(A287,"/","."),"-","."),"")</ns0:f>
      </ns0:c>
      <ns0:c r="C287" s="0">
        <ns0:f>IFERROR(LEFT(B287,FIND(".",B287)-1),"")</ns0:f>
      </ns0:c>
      <ns0:c r="D287" s="0">
        <ns0:f>IFERROR(MID(B287,FIND(".",B287)+1,FIND(".",B287,FIND(".",B287)+1)-FIND(".",B287)-1),"")</ns0:f>
      </ns0:c>
      <ns0:c r="E287" s="0">
        <ns0:f>IFERROR(MID(B287,FIND(".",B287,FIND(".",B287)+1)+1,99),"")</ns0:f>
        <ns0:v>99</ns0:v>
      </ns0:c>
      <ns0:c r="F287" s="0">
        <ns0:f>IFERROR(IF(FIND(".",B287)=5,--C287,--E287),0)</ns0:f>
        <ns0:v>0</ns0:v>
      </ns0:c>
      <ns0:c r="G287" s="0">
        <ns0:f>IFERROR(--D287,0)</ns0:f>
        <ns0:v>0</ns0:v>
      </ns0:c>
      <ns0:c r="H287" s="0">
        <ns0:f>IFERROR(IF(FIND(".",B287)=5,--E287,--C287),0)</ns0:f>
        <ns0:v>0</ns0:v>
      </ns0:c>
      <ns0:c r="I287" s="0">
        <ns0:f>IFERROR(IF(AND(F287&gt;=2000,F287&lt;=2100,G287&gt;=1,G287&lt;=12,H287&gt;=1,H287&lt;=31),DATE(F287,G287,H287),0),0)</ns0:f>
        <ns0:v>0</ns0:v>
      </ns0:c>
      <ns0:c r="J287" s="0">
        <ns0:f>IFERROR(IF(ISNUMBER(Bookings!B287),IF(AND(Bookings!B287=INT(Bookings!B287),Bookings!B287&gt;=DATE(2000,1,1),Bookings!B287&lt;=DATE(2100,12,31)),Bookings!B287,0),IF(AND(A287&lt;&gt;"",LEN("x"&amp;B287)-LEN(SUBSTITUTE("x"&amp;B287,".",""))=2,OR(1&gt;LEN(B287),MID(B287,1,1)=".",ISNUMBER(FIND("x"&amp;MID(B287,1,1),"x0x1x2x3x4x5x6x7x8x9"))),OR(2&gt;LEN(B287),MID(B287,2,1)=".",ISNUMBER(FIND("x"&amp;MID(B287,2,1),"x0x1x2x3x4x5x6x7x8x9"))),OR(3&gt;LEN(B287),MID(B287,3,1)=".",ISNUMBER(FIND("x"&amp;MID(B287,3,1),"x0x1x2x3x4x5x6x7x8x9"))),OR(4&gt;LEN(B287),MID(B287,4,1)=".",ISNUMBER(FIND("x"&amp;MID(B287,4,1),"x0x1x2x3x4x5x6x7x8x9"))),OR(5&gt;LEN(B287),MID(B287,5,1)=".",ISNUMBER(FIND("x"&amp;MID(B287,5,1),"x0x1x2x3x4x5x6x7x8x9"))),OR(6&gt;LEN(B287),MID(B287,6,1)=".",ISNUMBER(FIND("x"&amp;MID(B287,6,1),"x0x1x2x3x4x5x6x7x8x9"))),OR(7&gt;LEN(B287),MID(B287,7,1)=".",ISNUMBER(FIND("x"&amp;MID(B287,7,1),"x0x1x2x3x4x5x6x7x8x9"))),OR(8&gt;LEN(B287),MID(B287,8,1)=".",ISNUMBER(FIND("x"&amp;MID(B287,8,1),"x0x1x2x3x4x5x6x7x8x9"))),OR(9&gt;LEN(B287),MID(B287,9,1)=".",ISNUMBER(FIND("x"&amp;MID(B287,9,1),"x0x1x2x3x4x5x6x7x8x9"))),OR(10&gt;LEN(B287),MID(B287,10,1)=".",ISNUMBER(FIND("x"&amp;MID(B287,10,1),"x0x1x2x3x4x5x6x7x8x9"))),OR(AND(FIND(".",B287)=5,LEN(B287)-FIND(".",B287,FIND(".",B287)+1)&gt;=1,LEN(B287)-FIND(".",B287,FIND(".",B287)+1)&lt;=2),AND(LEN(B287)-FIND(".",B287,FIND(".",B287)+1)=4,FIND(".",B287)&gt;=2,FIND(".",B287)&lt;=3)),FIND(".",B287,FIND(".",B287)+1)-FIND(".",B287)&gt;=2,FIND(".",B287,FIND(".",B287)+1)-FIND(".",B287)&lt;=3,F287&gt;=2000,F287&lt;=2100,YEAR(I287)=F287,MONTH(I287)=G287,DAY(I287)=H287),I287,0)),0)</ns0:f>
        <ns0:v>0</ns0:v>
      </ns0:c>
      <ns0:c r="K287" s="0">
        <ns0:f>IFERROR(IF(ISNUMBER(Bookings!D287),"",TRIM(Bookings!D287&amp;"")),"")</ns0:f>
      </ns0:c>
      <ns0:c r="L287" s="0">
        <ns0:f>IFERROR(SUBSTITUTE(SUBSTITUTE(K287,"/","."),"-","."),"")</ns0:f>
      </ns0:c>
      <ns0:c r="M287" s="0">
        <ns0:f>IFERROR(LEFT(L287,FIND(".",L287)-1),"")</ns0:f>
      </ns0:c>
      <ns0:c r="N287" s="0">
        <ns0:f>IFERROR(MID(L287,FIND(".",L287)+1,FIND(".",L287,FIND(".",L287)+1)-FIND(".",L287)-1),"")</ns0:f>
      </ns0:c>
      <ns0:c r="O287" s="0">
        <ns0:f>IFERROR(MID(L287,FIND(".",L287,FIND(".",L287)+1)+1,99),"")</ns0:f>
        <ns0:v>99</ns0:v>
      </ns0:c>
      <ns0:c r="P287" s="0">
        <ns0:f>IFERROR(IF(FIND(".",L287)=5,--M287,--O287),0)</ns0:f>
        <ns0:v>0</ns0:v>
      </ns0:c>
      <ns0:c r="Q287" s="0">
        <ns0:f>IFERROR(--N287,0)</ns0:f>
        <ns0:v>0</ns0:v>
      </ns0:c>
      <ns0:c r="R287" s="0">
        <ns0:f>IFERROR(IF(FIND(".",L287)=5,--O287,--M287),0)</ns0:f>
        <ns0:v>0</ns0:v>
      </ns0:c>
      <ns0:c r="S287" s="0">
        <ns0:f>IFERROR(IF(AND(P287&gt;=2000,P287&lt;=2100,Q287&gt;=1,Q287&lt;=12,R287&gt;=1,R287&lt;=31),DATE(P287,Q287,R287),0),0)</ns0:f>
        <ns0:v>0</ns0:v>
      </ns0:c>
      <ns0:c r="T287" s="0">
        <ns0:f>IFERROR(IF(ISNUMBER(Bookings!D287),IF(AND(Bookings!D287=INT(Bookings!D287),Bookings!D287&gt;=DATE(2000,1,1),Bookings!D287&lt;=DATE(2100,12,31)),Bookings!D287,0),IF(AND(K287&lt;&gt;"",LEN("x"&amp;L287)-LEN(SUBSTITUTE("x"&amp;L287,".",""))=2,OR(1&gt;LEN(L287),MID(L287,1,1)=".",ISNUMBER(FIND("x"&amp;MID(L287,1,1),"x0x1x2x3x4x5x6x7x8x9"))),OR(2&gt;LEN(L287),MID(L287,2,1)=".",ISNUMBER(FIND("x"&amp;MID(L287,2,1),"x0x1x2x3x4x5x6x7x8x9"))),OR(3&gt;LEN(L287),MID(L287,3,1)=".",ISNUMBER(FIND("x"&amp;MID(L287,3,1),"x0x1x2x3x4x5x6x7x8x9"))),OR(4&gt;LEN(L287),MID(L287,4,1)=".",ISNUMBER(FIND("x"&amp;MID(L287,4,1),"x0x1x2x3x4x5x6x7x8x9"))),OR(5&gt;LEN(L287),MID(L287,5,1)=".",ISNUMBER(FIND("x"&amp;MID(L287,5,1),"x0x1x2x3x4x5x6x7x8x9"))),OR(6&gt;LEN(L287),MID(L287,6,1)=".",ISNUMBER(FIND("x"&amp;MID(L287,6,1),"x0x1x2x3x4x5x6x7x8x9"))),OR(7&gt;LEN(L287),MID(L287,7,1)=".",ISNUMBER(FIND("x"&amp;MID(L287,7,1),"x0x1x2x3x4x5x6x7x8x9"))),OR(8&gt;LEN(L287),MID(L287,8,1)=".",ISNUMBER(FIND("x"&amp;MID(L287,8,1),"x0x1x2x3x4x5x6x7x8x9"))),OR(9&gt;LEN(L287),MID(L287,9,1)=".",ISNUMBER(FIND("x"&amp;MID(L287,9,1),"x0x1x2x3x4x5x6x7x8x9"))),OR(10&gt;LEN(L287),MID(L287,10,1)=".",ISNUMBER(FIND("x"&amp;MID(L287,10,1),"x0x1x2x3x4x5x6x7x8x9"))),OR(AND(FIND(".",L287)=5,LEN(L287)-FIND(".",L287,FIND(".",L287)+1)&gt;=1,LEN(L287)-FIND(".",L287,FIND(".",L287)+1)&lt;=2),AND(LEN(L287)-FIND(".",L287,FIND(".",L287)+1)=4,FIND(".",L287)&gt;=2,FIND(".",L287)&lt;=3)),FIND(".",L287,FIND(".",L287)+1)-FIND(".",L287)&gt;=2,FIND(".",L287,FIND(".",L287)+1)-FIND(".",L287)&lt;=3,P287&gt;=2000,P287&lt;=2100,YEAR(S287)=P287,MONTH(S287)=Q287,DAY(S287)=R287),S287,0)),0)</ns0:f>
        <ns0:v>0</ns0:v>
      </ns0:c>
      <ns0:c r="U287" s="0" t="str">
        <ns0:f>IF(Bookings!C287="","Full day",Bookings!C287)</ns0:f>
        <ns0:v>Full day</ns0:v>
      </ns0:c>
      <ns0:c r="V287" s="0" t="str">
        <ns0:f>IF(Bookings!E287="","Full day",Bookings!E287)</ns0:f>
        <ns0:v>Full day</ns0:v>
      </ns0:c>
      <ns0:c r="W287" s="0">
        <ns0:f>IF(J287=0,0,J287+IF(U287="PM",1,0))</ns0:f>
        <ns0:v>0</ns0:v>
      </ns0:c>
      <ns0:c r="X287" s="0">
        <ns0:f>IF(T287=0,0,T287-IF(V287="PM",1,0))</ns0:f>
        <ns0:v>0</ns0:v>
      </ns0:c>
      <ns0:c r="Y287" s="0">
        <ns0:f>IF(J287=0,0,J287+IF(U287="AM",1,0))</ns0:f>
        <ns0:v>0</ns0:v>
      </ns0:c>
      <ns0:c r="Z287" s="0">
        <ns0:f>IF(T287=0,0,T287-IF(V287="AM",1,0))</ns0:f>
        <ns0:v>0</ns0:v>
      </ns0:c>
      <ns0:c r="AA287" s="0">
        <ns0:f>IFERROR(IF(AND(J287&gt;0,'_Engine'!C287&gt;0,MID('_Engine'!W287,WEEKDAY(J287,2),1)="W",COUNTIF(Settings!$F$18:$F$67,J287)=0),1,0),0)</ns0:f>
        <ns0:v>0</ns0:v>
      </ns0:c>
      <ns0:c r="AB287" s="0">
        <ns0:f>IFERROR(IF(AND(T287&gt;0,'_Engine'!C287&gt;0,MID('_Engine'!W287,WEEKDAY(T287,2),1)="W",COUNTIF(Settings!$F$18:$F$67,T287)=0),1,0),0)</ns0:f>
        <ns0:v>0</ns0:v>
      </ns0:c>
      <ns0:c r="AC287" s="0">
        <ns0:f>IF(AND(J287&gt;0,T287&gt;0,W287&lt;=X287),1,0)</ns0:f>
        <ns0:v>0</ns0:v>
      </ns0:c>
      <ns0:c r="AD287" s="0">
        <ns0:f>IF(AND(J287&gt;0,T287&gt;0,Y287&lt;=Z287),1,0)</ns0:f>
        <ns0:v>0</ns0:v>
      </ns0:c>
    </ns0:row>
    <ns0:row r="288">
      <ns0:c r="A288" s="0">
        <ns0:f>IFERROR(IF(ISNUMBER(Bookings!B288),"",TRIM(Bookings!B288&amp;"")),"")</ns0:f>
      </ns0:c>
      <ns0:c r="B288" s="0">
        <ns0:f>IFERROR(SUBSTITUTE(SUBSTITUTE(A288,"/","."),"-","."),"")</ns0:f>
      </ns0:c>
      <ns0:c r="C288" s="0">
        <ns0:f>IFERROR(LEFT(B288,FIND(".",B288)-1),"")</ns0:f>
      </ns0:c>
      <ns0:c r="D288" s="0">
        <ns0:f>IFERROR(MID(B288,FIND(".",B288)+1,FIND(".",B288,FIND(".",B288)+1)-FIND(".",B288)-1),"")</ns0:f>
      </ns0:c>
      <ns0:c r="E288" s="0">
        <ns0:f>IFERROR(MID(B288,FIND(".",B288,FIND(".",B288)+1)+1,99),"")</ns0:f>
        <ns0:v>99</ns0:v>
      </ns0:c>
      <ns0:c r="F288" s="0">
        <ns0:f>IFERROR(IF(FIND(".",B288)=5,--C288,--E288),0)</ns0:f>
        <ns0:v>0</ns0:v>
      </ns0:c>
      <ns0:c r="G288" s="0">
        <ns0:f>IFERROR(--D288,0)</ns0:f>
        <ns0:v>0</ns0:v>
      </ns0:c>
      <ns0:c r="H288" s="0">
        <ns0:f>IFERROR(IF(FIND(".",B288)=5,--E288,--C288),0)</ns0:f>
        <ns0:v>0</ns0:v>
      </ns0:c>
      <ns0:c r="I288" s="0">
        <ns0:f>IFERROR(IF(AND(F288&gt;=2000,F288&lt;=2100,G288&gt;=1,G288&lt;=12,H288&gt;=1,H288&lt;=31),DATE(F288,G288,H288),0),0)</ns0:f>
        <ns0:v>0</ns0:v>
      </ns0:c>
      <ns0:c r="J288" s="0">
        <ns0:f>IFERROR(IF(ISNUMBER(Bookings!B288),IF(AND(Bookings!B288=INT(Bookings!B288),Bookings!B288&gt;=DATE(2000,1,1),Bookings!B288&lt;=DATE(2100,12,31)),Bookings!B288,0),IF(AND(A288&lt;&gt;"",LEN("x"&amp;B288)-LEN(SUBSTITUTE("x"&amp;B288,".",""))=2,OR(1&gt;LEN(B288),MID(B288,1,1)=".",ISNUMBER(FIND("x"&amp;MID(B288,1,1),"x0x1x2x3x4x5x6x7x8x9"))),OR(2&gt;LEN(B288),MID(B288,2,1)=".",ISNUMBER(FIND("x"&amp;MID(B288,2,1),"x0x1x2x3x4x5x6x7x8x9"))),OR(3&gt;LEN(B288),MID(B288,3,1)=".",ISNUMBER(FIND("x"&amp;MID(B288,3,1),"x0x1x2x3x4x5x6x7x8x9"))),OR(4&gt;LEN(B288),MID(B288,4,1)=".",ISNUMBER(FIND("x"&amp;MID(B288,4,1),"x0x1x2x3x4x5x6x7x8x9"))),OR(5&gt;LEN(B288),MID(B288,5,1)=".",ISNUMBER(FIND("x"&amp;MID(B288,5,1),"x0x1x2x3x4x5x6x7x8x9"))),OR(6&gt;LEN(B288),MID(B288,6,1)=".",ISNUMBER(FIND("x"&amp;MID(B288,6,1),"x0x1x2x3x4x5x6x7x8x9"))),OR(7&gt;LEN(B288),MID(B288,7,1)=".",ISNUMBER(FIND("x"&amp;MID(B288,7,1),"x0x1x2x3x4x5x6x7x8x9"))),OR(8&gt;LEN(B288),MID(B288,8,1)=".",ISNUMBER(FIND("x"&amp;MID(B288,8,1),"x0x1x2x3x4x5x6x7x8x9"))),OR(9&gt;LEN(B288),MID(B288,9,1)=".",ISNUMBER(FIND("x"&amp;MID(B288,9,1),"x0x1x2x3x4x5x6x7x8x9"))),OR(10&gt;LEN(B288),MID(B288,10,1)=".",ISNUMBER(FIND("x"&amp;MID(B288,10,1),"x0x1x2x3x4x5x6x7x8x9"))),OR(AND(FIND(".",B288)=5,LEN(B288)-FIND(".",B288,FIND(".",B288)+1)&gt;=1,LEN(B288)-FIND(".",B288,FIND(".",B288)+1)&lt;=2),AND(LEN(B288)-FIND(".",B288,FIND(".",B288)+1)=4,FIND(".",B288)&gt;=2,FIND(".",B288)&lt;=3)),FIND(".",B288,FIND(".",B288)+1)-FIND(".",B288)&gt;=2,FIND(".",B288,FIND(".",B288)+1)-FIND(".",B288)&lt;=3,F288&gt;=2000,F288&lt;=2100,YEAR(I288)=F288,MONTH(I288)=G288,DAY(I288)=H288),I288,0)),0)</ns0:f>
        <ns0:v>0</ns0:v>
      </ns0:c>
      <ns0:c r="K288" s="0">
        <ns0:f>IFERROR(IF(ISNUMBER(Bookings!D288),"",TRIM(Bookings!D288&amp;"")),"")</ns0:f>
      </ns0:c>
      <ns0:c r="L288" s="0">
        <ns0:f>IFERROR(SUBSTITUTE(SUBSTITUTE(K288,"/","."),"-","."),"")</ns0:f>
      </ns0:c>
      <ns0:c r="M288" s="0">
        <ns0:f>IFERROR(LEFT(L288,FIND(".",L288)-1),"")</ns0:f>
      </ns0:c>
      <ns0:c r="N288" s="0">
        <ns0:f>IFERROR(MID(L288,FIND(".",L288)+1,FIND(".",L288,FIND(".",L288)+1)-FIND(".",L288)-1),"")</ns0:f>
      </ns0:c>
      <ns0:c r="O288" s="0">
        <ns0:f>IFERROR(MID(L288,FIND(".",L288,FIND(".",L288)+1)+1,99),"")</ns0:f>
        <ns0:v>99</ns0:v>
      </ns0:c>
      <ns0:c r="P288" s="0">
        <ns0:f>IFERROR(IF(FIND(".",L288)=5,--M288,--O288),0)</ns0:f>
        <ns0:v>0</ns0:v>
      </ns0:c>
      <ns0:c r="Q288" s="0">
        <ns0:f>IFERROR(--N288,0)</ns0:f>
        <ns0:v>0</ns0:v>
      </ns0:c>
      <ns0:c r="R288" s="0">
        <ns0:f>IFERROR(IF(FIND(".",L288)=5,--O288,--M288),0)</ns0:f>
        <ns0:v>0</ns0:v>
      </ns0:c>
      <ns0:c r="S288" s="0">
        <ns0:f>IFERROR(IF(AND(P288&gt;=2000,P288&lt;=2100,Q288&gt;=1,Q288&lt;=12,R288&gt;=1,R288&lt;=31),DATE(P288,Q288,R288),0),0)</ns0:f>
        <ns0:v>0</ns0:v>
      </ns0:c>
      <ns0:c r="T288" s="0">
        <ns0:f>IFERROR(IF(ISNUMBER(Bookings!D288),IF(AND(Bookings!D288=INT(Bookings!D288),Bookings!D288&gt;=DATE(2000,1,1),Bookings!D288&lt;=DATE(2100,12,31)),Bookings!D288,0),IF(AND(K288&lt;&gt;"",LEN("x"&amp;L288)-LEN(SUBSTITUTE("x"&amp;L288,".",""))=2,OR(1&gt;LEN(L288),MID(L288,1,1)=".",ISNUMBER(FIND("x"&amp;MID(L288,1,1),"x0x1x2x3x4x5x6x7x8x9"))),OR(2&gt;LEN(L288),MID(L288,2,1)=".",ISNUMBER(FIND("x"&amp;MID(L288,2,1),"x0x1x2x3x4x5x6x7x8x9"))),OR(3&gt;LEN(L288),MID(L288,3,1)=".",ISNUMBER(FIND("x"&amp;MID(L288,3,1),"x0x1x2x3x4x5x6x7x8x9"))),OR(4&gt;LEN(L288),MID(L288,4,1)=".",ISNUMBER(FIND("x"&amp;MID(L288,4,1),"x0x1x2x3x4x5x6x7x8x9"))),OR(5&gt;LEN(L288),MID(L288,5,1)=".",ISNUMBER(FIND("x"&amp;MID(L288,5,1),"x0x1x2x3x4x5x6x7x8x9"))),OR(6&gt;LEN(L288),MID(L288,6,1)=".",ISNUMBER(FIND("x"&amp;MID(L288,6,1),"x0x1x2x3x4x5x6x7x8x9"))),OR(7&gt;LEN(L288),MID(L288,7,1)=".",ISNUMBER(FIND("x"&amp;MID(L288,7,1),"x0x1x2x3x4x5x6x7x8x9"))),OR(8&gt;LEN(L288),MID(L288,8,1)=".",ISNUMBER(FIND("x"&amp;MID(L288,8,1),"x0x1x2x3x4x5x6x7x8x9"))),OR(9&gt;LEN(L288),MID(L288,9,1)=".",ISNUMBER(FIND("x"&amp;MID(L288,9,1),"x0x1x2x3x4x5x6x7x8x9"))),OR(10&gt;LEN(L288),MID(L288,10,1)=".",ISNUMBER(FIND("x"&amp;MID(L288,10,1),"x0x1x2x3x4x5x6x7x8x9"))),OR(AND(FIND(".",L288)=5,LEN(L288)-FIND(".",L288,FIND(".",L288)+1)&gt;=1,LEN(L288)-FIND(".",L288,FIND(".",L288)+1)&lt;=2),AND(LEN(L288)-FIND(".",L288,FIND(".",L288)+1)=4,FIND(".",L288)&gt;=2,FIND(".",L288)&lt;=3)),FIND(".",L288,FIND(".",L288)+1)-FIND(".",L288)&gt;=2,FIND(".",L288,FIND(".",L288)+1)-FIND(".",L288)&lt;=3,P288&gt;=2000,P288&lt;=2100,YEAR(S288)=P288,MONTH(S288)=Q288,DAY(S288)=R288),S288,0)),0)</ns0:f>
        <ns0:v>0</ns0:v>
      </ns0:c>
      <ns0:c r="U288" s="0" t="str">
        <ns0:f>IF(Bookings!C288="","Full day",Bookings!C288)</ns0:f>
        <ns0:v>Full day</ns0:v>
      </ns0:c>
      <ns0:c r="V288" s="0" t="str">
        <ns0:f>IF(Bookings!E288="","Full day",Bookings!E288)</ns0:f>
        <ns0:v>Full day</ns0:v>
      </ns0:c>
      <ns0:c r="W288" s="0">
        <ns0:f>IF(J288=0,0,J288+IF(U288="PM",1,0))</ns0:f>
        <ns0:v>0</ns0:v>
      </ns0:c>
      <ns0:c r="X288" s="0">
        <ns0:f>IF(T288=0,0,T288-IF(V288="PM",1,0))</ns0:f>
        <ns0:v>0</ns0:v>
      </ns0:c>
      <ns0:c r="Y288" s="0">
        <ns0:f>IF(J288=0,0,J288+IF(U288="AM",1,0))</ns0:f>
        <ns0:v>0</ns0:v>
      </ns0:c>
      <ns0:c r="Z288" s="0">
        <ns0:f>IF(T288=0,0,T288-IF(V288="AM",1,0))</ns0:f>
        <ns0:v>0</ns0:v>
      </ns0:c>
      <ns0:c r="AA288" s="0">
        <ns0:f>IFERROR(IF(AND(J288&gt;0,'_Engine'!C288&gt;0,MID('_Engine'!W288,WEEKDAY(J288,2),1)="W",COUNTIF(Settings!$F$18:$F$67,J288)=0),1,0),0)</ns0:f>
        <ns0:v>0</ns0:v>
      </ns0:c>
      <ns0:c r="AB288" s="0">
        <ns0:f>IFERROR(IF(AND(T288&gt;0,'_Engine'!C288&gt;0,MID('_Engine'!W288,WEEKDAY(T288,2),1)="W",COUNTIF(Settings!$F$18:$F$67,T288)=0),1,0),0)</ns0:f>
        <ns0:v>0</ns0:v>
      </ns0:c>
      <ns0:c r="AC288" s="0">
        <ns0:f>IF(AND(J288&gt;0,T288&gt;0,W288&lt;=X288),1,0)</ns0:f>
        <ns0:v>0</ns0:v>
      </ns0:c>
      <ns0:c r="AD288" s="0">
        <ns0:f>IF(AND(J288&gt;0,T288&gt;0,Y288&lt;=Z288),1,0)</ns0:f>
        <ns0:v>0</ns0:v>
      </ns0:c>
    </ns0:row>
    <ns0:row r="289">
      <ns0:c r="A289" s="0">
        <ns0:f>IFERROR(IF(ISNUMBER(Bookings!B289),"",TRIM(Bookings!B289&amp;"")),"")</ns0:f>
      </ns0:c>
      <ns0:c r="B289" s="0">
        <ns0:f>IFERROR(SUBSTITUTE(SUBSTITUTE(A289,"/","."),"-","."),"")</ns0:f>
      </ns0:c>
      <ns0:c r="C289" s="0">
        <ns0:f>IFERROR(LEFT(B289,FIND(".",B289)-1),"")</ns0:f>
      </ns0:c>
      <ns0:c r="D289" s="0">
        <ns0:f>IFERROR(MID(B289,FIND(".",B289)+1,FIND(".",B289,FIND(".",B289)+1)-FIND(".",B289)-1),"")</ns0:f>
      </ns0:c>
      <ns0:c r="E289" s="0">
        <ns0:f>IFERROR(MID(B289,FIND(".",B289,FIND(".",B289)+1)+1,99),"")</ns0:f>
        <ns0:v>99</ns0:v>
      </ns0:c>
      <ns0:c r="F289" s="0">
        <ns0:f>IFERROR(IF(FIND(".",B289)=5,--C289,--E289),0)</ns0:f>
        <ns0:v>0</ns0:v>
      </ns0:c>
      <ns0:c r="G289" s="0">
        <ns0:f>IFERROR(--D289,0)</ns0:f>
        <ns0:v>0</ns0:v>
      </ns0:c>
      <ns0:c r="H289" s="0">
        <ns0:f>IFERROR(IF(FIND(".",B289)=5,--E289,--C289),0)</ns0:f>
        <ns0:v>0</ns0:v>
      </ns0:c>
      <ns0:c r="I289" s="0">
        <ns0:f>IFERROR(IF(AND(F289&gt;=2000,F289&lt;=2100,G289&gt;=1,G289&lt;=12,H289&gt;=1,H289&lt;=31),DATE(F289,G289,H289),0),0)</ns0:f>
        <ns0:v>0</ns0:v>
      </ns0:c>
      <ns0:c r="J289" s="0">
        <ns0:f>IFERROR(IF(ISNUMBER(Bookings!B289),IF(AND(Bookings!B289=INT(Bookings!B289),Bookings!B289&gt;=DATE(2000,1,1),Bookings!B289&lt;=DATE(2100,12,31)),Bookings!B289,0),IF(AND(A289&lt;&gt;"",LEN("x"&amp;B289)-LEN(SUBSTITUTE("x"&amp;B289,".",""))=2,OR(1&gt;LEN(B289),MID(B289,1,1)=".",ISNUMBER(FIND("x"&amp;MID(B289,1,1),"x0x1x2x3x4x5x6x7x8x9"))),OR(2&gt;LEN(B289),MID(B289,2,1)=".",ISNUMBER(FIND("x"&amp;MID(B289,2,1),"x0x1x2x3x4x5x6x7x8x9"))),OR(3&gt;LEN(B289),MID(B289,3,1)=".",ISNUMBER(FIND("x"&amp;MID(B289,3,1),"x0x1x2x3x4x5x6x7x8x9"))),OR(4&gt;LEN(B289),MID(B289,4,1)=".",ISNUMBER(FIND("x"&amp;MID(B289,4,1),"x0x1x2x3x4x5x6x7x8x9"))),OR(5&gt;LEN(B289),MID(B289,5,1)=".",ISNUMBER(FIND("x"&amp;MID(B289,5,1),"x0x1x2x3x4x5x6x7x8x9"))),OR(6&gt;LEN(B289),MID(B289,6,1)=".",ISNUMBER(FIND("x"&amp;MID(B289,6,1),"x0x1x2x3x4x5x6x7x8x9"))),OR(7&gt;LEN(B289),MID(B289,7,1)=".",ISNUMBER(FIND("x"&amp;MID(B289,7,1),"x0x1x2x3x4x5x6x7x8x9"))),OR(8&gt;LEN(B289),MID(B289,8,1)=".",ISNUMBER(FIND("x"&amp;MID(B289,8,1),"x0x1x2x3x4x5x6x7x8x9"))),OR(9&gt;LEN(B289),MID(B289,9,1)=".",ISNUMBER(FIND("x"&amp;MID(B289,9,1),"x0x1x2x3x4x5x6x7x8x9"))),OR(10&gt;LEN(B289),MID(B289,10,1)=".",ISNUMBER(FIND("x"&amp;MID(B289,10,1),"x0x1x2x3x4x5x6x7x8x9"))),OR(AND(FIND(".",B289)=5,LEN(B289)-FIND(".",B289,FIND(".",B289)+1)&gt;=1,LEN(B289)-FIND(".",B289,FIND(".",B289)+1)&lt;=2),AND(LEN(B289)-FIND(".",B289,FIND(".",B289)+1)=4,FIND(".",B289)&gt;=2,FIND(".",B289)&lt;=3)),FIND(".",B289,FIND(".",B289)+1)-FIND(".",B289)&gt;=2,FIND(".",B289,FIND(".",B289)+1)-FIND(".",B289)&lt;=3,F289&gt;=2000,F289&lt;=2100,YEAR(I289)=F289,MONTH(I289)=G289,DAY(I289)=H289),I289,0)),0)</ns0:f>
        <ns0:v>0</ns0:v>
      </ns0:c>
      <ns0:c r="K289" s="0">
        <ns0:f>IFERROR(IF(ISNUMBER(Bookings!D289),"",TRIM(Bookings!D289&amp;"")),"")</ns0:f>
      </ns0:c>
      <ns0:c r="L289" s="0">
        <ns0:f>IFERROR(SUBSTITUTE(SUBSTITUTE(K289,"/","."),"-","."),"")</ns0:f>
      </ns0:c>
      <ns0:c r="M289" s="0">
        <ns0:f>IFERROR(LEFT(L289,FIND(".",L289)-1),"")</ns0:f>
      </ns0:c>
      <ns0:c r="N289" s="0">
        <ns0:f>IFERROR(MID(L289,FIND(".",L289)+1,FIND(".",L289,FIND(".",L289)+1)-FIND(".",L289)-1),"")</ns0:f>
      </ns0:c>
      <ns0:c r="O289" s="0">
        <ns0:f>IFERROR(MID(L289,FIND(".",L289,FIND(".",L289)+1)+1,99),"")</ns0:f>
        <ns0:v>99</ns0:v>
      </ns0:c>
      <ns0:c r="P289" s="0">
        <ns0:f>IFERROR(IF(FIND(".",L289)=5,--M289,--O289),0)</ns0:f>
        <ns0:v>0</ns0:v>
      </ns0:c>
      <ns0:c r="Q289" s="0">
        <ns0:f>IFERROR(--N289,0)</ns0:f>
        <ns0:v>0</ns0:v>
      </ns0:c>
      <ns0:c r="R289" s="0">
        <ns0:f>IFERROR(IF(FIND(".",L289)=5,--O289,--M289),0)</ns0:f>
        <ns0:v>0</ns0:v>
      </ns0:c>
      <ns0:c r="S289" s="0">
        <ns0:f>IFERROR(IF(AND(P289&gt;=2000,P289&lt;=2100,Q289&gt;=1,Q289&lt;=12,R289&gt;=1,R289&lt;=31),DATE(P289,Q289,R289),0),0)</ns0:f>
        <ns0:v>0</ns0:v>
      </ns0:c>
      <ns0:c r="T289" s="0">
        <ns0:f>IFERROR(IF(ISNUMBER(Bookings!D289),IF(AND(Bookings!D289=INT(Bookings!D289),Bookings!D289&gt;=DATE(2000,1,1),Bookings!D289&lt;=DATE(2100,12,31)),Bookings!D289,0),IF(AND(K289&lt;&gt;"",LEN("x"&amp;L289)-LEN(SUBSTITUTE("x"&amp;L289,".",""))=2,OR(1&gt;LEN(L289),MID(L289,1,1)=".",ISNUMBER(FIND("x"&amp;MID(L289,1,1),"x0x1x2x3x4x5x6x7x8x9"))),OR(2&gt;LEN(L289),MID(L289,2,1)=".",ISNUMBER(FIND("x"&amp;MID(L289,2,1),"x0x1x2x3x4x5x6x7x8x9"))),OR(3&gt;LEN(L289),MID(L289,3,1)=".",ISNUMBER(FIND("x"&amp;MID(L289,3,1),"x0x1x2x3x4x5x6x7x8x9"))),OR(4&gt;LEN(L289),MID(L289,4,1)=".",ISNUMBER(FIND("x"&amp;MID(L289,4,1),"x0x1x2x3x4x5x6x7x8x9"))),OR(5&gt;LEN(L289),MID(L289,5,1)=".",ISNUMBER(FIND("x"&amp;MID(L289,5,1),"x0x1x2x3x4x5x6x7x8x9"))),OR(6&gt;LEN(L289),MID(L289,6,1)=".",ISNUMBER(FIND("x"&amp;MID(L289,6,1),"x0x1x2x3x4x5x6x7x8x9"))),OR(7&gt;LEN(L289),MID(L289,7,1)=".",ISNUMBER(FIND("x"&amp;MID(L289,7,1),"x0x1x2x3x4x5x6x7x8x9"))),OR(8&gt;LEN(L289),MID(L289,8,1)=".",ISNUMBER(FIND("x"&amp;MID(L289,8,1),"x0x1x2x3x4x5x6x7x8x9"))),OR(9&gt;LEN(L289),MID(L289,9,1)=".",ISNUMBER(FIND("x"&amp;MID(L289,9,1),"x0x1x2x3x4x5x6x7x8x9"))),OR(10&gt;LEN(L289),MID(L289,10,1)=".",ISNUMBER(FIND("x"&amp;MID(L289,10,1),"x0x1x2x3x4x5x6x7x8x9"))),OR(AND(FIND(".",L289)=5,LEN(L289)-FIND(".",L289,FIND(".",L289)+1)&gt;=1,LEN(L289)-FIND(".",L289,FIND(".",L289)+1)&lt;=2),AND(LEN(L289)-FIND(".",L289,FIND(".",L289)+1)=4,FIND(".",L289)&gt;=2,FIND(".",L289)&lt;=3)),FIND(".",L289,FIND(".",L289)+1)-FIND(".",L289)&gt;=2,FIND(".",L289,FIND(".",L289)+1)-FIND(".",L289)&lt;=3,P289&gt;=2000,P289&lt;=2100,YEAR(S289)=P289,MONTH(S289)=Q289,DAY(S289)=R289),S289,0)),0)</ns0:f>
        <ns0:v>0</ns0:v>
      </ns0:c>
      <ns0:c r="U289" s="0" t="str">
        <ns0:f>IF(Bookings!C289="","Full day",Bookings!C289)</ns0:f>
        <ns0:v>Full day</ns0:v>
      </ns0:c>
      <ns0:c r="V289" s="0" t="str">
        <ns0:f>IF(Bookings!E289="","Full day",Bookings!E289)</ns0:f>
        <ns0:v>Full day</ns0:v>
      </ns0:c>
      <ns0:c r="W289" s="0">
        <ns0:f>IF(J289=0,0,J289+IF(U289="PM",1,0))</ns0:f>
        <ns0:v>0</ns0:v>
      </ns0:c>
      <ns0:c r="X289" s="0">
        <ns0:f>IF(T289=0,0,T289-IF(V289="PM",1,0))</ns0:f>
        <ns0:v>0</ns0:v>
      </ns0:c>
      <ns0:c r="Y289" s="0">
        <ns0:f>IF(J289=0,0,J289+IF(U289="AM",1,0))</ns0:f>
        <ns0:v>0</ns0:v>
      </ns0:c>
      <ns0:c r="Z289" s="0">
        <ns0:f>IF(T289=0,0,T289-IF(V289="AM",1,0))</ns0:f>
        <ns0:v>0</ns0:v>
      </ns0:c>
      <ns0:c r="AA289" s="0">
        <ns0:f>IFERROR(IF(AND(J289&gt;0,'_Engine'!C289&gt;0,MID('_Engine'!W289,WEEKDAY(J289,2),1)="W",COUNTIF(Settings!$F$18:$F$67,J289)=0),1,0),0)</ns0:f>
        <ns0:v>0</ns0:v>
      </ns0:c>
      <ns0:c r="AB289" s="0">
        <ns0:f>IFERROR(IF(AND(T289&gt;0,'_Engine'!C289&gt;0,MID('_Engine'!W289,WEEKDAY(T289,2),1)="W",COUNTIF(Settings!$F$18:$F$67,T289)=0),1,0),0)</ns0:f>
        <ns0:v>0</ns0:v>
      </ns0:c>
      <ns0:c r="AC289" s="0">
        <ns0:f>IF(AND(J289&gt;0,T289&gt;0,W289&lt;=X289),1,0)</ns0:f>
        <ns0:v>0</ns0:v>
      </ns0:c>
      <ns0:c r="AD289" s="0">
        <ns0:f>IF(AND(J289&gt;0,T289&gt;0,Y289&lt;=Z289),1,0)</ns0:f>
        <ns0:v>0</ns0:v>
      </ns0:c>
    </ns0:row>
    <ns0:row r="290">
      <ns0:c r="A290" s="0">
        <ns0:f>IFERROR(IF(ISNUMBER(Bookings!B290),"",TRIM(Bookings!B290&amp;"")),"")</ns0:f>
      </ns0:c>
      <ns0:c r="B290" s="0">
        <ns0:f>IFERROR(SUBSTITUTE(SUBSTITUTE(A290,"/","."),"-","."),"")</ns0:f>
      </ns0:c>
      <ns0:c r="C290" s="0">
        <ns0:f>IFERROR(LEFT(B290,FIND(".",B290)-1),"")</ns0:f>
      </ns0:c>
      <ns0:c r="D290" s="0">
        <ns0:f>IFERROR(MID(B290,FIND(".",B290)+1,FIND(".",B290,FIND(".",B290)+1)-FIND(".",B290)-1),"")</ns0:f>
      </ns0:c>
      <ns0:c r="E290" s="0">
        <ns0:f>IFERROR(MID(B290,FIND(".",B290,FIND(".",B290)+1)+1,99),"")</ns0:f>
        <ns0:v>99</ns0:v>
      </ns0:c>
      <ns0:c r="F290" s="0">
        <ns0:f>IFERROR(IF(FIND(".",B290)=5,--C290,--E290),0)</ns0:f>
        <ns0:v>0</ns0:v>
      </ns0:c>
      <ns0:c r="G290" s="0">
        <ns0:f>IFERROR(--D290,0)</ns0:f>
        <ns0:v>0</ns0:v>
      </ns0:c>
      <ns0:c r="H290" s="0">
        <ns0:f>IFERROR(IF(FIND(".",B290)=5,--E290,--C290),0)</ns0:f>
        <ns0:v>0</ns0:v>
      </ns0:c>
      <ns0:c r="I290" s="0">
        <ns0:f>IFERROR(IF(AND(F290&gt;=2000,F290&lt;=2100,G290&gt;=1,G290&lt;=12,H290&gt;=1,H290&lt;=31),DATE(F290,G290,H290),0),0)</ns0:f>
        <ns0:v>0</ns0:v>
      </ns0:c>
      <ns0:c r="J290" s="0">
        <ns0:f>IFERROR(IF(ISNUMBER(Bookings!B290),IF(AND(Bookings!B290=INT(Bookings!B290),Bookings!B290&gt;=DATE(2000,1,1),Bookings!B290&lt;=DATE(2100,12,31)),Bookings!B290,0),IF(AND(A290&lt;&gt;"",LEN("x"&amp;B290)-LEN(SUBSTITUTE("x"&amp;B290,".",""))=2,OR(1&gt;LEN(B290),MID(B290,1,1)=".",ISNUMBER(FIND("x"&amp;MID(B290,1,1),"x0x1x2x3x4x5x6x7x8x9"))),OR(2&gt;LEN(B290),MID(B290,2,1)=".",ISNUMBER(FIND("x"&amp;MID(B290,2,1),"x0x1x2x3x4x5x6x7x8x9"))),OR(3&gt;LEN(B290),MID(B290,3,1)=".",ISNUMBER(FIND("x"&amp;MID(B290,3,1),"x0x1x2x3x4x5x6x7x8x9"))),OR(4&gt;LEN(B290),MID(B290,4,1)=".",ISNUMBER(FIND("x"&amp;MID(B290,4,1),"x0x1x2x3x4x5x6x7x8x9"))),OR(5&gt;LEN(B290),MID(B290,5,1)=".",ISNUMBER(FIND("x"&amp;MID(B290,5,1),"x0x1x2x3x4x5x6x7x8x9"))),OR(6&gt;LEN(B290),MID(B290,6,1)=".",ISNUMBER(FIND("x"&amp;MID(B290,6,1),"x0x1x2x3x4x5x6x7x8x9"))),OR(7&gt;LEN(B290),MID(B290,7,1)=".",ISNUMBER(FIND("x"&amp;MID(B290,7,1),"x0x1x2x3x4x5x6x7x8x9"))),OR(8&gt;LEN(B290),MID(B290,8,1)=".",ISNUMBER(FIND("x"&amp;MID(B290,8,1),"x0x1x2x3x4x5x6x7x8x9"))),OR(9&gt;LEN(B290),MID(B290,9,1)=".",ISNUMBER(FIND("x"&amp;MID(B290,9,1),"x0x1x2x3x4x5x6x7x8x9"))),OR(10&gt;LEN(B290),MID(B290,10,1)=".",ISNUMBER(FIND("x"&amp;MID(B290,10,1),"x0x1x2x3x4x5x6x7x8x9"))),OR(AND(FIND(".",B290)=5,LEN(B290)-FIND(".",B290,FIND(".",B290)+1)&gt;=1,LEN(B290)-FIND(".",B290,FIND(".",B290)+1)&lt;=2),AND(LEN(B290)-FIND(".",B290,FIND(".",B290)+1)=4,FIND(".",B290)&gt;=2,FIND(".",B290)&lt;=3)),FIND(".",B290,FIND(".",B290)+1)-FIND(".",B290)&gt;=2,FIND(".",B290,FIND(".",B290)+1)-FIND(".",B290)&lt;=3,F290&gt;=2000,F290&lt;=2100,YEAR(I290)=F290,MONTH(I290)=G290,DAY(I290)=H290),I290,0)),0)</ns0:f>
        <ns0:v>0</ns0:v>
      </ns0:c>
      <ns0:c r="K290" s="0">
        <ns0:f>IFERROR(IF(ISNUMBER(Bookings!D290),"",TRIM(Bookings!D290&amp;"")),"")</ns0:f>
      </ns0:c>
      <ns0:c r="L290" s="0">
        <ns0:f>IFERROR(SUBSTITUTE(SUBSTITUTE(K290,"/","."),"-","."),"")</ns0:f>
      </ns0:c>
      <ns0:c r="M290" s="0">
        <ns0:f>IFERROR(LEFT(L290,FIND(".",L290)-1),"")</ns0:f>
      </ns0:c>
      <ns0:c r="N290" s="0">
        <ns0:f>IFERROR(MID(L290,FIND(".",L290)+1,FIND(".",L290,FIND(".",L290)+1)-FIND(".",L290)-1),"")</ns0:f>
      </ns0:c>
      <ns0:c r="O290" s="0">
        <ns0:f>IFERROR(MID(L290,FIND(".",L290,FIND(".",L290)+1)+1,99),"")</ns0:f>
        <ns0:v>99</ns0:v>
      </ns0:c>
      <ns0:c r="P290" s="0">
        <ns0:f>IFERROR(IF(FIND(".",L290)=5,--M290,--O290),0)</ns0:f>
        <ns0:v>0</ns0:v>
      </ns0:c>
      <ns0:c r="Q290" s="0">
        <ns0:f>IFERROR(--N290,0)</ns0:f>
        <ns0:v>0</ns0:v>
      </ns0:c>
      <ns0:c r="R290" s="0">
        <ns0:f>IFERROR(IF(FIND(".",L290)=5,--O290,--M290),0)</ns0:f>
        <ns0:v>0</ns0:v>
      </ns0:c>
      <ns0:c r="S290" s="0">
        <ns0:f>IFERROR(IF(AND(P290&gt;=2000,P290&lt;=2100,Q290&gt;=1,Q290&lt;=12,R290&gt;=1,R290&lt;=31),DATE(P290,Q290,R290),0),0)</ns0:f>
        <ns0:v>0</ns0:v>
      </ns0:c>
      <ns0:c r="T290" s="0">
        <ns0:f>IFERROR(IF(ISNUMBER(Bookings!D290),IF(AND(Bookings!D290=INT(Bookings!D290),Bookings!D290&gt;=DATE(2000,1,1),Bookings!D290&lt;=DATE(2100,12,31)),Bookings!D290,0),IF(AND(K290&lt;&gt;"",LEN("x"&amp;L290)-LEN(SUBSTITUTE("x"&amp;L290,".",""))=2,OR(1&gt;LEN(L290),MID(L290,1,1)=".",ISNUMBER(FIND("x"&amp;MID(L290,1,1),"x0x1x2x3x4x5x6x7x8x9"))),OR(2&gt;LEN(L290),MID(L290,2,1)=".",ISNUMBER(FIND("x"&amp;MID(L290,2,1),"x0x1x2x3x4x5x6x7x8x9"))),OR(3&gt;LEN(L290),MID(L290,3,1)=".",ISNUMBER(FIND("x"&amp;MID(L290,3,1),"x0x1x2x3x4x5x6x7x8x9"))),OR(4&gt;LEN(L290),MID(L290,4,1)=".",ISNUMBER(FIND("x"&amp;MID(L290,4,1),"x0x1x2x3x4x5x6x7x8x9"))),OR(5&gt;LEN(L290),MID(L290,5,1)=".",ISNUMBER(FIND("x"&amp;MID(L290,5,1),"x0x1x2x3x4x5x6x7x8x9"))),OR(6&gt;LEN(L290),MID(L290,6,1)=".",ISNUMBER(FIND("x"&amp;MID(L290,6,1),"x0x1x2x3x4x5x6x7x8x9"))),OR(7&gt;LEN(L290),MID(L290,7,1)=".",ISNUMBER(FIND("x"&amp;MID(L290,7,1),"x0x1x2x3x4x5x6x7x8x9"))),OR(8&gt;LEN(L290),MID(L290,8,1)=".",ISNUMBER(FIND("x"&amp;MID(L290,8,1),"x0x1x2x3x4x5x6x7x8x9"))),OR(9&gt;LEN(L290),MID(L290,9,1)=".",ISNUMBER(FIND("x"&amp;MID(L290,9,1),"x0x1x2x3x4x5x6x7x8x9"))),OR(10&gt;LEN(L290),MID(L290,10,1)=".",ISNUMBER(FIND("x"&amp;MID(L290,10,1),"x0x1x2x3x4x5x6x7x8x9"))),OR(AND(FIND(".",L290)=5,LEN(L290)-FIND(".",L290,FIND(".",L290)+1)&gt;=1,LEN(L290)-FIND(".",L290,FIND(".",L290)+1)&lt;=2),AND(LEN(L290)-FIND(".",L290,FIND(".",L290)+1)=4,FIND(".",L290)&gt;=2,FIND(".",L290)&lt;=3)),FIND(".",L290,FIND(".",L290)+1)-FIND(".",L290)&gt;=2,FIND(".",L290,FIND(".",L290)+1)-FIND(".",L290)&lt;=3,P290&gt;=2000,P290&lt;=2100,YEAR(S290)=P290,MONTH(S290)=Q290,DAY(S290)=R290),S290,0)),0)</ns0:f>
        <ns0:v>0</ns0:v>
      </ns0:c>
      <ns0:c r="U290" s="0" t="str">
        <ns0:f>IF(Bookings!C290="","Full day",Bookings!C290)</ns0:f>
        <ns0:v>Full day</ns0:v>
      </ns0:c>
      <ns0:c r="V290" s="0" t="str">
        <ns0:f>IF(Bookings!E290="","Full day",Bookings!E290)</ns0:f>
        <ns0:v>Full day</ns0:v>
      </ns0:c>
      <ns0:c r="W290" s="0">
        <ns0:f>IF(J290=0,0,J290+IF(U290="PM",1,0))</ns0:f>
        <ns0:v>0</ns0:v>
      </ns0:c>
      <ns0:c r="X290" s="0">
        <ns0:f>IF(T290=0,0,T290-IF(V290="PM",1,0))</ns0:f>
        <ns0:v>0</ns0:v>
      </ns0:c>
      <ns0:c r="Y290" s="0">
        <ns0:f>IF(J290=0,0,J290+IF(U290="AM",1,0))</ns0:f>
        <ns0:v>0</ns0:v>
      </ns0:c>
      <ns0:c r="Z290" s="0">
        <ns0:f>IF(T290=0,0,T290-IF(V290="AM",1,0))</ns0:f>
        <ns0:v>0</ns0:v>
      </ns0:c>
      <ns0:c r="AA290" s="0">
        <ns0:f>IFERROR(IF(AND(J290&gt;0,'_Engine'!C290&gt;0,MID('_Engine'!W290,WEEKDAY(J290,2),1)="W",COUNTIF(Settings!$F$18:$F$67,J290)=0),1,0),0)</ns0:f>
        <ns0:v>0</ns0:v>
      </ns0:c>
      <ns0:c r="AB290" s="0">
        <ns0:f>IFERROR(IF(AND(T290&gt;0,'_Engine'!C290&gt;0,MID('_Engine'!W290,WEEKDAY(T290,2),1)="W",COUNTIF(Settings!$F$18:$F$67,T290)=0),1,0),0)</ns0:f>
        <ns0:v>0</ns0:v>
      </ns0:c>
      <ns0:c r="AC290" s="0">
        <ns0:f>IF(AND(J290&gt;0,T290&gt;0,W290&lt;=X290),1,0)</ns0:f>
        <ns0:v>0</ns0:v>
      </ns0:c>
      <ns0:c r="AD290" s="0">
        <ns0:f>IF(AND(J290&gt;0,T290&gt;0,Y290&lt;=Z290),1,0)</ns0:f>
        <ns0:v>0</ns0:v>
      </ns0:c>
    </ns0:row>
    <ns0:row r="291">
      <ns0:c r="A291" s="0">
        <ns0:f>IFERROR(IF(ISNUMBER(Bookings!B291),"",TRIM(Bookings!B291&amp;"")),"")</ns0:f>
      </ns0:c>
      <ns0:c r="B291" s="0">
        <ns0:f>IFERROR(SUBSTITUTE(SUBSTITUTE(A291,"/","."),"-","."),"")</ns0:f>
      </ns0:c>
      <ns0:c r="C291" s="0">
        <ns0:f>IFERROR(LEFT(B291,FIND(".",B291)-1),"")</ns0:f>
      </ns0:c>
      <ns0:c r="D291" s="0">
        <ns0:f>IFERROR(MID(B291,FIND(".",B291)+1,FIND(".",B291,FIND(".",B291)+1)-FIND(".",B291)-1),"")</ns0:f>
      </ns0:c>
      <ns0:c r="E291" s="0">
        <ns0:f>IFERROR(MID(B291,FIND(".",B291,FIND(".",B291)+1)+1,99),"")</ns0:f>
        <ns0:v>99</ns0:v>
      </ns0:c>
      <ns0:c r="F291" s="0">
        <ns0:f>IFERROR(IF(FIND(".",B291)=5,--C291,--E291),0)</ns0:f>
        <ns0:v>0</ns0:v>
      </ns0:c>
      <ns0:c r="G291" s="0">
        <ns0:f>IFERROR(--D291,0)</ns0:f>
        <ns0:v>0</ns0:v>
      </ns0:c>
      <ns0:c r="H291" s="0">
        <ns0:f>IFERROR(IF(FIND(".",B291)=5,--E291,--C291),0)</ns0:f>
        <ns0:v>0</ns0:v>
      </ns0:c>
      <ns0:c r="I291" s="0">
        <ns0:f>IFERROR(IF(AND(F291&gt;=2000,F291&lt;=2100,G291&gt;=1,G291&lt;=12,H291&gt;=1,H291&lt;=31),DATE(F291,G291,H291),0),0)</ns0:f>
        <ns0:v>0</ns0:v>
      </ns0:c>
      <ns0:c r="J291" s="0">
        <ns0:f>IFERROR(IF(ISNUMBER(Bookings!B291),IF(AND(Bookings!B291=INT(Bookings!B291),Bookings!B291&gt;=DATE(2000,1,1),Bookings!B291&lt;=DATE(2100,12,31)),Bookings!B291,0),IF(AND(A291&lt;&gt;"",LEN("x"&amp;B291)-LEN(SUBSTITUTE("x"&amp;B291,".",""))=2,OR(1&gt;LEN(B291),MID(B291,1,1)=".",ISNUMBER(FIND("x"&amp;MID(B291,1,1),"x0x1x2x3x4x5x6x7x8x9"))),OR(2&gt;LEN(B291),MID(B291,2,1)=".",ISNUMBER(FIND("x"&amp;MID(B291,2,1),"x0x1x2x3x4x5x6x7x8x9"))),OR(3&gt;LEN(B291),MID(B291,3,1)=".",ISNUMBER(FIND("x"&amp;MID(B291,3,1),"x0x1x2x3x4x5x6x7x8x9"))),OR(4&gt;LEN(B291),MID(B291,4,1)=".",ISNUMBER(FIND("x"&amp;MID(B291,4,1),"x0x1x2x3x4x5x6x7x8x9"))),OR(5&gt;LEN(B291),MID(B291,5,1)=".",ISNUMBER(FIND("x"&amp;MID(B291,5,1),"x0x1x2x3x4x5x6x7x8x9"))),OR(6&gt;LEN(B291),MID(B291,6,1)=".",ISNUMBER(FIND("x"&amp;MID(B291,6,1),"x0x1x2x3x4x5x6x7x8x9"))),OR(7&gt;LEN(B291),MID(B291,7,1)=".",ISNUMBER(FIND("x"&amp;MID(B291,7,1),"x0x1x2x3x4x5x6x7x8x9"))),OR(8&gt;LEN(B291),MID(B291,8,1)=".",ISNUMBER(FIND("x"&amp;MID(B291,8,1),"x0x1x2x3x4x5x6x7x8x9"))),OR(9&gt;LEN(B291),MID(B291,9,1)=".",ISNUMBER(FIND("x"&amp;MID(B291,9,1),"x0x1x2x3x4x5x6x7x8x9"))),OR(10&gt;LEN(B291),MID(B291,10,1)=".",ISNUMBER(FIND("x"&amp;MID(B291,10,1),"x0x1x2x3x4x5x6x7x8x9"))),OR(AND(FIND(".",B291)=5,LEN(B291)-FIND(".",B291,FIND(".",B291)+1)&gt;=1,LEN(B291)-FIND(".",B291,FIND(".",B291)+1)&lt;=2),AND(LEN(B291)-FIND(".",B291,FIND(".",B291)+1)=4,FIND(".",B291)&gt;=2,FIND(".",B291)&lt;=3)),FIND(".",B291,FIND(".",B291)+1)-FIND(".",B291)&gt;=2,FIND(".",B291,FIND(".",B291)+1)-FIND(".",B291)&lt;=3,F291&gt;=2000,F291&lt;=2100,YEAR(I291)=F291,MONTH(I291)=G291,DAY(I291)=H291),I291,0)),0)</ns0:f>
        <ns0:v>0</ns0:v>
      </ns0:c>
      <ns0:c r="K291" s="0">
        <ns0:f>IFERROR(IF(ISNUMBER(Bookings!D291),"",TRIM(Bookings!D291&amp;"")),"")</ns0:f>
      </ns0:c>
      <ns0:c r="L291" s="0">
        <ns0:f>IFERROR(SUBSTITUTE(SUBSTITUTE(K291,"/","."),"-","."),"")</ns0:f>
      </ns0:c>
      <ns0:c r="M291" s="0">
        <ns0:f>IFERROR(LEFT(L291,FIND(".",L291)-1),"")</ns0:f>
      </ns0:c>
      <ns0:c r="N291" s="0">
        <ns0:f>IFERROR(MID(L291,FIND(".",L291)+1,FIND(".",L291,FIND(".",L291)+1)-FIND(".",L291)-1),"")</ns0:f>
      </ns0:c>
      <ns0:c r="O291" s="0">
        <ns0:f>IFERROR(MID(L291,FIND(".",L291,FIND(".",L291)+1)+1,99),"")</ns0:f>
        <ns0:v>99</ns0:v>
      </ns0:c>
      <ns0:c r="P291" s="0">
        <ns0:f>IFERROR(IF(FIND(".",L291)=5,--M291,--O291),0)</ns0:f>
        <ns0:v>0</ns0:v>
      </ns0:c>
      <ns0:c r="Q291" s="0">
        <ns0:f>IFERROR(--N291,0)</ns0:f>
        <ns0:v>0</ns0:v>
      </ns0:c>
      <ns0:c r="R291" s="0">
        <ns0:f>IFERROR(IF(FIND(".",L291)=5,--O291,--M291),0)</ns0:f>
        <ns0:v>0</ns0:v>
      </ns0:c>
      <ns0:c r="S291" s="0">
        <ns0:f>IFERROR(IF(AND(P291&gt;=2000,P291&lt;=2100,Q291&gt;=1,Q291&lt;=12,R291&gt;=1,R291&lt;=31),DATE(P291,Q291,R291),0),0)</ns0:f>
        <ns0:v>0</ns0:v>
      </ns0:c>
      <ns0:c r="T291" s="0">
        <ns0:f>IFERROR(IF(ISNUMBER(Bookings!D291),IF(AND(Bookings!D291=INT(Bookings!D291),Bookings!D291&gt;=DATE(2000,1,1),Bookings!D291&lt;=DATE(2100,12,31)),Bookings!D291,0),IF(AND(K291&lt;&gt;"",LEN("x"&amp;L291)-LEN(SUBSTITUTE("x"&amp;L291,".",""))=2,OR(1&gt;LEN(L291),MID(L291,1,1)=".",ISNUMBER(FIND("x"&amp;MID(L291,1,1),"x0x1x2x3x4x5x6x7x8x9"))),OR(2&gt;LEN(L291),MID(L291,2,1)=".",ISNUMBER(FIND("x"&amp;MID(L291,2,1),"x0x1x2x3x4x5x6x7x8x9"))),OR(3&gt;LEN(L291),MID(L291,3,1)=".",ISNUMBER(FIND("x"&amp;MID(L291,3,1),"x0x1x2x3x4x5x6x7x8x9"))),OR(4&gt;LEN(L291),MID(L291,4,1)=".",ISNUMBER(FIND("x"&amp;MID(L291,4,1),"x0x1x2x3x4x5x6x7x8x9"))),OR(5&gt;LEN(L291),MID(L291,5,1)=".",ISNUMBER(FIND("x"&amp;MID(L291,5,1),"x0x1x2x3x4x5x6x7x8x9"))),OR(6&gt;LEN(L291),MID(L291,6,1)=".",ISNUMBER(FIND("x"&amp;MID(L291,6,1),"x0x1x2x3x4x5x6x7x8x9"))),OR(7&gt;LEN(L291),MID(L291,7,1)=".",ISNUMBER(FIND("x"&amp;MID(L291,7,1),"x0x1x2x3x4x5x6x7x8x9"))),OR(8&gt;LEN(L291),MID(L291,8,1)=".",ISNUMBER(FIND("x"&amp;MID(L291,8,1),"x0x1x2x3x4x5x6x7x8x9"))),OR(9&gt;LEN(L291),MID(L291,9,1)=".",ISNUMBER(FIND("x"&amp;MID(L291,9,1),"x0x1x2x3x4x5x6x7x8x9"))),OR(10&gt;LEN(L291),MID(L291,10,1)=".",ISNUMBER(FIND("x"&amp;MID(L291,10,1),"x0x1x2x3x4x5x6x7x8x9"))),OR(AND(FIND(".",L291)=5,LEN(L291)-FIND(".",L291,FIND(".",L291)+1)&gt;=1,LEN(L291)-FIND(".",L291,FIND(".",L291)+1)&lt;=2),AND(LEN(L291)-FIND(".",L291,FIND(".",L291)+1)=4,FIND(".",L291)&gt;=2,FIND(".",L291)&lt;=3)),FIND(".",L291,FIND(".",L291)+1)-FIND(".",L291)&gt;=2,FIND(".",L291,FIND(".",L291)+1)-FIND(".",L291)&lt;=3,P291&gt;=2000,P291&lt;=2100,YEAR(S291)=P291,MONTH(S291)=Q291,DAY(S291)=R291),S291,0)),0)</ns0:f>
        <ns0:v>0</ns0:v>
      </ns0:c>
      <ns0:c r="U291" s="0" t="str">
        <ns0:f>IF(Bookings!C291="","Full day",Bookings!C291)</ns0:f>
        <ns0:v>Full day</ns0:v>
      </ns0:c>
      <ns0:c r="V291" s="0" t="str">
        <ns0:f>IF(Bookings!E291="","Full day",Bookings!E291)</ns0:f>
        <ns0:v>Full day</ns0:v>
      </ns0:c>
      <ns0:c r="W291" s="0">
        <ns0:f>IF(J291=0,0,J291+IF(U291="PM",1,0))</ns0:f>
        <ns0:v>0</ns0:v>
      </ns0:c>
      <ns0:c r="X291" s="0">
        <ns0:f>IF(T291=0,0,T291-IF(V291="PM",1,0))</ns0:f>
        <ns0:v>0</ns0:v>
      </ns0:c>
      <ns0:c r="Y291" s="0">
        <ns0:f>IF(J291=0,0,J291+IF(U291="AM",1,0))</ns0:f>
        <ns0:v>0</ns0:v>
      </ns0:c>
      <ns0:c r="Z291" s="0">
        <ns0:f>IF(T291=0,0,T291-IF(V291="AM",1,0))</ns0:f>
        <ns0:v>0</ns0:v>
      </ns0:c>
      <ns0:c r="AA291" s="0">
        <ns0:f>IFERROR(IF(AND(J291&gt;0,'_Engine'!C291&gt;0,MID('_Engine'!W291,WEEKDAY(J291,2),1)="W",COUNTIF(Settings!$F$18:$F$67,J291)=0),1,0),0)</ns0:f>
        <ns0:v>0</ns0:v>
      </ns0:c>
      <ns0:c r="AB291" s="0">
        <ns0:f>IFERROR(IF(AND(T291&gt;0,'_Engine'!C291&gt;0,MID('_Engine'!W291,WEEKDAY(T291,2),1)="W",COUNTIF(Settings!$F$18:$F$67,T291)=0),1,0),0)</ns0:f>
        <ns0:v>0</ns0:v>
      </ns0:c>
      <ns0:c r="AC291" s="0">
        <ns0:f>IF(AND(J291&gt;0,T291&gt;0,W291&lt;=X291),1,0)</ns0:f>
        <ns0:v>0</ns0:v>
      </ns0:c>
      <ns0:c r="AD291" s="0">
        <ns0:f>IF(AND(J291&gt;0,T291&gt;0,Y291&lt;=Z291),1,0)</ns0:f>
        <ns0:v>0</ns0:v>
      </ns0:c>
    </ns0:row>
    <ns0:row r="292">
      <ns0:c r="A292" s="0">
        <ns0:f>IFERROR(IF(ISNUMBER(Bookings!B292),"",TRIM(Bookings!B292&amp;"")),"")</ns0:f>
      </ns0:c>
      <ns0:c r="B292" s="0">
        <ns0:f>IFERROR(SUBSTITUTE(SUBSTITUTE(A292,"/","."),"-","."),"")</ns0:f>
      </ns0:c>
      <ns0:c r="C292" s="0">
        <ns0:f>IFERROR(LEFT(B292,FIND(".",B292)-1),"")</ns0:f>
      </ns0:c>
      <ns0:c r="D292" s="0">
        <ns0:f>IFERROR(MID(B292,FIND(".",B292)+1,FIND(".",B292,FIND(".",B292)+1)-FIND(".",B292)-1),"")</ns0:f>
      </ns0:c>
      <ns0:c r="E292" s="0">
        <ns0:f>IFERROR(MID(B292,FIND(".",B292,FIND(".",B292)+1)+1,99),"")</ns0:f>
        <ns0:v>99</ns0:v>
      </ns0:c>
      <ns0:c r="F292" s="0">
        <ns0:f>IFERROR(IF(FIND(".",B292)=5,--C292,--E292),0)</ns0:f>
        <ns0:v>0</ns0:v>
      </ns0:c>
      <ns0:c r="G292" s="0">
        <ns0:f>IFERROR(--D292,0)</ns0:f>
        <ns0:v>0</ns0:v>
      </ns0:c>
      <ns0:c r="H292" s="0">
        <ns0:f>IFERROR(IF(FIND(".",B292)=5,--E292,--C292),0)</ns0:f>
        <ns0:v>0</ns0:v>
      </ns0:c>
      <ns0:c r="I292" s="0">
        <ns0:f>IFERROR(IF(AND(F292&gt;=2000,F292&lt;=2100,G292&gt;=1,G292&lt;=12,H292&gt;=1,H292&lt;=31),DATE(F292,G292,H292),0),0)</ns0:f>
        <ns0:v>0</ns0:v>
      </ns0:c>
      <ns0:c r="J292" s="0">
        <ns0:f>IFERROR(IF(ISNUMBER(Bookings!B292),IF(AND(Bookings!B292=INT(Bookings!B292),Bookings!B292&gt;=DATE(2000,1,1),Bookings!B292&lt;=DATE(2100,12,31)),Bookings!B292,0),IF(AND(A292&lt;&gt;"",LEN("x"&amp;B292)-LEN(SUBSTITUTE("x"&amp;B292,".",""))=2,OR(1&gt;LEN(B292),MID(B292,1,1)=".",ISNUMBER(FIND("x"&amp;MID(B292,1,1),"x0x1x2x3x4x5x6x7x8x9"))),OR(2&gt;LEN(B292),MID(B292,2,1)=".",ISNUMBER(FIND("x"&amp;MID(B292,2,1),"x0x1x2x3x4x5x6x7x8x9"))),OR(3&gt;LEN(B292),MID(B292,3,1)=".",ISNUMBER(FIND("x"&amp;MID(B292,3,1),"x0x1x2x3x4x5x6x7x8x9"))),OR(4&gt;LEN(B292),MID(B292,4,1)=".",ISNUMBER(FIND("x"&amp;MID(B292,4,1),"x0x1x2x3x4x5x6x7x8x9"))),OR(5&gt;LEN(B292),MID(B292,5,1)=".",ISNUMBER(FIND("x"&amp;MID(B292,5,1),"x0x1x2x3x4x5x6x7x8x9"))),OR(6&gt;LEN(B292),MID(B292,6,1)=".",ISNUMBER(FIND("x"&amp;MID(B292,6,1),"x0x1x2x3x4x5x6x7x8x9"))),OR(7&gt;LEN(B292),MID(B292,7,1)=".",ISNUMBER(FIND("x"&amp;MID(B292,7,1),"x0x1x2x3x4x5x6x7x8x9"))),OR(8&gt;LEN(B292),MID(B292,8,1)=".",ISNUMBER(FIND("x"&amp;MID(B292,8,1),"x0x1x2x3x4x5x6x7x8x9"))),OR(9&gt;LEN(B292),MID(B292,9,1)=".",ISNUMBER(FIND("x"&amp;MID(B292,9,1),"x0x1x2x3x4x5x6x7x8x9"))),OR(10&gt;LEN(B292),MID(B292,10,1)=".",ISNUMBER(FIND("x"&amp;MID(B292,10,1),"x0x1x2x3x4x5x6x7x8x9"))),OR(AND(FIND(".",B292)=5,LEN(B292)-FIND(".",B292,FIND(".",B292)+1)&gt;=1,LEN(B292)-FIND(".",B292,FIND(".",B292)+1)&lt;=2),AND(LEN(B292)-FIND(".",B292,FIND(".",B292)+1)=4,FIND(".",B292)&gt;=2,FIND(".",B292)&lt;=3)),FIND(".",B292,FIND(".",B292)+1)-FIND(".",B292)&gt;=2,FIND(".",B292,FIND(".",B292)+1)-FIND(".",B292)&lt;=3,F292&gt;=2000,F292&lt;=2100,YEAR(I292)=F292,MONTH(I292)=G292,DAY(I292)=H292),I292,0)),0)</ns0:f>
        <ns0:v>0</ns0:v>
      </ns0:c>
      <ns0:c r="K292" s="0">
        <ns0:f>IFERROR(IF(ISNUMBER(Bookings!D292),"",TRIM(Bookings!D292&amp;"")),"")</ns0:f>
      </ns0:c>
      <ns0:c r="L292" s="0">
        <ns0:f>IFERROR(SUBSTITUTE(SUBSTITUTE(K292,"/","."),"-","."),"")</ns0:f>
      </ns0:c>
      <ns0:c r="M292" s="0">
        <ns0:f>IFERROR(LEFT(L292,FIND(".",L292)-1),"")</ns0:f>
      </ns0:c>
      <ns0:c r="N292" s="0">
        <ns0:f>IFERROR(MID(L292,FIND(".",L292)+1,FIND(".",L292,FIND(".",L292)+1)-FIND(".",L292)-1),"")</ns0:f>
      </ns0:c>
      <ns0:c r="O292" s="0">
        <ns0:f>IFERROR(MID(L292,FIND(".",L292,FIND(".",L292)+1)+1,99),"")</ns0:f>
        <ns0:v>99</ns0:v>
      </ns0:c>
      <ns0:c r="P292" s="0">
        <ns0:f>IFERROR(IF(FIND(".",L292)=5,--M292,--O292),0)</ns0:f>
        <ns0:v>0</ns0:v>
      </ns0:c>
      <ns0:c r="Q292" s="0">
        <ns0:f>IFERROR(--N292,0)</ns0:f>
        <ns0:v>0</ns0:v>
      </ns0:c>
      <ns0:c r="R292" s="0">
        <ns0:f>IFERROR(IF(FIND(".",L292)=5,--O292,--M292),0)</ns0:f>
        <ns0:v>0</ns0:v>
      </ns0:c>
      <ns0:c r="S292" s="0">
        <ns0:f>IFERROR(IF(AND(P292&gt;=2000,P292&lt;=2100,Q292&gt;=1,Q292&lt;=12,R292&gt;=1,R292&lt;=31),DATE(P292,Q292,R292),0),0)</ns0:f>
        <ns0:v>0</ns0:v>
      </ns0:c>
      <ns0:c r="T292" s="0">
        <ns0:f>IFERROR(IF(ISNUMBER(Bookings!D292),IF(AND(Bookings!D292=INT(Bookings!D292),Bookings!D292&gt;=DATE(2000,1,1),Bookings!D292&lt;=DATE(2100,12,31)),Bookings!D292,0),IF(AND(K292&lt;&gt;"",LEN("x"&amp;L292)-LEN(SUBSTITUTE("x"&amp;L292,".",""))=2,OR(1&gt;LEN(L292),MID(L292,1,1)=".",ISNUMBER(FIND("x"&amp;MID(L292,1,1),"x0x1x2x3x4x5x6x7x8x9"))),OR(2&gt;LEN(L292),MID(L292,2,1)=".",ISNUMBER(FIND("x"&amp;MID(L292,2,1),"x0x1x2x3x4x5x6x7x8x9"))),OR(3&gt;LEN(L292),MID(L292,3,1)=".",ISNUMBER(FIND("x"&amp;MID(L292,3,1),"x0x1x2x3x4x5x6x7x8x9"))),OR(4&gt;LEN(L292),MID(L292,4,1)=".",ISNUMBER(FIND("x"&amp;MID(L292,4,1),"x0x1x2x3x4x5x6x7x8x9"))),OR(5&gt;LEN(L292),MID(L292,5,1)=".",ISNUMBER(FIND("x"&amp;MID(L292,5,1),"x0x1x2x3x4x5x6x7x8x9"))),OR(6&gt;LEN(L292),MID(L292,6,1)=".",ISNUMBER(FIND("x"&amp;MID(L292,6,1),"x0x1x2x3x4x5x6x7x8x9"))),OR(7&gt;LEN(L292),MID(L292,7,1)=".",ISNUMBER(FIND("x"&amp;MID(L292,7,1),"x0x1x2x3x4x5x6x7x8x9"))),OR(8&gt;LEN(L292),MID(L292,8,1)=".",ISNUMBER(FIND("x"&amp;MID(L292,8,1),"x0x1x2x3x4x5x6x7x8x9"))),OR(9&gt;LEN(L292),MID(L292,9,1)=".",ISNUMBER(FIND("x"&amp;MID(L292,9,1),"x0x1x2x3x4x5x6x7x8x9"))),OR(10&gt;LEN(L292),MID(L292,10,1)=".",ISNUMBER(FIND("x"&amp;MID(L292,10,1),"x0x1x2x3x4x5x6x7x8x9"))),OR(AND(FIND(".",L292)=5,LEN(L292)-FIND(".",L292,FIND(".",L292)+1)&gt;=1,LEN(L292)-FIND(".",L292,FIND(".",L292)+1)&lt;=2),AND(LEN(L292)-FIND(".",L292,FIND(".",L292)+1)=4,FIND(".",L292)&gt;=2,FIND(".",L292)&lt;=3)),FIND(".",L292,FIND(".",L292)+1)-FIND(".",L292)&gt;=2,FIND(".",L292,FIND(".",L292)+1)-FIND(".",L292)&lt;=3,P292&gt;=2000,P292&lt;=2100,YEAR(S292)=P292,MONTH(S292)=Q292,DAY(S292)=R292),S292,0)),0)</ns0:f>
        <ns0:v>0</ns0:v>
      </ns0:c>
      <ns0:c r="U292" s="0" t="str">
        <ns0:f>IF(Bookings!C292="","Full day",Bookings!C292)</ns0:f>
        <ns0:v>Full day</ns0:v>
      </ns0:c>
      <ns0:c r="V292" s="0" t="str">
        <ns0:f>IF(Bookings!E292="","Full day",Bookings!E292)</ns0:f>
        <ns0:v>Full day</ns0:v>
      </ns0:c>
      <ns0:c r="W292" s="0">
        <ns0:f>IF(J292=0,0,J292+IF(U292="PM",1,0))</ns0:f>
        <ns0:v>0</ns0:v>
      </ns0:c>
      <ns0:c r="X292" s="0">
        <ns0:f>IF(T292=0,0,T292-IF(V292="PM",1,0))</ns0:f>
        <ns0:v>0</ns0:v>
      </ns0:c>
      <ns0:c r="Y292" s="0">
        <ns0:f>IF(J292=0,0,J292+IF(U292="AM",1,0))</ns0:f>
        <ns0:v>0</ns0:v>
      </ns0:c>
      <ns0:c r="Z292" s="0">
        <ns0:f>IF(T292=0,0,T292-IF(V292="AM",1,0))</ns0:f>
        <ns0:v>0</ns0:v>
      </ns0:c>
      <ns0:c r="AA292" s="0">
        <ns0:f>IFERROR(IF(AND(J292&gt;0,'_Engine'!C292&gt;0,MID('_Engine'!W292,WEEKDAY(J292,2),1)="W",COUNTIF(Settings!$F$18:$F$67,J292)=0),1,0),0)</ns0:f>
        <ns0:v>0</ns0:v>
      </ns0:c>
      <ns0:c r="AB292" s="0">
        <ns0:f>IFERROR(IF(AND(T292&gt;0,'_Engine'!C292&gt;0,MID('_Engine'!W292,WEEKDAY(T292,2),1)="W",COUNTIF(Settings!$F$18:$F$67,T292)=0),1,0),0)</ns0:f>
        <ns0:v>0</ns0:v>
      </ns0:c>
      <ns0:c r="AC292" s="0">
        <ns0:f>IF(AND(J292&gt;0,T292&gt;0,W292&lt;=X292),1,0)</ns0:f>
        <ns0:v>0</ns0:v>
      </ns0:c>
      <ns0:c r="AD292" s="0">
        <ns0:f>IF(AND(J292&gt;0,T292&gt;0,Y292&lt;=Z292),1,0)</ns0:f>
        <ns0:v>0</ns0:v>
      </ns0:c>
    </ns0:row>
    <ns0:row r="293">
      <ns0:c r="A293" s="0">
        <ns0:f>IFERROR(IF(ISNUMBER(Bookings!B293),"",TRIM(Bookings!B293&amp;"")),"")</ns0:f>
      </ns0:c>
      <ns0:c r="B293" s="0">
        <ns0:f>IFERROR(SUBSTITUTE(SUBSTITUTE(A293,"/","."),"-","."),"")</ns0:f>
      </ns0:c>
      <ns0:c r="C293" s="0">
        <ns0:f>IFERROR(LEFT(B293,FIND(".",B293)-1),"")</ns0:f>
      </ns0:c>
      <ns0:c r="D293" s="0">
        <ns0:f>IFERROR(MID(B293,FIND(".",B293)+1,FIND(".",B293,FIND(".",B293)+1)-FIND(".",B293)-1),"")</ns0:f>
      </ns0:c>
      <ns0:c r="E293" s="0">
        <ns0:f>IFERROR(MID(B293,FIND(".",B293,FIND(".",B293)+1)+1,99),"")</ns0:f>
        <ns0:v>99</ns0:v>
      </ns0:c>
      <ns0:c r="F293" s="0">
        <ns0:f>IFERROR(IF(FIND(".",B293)=5,--C293,--E293),0)</ns0:f>
        <ns0:v>0</ns0:v>
      </ns0:c>
      <ns0:c r="G293" s="0">
        <ns0:f>IFERROR(--D293,0)</ns0:f>
        <ns0:v>0</ns0:v>
      </ns0:c>
      <ns0:c r="H293" s="0">
        <ns0:f>IFERROR(IF(FIND(".",B293)=5,--E293,--C293),0)</ns0:f>
        <ns0:v>0</ns0:v>
      </ns0:c>
      <ns0:c r="I293" s="0">
        <ns0:f>IFERROR(IF(AND(F293&gt;=2000,F293&lt;=2100,G293&gt;=1,G293&lt;=12,H293&gt;=1,H293&lt;=31),DATE(F293,G293,H293),0),0)</ns0:f>
        <ns0:v>0</ns0:v>
      </ns0:c>
      <ns0:c r="J293" s="0">
        <ns0:f>IFERROR(IF(ISNUMBER(Bookings!B293),IF(AND(Bookings!B293=INT(Bookings!B293),Bookings!B293&gt;=DATE(2000,1,1),Bookings!B293&lt;=DATE(2100,12,31)),Bookings!B293,0),IF(AND(A293&lt;&gt;"",LEN("x"&amp;B293)-LEN(SUBSTITUTE("x"&amp;B293,".",""))=2,OR(1&gt;LEN(B293),MID(B293,1,1)=".",ISNUMBER(FIND("x"&amp;MID(B293,1,1),"x0x1x2x3x4x5x6x7x8x9"))),OR(2&gt;LEN(B293),MID(B293,2,1)=".",ISNUMBER(FIND("x"&amp;MID(B293,2,1),"x0x1x2x3x4x5x6x7x8x9"))),OR(3&gt;LEN(B293),MID(B293,3,1)=".",ISNUMBER(FIND("x"&amp;MID(B293,3,1),"x0x1x2x3x4x5x6x7x8x9"))),OR(4&gt;LEN(B293),MID(B293,4,1)=".",ISNUMBER(FIND("x"&amp;MID(B293,4,1),"x0x1x2x3x4x5x6x7x8x9"))),OR(5&gt;LEN(B293),MID(B293,5,1)=".",ISNUMBER(FIND("x"&amp;MID(B293,5,1),"x0x1x2x3x4x5x6x7x8x9"))),OR(6&gt;LEN(B293),MID(B293,6,1)=".",ISNUMBER(FIND("x"&amp;MID(B293,6,1),"x0x1x2x3x4x5x6x7x8x9"))),OR(7&gt;LEN(B293),MID(B293,7,1)=".",ISNUMBER(FIND("x"&amp;MID(B293,7,1),"x0x1x2x3x4x5x6x7x8x9"))),OR(8&gt;LEN(B293),MID(B293,8,1)=".",ISNUMBER(FIND("x"&amp;MID(B293,8,1),"x0x1x2x3x4x5x6x7x8x9"))),OR(9&gt;LEN(B293),MID(B293,9,1)=".",ISNUMBER(FIND("x"&amp;MID(B293,9,1),"x0x1x2x3x4x5x6x7x8x9"))),OR(10&gt;LEN(B293),MID(B293,10,1)=".",ISNUMBER(FIND("x"&amp;MID(B293,10,1),"x0x1x2x3x4x5x6x7x8x9"))),OR(AND(FIND(".",B293)=5,LEN(B293)-FIND(".",B293,FIND(".",B293)+1)&gt;=1,LEN(B293)-FIND(".",B293,FIND(".",B293)+1)&lt;=2),AND(LEN(B293)-FIND(".",B293,FIND(".",B293)+1)=4,FIND(".",B293)&gt;=2,FIND(".",B293)&lt;=3)),FIND(".",B293,FIND(".",B293)+1)-FIND(".",B293)&gt;=2,FIND(".",B293,FIND(".",B293)+1)-FIND(".",B293)&lt;=3,F293&gt;=2000,F293&lt;=2100,YEAR(I293)=F293,MONTH(I293)=G293,DAY(I293)=H293),I293,0)),0)</ns0:f>
        <ns0:v>0</ns0:v>
      </ns0:c>
      <ns0:c r="K293" s="0">
        <ns0:f>IFERROR(IF(ISNUMBER(Bookings!D293),"",TRIM(Bookings!D293&amp;"")),"")</ns0:f>
      </ns0:c>
      <ns0:c r="L293" s="0">
        <ns0:f>IFERROR(SUBSTITUTE(SUBSTITUTE(K293,"/","."),"-","."),"")</ns0:f>
      </ns0:c>
      <ns0:c r="M293" s="0">
        <ns0:f>IFERROR(LEFT(L293,FIND(".",L293)-1),"")</ns0:f>
      </ns0:c>
      <ns0:c r="N293" s="0">
        <ns0:f>IFERROR(MID(L293,FIND(".",L293)+1,FIND(".",L293,FIND(".",L293)+1)-FIND(".",L293)-1),"")</ns0:f>
      </ns0:c>
      <ns0:c r="O293" s="0">
        <ns0:f>IFERROR(MID(L293,FIND(".",L293,FIND(".",L293)+1)+1,99),"")</ns0:f>
        <ns0:v>99</ns0:v>
      </ns0:c>
      <ns0:c r="P293" s="0">
        <ns0:f>IFERROR(IF(FIND(".",L293)=5,--M293,--O293),0)</ns0:f>
        <ns0:v>0</ns0:v>
      </ns0:c>
      <ns0:c r="Q293" s="0">
        <ns0:f>IFERROR(--N293,0)</ns0:f>
        <ns0:v>0</ns0:v>
      </ns0:c>
      <ns0:c r="R293" s="0">
        <ns0:f>IFERROR(IF(FIND(".",L293)=5,--O293,--M293),0)</ns0:f>
        <ns0:v>0</ns0:v>
      </ns0:c>
      <ns0:c r="S293" s="0">
        <ns0:f>IFERROR(IF(AND(P293&gt;=2000,P293&lt;=2100,Q293&gt;=1,Q293&lt;=12,R293&gt;=1,R293&lt;=31),DATE(P293,Q293,R293),0),0)</ns0:f>
        <ns0:v>0</ns0:v>
      </ns0:c>
      <ns0:c r="T293" s="0">
        <ns0:f>IFERROR(IF(ISNUMBER(Bookings!D293),IF(AND(Bookings!D293=INT(Bookings!D293),Bookings!D293&gt;=DATE(2000,1,1),Bookings!D293&lt;=DATE(2100,12,31)),Bookings!D293,0),IF(AND(K293&lt;&gt;"",LEN("x"&amp;L293)-LEN(SUBSTITUTE("x"&amp;L293,".",""))=2,OR(1&gt;LEN(L293),MID(L293,1,1)=".",ISNUMBER(FIND("x"&amp;MID(L293,1,1),"x0x1x2x3x4x5x6x7x8x9"))),OR(2&gt;LEN(L293),MID(L293,2,1)=".",ISNUMBER(FIND("x"&amp;MID(L293,2,1),"x0x1x2x3x4x5x6x7x8x9"))),OR(3&gt;LEN(L293),MID(L293,3,1)=".",ISNUMBER(FIND("x"&amp;MID(L293,3,1),"x0x1x2x3x4x5x6x7x8x9"))),OR(4&gt;LEN(L293),MID(L293,4,1)=".",ISNUMBER(FIND("x"&amp;MID(L293,4,1),"x0x1x2x3x4x5x6x7x8x9"))),OR(5&gt;LEN(L293),MID(L293,5,1)=".",ISNUMBER(FIND("x"&amp;MID(L293,5,1),"x0x1x2x3x4x5x6x7x8x9"))),OR(6&gt;LEN(L293),MID(L293,6,1)=".",ISNUMBER(FIND("x"&amp;MID(L293,6,1),"x0x1x2x3x4x5x6x7x8x9"))),OR(7&gt;LEN(L293),MID(L293,7,1)=".",ISNUMBER(FIND("x"&amp;MID(L293,7,1),"x0x1x2x3x4x5x6x7x8x9"))),OR(8&gt;LEN(L293),MID(L293,8,1)=".",ISNUMBER(FIND("x"&amp;MID(L293,8,1),"x0x1x2x3x4x5x6x7x8x9"))),OR(9&gt;LEN(L293),MID(L293,9,1)=".",ISNUMBER(FIND("x"&amp;MID(L293,9,1),"x0x1x2x3x4x5x6x7x8x9"))),OR(10&gt;LEN(L293),MID(L293,10,1)=".",ISNUMBER(FIND("x"&amp;MID(L293,10,1),"x0x1x2x3x4x5x6x7x8x9"))),OR(AND(FIND(".",L293)=5,LEN(L293)-FIND(".",L293,FIND(".",L293)+1)&gt;=1,LEN(L293)-FIND(".",L293,FIND(".",L293)+1)&lt;=2),AND(LEN(L293)-FIND(".",L293,FIND(".",L293)+1)=4,FIND(".",L293)&gt;=2,FIND(".",L293)&lt;=3)),FIND(".",L293,FIND(".",L293)+1)-FIND(".",L293)&gt;=2,FIND(".",L293,FIND(".",L293)+1)-FIND(".",L293)&lt;=3,P293&gt;=2000,P293&lt;=2100,YEAR(S293)=P293,MONTH(S293)=Q293,DAY(S293)=R293),S293,0)),0)</ns0:f>
        <ns0:v>0</ns0:v>
      </ns0:c>
      <ns0:c r="U293" s="0" t="str">
        <ns0:f>IF(Bookings!C293="","Full day",Bookings!C293)</ns0:f>
        <ns0:v>Full day</ns0:v>
      </ns0:c>
      <ns0:c r="V293" s="0" t="str">
        <ns0:f>IF(Bookings!E293="","Full day",Bookings!E293)</ns0:f>
        <ns0:v>Full day</ns0:v>
      </ns0:c>
      <ns0:c r="W293" s="0">
        <ns0:f>IF(J293=0,0,J293+IF(U293="PM",1,0))</ns0:f>
        <ns0:v>0</ns0:v>
      </ns0:c>
      <ns0:c r="X293" s="0">
        <ns0:f>IF(T293=0,0,T293-IF(V293="PM",1,0))</ns0:f>
        <ns0:v>0</ns0:v>
      </ns0:c>
      <ns0:c r="Y293" s="0">
        <ns0:f>IF(J293=0,0,J293+IF(U293="AM",1,0))</ns0:f>
        <ns0:v>0</ns0:v>
      </ns0:c>
      <ns0:c r="Z293" s="0">
        <ns0:f>IF(T293=0,0,T293-IF(V293="AM",1,0))</ns0:f>
        <ns0:v>0</ns0:v>
      </ns0:c>
      <ns0:c r="AA293" s="0">
        <ns0:f>IFERROR(IF(AND(J293&gt;0,'_Engine'!C293&gt;0,MID('_Engine'!W293,WEEKDAY(J293,2),1)="W",COUNTIF(Settings!$F$18:$F$67,J293)=0),1,0),0)</ns0:f>
        <ns0:v>0</ns0:v>
      </ns0:c>
      <ns0:c r="AB293" s="0">
        <ns0:f>IFERROR(IF(AND(T293&gt;0,'_Engine'!C293&gt;0,MID('_Engine'!W293,WEEKDAY(T293,2),1)="W",COUNTIF(Settings!$F$18:$F$67,T293)=0),1,0),0)</ns0:f>
        <ns0:v>0</ns0:v>
      </ns0:c>
      <ns0:c r="AC293" s="0">
        <ns0:f>IF(AND(J293&gt;0,T293&gt;0,W293&lt;=X293),1,0)</ns0:f>
        <ns0:v>0</ns0:v>
      </ns0:c>
      <ns0:c r="AD293" s="0">
        <ns0:f>IF(AND(J293&gt;0,T293&gt;0,Y293&lt;=Z293),1,0)</ns0:f>
        <ns0:v>0</ns0:v>
      </ns0:c>
    </ns0:row>
    <ns0:row r="294">
      <ns0:c r="A294" s="0">
        <ns0:f>IFERROR(IF(ISNUMBER(Bookings!B294),"",TRIM(Bookings!B294&amp;"")),"")</ns0:f>
      </ns0:c>
      <ns0:c r="B294" s="0">
        <ns0:f>IFERROR(SUBSTITUTE(SUBSTITUTE(A294,"/","."),"-","."),"")</ns0:f>
      </ns0:c>
      <ns0:c r="C294" s="0">
        <ns0:f>IFERROR(LEFT(B294,FIND(".",B294)-1),"")</ns0:f>
      </ns0:c>
      <ns0:c r="D294" s="0">
        <ns0:f>IFERROR(MID(B294,FIND(".",B294)+1,FIND(".",B294,FIND(".",B294)+1)-FIND(".",B294)-1),"")</ns0:f>
      </ns0:c>
      <ns0:c r="E294" s="0">
        <ns0:f>IFERROR(MID(B294,FIND(".",B294,FIND(".",B294)+1)+1,99),"")</ns0:f>
        <ns0:v>99</ns0:v>
      </ns0:c>
      <ns0:c r="F294" s="0">
        <ns0:f>IFERROR(IF(FIND(".",B294)=5,--C294,--E294),0)</ns0:f>
        <ns0:v>0</ns0:v>
      </ns0:c>
      <ns0:c r="G294" s="0">
        <ns0:f>IFERROR(--D294,0)</ns0:f>
        <ns0:v>0</ns0:v>
      </ns0:c>
      <ns0:c r="H294" s="0">
        <ns0:f>IFERROR(IF(FIND(".",B294)=5,--E294,--C294),0)</ns0:f>
        <ns0:v>0</ns0:v>
      </ns0:c>
      <ns0:c r="I294" s="0">
        <ns0:f>IFERROR(IF(AND(F294&gt;=2000,F294&lt;=2100,G294&gt;=1,G294&lt;=12,H294&gt;=1,H294&lt;=31),DATE(F294,G294,H294),0),0)</ns0:f>
        <ns0:v>0</ns0:v>
      </ns0:c>
      <ns0:c r="J294" s="0">
        <ns0:f>IFERROR(IF(ISNUMBER(Bookings!B294),IF(AND(Bookings!B294=INT(Bookings!B294),Bookings!B294&gt;=DATE(2000,1,1),Bookings!B294&lt;=DATE(2100,12,31)),Bookings!B294,0),IF(AND(A294&lt;&gt;"",LEN("x"&amp;B294)-LEN(SUBSTITUTE("x"&amp;B294,".",""))=2,OR(1&gt;LEN(B294),MID(B294,1,1)=".",ISNUMBER(FIND("x"&amp;MID(B294,1,1),"x0x1x2x3x4x5x6x7x8x9"))),OR(2&gt;LEN(B294),MID(B294,2,1)=".",ISNUMBER(FIND("x"&amp;MID(B294,2,1),"x0x1x2x3x4x5x6x7x8x9"))),OR(3&gt;LEN(B294),MID(B294,3,1)=".",ISNUMBER(FIND("x"&amp;MID(B294,3,1),"x0x1x2x3x4x5x6x7x8x9"))),OR(4&gt;LEN(B294),MID(B294,4,1)=".",ISNUMBER(FIND("x"&amp;MID(B294,4,1),"x0x1x2x3x4x5x6x7x8x9"))),OR(5&gt;LEN(B294),MID(B294,5,1)=".",ISNUMBER(FIND("x"&amp;MID(B294,5,1),"x0x1x2x3x4x5x6x7x8x9"))),OR(6&gt;LEN(B294),MID(B294,6,1)=".",ISNUMBER(FIND("x"&amp;MID(B294,6,1),"x0x1x2x3x4x5x6x7x8x9"))),OR(7&gt;LEN(B294),MID(B294,7,1)=".",ISNUMBER(FIND("x"&amp;MID(B294,7,1),"x0x1x2x3x4x5x6x7x8x9"))),OR(8&gt;LEN(B294),MID(B294,8,1)=".",ISNUMBER(FIND("x"&amp;MID(B294,8,1),"x0x1x2x3x4x5x6x7x8x9"))),OR(9&gt;LEN(B294),MID(B294,9,1)=".",ISNUMBER(FIND("x"&amp;MID(B294,9,1),"x0x1x2x3x4x5x6x7x8x9"))),OR(10&gt;LEN(B294),MID(B294,10,1)=".",ISNUMBER(FIND("x"&amp;MID(B294,10,1),"x0x1x2x3x4x5x6x7x8x9"))),OR(AND(FIND(".",B294)=5,LEN(B294)-FIND(".",B294,FIND(".",B294)+1)&gt;=1,LEN(B294)-FIND(".",B294,FIND(".",B294)+1)&lt;=2),AND(LEN(B294)-FIND(".",B294,FIND(".",B294)+1)=4,FIND(".",B294)&gt;=2,FIND(".",B294)&lt;=3)),FIND(".",B294,FIND(".",B294)+1)-FIND(".",B294)&gt;=2,FIND(".",B294,FIND(".",B294)+1)-FIND(".",B294)&lt;=3,F294&gt;=2000,F294&lt;=2100,YEAR(I294)=F294,MONTH(I294)=G294,DAY(I294)=H294),I294,0)),0)</ns0:f>
        <ns0:v>0</ns0:v>
      </ns0:c>
      <ns0:c r="K294" s="0">
        <ns0:f>IFERROR(IF(ISNUMBER(Bookings!D294),"",TRIM(Bookings!D294&amp;"")),"")</ns0:f>
      </ns0:c>
      <ns0:c r="L294" s="0">
        <ns0:f>IFERROR(SUBSTITUTE(SUBSTITUTE(K294,"/","."),"-","."),"")</ns0:f>
      </ns0:c>
      <ns0:c r="M294" s="0">
        <ns0:f>IFERROR(LEFT(L294,FIND(".",L294)-1),"")</ns0:f>
      </ns0:c>
      <ns0:c r="N294" s="0">
        <ns0:f>IFERROR(MID(L294,FIND(".",L294)+1,FIND(".",L294,FIND(".",L294)+1)-FIND(".",L294)-1),"")</ns0:f>
      </ns0:c>
      <ns0:c r="O294" s="0">
        <ns0:f>IFERROR(MID(L294,FIND(".",L294,FIND(".",L294)+1)+1,99),"")</ns0:f>
        <ns0:v>99</ns0:v>
      </ns0:c>
      <ns0:c r="P294" s="0">
        <ns0:f>IFERROR(IF(FIND(".",L294)=5,--M294,--O294),0)</ns0:f>
        <ns0:v>0</ns0:v>
      </ns0:c>
      <ns0:c r="Q294" s="0">
        <ns0:f>IFERROR(--N294,0)</ns0:f>
        <ns0:v>0</ns0:v>
      </ns0:c>
      <ns0:c r="R294" s="0">
        <ns0:f>IFERROR(IF(FIND(".",L294)=5,--O294,--M294),0)</ns0:f>
        <ns0:v>0</ns0:v>
      </ns0:c>
      <ns0:c r="S294" s="0">
        <ns0:f>IFERROR(IF(AND(P294&gt;=2000,P294&lt;=2100,Q294&gt;=1,Q294&lt;=12,R294&gt;=1,R294&lt;=31),DATE(P294,Q294,R294),0),0)</ns0:f>
        <ns0:v>0</ns0:v>
      </ns0:c>
      <ns0:c r="T294" s="0">
        <ns0:f>IFERROR(IF(ISNUMBER(Bookings!D294),IF(AND(Bookings!D294=INT(Bookings!D294),Bookings!D294&gt;=DATE(2000,1,1),Bookings!D294&lt;=DATE(2100,12,31)),Bookings!D294,0),IF(AND(K294&lt;&gt;"",LEN("x"&amp;L294)-LEN(SUBSTITUTE("x"&amp;L294,".",""))=2,OR(1&gt;LEN(L294),MID(L294,1,1)=".",ISNUMBER(FIND("x"&amp;MID(L294,1,1),"x0x1x2x3x4x5x6x7x8x9"))),OR(2&gt;LEN(L294),MID(L294,2,1)=".",ISNUMBER(FIND("x"&amp;MID(L294,2,1),"x0x1x2x3x4x5x6x7x8x9"))),OR(3&gt;LEN(L294),MID(L294,3,1)=".",ISNUMBER(FIND("x"&amp;MID(L294,3,1),"x0x1x2x3x4x5x6x7x8x9"))),OR(4&gt;LEN(L294),MID(L294,4,1)=".",ISNUMBER(FIND("x"&amp;MID(L294,4,1),"x0x1x2x3x4x5x6x7x8x9"))),OR(5&gt;LEN(L294),MID(L294,5,1)=".",ISNUMBER(FIND("x"&amp;MID(L294,5,1),"x0x1x2x3x4x5x6x7x8x9"))),OR(6&gt;LEN(L294),MID(L294,6,1)=".",ISNUMBER(FIND("x"&amp;MID(L294,6,1),"x0x1x2x3x4x5x6x7x8x9"))),OR(7&gt;LEN(L294),MID(L294,7,1)=".",ISNUMBER(FIND("x"&amp;MID(L294,7,1),"x0x1x2x3x4x5x6x7x8x9"))),OR(8&gt;LEN(L294),MID(L294,8,1)=".",ISNUMBER(FIND("x"&amp;MID(L294,8,1),"x0x1x2x3x4x5x6x7x8x9"))),OR(9&gt;LEN(L294),MID(L294,9,1)=".",ISNUMBER(FIND("x"&amp;MID(L294,9,1),"x0x1x2x3x4x5x6x7x8x9"))),OR(10&gt;LEN(L294),MID(L294,10,1)=".",ISNUMBER(FIND("x"&amp;MID(L294,10,1),"x0x1x2x3x4x5x6x7x8x9"))),OR(AND(FIND(".",L294)=5,LEN(L294)-FIND(".",L294,FIND(".",L294)+1)&gt;=1,LEN(L294)-FIND(".",L294,FIND(".",L294)+1)&lt;=2),AND(LEN(L294)-FIND(".",L294,FIND(".",L294)+1)=4,FIND(".",L294)&gt;=2,FIND(".",L294)&lt;=3)),FIND(".",L294,FIND(".",L294)+1)-FIND(".",L294)&gt;=2,FIND(".",L294,FIND(".",L294)+1)-FIND(".",L294)&lt;=3,P294&gt;=2000,P294&lt;=2100,YEAR(S294)=P294,MONTH(S294)=Q294,DAY(S294)=R294),S294,0)),0)</ns0:f>
        <ns0:v>0</ns0:v>
      </ns0:c>
      <ns0:c r="U294" s="0" t="str">
        <ns0:f>IF(Bookings!C294="","Full day",Bookings!C294)</ns0:f>
        <ns0:v>Full day</ns0:v>
      </ns0:c>
      <ns0:c r="V294" s="0" t="str">
        <ns0:f>IF(Bookings!E294="","Full day",Bookings!E294)</ns0:f>
        <ns0:v>Full day</ns0:v>
      </ns0:c>
      <ns0:c r="W294" s="0">
        <ns0:f>IF(J294=0,0,J294+IF(U294="PM",1,0))</ns0:f>
        <ns0:v>0</ns0:v>
      </ns0:c>
      <ns0:c r="X294" s="0">
        <ns0:f>IF(T294=0,0,T294-IF(V294="PM",1,0))</ns0:f>
        <ns0:v>0</ns0:v>
      </ns0:c>
      <ns0:c r="Y294" s="0">
        <ns0:f>IF(J294=0,0,J294+IF(U294="AM",1,0))</ns0:f>
        <ns0:v>0</ns0:v>
      </ns0:c>
      <ns0:c r="Z294" s="0">
        <ns0:f>IF(T294=0,0,T294-IF(V294="AM",1,0))</ns0:f>
        <ns0:v>0</ns0:v>
      </ns0:c>
      <ns0:c r="AA294" s="0">
        <ns0:f>IFERROR(IF(AND(J294&gt;0,'_Engine'!C294&gt;0,MID('_Engine'!W294,WEEKDAY(J294,2),1)="W",COUNTIF(Settings!$F$18:$F$67,J294)=0),1,0),0)</ns0:f>
        <ns0:v>0</ns0:v>
      </ns0:c>
      <ns0:c r="AB294" s="0">
        <ns0:f>IFERROR(IF(AND(T294&gt;0,'_Engine'!C294&gt;0,MID('_Engine'!W294,WEEKDAY(T294,2),1)="W",COUNTIF(Settings!$F$18:$F$67,T294)=0),1,0),0)</ns0:f>
        <ns0:v>0</ns0:v>
      </ns0:c>
      <ns0:c r="AC294" s="0">
        <ns0:f>IF(AND(J294&gt;0,T294&gt;0,W294&lt;=X294),1,0)</ns0:f>
        <ns0:v>0</ns0:v>
      </ns0:c>
      <ns0:c r="AD294" s="0">
        <ns0:f>IF(AND(J294&gt;0,T294&gt;0,Y294&lt;=Z294),1,0)</ns0:f>
        <ns0:v>0</ns0:v>
      </ns0:c>
    </ns0:row>
    <ns0:row r="295">
      <ns0:c r="A295" s="0">
        <ns0:f>IFERROR(IF(ISNUMBER(Bookings!B295),"",TRIM(Bookings!B295&amp;"")),"")</ns0:f>
      </ns0:c>
      <ns0:c r="B295" s="0">
        <ns0:f>IFERROR(SUBSTITUTE(SUBSTITUTE(A295,"/","."),"-","."),"")</ns0:f>
      </ns0:c>
      <ns0:c r="C295" s="0">
        <ns0:f>IFERROR(LEFT(B295,FIND(".",B295)-1),"")</ns0:f>
      </ns0:c>
      <ns0:c r="D295" s="0">
        <ns0:f>IFERROR(MID(B295,FIND(".",B295)+1,FIND(".",B295,FIND(".",B295)+1)-FIND(".",B295)-1),"")</ns0:f>
      </ns0:c>
      <ns0:c r="E295" s="0">
        <ns0:f>IFERROR(MID(B295,FIND(".",B295,FIND(".",B295)+1)+1,99),"")</ns0:f>
        <ns0:v>99</ns0:v>
      </ns0:c>
      <ns0:c r="F295" s="0">
        <ns0:f>IFERROR(IF(FIND(".",B295)=5,--C295,--E295),0)</ns0:f>
        <ns0:v>0</ns0:v>
      </ns0:c>
      <ns0:c r="G295" s="0">
        <ns0:f>IFERROR(--D295,0)</ns0:f>
        <ns0:v>0</ns0:v>
      </ns0:c>
      <ns0:c r="H295" s="0">
        <ns0:f>IFERROR(IF(FIND(".",B295)=5,--E295,--C295),0)</ns0:f>
        <ns0:v>0</ns0:v>
      </ns0:c>
      <ns0:c r="I295" s="0">
        <ns0:f>IFERROR(IF(AND(F295&gt;=2000,F295&lt;=2100,G295&gt;=1,G295&lt;=12,H295&gt;=1,H295&lt;=31),DATE(F295,G295,H295),0),0)</ns0:f>
        <ns0:v>0</ns0:v>
      </ns0:c>
      <ns0:c r="J295" s="0">
        <ns0:f>IFERROR(IF(ISNUMBER(Bookings!B295),IF(AND(Bookings!B295=INT(Bookings!B295),Bookings!B295&gt;=DATE(2000,1,1),Bookings!B295&lt;=DATE(2100,12,31)),Bookings!B295,0),IF(AND(A295&lt;&gt;"",LEN("x"&amp;B295)-LEN(SUBSTITUTE("x"&amp;B295,".",""))=2,OR(1&gt;LEN(B295),MID(B295,1,1)=".",ISNUMBER(FIND("x"&amp;MID(B295,1,1),"x0x1x2x3x4x5x6x7x8x9"))),OR(2&gt;LEN(B295),MID(B295,2,1)=".",ISNUMBER(FIND("x"&amp;MID(B295,2,1),"x0x1x2x3x4x5x6x7x8x9"))),OR(3&gt;LEN(B295),MID(B295,3,1)=".",ISNUMBER(FIND("x"&amp;MID(B295,3,1),"x0x1x2x3x4x5x6x7x8x9"))),OR(4&gt;LEN(B295),MID(B295,4,1)=".",ISNUMBER(FIND("x"&amp;MID(B295,4,1),"x0x1x2x3x4x5x6x7x8x9"))),OR(5&gt;LEN(B295),MID(B295,5,1)=".",ISNUMBER(FIND("x"&amp;MID(B295,5,1),"x0x1x2x3x4x5x6x7x8x9"))),OR(6&gt;LEN(B295),MID(B295,6,1)=".",ISNUMBER(FIND("x"&amp;MID(B295,6,1),"x0x1x2x3x4x5x6x7x8x9"))),OR(7&gt;LEN(B295),MID(B295,7,1)=".",ISNUMBER(FIND("x"&amp;MID(B295,7,1),"x0x1x2x3x4x5x6x7x8x9"))),OR(8&gt;LEN(B295),MID(B295,8,1)=".",ISNUMBER(FIND("x"&amp;MID(B295,8,1),"x0x1x2x3x4x5x6x7x8x9"))),OR(9&gt;LEN(B295),MID(B295,9,1)=".",ISNUMBER(FIND("x"&amp;MID(B295,9,1),"x0x1x2x3x4x5x6x7x8x9"))),OR(10&gt;LEN(B295),MID(B295,10,1)=".",ISNUMBER(FIND("x"&amp;MID(B295,10,1),"x0x1x2x3x4x5x6x7x8x9"))),OR(AND(FIND(".",B295)=5,LEN(B295)-FIND(".",B295,FIND(".",B295)+1)&gt;=1,LEN(B295)-FIND(".",B295,FIND(".",B295)+1)&lt;=2),AND(LEN(B295)-FIND(".",B295,FIND(".",B295)+1)=4,FIND(".",B295)&gt;=2,FIND(".",B295)&lt;=3)),FIND(".",B295,FIND(".",B295)+1)-FIND(".",B295)&gt;=2,FIND(".",B295,FIND(".",B295)+1)-FIND(".",B295)&lt;=3,F295&gt;=2000,F295&lt;=2100,YEAR(I295)=F295,MONTH(I295)=G295,DAY(I295)=H295),I295,0)),0)</ns0:f>
        <ns0:v>0</ns0:v>
      </ns0:c>
      <ns0:c r="K295" s="0">
        <ns0:f>IFERROR(IF(ISNUMBER(Bookings!D295),"",TRIM(Bookings!D295&amp;"")),"")</ns0:f>
      </ns0:c>
      <ns0:c r="L295" s="0">
        <ns0:f>IFERROR(SUBSTITUTE(SUBSTITUTE(K295,"/","."),"-","."),"")</ns0:f>
      </ns0:c>
      <ns0:c r="M295" s="0">
        <ns0:f>IFERROR(LEFT(L295,FIND(".",L295)-1),"")</ns0:f>
      </ns0:c>
      <ns0:c r="N295" s="0">
        <ns0:f>IFERROR(MID(L295,FIND(".",L295)+1,FIND(".",L295,FIND(".",L295)+1)-FIND(".",L295)-1),"")</ns0:f>
      </ns0:c>
      <ns0:c r="O295" s="0">
        <ns0:f>IFERROR(MID(L295,FIND(".",L295,FIND(".",L295)+1)+1,99),"")</ns0:f>
        <ns0:v>99</ns0:v>
      </ns0:c>
      <ns0:c r="P295" s="0">
        <ns0:f>IFERROR(IF(FIND(".",L295)=5,--M295,--O295),0)</ns0:f>
        <ns0:v>0</ns0:v>
      </ns0:c>
      <ns0:c r="Q295" s="0">
        <ns0:f>IFERROR(--N295,0)</ns0:f>
        <ns0:v>0</ns0:v>
      </ns0:c>
      <ns0:c r="R295" s="0">
        <ns0:f>IFERROR(IF(FIND(".",L295)=5,--O295,--M295),0)</ns0:f>
        <ns0:v>0</ns0:v>
      </ns0:c>
      <ns0:c r="S295" s="0">
        <ns0:f>IFERROR(IF(AND(P295&gt;=2000,P295&lt;=2100,Q295&gt;=1,Q295&lt;=12,R295&gt;=1,R295&lt;=31),DATE(P295,Q295,R295),0),0)</ns0:f>
        <ns0:v>0</ns0:v>
      </ns0:c>
      <ns0:c r="T295" s="0">
        <ns0:f>IFERROR(IF(ISNUMBER(Bookings!D295),IF(AND(Bookings!D295=INT(Bookings!D295),Bookings!D295&gt;=DATE(2000,1,1),Bookings!D295&lt;=DATE(2100,12,31)),Bookings!D295,0),IF(AND(K295&lt;&gt;"",LEN("x"&amp;L295)-LEN(SUBSTITUTE("x"&amp;L295,".",""))=2,OR(1&gt;LEN(L295),MID(L295,1,1)=".",ISNUMBER(FIND("x"&amp;MID(L295,1,1),"x0x1x2x3x4x5x6x7x8x9"))),OR(2&gt;LEN(L295),MID(L295,2,1)=".",ISNUMBER(FIND("x"&amp;MID(L295,2,1),"x0x1x2x3x4x5x6x7x8x9"))),OR(3&gt;LEN(L295),MID(L295,3,1)=".",ISNUMBER(FIND("x"&amp;MID(L295,3,1),"x0x1x2x3x4x5x6x7x8x9"))),OR(4&gt;LEN(L295),MID(L295,4,1)=".",ISNUMBER(FIND("x"&amp;MID(L295,4,1),"x0x1x2x3x4x5x6x7x8x9"))),OR(5&gt;LEN(L295),MID(L295,5,1)=".",ISNUMBER(FIND("x"&amp;MID(L295,5,1),"x0x1x2x3x4x5x6x7x8x9"))),OR(6&gt;LEN(L295),MID(L295,6,1)=".",ISNUMBER(FIND("x"&amp;MID(L295,6,1),"x0x1x2x3x4x5x6x7x8x9"))),OR(7&gt;LEN(L295),MID(L295,7,1)=".",ISNUMBER(FIND("x"&amp;MID(L295,7,1),"x0x1x2x3x4x5x6x7x8x9"))),OR(8&gt;LEN(L295),MID(L295,8,1)=".",ISNUMBER(FIND("x"&amp;MID(L295,8,1),"x0x1x2x3x4x5x6x7x8x9"))),OR(9&gt;LEN(L295),MID(L295,9,1)=".",ISNUMBER(FIND("x"&amp;MID(L295,9,1),"x0x1x2x3x4x5x6x7x8x9"))),OR(10&gt;LEN(L295),MID(L295,10,1)=".",ISNUMBER(FIND("x"&amp;MID(L295,10,1),"x0x1x2x3x4x5x6x7x8x9"))),OR(AND(FIND(".",L295)=5,LEN(L295)-FIND(".",L295,FIND(".",L295)+1)&gt;=1,LEN(L295)-FIND(".",L295,FIND(".",L295)+1)&lt;=2),AND(LEN(L295)-FIND(".",L295,FIND(".",L295)+1)=4,FIND(".",L295)&gt;=2,FIND(".",L295)&lt;=3)),FIND(".",L295,FIND(".",L295)+1)-FIND(".",L295)&gt;=2,FIND(".",L295,FIND(".",L295)+1)-FIND(".",L295)&lt;=3,P295&gt;=2000,P295&lt;=2100,YEAR(S295)=P295,MONTH(S295)=Q295,DAY(S295)=R295),S295,0)),0)</ns0:f>
        <ns0:v>0</ns0:v>
      </ns0:c>
      <ns0:c r="U295" s="0" t="str">
        <ns0:f>IF(Bookings!C295="","Full day",Bookings!C295)</ns0:f>
        <ns0:v>Full day</ns0:v>
      </ns0:c>
      <ns0:c r="V295" s="0" t="str">
        <ns0:f>IF(Bookings!E295="","Full day",Bookings!E295)</ns0:f>
        <ns0:v>Full day</ns0:v>
      </ns0:c>
      <ns0:c r="W295" s="0">
        <ns0:f>IF(J295=0,0,J295+IF(U295="PM",1,0))</ns0:f>
        <ns0:v>0</ns0:v>
      </ns0:c>
      <ns0:c r="X295" s="0">
        <ns0:f>IF(T295=0,0,T295-IF(V295="PM",1,0))</ns0:f>
        <ns0:v>0</ns0:v>
      </ns0:c>
      <ns0:c r="Y295" s="0">
        <ns0:f>IF(J295=0,0,J295+IF(U295="AM",1,0))</ns0:f>
        <ns0:v>0</ns0:v>
      </ns0:c>
      <ns0:c r="Z295" s="0">
        <ns0:f>IF(T295=0,0,T295-IF(V295="AM",1,0))</ns0:f>
        <ns0:v>0</ns0:v>
      </ns0:c>
      <ns0:c r="AA295" s="0">
        <ns0:f>IFERROR(IF(AND(J295&gt;0,'_Engine'!C295&gt;0,MID('_Engine'!W295,WEEKDAY(J295,2),1)="W",COUNTIF(Settings!$F$18:$F$67,J295)=0),1,0),0)</ns0:f>
        <ns0:v>0</ns0:v>
      </ns0:c>
      <ns0:c r="AB295" s="0">
        <ns0:f>IFERROR(IF(AND(T295&gt;0,'_Engine'!C295&gt;0,MID('_Engine'!W295,WEEKDAY(T295,2),1)="W",COUNTIF(Settings!$F$18:$F$67,T295)=0),1,0),0)</ns0:f>
        <ns0:v>0</ns0:v>
      </ns0:c>
      <ns0:c r="AC295" s="0">
        <ns0:f>IF(AND(J295&gt;0,T295&gt;0,W295&lt;=X295),1,0)</ns0:f>
        <ns0:v>0</ns0:v>
      </ns0:c>
      <ns0:c r="AD295" s="0">
        <ns0:f>IF(AND(J295&gt;0,T295&gt;0,Y295&lt;=Z295),1,0)</ns0:f>
        <ns0:v>0</ns0:v>
      </ns0:c>
    </ns0:row>
    <ns0:row r="296">
      <ns0:c r="A296" s="0">
        <ns0:f>IFERROR(IF(ISNUMBER(Bookings!B296),"",TRIM(Bookings!B296&amp;"")),"")</ns0:f>
      </ns0:c>
      <ns0:c r="B296" s="0">
        <ns0:f>IFERROR(SUBSTITUTE(SUBSTITUTE(A296,"/","."),"-","."),"")</ns0:f>
      </ns0:c>
      <ns0:c r="C296" s="0">
        <ns0:f>IFERROR(LEFT(B296,FIND(".",B296)-1),"")</ns0:f>
      </ns0:c>
      <ns0:c r="D296" s="0">
        <ns0:f>IFERROR(MID(B296,FIND(".",B296)+1,FIND(".",B296,FIND(".",B296)+1)-FIND(".",B296)-1),"")</ns0:f>
      </ns0:c>
      <ns0:c r="E296" s="0">
        <ns0:f>IFERROR(MID(B296,FIND(".",B296,FIND(".",B296)+1)+1,99),"")</ns0:f>
        <ns0:v>99</ns0:v>
      </ns0:c>
      <ns0:c r="F296" s="0">
        <ns0:f>IFERROR(IF(FIND(".",B296)=5,--C296,--E296),0)</ns0:f>
        <ns0:v>0</ns0:v>
      </ns0:c>
      <ns0:c r="G296" s="0">
        <ns0:f>IFERROR(--D296,0)</ns0:f>
        <ns0:v>0</ns0:v>
      </ns0:c>
      <ns0:c r="H296" s="0">
        <ns0:f>IFERROR(IF(FIND(".",B296)=5,--E296,--C296),0)</ns0:f>
        <ns0:v>0</ns0:v>
      </ns0:c>
      <ns0:c r="I296" s="0">
        <ns0:f>IFERROR(IF(AND(F296&gt;=2000,F296&lt;=2100,G296&gt;=1,G296&lt;=12,H296&gt;=1,H296&lt;=31),DATE(F296,G296,H296),0),0)</ns0:f>
        <ns0:v>0</ns0:v>
      </ns0:c>
      <ns0:c r="J296" s="0">
        <ns0:f>IFERROR(IF(ISNUMBER(Bookings!B296),IF(AND(Bookings!B296=INT(Bookings!B296),Bookings!B296&gt;=DATE(2000,1,1),Bookings!B296&lt;=DATE(2100,12,31)),Bookings!B296,0),IF(AND(A296&lt;&gt;"",LEN("x"&amp;B296)-LEN(SUBSTITUTE("x"&amp;B296,".",""))=2,OR(1&gt;LEN(B296),MID(B296,1,1)=".",ISNUMBER(FIND("x"&amp;MID(B296,1,1),"x0x1x2x3x4x5x6x7x8x9"))),OR(2&gt;LEN(B296),MID(B296,2,1)=".",ISNUMBER(FIND("x"&amp;MID(B296,2,1),"x0x1x2x3x4x5x6x7x8x9"))),OR(3&gt;LEN(B296),MID(B296,3,1)=".",ISNUMBER(FIND("x"&amp;MID(B296,3,1),"x0x1x2x3x4x5x6x7x8x9"))),OR(4&gt;LEN(B296),MID(B296,4,1)=".",ISNUMBER(FIND("x"&amp;MID(B296,4,1),"x0x1x2x3x4x5x6x7x8x9"))),OR(5&gt;LEN(B296),MID(B296,5,1)=".",ISNUMBER(FIND("x"&amp;MID(B296,5,1),"x0x1x2x3x4x5x6x7x8x9"))),OR(6&gt;LEN(B296),MID(B296,6,1)=".",ISNUMBER(FIND("x"&amp;MID(B296,6,1),"x0x1x2x3x4x5x6x7x8x9"))),OR(7&gt;LEN(B296),MID(B296,7,1)=".",ISNUMBER(FIND("x"&amp;MID(B296,7,1),"x0x1x2x3x4x5x6x7x8x9"))),OR(8&gt;LEN(B296),MID(B296,8,1)=".",ISNUMBER(FIND("x"&amp;MID(B296,8,1),"x0x1x2x3x4x5x6x7x8x9"))),OR(9&gt;LEN(B296),MID(B296,9,1)=".",ISNUMBER(FIND("x"&amp;MID(B296,9,1),"x0x1x2x3x4x5x6x7x8x9"))),OR(10&gt;LEN(B296),MID(B296,10,1)=".",ISNUMBER(FIND("x"&amp;MID(B296,10,1),"x0x1x2x3x4x5x6x7x8x9"))),OR(AND(FIND(".",B296)=5,LEN(B296)-FIND(".",B296,FIND(".",B296)+1)&gt;=1,LEN(B296)-FIND(".",B296,FIND(".",B296)+1)&lt;=2),AND(LEN(B296)-FIND(".",B296,FIND(".",B296)+1)=4,FIND(".",B296)&gt;=2,FIND(".",B296)&lt;=3)),FIND(".",B296,FIND(".",B296)+1)-FIND(".",B296)&gt;=2,FIND(".",B296,FIND(".",B296)+1)-FIND(".",B296)&lt;=3,F296&gt;=2000,F296&lt;=2100,YEAR(I296)=F296,MONTH(I296)=G296,DAY(I296)=H296),I296,0)),0)</ns0:f>
        <ns0:v>0</ns0:v>
      </ns0:c>
      <ns0:c r="K296" s="0">
        <ns0:f>IFERROR(IF(ISNUMBER(Bookings!D296),"",TRIM(Bookings!D296&amp;"")),"")</ns0:f>
      </ns0:c>
      <ns0:c r="L296" s="0">
        <ns0:f>IFERROR(SUBSTITUTE(SUBSTITUTE(K296,"/","."),"-","."),"")</ns0:f>
      </ns0:c>
      <ns0:c r="M296" s="0">
        <ns0:f>IFERROR(LEFT(L296,FIND(".",L296)-1),"")</ns0:f>
      </ns0:c>
      <ns0:c r="N296" s="0">
        <ns0:f>IFERROR(MID(L296,FIND(".",L296)+1,FIND(".",L296,FIND(".",L296)+1)-FIND(".",L296)-1),"")</ns0:f>
      </ns0:c>
      <ns0:c r="O296" s="0">
        <ns0:f>IFERROR(MID(L296,FIND(".",L296,FIND(".",L296)+1)+1,99),"")</ns0:f>
        <ns0:v>99</ns0:v>
      </ns0:c>
      <ns0:c r="P296" s="0">
        <ns0:f>IFERROR(IF(FIND(".",L296)=5,--M296,--O296),0)</ns0:f>
        <ns0:v>0</ns0:v>
      </ns0:c>
      <ns0:c r="Q296" s="0">
        <ns0:f>IFERROR(--N296,0)</ns0:f>
        <ns0:v>0</ns0:v>
      </ns0:c>
      <ns0:c r="R296" s="0">
        <ns0:f>IFERROR(IF(FIND(".",L296)=5,--O296,--M296),0)</ns0:f>
        <ns0:v>0</ns0:v>
      </ns0:c>
      <ns0:c r="S296" s="0">
        <ns0:f>IFERROR(IF(AND(P296&gt;=2000,P296&lt;=2100,Q296&gt;=1,Q296&lt;=12,R296&gt;=1,R296&lt;=31),DATE(P296,Q296,R296),0),0)</ns0:f>
        <ns0:v>0</ns0:v>
      </ns0:c>
      <ns0:c r="T296" s="0">
        <ns0:f>IFERROR(IF(ISNUMBER(Bookings!D296),IF(AND(Bookings!D296=INT(Bookings!D296),Bookings!D296&gt;=DATE(2000,1,1),Bookings!D296&lt;=DATE(2100,12,31)),Bookings!D296,0),IF(AND(K296&lt;&gt;"",LEN("x"&amp;L296)-LEN(SUBSTITUTE("x"&amp;L296,".",""))=2,OR(1&gt;LEN(L296),MID(L296,1,1)=".",ISNUMBER(FIND("x"&amp;MID(L296,1,1),"x0x1x2x3x4x5x6x7x8x9"))),OR(2&gt;LEN(L296),MID(L296,2,1)=".",ISNUMBER(FIND("x"&amp;MID(L296,2,1),"x0x1x2x3x4x5x6x7x8x9"))),OR(3&gt;LEN(L296),MID(L296,3,1)=".",ISNUMBER(FIND("x"&amp;MID(L296,3,1),"x0x1x2x3x4x5x6x7x8x9"))),OR(4&gt;LEN(L296),MID(L296,4,1)=".",ISNUMBER(FIND("x"&amp;MID(L296,4,1),"x0x1x2x3x4x5x6x7x8x9"))),OR(5&gt;LEN(L296),MID(L296,5,1)=".",ISNUMBER(FIND("x"&amp;MID(L296,5,1),"x0x1x2x3x4x5x6x7x8x9"))),OR(6&gt;LEN(L296),MID(L296,6,1)=".",ISNUMBER(FIND("x"&amp;MID(L296,6,1),"x0x1x2x3x4x5x6x7x8x9"))),OR(7&gt;LEN(L296),MID(L296,7,1)=".",ISNUMBER(FIND("x"&amp;MID(L296,7,1),"x0x1x2x3x4x5x6x7x8x9"))),OR(8&gt;LEN(L296),MID(L296,8,1)=".",ISNUMBER(FIND("x"&amp;MID(L296,8,1),"x0x1x2x3x4x5x6x7x8x9"))),OR(9&gt;LEN(L296),MID(L296,9,1)=".",ISNUMBER(FIND("x"&amp;MID(L296,9,1),"x0x1x2x3x4x5x6x7x8x9"))),OR(10&gt;LEN(L296),MID(L296,10,1)=".",ISNUMBER(FIND("x"&amp;MID(L296,10,1),"x0x1x2x3x4x5x6x7x8x9"))),OR(AND(FIND(".",L296)=5,LEN(L296)-FIND(".",L296,FIND(".",L296)+1)&gt;=1,LEN(L296)-FIND(".",L296,FIND(".",L296)+1)&lt;=2),AND(LEN(L296)-FIND(".",L296,FIND(".",L296)+1)=4,FIND(".",L296)&gt;=2,FIND(".",L296)&lt;=3)),FIND(".",L296,FIND(".",L296)+1)-FIND(".",L296)&gt;=2,FIND(".",L296,FIND(".",L296)+1)-FIND(".",L296)&lt;=3,P296&gt;=2000,P296&lt;=2100,YEAR(S296)=P296,MONTH(S296)=Q296,DAY(S296)=R296),S296,0)),0)</ns0:f>
        <ns0:v>0</ns0:v>
      </ns0:c>
      <ns0:c r="U296" s="0" t="str">
        <ns0:f>IF(Bookings!C296="","Full day",Bookings!C296)</ns0:f>
        <ns0:v>Full day</ns0:v>
      </ns0:c>
      <ns0:c r="V296" s="0" t="str">
        <ns0:f>IF(Bookings!E296="","Full day",Bookings!E296)</ns0:f>
        <ns0:v>Full day</ns0:v>
      </ns0:c>
      <ns0:c r="W296" s="0">
        <ns0:f>IF(J296=0,0,J296+IF(U296="PM",1,0))</ns0:f>
        <ns0:v>0</ns0:v>
      </ns0:c>
      <ns0:c r="X296" s="0">
        <ns0:f>IF(T296=0,0,T296-IF(V296="PM",1,0))</ns0:f>
        <ns0:v>0</ns0:v>
      </ns0:c>
      <ns0:c r="Y296" s="0">
        <ns0:f>IF(J296=0,0,J296+IF(U296="AM",1,0))</ns0:f>
        <ns0:v>0</ns0:v>
      </ns0:c>
      <ns0:c r="Z296" s="0">
        <ns0:f>IF(T296=0,0,T296-IF(V296="AM",1,0))</ns0:f>
        <ns0:v>0</ns0:v>
      </ns0:c>
      <ns0:c r="AA296" s="0">
        <ns0:f>IFERROR(IF(AND(J296&gt;0,'_Engine'!C296&gt;0,MID('_Engine'!W296,WEEKDAY(J296,2),1)="W",COUNTIF(Settings!$F$18:$F$67,J296)=0),1,0),0)</ns0:f>
        <ns0:v>0</ns0:v>
      </ns0:c>
      <ns0:c r="AB296" s="0">
        <ns0:f>IFERROR(IF(AND(T296&gt;0,'_Engine'!C296&gt;0,MID('_Engine'!W296,WEEKDAY(T296,2),1)="W",COUNTIF(Settings!$F$18:$F$67,T296)=0),1,0),0)</ns0:f>
        <ns0:v>0</ns0:v>
      </ns0:c>
      <ns0:c r="AC296" s="0">
        <ns0:f>IF(AND(J296&gt;0,T296&gt;0,W296&lt;=X296),1,0)</ns0:f>
        <ns0:v>0</ns0:v>
      </ns0:c>
      <ns0:c r="AD296" s="0">
        <ns0:f>IF(AND(J296&gt;0,T296&gt;0,Y296&lt;=Z296),1,0)</ns0:f>
        <ns0:v>0</ns0:v>
      </ns0:c>
    </ns0:row>
    <ns0:row r="297">
      <ns0:c r="A297" s="0">
        <ns0:f>IFERROR(IF(ISNUMBER(Bookings!B297),"",TRIM(Bookings!B297&amp;"")),"")</ns0:f>
      </ns0:c>
      <ns0:c r="B297" s="0">
        <ns0:f>IFERROR(SUBSTITUTE(SUBSTITUTE(A297,"/","."),"-","."),"")</ns0:f>
      </ns0:c>
      <ns0:c r="C297" s="0">
        <ns0:f>IFERROR(LEFT(B297,FIND(".",B297)-1),"")</ns0:f>
      </ns0:c>
      <ns0:c r="D297" s="0">
        <ns0:f>IFERROR(MID(B297,FIND(".",B297)+1,FIND(".",B297,FIND(".",B297)+1)-FIND(".",B297)-1),"")</ns0:f>
      </ns0:c>
      <ns0:c r="E297" s="0">
        <ns0:f>IFERROR(MID(B297,FIND(".",B297,FIND(".",B297)+1)+1,99),"")</ns0:f>
        <ns0:v>99</ns0:v>
      </ns0:c>
      <ns0:c r="F297" s="0">
        <ns0:f>IFERROR(IF(FIND(".",B297)=5,--C297,--E297),0)</ns0:f>
        <ns0:v>0</ns0:v>
      </ns0:c>
      <ns0:c r="G297" s="0">
        <ns0:f>IFERROR(--D297,0)</ns0:f>
        <ns0:v>0</ns0:v>
      </ns0:c>
      <ns0:c r="H297" s="0">
        <ns0:f>IFERROR(IF(FIND(".",B297)=5,--E297,--C297),0)</ns0:f>
        <ns0:v>0</ns0:v>
      </ns0:c>
      <ns0:c r="I297" s="0">
        <ns0:f>IFERROR(IF(AND(F297&gt;=2000,F297&lt;=2100,G297&gt;=1,G297&lt;=12,H297&gt;=1,H297&lt;=31),DATE(F297,G297,H297),0),0)</ns0:f>
        <ns0:v>0</ns0:v>
      </ns0:c>
      <ns0:c r="J297" s="0">
        <ns0:f>IFERROR(IF(ISNUMBER(Bookings!B297),IF(AND(Bookings!B297=INT(Bookings!B297),Bookings!B297&gt;=DATE(2000,1,1),Bookings!B297&lt;=DATE(2100,12,31)),Bookings!B297,0),IF(AND(A297&lt;&gt;"",LEN("x"&amp;B297)-LEN(SUBSTITUTE("x"&amp;B297,".",""))=2,OR(1&gt;LEN(B297),MID(B297,1,1)=".",ISNUMBER(FIND("x"&amp;MID(B297,1,1),"x0x1x2x3x4x5x6x7x8x9"))),OR(2&gt;LEN(B297),MID(B297,2,1)=".",ISNUMBER(FIND("x"&amp;MID(B297,2,1),"x0x1x2x3x4x5x6x7x8x9"))),OR(3&gt;LEN(B297),MID(B297,3,1)=".",ISNUMBER(FIND("x"&amp;MID(B297,3,1),"x0x1x2x3x4x5x6x7x8x9"))),OR(4&gt;LEN(B297),MID(B297,4,1)=".",ISNUMBER(FIND("x"&amp;MID(B297,4,1),"x0x1x2x3x4x5x6x7x8x9"))),OR(5&gt;LEN(B297),MID(B297,5,1)=".",ISNUMBER(FIND("x"&amp;MID(B297,5,1),"x0x1x2x3x4x5x6x7x8x9"))),OR(6&gt;LEN(B297),MID(B297,6,1)=".",ISNUMBER(FIND("x"&amp;MID(B297,6,1),"x0x1x2x3x4x5x6x7x8x9"))),OR(7&gt;LEN(B297),MID(B297,7,1)=".",ISNUMBER(FIND("x"&amp;MID(B297,7,1),"x0x1x2x3x4x5x6x7x8x9"))),OR(8&gt;LEN(B297),MID(B297,8,1)=".",ISNUMBER(FIND("x"&amp;MID(B297,8,1),"x0x1x2x3x4x5x6x7x8x9"))),OR(9&gt;LEN(B297),MID(B297,9,1)=".",ISNUMBER(FIND("x"&amp;MID(B297,9,1),"x0x1x2x3x4x5x6x7x8x9"))),OR(10&gt;LEN(B297),MID(B297,10,1)=".",ISNUMBER(FIND("x"&amp;MID(B297,10,1),"x0x1x2x3x4x5x6x7x8x9"))),OR(AND(FIND(".",B297)=5,LEN(B297)-FIND(".",B297,FIND(".",B297)+1)&gt;=1,LEN(B297)-FIND(".",B297,FIND(".",B297)+1)&lt;=2),AND(LEN(B297)-FIND(".",B297,FIND(".",B297)+1)=4,FIND(".",B297)&gt;=2,FIND(".",B297)&lt;=3)),FIND(".",B297,FIND(".",B297)+1)-FIND(".",B297)&gt;=2,FIND(".",B297,FIND(".",B297)+1)-FIND(".",B297)&lt;=3,F297&gt;=2000,F297&lt;=2100,YEAR(I297)=F297,MONTH(I297)=G297,DAY(I297)=H297),I297,0)),0)</ns0:f>
        <ns0:v>0</ns0:v>
      </ns0:c>
      <ns0:c r="K297" s="0">
        <ns0:f>IFERROR(IF(ISNUMBER(Bookings!D297),"",TRIM(Bookings!D297&amp;"")),"")</ns0:f>
      </ns0:c>
      <ns0:c r="L297" s="0">
        <ns0:f>IFERROR(SUBSTITUTE(SUBSTITUTE(K297,"/","."),"-","."),"")</ns0:f>
      </ns0:c>
      <ns0:c r="M297" s="0">
        <ns0:f>IFERROR(LEFT(L297,FIND(".",L297)-1),"")</ns0:f>
      </ns0:c>
      <ns0:c r="N297" s="0">
        <ns0:f>IFERROR(MID(L297,FIND(".",L297)+1,FIND(".",L297,FIND(".",L297)+1)-FIND(".",L297)-1),"")</ns0:f>
      </ns0:c>
      <ns0:c r="O297" s="0">
        <ns0:f>IFERROR(MID(L297,FIND(".",L297,FIND(".",L297)+1)+1,99),"")</ns0:f>
        <ns0:v>99</ns0:v>
      </ns0:c>
      <ns0:c r="P297" s="0">
        <ns0:f>IFERROR(IF(FIND(".",L297)=5,--M297,--O297),0)</ns0:f>
        <ns0:v>0</ns0:v>
      </ns0:c>
      <ns0:c r="Q297" s="0">
        <ns0:f>IFERROR(--N297,0)</ns0:f>
        <ns0:v>0</ns0:v>
      </ns0:c>
      <ns0:c r="R297" s="0">
        <ns0:f>IFERROR(IF(FIND(".",L297)=5,--O297,--M297),0)</ns0:f>
        <ns0:v>0</ns0:v>
      </ns0:c>
      <ns0:c r="S297" s="0">
        <ns0:f>IFERROR(IF(AND(P297&gt;=2000,P297&lt;=2100,Q297&gt;=1,Q297&lt;=12,R297&gt;=1,R297&lt;=31),DATE(P297,Q297,R297),0),0)</ns0:f>
        <ns0:v>0</ns0:v>
      </ns0:c>
      <ns0:c r="T297" s="0">
        <ns0:f>IFERROR(IF(ISNUMBER(Bookings!D297),IF(AND(Bookings!D297=INT(Bookings!D297),Bookings!D297&gt;=DATE(2000,1,1),Bookings!D297&lt;=DATE(2100,12,31)),Bookings!D297,0),IF(AND(K297&lt;&gt;"",LEN("x"&amp;L297)-LEN(SUBSTITUTE("x"&amp;L297,".",""))=2,OR(1&gt;LEN(L297),MID(L297,1,1)=".",ISNUMBER(FIND("x"&amp;MID(L297,1,1),"x0x1x2x3x4x5x6x7x8x9"))),OR(2&gt;LEN(L297),MID(L297,2,1)=".",ISNUMBER(FIND("x"&amp;MID(L297,2,1),"x0x1x2x3x4x5x6x7x8x9"))),OR(3&gt;LEN(L297),MID(L297,3,1)=".",ISNUMBER(FIND("x"&amp;MID(L297,3,1),"x0x1x2x3x4x5x6x7x8x9"))),OR(4&gt;LEN(L297),MID(L297,4,1)=".",ISNUMBER(FIND("x"&amp;MID(L297,4,1),"x0x1x2x3x4x5x6x7x8x9"))),OR(5&gt;LEN(L297),MID(L297,5,1)=".",ISNUMBER(FIND("x"&amp;MID(L297,5,1),"x0x1x2x3x4x5x6x7x8x9"))),OR(6&gt;LEN(L297),MID(L297,6,1)=".",ISNUMBER(FIND("x"&amp;MID(L297,6,1),"x0x1x2x3x4x5x6x7x8x9"))),OR(7&gt;LEN(L297),MID(L297,7,1)=".",ISNUMBER(FIND("x"&amp;MID(L297,7,1),"x0x1x2x3x4x5x6x7x8x9"))),OR(8&gt;LEN(L297),MID(L297,8,1)=".",ISNUMBER(FIND("x"&amp;MID(L297,8,1),"x0x1x2x3x4x5x6x7x8x9"))),OR(9&gt;LEN(L297),MID(L297,9,1)=".",ISNUMBER(FIND("x"&amp;MID(L297,9,1),"x0x1x2x3x4x5x6x7x8x9"))),OR(10&gt;LEN(L297),MID(L297,10,1)=".",ISNUMBER(FIND("x"&amp;MID(L297,10,1),"x0x1x2x3x4x5x6x7x8x9"))),OR(AND(FIND(".",L297)=5,LEN(L297)-FIND(".",L297,FIND(".",L297)+1)&gt;=1,LEN(L297)-FIND(".",L297,FIND(".",L297)+1)&lt;=2),AND(LEN(L297)-FIND(".",L297,FIND(".",L297)+1)=4,FIND(".",L297)&gt;=2,FIND(".",L297)&lt;=3)),FIND(".",L297,FIND(".",L297)+1)-FIND(".",L297)&gt;=2,FIND(".",L297,FIND(".",L297)+1)-FIND(".",L297)&lt;=3,P297&gt;=2000,P297&lt;=2100,YEAR(S297)=P297,MONTH(S297)=Q297,DAY(S297)=R297),S297,0)),0)</ns0:f>
        <ns0:v>0</ns0:v>
      </ns0:c>
      <ns0:c r="U297" s="0" t="str">
        <ns0:f>IF(Bookings!C297="","Full day",Bookings!C297)</ns0:f>
        <ns0:v>Full day</ns0:v>
      </ns0:c>
      <ns0:c r="V297" s="0" t="str">
        <ns0:f>IF(Bookings!E297="","Full day",Bookings!E297)</ns0:f>
        <ns0:v>Full day</ns0:v>
      </ns0:c>
      <ns0:c r="W297" s="0">
        <ns0:f>IF(J297=0,0,J297+IF(U297="PM",1,0))</ns0:f>
        <ns0:v>0</ns0:v>
      </ns0:c>
      <ns0:c r="X297" s="0">
        <ns0:f>IF(T297=0,0,T297-IF(V297="PM",1,0))</ns0:f>
        <ns0:v>0</ns0:v>
      </ns0:c>
      <ns0:c r="Y297" s="0">
        <ns0:f>IF(J297=0,0,J297+IF(U297="AM",1,0))</ns0:f>
        <ns0:v>0</ns0:v>
      </ns0:c>
      <ns0:c r="Z297" s="0">
        <ns0:f>IF(T297=0,0,T297-IF(V297="AM",1,0))</ns0:f>
        <ns0:v>0</ns0:v>
      </ns0:c>
      <ns0:c r="AA297" s="0">
        <ns0:f>IFERROR(IF(AND(J297&gt;0,'_Engine'!C297&gt;0,MID('_Engine'!W297,WEEKDAY(J297,2),1)="W",COUNTIF(Settings!$F$18:$F$67,J297)=0),1,0),0)</ns0:f>
        <ns0:v>0</ns0:v>
      </ns0:c>
      <ns0:c r="AB297" s="0">
        <ns0:f>IFERROR(IF(AND(T297&gt;0,'_Engine'!C297&gt;0,MID('_Engine'!W297,WEEKDAY(T297,2),1)="W",COUNTIF(Settings!$F$18:$F$67,T297)=0),1,0),0)</ns0:f>
        <ns0:v>0</ns0:v>
      </ns0:c>
      <ns0:c r="AC297" s="0">
        <ns0:f>IF(AND(J297&gt;0,T297&gt;0,W297&lt;=X297),1,0)</ns0:f>
        <ns0:v>0</ns0:v>
      </ns0:c>
      <ns0:c r="AD297" s="0">
        <ns0:f>IF(AND(J297&gt;0,T297&gt;0,Y297&lt;=Z297),1,0)</ns0:f>
        <ns0:v>0</ns0:v>
      </ns0:c>
    </ns0:row>
    <ns0:row r="298">
      <ns0:c r="A298" s="0">
        <ns0:f>IFERROR(IF(ISNUMBER(Bookings!B298),"",TRIM(Bookings!B298&amp;"")),"")</ns0:f>
      </ns0:c>
      <ns0:c r="B298" s="0">
        <ns0:f>IFERROR(SUBSTITUTE(SUBSTITUTE(A298,"/","."),"-","."),"")</ns0:f>
      </ns0:c>
      <ns0:c r="C298" s="0">
        <ns0:f>IFERROR(LEFT(B298,FIND(".",B298)-1),"")</ns0:f>
      </ns0:c>
      <ns0:c r="D298" s="0">
        <ns0:f>IFERROR(MID(B298,FIND(".",B298)+1,FIND(".",B298,FIND(".",B298)+1)-FIND(".",B298)-1),"")</ns0:f>
      </ns0:c>
      <ns0:c r="E298" s="0">
        <ns0:f>IFERROR(MID(B298,FIND(".",B298,FIND(".",B298)+1)+1,99),"")</ns0:f>
        <ns0:v>99</ns0:v>
      </ns0:c>
      <ns0:c r="F298" s="0">
        <ns0:f>IFERROR(IF(FIND(".",B298)=5,--C298,--E298),0)</ns0:f>
        <ns0:v>0</ns0:v>
      </ns0:c>
      <ns0:c r="G298" s="0">
        <ns0:f>IFERROR(--D298,0)</ns0:f>
        <ns0:v>0</ns0:v>
      </ns0:c>
      <ns0:c r="H298" s="0">
        <ns0:f>IFERROR(IF(FIND(".",B298)=5,--E298,--C298),0)</ns0:f>
        <ns0:v>0</ns0:v>
      </ns0:c>
      <ns0:c r="I298" s="0">
        <ns0:f>IFERROR(IF(AND(F298&gt;=2000,F298&lt;=2100,G298&gt;=1,G298&lt;=12,H298&gt;=1,H298&lt;=31),DATE(F298,G298,H298),0),0)</ns0:f>
        <ns0:v>0</ns0:v>
      </ns0:c>
      <ns0:c r="J298" s="0">
        <ns0:f>IFERROR(IF(ISNUMBER(Bookings!B298),IF(AND(Bookings!B298=INT(Bookings!B298),Bookings!B298&gt;=DATE(2000,1,1),Bookings!B298&lt;=DATE(2100,12,31)),Bookings!B298,0),IF(AND(A298&lt;&gt;"",LEN("x"&amp;B298)-LEN(SUBSTITUTE("x"&amp;B298,".",""))=2,OR(1&gt;LEN(B298),MID(B298,1,1)=".",ISNUMBER(FIND("x"&amp;MID(B298,1,1),"x0x1x2x3x4x5x6x7x8x9"))),OR(2&gt;LEN(B298),MID(B298,2,1)=".",ISNUMBER(FIND("x"&amp;MID(B298,2,1),"x0x1x2x3x4x5x6x7x8x9"))),OR(3&gt;LEN(B298),MID(B298,3,1)=".",ISNUMBER(FIND("x"&amp;MID(B298,3,1),"x0x1x2x3x4x5x6x7x8x9"))),OR(4&gt;LEN(B298),MID(B298,4,1)=".",ISNUMBER(FIND("x"&amp;MID(B298,4,1),"x0x1x2x3x4x5x6x7x8x9"))),OR(5&gt;LEN(B298),MID(B298,5,1)=".",ISNUMBER(FIND("x"&amp;MID(B298,5,1),"x0x1x2x3x4x5x6x7x8x9"))),OR(6&gt;LEN(B298),MID(B298,6,1)=".",ISNUMBER(FIND("x"&amp;MID(B298,6,1),"x0x1x2x3x4x5x6x7x8x9"))),OR(7&gt;LEN(B298),MID(B298,7,1)=".",ISNUMBER(FIND("x"&amp;MID(B298,7,1),"x0x1x2x3x4x5x6x7x8x9"))),OR(8&gt;LEN(B298),MID(B298,8,1)=".",ISNUMBER(FIND("x"&amp;MID(B298,8,1),"x0x1x2x3x4x5x6x7x8x9"))),OR(9&gt;LEN(B298),MID(B298,9,1)=".",ISNUMBER(FIND("x"&amp;MID(B298,9,1),"x0x1x2x3x4x5x6x7x8x9"))),OR(10&gt;LEN(B298),MID(B298,10,1)=".",ISNUMBER(FIND("x"&amp;MID(B298,10,1),"x0x1x2x3x4x5x6x7x8x9"))),OR(AND(FIND(".",B298)=5,LEN(B298)-FIND(".",B298,FIND(".",B298)+1)&gt;=1,LEN(B298)-FIND(".",B298,FIND(".",B298)+1)&lt;=2),AND(LEN(B298)-FIND(".",B298,FIND(".",B298)+1)=4,FIND(".",B298)&gt;=2,FIND(".",B298)&lt;=3)),FIND(".",B298,FIND(".",B298)+1)-FIND(".",B298)&gt;=2,FIND(".",B298,FIND(".",B298)+1)-FIND(".",B298)&lt;=3,F298&gt;=2000,F298&lt;=2100,YEAR(I298)=F298,MONTH(I298)=G298,DAY(I298)=H298),I298,0)),0)</ns0:f>
        <ns0:v>0</ns0:v>
      </ns0:c>
      <ns0:c r="K298" s="0">
        <ns0:f>IFERROR(IF(ISNUMBER(Bookings!D298),"",TRIM(Bookings!D298&amp;"")),"")</ns0:f>
      </ns0:c>
      <ns0:c r="L298" s="0">
        <ns0:f>IFERROR(SUBSTITUTE(SUBSTITUTE(K298,"/","."),"-","."),"")</ns0:f>
      </ns0:c>
      <ns0:c r="M298" s="0">
        <ns0:f>IFERROR(LEFT(L298,FIND(".",L298)-1),"")</ns0:f>
      </ns0:c>
      <ns0:c r="N298" s="0">
        <ns0:f>IFERROR(MID(L298,FIND(".",L298)+1,FIND(".",L298,FIND(".",L298)+1)-FIND(".",L298)-1),"")</ns0:f>
      </ns0:c>
      <ns0:c r="O298" s="0">
        <ns0:f>IFERROR(MID(L298,FIND(".",L298,FIND(".",L298)+1)+1,99),"")</ns0:f>
        <ns0:v>99</ns0:v>
      </ns0:c>
      <ns0:c r="P298" s="0">
        <ns0:f>IFERROR(IF(FIND(".",L298)=5,--M298,--O298),0)</ns0:f>
        <ns0:v>0</ns0:v>
      </ns0:c>
      <ns0:c r="Q298" s="0">
        <ns0:f>IFERROR(--N298,0)</ns0:f>
        <ns0:v>0</ns0:v>
      </ns0:c>
      <ns0:c r="R298" s="0">
        <ns0:f>IFERROR(IF(FIND(".",L298)=5,--O298,--M298),0)</ns0:f>
        <ns0:v>0</ns0:v>
      </ns0:c>
      <ns0:c r="S298" s="0">
        <ns0:f>IFERROR(IF(AND(P298&gt;=2000,P298&lt;=2100,Q298&gt;=1,Q298&lt;=12,R298&gt;=1,R298&lt;=31),DATE(P298,Q298,R298),0),0)</ns0:f>
        <ns0:v>0</ns0:v>
      </ns0:c>
      <ns0:c r="T298" s="0">
        <ns0:f>IFERROR(IF(ISNUMBER(Bookings!D298),IF(AND(Bookings!D298=INT(Bookings!D298),Bookings!D298&gt;=DATE(2000,1,1),Bookings!D298&lt;=DATE(2100,12,31)),Bookings!D298,0),IF(AND(K298&lt;&gt;"",LEN("x"&amp;L298)-LEN(SUBSTITUTE("x"&amp;L298,".",""))=2,OR(1&gt;LEN(L298),MID(L298,1,1)=".",ISNUMBER(FIND("x"&amp;MID(L298,1,1),"x0x1x2x3x4x5x6x7x8x9"))),OR(2&gt;LEN(L298),MID(L298,2,1)=".",ISNUMBER(FIND("x"&amp;MID(L298,2,1),"x0x1x2x3x4x5x6x7x8x9"))),OR(3&gt;LEN(L298),MID(L298,3,1)=".",ISNUMBER(FIND("x"&amp;MID(L298,3,1),"x0x1x2x3x4x5x6x7x8x9"))),OR(4&gt;LEN(L298),MID(L298,4,1)=".",ISNUMBER(FIND("x"&amp;MID(L298,4,1),"x0x1x2x3x4x5x6x7x8x9"))),OR(5&gt;LEN(L298),MID(L298,5,1)=".",ISNUMBER(FIND("x"&amp;MID(L298,5,1),"x0x1x2x3x4x5x6x7x8x9"))),OR(6&gt;LEN(L298),MID(L298,6,1)=".",ISNUMBER(FIND("x"&amp;MID(L298,6,1),"x0x1x2x3x4x5x6x7x8x9"))),OR(7&gt;LEN(L298),MID(L298,7,1)=".",ISNUMBER(FIND("x"&amp;MID(L298,7,1),"x0x1x2x3x4x5x6x7x8x9"))),OR(8&gt;LEN(L298),MID(L298,8,1)=".",ISNUMBER(FIND("x"&amp;MID(L298,8,1),"x0x1x2x3x4x5x6x7x8x9"))),OR(9&gt;LEN(L298),MID(L298,9,1)=".",ISNUMBER(FIND("x"&amp;MID(L298,9,1),"x0x1x2x3x4x5x6x7x8x9"))),OR(10&gt;LEN(L298),MID(L298,10,1)=".",ISNUMBER(FIND("x"&amp;MID(L298,10,1),"x0x1x2x3x4x5x6x7x8x9"))),OR(AND(FIND(".",L298)=5,LEN(L298)-FIND(".",L298,FIND(".",L298)+1)&gt;=1,LEN(L298)-FIND(".",L298,FIND(".",L298)+1)&lt;=2),AND(LEN(L298)-FIND(".",L298,FIND(".",L298)+1)=4,FIND(".",L298)&gt;=2,FIND(".",L298)&lt;=3)),FIND(".",L298,FIND(".",L298)+1)-FIND(".",L298)&gt;=2,FIND(".",L298,FIND(".",L298)+1)-FIND(".",L298)&lt;=3,P298&gt;=2000,P298&lt;=2100,YEAR(S298)=P298,MONTH(S298)=Q298,DAY(S298)=R298),S298,0)),0)</ns0:f>
        <ns0:v>0</ns0:v>
      </ns0:c>
      <ns0:c r="U298" s="0" t="str">
        <ns0:f>IF(Bookings!C298="","Full day",Bookings!C298)</ns0:f>
        <ns0:v>Full day</ns0:v>
      </ns0:c>
      <ns0:c r="V298" s="0" t="str">
        <ns0:f>IF(Bookings!E298="","Full day",Bookings!E298)</ns0:f>
        <ns0:v>Full day</ns0:v>
      </ns0:c>
      <ns0:c r="W298" s="0">
        <ns0:f>IF(J298=0,0,J298+IF(U298="PM",1,0))</ns0:f>
        <ns0:v>0</ns0:v>
      </ns0:c>
      <ns0:c r="X298" s="0">
        <ns0:f>IF(T298=0,0,T298-IF(V298="PM",1,0))</ns0:f>
        <ns0:v>0</ns0:v>
      </ns0:c>
      <ns0:c r="Y298" s="0">
        <ns0:f>IF(J298=0,0,J298+IF(U298="AM",1,0))</ns0:f>
        <ns0:v>0</ns0:v>
      </ns0:c>
      <ns0:c r="Z298" s="0">
        <ns0:f>IF(T298=0,0,T298-IF(V298="AM",1,0))</ns0:f>
        <ns0:v>0</ns0:v>
      </ns0:c>
      <ns0:c r="AA298" s="0">
        <ns0:f>IFERROR(IF(AND(J298&gt;0,'_Engine'!C298&gt;0,MID('_Engine'!W298,WEEKDAY(J298,2),1)="W",COUNTIF(Settings!$F$18:$F$67,J298)=0),1,0),0)</ns0:f>
        <ns0:v>0</ns0:v>
      </ns0:c>
      <ns0:c r="AB298" s="0">
        <ns0:f>IFERROR(IF(AND(T298&gt;0,'_Engine'!C298&gt;0,MID('_Engine'!W298,WEEKDAY(T298,2),1)="W",COUNTIF(Settings!$F$18:$F$67,T298)=0),1,0),0)</ns0:f>
        <ns0:v>0</ns0:v>
      </ns0:c>
      <ns0:c r="AC298" s="0">
        <ns0:f>IF(AND(J298&gt;0,T298&gt;0,W298&lt;=X298),1,0)</ns0:f>
        <ns0:v>0</ns0:v>
      </ns0:c>
      <ns0:c r="AD298" s="0">
        <ns0:f>IF(AND(J298&gt;0,T298&gt;0,Y298&lt;=Z298),1,0)</ns0:f>
        <ns0:v>0</ns0:v>
      </ns0:c>
    </ns0:row>
    <ns0:row r="299">
      <ns0:c r="A299" s="0">
        <ns0:f>IFERROR(IF(ISNUMBER(Bookings!B299),"",TRIM(Bookings!B299&amp;"")),"")</ns0:f>
      </ns0:c>
      <ns0:c r="B299" s="0">
        <ns0:f>IFERROR(SUBSTITUTE(SUBSTITUTE(A299,"/","."),"-","."),"")</ns0:f>
      </ns0:c>
      <ns0:c r="C299" s="0">
        <ns0:f>IFERROR(LEFT(B299,FIND(".",B299)-1),"")</ns0:f>
      </ns0:c>
      <ns0:c r="D299" s="0">
        <ns0:f>IFERROR(MID(B299,FIND(".",B299)+1,FIND(".",B299,FIND(".",B299)+1)-FIND(".",B299)-1),"")</ns0:f>
      </ns0:c>
      <ns0:c r="E299" s="0">
        <ns0:f>IFERROR(MID(B299,FIND(".",B299,FIND(".",B299)+1)+1,99),"")</ns0:f>
        <ns0:v>99</ns0:v>
      </ns0:c>
      <ns0:c r="F299" s="0">
        <ns0:f>IFERROR(IF(FIND(".",B299)=5,--C299,--E299),0)</ns0:f>
        <ns0:v>0</ns0:v>
      </ns0:c>
      <ns0:c r="G299" s="0">
        <ns0:f>IFERROR(--D299,0)</ns0:f>
        <ns0:v>0</ns0:v>
      </ns0:c>
      <ns0:c r="H299" s="0">
        <ns0:f>IFERROR(IF(FIND(".",B299)=5,--E299,--C299),0)</ns0:f>
        <ns0:v>0</ns0:v>
      </ns0:c>
      <ns0:c r="I299" s="0">
        <ns0:f>IFERROR(IF(AND(F299&gt;=2000,F299&lt;=2100,G299&gt;=1,G299&lt;=12,H299&gt;=1,H299&lt;=31),DATE(F299,G299,H299),0),0)</ns0:f>
        <ns0:v>0</ns0:v>
      </ns0:c>
      <ns0:c r="J299" s="0">
        <ns0:f>IFERROR(IF(ISNUMBER(Bookings!B299),IF(AND(Bookings!B299=INT(Bookings!B299),Bookings!B299&gt;=DATE(2000,1,1),Bookings!B299&lt;=DATE(2100,12,31)),Bookings!B299,0),IF(AND(A299&lt;&gt;"",LEN("x"&amp;B299)-LEN(SUBSTITUTE("x"&amp;B299,".",""))=2,OR(1&gt;LEN(B299),MID(B299,1,1)=".",ISNUMBER(FIND("x"&amp;MID(B299,1,1),"x0x1x2x3x4x5x6x7x8x9"))),OR(2&gt;LEN(B299),MID(B299,2,1)=".",ISNUMBER(FIND("x"&amp;MID(B299,2,1),"x0x1x2x3x4x5x6x7x8x9"))),OR(3&gt;LEN(B299),MID(B299,3,1)=".",ISNUMBER(FIND("x"&amp;MID(B299,3,1),"x0x1x2x3x4x5x6x7x8x9"))),OR(4&gt;LEN(B299),MID(B299,4,1)=".",ISNUMBER(FIND("x"&amp;MID(B299,4,1),"x0x1x2x3x4x5x6x7x8x9"))),OR(5&gt;LEN(B299),MID(B299,5,1)=".",ISNUMBER(FIND("x"&amp;MID(B299,5,1),"x0x1x2x3x4x5x6x7x8x9"))),OR(6&gt;LEN(B299),MID(B299,6,1)=".",ISNUMBER(FIND("x"&amp;MID(B299,6,1),"x0x1x2x3x4x5x6x7x8x9"))),OR(7&gt;LEN(B299),MID(B299,7,1)=".",ISNUMBER(FIND("x"&amp;MID(B299,7,1),"x0x1x2x3x4x5x6x7x8x9"))),OR(8&gt;LEN(B299),MID(B299,8,1)=".",ISNUMBER(FIND("x"&amp;MID(B299,8,1),"x0x1x2x3x4x5x6x7x8x9"))),OR(9&gt;LEN(B299),MID(B299,9,1)=".",ISNUMBER(FIND("x"&amp;MID(B299,9,1),"x0x1x2x3x4x5x6x7x8x9"))),OR(10&gt;LEN(B299),MID(B299,10,1)=".",ISNUMBER(FIND("x"&amp;MID(B299,10,1),"x0x1x2x3x4x5x6x7x8x9"))),OR(AND(FIND(".",B299)=5,LEN(B299)-FIND(".",B299,FIND(".",B299)+1)&gt;=1,LEN(B299)-FIND(".",B299,FIND(".",B299)+1)&lt;=2),AND(LEN(B299)-FIND(".",B299,FIND(".",B299)+1)=4,FIND(".",B299)&gt;=2,FIND(".",B299)&lt;=3)),FIND(".",B299,FIND(".",B299)+1)-FIND(".",B299)&gt;=2,FIND(".",B299,FIND(".",B299)+1)-FIND(".",B299)&lt;=3,F299&gt;=2000,F299&lt;=2100,YEAR(I299)=F299,MONTH(I299)=G299,DAY(I299)=H299),I299,0)),0)</ns0:f>
        <ns0:v>0</ns0:v>
      </ns0:c>
      <ns0:c r="K299" s="0">
        <ns0:f>IFERROR(IF(ISNUMBER(Bookings!D299),"",TRIM(Bookings!D299&amp;"")),"")</ns0:f>
      </ns0:c>
      <ns0:c r="L299" s="0">
        <ns0:f>IFERROR(SUBSTITUTE(SUBSTITUTE(K299,"/","."),"-","."),"")</ns0:f>
      </ns0:c>
      <ns0:c r="M299" s="0">
        <ns0:f>IFERROR(LEFT(L299,FIND(".",L299)-1),"")</ns0:f>
      </ns0:c>
      <ns0:c r="N299" s="0">
        <ns0:f>IFERROR(MID(L299,FIND(".",L299)+1,FIND(".",L299,FIND(".",L299)+1)-FIND(".",L299)-1),"")</ns0:f>
      </ns0:c>
      <ns0:c r="O299" s="0">
        <ns0:f>IFERROR(MID(L299,FIND(".",L299,FIND(".",L299)+1)+1,99),"")</ns0:f>
        <ns0:v>99</ns0:v>
      </ns0:c>
      <ns0:c r="P299" s="0">
        <ns0:f>IFERROR(IF(FIND(".",L299)=5,--M299,--O299),0)</ns0:f>
        <ns0:v>0</ns0:v>
      </ns0:c>
      <ns0:c r="Q299" s="0">
        <ns0:f>IFERROR(--N299,0)</ns0:f>
        <ns0:v>0</ns0:v>
      </ns0:c>
      <ns0:c r="R299" s="0">
        <ns0:f>IFERROR(IF(FIND(".",L299)=5,--O299,--M299),0)</ns0:f>
        <ns0:v>0</ns0:v>
      </ns0:c>
      <ns0:c r="S299" s="0">
        <ns0:f>IFERROR(IF(AND(P299&gt;=2000,P299&lt;=2100,Q299&gt;=1,Q299&lt;=12,R299&gt;=1,R299&lt;=31),DATE(P299,Q299,R299),0),0)</ns0:f>
        <ns0:v>0</ns0:v>
      </ns0:c>
      <ns0:c r="T299" s="0">
        <ns0:f>IFERROR(IF(ISNUMBER(Bookings!D299),IF(AND(Bookings!D299=INT(Bookings!D299),Bookings!D299&gt;=DATE(2000,1,1),Bookings!D299&lt;=DATE(2100,12,31)),Bookings!D299,0),IF(AND(K299&lt;&gt;"",LEN("x"&amp;L299)-LEN(SUBSTITUTE("x"&amp;L299,".",""))=2,OR(1&gt;LEN(L299),MID(L299,1,1)=".",ISNUMBER(FIND("x"&amp;MID(L299,1,1),"x0x1x2x3x4x5x6x7x8x9"))),OR(2&gt;LEN(L299),MID(L299,2,1)=".",ISNUMBER(FIND("x"&amp;MID(L299,2,1),"x0x1x2x3x4x5x6x7x8x9"))),OR(3&gt;LEN(L299),MID(L299,3,1)=".",ISNUMBER(FIND("x"&amp;MID(L299,3,1),"x0x1x2x3x4x5x6x7x8x9"))),OR(4&gt;LEN(L299),MID(L299,4,1)=".",ISNUMBER(FIND("x"&amp;MID(L299,4,1),"x0x1x2x3x4x5x6x7x8x9"))),OR(5&gt;LEN(L299),MID(L299,5,1)=".",ISNUMBER(FIND("x"&amp;MID(L299,5,1),"x0x1x2x3x4x5x6x7x8x9"))),OR(6&gt;LEN(L299),MID(L299,6,1)=".",ISNUMBER(FIND("x"&amp;MID(L299,6,1),"x0x1x2x3x4x5x6x7x8x9"))),OR(7&gt;LEN(L299),MID(L299,7,1)=".",ISNUMBER(FIND("x"&amp;MID(L299,7,1),"x0x1x2x3x4x5x6x7x8x9"))),OR(8&gt;LEN(L299),MID(L299,8,1)=".",ISNUMBER(FIND("x"&amp;MID(L299,8,1),"x0x1x2x3x4x5x6x7x8x9"))),OR(9&gt;LEN(L299),MID(L299,9,1)=".",ISNUMBER(FIND("x"&amp;MID(L299,9,1),"x0x1x2x3x4x5x6x7x8x9"))),OR(10&gt;LEN(L299),MID(L299,10,1)=".",ISNUMBER(FIND("x"&amp;MID(L299,10,1),"x0x1x2x3x4x5x6x7x8x9"))),OR(AND(FIND(".",L299)=5,LEN(L299)-FIND(".",L299,FIND(".",L299)+1)&gt;=1,LEN(L299)-FIND(".",L299,FIND(".",L299)+1)&lt;=2),AND(LEN(L299)-FIND(".",L299,FIND(".",L299)+1)=4,FIND(".",L299)&gt;=2,FIND(".",L299)&lt;=3)),FIND(".",L299,FIND(".",L299)+1)-FIND(".",L299)&gt;=2,FIND(".",L299,FIND(".",L299)+1)-FIND(".",L299)&lt;=3,P299&gt;=2000,P299&lt;=2100,YEAR(S299)=P299,MONTH(S299)=Q299,DAY(S299)=R299),S299,0)),0)</ns0:f>
        <ns0:v>0</ns0:v>
      </ns0:c>
      <ns0:c r="U299" s="0" t="str">
        <ns0:f>IF(Bookings!C299="","Full day",Bookings!C299)</ns0:f>
        <ns0:v>Full day</ns0:v>
      </ns0:c>
      <ns0:c r="V299" s="0" t="str">
        <ns0:f>IF(Bookings!E299="","Full day",Bookings!E299)</ns0:f>
        <ns0:v>Full day</ns0:v>
      </ns0:c>
      <ns0:c r="W299" s="0">
        <ns0:f>IF(J299=0,0,J299+IF(U299="PM",1,0))</ns0:f>
        <ns0:v>0</ns0:v>
      </ns0:c>
      <ns0:c r="X299" s="0">
        <ns0:f>IF(T299=0,0,T299-IF(V299="PM",1,0))</ns0:f>
        <ns0:v>0</ns0:v>
      </ns0:c>
      <ns0:c r="Y299" s="0">
        <ns0:f>IF(J299=0,0,J299+IF(U299="AM",1,0))</ns0:f>
        <ns0:v>0</ns0:v>
      </ns0:c>
      <ns0:c r="Z299" s="0">
        <ns0:f>IF(T299=0,0,T299-IF(V299="AM",1,0))</ns0:f>
        <ns0:v>0</ns0:v>
      </ns0:c>
      <ns0:c r="AA299" s="0">
        <ns0:f>IFERROR(IF(AND(J299&gt;0,'_Engine'!C299&gt;0,MID('_Engine'!W299,WEEKDAY(J299,2),1)="W",COUNTIF(Settings!$F$18:$F$67,J299)=0),1,0),0)</ns0:f>
        <ns0:v>0</ns0:v>
      </ns0:c>
      <ns0:c r="AB299" s="0">
        <ns0:f>IFERROR(IF(AND(T299&gt;0,'_Engine'!C299&gt;0,MID('_Engine'!W299,WEEKDAY(T299,2),1)="W",COUNTIF(Settings!$F$18:$F$67,T299)=0),1,0),0)</ns0:f>
        <ns0:v>0</ns0:v>
      </ns0:c>
      <ns0:c r="AC299" s="0">
        <ns0:f>IF(AND(J299&gt;0,T299&gt;0,W299&lt;=X299),1,0)</ns0:f>
        <ns0:v>0</ns0:v>
      </ns0:c>
      <ns0:c r="AD299" s="0">
        <ns0:f>IF(AND(J299&gt;0,T299&gt;0,Y299&lt;=Z299),1,0)</ns0:f>
        <ns0:v>0</ns0:v>
      </ns0:c>
    </ns0:row>
    <ns0:row r="300">
      <ns0:c r="A300" s="0">
        <ns0:f>IFERROR(IF(ISNUMBER(Bookings!B300),"",TRIM(Bookings!B300&amp;"")),"")</ns0:f>
      </ns0:c>
      <ns0:c r="B300" s="0">
        <ns0:f>IFERROR(SUBSTITUTE(SUBSTITUTE(A300,"/","."),"-","."),"")</ns0:f>
      </ns0:c>
      <ns0:c r="C300" s="0">
        <ns0:f>IFERROR(LEFT(B300,FIND(".",B300)-1),"")</ns0:f>
      </ns0:c>
      <ns0:c r="D300" s="0">
        <ns0:f>IFERROR(MID(B300,FIND(".",B300)+1,FIND(".",B300,FIND(".",B300)+1)-FIND(".",B300)-1),"")</ns0:f>
      </ns0:c>
      <ns0:c r="E300" s="0">
        <ns0:f>IFERROR(MID(B300,FIND(".",B300,FIND(".",B300)+1)+1,99),"")</ns0:f>
        <ns0:v>99</ns0:v>
      </ns0:c>
      <ns0:c r="F300" s="0">
        <ns0:f>IFERROR(IF(FIND(".",B300)=5,--C300,--E300),0)</ns0:f>
        <ns0:v>0</ns0:v>
      </ns0:c>
      <ns0:c r="G300" s="0">
        <ns0:f>IFERROR(--D300,0)</ns0:f>
        <ns0:v>0</ns0:v>
      </ns0:c>
      <ns0:c r="H300" s="0">
        <ns0:f>IFERROR(IF(FIND(".",B300)=5,--E300,--C300),0)</ns0:f>
        <ns0:v>0</ns0:v>
      </ns0:c>
      <ns0:c r="I300" s="0">
        <ns0:f>IFERROR(IF(AND(F300&gt;=2000,F300&lt;=2100,G300&gt;=1,G300&lt;=12,H300&gt;=1,H300&lt;=31),DATE(F300,G300,H300),0),0)</ns0:f>
        <ns0:v>0</ns0:v>
      </ns0:c>
      <ns0:c r="J300" s="0">
        <ns0:f>IFERROR(IF(ISNUMBER(Bookings!B300),IF(AND(Bookings!B300=INT(Bookings!B300),Bookings!B300&gt;=DATE(2000,1,1),Bookings!B300&lt;=DATE(2100,12,31)),Bookings!B300,0),IF(AND(A300&lt;&gt;"",LEN("x"&amp;B300)-LEN(SUBSTITUTE("x"&amp;B300,".",""))=2,OR(1&gt;LEN(B300),MID(B300,1,1)=".",ISNUMBER(FIND("x"&amp;MID(B300,1,1),"x0x1x2x3x4x5x6x7x8x9"))),OR(2&gt;LEN(B300),MID(B300,2,1)=".",ISNUMBER(FIND("x"&amp;MID(B300,2,1),"x0x1x2x3x4x5x6x7x8x9"))),OR(3&gt;LEN(B300),MID(B300,3,1)=".",ISNUMBER(FIND("x"&amp;MID(B300,3,1),"x0x1x2x3x4x5x6x7x8x9"))),OR(4&gt;LEN(B300),MID(B300,4,1)=".",ISNUMBER(FIND("x"&amp;MID(B300,4,1),"x0x1x2x3x4x5x6x7x8x9"))),OR(5&gt;LEN(B300),MID(B300,5,1)=".",ISNUMBER(FIND("x"&amp;MID(B300,5,1),"x0x1x2x3x4x5x6x7x8x9"))),OR(6&gt;LEN(B300),MID(B300,6,1)=".",ISNUMBER(FIND("x"&amp;MID(B300,6,1),"x0x1x2x3x4x5x6x7x8x9"))),OR(7&gt;LEN(B300),MID(B300,7,1)=".",ISNUMBER(FIND("x"&amp;MID(B300,7,1),"x0x1x2x3x4x5x6x7x8x9"))),OR(8&gt;LEN(B300),MID(B300,8,1)=".",ISNUMBER(FIND("x"&amp;MID(B300,8,1),"x0x1x2x3x4x5x6x7x8x9"))),OR(9&gt;LEN(B300),MID(B300,9,1)=".",ISNUMBER(FIND("x"&amp;MID(B300,9,1),"x0x1x2x3x4x5x6x7x8x9"))),OR(10&gt;LEN(B300),MID(B300,10,1)=".",ISNUMBER(FIND("x"&amp;MID(B300,10,1),"x0x1x2x3x4x5x6x7x8x9"))),OR(AND(FIND(".",B300)=5,LEN(B300)-FIND(".",B300,FIND(".",B300)+1)&gt;=1,LEN(B300)-FIND(".",B300,FIND(".",B300)+1)&lt;=2),AND(LEN(B300)-FIND(".",B300,FIND(".",B300)+1)=4,FIND(".",B300)&gt;=2,FIND(".",B300)&lt;=3)),FIND(".",B300,FIND(".",B300)+1)-FIND(".",B300)&gt;=2,FIND(".",B300,FIND(".",B300)+1)-FIND(".",B300)&lt;=3,F300&gt;=2000,F300&lt;=2100,YEAR(I300)=F300,MONTH(I300)=G300,DAY(I300)=H300),I300,0)),0)</ns0:f>
        <ns0:v>0</ns0:v>
      </ns0:c>
      <ns0:c r="K300" s="0">
        <ns0:f>IFERROR(IF(ISNUMBER(Bookings!D300),"",TRIM(Bookings!D300&amp;"")),"")</ns0:f>
      </ns0:c>
      <ns0:c r="L300" s="0">
        <ns0:f>IFERROR(SUBSTITUTE(SUBSTITUTE(K300,"/","."),"-","."),"")</ns0:f>
      </ns0:c>
      <ns0:c r="M300" s="0">
        <ns0:f>IFERROR(LEFT(L300,FIND(".",L300)-1),"")</ns0:f>
      </ns0:c>
      <ns0:c r="N300" s="0">
        <ns0:f>IFERROR(MID(L300,FIND(".",L300)+1,FIND(".",L300,FIND(".",L300)+1)-FIND(".",L300)-1),"")</ns0:f>
      </ns0:c>
      <ns0:c r="O300" s="0">
        <ns0:f>IFERROR(MID(L300,FIND(".",L300,FIND(".",L300)+1)+1,99),"")</ns0:f>
        <ns0:v>99</ns0:v>
      </ns0:c>
      <ns0:c r="P300" s="0">
        <ns0:f>IFERROR(IF(FIND(".",L300)=5,--M300,--O300),0)</ns0:f>
        <ns0:v>0</ns0:v>
      </ns0:c>
      <ns0:c r="Q300" s="0">
        <ns0:f>IFERROR(--N300,0)</ns0:f>
        <ns0:v>0</ns0:v>
      </ns0:c>
      <ns0:c r="R300" s="0">
        <ns0:f>IFERROR(IF(FIND(".",L300)=5,--O300,--M300),0)</ns0:f>
        <ns0:v>0</ns0:v>
      </ns0:c>
      <ns0:c r="S300" s="0">
        <ns0:f>IFERROR(IF(AND(P300&gt;=2000,P300&lt;=2100,Q300&gt;=1,Q300&lt;=12,R300&gt;=1,R300&lt;=31),DATE(P300,Q300,R300),0),0)</ns0:f>
        <ns0:v>0</ns0:v>
      </ns0:c>
      <ns0:c r="T300" s="0">
        <ns0:f>IFERROR(IF(ISNUMBER(Bookings!D300),IF(AND(Bookings!D300=INT(Bookings!D300),Bookings!D300&gt;=DATE(2000,1,1),Bookings!D300&lt;=DATE(2100,12,31)),Bookings!D300,0),IF(AND(K300&lt;&gt;"",LEN("x"&amp;L300)-LEN(SUBSTITUTE("x"&amp;L300,".",""))=2,OR(1&gt;LEN(L300),MID(L300,1,1)=".",ISNUMBER(FIND("x"&amp;MID(L300,1,1),"x0x1x2x3x4x5x6x7x8x9"))),OR(2&gt;LEN(L300),MID(L300,2,1)=".",ISNUMBER(FIND("x"&amp;MID(L300,2,1),"x0x1x2x3x4x5x6x7x8x9"))),OR(3&gt;LEN(L300),MID(L300,3,1)=".",ISNUMBER(FIND("x"&amp;MID(L300,3,1),"x0x1x2x3x4x5x6x7x8x9"))),OR(4&gt;LEN(L300),MID(L300,4,1)=".",ISNUMBER(FIND("x"&amp;MID(L300,4,1),"x0x1x2x3x4x5x6x7x8x9"))),OR(5&gt;LEN(L300),MID(L300,5,1)=".",ISNUMBER(FIND("x"&amp;MID(L300,5,1),"x0x1x2x3x4x5x6x7x8x9"))),OR(6&gt;LEN(L300),MID(L300,6,1)=".",ISNUMBER(FIND("x"&amp;MID(L300,6,1),"x0x1x2x3x4x5x6x7x8x9"))),OR(7&gt;LEN(L300),MID(L300,7,1)=".",ISNUMBER(FIND("x"&amp;MID(L300,7,1),"x0x1x2x3x4x5x6x7x8x9"))),OR(8&gt;LEN(L300),MID(L300,8,1)=".",ISNUMBER(FIND("x"&amp;MID(L300,8,1),"x0x1x2x3x4x5x6x7x8x9"))),OR(9&gt;LEN(L300),MID(L300,9,1)=".",ISNUMBER(FIND("x"&amp;MID(L300,9,1),"x0x1x2x3x4x5x6x7x8x9"))),OR(10&gt;LEN(L300),MID(L300,10,1)=".",ISNUMBER(FIND("x"&amp;MID(L300,10,1),"x0x1x2x3x4x5x6x7x8x9"))),OR(AND(FIND(".",L300)=5,LEN(L300)-FIND(".",L300,FIND(".",L300)+1)&gt;=1,LEN(L300)-FIND(".",L300,FIND(".",L300)+1)&lt;=2),AND(LEN(L300)-FIND(".",L300,FIND(".",L300)+1)=4,FIND(".",L300)&gt;=2,FIND(".",L300)&lt;=3)),FIND(".",L300,FIND(".",L300)+1)-FIND(".",L300)&gt;=2,FIND(".",L300,FIND(".",L300)+1)-FIND(".",L300)&lt;=3,P300&gt;=2000,P300&lt;=2100,YEAR(S300)=P300,MONTH(S300)=Q300,DAY(S300)=R300),S300,0)),0)</ns0:f>
        <ns0:v>0</ns0:v>
      </ns0:c>
      <ns0:c r="U300" s="0" t="str">
        <ns0:f>IF(Bookings!C300="","Full day",Bookings!C300)</ns0:f>
        <ns0:v>Full day</ns0:v>
      </ns0:c>
      <ns0:c r="V300" s="0" t="str">
        <ns0:f>IF(Bookings!E300="","Full day",Bookings!E300)</ns0:f>
        <ns0:v>Full day</ns0:v>
      </ns0:c>
      <ns0:c r="W300" s="0">
        <ns0:f>IF(J300=0,0,J300+IF(U300="PM",1,0))</ns0:f>
        <ns0:v>0</ns0:v>
      </ns0:c>
      <ns0:c r="X300" s="0">
        <ns0:f>IF(T300=0,0,T300-IF(V300="PM",1,0))</ns0:f>
        <ns0:v>0</ns0:v>
      </ns0:c>
      <ns0:c r="Y300" s="0">
        <ns0:f>IF(J300=0,0,J300+IF(U300="AM",1,0))</ns0:f>
        <ns0:v>0</ns0:v>
      </ns0:c>
      <ns0:c r="Z300" s="0">
        <ns0:f>IF(T300=0,0,T300-IF(V300="AM",1,0))</ns0:f>
        <ns0:v>0</ns0:v>
      </ns0:c>
      <ns0:c r="AA300" s="0">
        <ns0:f>IFERROR(IF(AND(J300&gt;0,'_Engine'!C300&gt;0,MID('_Engine'!W300,WEEKDAY(J300,2),1)="W",COUNTIF(Settings!$F$18:$F$67,J300)=0),1,0),0)</ns0:f>
        <ns0:v>0</ns0:v>
      </ns0:c>
      <ns0:c r="AB300" s="0">
        <ns0:f>IFERROR(IF(AND(T300&gt;0,'_Engine'!C300&gt;0,MID('_Engine'!W300,WEEKDAY(T300,2),1)="W",COUNTIF(Settings!$F$18:$F$67,T300)=0),1,0),0)</ns0:f>
        <ns0:v>0</ns0:v>
      </ns0:c>
      <ns0:c r="AC300" s="0">
        <ns0:f>IF(AND(J300&gt;0,T300&gt;0,W300&lt;=X300),1,0)</ns0:f>
        <ns0:v>0</ns0:v>
      </ns0:c>
      <ns0:c r="AD300" s="0">
        <ns0:f>IF(AND(J300&gt;0,T300&gt;0,Y300&lt;=Z300),1,0)</ns0:f>
        <ns0:v>0</ns0:v>
      </ns0:c>
    </ns0:row>
    <ns0:row r="301">
      <ns0:c r="A301" s="0">
        <ns0:f>IFERROR(IF(ISNUMBER(Bookings!B301),"",TRIM(Bookings!B301&amp;"")),"")</ns0:f>
      </ns0:c>
      <ns0:c r="B301" s="0">
        <ns0:f>IFERROR(SUBSTITUTE(SUBSTITUTE(A301,"/","."),"-","."),"")</ns0:f>
      </ns0:c>
      <ns0:c r="C301" s="0">
        <ns0:f>IFERROR(LEFT(B301,FIND(".",B301)-1),"")</ns0:f>
      </ns0:c>
      <ns0:c r="D301" s="0">
        <ns0:f>IFERROR(MID(B301,FIND(".",B301)+1,FIND(".",B301,FIND(".",B301)+1)-FIND(".",B301)-1),"")</ns0:f>
      </ns0:c>
      <ns0:c r="E301" s="0">
        <ns0:f>IFERROR(MID(B301,FIND(".",B301,FIND(".",B301)+1)+1,99),"")</ns0:f>
        <ns0:v>99</ns0:v>
      </ns0:c>
      <ns0:c r="F301" s="0">
        <ns0:f>IFERROR(IF(FIND(".",B301)=5,--C301,--E301),0)</ns0:f>
        <ns0:v>0</ns0:v>
      </ns0:c>
      <ns0:c r="G301" s="0">
        <ns0:f>IFERROR(--D301,0)</ns0:f>
        <ns0:v>0</ns0:v>
      </ns0:c>
      <ns0:c r="H301" s="0">
        <ns0:f>IFERROR(IF(FIND(".",B301)=5,--E301,--C301),0)</ns0:f>
        <ns0:v>0</ns0:v>
      </ns0:c>
      <ns0:c r="I301" s="0">
        <ns0:f>IFERROR(IF(AND(F301&gt;=2000,F301&lt;=2100,G301&gt;=1,G301&lt;=12,H301&gt;=1,H301&lt;=31),DATE(F301,G301,H301),0),0)</ns0:f>
        <ns0:v>0</ns0:v>
      </ns0:c>
      <ns0:c r="J301" s="0">
        <ns0:f>IFERROR(IF(ISNUMBER(Bookings!B301),IF(AND(Bookings!B301=INT(Bookings!B301),Bookings!B301&gt;=DATE(2000,1,1),Bookings!B301&lt;=DATE(2100,12,31)),Bookings!B301,0),IF(AND(A301&lt;&gt;"",LEN("x"&amp;B301)-LEN(SUBSTITUTE("x"&amp;B301,".",""))=2,OR(1&gt;LEN(B301),MID(B301,1,1)=".",ISNUMBER(FIND("x"&amp;MID(B301,1,1),"x0x1x2x3x4x5x6x7x8x9"))),OR(2&gt;LEN(B301),MID(B301,2,1)=".",ISNUMBER(FIND("x"&amp;MID(B301,2,1),"x0x1x2x3x4x5x6x7x8x9"))),OR(3&gt;LEN(B301),MID(B301,3,1)=".",ISNUMBER(FIND("x"&amp;MID(B301,3,1),"x0x1x2x3x4x5x6x7x8x9"))),OR(4&gt;LEN(B301),MID(B301,4,1)=".",ISNUMBER(FIND("x"&amp;MID(B301,4,1),"x0x1x2x3x4x5x6x7x8x9"))),OR(5&gt;LEN(B301),MID(B301,5,1)=".",ISNUMBER(FIND("x"&amp;MID(B301,5,1),"x0x1x2x3x4x5x6x7x8x9"))),OR(6&gt;LEN(B301),MID(B301,6,1)=".",ISNUMBER(FIND("x"&amp;MID(B301,6,1),"x0x1x2x3x4x5x6x7x8x9"))),OR(7&gt;LEN(B301),MID(B301,7,1)=".",ISNUMBER(FIND("x"&amp;MID(B301,7,1),"x0x1x2x3x4x5x6x7x8x9"))),OR(8&gt;LEN(B301),MID(B301,8,1)=".",ISNUMBER(FIND("x"&amp;MID(B301,8,1),"x0x1x2x3x4x5x6x7x8x9"))),OR(9&gt;LEN(B301),MID(B301,9,1)=".",ISNUMBER(FIND("x"&amp;MID(B301,9,1),"x0x1x2x3x4x5x6x7x8x9"))),OR(10&gt;LEN(B301),MID(B301,10,1)=".",ISNUMBER(FIND("x"&amp;MID(B301,10,1),"x0x1x2x3x4x5x6x7x8x9"))),OR(AND(FIND(".",B301)=5,LEN(B301)-FIND(".",B301,FIND(".",B301)+1)&gt;=1,LEN(B301)-FIND(".",B301,FIND(".",B301)+1)&lt;=2),AND(LEN(B301)-FIND(".",B301,FIND(".",B301)+1)=4,FIND(".",B301)&gt;=2,FIND(".",B301)&lt;=3)),FIND(".",B301,FIND(".",B301)+1)-FIND(".",B301)&gt;=2,FIND(".",B301,FIND(".",B301)+1)-FIND(".",B301)&lt;=3,F301&gt;=2000,F301&lt;=2100,YEAR(I301)=F301,MONTH(I301)=G301,DAY(I301)=H301),I301,0)),0)</ns0:f>
        <ns0:v>0</ns0:v>
      </ns0:c>
      <ns0:c r="K301" s="0">
        <ns0:f>IFERROR(IF(ISNUMBER(Bookings!D301),"",TRIM(Bookings!D301&amp;"")),"")</ns0:f>
      </ns0:c>
      <ns0:c r="L301" s="0">
        <ns0:f>IFERROR(SUBSTITUTE(SUBSTITUTE(K301,"/","."),"-","."),"")</ns0:f>
      </ns0:c>
      <ns0:c r="M301" s="0">
        <ns0:f>IFERROR(LEFT(L301,FIND(".",L301)-1),"")</ns0:f>
      </ns0:c>
      <ns0:c r="N301" s="0">
        <ns0:f>IFERROR(MID(L301,FIND(".",L301)+1,FIND(".",L301,FIND(".",L301)+1)-FIND(".",L301)-1),"")</ns0:f>
      </ns0:c>
      <ns0:c r="O301" s="0">
        <ns0:f>IFERROR(MID(L301,FIND(".",L301,FIND(".",L301)+1)+1,99),"")</ns0:f>
        <ns0:v>99</ns0:v>
      </ns0:c>
      <ns0:c r="P301" s="0">
        <ns0:f>IFERROR(IF(FIND(".",L301)=5,--M301,--O301),0)</ns0:f>
        <ns0:v>0</ns0:v>
      </ns0:c>
      <ns0:c r="Q301" s="0">
        <ns0:f>IFERROR(--N301,0)</ns0:f>
        <ns0:v>0</ns0:v>
      </ns0:c>
      <ns0:c r="R301" s="0">
        <ns0:f>IFERROR(IF(FIND(".",L301)=5,--O301,--M301),0)</ns0:f>
        <ns0:v>0</ns0:v>
      </ns0:c>
      <ns0:c r="S301" s="0">
        <ns0:f>IFERROR(IF(AND(P301&gt;=2000,P301&lt;=2100,Q301&gt;=1,Q301&lt;=12,R301&gt;=1,R301&lt;=31),DATE(P301,Q301,R301),0),0)</ns0:f>
        <ns0:v>0</ns0:v>
      </ns0:c>
      <ns0:c r="T301" s="0">
        <ns0:f>IFERROR(IF(ISNUMBER(Bookings!D301),IF(AND(Bookings!D301=INT(Bookings!D301),Bookings!D301&gt;=DATE(2000,1,1),Bookings!D301&lt;=DATE(2100,12,31)),Bookings!D301,0),IF(AND(K301&lt;&gt;"",LEN("x"&amp;L301)-LEN(SUBSTITUTE("x"&amp;L301,".",""))=2,OR(1&gt;LEN(L301),MID(L301,1,1)=".",ISNUMBER(FIND("x"&amp;MID(L301,1,1),"x0x1x2x3x4x5x6x7x8x9"))),OR(2&gt;LEN(L301),MID(L301,2,1)=".",ISNUMBER(FIND("x"&amp;MID(L301,2,1),"x0x1x2x3x4x5x6x7x8x9"))),OR(3&gt;LEN(L301),MID(L301,3,1)=".",ISNUMBER(FIND("x"&amp;MID(L301,3,1),"x0x1x2x3x4x5x6x7x8x9"))),OR(4&gt;LEN(L301),MID(L301,4,1)=".",ISNUMBER(FIND("x"&amp;MID(L301,4,1),"x0x1x2x3x4x5x6x7x8x9"))),OR(5&gt;LEN(L301),MID(L301,5,1)=".",ISNUMBER(FIND("x"&amp;MID(L301,5,1),"x0x1x2x3x4x5x6x7x8x9"))),OR(6&gt;LEN(L301),MID(L301,6,1)=".",ISNUMBER(FIND("x"&amp;MID(L301,6,1),"x0x1x2x3x4x5x6x7x8x9"))),OR(7&gt;LEN(L301),MID(L301,7,1)=".",ISNUMBER(FIND("x"&amp;MID(L301,7,1),"x0x1x2x3x4x5x6x7x8x9"))),OR(8&gt;LEN(L301),MID(L301,8,1)=".",ISNUMBER(FIND("x"&amp;MID(L301,8,1),"x0x1x2x3x4x5x6x7x8x9"))),OR(9&gt;LEN(L301),MID(L301,9,1)=".",ISNUMBER(FIND("x"&amp;MID(L301,9,1),"x0x1x2x3x4x5x6x7x8x9"))),OR(10&gt;LEN(L301),MID(L301,10,1)=".",ISNUMBER(FIND("x"&amp;MID(L301,10,1),"x0x1x2x3x4x5x6x7x8x9"))),OR(AND(FIND(".",L301)=5,LEN(L301)-FIND(".",L301,FIND(".",L301)+1)&gt;=1,LEN(L301)-FIND(".",L301,FIND(".",L301)+1)&lt;=2),AND(LEN(L301)-FIND(".",L301,FIND(".",L301)+1)=4,FIND(".",L301)&gt;=2,FIND(".",L301)&lt;=3)),FIND(".",L301,FIND(".",L301)+1)-FIND(".",L301)&gt;=2,FIND(".",L301,FIND(".",L301)+1)-FIND(".",L301)&lt;=3,P301&gt;=2000,P301&lt;=2100,YEAR(S301)=P301,MONTH(S301)=Q301,DAY(S301)=R301),S301,0)),0)</ns0:f>
        <ns0:v>0</ns0:v>
      </ns0:c>
      <ns0:c r="U301" s="0" t="str">
        <ns0:f>IF(Bookings!C301="","Full day",Bookings!C301)</ns0:f>
        <ns0:v>Full day</ns0:v>
      </ns0:c>
      <ns0:c r="V301" s="0" t="str">
        <ns0:f>IF(Bookings!E301="","Full day",Bookings!E301)</ns0:f>
        <ns0:v>Full day</ns0:v>
      </ns0:c>
      <ns0:c r="W301" s="0">
        <ns0:f>IF(J301=0,0,J301+IF(U301="PM",1,0))</ns0:f>
        <ns0:v>0</ns0:v>
      </ns0:c>
      <ns0:c r="X301" s="0">
        <ns0:f>IF(T301=0,0,T301-IF(V301="PM",1,0))</ns0:f>
        <ns0:v>0</ns0:v>
      </ns0:c>
      <ns0:c r="Y301" s="0">
        <ns0:f>IF(J301=0,0,J301+IF(U301="AM",1,0))</ns0:f>
        <ns0:v>0</ns0:v>
      </ns0:c>
      <ns0:c r="Z301" s="0">
        <ns0:f>IF(T301=0,0,T301-IF(V301="AM",1,0))</ns0:f>
        <ns0:v>0</ns0:v>
      </ns0:c>
      <ns0:c r="AA301" s="0">
        <ns0:f>IFERROR(IF(AND(J301&gt;0,'_Engine'!C301&gt;0,MID('_Engine'!W301,WEEKDAY(J301,2),1)="W",COUNTIF(Settings!$F$18:$F$67,J301)=0),1,0),0)</ns0:f>
        <ns0:v>0</ns0:v>
      </ns0:c>
      <ns0:c r="AB301" s="0">
        <ns0:f>IFERROR(IF(AND(T301&gt;0,'_Engine'!C301&gt;0,MID('_Engine'!W301,WEEKDAY(T301,2),1)="W",COUNTIF(Settings!$F$18:$F$67,T301)=0),1,0),0)</ns0:f>
        <ns0:v>0</ns0:v>
      </ns0:c>
      <ns0:c r="AC301" s="0">
        <ns0:f>IF(AND(J301&gt;0,T301&gt;0,W301&lt;=X301),1,0)</ns0:f>
        <ns0:v>0</ns0:v>
      </ns0:c>
      <ns0:c r="AD301" s="0">
        <ns0:f>IF(AND(J301&gt;0,T301&gt;0,Y301&lt;=Z301),1,0)</ns0:f>
        <ns0:v>0</ns0:v>
      </ns0:c>
    </ns0:row>
    <ns0:row r="302">
      <ns0:c r="A302" s="0">
        <ns0:f>IFERROR(IF(ISNUMBER(Bookings!B302),"",TRIM(Bookings!B302&amp;"")),"")</ns0:f>
      </ns0:c>
      <ns0:c r="B302" s="0">
        <ns0:f>IFERROR(SUBSTITUTE(SUBSTITUTE(A302,"/","."),"-","."),"")</ns0:f>
      </ns0:c>
      <ns0:c r="C302" s="0">
        <ns0:f>IFERROR(LEFT(B302,FIND(".",B302)-1),"")</ns0:f>
      </ns0:c>
      <ns0:c r="D302" s="0">
        <ns0:f>IFERROR(MID(B302,FIND(".",B302)+1,FIND(".",B302,FIND(".",B302)+1)-FIND(".",B302)-1),"")</ns0:f>
      </ns0:c>
      <ns0:c r="E302" s="0">
        <ns0:f>IFERROR(MID(B302,FIND(".",B302,FIND(".",B302)+1)+1,99),"")</ns0:f>
        <ns0:v>99</ns0:v>
      </ns0:c>
      <ns0:c r="F302" s="0">
        <ns0:f>IFERROR(IF(FIND(".",B302)=5,--C302,--E302),0)</ns0:f>
        <ns0:v>0</ns0:v>
      </ns0:c>
      <ns0:c r="G302" s="0">
        <ns0:f>IFERROR(--D302,0)</ns0:f>
        <ns0:v>0</ns0:v>
      </ns0:c>
      <ns0:c r="H302" s="0">
        <ns0:f>IFERROR(IF(FIND(".",B302)=5,--E302,--C302),0)</ns0:f>
        <ns0:v>0</ns0:v>
      </ns0:c>
      <ns0:c r="I302" s="0">
        <ns0:f>IFERROR(IF(AND(F302&gt;=2000,F302&lt;=2100,G302&gt;=1,G302&lt;=12,H302&gt;=1,H302&lt;=31),DATE(F302,G302,H302),0),0)</ns0:f>
        <ns0:v>0</ns0:v>
      </ns0:c>
      <ns0:c r="J302" s="0">
        <ns0:f>IFERROR(IF(ISNUMBER(Bookings!B302),IF(AND(Bookings!B302=INT(Bookings!B302),Bookings!B302&gt;=DATE(2000,1,1),Bookings!B302&lt;=DATE(2100,12,31)),Bookings!B302,0),IF(AND(A302&lt;&gt;"",LEN("x"&amp;B302)-LEN(SUBSTITUTE("x"&amp;B302,".",""))=2,OR(1&gt;LEN(B302),MID(B302,1,1)=".",ISNUMBER(FIND("x"&amp;MID(B302,1,1),"x0x1x2x3x4x5x6x7x8x9"))),OR(2&gt;LEN(B302),MID(B302,2,1)=".",ISNUMBER(FIND("x"&amp;MID(B302,2,1),"x0x1x2x3x4x5x6x7x8x9"))),OR(3&gt;LEN(B302),MID(B302,3,1)=".",ISNUMBER(FIND("x"&amp;MID(B302,3,1),"x0x1x2x3x4x5x6x7x8x9"))),OR(4&gt;LEN(B302),MID(B302,4,1)=".",ISNUMBER(FIND("x"&amp;MID(B302,4,1),"x0x1x2x3x4x5x6x7x8x9"))),OR(5&gt;LEN(B302),MID(B302,5,1)=".",ISNUMBER(FIND("x"&amp;MID(B302,5,1),"x0x1x2x3x4x5x6x7x8x9"))),OR(6&gt;LEN(B302),MID(B302,6,1)=".",ISNUMBER(FIND("x"&amp;MID(B302,6,1),"x0x1x2x3x4x5x6x7x8x9"))),OR(7&gt;LEN(B302),MID(B302,7,1)=".",ISNUMBER(FIND("x"&amp;MID(B302,7,1),"x0x1x2x3x4x5x6x7x8x9"))),OR(8&gt;LEN(B302),MID(B302,8,1)=".",ISNUMBER(FIND("x"&amp;MID(B302,8,1),"x0x1x2x3x4x5x6x7x8x9"))),OR(9&gt;LEN(B302),MID(B302,9,1)=".",ISNUMBER(FIND("x"&amp;MID(B302,9,1),"x0x1x2x3x4x5x6x7x8x9"))),OR(10&gt;LEN(B302),MID(B302,10,1)=".",ISNUMBER(FIND("x"&amp;MID(B302,10,1),"x0x1x2x3x4x5x6x7x8x9"))),OR(AND(FIND(".",B302)=5,LEN(B302)-FIND(".",B302,FIND(".",B302)+1)&gt;=1,LEN(B302)-FIND(".",B302,FIND(".",B302)+1)&lt;=2),AND(LEN(B302)-FIND(".",B302,FIND(".",B302)+1)=4,FIND(".",B302)&gt;=2,FIND(".",B302)&lt;=3)),FIND(".",B302,FIND(".",B302)+1)-FIND(".",B302)&gt;=2,FIND(".",B302,FIND(".",B302)+1)-FIND(".",B302)&lt;=3,F302&gt;=2000,F302&lt;=2100,YEAR(I302)=F302,MONTH(I302)=G302,DAY(I302)=H302),I302,0)),0)</ns0:f>
        <ns0:v>0</ns0:v>
      </ns0:c>
      <ns0:c r="K302" s="0">
        <ns0:f>IFERROR(IF(ISNUMBER(Bookings!D302),"",TRIM(Bookings!D302&amp;"")),"")</ns0:f>
      </ns0:c>
      <ns0:c r="L302" s="0">
        <ns0:f>IFERROR(SUBSTITUTE(SUBSTITUTE(K302,"/","."),"-","."),"")</ns0:f>
      </ns0:c>
      <ns0:c r="M302" s="0">
        <ns0:f>IFERROR(LEFT(L302,FIND(".",L302)-1),"")</ns0:f>
      </ns0:c>
      <ns0:c r="N302" s="0">
        <ns0:f>IFERROR(MID(L302,FIND(".",L302)+1,FIND(".",L302,FIND(".",L302)+1)-FIND(".",L302)-1),"")</ns0:f>
      </ns0:c>
      <ns0:c r="O302" s="0">
        <ns0:f>IFERROR(MID(L302,FIND(".",L302,FIND(".",L302)+1)+1,99),"")</ns0:f>
        <ns0:v>99</ns0:v>
      </ns0:c>
      <ns0:c r="P302" s="0">
        <ns0:f>IFERROR(IF(FIND(".",L302)=5,--M302,--O302),0)</ns0:f>
        <ns0:v>0</ns0:v>
      </ns0:c>
      <ns0:c r="Q302" s="0">
        <ns0:f>IFERROR(--N302,0)</ns0:f>
        <ns0:v>0</ns0:v>
      </ns0:c>
      <ns0:c r="R302" s="0">
        <ns0:f>IFERROR(IF(FIND(".",L302)=5,--O302,--M302),0)</ns0:f>
        <ns0:v>0</ns0:v>
      </ns0:c>
      <ns0:c r="S302" s="0">
        <ns0:f>IFERROR(IF(AND(P302&gt;=2000,P302&lt;=2100,Q302&gt;=1,Q302&lt;=12,R302&gt;=1,R302&lt;=31),DATE(P302,Q302,R302),0),0)</ns0:f>
        <ns0:v>0</ns0:v>
      </ns0:c>
      <ns0:c r="T302" s="0">
        <ns0:f>IFERROR(IF(ISNUMBER(Bookings!D302),IF(AND(Bookings!D302=INT(Bookings!D302),Bookings!D302&gt;=DATE(2000,1,1),Bookings!D302&lt;=DATE(2100,12,31)),Bookings!D302,0),IF(AND(K302&lt;&gt;"",LEN("x"&amp;L302)-LEN(SUBSTITUTE("x"&amp;L302,".",""))=2,OR(1&gt;LEN(L302),MID(L302,1,1)=".",ISNUMBER(FIND("x"&amp;MID(L302,1,1),"x0x1x2x3x4x5x6x7x8x9"))),OR(2&gt;LEN(L302),MID(L302,2,1)=".",ISNUMBER(FIND("x"&amp;MID(L302,2,1),"x0x1x2x3x4x5x6x7x8x9"))),OR(3&gt;LEN(L302),MID(L302,3,1)=".",ISNUMBER(FIND("x"&amp;MID(L302,3,1),"x0x1x2x3x4x5x6x7x8x9"))),OR(4&gt;LEN(L302),MID(L302,4,1)=".",ISNUMBER(FIND("x"&amp;MID(L302,4,1),"x0x1x2x3x4x5x6x7x8x9"))),OR(5&gt;LEN(L302),MID(L302,5,1)=".",ISNUMBER(FIND("x"&amp;MID(L302,5,1),"x0x1x2x3x4x5x6x7x8x9"))),OR(6&gt;LEN(L302),MID(L302,6,1)=".",ISNUMBER(FIND("x"&amp;MID(L302,6,1),"x0x1x2x3x4x5x6x7x8x9"))),OR(7&gt;LEN(L302),MID(L302,7,1)=".",ISNUMBER(FIND("x"&amp;MID(L302,7,1),"x0x1x2x3x4x5x6x7x8x9"))),OR(8&gt;LEN(L302),MID(L302,8,1)=".",ISNUMBER(FIND("x"&amp;MID(L302,8,1),"x0x1x2x3x4x5x6x7x8x9"))),OR(9&gt;LEN(L302),MID(L302,9,1)=".",ISNUMBER(FIND("x"&amp;MID(L302,9,1),"x0x1x2x3x4x5x6x7x8x9"))),OR(10&gt;LEN(L302),MID(L302,10,1)=".",ISNUMBER(FIND("x"&amp;MID(L302,10,1),"x0x1x2x3x4x5x6x7x8x9"))),OR(AND(FIND(".",L302)=5,LEN(L302)-FIND(".",L302,FIND(".",L302)+1)&gt;=1,LEN(L302)-FIND(".",L302,FIND(".",L302)+1)&lt;=2),AND(LEN(L302)-FIND(".",L302,FIND(".",L302)+1)=4,FIND(".",L302)&gt;=2,FIND(".",L302)&lt;=3)),FIND(".",L302,FIND(".",L302)+1)-FIND(".",L302)&gt;=2,FIND(".",L302,FIND(".",L302)+1)-FIND(".",L302)&lt;=3,P302&gt;=2000,P302&lt;=2100,YEAR(S302)=P302,MONTH(S302)=Q302,DAY(S302)=R302),S302,0)),0)</ns0:f>
        <ns0:v>0</ns0:v>
      </ns0:c>
      <ns0:c r="U302" s="0" t="str">
        <ns0:f>IF(Bookings!C302="","Full day",Bookings!C302)</ns0:f>
        <ns0:v>Full day</ns0:v>
      </ns0:c>
      <ns0:c r="V302" s="0" t="str">
        <ns0:f>IF(Bookings!E302="","Full day",Bookings!E302)</ns0:f>
        <ns0:v>Full day</ns0:v>
      </ns0:c>
      <ns0:c r="W302" s="0">
        <ns0:f>IF(J302=0,0,J302+IF(U302="PM",1,0))</ns0:f>
        <ns0:v>0</ns0:v>
      </ns0:c>
      <ns0:c r="X302" s="0">
        <ns0:f>IF(T302=0,0,T302-IF(V302="PM",1,0))</ns0:f>
        <ns0:v>0</ns0:v>
      </ns0:c>
      <ns0:c r="Y302" s="0">
        <ns0:f>IF(J302=0,0,J302+IF(U302="AM",1,0))</ns0:f>
        <ns0:v>0</ns0:v>
      </ns0:c>
      <ns0:c r="Z302" s="0">
        <ns0:f>IF(T302=0,0,T302-IF(V302="AM",1,0))</ns0:f>
        <ns0:v>0</ns0:v>
      </ns0:c>
      <ns0:c r="AA302" s="0">
        <ns0:f>IFERROR(IF(AND(J302&gt;0,'_Engine'!C302&gt;0,MID('_Engine'!W302,WEEKDAY(J302,2),1)="W",COUNTIF(Settings!$F$18:$F$67,J302)=0),1,0),0)</ns0:f>
        <ns0:v>0</ns0:v>
      </ns0:c>
      <ns0:c r="AB302" s="0">
        <ns0:f>IFERROR(IF(AND(T302&gt;0,'_Engine'!C302&gt;0,MID('_Engine'!W302,WEEKDAY(T302,2),1)="W",COUNTIF(Settings!$F$18:$F$67,T302)=0),1,0),0)</ns0:f>
        <ns0:v>0</ns0:v>
      </ns0:c>
      <ns0:c r="AC302" s="0">
        <ns0:f>IF(AND(J302&gt;0,T302&gt;0,W302&lt;=X302),1,0)</ns0:f>
        <ns0:v>0</ns0:v>
      </ns0:c>
      <ns0:c r="AD302" s="0">
        <ns0:f>IF(AND(J302&gt;0,T302&gt;0,Y302&lt;=Z302),1,0)</ns0:f>
        <ns0:v>0</ns0:v>
      </ns0:c>
    </ns0:row>
    <ns0:row r="303">
      <ns0:c r="A303" s="0">
        <ns0:f>IFERROR(IF(ISNUMBER(Bookings!B303),"",TRIM(Bookings!B303&amp;"")),"")</ns0:f>
      </ns0:c>
      <ns0:c r="B303" s="0">
        <ns0:f>IFERROR(SUBSTITUTE(SUBSTITUTE(A303,"/","."),"-","."),"")</ns0:f>
      </ns0:c>
      <ns0:c r="C303" s="0">
        <ns0:f>IFERROR(LEFT(B303,FIND(".",B303)-1),"")</ns0:f>
      </ns0:c>
      <ns0:c r="D303" s="0">
        <ns0:f>IFERROR(MID(B303,FIND(".",B303)+1,FIND(".",B303,FIND(".",B303)+1)-FIND(".",B303)-1),"")</ns0:f>
      </ns0:c>
      <ns0:c r="E303" s="0">
        <ns0:f>IFERROR(MID(B303,FIND(".",B303,FIND(".",B303)+1)+1,99),"")</ns0:f>
        <ns0:v>99</ns0:v>
      </ns0:c>
      <ns0:c r="F303" s="0">
        <ns0:f>IFERROR(IF(FIND(".",B303)=5,--C303,--E303),0)</ns0:f>
        <ns0:v>0</ns0:v>
      </ns0:c>
      <ns0:c r="G303" s="0">
        <ns0:f>IFERROR(--D303,0)</ns0:f>
        <ns0:v>0</ns0:v>
      </ns0:c>
      <ns0:c r="H303" s="0">
        <ns0:f>IFERROR(IF(FIND(".",B303)=5,--E303,--C303),0)</ns0:f>
        <ns0:v>0</ns0:v>
      </ns0:c>
      <ns0:c r="I303" s="0">
        <ns0:f>IFERROR(IF(AND(F303&gt;=2000,F303&lt;=2100,G303&gt;=1,G303&lt;=12,H303&gt;=1,H303&lt;=31),DATE(F303,G303,H303),0),0)</ns0:f>
        <ns0:v>0</ns0:v>
      </ns0:c>
      <ns0:c r="J303" s="0">
        <ns0:f>IFERROR(IF(ISNUMBER(Bookings!B303),IF(AND(Bookings!B303=INT(Bookings!B303),Bookings!B303&gt;=DATE(2000,1,1),Bookings!B303&lt;=DATE(2100,12,31)),Bookings!B303,0),IF(AND(A303&lt;&gt;"",LEN("x"&amp;B303)-LEN(SUBSTITUTE("x"&amp;B303,".",""))=2,OR(1&gt;LEN(B303),MID(B303,1,1)=".",ISNUMBER(FIND("x"&amp;MID(B303,1,1),"x0x1x2x3x4x5x6x7x8x9"))),OR(2&gt;LEN(B303),MID(B303,2,1)=".",ISNUMBER(FIND("x"&amp;MID(B303,2,1),"x0x1x2x3x4x5x6x7x8x9"))),OR(3&gt;LEN(B303),MID(B303,3,1)=".",ISNUMBER(FIND("x"&amp;MID(B303,3,1),"x0x1x2x3x4x5x6x7x8x9"))),OR(4&gt;LEN(B303),MID(B303,4,1)=".",ISNUMBER(FIND("x"&amp;MID(B303,4,1),"x0x1x2x3x4x5x6x7x8x9"))),OR(5&gt;LEN(B303),MID(B303,5,1)=".",ISNUMBER(FIND("x"&amp;MID(B303,5,1),"x0x1x2x3x4x5x6x7x8x9"))),OR(6&gt;LEN(B303),MID(B303,6,1)=".",ISNUMBER(FIND("x"&amp;MID(B303,6,1),"x0x1x2x3x4x5x6x7x8x9"))),OR(7&gt;LEN(B303),MID(B303,7,1)=".",ISNUMBER(FIND("x"&amp;MID(B303,7,1),"x0x1x2x3x4x5x6x7x8x9"))),OR(8&gt;LEN(B303),MID(B303,8,1)=".",ISNUMBER(FIND("x"&amp;MID(B303,8,1),"x0x1x2x3x4x5x6x7x8x9"))),OR(9&gt;LEN(B303),MID(B303,9,1)=".",ISNUMBER(FIND("x"&amp;MID(B303,9,1),"x0x1x2x3x4x5x6x7x8x9"))),OR(10&gt;LEN(B303),MID(B303,10,1)=".",ISNUMBER(FIND("x"&amp;MID(B303,10,1),"x0x1x2x3x4x5x6x7x8x9"))),OR(AND(FIND(".",B303)=5,LEN(B303)-FIND(".",B303,FIND(".",B303)+1)&gt;=1,LEN(B303)-FIND(".",B303,FIND(".",B303)+1)&lt;=2),AND(LEN(B303)-FIND(".",B303,FIND(".",B303)+1)=4,FIND(".",B303)&gt;=2,FIND(".",B303)&lt;=3)),FIND(".",B303,FIND(".",B303)+1)-FIND(".",B303)&gt;=2,FIND(".",B303,FIND(".",B303)+1)-FIND(".",B303)&lt;=3,F303&gt;=2000,F303&lt;=2100,YEAR(I303)=F303,MONTH(I303)=G303,DAY(I303)=H303),I303,0)),0)</ns0:f>
        <ns0:v>0</ns0:v>
      </ns0:c>
      <ns0:c r="K303" s="0">
        <ns0:f>IFERROR(IF(ISNUMBER(Bookings!D303),"",TRIM(Bookings!D303&amp;"")),"")</ns0:f>
      </ns0:c>
      <ns0:c r="L303" s="0">
        <ns0:f>IFERROR(SUBSTITUTE(SUBSTITUTE(K303,"/","."),"-","."),"")</ns0:f>
      </ns0:c>
      <ns0:c r="M303" s="0">
        <ns0:f>IFERROR(LEFT(L303,FIND(".",L303)-1),"")</ns0:f>
      </ns0:c>
      <ns0:c r="N303" s="0">
        <ns0:f>IFERROR(MID(L303,FIND(".",L303)+1,FIND(".",L303,FIND(".",L303)+1)-FIND(".",L303)-1),"")</ns0:f>
      </ns0:c>
      <ns0:c r="O303" s="0">
        <ns0:f>IFERROR(MID(L303,FIND(".",L303,FIND(".",L303)+1)+1,99),"")</ns0:f>
        <ns0:v>99</ns0:v>
      </ns0:c>
      <ns0:c r="P303" s="0">
        <ns0:f>IFERROR(IF(FIND(".",L303)=5,--M303,--O303),0)</ns0:f>
        <ns0:v>0</ns0:v>
      </ns0:c>
      <ns0:c r="Q303" s="0">
        <ns0:f>IFERROR(--N303,0)</ns0:f>
        <ns0:v>0</ns0:v>
      </ns0:c>
      <ns0:c r="R303" s="0">
        <ns0:f>IFERROR(IF(FIND(".",L303)=5,--O303,--M303),0)</ns0:f>
        <ns0:v>0</ns0:v>
      </ns0:c>
      <ns0:c r="S303" s="0">
        <ns0:f>IFERROR(IF(AND(P303&gt;=2000,P303&lt;=2100,Q303&gt;=1,Q303&lt;=12,R303&gt;=1,R303&lt;=31),DATE(P303,Q303,R303),0),0)</ns0:f>
        <ns0:v>0</ns0:v>
      </ns0:c>
      <ns0:c r="T303" s="0">
        <ns0:f>IFERROR(IF(ISNUMBER(Bookings!D303),IF(AND(Bookings!D303=INT(Bookings!D303),Bookings!D303&gt;=DATE(2000,1,1),Bookings!D303&lt;=DATE(2100,12,31)),Bookings!D303,0),IF(AND(K303&lt;&gt;"",LEN("x"&amp;L303)-LEN(SUBSTITUTE("x"&amp;L303,".",""))=2,OR(1&gt;LEN(L303),MID(L303,1,1)=".",ISNUMBER(FIND("x"&amp;MID(L303,1,1),"x0x1x2x3x4x5x6x7x8x9"))),OR(2&gt;LEN(L303),MID(L303,2,1)=".",ISNUMBER(FIND("x"&amp;MID(L303,2,1),"x0x1x2x3x4x5x6x7x8x9"))),OR(3&gt;LEN(L303),MID(L303,3,1)=".",ISNUMBER(FIND("x"&amp;MID(L303,3,1),"x0x1x2x3x4x5x6x7x8x9"))),OR(4&gt;LEN(L303),MID(L303,4,1)=".",ISNUMBER(FIND("x"&amp;MID(L303,4,1),"x0x1x2x3x4x5x6x7x8x9"))),OR(5&gt;LEN(L303),MID(L303,5,1)=".",ISNUMBER(FIND("x"&amp;MID(L303,5,1),"x0x1x2x3x4x5x6x7x8x9"))),OR(6&gt;LEN(L303),MID(L303,6,1)=".",ISNUMBER(FIND("x"&amp;MID(L303,6,1),"x0x1x2x3x4x5x6x7x8x9"))),OR(7&gt;LEN(L303),MID(L303,7,1)=".",ISNUMBER(FIND("x"&amp;MID(L303,7,1),"x0x1x2x3x4x5x6x7x8x9"))),OR(8&gt;LEN(L303),MID(L303,8,1)=".",ISNUMBER(FIND("x"&amp;MID(L303,8,1),"x0x1x2x3x4x5x6x7x8x9"))),OR(9&gt;LEN(L303),MID(L303,9,1)=".",ISNUMBER(FIND("x"&amp;MID(L303,9,1),"x0x1x2x3x4x5x6x7x8x9"))),OR(10&gt;LEN(L303),MID(L303,10,1)=".",ISNUMBER(FIND("x"&amp;MID(L303,10,1),"x0x1x2x3x4x5x6x7x8x9"))),OR(AND(FIND(".",L303)=5,LEN(L303)-FIND(".",L303,FIND(".",L303)+1)&gt;=1,LEN(L303)-FIND(".",L303,FIND(".",L303)+1)&lt;=2),AND(LEN(L303)-FIND(".",L303,FIND(".",L303)+1)=4,FIND(".",L303)&gt;=2,FIND(".",L303)&lt;=3)),FIND(".",L303,FIND(".",L303)+1)-FIND(".",L303)&gt;=2,FIND(".",L303,FIND(".",L303)+1)-FIND(".",L303)&lt;=3,P303&gt;=2000,P303&lt;=2100,YEAR(S303)=P303,MONTH(S303)=Q303,DAY(S303)=R303),S303,0)),0)</ns0:f>
        <ns0:v>0</ns0:v>
      </ns0:c>
      <ns0:c r="U303" s="0" t="str">
        <ns0:f>IF(Bookings!C303="","Full day",Bookings!C303)</ns0:f>
        <ns0:v>Full day</ns0:v>
      </ns0:c>
      <ns0:c r="V303" s="0" t="str">
        <ns0:f>IF(Bookings!E303="","Full day",Bookings!E303)</ns0:f>
        <ns0:v>Full day</ns0:v>
      </ns0:c>
      <ns0:c r="W303" s="0">
        <ns0:f>IF(J303=0,0,J303+IF(U303="PM",1,0))</ns0:f>
        <ns0:v>0</ns0:v>
      </ns0:c>
      <ns0:c r="X303" s="0">
        <ns0:f>IF(T303=0,0,T303-IF(V303="PM",1,0))</ns0:f>
        <ns0:v>0</ns0:v>
      </ns0:c>
      <ns0:c r="Y303" s="0">
        <ns0:f>IF(J303=0,0,J303+IF(U303="AM",1,0))</ns0:f>
        <ns0:v>0</ns0:v>
      </ns0:c>
      <ns0:c r="Z303" s="0">
        <ns0:f>IF(T303=0,0,T303-IF(V303="AM",1,0))</ns0:f>
        <ns0:v>0</ns0:v>
      </ns0:c>
      <ns0:c r="AA303" s="0">
        <ns0:f>IFERROR(IF(AND(J303&gt;0,'_Engine'!C303&gt;0,MID('_Engine'!W303,WEEKDAY(J303,2),1)="W",COUNTIF(Settings!$F$18:$F$67,J303)=0),1,0),0)</ns0:f>
        <ns0:v>0</ns0:v>
      </ns0:c>
      <ns0:c r="AB303" s="0">
        <ns0:f>IFERROR(IF(AND(T303&gt;0,'_Engine'!C303&gt;0,MID('_Engine'!W303,WEEKDAY(T303,2),1)="W",COUNTIF(Settings!$F$18:$F$67,T303)=0),1,0),0)</ns0:f>
        <ns0:v>0</ns0:v>
      </ns0:c>
      <ns0:c r="AC303" s="0">
        <ns0:f>IF(AND(J303&gt;0,T303&gt;0,W303&lt;=X303),1,0)</ns0:f>
        <ns0:v>0</ns0:v>
      </ns0:c>
      <ns0:c r="AD303" s="0">
        <ns0:f>IF(AND(J303&gt;0,T303&gt;0,Y303&lt;=Z303),1,0)</ns0:f>
        <ns0:v>0</ns0:v>
      </ns0:c>
    </ns0:row>
    <ns0:row r="304">
      <ns0:c r="A304" s="0">
        <ns0:f>IFERROR(IF(ISNUMBER(Bookings!B304),"",TRIM(Bookings!B304&amp;"")),"")</ns0:f>
      </ns0:c>
      <ns0:c r="B304" s="0">
        <ns0:f>IFERROR(SUBSTITUTE(SUBSTITUTE(A304,"/","."),"-","."),"")</ns0:f>
      </ns0:c>
      <ns0:c r="C304" s="0">
        <ns0:f>IFERROR(LEFT(B304,FIND(".",B304)-1),"")</ns0:f>
      </ns0:c>
      <ns0:c r="D304" s="0">
        <ns0:f>IFERROR(MID(B304,FIND(".",B304)+1,FIND(".",B304,FIND(".",B304)+1)-FIND(".",B304)-1),"")</ns0:f>
      </ns0:c>
      <ns0:c r="E304" s="0">
        <ns0:f>IFERROR(MID(B304,FIND(".",B304,FIND(".",B304)+1)+1,99),"")</ns0:f>
        <ns0:v>99</ns0:v>
      </ns0:c>
      <ns0:c r="F304" s="0">
        <ns0:f>IFERROR(IF(FIND(".",B304)=5,--C304,--E304),0)</ns0:f>
        <ns0:v>0</ns0:v>
      </ns0:c>
      <ns0:c r="G304" s="0">
        <ns0:f>IFERROR(--D304,0)</ns0:f>
        <ns0:v>0</ns0:v>
      </ns0:c>
      <ns0:c r="H304" s="0">
        <ns0:f>IFERROR(IF(FIND(".",B304)=5,--E304,--C304),0)</ns0:f>
        <ns0:v>0</ns0:v>
      </ns0:c>
      <ns0:c r="I304" s="0">
        <ns0:f>IFERROR(IF(AND(F304&gt;=2000,F304&lt;=2100,G304&gt;=1,G304&lt;=12,H304&gt;=1,H304&lt;=31),DATE(F304,G304,H304),0),0)</ns0:f>
        <ns0:v>0</ns0:v>
      </ns0:c>
      <ns0:c r="J304" s="0">
        <ns0:f>IFERROR(IF(ISNUMBER(Bookings!B304),IF(AND(Bookings!B304=INT(Bookings!B304),Bookings!B304&gt;=DATE(2000,1,1),Bookings!B304&lt;=DATE(2100,12,31)),Bookings!B304,0),IF(AND(A304&lt;&gt;"",LEN("x"&amp;B304)-LEN(SUBSTITUTE("x"&amp;B304,".",""))=2,OR(1&gt;LEN(B304),MID(B304,1,1)=".",ISNUMBER(FIND("x"&amp;MID(B304,1,1),"x0x1x2x3x4x5x6x7x8x9"))),OR(2&gt;LEN(B304),MID(B304,2,1)=".",ISNUMBER(FIND("x"&amp;MID(B304,2,1),"x0x1x2x3x4x5x6x7x8x9"))),OR(3&gt;LEN(B304),MID(B304,3,1)=".",ISNUMBER(FIND("x"&amp;MID(B304,3,1),"x0x1x2x3x4x5x6x7x8x9"))),OR(4&gt;LEN(B304),MID(B304,4,1)=".",ISNUMBER(FIND("x"&amp;MID(B304,4,1),"x0x1x2x3x4x5x6x7x8x9"))),OR(5&gt;LEN(B304),MID(B304,5,1)=".",ISNUMBER(FIND("x"&amp;MID(B304,5,1),"x0x1x2x3x4x5x6x7x8x9"))),OR(6&gt;LEN(B304),MID(B304,6,1)=".",ISNUMBER(FIND("x"&amp;MID(B304,6,1),"x0x1x2x3x4x5x6x7x8x9"))),OR(7&gt;LEN(B304),MID(B304,7,1)=".",ISNUMBER(FIND("x"&amp;MID(B304,7,1),"x0x1x2x3x4x5x6x7x8x9"))),OR(8&gt;LEN(B304),MID(B304,8,1)=".",ISNUMBER(FIND("x"&amp;MID(B304,8,1),"x0x1x2x3x4x5x6x7x8x9"))),OR(9&gt;LEN(B304),MID(B304,9,1)=".",ISNUMBER(FIND("x"&amp;MID(B304,9,1),"x0x1x2x3x4x5x6x7x8x9"))),OR(10&gt;LEN(B304),MID(B304,10,1)=".",ISNUMBER(FIND("x"&amp;MID(B304,10,1),"x0x1x2x3x4x5x6x7x8x9"))),OR(AND(FIND(".",B304)=5,LEN(B304)-FIND(".",B304,FIND(".",B304)+1)&gt;=1,LEN(B304)-FIND(".",B304,FIND(".",B304)+1)&lt;=2),AND(LEN(B304)-FIND(".",B304,FIND(".",B304)+1)=4,FIND(".",B304)&gt;=2,FIND(".",B304)&lt;=3)),FIND(".",B304,FIND(".",B304)+1)-FIND(".",B304)&gt;=2,FIND(".",B304,FIND(".",B304)+1)-FIND(".",B304)&lt;=3,F304&gt;=2000,F304&lt;=2100,YEAR(I304)=F304,MONTH(I304)=G304,DAY(I304)=H304),I304,0)),0)</ns0:f>
        <ns0:v>0</ns0:v>
      </ns0:c>
      <ns0:c r="K304" s="0">
        <ns0:f>IFERROR(IF(ISNUMBER(Bookings!D304),"",TRIM(Bookings!D304&amp;"")),"")</ns0:f>
      </ns0:c>
      <ns0:c r="L304" s="0">
        <ns0:f>IFERROR(SUBSTITUTE(SUBSTITUTE(K304,"/","."),"-","."),"")</ns0:f>
      </ns0:c>
      <ns0:c r="M304" s="0">
        <ns0:f>IFERROR(LEFT(L304,FIND(".",L304)-1),"")</ns0:f>
      </ns0:c>
      <ns0:c r="N304" s="0">
        <ns0:f>IFERROR(MID(L304,FIND(".",L304)+1,FIND(".",L304,FIND(".",L304)+1)-FIND(".",L304)-1),"")</ns0:f>
      </ns0:c>
      <ns0:c r="O304" s="0">
        <ns0:f>IFERROR(MID(L304,FIND(".",L304,FIND(".",L304)+1)+1,99),"")</ns0:f>
        <ns0:v>99</ns0:v>
      </ns0:c>
      <ns0:c r="P304" s="0">
        <ns0:f>IFERROR(IF(FIND(".",L304)=5,--M304,--O304),0)</ns0:f>
        <ns0:v>0</ns0:v>
      </ns0:c>
      <ns0:c r="Q304" s="0">
        <ns0:f>IFERROR(--N304,0)</ns0:f>
        <ns0:v>0</ns0:v>
      </ns0:c>
      <ns0:c r="R304" s="0">
        <ns0:f>IFERROR(IF(FIND(".",L304)=5,--O304,--M304),0)</ns0:f>
        <ns0:v>0</ns0:v>
      </ns0:c>
      <ns0:c r="S304" s="0">
        <ns0:f>IFERROR(IF(AND(P304&gt;=2000,P304&lt;=2100,Q304&gt;=1,Q304&lt;=12,R304&gt;=1,R304&lt;=31),DATE(P304,Q304,R304),0),0)</ns0:f>
        <ns0:v>0</ns0:v>
      </ns0:c>
      <ns0:c r="T304" s="0">
        <ns0:f>IFERROR(IF(ISNUMBER(Bookings!D304),IF(AND(Bookings!D304=INT(Bookings!D304),Bookings!D304&gt;=DATE(2000,1,1),Bookings!D304&lt;=DATE(2100,12,31)),Bookings!D304,0),IF(AND(K304&lt;&gt;"",LEN("x"&amp;L304)-LEN(SUBSTITUTE("x"&amp;L304,".",""))=2,OR(1&gt;LEN(L304),MID(L304,1,1)=".",ISNUMBER(FIND("x"&amp;MID(L304,1,1),"x0x1x2x3x4x5x6x7x8x9"))),OR(2&gt;LEN(L304),MID(L304,2,1)=".",ISNUMBER(FIND("x"&amp;MID(L304,2,1),"x0x1x2x3x4x5x6x7x8x9"))),OR(3&gt;LEN(L304),MID(L304,3,1)=".",ISNUMBER(FIND("x"&amp;MID(L304,3,1),"x0x1x2x3x4x5x6x7x8x9"))),OR(4&gt;LEN(L304),MID(L304,4,1)=".",ISNUMBER(FIND("x"&amp;MID(L304,4,1),"x0x1x2x3x4x5x6x7x8x9"))),OR(5&gt;LEN(L304),MID(L304,5,1)=".",ISNUMBER(FIND("x"&amp;MID(L304,5,1),"x0x1x2x3x4x5x6x7x8x9"))),OR(6&gt;LEN(L304),MID(L304,6,1)=".",ISNUMBER(FIND("x"&amp;MID(L304,6,1),"x0x1x2x3x4x5x6x7x8x9"))),OR(7&gt;LEN(L304),MID(L304,7,1)=".",ISNUMBER(FIND("x"&amp;MID(L304,7,1),"x0x1x2x3x4x5x6x7x8x9"))),OR(8&gt;LEN(L304),MID(L304,8,1)=".",ISNUMBER(FIND("x"&amp;MID(L304,8,1),"x0x1x2x3x4x5x6x7x8x9"))),OR(9&gt;LEN(L304),MID(L304,9,1)=".",ISNUMBER(FIND("x"&amp;MID(L304,9,1),"x0x1x2x3x4x5x6x7x8x9"))),OR(10&gt;LEN(L304),MID(L304,10,1)=".",ISNUMBER(FIND("x"&amp;MID(L304,10,1),"x0x1x2x3x4x5x6x7x8x9"))),OR(AND(FIND(".",L304)=5,LEN(L304)-FIND(".",L304,FIND(".",L304)+1)&gt;=1,LEN(L304)-FIND(".",L304,FIND(".",L304)+1)&lt;=2),AND(LEN(L304)-FIND(".",L304,FIND(".",L304)+1)=4,FIND(".",L304)&gt;=2,FIND(".",L304)&lt;=3)),FIND(".",L304,FIND(".",L304)+1)-FIND(".",L304)&gt;=2,FIND(".",L304,FIND(".",L304)+1)-FIND(".",L304)&lt;=3,P304&gt;=2000,P304&lt;=2100,YEAR(S304)=P304,MONTH(S304)=Q304,DAY(S304)=R304),S304,0)),0)</ns0:f>
        <ns0:v>0</ns0:v>
      </ns0:c>
      <ns0:c r="U304" s="0" t="str">
        <ns0:f>IF(Bookings!C304="","Full day",Bookings!C304)</ns0:f>
        <ns0:v>Full day</ns0:v>
      </ns0:c>
      <ns0:c r="V304" s="0" t="str">
        <ns0:f>IF(Bookings!E304="","Full day",Bookings!E304)</ns0:f>
        <ns0:v>Full day</ns0:v>
      </ns0:c>
      <ns0:c r="W304" s="0">
        <ns0:f>IF(J304=0,0,J304+IF(U304="PM",1,0))</ns0:f>
        <ns0:v>0</ns0:v>
      </ns0:c>
      <ns0:c r="X304" s="0">
        <ns0:f>IF(T304=0,0,T304-IF(V304="PM",1,0))</ns0:f>
        <ns0:v>0</ns0:v>
      </ns0:c>
      <ns0:c r="Y304" s="0">
        <ns0:f>IF(J304=0,0,J304+IF(U304="AM",1,0))</ns0:f>
        <ns0:v>0</ns0:v>
      </ns0:c>
      <ns0:c r="Z304" s="0">
        <ns0:f>IF(T304=0,0,T304-IF(V304="AM",1,0))</ns0:f>
        <ns0:v>0</ns0:v>
      </ns0:c>
      <ns0:c r="AA304" s="0">
        <ns0:f>IFERROR(IF(AND(J304&gt;0,'_Engine'!C304&gt;0,MID('_Engine'!W304,WEEKDAY(J304,2),1)="W",COUNTIF(Settings!$F$18:$F$67,J304)=0),1,0),0)</ns0:f>
        <ns0:v>0</ns0:v>
      </ns0:c>
      <ns0:c r="AB304" s="0">
        <ns0:f>IFERROR(IF(AND(T304&gt;0,'_Engine'!C304&gt;0,MID('_Engine'!W304,WEEKDAY(T304,2),1)="W",COUNTIF(Settings!$F$18:$F$67,T304)=0),1,0),0)</ns0:f>
        <ns0:v>0</ns0:v>
      </ns0:c>
      <ns0:c r="AC304" s="0">
        <ns0:f>IF(AND(J304&gt;0,T304&gt;0,W304&lt;=X304),1,0)</ns0:f>
        <ns0:v>0</ns0:v>
      </ns0:c>
      <ns0:c r="AD304" s="0">
        <ns0:f>IF(AND(J304&gt;0,T304&gt;0,Y304&lt;=Z304),1,0)</ns0:f>
        <ns0:v>0</ns0:v>
      </ns0:c>
    </ns0:row>
    <ns0:row r="305">
      <ns0:c r="A305" s="0">
        <ns0:f>IFERROR(IF(ISNUMBER(Bookings!B305),"",TRIM(Bookings!B305&amp;"")),"")</ns0:f>
      </ns0:c>
      <ns0:c r="B305" s="0">
        <ns0:f>IFERROR(SUBSTITUTE(SUBSTITUTE(A305,"/","."),"-","."),"")</ns0:f>
      </ns0:c>
      <ns0:c r="C305" s="0">
        <ns0:f>IFERROR(LEFT(B305,FIND(".",B305)-1),"")</ns0:f>
      </ns0:c>
      <ns0:c r="D305" s="0">
        <ns0:f>IFERROR(MID(B305,FIND(".",B305)+1,FIND(".",B305,FIND(".",B305)+1)-FIND(".",B305)-1),"")</ns0:f>
      </ns0:c>
      <ns0:c r="E305" s="0">
        <ns0:f>IFERROR(MID(B305,FIND(".",B305,FIND(".",B305)+1)+1,99),"")</ns0:f>
        <ns0:v>99</ns0:v>
      </ns0:c>
      <ns0:c r="F305" s="0">
        <ns0:f>IFERROR(IF(FIND(".",B305)=5,--C305,--E305),0)</ns0:f>
        <ns0:v>0</ns0:v>
      </ns0:c>
      <ns0:c r="G305" s="0">
        <ns0:f>IFERROR(--D305,0)</ns0:f>
        <ns0:v>0</ns0:v>
      </ns0:c>
      <ns0:c r="H305" s="0">
        <ns0:f>IFERROR(IF(FIND(".",B305)=5,--E305,--C305),0)</ns0:f>
        <ns0:v>0</ns0:v>
      </ns0:c>
      <ns0:c r="I305" s="0">
        <ns0:f>IFERROR(IF(AND(F305&gt;=2000,F305&lt;=2100,G305&gt;=1,G305&lt;=12,H305&gt;=1,H305&lt;=31),DATE(F305,G305,H305),0),0)</ns0:f>
        <ns0:v>0</ns0:v>
      </ns0:c>
      <ns0:c r="J305" s="0">
        <ns0:f>IFERROR(IF(ISNUMBER(Bookings!B305),IF(AND(Bookings!B305=INT(Bookings!B305),Bookings!B305&gt;=DATE(2000,1,1),Bookings!B305&lt;=DATE(2100,12,31)),Bookings!B305,0),IF(AND(A305&lt;&gt;"",LEN("x"&amp;B305)-LEN(SUBSTITUTE("x"&amp;B305,".",""))=2,OR(1&gt;LEN(B305),MID(B305,1,1)=".",ISNUMBER(FIND("x"&amp;MID(B305,1,1),"x0x1x2x3x4x5x6x7x8x9"))),OR(2&gt;LEN(B305),MID(B305,2,1)=".",ISNUMBER(FIND("x"&amp;MID(B305,2,1),"x0x1x2x3x4x5x6x7x8x9"))),OR(3&gt;LEN(B305),MID(B305,3,1)=".",ISNUMBER(FIND("x"&amp;MID(B305,3,1),"x0x1x2x3x4x5x6x7x8x9"))),OR(4&gt;LEN(B305),MID(B305,4,1)=".",ISNUMBER(FIND("x"&amp;MID(B305,4,1),"x0x1x2x3x4x5x6x7x8x9"))),OR(5&gt;LEN(B305),MID(B305,5,1)=".",ISNUMBER(FIND("x"&amp;MID(B305,5,1),"x0x1x2x3x4x5x6x7x8x9"))),OR(6&gt;LEN(B305),MID(B305,6,1)=".",ISNUMBER(FIND("x"&amp;MID(B305,6,1),"x0x1x2x3x4x5x6x7x8x9"))),OR(7&gt;LEN(B305),MID(B305,7,1)=".",ISNUMBER(FIND("x"&amp;MID(B305,7,1),"x0x1x2x3x4x5x6x7x8x9"))),OR(8&gt;LEN(B305),MID(B305,8,1)=".",ISNUMBER(FIND("x"&amp;MID(B305,8,1),"x0x1x2x3x4x5x6x7x8x9"))),OR(9&gt;LEN(B305),MID(B305,9,1)=".",ISNUMBER(FIND("x"&amp;MID(B305,9,1),"x0x1x2x3x4x5x6x7x8x9"))),OR(10&gt;LEN(B305),MID(B305,10,1)=".",ISNUMBER(FIND("x"&amp;MID(B305,10,1),"x0x1x2x3x4x5x6x7x8x9"))),OR(AND(FIND(".",B305)=5,LEN(B305)-FIND(".",B305,FIND(".",B305)+1)&gt;=1,LEN(B305)-FIND(".",B305,FIND(".",B305)+1)&lt;=2),AND(LEN(B305)-FIND(".",B305,FIND(".",B305)+1)=4,FIND(".",B305)&gt;=2,FIND(".",B305)&lt;=3)),FIND(".",B305,FIND(".",B305)+1)-FIND(".",B305)&gt;=2,FIND(".",B305,FIND(".",B305)+1)-FIND(".",B305)&lt;=3,F305&gt;=2000,F305&lt;=2100,YEAR(I305)=F305,MONTH(I305)=G305,DAY(I305)=H305),I305,0)),0)</ns0:f>
        <ns0:v>0</ns0:v>
      </ns0:c>
      <ns0:c r="K305" s="0">
        <ns0:f>IFERROR(IF(ISNUMBER(Bookings!D305),"",TRIM(Bookings!D305&amp;"")),"")</ns0:f>
      </ns0:c>
      <ns0:c r="L305" s="0">
        <ns0:f>IFERROR(SUBSTITUTE(SUBSTITUTE(K305,"/","."),"-","."),"")</ns0:f>
      </ns0:c>
      <ns0:c r="M305" s="0">
        <ns0:f>IFERROR(LEFT(L305,FIND(".",L305)-1),"")</ns0:f>
      </ns0:c>
      <ns0:c r="N305" s="0">
        <ns0:f>IFERROR(MID(L305,FIND(".",L305)+1,FIND(".",L305,FIND(".",L305)+1)-FIND(".",L305)-1),"")</ns0:f>
      </ns0:c>
      <ns0:c r="O305" s="0">
        <ns0:f>IFERROR(MID(L305,FIND(".",L305,FIND(".",L305)+1)+1,99),"")</ns0:f>
        <ns0:v>99</ns0:v>
      </ns0:c>
      <ns0:c r="P305" s="0">
        <ns0:f>IFERROR(IF(FIND(".",L305)=5,--M305,--O305),0)</ns0:f>
        <ns0:v>0</ns0:v>
      </ns0:c>
      <ns0:c r="Q305" s="0">
        <ns0:f>IFERROR(--N305,0)</ns0:f>
        <ns0:v>0</ns0:v>
      </ns0:c>
      <ns0:c r="R305" s="0">
        <ns0:f>IFERROR(IF(FIND(".",L305)=5,--O305,--M305),0)</ns0:f>
        <ns0:v>0</ns0:v>
      </ns0:c>
      <ns0:c r="S305" s="0">
        <ns0:f>IFERROR(IF(AND(P305&gt;=2000,P305&lt;=2100,Q305&gt;=1,Q305&lt;=12,R305&gt;=1,R305&lt;=31),DATE(P305,Q305,R305),0),0)</ns0:f>
        <ns0:v>0</ns0:v>
      </ns0:c>
      <ns0:c r="T305" s="0">
        <ns0:f>IFERROR(IF(ISNUMBER(Bookings!D305),IF(AND(Bookings!D305=INT(Bookings!D305),Bookings!D305&gt;=DATE(2000,1,1),Bookings!D305&lt;=DATE(2100,12,31)),Bookings!D305,0),IF(AND(K305&lt;&gt;"",LEN("x"&amp;L305)-LEN(SUBSTITUTE("x"&amp;L305,".",""))=2,OR(1&gt;LEN(L305),MID(L305,1,1)=".",ISNUMBER(FIND("x"&amp;MID(L305,1,1),"x0x1x2x3x4x5x6x7x8x9"))),OR(2&gt;LEN(L305),MID(L305,2,1)=".",ISNUMBER(FIND("x"&amp;MID(L305,2,1),"x0x1x2x3x4x5x6x7x8x9"))),OR(3&gt;LEN(L305),MID(L305,3,1)=".",ISNUMBER(FIND("x"&amp;MID(L305,3,1),"x0x1x2x3x4x5x6x7x8x9"))),OR(4&gt;LEN(L305),MID(L305,4,1)=".",ISNUMBER(FIND("x"&amp;MID(L305,4,1),"x0x1x2x3x4x5x6x7x8x9"))),OR(5&gt;LEN(L305),MID(L305,5,1)=".",ISNUMBER(FIND("x"&amp;MID(L305,5,1),"x0x1x2x3x4x5x6x7x8x9"))),OR(6&gt;LEN(L305),MID(L305,6,1)=".",ISNUMBER(FIND("x"&amp;MID(L305,6,1),"x0x1x2x3x4x5x6x7x8x9"))),OR(7&gt;LEN(L305),MID(L305,7,1)=".",ISNUMBER(FIND("x"&amp;MID(L305,7,1),"x0x1x2x3x4x5x6x7x8x9"))),OR(8&gt;LEN(L305),MID(L305,8,1)=".",ISNUMBER(FIND("x"&amp;MID(L305,8,1),"x0x1x2x3x4x5x6x7x8x9"))),OR(9&gt;LEN(L305),MID(L305,9,1)=".",ISNUMBER(FIND("x"&amp;MID(L305,9,1),"x0x1x2x3x4x5x6x7x8x9"))),OR(10&gt;LEN(L305),MID(L305,10,1)=".",ISNUMBER(FIND("x"&amp;MID(L305,10,1),"x0x1x2x3x4x5x6x7x8x9"))),OR(AND(FIND(".",L305)=5,LEN(L305)-FIND(".",L305,FIND(".",L305)+1)&gt;=1,LEN(L305)-FIND(".",L305,FIND(".",L305)+1)&lt;=2),AND(LEN(L305)-FIND(".",L305,FIND(".",L305)+1)=4,FIND(".",L305)&gt;=2,FIND(".",L305)&lt;=3)),FIND(".",L305,FIND(".",L305)+1)-FIND(".",L305)&gt;=2,FIND(".",L305,FIND(".",L305)+1)-FIND(".",L305)&lt;=3,P305&gt;=2000,P305&lt;=2100,YEAR(S305)=P305,MONTH(S305)=Q305,DAY(S305)=R305),S305,0)),0)</ns0:f>
        <ns0:v>0</ns0:v>
      </ns0:c>
      <ns0:c r="U305" s="0" t="str">
        <ns0:f>IF(Bookings!C305="","Full day",Bookings!C305)</ns0:f>
        <ns0:v>Full day</ns0:v>
      </ns0:c>
      <ns0:c r="V305" s="0" t="str">
        <ns0:f>IF(Bookings!E305="","Full day",Bookings!E305)</ns0:f>
        <ns0:v>Full day</ns0:v>
      </ns0:c>
      <ns0:c r="W305" s="0">
        <ns0:f>IF(J305=0,0,J305+IF(U305="PM",1,0))</ns0:f>
        <ns0:v>0</ns0:v>
      </ns0:c>
      <ns0:c r="X305" s="0">
        <ns0:f>IF(T305=0,0,T305-IF(V305="PM",1,0))</ns0:f>
        <ns0:v>0</ns0:v>
      </ns0:c>
      <ns0:c r="Y305" s="0">
        <ns0:f>IF(J305=0,0,J305+IF(U305="AM",1,0))</ns0:f>
        <ns0:v>0</ns0:v>
      </ns0:c>
      <ns0:c r="Z305" s="0">
        <ns0:f>IF(T305=0,0,T305-IF(V305="AM",1,0))</ns0:f>
        <ns0:v>0</ns0:v>
      </ns0:c>
      <ns0:c r="AA305" s="0">
        <ns0:f>IFERROR(IF(AND(J305&gt;0,'_Engine'!C305&gt;0,MID('_Engine'!W305,WEEKDAY(J305,2),1)="W",COUNTIF(Settings!$F$18:$F$67,J305)=0),1,0),0)</ns0:f>
        <ns0:v>0</ns0:v>
      </ns0:c>
      <ns0:c r="AB305" s="0">
        <ns0:f>IFERROR(IF(AND(T305&gt;0,'_Engine'!C305&gt;0,MID('_Engine'!W305,WEEKDAY(T305,2),1)="W",COUNTIF(Settings!$F$18:$F$67,T305)=0),1,0),0)</ns0:f>
        <ns0:v>0</ns0:v>
      </ns0:c>
      <ns0:c r="AC305" s="0">
        <ns0:f>IF(AND(J305&gt;0,T305&gt;0,W305&lt;=X305),1,0)</ns0:f>
        <ns0:v>0</ns0:v>
      </ns0:c>
      <ns0:c r="AD305" s="0">
        <ns0:f>IF(AND(J305&gt;0,T305&gt;0,Y305&lt;=Z305),1,0)</ns0:f>
        <ns0:v>0</ns0:v>
      </ns0:c>
    </ns0:row>
    <ns0:row r="306">
      <ns0:c r="A306" s="0">
        <ns0:f>IFERROR(IF(ISNUMBER(Bookings!B306),"",TRIM(Bookings!B306&amp;"")),"")</ns0:f>
      </ns0:c>
      <ns0:c r="B306" s="0">
        <ns0:f>IFERROR(SUBSTITUTE(SUBSTITUTE(A306,"/","."),"-","."),"")</ns0:f>
      </ns0:c>
      <ns0:c r="C306" s="0">
        <ns0:f>IFERROR(LEFT(B306,FIND(".",B306)-1),"")</ns0:f>
      </ns0:c>
      <ns0:c r="D306" s="0">
        <ns0:f>IFERROR(MID(B306,FIND(".",B306)+1,FIND(".",B306,FIND(".",B306)+1)-FIND(".",B306)-1),"")</ns0:f>
      </ns0:c>
      <ns0:c r="E306" s="0">
        <ns0:f>IFERROR(MID(B306,FIND(".",B306,FIND(".",B306)+1)+1,99),"")</ns0:f>
        <ns0:v>99</ns0:v>
      </ns0:c>
      <ns0:c r="F306" s="0">
        <ns0:f>IFERROR(IF(FIND(".",B306)=5,--C306,--E306),0)</ns0:f>
        <ns0:v>0</ns0:v>
      </ns0:c>
      <ns0:c r="G306" s="0">
        <ns0:f>IFERROR(--D306,0)</ns0:f>
        <ns0:v>0</ns0:v>
      </ns0:c>
      <ns0:c r="H306" s="0">
        <ns0:f>IFERROR(IF(FIND(".",B306)=5,--E306,--C306),0)</ns0:f>
        <ns0:v>0</ns0:v>
      </ns0:c>
      <ns0:c r="I306" s="0">
        <ns0:f>IFERROR(IF(AND(F306&gt;=2000,F306&lt;=2100,G306&gt;=1,G306&lt;=12,H306&gt;=1,H306&lt;=31),DATE(F306,G306,H306),0),0)</ns0:f>
        <ns0:v>0</ns0:v>
      </ns0:c>
      <ns0:c r="J306" s="0">
        <ns0:f>IFERROR(IF(ISNUMBER(Bookings!B306),IF(AND(Bookings!B306=INT(Bookings!B306),Bookings!B306&gt;=DATE(2000,1,1),Bookings!B306&lt;=DATE(2100,12,31)),Bookings!B306,0),IF(AND(A306&lt;&gt;"",LEN("x"&amp;B306)-LEN(SUBSTITUTE("x"&amp;B306,".",""))=2,OR(1&gt;LEN(B306),MID(B306,1,1)=".",ISNUMBER(FIND("x"&amp;MID(B306,1,1),"x0x1x2x3x4x5x6x7x8x9"))),OR(2&gt;LEN(B306),MID(B306,2,1)=".",ISNUMBER(FIND("x"&amp;MID(B306,2,1),"x0x1x2x3x4x5x6x7x8x9"))),OR(3&gt;LEN(B306),MID(B306,3,1)=".",ISNUMBER(FIND("x"&amp;MID(B306,3,1),"x0x1x2x3x4x5x6x7x8x9"))),OR(4&gt;LEN(B306),MID(B306,4,1)=".",ISNUMBER(FIND("x"&amp;MID(B306,4,1),"x0x1x2x3x4x5x6x7x8x9"))),OR(5&gt;LEN(B306),MID(B306,5,1)=".",ISNUMBER(FIND("x"&amp;MID(B306,5,1),"x0x1x2x3x4x5x6x7x8x9"))),OR(6&gt;LEN(B306),MID(B306,6,1)=".",ISNUMBER(FIND("x"&amp;MID(B306,6,1),"x0x1x2x3x4x5x6x7x8x9"))),OR(7&gt;LEN(B306),MID(B306,7,1)=".",ISNUMBER(FIND("x"&amp;MID(B306,7,1),"x0x1x2x3x4x5x6x7x8x9"))),OR(8&gt;LEN(B306),MID(B306,8,1)=".",ISNUMBER(FIND("x"&amp;MID(B306,8,1),"x0x1x2x3x4x5x6x7x8x9"))),OR(9&gt;LEN(B306),MID(B306,9,1)=".",ISNUMBER(FIND("x"&amp;MID(B306,9,1),"x0x1x2x3x4x5x6x7x8x9"))),OR(10&gt;LEN(B306),MID(B306,10,1)=".",ISNUMBER(FIND("x"&amp;MID(B306,10,1),"x0x1x2x3x4x5x6x7x8x9"))),OR(AND(FIND(".",B306)=5,LEN(B306)-FIND(".",B306,FIND(".",B306)+1)&gt;=1,LEN(B306)-FIND(".",B306,FIND(".",B306)+1)&lt;=2),AND(LEN(B306)-FIND(".",B306,FIND(".",B306)+1)=4,FIND(".",B306)&gt;=2,FIND(".",B306)&lt;=3)),FIND(".",B306,FIND(".",B306)+1)-FIND(".",B306)&gt;=2,FIND(".",B306,FIND(".",B306)+1)-FIND(".",B306)&lt;=3,F306&gt;=2000,F306&lt;=2100,YEAR(I306)=F306,MONTH(I306)=G306,DAY(I306)=H306),I306,0)),0)</ns0:f>
        <ns0:v>0</ns0:v>
      </ns0:c>
      <ns0:c r="K306" s="0">
        <ns0:f>IFERROR(IF(ISNUMBER(Bookings!D306),"",TRIM(Bookings!D306&amp;"")),"")</ns0:f>
      </ns0:c>
      <ns0:c r="L306" s="0">
        <ns0:f>IFERROR(SUBSTITUTE(SUBSTITUTE(K306,"/","."),"-","."),"")</ns0:f>
      </ns0:c>
      <ns0:c r="M306" s="0">
        <ns0:f>IFERROR(LEFT(L306,FIND(".",L306)-1),"")</ns0:f>
      </ns0:c>
      <ns0:c r="N306" s="0">
        <ns0:f>IFERROR(MID(L306,FIND(".",L306)+1,FIND(".",L306,FIND(".",L306)+1)-FIND(".",L306)-1),"")</ns0:f>
      </ns0:c>
      <ns0:c r="O306" s="0">
        <ns0:f>IFERROR(MID(L306,FIND(".",L306,FIND(".",L306)+1)+1,99),"")</ns0:f>
        <ns0:v>99</ns0:v>
      </ns0:c>
      <ns0:c r="P306" s="0">
        <ns0:f>IFERROR(IF(FIND(".",L306)=5,--M306,--O306),0)</ns0:f>
        <ns0:v>0</ns0:v>
      </ns0:c>
      <ns0:c r="Q306" s="0">
        <ns0:f>IFERROR(--N306,0)</ns0:f>
        <ns0:v>0</ns0:v>
      </ns0:c>
      <ns0:c r="R306" s="0">
        <ns0:f>IFERROR(IF(FIND(".",L306)=5,--O306,--M306),0)</ns0:f>
        <ns0:v>0</ns0:v>
      </ns0:c>
      <ns0:c r="S306" s="0">
        <ns0:f>IFERROR(IF(AND(P306&gt;=2000,P306&lt;=2100,Q306&gt;=1,Q306&lt;=12,R306&gt;=1,R306&lt;=31),DATE(P306,Q306,R306),0),0)</ns0:f>
        <ns0:v>0</ns0:v>
      </ns0:c>
      <ns0:c r="T306" s="0">
        <ns0:f>IFERROR(IF(ISNUMBER(Bookings!D306),IF(AND(Bookings!D306=INT(Bookings!D306),Bookings!D306&gt;=DATE(2000,1,1),Bookings!D306&lt;=DATE(2100,12,31)),Bookings!D306,0),IF(AND(K306&lt;&gt;"",LEN("x"&amp;L306)-LEN(SUBSTITUTE("x"&amp;L306,".",""))=2,OR(1&gt;LEN(L306),MID(L306,1,1)=".",ISNUMBER(FIND("x"&amp;MID(L306,1,1),"x0x1x2x3x4x5x6x7x8x9"))),OR(2&gt;LEN(L306),MID(L306,2,1)=".",ISNUMBER(FIND("x"&amp;MID(L306,2,1),"x0x1x2x3x4x5x6x7x8x9"))),OR(3&gt;LEN(L306),MID(L306,3,1)=".",ISNUMBER(FIND("x"&amp;MID(L306,3,1),"x0x1x2x3x4x5x6x7x8x9"))),OR(4&gt;LEN(L306),MID(L306,4,1)=".",ISNUMBER(FIND("x"&amp;MID(L306,4,1),"x0x1x2x3x4x5x6x7x8x9"))),OR(5&gt;LEN(L306),MID(L306,5,1)=".",ISNUMBER(FIND("x"&amp;MID(L306,5,1),"x0x1x2x3x4x5x6x7x8x9"))),OR(6&gt;LEN(L306),MID(L306,6,1)=".",ISNUMBER(FIND("x"&amp;MID(L306,6,1),"x0x1x2x3x4x5x6x7x8x9"))),OR(7&gt;LEN(L306),MID(L306,7,1)=".",ISNUMBER(FIND("x"&amp;MID(L306,7,1),"x0x1x2x3x4x5x6x7x8x9"))),OR(8&gt;LEN(L306),MID(L306,8,1)=".",ISNUMBER(FIND("x"&amp;MID(L306,8,1),"x0x1x2x3x4x5x6x7x8x9"))),OR(9&gt;LEN(L306),MID(L306,9,1)=".",ISNUMBER(FIND("x"&amp;MID(L306,9,1),"x0x1x2x3x4x5x6x7x8x9"))),OR(10&gt;LEN(L306),MID(L306,10,1)=".",ISNUMBER(FIND("x"&amp;MID(L306,10,1),"x0x1x2x3x4x5x6x7x8x9"))),OR(AND(FIND(".",L306)=5,LEN(L306)-FIND(".",L306,FIND(".",L306)+1)&gt;=1,LEN(L306)-FIND(".",L306,FIND(".",L306)+1)&lt;=2),AND(LEN(L306)-FIND(".",L306,FIND(".",L306)+1)=4,FIND(".",L306)&gt;=2,FIND(".",L306)&lt;=3)),FIND(".",L306,FIND(".",L306)+1)-FIND(".",L306)&gt;=2,FIND(".",L306,FIND(".",L306)+1)-FIND(".",L306)&lt;=3,P306&gt;=2000,P306&lt;=2100,YEAR(S306)=P306,MONTH(S306)=Q306,DAY(S306)=R306),S306,0)),0)</ns0:f>
        <ns0:v>0</ns0:v>
      </ns0:c>
      <ns0:c r="U306" s="0" t="str">
        <ns0:f>IF(Bookings!C306="","Full day",Bookings!C306)</ns0:f>
        <ns0:v>Full day</ns0:v>
      </ns0:c>
      <ns0:c r="V306" s="0" t="str">
        <ns0:f>IF(Bookings!E306="","Full day",Bookings!E306)</ns0:f>
        <ns0:v>Full day</ns0:v>
      </ns0:c>
      <ns0:c r="W306" s="0">
        <ns0:f>IF(J306=0,0,J306+IF(U306="PM",1,0))</ns0:f>
        <ns0:v>0</ns0:v>
      </ns0:c>
      <ns0:c r="X306" s="0">
        <ns0:f>IF(T306=0,0,T306-IF(V306="PM",1,0))</ns0:f>
        <ns0:v>0</ns0:v>
      </ns0:c>
      <ns0:c r="Y306" s="0">
        <ns0:f>IF(J306=0,0,J306+IF(U306="AM",1,0))</ns0:f>
        <ns0:v>0</ns0:v>
      </ns0:c>
      <ns0:c r="Z306" s="0">
        <ns0:f>IF(T306=0,0,T306-IF(V306="AM",1,0))</ns0:f>
        <ns0:v>0</ns0:v>
      </ns0:c>
      <ns0:c r="AA306" s="0">
        <ns0:f>IFERROR(IF(AND(J306&gt;0,'_Engine'!C306&gt;0,MID('_Engine'!W306,WEEKDAY(J306,2),1)="W",COUNTIF(Settings!$F$18:$F$67,J306)=0),1,0),0)</ns0:f>
        <ns0:v>0</ns0:v>
      </ns0:c>
      <ns0:c r="AB306" s="0">
        <ns0:f>IFERROR(IF(AND(T306&gt;0,'_Engine'!C306&gt;0,MID('_Engine'!W306,WEEKDAY(T306,2),1)="W",COUNTIF(Settings!$F$18:$F$67,T306)=0),1,0),0)</ns0:f>
        <ns0:v>0</ns0:v>
      </ns0:c>
      <ns0:c r="AC306" s="0">
        <ns0:f>IF(AND(J306&gt;0,T306&gt;0,W306&lt;=X306),1,0)</ns0:f>
        <ns0:v>0</ns0:v>
      </ns0:c>
      <ns0:c r="AD306" s="0">
        <ns0:f>IF(AND(J306&gt;0,T306&gt;0,Y306&lt;=Z306),1,0)</ns0:f>
        <ns0:v>0</ns0:v>
      </ns0:c>
    </ns0:row>
    <ns0:row r="307">
      <ns0:c r="A307" s="0">
        <ns0:f>IFERROR(IF(ISNUMBER(Bookings!B307),"",TRIM(Bookings!B307&amp;"")),"")</ns0:f>
      </ns0:c>
      <ns0:c r="B307" s="0">
        <ns0:f>IFERROR(SUBSTITUTE(SUBSTITUTE(A307,"/","."),"-","."),"")</ns0:f>
      </ns0:c>
      <ns0:c r="C307" s="0">
        <ns0:f>IFERROR(LEFT(B307,FIND(".",B307)-1),"")</ns0:f>
      </ns0:c>
      <ns0:c r="D307" s="0">
        <ns0:f>IFERROR(MID(B307,FIND(".",B307)+1,FIND(".",B307,FIND(".",B307)+1)-FIND(".",B307)-1),"")</ns0:f>
      </ns0:c>
      <ns0:c r="E307" s="0">
        <ns0:f>IFERROR(MID(B307,FIND(".",B307,FIND(".",B307)+1)+1,99),"")</ns0:f>
        <ns0:v>99</ns0:v>
      </ns0:c>
      <ns0:c r="F307" s="0">
        <ns0:f>IFERROR(IF(FIND(".",B307)=5,--C307,--E307),0)</ns0:f>
        <ns0:v>0</ns0:v>
      </ns0:c>
      <ns0:c r="G307" s="0">
        <ns0:f>IFERROR(--D307,0)</ns0:f>
        <ns0:v>0</ns0:v>
      </ns0:c>
      <ns0:c r="H307" s="0">
        <ns0:f>IFERROR(IF(FIND(".",B307)=5,--E307,--C307),0)</ns0:f>
        <ns0:v>0</ns0:v>
      </ns0:c>
      <ns0:c r="I307" s="0">
        <ns0:f>IFERROR(IF(AND(F307&gt;=2000,F307&lt;=2100,G307&gt;=1,G307&lt;=12,H307&gt;=1,H307&lt;=31),DATE(F307,G307,H307),0),0)</ns0:f>
        <ns0:v>0</ns0:v>
      </ns0:c>
      <ns0:c r="J307" s="0">
        <ns0:f>IFERROR(IF(ISNUMBER(Bookings!B307),IF(AND(Bookings!B307=INT(Bookings!B307),Bookings!B307&gt;=DATE(2000,1,1),Bookings!B307&lt;=DATE(2100,12,31)),Bookings!B307,0),IF(AND(A307&lt;&gt;"",LEN("x"&amp;B307)-LEN(SUBSTITUTE("x"&amp;B307,".",""))=2,OR(1&gt;LEN(B307),MID(B307,1,1)=".",ISNUMBER(FIND("x"&amp;MID(B307,1,1),"x0x1x2x3x4x5x6x7x8x9"))),OR(2&gt;LEN(B307),MID(B307,2,1)=".",ISNUMBER(FIND("x"&amp;MID(B307,2,1),"x0x1x2x3x4x5x6x7x8x9"))),OR(3&gt;LEN(B307),MID(B307,3,1)=".",ISNUMBER(FIND("x"&amp;MID(B307,3,1),"x0x1x2x3x4x5x6x7x8x9"))),OR(4&gt;LEN(B307),MID(B307,4,1)=".",ISNUMBER(FIND("x"&amp;MID(B307,4,1),"x0x1x2x3x4x5x6x7x8x9"))),OR(5&gt;LEN(B307),MID(B307,5,1)=".",ISNUMBER(FIND("x"&amp;MID(B307,5,1),"x0x1x2x3x4x5x6x7x8x9"))),OR(6&gt;LEN(B307),MID(B307,6,1)=".",ISNUMBER(FIND("x"&amp;MID(B307,6,1),"x0x1x2x3x4x5x6x7x8x9"))),OR(7&gt;LEN(B307),MID(B307,7,1)=".",ISNUMBER(FIND("x"&amp;MID(B307,7,1),"x0x1x2x3x4x5x6x7x8x9"))),OR(8&gt;LEN(B307),MID(B307,8,1)=".",ISNUMBER(FIND("x"&amp;MID(B307,8,1),"x0x1x2x3x4x5x6x7x8x9"))),OR(9&gt;LEN(B307),MID(B307,9,1)=".",ISNUMBER(FIND("x"&amp;MID(B307,9,1),"x0x1x2x3x4x5x6x7x8x9"))),OR(10&gt;LEN(B307),MID(B307,10,1)=".",ISNUMBER(FIND("x"&amp;MID(B307,10,1),"x0x1x2x3x4x5x6x7x8x9"))),OR(AND(FIND(".",B307)=5,LEN(B307)-FIND(".",B307,FIND(".",B307)+1)&gt;=1,LEN(B307)-FIND(".",B307,FIND(".",B307)+1)&lt;=2),AND(LEN(B307)-FIND(".",B307,FIND(".",B307)+1)=4,FIND(".",B307)&gt;=2,FIND(".",B307)&lt;=3)),FIND(".",B307,FIND(".",B307)+1)-FIND(".",B307)&gt;=2,FIND(".",B307,FIND(".",B307)+1)-FIND(".",B307)&lt;=3,F307&gt;=2000,F307&lt;=2100,YEAR(I307)=F307,MONTH(I307)=G307,DAY(I307)=H307),I307,0)),0)</ns0:f>
        <ns0:v>0</ns0:v>
      </ns0:c>
      <ns0:c r="K307" s="0">
        <ns0:f>IFERROR(IF(ISNUMBER(Bookings!D307),"",TRIM(Bookings!D307&amp;"")),"")</ns0:f>
      </ns0:c>
      <ns0:c r="L307" s="0">
        <ns0:f>IFERROR(SUBSTITUTE(SUBSTITUTE(K307,"/","."),"-","."),"")</ns0:f>
      </ns0:c>
      <ns0:c r="M307" s="0">
        <ns0:f>IFERROR(LEFT(L307,FIND(".",L307)-1),"")</ns0:f>
      </ns0:c>
      <ns0:c r="N307" s="0">
        <ns0:f>IFERROR(MID(L307,FIND(".",L307)+1,FIND(".",L307,FIND(".",L307)+1)-FIND(".",L307)-1),"")</ns0:f>
      </ns0:c>
      <ns0:c r="O307" s="0">
        <ns0:f>IFERROR(MID(L307,FIND(".",L307,FIND(".",L307)+1)+1,99),"")</ns0:f>
        <ns0:v>99</ns0:v>
      </ns0:c>
      <ns0:c r="P307" s="0">
        <ns0:f>IFERROR(IF(FIND(".",L307)=5,--M307,--O307),0)</ns0:f>
        <ns0:v>0</ns0:v>
      </ns0:c>
      <ns0:c r="Q307" s="0">
        <ns0:f>IFERROR(--N307,0)</ns0:f>
        <ns0:v>0</ns0:v>
      </ns0:c>
      <ns0:c r="R307" s="0">
        <ns0:f>IFERROR(IF(FIND(".",L307)=5,--O307,--M307),0)</ns0:f>
        <ns0:v>0</ns0:v>
      </ns0:c>
      <ns0:c r="S307" s="0">
        <ns0:f>IFERROR(IF(AND(P307&gt;=2000,P307&lt;=2100,Q307&gt;=1,Q307&lt;=12,R307&gt;=1,R307&lt;=31),DATE(P307,Q307,R307),0),0)</ns0:f>
        <ns0:v>0</ns0:v>
      </ns0:c>
      <ns0:c r="T307" s="0">
        <ns0:f>IFERROR(IF(ISNUMBER(Bookings!D307),IF(AND(Bookings!D307=INT(Bookings!D307),Bookings!D307&gt;=DATE(2000,1,1),Bookings!D307&lt;=DATE(2100,12,31)),Bookings!D307,0),IF(AND(K307&lt;&gt;"",LEN("x"&amp;L307)-LEN(SUBSTITUTE("x"&amp;L307,".",""))=2,OR(1&gt;LEN(L307),MID(L307,1,1)=".",ISNUMBER(FIND("x"&amp;MID(L307,1,1),"x0x1x2x3x4x5x6x7x8x9"))),OR(2&gt;LEN(L307),MID(L307,2,1)=".",ISNUMBER(FIND("x"&amp;MID(L307,2,1),"x0x1x2x3x4x5x6x7x8x9"))),OR(3&gt;LEN(L307),MID(L307,3,1)=".",ISNUMBER(FIND("x"&amp;MID(L307,3,1),"x0x1x2x3x4x5x6x7x8x9"))),OR(4&gt;LEN(L307),MID(L307,4,1)=".",ISNUMBER(FIND("x"&amp;MID(L307,4,1),"x0x1x2x3x4x5x6x7x8x9"))),OR(5&gt;LEN(L307),MID(L307,5,1)=".",ISNUMBER(FIND("x"&amp;MID(L307,5,1),"x0x1x2x3x4x5x6x7x8x9"))),OR(6&gt;LEN(L307),MID(L307,6,1)=".",ISNUMBER(FIND("x"&amp;MID(L307,6,1),"x0x1x2x3x4x5x6x7x8x9"))),OR(7&gt;LEN(L307),MID(L307,7,1)=".",ISNUMBER(FIND("x"&amp;MID(L307,7,1),"x0x1x2x3x4x5x6x7x8x9"))),OR(8&gt;LEN(L307),MID(L307,8,1)=".",ISNUMBER(FIND("x"&amp;MID(L307,8,1),"x0x1x2x3x4x5x6x7x8x9"))),OR(9&gt;LEN(L307),MID(L307,9,1)=".",ISNUMBER(FIND("x"&amp;MID(L307,9,1),"x0x1x2x3x4x5x6x7x8x9"))),OR(10&gt;LEN(L307),MID(L307,10,1)=".",ISNUMBER(FIND("x"&amp;MID(L307,10,1),"x0x1x2x3x4x5x6x7x8x9"))),OR(AND(FIND(".",L307)=5,LEN(L307)-FIND(".",L307,FIND(".",L307)+1)&gt;=1,LEN(L307)-FIND(".",L307,FIND(".",L307)+1)&lt;=2),AND(LEN(L307)-FIND(".",L307,FIND(".",L307)+1)=4,FIND(".",L307)&gt;=2,FIND(".",L307)&lt;=3)),FIND(".",L307,FIND(".",L307)+1)-FIND(".",L307)&gt;=2,FIND(".",L307,FIND(".",L307)+1)-FIND(".",L307)&lt;=3,P307&gt;=2000,P307&lt;=2100,YEAR(S307)=P307,MONTH(S307)=Q307,DAY(S307)=R307),S307,0)),0)</ns0:f>
        <ns0:v>0</ns0:v>
      </ns0:c>
      <ns0:c r="U307" s="0" t="str">
        <ns0:f>IF(Bookings!C307="","Full day",Bookings!C307)</ns0:f>
        <ns0:v>Full day</ns0:v>
      </ns0:c>
      <ns0:c r="V307" s="0" t="str">
        <ns0:f>IF(Bookings!E307="","Full day",Bookings!E307)</ns0:f>
        <ns0:v>Full day</ns0:v>
      </ns0:c>
      <ns0:c r="W307" s="0">
        <ns0:f>IF(J307=0,0,J307+IF(U307="PM",1,0))</ns0:f>
        <ns0:v>0</ns0:v>
      </ns0:c>
      <ns0:c r="X307" s="0">
        <ns0:f>IF(T307=0,0,T307-IF(V307="PM",1,0))</ns0:f>
        <ns0:v>0</ns0:v>
      </ns0:c>
      <ns0:c r="Y307" s="0">
        <ns0:f>IF(J307=0,0,J307+IF(U307="AM",1,0))</ns0:f>
        <ns0:v>0</ns0:v>
      </ns0:c>
      <ns0:c r="Z307" s="0">
        <ns0:f>IF(T307=0,0,T307-IF(V307="AM",1,0))</ns0:f>
        <ns0:v>0</ns0:v>
      </ns0:c>
      <ns0:c r="AA307" s="0">
        <ns0:f>IFERROR(IF(AND(J307&gt;0,'_Engine'!C307&gt;0,MID('_Engine'!W307,WEEKDAY(J307,2),1)="W",COUNTIF(Settings!$F$18:$F$67,J307)=0),1,0),0)</ns0:f>
        <ns0:v>0</ns0:v>
      </ns0:c>
      <ns0:c r="AB307" s="0">
        <ns0:f>IFERROR(IF(AND(T307&gt;0,'_Engine'!C307&gt;0,MID('_Engine'!W307,WEEKDAY(T307,2),1)="W",COUNTIF(Settings!$F$18:$F$67,T307)=0),1,0),0)</ns0:f>
        <ns0:v>0</ns0:v>
      </ns0:c>
      <ns0:c r="AC307" s="0">
        <ns0:f>IF(AND(J307&gt;0,T307&gt;0,W307&lt;=X307),1,0)</ns0:f>
        <ns0:v>0</ns0:v>
      </ns0:c>
      <ns0:c r="AD307" s="0">
        <ns0:f>IF(AND(J307&gt;0,T307&gt;0,Y307&lt;=Z307),1,0)</ns0:f>
        <ns0:v>0</ns0:v>
      </ns0:c>
    </ns0:row>
    <ns0:row r="308">
      <ns0:c r="A308" s="0">
        <ns0:f>IFERROR(IF(ISNUMBER(Bookings!B308),"",TRIM(Bookings!B308&amp;"")),"")</ns0:f>
      </ns0:c>
      <ns0:c r="B308" s="0">
        <ns0:f>IFERROR(SUBSTITUTE(SUBSTITUTE(A308,"/","."),"-","."),"")</ns0:f>
      </ns0:c>
      <ns0:c r="C308" s="0">
        <ns0:f>IFERROR(LEFT(B308,FIND(".",B308)-1),"")</ns0:f>
      </ns0:c>
      <ns0:c r="D308" s="0">
        <ns0:f>IFERROR(MID(B308,FIND(".",B308)+1,FIND(".",B308,FIND(".",B308)+1)-FIND(".",B308)-1),"")</ns0:f>
      </ns0:c>
      <ns0:c r="E308" s="0">
        <ns0:f>IFERROR(MID(B308,FIND(".",B308,FIND(".",B308)+1)+1,99),"")</ns0:f>
        <ns0:v>99</ns0:v>
      </ns0:c>
      <ns0:c r="F308" s="0">
        <ns0:f>IFERROR(IF(FIND(".",B308)=5,--C308,--E308),0)</ns0:f>
        <ns0:v>0</ns0:v>
      </ns0:c>
      <ns0:c r="G308" s="0">
        <ns0:f>IFERROR(--D308,0)</ns0:f>
        <ns0:v>0</ns0:v>
      </ns0:c>
      <ns0:c r="H308" s="0">
        <ns0:f>IFERROR(IF(FIND(".",B308)=5,--E308,--C308),0)</ns0:f>
        <ns0:v>0</ns0:v>
      </ns0:c>
      <ns0:c r="I308" s="0">
        <ns0:f>IFERROR(IF(AND(F308&gt;=2000,F308&lt;=2100,G308&gt;=1,G308&lt;=12,H308&gt;=1,H308&lt;=31),DATE(F308,G308,H308),0),0)</ns0:f>
        <ns0:v>0</ns0:v>
      </ns0:c>
      <ns0:c r="J308" s="0">
        <ns0:f>IFERROR(IF(ISNUMBER(Bookings!B308),IF(AND(Bookings!B308=INT(Bookings!B308),Bookings!B308&gt;=DATE(2000,1,1),Bookings!B308&lt;=DATE(2100,12,31)),Bookings!B308,0),IF(AND(A308&lt;&gt;"",LEN("x"&amp;B308)-LEN(SUBSTITUTE("x"&amp;B308,".",""))=2,OR(1&gt;LEN(B308),MID(B308,1,1)=".",ISNUMBER(FIND("x"&amp;MID(B308,1,1),"x0x1x2x3x4x5x6x7x8x9"))),OR(2&gt;LEN(B308),MID(B308,2,1)=".",ISNUMBER(FIND("x"&amp;MID(B308,2,1),"x0x1x2x3x4x5x6x7x8x9"))),OR(3&gt;LEN(B308),MID(B308,3,1)=".",ISNUMBER(FIND("x"&amp;MID(B308,3,1),"x0x1x2x3x4x5x6x7x8x9"))),OR(4&gt;LEN(B308),MID(B308,4,1)=".",ISNUMBER(FIND("x"&amp;MID(B308,4,1),"x0x1x2x3x4x5x6x7x8x9"))),OR(5&gt;LEN(B308),MID(B308,5,1)=".",ISNUMBER(FIND("x"&amp;MID(B308,5,1),"x0x1x2x3x4x5x6x7x8x9"))),OR(6&gt;LEN(B308),MID(B308,6,1)=".",ISNUMBER(FIND("x"&amp;MID(B308,6,1),"x0x1x2x3x4x5x6x7x8x9"))),OR(7&gt;LEN(B308),MID(B308,7,1)=".",ISNUMBER(FIND("x"&amp;MID(B308,7,1),"x0x1x2x3x4x5x6x7x8x9"))),OR(8&gt;LEN(B308),MID(B308,8,1)=".",ISNUMBER(FIND("x"&amp;MID(B308,8,1),"x0x1x2x3x4x5x6x7x8x9"))),OR(9&gt;LEN(B308),MID(B308,9,1)=".",ISNUMBER(FIND("x"&amp;MID(B308,9,1),"x0x1x2x3x4x5x6x7x8x9"))),OR(10&gt;LEN(B308),MID(B308,10,1)=".",ISNUMBER(FIND("x"&amp;MID(B308,10,1),"x0x1x2x3x4x5x6x7x8x9"))),OR(AND(FIND(".",B308)=5,LEN(B308)-FIND(".",B308,FIND(".",B308)+1)&gt;=1,LEN(B308)-FIND(".",B308,FIND(".",B308)+1)&lt;=2),AND(LEN(B308)-FIND(".",B308,FIND(".",B308)+1)=4,FIND(".",B308)&gt;=2,FIND(".",B308)&lt;=3)),FIND(".",B308,FIND(".",B308)+1)-FIND(".",B308)&gt;=2,FIND(".",B308,FIND(".",B308)+1)-FIND(".",B308)&lt;=3,F308&gt;=2000,F308&lt;=2100,YEAR(I308)=F308,MONTH(I308)=G308,DAY(I308)=H308),I308,0)),0)</ns0:f>
        <ns0:v>0</ns0:v>
      </ns0:c>
      <ns0:c r="K308" s="0">
        <ns0:f>IFERROR(IF(ISNUMBER(Bookings!D308),"",TRIM(Bookings!D308&amp;"")),"")</ns0:f>
      </ns0:c>
      <ns0:c r="L308" s="0">
        <ns0:f>IFERROR(SUBSTITUTE(SUBSTITUTE(K308,"/","."),"-","."),"")</ns0:f>
      </ns0:c>
      <ns0:c r="M308" s="0">
        <ns0:f>IFERROR(LEFT(L308,FIND(".",L308)-1),"")</ns0:f>
      </ns0:c>
      <ns0:c r="N308" s="0">
        <ns0:f>IFERROR(MID(L308,FIND(".",L308)+1,FIND(".",L308,FIND(".",L308)+1)-FIND(".",L308)-1),"")</ns0:f>
      </ns0:c>
      <ns0:c r="O308" s="0">
        <ns0:f>IFERROR(MID(L308,FIND(".",L308,FIND(".",L308)+1)+1,99),"")</ns0:f>
        <ns0:v>99</ns0:v>
      </ns0:c>
      <ns0:c r="P308" s="0">
        <ns0:f>IFERROR(IF(FIND(".",L308)=5,--M308,--O308),0)</ns0:f>
        <ns0:v>0</ns0:v>
      </ns0:c>
      <ns0:c r="Q308" s="0">
        <ns0:f>IFERROR(--N308,0)</ns0:f>
        <ns0:v>0</ns0:v>
      </ns0:c>
      <ns0:c r="R308" s="0">
        <ns0:f>IFERROR(IF(FIND(".",L308)=5,--O308,--M308),0)</ns0:f>
        <ns0:v>0</ns0:v>
      </ns0:c>
      <ns0:c r="S308" s="0">
        <ns0:f>IFERROR(IF(AND(P308&gt;=2000,P308&lt;=2100,Q308&gt;=1,Q308&lt;=12,R308&gt;=1,R308&lt;=31),DATE(P308,Q308,R308),0),0)</ns0:f>
        <ns0:v>0</ns0:v>
      </ns0:c>
      <ns0:c r="T308" s="0">
        <ns0:f>IFERROR(IF(ISNUMBER(Bookings!D308),IF(AND(Bookings!D308=INT(Bookings!D308),Bookings!D308&gt;=DATE(2000,1,1),Bookings!D308&lt;=DATE(2100,12,31)),Bookings!D308,0),IF(AND(K308&lt;&gt;"",LEN("x"&amp;L308)-LEN(SUBSTITUTE("x"&amp;L308,".",""))=2,OR(1&gt;LEN(L308),MID(L308,1,1)=".",ISNUMBER(FIND("x"&amp;MID(L308,1,1),"x0x1x2x3x4x5x6x7x8x9"))),OR(2&gt;LEN(L308),MID(L308,2,1)=".",ISNUMBER(FIND("x"&amp;MID(L308,2,1),"x0x1x2x3x4x5x6x7x8x9"))),OR(3&gt;LEN(L308),MID(L308,3,1)=".",ISNUMBER(FIND("x"&amp;MID(L308,3,1),"x0x1x2x3x4x5x6x7x8x9"))),OR(4&gt;LEN(L308),MID(L308,4,1)=".",ISNUMBER(FIND("x"&amp;MID(L308,4,1),"x0x1x2x3x4x5x6x7x8x9"))),OR(5&gt;LEN(L308),MID(L308,5,1)=".",ISNUMBER(FIND("x"&amp;MID(L308,5,1),"x0x1x2x3x4x5x6x7x8x9"))),OR(6&gt;LEN(L308),MID(L308,6,1)=".",ISNUMBER(FIND("x"&amp;MID(L308,6,1),"x0x1x2x3x4x5x6x7x8x9"))),OR(7&gt;LEN(L308),MID(L308,7,1)=".",ISNUMBER(FIND("x"&amp;MID(L308,7,1),"x0x1x2x3x4x5x6x7x8x9"))),OR(8&gt;LEN(L308),MID(L308,8,1)=".",ISNUMBER(FIND("x"&amp;MID(L308,8,1),"x0x1x2x3x4x5x6x7x8x9"))),OR(9&gt;LEN(L308),MID(L308,9,1)=".",ISNUMBER(FIND("x"&amp;MID(L308,9,1),"x0x1x2x3x4x5x6x7x8x9"))),OR(10&gt;LEN(L308),MID(L308,10,1)=".",ISNUMBER(FIND("x"&amp;MID(L308,10,1),"x0x1x2x3x4x5x6x7x8x9"))),OR(AND(FIND(".",L308)=5,LEN(L308)-FIND(".",L308,FIND(".",L308)+1)&gt;=1,LEN(L308)-FIND(".",L308,FIND(".",L308)+1)&lt;=2),AND(LEN(L308)-FIND(".",L308,FIND(".",L308)+1)=4,FIND(".",L308)&gt;=2,FIND(".",L308)&lt;=3)),FIND(".",L308,FIND(".",L308)+1)-FIND(".",L308)&gt;=2,FIND(".",L308,FIND(".",L308)+1)-FIND(".",L308)&lt;=3,P308&gt;=2000,P308&lt;=2100,YEAR(S308)=P308,MONTH(S308)=Q308,DAY(S308)=R308),S308,0)),0)</ns0:f>
        <ns0:v>0</ns0:v>
      </ns0:c>
      <ns0:c r="U308" s="0" t="str">
        <ns0:f>IF(Bookings!C308="","Full day",Bookings!C308)</ns0:f>
        <ns0:v>Full day</ns0:v>
      </ns0:c>
      <ns0:c r="V308" s="0" t="str">
        <ns0:f>IF(Bookings!E308="","Full day",Bookings!E308)</ns0:f>
        <ns0:v>Full day</ns0:v>
      </ns0:c>
      <ns0:c r="W308" s="0">
        <ns0:f>IF(J308=0,0,J308+IF(U308="PM",1,0))</ns0:f>
        <ns0:v>0</ns0:v>
      </ns0:c>
      <ns0:c r="X308" s="0">
        <ns0:f>IF(T308=0,0,T308-IF(V308="PM",1,0))</ns0:f>
        <ns0:v>0</ns0:v>
      </ns0:c>
      <ns0:c r="Y308" s="0">
        <ns0:f>IF(J308=0,0,J308+IF(U308="AM",1,0))</ns0:f>
        <ns0:v>0</ns0:v>
      </ns0:c>
      <ns0:c r="Z308" s="0">
        <ns0:f>IF(T308=0,0,T308-IF(V308="AM",1,0))</ns0:f>
        <ns0:v>0</ns0:v>
      </ns0:c>
      <ns0:c r="AA308" s="0">
        <ns0:f>IFERROR(IF(AND(J308&gt;0,'_Engine'!C308&gt;0,MID('_Engine'!W308,WEEKDAY(J308,2),1)="W",COUNTIF(Settings!$F$18:$F$67,J308)=0),1,0),0)</ns0:f>
        <ns0:v>0</ns0:v>
      </ns0:c>
      <ns0:c r="AB308" s="0">
        <ns0:f>IFERROR(IF(AND(T308&gt;0,'_Engine'!C308&gt;0,MID('_Engine'!W308,WEEKDAY(T308,2),1)="W",COUNTIF(Settings!$F$18:$F$67,T308)=0),1,0),0)</ns0:f>
        <ns0:v>0</ns0:v>
      </ns0:c>
      <ns0:c r="AC308" s="0">
        <ns0:f>IF(AND(J308&gt;0,T308&gt;0,W308&lt;=X308),1,0)</ns0:f>
        <ns0:v>0</ns0:v>
      </ns0:c>
      <ns0:c r="AD308" s="0">
        <ns0:f>IF(AND(J308&gt;0,T308&gt;0,Y308&lt;=Z308),1,0)</ns0:f>
        <ns0:v>0</ns0:v>
      </ns0:c>
    </ns0:row>
    <ns0:row r="309">
      <ns0:c r="A309" s="0">
        <ns0:f>IFERROR(IF(ISNUMBER(Bookings!B309),"",TRIM(Bookings!B309&amp;"")),"")</ns0:f>
      </ns0:c>
      <ns0:c r="B309" s="0">
        <ns0:f>IFERROR(SUBSTITUTE(SUBSTITUTE(A309,"/","."),"-","."),"")</ns0:f>
      </ns0:c>
      <ns0:c r="C309" s="0">
        <ns0:f>IFERROR(LEFT(B309,FIND(".",B309)-1),"")</ns0:f>
      </ns0:c>
      <ns0:c r="D309" s="0">
        <ns0:f>IFERROR(MID(B309,FIND(".",B309)+1,FIND(".",B309,FIND(".",B309)+1)-FIND(".",B309)-1),"")</ns0:f>
      </ns0:c>
      <ns0:c r="E309" s="0">
        <ns0:f>IFERROR(MID(B309,FIND(".",B309,FIND(".",B309)+1)+1,99),"")</ns0:f>
        <ns0:v>99</ns0:v>
      </ns0:c>
      <ns0:c r="F309" s="0">
        <ns0:f>IFERROR(IF(FIND(".",B309)=5,--C309,--E309),0)</ns0:f>
        <ns0:v>0</ns0:v>
      </ns0:c>
      <ns0:c r="G309" s="0">
        <ns0:f>IFERROR(--D309,0)</ns0:f>
        <ns0:v>0</ns0:v>
      </ns0:c>
      <ns0:c r="H309" s="0">
        <ns0:f>IFERROR(IF(FIND(".",B309)=5,--E309,--C309),0)</ns0:f>
        <ns0:v>0</ns0:v>
      </ns0:c>
      <ns0:c r="I309" s="0">
        <ns0:f>IFERROR(IF(AND(F309&gt;=2000,F309&lt;=2100,G309&gt;=1,G309&lt;=12,H309&gt;=1,H309&lt;=31),DATE(F309,G309,H309),0),0)</ns0:f>
        <ns0:v>0</ns0:v>
      </ns0:c>
      <ns0:c r="J309" s="0">
        <ns0:f>IFERROR(IF(ISNUMBER(Bookings!B309),IF(AND(Bookings!B309=INT(Bookings!B309),Bookings!B309&gt;=DATE(2000,1,1),Bookings!B309&lt;=DATE(2100,12,31)),Bookings!B309,0),IF(AND(A309&lt;&gt;"",LEN("x"&amp;B309)-LEN(SUBSTITUTE("x"&amp;B309,".",""))=2,OR(1&gt;LEN(B309),MID(B309,1,1)=".",ISNUMBER(FIND("x"&amp;MID(B309,1,1),"x0x1x2x3x4x5x6x7x8x9"))),OR(2&gt;LEN(B309),MID(B309,2,1)=".",ISNUMBER(FIND("x"&amp;MID(B309,2,1),"x0x1x2x3x4x5x6x7x8x9"))),OR(3&gt;LEN(B309),MID(B309,3,1)=".",ISNUMBER(FIND("x"&amp;MID(B309,3,1),"x0x1x2x3x4x5x6x7x8x9"))),OR(4&gt;LEN(B309),MID(B309,4,1)=".",ISNUMBER(FIND("x"&amp;MID(B309,4,1),"x0x1x2x3x4x5x6x7x8x9"))),OR(5&gt;LEN(B309),MID(B309,5,1)=".",ISNUMBER(FIND("x"&amp;MID(B309,5,1),"x0x1x2x3x4x5x6x7x8x9"))),OR(6&gt;LEN(B309),MID(B309,6,1)=".",ISNUMBER(FIND("x"&amp;MID(B309,6,1),"x0x1x2x3x4x5x6x7x8x9"))),OR(7&gt;LEN(B309),MID(B309,7,1)=".",ISNUMBER(FIND("x"&amp;MID(B309,7,1),"x0x1x2x3x4x5x6x7x8x9"))),OR(8&gt;LEN(B309),MID(B309,8,1)=".",ISNUMBER(FIND("x"&amp;MID(B309,8,1),"x0x1x2x3x4x5x6x7x8x9"))),OR(9&gt;LEN(B309),MID(B309,9,1)=".",ISNUMBER(FIND("x"&amp;MID(B309,9,1),"x0x1x2x3x4x5x6x7x8x9"))),OR(10&gt;LEN(B309),MID(B309,10,1)=".",ISNUMBER(FIND("x"&amp;MID(B309,10,1),"x0x1x2x3x4x5x6x7x8x9"))),OR(AND(FIND(".",B309)=5,LEN(B309)-FIND(".",B309,FIND(".",B309)+1)&gt;=1,LEN(B309)-FIND(".",B309,FIND(".",B309)+1)&lt;=2),AND(LEN(B309)-FIND(".",B309,FIND(".",B309)+1)=4,FIND(".",B309)&gt;=2,FIND(".",B309)&lt;=3)),FIND(".",B309,FIND(".",B309)+1)-FIND(".",B309)&gt;=2,FIND(".",B309,FIND(".",B309)+1)-FIND(".",B309)&lt;=3,F309&gt;=2000,F309&lt;=2100,YEAR(I309)=F309,MONTH(I309)=G309,DAY(I309)=H309),I309,0)),0)</ns0:f>
        <ns0:v>0</ns0:v>
      </ns0:c>
      <ns0:c r="K309" s="0">
        <ns0:f>IFERROR(IF(ISNUMBER(Bookings!D309),"",TRIM(Bookings!D309&amp;"")),"")</ns0:f>
      </ns0:c>
      <ns0:c r="L309" s="0">
        <ns0:f>IFERROR(SUBSTITUTE(SUBSTITUTE(K309,"/","."),"-","."),"")</ns0:f>
      </ns0:c>
      <ns0:c r="M309" s="0">
        <ns0:f>IFERROR(LEFT(L309,FIND(".",L309)-1),"")</ns0:f>
      </ns0:c>
      <ns0:c r="N309" s="0">
        <ns0:f>IFERROR(MID(L309,FIND(".",L309)+1,FIND(".",L309,FIND(".",L309)+1)-FIND(".",L309)-1),"")</ns0:f>
      </ns0:c>
      <ns0:c r="O309" s="0">
        <ns0:f>IFERROR(MID(L309,FIND(".",L309,FIND(".",L309)+1)+1,99),"")</ns0:f>
        <ns0:v>99</ns0:v>
      </ns0:c>
      <ns0:c r="P309" s="0">
        <ns0:f>IFERROR(IF(FIND(".",L309)=5,--M309,--O309),0)</ns0:f>
        <ns0:v>0</ns0:v>
      </ns0:c>
      <ns0:c r="Q309" s="0">
        <ns0:f>IFERROR(--N309,0)</ns0:f>
        <ns0:v>0</ns0:v>
      </ns0:c>
      <ns0:c r="R309" s="0">
        <ns0:f>IFERROR(IF(FIND(".",L309)=5,--O309,--M309),0)</ns0:f>
        <ns0:v>0</ns0:v>
      </ns0:c>
      <ns0:c r="S309" s="0">
        <ns0:f>IFERROR(IF(AND(P309&gt;=2000,P309&lt;=2100,Q309&gt;=1,Q309&lt;=12,R309&gt;=1,R309&lt;=31),DATE(P309,Q309,R309),0),0)</ns0:f>
        <ns0:v>0</ns0:v>
      </ns0:c>
      <ns0:c r="T309" s="0">
        <ns0:f>IFERROR(IF(ISNUMBER(Bookings!D309),IF(AND(Bookings!D309=INT(Bookings!D309),Bookings!D309&gt;=DATE(2000,1,1),Bookings!D309&lt;=DATE(2100,12,31)),Bookings!D309,0),IF(AND(K309&lt;&gt;"",LEN("x"&amp;L309)-LEN(SUBSTITUTE("x"&amp;L309,".",""))=2,OR(1&gt;LEN(L309),MID(L309,1,1)=".",ISNUMBER(FIND("x"&amp;MID(L309,1,1),"x0x1x2x3x4x5x6x7x8x9"))),OR(2&gt;LEN(L309),MID(L309,2,1)=".",ISNUMBER(FIND("x"&amp;MID(L309,2,1),"x0x1x2x3x4x5x6x7x8x9"))),OR(3&gt;LEN(L309),MID(L309,3,1)=".",ISNUMBER(FIND("x"&amp;MID(L309,3,1),"x0x1x2x3x4x5x6x7x8x9"))),OR(4&gt;LEN(L309),MID(L309,4,1)=".",ISNUMBER(FIND("x"&amp;MID(L309,4,1),"x0x1x2x3x4x5x6x7x8x9"))),OR(5&gt;LEN(L309),MID(L309,5,1)=".",ISNUMBER(FIND("x"&amp;MID(L309,5,1),"x0x1x2x3x4x5x6x7x8x9"))),OR(6&gt;LEN(L309),MID(L309,6,1)=".",ISNUMBER(FIND("x"&amp;MID(L309,6,1),"x0x1x2x3x4x5x6x7x8x9"))),OR(7&gt;LEN(L309),MID(L309,7,1)=".",ISNUMBER(FIND("x"&amp;MID(L309,7,1),"x0x1x2x3x4x5x6x7x8x9"))),OR(8&gt;LEN(L309),MID(L309,8,1)=".",ISNUMBER(FIND("x"&amp;MID(L309,8,1),"x0x1x2x3x4x5x6x7x8x9"))),OR(9&gt;LEN(L309),MID(L309,9,1)=".",ISNUMBER(FIND("x"&amp;MID(L309,9,1),"x0x1x2x3x4x5x6x7x8x9"))),OR(10&gt;LEN(L309),MID(L309,10,1)=".",ISNUMBER(FIND("x"&amp;MID(L309,10,1),"x0x1x2x3x4x5x6x7x8x9"))),OR(AND(FIND(".",L309)=5,LEN(L309)-FIND(".",L309,FIND(".",L309)+1)&gt;=1,LEN(L309)-FIND(".",L309,FIND(".",L309)+1)&lt;=2),AND(LEN(L309)-FIND(".",L309,FIND(".",L309)+1)=4,FIND(".",L309)&gt;=2,FIND(".",L309)&lt;=3)),FIND(".",L309,FIND(".",L309)+1)-FIND(".",L309)&gt;=2,FIND(".",L309,FIND(".",L309)+1)-FIND(".",L309)&lt;=3,P309&gt;=2000,P309&lt;=2100,YEAR(S309)=P309,MONTH(S309)=Q309,DAY(S309)=R309),S309,0)),0)</ns0:f>
        <ns0:v>0</ns0:v>
      </ns0:c>
      <ns0:c r="U309" s="0" t="str">
        <ns0:f>IF(Bookings!C309="","Full day",Bookings!C309)</ns0:f>
        <ns0:v>Full day</ns0:v>
      </ns0:c>
      <ns0:c r="V309" s="0" t="str">
        <ns0:f>IF(Bookings!E309="","Full day",Bookings!E309)</ns0:f>
        <ns0:v>Full day</ns0:v>
      </ns0:c>
      <ns0:c r="W309" s="0">
        <ns0:f>IF(J309=0,0,J309+IF(U309="PM",1,0))</ns0:f>
        <ns0:v>0</ns0:v>
      </ns0:c>
      <ns0:c r="X309" s="0">
        <ns0:f>IF(T309=0,0,T309-IF(V309="PM",1,0))</ns0:f>
        <ns0:v>0</ns0:v>
      </ns0:c>
      <ns0:c r="Y309" s="0">
        <ns0:f>IF(J309=0,0,J309+IF(U309="AM",1,0))</ns0:f>
        <ns0:v>0</ns0:v>
      </ns0:c>
      <ns0:c r="Z309" s="0">
        <ns0:f>IF(T309=0,0,T309-IF(V309="AM",1,0))</ns0:f>
        <ns0:v>0</ns0:v>
      </ns0:c>
      <ns0:c r="AA309" s="0">
        <ns0:f>IFERROR(IF(AND(J309&gt;0,'_Engine'!C309&gt;0,MID('_Engine'!W309,WEEKDAY(J309,2),1)="W",COUNTIF(Settings!$F$18:$F$67,J309)=0),1,0),0)</ns0:f>
        <ns0:v>0</ns0:v>
      </ns0:c>
      <ns0:c r="AB309" s="0">
        <ns0:f>IFERROR(IF(AND(T309&gt;0,'_Engine'!C309&gt;0,MID('_Engine'!W309,WEEKDAY(T309,2),1)="W",COUNTIF(Settings!$F$18:$F$67,T309)=0),1,0),0)</ns0:f>
        <ns0:v>0</ns0:v>
      </ns0:c>
      <ns0:c r="AC309" s="0">
        <ns0:f>IF(AND(J309&gt;0,T309&gt;0,W309&lt;=X309),1,0)</ns0:f>
        <ns0:v>0</ns0:v>
      </ns0:c>
      <ns0:c r="AD309" s="0">
        <ns0:f>IF(AND(J309&gt;0,T309&gt;0,Y309&lt;=Z309),1,0)</ns0:f>
        <ns0:v>0</ns0:v>
      </ns0:c>
    </ns0:row>
    <ns0:row r="310">
      <ns0:c r="A310" s="0">
        <ns0:f>IFERROR(IF(ISNUMBER(Bookings!B310),"",TRIM(Bookings!B310&amp;"")),"")</ns0:f>
      </ns0:c>
      <ns0:c r="B310" s="0">
        <ns0:f>IFERROR(SUBSTITUTE(SUBSTITUTE(A310,"/","."),"-","."),"")</ns0:f>
      </ns0:c>
      <ns0:c r="C310" s="0">
        <ns0:f>IFERROR(LEFT(B310,FIND(".",B310)-1),"")</ns0:f>
      </ns0:c>
      <ns0:c r="D310" s="0">
        <ns0:f>IFERROR(MID(B310,FIND(".",B310)+1,FIND(".",B310,FIND(".",B310)+1)-FIND(".",B310)-1),"")</ns0:f>
      </ns0:c>
      <ns0:c r="E310" s="0">
        <ns0:f>IFERROR(MID(B310,FIND(".",B310,FIND(".",B310)+1)+1,99),"")</ns0:f>
        <ns0:v>99</ns0:v>
      </ns0:c>
      <ns0:c r="F310" s="0">
        <ns0:f>IFERROR(IF(FIND(".",B310)=5,--C310,--E310),0)</ns0:f>
        <ns0:v>0</ns0:v>
      </ns0:c>
      <ns0:c r="G310" s="0">
        <ns0:f>IFERROR(--D310,0)</ns0:f>
        <ns0:v>0</ns0:v>
      </ns0:c>
      <ns0:c r="H310" s="0">
        <ns0:f>IFERROR(IF(FIND(".",B310)=5,--E310,--C310),0)</ns0:f>
        <ns0:v>0</ns0:v>
      </ns0:c>
      <ns0:c r="I310" s="0">
        <ns0:f>IFERROR(IF(AND(F310&gt;=2000,F310&lt;=2100,G310&gt;=1,G310&lt;=12,H310&gt;=1,H310&lt;=31),DATE(F310,G310,H310),0),0)</ns0:f>
        <ns0:v>0</ns0:v>
      </ns0:c>
      <ns0:c r="J310" s="0">
        <ns0:f>IFERROR(IF(ISNUMBER(Bookings!B310),IF(AND(Bookings!B310=INT(Bookings!B310),Bookings!B310&gt;=DATE(2000,1,1),Bookings!B310&lt;=DATE(2100,12,31)),Bookings!B310,0),IF(AND(A310&lt;&gt;"",LEN("x"&amp;B310)-LEN(SUBSTITUTE("x"&amp;B310,".",""))=2,OR(1&gt;LEN(B310),MID(B310,1,1)=".",ISNUMBER(FIND("x"&amp;MID(B310,1,1),"x0x1x2x3x4x5x6x7x8x9"))),OR(2&gt;LEN(B310),MID(B310,2,1)=".",ISNUMBER(FIND("x"&amp;MID(B310,2,1),"x0x1x2x3x4x5x6x7x8x9"))),OR(3&gt;LEN(B310),MID(B310,3,1)=".",ISNUMBER(FIND("x"&amp;MID(B310,3,1),"x0x1x2x3x4x5x6x7x8x9"))),OR(4&gt;LEN(B310),MID(B310,4,1)=".",ISNUMBER(FIND("x"&amp;MID(B310,4,1),"x0x1x2x3x4x5x6x7x8x9"))),OR(5&gt;LEN(B310),MID(B310,5,1)=".",ISNUMBER(FIND("x"&amp;MID(B310,5,1),"x0x1x2x3x4x5x6x7x8x9"))),OR(6&gt;LEN(B310),MID(B310,6,1)=".",ISNUMBER(FIND("x"&amp;MID(B310,6,1),"x0x1x2x3x4x5x6x7x8x9"))),OR(7&gt;LEN(B310),MID(B310,7,1)=".",ISNUMBER(FIND("x"&amp;MID(B310,7,1),"x0x1x2x3x4x5x6x7x8x9"))),OR(8&gt;LEN(B310),MID(B310,8,1)=".",ISNUMBER(FIND("x"&amp;MID(B310,8,1),"x0x1x2x3x4x5x6x7x8x9"))),OR(9&gt;LEN(B310),MID(B310,9,1)=".",ISNUMBER(FIND("x"&amp;MID(B310,9,1),"x0x1x2x3x4x5x6x7x8x9"))),OR(10&gt;LEN(B310),MID(B310,10,1)=".",ISNUMBER(FIND("x"&amp;MID(B310,10,1),"x0x1x2x3x4x5x6x7x8x9"))),OR(AND(FIND(".",B310)=5,LEN(B310)-FIND(".",B310,FIND(".",B310)+1)&gt;=1,LEN(B310)-FIND(".",B310,FIND(".",B310)+1)&lt;=2),AND(LEN(B310)-FIND(".",B310,FIND(".",B310)+1)=4,FIND(".",B310)&gt;=2,FIND(".",B310)&lt;=3)),FIND(".",B310,FIND(".",B310)+1)-FIND(".",B310)&gt;=2,FIND(".",B310,FIND(".",B310)+1)-FIND(".",B310)&lt;=3,F310&gt;=2000,F310&lt;=2100,YEAR(I310)=F310,MONTH(I310)=G310,DAY(I310)=H310),I310,0)),0)</ns0:f>
        <ns0:v>0</ns0:v>
      </ns0:c>
      <ns0:c r="K310" s="0">
        <ns0:f>IFERROR(IF(ISNUMBER(Bookings!D310),"",TRIM(Bookings!D310&amp;"")),"")</ns0:f>
      </ns0:c>
      <ns0:c r="L310" s="0">
        <ns0:f>IFERROR(SUBSTITUTE(SUBSTITUTE(K310,"/","."),"-","."),"")</ns0:f>
      </ns0:c>
      <ns0:c r="M310" s="0">
        <ns0:f>IFERROR(LEFT(L310,FIND(".",L310)-1),"")</ns0:f>
      </ns0:c>
      <ns0:c r="N310" s="0">
        <ns0:f>IFERROR(MID(L310,FIND(".",L310)+1,FIND(".",L310,FIND(".",L310)+1)-FIND(".",L310)-1),"")</ns0:f>
      </ns0:c>
      <ns0:c r="O310" s="0">
        <ns0:f>IFERROR(MID(L310,FIND(".",L310,FIND(".",L310)+1)+1,99),"")</ns0:f>
        <ns0:v>99</ns0:v>
      </ns0:c>
      <ns0:c r="P310" s="0">
        <ns0:f>IFERROR(IF(FIND(".",L310)=5,--M310,--O310),0)</ns0:f>
        <ns0:v>0</ns0:v>
      </ns0:c>
      <ns0:c r="Q310" s="0">
        <ns0:f>IFERROR(--N310,0)</ns0:f>
        <ns0:v>0</ns0:v>
      </ns0:c>
      <ns0:c r="R310" s="0">
        <ns0:f>IFERROR(IF(FIND(".",L310)=5,--O310,--M310),0)</ns0:f>
        <ns0:v>0</ns0:v>
      </ns0:c>
      <ns0:c r="S310" s="0">
        <ns0:f>IFERROR(IF(AND(P310&gt;=2000,P310&lt;=2100,Q310&gt;=1,Q310&lt;=12,R310&gt;=1,R310&lt;=31),DATE(P310,Q310,R310),0),0)</ns0:f>
        <ns0:v>0</ns0:v>
      </ns0:c>
      <ns0:c r="T310" s="0">
        <ns0:f>IFERROR(IF(ISNUMBER(Bookings!D310),IF(AND(Bookings!D310=INT(Bookings!D310),Bookings!D310&gt;=DATE(2000,1,1),Bookings!D310&lt;=DATE(2100,12,31)),Bookings!D310,0),IF(AND(K310&lt;&gt;"",LEN("x"&amp;L310)-LEN(SUBSTITUTE("x"&amp;L310,".",""))=2,OR(1&gt;LEN(L310),MID(L310,1,1)=".",ISNUMBER(FIND("x"&amp;MID(L310,1,1),"x0x1x2x3x4x5x6x7x8x9"))),OR(2&gt;LEN(L310),MID(L310,2,1)=".",ISNUMBER(FIND("x"&amp;MID(L310,2,1),"x0x1x2x3x4x5x6x7x8x9"))),OR(3&gt;LEN(L310),MID(L310,3,1)=".",ISNUMBER(FIND("x"&amp;MID(L310,3,1),"x0x1x2x3x4x5x6x7x8x9"))),OR(4&gt;LEN(L310),MID(L310,4,1)=".",ISNUMBER(FIND("x"&amp;MID(L310,4,1),"x0x1x2x3x4x5x6x7x8x9"))),OR(5&gt;LEN(L310),MID(L310,5,1)=".",ISNUMBER(FIND("x"&amp;MID(L310,5,1),"x0x1x2x3x4x5x6x7x8x9"))),OR(6&gt;LEN(L310),MID(L310,6,1)=".",ISNUMBER(FIND("x"&amp;MID(L310,6,1),"x0x1x2x3x4x5x6x7x8x9"))),OR(7&gt;LEN(L310),MID(L310,7,1)=".",ISNUMBER(FIND("x"&amp;MID(L310,7,1),"x0x1x2x3x4x5x6x7x8x9"))),OR(8&gt;LEN(L310),MID(L310,8,1)=".",ISNUMBER(FIND("x"&amp;MID(L310,8,1),"x0x1x2x3x4x5x6x7x8x9"))),OR(9&gt;LEN(L310),MID(L310,9,1)=".",ISNUMBER(FIND("x"&amp;MID(L310,9,1),"x0x1x2x3x4x5x6x7x8x9"))),OR(10&gt;LEN(L310),MID(L310,10,1)=".",ISNUMBER(FIND("x"&amp;MID(L310,10,1),"x0x1x2x3x4x5x6x7x8x9"))),OR(AND(FIND(".",L310)=5,LEN(L310)-FIND(".",L310,FIND(".",L310)+1)&gt;=1,LEN(L310)-FIND(".",L310,FIND(".",L310)+1)&lt;=2),AND(LEN(L310)-FIND(".",L310,FIND(".",L310)+1)=4,FIND(".",L310)&gt;=2,FIND(".",L310)&lt;=3)),FIND(".",L310,FIND(".",L310)+1)-FIND(".",L310)&gt;=2,FIND(".",L310,FIND(".",L310)+1)-FIND(".",L310)&lt;=3,P310&gt;=2000,P310&lt;=2100,YEAR(S310)=P310,MONTH(S310)=Q310,DAY(S310)=R310),S310,0)),0)</ns0:f>
        <ns0:v>0</ns0:v>
      </ns0:c>
      <ns0:c r="U310" s="0" t="str">
        <ns0:f>IF(Bookings!C310="","Full day",Bookings!C310)</ns0:f>
        <ns0:v>Full day</ns0:v>
      </ns0:c>
      <ns0:c r="V310" s="0" t="str">
        <ns0:f>IF(Bookings!E310="","Full day",Bookings!E310)</ns0:f>
        <ns0:v>Full day</ns0:v>
      </ns0:c>
      <ns0:c r="W310" s="0">
        <ns0:f>IF(J310=0,0,J310+IF(U310="PM",1,0))</ns0:f>
        <ns0:v>0</ns0:v>
      </ns0:c>
      <ns0:c r="X310" s="0">
        <ns0:f>IF(T310=0,0,T310-IF(V310="PM",1,0))</ns0:f>
        <ns0:v>0</ns0:v>
      </ns0:c>
      <ns0:c r="Y310" s="0">
        <ns0:f>IF(J310=0,0,J310+IF(U310="AM",1,0))</ns0:f>
        <ns0:v>0</ns0:v>
      </ns0:c>
      <ns0:c r="Z310" s="0">
        <ns0:f>IF(T310=0,0,T310-IF(V310="AM",1,0))</ns0:f>
        <ns0:v>0</ns0:v>
      </ns0:c>
      <ns0:c r="AA310" s="0">
        <ns0:f>IFERROR(IF(AND(J310&gt;0,'_Engine'!C310&gt;0,MID('_Engine'!W310,WEEKDAY(J310,2),1)="W",COUNTIF(Settings!$F$18:$F$67,J310)=0),1,0),0)</ns0:f>
        <ns0:v>0</ns0:v>
      </ns0:c>
      <ns0:c r="AB310" s="0">
        <ns0:f>IFERROR(IF(AND(T310&gt;0,'_Engine'!C310&gt;0,MID('_Engine'!W310,WEEKDAY(T310,2),1)="W",COUNTIF(Settings!$F$18:$F$67,T310)=0),1,0),0)</ns0:f>
        <ns0:v>0</ns0:v>
      </ns0:c>
      <ns0:c r="AC310" s="0">
        <ns0:f>IF(AND(J310&gt;0,T310&gt;0,W310&lt;=X310),1,0)</ns0:f>
        <ns0:v>0</ns0:v>
      </ns0:c>
      <ns0:c r="AD310" s="0">
        <ns0:f>IF(AND(J310&gt;0,T310&gt;0,Y310&lt;=Z310),1,0)</ns0:f>
        <ns0:v>0</ns0:v>
      </ns0:c>
    </ns0:row>
    <ns0:row r="311">
      <ns0:c r="A311" s="0">
        <ns0:f>IFERROR(IF(ISNUMBER(Bookings!B311),"",TRIM(Bookings!B311&amp;"")),"")</ns0:f>
      </ns0:c>
      <ns0:c r="B311" s="0">
        <ns0:f>IFERROR(SUBSTITUTE(SUBSTITUTE(A311,"/","."),"-","."),"")</ns0:f>
      </ns0:c>
      <ns0:c r="C311" s="0">
        <ns0:f>IFERROR(LEFT(B311,FIND(".",B311)-1),"")</ns0:f>
      </ns0:c>
      <ns0:c r="D311" s="0">
        <ns0:f>IFERROR(MID(B311,FIND(".",B311)+1,FIND(".",B311,FIND(".",B311)+1)-FIND(".",B311)-1),"")</ns0:f>
      </ns0:c>
      <ns0:c r="E311" s="0">
        <ns0:f>IFERROR(MID(B311,FIND(".",B311,FIND(".",B311)+1)+1,99),"")</ns0:f>
        <ns0:v>99</ns0:v>
      </ns0:c>
      <ns0:c r="F311" s="0">
        <ns0:f>IFERROR(IF(FIND(".",B311)=5,--C311,--E311),0)</ns0:f>
        <ns0:v>0</ns0:v>
      </ns0:c>
      <ns0:c r="G311" s="0">
        <ns0:f>IFERROR(--D311,0)</ns0:f>
        <ns0:v>0</ns0:v>
      </ns0:c>
      <ns0:c r="H311" s="0">
        <ns0:f>IFERROR(IF(FIND(".",B311)=5,--E311,--C311),0)</ns0:f>
        <ns0:v>0</ns0:v>
      </ns0:c>
      <ns0:c r="I311" s="0">
        <ns0:f>IFERROR(IF(AND(F311&gt;=2000,F311&lt;=2100,G311&gt;=1,G311&lt;=12,H311&gt;=1,H311&lt;=31),DATE(F311,G311,H311),0),0)</ns0:f>
        <ns0:v>0</ns0:v>
      </ns0:c>
      <ns0:c r="J311" s="0">
        <ns0:f>IFERROR(IF(ISNUMBER(Bookings!B311),IF(AND(Bookings!B311=INT(Bookings!B311),Bookings!B311&gt;=DATE(2000,1,1),Bookings!B311&lt;=DATE(2100,12,31)),Bookings!B311,0),IF(AND(A311&lt;&gt;"",LEN("x"&amp;B311)-LEN(SUBSTITUTE("x"&amp;B311,".",""))=2,OR(1&gt;LEN(B311),MID(B311,1,1)=".",ISNUMBER(FIND("x"&amp;MID(B311,1,1),"x0x1x2x3x4x5x6x7x8x9"))),OR(2&gt;LEN(B311),MID(B311,2,1)=".",ISNUMBER(FIND("x"&amp;MID(B311,2,1),"x0x1x2x3x4x5x6x7x8x9"))),OR(3&gt;LEN(B311),MID(B311,3,1)=".",ISNUMBER(FIND("x"&amp;MID(B311,3,1),"x0x1x2x3x4x5x6x7x8x9"))),OR(4&gt;LEN(B311),MID(B311,4,1)=".",ISNUMBER(FIND("x"&amp;MID(B311,4,1),"x0x1x2x3x4x5x6x7x8x9"))),OR(5&gt;LEN(B311),MID(B311,5,1)=".",ISNUMBER(FIND("x"&amp;MID(B311,5,1),"x0x1x2x3x4x5x6x7x8x9"))),OR(6&gt;LEN(B311),MID(B311,6,1)=".",ISNUMBER(FIND("x"&amp;MID(B311,6,1),"x0x1x2x3x4x5x6x7x8x9"))),OR(7&gt;LEN(B311),MID(B311,7,1)=".",ISNUMBER(FIND("x"&amp;MID(B311,7,1),"x0x1x2x3x4x5x6x7x8x9"))),OR(8&gt;LEN(B311),MID(B311,8,1)=".",ISNUMBER(FIND("x"&amp;MID(B311,8,1),"x0x1x2x3x4x5x6x7x8x9"))),OR(9&gt;LEN(B311),MID(B311,9,1)=".",ISNUMBER(FIND("x"&amp;MID(B311,9,1),"x0x1x2x3x4x5x6x7x8x9"))),OR(10&gt;LEN(B311),MID(B311,10,1)=".",ISNUMBER(FIND("x"&amp;MID(B311,10,1),"x0x1x2x3x4x5x6x7x8x9"))),OR(AND(FIND(".",B311)=5,LEN(B311)-FIND(".",B311,FIND(".",B311)+1)&gt;=1,LEN(B311)-FIND(".",B311,FIND(".",B311)+1)&lt;=2),AND(LEN(B311)-FIND(".",B311,FIND(".",B311)+1)=4,FIND(".",B311)&gt;=2,FIND(".",B311)&lt;=3)),FIND(".",B311,FIND(".",B311)+1)-FIND(".",B311)&gt;=2,FIND(".",B311,FIND(".",B311)+1)-FIND(".",B311)&lt;=3,F311&gt;=2000,F311&lt;=2100,YEAR(I311)=F311,MONTH(I311)=G311,DAY(I311)=H311),I311,0)),0)</ns0:f>
        <ns0:v>0</ns0:v>
      </ns0:c>
      <ns0:c r="K311" s="0">
        <ns0:f>IFERROR(IF(ISNUMBER(Bookings!D311),"",TRIM(Bookings!D311&amp;"")),"")</ns0:f>
      </ns0:c>
      <ns0:c r="L311" s="0">
        <ns0:f>IFERROR(SUBSTITUTE(SUBSTITUTE(K311,"/","."),"-","."),"")</ns0:f>
      </ns0:c>
      <ns0:c r="M311" s="0">
        <ns0:f>IFERROR(LEFT(L311,FIND(".",L311)-1),"")</ns0:f>
      </ns0:c>
      <ns0:c r="N311" s="0">
        <ns0:f>IFERROR(MID(L311,FIND(".",L311)+1,FIND(".",L311,FIND(".",L311)+1)-FIND(".",L311)-1),"")</ns0:f>
      </ns0:c>
      <ns0:c r="O311" s="0">
        <ns0:f>IFERROR(MID(L311,FIND(".",L311,FIND(".",L311)+1)+1,99),"")</ns0:f>
        <ns0:v>99</ns0:v>
      </ns0:c>
      <ns0:c r="P311" s="0">
        <ns0:f>IFERROR(IF(FIND(".",L311)=5,--M311,--O311),0)</ns0:f>
        <ns0:v>0</ns0:v>
      </ns0:c>
      <ns0:c r="Q311" s="0">
        <ns0:f>IFERROR(--N311,0)</ns0:f>
        <ns0:v>0</ns0:v>
      </ns0:c>
      <ns0:c r="R311" s="0">
        <ns0:f>IFERROR(IF(FIND(".",L311)=5,--O311,--M311),0)</ns0:f>
        <ns0:v>0</ns0:v>
      </ns0:c>
      <ns0:c r="S311" s="0">
        <ns0:f>IFERROR(IF(AND(P311&gt;=2000,P311&lt;=2100,Q311&gt;=1,Q311&lt;=12,R311&gt;=1,R311&lt;=31),DATE(P311,Q311,R311),0),0)</ns0:f>
        <ns0:v>0</ns0:v>
      </ns0:c>
      <ns0:c r="T311" s="0">
        <ns0:f>IFERROR(IF(ISNUMBER(Bookings!D311),IF(AND(Bookings!D311=INT(Bookings!D311),Bookings!D311&gt;=DATE(2000,1,1),Bookings!D311&lt;=DATE(2100,12,31)),Bookings!D311,0),IF(AND(K311&lt;&gt;"",LEN("x"&amp;L311)-LEN(SUBSTITUTE("x"&amp;L311,".",""))=2,OR(1&gt;LEN(L311),MID(L311,1,1)=".",ISNUMBER(FIND("x"&amp;MID(L311,1,1),"x0x1x2x3x4x5x6x7x8x9"))),OR(2&gt;LEN(L311),MID(L311,2,1)=".",ISNUMBER(FIND("x"&amp;MID(L311,2,1),"x0x1x2x3x4x5x6x7x8x9"))),OR(3&gt;LEN(L311),MID(L311,3,1)=".",ISNUMBER(FIND("x"&amp;MID(L311,3,1),"x0x1x2x3x4x5x6x7x8x9"))),OR(4&gt;LEN(L311),MID(L311,4,1)=".",ISNUMBER(FIND("x"&amp;MID(L311,4,1),"x0x1x2x3x4x5x6x7x8x9"))),OR(5&gt;LEN(L311),MID(L311,5,1)=".",ISNUMBER(FIND("x"&amp;MID(L311,5,1),"x0x1x2x3x4x5x6x7x8x9"))),OR(6&gt;LEN(L311),MID(L311,6,1)=".",ISNUMBER(FIND("x"&amp;MID(L311,6,1),"x0x1x2x3x4x5x6x7x8x9"))),OR(7&gt;LEN(L311),MID(L311,7,1)=".",ISNUMBER(FIND("x"&amp;MID(L311,7,1),"x0x1x2x3x4x5x6x7x8x9"))),OR(8&gt;LEN(L311),MID(L311,8,1)=".",ISNUMBER(FIND("x"&amp;MID(L311,8,1),"x0x1x2x3x4x5x6x7x8x9"))),OR(9&gt;LEN(L311),MID(L311,9,1)=".",ISNUMBER(FIND("x"&amp;MID(L311,9,1),"x0x1x2x3x4x5x6x7x8x9"))),OR(10&gt;LEN(L311),MID(L311,10,1)=".",ISNUMBER(FIND("x"&amp;MID(L311,10,1),"x0x1x2x3x4x5x6x7x8x9"))),OR(AND(FIND(".",L311)=5,LEN(L311)-FIND(".",L311,FIND(".",L311)+1)&gt;=1,LEN(L311)-FIND(".",L311,FIND(".",L311)+1)&lt;=2),AND(LEN(L311)-FIND(".",L311,FIND(".",L311)+1)=4,FIND(".",L311)&gt;=2,FIND(".",L311)&lt;=3)),FIND(".",L311,FIND(".",L311)+1)-FIND(".",L311)&gt;=2,FIND(".",L311,FIND(".",L311)+1)-FIND(".",L311)&lt;=3,P311&gt;=2000,P311&lt;=2100,YEAR(S311)=P311,MONTH(S311)=Q311,DAY(S311)=R311),S311,0)),0)</ns0:f>
        <ns0:v>0</ns0:v>
      </ns0:c>
      <ns0:c r="U311" s="0" t="str">
        <ns0:f>IF(Bookings!C311="","Full day",Bookings!C311)</ns0:f>
        <ns0:v>Full day</ns0:v>
      </ns0:c>
      <ns0:c r="V311" s="0" t="str">
        <ns0:f>IF(Bookings!E311="","Full day",Bookings!E311)</ns0:f>
        <ns0:v>Full day</ns0:v>
      </ns0:c>
      <ns0:c r="W311" s="0">
        <ns0:f>IF(J311=0,0,J311+IF(U311="PM",1,0))</ns0:f>
        <ns0:v>0</ns0:v>
      </ns0:c>
      <ns0:c r="X311" s="0">
        <ns0:f>IF(T311=0,0,T311-IF(V311="PM",1,0))</ns0:f>
        <ns0:v>0</ns0:v>
      </ns0:c>
      <ns0:c r="Y311" s="0">
        <ns0:f>IF(J311=0,0,J311+IF(U311="AM",1,0))</ns0:f>
        <ns0:v>0</ns0:v>
      </ns0:c>
      <ns0:c r="Z311" s="0">
        <ns0:f>IF(T311=0,0,T311-IF(V311="AM",1,0))</ns0:f>
        <ns0:v>0</ns0:v>
      </ns0:c>
      <ns0:c r="AA311" s="0">
        <ns0:f>IFERROR(IF(AND(J311&gt;0,'_Engine'!C311&gt;0,MID('_Engine'!W311,WEEKDAY(J311,2),1)="W",COUNTIF(Settings!$F$18:$F$67,J311)=0),1,0),0)</ns0:f>
        <ns0:v>0</ns0:v>
      </ns0:c>
      <ns0:c r="AB311" s="0">
        <ns0:f>IFERROR(IF(AND(T311&gt;0,'_Engine'!C311&gt;0,MID('_Engine'!W311,WEEKDAY(T311,2),1)="W",COUNTIF(Settings!$F$18:$F$67,T311)=0),1,0),0)</ns0:f>
        <ns0:v>0</ns0:v>
      </ns0:c>
      <ns0:c r="AC311" s="0">
        <ns0:f>IF(AND(J311&gt;0,T311&gt;0,W311&lt;=X311),1,0)</ns0:f>
        <ns0:v>0</ns0:v>
      </ns0:c>
      <ns0:c r="AD311" s="0">
        <ns0:f>IF(AND(J311&gt;0,T311&gt;0,Y311&lt;=Z311),1,0)</ns0:f>
        <ns0:v>0</ns0:v>
      </ns0:c>
    </ns0:row>
    <ns0:row r="312">
      <ns0:c r="A312" s="0">
        <ns0:f>IFERROR(IF(ISNUMBER(Bookings!B312),"",TRIM(Bookings!B312&amp;"")),"")</ns0:f>
      </ns0:c>
      <ns0:c r="B312" s="0">
        <ns0:f>IFERROR(SUBSTITUTE(SUBSTITUTE(A312,"/","."),"-","."),"")</ns0:f>
      </ns0:c>
      <ns0:c r="C312" s="0">
        <ns0:f>IFERROR(LEFT(B312,FIND(".",B312)-1),"")</ns0:f>
      </ns0:c>
      <ns0:c r="D312" s="0">
        <ns0:f>IFERROR(MID(B312,FIND(".",B312)+1,FIND(".",B312,FIND(".",B312)+1)-FIND(".",B312)-1),"")</ns0:f>
      </ns0:c>
      <ns0:c r="E312" s="0">
        <ns0:f>IFERROR(MID(B312,FIND(".",B312,FIND(".",B312)+1)+1,99),"")</ns0:f>
        <ns0:v>99</ns0:v>
      </ns0:c>
      <ns0:c r="F312" s="0">
        <ns0:f>IFERROR(IF(FIND(".",B312)=5,--C312,--E312),0)</ns0:f>
        <ns0:v>0</ns0:v>
      </ns0:c>
      <ns0:c r="G312" s="0">
        <ns0:f>IFERROR(--D312,0)</ns0:f>
        <ns0:v>0</ns0:v>
      </ns0:c>
      <ns0:c r="H312" s="0">
        <ns0:f>IFERROR(IF(FIND(".",B312)=5,--E312,--C312),0)</ns0:f>
        <ns0:v>0</ns0:v>
      </ns0:c>
      <ns0:c r="I312" s="0">
        <ns0:f>IFERROR(IF(AND(F312&gt;=2000,F312&lt;=2100,G312&gt;=1,G312&lt;=12,H312&gt;=1,H312&lt;=31),DATE(F312,G312,H312),0),0)</ns0:f>
        <ns0:v>0</ns0:v>
      </ns0:c>
      <ns0:c r="J312" s="0">
        <ns0:f>IFERROR(IF(ISNUMBER(Bookings!B312),IF(AND(Bookings!B312=INT(Bookings!B312),Bookings!B312&gt;=DATE(2000,1,1),Bookings!B312&lt;=DATE(2100,12,31)),Bookings!B312,0),IF(AND(A312&lt;&gt;"",LEN("x"&amp;B312)-LEN(SUBSTITUTE("x"&amp;B312,".",""))=2,OR(1&gt;LEN(B312),MID(B312,1,1)=".",ISNUMBER(FIND("x"&amp;MID(B312,1,1),"x0x1x2x3x4x5x6x7x8x9"))),OR(2&gt;LEN(B312),MID(B312,2,1)=".",ISNUMBER(FIND("x"&amp;MID(B312,2,1),"x0x1x2x3x4x5x6x7x8x9"))),OR(3&gt;LEN(B312),MID(B312,3,1)=".",ISNUMBER(FIND("x"&amp;MID(B312,3,1),"x0x1x2x3x4x5x6x7x8x9"))),OR(4&gt;LEN(B312),MID(B312,4,1)=".",ISNUMBER(FIND("x"&amp;MID(B312,4,1),"x0x1x2x3x4x5x6x7x8x9"))),OR(5&gt;LEN(B312),MID(B312,5,1)=".",ISNUMBER(FIND("x"&amp;MID(B312,5,1),"x0x1x2x3x4x5x6x7x8x9"))),OR(6&gt;LEN(B312),MID(B312,6,1)=".",ISNUMBER(FIND("x"&amp;MID(B312,6,1),"x0x1x2x3x4x5x6x7x8x9"))),OR(7&gt;LEN(B312),MID(B312,7,1)=".",ISNUMBER(FIND("x"&amp;MID(B312,7,1),"x0x1x2x3x4x5x6x7x8x9"))),OR(8&gt;LEN(B312),MID(B312,8,1)=".",ISNUMBER(FIND("x"&amp;MID(B312,8,1),"x0x1x2x3x4x5x6x7x8x9"))),OR(9&gt;LEN(B312),MID(B312,9,1)=".",ISNUMBER(FIND("x"&amp;MID(B312,9,1),"x0x1x2x3x4x5x6x7x8x9"))),OR(10&gt;LEN(B312),MID(B312,10,1)=".",ISNUMBER(FIND("x"&amp;MID(B312,10,1),"x0x1x2x3x4x5x6x7x8x9"))),OR(AND(FIND(".",B312)=5,LEN(B312)-FIND(".",B312,FIND(".",B312)+1)&gt;=1,LEN(B312)-FIND(".",B312,FIND(".",B312)+1)&lt;=2),AND(LEN(B312)-FIND(".",B312,FIND(".",B312)+1)=4,FIND(".",B312)&gt;=2,FIND(".",B312)&lt;=3)),FIND(".",B312,FIND(".",B312)+1)-FIND(".",B312)&gt;=2,FIND(".",B312,FIND(".",B312)+1)-FIND(".",B312)&lt;=3,F312&gt;=2000,F312&lt;=2100,YEAR(I312)=F312,MONTH(I312)=G312,DAY(I312)=H312),I312,0)),0)</ns0:f>
        <ns0:v>0</ns0:v>
      </ns0:c>
      <ns0:c r="K312" s="0">
        <ns0:f>IFERROR(IF(ISNUMBER(Bookings!D312),"",TRIM(Bookings!D312&amp;"")),"")</ns0:f>
      </ns0:c>
      <ns0:c r="L312" s="0">
        <ns0:f>IFERROR(SUBSTITUTE(SUBSTITUTE(K312,"/","."),"-","."),"")</ns0:f>
      </ns0:c>
      <ns0:c r="M312" s="0">
        <ns0:f>IFERROR(LEFT(L312,FIND(".",L312)-1),"")</ns0:f>
      </ns0:c>
      <ns0:c r="N312" s="0">
        <ns0:f>IFERROR(MID(L312,FIND(".",L312)+1,FIND(".",L312,FIND(".",L312)+1)-FIND(".",L312)-1),"")</ns0:f>
      </ns0:c>
      <ns0:c r="O312" s="0">
        <ns0:f>IFERROR(MID(L312,FIND(".",L312,FIND(".",L312)+1)+1,99),"")</ns0:f>
        <ns0:v>99</ns0:v>
      </ns0:c>
      <ns0:c r="P312" s="0">
        <ns0:f>IFERROR(IF(FIND(".",L312)=5,--M312,--O312),0)</ns0:f>
        <ns0:v>0</ns0:v>
      </ns0:c>
      <ns0:c r="Q312" s="0">
        <ns0:f>IFERROR(--N312,0)</ns0:f>
        <ns0:v>0</ns0:v>
      </ns0:c>
      <ns0:c r="R312" s="0">
        <ns0:f>IFERROR(IF(FIND(".",L312)=5,--O312,--M312),0)</ns0:f>
        <ns0:v>0</ns0:v>
      </ns0:c>
      <ns0:c r="S312" s="0">
        <ns0:f>IFERROR(IF(AND(P312&gt;=2000,P312&lt;=2100,Q312&gt;=1,Q312&lt;=12,R312&gt;=1,R312&lt;=31),DATE(P312,Q312,R312),0),0)</ns0:f>
        <ns0:v>0</ns0:v>
      </ns0:c>
      <ns0:c r="T312" s="0">
        <ns0:f>IFERROR(IF(ISNUMBER(Bookings!D312),IF(AND(Bookings!D312=INT(Bookings!D312),Bookings!D312&gt;=DATE(2000,1,1),Bookings!D312&lt;=DATE(2100,12,31)),Bookings!D312,0),IF(AND(K312&lt;&gt;"",LEN("x"&amp;L312)-LEN(SUBSTITUTE("x"&amp;L312,".",""))=2,OR(1&gt;LEN(L312),MID(L312,1,1)=".",ISNUMBER(FIND("x"&amp;MID(L312,1,1),"x0x1x2x3x4x5x6x7x8x9"))),OR(2&gt;LEN(L312),MID(L312,2,1)=".",ISNUMBER(FIND("x"&amp;MID(L312,2,1),"x0x1x2x3x4x5x6x7x8x9"))),OR(3&gt;LEN(L312),MID(L312,3,1)=".",ISNUMBER(FIND("x"&amp;MID(L312,3,1),"x0x1x2x3x4x5x6x7x8x9"))),OR(4&gt;LEN(L312),MID(L312,4,1)=".",ISNUMBER(FIND("x"&amp;MID(L312,4,1),"x0x1x2x3x4x5x6x7x8x9"))),OR(5&gt;LEN(L312),MID(L312,5,1)=".",ISNUMBER(FIND("x"&amp;MID(L312,5,1),"x0x1x2x3x4x5x6x7x8x9"))),OR(6&gt;LEN(L312),MID(L312,6,1)=".",ISNUMBER(FIND("x"&amp;MID(L312,6,1),"x0x1x2x3x4x5x6x7x8x9"))),OR(7&gt;LEN(L312),MID(L312,7,1)=".",ISNUMBER(FIND("x"&amp;MID(L312,7,1),"x0x1x2x3x4x5x6x7x8x9"))),OR(8&gt;LEN(L312),MID(L312,8,1)=".",ISNUMBER(FIND("x"&amp;MID(L312,8,1),"x0x1x2x3x4x5x6x7x8x9"))),OR(9&gt;LEN(L312),MID(L312,9,1)=".",ISNUMBER(FIND("x"&amp;MID(L312,9,1),"x0x1x2x3x4x5x6x7x8x9"))),OR(10&gt;LEN(L312),MID(L312,10,1)=".",ISNUMBER(FIND("x"&amp;MID(L312,10,1),"x0x1x2x3x4x5x6x7x8x9"))),OR(AND(FIND(".",L312)=5,LEN(L312)-FIND(".",L312,FIND(".",L312)+1)&gt;=1,LEN(L312)-FIND(".",L312,FIND(".",L312)+1)&lt;=2),AND(LEN(L312)-FIND(".",L312,FIND(".",L312)+1)=4,FIND(".",L312)&gt;=2,FIND(".",L312)&lt;=3)),FIND(".",L312,FIND(".",L312)+1)-FIND(".",L312)&gt;=2,FIND(".",L312,FIND(".",L312)+1)-FIND(".",L312)&lt;=3,P312&gt;=2000,P312&lt;=2100,YEAR(S312)=P312,MONTH(S312)=Q312,DAY(S312)=R312),S312,0)),0)</ns0:f>
        <ns0:v>0</ns0:v>
      </ns0:c>
      <ns0:c r="U312" s="0" t="str">
        <ns0:f>IF(Bookings!C312="","Full day",Bookings!C312)</ns0:f>
        <ns0:v>Full day</ns0:v>
      </ns0:c>
      <ns0:c r="V312" s="0" t="str">
        <ns0:f>IF(Bookings!E312="","Full day",Bookings!E312)</ns0:f>
        <ns0:v>Full day</ns0:v>
      </ns0:c>
      <ns0:c r="W312" s="0">
        <ns0:f>IF(J312=0,0,J312+IF(U312="PM",1,0))</ns0:f>
        <ns0:v>0</ns0:v>
      </ns0:c>
      <ns0:c r="X312" s="0">
        <ns0:f>IF(T312=0,0,T312-IF(V312="PM",1,0))</ns0:f>
        <ns0:v>0</ns0:v>
      </ns0:c>
      <ns0:c r="Y312" s="0">
        <ns0:f>IF(J312=0,0,J312+IF(U312="AM",1,0))</ns0:f>
        <ns0:v>0</ns0:v>
      </ns0:c>
      <ns0:c r="Z312" s="0">
        <ns0:f>IF(T312=0,0,T312-IF(V312="AM",1,0))</ns0:f>
        <ns0:v>0</ns0:v>
      </ns0:c>
      <ns0:c r="AA312" s="0">
        <ns0:f>IFERROR(IF(AND(J312&gt;0,'_Engine'!C312&gt;0,MID('_Engine'!W312,WEEKDAY(J312,2),1)="W",COUNTIF(Settings!$F$18:$F$67,J312)=0),1,0),0)</ns0:f>
        <ns0:v>0</ns0:v>
      </ns0:c>
      <ns0:c r="AB312" s="0">
        <ns0:f>IFERROR(IF(AND(T312&gt;0,'_Engine'!C312&gt;0,MID('_Engine'!W312,WEEKDAY(T312,2),1)="W",COUNTIF(Settings!$F$18:$F$67,T312)=0),1,0),0)</ns0:f>
        <ns0:v>0</ns0:v>
      </ns0:c>
      <ns0:c r="AC312" s="0">
        <ns0:f>IF(AND(J312&gt;0,T312&gt;0,W312&lt;=X312),1,0)</ns0:f>
        <ns0:v>0</ns0:v>
      </ns0:c>
      <ns0:c r="AD312" s="0">
        <ns0:f>IF(AND(J312&gt;0,T312&gt;0,Y312&lt;=Z312),1,0)</ns0:f>
        <ns0:v>0</ns0:v>
      </ns0:c>
    </ns0:row>
    <ns0:row r="313">
      <ns0:c r="A313" s="0">
        <ns0:f>IFERROR(IF(ISNUMBER(Bookings!B313),"",TRIM(Bookings!B313&amp;"")),"")</ns0:f>
      </ns0:c>
      <ns0:c r="B313" s="0">
        <ns0:f>IFERROR(SUBSTITUTE(SUBSTITUTE(A313,"/","."),"-","."),"")</ns0:f>
      </ns0:c>
      <ns0:c r="C313" s="0">
        <ns0:f>IFERROR(LEFT(B313,FIND(".",B313)-1),"")</ns0:f>
      </ns0:c>
      <ns0:c r="D313" s="0">
        <ns0:f>IFERROR(MID(B313,FIND(".",B313)+1,FIND(".",B313,FIND(".",B313)+1)-FIND(".",B313)-1),"")</ns0:f>
      </ns0:c>
      <ns0:c r="E313" s="0">
        <ns0:f>IFERROR(MID(B313,FIND(".",B313,FIND(".",B313)+1)+1,99),"")</ns0:f>
        <ns0:v>99</ns0:v>
      </ns0:c>
      <ns0:c r="F313" s="0">
        <ns0:f>IFERROR(IF(FIND(".",B313)=5,--C313,--E313),0)</ns0:f>
        <ns0:v>0</ns0:v>
      </ns0:c>
      <ns0:c r="G313" s="0">
        <ns0:f>IFERROR(--D313,0)</ns0:f>
        <ns0:v>0</ns0:v>
      </ns0:c>
      <ns0:c r="H313" s="0">
        <ns0:f>IFERROR(IF(FIND(".",B313)=5,--E313,--C313),0)</ns0:f>
        <ns0:v>0</ns0:v>
      </ns0:c>
      <ns0:c r="I313" s="0">
        <ns0:f>IFERROR(IF(AND(F313&gt;=2000,F313&lt;=2100,G313&gt;=1,G313&lt;=12,H313&gt;=1,H313&lt;=31),DATE(F313,G313,H313),0),0)</ns0:f>
        <ns0:v>0</ns0:v>
      </ns0:c>
      <ns0:c r="J313" s="0">
        <ns0:f>IFERROR(IF(ISNUMBER(Bookings!B313),IF(AND(Bookings!B313=INT(Bookings!B313),Bookings!B313&gt;=DATE(2000,1,1),Bookings!B313&lt;=DATE(2100,12,31)),Bookings!B313,0),IF(AND(A313&lt;&gt;"",LEN("x"&amp;B313)-LEN(SUBSTITUTE("x"&amp;B313,".",""))=2,OR(1&gt;LEN(B313),MID(B313,1,1)=".",ISNUMBER(FIND("x"&amp;MID(B313,1,1),"x0x1x2x3x4x5x6x7x8x9"))),OR(2&gt;LEN(B313),MID(B313,2,1)=".",ISNUMBER(FIND("x"&amp;MID(B313,2,1),"x0x1x2x3x4x5x6x7x8x9"))),OR(3&gt;LEN(B313),MID(B313,3,1)=".",ISNUMBER(FIND("x"&amp;MID(B313,3,1),"x0x1x2x3x4x5x6x7x8x9"))),OR(4&gt;LEN(B313),MID(B313,4,1)=".",ISNUMBER(FIND("x"&amp;MID(B313,4,1),"x0x1x2x3x4x5x6x7x8x9"))),OR(5&gt;LEN(B313),MID(B313,5,1)=".",ISNUMBER(FIND("x"&amp;MID(B313,5,1),"x0x1x2x3x4x5x6x7x8x9"))),OR(6&gt;LEN(B313),MID(B313,6,1)=".",ISNUMBER(FIND("x"&amp;MID(B313,6,1),"x0x1x2x3x4x5x6x7x8x9"))),OR(7&gt;LEN(B313),MID(B313,7,1)=".",ISNUMBER(FIND("x"&amp;MID(B313,7,1),"x0x1x2x3x4x5x6x7x8x9"))),OR(8&gt;LEN(B313),MID(B313,8,1)=".",ISNUMBER(FIND("x"&amp;MID(B313,8,1),"x0x1x2x3x4x5x6x7x8x9"))),OR(9&gt;LEN(B313),MID(B313,9,1)=".",ISNUMBER(FIND("x"&amp;MID(B313,9,1),"x0x1x2x3x4x5x6x7x8x9"))),OR(10&gt;LEN(B313),MID(B313,10,1)=".",ISNUMBER(FIND("x"&amp;MID(B313,10,1),"x0x1x2x3x4x5x6x7x8x9"))),OR(AND(FIND(".",B313)=5,LEN(B313)-FIND(".",B313,FIND(".",B313)+1)&gt;=1,LEN(B313)-FIND(".",B313,FIND(".",B313)+1)&lt;=2),AND(LEN(B313)-FIND(".",B313,FIND(".",B313)+1)=4,FIND(".",B313)&gt;=2,FIND(".",B313)&lt;=3)),FIND(".",B313,FIND(".",B313)+1)-FIND(".",B313)&gt;=2,FIND(".",B313,FIND(".",B313)+1)-FIND(".",B313)&lt;=3,F313&gt;=2000,F313&lt;=2100,YEAR(I313)=F313,MONTH(I313)=G313,DAY(I313)=H313),I313,0)),0)</ns0:f>
        <ns0:v>0</ns0:v>
      </ns0:c>
      <ns0:c r="K313" s="0">
        <ns0:f>IFERROR(IF(ISNUMBER(Bookings!D313),"",TRIM(Bookings!D313&amp;"")),"")</ns0:f>
      </ns0:c>
      <ns0:c r="L313" s="0">
        <ns0:f>IFERROR(SUBSTITUTE(SUBSTITUTE(K313,"/","."),"-","."),"")</ns0:f>
      </ns0:c>
      <ns0:c r="M313" s="0">
        <ns0:f>IFERROR(LEFT(L313,FIND(".",L313)-1),"")</ns0:f>
      </ns0:c>
      <ns0:c r="N313" s="0">
        <ns0:f>IFERROR(MID(L313,FIND(".",L313)+1,FIND(".",L313,FIND(".",L313)+1)-FIND(".",L313)-1),"")</ns0:f>
      </ns0:c>
      <ns0:c r="O313" s="0">
        <ns0:f>IFERROR(MID(L313,FIND(".",L313,FIND(".",L313)+1)+1,99),"")</ns0:f>
        <ns0:v>99</ns0:v>
      </ns0:c>
      <ns0:c r="P313" s="0">
        <ns0:f>IFERROR(IF(FIND(".",L313)=5,--M313,--O313),0)</ns0:f>
        <ns0:v>0</ns0:v>
      </ns0:c>
      <ns0:c r="Q313" s="0">
        <ns0:f>IFERROR(--N313,0)</ns0:f>
        <ns0:v>0</ns0:v>
      </ns0:c>
      <ns0:c r="R313" s="0">
        <ns0:f>IFERROR(IF(FIND(".",L313)=5,--O313,--M313),0)</ns0:f>
        <ns0:v>0</ns0:v>
      </ns0:c>
      <ns0:c r="S313" s="0">
        <ns0:f>IFERROR(IF(AND(P313&gt;=2000,P313&lt;=2100,Q313&gt;=1,Q313&lt;=12,R313&gt;=1,R313&lt;=31),DATE(P313,Q313,R313),0),0)</ns0:f>
        <ns0:v>0</ns0:v>
      </ns0:c>
      <ns0:c r="T313" s="0">
        <ns0:f>IFERROR(IF(ISNUMBER(Bookings!D313),IF(AND(Bookings!D313=INT(Bookings!D313),Bookings!D313&gt;=DATE(2000,1,1),Bookings!D313&lt;=DATE(2100,12,31)),Bookings!D313,0),IF(AND(K313&lt;&gt;"",LEN("x"&amp;L313)-LEN(SUBSTITUTE("x"&amp;L313,".",""))=2,OR(1&gt;LEN(L313),MID(L313,1,1)=".",ISNUMBER(FIND("x"&amp;MID(L313,1,1),"x0x1x2x3x4x5x6x7x8x9"))),OR(2&gt;LEN(L313),MID(L313,2,1)=".",ISNUMBER(FIND("x"&amp;MID(L313,2,1),"x0x1x2x3x4x5x6x7x8x9"))),OR(3&gt;LEN(L313),MID(L313,3,1)=".",ISNUMBER(FIND("x"&amp;MID(L313,3,1),"x0x1x2x3x4x5x6x7x8x9"))),OR(4&gt;LEN(L313),MID(L313,4,1)=".",ISNUMBER(FIND("x"&amp;MID(L313,4,1),"x0x1x2x3x4x5x6x7x8x9"))),OR(5&gt;LEN(L313),MID(L313,5,1)=".",ISNUMBER(FIND("x"&amp;MID(L313,5,1),"x0x1x2x3x4x5x6x7x8x9"))),OR(6&gt;LEN(L313),MID(L313,6,1)=".",ISNUMBER(FIND("x"&amp;MID(L313,6,1),"x0x1x2x3x4x5x6x7x8x9"))),OR(7&gt;LEN(L313),MID(L313,7,1)=".",ISNUMBER(FIND("x"&amp;MID(L313,7,1),"x0x1x2x3x4x5x6x7x8x9"))),OR(8&gt;LEN(L313),MID(L313,8,1)=".",ISNUMBER(FIND("x"&amp;MID(L313,8,1),"x0x1x2x3x4x5x6x7x8x9"))),OR(9&gt;LEN(L313),MID(L313,9,1)=".",ISNUMBER(FIND("x"&amp;MID(L313,9,1),"x0x1x2x3x4x5x6x7x8x9"))),OR(10&gt;LEN(L313),MID(L313,10,1)=".",ISNUMBER(FIND("x"&amp;MID(L313,10,1),"x0x1x2x3x4x5x6x7x8x9"))),OR(AND(FIND(".",L313)=5,LEN(L313)-FIND(".",L313,FIND(".",L313)+1)&gt;=1,LEN(L313)-FIND(".",L313,FIND(".",L313)+1)&lt;=2),AND(LEN(L313)-FIND(".",L313,FIND(".",L313)+1)=4,FIND(".",L313)&gt;=2,FIND(".",L313)&lt;=3)),FIND(".",L313,FIND(".",L313)+1)-FIND(".",L313)&gt;=2,FIND(".",L313,FIND(".",L313)+1)-FIND(".",L313)&lt;=3,P313&gt;=2000,P313&lt;=2100,YEAR(S313)=P313,MONTH(S313)=Q313,DAY(S313)=R313),S313,0)),0)</ns0:f>
        <ns0:v>0</ns0:v>
      </ns0:c>
      <ns0:c r="U313" s="0" t="str">
        <ns0:f>IF(Bookings!C313="","Full day",Bookings!C313)</ns0:f>
        <ns0:v>Full day</ns0:v>
      </ns0:c>
      <ns0:c r="V313" s="0" t="str">
        <ns0:f>IF(Bookings!E313="","Full day",Bookings!E313)</ns0:f>
        <ns0:v>Full day</ns0:v>
      </ns0:c>
      <ns0:c r="W313" s="0">
        <ns0:f>IF(J313=0,0,J313+IF(U313="PM",1,0))</ns0:f>
        <ns0:v>0</ns0:v>
      </ns0:c>
      <ns0:c r="X313" s="0">
        <ns0:f>IF(T313=0,0,T313-IF(V313="PM",1,0))</ns0:f>
        <ns0:v>0</ns0:v>
      </ns0:c>
      <ns0:c r="Y313" s="0">
        <ns0:f>IF(J313=0,0,J313+IF(U313="AM",1,0))</ns0:f>
        <ns0:v>0</ns0:v>
      </ns0:c>
      <ns0:c r="Z313" s="0">
        <ns0:f>IF(T313=0,0,T313-IF(V313="AM",1,0))</ns0:f>
        <ns0:v>0</ns0:v>
      </ns0:c>
      <ns0:c r="AA313" s="0">
        <ns0:f>IFERROR(IF(AND(J313&gt;0,'_Engine'!C313&gt;0,MID('_Engine'!W313,WEEKDAY(J313,2),1)="W",COUNTIF(Settings!$F$18:$F$67,J313)=0),1,0),0)</ns0:f>
        <ns0:v>0</ns0:v>
      </ns0:c>
      <ns0:c r="AB313" s="0">
        <ns0:f>IFERROR(IF(AND(T313&gt;0,'_Engine'!C313&gt;0,MID('_Engine'!W313,WEEKDAY(T313,2),1)="W",COUNTIF(Settings!$F$18:$F$67,T313)=0),1,0),0)</ns0:f>
        <ns0:v>0</ns0:v>
      </ns0:c>
      <ns0:c r="AC313" s="0">
        <ns0:f>IF(AND(J313&gt;0,T313&gt;0,W313&lt;=X313),1,0)</ns0:f>
        <ns0:v>0</ns0:v>
      </ns0:c>
      <ns0:c r="AD313" s="0">
        <ns0:f>IF(AND(J313&gt;0,T313&gt;0,Y313&lt;=Z313),1,0)</ns0:f>
        <ns0:v>0</ns0:v>
      </ns0:c>
    </ns0:row>
    <ns0:row r="314">
      <ns0:c r="A314" s="0">
        <ns0:f>IFERROR(IF(ISNUMBER(Bookings!B314),"",TRIM(Bookings!B314&amp;"")),"")</ns0:f>
      </ns0:c>
      <ns0:c r="B314" s="0">
        <ns0:f>IFERROR(SUBSTITUTE(SUBSTITUTE(A314,"/","."),"-","."),"")</ns0:f>
      </ns0:c>
      <ns0:c r="C314" s="0">
        <ns0:f>IFERROR(LEFT(B314,FIND(".",B314)-1),"")</ns0:f>
      </ns0:c>
      <ns0:c r="D314" s="0">
        <ns0:f>IFERROR(MID(B314,FIND(".",B314)+1,FIND(".",B314,FIND(".",B314)+1)-FIND(".",B314)-1),"")</ns0:f>
      </ns0:c>
      <ns0:c r="E314" s="0">
        <ns0:f>IFERROR(MID(B314,FIND(".",B314,FIND(".",B314)+1)+1,99),"")</ns0:f>
        <ns0:v>99</ns0:v>
      </ns0:c>
      <ns0:c r="F314" s="0">
        <ns0:f>IFERROR(IF(FIND(".",B314)=5,--C314,--E314),0)</ns0:f>
        <ns0:v>0</ns0:v>
      </ns0:c>
      <ns0:c r="G314" s="0">
        <ns0:f>IFERROR(--D314,0)</ns0:f>
        <ns0:v>0</ns0:v>
      </ns0:c>
      <ns0:c r="H314" s="0">
        <ns0:f>IFERROR(IF(FIND(".",B314)=5,--E314,--C314),0)</ns0:f>
        <ns0:v>0</ns0:v>
      </ns0:c>
      <ns0:c r="I314" s="0">
        <ns0:f>IFERROR(IF(AND(F314&gt;=2000,F314&lt;=2100,G314&gt;=1,G314&lt;=12,H314&gt;=1,H314&lt;=31),DATE(F314,G314,H314),0),0)</ns0:f>
        <ns0:v>0</ns0:v>
      </ns0:c>
      <ns0:c r="J314" s="0">
        <ns0:f>IFERROR(IF(ISNUMBER(Bookings!B314),IF(AND(Bookings!B314=INT(Bookings!B314),Bookings!B314&gt;=DATE(2000,1,1),Bookings!B314&lt;=DATE(2100,12,31)),Bookings!B314,0),IF(AND(A314&lt;&gt;"",LEN("x"&amp;B314)-LEN(SUBSTITUTE("x"&amp;B314,".",""))=2,OR(1&gt;LEN(B314),MID(B314,1,1)=".",ISNUMBER(FIND("x"&amp;MID(B314,1,1),"x0x1x2x3x4x5x6x7x8x9"))),OR(2&gt;LEN(B314),MID(B314,2,1)=".",ISNUMBER(FIND("x"&amp;MID(B314,2,1),"x0x1x2x3x4x5x6x7x8x9"))),OR(3&gt;LEN(B314),MID(B314,3,1)=".",ISNUMBER(FIND("x"&amp;MID(B314,3,1),"x0x1x2x3x4x5x6x7x8x9"))),OR(4&gt;LEN(B314),MID(B314,4,1)=".",ISNUMBER(FIND("x"&amp;MID(B314,4,1),"x0x1x2x3x4x5x6x7x8x9"))),OR(5&gt;LEN(B314),MID(B314,5,1)=".",ISNUMBER(FIND("x"&amp;MID(B314,5,1),"x0x1x2x3x4x5x6x7x8x9"))),OR(6&gt;LEN(B314),MID(B314,6,1)=".",ISNUMBER(FIND("x"&amp;MID(B314,6,1),"x0x1x2x3x4x5x6x7x8x9"))),OR(7&gt;LEN(B314),MID(B314,7,1)=".",ISNUMBER(FIND("x"&amp;MID(B314,7,1),"x0x1x2x3x4x5x6x7x8x9"))),OR(8&gt;LEN(B314),MID(B314,8,1)=".",ISNUMBER(FIND("x"&amp;MID(B314,8,1),"x0x1x2x3x4x5x6x7x8x9"))),OR(9&gt;LEN(B314),MID(B314,9,1)=".",ISNUMBER(FIND("x"&amp;MID(B314,9,1),"x0x1x2x3x4x5x6x7x8x9"))),OR(10&gt;LEN(B314),MID(B314,10,1)=".",ISNUMBER(FIND("x"&amp;MID(B314,10,1),"x0x1x2x3x4x5x6x7x8x9"))),OR(AND(FIND(".",B314)=5,LEN(B314)-FIND(".",B314,FIND(".",B314)+1)&gt;=1,LEN(B314)-FIND(".",B314,FIND(".",B314)+1)&lt;=2),AND(LEN(B314)-FIND(".",B314,FIND(".",B314)+1)=4,FIND(".",B314)&gt;=2,FIND(".",B314)&lt;=3)),FIND(".",B314,FIND(".",B314)+1)-FIND(".",B314)&gt;=2,FIND(".",B314,FIND(".",B314)+1)-FIND(".",B314)&lt;=3,F314&gt;=2000,F314&lt;=2100,YEAR(I314)=F314,MONTH(I314)=G314,DAY(I314)=H314),I314,0)),0)</ns0:f>
        <ns0:v>0</ns0:v>
      </ns0:c>
      <ns0:c r="K314" s="0">
        <ns0:f>IFERROR(IF(ISNUMBER(Bookings!D314),"",TRIM(Bookings!D314&amp;"")),"")</ns0:f>
      </ns0:c>
      <ns0:c r="L314" s="0">
        <ns0:f>IFERROR(SUBSTITUTE(SUBSTITUTE(K314,"/","."),"-","."),"")</ns0:f>
      </ns0:c>
      <ns0:c r="M314" s="0">
        <ns0:f>IFERROR(LEFT(L314,FIND(".",L314)-1),"")</ns0:f>
      </ns0:c>
      <ns0:c r="N314" s="0">
        <ns0:f>IFERROR(MID(L314,FIND(".",L314)+1,FIND(".",L314,FIND(".",L314)+1)-FIND(".",L314)-1),"")</ns0:f>
      </ns0:c>
      <ns0:c r="O314" s="0">
        <ns0:f>IFERROR(MID(L314,FIND(".",L314,FIND(".",L314)+1)+1,99),"")</ns0:f>
        <ns0:v>99</ns0:v>
      </ns0:c>
      <ns0:c r="P314" s="0">
        <ns0:f>IFERROR(IF(FIND(".",L314)=5,--M314,--O314),0)</ns0:f>
        <ns0:v>0</ns0:v>
      </ns0:c>
      <ns0:c r="Q314" s="0">
        <ns0:f>IFERROR(--N314,0)</ns0:f>
        <ns0:v>0</ns0:v>
      </ns0:c>
      <ns0:c r="R314" s="0">
        <ns0:f>IFERROR(IF(FIND(".",L314)=5,--O314,--M314),0)</ns0:f>
        <ns0:v>0</ns0:v>
      </ns0:c>
      <ns0:c r="S314" s="0">
        <ns0:f>IFERROR(IF(AND(P314&gt;=2000,P314&lt;=2100,Q314&gt;=1,Q314&lt;=12,R314&gt;=1,R314&lt;=31),DATE(P314,Q314,R314),0),0)</ns0:f>
        <ns0:v>0</ns0:v>
      </ns0:c>
      <ns0:c r="T314" s="0">
        <ns0:f>IFERROR(IF(ISNUMBER(Bookings!D314),IF(AND(Bookings!D314=INT(Bookings!D314),Bookings!D314&gt;=DATE(2000,1,1),Bookings!D314&lt;=DATE(2100,12,31)),Bookings!D314,0),IF(AND(K314&lt;&gt;"",LEN("x"&amp;L314)-LEN(SUBSTITUTE("x"&amp;L314,".",""))=2,OR(1&gt;LEN(L314),MID(L314,1,1)=".",ISNUMBER(FIND("x"&amp;MID(L314,1,1),"x0x1x2x3x4x5x6x7x8x9"))),OR(2&gt;LEN(L314),MID(L314,2,1)=".",ISNUMBER(FIND("x"&amp;MID(L314,2,1),"x0x1x2x3x4x5x6x7x8x9"))),OR(3&gt;LEN(L314),MID(L314,3,1)=".",ISNUMBER(FIND("x"&amp;MID(L314,3,1),"x0x1x2x3x4x5x6x7x8x9"))),OR(4&gt;LEN(L314),MID(L314,4,1)=".",ISNUMBER(FIND("x"&amp;MID(L314,4,1),"x0x1x2x3x4x5x6x7x8x9"))),OR(5&gt;LEN(L314),MID(L314,5,1)=".",ISNUMBER(FIND("x"&amp;MID(L314,5,1),"x0x1x2x3x4x5x6x7x8x9"))),OR(6&gt;LEN(L314),MID(L314,6,1)=".",ISNUMBER(FIND("x"&amp;MID(L314,6,1),"x0x1x2x3x4x5x6x7x8x9"))),OR(7&gt;LEN(L314),MID(L314,7,1)=".",ISNUMBER(FIND("x"&amp;MID(L314,7,1),"x0x1x2x3x4x5x6x7x8x9"))),OR(8&gt;LEN(L314),MID(L314,8,1)=".",ISNUMBER(FIND("x"&amp;MID(L314,8,1),"x0x1x2x3x4x5x6x7x8x9"))),OR(9&gt;LEN(L314),MID(L314,9,1)=".",ISNUMBER(FIND("x"&amp;MID(L314,9,1),"x0x1x2x3x4x5x6x7x8x9"))),OR(10&gt;LEN(L314),MID(L314,10,1)=".",ISNUMBER(FIND("x"&amp;MID(L314,10,1),"x0x1x2x3x4x5x6x7x8x9"))),OR(AND(FIND(".",L314)=5,LEN(L314)-FIND(".",L314,FIND(".",L314)+1)&gt;=1,LEN(L314)-FIND(".",L314,FIND(".",L314)+1)&lt;=2),AND(LEN(L314)-FIND(".",L314,FIND(".",L314)+1)=4,FIND(".",L314)&gt;=2,FIND(".",L314)&lt;=3)),FIND(".",L314,FIND(".",L314)+1)-FIND(".",L314)&gt;=2,FIND(".",L314,FIND(".",L314)+1)-FIND(".",L314)&lt;=3,P314&gt;=2000,P314&lt;=2100,YEAR(S314)=P314,MONTH(S314)=Q314,DAY(S314)=R314),S314,0)),0)</ns0:f>
        <ns0:v>0</ns0:v>
      </ns0:c>
      <ns0:c r="U314" s="0" t="str">
        <ns0:f>IF(Bookings!C314="","Full day",Bookings!C314)</ns0:f>
        <ns0:v>Full day</ns0:v>
      </ns0:c>
      <ns0:c r="V314" s="0" t="str">
        <ns0:f>IF(Bookings!E314="","Full day",Bookings!E314)</ns0:f>
        <ns0:v>Full day</ns0:v>
      </ns0:c>
      <ns0:c r="W314" s="0">
        <ns0:f>IF(J314=0,0,J314+IF(U314="PM",1,0))</ns0:f>
        <ns0:v>0</ns0:v>
      </ns0:c>
      <ns0:c r="X314" s="0">
        <ns0:f>IF(T314=0,0,T314-IF(V314="PM",1,0))</ns0:f>
        <ns0:v>0</ns0:v>
      </ns0:c>
      <ns0:c r="Y314" s="0">
        <ns0:f>IF(J314=0,0,J314+IF(U314="AM",1,0))</ns0:f>
        <ns0:v>0</ns0:v>
      </ns0:c>
      <ns0:c r="Z314" s="0">
        <ns0:f>IF(T314=0,0,T314-IF(V314="AM",1,0))</ns0:f>
        <ns0:v>0</ns0:v>
      </ns0:c>
      <ns0:c r="AA314" s="0">
        <ns0:f>IFERROR(IF(AND(J314&gt;0,'_Engine'!C314&gt;0,MID('_Engine'!W314,WEEKDAY(J314,2),1)="W",COUNTIF(Settings!$F$18:$F$67,J314)=0),1,0),0)</ns0:f>
        <ns0:v>0</ns0:v>
      </ns0:c>
      <ns0:c r="AB314" s="0">
        <ns0:f>IFERROR(IF(AND(T314&gt;0,'_Engine'!C314&gt;0,MID('_Engine'!W314,WEEKDAY(T314,2),1)="W",COUNTIF(Settings!$F$18:$F$67,T314)=0),1,0),0)</ns0:f>
        <ns0:v>0</ns0:v>
      </ns0:c>
      <ns0:c r="AC314" s="0">
        <ns0:f>IF(AND(J314&gt;0,T314&gt;0,W314&lt;=X314),1,0)</ns0:f>
        <ns0:v>0</ns0:v>
      </ns0:c>
      <ns0:c r="AD314" s="0">
        <ns0:f>IF(AND(J314&gt;0,T314&gt;0,Y314&lt;=Z314),1,0)</ns0:f>
        <ns0:v>0</ns0:v>
      </ns0:c>
    </ns0:row>
    <ns0:row r="315">
      <ns0:c r="A315" s="0">
        <ns0:f>IFERROR(IF(ISNUMBER(Bookings!B315),"",TRIM(Bookings!B315&amp;"")),"")</ns0:f>
      </ns0:c>
      <ns0:c r="B315" s="0">
        <ns0:f>IFERROR(SUBSTITUTE(SUBSTITUTE(A315,"/","."),"-","."),"")</ns0:f>
      </ns0:c>
      <ns0:c r="C315" s="0">
        <ns0:f>IFERROR(LEFT(B315,FIND(".",B315)-1),"")</ns0:f>
      </ns0:c>
      <ns0:c r="D315" s="0">
        <ns0:f>IFERROR(MID(B315,FIND(".",B315)+1,FIND(".",B315,FIND(".",B315)+1)-FIND(".",B315)-1),"")</ns0:f>
      </ns0:c>
      <ns0:c r="E315" s="0">
        <ns0:f>IFERROR(MID(B315,FIND(".",B315,FIND(".",B315)+1)+1,99),"")</ns0:f>
        <ns0:v>99</ns0:v>
      </ns0:c>
      <ns0:c r="F315" s="0">
        <ns0:f>IFERROR(IF(FIND(".",B315)=5,--C315,--E315),0)</ns0:f>
        <ns0:v>0</ns0:v>
      </ns0:c>
      <ns0:c r="G315" s="0">
        <ns0:f>IFERROR(--D315,0)</ns0:f>
        <ns0:v>0</ns0:v>
      </ns0:c>
      <ns0:c r="H315" s="0">
        <ns0:f>IFERROR(IF(FIND(".",B315)=5,--E315,--C315),0)</ns0:f>
        <ns0:v>0</ns0:v>
      </ns0:c>
      <ns0:c r="I315" s="0">
        <ns0:f>IFERROR(IF(AND(F315&gt;=2000,F315&lt;=2100,G315&gt;=1,G315&lt;=12,H315&gt;=1,H315&lt;=31),DATE(F315,G315,H315),0),0)</ns0:f>
        <ns0:v>0</ns0:v>
      </ns0:c>
      <ns0:c r="J315" s="0">
        <ns0:f>IFERROR(IF(ISNUMBER(Bookings!B315),IF(AND(Bookings!B315=INT(Bookings!B315),Bookings!B315&gt;=DATE(2000,1,1),Bookings!B315&lt;=DATE(2100,12,31)),Bookings!B315,0),IF(AND(A315&lt;&gt;"",LEN("x"&amp;B315)-LEN(SUBSTITUTE("x"&amp;B315,".",""))=2,OR(1&gt;LEN(B315),MID(B315,1,1)=".",ISNUMBER(FIND("x"&amp;MID(B315,1,1),"x0x1x2x3x4x5x6x7x8x9"))),OR(2&gt;LEN(B315),MID(B315,2,1)=".",ISNUMBER(FIND("x"&amp;MID(B315,2,1),"x0x1x2x3x4x5x6x7x8x9"))),OR(3&gt;LEN(B315),MID(B315,3,1)=".",ISNUMBER(FIND("x"&amp;MID(B315,3,1),"x0x1x2x3x4x5x6x7x8x9"))),OR(4&gt;LEN(B315),MID(B315,4,1)=".",ISNUMBER(FIND("x"&amp;MID(B315,4,1),"x0x1x2x3x4x5x6x7x8x9"))),OR(5&gt;LEN(B315),MID(B315,5,1)=".",ISNUMBER(FIND("x"&amp;MID(B315,5,1),"x0x1x2x3x4x5x6x7x8x9"))),OR(6&gt;LEN(B315),MID(B315,6,1)=".",ISNUMBER(FIND("x"&amp;MID(B315,6,1),"x0x1x2x3x4x5x6x7x8x9"))),OR(7&gt;LEN(B315),MID(B315,7,1)=".",ISNUMBER(FIND("x"&amp;MID(B315,7,1),"x0x1x2x3x4x5x6x7x8x9"))),OR(8&gt;LEN(B315),MID(B315,8,1)=".",ISNUMBER(FIND("x"&amp;MID(B315,8,1),"x0x1x2x3x4x5x6x7x8x9"))),OR(9&gt;LEN(B315),MID(B315,9,1)=".",ISNUMBER(FIND("x"&amp;MID(B315,9,1),"x0x1x2x3x4x5x6x7x8x9"))),OR(10&gt;LEN(B315),MID(B315,10,1)=".",ISNUMBER(FIND("x"&amp;MID(B315,10,1),"x0x1x2x3x4x5x6x7x8x9"))),OR(AND(FIND(".",B315)=5,LEN(B315)-FIND(".",B315,FIND(".",B315)+1)&gt;=1,LEN(B315)-FIND(".",B315,FIND(".",B315)+1)&lt;=2),AND(LEN(B315)-FIND(".",B315,FIND(".",B315)+1)=4,FIND(".",B315)&gt;=2,FIND(".",B315)&lt;=3)),FIND(".",B315,FIND(".",B315)+1)-FIND(".",B315)&gt;=2,FIND(".",B315,FIND(".",B315)+1)-FIND(".",B315)&lt;=3,F315&gt;=2000,F315&lt;=2100,YEAR(I315)=F315,MONTH(I315)=G315,DAY(I315)=H315),I315,0)),0)</ns0:f>
        <ns0:v>0</ns0:v>
      </ns0:c>
      <ns0:c r="K315" s="0">
        <ns0:f>IFERROR(IF(ISNUMBER(Bookings!D315),"",TRIM(Bookings!D315&amp;"")),"")</ns0:f>
      </ns0:c>
      <ns0:c r="L315" s="0">
        <ns0:f>IFERROR(SUBSTITUTE(SUBSTITUTE(K315,"/","."),"-","."),"")</ns0:f>
      </ns0:c>
      <ns0:c r="M315" s="0">
        <ns0:f>IFERROR(LEFT(L315,FIND(".",L315)-1),"")</ns0:f>
      </ns0:c>
      <ns0:c r="N315" s="0">
        <ns0:f>IFERROR(MID(L315,FIND(".",L315)+1,FIND(".",L315,FIND(".",L315)+1)-FIND(".",L315)-1),"")</ns0:f>
      </ns0:c>
      <ns0:c r="O315" s="0">
        <ns0:f>IFERROR(MID(L315,FIND(".",L315,FIND(".",L315)+1)+1,99),"")</ns0:f>
        <ns0:v>99</ns0:v>
      </ns0:c>
      <ns0:c r="P315" s="0">
        <ns0:f>IFERROR(IF(FIND(".",L315)=5,--M315,--O315),0)</ns0:f>
        <ns0:v>0</ns0:v>
      </ns0:c>
      <ns0:c r="Q315" s="0">
        <ns0:f>IFERROR(--N315,0)</ns0:f>
        <ns0:v>0</ns0:v>
      </ns0:c>
      <ns0:c r="R315" s="0">
        <ns0:f>IFERROR(IF(FIND(".",L315)=5,--O315,--M315),0)</ns0:f>
        <ns0:v>0</ns0:v>
      </ns0:c>
      <ns0:c r="S315" s="0">
        <ns0:f>IFERROR(IF(AND(P315&gt;=2000,P315&lt;=2100,Q315&gt;=1,Q315&lt;=12,R315&gt;=1,R315&lt;=31),DATE(P315,Q315,R315),0),0)</ns0:f>
        <ns0:v>0</ns0:v>
      </ns0:c>
      <ns0:c r="T315" s="0">
        <ns0:f>IFERROR(IF(ISNUMBER(Bookings!D315),IF(AND(Bookings!D315=INT(Bookings!D315),Bookings!D315&gt;=DATE(2000,1,1),Bookings!D315&lt;=DATE(2100,12,31)),Bookings!D315,0),IF(AND(K315&lt;&gt;"",LEN("x"&amp;L315)-LEN(SUBSTITUTE("x"&amp;L315,".",""))=2,OR(1&gt;LEN(L315),MID(L315,1,1)=".",ISNUMBER(FIND("x"&amp;MID(L315,1,1),"x0x1x2x3x4x5x6x7x8x9"))),OR(2&gt;LEN(L315),MID(L315,2,1)=".",ISNUMBER(FIND("x"&amp;MID(L315,2,1),"x0x1x2x3x4x5x6x7x8x9"))),OR(3&gt;LEN(L315),MID(L315,3,1)=".",ISNUMBER(FIND("x"&amp;MID(L315,3,1),"x0x1x2x3x4x5x6x7x8x9"))),OR(4&gt;LEN(L315),MID(L315,4,1)=".",ISNUMBER(FIND("x"&amp;MID(L315,4,1),"x0x1x2x3x4x5x6x7x8x9"))),OR(5&gt;LEN(L315),MID(L315,5,1)=".",ISNUMBER(FIND("x"&amp;MID(L315,5,1),"x0x1x2x3x4x5x6x7x8x9"))),OR(6&gt;LEN(L315),MID(L315,6,1)=".",ISNUMBER(FIND("x"&amp;MID(L315,6,1),"x0x1x2x3x4x5x6x7x8x9"))),OR(7&gt;LEN(L315),MID(L315,7,1)=".",ISNUMBER(FIND("x"&amp;MID(L315,7,1),"x0x1x2x3x4x5x6x7x8x9"))),OR(8&gt;LEN(L315),MID(L315,8,1)=".",ISNUMBER(FIND("x"&amp;MID(L315,8,1),"x0x1x2x3x4x5x6x7x8x9"))),OR(9&gt;LEN(L315),MID(L315,9,1)=".",ISNUMBER(FIND("x"&amp;MID(L315,9,1),"x0x1x2x3x4x5x6x7x8x9"))),OR(10&gt;LEN(L315),MID(L315,10,1)=".",ISNUMBER(FIND("x"&amp;MID(L315,10,1),"x0x1x2x3x4x5x6x7x8x9"))),OR(AND(FIND(".",L315)=5,LEN(L315)-FIND(".",L315,FIND(".",L315)+1)&gt;=1,LEN(L315)-FIND(".",L315,FIND(".",L315)+1)&lt;=2),AND(LEN(L315)-FIND(".",L315,FIND(".",L315)+1)=4,FIND(".",L315)&gt;=2,FIND(".",L315)&lt;=3)),FIND(".",L315,FIND(".",L315)+1)-FIND(".",L315)&gt;=2,FIND(".",L315,FIND(".",L315)+1)-FIND(".",L315)&lt;=3,P315&gt;=2000,P315&lt;=2100,YEAR(S315)=P315,MONTH(S315)=Q315,DAY(S315)=R315),S315,0)),0)</ns0:f>
        <ns0:v>0</ns0:v>
      </ns0:c>
      <ns0:c r="U315" s="0" t="str">
        <ns0:f>IF(Bookings!C315="","Full day",Bookings!C315)</ns0:f>
        <ns0:v>Full day</ns0:v>
      </ns0:c>
      <ns0:c r="V315" s="0" t="str">
        <ns0:f>IF(Bookings!E315="","Full day",Bookings!E315)</ns0:f>
        <ns0:v>Full day</ns0:v>
      </ns0:c>
      <ns0:c r="W315" s="0">
        <ns0:f>IF(J315=0,0,J315+IF(U315="PM",1,0))</ns0:f>
        <ns0:v>0</ns0:v>
      </ns0:c>
      <ns0:c r="X315" s="0">
        <ns0:f>IF(T315=0,0,T315-IF(V315="PM",1,0))</ns0:f>
        <ns0:v>0</ns0:v>
      </ns0:c>
      <ns0:c r="Y315" s="0">
        <ns0:f>IF(J315=0,0,J315+IF(U315="AM",1,0))</ns0:f>
        <ns0:v>0</ns0:v>
      </ns0:c>
      <ns0:c r="Z315" s="0">
        <ns0:f>IF(T315=0,0,T315-IF(V315="AM",1,0))</ns0:f>
        <ns0:v>0</ns0:v>
      </ns0:c>
      <ns0:c r="AA315" s="0">
        <ns0:f>IFERROR(IF(AND(J315&gt;0,'_Engine'!C315&gt;0,MID('_Engine'!W315,WEEKDAY(J315,2),1)="W",COUNTIF(Settings!$F$18:$F$67,J315)=0),1,0),0)</ns0:f>
        <ns0:v>0</ns0:v>
      </ns0:c>
      <ns0:c r="AB315" s="0">
        <ns0:f>IFERROR(IF(AND(T315&gt;0,'_Engine'!C315&gt;0,MID('_Engine'!W315,WEEKDAY(T315,2),1)="W",COUNTIF(Settings!$F$18:$F$67,T315)=0),1,0),0)</ns0:f>
        <ns0:v>0</ns0:v>
      </ns0:c>
      <ns0:c r="AC315" s="0">
        <ns0:f>IF(AND(J315&gt;0,T315&gt;0,W315&lt;=X315),1,0)</ns0:f>
        <ns0:v>0</ns0:v>
      </ns0:c>
      <ns0:c r="AD315" s="0">
        <ns0:f>IF(AND(J315&gt;0,T315&gt;0,Y315&lt;=Z315),1,0)</ns0:f>
        <ns0:v>0</ns0:v>
      </ns0:c>
    </ns0:row>
    <ns0:row r="316">
      <ns0:c r="A316" s="0">
        <ns0:f>IFERROR(IF(ISNUMBER(Bookings!B316),"",TRIM(Bookings!B316&amp;"")),"")</ns0:f>
      </ns0:c>
      <ns0:c r="B316" s="0">
        <ns0:f>IFERROR(SUBSTITUTE(SUBSTITUTE(A316,"/","."),"-","."),"")</ns0:f>
      </ns0:c>
      <ns0:c r="C316" s="0">
        <ns0:f>IFERROR(LEFT(B316,FIND(".",B316)-1),"")</ns0:f>
      </ns0:c>
      <ns0:c r="D316" s="0">
        <ns0:f>IFERROR(MID(B316,FIND(".",B316)+1,FIND(".",B316,FIND(".",B316)+1)-FIND(".",B316)-1),"")</ns0:f>
      </ns0:c>
      <ns0:c r="E316" s="0">
        <ns0:f>IFERROR(MID(B316,FIND(".",B316,FIND(".",B316)+1)+1,99),"")</ns0:f>
        <ns0:v>99</ns0:v>
      </ns0:c>
      <ns0:c r="F316" s="0">
        <ns0:f>IFERROR(IF(FIND(".",B316)=5,--C316,--E316),0)</ns0:f>
        <ns0:v>0</ns0:v>
      </ns0:c>
      <ns0:c r="G316" s="0">
        <ns0:f>IFERROR(--D316,0)</ns0:f>
        <ns0:v>0</ns0:v>
      </ns0:c>
      <ns0:c r="H316" s="0">
        <ns0:f>IFERROR(IF(FIND(".",B316)=5,--E316,--C316),0)</ns0:f>
        <ns0:v>0</ns0:v>
      </ns0:c>
      <ns0:c r="I316" s="0">
        <ns0:f>IFERROR(IF(AND(F316&gt;=2000,F316&lt;=2100,G316&gt;=1,G316&lt;=12,H316&gt;=1,H316&lt;=31),DATE(F316,G316,H316),0),0)</ns0:f>
        <ns0:v>0</ns0:v>
      </ns0:c>
      <ns0:c r="J316" s="0">
        <ns0:f>IFERROR(IF(ISNUMBER(Bookings!B316),IF(AND(Bookings!B316=INT(Bookings!B316),Bookings!B316&gt;=DATE(2000,1,1),Bookings!B316&lt;=DATE(2100,12,31)),Bookings!B316,0),IF(AND(A316&lt;&gt;"",LEN("x"&amp;B316)-LEN(SUBSTITUTE("x"&amp;B316,".",""))=2,OR(1&gt;LEN(B316),MID(B316,1,1)=".",ISNUMBER(FIND("x"&amp;MID(B316,1,1),"x0x1x2x3x4x5x6x7x8x9"))),OR(2&gt;LEN(B316),MID(B316,2,1)=".",ISNUMBER(FIND("x"&amp;MID(B316,2,1),"x0x1x2x3x4x5x6x7x8x9"))),OR(3&gt;LEN(B316),MID(B316,3,1)=".",ISNUMBER(FIND("x"&amp;MID(B316,3,1),"x0x1x2x3x4x5x6x7x8x9"))),OR(4&gt;LEN(B316),MID(B316,4,1)=".",ISNUMBER(FIND("x"&amp;MID(B316,4,1),"x0x1x2x3x4x5x6x7x8x9"))),OR(5&gt;LEN(B316),MID(B316,5,1)=".",ISNUMBER(FIND("x"&amp;MID(B316,5,1),"x0x1x2x3x4x5x6x7x8x9"))),OR(6&gt;LEN(B316),MID(B316,6,1)=".",ISNUMBER(FIND("x"&amp;MID(B316,6,1),"x0x1x2x3x4x5x6x7x8x9"))),OR(7&gt;LEN(B316),MID(B316,7,1)=".",ISNUMBER(FIND("x"&amp;MID(B316,7,1),"x0x1x2x3x4x5x6x7x8x9"))),OR(8&gt;LEN(B316),MID(B316,8,1)=".",ISNUMBER(FIND("x"&amp;MID(B316,8,1),"x0x1x2x3x4x5x6x7x8x9"))),OR(9&gt;LEN(B316),MID(B316,9,1)=".",ISNUMBER(FIND("x"&amp;MID(B316,9,1),"x0x1x2x3x4x5x6x7x8x9"))),OR(10&gt;LEN(B316),MID(B316,10,1)=".",ISNUMBER(FIND("x"&amp;MID(B316,10,1),"x0x1x2x3x4x5x6x7x8x9"))),OR(AND(FIND(".",B316)=5,LEN(B316)-FIND(".",B316,FIND(".",B316)+1)&gt;=1,LEN(B316)-FIND(".",B316,FIND(".",B316)+1)&lt;=2),AND(LEN(B316)-FIND(".",B316,FIND(".",B316)+1)=4,FIND(".",B316)&gt;=2,FIND(".",B316)&lt;=3)),FIND(".",B316,FIND(".",B316)+1)-FIND(".",B316)&gt;=2,FIND(".",B316,FIND(".",B316)+1)-FIND(".",B316)&lt;=3,F316&gt;=2000,F316&lt;=2100,YEAR(I316)=F316,MONTH(I316)=G316,DAY(I316)=H316),I316,0)),0)</ns0:f>
        <ns0:v>0</ns0:v>
      </ns0:c>
      <ns0:c r="K316" s="0">
        <ns0:f>IFERROR(IF(ISNUMBER(Bookings!D316),"",TRIM(Bookings!D316&amp;"")),"")</ns0:f>
      </ns0:c>
      <ns0:c r="L316" s="0">
        <ns0:f>IFERROR(SUBSTITUTE(SUBSTITUTE(K316,"/","."),"-","."),"")</ns0:f>
      </ns0:c>
      <ns0:c r="M316" s="0">
        <ns0:f>IFERROR(LEFT(L316,FIND(".",L316)-1),"")</ns0:f>
      </ns0:c>
      <ns0:c r="N316" s="0">
        <ns0:f>IFERROR(MID(L316,FIND(".",L316)+1,FIND(".",L316,FIND(".",L316)+1)-FIND(".",L316)-1),"")</ns0:f>
      </ns0:c>
      <ns0:c r="O316" s="0">
        <ns0:f>IFERROR(MID(L316,FIND(".",L316,FIND(".",L316)+1)+1,99),"")</ns0:f>
        <ns0:v>99</ns0:v>
      </ns0:c>
      <ns0:c r="P316" s="0">
        <ns0:f>IFERROR(IF(FIND(".",L316)=5,--M316,--O316),0)</ns0:f>
        <ns0:v>0</ns0:v>
      </ns0:c>
      <ns0:c r="Q316" s="0">
        <ns0:f>IFERROR(--N316,0)</ns0:f>
        <ns0:v>0</ns0:v>
      </ns0:c>
      <ns0:c r="R316" s="0">
        <ns0:f>IFERROR(IF(FIND(".",L316)=5,--O316,--M316),0)</ns0:f>
        <ns0:v>0</ns0:v>
      </ns0:c>
      <ns0:c r="S316" s="0">
        <ns0:f>IFERROR(IF(AND(P316&gt;=2000,P316&lt;=2100,Q316&gt;=1,Q316&lt;=12,R316&gt;=1,R316&lt;=31),DATE(P316,Q316,R316),0),0)</ns0:f>
        <ns0:v>0</ns0:v>
      </ns0:c>
      <ns0:c r="T316" s="0">
        <ns0:f>IFERROR(IF(ISNUMBER(Bookings!D316),IF(AND(Bookings!D316=INT(Bookings!D316),Bookings!D316&gt;=DATE(2000,1,1),Bookings!D316&lt;=DATE(2100,12,31)),Bookings!D316,0),IF(AND(K316&lt;&gt;"",LEN("x"&amp;L316)-LEN(SUBSTITUTE("x"&amp;L316,".",""))=2,OR(1&gt;LEN(L316),MID(L316,1,1)=".",ISNUMBER(FIND("x"&amp;MID(L316,1,1),"x0x1x2x3x4x5x6x7x8x9"))),OR(2&gt;LEN(L316),MID(L316,2,1)=".",ISNUMBER(FIND("x"&amp;MID(L316,2,1),"x0x1x2x3x4x5x6x7x8x9"))),OR(3&gt;LEN(L316),MID(L316,3,1)=".",ISNUMBER(FIND("x"&amp;MID(L316,3,1),"x0x1x2x3x4x5x6x7x8x9"))),OR(4&gt;LEN(L316),MID(L316,4,1)=".",ISNUMBER(FIND("x"&amp;MID(L316,4,1),"x0x1x2x3x4x5x6x7x8x9"))),OR(5&gt;LEN(L316),MID(L316,5,1)=".",ISNUMBER(FIND("x"&amp;MID(L316,5,1),"x0x1x2x3x4x5x6x7x8x9"))),OR(6&gt;LEN(L316),MID(L316,6,1)=".",ISNUMBER(FIND("x"&amp;MID(L316,6,1),"x0x1x2x3x4x5x6x7x8x9"))),OR(7&gt;LEN(L316),MID(L316,7,1)=".",ISNUMBER(FIND("x"&amp;MID(L316,7,1),"x0x1x2x3x4x5x6x7x8x9"))),OR(8&gt;LEN(L316),MID(L316,8,1)=".",ISNUMBER(FIND("x"&amp;MID(L316,8,1),"x0x1x2x3x4x5x6x7x8x9"))),OR(9&gt;LEN(L316),MID(L316,9,1)=".",ISNUMBER(FIND("x"&amp;MID(L316,9,1),"x0x1x2x3x4x5x6x7x8x9"))),OR(10&gt;LEN(L316),MID(L316,10,1)=".",ISNUMBER(FIND("x"&amp;MID(L316,10,1),"x0x1x2x3x4x5x6x7x8x9"))),OR(AND(FIND(".",L316)=5,LEN(L316)-FIND(".",L316,FIND(".",L316)+1)&gt;=1,LEN(L316)-FIND(".",L316,FIND(".",L316)+1)&lt;=2),AND(LEN(L316)-FIND(".",L316,FIND(".",L316)+1)=4,FIND(".",L316)&gt;=2,FIND(".",L316)&lt;=3)),FIND(".",L316,FIND(".",L316)+1)-FIND(".",L316)&gt;=2,FIND(".",L316,FIND(".",L316)+1)-FIND(".",L316)&lt;=3,P316&gt;=2000,P316&lt;=2100,YEAR(S316)=P316,MONTH(S316)=Q316,DAY(S316)=R316),S316,0)),0)</ns0:f>
        <ns0:v>0</ns0:v>
      </ns0:c>
      <ns0:c r="U316" s="0" t="str">
        <ns0:f>IF(Bookings!C316="","Full day",Bookings!C316)</ns0:f>
        <ns0:v>Full day</ns0:v>
      </ns0:c>
      <ns0:c r="V316" s="0" t="str">
        <ns0:f>IF(Bookings!E316="","Full day",Bookings!E316)</ns0:f>
        <ns0:v>Full day</ns0:v>
      </ns0:c>
      <ns0:c r="W316" s="0">
        <ns0:f>IF(J316=0,0,J316+IF(U316="PM",1,0))</ns0:f>
        <ns0:v>0</ns0:v>
      </ns0:c>
      <ns0:c r="X316" s="0">
        <ns0:f>IF(T316=0,0,T316-IF(V316="PM",1,0))</ns0:f>
        <ns0:v>0</ns0:v>
      </ns0:c>
      <ns0:c r="Y316" s="0">
        <ns0:f>IF(J316=0,0,J316+IF(U316="AM",1,0))</ns0:f>
        <ns0:v>0</ns0:v>
      </ns0:c>
      <ns0:c r="Z316" s="0">
        <ns0:f>IF(T316=0,0,T316-IF(V316="AM",1,0))</ns0:f>
        <ns0:v>0</ns0:v>
      </ns0:c>
      <ns0:c r="AA316" s="0">
        <ns0:f>IFERROR(IF(AND(J316&gt;0,'_Engine'!C316&gt;0,MID('_Engine'!W316,WEEKDAY(J316,2),1)="W",COUNTIF(Settings!$F$18:$F$67,J316)=0),1,0),0)</ns0:f>
        <ns0:v>0</ns0:v>
      </ns0:c>
      <ns0:c r="AB316" s="0">
        <ns0:f>IFERROR(IF(AND(T316&gt;0,'_Engine'!C316&gt;0,MID('_Engine'!W316,WEEKDAY(T316,2),1)="W",COUNTIF(Settings!$F$18:$F$67,T316)=0),1,0),0)</ns0:f>
        <ns0:v>0</ns0:v>
      </ns0:c>
      <ns0:c r="AC316" s="0">
        <ns0:f>IF(AND(J316&gt;0,T316&gt;0,W316&lt;=X316),1,0)</ns0:f>
        <ns0:v>0</ns0:v>
      </ns0:c>
      <ns0:c r="AD316" s="0">
        <ns0:f>IF(AND(J316&gt;0,T316&gt;0,Y316&lt;=Z316),1,0)</ns0:f>
        <ns0:v>0</ns0:v>
      </ns0:c>
    </ns0:row>
    <ns0:row r="317">
      <ns0:c r="A317" s="0">
        <ns0:f>IFERROR(IF(ISNUMBER(Bookings!B317),"",TRIM(Bookings!B317&amp;"")),"")</ns0:f>
      </ns0:c>
      <ns0:c r="B317" s="0">
        <ns0:f>IFERROR(SUBSTITUTE(SUBSTITUTE(A317,"/","."),"-","."),"")</ns0:f>
      </ns0:c>
      <ns0:c r="C317" s="0">
        <ns0:f>IFERROR(LEFT(B317,FIND(".",B317)-1),"")</ns0:f>
      </ns0:c>
      <ns0:c r="D317" s="0">
        <ns0:f>IFERROR(MID(B317,FIND(".",B317)+1,FIND(".",B317,FIND(".",B317)+1)-FIND(".",B317)-1),"")</ns0:f>
      </ns0:c>
      <ns0:c r="E317" s="0">
        <ns0:f>IFERROR(MID(B317,FIND(".",B317,FIND(".",B317)+1)+1,99),"")</ns0:f>
        <ns0:v>99</ns0:v>
      </ns0:c>
      <ns0:c r="F317" s="0">
        <ns0:f>IFERROR(IF(FIND(".",B317)=5,--C317,--E317),0)</ns0:f>
        <ns0:v>0</ns0:v>
      </ns0:c>
      <ns0:c r="G317" s="0">
        <ns0:f>IFERROR(--D317,0)</ns0:f>
        <ns0:v>0</ns0:v>
      </ns0:c>
      <ns0:c r="H317" s="0">
        <ns0:f>IFERROR(IF(FIND(".",B317)=5,--E317,--C317),0)</ns0:f>
        <ns0:v>0</ns0:v>
      </ns0:c>
      <ns0:c r="I317" s="0">
        <ns0:f>IFERROR(IF(AND(F317&gt;=2000,F317&lt;=2100,G317&gt;=1,G317&lt;=12,H317&gt;=1,H317&lt;=31),DATE(F317,G317,H317),0),0)</ns0:f>
        <ns0:v>0</ns0:v>
      </ns0:c>
      <ns0:c r="J317" s="0">
        <ns0:f>IFERROR(IF(ISNUMBER(Bookings!B317),IF(AND(Bookings!B317=INT(Bookings!B317),Bookings!B317&gt;=DATE(2000,1,1),Bookings!B317&lt;=DATE(2100,12,31)),Bookings!B317,0),IF(AND(A317&lt;&gt;"",LEN("x"&amp;B317)-LEN(SUBSTITUTE("x"&amp;B317,".",""))=2,OR(1&gt;LEN(B317),MID(B317,1,1)=".",ISNUMBER(FIND("x"&amp;MID(B317,1,1),"x0x1x2x3x4x5x6x7x8x9"))),OR(2&gt;LEN(B317),MID(B317,2,1)=".",ISNUMBER(FIND("x"&amp;MID(B317,2,1),"x0x1x2x3x4x5x6x7x8x9"))),OR(3&gt;LEN(B317),MID(B317,3,1)=".",ISNUMBER(FIND("x"&amp;MID(B317,3,1),"x0x1x2x3x4x5x6x7x8x9"))),OR(4&gt;LEN(B317),MID(B317,4,1)=".",ISNUMBER(FIND("x"&amp;MID(B317,4,1),"x0x1x2x3x4x5x6x7x8x9"))),OR(5&gt;LEN(B317),MID(B317,5,1)=".",ISNUMBER(FIND("x"&amp;MID(B317,5,1),"x0x1x2x3x4x5x6x7x8x9"))),OR(6&gt;LEN(B317),MID(B317,6,1)=".",ISNUMBER(FIND("x"&amp;MID(B317,6,1),"x0x1x2x3x4x5x6x7x8x9"))),OR(7&gt;LEN(B317),MID(B317,7,1)=".",ISNUMBER(FIND("x"&amp;MID(B317,7,1),"x0x1x2x3x4x5x6x7x8x9"))),OR(8&gt;LEN(B317),MID(B317,8,1)=".",ISNUMBER(FIND("x"&amp;MID(B317,8,1),"x0x1x2x3x4x5x6x7x8x9"))),OR(9&gt;LEN(B317),MID(B317,9,1)=".",ISNUMBER(FIND("x"&amp;MID(B317,9,1),"x0x1x2x3x4x5x6x7x8x9"))),OR(10&gt;LEN(B317),MID(B317,10,1)=".",ISNUMBER(FIND("x"&amp;MID(B317,10,1),"x0x1x2x3x4x5x6x7x8x9"))),OR(AND(FIND(".",B317)=5,LEN(B317)-FIND(".",B317,FIND(".",B317)+1)&gt;=1,LEN(B317)-FIND(".",B317,FIND(".",B317)+1)&lt;=2),AND(LEN(B317)-FIND(".",B317,FIND(".",B317)+1)=4,FIND(".",B317)&gt;=2,FIND(".",B317)&lt;=3)),FIND(".",B317,FIND(".",B317)+1)-FIND(".",B317)&gt;=2,FIND(".",B317,FIND(".",B317)+1)-FIND(".",B317)&lt;=3,F317&gt;=2000,F317&lt;=2100,YEAR(I317)=F317,MONTH(I317)=G317,DAY(I317)=H317),I317,0)),0)</ns0:f>
        <ns0:v>0</ns0:v>
      </ns0:c>
      <ns0:c r="K317" s="0">
        <ns0:f>IFERROR(IF(ISNUMBER(Bookings!D317),"",TRIM(Bookings!D317&amp;"")),"")</ns0:f>
      </ns0:c>
      <ns0:c r="L317" s="0">
        <ns0:f>IFERROR(SUBSTITUTE(SUBSTITUTE(K317,"/","."),"-","."),"")</ns0:f>
      </ns0:c>
      <ns0:c r="M317" s="0">
        <ns0:f>IFERROR(LEFT(L317,FIND(".",L317)-1),"")</ns0:f>
      </ns0:c>
      <ns0:c r="N317" s="0">
        <ns0:f>IFERROR(MID(L317,FIND(".",L317)+1,FIND(".",L317,FIND(".",L317)+1)-FIND(".",L317)-1),"")</ns0:f>
      </ns0:c>
      <ns0:c r="O317" s="0">
        <ns0:f>IFERROR(MID(L317,FIND(".",L317,FIND(".",L317)+1)+1,99),"")</ns0:f>
        <ns0:v>99</ns0:v>
      </ns0:c>
      <ns0:c r="P317" s="0">
        <ns0:f>IFERROR(IF(FIND(".",L317)=5,--M317,--O317),0)</ns0:f>
        <ns0:v>0</ns0:v>
      </ns0:c>
      <ns0:c r="Q317" s="0">
        <ns0:f>IFERROR(--N317,0)</ns0:f>
        <ns0:v>0</ns0:v>
      </ns0:c>
      <ns0:c r="R317" s="0">
        <ns0:f>IFERROR(IF(FIND(".",L317)=5,--O317,--M317),0)</ns0:f>
        <ns0:v>0</ns0:v>
      </ns0:c>
      <ns0:c r="S317" s="0">
        <ns0:f>IFERROR(IF(AND(P317&gt;=2000,P317&lt;=2100,Q317&gt;=1,Q317&lt;=12,R317&gt;=1,R317&lt;=31),DATE(P317,Q317,R317),0),0)</ns0:f>
        <ns0:v>0</ns0:v>
      </ns0:c>
      <ns0:c r="T317" s="0">
        <ns0:f>IFERROR(IF(ISNUMBER(Bookings!D317),IF(AND(Bookings!D317=INT(Bookings!D317),Bookings!D317&gt;=DATE(2000,1,1),Bookings!D317&lt;=DATE(2100,12,31)),Bookings!D317,0),IF(AND(K317&lt;&gt;"",LEN("x"&amp;L317)-LEN(SUBSTITUTE("x"&amp;L317,".",""))=2,OR(1&gt;LEN(L317),MID(L317,1,1)=".",ISNUMBER(FIND("x"&amp;MID(L317,1,1),"x0x1x2x3x4x5x6x7x8x9"))),OR(2&gt;LEN(L317),MID(L317,2,1)=".",ISNUMBER(FIND("x"&amp;MID(L317,2,1),"x0x1x2x3x4x5x6x7x8x9"))),OR(3&gt;LEN(L317),MID(L317,3,1)=".",ISNUMBER(FIND("x"&amp;MID(L317,3,1),"x0x1x2x3x4x5x6x7x8x9"))),OR(4&gt;LEN(L317),MID(L317,4,1)=".",ISNUMBER(FIND("x"&amp;MID(L317,4,1),"x0x1x2x3x4x5x6x7x8x9"))),OR(5&gt;LEN(L317),MID(L317,5,1)=".",ISNUMBER(FIND("x"&amp;MID(L317,5,1),"x0x1x2x3x4x5x6x7x8x9"))),OR(6&gt;LEN(L317),MID(L317,6,1)=".",ISNUMBER(FIND("x"&amp;MID(L317,6,1),"x0x1x2x3x4x5x6x7x8x9"))),OR(7&gt;LEN(L317),MID(L317,7,1)=".",ISNUMBER(FIND("x"&amp;MID(L317,7,1),"x0x1x2x3x4x5x6x7x8x9"))),OR(8&gt;LEN(L317),MID(L317,8,1)=".",ISNUMBER(FIND("x"&amp;MID(L317,8,1),"x0x1x2x3x4x5x6x7x8x9"))),OR(9&gt;LEN(L317),MID(L317,9,1)=".",ISNUMBER(FIND("x"&amp;MID(L317,9,1),"x0x1x2x3x4x5x6x7x8x9"))),OR(10&gt;LEN(L317),MID(L317,10,1)=".",ISNUMBER(FIND("x"&amp;MID(L317,10,1),"x0x1x2x3x4x5x6x7x8x9"))),OR(AND(FIND(".",L317)=5,LEN(L317)-FIND(".",L317,FIND(".",L317)+1)&gt;=1,LEN(L317)-FIND(".",L317,FIND(".",L317)+1)&lt;=2),AND(LEN(L317)-FIND(".",L317,FIND(".",L317)+1)=4,FIND(".",L317)&gt;=2,FIND(".",L317)&lt;=3)),FIND(".",L317,FIND(".",L317)+1)-FIND(".",L317)&gt;=2,FIND(".",L317,FIND(".",L317)+1)-FIND(".",L317)&lt;=3,P317&gt;=2000,P317&lt;=2100,YEAR(S317)=P317,MONTH(S317)=Q317,DAY(S317)=R317),S317,0)),0)</ns0:f>
        <ns0:v>0</ns0:v>
      </ns0:c>
      <ns0:c r="U317" s="0" t="str">
        <ns0:f>IF(Bookings!C317="","Full day",Bookings!C317)</ns0:f>
        <ns0:v>Full day</ns0:v>
      </ns0:c>
      <ns0:c r="V317" s="0" t="str">
        <ns0:f>IF(Bookings!E317="","Full day",Bookings!E317)</ns0:f>
        <ns0:v>Full day</ns0:v>
      </ns0:c>
      <ns0:c r="W317" s="0">
        <ns0:f>IF(J317=0,0,J317+IF(U317="PM",1,0))</ns0:f>
        <ns0:v>0</ns0:v>
      </ns0:c>
      <ns0:c r="X317" s="0">
        <ns0:f>IF(T317=0,0,T317-IF(V317="PM",1,0))</ns0:f>
        <ns0:v>0</ns0:v>
      </ns0:c>
      <ns0:c r="Y317" s="0">
        <ns0:f>IF(J317=0,0,J317+IF(U317="AM",1,0))</ns0:f>
        <ns0:v>0</ns0:v>
      </ns0:c>
      <ns0:c r="Z317" s="0">
        <ns0:f>IF(T317=0,0,T317-IF(V317="AM",1,0))</ns0:f>
        <ns0:v>0</ns0:v>
      </ns0:c>
      <ns0:c r="AA317" s="0">
        <ns0:f>IFERROR(IF(AND(J317&gt;0,'_Engine'!C317&gt;0,MID('_Engine'!W317,WEEKDAY(J317,2),1)="W",COUNTIF(Settings!$F$18:$F$67,J317)=0),1,0),0)</ns0:f>
        <ns0:v>0</ns0:v>
      </ns0:c>
      <ns0:c r="AB317" s="0">
        <ns0:f>IFERROR(IF(AND(T317&gt;0,'_Engine'!C317&gt;0,MID('_Engine'!W317,WEEKDAY(T317,2),1)="W",COUNTIF(Settings!$F$18:$F$67,T317)=0),1,0),0)</ns0:f>
        <ns0:v>0</ns0:v>
      </ns0:c>
      <ns0:c r="AC317" s="0">
        <ns0:f>IF(AND(J317&gt;0,T317&gt;0,W317&lt;=X317),1,0)</ns0:f>
        <ns0:v>0</ns0:v>
      </ns0:c>
      <ns0:c r="AD317" s="0">
        <ns0:f>IF(AND(J317&gt;0,T317&gt;0,Y317&lt;=Z317),1,0)</ns0:f>
        <ns0:v>0</ns0:v>
      </ns0:c>
    </ns0:row>
    <ns0:row r="318">
      <ns0:c r="A318" s="0">
        <ns0:f>IFERROR(IF(ISNUMBER(Bookings!B318),"",TRIM(Bookings!B318&amp;"")),"")</ns0:f>
      </ns0:c>
      <ns0:c r="B318" s="0">
        <ns0:f>IFERROR(SUBSTITUTE(SUBSTITUTE(A318,"/","."),"-","."),"")</ns0:f>
      </ns0:c>
      <ns0:c r="C318" s="0">
        <ns0:f>IFERROR(LEFT(B318,FIND(".",B318)-1),"")</ns0:f>
      </ns0:c>
      <ns0:c r="D318" s="0">
        <ns0:f>IFERROR(MID(B318,FIND(".",B318)+1,FIND(".",B318,FIND(".",B318)+1)-FIND(".",B318)-1),"")</ns0:f>
      </ns0:c>
      <ns0:c r="E318" s="0">
        <ns0:f>IFERROR(MID(B318,FIND(".",B318,FIND(".",B318)+1)+1,99),"")</ns0:f>
        <ns0:v>99</ns0:v>
      </ns0:c>
      <ns0:c r="F318" s="0">
        <ns0:f>IFERROR(IF(FIND(".",B318)=5,--C318,--E318),0)</ns0:f>
        <ns0:v>0</ns0:v>
      </ns0:c>
      <ns0:c r="G318" s="0">
        <ns0:f>IFERROR(--D318,0)</ns0:f>
        <ns0:v>0</ns0:v>
      </ns0:c>
      <ns0:c r="H318" s="0">
        <ns0:f>IFERROR(IF(FIND(".",B318)=5,--E318,--C318),0)</ns0:f>
        <ns0:v>0</ns0:v>
      </ns0:c>
      <ns0:c r="I318" s="0">
        <ns0:f>IFERROR(IF(AND(F318&gt;=2000,F318&lt;=2100,G318&gt;=1,G318&lt;=12,H318&gt;=1,H318&lt;=31),DATE(F318,G318,H318),0),0)</ns0:f>
        <ns0:v>0</ns0:v>
      </ns0:c>
      <ns0:c r="J318" s="0">
        <ns0:f>IFERROR(IF(ISNUMBER(Bookings!B318),IF(AND(Bookings!B318=INT(Bookings!B318),Bookings!B318&gt;=DATE(2000,1,1),Bookings!B318&lt;=DATE(2100,12,31)),Bookings!B318,0),IF(AND(A318&lt;&gt;"",LEN("x"&amp;B318)-LEN(SUBSTITUTE("x"&amp;B318,".",""))=2,OR(1&gt;LEN(B318),MID(B318,1,1)=".",ISNUMBER(FIND("x"&amp;MID(B318,1,1),"x0x1x2x3x4x5x6x7x8x9"))),OR(2&gt;LEN(B318),MID(B318,2,1)=".",ISNUMBER(FIND("x"&amp;MID(B318,2,1),"x0x1x2x3x4x5x6x7x8x9"))),OR(3&gt;LEN(B318),MID(B318,3,1)=".",ISNUMBER(FIND("x"&amp;MID(B318,3,1),"x0x1x2x3x4x5x6x7x8x9"))),OR(4&gt;LEN(B318),MID(B318,4,1)=".",ISNUMBER(FIND("x"&amp;MID(B318,4,1),"x0x1x2x3x4x5x6x7x8x9"))),OR(5&gt;LEN(B318),MID(B318,5,1)=".",ISNUMBER(FIND("x"&amp;MID(B318,5,1),"x0x1x2x3x4x5x6x7x8x9"))),OR(6&gt;LEN(B318),MID(B318,6,1)=".",ISNUMBER(FIND("x"&amp;MID(B318,6,1),"x0x1x2x3x4x5x6x7x8x9"))),OR(7&gt;LEN(B318),MID(B318,7,1)=".",ISNUMBER(FIND("x"&amp;MID(B318,7,1),"x0x1x2x3x4x5x6x7x8x9"))),OR(8&gt;LEN(B318),MID(B318,8,1)=".",ISNUMBER(FIND("x"&amp;MID(B318,8,1),"x0x1x2x3x4x5x6x7x8x9"))),OR(9&gt;LEN(B318),MID(B318,9,1)=".",ISNUMBER(FIND("x"&amp;MID(B318,9,1),"x0x1x2x3x4x5x6x7x8x9"))),OR(10&gt;LEN(B318),MID(B318,10,1)=".",ISNUMBER(FIND("x"&amp;MID(B318,10,1),"x0x1x2x3x4x5x6x7x8x9"))),OR(AND(FIND(".",B318)=5,LEN(B318)-FIND(".",B318,FIND(".",B318)+1)&gt;=1,LEN(B318)-FIND(".",B318,FIND(".",B318)+1)&lt;=2),AND(LEN(B318)-FIND(".",B318,FIND(".",B318)+1)=4,FIND(".",B318)&gt;=2,FIND(".",B318)&lt;=3)),FIND(".",B318,FIND(".",B318)+1)-FIND(".",B318)&gt;=2,FIND(".",B318,FIND(".",B318)+1)-FIND(".",B318)&lt;=3,F318&gt;=2000,F318&lt;=2100,YEAR(I318)=F318,MONTH(I318)=G318,DAY(I318)=H318),I318,0)),0)</ns0:f>
        <ns0:v>0</ns0:v>
      </ns0:c>
      <ns0:c r="K318" s="0">
        <ns0:f>IFERROR(IF(ISNUMBER(Bookings!D318),"",TRIM(Bookings!D318&amp;"")),"")</ns0:f>
      </ns0:c>
      <ns0:c r="L318" s="0">
        <ns0:f>IFERROR(SUBSTITUTE(SUBSTITUTE(K318,"/","."),"-","."),"")</ns0:f>
      </ns0:c>
      <ns0:c r="M318" s="0">
        <ns0:f>IFERROR(LEFT(L318,FIND(".",L318)-1),"")</ns0:f>
      </ns0:c>
      <ns0:c r="N318" s="0">
        <ns0:f>IFERROR(MID(L318,FIND(".",L318)+1,FIND(".",L318,FIND(".",L318)+1)-FIND(".",L318)-1),"")</ns0:f>
      </ns0:c>
      <ns0:c r="O318" s="0">
        <ns0:f>IFERROR(MID(L318,FIND(".",L318,FIND(".",L318)+1)+1,99),"")</ns0:f>
        <ns0:v>99</ns0:v>
      </ns0:c>
      <ns0:c r="P318" s="0">
        <ns0:f>IFERROR(IF(FIND(".",L318)=5,--M318,--O318),0)</ns0:f>
        <ns0:v>0</ns0:v>
      </ns0:c>
      <ns0:c r="Q318" s="0">
        <ns0:f>IFERROR(--N318,0)</ns0:f>
        <ns0:v>0</ns0:v>
      </ns0:c>
      <ns0:c r="R318" s="0">
        <ns0:f>IFERROR(IF(FIND(".",L318)=5,--O318,--M318),0)</ns0:f>
        <ns0:v>0</ns0:v>
      </ns0:c>
      <ns0:c r="S318" s="0">
        <ns0:f>IFERROR(IF(AND(P318&gt;=2000,P318&lt;=2100,Q318&gt;=1,Q318&lt;=12,R318&gt;=1,R318&lt;=31),DATE(P318,Q318,R318),0),0)</ns0:f>
        <ns0:v>0</ns0:v>
      </ns0:c>
      <ns0:c r="T318" s="0">
        <ns0:f>IFERROR(IF(ISNUMBER(Bookings!D318),IF(AND(Bookings!D318=INT(Bookings!D318),Bookings!D318&gt;=DATE(2000,1,1),Bookings!D318&lt;=DATE(2100,12,31)),Bookings!D318,0),IF(AND(K318&lt;&gt;"",LEN("x"&amp;L318)-LEN(SUBSTITUTE("x"&amp;L318,".",""))=2,OR(1&gt;LEN(L318),MID(L318,1,1)=".",ISNUMBER(FIND("x"&amp;MID(L318,1,1),"x0x1x2x3x4x5x6x7x8x9"))),OR(2&gt;LEN(L318),MID(L318,2,1)=".",ISNUMBER(FIND("x"&amp;MID(L318,2,1),"x0x1x2x3x4x5x6x7x8x9"))),OR(3&gt;LEN(L318),MID(L318,3,1)=".",ISNUMBER(FIND("x"&amp;MID(L318,3,1),"x0x1x2x3x4x5x6x7x8x9"))),OR(4&gt;LEN(L318),MID(L318,4,1)=".",ISNUMBER(FIND("x"&amp;MID(L318,4,1),"x0x1x2x3x4x5x6x7x8x9"))),OR(5&gt;LEN(L318),MID(L318,5,1)=".",ISNUMBER(FIND("x"&amp;MID(L318,5,1),"x0x1x2x3x4x5x6x7x8x9"))),OR(6&gt;LEN(L318),MID(L318,6,1)=".",ISNUMBER(FIND("x"&amp;MID(L318,6,1),"x0x1x2x3x4x5x6x7x8x9"))),OR(7&gt;LEN(L318),MID(L318,7,1)=".",ISNUMBER(FIND("x"&amp;MID(L318,7,1),"x0x1x2x3x4x5x6x7x8x9"))),OR(8&gt;LEN(L318),MID(L318,8,1)=".",ISNUMBER(FIND("x"&amp;MID(L318,8,1),"x0x1x2x3x4x5x6x7x8x9"))),OR(9&gt;LEN(L318),MID(L318,9,1)=".",ISNUMBER(FIND("x"&amp;MID(L318,9,1),"x0x1x2x3x4x5x6x7x8x9"))),OR(10&gt;LEN(L318),MID(L318,10,1)=".",ISNUMBER(FIND("x"&amp;MID(L318,10,1),"x0x1x2x3x4x5x6x7x8x9"))),OR(AND(FIND(".",L318)=5,LEN(L318)-FIND(".",L318,FIND(".",L318)+1)&gt;=1,LEN(L318)-FIND(".",L318,FIND(".",L318)+1)&lt;=2),AND(LEN(L318)-FIND(".",L318,FIND(".",L318)+1)=4,FIND(".",L318)&gt;=2,FIND(".",L318)&lt;=3)),FIND(".",L318,FIND(".",L318)+1)-FIND(".",L318)&gt;=2,FIND(".",L318,FIND(".",L318)+1)-FIND(".",L318)&lt;=3,P318&gt;=2000,P318&lt;=2100,YEAR(S318)=P318,MONTH(S318)=Q318,DAY(S318)=R318),S318,0)),0)</ns0:f>
        <ns0:v>0</ns0:v>
      </ns0:c>
      <ns0:c r="U318" s="0" t="str">
        <ns0:f>IF(Bookings!C318="","Full day",Bookings!C318)</ns0:f>
        <ns0:v>Full day</ns0:v>
      </ns0:c>
      <ns0:c r="V318" s="0" t="str">
        <ns0:f>IF(Bookings!E318="","Full day",Bookings!E318)</ns0:f>
        <ns0:v>Full day</ns0:v>
      </ns0:c>
      <ns0:c r="W318" s="0">
        <ns0:f>IF(J318=0,0,J318+IF(U318="PM",1,0))</ns0:f>
        <ns0:v>0</ns0:v>
      </ns0:c>
      <ns0:c r="X318" s="0">
        <ns0:f>IF(T318=0,0,T318-IF(V318="PM",1,0))</ns0:f>
        <ns0:v>0</ns0:v>
      </ns0:c>
      <ns0:c r="Y318" s="0">
        <ns0:f>IF(J318=0,0,J318+IF(U318="AM",1,0))</ns0:f>
        <ns0:v>0</ns0:v>
      </ns0:c>
      <ns0:c r="Z318" s="0">
        <ns0:f>IF(T318=0,0,T318-IF(V318="AM",1,0))</ns0:f>
        <ns0:v>0</ns0:v>
      </ns0:c>
      <ns0:c r="AA318" s="0">
        <ns0:f>IFERROR(IF(AND(J318&gt;0,'_Engine'!C318&gt;0,MID('_Engine'!W318,WEEKDAY(J318,2),1)="W",COUNTIF(Settings!$F$18:$F$67,J318)=0),1,0),0)</ns0:f>
        <ns0:v>0</ns0:v>
      </ns0:c>
      <ns0:c r="AB318" s="0">
        <ns0:f>IFERROR(IF(AND(T318&gt;0,'_Engine'!C318&gt;0,MID('_Engine'!W318,WEEKDAY(T318,2),1)="W",COUNTIF(Settings!$F$18:$F$67,T318)=0),1,0),0)</ns0:f>
        <ns0:v>0</ns0:v>
      </ns0:c>
      <ns0:c r="AC318" s="0">
        <ns0:f>IF(AND(J318&gt;0,T318&gt;0,W318&lt;=X318),1,0)</ns0:f>
        <ns0:v>0</ns0:v>
      </ns0:c>
      <ns0:c r="AD318" s="0">
        <ns0:f>IF(AND(J318&gt;0,T318&gt;0,Y318&lt;=Z318),1,0)</ns0:f>
        <ns0:v>0</ns0:v>
      </ns0:c>
    </ns0:row>
    <ns0:row r="319">
      <ns0:c r="A319" s="0">
        <ns0:f>IFERROR(IF(ISNUMBER(Bookings!B319),"",TRIM(Bookings!B319&amp;"")),"")</ns0:f>
      </ns0:c>
      <ns0:c r="B319" s="0">
        <ns0:f>IFERROR(SUBSTITUTE(SUBSTITUTE(A319,"/","."),"-","."),"")</ns0:f>
      </ns0:c>
      <ns0:c r="C319" s="0">
        <ns0:f>IFERROR(LEFT(B319,FIND(".",B319)-1),"")</ns0:f>
      </ns0:c>
      <ns0:c r="D319" s="0">
        <ns0:f>IFERROR(MID(B319,FIND(".",B319)+1,FIND(".",B319,FIND(".",B319)+1)-FIND(".",B319)-1),"")</ns0:f>
      </ns0:c>
      <ns0:c r="E319" s="0">
        <ns0:f>IFERROR(MID(B319,FIND(".",B319,FIND(".",B319)+1)+1,99),"")</ns0:f>
        <ns0:v>99</ns0:v>
      </ns0:c>
      <ns0:c r="F319" s="0">
        <ns0:f>IFERROR(IF(FIND(".",B319)=5,--C319,--E319),0)</ns0:f>
        <ns0:v>0</ns0:v>
      </ns0:c>
      <ns0:c r="G319" s="0">
        <ns0:f>IFERROR(--D319,0)</ns0:f>
        <ns0:v>0</ns0:v>
      </ns0:c>
      <ns0:c r="H319" s="0">
        <ns0:f>IFERROR(IF(FIND(".",B319)=5,--E319,--C319),0)</ns0:f>
        <ns0:v>0</ns0:v>
      </ns0:c>
      <ns0:c r="I319" s="0">
        <ns0:f>IFERROR(IF(AND(F319&gt;=2000,F319&lt;=2100,G319&gt;=1,G319&lt;=12,H319&gt;=1,H319&lt;=31),DATE(F319,G319,H319),0),0)</ns0:f>
        <ns0:v>0</ns0:v>
      </ns0:c>
      <ns0:c r="J319" s="0">
        <ns0:f>IFERROR(IF(ISNUMBER(Bookings!B319),IF(AND(Bookings!B319=INT(Bookings!B319),Bookings!B319&gt;=DATE(2000,1,1),Bookings!B319&lt;=DATE(2100,12,31)),Bookings!B319,0),IF(AND(A319&lt;&gt;"",LEN("x"&amp;B319)-LEN(SUBSTITUTE("x"&amp;B319,".",""))=2,OR(1&gt;LEN(B319),MID(B319,1,1)=".",ISNUMBER(FIND("x"&amp;MID(B319,1,1),"x0x1x2x3x4x5x6x7x8x9"))),OR(2&gt;LEN(B319),MID(B319,2,1)=".",ISNUMBER(FIND("x"&amp;MID(B319,2,1),"x0x1x2x3x4x5x6x7x8x9"))),OR(3&gt;LEN(B319),MID(B319,3,1)=".",ISNUMBER(FIND("x"&amp;MID(B319,3,1),"x0x1x2x3x4x5x6x7x8x9"))),OR(4&gt;LEN(B319),MID(B319,4,1)=".",ISNUMBER(FIND("x"&amp;MID(B319,4,1),"x0x1x2x3x4x5x6x7x8x9"))),OR(5&gt;LEN(B319),MID(B319,5,1)=".",ISNUMBER(FIND("x"&amp;MID(B319,5,1),"x0x1x2x3x4x5x6x7x8x9"))),OR(6&gt;LEN(B319),MID(B319,6,1)=".",ISNUMBER(FIND("x"&amp;MID(B319,6,1),"x0x1x2x3x4x5x6x7x8x9"))),OR(7&gt;LEN(B319),MID(B319,7,1)=".",ISNUMBER(FIND("x"&amp;MID(B319,7,1),"x0x1x2x3x4x5x6x7x8x9"))),OR(8&gt;LEN(B319),MID(B319,8,1)=".",ISNUMBER(FIND("x"&amp;MID(B319,8,1),"x0x1x2x3x4x5x6x7x8x9"))),OR(9&gt;LEN(B319),MID(B319,9,1)=".",ISNUMBER(FIND("x"&amp;MID(B319,9,1),"x0x1x2x3x4x5x6x7x8x9"))),OR(10&gt;LEN(B319),MID(B319,10,1)=".",ISNUMBER(FIND("x"&amp;MID(B319,10,1),"x0x1x2x3x4x5x6x7x8x9"))),OR(AND(FIND(".",B319)=5,LEN(B319)-FIND(".",B319,FIND(".",B319)+1)&gt;=1,LEN(B319)-FIND(".",B319,FIND(".",B319)+1)&lt;=2),AND(LEN(B319)-FIND(".",B319,FIND(".",B319)+1)=4,FIND(".",B319)&gt;=2,FIND(".",B319)&lt;=3)),FIND(".",B319,FIND(".",B319)+1)-FIND(".",B319)&gt;=2,FIND(".",B319,FIND(".",B319)+1)-FIND(".",B319)&lt;=3,F319&gt;=2000,F319&lt;=2100,YEAR(I319)=F319,MONTH(I319)=G319,DAY(I319)=H319),I319,0)),0)</ns0:f>
        <ns0:v>0</ns0:v>
      </ns0:c>
      <ns0:c r="K319" s="0">
        <ns0:f>IFERROR(IF(ISNUMBER(Bookings!D319),"",TRIM(Bookings!D319&amp;"")),"")</ns0:f>
      </ns0:c>
      <ns0:c r="L319" s="0">
        <ns0:f>IFERROR(SUBSTITUTE(SUBSTITUTE(K319,"/","."),"-","."),"")</ns0:f>
      </ns0:c>
      <ns0:c r="M319" s="0">
        <ns0:f>IFERROR(LEFT(L319,FIND(".",L319)-1),"")</ns0:f>
      </ns0:c>
      <ns0:c r="N319" s="0">
        <ns0:f>IFERROR(MID(L319,FIND(".",L319)+1,FIND(".",L319,FIND(".",L319)+1)-FIND(".",L319)-1),"")</ns0:f>
      </ns0:c>
      <ns0:c r="O319" s="0">
        <ns0:f>IFERROR(MID(L319,FIND(".",L319,FIND(".",L319)+1)+1,99),"")</ns0:f>
        <ns0:v>99</ns0:v>
      </ns0:c>
      <ns0:c r="P319" s="0">
        <ns0:f>IFERROR(IF(FIND(".",L319)=5,--M319,--O319),0)</ns0:f>
        <ns0:v>0</ns0:v>
      </ns0:c>
      <ns0:c r="Q319" s="0">
        <ns0:f>IFERROR(--N319,0)</ns0:f>
        <ns0:v>0</ns0:v>
      </ns0:c>
      <ns0:c r="R319" s="0">
        <ns0:f>IFERROR(IF(FIND(".",L319)=5,--O319,--M319),0)</ns0:f>
        <ns0:v>0</ns0:v>
      </ns0:c>
      <ns0:c r="S319" s="0">
        <ns0:f>IFERROR(IF(AND(P319&gt;=2000,P319&lt;=2100,Q319&gt;=1,Q319&lt;=12,R319&gt;=1,R319&lt;=31),DATE(P319,Q319,R319),0),0)</ns0:f>
        <ns0:v>0</ns0:v>
      </ns0:c>
      <ns0:c r="T319" s="0">
        <ns0:f>IFERROR(IF(ISNUMBER(Bookings!D319),IF(AND(Bookings!D319=INT(Bookings!D319),Bookings!D319&gt;=DATE(2000,1,1),Bookings!D319&lt;=DATE(2100,12,31)),Bookings!D319,0),IF(AND(K319&lt;&gt;"",LEN("x"&amp;L319)-LEN(SUBSTITUTE("x"&amp;L319,".",""))=2,OR(1&gt;LEN(L319),MID(L319,1,1)=".",ISNUMBER(FIND("x"&amp;MID(L319,1,1),"x0x1x2x3x4x5x6x7x8x9"))),OR(2&gt;LEN(L319),MID(L319,2,1)=".",ISNUMBER(FIND("x"&amp;MID(L319,2,1),"x0x1x2x3x4x5x6x7x8x9"))),OR(3&gt;LEN(L319),MID(L319,3,1)=".",ISNUMBER(FIND("x"&amp;MID(L319,3,1),"x0x1x2x3x4x5x6x7x8x9"))),OR(4&gt;LEN(L319),MID(L319,4,1)=".",ISNUMBER(FIND("x"&amp;MID(L319,4,1),"x0x1x2x3x4x5x6x7x8x9"))),OR(5&gt;LEN(L319),MID(L319,5,1)=".",ISNUMBER(FIND("x"&amp;MID(L319,5,1),"x0x1x2x3x4x5x6x7x8x9"))),OR(6&gt;LEN(L319),MID(L319,6,1)=".",ISNUMBER(FIND("x"&amp;MID(L319,6,1),"x0x1x2x3x4x5x6x7x8x9"))),OR(7&gt;LEN(L319),MID(L319,7,1)=".",ISNUMBER(FIND("x"&amp;MID(L319,7,1),"x0x1x2x3x4x5x6x7x8x9"))),OR(8&gt;LEN(L319),MID(L319,8,1)=".",ISNUMBER(FIND("x"&amp;MID(L319,8,1),"x0x1x2x3x4x5x6x7x8x9"))),OR(9&gt;LEN(L319),MID(L319,9,1)=".",ISNUMBER(FIND("x"&amp;MID(L319,9,1),"x0x1x2x3x4x5x6x7x8x9"))),OR(10&gt;LEN(L319),MID(L319,10,1)=".",ISNUMBER(FIND("x"&amp;MID(L319,10,1),"x0x1x2x3x4x5x6x7x8x9"))),OR(AND(FIND(".",L319)=5,LEN(L319)-FIND(".",L319,FIND(".",L319)+1)&gt;=1,LEN(L319)-FIND(".",L319,FIND(".",L319)+1)&lt;=2),AND(LEN(L319)-FIND(".",L319,FIND(".",L319)+1)=4,FIND(".",L319)&gt;=2,FIND(".",L319)&lt;=3)),FIND(".",L319,FIND(".",L319)+1)-FIND(".",L319)&gt;=2,FIND(".",L319,FIND(".",L319)+1)-FIND(".",L319)&lt;=3,P319&gt;=2000,P319&lt;=2100,YEAR(S319)=P319,MONTH(S319)=Q319,DAY(S319)=R319),S319,0)),0)</ns0:f>
        <ns0:v>0</ns0:v>
      </ns0:c>
      <ns0:c r="U319" s="0" t="str">
        <ns0:f>IF(Bookings!C319="","Full day",Bookings!C319)</ns0:f>
        <ns0:v>Full day</ns0:v>
      </ns0:c>
      <ns0:c r="V319" s="0" t="str">
        <ns0:f>IF(Bookings!E319="","Full day",Bookings!E319)</ns0:f>
        <ns0:v>Full day</ns0:v>
      </ns0:c>
      <ns0:c r="W319" s="0">
        <ns0:f>IF(J319=0,0,J319+IF(U319="PM",1,0))</ns0:f>
        <ns0:v>0</ns0:v>
      </ns0:c>
      <ns0:c r="X319" s="0">
        <ns0:f>IF(T319=0,0,T319-IF(V319="PM",1,0))</ns0:f>
        <ns0:v>0</ns0:v>
      </ns0:c>
      <ns0:c r="Y319" s="0">
        <ns0:f>IF(J319=0,0,J319+IF(U319="AM",1,0))</ns0:f>
        <ns0:v>0</ns0:v>
      </ns0:c>
      <ns0:c r="Z319" s="0">
        <ns0:f>IF(T319=0,0,T319-IF(V319="AM",1,0))</ns0:f>
        <ns0:v>0</ns0:v>
      </ns0:c>
      <ns0:c r="AA319" s="0">
        <ns0:f>IFERROR(IF(AND(J319&gt;0,'_Engine'!C319&gt;0,MID('_Engine'!W319,WEEKDAY(J319,2),1)="W",COUNTIF(Settings!$F$18:$F$67,J319)=0),1,0),0)</ns0:f>
        <ns0:v>0</ns0:v>
      </ns0:c>
      <ns0:c r="AB319" s="0">
        <ns0:f>IFERROR(IF(AND(T319&gt;0,'_Engine'!C319&gt;0,MID('_Engine'!W319,WEEKDAY(T319,2),1)="W",COUNTIF(Settings!$F$18:$F$67,T319)=0),1,0),0)</ns0:f>
        <ns0:v>0</ns0:v>
      </ns0:c>
      <ns0:c r="AC319" s="0">
        <ns0:f>IF(AND(J319&gt;0,T319&gt;0,W319&lt;=X319),1,0)</ns0:f>
        <ns0:v>0</ns0:v>
      </ns0:c>
      <ns0:c r="AD319" s="0">
        <ns0:f>IF(AND(J319&gt;0,T319&gt;0,Y319&lt;=Z319),1,0)</ns0:f>
        <ns0:v>0</ns0:v>
      </ns0:c>
    </ns0:row>
    <ns0:row r="320">
      <ns0:c r="A320" s="0">
        <ns0:f>IFERROR(IF(ISNUMBER(Bookings!B320),"",TRIM(Bookings!B320&amp;"")),"")</ns0:f>
      </ns0:c>
      <ns0:c r="B320" s="0">
        <ns0:f>IFERROR(SUBSTITUTE(SUBSTITUTE(A320,"/","."),"-","."),"")</ns0:f>
      </ns0:c>
      <ns0:c r="C320" s="0">
        <ns0:f>IFERROR(LEFT(B320,FIND(".",B320)-1),"")</ns0:f>
      </ns0:c>
      <ns0:c r="D320" s="0">
        <ns0:f>IFERROR(MID(B320,FIND(".",B320)+1,FIND(".",B320,FIND(".",B320)+1)-FIND(".",B320)-1),"")</ns0:f>
      </ns0:c>
      <ns0:c r="E320" s="0">
        <ns0:f>IFERROR(MID(B320,FIND(".",B320,FIND(".",B320)+1)+1,99),"")</ns0:f>
        <ns0:v>99</ns0:v>
      </ns0:c>
      <ns0:c r="F320" s="0">
        <ns0:f>IFERROR(IF(FIND(".",B320)=5,--C320,--E320),0)</ns0:f>
        <ns0:v>0</ns0:v>
      </ns0:c>
      <ns0:c r="G320" s="0">
        <ns0:f>IFERROR(--D320,0)</ns0:f>
        <ns0:v>0</ns0:v>
      </ns0:c>
      <ns0:c r="H320" s="0">
        <ns0:f>IFERROR(IF(FIND(".",B320)=5,--E320,--C320),0)</ns0:f>
        <ns0:v>0</ns0:v>
      </ns0:c>
      <ns0:c r="I320" s="0">
        <ns0:f>IFERROR(IF(AND(F320&gt;=2000,F320&lt;=2100,G320&gt;=1,G320&lt;=12,H320&gt;=1,H320&lt;=31),DATE(F320,G320,H320),0),0)</ns0:f>
        <ns0:v>0</ns0:v>
      </ns0:c>
      <ns0:c r="J320" s="0">
        <ns0:f>IFERROR(IF(ISNUMBER(Bookings!B320),IF(AND(Bookings!B320=INT(Bookings!B320),Bookings!B320&gt;=DATE(2000,1,1),Bookings!B320&lt;=DATE(2100,12,31)),Bookings!B320,0),IF(AND(A320&lt;&gt;"",LEN("x"&amp;B320)-LEN(SUBSTITUTE("x"&amp;B320,".",""))=2,OR(1&gt;LEN(B320),MID(B320,1,1)=".",ISNUMBER(FIND("x"&amp;MID(B320,1,1),"x0x1x2x3x4x5x6x7x8x9"))),OR(2&gt;LEN(B320),MID(B320,2,1)=".",ISNUMBER(FIND("x"&amp;MID(B320,2,1),"x0x1x2x3x4x5x6x7x8x9"))),OR(3&gt;LEN(B320),MID(B320,3,1)=".",ISNUMBER(FIND("x"&amp;MID(B320,3,1),"x0x1x2x3x4x5x6x7x8x9"))),OR(4&gt;LEN(B320),MID(B320,4,1)=".",ISNUMBER(FIND("x"&amp;MID(B320,4,1),"x0x1x2x3x4x5x6x7x8x9"))),OR(5&gt;LEN(B320),MID(B320,5,1)=".",ISNUMBER(FIND("x"&amp;MID(B320,5,1),"x0x1x2x3x4x5x6x7x8x9"))),OR(6&gt;LEN(B320),MID(B320,6,1)=".",ISNUMBER(FIND("x"&amp;MID(B320,6,1),"x0x1x2x3x4x5x6x7x8x9"))),OR(7&gt;LEN(B320),MID(B320,7,1)=".",ISNUMBER(FIND("x"&amp;MID(B320,7,1),"x0x1x2x3x4x5x6x7x8x9"))),OR(8&gt;LEN(B320),MID(B320,8,1)=".",ISNUMBER(FIND("x"&amp;MID(B320,8,1),"x0x1x2x3x4x5x6x7x8x9"))),OR(9&gt;LEN(B320),MID(B320,9,1)=".",ISNUMBER(FIND("x"&amp;MID(B320,9,1),"x0x1x2x3x4x5x6x7x8x9"))),OR(10&gt;LEN(B320),MID(B320,10,1)=".",ISNUMBER(FIND("x"&amp;MID(B320,10,1),"x0x1x2x3x4x5x6x7x8x9"))),OR(AND(FIND(".",B320)=5,LEN(B320)-FIND(".",B320,FIND(".",B320)+1)&gt;=1,LEN(B320)-FIND(".",B320,FIND(".",B320)+1)&lt;=2),AND(LEN(B320)-FIND(".",B320,FIND(".",B320)+1)=4,FIND(".",B320)&gt;=2,FIND(".",B320)&lt;=3)),FIND(".",B320,FIND(".",B320)+1)-FIND(".",B320)&gt;=2,FIND(".",B320,FIND(".",B320)+1)-FIND(".",B320)&lt;=3,F320&gt;=2000,F320&lt;=2100,YEAR(I320)=F320,MONTH(I320)=G320,DAY(I320)=H320),I320,0)),0)</ns0:f>
        <ns0:v>0</ns0:v>
      </ns0:c>
      <ns0:c r="K320" s="0">
        <ns0:f>IFERROR(IF(ISNUMBER(Bookings!D320),"",TRIM(Bookings!D320&amp;"")),"")</ns0:f>
      </ns0:c>
      <ns0:c r="L320" s="0">
        <ns0:f>IFERROR(SUBSTITUTE(SUBSTITUTE(K320,"/","."),"-","."),"")</ns0:f>
      </ns0:c>
      <ns0:c r="M320" s="0">
        <ns0:f>IFERROR(LEFT(L320,FIND(".",L320)-1),"")</ns0:f>
      </ns0:c>
      <ns0:c r="N320" s="0">
        <ns0:f>IFERROR(MID(L320,FIND(".",L320)+1,FIND(".",L320,FIND(".",L320)+1)-FIND(".",L320)-1),"")</ns0:f>
      </ns0:c>
      <ns0:c r="O320" s="0">
        <ns0:f>IFERROR(MID(L320,FIND(".",L320,FIND(".",L320)+1)+1,99),"")</ns0:f>
        <ns0:v>99</ns0:v>
      </ns0:c>
      <ns0:c r="P320" s="0">
        <ns0:f>IFERROR(IF(FIND(".",L320)=5,--M320,--O320),0)</ns0:f>
        <ns0:v>0</ns0:v>
      </ns0:c>
      <ns0:c r="Q320" s="0">
        <ns0:f>IFERROR(--N320,0)</ns0:f>
        <ns0:v>0</ns0:v>
      </ns0:c>
      <ns0:c r="R320" s="0">
        <ns0:f>IFERROR(IF(FIND(".",L320)=5,--O320,--M320),0)</ns0:f>
        <ns0:v>0</ns0:v>
      </ns0:c>
      <ns0:c r="S320" s="0">
        <ns0:f>IFERROR(IF(AND(P320&gt;=2000,P320&lt;=2100,Q320&gt;=1,Q320&lt;=12,R320&gt;=1,R320&lt;=31),DATE(P320,Q320,R320),0),0)</ns0:f>
        <ns0:v>0</ns0:v>
      </ns0:c>
      <ns0:c r="T320" s="0">
        <ns0:f>IFERROR(IF(ISNUMBER(Bookings!D320),IF(AND(Bookings!D320=INT(Bookings!D320),Bookings!D320&gt;=DATE(2000,1,1),Bookings!D320&lt;=DATE(2100,12,31)),Bookings!D320,0),IF(AND(K320&lt;&gt;"",LEN("x"&amp;L320)-LEN(SUBSTITUTE("x"&amp;L320,".",""))=2,OR(1&gt;LEN(L320),MID(L320,1,1)=".",ISNUMBER(FIND("x"&amp;MID(L320,1,1),"x0x1x2x3x4x5x6x7x8x9"))),OR(2&gt;LEN(L320),MID(L320,2,1)=".",ISNUMBER(FIND("x"&amp;MID(L320,2,1),"x0x1x2x3x4x5x6x7x8x9"))),OR(3&gt;LEN(L320),MID(L320,3,1)=".",ISNUMBER(FIND("x"&amp;MID(L320,3,1),"x0x1x2x3x4x5x6x7x8x9"))),OR(4&gt;LEN(L320),MID(L320,4,1)=".",ISNUMBER(FIND("x"&amp;MID(L320,4,1),"x0x1x2x3x4x5x6x7x8x9"))),OR(5&gt;LEN(L320),MID(L320,5,1)=".",ISNUMBER(FIND("x"&amp;MID(L320,5,1),"x0x1x2x3x4x5x6x7x8x9"))),OR(6&gt;LEN(L320),MID(L320,6,1)=".",ISNUMBER(FIND("x"&amp;MID(L320,6,1),"x0x1x2x3x4x5x6x7x8x9"))),OR(7&gt;LEN(L320),MID(L320,7,1)=".",ISNUMBER(FIND("x"&amp;MID(L320,7,1),"x0x1x2x3x4x5x6x7x8x9"))),OR(8&gt;LEN(L320),MID(L320,8,1)=".",ISNUMBER(FIND("x"&amp;MID(L320,8,1),"x0x1x2x3x4x5x6x7x8x9"))),OR(9&gt;LEN(L320),MID(L320,9,1)=".",ISNUMBER(FIND("x"&amp;MID(L320,9,1),"x0x1x2x3x4x5x6x7x8x9"))),OR(10&gt;LEN(L320),MID(L320,10,1)=".",ISNUMBER(FIND("x"&amp;MID(L320,10,1),"x0x1x2x3x4x5x6x7x8x9"))),OR(AND(FIND(".",L320)=5,LEN(L320)-FIND(".",L320,FIND(".",L320)+1)&gt;=1,LEN(L320)-FIND(".",L320,FIND(".",L320)+1)&lt;=2),AND(LEN(L320)-FIND(".",L320,FIND(".",L320)+1)=4,FIND(".",L320)&gt;=2,FIND(".",L320)&lt;=3)),FIND(".",L320,FIND(".",L320)+1)-FIND(".",L320)&gt;=2,FIND(".",L320,FIND(".",L320)+1)-FIND(".",L320)&lt;=3,P320&gt;=2000,P320&lt;=2100,YEAR(S320)=P320,MONTH(S320)=Q320,DAY(S320)=R320),S320,0)),0)</ns0:f>
        <ns0:v>0</ns0:v>
      </ns0:c>
      <ns0:c r="U320" s="0" t="str">
        <ns0:f>IF(Bookings!C320="","Full day",Bookings!C320)</ns0:f>
        <ns0:v>Full day</ns0:v>
      </ns0:c>
      <ns0:c r="V320" s="0" t="str">
        <ns0:f>IF(Bookings!E320="","Full day",Bookings!E320)</ns0:f>
        <ns0:v>Full day</ns0:v>
      </ns0:c>
      <ns0:c r="W320" s="0">
        <ns0:f>IF(J320=0,0,J320+IF(U320="PM",1,0))</ns0:f>
        <ns0:v>0</ns0:v>
      </ns0:c>
      <ns0:c r="X320" s="0">
        <ns0:f>IF(T320=0,0,T320-IF(V320="PM",1,0))</ns0:f>
        <ns0:v>0</ns0:v>
      </ns0:c>
      <ns0:c r="Y320" s="0">
        <ns0:f>IF(J320=0,0,J320+IF(U320="AM",1,0))</ns0:f>
        <ns0:v>0</ns0:v>
      </ns0:c>
      <ns0:c r="Z320" s="0">
        <ns0:f>IF(T320=0,0,T320-IF(V320="AM",1,0))</ns0:f>
        <ns0:v>0</ns0:v>
      </ns0:c>
      <ns0:c r="AA320" s="0">
        <ns0:f>IFERROR(IF(AND(J320&gt;0,'_Engine'!C320&gt;0,MID('_Engine'!W320,WEEKDAY(J320,2),1)="W",COUNTIF(Settings!$F$18:$F$67,J320)=0),1,0),0)</ns0:f>
        <ns0:v>0</ns0:v>
      </ns0:c>
      <ns0:c r="AB320" s="0">
        <ns0:f>IFERROR(IF(AND(T320&gt;0,'_Engine'!C320&gt;0,MID('_Engine'!W320,WEEKDAY(T320,2),1)="W",COUNTIF(Settings!$F$18:$F$67,T320)=0),1,0),0)</ns0:f>
        <ns0:v>0</ns0:v>
      </ns0:c>
      <ns0:c r="AC320" s="0">
        <ns0:f>IF(AND(J320&gt;0,T320&gt;0,W320&lt;=X320),1,0)</ns0:f>
        <ns0:v>0</ns0:v>
      </ns0:c>
      <ns0:c r="AD320" s="0">
        <ns0:f>IF(AND(J320&gt;0,T320&gt;0,Y320&lt;=Z320),1,0)</ns0:f>
        <ns0:v>0</ns0:v>
      </ns0:c>
    </ns0:row>
    <ns0:row r="321">
      <ns0:c r="A321" s="0">
        <ns0:f>IFERROR(IF(ISNUMBER(Bookings!B321),"",TRIM(Bookings!B321&amp;"")),"")</ns0:f>
      </ns0:c>
      <ns0:c r="B321" s="0">
        <ns0:f>IFERROR(SUBSTITUTE(SUBSTITUTE(A321,"/","."),"-","."),"")</ns0:f>
      </ns0:c>
      <ns0:c r="C321" s="0">
        <ns0:f>IFERROR(LEFT(B321,FIND(".",B321)-1),"")</ns0:f>
      </ns0:c>
      <ns0:c r="D321" s="0">
        <ns0:f>IFERROR(MID(B321,FIND(".",B321)+1,FIND(".",B321,FIND(".",B321)+1)-FIND(".",B321)-1),"")</ns0:f>
      </ns0:c>
      <ns0:c r="E321" s="0">
        <ns0:f>IFERROR(MID(B321,FIND(".",B321,FIND(".",B321)+1)+1,99),"")</ns0:f>
        <ns0:v>99</ns0:v>
      </ns0:c>
      <ns0:c r="F321" s="0">
        <ns0:f>IFERROR(IF(FIND(".",B321)=5,--C321,--E321),0)</ns0:f>
        <ns0:v>0</ns0:v>
      </ns0:c>
      <ns0:c r="G321" s="0">
        <ns0:f>IFERROR(--D321,0)</ns0:f>
        <ns0:v>0</ns0:v>
      </ns0:c>
      <ns0:c r="H321" s="0">
        <ns0:f>IFERROR(IF(FIND(".",B321)=5,--E321,--C321),0)</ns0:f>
        <ns0:v>0</ns0:v>
      </ns0:c>
      <ns0:c r="I321" s="0">
        <ns0:f>IFERROR(IF(AND(F321&gt;=2000,F321&lt;=2100,G321&gt;=1,G321&lt;=12,H321&gt;=1,H321&lt;=31),DATE(F321,G321,H321),0),0)</ns0:f>
        <ns0:v>0</ns0:v>
      </ns0:c>
      <ns0:c r="J321" s="0">
        <ns0:f>IFERROR(IF(ISNUMBER(Bookings!B321),IF(AND(Bookings!B321=INT(Bookings!B321),Bookings!B321&gt;=DATE(2000,1,1),Bookings!B321&lt;=DATE(2100,12,31)),Bookings!B321,0),IF(AND(A321&lt;&gt;"",LEN("x"&amp;B321)-LEN(SUBSTITUTE("x"&amp;B321,".",""))=2,OR(1&gt;LEN(B321),MID(B321,1,1)=".",ISNUMBER(FIND("x"&amp;MID(B321,1,1),"x0x1x2x3x4x5x6x7x8x9"))),OR(2&gt;LEN(B321),MID(B321,2,1)=".",ISNUMBER(FIND("x"&amp;MID(B321,2,1),"x0x1x2x3x4x5x6x7x8x9"))),OR(3&gt;LEN(B321),MID(B321,3,1)=".",ISNUMBER(FIND("x"&amp;MID(B321,3,1),"x0x1x2x3x4x5x6x7x8x9"))),OR(4&gt;LEN(B321),MID(B321,4,1)=".",ISNUMBER(FIND("x"&amp;MID(B321,4,1),"x0x1x2x3x4x5x6x7x8x9"))),OR(5&gt;LEN(B321),MID(B321,5,1)=".",ISNUMBER(FIND("x"&amp;MID(B321,5,1),"x0x1x2x3x4x5x6x7x8x9"))),OR(6&gt;LEN(B321),MID(B321,6,1)=".",ISNUMBER(FIND("x"&amp;MID(B321,6,1),"x0x1x2x3x4x5x6x7x8x9"))),OR(7&gt;LEN(B321),MID(B321,7,1)=".",ISNUMBER(FIND("x"&amp;MID(B321,7,1),"x0x1x2x3x4x5x6x7x8x9"))),OR(8&gt;LEN(B321),MID(B321,8,1)=".",ISNUMBER(FIND("x"&amp;MID(B321,8,1),"x0x1x2x3x4x5x6x7x8x9"))),OR(9&gt;LEN(B321),MID(B321,9,1)=".",ISNUMBER(FIND("x"&amp;MID(B321,9,1),"x0x1x2x3x4x5x6x7x8x9"))),OR(10&gt;LEN(B321),MID(B321,10,1)=".",ISNUMBER(FIND("x"&amp;MID(B321,10,1),"x0x1x2x3x4x5x6x7x8x9"))),OR(AND(FIND(".",B321)=5,LEN(B321)-FIND(".",B321,FIND(".",B321)+1)&gt;=1,LEN(B321)-FIND(".",B321,FIND(".",B321)+1)&lt;=2),AND(LEN(B321)-FIND(".",B321,FIND(".",B321)+1)=4,FIND(".",B321)&gt;=2,FIND(".",B321)&lt;=3)),FIND(".",B321,FIND(".",B321)+1)-FIND(".",B321)&gt;=2,FIND(".",B321,FIND(".",B321)+1)-FIND(".",B321)&lt;=3,F321&gt;=2000,F321&lt;=2100,YEAR(I321)=F321,MONTH(I321)=G321,DAY(I321)=H321),I321,0)),0)</ns0:f>
        <ns0:v>0</ns0:v>
      </ns0:c>
      <ns0:c r="K321" s="0">
        <ns0:f>IFERROR(IF(ISNUMBER(Bookings!D321),"",TRIM(Bookings!D321&amp;"")),"")</ns0:f>
      </ns0:c>
      <ns0:c r="L321" s="0">
        <ns0:f>IFERROR(SUBSTITUTE(SUBSTITUTE(K321,"/","."),"-","."),"")</ns0:f>
      </ns0:c>
      <ns0:c r="M321" s="0">
        <ns0:f>IFERROR(LEFT(L321,FIND(".",L321)-1),"")</ns0:f>
      </ns0:c>
      <ns0:c r="N321" s="0">
        <ns0:f>IFERROR(MID(L321,FIND(".",L321)+1,FIND(".",L321,FIND(".",L321)+1)-FIND(".",L321)-1),"")</ns0:f>
      </ns0:c>
      <ns0:c r="O321" s="0">
        <ns0:f>IFERROR(MID(L321,FIND(".",L321,FIND(".",L321)+1)+1,99),"")</ns0:f>
        <ns0:v>99</ns0:v>
      </ns0:c>
      <ns0:c r="P321" s="0">
        <ns0:f>IFERROR(IF(FIND(".",L321)=5,--M321,--O321),0)</ns0:f>
        <ns0:v>0</ns0:v>
      </ns0:c>
      <ns0:c r="Q321" s="0">
        <ns0:f>IFERROR(--N321,0)</ns0:f>
        <ns0:v>0</ns0:v>
      </ns0:c>
      <ns0:c r="R321" s="0">
        <ns0:f>IFERROR(IF(FIND(".",L321)=5,--O321,--M321),0)</ns0:f>
        <ns0:v>0</ns0:v>
      </ns0:c>
      <ns0:c r="S321" s="0">
        <ns0:f>IFERROR(IF(AND(P321&gt;=2000,P321&lt;=2100,Q321&gt;=1,Q321&lt;=12,R321&gt;=1,R321&lt;=31),DATE(P321,Q321,R321),0),0)</ns0:f>
        <ns0:v>0</ns0:v>
      </ns0:c>
      <ns0:c r="T321" s="0">
        <ns0:f>IFERROR(IF(ISNUMBER(Bookings!D321),IF(AND(Bookings!D321=INT(Bookings!D321),Bookings!D321&gt;=DATE(2000,1,1),Bookings!D321&lt;=DATE(2100,12,31)),Bookings!D321,0),IF(AND(K321&lt;&gt;"",LEN("x"&amp;L321)-LEN(SUBSTITUTE("x"&amp;L321,".",""))=2,OR(1&gt;LEN(L321),MID(L321,1,1)=".",ISNUMBER(FIND("x"&amp;MID(L321,1,1),"x0x1x2x3x4x5x6x7x8x9"))),OR(2&gt;LEN(L321),MID(L321,2,1)=".",ISNUMBER(FIND("x"&amp;MID(L321,2,1),"x0x1x2x3x4x5x6x7x8x9"))),OR(3&gt;LEN(L321),MID(L321,3,1)=".",ISNUMBER(FIND("x"&amp;MID(L321,3,1),"x0x1x2x3x4x5x6x7x8x9"))),OR(4&gt;LEN(L321),MID(L321,4,1)=".",ISNUMBER(FIND("x"&amp;MID(L321,4,1),"x0x1x2x3x4x5x6x7x8x9"))),OR(5&gt;LEN(L321),MID(L321,5,1)=".",ISNUMBER(FIND("x"&amp;MID(L321,5,1),"x0x1x2x3x4x5x6x7x8x9"))),OR(6&gt;LEN(L321),MID(L321,6,1)=".",ISNUMBER(FIND("x"&amp;MID(L321,6,1),"x0x1x2x3x4x5x6x7x8x9"))),OR(7&gt;LEN(L321),MID(L321,7,1)=".",ISNUMBER(FIND("x"&amp;MID(L321,7,1),"x0x1x2x3x4x5x6x7x8x9"))),OR(8&gt;LEN(L321),MID(L321,8,1)=".",ISNUMBER(FIND("x"&amp;MID(L321,8,1),"x0x1x2x3x4x5x6x7x8x9"))),OR(9&gt;LEN(L321),MID(L321,9,1)=".",ISNUMBER(FIND("x"&amp;MID(L321,9,1),"x0x1x2x3x4x5x6x7x8x9"))),OR(10&gt;LEN(L321),MID(L321,10,1)=".",ISNUMBER(FIND("x"&amp;MID(L321,10,1),"x0x1x2x3x4x5x6x7x8x9"))),OR(AND(FIND(".",L321)=5,LEN(L321)-FIND(".",L321,FIND(".",L321)+1)&gt;=1,LEN(L321)-FIND(".",L321,FIND(".",L321)+1)&lt;=2),AND(LEN(L321)-FIND(".",L321,FIND(".",L321)+1)=4,FIND(".",L321)&gt;=2,FIND(".",L321)&lt;=3)),FIND(".",L321,FIND(".",L321)+1)-FIND(".",L321)&gt;=2,FIND(".",L321,FIND(".",L321)+1)-FIND(".",L321)&lt;=3,P321&gt;=2000,P321&lt;=2100,YEAR(S321)=P321,MONTH(S321)=Q321,DAY(S321)=R321),S321,0)),0)</ns0:f>
        <ns0:v>0</ns0:v>
      </ns0:c>
      <ns0:c r="U321" s="0" t="str">
        <ns0:f>IF(Bookings!C321="","Full day",Bookings!C321)</ns0:f>
        <ns0:v>Full day</ns0:v>
      </ns0:c>
      <ns0:c r="V321" s="0" t="str">
        <ns0:f>IF(Bookings!E321="","Full day",Bookings!E321)</ns0:f>
        <ns0:v>Full day</ns0:v>
      </ns0:c>
      <ns0:c r="W321" s="0">
        <ns0:f>IF(J321=0,0,J321+IF(U321="PM",1,0))</ns0:f>
        <ns0:v>0</ns0:v>
      </ns0:c>
      <ns0:c r="X321" s="0">
        <ns0:f>IF(T321=0,0,T321-IF(V321="PM",1,0))</ns0:f>
        <ns0:v>0</ns0:v>
      </ns0:c>
      <ns0:c r="Y321" s="0">
        <ns0:f>IF(J321=0,0,J321+IF(U321="AM",1,0))</ns0:f>
        <ns0:v>0</ns0:v>
      </ns0:c>
      <ns0:c r="Z321" s="0">
        <ns0:f>IF(T321=0,0,T321-IF(V321="AM",1,0))</ns0:f>
        <ns0:v>0</ns0:v>
      </ns0:c>
      <ns0:c r="AA321" s="0">
        <ns0:f>IFERROR(IF(AND(J321&gt;0,'_Engine'!C321&gt;0,MID('_Engine'!W321,WEEKDAY(J321,2),1)="W",COUNTIF(Settings!$F$18:$F$67,J321)=0),1,0),0)</ns0:f>
        <ns0:v>0</ns0:v>
      </ns0:c>
      <ns0:c r="AB321" s="0">
        <ns0:f>IFERROR(IF(AND(T321&gt;0,'_Engine'!C321&gt;0,MID('_Engine'!W321,WEEKDAY(T321,2),1)="W",COUNTIF(Settings!$F$18:$F$67,T321)=0),1,0),0)</ns0:f>
        <ns0:v>0</ns0:v>
      </ns0:c>
      <ns0:c r="AC321" s="0">
        <ns0:f>IF(AND(J321&gt;0,T321&gt;0,W321&lt;=X321),1,0)</ns0:f>
        <ns0:v>0</ns0:v>
      </ns0:c>
      <ns0:c r="AD321" s="0">
        <ns0:f>IF(AND(J321&gt;0,T321&gt;0,Y321&lt;=Z321),1,0)</ns0:f>
        <ns0:v>0</ns0:v>
      </ns0:c>
    </ns0:row>
    <ns0:row r="322">
      <ns0:c r="A322" s="0">
        <ns0:f>IFERROR(IF(ISNUMBER(Bookings!B322),"",TRIM(Bookings!B322&amp;"")),"")</ns0:f>
      </ns0:c>
      <ns0:c r="B322" s="0">
        <ns0:f>IFERROR(SUBSTITUTE(SUBSTITUTE(A322,"/","."),"-","."),"")</ns0:f>
      </ns0:c>
      <ns0:c r="C322" s="0">
        <ns0:f>IFERROR(LEFT(B322,FIND(".",B322)-1),"")</ns0:f>
      </ns0:c>
      <ns0:c r="D322" s="0">
        <ns0:f>IFERROR(MID(B322,FIND(".",B322)+1,FIND(".",B322,FIND(".",B322)+1)-FIND(".",B322)-1),"")</ns0:f>
      </ns0:c>
      <ns0:c r="E322" s="0">
        <ns0:f>IFERROR(MID(B322,FIND(".",B322,FIND(".",B322)+1)+1,99),"")</ns0:f>
        <ns0:v>99</ns0:v>
      </ns0:c>
      <ns0:c r="F322" s="0">
        <ns0:f>IFERROR(IF(FIND(".",B322)=5,--C322,--E322),0)</ns0:f>
        <ns0:v>0</ns0:v>
      </ns0:c>
      <ns0:c r="G322" s="0">
        <ns0:f>IFERROR(--D322,0)</ns0:f>
        <ns0:v>0</ns0:v>
      </ns0:c>
      <ns0:c r="H322" s="0">
        <ns0:f>IFERROR(IF(FIND(".",B322)=5,--E322,--C322),0)</ns0:f>
        <ns0:v>0</ns0:v>
      </ns0:c>
      <ns0:c r="I322" s="0">
        <ns0:f>IFERROR(IF(AND(F322&gt;=2000,F322&lt;=2100,G322&gt;=1,G322&lt;=12,H322&gt;=1,H322&lt;=31),DATE(F322,G322,H322),0),0)</ns0:f>
        <ns0:v>0</ns0:v>
      </ns0:c>
      <ns0:c r="J322" s="0">
        <ns0:f>IFERROR(IF(ISNUMBER(Bookings!B322),IF(AND(Bookings!B322=INT(Bookings!B322),Bookings!B322&gt;=DATE(2000,1,1),Bookings!B322&lt;=DATE(2100,12,31)),Bookings!B322,0),IF(AND(A322&lt;&gt;"",LEN("x"&amp;B322)-LEN(SUBSTITUTE("x"&amp;B322,".",""))=2,OR(1&gt;LEN(B322),MID(B322,1,1)=".",ISNUMBER(FIND("x"&amp;MID(B322,1,1),"x0x1x2x3x4x5x6x7x8x9"))),OR(2&gt;LEN(B322),MID(B322,2,1)=".",ISNUMBER(FIND("x"&amp;MID(B322,2,1),"x0x1x2x3x4x5x6x7x8x9"))),OR(3&gt;LEN(B322),MID(B322,3,1)=".",ISNUMBER(FIND("x"&amp;MID(B322,3,1),"x0x1x2x3x4x5x6x7x8x9"))),OR(4&gt;LEN(B322),MID(B322,4,1)=".",ISNUMBER(FIND("x"&amp;MID(B322,4,1),"x0x1x2x3x4x5x6x7x8x9"))),OR(5&gt;LEN(B322),MID(B322,5,1)=".",ISNUMBER(FIND("x"&amp;MID(B322,5,1),"x0x1x2x3x4x5x6x7x8x9"))),OR(6&gt;LEN(B322),MID(B322,6,1)=".",ISNUMBER(FIND("x"&amp;MID(B322,6,1),"x0x1x2x3x4x5x6x7x8x9"))),OR(7&gt;LEN(B322),MID(B322,7,1)=".",ISNUMBER(FIND("x"&amp;MID(B322,7,1),"x0x1x2x3x4x5x6x7x8x9"))),OR(8&gt;LEN(B322),MID(B322,8,1)=".",ISNUMBER(FIND("x"&amp;MID(B322,8,1),"x0x1x2x3x4x5x6x7x8x9"))),OR(9&gt;LEN(B322),MID(B322,9,1)=".",ISNUMBER(FIND("x"&amp;MID(B322,9,1),"x0x1x2x3x4x5x6x7x8x9"))),OR(10&gt;LEN(B322),MID(B322,10,1)=".",ISNUMBER(FIND("x"&amp;MID(B322,10,1),"x0x1x2x3x4x5x6x7x8x9"))),OR(AND(FIND(".",B322)=5,LEN(B322)-FIND(".",B322,FIND(".",B322)+1)&gt;=1,LEN(B322)-FIND(".",B322,FIND(".",B322)+1)&lt;=2),AND(LEN(B322)-FIND(".",B322,FIND(".",B322)+1)=4,FIND(".",B322)&gt;=2,FIND(".",B322)&lt;=3)),FIND(".",B322,FIND(".",B322)+1)-FIND(".",B322)&gt;=2,FIND(".",B322,FIND(".",B322)+1)-FIND(".",B322)&lt;=3,F322&gt;=2000,F322&lt;=2100,YEAR(I322)=F322,MONTH(I322)=G322,DAY(I322)=H322),I322,0)),0)</ns0:f>
        <ns0:v>0</ns0:v>
      </ns0:c>
      <ns0:c r="K322" s="0">
        <ns0:f>IFERROR(IF(ISNUMBER(Bookings!D322),"",TRIM(Bookings!D322&amp;"")),"")</ns0:f>
      </ns0:c>
      <ns0:c r="L322" s="0">
        <ns0:f>IFERROR(SUBSTITUTE(SUBSTITUTE(K322,"/","."),"-","."),"")</ns0:f>
      </ns0:c>
      <ns0:c r="M322" s="0">
        <ns0:f>IFERROR(LEFT(L322,FIND(".",L322)-1),"")</ns0:f>
      </ns0:c>
      <ns0:c r="N322" s="0">
        <ns0:f>IFERROR(MID(L322,FIND(".",L322)+1,FIND(".",L322,FIND(".",L322)+1)-FIND(".",L322)-1),"")</ns0:f>
      </ns0:c>
      <ns0:c r="O322" s="0">
        <ns0:f>IFERROR(MID(L322,FIND(".",L322,FIND(".",L322)+1)+1,99),"")</ns0:f>
        <ns0:v>99</ns0:v>
      </ns0:c>
      <ns0:c r="P322" s="0">
        <ns0:f>IFERROR(IF(FIND(".",L322)=5,--M322,--O322),0)</ns0:f>
        <ns0:v>0</ns0:v>
      </ns0:c>
      <ns0:c r="Q322" s="0">
        <ns0:f>IFERROR(--N322,0)</ns0:f>
        <ns0:v>0</ns0:v>
      </ns0:c>
      <ns0:c r="R322" s="0">
        <ns0:f>IFERROR(IF(FIND(".",L322)=5,--O322,--M322),0)</ns0:f>
        <ns0:v>0</ns0:v>
      </ns0:c>
      <ns0:c r="S322" s="0">
        <ns0:f>IFERROR(IF(AND(P322&gt;=2000,P322&lt;=2100,Q322&gt;=1,Q322&lt;=12,R322&gt;=1,R322&lt;=31),DATE(P322,Q322,R322),0),0)</ns0:f>
        <ns0:v>0</ns0:v>
      </ns0:c>
      <ns0:c r="T322" s="0">
        <ns0:f>IFERROR(IF(ISNUMBER(Bookings!D322),IF(AND(Bookings!D322=INT(Bookings!D322),Bookings!D322&gt;=DATE(2000,1,1),Bookings!D322&lt;=DATE(2100,12,31)),Bookings!D322,0),IF(AND(K322&lt;&gt;"",LEN("x"&amp;L322)-LEN(SUBSTITUTE("x"&amp;L322,".",""))=2,OR(1&gt;LEN(L322),MID(L322,1,1)=".",ISNUMBER(FIND("x"&amp;MID(L322,1,1),"x0x1x2x3x4x5x6x7x8x9"))),OR(2&gt;LEN(L322),MID(L322,2,1)=".",ISNUMBER(FIND("x"&amp;MID(L322,2,1),"x0x1x2x3x4x5x6x7x8x9"))),OR(3&gt;LEN(L322),MID(L322,3,1)=".",ISNUMBER(FIND("x"&amp;MID(L322,3,1),"x0x1x2x3x4x5x6x7x8x9"))),OR(4&gt;LEN(L322),MID(L322,4,1)=".",ISNUMBER(FIND("x"&amp;MID(L322,4,1),"x0x1x2x3x4x5x6x7x8x9"))),OR(5&gt;LEN(L322),MID(L322,5,1)=".",ISNUMBER(FIND("x"&amp;MID(L322,5,1),"x0x1x2x3x4x5x6x7x8x9"))),OR(6&gt;LEN(L322),MID(L322,6,1)=".",ISNUMBER(FIND("x"&amp;MID(L322,6,1),"x0x1x2x3x4x5x6x7x8x9"))),OR(7&gt;LEN(L322),MID(L322,7,1)=".",ISNUMBER(FIND("x"&amp;MID(L322,7,1),"x0x1x2x3x4x5x6x7x8x9"))),OR(8&gt;LEN(L322),MID(L322,8,1)=".",ISNUMBER(FIND("x"&amp;MID(L322,8,1),"x0x1x2x3x4x5x6x7x8x9"))),OR(9&gt;LEN(L322),MID(L322,9,1)=".",ISNUMBER(FIND("x"&amp;MID(L322,9,1),"x0x1x2x3x4x5x6x7x8x9"))),OR(10&gt;LEN(L322),MID(L322,10,1)=".",ISNUMBER(FIND("x"&amp;MID(L322,10,1),"x0x1x2x3x4x5x6x7x8x9"))),OR(AND(FIND(".",L322)=5,LEN(L322)-FIND(".",L322,FIND(".",L322)+1)&gt;=1,LEN(L322)-FIND(".",L322,FIND(".",L322)+1)&lt;=2),AND(LEN(L322)-FIND(".",L322,FIND(".",L322)+1)=4,FIND(".",L322)&gt;=2,FIND(".",L322)&lt;=3)),FIND(".",L322,FIND(".",L322)+1)-FIND(".",L322)&gt;=2,FIND(".",L322,FIND(".",L322)+1)-FIND(".",L322)&lt;=3,P322&gt;=2000,P322&lt;=2100,YEAR(S322)=P322,MONTH(S322)=Q322,DAY(S322)=R322),S322,0)),0)</ns0:f>
        <ns0:v>0</ns0:v>
      </ns0:c>
      <ns0:c r="U322" s="0" t="str">
        <ns0:f>IF(Bookings!C322="","Full day",Bookings!C322)</ns0:f>
        <ns0:v>Full day</ns0:v>
      </ns0:c>
      <ns0:c r="V322" s="0" t="str">
        <ns0:f>IF(Bookings!E322="","Full day",Bookings!E322)</ns0:f>
        <ns0:v>Full day</ns0:v>
      </ns0:c>
      <ns0:c r="W322" s="0">
        <ns0:f>IF(J322=0,0,J322+IF(U322="PM",1,0))</ns0:f>
        <ns0:v>0</ns0:v>
      </ns0:c>
      <ns0:c r="X322" s="0">
        <ns0:f>IF(T322=0,0,T322-IF(V322="PM",1,0))</ns0:f>
        <ns0:v>0</ns0:v>
      </ns0:c>
      <ns0:c r="Y322" s="0">
        <ns0:f>IF(J322=0,0,J322+IF(U322="AM",1,0))</ns0:f>
        <ns0:v>0</ns0:v>
      </ns0:c>
      <ns0:c r="Z322" s="0">
        <ns0:f>IF(T322=0,0,T322-IF(V322="AM",1,0))</ns0:f>
        <ns0:v>0</ns0:v>
      </ns0:c>
      <ns0:c r="AA322" s="0">
        <ns0:f>IFERROR(IF(AND(J322&gt;0,'_Engine'!C322&gt;0,MID('_Engine'!W322,WEEKDAY(J322,2),1)="W",COUNTIF(Settings!$F$18:$F$67,J322)=0),1,0),0)</ns0:f>
        <ns0:v>0</ns0:v>
      </ns0:c>
      <ns0:c r="AB322" s="0">
        <ns0:f>IFERROR(IF(AND(T322&gt;0,'_Engine'!C322&gt;0,MID('_Engine'!W322,WEEKDAY(T322,2),1)="W",COUNTIF(Settings!$F$18:$F$67,T322)=0),1,0),0)</ns0:f>
        <ns0:v>0</ns0:v>
      </ns0:c>
      <ns0:c r="AC322" s="0">
        <ns0:f>IF(AND(J322&gt;0,T322&gt;0,W322&lt;=X322),1,0)</ns0:f>
        <ns0:v>0</ns0:v>
      </ns0:c>
      <ns0:c r="AD322" s="0">
        <ns0:f>IF(AND(J322&gt;0,T322&gt;0,Y322&lt;=Z322),1,0)</ns0:f>
        <ns0:v>0</ns0:v>
      </ns0:c>
    </ns0:row>
    <ns0:row r="323">
      <ns0:c r="A323" s="0">
        <ns0:f>IFERROR(IF(ISNUMBER(Bookings!B323),"",TRIM(Bookings!B323&amp;"")),"")</ns0:f>
      </ns0:c>
      <ns0:c r="B323" s="0">
        <ns0:f>IFERROR(SUBSTITUTE(SUBSTITUTE(A323,"/","."),"-","."),"")</ns0:f>
      </ns0:c>
      <ns0:c r="C323" s="0">
        <ns0:f>IFERROR(LEFT(B323,FIND(".",B323)-1),"")</ns0:f>
      </ns0:c>
      <ns0:c r="D323" s="0">
        <ns0:f>IFERROR(MID(B323,FIND(".",B323)+1,FIND(".",B323,FIND(".",B323)+1)-FIND(".",B323)-1),"")</ns0:f>
      </ns0:c>
      <ns0:c r="E323" s="0">
        <ns0:f>IFERROR(MID(B323,FIND(".",B323,FIND(".",B323)+1)+1,99),"")</ns0:f>
        <ns0:v>99</ns0:v>
      </ns0:c>
      <ns0:c r="F323" s="0">
        <ns0:f>IFERROR(IF(FIND(".",B323)=5,--C323,--E323),0)</ns0:f>
        <ns0:v>0</ns0:v>
      </ns0:c>
      <ns0:c r="G323" s="0">
        <ns0:f>IFERROR(--D323,0)</ns0:f>
        <ns0:v>0</ns0:v>
      </ns0:c>
      <ns0:c r="H323" s="0">
        <ns0:f>IFERROR(IF(FIND(".",B323)=5,--E323,--C323),0)</ns0:f>
        <ns0:v>0</ns0:v>
      </ns0:c>
      <ns0:c r="I323" s="0">
        <ns0:f>IFERROR(IF(AND(F323&gt;=2000,F323&lt;=2100,G323&gt;=1,G323&lt;=12,H323&gt;=1,H323&lt;=31),DATE(F323,G323,H323),0),0)</ns0:f>
        <ns0:v>0</ns0:v>
      </ns0:c>
      <ns0:c r="J323" s="0">
        <ns0:f>IFERROR(IF(ISNUMBER(Bookings!B323),IF(AND(Bookings!B323=INT(Bookings!B323),Bookings!B323&gt;=DATE(2000,1,1),Bookings!B323&lt;=DATE(2100,12,31)),Bookings!B323,0),IF(AND(A323&lt;&gt;"",LEN("x"&amp;B323)-LEN(SUBSTITUTE("x"&amp;B323,".",""))=2,OR(1&gt;LEN(B323),MID(B323,1,1)=".",ISNUMBER(FIND("x"&amp;MID(B323,1,1),"x0x1x2x3x4x5x6x7x8x9"))),OR(2&gt;LEN(B323),MID(B323,2,1)=".",ISNUMBER(FIND("x"&amp;MID(B323,2,1),"x0x1x2x3x4x5x6x7x8x9"))),OR(3&gt;LEN(B323),MID(B323,3,1)=".",ISNUMBER(FIND("x"&amp;MID(B323,3,1),"x0x1x2x3x4x5x6x7x8x9"))),OR(4&gt;LEN(B323),MID(B323,4,1)=".",ISNUMBER(FIND("x"&amp;MID(B323,4,1),"x0x1x2x3x4x5x6x7x8x9"))),OR(5&gt;LEN(B323),MID(B323,5,1)=".",ISNUMBER(FIND("x"&amp;MID(B323,5,1),"x0x1x2x3x4x5x6x7x8x9"))),OR(6&gt;LEN(B323),MID(B323,6,1)=".",ISNUMBER(FIND("x"&amp;MID(B323,6,1),"x0x1x2x3x4x5x6x7x8x9"))),OR(7&gt;LEN(B323),MID(B323,7,1)=".",ISNUMBER(FIND("x"&amp;MID(B323,7,1),"x0x1x2x3x4x5x6x7x8x9"))),OR(8&gt;LEN(B323),MID(B323,8,1)=".",ISNUMBER(FIND("x"&amp;MID(B323,8,1),"x0x1x2x3x4x5x6x7x8x9"))),OR(9&gt;LEN(B323),MID(B323,9,1)=".",ISNUMBER(FIND("x"&amp;MID(B323,9,1),"x0x1x2x3x4x5x6x7x8x9"))),OR(10&gt;LEN(B323),MID(B323,10,1)=".",ISNUMBER(FIND("x"&amp;MID(B323,10,1),"x0x1x2x3x4x5x6x7x8x9"))),OR(AND(FIND(".",B323)=5,LEN(B323)-FIND(".",B323,FIND(".",B323)+1)&gt;=1,LEN(B323)-FIND(".",B323,FIND(".",B323)+1)&lt;=2),AND(LEN(B323)-FIND(".",B323,FIND(".",B323)+1)=4,FIND(".",B323)&gt;=2,FIND(".",B323)&lt;=3)),FIND(".",B323,FIND(".",B323)+1)-FIND(".",B323)&gt;=2,FIND(".",B323,FIND(".",B323)+1)-FIND(".",B323)&lt;=3,F323&gt;=2000,F323&lt;=2100,YEAR(I323)=F323,MONTH(I323)=G323,DAY(I323)=H323),I323,0)),0)</ns0:f>
        <ns0:v>0</ns0:v>
      </ns0:c>
      <ns0:c r="K323" s="0">
        <ns0:f>IFERROR(IF(ISNUMBER(Bookings!D323),"",TRIM(Bookings!D323&amp;"")),"")</ns0:f>
      </ns0:c>
      <ns0:c r="L323" s="0">
        <ns0:f>IFERROR(SUBSTITUTE(SUBSTITUTE(K323,"/","."),"-","."),"")</ns0:f>
      </ns0:c>
      <ns0:c r="M323" s="0">
        <ns0:f>IFERROR(LEFT(L323,FIND(".",L323)-1),"")</ns0:f>
      </ns0:c>
      <ns0:c r="N323" s="0">
        <ns0:f>IFERROR(MID(L323,FIND(".",L323)+1,FIND(".",L323,FIND(".",L323)+1)-FIND(".",L323)-1),"")</ns0:f>
      </ns0:c>
      <ns0:c r="O323" s="0">
        <ns0:f>IFERROR(MID(L323,FIND(".",L323,FIND(".",L323)+1)+1,99),"")</ns0:f>
        <ns0:v>99</ns0:v>
      </ns0:c>
      <ns0:c r="P323" s="0">
        <ns0:f>IFERROR(IF(FIND(".",L323)=5,--M323,--O323),0)</ns0:f>
        <ns0:v>0</ns0:v>
      </ns0:c>
      <ns0:c r="Q323" s="0">
        <ns0:f>IFERROR(--N323,0)</ns0:f>
        <ns0:v>0</ns0:v>
      </ns0:c>
      <ns0:c r="R323" s="0">
        <ns0:f>IFERROR(IF(FIND(".",L323)=5,--O323,--M323),0)</ns0:f>
        <ns0:v>0</ns0:v>
      </ns0:c>
      <ns0:c r="S323" s="0">
        <ns0:f>IFERROR(IF(AND(P323&gt;=2000,P323&lt;=2100,Q323&gt;=1,Q323&lt;=12,R323&gt;=1,R323&lt;=31),DATE(P323,Q323,R323),0),0)</ns0:f>
        <ns0:v>0</ns0:v>
      </ns0:c>
      <ns0:c r="T323" s="0">
        <ns0:f>IFERROR(IF(ISNUMBER(Bookings!D323),IF(AND(Bookings!D323=INT(Bookings!D323),Bookings!D323&gt;=DATE(2000,1,1),Bookings!D323&lt;=DATE(2100,12,31)),Bookings!D323,0),IF(AND(K323&lt;&gt;"",LEN("x"&amp;L323)-LEN(SUBSTITUTE("x"&amp;L323,".",""))=2,OR(1&gt;LEN(L323),MID(L323,1,1)=".",ISNUMBER(FIND("x"&amp;MID(L323,1,1),"x0x1x2x3x4x5x6x7x8x9"))),OR(2&gt;LEN(L323),MID(L323,2,1)=".",ISNUMBER(FIND("x"&amp;MID(L323,2,1),"x0x1x2x3x4x5x6x7x8x9"))),OR(3&gt;LEN(L323),MID(L323,3,1)=".",ISNUMBER(FIND("x"&amp;MID(L323,3,1),"x0x1x2x3x4x5x6x7x8x9"))),OR(4&gt;LEN(L323),MID(L323,4,1)=".",ISNUMBER(FIND("x"&amp;MID(L323,4,1),"x0x1x2x3x4x5x6x7x8x9"))),OR(5&gt;LEN(L323),MID(L323,5,1)=".",ISNUMBER(FIND("x"&amp;MID(L323,5,1),"x0x1x2x3x4x5x6x7x8x9"))),OR(6&gt;LEN(L323),MID(L323,6,1)=".",ISNUMBER(FIND("x"&amp;MID(L323,6,1),"x0x1x2x3x4x5x6x7x8x9"))),OR(7&gt;LEN(L323),MID(L323,7,1)=".",ISNUMBER(FIND("x"&amp;MID(L323,7,1),"x0x1x2x3x4x5x6x7x8x9"))),OR(8&gt;LEN(L323),MID(L323,8,1)=".",ISNUMBER(FIND("x"&amp;MID(L323,8,1),"x0x1x2x3x4x5x6x7x8x9"))),OR(9&gt;LEN(L323),MID(L323,9,1)=".",ISNUMBER(FIND("x"&amp;MID(L323,9,1),"x0x1x2x3x4x5x6x7x8x9"))),OR(10&gt;LEN(L323),MID(L323,10,1)=".",ISNUMBER(FIND("x"&amp;MID(L323,10,1),"x0x1x2x3x4x5x6x7x8x9"))),OR(AND(FIND(".",L323)=5,LEN(L323)-FIND(".",L323,FIND(".",L323)+1)&gt;=1,LEN(L323)-FIND(".",L323,FIND(".",L323)+1)&lt;=2),AND(LEN(L323)-FIND(".",L323,FIND(".",L323)+1)=4,FIND(".",L323)&gt;=2,FIND(".",L323)&lt;=3)),FIND(".",L323,FIND(".",L323)+1)-FIND(".",L323)&gt;=2,FIND(".",L323,FIND(".",L323)+1)-FIND(".",L323)&lt;=3,P323&gt;=2000,P323&lt;=2100,YEAR(S323)=P323,MONTH(S323)=Q323,DAY(S323)=R323),S323,0)),0)</ns0:f>
        <ns0:v>0</ns0:v>
      </ns0:c>
      <ns0:c r="U323" s="0" t="str">
        <ns0:f>IF(Bookings!C323="","Full day",Bookings!C323)</ns0:f>
        <ns0:v>Full day</ns0:v>
      </ns0:c>
      <ns0:c r="V323" s="0" t="str">
        <ns0:f>IF(Bookings!E323="","Full day",Bookings!E323)</ns0:f>
        <ns0:v>Full day</ns0:v>
      </ns0:c>
      <ns0:c r="W323" s="0">
        <ns0:f>IF(J323=0,0,J323+IF(U323="PM",1,0))</ns0:f>
        <ns0:v>0</ns0:v>
      </ns0:c>
      <ns0:c r="X323" s="0">
        <ns0:f>IF(T323=0,0,T323-IF(V323="PM",1,0))</ns0:f>
        <ns0:v>0</ns0:v>
      </ns0:c>
      <ns0:c r="Y323" s="0">
        <ns0:f>IF(J323=0,0,J323+IF(U323="AM",1,0))</ns0:f>
        <ns0:v>0</ns0:v>
      </ns0:c>
      <ns0:c r="Z323" s="0">
        <ns0:f>IF(T323=0,0,T323-IF(V323="AM",1,0))</ns0:f>
        <ns0:v>0</ns0:v>
      </ns0:c>
      <ns0:c r="AA323" s="0">
        <ns0:f>IFERROR(IF(AND(J323&gt;0,'_Engine'!C323&gt;0,MID('_Engine'!W323,WEEKDAY(J323,2),1)="W",COUNTIF(Settings!$F$18:$F$67,J323)=0),1,0),0)</ns0:f>
        <ns0:v>0</ns0:v>
      </ns0:c>
      <ns0:c r="AB323" s="0">
        <ns0:f>IFERROR(IF(AND(T323&gt;0,'_Engine'!C323&gt;0,MID('_Engine'!W323,WEEKDAY(T323,2),1)="W",COUNTIF(Settings!$F$18:$F$67,T323)=0),1,0),0)</ns0:f>
        <ns0:v>0</ns0:v>
      </ns0:c>
      <ns0:c r="AC323" s="0">
        <ns0:f>IF(AND(J323&gt;0,T323&gt;0,W323&lt;=X323),1,0)</ns0:f>
        <ns0:v>0</ns0:v>
      </ns0:c>
      <ns0:c r="AD323" s="0">
        <ns0:f>IF(AND(J323&gt;0,T323&gt;0,Y323&lt;=Z323),1,0)</ns0:f>
        <ns0:v>0</ns0:v>
      </ns0:c>
    </ns0:row>
    <ns0:row r="324">
      <ns0:c r="A324" s="0">
        <ns0:f>IFERROR(IF(ISNUMBER(Bookings!B324),"",TRIM(Bookings!B324&amp;"")),"")</ns0:f>
      </ns0:c>
      <ns0:c r="B324" s="0">
        <ns0:f>IFERROR(SUBSTITUTE(SUBSTITUTE(A324,"/","."),"-","."),"")</ns0:f>
      </ns0:c>
      <ns0:c r="C324" s="0">
        <ns0:f>IFERROR(LEFT(B324,FIND(".",B324)-1),"")</ns0:f>
      </ns0:c>
      <ns0:c r="D324" s="0">
        <ns0:f>IFERROR(MID(B324,FIND(".",B324)+1,FIND(".",B324,FIND(".",B324)+1)-FIND(".",B324)-1),"")</ns0:f>
      </ns0:c>
      <ns0:c r="E324" s="0">
        <ns0:f>IFERROR(MID(B324,FIND(".",B324,FIND(".",B324)+1)+1,99),"")</ns0:f>
        <ns0:v>99</ns0:v>
      </ns0:c>
      <ns0:c r="F324" s="0">
        <ns0:f>IFERROR(IF(FIND(".",B324)=5,--C324,--E324),0)</ns0:f>
        <ns0:v>0</ns0:v>
      </ns0:c>
      <ns0:c r="G324" s="0">
        <ns0:f>IFERROR(--D324,0)</ns0:f>
        <ns0:v>0</ns0:v>
      </ns0:c>
      <ns0:c r="H324" s="0">
        <ns0:f>IFERROR(IF(FIND(".",B324)=5,--E324,--C324),0)</ns0:f>
        <ns0:v>0</ns0:v>
      </ns0:c>
      <ns0:c r="I324" s="0">
        <ns0:f>IFERROR(IF(AND(F324&gt;=2000,F324&lt;=2100,G324&gt;=1,G324&lt;=12,H324&gt;=1,H324&lt;=31),DATE(F324,G324,H324),0),0)</ns0:f>
        <ns0:v>0</ns0:v>
      </ns0:c>
      <ns0:c r="J324" s="0">
        <ns0:f>IFERROR(IF(ISNUMBER(Bookings!B324),IF(AND(Bookings!B324=INT(Bookings!B324),Bookings!B324&gt;=DATE(2000,1,1),Bookings!B324&lt;=DATE(2100,12,31)),Bookings!B324,0),IF(AND(A324&lt;&gt;"",LEN("x"&amp;B324)-LEN(SUBSTITUTE("x"&amp;B324,".",""))=2,OR(1&gt;LEN(B324),MID(B324,1,1)=".",ISNUMBER(FIND("x"&amp;MID(B324,1,1),"x0x1x2x3x4x5x6x7x8x9"))),OR(2&gt;LEN(B324),MID(B324,2,1)=".",ISNUMBER(FIND("x"&amp;MID(B324,2,1),"x0x1x2x3x4x5x6x7x8x9"))),OR(3&gt;LEN(B324),MID(B324,3,1)=".",ISNUMBER(FIND("x"&amp;MID(B324,3,1),"x0x1x2x3x4x5x6x7x8x9"))),OR(4&gt;LEN(B324),MID(B324,4,1)=".",ISNUMBER(FIND("x"&amp;MID(B324,4,1),"x0x1x2x3x4x5x6x7x8x9"))),OR(5&gt;LEN(B324),MID(B324,5,1)=".",ISNUMBER(FIND("x"&amp;MID(B324,5,1),"x0x1x2x3x4x5x6x7x8x9"))),OR(6&gt;LEN(B324),MID(B324,6,1)=".",ISNUMBER(FIND("x"&amp;MID(B324,6,1),"x0x1x2x3x4x5x6x7x8x9"))),OR(7&gt;LEN(B324),MID(B324,7,1)=".",ISNUMBER(FIND("x"&amp;MID(B324,7,1),"x0x1x2x3x4x5x6x7x8x9"))),OR(8&gt;LEN(B324),MID(B324,8,1)=".",ISNUMBER(FIND("x"&amp;MID(B324,8,1),"x0x1x2x3x4x5x6x7x8x9"))),OR(9&gt;LEN(B324),MID(B324,9,1)=".",ISNUMBER(FIND("x"&amp;MID(B324,9,1),"x0x1x2x3x4x5x6x7x8x9"))),OR(10&gt;LEN(B324),MID(B324,10,1)=".",ISNUMBER(FIND("x"&amp;MID(B324,10,1),"x0x1x2x3x4x5x6x7x8x9"))),OR(AND(FIND(".",B324)=5,LEN(B324)-FIND(".",B324,FIND(".",B324)+1)&gt;=1,LEN(B324)-FIND(".",B324,FIND(".",B324)+1)&lt;=2),AND(LEN(B324)-FIND(".",B324,FIND(".",B324)+1)=4,FIND(".",B324)&gt;=2,FIND(".",B324)&lt;=3)),FIND(".",B324,FIND(".",B324)+1)-FIND(".",B324)&gt;=2,FIND(".",B324,FIND(".",B324)+1)-FIND(".",B324)&lt;=3,F324&gt;=2000,F324&lt;=2100,YEAR(I324)=F324,MONTH(I324)=G324,DAY(I324)=H324),I324,0)),0)</ns0:f>
        <ns0:v>0</ns0:v>
      </ns0:c>
      <ns0:c r="K324" s="0">
        <ns0:f>IFERROR(IF(ISNUMBER(Bookings!D324),"",TRIM(Bookings!D324&amp;"")),"")</ns0:f>
      </ns0:c>
      <ns0:c r="L324" s="0">
        <ns0:f>IFERROR(SUBSTITUTE(SUBSTITUTE(K324,"/","."),"-","."),"")</ns0:f>
      </ns0:c>
      <ns0:c r="M324" s="0">
        <ns0:f>IFERROR(LEFT(L324,FIND(".",L324)-1),"")</ns0:f>
      </ns0:c>
      <ns0:c r="N324" s="0">
        <ns0:f>IFERROR(MID(L324,FIND(".",L324)+1,FIND(".",L324,FIND(".",L324)+1)-FIND(".",L324)-1),"")</ns0:f>
      </ns0:c>
      <ns0:c r="O324" s="0">
        <ns0:f>IFERROR(MID(L324,FIND(".",L324,FIND(".",L324)+1)+1,99),"")</ns0:f>
        <ns0:v>99</ns0:v>
      </ns0:c>
      <ns0:c r="P324" s="0">
        <ns0:f>IFERROR(IF(FIND(".",L324)=5,--M324,--O324),0)</ns0:f>
        <ns0:v>0</ns0:v>
      </ns0:c>
      <ns0:c r="Q324" s="0">
        <ns0:f>IFERROR(--N324,0)</ns0:f>
        <ns0:v>0</ns0:v>
      </ns0:c>
      <ns0:c r="R324" s="0">
        <ns0:f>IFERROR(IF(FIND(".",L324)=5,--O324,--M324),0)</ns0:f>
        <ns0:v>0</ns0:v>
      </ns0:c>
      <ns0:c r="S324" s="0">
        <ns0:f>IFERROR(IF(AND(P324&gt;=2000,P324&lt;=2100,Q324&gt;=1,Q324&lt;=12,R324&gt;=1,R324&lt;=31),DATE(P324,Q324,R324),0),0)</ns0:f>
        <ns0:v>0</ns0:v>
      </ns0:c>
      <ns0:c r="T324" s="0">
        <ns0:f>IFERROR(IF(ISNUMBER(Bookings!D324),IF(AND(Bookings!D324=INT(Bookings!D324),Bookings!D324&gt;=DATE(2000,1,1),Bookings!D324&lt;=DATE(2100,12,31)),Bookings!D324,0),IF(AND(K324&lt;&gt;"",LEN("x"&amp;L324)-LEN(SUBSTITUTE("x"&amp;L324,".",""))=2,OR(1&gt;LEN(L324),MID(L324,1,1)=".",ISNUMBER(FIND("x"&amp;MID(L324,1,1),"x0x1x2x3x4x5x6x7x8x9"))),OR(2&gt;LEN(L324),MID(L324,2,1)=".",ISNUMBER(FIND("x"&amp;MID(L324,2,1),"x0x1x2x3x4x5x6x7x8x9"))),OR(3&gt;LEN(L324),MID(L324,3,1)=".",ISNUMBER(FIND("x"&amp;MID(L324,3,1),"x0x1x2x3x4x5x6x7x8x9"))),OR(4&gt;LEN(L324),MID(L324,4,1)=".",ISNUMBER(FIND("x"&amp;MID(L324,4,1),"x0x1x2x3x4x5x6x7x8x9"))),OR(5&gt;LEN(L324),MID(L324,5,1)=".",ISNUMBER(FIND("x"&amp;MID(L324,5,1),"x0x1x2x3x4x5x6x7x8x9"))),OR(6&gt;LEN(L324),MID(L324,6,1)=".",ISNUMBER(FIND("x"&amp;MID(L324,6,1),"x0x1x2x3x4x5x6x7x8x9"))),OR(7&gt;LEN(L324),MID(L324,7,1)=".",ISNUMBER(FIND("x"&amp;MID(L324,7,1),"x0x1x2x3x4x5x6x7x8x9"))),OR(8&gt;LEN(L324),MID(L324,8,1)=".",ISNUMBER(FIND("x"&amp;MID(L324,8,1),"x0x1x2x3x4x5x6x7x8x9"))),OR(9&gt;LEN(L324),MID(L324,9,1)=".",ISNUMBER(FIND("x"&amp;MID(L324,9,1),"x0x1x2x3x4x5x6x7x8x9"))),OR(10&gt;LEN(L324),MID(L324,10,1)=".",ISNUMBER(FIND("x"&amp;MID(L324,10,1),"x0x1x2x3x4x5x6x7x8x9"))),OR(AND(FIND(".",L324)=5,LEN(L324)-FIND(".",L324,FIND(".",L324)+1)&gt;=1,LEN(L324)-FIND(".",L324,FIND(".",L324)+1)&lt;=2),AND(LEN(L324)-FIND(".",L324,FIND(".",L324)+1)=4,FIND(".",L324)&gt;=2,FIND(".",L324)&lt;=3)),FIND(".",L324,FIND(".",L324)+1)-FIND(".",L324)&gt;=2,FIND(".",L324,FIND(".",L324)+1)-FIND(".",L324)&lt;=3,P324&gt;=2000,P324&lt;=2100,YEAR(S324)=P324,MONTH(S324)=Q324,DAY(S324)=R324),S324,0)),0)</ns0:f>
        <ns0:v>0</ns0:v>
      </ns0:c>
      <ns0:c r="U324" s="0" t="str">
        <ns0:f>IF(Bookings!C324="","Full day",Bookings!C324)</ns0:f>
        <ns0:v>Full day</ns0:v>
      </ns0:c>
      <ns0:c r="V324" s="0" t="str">
        <ns0:f>IF(Bookings!E324="","Full day",Bookings!E324)</ns0:f>
        <ns0:v>Full day</ns0:v>
      </ns0:c>
      <ns0:c r="W324" s="0">
        <ns0:f>IF(J324=0,0,J324+IF(U324="PM",1,0))</ns0:f>
        <ns0:v>0</ns0:v>
      </ns0:c>
      <ns0:c r="X324" s="0">
        <ns0:f>IF(T324=0,0,T324-IF(V324="PM",1,0))</ns0:f>
        <ns0:v>0</ns0:v>
      </ns0:c>
      <ns0:c r="Y324" s="0">
        <ns0:f>IF(J324=0,0,J324+IF(U324="AM",1,0))</ns0:f>
        <ns0:v>0</ns0:v>
      </ns0:c>
      <ns0:c r="Z324" s="0">
        <ns0:f>IF(T324=0,0,T324-IF(V324="AM",1,0))</ns0:f>
        <ns0:v>0</ns0:v>
      </ns0:c>
      <ns0:c r="AA324" s="0">
        <ns0:f>IFERROR(IF(AND(J324&gt;0,'_Engine'!C324&gt;0,MID('_Engine'!W324,WEEKDAY(J324,2),1)="W",COUNTIF(Settings!$F$18:$F$67,J324)=0),1,0),0)</ns0:f>
        <ns0:v>0</ns0:v>
      </ns0:c>
      <ns0:c r="AB324" s="0">
        <ns0:f>IFERROR(IF(AND(T324&gt;0,'_Engine'!C324&gt;0,MID('_Engine'!W324,WEEKDAY(T324,2),1)="W",COUNTIF(Settings!$F$18:$F$67,T324)=0),1,0),0)</ns0:f>
        <ns0:v>0</ns0:v>
      </ns0:c>
      <ns0:c r="AC324" s="0">
        <ns0:f>IF(AND(J324&gt;0,T324&gt;0,W324&lt;=X324),1,0)</ns0:f>
        <ns0:v>0</ns0:v>
      </ns0:c>
      <ns0:c r="AD324" s="0">
        <ns0:f>IF(AND(J324&gt;0,T324&gt;0,Y324&lt;=Z324),1,0)</ns0:f>
        <ns0:v>0</ns0:v>
      </ns0:c>
    </ns0:row>
    <ns0:row r="325">
      <ns0:c r="A325" s="0">
        <ns0:f>IFERROR(IF(ISNUMBER(Bookings!B325),"",TRIM(Bookings!B325&amp;"")),"")</ns0:f>
      </ns0:c>
      <ns0:c r="B325" s="0">
        <ns0:f>IFERROR(SUBSTITUTE(SUBSTITUTE(A325,"/","."),"-","."),"")</ns0:f>
      </ns0:c>
      <ns0:c r="C325" s="0">
        <ns0:f>IFERROR(LEFT(B325,FIND(".",B325)-1),"")</ns0:f>
      </ns0:c>
      <ns0:c r="D325" s="0">
        <ns0:f>IFERROR(MID(B325,FIND(".",B325)+1,FIND(".",B325,FIND(".",B325)+1)-FIND(".",B325)-1),"")</ns0:f>
      </ns0:c>
      <ns0:c r="E325" s="0">
        <ns0:f>IFERROR(MID(B325,FIND(".",B325,FIND(".",B325)+1)+1,99),"")</ns0:f>
        <ns0:v>99</ns0:v>
      </ns0:c>
      <ns0:c r="F325" s="0">
        <ns0:f>IFERROR(IF(FIND(".",B325)=5,--C325,--E325),0)</ns0:f>
        <ns0:v>0</ns0:v>
      </ns0:c>
      <ns0:c r="G325" s="0">
        <ns0:f>IFERROR(--D325,0)</ns0:f>
        <ns0:v>0</ns0:v>
      </ns0:c>
      <ns0:c r="H325" s="0">
        <ns0:f>IFERROR(IF(FIND(".",B325)=5,--E325,--C325),0)</ns0:f>
        <ns0:v>0</ns0:v>
      </ns0:c>
      <ns0:c r="I325" s="0">
        <ns0:f>IFERROR(IF(AND(F325&gt;=2000,F325&lt;=2100,G325&gt;=1,G325&lt;=12,H325&gt;=1,H325&lt;=31),DATE(F325,G325,H325),0),0)</ns0:f>
        <ns0:v>0</ns0:v>
      </ns0:c>
      <ns0:c r="J325" s="0">
        <ns0:f>IFERROR(IF(ISNUMBER(Bookings!B325),IF(AND(Bookings!B325=INT(Bookings!B325),Bookings!B325&gt;=DATE(2000,1,1),Bookings!B325&lt;=DATE(2100,12,31)),Bookings!B325,0),IF(AND(A325&lt;&gt;"",LEN("x"&amp;B325)-LEN(SUBSTITUTE("x"&amp;B325,".",""))=2,OR(1&gt;LEN(B325),MID(B325,1,1)=".",ISNUMBER(FIND("x"&amp;MID(B325,1,1),"x0x1x2x3x4x5x6x7x8x9"))),OR(2&gt;LEN(B325),MID(B325,2,1)=".",ISNUMBER(FIND("x"&amp;MID(B325,2,1),"x0x1x2x3x4x5x6x7x8x9"))),OR(3&gt;LEN(B325),MID(B325,3,1)=".",ISNUMBER(FIND("x"&amp;MID(B325,3,1),"x0x1x2x3x4x5x6x7x8x9"))),OR(4&gt;LEN(B325),MID(B325,4,1)=".",ISNUMBER(FIND("x"&amp;MID(B325,4,1),"x0x1x2x3x4x5x6x7x8x9"))),OR(5&gt;LEN(B325),MID(B325,5,1)=".",ISNUMBER(FIND("x"&amp;MID(B325,5,1),"x0x1x2x3x4x5x6x7x8x9"))),OR(6&gt;LEN(B325),MID(B325,6,1)=".",ISNUMBER(FIND("x"&amp;MID(B325,6,1),"x0x1x2x3x4x5x6x7x8x9"))),OR(7&gt;LEN(B325),MID(B325,7,1)=".",ISNUMBER(FIND("x"&amp;MID(B325,7,1),"x0x1x2x3x4x5x6x7x8x9"))),OR(8&gt;LEN(B325),MID(B325,8,1)=".",ISNUMBER(FIND("x"&amp;MID(B325,8,1),"x0x1x2x3x4x5x6x7x8x9"))),OR(9&gt;LEN(B325),MID(B325,9,1)=".",ISNUMBER(FIND("x"&amp;MID(B325,9,1),"x0x1x2x3x4x5x6x7x8x9"))),OR(10&gt;LEN(B325),MID(B325,10,1)=".",ISNUMBER(FIND("x"&amp;MID(B325,10,1),"x0x1x2x3x4x5x6x7x8x9"))),OR(AND(FIND(".",B325)=5,LEN(B325)-FIND(".",B325,FIND(".",B325)+1)&gt;=1,LEN(B325)-FIND(".",B325,FIND(".",B325)+1)&lt;=2),AND(LEN(B325)-FIND(".",B325,FIND(".",B325)+1)=4,FIND(".",B325)&gt;=2,FIND(".",B325)&lt;=3)),FIND(".",B325,FIND(".",B325)+1)-FIND(".",B325)&gt;=2,FIND(".",B325,FIND(".",B325)+1)-FIND(".",B325)&lt;=3,F325&gt;=2000,F325&lt;=2100,YEAR(I325)=F325,MONTH(I325)=G325,DAY(I325)=H325),I325,0)),0)</ns0:f>
        <ns0:v>0</ns0:v>
      </ns0:c>
      <ns0:c r="K325" s="0">
        <ns0:f>IFERROR(IF(ISNUMBER(Bookings!D325),"",TRIM(Bookings!D325&amp;"")),"")</ns0:f>
      </ns0:c>
      <ns0:c r="L325" s="0">
        <ns0:f>IFERROR(SUBSTITUTE(SUBSTITUTE(K325,"/","."),"-","."),"")</ns0:f>
      </ns0:c>
      <ns0:c r="M325" s="0">
        <ns0:f>IFERROR(LEFT(L325,FIND(".",L325)-1),"")</ns0:f>
      </ns0:c>
      <ns0:c r="N325" s="0">
        <ns0:f>IFERROR(MID(L325,FIND(".",L325)+1,FIND(".",L325,FIND(".",L325)+1)-FIND(".",L325)-1),"")</ns0:f>
      </ns0:c>
      <ns0:c r="O325" s="0">
        <ns0:f>IFERROR(MID(L325,FIND(".",L325,FIND(".",L325)+1)+1,99),"")</ns0:f>
        <ns0:v>99</ns0:v>
      </ns0:c>
      <ns0:c r="P325" s="0">
        <ns0:f>IFERROR(IF(FIND(".",L325)=5,--M325,--O325),0)</ns0:f>
        <ns0:v>0</ns0:v>
      </ns0:c>
      <ns0:c r="Q325" s="0">
        <ns0:f>IFERROR(--N325,0)</ns0:f>
        <ns0:v>0</ns0:v>
      </ns0:c>
      <ns0:c r="R325" s="0">
        <ns0:f>IFERROR(IF(FIND(".",L325)=5,--O325,--M325),0)</ns0:f>
        <ns0:v>0</ns0:v>
      </ns0:c>
      <ns0:c r="S325" s="0">
        <ns0:f>IFERROR(IF(AND(P325&gt;=2000,P325&lt;=2100,Q325&gt;=1,Q325&lt;=12,R325&gt;=1,R325&lt;=31),DATE(P325,Q325,R325),0),0)</ns0:f>
        <ns0:v>0</ns0:v>
      </ns0:c>
      <ns0:c r="T325" s="0">
        <ns0:f>IFERROR(IF(ISNUMBER(Bookings!D325),IF(AND(Bookings!D325=INT(Bookings!D325),Bookings!D325&gt;=DATE(2000,1,1),Bookings!D325&lt;=DATE(2100,12,31)),Bookings!D325,0),IF(AND(K325&lt;&gt;"",LEN("x"&amp;L325)-LEN(SUBSTITUTE("x"&amp;L325,".",""))=2,OR(1&gt;LEN(L325),MID(L325,1,1)=".",ISNUMBER(FIND("x"&amp;MID(L325,1,1),"x0x1x2x3x4x5x6x7x8x9"))),OR(2&gt;LEN(L325),MID(L325,2,1)=".",ISNUMBER(FIND("x"&amp;MID(L325,2,1),"x0x1x2x3x4x5x6x7x8x9"))),OR(3&gt;LEN(L325),MID(L325,3,1)=".",ISNUMBER(FIND("x"&amp;MID(L325,3,1),"x0x1x2x3x4x5x6x7x8x9"))),OR(4&gt;LEN(L325),MID(L325,4,1)=".",ISNUMBER(FIND("x"&amp;MID(L325,4,1),"x0x1x2x3x4x5x6x7x8x9"))),OR(5&gt;LEN(L325),MID(L325,5,1)=".",ISNUMBER(FIND("x"&amp;MID(L325,5,1),"x0x1x2x3x4x5x6x7x8x9"))),OR(6&gt;LEN(L325),MID(L325,6,1)=".",ISNUMBER(FIND("x"&amp;MID(L325,6,1),"x0x1x2x3x4x5x6x7x8x9"))),OR(7&gt;LEN(L325),MID(L325,7,1)=".",ISNUMBER(FIND("x"&amp;MID(L325,7,1),"x0x1x2x3x4x5x6x7x8x9"))),OR(8&gt;LEN(L325),MID(L325,8,1)=".",ISNUMBER(FIND("x"&amp;MID(L325,8,1),"x0x1x2x3x4x5x6x7x8x9"))),OR(9&gt;LEN(L325),MID(L325,9,1)=".",ISNUMBER(FIND("x"&amp;MID(L325,9,1),"x0x1x2x3x4x5x6x7x8x9"))),OR(10&gt;LEN(L325),MID(L325,10,1)=".",ISNUMBER(FIND("x"&amp;MID(L325,10,1),"x0x1x2x3x4x5x6x7x8x9"))),OR(AND(FIND(".",L325)=5,LEN(L325)-FIND(".",L325,FIND(".",L325)+1)&gt;=1,LEN(L325)-FIND(".",L325,FIND(".",L325)+1)&lt;=2),AND(LEN(L325)-FIND(".",L325,FIND(".",L325)+1)=4,FIND(".",L325)&gt;=2,FIND(".",L325)&lt;=3)),FIND(".",L325,FIND(".",L325)+1)-FIND(".",L325)&gt;=2,FIND(".",L325,FIND(".",L325)+1)-FIND(".",L325)&lt;=3,P325&gt;=2000,P325&lt;=2100,YEAR(S325)=P325,MONTH(S325)=Q325,DAY(S325)=R325),S325,0)),0)</ns0:f>
        <ns0:v>0</ns0:v>
      </ns0:c>
      <ns0:c r="U325" s="0" t="str">
        <ns0:f>IF(Bookings!C325="","Full day",Bookings!C325)</ns0:f>
        <ns0:v>Full day</ns0:v>
      </ns0:c>
      <ns0:c r="V325" s="0" t="str">
        <ns0:f>IF(Bookings!E325="","Full day",Bookings!E325)</ns0:f>
        <ns0:v>Full day</ns0:v>
      </ns0:c>
      <ns0:c r="W325" s="0">
        <ns0:f>IF(J325=0,0,J325+IF(U325="PM",1,0))</ns0:f>
        <ns0:v>0</ns0:v>
      </ns0:c>
      <ns0:c r="X325" s="0">
        <ns0:f>IF(T325=0,0,T325-IF(V325="PM",1,0))</ns0:f>
        <ns0:v>0</ns0:v>
      </ns0:c>
      <ns0:c r="Y325" s="0">
        <ns0:f>IF(J325=0,0,J325+IF(U325="AM",1,0))</ns0:f>
        <ns0:v>0</ns0:v>
      </ns0:c>
      <ns0:c r="Z325" s="0">
        <ns0:f>IF(T325=0,0,T325-IF(V325="AM",1,0))</ns0:f>
        <ns0:v>0</ns0:v>
      </ns0:c>
      <ns0:c r="AA325" s="0">
        <ns0:f>IFERROR(IF(AND(J325&gt;0,'_Engine'!C325&gt;0,MID('_Engine'!W325,WEEKDAY(J325,2),1)="W",COUNTIF(Settings!$F$18:$F$67,J325)=0),1,0),0)</ns0:f>
        <ns0:v>0</ns0:v>
      </ns0:c>
      <ns0:c r="AB325" s="0">
        <ns0:f>IFERROR(IF(AND(T325&gt;0,'_Engine'!C325&gt;0,MID('_Engine'!W325,WEEKDAY(T325,2),1)="W",COUNTIF(Settings!$F$18:$F$67,T325)=0),1,0),0)</ns0:f>
        <ns0:v>0</ns0:v>
      </ns0:c>
      <ns0:c r="AC325" s="0">
        <ns0:f>IF(AND(J325&gt;0,T325&gt;0,W325&lt;=X325),1,0)</ns0:f>
        <ns0:v>0</ns0:v>
      </ns0:c>
      <ns0:c r="AD325" s="0">
        <ns0:f>IF(AND(J325&gt;0,T325&gt;0,Y325&lt;=Z325),1,0)</ns0:f>
        <ns0:v>0</ns0:v>
      </ns0:c>
    </ns0:row>
    <ns0:row r="326">
      <ns0:c r="A326" s="0">
        <ns0:f>IFERROR(IF(ISNUMBER(Bookings!B326),"",TRIM(Bookings!B326&amp;"")),"")</ns0:f>
      </ns0:c>
      <ns0:c r="B326" s="0">
        <ns0:f>IFERROR(SUBSTITUTE(SUBSTITUTE(A326,"/","."),"-","."),"")</ns0:f>
      </ns0:c>
      <ns0:c r="C326" s="0">
        <ns0:f>IFERROR(LEFT(B326,FIND(".",B326)-1),"")</ns0:f>
      </ns0:c>
      <ns0:c r="D326" s="0">
        <ns0:f>IFERROR(MID(B326,FIND(".",B326)+1,FIND(".",B326,FIND(".",B326)+1)-FIND(".",B326)-1),"")</ns0:f>
      </ns0:c>
      <ns0:c r="E326" s="0">
        <ns0:f>IFERROR(MID(B326,FIND(".",B326,FIND(".",B326)+1)+1,99),"")</ns0:f>
        <ns0:v>99</ns0:v>
      </ns0:c>
      <ns0:c r="F326" s="0">
        <ns0:f>IFERROR(IF(FIND(".",B326)=5,--C326,--E326),0)</ns0:f>
        <ns0:v>0</ns0:v>
      </ns0:c>
      <ns0:c r="G326" s="0">
        <ns0:f>IFERROR(--D326,0)</ns0:f>
        <ns0:v>0</ns0:v>
      </ns0:c>
      <ns0:c r="H326" s="0">
        <ns0:f>IFERROR(IF(FIND(".",B326)=5,--E326,--C326),0)</ns0:f>
        <ns0:v>0</ns0:v>
      </ns0:c>
      <ns0:c r="I326" s="0">
        <ns0:f>IFERROR(IF(AND(F326&gt;=2000,F326&lt;=2100,G326&gt;=1,G326&lt;=12,H326&gt;=1,H326&lt;=31),DATE(F326,G326,H326),0),0)</ns0:f>
        <ns0:v>0</ns0:v>
      </ns0:c>
      <ns0:c r="J326" s="0">
        <ns0:f>IFERROR(IF(ISNUMBER(Bookings!B326),IF(AND(Bookings!B326=INT(Bookings!B326),Bookings!B326&gt;=DATE(2000,1,1),Bookings!B326&lt;=DATE(2100,12,31)),Bookings!B326,0),IF(AND(A326&lt;&gt;"",LEN("x"&amp;B326)-LEN(SUBSTITUTE("x"&amp;B326,".",""))=2,OR(1&gt;LEN(B326),MID(B326,1,1)=".",ISNUMBER(FIND("x"&amp;MID(B326,1,1),"x0x1x2x3x4x5x6x7x8x9"))),OR(2&gt;LEN(B326),MID(B326,2,1)=".",ISNUMBER(FIND("x"&amp;MID(B326,2,1),"x0x1x2x3x4x5x6x7x8x9"))),OR(3&gt;LEN(B326),MID(B326,3,1)=".",ISNUMBER(FIND("x"&amp;MID(B326,3,1),"x0x1x2x3x4x5x6x7x8x9"))),OR(4&gt;LEN(B326),MID(B326,4,1)=".",ISNUMBER(FIND("x"&amp;MID(B326,4,1),"x0x1x2x3x4x5x6x7x8x9"))),OR(5&gt;LEN(B326),MID(B326,5,1)=".",ISNUMBER(FIND("x"&amp;MID(B326,5,1),"x0x1x2x3x4x5x6x7x8x9"))),OR(6&gt;LEN(B326),MID(B326,6,1)=".",ISNUMBER(FIND("x"&amp;MID(B326,6,1),"x0x1x2x3x4x5x6x7x8x9"))),OR(7&gt;LEN(B326),MID(B326,7,1)=".",ISNUMBER(FIND("x"&amp;MID(B326,7,1),"x0x1x2x3x4x5x6x7x8x9"))),OR(8&gt;LEN(B326),MID(B326,8,1)=".",ISNUMBER(FIND("x"&amp;MID(B326,8,1),"x0x1x2x3x4x5x6x7x8x9"))),OR(9&gt;LEN(B326),MID(B326,9,1)=".",ISNUMBER(FIND("x"&amp;MID(B326,9,1),"x0x1x2x3x4x5x6x7x8x9"))),OR(10&gt;LEN(B326),MID(B326,10,1)=".",ISNUMBER(FIND("x"&amp;MID(B326,10,1),"x0x1x2x3x4x5x6x7x8x9"))),OR(AND(FIND(".",B326)=5,LEN(B326)-FIND(".",B326,FIND(".",B326)+1)&gt;=1,LEN(B326)-FIND(".",B326,FIND(".",B326)+1)&lt;=2),AND(LEN(B326)-FIND(".",B326,FIND(".",B326)+1)=4,FIND(".",B326)&gt;=2,FIND(".",B326)&lt;=3)),FIND(".",B326,FIND(".",B326)+1)-FIND(".",B326)&gt;=2,FIND(".",B326,FIND(".",B326)+1)-FIND(".",B326)&lt;=3,F326&gt;=2000,F326&lt;=2100,YEAR(I326)=F326,MONTH(I326)=G326,DAY(I326)=H326),I326,0)),0)</ns0:f>
        <ns0:v>0</ns0:v>
      </ns0:c>
      <ns0:c r="K326" s="0">
        <ns0:f>IFERROR(IF(ISNUMBER(Bookings!D326),"",TRIM(Bookings!D326&amp;"")),"")</ns0:f>
      </ns0:c>
      <ns0:c r="L326" s="0">
        <ns0:f>IFERROR(SUBSTITUTE(SUBSTITUTE(K326,"/","."),"-","."),"")</ns0:f>
      </ns0:c>
      <ns0:c r="M326" s="0">
        <ns0:f>IFERROR(LEFT(L326,FIND(".",L326)-1),"")</ns0:f>
      </ns0:c>
      <ns0:c r="N326" s="0">
        <ns0:f>IFERROR(MID(L326,FIND(".",L326)+1,FIND(".",L326,FIND(".",L326)+1)-FIND(".",L326)-1),"")</ns0:f>
      </ns0:c>
      <ns0:c r="O326" s="0">
        <ns0:f>IFERROR(MID(L326,FIND(".",L326,FIND(".",L326)+1)+1,99),"")</ns0:f>
        <ns0:v>99</ns0:v>
      </ns0:c>
      <ns0:c r="P326" s="0">
        <ns0:f>IFERROR(IF(FIND(".",L326)=5,--M326,--O326),0)</ns0:f>
        <ns0:v>0</ns0:v>
      </ns0:c>
      <ns0:c r="Q326" s="0">
        <ns0:f>IFERROR(--N326,0)</ns0:f>
        <ns0:v>0</ns0:v>
      </ns0:c>
      <ns0:c r="R326" s="0">
        <ns0:f>IFERROR(IF(FIND(".",L326)=5,--O326,--M326),0)</ns0:f>
        <ns0:v>0</ns0:v>
      </ns0:c>
      <ns0:c r="S326" s="0">
        <ns0:f>IFERROR(IF(AND(P326&gt;=2000,P326&lt;=2100,Q326&gt;=1,Q326&lt;=12,R326&gt;=1,R326&lt;=31),DATE(P326,Q326,R326),0),0)</ns0:f>
        <ns0:v>0</ns0:v>
      </ns0:c>
      <ns0:c r="T326" s="0">
        <ns0:f>IFERROR(IF(ISNUMBER(Bookings!D326),IF(AND(Bookings!D326=INT(Bookings!D326),Bookings!D326&gt;=DATE(2000,1,1),Bookings!D326&lt;=DATE(2100,12,31)),Bookings!D326,0),IF(AND(K326&lt;&gt;"",LEN("x"&amp;L326)-LEN(SUBSTITUTE("x"&amp;L326,".",""))=2,OR(1&gt;LEN(L326),MID(L326,1,1)=".",ISNUMBER(FIND("x"&amp;MID(L326,1,1),"x0x1x2x3x4x5x6x7x8x9"))),OR(2&gt;LEN(L326),MID(L326,2,1)=".",ISNUMBER(FIND("x"&amp;MID(L326,2,1),"x0x1x2x3x4x5x6x7x8x9"))),OR(3&gt;LEN(L326),MID(L326,3,1)=".",ISNUMBER(FIND("x"&amp;MID(L326,3,1),"x0x1x2x3x4x5x6x7x8x9"))),OR(4&gt;LEN(L326),MID(L326,4,1)=".",ISNUMBER(FIND("x"&amp;MID(L326,4,1),"x0x1x2x3x4x5x6x7x8x9"))),OR(5&gt;LEN(L326),MID(L326,5,1)=".",ISNUMBER(FIND("x"&amp;MID(L326,5,1),"x0x1x2x3x4x5x6x7x8x9"))),OR(6&gt;LEN(L326),MID(L326,6,1)=".",ISNUMBER(FIND("x"&amp;MID(L326,6,1),"x0x1x2x3x4x5x6x7x8x9"))),OR(7&gt;LEN(L326),MID(L326,7,1)=".",ISNUMBER(FIND("x"&amp;MID(L326,7,1),"x0x1x2x3x4x5x6x7x8x9"))),OR(8&gt;LEN(L326),MID(L326,8,1)=".",ISNUMBER(FIND("x"&amp;MID(L326,8,1),"x0x1x2x3x4x5x6x7x8x9"))),OR(9&gt;LEN(L326),MID(L326,9,1)=".",ISNUMBER(FIND("x"&amp;MID(L326,9,1),"x0x1x2x3x4x5x6x7x8x9"))),OR(10&gt;LEN(L326),MID(L326,10,1)=".",ISNUMBER(FIND("x"&amp;MID(L326,10,1),"x0x1x2x3x4x5x6x7x8x9"))),OR(AND(FIND(".",L326)=5,LEN(L326)-FIND(".",L326,FIND(".",L326)+1)&gt;=1,LEN(L326)-FIND(".",L326,FIND(".",L326)+1)&lt;=2),AND(LEN(L326)-FIND(".",L326,FIND(".",L326)+1)=4,FIND(".",L326)&gt;=2,FIND(".",L326)&lt;=3)),FIND(".",L326,FIND(".",L326)+1)-FIND(".",L326)&gt;=2,FIND(".",L326,FIND(".",L326)+1)-FIND(".",L326)&lt;=3,P326&gt;=2000,P326&lt;=2100,YEAR(S326)=P326,MONTH(S326)=Q326,DAY(S326)=R326),S326,0)),0)</ns0:f>
        <ns0:v>0</ns0:v>
      </ns0:c>
      <ns0:c r="U326" s="0" t="str">
        <ns0:f>IF(Bookings!C326="","Full day",Bookings!C326)</ns0:f>
        <ns0:v>Full day</ns0:v>
      </ns0:c>
      <ns0:c r="V326" s="0" t="str">
        <ns0:f>IF(Bookings!E326="","Full day",Bookings!E326)</ns0:f>
        <ns0:v>Full day</ns0:v>
      </ns0:c>
      <ns0:c r="W326" s="0">
        <ns0:f>IF(J326=0,0,J326+IF(U326="PM",1,0))</ns0:f>
        <ns0:v>0</ns0:v>
      </ns0:c>
      <ns0:c r="X326" s="0">
        <ns0:f>IF(T326=0,0,T326-IF(V326="PM",1,0))</ns0:f>
        <ns0:v>0</ns0:v>
      </ns0:c>
      <ns0:c r="Y326" s="0">
        <ns0:f>IF(J326=0,0,J326+IF(U326="AM",1,0))</ns0:f>
        <ns0:v>0</ns0:v>
      </ns0:c>
      <ns0:c r="Z326" s="0">
        <ns0:f>IF(T326=0,0,T326-IF(V326="AM",1,0))</ns0:f>
        <ns0:v>0</ns0:v>
      </ns0:c>
      <ns0:c r="AA326" s="0">
        <ns0:f>IFERROR(IF(AND(J326&gt;0,'_Engine'!C326&gt;0,MID('_Engine'!W326,WEEKDAY(J326,2),1)="W",COUNTIF(Settings!$F$18:$F$67,J326)=0),1,0),0)</ns0:f>
        <ns0:v>0</ns0:v>
      </ns0:c>
      <ns0:c r="AB326" s="0">
        <ns0:f>IFERROR(IF(AND(T326&gt;0,'_Engine'!C326&gt;0,MID('_Engine'!W326,WEEKDAY(T326,2),1)="W",COUNTIF(Settings!$F$18:$F$67,T326)=0),1,0),0)</ns0:f>
        <ns0:v>0</ns0:v>
      </ns0:c>
      <ns0:c r="AC326" s="0">
        <ns0:f>IF(AND(J326&gt;0,T326&gt;0,W326&lt;=X326),1,0)</ns0:f>
        <ns0:v>0</ns0:v>
      </ns0:c>
      <ns0:c r="AD326" s="0">
        <ns0:f>IF(AND(J326&gt;0,T326&gt;0,Y326&lt;=Z326),1,0)</ns0:f>
        <ns0:v>0</ns0:v>
      </ns0:c>
    </ns0:row>
    <ns0:row r="327">
      <ns0:c r="A327" s="0">
        <ns0:f>IFERROR(IF(ISNUMBER(Bookings!B327),"",TRIM(Bookings!B327&amp;"")),"")</ns0:f>
      </ns0:c>
      <ns0:c r="B327" s="0">
        <ns0:f>IFERROR(SUBSTITUTE(SUBSTITUTE(A327,"/","."),"-","."),"")</ns0:f>
      </ns0:c>
      <ns0:c r="C327" s="0">
        <ns0:f>IFERROR(LEFT(B327,FIND(".",B327)-1),"")</ns0:f>
      </ns0:c>
      <ns0:c r="D327" s="0">
        <ns0:f>IFERROR(MID(B327,FIND(".",B327)+1,FIND(".",B327,FIND(".",B327)+1)-FIND(".",B327)-1),"")</ns0:f>
      </ns0:c>
      <ns0:c r="E327" s="0">
        <ns0:f>IFERROR(MID(B327,FIND(".",B327,FIND(".",B327)+1)+1,99),"")</ns0:f>
        <ns0:v>99</ns0:v>
      </ns0:c>
      <ns0:c r="F327" s="0">
        <ns0:f>IFERROR(IF(FIND(".",B327)=5,--C327,--E327),0)</ns0:f>
        <ns0:v>0</ns0:v>
      </ns0:c>
      <ns0:c r="G327" s="0">
        <ns0:f>IFERROR(--D327,0)</ns0:f>
        <ns0:v>0</ns0:v>
      </ns0:c>
      <ns0:c r="H327" s="0">
        <ns0:f>IFERROR(IF(FIND(".",B327)=5,--E327,--C327),0)</ns0:f>
        <ns0:v>0</ns0:v>
      </ns0:c>
      <ns0:c r="I327" s="0">
        <ns0:f>IFERROR(IF(AND(F327&gt;=2000,F327&lt;=2100,G327&gt;=1,G327&lt;=12,H327&gt;=1,H327&lt;=31),DATE(F327,G327,H327),0),0)</ns0:f>
        <ns0:v>0</ns0:v>
      </ns0:c>
      <ns0:c r="J327" s="0">
        <ns0:f>IFERROR(IF(ISNUMBER(Bookings!B327),IF(AND(Bookings!B327=INT(Bookings!B327),Bookings!B327&gt;=DATE(2000,1,1),Bookings!B327&lt;=DATE(2100,12,31)),Bookings!B327,0),IF(AND(A327&lt;&gt;"",LEN("x"&amp;B327)-LEN(SUBSTITUTE("x"&amp;B327,".",""))=2,OR(1&gt;LEN(B327),MID(B327,1,1)=".",ISNUMBER(FIND("x"&amp;MID(B327,1,1),"x0x1x2x3x4x5x6x7x8x9"))),OR(2&gt;LEN(B327),MID(B327,2,1)=".",ISNUMBER(FIND("x"&amp;MID(B327,2,1),"x0x1x2x3x4x5x6x7x8x9"))),OR(3&gt;LEN(B327),MID(B327,3,1)=".",ISNUMBER(FIND("x"&amp;MID(B327,3,1),"x0x1x2x3x4x5x6x7x8x9"))),OR(4&gt;LEN(B327),MID(B327,4,1)=".",ISNUMBER(FIND("x"&amp;MID(B327,4,1),"x0x1x2x3x4x5x6x7x8x9"))),OR(5&gt;LEN(B327),MID(B327,5,1)=".",ISNUMBER(FIND("x"&amp;MID(B327,5,1),"x0x1x2x3x4x5x6x7x8x9"))),OR(6&gt;LEN(B327),MID(B327,6,1)=".",ISNUMBER(FIND("x"&amp;MID(B327,6,1),"x0x1x2x3x4x5x6x7x8x9"))),OR(7&gt;LEN(B327),MID(B327,7,1)=".",ISNUMBER(FIND("x"&amp;MID(B327,7,1),"x0x1x2x3x4x5x6x7x8x9"))),OR(8&gt;LEN(B327),MID(B327,8,1)=".",ISNUMBER(FIND("x"&amp;MID(B327,8,1),"x0x1x2x3x4x5x6x7x8x9"))),OR(9&gt;LEN(B327),MID(B327,9,1)=".",ISNUMBER(FIND("x"&amp;MID(B327,9,1),"x0x1x2x3x4x5x6x7x8x9"))),OR(10&gt;LEN(B327),MID(B327,10,1)=".",ISNUMBER(FIND("x"&amp;MID(B327,10,1),"x0x1x2x3x4x5x6x7x8x9"))),OR(AND(FIND(".",B327)=5,LEN(B327)-FIND(".",B327,FIND(".",B327)+1)&gt;=1,LEN(B327)-FIND(".",B327,FIND(".",B327)+1)&lt;=2),AND(LEN(B327)-FIND(".",B327,FIND(".",B327)+1)=4,FIND(".",B327)&gt;=2,FIND(".",B327)&lt;=3)),FIND(".",B327,FIND(".",B327)+1)-FIND(".",B327)&gt;=2,FIND(".",B327,FIND(".",B327)+1)-FIND(".",B327)&lt;=3,F327&gt;=2000,F327&lt;=2100,YEAR(I327)=F327,MONTH(I327)=G327,DAY(I327)=H327),I327,0)),0)</ns0:f>
        <ns0:v>0</ns0:v>
      </ns0:c>
      <ns0:c r="K327" s="0">
        <ns0:f>IFERROR(IF(ISNUMBER(Bookings!D327),"",TRIM(Bookings!D327&amp;"")),"")</ns0:f>
      </ns0:c>
      <ns0:c r="L327" s="0">
        <ns0:f>IFERROR(SUBSTITUTE(SUBSTITUTE(K327,"/","."),"-","."),"")</ns0:f>
      </ns0:c>
      <ns0:c r="M327" s="0">
        <ns0:f>IFERROR(LEFT(L327,FIND(".",L327)-1),"")</ns0:f>
      </ns0:c>
      <ns0:c r="N327" s="0">
        <ns0:f>IFERROR(MID(L327,FIND(".",L327)+1,FIND(".",L327,FIND(".",L327)+1)-FIND(".",L327)-1),"")</ns0:f>
      </ns0:c>
      <ns0:c r="O327" s="0">
        <ns0:f>IFERROR(MID(L327,FIND(".",L327,FIND(".",L327)+1)+1,99),"")</ns0:f>
        <ns0:v>99</ns0:v>
      </ns0:c>
      <ns0:c r="P327" s="0">
        <ns0:f>IFERROR(IF(FIND(".",L327)=5,--M327,--O327),0)</ns0:f>
        <ns0:v>0</ns0:v>
      </ns0:c>
      <ns0:c r="Q327" s="0">
        <ns0:f>IFERROR(--N327,0)</ns0:f>
        <ns0:v>0</ns0:v>
      </ns0:c>
      <ns0:c r="R327" s="0">
        <ns0:f>IFERROR(IF(FIND(".",L327)=5,--O327,--M327),0)</ns0:f>
        <ns0:v>0</ns0:v>
      </ns0:c>
      <ns0:c r="S327" s="0">
        <ns0:f>IFERROR(IF(AND(P327&gt;=2000,P327&lt;=2100,Q327&gt;=1,Q327&lt;=12,R327&gt;=1,R327&lt;=31),DATE(P327,Q327,R327),0),0)</ns0:f>
        <ns0:v>0</ns0:v>
      </ns0:c>
      <ns0:c r="T327" s="0">
        <ns0:f>IFERROR(IF(ISNUMBER(Bookings!D327),IF(AND(Bookings!D327=INT(Bookings!D327),Bookings!D327&gt;=DATE(2000,1,1),Bookings!D327&lt;=DATE(2100,12,31)),Bookings!D327,0),IF(AND(K327&lt;&gt;"",LEN("x"&amp;L327)-LEN(SUBSTITUTE("x"&amp;L327,".",""))=2,OR(1&gt;LEN(L327),MID(L327,1,1)=".",ISNUMBER(FIND("x"&amp;MID(L327,1,1),"x0x1x2x3x4x5x6x7x8x9"))),OR(2&gt;LEN(L327),MID(L327,2,1)=".",ISNUMBER(FIND("x"&amp;MID(L327,2,1),"x0x1x2x3x4x5x6x7x8x9"))),OR(3&gt;LEN(L327),MID(L327,3,1)=".",ISNUMBER(FIND("x"&amp;MID(L327,3,1),"x0x1x2x3x4x5x6x7x8x9"))),OR(4&gt;LEN(L327),MID(L327,4,1)=".",ISNUMBER(FIND("x"&amp;MID(L327,4,1),"x0x1x2x3x4x5x6x7x8x9"))),OR(5&gt;LEN(L327),MID(L327,5,1)=".",ISNUMBER(FIND("x"&amp;MID(L327,5,1),"x0x1x2x3x4x5x6x7x8x9"))),OR(6&gt;LEN(L327),MID(L327,6,1)=".",ISNUMBER(FIND("x"&amp;MID(L327,6,1),"x0x1x2x3x4x5x6x7x8x9"))),OR(7&gt;LEN(L327),MID(L327,7,1)=".",ISNUMBER(FIND("x"&amp;MID(L327,7,1),"x0x1x2x3x4x5x6x7x8x9"))),OR(8&gt;LEN(L327),MID(L327,8,1)=".",ISNUMBER(FIND("x"&amp;MID(L327,8,1),"x0x1x2x3x4x5x6x7x8x9"))),OR(9&gt;LEN(L327),MID(L327,9,1)=".",ISNUMBER(FIND("x"&amp;MID(L327,9,1),"x0x1x2x3x4x5x6x7x8x9"))),OR(10&gt;LEN(L327),MID(L327,10,1)=".",ISNUMBER(FIND("x"&amp;MID(L327,10,1),"x0x1x2x3x4x5x6x7x8x9"))),OR(AND(FIND(".",L327)=5,LEN(L327)-FIND(".",L327,FIND(".",L327)+1)&gt;=1,LEN(L327)-FIND(".",L327,FIND(".",L327)+1)&lt;=2),AND(LEN(L327)-FIND(".",L327,FIND(".",L327)+1)=4,FIND(".",L327)&gt;=2,FIND(".",L327)&lt;=3)),FIND(".",L327,FIND(".",L327)+1)-FIND(".",L327)&gt;=2,FIND(".",L327,FIND(".",L327)+1)-FIND(".",L327)&lt;=3,P327&gt;=2000,P327&lt;=2100,YEAR(S327)=P327,MONTH(S327)=Q327,DAY(S327)=R327),S327,0)),0)</ns0:f>
        <ns0:v>0</ns0:v>
      </ns0:c>
      <ns0:c r="U327" s="0" t="str">
        <ns0:f>IF(Bookings!C327="","Full day",Bookings!C327)</ns0:f>
        <ns0:v>Full day</ns0:v>
      </ns0:c>
      <ns0:c r="V327" s="0" t="str">
        <ns0:f>IF(Bookings!E327="","Full day",Bookings!E327)</ns0:f>
        <ns0:v>Full day</ns0:v>
      </ns0:c>
      <ns0:c r="W327" s="0">
        <ns0:f>IF(J327=0,0,J327+IF(U327="PM",1,0))</ns0:f>
        <ns0:v>0</ns0:v>
      </ns0:c>
      <ns0:c r="X327" s="0">
        <ns0:f>IF(T327=0,0,T327-IF(V327="PM",1,0))</ns0:f>
        <ns0:v>0</ns0:v>
      </ns0:c>
      <ns0:c r="Y327" s="0">
        <ns0:f>IF(J327=0,0,J327+IF(U327="AM",1,0))</ns0:f>
        <ns0:v>0</ns0:v>
      </ns0:c>
      <ns0:c r="Z327" s="0">
        <ns0:f>IF(T327=0,0,T327-IF(V327="AM",1,0))</ns0:f>
        <ns0:v>0</ns0:v>
      </ns0:c>
      <ns0:c r="AA327" s="0">
        <ns0:f>IFERROR(IF(AND(J327&gt;0,'_Engine'!C327&gt;0,MID('_Engine'!W327,WEEKDAY(J327,2),1)="W",COUNTIF(Settings!$F$18:$F$67,J327)=0),1,0),0)</ns0:f>
        <ns0:v>0</ns0:v>
      </ns0:c>
      <ns0:c r="AB327" s="0">
        <ns0:f>IFERROR(IF(AND(T327&gt;0,'_Engine'!C327&gt;0,MID('_Engine'!W327,WEEKDAY(T327,2),1)="W",COUNTIF(Settings!$F$18:$F$67,T327)=0),1,0),0)</ns0:f>
        <ns0:v>0</ns0:v>
      </ns0:c>
      <ns0:c r="AC327" s="0">
        <ns0:f>IF(AND(J327&gt;0,T327&gt;0,W327&lt;=X327),1,0)</ns0:f>
        <ns0:v>0</ns0:v>
      </ns0:c>
      <ns0:c r="AD327" s="0">
        <ns0:f>IF(AND(J327&gt;0,T327&gt;0,Y327&lt;=Z327),1,0)</ns0:f>
        <ns0:v>0</ns0:v>
      </ns0:c>
    </ns0:row>
    <ns0:row r="328">
      <ns0:c r="A328" s="0">
        <ns0:f>IFERROR(IF(ISNUMBER(Bookings!B328),"",TRIM(Bookings!B328&amp;"")),"")</ns0:f>
      </ns0:c>
      <ns0:c r="B328" s="0">
        <ns0:f>IFERROR(SUBSTITUTE(SUBSTITUTE(A328,"/","."),"-","."),"")</ns0:f>
      </ns0:c>
      <ns0:c r="C328" s="0">
        <ns0:f>IFERROR(LEFT(B328,FIND(".",B328)-1),"")</ns0:f>
      </ns0:c>
      <ns0:c r="D328" s="0">
        <ns0:f>IFERROR(MID(B328,FIND(".",B328)+1,FIND(".",B328,FIND(".",B328)+1)-FIND(".",B328)-1),"")</ns0:f>
      </ns0:c>
      <ns0:c r="E328" s="0">
        <ns0:f>IFERROR(MID(B328,FIND(".",B328,FIND(".",B328)+1)+1,99),"")</ns0:f>
        <ns0:v>99</ns0:v>
      </ns0:c>
      <ns0:c r="F328" s="0">
        <ns0:f>IFERROR(IF(FIND(".",B328)=5,--C328,--E328),0)</ns0:f>
        <ns0:v>0</ns0:v>
      </ns0:c>
      <ns0:c r="G328" s="0">
        <ns0:f>IFERROR(--D328,0)</ns0:f>
        <ns0:v>0</ns0:v>
      </ns0:c>
      <ns0:c r="H328" s="0">
        <ns0:f>IFERROR(IF(FIND(".",B328)=5,--E328,--C328),0)</ns0:f>
        <ns0:v>0</ns0:v>
      </ns0:c>
      <ns0:c r="I328" s="0">
        <ns0:f>IFERROR(IF(AND(F328&gt;=2000,F328&lt;=2100,G328&gt;=1,G328&lt;=12,H328&gt;=1,H328&lt;=31),DATE(F328,G328,H328),0),0)</ns0:f>
        <ns0:v>0</ns0:v>
      </ns0:c>
      <ns0:c r="J328" s="0">
        <ns0:f>IFERROR(IF(ISNUMBER(Bookings!B328),IF(AND(Bookings!B328=INT(Bookings!B328),Bookings!B328&gt;=DATE(2000,1,1),Bookings!B328&lt;=DATE(2100,12,31)),Bookings!B328,0),IF(AND(A328&lt;&gt;"",LEN("x"&amp;B328)-LEN(SUBSTITUTE("x"&amp;B328,".",""))=2,OR(1&gt;LEN(B328),MID(B328,1,1)=".",ISNUMBER(FIND("x"&amp;MID(B328,1,1),"x0x1x2x3x4x5x6x7x8x9"))),OR(2&gt;LEN(B328),MID(B328,2,1)=".",ISNUMBER(FIND("x"&amp;MID(B328,2,1),"x0x1x2x3x4x5x6x7x8x9"))),OR(3&gt;LEN(B328),MID(B328,3,1)=".",ISNUMBER(FIND("x"&amp;MID(B328,3,1),"x0x1x2x3x4x5x6x7x8x9"))),OR(4&gt;LEN(B328),MID(B328,4,1)=".",ISNUMBER(FIND("x"&amp;MID(B328,4,1),"x0x1x2x3x4x5x6x7x8x9"))),OR(5&gt;LEN(B328),MID(B328,5,1)=".",ISNUMBER(FIND("x"&amp;MID(B328,5,1),"x0x1x2x3x4x5x6x7x8x9"))),OR(6&gt;LEN(B328),MID(B328,6,1)=".",ISNUMBER(FIND("x"&amp;MID(B328,6,1),"x0x1x2x3x4x5x6x7x8x9"))),OR(7&gt;LEN(B328),MID(B328,7,1)=".",ISNUMBER(FIND("x"&amp;MID(B328,7,1),"x0x1x2x3x4x5x6x7x8x9"))),OR(8&gt;LEN(B328),MID(B328,8,1)=".",ISNUMBER(FIND("x"&amp;MID(B328,8,1),"x0x1x2x3x4x5x6x7x8x9"))),OR(9&gt;LEN(B328),MID(B328,9,1)=".",ISNUMBER(FIND("x"&amp;MID(B328,9,1),"x0x1x2x3x4x5x6x7x8x9"))),OR(10&gt;LEN(B328),MID(B328,10,1)=".",ISNUMBER(FIND("x"&amp;MID(B328,10,1),"x0x1x2x3x4x5x6x7x8x9"))),OR(AND(FIND(".",B328)=5,LEN(B328)-FIND(".",B328,FIND(".",B328)+1)&gt;=1,LEN(B328)-FIND(".",B328,FIND(".",B328)+1)&lt;=2),AND(LEN(B328)-FIND(".",B328,FIND(".",B328)+1)=4,FIND(".",B328)&gt;=2,FIND(".",B328)&lt;=3)),FIND(".",B328,FIND(".",B328)+1)-FIND(".",B328)&gt;=2,FIND(".",B328,FIND(".",B328)+1)-FIND(".",B328)&lt;=3,F328&gt;=2000,F328&lt;=2100,YEAR(I328)=F328,MONTH(I328)=G328,DAY(I328)=H328),I328,0)),0)</ns0:f>
        <ns0:v>0</ns0:v>
      </ns0:c>
      <ns0:c r="K328" s="0">
        <ns0:f>IFERROR(IF(ISNUMBER(Bookings!D328),"",TRIM(Bookings!D328&amp;"")),"")</ns0:f>
      </ns0:c>
      <ns0:c r="L328" s="0">
        <ns0:f>IFERROR(SUBSTITUTE(SUBSTITUTE(K328,"/","."),"-","."),"")</ns0:f>
      </ns0:c>
      <ns0:c r="M328" s="0">
        <ns0:f>IFERROR(LEFT(L328,FIND(".",L328)-1),"")</ns0:f>
      </ns0:c>
      <ns0:c r="N328" s="0">
        <ns0:f>IFERROR(MID(L328,FIND(".",L328)+1,FIND(".",L328,FIND(".",L328)+1)-FIND(".",L328)-1),"")</ns0:f>
      </ns0:c>
      <ns0:c r="O328" s="0">
        <ns0:f>IFERROR(MID(L328,FIND(".",L328,FIND(".",L328)+1)+1,99),"")</ns0:f>
        <ns0:v>99</ns0:v>
      </ns0:c>
      <ns0:c r="P328" s="0">
        <ns0:f>IFERROR(IF(FIND(".",L328)=5,--M328,--O328),0)</ns0:f>
        <ns0:v>0</ns0:v>
      </ns0:c>
      <ns0:c r="Q328" s="0">
        <ns0:f>IFERROR(--N328,0)</ns0:f>
        <ns0:v>0</ns0:v>
      </ns0:c>
      <ns0:c r="R328" s="0">
        <ns0:f>IFERROR(IF(FIND(".",L328)=5,--O328,--M328),0)</ns0:f>
        <ns0:v>0</ns0:v>
      </ns0:c>
      <ns0:c r="S328" s="0">
        <ns0:f>IFERROR(IF(AND(P328&gt;=2000,P328&lt;=2100,Q328&gt;=1,Q328&lt;=12,R328&gt;=1,R328&lt;=31),DATE(P328,Q328,R328),0),0)</ns0:f>
        <ns0:v>0</ns0:v>
      </ns0:c>
      <ns0:c r="T328" s="0">
        <ns0:f>IFERROR(IF(ISNUMBER(Bookings!D328),IF(AND(Bookings!D328=INT(Bookings!D328),Bookings!D328&gt;=DATE(2000,1,1),Bookings!D328&lt;=DATE(2100,12,31)),Bookings!D328,0),IF(AND(K328&lt;&gt;"",LEN("x"&amp;L328)-LEN(SUBSTITUTE("x"&amp;L328,".",""))=2,OR(1&gt;LEN(L328),MID(L328,1,1)=".",ISNUMBER(FIND("x"&amp;MID(L328,1,1),"x0x1x2x3x4x5x6x7x8x9"))),OR(2&gt;LEN(L328),MID(L328,2,1)=".",ISNUMBER(FIND("x"&amp;MID(L328,2,1),"x0x1x2x3x4x5x6x7x8x9"))),OR(3&gt;LEN(L328),MID(L328,3,1)=".",ISNUMBER(FIND("x"&amp;MID(L328,3,1),"x0x1x2x3x4x5x6x7x8x9"))),OR(4&gt;LEN(L328),MID(L328,4,1)=".",ISNUMBER(FIND("x"&amp;MID(L328,4,1),"x0x1x2x3x4x5x6x7x8x9"))),OR(5&gt;LEN(L328),MID(L328,5,1)=".",ISNUMBER(FIND("x"&amp;MID(L328,5,1),"x0x1x2x3x4x5x6x7x8x9"))),OR(6&gt;LEN(L328),MID(L328,6,1)=".",ISNUMBER(FIND("x"&amp;MID(L328,6,1),"x0x1x2x3x4x5x6x7x8x9"))),OR(7&gt;LEN(L328),MID(L328,7,1)=".",ISNUMBER(FIND("x"&amp;MID(L328,7,1),"x0x1x2x3x4x5x6x7x8x9"))),OR(8&gt;LEN(L328),MID(L328,8,1)=".",ISNUMBER(FIND("x"&amp;MID(L328,8,1),"x0x1x2x3x4x5x6x7x8x9"))),OR(9&gt;LEN(L328),MID(L328,9,1)=".",ISNUMBER(FIND("x"&amp;MID(L328,9,1),"x0x1x2x3x4x5x6x7x8x9"))),OR(10&gt;LEN(L328),MID(L328,10,1)=".",ISNUMBER(FIND("x"&amp;MID(L328,10,1),"x0x1x2x3x4x5x6x7x8x9"))),OR(AND(FIND(".",L328)=5,LEN(L328)-FIND(".",L328,FIND(".",L328)+1)&gt;=1,LEN(L328)-FIND(".",L328,FIND(".",L328)+1)&lt;=2),AND(LEN(L328)-FIND(".",L328,FIND(".",L328)+1)=4,FIND(".",L328)&gt;=2,FIND(".",L328)&lt;=3)),FIND(".",L328,FIND(".",L328)+1)-FIND(".",L328)&gt;=2,FIND(".",L328,FIND(".",L328)+1)-FIND(".",L328)&lt;=3,P328&gt;=2000,P328&lt;=2100,YEAR(S328)=P328,MONTH(S328)=Q328,DAY(S328)=R328),S328,0)),0)</ns0:f>
        <ns0:v>0</ns0:v>
      </ns0:c>
      <ns0:c r="U328" s="0" t="str">
        <ns0:f>IF(Bookings!C328="","Full day",Bookings!C328)</ns0:f>
        <ns0:v>Full day</ns0:v>
      </ns0:c>
      <ns0:c r="V328" s="0" t="str">
        <ns0:f>IF(Bookings!E328="","Full day",Bookings!E328)</ns0:f>
        <ns0:v>Full day</ns0:v>
      </ns0:c>
      <ns0:c r="W328" s="0">
        <ns0:f>IF(J328=0,0,J328+IF(U328="PM",1,0))</ns0:f>
        <ns0:v>0</ns0:v>
      </ns0:c>
      <ns0:c r="X328" s="0">
        <ns0:f>IF(T328=0,0,T328-IF(V328="PM",1,0))</ns0:f>
        <ns0:v>0</ns0:v>
      </ns0:c>
      <ns0:c r="Y328" s="0">
        <ns0:f>IF(J328=0,0,J328+IF(U328="AM",1,0))</ns0:f>
        <ns0:v>0</ns0:v>
      </ns0:c>
      <ns0:c r="Z328" s="0">
        <ns0:f>IF(T328=0,0,T328-IF(V328="AM",1,0))</ns0:f>
        <ns0:v>0</ns0:v>
      </ns0:c>
      <ns0:c r="AA328" s="0">
        <ns0:f>IFERROR(IF(AND(J328&gt;0,'_Engine'!C328&gt;0,MID('_Engine'!W328,WEEKDAY(J328,2),1)="W",COUNTIF(Settings!$F$18:$F$67,J328)=0),1,0),0)</ns0:f>
        <ns0:v>0</ns0:v>
      </ns0:c>
      <ns0:c r="AB328" s="0">
        <ns0:f>IFERROR(IF(AND(T328&gt;0,'_Engine'!C328&gt;0,MID('_Engine'!W328,WEEKDAY(T328,2),1)="W",COUNTIF(Settings!$F$18:$F$67,T328)=0),1,0),0)</ns0:f>
        <ns0:v>0</ns0:v>
      </ns0:c>
      <ns0:c r="AC328" s="0">
        <ns0:f>IF(AND(J328&gt;0,T328&gt;0,W328&lt;=X328),1,0)</ns0:f>
        <ns0:v>0</ns0:v>
      </ns0:c>
      <ns0:c r="AD328" s="0">
        <ns0:f>IF(AND(J328&gt;0,T328&gt;0,Y328&lt;=Z328),1,0)</ns0:f>
        <ns0:v>0</ns0:v>
      </ns0:c>
    </ns0:row>
    <ns0:row r="329">
      <ns0:c r="A329" s="0">
        <ns0:f>IFERROR(IF(ISNUMBER(Bookings!B329),"",TRIM(Bookings!B329&amp;"")),"")</ns0:f>
      </ns0:c>
      <ns0:c r="B329" s="0">
        <ns0:f>IFERROR(SUBSTITUTE(SUBSTITUTE(A329,"/","."),"-","."),"")</ns0:f>
      </ns0:c>
      <ns0:c r="C329" s="0">
        <ns0:f>IFERROR(LEFT(B329,FIND(".",B329)-1),"")</ns0:f>
      </ns0:c>
      <ns0:c r="D329" s="0">
        <ns0:f>IFERROR(MID(B329,FIND(".",B329)+1,FIND(".",B329,FIND(".",B329)+1)-FIND(".",B329)-1),"")</ns0:f>
      </ns0:c>
      <ns0:c r="E329" s="0">
        <ns0:f>IFERROR(MID(B329,FIND(".",B329,FIND(".",B329)+1)+1,99),"")</ns0:f>
        <ns0:v>99</ns0:v>
      </ns0:c>
      <ns0:c r="F329" s="0">
        <ns0:f>IFERROR(IF(FIND(".",B329)=5,--C329,--E329),0)</ns0:f>
        <ns0:v>0</ns0:v>
      </ns0:c>
      <ns0:c r="G329" s="0">
        <ns0:f>IFERROR(--D329,0)</ns0:f>
        <ns0:v>0</ns0:v>
      </ns0:c>
      <ns0:c r="H329" s="0">
        <ns0:f>IFERROR(IF(FIND(".",B329)=5,--E329,--C329),0)</ns0:f>
        <ns0:v>0</ns0:v>
      </ns0:c>
      <ns0:c r="I329" s="0">
        <ns0:f>IFERROR(IF(AND(F329&gt;=2000,F329&lt;=2100,G329&gt;=1,G329&lt;=12,H329&gt;=1,H329&lt;=31),DATE(F329,G329,H329),0),0)</ns0:f>
        <ns0:v>0</ns0:v>
      </ns0:c>
      <ns0:c r="J329" s="0">
        <ns0:f>IFERROR(IF(ISNUMBER(Bookings!B329),IF(AND(Bookings!B329=INT(Bookings!B329),Bookings!B329&gt;=DATE(2000,1,1),Bookings!B329&lt;=DATE(2100,12,31)),Bookings!B329,0),IF(AND(A329&lt;&gt;"",LEN("x"&amp;B329)-LEN(SUBSTITUTE("x"&amp;B329,".",""))=2,OR(1&gt;LEN(B329),MID(B329,1,1)=".",ISNUMBER(FIND("x"&amp;MID(B329,1,1),"x0x1x2x3x4x5x6x7x8x9"))),OR(2&gt;LEN(B329),MID(B329,2,1)=".",ISNUMBER(FIND("x"&amp;MID(B329,2,1),"x0x1x2x3x4x5x6x7x8x9"))),OR(3&gt;LEN(B329),MID(B329,3,1)=".",ISNUMBER(FIND("x"&amp;MID(B329,3,1),"x0x1x2x3x4x5x6x7x8x9"))),OR(4&gt;LEN(B329),MID(B329,4,1)=".",ISNUMBER(FIND("x"&amp;MID(B329,4,1),"x0x1x2x3x4x5x6x7x8x9"))),OR(5&gt;LEN(B329),MID(B329,5,1)=".",ISNUMBER(FIND("x"&amp;MID(B329,5,1),"x0x1x2x3x4x5x6x7x8x9"))),OR(6&gt;LEN(B329),MID(B329,6,1)=".",ISNUMBER(FIND("x"&amp;MID(B329,6,1),"x0x1x2x3x4x5x6x7x8x9"))),OR(7&gt;LEN(B329),MID(B329,7,1)=".",ISNUMBER(FIND("x"&amp;MID(B329,7,1),"x0x1x2x3x4x5x6x7x8x9"))),OR(8&gt;LEN(B329),MID(B329,8,1)=".",ISNUMBER(FIND("x"&amp;MID(B329,8,1),"x0x1x2x3x4x5x6x7x8x9"))),OR(9&gt;LEN(B329),MID(B329,9,1)=".",ISNUMBER(FIND("x"&amp;MID(B329,9,1),"x0x1x2x3x4x5x6x7x8x9"))),OR(10&gt;LEN(B329),MID(B329,10,1)=".",ISNUMBER(FIND("x"&amp;MID(B329,10,1),"x0x1x2x3x4x5x6x7x8x9"))),OR(AND(FIND(".",B329)=5,LEN(B329)-FIND(".",B329,FIND(".",B329)+1)&gt;=1,LEN(B329)-FIND(".",B329,FIND(".",B329)+1)&lt;=2),AND(LEN(B329)-FIND(".",B329,FIND(".",B329)+1)=4,FIND(".",B329)&gt;=2,FIND(".",B329)&lt;=3)),FIND(".",B329,FIND(".",B329)+1)-FIND(".",B329)&gt;=2,FIND(".",B329,FIND(".",B329)+1)-FIND(".",B329)&lt;=3,F329&gt;=2000,F329&lt;=2100,YEAR(I329)=F329,MONTH(I329)=G329,DAY(I329)=H329),I329,0)),0)</ns0:f>
        <ns0:v>0</ns0:v>
      </ns0:c>
      <ns0:c r="K329" s="0">
        <ns0:f>IFERROR(IF(ISNUMBER(Bookings!D329),"",TRIM(Bookings!D329&amp;"")),"")</ns0:f>
      </ns0:c>
      <ns0:c r="L329" s="0">
        <ns0:f>IFERROR(SUBSTITUTE(SUBSTITUTE(K329,"/","."),"-","."),"")</ns0:f>
      </ns0:c>
      <ns0:c r="M329" s="0">
        <ns0:f>IFERROR(LEFT(L329,FIND(".",L329)-1),"")</ns0:f>
      </ns0:c>
      <ns0:c r="N329" s="0">
        <ns0:f>IFERROR(MID(L329,FIND(".",L329)+1,FIND(".",L329,FIND(".",L329)+1)-FIND(".",L329)-1),"")</ns0:f>
      </ns0:c>
      <ns0:c r="O329" s="0">
        <ns0:f>IFERROR(MID(L329,FIND(".",L329,FIND(".",L329)+1)+1,99),"")</ns0:f>
        <ns0:v>99</ns0:v>
      </ns0:c>
      <ns0:c r="P329" s="0">
        <ns0:f>IFERROR(IF(FIND(".",L329)=5,--M329,--O329),0)</ns0:f>
        <ns0:v>0</ns0:v>
      </ns0:c>
      <ns0:c r="Q329" s="0">
        <ns0:f>IFERROR(--N329,0)</ns0:f>
        <ns0:v>0</ns0:v>
      </ns0:c>
      <ns0:c r="R329" s="0">
        <ns0:f>IFERROR(IF(FIND(".",L329)=5,--O329,--M329),0)</ns0:f>
        <ns0:v>0</ns0:v>
      </ns0:c>
      <ns0:c r="S329" s="0">
        <ns0:f>IFERROR(IF(AND(P329&gt;=2000,P329&lt;=2100,Q329&gt;=1,Q329&lt;=12,R329&gt;=1,R329&lt;=31),DATE(P329,Q329,R329),0),0)</ns0:f>
        <ns0:v>0</ns0:v>
      </ns0:c>
      <ns0:c r="T329" s="0">
        <ns0:f>IFERROR(IF(ISNUMBER(Bookings!D329),IF(AND(Bookings!D329=INT(Bookings!D329),Bookings!D329&gt;=DATE(2000,1,1),Bookings!D329&lt;=DATE(2100,12,31)),Bookings!D329,0),IF(AND(K329&lt;&gt;"",LEN("x"&amp;L329)-LEN(SUBSTITUTE("x"&amp;L329,".",""))=2,OR(1&gt;LEN(L329),MID(L329,1,1)=".",ISNUMBER(FIND("x"&amp;MID(L329,1,1),"x0x1x2x3x4x5x6x7x8x9"))),OR(2&gt;LEN(L329),MID(L329,2,1)=".",ISNUMBER(FIND("x"&amp;MID(L329,2,1),"x0x1x2x3x4x5x6x7x8x9"))),OR(3&gt;LEN(L329),MID(L329,3,1)=".",ISNUMBER(FIND("x"&amp;MID(L329,3,1),"x0x1x2x3x4x5x6x7x8x9"))),OR(4&gt;LEN(L329),MID(L329,4,1)=".",ISNUMBER(FIND("x"&amp;MID(L329,4,1),"x0x1x2x3x4x5x6x7x8x9"))),OR(5&gt;LEN(L329),MID(L329,5,1)=".",ISNUMBER(FIND("x"&amp;MID(L329,5,1),"x0x1x2x3x4x5x6x7x8x9"))),OR(6&gt;LEN(L329),MID(L329,6,1)=".",ISNUMBER(FIND("x"&amp;MID(L329,6,1),"x0x1x2x3x4x5x6x7x8x9"))),OR(7&gt;LEN(L329),MID(L329,7,1)=".",ISNUMBER(FIND("x"&amp;MID(L329,7,1),"x0x1x2x3x4x5x6x7x8x9"))),OR(8&gt;LEN(L329),MID(L329,8,1)=".",ISNUMBER(FIND("x"&amp;MID(L329,8,1),"x0x1x2x3x4x5x6x7x8x9"))),OR(9&gt;LEN(L329),MID(L329,9,1)=".",ISNUMBER(FIND("x"&amp;MID(L329,9,1),"x0x1x2x3x4x5x6x7x8x9"))),OR(10&gt;LEN(L329),MID(L329,10,1)=".",ISNUMBER(FIND("x"&amp;MID(L329,10,1),"x0x1x2x3x4x5x6x7x8x9"))),OR(AND(FIND(".",L329)=5,LEN(L329)-FIND(".",L329,FIND(".",L329)+1)&gt;=1,LEN(L329)-FIND(".",L329,FIND(".",L329)+1)&lt;=2),AND(LEN(L329)-FIND(".",L329,FIND(".",L329)+1)=4,FIND(".",L329)&gt;=2,FIND(".",L329)&lt;=3)),FIND(".",L329,FIND(".",L329)+1)-FIND(".",L329)&gt;=2,FIND(".",L329,FIND(".",L329)+1)-FIND(".",L329)&lt;=3,P329&gt;=2000,P329&lt;=2100,YEAR(S329)=P329,MONTH(S329)=Q329,DAY(S329)=R329),S329,0)),0)</ns0:f>
        <ns0:v>0</ns0:v>
      </ns0:c>
      <ns0:c r="U329" s="0" t="str">
        <ns0:f>IF(Bookings!C329="","Full day",Bookings!C329)</ns0:f>
        <ns0:v>Full day</ns0:v>
      </ns0:c>
      <ns0:c r="V329" s="0" t="str">
        <ns0:f>IF(Bookings!E329="","Full day",Bookings!E329)</ns0:f>
        <ns0:v>Full day</ns0:v>
      </ns0:c>
      <ns0:c r="W329" s="0">
        <ns0:f>IF(J329=0,0,J329+IF(U329="PM",1,0))</ns0:f>
        <ns0:v>0</ns0:v>
      </ns0:c>
      <ns0:c r="X329" s="0">
        <ns0:f>IF(T329=0,0,T329-IF(V329="PM",1,0))</ns0:f>
        <ns0:v>0</ns0:v>
      </ns0:c>
      <ns0:c r="Y329" s="0">
        <ns0:f>IF(J329=0,0,J329+IF(U329="AM",1,0))</ns0:f>
        <ns0:v>0</ns0:v>
      </ns0:c>
      <ns0:c r="Z329" s="0">
        <ns0:f>IF(T329=0,0,T329-IF(V329="AM",1,0))</ns0:f>
        <ns0:v>0</ns0:v>
      </ns0:c>
      <ns0:c r="AA329" s="0">
        <ns0:f>IFERROR(IF(AND(J329&gt;0,'_Engine'!C329&gt;0,MID('_Engine'!W329,WEEKDAY(J329,2),1)="W",COUNTIF(Settings!$F$18:$F$67,J329)=0),1,0),0)</ns0:f>
        <ns0:v>0</ns0:v>
      </ns0:c>
      <ns0:c r="AB329" s="0">
        <ns0:f>IFERROR(IF(AND(T329&gt;0,'_Engine'!C329&gt;0,MID('_Engine'!W329,WEEKDAY(T329,2),1)="W",COUNTIF(Settings!$F$18:$F$67,T329)=0),1,0),0)</ns0:f>
        <ns0:v>0</ns0:v>
      </ns0:c>
      <ns0:c r="AC329" s="0">
        <ns0:f>IF(AND(J329&gt;0,T329&gt;0,W329&lt;=X329),1,0)</ns0:f>
        <ns0:v>0</ns0:v>
      </ns0:c>
      <ns0:c r="AD329" s="0">
        <ns0:f>IF(AND(J329&gt;0,T329&gt;0,Y329&lt;=Z329),1,0)</ns0:f>
        <ns0:v>0</ns0:v>
      </ns0:c>
    </ns0:row>
    <ns0:row r="330">
      <ns0:c r="A330" s="0">
        <ns0:f>IFERROR(IF(ISNUMBER(Bookings!B330),"",TRIM(Bookings!B330&amp;"")),"")</ns0:f>
      </ns0:c>
      <ns0:c r="B330" s="0">
        <ns0:f>IFERROR(SUBSTITUTE(SUBSTITUTE(A330,"/","."),"-","."),"")</ns0:f>
      </ns0:c>
      <ns0:c r="C330" s="0">
        <ns0:f>IFERROR(LEFT(B330,FIND(".",B330)-1),"")</ns0:f>
      </ns0:c>
      <ns0:c r="D330" s="0">
        <ns0:f>IFERROR(MID(B330,FIND(".",B330)+1,FIND(".",B330,FIND(".",B330)+1)-FIND(".",B330)-1),"")</ns0:f>
      </ns0:c>
      <ns0:c r="E330" s="0">
        <ns0:f>IFERROR(MID(B330,FIND(".",B330,FIND(".",B330)+1)+1,99),"")</ns0:f>
        <ns0:v>99</ns0:v>
      </ns0:c>
      <ns0:c r="F330" s="0">
        <ns0:f>IFERROR(IF(FIND(".",B330)=5,--C330,--E330),0)</ns0:f>
        <ns0:v>0</ns0:v>
      </ns0:c>
      <ns0:c r="G330" s="0">
        <ns0:f>IFERROR(--D330,0)</ns0:f>
        <ns0:v>0</ns0:v>
      </ns0:c>
      <ns0:c r="H330" s="0">
        <ns0:f>IFERROR(IF(FIND(".",B330)=5,--E330,--C330),0)</ns0:f>
        <ns0:v>0</ns0:v>
      </ns0:c>
      <ns0:c r="I330" s="0">
        <ns0:f>IFERROR(IF(AND(F330&gt;=2000,F330&lt;=2100,G330&gt;=1,G330&lt;=12,H330&gt;=1,H330&lt;=31),DATE(F330,G330,H330),0),0)</ns0:f>
        <ns0:v>0</ns0:v>
      </ns0:c>
      <ns0:c r="J330" s="0">
        <ns0:f>IFERROR(IF(ISNUMBER(Bookings!B330),IF(AND(Bookings!B330=INT(Bookings!B330),Bookings!B330&gt;=DATE(2000,1,1),Bookings!B330&lt;=DATE(2100,12,31)),Bookings!B330,0),IF(AND(A330&lt;&gt;"",LEN("x"&amp;B330)-LEN(SUBSTITUTE("x"&amp;B330,".",""))=2,OR(1&gt;LEN(B330),MID(B330,1,1)=".",ISNUMBER(FIND("x"&amp;MID(B330,1,1),"x0x1x2x3x4x5x6x7x8x9"))),OR(2&gt;LEN(B330),MID(B330,2,1)=".",ISNUMBER(FIND("x"&amp;MID(B330,2,1),"x0x1x2x3x4x5x6x7x8x9"))),OR(3&gt;LEN(B330),MID(B330,3,1)=".",ISNUMBER(FIND("x"&amp;MID(B330,3,1),"x0x1x2x3x4x5x6x7x8x9"))),OR(4&gt;LEN(B330),MID(B330,4,1)=".",ISNUMBER(FIND("x"&amp;MID(B330,4,1),"x0x1x2x3x4x5x6x7x8x9"))),OR(5&gt;LEN(B330),MID(B330,5,1)=".",ISNUMBER(FIND("x"&amp;MID(B330,5,1),"x0x1x2x3x4x5x6x7x8x9"))),OR(6&gt;LEN(B330),MID(B330,6,1)=".",ISNUMBER(FIND("x"&amp;MID(B330,6,1),"x0x1x2x3x4x5x6x7x8x9"))),OR(7&gt;LEN(B330),MID(B330,7,1)=".",ISNUMBER(FIND("x"&amp;MID(B330,7,1),"x0x1x2x3x4x5x6x7x8x9"))),OR(8&gt;LEN(B330),MID(B330,8,1)=".",ISNUMBER(FIND("x"&amp;MID(B330,8,1),"x0x1x2x3x4x5x6x7x8x9"))),OR(9&gt;LEN(B330),MID(B330,9,1)=".",ISNUMBER(FIND("x"&amp;MID(B330,9,1),"x0x1x2x3x4x5x6x7x8x9"))),OR(10&gt;LEN(B330),MID(B330,10,1)=".",ISNUMBER(FIND("x"&amp;MID(B330,10,1),"x0x1x2x3x4x5x6x7x8x9"))),OR(AND(FIND(".",B330)=5,LEN(B330)-FIND(".",B330,FIND(".",B330)+1)&gt;=1,LEN(B330)-FIND(".",B330,FIND(".",B330)+1)&lt;=2),AND(LEN(B330)-FIND(".",B330,FIND(".",B330)+1)=4,FIND(".",B330)&gt;=2,FIND(".",B330)&lt;=3)),FIND(".",B330,FIND(".",B330)+1)-FIND(".",B330)&gt;=2,FIND(".",B330,FIND(".",B330)+1)-FIND(".",B330)&lt;=3,F330&gt;=2000,F330&lt;=2100,YEAR(I330)=F330,MONTH(I330)=G330,DAY(I330)=H330),I330,0)),0)</ns0:f>
        <ns0:v>0</ns0:v>
      </ns0:c>
      <ns0:c r="K330" s="0">
        <ns0:f>IFERROR(IF(ISNUMBER(Bookings!D330),"",TRIM(Bookings!D330&amp;"")),"")</ns0:f>
      </ns0:c>
      <ns0:c r="L330" s="0">
        <ns0:f>IFERROR(SUBSTITUTE(SUBSTITUTE(K330,"/","."),"-","."),"")</ns0:f>
      </ns0:c>
      <ns0:c r="M330" s="0">
        <ns0:f>IFERROR(LEFT(L330,FIND(".",L330)-1),"")</ns0:f>
      </ns0:c>
      <ns0:c r="N330" s="0">
        <ns0:f>IFERROR(MID(L330,FIND(".",L330)+1,FIND(".",L330,FIND(".",L330)+1)-FIND(".",L330)-1),"")</ns0:f>
      </ns0:c>
      <ns0:c r="O330" s="0">
        <ns0:f>IFERROR(MID(L330,FIND(".",L330,FIND(".",L330)+1)+1,99),"")</ns0:f>
        <ns0:v>99</ns0:v>
      </ns0:c>
      <ns0:c r="P330" s="0">
        <ns0:f>IFERROR(IF(FIND(".",L330)=5,--M330,--O330),0)</ns0:f>
        <ns0:v>0</ns0:v>
      </ns0:c>
      <ns0:c r="Q330" s="0">
        <ns0:f>IFERROR(--N330,0)</ns0:f>
        <ns0:v>0</ns0:v>
      </ns0:c>
      <ns0:c r="R330" s="0">
        <ns0:f>IFERROR(IF(FIND(".",L330)=5,--O330,--M330),0)</ns0:f>
        <ns0:v>0</ns0:v>
      </ns0:c>
      <ns0:c r="S330" s="0">
        <ns0:f>IFERROR(IF(AND(P330&gt;=2000,P330&lt;=2100,Q330&gt;=1,Q330&lt;=12,R330&gt;=1,R330&lt;=31),DATE(P330,Q330,R330),0),0)</ns0:f>
        <ns0:v>0</ns0:v>
      </ns0:c>
      <ns0:c r="T330" s="0">
        <ns0:f>IFERROR(IF(ISNUMBER(Bookings!D330),IF(AND(Bookings!D330=INT(Bookings!D330),Bookings!D330&gt;=DATE(2000,1,1),Bookings!D330&lt;=DATE(2100,12,31)),Bookings!D330,0),IF(AND(K330&lt;&gt;"",LEN("x"&amp;L330)-LEN(SUBSTITUTE("x"&amp;L330,".",""))=2,OR(1&gt;LEN(L330),MID(L330,1,1)=".",ISNUMBER(FIND("x"&amp;MID(L330,1,1),"x0x1x2x3x4x5x6x7x8x9"))),OR(2&gt;LEN(L330),MID(L330,2,1)=".",ISNUMBER(FIND("x"&amp;MID(L330,2,1),"x0x1x2x3x4x5x6x7x8x9"))),OR(3&gt;LEN(L330),MID(L330,3,1)=".",ISNUMBER(FIND("x"&amp;MID(L330,3,1),"x0x1x2x3x4x5x6x7x8x9"))),OR(4&gt;LEN(L330),MID(L330,4,1)=".",ISNUMBER(FIND("x"&amp;MID(L330,4,1),"x0x1x2x3x4x5x6x7x8x9"))),OR(5&gt;LEN(L330),MID(L330,5,1)=".",ISNUMBER(FIND("x"&amp;MID(L330,5,1),"x0x1x2x3x4x5x6x7x8x9"))),OR(6&gt;LEN(L330),MID(L330,6,1)=".",ISNUMBER(FIND("x"&amp;MID(L330,6,1),"x0x1x2x3x4x5x6x7x8x9"))),OR(7&gt;LEN(L330),MID(L330,7,1)=".",ISNUMBER(FIND("x"&amp;MID(L330,7,1),"x0x1x2x3x4x5x6x7x8x9"))),OR(8&gt;LEN(L330),MID(L330,8,1)=".",ISNUMBER(FIND("x"&amp;MID(L330,8,1),"x0x1x2x3x4x5x6x7x8x9"))),OR(9&gt;LEN(L330),MID(L330,9,1)=".",ISNUMBER(FIND("x"&amp;MID(L330,9,1),"x0x1x2x3x4x5x6x7x8x9"))),OR(10&gt;LEN(L330),MID(L330,10,1)=".",ISNUMBER(FIND("x"&amp;MID(L330,10,1),"x0x1x2x3x4x5x6x7x8x9"))),OR(AND(FIND(".",L330)=5,LEN(L330)-FIND(".",L330,FIND(".",L330)+1)&gt;=1,LEN(L330)-FIND(".",L330,FIND(".",L330)+1)&lt;=2),AND(LEN(L330)-FIND(".",L330,FIND(".",L330)+1)=4,FIND(".",L330)&gt;=2,FIND(".",L330)&lt;=3)),FIND(".",L330,FIND(".",L330)+1)-FIND(".",L330)&gt;=2,FIND(".",L330,FIND(".",L330)+1)-FIND(".",L330)&lt;=3,P330&gt;=2000,P330&lt;=2100,YEAR(S330)=P330,MONTH(S330)=Q330,DAY(S330)=R330),S330,0)),0)</ns0:f>
        <ns0:v>0</ns0:v>
      </ns0:c>
      <ns0:c r="U330" s="0" t="str">
        <ns0:f>IF(Bookings!C330="","Full day",Bookings!C330)</ns0:f>
        <ns0:v>Full day</ns0:v>
      </ns0:c>
      <ns0:c r="V330" s="0" t="str">
        <ns0:f>IF(Bookings!E330="","Full day",Bookings!E330)</ns0:f>
        <ns0:v>Full day</ns0:v>
      </ns0:c>
      <ns0:c r="W330" s="0">
        <ns0:f>IF(J330=0,0,J330+IF(U330="PM",1,0))</ns0:f>
        <ns0:v>0</ns0:v>
      </ns0:c>
      <ns0:c r="X330" s="0">
        <ns0:f>IF(T330=0,0,T330-IF(V330="PM",1,0))</ns0:f>
        <ns0:v>0</ns0:v>
      </ns0:c>
      <ns0:c r="Y330" s="0">
        <ns0:f>IF(J330=0,0,J330+IF(U330="AM",1,0))</ns0:f>
        <ns0:v>0</ns0:v>
      </ns0:c>
      <ns0:c r="Z330" s="0">
        <ns0:f>IF(T330=0,0,T330-IF(V330="AM",1,0))</ns0:f>
        <ns0:v>0</ns0:v>
      </ns0:c>
      <ns0:c r="AA330" s="0">
        <ns0:f>IFERROR(IF(AND(J330&gt;0,'_Engine'!C330&gt;0,MID('_Engine'!W330,WEEKDAY(J330,2),1)="W",COUNTIF(Settings!$F$18:$F$67,J330)=0),1,0),0)</ns0:f>
        <ns0:v>0</ns0:v>
      </ns0:c>
      <ns0:c r="AB330" s="0">
        <ns0:f>IFERROR(IF(AND(T330&gt;0,'_Engine'!C330&gt;0,MID('_Engine'!W330,WEEKDAY(T330,2),1)="W",COUNTIF(Settings!$F$18:$F$67,T330)=0),1,0),0)</ns0:f>
        <ns0:v>0</ns0:v>
      </ns0:c>
      <ns0:c r="AC330" s="0">
        <ns0:f>IF(AND(J330&gt;0,T330&gt;0,W330&lt;=X330),1,0)</ns0:f>
        <ns0:v>0</ns0:v>
      </ns0:c>
      <ns0:c r="AD330" s="0">
        <ns0:f>IF(AND(J330&gt;0,T330&gt;0,Y330&lt;=Z330),1,0)</ns0:f>
        <ns0:v>0</ns0:v>
      </ns0:c>
    </ns0:row>
    <ns0:row r="331">
      <ns0:c r="A331" s="0">
        <ns0:f>IFERROR(IF(ISNUMBER(Bookings!B331),"",TRIM(Bookings!B331&amp;"")),"")</ns0:f>
      </ns0:c>
      <ns0:c r="B331" s="0">
        <ns0:f>IFERROR(SUBSTITUTE(SUBSTITUTE(A331,"/","."),"-","."),"")</ns0:f>
      </ns0:c>
      <ns0:c r="C331" s="0">
        <ns0:f>IFERROR(LEFT(B331,FIND(".",B331)-1),"")</ns0:f>
      </ns0:c>
      <ns0:c r="D331" s="0">
        <ns0:f>IFERROR(MID(B331,FIND(".",B331)+1,FIND(".",B331,FIND(".",B331)+1)-FIND(".",B331)-1),"")</ns0:f>
      </ns0:c>
      <ns0:c r="E331" s="0">
        <ns0:f>IFERROR(MID(B331,FIND(".",B331,FIND(".",B331)+1)+1,99),"")</ns0:f>
        <ns0:v>99</ns0:v>
      </ns0:c>
      <ns0:c r="F331" s="0">
        <ns0:f>IFERROR(IF(FIND(".",B331)=5,--C331,--E331),0)</ns0:f>
        <ns0:v>0</ns0:v>
      </ns0:c>
      <ns0:c r="G331" s="0">
        <ns0:f>IFERROR(--D331,0)</ns0:f>
        <ns0:v>0</ns0:v>
      </ns0:c>
      <ns0:c r="H331" s="0">
        <ns0:f>IFERROR(IF(FIND(".",B331)=5,--E331,--C331),0)</ns0:f>
        <ns0:v>0</ns0:v>
      </ns0:c>
      <ns0:c r="I331" s="0">
        <ns0:f>IFERROR(IF(AND(F331&gt;=2000,F331&lt;=2100,G331&gt;=1,G331&lt;=12,H331&gt;=1,H331&lt;=31),DATE(F331,G331,H331),0),0)</ns0:f>
        <ns0:v>0</ns0:v>
      </ns0:c>
      <ns0:c r="J331" s="0">
        <ns0:f>IFERROR(IF(ISNUMBER(Bookings!B331),IF(AND(Bookings!B331=INT(Bookings!B331),Bookings!B331&gt;=DATE(2000,1,1),Bookings!B331&lt;=DATE(2100,12,31)),Bookings!B331,0),IF(AND(A331&lt;&gt;"",LEN("x"&amp;B331)-LEN(SUBSTITUTE("x"&amp;B331,".",""))=2,OR(1&gt;LEN(B331),MID(B331,1,1)=".",ISNUMBER(FIND("x"&amp;MID(B331,1,1),"x0x1x2x3x4x5x6x7x8x9"))),OR(2&gt;LEN(B331),MID(B331,2,1)=".",ISNUMBER(FIND("x"&amp;MID(B331,2,1),"x0x1x2x3x4x5x6x7x8x9"))),OR(3&gt;LEN(B331),MID(B331,3,1)=".",ISNUMBER(FIND("x"&amp;MID(B331,3,1),"x0x1x2x3x4x5x6x7x8x9"))),OR(4&gt;LEN(B331),MID(B331,4,1)=".",ISNUMBER(FIND("x"&amp;MID(B331,4,1),"x0x1x2x3x4x5x6x7x8x9"))),OR(5&gt;LEN(B331),MID(B331,5,1)=".",ISNUMBER(FIND("x"&amp;MID(B331,5,1),"x0x1x2x3x4x5x6x7x8x9"))),OR(6&gt;LEN(B331),MID(B331,6,1)=".",ISNUMBER(FIND("x"&amp;MID(B331,6,1),"x0x1x2x3x4x5x6x7x8x9"))),OR(7&gt;LEN(B331),MID(B331,7,1)=".",ISNUMBER(FIND("x"&amp;MID(B331,7,1),"x0x1x2x3x4x5x6x7x8x9"))),OR(8&gt;LEN(B331),MID(B331,8,1)=".",ISNUMBER(FIND("x"&amp;MID(B331,8,1),"x0x1x2x3x4x5x6x7x8x9"))),OR(9&gt;LEN(B331),MID(B331,9,1)=".",ISNUMBER(FIND("x"&amp;MID(B331,9,1),"x0x1x2x3x4x5x6x7x8x9"))),OR(10&gt;LEN(B331),MID(B331,10,1)=".",ISNUMBER(FIND("x"&amp;MID(B331,10,1),"x0x1x2x3x4x5x6x7x8x9"))),OR(AND(FIND(".",B331)=5,LEN(B331)-FIND(".",B331,FIND(".",B331)+1)&gt;=1,LEN(B331)-FIND(".",B331,FIND(".",B331)+1)&lt;=2),AND(LEN(B331)-FIND(".",B331,FIND(".",B331)+1)=4,FIND(".",B331)&gt;=2,FIND(".",B331)&lt;=3)),FIND(".",B331,FIND(".",B331)+1)-FIND(".",B331)&gt;=2,FIND(".",B331,FIND(".",B331)+1)-FIND(".",B331)&lt;=3,F331&gt;=2000,F331&lt;=2100,YEAR(I331)=F331,MONTH(I331)=G331,DAY(I331)=H331),I331,0)),0)</ns0:f>
        <ns0:v>0</ns0:v>
      </ns0:c>
      <ns0:c r="K331" s="0">
        <ns0:f>IFERROR(IF(ISNUMBER(Bookings!D331),"",TRIM(Bookings!D331&amp;"")),"")</ns0:f>
      </ns0:c>
      <ns0:c r="L331" s="0">
        <ns0:f>IFERROR(SUBSTITUTE(SUBSTITUTE(K331,"/","."),"-","."),"")</ns0:f>
      </ns0:c>
      <ns0:c r="M331" s="0">
        <ns0:f>IFERROR(LEFT(L331,FIND(".",L331)-1),"")</ns0:f>
      </ns0:c>
      <ns0:c r="N331" s="0">
        <ns0:f>IFERROR(MID(L331,FIND(".",L331)+1,FIND(".",L331,FIND(".",L331)+1)-FIND(".",L331)-1),"")</ns0:f>
      </ns0:c>
      <ns0:c r="O331" s="0">
        <ns0:f>IFERROR(MID(L331,FIND(".",L331,FIND(".",L331)+1)+1,99),"")</ns0:f>
        <ns0:v>99</ns0:v>
      </ns0:c>
      <ns0:c r="P331" s="0">
        <ns0:f>IFERROR(IF(FIND(".",L331)=5,--M331,--O331),0)</ns0:f>
        <ns0:v>0</ns0:v>
      </ns0:c>
      <ns0:c r="Q331" s="0">
        <ns0:f>IFERROR(--N331,0)</ns0:f>
        <ns0:v>0</ns0:v>
      </ns0:c>
      <ns0:c r="R331" s="0">
        <ns0:f>IFERROR(IF(FIND(".",L331)=5,--O331,--M331),0)</ns0:f>
        <ns0:v>0</ns0:v>
      </ns0:c>
      <ns0:c r="S331" s="0">
        <ns0:f>IFERROR(IF(AND(P331&gt;=2000,P331&lt;=2100,Q331&gt;=1,Q331&lt;=12,R331&gt;=1,R331&lt;=31),DATE(P331,Q331,R331),0),0)</ns0:f>
        <ns0:v>0</ns0:v>
      </ns0:c>
      <ns0:c r="T331" s="0">
        <ns0:f>IFERROR(IF(ISNUMBER(Bookings!D331),IF(AND(Bookings!D331=INT(Bookings!D331),Bookings!D331&gt;=DATE(2000,1,1),Bookings!D331&lt;=DATE(2100,12,31)),Bookings!D331,0),IF(AND(K331&lt;&gt;"",LEN("x"&amp;L331)-LEN(SUBSTITUTE("x"&amp;L331,".",""))=2,OR(1&gt;LEN(L331),MID(L331,1,1)=".",ISNUMBER(FIND("x"&amp;MID(L331,1,1),"x0x1x2x3x4x5x6x7x8x9"))),OR(2&gt;LEN(L331),MID(L331,2,1)=".",ISNUMBER(FIND("x"&amp;MID(L331,2,1),"x0x1x2x3x4x5x6x7x8x9"))),OR(3&gt;LEN(L331),MID(L331,3,1)=".",ISNUMBER(FIND("x"&amp;MID(L331,3,1),"x0x1x2x3x4x5x6x7x8x9"))),OR(4&gt;LEN(L331),MID(L331,4,1)=".",ISNUMBER(FIND("x"&amp;MID(L331,4,1),"x0x1x2x3x4x5x6x7x8x9"))),OR(5&gt;LEN(L331),MID(L331,5,1)=".",ISNUMBER(FIND("x"&amp;MID(L331,5,1),"x0x1x2x3x4x5x6x7x8x9"))),OR(6&gt;LEN(L331),MID(L331,6,1)=".",ISNUMBER(FIND("x"&amp;MID(L331,6,1),"x0x1x2x3x4x5x6x7x8x9"))),OR(7&gt;LEN(L331),MID(L331,7,1)=".",ISNUMBER(FIND("x"&amp;MID(L331,7,1),"x0x1x2x3x4x5x6x7x8x9"))),OR(8&gt;LEN(L331),MID(L331,8,1)=".",ISNUMBER(FIND("x"&amp;MID(L331,8,1),"x0x1x2x3x4x5x6x7x8x9"))),OR(9&gt;LEN(L331),MID(L331,9,1)=".",ISNUMBER(FIND("x"&amp;MID(L331,9,1),"x0x1x2x3x4x5x6x7x8x9"))),OR(10&gt;LEN(L331),MID(L331,10,1)=".",ISNUMBER(FIND("x"&amp;MID(L331,10,1),"x0x1x2x3x4x5x6x7x8x9"))),OR(AND(FIND(".",L331)=5,LEN(L331)-FIND(".",L331,FIND(".",L331)+1)&gt;=1,LEN(L331)-FIND(".",L331,FIND(".",L331)+1)&lt;=2),AND(LEN(L331)-FIND(".",L331,FIND(".",L331)+1)=4,FIND(".",L331)&gt;=2,FIND(".",L331)&lt;=3)),FIND(".",L331,FIND(".",L331)+1)-FIND(".",L331)&gt;=2,FIND(".",L331,FIND(".",L331)+1)-FIND(".",L331)&lt;=3,P331&gt;=2000,P331&lt;=2100,YEAR(S331)=P331,MONTH(S331)=Q331,DAY(S331)=R331),S331,0)),0)</ns0:f>
        <ns0:v>0</ns0:v>
      </ns0:c>
      <ns0:c r="U331" s="0" t="str">
        <ns0:f>IF(Bookings!C331="","Full day",Bookings!C331)</ns0:f>
        <ns0:v>Full day</ns0:v>
      </ns0:c>
      <ns0:c r="V331" s="0" t="str">
        <ns0:f>IF(Bookings!E331="","Full day",Bookings!E331)</ns0:f>
        <ns0:v>Full day</ns0:v>
      </ns0:c>
      <ns0:c r="W331" s="0">
        <ns0:f>IF(J331=0,0,J331+IF(U331="PM",1,0))</ns0:f>
        <ns0:v>0</ns0:v>
      </ns0:c>
      <ns0:c r="X331" s="0">
        <ns0:f>IF(T331=0,0,T331-IF(V331="PM",1,0))</ns0:f>
        <ns0:v>0</ns0:v>
      </ns0:c>
      <ns0:c r="Y331" s="0">
        <ns0:f>IF(J331=0,0,J331+IF(U331="AM",1,0))</ns0:f>
        <ns0:v>0</ns0:v>
      </ns0:c>
      <ns0:c r="Z331" s="0">
        <ns0:f>IF(T331=0,0,T331-IF(V331="AM",1,0))</ns0:f>
        <ns0:v>0</ns0:v>
      </ns0:c>
      <ns0:c r="AA331" s="0">
        <ns0:f>IFERROR(IF(AND(J331&gt;0,'_Engine'!C331&gt;0,MID('_Engine'!W331,WEEKDAY(J331,2),1)="W",COUNTIF(Settings!$F$18:$F$67,J331)=0),1,0),0)</ns0:f>
        <ns0:v>0</ns0:v>
      </ns0:c>
      <ns0:c r="AB331" s="0">
        <ns0:f>IFERROR(IF(AND(T331&gt;0,'_Engine'!C331&gt;0,MID('_Engine'!W331,WEEKDAY(T331,2),1)="W",COUNTIF(Settings!$F$18:$F$67,T331)=0),1,0),0)</ns0:f>
        <ns0:v>0</ns0:v>
      </ns0:c>
      <ns0:c r="AC331" s="0">
        <ns0:f>IF(AND(J331&gt;0,T331&gt;0,W331&lt;=X331),1,0)</ns0:f>
        <ns0:v>0</ns0:v>
      </ns0:c>
      <ns0:c r="AD331" s="0">
        <ns0:f>IF(AND(J331&gt;0,T331&gt;0,Y331&lt;=Z331),1,0)</ns0:f>
        <ns0:v>0</ns0:v>
      </ns0:c>
    </ns0:row>
    <ns0:row r="332">
      <ns0:c r="A332" s="0">
        <ns0:f>IFERROR(IF(ISNUMBER(Bookings!B332),"",TRIM(Bookings!B332&amp;"")),"")</ns0:f>
      </ns0:c>
      <ns0:c r="B332" s="0">
        <ns0:f>IFERROR(SUBSTITUTE(SUBSTITUTE(A332,"/","."),"-","."),"")</ns0:f>
      </ns0:c>
      <ns0:c r="C332" s="0">
        <ns0:f>IFERROR(LEFT(B332,FIND(".",B332)-1),"")</ns0:f>
      </ns0:c>
      <ns0:c r="D332" s="0">
        <ns0:f>IFERROR(MID(B332,FIND(".",B332)+1,FIND(".",B332,FIND(".",B332)+1)-FIND(".",B332)-1),"")</ns0:f>
      </ns0:c>
      <ns0:c r="E332" s="0">
        <ns0:f>IFERROR(MID(B332,FIND(".",B332,FIND(".",B332)+1)+1,99),"")</ns0:f>
        <ns0:v>99</ns0:v>
      </ns0:c>
      <ns0:c r="F332" s="0">
        <ns0:f>IFERROR(IF(FIND(".",B332)=5,--C332,--E332),0)</ns0:f>
        <ns0:v>0</ns0:v>
      </ns0:c>
      <ns0:c r="G332" s="0">
        <ns0:f>IFERROR(--D332,0)</ns0:f>
        <ns0:v>0</ns0:v>
      </ns0:c>
      <ns0:c r="H332" s="0">
        <ns0:f>IFERROR(IF(FIND(".",B332)=5,--E332,--C332),0)</ns0:f>
        <ns0:v>0</ns0:v>
      </ns0:c>
      <ns0:c r="I332" s="0">
        <ns0:f>IFERROR(IF(AND(F332&gt;=2000,F332&lt;=2100,G332&gt;=1,G332&lt;=12,H332&gt;=1,H332&lt;=31),DATE(F332,G332,H332),0),0)</ns0:f>
        <ns0:v>0</ns0:v>
      </ns0:c>
      <ns0:c r="J332" s="0">
        <ns0:f>IFERROR(IF(ISNUMBER(Bookings!B332),IF(AND(Bookings!B332=INT(Bookings!B332),Bookings!B332&gt;=DATE(2000,1,1),Bookings!B332&lt;=DATE(2100,12,31)),Bookings!B332,0),IF(AND(A332&lt;&gt;"",LEN("x"&amp;B332)-LEN(SUBSTITUTE("x"&amp;B332,".",""))=2,OR(1&gt;LEN(B332),MID(B332,1,1)=".",ISNUMBER(FIND("x"&amp;MID(B332,1,1),"x0x1x2x3x4x5x6x7x8x9"))),OR(2&gt;LEN(B332),MID(B332,2,1)=".",ISNUMBER(FIND("x"&amp;MID(B332,2,1),"x0x1x2x3x4x5x6x7x8x9"))),OR(3&gt;LEN(B332),MID(B332,3,1)=".",ISNUMBER(FIND("x"&amp;MID(B332,3,1),"x0x1x2x3x4x5x6x7x8x9"))),OR(4&gt;LEN(B332),MID(B332,4,1)=".",ISNUMBER(FIND("x"&amp;MID(B332,4,1),"x0x1x2x3x4x5x6x7x8x9"))),OR(5&gt;LEN(B332),MID(B332,5,1)=".",ISNUMBER(FIND("x"&amp;MID(B332,5,1),"x0x1x2x3x4x5x6x7x8x9"))),OR(6&gt;LEN(B332),MID(B332,6,1)=".",ISNUMBER(FIND("x"&amp;MID(B332,6,1),"x0x1x2x3x4x5x6x7x8x9"))),OR(7&gt;LEN(B332),MID(B332,7,1)=".",ISNUMBER(FIND("x"&amp;MID(B332,7,1),"x0x1x2x3x4x5x6x7x8x9"))),OR(8&gt;LEN(B332),MID(B332,8,1)=".",ISNUMBER(FIND("x"&amp;MID(B332,8,1),"x0x1x2x3x4x5x6x7x8x9"))),OR(9&gt;LEN(B332),MID(B332,9,1)=".",ISNUMBER(FIND("x"&amp;MID(B332,9,1),"x0x1x2x3x4x5x6x7x8x9"))),OR(10&gt;LEN(B332),MID(B332,10,1)=".",ISNUMBER(FIND("x"&amp;MID(B332,10,1),"x0x1x2x3x4x5x6x7x8x9"))),OR(AND(FIND(".",B332)=5,LEN(B332)-FIND(".",B332,FIND(".",B332)+1)&gt;=1,LEN(B332)-FIND(".",B332,FIND(".",B332)+1)&lt;=2),AND(LEN(B332)-FIND(".",B332,FIND(".",B332)+1)=4,FIND(".",B332)&gt;=2,FIND(".",B332)&lt;=3)),FIND(".",B332,FIND(".",B332)+1)-FIND(".",B332)&gt;=2,FIND(".",B332,FIND(".",B332)+1)-FIND(".",B332)&lt;=3,F332&gt;=2000,F332&lt;=2100,YEAR(I332)=F332,MONTH(I332)=G332,DAY(I332)=H332),I332,0)),0)</ns0:f>
        <ns0:v>0</ns0:v>
      </ns0:c>
      <ns0:c r="K332" s="0">
        <ns0:f>IFERROR(IF(ISNUMBER(Bookings!D332),"",TRIM(Bookings!D332&amp;"")),"")</ns0:f>
      </ns0:c>
      <ns0:c r="L332" s="0">
        <ns0:f>IFERROR(SUBSTITUTE(SUBSTITUTE(K332,"/","."),"-","."),"")</ns0:f>
      </ns0:c>
      <ns0:c r="M332" s="0">
        <ns0:f>IFERROR(LEFT(L332,FIND(".",L332)-1),"")</ns0:f>
      </ns0:c>
      <ns0:c r="N332" s="0">
        <ns0:f>IFERROR(MID(L332,FIND(".",L332)+1,FIND(".",L332,FIND(".",L332)+1)-FIND(".",L332)-1),"")</ns0:f>
      </ns0:c>
      <ns0:c r="O332" s="0">
        <ns0:f>IFERROR(MID(L332,FIND(".",L332,FIND(".",L332)+1)+1,99),"")</ns0:f>
        <ns0:v>99</ns0:v>
      </ns0:c>
      <ns0:c r="P332" s="0">
        <ns0:f>IFERROR(IF(FIND(".",L332)=5,--M332,--O332),0)</ns0:f>
        <ns0:v>0</ns0:v>
      </ns0:c>
      <ns0:c r="Q332" s="0">
        <ns0:f>IFERROR(--N332,0)</ns0:f>
        <ns0:v>0</ns0:v>
      </ns0:c>
      <ns0:c r="R332" s="0">
        <ns0:f>IFERROR(IF(FIND(".",L332)=5,--O332,--M332),0)</ns0:f>
        <ns0:v>0</ns0:v>
      </ns0:c>
      <ns0:c r="S332" s="0">
        <ns0:f>IFERROR(IF(AND(P332&gt;=2000,P332&lt;=2100,Q332&gt;=1,Q332&lt;=12,R332&gt;=1,R332&lt;=31),DATE(P332,Q332,R332),0),0)</ns0:f>
        <ns0:v>0</ns0:v>
      </ns0:c>
      <ns0:c r="T332" s="0">
        <ns0:f>IFERROR(IF(ISNUMBER(Bookings!D332),IF(AND(Bookings!D332=INT(Bookings!D332),Bookings!D332&gt;=DATE(2000,1,1),Bookings!D332&lt;=DATE(2100,12,31)),Bookings!D332,0),IF(AND(K332&lt;&gt;"",LEN("x"&amp;L332)-LEN(SUBSTITUTE("x"&amp;L332,".",""))=2,OR(1&gt;LEN(L332),MID(L332,1,1)=".",ISNUMBER(FIND("x"&amp;MID(L332,1,1),"x0x1x2x3x4x5x6x7x8x9"))),OR(2&gt;LEN(L332),MID(L332,2,1)=".",ISNUMBER(FIND("x"&amp;MID(L332,2,1),"x0x1x2x3x4x5x6x7x8x9"))),OR(3&gt;LEN(L332),MID(L332,3,1)=".",ISNUMBER(FIND("x"&amp;MID(L332,3,1),"x0x1x2x3x4x5x6x7x8x9"))),OR(4&gt;LEN(L332),MID(L332,4,1)=".",ISNUMBER(FIND("x"&amp;MID(L332,4,1),"x0x1x2x3x4x5x6x7x8x9"))),OR(5&gt;LEN(L332),MID(L332,5,1)=".",ISNUMBER(FIND("x"&amp;MID(L332,5,1),"x0x1x2x3x4x5x6x7x8x9"))),OR(6&gt;LEN(L332),MID(L332,6,1)=".",ISNUMBER(FIND("x"&amp;MID(L332,6,1),"x0x1x2x3x4x5x6x7x8x9"))),OR(7&gt;LEN(L332),MID(L332,7,1)=".",ISNUMBER(FIND("x"&amp;MID(L332,7,1),"x0x1x2x3x4x5x6x7x8x9"))),OR(8&gt;LEN(L332),MID(L332,8,1)=".",ISNUMBER(FIND("x"&amp;MID(L332,8,1),"x0x1x2x3x4x5x6x7x8x9"))),OR(9&gt;LEN(L332),MID(L332,9,1)=".",ISNUMBER(FIND("x"&amp;MID(L332,9,1),"x0x1x2x3x4x5x6x7x8x9"))),OR(10&gt;LEN(L332),MID(L332,10,1)=".",ISNUMBER(FIND("x"&amp;MID(L332,10,1),"x0x1x2x3x4x5x6x7x8x9"))),OR(AND(FIND(".",L332)=5,LEN(L332)-FIND(".",L332,FIND(".",L332)+1)&gt;=1,LEN(L332)-FIND(".",L332,FIND(".",L332)+1)&lt;=2),AND(LEN(L332)-FIND(".",L332,FIND(".",L332)+1)=4,FIND(".",L332)&gt;=2,FIND(".",L332)&lt;=3)),FIND(".",L332,FIND(".",L332)+1)-FIND(".",L332)&gt;=2,FIND(".",L332,FIND(".",L332)+1)-FIND(".",L332)&lt;=3,P332&gt;=2000,P332&lt;=2100,YEAR(S332)=P332,MONTH(S332)=Q332,DAY(S332)=R332),S332,0)),0)</ns0:f>
        <ns0:v>0</ns0:v>
      </ns0:c>
      <ns0:c r="U332" s="0" t="str">
        <ns0:f>IF(Bookings!C332="","Full day",Bookings!C332)</ns0:f>
        <ns0:v>Full day</ns0:v>
      </ns0:c>
      <ns0:c r="V332" s="0" t="str">
        <ns0:f>IF(Bookings!E332="","Full day",Bookings!E332)</ns0:f>
        <ns0:v>Full day</ns0:v>
      </ns0:c>
      <ns0:c r="W332" s="0">
        <ns0:f>IF(J332=0,0,J332+IF(U332="PM",1,0))</ns0:f>
        <ns0:v>0</ns0:v>
      </ns0:c>
      <ns0:c r="X332" s="0">
        <ns0:f>IF(T332=0,0,T332-IF(V332="PM",1,0))</ns0:f>
        <ns0:v>0</ns0:v>
      </ns0:c>
      <ns0:c r="Y332" s="0">
        <ns0:f>IF(J332=0,0,J332+IF(U332="AM",1,0))</ns0:f>
        <ns0:v>0</ns0:v>
      </ns0:c>
      <ns0:c r="Z332" s="0">
        <ns0:f>IF(T332=0,0,T332-IF(V332="AM",1,0))</ns0:f>
        <ns0:v>0</ns0:v>
      </ns0:c>
      <ns0:c r="AA332" s="0">
        <ns0:f>IFERROR(IF(AND(J332&gt;0,'_Engine'!C332&gt;0,MID('_Engine'!W332,WEEKDAY(J332,2),1)="W",COUNTIF(Settings!$F$18:$F$67,J332)=0),1,0),0)</ns0:f>
        <ns0:v>0</ns0:v>
      </ns0:c>
      <ns0:c r="AB332" s="0">
        <ns0:f>IFERROR(IF(AND(T332&gt;0,'_Engine'!C332&gt;0,MID('_Engine'!W332,WEEKDAY(T332,2),1)="W",COUNTIF(Settings!$F$18:$F$67,T332)=0),1,0),0)</ns0:f>
        <ns0:v>0</ns0:v>
      </ns0:c>
      <ns0:c r="AC332" s="0">
        <ns0:f>IF(AND(J332&gt;0,T332&gt;0,W332&lt;=X332),1,0)</ns0:f>
        <ns0:v>0</ns0:v>
      </ns0:c>
      <ns0:c r="AD332" s="0">
        <ns0:f>IF(AND(J332&gt;0,T332&gt;0,Y332&lt;=Z332),1,0)</ns0:f>
        <ns0:v>0</ns0:v>
      </ns0:c>
    </ns0:row>
    <ns0:row r="333">
      <ns0:c r="A333" s="0">
        <ns0:f>IFERROR(IF(ISNUMBER(Bookings!B333),"",TRIM(Bookings!B333&amp;"")),"")</ns0:f>
      </ns0:c>
      <ns0:c r="B333" s="0">
        <ns0:f>IFERROR(SUBSTITUTE(SUBSTITUTE(A333,"/","."),"-","."),"")</ns0:f>
      </ns0:c>
      <ns0:c r="C333" s="0">
        <ns0:f>IFERROR(LEFT(B333,FIND(".",B333)-1),"")</ns0:f>
      </ns0:c>
      <ns0:c r="D333" s="0">
        <ns0:f>IFERROR(MID(B333,FIND(".",B333)+1,FIND(".",B333,FIND(".",B333)+1)-FIND(".",B333)-1),"")</ns0:f>
      </ns0:c>
      <ns0:c r="E333" s="0">
        <ns0:f>IFERROR(MID(B333,FIND(".",B333,FIND(".",B333)+1)+1,99),"")</ns0:f>
        <ns0:v>99</ns0:v>
      </ns0:c>
      <ns0:c r="F333" s="0">
        <ns0:f>IFERROR(IF(FIND(".",B333)=5,--C333,--E333),0)</ns0:f>
        <ns0:v>0</ns0:v>
      </ns0:c>
      <ns0:c r="G333" s="0">
        <ns0:f>IFERROR(--D333,0)</ns0:f>
        <ns0:v>0</ns0:v>
      </ns0:c>
      <ns0:c r="H333" s="0">
        <ns0:f>IFERROR(IF(FIND(".",B333)=5,--E333,--C333),0)</ns0:f>
        <ns0:v>0</ns0:v>
      </ns0:c>
      <ns0:c r="I333" s="0">
        <ns0:f>IFERROR(IF(AND(F333&gt;=2000,F333&lt;=2100,G333&gt;=1,G333&lt;=12,H333&gt;=1,H333&lt;=31),DATE(F333,G333,H333),0),0)</ns0:f>
        <ns0:v>0</ns0:v>
      </ns0:c>
      <ns0:c r="J333" s="0">
        <ns0:f>IFERROR(IF(ISNUMBER(Bookings!B333),IF(AND(Bookings!B333=INT(Bookings!B333),Bookings!B333&gt;=DATE(2000,1,1),Bookings!B333&lt;=DATE(2100,12,31)),Bookings!B333,0),IF(AND(A333&lt;&gt;"",LEN("x"&amp;B333)-LEN(SUBSTITUTE("x"&amp;B333,".",""))=2,OR(1&gt;LEN(B333),MID(B333,1,1)=".",ISNUMBER(FIND("x"&amp;MID(B333,1,1),"x0x1x2x3x4x5x6x7x8x9"))),OR(2&gt;LEN(B333),MID(B333,2,1)=".",ISNUMBER(FIND("x"&amp;MID(B333,2,1),"x0x1x2x3x4x5x6x7x8x9"))),OR(3&gt;LEN(B333),MID(B333,3,1)=".",ISNUMBER(FIND("x"&amp;MID(B333,3,1),"x0x1x2x3x4x5x6x7x8x9"))),OR(4&gt;LEN(B333),MID(B333,4,1)=".",ISNUMBER(FIND("x"&amp;MID(B333,4,1),"x0x1x2x3x4x5x6x7x8x9"))),OR(5&gt;LEN(B333),MID(B333,5,1)=".",ISNUMBER(FIND("x"&amp;MID(B333,5,1),"x0x1x2x3x4x5x6x7x8x9"))),OR(6&gt;LEN(B333),MID(B333,6,1)=".",ISNUMBER(FIND("x"&amp;MID(B333,6,1),"x0x1x2x3x4x5x6x7x8x9"))),OR(7&gt;LEN(B333),MID(B333,7,1)=".",ISNUMBER(FIND("x"&amp;MID(B333,7,1),"x0x1x2x3x4x5x6x7x8x9"))),OR(8&gt;LEN(B333),MID(B333,8,1)=".",ISNUMBER(FIND("x"&amp;MID(B333,8,1),"x0x1x2x3x4x5x6x7x8x9"))),OR(9&gt;LEN(B333),MID(B333,9,1)=".",ISNUMBER(FIND("x"&amp;MID(B333,9,1),"x0x1x2x3x4x5x6x7x8x9"))),OR(10&gt;LEN(B333),MID(B333,10,1)=".",ISNUMBER(FIND("x"&amp;MID(B333,10,1),"x0x1x2x3x4x5x6x7x8x9"))),OR(AND(FIND(".",B333)=5,LEN(B333)-FIND(".",B333,FIND(".",B333)+1)&gt;=1,LEN(B333)-FIND(".",B333,FIND(".",B333)+1)&lt;=2),AND(LEN(B333)-FIND(".",B333,FIND(".",B333)+1)=4,FIND(".",B333)&gt;=2,FIND(".",B333)&lt;=3)),FIND(".",B333,FIND(".",B333)+1)-FIND(".",B333)&gt;=2,FIND(".",B333,FIND(".",B333)+1)-FIND(".",B333)&lt;=3,F333&gt;=2000,F333&lt;=2100,YEAR(I333)=F333,MONTH(I333)=G333,DAY(I333)=H333),I333,0)),0)</ns0:f>
        <ns0:v>0</ns0:v>
      </ns0:c>
      <ns0:c r="K333" s="0">
        <ns0:f>IFERROR(IF(ISNUMBER(Bookings!D333),"",TRIM(Bookings!D333&amp;"")),"")</ns0:f>
      </ns0:c>
      <ns0:c r="L333" s="0">
        <ns0:f>IFERROR(SUBSTITUTE(SUBSTITUTE(K333,"/","."),"-","."),"")</ns0:f>
      </ns0:c>
      <ns0:c r="M333" s="0">
        <ns0:f>IFERROR(LEFT(L333,FIND(".",L333)-1),"")</ns0:f>
      </ns0:c>
      <ns0:c r="N333" s="0">
        <ns0:f>IFERROR(MID(L333,FIND(".",L333)+1,FIND(".",L333,FIND(".",L333)+1)-FIND(".",L333)-1),"")</ns0:f>
      </ns0:c>
      <ns0:c r="O333" s="0">
        <ns0:f>IFERROR(MID(L333,FIND(".",L333,FIND(".",L333)+1)+1,99),"")</ns0:f>
        <ns0:v>99</ns0:v>
      </ns0:c>
      <ns0:c r="P333" s="0">
        <ns0:f>IFERROR(IF(FIND(".",L333)=5,--M333,--O333),0)</ns0:f>
        <ns0:v>0</ns0:v>
      </ns0:c>
      <ns0:c r="Q333" s="0">
        <ns0:f>IFERROR(--N333,0)</ns0:f>
        <ns0:v>0</ns0:v>
      </ns0:c>
      <ns0:c r="R333" s="0">
        <ns0:f>IFERROR(IF(FIND(".",L333)=5,--O333,--M333),0)</ns0:f>
        <ns0:v>0</ns0:v>
      </ns0:c>
      <ns0:c r="S333" s="0">
        <ns0:f>IFERROR(IF(AND(P333&gt;=2000,P333&lt;=2100,Q333&gt;=1,Q333&lt;=12,R333&gt;=1,R333&lt;=31),DATE(P333,Q333,R333),0),0)</ns0:f>
        <ns0:v>0</ns0:v>
      </ns0:c>
      <ns0:c r="T333" s="0">
        <ns0:f>IFERROR(IF(ISNUMBER(Bookings!D333),IF(AND(Bookings!D333=INT(Bookings!D333),Bookings!D333&gt;=DATE(2000,1,1),Bookings!D333&lt;=DATE(2100,12,31)),Bookings!D333,0),IF(AND(K333&lt;&gt;"",LEN("x"&amp;L333)-LEN(SUBSTITUTE("x"&amp;L333,".",""))=2,OR(1&gt;LEN(L333),MID(L333,1,1)=".",ISNUMBER(FIND("x"&amp;MID(L333,1,1),"x0x1x2x3x4x5x6x7x8x9"))),OR(2&gt;LEN(L333),MID(L333,2,1)=".",ISNUMBER(FIND("x"&amp;MID(L333,2,1),"x0x1x2x3x4x5x6x7x8x9"))),OR(3&gt;LEN(L333),MID(L333,3,1)=".",ISNUMBER(FIND("x"&amp;MID(L333,3,1),"x0x1x2x3x4x5x6x7x8x9"))),OR(4&gt;LEN(L333),MID(L333,4,1)=".",ISNUMBER(FIND("x"&amp;MID(L333,4,1),"x0x1x2x3x4x5x6x7x8x9"))),OR(5&gt;LEN(L333),MID(L333,5,1)=".",ISNUMBER(FIND("x"&amp;MID(L333,5,1),"x0x1x2x3x4x5x6x7x8x9"))),OR(6&gt;LEN(L333),MID(L333,6,1)=".",ISNUMBER(FIND("x"&amp;MID(L333,6,1),"x0x1x2x3x4x5x6x7x8x9"))),OR(7&gt;LEN(L333),MID(L333,7,1)=".",ISNUMBER(FIND("x"&amp;MID(L333,7,1),"x0x1x2x3x4x5x6x7x8x9"))),OR(8&gt;LEN(L333),MID(L333,8,1)=".",ISNUMBER(FIND("x"&amp;MID(L333,8,1),"x0x1x2x3x4x5x6x7x8x9"))),OR(9&gt;LEN(L333),MID(L333,9,1)=".",ISNUMBER(FIND("x"&amp;MID(L333,9,1),"x0x1x2x3x4x5x6x7x8x9"))),OR(10&gt;LEN(L333),MID(L333,10,1)=".",ISNUMBER(FIND("x"&amp;MID(L333,10,1),"x0x1x2x3x4x5x6x7x8x9"))),OR(AND(FIND(".",L333)=5,LEN(L333)-FIND(".",L333,FIND(".",L333)+1)&gt;=1,LEN(L333)-FIND(".",L333,FIND(".",L333)+1)&lt;=2),AND(LEN(L333)-FIND(".",L333,FIND(".",L333)+1)=4,FIND(".",L333)&gt;=2,FIND(".",L333)&lt;=3)),FIND(".",L333,FIND(".",L333)+1)-FIND(".",L333)&gt;=2,FIND(".",L333,FIND(".",L333)+1)-FIND(".",L333)&lt;=3,P333&gt;=2000,P333&lt;=2100,YEAR(S333)=P333,MONTH(S333)=Q333,DAY(S333)=R333),S333,0)),0)</ns0:f>
        <ns0:v>0</ns0:v>
      </ns0:c>
      <ns0:c r="U333" s="0" t="str">
        <ns0:f>IF(Bookings!C333="","Full day",Bookings!C333)</ns0:f>
        <ns0:v>Full day</ns0:v>
      </ns0:c>
      <ns0:c r="V333" s="0" t="str">
        <ns0:f>IF(Bookings!E333="","Full day",Bookings!E333)</ns0:f>
        <ns0:v>Full day</ns0:v>
      </ns0:c>
      <ns0:c r="W333" s="0">
        <ns0:f>IF(J333=0,0,J333+IF(U333="PM",1,0))</ns0:f>
        <ns0:v>0</ns0:v>
      </ns0:c>
      <ns0:c r="X333" s="0">
        <ns0:f>IF(T333=0,0,T333-IF(V333="PM",1,0))</ns0:f>
        <ns0:v>0</ns0:v>
      </ns0:c>
      <ns0:c r="Y333" s="0">
        <ns0:f>IF(J333=0,0,J333+IF(U333="AM",1,0))</ns0:f>
        <ns0:v>0</ns0:v>
      </ns0:c>
      <ns0:c r="Z333" s="0">
        <ns0:f>IF(T333=0,0,T333-IF(V333="AM",1,0))</ns0:f>
        <ns0:v>0</ns0:v>
      </ns0:c>
      <ns0:c r="AA333" s="0">
        <ns0:f>IFERROR(IF(AND(J333&gt;0,'_Engine'!C333&gt;0,MID('_Engine'!W333,WEEKDAY(J333,2),1)="W",COUNTIF(Settings!$F$18:$F$67,J333)=0),1,0),0)</ns0:f>
        <ns0:v>0</ns0:v>
      </ns0:c>
      <ns0:c r="AB333" s="0">
        <ns0:f>IFERROR(IF(AND(T333&gt;0,'_Engine'!C333&gt;0,MID('_Engine'!W333,WEEKDAY(T333,2),1)="W",COUNTIF(Settings!$F$18:$F$67,T333)=0),1,0),0)</ns0:f>
        <ns0:v>0</ns0:v>
      </ns0:c>
      <ns0:c r="AC333" s="0">
        <ns0:f>IF(AND(J333&gt;0,T333&gt;0,W333&lt;=X333),1,0)</ns0:f>
        <ns0:v>0</ns0:v>
      </ns0:c>
      <ns0:c r="AD333" s="0">
        <ns0:f>IF(AND(J333&gt;0,T333&gt;0,Y333&lt;=Z333),1,0)</ns0:f>
        <ns0:v>0</ns0:v>
      </ns0:c>
    </ns0:row>
    <ns0:row r="334">
      <ns0:c r="A334" s="0">
        <ns0:f>IFERROR(IF(ISNUMBER(Bookings!B334),"",TRIM(Bookings!B334&amp;"")),"")</ns0:f>
      </ns0:c>
      <ns0:c r="B334" s="0">
        <ns0:f>IFERROR(SUBSTITUTE(SUBSTITUTE(A334,"/","."),"-","."),"")</ns0:f>
      </ns0:c>
      <ns0:c r="C334" s="0">
        <ns0:f>IFERROR(LEFT(B334,FIND(".",B334)-1),"")</ns0:f>
      </ns0:c>
      <ns0:c r="D334" s="0">
        <ns0:f>IFERROR(MID(B334,FIND(".",B334)+1,FIND(".",B334,FIND(".",B334)+1)-FIND(".",B334)-1),"")</ns0:f>
      </ns0:c>
      <ns0:c r="E334" s="0">
        <ns0:f>IFERROR(MID(B334,FIND(".",B334,FIND(".",B334)+1)+1,99),"")</ns0:f>
        <ns0:v>99</ns0:v>
      </ns0:c>
      <ns0:c r="F334" s="0">
        <ns0:f>IFERROR(IF(FIND(".",B334)=5,--C334,--E334),0)</ns0:f>
        <ns0:v>0</ns0:v>
      </ns0:c>
      <ns0:c r="G334" s="0">
        <ns0:f>IFERROR(--D334,0)</ns0:f>
        <ns0:v>0</ns0:v>
      </ns0:c>
      <ns0:c r="H334" s="0">
        <ns0:f>IFERROR(IF(FIND(".",B334)=5,--E334,--C334),0)</ns0:f>
        <ns0:v>0</ns0:v>
      </ns0:c>
      <ns0:c r="I334" s="0">
        <ns0:f>IFERROR(IF(AND(F334&gt;=2000,F334&lt;=2100,G334&gt;=1,G334&lt;=12,H334&gt;=1,H334&lt;=31),DATE(F334,G334,H334),0),0)</ns0:f>
        <ns0:v>0</ns0:v>
      </ns0:c>
      <ns0:c r="J334" s="0">
        <ns0:f>IFERROR(IF(ISNUMBER(Bookings!B334),IF(AND(Bookings!B334=INT(Bookings!B334),Bookings!B334&gt;=DATE(2000,1,1),Bookings!B334&lt;=DATE(2100,12,31)),Bookings!B334,0),IF(AND(A334&lt;&gt;"",LEN("x"&amp;B334)-LEN(SUBSTITUTE("x"&amp;B334,".",""))=2,OR(1&gt;LEN(B334),MID(B334,1,1)=".",ISNUMBER(FIND("x"&amp;MID(B334,1,1),"x0x1x2x3x4x5x6x7x8x9"))),OR(2&gt;LEN(B334),MID(B334,2,1)=".",ISNUMBER(FIND("x"&amp;MID(B334,2,1),"x0x1x2x3x4x5x6x7x8x9"))),OR(3&gt;LEN(B334),MID(B334,3,1)=".",ISNUMBER(FIND("x"&amp;MID(B334,3,1),"x0x1x2x3x4x5x6x7x8x9"))),OR(4&gt;LEN(B334),MID(B334,4,1)=".",ISNUMBER(FIND("x"&amp;MID(B334,4,1),"x0x1x2x3x4x5x6x7x8x9"))),OR(5&gt;LEN(B334),MID(B334,5,1)=".",ISNUMBER(FIND("x"&amp;MID(B334,5,1),"x0x1x2x3x4x5x6x7x8x9"))),OR(6&gt;LEN(B334),MID(B334,6,1)=".",ISNUMBER(FIND("x"&amp;MID(B334,6,1),"x0x1x2x3x4x5x6x7x8x9"))),OR(7&gt;LEN(B334),MID(B334,7,1)=".",ISNUMBER(FIND("x"&amp;MID(B334,7,1),"x0x1x2x3x4x5x6x7x8x9"))),OR(8&gt;LEN(B334),MID(B334,8,1)=".",ISNUMBER(FIND("x"&amp;MID(B334,8,1),"x0x1x2x3x4x5x6x7x8x9"))),OR(9&gt;LEN(B334),MID(B334,9,1)=".",ISNUMBER(FIND("x"&amp;MID(B334,9,1),"x0x1x2x3x4x5x6x7x8x9"))),OR(10&gt;LEN(B334),MID(B334,10,1)=".",ISNUMBER(FIND("x"&amp;MID(B334,10,1),"x0x1x2x3x4x5x6x7x8x9"))),OR(AND(FIND(".",B334)=5,LEN(B334)-FIND(".",B334,FIND(".",B334)+1)&gt;=1,LEN(B334)-FIND(".",B334,FIND(".",B334)+1)&lt;=2),AND(LEN(B334)-FIND(".",B334,FIND(".",B334)+1)=4,FIND(".",B334)&gt;=2,FIND(".",B334)&lt;=3)),FIND(".",B334,FIND(".",B334)+1)-FIND(".",B334)&gt;=2,FIND(".",B334,FIND(".",B334)+1)-FIND(".",B334)&lt;=3,F334&gt;=2000,F334&lt;=2100,YEAR(I334)=F334,MONTH(I334)=G334,DAY(I334)=H334),I334,0)),0)</ns0:f>
        <ns0:v>0</ns0:v>
      </ns0:c>
      <ns0:c r="K334" s="0">
        <ns0:f>IFERROR(IF(ISNUMBER(Bookings!D334),"",TRIM(Bookings!D334&amp;"")),"")</ns0:f>
      </ns0:c>
      <ns0:c r="L334" s="0">
        <ns0:f>IFERROR(SUBSTITUTE(SUBSTITUTE(K334,"/","."),"-","."),"")</ns0:f>
      </ns0:c>
      <ns0:c r="M334" s="0">
        <ns0:f>IFERROR(LEFT(L334,FIND(".",L334)-1),"")</ns0:f>
      </ns0:c>
      <ns0:c r="N334" s="0">
        <ns0:f>IFERROR(MID(L334,FIND(".",L334)+1,FIND(".",L334,FIND(".",L334)+1)-FIND(".",L334)-1),"")</ns0:f>
      </ns0:c>
      <ns0:c r="O334" s="0">
        <ns0:f>IFERROR(MID(L334,FIND(".",L334,FIND(".",L334)+1)+1,99),"")</ns0:f>
        <ns0:v>99</ns0:v>
      </ns0:c>
      <ns0:c r="P334" s="0">
        <ns0:f>IFERROR(IF(FIND(".",L334)=5,--M334,--O334),0)</ns0:f>
        <ns0:v>0</ns0:v>
      </ns0:c>
      <ns0:c r="Q334" s="0">
        <ns0:f>IFERROR(--N334,0)</ns0:f>
        <ns0:v>0</ns0:v>
      </ns0:c>
      <ns0:c r="R334" s="0">
        <ns0:f>IFERROR(IF(FIND(".",L334)=5,--O334,--M334),0)</ns0:f>
        <ns0:v>0</ns0:v>
      </ns0:c>
      <ns0:c r="S334" s="0">
        <ns0:f>IFERROR(IF(AND(P334&gt;=2000,P334&lt;=2100,Q334&gt;=1,Q334&lt;=12,R334&gt;=1,R334&lt;=31),DATE(P334,Q334,R334),0),0)</ns0:f>
        <ns0:v>0</ns0:v>
      </ns0:c>
      <ns0:c r="T334" s="0">
        <ns0:f>IFERROR(IF(ISNUMBER(Bookings!D334),IF(AND(Bookings!D334=INT(Bookings!D334),Bookings!D334&gt;=DATE(2000,1,1),Bookings!D334&lt;=DATE(2100,12,31)),Bookings!D334,0),IF(AND(K334&lt;&gt;"",LEN("x"&amp;L334)-LEN(SUBSTITUTE("x"&amp;L334,".",""))=2,OR(1&gt;LEN(L334),MID(L334,1,1)=".",ISNUMBER(FIND("x"&amp;MID(L334,1,1),"x0x1x2x3x4x5x6x7x8x9"))),OR(2&gt;LEN(L334),MID(L334,2,1)=".",ISNUMBER(FIND("x"&amp;MID(L334,2,1),"x0x1x2x3x4x5x6x7x8x9"))),OR(3&gt;LEN(L334),MID(L334,3,1)=".",ISNUMBER(FIND("x"&amp;MID(L334,3,1),"x0x1x2x3x4x5x6x7x8x9"))),OR(4&gt;LEN(L334),MID(L334,4,1)=".",ISNUMBER(FIND("x"&amp;MID(L334,4,1),"x0x1x2x3x4x5x6x7x8x9"))),OR(5&gt;LEN(L334),MID(L334,5,1)=".",ISNUMBER(FIND("x"&amp;MID(L334,5,1),"x0x1x2x3x4x5x6x7x8x9"))),OR(6&gt;LEN(L334),MID(L334,6,1)=".",ISNUMBER(FIND("x"&amp;MID(L334,6,1),"x0x1x2x3x4x5x6x7x8x9"))),OR(7&gt;LEN(L334),MID(L334,7,1)=".",ISNUMBER(FIND("x"&amp;MID(L334,7,1),"x0x1x2x3x4x5x6x7x8x9"))),OR(8&gt;LEN(L334),MID(L334,8,1)=".",ISNUMBER(FIND("x"&amp;MID(L334,8,1),"x0x1x2x3x4x5x6x7x8x9"))),OR(9&gt;LEN(L334),MID(L334,9,1)=".",ISNUMBER(FIND("x"&amp;MID(L334,9,1),"x0x1x2x3x4x5x6x7x8x9"))),OR(10&gt;LEN(L334),MID(L334,10,1)=".",ISNUMBER(FIND("x"&amp;MID(L334,10,1),"x0x1x2x3x4x5x6x7x8x9"))),OR(AND(FIND(".",L334)=5,LEN(L334)-FIND(".",L334,FIND(".",L334)+1)&gt;=1,LEN(L334)-FIND(".",L334,FIND(".",L334)+1)&lt;=2),AND(LEN(L334)-FIND(".",L334,FIND(".",L334)+1)=4,FIND(".",L334)&gt;=2,FIND(".",L334)&lt;=3)),FIND(".",L334,FIND(".",L334)+1)-FIND(".",L334)&gt;=2,FIND(".",L334,FIND(".",L334)+1)-FIND(".",L334)&lt;=3,P334&gt;=2000,P334&lt;=2100,YEAR(S334)=P334,MONTH(S334)=Q334,DAY(S334)=R334),S334,0)),0)</ns0:f>
        <ns0:v>0</ns0:v>
      </ns0:c>
      <ns0:c r="U334" s="0" t="str">
        <ns0:f>IF(Bookings!C334="","Full day",Bookings!C334)</ns0:f>
        <ns0:v>Full day</ns0:v>
      </ns0:c>
      <ns0:c r="V334" s="0" t="str">
        <ns0:f>IF(Bookings!E334="","Full day",Bookings!E334)</ns0:f>
        <ns0:v>Full day</ns0:v>
      </ns0:c>
      <ns0:c r="W334" s="0">
        <ns0:f>IF(J334=0,0,J334+IF(U334="PM",1,0))</ns0:f>
        <ns0:v>0</ns0:v>
      </ns0:c>
      <ns0:c r="X334" s="0">
        <ns0:f>IF(T334=0,0,T334-IF(V334="PM",1,0))</ns0:f>
        <ns0:v>0</ns0:v>
      </ns0:c>
      <ns0:c r="Y334" s="0">
        <ns0:f>IF(J334=0,0,J334+IF(U334="AM",1,0))</ns0:f>
        <ns0:v>0</ns0:v>
      </ns0:c>
      <ns0:c r="Z334" s="0">
        <ns0:f>IF(T334=0,0,T334-IF(V334="AM",1,0))</ns0:f>
        <ns0:v>0</ns0:v>
      </ns0:c>
      <ns0:c r="AA334" s="0">
        <ns0:f>IFERROR(IF(AND(J334&gt;0,'_Engine'!C334&gt;0,MID('_Engine'!W334,WEEKDAY(J334,2),1)="W",COUNTIF(Settings!$F$18:$F$67,J334)=0),1,0),0)</ns0:f>
        <ns0:v>0</ns0:v>
      </ns0:c>
      <ns0:c r="AB334" s="0">
        <ns0:f>IFERROR(IF(AND(T334&gt;0,'_Engine'!C334&gt;0,MID('_Engine'!W334,WEEKDAY(T334,2),1)="W",COUNTIF(Settings!$F$18:$F$67,T334)=0),1,0),0)</ns0:f>
        <ns0:v>0</ns0:v>
      </ns0:c>
      <ns0:c r="AC334" s="0">
        <ns0:f>IF(AND(J334&gt;0,T334&gt;0,W334&lt;=X334),1,0)</ns0:f>
        <ns0:v>0</ns0:v>
      </ns0:c>
      <ns0:c r="AD334" s="0">
        <ns0:f>IF(AND(J334&gt;0,T334&gt;0,Y334&lt;=Z334),1,0)</ns0:f>
        <ns0:v>0</ns0:v>
      </ns0:c>
    </ns0:row>
    <ns0:row r="335">
      <ns0:c r="A335" s="0">
        <ns0:f>IFERROR(IF(ISNUMBER(Bookings!B335),"",TRIM(Bookings!B335&amp;"")),"")</ns0:f>
      </ns0:c>
      <ns0:c r="B335" s="0">
        <ns0:f>IFERROR(SUBSTITUTE(SUBSTITUTE(A335,"/","."),"-","."),"")</ns0:f>
      </ns0:c>
      <ns0:c r="C335" s="0">
        <ns0:f>IFERROR(LEFT(B335,FIND(".",B335)-1),"")</ns0:f>
      </ns0:c>
      <ns0:c r="D335" s="0">
        <ns0:f>IFERROR(MID(B335,FIND(".",B335)+1,FIND(".",B335,FIND(".",B335)+1)-FIND(".",B335)-1),"")</ns0:f>
      </ns0:c>
      <ns0:c r="E335" s="0">
        <ns0:f>IFERROR(MID(B335,FIND(".",B335,FIND(".",B335)+1)+1,99),"")</ns0:f>
        <ns0:v>99</ns0:v>
      </ns0:c>
      <ns0:c r="F335" s="0">
        <ns0:f>IFERROR(IF(FIND(".",B335)=5,--C335,--E335),0)</ns0:f>
        <ns0:v>0</ns0:v>
      </ns0:c>
      <ns0:c r="G335" s="0">
        <ns0:f>IFERROR(--D335,0)</ns0:f>
        <ns0:v>0</ns0:v>
      </ns0:c>
      <ns0:c r="H335" s="0">
        <ns0:f>IFERROR(IF(FIND(".",B335)=5,--E335,--C335),0)</ns0:f>
        <ns0:v>0</ns0:v>
      </ns0:c>
      <ns0:c r="I335" s="0">
        <ns0:f>IFERROR(IF(AND(F335&gt;=2000,F335&lt;=2100,G335&gt;=1,G335&lt;=12,H335&gt;=1,H335&lt;=31),DATE(F335,G335,H335),0),0)</ns0:f>
        <ns0:v>0</ns0:v>
      </ns0:c>
      <ns0:c r="J335" s="0">
        <ns0:f>IFERROR(IF(ISNUMBER(Bookings!B335),IF(AND(Bookings!B335=INT(Bookings!B335),Bookings!B335&gt;=DATE(2000,1,1),Bookings!B335&lt;=DATE(2100,12,31)),Bookings!B335,0),IF(AND(A335&lt;&gt;"",LEN("x"&amp;B335)-LEN(SUBSTITUTE("x"&amp;B335,".",""))=2,OR(1&gt;LEN(B335),MID(B335,1,1)=".",ISNUMBER(FIND("x"&amp;MID(B335,1,1),"x0x1x2x3x4x5x6x7x8x9"))),OR(2&gt;LEN(B335),MID(B335,2,1)=".",ISNUMBER(FIND("x"&amp;MID(B335,2,1),"x0x1x2x3x4x5x6x7x8x9"))),OR(3&gt;LEN(B335),MID(B335,3,1)=".",ISNUMBER(FIND("x"&amp;MID(B335,3,1),"x0x1x2x3x4x5x6x7x8x9"))),OR(4&gt;LEN(B335),MID(B335,4,1)=".",ISNUMBER(FIND("x"&amp;MID(B335,4,1),"x0x1x2x3x4x5x6x7x8x9"))),OR(5&gt;LEN(B335),MID(B335,5,1)=".",ISNUMBER(FIND("x"&amp;MID(B335,5,1),"x0x1x2x3x4x5x6x7x8x9"))),OR(6&gt;LEN(B335),MID(B335,6,1)=".",ISNUMBER(FIND("x"&amp;MID(B335,6,1),"x0x1x2x3x4x5x6x7x8x9"))),OR(7&gt;LEN(B335),MID(B335,7,1)=".",ISNUMBER(FIND("x"&amp;MID(B335,7,1),"x0x1x2x3x4x5x6x7x8x9"))),OR(8&gt;LEN(B335),MID(B335,8,1)=".",ISNUMBER(FIND("x"&amp;MID(B335,8,1),"x0x1x2x3x4x5x6x7x8x9"))),OR(9&gt;LEN(B335),MID(B335,9,1)=".",ISNUMBER(FIND("x"&amp;MID(B335,9,1),"x0x1x2x3x4x5x6x7x8x9"))),OR(10&gt;LEN(B335),MID(B335,10,1)=".",ISNUMBER(FIND("x"&amp;MID(B335,10,1),"x0x1x2x3x4x5x6x7x8x9"))),OR(AND(FIND(".",B335)=5,LEN(B335)-FIND(".",B335,FIND(".",B335)+1)&gt;=1,LEN(B335)-FIND(".",B335,FIND(".",B335)+1)&lt;=2),AND(LEN(B335)-FIND(".",B335,FIND(".",B335)+1)=4,FIND(".",B335)&gt;=2,FIND(".",B335)&lt;=3)),FIND(".",B335,FIND(".",B335)+1)-FIND(".",B335)&gt;=2,FIND(".",B335,FIND(".",B335)+1)-FIND(".",B335)&lt;=3,F335&gt;=2000,F335&lt;=2100,YEAR(I335)=F335,MONTH(I335)=G335,DAY(I335)=H335),I335,0)),0)</ns0:f>
        <ns0:v>0</ns0:v>
      </ns0:c>
      <ns0:c r="K335" s="0">
        <ns0:f>IFERROR(IF(ISNUMBER(Bookings!D335),"",TRIM(Bookings!D335&amp;"")),"")</ns0:f>
      </ns0:c>
      <ns0:c r="L335" s="0">
        <ns0:f>IFERROR(SUBSTITUTE(SUBSTITUTE(K335,"/","."),"-","."),"")</ns0:f>
      </ns0:c>
      <ns0:c r="M335" s="0">
        <ns0:f>IFERROR(LEFT(L335,FIND(".",L335)-1),"")</ns0:f>
      </ns0:c>
      <ns0:c r="N335" s="0">
        <ns0:f>IFERROR(MID(L335,FIND(".",L335)+1,FIND(".",L335,FIND(".",L335)+1)-FIND(".",L335)-1),"")</ns0:f>
      </ns0:c>
      <ns0:c r="O335" s="0">
        <ns0:f>IFERROR(MID(L335,FIND(".",L335,FIND(".",L335)+1)+1,99),"")</ns0:f>
        <ns0:v>99</ns0:v>
      </ns0:c>
      <ns0:c r="P335" s="0">
        <ns0:f>IFERROR(IF(FIND(".",L335)=5,--M335,--O335),0)</ns0:f>
        <ns0:v>0</ns0:v>
      </ns0:c>
      <ns0:c r="Q335" s="0">
        <ns0:f>IFERROR(--N335,0)</ns0:f>
        <ns0:v>0</ns0:v>
      </ns0:c>
      <ns0:c r="R335" s="0">
        <ns0:f>IFERROR(IF(FIND(".",L335)=5,--O335,--M335),0)</ns0:f>
        <ns0:v>0</ns0:v>
      </ns0:c>
      <ns0:c r="S335" s="0">
        <ns0:f>IFERROR(IF(AND(P335&gt;=2000,P335&lt;=2100,Q335&gt;=1,Q335&lt;=12,R335&gt;=1,R335&lt;=31),DATE(P335,Q335,R335),0),0)</ns0:f>
        <ns0:v>0</ns0:v>
      </ns0:c>
      <ns0:c r="T335" s="0">
        <ns0:f>IFERROR(IF(ISNUMBER(Bookings!D335),IF(AND(Bookings!D335=INT(Bookings!D335),Bookings!D335&gt;=DATE(2000,1,1),Bookings!D335&lt;=DATE(2100,12,31)),Bookings!D335,0),IF(AND(K335&lt;&gt;"",LEN("x"&amp;L335)-LEN(SUBSTITUTE("x"&amp;L335,".",""))=2,OR(1&gt;LEN(L335),MID(L335,1,1)=".",ISNUMBER(FIND("x"&amp;MID(L335,1,1),"x0x1x2x3x4x5x6x7x8x9"))),OR(2&gt;LEN(L335),MID(L335,2,1)=".",ISNUMBER(FIND("x"&amp;MID(L335,2,1),"x0x1x2x3x4x5x6x7x8x9"))),OR(3&gt;LEN(L335),MID(L335,3,1)=".",ISNUMBER(FIND("x"&amp;MID(L335,3,1),"x0x1x2x3x4x5x6x7x8x9"))),OR(4&gt;LEN(L335),MID(L335,4,1)=".",ISNUMBER(FIND("x"&amp;MID(L335,4,1),"x0x1x2x3x4x5x6x7x8x9"))),OR(5&gt;LEN(L335),MID(L335,5,1)=".",ISNUMBER(FIND("x"&amp;MID(L335,5,1),"x0x1x2x3x4x5x6x7x8x9"))),OR(6&gt;LEN(L335),MID(L335,6,1)=".",ISNUMBER(FIND("x"&amp;MID(L335,6,1),"x0x1x2x3x4x5x6x7x8x9"))),OR(7&gt;LEN(L335),MID(L335,7,1)=".",ISNUMBER(FIND("x"&amp;MID(L335,7,1),"x0x1x2x3x4x5x6x7x8x9"))),OR(8&gt;LEN(L335),MID(L335,8,1)=".",ISNUMBER(FIND("x"&amp;MID(L335,8,1),"x0x1x2x3x4x5x6x7x8x9"))),OR(9&gt;LEN(L335),MID(L335,9,1)=".",ISNUMBER(FIND("x"&amp;MID(L335,9,1),"x0x1x2x3x4x5x6x7x8x9"))),OR(10&gt;LEN(L335),MID(L335,10,1)=".",ISNUMBER(FIND("x"&amp;MID(L335,10,1),"x0x1x2x3x4x5x6x7x8x9"))),OR(AND(FIND(".",L335)=5,LEN(L335)-FIND(".",L335,FIND(".",L335)+1)&gt;=1,LEN(L335)-FIND(".",L335,FIND(".",L335)+1)&lt;=2),AND(LEN(L335)-FIND(".",L335,FIND(".",L335)+1)=4,FIND(".",L335)&gt;=2,FIND(".",L335)&lt;=3)),FIND(".",L335,FIND(".",L335)+1)-FIND(".",L335)&gt;=2,FIND(".",L335,FIND(".",L335)+1)-FIND(".",L335)&lt;=3,P335&gt;=2000,P335&lt;=2100,YEAR(S335)=P335,MONTH(S335)=Q335,DAY(S335)=R335),S335,0)),0)</ns0:f>
        <ns0:v>0</ns0:v>
      </ns0:c>
      <ns0:c r="U335" s="0" t="str">
        <ns0:f>IF(Bookings!C335="","Full day",Bookings!C335)</ns0:f>
        <ns0:v>Full day</ns0:v>
      </ns0:c>
      <ns0:c r="V335" s="0" t="str">
        <ns0:f>IF(Bookings!E335="","Full day",Bookings!E335)</ns0:f>
        <ns0:v>Full day</ns0:v>
      </ns0:c>
      <ns0:c r="W335" s="0">
        <ns0:f>IF(J335=0,0,J335+IF(U335="PM",1,0))</ns0:f>
        <ns0:v>0</ns0:v>
      </ns0:c>
      <ns0:c r="X335" s="0">
        <ns0:f>IF(T335=0,0,T335-IF(V335="PM",1,0))</ns0:f>
        <ns0:v>0</ns0:v>
      </ns0:c>
      <ns0:c r="Y335" s="0">
        <ns0:f>IF(J335=0,0,J335+IF(U335="AM",1,0))</ns0:f>
        <ns0:v>0</ns0:v>
      </ns0:c>
      <ns0:c r="Z335" s="0">
        <ns0:f>IF(T335=0,0,T335-IF(V335="AM",1,0))</ns0:f>
        <ns0:v>0</ns0:v>
      </ns0:c>
      <ns0:c r="AA335" s="0">
        <ns0:f>IFERROR(IF(AND(J335&gt;0,'_Engine'!C335&gt;0,MID('_Engine'!W335,WEEKDAY(J335,2),1)="W",COUNTIF(Settings!$F$18:$F$67,J335)=0),1,0),0)</ns0:f>
        <ns0:v>0</ns0:v>
      </ns0:c>
      <ns0:c r="AB335" s="0">
        <ns0:f>IFERROR(IF(AND(T335&gt;0,'_Engine'!C335&gt;0,MID('_Engine'!W335,WEEKDAY(T335,2),1)="W",COUNTIF(Settings!$F$18:$F$67,T335)=0),1,0),0)</ns0:f>
        <ns0:v>0</ns0:v>
      </ns0:c>
      <ns0:c r="AC335" s="0">
        <ns0:f>IF(AND(J335&gt;0,T335&gt;0,W335&lt;=X335),1,0)</ns0:f>
        <ns0:v>0</ns0:v>
      </ns0:c>
      <ns0:c r="AD335" s="0">
        <ns0:f>IF(AND(J335&gt;0,T335&gt;0,Y335&lt;=Z335),1,0)</ns0:f>
        <ns0:v>0</ns0:v>
      </ns0:c>
    </ns0:row>
    <ns0:row r="336">
      <ns0:c r="A336" s="0">
        <ns0:f>IFERROR(IF(ISNUMBER(Bookings!B336),"",TRIM(Bookings!B336&amp;"")),"")</ns0:f>
      </ns0:c>
      <ns0:c r="B336" s="0">
        <ns0:f>IFERROR(SUBSTITUTE(SUBSTITUTE(A336,"/","."),"-","."),"")</ns0:f>
      </ns0:c>
      <ns0:c r="C336" s="0">
        <ns0:f>IFERROR(LEFT(B336,FIND(".",B336)-1),"")</ns0:f>
      </ns0:c>
      <ns0:c r="D336" s="0">
        <ns0:f>IFERROR(MID(B336,FIND(".",B336)+1,FIND(".",B336,FIND(".",B336)+1)-FIND(".",B336)-1),"")</ns0:f>
      </ns0:c>
      <ns0:c r="E336" s="0">
        <ns0:f>IFERROR(MID(B336,FIND(".",B336,FIND(".",B336)+1)+1,99),"")</ns0:f>
        <ns0:v>99</ns0:v>
      </ns0:c>
      <ns0:c r="F336" s="0">
        <ns0:f>IFERROR(IF(FIND(".",B336)=5,--C336,--E336),0)</ns0:f>
        <ns0:v>0</ns0:v>
      </ns0:c>
      <ns0:c r="G336" s="0">
        <ns0:f>IFERROR(--D336,0)</ns0:f>
        <ns0:v>0</ns0:v>
      </ns0:c>
      <ns0:c r="H336" s="0">
        <ns0:f>IFERROR(IF(FIND(".",B336)=5,--E336,--C336),0)</ns0:f>
        <ns0:v>0</ns0:v>
      </ns0:c>
      <ns0:c r="I336" s="0">
        <ns0:f>IFERROR(IF(AND(F336&gt;=2000,F336&lt;=2100,G336&gt;=1,G336&lt;=12,H336&gt;=1,H336&lt;=31),DATE(F336,G336,H336),0),0)</ns0:f>
        <ns0:v>0</ns0:v>
      </ns0:c>
      <ns0:c r="J336" s="0">
        <ns0:f>IFERROR(IF(ISNUMBER(Bookings!B336),IF(AND(Bookings!B336=INT(Bookings!B336),Bookings!B336&gt;=DATE(2000,1,1),Bookings!B336&lt;=DATE(2100,12,31)),Bookings!B336,0),IF(AND(A336&lt;&gt;"",LEN("x"&amp;B336)-LEN(SUBSTITUTE("x"&amp;B336,".",""))=2,OR(1&gt;LEN(B336),MID(B336,1,1)=".",ISNUMBER(FIND("x"&amp;MID(B336,1,1),"x0x1x2x3x4x5x6x7x8x9"))),OR(2&gt;LEN(B336),MID(B336,2,1)=".",ISNUMBER(FIND("x"&amp;MID(B336,2,1),"x0x1x2x3x4x5x6x7x8x9"))),OR(3&gt;LEN(B336),MID(B336,3,1)=".",ISNUMBER(FIND("x"&amp;MID(B336,3,1),"x0x1x2x3x4x5x6x7x8x9"))),OR(4&gt;LEN(B336),MID(B336,4,1)=".",ISNUMBER(FIND("x"&amp;MID(B336,4,1),"x0x1x2x3x4x5x6x7x8x9"))),OR(5&gt;LEN(B336),MID(B336,5,1)=".",ISNUMBER(FIND("x"&amp;MID(B336,5,1),"x0x1x2x3x4x5x6x7x8x9"))),OR(6&gt;LEN(B336),MID(B336,6,1)=".",ISNUMBER(FIND("x"&amp;MID(B336,6,1),"x0x1x2x3x4x5x6x7x8x9"))),OR(7&gt;LEN(B336),MID(B336,7,1)=".",ISNUMBER(FIND("x"&amp;MID(B336,7,1),"x0x1x2x3x4x5x6x7x8x9"))),OR(8&gt;LEN(B336),MID(B336,8,1)=".",ISNUMBER(FIND("x"&amp;MID(B336,8,1),"x0x1x2x3x4x5x6x7x8x9"))),OR(9&gt;LEN(B336),MID(B336,9,1)=".",ISNUMBER(FIND("x"&amp;MID(B336,9,1),"x0x1x2x3x4x5x6x7x8x9"))),OR(10&gt;LEN(B336),MID(B336,10,1)=".",ISNUMBER(FIND("x"&amp;MID(B336,10,1),"x0x1x2x3x4x5x6x7x8x9"))),OR(AND(FIND(".",B336)=5,LEN(B336)-FIND(".",B336,FIND(".",B336)+1)&gt;=1,LEN(B336)-FIND(".",B336,FIND(".",B336)+1)&lt;=2),AND(LEN(B336)-FIND(".",B336,FIND(".",B336)+1)=4,FIND(".",B336)&gt;=2,FIND(".",B336)&lt;=3)),FIND(".",B336,FIND(".",B336)+1)-FIND(".",B336)&gt;=2,FIND(".",B336,FIND(".",B336)+1)-FIND(".",B336)&lt;=3,F336&gt;=2000,F336&lt;=2100,YEAR(I336)=F336,MONTH(I336)=G336,DAY(I336)=H336),I336,0)),0)</ns0:f>
        <ns0:v>0</ns0:v>
      </ns0:c>
      <ns0:c r="K336" s="0">
        <ns0:f>IFERROR(IF(ISNUMBER(Bookings!D336),"",TRIM(Bookings!D336&amp;"")),"")</ns0:f>
      </ns0:c>
      <ns0:c r="L336" s="0">
        <ns0:f>IFERROR(SUBSTITUTE(SUBSTITUTE(K336,"/","."),"-","."),"")</ns0:f>
      </ns0:c>
      <ns0:c r="M336" s="0">
        <ns0:f>IFERROR(LEFT(L336,FIND(".",L336)-1),"")</ns0:f>
      </ns0:c>
      <ns0:c r="N336" s="0">
        <ns0:f>IFERROR(MID(L336,FIND(".",L336)+1,FIND(".",L336,FIND(".",L336)+1)-FIND(".",L336)-1),"")</ns0:f>
      </ns0:c>
      <ns0:c r="O336" s="0">
        <ns0:f>IFERROR(MID(L336,FIND(".",L336,FIND(".",L336)+1)+1,99),"")</ns0:f>
        <ns0:v>99</ns0:v>
      </ns0:c>
      <ns0:c r="P336" s="0">
        <ns0:f>IFERROR(IF(FIND(".",L336)=5,--M336,--O336),0)</ns0:f>
        <ns0:v>0</ns0:v>
      </ns0:c>
      <ns0:c r="Q336" s="0">
        <ns0:f>IFERROR(--N336,0)</ns0:f>
        <ns0:v>0</ns0:v>
      </ns0:c>
      <ns0:c r="R336" s="0">
        <ns0:f>IFERROR(IF(FIND(".",L336)=5,--O336,--M336),0)</ns0:f>
        <ns0:v>0</ns0:v>
      </ns0:c>
      <ns0:c r="S336" s="0">
        <ns0:f>IFERROR(IF(AND(P336&gt;=2000,P336&lt;=2100,Q336&gt;=1,Q336&lt;=12,R336&gt;=1,R336&lt;=31),DATE(P336,Q336,R336),0),0)</ns0:f>
        <ns0:v>0</ns0:v>
      </ns0:c>
      <ns0:c r="T336" s="0">
        <ns0:f>IFERROR(IF(ISNUMBER(Bookings!D336),IF(AND(Bookings!D336=INT(Bookings!D336),Bookings!D336&gt;=DATE(2000,1,1),Bookings!D336&lt;=DATE(2100,12,31)),Bookings!D336,0),IF(AND(K336&lt;&gt;"",LEN("x"&amp;L336)-LEN(SUBSTITUTE("x"&amp;L336,".",""))=2,OR(1&gt;LEN(L336),MID(L336,1,1)=".",ISNUMBER(FIND("x"&amp;MID(L336,1,1),"x0x1x2x3x4x5x6x7x8x9"))),OR(2&gt;LEN(L336),MID(L336,2,1)=".",ISNUMBER(FIND("x"&amp;MID(L336,2,1),"x0x1x2x3x4x5x6x7x8x9"))),OR(3&gt;LEN(L336),MID(L336,3,1)=".",ISNUMBER(FIND("x"&amp;MID(L336,3,1),"x0x1x2x3x4x5x6x7x8x9"))),OR(4&gt;LEN(L336),MID(L336,4,1)=".",ISNUMBER(FIND("x"&amp;MID(L336,4,1),"x0x1x2x3x4x5x6x7x8x9"))),OR(5&gt;LEN(L336),MID(L336,5,1)=".",ISNUMBER(FIND("x"&amp;MID(L336,5,1),"x0x1x2x3x4x5x6x7x8x9"))),OR(6&gt;LEN(L336),MID(L336,6,1)=".",ISNUMBER(FIND("x"&amp;MID(L336,6,1),"x0x1x2x3x4x5x6x7x8x9"))),OR(7&gt;LEN(L336),MID(L336,7,1)=".",ISNUMBER(FIND("x"&amp;MID(L336,7,1),"x0x1x2x3x4x5x6x7x8x9"))),OR(8&gt;LEN(L336),MID(L336,8,1)=".",ISNUMBER(FIND("x"&amp;MID(L336,8,1),"x0x1x2x3x4x5x6x7x8x9"))),OR(9&gt;LEN(L336),MID(L336,9,1)=".",ISNUMBER(FIND("x"&amp;MID(L336,9,1),"x0x1x2x3x4x5x6x7x8x9"))),OR(10&gt;LEN(L336),MID(L336,10,1)=".",ISNUMBER(FIND("x"&amp;MID(L336,10,1),"x0x1x2x3x4x5x6x7x8x9"))),OR(AND(FIND(".",L336)=5,LEN(L336)-FIND(".",L336,FIND(".",L336)+1)&gt;=1,LEN(L336)-FIND(".",L336,FIND(".",L336)+1)&lt;=2),AND(LEN(L336)-FIND(".",L336,FIND(".",L336)+1)=4,FIND(".",L336)&gt;=2,FIND(".",L336)&lt;=3)),FIND(".",L336,FIND(".",L336)+1)-FIND(".",L336)&gt;=2,FIND(".",L336,FIND(".",L336)+1)-FIND(".",L336)&lt;=3,P336&gt;=2000,P336&lt;=2100,YEAR(S336)=P336,MONTH(S336)=Q336,DAY(S336)=R336),S336,0)),0)</ns0:f>
        <ns0:v>0</ns0:v>
      </ns0:c>
      <ns0:c r="U336" s="0" t="str">
        <ns0:f>IF(Bookings!C336="","Full day",Bookings!C336)</ns0:f>
        <ns0:v>Full day</ns0:v>
      </ns0:c>
      <ns0:c r="V336" s="0" t="str">
        <ns0:f>IF(Bookings!E336="","Full day",Bookings!E336)</ns0:f>
        <ns0:v>Full day</ns0:v>
      </ns0:c>
      <ns0:c r="W336" s="0">
        <ns0:f>IF(J336=0,0,J336+IF(U336="PM",1,0))</ns0:f>
        <ns0:v>0</ns0:v>
      </ns0:c>
      <ns0:c r="X336" s="0">
        <ns0:f>IF(T336=0,0,T336-IF(V336="PM",1,0))</ns0:f>
        <ns0:v>0</ns0:v>
      </ns0:c>
      <ns0:c r="Y336" s="0">
        <ns0:f>IF(J336=0,0,J336+IF(U336="AM",1,0))</ns0:f>
        <ns0:v>0</ns0:v>
      </ns0:c>
      <ns0:c r="Z336" s="0">
        <ns0:f>IF(T336=0,0,T336-IF(V336="AM",1,0))</ns0:f>
        <ns0:v>0</ns0:v>
      </ns0:c>
      <ns0:c r="AA336" s="0">
        <ns0:f>IFERROR(IF(AND(J336&gt;0,'_Engine'!C336&gt;0,MID('_Engine'!W336,WEEKDAY(J336,2),1)="W",COUNTIF(Settings!$F$18:$F$67,J336)=0),1,0),0)</ns0:f>
        <ns0:v>0</ns0:v>
      </ns0:c>
      <ns0:c r="AB336" s="0">
        <ns0:f>IFERROR(IF(AND(T336&gt;0,'_Engine'!C336&gt;0,MID('_Engine'!W336,WEEKDAY(T336,2),1)="W",COUNTIF(Settings!$F$18:$F$67,T336)=0),1,0),0)</ns0:f>
        <ns0:v>0</ns0:v>
      </ns0:c>
      <ns0:c r="AC336" s="0">
        <ns0:f>IF(AND(J336&gt;0,T336&gt;0,W336&lt;=X336),1,0)</ns0:f>
        <ns0:v>0</ns0:v>
      </ns0:c>
      <ns0:c r="AD336" s="0">
        <ns0:f>IF(AND(J336&gt;0,T336&gt;0,Y336&lt;=Z336),1,0)</ns0:f>
        <ns0:v>0</ns0:v>
      </ns0:c>
    </ns0:row>
    <ns0:row r="337">
      <ns0:c r="A337" s="0">
        <ns0:f>IFERROR(IF(ISNUMBER(Bookings!B337),"",TRIM(Bookings!B337&amp;"")),"")</ns0:f>
      </ns0:c>
      <ns0:c r="B337" s="0">
        <ns0:f>IFERROR(SUBSTITUTE(SUBSTITUTE(A337,"/","."),"-","."),"")</ns0:f>
      </ns0:c>
      <ns0:c r="C337" s="0">
        <ns0:f>IFERROR(LEFT(B337,FIND(".",B337)-1),"")</ns0:f>
      </ns0:c>
      <ns0:c r="D337" s="0">
        <ns0:f>IFERROR(MID(B337,FIND(".",B337)+1,FIND(".",B337,FIND(".",B337)+1)-FIND(".",B337)-1),"")</ns0:f>
      </ns0:c>
      <ns0:c r="E337" s="0">
        <ns0:f>IFERROR(MID(B337,FIND(".",B337,FIND(".",B337)+1)+1,99),"")</ns0:f>
        <ns0:v>99</ns0:v>
      </ns0:c>
      <ns0:c r="F337" s="0">
        <ns0:f>IFERROR(IF(FIND(".",B337)=5,--C337,--E337),0)</ns0:f>
        <ns0:v>0</ns0:v>
      </ns0:c>
      <ns0:c r="G337" s="0">
        <ns0:f>IFERROR(--D337,0)</ns0:f>
        <ns0:v>0</ns0:v>
      </ns0:c>
      <ns0:c r="H337" s="0">
        <ns0:f>IFERROR(IF(FIND(".",B337)=5,--E337,--C337),0)</ns0:f>
        <ns0:v>0</ns0:v>
      </ns0:c>
      <ns0:c r="I337" s="0">
        <ns0:f>IFERROR(IF(AND(F337&gt;=2000,F337&lt;=2100,G337&gt;=1,G337&lt;=12,H337&gt;=1,H337&lt;=31),DATE(F337,G337,H337),0),0)</ns0:f>
        <ns0:v>0</ns0:v>
      </ns0:c>
      <ns0:c r="J337" s="0">
        <ns0:f>IFERROR(IF(ISNUMBER(Bookings!B337),IF(AND(Bookings!B337=INT(Bookings!B337),Bookings!B337&gt;=DATE(2000,1,1),Bookings!B337&lt;=DATE(2100,12,31)),Bookings!B337,0),IF(AND(A337&lt;&gt;"",LEN("x"&amp;B337)-LEN(SUBSTITUTE("x"&amp;B337,".",""))=2,OR(1&gt;LEN(B337),MID(B337,1,1)=".",ISNUMBER(FIND("x"&amp;MID(B337,1,1),"x0x1x2x3x4x5x6x7x8x9"))),OR(2&gt;LEN(B337),MID(B337,2,1)=".",ISNUMBER(FIND("x"&amp;MID(B337,2,1),"x0x1x2x3x4x5x6x7x8x9"))),OR(3&gt;LEN(B337),MID(B337,3,1)=".",ISNUMBER(FIND("x"&amp;MID(B337,3,1),"x0x1x2x3x4x5x6x7x8x9"))),OR(4&gt;LEN(B337),MID(B337,4,1)=".",ISNUMBER(FIND("x"&amp;MID(B337,4,1),"x0x1x2x3x4x5x6x7x8x9"))),OR(5&gt;LEN(B337),MID(B337,5,1)=".",ISNUMBER(FIND("x"&amp;MID(B337,5,1),"x0x1x2x3x4x5x6x7x8x9"))),OR(6&gt;LEN(B337),MID(B337,6,1)=".",ISNUMBER(FIND("x"&amp;MID(B337,6,1),"x0x1x2x3x4x5x6x7x8x9"))),OR(7&gt;LEN(B337),MID(B337,7,1)=".",ISNUMBER(FIND("x"&amp;MID(B337,7,1),"x0x1x2x3x4x5x6x7x8x9"))),OR(8&gt;LEN(B337),MID(B337,8,1)=".",ISNUMBER(FIND("x"&amp;MID(B337,8,1),"x0x1x2x3x4x5x6x7x8x9"))),OR(9&gt;LEN(B337),MID(B337,9,1)=".",ISNUMBER(FIND("x"&amp;MID(B337,9,1),"x0x1x2x3x4x5x6x7x8x9"))),OR(10&gt;LEN(B337),MID(B337,10,1)=".",ISNUMBER(FIND("x"&amp;MID(B337,10,1),"x0x1x2x3x4x5x6x7x8x9"))),OR(AND(FIND(".",B337)=5,LEN(B337)-FIND(".",B337,FIND(".",B337)+1)&gt;=1,LEN(B337)-FIND(".",B337,FIND(".",B337)+1)&lt;=2),AND(LEN(B337)-FIND(".",B337,FIND(".",B337)+1)=4,FIND(".",B337)&gt;=2,FIND(".",B337)&lt;=3)),FIND(".",B337,FIND(".",B337)+1)-FIND(".",B337)&gt;=2,FIND(".",B337,FIND(".",B337)+1)-FIND(".",B337)&lt;=3,F337&gt;=2000,F337&lt;=2100,YEAR(I337)=F337,MONTH(I337)=G337,DAY(I337)=H337),I337,0)),0)</ns0:f>
        <ns0:v>0</ns0:v>
      </ns0:c>
      <ns0:c r="K337" s="0">
        <ns0:f>IFERROR(IF(ISNUMBER(Bookings!D337),"",TRIM(Bookings!D337&amp;"")),"")</ns0:f>
      </ns0:c>
      <ns0:c r="L337" s="0">
        <ns0:f>IFERROR(SUBSTITUTE(SUBSTITUTE(K337,"/","."),"-","."),"")</ns0:f>
      </ns0:c>
      <ns0:c r="M337" s="0">
        <ns0:f>IFERROR(LEFT(L337,FIND(".",L337)-1),"")</ns0:f>
      </ns0:c>
      <ns0:c r="N337" s="0">
        <ns0:f>IFERROR(MID(L337,FIND(".",L337)+1,FIND(".",L337,FIND(".",L337)+1)-FIND(".",L337)-1),"")</ns0:f>
      </ns0:c>
      <ns0:c r="O337" s="0">
        <ns0:f>IFERROR(MID(L337,FIND(".",L337,FIND(".",L337)+1)+1,99),"")</ns0:f>
        <ns0:v>99</ns0:v>
      </ns0:c>
      <ns0:c r="P337" s="0">
        <ns0:f>IFERROR(IF(FIND(".",L337)=5,--M337,--O337),0)</ns0:f>
        <ns0:v>0</ns0:v>
      </ns0:c>
      <ns0:c r="Q337" s="0">
        <ns0:f>IFERROR(--N337,0)</ns0:f>
        <ns0:v>0</ns0:v>
      </ns0:c>
      <ns0:c r="R337" s="0">
        <ns0:f>IFERROR(IF(FIND(".",L337)=5,--O337,--M337),0)</ns0:f>
        <ns0:v>0</ns0:v>
      </ns0:c>
      <ns0:c r="S337" s="0">
        <ns0:f>IFERROR(IF(AND(P337&gt;=2000,P337&lt;=2100,Q337&gt;=1,Q337&lt;=12,R337&gt;=1,R337&lt;=31),DATE(P337,Q337,R337),0),0)</ns0:f>
        <ns0:v>0</ns0:v>
      </ns0:c>
      <ns0:c r="T337" s="0">
        <ns0:f>IFERROR(IF(ISNUMBER(Bookings!D337),IF(AND(Bookings!D337=INT(Bookings!D337),Bookings!D337&gt;=DATE(2000,1,1),Bookings!D337&lt;=DATE(2100,12,31)),Bookings!D337,0),IF(AND(K337&lt;&gt;"",LEN("x"&amp;L337)-LEN(SUBSTITUTE("x"&amp;L337,".",""))=2,OR(1&gt;LEN(L337),MID(L337,1,1)=".",ISNUMBER(FIND("x"&amp;MID(L337,1,1),"x0x1x2x3x4x5x6x7x8x9"))),OR(2&gt;LEN(L337),MID(L337,2,1)=".",ISNUMBER(FIND("x"&amp;MID(L337,2,1),"x0x1x2x3x4x5x6x7x8x9"))),OR(3&gt;LEN(L337),MID(L337,3,1)=".",ISNUMBER(FIND("x"&amp;MID(L337,3,1),"x0x1x2x3x4x5x6x7x8x9"))),OR(4&gt;LEN(L337),MID(L337,4,1)=".",ISNUMBER(FIND("x"&amp;MID(L337,4,1),"x0x1x2x3x4x5x6x7x8x9"))),OR(5&gt;LEN(L337),MID(L337,5,1)=".",ISNUMBER(FIND("x"&amp;MID(L337,5,1),"x0x1x2x3x4x5x6x7x8x9"))),OR(6&gt;LEN(L337),MID(L337,6,1)=".",ISNUMBER(FIND("x"&amp;MID(L337,6,1),"x0x1x2x3x4x5x6x7x8x9"))),OR(7&gt;LEN(L337),MID(L337,7,1)=".",ISNUMBER(FIND("x"&amp;MID(L337,7,1),"x0x1x2x3x4x5x6x7x8x9"))),OR(8&gt;LEN(L337),MID(L337,8,1)=".",ISNUMBER(FIND("x"&amp;MID(L337,8,1),"x0x1x2x3x4x5x6x7x8x9"))),OR(9&gt;LEN(L337),MID(L337,9,1)=".",ISNUMBER(FIND("x"&amp;MID(L337,9,1),"x0x1x2x3x4x5x6x7x8x9"))),OR(10&gt;LEN(L337),MID(L337,10,1)=".",ISNUMBER(FIND("x"&amp;MID(L337,10,1),"x0x1x2x3x4x5x6x7x8x9"))),OR(AND(FIND(".",L337)=5,LEN(L337)-FIND(".",L337,FIND(".",L337)+1)&gt;=1,LEN(L337)-FIND(".",L337,FIND(".",L337)+1)&lt;=2),AND(LEN(L337)-FIND(".",L337,FIND(".",L337)+1)=4,FIND(".",L337)&gt;=2,FIND(".",L337)&lt;=3)),FIND(".",L337,FIND(".",L337)+1)-FIND(".",L337)&gt;=2,FIND(".",L337,FIND(".",L337)+1)-FIND(".",L337)&lt;=3,P337&gt;=2000,P337&lt;=2100,YEAR(S337)=P337,MONTH(S337)=Q337,DAY(S337)=R337),S337,0)),0)</ns0:f>
        <ns0:v>0</ns0:v>
      </ns0:c>
      <ns0:c r="U337" s="0" t="str">
        <ns0:f>IF(Bookings!C337="","Full day",Bookings!C337)</ns0:f>
        <ns0:v>Full day</ns0:v>
      </ns0:c>
      <ns0:c r="V337" s="0" t="str">
        <ns0:f>IF(Bookings!E337="","Full day",Bookings!E337)</ns0:f>
        <ns0:v>Full day</ns0:v>
      </ns0:c>
      <ns0:c r="W337" s="0">
        <ns0:f>IF(J337=0,0,J337+IF(U337="PM",1,0))</ns0:f>
        <ns0:v>0</ns0:v>
      </ns0:c>
      <ns0:c r="X337" s="0">
        <ns0:f>IF(T337=0,0,T337-IF(V337="PM",1,0))</ns0:f>
        <ns0:v>0</ns0:v>
      </ns0:c>
      <ns0:c r="Y337" s="0">
        <ns0:f>IF(J337=0,0,J337+IF(U337="AM",1,0))</ns0:f>
        <ns0:v>0</ns0:v>
      </ns0:c>
      <ns0:c r="Z337" s="0">
        <ns0:f>IF(T337=0,0,T337-IF(V337="AM",1,0))</ns0:f>
        <ns0:v>0</ns0:v>
      </ns0:c>
      <ns0:c r="AA337" s="0">
        <ns0:f>IFERROR(IF(AND(J337&gt;0,'_Engine'!C337&gt;0,MID('_Engine'!W337,WEEKDAY(J337,2),1)="W",COUNTIF(Settings!$F$18:$F$67,J337)=0),1,0),0)</ns0:f>
        <ns0:v>0</ns0:v>
      </ns0:c>
      <ns0:c r="AB337" s="0">
        <ns0:f>IFERROR(IF(AND(T337&gt;0,'_Engine'!C337&gt;0,MID('_Engine'!W337,WEEKDAY(T337,2),1)="W",COUNTIF(Settings!$F$18:$F$67,T337)=0),1,0),0)</ns0:f>
        <ns0:v>0</ns0:v>
      </ns0:c>
      <ns0:c r="AC337" s="0">
        <ns0:f>IF(AND(J337&gt;0,T337&gt;0,W337&lt;=X337),1,0)</ns0:f>
        <ns0:v>0</ns0:v>
      </ns0:c>
      <ns0:c r="AD337" s="0">
        <ns0:f>IF(AND(J337&gt;0,T337&gt;0,Y337&lt;=Z337),1,0)</ns0:f>
        <ns0:v>0</ns0:v>
      </ns0:c>
    </ns0:row>
    <ns0:row r="338">
      <ns0:c r="A338" s="0">
        <ns0:f>IFERROR(IF(ISNUMBER(Bookings!B338),"",TRIM(Bookings!B338&amp;"")),"")</ns0:f>
      </ns0:c>
      <ns0:c r="B338" s="0">
        <ns0:f>IFERROR(SUBSTITUTE(SUBSTITUTE(A338,"/","."),"-","."),"")</ns0:f>
      </ns0:c>
      <ns0:c r="C338" s="0">
        <ns0:f>IFERROR(LEFT(B338,FIND(".",B338)-1),"")</ns0:f>
      </ns0:c>
      <ns0:c r="D338" s="0">
        <ns0:f>IFERROR(MID(B338,FIND(".",B338)+1,FIND(".",B338,FIND(".",B338)+1)-FIND(".",B338)-1),"")</ns0:f>
      </ns0:c>
      <ns0:c r="E338" s="0">
        <ns0:f>IFERROR(MID(B338,FIND(".",B338,FIND(".",B338)+1)+1,99),"")</ns0:f>
        <ns0:v>99</ns0:v>
      </ns0:c>
      <ns0:c r="F338" s="0">
        <ns0:f>IFERROR(IF(FIND(".",B338)=5,--C338,--E338),0)</ns0:f>
        <ns0:v>0</ns0:v>
      </ns0:c>
      <ns0:c r="G338" s="0">
        <ns0:f>IFERROR(--D338,0)</ns0:f>
        <ns0:v>0</ns0:v>
      </ns0:c>
      <ns0:c r="H338" s="0">
        <ns0:f>IFERROR(IF(FIND(".",B338)=5,--E338,--C338),0)</ns0:f>
        <ns0:v>0</ns0:v>
      </ns0:c>
      <ns0:c r="I338" s="0">
        <ns0:f>IFERROR(IF(AND(F338&gt;=2000,F338&lt;=2100,G338&gt;=1,G338&lt;=12,H338&gt;=1,H338&lt;=31),DATE(F338,G338,H338),0),0)</ns0:f>
        <ns0:v>0</ns0:v>
      </ns0:c>
      <ns0:c r="J338" s="0">
        <ns0:f>IFERROR(IF(ISNUMBER(Bookings!B338),IF(AND(Bookings!B338=INT(Bookings!B338),Bookings!B338&gt;=DATE(2000,1,1),Bookings!B338&lt;=DATE(2100,12,31)),Bookings!B338,0),IF(AND(A338&lt;&gt;"",LEN("x"&amp;B338)-LEN(SUBSTITUTE("x"&amp;B338,".",""))=2,OR(1&gt;LEN(B338),MID(B338,1,1)=".",ISNUMBER(FIND("x"&amp;MID(B338,1,1),"x0x1x2x3x4x5x6x7x8x9"))),OR(2&gt;LEN(B338),MID(B338,2,1)=".",ISNUMBER(FIND("x"&amp;MID(B338,2,1),"x0x1x2x3x4x5x6x7x8x9"))),OR(3&gt;LEN(B338),MID(B338,3,1)=".",ISNUMBER(FIND("x"&amp;MID(B338,3,1),"x0x1x2x3x4x5x6x7x8x9"))),OR(4&gt;LEN(B338),MID(B338,4,1)=".",ISNUMBER(FIND("x"&amp;MID(B338,4,1),"x0x1x2x3x4x5x6x7x8x9"))),OR(5&gt;LEN(B338),MID(B338,5,1)=".",ISNUMBER(FIND("x"&amp;MID(B338,5,1),"x0x1x2x3x4x5x6x7x8x9"))),OR(6&gt;LEN(B338),MID(B338,6,1)=".",ISNUMBER(FIND("x"&amp;MID(B338,6,1),"x0x1x2x3x4x5x6x7x8x9"))),OR(7&gt;LEN(B338),MID(B338,7,1)=".",ISNUMBER(FIND("x"&amp;MID(B338,7,1),"x0x1x2x3x4x5x6x7x8x9"))),OR(8&gt;LEN(B338),MID(B338,8,1)=".",ISNUMBER(FIND("x"&amp;MID(B338,8,1),"x0x1x2x3x4x5x6x7x8x9"))),OR(9&gt;LEN(B338),MID(B338,9,1)=".",ISNUMBER(FIND("x"&amp;MID(B338,9,1),"x0x1x2x3x4x5x6x7x8x9"))),OR(10&gt;LEN(B338),MID(B338,10,1)=".",ISNUMBER(FIND("x"&amp;MID(B338,10,1),"x0x1x2x3x4x5x6x7x8x9"))),OR(AND(FIND(".",B338)=5,LEN(B338)-FIND(".",B338,FIND(".",B338)+1)&gt;=1,LEN(B338)-FIND(".",B338,FIND(".",B338)+1)&lt;=2),AND(LEN(B338)-FIND(".",B338,FIND(".",B338)+1)=4,FIND(".",B338)&gt;=2,FIND(".",B338)&lt;=3)),FIND(".",B338,FIND(".",B338)+1)-FIND(".",B338)&gt;=2,FIND(".",B338,FIND(".",B338)+1)-FIND(".",B338)&lt;=3,F338&gt;=2000,F338&lt;=2100,YEAR(I338)=F338,MONTH(I338)=G338,DAY(I338)=H338),I338,0)),0)</ns0:f>
        <ns0:v>0</ns0:v>
      </ns0:c>
      <ns0:c r="K338" s="0">
        <ns0:f>IFERROR(IF(ISNUMBER(Bookings!D338),"",TRIM(Bookings!D338&amp;"")),"")</ns0:f>
      </ns0:c>
      <ns0:c r="L338" s="0">
        <ns0:f>IFERROR(SUBSTITUTE(SUBSTITUTE(K338,"/","."),"-","."),"")</ns0:f>
      </ns0:c>
      <ns0:c r="M338" s="0">
        <ns0:f>IFERROR(LEFT(L338,FIND(".",L338)-1),"")</ns0:f>
      </ns0:c>
      <ns0:c r="N338" s="0">
        <ns0:f>IFERROR(MID(L338,FIND(".",L338)+1,FIND(".",L338,FIND(".",L338)+1)-FIND(".",L338)-1),"")</ns0:f>
      </ns0:c>
      <ns0:c r="O338" s="0">
        <ns0:f>IFERROR(MID(L338,FIND(".",L338,FIND(".",L338)+1)+1,99),"")</ns0:f>
        <ns0:v>99</ns0:v>
      </ns0:c>
      <ns0:c r="P338" s="0">
        <ns0:f>IFERROR(IF(FIND(".",L338)=5,--M338,--O338),0)</ns0:f>
        <ns0:v>0</ns0:v>
      </ns0:c>
      <ns0:c r="Q338" s="0">
        <ns0:f>IFERROR(--N338,0)</ns0:f>
        <ns0:v>0</ns0:v>
      </ns0:c>
      <ns0:c r="R338" s="0">
        <ns0:f>IFERROR(IF(FIND(".",L338)=5,--O338,--M338),0)</ns0:f>
        <ns0:v>0</ns0:v>
      </ns0:c>
      <ns0:c r="S338" s="0">
        <ns0:f>IFERROR(IF(AND(P338&gt;=2000,P338&lt;=2100,Q338&gt;=1,Q338&lt;=12,R338&gt;=1,R338&lt;=31),DATE(P338,Q338,R338),0),0)</ns0:f>
        <ns0:v>0</ns0:v>
      </ns0:c>
      <ns0:c r="T338" s="0">
        <ns0:f>IFERROR(IF(ISNUMBER(Bookings!D338),IF(AND(Bookings!D338=INT(Bookings!D338),Bookings!D338&gt;=DATE(2000,1,1),Bookings!D338&lt;=DATE(2100,12,31)),Bookings!D338,0),IF(AND(K338&lt;&gt;"",LEN("x"&amp;L338)-LEN(SUBSTITUTE("x"&amp;L338,".",""))=2,OR(1&gt;LEN(L338),MID(L338,1,1)=".",ISNUMBER(FIND("x"&amp;MID(L338,1,1),"x0x1x2x3x4x5x6x7x8x9"))),OR(2&gt;LEN(L338),MID(L338,2,1)=".",ISNUMBER(FIND("x"&amp;MID(L338,2,1),"x0x1x2x3x4x5x6x7x8x9"))),OR(3&gt;LEN(L338),MID(L338,3,1)=".",ISNUMBER(FIND("x"&amp;MID(L338,3,1),"x0x1x2x3x4x5x6x7x8x9"))),OR(4&gt;LEN(L338),MID(L338,4,1)=".",ISNUMBER(FIND("x"&amp;MID(L338,4,1),"x0x1x2x3x4x5x6x7x8x9"))),OR(5&gt;LEN(L338),MID(L338,5,1)=".",ISNUMBER(FIND("x"&amp;MID(L338,5,1),"x0x1x2x3x4x5x6x7x8x9"))),OR(6&gt;LEN(L338),MID(L338,6,1)=".",ISNUMBER(FIND("x"&amp;MID(L338,6,1),"x0x1x2x3x4x5x6x7x8x9"))),OR(7&gt;LEN(L338),MID(L338,7,1)=".",ISNUMBER(FIND("x"&amp;MID(L338,7,1),"x0x1x2x3x4x5x6x7x8x9"))),OR(8&gt;LEN(L338),MID(L338,8,1)=".",ISNUMBER(FIND("x"&amp;MID(L338,8,1),"x0x1x2x3x4x5x6x7x8x9"))),OR(9&gt;LEN(L338),MID(L338,9,1)=".",ISNUMBER(FIND("x"&amp;MID(L338,9,1),"x0x1x2x3x4x5x6x7x8x9"))),OR(10&gt;LEN(L338),MID(L338,10,1)=".",ISNUMBER(FIND("x"&amp;MID(L338,10,1),"x0x1x2x3x4x5x6x7x8x9"))),OR(AND(FIND(".",L338)=5,LEN(L338)-FIND(".",L338,FIND(".",L338)+1)&gt;=1,LEN(L338)-FIND(".",L338,FIND(".",L338)+1)&lt;=2),AND(LEN(L338)-FIND(".",L338,FIND(".",L338)+1)=4,FIND(".",L338)&gt;=2,FIND(".",L338)&lt;=3)),FIND(".",L338,FIND(".",L338)+1)-FIND(".",L338)&gt;=2,FIND(".",L338,FIND(".",L338)+1)-FIND(".",L338)&lt;=3,P338&gt;=2000,P338&lt;=2100,YEAR(S338)=P338,MONTH(S338)=Q338,DAY(S338)=R338),S338,0)),0)</ns0:f>
        <ns0:v>0</ns0:v>
      </ns0:c>
      <ns0:c r="U338" s="0" t="str">
        <ns0:f>IF(Bookings!C338="","Full day",Bookings!C338)</ns0:f>
        <ns0:v>Full day</ns0:v>
      </ns0:c>
      <ns0:c r="V338" s="0" t="str">
        <ns0:f>IF(Bookings!E338="","Full day",Bookings!E338)</ns0:f>
        <ns0:v>Full day</ns0:v>
      </ns0:c>
      <ns0:c r="W338" s="0">
        <ns0:f>IF(J338=0,0,J338+IF(U338="PM",1,0))</ns0:f>
        <ns0:v>0</ns0:v>
      </ns0:c>
      <ns0:c r="X338" s="0">
        <ns0:f>IF(T338=0,0,T338-IF(V338="PM",1,0))</ns0:f>
        <ns0:v>0</ns0:v>
      </ns0:c>
      <ns0:c r="Y338" s="0">
        <ns0:f>IF(J338=0,0,J338+IF(U338="AM",1,0))</ns0:f>
        <ns0:v>0</ns0:v>
      </ns0:c>
      <ns0:c r="Z338" s="0">
        <ns0:f>IF(T338=0,0,T338-IF(V338="AM",1,0))</ns0:f>
        <ns0:v>0</ns0:v>
      </ns0:c>
      <ns0:c r="AA338" s="0">
        <ns0:f>IFERROR(IF(AND(J338&gt;0,'_Engine'!C338&gt;0,MID('_Engine'!W338,WEEKDAY(J338,2),1)="W",COUNTIF(Settings!$F$18:$F$67,J338)=0),1,0),0)</ns0:f>
        <ns0:v>0</ns0:v>
      </ns0:c>
      <ns0:c r="AB338" s="0">
        <ns0:f>IFERROR(IF(AND(T338&gt;0,'_Engine'!C338&gt;0,MID('_Engine'!W338,WEEKDAY(T338,2),1)="W",COUNTIF(Settings!$F$18:$F$67,T338)=0),1,0),0)</ns0:f>
        <ns0:v>0</ns0:v>
      </ns0:c>
      <ns0:c r="AC338" s="0">
        <ns0:f>IF(AND(J338&gt;0,T338&gt;0,W338&lt;=X338),1,0)</ns0:f>
        <ns0:v>0</ns0:v>
      </ns0:c>
      <ns0:c r="AD338" s="0">
        <ns0:f>IF(AND(J338&gt;0,T338&gt;0,Y338&lt;=Z338),1,0)</ns0:f>
        <ns0:v>0</ns0:v>
      </ns0:c>
    </ns0:row>
    <ns0:row r="339">
      <ns0:c r="A339" s="0">
        <ns0:f>IFERROR(IF(ISNUMBER(Bookings!B339),"",TRIM(Bookings!B339&amp;"")),"")</ns0:f>
      </ns0:c>
      <ns0:c r="B339" s="0">
        <ns0:f>IFERROR(SUBSTITUTE(SUBSTITUTE(A339,"/","."),"-","."),"")</ns0:f>
      </ns0:c>
      <ns0:c r="C339" s="0">
        <ns0:f>IFERROR(LEFT(B339,FIND(".",B339)-1),"")</ns0:f>
      </ns0:c>
      <ns0:c r="D339" s="0">
        <ns0:f>IFERROR(MID(B339,FIND(".",B339)+1,FIND(".",B339,FIND(".",B339)+1)-FIND(".",B339)-1),"")</ns0:f>
      </ns0:c>
      <ns0:c r="E339" s="0">
        <ns0:f>IFERROR(MID(B339,FIND(".",B339,FIND(".",B339)+1)+1,99),"")</ns0:f>
        <ns0:v>99</ns0:v>
      </ns0:c>
      <ns0:c r="F339" s="0">
        <ns0:f>IFERROR(IF(FIND(".",B339)=5,--C339,--E339),0)</ns0:f>
        <ns0:v>0</ns0:v>
      </ns0:c>
      <ns0:c r="G339" s="0">
        <ns0:f>IFERROR(--D339,0)</ns0:f>
        <ns0:v>0</ns0:v>
      </ns0:c>
      <ns0:c r="H339" s="0">
        <ns0:f>IFERROR(IF(FIND(".",B339)=5,--E339,--C339),0)</ns0:f>
        <ns0:v>0</ns0:v>
      </ns0:c>
      <ns0:c r="I339" s="0">
        <ns0:f>IFERROR(IF(AND(F339&gt;=2000,F339&lt;=2100,G339&gt;=1,G339&lt;=12,H339&gt;=1,H339&lt;=31),DATE(F339,G339,H339),0),0)</ns0:f>
        <ns0:v>0</ns0:v>
      </ns0:c>
      <ns0:c r="J339" s="0">
        <ns0:f>IFERROR(IF(ISNUMBER(Bookings!B339),IF(AND(Bookings!B339=INT(Bookings!B339),Bookings!B339&gt;=DATE(2000,1,1),Bookings!B339&lt;=DATE(2100,12,31)),Bookings!B339,0),IF(AND(A339&lt;&gt;"",LEN("x"&amp;B339)-LEN(SUBSTITUTE("x"&amp;B339,".",""))=2,OR(1&gt;LEN(B339),MID(B339,1,1)=".",ISNUMBER(FIND("x"&amp;MID(B339,1,1),"x0x1x2x3x4x5x6x7x8x9"))),OR(2&gt;LEN(B339),MID(B339,2,1)=".",ISNUMBER(FIND("x"&amp;MID(B339,2,1),"x0x1x2x3x4x5x6x7x8x9"))),OR(3&gt;LEN(B339),MID(B339,3,1)=".",ISNUMBER(FIND("x"&amp;MID(B339,3,1),"x0x1x2x3x4x5x6x7x8x9"))),OR(4&gt;LEN(B339),MID(B339,4,1)=".",ISNUMBER(FIND("x"&amp;MID(B339,4,1),"x0x1x2x3x4x5x6x7x8x9"))),OR(5&gt;LEN(B339),MID(B339,5,1)=".",ISNUMBER(FIND("x"&amp;MID(B339,5,1),"x0x1x2x3x4x5x6x7x8x9"))),OR(6&gt;LEN(B339),MID(B339,6,1)=".",ISNUMBER(FIND("x"&amp;MID(B339,6,1),"x0x1x2x3x4x5x6x7x8x9"))),OR(7&gt;LEN(B339),MID(B339,7,1)=".",ISNUMBER(FIND("x"&amp;MID(B339,7,1),"x0x1x2x3x4x5x6x7x8x9"))),OR(8&gt;LEN(B339),MID(B339,8,1)=".",ISNUMBER(FIND("x"&amp;MID(B339,8,1),"x0x1x2x3x4x5x6x7x8x9"))),OR(9&gt;LEN(B339),MID(B339,9,1)=".",ISNUMBER(FIND("x"&amp;MID(B339,9,1),"x0x1x2x3x4x5x6x7x8x9"))),OR(10&gt;LEN(B339),MID(B339,10,1)=".",ISNUMBER(FIND("x"&amp;MID(B339,10,1),"x0x1x2x3x4x5x6x7x8x9"))),OR(AND(FIND(".",B339)=5,LEN(B339)-FIND(".",B339,FIND(".",B339)+1)&gt;=1,LEN(B339)-FIND(".",B339,FIND(".",B339)+1)&lt;=2),AND(LEN(B339)-FIND(".",B339,FIND(".",B339)+1)=4,FIND(".",B339)&gt;=2,FIND(".",B339)&lt;=3)),FIND(".",B339,FIND(".",B339)+1)-FIND(".",B339)&gt;=2,FIND(".",B339,FIND(".",B339)+1)-FIND(".",B339)&lt;=3,F339&gt;=2000,F339&lt;=2100,YEAR(I339)=F339,MONTH(I339)=G339,DAY(I339)=H339),I339,0)),0)</ns0:f>
        <ns0:v>0</ns0:v>
      </ns0:c>
      <ns0:c r="K339" s="0">
        <ns0:f>IFERROR(IF(ISNUMBER(Bookings!D339),"",TRIM(Bookings!D339&amp;"")),"")</ns0:f>
      </ns0:c>
      <ns0:c r="L339" s="0">
        <ns0:f>IFERROR(SUBSTITUTE(SUBSTITUTE(K339,"/","."),"-","."),"")</ns0:f>
      </ns0:c>
      <ns0:c r="M339" s="0">
        <ns0:f>IFERROR(LEFT(L339,FIND(".",L339)-1),"")</ns0:f>
      </ns0:c>
      <ns0:c r="N339" s="0">
        <ns0:f>IFERROR(MID(L339,FIND(".",L339)+1,FIND(".",L339,FIND(".",L339)+1)-FIND(".",L339)-1),"")</ns0:f>
      </ns0:c>
      <ns0:c r="O339" s="0">
        <ns0:f>IFERROR(MID(L339,FIND(".",L339,FIND(".",L339)+1)+1,99),"")</ns0:f>
        <ns0:v>99</ns0:v>
      </ns0:c>
      <ns0:c r="P339" s="0">
        <ns0:f>IFERROR(IF(FIND(".",L339)=5,--M339,--O339),0)</ns0:f>
        <ns0:v>0</ns0:v>
      </ns0:c>
      <ns0:c r="Q339" s="0">
        <ns0:f>IFERROR(--N339,0)</ns0:f>
        <ns0:v>0</ns0:v>
      </ns0:c>
      <ns0:c r="R339" s="0">
        <ns0:f>IFERROR(IF(FIND(".",L339)=5,--O339,--M339),0)</ns0:f>
        <ns0:v>0</ns0:v>
      </ns0:c>
      <ns0:c r="S339" s="0">
        <ns0:f>IFERROR(IF(AND(P339&gt;=2000,P339&lt;=2100,Q339&gt;=1,Q339&lt;=12,R339&gt;=1,R339&lt;=31),DATE(P339,Q339,R339),0),0)</ns0:f>
        <ns0:v>0</ns0:v>
      </ns0:c>
      <ns0:c r="T339" s="0">
        <ns0:f>IFERROR(IF(ISNUMBER(Bookings!D339),IF(AND(Bookings!D339=INT(Bookings!D339),Bookings!D339&gt;=DATE(2000,1,1),Bookings!D339&lt;=DATE(2100,12,31)),Bookings!D339,0),IF(AND(K339&lt;&gt;"",LEN("x"&amp;L339)-LEN(SUBSTITUTE("x"&amp;L339,".",""))=2,OR(1&gt;LEN(L339),MID(L339,1,1)=".",ISNUMBER(FIND("x"&amp;MID(L339,1,1),"x0x1x2x3x4x5x6x7x8x9"))),OR(2&gt;LEN(L339),MID(L339,2,1)=".",ISNUMBER(FIND("x"&amp;MID(L339,2,1),"x0x1x2x3x4x5x6x7x8x9"))),OR(3&gt;LEN(L339),MID(L339,3,1)=".",ISNUMBER(FIND("x"&amp;MID(L339,3,1),"x0x1x2x3x4x5x6x7x8x9"))),OR(4&gt;LEN(L339),MID(L339,4,1)=".",ISNUMBER(FIND("x"&amp;MID(L339,4,1),"x0x1x2x3x4x5x6x7x8x9"))),OR(5&gt;LEN(L339),MID(L339,5,1)=".",ISNUMBER(FIND("x"&amp;MID(L339,5,1),"x0x1x2x3x4x5x6x7x8x9"))),OR(6&gt;LEN(L339),MID(L339,6,1)=".",ISNUMBER(FIND("x"&amp;MID(L339,6,1),"x0x1x2x3x4x5x6x7x8x9"))),OR(7&gt;LEN(L339),MID(L339,7,1)=".",ISNUMBER(FIND("x"&amp;MID(L339,7,1),"x0x1x2x3x4x5x6x7x8x9"))),OR(8&gt;LEN(L339),MID(L339,8,1)=".",ISNUMBER(FIND("x"&amp;MID(L339,8,1),"x0x1x2x3x4x5x6x7x8x9"))),OR(9&gt;LEN(L339),MID(L339,9,1)=".",ISNUMBER(FIND("x"&amp;MID(L339,9,1),"x0x1x2x3x4x5x6x7x8x9"))),OR(10&gt;LEN(L339),MID(L339,10,1)=".",ISNUMBER(FIND("x"&amp;MID(L339,10,1),"x0x1x2x3x4x5x6x7x8x9"))),OR(AND(FIND(".",L339)=5,LEN(L339)-FIND(".",L339,FIND(".",L339)+1)&gt;=1,LEN(L339)-FIND(".",L339,FIND(".",L339)+1)&lt;=2),AND(LEN(L339)-FIND(".",L339,FIND(".",L339)+1)=4,FIND(".",L339)&gt;=2,FIND(".",L339)&lt;=3)),FIND(".",L339,FIND(".",L339)+1)-FIND(".",L339)&gt;=2,FIND(".",L339,FIND(".",L339)+1)-FIND(".",L339)&lt;=3,P339&gt;=2000,P339&lt;=2100,YEAR(S339)=P339,MONTH(S339)=Q339,DAY(S339)=R339),S339,0)),0)</ns0:f>
        <ns0:v>0</ns0:v>
      </ns0:c>
      <ns0:c r="U339" s="0" t="str">
        <ns0:f>IF(Bookings!C339="","Full day",Bookings!C339)</ns0:f>
        <ns0:v>Full day</ns0:v>
      </ns0:c>
      <ns0:c r="V339" s="0" t="str">
        <ns0:f>IF(Bookings!E339="","Full day",Bookings!E339)</ns0:f>
        <ns0:v>Full day</ns0:v>
      </ns0:c>
      <ns0:c r="W339" s="0">
        <ns0:f>IF(J339=0,0,J339+IF(U339="PM",1,0))</ns0:f>
        <ns0:v>0</ns0:v>
      </ns0:c>
      <ns0:c r="X339" s="0">
        <ns0:f>IF(T339=0,0,T339-IF(V339="PM",1,0))</ns0:f>
        <ns0:v>0</ns0:v>
      </ns0:c>
      <ns0:c r="Y339" s="0">
        <ns0:f>IF(J339=0,0,J339+IF(U339="AM",1,0))</ns0:f>
        <ns0:v>0</ns0:v>
      </ns0:c>
      <ns0:c r="Z339" s="0">
        <ns0:f>IF(T339=0,0,T339-IF(V339="AM",1,0))</ns0:f>
        <ns0:v>0</ns0:v>
      </ns0:c>
      <ns0:c r="AA339" s="0">
        <ns0:f>IFERROR(IF(AND(J339&gt;0,'_Engine'!C339&gt;0,MID('_Engine'!W339,WEEKDAY(J339,2),1)="W",COUNTIF(Settings!$F$18:$F$67,J339)=0),1,0),0)</ns0:f>
        <ns0:v>0</ns0:v>
      </ns0:c>
      <ns0:c r="AB339" s="0">
        <ns0:f>IFERROR(IF(AND(T339&gt;0,'_Engine'!C339&gt;0,MID('_Engine'!W339,WEEKDAY(T339,2),1)="W",COUNTIF(Settings!$F$18:$F$67,T339)=0),1,0),0)</ns0:f>
        <ns0:v>0</ns0:v>
      </ns0:c>
      <ns0:c r="AC339" s="0">
        <ns0:f>IF(AND(J339&gt;0,T339&gt;0,W339&lt;=X339),1,0)</ns0:f>
        <ns0:v>0</ns0:v>
      </ns0:c>
      <ns0:c r="AD339" s="0">
        <ns0:f>IF(AND(J339&gt;0,T339&gt;0,Y339&lt;=Z339),1,0)</ns0:f>
        <ns0:v>0</ns0:v>
      </ns0:c>
    </ns0:row>
    <ns0:row r="340">
      <ns0:c r="A340" s="0">
        <ns0:f>IFERROR(IF(ISNUMBER(Bookings!B340),"",TRIM(Bookings!B340&amp;"")),"")</ns0:f>
      </ns0:c>
      <ns0:c r="B340" s="0">
        <ns0:f>IFERROR(SUBSTITUTE(SUBSTITUTE(A340,"/","."),"-","."),"")</ns0:f>
      </ns0:c>
      <ns0:c r="C340" s="0">
        <ns0:f>IFERROR(LEFT(B340,FIND(".",B340)-1),"")</ns0:f>
      </ns0:c>
      <ns0:c r="D340" s="0">
        <ns0:f>IFERROR(MID(B340,FIND(".",B340)+1,FIND(".",B340,FIND(".",B340)+1)-FIND(".",B340)-1),"")</ns0:f>
      </ns0:c>
      <ns0:c r="E340" s="0">
        <ns0:f>IFERROR(MID(B340,FIND(".",B340,FIND(".",B340)+1)+1,99),"")</ns0:f>
        <ns0:v>99</ns0:v>
      </ns0:c>
      <ns0:c r="F340" s="0">
        <ns0:f>IFERROR(IF(FIND(".",B340)=5,--C340,--E340),0)</ns0:f>
        <ns0:v>0</ns0:v>
      </ns0:c>
      <ns0:c r="G340" s="0">
        <ns0:f>IFERROR(--D340,0)</ns0:f>
        <ns0:v>0</ns0:v>
      </ns0:c>
      <ns0:c r="H340" s="0">
        <ns0:f>IFERROR(IF(FIND(".",B340)=5,--E340,--C340),0)</ns0:f>
        <ns0:v>0</ns0:v>
      </ns0:c>
      <ns0:c r="I340" s="0">
        <ns0:f>IFERROR(IF(AND(F340&gt;=2000,F340&lt;=2100,G340&gt;=1,G340&lt;=12,H340&gt;=1,H340&lt;=31),DATE(F340,G340,H340),0),0)</ns0:f>
        <ns0:v>0</ns0:v>
      </ns0:c>
      <ns0:c r="J340" s="0">
        <ns0:f>IFERROR(IF(ISNUMBER(Bookings!B340),IF(AND(Bookings!B340=INT(Bookings!B340),Bookings!B340&gt;=DATE(2000,1,1),Bookings!B340&lt;=DATE(2100,12,31)),Bookings!B340,0),IF(AND(A340&lt;&gt;"",LEN("x"&amp;B340)-LEN(SUBSTITUTE("x"&amp;B340,".",""))=2,OR(1&gt;LEN(B340),MID(B340,1,1)=".",ISNUMBER(FIND("x"&amp;MID(B340,1,1),"x0x1x2x3x4x5x6x7x8x9"))),OR(2&gt;LEN(B340),MID(B340,2,1)=".",ISNUMBER(FIND("x"&amp;MID(B340,2,1),"x0x1x2x3x4x5x6x7x8x9"))),OR(3&gt;LEN(B340),MID(B340,3,1)=".",ISNUMBER(FIND("x"&amp;MID(B340,3,1),"x0x1x2x3x4x5x6x7x8x9"))),OR(4&gt;LEN(B340),MID(B340,4,1)=".",ISNUMBER(FIND("x"&amp;MID(B340,4,1),"x0x1x2x3x4x5x6x7x8x9"))),OR(5&gt;LEN(B340),MID(B340,5,1)=".",ISNUMBER(FIND("x"&amp;MID(B340,5,1),"x0x1x2x3x4x5x6x7x8x9"))),OR(6&gt;LEN(B340),MID(B340,6,1)=".",ISNUMBER(FIND("x"&amp;MID(B340,6,1),"x0x1x2x3x4x5x6x7x8x9"))),OR(7&gt;LEN(B340),MID(B340,7,1)=".",ISNUMBER(FIND("x"&amp;MID(B340,7,1),"x0x1x2x3x4x5x6x7x8x9"))),OR(8&gt;LEN(B340),MID(B340,8,1)=".",ISNUMBER(FIND("x"&amp;MID(B340,8,1),"x0x1x2x3x4x5x6x7x8x9"))),OR(9&gt;LEN(B340),MID(B340,9,1)=".",ISNUMBER(FIND("x"&amp;MID(B340,9,1),"x0x1x2x3x4x5x6x7x8x9"))),OR(10&gt;LEN(B340),MID(B340,10,1)=".",ISNUMBER(FIND("x"&amp;MID(B340,10,1),"x0x1x2x3x4x5x6x7x8x9"))),OR(AND(FIND(".",B340)=5,LEN(B340)-FIND(".",B340,FIND(".",B340)+1)&gt;=1,LEN(B340)-FIND(".",B340,FIND(".",B340)+1)&lt;=2),AND(LEN(B340)-FIND(".",B340,FIND(".",B340)+1)=4,FIND(".",B340)&gt;=2,FIND(".",B340)&lt;=3)),FIND(".",B340,FIND(".",B340)+1)-FIND(".",B340)&gt;=2,FIND(".",B340,FIND(".",B340)+1)-FIND(".",B340)&lt;=3,F340&gt;=2000,F340&lt;=2100,YEAR(I340)=F340,MONTH(I340)=G340,DAY(I340)=H340),I340,0)),0)</ns0:f>
        <ns0:v>0</ns0:v>
      </ns0:c>
      <ns0:c r="K340" s="0">
        <ns0:f>IFERROR(IF(ISNUMBER(Bookings!D340),"",TRIM(Bookings!D340&amp;"")),"")</ns0:f>
      </ns0:c>
      <ns0:c r="L340" s="0">
        <ns0:f>IFERROR(SUBSTITUTE(SUBSTITUTE(K340,"/","."),"-","."),"")</ns0:f>
      </ns0:c>
      <ns0:c r="M340" s="0">
        <ns0:f>IFERROR(LEFT(L340,FIND(".",L340)-1),"")</ns0:f>
      </ns0:c>
      <ns0:c r="N340" s="0">
        <ns0:f>IFERROR(MID(L340,FIND(".",L340)+1,FIND(".",L340,FIND(".",L340)+1)-FIND(".",L340)-1),"")</ns0:f>
      </ns0:c>
      <ns0:c r="O340" s="0">
        <ns0:f>IFERROR(MID(L340,FIND(".",L340,FIND(".",L340)+1)+1,99),"")</ns0:f>
        <ns0:v>99</ns0:v>
      </ns0:c>
      <ns0:c r="P340" s="0">
        <ns0:f>IFERROR(IF(FIND(".",L340)=5,--M340,--O340),0)</ns0:f>
        <ns0:v>0</ns0:v>
      </ns0:c>
      <ns0:c r="Q340" s="0">
        <ns0:f>IFERROR(--N340,0)</ns0:f>
        <ns0:v>0</ns0:v>
      </ns0:c>
      <ns0:c r="R340" s="0">
        <ns0:f>IFERROR(IF(FIND(".",L340)=5,--O340,--M340),0)</ns0:f>
        <ns0:v>0</ns0:v>
      </ns0:c>
      <ns0:c r="S340" s="0">
        <ns0:f>IFERROR(IF(AND(P340&gt;=2000,P340&lt;=2100,Q340&gt;=1,Q340&lt;=12,R340&gt;=1,R340&lt;=31),DATE(P340,Q340,R340),0),0)</ns0:f>
        <ns0:v>0</ns0:v>
      </ns0:c>
      <ns0:c r="T340" s="0">
        <ns0:f>IFERROR(IF(ISNUMBER(Bookings!D340),IF(AND(Bookings!D340=INT(Bookings!D340),Bookings!D340&gt;=DATE(2000,1,1),Bookings!D340&lt;=DATE(2100,12,31)),Bookings!D340,0),IF(AND(K340&lt;&gt;"",LEN("x"&amp;L340)-LEN(SUBSTITUTE("x"&amp;L340,".",""))=2,OR(1&gt;LEN(L340),MID(L340,1,1)=".",ISNUMBER(FIND("x"&amp;MID(L340,1,1),"x0x1x2x3x4x5x6x7x8x9"))),OR(2&gt;LEN(L340),MID(L340,2,1)=".",ISNUMBER(FIND("x"&amp;MID(L340,2,1),"x0x1x2x3x4x5x6x7x8x9"))),OR(3&gt;LEN(L340),MID(L340,3,1)=".",ISNUMBER(FIND("x"&amp;MID(L340,3,1),"x0x1x2x3x4x5x6x7x8x9"))),OR(4&gt;LEN(L340),MID(L340,4,1)=".",ISNUMBER(FIND("x"&amp;MID(L340,4,1),"x0x1x2x3x4x5x6x7x8x9"))),OR(5&gt;LEN(L340),MID(L340,5,1)=".",ISNUMBER(FIND("x"&amp;MID(L340,5,1),"x0x1x2x3x4x5x6x7x8x9"))),OR(6&gt;LEN(L340),MID(L340,6,1)=".",ISNUMBER(FIND("x"&amp;MID(L340,6,1),"x0x1x2x3x4x5x6x7x8x9"))),OR(7&gt;LEN(L340),MID(L340,7,1)=".",ISNUMBER(FIND("x"&amp;MID(L340,7,1),"x0x1x2x3x4x5x6x7x8x9"))),OR(8&gt;LEN(L340),MID(L340,8,1)=".",ISNUMBER(FIND("x"&amp;MID(L340,8,1),"x0x1x2x3x4x5x6x7x8x9"))),OR(9&gt;LEN(L340),MID(L340,9,1)=".",ISNUMBER(FIND("x"&amp;MID(L340,9,1),"x0x1x2x3x4x5x6x7x8x9"))),OR(10&gt;LEN(L340),MID(L340,10,1)=".",ISNUMBER(FIND("x"&amp;MID(L340,10,1),"x0x1x2x3x4x5x6x7x8x9"))),OR(AND(FIND(".",L340)=5,LEN(L340)-FIND(".",L340,FIND(".",L340)+1)&gt;=1,LEN(L340)-FIND(".",L340,FIND(".",L340)+1)&lt;=2),AND(LEN(L340)-FIND(".",L340,FIND(".",L340)+1)=4,FIND(".",L340)&gt;=2,FIND(".",L340)&lt;=3)),FIND(".",L340,FIND(".",L340)+1)-FIND(".",L340)&gt;=2,FIND(".",L340,FIND(".",L340)+1)-FIND(".",L340)&lt;=3,P340&gt;=2000,P340&lt;=2100,YEAR(S340)=P340,MONTH(S340)=Q340,DAY(S340)=R340),S340,0)),0)</ns0:f>
        <ns0:v>0</ns0:v>
      </ns0:c>
      <ns0:c r="U340" s="0" t="str">
        <ns0:f>IF(Bookings!C340="","Full day",Bookings!C340)</ns0:f>
        <ns0:v>Full day</ns0:v>
      </ns0:c>
      <ns0:c r="V340" s="0" t="str">
        <ns0:f>IF(Bookings!E340="","Full day",Bookings!E340)</ns0:f>
        <ns0:v>Full day</ns0:v>
      </ns0:c>
      <ns0:c r="W340" s="0">
        <ns0:f>IF(J340=0,0,J340+IF(U340="PM",1,0))</ns0:f>
        <ns0:v>0</ns0:v>
      </ns0:c>
      <ns0:c r="X340" s="0">
        <ns0:f>IF(T340=0,0,T340-IF(V340="PM",1,0))</ns0:f>
        <ns0:v>0</ns0:v>
      </ns0:c>
      <ns0:c r="Y340" s="0">
        <ns0:f>IF(J340=0,0,J340+IF(U340="AM",1,0))</ns0:f>
        <ns0:v>0</ns0:v>
      </ns0:c>
      <ns0:c r="Z340" s="0">
        <ns0:f>IF(T340=0,0,T340-IF(V340="AM",1,0))</ns0:f>
        <ns0:v>0</ns0:v>
      </ns0:c>
      <ns0:c r="AA340" s="0">
        <ns0:f>IFERROR(IF(AND(J340&gt;0,'_Engine'!C340&gt;0,MID('_Engine'!W340,WEEKDAY(J340,2),1)="W",COUNTIF(Settings!$F$18:$F$67,J340)=0),1,0),0)</ns0:f>
        <ns0:v>0</ns0:v>
      </ns0:c>
      <ns0:c r="AB340" s="0">
        <ns0:f>IFERROR(IF(AND(T340&gt;0,'_Engine'!C340&gt;0,MID('_Engine'!W340,WEEKDAY(T340,2),1)="W",COUNTIF(Settings!$F$18:$F$67,T340)=0),1,0),0)</ns0:f>
        <ns0:v>0</ns0:v>
      </ns0:c>
      <ns0:c r="AC340" s="0">
        <ns0:f>IF(AND(J340&gt;0,T340&gt;0,W340&lt;=X340),1,0)</ns0:f>
        <ns0:v>0</ns0:v>
      </ns0:c>
      <ns0:c r="AD340" s="0">
        <ns0:f>IF(AND(J340&gt;0,T340&gt;0,Y340&lt;=Z340),1,0)</ns0:f>
        <ns0:v>0</ns0:v>
      </ns0:c>
    </ns0:row>
    <ns0:row r="341">
      <ns0:c r="A341" s="0">
        <ns0:f>IFERROR(IF(ISNUMBER(Bookings!B341),"",TRIM(Bookings!B341&amp;"")),"")</ns0:f>
      </ns0:c>
      <ns0:c r="B341" s="0">
        <ns0:f>IFERROR(SUBSTITUTE(SUBSTITUTE(A341,"/","."),"-","."),"")</ns0:f>
      </ns0:c>
      <ns0:c r="C341" s="0">
        <ns0:f>IFERROR(LEFT(B341,FIND(".",B341)-1),"")</ns0:f>
      </ns0:c>
      <ns0:c r="D341" s="0">
        <ns0:f>IFERROR(MID(B341,FIND(".",B341)+1,FIND(".",B341,FIND(".",B341)+1)-FIND(".",B341)-1),"")</ns0:f>
      </ns0:c>
      <ns0:c r="E341" s="0">
        <ns0:f>IFERROR(MID(B341,FIND(".",B341,FIND(".",B341)+1)+1,99),"")</ns0:f>
        <ns0:v>99</ns0:v>
      </ns0:c>
      <ns0:c r="F341" s="0">
        <ns0:f>IFERROR(IF(FIND(".",B341)=5,--C341,--E341),0)</ns0:f>
        <ns0:v>0</ns0:v>
      </ns0:c>
      <ns0:c r="G341" s="0">
        <ns0:f>IFERROR(--D341,0)</ns0:f>
        <ns0:v>0</ns0:v>
      </ns0:c>
      <ns0:c r="H341" s="0">
        <ns0:f>IFERROR(IF(FIND(".",B341)=5,--E341,--C341),0)</ns0:f>
        <ns0:v>0</ns0:v>
      </ns0:c>
      <ns0:c r="I341" s="0">
        <ns0:f>IFERROR(IF(AND(F341&gt;=2000,F341&lt;=2100,G341&gt;=1,G341&lt;=12,H341&gt;=1,H341&lt;=31),DATE(F341,G341,H341),0),0)</ns0:f>
        <ns0:v>0</ns0:v>
      </ns0:c>
      <ns0:c r="J341" s="0">
        <ns0:f>IFERROR(IF(ISNUMBER(Bookings!B341),IF(AND(Bookings!B341=INT(Bookings!B341),Bookings!B341&gt;=DATE(2000,1,1),Bookings!B341&lt;=DATE(2100,12,31)),Bookings!B341,0),IF(AND(A341&lt;&gt;"",LEN("x"&amp;B341)-LEN(SUBSTITUTE("x"&amp;B341,".",""))=2,OR(1&gt;LEN(B341),MID(B341,1,1)=".",ISNUMBER(FIND("x"&amp;MID(B341,1,1),"x0x1x2x3x4x5x6x7x8x9"))),OR(2&gt;LEN(B341),MID(B341,2,1)=".",ISNUMBER(FIND("x"&amp;MID(B341,2,1),"x0x1x2x3x4x5x6x7x8x9"))),OR(3&gt;LEN(B341),MID(B341,3,1)=".",ISNUMBER(FIND("x"&amp;MID(B341,3,1),"x0x1x2x3x4x5x6x7x8x9"))),OR(4&gt;LEN(B341),MID(B341,4,1)=".",ISNUMBER(FIND("x"&amp;MID(B341,4,1),"x0x1x2x3x4x5x6x7x8x9"))),OR(5&gt;LEN(B341),MID(B341,5,1)=".",ISNUMBER(FIND("x"&amp;MID(B341,5,1),"x0x1x2x3x4x5x6x7x8x9"))),OR(6&gt;LEN(B341),MID(B341,6,1)=".",ISNUMBER(FIND("x"&amp;MID(B341,6,1),"x0x1x2x3x4x5x6x7x8x9"))),OR(7&gt;LEN(B341),MID(B341,7,1)=".",ISNUMBER(FIND("x"&amp;MID(B341,7,1),"x0x1x2x3x4x5x6x7x8x9"))),OR(8&gt;LEN(B341),MID(B341,8,1)=".",ISNUMBER(FIND("x"&amp;MID(B341,8,1),"x0x1x2x3x4x5x6x7x8x9"))),OR(9&gt;LEN(B341),MID(B341,9,1)=".",ISNUMBER(FIND("x"&amp;MID(B341,9,1),"x0x1x2x3x4x5x6x7x8x9"))),OR(10&gt;LEN(B341),MID(B341,10,1)=".",ISNUMBER(FIND("x"&amp;MID(B341,10,1),"x0x1x2x3x4x5x6x7x8x9"))),OR(AND(FIND(".",B341)=5,LEN(B341)-FIND(".",B341,FIND(".",B341)+1)&gt;=1,LEN(B341)-FIND(".",B341,FIND(".",B341)+1)&lt;=2),AND(LEN(B341)-FIND(".",B341,FIND(".",B341)+1)=4,FIND(".",B341)&gt;=2,FIND(".",B341)&lt;=3)),FIND(".",B341,FIND(".",B341)+1)-FIND(".",B341)&gt;=2,FIND(".",B341,FIND(".",B341)+1)-FIND(".",B341)&lt;=3,F341&gt;=2000,F341&lt;=2100,YEAR(I341)=F341,MONTH(I341)=G341,DAY(I341)=H341),I341,0)),0)</ns0:f>
        <ns0:v>0</ns0:v>
      </ns0:c>
      <ns0:c r="K341" s="0">
        <ns0:f>IFERROR(IF(ISNUMBER(Bookings!D341),"",TRIM(Bookings!D341&amp;"")),"")</ns0:f>
      </ns0:c>
      <ns0:c r="L341" s="0">
        <ns0:f>IFERROR(SUBSTITUTE(SUBSTITUTE(K341,"/","."),"-","."),"")</ns0:f>
      </ns0:c>
      <ns0:c r="M341" s="0">
        <ns0:f>IFERROR(LEFT(L341,FIND(".",L341)-1),"")</ns0:f>
      </ns0:c>
      <ns0:c r="N341" s="0">
        <ns0:f>IFERROR(MID(L341,FIND(".",L341)+1,FIND(".",L341,FIND(".",L341)+1)-FIND(".",L341)-1),"")</ns0:f>
      </ns0:c>
      <ns0:c r="O341" s="0">
        <ns0:f>IFERROR(MID(L341,FIND(".",L341,FIND(".",L341)+1)+1,99),"")</ns0:f>
        <ns0:v>99</ns0:v>
      </ns0:c>
      <ns0:c r="P341" s="0">
        <ns0:f>IFERROR(IF(FIND(".",L341)=5,--M341,--O341),0)</ns0:f>
        <ns0:v>0</ns0:v>
      </ns0:c>
      <ns0:c r="Q341" s="0">
        <ns0:f>IFERROR(--N341,0)</ns0:f>
        <ns0:v>0</ns0:v>
      </ns0:c>
      <ns0:c r="R341" s="0">
        <ns0:f>IFERROR(IF(FIND(".",L341)=5,--O341,--M341),0)</ns0:f>
        <ns0:v>0</ns0:v>
      </ns0:c>
      <ns0:c r="S341" s="0">
        <ns0:f>IFERROR(IF(AND(P341&gt;=2000,P341&lt;=2100,Q341&gt;=1,Q341&lt;=12,R341&gt;=1,R341&lt;=31),DATE(P341,Q341,R341),0),0)</ns0:f>
        <ns0:v>0</ns0:v>
      </ns0:c>
      <ns0:c r="T341" s="0">
        <ns0:f>IFERROR(IF(ISNUMBER(Bookings!D341),IF(AND(Bookings!D341=INT(Bookings!D341),Bookings!D341&gt;=DATE(2000,1,1),Bookings!D341&lt;=DATE(2100,12,31)),Bookings!D341,0),IF(AND(K341&lt;&gt;"",LEN("x"&amp;L341)-LEN(SUBSTITUTE("x"&amp;L341,".",""))=2,OR(1&gt;LEN(L341),MID(L341,1,1)=".",ISNUMBER(FIND("x"&amp;MID(L341,1,1),"x0x1x2x3x4x5x6x7x8x9"))),OR(2&gt;LEN(L341),MID(L341,2,1)=".",ISNUMBER(FIND("x"&amp;MID(L341,2,1),"x0x1x2x3x4x5x6x7x8x9"))),OR(3&gt;LEN(L341),MID(L341,3,1)=".",ISNUMBER(FIND("x"&amp;MID(L341,3,1),"x0x1x2x3x4x5x6x7x8x9"))),OR(4&gt;LEN(L341),MID(L341,4,1)=".",ISNUMBER(FIND("x"&amp;MID(L341,4,1),"x0x1x2x3x4x5x6x7x8x9"))),OR(5&gt;LEN(L341),MID(L341,5,1)=".",ISNUMBER(FIND("x"&amp;MID(L341,5,1),"x0x1x2x3x4x5x6x7x8x9"))),OR(6&gt;LEN(L341),MID(L341,6,1)=".",ISNUMBER(FIND("x"&amp;MID(L341,6,1),"x0x1x2x3x4x5x6x7x8x9"))),OR(7&gt;LEN(L341),MID(L341,7,1)=".",ISNUMBER(FIND("x"&amp;MID(L341,7,1),"x0x1x2x3x4x5x6x7x8x9"))),OR(8&gt;LEN(L341),MID(L341,8,1)=".",ISNUMBER(FIND("x"&amp;MID(L341,8,1),"x0x1x2x3x4x5x6x7x8x9"))),OR(9&gt;LEN(L341),MID(L341,9,1)=".",ISNUMBER(FIND("x"&amp;MID(L341,9,1),"x0x1x2x3x4x5x6x7x8x9"))),OR(10&gt;LEN(L341),MID(L341,10,1)=".",ISNUMBER(FIND("x"&amp;MID(L341,10,1),"x0x1x2x3x4x5x6x7x8x9"))),OR(AND(FIND(".",L341)=5,LEN(L341)-FIND(".",L341,FIND(".",L341)+1)&gt;=1,LEN(L341)-FIND(".",L341,FIND(".",L341)+1)&lt;=2),AND(LEN(L341)-FIND(".",L341,FIND(".",L341)+1)=4,FIND(".",L341)&gt;=2,FIND(".",L341)&lt;=3)),FIND(".",L341,FIND(".",L341)+1)-FIND(".",L341)&gt;=2,FIND(".",L341,FIND(".",L341)+1)-FIND(".",L341)&lt;=3,P341&gt;=2000,P341&lt;=2100,YEAR(S341)=P341,MONTH(S341)=Q341,DAY(S341)=R341),S341,0)),0)</ns0:f>
        <ns0:v>0</ns0:v>
      </ns0:c>
      <ns0:c r="U341" s="0" t="str">
        <ns0:f>IF(Bookings!C341="","Full day",Bookings!C341)</ns0:f>
        <ns0:v>Full day</ns0:v>
      </ns0:c>
      <ns0:c r="V341" s="0" t="str">
        <ns0:f>IF(Bookings!E341="","Full day",Bookings!E341)</ns0:f>
        <ns0:v>Full day</ns0:v>
      </ns0:c>
      <ns0:c r="W341" s="0">
        <ns0:f>IF(J341=0,0,J341+IF(U341="PM",1,0))</ns0:f>
        <ns0:v>0</ns0:v>
      </ns0:c>
      <ns0:c r="X341" s="0">
        <ns0:f>IF(T341=0,0,T341-IF(V341="PM",1,0))</ns0:f>
        <ns0:v>0</ns0:v>
      </ns0:c>
      <ns0:c r="Y341" s="0">
        <ns0:f>IF(J341=0,0,J341+IF(U341="AM",1,0))</ns0:f>
        <ns0:v>0</ns0:v>
      </ns0:c>
      <ns0:c r="Z341" s="0">
        <ns0:f>IF(T341=0,0,T341-IF(V341="AM",1,0))</ns0:f>
        <ns0:v>0</ns0:v>
      </ns0:c>
      <ns0:c r="AA341" s="0">
        <ns0:f>IFERROR(IF(AND(J341&gt;0,'_Engine'!C341&gt;0,MID('_Engine'!W341,WEEKDAY(J341,2),1)="W",COUNTIF(Settings!$F$18:$F$67,J341)=0),1,0),0)</ns0:f>
        <ns0:v>0</ns0:v>
      </ns0:c>
      <ns0:c r="AB341" s="0">
        <ns0:f>IFERROR(IF(AND(T341&gt;0,'_Engine'!C341&gt;0,MID('_Engine'!W341,WEEKDAY(T341,2),1)="W",COUNTIF(Settings!$F$18:$F$67,T341)=0),1,0),0)</ns0:f>
        <ns0:v>0</ns0:v>
      </ns0:c>
      <ns0:c r="AC341" s="0">
        <ns0:f>IF(AND(J341&gt;0,T341&gt;0,W341&lt;=X341),1,0)</ns0:f>
        <ns0:v>0</ns0:v>
      </ns0:c>
      <ns0:c r="AD341" s="0">
        <ns0:f>IF(AND(J341&gt;0,T341&gt;0,Y341&lt;=Z341),1,0)</ns0:f>
        <ns0:v>0</ns0:v>
      </ns0:c>
    </ns0:row>
    <ns0:row r="342">
      <ns0:c r="A342" s="0">
        <ns0:f>IFERROR(IF(ISNUMBER(Bookings!B342),"",TRIM(Bookings!B342&amp;"")),"")</ns0:f>
      </ns0:c>
      <ns0:c r="B342" s="0">
        <ns0:f>IFERROR(SUBSTITUTE(SUBSTITUTE(A342,"/","."),"-","."),"")</ns0:f>
      </ns0:c>
      <ns0:c r="C342" s="0">
        <ns0:f>IFERROR(LEFT(B342,FIND(".",B342)-1),"")</ns0:f>
      </ns0:c>
      <ns0:c r="D342" s="0">
        <ns0:f>IFERROR(MID(B342,FIND(".",B342)+1,FIND(".",B342,FIND(".",B342)+1)-FIND(".",B342)-1),"")</ns0:f>
      </ns0:c>
      <ns0:c r="E342" s="0">
        <ns0:f>IFERROR(MID(B342,FIND(".",B342,FIND(".",B342)+1)+1,99),"")</ns0:f>
        <ns0:v>99</ns0:v>
      </ns0:c>
      <ns0:c r="F342" s="0">
        <ns0:f>IFERROR(IF(FIND(".",B342)=5,--C342,--E342),0)</ns0:f>
        <ns0:v>0</ns0:v>
      </ns0:c>
      <ns0:c r="G342" s="0">
        <ns0:f>IFERROR(--D342,0)</ns0:f>
        <ns0:v>0</ns0:v>
      </ns0:c>
      <ns0:c r="H342" s="0">
        <ns0:f>IFERROR(IF(FIND(".",B342)=5,--E342,--C342),0)</ns0:f>
        <ns0:v>0</ns0:v>
      </ns0:c>
      <ns0:c r="I342" s="0">
        <ns0:f>IFERROR(IF(AND(F342&gt;=2000,F342&lt;=2100,G342&gt;=1,G342&lt;=12,H342&gt;=1,H342&lt;=31),DATE(F342,G342,H342),0),0)</ns0:f>
        <ns0:v>0</ns0:v>
      </ns0:c>
      <ns0:c r="J342" s="0">
        <ns0:f>IFERROR(IF(ISNUMBER(Bookings!B342),IF(AND(Bookings!B342=INT(Bookings!B342),Bookings!B342&gt;=DATE(2000,1,1),Bookings!B342&lt;=DATE(2100,12,31)),Bookings!B342,0),IF(AND(A342&lt;&gt;"",LEN("x"&amp;B342)-LEN(SUBSTITUTE("x"&amp;B342,".",""))=2,OR(1&gt;LEN(B342),MID(B342,1,1)=".",ISNUMBER(FIND("x"&amp;MID(B342,1,1),"x0x1x2x3x4x5x6x7x8x9"))),OR(2&gt;LEN(B342),MID(B342,2,1)=".",ISNUMBER(FIND("x"&amp;MID(B342,2,1),"x0x1x2x3x4x5x6x7x8x9"))),OR(3&gt;LEN(B342),MID(B342,3,1)=".",ISNUMBER(FIND("x"&amp;MID(B342,3,1),"x0x1x2x3x4x5x6x7x8x9"))),OR(4&gt;LEN(B342),MID(B342,4,1)=".",ISNUMBER(FIND("x"&amp;MID(B342,4,1),"x0x1x2x3x4x5x6x7x8x9"))),OR(5&gt;LEN(B342),MID(B342,5,1)=".",ISNUMBER(FIND("x"&amp;MID(B342,5,1),"x0x1x2x3x4x5x6x7x8x9"))),OR(6&gt;LEN(B342),MID(B342,6,1)=".",ISNUMBER(FIND("x"&amp;MID(B342,6,1),"x0x1x2x3x4x5x6x7x8x9"))),OR(7&gt;LEN(B342),MID(B342,7,1)=".",ISNUMBER(FIND("x"&amp;MID(B342,7,1),"x0x1x2x3x4x5x6x7x8x9"))),OR(8&gt;LEN(B342),MID(B342,8,1)=".",ISNUMBER(FIND("x"&amp;MID(B342,8,1),"x0x1x2x3x4x5x6x7x8x9"))),OR(9&gt;LEN(B342),MID(B342,9,1)=".",ISNUMBER(FIND("x"&amp;MID(B342,9,1),"x0x1x2x3x4x5x6x7x8x9"))),OR(10&gt;LEN(B342),MID(B342,10,1)=".",ISNUMBER(FIND("x"&amp;MID(B342,10,1),"x0x1x2x3x4x5x6x7x8x9"))),OR(AND(FIND(".",B342)=5,LEN(B342)-FIND(".",B342,FIND(".",B342)+1)&gt;=1,LEN(B342)-FIND(".",B342,FIND(".",B342)+1)&lt;=2),AND(LEN(B342)-FIND(".",B342,FIND(".",B342)+1)=4,FIND(".",B342)&gt;=2,FIND(".",B342)&lt;=3)),FIND(".",B342,FIND(".",B342)+1)-FIND(".",B342)&gt;=2,FIND(".",B342,FIND(".",B342)+1)-FIND(".",B342)&lt;=3,F342&gt;=2000,F342&lt;=2100,YEAR(I342)=F342,MONTH(I342)=G342,DAY(I342)=H342),I342,0)),0)</ns0:f>
        <ns0:v>0</ns0:v>
      </ns0:c>
      <ns0:c r="K342" s="0">
        <ns0:f>IFERROR(IF(ISNUMBER(Bookings!D342),"",TRIM(Bookings!D342&amp;"")),"")</ns0:f>
      </ns0:c>
      <ns0:c r="L342" s="0">
        <ns0:f>IFERROR(SUBSTITUTE(SUBSTITUTE(K342,"/","."),"-","."),"")</ns0:f>
      </ns0:c>
      <ns0:c r="M342" s="0">
        <ns0:f>IFERROR(LEFT(L342,FIND(".",L342)-1),"")</ns0:f>
      </ns0:c>
      <ns0:c r="N342" s="0">
        <ns0:f>IFERROR(MID(L342,FIND(".",L342)+1,FIND(".",L342,FIND(".",L342)+1)-FIND(".",L342)-1),"")</ns0:f>
      </ns0:c>
      <ns0:c r="O342" s="0">
        <ns0:f>IFERROR(MID(L342,FIND(".",L342,FIND(".",L342)+1)+1,99),"")</ns0:f>
        <ns0:v>99</ns0:v>
      </ns0:c>
      <ns0:c r="P342" s="0">
        <ns0:f>IFERROR(IF(FIND(".",L342)=5,--M342,--O342),0)</ns0:f>
        <ns0:v>0</ns0:v>
      </ns0:c>
      <ns0:c r="Q342" s="0">
        <ns0:f>IFERROR(--N342,0)</ns0:f>
        <ns0:v>0</ns0:v>
      </ns0:c>
      <ns0:c r="R342" s="0">
        <ns0:f>IFERROR(IF(FIND(".",L342)=5,--O342,--M342),0)</ns0:f>
        <ns0:v>0</ns0:v>
      </ns0:c>
      <ns0:c r="S342" s="0">
        <ns0:f>IFERROR(IF(AND(P342&gt;=2000,P342&lt;=2100,Q342&gt;=1,Q342&lt;=12,R342&gt;=1,R342&lt;=31),DATE(P342,Q342,R342),0),0)</ns0:f>
        <ns0:v>0</ns0:v>
      </ns0:c>
      <ns0:c r="T342" s="0">
        <ns0:f>IFERROR(IF(ISNUMBER(Bookings!D342),IF(AND(Bookings!D342=INT(Bookings!D342),Bookings!D342&gt;=DATE(2000,1,1),Bookings!D342&lt;=DATE(2100,12,31)),Bookings!D342,0),IF(AND(K342&lt;&gt;"",LEN("x"&amp;L342)-LEN(SUBSTITUTE("x"&amp;L342,".",""))=2,OR(1&gt;LEN(L342),MID(L342,1,1)=".",ISNUMBER(FIND("x"&amp;MID(L342,1,1),"x0x1x2x3x4x5x6x7x8x9"))),OR(2&gt;LEN(L342),MID(L342,2,1)=".",ISNUMBER(FIND("x"&amp;MID(L342,2,1),"x0x1x2x3x4x5x6x7x8x9"))),OR(3&gt;LEN(L342),MID(L342,3,1)=".",ISNUMBER(FIND("x"&amp;MID(L342,3,1),"x0x1x2x3x4x5x6x7x8x9"))),OR(4&gt;LEN(L342),MID(L342,4,1)=".",ISNUMBER(FIND("x"&amp;MID(L342,4,1),"x0x1x2x3x4x5x6x7x8x9"))),OR(5&gt;LEN(L342),MID(L342,5,1)=".",ISNUMBER(FIND("x"&amp;MID(L342,5,1),"x0x1x2x3x4x5x6x7x8x9"))),OR(6&gt;LEN(L342),MID(L342,6,1)=".",ISNUMBER(FIND("x"&amp;MID(L342,6,1),"x0x1x2x3x4x5x6x7x8x9"))),OR(7&gt;LEN(L342),MID(L342,7,1)=".",ISNUMBER(FIND("x"&amp;MID(L342,7,1),"x0x1x2x3x4x5x6x7x8x9"))),OR(8&gt;LEN(L342),MID(L342,8,1)=".",ISNUMBER(FIND("x"&amp;MID(L342,8,1),"x0x1x2x3x4x5x6x7x8x9"))),OR(9&gt;LEN(L342),MID(L342,9,1)=".",ISNUMBER(FIND("x"&amp;MID(L342,9,1),"x0x1x2x3x4x5x6x7x8x9"))),OR(10&gt;LEN(L342),MID(L342,10,1)=".",ISNUMBER(FIND("x"&amp;MID(L342,10,1),"x0x1x2x3x4x5x6x7x8x9"))),OR(AND(FIND(".",L342)=5,LEN(L342)-FIND(".",L342,FIND(".",L342)+1)&gt;=1,LEN(L342)-FIND(".",L342,FIND(".",L342)+1)&lt;=2),AND(LEN(L342)-FIND(".",L342,FIND(".",L342)+1)=4,FIND(".",L342)&gt;=2,FIND(".",L342)&lt;=3)),FIND(".",L342,FIND(".",L342)+1)-FIND(".",L342)&gt;=2,FIND(".",L342,FIND(".",L342)+1)-FIND(".",L342)&lt;=3,P342&gt;=2000,P342&lt;=2100,YEAR(S342)=P342,MONTH(S342)=Q342,DAY(S342)=R342),S342,0)),0)</ns0:f>
        <ns0:v>0</ns0:v>
      </ns0:c>
      <ns0:c r="U342" s="0" t="str">
        <ns0:f>IF(Bookings!C342="","Full day",Bookings!C342)</ns0:f>
        <ns0:v>Full day</ns0:v>
      </ns0:c>
      <ns0:c r="V342" s="0" t="str">
        <ns0:f>IF(Bookings!E342="","Full day",Bookings!E342)</ns0:f>
        <ns0:v>Full day</ns0:v>
      </ns0:c>
      <ns0:c r="W342" s="0">
        <ns0:f>IF(J342=0,0,J342+IF(U342="PM",1,0))</ns0:f>
        <ns0:v>0</ns0:v>
      </ns0:c>
      <ns0:c r="X342" s="0">
        <ns0:f>IF(T342=0,0,T342-IF(V342="PM",1,0))</ns0:f>
        <ns0:v>0</ns0:v>
      </ns0:c>
      <ns0:c r="Y342" s="0">
        <ns0:f>IF(J342=0,0,J342+IF(U342="AM",1,0))</ns0:f>
        <ns0:v>0</ns0:v>
      </ns0:c>
      <ns0:c r="Z342" s="0">
        <ns0:f>IF(T342=0,0,T342-IF(V342="AM",1,0))</ns0:f>
        <ns0:v>0</ns0:v>
      </ns0:c>
      <ns0:c r="AA342" s="0">
        <ns0:f>IFERROR(IF(AND(J342&gt;0,'_Engine'!C342&gt;0,MID('_Engine'!W342,WEEKDAY(J342,2),1)="W",COUNTIF(Settings!$F$18:$F$67,J342)=0),1,0),0)</ns0:f>
        <ns0:v>0</ns0:v>
      </ns0:c>
      <ns0:c r="AB342" s="0">
        <ns0:f>IFERROR(IF(AND(T342&gt;0,'_Engine'!C342&gt;0,MID('_Engine'!W342,WEEKDAY(T342,2),1)="W",COUNTIF(Settings!$F$18:$F$67,T342)=0),1,0),0)</ns0:f>
        <ns0:v>0</ns0:v>
      </ns0:c>
      <ns0:c r="AC342" s="0">
        <ns0:f>IF(AND(J342&gt;0,T342&gt;0,W342&lt;=X342),1,0)</ns0:f>
        <ns0:v>0</ns0:v>
      </ns0:c>
      <ns0:c r="AD342" s="0">
        <ns0:f>IF(AND(J342&gt;0,T342&gt;0,Y342&lt;=Z342),1,0)</ns0:f>
        <ns0:v>0</ns0:v>
      </ns0:c>
    </ns0:row>
    <ns0:row r="343">
      <ns0:c r="A343" s="0">
        <ns0:f>IFERROR(IF(ISNUMBER(Bookings!B343),"",TRIM(Bookings!B343&amp;"")),"")</ns0:f>
      </ns0:c>
      <ns0:c r="B343" s="0">
        <ns0:f>IFERROR(SUBSTITUTE(SUBSTITUTE(A343,"/","."),"-","."),"")</ns0:f>
      </ns0:c>
      <ns0:c r="C343" s="0">
        <ns0:f>IFERROR(LEFT(B343,FIND(".",B343)-1),"")</ns0:f>
      </ns0:c>
      <ns0:c r="D343" s="0">
        <ns0:f>IFERROR(MID(B343,FIND(".",B343)+1,FIND(".",B343,FIND(".",B343)+1)-FIND(".",B343)-1),"")</ns0:f>
      </ns0:c>
      <ns0:c r="E343" s="0">
        <ns0:f>IFERROR(MID(B343,FIND(".",B343,FIND(".",B343)+1)+1,99),"")</ns0:f>
        <ns0:v>99</ns0:v>
      </ns0:c>
      <ns0:c r="F343" s="0">
        <ns0:f>IFERROR(IF(FIND(".",B343)=5,--C343,--E343),0)</ns0:f>
        <ns0:v>0</ns0:v>
      </ns0:c>
      <ns0:c r="G343" s="0">
        <ns0:f>IFERROR(--D343,0)</ns0:f>
        <ns0:v>0</ns0:v>
      </ns0:c>
      <ns0:c r="H343" s="0">
        <ns0:f>IFERROR(IF(FIND(".",B343)=5,--E343,--C343),0)</ns0:f>
        <ns0:v>0</ns0:v>
      </ns0:c>
      <ns0:c r="I343" s="0">
        <ns0:f>IFERROR(IF(AND(F343&gt;=2000,F343&lt;=2100,G343&gt;=1,G343&lt;=12,H343&gt;=1,H343&lt;=31),DATE(F343,G343,H343),0),0)</ns0:f>
        <ns0:v>0</ns0:v>
      </ns0:c>
      <ns0:c r="J343" s="0">
        <ns0:f>IFERROR(IF(ISNUMBER(Bookings!B343),IF(AND(Bookings!B343=INT(Bookings!B343),Bookings!B343&gt;=DATE(2000,1,1),Bookings!B343&lt;=DATE(2100,12,31)),Bookings!B343,0),IF(AND(A343&lt;&gt;"",LEN("x"&amp;B343)-LEN(SUBSTITUTE("x"&amp;B343,".",""))=2,OR(1&gt;LEN(B343),MID(B343,1,1)=".",ISNUMBER(FIND("x"&amp;MID(B343,1,1),"x0x1x2x3x4x5x6x7x8x9"))),OR(2&gt;LEN(B343),MID(B343,2,1)=".",ISNUMBER(FIND("x"&amp;MID(B343,2,1),"x0x1x2x3x4x5x6x7x8x9"))),OR(3&gt;LEN(B343),MID(B343,3,1)=".",ISNUMBER(FIND("x"&amp;MID(B343,3,1),"x0x1x2x3x4x5x6x7x8x9"))),OR(4&gt;LEN(B343),MID(B343,4,1)=".",ISNUMBER(FIND("x"&amp;MID(B343,4,1),"x0x1x2x3x4x5x6x7x8x9"))),OR(5&gt;LEN(B343),MID(B343,5,1)=".",ISNUMBER(FIND("x"&amp;MID(B343,5,1),"x0x1x2x3x4x5x6x7x8x9"))),OR(6&gt;LEN(B343),MID(B343,6,1)=".",ISNUMBER(FIND("x"&amp;MID(B343,6,1),"x0x1x2x3x4x5x6x7x8x9"))),OR(7&gt;LEN(B343),MID(B343,7,1)=".",ISNUMBER(FIND("x"&amp;MID(B343,7,1),"x0x1x2x3x4x5x6x7x8x9"))),OR(8&gt;LEN(B343),MID(B343,8,1)=".",ISNUMBER(FIND("x"&amp;MID(B343,8,1),"x0x1x2x3x4x5x6x7x8x9"))),OR(9&gt;LEN(B343),MID(B343,9,1)=".",ISNUMBER(FIND("x"&amp;MID(B343,9,1),"x0x1x2x3x4x5x6x7x8x9"))),OR(10&gt;LEN(B343),MID(B343,10,1)=".",ISNUMBER(FIND("x"&amp;MID(B343,10,1),"x0x1x2x3x4x5x6x7x8x9"))),OR(AND(FIND(".",B343)=5,LEN(B343)-FIND(".",B343,FIND(".",B343)+1)&gt;=1,LEN(B343)-FIND(".",B343,FIND(".",B343)+1)&lt;=2),AND(LEN(B343)-FIND(".",B343,FIND(".",B343)+1)=4,FIND(".",B343)&gt;=2,FIND(".",B343)&lt;=3)),FIND(".",B343,FIND(".",B343)+1)-FIND(".",B343)&gt;=2,FIND(".",B343,FIND(".",B343)+1)-FIND(".",B343)&lt;=3,F343&gt;=2000,F343&lt;=2100,YEAR(I343)=F343,MONTH(I343)=G343,DAY(I343)=H343),I343,0)),0)</ns0:f>
        <ns0:v>0</ns0:v>
      </ns0:c>
      <ns0:c r="K343" s="0">
        <ns0:f>IFERROR(IF(ISNUMBER(Bookings!D343),"",TRIM(Bookings!D343&amp;"")),"")</ns0:f>
      </ns0:c>
      <ns0:c r="L343" s="0">
        <ns0:f>IFERROR(SUBSTITUTE(SUBSTITUTE(K343,"/","."),"-","."),"")</ns0:f>
      </ns0:c>
      <ns0:c r="M343" s="0">
        <ns0:f>IFERROR(LEFT(L343,FIND(".",L343)-1),"")</ns0:f>
      </ns0:c>
      <ns0:c r="N343" s="0">
        <ns0:f>IFERROR(MID(L343,FIND(".",L343)+1,FIND(".",L343,FIND(".",L343)+1)-FIND(".",L343)-1),"")</ns0:f>
      </ns0:c>
      <ns0:c r="O343" s="0">
        <ns0:f>IFERROR(MID(L343,FIND(".",L343,FIND(".",L343)+1)+1,99),"")</ns0:f>
        <ns0:v>99</ns0:v>
      </ns0:c>
      <ns0:c r="P343" s="0">
        <ns0:f>IFERROR(IF(FIND(".",L343)=5,--M343,--O343),0)</ns0:f>
        <ns0:v>0</ns0:v>
      </ns0:c>
      <ns0:c r="Q343" s="0">
        <ns0:f>IFERROR(--N343,0)</ns0:f>
        <ns0:v>0</ns0:v>
      </ns0:c>
      <ns0:c r="R343" s="0">
        <ns0:f>IFERROR(IF(FIND(".",L343)=5,--O343,--M343),0)</ns0:f>
        <ns0:v>0</ns0:v>
      </ns0:c>
      <ns0:c r="S343" s="0">
        <ns0:f>IFERROR(IF(AND(P343&gt;=2000,P343&lt;=2100,Q343&gt;=1,Q343&lt;=12,R343&gt;=1,R343&lt;=31),DATE(P343,Q343,R343),0),0)</ns0:f>
        <ns0:v>0</ns0:v>
      </ns0:c>
      <ns0:c r="T343" s="0">
        <ns0:f>IFERROR(IF(ISNUMBER(Bookings!D343),IF(AND(Bookings!D343=INT(Bookings!D343),Bookings!D343&gt;=DATE(2000,1,1),Bookings!D343&lt;=DATE(2100,12,31)),Bookings!D343,0),IF(AND(K343&lt;&gt;"",LEN("x"&amp;L343)-LEN(SUBSTITUTE("x"&amp;L343,".",""))=2,OR(1&gt;LEN(L343),MID(L343,1,1)=".",ISNUMBER(FIND("x"&amp;MID(L343,1,1),"x0x1x2x3x4x5x6x7x8x9"))),OR(2&gt;LEN(L343),MID(L343,2,1)=".",ISNUMBER(FIND("x"&amp;MID(L343,2,1),"x0x1x2x3x4x5x6x7x8x9"))),OR(3&gt;LEN(L343),MID(L343,3,1)=".",ISNUMBER(FIND("x"&amp;MID(L343,3,1),"x0x1x2x3x4x5x6x7x8x9"))),OR(4&gt;LEN(L343),MID(L343,4,1)=".",ISNUMBER(FIND("x"&amp;MID(L343,4,1),"x0x1x2x3x4x5x6x7x8x9"))),OR(5&gt;LEN(L343),MID(L343,5,1)=".",ISNUMBER(FIND("x"&amp;MID(L343,5,1),"x0x1x2x3x4x5x6x7x8x9"))),OR(6&gt;LEN(L343),MID(L343,6,1)=".",ISNUMBER(FIND("x"&amp;MID(L343,6,1),"x0x1x2x3x4x5x6x7x8x9"))),OR(7&gt;LEN(L343),MID(L343,7,1)=".",ISNUMBER(FIND("x"&amp;MID(L343,7,1),"x0x1x2x3x4x5x6x7x8x9"))),OR(8&gt;LEN(L343),MID(L343,8,1)=".",ISNUMBER(FIND("x"&amp;MID(L343,8,1),"x0x1x2x3x4x5x6x7x8x9"))),OR(9&gt;LEN(L343),MID(L343,9,1)=".",ISNUMBER(FIND("x"&amp;MID(L343,9,1),"x0x1x2x3x4x5x6x7x8x9"))),OR(10&gt;LEN(L343),MID(L343,10,1)=".",ISNUMBER(FIND("x"&amp;MID(L343,10,1),"x0x1x2x3x4x5x6x7x8x9"))),OR(AND(FIND(".",L343)=5,LEN(L343)-FIND(".",L343,FIND(".",L343)+1)&gt;=1,LEN(L343)-FIND(".",L343,FIND(".",L343)+1)&lt;=2),AND(LEN(L343)-FIND(".",L343,FIND(".",L343)+1)=4,FIND(".",L343)&gt;=2,FIND(".",L343)&lt;=3)),FIND(".",L343,FIND(".",L343)+1)-FIND(".",L343)&gt;=2,FIND(".",L343,FIND(".",L343)+1)-FIND(".",L343)&lt;=3,P343&gt;=2000,P343&lt;=2100,YEAR(S343)=P343,MONTH(S343)=Q343,DAY(S343)=R343),S343,0)),0)</ns0:f>
        <ns0:v>0</ns0:v>
      </ns0:c>
      <ns0:c r="U343" s="0" t="str">
        <ns0:f>IF(Bookings!C343="","Full day",Bookings!C343)</ns0:f>
        <ns0:v>Full day</ns0:v>
      </ns0:c>
      <ns0:c r="V343" s="0" t="str">
        <ns0:f>IF(Bookings!E343="","Full day",Bookings!E343)</ns0:f>
        <ns0:v>Full day</ns0:v>
      </ns0:c>
      <ns0:c r="W343" s="0">
        <ns0:f>IF(J343=0,0,J343+IF(U343="PM",1,0))</ns0:f>
        <ns0:v>0</ns0:v>
      </ns0:c>
      <ns0:c r="X343" s="0">
        <ns0:f>IF(T343=0,0,T343-IF(V343="PM",1,0))</ns0:f>
        <ns0:v>0</ns0:v>
      </ns0:c>
      <ns0:c r="Y343" s="0">
        <ns0:f>IF(J343=0,0,J343+IF(U343="AM",1,0))</ns0:f>
        <ns0:v>0</ns0:v>
      </ns0:c>
      <ns0:c r="Z343" s="0">
        <ns0:f>IF(T343=0,0,T343-IF(V343="AM",1,0))</ns0:f>
        <ns0:v>0</ns0:v>
      </ns0:c>
      <ns0:c r="AA343" s="0">
        <ns0:f>IFERROR(IF(AND(J343&gt;0,'_Engine'!C343&gt;0,MID('_Engine'!W343,WEEKDAY(J343,2),1)="W",COUNTIF(Settings!$F$18:$F$67,J343)=0),1,0),0)</ns0:f>
        <ns0:v>0</ns0:v>
      </ns0:c>
      <ns0:c r="AB343" s="0">
        <ns0:f>IFERROR(IF(AND(T343&gt;0,'_Engine'!C343&gt;0,MID('_Engine'!W343,WEEKDAY(T343,2),1)="W",COUNTIF(Settings!$F$18:$F$67,T343)=0),1,0),0)</ns0:f>
        <ns0:v>0</ns0:v>
      </ns0:c>
      <ns0:c r="AC343" s="0">
        <ns0:f>IF(AND(J343&gt;0,T343&gt;0,W343&lt;=X343),1,0)</ns0:f>
        <ns0:v>0</ns0:v>
      </ns0:c>
      <ns0:c r="AD343" s="0">
        <ns0:f>IF(AND(J343&gt;0,T343&gt;0,Y343&lt;=Z343),1,0)</ns0:f>
        <ns0:v>0</ns0:v>
      </ns0:c>
    </ns0:row>
    <ns0:row r="344">
      <ns0:c r="A344" s="0">
        <ns0:f>IFERROR(IF(ISNUMBER(Bookings!B344),"",TRIM(Bookings!B344&amp;"")),"")</ns0:f>
      </ns0:c>
      <ns0:c r="B344" s="0">
        <ns0:f>IFERROR(SUBSTITUTE(SUBSTITUTE(A344,"/","."),"-","."),"")</ns0:f>
      </ns0:c>
      <ns0:c r="C344" s="0">
        <ns0:f>IFERROR(LEFT(B344,FIND(".",B344)-1),"")</ns0:f>
      </ns0:c>
      <ns0:c r="D344" s="0">
        <ns0:f>IFERROR(MID(B344,FIND(".",B344)+1,FIND(".",B344,FIND(".",B344)+1)-FIND(".",B344)-1),"")</ns0:f>
      </ns0:c>
      <ns0:c r="E344" s="0">
        <ns0:f>IFERROR(MID(B344,FIND(".",B344,FIND(".",B344)+1)+1,99),"")</ns0:f>
        <ns0:v>99</ns0:v>
      </ns0:c>
      <ns0:c r="F344" s="0">
        <ns0:f>IFERROR(IF(FIND(".",B344)=5,--C344,--E344),0)</ns0:f>
        <ns0:v>0</ns0:v>
      </ns0:c>
      <ns0:c r="G344" s="0">
        <ns0:f>IFERROR(--D344,0)</ns0:f>
        <ns0:v>0</ns0:v>
      </ns0:c>
      <ns0:c r="H344" s="0">
        <ns0:f>IFERROR(IF(FIND(".",B344)=5,--E344,--C344),0)</ns0:f>
        <ns0:v>0</ns0:v>
      </ns0:c>
      <ns0:c r="I344" s="0">
        <ns0:f>IFERROR(IF(AND(F344&gt;=2000,F344&lt;=2100,G344&gt;=1,G344&lt;=12,H344&gt;=1,H344&lt;=31),DATE(F344,G344,H344),0),0)</ns0:f>
        <ns0:v>0</ns0:v>
      </ns0:c>
      <ns0:c r="J344" s="0">
        <ns0:f>IFERROR(IF(ISNUMBER(Bookings!B344),IF(AND(Bookings!B344=INT(Bookings!B344),Bookings!B344&gt;=DATE(2000,1,1),Bookings!B344&lt;=DATE(2100,12,31)),Bookings!B344,0),IF(AND(A344&lt;&gt;"",LEN("x"&amp;B344)-LEN(SUBSTITUTE("x"&amp;B344,".",""))=2,OR(1&gt;LEN(B344),MID(B344,1,1)=".",ISNUMBER(FIND("x"&amp;MID(B344,1,1),"x0x1x2x3x4x5x6x7x8x9"))),OR(2&gt;LEN(B344),MID(B344,2,1)=".",ISNUMBER(FIND("x"&amp;MID(B344,2,1),"x0x1x2x3x4x5x6x7x8x9"))),OR(3&gt;LEN(B344),MID(B344,3,1)=".",ISNUMBER(FIND("x"&amp;MID(B344,3,1),"x0x1x2x3x4x5x6x7x8x9"))),OR(4&gt;LEN(B344),MID(B344,4,1)=".",ISNUMBER(FIND("x"&amp;MID(B344,4,1),"x0x1x2x3x4x5x6x7x8x9"))),OR(5&gt;LEN(B344),MID(B344,5,1)=".",ISNUMBER(FIND("x"&amp;MID(B344,5,1),"x0x1x2x3x4x5x6x7x8x9"))),OR(6&gt;LEN(B344),MID(B344,6,1)=".",ISNUMBER(FIND("x"&amp;MID(B344,6,1),"x0x1x2x3x4x5x6x7x8x9"))),OR(7&gt;LEN(B344),MID(B344,7,1)=".",ISNUMBER(FIND("x"&amp;MID(B344,7,1),"x0x1x2x3x4x5x6x7x8x9"))),OR(8&gt;LEN(B344),MID(B344,8,1)=".",ISNUMBER(FIND("x"&amp;MID(B344,8,1),"x0x1x2x3x4x5x6x7x8x9"))),OR(9&gt;LEN(B344),MID(B344,9,1)=".",ISNUMBER(FIND("x"&amp;MID(B344,9,1),"x0x1x2x3x4x5x6x7x8x9"))),OR(10&gt;LEN(B344),MID(B344,10,1)=".",ISNUMBER(FIND("x"&amp;MID(B344,10,1),"x0x1x2x3x4x5x6x7x8x9"))),OR(AND(FIND(".",B344)=5,LEN(B344)-FIND(".",B344,FIND(".",B344)+1)&gt;=1,LEN(B344)-FIND(".",B344,FIND(".",B344)+1)&lt;=2),AND(LEN(B344)-FIND(".",B344,FIND(".",B344)+1)=4,FIND(".",B344)&gt;=2,FIND(".",B344)&lt;=3)),FIND(".",B344,FIND(".",B344)+1)-FIND(".",B344)&gt;=2,FIND(".",B344,FIND(".",B344)+1)-FIND(".",B344)&lt;=3,F344&gt;=2000,F344&lt;=2100,YEAR(I344)=F344,MONTH(I344)=G344,DAY(I344)=H344),I344,0)),0)</ns0:f>
        <ns0:v>0</ns0:v>
      </ns0:c>
      <ns0:c r="K344" s="0">
        <ns0:f>IFERROR(IF(ISNUMBER(Bookings!D344),"",TRIM(Bookings!D344&amp;"")),"")</ns0:f>
      </ns0:c>
      <ns0:c r="L344" s="0">
        <ns0:f>IFERROR(SUBSTITUTE(SUBSTITUTE(K344,"/","."),"-","."),"")</ns0:f>
      </ns0:c>
      <ns0:c r="M344" s="0">
        <ns0:f>IFERROR(LEFT(L344,FIND(".",L344)-1),"")</ns0:f>
      </ns0:c>
      <ns0:c r="N344" s="0">
        <ns0:f>IFERROR(MID(L344,FIND(".",L344)+1,FIND(".",L344,FIND(".",L344)+1)-FIND(".",L344)-1),"")</ns0:f>
      </ns0:c>
      <ns0:c r="O344" s="0">
        <ns0:f>IFERROR(MID(L344,FIND(".",L344,FIND(".",L344)+1)+1,99),"")</ns0:f>
        <ns0:v>99</ns0:v>
      </ns0:c>
      <ns0:c r="P344" s="0">
        <ns0:f>IFERROR(IF(FIND(".",L344)=5,--M344,--O344),0)</ns0:f>
        <ns0:v>0</ns0:v>
      </ns0:c>
      <ns0:c r="Q344" s="0">
        <ns0:f>IFERROR(--N344,0)</ns0:f>
        <ns0:v>0</ns0:v>
      </ns0:c>
      <ns0:c r="R344" s="0">
        <ns0:f>IFERROR(IF(FIND(".",L344)=5,--O344,--M344),0)</ns0:f>
        <ns0:v>0</ns0:v>
      </ns0:c>
      <ns0:c r="S344" s="0">
        <ns0:f>IFERROR(IF(AND(P344&gt;=2000,P344&lt;=2100,Q344&gt;=1,Q344&lt;=12,R344&gt;=1,R344&lt;=31),DATE(P344,Q344,R344),0),0)</ns0:f>
        <ns0:v>0</ns0:v>
      </ns0:c>
      <ns0:c r="T344" s="0">
        <ns0:f>IFERROR(IF(ISNUMBER(Bookings!D344),IF(AND(Bookings!D344=INT(Bookings!D344),Bookings!D344&gt;=DATE(2000,1,1),Bookings!D344&lt;=DATE(2100,12,31)),Bookings!D344,0),IF(AND(K344&lt;&gt;"",LEN("x"&amp;L344)-LEN(SUBSTITUTE("x"&amp;L344,".",""))=2,OR(1&gt;LEN(L344),MID(L344,1,1)=".",ISNUMBER(FIND("x"&amp;MID(L344,1,1),"x0x1x2x3x4x5x6x7x8x9"))),OR(2&gt;LEN(L344),MID(L344,2,1)=".",ISNUMBER(FIND("x"&amp;MID(L344,2,1),"x0x1x2x3x4x5x6x7x8x9"))),OR(3&gt;LEN(L344),MID(L344,3,1)=".",ISNUMBER(FIND("x"&amp;MID(L344,3,1),"x0x1x2x3x4x5x6x7x8x9"))),OR(4&gt;LEN(L344),MID(L344,4,1)=".",ISNUMBER(FIND("x"&amp;MID(L344,4,1),"x0x1x2x3x4x5x6x7x8x9"))),OR(5&gt;LEN(L344),MID(L344,5,1)=".",ISNUMBER(FIND("x"&amp;MID(L344,5,1),"x0x1x2x3x4x5x6x7x8x9"))),OR(6&gt;LEN(L344),MID(L344,6,1)=".",ISNUMBER(FIND("x"&amp;MID(L344,6,1),"x0x1x2x3x4x5x6x7x8x9"))),OR(7&gt;LEN(L344),MID(L344,7,1)=".",ISNUMBER(FIND("x"&amp;MID(L344,7,1),"x0x1x2x3x4x5x6x7x8x9"))),OR(8&gt;LEN(L344),MID(L344,8,1)=".",ISNUMBER(FIND("x"&amp;MID(L344,8,1),"x0x1x2x3x4x5x6x7x8x9"))),OR(9&gt;LEN(L344),MID(L344,9,1)=".",ISNUMBER(FIND("x"&amp;MID(L344,9,1),"x0x1x2x3x4x5x6x7x8x9"))),OR(10&gt;LEN(L344),MID(L344,10,1)=".",ISNUMBER(FIND("x"&amp;MID(L344,10,1),"x0x1x2x3x4x5x6x7x8x9"))),OR(AND(FIND(".",L344)=5,LEN(L344)-FIND(".",L344,FIND(".",L344)+1)&gt;=1,LEN(L344)-FIND(".",L344,FIND(".",L344)+1)&lt;=2),AND(LEN(L344)-FIND(".",L344,FIND(".",L344)+1)=4,FIND(".",L344)&gt;=2,FIND(".",L344)&lt;=3)),FIND(".",L344,FIND(".",L344)+1)-FIND(".",L344)&gt;=2,FIND(".",L344,FIND(".",L344)+1)-FIND(".",L344)&lt;=3,P344&gt;=2000,P344&lt;=2100,YEAR(S344)=P344,MONTH(S344)=Q344,DAY(S344)=R344),S344,0)),0)</ns0:f>
        <ns0:v>0</ns0:v>
      </ns0:c>
      <ns0:c r="U344" s="0" t="str">
        <ns0:f>IF(Bookings!C344="","Full day",Bookings!C344)</ns0:f>
        <ns0:v>Full day</ns0:v>
      </ns0:c>
      <ns0:c r="V344" s="0" t="str">
        <ns0:f>IF(Bookings!E344="","Full day",Bookings!E344)</ns0:f>
        <ns0:v>Full day</ns0:v>
      </ns0:c>
      <ns0:c r="W344" s="0">
        <ns0:f>IF(J344=0,0,J344+IF(U344="PM",1,0))</ns0:f>
        <ns0:v>0</ns0:v>
      </ns0:c>
      <ns0:c r="X344" s="0">
        <ns0:f>IF(T344=0,0,T344-IF(V344="PM",1,0))</ns0:f>
        <ns0:v>0</ns0:v>
      </ns0:c>
      <ns0:c r="Y344" s="0">
        <ns0:f>IF(J344=0,0,J344+IF(U344="AM",1,0))</ns0:f>
        <ns0:v>0</ns0:v>
      </ns0:c>
      <ns0:c r="Z344" s="0">
        <ns0:f>IF(T344=0,0,T344-IF(V344="AM",1,0))</ns0:f>
        <ns0:v>0</ns0:v>
      </ns0:c>
      <ns0:c r="AA344" s="0">
        <ns0:f>IFERROR(IF(AND(J344&gt;0,'_Engine'!C344&gt;0,MID('_Engine'!W344,WEEKDAY(J344,2),1)="W",COUNTIF(Settings!$F$18:$F$67,J344)=0),1,0),0)</ns0:f>
        <ns0:v>0</ns0:v>
      </ns0:c>
      <ns0:c r="AB344" s="0">
        <ns0:f>IFERROR(IF(AND(T344&gt;0,'_Engine'!C344&gt;0,MID('_Engine'!W344,WEEKDAY(T344,2),1)="W",COUNTIF(Settings!$F$18:$F$67,T344)=0),1,0),0)</ns0:f>
        <ns0:v>0</ns0:v>
      </ns0:c>
      <ns0:c r="AC344" s="0">
        <ns0:f>IF(AND(J344&gt;0,T344&gt;0,W344&lt;=X344),1,0)</ns0:f>
        <ns0:v>0</ns0:v>
      </ns0:c>
      <ns0:c r="AD344" s="0">
        <ns0:f>IF(AND(J344&gt;0,T344&gt;0,Y344&lt;=Z344),1,0)</ns0:f>
        <ns0:v>0</ns0:v>
      </ns0:c>
    </ns0:row>
    <ns0:row r="345">
      <ns0:c r="A345" s="0">
        <ns0:f>IFERROR(IF(ISNUMBER(Bookings!B345),"",TRIM(Bookings!B345&amp;"")),"")</ns0:f>
      </ns0:c>
      <ns0:c r="B345" s="0">
        <ns0:f>IFERROR(SUBSTITUTE(SUBSTITUTE(A345,"/","."),"-","."),"")</ns0:f>
      </ns0:c>
      <ns0:c r="C345" s="0">
        <ns0:f>IFERROR(LEFT(B345,FIND(".",B345)-1),"")</ns0:f>
      </ns0:c>
      <ns0:c r="D345" s="0">
        <ns0:f>IFERROR(MID(B345,FIND(".",B345)+1,FIND(".",B345,FIND(".",B345)+1)-FIND(".",B345)-1),"")</ns0:f>
      </ns0:c>
      <ns0:c r="E345" s="0">
        <ns0:f>IFERROR(MID(B345,FIND(".",B345,FIND(".",B345)+1)+1,99),"")</ns0:f>
        <ns0:v>99</ns0:v>
      </ns0:c>
      <ns0:c r="F345" s="0">
        <ns0:f>IFERROR(IF(FIND(".",B345)=5,--C345,--E345),0)</ns0:f>
        <ns0:v>0</ns0:v>
      </ns0:c>
      <ns0:c r="G345" s="0">
        <ns0:f>IFERROR(--D345,0)</ns0:f>
        <ns0:v>0</ns0:v>
      </ns0:c>
      <ns0:c r="H345" s="0">
        <ns0:f>IFERROR(IF(FIND(".",B345)=5,--E345,--C345),0)</ns0:f>
        <ns0:v>0</ns0:v>
      </ns0:c>
      <ns0:c r="I345" s="0">
        <ns0:f>IFERROR(IF(AND(F345&gt;=2000,F345&lt;=2100,G345&gt;=1,G345&lt;=12,H345&gt;=1,H345&lt;=31),DATE(F345,G345,H345),0),0)</ns0:f>
        <ns0:v>0</ns0:v>
      </ns0:c>
      <ns0:c r="J345" s="0">
        <ns0:f>IFERROR(IF(ISNUMBER(Bookings!B345),IF(AND(Bookings!B345=INT(Bookings!B345),Bookings!B345&gt;=DATE(2000,1,1),Bookings!B345&lt;=DATE(2100,12,31)),Bookings!B345,0),IF(AND(A345&lt;&gt;"",LEN("x"&amp;B345)-LEN(SUBSTITUTE("x"&amp;B345,".",""))=2,OR(1&gt;LEN(B345),MID(B345,1,1)=".",ISNUMBER(FIND("x"&amp;MID(B345,1,1),"x0x1x2x3x4x5x6x7x8x9"))),OR(2&gt;LEN(B345),MID(B345,2,1)=".",ISNUMBER(FIND("x"&amp;MID(B345,2,1),"x0x1x2x3x4x5x6x7x8x9"))),OR(3&gt;LEN(B345),MID(B345,3,1)=".",ISNUMBER(FIND("x"&amp;MID(B345,3,1),"x0x1x2x3x4x5x6x7x8x9"))),OR(4&gt;LEN(B345),MID(B345,4,1)=".",ISNUMBER(FIND("x"&amp;MID(B345,4,1),"x0x1x2x3x4x5x6x7x8x9"))),OR(5&gt;LEN(B345),MID(B345,5,1)=".",ISNUMBER(FIND("x"&amp;MID(B345,5,1),"x0x1x2x3x4x5x6x7x8x9"))),OR(6&gt;LEN(B345),MID(B345,6,1)=".",ISNUMBER(FIND("x"&amp;MID(B345,6,1),"x0x1x2x3x4x5x6x7x8x9"))),OR(7&gt;LEN(B345),MID(B345,7,1)=".",ISNUMBER(FIND("x"&amp;MID(B345,7,1),"x0x1x2x3x4x5x6x7x8x9"))),OR(8&gt;LEN(B345),MID(B345,8,1)=".",ISNUMBER(FIND("x"&amp;MID(B345,8,1),"x0x1x2x3x4x5x6x7x8x9"))),OR(9&gt;LEN(B345),MID(B345,9,1)=".",ISNUMBER(FIND("x"&amp;MID(B345,9,1),"x0x1x2x3x4x5x6x7x8x9"))),OR(10&gt;LEN(B345),MID(B345,10,1)=".",ISNUMBER(FIND("x"&amp;MID(B345,10,1),"x0x1x2x3x4x5x6x7x8x9"))),OR(AND(FIND(".",B345)=5,LEN(B345)-FIND(".",B345,FIND(".",B345)+1)&gt;=1,LEN(B345)-FIND(".",B345,FIND(".",B345)+1)&lt;=2),AND(LEN(B345)-FIND(".",B345,FIND(".",B345)+1)=4,FIND(".",B345)&gt;=2,FIND(".",B345)&lt;=3)),FIND(".",B345,FIND(".",B345)+1)-FIND(".",B345)&gt;=2,FIND(".",B345,FIND(".",B345)+1)-FIND(".",B345)&lt;=3,F345&gt;=2000,F345&lt;=2100,YEAR(I345)=F345,MONTH(I345)=G345,DAY(I345)=H345),I345,0)),0)</ns0:f>
        <ns0:v>0</ns0:v>
      </ns0:c>
      <ns0:c r="K345" s="0">
        <ns0:f>IFERROR(IF(ISNUMBER(Bookings!D345),"",TRIM(Bookings!D345&amp;"")),"")</ns0:f>
      </ns0:c>
      <ns0:c r="L345" s="0">
        <ns0:f>IFERROR(SUBSTITUTE(SUBSTITUTE(K345,"/","."),"-","."),"")</ns0:f>
      </ns0:c>
      <ns0:c r="M345" s="0">
        <ns0:f>IFERROR(LEFT(L345,FIND(".",L345)-1),"")</ns0:f>
      </ns0:c>
      <ns0:c r="N345" s="0">
        <ns0:f>IFERROR(MID(L345,FIND(".",L345)+1,FIND(".",L345,FIND(".",L345)+1)-FIND(".",L345)-1),"")</ns0:f>
      </ns0:c>
      <ns0:c r="O345" s="0">
        <ns0:f>IFERROR(MID(L345,FIND(".",L345,FIND(".",L345)+1)+1,99),"")</ns0:f>
        <ns0:v>99</ns0:v>
      </ns0:c>
      <ns0:c r="P345" s="0">
        <ns0:f>IFERROR(IF(FIND(".",L345)=5,--M345,--O345),0)</ns0:f>
        <ns0:v>0</ns0:v>
      </ns0:c>
      <ns0:c r="Q345" s="0">
        <ns0:f>IFERROR(--N345,0)</ns0:f>
        <ns0:v>0</ns0:v>
      </ns0:c>
      <ns0:c r="R345" s="0">
        <ns0:f>IFERROR(IF(FIND(".",L345)=5,--O345,--M345),0)</ns0:f>
        <ns0:v>0</ns0:v>
      </ns0:c>
      <ns0:c r="S345" s="0">
        <ns0:f>IFERROR(IF(AND(P345&gt;=2000,P345&lt;=2100,Q345&gt;=1,Q345&lt;=12,R345&gt;=1,R345&lt;=31),DATE(P345,Q345,R345),0),0)</ns0:f>
        <ns0:v>0</ns0:v>
      </ns0:c>
      <ns0:c r="T345" s="0">
        <ns0:f>IFERROR(IF(ISNUMBER(Bookings!D345),IF(AND(Bookings!D345=INT(Bookings!D345),Bookings!D345&gt;=DATE(2000,1,1),Bookings!D345&lt;=DATE(2100,12,31)),Bookings!D345,0),IF(AND(K345&lt;&gt;"",LEN("x"&amp;L345)-LEN(SUBSTITUTE("x"&amp;L345,".",""))=2,OR(1&gt;LEN(L345),MID(L345,1,1)=".",ISNUMBER(FIND("x"&amp;MID(L345,1,1),"x0x1x2x3x4x5x6x7x8x9"))),OR(2&gt;LEN(L345),MID(L345,2,1)=".",ISNUMBER(FIND("x"&amp;MID(L345,2,1),"x0x1x2x3x4x5x6x7x8x9"))),OR(3&gt;LEN(L345),MID(L345,3,1)=".",ISNUMBER(FIND("x"&amp;MID(L345,3,1),"x0x1x2x3x4x5x6x7x8x9"))),OR(4&gt;LEN(L345),MID(L345,4,1)=".",ISNUMBER(FIND("x"&amp;MID(L345,4,1),"x0x1x2x3x4x5x6x7x8x9"))),OR(5&gt;LEN(L345),MID(L345,5,1)=".",ISNUMBER(FIND("x"&amp;MID(L345,5,1),"x0x1x2x3x4x5x6x7x8x9"))),OR(6&gt;LEN(L345),MID(L345,6,1)=".",ISNUMBER(FIND("x"&amp;MID(L345,6,1),"x0x1x2x3x4x5x6x7x8x9"))),OR(7&gt;LEN(L345),MID(L345,7,1)=".",ISNUMBER(FIND("x"&amp;MID(L345,7,1),"x0x1x2x3x4x5x6x7x8x9"))),OR(8&gt;LEN(L345),MID(L345,8,1)=".",ISNUMBER(FIND("x"&amp;MID(L345,8,1),"x0x1x2x3x4x5x6x7x8x9"))),OR(9&gt;LEN(L345),MID(L345,9,1)=".",ISNUMBER(FIND("x"&amp;MID(L345,9,1),"x0x1x2x3x4x5x6x7x8x9"))),OR(10&gt;LEN(L345),MID(L345,10,1)=".",ISNUMBER(FIND("x"&amp;MID(L345,10,1),"x0x1x2x3x4x5x6x7x8x9"))),OR(AND(FIND(".",L345)=5,LEN(L345)-FIND(".",L345,FIND(".",L345)+1)&gt;=1,LEN(L345)-FIND(".",L345,FIND(".",L345)+1)&lt;=2),AND(LEN(L345)-FIND(".",L345,FIND(".",L345)+1)=4,FIND(".",L345)&gt;=2,FIND(".",L345)&lt;=3)),FIND(".",L345,FIND(".",L345)+1)-FIND(".",L345)&gt;=2,FIND(".",L345,FIND(".",L345)+1)-FIND(".",L345)&lt;=3,P345&gt;=2000,P345&lt;=2100,YEAR(S345)=P345,MONTH(S345)=Q345,DAY(S345)=R345),S345,0)),0)</ns0:f>
        <ns0:v>0</ns0:v>
      </ns0:c>
      <ns0:c r="U345" s="0" t="str">
        <ns0:f>IF(Bookings!C345="","Full day",Bookings!C345)</ns0:f>
        <ns0:v>Full day</ns0:v>
      </ns0:c>
      <ns0:c r="V345" s="0" t="str">
        <ns0:f>IF(Bookings!E345="","Full day",Bookings!E345)</ns0:f>
        <ns0:v>Full day</ns0:v>
      </ns0:c>
      <ns0:c r="W345" s="0">
        <ns0:f>IF(J345=0,0,J345+IF(U345="PM",1,0))</ns0:f>
        <ns0:v>0</ns0:v>
      </ns0:c>
      <ns0:c r="X345" s="0">
        <ns0:f>IF(T345=0,0,T345-IF(V345="PM",1,0))</ns0:f>
        <ns0:v>0</ns0:v>
      </ns0:c>
      <ns0:c r="Y345" s="0">
        <ns0:f>IF(J345=0,0,J345+IF(U345="AM",1,0))</ns0:f>
        <ns0:v>0</ns0:v>
      </ns0:c>
      <ns0:c r="Z345" s="0">
        <ns0:f>IF(T345=0,0,T345-IF(V345="AM",1,0))</ns0:f>
        <ns0:v>0</ns0:v>
      </ns0:c>
      <ns0:c r="AA345" s="0">
        <ns0:f>IFERROR(IF(AND(J345&gt;0,'_Engine'!C345&gt;0,MID('_Engine'!W345,WEEKDAY(J345,2),1)="W",COUNTIF(Settings!$F$18:$F$67,J345)=0),1,0),0)</ns0:f>
        <ns0:v>0</ns0:v>
      </ns0:c>
      <ns0:c r="AB345" s="0">
        <ns0:f>IFERROR(IF(AND(T345&gt;0,'_Engine'!C345&gt;0,MID('_Engine'!W345,WEEKDAY(T345,2),1)="W",COUNTIF(Settings!$F$18:$F$67,T345)=0),1,0),0)</ns0:f>
        <ns0:v>0</ns0:v>
      </ns0:c>
      <ns0:c r="AC345" s="0">
        <ns0:f>IF(AND(J345&gt;0,T345&gt;0,W345&lt;=X345),1,0)</ns0:f>
        <ns0:v>0</ns0:v>
      </ns0:c>
      <ns0:c r="AD345" s="0">
        <ns0:f>IF(AND(J345&gt;0,T345&gt;0,Y345&lt;=Z345),1,0)</ns0:f>
        <ns0:v>0</ns0:v>
      </ns0:c>
    </ns0:row>
    <ns0:row r="346">
      <ns0:c r="A346" s="0">
        <ns0:f>IFERROR(IF(ISNUMBER(Bookings!B346),"",TRIM(Bookings!B346&amp;"")),"")</ns0:f>
      </ns0:c>
      <ns0:c r="B346" s="0">
        <ns0:f>IFERROR(SUBSTITUTE(SUBSTITUTE(A346,"/","."),"-","."),"")</ns0:f>
      </ns0:c>
      <ns0:c r="C346" s="0">
        <ns0:f>IFERROR(LEFT(B346,FIND(".",B346)-1),"")</ns0:f>
      </ns0:c>
      <ns0:c r="D346" s="0">
        <ns0:f>IFERROR(MID(B346,FIND(".",B346)+1,FIND(".",B346,FIND(".",B346)+1)-FIND(".",B346)-1),"")</ns0:f>
      </ns0:c>
      <ns0:c r="E346" s="0">
        <ns0:f>IFERROR(MID(B346,FIND(".",B346,FIND(".",B346)+1)+1,99),"")</ns0:f>
        <ns0:v>99</ns0:v>
      </ns0:c>
      <ns0:c r="F346" s="0">
        <ns0:f>IFERROR(IF(FIND(".",B346)=5,--C346,--E346),0)</ns0:f>
        <ns0:v>0</ns0:v>
      </ns0:c>
      <ns0:c r="G346" s="0">
        <ns0:f>IFERROR(--D346,0)</ns0:f>
        <ns0:v>0</ns0:v>
      </ns0:c>
      <ns0:c r="H346" s="0">
        <ns0:f>IFERROR(IF(FIND(".",B346)=5,--E346,--C346),0)</ns0:f>
        <ns0:v>0</ns0:v>
      </ns0:c>
      <ns0:c r="I346" s="0">
        <ns0:f>IFERROR(IF(AND(F346&gt;=2000,F346&lt;=2100,G346&gt;=1,G346&lt;=12,H346&gt;=1,H346&lt;=31),DATE(F346,G346,H346),0),0)</ns0:f>
        <ns0:v>0</ns0:v>
      </ns0:c>
      <ns0:c r="J346" s="0">
        <ns0:f>IFERROR(IF(ISNUMBER(Bookings!B346),IF(AND(Bookings!B346=INT(Bookings!B346),Bookings!B346&gt;=DATE(2000,1,1),Bookings!B346&lt;=DATE(2100,12,31)),Bookings!B346,0),IF(AND(A346&lt;&gt;"",LEN("x"&amp;B346)-LEN(SUBSTITUTE("x"&amp;B346,".",""))=2,OR(1&gt;LEN(B346),MID(B346,1,1)=".",ISNUMBER(FIND("x"&amp;MID(B346,1,1),"x0x1x2x3x4x5x6x7x8x9"))),OR(2&gt;LEN(B346),MID(B346,2,1)=".",ISNUMBER(FIND("x"&amp;MID(B346,2,1),"x0x1x2x3x4x5x6x7x8x9"))),OR(3&gt;LEN(B346),MID(B346,3,1)=".",ISNUMBER(FIND("x"&amp;MID(B346,3,1),"x0x1x2x3x4x5x6x7x8x9"))),OR(4&gt;LEN(B346),MID(B346,4,1)=".",ISNUMBER(FIND("x"&amp;MID(B346,4,1),"x0x1x2x3x4x5x6x7x8x9"))),OR(5&gt;LEN(B346),MID(B346,5,1)=".",ISNUMBER(FIND("x"&amp;MID(B346,5,1),"x0x1x2x3x4x5x6x7x8x9"))),OR(6&gt;LEN(B346),MID(B346,6,1)=".",ISNUMBER(FIND("x"&amp;MID(B346,6,1),"x0x1x2x3x4x5x6x7x8x9"))),OR(7&gt;LEN(B346),MID(B346,7,1)=".",ISNUMBER(FIND("x"&amp;MID(B346,7,1),"x0x1x2x3x4x5x6x7x8x9"))),OR(8&gt;LEN(B346),MID(B346,8,1)=".",ISNUMBER(FIND("x"&amp;MID(B346,8,1),"x0x1x2x3x4x5x6x7x8x9"))),OR(9&gt;LEN(B346),MID(B346,9,1)=".",ISNUMBER(FIND("x"&amp;MID(B346,9,1),"x0x1x2x3x4x5x6x7x8x9"))),OR(10&gt;LEN(B346),MID(B346,10,1)=".",ISNUMBER(FIND("x"&amp;MID(B346,10,1),"x0x1x2x3x4x5x6x7x8x9"))),OR(AND(FIND(".",B346)=5,LEN(B346)-FIND(".",B346,FIND(".",B346)+1)&gt;=1,LEN(B346)-FIND(".",B346,FIND(".",B346)+1)&lt;=2),AND(LEN(B346)-FIND(".",B346,FIND(".",B346)+1)=4,FIND(".",B346)&gt;=2,FIND(".",B346)&lt;=3)),FIND(".",B346,FIND(".",B346)+1)-FIND(".",B346)&gt;=2,FIND(".",B346,FIND(".",B346)+1)-FIND(".",B346)&lt;=3,F346&gt;=2000,F346&lt;=2100,YEAR(I346)=F346,MONTH(I346)=G346,DAY(I346)=H346),I346,0)),0)</ns0:f>
        <ns0:v>0</ns0:v>
      </ns0:c>
      <ns0:c r="K346" s="0">
        <ns0:f>IFERROR(IF(ISNUMBER(Bookings!D346),"",TRIM(Bookings!D346&amp;"")),"")</ns0:f>
      </ns0:c>
      <ns0:c r="L346" s="0">
        <ns0:f>IFERROR(SUBSTITUTE(SUBSTITUTE(K346,"/","."),"-","."),"")</ns0:f>
      </ns0:c>
      <ns0:c r="M346" s="0">
        <ns0:f>IFERROR(LEFT(L346,FIND(".",L346)-1),"")</ns0:f>
      </ns0:c>
      <ns0:c r="N346" s="0">
        <ns0:f>IFERROR(MID(L346,FIND(".",L346)+1,FIND(".",L346,FIND(".",L346)+1)-FIND(".",L346)-1),"")</ns0:f>
      </ns0:c>
      <ns0:c r="O346" s="0">
        <ns0:f>IFERROR(MID(L346,FIND(".",L346,FIND(".",L346)+1)+1,99),"")</ns0:f>
        <ns0:v>99</ns0:v>
      </ns0:c>
      <ns0:c r="P346" s="0">
        <ns0:f>IFERROR(IF(FIND(".",L346)=5,--M346,--O346),0)</ns0:f>
        <ns0:v>0</ns0:v>
      </ns0:c>
      <ns0:c r="Q346" s="0">
        <ns0:f>IFERROR(--N346,0)</ns0:f>
        <ns0:v>0</ns0:v>
      </ns0:c>
      <ns0:c r="R346" s="0">
        <ns0:f>IFERROR(IF(FIND(".",L346)=5,--O346,--M346),0)</ns0:f>
        <ns0:v>0</ns0:v>
      </ns0:c>
      <ns0:c r="S346" s="0">
        <ns0:f>IFERROR(IF(AND(P346&gt;=2000,P346&lt;=2100,Q346&gt;=1,Q346&lt;=12,R346&gt;=1,R346&lt;=31),DATE(P346,Q346,R346),0),0)</ns0:f>
        <ns0:v>0</ns0:v>
      </ns0:c>
      <ns0:c r="T346" s="0">
        <ns0:f>IFERROR(IF(ISNUMBER(Bookings!D346),IF(AND(Bookings!D346=INT(Bookings!D346),Bookings!D346&gt;=DATE(2000,1,1),Bookings!D346&lt;=DATE(2100,12,31)),Bookings!D346,0),IF(AND(K346&lt;&gt;"",LEN("x"&amp;L346)-LEN(SUBSTITUTE("x"&amp;L346,".",""))=2,OR(1&gt;LEN(L346),MID(L346,1,1)=".",ISNUMBER(FIND("x"&amp;MID(L346,1,1),"x0x1x2x3x4x5x6x7x8x9"))),OR(2&gt;LEN(L346),MID(L346,2,1)=".",ISNUMBER(FIND("x"&amp;MID(L346,2,1),"x0x1x2x3x4x5x6x7x8x9"))),OR(3&gt;LEN(L346),MID(L346,3,1)=".",ISNUMBER(FIND("x"&amp;MID(L346,3,1),"x0x1x2x3x4x5x6x7x8x9"))),OR(4&gt;LEN(L346),MID(L346,4,1)=".",ISNUMBER(FIND("x"&amp;MID(L346,4,1),"x0x1x2x3x4x5x6x7x8x9"))),OR(5&gt;LEN(L346),MID(L346,5,1)=".",ISNUMBER(FIND("x"&amp;MID(L346,5,1),"x0x1x2x3x4x5x6x7x8x9"))),OR(6&gt;LEN(L346),MID(L346,6,1)=".",ISNUMBER(FIND("x"&amp;MID(L346,6,1),"x0x1x2x3x4x5x6x7x8x9"))),OR(7&gt;LEN(L346),MID(L346,7,1)=".",ISNUMBER(FIND("x"&amp;MID(L346,7,1),"x0x1x2x3x4x5x6x7x8x9"))),OR(8&gt;LEN(L346),MID(L346,8,1)=".",ISNUMBER(FIND("x"&amp;MID(L346,8,1),"x0x1x2x3x4x5x6x7x8x9"))),OR(9&gt;LEN(L346),MID(L346,9,1)=".",ISNUMBER(FIND("x"&amp;MID(L346,9,1),"x0x1x2x3x4x5x6x7x8x9"))),OR(10&gt;LEN(L346),MID(L346,10,1)=".",ISNUMBER(FIND("x"&amp;MID(L346,10,1),"x0x1x2x3x4x5x6x7x8x9"))),OR(AND(FIND(".",L346)=5,LEN(L346)-FIND(".",L346,FIND(".",L346)+1)&gt;=1,LEN(L346)-FIND(".",L346,FIND(".",L346)+1)&lt;=2),AND(LEN(L346)-FIND(".",L346,FIND(".",L346)+1)=4,FIND(".",L346)&gt;=2,FIND(".",L346)&lt;=3)),FIND(".",L346,FIND(".",L346)+1)-FIND(".",L346)&gt;=2,FIND(".",L346,FIND(".",L346)+1)-FIND(".",L346)&lt;=3,P346&gt;=2000,P346&lt;=2100,YEAR(S346)=P346,MONTH(S346)=Q346,DAY(S346)=R346),S346,0)),0)</ns0:f>
        <ns0:v>0</ns0:v>
      </ns0:c>
      <ns0:c r="U346" s="0" t="str">
        <ns0:f>IF(Bookings!C346="","Full day",Bookings!C346)</ns0:f>
        <ns0:v>Full day</ns0:v>
      </ns0:c>
      <ns0:c r="V346" s="0" t="str">
        <ns0:f>IF(Bookings!E346="","Full day",Bookings!E346)</ns0:f>
        <ns0:v>Full day</ns0:v>
      </ns0:c>
      <ns0:c r="W346" s="0">
        <ns0:f>IF(J346=0,0,J346+IF(U346="PM",1,0))</ns0:f>
        <ns0:v>0</ns0:v>
      </ns0:c>
      <ns0:c r="X346" s="0">
        <ns0:f>IF(T346=0,0,T346-IF(V346="PM",1,0))</ns0:f>
        <ns0:v>0</ns0:v>
      </ns0:c>
      <ns0:c r="Y346" s="0">
        <ns0:f>IF(J346=0,0,J346+IF(U346="AM",1,0))</ns0:f>
        <ns0:v>0</ns0:v>
      </ns0:c>
      <ns0:c r="Z346" s="0">
        <ns0:f>IF(T346=0,0,T346-IF(V346="AM",1,0))</ns0:f>
        <ns0:v>0</ns0:v>
      </ns0:c>
      <ns0:c r="AA346" s="0">
        <ns0:f>IFERROR(IF(AND(J346&gt;0,'_Engine'!C346&gt;0,MID('_Engine'!W346,WEEKDAY(J346,2),1)="W",COUNTIF(Settings!$F$18:$F$67,J346)=0),1,0),0)</ns0:f>
        <ns0:v>0</ns0:v>
      </ns0:c>
      <ns0:c r="AB346" s="0">
        <ns0:f>IFERROR(IF(AND(T346&gt;0,'_Engine'!C346&gt;0,MID('_Engine'!W346,WEEKDAY(T346,2),1)="W",COUNTIF(Settings!$F$18:$F$67,T346)=0),1,0),0)</ns0:f>
        <ns0:v>0</ns0:v>
      </ns0:c>
      <ns0:c r="AC346" s="0">
        <ns0:f>IF(AND(J346&gt;0,T346&gt;0,W346&lt;=X346),1,0)</ns0:f>
        <ns0:v>0</ns0:v>
      </ns0:c>
      <ns0:c r="AD346" s="0">
        <ns0:f>IF(AND(J346&gt;0,T346&gt;0,Y346&lt;=Z346),1,0)</ns0:f>
        <ns0:v>0</ns0:v>
      </ns0:c>
    </ns0:row>
    <ns0:row r="347">
      <ns0:c r="A347" s="0">
        <ns0:f>IFERROR(IF(ISNUMBER(Bookings!B347),"",TRIM(Bookings!B347&amp;"")),"")</ns0:f>
      </ns0:c>
      <ns0:c r="B347" s="0">
        <ns0:f>IFERROR(SUBSTITUTE(SUBSTITUTE(A347,"/","."),"-","."),"")</ns0:f>
      </ns0:c>
      <ns0:c r="C347" s="0">
        <ns0:f>IFERROR(LEFT(B347,FIND(".",B347)-1),"")</ns0:f>
      </ns0:c>
      <ns0:c r="D347" s="0">
        <ns0:f>IFERROR(MID(B347,FIND(".",B347)+1,FIND(".",B347,FIND(".",B347)+1)-FIND(".",B347)-1),"")</ns0:f>
      </ns0:c>
      <ns0:c r="E347" s="0">
        <ns0:f>IFERROR(MID(B347,FIND(".",B347,FIND(".",B347)+1)+1,99),"")</ns0:f>
        <ns0:v>99</ns0:v>
      </ns0:c>
      <ns0:c r="F347" s="0">
        <ns0:f>IFERROR(IF(FIND(".",B347)=5,--C347,--E347),0)</ns0:f>
        <ns0:v>0</ns0:v>
      </ns0:c>
      <ns0:c r="G347" s="0">
        <ns0:f>IFERROR(--D347,0)</ns0:f>
        <ns0:v>0</ns0:v>
      </ns0:c>
      <ns0:c r="H347" s="0">
        <ns0:f>IFERROR(IF(FIND(".",B347)=5,--E347,--C347),0)</ns0:f>
        <ns0:v>0</ns0:v>
      </ns0:c>
      <ns0:c r="I347" s="0">
        <ns0:f>IFERROR(IF(AND(F347&gt;=2000,F347&lt;=2100,G347&gt;=1,G347&lt;=12,H347&gt;=1,H347&lt;=31),DATE(F347,G347,H347),0),0)</ns0:f>
        <ns0:v>0</ns0:v>
      </ns0:c>
      <ns0:c r="J347" s="0">
        <ns0:f>IFERROR(IF(ISNUMBER(Bookings!B347),IF(AND(Bookings!B347=INT(Bookings!B347),Bookings!B347&gt;=DATE(2000,1,1),Bookings!B347&lt;=DATE(2100,12,31)),Bookings!B347,0),IF(AND(A347&lt;&gt;"",LEN("x"&amp;B347)-LEN(SUBSTITUTE("x"&amp;B347,".",""))=2,OR(1&gt;LEN(B347),MID(B347,1,1)=".",ISNUMBER(FIND("x"&amp;MID(B347,1,1),"x0x1x2x3x4x5x6x7x8x9"))),OR(2&gt;LEN(B347),MID(B347,2,1)=".",ISNUMBER(FIND("x"&amp;MID(B347,2,1),"x0x1x2x3x4x5x6x7x8x9"))),OR(3&gt;LEN(B347),MID(B347,3,1)=".",ISNUMBER(FIND("x"&amp;MID(B347,3,1),"x0x1x2x3x4x5x6x7x8x9"))),OR(4&gt;LEN(B347),MID(B347,4,1)=".",ISNUMBER(FIND("x"&amp;MID(B347,4,1),"x0x1x2x3x4x5x6x7x8x9"))),OR(5&gt;LEN(B347),MID(B347,5,1)=".",ISNUMBER(FIND("x"&amp;MID(B347,5,1),"x0x1x2x3x4x5x6x7x8x9"))),OR(6&gt;LEN(B347),MID(B347,6,1)=".",ISNUMBER(FIND("x"&amp;MID(B347,6,1),"x0x1x2x3x4x5x6x7x8x9"))),OR(7&gt;LEN(B347),MID(B347,7,1)=".",ISNUMBER(FIND("x"&amp;MID(B347,7,1),"x0x1x2x3x4x5x6x7x8x9"))),OR(8&gt;LEN(B347),MID(B347,8,1)=".",ISNUMBER(FIND("x"&amp;MID(B347,8,1),"x0x1x2x3x4x5x6x7x8x9"))),OR(9&gt;LEN(B347),MID(B347,9,1)=".",ISNUMBER(FIND("x"&amp;MID(B347,9,1),"x0x1x2x3x4x5x6x7x8x9"))),OR(10&gt;LEN(B347),MID(B347,10,1)=".",ISNUMBER(FIND("x"&amp;MID(B347,10,1),"x0x1x2x3x4x5x6x7x8x9"))),OR(AND(FIND(".",B347)=5,LEN(B347)-FIND(".",B347,FIND(".",B347)+1)&gt;=1,LEN(B347)-FIND(".",B347,FIND(".",B347)+1)&lt;=2),AND(LEN(B347)-FIND(".",B347,FIND(".",B347)+1)=4,FIND(".",B347)&gt;=2,FIND(".",B347)&lt;=3)),FIND(".",B347,FIND(".",B347)+1)-FIND(".",B347)&gt;=2,FIND(".",B347,FIND(".",B347)+1)-FIND(".",B347)&lt;=3,F347&gt;=2000,F347&lt;=2100,YEAR(I347)=F347,MONTH(I347)=G347,DAY(I347)=H347),I347,0)),0)</ns0:f>
        <ns0:v>0</ns0:v>
      </ns0:c>
      <ns0:c r="K347" s="0">
        <ns0:f>IFERROR(IF(ISNUMBER(Bookings!D347),"",TRIM(Bookings!D347&amp;"")),"")</ns0:f>
      </ns0:c>
      <ns0:c r="L347" s="0">
        <ns0:f>IFERROR(SUBSTITUTE(SUBSTITUTE(K347,"/","."),"-","."),"")</ns0:f>
      </ns0:c>
      <ns0:c r="M347" s="0">
        <ns0:f>IFERROR(LEFT(L347,FIND(".",L347)-1),"")</ns0:f>
      </ns0:c>
      <ns0:c r="N347" s="0">
        <ns0:f>IFERROR(MID(L347,FIND(".",L347)+1,FIND(".",L347,FIND(".",L347)+1)-FIND(".",L347)-1),"")</ns0:f>
      </ns0:c>
      <ns0:c r="O347" s="0">
        <ns0:f>IFERROR(MID(L347,FIND(".",L347,FIND(".",L347)+1)+1,99),"")</ns0:f>
        <ns0:v>99</ns0:v>
      </ns0:c>
      <ns0:c r="P347" s="0">
        <ns0:f>IFERROR(IF(FIND(".",L347)=5,--M347,--O347),0)</ns0:f>
        <ns0:v>0</ns0:v>
      </ns0:c>
      <ns0:c r="Q347" s="0">
        <ns0:f>IFERROR(--N347,0)</ns0:f>
        <ns0:v>0</ns0:v>
      </ns0:c>
      <ns0:c r="R347" s="0">
        <ns0:f>IFERROR(IF(FIND(".",L347)=5,--O347,--M347),0)</ns0:f>
        <ns0:v>0</ns0:v>
      </ns0:c>
      <ns0:c r="S347" s="0">
        <ns0:f>IFERROR(IF(AND(P347&gt;=2000,P347&lt;=2100,Q347&gt;=1,Q347&lt;=12,R347&gt;=1,R347&lt;=31),DATE(P347,Q347,R347),0),0)</ns0:f>
        <ns0:v>0</ns0:v>
      </ns0:c>
      <ns0:c r="T347" s="0">
        <ns0:f>IFERROR(IF(ISNUMBER(Bookings!D347),IF(AND(Bookings!D347=INT(Bookings!D347),Bookings!D347&gt;=DATE(2000,1,1),Bookings!D347&lt;=DATE(2100,12,31)),Bookings!D347,0),IF(AND(K347&lt;&gt;"",LEN("x"&amp;L347)-LEN(SUBSTITUTE("x"&amp;L347,".",""))=2,OR(1&gt;LEN(L347),MID(L347,1,1)=".",ISNUMBER(FIND("x"&amp;MID(L347,1,1),"x0x1x2x3x4x5x6x7x8x9"))),OR(2&gt;LEN(L347),MID(L347,2,1)=".",ISNUMBER(FIND("x"&amp;MID(L347,2,1),"x0x1x2x3x4x5x6x7x8x9"))),OR(3&gt;LEN(L347),MID(L347,3,1)=".",ISNUMBER(FIND("x"&amp;MID(L347,3,1),"x0x1x2x3x4x5x6x7x8x9"))),OR(4&gt;LEN(L347),MID(L347,4,1)=".",ISNUMBER(FIND("x"&amp;MID(L347,4,1),"x0x1x2x3x4x5x6x7x8x9"))),OR(5&gt;LEN(L347),MID(L347,5,1)=".",ISNUMBER(FIND("x"&amp;MID(L347,5,1),"x0x1x2x3x4x5x6x7x8x9"))),OR(6&gt;LEN(L347),MID(L347,6,1)=".",ISNUMBER(FIND("x"&amp;MID(L347,6,1),"x0x1x2x3x4x5x6x7x8x9"))),OR(7&gt;LEN(L347),MID(L347,7,1)=".",ISNUMBER(FIND("x"&amp;MID(L347,7,1),"x0x1x2x3x4x5x6x7x8x9"))),OR(8&gt;LEN(L347),MID(L347,8,1)=".",ISNUMBER(FIND("x"&amp;MID(L347,8,1),"x0x1x2x3x4x5x6x7x8x9"))),OR(9&gt;LEN(L347),MID(L347,9,1)=".",ISNUMBER(FIND("x"&amp;MID(L347,9,1),"x0x1x2x3x4x5x6x7x8x9"))),OR(10&gt;LEN(L347),MID(L347,10,1)=".",ISNUMBER(FIND("x"&amp;MID(L347,10,1),"x0x1x2x3x4x5x6x7x8x9"))),OR(AND(FIND(".",L347)=5,LEN(L347)-FIND(".",L347,FIND(".",L347)+1)&gt;=1,LEN(L347)-FIND(".",L347,FIND(".",L347)+1)&lt;=2),AND(LEN(L347)-FIND(".",L347,FIND(".",L347)+1)=4,FIND(".",L347)&gt;=2,FIND(".",L347)&lt;=3)),FIND(".",L347,FIND(".",L347)+1)-FIND(".",L347)&gt;=2,FIND(".",L347,FIND(".",L347)+1)-FIND(".",L347)&lt;=3,P347&gt;=2000,P347&lt;=2100,YEAR(S347)=P347,MONTH(S347)=Q347,DAY(S347)=R347),S347,0)),0)</ns0:f>
        <ns0:v>0</ns0:v>
      </ns0:c>
      <ns0:c r="U347" s="0" t="str">
        <ns0:f>IF(Bookings!C347="","Full day",Bookings!C347)</ns0:f>
        <ns0:v>Full day</ns0:v>
      </ns0:c>
      <ns0:c r="V347" s="0" t="str">
        <ns0:f>IF(Bookings!E347="","Full day",Bookings!E347)</ns0:f>
        <ns0:v>Full day</ns0:v>
      </ns0:c>
      <ns0:c r="W347" s="0">
        <ns0:f>IF(J347=0,0,J347+IF(U347="PM",1,0))</ns0:f>
        <ns0:v>0</ns0:v>
      </ns0:c>
      <ns0:c r="X347" s="0">
        <ns0:f>IF(T347=0,0,T347-IF(V347="PM",1,0))</ns0:f>
        <ns0:v>0</ns0:v>
      </ns0:c>
      <ns0:c r="Y347" s="0">
        <ns0:f>IF(J347=0,0,J347+IF(U347="AM",1,0))</ns0:f>
        <ns0:v>0</ns0:v>
      </ns0:c>
      <ns0:c r="Z347" s="0">
        <ns0:f>IF(T347=0,0,T347-IF(V347="AM",1,0))</ns0:f>
        <ns0:v>0</ns0:v>
      </ns0:c>
      <ns0:c r="AA347" s="0">
        <ns0:f>IFERROR(IF(AND(J347&gt;0,'_Engine'!C347&gt;0,MID('_Engine'!W347,WEEKDAY(J347,2),1)="W",COUNTIF(Settings!$F$18:$F$67,J347)=0),1,0),0)</ns0:f>
        <ns0:v>0</ns0:v>
      </ns0:c>
      <ns0:c r="AB347" s="0">
        <ns0:f>IFERROR(IF(AND(T347&gt;0,'_Engine'!C347&gt;0,MID('_Engine'!W347,WEEKDAY(T347,2),1)="W",COUNTIF(Settings!$F$18:$F$67,T347)=0),1,0),0)</ns0:f>
        <ns0:v>0</ns0:v>
      </ns0:c>
      <ns0:c r="AC347" s="0">
        <ns0:f>IF(AND(J347&gt;0,T347&gt;0,W347&lt;=X347),1,0)</ns0:f>
        <ns0:v>0</ns0:v>
      </ns0:c>
      <ns0:c r="AD347" s="0">
        <ns0:f>IF(AND(J347&gt;0,T347&gt;0,Y347&lt;=Z347),1,0)</ns0:f>
        <ns0:v>0</ns0:v>
      </ns0:c>
    </ns0:row>
    <ns0:row r="348">
      <ns0:c r="A348" s="0">
        <ns0:f>IFERROR(IF(ISNUMBER(Bookings!B348),"",TRIM(Bookings!B348&amp;"")),"")</ns0:f>
      </ns0:c>
      <ns0:c r="B348" s="0">
        <ns0:f>IFERROR(SUBSTITUTE(SUBSTITUTE(A348,"/","."),"-","."),"")</ns0:f>
      </ns0:c>
      <ns0:c r="C348" s="0">
        <ns0:f>IFERROR(LEFT(B348,FIND(".",B348)-1),"")</ns0:f>
      </ns0:c>
      <ns0:c r="D348" s="0">
        <ns0:f>IFERROR(MID(B348,FIND(".",B348)+1,FIND(".",B348,FIND(".",B348)+1)-FIND(".",B348)-1),"")</ns0:f>
      </ns0:c>
      <ns0:c r="E348" s="0">
        <ns0:f>IFERROR(MID(B348,FIND(".",B348,FIND(".",B348)+1)+1,99),"")</ns0:f>
        <ns0:v>99</ns0:v>
      </ns0:c>
      <ns0:c r="F348" s="0">
        <ns0:f>IFERROR(IF(FIND(".",B348)=5,--C348,--E348),0)</ns0:f>
        <ns0:v>0</ns0:v>
      </ns0:c>
      <ns0:c r="G348" s="0">
        <ns0:f>IFERROR(--D348,0)</ns0:f>
        <ns0:v>0</ns0:v>
      </ns0:c>
      <ns0:c r="H348" s="0">
        <ns0:f>IFERROR(IF(FIND(".",B348)=5,--E348,--C348),0)</ns0:f>
        <ns0:v>0</ns0:v>
      </ns0:c>
      <ns0:c r="I348" s="0">
        <ns0:f>IFERROR(IF(AND(F348&gt;=2000,F348&lt;=2100,G348&gt;=1,G348&lt;=12,H348&gt;=1,H348&lt;=31),DATE(F348,G348,H348),0),0)</ns0:f>
        <ns0:v>0</ns0:v>
      </ns0:c>
      <ns0:c r="J348" s="0">
        <ns0:f>IFERROR(IF(ISNUMBER(Bookings!B348),IF(AND(Bookings!B348=INT(Bookings!B348),Bookings!B348&gt;=DATE(2000,1,1),Bookings!B348&lt;=DATE(2100,12,31)),Bookings!B348,0),IF(AND(A348&lt;&gt;"",LEN("x"&amp;B348)-LEN(SUBSTITUTE("x"&amp;B348,".",""))=2,OR(1&gt;LEN(B348),MID(B348,1,1)=".",ISNUMBER(FIND("x"&amp;MID(B348,1,1),"x0x1x2x3x4x5x6x7x8x9"))),OR(2&gt;LEN(B348),MID(B348,2,1)=".",ISNUMBER(FIND("x"&amp;MID(B348,2,1),"x0x1x2x3x4x5x6x7x8x9"))),OR(3&gt;LEN(B348),MID(B348,3,1)=".",ISNUMBER(FIND("x"&amp;MID(B348,3,1),"x0x1x2x3x4x5x6x7x8x9"))),OR(4&gt;LEN(B348),MID(B348,4,1)=".",ISNUMBER(FIND("x"&amp;MID(B348,4,1),"x0x1x2x3x4x5x6x7x8x9"))),OR(5&gt;LEN(B348),MID(B348,5,1)=".",ISNUMBER(FIND("x"&amp;MID(B348,5,1),"x0x1x2x3x4x5x6x7x8x9"))),OR(6&gt;LEN(B348),MID(B348,6,1)=".",ISNUMBER(FIND("x"&amp;MID(B348,6,1),"x0x1x2x3x4x5x6x7x8x9"))),OR(7&gt;LEN(B348),MID(B348,7,1)=".",ISNUMBER(FIND("x"&amp;MID(B348,7,1),"x0x1x2x3x4x5x6x7x8x9"))),OR(8&gt;LEN(B348),MID(B348,8,1)=".",ISNUMBER(FIND("x"&amp;MID(B348,8,1),"x0x1x2x3x4x5x6x7x8x9"))),OR(9&gt;LEN(B348),MID(B348,9,1)=".",ISNUMBER(FIND("x"&amp;MID(B348,9,1),"x0x1x2x3x4x5x6x7x8x9"))),OR(10&gt;LEN(B348),MID(B348,10,1)=".",ISNUMBER(FIND("x"&amp;MID(B348,10,1),"x0x1x2x3x4x5x6x7x8x9"))),OR(AND(FIND(".",B348)=5,LEN(B348)-FIND(".",B348,FIND(".",B348)+1)&gt;=1,LEN(B348)-FIND(".",B348,FIND(".",B348)+1)&lt;=2),AND(LEN(B348)-FIND(".",B348,FIND(".",B348)+1)=4,FIND(".",B348)&gt;=2,FIND(".",B348)&lt;=3)),FIND(".",B348,FIND(".",B348)+1)-FIND(".",B348)&gt;=2,FIND(".",B348,FIND(".",B348)+1)-FIND(".",B348)&lt;=3,F348&gt;=2000,F348&lt;=2100,YEAR(I348)=F348,MONTH(I348)=G348,DAY(I348)=H348),I348,0)),0)</ns0:f>
        <ns0:v>0</ns0:v>
      </ns0:c>
      <ns0:c r="K348" s="0">
        <ns0:f>IFERROR(IF(ISNUMBER(Bookings!D348),"",TRIM(Bookings!D348&amp;"")),"")</ns0:f>
      </ns0:c>
      <ns0:c r="L348" s="0">
        <ns0:f>IFERROR(SUBSTITUTE(SUBSTITUTE(K348,"/","."),"-","."),"")</ns0:f>
      </ns0:c>
      <ns0:c r="M348" s="0">
        <ns0:f>IFERROR(LEFT(L348,FIND(".",L348)-1),"")</ns0:f>
      </ns0:c>
      <ns0:c r="N348" s="0">
        <ns0:f>IFERROR(MID(L348,FIND(".",L348)+1,FIND(".",L348,FIND(".",L348)+1)-FIND(".",L348)-1),"")</ns0:f>
      </ns0:c>
      <ns0:c r="O348" s="0">
        <ns0:f>IFERROR(MID(L348,FIND(".",L348,FIND(".",L348)+1)+1,99),"")</ns0:f>
        <ns0:v>99</ns0:v>
      </ns0:c>
      <ns0:c r="P348" s="0">
        <ns0:f>IFERROR(IF(FIND(".",L348)=5,--M348,--O348),0)</ns0:f>
        <ns0:v>0</ns0:v>
      </ns0:c>
      <ns0:c r="Q348" s="0">
        <ns0:f>IFERROR(--N348,0)</ns0:f>
        <ns0:v>0</ns0:v>
      </ns0:c>
      <ns0:c r="R348" s="0">
        <ns0:f>IFERROR(IF(FIND(".",L348)=5,--O348,--M348),0)</ns0:f>
        <ns0:v>0</ns0:v>
      </ns0:c>
      <ns0:c r="S348" s="0">
        <ns0:f>IFERROR(IF(AND(P348&gt;=2000,P348&lt;=2100,Q348&gt;=1,Q348&lt;=12,R348&gt;=1,R348&lt;=31),DATE(P348,Q348,R348),0),0)</ns0:f>
        <ns0:v>0</ns0:v>
      </ns0:c>
      <ns0:c r="T348" s="0">
        <ns0:f>IFERROR(IF(ISNUMBER(Bookings!D348),IF(AND(Bookings!D348=INT(Bookings!D348),Bookings!D348&gt;=DATE(2000,1,1),Bookings!D348&lt;=DATE(2100,12,31)),Bookings!D348,0),IF(AND(K348&lt;&gt;"",LEN("x"&amp;L348)-LEN(SUBSTITUTE("x"&amp;L348,".",""))=2,OR(1&gt;LEN(L348),MID(L348,1,1)=".",ISNUMBER(FIND("x"&amp;MID(L348,1,1),"x0x1x2x3x4x5x6x7x8x9"))),OR(2&gt;LEN(L348),MID(L348,2,1)=".",ISNUMBER(FIND("x"&amp;MID(L348,2,1),"x0x1x2x3x4x5x6x7x8x9"))),OR(3&gt;LEN(L348),MID(L348,3,1)=".",ISNUMBER(FIND("x"&amp;MID(L348,3,1),"x0x1x2x3x4x5x6x7x8x9"))),OR(4&gt;LEN(L348),MID(L348,4,1)=".",ISNUMBER(FIND("x"&amp;MID(L348,4,1),"x0x1x2x3x4x5x6x7x8x9"))),OR(5&gt;LEN(L348),MID(L348,5,1)=".",ISNUMBER(FIND("x"&amp;MID(L348,5,1),"x0x1x2x3x4x5x6x7x8x9"))),OR(6&gt;LEN(L348),MID(L348,6,1)=".",ISNUMBER(FIND("x"&amp;MID(L348,6,1),"x0x1x2x3x4x5x6x7x8x9"))),OR(7&gt;LEN(L348),MID(L348,7,1)=".",ISNUMBER(FIND("x"&amp;MID(L348,7,1),"x0x1x2x3x4x5x6x7x8x9"))),OR(8&gt;LEN(L348),MID(L348,8,1)=".",ISNUMBER(FIND("x"&amp;MID(L348,8,1),"x0x1x2x3x4x5x6x7x8x9"))),OR(9&gt;LEN(L348),MID(L348,9,1)=".",ISNUMBER(FIND("x"&amp;MID(L348,9,1),"x0x1x2x3x4x5x6x7x8x9"))),OR(10&gt;LEN(L348),MID(L348,10,1)=".",ISNUMBER(FIND("x"&amp;MID(L348,10,1),"x0x1x2x3x4x5x6x7x8x9"))),OR(AND(FIND(".",L348)=5,LEN(L348)-FIND(".",L348,FIND(".",L348)+1)&gt;=1,LEN(L348)-FIND(".",L348,FIND(".",L348)+1)&lt;=2),AND(LEN(L348)-FIND(".",L348,FIND(".",L348)+1)=4,FIND(".",L348)&gt;=2,FIND(".",L348)&lt;=3)),FIND(".",L348,FIND(".",L348)+1)-FIND(".",L348)&gt;=2,FIND(".",L348,FIND(".",L348)+1)-FIND(".",L348)&lt;=3,P348&gt;=2000,P348&lt;=2100,YEAR(S348)=P348,MONTH(S348)=Q348,DAY(S348)=R348),S348,0)),0)</ns0:f>
        <ns0:v>0</ns0:v>
      </ns0:c>
      <ns0:c r="U348" s="0" t="str">
        <ns0:f>IF(Bookings!C348="","Full day",Bookings!C348)</ns0:f>
        <ns0:v>Full day</ns0:v>
      </ns0:c>
      <ns0:c r="V348" s="0" t="str">
        <ns0:f>IF(Bookings!E348="","Full day",Bookings!E348)</ns0:f>
        <ns0:v>Full day</ns0:v>
      </ns0:c>
      <ns0:c r="W348" s="0">
        <ns0:f>IF(J348=0,0,J348+IF(U348="PM",1,0))</ns0:f>
        <ns0:v>0</ns0:v>
      </ns0:c>
      <ns0:c r="X348" s="0">
        <ns0:f>IF(T348=0,0,T348-IF(V348="PM",1,0))</ns0:f>
        <ns0:v>0</ns0:v>
      </ns0:c>
      <ns0:c r="Y348" s="0">
        <ns0:f>IF(J348=0,0,J348+IF(U348="AM",1,0))</ns0:f>
        <ns0:v>0</ns0:v>
      </ns0:c>
      <ns0:c r="Z348" s="0">
        <ns0:f>IF(T348=0,0,T348-IF(V348="AM",1,0))</ns0:f>
        <ns0:v>0</ns0:v>
      </ns0:c>
      <ns0:c r="AA348" s="0">
        <ns0:f>IFERROR(IF(AND(J348&gt;0,'_Engine'!C348&gt;0,MID('_Engine'!W348,WEEKDAY(J348,2),1)="W",COUNTIF(Settings!$F$18:$F$67,J348)=0),1,0),0)</ns0:f>
        <ns0:v>0</ns0:v>
      </ns0:c>
      <ns0:c r="AB348" s="0">
        <ns0:f>IFERROR(IF(AND(T348&gt;0,'_Engine'!C348&gt;0,MID('_Engine'!W348,WEEKDAY(T348,2),1)="W",COUNTIF(Settings!$F$18:$F$67,T348)=0),1,0),0)</ns0:f>
        <ns0:v>0</ns0:v>
      </ns0:c>
      <ns0:c r="AC348" s="0">
        <ns0:f>IF(AND(J348&gt;0,T348&gt;0,W348&lt;=X348),1,0)</ns0:f>
        <ns0:v>0</ns0:v>
      </ns0:c>
      <ns0:c r="AD348" s="0">
        <ns0:f>IF(AND(J348&gt;0,T348&gt;0,Y348&lt;=Z348),1,0)</ns0:f>
        <ns0:v>0</ns0:v>
      </ns0:c>
    </ns0:row>
    <ns0:row r="349">
      <ns0:c r="A349" s="0">
        <ns0:f>IFERROR(IF(ISNUMBER(Bookings!B349),"",TRIM(Bookings!B349&amp;"")),"")</ns0:f>
      </ns0:c>
      <ns0:c r="B349" s="0">
        <ns0:f>IFERROR(SUBSTITUTE(SUBSTITUTE(A349,"/","."),"-","."),"")</ns0:f>
      </ns0:c>
      <ns0:c r="C349" s="0">
        <ns0:f>IFERROR(LEFT(B349,FIND(".",B349)-1),"")</ns0:f>
      </ns0:c>
      <ns0:c r="D349" s="0">
        <ns0:f>IFERROR(MID(B349,FIND(".",B349)+1,FIND(".",B349,FIND(".",B349)+1)-FIND(".",B349)-1),"")</ns0:f>
      </ns0:c>
      <ns0:c r="E349" s="0">
        <ns0:f>IFERROR(MID(B349,FIND(".",B349,FIND(".",B349)+1)+1,99),"")</ns0:f>
        <ns0:v>99</ns0:v>
      </ns0:c>
      <ns0:c r="F349" s="0">
        <ns0:f>IFERROR(IF(FIND(".",B349)=5,--C349,--E349),0)</ns0:f>
        <ns0:v>0</ns0:v>
      </ns0:c>
      <ns0:c r="G349" s="0">
        <ns0:f>IFERROR(--D349,0)</ns0:f>
        <ns0:v>0</ns0:v>
      </ns0:c>
      <ns0:c r="H349" s="0">
        <ns0:f>IFERROR(IF(FIND(".",B349)=5,--E349,--C349),0)</ns0:f>
        <ns0:v>0</ns0:v>
      </ns0:c>
      <ns0:c r="I349" s="0">
        <ns0:f>IFERROR(IF(AND(F349&gt;=2000,F349&lt;=2100,G349&gt;=1,G349&lt;=12,H349&gt;=1,H349&lt;=31),DATE(F349,G349,H349),0),0)</ns0:f>
        <ns0:v>0</ns0:v>
      </ns0:c>
      <ns0:c r="J349" s="0">
        <ns0:f>IFERROR(IF(ISNUMBER(Bookings!B349),IF(AND(Bookings!B349=INT(Bookings!B349),Bookings!B349&gt;=DATE(2000,1,1),Bookings!B349&lt;=DATE(2100,12,31)),Bookings!B349,0),IF(AND(A349&lt;&gt;"",LEN("x"&amp;B349)-LEN(SUBSTITUTE("x"&amp;B349,".",""))=2,OR(1&gt;LEN(B349),MID(B349,1,1)=".",ISNUMBER(FIND("x"&amp;MID(B349,1,1),"x0x1x2x3x4x5x6x7x8x9"))),OR(2&gt;LEN(B349),MID(B349,2,1)=".",ISNUMBER(FIND("x"&amp;MID(B349,2,1),"x0x1x2x3x4x5x6x7x8x9"))),OR(3&gt;LEN(B349),MID(B349,3,1)=".",ISNUMBER(FIND("x"&amp;MID(B349,3,1),"x0x1x2x3x4x5x6x7x8x9"))),OR(4&gt;LEN(B349),MID(B349,4,1)=".",ISNUMBER(FIND("x"&amp;MID(B349,4,1),"x0x1x2x3x4x5x6x7x8x9"))),OR(5&gt;LEN(B349),MID(B349,5,1)=".",ISNUMBER(FIND("x"&amp;MID(B349,5,1),"x0x1x2x3x4x5x6x7x8x9"))),OR(6&gt;LEN(B349),MID(B349,6,1)=".",ISNUMBER(FIND("x"&amp;MID(B349,6,1),"x0x1x2x3x4x5x6x7x8x9"))),OR(7&gt;LEN(B349),MID(B349,7,1)=".",ISNUMBER(FIND("x"&amp;MID(B349,7,1),"x0x1x2x3x4x5x6x7x8x9"))),OR(8&gt;LEN(B349),MID(B349,8,1)=".",ISNUMBER(FIND("x"&amp;MID(B349,8,1),"x0x1x2x3x4x5x6x7x8x9"))),OR(9&gt;LEN(B349),MID(B349,9,1)=".",ISNUMBER(FIND("x"&amp;MID(B349,9,1),"x0x1x2x3x4x5x6x7x8x9"))),OR(10&gt;LEN(B349),MID(B349,10,1)=".",ISNUMBER(FIND("x"&amp;MID(B349,10,1),"x0x1x2x3x4x5x6x7x8x9"))),OR(AND(FIND(".",B349)=5,LEN(B349)-FIND(".",B349,FIND(".",B349)+1)&gt;=1,LEN(B349)-FIND(".",B349,FIND(".",B349)+1)&lt;=2),AND(LEN(B349)-FIND(".",B349,FIND(".",B349)+1)=4,FIND(".",B349)&gt;=2,FIND(".",B349)&lt;=3)),FIND(".",B349,FIND(".",B349)+1)-FIND(".",B349)&gt;=2,FIND(".",B349,FIND(".",B349)+1)-FIND(".",B349)&lt;=3,F349&gt;=2000,F349&lt;=2100,YEAR(I349)=F349,MONTH(I349)=G349,DAY(I349)=H349),I349,0)),0)</ns0:f>
        <ns0:v>0</ns0:v>
      </ns0:c>
      <ns0:c r="K349" s="0">
        <ns0:f>IFERROR(IF(ISNUMBER(Bookings!D349),"",TRIM(Bookings!D349&amp;"")),"")</ns0:f>
      </ns0:c>
      <ns0:c r="L349" s="0">
        <ns0:f>IFERROR(SUBSTITUTE(SUBSTITUTE(K349,"/","."),"-","."),"")</ns0:f>
      </ns0:c>
      <ns0:c r="M349" s="0">
        <ns0:f>IFERROR(LEFT(L349,FIND(".",L349)-1),"")</ns0:f>
      </ns0:c>
      <ns0:c r="N349" s="0">
        <ns0:f>IFERROR(MID(L349,FIND(".",L349)+1,FIND(".",L349,FIND(".",L349)+1)-FIND(".",L349)-1),"")</ns0:f>
      </ns0:c>
      <ns0:c r="O349" s="0">
        <ns0:f>IFERROR(MID(L349,FIND(".",L349,FIND(".",L349)+1)+1,99),"")</ns0:f>
        <ns0:v>99</ns0:v>
      </ns0:c>
      <ns0:c r="P349" s="0">
        <ns0:f>IFERROR(IF(FIND(".",L349)=5,--M349,--O349),0)</ns0:f>
        <ns0:v>0</ns0:v>
      </ns0:c>
      <ns0:c r="Q349" s="0">
        <ns0:f>IFERROR(--N349,0)</ns0:f>
        <ns0:v>0</ns0:v>
      </ns0:c>
      <ns0:c r="R349" s="0">
        <ns0:f>IFERROR(IF(FIND(".",L349)=5,--O349,--M349),0)</ns0:f>
        <ns0:v>0</ns0:v>
      </ns0:c>
      <ns0:c r="S349" s="0">
        <ns0:f>IFERROR(IF(AND(P349&gt;=2000,P349&lt;=2100,Q349&gt;=1,Q349&lt;=12,R349&gt;=1,R349&lt;=31),DATE(P349,Q349,R349),0),0)</ns0:f>
        <ns0:v>0</ns0:v>
      </ns0:c>
      <ns0:c r="T349" s="0">
        <ns0:f>IFERROR(IF(ISNUMBER(Bookings!D349),IF(AND(Bookings!D349=INT(Bookings!D349),Bookings!D349&gt;=DATE(2000,1,1),Bookings!D349&lt;=DATE(2100,12,31)),Bookings!D349,0),IF(AND(K349&lt;&gt;"",LEN("x"&amp;L349)-LEN(SUBSTITUTE("x"&amp;L349,".",""))=2,OR(1&gt;LEN(L349),MID(L349,1,1)=".",ISNUMBER(FIND("x"&amp;MID(L349,1,1),"x0x1x2x3x4x5x6x7x8x9"))),OR(2&gt;LEN(L349),MID(L349,2,1)=".",ISNUMBER(FIND("x"&amp;MID(L349,2,1),"x0x1x2x3x4x5x6x7x8x9"))),OR(3&gt;LEN(L349),MID(L349,3,1)=".",ISNUMBER(FIND("x"&amp;MID(L349,3,1),"x0x1x2x3x4x5x6x7x8x9"))),OR(4&gt;LEN(L349),MID(L349,4,1)=".",ISNUMBER(FIND("x"&amp;MID(L349,4,1),"x0x1x2x3x4x5x6x7x8x9"))),OR(5&gt;LEN(L349),MID(L349,5,1)=".",ISNUMBER(FIND("x"&amp;MID(L349,5,1),"x0x1x2x3x4x5x6x7x8x9"))),OR(6&gt;LEN(L349),MID(L349,6,1)=".",ISNUMBER(FIND("x"&amp;MID(L349,6,1),"x0x1x2x3x4x5x6x7x8x9"))),OR(7&gt;LEN(L349),MID(L349,7,1)=".",ISNUMBER(FIND("x"&amp;MID(L349,7,1),"x0x1x2x3x4x5x6x7x8x9"))),OR(8&gt;LEN(L349),MID(L349,8,1)=".",ISNUMBER(FIND("x"&amp;MID(L349,8,1),"x0x1x2x3x4x5x6x7x8x9"))),OR(9&gt;LEN(L349),MID(L349,9,1)=".",ISNUMBER(FIND("x"&amp;MID(L349,9,1),"x0x1x2x3x4x5x6x7x8x9"))),OR(10&gt;LEN(L349),MID(L349,10,1)=".",ISNUMBER(FIND("x"&amp;MID(L349,10,1),"x0x1x2x3x4x5x6x7x8x9"))),OR(AND(FIND(".",L349)=5,LEN(L349)-FIND(".",L349,FIND(".",L349)+1)&gt;=1,LEN(L349)-FIND(".",L349,FIND(".",L349)+1)&lt;=2),AND(LEN(L349)-FIND(".",L349,FIND(".",L349)+1)=4,FIND(".",L349)&gt;=2,FIND(".",L349)&lt;=3)),FIND(".",L349,FIND(".",L349)+1)-FIND(".",L349)&gt;=2,FIND(".",L349,FIND(".",L349)+1)-FIND(".",L349)&lt;=3,P349&gt;=2000,P349&lt;=2100,YEAR(S349)=P349,MONTH(S349)=Q349,DAY(S349)=R349),S349,0)),0)</ns0:f>
        <ns0:v>0</ns0:v>
      </ns0:c>
      <ns0:c r="U349" s="0" t="str">
        <ns0:f>IF(Bookings!C349="","Full day",Bookings!C349)</ns0:f>
        <ns0:v>Full day</ns0:v>
      </ns0:c>
      <ns0:c r="V349" s="0" t="str">
        <ns0:f>IF(Bookings!E349="","Full day",Bookings!E349)</ns0:f>
        <ns0:v>Full day</ns0:v>
      </ns0:c>
      <ns0:c r="W349" s="0">
        <ns0:f>IF(J349=0,0,J349+IF(U349="PM",1,0))</ns0:f>
        <ns0:v>0</ns0:v>
      </ns0:c>
      <ns0:c r="X349" s="0">
        <ns0:f>IF(T349=0,0,T349-IF(V349="PM",1,0))</ns0:f>
        <ns0:v>0</ns0:v>
      </ns0:c>
      <ns0:c r="Y349" s="0">
        <ns0:f>IF(J349=0,0,J349+IF(U349="AM",1,0))</ns0:f>
        <ns0:v>0</ns0:v>
      </ns0:c>
      <ns0:c r="Z349" s="0">
        <ns0:f>IF(T349=0,0,T349-IF(V349="AM",1,0))</ns0:f>
        <ns0:v>0</ns0:v>
      </ns0:c>
      <ns0:c r="AA349" s="0">
        <ns0:f>IFERROR(IF(AND(J349&gt;0,'_Engine'!C349&gt;0,MID('_Engine'!W349,WEEKDAY(J349,2),1)="W",COUNTIF(Settings!$F$18:$F$67,J349)=0),1,0),0)</ns0:f>
        <ns0:v>0</ns0:v>
      </ns0:c>
      <ns0:c r="AB349" s="0">
        <ns0:f>IFERROR(IF(AND(T349&gt;0,'_Engine'!C349&gt;0,MID('_Engine'!W349,WEEKDAY(T349,2),1)="W",COUNTIF(Settings!$F$18:$F$67,T349)=0),1,0),0)</ns0:f>
        <ns0:v>0</ns0:v>
      </ns0:c>
      <ns0:c r="AC349" s="0">
        <ns0:f>IF(AND(J349&gt;0,T349&gt;0,W349&lt;=X349),1,0)</ns0:f>
        <ns0:v>0</ns0:v>
      </ns0:c>
      <ns0:c r="AD349" s="0">
        <ns0:f>IF(AND(J349&gt;0,T349&gt;0,Y349&lt;=Z349),1,0)</ns0:f>
        <ns0:v>0</ns0:v>
      </ns0:c>
    </ns0:row>
    <ns0:row r="350">
      <ns0:c r="A350" s="0">
        <ns0:f>IFERROR(IF(ISNUMBER(Bookings!B350),"",TRIM(Bookings!B350&amp;"")),"")</ns0:f>
      </ns0:c>
      <ns0:c r="B350" s="0">
        <ns0:f>IFERROR(SUBSTITUTE(SUBSTITUTE(A350,"/","."),"-","."),"")</ns0:f>
      </ns0:c>
      <ns0:c r="C350" s="0">
        <ns0:f>IFERROR(LEFT(B350,FIND(".",B350)-1),"")</ns0:f>
      </ns0:c>
      <ns0:c r="D350" s="0">
        <ns0:f>IFERROR(MID(B350,FIND(".",B350)+1,FIND(".",B350,FIND(".",B350)+1)-FIND(".",B350)-1),"")</ns0:f>
      </ns0:c>
      <ns0:c r="E350" s="0">
        <ns0:f>IFERROR(MID(B350,FIND(".",B350,FIND(".",B350)+1)+1,99),"")</ns0:f>
        <ns0:v>99</ns0:v>
      </ns0:c>
      <ns0:c r="F350" s="0">
        <ns0:f>IFERROR(IF(FIND(".",B350)=5,--C350,--E350),0)</ns0:f>
        <ns0:v>0</ns0:v>
      </ns0:c>
      <ns0:c r="G350" s="0">
        <ns0:f>IFERROR(--D350,0)</ns0:f>
        <ns0:v>0</ns0:v>
      </ns0:c>
      <ns0:c r="H350" s="0">
        <ns0:f>IFERROR(IF(FIND(".",B350)=5,--E350,--C350),0)</ns0:f>
        <ns0:v>0</ns0:v>
      </ns0:c>
      <ns0:c r="I350" s="0">
        <ns0:f>IFERROR(IF(AND(F350&gt;=2000,F350&lt;=2100,G350&gt;=1,G350&lt;=12,H350&gt;=1,H350&lt;=31),DATE(F350,G350,H350),0),0)</ns0:f>
        <ns0:v>0</ns0:v>
      </ns0:c>
      <ns0:c r="J350" s="0">
        <ns0:f>IFERROR(IF(ISNUMBER(Bookings!B350),IF(AND(Bookings!B350=INT(Bookings!B350),Bookings!B350&gt;=DATE(2000,1,1),Bookings!B350&lt;=DATE(2100,12,31)),Bookings!B350,0),IF(AND(A350&lt;&gt;"",LEN("x"&amp;B350)-LEN(SUBSTITUTE("x"&amp;B350,".",""))=2,OR(1&gt;LEN(B350),MID(B350,1,1)=".",ISNUMBER(FIND("x"&amp;MID(B350,1,1),"x0x1x2x3x4x5x6x7x8x9"))),OR(2&gt;LEN(B350),MID(B350,2,1)=".",ISNUMBER(FIND("x"&amp;MID(B350,2,1),"x0x1x2x3x4x5x6x7x8x9"))),OR(3&gt;LEN(B350),MID(B350,3,1)=".",ISNUMBER(FIND("x"&amp;MID(B350,3,1),"x0x1x2x3x4x5x6x7x8x9"))),OR(4&gt;LEN(B350),MID(B350,4,1)=".",ISNUMBER(FIND("x"&amp;MID(B350,4,1),"x0x1x2x3x4x5x6x7x8x9"))),OR(5&gt;LEN(B350),MID(B350,5,1)=".",ISNUMBER(FIND("x"&amp;MID(B350,5,1),"x0x1x2x3x4x5x6x7x8x9"))),OR(6&gt;LEN(B350),MID(B350,6,1)=".",ISNUMBER(FIND("x"&amp;MID(B350,6,1),"x0x1x2x3x4x5x6x7x8x9"))),OR(7&gt;LEN(B350),MID(B350,7,1)=".",ISNUMBER(FIND("x"&amp;MID(B350,7,1),"x0x1x2x3x4x5x6x7x8x9"))),OR(8&gt;LEN(B350),MID(B350,8,1)=".",ISNUMBER(FIND("x"&amp;MID(B350,8,1),"x0x1x2x3x4x5x6x7x8x9"))),OR(9&gt;LEN(B350),MID(B350,9,1)=".",ISNUMBER(FIND("x"&amp;MID(B350,9,1),"x0x1x2x3x4x5x6x7x8x9"))),OR(10&gt;LEN(B350),MID(B350,10,1)=".",ISNUMBER(FIND("x"&amp;MID(B350,10,1),"x0x1x2x3x4x5x6x7x8x9"))),OR(AND(FIND(".",B350)=5,LEN(B350)-FIND(".",B350,FIND(".",B350)+1)&gt;=1,LEN(B350)-FIND(".",B350,FIND(".",B350)+1)&lt;=2),AND(LEN(B350)-FIND(".",B350,FIND(".",B350)+1)=4,FIND(".",B350)&gt;=2,FIND(".",B350)&lt;=3)),FIND(".",B350,FIND(".",B350)+1)-FIND(".",B350)&gt;=2,FIND(".",B350,FIND(".",B350)+1)-FIND(".",B350)&lt;=3,F350&gt;=2000,F350&lt;=2100,YEAR(I350)=F350,MONTH(I350)=G350,DAY(I350)=H350),I350,0)),0)</ns0:f>
        <ns0:v>0</ns0:v>
      </ns0:c>
      <ns0:c r="K350" s="0">
        <ns0:f>IFERROR(IF(ISNUMBER(Bookings!D350),"",TRIM(Bookings!D350&amp;"")),"")</ns0:f>
      </ns0:c>
      <ns0:c r="L350" s="0">
        <ns0:f>IFERROR(SUBSTITUTE(SUBSTITUTE(K350,"/","."),"-","."),"")</ns0:f>
      </ns0:c>
      <ns0:c r="M350" s="0">
        <ns0:f>IFERROR(LEFT(L350,FIND(".",L350)-1),"")</ns0:f>
      </ns0:c>
      <ns0:c r="N350" s="0">
        <ns0:f>IFERROR(MID(L350,FIND(".",L350)+1,FIND(".",L350,FIND(".",L350)+1)-FIND(".",L350)-1),"")</ns0:f>
      </ns0:c>
      <ns0:c r="O350" s="0">
        <ns0:f>IFERROR(MID(L350,FIND(".",L350,FIND(".",L350)+1)+1,99),"")</ns0:f>
        <ns0:v>99</ns0:v>
      </ns0:c>
      <ns0:c r="P350" s="0">
        <ns0:f>IFERROR(IF(FIND(".",L350)=5,--M350,--O350),0)</ns0:f>
        <ns0:v>0</ns0:v>
      </ns0:c>
      <ns0:c r="Q350" s="0">
        <ns0:f>IFERROR(--N350,0)</ns0:f>
        <ns0:v>0</ns0:v>
      </ns0:c>
      <ns0:c r="R350" s="0">
        <ns0:f>IFERROR(IF(FIND(".",L350)=5,--O350,--M350),0)</ns0:f>
        <ns0:v>0</ns0:v>
      </ns0:c>
      <ns0:c r="S350" s="0">
        <ns0:f>IFERROR(IF(AND(P350&gt;=2000,P350&lt;=2100,Q350&gt;=1,Q350&lt;=12,R350&gt;=1,R350&lt;=31),DATE(P350,Q350,R350),0),0)</ns0:f>
        <ns0:v>0</ns0:v>
      </ns0:c>
      <ns0:c r="T350" s="0">
        <ns0:f>IFERROR(IF(ISNUMBER(Bookings!D350),IF(AND(Bookings!D350=INT(Bookings!D350),Bookings!D350&gt;=DATE(2000,1,1),Bookings!D350&lt;=DATE(2100,12,31)),Bookings!D350,0),IF(AND(K350&lt;&gt;"",LEN("x"&amp;L350)-LEN(SUBSTITUTE("x"&amp;L350,".",""))=2,OR(1&gt;LEN(L350),MID(L350,1,1)=".",ISNUMBER(FIND("x"&amp;MID(L350,1,1),"x0x1x2x3x4x5x6x7x8x9"))),OR(2&gt;LEN(L350),MID(L350,2,1)=".",ISNUMBER(FIND("x"&amp;MID(L350,2,1),"x0x1x2x3x4x5x6x7x8x9"))),OR(3&gt;LEN(L350),MID(L350,3,1)=".",ISNUMBER(FIND("x"&amp;MID(L350,3,1),"x0x1x2x3x4x5x6x7x8x9"))),OR(4&gt;LEN(L350),MID(L350,4,1)=".",ISNUMBER(FIND("x"&amp;MID(L350,4,1),"x0x1x2x3x4x5x6x7x8x9"))),OR(5&gt;LEN(L350),MID(L350,5,1)=".",ISNUMBER(FIND("x"&amp;MID(L350,5,1),"x0x1x2x3x4x5x6x7x8x9"))),OR(6&gt;LEN(L350),MID(L350,6,1)=".",ISNUMBER(FIND("x"&amp;MID(L350,6,1),"x0x1x2x3x4x5x6x7x8x9"))),OR(7&gt;LEN(L350),MID(L350,7,1)=".",ISNUMBER(FIND("x"&amp;MID(L350,7,1),"x0x1x2x3x4x5x6x7x8x9"))),OR(8&gt;LEN(L350),MID(L350,8,1)=".",ISNUMBER(FIND("x"&amp;MID(L350,8,1),"x0x1x2x3x4x5x6x7x8x9"))),OR(9&gt;LEN(L350),MID(L350,9,1)=".",ISNUMBER(FIND("x"&amp;MID(L350,9,1),"x0x1x2x3x4x5x6x7x8x9"))),OR(10&gt;LEN(L350),MID(L350,10,1)=".",ISNUMBER(FIND("x"&amp;MID(L350,10,1),"x0x1x2x3x4x5x6x7x8x9"))),OR(AND(FIND(".",L350)=5,LEN(L350)-FIND(".",L350,FIND(".",L350)+1)&gt;=1,LEN(L350)-FIND(".",L350,FIND(".",L350)+1)&lt;=2),AND(LEN(L350)-FIND(".",L350,FIND(".",L350)+1)=4,FIND(".",L350)&gt;=2,FIND(".",L350)&lt;=3)),FIND(".",L350,FIND(".",L350)+1)-FIND(".",L350)&gt;=2,FIND(".",L350,FIND(".",L350)+1)-FIND(".",L350)&lt;=3,P350&gt;=2000,P350&lt;=2100,YEAR(S350)=P350,MONTH(S350)=Q350,DAY(S350)=R350),S350,0)),0)</ns0:f>
        <ns0:v>0</ns0:v>
      </ns0:c>
      <ns0:c r="U350" s="0" t="str">
        <ns0:f>IF(Bookings!C350="","Full day",Bookings!C350)</ns0:f>
        <ns0:v>Full day</ns0:v>
      </ns0:c>
      <ns0:c r="V350" s="0" t="str">
        <ns0:f>IF(Bookings!E350="","Full day",Bookings!E350)</ns0:f>
        <ns0:v>Full day</ns0:v>
      </ns0:c>
      <ns0:c r="W350" s="0">
        <ns0:f>IF(J350=0,0,J350+IF(U350="PM",1,0))</ns0:f>
        <ns0:v>0</ns0:v>
      </ns0:c>
      <ns0:c r="X350" s="0">
        <ns0:f>IF(T350=0,0,T350-IF(V350="PM",1,0))</ns0:f>
        <ns0:v>0</ns0:v>
      </ns0:c>
      <ns0:c r="Y350" s="0">
        <ns0:f>IF(J350=0,0,J350+IF(U350="AM",1,0))</ns0:f>
        <ns0:v>0</ns0:v>
      </ns0:c>
      <ns0:c r="Z350" s="0">
        <ns0:f>IF(T350=0,0,T350-IF(V350="AM",1,0))</ns0:f>
        <ns0:v>0</ns0:v>
      </ns0:c>
      <ns0:c r="AA350" s="0">
        <ns0:f>IFERROR(IF(AND(J350&gt;0,'_Engine'!C350&gt;0,MID('_Engine'!W350,WEEKDAY(J350,2),1)="W",COUNTIF(Settings!$F$18:$F$67,J350)=0),1,0),0)</ns0:f>
        <ns0:v>0</ns0:v>
      </ns0:c>
      <ns0:c r="AB350" s="0">
        <ns0:f>IFERROR(IF(AND(T350&gt;0,'_Engine'!C350&gt;0,MID('_Engine'!W350,WEEKDAY(T350,2),1)="W",COUNTIF(Settings!$F$18:$F$67,T350)=0),1,0),0)</ns0:f>
        <ns0:v>0</ns0:v>
      </ns0:c>
      <ns0:c r="AC350" s="0">
        <ns0:f>IF(AND(J350&gt;0,T350&gt;0,W350&lt;=X350),1,0)</ns0:f>
        <ns0:v>0</ns0:v>
      </ns0:c>
      <ns0:c r="AD350" s="0">
        <ns0:f>IF(AND(J350&gt;0,T350&gt;0,Y350&lt;=Z350),1,0)</ns0:f>
        <ns0:v>0</ns0:v>
      </ns0:c>
    </ns0:row>
    <ns0:row r="351">
      <ns0:c r="A351" s="0">
        <ns0:f>IFERROR(IF(ISNUMBER(Bookings!B351),"",TRIM(Bookings!B351&amp;"")),"")</ns0:f>
      </ns0:c>
      <ns0:c r="B351" s="0">
        <ns0:f>IFERROR(SUBSTITUTE(SUBSTITUTE(A351,"/","."),"-","."),"")</ns0:f>
      </ns0:c>
      <ns0:c r="C351" s="0">
        <ns0:f>IFERROR(LEFT(B351,FIND(".",B351)-1),"")</ns0:f>
      </ns0:c>
      <ns0:c r="D351" s="0">
        <ns0:f>IFERROR(MID(B351,FIND(".",B351)+1,FIND(".",B351,FIND(".",B351)+1)-FIND(".",B351)-1),"")</ns0:f>
      </ns0:c>
      <ns0:c r="E351" s="0">
        <ns0:f>IFERROR(MID(B351,FIND(".",B351,FIND(".",B351)+1)+1,99),"")</ns0:f>
        <ns0:v>99</ns0:v>
      </ns0:c>
      <ns0:c r="F351" s="0">
        <ns0:f>IFERROR(IF(FIND(".",B351)=5,--C351,--E351),0)</ns0:f>
        <ns0:v>0</ns0:v>
      </ns0:c>
      <ns0:c r="G351" s="0">
        <ns0:f>IFERROR(--D351,0)</ns0:f>
        <ns0:v>0</ns0:v>
      </ns0:c>
      <ns0:c r="H351" s="0">
        <ns0:f>IFERROR(IF(FIND(".",B351)=5,--E351,--C351),0)</ns0:f>
        <ns0:v>0</ns0:v>
      </ns0:c>
      <ns0:c r="I351" s="0">
        <ns0:f>IFERROR(IF(AND(F351&gt;=2000,F351&lt;=2100,G351&gt;=1,G351&lt;=12,H351&gt;=1,H351&lt;=31),DATE(F351,G351,H351),0),0)</ns0:f>
        <ns0:v>0</ns0:v>
      </ns0:c>
      <ns0:c r="J351" s="0">
        <ns0:f>IFERROR(IF(ISNUMBER(Bookings!B351),IF(AND(Bookings!B351=INT(Bookings!B351),Bookings!B351&gt;=DATE(2000,1,1),Bookings!B351&lt;=DATE(2100,12,31)),Bookings!B351,0),IF(AND(A351&lt;&gt;"",LEN("x"&amp;B351)-LEN(SUBSTITUTE("x"&amp;B351,".",""))=2,OR(1&gt;LEN(B351),MID(B351,1,1)=".",ISNUMBER(FIND("x"&amp;MID(B351,1,1),"x0x1x2x3x4x5x6x7x8x9"))),OR(2&gt;LEN(B351),MID(B351,2,1)=".",ISNUMBER(FIND("x"&amp;MID(B351,2,1),"x0x1x2x3x4x5x6x7x8x9"))),OR(3&gt;LEN(B351),MID(B351,3,1)=".",ISNUMBER(FIND("x"&amp;MID(B351,3,1),"x0x1x2x3x4x5x6x7x8x9"))),OR(4&gt;LEN(B351),MID(B351,4,1)=".",ISNUMBER(FIND("x"&amp;MID(B351,4,1),"x0x1x2x3x4x5x6x7x8x9"))),OR(5&gt;LEN(B351),MID(B351,5,1)=".",ISNUMBER(FIND("x"&amp;MID(B351,5,1),"x0x1x2x3x4x5x6x7x8x9"))),OR(6&gt;LEN(B351),MID(B351,6,1)=".",ISNUMBER(FIND("x"&amp;MID(B351,6,1),"x0x1x2x3x4x5x6x7x8x9"))),OR(7&gt;LEN(B351),MID(B351,7,1)=".",ISNUMBER(FIND("x"&amp;MID(B351,7,1),"x0x1x2x3x4x5x6x7x8x9"))),OR(8&gt;LEN(B351),MID(B351,8,1)=".",ISNUMBER(FIND("x"&amp;MID(B351,8,1),"x0x1x2x3x4x5x6x7x8x9"))),OR(9&gt;LEN(B351),MID(B351,9,1)=".",ISNUMBER(FIND("x"&amp;MID(B351,9,1),"x0x1x2x3x4x5x6x7x8x9"))),OR(10&gt;LEN(B351),MID(B351,10,1)=".",ISNUMBER(FIND("x"&amp;MID(B351,10,1),"x0x1x2x3x4x5x6x7x8x9"))),OR(AND(FIND(".",B351)=5,LEN(B351)-FIND(".",B351,FIND(".",B351)+1)&gt;=1,LEN(B351)-FIND(".",B351,FIND(".",B351)+1)&lt;=2),AND(LEN(B351)-FIND(".",B351,FIND(".",B351)+1)=4,FIND(".",B351)&gt;=2,FIND(".",B351)&lt;=3)),FIND(".",B351,FIND(".",B351)+1)-FIND(".",B351)&gt;=2,FIND(".",B351,FIND(".",B351)+1)-FIND(".",B351)&lt;=3,F351&gt;=2000,F351&lt;=2100,YEAR(I351)=F351,MONTH(I351)=G351,DAY(I351)=H351),I351,0)),0)</ns0:f>
        <ns0:v>0</ns0:v>
      </ns0:c>
      <ns0:c r="K351" s="0">
        <ns0:f>IFERROR(IF(ISNUMBER(Bookings!D351),"",TRIM(Bookings!D351&amp;"")),"")</ns0:f>
      </ns0:c>
      <ns0:c r="L351" s="0">
        <ns0:f>IFERROR(SUBSTITUTE(SUBSTITUTE(K351,"/","."),"-","."),"")</ns0:f>
      </ns0:c>
      <ns0:c r="M351" s="0">
        <ns0:f>IFERROR(LEFT(L351,FIND(".",L351)-1),"")</ns0:f>
      </ns0:c>
      <ns0:c r="N351" s="0">
        <ns0:f>IFERROR(MID(L351,FIND(".",L351)+1,FIND(".",L351,FIND(".",L351)+1)-FIND(".",L351)-1),"")</ns0:f>
      </ns0:c>
      <ns0:c r="O351" s="0">
        <ns0:f>IFERROR(MID(L351,FIND(".",L351,FIND(".",L351)+1)+1,99),"")</ns0:f>
        <ns0:v>99</ns0:v>
      </ns0:c>
      <ns0:c r="P351" s="0">
        <ns0:f>IFERROR(IF(FIND(".",L351)=5,--M351,--O351),0)</ns0:f>
        <ns0:v>0</ns0:v>
      </ns0:c>
      <ns0:c r="Q351" s="0">
        <ns0:f>IFERROR(--N351,0)</ns0:f>
        <ns0:v>0</ns0:v>
      </ns0:c>
      <ns0:c r="R351" s="0">
        <ns0:f>IFERROR(IF(FIND(".",L351)=5,--O351,--M351),0)</ns0:f>
        <ns0:v>0</ns0:v>
      </ns0:c>
      <ns0:c r="S351" s="0">
        <ns0:f>IFERROR(IF(AND(P351&gt;=2000,P351&lt;=2100,Q351&gt;=1,Q351&lt;=12,R351&gt;=1,R351&lt;=31),DATE(P351,Q351,R351),0),0)</ns0:f>
        <ns0:v>0</ns0:v>
      </ns0:c>
      <ns0:c r="T351" s="0">
        <ns0:f>IFERROR(IF(ISNUMBER(Bookings!D351),IF(AND(Bookings!D351=INT(Bookings!D351),Bookings!D351&gt;=DATE(2000,1,1),Bookings!D351&lt;=DATE(2100,12,31)),Bookings!D351,0),IF(AND(K351&lt;&gt;"",LEN("x"&amp;L351)-LEN(SUBSTITUTE("x"&amp;L351,".",""))=2,OR(1&gt;LEN(L351),MID(L351,1,1)=".",ISNUMBER(FIND("x"&amp;MID(L351,1,1),"x0x1x2x3x4x5x6x7x8x9"))),OR(2&gt;LEN(L351),MID(L351,2,1)=".",ISNUMBER(FIND("x"&amp;MID(L351,2,1),"x0x1x2x3x4x5x6x7x8x9"))),OR(3&gt;LEN(L351),MID(L351,3,1)=".",ISNUMBER(FIND("x"&amp;MID(L351,3,1),"x0x1x2x3x4x5x6x7x8x9"))),OR(4&gt;LEN(L351),MID(L351,4,1)=".",ISNUMBER(FIND("x"&amp;MID(L351,4,1),"x0x1x2x3x4x5x6x7x8x9"))),OR(5&gt;LEN(L351),MID(L351,5,1)=".",ISNUMBER(FIND("x"&amp;MID(L351,5,1),"x0x1x2x3x4x5x6x7x8x9"))),OR(6&gt;LEN(L351),MID(L351,6,1)=".",ISNUMBER(FIND("x"&amp;MID(L351,6,1),"x0x1x2x3x4x5x6x7x8x9"))),OR(7&gt;LEN(L351),MID(L351,7,1)=".",ISNUMBER(FIND("x"&amp;MID(L351,7,1),"x0x1x2x3x4x5x6x7x8x9"))),OR(8&gt;LEN(L351),MID(L351,8,1)=".",ISNUMBER(FIND("x"&amp;MID(L351,8,1),"x0x1x2x3x4x5x6x7x8x9"))),OR(9&gt;LEN(L351),MID(L351,9,1)=".",ISNUMBER(FIND("x"&amp;MID(L351,9,1),"x0x1x2x3x4x5x6x7x8x9"))),OR(10&gt;LEN(L351),MID(L351,10,1)=".",ISNUMBER(FIND("x"&amp;MID(L351,10,1),"x0x1x2x3x4x5x6x7x8x9"))),OR(AND(FIND(".",L351)=5,LEN(L351)-FIND(".",L351,FIND(".",L351)+1)&gt;=1,LEN(L351)-FIND(".",L351,FIND(".",L351)+1)&lt;=2),AND(LEN(L351)-FIND(".",L351,FIND(".",L351)+1)=4,FIND(".",L351)&gt;=2,FIND(".",L351)&lt;=3)),FIND(".",L351,FIND(".",L351)+1)-FIND(".",L351)&gt;=2,FIND(".",L351,FIND(".",L351)+1)-FIND(".",L351)&lt;=3,P351&gt;=2000,P351&lt;=2100,YEAR(S351)=P351,MONTH(S351)=Q351,DAY(S351)=R351),S351,0)),0)</ns0:f>
        <ns0:v>0</ns0:v>
      </ns0:c>
      <ns0:c r="U351" s="0" t="str">
        <ns0:f>IF(Bookings!C351="","Full day",Bookings!C351)</ns0:f>
        <ns0:v>Full day</ns0:v>
      </ns0:c>
      <ns0:c r="V351" s="0" t="str">
        <ns0:f>IF(Bookings!E351="","Full day",Bookings!E351)</ns0:f>
        <ns0:v>Full day</ns0:v>
      </ns0:c>
      <ns0:c r="W351" s="0">
        <ns0:f>IF(J351=0,0,J351+IF(U351="PM",1,0))</ns0:f>
        <ns0:v>0</ns0:v>
      </ns0:c>
      <ns0:c r="X351" s="0">
        <ns0:f>IF(T351=0,0,T351-IF(V351="PM",1,0))</ns0:f>
        <ns0:v>0</ns0:v>
      </ns0:c>
      <ns0:c r="Y351" s="0">
        <ns0:f>IF(J351=0,0,J351+IF(U351="AM",1,0))</ns0:f>
        <ns0:v>0</ns0:v>
      </ns0:c>
      <ns0:c r="Z351" s="0">
        <ns0:f>IF(T351=0,0,T351-IF(V351="AM",1,0))</ns0:f>
        <ns0:v>0</ns0:v>
      </ns0:c>
      <ns0:c r="AA351" s="0">
        <ns0:f>IFERROR(IF(AND(J351&gt;0,'_Engine'!C351&gt;0,MID('_Engine'!W351,WEEKDAY(J351,2),1)="W",COUNTIF(Settings!$F$18:$F$67,J351)=0),1,0),0)</ns0:f>
        <ns0:v>0</ns0:v>
      </ns0:c>
      <ns0:c r="AB351" s="0">
        <ns0:f>IFERROR(IF(AND(T351&gt;0,'_Engine'!C351&gt;0,MID('_Engine'!W351,WEEKDAY(T351,2),1)="W",COUNTIF(Settings!$F$18:$F$67,T351)=0),1,0),0)</ns0:f>
        <ns0:v>0</ns0:v>
      </ns0:c>
      <ns0:c r="AC351" s="0">
        <ns0:f>IF(AND(J351&gt;0,T351&gt;0,W351&lt;=X351),1,0)</ns0:f>
        <ns0:v>0</ns0:v>
      </ns0:c>
      <ns0:c r="AD351" s="0">
        <ns0:f>IF(AND(J351&gt;0,T351&gt;0,Y351&lt;=Z351),1,0)</ns0:f>
        <ns0:v>0</ns0:v>
      </ns0:c>
    </ns0:row>
    <ns0:row r="352">
      <ns0:c r="A352" s="0">
        <ns0:f>IFERROR(IF(ISNUMBER(Bookings!B352),"",TRIM(Bookings!B352&amp;"")),"")</ns0:f>
      </ns0:c>
      <ns0:c r="B352" s="0">
        <ns0:f>IFERROR(SUBSTITUTE(SUBSTITUTE(A352,"/","."),"-","."),"")</ns0:f>
      </ns0:c>
      <ns0:c r="C352" s="0">
        <ns0:f>IFERROR(LEFT(B352,FIND(".",B352)-1),"")</ns0:f>
      </ns0:c>
      <ns0:c r="D352" s="0">
        <ns0:f>IFERROR(MID(B352,FIND(".",B352)+1,FIND(".",B352,FIND(".",B352)+1)-FIND(".",B352)-1),"")</ns0:f>
      </ns0:c>
      <ns0:c r="E352" s="0">
        <ns0:f>IFERROR(MID(B352,FIND(".",B352,FIND(".",B352)+1)+1,99),"")</ns0:f>
        <ns0:v>99</ns0:v>
      </ns0:c>
      <ns0:c r="F352" s="0">
        <ns0:f>IFERROR(IF(FIND(".",B352)=5,--C352,--E352),0)</ns0:f>
        <ns0:v>0</ns0:v>
      </ns0:c>
      <ns0:c r="G352" s="0">
        <ns0:f>IFERROR(--D352,0)</ns0:f>
        <ns0:v>0</ns0:v>
      </ns0:c>
      <ns0:c r="H352" s="0">
        <ns0:f>IFERROR(IF(FIND(".",B352)=5,--E352,--C352),0)</ns0:f>
        <ns0:v>0</ns0:v>
      </ns0:c>
      <ns0:c r="I352" s="0">
        <ns0:f>IFERROR(IF(AND(F352&gt;=2000,F352&lt;=2100,G352&gt;=1,G352&lt;=12,H352&gt;=1,H352&lt;=31),DATE(F352,G352,H352),0),0)</ns0:f>
        <ns0:v>0</ns0:v>
      </ns0:c>
      <ns0:c r="J352" s="0">
        <ns0:f>IFERROR(IF(ISNUMBER(Bookings!B352),IF(AND(Bookings!B352=INT(Bookings!B352),Bookings!B352&gt;=DATE(2000,1,1),Bookings!B352&lt;=DATE(2100,12,31)),Bookings!B352,0),IF(AND(A352&lt;&gt;"",LEN("x"&amp;B352)-LEN(SUBSTITUTE("x"&amp;B352,".",""))=2,OR(1&gt;LEN(B352),MID(B352,1,1)=".",ISNUMBER(FIND("x"&amp;MID(B352,1,1),"x0x1x2x3x4x5x6x7x8x9"))),OR(2&gt;LEN(B352),MID(B352,2,1)=".",ISNUMBER(FIND("x"&amp;MID(B352,2,1),"x0x1x2x3x4x5x6x7x8x9"))),OR(3&gt;LEN(B352),MID(B352,3,1)=".",ISNUMBER(FIND("x"&amp;MID(B352,3,1),"x0x1x2x3x4x5x6x7x8x9"))),OR(4&gt;LEN(B352),MID(B352,4,1)=".",ISNUMBER(FIND("x"&amp;MID(B352,4,1),"x0x1x2x3x4x5x6x7x8x9"))),OR(5&gt;LEN(B352),MID(B352,5,1)=".",ISNUMBER(FIND("x"&amp;MID(B352,5,1),"x0x1x2x3x4x5x6x7x8x9"))),OR(6&gt;LEN(B352),MID(B352,6,1)=".",ISNUMBER(FIND("x"&amp;MID(B352,6,1),"x0x1x2x3x4x5x6x7x8x9"))),OR(7&gt;LEN(B352),MID(B352,7,1)=".",ISNUMBER(FIND("x"&amp;MID(B352,7,1),"x0x1x2x3x4x5x6x7x8x9"))),OR(8&gt;LEN(B352),MID(B352,8,1)=".",ISNUMBER(FIND("x"&amp;MID(B352,8,1),"x0x1x2x3x4x5x6x7x8x9"))),OR(9&gt;LEN(B352),MID(B352,9,1)=".",ISNUMBER(FIND("x"&amp;MID(B352,9,1),"x0x1x2x3x4x5x6x7x8x9"))),OR(10&gt;LEN(B352),MID(B352,10,1)=".",ISNUMBER(FIND("x"&amp;MID(B352,10,1),"x0x1x2x3x4x5x6x7x8x9"))),OR(AND(FIND(".",B352)=5,LEN(B352)-FIND(".",B352,FIND(".",B352)+1)&gt;=1,LEN(B352)-FIND(".",B352,FIND(".",B352)+1)&lt;=2),AND(LEN(B352)-FIND(".",B352,FIND(".",B352)+1)=4,FIND(".",B352)&gt;=2,FIND(".",B352)&lt;=3)),FIND(".",B352,FIND(".",B352)+1)-FIND(".",B352)&gt;=2,FIND(".",B352,FIND(".",B352)+1)-FIND(".",B352)&lt;=3,F352&gt;=2000,F352&lt;=2100,YEAR(I352)=F352,MONTH(I352)=G352,DAY(I352)=H352),I352,0)),0)</ns0:f>
        <ns0:v>0</ns0:v>
      </ns0:c>
      <ns0:c r="K352" s="0">
        <ns0:f>IFERROR(IF(ISNUMBER(Bookings!D352),"",TRIM(Bookings!D352&amp;"")),"")</ns0:f>
      </ns0:c>
      <ns0:c r="L352" s="0">
        <ns0:f>IFERROR(SUBSTITUTE(SUBSTITUTE(K352,"/","."),"-","."),"")</ns0:f>
      </ns0:c>
      <ns0:c r="M352" s="0">
        <ns0:f>IFERROR(LEFT(L352,FIND(".",L352)-1),"")</ns0:f>
      </ns0:c>
      <ns0:c r="N352" s="0">
        <ns0:f>IFERROR(MID(L352,FIND(".",L352)+1,FIND(".",L352,FIND(".",L352)+1)-FIND(".",L352)-1),"")</ns0:f>
      </ns0:c>
      <ns0:c r="O352" s="0">
        <ns0:f>IFERROR(MID(L352,FIND(".",L352,FIND(".",L352)+1)+1,99),"")</ns0:f>
        <ns0:v>99</ns0:v>
      </ns0:c>
      <ns0:c r="P352" s="0">
        <ns0:f>IFERROR(IF(FIND(".",L352)=5,--M352,--O352),0)</ns0:f>
        <ns0:v>0</ns0:v>
      </ns0:c>
      <ns0:c r="Q352" s="0">
        <ns0:f>IFERROR(--N352,0)</ns0:f>
        <ns0:v>0</ns0:v>
      </ns0:c>
      <ns0:c r="R352" s="0">
        <ns0:f>IFERROR(IF(FIND(".",L352)=5,--O352,--M352),0)</ns0:f>
        <ns0:v>0</ns0:v>
      </ns0:c>
      <ns0:c r="S352" s="0">
        <ns0:f>IFERROR(IF(AND(P352&gt;=2000,P352&lt;=2100,Q352&gt;=1,Q352&lt;=12,R352&gt;=1,R352&lt;=31),DATE(P352,Q352,R352),0),0)</ns0:f>
        <ns0:v>0</ns0:v>
      </ns0:c>
      <ns0:c r="T352" s="0">
        <ns0:f>IFERROR(IF(ISNUMBER(Bookings!D352),IF(AND(Bookings!D352=INT(Bookings!D352),Bookings!D352&gt;=DATE(2000,1,1),Bookings!D352&lt;=DATE(2100,12,31)),Bookings!D352,0),IF(AND(K352&lt;&gt;"",LEN("x"&amp;L352)-LEN(SUBSTITUTE("x"&amp;L352,".",""))=2,OR(1&gt;LEN(L352),MID(L352,1,1)=".",ISNUMBER(FIND("x"&amp;MID(L352,1,1),"x0x1x2x3x4x5x6x7x8x9"))),OR(2&gt;LEN(L352),MID(L352,2,1)=".",ISNUMBER(FIND("x"&amp;MID(L352,2,1),"x0x1x2x3x4x5x6x7x8x9"))),OR(3&gt;LEN(L352),MID(L352,3,1)=".",ISNUMBER(FIND("x"&amp;MID(L352,3,1),"x0x1x2x3x4x5x6x7x8x9"))),OR(4&gt;LEN(L352),MID(L352,4,1)=".",ISNUMBER(FIND("x"&amp;MID(L352,4,1),"x0x1x2x3x4x5x6x7x8x9"))),OR(5&gt;LEN(L352),MID(L352,5,1)=".",ISNUMBER(FIND("x"&amp;MID(L352,5,1),"x0x1x2x3x4x5x6x7x8x9"))),OR(6&gt;LEN(L352),MID(L352,6,1)=".",ISNUMBER(FIND("x"&amp;MID(L352,6,1),"x0x1x2x3x4x5x6x7x8x9"))),OR(7&gt;LEN(L352),MID(L352,7,1)=".",ISNUMBER(FIND("x"&amp;MID(L352,7,1),"x0x1x2x3x4x5x6x7x8x9"))),OR(8&gt;LEN(L352),MID(L352,8,1)=".",ISNUMBER(FIND("x"&amp;MID(L352,8,1),"x0x1x2x3x4x5x6x7x8x9"))),OR(9&gt;LEN(L352),MID(L352,9,1)=".",ISNUMBER(FIND("x"&amp;MID(L352,9,1),"x0x1x2x3x4x5x6x7x8x9"))),OR(10&gt;LEN(L352),MID(L352,10,1)=".",ISNUMBER(FIND("x"&amp;MID(L352,10,1),"x0x1x2x3x4x5x6x7x8x9"))),OR(AND(FIND(".",L352)=5,LEN(L352)-FIND(".",L352,FIND(".",L352)+1)&gt;=1,LEN(L352)-FIND(".",L352,FIND(".",L352)+1)&lt;=2),AND(LEN(L352)-FIND(".",L352,FIND(".",L352)+1)=4,FIND(".",L352)&gt;=2,FIND(".",L352)&lt;=3)),FIND(".",L352,FIND(".",L352)+1)-FIND(".",L352)&gt;=2,FIND(".",L352,FIND(".",L352)+1)-FIND(".",L352)&lt;=3,P352&gt;=2000,P352&lt;=2100,YEAR(S352)=P352,MONTH(S352)=Q352,DAY(S352)=R352),S352,0)),0)</ns0:f>
        <ns0:v>0</ns0:v>
      </ns0:c>
      <ns0:c r="U352" s="0" t="str">
        <ns0:f>IF(Bookings!C352="","Full day",Bookings!C352)</ns0:f>
        <ns0:v>Full day</ns0:v>
      </ns0:c>
      <ns0:c r="V352" s="0" t="str">
        <ns0:f>IF(Bookings!E352="","Full day",Bookings!E352)</ns0:f>
        <ns0:v>Full day</ns0:v>
      </ns0:c>
      <ns0:c r="W352" s="0">
        <ns0:f>IF(J352=0,0,J352+IF(U352="PM",1,0))</ns0:f>
        <ns0:v>0</ns0:v>
      </ns0:c>
      <ns0:c r="X352" s="0">
        <ns0:f>IF(T352=0,0,T352-IF(V352="PM",1,0))</ns0:f>
        <ns0:v>0</ns0:v>
      </ns0:c>
      <ns0:c r="Y352" s="0">
        <ns0:f>IF(J352=0,0,J352+IF(U352="AM",1,0))</ns0:f>
        <ns0:v>0</ns0:v>
      </ns0:c>
      <ns0:c r="Z352" s="0">
        <ns0:f>IF(T352=0,0,T352-IF(V352="AM",1,0))</ns0:f>
        <ns0:v>0</ns0:v>
      </ns0:c>
      <ns0:c r="AA352" s="0">
        <ns0:f>IFERROR(IF(AND(J352&gt;0,'_Engine'!C352&gt;0,MID('_Engine'!W352,WEEKDAY(J352,2),1)="W",COUNTIF(Settings!$F$18:$F$67,J352)=0),1,0),0)</ns0:f>
        <ns0:v>0</ns0:v>
      </ns0:c>
      <ns0:c r="AB352" s="0">
        <ns0:f>IFERROR(IF(AND(T352&gt;0,'_Engine'!C352&gt;0,MID('_Engine'!W352,WEEKDAY(T352,2),1)="W",COUNTIF(Settings!$F$18:$F$67,T352)=0),1,0),0)</ns0:f>
        <ns0:v>0</ns0:v>
      </ns0:c>
      <ns0:c r="AC352" s="0">
        <ns0:f>IF(AND(J352&gt;0,T352&gt;0,W352&lt;=X352),1,0)</ns0:f>
        <ns0:v>0</ns0:v>
      </ns0:c>
      <ns0:c r="AD352" s="0">
        <ns0:f>IF(AND(J352&gt;0,T352&gt;0,Y352&lt;=Z352),1,0)</ns0:f>
        <ns0:v>0</ns0:v>
      </ns0:c>
    </ns0:row>
    <ns0:row r="353">
      <ns0:c r="A353" s="0">
        <ns0:f>IFERROR(IF(ISNUMBER(Bookings!B353),"",TRIM(Bookings!B353&amp;"")),"")</ns0:f>
      </ns0:c>
      <ns0:c r="B353" s="0">
        <ns0:f>IFERROR(SUBSTITUTE(SUBSTITUTE(A353,"/","."),"-","."),"")</ns0:f>
      </ns0:c>
      <ns0:c r="C353" s="0">
        <ns0:f>IFERROR(LEFT(B353,FIND(".",B353)-1),"")</ns0:f>
      </ns0:c>
      <ns0:c r="D353" s="0">
        <ns0:f>IFERROR(MID(B353,FIND(".",B353)+1,FIND(".",B353,FIND(".",B353)+1)-FIND(".",B353)-1),"")</ns0:f>
      </ns0:c>
      <ns0:c r="E353" s="0">
        <ns0:f>IFERROR(MID(B353,FIND(".",B353,FIND(".",B353)+1)+1,99),"")</ns0:f>
        <ns0:v>99</ns0:v>
      </ns0:c>
      <ns0:c r="F353" s="0">
        <ns0:f>IFERROR(IF(FIND(".",B353)=5,--C353,--E353),0)</ns0:f>
        <ns0:v>0</ns0:v>
      </ns0:c>
      <ns0:c r="G353" s="0">
        <ns0:f>IFERROR(--D353,0)</ns0:f>
        <ns0:v>0</ns0:v>
      </ns0:c>
      <ns0:c r="H353" s="0">
        <ns0:f>IFERROR(IF(FIND(".",B353)=5,--E353,--C353),0)</ns0:f>
        <ns0:v>0</ns0:v>
      </ns0:c>
      <ns0:c r="I353" s="0">
        <ns0:f>IFERROR(IF(AND(F353&gt;=2000,F353&lt;=2100,G353&gt;=1,G353&lt;=12,H353&gt;=1,H353&lt;=31),DATE(F353,G353,H353),0),0)</ns0:f>
        <ns0:v>0</ns0:v>
      </ns0:c>
      <ns0:c r="J353" s="0">
        <ns0:f>IFERROR(IF(ISNUMBER(Bookings!B353),IF(AND(Bookings!B353=INT(Bookings!B353),Bookings!B353&gt;=DATE(2000,1,1),Bookings!B353&lt;=DATE(2100,12,31)),Bookings!B353,0),IF(AND(A353&lt;&gt;"",LEN("x"&amp;B353)-LEN(SUBSTITUTE("x"&amp;B353,".",""))=2,OR(1&gt;LEN(B353),MID(B353,1,1)=".",ISNUMBER(FIND("x"&amp;MID(B353,1,1),"x0x1x2x3x4x5x6x7x8x9"))),OR(2&gt;LEN(B353),MID(B353,2,1)=".",ISNUMBER(FIND("x"&amp;MID(B353,2,1),"x0x1x2x3x4x5x6x7x8x9"))),OR(3&gt;LEN(B353),MID(B353,3,1)=".",ISNUMBER(FIND("x"&amp;MID(B353,3,1),"x0x1x2x3x4x5x6x7x8x9"))),OR(4&gt;LEN(B353),MID(B353,4,1)=".",ISNUMBER(FIND("x"&amp;MID(B353,4,1),"x0x1x2x3x4x5x6x7x8x9"))),OR(5&gt;LEN(B353),MID(B353,5,1)=".",ISNUMBER(FIND("x"&amp;MID(B353,5,1),"x0x1x2x3x4x5x6x7x8x9"))),OR(6&gt;LEN(B353),MID(B353,6,1)=".",ISNUMBER(FIND("x"&amp;MID(B353,6,1),"x0x1x2x3x4x5x6x7x8x9"))),OR(7&gt;LEN(B353),MID(B353,7,1)=".",ISNUMBER(FIND("x"&amp;MID(B353,7,1),"x0x1x2x3x4x5x6x7x8x9"))),OR(8&gt;LEN(B353),MID(B353,8,1)=".",ISNUMBER(FIND("x"&amp;MID(B353,8,1),"x0x1x2x3x4x5x6x7x8x9"))),OR(9&gt;LEN(B353),MID(B353,9,1)=".",ISNUMBER(FIND("x"&amp;MID(B353,9,1),"x0x1x2x3x4x5x6x7x8x9"))),OR(10&gt;LEN(B353),MID(B353,10,1)=".",ISNUMBER(FIND("x"&amp;MID(B353,10,1),"x0x1x2x3x4x5x6x7x8x9"))),OR(AND(FIND(".",B353)=5,LEN(B353)-FIND(".",B353,FIND(".",B353)+1)&gt;=1,LEN(B353)-FIND(".",B353,FIND(".",B353)+1)&lt;=2),AND(LEN(B353)-FIND(".",B353,FIND(".",B353)+1)=4,FIND(".",B353)&gt;=2,FIND(".",B353)&lt;=3)),FIND(".",B353,FIND(".",B353)+1)-FIND(".",B353)&gt;=2,FIND(".",B353,FIND(".",B353)+1)-FIND(".",B353)&lt;=3,F353&gt;=2000,F353&lt;=2100,YEAR(I353)=F353,MONTH(I353)=G353,DAY(I353)=H353),I353,0)),0)</ns0:f>
        <ns0:v>0</ns0:v>
      </ns0:c>
      <ns0:c r="K353" s="0">
        <ns0:f>IFERROR(IF(ISNUMBER(Bookings!D353),"",TRIM(Bookings!D353&amp;"")),"")</ns0:f>
      </ns0:c>
      <ns0:c r="L353" s="0">
        <ns0:f>IFERROR(SUBSTITUTE(SUBSTITUTE(K353,"/","."),"-","."),"")</ns0:f>
      </ns0:c>
      <ns0:c r="M353" s="0">
        <ns0:f>IFERROR(LEFT(L353,FIND(".",L353)-1),"")</ns0:f>
      </ns0:c>
      <ns0:c r="N353" s="0">
        <ns0:f>IFERROR(MID(L353,FIND(".",L353)+1,FIND(".",L353,FIND(".",L353)+1)-FIND(".",L353)-1),"")</ns0:f>
      </ns0:c>
      <ns0:c r="O353" s="0">
        <ns0:f>IFERROR(MID(L353,FIND(".",L353,FIND(".",L353)+1)+1,99),"")</ns0:f>
        <ns0:v>99</ns0:v>
      </ns0:c>
      <ns0:c r="P353" s="0">
        <ns0:f>IFERROR(IF(FIND(".",L353)=5,--M353,--O353),0)</ns0:f>
        <ns0:v>0</ns0:v>
      </ns0:c>
      <ns0:c r="Q353" s="0">
        <ns0:f>IFERROR(--N353,0)</ns0:f>
        <ns0:v>0</ns0:v>
      </ns0:c>
      <ns0:c r="R353" s="0">
        <ns0:f>IFERROR(IF(FIND(".",L353)=5,--O353,--M353),0)</ns0:f>
        <ns0:v>0</ns0:v>
      </ns0:c>
      <ns0:c r="S353" s="0">
        <ns0:f>IFERROR(IF(AND(P353&gt;=2000,P353&lt;=2100,Q353&gt;=1,Q353&lt;=12,R353&gt;=1,R353&lt;=31),DATE(P353,Q353,R353),0),0)</ns0:f>
        <ns0:v>0</ns0:v>
      </ns0:c>
      <ns0:c r="T353" s="0">
        <ns0:f>IFERROR(IF(ISNUMBER(Bookings!D353),IF(AND(Bookings!D353=INT(Bookings!D353),Bookings!D353&gt;=DATE(2000,1,1),Bookings!D353&lt;=DATE(2100,12,31)),Bookings!D353,0),IF(AND(K353&lt;&gt;"",LEN("x"&amp;L353)-LEN(SUBSTITUTE("x"&amp;L353,".",""))=2,OR(1&gt;LEN(L353),MID(L353,1,1)=".",ISNUMBER(FIND("x"&amp;MID(L353,1,1),"x0x1x2x3x4x5x6x7x8x9"))),OR(2&gt;LEN(L353),MID(L353,2,1)=".",ISNUMBER(FIND("x"&amp;MID(L353,2,1),"x0x1x2x3x4x5x6x7x8x9"))),OR(3&gt;LEN(L353),MID(L353,3,1)=".",ISNUMBER(FIND("x"&amp;MID(L353,3,1),"x0x1x2x3x4x5x6x7x8x9"))),OR(4&gt;LEN(L353),MID(L353,4,1)=".",ISNUMBER(FIND("x"&amp;MID(L353,4,1),"x0x1x2x3x4x5x6x7x8x9"))),OR(5&gt;LEN(L353),MID(L353,5,1)=".",ISNUMBER(FIND("x"&amp;MID(L353,5,1),"x0x1x2x3x4x5x6x7x8x9"))),OR(6&gt;LEN(L353),MID(L353,6,1)=".",ISNUMBER(FIND("x"&amp;MID(L353,6,1),"x0x1x2x3x4x5x6x7x8x9"))),OR(7&gt;LEN(L353),MID(L353,7,1)=".",ISNUMBER(FIND("x"&amp;MID(L353,7,1),"x0x1x2x3x4x5x6x7x8x9"))),OR(8&gt;LEN(L353),MID(L353,8,1)=".",ISNUMBER(FIND("x"&amp;MID(L353,8,1),"x0x1x2x3x4x5x6x7x8x9"))),OR(9&gt;LEN(L353),MID(L353,9,1)=".",ISNUMBER(FIND("x"&amp;MID(L353,9,1),"x0x1x2x3x4x5x6x7x8x9"))),OR(10&gt;LEN(L353),MID(L353,10,1)=".",ISNUMBER(FIND("x"&amp;MID(L353,10,1),"x0x1x2x3x4x5x6x7x8x9"))),OR(AND(FIND(".",L353)=5,LEN(L353)-FIND(".",L353,FIND(".",L353)+1)&gt;=1,LEN(L353)-FIND(".",L353,FIND(".",L353)+1)&lt;=2),AND(LEN(L353)-FIND(".",L353,FIND(".",L353)+1)=4,FIND(".",L353)&gt;=2,FIND(".",L353)&lt;=3)),FIND(".",L353,FIND(".",L353)+1)-FIND(".",L353)&gt;=2,FIND(".",L353,FIND(".",L353)+1)-FIND(".",L353)&lt;=3,P353&gt;=2000,P353&lt;=2100,YEAR(S353)=P353,MONTH(S353)=Q353,DAY(S353)=R353),S353,0)),0)</ns0:f>
        <ns0:v>0</ns0:v>
      </ns0:c>
      <ns0:c r="U353" s="0" t="str">
        <ns0:f>IF(Bookings!C353="","Full day",Bookings!C353)</ns0:f>
        <ns0:v>Full day</ns0:v>
      </ns0:c>
      <ns0:c r="V353" s="0" t="str">
        <ns0:f>IF(Bookings!E353="","Full day",Bookings!E353)</ns0:f>
        <ns0:v>Full day</ns0:v>
      </ns0:c>
      <ns0:c r="W353" s="0">
        <ns0:f>IF(J353=0,0,J353+IF(U353="PM",1,0))</ns0:f>
        <ns0:v>0</ns0:v>
      </ns0:c>
      <ns0:c r="X353" s="0">
        <ns0:f>IF(T353=0,0,T353-IF(V353="PM",1,0))</ns0:f>
        <ns0:v>0</ns0:v>
      </ns0:c>
      <ns0:c r="Y353" s="0">
        <ns0:f>IF(J353=0,0,J353+IF(U353="AM",1,0))</ns0:f>
        <ns0:v>0</ns0:v>
      </ns0:c>
      <ns0:c r="Z353" s="0">
        <ns0:f>IF(T353=0,0,T353-IF(V353="AM",1,0))</ns0:f>
        <ns0:v>0</ns0:v>
      </ns0:c>
      <ns0:c r="AA353" s="0">
        <ns0:f>IFERROR(IF(AND(J353&gt;0,'_Engine'!C353&gt;0,MID('_Engine'!W353,WEEKDAY(J353,2),1)="W",COUNTIF(Settings!$F$18:$F$67,J353)=0),1,0),0)</ns0:f>
        <ns0:v>0</ns0:v>
      </ns0:c>
      <ns0:c r="AB353" s="0">
        <ns0:f>IFERROR(IF(AND(T353&gt;0,'_Engine'!C353&gt;0,MID('_Engine'!W353,WEEKDAY(T353,2),1)="W",COUNTIF(Settings!$F$18:$F$67,T353)=0),1,0),0)</ns0:f>
        <ns0:v>0</ns0:v>
      </ns0:c>
      <ns0:c r="AC353" s="0">
        <ns0:f>IF(AND(J353&gt;0,T353&gt;0,W353&lt;=X353),1,0)</ns0:f>
        <ns0:v>0</ns0:v>
      </ns0:c>
      <ns0:c r="AD353" s="0">
        <ns0:f>IF(AND(J353&gt;0,T353&gt;0,Y353&lt;=Z353),1,0)</ns0:f>
        <ns0:v>0</ns0:v>
      </ns0:c>
    </ns0:row>
    <ns0:row r="354">
      <ns0:c r="A354" s="0">
        <ns0:f>IFERROR(IF(ISNUMBER(Bookings!B354),"",TRIM(Bookings!B354&amp;"")),"")</ns0:f>
      </ns0:c>
      <ns0:c r="B354" s="0">
        <ns0:f>IFERROR(SUBSTITUTE(SUBSTITUTE(A354,"/","."),"-","."),"")</ns0:f>
      </ns0:c>
      <ns0:c r="C354" s="0">
        <ns0:f>IFERROR(LEFT(B354,FIND(".",B354)-1),"")</ns0:f>
      </ns0:c>
      <ns0:c r="D354" s="0">
        <ns0:f>IFERROR(MID(B354,FIND(".",B354)+1,FIND(".",B354,FIND(".",B354)+1)-FIND(".",B354)-1),"")</ns0:f>
      </ns0:c>
      <ns0:c r="E354" s="0">
        <ns0:f>IFERROR(MID(B354,FIND(".",B354,FIND(".",B354)+1)+1,99),"")</ns0:f>
        <ns0:v>99</ns0:v>
      </ns0:c>
      <ns0:c r="F354" s="0">
        <ns0:f>IFERROR(IF(FIND(".",B354)=5,--C354,--E354),0)</ns0:f>
        <ns0:v>0</ns0:v>
      </ns0:c>
      <ns0:c r="G354" s="0">
        <ns0:f>IFERROR(--D354,0)</ns0:f>
        <ns0:v>0</ns0:v>
      </ns0:c>
      <ns0:c r="H354" s="0">
        <ns0:f>IFERROR(IF(FIND(".",B354)=5,--E354,--C354),0)</ns0:f>
        <ns0:v>0</ns0:v>
      </ns0:c>
      <ns0:c r="I354" s="0">
        <ns0:f>IFERROR(IF(AND(F354&gt;=2000,F354&lt;=2100,G354&gt;=1,G354&lt;=12,H354&gt;=1,H354&lt;=31),DATE(F354,G354,H354),0),0)</ns0:f>
        <ns0:v>0</ns0:v>
      </ns0:c>
      <ns0:c r="J354" s="0">
        <ns0:f>IFERROR(IF(ISNUMBER(Bookings!B354),IF(AND(Bookings!B354=INT(Bookings!B354),Bookings!B354&gt;=DATE(2000,1,1),Bookings!B354&lt;=DATE(2100,12,31)),Bookings!B354,0),IF(AND(A354&lt;&gt;"",LEN("x"&amp;B354)-LEN(SUBSTITUTE("x"&amp;B354,".",""))=2,OR(1&gt;LEN(B354),MID(B354,1,1)=".",ISNUMBER(FIND("x"&amp;MID(B354,1,1),"x0x1x2x3x4x5x6x7x8x9"))),OR(2&gt;LEN(B354),MID(B354,2,1)=".",ISNUMBER(FIND("x"&amp;MID(B354,2,1),"x0x1x2x3x4x5x6x7x8x9"))),OR(3&gt;LEN(B354),MID(B354,3,1)=".",ISNUMBER(FIND("x"&amp;MID(B354,3,1),"x0x1x2x3x4x5x6x7x8x9"))),OR(4&gt;LEN(B354),MID(B354,4,1)=".",ISNUMBER(FIND("x"&amp;MID(B354,4,1),"x0x1x2x3x4x5x6x7x8x9"))),OR(5&gt;LEN(B354),MID(B354,5,1)=".",ISNUMBER(FIND("x"&amp;MID(B354,5,1),"x0x1x2x3x4x5x6x7x8x9"))),OR(6&gt;LEN(B354),MID(B354,6,1)=".",ISNUMBER(FIND("x"&amp;MID(B354,6,1),"x0x1x2x3x4x5x6x7x8x9"))),OR(7&gt;LEN(B354),MID(B354,7,1)=".",ISNUMBER(FIND("x"&amp;MID(B354,7,1),"x0x1x2x3x4x5x6x7x8x9"))),OR(8&gt;LEN(B354),MID(B354,8,1)=".",ISNUMBER(FIND("x"&amp;MID(B354,8,1),"x0x1x2x3x4x5x6x7x8x9"))),OR(9&gt;LEN(B354),MID(B354,9,1)=".",ISNUMBER(FIND("x"&amp;MID(B354,9,1),"x0x1x2x3x4x5x6x7x8x9"))),OR(10&gt;LEN(B354),MID(B354,10,1)=".",ISNUMBER(FIND("x"&amp;MID(B354,10,1),"x0x1x2x3x4x5x6x7x8x9"))),OR(AND(FIND(".",B354)=5,LEN(B354)-FIND(".",B354,FIND(".",B354)+1)&gt;=1,LEN(B354)-FIND(".",B354,FIND(".",B354)+1)&lt;=2),AND(LEN(B354)-FIND(".",B354,FIND(".",B354)+1)=4,FIND(".",B354)&gt;=2,FIND(".",B354)&lt;=3)),FIND(".",B354,FIND(".",B354)+1)-FIND(".",B354)&gt;=2,FIND(".",B354,FIND(".",B354)+1)-FIND(".",B354)&lt;=3,F354&gt;=2000,F354&lt;=2100,YEAR(I354)=F354,MONTH(I354)=G354,DAY(I354)=H354),I354,0)),0)</ns0:f>
        <ns0:v>0</ns0:v>
      </ns0:c>
      <ns0:c r="K354" s="0">
        <ns0:f>IFERROR(IF(ISNUMBER(Bookings!D354),"",TRIM(Bookings!D354&amp;"")),"")</ns0:f>
      </ns0:c>
      <ns0:c r="L354" s="0">
        <ns0:f>IFERROR(SUBSTITUTE(SUBSTITUTE(K354,"/","."),"-","."),"")</ns0:f>
      </ns0:c>
      <ns0:c r="M354" s="0">
        <ns0:f>IFERROR(LEFT(L354,FIND(".",L354)-1),"")</ns0:f>
      </ns0:c>
      <ns0:c r="N354" s="0">
        <ns0:f>IFERROR(MID(L354,FIND(".",L354)+1,FIND(".",L354,FIND(".",L354)+1)-FIND(".",L354)-1),"")</ns0:f>
      </ns0:c>
      <ns0:c r="O354" s="0">
        <ns0:f>IFERROR(MID(L354,FIND(".",L354,FIND(".",L354)+1)+1,99),"")</ns0:f>
        <ns0:v>99</ns0:v>
      </ns0:c>
      <ns0:c r="P354" s="0">
        <ns0:f>IFERROR(IF(FIND(".",L354)=5,--M354,--O354),0)</ns0:f>
        <ns0:v>0</ns0:v>
      </ns0:c>
      <ns0:c r="Q354" s="0">
        <ns0:f>IFERROR(--N354,0)</ns0:f>
        <ns0:v>0</ns0:v>
      </ns0:c>
      <ns0:c r="R354" s="0">
        <ns0:f>IFERROR(IF(FIND(".",L354)=5,--O354,--M354),0)</ns0:f>
        <ns0:v>0</ns0:v>
      </ns0:c>
      <ns0:c r="S354" s="0">
        <ns0:f>IFERROR(IF(AND(P354&gt;=2000,P354&lt;=2100,Q354&gt;=1,Q354&lt;=12,R354&gt;=1,R354&lt;=31),DATE(P354,Q354,R354),0),0)</ns0:f>
        <ns0:v>0</ns0:v>
      </ns0:c>
      <ns0:c r="T354" s="0">
        <ns0:f>IFERROR(IF(ISNUMBER(Bookings!D354),IF(AND(Bookings!D354=INT(Bookings!D354),Bookings!D354&gt;=DATE(2000,1,1),Bookings!D354&lt;=DATE(2100,12,31)),Bookings!D354,0),IF(AND(K354&lt;&gt;"",LEN("x"&amp;L354)-LEN(SUBSTITUTE("x"&amp;L354,".",""))=2,OR(1&gt;LEN(L354),MID(L354,1,1)=".",ISNUMBER(FIND("x"&amp;MID(L354,1,1),"x0x1x2x3x4x5x6x7x8x9"))),OR(2&gt;LEN(L354),MID(L354,2,1)=".",ISNUMBER(FIND("x"&amp;MID(L354,2,1),"x0x1x2x3x4x5x6x7x8x9"))),OR(3&gt;LEN(L354),MID(L354,3,1)=".",ISNUMBER(FIND("x"&amp;MID(L354,3,1),"x0x1x2x3x4x5x6x7x8x9"))),OR(4&gt;LEN(L354),MID(L354,4,1)=".",ISNUMBER(FIND("x"&amp;MID(L354,4,1),"x0x1x2x3x4x5x6x7x8x9"))),OR(5&gt;LEN(L354),MID(L354,5,1)=".",ISNUMBER(FIND("x"&amp;MID(L354,5,1),"x0x1x2x3x4x5x6x7x8x9"))),OR(6&gt;LEN(L354),MID(L354,6,1)=".",ISNUMBER(FIND("x"&amp;MID(L354,6,1),"x0x1x2x3x4x5x6x7x8x9"))),OR(7&gt;LEN(L354),MID(L354,7,1)=".",ISNUMBER(FIND("x"&amp;MID(L354,7,1),"x0x1x2x3x4x5x6x7x8x9"))),OR(8&gt;LEN(L354),MID(L354,8,1)=".",ISNUMBER(FIND("x"&amp;MID(L354,8,1),"x0x1x2x3x4x5x6x7x8x9"))),OR(9&gt;LEN(L354),MID(L354,9,1)=".",ISNUMBER(FIND("x"&amp;MID(L354,9,1),"x0x1x2x3x4x5x6x7x8x9"))),OR(10&gt;LEN(L354),MID(L354,10,1)=".",ISNUMBER(FIND("x"&amp;MID(L354,10,1),"x0x1x2x3x4x5x6x7x8x9"))),OR(AND(FIND(".",L354)=5,LEN(L354)-FIND(".",L354,FIND(".",L354)+1)&gt;=1,LEN(L354)-FIND(".",L354,FIND(".",L354)+1)&lt;=2),AND(LEN(L354)-FIND(".",L354,FIND(".",L354)+1)=4,FIND(".",L354)&gt;=2,FIND(".",L354)&lt;=3)),FIND(".",L354,FIND(".",L354)+1)-FIND(".",L354)&gt;=2,FIND(".",L354,FIND(".",L354)+1)-FIND(".",L354)&lt;=3,P354&gt;=2000,P354&lt;=2100,YEAR(S354)=P354,MONTH(S354)=Q354,DAY(S354)=R354),S354,0)),0)</ns0:f>
        <ns0:v>0</ns0:v>
      </ns0:c>
      <ns0:c r="U354" s="0" t="str">
        <ns0:f>IF(Bookings!C354="","Full day",Bookings!C354)</ns0:f>
        <ns0:v>Full day</ns0:v>
      </ns0:c>
      <ns0:c r="V354" s="0" t="str">
        <ns0:f>IF(Bookings!E354="","Full day",Bookings!E354)</ns0:f>
        <ns0:v>Full day</ns0:v>
      </ns0:c>
      <ns0:c r="W354" s="0">
        <ns0:f>IF(J354=0,0,J354+IF(U354="PM",1,0))</ns0:f>
        <ns0:v>0</ns0:v>
      </ns0:c>
      <ns0:c r="X354" s="0">
        <ns0:f>IF(T354=0,0,T354-IF(V354="PM",1,0))</ns0:f>
        <ns0:v>0</ns0:v>
      </ns0:c>
      <ns0:c r="Y354" s="0">
        <ns0:f>IF(J354=0,0,J354+IF(U354="AM",1,0))</ns0:f>
        <ns0:v>0</ns0:v>
      </ns0:c>
      <ns0:c r="Z354" s="0">
        <ns0:f>IF(T354=0,0,T354-IF(V354="AM",1,0))</ns0:f>
        <ns0:v>0</ns0:v>
      </ns0:c>
      <ns0:c r="AA354" s="0">
        <ns0:f>IFERROR(IF(AND(J354&gt;0,'_Engine'!C354&gt;0,MID('_Engine'!W354,WEEKDAY(J354,2),1)="W",COUNTIF(Settings!$F$18:$F$67,J354)=0),1,0),0)</ns0:f>
        <ns0:v>0</ns0:v>
      </ns0:c>
      <ns0:c r="AB354" s="0">
        <ns0:f>IFERROR(IF(AND(T354&gt;0,'_Engine'!C354&gt;0,MID('_Engine'!W354,WEEKDAY(T354,2),1)="W",COUNTIF(Settings!$F$18:$F$67,T354)=0),1,0),0)</ns0:f>
        <ns0:v>0</ns0:v>
      </ns0:c>
      <ns0:c r="AC354" s="0">
        <ns0:f>IF(AND(J354&gt;0,T354&gt;0,W354&lt;=X354),1,0)</ns0:f>
        <ns0:v>0</ns0:v>
      </ns0:c>
      <ns0:c r="AD354" s="0">
        <ns0:f>IF(AND(J354&gt;0,T354&gt;0,Y354&lt;=Z354),1,0)</ns0:f>
        <ns0:v>0</ns0:v>
      </ns0:c>
    </ns0:row>
    <ns0:row r="355">
      <ns0:c r="A355" s="0">
        <ns0:f>IFERROR(IF(ISNUMBER(Bookings!B355),"",TRIM(Bookings!B355&amp;"")),"")</ns0:f>
      </ns0:c>
      <ns0:c r="B355" s="0">
        <ns0:f>IFERROR(SUBSTITUTE(SUBSTITUTE(A355,"/","."),"-","."),"")</ns0:f>
      </ns0:c>
      <ns0:c r="C355" s="0">
        <ns0:f>IFERROR(LEFT(B355,FIND(".",B355)-1),"")</ns0:f>
      </ns0:c>
      <ns0:c r="D355" s="0">
        <ns0:f>IFERROR(MID(B355,FIND(".",B355)+1,FIND(".",B355,FIND(".",B355)+1)-FIND(".",B355)-1),"")</ns0:f>
      </ns0:c>
      <ns0:c r="E355" s="0">
        <ns0:f>IFERROR(MID(B355,FIND(".",B355,FIND(".",B355)+1)+1,99),"")</ns0:f>
        <ns0:v>99</ns0:v>
      </ns0:c>
      <ns0:c r="F355" s="0">
        <ns0:f>IFERROR(IF(FIND(".",B355)=5,--C355,--E355),0)</ns0:f>
        <ns0:v>0</ns0:v>
      </ns0:c>
      <ns0:c r="G355" s="0">
        <ns0:f>IFERROR(--D355,0)</ns0:f>
        <ns0:v>0</ns0:v>
      </ns0:c>
      <ns0:c r="H355" s="0">
        <ns0:f>IFERROR(IF(FIND(".",B355)=5,--E355,--C355),0)</ns0:f>
        <ns0:v>0</ns0:v>
      </ns0:c>
      <ns0:c r="I355" s="0">
        <ns0:f>IFERROR(IF(AND(F355&gt;=2000,F355&lt;=2100,G355&gt;=1,G355&lt;=12,H355&gt;=1,H355&lt;=31),DATE(F355,G355,H355),0),0)</ns0:f>
        <ns0:v>0</ns0:v>
      </ns0:c>
      <ns0:c r="J355" s="0">
        <ns0:f>IFERROR(IF(ISNUMBER(Bookings!B355),IF(AND(Bookings!B355=INT(Bookings!B355),Bookings!B355&gt;=DATE(2000,1,1),Bookings!B355&lt;=DATE(2100,12,31)),Bookings!B355,0),IF(AND(A355&lt;&gt;"",LEN("x"&amp;B355)-LEN(SUBSTITUTE("x"&amp;B355,".",""))=2,OR(1&gt;LEN(B355),MID(B355,1,1)=".",ISNUMBER(FIND("x"&amp;MID(B355,1,1),"x0x1x2x3x4x5x6x7x8x9"))),OR(2&gt;LEN(B355),MID(B355,2,1)=".",ISNUMBER(FIND("x"&amp;MID(B355,2,1),"x0x1x2x3x4x5x6x7x8x9"))),OR(3&gt;LEN(B355),MID(B355,3,1)=".",ISNUMBER(FIND("x"&amp;MID(B355,3,1),"x0x1x2x3x4x5x6x7x8x9"))),OR(4&gt;LEN(B355),MID(B355,4,1)=".",ISNUMBER(FIND("x"&amp;MID(B355,4,1),"x0x1x2x3x4x5x6x7x8x9"))),OR(5&gt;LEN(B355),MID(B355,5,1)=".",ISNUMBER(FIND("x"&amp;MID(B355,5,1),"x0x1x2x3x4x5x6x7x8x9"))),OR(6&gt;LEN(B355),MID(B355,6,1)=".",ISNUMBER(FIND("x"&amp;MID(B355,6,1),"x0x1x2x3x4x5x6x7x8x9"))),OR(7&gt;LEN(B355),MID(B355,7,1)=".",ISNUMBER(FIND("x"&amp;MID(B355,7,1),"x0x1x2x3x4x5x6x7x8x9"))),OR(8&gt;LEN(B355),MID(B355,8,1)=".",ISNUMBER(FIND("x"&amp;MID(B355,8,1),"x0x1x2x3x4x5x6x7x8x9"))),OR(9&gt;LEN(B355),MID(B355,9,1)=".",ISNUMBER(FIND("x"&amp;MID(B355,9,1),"x0x1x2x3x4x5x6x7x8x9"))),OR(10&gt;LEN(B355),MID(B355,10,1)=".",ISNUMBER(FIND("x"&amp;MID(B355,10,1),"x0x1x2x3x4x5x6x7x8x9"))),OR(AND(FIND(".",B355)=5,LEN(B355)-FIND(".",B355,FIND(".",B355)+1)&gt;=1,LEN(B355)-FIND(".",B355,FIND(".",B355)+1)&lt;=2),AND(LEN(B355)-FIND(".",B355,FIND(".",B355)+1)=4,FIND(".",B355)&gt;=2,FIND(".",B355)&lt;=3)),FIND(".",B355,FIND(".",B355)+1)-FIND(".",B355)&gt;=2,FIND(".",B355,FIND(".",B355)+1)-FIND(".",B355)&lt;=3,F355&gt;=2000,F355&lt;=2100,YEAR(I355)=F355,MONTH(I355)=G355,DAY(I355)=H355),I355,0)),0)</ns0:f>
        <ns0:v>0</ns0:v>
      </ns0:c>
      <ns0:c r="K355" s="0">
        <ns0:f>IFERROR(IF(ISNUMBER(Bookings!D355),"",TRIM(Bookings!D355&amp;"")),"")</ns0:f>
      </ns0:c>
      <ns0:c r="L355" s="0">
        <ns0:f>IFERROR(SUBSTITUTE(SUBSTITUTE(K355,"/","."),"-","."),"")</ns0:f>
      </ns0:c>
      <ns0:c r="M355" s="0">
        <ns0:f>IFERROR(LEFT(L355,FIND(".",L355)-1),"")</ns0:f>
      </ns0:c>
      <ns0:c r="N355" s="0">
        <ns0:f>IFERROR(MID(L355,FIND(".",L355)+1,FIND(".",L355,FIND(".",L355)+1)-FIND(".",L355)-1),"")</ns0:f>
      </ns0:c>
      <ns0:c r="O355" s="0">
        <ns0:f>IFERROR(MID(L355,FIND(".",L355,FIND(".",L355)+1)+1,99),"")</ns0:f>
        <ns0:v>99</ns0:v>
      </ns0:c>
      <ns0:c r="P355" s="0">
        <ns0:f>IFERROR(IF(FIND(".",L355)=5,--M355,--O355),0)</ns0:f>
        <ns0:v>0</ns0:v>
      </ns0:c>
      <ns0:c r="Q355" s="0">
        <ns0:f>IFERROR(--N355,0)</ns0:f>
        <ns0:v>0</ns0:v>
      </ns0:c>
      <ns0:c r="R355" s="0">
        <ns0:f>IFERROR(IF(FIND(".",L355)=5,--O355,--M355),0)</ns0:f>
        <ns0:v>0</ns0:v>
      </ns0:c>
      <ns0:c r="S355" s="0">
        <ns0:f>IFERROR(IF(AND(P355&gt;=2000,P355&lt;=2100,Q355&gt;=1,Q355&lt;=12,R355&gt;=1,R355&lt;=31),DATE(P355,Q355,R355),0),0)</ns0:f>
        <ns0:v>0</ns0:v>
      </ns0:c>
      <ns0:c r="T355" s="0">
        <ns0:f>IFERROR(IF(ISNUMBER(Bookings!D355),IF(AND(Bookings!D355=INT(Bookings!D355),Bookings!D355&gt;=DATE(2000,1,1),Bookings!D355&lt;=DATE(2100,12,31)),Bookings!D355,0),IF(AND(K355&lt;&gt;"",LEN("x"&amp;L355)-LEN(SUBSTITUTE("x"&amp;L355,".",""))=2,OR(1&gt;LEN(L355),MID(L355,1,1)=".",ISNUMBER(FIND("x"&amp;MID(L355,1,1),"x0x1x2x3x4x5x6x7x8x9"))),OR(2&gt;LEN(L355),MID(L355,2,1)=".",ISNUMBER(FIND("x"&amp;MID(L355,2,1),"x0x1x2x3x4x5x6x7x8x9"))),OR(3&gt;LEN(L355),MID(L355,3,1)=".",ISNUMBER(FIND("x"&amp;MID(L355,3,1),"x0x1x2x3x4x5x6x7x8x9"))),OR(4&gt;LEN(L355),MID(L355,4,1)=".",ISNUMBER(FIND("x"&amp;MID(L355,4,1),"x0x1x2x3x4x5x6x7x8x9"))),OR(5&gt;LEN(L355),MID(L355,5,1)=".",ISNUMBER(FIND("x"&amp;MID(L355,5,1),"x0x1x2x3x4x5x6x7x8x9"))),OR(6&gt;LEN(L355),MID(L355,6,1)=".",ISNUMBER(FIND("x"&amp;MID(L355,6,1),"x0x1x2x3x4x5x6x7x8x9"))),OR(7&gt;LEN(L355),MID(L355,7,1)=".",ISNUMBER(FIND("x"&amp;MID(L355,7,1),"x0x1x2x3x4x5x6x7x8x9"))),OR(8&gt;LEN(L355),MID(L355,8,1)=".",ISNUMBER(FIND("x"&amp;MID(L355,8,1),"x0x1x2x3x4x5x6x7x8x9"))),OR(9&gt;LEN(L355),MID(L355,9,1)=".",ISNUMBER(FIND("x"&amp;MID(L355,9,1),"x0x1x2x3x4x5x6x7x8x9"))),OR(10&gt;LEN(L355),MID(L355,10,1)=".",ISNUMBER(FIND("x"&amp;MID(L355,10,1),"x0x1x2x3x4x5x6x7x8x9"))),OR(AND(FIND(".",L355)=5,LEN(L355)-FIND(".",L355,FIND(".",L355)+1)&gt;=1,LEN(L355)-FIND(".",L355,FIND(".",L355)+1)&lt;=2),AND(LEN(L355)-FIND(".",L355,FIND(".",L355)+1)=4,FIND(".",L355)&gt;=2,FIND(".",L355)&lt;=3)),FIND(".",L355,FIND(".",L355)+1)-FIND(".",L355)&gt;=2,FIND(".",L355,FIND(".",L355)+1)-FIND(".",L355)&lt;=3,P355&gt;=2000,P355&lt;=2100,YEAR(S355)=P355,MONTH(S355)=Q355,DAY(S355)=R355),S355,0)),0)</ns0:f>
        <ns0:v>0</ns0:v>
      </ns0:c>
      <ns0:c r="U355" s="0" t="str">
        <ns0:f>IF(Bookings!C355="","Full day",Bookings!C355)</ns0:f>
        <ns0:v>Full day</ns0:v>
      </ns0:c>
      <ns0:c r="V355" s="0" t="str">
        <ns0:f>IF(Bookings!E355="","Full day",Bookings!E355)</ns0:f>
        <ns0:v>Full day</ns0:v>
      </ns0:c>
      <ns0:c r="W355" s="0">
        <ns0:f>IF(J355=0,0,J355+IF(U355="PM",1,0))</ns0:f>
        <ns0:v>0</ns0:v>
      </ns0:c>
      <ns0:c r="X355" s="0">
        <ns0:f>IF(T355=0,0,T355-IF(V355="PM",1,0))</ns0:f>
        <ns0:v>0</ns0:v>
      </ns0:c>
      <ns0:c r="Y355" s="0">
        <ns0:f>IF(J355=0,0,J355+IF(U355="AM",1,0))</ns0:f>
        <ns0:v>0</ns0:v>
      </ns0:c>
      <ns0:c r="Z355" s="0">
        <ns0:f>IF(T355=0,0,T355-IF(V355="AM",1,0))</ns0:f>
        <ns0:v>0</ns0:v>
      </ns0:c>
      <ns0:c r="AA355" s="0">
        <ns0:f>IFERROR(IF(AND(J355&gt;0,'_Engine'!C355&gt;0,MID('_Engine'!W355,WEEKDAY(J355,2),1)="W",COUNTIF(Settings!$F$18:$F$67,J355)=0),1,0),0)</ns0:f>
        <ns0:v>0</ns0:v>
      </ns0:c>
      <ns0:c r="AB355" s="0">
        <ns0:f>IFERROR(IF(AND(T355&gt;0,'_Engine'!C355&gt;0,MID('_Engine'!W355,WEEKDAY(T355,2),1)="W",COUNTIF(Settings!$F$18:$F$67,T355)=0),1,0),0)</ns0:f>
        <ns0:v>0</ns0:v>
      </ns0:c>
      <ns0:c r="AC355" s="0">
        <ns0:f>IF(AND(J355&gt;0,T355&gt;0,W355&lt;=X355),1,0)</ns0:f>
        <ns0:v>0</ns0:v>
      </ns0:c>
      <ns0:c r="AD355" s="0">
        <ns0:f>IF(AND(J355&gt;0,T355&gt;0,Y355&lt;=Z355),1,0)</ns0:f>
        <ns0:v>0</ns0:v>
      </ns0:c>
    </ns0:row>
    <ns0:row r="356">
      <ns0:c r="A356" s="0">
        <ns0:f>IFERROR(IF(ISNUMBER(Bookings!B356),"",TRIM(Bookings!B356&amp;"")),"")</ns0:f>
      </ns0:c>
      <ns0:c r="B356" s="0">
        <ns0:f>IFERROR(SUBSTITUTE(SUBSTITUTE(A356,"/","."),"-","."),"")</ns0:f>
      </ns0:c>
      <ns0:c r="C356" s="0">
        <ns0:f>IFERROR(LEFT(B356,FIND(".",B356)-1),"")</ns0:f>
      </ns0:c>
      <ns0:c r="D356" s="0">
        <ns0:f>IFERROR(MID(B356,FIND(".",B356)+1,FIND(".",B356,FIND(".",B356)+1)-FIND(".",B356)-1),"")</ns0:f>
      </ns0:c>
      <ns0:c r="E356" s="0">
        <ns0:f>IFERROR(MID(B356,FIND(".",B356,FIND(".",B356)+1)+1,99),"")</ns0:f>
        <ns0:v>99</ns0:v>
      </ns0:c>
      <ns0:c r="F356" s="0">
        <ns0:f>IFERROR(IF(FIND(".",B356)=5,--C356,--E356),0)</ns0:f>
        <ns0:v>0</ns0:v>
      </ns0:c>
      <ns0:c r="G356" s="0">
        <ns0:f>IFERROR(--D356,0)</ns0:f>
        <ns0:v>0</ns0:v>
      </ns0:c>
      <ns0:c r="H356" s="0">
        <ns0:f>IFERROR(IF(FIND(".",B356)=5,--E356,--C356),0)</ns0:f>
        <ns0:v>0</ns0:v>
      </ns0:c>
      <ns0:c r="I356" s="0">
        <ns0:f>IFERROR(IF(AND(F356&gt;=2000,F356&lt;=2100,G356&gt;=1,G356&lt;=12,H356&gt;=1,H356&lt;=31),DATE(F356,G356,H356),0),0)</ns0:f>
        <ns0:v>0</ns0:v>
      </ns0:c>
      <ns0:c r="J356" s="0">
        <ns0:f>IFERROR(IF(ISNUMBER(Bookings!B356),IF(AND(Bookings!B356=INT(Bookings!B356),Bookings!B356&gt;=DATE(2000,1,1),Bookings!B356&lt;=DATE(2100,12,31)),Bookings!B356,0),IF(AND(A356&lt;&gt;"",LEN("x"&amp;B356)-LEN(SUBSTITUTE("x"&amp;B356,".",""))=2,OR(1&gt;LEN(B356),MID(B356,1,1)=".",ISNUMBER(FIND("x"&amp;MID(B356,1,1),"x0x1x2x3x4x5x6x7x8x9"))),OR(2&gt;LEN(B356),MID(B356,2,1)=".",ISNUMBER(FIND("x"&amp;MID(B356,2,1),"x0x1x2x3x4x5x6x7x8x9"))),OR(3&gt;LEN(B356),MID(B356,3,1)=".",ISNUMBER(FIND("x"&amp;MID(B356,3,1),"x0x1x2x3x4x5x6x7x8x9"))),OR(4&gt;LEN(B356),MID(B356,4,1)=".",ISNUMBER(FIND("x"&amp;MID(B356,4,1),"x0x1x2x3x4x5x6x7x8x9"))),OR(5&gt;LEN(B356),MID(B356,5,1)=".",ISNUMBER(FIND("x"&amp;MID(B356,5,1),"x0x1x2x3x4x5x6x7x8x9"))),OR(6&gt;LEN(B356),MID(B356,6,1)=".",ISNUMBER(FIND("x"&amp;MID(B356,6,1),"x0x1x2x3x4x5x6x7x8x9"))),OR(7&gt;LEN(B356),MID(B356,7,1)=".",ISNUMBER(FIND("x"&amp;MID(B356,7,1),"x0x1x2x3x4x5x6x7x8x9"))),OR(8&gt;LEN(B356),MID(B356,8,1)=".",ISNUMBER(FIND("x"&amp;MID(B356,8,1),"x0x1x2x3x4x5x6x7x8x9"))),OR(9&gt;LEN(B356),MID(B356,9,1)=".",ISNUMBER(FIND("x"&amp;MID(B356,9,1),"x0x1x2x3x4x5x6x7x8x9"))),OR(10&gt;LEN(B356),MID(B356,10,1)=".",ISNUMBER(FIND("x"&amp;MID(B356,10,1),"x0x1x2x3x4x5x6x7x8x9"))),OR(AND(FIND(".",B356)=5,LEN(B356)-FIND(".",B356,FIND(".",B356)+1)&gt;=1,LEN(B356)-FIND(".",B356,FIND(".",B356)+1)&lt;=2),AND(LEN(B356)-FIND(".",B356,FIND(".",B356)+1)=4,FIND(".",B356)&gt;=2,FIND(".",B356)&lt;=3)),FIND(".",B356,FIND(".",B356)+1)-FIND(".",B356)&gt;=2,FIND(".",B356,FIND(".",B356)+1)-FIND(".",B356)&lt;=3,F356&gt;=2000,F356&lt;=2100,YEAR(I356)=F356,MONTH(I356)=G356,DAY(I356)=H356),I356,0)),0)</ns0:f>
        <ns0:v>0</ns0:v>
      </ns0:c>
      <ns0:c r="K356" s="0">
        <ns0:f>IFERROR(IF(ISNUMBER(Bookings!D356),"",TRIM(Bookings!D356&amp;"")),"")</ns0:f>
      </ns0:c>
      <ns0:c r="L356" s="0">
        <ns0:f>IFERROR(SUBSTITUTE(SUBSTITUTE(K356,"/","."),"-","."),"")</ns0:f>
      </ns0:c>
      <ns0:c r="M356" s="0">
        <ns0:f>IFERROR(LEFT(L356,FIND(".",L356)-1),"")</ns0:f>
      </ns0:c>
      <ns0:c r="N356" s="0">
        <ns0:f>IFERROR(MID(L356,FIND(".",L356)+1,FIND(".",L356,FIND(".",L356)+1)-FIND(".",L356)-1),"")</ns0:f>
      </ns0:c>
      <ns0:c r="O356" s="0">
        <ns0:f>IFERROR(MID(L356,FIND(".",L356,FIND(".",L356)+1)+1,99),"")</ns0:f>
        <ns0:v>99</ns0:v>
      </ns0:c>
      <ns0:c r="P356" s="0">
        <ns0:f>IFERROR(IF(FIND(".",L356)=5,--M356,--O356),0)</ns0:f>
        <ns0:v>0</ns0:v>
      </ns0:c>
      <ns0:c r="Q356" s="0">
        <ns0:f>IFERROR(--N356,0)</ns0:f>
        <ns0:v>0</ns0:v>
      </ns0:c>
      <ns0:c r="R356" s="0">
        <ns0:f>IFERROR(IF(FIND(".",L356)=5,--O356,--M356),0)</ns0:f>
        <ns0:v>0</ns0:v>
      </ns0:c>
      <ns0:c r="S356" s="0">
        <ns0:f>IFERROR(IF(AND(P356&gt;=2000,P356&lt;=2100,Q356&gt;=1,Q356&lt;=12,R356&gt;=1,R356&lt;=31),DATE(P356,Q356,R356),0),0)</ns0:f>
        <ns0:v>0</ns0:v>
      </ns0:c>
      <ns0:c r="T356" s="0">
        <ns0:f>IFERROR(IF(ISNUMBER(Bookings!D356),IF(AND(Bookings!D356=INT(Bookings!D356),Bookings!D356&gt;=DATE(2000,1,1),Bookings!D356&lt;=DATE(2100,12,31)),Bookings!D356,0),IF(AND(K356&lt;&gt;"",LEN("x"&amp;L356)-LEN(SUBSTITUTE("x"&amp;L356,".",""))=2,OR(1&gt;LEN(L356),MID(L356,1,1)=".",ISNUMBER(FIND("x"&amp;MID(L356,1,1),"x0x1x2x3x4x5x6x7x8x9"))),OR(2&gt;LEN(L356),MID(L356,2,1)=".",ISNUMBER(FIND("x"&amp;MID(L356,2,1),"x0x1x2x3x4x5x6x7x8x9"))),OR(3&gt;LEN(L356),MID(L356,3,1)=".",ISNUMBER(FIND("x"&amp;MID(L356,3,1),"x0x1x2x3x4x5x6x7x8x9"))),OR(4&gt;LEN(L356),MID(L356,4,1)=".",ISNUMBER(FIND("x"&amp;MID(L356,4,1),"x0x1x2x3x4x5x6x7x8x9"))),OR(5&gt;LEN(L356),MID(L356,5,1)=".",ISNUMBER(FIND("x"&amp;MID(L356,5,1),"x0x1x2x3x4x5x6x7x8x9"))),OR(6&gt;LEN(L356),MID(L356,6,1)=".",ISNUMBER(FIND("x"&amp;MID(L356,6,1),"x0x1x2x3x4x5x6x7x8x9"))),OR(7&gt;LEN(L356),MID(L356,7,1)=".",ISNUMBER(FIND("x"&amp;MID(L356,7,1),"x0x1x2x3x4x5x6x7x8x9"))),OR(8&gt;LEN(L356),MID(L356,8,1)=".",ISNUMBER(FIND("x"&amp;MID(L356,8,1),"x0x1x2x3x4x5x6x7x8x9"))),OR(9&gt;LEN(L356),MID(L356,9,1)=".",ISNUMBER(FIND("x"&amp;MID(L356,9,1),"x0x1x2x3x4x5x6x7x8x9"))),OR(10&gt;LEN(L356),MID(L356,10,1)=".",ISNUMBER(FIND("x"&amp;MID(L356,10,1),"x0x1x2x3x4x5x6x7x8x9"))),OR(AND(FIND(".",L356)=5,LEN(L356)-FIND(".",L356,FIND(".",L356)+1)&gt;=1,LEN(L356)-FIND(".",L356,FIND(".",L356)+1)&lt;=2),AND(LEN(L356)-FIND(".",L356,FIND(".",L356)+1)=4,FIND(".",L356)&gt;=2,FIND(".",L356)&lt;=3)),FIND(".",L356,FIND(".",L356)+1)-FIND(".",L356)&gt;=2,FIND(".",L356,FIND(".",L356)+1)-FIND(".",L356)&lt;=3,P356&gt;=2000,P356&lt;=2100,YEAR(S356)=P356,MONTH(S356)=Q356,DAY(S356)=R356),S356,0)),0)</ns0:f>
        <ns0:v>0</ns0:v>
      </ns0:c>
      <ns0:c r="U356" s="0" t="str">
        <ns0:f>IF(Bookings!C356="","Full day",Bookings!C356)</ns0:f>
        <ns0:v>Full day</ns0:v>
      </ns0:c>
      <ns0:c r="V356" s="0" t="str">
        <ns0:f>IF(Bookings!E356="","Full day",Bookings!E356)</ns0:f>
        <ns0:v>Full day</ns0:v>
      </ns0:c>
      <ns0:c r="W356" s="0">
        <ns0:f>IF(J356=0,0,J356+IF(U356="PM",1,0))</ns0:f>
        <ns0:v>0</ns0:v>
      </ns0:c>
      <ns0:c r="X356" s="0">
        <ns0:f>IF(T356=0,0,T356-IF(V356="PM",1,0))</ns0:f>
        <ns0:v>0</ns0:v>
      </ns0:c>
      <ns0:c r="Y356" s="0">
        <ns0:f>IF(J356=0,0,J356+IF(U356="AM",1,0))</ns0:f>
        <ns0:v>0</ns0:v>
      </ns0:c>
      <ns0:c r="Z356" s="0">
        <ns0:f>IF(T356=0,0,T356-IF(V356="AM",1,0))</ns0:f>
        <ns0:v>0</ns0:v>
      </ns0:c>
      <ns0:c r="AA356" s="0">
        <ns0:f>IFERROR(IF(AND(J356&gt;0,'_Engine'!C356&gt;0,MID('_Engine'!W356,WEEKDAY(J356,2),1)="W",COUNTIF(Settings!$F$18:$F$67,J356)=0),1,0),0)</ns0:f>
        <ns0:v>0</ns0:v>
      </ns0:c>
      <ns0:c r="AB356" s="0">
        <ns0:f>IFERROR(IF(AND(T356&gt;0,'_Engine'!C356&gt;0,MID('_Engine'!W356,WEEKDAY(T356,2),1)="W",COUNTIF(Settings!$F$18:$F$67,T356)=0),1,0),0)</ns0:f>
        <ns0:v>0</ns0:v>
      </ns0:c>
      <ns0:c r="AC356" s="0">
        <ns0:f>IF(AND(J356&gt;0,T356&gt;0,W356&lt;=X356),1,0)</ns0:f>
        <ns0:v>0</ns0:v>
      </ns0:c>
      <ns0:c r="AD356" s="0">
        <ns0:f>IF(AND(J356&gt;0,T356&gt;0,Y356&lt;=Z356),1,0)</ns0:f>
        <ns0:v>0</ns0:v>
      </ns0:c>
    </ns0:row>
    <ns0:row r="357">
      <ns0:c r="A357" s="0">
        <ns0:f>IFERROR(IF(ISNUMBER(Bookings!B357),"",TRIM(Bookings!B357&amp;"")),"")</ns0:f>
      </ns0:c>
      <ns0:c r="B357" s="0">
        <ns0:f>IFERROR(SUBSTITUTE(SUBSTITUTE(A357,"/","."),"-","."),"")</ns0:f>
      </ns0:c>
      <ns0:c r="C357" s="0">
        <ns0:f>IFERROR(LEFT(B357,FIND(".",B357)-1),"")</ns0:f>
      </ns0:c>
      <ns0:c r="D357" s="0">
        <ns0:f>IFERROR(MID(B357,FIND(".",B357)+1,FIND(".",B357,FIND(".",B357)+1)-FIND(".",B357)-1),"")</ns0:f>
      </ns0:c>
      <ns0:c r="E357" s="0">
        <ns0:f>IFERROR(MID(B357,FIND(".",B357,FIND(".",B357)+1)+1,99),"")</ns0:f>
        <ns0:v>99</ns0:v>
      </ns0:c>
      <ns0:c r="F357" s="0">
        <ns0:f>IFERROR(IF(FIND(".",B357)=5,--C357,--E357),0)</ns0:f>
        <ns0:v>0</ns0:v>
      </ns0:c>
      <ns0:c r="G357" s="0">
        <ns0:f>IFERROR(--D357,0)</ns0:f>
        <ns0:v>0</ns0:v>
      </ns0:c>
      <ns0:c r="H357" s="0">
        <ns0:f>IFERROR(IF(FIND(".",B357)=5,--E357,--C357),0)</ns0:f>
        <ns0:v>0</ns0:v>
      </ns0:c>
      <ns0:c r="I357" s="0">
        <ns0:f>IFERROR(IF(AND(F357&gt;=2000,F357&lt;=2100,G357&gt;=1,G357&lt;=12,H357&gt;=1,H357&lt;=31),DATE(F357,G357,H357),0),0)</ns0:f>
        <ns0:v>0</ns0:v>
      </ns0:c>
      <ns0:c r="J357" s="0">
        <ns0:f>IFERROR(IF(ISNUMBER(Bookings!B357),IF(AND(Bookings!B357=INT(Bookings!B357),Bookings!B357&gt;=DATE(2000,1,1),Bookings!B357&lt;=DATE(2100,12,31)),Bookings!B357,0),IF(AND(A357&lt;&gt;"",LEN("x"&amp;B357)-LEN(SUBSTITUTE("x"&amp;B357,".",""))=2,OR(1&gt;LEN(B357),MID(B357,1,1)=".",ISNUMBER(FIND("x"&amp;MID(B357,1,1),"x0x1x2x3x4x5x6x7x8x9"))),OR(2&gt;LEN(B357),MID(B357,2,1)=".",ISNUMBER(FIND("x"&amp;MID(B357,2,1),"x0x1x2x3x4x5x6x7x8x9"))),OR(3&gt;LEN(B357),MID(B357,3,1)=".",ISNUMBER(FIND("x"&amp;MID(B357,3,1),"x0x1x2x3x4x5x6x7x8x9"))),OR(4&gt;LEN(B357),MID(B357,4,1)=".",ISNUMBER(FIND("x"&amp;MID(B357,4,1),"x0x1x2x3x4x5x6x7x8x9"))),OR(5&gt;LEN(B357),MID(B357,5,1)=".",ISNUMBER(FIND("x"&amp;MID(B357,5,1),"x0x1x2x3x4x5x6x7x8x9"))),OR(6&gt;LEN(B357),MID(B357,6,1)=".",ISNUMBER(FIND("x"&amp;MID(B357,6,1),"x0x1x2x3x4x5x6x7x8x9"))),OR(7&gt;LEN(B357),MID(B357,7,1)=".",ISNUMBER(FIND("x"&amp;MID(B357,7,1),"x0x1x2x3x4x5x6x7x8x9"))),OR(8&gt;LEN(B357),MID(B357,8,1)=".",ISNUMBER(FIND("x"&amp;MID(B357,8,1),"x0x1x2x3x4x5x6x7x8x9"))),OR(9&gt;LEN(B357),MID(B357,9,1)=".",ISNUMBER(FIND("x"&amp;MID(B357,9,1),"x0x1x2x3x4x5x6x7x8x9"))),OR(10&gt;LEN(B357),MID(B357,10,1)=".",ISNUMBER(FIND("x"&amp;MID(B357,10,1),"x0x1x2x3x4x5x6x7x8x9"))),OR(AND(FIND(".",B357)=5,LEN(B357)-FIND(".",B357,FIND(".",B357)+1)&gt;=1,LEN(B357)-FIND(".",B357,FIND(".",B357)+1)&lt;=2),AND(LEN(B357)-FIND(".",B357,FIND(".",B357)+1)=4,FIND(".",B357)&gt;=2,FIND(".",B357)&lt;=3)),FIND(".",B357,FIND(".",B357)+1)-FIND(".",B357)&gt;=2,FIND(".",B357,FIND(".",B357)+1)-FIND(".",B357)&lt;=3,F357&gt;=2000,F357&lt;=2100,YEAR(I357)=F357,MONTH(I357)=G357,DAY(I357)=H357),I357,0)),0)</ns0:f>
        <ns0:v>0</ns0:v>
      </ns0:c>
      <ns0:c r="K357" s="0">
        <ns0:f>IFERROR(IF(ISNUMBER(Bookings!D357),"",TRIM(Bookings!D357&amp;"")),"")</ns0:f>
      </ns0:c>
      <ns0:c r="L357" s="0">
        <ns0:f>IFERROR(SUBSTITUTE(SUBSTITUTE(K357,"/","."),"-","."),"")</ns0:f>
      </ns0:c>
      <ns0:c r="M357" s="0">
        <ns0:f>IFERROR(LEFT(L357,FIND(".",L357)-1),"")</ns0:f>
      </ns0:c>
      <ns0:c r="N357" s="0">
        <ns0:f>IFERROR(MID(L357,FIND(".",L357)+1,FIND(".",L357,FIND(".",L357)+1)-FIND(".",L357)-1),"")</ns0:f>
      </ns0:c>
      <ns0:c r="O357" s="0">
        <ns0:f>IFERROR(MID(L357,FIND(".",L357,FIND(".",L357)+1)+1,99),"")</ns0:f>
        <ns0:v>99</ns0:v>
      </ns0:c>
      <ns0:c r="P357" s="0">
        <ns0:f>IFERROR(IF(FIND(".",L357)=5,--M357,--O357),0)</ns0:f>
        <ns0:v>0</ns0:v>
      </ns0:c>
      <ns0:c r="Q357" s="0">
        <ns0:f>IFERROR(--N357,0)</ns0:f>
        <ns0:v>0</ns0:v>
      </ns0:c>
      <ns0:c r="R357" s="0">
        <ns0:f>IFERROR(IF(FIND(".",L357)=5,--O357,--M357),0)</ns0:f>
        <ns0:v>0</ns0:v>
      </ns0:c>
      <ns0:c r="S357" s="0">
        <ns0:f>IFERROR(IF(AND(P357&gt;=2000,P357&lt;=2100,Q357&gt;=1,Q357&lt;=12,R357&gt;=1,R357&lt;=31),DATE(P357,Q357,R357),0),0)</ns0:f>
        <ns0:v>0</ns0:v>
      </ns0:c>
      <ns0:c r="T357" s="0">
        <ns0:f>IFERROR(IF(ISNUMBER(Bookings!D357),IF(AND(Bookings!D357=INT(Bookings!D357),Bookings!D357&gt;=DATE(2000,1,1),Bookings!D357&lt;=DATE(2100,12,31)),Bookings!D357,0),IF(AND(K357&lt;&gt;"",LEN("x"&amp;L357)-LEN(SUBSTITUTE("x"&amp;L357,".",""))=2,OR(1&gt;LEN(L357),MID(L357,1,1)=".",ISNUMBER(FIND("x"&amp;MID(L357,1,1),"x0x1x2x3x4x5x6x7x8x9"))),OR(2&gt;LEN(L357),MID(L357,2,1)=".",ISNUMBER(FIND("x"&amp;MID(L357,2,1),"x0x1x2x3x4x5x6x7x8x9"))),OR(3&gt;LEN(L357),MID(L357,3,1)=".",ISNUMBER(FIND("x"&amp;MID(L357,3,1),"x0x1x2x3x4x5x6x7x8x9"))),OR(4&gt;LEN(L357),MID(L357,4,1)=".",ISNUMBER(FIND("x"&amp;MID(L357,4,1),"x0x1x2x3x4x5x6x7x8x9"))),OR(5&gt;LEN(L357),MID(L357,5,1)=".",ISNUMBER(FIND("x"&amp;MID(L357,5,1),"x0x1x2x3x4x5x6x7x8x9"))),OR(6&gt;LEN(L357),MID(L357,6,1)=".",ISNUMBER(FIND("x"&amp;MID(L357,6,1),"x0x1x2x3x4x5x6x7x8x9"))),OR(7&gt;LEN(L357),MID(L357,7,1)=".",ISNUMBER(FIND("x"&amp;MID(L357,7,1),"x0x1x2x3x4x5x6x7x8x9"))),OR(8&gt;LEN(L357),MID(L357,8,1)=".",ISNUMBER(FIND("x"&amp;MID(L357,8,1),"x0x1x2x3x4x5x6x7x8x9"))),OR(9&gt;LEN(L357),MID(L357,9,1)=".",ISNUMBER(FIND("x"&amp;MID(L357,9,1),"x0x1x2x3x4x5x6x7x8x9"))),OR(10&gt;LEN(L357),MID(L357,10,1)=".",ISNUMBER(FIND("x"&amp;MID(L357,10,1),"x0x1x2x3x4x5x6x7x8x9"))),OR(AND(FIND(".",L357)=5,LEN(L357)-FIND(".",L357,FIND(".",L357)+1)&gt;=1,LEN(L357)-FIND(".",L357,FIND(".",L357)+1)&lt;=2),AND(LEN(L357)-FIND(".",L357,FIND(".",L357)+1)=4,FIND(".",L357)&gt;=2,FIND(".",L357)&lt;=3)),FIND(".",L357,FIND(".",L357)+1)-FIND(".",L357)&gt;=2,FIND(".",L357,FIND(".",L357)+1)-FIND(".",L357)&lt;=3,P357&gt;=2000,P357&lt;=2100,YEAR(S357)=P357,MONTH(S357)=Q357,DAY(S357)=R357),S357,0)),0)</ns0:f>
        <ns0:v>0</ns0:v>
      </ns0:c>
      <ns0:c r="U357" s="0" t="str">
        <ns0:f>IF(Bookings!C357="","Full day",Bookings!C357)</ns0:f>
        <ns0:v>Full day</ns0:v>
      </ns0:c>
      <ns0:c r="V357" s="0" t="str">
        <ns0:f>IF(Bookings!E357="","Full day",Bookings!E357)</ns0:f>
        <ns0:v>Full day</ns0:v>
      </ns0:c>
      <ns0:c r="W357" s="0">
        <ns0:f>IF(J357=0,0,J357+IF(U357="PM",1,0))</ns0:f>
        <ns0:v>0</ns0:v>
      </ns0:c>
      <ns0:c r="X357" s="0">
        <ns0:f>IF(T357=0,0,T357-IF(V357="PM",1,0))</ns0:f>
        <ns0:v>0</ns0:v>
      </ns0:c>
      <ns0:c r="Y357" s="0">
        <ns0:f>IF(J357=0,0,J357+IF(U357="AM",1,0))</ns0:f>
        <ns0:v>0</ns0:v>
      </ns0:c>
      <ns0:c r="Z357" s="0">
        <ns0:f>IF(T357=0,0,T357-IF(V357="AM",1,0))</ns0:f>
        <ns0:v>0</ns0:v>
      </ns0:c>
      <ns0:c r="AA357" s="0">
        <ns0:f>IFERROR(IF(AND(J357&gt;0,'_Engine'!C357&gt;0,MID('_Engine'!W357,WEEKDAY(J357,2),1)="W",COUNTIF(Settings!$F$18:$F$67,J357)=0),1,0),0)</ns0:f>
        <ns0:v>0</ns0:v>
      </ns0:c>
      <ns0:c r="AB357" s="0">
        <ns0:f>IFERROR(IF(AND(T357&gt;0,'_Engine'!C357&gt;0,MID('_Engine'!W357,WEEKDAY(T357,2),1)="W",COUNTIF(Settings!$F$18:$F$67,T357)=0),1,0),0)</ns0:f>
        <ns0:v>0</ns0:v>
      </ns0:c>
      <ns0:c r="AC357" s="0">
        <ns0:f>IF(AND(J357&gt;0,T357&gt;0,W357&lt;=X357),1,0)</ns0:f>
        <ns0:v>0</ns0:v>
      </ns0:c>
      <ns0:c r="AD357" s="0">
        <ns0:f>IF(AND(J357&gt;0,T357&gt;0,Y357&lt;=Z357),1,0)</ns0:f>
        <ns0:v>0</ns0:v>
      </ns0:c>
    </ns0:row>
    <ns0:row r="358">
      <ns0:c r="A358" s="0">
        <ns0:f>IFERROR(IF(ISNUMBER(Bookings!B358),"",TRIM(Bookings!B358&amp;"")),"")</ns0:f>
      </ns0:c>
      <ns0:c r="B358" s="0">
        <ns0:f>IFERROR(SUBSTITUTE(SUBSTITUTE(A358,"/","."),"-","."),"")</ns0:f>
      </ns0:c>
      <ns0:c r="C358" s="0">
        <ns0:f>IFERROR(LEFT(B358,FIND(".",B358)-1),"")</ns0:f>
      </ns0:c>
      <ns0:c r="D358" s="0">
        <ns0:f>IFERROR(MID(B358,FIND(".",B358)+1,FIND(".",B358,FIND(".",B358)+1)-FIND(".",B358)-1),"")</ns0:f>
      </ns0:c>
      <ns0:c r="E358" s="0">
        <ns0:f>IFERROR(MID(B358,FIND(".",B358,FIND(".",B358)+1)+1,99),"")</ns0:f>
        <ns0:v>99</ns0:v>
      </ns0:c>
      <ns0:c r="F358" s="0">
        <ns0:f>IFERROR(IF(FIND(".",B358)=5,--C358,--E358),0)</ns0:f>
        <ns0:v>0</ns0:v>
      </ns0:c>
      <ns0:c r="G358" s="0">
        <ns0:f>IFERROR(--D358,0)</ns0:f>
        <ns0:v>0</ns0:v>
      </ns0:c>
      <ns0:c r="H358" s="0">
        <ns0:f>IFERROR(IF(FIND(".",B358)=5,--E358,--C358),0)</ns0:f>
        <ns0:v>0</ns0:v>
      </ns0:c>
      <ns0:c r="I358" s="0">
        <ns0:f>IFERROR(IF(AND(F358&gt;=2000,F358&lt;=2100,G358&gt;=1,G358&lt;=12,H358&gt;=1,H358&lt;=31),DATE(F358,G358,H358),0),0)</ns0:f>
        <ns0:v>0</ns0:v>
      </ns0:c>
      <ns0:c r="J358" s="0">
        <ns0:f>IFERROR(IF(ISNUMBER(Bookings!B358),IF(AND(Bookings!B358=INT(Bookings!B358),Bookings!B358&gt;=DATE(2000,1,1),Bookings!B358&lt;=DATE(2100,12,31)),Bookings!B358,0),IF(AND(A358&lt;&gt;"",LEN("x"&amp;B358)-LEN(SUBSTITUTE("x"&amp;B358,".",""))=2,OR(1&gt;LEN(B358),MID(B358,1,1)=".",ISNUMBER(FIND("x"&amp;MID(B358,1,1),"x0x1x2x3x4x5x6x7x8x9"))),OR(2&gt;LEN(B358),MID(B358,2,1)=".",ISNUMBER(FIND("x"&amp;MID(B358,2,1),"x0x1x2x3x4x5x6x7x8x9"))),OR(3&gt;LEN(B358),MID(B358,3,1)=".",ISNUMBER(FIND("x"&amp;MID(B358,3,1),"x0x1x2x3x4x5x6x7x8x9"))),OR(4&gt;LEN(B358),MID(B358,4,1)=".",ISNUMBER(FIND("x"&amp;MID(B358,4,1),"x0x1x2x3x4x5x6x7x8x9"))),OR(5&gt;LEN(B358),MID(B358,5,1)=".",ISNUMBER(FIND("x"&amp;MID(B358,5,1),"x0x1x2x3x4x5x6x7x8x9"))),OR(6&gt;LEN(B358),MID(B358,6,1)=".",ISNUMBER(FIND("x"&amp;MID(B358,6,1),"x0x1x2x3x4x5x6x7x8x9"))),OR(7&gt;LEN(B358),MID(B358,7,1)=".",ISNUMBER(FIND("x"&amp;MID(B358,7,1),"x0x1x2x3x4x5x6x7x8x9"))),OR(8&gt;LEN(B358),MID(B358,8,1)=".",ISNUMBER(FIND("x"&amp;MID(B358,8,1),"x0x1x2x3x4x5x6x7x8x9"))),OR(9&gt;LEN(B358),MID(B358,9,1)=".",ISNUMBER(FIND("x"&amp;MID(B358,9,1),"x0x1x2x3x4x5x6x7x8x9"))),OR(10&gt;LEN(B358),MID(B358,10,1)=".",ISNUMBER(FIND("x"&amp;MID(B358,10,1),"x0x1x2x3x4x5x6x7x8x9"))),OR(AND(FIND(".",B358)=5,LEN(B358)-FIND(".",B358,FIND(".",B358)+1)&gt;=1,LEN(B358)-FIND(".",B358,FIND(".",B358)+1)&lt;=2),AND(LEN(B358)-FIND(".",B358,FIND(".",B358)+1)=4,FIND(".",B358)&gt;=2,FIND(".",B358)&lt;=3)),FIND(".",B358,FIND(".",B358)+1)-FIND(".",B358)&gt;=2,FIND(".",B358,FIND(".",B358)+1)-FIND(".",B358)&lt;=3,F358&gt;=2000,F358&lt;=2100,YEAR(I358)=F358,MONTH(I358)=G358,DAY(I358)=H358),I358,0)),0)</ns0:f>
        <ns0:v>0</ns0:v>
      </ns0:c>
      <ns0:c r="K358" s="0">
        <ns0:f>IFERROR(IF(ISNUMBER(Bookings!D358),"",TRIM(Bookings!D358&amp;"")),"")</ns0:f>
      </ns0:c>
      <ns0:c r="L358" s="0">
        <ns0:f>IFERROR(SUBSTITUTE(SUBSTITUTE(K358,"/","."),"-","."),"")</ns0:f>
      </ns0:c>
      <ns0:c r="M358" s="0">
        <ns0:f>IFERROR(LEFT(L358,FIND(".",L358)-1),"")</ns0:f>
      </ns0:c>
      <ns0:c r="N358" s="0">
        <ns0:f>IFERROR(MID(L358,FIND(".",L358)+1,FIND(".",L358,FIND(".",L358)+1)-FIND(".",L358)-1),"")</ns0:f>
      </ns0:c>
      <ns0:c r="O358" s="0">
        <ns0:f>IFERROR(MID(L358,FIND(".",L358,FIND(".",L358)+1)+1,99),"")</ns0:f>
        <ns0:v>99</ns0:v>
      </ns0:c>
      <ns0:c r="P358" s="0">
        <ns0:f>IFERROR(IF(FIND(".",L358)=5,--M358,--O358),0)</ns0:f>
        <ns0:v>0</ns0:v>
      </ns0:c>
      <ns0:c r="Q358" s="0">
        <ns0:f>IFERROR(--N358,0)</ns0:f>
        <ns0:v>0</ns0:v>
      </ns0:c>
      <ns0:c r="R358" s="0">
        <ns0:f>IFERROR(IF(FIND(".",L358)=5,--O358,--M358),0)</ns0:f>
        <ns0:v>0</ns0:v>
      </ns0:c>
      <ns0:c r="S358" s="0">
        <ns0:f>IFERROR(IF(AND(P358&gt;=2000,P358&lt;=2100,Q358&gt;=1,Q358&lt;=12,R358&gt;=1,R358&lt;=31),DATE(P358,Q358,R358),0),0)</ns0:f>
        <ns0:v>0</ns0:v>
      </ns0:c>
      <ns0:c r="T358" s="0">
        <ns0:f>IFERROR(IF(ISNUMBER(Bookings!D358),IF(AND(Bookings!D358=INT(Bookings!D358),Bookings!D358&gt;=DATE(2000,1,1),Bookings!D358&lt;=DATE(2100,12,31)),Bookings!D358,0),IF(AND(K358&lt;&gt;"",LEN("x"&amp;L358)-LEN(SUBSTITUTE("x"&amp;L358,".",""))=2,OR(1&gt;LEN(L358),MID(L358,1,1)=".",ISNUMBER(FIND("x"&amp;MID(L358,1,1),"x0x1x2x3x4x5x6x7x8x9"))),OR(2&gt;LEN(L358),MID(L358,2,1)=".",ISNUMBER(FIND("x"&amp;MID(L358,2,1),"x0x1x2x3x4x5x6x7x8x9"))),OR(3&gt;LEN(L358),MID(L358,3,1)=".",ISNUMBER(FIND("x"&amp;MID(L358,3,1),"x0x1x2x3x4x5x6x7x8x9"))),OR(4&gt;LEN(L358),MID(L358,4,1)=".",ISNUMBER(FIND("x"&amp;MID(L358,4,1),"x0x1x2x3x4x5x6x7x8x9"))),OR(5&gt;LEN(L358),MID(L358,5,1)=".",ISNUMBER(FIND("x"&amp;MID(L358,5,1),"x0x1x2x3x4x5x6x7x8x9"))),OR(6&gt;LEN(L358),MID(L358,6,1)=".",ISNUMBER(FIND("x"&amp;MID(L358,6,1),"x0x1x2x3x4x5x6x7x8x9"))),OR(7&gt;LEN(L358),MID(L358,7,1)=".",ISNUMBER(FIND("x"&amp;MID(L358,7,1),"x0x1x2x3x4x5x6x7x8x9"))),OR(8&gt;LEN(L358),MID(L358,8,1)=".",ISNUMBER(FIND("x"&amp;MID(L358,8,1),"x0x1x2x3x4x5x6x7x8x9"))),OR(9&gt;LEN(L358),MID(L358,9,1)=".",ISNUMBER(FIND("x"&amp;MID(L358,9,1),"x0x1x2x3x4x5x6x7x8x9"))),OR(10&gt;LEN(L358),MID(L358,10,1)=".",ISNUMBER(FIND("x"&amp;MID(L358,10,1),"x0x1x2x3x4x5x6x7x8x9"))),OR(AND(FIND(".",L358)=5,LEN(L358)-FIND(".",L358,FIND(".",L358)+1)&gt;=1,LEN(L358)-FIND(".",L358,FIND(".",L358)+1)&lt;=2),AND(LEN(L358)-FIND(".",L358,FIND(".",L358)+1)=4,FIND(".",L358)&gt;=2,FIND(".",L358)&lt;=3)),FIND(".",L358,FIND(".",L358)+1)-FIND(".",L358)&gt;=2,FIND(".",L358,FIND(".",L358)+1)-FIND(".",L358)&lt;=3,P358&gt;=2000,P358&lt;=2100,YEAR(S358)=P358,MONTH(S358)=Q358,DAY(S358)=R358),S358,0)),0)</ns0:f>
        <ns0:v>0</ns0:v>
      </ns0:c>
      <ns0:c r="U358" s="0" t="str">
        <ns0:f>IF(Bookings!C358="","Full day",Bookings!C358)</ns0:f>
        <ns0:v>Full day</ns0:v>
      </ns0:c>
      <ns0:c r="V358" s="0" t="str">
        <ns0:f>IF(Bookings!E358="","Full day",Bookings!E358)</ns0:f>
        <ns0:v>Full day</ns0:v>
      </ns0:c>
      <ns0:c r="W358" s="0">
        <ns0:f>IF(J358=0,0,J358+IF(U358="PM",1,0))</ns0:f>
        <ns0:v>0</ns0:v>
      </ns0:c>
      <ns0:c r="X358" s="0">
        <ns0:f>IF(T358=0,0,T358-IF(V358="PM",1,0))</ns0:f>
        <ns0:v>0</ns0:v>
      </ns0:c>
      <ns0:c r="Y358" s="0">
        <ns0:f>IF(J358=0,0,J358+IF(U358="AM",1,0))</ns0:f>
        <ns0:v>0</ns0:v>
      </ns0:c>
      <ns0:c r="Z358" s="0">
        <ns0:f>IF(T358=0,0,T358-IF(V358="AM",1,0))</ns0:f>
        <ns0:v>0</ns0:v>
      </ns0:c>
      <ns0:c r="AA358" s="0">
        <ns0:f>IFERROR(IF(AND(J358&gt;0,'_Engine'!C358&gt;0,MID('_Engine'!W358,WEEKDAY(J358,2),1)="W",COUNTIF(Settings!$F$18:$F$67,J358)=0),1,0),0)</ns0:f>
        <ns0:v>0</ns0:v>
      </ns0:c>
      <ns0:c r="AB358" s="0">
        <ns0:f>IFERROR(IF(AND(T358&gt;0,'_Engine'!C358&gt;0,MID('_Engine'!W358,WEEKDAY(T358,2),1)="W",COUNTIF(Settings!$F$18:$F$67,T358)=0),1,0),0)</ns0:f>
        <ns0:v>0</ns0:v>
      </ns0:c>
      <ns0:c r="AC358" s="0">
        <ns0:f>IF(AND(J358&gt;0,T358&gt;0,W358&lt;=X358),1,0)</ns0:f>
        <ns0:v>0</ns0:v>
      </ns0:c>
      <ns0:c r="AD358" s="0">
        <ns0:f>IF(AND(J358&gt;0,T358&gt;0,Y358&lt;=Z358),1,0)</ns0:f>
        <ns0:v>0</ns0:v>
      </ns0:c>
    </ns0:row>
    <ns0:row r="359">
      <ns0:c r="A359" s="0">
        <ns0:f>IFERROR(IF(ISNUMBER(Bookings!B359),"",TRIM(Bookings!B359&amp;"")),"")</ns0:f>
      </ns0:c>
      <ns0:c r="B359" s="0">
        <ns0:f>IFERROR(SUBSTITUTE(SUBSTITUTE(A359,"/","."),"-","."),"")</ns0:f>
      </ns0:c>
      <ns0:c r="C359" s="0">
        <ns0:f>IFERROR(LEFT(B359,FIND(".",B359)-1),"")</ns0:f>
      </ns0:c>
      <ns0:c r="D359" s="0">
        <ns0:f>IFERROR(MID(B359,FIND(".",B359)+1,FIND(".",B359,FIND(".",B359)+1)-FIND(".",B359)-1),"")</ns0:f>
      </ns0:c>
      <ns0:c r="E359" s="0">
        <ns0:f>IFERROR(MID(B359,FIND(".",B359,FIND(".",B359)+1)+1,99),"")</ns0:f>
        <ns0:v>99</ns0:v>
      </ns0:c>
      <ns0:c r="F359" s="0">
        <ns0:f>IFERROR(IF(FIND(".",B359)=5,--C359,--E359),0)</ns0:f>
        <ns0:v>0</ns0:v>
      </ns0:c>
      <ns0:c r="G359" s="0">
        <ns0:f>IFERROR(--D359,0)</ns0:f>
        <ns0:v>0</ns0:v>
      </ns0:c>
      <ns0:c r="H359" s="0">
        <ns0:f>IFERROR(IF(FIND(".",B359)=5,--E359,--C359),0)</ns0:f>
        <ns0:v>0</ns0:v>
      </ns0:c>
      <ns0:c r="I359" s="0">
        <ns0:f>IFERROR(IF(AND(F359&gt;=2000,F359&lt;=2100,G359&gt;=1,G359&lt;=12,H359&gt;=1,H359&lt;=31),DATE(F359,G359,H359),0),0)</ns0:f>
        <ns0:v>0</ns0:v>
      </ns0:c>
      <ns0:c r="J359" s="0">
        <ns0:f>IFERROR(IF(ISNUMBER(Bookings!B359),IF(AND(Bookings!B359=INT(Bookings!B359),Bookings!B359&gt;=DATE(2000,1,1),Bookings!B359&lt;=DATE(2100,12,31)),Bookings!B359,0),IF(AND(A359&lt;&gt;"",LEN("x"&amp;B359)-LEN(SUBSTITUTE("x"&amp;B359,".",""))=2,OR(1&gt;LEN(B359),MID(B359,1,1)=".",ISNUMBER(FIND("x"&amp;MID(B359,1,1),"x0x1x2x3x4x5x6x7x8x9"))),OR(2&gt;LEN(B359),MID(B359,2,1)=".",ISNUMBER(FIND("x"&amp;MID(B359,2,1),"x0x1x2x3x4x5x6x7x8x9"))),OR(3&gt;LEN(B359),MID(B359,3,1)=".",ISNUMBER(FIND("x"&amp;MID(B359,3,1),"x0x1x2x3x4x5x6x7x8x9"))),OR(4&gt;LEN(B359),MID(B359,4,1)=".",ISNUMBER(FIND("x"&amp;MID(B359,4,1),"x0x1x2x3x4x5x6x7x8x9"))),OR(5&gt;LEN(B359),MID(B359,5,1)=".",ISNUMBER(FIND("x"&amp;MID(B359,5,1),"x0x1x2x3x4x5x6x7x8x9"))),OR(6&gt;LEN(B359),MID(B359,6,1)=".",ISNUMBER(FIND("x"&amp;MID(B359,6,1),"x0x1x2x3x4x5x6x7x8x9"))),OR(7&gt;LEN(B359),MID(B359,7,1)=".",ISNUMBER(FIND("x"&amp;MID(B359,7,1),"x0x1x2x3x4x5x6x7x8x9"))),OR(8&gt;LEN(B359),MID(B359,8,1)=".",ISNUMBER(FIND("x"&amp;MID(B359,8,1),"x0x1x2x3x4x5x6x7x8x9"))),OR(9&gt;LEN(B359),MID(B359,9,1)=".",ISNUMBER(FIND("x"&amp;MID(B359,9,1),"x0x1x2x3x4x5x6x7x8x9"))),OR(10&gt;LEN(B359),MID(B359,10,1)=".",ISNUMBER(FIND("x"&amp;MID(B359,10,1),"x0x1x2x3x4x5x6x7x8x9"))),OR(AND(FIND(".",B359)=5,LEN(B359)-FIND(".",B359,FIND(".",B359)+1)&gt;=1,LEN(B359)-FIND(".",B359,FIND(".",B359)+1)&lt;=2),AND(LEN(B359)-FIND(".",B359,FIND(".",B359)+1)=4,FIND(".",B359)&gt;=2,FIND(".",B359)&lt;=3)),FIND(".",B359,FIND(".",B359)+1)-FIND(".",B359)&gt;=2,FIND(".",B359,FIND(".",B359)+1)-FIND(".",B359)&lt;=3,F359&gt;=2000,F359&lt;=2100,YEAR(I359)=F359,MONTH(I359)=G359,DAY(I359)=H359),I359,0)),0)</ns0:f>
        <ns0:v>0</ns0:v>
      </ns0:c>
      <ns0:c r="K359" s="0">
        <ns0:f>IFERROR(IF(ISNUMBER(Bookings!D359),"",TRIM(Bookings!D359&amp;"")),"")</ns0:f>
      </ns0:c>
      <ns0:c r="L359" s="0">
        <ns0:f>IFERROR(SUBSTITUTE(SUBSTITUTE(K359,"/","."),"-","."),"")</ns0:f>
      </ns0:c>
      <ns0:c r="M359" s="0">
        <ns0:f>IFERROR(LEFT(L359,FIND(".",L359)-1),"")</ns0:f>
      </ns0:c>
      <ns0:c r="N359" s="0">
        <ns0:f>IFERROR(MID(L359,FIND(".",L359)+1,FIND(".",L359,FIND(".",L359)+1)-FIND(".",L359)-1),"")</ns0:f>
      </ns0:c>
      <ns0:c r="O359" s="0">
        <ns0:f>IFERROR(MID(L359,FIND(".",L359,FIND(".",L359)+1)+1,99),"")</ns0:f>
        <ns0:v>99</ns0:v>
      </ns0:c>
      <ns0:c r="P359" s="0">
        <ns0:f>IFERROR(IF(FIND(".",L359)=5,--M359,--O359),0)</ns0:f>
        <ns0:v>0</ns0:v>
      </ns0:c>
      <ns0:c r="Q359" s="0">
        <ns0:f>IFERROR(--N359,0)</ns0:f>
        <ns0:v>0</ns0:v>
      </ns0:c>
      <ns0:c r="R359" s="0">
        <ns0:f>IFERROR(IF(FIND(".",L359)=5,--O359,--M359),0)</ns0:f>
        <ns0:v>0</ns0:v>
      </ns0:c>
      <ns0:c r="S359" s="0">
        <ns0:f>IFERROR(IF(AND(P359&gt;=2000,P359&lt;=2100,Q359&gt;=1,Q359&lt;=12,R359&gt;=1,R359&lt;=31),DATE(P359,Q359,R359),0),0)</ns0:f>
        <ns0:v>0</ns0:v>
      </ns0:c>
      <ns0:c r="T359" s="0">
        <ns0:f>IFERROR(IF(ISNUMBER(Bookings!D359),IF(AND(Bookings!D359=INT(Bookings!D359),Bookings!D359&gt;=DATE(2000,1,1),Bookings!D359&lt;=DATE(2100,12,31)),Bookings!D359,0),IF(AND(K359&lt;&gt;"",LEN("x"&amp;L359)-LEN(SUBSTITUTE("x"&amp;L359,".",""))=2,OR(1&gt;LEN(L359),MID(L359,1,1)=".",ISNUMBER(FIND("x"&amp;MID(L359,1,1),"x0x1x2x3x4x5x6x7x8x9"))),OR(2&gt;LEN(L359),MID(L359,2,1)=".",ISNUMBER(FIND("x"&amp;MID(L359,2,1),"x0x1x2x3x4x5x6x7x8x9"))),OR(3&gt;LEN(L359),MID(L359,3,1)=".",ISNUMBER(FIND("x"&amp;MID(L359,3,1),"x0x1x2x3x4x5x6x7x8x9"))),OR(4&gt;LEN(L359),MID(L359,4,1)=".",ISNUMBER(FIND("x"&amp;MID(L359,4,1),"x0x1x2x3x4x5x6x7x8x9"))),OR(5&gt;LEN(L359),MID(L359,5,1)=".",ISNUMBER(FIND("x"&amp;MID(L359,5,1),"x0x1x2x3x4x5x6x7x8x9"))),OR(6&gt;LEN(L359),MID(L359,6,1)=".",ISNUMBER(FIND("x"&amp;MID(L359,6,1),"x0x1x2x3x4x5x6x7x8x9"))),OR(7&gt;LEN(L359),MID(L359,7,1)=".",ISNUMBER(FIND("x"&amp;MID(L359,7,1),"x0x1x2x3x4x5x6x7x8x9"))),OR(8&gt;LEN(L359),MID(L359,8,1)=".",ISNUMBER(FIND("x"&amp;MID(L359,8,1),"x0x1x2x3x4x5x6x7x8x9"))),OR(9&gt;LEN(L359),MID(L359,9,1)=".",ISNUMBER(FIND("x"&amp;MID(L359,9,1),"x0x1x2x3x4x5x6x7x8x9"))),OR(10&gt;LEN(L359),MID(L359,10,1)=".",ISNUMBER(FIND("x"&amp;MID(L359,10,1),"x0x1x2x3x4x5x6x7x8x9"))),OR(AND(FIND(".",L359)=5,LEN(L359)-FIND(".",L359,FIND(".",L359)+1)&gt;=1,LEN(L359)-FIND(".",L359,FIND(".",L359)+1)&lt;=2),AND(LEN(L359)-FIND(".",L359,FIND(".",L359)+1)=4,FIND(".",L359)&gt;=2,FIND(".",L359)&lt;=3)),FIND(".",L359,FIND(".",L359)+1)-FIND(".",L359)&gt;=2,FIND(".",L359,FIND(".",L359)+1)-FIND(".",L359)&lt;=3,P359&gt;=2000,P359&lt;=2100,YEAR(S359)=P359,MONTH(S359)=Q359,DAY(S359)=R359),S359,0)),0)</ns0:f>
        <ns0:v>0</ns0:v>
      </ns0:c>
      <ns0:c r="U359" s="0" t="str">
        <ns0:f>IF(Bookings!C359="","Full day",Bookings!C359)</ns0:f>
        <ns0:v>Full day</ns0:v>
      </ns0:c>
      <ns0:c r="V359" s="0" t="str">
        <ns0:f>IF(Bookings!E359="","Full day",Bookings!E359)</ns0:f>
        <ns0:v>Full day</ns0:v>
      </ns0:c>
      <ns0:c r="W359" s="0">
        <ns0:f>IF(J359=0,0,J359+IF(U359="PM",1,0))</ns0:f>
        <ns0:v>0</ns0:v>
      </ns0:c>
      <ns0:c r="X359" s="0">
        <ns0:f>IF(T359=0,0,T359-IF(V359="PM",1,0))</ns0:f>
        <ns0:v>0</ns0:v>
      </ns0:c>
      <ns0:c r="Y359" s="0">
        <ns0:f>IF(J359=0,0,J359+IF(U359="AM",1,0))</ns0:f>
        <ns0:v>0</ns0:v>
      </ns0:c>
      <ns0:c r="Z359" s="0">
        <ns0:f>IF(T359=0,0,T359-IF(V359="AM",1,0))</ns0:f>
        <ns0:v>0</ns0:v>
      </ns0:c>
      <ns0:c r="AA359" s="0">
        <ns0:f>IFERROR(IF(AND(J359&gt;0,'_Engine'!C359&gt;0,MID('_Engine'!W359,WEEKDAY(J359,2),1)="W",COUNTIF(Settings!$F$18:$F$67,J359)=0),1,0),0)</ns0:f>
        <ns0:v>0</ns0:v>
      </ns0:c>
      <ns0:c r="AB359" s="0">
        <ns0:f>IFERROR(IF(AND(T359&gt;0,'_Engine'!C359&gt;0,MID('_Engine'!W359,WEEKDAY(T359,2),1)="W",COUNTIF(Settings!$F$18:$F$67,T359)=0),1,0),0)</ns0:f>
        <ns0:v>0</ns0:v>
      </ns0:c>
      <ns0:c r="AC359" s="0">
        <ns0:f>IF(AND(J359&gt;0,T359&gt;0,W359&lt;=X359),1,0)</ns0:f>
        <ns0:v>0</ns0:v>
      </ns0:c>
      <ns0:c r="AD359" s="0">
        <ns0:f>IF(AND(J359&gt;0,T359&gt;0,Y359&lt;=Z359),1,0)</ns0:f>
        <ns0:v>0</ns0:v>
      </ns0:c>
    </ns0:row>
    <ns0:row r="360">
      <ns0:c r="A360" s="0">
        <ns0:f>IFERROR(IF(ISNUMBER(Bookings!B360),"",TRIM(Bookings!B360&amp;"")),"")</ns0:f>
      </ns0:c>
      <ns0:c r="B360" s="0">
        <ns0:f>IFERROR(SUBSTITUTE(SUBSTITUTE(A360,"/","."),"-","."),"")</ns0:f>
      </ns0:c>
      <ns0:c r="C360" s="0">
        <ns0:f>IFERROR(LEFT(B360,FIND(".",B360)-1),"")</ns0:f>
      </ns0:c>
      <ns0:c r="D360" s="0">
        <ns0:f>IFERROR(MID(B360,FIND(".",B360)+1,FIND(".",B360,FIND(".",B360)+1)-FIND(".",B360)-1),"")</ns0:f>
      </ns0:c>
      <ns0:c r="E360" s="0">
        <ns0:f>IFERROR(MID(B360,FIND(".",B360,FIND(".",B360)+1)+1,99),"")</ns0:f>
        <ns0:v>99</ns0:v>
      </ns0:c>
      <ns0:c r="F360" s="0">
        <ns0:f>IFERROR(IF(FIND(".",B360)=5,--C360,--E360),0)</ns0:f>
        <ns0:v>0</ns0:v>
      </ns0:c>
      <ns0:c r="G360" s="0">
        <ns0:f>IFERROR(--D360,0)</ns0:f>
        <ns0:v>0</ns0:v>
      </ns0:c>
      <ns0:c r="H360" s="0">
        <ns0:f>IFERROR(IF(FIND(".",B360)=5,--E360,--C360),0)</ns0:f>
        <ns0:v>0</ns0:v>
      </ns0:c>
      <ns0:c r="I360" s="0">
        <ns0:f>IFERROR(IF(AND(F360&gt;=2000,F360&lt;=2100,G360&gt;=1,G360&lt;=12,H360&gt;=1,H360&lt;=31),DATE(F360,G360,H360),0),0)</ns0:f>
        <ns0:v>0</ns0:v>
      </ns0:c>
      <ns0:c r="J360" s="0">
        <ns0:f>IFERROR(IF(ISNUMBER(Bookings!B360),IF(AND(Bookings!B360=INT(Bookings!B360),Bookings!B360&gt;=DATE(2000,1,1),Bookings!B360&lt;=DATE(2100,12,31)),Bookings!B360,0),IF(AND(A360&lt;&gt;"",LEN("x"&amp;B360)-LEN(SUBSTITUTE("x"&amp;B360,".",""))=2,OR(1&gt;LEN(B360),MID(B360,1,1)=".",ISNUMBER(FIND("x"&amp;MID(B360,1,1),"x0x1x2x3x4x5x6x7x8x9"))),OR(2&gt;LEN(B360),MID(B360,2,1)=".",ISNUMBER(FIND("x"&amp;MID(B360,2,1),"x0x1x2x3x4x5x6x7x8x9"))),OR(3&gt;LEN(B360),MID(B360,3,1)=".",ISNUMBER(FIND("x"&amp;MID(B360,3,1),"x0x1x2x3x4x5x6x7x8x9"))),OR(4&gt;LEN(B360),MID(B360,4,1)=".",ISNUMBER(FIND("x"&amp;MID(B360,4,1),"x0x1x2x3x4x5x6x7x8x9"))),OR(5&gt;LEN(B360),MID(B360,5,1)=".",ISNUMBER(FIND("x"&amp;MID(B360,5,1),"x0x1x2x3x4x5x6x7x8x9"))),OR(6&gt;LEN(B360),MID(B360,6,1)=".",ISNUMBER(FIND("x"&amp;MID(B360,6,1),"x0x1x2x3x4x5x6x7x8x9"))),OR(7&gt;LEN(B360),MID(B360,7,1)=".",ISNUMBER(FIND("x"&amp;MID(B360,7,1),"x0x1x2x3x4x5x6x7x8x9"))),OR(8&gt;LEN(B360),MID(B360,8,1)=".",ISNUMBER(FIND("x"&amp;MID(B360,8,1),"x0x1x2x3x4x5x6x7x8x9"))),OR(9&gt;LEN(B360),MID(B360,9,1)=".",ISNUMBER(FIND("x"&amp;MID(B360,9,1),"x0x1x2x3x4x5x6x7x8x9"))),OR(10&gt;LEN(B360),MID(B360,10,1)=".",ISNUMBER(FIND("x"&amp;MID(B360,10,1),"x0x1x2x3x4x5x6x7x8x9"))),OR(AND(FIND(".",B360)=5,LEN(B360)-FIND(".",B360,FIND(".",B360)+1)&gt;=1,LEN(B360)-FIND(".",B360,FIND(".",B360)+1)&lt;=2),AND(LEN(B360)-FIND(".",B360,FIND(".",B360)+1)=4,FIND(".",B360)&gt;=2,FIND(".",B360)&lt;=3)),FIND(".",B360,FIND(".",B360)+1)-FIND(".",B360)&gt;=2,FIND(".",B360,FIND(".",B360)+1)-FIND(".",B360)&lt;=3,F360&gt;=2000,F360&lt;=2100,YEAR(I360)=F360,MONTH(I360)=G360,DAY(I360)=H360),I360,0)),0)</ns0:f>
        <ns0:v>0</ns0:v>
      </ns0:c>
      <ns0:c r="K360" s="0">
        <ns0:f>IFERROR(IF(ISNUMBER(Bookings!D360),"",TRIM(Bookings!D360&amp;"")),"")</ns0:f>
      </ns0:c>
      <ns0:c r="L360" s="0">
        <ns0:f>IFERROR(SUBSTITUTE(SUBSTITUTE(K360,"/","."),"-","."),"")</ns0:f>
      </ns0:c>
      <ns0:c r="M360" s="0">
        <ns0:f>IFERROR(LEFT(L360,FIND(".",L360)-1),"")</ns0:f>
      </ns0:c>
      <ns0:c r="N360" s="0">
        <ns0:f>IFERROR(MID(L360,FIND(".",L360)+1,FIND(".",L360,FIND(".",L360)+1)-FIND(".",L360)-1),"")</ns0:f>
      </ns0:c>
      <ns0:c r="O360" s="0">
        <ns0:f>IFERROR(MID(L360,FIND(".",L360,FIND(".",L360)+1)+1,99),"")</ns0:f>
        <ns0:v>99</ns0:v>
      </ns0:c>
      <ns0:c r="P360" s="0">
        <ns0:f>IFERROR(IF(FIND(".",L360)=5,--M360,--O360),0)</ns0:f>
        <ns0:v>0</ns0:v>
      </ns0:c>
      <ns0:c r="Q360" s="0">
        <ns0:f>IFERROR(--N360,0)</ns0:f>
        <ns0:v>0</ns0:v>
      </ns0:c>
      <ns0:c r="R360" s="0">
        <ns0:f>IFERROR(IF(FIND(".",L360)=5,--O360,--M360),0)</ns0:f>
        <ns0:v>0</ns0:v>
      </ns0:c>
      <ns0:c r="S360" s="0">
        <ns0:f>IFERROR(IF(AND(P360&gt;=2000,P360&lt;=2100,Q360&gt;=1,Q360&lt;=12,R360&gt;=1,R360&lt;=31),DATE(P360,Q360,R360),0),0)</ns0:f>
        <ns0:v>0</ns0:v>
      </ns0:c>
      <ns0:c r="T360" s="0">
        <ns0:f>IFERROR(IF(ISNUMBER(Bookings!D360),IF(AND(Bookings!D360=INT(Bookings!D360),Bookings!D360&gt;=DATE(2000,1,1),Bookings!D360&lt;=DATE(2100,12,31)),Bookings!D360,0),IF(AND(K360&lt;&gt;"",LEN("x"&amp;L360)-LEN(SUBSTITUTE("x"&amp;L360,".",""))=2,OR(1&gt;LEN(L360),MID(L360,1,1)=".",ISNUMBER(FIND("x"&amp;MID(L360,1,1),"x0x1x2x3x4x5x6x7x8x9"))),OR(2&gt;LEN(L360),MID(L360,2,1)=".",ISNUMBER(FIND("x"&amp;MID(L360,2,1),"x0x1x2x3x4x5x6x7x8x9"))),OR(3&gt;LEN(L360),MID(L360,3,1)=".",ISNUMBER(FIND("x"&amp;MID(L360,3,1),"x0x1x2x3x4x5x6x7x8x9"))),OR(4&gt;LEN(L360),MID(L360,4,1)=".",ISNUMBER(FIND("x"&amp;MID(L360,4,1),"x0x1x2x3x4x5x6x7x8x9"))),OR(5&gt;LEN(L360),MID(L360,5,1)=".",ISNUMBER(FIND("x"&amp;MID(L360,5,1),"x0x1x2x3x4x5x6x7x8x9"))),OR(6&gt;LEN(L360),MID(L360,6,1)=".",ISNUMBER(FIND("x"&amp;MID(L360,6,1),"x0x1x2x3x4x5x6x7x8x9"))),OR(7&gt;LEN(L360),MID(L360,7,1)=".",ISNUMBER(FIND("x"&amp;MID(L360,7,1),"x0x1x2x3x4x5x6x7x8x9"))),OR(8&gt;LEN(L360),MID(L360,8,1)=".",ISNUMBER(FIND("x"&amp;MID(L360,8,1),"x0x1x2x3x4x5x6x7x8x9"))),OR(9&gt;LEN(L360),MID(L360,9,1)=".",ISNUMBER(FIND("x"&amp;MID(L360,9,1),"x0x1x2x3x4x5x6x7x8x9"))),OR(10&gt;LEN(L360),MID(L360,10,1)=".",ISNUMBER(FIND("x"&amp;MID(L360,10,1),"x0x1x2x3x4x5x6x7x8x9"))),OR(AND(FIND(".",L360)=5,LEN(L360)-FIND(".",L360,FIND(".",L360)+1)&gt;=1,LEN(L360)-FIND(".",L360,FIND(".",L360)+1)&lt;=2),AND(LEN(L360)-FIND(".",L360,FIND(".",L360)+1)=4,FIND(".",L360)&gt;=2,FIND(".",L360)&lt;=3)),FIND(".",L360,FIND(".",L360)+1)-FIND(".",L360)&gt;=2,FIND(".",L360,FIND(".",L360)+1)-FIND(".",L360)&lt;=3,P360&gt;=2000,P360&lt;=2100,YEAR(S360)=P360,MONTH(S360)=Q360,DAY(S360)=R360),S360,0)),0)</ns0:f>
        <ns0:v>0</ns0:v>
      </ns0:c>
      <ns0:c r="U360" s="0" t="str">
        <ns0:f>IF(Bookings!C360="","Full day",Bookings!C360)</ns0:f>
        <ns0:v>Full day</ns0:v>
      </ns0:c>
      <ns0:c r="V360" s="0" t="str">
        <ns0:f>IF(Bookings!E360="","Full day",Bookings!E360)</ns0:f>
        <ns0:v>Full day</ns0:v>
      </ns0:c>
      <ns0:c r="W360" s="0">
        <ns0:f>IF(J360=0,0,J360+IF(U360="PM",1,0))</ns0:f>
        <ns0:v>0</ns0:v>
      </ns0:c>
      <ns0:c r="X360" s="0">
        <ns0:f>IF(T360=0,0,T360-IF(V360="PM",1,0))</ns0:f>
        <ns0:v>0</ns0:v>
      </ns0:c>
      <ns0:c r="Y360" s="0">
        <ns0:f>IF(J360=0,0,J360+IF(U360="AM",1,0))</ns0:f>
        <ns0:v>0</ns0:v>
      </ns0:c>
      <ns0:c r="Z360" s="0">
        <ns0:f>IF(T360=0,0,T360-IF(V360="AM",1,0))</ns0:f>
        <ns0:v>0</ns0:v>
      </ns0:c>
      <ns0:c r="AA360" s="0">
        <ns0:f>IFERROR(IF(AND(J360&gt;0,'_Engine'!C360&gt;0,MID('_Engine'!W360,WEEKDAY(J360,2),1)="W",COUNTIF(Settings!$F$18:$F$67,J360)=0),1,0),0)</ns0:f>
        <ns0:v>0</ns0:v>
      </ns0:c>
      <ns0:c r="AB360" s="0">
        <ns0:f>IFERROR(IF(AND(T360&gt;0,'_Engine'!C360&gt;0,MID('_Engine'!W360,WEEKDAY(T360,2),1)="W",COUNTIF(Settings!$F$18:$F$67,T360)=0),1,0),0)</ns0:f>
        <ns0:v>0</ns0:v>
      </ns0:c>
      <ns0:c r="AC360" s="0">
        <ns0:f>IF(AND(J360&gt;0,T360&gt;0,W360&lt;=X360),1,0)</ns0:f>
        <ns0:v>0</ns0:v>
      </ns0:c>
      <ns0:c r="AD360" s="0">
        <ns0:f>IF(AND(J360&gt;0,T360&gt;0,Y360&lt;=Z360),1,0)</ns0:f>
        <ns0:v>0</ns0:v>
      </ns0:c>
    </ns0:row>
    <ns0:row r="361">
      <ns0:c r="A361" s="0">
        <ns0:f>IFERROR(IF(ISNUMBER(Bookings!B361),"",TRIM(Bookings!B361&amp;"")),"")</ns0:f>
      </ns0:c>
      <ns0:c r="B361" s="0">
        <ns0:f>IFERROR(SUBSTITUTE(SUBSTITUTE(A361,"/","."),"-","."),"")</ns0:f>
      </ns0:c>
      <ns0:c r="C361" s="0">
        <ns0:f>IFERROR(LEFT(B361,FIND(".",B361)-1),"")</ns0:f>
      </ns0:c>
      <ns0:c r="D361" s="0">
        <ns0:f>IFERROR(MID(B361,FIND(".",B361)+1,FIND(".",B361,FIND(".",B361)+1)-FIND(".",B361)-1),"")</ns0:f>
      </ns0:c>
      <ns0:c r="E361" s="0">
        <ns0:f>IFERROR(MID(B361,FIND(".",B361,FIND(".",B361)+1)+1,99),"")</ns0:f>
        <ns0:v>99</ns0:v>
      </ns0:c>
      <ns0:c r="F361" s="0">
        <ns0:f>IFERROR(IF(FIND(".",B361)=5,--C361,--E361),0)</ns0:f>
        <ns0:v>0</ns0:v>
      </ns0:c>
      <ns0:c r="G361" s="0">
        <ns0:f>IFERROR(--D361,0)</ns0:f>
        <ns0:v>0</ns0:v>
      </ns0:c>
      <ns0:c r="H361" s="0">
        <ns0:f>IFERROR(IF(FIND(".",B361)=5,--E361,--C361),0)</ns0:f>
        <ns0:v>0</ns0:v>
      </ns0:c>
      <ns0:c r="I361" s="0">
        <ns0:f>IFERROR(IF(AND(F361&gt;=2000,F361&lt;=2100,G361&gt;=1,G361&lt;=12,H361&gt;=1,H361&lt;=31),DATE(F361,G361,H361),0),0)</ns0:f>
        <ns0:v>0</ns0:v>
      </ns0:c>
      <ns0:c r="J361" s="0">
        <ns0:f>IFERROR(IF(ISNUMBER(Bookings!B361),IF(AND(Bookings!B361=INT(Bookings!B361),Bookings!B361&gt;=DATE(2000,1,1),Bookings!B361&lt;=DATE(2100,12,31)),Bookings!B361,0),IF(AND(A361&lt;&gt;"",LEN("x"&amp;B361)-LEN(SUBSTITUTE("x"&amp;B361,".",""))=2,OR(1&gt;LEN(B361),MID(B361,1,1)=".",ISNUMBER(FIND("x"&amp;MID(B361,1,1),"x0x1x2x3x4x5x6x7x8x9"))),OR(2&gt;LEN(B361),MID(B361,2,1)=".",ISNUMBER(FIND("x"&amp;MID(B361,2,1),"x0x1x2x3x4x5x6x7x8x9"))),OR(3&gt;LEN(B361),MID(B361,3,1)=".",ISNUMBER(FIND("x"&amp;MID(B361,3,1),"x0x1x2x3x4x5x6x7x8x9"))),OR(4&gt;LEN(B361),MID(B361,4,1)=".",ISNUMBER(FIND("x"&amp;MID(B361,4,1),"x0x1x2x3x4x5x6x7x8x9"))),OR(5&gt;LEN(B361),MID(B361,5,1)=".",ISNUMBER(FIND("x"&amp;MID(B361,5,1),"x0x1x2x3x4x5x6x7x8x9"))),OR(6&gt;LEN(B361),MID(B361,6,1)=".",ISNUMBER(FIND("x"&amp;MID(B361,6,1),"x0x1x2x3x4x5x6x7x8x9"))),OR(7&gt;LEN(B361),MID(B361,7,1)=".",ISNUMBER(FIND("x"&amp;MID(B361,7,1),"x0x1x2x3x4x5x6x7x8x9"))),OR(8&gt;LEN(B361),MID(B361,8,1)=".",ISNUMBER(FIND("x"&amp;MID(B361,8,1),"x0x1x2x3x4x5x6x7x8x9"))),OR(9&gt;LEN(B361),MID(B361,9,1)=".",ISNUMBER(FIND("x"&amp;MID(B361,9,1),"x0x1x2x3x4x5x6x7x8x9"))),OR(10&gt;LEN(B361),MID(B361,10,1)=".",ISNUMBER(FIND("x"&amp;MID(B361,10,1),"x0x1x2x3x4x5x6x7x8x9"))),OR(AND(FIND(".",B361)=5,LEN(B361)-FIND(".",B361,FIND(".",B361)+1)&gt;=1,LEN(B361)-FIND(".",B361,FIND(".",B361)+1)&lt;=2),AND(LEN(B361)-FIND(".",B361,FIND(".",B361)+1)=4,FIND(".",B361)&gt;=2,FIND(".",B361)&lt;=3)),FIND(".",B361,FIND(".",B361)+1)-FIND(".",B361)&gt;=2,FIND(".",B361,FIND(".",B361)+1)-FIND(".",B361)&lt;=3,F361&gt;=2000,F361&lt;=2100,YEAR(I361)=F361,MONTH(I361)=G361,DAY(I361)=H361),I361,0)),0)</ns0:f>
        <ns0:v>0</ns0:v>
      </ns0:c>
      <ns0:c r="K361" s="0">
        <ns0:f>IFERROR(IF(ISNUMBER(Bookings!D361),"",TRIM(Bookings!D361&amp;"")),"")</ns0:f>
      </ns0:c>
      <ns0:c r="L361" s="0">
        <ns0:f>IFERROR(SUBSTITUTE(SUBSTITUTE(K361,"/","."),"-","."),"")</ns0:f>
      </ns0:c>
      <ns0:c r="M361" s="0">
        <ns0:f>IFERROR(LEFT(L361,FIND(".",L361)-1),"")</ns0:f>
      </ns0:c>
      <ns0:c r="N361" s="0">
        <ns0:f>IFERROR(MID(L361,FIND(".",L361)+1,FIND(".",L361,FIND(".",L361)+1)-FIND(".",L361)-1),"")</ns0:f>
      </ns0:c>
      <ns0:c r="O361" s="0">
        <ns0:f>IFERROR(MID(L361,FIND(".",L361,FIND(".",L361)+1)+1,99),"")</ns0:f>
        <ns0:v>99</ns0:v>
      </ns0:c>
      <ns0:c r="P361" s="0">
        <ns0:f>IFERROR(IF(FIND(".",L361)=5,--M361,--O361),0)</ns0:f>
        <ns0:v>0</ns0:v>
      </ns0:c>
      <ns0:c r="Q361" s="0">
        <ns0:f>IFERROR(--N361,0)</ns0:f>
        <ns0:v>0</ns0:v>
      </ns0:c>
      <ns0:c r="R361" s="0">
        <ns0:f>IFERROR(IF(FIND(".",L361)=5,--O361,--M361),0)</ns0:f>
        <ns0:v>0</ns0:v>
      </ns0:c>
      <ns0:c r="S361" s="0">
        <ns0:f>IFERROR(IF(AND(P361&gt;=2000,P361&lt;=2100,Q361&gt;=1,Q361&lt;=12,R361&gt;=1,R361&lt;=31),DATE(P361,Q361,R361),0),0)</ns0:f>
        <ns0:v>0</ns0:v>
      </ns0:c>
      <ns0:c r="T361" s="0">
        <ns0:f>IFERROR(IF(ISNUMBER(Bookings!D361),IF(AND(Bookings!D361=INT(Bookings!D361),Bookings!D361&gt;=DATE(2000,1,1),Bookings!D361&lt;=DATE(2100,12,31)),Bookings!D361,0),IF(AND(K361&lt;&gt;"",LEN("x"&amp;L361)-LEN(SUBSTITUTE("x"&amp;L361,".",""))=2,OR(1&gt;LEN(L361),MID(L361,1,1)=".",ISNUMBER(FIND("x"&amp;MID(L361,1,1),"x0x1x2x3x4x5x6x7x8x9"))),OR(2&gt;LEN(L361),MID(L361,2,1)=".",ISNUMBER(FIND("x"&amp;MID(L361,2,1),"x0x1x2x3x4x5x6x7x8x9"))),OR(3&gt;LEN(L361),MID(L361,3,1)=".",ISNUMBER(FIND("x"&amp;MID(L361,3,1),"x0x1x2x3x4x5x6x7x8x9"))),OR(4&gt;LEN(L361),MID(L361,4,1)=".",ISNUMBER(FIND("x"&amp;MID(L361,4,1),"x0x1x2x3x4x5x6x7x8x9"))),OR(5&gt;LEN(L361),MID(L361,5,1)=".",ISNUMBER(FIND("x"&amp;MID(L361,5,1),"x0x1x2x3x4x5x6x7x8x9"))),OR(6&gt;LEN(L361),MID(L361,6,1)=".",ISNUMBER(FIND("x"&amp;MID(L361,6,1),"x0x1x2x3x4x5x6x7x8x9"))),OR(7&gt;LEN(L361),MID(L361,7,1)=".",ISNUMBER(FIND("x"&amp;MID(L361,7,1),"x0x1x2x3x4x5x6x7x8x9"))),OR(8&gt;LEN(L361),MID(L361,8,1)=".",ISNUMBER(FIND("x"&amp;MID(L361,8,1),"x0x1x2x3x4x5x6x7x8x9"))),OR(9&gt;LEN(L361),MID(L361,9,1)=".",ISNUMBER(FIND("x"&amp;MID(L361,9,1),"x0x1x2x3x4x5x6x7x8x9"))),OR(10&gt;LEN(L361),MID(L361,10,1)=".",ISNUMBER(FIND("x"&amp;MID(L361,10,1),"x0x1x2x3x4x5x6x7x8x9"))),OR(AND(FIND(".",L361)=5,LEN(L361)-FIND(".",L361,FIND(".",L361)+1)&gt;=1,LEN(L361)-FIND(".",L361,FIND(".",L361)+1)&lt;=2),AND(LEN(L361)-FIND(".",L361,FIND(".",L361)+1)=4,FIND(".",L361)&gt;=2,FIND(".",L361)&lt;=3)),FIND(".",L361,FIND(".",L361)+1)-FIND(".",L361)&gt;=2,FIND(".",L361,FIND(".",L361)+1)-FIND(".",L361)&lt;=3,P361&gt;=2000,P361&lt;=2100,YEAR(S361)=P361,MONTH(S361)=Q361,DAY(S361)=R361),S361,0)),0)</ns0:f>
        <ns0:v>0</ns0:v>
      </ns0:c>
      <ns0:c r="U361" s="0" t="str">
        <ns0:f>IF(Bookings!C361="","Full day",Bookings!C361)</ns0:f>
        <ns0:v>Full day</ns0:v>
      </ns0:c>
      <ns0:c r="V361" s="0" t="str">
        <ns0:f>IF(Bookings!E361="","Full day",Bookings!E361)</ns0:f>
        <ns0:v>Full day</ns0:v>
      </ns0:c>
      <ns0:c r="W361" s="0">
        <ns0:f>IF(J361=0,0,J361+IF(U361="PM",1,0))</ns0:f>
        <ns0:v>0</ns0:v>
      </ns0:c>
      <ns0:c r="X361" s="0">
        <ns0:f>IF(T361=0,0,T361-IF(V361="PM",1,0))</ns0:f>
        <ns0:v>0</ns0:v>
      </ns0:c>
      <ns0:c r="Y361" s="0">
        <ns0:f>IF(J361=0,0,J361+IF(U361="AM",1,0))</ns0:f>
        <ns0:v>0</ns0:v>
      </ns0:c>
      <ns0:c r="Z361" s="0">
        <ns0:f>IF(T361=0,0,T361-IF(V361="AM",1,0))</ns0:f>
        <ns0:v>0</ns0:v>
      </ns0:c>
      <ns0:c r="AA361" s="0">
        <ns0:f>IFERROR(IF(AND(J361&gt;0,'_Engine'!C361&gt;0,MID('_Engine'!W361,WEEKDAY(J361,2),1)="W",COUNTIF(Settings!$F$18:$F$67,J361)=0),1,0),0)</ns0:f>
        <ns0:v>0</ns0:v>
      </ns0:c>
      <ns0:c r="AB361" s="0">
        <ns0:f>IFERROR(IF(AND(T361&gt;0,'_Engine'!C361&gt;0,MID('_Engine'!W361,WEEKDAY(T361,2),1)="W",COUNTIF(Settings!$F$18:$F$67,T361)=0),1,0),0)</ns0:f>
        <ns0:v>0</ns0:v>
      </ns0:c>
      <ns0:c r="AC361" s="0">
        <ns0:f>IF(AND(J361&gt;0,T361&gt;0,W361&lt;=X361),1,0)</ns0:f>
        <ns0:v>0</ns0:v>
      </ns0:c>
      <ns0:c r="AD361" s="0">
        <ns0:f>IF(AND(J361&gt;0,T361&gt;0,Y361&lt;=Z361),1,0)</ns0:f>
        <ns0:v>0</ns0:v>
      </ns0:c>
    </ns0:row>
    <ns0:row r="362">
      <ns0:c r="A362" s="0">
        <ns0:f>IFERROR(IF(ISNUMBER(Bookings!B362),"",TRIM(Bookings!B362&amp;"")),"")</ns0:f>
      </ns0:c>
      <ns0:c r="B362" s="0">
        <ns0:f>IFERROR(SUBSTITUTE(SUBSTITUTE(A362,"/","."),"-","."),"")</ns0:f>
      </ns0:c>
      <ns0:c r="C362" s="0">
        <ns0:f>IFERROR(LEFT(B362,FIND(".",B362)-1),"")</ns0:f>
      </ns0:c>
      <ns0:c r="D362" s="0">
        <ns0:f>IFERROR(MID(B362,FIND(".",B362)+1,FIND(".",B362,FIND(".",B362)+1)-FIND(".",B362)-1),"")</ns0:f>
      </ns0:c>
      <ns0:c r="E362" s="0">
        <ns0:f>IFERROR(MID(B362,FIND(".",B362,FIND(".",B362)+1)+1,99),"")</ns0:f>
        <ns0:v>99</ns0:v>
      </ns0:c>
      <ns0:c r="F362" s="0">
        <ns0:f>IFERROR(IF(FIND(".",B362)=5,--C362,--E362),0)</ns0:f>
        <ns0:v>0</ns0:v>
      </ns0:c>
      <ns0:c r="G362" s="0">
        <ns0:f>IFERROR(--D362,0)</ns0:f>
        <ns0:v>0</ns0:v>
      </ns0:c>
      <ns0:c r="H362" s="0">
        <ns0:f>IFERROR(IF(FIND(".",B362)=5,--E362,--C362),0)</ns0:f>
        <ns0:v>0</ns0:v>
      </ns0:c>
      <ns0:c r="I362" s="0">
        <ns0:f>IFERROR(IF(AND(F362&gt;=2000,F362&lt;=2100,G362&gt;=1,G362&lt;=12,H362&gt;=1,H362&lt;=31),DATE(F362,G362,H362),0),0)</ns0:f>
        <ns0:v>0</ns0:v>
      </ns0:c>
      <ns0:c r="J362" s="0">
        <ns0:f>IFERROR(IF(ISNUMBER(Bookings!B362),IF(AND(Bookings!B362=INT(Bookings!B362),Bookings!B362&gt;=DATE(2000,1,1),Bookings!B362&lt;=DATE(2100,12,31)),Bookings!B362,0),IF(AND(A362&lt;&gt;"",LEN("x"&amp;B362)-LEN(SUBSTITUTE("x"&amp;B362,".",""))=2,OR(1&gt;LEN(B362),MID(B362,1,1)=".",ISNUMBER(FIND("x"&amp;MID(B362,1,1),"x0x1x2x3x4x5x6x7x8x9"))),OR(2&gt;LEN(B362),MID(B362,2,1)=".",ISNUMBER(FIND("x"&amp;MID(B362,2,1),"x0x1x2x3x4x5x6x7x8x9"))),OR(3&gt;LEN(B362),MID(B362,3,1)=".",ISNUMBER(FIND("x"&amp;MID(B362,3,1),"x0x1x2x3x4x5x6x7x8x9"))),OR(4&gt;LEN(B362),MID(B362,4,1)=".",ISNUMBER(FIND("x"&amp;MID(B362,4,1),"x0x1x2x3x4x5x6x7x8x9"))),OR(5&gt;LEN(B362),MID(B362,5,1)=".",ISNUMBER(FIND("x"&amp;MID(B362,5,1),"x0x1x2x3x4x5x6x7x8x9"))),OR(6&gt;LEN(B362),MID(B362,6,1)=".",ISNUMBER(FIND("x"&amp;MID(B362,6,1),"x0x1x2x3x4x5x6x7x8x9"))),OR(7&gt;LEN(B362),MID(B362,7,1)=".",ISNUMBER(FIND("x"&amp;MID(B362,7,1),"x0x1x2x3x4x5x6x7x8x9"))),OR(8&gt;LEN(B362),MID(B362,8,1)=".",ISNUMBER(FIND("x"&amp;MID(B362,8,1),"x0x1x2x3x4x5x6x7x8x9"))),OR(9&gt;LEN(B362),MID(B362,9,1)=".",ISNUMBER(FIND("x"&amp;MID(B362,9,1),"x0x1x2x3x4x5x6x7x8x9"))),OR(10&gt;LEN(B362),MID(B362,10,1)=".",ISNUMBER(FIND("x"&amp;MID(B362,10,1),"x0x1x2x3x4x5x6x7x8x9"))),OR(AND(FIND(".",B362)=5,LEN(B362)-FIND(".",B362,FIND(".",B362)+1)&gt;=1,LEN(B362)-FIND(".",B362,FIND(".",B362)+1)&lt;=2),AND(LEN(B362)-FIND(".",B362,FIND(".",B362)+1)=4,FIND(".",B362)&gt;=2,FIND(".",B362)&lt;=3)),FIND(".",B362,FIND(".",B362)+1)-FIND(".",B362)&gt;=2,FIND(".",B362,FIND(".",B362)+1)-FIND(".",B362)&lt;=3,F362&gt;=2000,F362&lt;=2100,YEAR(I362)=F362,MONTH(I362)=G362,DAY(I362)=H362),I362,0)),0)</ns0:f>
        <ns0:v>0</ns0:v>
      </ns0:c>
      <ns0:c r="K362" s="0">
        <ns0:f>IFERROR(IF(ISNUMBER(Bookings!D362),"",TRIM(Bookings!D362&amp;"")),"")</ns0:f>
      </ns0:c>
      <ns0:c r="L362" s="0">
        <ns0:f>IFERROR(SUBSTITUTE(SUBSTITUTE(K362,"/","."),"-","."),"")</ns0:f>
      </ns0:c>
      <ns0:c r="M362" s="0">
        <ns0:f>IFERROR(LEFT(L362,FIND(".",L362)-1),"")</ns0:f>
      </ns0:c>
      <ns0:c r="N362" s="0">
        <ns0:f>IFERROR(MID(L362,FIND(".",L362)+1,FIND(".",L362,FIND(".",L362)+1)-FIND(".",L362)-1),"")</ns0:f>
      </ns0:c>
      <ns0:c r="O362" s="0">
        <ns0:f>IFERROR(MID(L362,FIND(".",L362,FIND(".",L362)+1)+1,99),"")</ns0:f>
        <ns0:v>99</ns0:v>
      </ns0:c>
      <ns0:c r="P362" s="0">
        <ns0:f>IFERROR(IF(FIND(".",L362)=5,--M362,--O362),0)</ns0:f>
        <ns0:v>0</ns0:v>
      </ns0:c>
      <ns0:c r="Q362" s="0">
        <ns0:f>IFERROR(--N362,0)</ns0:f>
        <ns0:v>0</ns0:v>
      </ns0:c>
      <ns0:c r="R362" s="0">
        <ns0:f>IFERROR(IF(FIND(".",L362)=5,--O362,--M362),0)</ns0:f>
        <ns0:v>0</ns0:v>
      </ns0:c>
      <ns0:c r="S362" s="0">
        <ns0:f>IFERROR(IF(AND(P362&gt;=2000,P362&lt;=2100,Q362&gt;=1,Q362&lt;=12,R362&gt;=1,R362&lt;=31),DATE(P362,Q362,R362),0),0)</ns0:f>
        <ns0:v>0</ns0:v>
      </ns0:c>
      <ns0:c r="T362" s="0">
        <ns0:f>IFERROR(IF(ISNUMBER(Bookings!D362),IF(AND(Bookings!D362=INT(Bookings!D362),Bookings!D362&gt;=DATE(2000,1,1),Bookings!D362&lt;=DATE(2100,12,31)),Bookings!D362,0),IF(AND(K362&lt;&gt;"",LEN("x"&amp;L362)-LEN(SUBSTITUTE("x"&amp;L362,".",""))=2,OR(1&gt;LEN(L362),MID(L362,1,1)=".",ISNUMBER(FIND("x"&amp;MID(L362,1,1),"x0x1x2x3x4x5x6x7x8x9"))),OR(2&gt;LEN(L362),MID(L362,2,1)=".",ISNUMBER(FIND("x"&amp;MID(L362,2,1),"x0x1x2x3x4x5x6x7x8x9"))),OR(3&gt;LEN(L362),MID(L362,3,1)=".",ISNUMBER(FIND("x"&amp;MID(L362,3,1),"x0x1x2x3x4x5x6x7x8x9"))),OR(4&gt;LEN(L362),MID(L362,4,1)=".",ISNUMBER(FIND("x"&amp;MID(L362,4,1),"x0x1x2x3x4x5x6x7x8x9"))),OR(5&gt;LEN(L362),MID(L362,5,1)=".",ISNUMBER(FIND("x"&amp;MID(L362,5,1),"x0x1x2x3x4x5x6x7x8x9"))),OR(6&gt;LEN(L362),MID(L362,6,1)=".",ISNUMBER(FIND("x"&amp;MID(L362,6,1),"x0x1x2x3x4x5x6x7x8x9"))),OR(7&gt;LEN(L362),MID(L362,7,1)=".",ISNUMBER(FIND("x"&amp;MID(L362,7,1),"x0x1x2x3x4x5x6x7x8x9"))),OR(8&gt;LEN(L362),MID(L362,8,1)=".",ISNUMBER(FIND("x"&amp;MID(L362,8,1),"x0x1x2x3x4x5x6x7x8x9"))),OR(9&gt;LEN(L362),MID(L362,9,1)=".",ISNUMBER(FIND("x"&amp;MID(L362,9,1),"x0x1x2x3x4x5x6x7x8x9"))),OR(10&gt;LEN(L362),MID(L362,10,1)=".",ISNUMBER(FIND("x"&amp;MID(L362,10,1),"x0x1x2x3x4x5x6x7x8x9"))),OR(AND(FIND(".",L362)=5,LEN(L362)-FIND(".",L362,FIND(".",L362)+1)&gt;=1,LEN(L362)-FIND(".",L362,FIND(".",L362)+1)&lt;=2),AND(LEN(L362)-FIND(".",L362,FIND(".",L362)+1)=4,FIND(".",L362)&gt;=2,FIND(".",L362)&lt;=3)),FIND(".",L362,FIND(".",L362)+1)-FIND(".",L362)&gt;=2,FIND(".",L362,FIND(".",L362)+1)-FIND(".",L362)&lt;=3,P362&gt;=2000,P362&lt;=2100,YEAR(S362)=P362,MONTH(S362)=Q362,DAY(S362)=R362),S362,0)),0)</ns0:f>
        <ns0:v>0</ns0:v>
      </ns0:c>
      <ns0:c r="U362" s="0" t="str">
        <ns0:f>IF(Bookings!C362="","Full day",Bookings!C362)</ns0:f>
        <ns0:v>Full day</ns0:v>
      </ns0:c>
      <ns0:c r="V362" s="0" t="str">
        <ns0:f>IF(Bookings!E362="","Full day",Bookings!E362)</ns0:f>
        <ns0:v>Full day</ns0:v>
      </ns0:c>
      <ns0:c r="W362" s="0">
        <ns0:f>IF(J362=0,0,J362+IF(U362="PM",1,0))</ns0:f>
        <ns0:v>0</ns0:v>
      </ns0:c>
      <ns0:c r="X362" s="0">
        <ns0:f>IF(T362=0,0,T362-IF(V362="PM",1,0))</ns0:f>
        <ns0:v>0</ns0:v>
      </ns0:c>
      <ns0:c r="Y362" s="0">
        <ns0:f>IF(J362=0,0,J362+IF(U362="AM",1,0))</ns0:f>
        <ns0:v>0</ns0:v>
      </ns0:c>
      <ns0:c r="Z362" s="0">
        <ns0:f>IF(T362=0,0,T362-IF(V362="AM",1,0))</ns0:f>
        <ns0:v>0</ns0:v>
      </ns0:c>
      <ns0:c r="AA362" s="0">
        <ns0:f>IFERROR(IF(AND(J362&gt;0,'_Engine'!C362&gt;0,MID('_Engine'!W362,WEEKDAY(J362,2),1)="W",COUNTIF(Settings!$F$18:$F$67,J362)=0),1,0),0)</ns0:f>
        <ns0:v>0</ns0:v>
      </ns0:c>
      <ns0:c r="AB362" s="0">
        <ns0:f>IFERROR(IF(AND(T362&gt;0,'_Engine'!C362&gt;0,MID('_Engine'!W362,WEEKDAY(T362,2),1)="W",COUNTIF(Settings!$F$18:$F$67,T362)=0),1,0),0)</ns0:f>
        <ns0:v>0</ns0:v>
      </ns0:c>
      <ns0:c r="AC362" s="0">
        <ns0:f>IF(AND(J362&gt;0,T362&gt;0,W362&lt;=X362),1,0)</ns0:f>
        <ns0:v>0</ns0:v>
      </ns0:c>
      <ns0:c r="AD362" s="0">
        <ns0:f>IF(AND(J362&gt;0,T362&gt;0,Y362&lt;=Z362),1,0)</ns0:f>
        <ns0:v>0</ns0:v>
      </ns0:c>
    </ns0:row>
    <ns0:row r="363">
      <ns0:c r="A363" s="0">
        <ns0:f>IFERROR(IF(ISNUMBER(Bookings!B363),"",TRIM(Bookings!B363&amp;"")),"")</ns0:f>
      </ns0:c>
      <ns0:c r="B363" s="0">
        <ns0:f>IFERROR(SUBSTITUTE(SUBSTITUTE(A363,"/","."),"-","."),"")</ns0:f>
      </ns0:c>
      <ns0:c r="C363" s="0">
        <ns0:f>IFERROR(LEFT(B363,FIND(".",B363)-1),"")</ns0:f>
      </ns0:c>
      <ns0:c r="D363" s="0">
        <ns0:f>IFERROR(MID(B363,FIND(".",B363)+1,FIND(".",B363,FIND(".",B363)+1)-FIND(".",B363)-1),"")</ns0:f>
      </ns0:c>
      <ns0:c r="E363" s="0">
        <ns0:f>IFERROR(MID(B363,FIND(".",B363,FIND(".",B363)+1)+1,99),"")</ns0:f>
        <ns0:v>99</ns0:v>
      </ns0:c>
      <ns0:c r="F363" s="0">
        <ns0:f>IFERROR(IF(FIND(".",B363)=5,--C363,--E363),0)</ns0:f>
        <ns0:v>0</ns0:v>
      </ns0:c>
      <ns0:c r="G363" s="0">
        <ns0:f>IFERROR(--D363,0)</ns0:f>
        <ns0:v>0</ns0:v>
      </ns0:c>
      <ns0:c r="H363" s="0">
        <ns0:f>IFERROR(IF(FIND(".",B363)=5,--E363,--C363),0)</ns0:f>
        <ns0:v>0</ns0:v>
      </ns0:c>
      <ns0:c r="I363" s="0">
        <ns0:f>IFERROR(IF(AND(F363&gt;=2000,F363&lt;=2100,G363&gt;=1,G363&lt;=12,H363&gt;=1,H363&lt;=31),DATE(F363,G363,H363),0),0)</ns0:f>
        <ns0:v>0</ns0:v>
      </ns0:c>
      <ns0:c r="J363" s="0">
        <ns0:f>IFERROR(IF(ISNUMBER(Bookings!B363),IF(AND(Bookings!B363=INT(Bookings!B363),Bookings!B363&gt;=DATE(2000,1,1),Bookings!B363&lt;=DATE(2100,12,31)),Bookings!B363,0),IF(AND(A363&lt;&gt;"",LEN("x"&amp;B363)-LEN(SUBSTITUTE("x"&amp;B363,".",""))=2,OR(1&gt;LEN(B363),MID(B363,1,1)=".",ISNUMBER(FIND("x"&amp;MID(B363,1,1),"x0x1x2x3x4x5x6x7x8x9"))),OR(2&gt;LEN(B363),MID(B363,2,1)=".",ISNUMBER(FIND("x"&amp;MID(B363,2,1),"x0x1x2x3x4x5x6x7x8x9"))),OR(3&gt;LEN(B363),MID(B363,3,1)=".",ISNUMBER(FIND("x"&amp;MID(B363,3,1),"x0x1x2x3x4x5x6x7x8x9"))),OR(4&gt;LEN(B363),MID(B363,4,1)=".",ISNUMBER(FIND("x"&amp;MID(B363,4,1),"x0x1x2x3x4x5x6x7x8x9"))),OR(5&gt;LEN(B363),MID(B363,5,1)=".",ISNUMBER(FIND("x"&amp;MID(B363,5,1),"x0x1x2x3x4x5x6x7x8x9"))),OR(6&gt;LEN(B363),MID(B363,6,1)=".",ISNUMBER(FIND("x"&amp;MID(B363,6,1),"x0x1x2x3x4x5x6x7x8x9"))),OR(7&gt;LEN(B363),MID(B363,7,1)=".",ISNUMBER(FIND("x"&amp;MID(B363,7,1),"x0x1x2x3x4x5x6x7x8x9"))),OR(8&gt;LEN(B363),MID(B363,8,1)=".",ISNUMBER(FIND("x"&amp;MID(B363,8,1),"x0x1x2x3x4x5x6x7x8x9"))),OR(9&gt;LEN(B363),MID(B363,9,1)=".",ISNUMBER(FIND("x"&amp;MID(B363,9,1),"x0x1x2x3x4x5x6x7x8x9"))),OR(10&gt;LEN(B363),MID(B363,10,1)=".",ISNUMBER(FIND("x"&amp;MID(B363,10,1),"x0x1x2x3x4x5x6x7x8x9"))),OR(AND(FIND(".",B363)=5,LEN(B363)-FIND(".",B363,FIND(".",B363)+1)&gt;=1,LEN(B363)-FIND(".",B363,FIND(".",B363)+1)&lt;=2),AND(LEN(B363)-FIND(".",B363,FIND(".",B363)+1)=4,FIND(".",B363)&gt;=2,FIND(".",B363)&lt;=3)),FIND(".",B363,FIND(".",B363)+1)-FIND(".",B363)&gt;=2,FIND(".",B363,FIND(".",B363)+1)-FIND(".",B363)&lt;=3,F363&gt;=2000,F363&lt;=2100,YEAR(I363)=F363,MONTH(I363)=G363,DAY(I363)=H363),I363,0)),0)</ns0:f>
        <ns0:v>0</ns0:v>
      </ns0:c>
      <ns0:c r="K363" s="0">
        <ns0:f>IFERROR(IF(ISNUMBER(Bookings!D363),"",TRIM(Bookings!D363&amp;"")),"")</ns0:f>
      </ns0:c>
      <ns0:c r="L363" s="0">
        <ns0:f>IFERROR(SUBSTITUTE(SUBSTITUTE(K363,"/","."),"-","."),"")</ns0:f>
      </ns0:c>
      <ns0:c r="M363" s="0">
        <ns0:f>IFERROR(LEFT(L363,FIND(".",L363)-1),"")</ns0:f>
      </ns0:c>
      <ns0:c r="N363" s="0">
        <ns0:f>IFERROR(MID(L363,FIND(".",L363)+1,FIND(".",L363,FIND(".",L363)+1)-FIND(".",L363)-1),"")</ns0:f>
      </ns0:c>
      <ns0:c r="O363" s="0">
        <ns0:f>IFERROR(MID(L363,FIND(".",L363,FIND(".",L363)+1)+1,99),"")</ns0:f>
        <ns0:v>99</ns0:v>
      </ns0:c>
      <ns0:c r="P363" s="0">
        <ns0:f>IFERROR(IF(FIND(".",L363)=5,--M363,--O363),0)</ns0:f>
        <ns0:v>0</ns0:v>
      </ns0:c>
      <ns0:c r="Q363" s="0">
        <ns0:f>IFERROR(--N363,0)</ns0:f>
        <ns0:v>0</ns0:v>
      </ns0:c>
      <ns0:c r="R363" s="0">
        <ns0:f>IFERROR(IF(FIND(".",L363)=5,--O363,--M363),0)</ns0:f>
        <ns0:v>0</ns0:v>
      </ns0:c>
      <ns0:c r="S363" s="0">
        <ns0:f>IFERROR(IF(AND(P363&gt;=2000,P363&lt;=2100,Q363&gt;=1,Q363&lt;=12,R363&gt;=1,R363&lt;=31),DATE(P363,Q363,R363),0),0)</ns0:f>
        <ns0:v>0</ns0:v>
      </ns0:c>
      <ns0:c r="T363" s="0">
        <ns0:f>IFERROR(IF(ISNUMBER(Bookings!D363),IF(AND(Bookings!D363=INT(Bookings!D363),Bookings!D363&gt;=DATE(2000,1,1),Bookings!D363&lt;=DATE(2100,12,31)),Bookings!D363,0),IF(AND(K363&lt;&gt;"",LEN("x"&amp;L363)-LEN(SUBSTITUTE("x"&amp;L363,".",""))=2,OR(1&gt;LEN(L363),MID(L363,1,1)=".",ISNUMBER(FIND("x"&amp;MID(L363,1,1),"x0x1x2x3x4x5x6x7x8x9"))),OR(2&gt;LEN(L363),MID(L363,2,1)=".",ISNUMBER(FIND("x"&amp;MID(L363,2,1),"x0x1x2x3x4x5x6x7x8x9"))),OR(3&gt;LEN(L363),MID(L363,3,1)=".",ISNUMBER(FIND("x"&amp;MID(L363,3,1),"x0x1x2x3x4x5x6x7x8x9"))),OR(4&gt;LEN(L363),MID(L363,4,1)=".",ISNUMBER(FIND("x"&amp;MID(L363,4,1),"x0x1x2x3x4x5x6x7x8x9"))),OR(5&gt;LEN(L363),MID(L363,5,1)=".",ISNUMBER(FIND("x"&amp;MID(L363,5,1),"x0x1x2x3x4x5x6x7x8x9"))),OR(6&gt;LEN(L363),MID(L363,6,1)=".",ISNUMBER(FIND("x"&amp;MID(L363,6,1),"x0x1x2x3x4x5x6x7x8x9"))),OR(7&gt;LEN(L363),MID(L363,7,1)=".",ISNUMBER(FIND("x"&amp;MID(L363,7,1),"x0x1x2x3x4x5x6x7x8x9"))),OR(8&gt;LEN(L363),MID(L363,8,1)=".",ISNUMBER(FIND("x"&amp;MID(L363,8,1),"x0x1x2x3x4x5x6x7x8x9"))),OR(9&gt;LEN(L363),MID(L363,9,1)=".",ISNUMBER(FIND("x"&amp;MID(L363,9,1),"x0x1x2x3x4x5x6x7x8x9"))),OR(10&gt;LEN(L363),MID(L363,10,1)=".",ISNUMBER(FIND("x"&amp;MID(L363,10,1),"x0x1x2x3x4x5x6x7x8x9"))),OR(AND(FIND(".",L363)=5,LEN(L363)-FIND(".",L363,FIND(".",L363)+1)&gt;=1,LEN(L363)-FIND(".",L363,FIND(".",L363)+1)&lt;=2),AND(LEN(L363)-FIND(".",L363,FIND(".",L363)+1)=4,FIND(".",L363)&gt;=2,FIND(".",L363)&lt;=3)),FIND(".",L363,FIND(".",L363)+1)-FIND(".",L363)&gt;=2,FIND(".",L363,FIND(".",L363)+1)-FIND(".",L363)&lt;=3,P363&gt;=2000,P363&lt;=2100,YEAR(S363)=P363,MONTH(S363)=Q363,DAY(S363)=R363),S363,0)),0)</ns0:f>
        <ns0:v>0</ns0:v>
      </ns0:c>
      <ns0:c r="U363" s="0" t="str">
        <ns0:f>IF(Bookings!C363="","Full day",Bookings!C363)</ns0:f>
        <ns0:v>Full day</ns0:v>
      </ns0:c>
      <ns0:c r="V363" s="0" t="str">
        <ns0:f>IF(Bookings!E363="","Full day",Bookings!E363)</ns0:f>
        <ns0:v>Full day</ns0:v>
      </ns0:c>
      <ns0:c r="W363" s="0">
        <ns0:f>IF(J363=0,0,J363+IF(U363="PM",1,0))</ns0:f>
        <ns0:v>0</ns0:v>
      </ns0:c>
      <ns0:c r="X363" s="0">
        <ns0:f>IF(T363=0,0,T363-IF(V363="PM",1,0))</ns0:f>
        <ns0:v>0</ns0:v>
      </ns0:c>
      <ns0:c r="Y363" s="0">
        <ns0:f>IF(J363=0,0,J363+IF(U363="AM",1,0))</ns0:f>
        <ns0:v>0</ns0:v>
      </ns0:c>
      <ns0:c r="Z363" s="0">
        <ns0:f>IF(T363=0,0,T363-IF(V363="AM",1,0))</ns0:f>
        <ns0:v>0</ns0:v>
      </ns0:c>
      <ns0:c r="AA363" s="0">
        <ns0:f>IFERROR(IF(AND(J363&gt;0,'_Engine'!C363&gt;0,MID('_Engine'!W363,WEEKDAY(J363,2),1)="W",COUNTIF(Settings!$F$18:$F$67,J363)=0),1,0),0)</ns0:f>
        <ns0:v>0</ns0:v>
      </ns0:c>
      <ns0:c r="AB363" s="0">
        <ns0:f>IFERROR(IF(AND(T363&gt;0,'_Engine'!C363&gt;0,MID('_Engine'!W363,WEEKDAY(T363,2),1)="W",COUNTIF(Settings!$F$18:$F$67,T363)=0),1,0),0)</ns0:f>
        <ns0:v>0</ns0:v>
      </ns0:c>
      <ns0:c r="AC363" s="0">
        <ns0:f>IF(AND(J363&gt;0,T363&gt;0,W363&lt;=X363),1,0)</ns0:f>
        <ns0:v>0</ns0:v>
      </ns0:c>
      <ns0:c r="AD363" s="0">
        <ns0:f>IF(AND(J363&gt;0,T363&gt;0,Y363&lt;=Z363),1,0)</ns0:f>
        <ns0:v>0</ns0:v>
      </ns0:c>
    </ns0:row>
    <ns0:row r="364">
      <ns0:c r="A364" s="0">
        <ns0:f>IFERROR(IF(ISNUMBER(Bookings!B364),"",TRIM(Bookings!B364&amp;"")),"")</ns0:f>
      </ns0:c>
      <ns0:c r="B364" s="0">
        <ns0:f>IFERROR(SUBSTITUTE(SUBSTITUTE(A364,"/","."),"-","."),"")</ns0:f>
      </ns0:c>
      <ns0:c r="C364" s="0">
        <ns0:f>IFERROR(LEFT(B364,FIND(".",B364)-1),"")</ns0:f>
      </ns0:c>
      <ns0:c r="D364" s="0">
        <ns0:f>IFERROR(MID(B364,FIND(".",B364)+1,FIND(".",B364,FIND(".",B364)+1)-FIND(".",B364)-1),"")</ns0:f>
      </ns0:c>
      <ns0:c r="E364" s="0">
        <ns0:f>IFERROR(MID(B364,FIND(".",B364,FIND(".",B364)+1)+1,99),"")</ns0:f>
        <ns0:v>99</ns0:v>
      </ns0:c>
      <ns0:c r="F364" s="0">
        <ns0:f>IFERROR(IF(FIND(".",B364)=5,--C364,--E364),0)</ns0:f>
        <ns0:v>0</ns0:v>
      </ns0:c>
      <ns0:c r="G364" s="0">
        <ns0:f>IFERROR(--D364,0)</ns0:f>
        <ns0:v>0</ns0:v>
      </ns0:c>
      <ns0:c r="H364" s="0">
        <ns0:f>IFERROR(IF(FIND(".",B364)=5,--E364,--C364),0)</ns0:f>
        <ns0:v>0</ns0:v>
      </ns0:c>
      <ns0:c r="I364" s="0">
        <ns0:f>IFERROR(IF(AND(F364&gt;=2000,F364&lt;=2100,G364&gt;=1,G364&lt;=12,H364&gt;=1,H364&lt;=31),DATE(F364,G364,H364),0),0)</ns0:f>
        <ns0:v>0</ns0:v>
      </ns0:c>
      <ns0:c r="J364" s="0">
        <ns0:f>IFERROR(IF(ISNUMBER(Bookings!B364),IF(AND(Bookings!B364=INT(Bookings!B364),Bookings!B364&gt;=DATE(2000,1,1),Bookings!B364&lt;=DATE(2100,12,31)),Bookings!B364,0),IF(AND(A364&lt;&gt;"",LEN("x"&amp;B364)-LEN(SUBSTITUTE("x"&amp;B364,".",""))=2,OR(1&gt;LEN(B364),MID(B364,1,1)=".",ISNUMBER(FIND("x"&amp;MID(B364,1,1),"x0x1x2x3x4x5x6x7x8x9"))),OR(2&gt;LEN(B364),MID(B364,2,1)=".",ISNUMBER(FIND("x"&amp;MID(B364,2,1),"x0x1x2x3x4x5x6x7x8x9"))),OR(3&gt;LEN(B364),MID(B364,3,1)=".",ISNUMBER(FIND("x"&amp;MID(B364,3,1),"x0x1x2x3x4x5x6x7x8x9"))),OR(4&gt;LEN(B364),MID(B364,4,1)=".",ISNUMBER(FIND("x"&amp;MID(B364,4,1),"x0x1x2x3x4x5x6x7x8x9"))),OR(5&gt;LEN(B364),MID(B364,5,1)=".",ISNUMBER(FIND("x"&amp;MID(B364,5,1),"x0x1x2x3x4x5x6x7x8x9"))),OR(6&gt;LEN(B364),MID(B364,6,1)=".",ISNUMBER(FIND("x"&amp;MID(B364,6,1),"x0x1x2x3x4x5x6x7x8x9"))),OR(7&gt;LEN(B364),MID(B364,7,1)=".",ISNUMBER(FIND("x"&amp;MID(B364,7,1),"x0x1x2x3x4x5x6x7x8x9"))),OR(8&gt;LEN(B364),MID(B364,8,1)=".",ISNUMBER(FIND("x"&amp;MID(B364,8,1),"x0x1x2x3x4x5x6x7x8x9"))),OR(9&gt;LEN(B364),MID(B364,9,1)=".",ISNUMBER(FIND("x"&amp;MID(B364,9,1),"x0x1x2x3x4x5x6x7x8x9"))),OR(10&gt;LEN(B364),MID(B364,10,1)=".",ISNUMBER(FIND("x"&amp;MID(B364,10,1),"x0x1x2x3x4x5x6x7x8x9"))),OR(AND(FIND(".",B364)=5,LEN(B364)-FIND(".",B364,FIND(".",B364)+1)&gt;=1,LEN(B364)-FIND(".",B364,FIND(".",B364)+1)&lt;=2),AND(LEN(B364)-FIND(".",B364,FIND(".",B364)+1)=4,FIND(".",B364)&gt;=2,FIND(".",B364)&lt;=3)),FIND(".",B364,FIND(".",B364)+1)-FIND(".",B364)&gt;=2,FIND(".",B364,FIND(".",B364)+1)-FIND(".",B364)&lt;=3,F364&gt;=2000,F364&lt;=2100,YEAR(I364)=F364,MONTH(I364)=G364,DAY(I364)=H364),I364,0)),0)</ns0:f>
        <ns0:v>0</ns0:v>
      </ns0:c>
      <ns0:c r="K364" s="0">
        <ns0:f>IFERROR(IF(ISNUMBER(Bookings!D364),"",TRIM(Bookings!D364&amp;"")),"")</ns0:f>
      </ns0:c>
      <ns0:c r="L364" s="0">
        <ns0:f>IFERROR(SUBSTITUTE(SUBSTITUTE(K364,"/","."),"-","."),"")</ns0:f>
      </ns0:c>
      <ns0:c r="M364" s="0">
        <ns0:f>IFERROR(LEFT(L364,FIND(".",L364)-1),"")</ns0:f>
      </ns0:c>
      <ns0:c r="N364" s="0">
        <ns0:f>IFERROR(MID(L364,FIND(".",L364)+1,FIND(".",L364,FIND(".",L364)+1)-FIND(".",L364)-1),"")</ns0:f>
      </ns0:c>
      <ns0:c r="O364" s="0">
        <ns0:f>IFERROR(MID(L364,FIND(".",L364,FIND(".",L364)+1)+1,99),"")</ns0:f>
        <ns0:v>99</ns0:v>
      </ns0:c>
      <ns0:c r="P364" s="0">
        <ns0:f>IFERROR(IF(FIND(".",L364)=5,--M364,--O364),0)</ns0:f>
        <ns0:v>0</ns0:v>
      </ns0:c>
      <ns0:c r="Q364" s="0">
        <ns0:f>IFERROR(--N364,0)</ns0:f>
        <ns0:v>0</ns0:v>
      </ns0:c>
      <ns0:c r="R364" s="0">
        <ns0:f>IFERROR(IF(FIND(".",L364)=5,--O364,--M364),0)</ns0:f>
        <ns0:v>0</ns0:v>
      </ns0:c>
      <ns0:c r="S364" s="0">
        <ns0:f>IFERROR(IF(AND(P364&gt;=2000,P364&lt;=2100,Q364&gt;=1,Q364&lt;=12,R364&gt;=1,R364&lt;=31),DATE(P364,Q364,R364),0),0)</ns0:f>
        <ns0:v>0</ns0:v>
      </ns0:c>
      <ns0:c r="T364" s="0">
        <ns0:f>IFERROR(IF(ISNUMBER(Bookings!D364),IF(AND(Bookings!D364=INT(Bookings!D364),Bookings!D364&gt;=DATE(2000,1,1),Bookings!D364&lt;=DATE(2100,12,31)),Bookings!D364,0),IF(AND(K364&lt;&gt;"",LEN("x"&amp;L364)-LEN(SUBSTITUTE("x"&amp;L364,".",""))=2,OR(1&gt;LEN(L364),MID(L364,1,1)=".",ISNUMBER(FIND("x"&amp;MID(L364,1,1),"x0x1x2x3x4x5x6x7x8x9"))),OR(2&gt;LEN(L364),MID(L364,2,1)=".",ISNUMBER(FIND("x"&amp;MID(L364,2,1),"x0x1x2x3x4x5x6x7x8x9"))),OR(3&gt;LEN(L364),MID(L364,3,1)=".",ISNUMBER(FIND("x"&amp;MID(L364,3,1),"x0x1x2x3x4x5x6x7x8x9"))),OR(4&gt;LEN(L364),MID(L364,4,1)=".",ISNUMBER(FIND("x"&amp;MID(L364,4,1),"x0x1x2x3x4x5x6x7x8x9"))),OR(5&gt;LEN(L364),MID(L364,5,1)=".",ISNUMBER(FIND("x"&amp;MID(L364,5,1),"x0x1x2x3x4x5x6x7x8x9"))),OR(6&gt;LEN(L364),MID(L364,6,1)=".",ISNUMBER(FIND("x"&amp;MID(L364,6,1),"x0x1x2x3x4x5x6x7x8x9"))),OR(7&gt;LEN(L364),MID(L364,7,1)=".",ISNUMBER(FIND("x"&amp;MID(L364,7,1),"x0x1x2x3x4x5x6x7x8x9"))),OR(8&gt;LEN(L364),MID(L364,8,1)=".",ISNUMBER(FIND("x"&amp;MID(L364,8,1),"x0x1x2x3x4x5x6x7x8x9"))),OR(9&gt;LEN(L364),MID(L364,9,1)=".",ISNUMBER(FIND("x"&amp;MID(L364,9,1),"x0x1x2x3x4x5x6x7x8x9"))),OR(10&gt;LEN(L364),MID(L364,10,1)=".",ISNUMBER(FIND("x"&amp;MID(L364,10,1),"x0x1x2x3x4x5x6x7x8x9"))),OR(AND(FIND(".",L364)=5,LEN(L364)-FIND(".",L364,FIND(".",L364)+1)&gt;=1,LEN(L364)-FIND(".",L364,FIND(".",L364)+1)&lt;=2),AND(LEN(L364)-FIND(".",L364,FIND(".",L364)+1)=4,FIND(".",L364)&gt;=2,FIND(".",L364)&lt;=3)),FIND(".",L364,FIND(".",L364)+1)-FIND(".",L364)&gt;=2,FIND(".",L364,FIND(".",L364)+1)-FIND(".",L364)&lt;=3,P364&gt;=2000,P364&lt;=2100,YEAR(S364)=P364,MONTH(S364)=Q364,DAY(S364)=R364),S364,0)),0)</ns0:f>
        <ns0:v>0</ns0:v>
      </ns0:c>
      <ns0:c r="U364" s="0" t="str">
        <ns0:f>IF(Bookings!C364="","Full day",Bookings!C364)</ns0:f>
        <ns0:v>Full day</ns0:v>
      </ns0:c>
      <ns0:c r="V364" s="0" t="str">
        <ns0:f>IF(Bookings!E364="","Full day",Bookings!E364)</ns0:f>
        <ns0:v>Full day</ns0:v>
      </ns0:c>
      <ns0:c r="W364" s="0">
        <ns0:f>IF(J364=0,0,J364+IF(U364="PM",1,0))</ns0:f>
        <ns0:v>0</ns0:v>
      </ns0:c>
      <ns0:c r="X364" s="0">
        <ns0:f>IF(T364=0,0,T364-IF(V364="PM",1,0))</ns0:f>
        <ns0:v>0</ns0:v>
      </ns0:c>
      <ns0:c r="Y364" s="0">
        <ns0:f>IF(J364=0,0,J364+IF(U364="AM",1,0))</ns0:f>
        <ns0:v>0</ns0:v>
      </ns0:c>
      <ns0:c r="Z364" s="0">
        <ns0:f>IF(T364=0,0,T364-IF(V364="AM",1,0))</ns0:f>
        <ns0:v>0</ns0:v>
      </ns0:c>
      <ns0:c r="AA364" s="0">
        <ns0:f>IFERROR(IF(AND(J364&gt;0,'_Engine'!C364&gt;0,MID('_Engine'!W364,WEEKDAY(J364,2),1)="W",COUNTIF(Settings!$F$18:$F$67,J364)=0),1,0),0)</ns0:f>
        <ns0:v>0</ns0:v>
      </ns0:c>
      <ns0:c r="AB364" s="0">
        <ns0:f>IFERROR(IF(AND(T364&gt;0,'_Engine'!C364&gt;0,MID('_Engine'!W364,WEEKDAY(T364,2),1)="W",COUNTIF(Settings!$F$18:$F$67,T364)=0),1,0),0)</ns0:f>
        <ns0:v>0</ns0:v>
      </ns0:c>
      <ns0:c r="AC364" s="0">
        <ns0:f>IF(AND(J364&gt;0,T364&gt;0,W364&lt;=X364),1,0)</ns0:f>
        <ns0:v>0</ns0:v>
      </ns0:c>
      <ns0:c r="AD364" s="0">
        <ns0:f>IF(AND(J364&gt;0,T364&gt;0,Y364&lt;=Z364),1,0)</ns0:f>
        <ns0:v>0</ns0:v>
      </ns0:c>
    </ns0:row>
    <ns0:row r="365">
      <ns0:c r="A365" s="0">
        <ns0:f>IFERROR(IF(ISNUMBER(Bookings!B365),"",TRIM(Bookings!B365&amp;"")),"")</ns0:f>
      </ns0:c>
      <ns0:c r="B365" s="0">
        <ns0:f>IFERROR(SUBSTITUTE(SUBSTITUTE(A365,"/","."),"-","."),"")</ns0:f>
      </ns0:c>
      <ns0:c r="C365" s="0">
        <ns0:f>IFERROR(LEFT(B365,FIND(".",B365)-1),"")</ns0:f>
      </ns0:c>
      <ns0:c r="D365" s="0">
        <ns0:f>IFERROR(MID(B365,FIND(".",B365)+1,FIND(".",B365,FIND(".",B365)+1)-FIND(".",B365)-1),"")</ns0:f>
      </ns0:c>
      <ns0:c r="E365" s="0">
        <ns0:f>IFERROR(MID(B365,FIND(".",B365,FIND(".",B365)+1)+1,99),"")</ns0:f>
        <ns0:v>99</ns0:v>
      </ns0:c>
      <ns0:c r="F365" s="0">
        <ns0:f>IFERROR(IF(FIND(".",B365)=5,--C365,--E365),0)</ns0:f>
        <ns0:v>0</ns0:v>
      </ns0:c>
      <ns0:c r="G365" s="0">
        <ns0:f>IFERROR(--D365,0)</ns0:f>
        <ns0:v>0</ns0:v>
      </ns0:c>
      <ns0:c r="H365" s="0">
        <ns0:f>IFERROR(IF(FIND(".",B365)=5,--E365,--C365),0)</ns0:f>
        <ns0:v>0</ns0:v>
      </ns0:c>
      <ns0:c r="I365" s="0">
        <ns0:f>IFERROR(IF(AND(F365&gt;=2000,F365&lt;=2100,G365&gt;=1,G365&lt;=12,H365&gt;=1,H365&lt;=31),DATE(F365,G365,H365),0),0)</ns0:f>
        <ns0:v>0</ns0:v>
      </ns0:c>
      <ns0:c r="J365" s="0">
        <ns0:f>IFERROR(IF(ISNUMBER(Bookings!B365),IF(AND(Bookings!B365=INT(Bookings!B365),Bookings!B365&gt;=DATE(2000,1,1),Bookings!B365&lt;=DATE(2100,12,31)),Bookings!B365,0),IF(AND(A365&lt;&gt;"",LEN("x"&amp;B365)-LEN(SUBSTITUTE("x"&amp;B365,".",""))=2,OR(1&gt;LEN(B365),MID(B365,1,1)=".",ISNUMBER(FIND("x"&amp;MID(B365,1,1),"x0x1x2x3x4x5x6x7x8x9"))),OR(2&gt;LEN(B365),MID(B365,2,1)=".",ISNUMBER(FIND("x"&amp;MID(B365,2,1),"x0x1x2x3x4x5x6x7x8x9"))),OR(3&gt;LEN(B365),MID(B365,3,1)=".",ISNUMBER(FIND("x"&amp;MID(B365,3,1),"x0x1x2x3x4x5x6x7x8x9"))),OR(4&gt;LEN(B365),MID(B365,4,1)=".",ISNUMBER(FIND("x"&amp;MID(B365,4,1),"x0x1x2x3x4x5x6x7x8x9"))),OR(5&gt;LEN(B365),MID(B365,5,1)=".",ISNUMBER(FIND("x"&amp;MID(B365,5,1),"x0x1x2x3x4x5x6x7x8x9"))),OR(6&gt;LEN(B365),MID(B365,6,1)=".",ISNUMBER(FIND("x"&amp;MID(B365,6,1),"x0x1x2x3x4x5x6x7x8x9"))),OR(7&gt;LEN(B365),MID(B365,7,1)=".",ISNUMBER(FIND("x"&amp;MID(B365,7,1),"x0x1x2x3x4x5x6x7x8x9"))),OR(8&gt;LEN(B365),MID(B365,8,1)=".",ISNUMBER(FIND("x"&amp;MID(B365,8,1),"x0x1x2x3x4x5x6x7x8x9"))),OR(9&gt;LEN(B365),MID(B365,9,1)=".",ISNUMBER(FIND("x"&amp;MID(B365,9,1),"x0x1x2x3x4x5x6x7x8x9"))),OR(10&gt;LEN(B365),MID(B365,10,1)=".",ISNUMBER(FIND("x"&amp;MID(B365,10,1),"x0x1x2x3x4x5x6x7x8x9"))),OR(AND(FIND(".",B365)=5,LEN(B365)-FIND(".",B365,FIND(".",B365)+1)&gt;=1,LEN(B365)-FIND(".",B365,FIND(".",B365)+1)&lt;=2),AND(LEN(B365)-FIND(".",B365,FIND(".",B365)+1)=4,FIND(".",B365)&gt;=2,FIND(".",B365)&lt;=3)),FIND(".",B365,FIND(".",B365)+1)-FIND(".",B365)&gt;=2,FIND(".",B365,FIND(".",B365)+1)-FIND(".",B365)&lt;=3,F365&gt;=2000,F365&lt;=2100,YEAR(I365)=F365,MONTH(I365)=G365,DAY(I365)=H365),I365,0)),0)</ns0:f>
        <ns0:v>0</ns0:v>
      </ns0:c>
      <ns0:c r="K365" s="0">
        <ns0:f>IFERROR(IF(ISNUMBER(Bookings!D365),"",TRIM(Bookings!D365&amp;"")),"")</ns0:f>
      </ns0:c>
      <ns0:c r="L365" s="0">
        <ns0:f>IFERROR(SUBSTITUTE(SUBSTITUTE(K365,"/","."),"-","."),"")</ns0:f>
      </ns0:c>
      <ns0:c r="M365" s="0">
        <ns0:f>IFERROR(LEFT(L365,FIND(".",L365)-1),"")</ns0:f>
      </ns0:c>
      <ns0:c r="N365" s="0">
        <ns0:f>IFERROR(MID(L365,FIND(".",L365)+1,FIND(".",L365,FIND(".",L365)+1)-FIND(".",L365)-1),"")</ns0:f>
      </ns0:c>
      <ns0:c r="O365" s="0">
        <ns0:f>IFERROR(MID(L365,FIND(".",L365,FIND(".",L365)+1)+1,99),"")</ns0:f>
        <ns0:v>99</ns0:v>
      </ns0:c>
      <ns0:c r="P365" s="0">
        <ns0:f>IFERROR(IF(FIND(".",L365)=5,--M365,--O365),0)</ns0:f>
        <ns0:v>0</ns0:v>
      </ns0:c>
      <ns0:c r="Q365" s="0">
        <ns0:f>IFERROR(--N365,0)</ns0:f>
        <ns0:v>0</ns0:v>
      </ns0:c>
      <ns0:c r="R365" s="0">
        <ns0:f>IFERROR(IF(FIND(".",L365)=5,--O365,--M365),0)</ns0:f>
        <ns0:v>0</ns0:v>
      </ns0:c>
      <ns0:c r="S365" s="0">
        <ns0:f>IFERROR(IF(AND(P365&gt;=2000,P365&lt;=2100,Q365&gt;=1,Q365&lt;=12,R365&gt;=1,R365&lt;=31),DATE(P365,Q365,R365),0),0)</ns0:f>
        <ns0:v>0</ns0:v>
      </ns0:c>
      <ns0:c r="T365" s="0">
        <ns0:f>IFERROR(IF(ISNUMBER(Bookings!D365),IF(AND(Bookings!D365=INT(Bookings!D365),Bookings!D365&gt;=DATE(2000,1,1),Bookings!D365&lt;=DATE(2100,12,31)),Bookings!D365,0),IF(AND(K365&lt;&gt;"",LEN("x"&amp;L365)-LEN(SUBSTITUTE("x"&amp;L365,".",""))=2,OR(1&gt;LEN(L365),MID(L365,1,1)=".",ISNUMBER(FIND("x"&amp;MID(L365,1,1),"x0x1x2x3x4x5x6x7x8x9"))),OR(2&gt;LEN(L365),MID(L365,2,1)=".",ISNUMBER(FIND("x"&amp;MID(L365,2,1),"x0x1x2x3x4x5x6x7x8x9"))),OR(3&gt;LEN(L365),MID(L365,3,1)=".",ISNUMBER(FIND("x"&amp;MID(L365,3,1),"x0x1x2x3x4x5x6x7x8x9"))),OR(4&gt;LEN(L365),MID(L365,4,1)=".",ISNUMBER(FIND("x"&amp;MID(L365,4,1),"x0x1x2x3x4x5x6x7x8x9"))),OR(5&gt;LEN(L365),MID(L365,5,1)=".",ISNUMBER(FIND("x"&amp;MID(L365,5,1),"x0x1x2x3x4x5x6x7x8x9"))),OR(6&gt;LEN(L365),MID(L365,6,1)=".",ISNUMBER(FIND("x"&amp;MID(L365,6,1),"x0x1x2x3x4x5x6x7x8x9"))),OR(7&gt;LEN(L365),MID(L365,7,1)=".",ISNUMBER(FIND("x"&amp;MID(L365,7,1),"x0x1x2x3x4x5x6x7x8x9"))),OR(8&gt;LEN(L365),MID(L365,8,1)=".",ISNUMBER(FIND("x"&amp;MID(L365,8,1),"x0x1x2x3x4x5x6x7x8x9"))),OR(9&gt;LEN(L365),MID(L365,9,1)=".",ISNUMBER(FIND("x"&amp;MID(L365,9,1),"x0x1x2x3x4x5x6x7x8x9"))),OR(10&gt;LEN(L365),MID(L365,10,1)=".",ISNUMBER(FIND("x"&amp;MID(L365,10,1),"x0x1x2x3x4x5x6x7x8x9"))),OR(AND(FIND(".",L365)=5,LEN(L365)-FIND(".",L365,FIND(".",L365)+1)&gt;=1,LEN(L365)-FIND(".",L365,FIND(".",L365)+1)&lt;=2),AND(LEN(L365)-FIND(".",L365,FIND(".",L365)+1)=4,FIND(".",L365)&gt;=2,FIND(".",L365)&lt;=3)),FIND(".",L365,FIND(".",L365)+1)-FIND(".",L365)&gt;=2,FIND(".",L365,FIND(".",L365)+1)-FIND(".",L365)&lt;=3,P365&gt;=2000,P365&lt;=2100,YEAR(S365)=P365,MONTH(S365)=Q365,DAY(S365)=R365),S365,0)),0)</ns0:f>
        <ns0:v>0</ns0:v>
      </ns0:c>
      <ns0:c r="U365" s="0" t="str">
        <ns0:f>IF(Bookings!C365="","Full day",Bookings!C365)</ns0:f>
        <ns0:v>Full day</ns0:v>
      </ns0:c>
      <ns0:c r="V365" s="0" t="str">
        <ns0:f>IF(Bookings!E365="","Full day",Bookings!E365)</ns0:f>
        <ns0:v>Full day</ns0:v>
      </ns0:c>
      <ns0:c r="W365" s="0">
        <ns0:f>IF(J365=0,0,J365+IF(U365="PM",1,0))</ns0:f>
        <ns0:v>0</ns0:v>
      </ns0:c>
      <ns0:c r="X365" s="0">
        <ns0:f>IF(T365=0,0,T365-IF(V365="PM",1,0))</ns0:f>
        <ns0:v>0</ns0:v>
      </ns0:c>
      <ns0:c r="Y365" s="0">
        <ns0:f>IF(J365=0,0,J365+IF(U365="AM",1,0))</ns0:f>
        <ns0:v>0</ns0:v>
      </ns0:c>
      <ns0:c r="Z365" s="0">
        <ns0:f>IF(T365=0,0,T365-IF(V365="AM",1,0))</ns0:f>
        <ns0:v>0</ns0:v>
      </ns0:c>
      <ns0:c r="AA365" s="0">
        <ns0:f>IFERROR(IF(AND(J365&gt;0,'_Engine'!C365&gt;0,MID('_Engine'!W365,WEEKDAY(J365,2),1)="W",COUNTIF(Settings!$F$18:$F$67,J365)=0),1,0),0)</ns0:f>
        <ns0:v>0</ns0:v>
      </ns0:c>
      <ns0:c r="AB365" s="0">
        <ns0:f>IFERROR(IF(AND(T365&gt;0,'_Engine'!C365&gt;0,MID('_Engine'!W365,WEEKDAY(T365,2),1)="W",COUNTIF(Settings!$F$18:$F$67,T365)=0),1,0),0)</ns0:f>
        <ns0:v>0</ns0:v>
      </ns0:c>
      <ns0:c r="AC365" s="0">
        <ns0:f>IF(AND(J365&gt;0,T365&gt;0,W365&lt;=X365),1,0)</ns0:f>
        <ns0:v>0</ns0:v>
      </ns0:c>
      <ns0:c r="AD365" s="0">
        <ns0:f>IF(AND(J365&gt;0,T365&gt;0,Y365&lt;=Z365),1,0)</ns0:f>
        <ns0:v>0</ns0:v>
      </ns0:c>
    </ns0:row>
    <ns0:row r="366">
      <ns0:c r="A366" s="0">
        <ns0:f>IFERROR(IF(ISNUMBER(Bookings!B366),"",TRIM(Bookings!B366&amp;"")),"")</ns0:f>
      </ns0:c>
      <ns0:c r="B366" s="0">
        <ns0:f>IFERROR(SUBSTITUTE(SUBSTITUTE(A366,"/","."),"-","."),"")</ns0:f>
      </ns0:c>
      <ns0:c r="C366" s="0">
        <ns0:f>IFERROR(LEFT(B366,FIND(".",B366)-1),"")</ns0:f>
      </ns0:c>
      <ns0:c r="D366" s="0">
        <ns0:f>IFERROR(MID(B366,FIND(".",B366)+1,FIND(".",B366,FIND(".",B366)+1)-FIND(".",B366)-1),"")</ns0:f>
      </ns0:c>
      <ns0:c r="E366" s="0">
        <ns0:f>IFERROR(MID(B366,FIND(".",B366,FIND(".",B366)+1)+1,99),"")</ns0:f>
        <ns0:v>99</ns0:v>
      </ns0:c>
      <ns0:c r="F366" s="0">
        <ns0:f>IFERROR(IF(FIND(".",B366)=5,--C366,--E366),0)</ns0:f>
        <ns0:v>0</ns0:v>
      </ns0:c>
      <ns0:c r="G366" s="0">
        <ns0:f>IFERROR(--D366,0)</ns0:f>
        <ns0:v>0</ns0:v>
      </ns0:c>
      <ns0:c r="H366" s="0">
        <ns0:f>IFERROR(IF(FIND(".",B366)=5,--E366,--C366),0)</ns0:f>
        <ns0:v>0</ns0:v>
      </ns0:c>
      <ns0:c r="I366" s="0">
        <ns0:f>IFERROR(IF(AND(F366&gt;=2000,F366&lt;=2100,G366&gt;=1,G366&lt;=12,H366&gt;=1,H366&lt;=31),DATE(F366,G366,H366),0),0)</ns0:f>
        <ns0:v>0</ns0:v>
      </ns0:c>
      <ns0:c r="J366" s="0">
        <ns0:f>IFERROR(IF(ISNUMBER(Bookings!B366),IF(AND(Bookings!B366=INT(Bookings!B366),Bookings!B366&gt;=DATE(2000,1,1),Bookings!B366&lt;=DATE(2100,12,31)),Bookings!B366,0),IF(AND(A366&lt;&gt;"",LEN("x"&amp;B366)-LEN(SUBSTITUTE("x"&amp;B366,".",""))=2,OR(1&gt;LEN(B366),MID(B366,1,1)=".",ISNUMBER(FIND("x"&amp;MID(B366,1,1),"x0x1x2x3x4x5x6x7x8x9"))),OR(2&gt;LEN(B366),MID(B366,2,1)=".",ISNUMBER(FIND("x"&amp;MID(B366,2,1),"x0x1x2x3x4x5x6x7x8x9"))),OR(3&gt;LEN(B366),MID(B366,3,1)=".",ISNUMBER(FIND("x"&amp;MID(B366,3,1),"x0x1x2x3x4x5x6x7x8x9"))),OR(4&gt;LEN(B366),MID(B366,4,1)=".",ISNUMBER(FIND("x"&amp;MID(B366,4,1),"x0x1x2x3x4x5x6x7x8x9"))),OR(5&gt;LEN(B366),MID(B366,5,1)=".",ISNUMBER(FIND("x"&amp;MID(B366,5,1),"x0x1x2x3x4x5x6x7x8x9"))),OR(6&gt;LEN(B366),MID(B366,6,1)=".",ISNUMBER(FIND("x"&amp;MID(B366,6,1),"x0x1x2x3x4x5x6x7x8x9"))),OR(7&gt;LEN(B366),MID(B366,7,1)=".",ISNUMBER(FIND("x"&amp;MID(B366,7,1),"x0x1x2x3x4x5x6x7x8x9"))),OR(8&gt;LEN(B366),MID(B366,8,1)=".",ISNUMBER(FIND("x"&amp;MID(B366,8,1),"x0x1x2x3x4x5x6x7x8x9"))),OR(9&gt;LEN(B366),MID(B366,9,1)=".",ISNUMBER(FIND("x"&amp;MID(B366,9,1),"x0x1x2x3x4x5x6x7x8x9"))),OR(10&gt;LEN(B366),MID(B366,10,1)=".",ISNUMBER(FIND("x"&amp;MID(B366,10,1),"x0x1x2x3x4x5x6x7x8x9"))),OR(AND(FIND(".",B366)=5,LEN(B366)-FIND(".",B366,FIND(".",B366)+1)&gt;=1,LEN(B366)-FIND(".",B366,FIND(".",B366)+1)&lt;=2),AND(LEN(B366)-FIND(".",B366,FIND(".",B366)+1)=4,FIND(".",B366)&gt;=2,FIND(".",B366)&lt;=3)),FIND(".",B366,FIND(".",B366)+1)-FIND(".",B366)&gt;=2,FIND(".",B366,FIND(".",B366)+1)-FIND(".",B366)&lt;=3,F366&gt;=2000,F366&lt;=2100,YEAR(I366)=F366,MONTH(I366)=G366,DAY(I366)=H366),I366,0)),0)</ns0:f>
        <ns0:v>0</ns0:v>
      </ns0:c>
      <ns0:c r="K366" s="0">
        <ns0:f>IFERROR(IF(ISNUMBER(Bookings!D366),"",TRIM(Bookings!D366&amp;"")),"")</ns0:f>
      </ns0:c>
      <ns0:c r="L366" s="0">
        <ns0:f>IFERROR(SUBSTITUTE(SUBSTITUTE(K366,"/","."),"-","."),"")</ns0:f>
      </ns0:c>
      <ns0:c r="M366" s="0">
        <ns0:f>IFERROR(LEFT(L366,FIND(".",L366)-1),"")</ns0:f>
      </ns0:c>
      <ns0:c r="N366" s="0">
        <ns0:f>IFERROR(MID(L366,FIND(".",L366)+1,FIND(".",L366,FIND(".",L366)+1)-FIND(".",L366)-1),"")</ns0:f>
      </ns0:c>
      <ns0:c r="O366" s="0">
        <ns0:f>IFERROR(MID(L366,FIND(".",L366,FIND(".",L366)+1)+1,99),"")</ns0:f>
        <ns0:v>99</ns0:v>
      </ns0:c>
      <ns0:c r="P366" s="0">
        <ns0:f>IFERROR(IF(FIND(".",L366)=5,--M366,--O366),0)</ns0:f>
        <ns0:v>0</ns0:v>
      </ns0:c>
      <ns0:c r="Q366" s="0">
        <ns0:f>IFERROR(--N366,0)</ns0:f>
        <ns0:v>0</ns0:v>
      </ns0:c>
      <ns0:c r="R366" s="0">
        <ns0:f>IFERROR(IF(FIND(".",L366)=5,--O366,--M366),0)</ns0:f>
        <ns0:v>0</ns0:v>
      </ns0:c>
      <ns0:c r="S366" s="0">
        <ns0:f>IFERROR(IF(AND(P366&gt;=2000,P366&lt;=2100,Q366&gt;=1,Q366&lt;=12,R366&gt;=1,R366&lt;=31),DATE(P366,Q366,R366),0),0)</ns0:f>
        <ns0:v>0</ns0:v>
      </ns0:c>
      <ns0:c r="T366" s="0">
        <ns0:f>IFERROR(IF(ISNUMBER(Bookings!D366),IF(AND(Bookings!D366=INT(Bookings!D366),Bookings!D366&gt;=DATE(2000,1,1),Bookings!D366&lt;=DATE(2100,12,31)),Bookings!D366,0),IF(AND(K366&lt;&gt;"",LEN("x"&amp;L366)-LEN(SUBSTITUTE("x"&amp;L366,".",""))=2,OR(1&gt;LEN(L366),MID(L366,1,1)=".",ISNUMBER(FIND("x"&amp;MID(L366,1,1),"x0x1x2x3x4x5x6x7x8x9"))),OR(2&gt;LEN(L366),MID(L366,2,1)=".",ISNUMBER(FIND("x"&amp;MID(L366,2,1),"x0x1x2x3x4x5x6x7x8x9"))),OR(3&gt;LEN(L366),MID(L366,3,1)=".",ISNUMBER(FIND("x"&amp;MID(L366,3,1),"x0x1x2x3x4x5x6x7x8x9"))),OR(4&gt;LEN(L366),MID(L366,4,1)=".",ISNUMBER(FIND("x"&amp;MID(L366,4,1),"x0x1x2x3x4x5x6x7x8x9"))),OR(5&gt;LEN(L366),MID(L366,5,1)=".",ISNUMBER(FIND("x"&amp;MID(L366,5,1),"x0x1x2x3x4x5x6x7x8x9"))),OR(6&gt;LEN(L366),MID(L366,6,1)=".",ISNUMBER(FIND("x"&amp;MID(L366,6,1),"x0x1x2x3x4x5x6x7x8x9"))),OR(7&gt;LEN(L366),MID(L366,7,1)=".",ISNUMBER(FIND("x"&amp;MID(L366,7,1),"x0x1x2x3x4x5x6x7x8x9"))),OR(8&gt;LEN(L366),MID(L366,8,1)=".",ISNUMBER(FIND("x"&amp;MID(L366,8,1),"x0x1x2x3x4x5x6x7x8x9"))),OR(9&gt;LEN(L366),MID(L366,9,1)=".",ISNUMBER(FIND("x"&amp;MID(L366,9,1),"x0x1x2x3x4x5x6x7x8x9"))),OR(10&gt;LEN(L366),MID(L366,10,1)=".",ISNUMBER(FIND("x"&amp;MID(L366,10,1),"x0x1x2x3x4x5x6x7x8x9"))),OR(AND(FIND(".",L366)=5,LEN(L366)-FIND(".",L366,FIND(".",L366)+1)&gt;=1,LEN(L366)-FIND(".",L366,FIND(".",L366)+1)&lt;=2),AND(LEN(L366)-FIND(".",L366,FIND(".",L366)+1)=4,FIND(".",L366)&gt;=2,FIND(".",L366)&lt;=3)),FIND(".",L366,FIND(".",L366)+1)-FIND(".",L366)&gt;=2,FIND(".",L366,FIND(".",L366)+1)-FIND(".",L366)&lt;=3,P366&gt;=2000,P366&lt;=2100,YEAR(S366)=P366,MONTH(S366)=Q366,DAY(S366)=R366),S366,0)),0)</ns0:f>
        <ns0:v>0</ns0:v>
      </ns0:c>
      <ns0:c r="U366" s="0" t="str">
        <ns0:f>IF(Bookings!C366="","Full day",Bookings!C366)</ns0:f>
        <ns0:v>Full day</ns0:v>
      </ns0:c>
      <ns0:c r="V366" s="0" t="str">
        <ns0:f>IF(Bookings!E366="","Full day",Bookings!E366)</ns0:f>
        <ns0:v>Full day</ns0:v>
      </ns0:c>
      <ns0:c r="W366" s="0">
        <ns0:f>IF(J366=0,0,J366+IF(U366="PM",1,0))</ns0:f>
        <ns0:v>0</ns0:v>
      </ns0:c>
      <ns0:c r="X366" s="0">
        <ns0:f>IF(T366=0,0,T366-IF(V366="PM",1,0))</ns0:f>
        <ns0:v>0</ns0:v>
      </ns0:c>
      <ns0:c r="Y366" s="0">
        <ns0:f>IF(J366=0,0,J366+IF(U366="AM",1,0))</ns0:f>
        <ns0:v>0</ns0:v>
      </ns0:c>
      <ns0:c r="Z366" s="0">
        <ns0:f>IF(T366=0,0,T366-IF(V366="AM",1,0))</ns0:f>
        <ns0:v>0</ns0:v>
      </ns0:c>
      <ns0:c r="AA366" s="0">
        <ns0:f>IFERROR(IF(AND(J366&gt;0,'_Engine'!C366&gt;0,MID('_Engine'!W366,WEEKDAY(J366,2),1)="W",COUNTIF(Settings!$F$18:$F$67,J366)=0),1,0),0)</ns0:f>
        <ns0:v>0</ns0:v>
      </ns0:c>
      <ns0:c r="AB366" s="0">
        <ns0:f>IFERROR(IF(AND(T366&gt;0,'_Engine'!C366&gt;0,MID('_Engine'!W366,WEEKDAY(T366,2),1)="W",COUNTIF(Settings!$F$18:$F$67,T366)=0),1,0),0)</ns0:f>
        <ns0:v>0</ns0:v>
      </ns0:c>
      <ns0:c r="AC366" s="0">
        <ns0:f>IF(AND(J366&gt;0,T366&gt;0,W366&lt;=X366),1,0)</ns0:f>
        <ns0:v>0</ns0:v>
      </ns0:c>
      <ns0:c r="AD366" s="0">
        <ns0:f>IF(AND(J366&gt;0,T366&gt;0,Y366&lt;=Z366),1,0)</ns0:f>
        <ns0:v>0</ns0:v>
      </ns0:c>
    </ns0:row>
    <ns0:row r="367">
      <ns0:c r="A367" s="0">
        <ns0:f>IFERROR(IF(ISNUMBER(Bookings!B367),"",TRIM(Bookings!B367&amp;"")),"")</ns0:f>
      </ns0:c>
      <ns0:c r="B367" s="0">
        <ns0:f>IFERROR(SUBSTITUTE(SUBSTITUTE(A367,"/","."),"-","."),"")</ns0:f>
      </ns0:c>
      <ns0:c r="C367" s="0">
        <ns0:f>IFERROR(LEFT(B367,FIND(".",B367)-1),"")</ns0:f>
      </ns0:c>
      <ns0:c r="D367" s="0">
        <ns0:f>IFERROR(MID(B367,FIND(".",B367)+1,FIND(".",B367,FIND(".",B367)+1)-FIND(".",B367)-1),"")</ns0:f>
      </ns0:c>
      <ns0:c r="E367" s="0">
        <ns0:f>IFERROR(MID(B367,FIND(".",B367,FIND(".",B367)+1)+1,99),"")</ns0:f>
        <ns0:v>99</ns0:v>
      </ns0:c>
      <ns0:c r="F367" s="0">
        <ns0:f>IFERROR(IF(FIND(".",B367)=5,--C367,--E367),0)</ns0:f>
        <ns0:v>0</ns0:v>
      </ns0:c>
      <ns0:c r="G367" s="0">
        <ns0:f>IFERROR(--D367,0)</ns0:f>
        <ns0:v>0</ns0:v>
      </ns0:c>
      <ns0:c r="H367" s="0">
        <ns0:f>IFERROR(IF(FIND(".",B367)=5,--E367,--C367),0)</ns0:f>
        <ns0:v>0</ns0:v>
      </ns0:c>
      <ns0:c r="I367" s="0">
        <ns0:f>IFERROR(IF(AND(F367&gt;=2000,F367&lt;=2100,G367&gt;=1,G367&lt;=12,H367&gt;=1,H367&lt;=31),DATE(F367,G367,H367),0),0)</ns0:f>
        <ns0:v>0</ns0:v>
      </ns0:c>
      <ns0:c r="J367" s="0">
        <ns0:f>IFERROR(IF(ISNUMBER(Bookings!B367),IF(AND(Bookings!B367=INT(Bookings!B367),Bookings!B367&gt;=DATE(2000,1,1),Bookings!B367&lt;=DATE(2100,12,31)),Bookings!B367,0),IF(AND(A367&lt;&gt;"",LEN("x"&amp;B367)-LEN(SUBSTITUTE("x"&amp;B367,".",""))=2,OR(1&gt;LEN(B367),MID(B367,1,1)=".",ISNUMBER(FIND("x"&amp;MID(B367,1,1),"x0x1x2x3x4x5x6x7x8x9"))),OR(2&gt;LEN(B367),MID(B367,2,1)=".",ISNUMBER(FIND("x"&amp;MID(B367,2,1),"x0x1x2x3x4x5x6x7x8x9"))),OR(3&gt;LEN(B367),MID(B367,3,1)=".",ISNUMBER(FIND("x"&amp;MID(B367,3,1),"x0x1x2x3x4x5x6x7x8x9"))),OR(4&gt;LEN(B367),MID(B367,4,1)=".",ISNUMBER(FIND("x"&amp;MID(B367,4,1),"x0x1x2x3x4x5x6x7x8x9"))),OR(5&gt;LEN(B367),MID(B367,5,1)=".",ISNUMBER(FIND("x"&amp;MID(B367,5,1),"x0x1x2x3x4x5x6x7x8x9"))),OR(6&gt;LEN(B367),MID(B367,6,1)=".",ISNUMBER(FIND("x"&amp;MID(B367,6,1),"x0x1x2x3x4x5x6x7x8x9"))),OR(7&gt;LEN(B367),MID(B367,7,1)=".",ISNUMBER(FIND("x"&amp;MID(B367,7,1),"x0x1x2x3x4x5x6x7x8x9"))),OR(8&gt;LEN(B367),MID(B367,8,1)=".",ISNUMBER(FIND("x"&amp;MID(B367,8,1),"x0x1x2x3x4x5x6x7x8x9"))),OR(9&gt;LEN(B367),MID(B367,9,1)=".",ISNUMBER(FIND("x"&amp;MID(B367,9,1),"x0x1x2x3x4x5x6x7x8x9"))),OR(10&gt;LEN(B367),MID(B367,10,1)=".",ISNUMBER(FIND("x"&amp;MID(B367,10,1),"x0x1x2x3x4x5x6x7x8x9"))),OR(AND(FIND(".",B367)=5,LEN(B367)-FIND(".",B367,FIND(".",B367)+1)&gt;=1,LEN(B367)-FIND(".",B367,FIND(".",B367)+1)&lt;=2),AND(LEN(B367)-FIND(".",B367,FIND(".",B367)+1)=4,FIND(".",B367)&gt;=2,FIND(".",B367)&lt;=3)),FIND(".",B367,FIND(".",B367)+1)-FIND(".",B367)&gt;=2,FIND(".",B367,FIND(".",B367)+1)-FIND(".",B367)&lt;=3,F367&gt;=2000,F367&lt;=2100,YEAR(I367)=F367,MONTH(I367)=G367,DAY(I367)=H367),I367,0)),0)</ns0:f>
        <ns0:v>0</ns0:v>
      </ns0:c>
      <ns0:c r="K367" s="0">
        <ns0:f>IFERROR(IF(ISNUMBER(Bookings!D367),"",TRIM(Bookings!D367&amp;"")),"")</ns0:f>
      </ns0:c>
      <ns0:c r="L367" s="0">
        <ns0:f>IFERROR(SUBSTITUTE(SUBSTITUTE(K367,"/","."),"-","."),"")</ns0:f>
      </ns0:c>
      <ns0:c r="M367" s="0">
        <ns0:f>IFERROR(LEFT(L367,FIND(".",L367)-1),"")</ns0:f>
      </ns0:c>
      <ns0:c r="N367" s="0">
        <ns0:f>IFERROR(MID(L367,FIND(".",L367)+1,FIND(".",L367,FIND(".",L367)+1)-FIND(".",L367)-1),"")</ns0:f>
      </ns0:c>
      <ns0:c r="O367" s="0">
        <ns0:f>IFERROR(MID(L367,FIND(".",L367,FIND(".",L367)+1)+1,99),"")</ns0:f>
        <ns0:v>99</ns0:v>
      </ns0:c>
      <ns0:c r="P367" s="0">
        <ns0:f>IFERROR(IF(FIND(".",L367)=5,--M367,--O367),0)</ns0:f>
        <ns0:v>0</ns0:v>
      </ns0:c>
      <ns0:c r="Q367" s="0">
        <ns0:f>IFERROR(--N367,0)</ns0:f>
        <ns0:v>0</ns0:v>
      </ns0:c>
      <ns0:c r="R367" s="0">
        <ns0:f>IFERROR(IF(FIND(".",L367)=5,--O367,--M367),0)</ns0:f>
        <ns0:v>0</ns0:v>
      </ns0:c>
      <ns0:c r="S367" s="0">
        <ns0:f>IFERROR(IF(AND(P367&gt;=2000,P367&lt;=2100,Q367&gt;=1,Q367&lt;=12,R367&gt;=1,R367&lt;=31),DATE(P367,Q367,R367),0),0)</ns0:f>
        <ns0:v>0</ns0:v>
      </ns0:c>
      <ns0:c r="T367" s="0">
        <ns0:f>IFERROR(IF(ISNUMBER(Bookings!D367),IF(AND(Bookings!D367=INT(Bookings!D367),Bookings!D367&gt;=DATE(2000,1,1),Bookings!D367&lt;=DATE(2100,12,31)),Bookings!D367,0),IF(AND(K367&lt;&gt;"",LEN("x"&amp;L367)-LEN(SUBSTITUTE("x"&amp;L367,".",""))=2,OR(1&gt;LEN(L367),MID(L367,1,1)=".",ISNUMBER(FIND("x"&amp;MID(L367,1,1),"x0x1x2x3x4x5x6x7x8x9"))),OR(2&gt;LEN(L367),MID(L367,2,1)=".",ISNUMBER(FIND("x"&amp;MID(L367,2,1),"x0x1x2x3x4x5x6x7x8x9"))),OR(3&gt;LEN(L367),MID(L367,3,1)=".",ISNUMBER(FIND("x"&amp;MID(L367,3,1),"x0x1x2x3x4x5x6x7x8x9"))),OR(4&gt;LEN(L367),MID(L367,4,1)=".",ISNUMBER(FIND("x"&amp;MID(L367,4,1),"x0x1x2x3x4x5x6x7x8x9"))),OR(5&gt;LEN(L367),MID(L367,5,1)=".",ISNUMBER(FIND("x"&amp;MID(L367,5,1),"x0x1x2x3x4x5x6x7x8x9"))),OR(6&gt;LEN(L367),MID(L367,6,1)=".",ISNUMBER(FIND("x"&amp;MID(L367,6,1),"x0x1x2x3x4x5x6x7x8x9"))),OR(7&gt;LEN(L367),MID(L367,7,1)=".",ISNUMBER(FIND("x"&amp;MID(L367,7,1),"x0x1x2x3x4x5x6x7x8x9"))),OR(8&gt;LEN(L367),MID(L367,8,1)=".",ISNUMBER(FIND("x"&amp;MID(L367,8,1),"x0x1x2x3x4x5x6x7x8x9"))),OR(9&gt;LEN(L367),MID(L367,9,1)=".",ISNUMBER(FIND("x"&amp;MID(L367,9,1),"x0x1x2x3x4x5x6x7x8x9"))),OR(10&gt;LEN(L367),MID(L367,10,1)=".",ISNUMBER(FIND("x"&amp;MID(L367,10,1),"x0x1x2x3x4x5x6x7x8x9"))),OR(AND(FIND(".",L367)=5,LEN(L367)-FIND(".",L367,FIND(".",L367)+1)&gt;=1,LEN(L367)-FIND(".",L367,FIND(".",L367)+1)&lt;=2),AND(LEN(L367)-FIND(".",L367,FIND(".",L367)+1)=4,FIND(".",L367)&gt;=2,FIND(".",L367)&lt;=3)),FIND(".",L367,FIND(".",L367)+1)-FIND(".",L367)&gt;=2,FIND(".",L367,FIND(".",L367)+1)-FIND(".",L367)&lt;=3,P367&gt;=2000,P367&lt;=2100,YEAR(S367)=P367,MONTH(S367)=Q367,DAY(S367)=R367),S367,0)),0)</ns0:f>
        <ns0:v>0</ns0:v>
      </ns0:c>
      <ns0:c r="U367" s="0" t="str">
        <ns0:f>IF(Bookings!C367="","Full day",Bookings!C367)</ns0:f>
        <ns0:v>Full day</ns0:v>
      </ns0:c>
      <ns0:c r="V367" s="0" t="str">
        <ns0:f>IF(Bookings!E367="","Full day",Bookings!E367)</ns0:f>
        <ns0:v>Full day</ns0:v>
      </ns0:c>
      <ns0:c r="W367" s="0">
        <ns0:f>IF(J367=0,0,J367+IF(U367="PM",1,0))</ns0:f>
        <ns0:v>0</ns0:v>
      </ns0:c>
      <ns0:c r="X367" s="0">
        <ns0:f>IF(T367=0,0,T367-IF(V367="PM",1,0))</ns0:f>
        <ns0:v>0</ns0:v>
      </ns0:c>
      <ns0:c r="Y367" s="0">
        <ns0:f>IF(J367=0,0,J367+IF(U367="AM",1,0))</ns0:f>
        <ns0:v>0</ns0:v>
      </ns0:c>
      <ns0:c r="Z367" s="0">
        <ns0:f>IF(T367=0,0,T367-IF(V367="AM",1,0))</ns0:f>
        <ns0:v>0</ns0:v>
      </ns0:c>
      <ns0:c r="AA367" s="0">
        <ns0:f>IFERROR(IF(AND(J367&gt;0,'_Engine'!C367&gt;0,MID('_Engine'!W367,WEEKDAY(J367,2),1)="W",COUNTIF(Settings!$F$18:$F$67,J367)=0),1,0),0)</ns0:f>
        <ns0:v>0</ns0:v>
      </ns0:c>
      <ns0:c r="AB367" s="0">
        <ns0:f>IFERROR(IF(AND(T367&gt;0,'_Engine'!C367&gt;0,MID('_Engine'!W367,WEEKDAY(T367,2),1)="W",COUNTIF(Settings!$F$18:$F$67,T367)=0),1,0),0)</ns0:f>
        <ns0:v>0</ns0:v>
      </ns0:c>
      <ns0:c r="AC367" s="0">
        <ns0:f>IF(AND(J367&gt;0,T367&gt;0,W367&lt;=X367),1,0)</ns0:f>
        <ns0:v>0</ns0:v>
      </ns0:c>
      <ns0:c r="AD367" s="0">
        <ns0:f>IF(AND(J367&gt;0,T367&gt;0,Y367&lt;=Z367),1,0)</ns0:f>
        <ns0:v>0</ns0:v>
      </ns0:c>
    </ns0:row>
    <ns0:row r="368">
      <ns0:c r="A368" s="0">
        <ns0:f>IFERROR(IF(ISNUMBER(Bookings!B368),"",TRIM(Bookings!B368&amp;"")),"")</ns0:f>
      </ns0:c>
      <ns0:c r="B368" s="0">
        <ns0:f>IFERROR(SUBSTITUTE(SUBSTITUTE(A368,"/","."),"-","."),"")</ns0:f>
      </ns0:c>
      <ns0:c r="C368" s="0">
        <ns0:f>IFERROR(LEFT(B368,FIND(".",B368)-1),"")</ns0:f>
      </ns0:c>
      <ns0:c r="D368" s="0">
        <ns0:f>IFERROR(MID(B368,FIND(".",B368)+1,FIND(".",B368,FIND(".",B368)+1)-FIND(".",B368)-1),"")</ns0:f>
      </ns0:c>
      <ns0:c r="E368" s="0">
        <ns0:f>IFERROR(MID(B368,FIND(".",B368,FIND(".",B368)+1)+1,99),"")</ns0:f>
        <ns0:v>99</ns0:v>
      </ns0:c>
      <ns0:c r="F368" s="0">
        <ns0:f>IFERROR(IF(FIND(".",B368)=5,--C368,--E368),0)</ns0:f>
        <ns0:v>0</ns0:v>
      </ns0:c>
      <ns0:c r="G368" s="0">
        <ns0:f>IFERROR(--D368,0)</ns0:f>
        <ns0:v>0</ns0:v>
      </ns0:c>
      <ns0:c r="H368" s="0">
        <ns0:f>IFERROR(IF(FIND(".",B368)=5,--E368,--C368),0)</ns0:f>
        <ns0:v>0</ns0:v>
      </ns0:c>
      <ns0:c r="I368" s="0">
        <ns0:f>IFERROR(IF(AND(F368&gt;=2000,F368&lt;=2100,G368&gt;=1,G368&lt;=12,H368&gt;=1,H368&lt;=31),DATE(F368,G368,H368),0),0)</ns0:f>
        <ns0:v>0</ns0:v>
      </ns0:c>
      <ns0:c r="J368" s="0">
        <ns0:f>IFERROR(IF(ISNUMBER(Bookings!B368),IF(AND(Bookings!B368=INT(Bookings!B368),Bookings!B368&gt;=DATE(2000,1,1),Bookings!B368&lt;=DATE(2100,12,31)),Bookings!B368,0),IF(AND(A368&lt;&gt;"",LEN("x"&amp;B368)-LEN(SUBSTITUTE("x"&amp;B368,".",""))=2,OR(1&gt;LEN(B368),MID(B368,1,1)=".",ISNUMBER(FIND("x"&amp;MID(B368,1,1),"x0x1x2x3x4x5x6x7x8x9"))),OR(2&gt;LEN(B368),MID(B368,2,1)=".",ISNUMBER(FIND("x"&amp;MID(B368,2,1),"x0x1x2x3x4x5x6x7x8x9"))),OR(3&gt;LEN(B368),MID(B368,3,1)=".",ISNUMBER(FIND("x"&amp;MID(B368,3,1),"x0x1x2x3x4x5x6x7x8x9"))),OR(4&gt;LEN(B368),MID(B368,4,1)=".",ISNUMBER(FIND("x"&amp;MID(B368,4,1),"x0x1x2x3x4x5x6x7x8x9"))),OR(5&gt;LEN(B368),MID(B368,5,1)=".",ISNUMBER(FIND("x"&amp;MID(B368,5,1),"x0x1x2x3x4x5x6x7x8x9"))),OR(6&gt;LEN(B368),MID(B368,6,1)=".",ISNUMBER(FIND("x"&amp;MID(B368,6,1),"x0x1x2x3x4x5x6x7x8x9"))),OR(7&gt;LEN(B368),MID(B368,7,1)=".",ISNUMBER(FIND("x"&amp;MID(B368,7,1),"x0x1x2x3x4x5x6x7x8x9"))),OR(8&gt;LEN(B368),MID(B368,8,1)=".",ISNUMBER(FIND("x"&amp;MID(B368,8,1),"x0x1x2x3x4x5x6x7x8x9"))),OR(9&gt;LEN(B368),MID(B368,9,1)=".",ISNUMBER(FIND("x"&amp;MID(B368,9,1),"x0x1x2x3x4x5x6x7x8x9"))),OR(10&gt;LEN(B368),MID(B368,10,1)=".",ISNUMBER(FIND("x"&amp;MID(B368,10,1),"x0x1x2x3x4x5x6x7x8x9"))),OR(AND(FIND(".",B368)=5,LEN(B368)-FIND(".",B368,FIND(".",B368)+1)&gt;=1,LEN(B368)-FIND(".",B368,FIND(".",B368)+1)&lt;=2),AND(LEN(B368)-FIND(".",B368,FIND(".",B368)+1)=4,FIND(".",B368)&gt;=2,FIND(".",B368)&lt;=3)),FIND(".",B368,FIND(".",B368)+1)-FIND(".",B368)&gt;=2,FIND(".",B368,FIND(".",B368)+1)-FIND(".",B368)&lt;=3,F368&gt;=2000,F368&lt;=2100,YEAR(I368)=F368,MONTH(I368)=G368,DAY(I368)=H368),I368,0)),0)</ns0:f>
        <ns0:v>0</ns0:v>
      </ns0:c>
      <ns0:c r="K368" s="0">
        <ns0:f>IFERROR(IF(ISNUMBER(Bookings!D368),"",TRIM(Bookings!D368&amp;"")),"")</ns0:f>
      </ns0:c>
      <ns0:c r="L368" s="0">
        <ns0:f>IFERROR(SUBSTITUTE(SUBSTITUTE(K368,"/","."),"-","."),"")</ns0:f>
      </ns0:c>
      <ns0:c r="M368" s="0">
        <ns0:f>IFERROR(LEFT(L368,FIND(".",L368)-1),"")</ns0:f>
      </ns0:c>
      <ns0:c r="N368" s="0">
        <ns0:f>IFERROR(MID(L368,FIND(".",L368)+1,FIND(".",L368,FIND(".",L368)+1)-FIND(".",L368)-1),"")</ns0:f>
      </ns0:c>
      <ns0:c r="O368" s="0">
        <ns0:f>IFERROR(MID(L368,FIND(".",L368,FIND(".",L368)+1)+1,99),"")</ns0:f>
        <ns0:v>99</ns0:v>
      </ns0:c>
      <ns0:c r="P368" s="0">
        <ns0:f>IFERROR(IF(FIND(".",L368)=5,--M368,--O368),0)</ns0:f>
        <ns0:v>0</ns0:v>
      </ns0:c>
      <ns0:c r="Q368" s="0">
        <ns0:f>IFERROR(--N368,0)</ns0:f>
        <ns0:v>0</ns0:v>
      </ns0:c>
      <ns0:c r="R368" s="0">
        <ns0:f>IFERROR(IF(FIND(".",L368)=5,--O368,--M368),0)</ns0:f>
        <ns0:v>0</ns0:v>
      </ns0:c>
      <ns0:c r="S368" s="0">
        <ns0:f>IFERROR(IF(AND(P368&gt;=2000,P368&lt;=2100,Q368&gt;=1,Q368&lt;=12,R368&gt;=1,R368&lt;=31),DATE(P368,Q368,R368),0),0)</ns0:f>
        <ns0:v>0</ns0:v>
      </ns0:c>
      <ns0:c r="T368" s="0">
        <ns0:f>IFERROR(IF(ISNUMBER(Bookings!D368),IF(AND(Bookings!D368=INT(Bookings!D368),Bookings!D368&gt;=DATE(2000,1,1),Bookings!D368&lt;=DATE(2100,12,31)),Bookings!D368,0),IF(AND(K368&lt;&gt;"",LEN("x"&amp;L368)-LEN(SUBSTITUTE("x"&amp;L368,".",""))=2,OR(1&gt;LEN(L368),MID(L368,1,1)=".",ISNUMBER(FIND("x"&amp;MID(L368,1,1),"x0x1x2x3x4x5x6x7x8x9"))),OR(2&gt;LEN(L368),MID(L368,2,1)=".",ISNUMBER(FIND("x"&amp;MID(L368,2,1),"x0x1x2x3x4x5x6x7x8x9"))),OR(3&gt;LEN(L368),MID(L368,3,1)=".",ISNUMBER(FIND("x"&amp;MID(L368,3,1),"x0x1x2x3x4x5x6x7x8x9"))),OR(4&gt;LEN(L368),MID(L368,4,1)=".",ISNUMBER(FIND("x"&amp;MID(L368,4,1),"x0x1x2x3x4x5x6x7x8x9"))),OR(5&gt;LEN(L368),MID(L368,5,1)=".",ISNUMBER(FIND("x"&amp;MID(L368,5,1),"x0x1x2x3x4x5x6x7x8x9"))),OR(6&gt;LEN(L368),MID(L368,6,1)=".",ISNUMBER(FIND("x"&amp;MID(L368,6,1),"x0x1x2x3x4x5x6x7x8x9"))),OR(7&gt;LEN(L368),MID(L368,7,1)=".",ISNUMBER(FIND("x"&amp;MID(L368,7,1),"x0x1x2x3x4x5x6x7x8x9"))),OR(8&gt;LEN(L368),MID(L368,8,1)=".",ISNUMBER(FIND("x"&amp;MID(L368,8,1),"x0x1x2x3x4x5x6x7x8x9"))),OR(9&gt;LEN(L368),MID(L368,9,1)=".",ISNUMBER(FIND("x"&amp;MID(L368,9,1),"x0x1x2x3x4x5x6x7x8x9"))),OR(10&gt;LEN(L368),MID(L368,10,1)=".",ISNUMBER(FIND("x"&amp;MID(L368,10,1),"x0x1x2x3x4x5x6x7x8x9"))),OR(AND(FIND(".",L368)=5,LEN(L368)-FIND(".",L368,FIND(".",L368)+1)&gt;=1,LEN(L368)-FIND(".",L368,FIND(".",L368)+1)&lt;=2),AND(LEN(L368)-FIND(".",L368,FIND(".",L368)+1)=4,FIND(".",L368)&gt;=2,FIND(".",L368)&lt;=3)),FIND(".",L368,FIND(".",L368)+1)-FIND(".",L368)&gt;=2,FIND(".",L368,FIND(".",L368)+1)-FIND(".",L368)&lt;=3,P368&gt;=2000,P368&lt;=2100,YEAR(S368)=P368,MONTH(S368)=Q368,DAY(S368)=R368),S368,0)),0)</ns0:f>
        <ns0:v>0</ns0:v>
      </ns0:c>
      <ns0:c r="U368" s="0" t="str">
        <ns0:f>IF(Bookings!C368="","Full day",Bookings!C368)</ns0:f>
        <ns0:v>Full day</ns0:v>
      </ns0:c>
      <ns0:c r="V368" s="0" t="str">
        <ns0:f>IF(Bookings!E368="","Full day",Bookings!E368)</ns0:f>
        <ns0:v>Full day</ns0:v>
      </ns0:c>
      <ns0:c r="W368" s="0">
        <ns0:f>IF(J368=0,0,J368+IF(U368="PM",1,0))</ns0:f>
        <ns0:v>0</ns0:v>
      </ns0:c>
      <ns0:c r="X368" s="0">
        <ns0:f>IF(T368=0,0,T368-IF(V368="PM",1,0))</ns0:f>
        <ns0:v>0</ns0:v>
      </ns0:c>
      <ns0:c r="Y368" s="0">
        <ns0:f>IF(J368=0,0,J368+IF(U368="AM",1,0))</ns0:f>
        <ns0:v>0</ns0:v>
      </ns0:c>
      <ns0:c r="Z368" s="0">
        <ns0:f>IF(T368=0,0,T368-IF(V368="AM",1,0))</ns0:f>
        <ns0:v>0</ns0:v>
      </ns0:c>
      <ns0:c r="AA368" s="0">
        <ns0:f>IFERROR(IF(AND(J368&gt;0,'_Engine'!C368&gt;0,MID('_Engine'!W368,WEEKDAY(J368,2),1)="W",COUNTIF(Settings!$F$18:$F$67,J368)=0),1,0),0)</ns0:f>
        <ns0:v>0</ns0:v>
      </ns0:c>
      <ns0:c r="AB368" s="0">
        <ns0:f>IFERROR(IF(AND(T368&gt;0,'_Engine'!C368&gt;0,MID('_Engine'!W368,WEEKDAY(T368,2),1)="W",COUNTIF(Settings!$F$18:$F$67,T368)=0),1,0),0)</ns0:f>
        <ns0:v>0</ns0:v>
      </ns0:c>
      <ns0:c r="AC368" s="0">
        <ns0:f>IF(AND(J368&gt;0,T368&gt;0,W368&lt;=X368),1,0)</ns0:f>
        <ns0:v>0</ns0:v>
      </ns0:c>
      <ns0:c r="AD368" s="0">
        <ns0:f>IF(AND(J368&gt;0,T368&gt;0,Y368&lt;=Z368),1,0)</ns0:f>
        <ns0:v>0</ns0:v>
      </ns0:c>
    </ns0:row>
    <ns0:row r="369">
      <ns0:c r="A369" s="0">
        <ns0:f>IFERROR(IF(ISNUMBER(Bookings!B369),"",TRIM(Bookings!B369&amp;"")),"")</ns0:f>
      </ns0:c>
      <ns0:c r="B369" s="0">
        <ns0:f>IFERROR(SUBSTITUTE(SUBSTITUTE(A369,"/","."),"-","."),"")</ns0:f>
      </ns0:c>
      <ns0:c r="C369" s="0">
        <ns0:f>IFERROR(LEFT(B369,FIND(".",B369)-1),"")</ns0:f>
      </ns0:c>
      <ns0:c r="D369" s="0">
        <ns0:f>IFERROR(MID(B369,FIND(".",B369)+1,FIND(".",B369,FIND(".",B369)+1)-FIND(".",B369)-1),"")</ns0:f>
      </ns0:c>
      <ns0:c r="E369" s="0">
        <ns0:f>IFERROR(MID(B369,FIND(".",B369,FIND(".",B369)+1)+1,99),"")</ns0:f>
        <ns0:v>99</ns0:v>
      </ns0:c>
      <ns0:c r="F369" s="0">
        <ns0:f>IFERROR(IF(FIND(".",B369)=5,--C369,--E369),0)</ns0:f>
        <ns0:v>0</ns0:v>
      </ns0:c>
      <ns0:c r="G369" s="0">
        <ns0:f>IFERROR(--D369,0)</ns0:f>
        <ns0:v>0</ns0:v>
      </ns0:c>
      <ns0:c r="H369" s="0">
        <ns0:f>IFERROR(IF(FIND(".",B369)=5,--E369,--C369),0)</ns0:f>
        <ns0:v>0</ns0:v>
      </ns0:c>
      <ns0:c r="I369" s="0">
        <ns0:f>IFERROR(IF(AND(F369&gt;=2000,F369&lt;=2100,G369&gt;=1,G369&lt;=12,H369&gt;=1,H369&lt;=31),DATE(F369,G369,H369),0),0)</ns0:f>
        <ns0:v>0</ns0:v>
      </ns0:c>
      <ns0:c r="J369" s="0">
        <ns0:f>IFERROR(IF(ISNUMBER(Bookings!B369),IF(AND(Bookings!B369=INT(Bookings!B369),Bookings!B369&gt;=DATE(2000,1,1),Bookings!B369&lt;=DATE(2100,12,31)),Bookings!B369,0),IF(AND(A369&lt;&gt;"",LEN("x"&amp;B369)-LEN(SUBSTITUTE("x"&amp;B369,".",""))=2,OR(1&gt;LEN(B369),MID(B369,1,1)=".",ISNUMBER(FIND("x"&amp;MID(B369,1,1),"x0x1x2x3x4x5x6x7x8x9"))),OR(2&gt;LEN(B369),MID(B369,2,1)=".",ISNUMBER(FIND("x"&amp;MID(B369,2,1),"x0x1x2x3x4x5x6x7x8x9"))),OR(3&gt;LEN(B369),MID(B369,3,1)=".",ISNUMBER(FIND("x"&amp;MID(B369,3,1),"x0x1x2x3x4x5x6x7x8x9"))),OR(4&gt;LEN(B369),MID(B369,4,1)=".",ISNUMBER(FIND("x"&amp;MID(B369,4,1),"x0x1x2x3x4x5x6x7x8x9"))),OR(5&gt;LEN(B369),MID(B369,5,1)=".",ISNUMBER(FIND("x"&amp;MID(B369,5,1),"x0x1x2x3x4x5x6x7x8x9"))),OR(6&gt;LEN(B369),MID(B369,6,1)=".",ISNUMBER(FIND("x"&amp;MID(B369,6,1),"x0x1x2x3x4x5x6x7x8x9"))),OR(7&gt;LEN(B369),MID(B369,7,1)=".",ISNUMBER(FIND("x"&amp;MID(B369,7,1),"x0x1x2x3x4x5x6x7x8x9"))),OR(8&gt;LEN(B369),MID(B369,8,1)=".",ISNUMBER(FIND("x"&amp;MID(B369,8,1),"x0x1x2x3x4x5x6x7x8x9"))),OR(9&gt;LEN(B369),MID(B369,9,1)=".",ISNUMBER(FIND("x"&amp;MID(B369,9,1),"x0x1x2x3x4x5x6x7x8x9"))),OR(10&gt;LEN(B369),MID(B369,10,1)=".",ISNUMBER(FIND("x"&amp;MID(B369,10,1),"x0x1x2x3x4x5x6x7x8x9"))),OR(AND(FIND(".",B369)=5,LEN(B369)-FIND(".",B369,FIND(".",B369)+1)&gt;=1,LEN(B369)-FIND(".",B369,FIND(".",B369)+1)&lt;=2),AND(LEN(B369)-FIND(".",B369,FIND(".",B369)+1)=4,FIND(".",B369)&gt;=2,FIND(".",B369)&lt;=3)),FIND(".",B369,FIND(".",B369)+1)-FIND(".",B369)&gt;=2,FIND(".",B369,FIND(".",B369)+1)-FIND(".",B369)&lt;=3,F369&gt;=2000,F369&lt;=2100,YEAR(I369)=F369,MONTH(I369)=G369,DAY(I369)=H369),I369,0)),0)</ns0:f>
        <ns0:v>0</ns0:v>
      </ns0:c>
      <ns0:c r="K369" s="0">
        <ns0:f>IFERROR(IF(ISNUMBER(Bookings!D369),"",TRIM(Bookings!D369&amp;"")),"")</ns0:f>
      </ns0:c>
      <ns0:c r="L369" s="0">
        <ns0:f>IFERROR(SUBSTITUTE(SUBSTITUTE(K369,"/","."),"-","."),"")</ns0:f>
      </ns0:c>
      <ns0:c r="M369" s="0">
        <ns0:f>IFERROR(LEFT(L369,FIND(".",L369)-1),"")</ns0:f>
      </ns0:c>
      <ns0:c r="N369" s="0">
        <ns0:f>IFERROR(MID(L369,FIND(".",L369)+1,FIND(".",L369,FIND(".",L369)+1)-FIND(".",L369)-1),"")</ns0:f>
      </ns0:c>
      <ns0:c r="O369" s="0">
        <ns0:f>IFERROR(MID(L369,FIND(".",L369,FIND(".",L369)+1)+1,99),"")</ns0:f>
        <ns0:v>99</ns0:v>
      </ns0:c>
      <ns0:c r="P369" s="0">
        <ns0:f>IFERROR(IF(FIND(".",L369)=5,--M369,--O369),0)</ns0:f>
        <ns0:v>0</ns0:v>
      </ns0:c>
      <ns0:c r="Q369" s="0">
        <ns0:f>IFERROR(--N369,0)</ns0:f>
        <ns0:v>0</ns0:v>
      </ns0:c>
      <ns0:c r="R369" s="0">
        <ns0:f>IFERROR(IF(FIND(".",L369)=5,--O369,--M369),0)</ns0:f>
        <ns0:v>0</ns0:v>
      </ns0:c>
      <ns0:c r="S369" s="0">
        <ns0:f>IFERROR(IF(AND(P369&gt;=2000,P369&lt;=2100,Q369&gt;=1,Q369&lt;=12,R369&gt;=1,R369&lt;=31),DATE(P369,Q369,R369),0),0)</ns0:f>
        <ns0:v>0</ns0:v>
      </ns0:c>
      <ns0:c r="T369" s="0">
        <ns0:f>IFERROR(IF(ISNUMBER(Bookings!D369),IF(AND(Bookings!D369=INT(Bookings!D369),Bookings!D369&gt;=DATE(2000,1,1),Bookings!D369&lt;=DATE(2100,12,31)),Bookings!D369,0),IF(AND(K369&lt;&gt;"",LEN("x"&amp;L369)-LEN(SUBSTITUTE("x"&amp;L369,".",""))=2,OR(1&gt;LEN(L369),MID(L369,1,1)=".",ISNUMBER(FIND("x"&amp;MID(L369,1,1),"x0x1x2x3x4x5x6x7x8x9"))),OR(2&gt;LEN(L369),MID(L369,2,1)=".",ISNUMBER(FIND("x"&amp;MID(L369,2,1),"x0x1x2x3x4x5x6x7x8x9"))),OR(3&gt;LEN(L369),MID(L369,3,1)=".",ISNUMBER(FIND("x"&amp;MID(L369,3,1),"x0x1x2x3x4x5x6x7x8x9"))),OR(4&gt;LEN(L369),MID(L369,4,1)=".",ISNUMBER(FIND("x"&amp;MID(L369,4,1),"x0x1x2x3x4x5x6x7x8x9"))),OR(5&gt;LEN(L369),MID(L369,5,1)=".",ISNUMBER(FIND("x"&amp;MID(L369,5,1),"x0x1x2x3x4x5x6x7x8x9"))),OR(6&gt;LEN(L369),MID(L369,6,1)=".",ISNUMBER(FIND("x"&amp;MID(L369,6,1),"x0x1x2x3x4x5x6x7x8x9"))),OR(7&gt;LEN(L369),MID(L369,7,1)=".",ISNUMBER(FIND("x"&amp;MID(L369,7,1),"x0x1x2x3x4x5x6x7x8x9"))),OR(8&gt;LEN(L369),MID(L369,8,1)=".",ISNUMBER(FIND("x"&amp;MID(L369,8,1),"x0x1x2x3x4x5x6x7x8x9"))),OR(9&gt;LEN(L369),MID(L369,9,1)=".",ISNUMBER(FIND("x"&amp;MID(L369,9,1),"x0x1x2x3x4x5x6x7x8x9"))),OR(10&gt;LEN(L369),MID(L369,10,1)=".",ISNUMBER(FIND("x"&amp;MID(L369,10,1),"x0x1x2x3x4x5x6x7x8x9"))),OR(AND(FIND(".",L369)=5,LEN(L369)-FIND(".",L369,FIND(".",L369)+1)&gt;=1,LEN(L369)-FIND(".",L369,FIND(".",L369)+1)&lt;=2),AND(LEN(L369)-FIND(".",L369,FIND(".",L369)+1)=4,FIND(".",L369)&gt;=2,FIND(".",L369)&lt;=3)),FIND(".",L369,FIND(".",L369)+1)-FIND(".",L369)&gt;=2,FIND(".",L369,FIND(".",L369)+1)-FIND(".",L369)&lt;=3,P369&gt;=2000,P369&lt;=2100,YEAR(S369)=P369,MONTH(S369)=Q369,DAY(S369)=R369),S369,0)),0)</ns0:f>
        <ns0:v>0</ns0:v>
      </ns0:c>
      <ns0:c r="U369" s="0" t="str">
        <ns0:f>IF(Bookings!C369="","Full day",Bookings!C369)</ns0:f>
        <ns0:v>Full day</ns0:v>
      </ns0:c>
      <ns0:c r="V369" s="0" t="str">
        <ns0:f>IF(Bookings!E369="","Full day",Bookings!E369)</ns0:f>
        <ns0:v>Full day</ns0:v>
      </ns0:c>
      <ns0:c r="W369" s="0">
        <ns0:f>IF(J369=0,0,J369+IF(U369="PM",1,0))</ns0:f>
        <ns0:v>0</ns0:v>
      </ns0:c>
      <ns0:c r="X369" s="0">
        <ns0:f>IF(T369=0,0,T369-IF(V369="PM",1,0))</ns0:f>
        <ns0:v>0</ns0:v>
      </ns0:c>
      <ns0:c r="Y369" s="0">
        <ns0:f>IF(J369=0,0,J369+IF(U369="AM",1,0))</ns0:f>
        <ns0:v>0</ns0:v>
      </ns0:c>
      <ns0:c r="Z369" s="0">
        <ns0:f>IF(T369=0,0,T369-IF(V369="AM",1,0))</ns0:f>
        <ns0:v>0</ns0:v>
      </ns0:c>
      <ns0:c r="AA369" s="0">
        <ns0:f>IFERROR(IF(AND(J369&gt;0,'_Engine'!C369&gt;0,MID('_Engine'!W369,WEEKDAY(J369,2),1)="W",COUNTIF(Settings!$F$18:$F$67,J369)=0),1,0),0)</ns0:f>
        <ns0:v>0</ns0:v>
      </ns0:c>
      <ns0:c r="AB369" s="0">
        <ns0:f>IFERROR(IF(AND(T369&gt;0,'_Engine'!C369&gt;0,MID('_Engine'!W369,WEEKDAY(T369,2),1)="W",COUNTIF(Settings!$F$18:$F$67,T369)=0),1,0),0)</ns0:f>
        <ns0:v>0</ns0:v>
      </ns0:c>
      <ns0:c r="AC369" s="0">
        <ns0:f>IF(AND(J369&gt;0,T369&gt;0,W369&lt;=X369),1,0)</ns0:f>
        <ns0:v>0</ns0:v>
      </ns0:c>
      <ns0:c r="AD369" s="0">
        <ns0:f>IF(AND(J369&gt;0,T369&gt;0,Y369&lt;=Z369),1,0)</ns0:f>
        <ns0:v>0</ns0:v>
      </ns0:c>
    </ns0:row>
    <ns0:row r="370">
      <ns0:c r="A370" s="0">
        <ns0:f>IFERROR(IF(ISNUMBER(Bookings!B370),"",TRIM(Bookings!B370&amp;"")),"")</ns0:f>
      </ns0:c>
      <ns0:c r="B370" s="0">
        <ns0:f>IFERROR(SUBSTITUTE(SUBSTITUTE(A370,"/","."),"-","."),"")</ns0:f>
      </ns0:c>
      <ns0:c r="C370" s="0">
        <ns0:f>IFERROR(LEFT(B370,FIND(".",B370)-1),"")</ns0:f>
      </ns0:c>
      <ns0:c r="D370" s="0">
        <ns0:f>IFERROR(MID(B370,FIND(".",B370)+1,FIND(".",B370,FIND(".",B370)+1)-FIND(".",B370)-1),"")</ns0:f>
      </ns0:c>
      <ns0:c r="E370" s="0">
        <ns0:f>IFERROR(MID(B370,FIND(".",B370,FIND(".",B370)+1)+1,99),"")</ns0:f>
        <ns0:v>99</ns0:v>
      </ns0:c>
      <ns0:c r="F370" s="0">
        <ns0:f>IFERROR(IF(FIND(".",B370)=5,--C370,--E370),0)</ns0:f>
        <ns0:v>0</ns0:v>
      </ns0:c>
      <ns0:c r="G370" s="0">
        <ns0:f>IFERROR(--D370,0)</ns0:f>
        <ns0:v>0</ns0:v>
      </ns0:c>
      <ns0:c r="H370" s="0">
        <ns0:f>IFERROR(IF(FIND(".",B370)=5,--E370,--C370),0)</ns0:f>
        <ns0:v>0</ns0:v>
      </ns0:c>
      <ns0:c r="I370" s="0">
        <ns0:f>IFERROR(IF(AND(F370&gt;=2000,F370&lt;=2100,G370&gt;=1,G370&lt;=12,H370&gt;=1,H370&lt;=31),DATE(F370,G370,H370),0),0)</ns0:f>
        <ns0:v>0</ns0:v>
      </ns0:c>
      <ns0:c r="J370" s="0">
        <ns0:f>IFERROR(IF(ISNUMBER(Bookings!B370),IF(AND(Bookings!B370=INT(Bookings!B370),Bookings!B370&gt;=DATE(2000,1,1),Bookings!B370&lt;=DATE(2100,12,31)),Bookings!B370,0),IF(AND(A370&lt;&gt;"",LEN("x"&amp;B370)-LEN(SUBSTITUTE("x"&amp;B370,".",""))=2,OR(1&gt;LEN(B370),MID(B370,1,1)=".",ISNUMBER(FIND("x"&amp;MID(B370,1,1),"x0x1x2x3x4x5x6x7x8x9"))),OR(2&gt;LEN(B370),MID(B370,2,1)=".",ISNUMBER(FIND("x"&amp;MID(B370,2,1),"x0x1x2x3x4x5x6x7x8x9"))),OR(3&gt;LEN(B370),MID(B370,3,1)=".",ISNUMBER(FIND("x"&amp;MID(B370,3,1),"x0x1x2x3x4x5x6x7x8x9"))),OR(4&gt;LEN(B370),MID(B370,4,1)=".",ISNUMBER(FIND("x"&amp;MID(B370,4,1),"x0x1x2x3x4x5x6x7x8x9"))),OR(5&gt;LEN(B370),MID(B370,5,1)=".",ISNUMBER(FIND("x"&amp;MID(B370,5,1),"x0x1x2x3x4x5x6x7x8x9"))),OR(6&gt;LEN(B370),MID(B370,6,1)=".",ISNUMBER(FIND("x"&amp;MID(B370,6,1),"x0x1x2x3x4x5x6x7x8x9"))),OR(7&gt;LEN(B370),MID(B370,7,1)=".",ISNUMBER(FIND("x"&amp;MID(B370,7,1),"x0x1x2x3x4x5x6x7x8x9"))),OR(8&gt;LEN(B370),MID(B370,8,1)=".",ISNUMBER(FIND("x"&amp;MID(B370,8,1),"x0x1x2x3x4x5x6x7x8x9"))),OR(9&gt;LEN(B370),MID(B370,9,1)=".",ISNUMBER(FIND("x"&amp;MID(B370,9,1),"x0x1x2x3x4x5x6x7x8x9"))),OR(10&gt;LEN(B370),MID(B370,10,1)=".",ISNUMBER(FIND("x"&amp;MID(B370,10,1),"x0x1x2x3x4x5x6x7x8x9"))),OR(AND(FIND(".",B370)=5,LEN(B370)-FIND(".",B370,FIND(".",B370)+1)&gt;=1,LEN(B370)-FIND(".",B370,FIND(".",B370)+1)&lt;=2),AND(LEN(B370)-FIND(".",B370,FIND(".",B370)+1)=4,FIND(".",B370)&gt;=2,FIND(".",B370)&lt;=3)),FIND(".",B370,FIND(".",B370)+1)-FIND(".",B370)&gt;=2,FIND(".",B370,FIND(".",B370)+1)-FIND(".",B370)&lt;=3,F370&gt;=2000,F370&lt;=2100,YEAR(I370)=F370,MONTH(I370)=G370,DAY(I370)=H370),I370,0)),0)</ns0:f>
        <ns0:v>0</ns0:v>
      </ns0:c>
      <ns0:c r="K370" s="0">
        <ns0:f>IFERROR(IF(ISNUMBER(Bookings!D370),"",TRIM(Bookings!D370&amp;"")),"")</ns0:f>
      </ns0:c>
      <ns0:c r="L370" s="0">
        <ns0:f>IFERROR(SUBSTITUTE(SUBSTITUTE(K370,"/","."),"-","."),"")</ns0:f>
      </ns0:c>
      <ns0:c r="M370" s="0">
        <ns0:f>IFERROR(LEFT(L370,FIND(".",L370)-1),"")</ns0:f>
      </ns0:c>
      <ns0:c r="N370" s="0">
        <ns0:f>IFERROR(MID(L370,FIND(".",L370)+1,FIND(".",L370,FIND(".",L370)+1)-FIND(".",L370)-1),"")</ns0:f>
      </ns0:c>
      <ns0:c r="O370" s="0">
        <ns0:f>IFERROR(MID(L370,FIND(".",L370,FIND(".",L370)+1)+1,99),"")</ns0:f>
        <ns0:v>99</ns0:v>
      </ns0:c>
      <ns0:c r="P370" s="0">
        <ns0:f>IFERROR(IF(FIND(".",L370)=5,--M370,--O370),0)</ns0:f>
        <ns0:v>0</ns0:v>
      </ns0:c>
      <ns0:c r="Q370" s="0">
        <ns0:f>IFERROR(--N370,0)</ns0:f>
        <ns0:v>0</ns0:v>
      </ns0:c>
      <ns0:c r="R370" s="0">
        <ns0:f>IFERROR(IF(FIND(".",L370)=5,--O370,--M370),0)</ns0:f>
        <ns0:v>0</ns0:v>
      </ns0:c>
      <ns0:c r="S370" s="0">
        <ns0:f>IFERROR(IF(AND(P370&gt;=2000,P370&lt;=2100,Q370&gt;=1,Q370&lt;=12,R370&gt;=1,R370&lt;=31),DATE(P370,Q370,R370),0),0)</ns0:f>
        <ns0:v>0</ns0:v>
      </ns0:c>
      <ns0:c r="T370" s="0">
        <ns0:f>IFERROR(IF(ISNUMBER(Bookings!D370),IF(AND(Bookings!D370=INT(Bookings!D370),Bookings!D370&gt;=DATE(2000,1,1),Bookings!D370&lt;=DATE(2100,12,31)),Bookings!D370,0),IF(AND(K370&lt;&gt;"",LEN("x"&amp;L370)-LEN(SUBSTITUTE("x"&amp;L370,".",""))=2,OR(1&gt;LEN(L370),MID(L370,1,1)=".",ISNUMBER(FIND("x"&amp;MID(L370,1,1),"x0x1x2x3x4x5x6x7x8x9"))),OR(2&gt;LEN(L370),MID(L370,2,1)=".",ISNUMBER(FIND("x"&amp;MID(L370,2,1),"x0x1x2x3x4x5x6x7x8x9"))),OR(3&gt;LEN(L370),MID(L370,3,1)=".",ISNUMBER(FIND("x"&amp;MID(L370,3,1),"x0x1x2x3x4x5x6x7x8x9"))),OR(4&gt;LEN(L370),MID(L370,4,1)=".",ISNUMBER(FIND("x"&amp;MID(L370,4,1),"x0x1x2x3x4x5x6x7x8x9"))),OR(5&gt;LEN(L370),MID(L370,5,1)=".",ISNUMBER(FIND("x"&amp;MID(L370,5,1),"x0x1x2x3x4x5x6x7x8x9"))),OR(6&gt;LEN(L370),MID(L370,6,1)=".",ISNUMBER(FIND("x"&amp;MID(L370,6,1),"x0x1x2x3x4x5x6x7x8x9"))),OR(7&gt;LEN(L370),MID(L370,7,1)=".",ISNUMBER(FIND("x"&amp;MID(L370,7,1),"x0x1x2x3x4x5x6x7x8x9"))),OR(8&gt;LEN(L370),MID(L370,8,1)=".",ISNUMBER(FIND("x"&amp;MID(L370,8,1),"x0x1x2x3x4x5x6x7x8x9"))),OR(9&gt;LEN(L370),MID(L370,9,1)=".",ISNUMBER(FIND("x"&amp;MID(L370,9,1),"x0x1x2x3x4x5x6x7x8x9"))),OR(10&gt;LEN(L370),MID(L370,10,1)=".",ISNUMBER(FIND("x"&amp;MID(L370,10,1),"x0x1x2x3x4x5x6x7x8x9"))),OR(AND(FIND(".",L370)=5,LEN(L370)-FIND(".",L370,FIND(".",L370)+1)&gt;=1,LEN(L370)-FIND(".",L370,FIND(".",L370)+1)&lt;=2),AND(LEN(L370)-FIND(".",L370,FIND(".",L370)+1)=4,FIND(".",L370)&gt;=2,FIND(".",L370)&lt;=3)),FIND(".",L370,FIND(".",L370)+1)-FIND(".",L370)&gt;=2,FIND(".",L370,FIND(".",L370)+1)-FIND(".",L370)&lt;=3,P370&gt;=2000,P370&lt;=2100,YEAR(S370)=P370,MONTH(S370)=Q370,DAY(S370)=R370),S370,0)),0)</ns0:f>
        <ns0:v>0</ns0:v>
      </ns0:c>
      <ns0:c r="U370" s="0" t="str">
        <ns0:f>IF(Bookings!C370="","Full day",Bookings!C370)</ns0:f>
        <ns0:v>Full day</ns0:v>
      </ns0:c>
      <ns0:c r="V370" s="0" t="str">
        <ns0:f>IF(Bookings!E370="","Full day",Bookings!E370)</ns0:f>
        <ns0:v>Full day</ns0:v>
      </ns0:c>
      <ns0:c r="W370" s="0">
        <ns0:f>IF(J370=0,0,J370+IF(U370="PM",1,0))</ns0:f>
        <ns0:v>0</ns0:v>
      </ns0:c>
      <ns0:c r="X370" s="0">
        <ns0:f>IF(T370=0,0,T370-IF(V370="PM",1,0))</ns0:f>
        <ns0:v>0</ns0:v>
      </ns0:c>
      <ns0:c r="Y370" s="0">
        <ns0:f>IF(J370=0,0,J370+IF(U370="AM",1,0))</ns0:f>
        <ns0:v>0</ns0:v>
      </ns0:c>
      <ns0:c r="Z370" s="0">
        <ns0:f>IF(T370=0,0,T370-IF(V370="AM",1,0))</ns0:f>
        <ns0:v>0</ns0:v>
      </ns0:c>
      <ns0:c r="AA370" s="0">
        <ns0:f>IFERROR(IF(AND(J370&gt;0,'_Engine'!C370&gt;0,MID('_Engine'!W370,WEEKDAY(J370,2),1)="W",COUNTIF(Settings!$F$18:$F$67,J370)=0),1,0),0)</ns0:f>
        <ns0:v>0</ns0:v>
      </ns0:c>
      <ns0:c r="AB370" s="0">
        <ns0:f>IFERROR(IF(AND(T370&gt;0,'_Engine'!C370&gt;0,MID('_Engine'!W370,WEEKDAY(T370,2),1)="W",COUNTIF(Settings!$F$18:$F$67,T370)=0),1,0),0)</ns0:f>
        <ns0:v>0</ns0:v>
      </ns0:c>
      <ns0:c r="AC370" s="0">
        <ns0:f>IF(AND(J370&gt;0,T370&gt;0,W370&lt;=X370),1,0)</ns0:f>
        <ns0:v>0</ns0:v>
      </ns0:c>
      <ns0:c r="AD370" s="0">
        <ns0:f>IF(AND(J370&gt;0,T370&gt;0,Y370&lt;=Z370),1,0)</ns0:f>
        <ns0:v>0</ns0:v>
      </ns0:c>
    </ns0:row>
    <ns0:row r="371">
      <ns0:c r="A371" s="0">
        <ns0:f>IFERROR(IF(ISNUMBER(Bookings!B371),"",TRIM(Bookings!B371&amp;"")),"")</ns0:f>
      </ns0:c>
      <ns0:c r="B371" s="0">
        <ns0:f>IFERROR(SUBSTITUTE(SUBSTITUTE(A371,"/","."),"-","."),"")</ns0:f>
      </ns0:c>
      <ns0:c r="C371" s="0">
        <ns0:f>IFERROR(LEFT(B371,FIND(".",B371)-1),"")</ns0:f>
      </ns0:c>
      <ns0:c r="D371" s="0">
        <ns0:f>IFERROR(MID(B371,FIND(".",B371)+1,FIND(".",B371,FIND(".",B371)+1)-FIND(".",B371)-1),"")</ns0:f>
      </ns0:c>
      <ns0:c r="E371" s="0">
        <ns0:f>IFERROR(MID(B371,FIND(".",B371,FIND(".",B371)+1)+1,99),"")</ns0:f>
        <ns0:v>99</ns0:v>
      </ns0:c>
      <ns0:c r="F371" s="0">
        <ns0:f>IFERROR(IF(FIND(".",B371)=5,--C371,--E371),0)</ns0:f>
        <ns0:v>0</ns0:v>
      </ns0:c>
      <ns0:c r="G371" s="0">
        <ns0:f>IFERROR(--D371,0)</ns0:f>
        <ns0:v>0</ns0:v>
      </ns0:c>
      <ns0:c r="H371" s="0">
        <ns0:f>IFERROR(IF(FIND(".",B371)=5,--E371,--C371),0)</ns0:f>
        <ns0:v>0</ns0:v>
      </ns0:c>
      <ns0:c r="I371" s="0">
        <ns0:f>IFERROR(IF(AND(F371&gt;=2000,F371&lt;=2100,G371&gt;=1,G371&lt;=12,H371&gt;=1,H371&lt;=31),DATE(F371,G371,H371),0),0)</ns0:f>
        <ns0:v>0</ns0:v>
      </ns0:c>
      <ns0:c r="J371" s="0">
        <ns0:f>IFERROR(IF(ISNUMBER(Bookings!B371),IF(AND(Bookings!B371=INT(Bookings!B371),Bookings!B371&gt;=DATE(2000,1,1),Bookings!B371&lt;=DATE(2100,12,31)),Bookings!B371,0),IF(AND(A371&lt;&gt;"",LEN("x"&amp;B371)-LEN(SUBSTITUTE("x"&amp;B371,".",""))=2,OR(1&gt;LEN(B371),MID(B371,1,1)=".",ISNUMBER(FIND("x"&amp;MID(B371,1,1),"x0x1x2x3x4x5x6x7x8x9"))),OR(2&gt;LEN(B371),MID(B371,2,1)=".",ISNUMBER(FIND("x"&amp;MID(B371,2,1),"x0x1x2x3x4x5x6x7x8x9"))),OR(3&gt;LEN(B371),MID(B371,3,1)=".",ISNUMBER(FIND("x"&amp;MID(B371,3,1),"x0x1x2x3x4x5x6x7x8x9"))),OR(4&gt;LEN(B371),MID(B371,4,1)=".",ISNUMBER(FIND("x"&amp;MID(B371,4,1),"x0x1x2x3x4x5x6x7x8x9"))),OR(5&gt;LEN(B371),MID(B371,5,1)=".",ISNUMBER(FIND("x"&amp;MID(B371,5,1),"x0x1x2x3x4x5x6x7x8x9"))),OR(6&gt;LEN(B371),MID(B371,6,1)=".",ISNUMBER(FIND("x"&amp;MID(B371,6,1),"x0x1x2x3x4x5x6x7x8x9"))),OR(7&gt;LEN(B371),MID(B371,7,1)=".",ISNUMBER(FIND("x"&amp;MID(B371,7,1),"x0x1x2x3x4x5x6x7x8x9"))),OR(8&gt;LEN(B371),MID(B371,8,1)=".",ISNUMBER(FIND("x"&amp;MID(B371,8,1),"x0x1x2x3x4x5x6x7x8x9"))),OR(9&gt;LEN(B371),MID(B371,9,1)=".",ISNUMBER(FIND("x"&amp;MID(B371,9,1),"x0x1x2x3x4x5x6x7x8x9"))),OR(10&gt;LEN(B371),MID(B371,10,1)=".",ISNUMBER(FIND("x"&amp;MID(B371,10,1),"x0x1x2x3x4x5x6x7x8x9"))),OR(AND(FIND(".",B371)=5,LEN(B371)-FIND(".",B371,FIND(".",B371)+1)&gt;=1,LEN(B371)-FIND(".",B371,FIND(".",B371)+1)&lt;=2),AND(LEN(B371)-FIND(".",B371,FIND(".",B371)+1)=4,FIND(".",B371)&gt;=2,FIND(".",B371)&lt;=3)),FIND(".",B371,FIND(".",B371)+1)-FIND(".",B371)&gt;=2,FIND(".",B371,FIND(".",B371)+1)-FIND(".",B371)&lt;=3,F371&gt;=2000,F371&lt;=2100,YEAR(I371)=F371,MONTH(I371)=G371,DAY(I371)=H371),I371,0)),0)</ns0:f>
        <ns0:v>0</ns0:v>
      </ns0:c>
      <ns0:c r="K371" s="0">
        <ns0:f>IFERROR(IF(ISNUMBER(Bookings!D371),"",TRIM(Bookings!D371&amp;"")),"")</ns0:f>
      </ns0:c>
      <ns0:c r="L371" s="0">
        <ns0:f>IFERROR(SUBSTITUTE(SUBSTITUTE(K371,"/","."),"-","."),"")</ns0:f>
      </ns0:c>
      <ns0:c r="M371" s="0">
        <ns0:f>IFERROR(LEFT(L371,FIND(".",L371)-1),"")</ns0:f>
      </ns0:c>
      <ns0:c r="N371" s="0">
        <ns0:f>IFERROR(MID(L371,FIND(".",L371)+1,FIND(".",L371,FIND(".",L371)+1)-FIND(".",L371)-1),"")</ns0:f>
      </ns0:c>
      <ns0:c r="O371" s="0">
        <ns0:f>IFERROR(MID(L371,FIND(".",L371,FIND(".",L371)+1)+1,99),"")</ns0:f>
        <ns0:v>99</ns0:v>
      </ns0:c>
      <ns0:c r="P371" s="0">
        <ns0:f>IFERROR(IF(FIND(".",L371)=5,--M371,--O371),0)</ns0:f>
        <ns0:v>0</ns0:v>
      </ns0:c>
      <ns0:c r="Q371" s="0">
        <ns0:f>IFERROR(--N371,0)</ns0:f>
        <ns0:v>0</ns0:v>
      </ns0:c>
      <ns0:c r="R371" s="0">
        <ns0:f>IFERROR(IF(FIND(".",L371)=5,--O371,--M371),0)</ns0:f>
        <ns0:v>0</ns0:v>
      </ns0:c>
      <ns0:c r="S371" s="0">
        <ns0:f>IFERROR(IF(AND(P371&gt;=2000,P371&lt;=2100,Q371&gt;=1,Q371&lt;=12,R371&gt;=1,R371&lt;=31),DATE(P371,Q371,R371),0),0)</ns0:f>
        <ns0:v>0</ns0:v>
      </ns0:c>
      <ns0:c r="T371" s="0">
        <ns0:f>IFERROR(IF(ISNUMBER(Bookings!D371),IF(AND(Bookings!D371=INT(Bookings!D371),Bookings!D371&gt;=DATE(2000,1,1),Bookings!D371&lt;=DATE(2100,12,31)),Bookings!D371,0),IF(AND(K371&lt;&gt;"",LEN("x"&amp;L371)-LEN(SUBSTITUTE("x"&amp;L371,".",""))=2,OR(1&gt;LEN(L371),MID(L371,1,1)=".",ISNUMBER(FIND("x"&amp;MID(L371,1,1),"x0x1x2x3x4x5x6x7x8x9"))),OR(2&gt;LEN(L371),MID(L371,2,1)=".",ISNUMBER(FIND("x"&amp;MID(L371,2,1),"x0x1x2x3x4x5x6x7x8x9"))),OR(3&gt;LEN(L371),MID(L371,3,1)=".",ISNUMBER(FIND("x"&amp;MID(L371,3,1),"x0x1x2x3x4x5x6x7x8x9"))),OR(4&gt;LEN(L371),MID(L371,4,1)=".",ISNUMBER(FIND("x"&amp;MID(L371,4,1),"x0x1x2x3x4x5x6x7x8x9"))),OR(5&gt;LEN(L371),MID(L371,5,1)=".",ISNUMBER(FIND("x"&amp;MID(L371,5,1),"x0x1x2x3x4x5x6x7x8x9"))),OR(6&gt;LEN(L371),MID(L371,6,1)=".",ISNUMBER(FIND("x"&amp;MID(L371,6,1),"x0x1x2x3x4x5x6x7x8x9"))),OR(7&gt;LEN(L371),MID(L371,7,1)=".",ISNUMBER(FIND("x"&amp;MID(L371,7,1),"x0x1x2x3x4x5x6x7x8x9"))),OR(8&gt;LEN(L371),MID(L371,8,1)=".",ISNUMBER(FIND("x"&amp;MID(L371,8,1),"x0x1x2x3x4x5x6x7x8x9"))),OR(9&gt;LEN(L371),MID(L371,9,1)=".",ISNUMBER(FIND("x"&amp;MID(L371,9,1),"x0x1x2x3x4x5x6x7x8x9"))),OR(10&gt;LEN(L371),MID(L371,10,1)=".",ISNUMBER(FIND("x"&amp;MID(L371,10,1),"x0x1x2x3x4x5x6x7x8x9"))),OR(AND(FIND(".",L371)=5,LEN(L371)-FIND(".",L371,FIND(".",L371)+1)&gt;=1,LEN(L371)-FIND(".",L371,FIND(".",L371)+1)&lt;=2),AND(LEN(L371)-FIND(".",L371,FIND(".",L371)+1)=4,FIND(".",L371)&gt;=2,FIND(".",L371)&lt;=3)),FIND(".",L371,FIND(".",L371)+1)-FIND(".",L371)&gt;=2,FIND(".",L371,FIND(".",L371)+1)-FIND(".",L371)&lt;=3,P371&gt;=2000,P371&lt;=2100,YEAR(S371)=P371,MONTH(S371)=Q371,DAY(S371)=R371),S371,0)),0)</ns0:f>
        <ns0:v>0</ns0:v>
      </ns0:c>
      <ns0:c r="U371" s="0" t="str">
        <ns0:f>IF(Bookings!C371="","Full day",Bookings!C371)</ns0:f>
        <ns0:v>Full day</ns0:v>
      </ns0:c>
      <ns0:c r="V371" s="0" t="str">
        <ns0:f>IF(Bookings!E371="","Full day",Bookings!E371)</ns0:f>
        <ns0:v>Full day</ns0:v>
      </ns0:c>
      <ns0:c r="W371" s="0">
        <ns0:f>IF(J371=0,0,J371+IF(U371="PM",1,0))</ns0:f>
        <ns0:v>0</ns0:v>
      </ns0:c>
      <ns0:c r="X371" s="0">
        <ns0:f>IF(T371=0,0,T371-IF(V371="PM",1,0))</ns0:f>
        <ns0:v>0</ns0:v>
      </ns0:c>
      <ns0:c r="Y371" s="0">
        <ns0:f>IF(J371=0,0,J371+IF(U371="AM",1,0))</ns0:f>
        <ns0:v>0</ns0:v>
      </ns0:c>
      <ns0:c r="Z371" s="0">
        <ns0:f>IF(T371=0,0,T371-IF(V371="AM",1,0))</ns0:f>
        <ns0:v>0</ns0:v>
      </ns0:c>
      <ns0:c r="AA371" s="0">
        <ns0:f>IFERROR(IF(AND(J371&gt;0,'_Engine'!C371&gt;0,MID('_Engine'!W371,WEEKDAY(J371,2),1)="W",COUNTIF(Settings!$F$18:$F$67,J371)=0),1,0),0)</ns0:f>
        <ns0:v>0</ns0:v>
      </ns0:c>
      <ns0:c r="AB371" s="0">
        <ns0:f>IFERROR(IF(AND(T371&gt;0,'_Engine'!C371&gt;0,MID('_Engine'!W371,WEEKDAY(T371,2),1)="W",COUNTIF(Settings!$F$18:$F$67,T371)=0),1,0),0)</ns0:f>
        <ns0:v>0</ns0:v>
      </ns0:c>
      <ns0:c r="AC371" s="0">
        <ns0:f>IF(AND(J371&gt;0,T371&gt;0,W371&lt;=X371),1,0)</ns0:f>
        <ns0:v>0</ns0:v>
      </ns0:c>
      <ns0:c r="AD371" s="0">
        <ns0:f>IF(AND(J371&gt;0,T371&gt;0,Y371&lt;=Z371),1,0)</ns0:f>
        <ns0:v>0</ns0:v>
      </ns0:c>
    </ns0:row>
    <ns0:row r="372">
      <ns0:c r="A372" s="0">
        <ns0:f>IFERROR(IF(ISNUMBER(Bookings!B372),"",TRIM(Bookings!B372&amp;"")),"")</ns0:f>
      </ns0:c>
      <ns0:c r="B372" s="0">
        <ns0:f>IFERROR(SUBSTITUTE(SUBSTITUTE(A372,"/","."),"-","."),"")</ns0:f>
      </ns0:c>
      <ns0:c r="C372" s="0">
        <ns0:f>IFERROR(LEFT(B372,FIND(".",B372)-1),"")</ns0:f>
      </ns0:c>
      <ns0:c r="D372" s="0">
        <ns0:f>IFERROR(MID(B372,FIND(".",B372)+1,FIND(".",B372,FIND(".",B372)+1)-FIND(".",B372)-1),"")</ns0:f>
      </ns0:c>
      <ns0:c r="E372" s="0">
        <ns0:f>IFERROR(MID(B372,FIND(".",B372,FIND(".",B372)+1)+1,99),"")</ns0:f>
        <ns0:v>99</ns0:v>
      </ns0:c>
      <ns0:c r="F372" s="0">
        <ns0:f>IFERROR(IF(FIND(".",B372)=5,--C372,--E372),0)</ns0:f>
        <ns0:v>0</ns0:v>
      </ns0:c>
      <ns0:c r="G372" s="0">
        <ns0:f>IFERROR(--D372,0)</ns0:f>
        <ns0:v>0</ns0:v>
      </ns0:c>
      <ns0:c r="H372" s="0">
        <ns0:f>IFERROR(IF(FIND(".",B372)=5,--E372,--C372),0)</ns0:f>
        <ns0:v>0</ns0:v>
      </ns0:c>
      <ns0:c r="I372" s="0">
        <ns0:f>IFERROR(IF(AND(F372&gt;=2000,F372&lt;=2100,G372&gt;=1,G372&lt;=12,H372&gt;=1,H372&lt;=31),DATE(F372,G372,H372),0),0)</ns0:f>
        <ns0:v>0</ns0:v>
      </ns0:c>
      <ns0:c r="J372" s="0">
        <ns0:f>IFERROR(IF(ISNUMBER(Bookings!B372),IF(AND(Bookings!B372=INT(Bookings!B372),Bookings!B372&gt;=DATE(2000,1,1),Bookings!B372&lt;=DATE(2100,12,31)),Bookings!B372,0),IF(AND(A372&lt;&gt;"",LEN("x"&amp;B372)-LEN(SUBSTITUTE("x"&amp;B372,".",""))=2,OR(1&gt;LEN(B372),MID(B372,1,1)=".",ISNUMBER(FIND("x"&amp;MID(B372,1,1),"x0x1x2x3x4x5x6x7x8x9"))),OR(2&gt;LEN(B372),MID(B372,2,1)=".",ISNUMBER(FIND("x"&amp;MID(B372,2,1),"x0x1x2x3x4x5x6x7x8x9"))),OR(3&gt;LEN(B372),MID(B372,3,1)=".",ISNUMBER(FIND("x"&amp;MID(B372,3,1),"x0x1x2x3x4x5x6x7x8x9"))),OR(4&gt;LEN(B372),MID(B372,4,1)=".",ISNUMBER(FIND("x"&amp;MID(B372,4,1),"x0x1x2x3x4x5x6x7x8x9"))),OR(5&gt;LEN(B372),MID(B372,5,1)=".",ISNUMBER(FIND("x"&amp;MID(B372,5,1),"x0x1x2x3x4x5x6x7x8x9"))),OR(6&gt;LEN(B372),MID(B372,6,1)=".",ISNUMBER(FIND("x"&amp;MID(B372,6,1),"x0x1x2x3x4x5x6x7x8x9"))),OR(7&gt;LEN(B372),MID(B372,7,1)=".",ISNUMBER(FIND("x"&amp;MID(B372,7,1),"x0x1x2x3x4x5x6x7x8x9"))),OR(8&gt;LEN(B372),MID(B372,8,1)=".",ISNUMBER(FIND("x"&amp;MID(B372,8,1),"x0x1x2x3x4x5x6x7x8x9"))),OR(9&gt;LEN(B372),MID(B372,9,1)=".",ISNUMBER(FIND("x"&amp;MID(B372,9,1),"x0x1x2x3x4x5x6x7x8x9"))),OR(10&gt;LEN(B372),MID(B372,10,1)=".",ISNUMBER(FIND("x"&amp;MID(B372,10,1),"x0x1x2x3x4x5x6x7x8x9"))),OR(AND(FIND(".",B372)=5,LEN(B372)-FIND(".",B372,FIND(".",B372)+1)&gt;=1,LEN(B372)-FIND(".",B372,FIND(".",B372)+1)&lt;=2),AND(LEN(B372)-FIND(".",B372,FIND(".",B372)+1)=4,FIND(".",B372)&gt;=2,FIND(".",B372)&lt;=3)),FIND(".",B372,FIND(".",B372)+1)-FIND(".",B372)&gt;=2,FIND(".",B372,FIND(".",B372)+1)-FIND(".",B372)&lt;=3,F372&gt;=2000,F372&lt;=2100,YEAR(I372)=F372,MONTH(I372)=G372,DAY(I372)=H372),I372,0)),0)</ns0:f>
        <ns0:v>0</ns0:v>
      </ns0:c>
      <ns0:c r="K372" s="0">
        <ns0:f>IFERROR(IF(ISNUMBER(Bookings!D372),"",TRIM(Bookings!D372&amp;"")),"")</ns0:f>
      </ns0:c>
      <ns0:c r="L372" s="0">
        <ns0:f>IFERROR(SUBSTITUTE(SUBSTITUTE(K372,"/","."),"-","."),"")</ns0:f>
      </ns0:c>
      <ns0:c r="M372" s="0">
        <ns0:f>IFERROR(LEFT(L372,FIND(".",L372)-1),"")</ns0:f>
      </ns0:c>
      <ns0:c r="N372" s="0">
        <ns0:f>IFERROR(MID(L372,FIND(".",L372)+1,FIND(".",L372,FIND(".",L372)+1)-FIND(".",L372)-1),"")</ns0:f>
      </ns0:c>
      <ns0:c r="O372" s="0">
        <ns0:f>IFERROR(MID(L372,FIND(".",L372,FIND(".",L372)+1)+1,99),"")</ns0:f>
        <ns0:v>99</ns0:v>
      </ns0:c>
      <ns0:c r="P372" s="0">
        <ns0:f>IFERROR(IF(FIND(".",L372)=5,--M372,--O372),0)</ns0:f>
        <ns0:v>0</ns0:v>
      </ns0:c>
      <ns0:c r="Q372" s="0">
        <ns0:f>IFERROR(--N372,0)</ns0:f>
        <ns0:v>0</ns0:v>
      </ns0:c>
      <ns0:c r="R372" s="0">
        <ns0:f>IFERROR(IF(FIND(".",L372)=5,--O372,--M372),0)</ns0:f>
        <ns0:v>0</ns0:v>
      </ns0:c>
      <ns0:c r="S372" s="0">
        <ns0:f>IFERROR(IF(AND(P372&gt;=2000,P372&lt;=2100,Q372&gt;=1,Q372&lt;=12,R372&gt;=1,R372&lt;=31),DATE(P372,Q372,R372),0),0)</ns0:f>
        <ns0:v>0</ns0:v>
      </ns0:c>
      <ns0:c r="T372" s="0">
        <ns0:f>IFERROR(IF(ISNUMBER(Bookings!D372),IF(AND(Bookings!D372=INT(Bookings!D372),Bookings!D372&gt;=DATE(2000,1,1),Bookings!D372&lt;=DATE(2100,12,31)),Bookings!D372,0),IF(AND(K372&lt;&gt;"",LEN("x"&amp;L372)-LEN(SUBSTITUTE("x"&amp;L372,".",""))=2,OR(1&gt;LEN(L372),MID(L372,1,1)=".",ISNUMBER(FIND("x"&amp;MID(L372,1,1),"x0x1x2x3x4x5x6x7x8x9"))),OR(2&gt;LEN(L372),MID(L372,2,1)=".",ISNUMBER(FIND("x"&amp;MID(L372,2,1),"x0x1x2x3x4x5x6x7x8x9"))),OR(3&gt;LEN(L372),MID(L372,3,1)=".",ISNUMBER(FIND("x"&amp;MID(L372,3,1),"x0x1x2x3x4x5x6x7x8x9"))),OR(4&gt;LEN(L372),MID(L372,4,1)=".",ISNUMBER(FIND("x"&amp;MID(L372,4,1),"x0x1x2x3x4x5x6x7x8x9"))),OR(5&gt;LEN(L372),MID(L372,5,1)=".",ISNUMBER(FIND("x"&amp;MID(L372,5,1),"x0x1x2x3x4x5x6x7x8x9"))),OR(6&gt;LEN(L372),MID(L372,6,1)=".",ISNUMBER(FIND("x"&amp;MID(L372,6,1),"x0x1x2x3x4x5x6x7x8x9"))),OR(7&gt;LEN(L372),MID(L372,7,1)=".",ISNUMBER(FIND("x"&amp;MID(L372,7,1),"x0x1x2x3x4x5x6x7x8x9"))),OR(8&gt;LEN(L372),MID(L372,8,1)=".",ISNUMBER(FIND("x"&amp;MID(L372,8,1),"x0x1x2x3x4x5x6x7x8x9"))),OR(9&gt;LEN(L372),MID(L372,9,1)=".",ISNUMBER(FIND("x"&amp;MID(L372,9,1),"x0x1x2x3x4x5x6x7x8x9"))),OR(10&gt;LEN(L372),MID(L372,10,1)=".",ISNUMBER(FIND("x"&amp;MID(L372,10,1),"x0x1x2x3x4x5x6x7x8x9"))),OR(AND(FIND(".",L372)=5,LEN(L372)-FIND(".",L372,FIND(".",L372)+1)&gt;=1,LEN(L372)-FIND(".",L372,FIND(".",L372)+1)&lt;=2),AND(LEN(L372)-FIND(".",L372,FIND(".",L372)+1)=4,FIND(".",L372)&gt;=2,FIND(".",L372)&lt;=3)),FIND(".",L372,FIND(".",L372)+1)-FIND(".",L372)&gt;=2,FIND(".",L372,FIND(".",L372)+1)-FIND(".",L372)&lt;=3,P372&gt;=2000,P372&lt;=2100,YEAR(S372)=P372,MONTH(S372)=Q372,DAY(S372)=R372),S372,0)),0)</ns0:f>
        <ns0:v>0</ns0:v>
      </ns0:c>
      <ns0:c r="U372" s="0" t="str">
        <ns0:f>IF(Bookings!C372="","Full day",Bookings!C372)</ns0:f>
        <ns0:v>Full day</ns0:v>
      </ns0:c>
      <ns0:c r="V372" s="0" t="str">
        <ns0:f>IF(Bookings!E372="","Full day",Bookings!E372)</ns0:f>
        <ns0:v>Full day</ns0:v>
      </ns0:c>
      <ns0:c r="W372" s="0">
        <ns0:f>IF(J372=0,0,J372+IF(U372="PM",1,0))</ns0:f>
        <ns0:v>0</ns0:v>
      </ns0:c>
      <ns0:c r="X372" s="0">
        <ns0:f>IF(T372=0,0,T372-IF(V372="PM",1,0))</ns0:f>
        <ns0:v>0</ns0:v>
      </ns0:c>
      <ns0:c r="Y372" s="0">
        <ns0:f>IF(J372=0,0,J372+IF(U372="AM",1,0))</ns0:f>
        <ns0:v>0</ns0:v>
      </ns0:c>
      <ns0:c r="Z372" s="0">
        <ns0:f>IF(T372=0,0,T372-IF(V372="AM",1,0))</ns0:f>
        <ns0:v>0</ns0:v>
      </ns0:c>
      <ns0:c r="AA372" s="0">
        <ns0:f>IFERROR(IF(AND(J372&gt;0,'_Engine'!C372&gt;0,MID('_Engine'!W372,WEEKDAY(J372,2),1)="W",COUNTIF(Settings!$F$18:$F$67,J372)=0),1,0),0)</ns0:f>
        <ns0:v>0</ns0:v>
      </ns0:c>
      <ns0:c r="AB372" s="0">
        <ns0:f>IFERROR(IF(AND(T372&gt;0,'_Engine'!C372&gt;0,MID('_Engine'!W372,WEEKDAY(T372,2),1)="W",COUNTIF(Settings!$F$18:$F$67,T372)=0),1,0),0)</ns0:f>
        <ns0:v>0</ns0:v>
      </ns0:c>
      <ns0:c r="AC372" s="0">
        <ns0:f>IF(AND(J372&gt;0,T372&gt;0,W372&lt;=X372),1,0)</ns0:f>
        <ns0:v>0</ns0:v>
      </ns0:c>
      <ns0:c r="AD372" s="0">
        <ns0:f>IF(AND(J372&gt;0,T372&gt;0,Y372&lt;=Z372),1,0)</ns0:f>
        <ns0:v>0</ns0:v>
      </ns0:c>
    </ns0:row>
    <ns0:row r="373">
      <ns0:c r="A373" s="0">
        <ns0:f>IFERROR(IF(ISNUMBER(Bookings!B373),"",TRIM(Bookings!B373&amp;"")),"")</ns0:f>
      </ns0:c>
      <ns0:c r="B373" s="0">
        <ns0:f>IFERROR(SUBSTITUTE(SUBSTITUTE(A373,"/","."),"-","."),"")</ns0:f>
      </ns0:c>
      <ns0:c r="C373" s="0">
        <ns0:f>IFERROR(LEFT(B373,FIND(".",B373)-1),"")</ns0:f>
      </ns0:c>
      <ns0:c r="D373" s="0">
        <ns0:f>IFERROR(MID(B373,FIND(".",B373)+1,FIND(".",B373,FIND(".",B373)+1)-FIND(".",B373)-1),"")</ns0:f>
      </ns0:c>
      <ns0:c r="E373" s="0">
        <ns0:f>IFERROR(MID(B373,FIND(".",B373,FIND(".",B373)+1)+1,99),"")</ns0:f>
        <ns0:v>99</ns0:v>
      </ns0:c>
      <ns0:c r="F373" s="0">
        <ns0:f>IFERROR(IF(FIND(".",B373)=5,--C373,--E373),0)</ns0:f>
        <ns0:v>0</ns0:v>
      </ns0:c>
      <ns0:c r="G373" s="0">
        <ns0:f>IFERROR(--D373,0)</ns0:f>
        <ns0:v>0</ns0:v>
      </ns0:c>
      <ns0:c r="H373" s="0">
        <ns0:f>IFERROR(IF(FIND(".",B373)=5,--E373,--C373),0)</ns0:f>
        <ns0:v>0</ns0:v>
      </ns0:c>
      <ns0:c r="I373" s="0">
        <ns0:f>IFERROR(IF(AND(F373&gt;=2000,F373&lt;=2100,G373&gt;=1,G373&lt;=12,H373&gt;=1,H373&lt;=31),DATE(F373,G373,H373),0),0)</ns0:f>
        <ns0:v>0</ns0:v>
      </ns0:c>
      <ns0:c r="J373" s="0">
        <ns0:f>IFERROR(IF(ISNUMBER(Bookings!B373),IF(AND(Bookings!B373=INT(Bookings!B373),Bookings!B373&gt;=DATE(2000,1,1),Bookings!B373&lt;=DATE(2100,12,31)),Bookings!B373,0),IF(AND(A373&lt;&gt;"",LEN("x"&amp;B373)-LEN(SUBSTITUTE("x"&amp;B373,".",""))=2,OR(1&gt;LEN(B373),MID(B373,1,1)=".",ISNUMBER(FIND("x"&amp;MID(B373,1,1),"x0x1x2x3x4x5x6x7x8x9"))),OR(2&gt;LEN(B373),MID(B373,2,1)=".",ISNUMBER(FIND("x"&amp;MID(B373,2,1),"x0x1x2x3x4x5x6x7x8x9"))),OR(3&gt;LEN(B373),MID(B373,3,1)=".",ISNUMBER(FIND("x"&amp;MID(B373,3,1),"x0x1x2x3x4x5x6x7x8x9"))),OR(4&gt;LEN(B373),MID(B373,4,1)=".",ISNUMBER(FIND("x"&amp;MID(B373,4,1),"x0x1x2x3x4x5x6x7x8x9"))),OR(5&gt;LEN(B373),MID(B373,5,1)=".",ISNUMBER(FIND("x"&amp;MID(B373,5,1),"x0x1x2x3x4x5x6x7x8x9"))),OR(6&gt;LEN(B373),MID(B373,6,1)=".",ISNUMBER(FIND("x"&amp;MID(B373,6,1),"x0x1x2x3x4x5x6x7x8x9"))),OR(7&gt;LEN(B373),MID(B373,7,1)=".",ISNUMBER(FIND("x"&amp;MID(B373,7,1),"x0x1x2x3x4x5x6x7x8x9"))),OR(8&gt;LEN(B373),MID(B373,8,1)=".",ISNUMBER(FIND("x"&amp;MID(B373,8,1),"x0x1x2x3x4x5x6x7x8x9"))),OR(9&gt;LEN(B373),MID(B373,9,1)=".",ISNUMBER(FIND("x"&amp;MID(B373,9,1),"x0x1x2x3x4x5x6x7x8x9"))),OR(10&gt;LEN(B373),MID(B373,10,1)=".",ISNUMBER(FIND("x"&amp;MID(B373,10,1),"x0x1x2x3x4x5x6x7x8x9"))),OR(AND(FIND(".",B373)=5,LEN(B373)-FIND(".",B373,FIND(".",B373)+1)&gt;=1,LEN(B373)-FIND(".",B373,FIND(".",B373)+1)&lt;=2),AND(LEN(B373)-FIND(".",B373,FIND(".",B373)+1)=4,FIND(".",B373)&gt;=2,FIND(".",B373)&lt;=3)),FIND(".",B373,FIND(".",B373)+1)-FIND(".",B373)&gt;=2,FIND(".",B373,FIND(".",B373)+1)-FIND(".",B373)&lt;=3,F373&gt;=2000,F373&lt;=2100,YEAR(I373)=F373,MONTH(I373)=G373,DAY(I373)=H373),I373,0)),0)</ns0:f>
        <ns0:v>0</ns0:v>
      </ns0:c>
      <ns0:c r="K373" s="0">
        <ns0:f>IFERROR(IF(ISNUMBER(Bookings!D373),"",TRIM(Bookings!D373&amp;"")),"")</ns0:f>
      </ns0:c>
      <ns0:c r="L373" s="0">
        <ns0:f>IFERROR(SUBSTITUTE(SUBSTITUTE(K373,"/","."),"-","."),"")</ns0:f>
      </ns0:c>
      <ns0:c r="M373" s="0">
        <ns0:f>IFERROR(LEFT(L373,FIND(".",L373)-1),"")</ns0:f>
      </ns0:c>
      <ns0:c r="N373" s="0">
        <ns0:f>IFERROR(MID(L373,FIND(".",L373)+1,FIND(".",L373,FIND(".",L373)+1)-FIND(".",L373)-1),"")</ns0:f>
      </ns0:c>
      <ns0:c r="O373" s="0">
        <ns0:f>IFERROR(MID(L373,FIND(".",L373,FIND(".",L373)+1)+1,99),"")</ns0:f>
        <ns0:v>99</ns0:v>
      </ns0:c>
      <ns0:c r="P373" s="0">
        <ns0:f>IFERROR(IF(FIND(".",L373)=5,--M373,--O373),0)</ns0:f>
        <ns0:v>0</ns0:v>
      </ns0:c>
      <ns0:c r="Q373" s="0">
        <ns0:f>IFERROR(--N373,0)</ns0:f>
        <ns0:v>0</ns0:v>
      </ns0:c>
      <ns0:c r="R373" s="0">
        <ns0:f>IFERROR(IF(FIND(".",L373)=5,--O373,--M373),0)</ns0:f>
        <ns0:v>0</ns0:v>
      </ns0:c>
      <ns0:c r="S373" s="0">
        <ns0:f>IFERROR(IF(AND(P373&gt;=2000,P373&lt;=2100,Q373&gt;=1,Q373&lt;=12,R373&gt;=1,R373&lt;=31),DATE(P373,Q373,R373),0),0)</ns0:f>
        <ns0:v>0</ns0:v>
      </ns0:c>
      <ns0:c r="T373" s="0">
        <ns0:f>IFERROR(IF(ISNUMBER(Bookings!D373),IF(AND(Bookings!D373=INT(Bookings!D373),Bookings!D373&gt;=DATE(2000,1,1),Bookings!D373&lt;=DATE(2100,12,31)),Bookings!D373,0),IF(AND(K373&lt;&gt;"",LEN("x"&amp;L373)-LEN(SUBSTITUTE("x"&amp;L373,".",""))=2,OR(1&gt;LEN(L373),MID(L373,1,1)=".",ISNUMBER(FIND("x"&amp;MID(L373,1,1),"x0x1x2x3x4x5x6x7x8x9"))),OR(2&gt;LEN(L373),MID(L373,2,1)=".",ISNUMBER(FIND("x"&amp;MID(L373,2,1),"x0x1x2x3x4x5x6x7x8x9"))),OR(3&gt;LEN(L373),MID(L373,3,1)=".",ISNUMBER(FIND("x"&amp;MID(L373,3,1),"x0x1x2x3x4x5x6x7x8x9"))),OR(4&gt;LEN(L373),MID(L373,4,1)=".",ISNUMBER(FIND("x"&amp;MID(L373,4,1),"x0x1x2x3x4x5x6x7x8x9"))),OR(5&gt;LEN(L373),MID(L373,5,1)=".",ISNUMBER(FIND("x"&amp;MID(L373,5,1),"x0x1x2x3x4x5x6x7x8x9"))),OR(6&gt;LEN(L373),MID(L373,6,1)=".",ISNUMBER(FIND("x"&amp;MID(L373,6,1),"x0x1x2x3x4x5x6x7x8x9"))),OR(7&gt;LEN(L373),MID(L373,7,1)=".",ISNUMBER(FIND("x"&amp;MID(L373,7,1),"x0x1x2x3x4x5x6x7x8x9"))),OR(8&gt;LEN(L373),MID(L373,8,1)=".",ISNUMBER(FIND("x"&amp;MID(L373,8,1),"x0x1x2x3x4x5x6x7x8x9"))),OR(9&gt;LEN(L373),MID(L373,9,1)=".",ISNUMBER(FIND("x"&amp;MID(L373,9,1),"x0x1x2x3x4x5x6x7x8x9"))),OR(10&gt;LEN(L373),MID(L373,10,1)=".",ISNUMBER(FIND("x"&amp;MID(L373,10,1),"x0x1x2x3x4x5x6x7x8x9"))),OR(AND(FIND(".",L373)=5,LEN(L373)-FIND(".",L373,FIND(".",L373)+1)&gt;=1,LEN(L373)-FIND(".",L373,FIND(".",L373)+1)&lt;=2),AND(LEN(L373)-FIND(".",L373,FIND(".",L373)+1)=4,FIND(".",L373)&gt;=2,FIND(".",L373)&lt;=3)),FIND(".",L373,FIND(".",L373)+1)-FIND(".",L373)&gt;=2,FIND(".",L373,FIND(".",L373)+1)-FIND(".",L373)&lt;=3,P373&gt;=2000,P373&lt;=2100,YEAR(S373)=P373,MONTH(S373)=Q373,DAY(S373)=R373),S373,0)),0)</ns0:f>
        <ns0:v>0</ns0:v>
      </ns0:c>
      <ns0:c r="U373" s="0" t="str">
        <ns0:f>IF(Bookings!C373="","Full day",Bookings!C373)</ns0:f>
        <ns0:v>Full day</ns0:v>
      </ns0:c>
      <ns0:c r="V373" s="0" t="str">
        <ns0:f>IF(Bookings!E373="","Full day",Bookings!E373)</ns0:f>
        <ns0:v>Full day</ns0:v>
      </ns0:c>
      <ns0:c r="W373" s="0">
        <ns0:f>IF(J373=0,0,J373+IF(U373="PM",1,0))</ns0:f>
        <ns0:v>0</ns0:v>
      </ns0:c>
      <ns0:c r="X373" s="0">
        <ns0:f>IF(T373=0,0,T373-IF(V373="PM",1,0))</ns0:f>
        <ns0:v>0</ns0:v>
      </ns0:c>
      <ns0:c r="Y373" s="0">
        <ns0:f>IF(J373=0,0,J373+IF(U373="AM",1,0))</ns0:f>
        <ns0:v>0</ns0:v>
      </ns0:c>
      <ns0:c r="Z373" s="0">
        <ns0:f>IF(T373=0,0,T373-IF(V373="AM",1,0))</ns0:f>
        <ns0:v>0</ns0:v>
      </ns0:c>
      <ns0:c r="AA373" s="0">
        <ns0:f>IFERROR(IF(AND(J373&gt;0,'_Engine'!C373&gt;0,MID('_Engine'!W373,WEEKDAY(J373,2),1)="W",COUNTIF(Settings!$F$18:$F$67,J373)=0),1,0),0)</ns0:f>
        <ns0:v>0</ns0:v>
      </ns0:c>
      <ns0:c r="AB373" s="0">
        <ns0:f>IFERROR(IF(AND(T373&gt;0,'_Engine'!C373&gt;0,MID('_Engine'!W373,WEEKDAY(T373,2),1)="W",COUNTIF(Settings!$F$18:$F$67,T373)=0),1,0),0)</ns0:f>
        <ns0:v>0</ns0:v>
      </ns0:c>
      <ns0:c r="AC373" s="0">
        <ns0:f>IF(AND(J373&gt;0,T373&gt;0,W373&lt;=X373),1,0)</ns0:f>
        <ns0:v>0</ns0:v>
      </ns0:c>
      <ns0:c r="AD373" s="0">
        <ns0:f>IF(AND(J373&gt;0,T373&gt;0,Y373&lt;=Z373),1,0)</ns0:f>
        <ns0:v>0</ns0:v>
      </ns0:c>
    </ns0:row>
    <ns0:row r="374">
      <ns0:c r="A374" s="0">
        <ns0:f>IFERROR(IF(ISNUMBER(Bookings!B374),"",TRIM(Bookings!B374&amp;"")),"")</ns0:f>
      </ns0:c>
      <ns0:c r="B374" s="0">
        <ns0:f>IFERROR(SUBSTITUTE(SUBSTITUTE(A374,"/","."),"-","."),"")</ns0:f>
      </ns0:c>
      <ns0:c r="C374" s="0">
        <ns0:f>IFERROR(LEFT(B374,FIND(".",B374)-1),"")</ns0:f>
      </ns0:c>
      <ns0:c r="D374" s="0">
        <ns0:f>IFERROR(MID(B374,FIND(".",B374)+1,FIND(".",B374,FIND(".",B374)+1)-FIND(".",B374)-1),"")</ns0:f>
      </ns0:c>
      <ns0:c r="E374" s="0">
        <ns0:f>IFERROR(MID(B374,FIND(".",B374,FIND(".",B374)+1)+1,99),"")</ns0:f>
        <ns0:v>99</ns0:v>
      </ns0:c>
      <ns0:c r="F374" s="0">
        <ns0:f>IFERROR(IF(FIND(".",B374)=5,--C374,--E374),0)</ns0:f>
        <ns0:v>0</ns0:v>
      </ns0:c>
      <ns0:c r="G374" s="0">
        <ns0:f>IFERROR(--D374,0)</ns0:f>
        <ns0:v>0</ns0:v>
      </ns0:c>
      <ns0:c r="H374" s="0">
        <ns0:f>IFERROR(IF(FIND(".",B374)=5,--E374,--C374),0)</ns0:f>
        <ns0:v>0</ns0:v>
      </ns0:c>
      <ns0:c r="I374" s="0">
        <ns0:f>IFERROR(IF(AND(F374&gt;=2000,F374&lt;=2100,G374&gt;=1,G374&lt;=12,H374&gt;=1,H374&lt;=31),DATE(F374,G374,H374),0),0)</ns0:f>
        <ns0:v>0</ns0:v>
      </ns0:c>
      <ns0:c r="J374" s="0">
        <ns0:f>IFERROR(IF(ISNUMBER(Bookings!B374),IF(AND(Bookings!B374=INT(Bookings!B374),Bookings!B374&gt;=DATE(2000,1,1),Bookings!B374&lt;=DATE(2100,12,31)),Bookings!B374,0),IF(AND(A374&lt;&gt;"",LEN("x"&amp;B374)-LEN(SUBSTITUTE("x"&amp;B374,".",""))=2,OR(1&gt;LEN(B374),MID(B374,1,1)=".",ISNUMBER(FIND("x"&amp;MID(B374,1,1),"x0x1x2x3x4x5x6x7x8x9"))),OR(2&gt;LEN(B374),MID(B374,2,1)=".",ISNUMBER(FIND("x"&amp;MID(B374,2,1),"x0x1x2x3x4x5x6x7x8x9"))),OR(3&gt;LEN(B374),MID(B374,3,1)=".",ISNUMBER(FIND("x"&amp;MID(B374,3,1),"x0x1x2x3x4x5x6x7x8x9"))),OR(4&gt;LEN(B374),MID(B374,4,1)=".",ISNUMBER(FIND("x"&amp;MID(B374,4,1),"x0x1x2x3x4x5x6x7x8x9"))),OR(5&gt;LEN(B374),MID(B374,5,1)=".",ISNUMBER(FIND("x"&amp;MID(B374,5,1),"x0x1x2x3x4x5x6x7x8x9"))),OR(6&gt;LEN(B374),MID(B374,6,1)=".",ISNUMBER(FIND("x"&amp;MID(B374,6,1),"x0x1x2x3x4x5x6x7x8x9"))),OR(7&gt;LEN(B374),MID(B374,7,1)=".",ISNUMBER(FIND("x"&amp;MID(B374,7,1),"x0x1x2x3x4x5x6x7x8x9"))),OR(8&gt;LEN(B374),MID(B374,8,1)=".",ISNUMBER(FIND("x"&amp;MID(B374,8,1),"x0x1x2x3x4x5x6x7x8x9"))),OR(9&gt;LEN(B374),MID(B374,9,1)=".",ISNUMBER(FIND("x"&amp;MID(B374,9,1),"x0x1x2x3x4x5x6x7x8x9"))),OR(10&gt;LEN(B374),MID(B374,10,1)=".",ISNUMBER(FIND("x"&amp;MID(B374,10,1),"x0x1x2x3x4x5x6x7x8x9"))),OR(AND(FIND(".",B374)=5,LEN(B374)-FIND(".",B374,FIND(".",B374)+1)&gt;=1,LEN(B374)-FIND(".",B374,FIND(".",B374)+1)&lt;=2),AND(LEN(B374)-FIND(".",B374,FIND(".",B374)+1)=4,FIND(".",B374)&gt;=2,FIND(".",B374)&lt;=3)),FIND(".",B374,FIND(".",B374)+1)-FIND(".",B374)&gt;=2,FIND(".",B374,FIND(".",B374)+1)-FIND(".",B374)&lt;=3,F374&gt;=2000,F374&lt;=2100,YEAR(I374)=F374,MONTH(I374)=G374,DAY(I374)=H374),I374,0)),0)</ns0:f>
        <ns0:v>0</ns0:v>
      </ns0:c>
      <ns0:c r="K374" s="0">
        <ns0:f>IFERROR(IF(ISNUMBER(Bookings!D374),"",TRIM(Bookings!D374&amp;"")),"")</ns0:f>
      </ns0:c>
      <ns0:c r="L374" s="0">
        <ns0:f>IFERROR(SUBSTITUTE(SUBSTITUTE(K374,"/","."),"-","."),"")</ns0:f>
      </ns0:c>
      <ns0:c r="M374" s="0">
        <ns0:f>IFERROR(LEFT(L374,FIND(".",L374)-1),"")</ns0:f>
      </ns0:c>
      <ns0:c r="N374" s="0">
        <ns0:f>IFERROR(MID(L374,FIND(".",L374)+1,FIND(".",L374,FIND(".",L374)+1)-FIND(".",L374)-1),"")</ns0:f>
      </ns0:c>
      <ns0:c r="O374" s="0">
        <ns0:f>IFERROR(MID(L374,FIND(".",L374,FIND(".",L374)+1)+1,99),"")</ns0:f>
        <ns0:v>99</ns0:v>
      </ns0:c>
      <ns0:c r="P374" s="0">
        <ns0:f>IFERROR(IF(FIND(".",L374)=5,--M374,--O374),0)</ns0:f>
        <ns0:v>0</ns0:v>
      </ns0:c>
      <ns0:c r="Q374" s="0">
        <ns0:f>IFERROR(--N374,0)</ns0:f>
        <ns0:v>0</ns0:v>
      </ns0:c>
      <ns0:c r="R374" s="0">
        <ns0:f>IFERROR(IF(FIND(".",L374)=5,--O374,--M374),0)</ns0:f>
        <ns0:v>0</ns0:v>
      </ns0:c>
      <ns0:c r="S374" s="0">
        <ns0:f>IFERROR(IF(AND(P374&gt;=2000,P374&lt;=2100,Q374&gt;=1,Q374&lt;=12,R374&gt;=1,R374&lt;=31),DATE(P374,Q374,R374),0),0)</ns0:f>
        <ns0:v>0</ns0:v>
      </ns0:c>
      <ns0:c r="T374" s="0">
        <ns0:f>IFERROR(IF(ISNUMBER(Bookings!D374),IF(AND(Bookings!D374=INT(Bookings!D374),Bookings!D374&gt;=DATE(2000,1,1),Bookings!D374&lt;=DATE(2100,12,31)),Bookings!D374,0),IF(AND(K374&lt;&gt;"",LEN("x"&amp;L374)-LEN(SUBSTITUTE("x"&amp;L374,".",""))=2,OR(1&gt;LEN(L374),MID(L374,1,1)=".",ISNUMBER(FIND("x"&amp;MID(L374,1,1),"x0x1x2x3x4x5x6x7x8x9"))),OR(2&gt;LEN(L374),MID(L374,2,1)=".",ISNUMBER(FIND("x"&amp;MID(L374,2,1),"x0x1x2x3x4x5x6x7x8x9"))),OR(3&gt;LEN(L374),MID(L374,3,1)=".",ISNUMBER(FIND("x"&amp;MID(L374,3,1),"x0x1x2x3x4x5x6x7x8x9"))),OR(4&gt;LEN(L374),MID(L374,4,1)=".",ISNUMBER(FIND("x"&amp;MID(L374,4,1),"x0x1x2x3x4x5x6x7x8x9"))),OR(5&gt;LEN(L374),MID(L374,5,1)=".",ISNUMBER(FIND("x"&amp;MID(L374,5,1),"x0x1x2x3x4x5x6x7x8x9"))),OR(6&gt;LEN(L374),MID(L374,6,1)=".",ISNUMBER(FIND("x"&amp;MID(L374,6,1),"x0x1x2x3x4x5x6x7x8x9"))),OR(7&gt;LEN(L374),MID(L374,7,1)=".",ISNUMBER(FIND("x"&amp;MID(L374,7,1),"x0x1x2x3x4x5x6x7x8x9"))),OR(8&gt;LEN(L374),MID(L374,8,1)=".",ISNUMBER(FIND("x"&amp;MID(L374,8,1),"x0x1x2x3x4x5x6x7x8x9"))),OR(9&gt;LEN(L374),MID(L374,9,1)=".",ISNUMBER(FIND("x"&amp;MID(L374,9,1),"x0x1x2x3x4x5x6x7x8x9"))),OR(10&gt;LEN(L374),MID(L374,10,1)=".",ISNUMBER(FIND("x"&amp;MID(L374,10,1),"x0x1x2x3x4x5x6x7x8x9"))),OR(AND(FIND(".",L374)=5,LEN(L374)-FIND(".",L374,FIND(".",L374)+1)&gt;=1,LEN(L374)-FIND(".",L374,FIND(".",L374)+1)&lt;=2),AND(LEN(L374)-FIND(".",L374,FIND(".",L374)+1)=4,FIND(".",L374)&gt;=2,FIND(".",L374)&lt;=3)),FIND(".",L374,FIND(".",L374)+1)-FIND(".",L374)&gt;=2,FIND(".",L374,FIND(".",L374)+1)-FIND(".",L374)&lt;=3,P374&gt;=2000,P374&lt;=2100,YEAR(S374)=P374,MONTH(S374)=Q374,DAY(S374)=R374),S374,0)),0)</ns0:f>
        <ns0:v>0</ns0:v>
      </ns0:c>
      <ns0:c r="U374" s="0" t="str">
        <ns0:f>IF(Bookings!C374="","Full day",Bookings!C374)</ns0:f>
        <ns0:v>Full day</ns0:v>
      </ns0:c>
      <ns0:c r="V374" s="0" t="str">
        <ns0:f>IF(Bookings!E374="","Full day",Bookings!E374)</ns0:f>
        <ns0:v>Full day</ns0:v>
      </ns0:c>
      <ns0:c r="W374" s="0">
        <ns0:f>IF(J374=0,0,J374+IF(U374="PM",1,0))</ns0:f>
        <ns0:v>0</ns0:v>
      </ns0:c>
      <ns0:c r="X374" s="0">
        <ns0:f>IF(T374=0,0,T374-IF(V374="PM",1,0))</ns0:f>
        <ns0:v>0</ns0:v>
      </ns0:c>
      <ns0:c r="Y374" s="0">
        <ns0:f>IF(J374=0,0,J374+IF(U374="AM",1,0))</ns0:f>
        <ns0:v>0</ns0:v>
      </ns0:c>
      <ns0:c r="Z374" s="0">
        <ns0:f>IF(T374=0,0,T374-IF(V374="AM",1,0))</ns0:f>
        <ns0:v>0</ns0:v>
      </ns0:c>
      <ns0:c r="AA374" s="0">
        <ns0:f>IFERROR(IF(AND(J374&gt;0,'_Engine'!C374&gt;0,MID('_Engine'!W374,WEEKDAY(J374,2),1)="W",COUNTIF(Settings!$F$18:$F$67,J374)=0),1,0),0)</ns0:f>
        <ns0:v>0</ns0:v>
      </ns0:c>
      <ns0:c r="AB374" s="0">
        <ns0:f>IFERROR(IF(AND(T374&gt;0,'_Engine'!C374&gt;0,MID('_Engine'!W374,WEEKDAY(T374,2),1)="W",COUNTIF(Settings!$F$18:$F$67,T374)=0),1,0),0)</ns0:f>
        <ns0:v>0</ns0:v>
      </ns0:c>
      <ns0:c r="AC374" s="0">
        <ns0:f>IF(AND(J374&gt;0,T374&gt;0,W374&lt;=X374),1,0)</ns0:f>
        <ns0:v>0</ns0:v>
      </ns0:c>
      <ns0:c r="AD374" s="0">
        <ns0:f>IF(AND(J374&gt;0,T374&gt;0,Y374&lt;=Z374),1,0)</ns0:f>
        <ns0:v>0</ns0:v>
      </ns0:c>
    </ns0:row>
    <ns0:row r="375">
      <ns0:c r="A375" s="0">
        <ns0:f>IFERROR(IF(ISNUMBER(Bookings!B375),"",TRIM(Bookings!B375&amp;"")),"")</ns0:f>
      </ns0:c>
      <ns0:c r="B375" s="0">
        <ns0:f>IFERROR(SUBSTITUTE(SUBSTITUTE(A375,"/","."),"-","."),"")</ns0:f>
      </ns0:c>
      <ns0:c r="C375" s="0">
        <ns0:f>IFERROR(LEFT(B375,FIND(".",B375)-1),"")</ns0:f>
      </ns0:c>
      <ns0:c r="D375" s="0">
        <ns0:f>IFERROR(MID(B375,FIND(".",B375)+1,FIND(".",B375,FIND(".",B375)+1)-FIND(".",B375)-1),"")</ns0:f>
      </ns0:c>
      <ns0:c r="E375" s="0">
        <ns0:f>IFERROR(MID(B375,FIND(".",B375,FIND(".",B375)+1)+1,99),"")</ns0:f>
        <ns0:v>99</ns0:v>
      </ns0:c>
      <ns0:c r="F375" s="0">
        <ns0:f>IFERROR(IF(FIND(".",B375)=5,--C375,--E375),0)</ns0:f>
        <ns0:v>0</ns0:v>
      </ns0:c>
      <ns0:c r="G375" s="0">
        <ns0:f>IFERROR(--D375,0)</ns0:f>
        <ns0:v>0</ns0:v>
      </ns0:c>
      <ns0:c r="H375" s="0">
        <ns0:f>IFERROR(IF(FIND(".",B375)=5,--E375,--C375),0)</ns0:f>
        <ns0:v>0</ns0:v>
      </ns0:c>
      <ns0:c r="I375" s="0">
        <ns0:f>IFERROR(IF(AND(F375&gt;=2000,F375&lt;=2100,G375&gt;=1,G375&lt;=12,H375&gt;=1,H375&lt;=31),DATE(F375,G375,H375),0),0)</ns0:f>
        <ns0:v>0</ns0:v>
      </ns0:c>
      <ns0:c r="J375" s="0">
        <ns0:f>IFERROR(IF(ISNUMBER(Bookings!B375),IF(AND(Bookings!B375=INT(Bookings!B375),Bookings!B375&gt;=DATE(2000,1,1),Bookings!B375&lt;=DATE(2100,12,31)),Bookings!B375,0),IF(AND(A375&lt;&gt;"",LEN("x"&amp;B375)-LEN(SUBSTITUTE("x"&amp;B375,".",""))=2,OR(1&gt;LEN(B375),MID(B375,1,1)=".",ISNUMBER(FIND("x"&amp;MID(B375,1,1),"x0x1x2x3x4x5x6x7x8x9"))),OR(2&gt;LEN(B375),MID(B375,2,1)=".",ISNUMBER(FIND("x"&amp;MID(B375,2,1),"x0x1x2x3x4x5x6x7x8x9"))),OR(3&gt;LEN(B375),MID(B375,3,1)=".",ISNUMBER(FIND("x"&amp;MID(B375,3,1),"x0x1x2x3x4x5x6x7x8x9"))),OR(4&gt;LEN(B375),MID(B375,4,1)=".",ISNUMBER(FIND("x"&amp;MID(B375,4,1),"x0x1x2x3x4x5x6x7x8x9"))),OR(5&gt;LEN(B375),MID(B375,5,1)=".",ISNUMBER(FIND("x"&amp;MID(B375,5,1),"x0x1x2x3x4x5x6x7x8x9"))),OR(6&gt;LEN(B375),MID(B375,6,1)=".",ISNUMBER(FIND("x"&amp;MID(B375,6,1),"x0x1x2x3x4x5x6x7x8x9"))),OR(7&gt;LEN(B375),MID(B375,7,1)=".",ISNUMBER(FIND("x"&amp;MID(B375,7,1),"x0x1x2x3x4x5x6x7x8x9"))),OR(8&gt;LEN(B375),MID(B375,8,1)=".",ISNUMBER(FIND("x"&amp;MID(B375,8,1),"x0x1x2x3x4x5x6x7x8x9"))),OR(9&gt;LEN(B375),MID(B375,9,1)=".",ISNUMBER(FIND("x"&amp;MID(B375,9,1),"x0x1x2x3x4x5x6x7x8x9"))),OR(10&gt;LEN(B375),MID(B375,10,1)=".",ISNUMBER(FIND("x"&amp;MID(B375,10,1),"x0x1x2x3x4x5x6x7x8x9"))),OR(AND(FIND(".",B375)=5,LEN(B375)-FIND(".",B375,FIND(".",B375)+1)&gt;=1,LEN(B375)-FIND(".",B375,FIND(".",B375)+1)&lt;=2),AND(LEN(B375)-FIND(".",B375,FIND(".",B375)+1)=4,FIND(".",B375)&gt;=2,FIND(".",B375)&lt;=3)),FIND(".",B375,FIND(".",B375)+1)-FIND(".",B375)&gt;=2,FIND(".",B375,FIND(".",B375)+1)-FIND(".",B375)&lt;=3,F375&gt;=2000,F375&lt;=2100,YEAR(I375)=F375,MONTH(I375)=G375,DAY(I375)=H375),I375,0)),0)</ns0:f>
        <ns0:v>0</ns0:v>
      </ns0:c>
      <ns0:c r="K375" s="0">
        <ns0:f>IFERROR(IF(ISNUMBER(Bookings!D375),"",TRIM(Bookings!D375&amp;"")),"")</ns0:f>
      </ns0:c>
      <ns0:c r="L375" s="0">
        <ns0:f>IFERROR(SUBSTITUTE(SUBSTITUTE(K375,"/","."),"-","."),"")</ns0:f>
      </ns0:c>
      <ns0:c r="M375" s="0">
        <ns0:f>IFERROR(LEFT(L375,FIND(".",L375)-1),"")</ns0:f>
      </ns0:c>
      <ns0:c r="N375" s="0">
        <ns0:f>IFERROR(MID(L375,FIND(".",L375)+1,FIND(".",L375,FIND(".",L375)+1)-FIND(".",L375)-1),"")</ns0:f>
      </ns0:c>
      <ns0:c r="O375" s="0">
        <ns0:f>IFERROR(MID(L375,FIND(".",L375,FIND(".",L375)+1)+1,99),"")</ns0:f>
        <ns0:v>99</ns0:v>
      </ns0:c>
      <ns0:c r="P375" s="0">
        <ns0:f>IFERROR(IF(FIND(".",L375)=5,--M375,--O375),0)</ns0:f>
        <ns0:v>0</ns0:v>
      </ns0:c>
      <ns0:c r="Q375" s="0">
        <ns0:f>IFERROR(--N375,0)</ns0:f>
        <ns0:v>0</ns0:v>
      </ns0:c>
      <ns0:c r="R375" s="0">
        <ns0:f>IFERROR(IF(FIND(".",L375)=5,--O375,--M375),0)</ns0:f>
        <ns0:v>0</ns0:v>
      </ns0:c>
      <ns0:c r="S375" s="0">
        <ns0:f>IFERROR(IF(AND(P375&gt;=2000,P375&lt;=2100,Q375&gt;=1,Q375&lt;=12,R375&gt;=1,R375&lt;=31),DATE(P375,Q375,R375),0),0)</ns0:f>
        <ns0:v>0</ns0:v>
      </ns0:c>
      <ns0:c r="T375" s="0">
        <ns0:f>IFERROR(IF(ISNUMBER(Bookings!D375),IF(AND(Bookings!D375=INT(Bookings!D375),Bookings!D375&gt;=DATE(2000,1,1),Bookings!D375&lt;=DATE(2100,12,31)),Bookings!D375,0),IF(AND(K375&lt;&gt;"",LEN("x"&amp;L375)-LEN(SUBSTITUTE("x"&amp;L375,".",""))=2,OR(1&gt;LEN(L375),MID(L375,1,1)=".",ISNUMBER(FIND("x"&amp;MID(L375,1,1),"x0x1x2x3x4x5x6x7x8x9"))),OR(2&gt;LEN(L375),MID(L375,2,1)=".",ISNUMBER(FIND("x"&amp;MID(L375,2,1),"x0x1x2x3x4x5x6x7x8x9"))),OR(3&gt;LEN(L375),MID(L375,3,1)=".",ISNUMBER(FIND("x"&amp;MID(L375,3,1),"x0x1x2x3x4x5x6x7x8x9"))),OR(4&gt;LEN(L375),MID(L375,4,1)=".",ISNUMBER(FIND("x"&amp;MID(L375,4,1),"x0x1x2x3x4x5x6x7x8x9"))),OR(5&gt;LEN(L375),MID(L375,5,1)=".",ISNUMBER(FIND("x"&amp;MID(L375,5,1),"x0x1x2x3x4x5x6x7x8x9"))),OR(6&gt;LEN(L375),MID(L375,6,1)=".",ISNUMBER(FIND("x"&amp;MID(L375,6,1),"x0x1x2x3x4x5x6x7x8x9"))),OR(7&gt;LEN(L375),MID(L375,7,1)=".",ISNUMBER(FIND("x"&amp;MID(L375,7,1),"x0x1x2x3x4x5x6x7x8x9"))),OR(8&gt;LEN(L375),MID(L375,8,1)=".",ISNUMBER(FIND("x"&amp;MID(L375,8,1),"x0x1x2x3x4x5x6x7x8x9"))),OR(9&gt;LEN(L375),MID(L375,9,1)=".",ISNUMBER(FIND("x"&amp;MID(L375,9,1),"x0x1x2x3x4x5x6x7x8x9"))),OR(10&gt;LEN(L375),MID(L375,10,1)=".",ISNUMBER(FIND("x"&amp;MID(L375,10,1),"x0x1x2x3x4x5x6x7x8x9"))),OR(AND(FIND(".",L375)=5,LEN(L375)-FIND(".",L375,FIND(".",L375)+1)&gt;=1,LEN(L375)-FIND(".",L375,FIND(".",L375)+1)&lt;=2),AND(LEN(L375)-FIND(".",L375,FIND(".",L375)+1)=4,FIND(".",L375)&gt;=2,FIND(".",L375)&lt;=3)),FIND(".",L375,FIND(".",L375)+1)-FIND(".",L375)&gt;=2,FIND(".",L375,FIND(".",L375)+1)-FIND(".",L375)&lt;=3,P375&gt;=2000,P375&lt;=2100,YEAR(S375)=P375,MONTH(S375)=Q375,DAY(S375)=R375),S375,0)),0)</ns0:f>
        <ns0:v>0</ns0:v>
      </ns0:c>
      <ns0:c r="U375" s="0" t="str">
        <ns0:f>IF(Bookings!C375="","Full day",Bookings!C375)</ns0:f>
        <ns0:v>Full day</ns0:v>
      </ns0:c>
      <ns0:c r="V375" s="0" t="str">
        <ns0:f>IF(Bookings!E375="","Full day",Bookings!E375)</ns0:f>
        <ns0:v>Full day</ns0:v>
      </ns0:c>
      <ns0:c r="W375" s="0">
        <ns0:f>IF(J375=0,0,J375+IF(U375="PM",1,0))</ns0:f>
        <ns0:v>0</ns0:v>
      </ns0:c>
      <ns0:c r="X375" s="0">
        <ns0:f>IF(T375=0,0,T375-IF(V375="PM",1,0))</ns0:f>
        <ns0:v>0</ns0:v>
      </ns0:c>
      <ns0:c r="Y375" s="0">
        <ns0:f>IF(J375=0,0,J375+IF(U375="AM",1,0))</ns0:f>
        <ns0:v>0</ns0:v>
      </ns0:c>
      <ns0:c r="Z375" s="0">
        <ns0:f>IF(T375=0,0,T375-IF(V375="AM",1,0))</ns0:f>
        <ns0:v>0</ns0:v>
      </ns0:c>
      <ns0:c r="AA375" s="0">
        <ns0:f>IFERROR(IF(AND(J375&gt;0,'_Engine'!C375&gt;0,MID('_Engine'!W375,WEEKDAY(J375,2),1)="W",COUNTIF(Settings!$F$18:$F$67,J375)=0),1,0),0)</ns0:f>
        <ns0:v>0</ns0:v>
      </ns0:c>
      <ns0:c r="AB375" s="0">
        <ns0:f>IFERROR(IF(AND(T375&gt;0,'_Engine'!C375&gt;0,MID('_Engine'!W375,WEEKDAY(T375,2),1)="W",COUNTIF(Settings!$F$18:$F$67,T375)=0),1,0),0)</ns0:f>
        <ns0:v>0</ns0:v>
      </ns0:c>
      <ns0:c r="AC375" s="0">
        <ns0:f>IF(AND(J375&gt;0,T375&gt;0,W375&lt;=X375),1,0)</ns0:f>
        <ns0:v>0</ns0:v>
      </ns0:c>
      <ns0:c r="AD375" s="0">
        <ns0:f>IF(AND(J375&gt;0,T375&gt;0,Y375&lt;=Z375),1,0)</ns0:f>
        <ns0:v>0</ns0:v>
      </ns0:c>
    </ns0:row>
    <ns0:row r="376">
      <ns0:c r="A376" s="0">
        <ns0:f>IFERROR(IF(ISNUMBER(Bookings!B376),"",TRIM(Bookings!B376&amp;"")),"")</ns0:f>
      </ns0:c>
      <ns0:c r="B376" s="0">
        <ns0:f>IFERROR(SUBSTITUTE(SUBSTITUTE(A376,"/","."),"-","."),"")</ns0:f>
      </ns0:c>
      <ns0:c r="C376" s="0">
        <ns0:f>IFERROR(LEFT(B376,FIND(".",B376)-1),"")</ns0:f>
      </ns0:c>
      <ns0:c r="D376" s="0">
        <ns0:f>IFERROR(MID(B376,FIND(".",B376)+1,FIND(".",B376,FIND(".",B376)+1)-FIND(".",B376)-1),"")</ns0:f>
      </ns0:c>
      <ns0:c r="E376" s="0">
        <ns0:f>IFERROR(MID(B376,FIND(".",B376,FIND(".",B376)+1)+1,99),"")</ns0:f>
        <ns0:v>99</ns0:v>
      </ns0:c>
      <ns0:c r="F376" s="0">
        <ns0:f>IFERROR(IF(FIND(".",B376)=5,--C376,--E376),0)</ns0:f>
        <ns0:v>0</ns0:v>
      </ns0:c>
      <ns0:c r="G376" s="0">
        <ns0:f>IFERROR(--D376,0)</ns0:f>
        <ns0:v>0</ns0:v>
      </ns0:c>
      <ns0:c r="H376" s="0">
        <ns0:f>IFERROR(IF(FIND(".",B376)=5,--E376,--C376),0)</ns0:f>
        <ns0:v>0</ns0:v>
      </ns0:c>
      <ns0:c r="I376" s="0">
        <ns0:f>IFERROR(IF(AND(F376&gt;=2000,F376&lt;=2100,G376&gt;=1,G376&lt;=12,H376&gt;=1,H376&lt;=31),DATE(F376,G376,H376),0),0)</ns0:f>
        <ns0:v>0</ns0:v>
      </ns0:c>
      <ns0:c r="J376" s="0">
        <ns0:f>IFERROR(IF(ISNUMBER(Bookings!B376),IF(AND(Bookings!B376=INT(Bookings!B376),Bookings!B376&gt;=DATE(2000,1,1),Bookings!B376&lt;=DATE(2100,12,31)),Bookings!B376,0),IF(AND(A376&lt;&gt;"",LEN("x"&amp;B376)-LEN(SUBSTITUTE("x"&amp;B376,".",""))=2,OR(1&gt;LEN(B376),MID(B376,1,1)=".",ISNUMBER(FIND("x"&amp;MID(B376,1,1),"x0x1x2x3x4x5x6x7x8x9"))),OR(2&gt;LEN(B376),MID(B376,2,1)=".",ISNUMBER(FIND("x"&amp;MID(B376,2,1),"x0x1x2x3x4x5x6x7x8x9"))),OR(3&gt;LEN(B376),MID(B376,3,1)=".",ISNUMBER(FIND("x"&amp;MID(B376,3,1),"x0x1x2x3x4x5x6x7x8x9"))),OR(4&gt;LEN(B376),MID(B376,4,1)=".",ISNUMBER(FIND("x"&amp;MID(B376,4,1),"x0x1x2x3x4x5x6x7x8x9"))),OR(5&gt;LEN(B376),MID(B376,5,1)=".",ISNUMBER(FIND("x"&amp;MID(B376,5,1),"x0x1x2x3x4x5x6x7x8x9"))),OR(6&gt;LEN(B376),MID(B376,6,1)=".",ISNUMBER(FIND("x"&amp;MID(B376,6,1),"x0x1x2x3x4x5x6x7x8x9"))),OR(7&gt;LEN(B376),MID(B376,7,1)=".",ISNUMBER(FIND("x"&amp;MID(B376,7,1),"x0x1x2x3x4x5x6x7x8x9"))),OR(8&gt;LEN(B376),MID(B376,8,1)=".",ISNUMBER(FIND("x"&amp;MID(B376,8,1),"x0x1x2x3x4x5x6x7x8x9"))),OR(9&gt;LEN(B376),MID(B376,9,1)=".",ISNUMBER(FIND("x"&amp;MID(B376,9,1),"x0x1x2x3x4x5x6x7x8x9"))),OR(10&gt;LEN(B376),MID(B376,10,1)=".",ISNUMBER(FIND("x"&amp;MID(B376,10,1),"x0x1x2x3x4x5x6x7x8x9"))),OR(AND(FIND(".",B376)=5,LEN(B376)-FIND(".",B376,FIND(".",B376)+1)&gt;=1,LEN(B376)-FIND(".",B376,FIND(".",B376)+1)&lt;=2),AND(LEN(B376)-FIND(".",B376,FIND(".",B376)+1)=4,FIND(".",B376)&gt;=2,FIND(".",B376)&lt;=3)),FIND(".",B376,FIND(".",B376)+1)-FIND(".",B376)&gt;=2,FIND(".",B376,FIND(".",B376)+1)-FIND(".",B376)&lt;=3,F376&gt;=2000,F376&lt;=2100,YEAR(I376)=F376,MONTH(I376)=G376,DAY(I376)=H376),I376,0)),0)</ns0:f>
        <ns0:v>0</ns0:v>
      </ns0:c>
      <ns0:c r="K376" s="0">
        <ns0:f>IFERROR(IF(ISNUMBER(Bookings!D376),"",TRIM(Bookings!D376&amp;"")),"")</ns0:f>
      </ns0:c>
      <ns0:c r="L376" s="0">
        <ns0:f>IFERROR(SUBSTITUTE(SUBSTITUTE(K376,"/","."),"-","."),"")</ns0:f>
      </ns0:c>
      <ns0:c r="M376" s="0">
        <ns0:f>IFERROR(LEFT(L376,FIND(".",L376)-1),"")</ns0:f>
      </ns0:c>
      <ns0:c r="N376" s="0">
        <ns0:f>IFERROR(MID(L376,FIND(".",L376)+1,FIND(".",L376,FIND(".",L376)+1)-FIND(".",L376)-1),"")</ns0:f>
      </ns0:c>
      <ns0:c r="O376" s="0">
        <ns0:f>IFERROR(MID(L376,FIND(".",L376,FIND(".",L376)+1)+1,99),"")</ns0:f>
        <ns0:v>99</ns0:v>
      </ns0:c>
      <ns0:c r="P376" s="0">
        <ns0:f>IFERROR(IF(FIND(".",L376)=5,--M376,--O376),0)</ns0:f>
        <ns0:v>0</ns0:v>
      </ns0:c>
      <ns0:c r="Q376" s="0">
        <ns0:f>IFERROR(--N376,0)</ns0:f>
        <ns0:v>0</ns0:v>
      </ns0:c>
      <ns0:c r="R376" s="0">
        <ns0:f>IFERROR(IF(FIND(".",L376)=5,--O376,--M376),0)</ns0:f>
        <ns0:v>0</ns0:v>
      </ns0:c>
      <ns0:c r="S376" s="0">
        <ns0:f>IFERROR(IF(AND(P376&gt;=2000,P376&lt;=2100,Q376&gt;=1,Q376&lt;=12,R376&gt;=1,R376&lt;=31),DATE(P376,Q376,R376),0),0)</ns0:f>
        <ns0:v>0</ns0:v>
      </ns0:c>
      <ns0:c r="T376" s="0">
        <ns0:f>IFERROR(IF(ISNUMBER(Bookings!D376),IF(AND(Bookings!D376=INT(Bookings!D376),Bookings!D376&gt;=DATE(2000,1,1),Bookings!D376&lt;=DATE(2100,12,31)),Bookings!D376,0),IF(AND(K376&lt;&gt;"",LEN("x"&amp;L376)-LEN(SUBSTITUTE("x"&amp;L376,".",""))=2,OR(1&gt;LEN(L376),MID(L376,1,1)=".",ISNUMBER(FIND("x"&amp;MID(L376,1,1),"x0x1x2x3x4x5x6x7x8x9"))),OR(2&gt;LEN(L376),MID(L376,2,1)=".",ISNUMBER(FIND("x"&amp;MID(L376,2,1),"x0x1x2x3x4x5x6x7x8x9"))),OR(3&gt;LEN(L376),MID(L376,3,1)=".",ISNUMBER(FIND("x"&amp;MID(L376,3,1),"x0x1x2x3x4x5x6x7x8x9"))),OR(4&gt;LEN(L376),MID(L376,4,1)=".",ISNUMBER(FIND("x"&amp;MID(L376,4,1),"x0x1x2x3x4x5x6x7x8x9"))),OR(5&gt;LEN(L376),MID(L376,5,1)=".",ISNUMBER(FIND("x"&amp;MID(L376,5,1),"x0x1x2x3x4x5x6x7x8x9"))),OR(6&gt;LEN(L376),MID(L376,6,1)=".",ISNUMBER(FIND("x"&amp;MID(L376,6,1),"x0x1x2x3x4x5x6x7x8x9"))),OR(7&gt;LEN(L376),MID(L376,7,1)=".",ISNUMBER(FIND("x"&amp;MID(L376,7,1),"x0x1x2x3x4x5x6x7x8x9"))),OR(8&gt;LEN(L376),MID(L376,8,1)=".",ISNUMBER(FIND("x"&amp;MID(L376,8,1),"x0x1x2x3x4x5x6x7x8x9"))),OR(9&gt;LEN(L376),MID(L376,9,1)=".",ISNUMBER(FIND("x"&amp;MID(L376,9,1),"x0x1x2x3x4x5x6x7x8x9"))),OR(10&gt;LEN(L376),MID(L376,10,1)=".",ISNUMBER(FIND("x"&amp;MID(L376,10,1),"x0x1x2x3x4x5x6x7x8x9"))),OR(AND(FIND(".",L376)=5,LEN(L376)-FIND(".",L376,FIND(".",L376)+1)&gt;=1,LEN(L376)-FIND(".",L376,FIND(".",L376)+1)&lt;=2),AND(LEN(L376)-FIND(".",L376,FIND(".",L376)+1)=4,FIND(".",L376)&gt;=2,FIND(".",L376)&lt;=3)),FIND(".",L376,FIND(".",L376)+1)-FIND(".",L376)&gt;=2,FIND(".",L376,FIND(".",L376)+1)-FIND(".",L376)&lt;=3,P376&gt;=2000,P376&lt;=2100,YEAR(S376)=P376,MONTH(S376)=Q376,DAY(S376)=R376),S376,0)),0)</ns0:f>
        <ns0:v>0</ns0:v>
      </ns0:c>
      <ns0:c r="U376" s="0" t="str">
        <ns0:f>IF(Bookings!C376="","Full day",Bookings!C376)</ns0:f>
        <ns0:v>Full day</ns0:v>
      </ns0:c>
      <ns0:c r="V376" s="0" t="str">
        <ns0:f>IF(Bookings!E376="","Full day",Bookings!E376)</ns0:f>
        <ns0:v>Full day</ns0:v>
      </ns0:c>
      <ns0:c r="W376" s="0">
        <ns0:f>IF(J376=0,0,J376+IF(U376="PM",1,0))</ns0:f>
        <ns0:v>0</ns0:v>
      </ns0:c>
      <ns0:c r="X376" s="0">
        <ns0:f>IF(T376=0,0,T376-IF(V376="PM",1,0))</ns0:f>
        <ns0:v>0</ns0:v>
      </ns0:c>
      <ns0:c r="Y376" s="0">
        <ns0:f>IF(J376=0,0,J376+IF(U376="AM",1,0))</ns0:f>
        <ns0:v>0</ns0:v>
      </ns0:c>
      <ns0:c r="Z376" s="0">
        <ns0:f>IF(T376=0,0,T376-IF(V376="AM",1,0))</ns0:f>
        <ns0:v>0</ns0:v>
      </ns0:c>
      <ns0:c r="AA376" s="0">
        <ns0:f>IFERROR(IF(AND(J376&gt;0,'_Engine'!C376&gt;0,MID('_Engine'!W376,WEEKDAY(J376,2),1)="W",COUNTIF(Settings!$F$18:$F$67,J376)=0),1,0),0)</ns0:f>
        <ns0:v>0</ns0:v>
      </ns0:c>
      <ns0:c r="AB376" s="0">
        <ns0:f>IFERROR(IF(AND(T376&gt;0,'_Engine'!C376&gt;0,MID('_Engine'!W376,WEEKDAY(T376,2),1)="W",COUNTIF(Settings!$F$18:$F$67,T376)=0),1,0),0)</ns0:f>
        <ns0:v>0</ns0:v>
      </ns0:c>
      <ns0:c r="AC376" s="0">
        <ns0:f>IF(AND(J376&gt;0,T376&gt;0,W376&lt;=X376),1,0)</ns0:f>
        <ns0:v>0</ns0:v>
      </ns0:c>
      <ns0:c r="AD376" s="0">
        <ns0:f>IF(AND(J376&gt;0,T376&gt;0,Y376&lt;=Z376),1,0)</ns0:f>
        <ns0:v>0</ns0:v>
      </ns0:c>
    </ns0:row>
    <ns0:row r="377">
      <ns0:c r="A377" s="0">
        <ns0:f>IFERROR(IF(ISNUMBER(Bookings!B377),"",TRIM(Bookings!B377&amp;"")),"")</ns0:f>
      </ns0:c>
      <ns0:c r="B377" s="0">
        <ns0:f>IFERROR(SUBSTITUTE(SUBSTITUTE(A377,"/","."),"-","."),"")</ns0:f>
      </ns0:c>
      <ns0:c r="C377" s="0">
        <ns0:f>IFERROR(LEFT(B377,FIND(".",B377)-1),"")</ns0:f>
      </ns0:c>
      <ns0:c r="D377" s="0">
        <ns0:f>IFERROR(MID(B377,FIND(".",B377)+1,FIND(".",B377,FIND(".",B377)+1)-FIND(".",B377)-1),"")</ns0:f>
      </ns0:c>
      <ns0:c r="E377" s="0">
        <ns0:f>IFERROR(MID(B377,FIND(".",B377,FIND(".",B377)+1)+1,99),"")</ns0:f>
        <ns0:v>99</ns0:v>
      </ns0:c>
      <ns0:c r="F377" s="0">
        <ns0:f>IFERROR(IF(FIND(".",B377)=5,--C377,--E377),0)</ns0:f>
        <ns0:v>0</ns0:v>
      </ns0:c>
      <ns0:c r="G377" s="0">
        <ns0:f>IFERROR(--D377,0)</ns0:f>
        <ns0:v>0</ns0:v>
      </ns0:c>
      <ns0:c r="H377" s="0">
        <ns0:f>IFERROR(IF(FIND(".",B377)=5,--E377,--C377),0)</ns0:f>
        <ns0:v>0</ns0:v>
      </ns0:c>
      <ns0:c r="I377" s="0">
        <ns0:f>IFERROR(IF(AND(F377&gt;=2000,F377&lt;=2100,G377&gt;=1,G377&lt;=12,H377&gt;=1,H377&lt;=31),DATE(F377,G377,H377),0),0)</ns0:f>
        <ns0:v>0</ns0:v>
      </ns0:c>
      <ns0:c r="J377" s="0">
        <ns0:f>IFERROR(IF(ISNUMBER(Bookings!B377),IF(AND(Bookings!B377=INT(Bookings!B377),Bookings!B377&gt;=DATE(2000,1,1),Bookings!B377&lt;=DATE(2100,12,31)),Bookings!B377,0),IF(AND(A377&lt;&gt;"",LEN("x"&amp;B377)-LEN(SUBSTITUTE("x"&amp;B377,".",""))=2,OR(1&gt;LEN(B377),MID(B377,1,1)=".",ISNUMBER(FIND("x"&amp;MID(B377,1,1),"x0x1x2x3x4x5x6x7x8x9"))),OR(2&gt;LEN(B377),MID(B377,2,1)=".",ISNUMBER(FIND("x"&amp;MID(B377,2,1),"x0x1x2x3x4x5x6x7x8x9"))),OR(3&gt;LEN(B377),MID(B377,3,1)=".",ISNUMBER(FIND("x"&amp;MID(B377,3,1),"x0x1x2x3x4x5x6x7x8x9"))),OR(4&gt;LEN(B377),MID(B377,4,1)=".",ISNUMBER(FIND("x"&amp;MID(B377,4,1),"x0x1x2x3x4x5x6x7x8x9"))),OR(5&gt;LEN(B377),MID(B377,5,1)=".",ISNUMBER(FIND("x"&amp;MID(B377,5,1),"x0x1x2x3x4x5x6x7x8x9"))),OR(6&gt;LEN(B377),MID(B377,6,1)=".",ISNUMBER(FIND("x"&amp;MID(B377,6,1),"x0x1x2x3x4x5x6x7x8x9"))),OR(7&gt;LEN(B377),MID(B377,7,1)=".",ISNUMBER(FIND("x"&amp;MID(B377,7,1),"x0x1x2x3x4x5x6x7x8x9"))),OR(8&gt;LEN(B377),MID(B377,8,1)=".",ISNUMBER(FIND("x"&amp;MID(B377,8,1),"x0x1x2x3x4x5x6x7x8x9"))),OR(9&gt;LEN(B377),MID(B377,9,1)=".",ISNUMBER(FIND("x"&amp;MID(B377,9,1),"x0x1x2x3x4x5x6x7x8x9"))),OR(10&gt;LEN(B377),MID(B377,10,1)=".",ISNUMBER(FIND("x"&amp;MID(B377,10,1),"x0x1x2x3x4x5x6x7x8x9"))),OR(AND(FIND(".",B377)=5,LEN(B377)-FIND(".",B377,FIND(".",B377)+1)&gt;=1,LEN(B377)-FIND(".",B377,FIND(".",B377)+1)&lt;=2),AND(LEN(B377)-FIND(".",B377,FIND(".",B377)+1)=4,FIND(".",B377)&gt;=2,FIND(".",B377)&lt;=3)),FIND(".",B377,FIND(".",B377)+1)-FIND(".",B377)&gt;=2,FIND(".",B377,FIND(".",B377)+1)-FIND(".",B377)&lt;=3,F377&gt;=2000,F377&lt;=2100,YEAR(I377)=F377,MONTH(I377)=G377,DAY(I377)=H377),I377,0)),0)</ns0:f>
        <ns0:v>0</ns0:v>
      </ns0:c>
      <ns0:c r="K377" s="0">
        <ns0:f>IFERROR(IF(ISNUMBER(Bookings!D377),"",TRIM(Bookings!D377&amp;"")),"")</ns0:f>
      </ns0:c>
      <ns0:c r="L377" s="0">
        <ns0:f>IFERROR(SUBSTITUTE(SUBSTITUTE(K377,"/","."),"-","."),"")</ns0:f>
      </ns0:c>
      <ns0:c r="M377" s="0">
        <ns0:f>IFERROR(LEFT(L377,FIND(".",L377)-1),"")</ns0:f>
      </ns0:c>
      <ns0:c r="N377" s="0">
        <ns0:f>IFERROR(MID(L377,FIND(".",L377)+1,FIND(".",L377,FIND(".",L377)+1)-FIND(".",L377)-1),"")</ns0:f>
      </ns0:c>
      <ns0:c r="O377" s="0">
        <ns0:f>IFERROR(MID(L377,FIND(".",L377,FIND(".",L377)+1)+1,99),"")</ns0:f>
        <ns0:v>99</ns0:v>
      </ns0:c>
      <ns0:c r="P377" s="0">
        <ns0:f>IFERROR(IF(FIND(".",L377)=5,--M377,--O377),0)</ns0:f>
        <ns0:v>0</ns0:v>
      </ns0:c>
      <ns0:c r="Q377" s="0">
        <ns0:f>IFERROR(--N377,0)</ns0:f>
        <ns0:v>0</ns0:v>
      </ns0:c>
      <ns0:c r="R377" s="0">
        <ns0:f>IFERROR(IF(FIND(".",L377)=5,--O377,--M377),0)</ns0:f>
        <ns0:v>0</ns0:v>
      </ns0:c>
      <ns0:c r="S377" s="0">
        <ns0:f>IFERROR(IF(AND(P377&gt;=2000,P377&lt;=2100,Q377&gt;=1,Q377&lt;=12,R377&gt;=1,R377&lt;=31),DATE(P377,Q377,R377),0),0)</ns0:f>
        <ns0:v>0</ns0:v>
      </ns0:c>
      <ns0:c r="T377" s="0">
        <ns0:f>IFERROR(IF(ISNUMBER(Bookings!D377),IF(AND(Bookings!D377=INT(Bookings!D377),Bookings!D377&gt;=DATE(2000,1,1),Bookings!D377&lt;=DATE(2100,12,31)),Bookings!D377,0),IF(AND(K377&lt;&gt;"",LEN("x"&amp;L377)-LEN(SUBSTITUTE("x"&amp;L377,".",""))=2,OR(1&gt;LEN(L377),MID(L377,1,1)=".",ISNUMBER(FIND("x"&amp;MID(L377,1,1),"x0x1x2x3x4x5x6x7x8x9"))),OR(2&gt;LEN(L377),MID(L377,2,1)=".",ISNUMBER(FIND("x"&amp;MID(L377,2,1),"x0x1x2x3x4x5x6x7x8x9"))),OR(3&gt;LEN(L377),MID(L377,3,1)=".",ISNUMBER(FIND("x"&amp;MID(L377,3,1),"x0x1x2x3x4x5x6x7x8x9"))),OR(4&gt;LEN(L377),MID(L377,4,1)=".",ISNUMBER(FIND("x"&amp;MID(L377,4,1),"x0x1x2x3x4x5x6x7x8x9"))),OR(5&gt;LEN(L377),MID(L377,5,1)=".",ISNUMBER(FIND("x"&amp;MID(L377,5,1),"x0x1x2x3x4x5x6x7x8x9"))),OR(6&gt;LEN(L377),MID(L377,6,1)=".",ISNUMBER(FIND("x"&amp;MID(L377,6,1),"x0x1x2x3x4x5x6x7x8x9"))),OR(7&gt;LEN(L377),MID(L377,7,1)=".",ISNUMBER(FIND("x"&amp;MID(L377,7,1),"x0x1x2x3x4x5x6x7x8x9"))),OR(8&gt;LEN(L377),MID(L377,8,1)=".",ISNUMBER(FIND("x"&amp;MID(L377,8,1),"x0x1x2x3x4x5x6x7x8x9"))),OR(9&gt;LEN(L377),MID(L377,9,1)=".",ISNUMBER(FIND("x"&amp;MID(L377,9,1),"x0x1x2x3x4x5x6x7x8x9"))),OR(10&gt;LEN(L377),MID(L377,10,1)=".",ISNUMBER(FIND("x"&amp;MID(L377,10,1),"x0x1x2x3x4x5x6x7x8x9"))),OR(AND(FIND(".",L377)=5,LEN(L377)-FIND(".",L377,FIND(".",L377)+1)&gt;=1,LEN(L377)-FIND(".",L377,FIND(".",L377)+1)&lt;=2),AND(LEN(L377)-FIND(".",L377,FIND(".",L377)+1)=4,FIND(".",L377)&gt;=2,FIND(".",L377)&lt;=3)),FIND(".",L377,FIND(".",L377)+1)-FIND(".",L377)&gt;=2,FIND(".",L377,FIND(".",L377)+1)-FIND(".",L377)&lt;=3,P377&gt;=2000,P377&lt;=2100,YEAR(S377)=P377,MONTH(S377)=Q377,DAY(S377)=R377),S377,0)),0)</ns0:f>
        <ns0:v>0</ns0:v>
      </ns0:c>
      <ns0:c r="U377" s="0" t="str">
        <ns0:f>IF(Bookings!C377="","Full day",Bookings!C377)</ns0:f>
        <ns0:v>Full day</ns0:v>
      </ns0:c>
      <ns0:c r="V377" s="0" t="str">
        <ns0:f>IF(Bookings!E377="","Full day",Bookings!E377)</ns0:f>
        <ns0:v>Full day</ns0:v>
      </ns0:c>
      <ns0:c r="W377" s="0">
        <ns0:f>IF(J377=0,0,J377+IF(U377="PM",1,0))</ns0:f>
        <ns0:v>0</ns0:v>
      </ns0:c>
      <ns0:c r="X377" s="0">
        <ns0:f>IF(T377=0,0,T377-IF(V377="PM",1,0))</ns0:f>
        <ns0:v>0</ns0:v>
      </ns0:c>
      <ns0:c r="Y377" s="0">
        <ns0:f>IF(J377=0,0,J377+IF(U377="AM",1,0))</ns0:f>
        <ns0:v>0</ns0:v>
      </ns0:c>
      <ns0:c r="Z377" s="0">
        <ns0:f>IF(T377=0,0,T377-IF(V377="AM",1,0))</ns0:f>
        <ns0:v>0</ns0:v>
      </ns0:c>
      <ns0:c r="AA377" s="0">
        <ns0:f>IFERROR(IF(AND(J377&gt;0,'_Engine'!C377&gt;0,MID('_Engine'!W377,WEEKDAY(J377,2),1)="W",COUNTIF(Settings!$F$18:$F$67,J377)=0),1,0),0)</ns0:f>
        <ns0:v>0</ns0:v>
      </ns0:c>
      <ns0:c r="AB377" s="0">
        <ns0:f>IFERROR(IF(AND(T377&gt;0,'_Engine'!C377&gt;0,MID('_Engine'!W377,WEEKDAY(T377,2),1)="W",COUNTIF(Settings!$F$18:$F$67,T377)=0),1,0),0)</ns0:f>
        <ns0:v>0</ns0:v>
      </ns0:c>
      <ns0:c r="AC377" s="0">
        <ns0:f>IF(AND(J377&gt;0,T377&gt;0,W377&lt;=X377),1,0)</ns0:f>
        <ns0:v>0</ns0:v>
      </ns0:c>
      <ns0:c r="AD377" s="0">
        <ns0:f>IF(AND(J377&gt;0,T377&gt;0,Y377&lt;=Z377),1,0)</ns0:f>
        <ns0:v>0</ns0:v>
      </ns0:c>
    </ns0:row>
    <ns0:row r="378">
      <ns0:c r="A378" s="0">
        <ns0:f>IFERROR(IF(ISNUMBER(Bookings!B378),"",TRIM(Bookings!B378&amp;"")),"")</ns0:f>
      </ns0:c>
      <ns0:c r="B378" s="0">
        <ns0:f>IFERROR(SUBSTITUTE(SUBSTITUTE(A378,"/","."),"-","."),"")</ns0:f>
      </ns0:c>
      <ns0:c r="C378" s="0">
        <ns0:f>IFERROR(LEFT(B378,FIND(".",B378)-1),"")</ns0:f>
      </ns0:c>
      <ns0:c r="D378" s="0">
        <ns0:f>IFERROR(MID(B378,FIND(".",B378)+1,FIND(".",B378,FIND(".",B378)+1)-FIND(".",B378)-1),"")</ns0:f>
      </ns0:c>
      <ns0:c r="E378" s="0">
        <ns0:f>IFERROR(MID(B378,FIND(".",B378,FIND(".",B378)+1)+1,99),"")</ns0:f>
        <ns0:v>99</ns0:v>
      </ns0:c>
      <ns0:c r="F378" s="0">
        <ns0:f>IFERROR(IF(FIND(".",B378)=5,--C378,--E378),0)</ns0:f>
        <ns0:v>0</ns0:v>
      </ns0:c>
      <ns0:c r="G378" s="0">
        <ns0:f>IFERROR(--D378,0)</ns0:f>
        <ns0:v>0</ns0:v>
      </ns0:c>
      <ns0:c r="H378" s="0">
        <ns0:f>IFERROR(IF(FIND(".",B378)=5,--E378,--C378),0)</ns0:f>
        <ns0:v>0</ns0:v>
      </ns0:c>
      <ns0:c r="I378" s="0">
        <ns0:f>IFERROR(IF(AND(F378&gt;=2000,F378&lt;=2100,G378&gt;=1,G378&lt;=12,H378&gt;=1,H378&lt;=31),DATE(F378,G378,H378),0),0)</ns0:f>
        <ns0:v>0</ns0:v>
      </ns0:c>
      <ns0:c r="J378" s="0">
        <ns0:f>IFERROR(IF(ISNUMBER(Bookings!B378),IF(AND(Bookings!B378=INT(Bookings!B378),Bookings!B378&gt;=DATE(2000,1,1),Bookings!B378&lt;=DATE(2100,12,31)),Bookings!B378,0),IF(AND(A378&lt;&gt;"",LEN("x"&amp;B378)-LEN(SUBSTITUTE("x"&amp;B378,".",""))=2,OR(1&gt;LEN(B378),MID(B378,1,1)=".",ISNUMBER(FIND("x"&amp;MID(B378,1,1),"x0x1x2x3x4x5x6x7x8x9"))),OR(2&gt;LEN(B378),MID(B378,2,1)=".",ISNUMBER(FIND("x"&amp;MID(B378,2,1),"x0x1x2x3x4x5x6x7x8x9"))),OR(3&gt;LEN(B378),MID(B378,3,1)=".",ISNUMBER(FIND("x"&amp;MID(B378,3,1),"x0x1x2x3x4x5x6x7x8x9"))),OR(4&gt;LEN(B378),MID(B378,4,1)=".",ISNUMBER(FIND("x"&amp;MID(B378,4,1),"x0x1x2x3x4x5x6x7x8x9"))),OR(5&gt;LEN(B378),MID(B378,5,1)=".",ISNUMBER(FIND("x"&amp;MID(B378,5,1),"x0x1x2x3x4x5x6x7x8x9"))),OR(6&gt;LEN(B378),MID(B378,6,1)=".",ISNUMBER(FIND("x"&amp;MID(B378,6,1),"x0x1x2x3x4x5x6x7x8x9"))),OR(7&gt;LEN(B378),MID(B378,7,1)=".",ISNUMBER(FIND("x"&amp;MID(B378,7,1),"x0x1x2x3x4x5x6x7x8x9"))),OR(8&gt;LEN(B378),MID(B378,8,1)=".",ISNUMBER(FIND("x"&amp;MID(B378,8,1),"x0x1x2x3x4x5x6x7x8x9"))),OR(9&gt;LEN(B378),MID(B378,9,1)=".",ISNUMBER(FIND("x"&amp;MID(B378,9,1),"x0x1x2x3x4x5x6x7x8x9"))),OR(10&gt;LEN(B378),MID(B378,10,1)=".",ISNUMBER(FIND("x"&amp;MID(B378,10,1),"x0x1x2x3x4x5x6x7x8x9"))),OR(AND(FIND(".",B378)=5,LEN(B378)-FIND(".",B378,FIND(".",B378)+1)&gt;=1,LEN(B378)-FIND(".",B378,FIND(".",B378)+1)&lt;=2),AND(LEN(B378)-FIND(".",B378,FIND(".",B378)+1)=4,FIND(".",B378)&gt;=2,FIND(".",B378)&lt;=3)),FIND(".",B378,FIND(".",B378)+1)-FIND(".",B378)&gt;=2,FIND(".",B378,FIND(".",B378)+1)-FIND(".",B378)&lt;=3,F378&gt;=2000,F378&lt;=2100,YEAR(I378)=F378,MONTH(I378)=G378,DAY(I378)=H378),I378,0)),0)</ns0:f>
        <ns0:v>0</ns0:v>
      </ns0:c>
      <ns0:c r="K378" s="0">
        <ns0:f>IFERROR(IF(ISNUMBER(Bookings!D378),"",TRIM(Bookings!D378&amp;"")),"")</ns0:f>
      </ns0:c>
      <ns0:c r="L378" s="0">
        <ns0:f>IFERROR(SUBSTITUTE(SUBSTITUTE(K378,"/","."),"-","."),"")</ns0:f>
      </ns0:c>
      <ns0:c r="M378" s="0">
        <ns0:f>IFERROR(LEFT(L378,FIND(".",L378)-1),"")</ns0:f>
      </ns0:c>
      <ns0:c r="N378" s="0">
        <ns0:f>IFERROR(MID(L378,FIND(".",L378)+1,FIND(".",L378,FIND(".",L378)+1)-FIND(".",L378)-1),"")</ns0:f>
      </ns0:c>
      <ns0:c r="O378" s="0">
        <ns0:f>IFERROR(MID(L378,FIND(".",L378,FIND(".",L378)+1)+1,99),"")</ns0:f>
        <ns0:v>99</ns0:v>
      </ns0:c>
      <ns0:c r="P378" s="0">
        <ns0:f>IFERROR(IF(FIND(".",L378)=5,--M378,--O378),0)</ns0:f>
        <ns0:v>0</ns0:v>
      </ns0:c>
      <ns0:c r="Q378" s="0">
        <ns0:f>IFERROR(--N378,0)</ns0:f>
        <ns0:v>0</ns0:v>
      </ns0:c>
      <ns0:c r="R378" s="0">
        <ns0:f>IFERROR(IF(FIND(".",L378)=5,--O378,--M378),0)</ns0:f>
        <ns0:v>0</ns0:v>
      </ns0:c>
      <ns0:c r="S378" s="0">
        <ns0:f>IFERROR(IF(AND(P378&gt;=2000,P378&lt;=2100,Q378&gt;=1,Q378&lt;=12,R378&gt;=1,R378&lt;=31),DATE(P378,Q378,R378),0),0)</ns0:f>
        <ns0:v>0</ns0:v>
      </ns0:c>
      <ns0:c r="T378" s="0">
        <ns0:f>IFERROR(IF(ISNUMBER(Bookings!D378),IF(AND(Bookings!D378=INT(Bookings!D378),Bookings!D378&gt;=DATE(2000,1,1),Bookings!D378&lt;=DATE(2100,12,31)),Bookings!D378,0),IF(AND(K378&lt;&gt;"",LEN("x"&amp;L378)-LEN(SUBSTITUTE("x"&amp;L378,".",""))=2,OR(1&gt;LEN(L378),MID(L378,1,1)=".",ISNUMBER(FIND("x"&amp;MID(L378,1,1),"x0x1x2x3x4x5x6x7x8x9"))),OR(2&gt;LEN(L378),MID(L378,2,1)=".",ISNUMBER(FIND("x"&amp;MID(L378,2,1),"x0x1x2x3x4x5x6x7x8x9"))),OR(3&gt;LEN(L378),MID(L378,3,1)=".",ISNUMBER(FIND("x"&amp;MID(L378,3,1),"x0x1x2x3x4x5x6x7x8x9"))),OR(4&gt;LEN(L378),MID(L378,4,1)=".",ISNUMBER(FIND("x"&amp;MID(L378,4,1),"x0x1x2x3x4x5x6x7x8x9"))),OR(5&gt;LEN(L378),MID(L378,5,1)=".",ISNUMBER(FIND("x"&amp;MID(L378,5,1),"x0x1x2x3x4x5x6x7x8x9"))),OR(6&gt;LEN(L378),MID(L378,6,1)=".",ISNUMBER(FIND("x"&amp;MID(L378,6,1),"x0x1x2x3x4x5x6x7x8x9"))),OR(7&gt;LEN(L378),MID(L378,7,1)=".",ISNUMBER(FIND("x"&amp;MID(L378,7,1),"x0x1x2x3x4x5x6x7x8x9"))),OR(8&gt;LEN(L378),MID(L378,8,1)=".",ISNUMBER(FIND("x"&amp;MID(L378,8,1),"x0x1x2x3x4x5x6x7x8x9"))),OR(9&gt;LEN(L378),MID(L378,9,1)=".",ISNUMBER(FIND("x"&amp;MID(L378,9,1),"x0x1x2x3x4x5x6x7x8x9"))),OR(10&gt;LEN(L378),MID(L378,10,1)=".",ISNUMBER(FIND("x"&amp;MID(L378,10,1),"x0x1x2x3x4x5x6x7x8x9"))),OR(AND(FIND(".",L378)=5,LEN(L378)-FIND(".",L378,FIND(".",L378)+1)&gt;=1,LEN(L378)-FIND(".",L378,FIND(".",L378)+1)&lt;=2),AND(LEN(L378)-FIND(".",L378,FIND(".",L378)+1)=4,FIND(".",L378)&gt;=2,FIND(".",L378)&lt;=3)),FIND(".",L378,FIND(".",L378)+1)-FIND(".",L378)&gt;=2,FIND(".",L378,FIND(".",L378)+1)-FIND(".",L378)&lt;=3,P378&gt;=2000,P378&lt;=2100,YEAR(S378)=P378,MONTH(S378)=Q378,DAY(S378)=R378),S378,0)),0)</ns0:f>
        <ns0:v>0</ns0:v>
      </ns0:c>
      <ns0:c r="U378" s="0" t="str">
        <ns0:f>IF(Bookings!C378="","Full day",Bookings!C378)</ns0:f>
        <ns0:v>Full day</ns0:v>
      </ns0:c>
      <ns0:c r="V378" s="0" t="str">
        <ns0:f>IF(Bookings!E378="","Full day",Bookings!E378)</ns0:f>
        <ns0:v>Full day</ns0:v>
      </ns0:c>
      <ns0:c r="W378" s="0">
        <ns0:f>IF(J378=0,0,J378+IF(U378="PM",1,0))</ns0:f>
        <ns0:v>0</ns0:v>
      </ns0:c>
      <ns0:c r="X378" s="0">
        <ns0:f>IF(T378=0,0,T378-IF(V378="PM",1,0))</ns0:f>
        <ns0:v>0</ns0:v>
      </ns0:c>
      <ns0:c r="Y378" s="0">
        <ns0:f>IF(J378=0,0,J378+IF(U378="AM",1,0))</ns0:f>
        <ns0:v>0</ns0:v>
      </ns0:c>
      <ns0:c r="Z378" s="0">
        <ns0:f>IF(T378=0,0,T378-IF(V378="AM",1,0))</ns0:f>
        <ns0:v>0</ns0:v>
      </ns0:c>
      <ns0:c r="AA378" s="0">
        <ns0:f>IFERROR(IF(AND(J378&gt;0,'_Engine'!C378&gt;0,MID('_Engine'!W378,WEEKDAY(J378,2),1)="W",COUNTIF(Settings!$F$18:$F$67,J378)=0),1,0),0)</ns0:f>
        <ns0:v>0</ns0:v>
      </ns0:c>
      <ns0:c r="AB378" s="0">
        <ns0:f>IFERROR(IF(AND(T378&gt;0,'_Engine'!C378&gt;0,MID('_Engine'!W378,WEEKDAY(T378,2),1)="W",COUNTIF(Settings!$F$18:$F$67,T378)=0),1,0),0)</ns0:f>
        <ns0:v>0</ns0:v>
      </ns0:c>
      <ns0:c r="AC378" s="0">
        <ns0:f>IF(AND(J378&gt;0,T378&gt;0,W378&lt;=X378),1,0)</ns0:f>
        <ns0:v>0</ns0:v>
      </ns0:c>
      <ns0:c r="AD378" s="0">
        <ns0:f>IF(AND(J378&gt;0,T378&gt;0,Y378&lt;=Z378),1,0)</ns0:f>
        <ns0:v>0</ns0:v>
      </ns0:c>
    </ns0:row>
    <ns0:row r="379">
      <ns0:c r="A379" s="0">
        <ns0:f>IFERROR(IF(ISNUMBER(Bookings!B379),"",TRIM(Bookings!B379&amp;"")),"")</ns0:f>
      </ns0:c>
      <ns0:c r="B379" s="0">
        <ns0:f>IFERROR(SUBSTITUTE(SUBSTITUTE(A379,"/","."),"-","."),"")</ns0:f>
      </ns0:c>
      <ns0:c r="C379" s="0">
        <ns0:f>IFERROR(LEFT(B379,FIND(".",B379)-1),"")</ns0:f>
      </ns0:c>
      <ns0:c r="D379" s="0">
        <ns0:f>IFERROR(MID(B379,FIND(".",B379)+1,FIND(".",B379,FIND(".",B379)+1)-FIND(".",B379)-1),"")</ns0:f>
      </ns0:c>
      <ns0:c r="E379" s="0">
        <ns0:f>IFERROR(MID(B379,FIND(".",B379,FIND(".",B379)+1)+1,99),"")</ns0:f>
        <ns0:v>99</ns0:v>
      </ns0:c>
      <ns0:c r="F379" s="0">
        <ns0:f>IFERROR(IF(FIND(".",B379)=5,--C379,--E379),0)</ns0:f>
        <ns0:v>0</ns0:v>
      </ns0:c>
      <ns0:c r="G379" s="0">
        <ns0:f>IFERROR(--D379,0)</ns0:f>
        <ns0:v>0</ns0:v>
      </ns0:c>
      <ns0:c r="H379" s="0">
        <ns0:f>IFERROR(IF(FIND(".",B379)=5,--E379,--C379),0)</ns0:f>
        <ns0:v>0</ns0:v>
      </ns0:c>
      <ns0:c r="I379" s="0">
        <ns0:f>IFERROR(IF(AND(F379&gt;=2000,F379&lt;=2100,G379&gt;=1,G379&lt;=12,H379&gt;=1,H379&lt;=31),DATE(F379,G379,H379),0),0)</ns0:f>
        <ns0:v>0</ns0:v>
      </ns0:c>
      <ns0:c r="J379" s="0">
        <ns0:f>IFERROR(IF(ISNUMBER(Bookings!B379),IF(AND(Bookings!B379=INT(Bookings!B379),Bookings!B379&gt;=DATE(2000,1,1),Bookings!B379&lt;=DATE(2100,12,31)),Bookings!B379,0),IF(AND(A379&lt;&gt;"",LEN("x"&amp;B379)-LEN(SUBSTITUTE("x"&amp;B379,".",""))=2,OR(1&gt;LEN(B379),MID(B379,1,1)=".",ISNUMBER(FIND("x"&amp;MID(B379,1,1),"x0x1x2x3x4x5x6x7x8x9"))),OR(2&gt;LEN(B379),MID(B379,2,1)=".",ISNUMBER(FIND("x"&amp;MID(B379,2,1),"x0x1x2x3x4x5x6x7x8x9"))),OR(3&gt;LEN(B379),MID(B379,3,1)=".",ISNUMBER(FIND("x"&amp;MID(B379,3,1),"x0x1x2x3x4x5x6x7x8x9"))),OR(4&gt;LEN(B379),MID(B379,4,1)=".",ISNUMBER(FIND("x"&amp;MID(B379,4,1),"x0x1x2x3x4x5x6x7x8x9"))),OR(5&gt;LEN(B379),MID(B379,5,1)=".",ISNUMBER(FIND("x"&amp;MID(B379,5,1),"x0x1x2x3x4x5x6x7x8x9"))),OR(6&gt;LEN(B379),MID(B379,6,1)=".",ISNUMBER(FIND("x"&amp;MID(B379,6,1),"x0x1x2x3x4x5x6x7x8x9"))),OR(7&gt;LEN(B379),MID(B379,7,1)=".",ISNUMBER(FIND("x"&amp;MID(B379,7,1),"x0x1x2x3x4x5x6x7x8x9"))),OR(8&gt;LEN(B379),MID(B379,8,1)=".",ISNUMBER(FIND("x"&amp;MID(B379,8,1),"x0x1x2x3x4x5x6x7x8x9"))),OR(9&gt;LEN(B379),MID(B379,9,1)=".",ISNUMBER(FIND("x"&amp;MID(B379,9,1),"x0x1x2x3x4x5x6x7x8x9"))),OR(10&gt;LEN(B379),MID(B379,10,1)=".",ISNUMBER(FIND("x"&amp;MID(B379,10,1),"x0x1x2x3x4x5x6x7x8x9"))),OR(AND(FIND(".",B379)=5,LEN(B379)-FIND(".",B379,FIND(".",B379)+1)&gt;=1,LEN(B379)-FIND(".",B379,FIND(".",B379)+1)&lt;=2),AND(LEN(B379)-FIND(".",B379,FIND(".",B379)+1)=4,FIND(".",B379)&gt;=2,FIND(".",B379)&lt;=3)),FIND(".",B379,FIND(".",B379)+1)-FIND(".",B379)&gt;=2,FIND(".",B379,FIND(".",B379)+1)-FIND(".",B379)&lt;=3,F379&gt;=2000,F379&lt;=2100,YEAR(I379)=F379,MONTH(I379)=G379,DAY(I379)=H379),I379,0)),0)</ns0:f>
        <ns0:v>0</ns0:v>
      </ns0:c>
      <ns0:c r="K379" s="0">
        <ns0:f>IFERROR(IF(ISNUMBER(Bookings!D379),"",TRIM(Bookings!D379&amp;"")),"")</ns0:f>
      </ns0:c>
      <ns0:c r="L379" s="0">
        <ns0:f>IFERROR(SUBSTITUTE(SUBSTITUTE(K379,"/","."),"-","."),"")</ns0:f>
      </ns0:c>
      <ns0:c r="M379" s="0">
        <ns0:f>IFERROR(LEFT(L379,FIND(".",L379)-1),"")</ns0:f>
      </ns0:c>
      <ns0:c r="N379" s="0">
        <ns0:f>IFERROR(MID(L379,FIND(".",L379)+1,FIND(".",L379,FIND(".",L379)+1)-FIND(".",L379)-1),"")</ns0:f>
      </ns0:c>
      <ns0:c r="O379" s="0">
        <ns0:f>IFERROR(MID(L379,FIND(".",L379,FIND(".",L379)+1)+1,99),"")</ns0:f>
        <ns0:v>99</ns0:v>
      </ns0:c>
      <ns0:c r="P379" s="0">
        <ns0:f>IFERROR(IF(FIND(".",L379)=5,--M379,--O379),0)</ns0:f>
        <ns0:v>0</ns0:v>
      </ns0:c>
      <ns0:c r="Q379" s="0">
        <ns0:f>IFERROR(--N379,0)</ns0:f>
        <ns0:v>0</ns0:v>
      </ns0:c>
      <ns0:c r="R379" s="0">
        <ns0:f>IFERROR(IF(FIND(".",L379)=5,--O379,--M379),0)</ns0:f>
        <ns0:v>0</ns0:v>
      </ns0:c>
      <ns0:c r="S379" s="0">
        <ns0:f>IFERROR(IF(AND(P379&gt;=2000,P379&lt;=2100,Q379&gt;=1,Q379&lt;=12,R379&gt;=1,R379&lt;=31),DATE(P379,Q379,R379),0),0)</ns0:f>
        <ns0:v>0</ns0:v>
      </ns0:c>
      <ns0:c r="T379" s="0">
        <ns0:f>IFERROR(IF(ISNUMBER(Bookings!D379),IF(AND(Bookings!D379=INT(Bookings!D379),Bookings!D379&gt;=DATE(2000,1,1),Bookings!D379&lt;=DATE(2100,12,31)),Bookings!D379,0),IF(AND(K379&lt;&gt;"",LEN("x"&amp;L379)-LEN(SUBSTITUTE("x"&amp;L379,".",""))=2,OR(1&gt;LEN(L379),MID(L379,1,1)=".",ISNUMBER(FIND("x"&amp;MID(L379,1,1),"x0x1x2x3x4x5x6x7x8x9"))),OR(2&gt;LEN(L379),MID(L379,2,1)=".",ISNUMBER(FIND("x"&amp;MID(L379,2,1),"x0x1x2x3x4x5x6x7x8x9"))),OR(3&gt;LEN(L379),MID(L379,3,1)=".",ISNUMBER(FIND("x"&amp;MID(L379,3,1),"x0x1x2x3x4x5x6x7x8x9"))),OR(4&gt;LEN(L379),MID(L379,4,1)=".",ISNUMBER(FIND("x"&amp;MID(L379,4,1),"x0x1x2x3x4x5x6x7x8x9"))),OR(5&gt;LEN(L379),MID(L379,5,1)=".",ISNUMBER(FIND("x"&amp;MID(L379,5,1),"x0x1x2x3x4x5x6x7x8x9"))),OR(6&gt;LEN(L379),MID(L379,6,1)=".",ISNUMBER(FIND("x"&amp;MID(L379,6,1),"x0x1x2x3x4x5x6x7x8x9"))),OR(7&gt;LEN(L379),MID(L379,7,1)=".",ISNUMBER(FIND("x"&amp;MID(L379,7,1),"x0x1x2x3x4x5x6x7x8x9"))),OR(8&gt;LEN(L379),MID(L379,8,1)=".",ISNUMBER(FIND("x"&amp;MID(L379,8,1),"x0x1x2x3x4x5x6x7x8x9"))),OR(9&gt;LEN(L379),MID(L379,9,1)=".",ISNUMBER(FIND("x"&amp;MID(L379,9,1),"x0x1x2x3x4x5x6x7x8x9"))),OR(10&gt;LEN(L379),MID(L379,10,1)=".",ISNUMBER(FIND("x"&amp;MID(L379,10,1),"x0x1x2x3x4x5x6x7x8x9"))),OR(AND(FIND(".",L379)=5,LEN(L379)-FIND(".",L379,FIND(".",L379)+1)&gt;=1,LEN(L379)-FIND(".",L379,FIND(".",L379)+1)&lt;=2),AND(LEN(L379)-FIND(".",L379,FIND(".",L379)+1)=4,FIND(".",L379)&gt;=2,FIND(".",L379)&lt;=3)),FIND(".",L379,FIND(".",L379)+1)-FIND(".",L379)&gt;=2,FIND(".",L379,FIND(".",L379)+1)-FIND(".",L379)&lt;=3,P379&gt;=2000,P379&lt;=2100,YEAR(S379)=P379,MONTH(S379)=Q379,DAY(S379)=R379),S379,0)),0)</ns0:f>
        <ns0:v>0</ns0:v>
      </ns0:c>
      <ns0:c r="U379" s="0" t="str">
        <ns0:f>IF(Bookings!C379="","Full day",Bookings!C379)</ns0:f>
        <ns0:v>Full day</ns0:v>
      </ns0:c>
      <ns0:c r="V379" s="0" t="str">
        <ns0:f>IF(Bookings!E379="","Full day",Bookings!E379)</ns0:f>
        <ns0:v>Full day</ns0:v>
      </ns0:c>
      <ns0:c r="W379" s="0">
        <ns0:f>IF(J379=0,0,J379+IF(U379="PM",1,0))</ns0:f>
        <ns0:v>0</ns0:v>
      </ns0:c>
      <ns0:c r="X379" s="0">
        <ns0:f>IF(T379=0,0,T379-IF(V379="PM",1,0))</ns0:f>
        <ns0:v>0</ns0:v>
      </ns0:c>
      <ns0:c r="Y379" s="0">
        <ns0:f>IF(J379=0,0,J379+IF(U379="AM",1,0))</ns0:f>
        <ns0:v>0</ns0:v>
      </ns0:c>
      <ns0:c r="Z379" s="0">
        <ns0:f>IF(T379=0,0,T379-IF(V379="AM",1,0))</ns0:f>
        <ns0:v>0</ns0:v>
      </ns0:c>
      <ns0:c r="AA379" s="0">
        <ns0:f>IFERROR(IF(AND(J379&gt;0,'_Engine'!C379&gt;0,MID('_Engine'!W379,WEEKDAY(J379,2),1)="W",COUNTIF(Settings!$F$18:$F$67,J379)=0),1,0),0)</ns0:f>
        <ns0:v>0</ns0:v>
      </ns0:c>
      <ns0:c r="AB379" s="0">
        <ns0:f>IFERROR(IF(AND(T379&gt;0,'_Engine'!C379&gt;0,MID('_Engine'!W379,WEEKDAY(T379,2),1)="W",COUNTIF(Settings!$F$18:$F$67,T379)=0),1,0),0)</ns0:f>
        <ns0:v>0</ns0:v>
      </ns0:c>
      <ns0:c r="AC379" s="0">
        <ns0:f>IF(AND(J379&gt;0,T379&gt;0,W379&lt;=X379),1,0)</ns0:f>
        <ns0:v>0</ns0:v>
      </ns0:c>
      <ns0:c r="AD379" s="0">
        <ns0:f>IF(AND(J379&gt;0,T379&gt;0,Y379&lt;=Z379),1,0)</ns0:f>
        <ns0:v>0</ns0:v>
      </ns0:c>
    </ns0:row>
    <ns0:row r="380">
      <ns0:c r="A380" s="0">
        <ns0:f>IFERROR(IF(ISNUMBER(Bookings!B380),"",TRIM(Bookings!B380&amp;"")),"")</ns0:f>
      </ns0:c>
      <ns0:c r="B380" s="0">
        <ns0:f>IFERROR(SUBSTITUTE(SUBSTITUTE(A380,"/","."),"-","."),"")</ns0:f>
      </ns0:c>
      <ns0:c r="C380" s="0">
        <ns0:f>IFERROR(LEFT(B380,FIND(".",B380)-1),"")</ns0:f>
      </ns0:c>
      <ns0:c r="D380" s="0">
        <ns0:f>IFERROR(MID(B380,FIND(".",B380)+1,FIND(".",B380,FIND(".",B380)+1)-FIND(".",B380)-1),"")</ns0:f>
      </ns0:c>
      <ns0:c r="E380" s="0">
        <ns0:f>IFERROR(MID(B380,FIND(".",B380,FIND(".",B380)+1)+1,99),"")</ns0:f>
        <ns0:v>99</ns0:v>
      </ns0:c>
      <ns0:c r="F380" s="0">
        <ns0:f>IFERROR(IF(FIND(".",B380)=5,--C380,--E380),0)</ns0:f>
        <ns0:v>0</ns0:v>
      </ns0:c>
      <ns0:c r="G380" s="0">
        <ns0:f>IFERROR(--D380,0)</ns0:f>
        <ns0:v>0</ns0:v>
      </ns0:c>
      <ns0:c r="H380" s="0">
        <ns0:f>IFERROR(IF(FIND(".",B380)=5,--E380,--C380),0)</ns0:f>
        <ns0:v>0</ns0:v>
      </ns0:c>
      <ns0:c r="I380" s="0">
        <ns0:f>IFERROR(IF(AND(F380&gt;=2000,F380&lt;=2100,G380&gt;=1,G380&lt;=12,H380&gt;=1,H380&lt;=31),DATE(F380,G380,H380),0),0)</ns0:f>
        <ns0:v>0</ns0:v>
      </ns0:c>
      <ns0:c r="J380" s="0">
        <ns0:f>IFERROR(IF(ISNUMBER(Bookings!B380),IF(AND(Bookings!B380=INT(Bookings!B380),Bookings!B380&gt;=DATE(2000,1,1),Bookings!B380&lt;=DATE(2100,12,31)),Bookings!B380,0),IF(AND(A380&lt;&gt;"",LEN("x"&amp;B380)-LEN(SUBSTITUTE("x"&amp;B380,".",""))=2,OR(1&gt;LEN(B380),MID(B380,1,1)=".",ISNUMBER(FIND("x"&amp;MID(B380,1,1),"x0x1x2x3x4x5x6x7x8x9"))),OR(2&gt;LEN(B380),MID(B380,2,1)=".",ISNUMBER(FIND("x"&amp;MID(B380,2,1),"x0x1x2x3x4x5x6x7x8x9"))),OR(3&gt;LEN(B380),MID(B380,3,1)=".",ISNUMBER(FIND("x"&amp;MID(B380,3,1),"x0x1x2x3x4x5x6x7x8x9"))),OR(4&gt;LEN(B380),MID(B380,4,1)=".",ISNUMBER(FIND("x"&amp;MID(B380,4,1),"x0x1x2x3x4x5x6x7x8x9"))),OR(5&gt;LEN(B380),MID(B380,5,1)=".",ISNUMBER(FIND("x"&amp;MID(B380,5,1),"x0x1x2x3x4x5x6x7x8x9"))),OR(6&gt;LEN(B380),MID(B380,6,1)=".",ISNUMBER(FIND("x"&amp;MID(B380,6,1),"x0x1x2x3x4x5x6x7x8x9"))),OR(7&gt;LEN(B380),MID(B380,7,1)=".",ISNUMBER(FIND("x"&amp;MID(B380,7,1),"x0x1x2x3x4x5x6x7x8x9"))),OR(8&gt;LEN(B380),MID(B380,8,1)=".",ISNUMBER(FIND("x"&amp;MID(B380,8,1),"x0x1x2x3x4x5x6x7x8x9"))),OR(9&gt;LEN(B380),MID(B380,9,1)=".",ISNUMBER(FIND("x"&amp;MID(B380,9,1),"x0x1x2x3x4x5x6x7x8x9"))),OR(10&gt;LEN(B380),MID(B380,10,1)=".",ISNUMBER(FIND("x"&amp;MID(B380,10,1),"x0x1x2x3x4x5x6x7x8x9"))),OR(AND(FIND(".",B380)=5,LEN(B380)-FIND(".",B380,FIND(".",B380)+1)&gt;=1,LEN(B380)-FIND(".",B380,FIND(".",B380)+1)&lt;=2),AND(LEN(B380)-FIND(".",B380,FIND(".",B380)+1)=4,FIND(".",B380)&gt;=2,FIND(".",B380)&lt;=3)),FIND(".",B380,FIND(".",B380)+1)-FIND(".",B380)&gt;=2,FIND(".",B380,FIND(".",B380)+1)-FIND(".",B380)&lt;=3,F380&gt;=2000,F380&lt;=2100,YEAR(I380)=F380,MONTH(I380)=G380,DAY(I380)=H380),I380,0)),0)</ns0:f>
        <ns0:v>0</ns0:v>
      </ns0:c>
      <ns0:c r="K380" s="0">
        <ns0:f>IFERROR(IF(ISNUMBER(Bookings!D380),"",TRIM(Bookings!D380&amp;"")),"")</ns0:f>
      </ns0:c>
      <ns0:c r="L380" s="0">
        <ns0:f>IFERROR(SUBSTITUTE(SUBSTITUTE(K380,"/","."),"-","."),"")</ns0:f>
      </ns0:c>
      <ns0:c r="M380" s="0">
        <ns0:f>IFERROR(LEFT(L380,FIND(".",L380)-1),"")</ns0:f>
      </ns0:c>
      <ns0:c r="N380" s="0">
        <ns0:f>IFERROR(MID(L380,FIND(".",L380)+1,FIND(".",L380,FIND(".",L380)+1)-FIND(".",L380)-1),"")</ns0:f>
      </ns0:c>
      <ns0:c r="O380" s="0">
        <ns0:f>IFERROR(MID(L380,FIND(".",L380,FIND(".",L380)+1)+1,99),"")</ns0:f>
        <ns0:v>99</ns0:v>
      </ns0:c>
      <ns0:c r="P380" s="0">
        <ns0:f>IFERROR(IF(FIND(".",L380)=5,--M380,--O380),0)</ns0:f>
        <ns0:v>0</ns0:v>
      </ns0:c>
      <ns0:c r="Q380" s="0">
        <ns0:f>IFERROR(--N380,0)</ns0:f>
        <ns0:v>0</ns0:v>
      </ns0:c>
      <ns0:c r="R380" s="0">
        <ns0:f>IFERROR(IF(FIND(".",L380)=5,--O380,--M380),0)</ns0:f>
        <ns0:v>0</ns0:v>
      </ns0:c>
      <ns0:c r="S380" s="0">
        <ns0:f>IFERROR(IF(AND(P380&gt;=2000,P380&lt;=2100,Q380&gt;=1,Q380&lt;=12,R380&gt;=1,R380&lt;=31),DATE(P380,Q380,R380),0),0)</ns0:f>
        <ns0:v>0</ns0:v>
      </ns0:c>
      <ns0:c r="T380" s="0">
        <ns0:f>IFERROR(IF(ISNUMBER(Bookings!D380),IF(AND(Bookings!D380=INT(Bookings!D380),Bookings!D380&gt;=DATE(2000,1,1),Bookings!D380&lt;=DATE(2100,12,31)),Bookings!D380,0),IF(AND(K380&lt;&gt;"",LEN("x"&amp;L380)-LEN(SUBSTITUTE("x"&amp;L380,".",""))=2,OR(1&gt;LEN(L380),MID(L380,1,1)=".",ISNUMBER(FIND("x"&amp;MID(L380,1,1),"x0x1x2x3x4x5x6x7x8x9"))),OR(2&gt;LEN(L380),MID(L380,2,1)=".",ISNUMBER(FIND("x"&amp;MID(L380,2,1),"x0x1x2x3x4x5x6x7x8x9"))),OR(3&gt;LEN(L380),MID(L380,3,1)=".",ISNUMBER(FIND("x"&amp;MID(L380,3,1),"x0x1x2x3x4x5x6x7x8x9"))),OR(4&gt;LEN(L380),MID(L380,4,1)=".",ISNUMBER(FIND("x"&amp;MID(L380,4,1),"x0x1x2x3x4x5x6x7x8x9"))),OR(5&gt;LEN(L380),MID(L380,5,1)=".",ISNUMBER(FIND("x"&amp;MID(L380,5,1),"x0x1x2x3x4x5x6x7x8x9"))),OR(6&gt;LEN(L380),MID(L380,6,1)=".",ISNUMBER(FIND("x"&amp;MID(L380,6,1),"x0x1x2x3x4x5x6x7x8x9"))),OR(7&gt;LEN(L380),MID(L380,7,1)=".",ISNUMBER(FIND("x"&amp;MID(L380,7,1),"x0x1x2x3x4x5x6x7x8x9"))),OR(8&gt;LEN(L380),MID(L380,8,1)=".",ISNUMBER(FIND("x"&amp;MID(L380,8,1),"x0x1x2x3x4x5x6x7x8x9"))),OR(9&gt;LEN(L380),MID(L380,9,1)=".",ISNUMBER(FIND("x"&amp;MID(L380,9,1),"x0x1x2x3x4x5x6x7x8x9"))),OR(10&gt;LEN(L380),MID(L380,10,1)=".",ISNUMBER(FIND("x"&amp;MID(L380,10,1),"x0x1x2x3x4x5x6x7x8x9"))),OR(AND(FIND(".",L380)=5,LEN(L380)-FIND(".",L380,FIND(".",L380)+1)&gt;=1,LEN(L380)-FIND(".",L380,FIND(".",L380)+1)&lt;=2),AND(LEN(L380)-FIND(".",L380,FIND(".",L380)+1)=4,FIND(".",L380)&gt;=2,FIND(".",L380)&lt;=3)),FIND(".",L380,FIND(".",L380)+1)-FIND(".",L380)&gt;=2,FIND(".",L380,FIND(".",L380)+1)-FIND(".",L380)&lt;=3,P380&gt;=2000,P380&lt;=2100,YEAR(S380)=P380,MONTH(S380)=Q380,DAY(S380)=R380),S380,0)),0)</ns0:f>
        <ns0:v>0</ns0:v>
      </ns0:c>
      <ns0:c r="U380" s="0" t="str">
        <ns0:f>IF(Bookings!C380="","Full day",Bookings!C380)</ns0:f>
        <ns0:v>Full day</ns0:v>
      </ns0:c>
      <ns0:c r="V380" s="0" t="str">
        <ns0:f>IF(Bookings!E380="","Full day",Bookings!E380)</ns0:f>
        <ns0:v>Full day</ns0:v>
      </ns0:c>
      <ns0:c r="W380" s="0">
        <ns0:f>IF(J380=0,0,J380+IF(U380="PM",1,0))</ns0:f>
        <ns0:v>0</ns0:v>
      </ns0:c>
      <ns0:c r="X380" s="0">
        <ns0:f>IF(T380=0,0,T380-IF(V380="PM",1,0))</ns0:f>
        <ns0:v>0</ns0:v>
      </ns0:c>
      <ns0:c r="Y380" s="0">
        <ns0:f>IF(J380=0,0,J380+IF(U380="AM",1,0))</ns0:f>
        <ns0:v>0</ns0:v>
      </ns0:c>
      <ns0:c r="Z380" s="0">
        <ns0:f>IF(T380=0,0,T380-IF(V380="AM",1,0))</ns0:f>
        <ns0:v>0</ns0:v>
      </ns0:c>
      <ns0:c r="AA380" s="0">
        <ns0:f>IFERROR(IF(AND(J380&gt;0,'_Engine'!C380&gt;0,MID('_Engine'!W380,WEEKDAY(J380,2),1)="W",COUNTIF(Settings!$F$18:$F$67,J380)=0),1,0),0)</ns0:f>
        <ns0:v>0</ns0:v>
      </ns0:c>
      <ns0:c r="AB380" s="0">
        <ns0:f>IFERROR(IF(AND(T380&gt;0,'_Engine'!C380&gt;0,MID('_Engine'!W380,WEEKDAY(T380,2),1)="W",COUNTIF(Settings!$F$18:$F$67,T380)=0),1,0),0)</ns0:f>
        <ns0:v>0</ns0:v>
      </ns0:c>
      <ns0:c r="AC380" s="0">
        <ns0:f>IF(AND(J380&gt;0,T380&gt;0,W380&lt;=X380),1,0)</ns0:f>
        <ns0:v>0</ns0:v>
      </ns0:c>
      <ns0:c r="AD380" s="0">
        <ns0:f>IF(AND(J380&gt;0,T380&gt;0,Y380&lt;=Z380),1,0)</ns0:f>
        <ns0:v>0</ns0:v>
      </ns0:c>
    </ns0:row>
    <ns0:row r="381">
      <ns0:c r="A381" s="0">
        <ns0:f>IFERROR(IF(ISNUMBER(Bookings!B381),"",TRIM(Bookings!B381&amp;"")),"")</ns0:f>
      </ns0:c>
      <ns0:c r="B381" s="0">
        <ns0:f>IFERROR(SUBSTITUTE(SUBSTITUTE(A381,"/","."),"-","."),"")</ns0:f>
      </ns0:c>
      <ns0:c r="C381" s="0">
        <ns0:f>IFERROR(LEFT(B381,FIND(".",B381)-1),"")</ns0:f>
      </ns0:c>
      <ns0:c r="D381" s="0">
        <ns0:f>IFERROR(MID(B381,FIND(".",B381)+1,FIND(".",B381,FIND(".",B381)+1)-FIND(".",B381)-1),"")</ns0:f>
      </ns0:c>
      <ns0:c r="E381" s="0">
        <ns0:f>IFERROR(MID(B381,FIND(".",B381,FIND(".",B381)+1)+1,99),"")</ns0:f>
        <ns0:v>99</ns0:v>
      </ns0:c>
      <ns0:c r="F381" s="0">
        <ns0:f>IFERROR(IF(FIND(".",B381)=5,--C381,--E381),0)</ns0:f>
        <ns0:v>0</ns0:v>
      </ns0:c>
      <ns0:c r="G381" s="0">
        <ns0:f>IFERROR(--D381,0)</ns0:f>
        <ns0:v>0</ns0:v>
      </ns0:c>
      <ns0:c r="H381" s="0">
        <ns0:f>IFERROR(IF(FIND(".",B381)=5,--E381,--C381),0)</ns0:f>
        <ns0:v>0</ns0:v>
      </ns0:c>
      <ns0:c r="I381" s="0">
        <ns0:f>IFERROR(IF(AND(F381&gt;=2000,F381&lt;=2100,G381&gt;=1,G381&lt;=12,H381&gt;=1,H381&lt;=31),DATE(F381,G381,H381),0),0)</ns0:f>
        <ns0:v>0</ns0:v>
      </ns0:c>
      <ns0:c r="J381" s="0">
        <ns0:f>IFERROR(IF(ISNUMBER(Bookings!B381),IF(AND(Bookings!B381=INT(Bookings!B381),Bookings!B381&gt;=DATE(2000,1,1),Bookings!B381&lt;=DATE(2100,12,31)),Bookings!B381,0),IF(AND(A381&lt;&gt;"",LEN("x"&amp;B381)-LEN(SUBSTITUTE("x"&amp;B381,".",""))=2,OR(1&gt;LEN(B381),MID(B381,1,1)=".",ISNUMBER(FIND("x"&amp;MID(B381,1,1),"x0x1x2x3x4x5x6x7x8x9"))),OR(2&gt;LEN(B381),MID(B381,2,1)=".",ISNUMBER(FIND("x"&amp;MID(B381,2,1),"x0x1x2x3x4x5x6x7x8x9"))),OR(3&gt;LEN(B381),MID(B381,3,1)=".",ISNUMBER(FIND("x"&amp;MID(B381,3,1),"x0x1x2x3x4x5x6x7x8x9"))),OR(4&gt;LEN(B381),MID(B381,4,1)=".",ISNUMBER(FIND("x"&amp;MID(B381,4,1),"x0x1x2x3x4x5x6x7x8x9"))),OR(5&gt;LEN(B381),MID(B381,5,1)=".",ISNUMBER(FIND("x"&amp;MID(B381,5,1),"x0x1x2x3x4x5x6x7x8x9"))),OR(6&gt;LEN(B381),MID(B381,6,1)=".",ISNUMBER(FIND("x"&amp;MID(B381,6,1),"x0x1x2x3x4x5x6x7x8x9"))),OR(7&gt;LEN(B381),MID(B381,7,1)=".",ISNUMBER(FIND("x"&amp;MID(B381,7,1),"x0x1x2x3x4x5x6x7x8x9"))),OR(8&gt;LEN(B381),MID(B381,8,1)=".",ISNUMBER(FIND("x"&amp;MID(B381,8,1),"x0x1x2x3x4x5x6x7x8x9"))),OR(9&gt;LEN(B381),MID(B381,9,1)=".",ISNUMBER(FIND("x"&amp;MID(B381,9,1),"x0x1x2x3x4x5x6x7x8x9"))),OR(10&gt;LEN(B381),MID(B381,10,1)=".",ISNUMBER(FIND("x"&amp;MID(B381,10,1),"x0x1x2x3x4x5x6x7x8x9"))),OR(AND(FIND(".",B381)=5,LEN(B381)-FIND(".",B381,FIND(".",B381)+1)&gt;=1,LEN(B381)-FIND(".",B381,FIND(".",B381)+1)&lt;=2),AND(LEN(B381)-FIND(".",B381,FIND(".",B381)+1)=4,FIND(".",B381)&gt;=2,FIND(".",B381)&lt;=3)),FIND(".",B381,FIND(".",B381)+1)-FIND(".",B381)&gt;=2,FIND(".",B381,FIND(".",B381)+1)-FIND(".",B381)&lt;=3,F381&gt;=2000,F381&lt;=2100,YEAR(I381)=F381,MONTH(I381)=G381,DAY(I381)=H381),I381,0)),0)</ns0:f>
        <ns0:v>0</ns0:v>
      </ns0:c>
      <ns0:c r="K381" s="0">
        <ns0:f>IFERROR(IF(ISNUMBER(Bookings!D381),"",TRIM(Bookings!D381&amp;"")),"")</ns0:f>
      </ns0:c>
      <ns0:c r="L381" s="0">
        <ns0:f>IFERROR(SUBSTITUTE(SUBSTITUTE(K381,"/","."),"-","."),"")</ns0:f>
      </ns0:c>
      <ns0:c r="M381" s="0">
        <ns0:f>IFERROR(LEFT(L381,FIND(".",L381)-1),"")</ns0:f>
      </ns0:c>
      <ns0:c r="N381" s="0">
        <ns0:f>IFERROR(MID(L381,FIND(".",L381)+1,FIND(".",L381,FIND(".",L381)+1)-FIND(".",L381)-1),"")</ns0:f>
      </ns0:c>
      <ns0:c r="O381" s="0">
        <ns0:f>IFERROR(MID(L381,FIND(".",L381,FIND(".",L381)+1)+1,99),"")</ns0:f>
        <ns0:v>99</ns0:v>
      </ns0:c>
      <ns0:c r="P381" s="0">
        <ns0:f>IFERROR(IF(FIND(".",L381)=5,--M381,--O381),0)</ns0:f>
        <ns0:v>0</ns0:v>
      </ns0:c>
      <ns0:c r="Q381" s="0">
        <ns0:f>IFERROR(--N381,0)</ns0:f>
        <ns0:v>0</ns0:v>
      </ns0:c>
      <ns0:c r="R381" s="0">
        <ns0:f>IFERROR(IF(FIND(".",L381)=5,--O381,--M381),0)</ns0:f>
        <ns0:v>0</ns0:v>
      </ns0:c>
      <ns0:c r="S381" s="0">
        <ns0:f>IFERROR(IF(AND(P381&gt;=2000,P381&lt;=2100,Q381&gt;=1,Q381&lt;=12,R381&gt;=1,R381&lt;=31),DATE(P381,Q381,R381),0),0)</ns0:f>
        <ns0:v>0</ns0:v>
      </ns0:c>
      <ns0:c r="T381" s="0">
        <ns0:f>IFERROR(IF(ISNUMBER(Bookings!D381),IF(AND(Bookings!D381=INT(Bookings!D381),Bookings!D381&gt;=DATE(2000,1,1),Bookings!D381&lt;=DATE(2100,12,31)),Bookings!D381,0),IF(AND(K381&lt;&gt;"",LEN("x"&amp;L381)-LEN(SUBSTITUTE("x"&amp;L381,".",""))=2,OR(1&gt;LEN(L381),MID(L381,1,1)=".",ISNUMBER(FIND("x"&amp;MID(L381,1,1),"x0x1x2x3x4x5x6x7x8x9"))),OR(2&gt;LEN(L381),MID(L381,2,1)=".",ISNUMBER(FIND("x"&amp;MID(L381,2,1),"x0x1x2x3x4x5x6x7x8x9"))),OR(3&gt;LEN(L381),MID(L381,3,1)=".",ISNUMBER(FIND("x"&amp;MID(L381,3,1),"x0x1x2x3x4x5x6x7x8x9"))),OR(4&gt;LEN(L381),MID(L381,4,1)=".",ISNUMBER(FIND("x"&amp;MID(L381,4,1),"x0x1x2x3x4x5x6x7x8x9"))),OR(5&gt;LEN(L381),MID(L381,5,1)=".",ISNUMBER(FIND("x"&amp;MID(L381,5,1),"x0x1x2x3x4x5x6x7x8x9"))),OR(6&gt;LEN(L381),MID(L381,6,1)=".",ISNUMBER(FIND("x"&amp;MID(L381,6,1),"x0x1x2x3x4x5x6x7x8x9"))),OR(7&gt;LEN(L381),MID(L381,7,1)=".",ISNUMBER(FIND("x"&amp;MID(L381,7,1),"x0x1x2x3x4x5x6x7x8x9"))),OR(8&gt;LEN(L381),MID(L381,8,1)=".",ISNUMBER(FIND("x"&amp;MID(L381,8,1),"x0x1x2x3x4x5x6x7x8x9"))),OR(9&gt;LEN(L381),MID(L381,9,1)=".",ISNUMBER(FIND("x"&amp;MID(L381,9,1),"x0x1x2x3x4x5x6x7x8x9"))),OR(10&gt;LEN(L381),MID(L381,10,1)=".",ISNUMBER(FIND("x"&amp;MID(L381,10,1),"x0x1x2x3x4x5x6x7x8x9"))),OR(AND(FIND(".",L381)=5,LEN(L381)-FIND(".",L381,FIND(".",L381)+1)&gt;=1,LEN(L381)-FIND(".",L381,FIND(".",L381)+1)&lt;=2),AND(LEN(L381)-FIND(".",L381,FIND(".",L381)+1)=4,FIND(".",L381)&gt;=2,FIND(".",L381)&lt;=3)),FIND(".",L381,FIND(".",L381)+1)-FIND(".",L381)&gt;=2,FIND(".",L381,FIND(".",L381)+1)-FIND(".",L381)&lt;=3,P381&gt;=2000,P381&lt;=2100,YEAR(S381)=P381,MONTH(S381)=Q381,DAY(S381)=R381),S381,0)),0)</ns0:f>
        <ns0:v>0</ns0:v>
      </ns0:c>
      <ns0:c r="U381" s="0" t="str">
        <ns0:f>IF(Bookings!C381="","Full day",Bookings!C381)</ns0:f>
        <ns0:v>Full day</ns0:v>
      </ns0:c>
      <ns0:c r="V381" s="0" t="str">
        <ns0:f>IF(Bookings!E381="","Full day",Bookings!E381)</ns0:f>
        <ns0:v>Full day</ns0:v>
      </ns0:c>
      <ns0:c r="W381" s="0">
        <ns0:f>IF(J381=0,0,J381+IF(U381="PM",1,0))</ns0:f>
        <ns0:v>0</ns0:v>
      </ns0:c>
      <ns0:c r="X381" s="0">
        <ns0:f>IF(T381=0,0,T381-IF(V381="PM",1,0))</ns0:f>
        <ns0:v>0</ns0:v>
      </ns0:c>
      <ns0:c r="Y381" s="0">
        <ns0:f>IF(J381=0,0,J381+IF(U381="AM",1,0))</ns0:f>
        <ns0:v>0</ns0:v>
      </ns0:c>
      <ns0:c r="Z381" s="0">
        <ns0:f>IF(T381=0,0,T381-IF(V381="AM",1,0))</ns0:f>
        <ns0:v>0</ns0:v>
      </ns0:c>
      <ns0:c r="AA381" s="0">
        <ns0:f>IFERROR(IF(AND(J381&gt;0,'_Engine'!C381&gt;0,MID('_Engine'!W381,WEEKDAY(J381,2),1)="W",COUNTIF(Settings!$F$18:$F$67,J381)=0),1,0),0)</ns0:f>
        <ns0:v>0</ns0:v>
      </ns0:c>
      <ns0:c r="AB381" s="0">
        <ns0:f>IFERROR(IF(AND(T381&gt;0,'_Engine'!C381&gt;0,MID('_Engine'!W381,WEEKDAY(T381,2),1)="W",COUNTIF(Settings!$F$18:$F$67,T381)=0),1,0),0)</ns0:f>
        <ns0:v>0</ns0:v>
      </ns0:c>
      <ns0:c r="AC381" s="0">
        <ns0:f>IF(AND(J381&gt;0,T381&gt;0,W381&lt;=X381),1,0)</ns0:f>
        <ns0:v>0</ns0:v>
      </ns0:c>
      <ns0:c r="AD381" s="0">
        <ns0:f>IF(AND(J381&gt;0,T381&gt;0,Y381&lt;=Z381),1,0)</ns0:f>
        <ns0:v>0</ns0:v>
      </ns0:c>
    </ns0:row>
    <ns0:row r="382">
      <ns0:c r="A382" s="0">
        <ns0:f>IFERROR(IF(ISNUMBER(Bookings!B382),"",TRIM(Bookings!B382&amp;"")),"")</ns0:f>
      </ns0:c>
      <ns0:c r="B382" s="0">
        <ns0:f>IFERROR(SUBSTITUTE(SUBSTITUTE(A382,"/","."),"-","."),"")</ns0:f>
      </ns0:c>
      <ns0:c r="C382" s="0">
        <ns0:f>IFERROR(LEFT(B382,FIND(".",B382)-1),"")</ns0:f>
      </ns0:c>
      <ns0:c r="D382" s="0">
        <ns0:f>IFERROR(MID(B382,FIND(".",B382)+1,FIND(".",B382,FIND(".",B382)+1)-FIND(".",B382)-1),"")</ns0:f>
      </ns0:c>
      <ns0:c r="E382" s="0">
        <ns0:f>IFERROR(MID(B382,FIND(".",B382,FIND(".",B382)+1)+1,99),"")</ns0:f>
        <ns0:v>99</ns0:v>
      </ns0:c>
      <ns0:c r="F382" s="0">
        <ns0:f>IFERROR(IF(FIND(".",B382)=5,--C382,--E382),0)</ns0:f>
        <ns0:v>0</ns0:v>
      </ns0:c>
      <ns0:c r="G382" s="0">
        <ns0:f>IFERROR(--D382,0)</ns0:f>
        <ns0:v>0</ns0:v>
      </ns0:c>
      <ns0:c r="H382" s="0">
        <ns0:f>IFERROR(IF(FIND(".",B382)=5,--E382,--C382),0)</ns0:f>
        <ns0:v>0</ns0:v>
      </ns0:c>
      <ns0:c r="I382" s="0">
        <ns0:f>IFERROR(IF(AND(F382&gt;=2000,F382&lt;=2100,G382&gt;=1,G382&lt;=12,H382&gt;=1,H382&lt;=31),DATE(F382,G382,H382),0),0)</ns0:f>
        <ns0:v>0</ns0:v>
      </ns0:c>
      <ns0:c r="J382" s="0">
        <ns0:f>IFERROR(IF(ISNUMBER(Bookings!B382),IF(AND(Bookings!B382=INT(Bookings!B382),Bookings!B382&gt;=DATE(2000,1,1),Bookings!B382&lt;=DATE(2100,12,31)),Bookings!B382,0),IF(AND(A382&lt;&gt;"",LEN("x"&amp;B382)-LEN(SUBSTITUTE("x"&amp;B382,".",""))=2,OR(1&gt;LEN(B382),MID(B382,1,1)=".",ISNUMBER(FIND("x"&amp;MID(B382,1,1),"x0x1x2x3x4x5x6x7x8x9"))),OR(2&gt;LEN(B382),MID(B382,2,1)=".",ISNUMBER(FIND("x"&amp;MID(B382,2,1),"x0x1x2x3x4x5x6x7x8x9"))),OR(3&gt;LEN(B382),MID(B382,3,1)=".",ISNUMBER(FIND("x"&amp;MID(B382,3,1),"x0x1x2x3x4x5x6x7x8x9"))),OR(4&gt;LEN(B382),MID(B382,4,1)=".",ISNUMBER(FIND("x"&amp;MID(B382,4,1),"x0x1x2x3x4x5x6x7x8x9"))),OR(5&gt;LEN(B382),MID(B382,5,1)=".",ISNUMBER(FIND("x"&amp;MID(B382,5,1),"x0x1x2x3x4x5x6x7x8x9"))),OR(6&gt;LEN(B382),MID(B382,6,1)=".",ISNUMBER(FIND("x"&amp;MID(B382,6,1),"x0x1x2x3x4x5x6x7x8x9"))),OR(7&gt;LEN(B382),MID(B382,7,1)=".",ISNUMBER(FIND("x"&amp;MID(B382,7,1),"x0x1x2x3x4x5x6x7x8x9"))),OR(8&gt;LEN(B382),MID(B382,8,1)=".",ISNUMBER(FIND("x"&amp;MID(B382,8,1),"x0x1x2x3x4x5x6x7x8x9"))),OR(9&gt;LEN(B382),MID(B382,9,1)=".",ISNUMBER(FIND("x"&amp;MID(B382,9,1),"x0x1x2x3x4x5x6x7x8x9"))),OR(10&gt;LEN(B382),MID(B382,10,1)=".",ISNUMBER(FIND("x"&amp;MID(B382,10,1),"x0x1x2x3x4x5x6x7x8x9"))),OR(AND(FIND(".",B382)=5,LEN(B382)-FIND(".",B382,FIND(".",B382)+1)&gt;=1,LEN(B382)-FIND(".",B382,FIND(".",B382)+1)&lt;=2),AND(LEN(B382)-FIND(".",B382,FIND(".",B382)+1)=4,FIND(".",B382)&gt;=2,FIND(".",B382)&lt;=3)),FIND(".",B382,FIND(".",B382)+1)-FIND(".",B382)&gt;=2,FIND(".",B382,FIND(".",B382)+1)-FIND(".",B382)&lt;=3,F382&gt;=2000,F382&lt;=2100,YEAR(I382)=F382,MONTH(I382)=G382,DAY(I382)=H382),I382,0)),0)</ns0:f>
        <ns0:v>0</ns0:v>
      </ns0:c>
      <ns0:c r="K382" s="0">
        <ns0:f>IFERROR(IF(ISNUMBER(Bookings!D382),"",TRIM(Bookings!D382&amp;"")),"")</ns0:f>
      </ns0:c>
      <ns0:c r="L382" s="0">
        <ns0:f>IFERROR(SUBSTITUTE(SUBSTITUTE(K382,"/","."),"-","."),"")</ns0:f>
      </ns0:c>
      <ns0:c r="M382" s="0">
        <ns0:f>IFERROR(LEFT(L382,FIND(".",L382)-1),"")</ns0:f>
      </ns0:c>
      <ns0:c r="N382" s="0">
        <ns0:f>IFERROR(MID(L382,FIND(".",L382)+1,FIND(".",L382,FIND(".",L382)+1)-FIND(".",L382)-1),"")</ns0:f>
      </ns0:c>
      <ns0:c r="O382" s="0">
        <ns0:f>IFERROR(MID(L382,FIND(".",L382,FIND(".",L382)+1)+1,99),"")</ns0:f>
        <ns0:v>99</ns0:v>
      </ns0:c>
      <ns0:c r="P382" s="0">
        <ns0:f>IFERROR(IF(FIND(".",L382)=5,--M382,--O382),0)</ns0:f>
        <ns0:v>0</ns0:v>
      </ns0:c>
      <ns0:c r="Q382" s="0">
        <ns0:f>IFERROR(--N382,0)</ns0:f>
        <ns0:v>0</ns0:v>
      </ns0:c>
      <ns0:c r="R382" s="0">
        <ns0:f>IFERROR(IF(FIND(".",L382)=5,--O382,--M382),0)</ns0:f>
        <ns0:v>0</ns0:v>
      </ns0:c>
      <ns0:c r="S382" s="0">
        <ns0:f>IFERROR(IF(AND(P382&gt;=2000,P382&lt;=2100,Q382&gt;=1,Q382&lt;=12,R382&gt;=1,R382&lt;=31),DATE(P382,Q382,R382),0),0)</ns0:f>
        <ns0:v>0</ns0:v>
      </ns0:c>
      <ns0:c r="T382" s="0">
        <ns0:f>IFERROR(IF(ISNUMBER(Bookings!D382),IF(AND(Bookings!D382=INT(Bookings!D382),Bookings!D382&gt;=DATE(2000,1,1),Bookings!D382&lt;=DATE(2100,12,31)),Bookings!D382,0),IF(AND(K382&lt;&gt;"",LEN("x"&amp;L382)-LEN(SUBSTITUTE("x"&amp;L382,".",""))=2,OR(1&gt;LEN(L382),MID(L382,1,1)=".",ISNUMBER(FIND("x"&amp;MID(L382,1,1),"x0x1x2x3x4x5x6x7x8x9"))),OR(2&gt;LEN(L382),MID(L382,2,1)=".",ISNUMBER(FIND("x"&amp;MID(L382,2,1),"x0x1x2x3x4x5x6x7x8x9"))),OR(3&gt;LEN(L382),MID(L382,3,1)=".",ISNUMBER(FIND("x"&amp;MID(L382,3,1),"x0x1x2x3x4x5x6x7x8x9"))),OR(4&gt;LEN(L382),MID(L382,4,1)=".",ISNUMBER(FIND("x"&amp;MID(L382,4,1),"x0x1x2x3x4x5x6x7x8x9"))),OR(5&gt;LEN(L382),MID(L382,5,1)=".",ISNUMBER(FIND("x"&amp;MID(L382,5,1),"x0x1x2x3x4x5x6x7x8x9"))),OR(6&gt;LEN(L382),MID(L382,6,1)=".",ISNUMBER(FIND("x"&amp;MID(L382,6,1),"x0x1x2x3x4x5x6x7x8x9"))),OR(7&gt;LEN(L382),MID(L382,7,1)=".",ISNUMBER(FIND("x"&amp;MID(L382,7,1),"x0x1x2x3x4x5x6x7x8x9"))),OR(8&gt;LEN(L382),MID(L382,8,1)=".",ISNUMBER(FIND("x"&amp;MID(L382,8,1),"x0x1x2x3x4x5x6x7x8x9"))),OR(9&gt;LEN(L382),MID(L382,9,1)=".",ISNUMBER(FIND("x"&amp;MID(L382,9,1),"x0x1x2x3x4x5x6x7x8x9"))),OR(10&gt;LEN(L382),MID(L382,10,1)=".",ISNUMBER(FIND("x"&amp;MID(L382,10,1),"x0x1x2x3x4x5x6x7x8x9"))),OR(AND(FIND(".",L382)=5,LEN(L382)-FIND(".",L382,FIND(".",L382)+1)&gt;=1,LEN(L382)-FIND(".",L382,FIND(".",L382)+1)&lt;=2),AND(LEN(L382)-FIND(".",L382,FIND(".",L382)+1)=4,FIND(".",L382)&gt;=2,FIND(".",L382)&lt;=3)),FIND(".",L382,FIND(".",L382)+1)-FIND(".",L382)&gt;=2,FIND(".",L382,FIND(".",L382)+1)-FIND(".",L382)&lt;=3,P382&gt;=2000,P382&lt;=2100,YEAR(S382)=P382,MONTH(S382)=Q382,DAY(S382)=R382),S382,0)),0)</ns0:f>
        <ns0:v>0</ns0:v>
      </ns0:c>
      <ns0:c r="U382" s="0" t="str">
        <ns0:f>IF(Bookings!C382="","Full day",Bookings!C382)</ns0:f>
        <ns0:v>Full day</ns0:v>
      </ns0:c>
      <ns0:c r="V382" s="0" t="str">
        <ns0:f>IF(Bookings!E382="","Full day",Bookings!E382)</ns0:f>
        <ns0:v>Full day</ns0:v>
      </ns0:c>
      <ns0:c r="W382" s="0">
        <ns0:f>IF(J382=0,0,J382+IF(U382="PM",1,0))</ns0:f>
        <ns0:v>0</ns0:v>
      </ns0:c>
      <ns0:c r="X382" s="0">
        <ns0:f>IF(T382=0,0,T382-IF(V382="PM",1,0))</ns0:f>
        <ns0:v>0</ns0:v>
      </ns0:c>
      <ns0:c r="Y382" s="0">
        <ns0:f>IF(J382=0,0,J382+IF(U382="AM",1,0))</ns0:f>
        <ns0:v>0</ns0:v>
      </ns0:c>
      <ns0:c r="Z382" s="0">
        <ns0:f>IF(T382=0,0,T382-IF(V382="AM",1,0))</ns0:f>
        <ns0:v>0</ns0:v>
      </ns0:c>
      <ns0:c r="AA382" s="0">
        <ns0:f>IFERROR(IF(AND(J382&gt;0,'_Engine'!C382&gt;0,MID('_Engine'!W382,WEEKDAY(J382,2),1)="W",COUNTIF(Settings!$F$18:$F$67,J382)=0),1,0),0)</ns0:f>
        <ns0:v>0</ns0:v>
      </ns0:c>
      <ns0:c r="AB382" s="0">
        <ns0:f>IFERROR(IF(AND(T382&gt;0,'_Engine'!C382&gt;0,MID('_Engine'!W382,WEEKDAY(T382,2),1)="W",COUNTIF(Settings!$F$18:$F$67,T382)=0),1,0),0)</ns0:f>
        <ns0:v>0</ns0:v>
      </ns0:c>
      <ns0:c r="AC382" s="0">
        <ns0:f>IF(AND(J382&gt;0,T382&gt;0,W382&lt;=X382),1,0)</ns0:f>
        <ns0:v>0</ns0:v>
      </ns0:c>
      <ns0:c r="AD382" s="0">
        <ns0:f>IF(AND(J382&gt;0,T382&gt;0,Y382&lt;=Z382),1,0)</ns0:f>
        <ns0:v>0</ns0:v>
      </ns0:c>
    </ns0:row>
    <ns0:row r="383">
      <ns0:c r="A383" s="0">
        <ns0:f>IFERROR(IF(ISNUMBER(Bookings!B383),"",TRIM(Bookings!B383&amp;"")),"")</ns0:f>
      </ns0:c>
      <ns0:c r="B383" s="0">
        <ns0:f>IFERROR(SUBSTITUTE(SUBSTITUTE(A383,"/","."),"-","."),"")</ns0:f>
      </ns0:c>
      <ns0:c r="C383" s="0">
        <ns0:f>IFERROR(LEFT(B383,FIND(".",B383)-1),"")</ns0:f>
      </ns0:c>
      <ns0:c r="D383" s="0">
        <ns0:f>IFERROR(MID(B383,FIND(".",B383)+1,FIND(".",B383,FIND(".",B383)+1)-FIND(".",B383)-1),"")</ns0:f>
      </ns0:c>
      <ns0:c r="E383" s="0">
        <ns0:f>IFERROR(MID(B383,FIND(".",B383,FIND(".",B383)+1)+1,99),"")</ns0:f>
        <ns0:v>99</ns0:v>
      </ns0:c>
      <ns0:c r="F383" s="0">
        <ns0:f>IFERROR(IF(FIND(".",B383)=5,--C383,--E383),0)</ns0:f>
        <ns0:v>0</ns0:v>
      </ns0:c>
      <ns0:c r="G383" s="0">
        <ns0:f>IFERROR(--D383,0)</ns0:f>
        <ns0:v>0</ns0:v>
      </ns0:c>
      <ns0:c r="H383" s="0">
        <ns0:f>IFERROR(IF(FIND(".",B383)=5,--E383,--C383),0)</ns0:f>
        <ns0:v>0</ns0:v>
      </ns0:c>
      <ns0:c r="I383" s="0">
        <ns0:f>IFERROR(IF(AND(F383&gt;=2000,F383&lt;=2100,G383&gt;=1,G383&lt;=12,H383&gt;=1,H383&lt;=31),DATE(F383,G383,H383),0),0)</ns0:f>
        <ns0:v>0</ns0:v>
      </ns0:c>
      <ns0:c r="J383" s="0">
        <ns0:f>IFERROR(IF(ISNUMBER(Bookings!B383),IF(AND(Bookings!B383=INT(Bookings!B383),Bookings!B383&gt;=DATE(2000,1,1),Bookings!B383&lt;=DATE(2100,12,31)),Bookings!B383,0),IF(AND(A383&lt;&gt;"",LEN("x"&amp;B383)-LEN(SUBSTITUTE("x"&amp;B383,".",""))=2,OR(1&gt;LEN(B383),MID(B383,1,1)=".",ISNUMBER(FIND("x"&amp;MID(B383,1,1),"x0x1x2x3x4x5x6x7x8x9"))),OR(2&gt;LEN(B383),MID(B383,2,1)=".",ISNUMBER(FIND("x"&amp;MID(B383,2,1),"x0x1x2x3x4x5x6x7x8x9"))),OR(3&gt;LEN(B383),MID(B383,3,1)=".",ISNUMBER(FIND("x"&amp;MID(B383,3,1),"x0x1x2x3x4x5x6x7x8x9"))),OR(4&gt;LEN(B383),MID(B383,4,1)=".",ISNUMBER(FIND("x"&amp;MID(B383,4,1),"x0x1x2x3x4x5x6x7x8x9"))),OR(5&gt;LEN(B383),MID(B383,5,1)=".",ISNUMBER(FIND("x"&amp;MID(B383,5,1),"x0x1x2x3x4x5x6x7x8x9"))),OR(6&gt;LEN(B383),MID(B383,6,1)=".",ISNUMBER(FIND("x"&amp;MID(B383,6,1),"x0x1x2x3x4x5x6x7x8x9"))),OR(7&gt;LEN(B383),MID(B383,7,1)=".",ISNUMBER(FIND("x"&amp;MID(B383,7,1),"x0x1x2x3x4x5x6x7x8x9"))),OR(8&gt;LEN(B383),MID(B383,8,1)=".",ISNUMBER(FIND("x"&amp;MID(B383,8,1),"x0x1x2x3x4x5x6x7x8x9"))),OR(9&gt;LEN(B383),MID(B383,9,1)=".",ISNUMBER(FIND("x"&amp;MID(B383,9,1),"x0x1x2x3x4x5x6x7x8x9"))),OR(10&gt;LEN(B383),MID(B383,10,1)=".",ISNUMBER(FIND("x"&amp;MID(B383,10,1),"x0x1x2x3x4x5x6x7x8x9"))),OR(AND(FIND(".",B383)=5,LEN(B383)-FIND(".",B383,FIND(".",B383)+1)&gt;=1,LEN(B383)-FIND(".",B383,FIND(".",B383)+1)&lt;=2),AND(LEN(B383)-FIND(".",B383,FIND(".",B383)+1)=4,FIND(".",B383)&gt;=2,FIND(".",B383)&lt;=3)),FIND(".",B383,FIND(".",B383)+1)-FIND(".",B383)&gt;=2,FIND(".",B383,FIND(".",B383)+1)-FIND(".",B383)&lt;=3,F383&gt;=2000,F383&lt;=2100,YEAR(I383)=F383,MONTH(I383)=G383,DAY(I383)=H383),I383,0)),0)</ns0:f>
        <ns0:v>0</ns0:v>
      </ns0:c>
      <ns0:c r="K383" s="0">
        <ns0:f>IFERROR(IF(ISNUMBER(Bookings!D383),"",TRIM(Bookings!D383&amp;"")),"")</ns0:f>
      </ns0:c>
      <ns0:c r="L383" s="0">
        <ns0:f>IFERROR(SUBSTITUTE(SUBSTITUTE(K383,"/","."),"-","."),"")</ns0:f>
      </ns0:c>
      <ns0:c r="M383" s="0">
        <ns0:f>IFERROR(LEFT(L383,FIND(".",L383)-1),"")</ns0:f>
      </ns0:c>
      <ns0:c r="N383" s="0">
        <ns0:f>IFERROR(MID(L383,FIND(".",L383)+1,FIND(".",L383,FIND(".",L383)+1)-FIND(".",L383)-1),"")</ns0:f>
      </ns0:c>
      <ns0:c r="O383" s="0">
        <ns0:f>IFERROR(MID(L383,FIND(".",L383,FIND(".",L383)+1)+1,99),"")</ns0:f>
        <ns0:v>99</ns0:v>
      </ns0:c>
      <ns0:c r="P383" s="0">
        <ns0:f>IFERROR(IF(FIND(".",L383)=5,--M383,--O383),0)</ns0:f>
        <ns0:v>0</ns0:v>
      </ns0:c>
      <ns0:c r="Q383" s="0">
        <ns0:f>IFERROR(--N383,0)</ns0:f>
        <ns0:v>0</ns0:v>
      </ns0:c>
      <ns0:c r="R383" s="0">
        <ns0:f>IFERROR(IF(FIND(".",L383)=5,--O383,--M383),0)</ns0:f>
        <ns0:v>0</ns0:v>
      </ns0:c>
      <ns0:c r="S383" s="0">
        <ns0:f>IFERROR(IF(AND(P383&gt;=2000,P383&lt;=2100,Q383&gt;=1,Q383&lt;=12,R383&gt;=1,R383&lt;=31),DATE(P383,Q383,R383),0),0)</ns0:f>
        <ns0:v>0</ns0:v>
      </ns0:c>
      <ns0:c r="T383" s="0">
        <ns0:f>IFERROR(IF(ISNUMBER(Bookings!D383),IF(AND(Bookings!D383=INT(Bookings!D383),Bookings!D383&gt;=DATE(2000,1,1),Bookings!D383&lt;=DATE(2100,12,31)),Bookings!D383,0),IF(AND(K383&lt;&gt;"",LEN("x"&amp;L383)-LEN(SUBSTITUTE("x"&amp;L383,".",""))=2,OR(1&gt;LEN(L383),MID(L383,1,1)=".",ISNUMBER(FIND("x"&amp;MID(L383,1,1),"x0x1x2x3x4x5x6x7x8x9"))),OR(2&gt;LEN(L383),MID(L383,2,1)=".",ISNUMBER(FIND("x"&amp;MID(L383,2,1),"x0x1x2x3x4x5x6x7x8x9"))),OR(3&gt;LEN(L383),MID(L383,3,1)=".",ISNUMBER(FIND("x"&amp;MID(L383,3,1),"x0x1x2x3x4x5x6x7x8x9"))),OR(4&gt;LEN(L383),MID(L383,4,1)=".",ISNUMBER(FIND("x"&amp;MID(L383,4,1),"x0x1x2x3x4x5x6x7x8x9"))),OR(5&gt;LEN(L383),MID(L383,5,1)=".",ISNUMBER(FIND("x"&amp;MID(L383,5,1),"x0x1x2x3x4x5x6x7x8x9"))),OR(6&gt;LEN(L383),MID(L383,6,1)=".",ISNUMBER(FIND("x"&amp;MID(L383,6,1),"x0x1x2x3x4x5x6x7x8x9"))),OR(7&gt;LEN(L383),MID(L383,7,1)=".",ISNUMBER(FIND("x"&amp;MID(L383,7,1),"x0x1x2x3x4x5x6x7x8x9"))),OR(8&gt;LEN(L383),MID(L383,8,1)=".",ISNUMBER(FIND("x"&amp;MID(L383,8,1),"x0x1x2x3x4x5x6x7x8x9"))),OR(9&gt;LEN(L383),MID(L383,9,1)=".",ISNUMBER(FIND("x"&amp;MID(L383,9,1),"x0x1x2x3x4x5x6x7x8x9"))),OR(10&gt;LEN(L383),MID(L383,10,1)=".",ISNUMBER(FIND("x"&amp;MID(L383,10,1),"x0x1x2x3x4x5x6x7x8x9"))),OR(AND(FIND(".",L383)=5,LEN(L383)-FIND(".",L383,FIND(".",L383)+1)&gt;=1,LEN(L383)-FIND(".",L383,FIND(".",L383)+1)&lt;=2),AND(LEN(L383)-FIND(".",L383,FIND(".",L383)+1)=4,FIND(".",L383)&gt;=2,FIND(".",L383)&lt;=3)),FIND(".",L383,FIND(".",L383)+1)-FIND(".",L383)&gt;=2,FIND(".",L383,FIND(".",L383)+1)-FIND(".",L383)&lt;=3,P383&gt;=2000,P383&lt;=2100,YEAR(S383)=P383,MONTH(S383)=Q383,DAY(S383)=R383),S383,0)),0)</ns0:f>
        <ns0:v>0</ns0:v>
      </ns0:c>
      <ns0:c r="U383" s="0" t="str">
        <ns0:f>IF(Bookings!C383="","Full day",Bookings!C383)</ns0:f>
        <ns0:v>Full day</ns0:v>
      </ns0:c>
      <ns0:c r="V383" s="0" t="str">
        <ns0:f>IF(Bookings!E383="","Full day",Bookings!E383)</ns0:f>
        <ns0:v>Full day</ns0:v>
      </ns0:c>
      <ns0:c r="W383" s="0">
        <ns0:f>IF(J383=0,0,J383+IF(U383="PM",1,0))</ns0:f>
        <ns0:v>0</ns0:v>
      </ns0:c>
      <ns0:c r="X383" s="0">
        <ns0:f>IF(T383=0,0,T383-IF(V383="PM",1,0))</ns0:f>
        <ns0:v>0</ns0:v>
      </ns0:c>
      <ns0:c r="Y383" s="0">
        <ns0:f>IF(J383=0,0,J383+IF(U383="AM",1,0))</ns0:f>
        <ns0:v>0</ns0:v>
      </ns0:c>
      <ns0:c r="Z383" s="0">
        <ns0:f>IF(T383=0,0,T383-IF(V383="AM",1,0))</ns0:f>
        <ns0:v>0</ns0:v>
      </ns0:c>
      <ns0:c r="AA383" s="0">
        <ns0:f>IFERROR(IF(AND(J383&gt;0,'_Engine'!C383&gt;0,MID('_Engine'!W383,WEEKDAY(J383,2),1)="W",COUNTIF(Settings!$F$18:$F$67,J383)=0),1,0),0)</ns0:f>
        <ns0:v>0</ns0:v>
      </ns0:c>
      <ns0:c r="AB383" s="0">
        <ns0:f>IFERROR(IF(AND(T383&gt;0,'_Engine'!C383&gt;0,MID('_Engine'!W383,WEEKDAY(T383,2),1)="W",COUNTIF(Settings!$F$18:$F$67,T383)=0),1,0),0)</ns0:f>
        <ns0:v>0</ns0:v>
      </ns0:c>
      <ns0:c r="AC383" s="0">
        <ns0:f>IF(AND(J383&gt;0,T383&gt;0,W383&lt;=X383),1,0)</ns0:f>
        <ns0:v>0</ns0:v>
      </ns0:c>
      <ns0:c r="AD383" s="0">
        <ns0:f>IF(AND(J383&gt;0,T383&gt;0,Y383&lt;=Z383),1,0)</ns0:f>
        <ns0:v>0</ns0:v>
      </ns0:c>
    </ns0:row>
    <ns0:row r="384">
      <ns0:c r="A384" s="0">
        <ns0:f>IFERROR(IF(ISNUMBER(Bookings!B384),"",TRIM(Bookings!B384&amp;"")),"")</ns0:f>
      </ns0:c>
      <ns0:c r="B384" s="0">
        <ns0:f>IFERROR(SUBSTITUTE(SUBSTITUTE(A384,"/","."),"-","."),"")</ns0:f>
      </ns0:c>
      <ns0:c r="C384" s="0">
        <ns0:f>IFERROR(LEFT(B384,FIND(".",B384)-1),"")</ns0:f>
      </ns0:c>
      <ns0:c r="D384" s="0">
        <ns0:f>IFERROR(MID(B384,FIND(".",B384)+1,FIND(".",B384,FIND(".",B384)+1)-FIND(".",B384)-1),"")</ns0:f>
      </ns0:c>
      <ns0:c r="E384" s="0">
        <ns0:f>IFERROR(MID(B384,FIND(".",B384,FIND(".",B384)+1)+1,99),"")</ns0:f>
        <ns0:v>99</ns0:v>
      </ns0:c>
      <ns0:c r="F384" s="0">
        <ns0:f>IFERROR(IF(FIND(".",B384)=5,--C384,--E384),0)</ns0:f>
        <ns0:v>0</ns0:v>
      </ns0:c>
      <ns0:c r="G384" s="0">
        <ns0:f>IFERROR(--D384,0)</ns0:f>
        <ns0:v>0</ns0:v>
      </ns0:c>
      <ns0:c r="H384" s="0">
        <ns0:f>IFERROR(IF(FIND(".",B384)=5,--E384,--C384),0)</ns0:f>
        <ns0:v>0</ns0:v>
      </ns0:c>
      <ns0:c r="I384" s="0">
        <ns0:f>IFERROR(IF(AND(F384&gt;=2000,F384&lt;=2100,G384&gt;=1,G384&lt;=12,H384&gt;=1,H384&lt;=31),DATE(F384,G384,H384),0),0)</ns0:f>
        <ns0:v>0</ns0:v>
      </ns0:c>
      <ns0:c r="J384" s="0">
        <ns0:f>IFERROR(IF(ISNUMBER(Bookings!B384),IF(AND(Bookings!B384=INT(Bookings!B384),Bookings!B384&gt;=DATE(2000,1,1),Bookings!B384&lt;=DATE(2100,12,31)),Bookings!B384,0),IF(AND(A384&lt;&gt;"",LEN("x"&amp;B384)-LEN(SUBSTITUTE("x"&amp;B384,".",""))=2,OR(1&gt;LEN(B384),MID(B384,1,1)=".",ISNUMBER(FIND("x"&amp;MID(B384,1,1),"x0x1x2x3x4x5x6x7x8x9"))),OR(2&gt;LEN(B384),MID(B384,2,1)=".",ISNUMBER(FIND("x"&amp;MID(B384,2,1),"x0x1x2x3x4x5x6x7x8x9"))),OR(3&gt;LEN(B384),MID(B384,3,1)=".",ISNUMBER(FIND("x"&amp;MID(B384,3,1),"x0x1x2x3x4x5x6x7x8x9"))),OR(4&gt;LEN(B384),MID(B384,4,1)=".",ISNUMBER(FIND("x"&amp;MID(B384,4,1),"x0x1x2x3x4x5x6x7x8x9"))),OR(5&gt;LEN(B384),MID(B384,5,1)=".",ISNUMBER(FIND("x"&amp;MID(B384,5,1),"x0x1x2x3x4x5x6x7x8x9"))),OR(6&gt;LEN(B384),MID(B384,6,1)=".",ISNUMBER(FIND("x"&amp;MID(B384,6,1),"x0x1x2x3x4x5x6x7x8x9"))),OR(7&gt;LEN(B384),MID(B384,7,1)=".",ISNUMBER(FIND("x"&amp;MID(B384,7,1),"x0x1x2x3x4x5x6x7x8x9"))),OR(8&gt;LEN(B384),MID(B384,8,1)=".",ISNUMBER(FIND("x"&amp;MID(B384,8,1),"x0x1x2x3x4x5x6x7x8x9"))),OR(9&gt;LEN(B384),MID(B384,9,1)=".",ISNUMBER(FIND("x"&amp;MID(B384,9,1),"x0x1x2x3x4x5x6x7x8x9"))),OR(10&gt;LEN(B384),MID(B384,10,1)=".",ISNUMBER(FIND("x"&amp;MID(B384,10,1),"x0x1x2x3x4x5x6x7x8x9"))),OR(AND(FIND(".",B384)=5,LEN(B384)-FIND(".",B384,FIND(".",B384)+1)&gt;=1,LEN(B384)-FIND(".",B384,FIND(".",B384)+1)&lt;=2),AND(LEN(B384)-FIND(".",B384,FIND(".",B384)+1)=4,FIND(".",B384)&gt;=2,FIND(".",B384)&lt;=3)),FIND(".",B384,FIND(".",B384)+1)-FIND(".",B384)&gt;=2,FIND(".",B384,FIND(".",B384)+1)-FIND(".",B384)&lt;=3,F384&gt;=2000,F384&lt;=2100,YEAR(I384)=F384,MONTH(I384)=G384,DAY(I384)=H384),I384,0)),0)</ns0:f>
        <ns0:v>0</ns0:v>
      </ns0:c>
      <ns0:c r="K384" s="0">
        <ns0:f>IFERROR(IF(ISNUMBER(Bookings!D384),"",TRIM(Bookings!D384&amp;"")),"")</ns0:f>
      </ns0:c>
      <ns0:c r="L384" s="0">
        <ns0:f>IFERROR(SUBSTITUTE(SUBSTITUTE(K384,"/","."),"-","."),"")</ns0:f>
      </ns0:c>
      <ns0:c r="M384" s="0">
        <ns0:f>IFERROR(LEFT(L384,FIND(".",L384)-1),"")</ns0:f>
      </ns0:c>
      <ns0:c r="N384" s="0">
        <ns0:f>IFERROR(MID(L384,FIND(".",L384)+1,FIND(".",L384,FIND(".",L384)+1)-FIND(".",L384)-1),"")</ns0:f>
      </ns0:c>
      <ns0:c r="O384" s="0">
        <ns0:f>IFERROR(MID(L384,FIND(".",L384,FIND(".",L384)+1)+1,99),"")</ns0:f>
        <ns0:v>99</ns0:v>
      </ns0:c>
      <ns0:c r="P384" s="0">
        <ns0:f>IFERROR(IF(FIND(".",L384)=5,--M384,--O384),0)</ns0:f>
        <ns0:v>0</ns0:v>
      </ns0:c>
      <ns0:c r="Q384" s="0">
        <ns0:f>IFERROR(--N384,0)</ns0:f>
        <ns0:v>0</ns0:v>
      </ns0:c>
      <ns0:c r="R384" s="0">
        <ns0:f>IFERROR(IF(FIND(".",L384)=5,--O384,--M384),0)</ns0:f>
        <ns0:v>0</ns0:v>
      </ns0:c>
      <ns0:c r="S384" s="0">
        <ns0:f>IFERROR(IF(AND(P384&gt;=2000,P384&lt;=2100,Q384&gt;=1,Q384&lt;=12,R384&gt;=1,R384&lt;=31),DATE(P384,Q384,R384),0),0)</ns0:f>
        <ns0:v>0</ns0:v>
      </ns0:c>
      <ns0:c r="T384" s="0">
        <ns0:f>IFERROR(IF(ISNUMBER(Bookings!D384),IF(AND(Bookings!D384=INT(Bookings!D384),Bookings!D384&gt;=DATE(2000,1,1),Bookings!D384&lt;=DATE(2100,12,31)),Bookings!D384,0),IF(AND(K384&lt;&gt;"",LEN("x"&amp;L384)-LEN(SUBSTITUTE("x"&amp;L384,".",""))=2,OR(1&gt;LEN(L384),MID(L384,1,1)=".",ISNUMBER(FIND("x"&amp;MID(L384,1,1),"x0x1x2x3x4x5x6x7x8x9"))),OR(2&gt;LEN(L384),MID(L384,2,1)=".",ISNUMBER(FIND("x"&amp;MID(L384,2,1),"x0x1x2x3x4x5x6x7x8x9"))),OR(3&gt;LEN(L384),MID(L384,3,1)=".",ISNUMBER(FIND("x"&amp;MID(L384,3,1),"x0x1x2x3x4x5x6x7x8x9"))),OR(4&gt;LEN(L384),MID(L384,4,1)=".",ISNUMBER(FIND("x"&amp;MID(L384,4,1),"x0x1x2x3x4x5x6x7x8x9"))),OR(5&gt;LEN(L384),MID(L384,5,1)=".",ISNUMBER(FIND("x"&amp;MID(L384,5,1),"x0x1x2x3x4x5x6x7x8x9"))),OR(6&gt;LEN(L384),MID(L384,6,1)=".",ISNUMBER(FIND("x"&amp;MID(L384,6,1),"x0x1x2x3x4x5x6x7x8x9"))),OR(7&gt;LEN(L384),MID(L384,7,1)=".",ISNUMBER(FIND("x"&amp;MID(L384,7,1),"x0x1x2x3x4x5x6x7x8x9"))),OR(8&gt;LEN(L384),MID(L384,8,1)=".",ISNUMBER(FIND("x"&amp;MID(L384,8,1),"x0x1x2x3x4x5x6x7x8x9"))),OR(9&gt;LEN(L384),MID(L384,9,1)=".",ISNUMBER(FIND("x"&amp;MID(L384,9,1),"x0x1x2x3x4x5x6x7x8x9"))),OR(10&gt;LEN(L384),MID(L384,10,1)=".",ISNUMBER(FIND("x"&amp;MID(L384,10,1),"x0x1x2x3x4x5x6x7x8x9"))),OR(AND(FIND(".",L384)=5,LEN(L384)-FIND(".",L384,FIND(".",L384)+1)&gt;=1,LEN(L384)-FIND(".",L384,FIND(".",L384)+1)&lt;=2),AND(LEN(L384)-FIND(".",L384,FIND(".",L384)+1)=4,FIND(".",L384)&gt;=2,FIND(".",L384)&lt;=3)),FIND(".",L384,FIND(".",L384)+1)-FIND(".",L384)&gt;=2,FIND(".",L384,FIND(".",L384)+1)-FIND(".",L384)&lt;=3,P384&gt;=2000,P384&lt;=2100,YEAR(S384)=P384,MONTH(S384)=Q384,DAY(S384)=R384),S384,0)),0)</ns0:f>
        <ns0:v>0</ns0:v>
      </ns0:c>
      <ns0:c r="U384" s="0" t="str">
        <ns0:f>IF(Bookings!C384="","Full day",Bookings!C384)</ns0:f>
        <ns0:v>Full day</ns0:v>
      </ns0:c>
      <ns0:c r="V384" s="0" t="str">
        <ns0:f>IF(Bookings!E384="","Full day",Bookings!E384)</ns0:f>
        <ns0:v>Full day</ns0:v>
      </ns0:c>
      <ns0:c r="W384" s="0">
        <ns0:f>IF(J384=0,0,J384+IF(U384="PM",1,0))</ns0:f>
        <ns0:v>0</ns0:v>
      </ns0:c>
      <ns0:c r="X384" s="0">
        <ns0:f>IF(T384=0,0,T384-IF(V384="PM",1,0))</ns0:f>
        <ns0:v>0</ns0:v>
      </ns0:c>
      <ns0:c r="Y384" s="0">
        <ns0:f>IF(J384=0,0,J384+IF(U384="AM",1,0))</ns0:f>
        <ns0:v>0</ns0:v>
      </ns0:c>
      <ns0:c r="Z384" s="0">
        <ns0:f>IF(T384=0,0,T384-IF(V384="AM",1,0))</ns0:f>
        <ns0:v>0</ns0:v>
      </ns0:c>
      <ns0:c r="AA384" s="0">
        <ns0:f>IFERROR(IF(AND(J384&gt;0,'_Engine'!C384&gt;0,MID('_Engine'!W384,WEEKDAY(J384,2),1)="W",COUNTIF(Settings!$F$18:$F$67,J384)=0),1,0),0)</ns0:f>
        <ns0:v>0</ns0:v>
      </ns0:c>
      <ns0:c r="AB384" s="0">
        <ns0:f>IFERROR(IF(AND(T384&gt;0,'_Engine'!C384&gt;0,MID('_Engine'!W384,WEEKDAY(T384,2),1)="W",COUNTIF(Settings!$F$18:$F$67,T384)=0),1,0),0)</ns0:f>
        <ns0:v>0</ns0:v>
      </ns0:c>
      <ns0:c r="AC384" s="0">
        <ns0:f>IF(AND(J384&gt;0,T384&gt;0,W384&lt;=X384),1,0)</ns0:f>
        <ns0:v>0</ns0:v>
      </ns0:c>
      <ns0:c r="AD384" s="0">
        <ns0:f>IF(AND(J384&gt;0,T384&gt;0,Y384&lt;=Z384),1,0)</ns0:f>
        <ns0:v>0</ns0:v>
      </ns0:c>
    </ns0:row>
    <ns0:row r="385">
      <ns0:c r="A385" s="0">
        <ns0:f>IFERROR(IF(ISNUMBER(Bookings!B385),"",TRIM(Bookings!B385&amp;"")),"")</ns0:f>
      </ns0:c>
      <ns0:c r="B385" s="0">
        <ns0:f>IFERROR(SUBSTITUTE(SUBSTITUTE(A385,"/","."),"-","."),"")</ns0:f>
      </ns0:c>
      <ns0:c r="C385" s="0">
        <ns0:f>IFERROR(LEFT(B385,FIND(".",B385)-1),"")</ns0:f>
      </ns0:c>
      <ns0:c r="D385" s="0">
        <ns0:f>IFERROR(MID(B385,FIND(".",B385)+1,FIND(".",B385,FIND(".",B385)+1)-FIND(".",B385)-1),"")</ns0:f>
      </ns0:c>
      <ns0:c r="E385" s="0">
        <ns0:f>IFERROR(MID(B385,FIND(".",B385,FIND(".",B385)+1)+1,99),"")</ns0:f>
        <ns0:v>99</ns0:v>
      </ns0:c>
      <ns0:c r="F385" s="0">
        <ns0:f>IFERROR(IF(FIND(".",B385)=5,--C385,--E385),0)</ns0:f>
        <ns0:v>0</ns0:v>
      </ns0:c>
      <ns0:c r="G385" s="0">
        <ns0:f>IFERROR(--D385,0)</ns0:f>
        <ns0:v>0</ns0:v>
      </ns0:c>
      <ns0:c r="H385" s="0">
        <ns0:f>IFERROR(IF(FIND(".",B385)=5,--E385,--C385),0)</ns0:f>
        <ns0:v>0</ns0:v>
      </ns0:c>
      <ns0:c r="I385" s="0">
        <ns0:f>IFERROR(IF(AND(F385&gt;=2000,F385&lt;=2100,G385&gt;=1,G385&lt;=12,H385&gt;=1,H385&lt;=31),DATE(F385,G385,H385),0),0)</ns0:f>
        <ns0:v>0</ns0:v>
      </ns0:c>
      <ns0:c r="J385" s="0">
        <ns0:f>IFERROR(IF(ISNUMBER(Bookings!B385),IF(AND(Bookings!B385=INT(Bookings!B385),Bookings!B385&gt;=DATE(2000,1,1),Bookings!B385&lt;=DATE(2100,12,31)),Bookings!B385,0),IF(AND(A385&lt;&gt;"",LEN("x"&amp;B385)-LEN(SUBSTITUTE("x"&amp;B385,".",""))=2,OR(1&gt;LEN(B385),MID(B385,1,1)=".",ISNUMBER(FIND("x"&amp;MID(B385,1,1),"x0x1x2x3x4x5x6x7x8x9"))),OR(2&gt;LEN(B385),MID(B385,2,1)=".",ISNUMBER(FIND("x"&amp;MID(B385,2,1),"x0x1x2x3x4x5x6x7x8x9"))),OR(3&gt;LEN(B385),MID(B385,3,1)=".",ISNUMBER(FIND("x"&amp;MID(B385,3,1),"x0x1x2x3x4x5x6x7x8x9"))),OR(4&gt;LEN(B385),MID(B385,4,1)=".",ISNUMBER(FIND("x"&amp;MID(B385,4,1),"x0x1x2x3x4x5x6x7x8x9"))),OR(5&gt;LEN(B385),MID(B385,5,1)=".",ISNUMBER(FIND("x"&amp;MID(B385,5,1),"x0x1x2x3x4x5x6x7x8x9"))),OR(6&gt;LEN(B385),MID(B385,6,1)=".",ISNUMBER(FIND("x"&amp;MID(B385,6,1),"x0x1x2x3x4x5x6x7x8x9"))),OR(7&gt;LEN(B385),MID(B385,7,1)=".",ISNUMBER(FIND("x"&amp;MID(B385,7,1),"x0x1x2x3x4x5x6x7x8x9"))),OR(8&gt;LEN(B385),MID(B385,8,1)=".",ISNUMBER(FIND("x"&amp;MID(B385,8,1),"x0x1x2x3x4x5x6x7x8x9"))),OR(9&gt;LEN(B385),MID(B385,9,1)=".",ISNUMBER(FIND("x"&amp;MID(B385,9,1),"x0x1x2x3x4x5x6x7x8x9"))),OR(10&gt;LEN(B385),MID(B385,10,1)=".",ISNUMBER(FIND("x"&amp;MID(B385,10,1),"x0x1x2x3x4x5x6x7x8x9"))),OR(AND(FIND(".",B385)=5,LEN(B385)-FIND(".",B385,FIND(".",B385)+1)&gt;=1,LEN(B385)-FIND(".",B385,FIND(".",B385)+1)&lt;=2),AND(LEN(B385)-FIND(".",B385,FIND(".",B385)+1)=4,FIND(".",B385)&gt;=2,FIND(".",B385)&lt;=3)),FIND(".",B385,FIND(".",B385)+1)-FIND(".",B385)&gt;=2,FIND(".",B385,FIND(".",B385)+1)-FIND(".",B385)&lt;=3,F385&gt;=2000,F385&lt;=2100,YEAR(I385)=F385,MONTH(I385)=G385,DAY(I385)=H385),I385,0)),0)</ns0:f>
        <ns0:v>0</ns0:v>
      </ns0:c>
      <ns0:c r="K385" s="0">
        <ns0:f>IFERROR(IF(ISNUMBER(Bookings!D385),"",TRIM(Bookings!D385&amp;"")),"")</ns0:f>
      </ns0:c>
      <ns0:c r="L385" s="0">
        <ns0:f>IFERROR(SUBSTITUTE(SUBSTITUTE(K385,"/","."),"-","."),"")</ns0:f>
      </ns0:c>
      <ns0:c r="M385" s="0">
        <ns0:f>IFERROR(LEFT(L385,FIND(".",L385)-1),"")</ns0:f>
      </ns0:c>
      <ns0:c r="N385" s="0">
        <ns0:f>IFERROR(MID(L385,FIND(".",L385)+1,FIND(".",L385,FIND(".",L385)+1)-FIND(".",L385)-1),"")</ns0:f>
      </ns0:c>
      <ns0:c r="O385" s="0">
        <ns0:f>IFERROR(MID(L385,FIND(".",L385,FIND(".",L385)+1)+1,99),"")</ns0:f>
        <ns0:v>99</ns0:v>
      </ns0:c>
      <ns0:c r="P385" s="0">
        <ns0:f>IFERROR(IF(FIND(".",L385)=5,--M385,--O385),0)</ns0:f>
        <ns0:v>0</ns0:v>
      </ns0:c>
      <ns0:c r="Q385" s="0">
        <ns0:f>IFERROR(--N385,0)</ns0:f>
        <ns0:v>0</ns0:v>
      </ns0:c>
      <ns0:c r="R385" s="0">
        <ns0:f>IFERROR(IF(FIND(".",L385)=5,--O385,--M385),0)</ns0:f>
        <ns0:v>0</ns0:v>
      </ns0:c>
      <ns0:c r="S385" s="0">
        <ns0:f>IFERROR(IF(AND(P385&gt;=2000,P385&lt;=2100,Q385&gt;=1,Q385&lt;=12,R385&gt;=1,R385&lt;=31),DATE(P385,Q385,R385),0),0)</ns0:f>
        <ns0:v>0</ns0:v>
      </ns0:c>
      <ns0:c r="T385" s="0">
        <ns0:f>IFERROR(IF(ISNUMBER(Bookings!D385),IF(AND(Bookings!D385=INT(Bookings!D385),Bookings!D385&gt;=DATE(2000,1,1),Bookings!D385&lt;=DATE(2100,12,31)),Bookings!D385,0),IF(AND(K385&lt;&gt;"",LEN("x"&amp;L385)-LEN(SUBSTITUTE("x"&amp;L385,".",""))=2,OR(1&gt;LEN(L385),MID(L385,1,1)=".",ISNUMBER(FIND("x"&amp;MID(L385,1,1),"x0x1x2x3x4x5x6x7x8x9"))),OR(2&gt;LEN(L385),MID(L385,2,1)=".",ISNUMBER(FIND("x"&amp;MID(L385,2,1),"x0x1x2x3x4x5x6x7x8x9"))),OR(3&gt;LEN(L385),MID(L385,3,1)=".",ISNUMBER(FIND("x"&amp;MID(L385,3,1),"x0x1x2x3x4x5x6x7x8x9"))),OR(4&gt;LEN(L385),MID(L385,4,1)=".",ISNUMBER(FIND("x"&amp;MID(L385,4,1),"x0x1x2x3x4x5x6x7x8x9"))),OR(5&gt;LEN(L385),MID(L385,5,1)=".",ISNUMBER(FIND("x"&amp;MID(L385,5,1),"x0x1x2x3x4x5x6x7x8x9"))),OR(6&gt;LEN(L385),MID(L385,6,1)=".",ISNUMBER(FIND("x"&amp;MID(L385,6,1),"x0x1x2x3x4x5x6x7x8x9"))),OR(7&gt;LEN(L385),MID(L385,7,1)=".",ISNUMBER(FIND("x"&amp;MID(L385,7,1),"x0x1x2x3x4x5x6x7x8x9"))),OR(8&gt;LEN(L385),MID(L385,8,1)=".",ISNUMBER(FIND("x"&amp;MID(L385,8,1),"x0x1x2x3x4x5x6x7x8x9"))),OR(9&gt;LEN(L385),MID(L385,9,1)=".",ISNUMBER(FIND("x"&amp;MID(L385,9,1),"x0x1x2x3x4x5x6x7x8x9"))),OR(10&gt;LEN(L385),MID(L385,10,1)=".",ISNUMBER(FIND("x"&amp;MID(L385,10,1),"x0x1x2x3x4x5x6x7x8x9"))),OR(AND(FIND(".",L385)=5,LEN(L385)-FIND(".",L385,FIND(".",L385)+1)&gt;=1,LEN(L385)-FIND(".",L385,FIND(".",L385)+1)&lt;=2),AND(LEN(L385)-FIND(".",L385,FIND(".",L385)+1)=4,FIND(".",L385)&gt;=2,FIND(".",L385)&lt;=3)),FIND(".",L385,FIND(".",L385)+1)-FIND(".",L385)&gt;=2,FIND(".",L385,FIND(".",L385)+1)-FIND(".",L385)&lt;=3,P385&gt;=2000,P385&lt;=2100,YEAR(S385)=P385,MONTH(S385)=Q385,DAY(S385)=R385),S385,0)),0)</ns0:f>
        <ns0:v>0</ns0:v>
      </ns0:c>
      <ns0:c r="U385" s="0" t="str">
        <ns0:f>IF(Bookings!C385="","Full day",Bookings!C385)</ns0:f>
        <ns0:v>Full day</ns0:v>
      </ns0:c>
      <ns0:c r="V385" s="0" t="str">
        <ns0:f>IF(Bookings!E385="","Full day",Bookings!E385)</ns0:f>
        <ns0:v>Full day</ns0:v>
      </ns0:c>
      <ns0:c r="W385" s="0">
        <ns0:f>IF(J385=0,0,J385+IF(U385="PM",1,0))</ns0:f>
        <ns0:v>0</ns0:v>
      </ns0:c>
      <ns0:c r="X385" s="0">
        <ns0:f>IF(T385=0,0,T385-IF(V385="PM",1,0))</ns0:f>
        <ns0:v>0</ns0:v>
      </ns0:c>
      <ns0:c r="Y385" s="0">
        <ns0:f>IF(J385=0,0,J385+IF(U385="AM",1,0))</ns0:f>
        <ns0:v>0</ns0:v>
      </ns0:c>
      <ns0:c r="Z385" s="0">
        <ns0:f>IF(T385=0,0,T385-IF(V385="AM",1,0))</ns0:f>
        <ns0:v>0</ns0:v>
      </ns0:c>
      <ns0:c r="AA385" s="0">
        <ns0:f>IFERROR(IF(AND(J385&gt;0,'_Engine'!C385&gt;0,MID('_Engine'!W385,WEEKDAY(J385,2),1)="W",COUNTIF(Settings!$F$18:$F$67,J385)=0),1,0),0)</ns0:f>
        <ns0:v>0</ns0:v>
      </ns0:c>
      <ns0:c r="AB385" s="0">
        <ns0:f>IFERROR(IF(AND(T385&gt;0,'_Engine'!C385&gt;0,MID('_Engine'!W385,WEEKDAY(T385,2),1)="W",COUNTIF(Settings!$F$18:$F$67,T385)=0),1,0),0)</ns0:f>
        <ns0:v>0</ns0:v>
      </ns0:c>
      <ns0:c r="AC385" s="0">
        <ns0:f>IF(AND(J385&gt;0,T385&gt;0,W385&lt;=X385),1,0)</ns0:f>
        <ns0:v>0</ns0:v>
      </ns0:c>
      <ns0:c r="AD385" s="0">
        <ns0:f>IF(AND(J385&gt;0,T385&gt;0,Y385&lt;=Z385),1,0)</ns0:f>
        <ns0:v>0</ns0:v>
      </ns0:c>
    </ns0:row>
    <ns0:row r="386">
      <ns0:c r="A386" s="0">
        <ns0:f>IFERROR(IF(ISNUMBER(Bookings!B386),"",TRIM(Bookings!B386&amp;"")),"")</ns0:f>
      </ns0:c>
      <ns0:c r="B386" s="0">
        <ns0:f>IFERROR(SUBSTITUTE(SUBSTITUTE(A386,"/","."),"-","."),"")</ns0:f>
      </ns0:c>
      <ns0:c r="C386" s="0">
        <ns0:f>IFERROR(LEFT(B386,FIND(".",B386)-1),"")</ns0:f>
      </ns0:c>
      <ns0:c r="D386" s="0">
        <ns0:f>IFERROR(MID(B386,FIND(".",B386)+1,FIND(".",B386,FIND(".",B386)+1)-FIND(".",B386)-1),"")</ns0:f>
      </ns0:c>
      <ns0:c r="E386" s="0">
        <ns0:f>IFERROR(MID(B386,FIND(".",B386,FIND(".",B386)+1)+1,99),"")</ns0:f>
        <ns0:v>99</ns0:v>
      </ns0:c>
      <ns0:c r="F386" s="0">
        <ns0:f>IFERROR(IF(FIND(".",B386)=5,--C386,--E386),0)</ns0:f>
        <ns0:v>0</ns0:v>
      </ns0:c>
      <ns0:c r="G386" s="0">
        <ns0:f>IFERROR(--D386,0)</ns0:f>
        <ns0:v>0</ns0:v>
      </ns0:c>
      <ns0:c r="H386" s="0">
        <ns0:f>IFERROR(IF(FIND(".",B386)=5,--E386,--C386),0)</ns0:f>
        <ns0:v>0</ns0:v>
      </ns0:c>
      <ns0:c r="I386" s="0">
        <ns0:f>IFERROR(IF(AND(F386&gt;=2000,F386&lt;=2100,G386&gt;=1,G386&lt;=12,H386&gt;=1,H386&lt;=31),DATE(F386,G386,H386),0),0)</ns0:f>
        <ns0:v>0</ns0:v>
      </ns0:c>
      <ns0:c r="J386" s="0">
        <ns0:f>IFERROR(IF(ISNUMBER(Bookings!B386),IF(AND(Bookings!B386=INT(Bookings!B386),Bookings!B386&gt;=DATE(2000,1,1),Bookings!B386&lt;=DATE(2100,12,31)),Bookings!B386,0),IF(AND(A386&lt;&gt;"",LEN("x"&amp;B386)-LEN(SUBSTITUTE("x"&amp;B386,".",""))=2,OR(1&gt;LEN(B386),MID(B386,1,1)=".",ISNUMBER(FIND("x"&amp;MID(B386,1,1),"x0x1x2x3x4x5x6x7x8x9"))),OR(2&gt;LEN(B386),MID(B386,2,1)=".",ISNUMBER(FIND("x"&amp;MID(B386,2,1),"x0x1x2x3x4x5x6x7x8x9"))),OR(3&gt;LEN(B386),MID(B386,3,1)=".",ISNUMBER(FIND("x"&amp;MID(B386,3,1),"x0x1x2x3x4x5x6x7x8x9"))),OR(4&gt;LEN(B386),MID(B386,4,1)=".",ISNUMBER(FIND("x"&amp;MID(B386,4,1),"x0x1x2x3x4x5x6x7x8x9"))),OR(5&gt;LEN(B386),MID(B386,5,1)=".",ISNUMBER(FIND("x"&amp;MID(B386,5,1),"x0x1x2x3x4x5x6x7x8x9"))),OR(6&gt;LEN(B386),MID(B386,6,1)=".",ISNUMBER(FIND("x"&amp;MID(B386,6,1),"x0x1x2x3x4x5x6x7x8x9"))),OR(7&gt;LEN(B386),MID(B386,7,1)=".",ISNUMBER(FIND("x"&amp;MID(B386,7,1),"x0x1x2x3x4x5x6x7x8x9"))),OR(8&gt;LEN(B386),MID(B386,8,1)=".",ISNUMBER(FIND("x"&amp;MID(B386,8,1),"x0x1x2x3x4x5x6x7x8x9"))),OR(9&gt;LEN(B386),MID(B386,9,1)=".",ISNUMBER(FIND("x"&amp;MID(B386,9,1),"x0x1x2x3x4x5x6x7x8x9"))),OR(10&gt;LEN(B386),MID(B386,10,1)=".",ISNUMBER(FIND("x"&amp;MID(B386,10,1),"x0x1x2x3x4x5x6x7x8x9"))),OR(AND(FIND(".",B386)=5,LEN(B386)-FIND(".",B386,FIND(".",B386)+1)&gt;=1,LEN(B386)-FIND(".",B386,FIND(".",B386)+1)&lt;=2),AND(LEN(B386)-FIND(".",B386,FIND(".",B386)+1)=4,FIND(".",B386)&gt;=2,FIND(".",B386)&lt;=3)),FIND(".",B386,FIND(".",B386)+1)-FIND(".",B386)&gt;=2,FIND(".",B386,FIND(".",B386)+1)-FIND(".",B386)&lt;=3,F386&gt;=2000,F386&lt;=2100,YEAR(I386)=F386,MONTH(I386)=G386,DAY(I386)=H386),I386,0)),0)</ns0:f>
        <ns0:v>0</ns0:v>
      </ns0:c>
      <ns0:c r="K386" s="0">
        <ns0:f>IFERROR(IF(ISNUMBER(Bookings!D386),"",TRIM(Bookings!D386&amp;"")),"")</ns0:f>
      </ns0:c>
      <ns0:c r="L386" s="0">
        <ns0:f>IFERROR(SUBSTITUTE(SUBSTITUTE(K386,"/","."),"-","."),"")</ns0:f>
      </ns0:c>
      <ns0:c r="M386" s="0">
        <ns0:f>IFERROR(LEFT(L386,FIND(".",L386)-1),"")</ns0:f>
      </ns0:c>
      <ns0:c r="N386" s="0">
        <ns0:f>IFERROR(MID(L386,FIND(".",L386)+1,FIND(".",L386,FIND(".",L386)+1)-FIND(".",L386)-1),"")</ns0:f>
      </ns0:c>
      <ns0:c r="O386" s="0">
        <ns0:f>IFERROR(MID(L386,FIND(".",L386,FIND(".",L386)+1)+1,99),"")</ns0:f>
        <ns0:v>99</ns0:v>
      </ns0:c>
      <ns0:c r="P386" s="0">
        <ns0:f>IFERROR(IF(FIND(".",L386)=5,--M386,--O386),0)</ns0:f>
        <ns0:v>0</ns0:v>
      </ns0:c>
      <ns0:c r="Q386" s="0">
        <ns0:f>IFERROR(--N386,0)</ns0:f>
        <ns0:v>0</ns0:v>
      </ns0:c>
      <ns0:c r="R386" s="0">
        <ns0:f>IFERROR(IF(FIND(".",L386)=5,--O386,--M386),0)</ns0:f>
        <ns0:v>0</ns0:v>
      </ns0:c>
      <ns0:c r="S386" s="0">
        <ns0:f>IFERROR(IF(AND(P386&gt;=2000,P386&lt;=2100,Q386&gt;=1,Q386&lt;=12,R386&gt;=1,R386&lt;=31),DATE(P386,Q386,R386),0),0)</ns0:f>
        <ns0:v>0</ns0:v>
      </ns0:c>
      <ns0:c r="T386" s="0">
        <ns0:f>IFERROR(IF(ISNUMBER(Bookings!D386),IF(AND(Bookings!D386=INT(Bookings!D386),Bookings!D386&gt;=DATE(2000,1,1),Bookings!D386&lt;=DATE(2100,12,31)),Bookings!D386,0),IF(AND(K386&lt;&gt;"",LEN("x"&amp;L386)-LEN(SUBSTITUTE("x"&amp;L386,".",""))=2,OR(1&gt;LEN(L386),MID(L386,1,1)=".",ISNUMBER(FIND("x"&amp;MID(L386,1,1),"x0x1x2x3x4x5x6x7x8x9"))),OR(2&gt;LEN(L386),MID(L386,2,1)=".",ISNUMBER(FIND("x"&amp;MID(L386,2,1),"x0x1x2x3x4x5x6x7x8x9"))),OR(3&gt;LEN(L386),MID(L386,3,1)=".",ISNUMBER(FIND("x"&amp;MID(L386,3,1),"x0x1x2x3x4x5x6x7x8x9"))),OR(4&gt;LEN(L386),MID(L386,4,1)=".",ISNUMBER(FIND("x"&amp;MID(L386,4,1),"x0x1x2x3x4x5x6x7x8x9"))),OR(5&gt;LEN(L386),MID(L386,5,1)=".",ISNUMBER(FIND("x"&amp;MID(L386,5,1),"x0x1x2x3x4x5x6x7x8x9"))),OR(6&gt;LEN(L386),MID(L386,6,1)=".",ISNUMBER(FIND("x"&amp;MID(L386,6,1),"x0x1x2x3x4x5x6x7x8x9"))),OR(7&gt;LEN(L386),MID(L386,7,1)=".",ISNUMBER(FIND("x"&amp;MID(L386,7,1),"x0x1x2x3x4x5x6x7x8x9"))),OR(8&gt;LEN(L386),MID(L386,8,1)=".",ISNUMBER(FIND("x"&amp;MID(L386,8,1),"x0x1x2x3x4x5x6x7x8x9"))),OR(9&gt;LEN(L386),MID(L386,9,1)=".",ISNUMBER(FIND("x"&amp;MID(L386,9,1),"x0x1x2x3x4x5x6x7x8x9"))),OR(10&gt;LEN(L386),MID(L386,10,1)=".",ISNUMBER(FIND("x"&amp;MID(L386,10,1),"x0x1x2x3x4x5x6x7x8x9"))),OR(AND(FIND(".",L386)=5,LEN(L386)-FIND(".",L386,FIND(".",L386)+1)&gt;=1,LEN(L386)-FIND(".",L386,FIND(".",L386)+1)&lt;=2),AND(LEN(L386)-FIND(".",L386,FIND(".",L386)+1)=4,FIND(".",L386)&gt;=2,FIND(".",L386)&lt;=3)),FIND(".",L386,FIND(".",L386)+1)-FIND(".",L386)&gt;=2,FIND(".",L386,FIND(".",L386)+1)-FIND(".",L386)&lt;=3,P386&gt;=2000,P386&lt;=2100,YEAR(S386)=P386,MONTH(S386)=Q386,DAY(S386)=R386),S386,0)),0)</ns0:f>
        <ns0:v>0</ns0:v>
      </ns0:c>
      <ns0:c r="U386" s="0" t="str">
        <ns0:f>IF(Bookings!C386="","Full day",Bookings!C386)</ns0:f>
        <ns0:v>Full day</ns0:v>
      </ns0:c>
      <ns0:c r="V386" s="0" t="str">
        <ns0:f>IF(Bookings!E386="","Full day",Bookings!E386)</ns0:f>
        <ns0:v>Full day</ns0:v>
      </ns0:c>
      <ns0:c r="W386" s="0">
        <ns0:f>IF(J386=0,0,J386+IF(U386="PM",1,0))</ns0:f>
        <ns0:v>0</ns0:v>
      </ns0:c>
      <ns0:c r="X386" s="0">
        <ns0:f>IF(T386=0,0,T386-IF(V386="PM",1,0))</ns0:f>
        <ns0:v>0</ns0:v>
      </ns0:c>
      <ns0:c r="Y386" s="0">
        <ns0:f>IF(J386=0,0,J386+IF(U386="AM",1,0))</ns0:f>
        <ns0:v>0</ns0:v>
      </ns0:c>
      <ns0:c r="Z386" s="0">
        <ns0:f>IF(T386=0,0,T386-IF(V386="AM",1,0))</ns0:f>
        <ns0:v>0</ns0:v>
      </ns0:c>
      <ns0:c r="AA386" s="0">
        <ns0:f>IFERROR(IF(AND(J386&gt;0,'_Engine'!C386&gt;0,MID('_Engine'!W386,WEEKDAY(J386,2),1)="W",COUNTIF(Settings!$F$18:$F$67,J386)=0),1,0),0)</ns0:f>
        <ns0:v>0</ns0:v>
      </ns0:c>
      <ns0:c r="AB386" s="0">
        <ns0:f>IFERROR(IF(AND(T386&gt;0,'_Engine'!C386&gt;0,MID('_Engine'!W386,WEEKDAY(T386,2),1)="W",COUNTIF(Settings!$F$18:$F$67,T386)=0),1,0),0)</ns0:f>
        <ns0:v>0</ns0:v>
      </ns0:c>
      <ns0:c r="AC386" s="0">
        <ns0:f>IF(AND(J386&gt;0,T386&gt;0,W386&lt;=X386),1,0)</ns0:f>
        <ns0:v>0</ns0:v>
      </ns0:c>
      <ns0:c r="AD386" s="0">
        <ns0:f>IF(AND(J386&gt;0,T386&gt;0,Y386&lt;=Z386),1,0)</ns0:f>
        <ns0:v>0</ns0:v>
      </ns0:c>
    </ns0:row>
    <ns0:row r="387">
      <ns0:c r="A387" s="0">
        <ns0:f>IFERROR(IF(ISNUMBER(Bookings!B387),"",TRIM(Bookings!B387&amp;"")),"")</ns0:f>
      </ns0:c>
      <ns0:c r="B387" s="0">
        <ns0:f>IFERROR(SUBSTITUTE(SUBSTITUTE(A387,"/","."),"-","."),"")</ns0:f>
      </ns0:c>
      <ns0:c r="C387" s="0">
        <ns0:f>IFERROR(LEFT(B387,FIND(".",B387)-1),"")</ns0:f>
      </ns0:c>
      <ns0:c r="D387" s="0">
        <ns0:f>IFERROR(MID(B387,FIND(".",B387)+1,FIND(".",B387,FIND(".",B387)+1)-FIND(".",B387)-1),"")</ns0:f>
      </ns0:c>
      <ns0:c r="E387" s="0">
        <ns0:f>IFERROR(MID(B387,FIND(".",B387,FIND(".",B387)+1)+1,99),"")</ns0:f>
        <ns0:v>99</ns0:v>
      </ns0:c>
      <ns0:c r="F387" s="0">
        <ns0:f>IFERROR(IF(FIND(".",B387)=5,--C387,--E387),0)</ns0:f>
        <ns0:v>0</ns0:v>
      </ns0:c>
      <ns0:c r="G387" s="0">
        <ns0:f>IFERROR(--D387,0)</ns0:f>
        <ns0:v>0</ns0:v>
      </ns0:c>
      <ns0:c r="H387" s="0">
        <ns0:f>IFERROR(IF(FIND(".",B387)=5,--E387,--C387),0)</ns0:f>
        <ns0:v>0</ns0:v>
      </ns0:c>
      <ns0:c r="I387" s="0">
        <ns0:f>IFERROR(IF(AND(F387&gt;=2000,F387&lt;=2100,G387&gt;=1,G387&lt;=12,H387&gt;=1,H387&lt;=31),DATE(F387,G387,H387),0),0)</ns0:f>
        <ns0:v>0</ns0:v>
      </ns0:c>
      <ns0:c r="J387" s="0">
        <ns0:f>IFERROR(IF(ISNUMBER(Bookings!B387),IF(AND(Bookings!B387=INT(Bookings!B387),Bookings!B387&gt;=DATE(2000,1,1),Bookings!B387&lt;=DATE(2100,12,31)),Bookings!B387,0),IF(AND(A387&lt;&gt;"",LEN("x"&amp;B387)-LEN(SUBSTITUTE("x"&amp;B387,".",""))=2,OR(1&gt;LEN(B387),MID(B387,1,1)=".",ISNUMBER(FIND("x"&amp;MID(B387,1,1),"x0x1x2x3x4x5x6x7x8x9"))),OR(2&gt;LEN(B387),MID(B387,2,1)=".",ISNUMBER(FIND("x"&amp;MID(B387,2,1),"x0x1x2x3x4x5x6x7x8x9"))),OR(3&gt;LEN(B387),MID(B387,3,1)=".",ISNUMBER(FIND("x"&amp;MID(B387,3,1),"x0x1x2x3x4x5x6x7x8x9"))),OR(4&gt;LEN(B387),MID(B387,4,1)=".",ISNUMBER(FIND("x"&amp;MID(B387,4,1),"x0x1x2x3x4x5x6x7x8x9"))),OR(5&gt;LEN(B387),MID(B387,5,1)=".",ISNUMBER(FIND("x"&amp;MID(B387,5,1),"x0x1x2x3x4x5x6x7x8x9"))),OR(6&gt;LEN(B387),MID(B387,6,1)=".",ISNUMBER(FIND("x"&amp;MID(B387,6,1),"x0x1x2x3x4x5x6x7x8x9"))),OR(7&gt;LEN(B387),MID(B387,7,1)=".",ISNUMBER(FIND("x"&amp;MID(B387,7,1),"x0x1x2x3x4x5x6x7x8x9"))),OR(8&gt;LEN(B387),MID(B387,8,1)=".",ISNUMBER(FIND("x"&amp;MID(B387,8,1),"x0x1x2x3x4x5x6x7x8x9"))),OR(9&gt;LEN(B387),MID(B387,9,1)=".",ISNUMBER(FIND("x"&amp;MID(B387,9,1),"x0x1x2x3x4x5x6x7x8x9"))),OR(10&gt;LEN(B387),MID(B387,10,1)=".",ISNUMBER(FIND("x"&amp;MID(B387,10,1),"x0x1x2x3x4x5x6x7x8x9"))),OR(AND(FIND(".",B387)=5,LEN(B387)-FIND(".",B387,FIND(".",B387)+1)&gt;=1,LEN(B387)-FIND(".",B387,FIND(".",B387)+1)&lt;=2),AND(LEN(B387)-FIND(".",B387,FIND(".",B387)+1)=4,FIND(".",B387)&gt;=2,FIND(".",B387)&lt;=3)),FIND(".",B387,FIND(".",B387)+1)-FIND(".",B387)&gt;=2,FIND(".",B387,FIND(".",B387)+1)-FIND(".",B387)&lt;=3,F387&gt;=2000,F387&lt;=2100,YEAR(I387)=F387,MONTH(I387)=G387,DAY(I387)=H387),I387,0)),0)</ns0:f>
        <ns0:v>0</ns0:v>
      </ns0:c>
      <ns0:c r="K387" s="0">
        <ns0:f>IFERROR(IF(ISNUMBER(Bookings!D387),"",TRIM(Bookings!D387&amp;"")),"")</ns0:f>
      </ns0:c>
      <ns0:c r="L387" s="0">
        <ns0:f>IFERROR(SUBSTITUTE(SUBSTITUTE(K387,"/","."),"-","."),"")</ns0:f>
      </ns0:c>
      <ns0:c r="M387" s="0">
        <ns0:f>IFERROR(LEFT(L387,FIND(".",L387)-1),"")</ns0:f>
      </ns0:c>
      <ns0:c r="N387" s="0">
        <ns0:f>IFERROR(MID(L387,FIND(".",L387)+1,FIND(".",L387,FIND(".",L387)+1)-FIND(".",L387)-1),"")</ns0:f>
      </ns0:c>
      <ns0:c r="O387" s="0">
        <ns0:f>IFERROR(MID(L387,FIND(".",L387,FIND(".",L387)+1)+1,99),"")</ns0:f>
        <ns0:v>99</ns0:v>
      </ns0:c>
      <ns0:c r="P387" s="0">
        <ns0:f>IFERROR(IF(FIND(".",L387)=5,--M387,--O387),0)</ns0:f>
        <ns0:v>0</ns0:v>
      </ns0:c>
      <ns0:c r="Q387" s="0">
        <ns0:f>IFERROR(--N387,0)</ns0:f>
        <ns0:v>0</ns0:v>
      </ns0:c>
      <ns0:c r="R387" s="0">
        <ns0:f>IFERROR(IF(FIND(".",L387)=5,--O387,--M387),0)</ns0:f>
        <ns0:v>0</ns0:v>
      </ns0:c>
      <ns0:c r="S387" s="0">
        <ns0:f>IFERROR(IF(AND(P387&gt;=2000,P387&lt;=2100,Q387&gt;=1,Q387&lt;=12,R387&gt;=1,R387&lt;=31),DATE(P387,Q387,R387),0),0)</ns0:f>
        <ns0:v>0</ns0:v>
      </ns0:c>
      <ns0:c r="T387" s="0">
        <ns0:f>IFERROR(IF(ISNUMBER(Bookings!D387),IF(AND(Bookings!D387=INT(Bookings!D387),Bookings!D387&gt;=DATE(2000,1,1),Bookings!D387&lt;=DATE(2100,12,31)),Bookings!D387,0),IF(AND(K387&lt;&gt;"",LEN("x"&amp;L387)-LEN(SUBSTITUTE("x"&amp;L387,".",""))=2,OR(1&gt;LEN(L387),MID(L387,1,1)=".",ISNUMBER(FIND("x"&amp;MID(L387,1,1),"x0x1x2x3x4x5x6x7x8x9"))),OR(2&gt;LEN(L387),MID(L387,2,1)=".",ISNUMBER(FIND("x"&amp;MID(L387,2,1),"x0x1x2x3x4x5x6x7x8x9"))),OR(3&gt;LEN(L387),MID(L387,3,1)=".",ISNUMBER(FIND("x"&amp;MID(L387,3,1),"x0x1x2x3x4x5x6x7x8x9"))),OR(4&gt;LEN(L387),MID(L387,4,1)=".",ISNUMBER(FIND("x"&amp;MID(L387,4,1),"x0x1x2x3x4x5x6x7x8x9"))),OR(5&gt;LEN(L387),MID(L387,5,1)=".",ISNUMBER(FIND("x"&amp;MID(L387,5,1),"x0x1x2x3x4x5x6x7x8x9"))),OR(6&gt;LEN(L387),MID(L387,6,1)=".",ISNUMBER(FIND("x"&amp;MID(L387,6,1),"x0x1x2x3x4x5x6x7x8x9"))),OR(7&gt;LEN(L387),MID(L387,7,1)=".",ISNUMBER(FIND("x"&amp;MID(L387,7,1),"x0x1x2x3x4x5x6x7x8x9"))),OR(8&gt;LEN(L387),MID(L387,8,1)=".",ISNUMBER(FIND("x"&amp;MID(L387,8,1),"x0x1x2x3x4x5x6x7x8x9"))),OR(9&gt;LEN(L387),MID(L387,9,1)=".",ISNUMBER(FIND("x"&amp;MID(L387,9,1),"x0x1x2x3x4x5x6x7x8x9"))),OR(10&gt;LEN(L387),MID(L387,10,1)=".",ISNUMBER(FIND("x"&amp;MID(L387,10,1),"x0x1x2x3x4x5x6x7x8x9"))),OR(AND(FIND(".",L387)=5,LEN(L387)-FIND(".",L387,FIND(".",L387)+1)&gt;=1,LEN(L387)-FIND(".",L387,FIND(".",L387)+1)&lt;=2),AND(LEN(L387)-FIND(".",L387,FIND(".",L387)+1)=4,FIND(".",L387)&gt;=2,FIND(".",L387)&lt;=3)),FIND(".",L387,FIND(".",L387)+1)-FIND(".",L387)&gt;=2,FIND(".",L387,FIND(".",L387)+1)-FIND(".",L387)&lt;=3,P387&gt;=2000,P387&lt;=2100,YEAR(S387)=P387,MONTH(S387)=Q387,DAY(S387)=R387),S387,0)),0)</ns0:f>
        <ns0:v>0</ns0:v>
      </ns0:c>
      <ns0:c r="U387" s="0" t="str">
        <ns0:f>IF(Bookings!C387="","Full day",Bookings!C387)</ns0:f>
        <ns0:v>Full day</ns0:v>
      </ns0:c>
      <ns0:c r="V387" s="0" t="str">
        <ns0:f>IF(Bookings!E387="","Full day",Bookings!E387)</ns0:f>
        <ns0:v>Full day</ns0:v>
      </ns0:c>
      <ns0:c r="W387" s="0">
        <ns0:f>IF(J387=0,0,J387+IF(U387="PM",1,0))</ns0:f>
        <ns0:v>0</ns0:v>
      </ns0:c>
      <ns0:c r="X387" s="0">
        <ns0:f>IF(T387=0,0,T387-IF(V387="PM",1,0))</ns0:f>
        <ns0:v>0</ns0:v>
      </ns0:c>
      <ns0:c r="Y387" s="0">
        <ns0:f>IF(J387=0,0,J387+IF(U387="AM",1,0))</ns0:f>
        <ns0:v>0</ns0:v>
      </ns0:c>
      <ns0:c r="Z387" s="0">
        <ns0:f>IF(T387=0,0,T387-IF(V387="AM",1,0))</ns0:f>
        <ns0:v>0</ns0:v>
      </ns0:c>
      <ns0:c r="AA387" s="0">
        <ns0:f>IFERROR(IF(AND(J387&gt;0,'_Engine'!C387&gt;0,MID('_Engine'!W387,WEEKDAY(J387,2),1)="W",COUNTIF(Settings!$F$18:$F$67,J387)=0),1,0),0)</ns0:f>
        <ns0:v>0</ns0:v>
      </ns0:c>
      <ns0:c r="AB387" s="0">
        <ns0:f>IFERROR(IF(AND(T387&gt;0,'_Engine'!C387&gt;0,MID('_Engine'!W387,WEEKDAY(T387,2),1)="W",COUNTIF(Settings!$F$18:$F$67,T387)=0),1,0),0)</ns0:f>
        <ns0:v>0</ns0:v>
      </ns0:c>
      <ns0:c r="AC387" s="0">
        <ns0:f>IF(AND(J387&gt;0,T387&gt;0,W387&lt;=X387),1,0)</ns0:f>
        <ns0:v>0</ns0:v>
      </ns0:c>
      <ns0:c r="AD387" s="0">
        <ns0:f>IF(AND(J387&gt;0,T387&gt;0,Y387&lt;=Z387),1,0)</ns0:f>
        <ns0:v>0</ns0:v>
      </ns0:c>
    </ns0:row>
    <ns0:row r="388">
      <ns0:c r="A388" s="0">
        <ns0:f>IFERROR(IF(ISNUMBER(Bookings!B388),"",TRIM(Bookings!B388&amp;"")),"")</ns0:f>
      </ns0:c>
      <ns0:c r="B388" s="0">
        <ns0:f>IFERROR(SUBSTITUTE(SUBSTITUTE(A388,"/","."),"-","."),"")</ns0:f>
      </ns0:c>
      <ns0:c r="C388" s="0">
        <ns0:f>IFERROR(LEFT(B388,FIND(".",B388)-1),"")</ns0:f>
      </ns0:c>
      <ns0:c r="D388" s="0">
        <ns0:f>IFERROR(MID(B388,FIND(".",B388)+1,FIND(".",B388,FIND(".",B388)+1)-FIND(".",B388)-1),"")</ns0:f>
      </ns0:c>
      <ns0:c r="E388" s="0">
        <ns0:f>IFERROR(MID(B388,FIND(".",B388,FIND(".",B388)+1)+1,99),"")</ns0:f>
        <ns0:v>99</ns0:v>
      </ns0:c>
      <ns0:c r="F388" s="0">
        <ns0:f>IFERROR(IF(FIND(".",B388)=5,--C388,--E388),0)</ns0:f>
        <ns0:v>0</ns0:v>
      </ns0:c>
      <ns0:c r="G388" s="0">
        <ns0:f>IFERROR(--D388,0)</ns0:f>
        <ns0:v>0</ns0:v>
      </ns0:c>
      <ns0:c r="H388" s="0">
        <ns0:f>IFERROR(IF(FIND(".",B388)=5,--E388,--C388),0)</ns0:f>
        <ns0:v>0</ns0:v>
      </ns0:c>
      <ns0:c r="I388" s="0">
        <ns0:f>IFERROR(IF(AND(F388&gt;=2000,F388&lt;=2100,G388&gt;=1,G388&lt;=12,H388&gt;=1,H388&lt;=31),DATE(F388,G388,H388),0),0)</ns0:f>
        <ns0:v>0</ns0:v>
      </ns0:c>
      <ns0:c r="J388" s="0">
        <ns0:f>IFERROR(IF(ISNUMBER(Bookings!B388),IF(AND(Bookings!B388=INT(Bookings!B388),Bookings!B388&gt;=DATE(2000,1,1),Bookings!B388&lt;=DATE(2100,12,31)),Bookings!B388,0),IF(AND(A388&lt;&gt;"",LEN("x"&amp;B388)-LEN(SUBSTITUTE("x"&amp;B388,".",""))=2,OR(1&gt;LEN(B388),MID(B388,1,1)=".",ISNUMBER(FIND("x"&amp;MID(B388,1,1),"x0x1x2x3x4x5x6x7x8x9"))),OR(2&gt;LEN(B388),MID(B388,2,1)=".",ISNUMBER(FIND("x"&amp;MID(B388,2,1),"x0x1x2x3x4x5x6x7x8x9"))),OR(3&gt;LEN(B388),MID(B388,3,1)=".",ISNUMBER(FIND("x"&amp;MID(B388,3,1),"x0x1x2x3x4x5x6x7x8x9"))),OR(4&gt;LEN(B388),MID(B388,4,1)=".",ISNUMBER(FIND("x"&amp;MID(B388,4,1),"x0x1x2x3x4x5x6x7x8x9"))),OR(5&gt;LEN(B388),MID(B388,5,1)=".",ISNUMBER(FIND("x"&amp;MID(B388,5,1),"x0x1x2x3x4x5x6x7x8x9"))),OR(6&gt;LEN(B388),MID(B388,6,1)=".",ISNUMBER(FIND("x"&amp;MID(B388,6,1),"x0x1x2x3x4x5x6x7x8x9"))),OR(7&gt;LEN(B388),MID(B388,7,1)=".",ISNUMBER(FIND("x"&amp;MID(B388,7,1),"x0x1x2x3x4x5x6x7x8x9"))),OR(8&gt;LEN(B388),MID(B388,8,1)=".",ISNUMBER(FIND("x"&amp;MID(B388,8,1),"x0x1x2x3x4x5x6x7x8x9"))),OR(9&gt;LEN(B388),MID(B388,9,1)=".",ISNUMBER(FIND("x"&amp;MID(B388,9,1),"x0x1x2x3x4x5x6x7x8x9"))),OR(10&gt;LEN(B388),MID(B388,10,1)=".",ISNUMBER(FIND("x"&amp;MID(B388,10,1),"x0x1x2x3x4x5x6x7x8x9"))),OR(AND(FIND(".",B388)=5,LEN(B388)-FIND(".",B388,FIND(".",B388)+1)&gt;=1,LEN(B388)-FIND(".",B388,FIND(".",B388)+1)&lt;=2),AND(LEN(B388)-FIND(".",B388,FIND(".",B388)+1)=4,FIND(".",B388)&gt;=2,FIND(".",B388)&lt;=3)),FIND(".",B388,FIND(".",B388)+1)-FIND(".",B388)&gt;=2,FIND(".",B388,FIND(".",B388)+1)-FIND(".",B388)&lt;=3,F388&gt;=2000,F388&lt;=2100,YEAR(I388)=F388,MONTH(I388)=G388,DAY(I388)=H388),I388,0)),0)</ns0:f>
        <ns0:v>0</ns0:v>
      </ns0:c>
      <ns0:c r="K388" s="0">
        <ns0:f>IFERROR(IF(ISNUMBER(Bookings!D388),"",TRIM(Bookings!D388&amp;"")),"")</ns0:f>
      </ns0:c>
      <ns0:c r="L388" s="0">
        <ns0:f>IFERROR(SUBSTITUTE(SUBSTITUTE(K388,"/","."),"-","."),"")</ns0:f>
      </ns0:c>
      <ns0:c r="M388" s="0">
        <ns0:f>IFERROR(LEFT(L388,FIND(".",L388)-1),"")</ns0:f>
      </ns0:c>
      <ns0:c r="N388" s="0">
        <ns0:f>IFERROR(MID(L388,FIND(".",L388)+1,FIND(".",L388,FIND(".",L388)+1)-FIND(".",L388)-1),"")</ns0:f>
      </ns0:c>
      <ns0:c r="O388" s="0">
        <ns0:f>IFERROR(MID(L388,FIND(".",L388,FIND(".",L388)+1)+1,99),"")</ns0:f>
        <ns0:v>99</ns0:v>
      </ns0:c>
      <ns0:c r="P388" s="0">
        <ns0:f>IFERROR(IF(FIND(".",L388)=5,--M388,--O388),0)</ns0:f>
        <ns0:v>0</ns0:v>
      </ns0:c>
      <ns0:c r="Q388" s="0">
        <ns0:f>IFERROR(--N388,0)</ns0:f>
        <ns0:v>0</ns0:v>
      </ns0:c>
      <ns0:c r="R388" s="0">
        <ns0:f>IFERROR(IF(FIND(".",L388)=5,--O388,--M388),0)</ns0:f>
        <ns0:v>0</ns0:v>
      </ns0:c>
      <ns0:c r="S388" s="0">
        <ns0:f>IFERROR(IF(AND(P388&gt;=2000,P388&lt;=2100,Q388&gt;=1,Q388&lt;=12,R388&gt;=1,R388&lt;=31),DATE(P388,Q388,R388),0),0)</ns0:f>
        <ns0:v>0</ns0:v>
      </ns0:c>
      <ns0:c r="T388" s="0">
        <ns0:f>IFERROR(IF(ISNUMBER(Bookings!D388),IF(AND(Bookings!D388=INT(Bookings!D388),Bookings!D388&gt;=DATE(2000,1,1),Bookings!D388&lt;=DATE(2100,12,31)),Bookings!D388,0),IF(AND(K388&lt;&gt;"",LEN("x"&amp;L388)-LEN(SUBSTITUTE("x"&amp;L388,".",""))=2,OR(1&gt;LEN(L388),MID(L388,1,1)=".",ISNUMBER(FIND("x"&amp;MID(L388,1,1),"x0x1x2x3x4x5x6x7x8x9"))),OR(2&gt;LEN(L388),MID(L388,2,1)=".",ISNUMBER(FIND("x"&amp;MID(L388,2,1),"x0x1x2x3x4x5x6x7x8x9"))),OR(3&gt;LEN(L388),MID(L388,3,1)=".",ISNUMBER(FIND("x"&amp;MID(L388,3,1),"x0x1x2x3x4x5x6x7x8x9"))),OR(4&gt;LEN(L388),MID(L388,4,1)=".",ISNUMBER(FIND("x"&amp;MID(L388,4,1),"x0x1x2x3x4x5x6x7x8x9"))),OR(5&gt;LEN(L388),MID(L388,5,1)=".",ISNUMBER(FIND("x"&amp;MID(L388,5,1),"x0x1x2x3x4x5x6x7x8x9"))),OR(6&gt;LEN(L388),MID(L388,6,1)=".",ISNUMBER(FIND("x"&amp;MID(L388,6,1),"x0x1x2x3x4x5x6x7x8x9"))),OR(7&gt;LEN(L388),MID(L388,7,1)=".",ISNUMBER(FIND("x"&amp;MID(L388,7,1),"x0x1x2x3x4x5x6x7x8x9"))),OR(8&gt;LEN(L388),MID(L388,8,1)=".",ISNUMBER(FIND("x"&amp;MID(L388,8,1),"x0x1x2x3x4x5x6x7x8x9"))),OR(9&gt;LEN(L388),MID(L388,9,1)=".",ISNUMBER(FIND("x"&amp;MID(L388,9,1),"x0x1x2x3x4x5x6x7x8x9"))),OR(10&gt;LEN(L388),MID(L388,10,1)=".",ISNUMBER(FIND("x"&amp;MID(L388,10,1),"x0x1x2x3x4x5x6x7x8x9"))),OR(AND(FIND(".",L388)=5,LEN(L388)-FIND(".",L388,FIND(".",L388)+1)&gt;=1,LEN(L388)-FIND(".",L388,FIND(".",L388)+1)&lt;=2),AND(LEN(L388)-FIND(".",L388,FIND(".",L388)+1)=4,FIND(".",L388)&gt;=2,FIND(".",L388)&lt;=3)),FIND(".",L388,FIND(".",L388)+1)-FIND(".",L388)&gt;=2,FIND(".",L388,FIND(".",L388)+1)-FIND(".",L388)&lt;=3,P388&gt;=2000,P388&lt;=2100,YEAR(S388)=P388,MONTH(S388)=Q388,DAY(S388)=R388),S388,0)),0)</ns0:f>
        <ns0:v>0</ns0:v>
      </ns0:c>
      <ns0:c r="U388" s="0" t="str">
        <ns0:f>IF(Bookings!C388="","Full day",Bookings!C388)</ns0:f>
        <ns0:v>Full day</ns0:v>
      </ns0:c>
      <ns0:c r="V388" s="0" t="str">
        <ns0:f>IF(Bookings!E388="","Full day",Bookings!E388)</ns0:f>
        <ns0:v>Full day</ns0:v>
      </ns0:c>
      <ns0:c r="W388" s="0">
        <ns0:f>IF(J388=0,0,J388+IF(U388="PM",1,0))</ns0:f>
        <ns0:v>0</ns0:v>
      </ns0:c>
      <ns0:c r="X388" s="0">
        <ns0:f>IF(T388=0,0,T388-IF(V388="PM",1,0))</ns0:f>
        <ns0:v>0</ns0:v>
      </ns0:c>
      <ns0:c r="Y388" s="0">
        <ns0:f>IF(J388=0,0,J388+IF(U388="AM",1,0))</ns0:f>
        <ns0:v>0</ns0:v>
      </ns0:c>
      <ns0:c r="Z388" s="0">
        <ns0:f>IF(T388=0,0,T388-IF(V388="AM",1,0))</ns0:f>
        <ns0:v>0</ns0:v>
      </ns0:c>
      <ns0:c r="AA388" s="0">
        <ns0:f>IFERROR(IF(AND(J388&gt;0,'_Engine'!C388&gt;0,MID('_Engine'!W388,WEEKDAY(J388,2),1)="W",COUNTIF(Settings!$F$18:$F$67,J388)=0),1,0),0)</ns0:f>
        <ns0:v>0</ns0:v>
      </ns0:c>
      <ns0:c r="AB388" s="0">
        <ns0:f>IFERROR(IF(AND(T388&gt;0,'_Engine'!C388&gt;0,MID('_Engine'!W388,WEEKDAY(T388,2),1)="W",COUNTIF(Settings!$F$18:$F$67,T388)=0),1,0),0)</ns0:f>
        <ns0:v>0</ns0:v>
      </ns0:c>
      <ns0:c r="AC388" s="0">
        <ns0:f>IF(AND(J388&gt;0,T388&gt;0,W388&lt;=X388),1,0)</ns0:f>
        <ns0:v>0</ns0:v>
      </ns0:c>
      <ns0:c r="AD388" s="0">
        <ns0:f>IF(AND(J388&gt;0,T388&gt;0,Y388&lt;=Z388),1,0)</ns0:f>
        <ns0:v>0</ns0:v>
      </ns0:c>
    </ns0:row>
    <ns0:row r="389">
      <ns0:c r="A389" s="0">
        <ns0:f>IFERROR(IF(ISNUMBER(Bookings!B389),"",TRIM(Bookings!B389&amp;"")),"")</ns0:f>
      </ns0:c>
      <ns0:c r="B389" s="0">
        <ns0:f>IFERROR(SUBSTITUTE(SUBSTITUTE(A389,"/","."),"-","."),"")</ns0:f>
      </ns0:c>
      <ns0:c r="C389" s="0">
        <ns0:f>IFERROR(LEFT(B389,FIND(".",B389)-1),"")</ns0:f>
      </ns0:c>
      <ns0:c r="D389" s="0">
        <ns0:f>IFERROR(MID(B389,FIND(".",B389)+1,FIND(".",B389,FIND(".",B389)+1)-FIND(".",B389)-1),"")</ns0:f>
      </ns0:c>
      <ns0:c r="E389" s="0">
        <ns0:f>IFERROR(MID(B389,FIND(".",B389,FIND(".",B389)+1)+1,99),"")</ns0:f>
        <ns0:v>99</ns0:v>
      </ns0:c>
      <ns0:c r="F389" s="0">
        <ns0:f>IFERROR(IF(FIND(".",B389)=5,--C389,--E389),0)</ns0:f>
        <ns0:v>0</ns0:v>
      </ns0:c>
      <ns0:c r="G389" s="0">
        <ns0:f>IFERROR(--D389,0)</ns0:f>
        <ns0:v>0</ns0:v>
      </ns0:c>
      <ns0:c r="H389" s="0">
        <ns0:f>IFERROR(IF(FIND(".",B389)=5,--E389,--C389),0)</ns0:f>
        <ns0:v>0</ns0:v>
      </ns0:c>
      <ns0:c r="I389" s="0">
        <ns0:f>IFERROR(IF(AND(F389&gt;=2000,F389&lt;=2100,G389&gt;=1,G389&lt;=12,H389&gt;=1,H389&lt;=31),DATE(F389,G389,H389),0),0)</ns0:f>
        <ns0:v>0</ns0:v>
      </ns0:c>
      <ns0:c r="J389" s="0">
        <ns0:f>IFERROR(IF(ISNUMBER(Bookings!B389),IF(AND(Bookings!B389=INT(Bookings!B389),Bookings!B389&gt;=DATE(2000,1,1),Bookings!B389&lt;=DATE(2100,12,31)),Bookings!B389,0),IF(AND(A389&lt;&gt;"",LEN("x"&amp;B389)-LEN(SUBSTITUTE("x"&amp;B389,".",""))=2,OR(1&gt;LEN(B389),MID(B389,1,1)=".",ISNUMBER(FIND("x"&amp;MID(B389,1,1),"x0x1x2x3x4x5x6x7x8x9"))),OR(2&gt;LEN(B389),MID(B389,2,1)=".",ISNUMBER(FIND("x"&amp;MID(B389,2,1),"x0x1x2x3x4x5x6x7x8x9"))),OR(3&gt;LEN(B389),MID(B389,3,1)=".",ISNUMBER(FIND("x"&amp;MID(B389,3,1),"x0x1x2x3x4x5x6x7x8x9"))),OR(4&gt;LEN(B389),MID(B389,4,1)=".",ISNUMBER(FIND("x"&amp;MID(B389,4,1),"x0x1x2x3x4x5x6x7x8x9"))),OR(5&gt;LEN(B389),MID(B389,5,1)=".",ISNUMBER(FIND("x"&amp;MID(B389,5,1),"x0x1x2x3x4x5x6x7x8x9"))),OR(6&gt;LEN(B389),MID(B389,6,1)=".",ISNUMBER(FIND("x"&amp;MID(B389,6,1),"x0x1x2x3x4x5x6x7x8x9"))),OR(7&gt;LEN(B389),MID(B389,7,1)=".",ISNUMBER(FIND("x"&amp;MID(B389,7,1),"x0x1x2x3x4x5x6x7x8x9"))),OR(8&gt;LEN(B389),MID(B389,8,1)=".",ISNUMBER(FIND("x"&amp;MID(B389,8,1),"x0x1x2x3x4x5x6x7x8x9"))),OR(9&gt;LEN(B389),MID(B389,9,1)=".",ISNUMBER(FIND("x"&amp;MID(B389,9,1),"x0x1x2x3x4x5x6x7x8x9"))),OR(10&gt;LEN(B389),MID(B389,10,1)=".",ISNUMBER(FIND("x"&amp;MID(B389,10,1),"x0x1x2x3x4x5x6x7x8x9"))),OR(AND(FIND(".",B389)=5,LEN(B389)-FIND(".",B389,FIND(".",B389)+1)&gt;=1,LEN(B389)-FIND(".",B389,FIND(".",B389)+1)&lt;=2),AND(LEN(B389)-FIND(".",B389,FIND(".",B389)+1)=4,FIND(".",B389)&gt;=2,FIND(".",B389)&lt;=3)),FIND(".",B389,FIND(".",B389)+1)-FIND(".",B389)&gt;=2,FIND(".",B389,FIND(".",B389)+1)-FIND(".",B389)&lt;=3,F389&gt;=2000,F389&lt;=2100,YEAR(I389)=F389,MONTH(I389)=G389,DAY(I389)=H389),I389,0)),0)</ns0:f>
        <ns0:v>0</ns0:v>
      </ns0:c>
      <ns0:c r="K389" s="0">
        <ns0:f>IFERROR(IF(ISNUMBER(Bookings!D389),"",TRIM(Bookings!D389&amp;"")),"")</ns0:f>
      </ns0:c>
      <ns0:c r="L389" s="0">
        <ns0:f>IFERROR(SUBSTITUTE(SUBSTITUTE(K389,"/","."),"-","."),"")</ns0:f>
      </ns0:c>
      <ns0:c r="M389" s="0">
        <ns0:f>IFERROR(LEFT(L389,FIND(".",L389)-1),"")</ns0:f>
      </ns0:c>
      <ns0:c r="N389" s="0">
        <ns0:f>IFERROR(MID(L389,FIND(".",L389)+1,FIND(".",L389,FIND(".",L389)+1)-FIND(".",L389)-1),"")</ns0:f>
      </ns0:c>
      <ns0:c r="O389" s="0">
        <ns0:f>IFERROR(MID(L389,FIND(".",L389,FIND(".",L389)+1)+1,99),"")</ns0:f>
        <ns0:v>99</ns0:v>
      </ns0:c>
      <ns0:c r="P389" s="0">
        <ns0:f>IFERROR(IF(FIND(".",L389)=5,--M389,--O389),0)</ns0:f>
        <ns0:v>0</ns0:v>
      </ns0:c>
      <ns0:c r="Q389" s="0">
        <ns0:f>IFERROR(--N389,0)</ns0:f>
        <ns0:v>0</ns0:v>
      </ns0:c>
      <ns0:c r="R389" s="0">
        <ns0:f>IFERROR(IF(FIND(".",L389)=5,--O389,--M389),0)</ns0:f>
        <ns0:v>0</ns0:v>
      </ns0:c>
      <ns0:c r="S389" s="0">
        <ns0:f>IFERROR(IF(AND(P389&gt;=2000,P389&lt;=2100,Q389&gt;=1,Q389&lt;=12,R389&gt;=1,R389&lt;=31),DATE(P389,Q389,R389),0),0)</ns0:f>
        <ns0:v>0</ns0:v>
      </ns0:c>
      <ns0:c r="T389" s="0">
        <ns0:f>IFERROR(IF(ISNUMBER(Bookings!D389),IF(AND(Bookings!D389=INT(Bookings!D389),Bookings!D389&gt;=DATE(2000,1,1),Bookings!D389&lt;=DATE(2100,12,31)),Bookings!D389,0),IF(AND(K389&lt;&gt;"",LEN("x"&amp;L389)-LEN(SUBSTITUTE("x"&amp;L389,".",""))=2,OR(1&gt;LEN(L389),MID(L389,1,1)=".",ISNUMBER(FIND("x"&amp;MID(L389,1,1),"x0x1x2x3x4x5x6x7x8x9"))),OR(2&gt;LEN(L389),MID(L389,2,1)=".",ISNUMBER(FIND("x"&amp;MID(L389,2,1),"x0x1x2x3x4x5x6x7x8x9"))),OR(3&gt;LEN(L389),MID(L389,3,1)=".",ISNUMBER(FIND("x"&amp;MID(L389,3,1),"x0x1x2x3x4x5x6x7x8x9"))),OR(4&gt;LEN(L389),MID(L389,4,1)=".",ISNUMBER(FIND("x"&amp;MID(L389,4,1),"x0x1x2x3x4x5x6x7x8x9"))),OR(5&gt;LEN(L389),MID(L389,5,1)=".",ISNUMBER(FIND("x"&amp;MID(L389,5,1),"x0x1x2x3x4x5x6x7x8x9"))),OR(6&gt;LEN(L389),MID(L389,6,1)=".",ISNUMBER(FIND("x"&amp;MID(L389,6,1),"x0x1x2x3x4x5x6x7x8x9"))),OR(7&gt;LEN(L389),MID(L389,7,1)=".",ISNUMBER(FIND("x"&amp;MID(L389,7,1),"x0x1x2x3x4x5x6x7x8x9"))),OR(8&gt;LEN(L389),MID(L389,8,1)=".",ISNUMBER(FIND("x"&amp;MID(L389,8,1),"x0x1x2x3x4x5x6x7x8x9"))),OR(9&gt;LEN(L389),MID(L389,9,1)=".",ISNUMBER(FIND("x"&amp;MID(L389,9,1),"x0x1x2x3x4x5x6x7x8x9"))),OR(10&gt;LEN(L389),MID(L389,10,1)=".",ISNUMBER(FIND("x"&amp;MID(L389,10,1),"x0x1x2x3x4x5x6x7x8x9"))),OR(AND(FIND(".",L389)=5,LEN(L389)-FIND(".",L389,FIND(".",L389)+1)&gt;=1,LEN(L389)-FIND(".",L389,FIND(".",L389)+1)&lt;=2),AND(LEN(L389)-FIND(".",L389,FIND(".",L389)+1)=4,FIND(".",L389)&gt;=2,FIND(".",L389)&lt;=3)),FIND(".",L389,FIND(".",L389)+1)-FIND(".",L389)&gt;=2,FIND(".",L389,FIND(".",L389)+1)-FIND(".",L389)&lt;=3,P389&gt;=2000,P389&lt;=2100,YEAR(S389)=P389,MONTH(S389)=Q389,DAY(S389)=R389),S389,0)),0)</ns0:f>
        <ns0:v>0</ns0:v>
      </ns0:c>
      <ns0:c r="U389" s="0" t="str">
        <ns0:f>IF(Bookings!C389="","Full day",Bookings!C389)</ns0:f>
        <ns0:v>Full day</ns0:v>
      </ns0:c>
      <ns0:c r="V389" s="0" t="str">
        <ns0:f>IF(Bookings!E389="","Full day",Bookings!E389)</ns0:f>
        <ns0:v>Full day</ns0:v>
      </ns0:c>
      <ns0:c r="W389" s="0">
        <ns0:f>IF(J389=0,0,J389+IF(U389="PM",1,0))</ns0:f>
        <ns0:v>0</ns0:v>
      </ns0:c>
      <ns0:c r="X389" s="0">
        <ns0:f>IF(T389=0,0,T389-IF(V389="PM",1,0))</ns0:f>
        <ns0:v>0</ns0:v>
      </ns0:c>
      <ns0:c r="Y389" s="0">
        <ns0:f>IF(J389=0,0,J389+IF(U389="AM",1,0))</ns0:f>
        <ns0:v>0</ns0:v>
      </ns0:c>
      <ns0:c r="Z389" s="0">
        <ns0:f>IF(T389=0,0,T389-IF(V389="AM",1,0))</ns0:f>
        <ns0:v>0</ns0:v>
      </ns0:c>
      <ns0:c r="AA389" s="0">
        <ns0:f>IFERROR(IF(AND(J389&gt;0,'_Engine'!C389&gt;0,MID('_Engine'!W389,WEEKDAY(J389,2),1)="W",COUNTIF(Settings!$F$18:$F$67,J389)=0),1,0),0)</ns0:f>
        <ns0:v>0</ns0:v>
      </ns0:c>
      <ns0:c r="AB389" s="0">
        <ns0:f>IFERROR(IF(AND(T389&gt;0,'_Engine'!C389&gt;0,MID('_Engine'!W389,WEEKDAY(T389,2),1)="W",COUNTIF(Settings!$F$18:$F$67,T389)=0),1,0),0)</ns0:f>
        <ns0:v>0</ns0:v>
      </ns0:c>
      <ns0:c r="AC389" s="0">
        <ns0:f>IF(AND(J389&gt;0,T389&gt;0,W389&lt;=X389),1,0)</ns0:f>
        <ns0:v>0</ns0:v>
      </ns0:c>
      <ns0:c r="AD389" s="0">
        <ns0:f>IF(AND(J389&gt;0,T389&gt;0,Y389&lt;=Z389),1,0)</ns0:f>
        <ns0:v>0</ns0:v>
      </ns0:c>
    </ns0:row>
    <ns0:row r="390">
      <ns0:c r="A390" s="0">
        <ns0:f>IFERROR(IF(ISNUMBER(Bookings!B390),"",TRIM(Bookings!B390&amp;"")),"")</ns0:f>
      </ns0:c>
      <ns0:c r="B390" s="0">
        <ns0:f>IFERROR(SUBSTITUTE(SUBSTITUTE(A390,"/","."),"-","."),"")</ns0:f>
      </ns0:c>
      <ns0:c r="C390" s="0">
        <ns0:f>IFERROR(LEFT(B390,FIND(".",B390)-1),"")</ns0:f>
      </ns0:c>
      <ns0:c r="D390" s="0">
        <ns0:f>IFERROR(MID(B390,FIND(".",B390)+1,FIND(".",B390,FIND(".",B390)+1)-FIND(".",B390)-1),"")</ns0:f>
      </ns0:c>
      <ns0:c r="E390" s="0">
        <ns0:f>IFERROR(MID(B390,FIND(".",B390,FIND(".",B390)+1)+1,99),"")</ns0:f>
        <ns0:v>99</ns0:v>
      </ns0:c>
      <ns0:c r="F390" s="0">
        <ns0:f>IFERROR(IF(FIND(".",B390)=5,--C390,--E390),0)</ns0:f>
        <ns0:v>0</ns0:v>
      </ns0:c>
      <ns0:c r="G390" s="0">
        <ns0:f>IFERROR(--D390,0)</ns0:f>
        <ns0:v>0</ns0:v>
      </ns0:c>
      <ns0:c r="H390" s="0">
        <ns0:f>IFERROR(IF(FIND(".",B390)=5,--E390,--C390),0)</ns0:f>
        <ns0:v>0</ns0:v>
      </ns0:c>
      <ns0:c r="I390" s="0">
        <ns0:f>IFERROR(IF(AND(F390&gt;=2000,F390&lt;=2100,G390&gt;=1,G390&lt;=12,H390&gt;=1,H390&lt;=31),DATE(F390,G390,H390),0),0)</ns0:f>
        <ns0:v>0</ns0:v>
      </ns0:c>
      <ns0:c r="J390" s="0">
        <ns0:f>IFERROR(IF(ISNUMBER(Bookings!B390),IF(AND(Bookings!B390=INT(Bookings!B390),Bookings!B390&gt;=DATE(2000,1,1),Bookings!B390&lt;=DATE(2100,12,31)),Bookings!B390,0),IF(AND(A390&lt;&gt;"",LEN("x"&amp;B390)-LEN(SUBSTITUTE("x"&amp;B390,".",""))=2,OR(1&gt;LEN(B390),MID(B390,1,1)=".",ISNUMBER(FIND("x"&amp;MID(B390,1,1),"x0x1x2x3x4x5x6x7x8x9"))),OR(2&gt;LEN(B390),MID(B390,2,1)=".",ISNUMBER(FIND("x"&amp;MID(B390,2,1),"x0x1x2x3x4x5x6x7x8x9"))),OR(3&gt;LEN(B390),MID(B390,3,1)=".",ISNUMBER(FIND("x"&amp;MID(B390,3,1),"x0x1x2x3x4x5x6x7x8x9"))),OR(4&gt;LEN(B390),MID(B390,4,1)=".",ISNUMBER(FIND("x"&amp;MID(B390,4,1),"x0x1x2x3x4x5x6x7x8x9"))),OR(5&gt;LEN(B390),MID(B390,5,1)=".",ISNUMBER(FIND("x"&amp;MID(B390,5,1),"x0x1x2x3x4x5x6x7x8x9"))),OR(6&gt;LEN(B390),MID(B390,6,1)=".",ISNUMBER(FIND("x"&amp;MID(B390,6,1),"x0x1x2x3x4x5x6x7x8x9"))),OR(7&gt;LEN(B390),MID(B390,7,1)=".",ISNUMBER(FIND("x"&amp;MID(B390,7,1),"x0x1x2x3x4x5x6x7x8x9"))),OR(8&gt;LEN(B390),MID(B390,8,1)=".",ISNUMBER(FIND("x"&amp;MID(B390,8,1),"x0x1x2x3x4x5x6x7x8x9"))),OR(9&gt;LEN(B390),MID(B390,9,1)=".",ISNUMBER(FIND("x"&amp;MID(B390,9,1),"x0x1x2x3x4x5x6x7x8x9"))),OR(10&gt;LEN(B390),MID(B390,10,1)=".",ISNUMBER(FIND("x"&amp;MID(B390,10,1),"x0x1x2x3x4x5x6x7x8x9"))),OR(AND(FIND(".",B390)=5,LEN(B390)-FIND(".",B390,FIND(".",B390)+1)&gt;=1,LEN(B390)-FIND(".",B390,FIND(".",B390)+1)&lt;=2),AND(LEN(B390)-FIND(".",B390,FIND(".",B390)+1)=4,FIND(".",B390)&gt;=2,FIND(".",B390)&lt;=3)),FIND(".",B390,FIND(".",B390)+1)-FIND(".",B390)&gt;=2,FIND(".",B390,FIND(".",B390)+1)-FIND(".",B390)&lt;=3,F390&gt;=2000,F390&lt;=2100,YEAR(I390)=F390,MONTH(I390)=G390,DAY(I390)=H390),I390,0)),0)</ns0:f>
        <ns0:v>0</ns0:v>
      </ns0:c>
      <ns0:c r="K390" s="0">
        <ns0:f>IFERROR(IF(ISNUMBER(Bookings!D390),"",TRIM(Bookings!D390&amp;"")),"")</ns0:f>
      </ns0:c>
      <ns0:c r="L390" s="0">
        <ns0:f>IFERROR(SUBSTITUTE(SUBSTITUTE(K390,"/","."),"-","."),"")</ns0:f>
      </ns0:c>
      <ns0:c r="M390" s="0">
        <ns0:f>IFERROR(LEFT(L390,FIND(".",L390)-1),"")</ns0:f>
      </ns0:c>
      <ns0:c r="N390" s="0">
        <ns0:f>IFERROR(MID(L390,FIND(".",L390)+1,FIND(".",L390,FIND(".",L390)+1)-FIND(".",L390)-1),"")</ns0:f>
      </ns0:c>
      <ns0:c r="O390" s="0">
        <ns0:f>IFERROR(MID(L390,FIND(".",L390,FIND(".",L390)+1)+1,99),"")</ns0:f>
        <ns0:v>99</ns0:v>
      </ns0:c>
      <ns0:c r="P390" s="0">
        <ns0:f>IFERROR(IF(FIND(".",L390)=5,--M390,--O390),0)</ns0:f>
        <ns0:v>0</ns0:v>
      </ns0:c>
      <ns0:c r="Q390" s="0">
        <ns0:f>IFERROR(--N390,0)</ns0:f>
        <ns0:v>0</ns0:v>
      </ns0:c>
      <ns0:c r="R390" s="0">
        <ns0:f>IFERROR(IF(FIND(".",L390)=5,--O390,--M390),0)</ns0:f>
        <ns0:v>0</ns0:v>
      </ns0:c>
      <ns0:c r="S390" s="0">
        <ns0:f>IFERROR(IF(AND(P390&gt;=2000,P390&lt;=2100,Q390&gt;=1,Q390&lt;=12,R390&gt;=1,R390&lt;=31),DATE(P390,Q390,R390),0),0)</ns0:f>
        <ns0:v>0</ns0:v>
      </ns0:c>
      <ns0:c r="T390" s="0">
        <ns0:f>IFERROR(IF(ISNUMBER(Bookings!D390),IF(AND(Bookings!D390=INT(Bookings!D390),Bookings!D390&gt;=DATE(2000,1,1),Bookings!D390&lt;=DATE(2100,12,31)),Bookings!D390,0),IF(AND(K390&lt;&gt;"",LEN("x"&amp;L390)-LEN(SUBSTITUTE("x"&amp;L390,".",""))=2,OR(1&gt;LEN(L390),MID(L390,1,1)=".",ISNUMBER(FIND("x"&amp;MID(L390,1,1),"x0x1x2x3x4x5x6x7x8x9"))),OR(2&gt;LEN(L390),MID(L390,2,1)=".",ISNUMBER(FIND("x"&amp;MID(L390,2,1),"x0x1x2x3x4x5x6x7x8x9"))),OR(3&gt;LEN(L390),MID(L390,3,1)=".",ISNUMBER(FIND("x"&amp;MID(L390,3,1),"x0x1x2x3x4x5x6x7x8x9"))),OR(4&gt;LEN(L390),MID(L390,4,1)=".",ISNUMBER(FIND("x"&amp;MID(L390,4,1),"x0x1x2x3x4x5x6x7x8x9"))),OR(5&gt;LEN(L390),MID(L390,5,1)=".",ISNUMBER(FIND("x"&amp;MID(L390,5,1),"x0x1x2x3x4x5x6x7x8x9"))),OR(6&gt;LEN(L390),MID(L390,6,1)=".",ISNUMBER(FIND("x"&amp;MID(L390,6,1),"x0x1x2x3x4x5x6x7x8x9"))),OR(7&gt;LEN(L390),MID(L390,7,1)=".",ISNUMBER(FIND("x"&amp;MID(L390,7,1),"x0x1x2x3x4x5x6x7x8x9"))),OR(8&gt;LEN(L390),MID(L390,8,1)=".",ISNUMBER(FIND("x"&amp;MID(L390,8,1),"x0x1x2x3x4x5x6x7x8x9"))),OR(9&gt;LEN(L390),MID(L390,9,1)=".",ISNUMBER(FIND("x"&amp;MID(L390,9,1),"x0x1x2x3x4x5x6x7x8x9"))),OR(10&gt;LEN(L390),MID(L390,10,1)=".",ISNUMBER(FIND("x"&amp;MID(L390,10,1),"x0x1x2x3x4x5x6x7x8x9"))),OR(AND(FIND(".",L390)=5,LEN(L390)-FIND(".",L390,FIND(".",L390)+1)&gt;=1,LEN(L390)-FIND(".",L390,FIND(".",L390)+1)&lt;=2),AND(LEN(L390)-FIND(".",L390,FIND(".",L390)+1)=4,FIND(".",L390)&gt;=2,FIND(".",L390)&lt;=3)),FIND(".",L390,FIND(".",L390)+1)-FIND(".",L390)&gt;=2,FIND(".",L390,FIND(".",L390)+1)-FIND(".",L390)&lt;=3,P390&gt;=2000,P390&lt;=2100,YEAR(S390)=P390,MONTH(S390)=Q390,DAY(S390)=R390),S390,0)),0)</ns0:f>
        <ns0:v>0</ns0:v>
      </ns0:c>
      <ns0:c r="U390" s="0" t="str">
        <ns0:f>IF(Bookings!C390="","Full day",Bookings!C390)</ns0:f>
        <ns0:v>Full day</ns0:v>
      </ns0:c>
      <ns0:c r="V390" s="0" t="str">
        <ns0:f>IF(Bookings!E390="","Full day",Bookings!E390)</ns0:f>
        <ns0:v>Full day</ns0:v>
      </ns0:c>
      <ns0:c r="W390" s="0">
        <ns0:f>IF(J390=0,0,J390+IF(U390="PM",1,0))</ns0:f>
        <ns0:v>0</ns0:v>
      </ns0:c>
      <ns0:c r="X390" s="0">
        <ns0:f>IF(T390=0,0,T390-IF(V390="PM",1,0))</ns0:f>
        <ns0:v>0</ns0:v>
      </ns0:c>
      <ns0:c r="Y390" s="0">
        <ns0:f>IF(J390=0,0,J390+IF(U390="AM",1,0))</ns0:f>
        <ns0:v>0</ns0:v>
      </ns0:c>
      <ns0:c r="Z390" s="0">
        <ns0:f>IF(T390=0,0,T390-IF(V390="AM",1,0))</ns0:f>
        <ns0:v>0</ns0:v>
      </ns0:c>
      <ns0:c r="AA390" s="0">
        <ns0:f>IFERROR(IF(AND(J390&gt;0,'_Engine'!C390&gt;0,MID('_Engine'!W390,WEEKDAY(J390,2),1)="W",COUNTIF(Settings!$F$18:$F$67,J390)=0),1,0),0)</ns0:f>
        <ns0:v>0</ns0:v>
      </ns0:c>
      <ns0:c r="AB390" s="0">
        <ns0:f>IFERROR(IF(AND(T390&gt;0,'_Engine'!C390&gt;0,MID('_Engine'!W390,WEEKDAY(T390,2),1)="W",COUNTIF(Settings!$F$18:$F$67,T390)=0),1,0),0)</ns0:f>
        <ns0:v>0</ns0:v>
      </ns0:c>
      <ns0:c r="AC390" s="0">
        <ns0:f>IF(AND(J390&gt;0,T390&gt;0,W390&lt;=X390),1,0)</ns0:f>
        <ns0:v>0</ns0:v>
      </ns0:c>
      <ns0:c r="AD390" s="0">
        <ns0:f>IF(AND(J390&gt;0,T390&gt;0,Y390&lt;=Z390),1,0)</ns0:f>
        <ns0:v>0</ns0:v>
      </ns0:c>
    </ns0:row>
    <ns0:row r="391">
      <ns0:c r="A391" s="0">
        <ns0:f>IFERROR(IF(ISNUMBER(Bookings!B391),"",TRIM(Bookings!B391&amp;"")),"")</ns0:f>
      </ns0:c>
      <ns0:c r="B391" s="0">
        <ns0:f>IFERROR(SUBSTITUTE(SUBSTITUTE(A391,"/","."),"-","."),"")</ns0:f>
      </ns0:c>
      <ns0:c r="C391" s="0">
        <ns0:f>IFERROR(LEFT(B391,FIND(".",B391)-1),"")</ns0:f>
      </ns0:c>
      <ns0:c r="D391" s="0">
        <ns0:f>IFERROR(MID(B391,FIND(".",B391)+1,FIND(".",B391,FIND(".",B391)+1)-FIND(".",B391)-1),"")</ns0:f>
      </ns0:c>
      <ns0:c r="E391" s="0">
        <ns0:f>IFERROR(MID(B391,FIND(".",B391,FIND(".",B391)+1)+1,99),"")</ns0:f>
        <ns0:v>99</ns0:v>
      </ns0:c>
      <ns0:c r="F391" s="0">
        <ns0:f>IFERROR(IF(FIND(".",B391)=5,--C391,--E391),0)</ns0:f>
        <ns0:v>0</ns0:v>
      </ns0:c>
      <ns0:c r="G391" s="0">
        <ns0:f>IFERROR(--D391,0)</ns0:f>
        <ns0:v>0</ns0:v>
      </ns0:c>
      <ns0:c r="H391" s="0">
        <ns0:f>IFERROR(IF(FIND(".",B391)=5,--E391,--C391),0)</ns0:f>
        <ns0:v>0</ns0:v>
      </ns0:c>
      <ns0:c r="I391" s="0">
        <ns0:f>IFERROR(IF(AND(F391&gt;=2000,F391&lt;=2100,G391&gt;=1,G391&lt;=12,H391&gt;=1,H391&lt;=31),DATE(F391,G391,H391),0),0)</ns0:f>
        <ns0:v>0</ns0:v>
      </ns0:c>
      <ns0:c r="J391" s="0">
        <ns0:f>IFERROR(IF(ISNUMBER(Bookings!B391),IF(AND(Bookings!B391=INT(Bookings!B391),Bookings!B391&gt;=DATE(2000,1,1),Bookings!B391&lt;=DATE(2100,12,31)),Bookings!B391,0),IF(AND(A391&lt;&gt;"",LEN("x"&amp;B391)-LEN(SUBSTITUTE("x"&amp;B391,".",""))=2,OR(1&gt;LEN(B391),MID(B391,1,1)=".",ISNUMBER(FIND("x"&amp;MID(B391,1,1),"x0x1x2x3x4x5x6x7x8x9"))),OR(2&gt;LEN(B391),MID(B391,2,1)=".",ISNUMBER(FIND("x"&amp;MID(B391,2,1),"x0x1x2x3x4x5x6x7x8x9"))),OR(3&gt;LEN(B391),MID(B391,3,1)=".",ISNUMBER(FIND("x"&amp;MID(B391,3,1),"x0x1x2x3x4x5x6x7x8x9"))),OR(4&gt;LEN(B391),MID(B391,4,1)=".",ISNUMBER(FIND("x"&amp;MID(B391,4,1),"x0x1x2x3x4x5x6x7x8x9"))),OR(5&gt;LEN(B391),MID(B391,5,1)=".",ISNUMBER(FIND("x"&amp;MID(B391,5,1),"x0x1x2x3x4x5x6x7x8x9"))),OR(6&gt;LEN(B391),MID(B391,6,1)=".",ISNUMBER(FIND("x"&amp;MID(B391,6,1),"x0x1x2x3x4x5x6x7x8x9"))),OR(7&gt;LEN(B391),MID(B391,7,1)=".",ISNUMBER(FIND("x"&amp;MID(B391,7,1),"x0x1x2x3x4x5x6x7x8x9"))),OR(8&gt;LEN(B391),MID(B391,8,1)=".",ISNUMBER(FIND("x"&amp;MID(B391,8,1),"x0x1x2x3x4x5x6x7x8x9"))),OR(9&gt;LEN(B391),MID(B391,9,1)=".",ISNUMBER(FIND("x"&amp;MID(B391,9,1),"x0x1x2x3x4x5x6x7x8x9"))),OR(10&gt;LEN(B391),MID(B391,10,1)=".",ISNUMBER(FIND("x"&amp;MID(B391,10,1),"x0x1x2x3x4x5x6x7x8x9"))),OR(AND(FIND(".",B391)=5,LEN(B391)-FIND(".",B391,FIND(".",B391)+1)&gt;=1,LEN(B391)-FIND(".",B391,FIND(".",B391)+1)&lt;=2),AND(LEN(B391)-FIND(".",B391,FIND(".",B391)+1)=4,FIND(".",B391)&gt;=2,FIND(".",B391)&lt;=3)),FIND(".",B391,FIND(".",B391)+1)-FIND(".",B391)&gt;=2,FIND(".",B391,FIND(".",B391)+1)-FIND(".",B391)&lt;=3,F391&gt;=2000,F391&lt;=2100,YEAR(I391)=F391,MONTH(I391)=G391,DAY(I391)=H391),I391,0)),0)</ns0:f>
        <ns0:v>0</ns0:v>
      </ns0:c>
      <ns0:c r="K391" s="0">
        <ns0:f>IFERROR(IF(ISNUMBER(Bookings!D391),"",TRIM(Bookings!D391&amp;"")),"")</ns0:f>
      </ns0:c>
      <ns0:c r="L391" s="0">
        <ns0:f>IFERROR(SUBSTITUTE(SUBSTITUTE(K391,"/","."),"-","."),"")</ns0:f>
      </ns0:c>
      <ns0:c r="M391" s="0">
        <ns0:f>IFERROR(LEFT(L391,FIND(".",L391)-1),"")</ns0:f>
      </ns0:c>
      <ns0:c r="N391" s="0">
        <ns0:f>IFERROR(MID(L391,FIND(".",L391)+1,FIND(".",L391,FIND(".",L391)+1)-FIND(".",L391)-1),"")</ns0:f>
      </ns0:c>
      <ns0:c r="O391" s="0">
        <ns0:f>IFERROR(MID(L391,FIND(".",L391,FIND(".",L391)+1)+1,99),"")</ns0:f>
        <ns0:v>99</ns0:v>
      </ns0:c>
      <ns0:c r="P391" s="0">
        <ns0:f>IFERROR(IF(FIND(".",L391)=5,--M391,--O391),0)</ns0:f>
        <ns0:v>0</ns0:v>
      </ns0:c>
      <ns0:c r="Q391" s="0">
        <ns0:f>IFERROR(--N391,0)</ns0:f>
        <ns0:v>0</ns0:v>
      </ns0:c>
      <ns0:c r="R391" s="0">
        <ns0:f>IFERROR(IF(FIND(".",L391)=5,--O391,--M391),0)</ns0:f>
        <ns0:v>0</ns0:v>
      </ns0:c>
      <ns0:c r="S391" s="0">
        <ns0:f>IFERROR(IF(AND(P391&gt;=2000,P391&lt;=2100,Q391&gt;=1,Q391&lt;=12,R391&gt;=1,R391&lt;=31),DATE(P391,Q391,R391),0),0)</ns0:f>
        <ns0:v>0</ns0:v>
      </ns0:c>
      <ns0:c r="T391" s="0">
        <ns0:f>IFERROR(IF(ISNUMBER(Bookings!D391),IF(AND(Bookings!D391=INT(Bookings!D391),Bookings!D391&gt;=DATE(2000,1,1),Bookings!D391&lt;=DATE(2100,12,31)),Bookings!D391,0),IF(AND(K391&lt;&gt;"",LEN("x"&amp;L391)-LEN(SUBSTITUTE("x"&amp;L391,".",""))=2,OR(1&gt;LEN(L391),MID(L391,1,1)=".",ISNUMBER(FIND("x"&amp;MID(L391,1,1),"x0x1x2x3x4x5x6x7x8x9"))),OR(2&gt;LEN(L391),MID(L391,2,1)=".",ISNUMBER(FIND("x"&amp;MID(L391,2,1),"x0x1x2x3x4x5x6x7x8x9"))),OR(3&gt;LEN(L391),MID(L391,3,1)=".",ISNUMBER(FIND("x"&amp;MID(L391,3,1),"x0x1x2x3x4x5x6x7x8x9"))),OR(4&gt;LEN(L391),MID(L391,4,1)=".",ISNUMBER(FIND("x"&amp;MID(L391,4,1),"x0x1x2x3x4x5x6x7x8x9"))),OR(5&gt;LEN(L391),MID(L391,5,1)=".",ISNUMBER(FIND("x"&amp;MID(L391,5,1),"x0x1x2x3x4x5x6x7x8x9"))),OR(6&gt;LEN(L391),MID(L391,6,1)=".",ISNUMBER(FIND("x"&amp;MID(L391,6,1),"x0x1x2x3x4x5x6x7x8x9"))),OR(7&gt;LEN(L391),MID(L391,7,1)=".",ISNUMBER(FIND("x"&amp;MID(L391,7,1),"x0x1x2x3x4x5x6x7x8x9"))),OR(8&gt;LEN(L391),MID(L391,8,1)=".",ISNUMBER(FIND("x"&amp;MID(L391,8,1),"x0x1x2x3x4x5x6x7x8x9"))),OR(9&gt;LEN(L391),MID(L391,9,1)=".",ISNUMBER(FIND("x"&amp;MID(L391,9,1),"x0x1x2x3x4x5x6x7x8x9"))),OR(10&gt;LEN(L391),MID(L391,10,1)=".",ISNUMBER(FIND("x"&amp;MID(L391,10,1),"x0x1x2x3x4x5x6x7x8x9"))),OR(AND(FIND(".",L391)=5,LEN(L391)-FIND(".",L391,FIND(".",L391)+1)&gt;=1,LEN(L391)-FIND(".",L391,FIND(".",L391)+1)&lt;=2),AND(LEN(L391)-FIND(".",L391,FIND(".",L391)+1)=4,FIND(".",L391)&gt;=2,FIND(".",L391)&lt;=3)),FIND(".",L391,FIND(".",L391)+1)-FIND(".",L391)&gt;=2,FIND(".",L391,FIND(".",L391)+1)-FIND(".",L391)&lt;=3,P391&gt;=2000,P391&lt;=2100,YEAR(S391)=P391,MONTH(S391)=Q391,DAY(S391)=R391),S391,0)),0)</ns0:f>
        <ns0:v>0</ns0:v>
      </ns0:c>
      <ns0:c r="U391" s="0" t="str">
        <ns0:f>IF(Bookings!C391="","Full day",Bookings!C391)</ns0:f>
        <ns0:v>Full day</ns0:v>
      </ns0:c>
      <ns0:c r="V391" s="0" t="str">
        <ns0:f>IF(Bookings!E391="","Full day",Bookings!E391)</ns0:f>
        <ns0:v>Full day</ns0:v>
      </ns0:c>
      <ns0:c r="W391" s="0">
        <ns0:f>IF(J391=0,0,J391+IF(U391="PM",1,0))</ns0:f>
        <ns0:v>0</ns0:v>
      </ns0:c>
      <ns0:c r="X391" s="0">
        <ns0:f>IF(T391=0,0,T391-IF(V391="PM",1,0))</ns0:f>
        <ns0:v>0</ns0:v>
      </ns0:c>
      <ns0:c r="Y391" s="0">
        <ns0:f>IF(J391=0,0,J391+IF(U391="AM",1,0))</ns0:f>
        <ns0:v>0</ns0:v>
      </ns0:c>
      <ns0:c r="Z391" s="0">
        <ns0:f>IF(T391=0,0,T391-IF(V391="AM",1,0))</ns0:f>
        <ns0:v>0</ns0:v>
      </ns0:c>
      <ns0:c r="AA391" s="0">
        <ns0:f>IFERROR(IF(AND(J391&gt;0,'_Engine'!C391&gt;0,MID('_Engine'!W391,WEEKDAY(J391,2),1)="W",COUNTIF(Settings!$F$18:$F$67,J391)=0),1,0),0)</ns0:f>
        <ns0:v>0</ns0:v>
      </ns0:c>
      <ns0:c r="AB391" s="0">
        <ns0:f>IFERROR(IF(AND(T391&gt;0,'_Engine'!C391&gt;0,MID('_Engine'!W391,WEEKDAY(T391,2),1)="W",COUNTIF(Settings!$F$18:$F$67,T391)=0),1,0),0)</ns0:f>
        <ns0:v>0</ns0:v>
      </ns0:c>
      <ns0:c r="AC391" s="0">
        <ns0:f>IF(AND(J391&gt;0,T391&gt;0,W391&lt;=X391),1,0)</ns0:f>
        <ns0:v>0</ns0:v>
      </ns0:c>
      <ns0:c r="AD391" s="0">
        <ns0:f>IF(AND(J391&gt;0,T391&gt;0,Y391&lt;=Z391),1,0)</ns0:f>
        <ns0:v>0</ns0:v>
      </ns0:c>
    </ns0:row>
    <ns0:row r="392">
      <ns0:c r="A392" s="0">
        <ns0:f>IFERROR(IF(ISNUMBER(Bookings!B392),"",TRIM(Bookings!B392&amp;"")),"")</ns0:f>
      </ns0:c>
      <ns0:c r="B392" s="0">
        <ns0:f>IFERROR(SUBSTITUTE(SUBSTITUTE(A392,"/","."),"-","."),"")</ns0:f>
      </ns0:c>
      <ns0:c r="C392" s="0">
        <ns0:f>IFERROR(LEFT(B392,FIND(".",B392)-1),"")</ns0:f>
      </ns0:c>
      <ns0:c r="D392" s="0">
        <ns0:f>IFERROR(MID(B392,FIND(".",B392)+1,FIND(".",B392,FIND(".",B392)+1)-FIND(".",B392)-1),"")</ns0:f>
      </ns0:c>
      <ns0:c r="E392" s="0">
        <ns0:f>IFERROR(MID(B392,FIND(".",B392,FIND(".",B392)+1)+1,99),"")</ns0:f>
        <ns0:v>99</ns0:v>
      </ns0:c>
      <ns0:c r="F392" s="0">
        <ns0:f>IFERROR(IF(FIND(".",B392)=5,--C392,--E392),0)</ns0:f>
        <ns0:v>0</ns0:v>
      </ns0:c>
      <ns0:c r="G392" s="0">
        <ns0:f>IFERROR(--D392,0)</ns0:f>
        <ns0:v>0</ns0:v>
      </ns0:c>
      <ns0:c r="H392" s="0">
        <ns0:f>IFERROR(IF(FIND(".",B392)=5,--E392,--C392),0)</ns0:f>
        <ns0:v>0</ns0:v>
      </ns0:c>
      <ns0:c r="I392" s="0">
        <ns0:f>IFERROR(IF(AND(F392&gt;=2000,F392&lt;=2100,G392&gt;=1,G392&lt;=12,H392&gt;=1,H392&lt;=31),DATE(F392,G392,H392),0),0)</ns0:f>
        <ns0:v>0</ns0:v>
      </ns0:c>
      <ns0:c r="J392" s="0">
        <ns0:f>IFERROR(IF(ISNUMBER(Bookings!B392),IF(AND(Bookings!B392=INT(Bookings!B392),Bookings!B392&gt;=DATE(2000,1,1),Bookings!B392&lt;=DATE(2100,12,31)),Bookings!B392,0),IF(AND(A392&lt;&gt;"",LEN("x"&amp;B392)-LEN(SUBSTITUTE("x"&amp;B392,".",""))=2,OR(1&gt;LEN(B392),MID(B392,1,1)=".",ISNUMBER(FIND("x"&amp;MID(B392,1,1),"x0x1x2x3x4x5x6x7x8x9"))),OR(2&gt;LEN(B392),MID(B392,2,1)=".",ISNUMBER(FIND("x"&amp;MID(B392,2,1),"x0x1x2x3x4x5x6x7x8x9"))),OR(3&gt;LEN(B392),MID(B392,3,1)=".",ISNUMBER(FIND("x"&amp;MID(B392,3,1),"x0x1x2x3x4x5x6x7x8x9"))),OR(4&gt;LEN(B392),MID(B392,4,1)=".",ISNUMBER(FIND("x"&amp;MID(B392,4,1),"x0x1x2x3x4x5x6x7x8x9"))),OR(5&gt;LEN(B392),MID(B392,5,1)=".",ISNUMBER(FIND("x"&amp;MID(B392,5,1),"x0x1x2x3x4x5x6x7x8x9"))),OR(6&gt;LEN(B392),MID(B392,6,1)=".",ISNUMBER(FIND("x"&amp;MID(B392,6,1),"x0x1x2x3x4x5x6x7x8x9"))),OR(7&gt;LEN(B392),MID(B392,7,1)=".",ISNUMBER(FIND("x"&amp;MID(B392,7,1),"x0x1x2x3x4x5x6x7x8x9"))),OR(8&gt;LEN(B392),MID(B392,8,1)=".",ISNUMBER(FIND("x"&amp;MID(B392,8,1),"x0x1x2x3x4x5x6x7x8x9"))),OR(9&gt;LEN(B392),MID(B392,9,1)=".",ISNUMBER(FIND("x"&amp;MID(B392,9,1),"x0x1x2x3x4x5x6x7x8x9"))),OR(10&gt;LEN(B392),MID(B392,10,1)=".",ISNUMBER(FIND("x"&amp;MID(B392,10,1),"x0x1x2x3x4x5x6x7x8x9"))),OR(AND(FIND(".",B392)=5,LEN(B392)-FIND(".",B392,FIND(".",B392)+1)&gt;=1,LEN(B392)-FIND(".",B392,FIND(".",B392)+1)&lt;=2),AND(LEN(B392)-FIND(".",B392,FIND(".",B392)+1)=4,FIND(".",B392)&gt;=2,FIND(".",B392)&lt;=3)),FIND(".",B392,FIND(".",B392)+1)-FIND(".",B392)&gt;=2,FIND(".",B392,FIND(".",B392)+1)-FIND(".",B392)&lt;=3,F392&gt;=2000,F392&lt;=2100,YEAR(I392)=F392,MONTH(I392)=G392,DAY(I392)=H392),I392,0)),0)</ns0:f>
        <ns0:v>0</ns0:v>
      </ns0:c>
      <ns0:c r="K392" s="0">
        <ns0:f>IFERROR(IF(ISNUMBER(Bookings!D392),"",TRIM(Bookings!D392&amp;"")),"")</ns0:f>
      </ns0:c>
      <ns0:c r="L392" s="0">
        <ns0:f>IFERROR(SUBSTITUTE(SUBSTITUTE(K392,"/","."),"-","."),"")</ns0:f>
      </ns0:c>
      <ns0:c r="M392" s="0">
        <ns0:f>IFERROR(LEFT(L392,FIND(".",L392)-1),"")</ns0:f>
      </ns0:c>
      <ns0:c r="N392" s="0">
        <ns0:f>IFERROR(MID(L392,FIND(".",L392)+1,FIND(".",L392,FIND(".",L392)+1)-FIND(".",L392)-1),"")</ns0:f>
      </ns0:c>
      <ns0:c r="O392" s="0">
        <ns0:f>IFERROR(MID(L392,FIND(".",L392,FIND(".",L392)+1)+1,99),"")</ns0:f>
        <ns0:v>99</ns0:v>
      </ns0:c>
      <ns0:c r="P392" s="0">
        <ns0:f>IFERROR(IF(FIND(".",L392)=5,--M392,--O392),0)</ns0:f>
        <ns0:v>0</ns0:v>
      </ns0:c>
      <ns0:c r="Q392" s="0">
        <ns0:f>IFERROR(--N392,0)</ns0:f>
        <ns0:v>0</ns0:v>
      </ns0:c>
      <ns0:c r="R392" s="0">
        <ns0:f>IFERROR(IF(FIND(".",L392)=5,--O392,--M392),0)</ns0:f>
        <ns0:v>0</ns0:v>
      </ns0:c>
      <ns0:c r="S392" s="0">
        <ns0:f>IFERROR(IF(AND(P392&gt;=2000,P392&lt;=2100,Q392&gt;=1,Q392&lt;=12,R392&gt;=1,R392&lt;=31),DATE(P392,Q392,R392),0),0)</ns0:f>
        <ns0:v>0</ns0:v>
      </ns0:c>
      <ns0:c r="T392" s="0">
        <ns0:f>IFERROR(IF(ISNUMBER(Bookings!D392),IF(AND(Bookings!D392=INT(Bookings!D392),Bookings!D392&gt;=DATE(2000,1,1),Bookings!D392&lt;=DATE(2100,12,31)),Bookings!D392,0),IF(AND(K392&lt;&gt;"",LEN("x"&amp;L392)-LEN(SUBSTITUTE("x"&amp;L392,".",""))=2,OR(1&gt;LEN(L392),MID(L392,1,1)=".",ISNUMBER(FIND("x"&amp;MID(L392,1,1),"x0x1x2x3x4x5x6x7x8x9"))),OR(2&gt;LEN(L392),MID(L392,2,1)=".",ISNUMBER(FIND("x"&amp;MID(L392,2,1),"x0x1x2x3x4x5x6x7x8x9"))),OR(3&gt;LEN(L392),MID(L392,3,1)=".",ISNUMBER(FIND("x"&amp;MID(L392,3,1),"x0x1x2x3x4x5x6x7x8x9"))),OR(4&gt;LEN(L392),MID(L392,4,1)=".",ISNUMBER(FIND("x"&amp;MID(L392,4,1),"x0x1x2x3x4x5x6x7x8x9"))),OR(5&gt;LEN(L392),MID(L392,5,1)=".",ISNUMBER(FIND("x"&amp;MID(L392,5,1),"x0x1x2x3x4x5x6x7x8x9"))),OR(6&gt;LEN(L392),MID(L392,6,1)=".",ISNUMBER(FIND("x"&amp;MID(L392,6,1),"x0x1x2x3x4x5x6x7x8x9"))),OR(7&gt;LEN(L392),MID(L392,7,1)=".",ISNUMBER(FIND("x"&amp;MID(L392,7,1),"x0x1x2x3x4x5x6x7x8x9"))),OR(8&gt;LEN(L392),MID(L392,8,1)=".",ISNUMBER(FIND("x"&amp;MID(L392,8,1),"x0x1x2x3x4x5x6x7x8x9"))),OR(9&gt;LEN(L392),MID(L392,9,1)=".",ISNUMBER(FIND("x"&amp;MID(L392,9,1),"x0x1x2x3x4x5x6x7x8x9"))),OR(10&gt;LEN(L392),MID(L392,10,1)=".",ISNUMBER(FIND("x"&amp;MID(L392,10,1),"x0x1x2x3x4x5x6x7x8x9"))),OR(AND(FIND(".",L392)=5,LEN(L392)-FIND(".",L392,FIND(".",L392)+1)&gt;=1,LEN(L392)-FIND(".",L392,FIND(".",L392)+1)&lt;=2),AND(LEN(L392)-FIND(".",L392,FIND(".",L392)+1)=4,FIND(".",L392)&gt;=2,FIND(".",L392)&lt;=3)),FIND(".",L392,FIND(".",L392)+1)-FIND(".",L392)&gt;=2,FIND(".",L392,FIND(".",L392)+1)-FIND(".",L392)&lt;=3,P392&gt;=2000,P392&lt;=2100,YEAR(S392)=P392,MONTH(S392)=Q392,DAY(S392)=R392),S392,0)),0)</ns0:f>
        <ns0:v>0</ns0:v>
      </ns0:c>
      <ns0:c r="U392" s="0" t="str">
        <ns0:f>IF(Bookings!C392="","Full day",Bookings!C392)</ns0:f>
        <ns0:v>Full day</ns0:v>
      </ns0:c>
      <ns0:c r="V392" s="0" t="str">
        <ns0:f>IF(Bookings!E392="","Full day",Bookings!E392)</ns0:f>
        <ns0:v>Full day</ns0:v>
      </ns0:c>
      <ns0:c r="W392" s="0">
        <ns0:f>IF(J392=0,0,J392+IF(U392="PM",1,0))</ns0:f>
        <ns0:v>0</ns0:v>
      </ns0:c>
      <ns0:c r="X392" s="0">
        <ns0:f>IF(T392=0,0,T392-IF(V392="PM",1,0))</ns0:f>
        <ns0:v>0</ns0:v>
      </ns0:c>
      <ns0:c r="Y392" s="0">
        <ns0:f>IF(J392=0,0,J392+IF(U392="AM",1,0))</ns0:f>
        <ns0:v>0</ns0:v>
      </ns0:c>
      <ns0:c r="Z392" s="0">
        <ns0:f>IF(T392=0,0,T392-IF(V392="AM",1,0))</ns0:f>
        <ns0:v>0</ns0:v>
      </ns0:c>
      <ns0:c r="AA392" s="0">
        <ns0:f>IFERROR(IF(AND(J392&gt;0,'_Engine'!C392&gt;0,MID('_Engine'!W392,WEEKDAY(J392,2),1)="W",COUNTIF(Settings!$F$18:$F$67,J392)=0),1,0),0)</ns0:f>
        <ns0:v>0</ns0:v>
      </ns0:c>
      <ns0:c r="AB392" s="0">
        <ns0:f>IFERROR(IF(AND(T392&gt;0,'_Engine'!C392&gt;0,MID('_Engine'!W392,WEEKDAY(T392,2),1)="W",COUNTIF(Settings!$F$18:$F$67,T392)=0),1,0),0)</ns0:f>
        <ns0:v>0</ns0:v>
      </ns0:c>
      <ns0:c r="AC392" s="0">
        <ns0:f>IF(AND(J392&gt;0,T392&gt;0,W392&lt;=X392),1,0)</ns0:f>
        <ns0:v>0</ns0:v>
      </ns0:c>
      <ns0:c r="AD392" s="0">
        <ns0:f>IF(AND(J392&gt;0,T392&gt;0,Y392&lt;=Z392),1,0)</ns0:f>
        <ns0:v>0</ns0:v>
      </ns0:c>
    </ns0:row>
    <ns0:row r="393">
      <ns0:c r="A393" s="0">
        <ns0:f>IFERROR(IF(ISNUMBER(Bookings!B393),"",TRIM(Bookings!B393&amp;"")),"")</ns0:f>
      </ns0:c>
      <ns0:c r="B393" s="0">
        <ns0:f>IFERROR(SUBSTITUTE(SUBSTITUTE(A393,"/","."),"-","."),"")</ns0:f>
      </ns0:c>
      <ns0:c r="C393" s="0">
        <ns0:f>IFERROR(LEFT(B393,FIND(".",B393)-1),"")</ns0:f>
      </ns0:c>
      <ns0:c r="D393" s="0">
        <ns0:f>IFERROR(MID(B393,FIND(".",B393)+1,FIND(".",B393,FIND(".",B393)+1)-FIND(".",B393)-1),"")</ns0:f>
      </ns0:c>
      <ns0:c r="E393" s="0">
        <ns0:f>IFERROR(MID(B393,FIND(".",B393,FIND(".",B393)+1)+1,99),"")</ns0:f>
        <ns0:v>99</ns0:v>
      </ns0:c>
      <ns0:c r="F393" s="0">
        <ns0:f>IFERROR(IF(FIND(".",B393)=5,--C393,--E393),0)</ns0:f>
        <ns0:v>0</ns0:v>
      </ns0:c>
      <ns0:c r="G393" s="0">
        <ns0:f>IFERROR(--D393,0)</ns0:f>
        <ns0:v>0</ns0:v>
      </ns0:c>
      <ns0:c r="H393" s="0">
        <ns0:f>IFERROR(IF(FIND(".",B393)=5,--E393,--C393),0)</ns0:f>
        <ns0:v>0</ns0:v>
      </ns0:c>
      <ns0:c r="I393" s="0">
        <ns0:f>IFERROR(IF(AND(F393&gt;=2000,F393&lt;=2100,G393&gt;=1,G393&lt;=12,H393&gt;=1,H393&lt;=31),DATE(F393,G393,H393),0),0)</ns0:f>
        <ns0:v>0</ns0:v>
      </ns0:c>
      <ns0:c r="J393" s="0">
        <ns0:f>IFERROR(IF(ISNUMBER(Bookings!B393),IF(AND(Bookings!B393=INT(Bookings!B393),Bookings!B393&gt;=DATE(2000,1,1),Bookings!B393&lt;=DATE(2100,12,31)),Bookings!B393,0),IF(AND(A393&lt;&gt;"",LEN("x"&amp;B393)-LEN(SUBSTITUTE("x"&amp;B393,".",""))=2,OR(1&gt;LEN(B393),MID(B393,1,1)=".",ISNUMBER(FIND("x"&amp;MID(B393,1,1),"x0x1x2x3x4x5x6x7x8x9"))),OR(2&gt;LEN(B393),MID(B393,2,1)=".",ISNUMBER(FIND("x"&amp;MID(B393,2,1),"x0x1x2x3x4x5x6x7x8x9"))),OR(3&gt;LEN(B393),MID(B393,3,1)=".",ISNUMBER(FIND("x"&amp;MID(B393,3,1),"x0x1x2x3x4x5x6x7x8x9"))),OR(4&gt;LEN(B393),MID(B393,4,1)=".",ISNUMBER(FIND("x"&amp;MID(B393,4,1),"x0x1x2x3x4x5x6x7x8x9"))),OR(5&gt;LEN(B393),MID(B393,5,1)=".",ISNUMBER(FIND("x"&amp;MID(B393,5,1),"x0x1x2x3x4x5x6x7x8x9"))),OR(6&gt;LEN(B393),MID(B393,6,1)=".",ISNUMBER(FIND("x"&amp;MID(B393,6,1),"x0x1x2x3x4x5x6x7x8x9"))),OR(7&gt;LEN(B393),MID(B393,7,1)=".",ISNUMBER(FIND("x"&amp;MID(B393,7,1),"x0x1x2x3x4x5x6x7x8x9"))),OR(8&gt;LEN(B393),MID(B393,8,1)=".",ISNUMBER(FIND("x"&amp;MID(B393,8,1),"x0x1x2x3x4x5x6x7x8x9"))),OR(9&gt;LEN(B393),MID(B393,9,1)=".",ISNUMBER(FIND("x"&amp;MID(B393,9,1),"x0x1x2x3x4x5x6x7x8x9"))),OR(10&gt;LEN(B393),MID(B393,10,1)=".",ISNUMBER(FIND("x"&amp;MID(B393,10,1),"x0x1x2x3x4x5x6x7x8x9"))),OR(AND(FIND(".",B393)=5,LEN(B393)-FIND(".",B393,FIND(".",B393)+1)&gt;=1,LEN(B393)-FIND(".",B393,FIND(".",B393)+1)&lt;=2),AND(LEN(B393)-FIND(".",B393,FIND(".",B393)+1)=4,FIND(".",B393)&gt;=2,FIND(".",B393)&lt;=3)),FIND(".",B393,FIND(".",B393)+1)-FIND(".",B393)&gt;=2,FIND(".",B393,FIND(".",B393)+1)-FIND(".",B393)&lt;=3,F393&gt;=2000,F393&lt;=2100,YEAR(I393)=F393,MONTH(I393)=G393,DAY(I393)=H393),I393,0)),0)</ns0:f>
        <ns0:v>0</ns0:v>
      </ns0:c>
      <ns0:c r="K393" s="0">
        <ns0:f>IFERROR(IF(ISNUMBER(Bookings!D393),"",TRIM(Bookings!D393&amp;"")),"")</ns0:f>
      </ns0:c>
      <ns0:c r="L393" s="0">
        <ns0:f>IFERROR(SUBSTITUTE(SUBSTITUTE(K393,"/","."),"-","."),"")</ns0:f>
      </ns0:c>
      <ns0:c r="M393" s="0">
        <ns0:f>IFERROR(LEFT(L393,FIND(".",L393)-1),"")</ns0:f>
      </ns0:c>
      <ns0:c r="N393" s="0">
        <ns0:f>IFERROR(MID(L393,FIND(".",L393)+1,FIND(".",L393,FIND(".",L393)+1)-FIND(".",L393)-1),"")</ns0:f>
      </ns0:c>
      <ns0:c r="O393" s="0">
        <ns0:f>IFERROR(MID(L393,FIND(".",L393,FIND(".",L393)+1)+1,99),"")</ns0:f>
        <ns0:v>99</ns0:v>
      </ns0:c>
      <ns0:c r="P393" s="0">
        <ns0:f>IFERROR(IF(FIND(".",L393)=5,--M393,--O393),0)</ns0:f>
        <ns0:v>0</ns0:v>
      </ns0:c>
      <ns0:c r="Q393" s="0">
        <ns0:f>IFERROR(--N393,0)</ns0:f>
        <ns0:v>0</ns0:v>
      </ns0:c>
      <ns0:c r="R393" s="0">
        <ns0:f>IFERROR(IF(FIND(".",L393)=5,--O393,--M393),0)</ns0:f>
        <ns0:v>0</ns0:v>
      </ns0:c>
      <ns0:c r="S393" s="0">
        <ns0:f>IFERROR(IF(AND(P393&gt;=2000,P393&lt;=2100,Q393&gt;=1,Q393&lt;=12,R393&gt;=1,R393&lt;=31),DATE(P393,Q393,R393),0),0)</ns0:f>
        <ns0:v>0</ns0:v>
      </ns0:c>
      <ns0:c r="T393" s="0">
        <ns0:f>IFERROR(IF(ISNUMBER(Bookings!D393),IF(AND(Bookings!D393=INT(Bookings!D393),Bookings!D393&gt;=DATE(2000,1,1),Bookings!D393&lt;=DATE(2100,12,31)),Bookings!D393,0),IF(AND(K393&lt;&gt;"",LEN("x"&amp;L393)-LEN(SUBSTITUTE("x"&amp;L393,".",""))=2,OR(1&gt;LEN(L393),MID(L393,1,1)=".",ISNUMBER(FIND("x"&amp;MID(L393,1,1),"x0x1x2x3x4x5x6x7x8x9"))),OR(2&gt;LEN(L393),MID(L393,2,1)=".",ISNUMBER(FIND("x"&amp;MID(L393,2,1),"x0x1x2x3x4x5x6x7x8x9"))),OR(3&gt;LEN(L393),MID(L393,3,1)=".",ISNUMBER(FIND("x"&amp;MID(L393,3,1),"x0x1x2x3x4x5x6x7x8x9"))),OR(4&gt;LEN(L393),MID(L393,4,1)=".",ISNUMBER(FIND("x"&amp;MID(L393,4,1),"x0x1x2x3x4x5x6x7x8x9"))),OR(5&gt;LEN(L393),MID(L393,5,1)=".",ISNUMBER(FIND("x"&amp;MID(L393,5,1),"x0x1x2x3x4x5x6x7x8x9"))),OR(6&gt;LEN(L393),MID(L393,6,1)=".",ISNUMBER(FIND("x"&amp;MID(L393,6,1),"x0x1x2x3x4x5x6x7x8x9"))),OR(7&gt;LEN(L393),MID(L393,7,1)=".",ISNUMBER(FIND("x"&amp;MID(L393,7,1),"x0x1x2x3x4x5x6x7x8x9"))),OR(8&gt;LEN(L393),MID(L393,8,1)=".",ISNUMBER(FIND("x"&amp;MID(L393,8,1),"x0x1x2x3x4x5x6x7x8x9"))),OR(9&gt;LEN(L393),MID(L393,9,1)=".",ISNUMBER(FIND("x"&amp;MID(L393,9,1),"x0x1x2x3x4x5x6x7x8x9"))),OR(10&gt;LEN(L393),MID(L393,10,1)=".",ISNUMBER(FIND("x"&amp;MID(L393,10,1),"x0x1x2x3x4x5x6x7x8x9"))),OR(AND(FIND(".",L393)=5,LEN(L393)-FIND(".",L393,FIND(".",L393)+1)&gt;=1,LEN(L393)-FIND(".",L393,FIND(".",L393)+1)&lt;=2),AND(LEN(L393)-FIND(".",L393,FIND(".",L393)+1)=4,FIND(".",L393)&gt;=2,FIND(".",L393)&lt;=3)),FIND(".",L393,FIND(".",L393)+1)-FIND(".",L393)&gt;=2,FIND(".",L393,FIND(".",L393)+1)-FIND(".",L393)&lt;=3,P393&gt;=2000,P393&lt;=2100,YEAR(S393)=P393,MONTH(S393)=Q393,DAY(S393)=R393),S393,0)),0)</ns0:f>
        <ns0:v>0</ns0:v>
      </ns0:c>
      <ns0:c r="U393" s="0" t="str">
        <ns0:f>IF(Bookings!C393="","Full day",Bookings!C393)</ns0:f>
        <ns0:v>Full day</ns0:v>
      </ns0:c>
      <ns0:c r="V393" s="0" t="str">
        <ns0:f>IF(Bookings!E393="","Full day",Bookings!E393)</ns0:f>
        <ns0:v>Full day</ns0:v>
      </ns0:c>
      <ns0:c r="W393" s="0">
        <ns0:f>IF(J393=0,0,J393+IF(U393="PM",1,0))</ns0:f>
        <ns0:v>0</ns0:v>
      </ns0:c>
      <ns0:c r="X393" s="0">
        <ns0:f>IF(T393=0,0,T393-IF(V393="PM",1,0))</ns0:f>
        <ns0:v>0</ns0:v>
      </ns0:c>
      <ns0:c r="Y393" s="0">
        <ns0:f>IF(J393=0,0,J393+IF(U393="AM",1,0))</ns0:f>
        <ns0:v>0</ns0:v>
      </ns0:c>
      <ns0:c r="Z393" s="0">
        <ns0:f>IF(T393=0,0,T393-IF(V393="AM",1,0))</ns0:f>
        <ns0:v>0</ns0:v>
      </ns0:c>
      <ns0:c r="AA393" s="0">
        <ns0:f>IFERROR(IF(AND(J393&gt;0,'_Engine'!C393&gt;0,MID('_Engine'!W393,WEEKDAY(J393,2),1)="W",COUNTIF(Settings!$F$18:$F$67,J393)=0),1,0),0)</ns0:f>
        <ns0:v>0</ns0:v>
      </ns0:c>
      <ns0:c r="AB393" s="0">
        <ns0:f>IFERROR(IF(AND(T393&gt;0,'_Engine'!C393&gt;0,MID('_Engine'!W393,WEEKDAY(T393,2),1)="W",COUNTIF(Settings!$F$18:$F$67,T393)=0),1,0),0)</ns0:f>
        <ns0:v>0</ns0:v>
      </ns0:c>
      <ns0:c r="AC393" s="0">
        <ns0:f>IF(AND(J393&gt;0,T393&gt;0,W393&lt;=X393),1,0)</ns0:f>
        <ns0:v>0</ns0:v>
      </ns0:c>
      <ns0:c r="AD393" s="0">
        <ns0:f>IF(AND(J393&gt;0,T393&gt;0,Y393&lt;=Z393),1,0)</ns0:f>
        <ns0:v>0</ns0:v>
      </ns0:c>
    </ns0:row>
    <ns0:row r="394">
      <ns0:c r="A394" s="0">
        <ns0:f>IFERROR(IF(ISNUMBER(Bookings!B394),"",TRIM(Bookings!B394&amp;"")),"")</ns0:f>
      </ns0:c>
      <ns0:c r="B394" s="0">
        <ns0:f>IFERROR(SUBSTITUTE(SUBSTITUTE(A394,"/","."),"-","."),"")</ns0:f>
      </ns0:c>
      <ns0:c r="C394" s="0">
        <ns0:f>IFERROR(LEFT(B394,FIND(".",B394)-1),"")</ns0:f>
      </ns0:c>
      <ns0:c r="D394" s="0">
        <ns0:f>IFERROR(MID(B394,FIND(".",B394)+1,FIND(".",B394,FIND(".",B394)+1)-FIND(".",B394)-1),"")</ns0:f>
      </ns0:c>
      <ns0:c r="E394" s="0">
        <ns0:f>IFERROR(MID(B394,FIND(".",B394,FIND(".",B394)+1)+1,99),"")</ns0:f>
        <ns0:v>99</ns0:v>
      </ns0:c>
      <ns0:c r="F394" s="0">
        <ns0:f>IFERROR(IF(FIND(".",B394)=5,--C394,--E394),0)</ns0:f>
        <ns0:v>0</ns0:v>
      </ns0:c>
      <ns0:c r="G394" s="0">
        <ns0:f>IFERROR(--D394,0)</ns0:f>
        <ns0:v>0</ns0:v>
      </ns0:c>
      <ns0:c r="H394" s="0">
        <ns0:f>IFERROR(IF(FIND(".",B394)=5,--E394,--C394),0)</ns0:f>
        <ns0:v>0</ns0:v>
      </ns0:c>
      <ns0:c r="I394" s="0">
        <ns0:f>IFERROR(IF(AND(F394&gt;=2000,F394&lt;=2100,G394&gt;=1,G394&lt;=12,H394&gt;=1,H394&lt;=31),DATE(F394,G394,H394),0),0)</ns0:f>
        <ns0:v>0</ns0:v>
      </ns0:c>
      <ns0:c r="J394" s="0">
        <ns0:f>IFERROR(IF(ISNUMBER(Bookings!B394),IF(AND(Bookings!B394=INT(Bookings!B394),Bookings!B394&gt;=DATE(2000,1,1),Bookings!B394&lt;=DATE(2100,12,31)),Bookings!B394,0),IF(AND(A394&lt;&gt;"",LEN("x"&amp;B394)-LEN(SUBSTITUTE("x"&amp;B394,".",""))=2,OR(1&gt;LEN(B394),MID(B394,1,1)=".",ISNUMBER(FIND("x"&amp;MID(B394,1,1),"x0x1x2x3x4x5x6x7x8x9"))),OR(2&gt;LEN(B394),MID(B394,2,1)=".",ISNUMBER(FIND("x"&amp;MID(B394,2,1),"x0x1x2x3x4x5x6x7x8x9"))),OR(3&gt;LEN(B394),MID(B394,3,1)=".",ISNUMBER(FIND("x"&amp;MID(B394,3,1),"x0x1x2x3x4x5x6x7x8x9"))),OR(4&gt;LEN(B394),MID(B394,4,1)=".",ISNUMBER(FIND("x"&amp;MID(B394,4,1),"x0x1x2x3x4x5x6x7x8x9"))),OR(5&gt;LEN(B394),MID(B394,5,1)=".",ISNUMBER(FIND("x"&amp;MID(B394,5,1),"x0x1x2x3x4x5x6x7x8x9"))),OR(6&gt;LEN(B394),MID(B394,6,1)=".",ISNUMBER(FIND("x"&amp;MID(B394,6,1),"x0x1x2x3x4x5x6x7x8x9"))),OR(7&gt;LEN(B394),MID(B394,7,1)=".",ISNUMBER(FIND("x"&amp;MID(B394,7,1),"x0x1x2x3x4x5x6x7x8x9"))),OR(8&gt;LEN(B394),MID(B394,8,1)=".",ISNUMBER(FIND("x"&amp;MID(B394,8,1),"x0x1x2x3x4x5x6x7x8x9"))),OR(9&gt;LEN(B394),MID(B394,9,1)=".",ISNUMBER(FIND("x"&amp;MID(B394,9,1),"x0x1x2x3x4x5x6x7x8x9"))),OR(10&gt;LEN(B394),MID(B394,10,1)=".",ISNUMBER(FIND("x"&amp;MID(B394,10,1),"x0x1x2x3x4x5x6x7x8x9"))),OR(AND(FIND(".",B394)=5,LEN(B394)-FIND(".",B394,FIND(".",B394)+1)&gt;=1,LEN(B394)-FIND(".",B394,FIND(".",B394)+1)&lt;=2),AND(LEN(B394)-FIND(".",B394,FIND(".",B394)+1)=4,FIND(".",B394)&gt;=2,FIND(".",B394)&lt;=3)),FIND(".",B394,FIND(".",B394)+1)-FIND(".",B394)&gt;=2,FIND(".",B394,FIND(".",B394)+1)-FIND(".",B394)&lt;=3,F394&gt;=2000,F394&lt;=2100,YEAR(I394)=F394,MONTH(I394)=G394,DAY(I394)=H394),I394,0)),0)</ns0:f>
        <ns0:v>0</ns0:v>
      </ns0:c>
      <ns0:c r="K394" s="0">
        <ns0:f>IFERROR(IF(ISNUMBER(Bookings!D394),"",TRIM(Bookings!D394&amp;"")),"")</ns0:f>
      </ns0:c>
      <ns0:c r="L394" s="0">
        <ns0:f>IFERROR(SUBSTITUTE(SUBSTITUTE(K394,"/","."),"-","."),"")</ns0:f>
      </ns0:c>
      <ns0:c r="M394" s="0">
        <ns0:f>IFERROR(LEFT(L394,FIND(".",L394)-1),"")</ns0:f>
      </ns0:c>
      <ns0:c r="N394" s="0">
        <ns0:f>IFERROR(MID(L394,FIND(".",L394)+1,FIND(".",L394,FIND(".",L394)+1)-FIND(".",L394)-1),"")</ns0:f>
      </ns0:c>
      <ns0:c r="O394" s="0">
        <ns0:f>IFERROR(MID(L394,FIND(".",L394,FIND(".",L394)+1)+1,99),"")</ns0:f>
        <ns0:v>99</ns0:v>
      </ns0:c>
      <ns0:c r="P394" s="0">
        <ns0:f>IFERROR(IF(FIND(".",L394)=5,--M394,--O394),0)</ns0:f>
        <ns0:v>0</ns0:v>
      </ns0:c>
      <ns0:c r="Q394" s="0">
        <ns0:f>IFERROR(--N394,0)</ns0:f>
        <ns0:v>0</ns0:v>
      </ns0:c>
      <ns0:c r="R394" s="0">
        <ns0:f>IFERROR(IF(FIND(".",L394)=5,--O394,--M394),0)</ns0:f>
        <ns0:v>0</ns0:v>
      </ns0:c>
      <ns0:c r="S394" s="0">
        <ns0:f>IFERROR(IF(AND(P394&gt;=2000,P394&lt;=2100,Q394&gt;=1,Q394&lt;=12,R394&gt;=1,R394&lt;=31),DATE(P394,Q394,R394),0),0)</ns0:f>
        <ns0:v>0</ns0:v>
      </ns0:c>
      <ns0:c r="T394" s="0">
        <ns0:f>IFERROR(IF(ISNUMBER(Bookings!D394),IF(AND(Bookings!D394=INT(Bookings!D394),Bookings!D394&gt;=DATE(2000,1,1),Bookings!D394&lt;=DATE(2100,12,31)),Bookings!D394,0),IF(AND(K394&lt;&gt;"",LEN("x"&amp;L394)-LEN(SUBSTITUTE("x"&amp;L394,".",""))=2,OR(1&gt;LEN(L394),MID(L394,1,1)=".",ISNUMBER(FIND("x"&amp;MID(L394,1,1),"x0x1x2x3x4x5x6x7x8x9"))),OR(2&gt;LEN(L394),MID(L394,2,1)=".",ISNUMBER(FIND("x"&amp;MID(L394,2,1),"x0x1x2x3x4x5x6x7x8x9"))),OR(3&gt;LEN(L394),MID(L394,3,1)=".",ISNUMBER(FIND("x"&amp;MID(L394,3,1),"x0x1x2x3x4x5x6x7x8x9"))),OR(4&gt;LEN(L394),MID(L394,4,1)=".",ISNUMBER(FIND("x"&amp;MID(L394,4,1),"x0x1x2x3x4x5x6x7x8x9"))),OR(5&gt;LEN(L394),MID(L394,5,1)=".",ISNUMBER(FIND("x"&amp;MID(L394,5,1),"x0x1x2x3x4x5x6x7x8x9"))),OR(6&gt;LEN(L394),MID(L394,6,1)=".",ISNUMBER(FIND("x"&amp;MID(L394,6,1),"x0x1x2x3x4x5x6x7x8x9"))),OR(7&gt;LEN(L394),MID(L394,7,1)=".",ISNUMBER(FIND("x"&amp;MID(L394,7,1),"x0x1x2x3x4x5x6x7x8x9"))),OR(8&gt;LEN(L394),MID(L394,8,1)=".",ISNUMBER(FIND("x"&amp;MID(L394,8,1),"x0x1x2x3x4x5x6x7x8x9"))),OR(9&gt;LEN(L394),MID(L394,9,1)=".",ISNUMBER(FIND("x"&amp;MID(L394,9,1),"x0x1x2x3x4x5x6x7x8x9"))),OR(10&gt;LEN(L394),MID(L394,10,1)=".",ISNUMBER(FIND("x"&amp;MID(L394,10,1),"x0x1x2x3x4x5x6x7x8x9"))),OR(AND(FIND(".",L394)=5,LEN(L394)-FIND(".",L394,FIND(".",L394)+1)&gt;=1,LEN(L394)-FIND(".",L394,FIND(".",L394)+1)&lt;=2),AND(LEN(L394)-FIND(".",L394,FIND(".",L394)+1)=4,FIND(".",L394)&gt;=2,FIND(".",L394)&lt;=3)),FIND(".",L394,FIND(".",L394)+1)-FIND(".",L394)&gt;=2,FIND(".",L394,FIND(".",L394)+1)-FIND(".",L394)&lt;=3,P394&gt;=2000,P394&lt;=2100,YEAR(S394)=P394,MONTH(S394)=Q394,DAY(S394)=R394),S394,0)),0)</ns0:f>
        <ns0:v>0</ns0:v>
      </ns0:c>
      <ns0:c r="U394" s="0" t="str">
        <ns0:f>IF(Bookings!C394="","Full day",Bookings!C394)</ns0:f>
        <ns0:v>Full day</ns0:v>
      </ns0:c>
      <ns0:c r="V394" s="0" t="str">
        <ns0:f>IF(Bookings!E394="","Full day",Bookings!E394)</ns0:f>
        <ns0:v>Full day</ns0:v>
      </ns0:c>
      <ns0:c r="W394" s="0">
        <ns0:f>IF(J394=0,0,J394+IF(U394="PM",1,0))</ns0:f>
        <ns0:v>0</ns0:v>
      </ns0:c>
      <ns0:c r="X394" s="0">
        <ns0:f>IF(T394=0,0,T394-IF(V394="PM",1,0))</ns0:f>
        <ns0:v>0</ns0:v>
      </ns0:c>
      <ns0:c r="Y394" s="0">
        <ns0:f>IF(J394=0,0,J394+IF(U394="AM",1,0))</ns0:f>
        <ns0:v>0</ns0:v>
      </ns0:c>
      <ns0:c r="Z394" s="0">
        <ns0:f>IF(T394=0,0,T394-IF(V394="AM",1,0))</ns0:f>
        <ns0:v>0</ns0:v>
      </ns0:c>
      <ns0:c r="AA394" s="0">
        <ns0:f>IFERROR(IF(AND(J394&gt;0,'_Engine'!C394&gt;0,MID('_Engine'!W394,WEEKDAY(J394,2),1)="W",COUNTIF(Settings!$F$18:$F$67,J394)=0),1,0),0)</ns0:f>
        <ns0:v>0</ns0:v>
      </ns0:c>
      <ns0:c r="AB394" s="0">
        <ns0:f>IFERROR(IF(AND(T394&gt;0,'_Engine'!C394&gt;0,MID('_Engine'!W394,WEEKDAY(T394,2),1)="W",COUNTIF(Settings!$F$18:$F$67,T394)=0),1,0),0)</ns0:f>
        <ns0:v>0</ns0:v>
      </ns0:c>
      <ns0:c r="AC394" s="0">
        <ns0:f>IF(AND(J394&gt;0,T394&gt;0,W394&lt;=X394),1,0)</ns0:f>
        <ns0:v>0</ns0:v>
      </ns0:c>
      <ns0:c r="AD394" s="0">
        <ns0:f>IF(AND(J394&gt;0,T394&gt;0,Y394&lt;=Z394),1,0)</ns0:f>
        <ns0:v>0</ns0:v>
      </ns0:c>
    </ns0:row>
    <ns0:row r="395">
      <ns0:c r="A395" s="0">
        <ns0:f>IFERROR(IF(ISNUMBER(Bookings!B395),"",TRIM(Bookings!B395&amp;"")),"")</ns0:f>
      </ns0:c>
      <ns0:c r="B395" s="0">
        <ns0:f>IFERROR(SUBSTITUTE(SUBSTITUTE(A395,"/","."),"-","."),"")</ns0:f>
      </ns0:c>
      <ns0:c r="C395" s="0">
        <ns0:f>IFERROR(LEFT(B395,FIND(".",B395)-1),"")</ns0:f>
      </ns0:c>
      <ns0:c r="D395" s="0">
        <ns0:f>IFERROR(MID(B395,FIND(".",B395)+1,FIND(".",B395,FIND(".",B395)+1)-FIND(".",B395)-1),"")</ns0:f>
      </ns0:c>
      <ns0:c r="E395" s="0">
        <ns0:f>IFERROR(MID(B395,FIND(".",B395,FIND(".",B395)+1)+1,99),"")</ns0:f>
        <ns0:v>99</ns0:v>
      </ns0:c>
      <ns0:c r="F395" s="0">
        <ns0:f>IFERROR(IF(FIND(".",B395)=5,--C395,--E395),0)</ns0:f>
        <ns0:v>0</ns0:v>
      </ns0:c>
      <ns0:c r="G395" s="0">
        <ns0:f>IFERROR(--D395,0)</ns0:f>
        <ns0:v>0</ns0:v>
      </ns0:c>
      <ns0:c r="H395" s="0">
        <ns0:f>IFERROR(IF(FIND(".",B395)=5,--E395,--C395),0)</ns0:f>
        <ns0:v>0</ns0:v>
      </ns0:c>
      <ns0:c r="I395" s="0">
        <ns0:f>IFERROR(IF(AND(F395&gt;=2000,F395&lt;=2100,G395&gt;=1,G395&lt;=12,H395&gt;=1,H395&lt;=31),DATE(F395,G395,H395),0),0)</ns0:f>
        <ns0:v>0</ns0:v>
      </ns0:c>
      <ns0:c r="J395" s="0">
        <ns0:f>IFERROR(IF(ISNUMBER(Bookings!B395),IF(AND(Bookings!B395=INT(Bookings!B395),Bookings!B395&gt;=DATE(2000,1,1),Bookings!B395&lt;=DATE(2100,12,31)),Bookings!B395,0),IF(AND(A395&lt;&gt;"",LEN("x"&amp;B395)-LEN(SUBSTITUTE("x"&amp;B395,".",""))=2,OR(1&gt;LEN(B395),MID(B395,1,1)=".",ISNUMBER(FIND("x"&amp;MID(B395,1,1),"x0x1x2x3x4x5x6x7x8x9"))),OR(2&gt;LEN(B395),MID(B395,2,1)=".",ISNUMBER(FIND("x"&amp;MID(B395,2,1),"x0x1x2x3x4x5x6x7x8x9"))),OR(3&gt;LEN(B395),MID(B395,3,1)=".",ISNUMBER(FIND("x"&amp;MID(B395,3,1),"x0x1x2x3x4x5x6x7x8x9"))),OR(4&gt;LEN(B395),MID(B395,4,1)=".",ISNUMBER(FIND("x"&amp;MID(B395,4,1),"x0x1x2x3x4x5x6x7x8x9"))),OR(5&gt;LEN(B395),MID(B395,5,1)=".",ISNUMBER(FIND("x"&amp;MID(B395,5,1),"x0x1x2x3x4x5x6x7x8x9"))),OR(6&gt;LEN(B395),MID(B395,6,1)=".",ISNUMBER(FIND("x"&amp;MID(B395,6,1),"x0x1x2x3x4x5x6x7x8x9"))),OR(7&gt;LEN(B395),MID(B395,7,1)=".",ISNUMBER(FIND("x"&amp;MID(B395,7,1),"x0x1x2x3x4x5x6x7x8x9"))),OR(8&gt;LEN(B395),MID(B395,8,1)=".",ISNUMBER(FIND("x"&amp;MID(B395,8,1),"x0x1x2x3x4x5x6x7x8x9"))),OR(9&gt;LEN(B395),MID(B395,9,1)=".",ISNUMBER(FIND("x"&amp;MID(B395,9,1),"x0x1x2x3x4x5x6x7x8x9"))),OR(10&gt;LEN(B395),MID(B395,10,1)=".",ISNUMBER(FIND("x"&amp;MID(B395,10,1),"x0x1x2x3x4x5x6x7x8x9"))),OR(AND(FIND(".",B395)=5,LEN(B395)-FIND(".",B395,FIND(".",B395)+1)&gt;=1,LEN(B395)-FIND(".",B395,FIND(".",B395)+1)&lt;=2),AND(LEN(B395)-FIND(".",B395,FIND(".",B395)+1)=4,FIND(".",B395)&gt;=2,FIND(".",B395)&lt;=3)),FIND(".",B395,FIND(".",B395)+1)-FIND(".",B395)&gt;=2,FIND(".",B395,FIND(".",B395)+1)-FIND(".",B395)&lt;=3,F395&gt;=2000,F395&lt;=2100,YEAR(I395)=F395,MONTH(I395)=G395,DAY(I395)=H395),I395,0)),0)</ns0:f>
        <ns0:v>0</ns0:v>
      </ns0:c>
      <ns0:c r="K395" s="0">
        <ns0:f>IFERROR(IF(ISNUMBER(Bookings!D395),"",TRIM(Bookings!D395&amp;"")),"")</ns0:f>
      </ns0:c>
      <ns0:c r="L395" s="0">
        <ns0:f>IFERROR(SUBSTITUTE(SUBSTITUTE(K395,"/","."),"-","."),"")</ns0:f>
      </ns0:c>
      <ns0:c r="M395" s="0">
        <ns0:f>IFERROR(LEFT(L395,FIND(".",L395)-1),"")</ns0:f>
      </ns0:c>
      <ns0:c r="N395" s="0">
        <ns0:f>IFERROR(MID(L395,FIND(".",L395)+1,FIND(".",L395,FIND(".",L395)+1)-FIND(".",L395)-1),"")</ns0:f>
      </ns0:c>
      <ns0:c r="O395" s="0">
        <ns0:f>IFERROR(MID(L395,FIND(".",L395,FIND(".",L395)+1)+1,99),"")</ns0:f>
        <ns0:v>99</ns0:v>
      </ns0:c>
      <ns0:c r="P395" s="0">
        <ns0:f>IFERROR(IF(FIND(".",L395)=5,--M395,--O395),0)</ns0:f>
        <ns0:v>0</ns0:v>
      </ns0:c>
      <ns0:c r="Q395" s="0">
        <ns0:f>IFERROR(--N395,0)</ns0:f>
        <ns0:v>0</ns0:v>
      </ns0:c>
      <ns0:c r="R395" s="0">
        <ns0:f>IFERROR(IF(FIND(".",L395)=5,--O395,--M395),0)</ns0:f>
        <ns0:v>0</ns0:v>
      </ns0:c>
      <ns0:c r="S395" s="0">
        <ns0:f>IFERROR(IF(AND(P395&gt;=2000,P395&lt;=2100,Q395&gt;=1,Q395&lt;=12,R395&gt;=1,R395&lt;=31),DATE(P395,Q395,R395),0),0)</ns0:f>
        <ns0:v>0</ns0:v>
      </ns0:c>
      <ns0:c r="T395" s="0">
        <ns0:f>IFERROR(IF(ISNUMBER(Bookings!D395),IF(AND(Bookings!D395=INT(Bookings!D395),Bookings!D395&gt;=DATE(2000,1,1),Bookings!D395&lt;=DATE(2100,12,31)),Bookings!D395,0),IF(AND(K395&lt;&gt;"",LEN("x"&amp;L395)-LEN(SUBSTITUTE("x"&amp;L395,".",""))=2,OR(1&gt;LEN(L395),MID(L395,1,1)=".",ISNUMBER(FIND("x"&amp;MID(L395,1,1),"x0x1x2x3x4x5x6x7x8x9"))),OR(2&gt;LEN(L395),MID(L395,2,1)=".",ISNUMBER(FIND("x"&amp;MID(L395,2,1),"x0x1x2x3x4x5x6x7x8x9"))),OR(3&gt;LEN(L395),MID(L395,3,1)=".",ISNUMBER(FIND("x"&amp;MID(L395,3,1),"x0x1x2x3x4x5x6x7x8x9"))),OR(4&gt;LEN(L395),MID(L395,4,1)=".",ISNUMBER(FIND("x"&amp;MID(L395,4,1),"x0x1x2x3x4x5x6x7x8x9"))),OR(5&gt;LEN(L395),MID(L395,5,1)=".",ISNUMBER(FIND("x"&amp;MID(L395,5,1),"x0x1x2x3x4x5x6x7x8x9"))),OR(6&gt;LEN(L395),MID(L395,6,1)=".",ISNUMBER(FIND("x"&amp;MID(L395,6,1),"x0x1x2x3x4x5x6x7x8x9"))),OR(7&gt;LEN(L395),MID(L395,7,1)=".",ISNUMBER(FIND("x"&amp;MID(L395,7,1),"x0x1x2x3x4x5x6x7x8x9"))),OR(8&gt;LEN(L395),MID(L395,8,1)=".",ISNUMBER(FIND("x"&amp;MID(L395,8,1),"x0x1x2x3x4x5x6x7x8x9"))),OR(9&gt;LEN(L395),MID(L395,9,1)=".",ISNUMBER(FIND("x"&amp;MID(L395,9,1),"x0x1x2x3x4x5x6x7x8x9"))),OR(10&gt;LEN(L395),MID(L395,10,1)=".",ISNUMBER(FIND("x"&amp;MID(L395,10,1),"x0x1x2x3x4x5x6x7x8x9"))),OR(AND(FIND(".",L395)=5,LEN(L395)-FIND(".",L395,FIND(".",L395)+1)&gt;=1,LEN(L395)-FIND(".",L395,FIND(".",L395)+1)&lt;=2),AND(LEN(L395)-FIND(".",L395,FIND(".",L395)+1)=4,FIND(".",L395)&gt;=2,FIND(".",L395)&lt;=3)),FIND(".",L395,FIND(".",L395)+1)-FIND(".",L395)&gt;=2,FIND(".",L395,FIND(".",L395)+1)-FIND(".",L395)&lt;=3,P395&gt;=2000,P395&lt;=2100,YEAR(S395)=P395,MONTH(S395)=Q395,DAY(S395)=R395),S395,0)),0)</ns0:f>
        <ns0:v>0</ns0:v>
      </ns0:c>
      <ns0:c r="U395" s="0" t="str">
        <ns0:f>IF(Bookings!C395="","Full day",Bookings!C395)</ns0:f>
        <ns0:v>Full day</ns0:v>
      </ns0:c>
      <ns0:c r="V395" s="0" t="str">
        <ns0:f>IF(Bookings!E395="","Full day",Bookings!E395)</ns0:f>
        <ns0:v>Full day</ns0:v>
      </ns0:c>
      <ns0:c r="W395" s="0">
        <ns0:f>IF(J395=0,0,J395+IF(U395="PM",1,0))</ns0:f>
        <ns0:v>0</ns0:v>
      </ns0:c>
      <ns0:c r="X395" s="0">
        <ns0:f>IF(T395=0,0,T395-IF(V395="PM",1,0))</ns0:f>
        <ns0:v>0</ns0:v>
      </ns0:c>
      <ns0:c r="Y395" s="0">
        <ns0:f>IF(J395=0,0,J395+IF(U395="AM",1,0))</ns0:f>
        <ns0:v>0</ns0:v>
      </ns0:c>
      <ns0:c r="Z395" s="0">
        <ns0:f>IF(T395=0,0,T395-IF(V395="AM",1,0))</ns0:f>
        <ns0:v>0</ns0:v>
      </ns0:c>
      <ns0:c r="AA395" s="0">
        <ns0:f>IFERROR(IF(AND(J395&gt;0,'_Engine'!C395&gt;0,MID('_Engine'!W395,WEEKDAY(J395,2),1)="W",COUNTIF(Settings!$F$18:$F$67,J395)=0),1,0),0)</ns0:f>
        <ns0:v>0</ns0:v>
      </ns0:c>
      <ns0:c r="AB395" s="0">
        <ns0:f>IFERROR(IF(AND(T395&gt;0,'_Engine'!C395&gt;0,MID('_Engine'!W395,WEEKDAY(T395,2),1)="W",COUNTIF(Settings!$F$18:$F$67,T395)=0),1,0),0)</ns0:f>
        <ns0:v>0</ns0:v>
      </ns0:c>
      <ns0:c r="AC395" s="0">
        <ns0:f>IF(AND(J395&gt;0,T395&gt;0,W395&lt;=X395),1,0)</ns0:f>
        <ns0:v>0</ns0:v>
      </ns0:c>
      <ns0:c r="AD395" s="0">
        <ns0:f>IF(AND(J395&gt;0,T395&gt;0,Y395&lt;=Z395),1,0)</ns0:f>
        <ns0:v>0</ns0:v>
      </ns0:c>
    </ns0:row>
    <ns0:row r="396">
      <ns0:c r="A396" s="0">
        <ns0:f>IFERROR(IF(ISNUMBER(Bookings!B396),"",TRIM(Bookings!B396&amp;"")),"")</ns0:f>
      </ns0:c>
      <ns0:c r="B396" s="0">
        <ns0:f>IFERROR(SUBSTITUTE(SUBSTITUTE(A396,"/","."),"-","."),"")</ns0:f>
      </ns0:c>
      <ns0:c r="C396" s="0">
        <ns0:f>IFERROR(LEFT(B396,FIND(".",B396)-1),"")</ns0:f>
      </ns0:c>
      <ns0:c r="D396" s="0">
        <ns0:f>IFERROR(MID(B396,FIND(".",B396)+1,FIND(".",B396,FIND(".",B396)+1)-FIND(".",B396)-1),"")</ns0:f>
      </ns0:c>
      <ns0:c r="E396" s="0">
        <ns0:f>IFERROR(MID(B396,FIND(".",B396,FIND(".",B396)+1)+1,99),"")</ns0:f>
        <ns0:v>99</ns0:v>
      </ns0:c>
      <ns0:c r="F396" s="0">
        <ns0:f>IFERROR(IF(FIND(".",B396)=5,--C396,--E396),0)</ns0:f>
        <ns0:v>0</ns0:v>
      </ns0:c>
      <ns0:c r="G396" s="0">
        <ns0:f>IFERROR(--D396,0)</ns0:f>
        <ns0:v>0</ns0:v>
      </ns0:c>
      <ns0:c r="H396" s="0">
        <ns0:f>IFERROR(IF(FIND(".",B396)=5,--E396,--C396),0)</ns0:f>
        <ns0:v>0</ns0:v>
      </ns0:c>
      <ns0:c r="I396" s="0">
        <ns0:f>IFERROR(IF(AND(F396&gt;=2000,F396&lt;=2100,G396&gt;=1,G396&lt;=12,H396&gt;=1,H396&lt;=31),DATE(F396,G396,H396),0),0)</ns0:f>
        <ns0:v>0</ns0:v>
      </ns0:c>
      <ns0:c r="J396" s="0">
        <ns0:f>IFERROR(IF(ISNUMBER(Bookings!B396),IF(AND(Bookings!B396=INT(Bookings!B396),Bookings!B396&gt;=DATE(2000,1,1),Bookings!B396&lt;=DATE(2100,12,31)),Bookings!B396,0),IF(AND(A396&lt;&gt;"",LEN("x"&amp;B396)-LEN(SUBSTITUTE("x"&amp;B396,".",""))=2,OR(1&gt;LEN(B396),MID(B396,1,1)=".",ISNUMBER(FIND("x"&amp;MID(B396,1,1),"x0x1x2x3x4x5x6x7x8x9"))),OR(2&gt;LEN(B396),MID(B396,2,1)=".",ISNUMBER(FIND("x"&amp;MID(B396,2,1),"x0x1x2x3x4x5x6x7x8x9"))),OR(3&gt;LEN(B396),MID(B396,3,1)=".",ISNUMBER(FIND("x"&amp;MID(B396,3,1),"x0x1x2x3x4x5x6x7x8x9"))),OR(4&gt;LEN(B396),MID(B396,4,1)=".",ISNUMBER(FIND("x"&amp;MID(B396,4,1),"x0x1x2x3x4x5x6x7x8x9"))),OR(5&gt;LEN(B396),MID(B396,5,1)=".",ISNUMBER(FIND("x"&amp;MID(B396,5,1),"x0x1x2x3x4x5x6x7x8x9"))),OR(6&gt;LEN(B396),MID(B396,6,1)=".",ISNUMBER(FIND("x"&amp;MID(B396,6,1),"x0x1x2x3x4x5x6x7x8x9"))),OR(7&gt;LEN(B396),MID(B396,7,1)=".",ISNUMBER(FIND("x"&amp;MID(B396,7,1),"x0x1x2x3x4x5x6x7x8x9"))),OR(8&gt;LEN(B396),MID(B396,8,1)=".",ISNUMBER(FIND("x"&amp;MID(B396,8,1),"x0x1x2x3x4x5x6x7x8x9"))),OR(9&gt;LEN(B396),MID(B396,9,1)=".",ISNUMBER(FIND("x"&amp;MID(B396,9,1),"x0x1x2x3x4x5x6x7x8x9"))),OR(10&gt;LEN(B396),MID(B396,10,1)=".",ISNUMBER(FIND("x"&amp;MID(B396,10,1),"x0x1x2x3x4x5x6x7x8x9"))),OR(AND(FIND(".",B396)=5,LEN(B396)-FIND(".",B396,FIND(".",B396)+1)&gt;=1,LEN(B396)-FIND(".",B396,FIND(".",B396)+1)&lt;=2),AND(LEN(B396)-FIND(".",B396,FIND(".",B396)+1)=4,FIND(".",B396)&gt;=2,FIND(".",B396)&lt;=3)),FIND(".",B396,FIND(".",B396)+1)-FIND(".",B396)&gt;=2,FIND(".",B396,FIND(".",B396)+1)-FIND(".",B396)&lt;=3,F396&gt;=2000,F396&lt;=2100,YEAR(I396)=F396,MONTH(I396)=G396,DAY(I396)=H396),I396,0)),0)</ns0:f>
        <ns0:v>0</ns0:v>
      </ns0:c>
      <ns0:c r="K396" s="0">
        <ns0:f>IFERROR(IF(ISNUMBER(Bookings!D396),"",TRIM(Bookings!D396&amp;"")),"")</ns0:f>
      </ns0:c>
      <ns0:c r="L396" s="0">
        <ns0:f>IFERROR(SUBSTITUTE(SUBSTITUTE(K396,"/","."),"-","."),"")</ns0:f>
      </ns0:c>
      <ns0:c r="M396" s="0">
        <ns0:f>IFERROR(LEFT(L396,FIND(".",L396)-1),"")</ns0:f>
      </ns0:c>
      <ns0:c r="N396" s="0">
        <ns0:f>IFERROR(MID(L396,FIND(".",L396)+1,FIND(".",L396,FIND(".",L396)+1)-FIND(".",L396)-1),"")</ns0:f>
      </ns0:c>
      <ns0:c r="O396" s="0">
        <ns0:f>IFERROR(MID(L396,FIND(".",L396,FIND(".",L396)+1)+1,99),"")</ns0:f>
        <ns0:v>99</ns0:v>
      </ns0:c>
      <ns0:c r="P396" s="0">
        <ns0:f>IFERROR(IF(FIND(".",L396)=5,--M396,--O396),0)</ns0:f>
        <ns0:v>0</ns0:v>
      </ns0:c>
      <ns0:c r="Q396" s="0">
        <ns0:f>IFERROR(--N396,0)</ns0:f>
        <ns0:v>0</ns0:v>
      </ns0:c>
      <ns0:c r="R396" s="0">
        <ns0:f>IFERROR(IF(FIND(".",L396)=5,--O396,--M396),0)</ns0:f>
        <ns0:v>0</ns0:v>
      </ns0:c>
      <ns0:c r="S396" s="0">
        <ns0:f>IFERROR(IF(AND(P396&gt;=2000,P396&lt;=2100,Q396&gt;=1,Q396&lt;=12,R396&gt;=1,R396&lt;=31),DATE(P396,Q396,R396),0),0)</ns0:f>
        <ns0:v>0</ns0:v>
      </ns0:c>
      <ns0:c r="T396" s="0">
        <ns0:f>IFERROR(IF(ISNUMBER(Bookings!D396),IF(AND(Bookings!D396=INT(Bookings!D396),Bookings!D396&gt;=DATE(2000,1,1),Bookings!D396&lt;=DATE(2100,12,31)),Bookings!D396,0),IF(AND(K396&lt;&gt;"",LEN("x"&amp;L396)-LEN(SUBSTITUTE("x"&amp;L396,".",""))=2,OR(1&gt;LEN(L396),MID(L396,1,1)=".",ISNUMBER(FIND("x"&amp;MID(L396,1,1),"x0x1x2x3x4x5x6x7x8x9"))),OR(2&gt;LEN(L396),MID(L396,2,1)=".",ISNUMBER(FIND("x"&amp;MID(L396,2,1),"x0x1x2x3x4x5x6x7x8x9"))),OR(3&gt;LEN(L396),MID(L396,3,1)=".",ISNUMBER(FIND("x"&amp;MID(L396,3,1),"x0x1x2x3x4x5x6x7x8x9"))),OR(4&gt;LEN(L396),MID(L396,4,1)=".",ISNUMBER(FIND("x"&amp;MID(L396,4,1),"x0x1x2x3x4x5x6x7x8x9"))),OR(5&gt;LEN(L396),MID(L396,5,1)=".",ISNUMBER(FIND("x"&amp;MID(L396,5,1),"x0x1x2x3x4x5x6x7x8x9"))),OR(6&gt;LEN(L396),MID(L396,6,1)=".",ISNUMBER(FIND("x"&amp;MID(L396,6,1),"x0x1x2x3x4x5x6x7x8x9"))),OR(7&gt;LEN(L396),MID(L396,7,1)=".",ISNUMBER(FIND("x"&amp;MID(L396,7,1),"x0x1x2x3x4x5x6x7x8x9"))),OR(8&gt;LEN(L396),MID(L396,8,1)=".",ISNUMBER(FIND("x"&amp;MID(L396,8,1),"x0x1x2x3x4x5x6x7x8x9"))),OR(9&gt;LEN(L396),MID(L396,9,1)=".",ISNUMBER(FIND("x"&amp;MID(L396,9,1),"x0x1x2x3x4x5x6x7x8x9"))),OR(10&gt;LEN(L396),MID(L396,10,1)=".",ISNUMBER(FIND("x"&amp;MID(L396,10,1),"x0x1x2x3x4x5x6x7x8x9"))),OR(AND(FIND(".",L396)=5,LEN(L396)-FIND(".",L396,FIND(".",L396)+1)&gt;=1,LEN(L396)-FIND(".",L396,FIND(".",L396)+1)&lt;=2),AND(LEN(L396)-FIND(".",L396,FIND(".",L396)+1)=4,FIND(".",L396)&gt;=2,FIND(".",L396)&lt;=3)),FIND(".",L396,FIND(".",L396)+1)-FIND(".",L396)&gt;=2,FIND(".",L396,FIND(".",L396)+1)-FIND(".",L396)&lt;=3,P396&gt;=2000,P396&lt;=2100,YEAR(S396)=P396,MONTH(S396)=Q396,DAY(S396)=R396),S396,0)),0)</ns0:f>
        <ns0:v>0</ns0:v>
      </ns0:c>
      <ns0:c r="U396" s="0" t="str">
        <ns0:f>IF(Bookings!C396="","Full day",Bookings!C396)</ns0:f>
        <ns0:v>Full day</ns0:v>
      </ns0:c>
      <ns0:c r="V396" s="0" t="str">
        <ns0:f>IF(Bookings!E396="","Full day",Bookings!E396)</ns0:f>
        <ns0:v>Full day</ns0:v>
      </ns0:c>
      <ns0:c r="W396" s="0">
        <ns0:f>IF(J396=0,0,J396+IF(U396="PM",1,0))</ns0:f>
        <ns0:v>0</ns0:v>
      </ns0:c>
      <ns0:c r="X396" s="0">
        <ns0:f>IF(T396=0,0,T396-IF(V396="PM",1,0))</ns0:f>
        <ns0:v>0</ns0:v>
      </ns0:c>
      <ns0:c r="Y396" s="0">
        <ns0:f>IF(J396=0,0,J396+IF(U396="AM",1,0))</ns0:f>
        <ns0:v>0</ns0:v>
      </ns0:c>
      <ns0:c r="Z396" s="0">
        <ns0:f>IF(T396=0,0,T396-IF(V396="AM",1,0))</ns0:f>
        <ns0:v>0</ns0:v>
      </ns0:c>
      <ns0:c r="AA396" s="0">
        <ns0:f>IFERROR(IF(AND(J396&gt;0,'_Engine'!C396&gt;0,MID('_Engine'!W396,WEEKDAY(J396,2),1)="W",COUNTIF(Settings!$F$18:$F$67,J396)=0),1,0),0)</ns0:f>
        <ns0:v>0</ns0:v>
      </ns0:c>
      <ns0:c r="AB396" s="0">
        <ns0:f>IFERROR(IF(AND(T396&gt;0,'_Engine'!C396&gt;0,MID('_Engine'!W396,WEEKDAY(T396,2),1)="W",COUNTIF(Settings!$F$18:$F$67,T396)=0),1,0),0)</ns0:f>
        <ns0:v>0</ns0:v>
      </ns0:c>
      <ns0:c r="AC396" s="0">
        <ns0:f>IF(AND(J396&gt;0,T396&gt;0,W396&lt;=X396),1,0)</ns0:f>
        <ns0:v>0</ns0:v>
      </ns0:c>
      <ns0:c r="AD396" s="0">
        <ns0:f>IF(AND(J396&gt;0,T396&gt;0,Y396&lt;=Z396),1,0)</ns0:f>
        <ns0:v>0</ns0:v>
      </ns0:c>
    </ns0:row>
    <ns0:row r="397">
      <ns0:c r="A397" s="0">
        <ns0:f>IFERROR(IF(ISNUMBER(Bookings!B397),"",TRIM(Bookings!B397&amp;"")),"")</ns0:f>
      </ns0:c>
      <ns0:c r="B397" s="0">
        <ns0:f>IFERROR(SUBSTITUTE(SUBSTITUTE(A397,"/","."),"-","."),"")</ns0:f>
      </ns0:c>
      <ns0:c r="C397" s="0">
        <ns0:f>IFERROR(LEFT(B397,FIND(".",B397)-1),"")</ns0:f>
      </ns0:c>
      <ns0:c r="D397" s="0">
        <ns0:f>IFERROR(MID(B397,FIND(".",B397)+1,FIND(".",B397,FIND(".",B397)+1)-FIND(".",B397)-1),"")</ns0:f>
      </ns0:c>
      <ns0:c r="E397" s="0">
        <ns0:f>IFERROR(MID(B397,FIND(".",B397,FIND(".",B397)+1)+1,99),"")</ns0:f>
        <ns0:v>99</ns0:v>
      </ns0:c>
      <ns0:c r="F397" s="0">
        <ns0:f>IFERROR(IF(FIND(".",B397)=5,--C397,--E397),0)</ns0:f>
        <ns0:v>0</ns0:v>
      </ns0:c>
      <ns0:c r="G397" s="0">
        <ns0:f>IFERROR(--D397,0)</ns0:f>
        <ns0:v>0</ns0:v>
      </ns0:c>
      <ns0:c r="H397" s="0">
        <ns0:f>IFERROR(IF(FIND(".",B397)=5,--E397,--C397),0)</ns0:f>
        <ns0:v>0</ns0:v>
      </ns0:c>
      <ns0:c r="I397" s="0">
        <ns0:f>IFERROR(IF(AND(F397&gt;=2000,F397&lt;=2100,G397&gt;=1,G397&lt;=12,H397&gt;=1,H397&lt;=31),DATE(F397,G397,H397),0),0)</ns0:f>
        <ns0:v>0</ns0:v>
      </ns0:c>
      <ns0:c r="J397" s="0">
        <ns0:f>IFERROR(IF(ISNUMBER(Bookings!B397),IF(AND(Bookings!B397=INT(Bookings!B397),Bookings!B397&gt;=DATE(2000,1,1),Bookings!B397&lt;=DATE(2100,12,31)),Bookings!B397,0),IF(AND(A397&lt;&gt;"",LEN("x"&amp;B397)-LEN(SUBSTITUTE("x"&amp;B397,".",""))=2,OR(1&gt;LEN(B397),MID(B397,1,1)=".",ISNUMBER(FIND("x"&amp;MID(B397,1,1),"x0x1x2x3x4x5x6x7x8x9"))),OR(2&gt;LEN(B397),MID(B397,2,1)=".",ISNUMBER(FIND("x"&amp;MID(B397,2,1),"x0x1x2x3x4x5x6x7x8x9"))),OR(3&gt;LEN(B397),MID(B397,3,1)=".",ISNUMBER(FIND("x"&amp;MID(B397,3,1),"x0x1x2x3x4x5x6x7x8x9"))),OR(4&gt;LEN(B397),MID(B397,4,1)=".",ISNUMBER(FIND("x"&amp;MID(B397,4,1),"x0x1x2x3x4x5x6x7x8x9"))),OR(5&gt;LEN(B397),MID(B397,5,1)=".",ISNUMBER(FIND("x"&amp;MID(B397,5,1),"x0x1x2x3x4x5x6x7x8x9"))),OR(6&gt;LEN(B397),MID(B397,6,1)=".",ISNUMBER(FIND("x"&amp;MID(B397,6,1),"x0x1x2x3x4x5x6x7x8x9"))),OR(7&gt;LEN(B397),MID(B397,7,1)=".",ISNUMBER(FIND("x"&amp;MID(B397,7,1),"x0x1x2x3x4x5x6x7x8x9"))),OR(8&gt;LEN(B397),MID(B397,8,1)=".",ISNUMBER(FIND("x"&amp;MID(B397,8,1),"x0x1x2x3x4x5x6x7x8x9"))),OR(9&gt;LEN(B397),MID(B397,9,1)=".",ISNUMBER(FIND("x"&amp;MID(B397,9,1),"x0x1x2x3x4x5x6x7x8x9"))),OR(10&gt;LEN(B397),MID(B397,10,1)=".",ISNUMBER(FIND("x"&amp;MID(B397,10,1),"x0x1x2x3x4x5x6x7x8x9"))),OR(AND(FIND(".",B397)=5,LEN(B397)-FIND(".",B397,FIND(".",B397)+1)&gt;=1,LEN(B397)-FIND(".",B397,FIND(".",B397)+1)&lt;=2),AND(LEN(B397)-FIND(".",B397,FIND(".",B397)+1)=4,FIND(".",B397)&gt;=2,FIND(".",B397)&lt;=3)),FIND(".",B397,FIND(".",B397)+1)-FIND(".",B397)&gt;=2,FIND(".",B397,FIND(".",B397)+1)-FIND(".",B397)&lt;=3,F397&gt;=2000,F397&lt;=2100,YEAR(I397)=F397,MONTH(I397)=G397,DAY(I397)=H397),I397,0)),0)</ns0:f>
        <ns0:v>0</ns0:v>
      </ns0:c>
      <ns0:c r="K397" s="0">
        <ns0:f>IFERROR(IF(ISNUMBER(Bookings!D397),"",TRIM(Bookings!D397&amp;"")),"")</ns0:f>
      </ns0:c>
      <ns0:c r="L397" s="0">
        <ns0:f>IFERROR(SUBSTITUTE(SUBSTITUTE(K397,"/","."),"-","."),"")</ns0:f>
      </ns0:c>
      <ns0:c r="M397" s="0">
        <ns0:f>IFERROR(LEFT(L397,FIND(".",L397)-1),"")</ns0:f>
      </ns0:c>
      <ns0:c r="N397" s="0">
        <ns0:f>IFERROR(MID(L397,FIND(".",L397)+1,FIND(".",L397,FIND(".",L397)+1)-FIND(".",L397)-1),"")</ns0:f>
      </ns0:c>
      <ns0:c r="O397" s="0">
        <ns0:f>IFERROR(MID(L397,FIND(".",L397,FIND(".",L397)+1)+1,99),"")</ns0:f>
        <ns0:v>99</ns0:v>
      </ns0:c>
      <ns0:c r="P397" s="0">
        <ns0:f>IFERROR(IF(FIND(".",L397)=5,--M397,--O397),0)</ns0:f>
        <ns0:v>0</ns0:v>
      </ns0:c>
      <ns0:c r="Q397" s="0">
        <ns0:f>IFERROR(--N397,0)</ns0:f>
        <ns0:v>0</ns0:v>
      </ns0:c>
      <ns0:c r="R397" s="0">
        <ns0:f>IFERROR(IF(FIND(".",L397)=5,--O397,--M397),0)</ns0:f>
        <ns0:v>0</ns0:v>
      </ns0:c>
      <ns0:c r="S397" s="0">
        <ns0:f>IFERROR(IF(AND(P397&gt;=2000,P397&lt;=2100,Q397&gt;=1,Q397&lt;=12,R397&gt;=1,R397&lt;=31),DATE(P397,Q397,R397),0),0)</ns0:f>
        <ns0:v>0</ns0:v>
      </ns0:c>
      <ns0:c r="T397" s="0">
        <ns0:f>IFERROR(IF(ISNUMBER(Bookings!D397),IF(AND(Bookings!D397=INT(Bookings!D397),Bookings!D397&gt;=DATE(2000,1,1),Bookings!D397&lt;=DATE(2100,12,31)),Bookings!D397,0),IF(AND(K397&lt;&gt;"",LEN("x"&amp;L397)-LEN(SUBSTITUTE("x"&amp;L397,".",""))=2,OR(1&gt;LEN(L397),MID(L397,1,1)=".",ISNUMBER(FIND("x"&amp;MID(L397,1,1),"x0x1x2x3x4x5x6x7x8x9"))),OR(2&gt;LEN(L397),MID(L397,2,1)=".",ISNUMBER(FIND("x"&amp;MID(L397,2,1),"x0x1x2x3x4x5x6x7x8x9"))),OR(3&gt;LEN(L397),MID(L397,3,1)=".",ISNUMBER(FIND("x"&amp;MID(L397,3,1),"x0x1x2x3x4x5x6x7x8x9"))),OR(4&gt;LEN(L397),MID(L397,4,1)=".",ISNUMBER(FIND("x"&amp;MID(L397,4,1),"x0x1x2x3x4x5x6x7x8x9"))),OR(5&gt;LEN(L397),MID(L397,5,1)=".",ISNUMBER(FIND("x"&amp;MID(L397,5,1),"x0x1x2x3x4x5x6x7x8x9"))),OR(6&gt;LEN(L397),MID(L397,6,1)=".",ISNUMBER(FIND("x"&amp;MID(L397,6,1),"x0x1x2x3x4x5x6x7x8x9"))),OR(7&gt;LEN(L397),MID(L397,7,1)=".",ISNUMBER(FIND("x"&amp;MID(L397,7,1),"x0x1x2x3x4x5x6x7x8x9"))),OR(8&gt;LEN(L397),MID(L397,8,1)=".",ISNUMBER(FIND("x"&amp;MID(L397,8,1),"x0x1x2x3x4x5x6x7x8x9"))),OR(9&gt;LEN(L397),MID(L397,9,1)=".",ISNUMBER(FIND("x"&amp;MID(L397,9,1),"x0x1x2x3x4x5x6x7x8x9"))),OR(10&gt;LEN(L397),MID(L397,10,1)=".",ISNUMBER(FIND("x"&amp;MID(L397,10,1),"x0x1x2x3x4x5x6x7x8x9"))),OR(AND(FIND(".",L397)=5,LEN(L397)-FIND(".",L397,FIND(".",L397)+1)&gt;=1,LEN(L397)-FIND(".",L397,FIND(".",L397)+1)&lt;=2),AND(LEN(L397)-FIND(".",L397,FIND(".",L397)+1)=4,FIND(".",L397)&gt;=2,FIND(".",L397)&lt;=3)),FIND(".",L397,FIND(".",L397)+1)-FIND(".",L397)&gt;=2,FIND(".",L397,FIND(".",L397)+1)-FIND(".",L397)&lt;=3,P397&gt;=2000,P397&lt;=2100,YEAR(S397)=P397,MONTH(S397)=Q397,DAY(S397)=R397),S397,0)),0)</ns0:f>
        <ns0:v>0</ns0:v>
      </ns0:c>
      <ns0:c r="U397" s="0" t="str">
        <ns0:f>IF(Bookings!C397="","Full day",Bookings!C397)</ns0:f>
        <ns0:v>Full day</ns0:v>
      </ns0:c>
      <ns0:c r="V397" s="0" t="str">
        <ns0:f>IF(Bookings!E397="","Full day",Bookings!E397)</ns0:f>
        <ns0:v>Full day</ns0:v>
      </ns0:c>
      <ns0:c r="W397" s="0">
        <ns0:f>IF(J397=0,0,J397+IF(U397="PM",1,0))</ns0:f>
        <ns0:v>0</ns0:v>
      </ns0:c>
      <ns0:c r="X397" s="0">
        <ns0:f>IF(T397=0,0,T397-IF(V397="PM",1,0))</ns0:f>
        <ns0:v>0</ns0:v>
      </ns0:c>
      <ns0:c r="Y397" s="0">
        <ns0:f>IF(J397=0,0,J397+IF(U397="AM",1,0))</ns0:f>
        <ns0:v>0</ns0:v>
      </ns0:c>
      <ns0:c r="Z397" s="0">
        <ns0:f>IF(T397=0,0,T397-IF(V397="AM",1,0))</ns0:f>
        <ns0:v>0</ns0:v>
      </ns0:c>
      <ns0:c r="AA397" s="0">
        <ns0:f>IFERROR(IF(AND(J397&gt;0,'_Engine'!C397&gt;0,MID('_Engine'!W397,WEEKDAY(J397,2),1)="W",COUNTIF(Settings!$F$18:$F$67,J397)=0),1,0),0)</ns0:f>
        <ns0:v>0</ns0:v>
      </ns0:c>
      <ns0:c r="AB397" s="0">
        <ns0:f>IFERROR(IF(AND(T397&gt;0,'_Engine'!C397&gt;0,MID('_Engine'!W397,WEEKDAY(T397,2),1)="W",COUNTIF(Settings!$F$18:$F$67,T397)=0),1,0),0)</ns0:f>
        <ns0:v>0</ns0:v>
      </ns0:c>
      <ns0:c r="AC397" s="0">
        <ns0:f>IF(AND(J397&gt;0,T397&gt;0,W397&lt;=X397),1,0)</ns0:f>
        <ns0:v>0</ns0:v>
      </ns0:c>
      <ns0:c r="AD397" s="0">
        <ns0:f>IF(AND(J397&gt;0,T397&gt;0,Y397&lt;=Z397),1,0)</ns0:f>
        <ns0:v>0</ns0:v>
      </ns0:c>
    </ns0:row>
    <ns0:row r="398">
      <ns0:c r="A398" s="0">
        <ns0:f>IFERROR(IF(ISNUMBER(Bookings!B398),"",TRIM(Bookings!B398&amp;"")),"")</ns0:f>
      </ns0:c>
      <ns0:c r="B398" s="0">
        <ns0:f>IFERROR(SUBSTITUTE(SUBSTITUTE(A398,"/","."),"-","."),"")</ns0:f>
      </ns0:c>
      <ns0:c r="C398" s="0">
        <ns0:f>IFERROR(LEFT(B398,FIND(".",B398)-1),"")</ns0:f>
      </ns0:c>
      <ns0:c r="D398" s="0">
        <ns0:f>IFERROR(MID(B398,FIND(".",B398)+1,FIND(".",B398,FIND(".",B398)+1)-FIND(".",B398)-1),"")</ns0:f>
      </ns0:c>
      <ns0:c r="E398" s="0">
        <ns0:f>IFERROR(MID(B398,FIND(".",B398,FIND(".",B398)+1)+1,99),"")</ns0:f>
        <ns0:v>99</ns0:v>
      </ns0:c>
      <ns0:c r="F398" s="0">
        <ns0:f>IFERROR(IF(FIND(".",B398)=5,--C398,--E398),0)</ns0:f>
        <ns0:v>0</ns0:v>
      </ns0:c>
      <ns0:c r="G398" s="0">
        <ns0:f>IFERROR(--D398,0)</ns0:f>
        <ns0:v>0</ns0:v>
      </ns0:c>
      <ns0:c r="H398" s="0">
        <ns0:f>IFERROR(IF(FIND(".",B398)=5,--E398,--C398),0)</ns0:f>
        <ns0:v>0</ns0:v>
      </ns0:c>
      <ns0:c r="I398" s="0">
        <ns0:f>IFERROR(IF(AND(F398&gt;=2000,F398&lt;=2100,G398&gt;=1,G398&lt;=12,H398&gt;=1,H398&lt;=31),DATE(F398,G398,H398),0),0)</ns0:f>
        <ns0:v>0</ns0:v>
      </ns0:c>
      <ns0:c r="J398" s="0">
        <ns0:f>IFERROR(IF(ISNUMBER(Bookings!B398),IF(AND(Bookings!B398=INT(Bookings!B398),Bookings!B398&gt;=DATE(2000,1,1),Bookings!B398&lt;=DATE(2100,12,31)),Bookings!B398,0),IF(AND(A398&lt;&gt;"",LEN("x"&amp;B398)-LEN(SUBSTITUTE("x"&amp;B398,".",""))=2,OR(1&gt;LEN(B398),MID(B398,1,1)=".",ISNUMBER(FIND("x"&amp;MID(B398,1,1),"x0x1x2x3x4x5x6x7x8x9"))),OR(2&gt;LEN(B398),MID(B398,2,1)=".",ISNUMBER(FIND("x"&amp;MID(B398,2,1),"x0x1x2x3x4x5x6x7x8x9"))),OR(3&gt;LEN(B398),MID(B398,3,1)=".",ISNUMBER(FIND("x"&amp;MID(B398,3,1),"x0x1x2x3x4x5x6x7x8x9"))),OR(4&gt;LEN(B398),MID(B398,4,1)=".",ISNUMBER(FIND("x"&amp;MID(B398,4,1),"x0x1x2x3x4x5x6x7x8x9"))),OR(5&gt;LEN(B398),MID(B398,5,1)=".",ISNUMBER(FIND("x"&amp;MID(B398,5,1),"x0x1x2x3x4x5x6x7x8x9"))),OR(6&gt;LEN(B398),MID(B398,6,1)=".",ISNUMBER(FIND("x"&amp;MID(B398,6,1),"x0x1x2x3x4x5x6x7x8x9"))),OR(7&gt;LEN(B398),MID(B398,7,1)=".",ISNUMBER(FIND("x"&amp;MID(B398,7,1),"x0x1x2x3x4x5x6x7x8x9"))),OR(8&gt;LEN(B398),MID(B398,8,1)=".",ISNUMBER(FIND("x"&amp;MID(B398,8,1),"x0x1x2x3x4x5x6x7x8x9"))),OR(9&gt;LEN(B398),MID(B398,9,1)=".",ISNUMBER(FIND("x"&amp;MID(B398,9,1),"x0x1x2x3x4x5x6x7x8x9"))),OR(10&gt;LEN(B398),MID(B398,10,1)=".",ISNUMBER(FIND("x"&amp;MID(B398,10,1),"x0x1x2x3x4x5x6x7x8x9"))),OR(AND(FIND(".",B398)=5,LEN(B398)-FIND(".",B398,FIND(".",B398)+1)&gt;=1,LEN(B398)-FIND(".",B398,FIND(".",B398)+1)&lt;=2),AND(LEN(B398)-FIND(".",B398,FIND(".",B398)+1)=4,FIND(".",B398)&gt;=2,FIND(".",B398)&lt;=3)),FIND(".",B398,FIND(".",B398)+1)-FIND(".",B398)&gt;=2,FIND(".",B398,FIND(".",B398)+1)-FIND(".",B398)&lt;=3,F398&gt;=2000,F398&lt;=2100,YEAR(I398)=F398,MONTH(I398)=G398,DAY(I398)=H398),I398,0)),0)</ns0:f>
        <ns0:v>0</ns0:v>
      </ns0:c>
      <ns0:c r="K398" s="0">
        <ns0:f>IFERROR(IF(ISNUMBER(Bookings!D398),"",TRIM(Bookings!D398&amp;"")),"")</ns0:f>
      </ns0:c>
      <ns0:c r="L398" s="0">
        <ns0:f>IFERROR(SUBSTITUTE(SUBSTITUTE(K398,"/","."),"-","."),"")</ns0:f>
      </ns0:c>
      <ns0:c r="M398" s="0">
        <ns0:f>IFERROR(LEFT(L398,FIND(".",L398)-1),"")</ns0:f>
      </ns0:c>
      <ns0:c r="N398" s="0">
        <ns0:f>IFERROR(MID(L398,FIND(".",L398)+1,FIND(".",L398,FIND(".",L398)+1)-FIND(".",L398)-1),"")</ns0:f>
      </ns0:c>
      <ns0:c r="O398" s="0">
        <ns0:f>IFERROR(MID(L398,FIND(".",L398,FIND(".",L398)+1)+1,99),"")</ns0:f>
        <ns0:v>99</ns0:v>
      </ns0:c>
      <ns0:c r="P398" s="0">
        <ns0:f>IFERROR(IF(FIND(".",L398)=5,--M398,--O398),0)</ns0:f>
        <ns0:v>0</ns0:v>
      </ns0:c>
      <ns0:c r="Q398" s="0">
        <ns0:f>IFERROR(--N398,0)</ns0:f>
        <ns0:v>0</ns0:v>
      </ns0:c>
      <ns0:c r="R398" s="0">
        <ns0:f>IFERROR(IF(FIND(".",L398)=5,--O398,--M398),0)</ns0:f>
        <ns0:v>0</ns0:v>
      </ns0:c>
      <ns0:c r="S398" s="0">
        <ns0:f>IFERROR(IF(AND(P398&gt;=2000,P398&lt;=2100,Q398&gt;=1,Q398&lt;=12,R398&gt;=1,R398&lt;=31),DATE(P398,Q398,R398),0),0)</ns0:f>
        <ns0:v>0</ns0:v>
      </ns0:c>
      <ns0:c r="T398" s="0">
        <ns0:f>IFERROR(IF(ISNUMBER(Bookings!D398),IF(AND(Bookings!D398=INT(Bookings!D398),Bookings!D398&gt;=DATE(2000,1,1),Bookings!D398&lt;=DATE(2100,12,31)),Bookings!D398,0),IF(AND(K398&lt;&gt;"",LEN("x"&amp;L398)-LEN(SUBSTITUTE("x"&amp;L398,".",""))=2,OR(1&gt;LEN(L398),MID(L398,1,1)=".",ISNUMBER(FIND("x"&amp;MID(L398,1,1),"x0x1x2x3x4x5x6x7x8x9"))),OR(2&gt;LEN(L398),MID(L398,2,1)=".",ISNUMBER(FIND("x"&amp;MID(L398,2,1),"x0x1x2x3x4x5x6x7x8x9"))),OR(3&gt;LEN(L398),MID(L398,3,1)=".",ISNUMBER(FIND("x"&amp;MID(L398,3,1),"x0x1x2x3x4x5x6x7x8x9"))),OR(4&gt;LEN(L398),MID(L398,4,1)=".",ISNUMBER(FIND("x"&amp;MID(L398,4,1),"x0x1x2x3x4x5x6x7x8x9"))),OR(5&gt;LEN(L398),MID(L398,5,1)=".",ISNUMBER(FIND("x"&amp;MID(L398,5,1),"x0x1x2x3x4x5x6x7x8x9"))),OR(6&gt;LEN(L398),MID(L398,6,1)=".",ISNUMBER(FIND("x"&amp;MID(L398,6,1),"x0x1x2x3x4x5x6x7x8x9"))),OR(7&gt;LEN(L398),MID(L398,7,1)=".",ISNUMBER(FIND("x"&amp;MID(L398,7,1),"x0x1x2x3x4x5x6x7x8x9"))),OR(8&gt;LEN(L398),MID(L398,8,1)=".",ISNUMBER(FIND("x"&amp;MID(L398,8,1),"x0x1x2x3x4x5x6x7x8x9"))),OR(9&gt;LEN(L398),MID(L398,9,1)=".",ISNUMBER(FIND("x"&amp;MID(L398,9,1),"x0x1x2x3x4x5x6x7x8x9"))),OR(10&gt;LEN(L398),MID(L398,10,1)=".",ISNUMBER(FIND("x"&amp;MID(L398,10,1),"x0x1x2x3x4x5x6x7x8x9"))),OR(AND(FIND(".",L398)=5,LEN(L398)-FIND(".",L398,FIND(".",L398)+1)&gt;=1,LEN(L398)-FIND(".",L398,FIND(".",L398)+1)&lt;=2),AND(LEN(L398)-FIND(".",L398,FIND(".",L398)+1)=4,FIND(".",L398)&gt;=2,FIND(".",L398)&lt;=3)),FIND(".",L398,FIND(".",L398)+1)-FIND(".",L398)&gt;=2,FIND(".",L398,FIND(".",L398)+1)-FIND(".",L398)&lt;=3,P398&gt;=2000,P398&lt;=2100,YEAR(S398)=P398,MONTH(S398)=Q398,DAY(S398)=R398),S398,0)),0)</ns0:f>
        <ns0:v>0</ns0:v>
      </ns0:c>
      <ns0:c r="U398" s="0" t="str">
        <ns0:f>IF(Bookings!C398="","Full day",Bookings!C398)</ns0:f>
        <ns0:v>Full day</ns0:v>
      </ns0:c>
      <ns0:c r="V398" s="0" t="str">
        <ns0:f>IF(Bookings!E398="","Full day",Bookings!E398)</ns0:f>
        <ns0:v>Full day</ns0:v>
      </ns0:c>
      <ns0:c r="W398" s="0">
        <ns0:f>IF(J398=0,0,J398+IF(U398="PM",1,0))</ns0:f>
        <ns0:v>0</ns0:v>
      </ns0:c>
      <ns0:c r="X398" s="0">
        <ns0:f>IF(T398=0,0,T398-IF(V398="PM",1,0))</ns0:f>
        <ns0:v>0</ns0:v>
      </ns0:c>
      <ns0:c r="Y398" s="0">
        <ns0:f>IF(J398=0,0,J398+IF(U398="AM",1,0))</ns0:f>
        <ns0:v>0</ns0:v>
      </ns0:c>
      <ns0:c r="Z398" s="0">
        <ns0:f>IF(T398=0,0,T398-IF(V398="AM",1,0))</ns0:f>
        <ns0:v>0</ns0:v>
      </ns0:c>
      <ns0:c r="AA398" s="0">
        <ns0:f>IFERROR(IF(AND(J398&gt;0,'_Engine'!C398&gt;0,MID('_Engine'!W398,WEEKDAY(J398,2),1)="W",COUNTIF(Settings!$F$18:$F$67,J398)=0),1,0),0)</ns0:f>
        <ns0:v>0</ns0:v>
      </ns0:c>
      <ns0:c r="AB398" s="0">
        <ns0:f>IFERROR(IF(AND(T398&gt;0,'_Engine'!C398&gt;0,MID('_Engine'!W398,WEEKDAY(T398,2),1)="W",COUNTIF(Settings!$F$18:$F$67,T398)=0),1,0),0)</ns0:f>
        <ns0:v>0</ns0:v>
      </ns0:c>
      <ns0:c r="AC398" s="0">
        <ns0:f>IF(AND(J398&gt;0,T398&gt;0,W398&lt;=X398),1,0)</ns0:f>
        <ns0:v>0</ns0:v>
      </ns0:c>
      <ns0:c r="AD398" s="0">
        <ns0:f>IF(AND(J398&gt;0,T398&gt;0,Y398&lt;=Z398),1,0)</ns0:f>
        <ns0:v>0</ns0:v>
      </ns0:c>
    </ns0:row>
    <ns0:row r="399">
      <ns0:c r="A399" s="0">
        <ns0:f>IFERROR(IF(ISNUMBER(Bookings!B399),"",TRIM(Bookings!B399&amp;"")),"")</ns0:f>
      </ns0:c>
      <ns0:c r="B399" s="0">
        <ns0:f>IFERROR(SUBSTITUTE(SUBSTITUTE(A399,"/","."),"-","."),"")</ns0:f>
      </ns0:c>
      <ns0:c r="C399" s="0">
        <ns0:f>IFERROR(LEFT(B399,FIND(".",B399)-1),"")</ns0:f>
      </ns0:c>
      <ns0:c r="D399" s="0">
        <ns0:f>IFERROR(MID(B399,FIND(".",B399)+1,FIND(".",B399,FIND(".",B399)+1)-FIND(".",B399)-1),"")</ns0:f>
      </ns0:c>
      <ns0:c r="E399" s="0">
        <ns0:f>IFERROR(MID(B399,FIND(".",B399,FIND(".",B399)+1)+1,99),"")</ns0:f>
        <ns0:v>99</ns0:v>
      </ns0:c>
      <ns0:c r="F399" s="0">
        <ns0:f>IFERROR(IF(FIND(".",B399)=5,--C399,--E399),0)</ns0:f>
        <ns0:v>0</ns0:v>
      </ns0:c>
      <ns0:c r="G399" s="0">
        <ns0:f>IFERROR(--D399,0)</ns0:f>
        <ns0:v>0</ns0:v>
      </ns0:c>
      <ns0:c r="H399" s="0">
        <ns0:f>IFERROR(IF(FIND(".",B399)=5,--E399,--C399),0)</ns0:f>
        <ns0:v>0</ns0:v>
      </ns0:c>
      <ns0:c r="I399" s="0">
        <ns0:f>IFERROR(IF(AND(F399&gt;=2000,F399&lt;=2100,G399&gt;=1,G399&lt;=12,H399&gt;=1,H399&lt;=31),DATE(F399,G399,H399),0),0)</ns0:f>
        <ns0:v>0</ns0:v>
      </ns0:c>
      <ns0:c r="J399" s="0">
        <ns0:f>IFERROR(IF(ISNUMBER(Bookings!B399),IF(AND(Bookings!B399=INT(Bookings!B399),Bookings!B399&gt;=DATE(2000,1,1),Bookings!B399&lt;=DATE(2100,12,31)),Bookings!B399,0),IF(AND(A399&lt;&gt;"",LEN("x"&amp;B399)-LEN(SUBSTITUTE("x"&amp;B399,".",""))=2,OR(1&gt;LEN(B399),MID(B399,1,1)=".",ISNUMBER(FIND("x"&amp;MID(B399,1,1),"x0x1x2x3x4x5x6x7x8x9"))),OR(2&gt;LEN(B399),MID(B399,2,1)=".",ISNUMBER(FIND("x"&amp;MID(B399,2,1),"x0x1x2x3x4x5x6x7x8x9"))),OR(3&gt;LEN(B399),MID(B399,3,1)=".",ISNUMBER(FIND("x"&amp;MID(B399,3,1),"x0x1x2x3x4x5x6x7x8x9"))),OR(4&gt;LEN(B399),MID(B399,4,1)=".",ISNUMBER(FIND("x"&amp;MID(B399,4,1),"x0x1x2x3x4x5x6x7x8x9"))),OR(5&gt;LEN(B399),MID(B399,5,1)=".",ISNUMBER(FIND("x"&amp;MID(B399,5,1),"x0x1x2x3x4x5x6x7x8x9"))),OR(6&gt;LEN(B399),MID(B399,6,1)=".",ISNUMBER(FIND("x"&amp;MID(B399,6,1),"x0x1x2x3x4x5x6x7x8x9"))),OR(7&gt;LEN(B399),MID(B399,7,1)=".",ISNUMBER(FIND("x"&amp;MID(B399,7,1),"x0x1x2x3x4x5x6x7x8x9"))),OR(8&gt;LEN(B399),MID(B399,8,1)=".",ISNUMBER(FIND("x"&amp;MID(B399,8,1),"x0x1x2x3x4x5x6x7x8x9"))),OR(9&gt;LEN(B399),MID(B399,9,1)=".",ISNUMBER(FIND("x"&amp;MID(B399,9,1),"x0x1x2x3x4x5x6x7x8x9"))),OR(10&gt;LEN(B399),MID(B399,10,1)=".",ISNUMBER(FIND("x"&amp;MID(B399,10,1),"x0x1x2x3x4x5x6x7x8x9"))),OR(AND(FIND(".",B399)=5,LEN(B399)-FIND(".",B399,FIND(".",B399)+1)&gt;=1,LEN(B399)-FIND(".",B399,FIND(".",B399)+1)&lt;=2),AND(LEN(B399)-FIND(".",B399,FIND(".",B399)+1)=4,FIND(".",B399)&gt;=2,FIND(".",B399)&lt;=3)),FIND(".",B399,FIND(".",B399)+1)-FIND(".",B399)&gt;=2,FIND(".",B399,FIND(".",B399)+1)-FIND(".",B399)&lt;=3,F399&gt;=2000,F399&lt;=2100,YEAR(I399)=F399,MONTH(I399)=G399,DAY(I399)=H399),I399,0)),0)</ns0:f>
        <ns0:v>0</ns0:v>
      </ns0:c>
      <ns0:c r="K399" s="0">
        <ns0:f>IFERROR(IF(ISNUMBER(Bookings!D399),"",TRIM(Bookings!D399&amp;"")),"")</ns0:f>
      </ns0:c>
      <ns0:c r="L399" s="0">
        <ns0:f>IFERROR(SUBSTITUTE(SUBSTITUTE(K399,"/","."),"-","."),"")</ns0:f>
      </ns0:c>
      <ns0:c r="M399" s="0">
        <ns0:f>IFERROR(LEFT(L399,FIND(".",L399)-1),"")</ns0:f>
      </ns0:c>
      <ns0:c r="N399" s="0">
        <ns0:f>IFERROR(MID(L399,FIND(".",L399)+1,FIND(".",L399,FIND(".",L399)+1)-FIND(".",L399)-1),"")</ns0:f>
      </ns0:c>
      <ns0:c r="O399" s="0">
        <ns0:f>IFERROR(MID(L399,FIND(".",L399,FIND(".",L399)+1)+1,99),"")</ns0:f>
        <ns0:v>99</ns0:v>
      </ns0:c>
      <ns0:c r="P399" s="0">
        <ns0:f>IFERROR(IF(FIND(".",L399)=5,--M399,--O399),0)</ns0:f>
        <ns0:v>0</ns0:v>
      </ns0:c>
      <ns0:c r="Q399" s="0">
        <ns0:f>IFERROR(--N399,0)</ns0:f>
        <ns0:v>0</ns0:v>
      </ns0:c>
      <ns0:c r="R399" s="0">
        <ns0:f>IFERROR(IF(FIND(".",L399)=5,--O399,--M399),0)</ns0:f>
        <ns0:v>0</ns0:v>
      </ns0:c>
      <ns0:c r="S399" s="0">
        <ns0:f>IFERROR(IF(AND(P399&gt;=2000,P399&lt;=2100,Q399&gt;=1,Q399&lt;=12,R399&gt;=1,R399&lt;=31),DATE(P399,Q399,R399),0),0)</ns0:f>
        <ns0:v>0</ns0:v>
      </ns0:c>
      <ns0:c r="T399" s="0">
        <ns0:f>IFERROR(IF(ISNUMBER(Bookings!D399),IF(AND(Bookings!D399=INT(Bookings!D399),Bookings!D399&gt;=DATE(2000,1,1),Bookings!D399&lt;=DATE(2100,12,31)),Bookings!D399,0),IF(AND(K399&lt;&gt;"",LEN("x"&amp;L399)-LEN(SUBSTITUTE("x"&amp;L399,".",""))=2,OR(1&gt;LEN(L399),MID(L399,1,1)=".",ISNUMBER(FIND("x"&amp;MID(L399,1,1),"x0x1x2x3x4x5x6x7x8x9"))),OR(2&gt;LEN(L399),MID(L399,2,1)=".",ISNUMBER(FIND("x"&amp;MID(L399,2,1),"x0x1x2x3x4x5x6x7x8x9"))),OR(3&gt;LEN(L399),MID(L399,3,1)=".",ISNUMBER(FIND("x"&amp;MID(L399,3,1),"x0x1x2x3x4x5x6x7x8x9"))),OR(4&gt;LEN(L399),MID(L399,4,1)=".",ISNUMBER(FIND("x"&amp;MID(L399,4,1),"x0x1x2x3x4x5x6x7x8x9"))),OR(5&gt;LEN(L399),MID(L399,5,1)=".",ISNUMBER(FIND("x"&amp;MID(L399,5,1),"x0x1x2x3x4x5x6x7x8x9"))),OR(6&gt;LEN(L399),MID(L399,6,1)=".",ISNUMBER(FIND("x"&amp;MID(L399,6,1),"x0x1x2x3x4x5x6x7x8x9"))),OR(7&gt;LEN(L399),MID(L399,7,1)=".",ISNUMBER(FIND("x"&amp;MID(L399,7,1),"x0x1x2x3x4x5x6x7x8x9"))),OR(8&gt;LEN(L399),MID(L399,8,1)=".",ISNUMBER(FIND("x"&amp;MID(L399,8,1),"x0x1x2x3x4x5x6x7x8x9"))),OR(9&gt;LEN(L399),MID(L399,9,1)=".",ISNUMBER(FIND("x"&amp;MID(L399,9,1),"x0x1x2x3x4x5x6x7x8x9"))),OR(10&gt;LEN(L399),MID(L399,10,1)=".",ISNUMBER(FIND("x"&amp;MID(L399,10,1),"x0x1x2x3x4x5x6x7x8x9"))),OR(AND(FIND(".",L399)=5,LEN(L399)-FIND(".",L399,FIND(".",L399)+1)&gt;=1,LEN(L399)-FIND(".",L399,FIND(".",L399)+1)&lt;=2),AND(LEN(L399)-FIND(".",L399,FIND(".",L399)+1)=4,FIND(".",L399)&gt;=2,FIND(".",L399)&lt;=3)),FIND(".",L399,FIND(".",L399)+1)-FIND(".",L399)&gt;=2,FIND(".",L399,FIND(".",L399)+1)-FIND(".",L399)&lt;=3,P399&gt;=2000,P399&lt;=2100,YEAR(S399)=P399,MONTH(S399)=Q399,DAY(S399)=R399),S399,0)),0)</ns0:f>
        <ns0:v>0</ns0:v>
      </ns0:c>
      <ns0:c r="U399" s="0" t="str">
        <ns0:f>IF(Bookings!C399="","Full day",Bookings!C399)</ns0:f>
        <ns0:v>Full day</ns0:v>
      </ns0:c>
      <ns0:c r="V399" s="0" t="str">
        <ns0:f>IF(Bookings!E399="","Full day",Bookings!E399)</ns0:f>
        <ns0:v>Full day</ns0:v>
      </ns0:c>
      <ns0:c r="W399" s="0">
        <ns0:f>IF(J399=0,0,J399+IF(U399="PM",1,0))</ns0:f>
        <ns0:v>0</ns0:v>
      </ns0:c>
      <ns0:c r="X399" s="0">
        <ns0:f>IF(T399=0,0,T399-IF(V399="PM",1,0))</ns0:f>
        <ns0:v>0</ns0:v>
      </ns0:c>
      <ns0:c r="Y399" s="0">
        <ns0:f>IF(J399=0,0,J399+IF(U399="AM",1,0))</ns0:f>
        <ns0:v>0</ns0:v>
      </ns0:c>
      <ns0:c r="Z399" s="0">
        <ns0:f>IF(T399=0,0,T399-IF(V399="AM",1,0))</ns0:f>
        <ns0:v>0</ns0:v>
      </ns0:c>
      <ns0:c r="AA399" s="0">
        <ns0:f>IFERROR(IF(AND(J399&gt;0,'_Engine'!C399&gt;0,MID('_Engine'!W399,WEEKDAY(J399,2),1)="W",COUNTIF(Settings!$F$18:$F$67,J399)=0),1,0),0)</ns0:f>
        <ns0:v>0</ns0:v>
      </ns0:c>
      <ns0:c r="AB399" s="0">
        <ns0:f>IFERROR(IF(AND(T399&gt;0,'_Engine'!C399&gt;0,MID('_Engine'!W399,WEEKDAY(T399,2),1)="W",COUNTIF(Settings!$F$18:$F$67,T399)=0),1,0),0)</ns0:f>
        <ns0:v>0</ns0:v>
      </ns0:c>
      <ns0:c r="AC399" s="0">
        <ns0:f>IF(AND(J399&gt;0,T399&gt;0,W399&lt;=X399),1,0)</ns0:f>
        <ns0:v>0</ns0:v>
      </ns0:c>
      <ns0:c r="AD399" s="0">
        <ns0:f>IF(AND(J399&gt;0,T399&gt;0,Y399&lt;=Z399),1,0)</ns0:f>
        <ns0:v>0</ns0:v>
      </ns0:c>
    </ns0:row>
    <ns0:row r="400">
      <ns0:c r="A400" s="0">
        <ns0:f>IFERROR(IF(ISNUMBER(Bookings!B400),"",TRIM(Bookings!B400&amp;"")),"")</ns0:f>
      </ns0:c>
      <ns0:c r="B400" s="0">
        <ns0:f>IFERROR(SUBSTITUTE(SUBSTITUTE(A400,"/","."),"-","."),"")</ns0:f>
      </ns0:c>
      <ns0:c r="C400" s="0">
        <ns0:f>IFERROR(LEFT(B400,FIND(".",B400)-1),"")</ns0:f>
      </ns0:c>
      <ns0:c r="D400" s="0">
        <ns0:f>IFERROR(MID(B400,FIND(".",B400)+1,FIND(".",B400,FIND(".",B400)+1)-FIND(".",B400)-1),"")</ns0:f>
      </ns0:c>
      <ns0:c r="E400" s="0">
        <ns0:f>IFERROR(MID(B400,FIND(".",B400,FIND(".",B400)+1)+1,99),"")</ns0:f>
        <ns0:v>99</ns0:v>
      </ns0:c>
      <ns0:c r="F400" s="0">
        <ns0:f>IFERROR(IF(FIND(".",B400)=5,--C400,--E400),0)</ns0:f>
        <ns0:v>0</ns0:v>
      </ns0:c>
      <ns0:c r="G400" s="0">
        <ns0:f>IFERROR(--D400,0)</ns0:f>
        <ns0:v>0</ns0:v>
      </ns0:c>
      <ns0:c r="H400" s="0">
        <ns0:f>IFERROR(IF(FIND(".",B400)=5,--E400,--C400),0)</ns0:f>
        <ns0:v>0</ns0:v>
      </ns0:c>
      <ns0:c r="I400" s="0">
        <ns0:f>IFERROR(IF(AND(F400&gt;=2000,F400&lt;=2100,G400&gt;=1,G400&lt;=12,H400&gt;=1,H400&lt;=31),DATE(F400,G400,H400),0),0)</ns0:f>
        <ns0:v>0</ns0:v>
      </ns0:c>
      <ns0:c r="J400" s="0">
        <ns0:f>IFERROR(IF(ISNUMBER(Bookings!B400),IF(AND(Bookings!B400=INT(Bookings!B400),Bookings!B400&gt;=DATE(2000,1,1),Bookings!B400&lt;=DATE(2100,12,31)),Bookings!B400,0),IF(AND(A400&lt;&gt;"",LEN("x"&amp;B400)-LEN(SUBSTITUTE("x"&amp;B400,".",""))=2,OR(1&gt;LEN(B400),MID(B400,1,1)=".",ISNUMBER(FIND("x"&amp;MID(B400,1,1),"x0x1x2x3x4x5x6x7x8x9"))),OR(2&gt;LEN(B400),MID(B400,2,1)=".",ISNUMBER(FIND("x"&amp;MID(B400,2,1),"x0x1x2x3x4x5x6x7x8x9"))),OR(3&gt;LEN(B400),MID(B400,3,1)=".",ISNUMBER(FIND("x"&amp;MID(B400,3,1),"x0x1x2x3x4x5x6x7x8x9"))),OR(4&gt;LEN(B400),MID(B400,4,1)=".",ISNUMBER(FIND("x"&amp;MID(B400,4,1),"x0x1x2x3x4x5x6x7x8x9"))),OR(5&gt;LEN(B400),MID(B400,5,1)=".",ISNUMBER(FIND("x"&amp;MID(B400,5,1),"x0x1x2x3x4x5x6x7x8x9"))),OR(6&gt;LEN(B400),MID(B400,6,1)=".",ISNUMBER(FIND("x"&amp;MID(B400,6,1),"x0x1x2x3x4x5x6x7x8x9"))),OR(7&gt;LEN(B400),MID(B400,7,1)=".",ISNUMBER(FIND("x"&amp;MID(B400,7,1),"x0x1x2x3x4x5x6x7x8x9"))),OR(8&gt;LEN(B400),MID(B400,8,1)=".",ISNUMBER(FIND("x"&amp;MID(B400,8,1),"x0x1x2x3x4x5x6x7x8x9"))),OR(9&gt;LEN(B400),MID(B400,9,1)=".",ISNUMBER(FIND("x"&amp;MID(B400,9,1),"x0x1x2x3x4x5x6x7x8x9"))),OR(10&gt;LEN(B400),MID(B400,10,1)=".",ISNUMBER(FIND("x"&amp;MID(B400,10,1),"x0x1x2x3x4x5x6x7x8x9"))),OR(AND(FIND(".",B400)=5,LEN(B400)-FIND(".",B400,FIND(".",B400)+1)&gt;=1,LEN(B400)-FIND(".",B400,FIND(".",B400)+1)&lt;=2),AND(LEN(B400)-FIND(".",B400,FIND(".",B400)+1)=4,FIND(".",B400)&gt;=2,FIND(".",B400)&lt;=3)),FIND(".",B400,FIND(".",B400)+1)-FIND(".",B400)&gt;=2,FIND(".",B400,FIND(".",B400)+1)-FIND(".",B400)&lt;=3,F400&gt;=2000,F400&lt;=2100,YEAR(I400)=F400,MONTH(I400)=G400,DAY(I400)=H400),I400,0)),0)</ns0:f>
        <ns0:v>0</ns0:v>
      </ns0:c>
      <ns0:c r="K400" s="0">
        <ns0:f>IFERROR(IF(ISNUMBER(Bookings!D400),"",TRIM(Bookings!D400&amp;"")),"")</ns0:f>
      </ns0:c>
      <ns0:c r="L400" s="0">
        <ns0:f>IFERROR(SUBSTITUTE(SUBSTITUTE(K400,"/","."),"-","."),"")</ns0:f>
      </ns0:c>
      <ns0:c r="M400" s="0">
        <ns0:f>IFERROR(LEFT(L400,FIND(".",L400)-1),"")</ns0:f>
      </ns0:c>
      <ns0:c r="N400" s="0">
        <ns0:f>IFERROR(MID(L400,FIND(".",L400)+1,FIND(".",L400,FIND(".",L400)+1)-FIND(".",L400)-1),"")</ns0:f>
      </ns0:c>
      <ns0:c r="O400" s="0">
        <ns0:f>IFERROR(MID(L400,FIND(".",L400,FIND(".",L400)+1)+1,99),"")</ns0:f>
        <ns0:v>99</ns0:v>
      </ns0:c>
      <ns0:c r="P400" s="0">
        <ns0:f>IFERROR(IF(FIND(".",L400)=5,--M400,--O400),0)</ns0:f>
        <ns0:v>0</ns0:v>
      </ns0:c>
      <ns0:c r="Q400" s="0">
        <ns0:f>IFERROR(--N400,0)</ns0:f>
        <ns0:v>0</ns0:v>
      </ns0:c>
      <ns0:c r="R400" s="0">
        <ns0:f>IFERROR(IF(FIND(".",L400)=5,--O400,--M400),0)</ns0:f>
        <ns0:v>0</ns0:v>
      </ns0:c>
      <ns0:c r="S400" s="0">
        <ns0:f>IFERROR(IF(AND(P400&gt;=2000,P400&lt;=2100,Q400&gt;=1,Q400&lt;=12,R400&gt;=1,R400&lt;=31),DATE(P400,Q400,R400),0),0)</ns0:f>
        <ns0:v>0</ns0:v>
      </ns0:c>
      <ns0:c r="T400" s="0">
        <ns0:f>IFERROR(IF(ISNUMBER(Bookings!D400),IF(AND(Bookings!D400=INT(Bookings!D400),Bookings!D400&gt;=DATE(2000,1,1),Bookings!D400&lt;=DATE(2100,12,31)),Bookings!D400,0),IF(AND(K400&lt;&gt;"",LEN("x"&amp;L400)-LEN(SUBSTITUTE("x"&amp;L400,".",""))=2,OR(1&gt;LEN(L400),MID(L400,1,1)=".",ISNUMBER(FIND("x"&amp;MID(L400,1,1),"x0x1x2x3x4x5x6x7x8x9"))),OR(2&gt;LEN(L400),MID(L400,2,1)=".",ISNUMBER(FIND("x"&amp;MID(L400,2,1),"x0x1x2x3x4x5x6x7x8x9"))),OR(3&gt;LEN(L400),MID(L400,3,1)=".",ISNUMBER(FIND("x"&amp;MID(L400,3,1),"x0x1x2x3x4x5x6x7x8x9"))),OR(4&gt;LEN(L400),MID(L400,4,1)=".",ISNUMBER(FIND("x"&amp;MID(L400,4,1),"x0x1x2x3x4x5x6x7x8x9"))),OR(5&gt;LEN(L400),MID(L400,5,1)=".",ISNUMBER(FIND("x"&amp;MID(L400,5,1),"x0x1x2x3x4x5x6x7x8x9"))),OR(6&gt;LEN(L400),MID(L400,6,1)=".",ISNUMBER(FIND("x"&amp;MID(L400,6,1),"x0x1x2x3x4x5x6x7x8x9"))),OR(7&gt;LEN(L400),MID(L400,7,1)=".",ISNUMBER(FIND("x"&amp;MID(L400,7,1),"x0x1x2x3x4x5x6x7x8x9"))),OR(8&gt;LEN(L400),MID(L400,8,1)=".",ISNUMBER(FIND("x"&amp;MID(L400,8,1),"x0x1x2x3x4x5x6x7x8x9"))),OR(9&gt;LEN(L400),MID(L400,9,1)=".",ISNUMBER(FIND("x"&amp;MID(L400,9,1),"x0x1x2x3x4x5x6x7x8x9"))),OR(10&gt;LEN(L400),MID(L400,10,1)=".",ISNUMBER(FIND("x"&amp;MID(L400,10,1),"x0x1x2x3x4x5x6x7x8x9"))),OR(AND(FIND(".",L400)=5,LEN(L400)-FIND(".",L400,FIND(".",L400)+1)&gt;=1,LEN(L400)-FIND(".",L400,FIND(".",L400)+1)&lt;=2),AND(LEN(L400)-FIND(".",L400,FIND(".",L400)+1)=4,FIND(".",L400)&gt;=2,FIND(".",L400)&lt;=3)),FIND(".",L400,FIND(".",L400)+1)-FIND(".",L400)&gt;=2,FIND(".",L400,FIND(".",L400)+1)-FIND(".",L400)&lt;=3,P400&gt;=2000,P400&lt;=2100,YEAR(S400)=P400,MONTH(S400)=Q400,DAY(S400)=R400),S400,0)),0)</ns0:f>
        <ns0:v>0</ns0:v>
      </ns0:c>
      <ns0:c r="U400" s="0" t="str">
        <ns0:f>IF(Bookings!C400="","Full day",Bookings!C400)</ns0:f>
        <ns0:v>Full day</ns0:v>
      </ns0:c>
      <ns0:c r="V400" s="0" t="str">
        <ns0:f>IF(Bookings!E400="","Full day",Bookings!E400)</ns0:f>
        <ns0:v>Full day</ns0:v>
      </ns0:c>
      <ns0:c r="W400" s="0">
        <ns0:f>IF(J400=0,0,J400+IF(U400="PM",1,0))</ns0:f>
        <ns0:v>0</ns0:v>
      </ns0:c>
      <ns0:c r="X400" s="0">
        <ns0:f>IF(T400=0,0,T400-IF(V400="PM",1,0))</ns0:f>
        <ns0:v>0</ns0:v>
      </ns0:c>
      <ns0:c r="Y400" s="0">
        <ns0:f>IF(J400=0,0,J400+IF(U400="AM",1,0))</ns0:f>
        <ns0:v>0</ns0:v>
      </ns0:c>
      <ns0:c r="Z400" s="0">
        <ns0:f>IF(T400=0,0,T400-IF(V400="AM",1,0))</ns0:f>
        <ns0:v>0</ns0:v>
      </ns0:c>
      <ns0:c r="AA400" s="0">
        <ns0:f>IFERROR(IF(AND(J400&gt;0,'_Engine'!C400&gt;0,MID('_Engine'!W400,WEEKDAY(J400,2),1)="W",COUNTIF(Settings!$F$18:$F$67,J400)=0),1,0),0)</ns0:f>
        <ns0:v>0</ns0:v>
      </ns0:c>
      <ns0:c r="AB400" s="0">
        <ns0:f>IFERROR(IF(AND(T400&gt;0,'_Engine'!C400&gt;0,MID('_Engine'!W400,WEEKDAY(T400,2),1)="W",COUNTIF(Settings!$F$18:$F$67,T400)=0),1,0),0)</ns0:f>
        <ns0:v>0</ns0:v>
      </ns0:c>
      <ns0:c r="AC400" s="0">
        <ns0:f>IF(AND(J400&gt;0,T400&gt;0,W400&lt;=X400),1,0)</ns0:f>
        <ns0:v>0</ns0:v>
      </ns0:c>
      <ns0:c r="AD400" s="0">
        <ns0:f>IF(AND(J400&gt;0,T400&gt;0,Y400&lt;=Z400),1,0)</ns0:f>
        <ns0:v>0</ns0:v>
      </ns0:c>
    </ns0:row>
    <ns0:row r="401">
      <ns0:c r="A401" s="0">
        <ns0:f>IFERROR(IF(ISNUMBER(Bookings!B401),"",TRIM(Bookings!B401&amp;"")),"")</ns0:f>
      </ns0:c>
      <ns0:c r="B401" s="0">
        <ns0:f>IFERROR(SUBSTITUTE(SUBSTITUTE(A401,"/","."),"-","."),"")</ns0:f>
      </ns0:c>
      <ns0:c r="C401" s="0">
        <ns0:f>IFERROR(LEFT(B401,FIND(".",B401)-1),"")</ns0:f>
      </ns0:c>
      <ns0:c r="D401" s="0">
        <ns0:f>IFERROR(MID(B401,FIND(".",B401)+1,FIND(".",B401,FIND(".",B401)+1)-FIND(".",B401)-1),"")</ns0:f>
      </ns0:c>
      <ns0:c r="E401" s="0">
        <ns0:f>IFERROR(MID(B401,FIND(".",B401,FIND(".",B401)+1)+1,99),"")</ns0:f>
        <ns0:v>99</ns0:v>
      </ns0:c>
      <ns0:c r="F401" s="0">
        <ns0:f>IFERROR(IF(FIND(".",B401)=5,--C401,--E401),0)</ns0:f>
        <ns0:v>0</ns0:v>
      </ns0:c>
      <ns0:c r="G401" s="0">
        <ns0:f>IFERROR(--D401,0)</ns0:f>
        <ns0:v>0</ns0:v>
      </ns0:c>
      <ns0:c r="H401" s="0">
        <ns0:f>IFERROR(IF(FIND(".",B401)=5,--E401,--C401),0)</ns0:f>
        <ns0:v>0</ns0:v>
      </ns0:c>
      <ns0:c r="I401" s="0">
        <ns0:f>IFERROR(IF(AND(F401&gt;=2000,F401&lt;=2100,G401&gt;=1,G401&lt;=12,H401&gt;=1,H401&lt;=31),DATE(F401,G401,H401),0),0)</ns0:f>
        <ns0:v>0</ns0:v>
      </ns0:c>
      <ns0:c r="J401" s="0">
        <ns0:f>IFERROR(IF(ISNUMBER(Bookings!B401),IF(AND(Bookings!B401=INT(Bookings!B401),Bookings!B401&gt;=DATE(2000,1,1),Bookings!B401&lt;=DATE(2100,12,31)),Bookings!B401,0),IF(AND(A401&lt;&gt;"",LEN("x"&amp;B401)-LEN(SUBSTITUTE("x"&amp;B401,".",""))=2,OR(1&gt;LEN(B401),MID(B401,1,1)=".",ISNUMBER(FIND("x"&amp;MID(B401,1,1),"x0x1x2x3x4x5x6x7x8x9"))),OR(2&gt;LEN(B401),MID(B401,2,1)=".",ISNUMBER(FIND("x"&amp;MID(B401,2,1),"x0x1x2x3x4x5x6x7x8x9"))),OR(3&gt;LEN(B401),MID(B401,3,1)=".",ISNUMBER(FIND("x"&amp;MID(B401,3,1),"x0x1x2x3x4x5x6x7x8x9"))),OR(4&gt;LEN(B401),MID(B401,4,1)=".",ISNUMBER(FIND("x"&amp;MID(B401,4,1),"x0x1x2x3x4x5x6x7x8x9"))),OR(5&gt;LEN(B401),MID(B401,5,1)=".",ISNUMBER(FIND("x"&amp;MID(B401,5,1),"x0x1x2x3x4x5x6x7x8x9"))),OR(6&gt;LEN(B401),MID(B401,6,1)=".",ISNUMBER(FIND("x"&amp;MID(B401,6,1),"x0x1x2x3x4x5x6x7x8x9"))),OR(7&gt;LEN(B401),MID(B401,7,1)=".",ISNUMBER(FIND("x"&amp;MID(B401,7,1),"x0x1x2x3x4x5x6x7x8x9"))),OR(8&gt;LEN(B401),MID(B401,8,1)=".",ISNUMBER(FIND("x"&amp;MID(B401,8,1),"x0x1x2x3x4x5x6x7x8x9"))),OR(9&gt;LEN(B401),MID(B401,9,1)=".",ISNUMBER(FIND("x"&amp;MID(B401,9,1),"x0x1x2x3x4x5x6x7x8x9"))),OR(10&gt;LEN(B401),MID(B401,10,1)=".",ISNUMBER(FIND("x"&amp;MID(B401,10,1),"x0x1x2x3x4x5x6x7x8x9"))),OR(AND(FIND(".",B401)=5,LEN(B401)-FIND(".",B401,FIND(".",B401)+1)&gt;=1,LEN(B401)-FIND(".",B401,FIND(".",B401)+1)&lt;=2),AND(LEN(B401)-FIND(".",B401,FIND(".",B401)+1)=4,FIND(".",B401)&gt;=2,FIND(".",B401)&lt;=3)),FIND(".",B401,FIND(".",B401)+1)-FIND(".",B401)&gt;=2,FIND(".",B401,FIND(".",B401)+1)-FIND(".",B401)&lt;=3,F401&gt;=2000,F401&lt;=2100,YEAR(I401)=F401,MONTH(I401)=G401,DAY(I401)=H401),I401,0)),0)</ns0:f>
        <ns0:v>0</ns0:v>
      </ns0:c>
      <ns0:c r="K401" s="0">
        <ns0:f>IFERROR(IF(ISNUMBER(Bookings!D401),"",TRIM(Bookings!D401&amp;"")),"")</ns0:f>
      </ns0:c>
      <ns0:c r="L401" s="0">
        <ns0:f>IFERROR(SUBSTITUTE(SUBSTITUTE(K401,"/","."),"-","."),"")</ns0:f>
      </ns0:c>
      <ns0:c r="M401" s="0">
        <ns0:f>IFERROR(LEFT(L401,FIND(".",L401)-1),"")</ns0:f>
      </ns0:c>
      <ns0:c r="N401" s="0">
        <ns0:f>IFERROR(MID(L401,FIND(".",L401)+1,FIND(".",L401,FIND(".",L401)+1)-FIND(".",L401)-1),"")</ns0:f>
      </ns0:c>
      <ns0:c r="O401" s="0">
        <ns0:f>IFERROR(MID(L401,FIND(".",L401,FIND(".",L401)+1)+1,99),"")</ns0:f>
        <ns0:v>99</ns0:v>
      </ns0:c>
      <ns0:c r="P401" s="0">
        <ns0:f>IFERROR(IF(FIND(".",L401)=5,--M401,--O401),0)</ns0:f>
        <ns0:v>0</ns0:v>
      </ns0:c>
      <ns0:c r="Q401" s="0">
        <ns0:f>IFERROR(--N401,0)</ns0:f>
        <ns0:v>0</ns0:v>
      </ns0:c>
      <ns0:c r="R401" s="0">
        <ns0:f>IFERROR(IF(FIND(".",L401)=5,--O401,--M401),0)</ns0:f>
        <ns0:v>0</ns0:v>
      </ns0:c>
      <ns0:c r="S401" s="0">
        <ns0:f>IFERROR(IF(AND(P401&gt;=2000,P401&lt;=2100,Q401&gt;=1,Q401&lt;=12,R401&gt;=1,R401&lt;=31),DATE(P401,Q401,R401),0),0)</ns0:f>
        <ns0:v>0</ns0:v>
      </ns0:c>
      <ns0:c r="T401" s="0">
        <ns0:f>IFERROR(IF(ISNUMBER(Bookings!D401),IF(AND(Bookings!D401=INT(Bookings!D401),Bookings!D401&gt;=DATE(2000,1,1),Bookings!D401&lt;=DATE(2100,12,31)),Bookings!D401,0),IF(AND(K401&lt;&gt;"",LEN("x"&amp;L401)-LEN(SUBSTITUTE("x"&amp;L401,".",""))=2,OR(1&gt;LEN(L401),MID(L401,1,1)=".",ISNUMBER(FIND("x"&amp;MID(L401,1,1),"x0x1x2x3x4x5x6x7x8x9"))),OR(2&gt;LEN(L401),MID(L401,2,1)=".",ISNUMBER(FIND("x"&amp;MID(L401,2,1),"x0x1x2x3x4x5x6x7x8x9"))),OR(3&gt;LEN(L401),MID(L401,3,1)=".",ISNUMBER(FIND("x"&amp;MID(L401,3,1),"x0x1x2x3x4x5x6x7x8x9"))),OR(4&gt;LEN(L401),MID(L401,4,1)=".",ISNUMBER(FIND("x"&amp;MID(L401,4,1),"x0x1x2x3x4x5x6x7x8x9"))),OR(5&gt;LEN(L401),MID(L401,5,1)=".",ISNUMBER(FIND("x"&amp;MID(L401,5,1),"x0x1x2x3x4x5x6x7x8x9"))),OR(6&gt;LEN(L401),MID(L401,6,1)=".",ISNUMBER(FIND("x"&amp;MID(L401,6,1),"x0x1x2x3x4x5x6x7x8x9"))),OR(7&gt;LEN(L401),MID(L401,7,1)=".",ISNUMBER(FIND("x"&amp;MID(L401,7,1),"x0x1x2x3x4x5x6x7x8x9"))),OR(8&gt;LEN(L401),MID(L401,8,1)=".",ISNUMBER(FIND("x"&amp;MID(L401,8,1),"x0x1x2x3x4x5x6x7x8x9"))),OR(9&gt;LEN(L401),MID(L401,9,1)=".",ISNUMBER(FIND("x"&amp;MID(L401,9,1),"x0x1x2x3x4x5x6x7x8x9"))),OR(10&gt;LEN(L401),MID(L401,10,1)=".",ISNUMBER(FIND("x"&amp;MID(L401,10,1),"x0x1x2x3x4x5x6x7x8x9"))),OR(AND(FIND(".",L401)=5,LEN(L401)-FIND(".",L401,FIND(".",L401)+1)&gt;=1,LEN(L401)-FIND(".",L401,FIND(".",L401)+1)&lt;=2),AND(LEN(L401)-FIND(".",L401,FIND(".",L401)+1)=4,FIND(".",L401)&gt;=2,FIND(".",L401)&lt;=3)),FIND(".",L401,FIND(".",L401)+1)-FIND(".",L401)&gt;=2,FIND(".",L401,FIND(".",L401)+1)-FIND(".",L401)&lt;=3,P401&gt;=2000,P401&lt;=2100,YEAR(S401)=P401,MONTH(S401)=Q401,DAY(S401)=R401),S401,0)),0)</ns0:f>
        <ns0:v>0</ns0:v>
      </ns0:c>
      <ns0:c r="U401" s="0" t="str">
        <ns0:f>IF(Bookings!C401="","Full day",Bookings!C401)</ns0:f>
        <ns0:v>Full day</ns0:v>
      </ns0:c>
      <ns0:c r="V401" s="0" t="str">
        <ns0:f>IF(Bookings!E401="","Full day",Bookings!E401)</ns0:f>
        <ns0:v>Full day</ns0:v>
      </ns0:c>
      <ns0:c r="W401" s="0">
        <ns0:f>IF(J401=0,0,J401+IF(U401="PM",1,0))</ns0:f>
        <ns0:v>0</ns0:v>
      </ns0:c>
      <ns0:c r="X401" s="0">
        <ns0:f>IF(T401=0,0,T401-IF(V401="PM",1,0))</ns0:f>
        <ns0:v>0</ns0:v>
      </ns0:c>
      <ns0:c r="Y401" s="0">
        <ns0:f>IF(J401=0,0,J401+IF(U401="AM",1,0))</ns0:f>
        <ns0:v>0</ns0:v>
      </ns0:c>
      <ns0:c r="Z401" s="0">
        <ns0:f>IF(T401=0,0,T401-IF(V401="AM",1,0))</ns0:f>
        <ns0:v>0</ns0:v>
      </ns0:c>
      <ns0:c r="AA401" s="0">
        <ns0:f>IFERROR(IF(AND(J401&gt;0,'_Engine'!C401&gt;0,MID('_Engine'!W401,WEEKDAY(J401,2),1)="W",COUNTIF(Settings!$F$18:$F$67,J401)=0),1,0),0)</ns0:f>
        <ns0:v>0</ns0:v>
      </ns0:c>
      <ns0:c r="AB401" s="0">
        <ns0:f>IFERROR(IF(AND(T401&gt;0,'_Engine'!C401&gt;0,MID('_Engine'!W401,WEEKDAY(T401,2),1)="W",COUNTIF(Settings!$F$18:$F$67,T401)=0),1,0),0)</ns0:f>
        <ns0:v>0</ns0:v>
      </ns0:c>
      <ns0:c r="AC401" s="0">
        <ns0:f>IF(AND(J401&gt;0,T401&gt;0,W401&lt;=X401),1,0)</ns0:f>
        <ns0:v>0</ns0:v>
      </ns0:c>
      <ns0:c r="AD401" s="0">
        <ns0:f>IF(AND(J401&gt;0,T401&gt;0,Y401&lt;=Z401),1,0)</ns0:f>
        <ns0:v>0</ns0:v>
      </ns0:c>
    </ns0:row>
    <ns0:row r="402">
      <ns0:c r="A402" s="0">
        <ns0:f>IFERROR(IF(ISNUMBER(Bookings!B402),"",TRIM(Bookings!B402&amp;"")),"")</ns0:f>
      </ns0:c>
      <ns0:c r="B402" s="0">
        <ns0:f>IFERROR(SUBSTITUTE(SUBSTITUTE(A402,"/","."),"-","."),"")</ns0:f>
      </ns0:c>
      <ns0:c r="C402" s="0">
        <ns0:f>IFERROR(LEFT(B402,FIND(".",B402)-1),"")</ns0:f>
      </ns0:c>
      <ns0:c r="D402" s="0">
        <ns0:f>IFERROR(MID(B402,FIND(".",B402)+1,FIND(".",B402,FIND(".",B402)+1)-FIND(".",B402)-1),"")</ns0:f>
      </ns0:c>
      <ns0:c r="E402" s="0">
        <ns0:f>IFERROR(MID(B402,FIND(".",B402,FIND(".",B402)+1)+1,99),"")</ns0:f>
        <ns0:v>99</ns0:v>
      </ns0:c>
      <ns0:c r="F402" s="0">
        <ns0:f>IFERROR(IF(FIND(".",B402)=5,--C402,--E402),0)</ns0:f>
        <ns0:v>0</ns0:v>
      </ns0:c>
      <ns0:c r="G402" s="0">
        <ns0:f>IFERROR(--D402,0)</ns0:f>
        <ns0:v>0</ns0:v>
      </ns0:c>
      <ns0:c r="H402" s="0">
        <ns0:f>IFERROR(IF(FIND(".",B402)=5,--E402,--C402),0)</ns0:f>
        <ns0:v>0</ns0:v>
      </ns0:c>
      <ns0:c r="I402" s="0">
        <ns0:f>IFERROR(IF(AND(F402&gt;=2000,F402&lt;=2100,G402&gt;=1,G402&lt;=12,H402&gt;=1,H402&lt;=31),DATE(F402,G402,H402),0),0)</ns0:f>
        <ns0:v>0</ns0:v>
      </ns0:c>
      <ns0:c r="J402" s="0">
        <ns0:f>IFERROR(IF(ISNUMBER(Bookings!B402),IF(AND(Bookings!B402=INT(Bookings!B402),Bookings!B402&gt;=DATE(2000,1,1),Bookings!B402&lt;=DATE(2100,12,31)),Bookings!B402,0),IF(AND(A402&lt;&gt;"",LEN("x"&amp;B402)-LEN(SUBSTITUTE("x"&amp;B402,".",""))=2,OR(1&gt;LEN(B402),MID(B402,1,1)=".",ISNUMBER(FIND("x"&amp;MID(B402,1,1),"x0x1x2x3x4x5x6x7x8x9"))),OR(2&gt;LEN(B402),MID(B402,2,1)=".",ISNUMBER(FIND("x"&amp;MID(B402,2,1),"x0x1x2x3x4x5x6x7x8x9"))),OR(3&gt;LEN(B402),MID(B402,3,1)=".",ISNUMBER(FIND("x"&amp;MID(B402,3,1),"x0x1x2x3x4x5x6x7x8x9"))),OR(4&gt;LEN(B402),MID(B402,4,1)=".",ISNUMBER(FIND("x"&amp;MID(B402,4,1),"x0x1x2x3x4x5x6x7x8x9"))),OR(5&gt;LEN(B402),MID(B402,5,1)=".",ISNUMBER(FIND("x"&amp;MID(B402,5,1),"x0x1x2x3x4x5x6x7x8x9"))),OR(6&gt;LEN(B402),MID(B402,6,1)=".",ISNUMBER(FIND("x"&amp;MID(B402,6,1),"x0x1x2x3x4x5x6x7x8x9"))),OR(7&gt;LEN(B402),MID(B402,7,1)=".",ISNUMBER(FIND("x"&amp;MID(B402,7,1),"x0x1x2x3x4x5x6x7x8x9"))),OR(8&gt;LEN(B402),MID(B402,8,1)=".",ISNUMBER(FIND("x"&amp;MID(B402,8,1),"x0x1x2x3x4x5x6x7x8x9"))),OR(9&gt;LEN(B402),MID(B402,9,1)=".",ISNUMBER(FIND("x"&amp;MID(B402,9,1),"x0x1x2x3x4x5x6x7x8x9"))),OR(10&gt;LEN(B402),MID(B402,10,1)=".",ISNUMBER(FIND("x"&amp;MID(B402,10,1),"x0x1x2x3x4x5x6x7x8x9"))),OR(AND(FIND(".",B402)=5,LEN(B402)-FIND(".",B402,FIND(".",B402)+1)&gt;=1,LEN(B402)-FIND(".",B402,FIND(".",B402)+1)&lt;=2),AND(LEN(B402)-FIND(".",B402,FIND(".",B402)+1)=4,FIND(".",B402)&gt;=2,FIND(".",B402)&lt;=3)),FIND(".",B402,FIND(".",B402)+1)-FIND(".",B402)&gt;=2,FIND(".",B402,FIND(".",B402)+1)-FIND(".",B402)&lt;=3,F402&gt;=2000,F402&lt;=2100,YEAR(I402)=F402,MONTH(I402)=G402,DAY(I402)=H402),I402,0)),0)</ns0:f>
        <ns0:v>0</ns0:v>
      </ns0:c>
      <ns0:c r="K402" s="0">
        <ns0:f>IFERROR(IF(ISNUMBER(Bookings!D402),"",TRIM(Bookings!D402&amp;"")),"")</ns0:f>
      </ns0:c>
      <ns0:c r="L402" s="0">
        <ns0:f>IFERROR(SUBSTITUTE(SUBSTITUTE(K402,"/","."),"-","."),"")</ns0:f>
      </ns0:c>
      <ns0:c r="M402" s="0">
        <ns0:f>IFERROR(LEFT(L402,FIND(".",L402)-1),"")</ns0:f>
      </ns0:c>
      <ns0:c r="N402" s="0">
        <ns0:f>IFERROR(MID(L402,FIND(".",L402)+1,FIND(".",L402,FIND(".",L402)+1)-FIND(".",L402)-1),"")</ns0:f>
      </ns0:c>
      <ns0:c r="O402" s="0">
        <ns0:f>IFERROR(MID(L402,FIND(".",L402,FIND(".",L402)+1)+1,99),"")</ns0:f>
        <ns0:v>99</ns0:v>
      </ns0:c>
      <ns0:c r="P402" s="0">
        <ns0:f>IFERROR(IF(FIND(".",L402)=5,--M402,--O402),0)</ns0:f>
        <ns0:v>0</ns0:v>
      </ns0:c>
      <ns0:c r="Q402" s="0">
        <ns0:f>IFERROR(--N402,0)</ns0:f>
        <ns0:v>0</ns0:v>
      </ns0:c>
      <ns0:c r="R402" s="0">
        <ns0:f>IFERROR(IF(FIND(".",L402)=5,--O402,--M402),0)</ns0:f>
        <ns0:v>0</ns0:v>
      </ns0:c>
      <ns0:c r="S402" s="0">
        <ns0:f>IFERROR(IF(AND(P402&gt;=2000,P402&lt;=2100,Q402&gt;=1,Q402&lt;=12,R402&gt;=1,R402&lt;=31),DATE(P402,Q402,R402),0),0)</ns0:f>
        <ns0:v>0</ns0:v>
      </ns0:c>
      <ns0:c r="T402" s="0">
        <ns0:f>IFERROR(IF(ISNUMBER(Bookings!D402),IF(AND(Bookings!D402=INT(Bookings!D402),Bookings!D402&gt;=DATE(2000,1,1),Bookings!D402&lt;=DATE(2100,12,31)),Bookings!D402,0),IF(AND(K402&lt;&gt;"",LEN("x"&amp;L402)-LEN(SUBSTITUTE("x"&amp;L402,".",""))=2,OR(1&gt;LEN(L402),MID(L402,1,1)=".",ISNUMBER(FIND("x"&amp;MID(L402,1,1),"x0x1x2x3x4x5x6x7x8x9"))),OR(2&gt;LEN(L402),MID(L402,2,1)=".",ISNUMBER(FIND("x"&amp;MID(L402,2,1),"x0x1x2x3x4x5x6x7x8x9"))),OR(3&gt;LEN(L402),MID(L402,3,1)=".",ISNUMBER(FIND("x"&amp;MID(L402,3,1),"x0x1x2x3x4x5x6x7x8x9"))),OR(4&gt;LEN(L402),MID(L402,4,1)=".",ISNUMBER(FIND("x"&amp;MID(L402,4,1),"x0x1x2x3x4x5x6x7x8x9"))),OR(5&gt;LEN(L402),MID(L402,5,1)=".",ISNUMBER(FIND("x"&amp;MID(L402,5,1),"x0x1x2x3x4x5x6x7x8x9"))),OR(6&gt;LEN(L402),MID(L402,6,1)=".",ISNUMBER(FIND("x"&amp;MID(L402,6,1),"x0x1x2x3x4x5x6x7x8x9"))),OR(7&gt;LEN(L402),MID(L402,7,1)=".",ISNUMBER(FIND("x"&amp;MID(L402,7,1),"x0x1x2x3x4x5x6x7x8x9"))),OR(8&gt;LEN(L402),MID(L402,8,1)=".",ISNUMBER(FIND("x"&amp;MID(L402,8,1),"x0x1x2x3x4x5x6x7x8x9"))),OR(9&gt;LEN(L402),MID(L402,9,1)=".",ISNUMBER(FIND("x"&amp;MID(L402,9,1),"x0x1x2x3x4x5x6x7x8x9"))),OR(10&gt;LEN(L402),MID(L402,10,1)=".",ISNUMBER(FIND("x"&amp;MID(L402,10,1),"x0x1x2x3x4x5x6x7x8x9"))),OR(AND(FIND(".",L402)=5,LEN(L402)-FIND(".",L402,FIND(".",L402)+1)&gt;=1,LEN(L402)-FIND(".",L402,FIND(".",L402)+1)&lt;=2),AND(LEN(L402)-FIND(".",L402,FIND(".",L402)+1)=4,FIND(".",L402)&gt;=2,FIND(".",L402)&lt;=3)),FIND(".",L402,FIND(".",L402)+1)-FIND(".",L402)&gt;=2,FIND(".",L402,FIND(".",L402)+1)-FIND(".",L402)&lt;=3,P402&gt;=2000,P402&lt;=2100,YEAR(S402)=P402,MONTH(S402)=Q402,DAY(S402)=R402),S402,0)),0)</ns0:f>
        <ns0:v>0</ns0:v>
      </ns0:c>
      <ns0:c r="U402" s="0" t="str">
        <ns0:f>IF(Bookings!C402="","Full day",Bookings!C402)</ns0:f>
        <ns0:v>Full day</ns0:v>
      </ns0:c>
      <ns0:c r="V402" s="0" t="str">
        <ns0:f>IF(Bookings!E402="","Full day",Bookings!E402)</ns0:f>
        <ns0:v>Full day</ns0:v>
      </ns0:c>
      <ns0:c r="W402" s="0">
        <ns0:f>IF(J402=0,0,J402+IF(U402="PM",1,0))</ns0:f>
        <ns0:v>0</ns0:v>
      </ns0:c>
      <ns0:c r="X402" s="0">
        <ns0:f>IF(T402=0,0,T402-IF(V402="PM",1,0))</ns0:f>
        <ns0:v>0</ns0:v>
      </ns0:c>
      <ns0:c r="Y402" s="0">
        <ns0:f>IF(J402=0,0,J402+IF(U402="AM",1,0))</ns0:f>
        <ns0:v>0</ns0:v>
      </ns0:c>
      <ns0:c r="Z402" s="0">
        <ns0:f>IF(T402=0,0,T402-IF(V402="AM",1,0))</ns0:f>
        <ns0:v>0</ns0:v>
      </ns0:c>
      <ns0:c r="AA402" s="0">
        <ns0:f>IFERROR(IF(AND(J402&gt;0,'_Engine'!C402&gt;0,MID('_Engine'!W402,WEEKDAY(J402,2),1)="W",COUNTIF(Settings!$F$18:$F$67,J402)=0),1,0),0)</ns0:f>
        <ns0:v>0</ns0:v>
      </ns0:c>
      <ns0:c r="AB402" s="0">
        <ns0:f>IFERROR(IF(AND(T402&gt;0,'_Engine'!C402&gt;0,MID('_Engine'!W402,WEEKDAY(T402,2),1)="W",COUNTIF(Settings!$F$18:$F$67,T402)=0),1,0),0)</ns0:f>
        <ns0:v>0</ns0:v>
      </ns0:c>
      <ns0:c r="AC402" s="0">
        <ns0:f>IF(AND(J402&gt;0,T402&gt;0,W402&lt;=X402),1,0)</ns0:f>
        <ns0:v>0</ns0:v>
      </ns0:c>
      <ns0:c r="AD402" s="0">
        <ns0:f>IF(AND(J402&gt;0,T402&gt;0,Y402&lt;=Z402),1,0)</ns0:f>
        <ns0:v>0</ns0:v>
      </ns0:c>
    </ns0:row>
    <ns0:row r="403">
      <ns0:c r="A403" s="0">
        <ns0:f>IFERROR(IF(ISNUMBER(Bookings!B403),"",TRIM(Bookings!B403&amp;"")),"")</ns0:f>
      </ns0:c>
      <ns0:c r="B403" s="0">
        <ns0:f>IFERROR(SUBSTITUTE(SUBSTITUTE(A403,"/","."),"-","."),"")</ns0:f>
      </ns0:c>
      <ns0:c r="C403" s="0">
        <ns0:f>IFERROR(LEFT(B403,FIND(".",B403)-1),"")</ns0:f>
      </ns0:c>
      <ns0:c r="D403" s="0">
        <ns0:f>IFERROR(MID(B403,FIND(".",B403)+1,FIND(".",B403,FIND(".",B403)+1)-FIND(".",B403)-1),"")</ns0:f>
      </ns0:c>
      <ns0:c r="E403" s="0">
        <ns0:f>IFERROR(MID(B403,FIND(".",B403,FIND(".",B403)+1)+1,99),"")</ns0:f>
        <ns0:v>99</ns0:v>
      </ns0:c>
      <ns0:c r="F403" s="0">
        <ns0:f>IFERROR(IF(FIND(".",B403)=5,--C403,--E403),0)</ns0:f>
        <ns0:v>0</ns0:v>
      </ns0:c>
      <ns0:c r="G403" s="0">
        <ns0:f>IFERROR(--D403,0)</ns0:f>
        <ns0:v>0</ns0:v>
      </ns0:c>
      <ns0:c r="H403" s="0">
        <ns0:f>IFERROR(IF(FIND(".",B403)=5,--E403,--C403),0)</ns0:f>
        <ns0:v>0</ns0:v>
      </ns0:c>
      <ns0:c r="I403" s="0">
        <ns0:f>IFERROR(IF(AND(F403&gt;=2000,F403&lt;=2100,G403&gt;=1,G403&lt;=12,H403&gt;=1,H403&lt;=31),DATE(F403,G403,H403),0),0)</ns0:f>
        <ns0:v>0</ns0:v>
      </ns0:c>
      <ns0:c r="J403" s="0">
        <ns0:f>IFERROR(IF(ISNUMBER(Bookings!B403),IF(AND(Bookings!B403=INT(Bookings!B403),Bookings!B403&gt;=DATE(2000,1,1),Bookings!B403&lt;=DATE(2100,12,31)),Bookings!B403,0),IF(AND(A403&lt;&gt;"",LEN("x"&amp;B403)-LEN(SUBSTITUTE("x"&amp;B403,".",""))=2,OR(1&gt;LEN(B403),MID(B403,1,1)=".",ISNUMBER(FIND("x"&amp;MID(B403,1,1),"x0x1x2x3x4x5x6x7x8x9"))),OR(2&gt;LEN(B403),MID(B403,2,1)=".",ISNUMBER(FIND("x"&amp;MID(B403,2,1),"x0x1x2x3x4x5x6x7x8x9"))),OR(3&gt;LEN(B403),MID(B403,3,1)=".",ISNUMBER(FIND("x"&amp;MID(B403,3,1),"x0x1x2x3x4x5x6x7x8x9"))),OR(4&gt;LEN(B403),MID(B403,4,1)=".",ISNUMBER(FIND("x"&amp;MID(B403,4,1),"x0x1x2x3x4x5x6x7x8x9"))),OR(5&gt;LEN(B403),MID(B403,5,1)=".",ISNUMBER(FIND("x"&amp;MID(B403,5,1),"x0x1x2x3x4x5x6x7x8x9"))),OR(6&gt;LEN(B403),MID(B403,6,1)=".",ISNUMBER(FIND("x"&amp;MID(B403,6,1),"x0x1x2x3x4x5x6x7x8x9"))),OR(7&gt;LEN(B403),MID(B403,7,1)=".",ISNUMBER(FIND("x"&amp;MID(B403,7,1),"x0x1x2x3x4x5x6x7x8x9"))),OR(8&gt;LEN(B403),MID(B403,8,1)=".",ISNUMBER(FIND("x"&amp;MID(B403,8,1),"x0x1x2x3x4x5x6x7x8x9"))),OR(9&gt;LEN(B403),MID(B403,9,1)=".",ISNUMBER(FIND("x"&amp;MID(B403,9,1),"x0x1x2x3x4x5x6x7x8x9"))),OR(10&gt;LEN(B403),MID(B403,10,1)=".",ISNUMBER(FIND("x"&amp;MID(B403,10,1),"x0x1x2x3x4x5x6x7x8x9"))),OR(AND(FIND(".",B403)=5,LEN(B403)-FIND(".",B403,FIND(".",B403)+1)&gt;=1,LEN(B403)-FIND(".",B403,FIND(".",B403)+1)&lt;=2),AND(LEN(B403)-FIND(".",B403,FIND(".",B403)+1)=4,FIND(".",B403)&gt;=2,FIND(".",B403)&lt;=3)),FIND(".",B403,FIND(".",B403)+1)-FIND(".",B403)&gt;=2,FIND(".",B403,FIND(".",B403)+1)-FIND(".",B403)&lt;=3,F403&gt;=2000,F403&lt;=2100,YEAR(I403)=F403,MONTH(I403)=G403,DAY(I403)=H403),I403,0)),0)</ns0:f>
        <ns0:v>0</ns0:v>
      </ns0:c>
      <ns0:c r="K403" s="0">
        <ns0:f>IFERROR(IF(ISNUMBER(Bookings!D403),"",TRIM(Bookings!D403&amp;"")),"")</ns0:f>
      </ns0:c>
      <ns0:c r="L403" s="0">
        <ns0:f>IFERROR(SUBSTITUTE(SUBSTITUTE(K403,"/","."),"-","."),"")</ns0:f>
      </ns0:c>
      <ns0:c r="M403" s="0">
        <ns0:f>IFERROR(LEFT(L403,FIND(".",L403)-1),"")</ns0:f>
      </ns0:c>
      <ns0:c r="N403" s="0">
        <ns0:f>IFERROR(MID(L403,FIND(".",L403)+1,FIND(".",L403,FIND(".",L403)+1)-FIND(".",L403)-1),"")</ns0:f>
      </ns0:c>
      <ns0:c r="O403" s="0">
        <ns0:f>IFERROR(MID(L403,FIND(".",L403,FIND(".",L403)+1)+1,99),"")</ns0:f>
        <ns0:v>99</ns0:v>
      </ns0:c>
      <ns0:c r="P403" s="0">
        <ns0:f>IFERROR(IF(FIND(".",L403)=5,--M403,--O403),0)</ns0:f>
        <ns0:v>0</ns0:v>
      </ns0:c>
      <ns0:c r="Q403" s="0">
        <ns0:f>IFERROR(--N403,0)</ns0:f>
        <ns0:v>0</ns0:v>
      </ns0:c>
      <ns0:c r="R403" s="0">
        <ns0:f>IFERROR(IF(FIND(".",L403)=5,--O403,--M403),0)</ns0:f>
        <ns0:v>0</ns0:v>
      </ns0:c>
      <ns0:c r="S403" s="0">
        <ns0:f>IFERROR(IF(AND(P403&gt;=2000,P403&lt;=2100,Q403&gt;=1,Q403&lt;=12,R403&gt;=1,R403&lt;=31),DATE(P403,Q403,R403),0),0)</ns0:f>
        <ns0:v>0</ns0:v>
      </ns0:c>
      <ns0:c r="T403" s="0">
        <ns0:f>IFERROR(IF(ISNUMBER(Bookings!D403),IF(AND(Bookings!D403=INT(Bookings!D403),Bookings!D403&gt;=DATE(2000,1,1),Bookings!D403&lt;=DATE(2100,12,31)),Bookings!D403,0),IF(AND(K403&lt;&gt;"",LEN("x"&amp;L403)-LEN(SUBSTITUTE("x"&amp;L403,".",""))=2,OR(1&gt;LEN(L403),MID(L403,1,1)=".",ISNUMBER(FIND("x"&amp;MID(L403,1,1),"x0x1x2x3x4x5x6x7x8x9"))),OR(2&gt;LEN(L403),MID(L403,2,1)=".",ISNUMBER(FIND("x"&amp;MID(L403,2,1),"x0x1x2x3x4x5x6x7x8x9"))),OR(3&gt;LEN(L403),MID(L403,3,1)=".",ISNUMBER(FIND("x"&amp;MID(L403,3,1),"x0x1x2x3x4x5x6x7x8x9"))),OR(4&gt;LEN(L403),MID(L403,4,1)=".",ISNUMBER(FIND("x"&amp;MID(L403,4,1),"x0x1x2x3x4x5x6x7x8x9"))),OR(5&gt;LEN(L403),MID(L403,5,1)=".",ISNUMBER(FIND("x"&amp;MID(L403,5,1),"x0x1x2x3x4x5x6x7x8x9"))),OR(6&gt;LEN(L403),MID(L403,6,1)=".",ISNUMBER(FIND("x"&amp;MID(L403,6,1),"x0x1x2x3x4x5x6x7x8x9"))),OR(7&gt;LEN(L403),MID(L403,7,1)=".",ISNUMBER(FIND("x"&amp;MID(L403,7,1),"x0x1x2x3x4x5x6x7x8x9"))),OR(8&gt;LEN(L403),MID(L403,8,1)=".",ISNUMBER(FIND("x"&amp;MID(L403,8,1),"x0x1x2x3x4x5x6x7x8x9"))),OR(9&gt;LEN(L403),MID(L403,9,1)=".",ISNUMBER(FIND("x"&amp;MID(L403,9,1),"x0x1x2x3x4x5x6x7x8x9"))),OR(10&gt;LEN(L403),MID(L403,10,1)=".",ISNUMBER(FIND("x"&amp;MID(L403,10,1),"x0x1x2x3x4x5x6x7x8x9"))),OR(AND(FIND(".",L403)=5,LEN(L403)-FIND(".",L403,FIND(".",L403)+1)&gt;=1,LEN(L403)-FIND(".",L403,FIND(".",L403)+1)&lt;=2),AND(LEN(L403)-FIND(".",L403,FIND(".",L403)+1)=4,FIND(".",L403)&gt;=2,FIND(".",L403)&lt;=3)),FIND(".",L403,FIND(".",L403)+1)-FIND(".",L403)&gt;=2,FIND(".",L403,FIND(".",L403)+1)-FIND(".",L403)&lt;=3,P403&gt;=2000,P403&lt;=2100,YEAR(S403)=P403,MONTH(S403)=Q403,DAY(S403)=R403),S403,0)),0)</ns0:f>
        <ns0:v>0</ns0:v>
      </ns0:c>
      <ns0:c r="U403" s="0" t="str">
        <ns0:f>IF(Bookings!C403="","Full day",Bookings!C403)</ns0:f>
        <ns0:v>Full day</ns0:v>
      </ns0:c>
      <ns0:c r="V403" s="0" t="str">
        <ns0:f>IF(Bookings!E403="","Full day",Bookings!E403)</ns0:f>
        <ns0:v>Full day</ns0:v>
      </ns0:c>
      <ns0:c r="W403" s="0">
        <ns0:f>IF(J403=0,0,J403+IF(U403="PM",1,0))</ns0:f>
        <ns0:v>0</ns0:v>
      </ns0:c>
      <ns0:c r="X403" s="0">
        <ns0:f>IF(T403=0,0,T403-IF(V403="PM",1,0))</ns0:f>
        <ns0:v>0</ns0:v>
      </ns0:c>
      <ns0:c r="Y403" s="0">
        <ns0:f>IF(J403=0,0,J403+IF(U403="AM",1,0))</ns0:f>
        <ns0:v>0</ns0:v>
      </ns0:c>
      <ns0:c r="Z403" s="0">
        <ns0:f>IF(T403=0,0,T403-IF(V403="AM",1,0))</ns0:f>
        <ns0:v>0</ns0:v>
      </ns0:c>
      <ns0:c r="AA403" s="0">
        <ns0:f>IFERROR(IF(AND(J403&gt;0,'_Engine'!C403&gt;0,MID('_Engine'!W403,WEEKDAY(J403,2),1)="W",COUNTIF(Settings!$F$18:$F$67,J403)=0),1,0),0)</ns0:f>
        <ns0:v>0</ns0:v>
      </ns0:c>
      <ns0:c r="AB403" s="0">
        <ns0:f>IFERROR(IF(AND(T403&gt;0,'_Engine'!C403&gt;0,MID('_Engine'!W403,WEEKDAY(T403,2),1)="W",COUNTIF(Settings!$F$18:$F$67,T403)=0),1,0),0)</ns0:f>
        <ns0:v>0</ns0:v>
      </ns0:c>
      <ns0:c r="AC403" s="0">
        <ns0:f>IF(AND(J403&gt;0,T403&gt;0,W403&lt;=X403),1,0)</ns0:f>
        <ns0:v>0</ns0:v>
      </ns0:c>
      <ns0:c r="AD403" s="0">
        <ns0:f>IF(AND(J403&gt;0,T403&gt;0,Y403&lt;=Z403),1,0)</ns0:f>
        <ns0:v>0</ns0:v>
      </ns0:c>
    </ns0:row>
    <ns0:row r="404">
      <ns0:c r="A404" s="0">
        <ns0:f>IFERROR(IF(ISNUMBER(Bookings!B404),"",TRIM(Bookings!B404&amp;"")),"")</ns0:f>
      </ns0:c>
      <ns0:c r="B404" s="0">
        <ns0:f>IFERROR(SUBSTITUTE(SUBSTITUTE(A404,"/","."),"-","."),"")</ns0:f>
      </ns0:c>
      <ns0:c r="C404" s="0">
        <ns0:f>IFERROR(LEFT(B404,FIND(".",B404)-1),"")</ns0:f>
      </ns0:c>
      <ns0:c r="D404" s="0">
        <ns0:f>IFERROR(MID(B404,FIND(".",B404)+1,FIND(".",B404,FIND(".",B404)+1)-FIND(".",B404)-1),"")</ns0:f>
      </ns0:c>
      <ns0:c r="E404" s="0">
        <ns0:f>IFERROR(MID(B404,FIND(".",B404,FIND(".",B404)+1)+1,99),"")</ns0:f>
        <ns0:v>99</ns0:v>
      </ns0:c>
      <ns0:c r="F404" s="0">
        <ns0:f>IFERROR(IF(FIND(".",B404)=5,--C404,--E404),0)</ns0:f>
        <ns0:v>0</ns0:v>
      </ns0:c>
      <ns0:c r="G404" s="0">
        <ns0:f>IFERROR(--D404,0)</ns0:f>
        <ns0:v>0</ns0:v>
      </ns0:c>
      <ns0:c r="H404" s="0">
        <ns0:f>IFERROR(IF(FIND(".",B404)=5,--E404,--C404),0)</ns0:f>
        <ns0:v>0</ns0:v>
      </ns0:c>
      <ns0:c r="I404" s="0">
        <ns0:f>IFERROR(IF(AND(F404&gt;=2000,F404&lt;=2100,G404&gt;=1,G404&lt;=12,H404&gt;=1,H404&lt;=31),DATE(F404,G404,H404),0),0)</ns0:f>
        <ns0:v>0</ns0:v>
      </ns0:c>
      <ns0:c r="J404" s="0">
        <ns0:f>IFERROR(IF(ISNUMBER(Bookings!B404),IF(AND(Bookings!B404=INT(Bookings!B404),Bookings!B404&gt;=DATE(2000,1,1),Bookings!B404&lt;=DATE(2100,12,31)),Bookings!B404,0),IF(AND(A404&lt;&gt;"",LEN("x"&amp;B404)-LEN(SUBSTITUTE("x"&amp;B404,".",""))=2,OR(1&gt;LEN(B404),MID(B404,1,1)=".",ISNUMBER(FIND("x"&amp;MID(B404,1,1),"x0x1x2x3x4x5x6x7x8x9"))),OR(2&gt;LEN(B404),MID(B404,2,1)=".",ISNUMBER(FIND("x"&amp;MID(B404,2,1),"x0x1x2x3x4x5x6x7x8x9"))),OR(3&gt;LEN(B404),MID(B404,3,1)=".",ISNUMBER(FIND("x"&amp;MID(B404,3,1),"x0x1x2x3x4x5x6x7x8x9"))),OR(4&gt;LEN(B404),MID(B404,4,1)=".",ISNUMBER(FIND("x"&amp;MID(B404,4,1),"x0x1x2x3x4x5x6x7x8x9"))),OR(5&gt;LEN(B404),MID(B404,5,1)=".",ISNUMBER(FIND("x"&amp;MID(B404,5,1),"x0x1x2x3x4x5x6x7x8x9"))),OR(6&gt;LEN(B404),MID(B404,6,1)=".",ISNUMBER(FIND("x"&amp;MID(B404,6,1),"x0x1x2x3x4x5x6x7x8x9"))),OR(7&gt;LEN(B404),MID(B404,7,1)=".",ISNUMBER(FIND("x"&amp;MID(B404,7,1),"x0x1x2x3x4x5x6x7x8x9"))),OR(8&gt;LEN(B404),MID(B404,8,1)=".",ISNUMBER(FIND("x"&amp;MID(B404,8,1),"x0x1x2x3x4x5x6x7x8x9"))),OR(9&gt;LEN(B404),MID(B404,9,1)=".",ISNUMBER(FIND("x"&amp;MID(B404,9,1),"x0x1x2x3x4x5x6x7x8x9"))),OR(10&gt;LEN(B404),MID(B404,10,1)=".",ISNUMBER(FIND("x"&amp;MID(B404,10,1),"x0x1x2x3x4x5x6x7x8x9"))),OR(AND(FIND(".",B404)=5,LEN(B404)-FIND(".",B404,FIND(".",B404)+1)&gt;=1,LEN(B404)-FIND(".",B404,FIND(".",B404)+1)&lt;=2),AND(LEN(B404)-FIND(".",B404,FIND(".",B404)+1)=4,FIND(".",B404)&gt;=2,FIND(".",B404)&lt;=3)),FIND(".",B404,FIND(".",B404)+1)-FIND(".",B404)&gt;=2,FIND(".",B404,FIND(".",B404)+1)-FIND(".",B404)&lt;=3,F404&gt;=2000,F404&lt;=2100,YEAR(I404)=F404,MONTH(I404)=G404,DAY(I404)=H404),I404,0)),0)</ns0:f>
        <ns0:v>0</ns0:v>
      </ns0:c>
      <ns0:c r="K404" s="0">
        <ns0:f>IFERROR(IF(ISNUMBER(Bookings!D404),"",TRIM(Bookings!D404&amp;"")),"")</ns0:f>
      </ns0:c>
      <ns0:c r="L404" s="0">
        <ns0:f>IFERROR(SUBSTITUTE(SUBSTITUTE(K404,"/","."),"-","."),"")</ns0:f>
      </ns0:c>
      <ns0:c r="M404" s="0">
        <ns0:f>IFERROR(LEFT(L404,FIND(".",L404)-1),"")</ns0:f>
      </ns0:c>
      <ns0:c r="N404" s="0">
        <ns0:f>IFERROR(MID(L404,FIND(".",L404)+1,FIND(".",L404,FIND(".",L404)+1)-FIND(".",L404)-1),"")</ns0:f>
      </ns0:c>
      <ns0:c r="O404" s="0">
        <ns0:f>IFERROR(MID(L404,FIND(".",L404,FIND(".",L404)+1)+1,99),"")</ns0:f>
        <ns0:v>99</ns0:v>
      </ns0:c>
      <ns0:c r="P404" s="0">
        <ns0:f>IFERROR(IF(FIND(".",L404)=5,--M404,--O404),0)</ns0:f>
        <ns0:v>0</ns0:v>
      </ns0:c>
      <ns0:c r="Q404" s="0">
        <ns0:f>IFERROR(--N404,0)</ns0:f>
        <ns0:v>0</ns0:v>
      </ns0:c>
      <ns0:c r="R404" s="0">
        <ns0:f>IFERROR(IF(FIND(".",L404)=5,--O404,--M404),0)</ns0:f>
        <ns0:v>0</ns0:v>
      </ns0:c>
      <ns0:c r="S404" s="0">
        <ns0:f>IFERROR(IF(AND(P404&gt;=2000,P404&lt;=2100,Q404&gt;=1,Q404&lt;=12,R404&gt;=1,R404&lt;=31),DATE(P404,Q404,R404),0),0)</ns0:f>
        <ns0:v>0</ns0:v>
      </ns0:c>
      <ns0:c r="T404" s="0">
        <ns0:f>IFERROR(IF(ISNUMBER(Bookings!D404),IF(AND(Bookings!D404=INT(Bookings!D404),Bookings!D404&gt;=DATE(2000,1,1),Bookings!D404&lt;=DATE(2100,12,31)),Bookings!D404,0),IF(AND(K404&lt;&gt;"",LEN("x"&amp;L404)-LEN(SUBSTITUTE("x"&amp;L404,".",""))=2,OR(1&gt;LEN(L404),MID(L404,1,1)=".",ISNUMBER(FIND("x"&amp;MID(L404,1,1),"x0x1x2x3x4x5x6x7x8x9"))),OR(2&gt;LEN(L404),MID(L404,2,1)=".",ISNUMBER(FIND("x"&amp;MID(L404,2,1),"x0x1x2x3x4x5x6x7x8x9"))),OR(3&gt;LEN(L404),MID(L404,3,1)=".",ISNUMBER(FIND("x"&amp;MID(L404,3,1),"x0x1x2x3x4x5x6x7x8x9"))),OR(4&gt;LEN(L404),MID(L404,4,1)=".",ISNUMBER(FIND("x"&amp;MID(L404,4,1),"x0x1x2x3x4x5x6x7x8x9"))),OR(5&gt;LEN(L404),MID(L404,5,1)=".",ISNUMBER(FIND("x"&amp;MID(L404,5,1),"x0x1x2x3x4x5x6x7x8x9"))),OR(6&gt;LEN(L404),MID(L404,6,1)=".",ISNUMBER(FIND("x"&amp;MID(L404,6,1),"x0x1x2x3x4x5x6x7x8x9"))),OR(7&gt;LEN(L404),MID(L404,7,1)=".",ISNUMBER(FIND("x"&amp;MID(L404,7,1),"x0x1x2x3x4x5x6x7x8x9"))),OR(8&gt;LEN(L404),MID(L404,8,1)=".",ISNUMBER(FIND("x"&amp;MID(L404,8,1),"x0x1x2x3x4x5x6x7x8x9"))),OR(9&gt;LEN(L404),MID(L404,9,1)=".",ISNUMBER(FIND("x"&amp;MID(L404,9,1),"x0x1x2x3x4x5x6x7x8x9"))),OR(10&gt;LEN(L404),MID(L404,10,1)=".",ISNUMBER(FIND("x"&amp;MID(L404,10,1),"x0x1x2x3x4x5x6x7x8x9"))),OR(AND(FIND(".",L404)=5,LEN(L404)-FIND(".",L404,FIND(".",L404)+1)&gt;=1,LEN(L404)-FIND(".",L404,FIND(".",L404)+1)&lt;=2),AND(LEN(L404)-FIND(".",L404,FIND(".",L404)+1)=4,FIND(".",L404)&gt;=2,FIND(".",L404)&lt;=3)),FIND(".",L404,FIND(".",L404)+1)-FIND(".",L404)&gt;=2,FIND(".",L404,FIND(".",L404)+1)-FIND(".",L404)&lt;=3,P404&gt;=2000,P404&lt;=2100,YEAR(S404)=P404,MONTH(S404)=Q404,DAY(S404)=R404),S404,0)),0)</ns0:f>
        <ns0:v>0</ns0:v>
      </ns0:c>
      <ns0:c r="U404" s="0" t="str">
        <ns0:f>IF(Bookings!C404="","Full day",Bookings!C404)</ns0:f>
        <ns0:v>Full day</ns0:v>
      </ns0:c>
      <ns0:c r="V404" s="0" t="str">
        <ns0:f>IF(Bookings!E404="","Full day",Bookings!E404)</ns0:f>
        <ns0:v>Full day</ns0:v>
      </ns0:c>
      <ns0:c r="W404" s="0">
        <ns0:f>IF(J404=0,0,J404+IF(U404="PM",1,0))</ns0:f>
        <ns0:v>0</ns0:v>
      </ns0:c>
      <ns0:c r="X404" s="0">
        <ns0:f>IF(T404=0,0,T404-IF(V404="PM",1,0))</ns0:f>
        <ns0:v>0</ns0:v>
      </ns0:c>
      <ns0:c r="Y404" s="0">
        <ns0:f>IF(J404=0,0,J404+IF(U404="AM",1,0))</ns0:f>
        <ns0:v>0</ns0:v>
      </ns0:c>
      <ns0:c r="Z404" s="0">
        <ns0:f>IF(T404=0,0,T404-IF(V404="AM",1,0))</ns0:f>
        <ns0:v>0</ns0:v>
      </ns0:c>
      <ns0:c r="AA404" s="0">
        <ns0:f>IFERROR(IF(AND(J404&gt;0,'_Engine'!C404&gt;0,MID('_Engine'!W404,WEEKDAY(J404,2),1)="W",COUNTIF(Settings!$F$18:$F$67,J404)=0),1,0),0)</ns0:f>
        <ns0:v>0</ns0:v>
      </ns0:c>
      <ns0:c r="AB404" s="0">
        <ns0:f>IFERROR(IF(AND(T404&gt;0,'_Engine'!C404&gt;0,MID('_Engine'!W404,WEEKDAY(T404,2),1)="W",COUNTIF(Settings!$F$18:$F$67,T404)=0),1,0),0)</ns0:f>
        <ns0:v>0</ns0:v>
      </ns0:c>
      <ns0:c r="AC404" s="0">
        <ns0:f>IF(AND(J404&gt;0,T404&gt;0,W404&lt;=X404),1,0)</ns0:f>
        <ns0:v>0</ns0:v>
      </ns0:c>
      <ns0:c r="AD404" s="0">
        <ns0:f>IF(AND(J404&gt;0,T404&gt;0,Y404&lt;=Z404),1,0)</ns0:f>
        <ns0:v>0</ns0:v>
      </ns0:c>
    </ns0:row>
    <ns0:row r="405">
      <ns0:c r="A405" s="0">
        <ns0:f>IFERROR(IF(ISNUMBER(Bookings!B405),"",TRIM(Bookings!B405&amp;"")),"")</ns0:f>
      </ns0:c>
      <ns0:c r="B405" s="0">
        <ns0:f>IFERROR(SUBSTITUTE(SUBSTITUTE(A405,"/","."),"-","."),"")</ns0:f>
      </ns0:c>
      <ns0:c r="C405" s="0">
        <ns0:f>IFERROR(LEFT(B405,FIND(".",B405)-1),"")</ns0:f>
      </ns0:c>
      <ns0:c r="D405" s="0">
        <ns0:f>IFERROR(MID(B405,FIND(".",B405)+1,FIND(".",B405,FIND(".",B405)+1)-FIND(".",B405)-1),"")</ns0:f>
      </ns0:c>
      <ns0:c r="E405" s="0">
        <ns0:f>IFERROR(MID(B405,FIND(".",B405,FIND(".",B405)+1)+1,99),"")</ns0:f>
        <ns0:v>99</ns0:v>
      </ns0:c>
      <ns0:c r="F405" s="0">
        <ns0:f>IFERROR(IF(FIND(".",B405)=5,--C405,--E405),0)</ns0:f>
        <ns0:v>0</ns0:v>
      </ns0:c>
      <ns0:c r="G405" s="0">
        <ns0:f>IFERROR(--D405,0)</ns0:f>
        <ns0:v>0</ns0:v>
      </ns0:c>
      <ns0:c r="H405" s="0">
        <ns0:f>IFERROR(IF(FIND(".",B405)=5,--E405,--C405),0)</ns0:f>
        <ns0:v>0</ns0:v>
      </ns0:c>
      <ns0:c r="I405" s="0">
        <ns0:f>IFERROR(IF(AND(F405&gt;=2000,F405&lt;=2100,G405&gt;=1,G405&lt;=12,H405&gt;=1,H405&lt;=31),DATE(F405,G405,H405),0),0)</ns0:f>
        <ns0:v>0</ns0:v>
      </ns0:c>
      <ns0:c r="J405" s="0">
        <ns0:f>IFERROR(IF(ISNUMBER(Bookings!B405),IF(AND(Bookings!B405=INT(Bookings!B405),Bookings!B405&gt;=DATE(2000,1,1),Bookings!B405&lt;=DATE(2100,12,31)),Bookings!B405,0),IF(AND(A405&lt;&gt;"",LEN("x"&amp;B405)-LEN(SUBSTITUTE("x"&amp;B405,".",""))=2,OR(1&gt;LEN(B405),MID(B405,1,1)=".",ISNUMBER(FIND("x"&amp;MID(B405,1,1),"x0x1x2x3x4x5x6x7x8x9"))),OR(2&gt;LEN(B405),MID(B405,2,1)=".",ISNUMBER(FIND("x"&amp;MID(B405,2,1),"x0x1x2x3x4x5x6x7x8x9"))),OR(3&gt;LEN(B405),MID(B405,3,1)=".",ISNUMBER(FIND("x"&amp;MID(B405,3,1),"x0x1x2x3x4x5x6x7x8x9"))),OR(4&gt;LEN(B405),MID(B405,4,1)=".",ISNUMBER(FIND("x"&amp;MID(B405,4,1),"x0x1x2x3x4x5x6x7x8x9"))),OR(5&gt;LEN(B405),MID(B405,5,1)=".",ISNUMBER(FIND("x"&amp;MID(B405,5,1),"x0x1x2x3x4x5x6x7x8x9"))),OR(6&gt;LEN(B405),MID(B405,6,1)=".",ISNUMBER(FIND("x"&amp;MID(B405,6,1),"x0x1x2x3x4x5x6x7x8x9"))),OR(7&gt;LEN(B405),MID(B405,7,1)=".",ISNUMBER(FIND("x"&amp;MID(B405,7,1),"x0x1x2x3x4x5x6x7x8x9"))),OR(8&gt;LEN(B405),MID(B405,8,1)=".",ISNUMBER(FIND("x"&amp;MID(B405,8,1),"x0x1x2x3x4x5x6x7x8x9"))),OR(9&gt;LEN(B405),MID(B405,9,1)=".",ISNUMBER(FIND("x"&amp;MID(B405,9,1),"x0x1x2x3x4x5x6x7x8x9"))),OR(10&gt;LEN(B405),MID(B405,10,1)=".",ISNUMBER(FIND("x"&amp;MID(B405,10,1),"x0x1x2x3x4x5x6x7x8x9"))),OR(AND(FIND(".",B405)=5,LEN(B405)-FIND(".",B405,FIND(".",B405)+1)&gt;=1,LEN(B405)-FIND(".",B405,FIND(".",B405)+1)&lt;=2),AND(LEN(B405)-FIND(".",B405,FIND(".",B405)+1)=4,FIND(".",B405)&gt;=2,FIND(".",B405)&lt;=3)),FIND(".",B405,FIND(".",B405)+1)-FIND(".",B405)&gt;=2,FIND(".",B405,FIND(".",B405)+1)-FIND(".",B405)&lt;=3,F405&gt;=2000,F405&lt;=2100,YEAR(I405)=F405,MONTH(I405)=G405,DAY(I405)=H405),I405,0)),0)</ns0:f>
        <ns0:v>0</ns0:v>
      </ns0:c>
      <ns0:c r="K405" s="0">
        <ns0:f>IFERROR(IF(ISNUMBER(Bookings!D405),"",TRIM(Bookings!D405&amp;"")),"")</ns0:f>
      </ns0:c>
      <ns0:c r="L405" s="0">
        <ns0:f>IFERROR(SUBSTITUTE(SUBSTITUTE(K405,"/","."),"-","."),"")</ns0:f>
      </ns0:c>
      <ns0:c r="M405" s="0">
        <ns0:f>IFERROR(LEFT(L405,FIND(".",L405)-1),"")</ns0:f>
      </ns0:c>
      <ns0:c r="N405" s="0">
        <ns0:f>IFERROR(MID(L405,FIND(".",L405)+1,FIND(".",L405,FIND(".",L405)+1)-FIND(".",L405)-1),"")</ns0:f>
      </ns0:c>
      <ns0:c r="O405" s="0">
        <ns0:f>IFERROR(MID(L405,FIND(".",L405,FIND(".",L405)+1)+1,99),"")</ns0:f>
        <ns0:v>99</ns0:v>
      </ns0:c>
      <ns0:c r="P405" s="0">
        <ns0:f>IFERROR(IF(FIND(".",L405)=5,--M405,--O405),0)</ns0:f>
        <ns0:v>0</ns0:v>
      </ns0:c>
      <ns0:c r="Q405" s="0">
        <ns0:f>IFERROR(--N405,0)</ns0:f>
        <ns0:v>0</ns0:v>
      </ns0:c>
      <ns0:c r="R405" s="0">
        <ns0:f>IFERROR(IF(FIND(".",L405)=5,--O405,--M405),0)</ns0:f>
        <ns0:v>0</ns0:v>
      </ns0:c>
      <ns0:c r="S405" s="0">
        <ns0:f>IFERROR(IF(AND(P405&gt;=2000,P405&lt;=2100,Q405&gt;=1,Q405&lt;=12,R405&gt;=1,R405&lt;=31),DATE(P405,Q405,R405),0),0)</ns0:f>
        <ns0:v>0</ns0:v>
      </ns0:c>
      <ns0:c r="T405" s="0">
        <ns0:f>IFERROR(IF(ISNUMBER(Bookings!D405),IF(AND(Bookings!D405=INT(Bookings!D405),Bookings!D405&gt;=DATE(2000,1,1),Bookings!D405&lt;=DATE(2100,12,31)),Bookings!D405,0),IF(AND(K405&lt;&gt;"",LEN("x"&amp;L405)-LEN(SUBSTITUTE("x"&amp;L405,".",""))=2,OR(1&gt;LEN(L405),MID(L405,1,1)=".",ISNUMBER(FIND("x"&amp;MID(L405,1,1),"x0x1x2x3x4x5x6x7x8x9"))),OR(2&gt;LEN(L405),MID(L405,2,1)=".",ISNUMBER(FIND("x"&amp;MID(L405,2,1),"x0x1x2x3x4x5x6x7x8x9"))),OR(3&gt;LEN(L405),MID(L405,3,1)=".",ISNUMBER(FIND("x"&amp;MID(L405,3,1),"x0x1x2x3x4x5x6x7x8x9"))),OR(4&gt;LEN(L405),MID(L405,4,1)=".",ISNUMBER(FIND("x"&amp;MID(L405,4,1),"x0x1x2x3x4x5x6x7x8x9"))),OR(5&gt;LEN(L405),MID(L405,5,1)=".",ISNUMBER(FIND("x"&amp;MID(L405,5,1),"x0x1x2x3x4x5x6x7x8x9"))),OR(6&gt;LEN(L405),MID(L405,6,1)=".",ISNUMBER(FIND("x"&amp;MID(L405,6,1),"x0x1x2x3x4x5x6x7x8x9"))),OR(7&gt;LEN(L405),MID(L405,7,1)=".",ISNUMBER(FIND("x"&amp;MID(L405,7,1),"x0x1x2x3x4x5x6x7x8x9"))),OR(8&gt;LEN(L405),MID(L405,8,1)=".",ISNUMBER(FIND("x"&amp;MID(L405,8,1),"x0x1x2x3x4x5x6x7x8x9"))),OR(9&gt;LEN(L405),MID(L405,9,1)=".",ISNUMBER(FIND("x"&amp;MID(L405,9,1),"x0x1x2x3x4x5x6x7x8x9"))),OR(10&gt;LEN(L405),MID(L405,10,1)=".",ISNUMBER(FIND("x"&amp;MID(L405,10,1),"x0x1x2x3x4x5x6x7x8x9"))),OR(AND(FIND(".",L405)=5,LEN(L405)-FIND(".",L405,FIND(".",L405)+1)&gt;=1,LEN(L405)-FIND(".",L405,FIND(".",L405)+1)&lt;=2),AND(LEN(L405)-FIND(".",L405,FIND(".",L405)+1)=4,FIND(".",L405)&gt;=2,FIND(".",L405)&lt;=3)),FIND(".",L405,FIND(".",L405)+1)-FIND(".",L405)&gt;=2,FIND(".",L405,FIND(".",L405)+1)-FIND(".",L405)&lt;=3,P405&gt;=2000,P405&lt;=2100,YEAR(S405)=P405,MONTH(S405)=Q405,DAY(S405)=R405),S405,0)),0)</ns0:f>
        <ns0:v>0</ns0:v>
      </ns0:c>
      <ns0:c r="U405" s="0" t="str">
        <ns0:f>IF(Bookings!C405="","Full day",Bookings!C405)</ns0:f>
        <ns0:v>Full day</ns0:v>
      </ns0:c>
      <ns0:c r="V405" s="0" t="str">
        <ns0:f>IF(Bookings!E405="","Full day",Bookings!E405)</ns0:f>
        <ns0:v>Full day</ns0:v>
      </ns0:c>
      <ns0:c r="W405" s="0">
        <ns0:f>IF(J405=0,0,J405+IF(U405="PM",1,0))</ns0:f>
        <ns0:v>0</ns0:v>
      </ns0:c>
      <ns0:c r="X405" s="0">
        <ns0:f>IF(T405=0,0,T405-IF(V405="PM",1,0))</ns0:f>
        <ns0:v>0</ns0:v>
      </ns0:c>
      <ns0:c r="Y405" s="0">
        <ns0:f>IF(J405=0,0,J405+IF(U405="AM",1,0))</ns0:f>
        <ns0:v>0</ns0:v>
      </ns0:c>
      <ns0:c r="Z405" s="0">
        <ns0:f>IF(T405=0,0,T405-IF(V405="AM",1,0))</ns0:f>
        <ns0:v>0</ns0:v>
      </ns0:c>
      <ns0:c r="AA405" s="0">
        <ns0:f>IFERROR(IF(AND(J405&gt;0,'_Engine'!C405&gt;0,MID('_Engine'!W405,WEEKDAY(J405,2),1)="W",COUNTIF(Settings!$F$18:$F$67,J405)=0),1,0),0)</ns0:f>
        <ns0:v>0</ns0:v>
      </ns0:c>
      <ns0:c r="AB405" s="0">
        <ns0:f>IFERROR(IF(AND(T405&gt;0,'_Engine'!C405&gt;0,MID('_Engine'!W405,WEEKDAY(T405,2),1)="W",COUNTIF(Settings!$F$18:$F$67,T405)=0),1,0),0)</ns0:f>
        <ns0:v>0</ns0:v>
      </ns0:c>
      <ns0:c r="AC405" s="0">
        <ns0:f>IF(AND(J405&gt;0,T405&gt;0,W405&lt;=X405),1,0)</ns0:f>
        <ns0:v>0</ns0:v>
      </ns0:c>
      <ns0:c r="AD405" s="0">
        <ns0:f>IF(AND(J405&gt;0,T405&gt;0,Y405&lt;=Z405),1,0)</ns0:f>
        <ns0:v>0</ns0:v>
      </ns0:c>
    </ns0:row>
    <ns0:row r="406">
      <ns0:c r="A406" s="0">
        <ns0:f>IFERROR(IF(ISNUMBER(Bookings!B406),"",TRIM(Bookings!B406&amp;"")),"")</ns0:f>
      </ns0:c>
      <ns0:c r="B406" s="0">
        <ns0:f>IFERROR(SUBSTITUTE(SUBSTITUTE(A406,"/","."),"-","."),"")</ns0:f>
      </ns0:c>
      <ns0:c r="C406" s="0">
        <ns0:f>IFERROR(LEFT(B406,FIND(".",B406)-1),"")</ns0:f>
      </ns0:c>
      <ns0:c r="D406" s="0">
        <ns0:f>IFERROR(MID(B406,FIND(".",B406)+1,FIND(".",B406,FIND(".",B406)+1)-FIND(".",B406)-1),"")</ns0:f>
      </ns0:c>
      <ns0:c r="E406" s="0">
        <ns0:f>IFERROR(MID(B406,FIND(".",B406,FIND(".",B406)+1)+1,99),"")</ns0:f>
        <ns0:v>99</ns0:v>
      </ns0:c>
      <ns0:c r="F406" s="0">
        <ns0:f>IFERROR(IF(FIND(".",B406)=5,--C406,--E406),0)</ns0:f>
        <ns0:v>0</ns0:v>
      </ns0:c>
      <ns0:c r="G406" s="0">
        <ns0:f>IFERROR(--D406,0)</ns0:f>
        <ns0:v>0</ns0:v>
      </ns0:c>
      <ns0:c r="H406" s="0">
        <ns0:f>IFERROR(IF(FIND(".",B406)=5,--E406,--C406),0)</ns0:f>
        <ns0:v>0</ns0:v>
      </ns0:c>
      <ns0:c r="I406" s="0">
        <ns0:f>IFERROR(IF(AND(F406&gt;=2000,F406&lt;=2100,G406&gt;=1,G406&lt;=12,H406&gt;=1,H406&lt;=31),DATE(F406,G406,H406),0),0)</ns0:f>
        <ns0:v>0</ns0:v>
      </ns0:c>
      <ns0:c r="J406" s="0">
        <ns0:f>IFERROR(IF(ISNUMBER(Bookings!B406),IF(AND(Bookings!B406=INT(Bookings!B406),Bookings!B406&gt;=DATE(2000,1,1),Bookings!B406&lt;=DATE(2100,12,31)),Bookings!B406,0),IF(AND(A406&lt;&gt;"",LEN("x"&amp;B406)-LEN(SUBSTITUTE("x"&amp;B406,".",""))=2,OR(1&gt;LEN(B406),MID(B406,1,1)=".",ISNUMBER(FIND("x"&amp;MID(B406,1,1),"x0x1x2x3x4x5x6x7x8x9"))),OR(2&gt;LEN(B406),MID(B406,2,1)=".",ISNUMBER(FIND("x"&amp;MID(B406,2,1),"x0x1x2x3x4x5x6x7x8x9"))),OR(3&gt;LEN(B406),MID(B406,3,1)=".",ISNUMBER(FIND("x"&amp;MID(B406,3,1),"x0x1x2x3x4x5x6x7x8x9"))),OR(4&gt;LEN(B406),MID(B406,4,1)=".",ISNUMBER(FIND("x"&amp;MID(B406,4,1),"x0x1x2x3x4x5x6x7x8x9"))),OR(5&gt;LEN(B406),MID(B406,5,1)=".",ISNUMBER(FIND("x"&amp;MID(B406,5,1),"x0x1x2x3x4x5x6x7x8x9"))),OR(6&gt;LEN(B406),MID(B406,6,1)=".",ISNUMBER(FIND("x"&amp;MID(B406,6,1),"x0x1x2x3x4x5x6x7x8x9"))),OR(7&gt;LEN(B406),MID(B406,7,1)=".",ISNUMBER(FIND("x"&amp;MID(B406,7,1),"x0x1x2x3x4x5x6x7x8x9"))),OR(8&gt;LEN(B406),MID(B406,8,1)=".",ISNUMBER(FIND("x"&amp;MID(B406,8,1),"x0x1x2x3x4x5x6x7x8x9"))),OR(9&gt;LEN(B406),MID(B406,9,1)=".",ISNUMBER(FIND("x"&amp;MID(B406,9,1),"x0x1x2x3x4x5x6x7x8x9"))),OR(10&gt;LEN(B406),MID(B406,10,1)=".",ISNUMBER(FIND("x"&amp;MID(B406,10,1),"x0x1x2x3x4x5x6x7x8x9"))),OR(AND(FIND(".",B406)=5,LEN(B406)-FIND(".",B406,FIND(".",B406)+1)&gt;=1,LEN(B406)-FIND(".",B406,FIND(".",B406)+1)&lt;=2),AND(LEN(B406)-FIND(".",B406,FIND(".",B406)+1)=4,FIND(".",B406)&gt;=2,FIND(".",B406)&lt;=3)),FIND(".",B406,FIND(".",B406)+1)-FIND(".",B406)&gt;=2,FIND(".",B406,FIND(".",B406)+1)-FIND(".",B406)&lt;=3,F406&gt;=2000,F406&lt;=2100,YEAR(I406)=F406,MONTH(I406)=G406,DAY(I406)=H406),I406,0)),0)</ns0:f>
        <ns0:v>0</ns0:v>
      </ns0:c>
      <ns0:c r="K406" s="0">
        <ns0:f>IFERROR(IF(ISNUMBER(Bookings!D406),"",TRIM(Bookings!D406&amp;"")),"")</ns0:f>
      </ns0:c>
      <ns0:c r="L406" s="0">
        <ns0:f>IFERROR(SUBSTITUTE(SUBSTITUTE(K406,"/","."),"-","."),"")</ns0:f>
      </ns0:c>
      <ns0:c r="M406" s="0">
        <ns0:f>IFERROR(LEFT(L406,FIND(".",L406)-1),"")</ns0:f>
      </ns0:c>
      <ns0:c r="N406" s="0">
        <ns0:f>IFERROR(MID(L406,FIND(".",L406)+1,FIND(".",L406,FIND(".",L406)+1)-FIND(".",L406)-1),"")</ns0:f>
      </ns0:c>
      <ns0:c r="O406" s="0">
        <ns0:f>IFERROR(MID(L406,FIND(".",L406,FIND(".",L406)+1)+1,99),"")</ns0:f>
        <ns0:v>99</ns0:v>
      </ns0:c>
      <ns0:c r="P406" s="0">
        <ns0:f>IFERROR(IF(FIND(".",L406)=5,--M406,--O406),0)</ns0:f>
        <ns0:v>0</ns0:v>
      </ns0:c>
      <ns0:c r="Q406" s="0">
        <ns0:f>IFERROR(--N406,0)</ns0:f>
        <ns0:v>0</ns0:v>
      </ns0:c>
      <ns0:c r="R406" s="0">
        <ns0:f>IFERROR(IF(FIND(".",L406)=5,--O406,--M406),0)</ns0:f>
        <ns0:v>0</ns0:v>
      </ns0:c>
      <ns0:c r="S406" s="0">
        <ns0:f>IFERROR(IF(AND(P406&gt;=2000,P406&lt;=2100,Q406&gt;=1,Q406&lt;=12,R406&gt;=1,R406&lt;=31),DATE(P406,Q406,R406),0),0)</ns0:f>
        <ns0:v>0</ns0:v>
      </ns0:c>
      <ns0:c r="T406" s="0">
        <ns0:f>IFERROR(IF(ISNUMBER(Bookings!D406),IF(AND(Bookings!D406=INT(Bookings!D406),Bookings!D406&gt;=DATE(2000,1,1),Bookings!D406&lt;=DATE(2100,12,31)),Bookings!D406,0),IF(AND(K406&lt;&gt;"",LEN("x"&amp;L406)-LEN(SUBSTITUTE("x"&amp;L406,".",""))=2,OR(1&gt;LEN(L406),MID(L406,1,1)=".",ISNUMBER(FIND("x"&amp;MID(L406,1,1),"x0x1x2x3x4x5x6x7x8x9"))),OR(2&gt;LEN(L406),MID(L406,2,1)=".",ISNUMBER(FIND("x"&amp;MID(L406,2,1),"x0x1x2x3x4x5x6x7x8x9"))),OR(3&gt;LEN(L406),MID(L406,3,1)=".",ISNUMBER(FIND("x"&amp;MID(L406,3,1),"x0x1x2x3x4x5x6x7x8x9"))),OR(4&gt;LEN(L406),MID(L406,4,1)=".",ISNUMBER(FIND("x"&amp;MID(L406,4,1),"x0x1x2x3x4x5x6x7x8x9"))),OR(5&gt;LEN(L406),MID(L406,5,1)=".",ISNUMBER(FIND("x"&amp;MID(L406,5,1),"x0x1x2x3x4x5x6x7x8x9"))),OR(6&gt;LEN(L406),MID(L406,6,1)=".",ISNUMBER(FIND("x"&amp;MID(L406,6,1),"x0x1x2x3x4x5x6x7x8x9"))),OR(7&gt;LEN(L406),MID(L406,7,1)=".",ISNUMBER(FIND("x"&amp;MID(L406,7,1),"x0x1x2x3x4x5x6x7x8x9"))),OR(8&gt;LEN(L406),MID(L406,8,1)=".",ISNUMBER(FIND("x"&amp;MID(L406,8,1),"x0x1x2x3x4x5x6x7x8x9"))),OR(9&gt;LEN(L406),MID(L406,9,1)=".",ISNUMBER(FIND("x"&amp;MID(L406,9,1),"x0x1x2x3x4x5x6x7x8x9"))),OR(10&gt;LEN(L406),MID(L406,10,1)=".",ISNUMBER(FIND("x"&amp;MID(L406,10,1),"x0x1x2x3x4x5x6x7x8x9"))),OR(AND(FIND(".",L406)=5,LEN(L406)-FIND(".",L406,FIND(".",L406)+1)&gt;=1,LEN(L406)-FIND(".",L406,FIND(".",L406)+1)&lt;=2),AND(LEN(L406)-FIND(".",L406,FIND(".",L406)+1)=4,FIND(".",L406)&gt;=2,FIND(".",L406)&lt;=3)),FIND(".",L406,FIND(".",L406)+1)-FIND(".",L406)&gt;=2,FIND(".",L406,FIND(".",L406)+1)-FIND(".",L406)&lt;=3,P406&gt;=2000,P406&lt;=2100,YEAR(S406)=P406,MONTH(S406)=Q406,DAY(S406)=R406),S406,0)),0)</ns0:f>
        <ns0:v>0</ns0:v>
      </ns0:c>
      <ns0:c r="U406" s="0" t="str">
        <ns0:f>IF(Bookings!C406="","Full day",Bookings!C406)</ns0:f>
        <ns0:v>Full day</ns0:v>
      </ns0:c>
      <ns0:c r="V406" s="0" t="str">
        <ns0:f>IF(Bookings!E406="","Full day",Bookings!E406)</ns0:f>
        <ns0:v>Full day</ns0:v>
      </ns0:c>
      <ns0:c r="W406" s="0">
        <ns0:f>IF(J406=0,0,J406+IF(U406="PM",1,0))</ns0:f>
        <ns0:v>0</ns0:v>
      </ns0:c>
      <ns0:c r="X406" s="0">
        <ns0:f>IF(T406=0,0,T406-IF(V406="PM",1,0))</ns0:f>
        <ns0:v>0</ns0:v>
      </ns0:c>
      <ns0:c r="Y406" s="0">
        <ns0:f>IF(J406=0,0,J406+IF(U406="AM",1,0))</ns0:f>
        <ns0:v>0</ns0:v>
      </ns0:c>
      <ns0:c r="Z406" s="0">
        <ns0:f>IF(T406=0,0,T406-IF(V406="AM",1,0))</ns0:f>
        <ns0:v>0</ns0:v>
      </ns0:c>
      <ns0:c r="AA406" s="0">
        <ns0:f>IFERROR(IF(AND(J406&gt;0,'_Engine'!C406&gt;0,MID('_Engine'!W406,WEEKDAY(J406,2),1)="W",COUNTIF(Settings!$F$18:$F$67,J406)=0),1,0),0)</ns0:f>
        <ns0:v>0</ns0:v>
      </ns0:c>
      <ns0:c r="AB406" s="0">
        <ns0:f>IFERROR(IF(AND(T406&gt;0,'_Engine'!C406&gt;0,MID('_Engine'!W406,WEEKDAY(T406,2),1)="W",COUNTIF(Settings!$F$18:$F$67,T406)=0),1,0),0)</ns0:f>
        <ns0:v>0</ns0:v>
      </ns0:c>
      <ns0:c r="AC406" s="0">
        <ns0:f>IF(AND(J406&gt;0,T406&gt;0,W406&lt;=X406),1,0)</ns0:f>
        <ns0:v>0</ns0:v>
      </ns0:c>
      <ns0:c r="AD406" s="0">
        <ns0:f>IF(AND(J406&gt;0,T406&gt;0,Y406&lt;=Z406),1,0)</ns0:f>
        <ns0:v>0</ns0:v>
      </ns0:c>
    </ns0:row>
    <ns0:row r="407">
      <ns0:c r="A407" s="0">
        <ns0:f>IFERROR(IF(ISNUMBER(Bookings!B407),"",TRIM(Bookings!B407&amp;"")),"")</ns0:f>
      </ns0:c>
      <ns0:c r="B407" s="0">
        <ns0:f>IFERROR(SUBSTITUTE(SUBSTITUTE(A407,"/","."),"-","."),"")</ns0:f>
      </ns0:c>
      <ns0:c r="C407" s="0">
        <ns0:f>IFERROR(LEFT(B407,FIND(".",B407)-1),"")</ns0:f>
      </ns0:c>
      <ns0:c r="D407" s="0">
        <ns0:f>IFERROR(MID(B407,FIND(".",B407)+1,FIND(".",B407,FIND(".",B407)+1)-FIND(".",B407)-1),"")</ns0:f>
      </ns0:c>
      <ns0:c r="E407" s="0">
        <ns0:f>IFERROR(MID(B407,FIND(".",B407,FIND(".",B407)+1)+1,99),"")</ns0:f>
        <ns0:v>99</ns0:v>
      </ns0:c>
      <ns0:c r="F407" s="0">
        <ns0:f>IFERROR(IF(FIND(".",B407)=5,--C407,--E407),0)</ns0:f>
        <ns0:v>0</ns0:v>
      </ns0:c>
      <ns0:c r="G407" s="0">
        <ns0:f>IFERROR(--D407,0)</ns0:f>
        <ns0:v>0</ns0:v>
      </ns0:c>
      <ns0:c r="H407" s="0">
        <ns0:f>IFERROR(IF(FIND(".",B407)=5,--E407,--C407),0)</ns0:f>
        <ns0:v>0</ns0:v>
      </ns0:c>
      <ns0:c r="I407" s="0">
        <ns0:f>IFERROR(IF(AND(F407&gt;=2000,F407&lt;=2100,G407&gt;=1,G407&lt;=12,H407&gt;=1,H407&lt;=31),DATE(F407,G407,H407),0),0)</ns0:f>
        <ns0:v>0</ns0:v>
      </ns0:c>
      <ns0:c r="J407" s="0">
        <ns0:f>IFERROR(IF(ISNUMBER(Bookings!B407),IF(AND(Bookings!B407=INT(Bookings!B407),Bookings!B407&gt;=DATE(2000,1,1),Bookings!B407&lt;=DATE(2100,12,31)),Bookings!B407,0),IF(AND(A407&lt;&gt;"",LEN("x"&amp;B407)-LEN(SUBSTITUTE("x"&amp;B407,".",""))=2,OR(1&gt;LEN(B407),MID(B407,1,1)=".",ISNUMBER(FIND("x"&amp;MID(B407,1,1),"x0x1x2x3x4x5x6x7x8x9"))),OR(2&gt;LEN(B407),MID(B407,2,1)=".",ISNUMBER(FIND("x"&amp;MID(B407,2,1),"x0x1x2x3x4x5x6x7x8x9"))),OR(3&gt;LEN(B407),MID(B407,3,1)=".",ISNUMBER(FIND("x"&amp;MID(B407,3,1),"x0x1x2x3x4x5x6x7x8x9"))),OR(4&gt;LEN(B407),MID(B407,4,1)=".",ISNUMBER(FIND("x"&amp;MID(B407,4,1),"x0x1x2x3x4x5x6x7x8x9"))),OR(5&gt;LEN(B407),MID(B407,5,1)=".",ISNUMBER(FIND("x"&amp;MID(B407,5,1),"x0x1x2x3x4x5x6x7x8x9"))),OR(6&gt;LEN(B407),MID(B407,6,1)=".",ISNUMBER(FIND("x"&amp;MID(B407,6,1),"x0x1x2x3x4x5x6x7x8x9"))),OR(7&gt;LEN(B407),MID(B407,7,1)=".",ISNUMBER(FIND("x"&amp;MID(B407,7,1),"x0x1x2x3x4x5x6x7x8x9"))),OR(8&gt;LEN(B407),MID(B407,8,1)=".",ISNUMBER(FIND("x"&amp;MID(B407,8,1),"x0x1x2x3x4x5x6x7x8x9"))),OR(9&gt;LEN(B407),MID(B407,9,1)=".",ISNUMBER(FIND("x"&amp;MID(B407,9,1),"x0x1x2x3x4x5x6x7x8x9"))),OR(10&gt;LEN(B407),MID(B407,10,1)=".",ISNUMBER(FIND("x"&amp;MID(B407,10,1),"x0x1x2x3x4x5x6x7x8x9"))),OR(AND(FIND(".",B407)=5,LEN(B407)-FIND(".",B407,FIND(".",B407)+1)&gt;=1,LEN(B407)-FIND(".",B407,FIND(".",B407)+1)&lt;=2),AND(LEN(B407)-FIND(".",B407,FIND(".",B407)+1)=4,FIND(".",B407)&gt;=2,FIND(".",B407)&lt;=3)),FIND(".",B407,FIND(".",B407)+1)-FIND(".",B407)&gt;=2,FIND(".",B407,FIND(".",B407)+1)-FIND(".",B407)&lt;=3,F407&gt;=2000,F407&lt;=2100,YEAR(I407)=F407,MONTH(I407)=G407,DAY(I407)=H407),I407,0)),0)</ns0:f>
        <ns0:v>0</ns0:v>
      </ns0:c>
      <ns0:c r="K407" s="0">
        <ns0:f>IFERROR(IF(ISNUMBER(Bookings!D407),"",TRIM(Bookings!D407&amp;"")),"")</ns0:f>
      </ns0:c>
      <ns0:c r="L407" s="0">
        <ns0:f>IFERROR(SUBSTITUTE(SUBSTITUTE(K407,"/","."),"-","."),"")</ns0:f>
      </ns0:c>
      <ns0:c r="M407" s="0">
        <ns0:f>IFERROR(LEFT(L407,FIND(".",L407)-1),"")</ns0:f>
      </ns0:c>
      <ns0:c r="N407" s="0">
        <ns0:f>IFERROR(MID(L407,FIND(".",L407)+1,FIND(".",L407,FIND(".",L407)+1)-FIND(".",L407)-1),"")</ns0:f>
      </ns0:c>
      <ns0:c r="O407" s="0">
        <ns0:f>IFERROR(MID(L407,FIND(".",L407,FIND(".",L407)+1)+1,99),"")</ns0:f>
        <ns0:v>99</ns0:v>
      </ns0:c>
      <ns0:c r="P407" s="0">
        <ns0:f>IFERROR(IF(FIND(".",L407)=5,--M407,--O407),0)</ns0:f>
        <ns0:v>0</ns0:v>
      </ns0:c>
      <ns0:c r="Q407" s="0">
        <ns0:f>IFERROR(--N407,0)</ns0:f>
        <ns0:v>0</ns0:v>
      </ns0:c>
      <ns0:c r="R407" s="0">
        <ns0:f>IFERROR(IF(FIND(".",L407)=5,--O407,--M407),0)</ns0:f>
        <ns0:v>0</ns0:v>
      </ns0:c>
      <ns0:c r="S407" s="0">
        <ns0:f>IFERROR(IF(AND(P407&gt;=2000,P407&lt;=2100,Q407&gt;=1,Q407&lt;=12,R407&gt;=1,R407&lt;=31),DATE(P407,Q407,R407),0),0)</ns0:f>
        <ns0:v>0</ns0:v>
      </ns0:c>
      <ns0:c r="T407" s="0">
        <ns0:f>IFERROR(IF(ISNUMBER(Bookings!D407),IF(AND(Bookings!D407=INT(Bookings!D407),Bookings!D407&gt;=DATE(2000,1,1),Bookings!D407&lt;=DATE(2100,12,31)),Bookings!D407,0),IF(AND(K407&lt;&gt;"",LEN("x"&amp;L407)-LEN(SUBSTITUTE("x"&amp;L407,".",""))=2,OR(1&gt;LEN(L407),MID(L407,1,1)=".",ISNUMBER(FIND("x"&amp;MID(L407,1,1),"x0x1x2x3x4x5x6x7x8x9"))),OR(2&gt;LEN(L407),MID(L407,2,1)=".",ISNUMBER(FIND("x"&amp;MID(L407,2,1),"x0x1x2x3x4x5x6x7x8x9"))),OR(3&gt;LEN(L407),MID(L407,3,1)=".",ISNUMBER(FIND("x"&amp;MID(L407,3,1),"x0x1x2x3x4x5x6x7x8x9"))),OR(4&gt;LEN(L407),MID(L407,4,1)=".",ISNUMBER(FIND("x"&amp;MID(L407,4,1),"x0x1x2x3x4x5x6x7x8x9"))),OR(5&gt;LEN(L407),MID(L407,5,1)=".",ISNUMBER(FIND("x"&amp;MID(L407,5,1),"x0x1x2x3x4x5x6x7x8x9"))),OR(6&gt;LEN(L407),MID(L407,6,1)=".",ISNUMBER(FIND("x"&amp;MID(L407,6,1),"x0x1x2x3x4x5x6x7x8x9"))),OR(7&gt;LEN(L407),MID(L407,7,1)=".",ISNUMBER(FIND("x"&amp;MID(L407,7,1),"x0x1x2x3x4x5x6x7x8x9"))),OR(8&gt;LEN(L407),MID(L407,8,1)=".",ISNUMBER(FIND("x"&amp;MID(L407,8,1),"x0x1x2x3x4x5x6x7x8x9"))),OR(9&gt;LEN(L407),MID(L407,9,1)=".",ISNUMBER(FIND("x"&amp;MID(L407,9,1),"x0x1x2x3x4x5x6x7x8x9"))),OR(10&gt;LEN(L407),MID(L407,10,1)=".",ISNUMBER(FIND("x"&amp;MID(L407,10,1),"x0x1x2x3x4x5x6x7x8x9"))),OR(AND(FIND(".",L407)=5,LEN(L407)-FIND(".",L407,FIND(".",L407)+1)&gt;=1,LEN(L407)-FIND(".",L407,FIND(".",L407)+1)&lt;=2),AND(LEN(L407)-FIND(".",L407,FIND(".",L407)+1)=4,FIND(".",L407)&gt;=2,FIND(".",L407)&lt;=3)),FIND(".",L407,FIND(".",L407)+1)-FIND(".",L407)&gt;=2,FIND(".",L407,FIND(".",L407)+1)-FIND(".",L407)&lt;=3,P407&gt;=2000,P407&lt;=2100,YEAR(S407)=P407,MONTH(S407)=Q407,DAY(S407)=R407),S407,0)),0)</ns0:f>
        <ns0:v>0</ns0:v>
      </ns0:c>
      <ns0:c r="U407" s="0" t="str">
        <ns0:f>IF(Bookings!C407="","Full day",Bookings!C407)</ns0:f>
        <ns0:v>Full day</ns0:v>
      </ns0:c>
      <ns0:c r="V407" s="0" t="str">
        <ns0:f>IF(Bookings!E407="","Full day",Bookings!E407)</ns0:f>
        <ns0:v>Full day</ns0:v>
      </ns0:c>
      <ns0:c r="W407" s="0">
        <ns0:f>IF(J407=0,0,J407+IF(U407="PM",1,0))</ns0:f>
        <ns0:v>0</ns0:v>
      </ns0:c>
      <ns0:c r="X407" s="0">
        <ns0:f>IF(T407=0,0,T407-IF(V407="PM",1,0))</ns0:f>
        <ns0:v>0</ns0:v>
      </ns0:c>
      <ns0:c r="Y407" s="0">
        <ns0:f>IF(J407=0,0,J407+IF(U407="AM",1,0))</ns0:f>
        <ns0:v>0</ns0:v>
      </ns0:c>
      <ns0:c r="Z407" s="0">
        <ns0:f>IF(T407=0,0,T407-IF(V407="AM",1,0))</ns0:f>
        <ns0:v>0</ns0:v>
      </ns0:c>
      <ns0:c r="AA407" s="0">
        <ns0:f>IFERROR(IF(AND(J407&gt;0,'_Engine'!C407&gt;0,MID('_Engine'!W407,WEEKDAY(J407,2),1)="W",COUNTIF(Settings!$F$18:$F$67,J407)=0),1,0),0)</ns0:f>
        <ns0:v>0</ns0:v>
      </ns0:c>
      <ns0:c r="AB407" s="0">
        <ns0:f>IFERROR(IF(AND(T407&gt;0,'_Engine'!C407&gt;0,MID('_Engine'!W407,WEEKDAY(T407,2),1)="W",COUNTIF(Settings!$F$18:$F$67,T407)=0),1,0),0)</ns0:f>
        <ns0:v>0</ns0:v>
      </ns0:c>
      <ns0:c r="AC407" s="0">
        <ns0:f>IF(AND(J407&gt;0,T407&gt;0,W407&lt;=X407),1,0)</ns0:f>
        <ns0:v>0</ns0:v>
      </ns0:c>
      <ns0:c r="AD407" s="0">
        <ns0:f>IF(AND(J407&gt;0,T407&gt;0,Y407&lt;=Z407),1,0)</ns0:f>
        <ns0:v>0</ns0:v>
      </ns0:c>
    </ns0:row>
    <ns0:row r="408">
      <ns0:c r="A408" s="0">
        <ns0:f>IFERROR(IF(ISNUMBER(Bookings!B408),"",TRIM(Bookings!B408&amp;"")),"")</ns0:f>
      </ns0:c>
      <ns0:c r="B408" s="0">
        <ns0:f>IFERROR(SUBSTITUTE(SUBSTITUTE(A408,"/","."),"-","."),"")</ns0:f>
      </ns0:c>
      <ns0:c r="C408" s="0">
        <ns0:f>IFERROR(LEFT(B408,FIND(".",B408)-1),"")</ns0:f>
      </ns0:c>
      <ns0:c r="D408" s="0">
        <ns0:f>IFERROR(MID(B408,FIND(".",B408)+1,FIND(".",B408,FIND(".",B408)+1)-FIND(".",B408)-1),"")</ns0:f>
      </ns0:c>
      <ns0:c r="E408" s="0">
        <ns0:f>IFERROR(MID(B408,FIND(".",B408,FIND(".",B408)+1)+1,99),"")</ns0:f>
        <ns0:v>99</ns0:v>
      </ns0:c>
      <ns0:c r="F408" s="0">
        <ns0:f>IFERROR(IF(FIND(".",B408)=5,--C408,--E408),0)</ns0:f>
        <ns0:v>0</ns0:v>
      </ns0:c>
      <ns0:c r="G408" s="0">
        <ns0:f>IFERROR(--D408,0)</ns0:f>
        <ns0:v>0</ns0:v>
      </ns0:c>
      <ns0:c r="H408" s="0">
        <ns0:f>IFERROR(IF(FIND(".",B408)=5,--E408,--C408),0)</ns0:f>
        <ns0:v>0</ns0:v>
      </ns0:c>
      <ns0:c r="I408" s="0">
        <ns0:f>IFERROR(IF(AND(F408&gt;=2000,F408&lt;=2100,G408&gt;=1,G408&lt;=12,H408&gt;=1,H408&lt;=31),DATE(F408,G408,H408),0),0)</ns0:f>
        <ns0:v>0</ns0:v>
      </ns0:c>
      <ns0:c r="J408" s="0">
        <ns0:f>IFERROR(IF(ISNUMBER(Bookings!B408),IF(AND(Bookings!B408=INT(Bookings!B408),Bookings!B408&gt;=DATE(2000,1,1),Bookings!B408&lt;=DATE(2100,12,31)),Bookings!B408,0),IF(AND(A408&lt;&gt;"",LEN("x"&amp;B408)-LEN(SUBSTITUTE("x"&amp;B408,".",""))=2,OR(1&gt;LEN(B408),MID(B408,1,1)=".",ISNUMBER(FIND("x"&amp;MID(B408,1,1),"x0x1x2x3x4x5x6x7x8x9"))),OR(2&gt;LEN(B408),MID(B408,2,1)=".",ISNUMBER(FIND("x"&amp;MID(B408,2,1),"x0x1x2x3x4x5x6x7x8x9"))),OR(3&gt;LEN(B408),MID(B408,3,1)=".",ISNUMBER(FIND("x"&amp;MID(B408,3,1),"x0x1x2x3x4x5x6x7x8x9"))),OR(4&gt;LEN(B408),MID(B408,4,1)=".",ISNUMBER(FIND("x"&amp;MID(B408,4,1),"x0x1x2x3x4x5x6x7x8x9"))),OR(5&gt;LEN(B408),MID(B408,5,1)=".",ISNUMBER(FIND("x"&amp;MID(B408,5,1),"x0x1x2x3x4x5x6x7x8x9"))),OR(6&gt;LEN(B408),MID(B408,6,1)=".",ISNUMBER(FIND("x"&amp;MID(B408,6,1),"x0x1x2x3x4x5x6x7x8x9"))),OR(7&gt;LEN(B408),MID(B408,7,1)=".",ISNUMBER(FIND("x"&amp;MID(B408,7,1),"x0x1x2x3x4x5x6x7x8x9"))),OR(8&gt;LEN(B408),MID(B408,8,1)=".",ISNUMBER(FIND("x"&amp;MID(B408,8,1),"x0x1x2x3x4x5x6x7x8x9"))),OR(9&gt;LEN(B408),MID(B408,9,1)=".",ISNUMBER(FIND("x"&amp;MID(B408,9,1),"x0x1x2x3x4x5x6x7x8x9"))),OR(10&gt;LEN(B408),MID(B408,10,1)=".",ISNUMBER(FIND("x"&amp;MID(B408,10,1),"x0x1x2x3x4x5x6x7x8x9"))),OR(AND(FIND(".",B408)=5,LEN(B408)-FIND(".",B408,FIND(".",B408)+1)&gt;=1,LEN(B408)-FIND(".",B408,FIND(".",B408)+1)&lt;=2),AND(LEN(B408)-FIND(".",B408,FIND(".",B408)+1)=4,FIND(".",B408)&gt;=2,FIND(".",B408)&lt;=3)),FIND(".",B408,FIND(".",B408)+1)-FIND(".",B408)&gt;=2,FIND(".",B408,FIND(".",B408)+1)-FIND(".",B408)&lt;=3,F408&gt;=2000,F408&lt;=2100,YEAR(I408)=F408,MONTH(I408)=G408,DAY(I408)=H408),I408,0)),0)</ns0:f>
        <ns0:v>0</ns0:v>
      </ns0:c>
      <ns0:c r="K408" s="0">
        <ns0:f>IFERROR(IF(ISNUMBER(Bookings!D408),"",TRIM(Bookings!D408&amp;"")),"")</ns0:f>
      </ns0:c>
      <ns0:c r="L408" s="0">
        <ns0:f>IFERROR(SUBSTITUTE(SUBSTITUTE(K408,"/","."),"-","."),"")</ns0:f>
      </ns0:c>
      <ns0:c r="M408" s="0">
        <ns0:f>IFERROR(LEFT(L408,FIND(".",L408)-1),"")</ns0:f>
      </ns0:c>
      <ns0:c r="N408" s="0">
        <ns0:f>IFERROR(MID(L408,FIND(".",L408)+1,FIND(".",L408,FIND(".",L408)+1)-FIND(".",L408)-1),"")</ns0:f>
      </ns0:c>
      <ns0:c r="O408" s="0">
        <ns0:f>IFERROR(MID(L408,FIND(".",L408,FIND(".",L408)+1)+1,99),"")</ns0:f>
        <ns0:v>99</ns0:v>
      </ns0:c>
      <ns0:c r="P408" s="0">
        <ns0:f>IFERROR(IF(FIND(".",L408)=5,--M408,--O408),0)</ns0:f>
        <ns0:v>0</ns0:v>
      </ns0:c>
      <ns0:c r="Q408" s="0">
        <ns0:f>IFERROR(--N408,0)</ns0:f>
        <ns0:v>0</ns0:v>
      </ns0:c>
      <ns0:c r="R408" s="0">
        <ns0:f>IFERROR(IF(FIND(".",L408)=5,--O408,--M408),0)</ns0:f>
        <ns0:v>0</ns0:v>
      </ns0:c>
      <ns0:c r="S408" s="0">
        <ns0:f>IFERROR(IF(AND(P408&gt;=2000,P408&lt;=2100,Q408&gt;=1,Q408&lt;=12,R408&gt;=1,R408&lt;=31),DATE(P408,Q408,R408),0),0)</ns0:f>
        <ns0:v>0</ns0:v>
      </ns0:c>
      <ns0:c r="T408" s="0">
        <ns0:f>IFERROR(IF(ISNUMBER(Bookings!D408),IF(AND(Bookings!D408=INT(Bookings!D408),Bookings!D408&gt;=DATE(2000,1,1),Bookings!D408&lt;=DATE(2100,12,31)),Bookings!D408,0),IF(AND(K408&lt;&gt;"",LEN("x"&amp;L408)-LEN(SUBSTITUTE("x"&amp;L408,".",""))=2,OR(1&gt;LEN(L408),MID(L408,1,1)=".",ISNUMBER(FIND("x"&amp;MID(L408,1,1),"x0x1x2x3x4x5x6x7x8x9"))),OR(2&gt;LEN(L408),MID(L408,2,1)=".",ISNUMBER(FIND("x"&amp;MID(L408,2,1),"x0x1x2x3x4x5x6x7x8x9"))),OR(3&gt;LEN(L408),MID(L408,3,1)=".",ISNUMBER(FIND("x"&amp;MID(L408,3,1),"x0x1x2x3x4x5x6x7x8x9"))),OR(4&gt;LEN(L408),MID(L408,4,1)=".",ISNUMBER(FIND("x"&amp;MID(L408,4,1),"x0x1x2x3x4x5x6x7x8x9"))),OR(5&gt;LEN(L408),MID(L408,5,1)=".",ISNUMBER(FIND("x"&amp;MID(L408,5,1),"x0x1x2x3x4x5x6x7x8x9"))),OR(6&gt;LEN(L408),MID(L408,6,1)=".",ISNUMBER(FIND("x"&amp;MID(L408,6,1),"x0x1x2x3x4x5x6x7x8x9"))),OR(7&gt;LEN(L408),MID(L408,7,1)=".",ISNUMBER(FIND("x"&amp;MID(L408,7,1),"x0x1x2x3x4x5x6x7x8x9"))),OR(8&gt;LEN(L408),MID(L408,8,1)=".",ISNUMBER(FIND("x"&amp;MID(L408,8,1),"x0x1x2x3x4x5x6x7x8x9"))),OR(9&gt;LEN(L408),MID(L408,9,1)=".",ISNUMBER(FIND("x"&amp;MID(L408,9,1),"x0x1x2x3x4x5x6x7x8x9"))),OR(10&gt;LEN(L408),MID(L408,10,1)=".",ISNUMBER(FIND("x"&amp;MID(L408,10,1),"x0x1x2x3x4x5x6x7x8x9"))),OR(AND(FIND(".",L408)=5,LEN(L408)-FIND(".",L408,FIND(".",L408)+1)&gt;=1,LEN(L408)-FIND(".",L408,FIND(".",L408)+1)&lt;=2),AND(LEN(L408)-FIND(".",L408,FIND(".",L408)+1)=4,FIND(".",L408)&gt;=2,FIND(".",L408)&lt;=3)),FIND(".",L408,FIND(".",L408)+1)-FIND(".",L408)&gt;=2,FIND(".",L408,FIND(".",L408)+1)-FIND(".",L408)&lt;=3,P408&gt;=2000,P408&lt;=2100,YEAR(S408)=P408,MONTH(S408)=Q408,DAY(S408)=R408),S408,0)),0)</ns0:f>
        <ns0:v>0</ns0:v>
      </ns0:c>
      <ns0:c r="U408" s="0" t="str">
        <ns0:f>IF(Bookings!C408="","Full day",Bookings!C408)</ns0:f>
        <ns0:v>Full day</ns0:v>
      </ns0:c>
      <ns0:c r="V408" s="0" t="str">
        <ns0:f>IF(Bookings!E408="","Full day",Bookings!E408)</ns0:f>
        <ns0:v>Full day</ns0:v>
      </ns0:c>
      <ns0:c r="W408" s="0">
        <ns0:f>IF(J408=0,0,J408+IF(U408="PM",1,0))</ns0:f>
        <ns0:v>0</ns0:v>
      </ns0:c>
      <ns0:c r="X408" s="0">
        <ns0:f>IF(T408=0,0,T408-IF(V408="PM",1,0))</ns0:f>
        <ns0:v>0</ns0:v>
      </ns0:c>
      <ns0:c r="Y408" s="0">
        <ns0:f>IF(J408=0,0,J408+IF(U408="AM",1,0))</ns0:f>
        <ns0:v>0</ns0:v>
      </ns0:c>
      <ns0:c r="Z408" s="0">
        <ns0:f>IF(T408=0,0,T408-IF(V408="AM",1,0))</ns0:f>
        <ns0:v>0</ns0:v>
      </ns0:c>
      <ns0:c r="AA408" s="0">
        <ns0:f>IFERROR(IF(AND(J408&gt;0,'_Engine'!C408&gt;0,MID('_Engine'!W408,WEEKDAY(J408,2),1)="W",COUNTIF(Settings!$F$18:$F$67,J408)=0),1,0),0)</ns0:f>
        <ns0:v>0</ns0:v>
      </ns0:c>
      <ns0:c r="AB408" s="0">
        <ns0:f>IFERROR(IF(AND(T408&gt;0,'_Engine'!C408&gt;0,MID('_Engine'!W408,WEEKDAY(T408,2),1)="W",COUNTIF(Settings!$F$18:$F$67,T408)=0),1,0),0)</ns0:f>
        <ns0:v>0</ns0:v>
      </ns0:c>
      <ns0:c r="AC408" s="0">
        <ns0:f>IF(AND(J408&gt;0,T408&gt;0,W408&lt;=X408),1,0)</ns0:f>
        <ns0:v>0</ns0:v>
      </ns0:c>
      <ns0:c r="AD408" s="0">
        <ns0:f>IF(AND(J408&gt;0,T408&gt;0,Y408&lt;=Z408),1,0)</ns0:f>
        <ns0:v>0</ns0:v>
      </ns0:c>
    </ns0:row>
    <ns0:row r="409">
      <ns0:c r="A409" s="0">
        <ns0:f>IFERROR(IF(ISNUMBER(Bookings!B409),"",TRIM(Bookings!B409&amp;"")),"")</ns0:f>
      </ns0:c>
      <ns0:c r="B409" s="0">
        <ns0:f>IFERROR(SUBSTITUTE(SUBSTITUTE(A409,"/","."),"-","."),"")</ns0:f>
      </ns0:c>
      <ns0:c r="C409" s="0">
        <ns0:f>IFERROR(LEFT(B409,FIND(".",B409)-1),"")</ns0:f>
      </ns0:c>
      <ns0:c r="D409" s="0">
        <ns0:f>IFERROR(MID(B409,FIND(".",B409)+1,FIND(".",B409,FIND(".",B409)+1)-FIND(".",B409)-1),"")</ns0:f>
      </ns0:c>
      <ns0:c r="E409" s="0">
        <ns0:f>IFERROR(MID(B409,FIND(".",B409,FIND(".",B409)+1)+1,99),"")</ns0:f>
        <ns0:v>99</ns0:v>
      </ns0:c>
      <ns0:c r="F409" s="0">
        <ns0:f>IFERROR(IF(FIND(".",B409)=5,--C409,--E409),0)</ns0:f>
        <ns0:v>0</ns0:v>
      </ns0:c>
      <ns0:c r="G409" s="0">
        <ns0:f>IFERROR(--D409,0)</ns0:f>
        <ns0:v>0</ns0:v>
      </ns0:c>
      <ns0:c r="H409" s="0">
        <ns0:f>IFERROR(IF(FIND(".",B409)=5,--E409,--C409),0)</ns0:f>
        <ns0:v>0</ns0:v>
      </ns0:c>
      <ns0:c r="I409" s="0">
        <ns0:f>IFERROR(IF(AND(F409&gt;=2000,F409&lt;=2100,G409&gt;=1,G409&lt;=12,H409&gt;=1,H409&lt;=31),DATE(F409,G409,H409),0),0)</ns0:f>
        <ns0:v>0</ns0:v>
      </ns0:c>
      <ns0:c r="J409" s="0">
        <ns0:f>IFERROR(IF(ISNUMBER(Bookings!B409),IF(AND(Bookings!B409=INT(Bookings!B409),Bookings!B409&gt;=DATE(2000,1,1),Bookings!B409&lt;=DATE(2100,12,31)),Bookings!B409,0),IF(AND(A409&lt;&gt;"",LEN("x"&amp;B409)-LEN(SUBSTITUTE("x"&amp;B409,".",""))=2,OR(1&gt;LEN(B409),MID(B409,1,1)=".",ISNUMBER(FIND("x"&amp;MID(B409,1,1),"x0x1x2x3x4x5x6x7x8x9"))),OR(2&gt;LEN(B409),MID(B409,2,1)=".",ISNUMBER(FIND("x"&amp;MID(B409,2,1),"x0x1x2x3x4x5x6x7x8x9"))),OR(3&gt;LEN(B409),MID(B409,3,1)=".",ISNUMBER(FIND("x"&amp;MID(B409,3,1),"x0x1x2x3x4x5x6x7x8x9"))),OR(4&gt;LEN(B409),MID(B409,4,1)=".",ISNUMBER(FIND("x"&amp;MID(B409,4,1),"x0x1x2x3x4x5x6x7x8x9"))),OR(5&gt;LEN(B409),MID(B409,5,1)=".",ISNUMBER(FIND("x"&amp;MID(B409,5,1),"x0x1x2x3x4x5x6x7x8x9"))),OR(6&gt;LEN(B409),MID(B409,6,1)=".",ISNUMBER(FIND("x"&amp;MID(B409,6,1),"x0x1x2x3x4x5x6x7x8x9"))),OR(7&gt;LEN(B409),MID(B409,7,1)=".",ISNUMBER(FIND("x"&amp;MID(B409,7,1),"x0x1x2x3x4x5x6x7x8x9"))),OR(8&gt;LEN(B409),MID(B409,8,1)=".",ISNUMBER(FIND("x"&amp;MID(B409,8,1),"x0x1x2x3x4x5x6x7x8x9"))),OR(9&gt;LEN(B409),MID(B409,9,1)=".",ISNUMBER(FIND("x"&amp;MID(B409,9,1),"x0x1x2x3x4x5x6x7x8x9"))),OR(10&gt;LEN(B409),MID(B409,10,1)=".",ISNUMBER(FIND("x"&amp;MID(B409,10,1),"x0x1x2x3x4x5x6x7x8x9"))),OR(AND(FIND(".",B409)=5,LEN(B409)-FIND(".",B409,FIND(".",B409)+1)&gt;=1,LEN(B409)-FIND(".",B409,FIND(".",B409)+1)&lt;=2),AND(LEN(B409)-FIND(".",B409,FIND(".",B409)+1)=4,FIND(".",B409)&gt;=2,FIND(".",B409)&lt;=3)),FIND(".",B409,FIND(".",B409)+1)-FIND(".",B409)&gt;=2,FIND(".",B409,FIND(".",B409)+1)-FIND(".",B409)&lt;=3,F409&gt;=2000,F409&lt;=2100,YEAR(I409)=F409,MONTH(I409)=G409,DAY(I409)=H409),I409,0)),0)</ns0:f>
        <ns0:v>0</ns0:v>
      </ns0:c>
      <ns0:c r="K409" s="0">
        <ns0:f>IFERROR(IF(ISNUMBER(Bookings!D409),"",TRIM(Bookings!D409&amp;"")),"")</ns0:f>
      </ns0:c>
      <ns0:c r="L409" s="0">
        <ns0:f>IFERROR(SUBSTITUTE(SUBSTITUTE(K409,"/","."),"-","."),"")</ns0:f>
      </ns0:c>
      <ns0:c r="M409" s="0">
        <ns0:f>IFERROR(LEFT(L409,FIND(".",L409)-1),"")</ns0:f>
      </ns0:c>
      <ns0:c r="N409" s="0">
        <ns0:f>IFERROR(MID(L409,FIND(".",L409)+1,FIND(".",L409,FIND(".",L409)+1)-FIND(".",L409)-1),"")</ns0:f>
      </ns0:c>
      <ns0:c r="O409" s="0">
        <ns0:f>IFERROR(MID(L409,FIND(".",L409,FIND(".",L409)+1)+1,99),"")</ns0:f>
        <ns0:v>99</ns0:v>
      </ns0:c>
      <ns0:c r="P409" s="0">
        <ns0:f>IFERROR(IF(FIND(".",L409)=5,--M409,--O409),0)</ns0:f>
        <ns0:v>0</ns0:v>
      </ns0:c>
      <ns0:c r="Q409" s="0">
        <ns0:f>IFERROR(--N409,0)</ns0:f>
        <ns0:v>0</ns0:v>
      </ns0:c>
      <ns0:c r="R409" s="0">
        <ns0:f>IFERROR(IF(FIND(".",L409)=5,--O409,--M409),0)</ns0:f>
        <ns0:v>0</ns0:v>
      </ns0:c>
      <ns0:c r="S409" s="0">
        <ns0:f>IFERROR(IF(AND(P409&gt;=2000,P409&lt;=2100,Q409&gt;=1,Q409&lt;=12,R409&gt;=1,R409&lt;=31),DATE(P409,Q409,R409),0),0)</ns0:f>
        <ns0:v>0</ns0:v>
      </ns0:c>
      <ns0:c r="T409" s="0">
        <ns0:f>IFERROR(IF(ISNUMBER(Bookings!D409),IF(AND(Bookings!D409=INT(Bookings!D409),Bookings!D409&gt;=DATE(2000,1,1),Bookings!D409&lt;=DATE(2100,12,31)),Bookings!D409,0),IF(AND(K409&lt;&gt;"",LEN("x"&amp;L409)-LEN(SUBSTITUTE("x"&amp;L409,".",""))=2,OR(1&gt;LEN(L409),MID(L409,1,1)=".",ISNUMBER(FIND("x"&amp;MID(L409,1,1),"x0x1x2x3x4x5x6x7x8x9"))),OR(2&gt;LEN(L409),MID(L409,2,1)=".",ISNUMBER(FIND("x"&amp;MID(L409,2,1),"x0x1x2x3x4x5x6x7x8x9"))),OR(3&gt;LEN(L409),MID(L409,3,1)=".",ISNUMBER(FIND("x"&amp;MID(L409,3,1),"x0x1x2x3x4x5x6x7x8x9"))),OR(4&gt;LEN(L409),MID(L409,4,1)=".",ISNUMBER(FIND("x"&amp;MID(L409,4,1),"x0x1x2x3x4x5x6x7x8x9"))),OR(5&gt;LEN(L409),MID(L409,5,1)=".",ISNUMBER(FIND("x"&amp;MID(L409,5,1),"x0x1x2x3x4x5x6x7x8x9"))),OR(6&gt;LEN(L409),MID(L409,6,1)=".",ISNUMBER(FIND("x"&amp;MID(L409,6,1),"x0x1x2x3x4x5x6x7x8x9"))),OR(7&gt;LEN(L409),MID(L409,7,1)=".",ISNUMBER(FIND("x"&amp;MID(L409,7,1),"x0x1x2x3x4x5x6x7x8x9"))),OR(8&gt;LEN(L409),MID(L409,8,1)=".",ISNUMBER(FIND("x"&amp;MID(L409,8,1),"x0x1x2x3x4x5x6x7x8x9"))),OR(9&gt;LEN(L409),MID(L409,9,1)=".",ISNUMBER(FIND("x"&amp;MID(L409,9,1),"x0x1x2x3x4x5x6x7x8x9"))),OR(10&gt;LEN(L409),MID(L409,10,1)=".",ISNUMBER(FIND("x"&amp;MID(L409,10,1),"x0x1x2x3x4x5x6x7x8x9"))),OR(AND(FIND(".",L409)=5,LEN(L409)-FIND(".",L409,FIND(".",L409)+1)&gt;=1,LEN(L409)-FIND(".",L409,FIND(".",L409)+1)&lt;=2),AND(LEN(L409)-FIND(".",L409,FIND(".",L409)+1)=4,FIND(".",L409)&gt;=2,FIND(".",L409)&lt;=3)),FIND(".",L409,FIND(".",L409)+1)-FIND(".",L409)&gt;=2,FIND(".",L409,FIND(".",L409)+1)-FIND(".",L409)&lt;=3,P409&gt;=2000,P409&lt;=2100,YEAR(S409)=P409,MONTH(S409)=Q409,DAY(S409)=R409),S409,0)),0)</ns0:f>
        <ns0:v>0</ns0:v>
      </ns0:c>
      <ns0:c r="U409" s="0" t="str">
        <ns0:f>IF(Bookings!C409="","Full day",Bookings!C409)</ns0:f>
        <ns0:v>Full day</ns0:v>
      </ns0:c>
      <ns0:c r="V409" s="0" t="str">
        <ns0:f>IF(Bookings!E409="","Full day",Bookings!E409)</ns0:f>
        <ns0:v>Full day</ns0:v>
      </ns0:c>
      <ns0:c r="W409" s="0">
        <ns0:f>IF(J409=0,0,J409+IF(U409="PM",1,0))</ns0:f>
        <ns0:v>0</ns0:v>
      </ns0:c>
      <ns0:c r="X409" s="0">
        <ns0:f>IF(T409=0,0,T409-IF(V409="PM",1,0))</ns0:f>
        <ns0:v>0</ns0:v>
      </ns0:c>
      <ns0:c r="Y409" s="0">
        <ns0:f>IF(J409=0,0,J409+IF(U409="AM",1,0))</ns0:f>
        <ns0:v>0</ns0:v>
      </ns0:c>
      <ns0:c r="Z409" s="0">
        <ns0:f>IF(T409=0,0,T409-IF(V409="AM",1,0))</ns0:f>
        <ns0:v>0</ns0:v>
      </ns0:c>
      <ns0:c r="AA409" s="0">
        <ns0:f>IFERROR(IF(AND(J409&gt;0,'_Engine'!C409&gt;0,MID('_Engine'!W409,WEEKDAY(J409,2),1)="W",COUNTIF(Settings!$F$18:$F$67,J409)=0),1,0),0)</ns0:f>
        <ns0:v>0</ns0:v>
      </ns0:c>
      <ns0:c r="AB409" s="0">
        <ns0:f>IFERROR(IF(AND(T409&gt;0,'_Engine'!C409&gt;0,MID('_Engine'!W409,WEEKDAY(T409,2),1)="W",COUNTIF(Settings!$F$18:$F$67,T409)=0),1,0),0)</ns0:f>
        <ns0:v>0</ns0:v>
      </ns0:c>
      <ns0:c r="AC409" s="0">
        <ns0:f>IF(AND(J409&gt;0,T409&gt;0,W409&lt;=X409),1,0)</ns0:f>
        <ns0:v>0</ns0:v>
      </ns0:c>
      <ns0:c r="AD409" s="0">
        <ns0:f>IF(AND(J409&gt;0,T409&gt;0,Y409&lt;=Z409),1,0)</ns0:f>
        <ns0:v>0</ns0:v>
      </ns0:c>
    </ns0:row>
    <ns0:row r="410">
      <ns0:c r="A410" s="0">
        <ns0:f>IFERROR(IF(ISNUMBER(Bookings!B410),"",TRIM(Bookings!B410&amp;"")),"")</ns0:f>
      </ns0:c>
      <ns0:c r="B410" s="0">
        <ns0:f>IFERROR(SUBSTITUTE(SUBSTITUTE(A410,"/","."),"-","."),"")</ns0:f>
      </ns0:c>
      <ns0:c r="C410" s="0">
        <ns0:f>IFERROR(LEFT(B410,FIND(".",B410)-1),"")</ns0:f>
      </ns0:c>
      <ns0:c r="D410" s="0">
        <ns0:f>IFERROR(MID(B410,FIND(".",B410)+1,FIND(".",B410,FIND(".",B410)+1)-FIND(".",B410)-1),"")</ns0:f>
      </ns0:c>
      <ns0:c r="E410" s="0">
        <ns0:f>IFERROR(MID(B410,FIND(".",B410,FIND(".",B410)+1)+1,99),"")</ns0:f>
        <ns0:v>99</ns0:v>
      </ns0:c>
      <ns0:c r="F410" s="0">
        <ns0:f>IFERROR(IF(FIND(".",B410)=5,--C410,--E410),0)</ns0:f>
        <ns0:v>0</ns0:v>
      </ns0:c>
      <ns0:c r="G410" s="0">
        <ns0:f>IFERROR(--D410,0)</ns0:f>
        <ns0:v>0</ns0:v>
      </ns0:c>
      <ns0:c r="H410" s="0">
        <ns0:f>IFERROR(IF(FIND(".",B410)=5,--E410,--C410),0)</ns0:f>
        <ns0:v>0</ns0:v>
      </ns0:c>
      <ns0:c r="I410" s="0">
        <ns0:f>IFERROR(IF(AND(F410&gt;=2000,F410&lt;=2100,G410&gt;=1,G410&lt;=12,H410&gt;=1,H410&lt;=31),DATE(F410,G410,H410),0),0)</ns0:f>
        <ns0:v>0</ns0:v>
      </ns0:c>
      <ns0:c r="J410" s="0">
        <ns0:f>IFERROR(IF(ISNUMBER(Bookings!B410),IF(AND(Bookings!B410=INT(Bookings!B410),Bookings!B410&gt;=DATE(2000,1,1),Bookings!B410&lt;=DATE(2100,12,31)),Bookings!B410,0),IF(AND(A410&lt;&gt;"",LEN("x"&amp;B410)-LEN(SUBSTITUTE("x"&amp;B410,".",""))=2,OR(1&gt;LEN(B410),MID(B410,1,1)=".",ISNUMBER(FIND("x"&amp;MID(B410,1,1),"x0x1x2x3x4x5x6x7x8x9"))),OR(2&gt;LEN(B410),MID(B410,2,1)=".",ISNUMBER(FIND("x"&amp;MID(B410,2,1),"x0x1x2x3x4x5x6x7x8x9"))),OR(3&gt;LEN(B410),MID(B410,3,1)=".",ISNUMBER(FIND("x"&amp;MID(B410,3,1),"x0x1x2x3x4x5x6x7x8x9"))),OR(4&gt;LEN(B410),MID(B410,4,1)=".",ISNUMBER(FIND("x"&amp;MID(B410,4,1),"x0x1x2x3x4x5x6x7x8x9"))),OR(5&gt;LEN(B410),MID(B410,5,1)=".",ISNUMBER(FIND("x"&amp;MID(B410,5,1),"x0x1x2x3x4x5x6x7x8x9"))),OR(6&gt;LEN(B410),MID(B410,6,1)=".",ISNUMBER(FIND("x"&amp;MID(B410,6,1),"x0x1x2x3x4x5x6x7x8x9"))),OR(7&gt;LEN(B410),MID(B410,7,1)=".",ISNUMBER(FIND("x"&amp;MID(B410,7,1),"x0x1x2x3x4x5x6x7x8x9"))),OR(8&gt;LEN(B410),MID(B410,8,1)=".",ISNUMBER(FIND("x"&amp;MID(B410,8,1),"x0x1x2x3x4x5x6x7x8x9"))),OR(9&gt;LEN(B410),MID(B410,9,1)=".",ISNUMBER(FIND("x"&amp;MID(B410,9,1),"x0x1x2x3x4x5x6x7x8x9"))),OR(10&gt;LEN(B410),MID(B410,10,1)=".",ISNUMBER(FIND("x"&amp;MID(B410,10,1),"x0x1x2x3x4x5x6x7x8x9"))),OR(AND(FIND(".",B410)=5,LEN(B410)-FIND(".",B410,FIND(".",B410)+1)&gt;=1,LEN(B410)-FIND(".",B410,FIND(".",B410)+1)&lt;=2),AND(LEN(B410)-FIND(".",B410,FIND(".",B410)+1)=4,FIND(".",B410)&gt;=2,FIND(".",B410)&lt;=3)),FIND(".",B410,FIND(".",B410)+1)-FIND(".",B410)&gt;=2,FIND(".",B410,FIND(".",B410)+1)-FIND(".",B410)&lt;=3,F410&gt;=2000,F410&lt;=2100,YEAR(I410)=F410,MONTH(I410)=G410,DAY(I410)=H410),I410,0)),0)</ns0:f>
        <ns0:v>0</ns0:v>
      </ns0:c>
      <ns0:c r="K410" s="0">
        <ns0:f>IFERROR(IF(ISNUMBER(Bookings!D410),"",TRIM(Bookings!D410&amp;"")),"")</ns0:f>
      </ns0:c>
      <ns0:c r="L410" s="0">
        <ns0:f>IFERROR(SUBSTITUTE(SUBSTITUTE(K410,"/","."),"-","."),"")</ns0:f>
      </ns0:c>
      <ns0:c r="M410" s="0">
        <ns0:f>IFERROR(LEFT(L410,FIND(".",L410)-1),"")</ns0:f>
      </ns0:c>
      <ns0:c r="N410" s="0">
        <ns0:f>IFERROR(MID(L410,FIND(".",L410)+1,FIND(".",L410,FIND(".",L410)+1)-FIND(".",L410)-1),"")</ns0:f>
      </ns0:c>
      <ns0:c r="O410" s="0">
        <ns0:f>IFERROR(MID(L410,FIND(".",L410,FIND(".",L410)+1)+1,99),"")</ns0:f>
        <ns0:v>99</ns0:v>
      </ns0:c>
      <ns0:c r="P410" s="0">
        <ns0:f>IFERROR(IF(FIND(".",L410)=5,--M410,--O410),0)</ns0:f>
        <ns0:v>0</ns0:v>
      </ns0:c>
      <ns0:c r="Q410" s="0">
        <ns0:f>IFERROR(--N410,0)</ns0:f>
        <ns0:v>0</ns0:v>
      </ns0:c>
      <ns0:c r="R410" s="0">
        <ns0:f>IFERROR(IF(FIND(".",L410)=5,--O410,--M410),0)</ns0:f>
        <ns0:v>0</ns0:v>
      </ns0:c>
      <ns0:c r="S410" s="0">
        <ns0:f>IFERROR(IF(AND(P410&gt;=2000,P410&lt;=2100,Q410&gt;=1,Q410&lt;=12,R410&gt;=1,R410&lt;=31),DATE(P410,Q410,R410),0),0)</ns0:f>
        <ns0:v>0</ns0:v>
      </ns0:c>
      <ns0:c r="T410" s="0">
        <ns0:f>IFERROR(IF(ISNUMBER(Bookings!D410),IF(AND(Bookings!D410=INT(Bookings!D410),Bookings!D410&gt;=DATE(2000,1,1),Bookings!D410&lt;=DATE(2100,12,31)),Bookings!D410,0),IF(AND(K410&lt;&gt;"",LEN("x"&amp;L410)-LEN(SUBSTITUTE("x"&amp;L410,".",""))=2,OR(1&gt;LEN(L410),MID(L410,1,1)=".",ISNUMBER(FIND("x"&amp;MID(L410,1,1),"x0x1x2x3x4x5x6x7x8x9"))),OR(2&gt;LEN(L410),MID(L410,2,1)=".",ISNUMBER(FIND("x"&amp;MID(L410,2,1),"x0x1x2x3x4x5x6x7x8x9"))),OR(3&gt;LEN(L410),MID(L410,3,1)=".",ISNUMBER(FIND("x"&amp;MID(L410,3,1),"x0x1x2x3x4x5x6x7x8x9"))),OR(4&gt;LEN(L410),MID(L410,4,1)=".",ISNUMBER(FIND("x"&amp;MID(L410,4,1),"x0x1x2x3x4x5x6x7x8x9"))),OR(5&gt;LEN(L410),MID(L410,5,1)=".",ISNUMBER(FIND("x"&amp;MID(L410,5,1),"x0x1x2x3x4x5x6x7x8x9"))),OR(6&gt;LEN(L410),MID(L410,6,1)=".",ISNUMBER(FIND("x"&amp;MID(L410,6,1),"x0x1x2x3x4x5x6x7x8x9"))),OR(7&gt;LEN(L410),MID(L410,7,1)=".",ISNUMBER(FIND("x"&amp;MID(L410,7,1),"x0x1x2x3x4x5x6x7x8x9"))),OR(8&gt;LEN(L410),MID(L410,8,1)=".",ISNUMBER(FIND("x"&amp;MID(L410,8,1),"x0x1x2x3x4x5x6x7x8x9"))),OR(9&gt;LEN(L410),MID(L410,9,1)=".",ISNUMBER(FIND("x"&amp;MID(L410,9,1),"x0x1x2x3x4x5x6x7x8x9"))),OR(10&gt;LEN(L410),MID(L410,10,1)=".",ISNUMBER(FIND("x"&amp;MID(L410,10,1),"x0x1x2x3x4x5x6x7x8x9"))),OR(AND(FIND(".",L410)=5,LEN(L410)-FIND(".",L410,FIND(".",L410)+1)&gt;=1,LEN(L410)-FIND(".",L410,FIND(".",L410)+1)&lt;=2),AND(LEN(L410)-FIND(".",L410,FIND(".",L410)+1)=4,FIND(".",L410)&gt;=2,FIND(".",L410)&lt;=3)),FIND(".",L410,FIND(".",L410)+1)-FIND(".",L410)&gt;=2,FIND(".",L410,FIND(".",L410)+1)-FIND(".",L410)&lt;=3,P410&gt;=2000,P410&lt;=2100,YEAR(S410)=P410,MONTH(S410)=Q410,DAY(S410)=R410),S410,0)),0)</ns0:f>
        <ns0:v>0</ns0:v>
      </ns0:c>
      <ns0:c r="U410" s="0" t="str">
        <ns0:f>IF(Bookings!C410="","Full day",Bookings!C410)</ns0:f>
        <ns0:v>Full day</ns0:v>
      </ns0:c>
      <ns0:c r="V410" s="0" t="str">
        <ns0:f>IF(Bookings!E410="","Full day",Bookings!E410)</ns0:f>
        <ns0:v>Full day</ns0:v>
      </ns0:c>
      <ns0:c r="W410" s="0">
        <ns0:f>IF(J410=0,0,J410+IF(U410="PM",1,0))</ns0:f>
        <ns0:v>0</ns0:v>
      </ns0:c>
      <ns0:c r="X410" s="0">
        <ns0:f>IF(T410=0,0,T410-IF(V410="PM",1,0))</ns0:f>
        <ns0:v>0</ns0:v>
      </ns0:c>
      <ns0:c r="Y410" s="0">
        <ns0:f>IF(J410=0,0,J410+IF(U410="AM",1,0))</ns0:f>
        <ns0:v>0</ns0:v>
      </ns0:c>
      <ns0:c r="Z410" s="0">
        <ns0:f>IF(T410=0,0,T410-IF(V410="AM",1,0))</ns0:f>
        <ns0:v>0</ns0:v>
      </ns0:c>
      <ns0:c r="AA410" s="0">
        <ns0:f>IFERROR(IF(AND(J410&gt;0,'_Engine'!C410&gt;0,MID('_Engine'!W410,WEEKDAY(J410,2),1)="W",COUNTIF(Settings!$F$18:$F$67,J410)=0),1,0),0)</ns0:f>
        <ns0:v>0</ns0:v>
      </ns0:c>
      <ns0:c r="AB410" s="0">
        <ns0:f>IFERROR(IF(AND(T410&gt;0,'_Engine'!C410&gt;0,MID('_Engine'!W410,WEEKDAY(T410,2),1)="W",COUNTIF(Settings!$F$18:$F$67,T410)=0),1,0),0)</ns0:f>
        <ns0:v>0</ns0:v>
      </ns0:c>
      <ns0:c r="AC410" s="0">
        <ns0:f>IF(AND(J410&gt;0,T410&gt;0,W410&lt;=X410),1,0)</ns0:f>
        <ns0:v>0</ns0:v>
      </ns0:c>
      <ns0:c r="AD410" s="0">
        <ns0:f>IF(AND(J410&gt;0,T410&gt;0,Y410&lt;=Z410),1,0)</ns0:f>
        <ns0:v>0</ns0:v>
      </ns0:c>
    </ns0:row>
    <ns0:row r="411">
      <ns0:c r="A411" s="0">
        <ns0:f>IFERROR(IF(ISNUMBER(Bookings!B411),"",TRIM(Bookings!B411&amp;"")),"")</ns0:f>
      </ns0:c>
      <ns0:c r="B411" s="0">
        <ns0:f>IFERROR(SUBSTITUTE(SUBSTITUTE(A411,"/","."),"-","."),"")</ns0:f>
      </ns0:c>
      <ns0:c r="C411" s="0">
        <ns0:f>IFERROR(LEFT(B411,FIND(".",B411)-1),"")</ns0:f>
      </ns0:c>
      <ns0:c r="D411" s="0">
        <ns0:f>IFERROR(MID(B411,FIND(".",B411)+1,FIND(".",B411,FIND(".",B411)+1)-FIND(".",B411)-1),"")</ns0:f>
      </ns0:c>
      <ns0:c r="E411" s="0">
        <ns0:f>IFERROR(MID(B411,FIND(".",B411,FIND(".",B411)+1)+1,99),"")</ns0:f>
        <ns0:v>99</ns0:v>
      </ns0:c>
      <ns0:c r="F411" s="0">
        <ns0:f>IFERROR(IF(FIND(".",B411)=5,--C411,--E411),0)</ns0:f>
        <ns0:v>0</ns0:v>
      </ns0:c>
      <ns0:c r="G411" s="0">
        <ns0:f>IFERROR(--D411,0)</ns0:f>
        <ns0:v>0</ns0:v>
      </ns0:c>
      <ns0:c r="H411" s="0">
        <ns0:f>IFERROR(IF(FIND(".",B411)=5,--E411,--C411),0)</ns0:f>
        <ns0:v>0</ns0:v>
      </ns0:c>
      <ns0:c r="I411" s="0">
        <ns0:f>IFERROR(IF(AND(F411&gt;=2000,F411&lt;=2100,G411&gt;=1,G411&lt;=12,H411&gt;=1,H411&lt;=31),DATE(F411,G411,H411),0),0)</ns0:f>
        <ns0:v>0</ns0:v>
      </ns0:c>
      <ns0:c r="J411" s="0">
        <ns0:f>IFERROR(IF(ISNUMBER(Bookings!B411),IF(AND(Bookings!B411=INT(Bookings!B411),Bookings!B411&gt;=DATE(2000,1,1),Bookings!B411&lt;=DATE(2100,12,31)),Bookings!B411,0),IF(AND(A411&lt;&gt;"",LEN("x"&amp;B411)-LEN(SUBSTITUTE("x"&amp;B411,".",""))=2,OR(1&gt;LEN(B411),MID(B411,1,1)=".",ISNUMBER(FIND("x"&amp;MID(B411,1,1),"x0x1x2x3x4x5x6x7x8x9"))),OR(2&gt;LEN(B411),MID(B411,2,1)=".",ISNUMBER(FIND("x"&amp;MID(B411,2,1),"x0x1x2x3x4x5x6x7x8x9"))),OR(3&gt;LEN(B411),MID(B411,3,1)=".",ISNUMBER(FIND("x"&amp;MID(B411,3,1),"x0x1x2x3x4x5x6x7x8x9"))),OR(4&gt;LEN(B411),MID(B411,4,1)=".",ISNUMBER(FIND("x"&amp;MID(B411,4,1),"x0x1x2x3x4x5x6x7x8x9"))),OR(5&gt;LEN(B411),MID(B411,5,1)=".",ISNUMBER(FIND("x"&amp;MID(B411,5,1),"x0x1x2x3x4x5x6x7x8x9"))),OR(6&gt;LEN(B411),MID(B411,6,1)=".",ISNUMBER(FIND("x"&amp;MID(B411,6,1),"x0x1x2x3x4x5x6x7x8x9"))),OR(7&gt;LEN(B411),MID(B411,7,1)=".",ISNUMBER(FIND("x"&amp;MID(B411,7,1),"x0x1x2x3x4x5x6x7x8x9"))),OR(8&gt;LEN(B411),MID(B411,8,1)=".",ISNUMBER(FIND("x"&amp;MID(B411,8,1),"x0x1x2x3x4x5x6x7x8x9"))),OR(9&gt;LEN(B411),MID(B411,9,1)=".",ISNUMBER(FIND("x"&amp;MID(B411,9,1),"x0x1x2x3x4x5x6x7x8x9"))),OR(10&gt;LEN(B411),MID(B411,10,1)=".",ISNUMBER(FIND("x"&amp;MID(B411,10,1),"x0x1x2x3x4x5x6x7x8x9"))),OR(AND(FIND(".",B411)=5,LEN(B411)-FIND(".",B411,FIND(".",B411)+1)&gt;=1,LEN(B411)-FIND(".",B411,FIND(".",B411)+1)&lt;=2),AND(LEN(B411)-FIND(".",B411,FIND(".",B411)+1)=4,FIND(".",B411)&gt;=2,FIND(".",B411)&lt;=3)),FIND(".",B411,FIND(".",B411)+1)-FIND(".",B411)&gt;=2,FIND(".",B411,FIND(".",B411)+1)-FIND(".",B411)&lt;=3,F411&gt;=2000,F411&lt;=2100,YEAR(I411)=F411,MONTH(I411)=G411,DAY(I411)=H411),I411,0)),0)</ns0:f>
        <ns0:v>0</ns0:v>
      </ns0:c>
      <ns0:c r="K411" s="0">
        <ns0:f>IFERROR(IF(ISNUMBER(Bookings!D411),"",TRIM(Bookings!D411&amp;"")),"")</ns0:f>
      </ns0:c>
      <ns0:c r="L411" s="0">
        <ns0:f>IFERROR(SUBSTITUTE(SUBSTITUTE(K411,"/","."),"-","."),"")</ns0:f>
      </ns0:c>
      <ns0:c r="M411" s="0">
        <ns0:f>IFERROR(LEFT(L411,FIND(".",L411)-1),"")</ns0:f>
      </ns0:c>
      <ns0:c r="N411" s="0">
        <ns0:f>IFERROR(MID(L411,FIND(".",L411)+1,FIND(".",L411,FIND(".",L411)+1)-FIND(".",L411)-1),"")</ns0:f>
      </ns0:c>
      <ns0:c r="O411" s="0">
        <ns0:f>IFERROR(MID(L411,FIND(".",L411,FIND(".",L411)+1)+1,99),"")</ns0:f>
        <ns0:v>99</ns0:v>
      </ns0:c>
      <ns0:c r="P411" s="0">
        <ns0:f>IFERROR(IF(FIND(".",L411)=5,--M411,--O411),0)</ns0:f>
        <ns0:v>0</ns0:v>
      </ns0:c>
      <ns0:c r="Q411" s="0">
        <ns0:f>IFERROR(--N411,0)</ns0:f>
        <ns0:v>0</ns0:v>
      </ns0:c>
      <ns0:c r="R411" s="0">
        <ns0:f>IFERROR(IF(FIND(".",L411)=5,--O411,--M411),0)</ns0:f>
        <ns0:v>0</ns0:v>
      </ns0:c>
      <ns0:c r="S411" s="0">
        <ns0:f>IFERROR(IF(AND(P411&gt;=2000,P411&lt;=2100,Q411&gt;=1,Q411&lt;=12,R411&gt;=1,R411&lt;=31),DATE(P411,Q411,R411),0),0)</ns0:f>
        <ns0:v>0</ns0:v>
      </ns0:c>
      <ns0:c r="T411" s="0">
        <ns0:f>IFERROR(IF(ISNUMBER(Bookings!D411),IF(AND(Bookings!D411=INT(Bookings!D411),Bookings!D411&gt;=DATE(2000,1,1),Bookings!D411&lt;=DATE(2100,12,31)),Bookings!D411,0),IF(AND(K411&lt;&gt;"",LEN("x"&amp;L411)-LEN(SUBSTITUTE("x"&amp;L411,".",""))=2,OR(1&gt;LEN(L411),MID(L411,1,1)=".",ISNUMBER(FIND("x"&amp;MID(L411,1,1),"x0x1x2x3x4x5x6x7x8x9"))),OR(2&gt;LEN(L411),MID(L411,2,1)=".",ISNUMBER(FIND("x"&amp;MID(L411,2,1),"x0x1x2x3x4x5x6x7x8x9"))),OR(3&gt;LEN(L411),MID(L411,3,1)=".",ISNUMBER(FIND("x"&amp;MID(L411,3,1),"x0x1x2x3x4x5x6x7x8x9"))),OR(4&gt;LEN(L411),MID(L411,4,1)=".",ISNUMBER(FIND("x"&amp;MID(L411,4,1),"x0x1x2x3x4x5x6x7x8x9"))),OR(5&gt;LEN(L411),MID(L411,5,1)=".",ISNUMBER(FIND("x"&amp;MID(L411,5,1),"x0x1x2x3x4x5x6x7x8x9"))),OR(6&gt;LEN(L411),MID(L411,6,1)=".",ISNUMBER(FIND("x"&amp;MID(L411,6,1),"x0x1x2x3x4x5x6x7x8x9"))),OR(7&gt;LEN(L411),MID(L411,7,1)=".",ISNUMBER(FIND("x"&amp;MID(L411,7,1),"x0x1x2x3x4x5x6x7x8x9"))),OR(8&gt;LEN(L411),MID(L411,8,1)=".",ISNUMBER(FIND("x"&amp;MID(L411,8,1),"x0x1x2x3x4x5x6x7x8x9"))),OR(9&gt;LEN(L411),MID(L411,9,1)=".",ISNUMBER(FIND("x"&amp;MID(L411,9,1),"x0x1x2x3x4x5x6x7x8x9"))),OR(10&gt;LEN(L411),MID(L411,10,1)=".",ISNUMBER(FIND("x"&amp;MID(L411,10,1),"x0x1x2x3x4x5x6x7x8x9"))),OR(AND(FIND(".",L411)=5,LEN(L411)-FIND(".",L411,FIND(".",L411)+1)&gt;=1,LEN(L411)-FIND(".",L411,FIND(".",L411)+1)&lt;=2),AND(LEN(L411)-FIND(".",L411,FIND(".",L411)+1)=4,FIND(".",L411)&gt;=2,FIND(".",L411)&lt;=3)),FIND(".",L411,FIND(".",L411)+1)-FIND(".",L411)&gt;=2,FIND(".",L411,FIND(".",L411)+1)-FIND(".",L411)&lt;=3,P411&gt;=2000,P411&lt;=2100,YEAR(S411)=P411,MONTH(S411)=Q411,DAY(S411)=R411),S411,0)),0)</ns0:f>
        <ns0:v>0</ns0:v>
      </ns0:c>
      <ns0:c r="U411" s="0" t="str">
        <ns0:f>IF(Bookings!C411="","Full day",Bookings!C411)</ns0:f>
        <ns0:v>Full day</ns0:v>
      </ns0:c>
      <ns0:c r="V411" s="0" t="str">
        <ns0:f>IF(Bookings!E411="","Full day",Bookings!E411)</ns0:f>
        <ns0:v>Full day</ns0:v>
      </ns0:c>
      <ns0:c r="W411" s="0">
        <ns0:f>IF(J411=0,0,J411+IF(U411="PM",1,0))</ns0:f>
        <ns0:v>0</ns0:v>
      </ns0:c>
      <ns0:c r="X411" s="0">
        <ns0:f>IF(T411=0,0,T411-IF(V411="PM",1,0))</ns0:f>
        <ns0:v>0</ns0:v>
      </ns0:c>
      <ns0:c r="Y411" s="0">
        <ns0:f>IF(J411=0,0,J411+IF(U411="AM",1,0))</ns0:f>
        <ns0:v>0</ns0:v>
      </ns0:c>
      <ns0:c r="Z411" s="0">
        <ns0:f>IF(T411=0,0,T411-IF(V411="AM",1,0))</ns0:f>
        <ns0:v>0</ns0:v>
      </ns0:c>
      <ns0:c r="AA411" s="0">
        <ns0:f>IFERROR(IF(AND(J411&gt;0,'_Engine'!C411&gt;0,MID('_Engine'!W411,WEEKDAY(J411,2),1)="W",COUNTIF(Settings!$F$18:$F$67,J411)=0),1,0),0)</ns0:f>
        <ns0:v>0</ns0:v>
      </ns0:c>
      <ns0:c r="AB411" s="0">
        <ns0:f>IFERROR(IF(AND(T411&gt;0,'_Engine'!C411&gt;0,MID('_Engine'!W411,WEEKDAY(T411,2),1)="W",COUNTIF(Settings!$F$18:$F$67,T411)=0),1,0),0)</ns0:f>
        <ns0:v>0</ns0:v>
      </ns0:c>
      <ns0:c r="AC411" s="0">
        <ns0:f>IF(AND(J411&gt;0,T411&gt;0,W411&lt;=X411),1,0)</ns0:f>
        <ns0:v>0</ns0:v>
      </ns0:c>
      <ns0:c r="AD411" s="0">
        <ns0:f>IF(AND(J411&gt;0,T411&gt;0,Y411&lt;=Z411),1,0)</ns0:f>
        <ns0:v>0</ns0:v>
      </ns0:c>
    </ns0:row>
    <ns0:row r="412">
      <ns0:c r="A412" s="0">
        <ns0:f>IFERROR(IF(ISNUMBER(Bookings!B412),"",TRIM(Bookings!B412&amp;"")),"")</ns0:f>
      </ns0:c>
      <ns0:c r="B412" s="0">
        <ns0:f>IFERROR(SUBSTITUTE(SUBSTITUTE(A412,"/","."),"-","."),"")</ns0:f>
      </ns0:c>
      <ns0:c r="C412" s="0">
        <ns0:f>IFERROR(LEFT(B412,FIND(".",B412)-1),"")</ns0:f>
      </ns0:c>
      <ns0:c r="D412" s="0">
        <ns0:f>IFERROR(MID(B412,FIND(".",B412)+1,FIND(".",B412,FIND(".",B412)+1)-FIND(".",B412)-1),"")</ns0:f>
      </ns0:c>
      <ns0:c r="E412" s="0">
        <ns0:f>IFERROR(MID(B412,FIND(".",B412,FIND(".",B412)+1)+1,99),"")</ns0:f>
        <ns0:v>99</ns0:v>
      </ns0:c>
      <ns0:c r="F412" s="0">
        <ns0:f>IFERROR(IF(FIND(".",B412)=5,--C412,--E412),0)</ns0:f>
        <ns0:v>0</ns0:v>
      </ns0:c>
      <ns0:c r="G412" s="0">
        <ns0:f>IFERROR(--D412,0)</ns0:f>
        <ns0:v>0</ns0:v>
      </ns0:c>
      <ns0:c r="H412" s="0">
        <ns0:f>IFERROR(IF(FIND(".",B412)=5,--E412,--C412),0)</ns0:f>
        <ns0:v>0</ns0:v>
      </ns0:c>
      <ns0:c r="I412" s="0">
        <ns0:f>IFERROR(IF(AND(F412&gt;=2000,F412&lt;=2100,G412&gt;=1,G412&lt;=12,H412&gt;=1,H412&lt;=31),DATE(F412,G412,H412),0),0)</ns0:f>
        <ns0:v>0</ns0:v>
      </ns0:c>
      <ns0:c r="J412" s="0">
        <ns0:f>IFERROR(IF(ISNUMBER(Bookings!B412),IF(AND(Bookings!B412=INT(Bookings!B412),Bookings!B412&gt;=DATE(2000,1,1),Bookings!B412&lt;=DATE(2100,12,31)),Bookings!B412,0),IF(AND(A412&lt;&gt;"",LEN("x"&amp;B412)-LEN(SUBSTITUTE("x"&amp;B412,".",""))=2,OR(1&gt;LEN(B412),MID(B412,1,1)=".",ISNUMBER(FIND("x"&amp;MID(B412,1,1),"x0x1x2x3x4x5x6x7x8x9"))),OR(2&gt;LEN(B412),MID(B412,2,1)=".",ISNUMBER(FIND("x"&amp;MID(B412,2,1),"x0x1x2x3x4x5x6x7x8x9"))),OR(3&gt;LEN(B412),MID(B412,3,1)=".",ISNUMBER(FIND("x"&amp;MID(B412,3,1),"x0x1x2x3x4x5x6x7x8x9"))),OR(4&gt;LEN(B412),MID(B412,4,1)=".",ISNUMBER(FIND("x"&amp;MID(B412,4,1),"x0x1x2x3x4x5x6x7x8x9"))),OR(5&gt;LEN(B412),MID(B412,5,1)=".",ISNUMBER(FIND("x"&amp;MID(B412,5,1),"x0x1x2x3x4x5x6x7x8x9"))),OR(6&gt;LEN(B412),MID(B412,6,1)=".",ISNUMBER(FIND("x"&amp;MID(B412,6,1),"x0x1x2x3x4x5x6x7x8x9"))),OR(7&gt;LEN(B412),MID(B412,7,1)=".",ISNUMBER(FIND("x"&amp;MID(B412,7,1),"x0x1x2x3x4x5x6x7x8x9"))),OR(8&gt;LEN(B412),MID(B412,8,1)=".",ISNUMBER(FIND("x"&amp;MID(B412,8,1),"x0x1x2x3x4x5x6x7x8x9"))),OR(9&gt;LEN(B412),MID(B412,9,1)=".",ISNUMBER(FIND("x"&amp;MID(B412,9,1),"x0x1x2x3x4x5x6x7x8x9"))),OR(10&gt;LEN(B412),MID(B412,10,1)=".",ISNUMBER(FIND("x"&amp;MID(B412,10,1),"x0x1x2x3x4x5x6x7x8x9"))),OR(AND(FIND(".",B412)=5,LEN(B412)-FIND(".",B412,FIND(".",B412)+1)&gt;=1,LEN(B412)-FIND(".",B412,FIND(".",B412)+1)&lt;=2),AND(LEN(B412)-FIND(".",B412,FIND(".",B412)+1)=4,FIND(".",B412)&gt;=2,FIND(".",B412)&lt;=3)),FIND(".",B412,FIND(".",B412)+1)-FIND(".",B412)&gt;=2,FIND(".",B412,FIND(".",B412)+1)-FIND(".",B412)&lt;=3,F412&gt;=2000,F412&lt;=2100,YEAR(I412)=F412,MONTH(I412)=G412,DAY(I412)=H412),I412,0)),0)</ns0:f>
        <ns0:v>0</ns0:v>
      </ns0:c>
      <ns0:c r="K412" s="0">
        <ns0:f>IFERROR(IF(ISNUMBER(Bookings!D412),"",TRIM(Bookings!D412&amp;"")),"")</ns0:f>
      </ns0:c>
      <ns0:c r="L412" s="0">
        <ns0:f>IFERROR(SUBSTITUTE(SUBSTITUTE(K412,"/","."),"-","."),"")</ns0:f>
      </ns0:c>
      <ns0:c r="M412" s="0">
        <ns0:f>IFERROR(LEFT(L412,FIND(".",L412)-1),"")</ns0:f>
      </ns0:c>
      <ns0:c r="N412" s="0">
        <ns0:f>IFERROR(MID(L412,FIND(".",L412)+1,FIND(".",L412,FIND(".",L412)+1)-FIND(".",L412)-1),"")</ns0:f>
      </ns0:c>
      <ns0:c r="O412" s="0">
        <ns0:f>IFERROR(MID(L412,FIND(".",L412,FIND(".",L412)+1)+1,99),"")</ns0:f>
        <ns0:v>99</ns0:v>
      </ns0:c>
      <ns0:c r="P412" s="0">
        <ns0:f>IFERROR(IF(FIND(".",L412)=5,--M412,--O412),0)</ns0:f>
        <ns0:v>0</ns0:v>
      </ns0:c>
      <ns0:c r="Q412" s="0">
        <ns0:f>IFERROR(--N412,0)</ns0:f>
        <ns0:v>0</ns0:v>
      </ns0:c>
      <ns0:c r="R412" s="0">
        <ns0:f>IFERROR(IF(FIND(".",L412)=5,--O412,--M412),0)</ns0:f>
        <ns0:v>0</ns0:v>
      </ns0:c>
      <ns0:c r="S412" s="0">
        <ns0:f>IFERROR(IF(AND(P412&gt;=2000,P412&lt;=2100,Q412&gt;=1,Q412&lt;=12,R412&gt;=1,R412&lt;=31),DATE(P412,Q412,R412),0),0)</ns0:f>
        <ns0:v>0</ns0:v>
      </ns0:c>
      <ns0:c r="T412" s="0">
        <ns0:f>IFERROR(IF(ISNUMBER(Bookings!D412),IF(AND(Bookings!D412=INT(Bookings!D412),Bookings!D412&gt;=DATE(2000,1,1),Bookings!D412&lt;=DATE(2100,12,31)),Bookings!D412,0),IF(AND(K412&lt;&gt;"",LEN("x"&amp;L412)-LEN(SUBSTITUTE("x"&amp;L412,".",""))=2,OR(1&gt;LEN(L412),MID(L412,1,1)=".",ISNUMBER(FIND("x"&amp;MID(L412,1,1),"x0x1x2x3x4x5x6x7x8x9"))),OR(2&gt;LEN(L412),MID(L412,2,1)=".",ISNUMBER(FIND("x"&amp;MID(L412,2,1),"x0x1x2x3x4x5x6x7x8x9"))),OR(3&gt;LEN(L412),MID(L412,3,1)=".",ISNUMBER(FIND("x"&amp;MID(L412,3,1),"x0x1x2x3x4x5x6x7x8x9"))),OR(4&gt;LEN(L412),MID(L412,4,1)=".",ISNUMBER(FIND("x"&amp;MID(L412,4,1),"x0x1x2x3x4x5x6x7x8x9"))),OR(5&gt;LEN(L412),MID(L412,5,1)=".",ISNUMBER(FIND("x"&amp;MID(L412,5,1),"x0x1x2x3x4x5x6x7x8x9"))),OR(6&gt;LEN(L412),MID(L412,6,1)=".",ISNUMBER(FIND("x"&amp;MID(L412,6,1),"x0x1x2x3x4x5x6x7x8x9"))),OR(7&gt;LEN(L412),MID(L412,7,1)=".",ISNUMBER(FIND("x"&amp;MID(L412,7,1),"x0x1x2x3x4x5x6x7x8x9"))),OR(8&gt;LEN(L412),MID(L412,8,1)=".",ISNUMBER(FIND("x"&amp;MID(L412,8,1),"x0x1x2x3x4x5x6x7x8x9"))),OR(9&gt;LEN(L412),MID(L412,9,1)=".",ISNUMBER(FIND("x"&amp;MID(L412,9,1),"x0x1x2x3x4x5x6x7x8x9"))),OR(10&gt;LEN(L412),MID(L412,10,1)=".",ISNUMBER(FIND("x"&amp;MID(L412,10,1),"x0x1x2x3x4x5x6x7x8x9"))),OR(AND(FIND(".",L412)=5,LEN(L412)-FIND(".",L412,FIND(".",L412)+1)&gt;=1,LEN(L412)-FIND(".",L412,FIND(".",L412)+1)&lt;=2),AND(LEN(L412)-FIND(".",L412,FIND(".",L412)+1)=4,FIND(".",L412)&gt;=2,FIND(".",L412)&lt;=3)),FIND(".",L412,FIND(".",L412)+1)-FIND(".",L412)&gt;=2,FIND(".",L412,FIND(".",L412)+1)-FIND(".",L412)&lt;=3,P412&gt;=2000,P412&lt;=2100,YEAR(S412)=P412,MONTH(S412)=Q412,DAY(S412)=R412),S412,0)),0)</ns0:f>
        <ns0:v>0</ns0:v>
      </ns0:c>
      <ns0:c r="U412" s="0" t="str">
        <ns0:f>IF(Bookings!C412="","Full day",Bookings!C412)</ns0:f>
        <ns0:v>Full day</ns0:v>
      </ns0:c>
      <ns0:c r="V412" s="0" t="str">
        <ns0:f>IF(Bookings!E412="","Full day",Bookings!E412)</ns0:f>
        <ns0:v>Full day</ns0:v>
      </ns0:c>
      <ns0:c r="W412" s="0">
        <ns0:f>IF(J412=0,0,J412+IF(U412="PM",1,0))</ns0:f>
        <ns0:v>0</ns0:v>
      </ns0:c>
      <ns0:c r="X412" s="0">
        <ns0:f>IF(T412=0,0,T412-IF(V412="PM",1,0))</ns0:f>
        <ns0:v>0</ns0:v>
      </ns0:c>
      <ns0:c r="Y412" s="0">
        <ns0:f>IF(J412=0,0,J412+IF(U412="AM",1,0))</ns0:f>
        <ns0:v>0</ns0:v>
      </ns0:c>
      <ns0:c r="Z412" s="0">
        <ns0:f>IF(T412=0,0,T412-IF(V412="AM",1,0))</ns0:f>
        <ns0:v>0</ns0:v>
      </ns0:c>
      <ns0:c r="AA412" s="0">
        <ns0:f>IFERROR(IF(AND(J412&gt;0,'_Engine'!C412&gt;0,MID('_Engine'!W412,WEEKDAY(J412,2),1)="W",COUNTIF(Settings!$F$18:$F$67,J412)=0),1,0),0)</ns0:f>
        <ns0:v>0</ns0:v>
      </ns0:c>
      <ns0:c r="AB412" s="0">
        <ns0:f>IFERROR(IF(AND(T412&gt;0,'_Engine'!C412&gt;0,MID('_Engine'!W412,WEEKDAY(T412,2),1)="W",COUNTIF(Settings!$F$18:$F$67,T412)=0),1,0),0)</ns0:f>
        <ns0:v>0</ns0:v>
      </ns0:c>
      <ns0:c r="AC412" s="0">
        <ns0:f>IF(AND(J412&gt;0,T412&gt;0,W412&lt;=X412),1,0)</ns0:f>
        <ns0:v>0</ns0:v>
      </ns0:c>
      <ns0:c r="AD412" s="0">
        <ns0:f>IF(AND(J412&gt;0,T412&gt;0,Y412&lt;=Z412),1,0)</ns0:f>
        <ns0:v>0</ns0:v>
      </ns0:c>
    </ns0:row>
    <ns0:row r="413">
      <ns0:c r="A413" s="0">
        <ns0:f>IFERROR(IF(ISNUMBER(Bookings!B413),"",TRIM(Bookings!B413&amp;"")),"")</ns0:f>
      </ns0:c>
      <ns0:c r="B413" s="0">
        <ns0:f>IFERROR(SUBSTITUTE(SUBSTITUTE(A413,"/","."),"-","."),"")</ns0:f>
      </ns0:c>
      <ns0:c r="C413" s="0">
        <ns0:f>IFERROR(LEFT(B413,FIND(".",B413)-1),"")</ns0:f>
      </ns0:c>
      <ns0:c r="D413" s="0">
        <ns0:f>IFERROR(MID(B413,FIND(".",B413)+1,FIND(".",B413,FIND(".",B413)+1)-FIND(".",B413)-1),"")</ns0:f>
      </ns0:c>
      <ns0:c r="E413" s="0">
        <ns0:f>IFERROR(MID(B413,FIND(".",B413,FIND(".",B413)+1)+1,99),"")</ns0:f>
        <ns0:v>99</ns0:v>
      </ns0:c>
      <ns0:c r="F413" s="0">
        <ns0:f>IFERROR(IF(FIND(".",B413)=5,--C413,--E413),0)</ns0:f>
        <ns0:v>0</ns0:v>
      </ns0:c>
      <ns0:c r="G413" s="0">
        <ns0:f>IFERROR(--D413,0)</ns0:f>
        <ns0:v>0</ns0:v>
      </ns0:c>
      <ns0:c r="H413" s="0">
        <ns0:f>IFERROR(IF(FIND(".",B413)=5,--E413,--C413),0)</ns0:f>
        <ns0:v>0</ns0:v>
      </ns0:c>
      <ns0:c r="I413" s="0">
        <ns0:f>IFERROR(IF(AND(F413&gt;=2000,F413&lt;=2100,G413&gt;=1,G413&lt;=12,H413&gt;=1,H413&lt;=31),DATE(F413,G413,H413),0),0)</ns0:f>
        <ns0:v>0</ns0:v>
      </ns0:c>
      <ns0:c r="J413" s="0">
        <ns0:f>IFERROR(IF(ISNUMBER(Bookings!B413),IF(AND(Bookings!B413=INT(Bookings!B413),Bookings!B413&gt;=DATE(2000,1,1),Bookings!B413&lt;=DATE(2100,12,31)),Bookings!B413,0),IF(AND(A413&lt;&gt;"",LEN("x"&amp;B413)-LEN(SUBSTITUTE("x"&amp;B413,".",""))=2,OR(1&gt;LEN(B413),MID(B413,1,1)=".",ISNUMBER(FIND("x"&amp;MID(B413,1,1),"x0x1x2x3x4x5x6x7x8x9"))),OR(2&gt;LEN(B413),MID(B413,2,1)=".",ISNUMBER(FIND("x"&amp;MID(B413,2,1),"x0x1x2x3x4x5x6x7x8x9"))),OR(3&gt;LEN(B413),MID(B413,3,1)=".",ISNUMBER(FIND("x"&amp;MID(B413,3,1),"x0x1x2x3x4x5x6x7x8x9"))),OR(4&gt;LEN(B413),MID(B413,4,1)=".",ISNUMBER(FIND("x"&amp;MID(B413,4,1),"x0x1x2x3x4x5x6x7x8x9"))),OR(5&gt;LEN(B413),MID(B413,5,1)=".",ISNUMBER(FIND("x"&amp;MID(B413,5,1),"x0x1x2x3x4x5x6x7x8x9"))),OR(6&gt;LEN(B413),MID(B413,6,1)=".",ISNUMBER(FIND("x"&amp;MID(B413,6,1),"x0x1x2x3x4x5x6x7x8x9"))),OR(7&gt;LEN(B413),MID(B413,7,1)=".",ISNUMBER(FIND("x"&amp;MID(B413,7,1),"x0x1x2x3x4x5x6x7x8x9"))),OR(8&gt;LEN(B413),MID(B413,8,1)=".",ISNUMBER(FIND("x"&amp;MID(B413,8,1),"x0x1x2x3x4x5x6x7x8x9"))),OR(9&gt;LEN(B413),MID(B413,9,1)=".",ISNUMBER(FIND("x"&amp;MID(B413,9,1),"x0x1x2x3x4x5x6x7x8x9"))),OR(10&gt;LEN(B413),MID(B413,10,1)=".",ISNUMBER(FIND("x"&amp;MID(B413,10,1),"x0x1x2x3x4x5x6x7x8x9"))),OR(AND(FIND(".",B413)=5,LEN(B413)-FIND(".",B413,FIND(".",B413)+1)&gt;=1,LEN(B413)-FIND(".",B413,FIND(".",B413)+1)&lt;=2),AND(LEN(B413)-FIND(".",B413,FIND(".",B413)+1)=4,FIND(".",B413)&gt;=2,FIND(".",B413)&lt;=3)),FIND(".",B413,FIND(".",B413)+1)-FIND(".",B413)&gt;=2,FIND(".",B413,FIND(".",B413)+1)-FIND(".",B413)&lt;=3,F413&gt;=2000,F413&lt;=2100,YEAR(I413)=F413,MONTH(I413)=G413,DAY(I413)=H413),I413,0)),0)</ns0:f>
        <ns0:v>0</ns0:v>
      </ns0:c>
      <ns0:c r="K413" s="0">
        <ns0:f>IFERROR(IF(ISNUMBER(Bookings!D413),"",TRIM(Bookings!D413&amp;"")),"")</ns0:f>
      </ns0:c>
      <ns0:c r="L413" s="0">
        <ns0:f>IFERROR(SUBSTITUTE(SUBSTITUTE(K413,"/","."),"-","."),"")</ns0:f>
      </ns0:c>
      <ns0:c r="M413" s="0">
        <ns0:f>IFERROR(LEFT(L413,FIND(".",L413)-1),"")</ns0:f>
      </ns0:c>
      <ns0:c r="N413" s="0">
        <ns0:f>IFERROR(MID(L413,FIND(".",L413)+1,FIND(".",L413,FIND(".",L413)+1)-FIND(".",L413)-1),"")</ns0:f>
      </ns0:c>
      <ns0:c r="O413" s="0">
        <ns0:f>IFERROR(MID(L413,FIND(".",L413,FIND(".",L413)+1)+1,99),"")</ns0:f>
        <ns0:v>99</ns0:v>
      </ns0:c>
      <ns0:c r="P413" s="0">
        <ns0:f>IFERROR(IF(FIND(".",L413)=5,--M413,--O413),0)</ns0:f>
        <ns0:v>0</ns0:v>
      </ns0:c>
      <ns0:c r="Q413" s="0">
        <ns0:f>IFERROR(--N413,0)</ns0:f>
        <ns0:v>0</ns0:v>
      </ns0:c>
      <ns0:c r="R413" s="0">
        <ns0:f>IFERROR(IF(FIND(".",L413)=5,--O413,--M413),0)</ns0:f>
        <ns0:v>0</ns0:v>
      </ns0:c>
      <ns0:c r="S413" s="0">
        <ns0:f>IFERROR(IF(AND(P413&gt;=2000,P413&lt;=2100,Q413&gt;=1,Q413&lt;=12,R413&gt;=1,R413&lt;=31),DATE(P413,Q413,R413),0),0)</ns0:f>
        <ns0:v>0</ns0:v>
      </ns0:c>
      <ns0:c r="T413" s="0">
        <ns0:f>IFERROR(IF(ISNUMBER(Bookings!D413),IF(AND(Bookings!D413=INT(Bookings!D413),Bookings!D413&gt;=DATE(2000,1,1),Bookings!D413&lt;=DATE(2100,12,31)),Bookings!D413,0),IF(AND(K413&lt;&gt;"",LEN("x"&amp;L413)-LEN(SUBSTITUTE("x"&amp;L413,".",""))=2,OR(1&gt;LEN(L413),MID(L413,1,1)=".",ISNUMBER(FIND("x"&amp;MID(L413,1,1),"x0x1x2x3x4x5x6x7x8x9"))),OR(2&gt;LEN(L413),MID(L413,2,1)=".",ISNUMBER(FIND("x"&amp;MID(L413,2,1),"x0x1x2x3x4x5x6x7x8x9"))),OR(3&gt;LEN(L413),MID(L413,3,1)=".",ISNUMBER(FIND("x"&amp;MID(L413,3,1),"x0x1x2x3x4x5x6x7x8x9"))),OR(4&gt;LEN(L413),MID(L413,4,1)=".",ISNUMBER(FIND("x"&amp;MID(L413,4,1),"x0x1x2x3x4x5x6x7x8x9"))),OR(5&gt;LEN(L413),MID(L413,5,1)=".",ISNUMBER(FIND("x"&amp;MID(L413,5,1),"x0x1x2x3x4x5x6x7x8x9"))),OR(6&gt;LEN(L413),MID(L413,6,1)=".",ISNUMBER(FIND("x"&amp;MID(L413,6,1),"x0x1x2x3x4x5x6x7x8x9"))),OR(7&gt;LEN(L413),MID(L413,7,1)=".",ISNUMBER(FIND("x"&amp;MID(L413,7,1),"x0x1x2x3x4x5x6x7x8x9"))),OR(8&gt;LEN(L413),MID(L413,8,1)=".",ISNUMBER(FIND("x"&amp;MID(L413,8,1),"x0x1x2x3x4x5x6x7x8x9"))),OR(9&gt;LEN(L413),MID(L413,9,1)=".",ISNUMBER(FIND("x"&amp;MID(L413,9,1),"x0x1x2x3x4x5x6x7x8x9"))),OR(10&gt;LEN(L413),MID(L413,10,1)=".",ISNUMBER(FIND("x"&amp;MID(L413,10,1),"x0x1x2x3x4x5x6x7x8x9"))),OR(AND(FIND(".",L413)=5,LEN(L413)-FIND(".",L413,FIND(".",L413)+1)&gt;=1,LEN(L413)-FIND(".",L413,FIND(".",L413)+1)&lt;=2),AND(LEN(L413)-FIND(".",L413,FIND(".",L413)+1)=4,FIND(".",L413)&gt;=2,FIND(".",L413)&lt;=3)),FIND(".",L413,FIND(".",L413)+1)-FIND(".",L413)&gt;=2,FIND(".",L413,FIND(".",L413)+1)-FIND(".",L413)&lt;=3,P413&gt;=2000,P413&lt;=2100,YEAR(S413)=P413,MONTH(S413)=Q413,DAY(S413)=R413),S413,0)),0)</ns0:f>
        <ns0:v>0</ns0:v>
      </ns0:c>
      <ns0:c r="U413" s="0" t="str">
        <ns0:f>IF(Bookings!C413="","Full day",Bookings!C413)</ns0:f>
        <ns0:v>Full day</ns0:v>
      </ns0:c>
      <ns0:c r="V413" s="0" t="str">
        <ns0:f>IF(Bookings!E413="","Full day",Bookings!E413)</ns0:f>
        <ns0:v>Full day</ns0:v>
      </ns0:c>
      <ns0:c r="W413" s="0">
        <ns0:f>IF(J413=0,0,J413+IF(U413="PM",1,0))</ns0:f>
        <ns0:v>0</ns0:v>
      </ns0:c>
      <ns0:c r="X413" s="0">
        <ns0:f>IF(T413=0,0,T413-IF(V413="PM",1,0))</ns0:f>
        <ns0:v>0</ns0:v>
      </ns0:c>
      <ns0:c r="Y413" s="0">
        <ns0:f>IF(J413=0,0,J413+IF(U413="AM",1,0))</ns0:f>
        <ns0:v>0</ns0:v>
      </ns0:c>
      <ns0:c r="Z413" s="0">
        <ns0:f>IF(T413=0,0,T413-IF(V413="AM",1,0))</ns0:f>
        <ns0:v>0</ns0:v>
      </ns0:c>
      <ns0:c r="AA413" s="0">
        <ns0:f>IFERROR(IF(AND(J413&gt;0,'_Engine'!C413&gt;0,MID('_Engine'!W413,WEEKDAY(J413,2),1)="W",COUNTIF(Settings!$F$18:$F$67,J413)=0),1,0),0)</ns0:f>
        <ns0:v>0</ns0:v>
      </ns0:c>
      <ns0:c r="AB413" s="0">
        <ns0:f>IFERROR(IF(AND(T413&gt;0,'_Engine'!C413&gt;0,MID('_Engine'!W413,WEEKDAY(T413,2),1)="W",COUNTIF(Settings!$F$18:$F$67,T413)=0),1,0),0)</ns0:f>
        <ns0:v>0</ns0:v>
      </ns0:c>
      <ns0:c r="AC413" s="0">
        <ns0:f>IF(AND(J413&gt;0,T413&gt;0,W413&lt;=X413),1,0)</ns0:f>
        <ns0:v>0</ns0:v>
      </ns0:c>
      <ns0:c r="AD413" s="0">
        <ns0:f>IF(AND(J413&gt;0,T413&gt;0,Y413&lt;=Z413),1,0)</ns0:f>
        <ns0:v>0</ns0:v>
      </ns0:c>
    </ns0:row>
    <ns0:row r="414">
      <ns0:c r="A414" s="0">
        <ns0:f>IFERROR(IF(ISNUMBER(Bookings!B414),"",TRIM(Bookings!B414&amp;"")),"")</ns0:f>
      </ns0:c>
      <ns0:c r="B414" s="0">
        <ns0:f>IFERROR(SUBSTITUTE(SUBSTITUTE(A414,"/","."),"-","."),"")</ns0:f>
      </ns0:c>
      <ns0:c r="C414" s="0">
        <ns0:f>IFERROR(LEFT(B414,FIND(".",B414)-1),"")</ns0:f>
      </ns0:c>
      <ns0:c r="D414" s="0">
        <ns0:f>IFERROR(MID(B414,FIND(".",B414)+1,FIND(".",B414,FIND(".",B414)+1)-FIND(".",B414)-1),"")</ns0:f>
      </ns0:c>
      <ns0:c r="E414" s="0">
        <ns0:f>IFERROR(MID(B414,FIND(".",B414,FIND(".",B414)+1)+1,99),"")</ns0:f>
        <ns0:v>99</ns0:v>
      </ns0:c>
      <ns0:c r="F414" s="0">
        <ns0:f>IFERROR(IF(FIND(".",B414)=5,--C414,--E414),0)</ns0:f>
        <ns0:v>0</ns0:v>
      </ns0:c>
      <ns0:c r="G414" s="0">
        <ns0:f>IFERROR(--D414,0)</ns0:f>
        <ns0:v>0</ns0:v>
      </ns0:c>
      <ns0:c r="H414" s="0">
        <ns0:f>IFERROR(IF(FIND(".",B414)=5,--E414,--C414),0)</ns0:f>
        <ns0:v>0</ns0:v>
      </ns0:c>
      <ns0:c r="I414" s="0">
        <ns0:f>IFERROR(IF(AND(F414&gt;=2000,F414&lt;=2100,G414&gt;=1,G414&lt;=12,H414&gt;=1,H414&lt;=31),DATE(F414,G414,H414),0),0)</ns0:f>
        <ns0:v>0</ns0:v>
      </ns0:c>
      <ns0:c r="J414" s="0">
        <ns0:f>IFERROR(IF(ISNUMBER(Bookings!B414),IF(AND(Bookings!B414=INT(Bookings!B414),Bookings!B414&gt;=DATE(2000,1,1),Bookings!B414&lt;=DATE(2100,12,31)),Bookings!B414,0),IF(AND(A414&lt;&gt;"",LEN("x"&amp;B414)-LEN(SUBSTITUTE("x"&amp;B414,".",""))=2,OR(1&gt;LEN(B414),MID(B414,1,1)=".",ISNUMBER(FIND("x"&amp;MID(B414,1,1),"x0x1x2x3x4x5x6x7x8x9"))),OR(2&gt;LEN(B414),MID(B414,2,1)=".",ISNUMBER(FIND("x"&amp;MID(B414,2,1),"x0x1x2x3x4x5x6x7x8x9"))),OR(3&gt;LEN(B414),MID(B414,3,1)=".",ISNUMBER(FIND("x"&amp;MID(B414,3,1),"x0x1x2x3x4x5x6x7x8x9"))),OR(4&gt;LEN(B414),MID(B414,4,1)=".",ISNUMBER(FIND("x"&amp;MID(B414,4,1),"x0x1x2x3x4x5x6x7x8x9"))),OR(5&gt;LEN(B414),MID(B414,5,1)=".",ISNUMBER(FIND("x"&amp;MID(B414,5,1),"x0x1x2x3x4x5x6x7x8x9"))),OR(6&gt;LEN(B414),MID(B414,6,1)=".",ISNUMBER(FIND("x"&amp;MID(B414,6,1),"x0x1x2x3x4x5x6x7x8x9"))),OR(7&gt;LEN(B414),MID(B414,7,1)=".",ISNUMBER(FIND("x"&amp;MID(B414,7,1),"x0x1x2x3x4x5x6x7x8x9"))),OR(8&gt;LEN(B414),MID(B414,8,1)=".",ISNUMBER(FIND("x"&amp;MID(B414,8,1),"x0x1x2x3x4x5x6x7x8x9"))),OR(9&gt;LEN(B414),MID(B414,9,1)=".",ISNUMBER(FIND("x"&amp;MID(B414,9,1),"x0x1x2x3x4x5x6x7x8x9"))),OR(10&gt;LEN(B414),MID(B414,10,1)=".",ISNUMBER(FIND("x"&amp;MID(B414,10,1),"x0x1x2x3x4x5x6x7x8x9"))),OR(AND(FIND(".",B414)=5,LEN(B414)-FIND(".",B414,FIND(".",B414)+1)&gt;=1,LEN(B414)-FIND(".",B414,FIND(".",B414)+1)&lt;=2),AND(LEN(B414)-FIND(".",B414,FIND(".",B414)+1)=4,FIND(".",B414)&gt;=2,FIND(".",B414)&lt;=3)),FIND(".",B414,FIND(".",B414)+1)-FIND(".",B414)&gt;=2,FIND(".",B414,FIND(".",B414)+1)-FIND(".",B414)&lt;=3,F414&gt;=2000,F414&lt;=2100,YEAR(I414)=F414,MONTH(I414)=G414,DAY(I414)=H414),I414,0)),0)</ns0:f>
        <ns0:v>0</ns0:v>
      </ns0:c>
      <ns0:c r="K414" s="0">
        <ns0:f>IFERROR(IF(ISNUMBER(Bookings!D414),"",TRIM(Bookings!D414&amp;"")),"")</ns0:f>
      </ns0:c>
      <ns0:c r="L414" s="0">
        <ns0:f>IFERROR(SUBSTITUTE(SUBSTITUTE(K414,"/","."),"-","."),"")</ns0:f>
      </ns0:c>
      <ns0:c r="M414" s="0">
        <ns0:f>IFERROR(LEFT(L414,FIND(".",L414)-1),"")</ns0:f>
      </ns0:c>
      <ns0:c r="N414" s="0">
        <ns0:f>IFERROR(MID(L414,FIND(".",L414)+1,FIND(".",L414,FIND(".",L414)+1)-FIND(".",L414)-1),"")</ns0:f>
      </ns0:c>
      <ns0:c r="O414" s="0">
        <ns0:f>IFERROR(MID(L414,FIND(".",L414,FIND(".",L414)+1)+1,99),"")</ns0:f>
        <ns0:v>99</ns0:v>
      </ns0:c>
      <ns0:c r="P414" s="0">
        <ns0:f>IFERROR(IF(FIND(".",L414)=5,--M414,--O414),0)</ns0:f>
        <ns0:v>0</ns0:v>
      </ns0:c>
      <ns0:c r="Q414" s="0">
        <ns0:f>IFERROR(--N414,0)</ns0:f>
        <ns0:v>0</ns0:v>
      </ns0:c>
      <ns0:c r="R414" s="0">
        <ns0:f>IFERROR(IF(FIND(".",L414)=5,--O414,--M414),0)</ns0:f>
        <ns0:v>0</ns0:v>
      </ns0:c>
      <ns0:c r="S414" s="0">
        <ns0:f>IFERROR(IF(AND(P414&gt;=2000,P414&lt;=2100,Q414&gt;=1,Q414&lt;=12,R414&gt;=1,R414&lt;=31),DATE(P414,Q414,R414),0),0)</ns0:f>
        <ns0:v>0</ns0:v>
      </ns0:c>
      <ns0:c r="T414" s="0">
        <ns0:f>IFERROR(IF(ISNUMBER(Bookings!D414),IF(AND(Bookings!D414=INT(Bookings!D414),Bookings!D414&gt;=DATE(2000,1,1),Bookings!D414&lt;=DATE(2100,12,31)),Bookings!D414,0),IF(AND(K414&lt;&gt;"",LEN("x"&amp;L414)-LEN(SUBSTITUTE("x"&amp;L414,".",""))=2,OR(1&gt;LEN(L414),MID(L414,1,1)=".",ISNUMBER(FIND("x"&amp;MID(L414,1,1),"x0x1x2x3x4x5x6x7x8x9"))),OR(2&gt;LEN(L414),MID(L414,2,1)=".",ISNUMBER(FIND("x"&amp;MID(L414,2,1),"x0x1x2x3x4x5x6x7x8x9"))),OR(3&gt;LEN(L414),MID(L414,3,1)=".",ISNUMBER(FIND("x"&amp;MID(L414,3,1),"x0x1x2x3x4x5x6x7x8x9"))),OR(4&gt;LEN(L414),MID(L414,4,1)=".",ISNUMBER(FIND("x"&amp;MID(L414,4,1),"x0x1x2x3x4x5x6x7x8x9"))),OR(5&gt;LEN(L414),MID(L414,5,1)=".",ISNUMBER(FIND("x"&amp;MID(L414,5,1),"x0x1x2x3x4x5x6x7x8x9"))),OR(6&gt;LEN(L414),MID(L414,6,1)=".",ISNUMBER(FIND("x"&amp;MID(L414,6,1),"x0x1x2x3x4x5x6x7x8x9"))),OR(7&gt;LEN(L414),MID(L414,7,1)=".",ISNUMBER(FIND("x"&amp;MID(L414,7,1),"x0x1x2x3x4x5x6x7x8x9"))),OR(8&gt;LEN(L414),MID(L414,8,1)=".",ISNUMBER(FIND("x"&amp;MID(L414,8,1),"x0x1x2x3x4x5x6x7x8x9"))),OR(9&gt;LEN(L414),MID(L414,9,1)=".",ISNUMBER(FIND("x"&amp;MID(L414,9,1),"x0x1x2x3x4x5x6x7x8x9"))),OR(10&gt;LEN(L414),MID(L414,10,1)=".",ISNUMBER(FIND("x"&amp;MID(L414,10,1),"x0x1x2x3x4x5x6x7x8x9"))),OR(AND(FIND(".",L414)=5,LEN(L414)-FIND(".",L414,FIND(".",L414)+1)&gt;=1,LEN(L414)-FIND(".",L414,FIND(".",L414)+1)&lt;=2),AND(LEN(L414)-FIND(".",L414,FIND(".",L414)+1)=4,FIND(".",L414)&gt;=2,FIND(".",L414)&lt;=3)),FIND(".",L414,FIND(".",L414)+1)-FIND(".",L414)&gt;=2,FIND(".",L414,FIND(".",L414)+1)-FIND(".",L414)&lt;=3,P414&gt;=2000,P414&lt;=2100,YEAR(S414)=P414,MONTH(S414)=Q414,DAY(S414)=R414),S414,0)),0)</ns0:f>
        <ns0:v>0</ns0:v>
      </ns0:c>
      <ns0:c r="U414" s="0" t="str">
        <ns0:f>IF(Bookings!C414="","Full day",Bookings!C414)</ns0:f>
        <ns0:v>Full day</ns0:v>
      </ns0:c>
      <ns0:c r="V414" s="0" t="str">
        <ns0:f>IF(Bookings!E414="","Full day",Bookings!E414)</ns0:f>
        <ns0:v>Full day</ns0:v>
      </ns0:c>
      <ns0:c r="W414" s="0">
        <ns0:f>IF(J414=0,0,J414+IF(U414="PM",1,0))</ns0:f>
        <ns0:v>0</ns0:v>
      </ns0:c>
      <ns0:c r="X414" s="0">
        <ns0:f>IF(T414=0,0,T414-IF(V414="PM",1,0))</ns0:f>
        <ns0:v>0</ns0:v>
      </ns0:c>
      <ns0:c r="Y414" s="0">
        <ns0:f>IF(J414=0,0,J414+IF(U414="AM",1,0))</ns0:f>
        <ns0:v>0</ns0:v>
      </ns0:c>
      <ns0:c r="Z414" s="0">
        <ns0:f>IF(T414=0,0,T414-IF(V414="AM",1,0))</ns0:f>
        <ns0:v>0</ns0:v>
      </ns0:c>
      <ns0:c r="AA414" s="0">
        <ns0:f>IFERROR(IF(AND(J414&gt;0,'_Engine'!C414&gt;0,MID('_Engine'!W414,WEEKDAY(J414,2),1)="W",COUNTIF(Settings!$F$18:$F$67,J414)=0),1,0),0)</ns0:f>
        <ns0:v>0</ns0:v>
      </ns0:c>
      <ns0:c r="AB414" s="0">
        <ns0:f>IFERROR(IF(AND(T414&gt;0,'_Engine'!C414&gt;0,MID('_Engine'!W414,WEEKDAY(T414,2),1)="W",COUNTIF(Settings!$F$18:$F$67,T414)=0),1,0),0)</ns0:f>
        <ns0:v>0</ns0:v>
      </ns0:c>
      <ns0:c r="AC414" s="0">
        <ns0:f>IF(AND(J414&gt;0,T414&gt;0,W414&lt;=X414),1,0)</ns0:f>
        <ns0:v>0</ns0:v>
      </ns0:c>
      <ns0:c r="AD414" s="0">
        <ns0:f>IF(AND(J414&gt;0,T414&gt;0,Y414&lt;=Z414),1,0)</ns0:f>
        <ns0:v>0</ns0:v>
      </ns0:c>
    </ns0:row>
    <ns0:row r="415">
      <ns0:c r="A415" s="0">
        <ns0:f>IFERROR(IF(ISNUMBER(Bookings!B415),"",TRIM(Bookings!B415&amp;"")),"")</ns0:f>
      </ns0:c>
      <ns0:c r="B415" s="0">
        <ns0:f>IFERROR(SUBSTITUTE(SUBSTITUTE(A415,"/","."),"-","."),"")</ns0:f>
      </ns0:c>
      <ns0:c r="C415" s="0">
        <ns0:f>IFERROR(LEFT(B415,FIND(".",B415)-1),"")</ns0:f>
      </ns0:c>
      <ns0:c r="D415" s="0">
        <ns0:f>IFERROR(MID(B415,FIND(".",B415)+1,FIND(".",B415,FIND(".",B415)+1)-FIND(".",B415)-1),"")</ns0:f>
      </ns0:c>
      <ns0:c r="E415" s="0">
        <ns0:f>IFERROR(MID(B415,FIND(".",B415,FIND(".",B415)+1)+1,99),"")</ns0:f>
        <ns0:v>99</ns0:v>
      </ns0:c>
      <ns0:c r="F415" s="0">
        <ns0:f>IFERROR(IF(FIND(".",B415)=5,--C415,--E415),0)</ns0:f>
        <ns0:v>0</ns0:v>
      </ns0:c>
      <ns0:c r="G415" s="0">
        <ns0:f>IFERROR(--D415,0)</ns0:f>
        <ns0:v>0</ns0:v>
      </ns0:c>
      <ns0:c r="H415" s="0">
        <ns0:f>IFERROR(IF(FIND(".",B415)=5,--E415,--C415),0)</ns0:f>
        <ns0:v>0</ns0:v>
      </ns0:c>
      <ns0:c r="I415" s="0">
        <ns0:f>IFERROR(IF(AND(F415&gt;=2000,F415&lt;=2100,G415&gt;=1,G415&lt;=12,H415&gt;=1,H415&lt;=31),DATE(F415,G415,H415),0),0)</ns0:f>
        <ns0:v>0</ns0:v>
      </ns0:c>
      <ns0:c r="J415" s="0">
        <ns0:f>IFERROR(IF(ISNUMBER(Bookings!B415),IF(AND(Bookings!B415=INT(Bookings!B415),Bookings!B415&gt;=DATE(2000,1,1),Bookings!B415&lt;=DATE(2100,12,31)),Bookings!B415,0),IF(AND(A415&lt;&gt;"",LEN("x"&amp;B415)-LEN(SUBSTITUTE("x"&amp;B415,".",""))=2,OR(1&gt;LEN(B415),MID(B415,1,1)=".",ISNUMBER(FIND("x"&amp;MID(B415,1,1),"x0x1x2x3x4x5x6x7x8x9"))),OR(2&gt;LEN(B415),MID(B415,2,1)=".",ISNUMBER(FIND("x"&amp;MID(B415,2,1),"x0x1x2x3x4x5x6x7x8x9"))),OR(3&gt;LEN(B415),MID(B415,3,1)=".",ISNUMBER(FIND("x"&amp;MID(B415,3,1),"x0x1x2x3x4x5x6x7x8x9"))),OR(4&gt;LEN(B415),MID(B415,4,1)=".",ISNUMBER(FIND("x"&amp;MID(B415,4,1),"x0x1x2x3x4x5x6x7x8x9"))),OR(5&gt;LEN(B415),MID(B415,5,1)=".",ISNUMBER(FIND("x"&amp;MID(B415,5,1),"x0x1x2x3x4x5x6x7x8x9"))),OR(6&gt;LEN(B415),MID(B415,6,1)=".",ISNUMBER(FIND("x"&amp;MID(B415,6,1),"x0x1x2x3x4x5x6x7x8x9"))),OR(7&gt;LEN(B415),MID(B415,7,1)=".",ISNUMBER(FIND("x"&amp;MID(B415,7,1),"x0x1x2x3x4x5x6x7x8x9"))),OR(8&gt;LEN(B415),MID(B415,8,1)=".",ISNUMBER(FIND("x"&amp;MID(B415,8,1),"x0x1x2x3x4x5x6x7x8x9"))),OR(9&gt;LEN(B415),MID(B415,9,1)=".",ISNUMBER(FIND("x"&amp;MID(B415,9,1),"x0x1x2x3x4x5x6x7x8x9"))),OR(10&gt;LEN(B415),MID(B415,10,1)=".",ISNUMBER(FIND("x"&amp;MID(B415,10,1),"x0x1x2x3x4x5x6x7x8x9"))),OR(AND(FIND(".",B415)=5,LEN(B415)-FIND(".",B415,FIND(".",B415)+1)&gt;=1,LEN(B415)-FIND(".",B415,FIND(".",B415)+1)&lt;=2),AND(LEN(B415)-FIND(".",B415,FIND(".",B415)+1)=4,FIND(".",B415)&gt;=2,FIND(".",B415)&lt;=3)),FIND(".",B415,FIND(".",B415)+1)-FIND(".",B415)&gt;=2,FIND(".",B415,FIND(".",B415)+1)-FIND(".",B415)&lt;=3,F415&gt;=2000,F415&lt;=2100,YEAR(I415)=F415,MONTH(I415)=G415,DAY(I415)=H415),I415,0)),0)</ns0:f>
        <ns0:v>0</ns0:v>
      </ns0:c>
      <ns0:c r="K415" s="0">
        <ns0:f>IFERROR(IF(ISNUMBER(Bookings!D415),"",TRIM(Bookings!D415&amp;"")),"")</ns0:f>
      </ns0:c>
      <ns0:c r="L415" s="0">
        <ns0:f>IFERROR(SUBSTITUTE(SUBSTITUTE(K415,"/","."),"-","."),"")</ns0:f>
      </ns0:c>
      <ns0:c r="M415" s="0">
        <ns0:f>IFERROR(LEFT(L415,FIND(".",L415)-1),"")</ns0:f>
      </ns0:c>
      <ns0:c r="N415" s="0">
        <ns0:f>IFERROR(MID(L415,FIND(".",L415)+1,FIND(".",L415,FIND(".",L415)+1)-FIND(".",L415)-1),"")</ns0:f>
      </ns0:c>
      <ns0:c r="O415" s="0">
        <ns0:f>IFERROR(MID(L415,FIND(".",L415,FIND(".",L415)+1)+1,99),"")</ns0:f>
        <ns0:v>99</ns0:v>
      </ns0:c>
      <ns0:c r="P415" s="0">
        <ns0:f>IFERROR(IF(FIND(".",L415)=5,--M415,--O415),0)</ns0:f>
        <ns0:v>0</ns0:v>
      </ns0:c>
      <ns0:c r="Q415" s="0">
        <ns0:f>IFERROR(--N415,0)</ns0:f>
        <ns0:v>0</ns0:v>
      </ns0:c>
      <ns0:c r="R415" s="0">
        <ns0:f>IFERROR(IF(FIND(".",L415)=5,--O415,--M415),0)</ns0:f>
        <ns0:v>0</ns0:v>
      </ns0:c>
      <ns0:c r="S415" s="0">
        <ns0:f>IFERROR(IF(AND(P415&gt;=2000,P415&lt;=2100,Q415&gt;=1,Q415&lt;=12,R415&gt;=1,R415&lt;=31),DATE(P415,Q415,R415),0),0)</ns0:f>
        <ns0:v>0</ns0:v>
      </ns0:c>
      <ns0:c r="T415" s="0">
        <ns0:f>IFERROR(IF(ISNUMBER(Bookings!D415),IF(AND(Bookings!D415=INT(Bookings!D415),Bookings!D415&gt;=DATE(2000,1,1),Bookings!D415&lt;=DATE(2100,12,31)),Bookings!D415,0),IF(AND(K415&lt;&gt;"",LEN("x"&amp;L415)-LEN(SUBSTITUTE("x"&amp;L415,".",""))=2,OR(1&gt;LEN(L415),MID(L415,1,1)=".",ISNUMBER(FIND("x"&amp;MID(L415,1,1),"x0x1x2x3x4x5x6x7x8x9"))),OR(2&gt;LEN(L415),MID(L415,2,1)=".",ISNUMBER(FIND("x"&amp;MID(L415,2,1),"x0x1x2x3x4x5x6x7x8x9"))),OR(3&gt;LEN(L415),MID(L415,3,1)=".",ISNUMBER(FIND("x"&amp;MID(L415,3,1),"x0x1x2x3x4x5x6x7x8x9"))),OR(4&gt;LEN(L415),MID(L415,4,1)=".",ISNUMBER(FIND("x"&amp;MID(L415,4,1),"x0x1x2x3x4x5x6x7x8x9"))),OR(5&gt;LEN(L415),MID(L415,5,1)=".",ISNUMBER(FIND("x"&amp;MID(L415,5,1),"x0x1x2x3x4x5x6x7x8x9"))),OR(6&gt;LEN(L415),MID(L415,6,1)=".",ISNUMBER(FIND("x"&amp;MID(L415,6,1),"x0x1x2x3x4x5x6x7x8x9"))),OR(7&gt;LEN(L415),MID(L415,7,1)=".",ISNUMBER(FIND("x"&amp;MID(L415,7,1),"x0x1x2x3x4x5x6x7x8x9"))),OR(8&gt;LEN(L415),MID(L415,8,1)=".",ISNUMBER(FIND("x"&amp;MID(L415,8,1),"x0x1x2x3x4x5x6x7x8x9"))),OR(9&gt;LEN(L415),MID(L415,9,1)=".",ISNUMBER(FIND("x"&amp;MID(L415,9,1),"x0x1x2x3x4x5x6x7x8x9"))),OR(10&gt;LEN(L415),MID(L415,10,1)=".",ISNUMBER(FIND("x"&amp;MID(L415,10,1),"x0x1x2x3x4x5x6x7x8x9"))),OR(AND(FIND(".",L415)=5,LEN(L415)-FIND(".",L415,FIND(".",L415)+1)&gt;=1,LEN(L415)-FIND(".",L415,FIND(".",L415)+1)&lt;=2),AND(LEN(L415)-FIND(".",L415,FIND(".",L415)+1)=4,FIND(".",L415)&gt;=2,FIND(".",L415)&lt;=3)),FIND(".",L415,FIND(".",L415)+1)-FIND(".",L415)&gt;=2,FIND(".",L415,FIND(".",L415)+1)-FIND(".",L415)&lt;=3,P415&gt;=2000,P415&lt;=2100,YEAR(S415)=P415,MONTH(S415)=Q415,DAY(S415)=R415),S415,0)),0)</ns0:f>
        <ns0:v>0</ns0:v>
      </ns0:c>
      <ns0:c r="U415" s="0" t="str">
        <ns0:f>IF(Bookings!C415="","Full day",Bookings!C415)</ns0:f>
        <ns0:v>Full day</ns0:v>
      </ns0:c>
      <ns0:c r="V415" s="0" t="str">
        <ns0:f>IF(Bookings!E415="","Full day",Bookings!E415)</ns0:f>
        <ns0:v>Full day</ns0:v>
      </ns0:c>
      <ns0:c r="W415" s="0">
        <ns0:f>IF(J415=0,0,J415+IF(U415="PM",1,0))</ns0:f>
        <ns0:v>0</ns0:v>
      </ns0:c>
      <ns0:c r="X415" s="0">
        <ns0:f>IF(T415=0,0,T415-IF(V415="PM",1,0))</ns0:f>
        <ns0:v>0</ns0:v>
      </ns0:c>
      <ns0:c r="Y415" s="0">
        <ns0:f>IF(J415=0,0,J415+IF(U415="AM",1,0))</ns0:f>
        <ns0:v>0</ns0:v>
      </ns0:c>
      <ns0:c r="Z415" s="0">
        <ns0:f>IF(T415=0,0,T415-IF(V415="AM",1,0))</ns0:f>
        <ns0:v>0</ns0:v>
      </ns0:c>
      <ns0:c r="AA415" s="0">
        <ns0:f>IFERROR(IF(AND(J415&gt;0,'_Engine'!C415&gt;0,MID('_Engine'!W415,WEEKDAY(J415,2),1)="W",COUNTIF(Settings!$F$18:$F$67,J415)=0),1,0),0)</ns0:f>
        <ns0:v>0</ns0:v>
      </ns0:c>
      <ns0:c r="AB415" s="0">
        <ns0:f>IFERROR(IF(AND(T415&gt;0,'_Engine'!C415&gt;0,MID('_Engine'!W415,WEEKDAY(T415,2),1)="W",COUNTIF(Settings!$F$18:$F$67,T415)=0),1,0),0)</ns0:f>
        <ns0:v>0</ns0:v>
      </ns0:c>
      <ns0:c r="AC415" s="0">
        <ns0:f>IF(AND(J415&gt;0,T415&gt;0,W415&lt;=X415),1,0)</ns0:f>
        <ns0:v>0</ns0:v>
      </ns0:c>
      <ns0:c r="AD415" s="0">
        <ns0:f>IF(AND(J415&gt;0,T415&gt;0,Y415&lt;=Z415),1,0)</ns0:f>
        <ns0:v>0</ns0:v>
      </ns0:c>
    </ns0:row>
    <ns0:row r="416">
      <ns0:c r="A416" s="0">
        <ns0:f>IFERROR(IF(ISNUMBER(Bookings!B416),"",TRIM(Bookings!B416&amp;"")),"")</ns0:f>
      </ns0:c>
      <ns0:c r="B416" s="0">
        <ns0:f>IFERROR(SUBSTITUTE(SUBSTITUTE(A416,"/","."),"-","."),"")</ns0:f>
      </ns0:c>
      <ns0:c r="C416" s="0">
        <ns0:f>IFERROR(LEFT(B416,FIND(".",B416)-1),"")</ns0:f>
      </ns0:c>
      <ns0:c r="D416" s="0">
        <ns0:f>IFERROR(MID(B416,FIND(".",B416)+1,FIND(".",B416,FIND(".",B416)+1)-FIND(".",B416)-1),"")</ns0:f>
      </ns0:c>
      <ns0:c r="E416" s="0">
        <ns0:f>IFERROR(MID(B416,FIND(".",B416,FIND(".",B416)+1)+1,99),"")</ns0:f>
        <ns0:v>99</ns0:v>
      </ns0:c>
      <ns0:c r="F416" s="0">
        <ns0:f>IFERROR(IF(FIND(".",B416)=5,--C416,--E416),0)</ns0:f>
        <ns0:v>0</ns0:v>
      </ns0:c>
      <ns0:c r="G416" s="0">
        <ns0:f>IFERROR(--D416,0)</ns0:f>
        <ns0:v>0</ns0:v>
      </ns0:c>
      <ns0:c r="H416" s="0">
        <ns0:f>IFERROR(IF(FIND(".",B416)=5,--E416,--C416),0)</ns0:f>
        <ns0:v>0</ns0:v>
      </ns0:c>
      <ns0:c r="I416" s="0">
        <ns0:f>IFERROR(IF(AND(F416&gt;=2000,F416&lt;=2100,G416&gt;=1,G416&lt;=12,H416&gt;=1,H416&lt;=31),DATE(F416,G416,H416),0),0)</ns0:f>
        <ns0:v>0</ns0:v>
      </ns0:c>
      <ns0:c r="J416" s="0">
        <ns0:f>IFERROR(IF(ISNUMBER(Bookings!B416),IF(AND(Bookings!B416=INT(Bookings!B416),Bookings!B416&gt;=DATE(2000,1,1),Bookings!B416&lt;=DATE(2100,12,31)),Bookings!B416,0),IF(AND(A416&lt;&gt;"",LEN("x"&amp;B416)-LEN(SUBSTITUTE("x"&amp;B416,".",""))=2,OR(1&gt;LEN(B416),MID(B416,1,1)=".",ISNUMBER(FIND("x"&amp;MID(B416,1,1),"x0x1x2x3x4x5x6x7x8x9"))),OR(2&gt;LEN(B416),MID(B416,2,1)=".",ISNUMBER(FIND("x"&amp;MID(B416,2,1),"x0x1x2x3x4x5x6x7x8x9"))),OR(3&gt;LEN(B416),MID(B416,3,1)=".",ISNUMBER(FIND("x"&amp;MID(B416,3,1),"x0x1x2x3x4x5x6x7x8x9"))),OR(4&gt;LEN(B416),MID(B416,4,1)=".",ISNUMBER(FIND("x"&amp;MID(B416,4,1),"x0x1x2x3x4x5x6x7x8x9"))),OR(5&gt;LEN(B416),MID(B416,5,1)=".",ISNUMBER(FIND("x"&amp;MID(B416,5,1),"x0x1x2x3x4x5x6x7x8x9"))),OR(6&gt;LEN(B416),MID(B416,6,1)=".",ISNUMBER(FIND("x"&amp;MID(B416,6,1),"x0x1x2x3x4x5x6x7x8x9"))),OR(7&gt;LEN(B416),MID(B416,7,1)=".",ISNUMBER(FIND("x"&amp;MID(B416,7,1),"x0x1x2x3x4x5x6x7x8x9"))),OR(8&gt;LEN(B416),MID(B416,8,1)=".",ISNUMBER(FIND("x"&amp;MID(B416,8,1),"x0x1x2x3x4x5x6x7x8x9"))),OR(9&gt;LEN(B416),MID(B416,9,1)=".",ISNUMBER(FIND("x"&amp;MID(B416,9,1),"x0x1x2x3x4x5x6x7x8x9"))),OR(10&gt;LEN(B416),MID(B416,10,1)=".",ISNUMBER(FIND("x"&amp;MID(B416,10,1),"x0x1x2x3x4x5x6x7x8x9"))),OR(AND(FIND(".",B416)=5,LEN(B416)-FIND(".",B416,FIND(".",B416)+1)&gt;=1,LEN(B416)-FIND(".",B416,FIND(".",B416)+1)&lt;=2),AND(LEN(B416)-FIND(".",B416,FIND(".",B416)+1)=4,FIND(".",B416)&gt;=2,FIND(".",B416)&lt;=3)),FIND(".",B416,FIND(".",B416)+1)-FIND(".",B416)&gt;=2,FIND(".",B416,FIND(".",B416)+1)-FIND(".",B416)&lt;=3,F416&gt;=2000,F416&lt;=2100,YEAR(I416)=F416,MONTH(I416)=G416,DAY(I416)=H416),I416,0)),0)</ns0:f>
        <ns0:v>0</ns0:v>
      </ns0:c>
      <ns0:c r="K416" s="0">
        <ns0:f>IFERROR(IF(ISNUMBER(Bookings!D416),"",TRIM(Bookings!D416&amp;"")),"")</ns0:f>
      </ns0:c>
      <ns0:c r="L416" s="0">
        <ns0:f>IFERROR(SUBSTITUTE(SUBSTITUTE(K416,"/","."),"-","."),"")</ns0:f>
      </ns0:c>
      <ns0:c r="M416" s="0">
        <ns0:f>IFERROR(LEFT(L416,FIND(".",L416)-1),"")</ns0:f>
      </ns0:c>
      <ns0:c r="N416" s="0">
        <ns0:f>IFERROR(MID(L416,FIND(".",L416)+1,FIND(".",L416,FIND(".",L416)+1)-FIND(".",L416)-1),"")</ns0:f>
      </ns0:c>
      <ns0:c r="O416" s="0">
        <ns0:f>IFERROR(MID(L416,FIND(".",L416,FIND(".",L416)+1)+1,99),"")</ns0:f>
        <ns0:v>99</ns0:v>
      </ns0:c>
      <ns0:c r="P416" s="0">
        <ns0:f>IFERROR(IF(FIND(".",L416)=5,--M416,--O416),0)</ns0:f>
        <ns0:v>0</ns0:v>
      </ns0:c>
      <ns0:c r="Q416" s="0">
        <ns0:f>IFERROR(--N416,0)</ns0:f>
        <ns0:v>0</ns0:v>
      </ns0:c>
      <ns0:c r="R416" s="0">
        <ns0:f>IFERROR(IF(FIND(".",L416)=5,--O416,--M416),0)</ns0:f>
        <ns0:v>0</ns0:v>
      </ns0:c>
      <ns0:c r="S416" s="0">
        <ns0:f>IFERROR(IF(AND(P416&gt;=2000,P416&lt;=2100,Q416&gt;=1,Q416&lt;=12,R416&gt;=1,R416&lt;=31),DATE(P416,Q416,R416),0),0)</ns0:f>
        <ns0:v>0</ns0:v>
      </ns0:c>
      <ns0:c r="T416" s="0">
        <ns0:f>IFERROR(IF(ISNUMBER(Bookings!D416),IF(AND(Bookings!D416=INT(Bookings!D416),Bookings!D416&gt;=DATE(2000,1,1),Bookings!D416&lt;=DATE(2100,12,31)),Bookings!D416,0),IF(AND(K416&lt;&gt;"",LEN("x"&amp;L416)-LEN(SUBSTITUTE("x"&amp;L416,".",""))=2,OR(1&gt;LEN(L416),MID(L416,1,1)=".",ISNUMBER(FIND("x"&amp;MID(L416,1,1),"x0x1x2x3x4x5x6x7x8x9"))),OR(2&gt;LEN(L416),MID(L416,2,1)=".",ISNUMBER(FIND("x"&amp;MID(L416,2,1),"x0x1x2x3x4x5x6x7x8x9"))),OR(3&gt;LEN(L416),MID(L416,3,1)=".",ISNUMBER(FIND("x"&amp;MID(L416,3,1),"x0x1x2x3x4x5x6x7x8x9"))),OR(4&gt;LEN(L416),MID(L416,4,1)=".",ISNUMBER(FIND("x"&amp;MID(L416,4,1),"x0x1x2x3x4x5x6x7x8x9"))),OR(5&gt;LEN(L416),MID(L416,5,1)=".",ISNUMBER(FIND("x"&amp;MID(L416,5,1),"x0x1x2x3x4x5x6x7x8x9"))),OR(6&gt;LEN(L416),MID(L416,6,1)=".",ISNUMBER(FIND("x"&amp;MID(L416,6,1),"x0x1x2x3x4x5x6x7x8x9"))),OR(7&gt;LEN(L416),MID(L416,7,1)=".",ISNUMBER(FIND("x"&amp;MID(L416,7,1),"x0x1x2x3x4x5x6x7x8x9"))),OR(8&gt;LEN(L416),MID(L416,8,1)=".",ISNUMBER(FIND("x"&amp;MID(L416,8,1),"x0x1x2x3x4x5x6x7x8x9"))),OR(9&gt;LEN(L416),MID(L416,9,1)=".",ISNUMBER(FIND("x"&amp;MID(L416,9,1),"x0x1x2x3x4x5x6x7x8x9"))),OR(10&gt;LEN(L416),MID(L416,10,1)=".",ISNUMBER(FIND("x"&amp;MID(L416,10,1),"x0x1x2x3x4x5x6x7x8x9"))),OR(AND(FIND(".",L416)=5,LEN(L416)-FIND(".",L416,FIND(".",L416)+1)&gt;=1,LEN(L416)-FIND(".",L416,FIND(".",L416)+1)&lt;=2),AND(LEN(L416)-FIND(".",L416,FIND(".",L416)+1)=4,FIND(".",L416)&gt;=2,FIND(".",L416)&lt;=3)),FIND(".",L416,FIND(".",L416)+1)-FIND(".",L416)&gt;=2,FIND(".",L416,FIND(".",L416)+1)-FIND(".",L416)&lt;=3,P416&gt;=2000,P416&lt;=2100,YEAR(S416)=P416,MONTH(S416)=Q416,DAY(S416)=R416),S416,0)),0)</ns0:f>
        <ns0:v>0</ns0:v>
      </ns0:c>
      <ns0:c r="U416" s="0" t="str">
        <ns0:f>IF(Bookings!C416="","Full day",Bookings!C416)</ns0:f>
        <ns0:v>Full day</ns0:v>
      </ns0:c>
      <ns0:c r="V416" s="0" t="str">
        <ns0:f>IF(Bookings!E416="","Full day",Bookings!E416)</ns0:f>
        <ns0:v>Full day</ns0:v>
      </ns0:c>
      <ns0:c r="W416" s="0">
        <ns0:f>IF(J416=0,0,J416+IF(U416="PM",1,0))</ns0:f>
        <ns0:v>0</ns0:v>
      </ns0:c>
      <ns0:c r="X416" s="0">
        <ns0:f>IF(T416=0,0,T416-IF(V416="PM",1,0))</ns0:f>
        <ns0:v>0</ns0:v>
      </ns0:c>
      <ns0:c r="Y416" s="0">
        <ns0:f>IF(J416=0,0,J416+IF(U416="AM",1,0))</ns0:f>
        <ns0:v>0</ns0:v>
      </ns0:c>
      <ns0:c r="Z416" s="0">
        <ns0:f>IF(T416=0,0,T416-IF(V416="AM",1,0))</ns0:f>
        <ns0:v>0</ns0:v>
      </ns0:c>
      <ns0:c r="AA416" s="0">
        <ns0:f>IFERROR(IF(AND(J416&gt;0,'_Engine'!C416&gt;0,MID('_Engine'!W416,WEEKDAY(J416,2),1)="W",COUNTIF(Settings!$F$18:$F$67,J416)=0),1,0),0)</ns0:f>
        <ns0:v>0</ns0:v>
      </ns0:c>
      <ns0:c r="AB416" s="0">
        <ns0:f>IFERROR(IF(AND(T416&gt;0,'_Engine'!C416&gt;0,MID('_Engine'!W416,WEEKDAY(T416,2),1)="W",COUNTIF(Settings!$F$18:$F$67,T416)=0),1,0),0)</ns0:f>
        <ns0:v>0</ns0:v>
      </ns0:c>
      <ns0:c r="AC416" s="0">
        <ns0:f>IF(AND(J416&gt;0,T416&gt;0,W416&lt;=X416),1,0)</ns0:f>
        <ns0:v>0</ns0:v>
      </ns0:c>
      <ns0:c r="AD416" s="0">
        <ns0:f>IF(AND(J416&gt;0,T416&gt;0,Y416&lt;=Z416),1,0)</ns0:f>
        <ns0:v>0</ns0:v>
      </ns0:c>
    </ns0:row>
    <ns0:row r="417">
      <ns0:c r="A417" s="0">
        <ns0:f>IFERROR(IF(ISNUMBER(Bookings!B417),"",TRIM(Bookings!B417&amp;"")),"")</ns0:f>
      </ns0:c>
      <ns0:c r="B417" s="0">
        <ns0:f>IFERROR(SUBSTITUTE(SUBSTITUTE(A417,"/","."),"-","."),"")</ns0:f>
      </ns0:c>
      <ns0:c r="C417" s="0">
        <ns0:f>IFERROR(LEFT(B417,FIND(".",B417)-1),"")</ns0:f>
      </ns0:c>
      <ns0:c r="D417" s="0">
        <ns0:f>IFERROR(MID(B417,FIND(".",B417)+1,FIND(".",B417,FIND(".",B417)+1)-FIND(".",B417)-1),"")</ns0:f>
      </ns0:c>
      <ns0:c r="E417" s="0">
        <ns0:f>IFERROR(MID(B417,FIND(".",B417,FIND(".",B417)+1)+1,99),"")</ns0:f>
        <ns0:v>99</ns0:v>
      </ns0:c>
      <ns0:c r="F417" s="0">
        <ns0:f>IFERROR(IF(FIND(".",B417)=5,--C417,--E417),0)</ns0:f>
        <ns0:v>0</ns0:v>
      </ns0:c>
      <ns0:c r="G417" s="0">
        <ns0:f>IFERROR(--D417,0)</ns0:f>
        <ns0:v>0</ns0:v>
      </ns0:c>
      <ns0:c r="H417" s="0">
        <ns0:f>IFERROR(IF(FIND(".",B417)=5,--E417,--C417),0)</ns0:f>
        <ns0:v>0</ns0:v>
      </ns0:c>
      <ns0:c r="I417" s="0">
        <ns0:f>IFERROR(IF(AND(F417&gt;=2000,F417&lt;=2100,G417&gt;=1,G417&lt;=12,H417&gt;=1,H417&lt;=31),DATE(F417,G417,H417),0),0)</ns0:f>
        <ns0:v>0</ns0:v>
      </ns0:c>
      <ns0:c r="J417" s="0">
        <ns0:f>IFERROR(IF(ISNUMBER(Bookings!B417),IF(AND(Bookings!B417=INT(Bookings!B417),Bookings!B417&gt;=DATE(2000,1,1),Bookings!B417&lt;=DATE(2100,12,31)),Bookings!B417,0),IF(AND(A417&lt;&gt;"",LEN("x"&amp;B417)-LEN(SUBSTITUTE("x"&amp;B417,".",""))=2,OR(1&gt;LEN(B417),MID(B417,1,1)=".",ISNUMBER(FIND("x"&amp;MID(B417,1,1),"x0x1x2x3x4x5x6x7x8x9"))),OR(2&gt;LEN(B417),MID(B417,2,1)=".",ISNUMBER(FIND("x"&amp;MID(B417,2,1),"x0x1x2x3x4x5x6x7x8x9"))),OR(3&gt;LEN(B417),MID(B417,3,1)=".",ISNUMBER(FIND("x"&amp;MID(B417,3,1),"x0x1x2x3x4x5x6x7x8x9"))),OR(4&gt;LEN(B417),MID(B417,4,1)=".",ISNUMBER(FIND("x"&amp;MID(B417,4,1),"x0x1x2x3x4x5x6x7x8x9"))),OR(5&gt;LEN(B417),MID(B417,5,1)=".",ISNUMBER(FIND("x"&amp;MID(B417,5,1),"x0x1x2x3x4x5x6x7x8x9"))),OR(6&gt;LEN(B417),MID(B417,6,1)=".",ISNUMBER(FIND("x"&amp;MID(B417,6,1),"x0x1x2x3x4x5x6x7x8x9"))),OR(7&gt;LEN(B417),MID(B417,7,1)=".",ISNUMBER(FIND("x"&amp;MID(B417,7,1),"x0x1x2x3x4x5x6x7x8x9"))),OR(8&gt;LEN(B417),MID(B417,8,1)=".",ISNUMBER(FIND("x"&amp;MID(B417,8,1),"x0x1x2x3x4x5x6x7x8x9"))),OR(9&gt;LEN(B417),MID(B417,9,1)=".",ISNUMBER(FIND("x"&amp;MID(B417,9,1),"x0x1x2x3x4x5x6x7x8x9"))),OR(10&gt;LEN(B417),MID(B417,10,1)=".",ISNUMBER(FIND("x"&amp;MID(B417,10,1),"x0x1x2x3x4x5x6x7x8x9"))),OR(AND(FIND(".",B417)=5,LEN(B417)-FIND(".",B417,FIND(".",B417)+1)&gt;=1,LEN(B417)-FIND(".",B417,FIND(".",B417)+1)&lt;=2),AND(LEN(B417)-FIND(".",B417,FIND(".",B417)+1)=4,FIND(".",B417)&gt;=2,FIND(".",B417)&lt;=3)),FIND(".",B417,FIND(".",B417)+1)-FIND(".",B417)&gt;=2,FIND(".",B417,FIND(".",B417)+1)-FIND(".",B417)&lt;=3,F417&gt;=2000,F417&lt;=2100,YEAR(I417)=F417,MONTH(I417)=G417,DAY(I417)=H417),I417,0)),0)</ns0:f>
        <ns0:v>0</ns0:v>
      </ns0:c>
      <ns0:c r="K417" s="0">
        <ns0:f>IFERROR(IF(ISNUMBER(Bookings!D417),"",TRIM(Bookings!D417&amp;"")),"")</ns0:f>
      </ns0:c>
      <ns0:c r="L417" s="0">
        <ns0:f>IFERROR(SUBSTITUTE(SUBSTITUTE(K417,"/","."),"-","."),"")</ns0:f>
      </ns0:c>
      <ns0:c r="M417" s="0">
        <ns0:f>IFERROR(LEFT(L417,FIND(".",L417)-1),"")</ns0:f>
      </ns0:c>
      <ns0:c r="N417" s="0">
        <ns0:f>IFERROR(MID(L417,FIND(".",L417)+1,FIND(".",L417,FIND(".",L417)+1)-FIND(".",L417)-1),"")</ns0:f>
      </ns0:c>
      <ns0:c r="O417" s="0">
        <ns0:f>IFERROR(MID(L417,FIND(".",L417,FIND(".",L417)+1)+1,99),"")</ns0:f>
        <ns0:v>99</ns0:v>
      </ns0:c>
      <ns0:c r="P417" s="0">
        <ns0:f>IFERROR(IF(FIND(".",L417)=5,--M417,--O417),0)</ns0:f>
        <ns0:v>0</ns0:v>
      </ns0:c>
      <ns0:c r="Q417" s="0">
        <ns0:f>IFERROR(--N417,0)</ns0:f>
        <ns0:v>0</ns0:v>
      </ns0:c>
      <ns0:c r="R417" s="0">
        <ns0:f>IFERROR(IF(FIND(".",L417)=5,--O417,--M417),0)</ns0:f>
        <ns0:v>0</ns0:v>
      </ns0:c>
      <ns0:c r="S417" s="0">
        <ns0:f>IFERROR(IF(AND(P417&gt;=2000,P417&lt;=2100,Q417&gt;=1,Q417&lt;=12,R417&gt;=1,R417&lt;=31),DATE(P417,Q417,R417),0),0)</ns0:f>
        <ns0:v>0</ns0:v>
      </ns0:c>
      <ns0:c r="T417" s="0">
        <ns0:f>IFERROR(IF(ISNUMBER(Bookings!D417),IF(AND(Bookings!D417=INT(Bookings!D417),Bookings!D417&gt;=DATE(2000,1,1),Bookings!D417&lt;=DATE(2100,12,31)),Bookings!D417,0),IF(AND(K417&lt;&gt;"",LEN("x"&amp;L417)-LEN(SUBSTITUTE("x"&amp;L417,".",""))=2,OR(1&gt;LEN(L417),MID(L417,1,1)=".",ISNUMBER(FIND("x"&amp;MID(L417,1,1),"x0x1x2x3x4x5x6x7x8x9"))),OR(2&gt;LEN(L417),MID(L417,2,1)=".",ISNUMBER(FIND("x"&amp;MID(L417,2,1),"x0x1x2x3x4x5x6x7x8x9"))),OR(3&gt;LEN(L417),MID(L417,3,1)=".",ISNUMBER(FIND("x"&amp;MID(L417,3,1),"x0x1x2x3x4x5x6x7x8x9"))),OR(4&gt;LEN(L417),MID(L417,4,1)=".",ISNUMBER(FIND("x"&amp;MID(L417,4,1),"x0x1x2x3x4x5x6x7x8x9"))),OR(5&gt;LEN(L417),MID(L417,5,1)=".",ISNUMBER(FIND("x"&amp;MID(L417,5,1),"x0x1x2x3x4x5x6x7x8x9"))),OR(6&gt;LEN(L417),MID(L417,6,1)=".",ISNUMBER(FIND("x"&amp;MID(L417,6,1),"x0x1x2x3x4x5x6x7x8x9"))),OR(7&gt;LEN(L417),MID(L417,7,1)=".",ISNUMBER(FIND("x"&amp;MID(L417,7,1),"x0x1x2x3x4x5x6x7x8x9"))),OR(8&gt;LEN(L417),MID(L417,8,1)=".",ISNUMBER(FIND("x"&amp;MID(L417,8,1),"x0x1x2x3x4x5x6x7x8x9"))),OR(9&gt;LEN(L417),MID(L417,9,1)=".",ISNUMBER(FIND("x"&amp;MID(L417,9,1),"x0x1x2x3x4x5x6x7x8x9"))),OR(10&gt;LEN(L417),MID(L417,10,1)=".",ISNUMBER(FIND("x"&amp;MID(L417,10,1),"x0x1x2x3x4x5x6x7x8x9"))),OR(AND(FIND(".",L417)=5,LEN(L417)-FIND(".",L417,FIND(".",L417)+1)&gt;=1,LEN(L417)-FIND(".",L417,FIND(".",L417)+1)&lt;=2),AND(LEN(L417)-FIND(".",L417,FIND(".",L417)+1)=4,FIND(".",L417)&gt;=2,FIND(".",L417)&lt;=3)),FIND(".",L417,FIND(".",L417)+1)-FIND(".",L417)&gt;=2,FIND(".",L417,FIND(".",L417)+1)-FIND(".",L417)&lt;=3,P417&gt;=2000,P417&lt;=2100,YEAR(S417)=P417,MONTH(S417)=Q417,DAY(S417)=R417),S417,0)),0)</ns0:f>
        <ns0:v>0</ns0:v>
      </ns0:c>
      <ns0:c r="U417" s="0" t="str">
        <ns0:f>IF(Bookings!C417="","Full day",Bookings!C417)</ns0:f>
        <ns0:v>Full day</ns0:v>
      </ns0:c>
      <ns0:c r="V417" s="0" t="str">
        <ns0:f>IF(Bookings!E417="","Full day",Bookings!E417)</ns0:f>
        <ns0:v>Full day</ns0:v>
      </ns0:c>
      <ns0:c r="W417" s="0">
        <ns0:f>IF(J417=0,0,J417+IF(U417="PM",1,0))</ns0:f>
        <ns0:v>0</ns0:v>
      </ns0:c>
      <ns0:c r="X417" s="0">
        <ns0:f>IF(T417=0,0,T417-IF(V417="PM",1,0))</ns0:f>
        <ns0:v>0</ns0:v>
      </ns0:c>
      <ns0:c r="Y417" s="0">
        <ns0:f>IF(J417=0,0,J417+IF(U417="AM",1,0))</ns0:f>
        <ns0:v>0</ns0:v>
      </ns0:c>
      <ns0:c r="Z417" s="0">
        <ns0:f>IF(T417=0,0,T417-IF(V417="AM",1,0))</ns0:f>
        <ns0:v>0</ns0:v>
      </ns0:c>
      <ns0:c r="AA417" s="0">
        <ns0:f>IFERROR(IF(AND(J417&gt;0,'_Engine'!C417&gt;0,MID('_Engine'!W417,WEEKDAY(J417,2),1)="W",COUNTIF(Settings!$F$18:$F$67,J417)=0),1,0),0)</ns0:f>
        <ns0:v>0</ns0:v>
      </ns0:c>
      <ns0:c r="AB417" s="0">
        <ns0:f>IFERROR(IF(AND(T417&gt;0,'_Engine'!C417&gt;0,MID('_Engine'!W417,WEEKDAY(T417,2),1)="W",COUNTIF(Settings!$F$18:$F$67,T417)=0),1,0),0)</ns0:f>
        <ns0:v>0</ns0:v>
      </ns0:c>
      <ns0:c r="AC417" s="0">
        <ns0:f>IF(AND(J417&gt;0,T417&gt;0,W417&lt;=X417),1,0)</ns0:f>
        <ns0:v>0</ns0:v>
      </ns0:c>
      <ns0:c r="AD417" s="0">
        <ns0:f>IF(AND(J417&gt;0,T417&gt;0,Y417&lt;=Z417),1,0)</ns0:f>
        <ns0:v>0</ns0:v>
      </ns0:c>
    </ns0:row>
    <ns0:row r="418">
      <ns0:c r="A418" s="0">
        <ns0:f>IFERROR(IF(ISNUMBER(Bookings!B418),"",TRIM(Bookings!B418&amp;"")),"")</ns0:f>
      </ns0:c>
      <ns0:c r="B418" s="0">
        <ns0:f>IFERROR(SUBSTITUTE(SUBSTITUTE(A418,"/","."),"-","."),"")</ns0:f>
      </ns0:c>
      <ns0:c r="C418" s="0">
        <ns0:f>IFERROR(LEFT(B418,FIND(".",B418)-1),"")</ns0:f>
      </ns0:c>
      <ns0:c r="D418" s="0">
        <ns0:f>IFERROR(MID(B418,FIND(".",B418)+1,FIND(".",B418,FIND(".",B418)+1)-FIND(".",B418)-1),"")</ns0:f>
      </ns0:c>
      <ns0:c r="E418" s="0">
        <ns0:f>IFERROR(MID(B418,FIND(".",B418,FIND(".",B418)+1)+1,99),"")</ns0:f>
        <ns0:v>99</ns0:v>
      </ns0:c>
      <ns0:c r="F418" s="0">
        <ns0:f>IFERROR(IF(FIND(".",B418)=5,--C418,--E418),0)</ns0:f>
        <ns0:v>0</ns0:v>
      </ns0:c>
      <ns0:c r="G418" s="0">
        <ns0:f>IFERROR(--D418,0)</ns0:f>
        <ns0:v>0</ns0:v>
      </ns0:c>
      <ns0:c r="H418" s="0">
        <ns0:f>IFERROR(IF(FIND(".",B418)=5,--E418,--C418),0)</ns0:f>
        <ns0:v>0</ns0:v>
      </ns0:c>
      <ns0:c r="I418" s="0">
        <ns0:f>IFERROR(IF(AND(F418&gt;=2000,F418&lt;=2100,G418&gt;=1,G418&lt;=12,H418&gt;=1,H418&lt;=31),DATE(F418,G418,H418),0),0)</ns0:f>
        <ns0:v>0</ns0:v>
      </ns0:c>
      <ns0:c r="J418" s="0">
        <ns0:f>IFERROR(IF(ISNUMBER(Bookings!B418),IF(AND(Bookings!B418=INT(Bookings!B418),Bookings!B418&gt;=DATE(2000,1,1),Bookings!B418&lt;=DATE(2100,12,31)),Bookings!B418,0),IF(AND(A418&lt;&gt;"",LEN("x"&amp;B418)-LEN(SUBSTITUTE("x"&amp;B418,".",""))=2,OR(1&gt;LEN(B418),MID(B418,1,1)=".",ISNUMBER(FIND("x"&amp;MID(B418,1,1),"x0x1x2x3x4x5x6x7x8x9"))),OR(2&gt;LEN(B418),MID(B418,2,1)=".",ISNUMBER(FIND("x"&amp;MID(B418,2,1),"x0x1x2x3x4x5x6x7x8x9"))),OR(3&gt;LEN(B418),MID(B418,3,1)=".",ISNUMBER(FIND("x"&amp;MID(B418,3,1),"x0x1x2x3x4x5x6x7x8x9"))),OR(4&gt;LEN(B418),MID(B418,4,1)=".",ISNUMBER(FIND("x"&amp;MID(B418,4,1),"x0x1x2x3x4x5x6x7x8x9"))),OR(5&gt;LEN(B418),MID(B418,5,1)=".",ISNUMBER(FIND("x"&amp;MID(B418,5,1),"x0x1x2x3x4x5x6x7x8x9"))),OR(6&gt;LEN(B418),MID(B418,6,1)=".",ISNUMBER(FIND("x"&amp;MID(B418,6,1),"x0x1x2x3x4x5x6x7x8x9"))),OR(7&gt;LEN(B418),MID(B418,7,1)=".",ISNUMBER(FIND("x"&amp;MID(B418,7,1),"x0x1x2x3x4x5x6x7x8x9"))),OR(8&gt;LEN(B418),MID(B418,8,1)=".",ISNUMBER(FIND("x"&amp;MID(B418,8,1),"x0x1x2x3x4x5x6x7x8x9"))),OR(9&gt;LEN(B418),MID(B418,9,1)=".",ISNUMBER(FIND("x"&amp;MID(B418,9,1),"x0x1x2x3x4x5x6x7x8x9"))),OR(10&gt;LEN(B418),MID(B418,10,1)=".",ISNUMBER(FIND("x"&amp;MID(B418,10,1),"x0x1x2x3x4x5x6x7x8x9"))),OR(AND(FIND(".",B418)=5,LEN(B418)-FIND(".",B418,FIND(".",B418)+1)&gt;=1,LEN(B418)-FIND(".",B418,FIND(".",B418)+1)&lt;=2),AND(LEN(B418)-FIND(".",B418,FIND(".",B418)+1)=4,FIND(".",B418)&gt;=2,FIND(".",B418)&lt;=3)),FIND(".",B418,FIND(".",B418)+1)-FIND(".",B418)&gt;=2,FIND(".",B418,FIND(".",B418)+1)-FIND(".",B418)&lt;=3,F418&gt;=2000,F418&lt;=2100,YEAR(I418)=F418,MONTH(I418)=G418,DAY(I418)=H418),I418,0)),0)</ns0:f>
        <ns0:v>0</ns0:v>
      </ns0:c>
      <ns0:c r="K418" s="0">
        <ns0:f>IFERROR(IF(ISNUMBER(Bookings!D418),"",TRIM(Bookings!D418&amp;"")),"")</ns0:f>
      </ns0:c>
      <ns0:c r="L418" s="0">
        <ns0:f>IFERROR(SUBSTITUTE(SUBSTITUTE(K418,"/","."),"-","."),"")</ns0:f>
      </ns0:c>
      <ns0:c r="M418" s="0">
        <ns0:f>IFERROR(LEFT(L418,FIND(".",L418)-1),"")</ns0:f>
      </ns0:c>
      <ns0:c r="N418" s="0">
        <ns0:f>IFERROR(MID(L418,FIND(".",L418)+1,FIND(".",L418,FIND(".",L418)+1)-FIND(".",L418)-1),"")</ns0:f>
      </ns0:c>
      <ns0:c r="O418" s="0">
        <ns0:f>IFERROR(MID(L418,FIND(".",L418,FIND(".",L418)+1)+1,99),"")</ns0:f>
        <ns0:v>99</ns0:v>
      </ns0:c>
      <ns0:c r="P418" s="0">
        <ns0:f>IFERROR(IF(FIND(".",L418)=5,--M418,--O418),0)</ns0:f>
        <ns0:v>0</ns0:v>
      </ns0:c>
      <ns0:c r="Q418" s="0">
        <ns0:f>IFERROR(--N418,0)</ns0:f>
        <ns0:v>0</ns0:v>
      </ns0:c>
      <ns0:c r="R418" s="0">
        <ns0:f>IFERROR(IF(FIND(".",L418)=5,--O418,--M418),0)</ns0:f>
        <ns0:v>0</ns0:v>
      </ns0:c>
      <ns0:c r="S418" s="0">
        <ns0:f>IFERROR(IF(AND(P418&gt;=2000,P418&lt;=2100,Q418&gt;=1,Q418&lt;=12,R418&gt;=1,R418&lt;=31),DATE(P418,Q418,R418),0),0)</ns0:f>
        <ns0:v>0</ns0:v>
      </ns0:c>
      <ns0:c r="T418" s="0">
        <ns0:f>IFERROR(IF(ISNUMBER(Bookings!D418),IF(AND(Bookings!D418=INT(Bookings!D418),Bookings!D418&gt;=DATE(2000,1,1),Bookings!D418&lt;=DATE(2100,12,31)),Bookings!D418,0),IF(AND(K418&lt;&gt;"",LEN("x"&amp;L418)-LEN(SUBSTITUTE("x"&amp;L418,".",""))=2,OR(1&gt;LEN(L418),MID(L418,1,1)=".",ISNUMBER(FIND("x"&amp;MID(L418,1,1),"x0x1x2x3x4x5x6x7x8x9"))),OR(2&gt;LEN(L418),MID(L418,2,1)=".",ISNUMBER(FIND("x"&amp;MID(L418,2,1),"x0x1x2x3x4x5x6x7x8x9"))),OR(3&gt;LEN(L418),MID(L418,3,1)=".",ISNUMBER(FIND("x"&amp;MID(L418,3,1),"x0x1x2x3x4x5x6x7x8x9"))),OR(4&gt;LEN(L418),MID(L418,4,1)=".",ISNUMBER(FIND("x"&amp;MID(L418,4,1),"x0x1x2x3x4x5x6x7x8x9"))),OR(5&gt;LEN(L418),MID(L418,5,1)=".",ISNUMBER(FIND("x"&amp;MID(L418,5,1),"x0x1x2x3x4x5x6x7x8x9"))),OR(6&gt;LEN(L418),MID(L418,6,1)=".",ISNUMBER(FIND("x"&amp;MID(L418,6,1),"x0x1x2x3x4x5x6x7x8x9"))),OR(7&gt;LEN(L418),MID(L418,7,1)=".",ISNUMBER(FIND("x"&amp;MID(L418,7,1),"x0x1x2x3x4x5x6x7x8x9"))),OR(8&gt;LEN(L418),MID(L418,8,1)=".",ISNUMBER(FIND("x"&amp;MID(L418,8,1),"x0x1x2x3x4x5x6x7x8x9"))),OR(9&gt;LEN(L418),MID(L418,9,1)=".",ISNUMBER(FIND("x"&amp;MID(L418,9,1),"x0x1x2x3x4x5x6x7x8x9"))),OR(10&gt;LEN(L418),MID(L418,10,1)=".",ISNUMBER(FIND("x"&amp;MID(L418,10,1),"x0x1x2x3x4x5x6x7x8x9"))),OR(AND(FIND(".",L418)=5,LEN(L418)-FIND(".",L418,FIND(".",L418)+1)&gt;=1,LEN(L418)-FIND(".",L418,FIND(".",L418)+1)&lt;=2),AND(LEN(L418)-FIND(".",L418,FIND(".",L418)+1)=4,FIND(".",L418)&gt;=2,FIND(".",L418)&lt;=3)),FIND(".",L418,FIND(".",L418)+1)-FIND(".",L418)&gt;=2,FIND(".",L418,FIND(".",L418)+1)-FIND(".",L418)&lt;=3,P418&gt;=2000,P418&lt;=2100,YEAR(S418)=P418,MONTH(S418)=Q418,DAY(S418)=R418),S418,0)),0)</ns0:f>
        <ns0:v>0</ns0:v>
      </ns0:c>
      <ns0:c r="U418" s="0" t="str">
        <ns0:f>IF(Bookings!C418="","Full day",Bookings!C418)</ns0:f>
        <ns0:v>Full day</ns0:v>
      </ns0:c>
      <ns0:c r="V418" s="0" t="str">
        <ns0:f>IF(Bookings!E418="","Full day",Bookings!E418)</ns0:f>
        <ns0:v>Full day</ns0:v>
      </ns0:c>
      <ns0:c r="W418" s="0">
        <ns0:f>IF(J418=0,0,J418+IF(U418="PM",1,0))</ns0:f>
        <ns0:v>0</ns0:v>
      </ns0:c>
      <ns0:c r="X418" s="0">
        <ns0:f>IF(T418=0,0,T418-IF(V418="PM",1,0))</ns0:f>
        <ns0:v>0</ns0:v>
      </ns0:c>
      <ns0:c r="Y418" s="0">
        <ns0:f>IF(J418=0,0,J418+IF(U418="AM",1,0))</ns0:f>
        <ns0:v>0</ns0:v>
      </ns0:c>
      <ns0:c r="Z418" s="0">
        <ns0:f>IF(T418=0,0,T418-IF(V418="AM",1,0))</ns0:f>
        <ns0:v>0</ns0:v>
      </ns0:c>
      <ns0:c r="AA418" s="0">
        <ns0:f>IFERROR(IF(AND(J418&gt;0,'_Engine'!C418&gt;0,MID('_Engine'!W418,WEEKDAY(J418,2),1)="W",COUNTIF(Settings!$F$18:$F$67,J418)=0),1,0),0)</ns0:f>
        <ns0:v>0</ns0:v>
      </ns0:c>
      <ns0:c r="AB418" s="0">
        <ns0:f>IFERROR(IF(AND(T418&gt;0,'_Engine'!C418&gt;0,MID('_Engine'!W418,WEEKDAY(T418,2),1)="W",COUNTIF(Settings!$F$18:$F$67,T418)=0),1,0),0)</ns0:f>
        <ns0:v>0</ns0:v>
      </ns0:c>
      <ns0:c r="AC418" s="0">
        <ns0:f>IF(AND(J418&gt;0,T418&gt;0,W418&lt;=X418),1,0)</ns0:f>
        <ns0:v>0</ns0:v>
      </ns0:c>
      <ns0:c r="AD418" s="0">
        <ns0:f>IF(AND(J418&gt;0,T418&gt;0,Y418&lt;=Z418),1,0)</ns0:f>
        <ns0:v>0</ns0:v>
      </ns0:c>
    </ns0:row>
    <ns0:row r="419">
      <ns0:c r="A419" s="0">
        <ns0:f>IFERROR(IF(ISNUMBER(Bookings!B419),"",TRIM(Bookings!B419&amp;"")),"")</ns0:f>
      </ns0:c>
      <ns0:c r="B419" s="0">
        <ns0:f>IFERROR(SUBSTITUTE(SUBSTITUTE(A419,"/","."),"-","."),"")</ns0:f>
      </ns0:c>
      <ns0:c r="C419" s="0">
        <ns0:f>IFERROR(LEFT(B419,FIND(".",B419)-1),"")</ns0:f>
      </ns0:c>
      <ns0:c r="D419" s="0">
        <ns0:f>IFERROR(MID(B419,FIND(".",B419)+1,FIND(".",B419,FIND(".",B419)+1)-FIND(".",B419)-1),"")</ns0:f>
      </ns0:c>
      <ns0:c r="E419" s="0">
        <ns0:f>IFERROR(MID(B419,FIND(".",B419,FIND(".",B419)+1)+1,99),"")</ns0:f>
        <ns0:v>99</ns0:v>
      </ns0:c>
      <ns0:c r="F419" s="0">
        <ns0:f>IFERROR(IF(FIND(".",B419)=5,--C419,--E419),0)</ns0:f>
        <ns0:v>0</ns0:v>
      </ns0:c>
      <ns0:c r="G419" s="0">
        <ns0:f>IFERROR(--D419,0)</ns0:f>
        <ns0:v>0</ns0:v>
      </ns0:c>
      <ns0:c r="H419" s="0">
        <ns0:f>IFERROR(IF(FIND(".",B419)=5,--E419,--C419),0)</ns0:f>
        <ns0:v>0</ns0:v>
      </ns0:c>
      <ns0:c r="I419" s="0">
        <ns0:f>IFERROR(IF(AND(F419&gt;=2000,F419&lt;=2100,G419&gt;=1,G419&lt;=12,H419&gt;=1,H419&lt;=31),DATE(F419,G419,H419),0),0)</ns0:f>
        <ns0:v>0</ns0:v>
      </ns0:c>
      <ns0:c r="J419" s="0">
        <ns0:f>IFERROR(IF(ISNUMBER(Bookings!B419),IF(AND(Bookings!B419=INT(Bookings!B419),Bookings!B419&gt;=DATE(2000,1,1),Bookings!B419&lt;=DATE(2100,12,31)),Bookings!B419,0),IF(AND(A419&lt;&gt;"",LEN("x"&amp;B419)-LEN(SUBSTITUTE("x"&amp;B419,".",""))=2,OR(1&gt;LEN(B419),MID(B419,1,1)=".",ISNUMBER(FIND("x"&amp;MID(B419,1,1),"x0x1x2x3x4x5x6x7x8x9"))),OR(2&gt;LEN(B419),MID(B419,2,1)=".",ISNUMBER(FIND("x"&amp;MID(B419,2,1),"x0x1x2x3x4x5x6x7x8x9"))),OR(3&gt;LEN(B419),MID(B419,3,1)=".",ISNUMBER(FIND("x"&amp;MID(B419,3,1),"x0x1x2x3x4x5x6x7x8x9"))),OR(4&gt;LEN(B419),MID(B419,4,1)=".",ISNUMBER(FIND("x"&amp;MID(B419,4,1),"x0x1x2x3x4x5x6x7x8x9"))),OR(5&gt;LEN(B419),MID(B419,5,1)=".",ISNUMBER(FIND("x"&amp;MID(B419,5,1),"x0x1x2x3x4x5x6x7x8x9"))),OR(6&gt;LEN(B419),MID(B419,6,1)=".",ISNUMBER(FIND("x"&amp;MID(B419,6,1),"x0x1x2x3x4x5x6x7x8x9"))),OR(7&gt;LEN(B419),MID(B419,7,1)=".",ISNUMBER(FIND("x"&amp;MID(B419,7,1),"x0x1x2x3x4x5x6x7x8x9"))),OR(8&gt;LEN(B419),MID(B419,8,1)=".",ISNUMBER(FIND("x"&amp;MID(B419,8,1),"x0x1x2x3x4x5x6x7x8x9"))),OR(9&gt;LEN(B419),MID(B419,9,1)=".",ISNUMBER(FIND("x"&amp;MID(B419,9,1),"x0x1x2x3x4x5x6x7x8x9"))),OR(10&gt;LEN(B419),MID(B419,10,1)=".",ISNUMBER(FIND("x"&amp;MID(B419,10,1),"x0x1x2x3x4x5x6x7x8x9"))),OR(AND(FIND(".",B419)=5,LEN(B419)-FIND(".",B419,FIND(".",B419)+1)&gt;=1,LEN(B419)-FIND(".",B419,FIND(".",B419)+1)&lt;=2),AND(LEN(B419)-FIND(".",B419,FIND(".",B419)+1)=4,FIND(".",B419)&gt;=2,FIND(".",B419)&lt;=3)),FIND(".",B419,FIND(".",B419)+1)-FIND(".",B419)&gt;=2,FIND(".",B419,FIND(".",B419)+1)-FIND(".",B419)&lt;=3,F419&gt;=2000,F419&lt;=2100,YEAR(I419)=F419,MONTH(I419)=G419,DAY(I419)=H419),I419,0)),0)</ns0:f>
        <ns0:v>0</ns0:v>
      </ns0:c>
      <ns0:c r="K419" s="0">
        <ns0:f>IFERROR(IF(ISNUMBER(Bookings!D419),"",TRIM(Bookings!D419&amp;"")),"")</ns0:f>
      </ns0:c>
      <ns0:c r="L419" s="0">
        <ns0:f>IFERROR(SUBSTITUTE(SUBSTITUTE(K419,"/","."),"-","."),"")</ns0:f>
      </ns0:c>
      <ns0:c r="M419" s="0">
        <ns0:f>IFERROR(LEFT(L419,FIND(".",L419)-1),"")</ns0:f>
      </ns0:c>
      <ns0:c r="N419" s="0">
        <ns0:f>IFERROR(MID(L419,FIND(".",L419)+1,FIND(".",L419,FIND(".",L419)+1)-FIND(".",L419)-1),"")</ns0:f>
      </ns0:c>
      <ns0:c r="O419" s="0">
        <ns0:f>IFERROR(MID(L419,FIND(".",L419,FIND(".",L419)+1)+1,99),"")</ns0:f>
        <ns0:v>99</ns0:v>
      </ns0:c>
      <ns0:c r="P419" s="0">
        <ns0:f>IFERROR(IF(FIND(".",L419)=5,--M419,--O419),0)</ns0:f>
        <ns0:v>0</ns0:v>
      </ns0:c>
      <ns0:c r="Q419" s="0">
        <ns0:f>IFERROR(--N419,0)</ns0:f>
        <ns0:v>0</ns0:v>
      </ns0:c>
      <ns0:c r="R419" s="0">
        <ns0:f>IFERROR(IF(FIND(".",L419)=5,--O419,--M419),0)</ns0:f>
        <ns0:v>0</ns0:v>
      </ns0:c>
      <ns0:c r="S419" s="0">
        <ns0:f>IFERROR(IF(AND(P419&gt;=2000,P419&lt;=2100,Q419&gt;=1,Q419&lt;=12,R419&gt;=1,R419&lt;=31),DATE(P419,Q419,R419),0),0)</ns0:f>
        <ns0:v>0</ns0:v>
      </ns0:c>
      <ns0:c r="T419" s="0">
        <ns0:f>IFERROR(IF(ISNUMBER(Bookings!D419),IF(AND(Bookings!D419=INT(Bookings!D419),Bookings!D419&gt;=DATE(2000,1,1),Bookings!D419&lt;=DATE(2100,12,31)),Bookings!D419,0),IF(AND(K419&lt;&gt;"",LEN("x"&amp;L419)-LEN(SUBSTITUTE("x"&amp;L419,".",""))=2,OR(1&gt;LEN(L419),MID(L419,1,1)=".",ISNUMBER(FIND("x"&amp;MID(L419,1,1),"x0x1x2x3x4x5x6x7x8x9"))),OR(2&gt;LEN(L419),MID(L419,2,1)=".",ISNUMBER(FIND("x"&amp;MID(L419,2,1),"x0x1x2x3x4x5x6x7x8x9"))),OR(3&gt;LEN(L419),MID(L419,3,1)=".",ISNUMBER(FIND("x"&amp;MID(L419,3,1),"x0x1x2x3x4x5x6x7x8x9"))),OR(4&gt;LEN(L419),MID(L419,4,1)=".",ISNUMBER(FIND("x"&amp;MID(L419,4,1),"x0x1x2x3x4x5x6x7x8x9"))),OR(5&gt;LEN(L419),MID(L419,5,1)=".",ISNUMBER(FIND("x"&amp;MID(L419,5,1),"x0x1x2x3x4x5x6x7x8x9"))),OR(6&gt;LEN(L419),MID(L419,6,1)=".",ISNUMBER(FIND("x"&amp;MID(L419,6,1),"x0x1x2x3x4x5x6x7x8x9"))),OR(7&gt;LEN(L419),MID(L419,7,1)=".",ISNUMBER(FIND("x"&amp;MID(L419,7,1),"x0x1x2x3x4x5x6x7x8x9"))),OR(8&gt;LEN(L419),MID(L419,8,1)=".",ISNUMBER(FIND("x"&amp;MID(L419,8,1),"x0x1x2x3x4x5x6x7x8x9"))),OR(9&gt;LEN(L419),MID(L419,9,1)=".",ISNUMBER(FIND("x"&amp;MID(L419,9,1),"x0x1x2x3x4x5x6x7x8x9"))),OR(10&gt;LEN(L419),MID(L419,10,1)=".",ISNUMBER(FIND("x"&amp;MID(L419,10,1),"x0x1x2x3x4x5x6x7x8x9"))),OR(AND(FIND(".",L419)=5,LEN(L419)-FIND(".",L419,FIND(".",L419)+1)&gt;=1,LEN(L419)-FIND(".",L419,FIND(".",L419)+1)&lt;=2),AND(LEN(L419)-FIND(".",L419,FIND(".",L419)+1)=4,FIND(".",L419)&gt;=2,FIND(".",L419)&lt;=3)),FIND(".",L419,FIND(".",L419)+1)-FIND(".",L419)&gt;=2,FIND(".",L419,FIND(".",L419)+1)-FIND(".",L419)&lt;=3,P419&gt;=2000,P419&lt;=2100,YEAR(S419)=P419,MONTH(S419)=Q419,DAY(S419)=R419),S419,0)),0)</ns0:f>
        <ns0:v>0</ns0:v>
      </ns0:c>
      <ns0:c r="U419" s="0" t="str">
        <ns0:f>IF(Bookings!C419="","Full day",Bookings!C419)</ns0:f>
        <ns0:v>Full day</ns0:v>
      </ns0:c>
      <ns0:c r="V419" s="0" t="str">
        <ns0:f>IF(Bookings!E419="","Full day",Bookings!E419)</ns0:f>
        <ns0:v>Full day</ns0:v>
      </ns0:c>
      <ns0:c r="W419" s="0">
        <ns0:f>IF(J419=0,0,J419+IF(U419="PM",1,0))</ns0:f>
        <ns0:v>0</ns0:v>
      </ns0:c>
      <ns0:c r="X419" s="0">
        <ns0:f>IF(T419=0,0,T419-IF(V419="PM",1,0))</ns0:f>
        <ns0:v>0</ns0:v>
      </ns0:c>
      <ns0:c r="Y419" s="0">
        <ns0:f>IF(J419=0,0,J419+IF(U419="AM",1,0))</ns0:f>
        <ns0:v>0</ns0:v>
      </ns0:c>
      <ns0:c r="Z419" s="0">
        <ns0:f>IF(T419=0,0,T419-IF(V419="AM",1,0))</ns0:f>
        <ns0:v>0</ns0:v>
      </ns0:c>
      <ns0:c r="AA419" s="0">
        <ns0:f>IFERROR(IF(AND(J419&gt;0,'_Engine'!C419&gt;0,MID('_Engine'!W419,WEEKDAY(J419,2),1)="W",COUNTIF(Settings!$F$18:$F$67,J419)=0),1,0),0)</ns0:f>
        <ns0:v>0</ns0:v>
      </ns0:c>
      <ns0:c r="AB419" s="0">
        <ns0:f>IFERROR(IF(AND(T419&gt;0,'_Engine'!C419&gt;0,MID('_Engine'!W419,WEEKDAY(T419,2),1)="W",COUNTIF(Settings!$F$18:$F$67,T419)=0),1,0),0)</ns0:f>
        <ns0:v>0</ns0:v>
      </ns0:c>
      <ns0:c r="AC419" s="0">
        <ns0:f>IF(AND(J419&gt;0,T419&gt;0,W419&lt;=X419),1,0)</ns0:f>
        <ns0:v>0</ns0:v>
      </ns0:c>
      <ns0:c r="AD419" s="0">
        <ns0:f>IF(AND(J419&gt;0,T419&gt;0,Y419&lt;=Z419),1,0)</ns0:f>
        <ns0:v>0</ns0:v>
      </ns0:c>
    </ns0:row>
    <ns0:row r="420">
      <ns0:c r="A420" s="0">
        <ns0:f>IFERROR(IF(ISNUMBER(Bookings!B420),"",TRIM(Bookings!B420&amp;"")),"")</ns0:f>
      </ns0:c>
      <ns0:c r="B420" s="0">
        <ns0:f>IFERROR(SUBSTITUTE(SUBSTITUTE(A420,"/","."),"-","."),"")</ns0:f>
      </ns0:c>
      <ns0:c r="C420" s="0">
        <ns0:f>IFERROR(LEFT(B420,FIND(".",B420)-1),"")</ns0:f>
      </ns0:c>
      <ns0:c r="D420" s="0">
        <ns0:f>IFERROR(MID(B420,FIND(".",B420)+1,FIND(".",B420,FIND(".",B420)+1)-FIND(".",B420)-1),"")</ns0:f>
      </ns0:c>
      <ns0:c r="E420" s="0">
        <ns0:f>IFERROR(MID(B420,FIND(".",B420,FIND(".",B420)+1)+1,99),"")</ns0:f>
        <ns0:v>99</ns0:v>
      </ns0:c>
      <ns0:c r="F420" s="0">
        <ns0:f>IFERROR(IF(FIND(".",B420)=5,--C420,--E420),0)</ns0:f>
        <ns0:v>0</ns0:v>
      </ns0:c>
      <ns0:c r="G420" s="0">
        <ns0:f>IFERROR(--D420,0)</ns0:f>
        <ns0:v>0</ns0:v>
      </ns0:c>
      <ns0:c r="H420" s="0">
        <ns0:f>IFERROR(IF(FIND(".",B420)=5,--E420,--C420),0)</ns0:f>
        <ns0:v>0</ns0:v>
      </ns0:c>
      <ns0:c r="I420" s="0">
        <ns0:f>IFERROR(IF(AND(F420&gt;=2000,F420&lt;=2100,G420&gt;=1,G420&lt;=12,H420&gt;=1,H420&lt;=31),DATE(F420,G420,H420),0),0)</ns0:f>
        <ns0:v>0</ns0:v>
      </ns0:c>
      <ns0:c r="J420" s="0">
        <ns0:f>IFERROR(IF(ISNUMBER(Bookings!B420),IF(AND(Bookings!B420=INT(Bookings!B420),Bookings!B420&gt;=DATE(2000,1,1),Bookings!B420&lt;=DATE(2100,12,31)),Bookings!B420,0),IF(AND(A420&lt;&gt;"",LEN("x"&amp;B420)-LEN(SUBSTITUTE("x"&amp;B420,".",""))=2,OR(1&gt;LEN(B420),MID(B420,1,1)=".",ISNUMBER(FIND("x"&amp;MID(B420,1,1),"x0x1x2x3x4x5x6x7x8x9"))),OR(2&gt;LEN(B420),MID(B420,2,1)=".",ISNUMBER(FIND("x"&amp;MID(B420,2,1),"x0x1x2x3x4x5x6x7x8x9"))),OR(3&gt;LEN(B420),MID(B420,3,1)=".",ISNUMBER(FIND("x"&amp;MID(B420,3,1),"x0x1x2x3x4x5x6x7x8x9"))),OR(4&gt;LEN(B420),MID(B420,4,1)=".",ISNUMBER(FIND("x"&amp;MID(B420,4,1),"x0x1x2x3x4x5x6x7x8x9"))),OR(5&gt;LEN(B420),MID(B420,5,1)=".",ISNUMBER(FIND("x"&amp;MID(B420,5,1),"x0x1x2x3x4x5x6x7x8x9"))),OR(6&gt;LEN(B420),MID(B420,6,1)=".",ISNUMBER(FIND("x"&amp;MID(B420,6,1),"x0x1x2x3x4x5x6x7x8x9"))),OR(7&gt;LEN(B420),MID(B420,7,1)=".",ISNUMBER(FIND("x"&amp;MID(B420,7,1),"x0x1x2x3x4x5x6x7x8x9"))),OR(8&gt;LEN(B420),MID(B420,8,1)=".",ISNUMBER(FIND("x"&amp;MID(B420,8,1),"x0x1x2x3x4x5x6x7x8x9"))),OR(9&gt;LEN(B420),MID(B420,9,1)=".",ISNUMBER(FIND("x"&amp;MID(B420,9,1),"x0x1x2x3x4x5x6x7x8x9"))),OR(10&gt;LEN(B420),MID(B420,10,1)=".",ISNUMBER(FIND("x"&amp;MID(B420,10,1),"x0x1x2x3x4x5x6x7x8x9"))),OR(AND(FIND(".",B420)=5,LEN(B420)-FIND(".",B420,FIND(".",B420)+1)&gt;=1,LEN(B420)-FIND(".",B420,FIND(".",B420)+1)&lt;=2),AND(LEN(B420)-FIND(".",B420,FIND(".",B420)+1)=4,FIND(".",B420)&gt;=2,FIND(".",B420)&lt;=3)),FIND(".",B420,FIND(".",B420)+1)-FIND(".",B420)&gt;=2,FIND(".",B420,FIND(".",B420)+1)-FIND(".",B420)&lt;=3,F420&gt;=2000,F420&lt;=2100,YEAR(I420)=F420,MONTH(I420)=G420,DAY(I420)=H420),I420,0)),0)</ns0:f>
        <ns0:v>0</ns0:v>
      </ns0:c>
      <ns0:c r="K420" s="0">
        <ns0:f>IFERROR(IF(ISNUMBER(Bookings!D420),"",TRIM(Bookings!D420&amp;"")),"")</ns0:f>
      </ns0:c>
      <ns0:c r="L420" s="0">
        <ns0:f>IFERROR(SUBSTITUTE(SUBSTITUTE(K420,"/","."),"-","."),"")</ns0:f>
      </ns0:c>
      <ns0:c r="M420" s="0">
        <ns0:f>IFERROR(LEFT(L420,FIND(".",L420)-1),"")</ns0:f>
      </ns0:c>
      <ns0:c r="N420" s="0">
        <ns0:f>IFERROR(MID(L420,FIND(".",L420)+1,FIND(".",L420,FIND(".",L420)+1)-FIND(".",L420)-1),"")</ns0:f>
      </ns0:c>
      <ns0:c r="O420" s="0">
        <ns0:f>IFERROR(MID(L420,FIND(".",L420,FIND(".",L420)+1)+1,99),"")</ns0:f>
        <ns0:v>99</ns0:v>
      </ns0:c>
      <ns0:c r="P420" s="0">
        <ns0:f>IFERROR(IF(FIND(".",L420)=5,--M420,--O420),0)</ns0:f>
        <ns0:v>0</ns0:v>
      </ns0:c>
      <ns0:c r="Q420" s="0">
        <ns0:f>IFERROR(--N420,0)</ns0:f>
        <ns0:v>0</ns0:v>
      </ns0:c>
      <ns0:c r="R420" s="0">
        <ns0:f>IFERROR(IF(FIND(".",L420)=5,--O420,--M420),0)</ns0:f>
        <ns0:v>0</ns0:v>
      </ns0:c>
      <ns0:c r="S420" s="0">
        <ns0:f>IFERROR(IF(AND(P420&gt;=2000,P420&lt;=2100,Q420&gt;=1,Q420&lt;=12,R420&gt;=1,R420&lt;=31),DATE(P420,Q420,R420),0),0)</ns0:f>
        <ns0:v>0</ns0:v>
      </ns0:c>
      <ns0:c r="T420" s="0">
        <ns0:f>IFERROR(IF(ISNUMBER(Bookings!D420),IF(AND(Bookings!D420=INT(Bookings!D420),Bookings!D420&gt;=DATE(2000,1,1),Bookings!D420&lt;=DATE(2100,12,31)),Bookings!D420,0),IF(AND(K420&lt;&gt;"",LEN("x"&amp;L420)-LEN(SUBSTITUTE("x"&amp;L420,".",""))=2,OR(1&gt;LEN(L420),MID(L420,1,1)=".",ISNUMBER(FIND("x"&amp;MID(L420,1,1),"x0x1x2x3x4x5x6x7x8x9"))),OR(2&gt;LEN(L420),MID(L420,2,1)=".",ISNUMBER(FIND("x"&amp;MID(L420,2,1),"x0x1x2x3x4x5x6x7x8x9"))),OR(3&gt;LEN(L420),MID(L420,3,1)=".",ISNUMBER(FIND("x"&amp;MID(L420,3,1),"x0x1x2x3x4x5x6x7x8x9"))),OR(4&gt;LEN(L420),MID(L420,4,1)=".",ISNUMBER(FIND("x"&amp;MID(L420,4,1),"x0x1x2x3x4x5x6x7x8x9"))),OR(5&gt;LEN(L420),MID(L420,5,1)=".",ISNUMBER(FIND("x"&amp;MID(L420,5,1),"x0x1x2x3x4x5x6x7x8x9"))),OR(6&gt;LEN(L420),MID(L420,6,1)=".",ISNUMBER(FIND("x"&amp;MID(L420,6,1),"x0x1x2x3x4x5x6x7x8x9"))),OR(7&gt;LEN(L420),MID(L420,7,1)=".",ISNUMBER(FIND("x"&amp;MID(L420,7,1),"x0x1x2x3x4x5x6x7x8x9"))),OR(8&gt;LEN(L420),MID(L420,8,1)=".",ISNUMBER(FIND("x"&amp;MID(L420,8,1),"x0x1x2x3x4x5x6x7x8x9"))),OR(9&gt;LEN(L420),MID(L420,9,1)=".",ISNUMBER(FIND("x"&amp;MID(L420,9,1),"x0x1x2x3x4x5x6x7x8x9"))),OR(10&gt;LEN(L420),MID(L420,10,1)=".",ISNUMBER(FIND("x"&amp;MID(L420,10,1),"x0x1x2x3x4x5x6x7x8x9"))),OR(AND(FIND(".",L420)=5,LEN(L420)-FIND(".",L420,FIND(".",L420)+1)&gt;=1,LEN(L420)-FIND(".",L420,FIND(".",L420)+1)&lt;=2),AND(LEN(L420)-FIND(".",L420,FIND(".",L420)+1)=4,FIND(".",L420)&gt;=2,FIND(".",L420)&lt;=3)),FIND(".",L420,FIND(".",L420)+1)-FIND(".",L420)&gt;=2,FIND(".",L420,FIND(".",L420)+1)-FIND(".",L420)&lt;=3,P420&gt;=2000,P420&lt;=2100,YEAR(S420)=P420,MONTH(S420)=Q420,DAY(S420)=R420),S420,0)),0)</ns0:f>
        <ns0:v>0</ns0:v>
      </ns0:c>
      <ns0:c r="U420" s="0" t="str">
        <ns0:f>IF(Bookings!C420="","Full day",Bookings!C420)</ns0:f>
        <ns0:v>Full day</ns0:v>
      </ns0:c>
      <ns0:c r="V420" s="0" t="str">
        <ns0:f>IF(Bookings!E420="","Full day",Bookings!E420)</ns0:f>
        <ns0:v>Full day</ns0:v>
      </ns0:c>
      <ns0:c r="W420" s="0">
        <ns0:f>IF(J420=0,0,J420+IF(U420="PM",1,0))</ns0:f>
        <ns0:v>0</ns0:v>
      </ns0:c>
      <ns0:c r="X420" s="0">
        <ns0:f>IF(T420=0,0,T420-IF(V420="PM",1,0))</ns0:f>
        <ns0:v>0</ns0:v>
      </ns0:c>
      <ns0:c r="Y420" s="0">
        <ns0:f>IF(J420=0,0,J420+IF(U420="AM",1,0))</ns0:f>
        <ns0:v>0</ns0:v>
      </ns0:c>
      <ns0:c r="Z420" s="0">
        <ns0:f>IF(T420=0,0,T420-IF(V420="AM",1,0))</ns0:f>
        <ns0:v>0</ns0:v>
      </ns0:c>
      <ns0:c r="AA420" s="0">
        <ns0:f>IFERROR(IF(AND(J420&gt;0,'_Engine'!C420&gt;0,MID('_Engine'!W420,WEEKDAY(J420,2),1)="W",COUNTIF(Settings!$F$18:$F$67,J420)=0),1,0),0)</ns0:f>
        <ns0:v>0</ns0:v>
      </ns0:c>
      <ns0:c r="AB420" s="0">
        <ns0:f>IFERROR(IF(AND(T420&gt;0,'_Engine'!C420&gt;0,MID('_Engine'!W420,WEEKDAY(T420,2),1)="W",COUNTIF(Settings!$F$18:$F$67,T420)=0),1,0),0)</ns0:f>
        <ns0:v>0</ns0:v>
      </ns0:c>
      <ns0:c r="AC420" s="0">
        <ns0:f>IF(AND(J420&gt;0,T420&gt;0,W420&lt;=X420),1,0)</ns0:f>
        <ns0:v>0</ns0:v>
      </ns0:c>
      <ns0:c r="AD420" s="0">
        <ns0:f>IF(AND(J420&gt;0,T420&gt;0,Y420&lt;=Z420),1,0)</ns0:f>
        <ns0:v>0</ns0:v>
      </ns0:c>
    </ns0:row>
    <ns0:row r="421">
      <ns0:c r="A421" s="0">
        <ns0:f>IFERROR(IF(ISNUMBER(Bookings!B421),"",TRIM(Bookings!B421&amp;"")),"")</ns0:f>
      </ns0:c>
      <ns0:c r="B421" s="0">
        <ns0:f>IFERROR(SUBSTITUTE(SUBSTITUTE(A421,"/","."),"-","."),"")</ns0:f>
      </ns0:c>
      <ns0:c r="C421" s="0">
        <ns0:f>IFERROR(LEFT(B421,FIND(".",B421)-1),"")</ns0:f>
      </ns0:c>
      <ns0:c r="D421" s="0">
        <ns0:f>IFERROR(MID(B421,FIND(".",B421)+1,FIND(".",B421,FIND(".",B421)+1)-FIND(".",B421)-1),"")</ns0:f>
      </ns0:c>
      <ns0:c r="E421" s="0">
        <ns0:f>IFERROR(MID(B421,FIND(".",B421,FIND(".",B421)+1)+1,99),"")</ns0:f>
        <ns0:v>99</ns0:v>
      </ns0:c>
      <ns0:c r="F421" s="0">
        <ns0:f>IFERROR(IF(FIND(".",B421)=5,--C421,--E421),0)</ns0:f>
        <ns0:v>0</ns0:v>
      </ns0:c>
      <ns0:c r="G421" s="0">
        <ns0:f>IFERROR(--D421,0)</ns0:f>
        <ns0:v>0</ns0:v>
      </ns0:c>
      <ns0:c r="H421" s="0">
        <ns0:f>IFERROR(IF(FIND(".",B421)=5,--E421,--C421),0)</ns0:f>
        <ns0:v>0</ns0:v>
      </ns0:c>
      <ns0:c r="I421" s="0">
        <ns0:f>IFERROR(IF(AND(F421&gt;=2000,F421&lt;=2100,G421&gt;=1,G421&lt;=12,H421&gt;=1,H421&lt;=31),DATE(F421,G421,H421),0),0)</ns0:f>
        <ns0:v>0</ns0:v>
      </ns0:c>
      <ns0:c r="J421" s="0">
        <ns0:f>IFERROR(IF(ISNUMBER(Bookings!B421),IF(AND(Bookings!B421=INT(Bookings!B421),Bookings!B421&gt;=DATE(2000,1,1),Bookings!B421&lt;=DATE(2100,12,31)),Bookings!B421,0),IF(AND(A421&lt;&gt;"",LEN("x"&amp;B421)-LEN(SUBSTITUTE("x"&amp;B421,".",""))=2,OR(1&gt;LEN(B421),MID(B421,1,1)=".",ISNUMBER(FIND("x"&amp;MID(B421,1,1),"x0x1x2x3x4x5x6x7x8x9"))),OR(2&gt;LEN(B421),MID(B421,2,1)=".",ISNUMBER(FIND("x"&amp;MID(B421,2,1),"x0x1x2x3x4x5x6x7x8x9"))),OR(3&gt;LEN(B421),MID(B421,3,1)=".",ISNUMBER(FIND("x"&amp;MID(B421,3,1),"x0x1x2x3x4x5x6x7x8x9"))),OR(4&gt;LEN(B421),MID(B421,4,1)=".",ISNUMBER(FIND("x"&amp;MID(B421,4,1),"x0x1x2x3x4x5x6x7x8x9"))),OR(5&gt;LEN(B421),MID(B421,5,1)=".",ISNUMBER(FIND("x"&amp;MID(B421,5,1),"x0x1x2x3x4x5x6x7x8x9"))),OR(6&gt;LEN(B421),MID(B421,6,1)=".",ISNUMBER(FIND("x"&amp;MID(B421,6,1),"x0x1x2x3x4x5x6x7x8x9"))),OR(7&gt;LEN(B421),MID(B421,7,1)=".",ISNUMBER(FIND("x"&amp;MID(B421,7,1),"x0x1x2x3x4x5x6x7x8x9"))),OR(8&gt;LEN(B421),MID(B421,8,1)=".",ISNUMBER(FIND("x"&amp;MID(B421,8,1),"x0x1x2x3x4x5x6x7x8x9"))),OR(9&gt;LEN(B421),MID(B421,9,1)=".",ISNUMBER(FIND("x"&amp;MID(B421,9,1),"x0x1x2x3x4x5x6x7x8x9"))),OR(10&gt;LEN(B421),MID(B421,10,1)=".",ISNUMBER(FIND("x"&amp;MID(B421,10,1),"x0x1x2x3x4x5x6x7x8x9"))),OR(AND(FIND(".",B421)=5,LEN(B421)-FIND(".",B421,FIND(".",B421)+1)&gt;=1,LEN(B421)-FIND(".",B421,FIND(".",B421)+1)&lt;=2),AND(LEN(B421)-FIND(".",B421,FIND(".",B421)+1)=4,FIND(".",B421)&gt;=2,FIND(".",B421)&lt;=3)),FIND(".",B421,FIND(".",B421)+1)-FIND(".",B421)&gt;=2,FIND(".",B421,FIND(".",B421)+1)-FIND(".",B421)&lt;=3,F421&gt;=2000,F421&lt;=2100,YEAR(I421)=F421,MONTH(I421)=G421,DAY(I421)=H421),I421,0)),0)</ns0:f>
        <ns0:v>0</ns0:v>
      </ns0:c>
      <ns0:c r="K421" s="0">
        <ns0:f>IFERROR(IF(ISNUMBER(Bookings!D421),"",TRIM(Bookings!D421&amp;"")),"")</ns0:f>
      </ns0:c>
      <ns0:c r="L421" s="0">
        <ns0:f>IFERROR(SUBSTITUTE(SUBSTITUTE(K421,"/","."),"-","."),"")</ns0:f>
      </ns0:c>
      <ns0:c r="M421" s="0">
        <ns0:f>IFERROR(LEFT(L421,FIND(".",L421)-1),"")</ns0:f>
      </ns0:c>
      <ns0:c r="N421" s="0">
        <ns0:f>IFERROR(MID(L421,FIND(".",L421)+1,FIND(".",L421,FIND(".",L421)+1)-FIND(".",L421)-1),"")</ns0:f>
      </ns0:c>
      <ns0:c r="O421" s="0">
        <ns0:f>IFERROR(MID(L421,FIND(".",L421,FIND(".",L421)+1)+1,99),"")</ns0:f>
        <ns0:v>99</ns0:v>
      </ns0:c>
      <ns0:c r="P421" s="0">
        <ns0:f>IFERROR(IF(FIND(".",L421)=5,--M421,--O421),0)</ns0:f>
        <ns0:v>0</ns0:v>
      </ns0:c>
      <ns0:c r="Q421" s="0">
        <ns0:f>IFERROR(--N421,0)</ns0:f>
        <ns0:v>0</ns0:v>
      </ns0:c>
      <ns0:c r="R421" s="0">
        <ns0:f>IFERROR(IF(FIND(".",L421)=5,--O421,--M421),0)</ns0:f>
        <ns0:v>0</ns0:v>
      </ns0:c>
      <ns0:c r="S421" s="0">
        <ns0:f>IFERROR(IF(AND(P421&gt;=2000,P421&lt;=2100,Q421&gt;=1,Q421&lt;=12,R421&gt;=1,R421&lt;=31),DATE(P421,Q421,R421),0),0)</ns0:f>
        <ns0:v>0</ns0:v>
      </ns0:c>
      <ns0:c r="T421" s="0">
        <ns0:f>IFERROR(IF(ISNUMBER(Bookings!D421),IF(AND(Bookings!D421=INT(Bookings!D421),Bookings!D421&gt;=DATE(2000,1,1),Bookings!D421&lt;=DATE(2100,12,31)),Bookings!D421,0),IF(AND(K421&lt;&gt;"",LEN("x"&amp;L421)-LEN(SUBSTITUTE("x"&amp;L421,".",""))=2,OR(1&gt;LEN(L421),MID(L421,1,1)=".",ISNUMBER(FIND("x"&amp;MID(L421,1,1),"x0x1x2x3x4x5x6x7x8x9"))),OR(2&gt;LEN(L421),MID(L421,2,1)=".",ISNUMBER(FIND("x"&amp;MID(L421,2,1),"x0x1x2x3x4x5x6x7x8x9"))),OR(3&gt;LEN(L421),MID(L421,3,1)=".",ISNUMBER(FIND("x"&amp;MID(L421,3,1),"x0x1x2x3x4x5x6x7x8x9"))),OR(4&gt;LEN(L421),MID(L421,4,1)=".",ISNUMBER(FIND("x"&amp;MID(L421,4,1),"x0x1x2x3x4x5x6x7x8x9"))),OR(5&gt;LEN(L421),MID(L421,5,1)=".",ISNUMBER(FIND("x"&amp;MID(L421,5,1),"x0x1x2x3x4x5x6x7x8x9"))),OR(6&gt;LEN(L421),MID(L421,6,1)=".",ISNUMBER(FIND("x"&amp;MID(L421,6,1),"x0x1x2x3x4x5x6x7x8x9"))),OR(7&gt;LEN(L421),MID(L421,7,1)=".",ISNUMBER(FIND("x"&amp;MID(L421,7,1),"x0x1x2x3x4x5x6x7x8x9"))),OR(8&gt;LEN(L421),MID(L421,8,1)=".",ISNUMBER(FIND("x"&amp;MID(L421,8,1),"x0x1x2x3x4x5x6x7x8x9"))),OR(9&gt;LEN(L421),MID(L421,9,1)=".",ISNUMBER(FIND("x"&amp;MID(L421,9,1),"x0x1x2x3x4x5x6x7x8x9"))),OR(10&gt;LEN(L421),MID(L421,10,1)=".",ISNUMBER(FIND("x"&amp;MID(L421,10,1),"x0x1x2x3x4x5x6x7x8x9"))),OR(AND(FIND(".",L421)=5,LEN(L421)-FIND(".",L421,FIND(".",L421)+1)&gt;=1,LEN(L421)-FIND(".",L421,FIND(".",L421)+1)&lt;=2),AND(LEN(L421)-FIND(".",L421,FIND(".",L421)+1)=4,FIND(".",L421)&gt;=2,FIND(".",L421)&lt;=3)),FIND(".",L421,FIND(".",L421)+1)-FIND(".",L421)&gt;=2,FIND(".",L421,FIND(".",L421)+1)-FIND(".",L421)&lt;=3,P421&gt;=2000,P421&lt;=2100,YEAR(S421)=P421,MONTH(S421)=Q421,DAY(S421)=R421),S421,0)),0)</ns0:f>
        <ns0:v>0</ns0:v>
      </ns0:c>
      <ns0:c r="U421" s="0" t="str">
        <ns0:f>IF(Bookings!C421="","Full day",Bookings!C421)</ns0:f>
        <ns0:v>Full day</ns0:v>
      </ns0:c>
      <ns0:c r="V421" s="0" t="str">
        <ns0:f>IF(Bookings!E421="","Full day",Bookings!E421)</ns0:f>
        <ns0:v>Full day</ns0:v>
      </ns0:c>
      <ns0:c r="W421" s="0">
        <ns0:f>IF(J421=0,0,J421+IF(U421="PM",1,0))</ns0:f>
        <ns0:v>0</ns0:v>
      </ns0:c>
      <ns0:c r="X421" s="0">
        <ns0:f>IF(T421=0,0,T421-IF(V421="PM",1,0))</ns0:f>
        <ns0:v>0</ns0:v>
      </ns0:c>
      <ns0:c r="Y421" s="0">
        <ns0:f>IF(J421=0,0,J421+IF(U421="AM",1,0))</ns0:f>
        <ns0:v>0</ns0:v>
      </ns0:c>
      <ns0:c r="Z421" s="0">
        <ns0:f>IF(T421=0,0,T421-IF(V421="AM",1,0))</ns0:f>
        <ns0:v>0</ns0:v>
      </ns0:c>
      <ns0:c r="AA421" s="0">
        <ns0:f>IFERROR(IF(AND(J421&gt;0,'_Engine'!C421&gt;0,MID('_Engine'!W421,WEEKDAY(J421,2),1)="W",COUNTIF(Settings!$F$18:$F$67,J421)=0),1,0),0)</ns0:f>
        <ns0:v>0</ns0:v>
      </ns0:c>
      <ns0:c r="AB421" s="0">
        <ns0:f>IFERROR(IF(AND(T421&gt;0,'_Engine'!C421&gt;0,MID('_Engine'!W421,WEEKDAY(T421,2),1)="W",COUNTIF(Settings!$F$18:$F$67,T421)=0),1,0),0)</ns0:f>
        <ns0:v>0</ns0:v>
      </ns0:c>
      <ns0:c r="AC421" s="0">
        <ns0:f>IF(AND(J421&gt;0,T421&gt;0,W421&lt;=X421),1,0)</ns0:f>
        <ns0:v>0</ns0:v>
      </ns0:c>
      <ns0:c r="AD421" s="0">
        <ns0:f>IF(AND(J421&gt;0,T421&gt;0,Y421&lt;=Z421),1,0)</ns0:f>
        <ns0:v>0</ns0:v>
      </ns0:c>
    </ns0:row>
    <ns0:row r="422">
      <ns0:c r="A422" s="0">
        <ns0:f>IFERROR(IF(ISNUMBER(Bookings!B422),"",TRIM(Bookings!B422&amp;"")),"")</ns0:f>
      </ns0:c>
      <ns0:c r="B422" s="0">
        <ns0:f>IFERROR(SUBSTITUTE(SUBSTITUTE(A422,"/","."),"-","."),"")</ns0:f>
      </ns0:c>
      <ns0:c r="C422" s="0">
        <ns0:f>IFERROR(LEFT(B422,FIND(".",B422)-1),"")</ns0:f>
      </ns0:c>
      <ns0:c r="D422" s="0">
        <ns0:f>IFERROR(MID(B422,FIND(".",B422)+1,FIND(".",B422,FIND(".",B422)+1)-FIND(".",B422)-1),"")</ns0:f>
      </ns0:c>
      <ns0:c r="E422" s="0">
        <ns0:f>IFERROR(MID(B422,FIND(".",B422,FIND(".",B422)+1)+1,99),"")</ns0:f>
        <ns0:v>99</ns0:v>
      </ns0:c>
      <ns0:c r="F422" s="0">
        <ns0:f>IFERROR(IF(FIND(".",B422)=5,--C422,--E422),0)</ns0:f>
        <ns0:v>0</ns0:v>
      </ns0:c>
      <ns0:c r="G422" s="0">
        <ns0:f>IFERROR(--D422,0)</ns0:f>
        <ns0:v>0</ns0:v>
      </ns0:c>
      <ns0:c r="H422" s="0">
        <ns0:f>IFERROR(IF(FIND(".",B422)=5,--E422,--C422),0)</ns0:f>
        <ns0:v>0</ns0:v>
      </ns0:c>
      <ns0:c r="I422" s="0">
        <ns0:f>IFERROR(IF(AND(F422&gt;=2000,F422&lt;=2100,G422&gt;=1,G422&lt;=12,H422&gt;=1,H422&lt;=31),DATE(F422,G422,H422),0),0)</ns0:f>
        <ns0:v>0</ns0:v>
      </ns0:c>
      <ns0:c r="J422" s="0">
        <ns0:f>IFERROR(IF(ISNUMBER(Bookings!B422),IF(AND(Bookings!B422=INT(Bookings!B422),Bookings!B422&gt;=DATE(2000,1,1),Bookings!B422&lt;=DATE(2100,12,31)),Bookings!B422,0),IF(AND(A422&lt;&gt;"",LEN("x"&amp;B422)-LEN(SUBSTITUTE("x"&amp;B422,".",""))=2,OR(1&gt;LEN(B422),MID(B422,1,1)=".",ISNUMBER(FIND("x"&amp;MID(B422,1,1),"x0x1x2x3x4x5x6x7x8x9"))),OR(2&gt;LEN(B422),MID(B422,2,1)=".",ISNUMBER(FIND("x"&amp;MID(B422,2,1),"x0x1x2x3x4x5x6x7x8x9"))),OR(3&gt;LEN(B422),MID(B422,3,1)=".",ISNUMBER(FIND("x"&amp;MID(B422,3,1),"x0x1x2x3x4x5x6x7x8x9"))),OR(4&gt;LEN(B422),MID(B422,4,1)=".",ISNUMBER(FIND("x"&amp;MID(B422,4,1),"x0x1x2x3x4x5x6x7x8x9"))),OR(5&gt;LEN(B422),MID(B422,5,1)=".",ISNUMBER(FIND("x"&amp;MID(B422,5,1),"x0x1x2x3x4x5x6x7x8x9"))),OR(6&gt;LEN(B422),MID(B422,6,1)=".",ISNUMBER(FIND("x"&amp;MID(B422,6,1),"x0x1x2x3x4x5x6x7x8x9"))),OR(7&gt;LEN(B422),MID(B422,7,1)=".",ISNUMBER(FIND("x"&amp;MID(B422,7,1),"x0x1x2x3x4x5x6x7x8x9"))),OR(8&gt;LEN(B422),MID(B422,8,1)=".",ISNUMBER(FIND("x"&amp;MID(B422,8,1),"x0x1x2x3x4x5x6x7x8x9"))),OR(9&gt;LEN(B422),MID(B422,9,1)=".",ISNUMBER(FIND("x"&amp;MID(B422,9,1),"x0x1x2x3x4x5x6x7x8x9"))),OR(10&gt;LEN(B422),MID(B422,10,1)=".",ISNUMBER(FIND("x"&amp;MID(B422,10,1),"x0x1x2x3x4x5x6x7x8x9"))),OR(AND(FIND(".",B422)=5,LEN(B422)-FIND(".",B422,FIND(".",B422)+1)&gt;=1,LEN(B422)-FIND(".",B422,FIND(".",B422)+1)&lt;=2),AND(LEN(B422)-FIND(".",B422,FIND(".",B422)+1)=4,FIND(".",B422)&gt;=2,FIND(".",B422)&lt;=3)),FIND(".",B422,FIND(".",B422)+1)-FIND(".",B422)&gt;=2,FIND(".",B422,FIND(".",B422)+1)-FIND(".",B422)&lt;=3,F422&gt;=2000,F422&lt;=2100,YEAR(I422)=F422,MONTH(I422)=G422,DAY(I422)=H422),I422,0)),0)</ns0:f>
        <ns0:v>0</ns0:v>
      </ns0:c>
      <ns0:c r="K422" s="0">
        <ns0:f>IFERROR(IF(ISNUMBER(Bookings!D422),"",TRIM(Bookings!D422&amp;"")),"")</ns0:f>
      </ns0:c>
      <ns0:c r="L422" s="0">
        <ns0:f>IFERROR(SUBSTITUTE(SUBSTITUTE(K422,"/","."),"-","."),"")</ns0:f>
      </ns0:c>
      <ns0:c r="M422" s="0">
        <ns0:f>IFERROR(LEFT(L422,FIND(".",L422)-1),"")</ns0:f>
      </ns0:c>
      <ns0:c r="N422" s="0">
        <ns0:f>IFERROR(MID(L422,FIND(".",L422)+1,FIND(".",L422,FIND(".",L422)+1)-FIND(".",L422)-1),"")</ns0:f>
      </ns0:c>
      <ns0:c r="O422" s="0">
        <ns0:f>IFERROR(MID(L422,FIND(".",L422,FIND(".",L422)+1)+1,99),"")</ns0:f>
        <ns0:v>99</ns0:v>
      </ns0:c>
      <ns0:c r="P422" s="0">
        <ns0:f>IFERROR(IF(FIND(".",L422)=5,--M422,--O422),0)</ns0:f>
        <ns0:v>0</ns0:v>
      </ns0:c>
      <ns0:c r="Q422" s="0">
        <ns0:f>IFERROR(--N422,0)</ns0:f>
        <ns0:v>0</ns0:v>
      </ns0:c>
      <ns0:c r="R422" s="0">
        <ns0:f>IFERROR(IF(FIND(".",L422)=5,--O422,--M422),0)</ns0:f>
        <ns0:v>0</ns0:v>
      </ns0:c>
      <ns0:c r="S422" s="0">
        <ns0:f>IFERROR(IF(AND(P422&gt;=2000,P422&lt;=2100,Q422&gt;=1,Q422&lt;=12,R422&gt;=1,R422&lt;=31),DATE(P422,Q422,R422),0),0)</ns0:f>
        <ns0:v>0</ns0:v>
      </ns0:c>
      <ns0:c r="T422" s="0">
        <ns0:f>IFERROR(IF(ISNUMBER(Bookings!D422),IF(AND(Bookings!D422=INT(Bookings!D422),Bookings!D422&gt;=DATE(2000,1,1),Bookings!D422&lt;=DATE(2100,12,31)),Bookings!D422,0),IF(AND(K422&lt;&gt;"",LEN("x"&amp;L422)-LEN(SUBSTITUTE("x"&amp;L422,".",""))=2,OR(1&gt;LEN(L422),MID(L422,1,1)=".",ISNUMBER(FIND("x"&amp;MID(L422,1,1),"x0x1x2x3x4x5x6x7x8x9"))),OR(2&gt;LEN(L422),MID(L422,2,1)=".",ISNUMBER(FIND("x"&amp;MID(L422,2,1),"x0x1x2x3x4x5x6x7x8x9"))),OR(3&gt;LEN(L422),MID(L422,3,1)=".",ISNUMBER(FIND("x"&amp;MID(L422,3,1),"x0x1x2x3x4x5x6x7x8x9"))),OR(4&gt;LEN(L422),MID(L422,4,1)=".",ISNUMBER(FIND("x"&amp;MID(L422,4,1),"x0x1x2x3x4x5x6x7x8x9"))),OR(5&gt;LEN(L422),MID(L422,5,1)=".",ISNUMBER(FIND("x"&amp;MID(L422,5,1),"x0x1x2x3x4x5x6x7x8x9"))),OR(6&gt;LEN(L422),MID(L422,6,1)=".",ISNUMBER(FIND("x"&amp;MID(L422,6,1),"x0x1x2x3x4x5x6x7x8x9"))),OR(7&gt;LEN(L422),MID(L422,7,1)=".",ISNUMBER(FIND("x"&amp;MID(L422,7,1),"x0x1x2x3x4x5x6x7x8x9"))),OR(8&gt;LEN(L422),MID(L422,8,1)=".",ISNUMBER(FIND("x"&amp;MID(L422,8,1),"x0x1x2x3x4x5x6x7x8x9"))),OR(9&gt;LEN(L422),MID(L422,9,1)=".",ISNUMBER(FIND("x"&amp;MID(L422,9,1),"x0x1x2x3x4x5x6x7x8x9"))),OR(10&gt;LEN(L422),MID(L422,10,1)=".",ISNUMBER(FIND("x"&amp;MID(L422,10,1),"x0x1x2x3x4x5x6x7x8x9"))),OR(AND(FIND(".",L422)=5,LEN(L422)-FIND(".",L422,FIND(".",L422)+1)&gt;=1,LEN(L422)-FIND(".",L422,FIND(".",L422)+1)&lt;=2),AND(LEN(L422)-FIND(".",L422,FIND(".",L422)+1)=4,FIND(".",L422)&gt;=2,FIND(".",L422)&lt;=3)),FIND(".",L422,FIND(".",L422)+1)-FIND(".",L422)&gt;=2,FIND(".",L422,FIND(".",L422)+1)-FIND(".",L422)&lt;=3,P422&gt;=2000,P422&lt;=2100,YEAR(S422)=P422,MONTH(S422)=Q422,DAY(S422)=R422),S422,0)),0)</ns0:f>
        <ns0:v>0</ns0:v>
      </ns0:c>
      <ns0:c r="U422" s="0" t="str">
        <ns0:f>IF(Bookings!C422="","Full day",Bookings!C422)</ns0:f>
        <ns0:v>Full day</ns0:v>
      </ns0:c>
      <ns0:c r="V422" s="0" t="str">
        <ns0:f>IF(Bookings!E422="","Full day",Bookings!E422)</ns0:f>
        <ns0:v>Full day</ns0:v>
      </ns0:c>
      <ns0:c r="W422" s="0">
        <ns0:f>IF(J422=0,0,J422+IF(U422="PM",1,0))</ns0:f>
        <ns0:v>0</ns0:v>
      </ns0:c>
      <ns0:c r="X422" s="0">
        <ns0:f>IF(T422=0,0,T422-IF(V422="PM",1,0))</ns0:f>
        <ns0:v>0</ns0:v>
      </ns0:c>
      <ns0:c r="Y422" s="0">
        <ns0:f>IF(J422=0,0,J422+IF(U422="AM",1,0))</ns0:f>
        <ns0:v>0</ns0:v>
      </ns0:c>
      <ns0:c r="Z422" s="0">
        <ns0:f>IF(T422=0,0,T422-IF(V422="AM",1,0))</ns0:f>
        <ns0:v>0</ns0:v>
      </ns0:c>
      <ns0:c r="AA422" s="0">
        <ns0:f>IFERROR(IF(AND(J422&gt;0,'_Engine'!C422&gt;0,MID('_Engine'!W422,WEEKDAY(J422,2),1)="W",COUNTIF(Settings!$F$18:$F$67,J422)=0),1,0),0)</ns0:f>
        <ns0:v>0</ns0:v>
      </ns0:c>
      <ns0:c r="AB422" s="0">
        <ns0:f>IFERROR(IF(AND(T422&gt;0,'_Engine'!C422&gt;0,MID('_Engine'!W422,WEEKDAY(T422,2),1)="W",COUNTIF(Settings!$F$18:$F$67,T422)=0),1,0),0)</ns0:f>
        <ns0:v>0</ns0:v>
      </ns0:c>
      <ns0:c r="AC422" s="0">
        <ns0:f>IF(AND(J422&gt;0,T422&gt;0,W422&lt;=X422),1,0)</ns0:f>
        <ns0:v>0</ns0:v>
      </ns0:c>
      <ns0:c r="AD422" s="0">
        <ns0:f>IF(AND(J422&gt;0,T422&gt;0,Y422&lt;=Z422),1,0)</ns0:f>
        <ns0:v>0</ns0:v>
      </ns0:c>
    </ns0:row>
    <ns0:row r="423">
      <ns0:c r="A423" s="0">
        <ns0:f>IFERROR(IF(ISNUMBER(Bookings!B423),"",TRIM(Bookings!B423&amp;"")),"")</ns0:f>
      </ns0:c>
      <ns0:c r="B423" s="0">
        <ns0:f>IFERROR(SUBSTITUTE(SUBSTITUTE(A423,"/","."),"-","."),"")</ns0:f>
      </ns0:c>
      <ns0:c r="C423" s="0">
        <ns0:f>IFERROR(LEFT(B423,FIND(".",B423)-1),"")</ns0:f>
      </ns0:c>
      <ns0:c r="D423" s="0">
        <ns0:f>IFERROR(MID(B423,FIND(".",B423)+1,FIND(".",B423,FIND(".",B423)+1)-FIND(".",B423)-1),"")</ns0:f>
      </ns0:c>
      <ns0:c r="E423" s="0">
        <ns0:f>IFERROR(MID(B423,FIND(".",B423,FIND(".",B423)+1)+1,99),"")</ns0:f>
        <ns0:v>99</ns0:v>
      </ns0:c>
      <ns0:c r="F423" s="0">
        <ns0:f>IFERROR(IF(FIND(".",B423)=5,--C423,--E423),0)</ns0:f>
        <ns0:v>0</ns0:v>
      </ns0:c>
      <ns0:c r="G423" s="0">
        <ns0:f>IFERROR(--D423,0)</ns0:f>
        <ns0:v>0</ns0:v>
      </ns0:c>
      <ns0:c r="H423" s="0">
        <ns0:f>IFERROR(IF(FIND(".",B423)=5,--E423,--C423),0)</ns0:f>
        <ns0:v>0</ns0:v>
      </ns0:c>
      <ns0:c r="I423" s="0">
        <ns0:f>IFERROR(IF(AND(F423&gt;=2000,F423&lt;=2100,G423&gt;=1,G423&lt;=12,H423&gt;=1,H423&lt;=31),DATE(F423,G423,H423),0),0)</ns0:f>
        <ns0:v>0</ns0:v>
      </ns0:c>
      <ns0:c r="J423" s="0">
        <ns0:f>IFERROR(IF(ISNUMBER(Bookings!B423),IF(AND(Bookings!B423=INT(Bookings!B423),Bookings!B423&gt;=DATE(2000,1,1),Bookings!B423&lt;=DATE(2100,12,31)),Bookings!B423,0),IF(AND(A423&lt;&gt;"",LEN("x"&amp;B423)-LEN(SUBSTITUTE("x"&amp;B423,".",""))=2,OR(1&gt;LEN(B423),MID(B423,1,1)=".",ISNUMBER(FIND("x"&amp;MID(B423,1,1),"x0x1x2x3x4x5x6x7x8x9"))),OR(2&gt;LEN(B423),MID(B423,2,1)=".",ISNUMBER(FIND("x"&amp;MID(B423,2,1),"x0x1x2x3x4x5x6x7x8x9"))),OR(3&gt;LEN(B423),MID(B423,3,1)=".",ISNUMBER(FIND("x"&amp;MID(B423,3,1),"x0x1x2x3x4x5x6x7x8x9"))),OR(4&gt;LEN(B423),MID(B423,4,1)=".",ISNUMBER(FIND("x"&amp;MID(B423,4,1),"x0x1x2x3x4x5x6x7x8x9"))),OR(5&gt;LEN(B423),MID(B423,5,1)=".",ISNUMBER(FIND("x"&amp;MID(B423,5,1),"x0x1x2x3x4x5x6x7x8x9"))),OR(6&gt;LEN(B423),MID(B423,6,1)=".",ISNUMBER(FIND("x"&amp;MID(B423,6,1),"x0x1x2x3x4x5x6x7x8x9"))),OR(7&gt;LEN(B423),MID(B423,7,1)=".",ISNUMBER(FIND("x"&amp;MID(B423,7,1),"x0x1x2x3x4x5x6x7x8x9"))),OR(8&gt;LEN(B423),MID(B423,8,1)=".",ISNUMBER(FIND("x"&amp;MID(B423,8,1),"x0x1x2x3x4x5x6x7x8x9"))),OR(9&gt;LEN(B423),MID(B423,9,1)=".",ISNUMBER(FIND("x"&amp;MID(B423,9,1),"x0x1x2x3x4x5x6x7x8x9"))),OR(10&gt;LEN(B423),MID(B423,10,1)=".",ISNUMBER(FIND("x"&amp;MID(B423,10,1),"x0x1x2x3x4x5x6x7x8x9"))),OR(AND(FIND(".",B423)=5,LEN(B423)-FIND(".",B423,FIND(".",B423)+1)&gt;=1,LEN(B423)-FIND(".",B423,FIND(".",B423)+1)&lt;=2),AND(LEN(B423)-FIND(".",B423,FIND(".",B423)+1)=4,FIND(".",B423)&gt;=2,FIND(".",B423)&lt;=3)),FIND(".",B423,FIND(".",B423)+1)-FIND(".",B423)&gt;=2,FIND(".",B423,FIND(".",B423)+1)-FIND(".",B423)&lt;=3,F423&gt;=2000,F423&lt;=2100,YEAR(I423)=F423,MONTH(I423)=G423,DAY(I423)=H423),I423,0)),0)</ns0:f>
        <ns0:v>0</ns0:v>
      </ns0:c>
      <ns0:c r="K423" s="0">
        <ns0:f>IFERROR(IF(ISNUMBER(Bookings!D423),"",TRIM(Bookings!D423&amp;"")),"")</ns0:f>
      </ns0:c>
      <ns0:c r="L423" s="0">
        <ns0:f>IFERROR(SUBSTITUTE(SUBSTITUTE(K423,"/","."),"-","."),"")</ns0:f>
      </ns0:c>
      <ns0:c r="M423" s="0">
        <ns0:f>IFERROR(LEFT(L423,FIND(".",L423)-1),"")</ns0:f>
      </ns0:c>
      <ns0:c r="N423" s="0">
        <ns0:f>IFERROR(MID(L423,FIND(".",L423)+1,FIND(".",L423,FIND(".",L423)+1)-FIND(".",L423)-1),"")</ns0:f>
      </ns0:c>
      <ns0:c r="O423" s="0">
        <ns0:f>IFERROR(MID(L423,FIND(".",L423,FIND(".",L423)+1)+1,99),"")</ns0:f>
        <ns0:v>99</ns0:v>
      </ns0:c>
      <ns0:c r="P423" s="0">
        <ns0:f>IFERROR(IF(FIND(".",L423)=5,--M423,--O423),0)</ns0:f>
        <ns0:v>0</ns0:v>
      </ns0:c>
      <ns0:c r="Q423" s="0">
        <ns0:f>IFERROR(--N423,0)</ns0:f>
        <ns0:v>0</ns0:v>
      </ns0:c>
      <ns0:c r="R423" s="0">
        <ns0:f>IFERROR(IF(FIND(".",L423)=5,--O423,--M423),0)</ns0:f>
        <ns0:v>0</ns0:v>
      </ns0:c>
      <ns0:c r="S423" s="0">
        <ns0:f>IFERROR(IF(AND(P423&gt;=2000,P423&lt;=2100,Q423&gt;=1,Q423&lt;=12,R423&gt;=1,R423&lt;=31),DATE(P423,Q423,R423),0),0)</ns0:f>
        <ns0:v>0</ns0:v>
      </ns0:c>
      <ns0:c r="T423" s="0">
        <ns0:f>IFERROR(IF(ISNUMBER(Bookings!D423),IF(AND(Bookings!D423=INT(Bookings!D423),Bookings!D423&gt;=DATE(2000,1,1),Bookings!D423&lt;=DATE(2100,12,31)),Bookings!D423,0),IF(AND(K423&lt;&gt;"",LEN("x"&amp;L423)-LEN(SUBSTITUTE("x"&amp;L423,".",""))=2,OR(1&gt;LEN(L423),MID(L423,1,1)=".",ISNUMBER(FIND("x"&amp;MID(L423,1,1),"x0x1x2x3x4x5x6x7x8x9"))),OR(2&gt;LEN(L423),MID(L423,2,1)=".",ISNUMBER(FIND("x"&amp;MID(L423,2,1),"x0x1x2x3x4x5x6x7x8x9"))),OR(3&gt;LEN(L423),MID(L423,3,1)=".",ISNUMBER(FIND("x"&amp;MID(L423,3,1),"x0x1x2x3x4x5x6x7x8x9"))),OR(4&gt;LEN(L423),MID(L423,4,1)=".",ISNUMBER(FIND("x"&amp;MID(L423,4,1),"x0x1x2x3x4x5x6x7x8x9"))),OR(5&gt;LEN(L423),MID(L423,5,1)=".",ISNUMBER(FIND("x"&amp;MID(L423,5,1),"x0x1x2x3x4x5x6x7x8x9"))),OR(6&gt;LEN(L423),MID(L423,6,1)=".",ISNUMBER(FIND("x"&amp;MID(L423,6,1),"x0x1x2x3x4x5x6x7x8x9"))),OR(7&gt;LEN(L423),MID(L423,7,1)=".",ISNUMBER(FIND("x"&amp;MID(L423,7,1),"x0x1x2x3x4x5x6x7x8x9"))),OR(8&gt;LEN(L423),MID(L423,8,1)=".",ISNUMBER(FIND("x"&amp;MID(L423,8,1),"x0x1x2x3x4x5x6x7x8x9"))),OR(9&gt;LEN(L423),MID(L423,9,1)=".",ISNUMBER(FIND("x"&amp;MID(L423,9,1),"x0x1x2x3x4x5x6x7x8x9"))),OR(10&gt;LEN(L423),MID(L423,10,1)=".",ISNUMBER(FIND("x"&amp;MID(L423,10,1),"x0x1x2x3x4x5x6x7x8x9"))),OR(AND(FIND(".",L423)=5,LEN(L423)-FIND(".",L423,FIND(".",L423)+1)&gt;=1,LEN(L423)-FIND(".",L423,FIND(".",L423)+1)&lt;=2),AND(LEN(L423)-FIND(".",L423,FIND(".",L423)+1)=4,FIND(".",L423)&gt;=2,FIND(".",L423)&lt;=3)),FIND(".",L423,FIND(".",L423)+1)-FIND(".",L423)&gt;=2,FIND(".",L423,FIND(".",L423)+1)-FIND(".",L423)&lt;=3,P423&gt;=2000,P423&lt;=2100,YEAR(S423)=P423,MONTH(S423)=Q423,DAY(S423)=R423),S423,0)),0)</ns0:f>
        <ns0:v>0</ns0:v>
      </ns0:c>
      <ns0:c r="U423" s="0" t="str">
        <ns0:f>IF(Bookings!C423="","Full day",Bookings!C423)</ns0:f>
        <ns0:v>Full day</ns0:v>
      </ns0:c>
      <ns0:c r="V423" s="0" t="str">
        <ns0:f>IF(Bookings!E423="","Full day",Bookings!E423)</ns0:f>
        <ns0:v>Full day</ns0:v>
      </ns0:c>
      <ns0:c r="W423" s="0">
        <ns0:f>IF(J423=0,0,J423+IF(U423="PM",1,0))</ns0:f>
        <ns0:v>0</ns0:v>
      </ns0:c>
      <ns0:c r="X423" s="0">
        <ns0:f>IF(T423=0,0,T423-IF(V423="PM",1,0))</ns0:f>
        <ns0:v>0</ns0:v>
      </ns0:c>
      <ns0:c r="Y423" s="0">
        <ns0:f>IF(J423=0,0,J423+IF(U423="AM",1,0))</ns0:f>
        <ns0:v>0</ns0:v>
      </ns0:c>
      <ns0:c r="Z423" s="0">
        <ns0:f>IF(T423=0,0,T423-IF(V423="AM",1,0))</ns0:f>
        <ns0:v>0</ns0:v>
      </ns0:c>
      <ns0:c r="AA423" s="0">
        <ns0:f>IFERROR(IF(AND(J423&gt;0,'_Engine'!C423&gt;0,MID('_Engine'!W423,WEEKDAY(J423,2),1)="W",COUNTIF(Settings!$F$18:$F$67,J423)=0),1,0),0)</ns0:f>
        <ns0:v>0</ns0:v>
      </ns0:c>
      <ns0:c r="AB423" s="0">
        <ns0:f>IFERROR(IF(AND(T423&gt;0,'_Engine'!C423&gt;0,MID('_Engine'!W423,WEEKDAY(T423,2),1)="W",COUNTIF(Settings!$F$18:$F$67,T423)=0),1,0),0)</ns0:f>
        <ns0:v>0</ns0:v>
      </ns0:c>
      <ns0:c r="AC423" s="0">
        <ns0:f>IF(AND(J423&gt;0,T423&gt;0,W423&lt;=X423),1,0)</ns0:f>
        <ns0:v>0</ns0:v>
      </ns0:c>
      <ns0:c r="AD423" s="0">
        <ns0:f>IF(AND(J423&gt;0,T423&gt;0,Y423&lt;=Z423),1,0)</ns0:f>
        <ns0:v>0</ns0:v>
      </ns0:c>
    </ns0:row>
    <ns0:row r="424">
      <ns0:c r="A424" s="0">
        <ns0:f>IFERROR(IF(ISNUMBER(Bookings!B424),"",TRIM(Bookings!B424&amp;"")),"")</ns0:f>
      </ns0:c>
      <ns0:c r="B424" s="0">
        <ns0:f>IFERROR(SUBSTITUTE(SUBSTITUTE(A424,"/","."),"-","."),"")</ns0:f>
      </ns0:c>
      <ns0:c r="C424" s="0">
        <ns0:f>IFERROR(LEFT(B424,FIND(".",B424)-1),"")</ns0:f>
      </ns0:c>
      <ns0:c r="D424" s="0">
        <ns0:f>IFERROR(MID(B424,FIND(".",B424)+1,FIND(".",B424,FIND(".",B424)+1)-FIND(".",B424)-1),"")</ns0:f>
      </ns0:c>
      <ns0:c r="E424" s="0">
        <ns0:f>IFERROR(MID(B424,FIND(".",B424,FIND(".",B424)+1)+1,99),"")</ns0:f>
        <ns0:v>99</ns0:v>
      </ns0:c>
      <ns0:c r="F424" s="0">
        <ns0:f>IFERROR(IF(FIND(".",B424)=5,--C424,--E424),0)</ns0:f>
        <ns0:v>0</ns0:v>
      </ns0:c>
      <ns0:c r="G424" s="0">
        <ns0:f>IFERROR(--D424,0)</ns0:f>
        <ns0:v>0</ns0:v>
      </ns0:c>
      <ns0:c r="H424" s="0">
        <ns0:f>IFERROR(IF(FIND(".",B424)=5,--E424,--C424),0)</ns0:f>
        <ns0:v>0</ns0:v>
      </ns0:c>
      <ns0:c r="I424" s="0">
        <ns0:f>IFERROR(IF(AND(F424&gt;=2000,F424&lt;=2100,G424&gt;=1,G424&lt;=12,H424&gt;=1,H424&lt;=31),DATE(F424,G424,H424),0),0)</ns0:f>
        <ns0:v>0</ns0:v>
      </ns0:c>
      <ns0:c r="J424" s="0">
        <ns0:f>IFERROR(IF(ISNUMBER(Bookings!B424),IF(AND(Bookings!B424=INT(Bookings!B424),Bookings!B424&gt;=DATE(2000,1,1),Bookings!B424&lt;=DATE(2100,12,31)),Bookings!B424,0),IF(AND(A424&lt;&gt;"",LEN("x"&amp;B424)-LEN(SUBSTITUTE("x"&amp;B424,".",""))=2,OR(1&gt;LEN(B424),MID(B424,1,1)=".",ISNUMBER(FIND("x"&amp;MID(B424,1,1),"x0x1x2x3x4x5x6x7x8x9"))),OR(2&gt;LEN(B424),MID(B424,2,1)=".",ISNUMBER(FIND("x"&amp;MID(B424,2,1),"x0x1x2x3x4x5x6x7x8x9"))),OR(3&gt;LEN(B424),MID(B424,3,1)=".",ISNUMBER(FIND("x"&amp;MID(B424,3,1),"x0x1x2x3x4x5x6x7x8x9"))),OR(4&gt;LEN(B424),MID(B424,4,1)=".",ISNUMBER(FIND("x"&amp;MID(B424,4,1),"x0x1x2x3x4x5x6x7x8x9"))),OR(5&gt;LEN(B424),MID(B424,5,1)=".",ISNUMBER(FIND("x"&amp;MID(B424,5,1),"x0x1x2x3x4x5x6x7x8x9"))),OR(6&gt;LEN(B424),MID(B424,6,1)=".",ISNUMBER(FIND("x"&amp;MID(B424,6,1),"x0x1x2x3x4x5x6x7x8x9"))),OR(7&gt;LEN(B424),MID(B424,7,1)=".",ISNUMBER(FIND("x"&amp;MID(B424,7,1),"x0x1x2x3x4x5x6x7x8x9"))),OR(8&gt;LEN(B424),MID(B424,8,1)=".",ISNUMBER(FIND("x"&amp;MID(B424,8,1),"x0x1x2x3x4x5x6x7x8x9"))),OR(9&gt;LEN(B424),MID(B424,9,1)=".",ISNUMBER(FIND("x"&amp;MID(B424,9,1),"x0x1x2x3x4x5x6x7x8x9"))),OR(10&gt;LEN(B424),MID(B424,10,1)=".",ISNUMBER(FIND("x"&amp;MID(B424,10,1),"x0x1x2x3x4x5x6x7x8x9"))),OR(AND(FIND(".",B424)=5,LEN(B424)-FIND(".",B424,FIND(".",B424)+1)&gt;=1,LEN(B424)-FIND(".",B424,FIND(".",B424)+1)&lt;=2),AND(LEN(B424)-FIND(".",B424,FIND(".",B424)+1)=4,FIND(".",B424)&gt;=2,FIND(".",B424)&lt;=3)),FIND(".",B424,FIND(".",B424)+1)-FIND(".",B424)&gt;=2,FIND(".",B424,FIND(".",B424)+1)-FIND(".",B424)&lt;=3,F424&gt;=2000,F424&lt;=2100,YEAR(I424)=F424,MONTH(I424)=G424,DAY(I424)=H424),I424,0)),0)</ns0:f>
        <ns0:v>0</ns0:v>
      </ns0:c>
      <ns0:c r="K424" s="0">
        <ns0:f>IFERROR(IF(ISNUMBER(Bookings!D424),"",TRIM(Bookings!D424&amp;"")),"")</ns0:f>
      </ns0:c>
      <ns0:c r="L424" s="0">
        <ns0:f>IFERROR(SUBSTITUTE(SUBSTITUTE(K424,"/","."),"-","."),"")</ns0:f>
      </ns0:c>
      <ns0:c r="M424" s="0">
        <ns0:f>IFERROR(LEFT(L424,FIND(".",L424)-1),"")</ns0:f>
      </ns0:c>
      <ns0:c r="N424" s="0">
        <ns0:f>IFERROR(MID(L424,FIND(".",L424)+1,FIND(".",L424,FIND(".",L424)+1)-FIND(".",L424)-1),"")</ns0:f>
      </ns0:c>
      <ns0:c r="O424" s="0">
        <ns0:f>IFERROR(MID(L424,FIND(".",L424,FIND(".",L424)+1)+1,99),"")</ns0:f>
        <ns0:v>99</ns0:v>
      </ns0:c>
      <ns0:c r="P424" s="0">
        <ns0:f>IFERROR(IF(FIND(".",L424)=5,--M424,--O424),0)</ns0:f>
        <ns0:v>0</ns0:v>
      </ns0:c>
      <ns0:c r="Q424" s="0">
        <ns0:f>IFERROR(--N424,0)</ns0:f>
        <ns0:v>0</ns0:v>
      </ns0:c>
      <ns0:c r="R424" s="0">
        <ns0:f>IFERROR(IF(FIND(".",L424)=5,--O424,--M424),0)</ns0:f>
        <ns0:v>0</ns0:v>
      </ns0:c>
      <ns0:c r="S424" s="0">
        <ns0:f>IFERROR(IF(AND(P424&gt;=2000,P424&lt;=2100,Q424&gt;=1,Q424&lt;=12,R424&gt;=1,R424&lt;=31),DATE(P424,Q424,R424),0),0)</ns0:f>
        <ns0:v>0</ns0:v>
      </ns0:c>
      <ns0:c r="T424" s="0">
        <ns0:f>IFERROR(IF(ISNUMBER(Bookings!D424),IF(AND(Bookings!D424=INT(Bookings!D424),Bookings!D424&gt;=DATE(2000,1,1),Bookings!D424&lt;=DATE(2100,12,31)),Bookings!D424,0),IF(AND(K424&lt;&gt;"",LEN("x"&amp;L424)-LEN(SUBSTITUTE("x"&amp;L424,".",""))=2,OR(1&gt;LEN(L424),MID(L424,1,1)=".",ISNUMBER(FIND("x"&amp;MID(L424,1,1),"x0x1x2x3x4x5x6x7x8x9"))),OR(2&gt;LEN(L424),MID(L424,2,1)=".",ISNUMBER(FIND("x"&amp;MID(L424,2,1),"x0x1x2x3x4x5x6x7x8x9"))),OR(3&gt;LEN(L424),MID(L424,3,1)=".",ISNUMBER(FIND("x"&amp;MID(L424,3,1),"x0x1x2x3x4x5x6x7x8x9"))),OR(4&gt;LEN(L424),MID(L424,4,1)=".",ISNUMBER(FIND("x"&amp;MID(L424,4,1),"x0x1x2x3x4x5x6x7x8x9"))),OR(5&gt;LEN(L424),MID(L424,5,1)=".",ISNUMBER(FIND("x"&amp;MID(L424,5,1),"x0x1x2x3x4x5x6x7x8x9"))),OR(6&gt;LEN(L424),MID(L424,6,1)=".",ISNUMBER(FIND("x"&amp;MID(L424,6,1),"x0x1x2x3x4x5x6x7x8x9"))),OR(7&gt;LEN(L424),MID(L424,7,1)=".",ISNUMBER(FIND("x"&amp;MID(L424,7,1),"x0x1x2x3x4x5x6x7x8x9"))),OR(8&gt;LEN(L424),MID(L424,8,1)=".",ISNUMBER(FIND("x"&amp;MID(L424,8,1),"x0x1x2x3x4x5x6x7x8x9"))),OR(9&gt;LEN(L424),MID(L424,9,1)=".",ISNUMBER(FIND("x"&amp;MID(L424,9,1),"x0x1x2x3x4x5x6x7x8x9"))),OR(10&gt;LEN(L424),MID(L424,10,1)=".",ISNUMBER(FIND("x"&amp;MID(L424,10,1),"x0x1x2x3x4x5x6x7x8x9"))),OR(AND(FIND(".",L424)=5,LEN(L424)-FIND(".",L424,FIND(".",L424)+1)&gt;=1,LEN(L424)-FIND(".",L424,FIND(".",L424)+1)&lt;=2),AND(LEN(L424)-FIND(".",L424,FIND(".",L424)+1)=4,FIND(".",L424)&gt;=2,FIND(".",L424)&lt;=3)),FIND(".",L424,FIND(".",L424)+1)-FIND(".",L424)&gt;=2,FIND(".",L424,FIND(".",L424)+1)-FIND(".",L424)&lt;=3,P424&gt;=2000,P424&lt;=2100,YEAR(S424)=P424,MONTH(S424)=Q424,DAY(S424)=R424),S424,0)),0)</ns0:f>
        <ns0:v>0</ns0:v>
      </ns0:c>
      <ns0:c r="U424" s="0" t="str">
        <ns0:f>IF(Bookings!C424="","Full day",Bookings!C424)</ns0:f>
        <ns0:v>Full day</ns0:v>
      </ns0:c>
      <ns0:c r="V424" s="0" t="str">
        <ns0:f>IF(Bookings!E424="","Full day",Bookings!E424)</ns0:f>
        <ns0:v>Full day</ns0:v>
      </ns0:c>
      <ns0:c r="W424" s="0">
        <ns0:f>IF(J424=0,0,J424+IF(U424="PM",1,0))</ns0:f>
        <ns0:v>0</ns0:v>
      </ns0:c>
      <ns0:c r="X424" s="0">
        <ns0:f>IF(T424=0,0,T424-IF(V424="PM",1,0))</ns0:f>
        <ns0:v>0</ns0:v>
      </ns0:c>
      <ns0:c r="Y424" s="0">
        <ns0:f>IF(J424=0,0,J424+IF(U424="AM",1,0))</ns0:f>
        <ns0:v>0</ns0:v>
      </ns0:c>
      <ns0:c r="Z424" s="0">
        <ns0:f>IF(T424=0,0,T424-IF(V424="AM",1,0))</ns0:f>
        <ns0:v>0</ns0:v>
      </ns0:c>
      <ns0:c r="AA424" s="0">
        <ns0:f>IFERROR(IF(AND(J424&gt;0,'_Engine'!C424&gt;0,MID('_Engine'!W424,WEEKDAY(J424,2),1)="W",COUNTIF(Settings!$F$18:$F$67,J424)=0),1,0),0)</ns0:f>
        <ns0:v>0</ns0:v>
      </ns0:c>
      <ns0:c r="AB424" s="0">
        <ns0:f>IFERROR(IF(AND(T424&gt;0,'_Engine'!C424&gt;0,MID('_Engine'!W424,WEEKDAY(T424,2),1)="W",COUNTIF(Settings!$F$18:$F$67,T424)=0),1,0),0)</ns0:f>
        <ns0:v>0</ns0:v>
      </ns0:c>
      <ns0:c r="AC424" s="0">
        <ns0:f>IF(AND(J424&gt;0,T424&gt;0,W424&lt;=X424),1,0)</ns0:f>
        <ns0:v>0</ns0:v>
      </ns0:c>
      <ns0:c r="AD424" s="0">
        <ns0:f>IF(AND(J424&gt;0,T424&gt;0,Y424&lt;=Z424),1,0)</ns0:f>
        <ns0:v>0</ns0:v>
      </ns0:c>
    </ns0:row>
    <ns0:row r="425">
      <ns0:c r="A425" s="0">
        <ns0:f>IFERROR(IF(ISNUMBER(Bookings!B425),"",TRIM(Bookings!B425&amp;"")),"")</ns0:f>
      </ns0:c>
      <ns0:c r="B425" s="0">
        <ns0:f>IFERROR(SUBSTITUTE(SUBSTITUTE(A425,"/","."),"-","."),"")</ns0:f>
      </ns0:c>
      <ns0:c r="C425" s="0">
        <ns0:f>IFERROR(LEFT(B425,FIND(".",B425)-1),"")</ns0:f>
      </ns0:c>
      <ns0:c r="D425" s="0">
        <ns0:f>IFERROR(MID(B425,FIND(".",B425)+1,FIND(".",B425,FIND(".",B425)+1)-FIND(".",B425)-1),"")</ns0:f>
      </ns0:c>
      <ns0:c r="E425" s="0">
        <ns0:f>IFERROR(MID(B425,FIND(".",B425,FIND(".",B425)+1)+1,99),"")</ns0:f>
        <ns0:v>99</ns0:v>
      </ns0:c>
      <ns0:c r="F425" s="0">
        <ns0:f>IFERROR(IF(FIND(".",B425)=5,--C425,--E425),0)</ns0:f>
        <ns0:v>0</ns0:v>
      </ns0:c>
      <ns0:c r="G425" s="0">
        <ns0:f>IFERROR(--D425,0)</ns0:f>
        <ns0:v>0</ns0:v>
      </ns0:c>
      <ns0:c r="H425" s="0">
        <ns0:f>IFERROR(IF(FIND(".",B425)=5,--E425,--C425),0)</ns0:f>
        <ns0:v>0</ns0:v>
      </ns0:c>
      <ns0:c r="I425" s="0">
        <ns0:f>IFERROR(IF(AND(F425&gt;=2000,F425&lt;=2100,G425&gt;=1,G425&lt;=12,H425&gt;=1,H425&lt;=31),DATE(F425,G425,H425),0),0)</ns0:f>
        <ns0:v>0</ns0:v>
      </ns0:c>
      <ns0:c r="J425" s="0">
        <ns0:f>IFERROR(IF(ISNUMBER(Bookings!B425),IF(AND(Bookings!B425=INT(Bookings!B425),Bookings!B425&gt;=DATE(2000,1,1),Bookings!B425&lt;=DATE(2100,12,31)),Bookings!B425,0),IF(AND(A425&lt;&gt;"",LEN("x"&amp;B425)-LEN(SUBSTITUTE("x"&amp;B425,".",""))=2,OR(1&gt;LEN(B425),MID(B425,1,1)=".",ISNUMBER(FIND("x"&amp;MID(B425,1,1),"x0x1x2x3x4x5x6x7x8x9"))),OR(2&gt;LEN(B425),MID(B425,2,1)=".",ISNUMBER(FIND("x"&amp;MID(B425,2,1),"x0x1x2x3x4x5x6x7x8x9"))),OR(3&gt;LEN(B425),MID(B425,3,1)=".",ISNUMBER(FIND("x"&amp;MID(B425,3,1),"x0x1x2x3x4x5x6x7x8x9"))),OR(4&gt;LEN(B425),MID(B425,4,1)=".",ISNUMBER(FIND("x"&amp;MID(B425,4,1),"x0x1x2x3x4x5x6x7x8x9"))),OR(5&gt;LEN(B425),MID(B425,5,1)=".",ISNUMBER(FIND("x"&amp;MID(B425,5,1),"x0x1x2x3x4x5x6x7x8x9"))),OR(6&gt;LEN(B425),MID(B425,6,1)=".",ISNUMBER(FIND("x"&amp;MID(B425,6,1),"x0x1x2x3x4x5x6x7x8x9"))),OR(7&gt;LEN(B425),MID(B425,7,1)=".",ISNUMBER(FIND("x"&amp;MID(B425,7,1),"x0x1x2x3x4x5x6x7x8x9"))),OR(8&gt;LEN(B425),MID(B425,8,1)=".",ISNUMBER(FIND("x"&amp;MID(B425,8,1),"x0x1x2x3x4x5x6x7x8x9"))),OR(9&gt;LEN(B425),MID(B425,9,1)=".",ISNUMBER(FIND("x"&amp;MID(B425,9,1),"x0x1x2x3x4x5x6x7x8x9"))),OR(10&gt;LEN(B425),MID(B425,10,1)=".",ISNUMBER(FIND("x"&amp;MID(B425,10,1),"x0x1x2x3x4x5x6x7x8x9"))),OR(AND(FIND(".",B425)=5,LEN(B425)-FIND(".",B425,FIND(".",B425)+1)&gt;=1,LEN(B425)-FIND(".",B425,FIND(".",B425)+1)&lt;=2),AND(LEN(B425)-FIND(".",B425,FIND(".",B425)+1)=4,FIND(".",B425)&gt;=2,FIND(".",B425)&lt;=3)),FIND(".",B425,FIND(".",B425)+1)-FIND(".",B425)&gt;=2,FIND(".",B425,FIND(".",B425)+1)-FIND(".",B425)&lt;=3,F425&gt;=2000,F425&lt;=2100,YEAR(I425)=F425,MONTH(I425)=G425,DAY(I425)=H425),I425,0)),0)</ns0:f>
        <ns0:v>0</ns0:v>
      </ns0:c>
      <ns0:c r="K425" s="0">
        <ns0:f>IFERROR(IF(ISNUMBER(Bookings!D425),"",TRIM(Bookings!D425&amp;"")),"")</ns0:f>
      </ns0:c>
      <ns0:c r="L425" s="0">
        <ns0:f>IFERROR(SUBSTITUTE(SUBSTITUTE(K425,"/","."),"-","."),"")</ns0:f>
      </ns0:c>
      <ns0:c r="M425" s="0">
        <ns0:f>IFERROR(LEFT(L425,FIND(".",L425)-1),"")</ns0:f>
      </ns0:c>
      <ns0:c r="N425" s="0">
        <ns0:f>IFERROR(MID(L425,FIND(".",L425)+1,FIND(".",L425,FIND(".",L425)+1)-FIND(".",L425)-1),"")</ns0:f>
      </ns0:c>
      <ns0:c r="O425" s="0">
        <ns0:f>IFERROR(MID(L425,FIND(".",L425,FIND(".",L425)+1)+1,99),"")</ns0:f>
        <ns0:v>99</ns0:v>
      </ns0:c>
      <ns0:c r="P425" s="0">
        <ns0:f>IFERROR(IF(FIND(".",L425)=5,--M425,--O425),0)</ns0:f>
        <ns0:v>0</ns0:v>
      </ns0:c>
      <ns0:c r="Q425" s="0">
        <ns0:f>IFERROR(--N425,0)</ns0:f>
        <ns0:v>0</ns0:v>
      </ns0:c>
      <ns0:c r="R425" s="0">
        <ns0:f>IFERROR(IF(FIND(".",L425)=5,--O425,--M425),0)</ns0:f>
        <ns0:v>0</ns0:v>
      </ns0:c>
      <ns0:c r="S425" s="0">
        <ns0:f>IFERROR(IF(AND(P425&gt;=2000,P425&lt;=2100,Q425&gt;=1,Q425&lt;=12,R425&gt;=1,R425&lt;=31),DATE(P425,Q425,R425),0),0)</ns0:f>
        <ns0:v>0</ns0:v>
      </ns0:c>
      <ns0:c r="T425" s="0">
        <ns0:f>IFERROR(IF(ISNUMBER(Bookings!D425),IF(AND(Bookings!D425=INT(Bookings!D425),Bookings!D425&gt;=DATE(2000,1,1),Bookings!D425&lt;=DATE(2100,12,31)),Bookings!D425,0),IF(AND(K425&lt;&gt;"",LEN("x"&amp;L425)-LEN(SUBSTITUTE("x"&amp;L425,".",""))=2,OR(1&gt;LEN(L425),MID(L425,1,1)=".",ISNUMBER(FIND("x"&amp;MID(L425,1,1),"x0x1x2x3x4x5x6x7x8x9"))),OR(2&gt;LEN(L425),MID(L425,2,1)=".",ISNUMBER(FIND("x"&amp;MID(L425,2,1),"x0x1x2x3x4x5x6x7x8x9"))),OR(3&gt;LEN(L425),MID(L425,3,1)=".",ISNUMBER(FIND("x"&amp;MID(L425,3,1),"x0x1x2x3x4x5x6x7x8x9"))),OR(4&gt;LEN(L425),MID(L425,4,1)=".",ISNUMBER(FIND("x"&amp;MID(L425,4,1),"x0x1x2x3x4x5x6x7x8x9"))),OR(5&gt;LEN(L425),MID(L425,5,1)=".",ISNUMBER(FIND("x"&amp;MID(L425,5,1),"x0x1x2x3x4x5x6x7x8x9"))),OR(6&gt;LEN(L425),MID(L425,6,1)=".",ISNUMBER(FIND("x"&amp;MID(L425,6,1),"x0x1x2x3x4x5x6x7x8x9"))),OR(7&gt;LEN(L425),MID(L425,7,1)=".",ISNUMBER(FIND("x"&amp;MID(L425,7,1),"x0x1x2x3x4x5x6x7x8x9"))),OR(8&gt;LEN(L425),MID(L425,8,1)=".",ISNUMBER(FIND("x"&amp;MID(L425,8,1),"x0x1x2x3x4x5x6x7x8x9"))),OR(9&gt;LEN(L425),MID(L425,9,1)=".",ISNUMBER(FIND("x"&amp;MID(L425,9,1),"x0x1x2x3x4x5x6x7x8x9"))),OR(10&gt;LEN(L425),MID(L425,10,1)=".",ISNUMBER(FIND("x"&amp;MID(L425,10,1),"x0x1x2x3x4x5x6x7x8x9"))),OR(AND(FIND(".",L425)=5,LEN(L425)-FIND(".",L425,FIND(".",L425)+1)&gt;=1,LEN(L425)-FIND(".",L425,FIND(".",L425)+1)&lt;=2),AND(LEN(L425)-FIND(".",L425,FIND(".",L425)+1)=4,FIND(".",L425)&gt;=2,FIND(".",L425)&lt;=3)),FIND(".",L425,FIND(".",L425)+1)-FIND(".",L425)&gt;=2,FIND(".",L425,FIND(".",L425)+1)-FIND(".",L425)&lt;=3,P425&gt;=2000,P425&lt;=2100,YEAR(S425)=P425,MONTH(S425)=Q425,DAY(S425)=R425),S425,0)),0)</ns0:f>
        <ns0:v>0</ns0:v>
      </ns0:c>
      <ns0:c r="U425" s="0" t="str">
        <ns0:f>IF(Bookings!C425="","Full day",Bookings!C425)</ns0:f>
        <ns0:v>Full day</ns0:v>
      </ns0:c>
      <ns0:c r="V425" s="0" t="str">
        <ns0:f>IF(Bookings!E425="","Full day",Bookings!E425)</ns0:f>
        <ns0:v>Full day</ns0:v>
      </ns0:c>
      <ns0:c r="W425" s="0">
        <ns0:f>IF(J425=0,0,J425+IF(U425="PM",1,0))</ns0:f>
        <ns0:v>0</ns0:v>
      </ns0:c>
      <ns0:c r="X425" s="0">
        <ns0:f>IF(T425=0,0,T425-IF(V425="PM",1,0))</ns0:f>
        <ns0:v>0</ns0:v>
      </ns0:c>
      <ns0:c r="Y425" s="0">
        <ns0:f>IF(J425=0,0,J425+IF(U425="AM",1,0))</ns0:f>
        <ns0:v>0</ns0:v>
      </ns0:c>
      <ns0:c r="Z425" s="0">
        <ns0:f>IF(T425=0,0,T425-IF(V425="AM",1,0))</ns0:f>
        <ns0:v>0</ns0:v>
      </ns0:c>
      <ns0:c r="AA425" s="0">
        <ns0:f>IFERROR(IF(AND(J425&gt;0,'_Engine'!C425&gt;0,MID('_Engine'!W425,WEEKDAY(J425,2),1)="W",COUNTIF(Settings!$F$18:$F$67,J425)=0),1,0),0)</ns0:f>
        <ns0:v>0</ns0:v>
      </ns0:c>
      <ns0:c r="AB425" s="0">
        <ns0:f>IFERROR(IF(AND(T425&gt;0,'_Engine'!C425&gt;0,MID('_Engine'!W425,WEEKDAY(T425,2),1)="W",COUNTIF(Settings!$F$18:$F$67,T425)=0),1,0),0)</ns0:f>
        <ns0:v>0</ns0:v>
      </ns0:c>
      <ns0:c r="AC425" s="0">
        <ns0:f>IF(AND(J425&gt;0,T425&gt;0,W425&lt;=X425),1,0)</ns0:f>
        <ns0:v>0</ns0:v>
      </ns0:c>
      <ns0:c r="AD425" s="0">
        <ns0:f>IF(AND(J425&gt;0,T425&gt;0,Y425&lt;=Z425),1,0)</ns0:f>
        <ns0:v>0</ns0:v>
      </ns0:c>
    </ns0:row>
    <ns0:row r="426">
      <ns0:c r="A426" s="0">
        <ns0:f>IFERROR(IF(ISNUMBER(Bookings!B426),"",TRIM(Bookings!B426&amp;"")),"")</ns0:f>
      </ns0:c>
      <ns0:c r="B426" s="0">
        <ns0:f>IFERROR(SUBSTITUTE(SUBSTITUTE(A426,"/","."),"-","."),"")</ns0:f>
      </ns0:c>
      <ns0:c r="C426" s="0">
        <ns0:f>IFERROR(LEFT(B426,FIND(".",B426)-1),"")</ns0:f>
      </ns0:c>
      <ns0:c r="D426" s="0">
        <ns0:f>IFERROR(MID(B426,FIND(".",B426)+1,FIND(".",B426,FIND(".",B426)+1)-FIND(".",B426)-1),"")</ns0:f>
      </ns0:c>
      <ns0:c r="E426" s="0">
        <ns0:f>IFERROR(MID(B426,FIND(".",B426,FIND(".",B426)+1)+1,99),"")</ns0:f>
        <ns0:v>99</ns0:v>
      </ns0:c>
      <ns0:c r="F426" s="0">
        <ns0:f>IFERROR(IF(FIND(".",B426)=5,--C426,--E426),0)</ns0:f>
        <ns0:v>0</ns0:v>
      </ns0:c>
      <ns0:c r="G426" s="0">
        <ns0:f>IFERROR(--D426,0)</ns0:f>
        <ns0:v>0</ns0:v>
      </ns0:c>
      <ns0:c r="H426" s="0">
        <ns0:f>IFERROR(IF(FIND(".",B426)=5,--E426,--C426),0)</ns0:f>
        <ns0:v>0</ns0:v>
      </ns0:c>
      <ns0:c r="I426" s="0">
        <ns0:f>IFERROR(IF(AND(F426&gt;=2000,F426&lt;=2100,G426&gt;=1,G426&lt;=12,H426&gt;=1,H426&lt;=31),DATE(F426,G426,H426),0),0)</ns0:f>
        <ns0:v>0</ns0:v>
      </ns0:c>
      <ns0:c r="J426" s="0">
        <ns0:f>IFERROR(IF(ISNUMBER(Bookings!B426),IF(AND(Bookings!B426=INT(Bookings!B426),Bookings!B426&gt;=DATE(2000,1,1),Bookings!B426&lt;=DATE(2100,12,31)),Bookings!B426,0),IF(AND(A426&lt;&gt;"",LEN("x"&amp;B426)-LEN(SUBSTITUTE("x"&amp;B426,".",""))=2,OR(1&gt;LEN(B426),MID(B426,1,1)=".",ISNUMBER(FIND("x"&amp;MID(B426,1,1),"x0x1x2x3x4x5x6x7x8x9"))),OR(2&gt;LEN(B426),MID(B426,2,1)=".",ISNUMBER(FIND("x"&amp;MID(B426,2,1),"x0x1x2x3x4x5x6x7x8x9"))),OR(3&gt;LEN(B426),MID(B426,3,1)=".",ISNUMBER(FIND("x"&amp;MID(B426,3,1),"x0x1x2x3x4x5x6x7x8x9"))),OR(4&gt;LEN(B426),MID(B426,4,1)=".",ISNUMBER(FIND("x"&amp;MID(B426,4,1),"x0x1x2x3x4x5x6x7x8x9"))),OR(5&gt;LEN(B426),MID(B426,5,1)=".",ISNUMBER(FIND("x"&amp;MID(B426,5,1),"x0x1x2x3x4x5x6x7x8x9"))),OR(6&gt;LEN(B426),MID(B426,6,1)=".",ISNUMBER(FIND("x"&amp;MID(B426,6,1),"x0x1x2x3x4x5x6x7x8x9"))),OR(7&gt;LEN(B426),MID(B426,7,1)=".",ISNUMBER(FIND("x"&amp;MID(B426,7,1),"x0x1x2x3x4x5x6x7x8x9"))),OR(8&gt;LEN(B426),MID(B426,8,1)=".",ISNUMBER(FIND("x"&amp;MID(B426,8,1),"x0x1x2x3x4x5x6x7x8x9"))),OR(9&gt;LEN(B426),MID(B426,9,1)=".",ISNUMBER(FIND("x"&amp;MID(B426,9,1),"x0x1x2x3x4x5x6x7x8x9"))),OR(10&gt;LEN(B426),MID(B426,10,1)=".",ISNUMBER(FIND("x"&amp;MID(B426,10,1),"x0x1x2x3x4x5x6x7x8x9"))),OR(AND(FIND(".",B426)=5,LEN(B426)-FIND(".",B426,FIND(".",B426)+1)&gt;=1,LEN(B426)-FIND(".",B426,FIND(".",B426)+1)&lt;=2),AND(LEN(B426)-FIND(".",B426,FIND(".",B426)+1)=4,FIND(".",B426)&gt;=2,FIND(".",B426)&lt;=3)),FIND(".",B426,FIND(".",B426)+1)-FIND(".",B426)&gt;=2,FIND(".",B426,FIND(".",B426)+1)-FIND(".",B426)&lt;=3,F426&gt;=2000,F426&lt;=2100,YEAR(I426)=F426,MONTH(I426)=G426,DAY(I426)=H426),I426,0)),0)</ns0:f>
        <ns0:v>0</ns0:v>
      </ns0:c>
      <ns0:c r="K426" s="0">
        <ns0:f>IFERROR(IF(ISNUMBER(Bookings!D426),"",TRIM(Bookings!D426&amp;"")),"")</ns0:f>
      </ns0:c>
      <ns0:c r="L426" s="0">
        <ns0:f>IFERROR(SUBSTITUTE(SUBSTITUTE(K426,"/","."),"-","."),"")</ns0:f>
      </ns0:c>
      <ns0:c r="M426" s="0">
        <ns0:f>IFERROR(LEFT(L426,FIND(".",L426)-1),"")</ns0:f>
      </ns0:c>
      <ns0:c r="N426" s="0">
        <ns0:f>IFERROR(MID(L426,FIND(".",L426)+1,FIND(".",L426,FIND(".",L426)+1)-FIND(".",L426)-1),"")</ns0:f>
      </ns0:c>
      <ns0:c r="O426" s="0">
        <ns0:f>IFERROR(MID(L426,FIND(".",L426,FIND(".",L426)+1)+1,99),"")</ns0:f>
        <ns0:v>99</ns0:v>
      </ns0:c>
      <ns0:c r="P426" s="0">
        <ns0:f>IFERROR(IF(FIND(".",L426)=5,--M426,--O426),0)</ns0:f>
        <ns0:v>0</ns0:v>
      </ns0:c>
      <ns0:c r="Q426" s="0">
        <ns0:f>IFERROR(--N426,0)</ns0:f>
        <ns0:v>0</ns0:v>
      </ns0:c>
      <ns0:c r="R426" s="0">
        <ns0:f>IFERROR(IF(FIND(".",L426)=5,--O426,--M426),0)</ns0:f>
        <ns0:v>0</ns0:v>
      </ns0:c>
      <ns0:c r="S426" s="0">
        <ns0:f>IFERROR(IF(AND(P426&gt;=2000,P426&lt;=2100,Q426&gt;=1,Q426&lt;=12,R426&gt;=1,R426&lt;=31),DATE(P426,Q426,R426),0),0)</ns0:f>
        <ns0:v>0</ns0:v>
      </ns0:c>
      <ns0:c r="T426" s="0">
        <ns0:f>IFERROR(IF(ISNUMBER(Bookings!D426),IF(AND(Bookings!D426=INT(Bookings!D426),Bookings!D426&gt;=DATE(2000,1,1),Bookings!D426&lt;=DATE(2100,12,31)),Bookings!D426,0),IF(AND(K426&lt;&gt;"",LEN("x"&amp;L426)-LEN(SUBSTITUTE("x"&amp;L426,".",""))=2,OR(1&gt;LEN(L426),MID(L426,1,1)=".",ISNUMBER(FIND("x"&amp;MID(L426,1,1),"x0x1x2x3x4x5x6x7x8x9"))),OR(2&gt;LEN(L426),MID(L426,2,1)=".",ISNUMBER(FIND("x"&amp;MID(L426,2,1),"x0x1x2x3x4x5x6x7x8x9"))),OR(3&gt;LEN(L426),MID(L426,3,1)=".",ISNUMBER(FIND("x"&amp;MID(L426,3,1),"x0x1x2x3x4x5x6x7x8x9"))),OR(4&gt;LEN(L426),MID(L426,4,1)=".",ISNUMBER(FIND("x"&amp;MID(L426,4,1),"x0x1x2x3x4x5x6x7x8x9"))),OR(5&gt;LEN(L426),MID(L426,5,1)=".",ISNUMBER(FIND("x"&amp;MID(L426,5,1),"x0x1x2x3x4x5x6x7x8x9"))),OR(6&gt;LEN(L426),MID(L426,6,1)=".",ISNUMBER(FIND("x"&amp;MID(L426,6,1),"x0x1x2x3x4x5x6x7x8x9"))),OR(7&gt;LEN(L426),MID(L426,7,1)=".",ISNUMBER(FIND("x"&amp;MID(L426,7,1),"x0x1x2x3x4x5x6x7x8x9"))),OR(8&gt;LEN(L426),MID(L426,8,1)=".",ISNUMBER(FIND("x"&amp;MID(L426,8,1),"x0x1x2x3x4x5x6x7x8x9"))),OR(9&gt;LEN(L426),MID(L426,9,1)=".",ISNUMBER(FIND("x"&amp;MID(L426,9,1),"x0x1x2x3x4x5x6x7x8x9"))),OR(10&gt;LEN(L426),MID(L426,10,1)=".",ISNUMBER(FIND("x"&amp;MID(L426,10,1),"x0x1x2x3x4x5x6x7x8x9"))),OR(AND(FIND(".",L426)=5,LEN(L426)-FIND(".",L426,FIND(".",L426)+1)&gt;=1,LEN(L426)-FIND(".",L426,FIND(".",L426)+1)&lt;=2),AND(LEN(L426)-FIND(".",L426,FIND(".",L426)+1)=4,FIND(".",L426)&gt;=2,FIND(".",L426)&lt;=3)),FIND(".",L426,FIND(".",L426)+1)-FIND(".",L426)&gt;=2,FIND(".",L426,FIND(".",L426)+1)-FIND(".",L426)&lt;=3,P426&gt;=2000,P426&lt;=2100,YEAR(S426)=P426,MONTH(S426)=Q426,DAY(S426)=R426),S426,0)),0)</ns0:f>
        <ns0:v>0</ns0:v>
      </ns0:c>
      <ns0:c r="U426" s="0" t="str">
        <ns0:f>IF(Bookings!C426="","Full day",Bookings!C426)</ns0:f>
        <ns0:v>Full day</ns0:v>
      </ns0:c>
      <ns0:c r="V426" s="0" t="str">
        <ns0:f>IF(Bookings!E426="","Full day",Bookings!E426)</ns0:f>
        <ns0:v>Full day</ns0:v>
      </ns0:c>
      <ns0:c r="W426" s="0">
        <ns0:f>IF(J426=0,0,J426+IF(U426="PM",1,0))</ns0:f>
        <ns0:v>0</ns0:v>
      </ns0:c>
      <ns0:c r="X426" s="0">
        <ns0:f>IF(T426=0,0,T426-IF(V426="PM",1,0))</ns0:f>
        <ns0:v>0</ns0:v>
      </ns0:c>
      <ns0:c r="Y426" s="0">
        <ns0:f>IF(J426=0,0,J426+IF(U426="AM",1,0))</ns0:f>
        <ns0:v>0</ns0:v>
      </ns0:c>
      <ns0:c r="Z426" s="0">
        <ns0:f>IF(T426=0,0,T426-IF(V426="AM",1,0))</ns0:f>
        <ns0:v>0</ns0:v>
      </ns0:c>
      <ns0:c r="AA426" s="0">
        <ns0:f>IFERROR(IF(AND(J426&gt;0,'_Engine'!C426&gt;0,MID('_Engine'!W426,WEEKDAY(J426,2),1)="W",COUNTIF(Settings!$F$18:$F$67,J426)=0),1,0),0)</ns0:f>
        <ns0:v>0</ns0:v>
      </ns0:c>
      <ns0:c r="AB426" s="0">
        <ns0:f>IFERROR(IF(AND(T426&gt;0,'_Engine'!C426&gt;0,MID('_Engine'!W426,WEEKDAY(T426,2),1)="W",COUNTIF(Settings!$F$18:$F$67,T426)=0),1,0),0)</ns0:f>
        <ns0:v>0</ns0:v>
      </ns0:c>
      <ns0:c r="AC426" s="0">
        <ns0:f>IF(AND(J426&gt;0,T426&gt;0,W426&lt;=X426),1,0)</ns0:f>
        <ns0:v>0</ns0:v>
      </ns0:c>
      <ns0:c r="AD426" s="0">
        <ns0:f>IF(AND(J426&gt;0,T426&gt;0,Y426&lt;=Z426),1,0)</ns0:f>
        <ns0:v>0</ns0:v>
      </ns0:c>
    </ns0:row>
    <ns0:row r="427">
      <ns0:c r="A427" s="0">
        <ns0:f>IFERROR(IF(ISNUMBER(Bookings!B427),"",TRIM(Bookings!B427&amp;"")),"")</ns0:f>
      </ns0:c>
      <ns0:c r="B427" s="0">
        <ns0:f>IFERROR(SUBSTITUTE(SUBSTITUTE(A427,"/","."),"-","."),"")</ns0:f>
      </ns0:c>
      <ns0:c r="C427" s="0">
        <ns0:f>IFERROR(LEFT(B427,FIND(".",B427)-1),"")</ns0:f>
      </ns0:c>
      <ns0:c r="D427" s="0">
        <ns0:f>IFERROR(MID(B427,FIND(".",B427)+1,FIND(".",B427,FIND(".",B427)+1)-FIND(".",B427)-1),"")</ns0:f>
      </ns0:c>
      <ns0:c r="E427" s="0">
        <ns0:f>IFERROR(MID(B427,FIND(".",B427,FIND(".",B427)+1)+1,99),"")</ns0:f>
        <ns0:v>99</ns0:v>
      </ns0:c>
      <ns0:c r="F427" s="0">
        <ns0:f>IFERROR(IF(FIND(".",B427)=5,--C427,--E427),0)</ns0:f>
        <ns0:v>0</ns0:v>
      </ns0:c>
      <ns0:c r="G427" s="0">
        <ns0:f>IFERROR(--D427,0)</ns0:f>
        <ns0:v>0</ns0:v>
      </ns0:c>
      <ns0:c r="H427" s="0">
        <ns0:f>IFERROR(IF(FIND(".",B427)=5,--E427,--C427),0)</ns0:f>
        <ns0:v>0</ns0:v>
      </ns0:c>
      <ns0:c r="I427" s="0">
        <ns0:f>IFERROR(IF(AND(F427&gt;=2000,F427&lt;=2100,G427&gt;=1,G427&lt;=12,H427&gt;=1,H427&lt;=31),DATE(F427,G427,H427),0),0)</ns0:f>
        <ns0:v>0</ns0:v>
      </ns0:c>
      <ns0:c r="J427" s="0">
        <ns0:f>IFERROR(IF(ISNUMBER(Bookings!B427),IF(AND(Bookings!B427=INT(Bookings!B427),Bookings!B427&gt;=DATE(2000,1,1),Bookings!B427&lt;=DATE(2100,12,31)),Bookings!B427,0),IF(AND(A427&lt;&gt;"",LEN("x"&amp;B427)-LEN(SUBSTITUTE("x"&amp;B427,".",""))=2,OR(1&gt;LEN(B427),MID(B427,1,1)=".",ISNUMBER(FIND("x"&amp;MID(B427,1,1),"x0x1x2x3x4x5x6x7x8x9"))),OR(2&gt;LEN(B427),MID(B427,2,1)=".",ISNUMBER(FIND("x"&amp;MID(B427,2,1),"x0x1x2x3x4x5x6x7x8x9"))),OR(3&gt;LEN(B427),MID(B427,3,1)=".",ISNUMBER(FIND("x"&amp;MID(B427,3,1),"x0x1x2x3x4x5x6x7x8x9"))),OR(4&gt;LEN(B427),MID(B427,4,1)=".",ISNUMBER(FIND("x"&amp;MID(B427,4,1),"x0x1x2x3x4x5x6x7x8x9"))),OR(5&gt;LEN(B427),MID(B427,5,1)=".",ISNUMBER(FIND("x"&amp;MID(B427,5,1),"x0x1x2x3x4x5x6x7x8x9"))),OR(6&gt;LEN(B427),MID(B427,6,1)=".",ISNUMBER(FIND("x"&amp;MID(B427,6,1),"x0x1x2x3x4x5x6x7x8x9"))),OR(7&gt;LEN(B427),MID(B427,7,1)=".",ISNUMBER(FIND("x"&amp;MID(B427,7,1),"x0x1x2x3x4x5x6x7x8x9"))),OR(8&gt;LEN(B427),MID(B427,8,1)=".",ISNUMBER(FIND("x"&amp;MID(B427,8,1),"x0x1x2x3x4x5x6x7x8x9"))),OR(9&gt;LEN(B427),MID(B427,9,1)=".",ISNUMBER(FIND("x"&amp;MID(B427,9,1),"x0x1x2x3x4x5x6x7x8x9"))),OR(10&gt;LEN(B427),MID(B427,10,1)=".",ISNUMBER(FIND("x"&amp;MID(B427,10,1),"x0x1x2x3x4x5x6x7x8x9"))),OR(AND(FIND(".",B427)=5,LEN(B427)-FIND(".",B427,FIND(".",B427)+1)&gt;=1,LEN(B427)-FIND(".",B427,FIND(".",B427)+1)&lt;=2),AND(LEN(B427)-FIND(".",B427,FIND(".",B427)+1)=4,FIND(".",B427)&gt;=2,FIND(".",B427)&lt;=3)),FIND(".",B427,FIND(".",B427)+1)-FIND(".",B427)&gt;=2,FIND(".",B427,FIND(".",B427)+1)-FIND(".",B427)&lt;=3,F427&gt;=2000,F427&lt;=2100,YEAR(I427)=F427,MONTH(I427)=G427,DAY(I427)=H427),I427,0)),0)</ns0:f>
        <ns0:v>0</ns0:v>
      </ns0:c>
      <ns0:c r="K427" s="0">
        <ns0:f>IFERROR(IF(ISNUMBER(Bookings!D427),"",TRIM(Bookings!D427&amp;"")),"")</ns0:f>
      </ns0:c>
      <ns0:c r="L427" s="0">
        <ns0:f>IFERROR(SUBSTITUTE(SUBSTITUTE(K427,"/","."),"-","."),"")</ns0:f>
      </ns0:c>
      <ns0:c r="M427" s="0">
        <ns0:f>IFERROR(LEFT(L427,FIND(".",L427)-1),"")</ns0:f>
      </ns0:c>
      <ns0:c r="N427" s="0">
        <ns0:f>IFERROR(MID(L427,FIND(".",L427)+1,FIND(".",L427,FIND(".",L427)+1)-FIND(".",L427)-1),"")</ns0:f>
      </ns0:c>
      <ns0:c r="O427" s="0">
        <ns0:f>IFERROR(MID(L427,FIND(".",L427,FIND(".",L427)+1)+1,99),"")</ns0:f>
        <ns0:v>99</ns0:v>
      </ns0:c>
      <ns0:c r="P427" s="0">
        <ns0:f>IFERROR(IF(FIND(".",L427)=5,--M427,--O427),0)</ns0:f>
        <ns0:v>0</ns0:v>
      </ns0:c>
      <ns0:c r="Q427" s="0">
        <ns0:f>IFERROR(--N427,0)</ns0:f>
        <ns0:v>0</ns0:v>
      </ns0:c>
      <ns0:c r="R427" s="0">
        <ns0:f>IFERROR(IF(FIND(".",L427)=5,--O427,--M427),0)</ns0:f>
        <ns0:v>0</ns0:v>
      </ns0:c>
      <ns0:c r="S427" s="0">
        <ns0:f>IFERROR(IF(AND(P427&gt;=2000,P427&lt;=2100,Q427&gt;=1,Q427&lt;=12,R427&gt;=1,R427&lt;=31),DATE(P427,Q427,R427),0),0)</ns0:f>
        <ns0:v>0</ns0:v>
      </ns0:c>
      <ns0:c r="T427" s="0">
        <ns0:f>IFERROR(IF(ISNUMBER(Bookings!D427),IF(AND(Bookings!D427=INT(Bookings!D427),Bookings!D427&gt;=DATE(2000,1,1),Bookings!D427&lt;=DATE(2100,12,31)),Bookings!D427,0),IF(AND(K427&lt;&gt;"",LEN("x"&amp;L427)-LEN(SUBSTITUTE("x"&amp;L427,".",""))=2,OR(1&gt;LEN(L427),MID(L427,1,1)=".",ISNUMBER(FIND("x"&amp;MID(L427,1,1),"x0x1x2x3x4x5x6x7x8x9"))),OR(2&gt;LEN(L427),MID(L427,2,1)=".",ISNUMBER(FIND("x"&amp;MID(L427,2,1),"x0x1x2x3x4x5x6x7x8x9"))),OR(3&gt;LEN(L427),MID(L427,3,1)=".",ISNUMBER(FIND("x"&amp;MID(L427,3,1),"x0x1x2x3x4x5x6x7x8x9"))),OR(4&gt;LEN(L427),MID(L427,4,1)=".",ISNUMBER(FIND("x"&amp;MID(L427,4,1),"x0x1x2x3x4x5x6x7x8x9"))),OR(5&gt;LEN(L427),MID(L427,5,1)=".",ISNUMBER(FIND("x"&amp;MID(L427,5,1),"x0x1x2x3x4x5x6x7x8x9"))),OR(6&gt;LEN(L427),MID(L427,6,1)=".",ISNUMBER(FIND("x"&amp;MID(L427,6,1),"x0x1x2x3x4x5x6x7x8x9"))),OR(7&gt;LEN(L427),MID(L427,7,1)=".",ISNUMBER(FIND("x"&amp;MID(L427,7,1),"x0x1x2x3x4x5x6x7x8x9"))),OR(8&gt;LEN(L427),MID(L427,8,1)=".",ISNUMBER(FIND("x"&amp;MID(L427,8,1),"x0x1x2x3x4x5x6x7x8x9"))),OR(9&gt;LEN(L427),MID(L427,9,1)=".",ISNUMBER(FIND("x"&amp;MID(L427,9,1),"x0x1x2x3x4x5x6x7x8x9"))),OR(10&gt;LEN(L427),MID(L427,10,1)=".",ISNUMBER(FIND("x"&amp;MID(L427,10,1),"x0x1x2x3x4x5x6x7x8x9"))),OR(AND(FIND(".",L427)=5,LEN(L427)-FIND(".",L427,FIND(".",L427)+1)&gt;=1,LEN(L427)-FIND(".",L427,FIND(".",L427)+1)&lt;=2),AND(LEN(L427)-FIND(".",L427,FIND(".",L427)+1)=4,FIND(".",L427)&gt;=2,FIND(".",L427)&lt;=3)),FIND(".",L427,FIND(".",L427)+1)-FIND(".",L427)&gt;=2,FIND(".",L427,FIND(".",L427)+1)-FIND(".",L427)&lt;=3,P427&gt;=2000,P427&lt;=2100,YEAR(S427)=P427,MONTH(S427)=Q427,DAY(S427)=R427),S427,0)),0)</ns0:f>
        <ns0:v>0</ns0:v>
      </ns0:c>
      <ns0:c r="U427" s="0" t="str">
        <ns0:f>IF(Bookings!C427="","Full day",Bookings!C427)</ns0:f>
        <ns0:v>Full day</ns0:v>
      </ns0:c>
      <ns0:c r="V427" s="0" t="str">
        <ns0:f>IF(Bookings!E427="","Full day",Bookings!E427)</ns0:f>
        <ns0:v>Full day</ns0:v>
      </ns0:c>
      <ns0:c r="W427" s="0">
        <ns0:f>IF(J427=0,0,J427+IF(U427="PM",1,0))</ns0:f>
        <ns0:v>0</ns0:v>
      </ns0:c>
      <ns0:c r="X427" s="0">
        <ns0:f>IF(T427=0,0,T427-IF(V427="PM",1,0))</ns0:f>
        <ns0:v>0</ns0:v>
      </ns0:c>
      <ns0:c r="Y427" s="0">
        <ns0:f>IF(J427=0,0,J427+IF(U427="AM",1,0))</ns0:f>
        <ns0:v>0</ns0:v>
      </ns0:c>
      <ns0:c r="Z427" s="0">
        <ns0:f>IF(T427=0,0,T427-IF(V427="AM",1,0))</ns0:f>
        <ns0:v>0</ns0:v>
      </ns0:c>
      <ns0:c r="AA427" s="0">
        <ns0:f>IFERROR(IF(AND(J427&gt;0,'_Engine'!C427&gt;0,MID('_Engine'!W427,WEEKDAY(J427,2),1)="W",COUNTIF(Settings!$F$18:$F$67,J427)=0),1,0),0)</ns0:f>
        <ns0:v>0</ns0:v>
      </ns0:c>
      <ns0:c r="AB427" s="0">
        <ns0:f>IFERROR(IF(AND(T427&gt;0,'_Engine'!C427&gt;0,MID('_Engine'!W427,WEEKDAY(T427,2),1)="W",COUNTIF(Settings!$F$18:$F$67,T427)=0),1,0),0)</ns0:f>
        <ns0:v>0</ns0:v>
      </ns0:c>
      <ns0:c r="AC427" s="0">
        <ns0:f>IF(AND(J427&gt;0,T427&gt;0,W427&lt;=X427),1,0)</ns0:f>
        <ns0:v>0</ns0:v>
      </ns0:c>
      <ns0:c r="AD427" s="0">
        <ns0:f>IF(AND(J427&gt;0,T427&gt;0,Y427&lt;=Z427),1,0)</ns0:f>
        <ns0:v>0</ns0:v>
      </ns0:c>
    </ns0:row>
    <ns0:row r="428">
      <ns0:c r="A428" s="0">
        <ns0:f>IFERROR(IF(ISNUMBER(Bookings!B428),"",TRIM(Bookings!B428&amp;"")),"")</ns0:f>
      </ns0:c>
      <ns0:c r="B428" s="0">
        <ns0:f>IFERROR(SUBSTITUTE(SUBSTITUTE(A428,"/","."),"-","."),"")</ns0:f>
      </ns0:c>
      <ns0:c r="C428" s="0">
        <ns0:f>IFERROR(LEFT(B428,FIND(".",B428)-1),"")</ns0:f>
      </ns0:c>
      <ns0:c r="D428" s="0">
        <ns0:f>IFERROR(MID(B428,FIND(".",B428)+1,FIND(".",B428,FIND(".",B428)+1)-FIND(".",B428)-1),"")</ns0:f>
      </ns0:c>
      <ns0:c r="E428" s="0">
        <ns0:f>IFERROR(MID(B428,FIND(".",B428,FIND(".",B428)+1)+1,99),"")</ns0:f>
        <ns0:v>99</ns0:v>
      </ns0:c>
      <ns0:c r="F428" s="0">
        <ns0:f>IFERROR(IF(FIND(".",B428)=5,--C428,--E428),0)</ns0:f>
        <ns0:v>0</ns0:v>
      </ns0:c>
      <ns0:c r="G428" s="0">
        <ns0:f>IFERROR(--D428,0)</ns0:f>
        <ns0:v>0</ns0:v>
      </ns0:c>
      <ns0:c r="H428" s="0">
        <ns0:f>IFERROR(IF(FIND(".",B428)=5,--E428,--C428),0)</ns0:f>
        <ns0:v>0</ns0:v>
      </ns0:c>
      <ns0:c r="I428" s="0">
        <ns0:f>IFERROR(IF(AND(F428&gt;=2000,F428&lt;=2100,G428&gt;=1,G428&lt;=12,H428&gt;=1,H428&lt;=31),DATE(F428,G428,H428),0),0)</ns0:f>
        <ns0:v>0</ns0:v>
      </ns0:c>
      <ns0:c r="J428" s="0">
        <ns0:f>IFERROR(IF(ISNUMBER(Bookings!B428),IF(AND(Bookings!B428=INT(Bookings!B428),Bookings!B428&gt;=DATE(2000,1,1),Bookings!B428&lt;=DATE(2100,12,31)),Bookings!B428,0),IF(AND(A428&lt;&gt;"",LEN("x"&amp;B428)-LEN(SUBSTITUTE("x"&amp;B428,".",""))=2,OR(1&gt;LEN(B428),MID(B428,1,1)=".",ISNUMBER(FIND("x"&amp;MID(B428,1,1),"x0x1x2x3x4x5x6x7x8x9"))),OR(2&gt;LEN(B428),MID(B428,2,1)=".",ISNUMBER(FIND("x"&amp;MID(B428,2,1),"x0x1x2x3x4x5x6x7x8x9"))),OR(3&gt;LEN(B428),MID(B428,3,1)=".",ISNUMBER(FIND("x"&amp;MID(B428,3,1),"x0x1x2x3x4x5x6x7x8x9"))),OR(4&gt;LEN(B428),MID(B428,4,1)=".",ISNUMBER(FIND("x"&amp;MID(B428,4,1),"x0x1x2x3x4x5x6x7x8x9"))),OR(5&gt;LEN(B428),MID(B428,5,1)=".",ISNUMBER(FIND("x"&amp;MID(B428,5,1),"x0x1x2x3x4x5x6x7x8x9"))),OR(6&gt;LEN(B428),MID(B428,6,1)=".",ISNUMBER(FIND("x"&amp;MID(B428,6,1),"x0x1x2x3x4x5x6x7x8x9"))),OR(7&gt;LEN(B428),MID(B428,7,1)=".",ISNUMBER(FIND("x"&amp;MID(B428,7,1),"x0x1x2x3x4x5x6x7x8x9"))),OR(8&gt;LEN(B428),MID(B428,8,1)=".",ISNUMBER(FIND("x"&amp;MID(B428,8,1),"x0x1x2x3x4x5x6x7x8x9"))),OR(9&gt;LEN(B428),MID(B428,9,1)=".",ISNUMBER(FIND("x"&amp;MID(B428,9,1),"x0x1x2x3x4x5x6x7x8x9"))),OR(10&gt;LEN(B428),MID(B428,10,1)=".",ISNUMBER(FIND("x"&amp;MID(B428,10,1),"x0x1x2x3x4x5x6x7x8x9"))),OR(AND(FIND(".",B428)=5,LEN(B428)-FIND(".",B428,FIND(".",B428)+1)&gt;=1,LEN(B428)-FIND(".",B428,FIND(".",B428)+1)&lt;=2),AND(LEN(B428)-FIND(".",B428,FIND(".",B428)+1)=4,FIND(".",B428)&gt;=2,FIND(".",B428)&lt;=3)),FIND(".",B428,FIND(".",B428)+1)-FIND(".",B428)&gt;=2,FIND(".",B428,FIND(".",B428)+1)-FIND(".",B428)&lt;=3,F428&gt;=2000,F428&lt;=2100,YEAR(I428)=F428,MONTH(I428)=G428,DAY(I428)=H428),I428,0)),0)</ns0:f>
        <ns0:v>0</ns0:v>
      </ns0:c>
      <ns0:c r="K428" s="0">
        <ns0:f>IFERROR(IF(ISNUMBER(Bookings!D428),"",TRIM(Bookings!D428&amp;"")),"")</ns0:f>
      </ns0:c>
      <ns0:c r="L428" s="0">
        <ns0:f>IFERROR(SUBSTITUTE(SUBSTITUTE(K428,"/","."),"-","."),"")</ns0:f>
      </ns0:c>
      <ns0:c r="M428" s="0">
        <ns0:f>IFERROR(LEFT(L428,FIND(".",L428)-1),"")</ns0:f>
      </ns0:c>
      <ns0:c r="N428" s="0">
        <ns0:f>IFERROR(MID(L428,FIND(".",L428)+1,FIND(".",L428,FIND(".",L428)+1)-FIND(".",L428)-1),"")</ns0:f>
      </ns0:c>
      <ns0:c r="O428" s="0">
        <ns0:f>IFERROR(MID(L428,FIND(".",L428,FIND(".",L428)+1)+1,99),"")</ns0:f>
        <ns0:v>99</ns0:v>
      </ns0:c>
      <ns0:c r="P428" s="0">
        <ns0:f>IFERROR(IF(FIND(".",L428)=5,--M428,--O428),0)</ns0:f>
        <ns0:v>0</ns0:v>
      </ns0:c>
      <ns0:c r="Q428" s="0">
        <ns0:f>IFERROR(--N428,0)</ns0:f>
        <ns0:v>0</ns0:v>
      </ns0:c>
      <ns0:c r="R428" s="0">
        <ns0:f>IFERROR(IF(FIND(".",L428)=5,--O428,--M428),0)</ns0:f>
        <ns0:v>0</ns0:v>
      </ns0:c>
      <ns0:c r="S428" s="0">
        <ns0:f>IFERROR(IF(AND(P428&gt;=2000,P428&lt;=2100,Q428&gt;=1,Q428&lt;=12,R428&gt;=1,R428&lt;=31),DATE(P428,Q428,R428),0),0)</ns0:f>
        <ns0:v>0</ns0:v>
      </ns0:c>
      <ns0:c r="T428" s="0">
        <ns0:f>IFERROR(IF(ISNUMBER(Bookings!D428),IF(AND(Bookings!D428=INT(Bookings!D428),Bookings!D428&gt;=DATE(2000,1,1),Bookings!D428&lt;=DATE(2100,12,31)),Bookings!D428,0),IF(AND(K428&lt;&gt;"",LEN("x"&amp;L428)-LEN(SUBSTITUTE("x"&amp;L428,".",""))=2,OR(1&gt;LEN(L428),MID(L428,1,1)=".",ISNUMBER(FIND("x"&amp;MID(L428,1,1),"x0x1x2x3x4x5x6x7x8x9"))),OR(2&gt;LEN(L428),MID(L428,2,1)=".",ISNUMBER(FIND("x"&amp;MID(L428,2,1),"x0x1x2x3x4x5x6x7x8x9"))),OR(3&gt;LEN(L428),MID(L428,3,1)=".",ISNUMBER(FIND("x"&amp;MID(L428,3,1),"x0x1x2x3x4x5x6x7x8x9"))),OR(4&gt;LEN(L428),MID(L428,4,1)=".",ISNUMBER(FIND("x"&amp;MID(L428,4,1),"x0x1x2x3x4x5x6x7x8x9"))),OR(5&gt;LEN(L428),MID(L428,5,1)=".",ISNUMBER(FIND("x"&amp;MID(L428,5,1),"x0x1x2x3x4x5x6x7x8x9"))),OR(6&gt;LEN(L428),MID(L428,6,1)=".",ISNUMBER(FIND("x"&amp;MID(L428,6,1),"x0x1x2x3x4x5x6x7x8x9"))),OR(7&gt;LEN(L428),MID(L428,7,1)=".",ISNUMBER(FIND("x"&amp;MID(L428,7,1),"x0x1x2x3x4x5x6x7x8x9"))),OR(8&gt;LEN(L428),MID(L428,8,1)=".",ISNUMBER(FIND("x"&amp;MID(L428,8,1),"x0x1x2x3x4x5x6x7x8x9"))),OR(9&gt;LEN(L428),MID(L428,9,1)=".",ISNUMBER(FIND("x"&amp;MID(L428,9,1),"x0x1x2x3x4x5x6x7x8x9"))),OR(10&gt;LEN(L428),MID(L428,10,1)=".",ISNUMBER(FIND("x"&amp;MID(L428,10,1),"x0x1x2x3x4x5x6x7x8x9"))),OR(AND(FIND(".",L428)=5,LEN(L428)-FIND(".",L428,FIND(".",L428)+1)&gt;=1,LEN(L428)-FIND(".",L428,FIND(".",L428)+1)&lt;=2),AND(LEN(L428)-FIND(".",L428,FIND(".",L428)+1)=4,FIND(".",L428)&gt;=2,FIND(".",L428)&lt;=3)),FIND(".",L428,FIND(".",L428)+1)-FIND(".",L428)&gt;=2,FIND(".",L428,FIND(".",L428)+1)-FIND(".",L428)&lt;=3,P428&gt;=2000,P428&lt;=2100,YEAR(S428)=P428,MONTH(S428)=Q428,DAY(S428)=R428),S428,0)),0)</ns0:f>
        <ns0:v>0</ns0:v>
      </ns0:c>
      <ns0:c r="U428" s="0" t="str">
        <ns0:f>IF(Bookings!C428="","Full day",Bookings!C428)</ns0:f>
        <ns0:v>Full day</ns0:v>
      </ns0:c>
      <ns0:c r="V428" s="0" t="str">
        <ns0:f>IF(Bookings!E428="","Full day",Bookings!E428)</ns0:f>
        <ns0:v>Full day</ns0:v>
      </ns0:c>
      <ns0:c r="W428" s="0">
        <ns0:f>IF(J428=0,0,J428+IF(U428="PM",1,0))</ns0:f>
        <ns0:v>0</ns0:v>
      </ns0:c>
      <ns0:c r="X428" s="0">
        <ns0:f>IF(T428=0,0,T428-IF(V428="PM",1,0))</ns0:f>
        <ns0:v>0</ns0:v>
      </ns0:c>
      <ns0:c r="Y428" s="0">
        <ns0:f>IF(J428=0,0,J428+IF(U428="AM",1,0))</ns0:f>
        <ns0:v>0</ns0:v>
      </ns0:c>
      <ns0:c r="Z428" s="0">
        <ns0:f>IF(T428=0,0,T428-IF(V428="AM",1,0))</ns0:f>
        <ns0:v>0</ns0:v>
      </ns0:c>
      <ns0:c r="AA428" s="0">
        <ns0:f>IFERROR(IF(AND(J428&gt;0,'_Engine'!C428&gt;0,MID('_Engine'!W428,WEEKDAY(J428,2),1)="W",COUNTIF(Settings!$F$18:$F$67,J428)=0),1,0),0)</ns0:f>
        <ns0:v>0</ns0:v>
      </ns0:c>
      <ns0:c r="AB428" s="0">
        <ns0:f>IFERROR(IF(AND(T428&gt;0,'_Engine'!C428&gt;0,MID('_Engine'!W428,WEEKDAY(T428,2),1)="W",COUNTIF(Settings!$F$18:$F$67,T428)=0),1,0),0)</ns0:f>
        <ns0:v>0</ns0:v>
      </ns0:c>
      <ns0:c r="AC428" s="0">
        <ns0:f>IF(AND(J428&gt;0,T428&gt;0,W428&lt;=X428),1,0)</ns0:f>
        <ns0:v>0</ns0:v>
      </ns0:c>
      <ns0:c r="AD428" s="0">
        <ns0:f>IF(AND(J428&gt;0,T428&gt;0,Y428&lt;=Z428),1,0)</ns0:f>
        <ns0:v>0</ns0:v>
      </ns0:c>
    </ns0:row>
    <ns0:row r="429">
      <ns0:c r="A429" s="0">
        <ns0:f>IFERROR(IF(ISNUMBER(Bookings!B429),"",TRIM(Bookings!B429&amp;"")),"")</ns0:f>
      </ns0:c>
      <ns0:c r="B429" s="0">
        <ns0:f>IFERROR(SUBSTITUTE(SUBSTITUTE(A429,"/","."),"-","."),"")</ns0:f>
      </ns0:c>
      <ns0:c r="C429" s="0">
        <ns0:f>IFERROR(LEFT(B429,FIND(".",B429)-1),"")</ns0:f>
      </ns0:c>
      <ns0:c r="D429" s="0">
        <ns0:f>IFERROR(MID(B429,FIND(".",B429)+1,FIND(".",B429,FIND(".",B429)+1)-FIND(".",B429)-1),"")</ns0:f>
      </ns0:c>
      <ns0:c r="E429" s="0">
        <ns0:f>IFERROR(MID(B429,FIND(".",B429,FIND(".",B429)+1)+1,99),"")</ns0:f>
        <ns0:v>99</ns0:v>
      </ns0:c>
      <ns0:c r="F429" s="0">
        <ns0:f>IFERROR(IF(FIND(".",B429)=5,--C429,--E429),0)</ns0:f>
        <ns0:v>0</ns0:v>
      </ns0:c>
      <ns0:c r="G429" s="0">
        <ns0:f>IFERROR(--D429,0)</ns0:f>
        <ns0:v>0</ns0:v>
      </ns0:c>
      <ns0:c r="H429" s="0">
        <ns0:f>IFERROR(IF(FIND(".",B429)=5,--E429,--C429),0)</ns0:f>
        <ns0:v>0</ns0:v>
      </ns0:c>
      <ns0:c r="I429" s="0">
        <ns0:f>IFERROR(IF(AND(F429&gt;=2000,F429&lt;=2100,G429&gt;=1,G429&lt;=12,H429&gt;=1,H429&lt;=31),DATE(F429,G429,H429),0),0)</ns0:f>
        <ns0:v>0</ns0:v>
      </ns0:c>
      <ns0:c r="J429" s="0">
        <ns0:f>IFERROR(IF(ISNUMBER(Bookings!B429),IF(AND(Bookings!B429=INT(Bookings!B429),Bookings!B429&gt;=DATE(2000,1,1),Bookings!B429&lt;=DATE(2100,12,31)),Bookings!B429,0),IF(AND(A429&lt;&gt;"",LEN("x"&amp;B429)-LEN(SUBSTITUTE("x"&amp;B429,".",""))=2,OR(1&gt;LEN(B429),MID(B429,1,1)=".",ISNUMBER(FIND("x"&amp;MID(B429,1,1),"x0x1x2x3x4x5x6x7x8x9"))),OR(2&gt;LEN(B429),MID(B429,2,1)=".",ISNUMBER(FIND("x"&amp;MID(B429,2,1),"x0x1x2x3x4x5x6x7x8x9"))),OR(3&gt;LEN(B429),MID(B429,3,1)=".",ISNUMBER(FIND("x"&amp;MID(B429,3,1),"x0x1x2x3x4x5x6x7x8x9"))),OR(4&gt;LEN(B429),MID(B429,4,1)=".",ISNUMBER(FIND("x"&amp;MID(B429,4,1),"x0x1x2x3x4x5x6x7x8x9"))),OR(5&gt;LEN(B429),MID(B429,5,1)=".",ISNUMBER(FIND("x"&amp;MID(B429,5,1),"x0x1x2x3x4x5x6x7x8x9"))),OR(6&gt;LEN(B429),MID(B429,6,1)=".",ISNUMBER(FIND("x"&amp;MID(B429,6,1),"x0x1x2x3x4x5x6x7x8x9"))),OR(7&gt;LEN(B429),MID(B429,7,1)=".",ISNUMBER(FIND("x"&amp;MID(B429,7,1),"x0x1x2x3x4x5x6x7x8x9"))),OR(8&gt;LEN(B429),MID(B429,8,1)=".",ISNUMBER(FIND("x"&amp;MID(B429,8,1),"x0x1x2x3x4x5x6x7x8x9"))),OR(9&gt;LEN(B429),MID(B429,9,1)=".",ISNUMBER(FIND("x"&amp;MID(B429,9,1),"x0x1x2x3x4x5x6x7x8x9"))),OR(10&gt;LEN(B429),MID(B429,10,1)=".",ISNUMBER(FIND("x"&amp;MID(B429,10,1),"x0x1x2x3x4x5x6x7x8x9"))),OR(AND(FIND(".",B429)=5,LEN(B429)-FIND(".",B429,FIND(".",B429)+1)&gt;=1,LEN(B429)-FIND(".",B429,FIND(".",B429)+1)&lt;=2),AND(LEN(B429)-FIND(".",B429,FIND(".",B429)+1)=4,FIND(".",B429)&gt;=2,FIND(".",B429)&lt;=3)),FIND(".",B429,FIND(".",B429)+1)-FIND(".",B429)&gt;=2,FIND(".",B429,FIND(".",B429)+1)-FIND(".",B429)&lt;=3,F429&gt;=2000,F429&lt;=2100,YEAR(I429)=F429,MONTH(I429)=G429,DAY(I429)=H429),I429,0)),0)</ns0:f>
        <ns0:v>0</ns0:v>
      </ns0:c>
      <ns0:c r="K429" s="0">
        <ns0:f>IFERROR(IF(ISNUMBER(Bookings!D429),"",TRIM(Bookings!D429&amp;"")),"")</ns0:f>
      </ns0:c>
      <ns0:c r="L429" s="0">
        <ns0:f>IFERROR(SUBSTITUTE(SUBSTITUTE(K429,"/","."),"-","."),"")</ns0:f>
      </ns0:c>
      <ns0:c r="M429" s="0">
        <ns0:f>IFERROR(LEFT(L429,FIND(".",L429)-1),"")</ns0:f>
      </ns0:c>
      <ns0:c r="N429" s="0">
        <ns0:f>IFERROR(MID(L429,FIND(".",L429)+1,FIND(".",L429,FIND(".",L429)+1)-FIND(".",L429)-1),"")</ns0:f>
      </ns0:c>
      <ns0:c r="O429" s="0">
        <ns0:f>IFERROR(MID(L429,FIND(".",L429,FIND(".",L429)+1)+1,99),"")</ns0:f>
        <ns0:v>99</ns0:v>
      </ns0:c>
      <ns0:c r="P429" s="0">
        <ns0:f>IFERROR(IF(FIND(".",L429)=5,--M429,--O429),0)</ns0:f>
        <ns0:v>0</ns0:v>
      </ns0:c>
      <ns0:c r="Q429" s="0">
        <ns0:f>IFERROR(--N429,0)</ns0:f>
        <ns0:v>0</ns0:v>
      </ns0:c>
      <ns0:c r="R429" s="0">
        <ns0:f>IFERROR(IF(FIND(".",L429)=5,--O429,--M429),0)</ns0:f>
        <ns0:v>0</ns0:v>
      </ns0:c>
      <ns0:c r="S429" s="0">
        <ns0:f>IFERROR(IF(AND(P429&gt;=2000,P429&lt;=2100,Q429&gt;=1,Q429&lt;=12,R429&gt;=1,R429&lt;=31),DATE(P429,Q429,R429),0),0)</ns0:f>
        <ns0:v>0</ns0:v>
      </ns0:c>
      <ns0:c r="T429" s="0">
        <ns0:f>IFERROR(IF(ISNUMBER(Bookings!D429),IF(AND(Bookings!D429=INT(Bookings!D429),Bookings!D429&gt;=DATE(2000,1,1),Bookings!D429&lt;=DATE(2100,12,31)),Bookings!D429,0),IF(AND(K429&lt;&gt;"",LEN("x"&amp;L429)-LEN(SUBSTITUTE("x"&amp;L429,".",""))=2,OR(1&gt;LEN(L429),MID(L429,1,1)=".",ISNUMBER(FIND("x"&amp;MID(L429,1,1),"x0x1x2x3x4x5x6x7x8x9"))),OR(2&gt;LEN(L429),MID(L429,2,1)=".",ISNUMBER(FIND("x"&amp;MID(L429,2,1),"x0x1x2x3x4x5x6x7x8x9"))),OR(3&gt;LEN(L429),MID(L429,3,1)=".",ISNUMBER(FIND("x"&amp;MID(L429,3,1),"x0x1x2x3x4x5x6x7x8x9"))),OR(4&gt;LEN(L429),MID(L429,4,1)=".",ISNUMBER(FIND("x"&amp;MID(L429,4,1),"x0x1x2x3x4x5x6x7x8x9"))),OR(5&gt;LEN(L429),MID(L429,5,1)=".",ISNUMBER(FIND("x"&amp;MID(L429,5,1),"x0x1x2x3x4x5x6x7x8x9"))),OR(6&gt;LEN(L429),MID(L429,6,1)=".",ISNUMBER(FIND("x"&amp;MID(L429,6,1),"x0x1x2x3x4x5x6x7x8x9"))),OR(7&gt;LEN(L429),MID(L429,7,1)=".",ISNUMBER(FIND("x"&amp;MID(L429,7,1),"x0x1x2x3x4x5x6x7x8x9"))),OR(8&gt;LEN(L429),MID(L429,8,1)=".",ISNUMBER(FIND("x"&amp;MID(L429,8,1),"x0x1x2x3x4x5x6x7x8x9"))),OR(9&gt;LEN(L429),MID(L429,9,1)=".",ISNUMBER(FIND("x"&amp;MID(L429,9,1),"x0x1x2x3x4x5x6x7x8x9"))),OR(10&gt;LEN(L429),MID(L429,10,1)=".",ISNUMBER(FIND("x"&amp;MID(L429,10,1),"x0x1x2x3x4x5x6x7x8x9"))),OR(AND(FIND(".",L429)=5,LEN(L429)-FIND(".",L429,FIND(".",L429)+1)&gt;=1,LEN(L429)-FIND(".",L429,FIND(".",L429)+1)&lt;=2),AND(LEN(L429)-FIND(".",L429,FIND(".",L429)+1)=4,FIND(".",L429)&gt;=2,FIND(".",L429)&lt;=3)),FIND(".",L429,FIND(".",L429)+1)-FIND(".",L429)&gt;=2,FIND(".",L429,FIND(".",L429)+1)-FIND(".",L429)&lt;=3,P429&gt;=2000,P429&lt;=2100,YEAR(S429)=P429,MONTH(S429)=Q429,DAY(S429)=R429),S429,0)),0)</ns0:f>
        <ns0:v>0</ns0:v>
      </ns0:c>
      <ns0:c r="U429" s="0" t="str">
        <ns0:f>IF(Bookings!C429="","Full day",Bookings!C429)</ns0:f>
        <ns0:v>Full day</ns0:v>
      </ns0:c>
      <ns0:c r="V429" s="0" t="str">
        <ns0:f>IF(Bookings!E429="","Full day",Bookings!E429)</ns0:f>
        <ns0:v>Full day</ns0:v>
      </ns0:c>
      <ns0:c r="W429" s="0">
        <ns0:f>IF(J429=0,0,J429+IF(U429="PM",1,0))</ns0:f>
        <ns0:v>0</ns0:v>
      </ns0:c>
      <ns0:c r="X429" s="0">
        <ns0:f>IF(T429=0,0,T429-IF(V429="PM",1,0))</ns0:f>
        <ns0:v>0</ns0:v>
      </ns0:c>
      <ns0:c r="Y429" s="0">
        <ns0:f>IF(J429=0,0,J429+IF(U429="AM",1,0))</ns0:f>
        <ns0:v>0</ns0:v>
      </ns0:c>
      <ns0:c r="Z429" s="0">
        <ns0:f>IF(T429=0,0,T429-IF(V429="AM",1,0))</ns0:f>
        <ns0:v>0</ns0:v>
      </ns0:c>
      <ns0:c r="AA429" s="0">
        <ns0:f>IFERROR(IF(AND(J429&gt;0,'_Engine'!C429&gt;0,MID('_Engine'!W429,WEEKDAY(J429,2),1)="W",COUNTIF(Settings!$F$18:$F$67,J429)=0),1,0),0)</ns0:f>
        <ns0:v>0</ns0:v>
      </ns0:c>
      <ns0:c r="AB429" s="0">
        <ns0:f>IFERROR(IF(AND(T429&gt;0,'_Engine'!C429&gt;0,MID('_Engine'!W429,WEEKDAY(T429,2),1)="W",COUNTIF(Settings!$F$18:$F$67,T429)=0),1,0),0)</ns0:f>
        <ns0:v>0</ns0:v>
      </ns0:c>
      <ns0:c r="AC429" s="0">
        <ns0:f>IF(AND(J429&gt;0,T429&gt;0,W429&lt;=X429),1,0)</ns0:f>
        <ns0:v>0</ns0:v>
      </ns0:c>
      <ns0:c r="AD429" s="0">
        <ns0:f>IF(AND(J429&gt;0,T429&gt;0,Y429&lt;=Z429),1,0)</ns0:f>
        <ns0:v>0</ns0:v>
      </ns0:c>
    </ns0:row>
    <ns0:row r="430">
      <ns0:c r="A430" s="0">
        <ns0:f>IFERROR(IF(ISNUMBER(Bookings!B430),"",TRIM(Bookings!B430&amp;"")),"")</ns0:f>
      </ns0:c>
      <ns0:c r="B430" s="0">
        <ns0:f>IFERROR(SUBSTITUTE(SUBSTITUTE(A430,"/","."),"-","."),"")</ns0:f>
      </ns0:c>
      <ns0:c r="C430" s="0">
        <ns0:f>IFERROR(LEFT(B430,FIND(".",B430)-1),"")</ns0:f>
      </ns0:c>
      <ns0:c r="D430" s="0">
        <ns0:f>IFERROR(MID(B430,FIND(".",B430)+1,FIND(".",B430,FIND(".",B430)+1)-FIND(".",B430)-1),"")</ns0:f>
      </ns0:c>
      <ns0:c r="E430" s="0">
        <ns0:f>IFERROR(MID(B430,FIND(".",B430,FIND(".",B430)+1)+1,99),"")</ns0:f>
        <ns0:v>99</ns0:v>
      </ns0:c>
      <ns0:c r="F430" s="0">
        <ns0:f>IFERROR(IF(FIND(".",B430)=5,--C430,--E430),0)</ns0:f>
        <ns0:v>0</ns0:v>
      </ns0:c>
      <ns0:c r="G430" s="0">
        <ns0:f>IFERROR(--D430,0)</ns0:f>
        <ns0:v>0</ns0:v>
      </ns0:c>
      <ns0:c r="H430" s="0">
        <ns0:f>IFERROR(IF(FIND(".",B430)=5,--E430,--C430),0)</ns0:f>
        <ns0:v>0</ns0:v>
      </ns0:c>
      <ns0:c r="I430" s="0">
        <ns0:f>IFERROR(IF(AND(F430&gt;=2000,F430&lt;=2100,G430&gt;=1,G430&lt;=12,H430&gt;=1,H430&lt;=31),DATE(F430,G430,H430),0),0)</ns0:f>
        <ns0:v>0</ns0:v>
      </ns0:c>
      <ns0:c r="J430" s="0">
        <ns0:f>IFERROR(IF(ISNUMBER(Bookings!B430),IF(AND(Bookings!B430=INT(Bookings!B430),Bookings!B430&gt;=DATE(2000,1,1),Bookings!B430&lt;=DATE(2100,12,31)),Bookings!B430,0),IF(AND(A430&lt;&gt;"",LEN("x"&amp;B430)-LEN(SUBSTITUTE("x"&amp;B430,".",""))=2,OR(1&gt;LEN(B430),MID(B430,1,1)=".",ISNUMBER(FIND("x"&amp;MID(B430,1,1),"x0x1x2x3x4x5x6x7x8x9"))),OR(2&gt;LEN(B430),MID(B430,2,1)=".",ISNUMBER(FIND("x"&amp;MID(B430,2,1),"x0x1x2x3x4x5x6x7x8x9"))),OR(3&gt;LEN(B430),MID(B430,3,1)=".",ISNUMBER(FIND("x"&amp;MID(B430,3,1),"x0x1x2x3x4x5x6x7x8x9"))),OR(4&gt;LEN(B430),MID(B430,4,1)=".",ISNUMBER(FIND("x"&amp;MID(B430,4,1),"x0x1x2x3x4x5x6x7x8x9"))),OR(5&gt;LEN(B430),MID(B430,5,1)=".",ISNUMBER(FIND("x"&amp;MID(B430,5,1),"x0x1x2x3x4x5x6x7x8x9"))),OR(6&gt;LEN(B430),MID(B430,6,1)=".",ISNUMBER(FIND("x"&amp;MID(B430,6,1),"x0x1x2x3x4x5x6x7x8x9"))),OR(7&gt;LEN(B430),MID(B430,7,1)=".",ISNUMBER(FIND("x"&amp;MID(B430,7,1),"x0x1x2x3x4x5x6x7x8x9"))),OR(8&gt;LEN(B430),MID(B430,8,1)=".",ISNUMBER(FIND("x"&amp;MID(B430,8,1),"x0x1x2x3x4x5x6x7x8x9"))),OR(9&gt;LEN(B430),MID(B430,9,1)=".",ISNUMBER(FIND("x"&amp;MID(B430,9,1),"x0x1x2x3x4x5x6x7x8x9"))),OR(10&gt;LEN(B430),MID(B430,10,1)=".",ISNUMBER(FIND("x"&amp;MID(B430,10,1),"x0x1x2x3x4x5x6x7x8x9"))),OR(AND(FIND(".",B430)=5,LEN(B430)-FIND(".",B430,FIND(".",B430)+1)&gt;=1,LEN(B430)-FIND(".",B430,FIND(".",B430)+1)&lt;=2),AND(LEN(B430)-FIND(".",B430,FIND(".",B430)+1)=4,FIND(".",B430)&gt;=2,FIND(".",B430)&lt;=3)),FIND(".",B430,FIND(".",B430)+1)-FIND(".",B430)&gt;=2,FIND(".",B430,FIND(".",B430)+1)-FIND(".",B430)&lt;=3,F430&gt;=2000,F430&lt;=2100,YEAR(I430)=F430,MONTH(I430)=G430,DAY(I430)=H430),I430,0)),0)</ns0:f>
        <ns0:v>0</ns0:v>
      </ns0:c>
      <ns0:c r="K430" s="0">
        <ns0:f>IFERROR(IF(ISNUMBER(Bookings!D430),"",TRIM(Bookings!D430&amp;"")),"")</ns0:f>
      </ns0:c>
      <ns0:c r="L430" s="0">
        <ns0:f>IFERROR(SUBSTITUTE(SUBSTITUTE(K430,"/","."),"-","."),"")</ns0:f>
      </ns0:c>
      <ns0:c r="M430" s="0">
        <ns0:f>IFERROR(LEFT(L430,FIND(".",L430)-1),"")</ns0:f>
      </ns0:c>
      <ns0:c r="N430" s="0">
        <ns0:f>IFERROR(MID(L430,FIND(".",L430)+1,FIND(".",L430,FIND(".",L430)+1)-FIND(".",L430)-1),"")</ns0:f>
      </ns0:c>
      <ns0:c r="O430" s="0">
        <ns0:f>IFERROR(MID(L430,FIND(".",L430,FIND(".",L430)+1)+1,99),"")</ns0:f>
        <ns0:v>99</ns0:v>
      </ns0:c>
      <ns0:c r="P430" s="0">
        <ns0:f>IFERROR(IF(FIND(".",L430)=5,--M430,--O430),0)</ns0:f>
        <ns0:v>0</ns0:v>
      </ns0:c>
      <ns0:c r="Q430" s="0">
        <ns0:f>IFERROR(--N430,0)</ns0:f>
        <ns0:v>0</ns0:v>
      </ns0:c>
      <ns0:c r="R430" s="0">
        <ns0:f>IFERROR(IF(FIND(".",L430)=5,--O430,--M430),0)</ns0:f>
        <ns0:v>0</ns0:v>
      </ns0:c>
      <ns0:c r="S430" s="0">
        <ns0:f>IFERROR(IF(AND(P430&gt;=2000,P430&lt;=2100,Q430&gt;=1,Q430&lt;=12,R430&gt;=1,R430&lt;=31),DATE(P430,Q430,R430),0),0)</ns0:f>
        <ns0:v>0</ns0:v>
      </ns0:c>
      <ns0:c r="T430" s="0">
        <ns0:f>IFERROR(IF(ISNUMBER(Bookings!D430),IF(AND(Bookings!D430=INT(Bookings!D430),Bookings!D430&gt;=DATE(2000,1,1),Bookings!D430&lt;=DATE(2100,12,31)),Bookings!D430,0),IF(AND(K430&lt;&gt;"",LEN("x"&amp;L430)-LEN(SUBSTITUTE("x"&amp;L430,".",""))=2,OR(1&gt;LEN(L430),MID(L430,1,1)=".",ISNUMBER(FIND("x"&amp;MID(L430,1,1),"x0x1x2x3x4x5x6x7x8x9"))),OR(2&gt;LEN(L430),MID(L430,2,1)=".",ISNUMBER(FIND("x"&amp;MID(L430,2,1),"x0x1x2x3x4x5x6x7x8x9"))),OR(3&gt;LEN(L430),MID(L430,3,1)=".",ISNUMBER(FIND("x"&amp;MID(L430,3,1),"x0x1x2x3x4x5x6x7x8x9"))),OR(4&gt;LEN(L430),MID(L430,4,1)=".",ISNUMBER(FIND("x"&amp;MID(L430,4,1),"x0x1x2x3x4x5x6x7x8x9"))),OR(5&gt;LEN(L430),MID(L430,5,1)=".",ISNUMBER(FIND("x"&amp;MID(L430,5,1),"x0x1x2x3x4x5x6x7x8x9"))),OR(6&gt;LEN(L430),MID(L430,6,1)=".",ISNUMBER(FIND("x"&amp;MID(L430,6,1),"x0x1x2x3x4x5x6x7x8x9"))),OR(7&gt;LEN(L430),MID(L430,7,1)=".",ISNUMBER(FIND("x"&amp;MID(L430,7,1),"x0x1x2x3x4x5x6x7x8x9"))),OR(8&gt;LEN(L430),MID(L430,8,1)=".",ISNUMBER(FIND("x"&amp;MID(L430,8,1),"x0x1x2x3x4x5x6x7x8x9"))),OR(9&gt;LEN(L430),MID(L430,9,1)=".",ISNUMBER(FIND("x"&amp;MID(L430,9,1),"x0x1x2x3x4x5x6x7x8x9"))),OR(10&gt;LEN(L430),MID(L430,10,1)=".",ISNUMBER(FIND("x"&amp;MID(L430,10,1),"x0x1x2x3x4x5x6x7x8x9"))),OR(AND(FIND(".",L430)=5,LEN(L430)-FIND(".",L430,FIND(".",L430)+1)&gt;=1,LEN(L430)-FIND(".",L430,FIND(".",L430)+1)&lt;=2),AND(LEN(L430)-FIND(".",L430,FIND(".",L430)+1)=4,FIND(".",L430)&gt;=2,FIND(".",L430)&lt;=3)),FIND(".",L430,FIND(".",L430)+1)-FIND(".",L430)&gt;=2,FIND(".",L430,FIND(".",L430)+1)-FIND(".",L430)&lt;=3,P430&gt;=2000,P430&lt;=2100,YEAR(S430)=P430,MONTH(S430)=Q430,DAY(S430)=R430),S430,0)),0)</ns0:f>
        <ns0:v>0</ns0:v>
      </ns0:c>
      <ns0:c r="U430" s="0" t="str">
        <ns0:f>IF(Bookings!C430="","Full day",Bookings!C430)</ns0:f>
        <ns0:v>Full day</ns0:v>
      </ns0:c>
      <ns0:c r="V430" s="0" t="str">
        <ns0:f>IF(Bookings!E430="","Full day",Bookings!E430)</ns0:f>
        <ns0:v>Full day</ns0:v>
      </ns0:c>
      <ns0:c r="W430" s="0">
        <ns0:f>IF(J430=0,0,J430+IF(U430="PM",1,0))</ns0:f>
        <ns0:v>0</ns0:v>
      </ns0:c>
      <ns0:c r="X430" s="0">
        <ns0:f>IF(T430=0,0,T430-IF(V430="PM",1,0))</ns0:f>
        <ns0:v>0</ns0:v>
      </ns0:c>
      <ns0:c r="Y430" s="0">
        <ns0:f>IF(J430=0,0,J430+IF(U430="AM",1,0))</ns0:f>
        <ns0:v>0</ns0:v>
      </ns0:c>
      <ns0:c r="Z430" s="0">
        <ns0:f>IF(T430=0,0,T430-IF(V430="AM",1,0))</ns0:f>
        <ns0:v>0</ns0:v>
      </ns0:c>
      <ns0:c r="AA430" s="0">
        <ns0:f>IFERROR(IF(AND(J430&gt;0,'_Engine'!C430&gt;0,MID('_Engine'!W430,WEEKDAY(J430,2),1)="W",COUNTIF(Settings!$F$18:$F$67,J430)=0),1,0),0)</ns0:f>
        <ns0:v>0</ns0:v>
      </ns0:c>
      <ns0:c r="AB430" s="0">
        <ns0:f>IFERROR(IF(AND(T430&gt;0,'_Engine'!C430&gt;0,MID('_Engine'!W430,WEEKDAY(T430,2),1)="W",COUNTIF(Settings!$F$18:$F$67,T430)=0),1,0),0)</ns0:f>
        <ns0:v>0</ns0:v>
      </ns0:c>
      <ns0:c r="AC430" s="0">
        <ns0:f>IF(AND(J430&gt;0,T430&gt;0,W430&lt;=X430),1,0)</ns0:f>
        <ns0:v>0</ns0:v>
      </ns0:c>
      <ns0:c r="AD430" s="0">
        <ns0:f>IF(AND(J430&gt;0,T430&gt;0,Y430&lt;=Z430),1,0)</ns0:f>
        <ns0:v>0</ns0:v>
      </ns0:c>
    </ns0:row>
    <ns0:row r="431">
      <ns0:c r="A431" s="0">
        <ns0:f>IFERROR(IF(ISNUMBER(Bookings!B431),"",TRIM(Bookings!B431&amp;"")),"")</ns0:f>
      </ns0:c>
      <ns0:c r="B431" s="0">
        <ns0:f>IFERROR(SUBSTITUTE(SUBSTITUTE(A431,"/","."),"-","."),"")</ns0:f>
      </ns0:c>
      <ns0:c r="C431" s="0">
        <ns0:f>IFERROR(LEFT(B431,FIND(".",B431)-1),"")</ns0:f>
      </ns0:c>
      <ns0:c r="D431" s="0">
        <ns0:f>IFERROR(MID(B431,FIND(".",B431)+1,FIND(".",B431,FIND(".",B431)+1)-FIND(".",B431)-1),"")</ns0:f>
      </ns0:c>
      <ns0:c r="E431" s="0">
        <ns0:f>IFERROR(MID(B431,FIND(".",B431,FIND(".",B431)+1)+1,99),"")</ns0:f>
        <ns0:v>99</ns0:v>
      </ns0:c>
      <ns0:c r="F431" s="0">
        <ns0:f>IFERROR(IF(FIND(".",B431)=5,--C431,--E431),0)</ns0:f>
        <ns0:v>0</ns0:v>
      </ns0:c>
      <ns0:c r="G431" s="0">
        <ns0:f>IFERROR(--D431,0)</ns0:f>
        <ns0:v>0</ns0:v>
      </ns0:c>
      <ns0:c r="H431" s="0">
        <ns0:f>IFERROR(IF(FIND(".",B431)=5,--E431,--C431),0)</ns0:f>
        <ns0:v>0</ns0:v>
      </ns0:c>
      <ns0:c r="I431" s="0">
        <ns0:f>IFERROR(IF(AND(F431&gt;=2000,F431&lt;=2100,G431&gt;=1,G431&lt;=12,H431&gt;=1,H431&lt;=31),DATE(F431,G431,H431),0),0)</ns0:f>
        <ns0:v>0</ns0:v>
      </ns0:c>
      <ns0:c r="J431" s="0">
        <ns0:f>IFERROR(IF(ISNUMBER(Bookings!B431),IF(AND(Bookings!B431=INT(Bookings!B431),Bookings!B431&gt;=DATE(2000,1,1),Bookings!B431&lt;=DATE(2100,12,31)),Bookings!B431,0),IF(AND(A431&lt;&gt;"",LEN("x"&amp;B431)-LEN(SUBSTITUTE("x"&amp;B431,".",""))=2,OR(1&gt;LEN(B431),MID(B431,1,1)=".",ISNUMBER(FIND("x"&amp;MID(B431,1,1),"x0x1x2x3x4x5x6x7x8x9"))),OR(2&gt;LEN(B431),MID(B431,2,1)=".",ISNUMBER(FIND("x"&amp;MID(B431,2,1),"x0x1x2x3x4x5x6x7x8x9"))),OR(3&gt;LEN(B431),MID(B431,3,1)=".",ISNUMBER(FIND("x"&amp;MID(B431,3,1),"x0x1x2x3x4x5x6x7x8x9"))),OR(4&gt;LEN(B431),MID(B431,4,1)=".",ISNUMBER(FIND("x"&amp;MID(B431,4,1),"x0x1x2x3x4x5x6x7x8x9"))),OR(5&gt;LEN(B431),MID(B431,5,1)=".",ISNUMBER(FIND("x"&amp;MID(B431,5,1),"x0x1x2x3x4x5x6x7x8x9"))),OR(6&gt;LEN(B431),MID(B431,6,1)=".",ISNUMBER(FIND("x"&amp;MID(B431,6,1),"x0x1x2x3x4x5x6x7x8x9"))),OR(7&gt;LEN(B431),MID(B431,7,1)=".",ISNUMBER(FIND("x"&amp;MID(B431,7,1),"x0x1x2x3x4x5x6x7x8x9"))),OR(8&gt;LEN(B431),MID(B431,8,1)=".",ISNUMBER(FIND("x"&amp;MID(B431,8,1),"x0x1x2x3x4x5x6x7x8x9"))),OR(9&gt;LEN(B431),MID(B431,9,1)=".",ISNUMBER(FIND("x"&amp;MID(B431,9,1),"x0x1x2x3x4x5x6x7x8x9"))),OR(10&gt;LEN(B431),MID(B431,10,1)=".",ISNUMBER(FIND("x"&amp;MID(B431,10,1),"x0x1x2x3x4x5x6x7x8x9"))),OR(AND(FIND(".",B431)=5,LEN(B431)-FIND(".",B431,FIND(".",B431)+1)&gt;=1,LEN(B431)-FIND(".",B431,FIND(".",B431)+1)&lt;=2),AND(LEN(B431)-FIND(".",B431,FIND(".",B431)+1)=4,FIND(".",B431)&gt;=2,FIND(".",B431)&lt;=3)),FIND(".",B431,FIND(".",B431)+1)-FIND(".",B431)&gt;=2,FIND(".",B431,FIND(".",B431)+1)-FIND(".",B431)&lt;=3,F431&gt;=2000,F431&lt;=2100,YEAR(I431)=F431,MONTH(I431)=G431,DAY(I431)=H431),I431,0)),0)</ns0:f>
        <ns0:v>0</ns0:v>
      </ns0:c>
      <ns0:c r="K431" s="0">
        <ns0:f>IFERROR(IF(ISNUMBER(Bookings!D431),"",TRIM(Bookings!D431&amp;"")),"")</ns0:f>
      </ns0:c>
      <ns0:c r="L431" s="0">
        <ns0:f>IFERROR(SUBSTITUTE(SUBSTITUTE(K431,"/","."),"-","."),"")</ns0:f>
      </ns0:c>
      <ns0:c r="M431" s="0">
        <ns0:f>IFERROR(LEFT(L431,FIND(".",L431)-1),"")</ns0:f>
      </ns0:c>
      <ns0:c r="N431" s="0">
        <ns0:f>IFERROR(MID(L431,FIND(".",L431)+1,FIND(".",L431,FIND(".",L431)+1)-FIND(".",L431)-1),"")</ns0:f>
      </ns0:c>
      <ns0:c r="O431" s="0">
        <ns0:f>IFERROR(MID(L431,FIND(".",L431,FIND(".",L431)+1)+1,99),"")</ns0:f>
        <ns0:v>99</ns0:v>
      </ns0:c>
      <ns0:c r="P431" s="0">
        <ns0:f>IFERROR(IF(FIND(".",L431)=5,--M431,--O431),0)</ns0:f>
        <ns0:v>0</ns0:v>
      </ns0:c>
      <ns0:c r="Q431" s="0">
        <ns0:f>IFERROR(--N431,0)</ns0:f>
        <ns0:v>0</ns0:v>
      </ns0:c>
      <ns0:c r="R431" s="0">
        <ns0:f>IFERROR(IF(FIND(".",L431)=5,--O431,--M431),0)</ns0:f>
        <ns0:v>0</ns0:v>
      </ns0:c>
      <ns0:c r="S431" s="0">
        <ns0:f>IFERROR(IF(AND(P431&gt;=2000,P431&lt;=2100,Q431&gt;=1,Q431&lt;=12,R431&gt;=1,R431&lt;=31),DATE(P431,Q431,R431),0),0)</ns0:f>
        <ns0:v>0</ns0:v>
      </ns0:c>
      <ns0:c r="T431" s="0">
        <ns0:f>IFERROR(IF(ISNUMBER(Bookings!D431),IF(AND(Bookings!D431=INT(Bookings!D431),Bookings!D431&gt;=DATE(2000,1,1),Bookings!D431&lt;=DATE(2100,12,31)),Bookings!D431,0),IF(AND(K431&lt;&gt;"",LEN("x"&amp;L431)-LEN(SUBSTITUTE("x"&amp;L431,".",""))=2,OR(1&gt;LEN(L431),MID(L431,1,1)=".",ISNUMBER(FIND("x"&amp;MID(L431,1,1),"x0x1x2x3x4x5x6x7x8x9"))),OR(2&gt;LEN(L431),MID(L431,2,1)=".",ISNUMBER(FIND("x"&amp;MID(L431,2,1),"x0x1x2x3x4x5x6x7x8x9"))),OR(3&gt;LEN(L431),MID(L431,3,1)=".",ISNUMBER(FIND("x"&amp;MID(L431,3,1),"x0x1x2x3x4x5x6x7x8x9"))),OR(4&gt;LEN(L431),MID(L431,4,1)=".",ISNUMBER(FIND("x"&amp;MID(L431,4,1),"x0x1x2x3x4x5x6x7x8x9"))),OR(5&gt;LEN(L431),MID(L431,5,1)=".",ISNUMBER(FIND("x"&amp;MID(L431,5,1),"x0x1x2x3x4x5x6x7x8x9"))),OR(6&gt;LEN(L431),MID(L431,6,1)=".",ISNUMBER(FIND("x"&amp;MID(L431,6,1),"x0x1x2x3x4x5x6x7x8x9"))),OR(7&gt;LEN(L431),MID(L431,7,1)=".",ISNUMBER(FIND("x"&amp;MID(L431,7,1),"x0x1x2x3x4x5x6x7x8x9"))),OR(8&gt;LEN(L431),MID(L431,8,1)=".",ISNUMBER(FIND("x"&amp;MID(L431,8,1),"x0x1x2x3x4x5x6x7x8x9"))),OR(9&gt;LEN(L431),MID(L431,9,1)=".",ISNUMBER(FIND("x"&amp;MID(L431,9,1),"x0x1x2x3x4x5x6x7x8x9"))),OR(10&gt;LEN(L431),MID(L431,10,1)=".",ISNUMBER(FIND("x"&amp;MID(L431,10,1),"x0x1x2x3x4x5x6x7x8x9"))),OR(AND(FIND(".",L431)=5,LEN(L431)-FIND(".",L431,FIND(".",L431)+1)&gt;=1,LEN(L431)-FIND(".",L431,FIND(".",L431)+1)&lt;=2),AND(LEN(L431)-FIND(".",L431,FIND(".",L431)+1)=4,FIND(".",L431)&gt;=2,FIND(".",L431)&lt;=3)),FIND(".",L431,FIND(".",L431)+1)-FIND(".",L431)&gt;=2,FIND(".",L431,FIND(".",L431)+1)-FIND(".",L431)&lt;=3,P431&gt;=2000,P431&lt;=2100,YEAR(S431)=P431,MONTH(S431)=Q431,DAY(S431)=R431),S431,0)),0)</ns0:f>
        <ns0:v>0</ns0:v>
      </ns0:c>
      <ns0:c r="U431" s="0" t="str">
        <ns0:f>IF(Bookings!C431="","Full day",Bookings!C431)</ns0:f>
        <ns0:v>Full day</ns0:v>
      </ns0:c>
      <ns0:c r="V431" s="0" t="str">
        <ns0:f>IF(Bookings!E431="","Full day",Bookings!E431)</ns0:f>
        <ns0:v>Full day</ns0:v>
      </ns0:c>
      <ns0:c r="W431" s="0">
        <ns0:f>IF(J431=0,0,J431+IF(U431="PM",1,0))</ns0:f>
        <ns0:v>0</ns0:v>
      </ns0:c>
      <ns0:c r="X431" s="0">
        <ns0:f>IF(T431=0,0,T431-IF(V431="PM",1,0))</ns0:f>
        <ns0:v>0</ns0:v>
      </ns0:c>
      <ns0:c r="Y431" s="0">
        <ns0:f>IF(J431=0,0,J431+IF(U431="AM",1,0))</ns0:f>
        <ns0:v>0</ns0:v>
      </ns0:c>
      <ns0:c r="Z431" s="0">
        <ns0:f>IF(T431=0,0,T431-IF(V431="AM",1,0))</ns0:f>
        <ns0:v>0</ns0:v>
      </ns0:c>
      <ns0:c r="AA431" s="0">
        <ns0:f>IFERROR(IF(AND(J431&gt;0,'_Engine'!C431&gt;0,MID('_Engine'!W431,WEEKDAY(J431,2),1)="W",COUNTIF(Settings!$F$18:$F$67,J431)=0),1,0),0)</ns0:f>
        <ns0:v>0</ns0:v>
      </ns0:c>
      <ns0:c r="AB431" s="0">
        <ns0:f>IFERROR(IF(AND(T431&gt;0,'_Engine'!C431&gt;0,MID('_Engine'!W431,WEEKDAY(T431,2),1)="W",COUNTIF(Settings!$F$18:$F$67,T431)=0),1,0),0)</ns0:f>
        <ns0:v>0</ns0:v>
      </ns0:c>
      <ns0:c r="AC431" s="0">
        <ns0:f>IF(AND(J431&gt;0,T431&gt;0,W431&lt;=X431),1,0)</ns0:f>
        <ns0:v>0</ns0:v>
      </ns0:c>
      <ns0:c r="AD431" s="0">
        <ns0:f>IF(AND(J431&gt;0,T431&gt;0,Y431&lt;=Z431),1,0)</ns0:f>
        <ns0:v>0</ns0:v>
      </ns0:c>
    </ns0:row>
    <ns0:row r="432">
      <ns0:c r="A432" s="0">
        <ns0:f>IFERROR(IF(ISNUMBER(Bookings!B432),"",TRIM(Bookings!B432&amp;"")),"")</ns0:f>
      </ns0:c>
      <ns0:c r="B432" s="0">
        <ns0:f>IFERROR(SUBSTITUTE(SUBSTITUTE(A432,"/","."),"-","."),"")</ns0:f>
      </ns0:c>
      <ns0:c r="C432" s="0">
        <ns0:f>IFERROR(LEFT(B432,FIND(".",B432)-1),"")</ns0:f>
      </ns0:c>
      <ns0:c r="D432" s="0">
        <ns0:f>IFERROR(MID(B432,FIND(".",B432)+1,FIND(".",B432,FIND(".",B432)+1)-FIND(".",B432)-1),"")</ns0:f>
      </ns0:c>
      <ns0:c r="E432" s="0">
        <ns0:f>IFERROR(MID(B432,FIND(".",B432,FIND(".",B432)+1)+1,99),"")</ns0:f>
        <ns0:v>99</ns0:v>
      </ns0:c>
      <ns0:c r="F432" s="0">
        <ns0:f>IFERROR(IF(FIND(".",B432)=5,--C432,--E432),0)</ns0:f>
        <ns0:v>0</ns0:v>
      </ns0:c>
      <ns0:c r="G432" s="0">
        <ns0:f>IFERROR(--D432,0)</ns0:f>
        <ns0:v>0</ns0:v>
      </ns0:c>
      <ns0:c r="H432" s="0">
        <ns0:f>IFERROR(IF(FIND(".",B432)=5,--E432,--C432),0)</ns0:f>
        <ns0:v>0</ns0:v>
      </ns0:c>
      <ns0:c r="I432" s="0">
        <ns0:f>IFERROR(IF(AND(F432&gt;=2000,F432&lt;=2100,G432&gt;=1,G432&lt;=12,H432&gt;=1,H432&lt;=31),DATE(F432,G432,H432),0),0)</ns0:f>
        <ns0:v>0</ns0:v>
      </ns0:c>
      <ns0:c r="J432" s="0">
        <ns0:f>IFERROR(IF(ISNUMBER(Bookings!B432),IF(AND(Bookings!B432=INT(Bookings!B432),Bookings!B432&gt;=DATE(2000,1,1),Bookings!B432&lt;=DATE(2100,12,31)),Bookings!B432,0),IF(AND(A432&lt;&gt;"",LEN("x"&amp;B432)-LEN(SUBSTITUTE("x"&amp;B432,".",""))=2,OR(1&gt;LEN(B432),MID(B432,1,1)=".",ISNUMBER(FIND("x"&amp;MID(B432,1,1),"x0x1x2x3x4x5x6x7x8x9"))),OR(2&gt;LEN(B432),MID(B432,2,1)=".",ISNUMBER(FIND("x"&amp;MID(B432,2,1),"x0x1x2x3x4x5x6x7x8x9"))),OR(3&gt;LEN(B432),MID(B432,3,1)=".",ISNUMBER(FIND("x"&amp;MID(B432,3,1),"x0x1x2x3x4x5x6x7x8x9"))),OR(4&gt;LEN(B432),MID(B432,4,1)=".",ISNUMBER(FIND("x"&amp;MID(B432,4,1),"x0x1x2x3x4x5x6x7x8x9"))),OR(5&gt;LEN(B432),MID(B432,5,1)=".",ISNUMBER(FIND("x"&amp;MID(B432,5,1),"x0x1x2x3x4x5x6x7x8x9"))),OR(6&gt;LEN(B432),MID(B432,6,1)=".",ISNUMBER(FIND("x"&amp;MID(B432,6,1),"x0x1x2x3x4x5x6x7x8x9"))),OR(7&gt;LEN(B432),MID(B432,7,1)=".",ISNUMBER(FIND("x"&amp;MID(B432,7,1),"x0x1x2x3x4x5x6x7x8x9"))),OR(8&gt;LEN(B432),MID(B432,8,1)=".",ISNUMBER(FIND("x"&amp;MID(B432,8,1),"x0x1x2x3x4x5x6x7x8x9"))),OR(9&gt;LEN(B432),MID(B432,9,1)=".",ISNUMBER(FIND("x"&amp;MID(B432,9,1),"x0x1x2x3x4x5x6x7x8x9"))),OR(10&gt;LEN(B432),MID(B432,10,1)=".",ISNUMBER(FIND("x"&amp;MID(B432,10,1),"x0x1x2x3x4x5x6x7x8x9"))),OR(AND(FIND(".",B432)=5,LEN(B432)-FIND(".",B432,FIND(".",B432)+1)&gt;=1,LEN(B432)-FIND(".",B432,FIND(".",B432)+1)&lt;=2),AND(LEN(B432)-FIND(".",B432,FIND(".",B432)+1)=4,FIND(".",B432)&gt;=2,FIND(".",B432)&lt;=3)),FIND(".",B432,FIND(".",B432)+1)-FIND(".",B432)&gt;=2,FIND(".",B432,FIND(".",B432)+1)-FIND(".",B432)&lt;=3,F432&gt;=2000,F432&lt;=2100,YEAR(I432)=F432,MONTH(I432)=G432,DAY(I432)=H432),I432,0)),0)</ns0:f>
        <ns0:v>0</ns0:v>
      </ns0:c>
      <ns0:c r="K432" s="0">
        <ns0:f>IFERROR(IF(ISNUMBER(Bookings!D432),"",TRIM(Bookings!D432&amp;"")),"")</ns0:f>
      </ns0:c>
      <ns0:c r="L432" s="0">
        <ns0:f>IFERROR(SUBSTITUTE(SUBSTITUTE(K432,"/","."),"-","."),"")</ns0:f>
      </ns0:c>
      <ns0:c r="M432" s="0">
        <ns0:f>IFERROR(LEFT(L432,FIND(".",L432)-1),"")</ns0:f>
      </ns0:c>
      <ns0:c r="N432" s="0">
        <ns0:f>IFERROR(MID(L432,FIND(".",L432)+1,FIND(".",L432,FIND(".",L432)+1)-FIND(".",L432)-1),"")</ns0:f>
      </ns0:c>
      <ns0:c r="O432" s="0">
        <ns0:f>IFERROR(MID(L432,FIND(".",L432,FIND(".",L432)+1)+1,99),"")</ns0:f>
        <ns0:v>99</ns0:v>
      </ns0:c>
      <ns0:c r="P432" s="0">
        <ns0:f>IFERROR(IF(FIND(".",L432)=5,--M432,--O432),0)</ns0:f>
        <ns0:v>0</ns0:v>
      </ns0:c>
      <ns0:c r="Q432" s="0">
        <ns0:f>IFERROR(--N432,0)</ns0:f>
        <ns0:v>0</ns0:v>
      </ns0:c>
      <ns0:c r="R432" s="0">
        <ns0:f>IFERROR(IF(FIND(".",L432)=5,--O432,--M432),0)</ns0:f>
        <ns0:v>0</ns0:v>
      </ns0:c>
      <ns0:c r="S432" s="0">
        <ns0:f>IFERROR(IF(AND(P432&gt;=2000,P432&lt;=2100,Q432&gt;=1,Q432&lt;=12,R432&gt;=1,R432&lt;=31),DATE(P432,Q432,R432),0),0)</ns0:f>
        <ns0:v>0</ns0:v>
      </ns0:c>
      <ns0:c r="T432" s="0">
        <ns0:f>IFERROR(IF(ISNUMBER(Bookings!D432),IF(AND(Bookings!D432=INT(Bookings!D432),Bookings!D432&gt;=DATE(2000,1,1),Bookings!D432&lt;=DATE(2100,12,31)),Bookings!D432,0),IF(AND(K432&lt;&gt;"",LEN("x"&amp;L432)-LEN(SUBSTITUTE("x"&amp;L432,".",""))=2,OR(1&gt;LEN(L432),MID(L432,1,1)=".",ISNUMBER(FIND("x"&amp;MID(L432,1,1),"x0x1x2x3x4x5x6x7x8x9"))),OR(2&gt;LEN(L432),MID(L432,2,1)=".",ISNUMBER(FIND("x"&amp;MID(L432,2,1),"x0x1x2x3x4x5x6x7x8x9"))),OR(3&gt;LEN(L432),MID(L432,3,1)=".",ISNUMBER(FIND("x"&amp;MID(L432,3,1),"x0x1x2x3x4x5x6x7x8x9"))),OR(4&gt;LEN(L432),MID(L432,4,1)=".",ISNUMBER(FIND("x"&amp;MID(L432,4,1),"x0x1x2x3x4x5x6x7x8x9"))),OR(5&gt;LEN(L432),MID(L432,5,1)=".",ISNUMBER(FIND("x"&amp;MID(L432,5,1),"x0x1x2x3x4x5x6x7x8x9"))),OR(6&gt;LEN(L432),MID(L432,6,1)=".",ISNUMBER(FIND("x"&amp;MID(L432,6,1),"x0x1x2x3x4x5x6x7x8x9"))),OR(7&gt;LEN(L432),MID(L432,7,1)=".",ISNUMBER(FIND("x"&amp;MID(L432,7,1),"x0x1x2x3x4x5x6x7x8x9"))),OR(8&gt;LEN(L432),MID(L432,8,1)=".",ISNUMBER(FIND("x"&amp;MID(L432,8,1),"x0x1x2x3x4x5x6x7x8x9"))),OR(9&gt;LEN(L432),MID(L432,9,1)=".",ISNUMBER(FIND("x"&amp;MID(L432,9,1),"x0x1x2x3x4x5x6x7x8x9"))),OR(10&gt;LEN(L432),MID(L432,10,1)=".",ISNUMBER(FIND("x"&amp;MID(L432,10,1),"x0x1x2x3x4x5x6x7x8x9"))),OR(AND(FIND(".",L432)=5,LEN(L432)-FIND(".",L432,FIND(".",L432)+1)&gt;=1,LEN(L432)-FIND(".",L432,FIND(".",L432)+1)&lt;=2),AND(LEN(L432)-FIND(".",L432,FIND(".",L432)+1)=4,FIND(".",L432)&gt;=2,FIND(".",L432)&lt;=3)),FIND(".",L432,FIND(".",L432)+1)-FIND(".",L432)&gt;=2,FIND(".",L432,FIND(".",L432)+1)-FIND(".",L432)&lt;=3,P432&gt;=2000,P432&lt;=2100,YEAR(S432)=P432,MONTH(S432)=Q432,DAY(S432)=R432),S432,0)),0)</ns0:f>
        <ns0:v>0</ns0:v>
      </ns0:c>
      <ns0:c r="U432" s="0" t="str">
        <ns0:f>IF(Bookings!C432="","Full day",Bookings!C432)</ns0:f>
        <ns0:v>Full day</ns0:v>
      </ns0:c>
      <ns0:c r="V432" s="0" t="str">
        <ns0:f>IF(Bookings!E432="","Full day",Bookings!E432)</ns0:f>
        <ns0:v>Full day</ns0:v>
      </ns0:c>
      <ns0:c r="W432" s="0">
        <ns0:f>IF(J432=0,0,J432+IF(U432="PM",1,0))</ns0:f>
        <ns0:v>0</ns0:v>
      </ns0:c>
      <ns0:c r="X432" s="0">
        <ns0:f>IF(T432=0,0,T432-IF(V432="PM",1,0))</ns0:f>
        <ns0:v>0</ns0:v>
      </ns0:c>
      <ns0:c r="Y432" s="0">
        <ns0:f>IF(J432=0,0,J432+IF(U432="AM",1,0))</ns0:f>
        <ns0:v>0</ns0:v>
      </ns0:c>
      <ns0:c r="Z432" s="0">
        <ns0:f>IF(T432=0,0,T432-IF(V432="AM",1,0))</ns0:f>
        <ns0:v>0</ns0:v>
      </ns0:c>
      <ns0:c r="AA432" s="0">
        <ns0:f>IFERROR(IF(AND(J432&gt;0,'_Engine'!C432&gt;0,MID('_Engine'!W432,WEEKDAY(J432,2),1)="W",COUNTIF(Settings!$F$18:$F$67,J432)=0),1,0),0)</ns0:f>
        <ns0:v>0</ns0:v>
      </ns0:c>
      <ns0:c r="AB432" s="0">
        <ns0:f>IFERROR(IF(AND(T432&gt;0,'_Engine'!C432&gt;0,MID('_Engine'!W432,WEEKDAY(T432,2),1)="W",COUNTIF(Settings!$F$18:$F$67,T432)=0),1,0),0)</ns0:f>
        <ns0:v>0</ns0:v>
      </ns0:c>
      <ns0:c r="AC432" s="0">
        <ns0:f>IF(AND(J432&gt;0,T432&gt;0,W432&lt;=X432),1,0)</ns0:f>
        <ns0:v>0</ns0:v>
      </ns0:c>
      <ns0:c r="AD432" s="0">
        <ns0:f>IF(AND(J432&gt;0,T432&gt;0,Y432&lt;=Z432),1,0)</ns0:f>
        <ns0:v>0</ns0:v>
      </ns0:c>
    </ns0:row>
    <ns0:row r="433">
      <ns0:c r="A433" s="0">
        <ns0:f>IFERROR(IF(ISNUMBER(Bookings!B433),"",TRIM(Bookings!B433&amp;"")),"")</ns0:f>
      </ns0:c>
      <ns0:c r="B433" s="0">
        <ns0:f>IFERROR(SUBSTITUTE(SUBSTITUTE(A433,"/","."),"-","."),"")</ns0:f>
      </ns0:c>
      <ns0:c r="C433" s="0">
        <ns0:f>IFERROR(LEFT(B433,FIND(".",B433)-1),"")</ns0:f>
      </ns0:c>
      <ns0:c r="D433" s="0">
        <ns0:f>IFERROR(MID(B433,FIND(".",B433)+1,FIND(".",B433,FIND(".",B433)+1)-FIND(".",B433)-1),"")</ns0:f>
      </ns0:c>
      <ns0:c r="E433" s="0">
        <ns0:f>IFERROR(MID(B433,FIND(".",B433,FIND(".",B433)+1)+1,99),"")</ns0:f>
        <ns0:v>99</ns0:v>
      </ns0:c>
      <ns0:c r="F433" s="0">
        <ns0:f>IFERROR(IF(FIND(".",B433)=5,--C433,--E433),0)</ns0:f>
        <ns0:v>0</ns0:v>
      </ns0:c>
      <ns0:c r="G433" s="0">
        <ns0:f>IFERROR(--D433,0)</ns0:f>
        <ns0:v>0</ns0:v>
      </ns0:c>
      <ns0:c r="H433" s="0">
        <ns0:f>IFERROR(IF(FIND(".",B433)=5,--E433,--C433),0)</ns0:f>
        <ns0:v>0</ns0:v>
      </ns0:c>
      <ns0:c r="I433" s="0">
        <ns0:f>IFERROR(IF(AND(F433&gt;=2000,F433&lt;=2100,G433&gt;=1,G433&lt;=12,H433&gt;=1,H433&lt;=31),DATE(F433,G433,H433),0),0)</ns0:f>
        <ns0:v>0</ns0:v>
      </ns0:c>
      <ns0:c r="J433" s="0">
        <ns0:f>IFERROR(IF(ISNUMBER(Bookings!B433),IF(AND(Bookings!B433=INT(Bookings!B433),Bookings!B433&gt;=DATE(2000,1,1),Bookings!B433&lt;=DATE(2100,12,31)),Bookings!B433,0),IF(AND(A433&lt;&gt;"",LEN("x"&amp;B433)-LEN(SUBSTITUTE("x"&amp;B433,".",""))=2,OR(1&gt;LEN(B433),MID(B433,1,1)=".",ISNUMBER(FIND("x"&amp;MID(B433,1,1),"x0x1x2x3x4x5x6x7x8x9"))),OR(2&gt;LEN(B433),MID(B433,2,1)=".",ISNUMBER(FIND("x"&amp;MID(B433,2,1),"x0x1x2x3x4x5x6x7x8x9"))),OR(3&gt;LEN(B433),MID(B433,3,1)=".",ISNUMBER(FIND("x"&amp;MID(B433,3,1),"x0x1x2x3x4x5x6x7x8x9"))),OR(4&gt;LEN(B433),MID(B433,4,1)=".",ISNUMBER(FIND("x"&amp;MID(B433,4,1),"x0x1x2x3x4x5x6x7x8x9"))),OR(5&gt;LEN(B433),MID(B433,5,1)=".",ISNUMBER(FIND("x"&amp;MID(B433,5,1),"x0x1x2x3x4x5x6x7x8x9"))),OR(6&gt;LEN(B433),MID(B433,6,1)=".",ISNUMBER(FIND("x"&amp;MID(B433,6,1),"x0x1x2x3x4x5x6x7x8x9"))),OR(7&gt;LEN(B433),MID(B433,7,1)=".",ISNUMBER(FIND("x"&amp;MID(B433,7,1),"x0x1x2x3x4x5x6x7x8x9"))),OR(8&gt;LEN(B433),MID(B433,8,1)=".",ISNUMBER(FIND("x"&amp;MID(B433,8,1),"x0x1x2x3x4x5x6x7x8x9"))),OR(9&gt;LEN(B433),MID(B433,9,1)=".",ISNUMBER(FIND("x"&amp;MID(B433,9,1),"x0x1x2x3x4x5x6x7x8x9"))),OR(10&gt;LEN(B433),MID(B433,10,1)=".",ISNUMBER(FIND("x"&amp;MID(B433,10,1),"x0x1x2x3x4x5x6x7x8x9"))),OR(AND(FIND(".",B433)=5,LEN(B433)-FIND(".",B433,FIND(".",B433)+1)&gt;=1,LEN(B433)-FIND(".",B433,FIND(".",B433)+1)&lt;=2),AND(LEN(B433)-FIND(".",B433,FIND(".",B433)+1)=4,FIND(".",B433)&gt;=2,FIND(".",B433)&lt;=3)),FIND(".",B433,FIND(".",B433)+1)-FIND(".",B433)&gt;=2,FIND(".",B433,FIND(".",B433)+1)-FIND(".",B433)&lt;=3,F433&gt;=2000,F433&lt;=2100,YEAR(I433)=F433,MONTH(I433)=G433,DAY(I433)=H433),I433,0)),0)</ns0:f>
        <ns0:v>0</ns0:v>
      </ns0:c>
      <ns0:c r="K433" s="0">
        <ns0:f>IFERROR(IF(ISNUMBER(Bookings!D433),"",TRIM(Bookings!D433&amp;"")),"")</ns0:f>
      </ns0:c>
      <ns0:c r="L433" s="0">
        <ns0:f>IFERROR(SUBSTITUTE(SUBSTITUTE(K433,"/","."),"-","."),"")</ns0:f>
      </ns0:c>
      <ns0:c r="M433" s="0">
        <ns0:f>IFERROR(LEFT(L433,FIND(".",L433)-1),"")</ns0:f>
      </ns0:c>
      <ns0:c r="N433" s="0">
        <ns0:f>IFERROR(MID(L433,FIND(".",L433)+1,FIND(".",L433,FIND(".",L433)+1)-FIND(".",L433)-1),"")</ns0:f>
      </ns0:c>
      <ns0:c r="O433" s="0">
        <ns0:f>IFERROR(MID(L433,FIND(".",L433,FIND(".",L433)+1)+1,99),"")</ns0:f>
        <ns0:v>99</ns0:v>
      </ns0:c>
      <ns0:c r="P433" s="0">
        <ns0:f>IFERROR(IF(FIND(".",L433)=5,--M433,--O433),0)</ns0:f>
        <ns0:v>0</ns0:v>
      </ns0:c>
      <ns0:c r="Q433" s="0">
        <ns0:f>IFERROR(--N433,0)</ns0:f>
        <ns0:v>0</ns0:v>
      </ns0:c>
      <ns0:c r="R433" s="0">
        <ns0:f>IFERROR(IF(FIND(".",L433)=5,--O433,--M433),0)</ns0:f>
        <ns0:v>0</ns0:v>
      </ns0:c>
      <ns0:c r="S433" s="0">
        <ns0:f>IFERROR(IF(AND(P433&gt;=2000,P433&lt;=2100,Q433&gt;=1,Q433&lt;=12,R433&gt;=1,R433&lt;=31),DATE(P433,Q433,R433),0),0)</ns0:f>
        <ns0:v>0</ns0:v>
      </ns0:c>
      <ns0:c r="T433" s="0">
        <ns0:f>IFERROR(IF(ISNUMBER(Bookings!D433),IF(AND(Bookings!D433=INT(Bookings!D433),Bookings!D433&gt;=DATE(2000,1,1),Bookings!D433&lt;=DATE(2100,12,31)),Bookings!D433,0),IF(AND(K433&lt;&gt;"",LEN("x"&amp;L433)-LEN(SUBSTITUTE("x"&amp;L433,".",""))=2,OR(1&gt;LEN(L433),MID(L433,1,1)=".",ISNUMBER(FIND("x"&amp;MID(L433,1,1),"x0x1x2x3x4x5x6x7x8x9"))),OR(2&gt;LEN(L433),MID(L433,2,1)=".",ISNUMBER(FIND("x"&amp;MID(L433,2,1),"x0x1x2x3x4x5x6x7x8x9"))),OR(3&gt;LEN(L433),MID(L433,3,1)=".",ISNUMBER(FIND("x"&amp;MID(L433,3,1),"x0x1x2x3x4x5x6x7x8x9"))),OR(4&gt;LEN(L433),MID(L433,4,1)=".",ISNUMBER(FIND("x"&amp;MID(L433,4,1),"x0x1x2x3x4x5x6x7x8x9"))),OR(5&gt;LEN(L433),MID(L433,5,1)=".",ISNUMBER(FIND("x"&amp;MID(L433,5,1),"x0x1x2x3x4x5x6x7x8x9"))),OR(6&gt;LEN(L433),MID(L433,6,1)=".",ISNUMBER(FIND("x"&amp;MID(L433,6,1),"x0x1x2x3x4x5x6x7x8x9"))),OR(7&gt;LEN(L433),MID(L433,7,1)=".",ISNUMBER(FIND("x"&amp;MID(L433,7,1),"x0x1x2x3x4x5x6x7x8x9"))),OR(8&gt;LEN(L433),MID(L433,8,1)=".",ISNUMBER(FIND("x"&amp;MID(L433,8,1),"x0x1x2x3x4x5x6x7x8x9"))),OR(9&gt;LEN(L433),MID(L433,9,1)=".",ISNUMBER(FIND("x"&amp;MID(L433,9,1),"x0x1x2x3x4x5x6x7x8x9"))),OR(10&gt;LEN(L433),MID(L433,10,1)=".",ISNUMBER(FIND("x"&amp;MID(L433,10,1),"x0x1x2x3x4x5x6x7x8x9"))),OR(AND(FIND(".",L433)=5,LEN(L433)-FIND(".",L433,FIND(".",L433)+1)&gt;=1,LEN(L433)-FIND(".",L433,FIND(".",L433)+1)&lt;=2),AND(LEN(L433)-FIND(".",L433,FIND(".",L433)+1)=4,FIND(".",L433)&gt;=2,FIND(".",L433)&lt;=3)),FIND(".",L433,FIND(".",L433)+1)-FIND(".",L433)&gt;=2,FIND(".",L433,FIND(".",L433)+1)-FIND(".",L433)&lt;=3,P433&gt;=2000,P433&lt;=2100,YEAR(S433)=P433,MONTH(S433)=Q433,DAY(S433)=R433),S433,0)),0)</ns0:f>
        <ns0:v>0</ns0:v>
      </ns0:c>
      <ns0:c r="U433" s="0" t="str">
        <ns0:f>IF(Bookings!C433="","Full day",Bookings!C433)</ns0:f>
        <ns0:v>Full day</ns0:v>
      </ns0:c>
      <ns0:c r="V433" s="0" t="str">
        <ns0:f>IF(Bookings!E433="","Full day",Bookings!E433)</ns0:f>
        <ns0:v>Full day</ns0:v>
      </ns0:c>
      <ns0:c r="W433" s="0">
        <ns0:f>IF(J433=0,0,J433+IF(U433="PM",1,0))</ns0:f>
        <ns0:v>0</ns0:v>
      </ns0:c>
      <ns0:c r="X433" s="0">
        <ns0:f>IF(T433=0,0,T433-IF(V433="PM",1,0))</ns0:f>
        <ns0:v>0</ns0:v>
      </ns0:c>
      <ns0:c r="Y433" s="0">
        <ns0:f>IF(J433=0,0,J433+IF(U433="AM",1,0))</ns0:f>
        <ns0:v>0</ns0:v>
      </ns0:c>
      <ns0:c r="Z433" s="0">
        <ns0:f>IF(T433=0,0,T433-IF(V433="AM",1,0))</ns0:f>
        <ns0:v>0</ns0:v>
      </ns0:c>
      <ns0:c r="AA433" s="0">
        <ns0:f>IFERROR(IF(AND(J433&gt;0,'_Engine'!C433&gt;0,MID('_Engine'!W433,WEEKDAY(J433,2),1)="W",COUNTIF(Settings!$F$18:$F$67,J433)=0),1,0),0)</ns0:f>
        <ns0:v>0</ns0:v>
      </ns0:c>
      <ns0:c r="AB433" s="0">
        <ns0:f>IFERROR(IF(AND(T433&gt;0,'_Engine'!C433&gt;0,MID('_Engine'!W433,WEEKDAY(T433,2),1)="W",COUNTIF(Settings!$F$18:$F$67,T433)=0),1,0),0)</ns0:f>
        <ns0:v>0</ns0:v>
      </ns0:c>
      <ns0:c r="AC433" s="0">
        <ns0:f>IF(AND(J433&gt;0,T433&gt;0,W433&lt;=X433),1,0)</ns0:f>
        <ns0:v>0</ns0:v>
      </ns0:c>
      <ns0:c r="AD433" s="0">
        <ns0:f>IF(AND(J433&gt;0,T433&gt;0,Y433&lt;=Z433),1,0)</ns0:f>
        <ns0:v>0</ns0:v>
      </ns0:c>
    </ns0:row>
    <ns0:row r="434">
      <ns0:c r="A434" s="0">
        <ns0:f>IFERROR(IF(ISNUMBER(Bookings!B434),"",TRIM(Bookings!B434&amp;"")),"")</ns0:f>
      </ns0:c>
      <ns0:c r="B434" s="0">
        <ns0:f>IFERROR(SUBSTITUTE(SUBSTITUTE(A434,"/","."),"-","."),"")</ns0:f>
      </ns0:c>
      <ns0:c r="C434" s="0">
        <ns0:f>IFERROR(LEFT(B434,FIND(".",B434)-1),"")</ns0:f>
      </ns0:c>
      <ns0:c r="D434" s="0">
        <ns0:f>IFERROR(MID(B434,FIND(".",B434)+1,FIND(".",B434,FIND(".",B434)+1)-FIND(".",B434)-1),"")</ns0:f>
      </ns0:c>
      <ns0:c r="E434" s="0">
        <ns0:f>IFERROR(MID(B434,FIND(".",B434,FIND(".",B434)+1)+1,99),"")</ns0:f>
        <ns0:v>99</ns0:v>
      </ns0:c>
      <ns0:c r="F434" s="0">
        <ns0:f>IFERROR(IF(FIND(".",B434)=5,--C434,--E434),0)</ns0:f>
        <ns0:v>0</ns0:v>
      </ns0:c>
      <ns0:c r="G434" s="0">
        <ns0:f>IFERROR(--D434,0)</ns0:f>
        <ns0:v>0</ns0:v>
      </ns0:c>
      <ns0:c r="H434" s="0">
        <ns0:f>IFERROR(IF(FIND(".",B434)=5,--E434,--C434),0)</ns0:f>
        <ns0:v>0</ns0:v>
      </ns0:c>
      <ns0:c r="I434" s="0">
        <ns0:f>IFERROR(IF(AND(F434&gt;=2000,F434&lt;=2100,G434&gt;=1,G434&lt;=12,H434&gt;=1,H434&lt;=31),DATE(F434,G434,H434),0),0)</ns0:f>
        <ns0:v>0</ns0:v>
      </ns0:c>
      <ns0:c r="J434" s="0">
        <ns0:f>IFERROR(IF(ISNUMBER(Bookings!B434),IF(AND(Bookings!B434=INT(Bookings!B434),Bookings!B434&gt;=DATE(2000,1,1),Bookings!B434&lt;=DATE(2100,12,31)),Bookings!B434,0),IF(AND(A434&lt;&gt;"",LEN("x"&amp;B434)-LEN(SUBSTITUTE("x"&amp;B434,".",""))=2,OR(1&gt;LEN(B434),MID(B434,1,1)=".",ISNUMBER(FIND("x"&amp;MID(B434,1,1),"x0x1x2x3x4x5x6x7x8x9"))),OR(2&gt;LEN(B434),MID(B434,2,1)=".",ISNUMBER(FIND("x"&amp;MID(B434,2,1),"x0x1x2x3x4x5x6x7x8x9"))),OR(3&gt;LEN(B434),MID(B434,3,1)=".",ISNUMBER(FIND("x"&amp;MID(B434,3,1),"x0x1x2x3x4x5x6x7x8x9"))),OR(4&gt;LEN(B434),MID(B434,4,1)=".",ISNUMBER(FIND("x"&amp;MID(B434,4,1),"x0x1x2x3x4x5x6x7x8x9"))),OR(5&gt;LEN(B434),MID(B434,5,1)=".",ISNUMBER(FIND("x"&amp;MID(B434,5,1),"x0x1x2x3x4x5x6x7x8x9"))),OR(6&gt;LEN(B434),MID(B434,6,1)=".",ISNUMBER(FIND("x"&amp;MID(B434,6,1),"x0x1x2x3x4x5x6x7x8x9"))),OR(7&gt;LEN(B434),MID(B434,7,1)=".",ISNUMBER(FIND("x"&amp;MID(B434,7,1),"x0x1x2x3x4x5x6x7x8x9"))),OR(8&gt;LEN(B434),MID(B434,8,1)=".",ISNUMBER(FIND("x"&amp;MID(B434,8,1),"x0x1x2x3x4x5x6x7x8x9"))),OR(9&gt;LEN(B434),MID(B434,9,1)=".",ISNUMBER(FIND("x"&amp;MID(B434,9,1),"x0x1x2x3x4x5x6x7x8x9"))),OR(10&gt;LEN(B434),MID(B434,10,1)=".",ISNUMBER(FIND("x"&amp;MID(B434,10,1),"x0x1x2x3x4x5x6x7x8x9"))),OR(AND(FIND(".",B434)=5,LEN(B434)-FIND(".",B434,FIND(".",B434)+1)&gt;=1,LEN(B434)-FIND(".",B434,FIND(".",B434)+1)&lt;=2),AND(LEN(B434)-FIND(".",B434,FIND(".",B434)+1)=4,FIND(".",B434)&gt;=2,FIND(".",B434)&lt;=3)),FIND(".",B434,FIND(".",B434)+1)-FIND(".",B434)&gt;=2,FIND(".",B434,FIND(".",B434)+1)-FIND(".",B434)&lt;=3,F434&gt;=2000,F434&lt;=2100,YEAR(I434)=F434,MONTH(I434)=G434,DAY(I434)=H434),I434,0)),0)</ns0:f>
        <ns0:v>0</ns0:v>
      </ns0:c>
      <ns0:c r="K434" s="0">
        <ns0:f>IFERROR(IF(ISNUMBER(Bookings!D434),"",TRIM(Bookings!D434&amp;"")),"")</ns0:f>
      </ns0:c>
      <ns0:c r="L434" s="0">
        <ns0:f>IFERROR(SUBSTITUTE(SUBSTITUTE(K434,"/","."),"-","."),"")</ns0:f>
      </ns0:c>
      <ns0:c r="M434" s="0">
        <ns0:f>IFERROR(LEFT(L434,FIND(".",L434)-1),"")</ns0:f>
      </ns0:c>
      <ns0:c r="N434" s="0">
        <ns0:f>IFERROR(MID(L434,FIND(".",L434)+1,FIND(".",L434,FIND(".",L434)+1)-FIND(".",L434)-1),"")</ns0:f>
      </ns0:c>
      <ns0:c r="O434" s="0">
        <ns0:f>IFERROR(MID(L434,FIND(".",L434,FIND(".",L434)+1)+1,99),"")</ns0:f>
        <ns0:v>99</ns0:v>
      </ns0:c>
      <ns0:c r="P434" s="0">
        <ns0:f>IFERROR(IF(FIND(".",L434)=5,--M434,--O434),0)</ns0:f>
        <ns0:v>0</ns0:v>
      </ns0:c>
      <ns0:c r="Q434" s="0">
        <ns0:f>IFERROR(--N434,0)</ns0:f>
        <ns0:v>0</ns0:v>
      </ns0:c>
      <ns0:c r="R434" s="0">
        <ns0:f>IFERROR(IF(FIND(".",L434)=5,--O434,--M434),0)</ns0:f>
        <ns0:v>0</ns0:v>
      </ns0:c>
      <ns0:c r="S434" s="0">
        <ns0:f>IFERROR(IF(AND(P434&gt;=2000,P434&lt;=2100,Q434&gt;=1,Q434&lt;=12,R434&gt;=1,R434&lt;=31),DATE(P434,Q434,R434),0),0)</ns0:f>
        <ns0:v>0</ns0:v>
      </ns0:c>
      <ns0:c r="T434" s="0">
        <ns0:f>IFERROR(IF(ISNUMBER(Bookings!D434),IF(AND(Bookings!D434=INT(Bookings!D434),Bookings!D434&gt;=DATE(2000,1,1),Bookings!D434&lt;=DATE(2100,12,31)),Bookings!D434,0),IF(AND(K434&lt;&gt;"",LEN("x"&amp;L434)-LEN(SUBSTITUTE("x"&amp;L434,".",""))=2,OR(1&gt;LEN(L434),MID(L434,1,1)=".",ISNUMBER(FIND("x"&amp;MID(L434,1,1),"x0x1x2x3x4x5x6x7x8x9"))),OR(2&gt;LEN(L434),MID(L434,2,1)=".",ISNUMBER(FIND("x"&amp;MID(L434,2,1),"x0x1x2x3x4x5x6x7x8x9"))),OR(3&gt;LEN(L434),MID(L434,3,1)=".",ISNUMBER(FIND("x"&amp;MID(L434,3,1),"x0x1x2x3x4x5x6x7x8x9"))),OR(4&gt;LEN(L434),MID(L434,4,1)=".",ISNUMBER(FIND("x"&amp;MID(L434,4,1),"x0x1x2x3x4x5x6x7x8x9"))),OR(5&gt;LEN(L434),MID(L434,5,1)=".",ISNUMBER(FIND("x"&amp;MID(L434,5,1),"x0x1x2x3x4x5x6x7x8x9"))),OR(6&gt;LEN(L434),MID(L434,6,1)=".",ISNUMBER(FIND("x"&amp;MID(L434,6,1),"x0x1x2x3x4x5x6x7x8x9"))),OR(7&gt;LEN(L434),MID(L434,7,1)=".",ISNUMBER(FIND("x"&amp;MID(L434,7,1),"x0x1x2x3x4x5x6x7x8x9"))),OR(8&gt;LEN(L434),MID(L434,8,1)=".",ISNUMBER(FIND("x"&amp;MID(L434,8,1),"x0x1x2x3x4x5x6x7x8x9"))),OR(9&gt;LEN(L434),MID(L434,9,1)=".",ISNUMBER(FIND("x"&amp;MID(L434,9,1),"x0x1x2x3x4x5x6x7x8x9"))),OR(10&gt;LEN(L434),MID(L434,10,1)=".",ISNUMBER(FIND("x"&amp;MID(L434,10,1),"x0x1x2x3x4x5x6x7x8x9"))),OR(AND(FIND(".",L434)=5,LEN(L434)-FIND(".",L434,FIND(".",L434)+1)&gt;=1,LEN(L434)-FIND(".",L434,FIND(".",L434)+1)&lt;=2),AND(LEN(L434)-FIND(".",L434,FIND(".",L434)+1)=4,FIND(".",L434)&gt;=2,FIND(".",L434)&lt;=3)),FIND(".",L434,FIND(".",L434)+1)-FIND(".",L434)&gt;=2,FIND(".",L434,FIND(".",L434)+1)-FIND(".",L434)&lt;=3,P434&gt;=2000,P434&lt;=2100,YEAR(S434)=P434,MONTH(S434)=Q434,DAY(S434)=R434),S434,0)),0)</ns0:f>
        <ns0:v>0</ns0:v>
      </ns0:c>
      <ns0:c r="U434" s="0" t="str">
        <ns0:f>IF(Bookings!C434="","Full day",Bookings!C434)</ns0:f>
        <ns0:v>Full day</ns0:v>
      </ns0:c>
      <ns0:c r="V434" s="0" t="str">
        <ns0:f>IF(Bookings!E434="","Full day",Bookings!E434)</ns0:f>
        <ns0:v>Full day</ns0:v>
      </ns0:c>
      <ns0:c r="W434" s="0">
        <ns0:f>IF(J434=0,0,J434+IF(U434="PM",1,0))</ns0:f>
        <ns0:v>0</ns0:v>
      </ns0:c>
      <ns0:c r="X434" s="0">
        <ns0:f>IF(T434=0,0,T434-IF(V434="PM",1,0))</ns0:f>
        <ns0:v>0</ns0:v>
      </ns0:c>
      <ns0:c r="Y434" s="0">
        <ns0:f>IF(J434=0,0,J434+IF(U434="AM",1,0))</ns0:f>
        <ns0:v>0</ns0:v>
      </ns0:c>
      <ns0:c r="Z434" s="0">
        <ns0:f>IF(T434=0,0,T434-IF(V434="AM",1,0))</ns0:f>
        <ns0:v>0</ns0:v>
      </ns0:c>
      <ns0:c r="AA434" s="0">
        <ns0:f>IFERROR(IF(AND(J434&gt;0,'_Engine'!C434&gt;0,MID('_Engine'!W434,WEEKDAY(J434,2),1)="W",COUNTIF(Settings!$F$18:$F$67,J434)=0),1,0),0)</ns0:f>
        <ns0:v>0</ns0:v>
      </ns0:c>
      <ns0:c r="AB434" s="0">
        <ns0:f>IFERROR(IF(AND(T434&gt;0,'_Engine'!C434&gt;0,MID('_Engine'!W434,WEEKDAY(T434,2),1)="W",COUNTIF(Settings!$F$18:$F$67,T434)=0),1,0),0)</ns0:f>
        <ns0:v>0</ns0:v>
      </ns0:c>
      <ns0:c r="AC434" s="0">
        <ns0:f>IF(AND(J434&gt;0,T434&gt;0,W434&lt;=X434),1,0)</ns0:f>
        <ns0:v>0</ns0:v>
      </ns0:c>
      <ns0:c r="AD434" s="0">
        <ns0:f>IF(AND(J434&gt;0,T434&gt;0,Y434&lt;=Z434),1,0)</ns0:f>
        <ns0:v>0</ns0:v>
      </ns0:c>
    </ns0:row>
    <ns0:row r="435">
      <ns0:c r="A435" s="0">
        <ns0:f>IFERROR(IF(ISNUMBER(Bookings!B435),"",TRIM(Bookings!B435&amp;"")),"")</ns0:f>
      </ns0:c>
      <ns0:c r="B435" s="0">
        <ns0:f>IFERROR(SUBSTITUTE(SUBSTITUTE(A435,"/","."),"-","."),"")</ns0:f>
      </ns0:c>
      <ns0:c r="C435" s="0">
        <ns0:f>IFERROR(LEFT(B435,FIND(".",B435)-1),"")</ns0:f>
      </ns0:c>
      <ns0:c r="D435" s="0">
        <ns0:f>IFERROR(MID(B435,FIND(".",B435)+1,FIND(".",B435,FIND(".",B435)+1)-FIND(".",B435)-1),"")</ns0:f>
      </ns0:c>
      <ns0:c r="E435" s="0">
        <ns0:f>IFERROR(MID(B435,FIND(".",B435,FIND(".",B435)+1)+1,99),"")</ns0:f>
        <ns0:v>99</ns0:v>
      </ns0:c>
      <ns0:c r="F435" s="0">
        <ns0:f>IFERROR(IF(FIND(".",B435)=5,--C435,--E435),0)</ns0:f>
        <ns0:v>0</ns0:v>
      </ns0:c>
      <ns0:c r="G435" s="0">
        <ns0:f>IFERROR(--D435,0)</ns0:f>
        <ns0:v>0</ns0:v>
      </ns0:c>
      <ns0:c r="H435" s="0">
        <ns0:f>IFERROR(IF(FIND(".",B435)=5,--E435,--C435),0)</ns0:f>
        <ns0:v>0</ns0:v>
      </ns0:c>
      <ns0:c r="I435" s="0">
        <ns0:f>IFERROR(IF(AND(F435&gt;=2000,F435&lt;=2100,G435&gt;=1,G435&lt;=12,H435&gt;=1,H435&lt;=31),DATE(F435,G435,H435),0),0)</ns0:f>
        <ns0:v>0</ns0:v>
      </ns0:c>
      <ns0:c r="J435" s="0">
        <ns0:f>IFERROR(IF(ISNUMBER(Bookings!B435),IF(AND(Bookings!B435=INT(Bookings!B435),Bookings!B435&gt;=DATE(2000,1,1),Bookings!B435&lt;=DATE(2100,12,31)),Bookings!B435,0),IF(AND(A435&lt;&gt;"",LEN("x"&amp;B435)-LEN(SUBSTITUTE("x"&amp;B435,".",""))=2,OR(1&gt;LEN(B435),MID(B435,1,1)=".",ISNUMBER(FIND("x"&amp;MID(B435,1,1),"x0x1x2x3x4x5x6x7x8x9"))),OR(2&gt;LEN(B435),MID(B435,2,1)=".",ISNUMBER(FIND("x"&amp;MID(B435,2,1),"x0x1x2x3x4x5x6x7x8x9"))),OR(3&gt;LEN(B435),MID(B435,3,1)=".",ISNUMBER(FIND("x"&amp;MID(B435,3,1),"x0x1x2x3x4x5x6x7x8x9"))),OR(4&gt;LEN(B435),MID(B435,4,1)=".",ISNUMBER(FIND("x"&amp;MID(B435,4,1),"x0x1x2x3x4x5x6x7x8x9"))),OR(5&gt;LEN(B435),MID(B435,5,1)=".",ISNUMBER(FIND("x"&amp;MID(B435,5,1),"x0x1x2x3x4x5x6x7x8x9"))),OR(6&gt;LEN(B435),MID(B435,6,1)=".",ISNUMBER(FIND("x"&amp;MID(B435,6,1),"x0x1x2x3x4x5x6x7x8x9"))),OR(7&gt;LEN(B435),MID(B435,7,1)=".",ISNUMBER(FIND("x"&amp;MID(B435,7,1),"x0x1x2x3x4x5x6x7x8x9"))),OR(8&gt;LEN(B435),MID(B435,8,1)=".",ISNUMBER(FIND("x"&amp;MID(B435,8,1),"x0x1x2x3x4x5x6x7x8x9"))),OR(9&gt;LEN(B435),MID(B435,9,1)=".",ISNUMBER(FIND("x"&amp;MID(B435,9,1),"x0x1x2x3x4x5x6x7x8x9"))),OR(10&gt;LEN(B435),MID(B435,10,1)=".",ISNUMBER(FIND("x"&amp;MID(B435,10,1),"x0x1x2x3x4x5x6x7x8x9"))),OR(AND(FIND(".",B435)=5,LEN(B435)-FIND(".",B435,FIND(".",B435)+1)&gt;=1,LEN(B435)-FIND(".",B435,FIND(".",B435)+1)&lt;=2),AND(LEN(B435)-FIND(".",B435,FIND(".",B435)+1)=4,FIND(".",B435)&gt;=2,FIND(".",B435)&lt;=3)),FIND(".",B435,FIND(".",B435)+1)-FIND(".",B435)&gt;=2,FIND(".",B435,FIND(".",B435)+1)-FIND(".",B435)&lt;=3,F435&gt;=2000,F435&lt;=2100,YEAR(I435)=F435,MONTH(I435)=G435,DAY(I435)=H435),I435,0)),0)</ns0:f>
        <ns0:v>0</ns0:v>
      </ns0:c>
      <ns0:c r="K435" s="0">
        <ns0:f>IFERROR(IF(ISNUMBER(Bookings!D435),"",TRIM(Bookings!D435&amp;"")),"")</ns0:f>
      </ns0:c>
      <ns0:c r="L435" s="0">
        <ns0:f>IFERROR(SUBSTITUTE(SUBSTITUTE(K435,"/","."),"-","."),"")</ns0:f>
      </ns0:c>
      <ns0:c r="M435" s="0">
        <ns0:f>IFERROR(LEFT(L435,FIND(".",L435)-1),"")</ns0:f>
      </ns0:c>
      <ns0:c r="N435" s="0">
        <ns0:f>IFERROR(MID(L435,FIND(".",L435)+1,FIND(".",L435,FIND(".",L435)+1)-FIND(".",L435)-1),"")</ns0:f>
      </ns0:c>
      <ns0:c r="O435" s="0">
        <ns0:f>IFERROR(MID(L435,FIND(".",L435,FIND(".",L435)+1)+1,99),"")</ns0:f>
        <ns0:v>99</ns0:v>
      </ns0:c>
      <ns0:c r="P435" s="0">
        <ns0:f>IFERROR(IF(FIND(".",L435)=5,--M435,--O435),0)</ns0:f>
        <ns0:v>0</ns0:v>
      </ns0:c>
      <ns0:c r="Q435" s="0">
        <ns0:f>IFERROR(--N435,0)</ns0:f>
        <ns0:v>0</ns0:v>
      </ns0:c>
      <ns0:c r="R435" s="0">
        <ns0:f>IFERROR(IF(FIND(".",L435)=5,--O435,--M435),0)</ns0:f>
        <ns0:v>0</ns0:v>
      </ns0:c>
      <ns0:c r="S435" s="0">
        <ns0:f>IFERROR(IF(AND(P435&gt;=2000,P435&lt;=2100,Q435&gt;=1,Q435&lt;=12,R435&gt;=1,R435&lt;=31),DATE(P435,Q435,R435),0),0)</ns0:f>
        <ns0:v>0</ns0:v>
      </ns0:c>
      <ns0:c r="T435" s="0">
        <ns0:f>IFERROR(IF(ISNUMBER(Bookings!D435),IF(AND(Bookings!D435=INT(Bookings!D435),Bookings!D435&gt;=DATE(2000,1,1),Bookings!D435&lt;=DATE(2100,12,31)),Bookings!D435,0),IF(AND(K435&lt;&gt;"",LEN("x"&amp;L435)-LEN(SUBSTITUTE("x"&amp;L435,".",""))=2,OR(1&gt;LEN(L435),MID(L435,1,1)=".",ISNUMBER(FIND("x"&amp;MID(L435,1,1),"x0x1x2x3x4x5x6x7x8x9"))),OR(2&gt;LEN(L435),MID(L435,2,1)=".",ISNUMBER(FIND("x"&amp;MID(L435,2,1),"x0x1x2x3x4x5x6x7x8x9"))),OR(3&gt;LEN(L435),MID(L435,3,1)=".",ISNUMBER(FIND("x"&amp;MID(L435,3,1),"x0x1x2x3x4x5x6x7x8x9"))),OR(4&gt;LEN(L435),MID(L435,4,1)=".",ISNUMBER(FIND("x"&amp;MID(L435,4,1),"x0x1x2x3x4x5x6x7x8x9"))),OR(5&gt;LEN(L435),MID(L435,5,1)=".",ISNUMBER(FIND("x"&amp;MID(L435,5,1),"x0x1x2x3x4x5x6x7x8x9"))),OR(6&gt;LEN(L435),MID(L435,6,1)=".",ISNUMBER(FIND("x"&amp;MID(L435,6,1),"x0x1x2x3x4x5x6x7x8x9"))),OR(7&gt;LEN(L435),MID(L435,7,1)=".",ISNUMBER(FIND("x"&amp;MID(L435,7,1),"x0x1x2x3x4x5x6x7x8x9"))),OR(8&gt;LEN(L435),MID(L435,8,1)=".",ISNUMBER(FIND("x"&amp;MID(L435,8,1),"x0x1x2x3x4x5x6x7x8x9"))),OR(9&gt;LEN(L435),MID(L435,9,1)=".",ISNUMBER(FIND("x"&amp;MID(L435,9,1),"x0x1x2x3x4x5x6x7x8x9"))),OR(10&gt;LEN(L435),MID(L435,10,1)=".",ISNUMBER(FIND("x"&amp;MID(L435,10,1),"x0x1x2x3x4x5x6x7x8x9"))),OR(AND(FIND(".",L435)=5,LEN(L435)-FIND(".",L435,FIND(".",L435)+1)&gt;=1,LEN(L435)-FIND(".",L435,FIND(".",L435)+1)&lt;=2),AND(LEN(L435)-FIND(".",L435,FIND(".",L435)+1)=4,FIND(".",L435)&gt;=2,FIND(".",L435)&lt;=3)),FIND(".",L435,FIND(".",L435)+1)-FIND(".",L435)&gt;=2,FIND(".",L435,FIND(".",L435)+1)-FIND(".",L435)&lt;=3,P435&gt;=2000,P435&lt;=2100,YEAR(S435)=P435,MONTH(S435)=Q435,DAY(S435)=R435),S435,0)),0)</ns0:f>
        <ns0:v>0</ns0:v>
      </ns0:c>
      <ns0:c r="U435" s="0" t="str">
        <ns0:f>IF(Bookings!C435="","Full day",Bookings!C435)</ns0:f>
        <ns0:v>Full day</ns0:v>
      </ns0:c>
      <ns0:c r="V435" s="0" t="str">
        <ns0:f>IF(Bookings!E435="","Full day",Bookings!E435)</ns0:f>
        <ns0:v>Full day</ns0:v>
      </ns0:c>
      <ns0:c r="W435" s="0">
        <ns0:f>IF(J435=0,0,J435+IF(U435="PM",1,0))</ns0:f>
        <ns0:v>0</ns0:v>
      </ns0:c>
      <ns0:c r="X435" s="0">
        <ns0:f>IF(T435=0,0,T435-IF(V435="PM",1,0))</ns0:f>
        <ns0:v>0</ns0:v>
      </ns0:c>
      <ns0:c r="Y435" s="0">
        <ns0:f>IF(J435=0,0,J435+IF(U435="AM",1,0))</ns0:f>
        <ns0:v>0</ns0:v>
      </ns0:c>
      <ns0:c r="Z435" s="0">
        <ns0:f>IF(T435=0,0,T435-IF(V435="AM",1,0))</ns0:f>
        <ns0:v>0</ns0:v>
      </ns0:c>
      <ns0:c r="AA435" s="0">
        <ns0:f>IFERROR(IF(AND(J435&gt;0,'_Engine'!C435&gt;0,MID('_Engine'!W435,WEEKDAY(J435,2),1)="W",COUNTIF(Settings!$F$18:$F$67,J435)=0),1,0),0)</ns0:f>
        <ns0:v>0</ns0:v>
      </ns0:c>
      <ns0:c r="AB435" s="0">
        <ns0:f>IFERROR(IF(AND(T435&gt;0,'_Engine'!C435&gt;0,MID('_Engine'!W435,WEEKDAY(T435,2),1)="W",COUNTIF(Settings!$F$18:$F$67,T435)=0),1,0),0)</ns0:f>
        <ns0:v>0</ns0:v>
      </ns0:c>
      <ns0:c r="AC435" s="0">
        <ns0:f>IF(AND(J435&gt;0,T435&gt;0,W435&lt;=X435),1,0)</ns0:f>
        <ns0:v>0</ns0:v>
      </ns0:c>
      <ns0:c r="AD435" s="0">
        <ns0:f>IF(AND(J435&gt;0,T435&gt;0,Y435&lt;=Z435),1,0)</ns0:f>
        <ns0:v>0</ns0:v>
      </ns0:c>
    </ns0:row>
    <ns0:row r="436">
      <ns0:c r="A436" s="0">
        <ns0:f>IFERROR(IF(ISNUMBER(Bookings!B436),"",TRIM(Bookings!B436&amp;"")),"")</ns0:f>
      </ns0:c>
      <ns0:c r="B436" s="0">
        <ns0:f>IFERROR(SUBSTITUTE(SUBSTITUTE(A436,"/","."),"-","."),"")</ns0:f>
      </ns0:c>
      <ns0:c r="C436" s="0">
        <ns0:f>IFERROR(LEFT(B436,FIND(".",B436)-1),"")</ns0:f>
      </ns0:c>
      <ns0:c r="D436" s="0">
        <ns0:f>IFERROR(MID(B436,FIND(".",B436)+1,FIND(".",B436,FIND(".",B436)+1)-FIND(".",B436)-1),"")</ns0:f>
      </ns0:c>
      <ns0:c r="E436" s="0">
        <ns0:f>IFERROR(MID(B436,FIND(".",B436,FIND(".",B436)+1)+1,99),"")</ns0:f>
        <ns0:v>99</ns0:v>
      </ns0:c>
      <ns0:c r="F436" s="0">
        <ns0:f>IFERROR(IF(FIND(".",B436)=5,--C436,--E436),0)</ns0:f>
        <ns0:v>0</ns0:v>
      </ns0:c>
      <ns0:c r="G436" s="0">
        <ns0:f>IFERROR(--D436,0)</ns0:f>
        <ns0:v>0</ns0:v>
      </ns0:c>
      <ns0:c r="H436" s="0">
        <ns0:f>IFERROR(IF(FIND(".",B436)=5,--E436,--C436),0)</ns0:f>
        <ns0:v>0</ns0:v>
      </ns0:c>
      <ns0:c r="I436" s="0">
        <ns0:f>IFERROR(IF(AND(F436&gt;=2000,F436&lt;=2100,G436&gt;=1,G436&lt;=12,H436&gt;=1,H436&lt;=31),DATE(F436,G436,H436),0),0)</ns0:f>
        <ns0:v>0</ns0:v>
      </ns0:c>
      <ns0:c r="J436" s="0">
        <ns0:f>IFERROR(IF(ISNUMBER(Bookings!B436),IF(AND(Bookings!B436=INT(Bookings!B436),Bookings!B436&gt;=DATE(2000,1,1),Bookings!B436&lt;=DATE(2100,12,31)),Bookings!B436,0),IF(AND(A436&lt;&gt;"",LEN("x"&amp;B436)-LEN(SUBSTITUTE("x"&amp;B436,".",""))=2,OR(1&gt;LEN(B436),MID(B436,1,1)=".",ISNUMBER(FIND("x"&amp;MID(B436,1,1),"x0x1x2x3x4x5x6x7x8x9"))),OR(2&gt;LEN(B436),MID(B436,2,1)=".",ISNUMBER(FIND("x"&amp;MID(B436,2,1),"x0x1x2x3x4x5x6x7x8x9"))),OR(3&gt;LEN(B436),MID(B436,3,1)=".",ISNUMBER(FIND("x"&amp;MID(B436,3,1),"x0x1x2x3x4x5x6x7x8x9"))),OR(4&gt;LEN(B436),MID(B436,4,1)=".",ISNUMBER(FIND("x"&amp;MID(B436,4,1),"x0x1x2x3x4x5x6x7x8x9"))),OR(5&gt;LEN(B436),MID(B436,5,1)=".",ISNUMBER(FIND("x"&amp;MID(B436,5,1),"x0x1x2x3x4x5x6x7x8x9"))),OR(6&gt;LEN(B436),MID(B436,6,1)=".",ISNUMBER(FIND("x"&amp;MID(B436,6,1),"x0x1x2x3x4x5x6x7x8x9"))),OR(7&gt;LEN(B436),MID(B436,7,1)=".",ISNUMBER(FIND("x"&amp;MID(B436,7,1),"x0x1x2x3x4x5x6x7x8x9"))),OR(8&gt;LEN(B436),MID(B436,8,1)=".",ISNUMBER(FIND("x"&amp;MID(B436,8,1),"x0x1x2x3x4x5x6x7x8x9"))),OR(9&gt;LEN(B436),MID(B436,9,1)=".",ISNUMBER(FIND("x"&amp;MID(B436,9,1),"x0x1x2x3x4x5x6x7x8x9"))),OR(10&gt;LEN(B436),MID(B436,10,1)=".",ISNUMBER(FIND("x"&amp;MID(B436,10,1),"x0x1x2x3x4x5x6x7x8x9"))),OR(AND(FIND(".",B436)=5,LEN(B436)-FIND(".",B436,FIND(".",B436)+1)&gt;=1,LEN(B436)-FIND(".",B436,FIND(".",B436)+1)&lt;=2),AND(LEN(B436)-FIND(".",B436,FIND(".",B436)+1)=4,FIND(".",B436)&gt;=2,FIND(".",B436)&lt;=3)),FIND(".",B436,FIND(".",B436)+1)-FIND(".",B436)&gt;=2,FIND(".",B436,FIND(".",B436)+1)-FIND(".",B436)&lt;=3,F436&gt;=2000,F436&lt;=2100,YEAR(I436)=F436,MONTH(I436)=G436,DAY(I436)=H436),I436,0)),0)</ns0:f>
        <ns0:v>0</ns0:v>
      </ns0:c>
      <ns0:c r="K436" s="0">
        <ns0:f>IFERROR(IF(ISNUMBER(Bookings!D436),"",TRIM(Bookings!D436&amp;"")),"")</ns0:f>
      </ns0:c>
      <ns0:c r="L436" s="0">
        <ns0:f>IFERROR(SUBSTITUTE(SUBSTITUTE(K436,"/","."),"-","."),"")</ns0:f>
      </ns0:c>
      <ns0:c r="M436" s="0">
        <ns0:f>IFERROR(LEFT(L436,FIND(".",L436)-1),"")</ns0:f>
      </ns0:c>
      <ns0:c r="N436" s="0">
        <ns0:f>IFERROR(MID(L436,FIND(".",L436)+1,FIND(".",L436,FIND(".",L436)+1)-FIND(".",L436)-1),"")</ns0:f>
      </ns0:c>
      <ns0:c r="O436" s="0">
        <ns0:f>IFERROR(MID(L436,FIND(".",L436,FIND(".",L436)+1)+1,99),"")</ns0:f>
        <ns0:v>99</ns0:v>
      </ns0:c>
      <ns0:c r="P436" s="0">
        <ns0:f>IFERROR(IF(FIND(".",L436)=5,--M436,--O436),0)</ns0:f>
        <ns0:v>0</ns0:v>
      </ns0:c>
      <ns0:c r="Q436" s="0">
        <ns0:f>IFERROR(--N436,0)</ns0:f>
        <ns0:v>0</ns0:v>
      </ns0:c>
      <ns0:c r="R436" s="0">
        <ns0:f>IFERROR(IF(FIND(".",L436)=5,--O436,--M436),0)</ns0:f>
        <ns0:v>0</ns0:v>
      </ns0:c>
      <ns0:c r="S436" s="0">
        <ns0:f>IFERROR(IF(AND(P436&gt;=2000,P436&lt;=2100,Q436&gt;=1,Q436&lt;=12,R436&gt;=1,R436&lt;=31),DATE(P436,Q436,R436),0),0)</ns0:f>
        <ns0:v>0</ns0:v>
      </ns0:c>
      <ns0:c r="T436" s="0">
        <ns0:f>IFERROR(IF(ISNUMBER(Bookings!D436),IF(AND(Bookings!D436=INT(Bookings!D436),Bookings!D436&gt;=DATE(2000,1,1),Bookings!D436&lt;=DATE(2100,12,31)),Bookings!D436,0),IF(AND(K436&lt;&gt;"",LEN("x"&amp;L436)-LEN(SUBSTITUTE("x"&amp;L436,".",""))=2,OR(1&gt;LEN(L436),MID(L436,1,1)=".",ISNUMBER(FIND("x"&amp;MID(L436,1,1),"x0x1x2x3x4x5x6x7x8x9"))),OR(2&gt;LEN(L436),MID(L436,2,1)=".",ISNUMBER(FIND("x"&amp;MID(L436,2,1),"x0x1x2x3x4x5x6x7x8x9"))),OR(3&gt;LEN(L436),MID(L436,3,1)=".",ISNUMBER(FIND("x"&amp;MID(L436,3,1),"x0x1x2x3x4x5x6x7x8x9"))),OR(4&gt;LEN(L436),MID(L436,4,1)=".",ISNUMBER(FIND("x"&amp;MID(L436,4,1),"x0x1x2x3x4x5x6x7x8x9"))),OR(5&gt;LEN(L436),MID(L436,5,1)=".",ISNUMBER(FIND("x"&amp;MID(L436,5,1),"x0x1x2x3x4x5x6x7x8x9"))),OR(6&gt;LEN(L436),MID(L436,6,1)=".",ISNUMBER(FIND("x"&amp;MID(L436,6,1),"x0x1x2x3x4x5x6x7x8x9"))),OR(7&gt;LEN(L436),MID(L436,7,1)=".",ISNUMBER(FIND("x"&amp;MID(L436,7,1),"x0x1x2x3x4x5x6x7x8x9"))),OR(8&gt;LEN(L436),MID(L436,8,1)=".",ISNUMBER(FIND("x"&amp;MID(L436,8,1),"x0x1x2x3x4x5x6x7x8x9"))),OR(9&gt;LEN(L436),MID(L436,9,1)=".",ISNUMBER(FIND("x"&amp;MID(L436,9,1),"x0x1x2x3x4x5x6x7x8x9"))),OR(10&gt;LEN(L436),MID(L436,10,1)=".",ISNUMBER(FIND("x"&amp;MID(L436,10,1),"x0x1x2x3x4x5x6x7x8x9"))),OR(AND(FIND(".",L436)=5,LEN(L436)-FIND(".",L436,FIND(".",L436)+1)&gt;=1,LEN(L436)-FIND(".",L436,FIND(".",L436)+1)&lt;=2),AND(LEN(L436)-FIND(".",L436,FIND(".",L436)+1)=4,FIND(".",L436)&gt;=2,FIND(".",L436)&lt;=3)),FIND(".",L436,FIND(".",L436)+1)-FIND(".",L436)&gt;=2,FIND(".",L436,FIND(".",L436)+1)-FIND(".",L436)&lt;=3,P436&gt;=2000,P436&lt;=2100,YEAR(S436)=P436,MONTH(S436)=Q436,DAY(S436)=R436),S436,0)),0)</ns0:f>
        <ns0:v>0</ns0:v>
      </ns0:c>
      <ns0:c r="U436" s="0" t="str">
        <ns0:f>IF(Bookings!C436="","Full day",Bookings!C436)</ns0:f>
        <ns0:v>Full day</ns0:v>
      </ns0:c>
      <ns0:c r="V436" s="0" t="str">
        <ns0:f>IF(Bookings!E436="","Full day",Bookings!E436)</ns0:f>
        <ns0:v>Full day</ns0:v>
      </ns0:c>
      <ns0:c r="W436" s="0">
        <ns0:f>IF(J436=0,0,J436+IF(U436="PM",1,0))</ns0:f>
        <ns0:v>0</ns0:v>
      </ns0:c>
      <ns0:c r="X436" s="0">
        <ns0:f>IF(T436=0,0,T436-IF(V436="PM",1,0))</ns0:f>
        <ns0:v>0</ns0:v>
      </ns0:c>
      <ns0:c r="Y436" s="0">
        <ns0:f>IF(J436=0,0,J436+IF(U436="AM",1,0))</ns0:f>
        <ns0:v>0</ns0:v>
      </ns0:c>
      <ns0:c r="Z436" s="0">
        <ns0:f>IF(T436=0,0,T436-IF(V436="AM",1,0))</ns0:f>
        <ns0:v>0</ns0:v>
      </ns0:c>
      <ns0:c r="AA436" s="0">
        <ns0:f>IFERROR(IF(AND(J436&gt;0,'_Engine'!C436&gt;0,MID('_Engine'!W436,WEEKDAY(J436,2),1)="W",COUNTIF(Settings!$F$18:$F$67,J436)=0),1,0),0)</ns0:f>
        <ns0:v>0</ns0:v>
      </ns0:c>
      <ns0:c r="AB436" s="0">
        <ns0:f>IFERROR(IF(AND(T436&gt;0,'_Engine'!C436&gt;0,MID('_Engine'!W436,WEEKDAY(T436,2),1)="W",COUNTIF(Settings!$F$18:$F$67,T436)=0),1,0),0)</ns0:f>
        <ns0:v>0</ns0:v>
      </ns0:c>
      <ns0:c r="AC436" s="0">
        <ns0:f>IF(AND(J436&gt;0,T436&gt;0,W436&lt;=X436),1,0)</ns0:f>
        <ns0:v>0</ns0:v>
      </ns0:c>
      <ns0:c r="AD436" s="0">
        <ns0:f>IF(AND(J436&gt;0,T436&gt;0,Y436&lt;=Z436),1,0)</ns0:f>
        <ns0:v>0</ns0:v>
      </ns0:c>
    </ns0:row>
    <ns0:row r="437">
      <ns0:c r="A437" s="0">
        <ns0:f>IFERROR(IF(ISNUMBER(Bookings!B437),"",TRIM(Bookings!B437&amp;"")),"")</ns0:f>
      </ns0:c>
      <ns0:c r="B437" s="0">
        <ns0:f>IFERROR(SUBSTITUTE(SUBSTITUTE(A437,"/","."),"-","."),"")</ns0:f>
      </ns0:c>
      <ns0:c r="C437" s="0">
        <ns0:f>IFERROR(LEFT(B437,FIND(".",B437)-1),"")</ns0:f>
      </ns0:c>
      <ns0:c r="D437" s="0">
        <ns0:f>IFERROR(MID(B437,FIND(".",B437)+1,FIND(".",B437,FIND(".",B437)+1)-FIND(".",B437)-1),"")</ns0:f>
      </ns0:c>
      <ns0:c r="E437" s="0">
        <ns0:f>IFERROR(MID(B437,FIND(".",B437,FIND(".",B437)+1)+1,99),"")</ns0:f>
        <ns0:v>99</ns0:v>
      </ns0:c>
      <ns0:c r="F437" s="0">
        <ns0:f>IFERROR(IF(FIND(".",B437)=5,--C437,--E437),0)</ns0:f>
        <ns0:v>0</ns0:v>
      </ns0:c>
      <ns0:c r="G437" s="0">
        <ns0:f>IFERROR(--D437,0)</ns0:f>
        <ns0:v>0</ns0:v>
      </ns0:c>
      <ns0:c r="H437" s="0">
        <ns0:f>IFERROR(IF(FIND(".",B437)=5,--E437,--C437),0)</ns0:f>
        <ns0:v>0</ns0:v>
      </ns0:c>
      <ns0:c r="I437" s="0">
        <ns0:f>IFERROR(IF(AND(F437&gt;=2000,F437&lt;=2100,G437&gt;=1,G437&lt;=12,H437&gt;=1,H437&lt;=31),DATE(F437,G437,H437),0),0)</ns0:f>
        <ns0:v>0</ns0:v>
      </ns0:c>
      <ns0:c r="J437" s="0">
        <ns0:f>IFERROR(IF(ISNUMBER(Bookings!B437),IF(AND(Bookings!B437=INT(Bookings!B437),Bookings!B437&gt;=DATE(2000,1,1),Bookings!B437&lt;=DATE(2100,12,31)),Bookings!B437,0),IF(AND(A437&lt;&gt;"",LEN("x"&amp;B437)-LEN(SUBSTITUTE("x"&amp;B437,".",""))=2,OR(1&gt;LEN(B437),MID(B437,1,1)=".",ISNUMBER(FIND("x"&amp;MID(B437,1,1),"x0x1x2x3x4x5x6x7x8x9"))),OR(2&gt;LEN(B437),MID(B437,2,1)=".",ISNUMBER(FIND("x"&amp;MID(B437,2,1),"x0x1x2x3x4x5x6x7x8x9"))),OR(3&gt;LEN(B437),MID(B437,3,1)=".",ISNUMBER(FIND("x"&amp;MID(B437,3,1),"x0x1x2x3x4x5x6x7x8x9"))),OR(4&gt;LEN(B437),MID(B437,4,1)=".",ISNUMBER(FIND("x"&amp;MID(B437,4,1),"x0x1x2x3x4x5x6x7x8x9"))),OR(5&gt;LEN(B437),MID(B437,5,1)=".",ISNUMBER(FIND("x"&amp;MID(B437,5,1),"x0x1x2x3x4x5x6x7x8x9"))),OR(6&gt;LEN(B437),MID(B437,6,1)=".",ISNUMBER(FIND("x"&amp;MID(B437,6,1),"x0x1x2x3x4x5x6x7x8x9"))),OR(7&gt;LEN(B437),MID(B437,7,1)=".",ISNUMBER(FIND("x"&amp;MID(B437,7,1),"x0x1x2x3x4x5x6x7x8x9"))),OR(8&gt;LEN(B437),MID(B437,8,1)=".",ISNUMBER(FIND("x"&amp;MID(B437,8,1),"x0x1x2x3x4x5x6x7x8x9"))),OR(9&gt;LEN(B437),MID(B437,9,1)=".",ISNUMBER(FIND("x"&amp;MID(B437,9,1),"x0x1x2x3x4x5x6x7x8x9"))),OR(10&gt;LEN(B437),MID(B437,10,1)=".",ISNUMBER(FIND("x"&amp;MID(B437,10,1),"x0x1x2x3x4x5x6x7x8x9"))),OR(AND(FIND(".",B437)=5,LEN(B437)-FIND(".",B437,FIND(".",B437)+1)&gt;=1,LEN(B437)-FIND(".",B437,FIND(".",B437)+1)&lt;=2),AND(LEN(B437)-FIND(".",B437,FIND(".",B437)+1)=4,FIND(".",B437)&gt;=2,FIND(".",B437)&lt;=3)),FIND(".",B437,FIND(".",B437)+1)-FIND(".",B437)&gt;=2,FIND(".",B437,FIND(".",B437)+1)-FIND(".",B437)&lt;=3,F437&gt;=2000,F437&lt;=2100,YEAR(I437)=F437,MONTH(I437)=G437,DAY(I437)=H437),I437,0)),0)</ns0:f>
        <ns0:v>0</ns0:v>
      </ns0:c>
      <ns0:c r="K437" s="0">
        <ns0:f>IFERROR(IF(ISNUMBER(Bookings!D437),"",TRIM(Bookings!D437&amp;"")),"")</ns0:f>
      </ns0:c>
      <ns0:c r="L437" s="0">
        <ns0:f>IFERROR(SUBSTITUTE(SUBSTITUTE(K437,"/","."),"-","."),"")</ns0:f>
      </ns0:c>
      <ns0:c r="M437" s="0">
        <ns0:f>IFERROR(LEFT(L437,FIND(".",L437)-1),"")</ns0:f>
      </ns0:c>
      <ns0:c r="N437" s="0">
        <ns0:f>IFERROR(MID(L437,FIND(".",L437)+1,FIND(".",L437,FIND(".",L437)+1)-FIND(".",L437)-1),"")</ns0:f>
      </ns0:c>
      <ns0:c r="O437" s="0">
        <ns0:f>IFERROR(MID(L437,FIND(".",L437,FIND(".",L437)+1)+1,99),"")</ns0:f>
        <ns0:v>99</ns0:v>
      </ns0:c>
      <ns0:c r="P437" s="0">
        <ns0:f>IFERROR(IF(FIND(".",L437)=5,--M437,--O437),0)</ns0:f>
        <ns0:v>0</ns0:v>
      </ns0:c>
      <ns0:c r="Q437" s="0">
        <ns0:f>IFERROR(--N437,0)</ns0:f>
        <ns0:v>0</ns0:v>
      </ns0:c>
      <ns0:c r="R437" s="0">
        <ns0:f>IFERROR(IF(FIND(".",L437)=5,--O437,--M437),0)</ns0:f>
        <ns0:v>0</ns0:v>
      </ns0:c>
      <ns0:c r="S437" s="0">
        <ns0:f>IFERROR(IF(AND(P437&gt;=2000,P437&lt;=2100,Q437&gt;=1,Q437&lt;=12,R437&gt;=1,R437&lt;=31),DATE(P437,Q437,R437),0),0)</ns0:f>
        <ns0:v>0</ns0:v>
      </ns0:c>
      <ns0:c r="T437" s="0">
        <ns0:f>IFERROR(IF(ISNUMBER(Bookings!D437),IF(AND(Bookings!D437=INT(Bookings!D437),Bookings!D437&gt;=DATE(2000,1,1),Bookings!D437&lt;=DATE(2100,12,31)),Bookings!D437,0),IF(AND(K437&lt;&gt;"",LEN("x"&amp;L437)-LEN(SUBSTITUTE("x"&amp;L437,".",""))=2,OR(1&gt;LEN(L437),MID(L437,1,1)=".",ISNUMBER(FIND("x"&amp;MID(L437,1,1),"x0x1x2x3x4x5x6x7x8x9"))),OR(2&gt;LEN(L437),MID(L437,2,1)=".",ISNUMBER(FIND("x"&amp;MID(L437,2,1),"x0x1x2x3x4x5x6x7x8x9"))),OR(3&gt;LEN(L437),MID(L437,3,1)=".",ISNUMBER(FIND("x"&amp;MID(L437,3,1),"x0x1x2x3x4x5x6x7x8x9"))),OR(4&gt;LEN(L437),MID(L437,4,1)=".",ISNUMBER(FIND("x"&amp;MID(L437,4,1),"x0x1x2x3x4x5x6x7x8x9"))),OR(5&gt;LEN(L437),MID(L437,5,1)=".",ISNUMBER(FIND("x"&amp;MID(L437,5,1),"x0x1x2x3x4x5x6x7x8x9"))),OR(6&gt;LEN(L437),MID(L437,6,1)=".",ISNUMBER(FIND("x"&amp;MID(L437,6,1),"x0x1x2x3x4x5x6x7x8x9"))),OR(7&gt;LEN(L437),MID(L437,7,1)=".",ISNUMBER(FIND("x"&amp;MID(L437,7,1),"x0x1x2x3x4x5x6x7x8x9"))),OR(8&gt;LEN(L437),MID(L437,8,1)=".",ISNUMBER(FIND("x"&amp;MID(L437,8,1),"x0x1x2x3x4x5x6x7x8x9"))),OR(9&gt;LEN(L437),MID(L437,9,1)=".",ISNUMBER(FIND("x"&amp;MID(L437,9,1),"x0x1x2x3x4x5x6x7x8x9"))),OR(10&gt;LEN(L437),MID(L437,10,1)=".",ISNUMBER(FIND("x"&amp;MID(L437,10,1),"x0x1x2x3x4x5x6x7x8x9"))),OR(AND(FIND(".",L437)=5,LEN(L437)-FIND(".",L437,FIND(".",L437)+1)&gt;=1,LEN(L437)-FIND(".",L437,FIND(".",L437)+1)&lt;=2),AND(LEN(L437)-FIND(".",L437,FIND(".",L437)+1)=4,FIND(".",L437)&gt;=2,FIND(".",L437)&lt;=3)),FIND(".",L437,FIND(".",L437)+1)-FIND(".",L437)&gt;=2,FIND(".",L437,FIND(".",L437)+1)-FIND(".",L437)&lt;=3,P437&gt;=2000,P437&lt;=2100,YEAR(S437)=P437,MONTH(S437)=Q437,DAY(S437)=R437),S437,0)),0)</ns0:f>
        <ns0:v>0</ns0:v>
      </ns0:c>
      <ns0:c r="U437" s="0" t="str">
        <ns0:f>IF(Bookings!C437="","Full day",Bookings!C437)</ns0:f>
        <ns0:v>Full day</ns0:v>
      </ns0:c>
      <ns0:c r="V437" s="0" t="str">
        <ns0:f>IF(Bookings!E437="","Full day",Bookings!E437)</ns0:f>
        <ns0:v>Full day</ns0:v>
      </ns0:c>
      <ns0:c r="W437" s="0">
        <ns0:f>IF(J437=0,0,J437+IF(U437="PM",1,0))</ns0:f>
        <ns0:v>0</ns0:v>
      </ns0:c>
      <ns0:c r="X437" s="0">
        <ns0:f>IF(T437=0,0,T437-IF(V437="PM",1,0))</ns0:f>
        <ns0:v>0</ns0:v>
      </ns0:c>
      <ns0:c r="Y437" s="0">
        <ns0:f>IF(J437=0,0,J437+IF(U437="AM",1,0))</ns0:f>
        <ns0:v>0</ns0:v>
      </ns0:c>
      <ns0:c r="Z437" s="0">
        <ns0:f>IF(T437=0,0,T437-IF(V437="AM",1,0))</ns0:f>
        <ns0:v>0</ns0:v>
      </ns0:c>
      <ns0:c r="AA437" s="0">
        <ns0:f>IFERROR(IF(AND(J437&gt;0,'_Engine'!C437&gt;0,MID('_Engine'!W437,WEEKDAY(J437,2),1)="W",COUNTIF(Settings!$F$18:$F$67,J437)=0),1,0),0)</ns0:f>
        <ns0:v>0</ns0:v>
      </ns0:c>
      <ns0:c r="AB437" s="0">
        <ns0:f>IFERROR(IF(AND(T437&gt;0,'_Engine'!C437&gt;0,MID('_Engine'!W437,WEEKDAY(T437,2),1)="W",COUNTIF(Settings!$F$18:$F$67,T437)=0),1,0),0)</ns0:f>
        <ns0:v>0</ns0:v>
      </ns0:c>
      <ns0:c r="AC437" s="0">
        <ns0:f>IF(AND(J437&gt;0,T437&gt;0,W437&lt;=X437),1,0)</ns0:f>
        <ns0:v>0</ns0:v>
      </ns0:c>
      <ns0:c r="AD437" s="0">
        <ns0:f>IF(AND(J437&gt;0,T437&gt;0,Y437&lt;=Z437),1,0)</ns0:f>
        <ns0:v>0</ns0:v>
      </ns0:c>
    </ns0:row>
    <ns0:row r="438">
      <ns0:c r="A438" s="0">
        <ns0:f>IFERROR(IF(ISNUMBER(Bookings!B438),"",TRIM(Bookings!B438&amp;"")),"")</ns0:f>
      </ns0:c>
      <ns0:c r="B438" s="0">
        <ns0:f>IFERROR(SUBSTITUTE(SUBSTITUTE(A438,"/","."),"-","."),"")</ns0:f>
      </ns0:c>
      <ns0:c r="C438" s="0">
        <ns0:f>IFERROR(LEFT(B438,FIND(".",B438)-1),"")</ns0:f>
      </ns0:c>
      <ns0:c r="D438" s="0">
        <ns0:f>IFERROR(MID(B438,FIND(".",B438)+1,FIND(".",B438,FIND(".",B438)+1)-FIND(".",B438)-1),"")</ns0:f>
      </ns0:c>
      <ns0:c r="E438" s="0">
        <ns0:f>IFERROR(MID(B438,FIND(".",B438,FIND(".",B438)+1)+1,99),"")</ns0:f>
        <ns0:v>99</ns0:v>
      </ns0:c>
      <ns0:c r="F438" s="0">
        <ns0:f>IFERROR(IF(FIND(".",B438)=5,--C438,--E438),0)</ns0:f>
        <ns0:v>0</ns0:v>
      </ns0:c>
      <ns0:c r="G438" s="0">
        <ns0:f>IFERROR(--D438,0)</ns0:f>
        <ns0:v>0</ns0:v>
      </ns0:c>
      <ns0:c r="H438" s="0">
        <ns0:f>IFERROR(IF(FIND(".",B438)=5,--E438,--C438),0)</ns0:f>
        <ns0:v>0</ns0:v>
      </ns0:c>
      <ns0:c r="I438" s="0">
        <ns0:f>IFERROR(IF(AND(F438&gt;=2000,F438&lt;=2100,G438&gt;=1,G438&lt;=12,H438&gt;=1,H438&lt;=31),DATE(F438,G438,H438),0),0)</ns0:f>
        <ns0:v>0</ns0:v>
      </ns0:c>
      <ns0:c r="J438" s="0">
        <ns0:f>IFERROR(IF(ISNUMBER(Bookings!B438),IF(AND(Bookings!B438=INT(Bookings!B438),Bookings!B438&gt;=DATE(2000,1,1),Bookings!B438&lt;=DATE(2100,12,31)),Bookings!B438,0),IF(AND(A438&lt;&gt;"",LEN("x"&amp;B438)-LEN(SUBSTITUTE("x"&amp;B438,".",""))=2,OR(1&gt;LEN(B438),MID(B438,1,1)=".",ISNUMBER(FIND("x"&amp;MID(B438,1,1),"x0x1x2x3x4x5x6x7x8x9"))),OR(2&gt;LEN(B438),MID(B438,2,1)=".",ISNUMBER(FIND("x"&amp;MID(B438,2,1),"x0x1x2x3x4x5x6x7x8x9"))),OR(3&gt;LEN(B438),MID(B438,3,1)=".",ISNUMBER(FIND("x"&amp;MID(B438,3,1),"x0x1x2x3x4x5x6x7x8x9"))),OR(4&gt;LEN(B438),MID(B438,4,1)=".",ISNUMBER(FIND("x"&amp;MID(B438,4,1),"x0x1x2x3x4x5x6x7x8x9"))),OR(5&gt;LEN(B438),MID(B438,5,1)=".",ISNUMBER(FIND("x"&amp;MID(B438,5,1),"x0x1x2x3x4x5x6x7x8x9"))),OR(6&gt;LEN(B438),MID(B438,6,1)=".",ISNUMBER(FIND("x"&amp;MID(B438,6,1),"x0x1x2x3x4x5x6x7x8x9"))),OR(7&gt;LEN(B438),MID(B438,7,1)=".",ISNUMBER(FIND("x"&amp;MID(B438,7,1),"x0x1x2x3x4x5x6x7x8x9"))),OR(8&gt;LEN(B438),MID(B438,8,1)=".",ISNUMBER(FIND("x"&amp;MID(B438,8,1),"x0x1x2x3x4x5x6x7x8x9"))),OR(9&gt;LEN(B438),MID(B438,9,1)=".",ISNUMBER(FIND("x"&amp;MID(B438,9,1),"x0x1x2x3x4x5x6x7x8x9"))),OR(10&gt;LEN(B438),MID(B438,10,1)=".",ISNUMBER(FIND("x"&amp;MID(B438,10,1),"x0x1x2x3x4x5x6x7x8x9"))),OR(AND(FIND(".",B438)=5,LEN(B438)-FIND(".",B438,FIND(".",B438)+1)&gt;=1,LEN(B438)-FIND(".",B438,FIND(".",B438)+1)&lt;=2),AND(LEN(B438)-FIND(".",B438,FIND(".",B438)+1)=4,FIND(".",B438)&gt;=2,FIND(".",B438)&lt;=3)),FIND(".",B438,FIND(".",B438)+1)-FIND(".",B438)&gt;=2,FIND(".",B438,FIND(".",B438)+1)-FIND(".",B438)&lt;=3,F438&gt;=2000,F438&lt;=2100,YEAR(I438)=F438,MONTH(I438)=G438,DAY(I438)=H438),I438,0)),0)</ns0:f>
        <ns0:v>0</ns0:v>
      </ns0:c>
      <ns0:c r="K438" s="0">
        <ns0:f>IFERROR(IF(ISNUMBER(Bookings!D438),"",TRIM(Bookings!D438&amp;"")),"")</ns0:f>
      </ns0:c>
      <ns0:c r="L438" s="0">
        <ns0:f>IFERROR(SUBSTITUTE(SUBSTITUTE(K438,"/","."),"-","."),"")</ns0:f>
      </ns0:c>
      <ns0:c r="M438" s="0">
        <ns0:f>IFERROR(LEFT(L438,FIND(".",L438)-1),"")</ns0:f>
      </ns0:c>
      <ns0:c r="N438" s="0">
        <ns0:f>IFERROR(MID(L438,FIND(".",L438)+1,FIND(".",L438,FIND(".",L438)+1)-FIND(".",L438)-1),"")</ns0:f>
      </ns0:c>
      <ns0:c r="O438" s="0">
        <ns0:f>IFERROR(MID(L438,FIND(".",L438,FIND(".",L438)+1)+1,99),"")</ns0:f>
        <ns0:v>99</ns0:v>
      </ns0:c>
      <ns0:c r="P438" s="0">
        <ns0:f>IFERROR(IF(FIND(".",L438)=5,--M438,--O438),0)</ns0:f>
        <ns0:v>0</ns0:v>
      </ns0:c>
      <ns0:c r="Q438" s="0">
        <ns0:f>IFERROR(--N438,0)</ns0:f>
        <ns0:v>0</ns0:v>
      </ns0:c>
      <ns0:c r="R438" s="0">
        <ns0:f>IFERROR(IF(FIND(".",L438)=5,--O438,--M438),0)</ns0:f>
        <ns0:v>0</ns0:v>
      </ns0:c>
      <ns0:c r="S438" s="0">
        <ns0:f>IFERROR(IF(AND(P438&gt;=2000,P438&lt;=2100,Q438&gt;=1,Q438&lt;=12,R438&gt;=1,R438&lt;=31),DATE(P438,Q438,R438),0),0)</ns0:f>
        <ns0:v>0</ns0:v>
      </ns0:c>
      <ns0:c r="T438" s="0">
        <ns0:f>IFERROR(IF(ISNUMBER(Bookings!D438),IF(AND(Bookings!D438=INT(Bookings!D438),Bookings!D438&gt;=DATE(2000,1,1),Bookings!D438&lt;=DATE(2100,12,31)),Bookings!D438,0),IF(AND(K438&lt;&gt;"",LEN("x"&amp;L438)-LEN(SUBSTITUTE("x"&amp;L438,".",""))=2,OR(1&gt;LEN(L438),MID(L438,1,1)=".",ISNUMBER(FIND("x"&amp;MID(L438,1,1),"x0x1x2x3x4x5x6x7x8x9"))),OR(2&gt;LEN(L438),MID(L438,2,1)=".",ISNUMBER(FIND("x"&amp;MID(L438,2,1),"x0x1x2x3x4x5x6x7x8x9"))),OR(3&gt;LEN(L438),MID(L438,3,1)=".",ISNUMBER(FIND("x"&amp;MID(L438,3,1),"x0x1x2x3x4x5x6x7x8x9"))),OR(4&gt;LEN(L438),MID(L438,4,1)=".",ISNUMBER(FIND("x"&amp;MID(L438,4,1),"x0x1x2x3x4x5x6x7x8x9"))),OR(5&gt;LEN(L438),MID(L438,5,1)=".",ISNUMBER(FIND("x"&amp;MID(L438,5,1),"x0x1x2x3x4x5x6x7x8x9"))),OR(6&gt;LEN(L438),MID(L438,6,1)=".",ISNUMBER(FIND("x"&amp;MID(L438,6,1),"x0x1x2x3x4x5x6x7x8x9"))),OR(7&gt;LEN(L438),MID(L438,7,1)=".",ISNUMBER(FIND("x"&amp;MID(L438,7,1),"x0x1x2x3x4x5x6x7x8x9"))),OR(8&gt;LEN(L438),MID(L438,8,1)=".",ISNUMBER(FIND("x"&amp;MID(L438,8,1),"x0x1x2x3x4x5x6x7x8x9"))),OR(9&gt;LEN(L438),MID(L438,9,1)=".",ISNUMBER(FIND("x"&amp;MID(L438,9,1),"x0x1x2x3x4x5x6x7x8x9"))),OR(10&gt;LEN(L438),MID(L438,10,1)=".",ISNUMBER(FIND("x"&amp;MID(L438,10,1),"x0x1x2x3x4x5x6x7x8x9"))),OR(AND(FIND(".",L438)=5,LEN(L438)-FIND(".",L438,FIND(".",L438)+1)&gt;=1,LEN(L438)-FIND(".",L438,FIND(".",L438)+1)&lt;=2),AND(LEN(L438)-FIND(".",L438,FIND(".",L438)+1)=4,FIND(".",L438)&gt;=2,FIND(".",L438)&lt;=3)),FIND(".",L438,FIND(".",L438)+1)-FIND(".",L438)&gt;=2,FIND(".",L438,FIND(".",L438)+1)-FIND(".",L438)&lt;=3,P438&gt;=2000,P438&lt;=2100,YEAR(S438)=P438,MONTH(S438)=Q438,DAY(S438)=R438),S438,0)),0)</ns0:f>
        <ns0:v>0</ns0:v>
      </ns0:c>
      <ns0:c r="U438" s="0" t="str">
        <ns0:f>IF(Bookings!C438="","Full day",Bookings!C438)</ns0:f>
        <ns0:v>Full day</ns0:v>
      </ns0:c>
      <ns0:c r="V438" s="0" t="str">
        <ns0:f>IF(Bookings!E438="","Full day",Bookings!E438)</ns0:f>
        <ns0:v>Full day</ns0:v>
      </ns0:c>
      <ns0:c r="W438" s="0">
        <ns0:f>IF(J438=0,0,J438+IF(U438="PM",1,0))</ns0:f>
        <ns0:v>0</ns0:v>
      </ns0:c>
      <ns0:c r="X438" s="0">
        <ns0:f>IF(T438=0,0,T438-IF(V438="PM",1,0))</ns0:f>
        <ns0:v>0</ns0:v>
      </ns0:c>
      <ns0:c r="Y438" s="0">
        <ns0:f>IF(J438=0,0,J438+IF(U438="AM",1,0))</ns0:f>
        <ns0:v>0</ns0:v>
      </ns0:c>
      <ns0:c r="Z438" s="0">
        <ns0:f>IF(T438=0,0,T438-IF(V438="AM",1,0))</ns0:f>
        <ns0:v>0</ns0:v>
      </ns0:c>
      <ns0:c r="AA438" s="0">
        <ns0:f>IFERROR(IF(AND(J438&gt;0,'_Engine'!C438&gt;0,MID('_Engine'!W438,WEEKDAY(J438,2),1)="W",COUNTIF(Settings!$F$18:$F$67,J438)=0),1,0),0)</ns0:f>
        <ns0:v>0</ns0:v>
      </ns0:c>
      <ns0:c r="AB438" s="0">
        <ns0:f>IFERROR(IF(AND(T438&gt;0,'_Engine'!C438&gt;0,MID('_Engine'!W438,WEEKDAY(T438,2),1)="W",COUNTIF(Settings!$F$18:$F$67,T438)=0),1,0),0)</ns0:f>
        <ns0:v>0</ns0:v>
      </ns0:c>
      <ns0:c r="AC438" s="0">
        <ns0:f>IF(AND(J438&gt;0,T438&gt;0,W438&lt;=X438),1,0)</ns0:f>
        <ns0:v>0</ns0:v>
      </ns0:c>
      <ns0:c r="AD438" s="0">
        <ns0:f>IF(AND(J438&gt;0,T438&gt;0,Y438&lt;=Z438),1,0)</ns0:f>
        <ns0:v>0</ns0:v>
      </ns0:c>
    </ns0:row>
    <ns0:row r="439">
      <ns0:c r="A439" s="0">
        <ns0:f>IFERROR(IF(ISNUMBER(Bookings!B439),"",TRIM(Bookings!B439&amp;"")),"")</ns0:f>
      </ns0:c>
      <ns0:c r="B439" s="0">
        <ns0:f>IFERROR(SUBSTITUTE(SUBSTITUTE(A439,"/","."),"-","."),"")</ns0:f>
      </ns0:c>
      <ns0:c r="C439" s="0">
        <ns0:f>IFERROR(LEFT(B439,FIND(".",B439)-1),"")</ns0:f>
      </ns0:c>
      <ns0:c r="D439" s="0">
        <ns0:f>IFERROR(MID(B439,FIND(".",B439)+1,FIND(".",B439,FIND(".",B439)+1)-FIND(".",B439)-1),"")</ns0:f>
      </ns0:c>
      <ns0:c r="E439" s="0">
        <ns0:f>IFERROR(MID(B439,FIND(".",B439,FIND(".",B439)+1)+1,99),"")</ns0:f>
        <ns0:v>99</ns0:v>
      </ns0:c>
      <ns0:c r="F439" s="0">
        <ns0:f>IFERROR(IF(FIND(".",B439)=5,--C439,--E439),0)</ns0:f>
        <ns0:v>0</ns0:v>
      </ns0:c>
      <ns0:c r="G439" s="0">
        <ns0:f>IFERROR(--D439,0)</ns0:f>
        <ns0:v>0</ns0:v>
      </ns0:c>
      <ns0:c r="H439" s="0">
        <ns0:f>IFERROR(IF(FIND(".",B439)=5,--E439,--C439),0)</ns0:f>
        <ns0:v>0</ns0:v>
      </ns0:c>
      <ns0:c r="I439" s="0">
        <ns0:f>IFERROR(IF(AND(F439&gt;=2000,F439&lt;=2100,G439&gt;=1,G439&lt;=12,H439&gt;=1,H439&lt;=31),DATE(F439,G439,H439),0),0)</ns0:f>
        <ns0:v>0</ns0:v>
      </ns0:c>
      <ns0:c r="J439" s="0">
        <ns0:f>IFERROR(IF(ISNUMBER(Bookings!B439),IF(AND(Bookings!B439=INT(Bookings!B439),Bookings!B439&gt;=DATE(2000,1,1),Bookings!B439&lt;=DATE(2100,12,31)),Bookings!B439,0),IF(AND(A439&lt;&gt;"",LEN("x"&amp;B439)-LEN(SUBSTITUTE("x"&amp;B439,".",""))=2,OR(1&gt;LEN(B439),MID(B439,1,1)=".",ISNUMBER(FIND("x"&amp;MID(B439,1,1),"x0x1x2x3x4x5x6x7x8x9"))),OR(2&gt;LEN(B439),MID(B439,2,1)=".",ISNUMBER(FIND("x"&amp;MID(B439,2,1),"x0x1x2x3x4x5x6x7x8x9"))),OR(3&gt;LEN(B439),MID(B439,3,1)=".",ISNUMBER(FIND("x"&amp;MID(B439,3,1),"x0x1x2x3x4x5x6x7x8x9"))),OR(4&gt;LEN(B439),MID(B439,4,1)=".",ISNUMBER(FIND("x"&amp;MID(B439,4,1),"x0x1x2x3x4x5x6x7x8x9"))),OR(5&gt;LEN(B439),MID(B439,5,1)=".",ISNUMBER(FIND("x"&amp;MID(B439,5,1),"x0x1x2x3x4x5x6x7x8x9"))),OR(6&gt;LEN(B439),MID(B439,6,1)=".",ISNUMBER(FIND("x"&amp;MID(B439,6,1),"x0x1x2x3x4x5x6x7x8x9"))),OR(7&gt;LEN(B439),MID(B439,7,1)=".",ISNUMBER(FIND("x"&amp;MID(B439,7,1),"x0x1x2x3x4x5x6x7x8x9"))),OR(8&gt;LEN(B439),MID(B439,8,1)=".",ISNUMBER(FIND("x"&amp;MID(B439,8,1),"x0x1x2x3x4x5x6x7x8x9"))),OR(9&gt;LEN(B439),MID(B439,9,1)=".",ISNUMBER(FIND("x"&amp;MID(B439,9,1),"x0x1x2x3x4x5x6x7x8x9"))),OR(10&gt;LEN(B439),MID(B439,10,1)=".",ISNUMBER(FIND("x"&amp;MID(B439,10,1),"x0x1x2x3x4x5x6x7x8x9"))),OR(AND(FIND(".",B439)=5,LEN(B439)-FIND(".",B439,FIND(".",B439)+1)&gt;=1,LEN(B439)-FIND(".",B439,FIND(".",B439)+1)&lt;=2),AND(LEN(B439)-FIND(".",B439,FIND(".",B439)+1)=4,FIND(".",B439)&gt;=2,FIND(".",B439)&lt;=3)),FIND(".",B439,FIND(".",B439)+1)-FIND(".",B439)&gt;=2,FIND(".",B439,FIND(".",B439)+1)-FIND(".",B439)&lt;=3,F439&gt;=2000,F439&lt;=2100,YEAR(I439)=F439,MONTH(I439)=G439,DAY(I439)=H439),I439,0)),0)</ns0:f>
        <ns0:v>0</ns0:v>
      </ns0:c>
      <ns0:c r="K439" s="0">
        <ns0:f>IFERROR(IF(ISNUMBER(Bookings!D439),"",TRIM(Bookings!D439&amp;"")),"")</ns0:f>
      </ns0:c>
      <ns0:c r="L439" s="0">
        <ns0:f>IFERROR(SUBSTITUTE(SUBSTITUTE(K439,"/","."),"-","."),"")</ns0:f>
      </ns0:c>
      <ns0:c r="M439" s="0">
        <ns0:f>IFERROR(LEFT(L439,FIND(".",L439)-1),"")</ns0:f>
      </ns0:c>
      <ns0:c r="N439" s="0">
        <ns0:f>IFERROR(MID(L439,FIND(".",L439)+1,FIND(".",L439,FIND(".",L439)+1)-FIND(".",L439)-1),"")</ns0:f>
      </ns0:c>
      <ns0:c r="O439" s="0">
        <ns0:f>IFERROR(MID(L439,FIND(".",L439,FIND(".",L439)+1)+1,99),"")</ns0:f>
        <ns0:v>99</ns0:v>
      </ns0:c>
      <ns0:c r="P439" s="0">
        <ns0:f>IFERROR(IF(FIND(".",L439)=5,--M439,--O439),0)</ns0:f>
        <ns0:v>0</ns0:v>
      </ns0:c>
      <ns0:c r="Q439" s="0">
        <ns0:f>IFERROR(--N439,0)</ns0:f>
        <ns0:v>0</ns0:v>
      </ns0:c>
      <ns0:c r="R439" s="0">
        <ns0:f>IFERROR(IF(FIND(".",L439)=5,--O439,--M439),0)</ns0:f>
        <ns0:v>0</ns0:v>
      </ns0:c>
      <ns0:c r="S439" s="0">
        <ns0:f>IFERROR(IF(AND(P439&gt;=2000,P439&lt;=2100,Q439&gt;=1,Q439&lt;=12,R439&gt;=1,R439&lt;=31),DATE(P439,Q439,R439),0),0)</ns0:f>
        <ns0:v>0</ns0:v>
      </ns0:c>
      <ns0:c r="T439" s="0">
        <ns0:f>IFERROR(IF(ISNUMBER(Bookings!D439),IF(AND(Bookings!D439=INT(Bookings!D439),Bookings!D439&gt;=DATE(2000,1,1),Bookings!D439&lt;=DATE(2100,12,31)),Bookings!D439,0),IF(AND(K439&lt;&gt;"",LEN("x"&amp;L439)-LEN(SUBSTITUTE("x"&amp;L439,".",""))=2,OR(1&gt;LEN(L439),MID(L439,1,1)=".",ISNUMBER(FIND("x"&amp;MID(L439,1,1),"x0x1x2x3x4x5x6x7x8x9"))),OR(2&gt;LEN(L439),MID(L439,2,1)=".",ISNUMBER(FIND("x"&amp;MID(L439,2,1),"x0x1x2x3x4x5x6x7x8x9"))),OR(3&gt;LEN(L439),MID(L439,3,1)=".",ISNUMBER(FIND("x"&amp;MID(L439,3,1),"x0x1x2x3x4x5x6x7x8x9"))),OR(4&gt;LEN(L439),MID(L439,4,1)=".",ISNUMBER(FIND("x"&amp;MID(L439,4,1),"x0x1x2x3x4x5x6x7x8x9"))),OR(5&gt;LEN(L439),MID(L439,5,1)=".",ISNUMBER(FIND("x"&amp;MID(L439,5,1),"x0x1x2x3x4x5x6x7x8x9"))),OR(6&gt;LEN(L439),MID(L439,6,1)=".",ISNUMBER(FIND("x"&amp;MID(L439,6,1),"x0x1x2x3x4x5x6x7x8x9"))),OR(7&gt;LEN(L439),MID(L439,7,1)=".",ISNUMBER(FIND("x"&amp;MID(L439,7,1),"x0x1x2x3x4x5x6x7x8x9"))),OR(8&gt;LEN(L439),MID(L439,8,1)=".",ISNUMBER(FIND("x"&amp;MID(L439,8,1),"x0x1x2x3x4x5x6x7x8x9"))),OR(9&gt;LEN(L439),MID(L439,9,1)=".",ISNUMBER(FIND("x"&amp;MID(L439,9,1),"x0x1x2x3x4x5x6x7x8x9"))),OR(10&gt;LEN(L439),MID(L439,10,1)=".",ISNUMBER(FIND("x"&amp;MID(L439,10,1),"x0x1x2x3x4x5x6x7x8x9"))),OR(AND(FIND(".",L439)=5,LEN(L439)-FIND(".",L439,FIND(".",L439)+1)&gt;=1,LEN(L439)-FIND(".",L439,FIND(".",L439)+1)&lt;=2),AND(LEN(L439)-FIND(".",L439,FIND(".",L439)+1)=4,FIND(".",L439)&gt;=2,FIND(".",L439)&lt;=3)),FIND(".",L439,FIND(".",L439)+1)-FIND(".",L439)&gt;=2,FIND(".",L439,FIND(".",L439)+1)-FIND(".",L439)&lt;=3,P439&gt;=2000,P439&lt;=2100,YEAR(S439)=P439,MONTH(S439)=Q439,DAY(S439)=R439),S439,0)),0)</ns0:f>
        <ns0:v>0</ns0:v>
      </ns0:c>
      <ns0:c r="U439" s="0" t="str">
        <ns0:f>IF(Bookings!C439="","Full day",Bookings!C439)</ns0:f>
        <ns0:v>Full day</ns0:v>
      </ns0:c>
      <ns0:c r="V439" s="0" t="str">
        <ns0:f>IF(Bookings!E439="","Full day",Bookings!E439)</ns0:f>
        <ns0:v>Full day</ns0:v>
      </ns0:c>
      <ns0:c r="W439" s="0">
        <ns0:f>IF(J439=0,0,J439+IF(U439="PM",1,0))</ns0:f>
        <ns0:v>0</ns0:v>
      </ns0:c>
      <ns0:c r="X439" s="0">
        <ns0:f>IF(T439=0,0,T439-IF(V439="PM",1,0))</ns0:f>
        <ns0:v>0</ns0:v>
      </ns0:c>
      <ns0:c r="Y439" s="0">
        <ns0:f>IF(J439=0,0,J439+IF(U439="AM",1,0))</ns0:f>
        <ns0:v>0</ns0:v>
      </ns0:c>
      <ns0:c r="Z439" s="0">
        <ns0:f>IF(T439=0,0,T439-IF(V439="AM",1,0))</ns0:f>
        <ns0:v>0</ns0:v>
      </ns0:c>
      <ns0:c r="AA439" s="0">
        <ns0:f>IFERROR(IF(AND(J439&gt;0,'_Engine'!C439&gt;0,MID('_Engine'!W439,WEEKDAY(J439,2),1)="W",COUNTIF(Settings!$F$18:$F$67,J439)=0),1,0),0)</ns0:f>
        <ns0:v>0</ns0:v>
      </ns0:c>
      <ns0:c r="AB439" s="0">
        <ns0:f>IFERROR(IF(AND(T439&gt;0,'_Engine'!C439&gt;0,MID('_Engine'!W439,WEEKDAY(T439,2),1)="W",COUNTIF(Settings!$F$18:$F$67,T439)=0),1,0),0)</ns0:f>
        <ns0:v>0</ns0:v>
      </ns0:c>
      <ns0:c r="AC439" s="0">
        <ns0:f>IF(AND(J439&gt;0,T439&gt;0,W439&lt;=X439),1,0)</ns0:f>
        <ns0:v>0</ns0:v>
      </ns0:c>
      <ns0:c r="AD439" s="0">
        <ns0:f>IF(AND(J439&gt;0,T439&gt;0,Y439&lt;=Z439),1,0)</ns0:f>
        <ns0:v>0</ns0:v>
      </ns0:c>
    </ns0:row>
    <ns0:row r="440">
      <ns0:c r="A440" s="0">
        <ns0:f>IFERROR(IF(ISNUMBER(Bookings!B440),"",TRIM(Bookings!B440&amp;"")),"")</ns0:f>
      </ns0:c>
      <ns0:c r="B440" s="0">
        <ns0:f>IFERROR(SUBSTITUTE(SUBSTITUTE(A440,"/","."),"-","."),"")</ns0:f>
      </ns0:c>
      <ns0:c r="C440" s="0">
        <ns0:f>IFERROR(LEFT(B440,FIND(".",B440)-1),"")</ns0:f>
      </ns0:c>
      <ns0:c r="D440" s="0">
        <ns0:f>IFERROR(MID(B440,FIND(".",B440)+1,FIND(".",B440,FIND(".",B440)+1)-FIND(".",B440)-1),"")</ns0:f>
      </ns0:c>
      <ns0:c r="E440" s="0">
        <ns0:f>IFERROR(MID(B440,FIND(".",B440,FIND(".",B440)+1)+1,99),"")</ns0:f>
        <ns0:v>99</ns0:v>
      </ns0:c>
      <ns0:c r="F440" s="0">
        <ns0:f>IFERROR(IF(FIND(".",B440)=5,--C440,--E440),0)</ns0:f>
        <ns0:v>0</ns0:v>
      </ns0:c>
      <ns0:c r="G440" s="0">
        <ns0:f>IFERROR(--D440,0)</ns0:f>
        <ns0:v>0</ns0:v>
      </ns0:c>
      <ns0:c r="H440" s="0">
        <ns0:f>IFERROR(IF(FIND(".",B440)=5,--E440,--C440),0)</ns0:f>
        <ns0:v>0</ns0:v>
      </ns0:c>
      <ns0:c r="I440" s="0">
        <ns0:f>IFERROR(IF(AND(F440&gt;=2000,F440&lt;=2100,G440&gt;=1,G440&lt;=12,H440&gt;=1,H440&lt;=31),DATE(F440,G440,H440),0),0)</ns0:f>
        <ns0:v>0</ns0:v>
      </ns0:c>
      <ns0:c r="J440" s="0">
        <ns0:f>IFERROR(IF(ISNUMBER(Bookings!B440),IF(AND(Bookings!B440=INT(Bookings!B440),Bookings!B440&gt;=DATE(2000,1,1),Bookings!B440&lt;=DATE(2100,12,31)),Bookings!B440,0),IF(AND(A440&lt;&gt;"",LEN("x"&amp;B440)-LEN(SUBSTITUTE("x"&amp;B440,".",""))=2,OR(1&gt;LEN(B440),MID(B440,1,1)=".",ISNUMBER(FIND("x"&amp;MID(B440,1,1),"x0x1x2x3x4x5x6x7x8x9"))),OR(2&gt;LEN(B440),MID(B440,2,1)=".",ISNUMBER(FIND("x"&amp;MID(B440,2,1),"x0x1x2x3x4x5x6x7x8x9"))),OR(3&gt;LEN(B440),MID(B440,3,1)=".",ISNUMBER(FIND("x"&amp;MID(B440,3,1),"x0x1x2x3x4x5x6x7x8x9"))),OR(4&gt;LEN(B440),MID(B440,4,1)=".",ISNUMBER(FIND("x"&amp;MID(B440,4,1),"x0x1x2x3x4x5x6x7x8x9"))),OR(5&gt;LEN(B440),MID(B440,5,1)=".",ISNUMBER(FIND("x"&amp;MID(B440,5,1),"x0x1x2x3x4x5x6x7x8x9"))),OR(6&gt;LEN(B440),MID(B440,6,1)=".",ISNUMBER(FIND("x"&amp;MID(B440,6,1),"x0x1x2x3x4x5x6x7x8x9"))),OR(7&gt;LEN(B440),MID(B440,7,1)=".",ISNUMBER(FIND("x"&amp;MID(B440,7,1),"x0x1x2x3x4x5x6x7x8x9"))),OR(8&gt;LEN(B440),MID(B440,8,1)=".",ISNUMBER(FIND("x"&amp;MID(B440,8,1),"x0x1x2x3x4x5x6x7x8x9"))),OR(9&gt;LEN(B440),MID(B440,9,1)=".",ISNUMBER(FIND("x"&amp;MID(B440,9,1),"x0x1x2x3x4x5x6x7x8x9"))),OR(10&gt;LEN(B440),MID(B440,10,1)=".",ISNUMBER(FIND("x"&amp;MID(B440,10,1),"x0x1x2x3x4x5x6x7x8x9"))),OR(AND(FIND(".",B440)=5,LEN(B440)-FIND(".",B440,FIND(".",B440)+1)&gt;=1,LEN(B440)-FIND(".",B440,FIND(".",B440)+1)&lt;=2),AND(LEN(B440)-FIND(".",B440,FIND(".",B440)+1)=4,FIND(".",B440)&gt;=2,FIND(".",B440)&lt;=3)),FIND(".",B440,FIND(".",B440)+1)-FIND(".",B440)&gt;=2,FIND(".",B440,FIND(".",B440)+1)-FIND(".",B440)&lt;=3,F440&gt;=2000,F440&lt;=2100,YEAR(I440)=F440,MONTH(I440)=G440,DAY(I440)=H440),I440,0)),0)</ns0:f>
        <ns0:v>0</ns0:v>
      </ns0:c>
      <ns0:c r="K440" s="0">
        <ns0:f>IFERROR(IF(ISNUMBER(Bookings!D440),"",TRIM(Bookings!D440&amp;"")),"")</ns0:f>
      </ns0:c>
      <ns0:c r="L440" s="0">
        <ns0:f>IFERROR(SUBSTITUTE(SUBSTITUTE(K440,"/","."),"-","."),"")</ns0:f>
      </ns0:c>
      <ns0:c r="M440" s="0">
        <ns0:f>IFERROR(LEFT(L440,FIND(".",L440)-1),"")</ns0:f>
      </ns0:c>
      <ns0:c r="N440" s="0">
        <ns0:f>IFERROR(MID(L440,FIND(".",L440)+1,FIND(".",L440,FIND(".",L440)+1)-FIND(".",L440)-1),"")</ns0:f>
      </ns0:c>
      <ns0:c r="O440" s="0">
        <ns0:f>IFERROR(MID(L440,FIND(".",L440,FIND(".",L440)+1)+1,99),"")</ns0:f>
        <ns0:v>99</ns0:v>
      </ns0:c>
      <ns0:c r="P440" s="0">
        <ns0:f>IFERROR(IF(FIND(".",L440)=5,--M440,--O440),0)</ns0:f>
        <ns0:v>0</ns0:v>
      </ns0:c>
      <ns0:c r="Q440" s="0">
        <ns0:f>IFERROR(--N440,0)</ns0:f>
        <ns0:v>0</ns0:v>
      </ns0:c>
      <ns0:c r="R440" s="0">
        <ns0:f>IFERROR(IF(FIND(".",L440)=5,--O440,--M440),0)</ns0:f>
        <ns0:v>0</ns0:v>
      </ns0:c>
      <ns0:c r="S440" s="0">
        <ns0:f>IFERROR(IF(AND(P440&gt;=2000,P440&lt;=2100,Q440&gt;=1,Q440&lt;=12,R440&gt;=1,R440&lt;=31),DATE(P440,Q440,R440),0),0)</ns0:f>
        <ns0:v>0</ns0:v>
      </ns0:c>
      <ns0:c r="T440" s="0">
        <ns0:f>IFERROR(IF(ISNUMBER(Bookings!D440),IF(AND(Bookings!D440=INT(Bookings!D440),Bookings!D440&gt;=DATE(2000,1,1),Bookings!D440&lt;=DATE(2100,12,31)),Bookings!D440,0),IF(AND(K440&lt;&gt;"",LEN("x"&amp;L440)-LEN(SUBSTITUTE("x"&amp;L440,".",""))=2,OR(1&gt;LEN(L440),MID(L440,1,1)=".",ISNUMBER(FIND("x"&amp;MID(L440,1,1),"x0x1x2x3x4x5x6x7x8x9"))),OR(2&gt;LEN(L440),MID(L440,2,1)=".",ISNUMBER(FIND("x"&amp;MID(L440,2,1),"x0x1x2x3x4x5x6x7x8x9"))),OR(3&gt;LEN(L440),MID(L440,3,1)=".",ISNUMBER(FIND("x"&amp;MID(L440,3,1),"x0x1x2x3x4x5x6x7x8x9"))),OR(4&gt;LEN(L440),MID(L440,4,1)=".",ISNUMBER(FIND("x"&amp;MID(L440,4,1),"x0x1x2x3x4x5x6x7x8x9"))),OR(5&gt;LEN(L440),MID(L440,5,1)=".",ISNUMBER(FIND("x"&amp;MID(L440,5,1),"x0x1x2x3x4x5x6x7x8x9"))),OR(6&gt;LEN(L440),MID(L440,6,1)=".",ISNUMBER(FIND("x"&amp;MID(L440,6,1),"x0x1x2x3x4x5x6x7x8x9"))),OR(7&gt;LEN(L440),MID(L440,7,1)=".",ISNUMBER(FIND("x"&amp;MID(L440,7,1),"x0x1x2x3x4x5x6x7x8x9"))),OR(8&gt;LEN(L440),MID(L440,8,1)=".",ISNUMBER(FIND("x"&amp;MID(L440,8,1),"x0x1x2x3x4x5x6x7x8x9"))),OR(9&gt;LEN(L440),MID(L440,9,1)=".",ISNUMBER(FIND("x"&amp;MID(L440,9,1),"x0x1x2x3x4x5x6x7x8x9"))),OR(10&gt;LEN(L440),MID(L440,10,1)=".",ISNUMBER(FIND("x"&amp;MID(L440,10,1),"x0x1x2x3x4x5x6x7x8x9"))),OR(AND(FIND(".",L440)=5,LEN(L440)-FIND(".",L440,FIND(".",L440)+1)&gt;=1,LEN(L440)-FIND(".",L440,FIND(".",L440)+1)&lt;=2),AND(LEN(L440)-FIND(".",L440,FIND(".",L440)+1)=4,FIND(".",L440)&gt;=2,FIND(".",L440)&lt;=3)),FIND(".",L440,FIND(".",L440)+1)-FIND(".",L440)&gt;=2,FIND(".",L440,FIND(".",L440)+1)-FIND(".",L440)&lt;=3,P440&gt;=2000,P440&lt;=2100,YEAR(S440)=P440,MONTH(S440)=Q440,DAY(S440)=R440),S440,0)),0)</ns0:f>
        <ns0:v>0</ns0:v>
      </ns0:c>
      <ns0:c r="U440" s="0" t="str">
        <ns0:f>IF(Bookings!C440="","Full day",Bookings!C440)</ns0:f>
        <ns0:v>Full day</ns0:v>
      </ns0:c>
      <ns0:c r="V440" s="0" t="str">
        <ns0:f>IF(Bookings!E440="","Full day",Bookings!E440)</ns0:f>
        <ns0:v>Full day</ns0:v>
      </ns0:c>
      <ns0:c r="W440" s="0">
        <ns0:f>IF(J440=0,0,J440+IF(U440="PM",1,0))</ns0:f>
        <ns0:v>0</ns0:v>
      </ns0:c>
      <ns0:c r="X440" s="0">
        <ns0:f>IF(T440=0,0,T440-IF(V440="PM",1,0))</ns0:f>
        <ns0:v>0</ns0:v>
      </ns0:c>
      <ns0:c r="Y440" s="0">
        <ns0:f>IF(J440=0,0,J440+IF(U440="AM",1,0))</ns0:f>
        <ns0:v>0</ns0:v>
      </ns0:c>
      <ns0:c r="Z440" s="0">
        <ns0:f>IF(T440=0,0,T440-IF(V440="AM",1,0))</ns0:f>
        <ns0:v>0</ns0:v>
      </ns0:c>
      <ns0:c r="AA440" s="0">
        <ns0:f>IFERROR(IF(AND(J440&gt;0,'_Engine'!C440&gt;0,MID('_Engine'!W440,WEEKDAY(J440,2),1)="W",COUNTIF(Settings!$F$18:$F$67,J440)=0),1,0),0)</ns0:f>
        <ns0:v>0</ns0:v>
      </ns0:c>
      <ns0:c r="AB440" s="0">
        <ns0:f>IFERROR(IF(AND(T440&gt;0,'_Engine'!C440&gt;0,MID('_Engine'!W440,WEEKDAY(T440,2),1)="W",COUNTIF(Settings!$F$18:$F$67,T440)=0),1,0),0)</ns0:f>
        <ns0:v>0</ns0:v>
      </ns0:c>
      <ns0:c r="AC440" s="0">
        <ns0:f>IF(AND(J440&gt;0,T440&gt;0,W440&lt;=X440),1,0)</ns0:f>
        <ns0:v>0</ns0:v>
      </ns0:c>
      <ns0:c r="AD440" s="0">
        <ns0:f>IF(AND(J440&gt;0,T440&gt;0,Y440&lt;=Z440),1,0)</ns0:f>
        <ns0:v>0</ns0:v>
      </ns0:c>
    </ns0:row>
    <ns0:row r="441">
      <ns0:c r="A441" s="0">
        <ns0:f>IFERROR(IF(ISNUMBER(Bookings!B441),"",TRIM(Bookings!B441&amp;"")),"")</ns0:f>
      </ns0:c>
      <ns0:c r="B441" s="0">
        <ns0:f>IFERROR(SUBSTITUTE(SUBSTITUTE(A441,"/","."),"-","."),"")</ns0:f>
      </ns0:c>
      <ns0:c r="C441" s="0">
        <ns0:f>IFERROR(LEFT(B441,FIND(".",B441)-1),"")</ns0:f>
      </ns0:c>
      <ns0:c r="D441" s="0">
        <ns0:f>IFERROR(MID(B441,FIND(".",B441)+1,FIND(".",B441,FIND(".",B441)+1)-FIND(".",B441)-1),"")</ns0:f>
      </ns0:c>
      <ns0:c r="E441" s="0">
        <ns0:f>IFERROR(MID(B441,FIND(".",B441,FIND(".",B441)+1)+1,99),"")</ns0:f>
        <ns0:v>99</ns0:v>
      </ns0:c>
      <ns0:c r="F441" s="0">
        <ns0:f>IFERROR(IF(FIND(".",B441)=5,--C441,--E441),0)</ns0:f>
        <ns0:v>0</ns0:v>
      </ns0:c>
      <ns0:c r="G441" s="0">
        <ns0:f>IFERROR(--D441,0)</ns0:f>
        <ns0:v>0</ns0:v>
      </ns0:c>
      <ns0:c r="H441" s="0">
        <ns0:f>IFERROR(IF(FIND(".",B441)=5,--E441,--C441),0)</ns0:f>
        <ns0:v>0</ns0:v>
      </ns0:c>
      <ns0:c r="I441" s="0">
        <ns0:f>IFERROR(IF(AND(F441&gt;=2000,F441&lt;=2100,G441&gt;=1,G441&lt;=12,H441&gt;=1,H441&lt;=31),DATE(F441,G441,H441),0),0)</ns0:f>
        <ns0:v>0</ns0:v>
      </ns0:c>
      <ns0:c r="J441" s="0">
        <ns0:f>IFERROR(IF(ISNUMBER(Bookings!B441),IF(AND(Bookings!B441=INT(Bookings!B441),Bookings!B441&gt;=DATE(2000,1,1),Bookings!B441&lt;=DATE(2100,12,31)),Bookings!B441,0),IF(AND(A441&lt;&gt;"",LEN("x"&amp;B441)-LEN(SUBSTITUTE("x"&amp;B441,".",""))=2,OR(1&gt;LEN(B441),MID(B441,1,1)=".",ISNUMBER(FIND("x"&amp;MID(B441,1,1),"x0x1x2x3x4x5x6x7x8x9"))),OR(2&gt;LEN(B441),MID(B441,2,1)=".",ISNUMBER(FIND("x"&amp;MID(B441,2,1),"x0x1x2x3x4x5x6x7x8x9"))),OR(3&gt;LEN(B441),MID(B441,3,1)=".",ISNUMBER(FIND("x"&amp;MID(B441,3,1),"x0x1x2x3x4x5x6x7x8x9"))),OR(4&gt;LEN(B441),MID(B441,4,1)=".",ISNUMBER(FIND("x"&amp;MID(B441,4,1),"x0x1x2x3x4x5x6x7x8x9"))),OR(5&gt;LEN(B441),MID(B441,5,1)=".",ISNUMBER(FIND("x"&amp;MID(B441,5,1),"x0x1x2x3x4x5x6x7x8x9"))),OR(6&gt;LEN(B441),MID(B441,6,1)=".",ISNUMBER(FIND("x"&amp;MID(B441,6,1),"x0x1x2x3x4x5x6x7x8x9"))),OR(7&gt;LEN(B441),MID(B441,7,1)=".",ISNUMBER(FIND("x"&amp;MID(B441,7,1),"x0x1x2x3x4x5x6x7x8x9"))),OR(8&gt;LEN(B441),MID(B441,8,1)=".",ISNUMBER(FIND("x"&amp;MID(B441,8,1),"x0x1x2x3x4x5x6x7x8x9"))),OR(9&gt;LEN(B441),MID(B441,9,1)=".",ISNUMBER(FIND("x"&amp;MID(B441,9,1),"x0x1x2x3x4x5x6x7x8x9"))),OR(10&gt;LEN(B441),MID(B441,10,1)=".",ISNUMBER(FIND("x"&amp;MID(B441,10,1),"x0x1x2x3x4x5x6x7x8x9"))),OR(AND(FIND(".",B441)=5,LEN(B441)-FIND(".",B441,FIND(".",B441)+1)&gt;=1,LEN(B441)-FIND(".",B441,FIND(".",B441)+1)&lt;=2),AND(LEN(B441)-FIND(".",B441,FIND(".",B441)+1)=4,FIND(".",B441)&gt;=2,FIND(".",B441)&lt;=3)),FIND(".",B441,FIND(".",B441)+1)-FIND(".",B441)&gt;=2,FIND(".",B441,FIND(".",B441)+1)-FIND(".",B441)&lt;=3,F441&gt;=2000,F441&lt;=2100,YEAR(I441)=F441,MONTH(I441)=G441,DAY(I441)=H441),I441,0)),0)</ns0:f>
        <ns0:v>0</ns0:v>
      </ns0:c>
      <ns0:c r="K441" s="0">
        <ns0:f>IFERROR(IF(ISNUMBER(Bookings!D441),"",TRIM(Bookings!D441&amp;"")),"")</ns0:f>
      </ns0:c>
      <ns0:c r="L441" s="0">
        <ns0:f>IFERROR(SUBSTITUTE(SUBSTITUTE(K441,"/","."),"-","."),"")</ns0:f>
      </ns0:c>
      <ns0:c r="M441" s="0">
        <ns0:f>IFERROR(LEFT(L441,FIND(".",L441)-1),"")</ns0:f>
      </ns0:c>
      <ns0:c r="N441" s="0">
        <ns0:f>IFERROR(MID(L441,FIND(".",L441)+1,FIND(".",L441,FIND(".",L441)+1)-FIND(".",L441)-1),"")</ns0:f>
      </ns0:c>
      <ns0:c r="O441" s="0">
        <ns0:f>IFERROR(MID(L441,FIND(".",L441,FIND(".",L441)+1)+1,99),"")</ns0:f>
        <ns0:v>99</ns0:v>
      </ns0:c>
      <ns0:c r="P441" s="0">
        <ns0:f>IFERROR(IF(FIND(".",L441)=5,--M441,--O441),0)</ns0:f>
        <ns0:v>0</ns0:v>
      </ns0:c>
      <ns0:c r="Q441" s="0">
        <ns0:f>IFERROR(--N441,0)</ns0:f>
        <ns0:v>0</ns0:v>
      </ns0:c>
      <ns0:c r="R441" s="0">
        <ns0:f>IFERROR(IF(FIND(".",L441)=5,--O441,--M441),0)</ns0:f>
        <ns0:v>0</ns0:v>
      </ns0:c>
      <ns0:c r="S441" s="0">
        <ns0:f>IFERROR(IF(AND(P441&gt;=2000,P441&lt;=2100,Q441&gt;=1,Q441&lt;=12,R441&gt;=1,R441&lt;=31),DATE(P441,Q441,R441),0),0)</ns0:f>
        <ns0:v>0</ns0:v>
      </ns0:c>
      <ns0:c r="T441" s="0">
        <ns0:f>IFERROR(IF(ISNUMBER(Bookings!D441),IF(AND(Bookings!D441=INT(Bookings!D441),Bookings!D441&gt;=DATE(2000,1,1),Bookings!D441&lt;=DATE(2100,12,31)),Bookings!D441,0),IF(AND(K441&lt;&gt;"",LEN("x"&amp;L441)-LEN(SUBSTITUTE("x"&amp;L441,".",""))=2,OR(1&gt;LEN(L441),MID(L441,1,1)=".",ISNUMBER(FIND("x"&amp;MID(L441,1,1),"x0x1x2x3x4x5x6x7x8x9"))),OR(2&gt;LEN(L441),MID(L441,2,1)=".",ISNUMBER(FIND("x"&amp;MID(L441,2,1),"x0x1x2x3x4x5x6x7x8x9"))),OR(3&gt;LEN(L441),MID(L441,3,1)=".",ISNUMBER(FIND("x"&amp;MID(L441,3,1),"x0x1x2x3x4x5x6x7x8x9"))),OR(4&gt;LEN(L441),MID(L441,4,1)=".",ISNUMBER(FIND("x"&amp;MID(L441,4,1),"x0x1x2x3x4x5x6x7x8x9"))),OR(5&gt;LEN(L441),MID(L441,5,1)=".",ISNUMBER(FIND("x"&amp;MID(L441,5,1),"x0x1x2x3x4x5x6x7x8x9"))),OR(6&gt;LEN(L441),MID(L441,6,1)=".",ISNUMBER(FIND("x"&amp;MID(L441,6,1),"x0x1x2x3x4x5x6x7x8x9"))),OR(7&gt;LEN(L441),MID(L441,7,1)=".",ISNUMBER(FIND("x"&amp;MID(L441,7,1),"x0x1x2x3x4x5x6x7x8x9"))),OR(8&gt;LEN(L441),MID(L441,8,1)=".",ISNUMBER(FIND("x"&amp;MID(L441,8,1),"x0x1x2x3x4x5x6x7x8x9"))),OR(9&gt;LEN(L441),MID(L441,9,1)=".",ISNUMBER(FIND("x"&amp;MID(L441,9,1),"x0x1x2x3x4x5x6x7x8x9"))),OR(10&gt;LEN(L441),MID(L441,10,1)=".",ISNUMBER(FIND("x"&amp;MID(L441,10,1),"x0x1x2x3x4x5x6x7x8x9"))),OR(AND(FIND(".",L441)=5,LEN(L441)-FIND(".",L441,FIND(".",L441)+1)&gt;=1,LEN(L441)-FIND(".",L441,FIND(".",L441)+1)&lt;=2),AND(LEN(L441)-FIND(".",L441,FIND(".",L441)+1)=4,FIND(".",L441)&gt;=2,FIND(".",L441)&lt;=3)),FIND(".",L441,FIND(".",L441)+1)-FIND(".",L441)&gt;=2,FIND(".",L441,FIND(".",L441)+1)-FIND(".",L441)&lt;=3,P441&gt;=2000,P441&lt;=2100,YEAR(S441)=P441,MONTH(S441)=Q441,DAY(S441)=R441),S441,0)),0)</ns0:f>
        <ns0:v>0</ns0:v>
      </ns0:c>
      <ns0:c r="U441" s="0" t="str">
        <ns0:f>IF(Bookings!C441="","Full day",Bookings!C441)</ns0:f>
        <ns0:v>Full day</ns0:v>
      </ns0:c>
      <ns0:c r="V441" s="0" t="str">
        <ns0:f>IF(Bookings!E441="","Full day",Bookings!E441)</ns0:f>
        <ns0:v>Full day</ns0:v>
      </ns0:c>
      <ns0:c r="W441" s="0">
        <ns0:f>IF(J441=0,0,J441+IF(U441="PM",1,0))</ns0:f>
        <ns0:v>0</ns0:v>
      </ns0:c>
      <ns0:c r="X441" s="0">
        <ns0:f>IF(T441=0,0,T441-IF(V441="PM",1,0))</ns0:f>
        <ns0:v>0</ns0:v>
      </ns0:c>
      <ns0:c r="Y441" s="0">
        <ns0:f>IF(J441=0,0,J441+IF(U441="AM",1,0))</ns0:f>
        <ns0:v>0</ns0:v>
      </ns0:c>
      <ns0:c r="Z441" s="0">
        <ns0:f>IF(T441=0,0,T441-IF(V441="AM",1,0))</ns0:f>
        <ns0:v>0</ns0:v>
      </ns0:c>
      <ns0:c r="AA441" s="0">
        <ns0:f>IFERROR(IF(AND(J441&gt;0,'_Engine'!C441&gt;0,MID('_Engine'!W441,WEEKDAY(J441,2),1)="W",COUNTIF(Settings!$F$18:$F$67,J441)=0),1,0),0)</ns0:f>
        <ns0:v>0</ns0:v>
      </ns0:c>
      <ns0:c r="AB441" s="0">
        <ns0:f>IFERROR(IF(AND(T441&gt;0,'_Engine'!C441&gt;0,MID('_Engine'!W441,WEEKDAY(T441,2),1)="W",COUNTIF(Settings!$F$18:$F$67,T441)=0),1,0),0)</ns0:f>
        <ns0:v>0</ns0:v>
      </ns0:c>
      <ns0:c r="AC441" s="0">
        <ns0:f>IF(AND(J441&gt;0,T441&gt;0,W441&lt;=X441),1,0)</ns0:f>
        <ns0:v>0</ns0:v>
      </ns0:c>
      <ns0:c r="AD441" s="0">
        <ns0:f>IF(AND(J441&gt;0,T441&gt;0,Y441&lt;=Z441),1,0)</ns0:f>
        <ns0:v>0</ns0:v>
      </ns0:c>
    </ns0:row>
    <ns0:row r="442">
      <ns0:c r="A442" s="0">
        <ns0:f>IFERROR(IF(ISNUMBER(Bookings!B442),"",TRIM(Bookings!B442&amp;"")),"")</ns0:f>
      </ns0:c>
      <ns0:c r="B442" s="0">
        <ns0:f>IFERROR(SUBSTITUTE(SUBSTITUTE(A442,"/","."),"-","."),"")</ns0:f>
      </ns0:c>
      <ns0:c r="C442" s="0">
        <ns0:f>IFERROR(LEFT(B442,FIND(".",B442)-1),"")</ns0:f>
      </ns0:c>
      <ns0:c r="D442" s="0">
        <ns0:f>IFERROR(MID(B442,FIND(".",B442)+1,FIND(".",B442,FIND(".",B442)+1)-FIND(".",B442)-1),"")</ns0:f>
      </ns0:c>
      <ns0:c r="E442" s="0">
        <ns0:f>IFERROR(MID(B442,FIND(".",B442,FIND(".",B442)+1)+1,99),"")</ns0:f>
        <ns0:v>99</ns0:v>
      </ns0:c>
      <ns0:c r="F442" s="0">
        <ns0:f>IFERROR(IF(FIND(".",B442)=5,--C442,--E442),0)</ns0:f>
        <ns0:v>0</ns0:v>
      </ns0:c>
      <ns0:c r="G442" s="0">
        <ns0:f>IFERROR(--D442,0)</ns0:f>
        <ns0:v>0</ns0:v>
      </ns0:c>
      <ns0:c r="H442" s="0">
        <ns0:f>IFERROR(IF(FIND(".",B442)=5,--E442,--C442),0)</ns0:f>
        <ns0:v>0</ns0:v>
      </ns0:c>
      <ns0:c r="I442" s="0">
        <ns0:f>IFERROR(IF(AND(F442&gt;=2000,F442&lt;=2100,G442&gt;=1,G442&lt;=12,H442&gt;=1,H442&lt;=31),DATE(F442,G442,H442),0),0)</ns0:f>
        <ns0:v>0</ns0:v>
      </ns0:c>
      <ns0:c r="J442" s="0">
        <ns0:f>IFERROR(IF(ISNUMBER(Bookings!B442),IF(AND(Bookings!B442=INT(Bookings!B442),Bookings!B442&gt;=DATE(2000,1,1),Bookings!B442&lt;=DATE(2100,12,31)),Bookings!B442,0),IF(AND(A442&lt;&gt;"",LEN("x"&amp;B442)-LEN(SUBSTITUTE("x"&amp;B442,".",""))=2,OR(1&gt;LEN(B442),MID(B442,1,1)=".",ISNUMBER(FIND("x"&amp;MID(B442,1,1),"x0x1x2x3x4x5x6x7x8x9"))),OR(2&gt;LEN(B442),MID(B442,2,1)=".",ISNUMBER(FIND("x"&amp;MID(B442,2,1),"x0x1x2x3x4x5x6x7x8x9"))),OR(3&gt;LEN(B442),MID(B442,3,1)=".",ISNUMBER(FIND("x"&amp;MID(B442,3,1),"x0x1x2x3x4x5x6x7x8x9"))),OR(4&gt;LEN(B442),MID(B442,4,1)=".",ISNUMBER(FIND("x"&amp;MID(B442,4,1),"x0x1x2x3x4x5x6x7x8x9"))),OR(5&gt;LEN(B442),MID(B442,5,1)=".",ISNUMBER(FIND("x"&amp;MID(B442,5,1),"x0x1x2x3x4x5x6x7x8x9"))),OR(6&gt;LEN(B442),MID(B442,6,1)=".",ISNUMBER(FIND("x"&amp;MID(B442,6,1),"x0x1x2x3x4x5x6x7x8x9"))),OR(7&gt;LEN(B442),MID(B442,7,1)=".",ISNUMBER(FIND("x"&amp;MID(B442,7,1),"x0x1x2x3x4x5x6x7x8x9"))),OR(8&gt;LEN(B442),MID(B442,8,1)=".",ISNUMBER(FIND("x"&amp;MID(B442,8,1),"x0x1x2x3x4x5x6x7x8x9"))),OR(9&gt;LEN(B442),MID(B442,9,1)=".",ISNUMBER(FIND("x"&amp;MID(B442,9,1),"x0x1x2x3x4x5x6x7x8x9"))),OR(10&gt;LEN(B442),MID(B442,10,1)=".",ISNUMBER(FIND("x"&amp;MID(B442,10,1),"x0x1x2x3x4x5x6x7x8x9"))),OR(AND(FIND(".",B442)=5,LEN(B442)-FIND(".",B442,FIND(".",B442)+1)&gt;=1,LEN(B442)-FIND(".",B442,FIND(".",B442)+1)&lt;=2),AND(LEN(B442)-FIND(".",B442,FIND(".",B442)+1)=4,FIND(".",B442)&gt;=2,FIND(".",B442)&lt;=3)),FIND(".",B442,FIND(".",B442)+1)-FIND(".",B442)&gt;=2,FIND(".",B442,FIND(".",B442)+1)-FIND(".",B442)&lt;=3,F442&gt;=2000,F442&lt;=2100,YEAR(I442)=F442,MONTH(I442)=G442,DAY(I442)=H442),I442,0)),0)</ns0:f>
        <ns0:v>0</ns0:v>
      </ns0:c>
      <ns0:c r="K442" s="0">
        <ns0:f>IFERROR(IF(ISNUMBER(Bookings!D442),"",TRIM(Bookings!D442&amp;"")),"")</ns0:f>
      </ns0:c>
      <ns0:c r="L442" s="0">
        <ns0:f>IFERROR(SUBSTITUTE(SUBSTITUTE(K442,"/","."),"-","."),"")</ns0:f>
      </ns0:c>
      <ns0:c r="M442" s="0">
        <ns0:f>IFERROR(LEFT(L442,FIND(".",L442)-1),"")</ns0:f>
      </ns0:c>
      <ns0:c r="N442" s="0">
        <ns0:f>IFERROR(MID(L442,FIND(".",L442)+1,FIND(".",L442,FIND(".",L442)+1)-FIND(".",L442)-1),"")</ns0:f>
      </ns0:c>
      <ns0:c r="O442" s="0">
        <ns0:f>IFERROR(MID(L442,FIND(".",L442,FIND(".",L442)+1)+1,99),"")</ns0:f>
        <ns0:v>99</ns0:v>
      </ns0:c>
      <ns0:c r="P442" s="0">
        <ns0:f>IFERROR(IF(FIND(".",L442)=5,--M442,--O442),0)</ns0:f>
        <ns0:v>0</ns0:v>
      </ns0:c>
      <ns0:c r="Q442" s="0">
        <ns0:f>IFERROR(--N442,0)</ns0:f>
        <ns0:v>0</ns0:v>
      </ns0:c>
      <ns0:c r="R442" s="0">
        <ns0:f>IFERROR(IF(FIND(".",L442)=5,--O442,--M442),0)</ns0:f>
        <ns0:v>0</ns0:v>
      </ns0:c>
      <ns0:c r="S442" s="0">
        <ns0:f>IFERROR(IF(AND(P442&gt;=2000,P442&lt;=2100,Q442&gt;=1,Q442&lt;=12,R442&gt;=1,R442&lt;=31),DATE(P442,Q442,R442),0),0)</ns0:f>
        <ns0:v>0</ns0:v>
      </ns0:c>
      <ns0:c r="T442" s="0">
        <ns0:f>IFERROR(IF(ISNUMBER(Bookings!D442),IF(AND(Bookings!D442=INT(Bookings!D442),Bookings!D442&gt;=DATE(2000,1,1),Bookings!D442&lt;=DATE(2100,12,31)),Bookings!D442,0),IF(AND(K442&lt;&gt;"",LEN("x"&amp;L442)-LEN(SUBSTITUTE("x"&amp;L442,".",""))=2,OR(1&gt;LEN(L442),MID(L442,1,1)=".",ISNUMBER(FIND("x"&amp;MID(L442,1,1),"x0x1x2x3x4x5x6x7x8x9"))),OR(2&gt;LEN(L442),MID(L442,2,1)=".",ISNUMBER(FIND("x"&amp;MID(L442,2,1),"x0x1x2x3x4x5x6x7x8x9"))),OR(3&gt;LEN(L442),MID(L442,3,1)=".",ISNUMBER(FIND("x"&amp;MID(L442,3,1),"x0x1x2x3x4x5x6x7x8x9"))),OR(4&gt;LEN(L442),MID(L442,4,1)=".",ISNUMBER(FIND("x"&amp;MID(L442,4,1),"x0x1x2x3x4x5x6x7x8x9"))),OR(5&gt;LEN(L442),MID(L442,5,1)=".",ISNUMBER(FIND("x"&amp;MID(L442,5,1),"x0x1x2x3x4x5x6x7x8x9"))),OR(6&gt;LEN(L442),MID(L442,6,1)=".",ISNUMBER(FIND("x"&amp;MID(L442,6,1),"x0x1x2x3x4x5x6x7x8x9"))),OR(7&gt;LEN(L442),MID(L442,7,1)=".",ISNUMBER(FIND("x"&amp;MID(L442,7,1),"x0x1x2x3x4x5x6x7x8x9"))),OR(8&gt;LEN(L442),MID(L442,8,1)=".",ISNUMBER(FIND("x"&amp;MID(L442,8,1),"x0x1x2x3x4x5x6x7x8x9"))),OR(9&gt;LEN(L442),MID(L442,9,1)=".",ISNUMBER(FIND("x"&amp;MID(L442,9,1),"x0x1x2x3x4x5x6x7x8x9"))),OR(10&gt;LEN(L442),MID(L442,10,1)=".",ISNUMBER(FIND("x"&amp;MID(L442,10,1),"x0x1x2x3x4x5x6x7x8x9"))),OR(AND(FIND(".",L442)=5,LEN(L442)-FIND(".",L442,FIND(".",L442)+1)&gt;=1,LEN(L442)-FIND(".",L442,FIND(".",L442)+1)&lt;=2),AND(LEN(L442)-FIND(".",L442,FIND(".",L442)+1)=4,FIND(".",L442)&gt;=2,FIND(".",L442)&lt;=3)),FIND(".",L442,FIND(".",L442)+1)-FIND(".",L442)&gt;=2,FIND(".",L442,FIND(".",L442)+1)-FIND(".",L442)&lt;=3,P442&gt;=2000,P442&lt;=2100,YEAR(S442)=P442,MONTH(S442)=Q442,DAY(S442)=R442),S442,0)),0)</ns0:f>
        <ns0:v>0</ns0:v>
      </ns0:c>
      <ns0:c r="U442" s="0" t="str">
        <ns0:f>IF(Bookings!C442="","Full day",Bookings!C442)</ns0:f>
        <ns0:v>Full day</ns0:v>
      </ns0:c>
      <ns0:c r="V442" s="0" t="str">
        <ns0:f>IF(Bookings!E442="","Full day",Bookings!E442)</ns0:f>
        <ns0:v>Full day</ns0:v>
      </ns0:c>
      <ns0:c r="W442" s="0">
        <ns0:f>IF(J442=0,0,J442+IF(U442="PM",1,0))</ns0:f>
        <ns0:v>0</ns0:v>
      </ns0:c>
      <ns0:c r="X442" s="0">
        <ns0:f>IF(T442=0,0,T442-IF(V442="PM",1,0))</ns0:f>
        <ns0:v>0</ns0:v>
      </ns0:c>
      <ns0:c r="Y442" s="0">
        <ns0:f>IF(J442=0,0,J442+IF(U442="AM",1,0))</ns0:f>
        <ns0:v>0</ns0:v>
      </ns0:c>
      <ns0:c r="Z442" s="0">
        <ns0:f>IF(T442=0,0,T442-IF(V442="AM",1,0))</ns0:f>
        <ns0:v>0</ns0:v>
      </ns0:c>
      <ns0:c r="AA442" s="0">
        <ns0:f>IFERROR(IF(AND(J442&gt;0,'_Engine'!C442&gt;0,MID('_Engine'!W442,WEEKDAY(J442,2),1)="W",COUNTIF(Settings!$F$18:$F$67,J442)=0),1,0),0)</ns0:f>
        <ns0:v>0</ns0:v>
      </ns0:c>
      <ns0:c r="AB442" s="0">
        <ns0:f>IFERROR(IF(AND(T442&gt;0,'_Engine'!C442&gt;0,MID('_Engine'!W442,WEEKDAY(T442,2),1)="W",COUNTIF(Settings!$F$18:$F$67,T442)=0),1,0),0)</ns0:f>
        <ns0:v>0</ns0:v>
      </ns0:c>
      <ns0:c r="AC442" s="0">
        <ns0:f>IF(AND(J442&gt;0,T442&gt;0,W442&lt;=X442),1,0)</ns0:f>
        <ns0:v>0</ns0:v>
      </ns0:c>
      <ns0:c r="AD442" s="0">
        <ns0:f>IF(AND(J442&gt;0,T442&gt;0,Y442&lt;=Z442),1,0)</ns0:f>
        <ns0:v>0</ns0:v>
      </ns0:c>
    </ns0:row>
    <ns0:row r="443">
      <ns0:c r="A443" s="0">
        <ns0:f>IFERROR(IF(ISNUMBER(Bookings!B443),"",TRIM(Bookings!B443&amp;"")),"")</ns0:f>
      </ns0:c>
      <ns0:c r="B443" s="0">
        <ns0:f>IFERROR(SUBSTITUTE(SUBSTITUTE(A443,"/","."),"-","."),"")</ns0:f>
      </ns0:c>
      <ns0:c r="C443" s="0">
        <ns0:f>IFERROR(LEFT(B443,FIND(".",B443)-1),"")</ns0:f>
      </ns0:c>
      <ns0:c r="D443" s="0">
        <ns0:f>IFERROR(MID(B443,FIND(".",B443)+1,FIND(".",B443,FIND(".",B443)+1)-FIND(".",B443)-1),"")</ns0:f>
      </ns0:c>
      <ns0:c r="E443" s="0">
        <ns0:f>IFERROR(MID(B443,FIND(".",B443,FIND(".",B443)+1)+1,99),"")</ns0:f>
        <ns0:v>99</ns0:v>
      </ns0:c>
      <ns0:c r="F443" s="0">
        <ns0:f>IFERROR(IF(FIND(".",B443)=5,--C443,--E443),0)</ns0:f>
        <ns0:v>0</ns0:v>
      </ns0:c>
      <ns0:c r="G443" s="0">
        <ns0:f>IFERROR(--D443,0)</ns0:f>
        <ns0:v>0</ns0:v>
      </ns0:c>
      <ns0:c r="H443" s="0">
        <ns0:f>IFERROR(IF(FIND(".",B443)=5,--E443,--C443),0)</ns0:f>
        <ns0:v>0</ns0:v>
      </ns0:c>
      <ns0:c r="I443" s="0">
        <ns0:f>IFERROR(IF(AND(F443&gt;=2000,F443&lt;=2100,G443&gt;=1,G443&lt;=12,H443&gt;=1,H443&lt;=31),DATE(F443,G443,H443),0),0)</ns0:f>
        <ns0:v>0</ns0:v>
      </ns0:c>
      <ns0:c r="J443" s="0">
        <ns0:f>IFERROR(IF(ISNUMBER(Bookings!B443),IF(AND(Bookings!B443=INT(Bookings!B443),Bookings!B443&gt;=DATE(2000,1,1),Bookings!B443&lt;=DATE(2100,12,31)),Bookings!B443,0),IF(AND(A443&lt;&gt;"",LEN("x"&amp;B443)-LEN(SUBSTITUTE("x"&amp;B443,".",""))=2,OR(1&gt;LEN(B443),MID(B443,1,1)=".",ISNUMBER(FIND("x"&amp;MID(B443,1,1),"x0x1x2x3x4x5x6x7x8x9"))),OR(2&gt;LEN(B443),MID(B443,2,1)=".",ISNUMBER(FIND("x"&amp;MID(B443,2,1),"x0x1x2x3x4x5x6x7x8x9"))),OR(3&gt;LEN(B443),MID(B443,3,1)=".",ISNUMBER(FIND("x"&amp;MID(B443,3,1),"x0x1x2x3x4x5x6x7x8x9"))),OR(4&gt;LEN(B443),MID(B443,4,1)=".",ISNUMBER(FIND("x"&amp;MID(B443,4,1),"x0x1x2x3x4x5x6x7x8x9"))),OR(5&gt;LEN(B443),MID(B443,5,1)=".",ISNUMBER(FIND("x"&amp;MID(B443,5,1),"x0x1x2x3x4x5x6x7x8x9"))),OR(6&gt;LEN(B443),MID(B443,6,1)=".",ISNUMBER(FIND("x"&amp;MID(B443,6,1),"x0x1x2x3x4x5x6x7x8x9"))),OR(7&gt;LEN(B443),MID(B443,7,1)=".",ISNUMBER(FIND("x"&amp;MID(B443,7,1),"x0x1x2x3x4x5x6x7x8x9"))),OR(8&gt;LEN(B443),MID(B443,8,1)=".",ISNUMBER(FIND("x"&amp;MID(B443,8,1),"x0x1x2x3x4x5x6x7x8x9"))),OR(9&gt;LEN(B443),MID(B443,9,1)=".",ISNUMBER(FIND("x"&amp;MID(B443,9,1),"x0x1x2x3x4x5x6x7x8x9"))),OR(10&gt;LEN(B443),MID(B443,10,1)=".",ISNUMBER(FIND("x"&amp;MID(B443,10,1),"x0x1x2x3x4x5x6x7x8x9"))),OR(AND(FIND(".",B443)=5,LEN(B443)-FIND(".",B443,FIND(".",B443)+1)&gt;=1,LEN(B443)-FIND(".",B443,FIND(".",B443)+1)&lt;=2),AND(LEN(B443)-FIND(".",B443,FIND(".",B443)+1)=4,FIND(".",B443)&gt;=2,FIND(".",B443)&lt;=3)),FIND(".",B443,FIND(".",B443)+1)-FIND(".",B443)&gt;=2,FIND(".",B443,FIND(".",B443)+1)-FIND(".",B443)&lt;=3,F443&gt;=2000,F443&lt;=2100,YEAR(I443)=F443,MONTH(I443)=G443,DAY(I443)=H443),I443,0)),0)</ns0:f>
        <ns0:v>0</ns0:v>
      </ns0:c>
      <ns0:c r="K443" s="0">
        <ns0:f>IFERROR(IF(ISNUMBER(Bookings!D443),"",TRIM(Bookings!D443&amp;"")),"")</ns0:f>
      </ns0:c>
      <ns0:c r="L443" s="0">
        <ns0:f>IFERROR(SUBSTITUTE(SUBSTITUTE(K443,"/","."),"-","."),"")</ns0:f>
      </ns0:c>
      <ns0:c r="M443" s="0">
        <ns0:f>IFERROR(LEFT(L443,FIND(".",L443)-1),"")</ns0:f>
      </ns0:c>
      <ns0:c r="N443" s="0">
        <ns0:f>IFERROR(MID(L443,FIND(".",L443)+1,FIND(".",L443,FIND(".",L443)+1)-FIND(".",L443)-1),"")</ns0:f>
      </ns0:c>
      <ns0:c r="O443" s="0">
        <ns0:f>IFERROR(MID(L443,FIND(".",L443,FIND(".",L443)+1)+1,99),"")</ns0:f>
        <ns0:v>99</ns0:v>
      </ns0:c>
      <ns0:c r="P443" s="0">
        <ns0:f>IFERROR(IF(FIND(".",L443)=5,--M443,--O443),0)</ns0:f>
        <ns0:v>0</ns0:v>
      </ns0:c>
      <ns0:c r="Q443" s="0">
        <ns0:f>IFERROR(--N443,0)</ns0:f>
        <ns0:v>0</ns0:v>
      </ns0:c>
      <ns0:c r="R443" s="0">
        <ns0:f>IFERROR(IF(FIND(".",L443)=5,--O443,--M443),0)</ns0:f>
        <ns0:v>0</ns0:v>
      </ns0:c>
      <ns0:c r="S443" s="0">
        <ns0:f>IFERROR(IF(AND(P443&gt;=2000,P443&lt;=2100,Q443&gt;=1,Q443&lt;=12,R443&gt;=1,R443&lt;=31),DATE(P443,Q443,R443),0),0)</ns0:f>
        <ns0:v>0</ns0:v>
      </ns0:c>
      <ns0:c r="T443" s="0">
        <ns0:f>IFERROR(IF(ISNUMBER(Bookings!D443),IF(AND(Bookings!D443=INT(Bookings!D443),Bookings!D443&gt;=DATE(2000,1,1),Bookings!D443&lt;=DATE(2100,12,31)),Bookings!D443,0),IF(AND(K443&lt;&gt;"",LEN("x"&amp;L443)-LEN(SUBSTITUTE("x"&amp;L443,".",""))=2,OR(1&gt;LEN(L443),MID(L443,1,1)=".",ISNUMBER(FIND("x"&amp;MID(L443,1,1),"x0x1x2x3x4x5x6x7x8x9"))),OR(2&gt;LEN(L443),MID(L443,2,1)=".",ISNUMBER(FIND("x"&amp;MID(L443,2,1),"x0x1x2x3x4x5x6x7x8x9"))),OR(3&gt;LEN(L443),MID(L443,3,1)=".",ISNUMBER(FIND("x"&amp;MID(L443,3,1),"x0x1x2x3x4x5x6x7x8x9"))),OR(4&gt;LEN(L443),MID(L443,4,1)=".",ISNUMBER(FIND("x"&amp;MID(L443,4,1),"x0x1x2x3x4x5x6x7x8x9"))),OR(5&gt;LEN(L443),MID(L443,5,1)=".",ISNUMBER(FIND("x"&amp;MID(L443,5,1),"x0x1x2x3x4x5x6x7x8x9"))),OR(6&gt;LEN(L443),MID(L443,6,1)=".",ISNUMBER(FIND("x"&amp;MID(L443,6,1),"x0x1x2x3x4x5x6x7x8x9"))),OR(7&gt;LEN(L443),MID(L443,7,1)=".",ISNUMBER(FIND("x"&amp;MID(L443,7,1),"x0x1x2x3x4x5x6x7x8x9"))),OR(8&gt;LEN(L443),MID(L443,8,1)=".",ISNUMBER(FIND("x"&amp;MID(L443,8,1),"x0x1x2x3x4x5x6x7x8x9"))),OR(9&gt;LEN(L443),MID(L443,9,1)=".",ISNUMBER(FIND("x"&amp;MID(L443,9,1),"x0x1x2x3x4x5x6x7x8x9"))),OR(10&gt;LEN(L443),MID(L443,10,1)=".",ISNUMBER(FIND("x"&amp;MID(L443,10,1),"x0x1x2x3x4x5x6x7x8x9"))),OR(AND(FIND(".",L443)=5,LEN(L443)-FIND(".",L443,FIND(".",L443)+1)&gt;=1,LEN(L443)-FIND(".",L443,FIND(".",L443)+1)&lt;=2),AND(LEN(L443)-FIND(".",L443,FIND(".",L443)+1)=4,FIND(".",L443)&gt;=2,FIND(".",L443)&lt;=3)),FIND(".",L443,FIND(".",L443)+1)-FIND(".",L443)&gt;=2,FIND(".",L443,FIND(".",L443)+1)-FIND(".",L443)&lt;=3,P443&gt;=2000,P443&lt;=2100,YEAR(S443)=P443,MONTH(S443)=Q443,DAY(S443)=R443),S443,0)),0)</ns0:f>
        <ns0:v>0</ns0:v>
      </ns0:c>
      <ns0:c r="U443" s="0" t="str">
        <ns0:f>IF(Bookings!C443="","Full day",Bookings!C443)</ns0:f>
        <ns0:v>Full day</ns0:v>
      </ns0:c>
      <ns0:c r="V443" s="0" t="str">
        <ns0:f>IF(Bookings!E443="","Full day",Bookings!E443)</ns0:f>
        <ns0:v>Full day</ns0:v>
      </ns0:c>
      <ns0:c r="W443" s="0">
        <ns0:f>IF(J443=0,0,J443+IF(U443="PM",1,0))</ns0:f>
        <ns0:v>0</ns0:v>
      </ns0:c>
      <ns0:c r="X443" s="0">
        <ns0:f>IF(T443=0,0,T443-IF(V443="PM",1,0))</ns0:f>
        <ns0:v>0</ns0:v>
      </ns0:c>
      <ns0:c r="Y443" s="0">
        <ns0:f>IF(J443=0,0,J443+IF(U443="AM",1,0))</ns0:f>
        <ns0:v>0</ns0:v>
      </ns0:c>
      <ns0:c r="Z443" s="0">
        <ns0:f>IF(T443=0,0,T443-IF(V443="AM",1,0))</ns0:f>
        <ns0:v>0</ns0:v>
      </ns0:c>
      <ns0:c r="AA443" s="0">
        <ns0:f>IFERROR(IF(AND(J443&gt;0,'_Engine'!C443&gt;0,MID('_Engine'!W443,WEEKDAY(J443,2),1)="W",COUNTIF(Settings!$F$18:$F$67,J443)=0),1,0),0)</ns0:f>
        <ns0:v>0</ns0:v>
      </ns0:c>
      <ns0:c r="AB443" s="0">
        <ns0:f>IFERROR(IF(AND(T443&gt;0,'_Engine'!C443&gt;0,MID('_Engine'!W443,WEEKDAY(T443,2),1)="W",COUNTIF(Settings!$F$18:$F$67,T443)=0),1,0),0)</ns0:f>
        <ns0:v>0</ns0:v>
      </ns0:c>
      <ns0:c r="AC443" s="0">
        <ns0:f>IF(AND(J443&gt;0,T443&gt;0,W443&lt;=X443),1,0)</ns0:f>
        <ns0:v>0</ns0:v>
      </ns0:c>
      <ns0:c r="AD443" s="0">
        <ns0:f>IF(AND(J443&gt;0,T443&gt;0,Y443&lt;=Z443),1,0)</ns0:f>
        <ns0:v>0</ns0:v>
      </ns0:c>
    </ns0:row>
    <ns0:row r="444">
      <ns0:c r="A444" s="0">
        <ns0:f>IFERROR(IF(ISNUMBER(Bookings!B444),"",TRIM(Bookings!B444&amp;"")),"")</ns0:f>
      </ns0:c>
      <ns0:c r="B444" s="0">
        <ns0:f>IFERROR(SUBSTITUTE(SUBSTITUTE(A444,"/","."),"-","."),"")</ns0:f>
      </ns0:c>
      <ns0:c r="C444" s="0">
        <ns0:f>IFERROR(LEFT(B444,FIND(".",B444)-1),"")</ns0:f>
      </ns0:c>
      <ns0:c r="D444" s="0">
        <ns0:f>IFERROR(MID(B444,FIND(".",B444)+1,FIND(".",B444,FIND(".",B444)+1)-FIND(".",B444)-1),"")</ns0:f>
      </ns0:c>
      <ns0:c r="E444" s="0">
        <ns0:f>IFERROR(MID(B444,FIND(".",B444,FIND(".",B444)+1)+1,99),"")</ns0:f>
        <ns0:v>99</ns0:v>
      </ns0:c>
      <ns0:c r="F444" s="0">
        <ns0:f>IFERROR(IF(FIND(".",B444)=5,--C444,--E444),0)</ns0:f>
        <ns0:v>0</ns0:v>
      </ns0:c>
      <ns0:c r="G444" s="0">
        <ns0:f>IFERROR(--D444,0)</ns0:f>
        <ns0:v>0</ns0:v>
      </ns0:c>
      <ns0:c r="H444" s="0">
        <ns0:f>IFERROR(IF(FIND(".",B444)=5,--E444,--C444),0)</ns0:f>
        <ns0:v>0</ns0:v>
      </ns0:c>
      <ns0:c r="I444" s="0">
        <ns0:f>IFERROR(IF(AND(F444&gt;=2000,F444&lt;=2100,G444&gt;=1,G444&lt;=12,H444&gt;=1,H444&lt;=31),DATE(F444,G444,H444),0),0)</ns0:f>
        <ns0:v>0</ns0:v>
      </ns0:c>
      <ns0:c r="J444" s="0">
        <ns0:f>IFERROR(IF(ISNUMBER(Bookings!B444),IF(AND(Bookings!B444=INT(Bookings!B444),Bookings!B444&gt;=DATE(2000,1,1),Bookings!B444&lt;=DATE(2100,12,31)),Bookings!B444,0),IF(AND(A444&lt;&gt;"",LEN("x"&amp;B444)-LEN(SUBSTITUTE("x"&amp;B444,".",""))=2,OR(1&gt;LEN(B444),MID(B444,1,1)=".",ISNUMBER(FIND("x"&amp;MID(B444,1,1),"x0x1x2x3x4x5x6x7x8x9"))),OR(2&gt;LEN(B444),MID(B444,2,1)=".",ISNUMBER(FIND("x"&amp;MID(B444,2,1),"x0x1x2x3x4x5x6x7x8x9"))),OR(3&gt;LEN(B444),MID(B444,3,1)=".",ISNUMBER(FIND("x"&amp;MID(B444,3,1),"x0x1x2x3x4x5x6x7x8x9"))),OR(4&gt;LEN(B444),MID(B444,4,1)=".",ISNUMBER(FIND("x"&amp;MID(B444,4,1),"x0x1x2x3x4x5x6x7x8x9"))),OR(5&gt;LEN(B444),MID(B444,5,1)=".",ISNUMBER(FIND("x"&amp;MID(B444,5,1),"x0x1x2x3x4x5x6x7x8x9"))),OR(6&gt;LEN(B444),MID(B444,6,1)=".",ISNUMBER(FIND("x"&amp;MID(B444,6,1),"x0x1x2x3x4x5x6x7x8x9"))),OR(7&gt;LEN(B444),MID(B444,7,1)=".",ISNUMBER(FIND("x"&amp;MID(B444,7,1),"x0x1x2x3x4x5x6x7x8x9"))),OR(8&gt;LEN(B444),MID(B444,8,1)=".",ISNUMBER(FIND("x"&amp;MID(B444,8,1),"x0x1x2x3x4x5x6x7x8x9"))),OR(9&gt;LEN(B444),MID(B444,9,1)=".",ISNUMBER(FIND("x"&amp;MID(B444,9,1),"x0x1x2x3x4x5x6x7x8x9"))),OR(10&gt;LEN(B444),MID(B444,10,1)=".",ISNUMBER(FIND("x"&amp;MID(B444,10,1),"x0x1x2x3x4x5x6x7x8x9"))),OR(AND(FIND(".",B444)=5,LEN(B444)-FIND(".",B444,FIND(".",B444)+1)&gt;=1,LEN(B444)-FIND(".",B444,FIND(".",B444)+1)&lt;=2),AND(LEN(B444)-FIND(".",B444,FIND(".",B444)+1)=4,FIND(".",B444)&gt;=2,FIND(".",B444)&lt;=3)),FIND(".",B444,FIND(".",B444)+1)-FIND(".",B444)&gt;=2,FIND(".",B444,FIND(".",B444)+1)-FIND(".",B444)&lt;=3,F444&gt;=2000,F444&lt;=2100,YEAR(I444)=F444,MONTH(I444)=G444,DAY(I444)=H444),I444,0)),0)</ns0:f>
        <ns0:v>0</ns0:v>
      </ns0:c>
      <ns0:c r="K444" s="0">
        <ns0:f>IFERROR(IF(ISNUMBER(Bookings!D444),"",TRIM(Bookings!D444&amp;"")),"")</ns0:f>
      </ns0:c>
      <ns0:c r="L444" s="0">
        <ns0:f>IFERROR(SUBSTITUTE(SUBSTITUTE(K444,"/","."),"-","."),"")</ns0:f>
      </ns0:c>
      <ns0:c r="M444" s="0">
        <ns0:f>IFERROR(LEFT(L444,FIND(".",L444)-1),"")</ns0:f>
      </ns0:c>
      <ns0:c r="N444" s="0">
        <ns0:f>IFERROR(MID(L444,FIND(".",L444)+1,FIND(".",L444,FIND(".",L444)+1)-FIND(".",L444)-1),"")</ns0:f>
      </ns0:c>
      <ns0:c r="O444" s="0">
        <ns0:f>IFERROR(MID(L444,FIND(".",L444,FIND(".",L444)+1)+1,99),"")</ns0:f>
        <ns0:v>99</ns0:v>
      </ns0:c>
      <ns0:c r="P444" s="0">
        <ns0:f>IFERROR(IF(FIND(".",L444)=5,--M444,--O444),0)</ns0:f>
        <ns0:v>0</ns0:v>
      </ns0:c>
      <ns0:c r="Q444" s="0">
        <ns0:f>IFERROR(--N444,0)</ns0:f>
        <ns0:v>0</ns0:v>
      </ns0:c>
      <ns0:c r="R444" s="0">
        <ns0:f>IFERROR(IF(FIND(".",L444)=5,--O444,--M444),0)</ns0:f>
        <ns0:v>0</ns0:v>
      </ns0:c>
      <ns0:c r="S444" s="0">
        <ns0:f>IFERROR(IF(AND(P444&gt;=2000,P444&lt;=2100,Q444&gt;=1,Q444&lt;=12,R444&gt;=1,R444&lt;=31),DATE(P444,Q444,R444),0),0)</ns0:f>
        <ns0:v>0</ns0:v>
      </ns0:c>
      <ns0:c r="T444" s="0">
        <ns0:f>IFERROR(IF(ISNUMBER(Bookings!D444),IF(AND(Bookings!D444=INT(Bookings!D444),Bookings!D444&gt;=DATE(2000,1,1),Bookings!D444&lt;=DATE(2100,12,31)),Bookings!D444,0),IF(AND(K444&lt;&gt;"",LEN("x"&amp;L444)-LEN(SUBSTITUTE("x"&amp;L444,".",""))=2,OR(1&gt;LEN(L444),MID(L444,1,1)=".",ISNUMBER(FIND("x"&amp;MID(L444,1,1),"x0x1x2x3x4x5x6x7x8x9"))),OR(2&gt;LEN(L444),MID(L444,2,1)=".",ISNUMBER(FIND("x"&amp;MID(L444,2,1),"x0x1x2x3x4x5x6x7x8x9"))),OR(3&gt;LEN(L444),MID(L444,3,1)=".",ISNUMBER(FIND("x"&amp;MID(L444,3,1),"x0x1x2x3x4x5x6x7x8x9"))),OR(4&gt;LEN(L444),MID(L444,4,1)=".",ISNUMBER(FIND("x"&amp;MID(L444,4,1),"x0x1x2x3x4x5x6x7x8x9"))),OR(5&gt;LEN(L444),MID(L444,5,1)=".",ISNUMBER(FIND("x"&amp;MID(L444,5,1),"x0x1x2x3x4x5x6x7x8x9"))),OR(6&gt;LEN(L444),MID(L444,6,1)=".",ISNUMBER(FIND("x"&amp;MID(L444,6,1),"x0x1x2x3x4x5x6x7x8x9"))),OR(7&gt;LEN(L444),MID(L444,7,1)=".",ISNUMBER(FIND("x"&amp;MID(L444,7,1),"x0x1x2x3x4x5x6x7x8x9"))),OR(8&gt;LEN(L444),MID(L444,8,1)=".",ISNUMBER(FIND("x"&amp;MID(L444,8,1),"x0x1x2x3x4x5x6x7x8x9"))),OR(9&gt;LEN(L444),MID(L444,9,1)=".",ISNUMBER(FIND("x"&amp;MID(L444,9,1),"x0x1x2x3x4x5x6x7x8x9"))),OR(10&gt;LEN(L444),MID(L444,10,1)=".",ISNUMBER(FIND("x"&amp;MID(L444,10,1),"x0x1x2x3x4x5x6x7x8x9"))),OR(AND(FIND(".",L444)=5,LEN(L444)-FIND(".",L444,FIND(".",L444)+1)&gt;=1,LEN(L444)-FIND(".",L444,FIND(".",L444)+1)&lt;=2),AND(LEN(L444)-FIND(".",L444,FIND(".",L444)+1)=4,FIND(".",L444)&gt;=2,FIND(".",L444)&lt;=3)),FIND(".",L444,FIND(".",L444)+1)-FIND(".",L444)&gt;=2,FIND(".",L444,FIND(".",L444)+1)-FIND(".",L444)&lt;=3,P444&gt;=2000,P444&lt;=2100,YEAR(S444)=P444,MONTH(S444)=Q444,DAY(S444)=R444),S444,0)),0)</ns0:f>
        <ns0:v>0</ns0:v>
      </ns0:c>
      <ns0:c r="U444" s="0" t="str">
        <ns0:f>IF(Bookings!C444="","Full day",Bookings!C444)</ns0:f>
        <ns0:v>Full day</ns0:v>
      </ns0:c>
      <ns0:c r="V444" s="0" t="str">
        <ns0:f>IF(Bookings!E444="","Full day",Bookings!E444)</ns0:f>
        <ns0:v>Full day</ns0:v>
      </ns0:c>
      <ns0:c r="W444" s="0">
        <ns0:f>IF(J444=0,0,J444+IF(U444="PM",1,0))</ns0:f>
        <ns0:v>0</ns0:v>
      </ns0:c>
      <ns0:c r="X444" s="0">
        <ns0:f>IF(T444=0,0,T444-IF(V444="PM",1,0))</ns0:f>
        <ns0:v>0</ns0:v>
      </ns0:c>
      <ns0:c r="Y444" s="0">
        <ns0:f>IF(J444=0,0,J444+IF(U444="AM",1,0))</ns0:f>
        <ns0:v>0</ns0:v>
      </ns0:c>
      <ns0:c r="Z444" s="0">
        <ns0:f>IF(T444=0,0,T444-IF(V444="AM",1,0))</ns0:f>
        <ns0:v>0</ns0:v>
      </ns0:c>
      <ns0:c r="AA444" s="0">
        <ns0:f>IFERROR(IF(AND(J444&gt;0,'_Engine'!C444&gt;0,MID('_Engine'!W444,WEEKDAY(J444,2),1)="W",COUNTIF(Settings!$F$18:$F$67,J444)=0),1,0),0)</ns0:f>
        <ns0:v>0</ns0:v>
      </ns0:c>
      <ns0:c r="AB444" s="0">
        <ns0:f>IFERROR(IF(AND(T444&gt;0,'_Engine'!C444&gt;0,MID('_Engine'!W444,WEEKDAY(T444,2),1)="W",COUNTIF(Settings!$F$18:$F$67,T444)=0),1,0),0)</ns0:f>
        <ns0:v>0</ns0:v>
      </ns0:c>
      <ns0:c r="AC444" s="0">
        <ns0:f>IF(AND(J444&gt;0,T444&gt;0,W444&lt;=X444),1,0)</ns0:f>
        <ns0:v>0</ns0:v>
      </ns0:c>
      <ns0:c r="AD444" s="0">
        <ns0:f>IF(AND(J444&gt;0,T444&gt;0,Y444&lt;=Z444),1,0)</ns0:f>
        <ns0:v>0</ns0:v>
      </ns0:c>
    </ns0:row>
    <ns0:row r="445">
      <ns0:c r="A445" s="0">
        <ns0:f>IFERROR(IF(ISNUMBER(Bookings!B445),"",TRIM(Bookings!B445&amp;"")),"")</ns0:f>
      </ns0:c>
      <ns0:c r="B445" s="0">
        <ns0:f>IFERROR(SUBSTITUTE(SUBSTITUTE(A445,"/","."),"-","."),"")</ns0:f>
      </ns0:c>
      <ns0:c r="C445" s="0">
        <ns0:f>IFERROR(LEFT(B445,FIND(".",B445)-1),"")</ns0:f>
      </ns0:c>
      <ns0:c r="D445" s="0">
        <ns0:f>IFERROR(MID(B445,FIND(".",B445)+1,FIND(".",B445,FIND(".",B445)+1)-FIND(".",B445)-1),"")</ns0:f>
      </ns0:c>
      <ns0:c r="E445" s="0">
        <ns0:f>IFERROR(MID(B445,FIND(".",B445,FIND(".",B445)+1)+1,99),"")</ns0:f>
        <ns0:v>99</ns0:v>
      </ns0:c>
      <ns0:c r="F445" s="0">
        <ns0:f>IFERROR(IF(FIND(".",B445)=5,--C445,--E445),0)</ns0:f>
        <ns0:v>0</ns0:v>
      </ns0:c>
      <ns0:c r="G445" s="0">
        <ns0:f>IFERROR(--D445,0)</ns0:f>
        <ns0:v>0</ns0:v>
      </ns0:c>
      <ns0:c r="H445" s="0">
        <ns0:f>IFERROR(IF(FIND(".",B445)=5,--E445,--C445),0)</ns0:f>
        <ns0:v>0</ns0:v>
      </ns0:c>
      <ns0:c r="I445" s="0">
        <ns0:f>IFERROR(IF(AND(F445&gt;=2000,F445&lt;=2100,G445&gt;=1,G445&lt;=12,H445&gt;=1,H445&lt;=31),DATE(F445,G445,H445),0),0)</ns0:f>
        <ns0:v>0</ns0:v>
      </ns0:c>
      <ns0:c r="J445" s="0">
        <ns0:f>IFERROR(IF(ISNUMBER(Bookings!B445),IF(AND(Bookings!B445=INT(Bookings!B445),Bookings!B445&gt;=DATE(2000,1,1),Bookings!B445&lt;=DATE(2100,12,31)),Bookings!B445,0),IF(AND(A445&lt;&gt;"",LEN("x"&amp;B445)-LEN(SUBSTITUTE("x"&amp;B445,".",""))=2,OR(1&gt;LEN(B445),MID(B445,1,1)=".",ISNUMBER(FIND("x"&amp;MID(B445,1,1),"x0x1x2x3x4x5x6x7x8x9"))),OR(2&gt;LEN(B445),MID(B445,2,1)=".",ISNUMBER(FIND("x"&amp;MID(B445,2,1),"x0x1x2x3x4x5x6x7x8x9"))),OR(3&gt;LEN(B445),MID(B445,3,1)=".",ISNUMBER(FIND("x"&amp;MID(B445,3,1),"x0x1x2x3x4x5x6x7x8x9"))),OR(4&gt;LEN(B445),MID(B445,4,1)=".",ISNUMBER(FIND("x"&amp;MID(B445,4,1),"x0x1x2x3x4x5x6x7x8x9"))),OR(5&gt;LEN(B445),MID(B445,5,1)=".",ISNUMBER(FIND("x"&amp;MID(B445,5,1),"x0x1x2x3x4x5x6x7x8x9"))),OR(6&gt;LEN(B445),MID(B445,6,1)=".",ISNUMBER(FIND("x"&amp;MID(B445,6,1),"x0x1x2x3x4x5x6x7x8x9"))),OR(7&gt;LEN(B445),MID(B445,7,1)=".",ISNUMBER(FIND("x"&amp;MID(B445,7,1),"x0x1x2x3x4x5x6x7x8x9"))),OR(8&gt;LEN(B445),MID(B445,8,1)=".",ISNUMBER(FIND("x"&amp;MID(B445,8,1),"x0x1x2x3x4x5x6x7x8x9"))),OR(9&gt;LEN(B445),MID(B445,9,1)=".",ISNUMBER(FIND("x"&amp;MID(B445,9,1),"x0x1x2x3x4x5x6x7x8x9"))),OR(10&gt;LEN(B445),MID(B445,10,1)=".",ISNUMBER(FIND("x"&amp;MID(B445,10,1),"x0x1x2x3x4x5x6x7x8x9"))),OR(AND(FIND(".",B445)=5,LEN(B445)-FIND(".",B445,FIND(".",B445)+1)&gt;=1,LEN(B445)-FIND(".",B445,FIND(".",B445)+1)&lt;=2),AND(LEN(B445)-FIND(".",B445,FIND(".",B445)+1)=4,FIND(".",B445)&gt;=2,FIND(".",B445)&lt;=3)),FIND(".",B445,FIND(".",B445)+1)-FIND(".",B445)&gt;=2,FIND(".",B445,FIND(".",B445)+1)-FIND(".",B445)&lt;=3,F445&gt;=2000,F445&lt;=2100,YEAR(I445)=F445,MONTH(I445)=G445,DAY(I445)=H445),I445,0)),0)</ns0:f>
        <ns0:v>0</ns0:v>
      </ns0:c>
      <ns0:c r="K445" s="0">
        <ns0:f>IFERROR(IF(ISNUMBER(Bookings!D445),"",TRIM(Bookings!D445&amp;"")),"")</ns0:f>
      </ns0:c>
      <ns0:c r="L445" s="0">
        <ns0:f>IFERROR(SUBSTITUTE(SUBSTITUTE(K445,"/","."),"-","."),"")</ns0:f>
      </ns0:c>
      <ns0:c r="M445" s="0">
        <ns0:f>IFERROR(LEFT(L445,FIND(".",L445)-1),"")</ns0:f>
      </ns0:c>
      <ns0:c r="N445" s="0">
        <ns0:f>IFERROR(MID(L445,FIND(".",L445)+1,FIND(".",L445,FIND(".",L445)+1)-FIND(".",L445)-1),"")</ns0:f>
      </ns0:c>
      <ns0:c r="O445" s="0">
        <ns0:f>IFERROR(MID(L445,FIND(".",L445,FIND(".",L445)+1)+1,99),"")</ns0:f>
        <ns0:v>99</ns0:v>
      </ns0:c>
      <ns0:c r="P445" s="0">
        <ns0:f>IFERROR(IF(FIND(".",L445)=5,--M445,--O445),0)</ns0:f>
        <ns0:v>0</ns0:v>
      </ns0:c>
      <ns0:c r="Q445" s="0">
        <ns0:f>IFERROR(--N445,0)</ns0:f>
        <ns0:v>0</ns0:v>
      </ns0:c>
      <ns0:c r="R445" s="0">
        <ns0:f>IFERROR(IF(FIND(".",L445)=5,--O445,--M445),0)</ns0:f>
        <ns0:v>0</ns0:v>
      </ns0:c>
      <ns0:c r="S445" s="0">
        <ns0:f>IFERROR(IF(AND(P445&gt;=2000,P445&lt;=2100,Q445&gt;=1,Q445&lt;=12,R445&gt;=1,R445&lt;=31),DATE(P445,Q445,R445),0),0)</ns0:f>
        <ns0:v>0</ns0:v>
      </ns0:c>
      <ns0:c r="T445" s="0">
        <ns0:f>IFERROR(IF(ISNUMBER(Bookings!D445),IF(AND(Bookings!D445=INT(Bookings!D445),Bookings!D445&gt;=DATE(2000,1,1),Bookings!D445&lt;=DATE(2100,12,31)),Bookings!D445,0),IF(AND(K445&lt;&gt;"",LEN("x"&amp;L445)-LEN(SUBSTITUTE("x"&amp;L445,".",""))=2,OR(1&gt;LEN(L445),MID(L445,1,1)=".",ISNUMBER(FIND("x"&amp;MID(L445,1,1),"x0x1x2x3x4x5x6x7x8x9"))),OR(2&gt;LEN(L445),MID(L445,2,1)=".",ISNUMBER(FIND("x"&amp;MID(L445,2,1),"x0x1x2x3x4x5x6x7x8x9"))),OR(3&gt;LEN(L445),MID(L445,3,1)=".",ISNUMBER(FIND("x"&amp;MID(L445,3,1),"x0x1x2x3x4x5x6x7x8x9"))),OR(4&gt;LEN(L445),MID(L445,4,1)=".",ISNUMBER(FIND("x"&amp;MID(L445,4,1),"x0x1x2x3x4x5x6x7x8x9"))),OR(5&gt;LEN(L445),MID(L445,5,1)=".",ISNUMBER(FIND("x"&amp;MID(L445,5,1),"x0x1x2x3x4x5x6x7x8x9"))),OR(6&gt;LEN(L445),MID(L445,6,1)=".",ISNUMBER(FIND("x"&amp;MID(L445,6,1),"x0x1x2x3x4x5x6x7x8x9"))),OR(7&gt;LEN(L445),MID(L445,7,1)=".",ISNUMBER(FIND("x"&amp;MID(L445,7,1),"x0x1x2x3x4x5x6x7x8x9"))),OR(8&gt;LEN(L445),MID(L445,8,1)=".",ISNUMBER(FIND("x"&amp;MID(L445,8,1),"x0x1x2x3x4x5x6x7x8x9"))),OR(9&gt;LEN(L445),MID(L445,9,1)=".",ISNUMBER(FIND("x"&amp;MID(L445,9,1),"x0x1x2x3x4x5x6x7x8x9"))),OR(10&gt;LEN(L445),MID(L445,10,1)=".",ISNUMBER(FIND("x"&amp;MID(L445,10,1),"x0x1x2x3x4x5x6x7x8x9"))),OR(AND(FIND(".",L445)=5,LEN(L445)-FIND(".",L445,FIND(".",L445)+1)&gt;=1,LEN(L445)-FIND(".",L445,FIND(".",L445)+1)&lt;=2),AND(LEN(L445)-FIND(".",L445,FIND(".",L445)+1)=4,FIND(".",L445)&gt;=2,FIND(".",L445)&lt;=3)),FIND(".",L445,FIND(".",L445)+1)-FIND(".",L445)&gt;=2,FIND(".",L445,FIND(".",L445)+1)-FIND(".",L445)&lt;=3,P445&gt;=2000,P445&lt;=2100,YEAR(S445)=P445,MONTH(S445)=Q445,DAY(S445)=R445),S445,0)),0)</ns0:f>
        <ns0:v>0</ns0:v>
      </ns0:c>
      <ns0:c r="U445" s="0" t="str">
        <ns0:f>IF(Bookings!C445="","Full day",Bookings!C445)</ns0:f>
        <ns0:v>Full day</ns0:v>
      </ns0:c>
      <ns0:c r="V445" s="0" t="str">
        <ns0:f>IF(Bookings!E445="","Full day",Bookings!E445)</ns0:f>
        <ns0:v>Full day</ns0:v>
      </ns0:c>
      <ns0:c r="W445" s="0">
        <ns0:f>IF(J445=0,0,J445+IF(U445="PM",1,0))</ns0:f>
        <ns0:v>0</ns0:v>
      </ns0:c>
      <ns0:c r="X445" s="0">
        <ns0:f>IF(T445=0,0,T445-IF(V445="PM",1,0))</ns0:f>
        <ns0:v>0</ns0:v>
      </ns0:c>
      <ns0:c r="Y445" s="0">
        <ns0:f>IF(J445=0,0,J445+IF(U445="AM",1,0))</ns0:f>
        <ns0:v>0</ns0:v>
      </ns0:c>
      <ns0:c r="Z445" s="0">
        <ns0:f>IF(T445=0,0,T445-IF(V445="AM",1,0))</ns0:f>
        <ns0:v>0</ns0:v>
      </ns0:c>
      <ns0:c r="AA445" s="0">
        <ns0:f>IFERROR(IF(AND(J445&gt;0,'_Engine'!C445&gt;0,MID('_Engine'!W445,WEEKDAY(J445,2),1)="W",COUNTIF(Settings!$F$18:$F$67,J445)=0),1,0),0)</ns0:f>
        <ns0:v>0</ns0:v>
      </ns0:c>
      <ns0:c r="AB445" s="0">
        <ns0:f>IFERROR(IF(AND(T445&gt;0,'_Engine'!C445&gt;0,MID('_Engine'!W445,WEEKDAY(T445,2),1)="W",COUNTIF(Settings!$F$18:$F$67,T445)=0),1,0),0)</ns0:f>
        <ns0:v>0</ns0:v>
      </ns0:c>
      <ns0:c r="AC445" s="0">
        <ns0:f>IF(AND(J445&gt;0,T445&gt;0,W445&lt;=X445),1,0)</ns0:f>
        <ns0:v>0</ns0:v>
      </ns0:c>
      <ns0:c r="AD445" s="0">
        <ns0:f>IF(AND(J445&gt;0,T445&gt;0,Y445&lt;=Z445),1,0)</ns0:f>
        <ns0:v>0</ns0:v>
      </ns0:c>
    </ns0:row>
    <ns0:row r="446">
      <ns0:c r="A446" s="0">
        <ns0:f>IFERROR(IF(ISNUMBER(Bookings!B446),"",TRIM(Bookings!B446&amp;"")),"")</ns0:f>
      </ns0:c>
      <ns0:c r="B446" s="0">
        <ns0:f>IFERROR(SUBSTITUTE(SUBSTITUTE(A446,"/","."),"-","."),"")</ns0:f>
      </ns0:c>
      <ns0:c r="C446" s="0">
        <ns0:f>IFERROR(LEFT(B446,FIND(".",B446)-1),"")</ns0:f>
      </ns0:c>
      <ns0:c r="D446" s="0">
        <ns0:f>IFERROR(MID(B446,FIND(".",B446)+1,FIND(".",B446,FIND(".",B446)+1)-FIND(".",B446)-1),"")</ns0:f>
      </ns0:c>
      <ns0:c r="E446" s="0">
        <ns0:f>IFERROR(MID(B446,FIND(".",B446,FIND(".",B446)+1)+1,99),"")</ns0:f>
        <ns0:v>99</ns0:v>
      </ns0:c>
      <ns0:c r="F446" s="0">
        <ns0:f>IFERROR(IF(FIND(".",B446)=5,--C446,--E446),0)</ns0:f>
        <ns0:v>0</ns0:v>
      </ns0:c>
      <ns0:c r="G446" s="0">
        <ns0:f>IFERROR(--D446,0)</ns0:f>
        <ns0:v>0</ns0:v>
      </ns0:c>
      <ns0:c r="H446" s="0">
        <ns0:f>IFERROR(IF(FIND(".",B446)=5,--E446,--C446),0)</ns0:f>
        <ns0:v>0</ns0:v>
      </ns0:c>
      <ns0:c r="I446" s="0">
        <ns0:f>IFERROR(IF(AND(F446&gt;=2000,F446&lt;=2100,G446&gt;=1,G446&lt;=12,H446&gt;=1,H446&lt;=31),DATE(F446,G446,H446),0),0)</ns0:f>
        <ns0:v>0</ns0:v>
      </ns0:c>
      <ns0:c r="J446" s="0">
        <ns0:f>IFERROR(IF(ISNUMBER(Bookings!B446),IF(AND(Bookings!B446=INT(Bookings!B446),Bookings!B446&gt;=DATE(2000,1,1),Bookings!B446&lt;=DATE(2100,12,31)),Bookings!B446,0),IF(AND(A446&lt;&gt;"",LEN("x"&amp;B446)-LEN(SUBSTITUTE("x"&amp;B446,".",""))=2,OR(1&gt;LEN(B446),MID(B446,1,1)=".",ISNUMBER(FIND("x"&amp;MID(B446,1,1),"x0x1x2x3x4x5x6x7x8x9"))),OR(2&gt;LEN(B446),MID(B446,2,1)=".",ISNUMBER(FIND("x"&amp;MID(B446,2,1),"x0x1x2x3x4x5x6x7x8x9"))),OR(3&gt;LEN(B446),MID(B446,3,1)=".",ISNUMBER(FIND("x"&amp;MID(B446,3,1),"x0x1x2x3x4x5x6x7x8x9"))),OR(4&gt;LEN(B446),MID(B446,4,1)=".",ISNUMBER(FIND("x"&amp;MID(B446,4,1),"x0x1x2x3x4x5x6x7x8x9"))),OR(5&gt;LEN(B446),MID(B446,5,1)=".",ISNUMBER(FIND("x"&amp;MID(B446,5,1),"x0x1x2x3x4x5x6x7x8x9"))),OR(6&gt;LEN(B446),MID(B446,6,1)=".",ISNUMBER(FIND("x"&amp;MID(B446,6,1),"x0x1x2x3x4x5x6x7x8x9"))),OR(7&gt;LEN(B446),MID(B446,7,1)=".",ISNUMBER(FIND("x"&amp;MID(B446,7,1),"x0x1x2x3x4x5x6x7x8x9"))),OR(8&gt;LEN(B446),MID(B446,8,1)=".",ISNUMBER(FIND("x"&amp;MID(B446,8,1),"x0x1x2x3x4x5x6x7x8x9"))),OR(9&gt;LEN(B446),MID(B446,9,1)=".",ISNUMBER(FIND("x"&amp;MID(B446,9,1),"x0x1x2x3x4x5x6x7x8x9"))),OR(10&gt;LEN(B446),MID(B446,10,1)=".",ISNUMBER(FIND("x"&amp;MID(B446,10,1),"x0x1x2x3x4x5x6x7x8x9"))),OR(AND(FIND(".",B446)=5,LEN(B446)-FIND(".",B446,FIND(".",B446)+1)&gt;=1,LEN(B446)-FIND(".",B446,FIND(".",B446)+1)&lt;=2),AND(LEN(B446)-FIND(".",B446,FIND(".",B446)+1)=4,FIND(".",B446)&gt;=2,FIND(".",B446)&lt;=3)),FIND(".",B446,FIND(".",B446)+1)-FIND(".",B446)&gt;=2,FIND(".",B446,FIND(".",B446)+1)-FIND(".",B446)&lt;=3,F446&gt;=2000,F446&lt;=2100,YEAR(I446)=F446,MONTH(I446)=G446,DAY(I446)=H446),I446,0)),0)</ns0:f>
        <ns0:v>0</ns0:v>
      </ns0:c>
      <ns0:c r="K446" s="0">
        <ns0:f>IFERROR(IF(ISNUMBER(Bookings!D446),"",TRIM(Bookings!D446&amp;"")),"")</ns0:f>
      </ns0:c>
      <ns0:c r="L446" s="0">
        <ns0:f>IFERROR(SUBSTITUTE(SUBSTITUTE(K446,"/","."),"-","."),"")</ns0:f>
      </ns0:c>
      <ns0:c r="M446" s="0">
        <ns0:f>IFERROR(LEFT(L446,FIND(".",L446)-1),"")</ns0:f>
      </ns0:c>
      <ns0:c r="N446" s="0">
        <ns0:f>IFERROR(MID(L446,FIND(".",L446)+1,FIND(".",L446,FIND(".",L446)+1)-FIND(".",L446)-1),"")</ns0:f>
      </ns0:c>
      <ns0:c r="O446" s="0">
        <ns0:f>IFERROR(MID(L446,FIND(".",L446,FIND(".",L446)+1)+1,99),"")</ns0:f>
        <ns0:v>99</ns0:v>
      </ns0:c>
      <ns0:c r="P446" s="0">
        <ns0:f>IFERROR(IF(FIND(".",L446)=5,--M446,--O446),0)</ns0:f>
        <ns0:v>0</ns0:v>
      </ns0:c>
      <ns0:c r="Q446" s="0">
        <ns0:f>IFERROR(--N446,0)</ns0:f>
        <ns0:v>0</ns0:v>
      </ns0:c>
      <ns0:c r="R446" s="0">
        <ns0:f>IFERROR(IF(FIND(".",L446)=5,--O446,--M446),0)</ns0:f>
        <ns0:v>0</ns0:v>
      </ns0:c>
      <ns0:c r="S446" s="0">
        <ns0:f>IFERROR(IF(AND(P446&gt;=2000,P446&lt;=2100,Q446&gt;=1,Q446&lt;=12,R446&gt;=1,R446&lt;=31),DATE(P446,Q446,R446),0),0)</ns0:f>
        <ns0:v>0</ns0:v>
      </ns0:c>
      <ns0:c r="T446" s="0">
        <ns0:f>IFERROR(IF(ISNUMBER(Bookings!D446),IF(AND(Bookings!D446=INT(Bookings!D446),Bookings!D446&gt;=DATE(2000,1,1),Bookings!D446&lt;=DATE(2100,12,31)),Bookings!D446,0),IF(AND(K446&lt;&gt;"",LEN("x"&amp;L446)-LEN(SUBSTITUTE("x"&amp;L446,".",""))=2,OR(1&gt;LEN(L446),MID(L446,1,1)=".",ISNUMBER(FIND("x"&amp;MID(L446,1,1),"x0x1x2x3x4x5x6x7x8x9"))),OR(2&gt;LEN(L446),MID(L446,2,1)=".",ISNUMBER(FIND("x"&amp;MID(L446,2,1),"x0x1x2x3x4x5x6x7x8x9"))),OR(3&gt;LEN(L446),MID(L446,3,1)=".",ISNUMBER(FIND("x"&amp;MID(L446,3,1),"x0x1x2x3x4x5x6x7x8x9"))),OR(4&gt;LEN(L446),MID(L446,4,1)=".",ISNUMBER(FIND("x"&amp;MID(L446,4,1),"x0x1x2x3x4x5x6x7x8x9"))),OR(5&gt;LEN(L446),MID(L446,5,1)=".",ISNUMBER(FIND("x"&amp;MID(L446,5,1),"x0x1x2x3x4x5x6x7x8x9"))),OR(6&gt;LEN(L446),MID(L446,6,1)=".",ISNUMBER(FIND("x"&amp;MID(L446,6,1),"x0x1x2x3x4x5x6x7x8x9"))),OR(7&gt;LEN(L446),MID(L446,7,1)=".",ISNUMBER(FIND("x"&amp;MID(L446,7,1),"x0x1x2x3x4x5x6x7x8x9"))),OR(8&gt;LEN(L446),MID(L446,8,1)=".",ISNUMBER(FIND("x"&amp;MID(L446,8,1),"x0x1x2x3x4x5x6x7x8x9"))),OR(9&gt;LEN(L446),MID(L446,9,1)=".",ISNUMBER(FIND("x"&amp;MID(L446,9,1),"x0x1x2x3x4x5x6x7x8x9"))),OR(10&gt;LEN(L446),MID(L446,10,1)=".",ISNUMBER(FIND("x"&amp;MID(L446,10,1),"x0x1x2x3x4x5x6x7x8x9"))),OR(AND(FIND(".",L446)=5,LEN(L446)-FIND(".",L446,FIND(".",L446)+1)&gt;=1,LEN(L446)-FIND(".",L446,FIND(".",L446)+1)&lt;=2),AND(LEN(L446)-FIND(".",L446,FIND(".",L446)+1)=4,FIND(".",L446)&gt;=2,FIND(".",L446)&lt;=3)),FIND(".",L446,FIND(".",L446)+1)-FIND(".",L446)&gt;=2,FIND(".",L446,FIND(".",L446)+1)-FIND(".",L446)&lt;=3,P446&gt;=2000,P446&lt;=2100,YEAR(S446)=P446,MONTH(S446)=Q446,DAY(S446)=R446),S446,0)),0)</ns0:f>
        <ns0:v>0</ns0:v>
      </ns0:c>
      <ns0:c r="U446" s="0" t="str">
        <ns0:f>IF(Bookings!C446="","Full day",Bookings!C446)</ns0:f>
        <ns0:v>Full day</ns0:v>
      </ns0:c>
      <ns0:c r="V446" s="0" t="str">
        <ns0:f>IF(Bookings!E446="","Full day",Bookings!E446)</ns0:f>
        <ns0:v>Full day</ns0:v>
      </ns0:c>
      <ns0:c r="W446" s="0">
        <ns0:f>IF(J446=0,0,J446+IF(U446="PM",1,0))</ns0:f>
        <ns0:v>0</ns0:v>
      </ns0:c>
      <ns0:c r="X446" s="0">
        <ns0:f>IF(T446=0,0,T446-IF(V446="PM",1,0))</ns0:f>
        <ns0:v>0</ns0:v>
      </ns0:c>
      <ns0:c r="Y446" s="0">
        <ns0:f>IF(J446=0,0,J446+IF(U446="AM",1,0))</ns0:f>
        <ns0:v>0</ns0:v>
      </ns0:c>
      <ns0:c r="Z446" s="0">
        <ns0:f>IF(T446=0,0,T446-IF(V446="AM",1,0))</ns0:f>
        <ns0:v>0</ns0:v>
      </ns0:c>
      <ns0:c r="AA446" s="0">
        <ns0:f>IFERROR(IF(AND(J446&gt;0,'_Engine'!C446&gt;0,MID('_Engine'!W446,WEEKDAY(J446,2),1)="W",COUNTIF(Settings!$F$18:$F$67,J446)=0),1,0),0)</ns0:f>
        <ns0:v>0</ns0:v>
      </ns0:c>
      <ns0:c r="AB446" s="0">
        <ns0:f>IFERROR(IF(AND(T446&gt;0,'_Engine'!C446&gt;0,MID('_Engine'!W446,WEEKDAY(T446,2),1)="W",COUNTIF(Settings!$F$18:$F$67,T446)=0),1,0),0)</ns0:f>
        <ns0:v>0</ns0:v>
      </ns0:c>
      <ns0:c r="AC446" s="0">
        <ns0:f>IF(AND(J446&gt;0,T446&gt;0,W446&lt;=X446),1,0)</ns0:f>
        <ns0:v>0</ns0:v>
      </ns0:c>
      <ns0:c r="AD446" s="0">
        <ns0:f>IF(AND(J446&gt;0,T446&gt;0,Y446&lt;=Z446),1,0)</ns0:f>
        <ns0:v>0</ns0:v>
      </ns0:c>
    </ns0:row>
    <ns0:row r="447">
      <ns0:c r="A447" s="0">
        <ns0:f>IFERROR(IF(ISNUMBER(Bookings!B447),"",TRIM(Bookings!B447&amp;"")),"")</ns0:f>
      </ns0:c>
      <ns0:c r="B447" s="0">
        <ns0:f>IFERROR(SUBSTITUTE(SUBSTITUTE(A447,"/","."),"-","."),"")</ns0:f>
      </ns0:c>
      <ns0:c r="C447" s="0">
        <ns0:f>IFERROR(LEFT(B447,FIND(".",B447)-1),"")</ns0:f>
      </ns0:c>
      <ns0:c r="D447" s="0">
        <ns0:f>IFERROR(MID(B447,FIND(".",B447)+1,FIND(".",B447,FIND(".",B447)+1)-FIND(".",B447)-1),"")</ns0:f>
      </ns0:c>
      <ns0:c r="E447" s="0">
        <ns0:f>IFERROR(MID(B447,FIND(".",B447,FIND(".",B447)+1)+1,99),"")</ns0:f>
        <ns0:v>99</ns0:v>
      </ns0:c>
      <ns0:c r="F447" s="0">
        <ns0:f>IFERROR(IF(FIND(".",B447)=5,--C447,--E447),0)</ns0:f>
        <ns0:v>0</ns0:v>
      </ns0:c>
      <ns0:c r="G447" s="0">
        <ns0:f>IFERROR(--D447,0)</ns0:f>
        <ns0:v>0</ns0:v>
      </ns0:c>
      <ns0:c r="H447" s="0">
        <ns0:f>IFERROR(IF(FIND(".",B447)=5,--E447,--C447),0)</ns0:f>
        <ns0:v>0</ns0:v>
      </ns0:c>
      <ns0:c r="I447" s="0">
        <ns0:f>IFERROR(IF(AND(F447&gt;=2000,F447&lt;=2100,G447&gt;=1,G447&lt;=12,H447&gt;=1,H447&lt;=31),DATE(F447,G447,H447),0),0)</ns0:f>
        <ns0:v>0</ns0:v>
      </ns0:c>
      <ns0:c r="J447" s="0">
        <ns0:f>IFERROR(IF(ISNUMBER(Bookings!B447),IF(AND(Bookings!B447=INT(Bookings!B447),Bookings!B447&gt;=DATE(2000,1,1),Bookings!B447&lt;=DATE(2100,12,31)),Bookings!B447,0),IF(AND(A447&lt;&gt;"",LEN("x"&amp;B447)-LEN(SUBSTITUTE("x"&amp;B447,".",""))=2,OR(1&gt;LEN(B447),MID(B447,1,1)=".",ISNUMBER(FIND("x"&amp;MID(B447,1,1),"x0x1x2x3x4x5x6x7x8x9"))),OR(2&gt;LEN(B447),MID(B447,2,1)=".",ISNUMBER(FIND("x"&amp;MID(B447,2,1),"x0x1x2x3x4x5x6x7x8x9"))),OR(3&gt;LEN(B447),MID(B447,3,1)=".",ISNUMBER(FIND("x"&amp;MID(B447,3,1),"x0x1x2x3x4x5x6x7x8x9"))),OR(4&gt;LEN(B447),MID(B447,4,1)=".",ISNUMBER(FIND("x"&amp;MID(B447,4,1),"x0x1x2x3x4x5x6x7x8x9"))),OR(5&gt;LEN(B447),MID(B447,5,1)=".",ISNUMBER(FIND("x"&amp;MID(B447,5,1),"x0x1x2x3x4x5x6x7x8x9"))),OR(6&gt;LEN(B447),MID(B447,6,1)=".",ISNUMBER(FIND("x"&amp;MID(B447,6,1),"x0x1x2x3x4x5x6x7x8x9"))),OR(7&gt;LEN(B447),MID(B447,7,1)=".",ISNUMBER(FIND("x"&amp;MID(B447,7,1),"x0x1x2x3x4x5x6x7x8x9"))),OR(8&gt;LEN(B447),MID(B447,8,1)=".",ISNUMBER(FIND("x"&amp;MID(B447,8,1),"x0x1x2x3x4x5x6x7x8x9"))),OR(9&gt;LEN(B447),MID(B447,9,1)=".",ISNUMBER(FIND("x"&amp;MID(B447,9,1),"x0x1x2x3x4x5x6x7x8x9"))),OR(10&gt;LEN(B447),MID(B447,10,1)=".",ISNUMBER(FIND("x"&amp;MID(B447,10,1),"x0x1x2x3x4x5x6x7x8x9"))),OR(AND(FIND(".",B447)=5,LEN(B447)-FIND(".",B447,FIND(".",B447)+1)&gt;=1,LEN(B447)-FIND(".",B447,FIND(".",B447)+1)&lt;=2),AND(LEN(B447)-FIND(".",B447,FIND(".",B447)+1)=4,FIND(".",B447)&gt;=2,FIND(".",B447)&lt;=3)),FIND(".",B447,FIND(".",B447)+1)-FIND(".",B447)&gt;=2,FIND(".",B447,FIND(".",B447)+1)-FIND(".",B447)&lt;=3,F447&gt;=2000,F447&lt;=2100,YEAR(I447)=F447,MONTH(I447)=G447,DAY(I447)=H447),I447,0)),0)</ns0:f>
        <ns0:v>0</ns0:v>
      </ns0:c>
      <ns0:c r="K447" s="0">
        <ns0:f>IFERROR(IF(ISNUMBER(Bookings!D447),"",TRIM(Bookings!D447&amp;"")),"")</ns0:f>
      </ns0:c>
      <ns0:c r="L447" s="0">
        <ns0:f>IFERROR(SUBSTITUTE(SUBSTITUTE(K447,"/","."),"-","."),"")</ns0:f>
      </ns0:c>
      <ns0:c r="M447" s="0">
        <ns0:f>IFERROR(LEFT(L447,FIND(".",L447)-1),"")</ns0:f>
      </ns0:c>
      <ns0:c r="N447" s="0">
        <ns0:f>IFERROR(MID(L447,FIND(".",L447)+1,FIND(".",L447,FIND(".",L447)+1)-FIND(".",L447)-1),"")</ns0:f>
      </ns0:c>
      <ns0:c r="O447" s="0">
        <ns0:f>IFERROR(MID(L447,FIND(".",L447,FIND(".",L447)+1)+1,99),"")</ns0:f>
        <ns0:v>99</ns0:v>
      </ns0:c>
      <ns0:c r="P447" s="0">
        <ns0:f>IFERROR(IF(FIND(".",L447)=5,--M447,--O447),0)</ns0:f>
        <ns0:v>0</ns0:v>
      </ns0:c>
      <ns0:c r="Q447" s="0">
        <ns0:f>IFERROR(--N447,0)</ns0:f>
        <ns0:v>0</ns0:v>
      </ns0:c>
      <ns0:c r="R447" s="0">
        <ns0:f>IFERROR(IF(FIND(".",L447)=5,--O447,--M447),0)</ns0:f>
        <ns0:v>0</ns0:v>
      </ns0:c>
      <ns0:c r="S447" s="0">
        <ns0:f>IFERROR(IF(AND(P447&gt;=2000,P447&lt;=2100,Q447&gt;=1,Q447&lt;=12,R447&gt;=1,R447&lt;=31),DATE(P447,Q447,R447),0),0)</ns0:f>
        <ns0:v>0</ns0:v>
      </ns0:c>
      <ns0:c r="T447" s="0">
        <ns0:f>IFERROR(IF(ISNUMBER(Bookings!D447),IF(AND(Bookings!D447=INT(Bookings!D447),Bookings!D447&gt;=DATE(2000,1,1),Bookings!D447&lt;=DATE(2100,12,31)),Bookings!D447,0),IF(AND(K447&lt;&gt;"",LEN("x"&amp;L447)-LEN(SUBSTITUTE("x"&amp;L447,".",""))=2,OR(1&gt;LEN(L447),MID(L447,1,1)=".",ISNUMBER(FIND("x"&amp;MID(L447,1,1),"x0x1x2x3x4x5x6x7x8x9"))),OR(2&gt;LEN(L447),MID(L447,2,1)=".",ISNUMBER(FIND("x"&amp;MID(L447,2,1),"x0x1x2x3x4x5x6x7x8x9"))),OR(3&gt;LEN(L447),MID(L447,3,1)=".",ISNUMBER(FIND("x"&amp;MID(L447,3,1),"x0x1x2x3x4x5x6x7x8x9"))),OR(4&gt;LEN(L447),MID(L447,4,1)=".",ISNUMBER(FIND("x"&amp;MID(L447,4,1),"x0x1x2x3x4x5x6x7x8x9"))),OR(5&gt;LEN(L447),MID(L447,5,1)=".",ISNUMBER(FIND("x"&amp;MID(L447,5,1),"x0x1x2x3x4x5x6x7x8x9"))),OR(6&gt;LEN(L447),MID(L447,6,1)=".",ISNUMBER(FIND("x"&amp;MID(L447,6,1),"x0x1x2x3x4x5x6x7x8x9"))),OR(7&gt;LEN(L447),MID(L447,7,1)=".",ISNUMBER(FIND("x"&amp;MID(L447,7,1),"x0x1x2x3x4x5x6x7x8x9"))),OR(8&gt;LEN(L447),MID(L447,8,1)=".",ISNUMBER(FIND("x"&amp;MID(L447,8,1),"x0x1x2x3x4x5x6x7x8x9"))),OR(9&gt;LEN(L447),MID(L447,9,1)=".",ISNUMBER(FIND("x"&amp;MID(L447,9,1),"x0x1x2x3x4x5x6x7x8x9"))),OR(10&gt;LEN(L447),MID(L447,10,1)=".",ISNUMBER(FIND("x"&amp;MID(L447,10,1),"x0x1x2x3x4x5x6x7x8x9"))),OR(AND(FIND(".",L447)=5,LEN(L447)-FIND(".",L447,FIND(".",L447)+1)&gt;=1,LEN(L447)-FIND(".",L447,FIND(".",L447)+1)&lt;=2),AND(LEN(L447)-FIND(".",L447,FIND(".",L447)+1)=4,FIND(".",L447)&gt;=2,FIND(".",L447)&lt;=3)),FIND(".",L447,FIND(".",L447)+1)-FIND(".",L447)&gt;=2,FIND(".",L447,FIND(".",L447)+1)-FIND(".",L447)&lt;=3,P447&gt;=2000,P447&lt;=2100,YEAR(S447)=P447,MONTH(S447)=Q447,DAY(S447)=R447),S447,0)),0)</ns0:f>
        <ns0:v>0</ns0:v>
      </ns0:c>
      <ns0:c r="U447" s="0" t="str">
        <ns0:f>IF(Bookings!C447="","Full day",Bookings!C447)</ns0:f>
        <ns0:v>Full day</ns0:v>
      </ns0:c>
      <ns0:c r="V447" s="0" t="str">
        <ns0:f>IF(Bookings!E447="","Full day",Bookings!E447)</ns0:f>
        <ns0:v>Full day</ns0:v>
      </ns0:c>
      <ns0:c r="W447" s="0">
        <ns0:f>IF(J447=0,0,J447+IF(U447="PM",1,0))</ns0:f>
        <ns0:v>0</ns0:v>
      </ns0:c>
      <ns0:c r="X447" s="0">
        <ns0:f>IF(T447=0,0,T447-IF(V447="PM",1,0))</ns0:f>
        <ns0:v>0</ns0:v>
      </ns0:c>
      <ns0:c r="Y447" s="0">
        <ns0:f>IF(J447=0,0,J447+IF(U447="AM",1,0))</ns0:f>
        <ns0:v>0</ns0:v>
      </ns0:c>
      <ns0:c r="Z447" s="0">
        <ns0:f>IF(T447=0,0,T447-IF(V447="AM",1,0))</ns0:f>
        <ns0:v>0</ns0:v>
      </ns0:c>
      <ns0:c r="AA447" s="0">
        <ns0:f>IFERROR(IF(AND(J447&gt;0,'_Engine'!C447&gt;0,MID('_Engine'!W447,WEEKDAY(J447,2),1)="W",COUNTIF(Settings!$F$18:$F$67,J447)=0),1,0),0)</ns0:f>
        <ns0:v>0</ns0:v>
      </ns0:c>
      <ns0:c r="AB447" s="0">
        <ns0:f>IFERROR(IF(AND(T447&gt;0,'_Engine'!C447&gt;0,MID('_Engine'!W447,WEEKDAY(T447,2),1)="W",COUNTIF(Settings!$F$18:$F$67,T447)=0),1,0),0)</ns0:f>
        <ns0:v>0</ns0:v>
      </ns0:c>
      <ns0:c r="AC447" s="0">
        <ns0:f>IF(AND(J447&gt;0,T447&gt;0,W447&lt;=X447),1,0)</ns0:f>
        <ns0:v>0</ns0:v>
      </ns0:c>
      <ns0:c r="AD447" s="0">
        <ns0:f>IF(AND(J447&gt;0,T447&gt;0,Y447&lt;=Z447),1,0)</ns0:f>
        <ns0:v>0</ns0:v>
      </ns0:c>
    </ns0:row>
    <ns0:row r="448">
      <ns0:c r="A448" s="0">
        <ns0:f>IFERROR(IF(ISNUMBER(Bookings!B448),"",TRIM(Bookings!B448&amp;"")),"")</ns0:f>
      </ns0:c>
      <ns0:c r="B448" s="0">
        <ns0:f>IFERROR(SUBSTITUTE(SUBSTITUTE(A448,"/","."),"-","."),"")</ns0:f>
      </ns0:c>
      <ns0:c r="C448" s="0">
        <ns0:f>IFERROR(LEFT(B448,FIND(".",B448)-1),"")</ns0:f>
      </ns0:c>
      <ns0:c r="D448" s="0">
        <ns0:f>IFERROR(MID(B448,FIND(".",B448)+1,FIND(".",B448,FIND(".",B448)+1)-FIND(".",B448)-1),"")</ns0:f>
      </ns0:c>
      <ns0:c r="E448" s="0">
        <ns0:f>IFERROR(MID(B448,FIND(".",B448,FIND(".",B448)+1)+1,99),"")</ns0:f>
        <ns0:v>99</ns0:v>
      </ns0:c>
      <ns0:c r="F448" s="0">
        <ns0:f>IFERROR(IF(FIND(".",B448)=5,--C448,--E448),0)</ns0:f>
        <ns0:v>0</ns0:v>
      </ns0:c>
      <ns0:c r="G448" s="0">
        <ns0:f>IFERROR(--D448,0)</ns0:f>
        <ns0:v>0</ns0:v>
      </ns0:c>
      <ns0:c r="H448" s="0">
        <ns0:f>IFERROR(IF(FIND(".",B448)=5,--E448,--C448),0)</ns0:f>
        <ns0:v>0</ns0:v>
      </ns0:c>
      <ns0:c r="I448" s="0">
        <ns0:f>IFERROR(IF(AND(F448&gt;=2000,F448&lt;=2100,G448&gt;=1,G448&lt;=12,H448&gt;=1,H448&lt;=31),DATE(F448,G448,H448),0),0)</ns0:f>
        <ns0:v>0</ns0:v>
      </ns0:c>
      <ns0:c r="J448" s="0">
        <ns0:f>IFERROR(IF(ISNUMBER(Bookings!B448),IF(AND(Bookings!B448=INT(Bookings!B448),Bookings!B448&gt;=DATE(2000,1,1),Bookings!B448&lt;=DATE(2100,12,31)),Bookings!B448,0),IF(AND(A448&lt;&gt;"",LEN("x"&amp;B448)-LEN(SUBSTITUTE("x"&amp;B448,".",""))=2,OR(1&gt;LEN(B448),MID(B448,1,1)=".",ISNUMBER(FIND("x"&amp;MID(B448,1,1),"x0x1x2x3x4x5x6x7x8x9"))),OR(2&gt;LEN(B448),MID(B448,2,1)=".",ISNUMBER(FIND("x"&amp;MID(B448,2,1),"x0x1x2x3x4x5x6x7x8x9"))),OR(3&gt;LEN(B448),MID(B448,3,1)=".",ISNUMBER(FIND("x"&amp;MID(B448,3,1),"x0x1x2x3x4x5x6x7x8x9"))),OR(4&gt;LEN(B448),MID(B448,4,1)=".",ISNUMBER(FIND("x"&amp;MID(B448,4,1),"x0x1x2x3x4x5x6x7x8x9"))),OR(5&gt;LEN(B448),MID(B448,5,1)=".",ISNUMBER(FIND("x"&amp;MID(B448,5,1),"x0x1x2x3x4x5x6x7x8x9"))),OR(6&gt;LEN(B448),MID(B448,6,1)=".",ISNUMBER(FIND("x"&amp;MID(B448,6,1),"x0x1x2x3x4x5x6x7x8x9"))),OR(7&gt;LEN(B448),MID(B448,7,1)=".",ISNUMBER(FIND("x"&amp;MID(B448,7,1),"x0x1x2x3x4x5x6x7x8x9"))),OR(8&gt;LEN(B448),MID(B448,8,1)=".",ISNUMBER(FIND("x"&amp;MID(B448,8,1),"x0x1x2x3x4x5x6x7x8x9"))),OR(9&gt;LEN(B448),MID(B448,9,1)=".",ISNUMBER(FIND("x"&amp;MID(B448,9,1),"x0x1x2x3x4x5x6x7x8x9"))),OR(10&gt;LEN(B448),MID(B448,10,1)=".",ISNUMBER(FIND("x"&amp;MID(B448,10,1),"x0x1x2x3x4x5x6x7x8x9"))),OR(AND(FIND(".",B448)=5,LEN(B448)-FIND(".",B448,FIND(".",B448)+1)&gt;=1,LEN(B448)-FIND(".",B448,FIND(".",B448)+1)&lt;=2),AND(LEN(B448)-FIND(".",B448,FIND(".",B448)+1)=4,FIND(".",B448)&gt;=2,FIND(".",B448)&lt;=3)),FIND(".",B448,FIND(".",B448)+1)-FIND(".",B448)&gt;=2,FIND(".",B448,FIND(".",B448)+1)-FIND(".",B448)&lt;=3,F448&gt;=2000,F448&lt;=2100,YEAR(I448)=F448,MONTH(I448)=G448,DAY(I448)=H448),I448,0)),0)</ns0:f>
        <ns0:v>0</ns0:v>
      </ns0:c>
      <ns0:c r="K448" s="0">
        <ns0:f>IFERROR(IF(ISNUMBER(Bookings!D448),"",TRIM(Bookings!D448&amp;"")),"")</ns0:f>
      </ns0:c>
      <ns0:c r="L448" s="0">
        <ns0:f>IFERROR(SUBSTITUTE(SUBSTITUTE(K448,"/","."),"-","."),"")</ns0:f>
      </ns0:c>
      <ns0:c r="M448" s="0">
        <ns0:f>IFERROR(LEFT(L448,FIND(".",L448)-1),"")</ns0:f>
      </ns0:c>
      <ns0:c r="N448" s="0">
        <ns0:f>IFERROR(MID(L448,FIND(".",L448)+1,FIND(".",L448,FIND(".",L448)+1)-FIND(".",L448)-1),"")</ns0:f>
      </ns0:c>
      <ns0:c r="O448" s="0">
        <ns0:f>IFERROR(MID(L448,FIND(".",L448,FIND(".",L448)+1)+1,99),"")</ns0:f>
        <ns0:v>99</ns0:v>
      </ns0:c>
      <ns0:c r="P448" s="0">
        <ns0:f>IFERROR(IF(FIND(".",L448)=5,--M448,--O448),0)</ns0:f>
        <ns0:v>0</ns0:v>
      </ns0:c>
      <ns0:c r="Q448" s="0">
        <ns0:f>IFERROR(--N448,0)</ns0:f>
        <ns0:v>0</ns0:v>
      </ns0:c>
      <ns0:c r="R448" s="0">
        <ns0:f>IFERROR(IF(FIND(".",L448)=5,--O448,--M448),0)</ns0:f>
        <ns0:v>0</ns0:v>
      </ns0:c>
      <ns0:c r="S448" s="0">
        <ns0:f>IFERROR(IF(AND(P448&gt;=2000,P448&lt;=2100,Q448&gt;=1,Q448&lt;=12,R448&gt;=1,R448&lt;=31),DATE(P448,Q448,R448),0),0)</ns0:f>
        <ns0:v>0</ns0:v>
      </ns0:c>
      <ns0:c r="T448" s="0">
        <ns0:f>IFERROR(IF(ISNUMBER(Bookings!D448),IF(AND(Bookings!D448=INT(Bookings!D448),Bookings!D448&gt;=DATE(2000,1,1),Bookings!D448&lt;=DATE(2100,12,31)),Bookings!D448,0),IF(AND(K448&lt;&gt;"",LEN("x"&amp;L448)-LEN(SUBSTITUTE("x"&amp;L448,".",""))=2,OR(1&gt;LEN(L448),MID(L448,1,1)=".",ISNUMBER(FIND("x"&amp;MID(L448,1,1),"x0x1x2x3x4x5x6x7x8x9"))),OR(2&gt;LEN(L448),MID(L448,2,1)=".",ISNUMBER(FIND("x"&amp;MID(L448,2,1),"x0x1x2x3x4x5x6x7x8x9"))),OR(3&gt;LEN(L448),MID(L448,3,1)=".",ISNUMBER(FIND("x"&amp;MID(L448,3,1),"x0x1x2x3x4x5x6x7x8x9"))),OR(4&gt;LEN(L448),MID(L448,4,1)=".",ISNUMBER(FIND("x"&amp;MID(L448,4,1),"x0x1x2x3x4x5x6x7x8x9"))),OR(5&gt;LEN(L448),MID(L448,5,1)=".",ISNUMBER(FIND("x"&amp;MID(L448,5,1),"x0x1x2x3x4x5x6x7x8x9"))),OR(6&gt;LEN(L448),MID(L448,6,1)=".",ISNUMBER(FIND("x"&amp;MID(L448,6,1),"x0x1x2x3x4x5x6x7x8x9"))),OR(7&gt;LEN(L448),MID(L448,7,1)=".",ISNUMBER(FIND("x"&amp;MID(L448,7,1),"x0x1x2x3x4x5x6x7x8x9"))),OR(8&gt;LEN(L448),MID(L448,8,1)=".",ISNUMBER(FIND("x"&amp;MID(L448,8,1),"x0x1x2x3x4x5x6x7x8x9"))),OR(9&gt;LEN(L448),MID(L448,9,1)=".",ISNUMBER(FIND("x"&amp;MID(L448,9,1),"x0x1x2x3x4x5x6x7x8x9"))),OR(10&gt;LEN(L448),MID(L448,10,1)=".",ISNUMBER(FIND("x"&amp;MID(L448,10,1),"x0x1x2x3x4x5x6x7x8x9"))),OR(AND(FIND(".",L448)=5,LEN(L448)-FIND(".",L448,FIND(".",L448)+1)&gt;=1,LEN(L448)-FIND(".",L448,FIND(".",L448)+1)&lt;=2),AND(LEN(L448)-FIND(".",L448,FIND(".",L448)+1)=4,FIND(".",L448)&gt;=2,FIND(".",L448)&lt;=3)),FIND(".",L448,FIND(".",L448)+1)-FIND(".",L448)&gt;=2,FIND(".",L448,FIND(".",L448)+1)-FIND(".",L448)&lt;=3,P448&gt;=2000,P448&lt;=2100,YEAR(S448)=P448,MONTH(S448)=Q448,DAY(S448)=R448),S448,0)),0)</ns0:f>
        <ns0:v>0</ns0:v>
      </ns0:c>
      <ns0:c r="U448" s="0" t="str">
        <ns0:f>IF(Bookings!C448="","Full day",Bookings!C448)</ns0:f>
        <ns0:v>Full day</ns0:v>
      </ns0:c>
      <ns0:c r="V448" s="0" t="str">
        <ns0:f>IF(Bookings!E448="","Full day",Bookings!E448)</ns0:f>
        <ns0:v>Full day</ns0:v>
      </ns0:c>
      <ns0:c r="W448" s="0">
        <ns0:f>IF(J448=0,0,J448+IF(U448="PM",1,0))</ns0:f>
        <ns0:v>0</ns0:v>
      </ns0:c>
      <ns0:c r="X448" s="0">
        <ns0:f>IF(T448=0,0,T448-IF(V448="PM",1,0))</ns0:f>
        <ns0:v>0</ns0:v>
      </ns0:c>
      <ns0:c r="Y448" s="0">
        <ns0:f>IF(J448=0,0,J448+IF(U448="AM",1,0))</ns0:f>
        <ns0:v>0</ns0:v>
      </ns0:c>
      <ns0:c r="Z448" s="0">
        <ns0:f>IF(T448=0,0,T448-IF(V448="AM",1,0))</ns0:f>
        <ns0:v>0</ns0:v>
      </ns0:c>
      <ns0:c r="AA448" s="0">
        <ns0:f>IFERROR(IF(AND(J448&gt;0,'_Engine'!C448&gt;0,MID('_Engine'!W448,WEEKDAY(J448,2),1)="W",COUNTIF(Settings!$F$18:$F$67,J448)=0),1,0),0)</ns0:f>
        <ns0:v>0</ns0:v>
      </ns0:c>
      <ns0:c r="AB448" s="0">
        <ns0:f>IFERROR(IF(AND(T448&gt;0,'_Engine'!C448&gt;0,MID('_Engine'!W448,WEEKDAY(T448,2),1)="W",COUNTIF(Settings!$F$18:$F$67,T448)=0),1,0),0)</ns0:f>
        <ns0:v>0</ns0:v>
      </ns0:c>
      <ns0:c r="AC448" s="0">
        <ns0:f>IF(AND(J448&gt;0,T448&gt;0,W448&lt;=X448),1,0)</ns0:f>
        <ns0:v>0</ns0:v>
      </ns0:c>
      <ns0:c r="AD448" s="0">
        <ns0:f>IF(AND(J448&gt;0,T448&gt;0,Y448&lt;=Z448),1,0)</ns0:f>
        <ns0:v>0</ns0:v>
      </ns0:c>
    </ns0:row>
    <ns0:row r="449">
      <ns0:c r="A449" s="0">
        <ns0:f>IFERROR(IF(ISNUMBER(Bookings!B449),"",TRIM(Bookings!B449&amp;"")),"")</ns0:f>
      </ns0:c>
      <ns0:c r="B449" s="0">
        <ns0:f>IFERROR(SUBSTITUTE(SUBSTITUTE(A449,"/","."),"-","."),"")</ns0:f>
      </ns0:c>
      <ns0:c r="C449" s="0">
        <ns0:f>IFERROR(LEFT(B449,FIND(".",B449)-1),"")</ns0:f>
      </ns0:c>
      <ns0:c r="D449" s="0">
        <ns0:f>IFERROR(MID(B449,FIND(".",B449)+1,FIND(".",B449,FIND(".",B449)+1)-FIND(".",B449)-1),"")</ns0:f>
      </ns0:c>
      <ns0:c r="E449" s="0">
        <ns0:f>IFERROR(MID(B449,FIND(".",B449,FIND(".",B449)+1)+1,99),"")</ns0:f>
        <ns0:v>99</ns0:v>
      </ns0:c>
      <ns0:c r="F449" s="0">
        <ns0:f>IFERROR(IF(FIND(".",B449)=5,--C449,--E449),0)</ns0:f>
        <ns0:v>0</ns0:v>
      </ns0:c>
      <ns0:c r="G449" s="0">
        <ns0:f>IFERROR(--D449,0)</ns0:f>
        <ns0:v>0</ns0:v>
      </ns0:c>
      <ns0:c r="H449" s="0">
        <ns0:f>IFERROR(IF(FIND(".",B449)=5,--E449,--C449),0)</ns0:f>
        <ns0:v>0</ns0:v>
      </ns0:c>
      <ns0:c r="I449" s="0">
        <ns0:f>IFERROR(IF(AND(F449&gt;=2000,F449&lt;=2100,G449&gt;=1,G449&lt;=12,H449&gt;=1,H449&lt;=31),DATE(F449,G449,H449),0),0)</ns0:f>
        <ns0:v>0</ns0:v>
      </ns0:c>
      <ns0:c r="J449" s="0">
        <ns0:f>IFERROR(IF(ISNUMBER(Bookings!B449),IF(AND(Bookings!B449=INT(Bookings!B449),Bookings!B449&gt;=DATE(2000,1,1),Bookings!B449&lt;=DATE(2100,12,31)),Bookings!B449,0),IF(AND(A449&lt;&gt;"",LEN("x"&amp;B449)-LEN(SUBSTITUTE("x"&amp;B449,".",""))=2,OR(1&gt;LEN(B449),MID(B449,1,1)=".",ISNUMBER(FIND("x"&amp;MID(B449,1,1),"x0x1x2x3x4x5x6x7x8x9"))),OR(2&gt;LEN(B449),MID(B449,2,1)=".",ISNUMBER(FIND("x"&amp;MID(B449,2,1),"x0x1x2x3x4x5x6x7x8x9"))),OR(3&gt;LEN(B449),MID(B449,3,1)=".",ISNUMBER(FIND("x"&amp;MID(B449,3,1),"x0x1x2x3x4x5x6x7x8x9"))),OR(4&gt;LEN(B449),MID(B449,4,1)=".",ISNUMBER(FIND("x"&amp;MID(B449,4,1),"x0x1x2x3x4x5x6x7x8x9"))),OR(5&gt;LEN(B449),MID(B449,5,1)=".",ISNUMBER(FIND("x"&amp;MID(B449,5,1),"x0x1x2x3x4x5x6x7x8x9"))),OR(6&gt;LEN(B449),MID(B449,6,1)=".",ISNUMBER(FIND("x"&amp;MID(B449,6,1),"x0x1x2x3x4x5x6x7x8x9"))),OR(7&gt;LEN(B449),MID(B449,7,1)=".",ISNUMBER(FIND("x"&amp;MID(B449,7,1),"x0x1x2x3x4x5x6x7x8x9"))),OR(8&gt;LEN(B449),MID(B449,8,1)=".",ISNUMBER(FIND("x"&amp;MID(B449,8,1),"x0x1x2x3x4x5x6x7x8x9"))),OR(9&gt;LEN(B449),MID(B449,9,1)=".",ISNUMBER(FIND("x"&amp;MID(B449,9,1),"x0x1x2x3x4x5x6x7x8x9"))),OR(10&gt;LEN(B449),MID(B449,10,1)=".",ISNUMBER(FIND("x"&amp;MID(B449,10,1),"x0x1x2x3x4x5x6x7x8x9"))),OR(AND(FIND(".",B449)=5,LEN(B449)-FIND(".",B449,FIND(".",B449)+1)&gt;=1,LEN(B449)-FIND(".",B449,FIND(".",B449)+1)&lt;=2),AND(LEN(B449)-FIND(".",B449,FIND(".",B449)+1)=4,FIND(".",B449)&gt;=2,FIND(".",B449)&lt;=3)),FIND(".",B449,FIND(".",B449)+1)-FIND(".",B449)&gt;=2,FIND(".",B449,FIND(".",B449)+1)-FIND(".",B449)&lt;=3,F449&gt;=2000,F449&lt;=2100,YEAR(I449)=F449,MONTH(I449)=G449,DAY(I449)=H449),I449,0)),0)</ns0:f>
        <ns0:v>0</ns0:v>
      </ns0:c>
      <ns0:c r="K449" s="0">
        <ns0:f>IFERROR(IF(ISNUMBER(Bookings!D449),"",TRIM(Bookings!D449&amp;"")),"")</ns0:f>
      </ns0:c>
      <ns0:c r="L449" s="0">
        <ns0:f>IFERROR(SUBSTITUTE(SUBSTITUTE(K449,"/","."),"-","."),"")</ns0:f>
      </ns0:c>
      <ns0:c r="M449" s="0">
        <ns0:f>IFERROR(LEFT(L449,FIND(".",L449)-1),"")</ns0:f>
      </ns0:c>
      <ns0:c r="N449" s="0">
        <ns0:f>IFERROR(MID(L449,FIND(".",L449)+1,FIND(".",L449,FIND(".",L449)+1)-FIND(".",L449)-1),"")</ns0:f>
      </ns0:c>
      <ns0:c r="O449" s="0">
        <ns0:f>IFERROR(MID(L449,FIND(".",L449,FIND(".",L449)+1)+1,99),"")</ns0:f>
        <ns0:v>99</ns0:v>
      </ns0:c>
      <ns0:c r="P449" s="0">
        <ns0:f>IFERROR(IF(FIND(".",L449)=5,--M449,--O449),0)</ns0:f>
        <ns0:v>0</ns0:v>
      </ns0:c>
      <ns0:c r="Q449" s="0">
        <ns0:f>IFERROR(--N449,0)</ns0:f>
        <ns0:v>0</ns0:v>
      </ns0:c>
      <ns0:c r="R449" s="0">
        <ns0:f>IFERROR(IF(FIND(".",L449)=5,--O449,--M449),0)</ns0:f>
        <ns0:v>0</ns0:v>
      </ns0:c>
      <ns0:c r="S449" s="0">
        <ns0:f>IFERROR(IF(AND(P449&gt;=2000,P449&lt;=2100,Q449&gt;=1,Q449&lt;=12,R449&gt;=1,R449&lt;=31),DATE(P449,Q449,R449),0),0)</ns0:f>
        <ns0:v>0</ns0:v>
      </ns0:c>
      <ns0:c r="T449" s="0">
        <ns0:f>IFERROR(IF(ISNUMBER(Bookings!D449),IF(AND(Bookings!D449=INT(Bookings!D449),Bookings!D449&gt;=DATE(2000,1,1),Bookings!D449&lt;=DATE(2100,12,31)),Bookings!D449,0),IF(AND(K449&lt;&gt;"",LEN("x"&amp;L449)-LEN(SUBSTITUTE("x"&amp;L449,".",""))=2,OR(1&gt;LEN(L449),MID(L449,1,1)=".",ISNUMBER(FIND("x"&amp;MID(L449,1,1),"x0x1x2x3x4x5x6x7x8x9"))),OR(2&gt;LEN(L449),MID(L449,2,1)=".",ISNUMBER(FIND("x"&amp;MID(L449,2,1),"x0x1x2x3x4x5x6x7x8x9"))),OR(3&gt;LEN(L449),MID(L449,3,1)=".",ISNUMBER(FIND("x"&amp;MID(L449,3,1),"x0x1x2x3x4x5x6x7x8x9"))),OR(4&gt;LEN(L449),MID(L449,4,1)=".",ISNUMBER(FIND("x"&amp;MID(L449,4,1),"x0x1x2x3x4x5x6x7x8x9"))),OR(5&gt;LEN(L449),MID(L449,5,1)=".",ISNUMBER(FIND("x"&amp;MID(L449,5,1),"x0x1x2x3x4x5x6x7x8x9"))),OR(6&gt;LEN(L449),MID(L449,6,1)=".",ISNUMBER(FIND("x"&amp;MID(L449,6,1),"x0x1x2x3x4x5x6x7x8x9"))),OR(7&gt;LEN(L449),MID(L449,7,1)=".",ISNUMBER(FIND("x"&amp;MID(L449,7,1),"x0x1x2x3x4x5x6x7x8x9"))),OR(8&gt;LEN(L449),MID(L449,8,1)=".",ISNUMBER(FIND("x"&amp;MID(L449,8,1),"x0x1x2x3x4x5x6x7x8x9"))),OR(9&gt;LEN(L449),MID(L449,9,1)=".",ISNUMBER(FIND("x"&amp;MID(L449,9,1),"x0x1x2x3x4x5x6x7x8x9"))),OR(10&gt;LEN(L449),MID(L449,10,1)=".",ISNUMBER(FIND("x"&amp;MID(L449,10,1),"x0x1x2x3x4x5x6x7x8x9"))),OR(AND(FIND(".",L449)=5,LEN(L449)-FIND(".",L449,FIND(".",L449)+1)&gt;=1,LEN(L449)-FIND(".",L449,FIND(".",L449)+1)&lt;=2),AND(LEN(L449)-FIND(".",L449,FIND(".",L449)+1)=4,FIND(".",L449)&gt;=2,FIND(".",L449)&lt;=3)),FIND(".",L449,FIND(".",L449)+1)-FIND(".",L449)&gt;=2,FIND(".",L449,FIND(".",L449)+1)-FIND(".",L449)&lt;=3,P449&gt;=2000,P449&lt;=2100,YEAR(S449)=P449,MONTH(S449)=Q449,DAY(S449)=R449),S449,0)),0)</ns0:f>
        <ns0:v>0</ns0:v>
      </ns0:c>
      <ns0:c r="U449" s="0" t="str">
        <ns0:f>IF(Bookings!C449="","Full day",Bookings!C449)</ns0:f>
        <ns0:v>Full day</ns0:v>
      </ns0:c>
      <ns0:c r="V449" s="0" t="str">
        <ns0:f>IF(Bookings!E449="","Full day",Bookings!E449)</ns0:f>
        <ns0:v>Full day</ns0:v>
      </ns0:c>
      <ns0:c r="W449" s="0">
        <ns0:f>IF(J449=0,0,J449+IF(U449="PM",1,0))</ns0:f>
        <ns0:v>0</ns0:v>
      </ns0:c>
      <ns0:c r="X449" s="0">
        <ns0:f>IF(T449=0,0,T449-IF(V449="PM",1,0))</ns0:f>
        <ns0:v>0</ns0:v>
      </ns0:c>
      <ns0:c r="Y449" s="0">
        <ns0:f>IF(J449=0,0,J449+IF(U449="AM",1,0))</ns0:f>
        <ns0:v>0</ns0:v>
      </ns0:c>
      <ns0:c r="Z449" s="0">
        <ns0:f>IF(T449=0,0,T449-IF(V449="AM",1,0))</ns0:f>
        <ns0:v>0</ns0:v>
      </ns0:c>
      <ns0:c r="AA449" s="0">
        <ns0:f>IFERROR(IF(AND(J449&gt;0,'_Engine'!C449&gt;0,MID('_Engine'!W449,WEEKDAY(J449,2),1)="W",COUNTIF(Settings!$F$18:$F$67,J449)=0),1,0),0)</ns0:f>
        <ns0:v>0</ns0:v>
      </ns0:c>
      <ns0:c r="AB449" s="0">
        <ns0:f>IFERROR(IF(AND(T449&gt;0,'_Engine'!C449&gt;0,MID('_Engine'!W449,WEEKDAY(T449,2),1)="W",COUNTIF(Settings!$F$18:$F$67,T449)=0),1,0),0)</ns0:f>
        <ns0:v>0</ns0:v>
      </ns0:c>
      <ns0:c r="AC449" s="0">
        <ns0:f>IF(AND(J449&gt;0,T449&gt;0,W449&lt;=X449),1,0)</ns0:f>
        <ns0:v>0</ns0:v>
      </ns0:c>
      <ns0:c r="AD449" s="0">
        <ns0:f>IF(AND(J449&gt;0,T449&gt;0,Y449&lt;=Z449),1,0)</ns0:f>
        <ns0:v>0</ns0:v>
      </ns0:c>
    </ns0:row>
    <ns0:row r="450">
      <ns0:c r="A450" s="0">
        <ns0:f>IFERROR(IF(ISNUMBER(Bookings!B450),"",TRIM(Bookings!B450&amp;"")),"")</ns0:f>
      </ns0:c>
      <ns0:c r="B450" s="0">
        <ns0:f>IFERROR(SUBSTITUTE(SUBSTITUTE(A450,"/","."),"-","."),"")</ns0:f>
      </ns0:c>
      <ns0:c r="C450" s="0">
        <ns0:f>IFERROR(LEFT(B450,FIND(".",B450)-1),"")</ns0:f>
      </ns0:c>
      <ns0:c r="D450" s="0">
        <ns0:f>IFERROR(MID(B450,FIND(".",B450)+1,FIND(".",B450,FIND(".",B450)+1)-FIND(".",B450)-1),"")</ns0:f>
      </ns0:c>
      <ns0:c r="E450" s="0">
        <ns0:f>IFERROR(MID(B450,FIND(".",B450,FIND(".",B450)+1)+1,99),"")</ns0:f>
        <ns0:v>99</ns0:v>
      </ns0:c>
      <ns0:c r="F450" s="0">
        <ns0:f>IFERROR(IF(FIND(".",B450)=5,--C450,--E450),0)</ns0:f>
        <ns0:v>0</ns0:v>
      </ns0:c>
      <ns0:c r="G450" s="0">
        <ns0:f>IFERROR(--D450,0)</ns0:f>
        <ns0:v>0</ns0:v>
      </ns0:c>
      <ns0:c r="H450" s="0">
        <ns0:f>IFERROR(IF(FIND(".",B450)=5,--E450,--C450),0)</ns0:f>
        <ns0:v>0</ns0:v>
      </ns0:c>
      <ns0:c r="I450" s="0">
        <ns0:f>IFERROR(IF(AND(F450&gt;=2000,F450&lt;=2100,G450&gt;=1,G450&lt;=12,H450&gt;=1,H450&lt;=31),DATE(F450,G450,H450),0),0)</ns0:f>
        <ns0:v>0</ns0:v>
      </ns0:c>
      <ns0:c r="J450" s="0">
        <ns0:f>IFERROR(IF(ISNUMBER(Bookings!B450),IF(AND(Bookings!B450=INT(Bookings!B450),Bookings!B450&gt;=DATE(2000,1,1),Bookings!B450&lt;=DATE(2100,12,31)),Bookings!B450,0),IF(AND(A450&lt;&gt;"",LEN("x"&amp;B450)-LEN(SUBSTITUTE("x"&amp;B450,".",""))=2,OR(1&gt;LEN(B450),MID(B450,1,1)=".",ISNUMBER(FIND("x"&amp;MID(B450,1,1),"x0x1x2x3x4x5x6x7x8x9"))),OR(2&gt;LEN(B450),MID(B450,2,1)=".",ISNUMBER(FIND("x"&amp;MID(B450,2,1),"x0x1x2x3x4x5x6x7x8x9"))),OR(3&gt;LEN(B450),MID(B450,3,1)=".",ISNUMBER(FIND("x"&amp;MID(B450,3,1),"x0x1x2x3x4x5x6x7x8x9"))),OR(4&gt;LEN(B450),MID(B450,4,1)=".",ISNUMBER(FIND("x"&amp;MID(B450,4,1),"x0x1x2x3x4x5x6x7x8x9"))),OR(5&gt;LEN(B450),MID(B450,5,1)=".",ISNUMBER(FIND("x"&amp;MID(B450,5,1),"x0x1x2x3x4x5x6x7x8x9"))),OR(6&gt;LEN(B450),MID(B450,6,1)=".",ISNUMBER(FIND("x"&amp;MID(B450,6,1),"x0x1x2x3x4x5x6x7x8x9"))),OR(7&gt;LEN(B450),MID(B450,7,1)=".",ISNUMBER(FIND("x"&amp;MID(B450,7,1),"x0x1x2x3x4x5x6x7x8x9"))),OR(8&gt;LEN(B450),MID(B450,8,1)=".",ISNUMBER(FIND("x"&amp;MID(B450,8,1),"x0x1x2x3x4x5x6x7x8x9"))),OR(9&gt;LEN(B450),MID(B450,9,1)=".",ISNUMBER(FIND("x"&amp;MID(B450,9,1),"x0x1x2x3x4x5x6x7x8x9"))),OR(10&gt;LEN(B450),MID(B450,10,1)=".",ISNUMBER(FIND("x"&amp;MID(B450,10,1),"x0x1x2x3x4x5x6x7x8x9"))),OR(AND(FIND(".",B450)=5,LEN(B450)-FIND(".",B450,FIND(".",B450)+1)&gt;=1,LEN(B450)-FIND(".",B450,FIND(".",B450)+1)&lt;=2),AND(LEN(B450)-FIND(".",B450,FIND(".",B450)+1)=4,FIND(".",B450)&gt;=2,FIND(".",B450)&lt;=3)),FIND(".",B450,FIND(".",B450)+1)-FIND(".",B450)&gt;=2,FIND(".",B450,FIND(".",B450)+1)-FIND(".",B450)&lt;=3,F450&gt;=2000,F450&lt;=2100,YEAR(I450)=F450,MONTH(I450)=G450,DAY(I450)=H450),I450,0)),0)</ns0:f>
        <ns0:v>0</ns0:v>
      </ns0:c>
      <ns0:c r="K450" s="0">
        <ns0:f>IFERROR(IF(ISNUMBER(Bookings!D450),"",TRIM(Bookings!D450&amp;"")),"")</ns0:f>
      </ns0:c>
      <ns0:c r="L450" s="0">
        <ns0:f>IFERROR(SUBSTITUTE(SUBSTITUTE(K450,"/","."),"-","."),"")</ns0:f>
      </ns0:c>
      <ns0:c r="M450" s="0">
        <ns0:f>IFERROR(LEFT(L450,FIND(".",L450)-1),"")</ns0:f>
      </ns0:c>
      <ns0:c r="N450" s="0">
        <ns0:f>IFERROR(MID(L450,FIND(".",L450)+1,FIND(".",L450,FIND(".",L450)+1)-FIND(".",L450)-1),"")</ns0:f>
      </ns0:c>
      <ns0:c r="O450" s="0">
        <ns0:f>IFERROR(MID(L450,FIND(".",L450,FIND(".",L450)+1)+1,99),"")</ns0:f>
        <ns0:v>99</ns0:v>
      </ns0:c>
      <ns0:c r="P450" s="0">
        <ns0:f>IFERROR(IF(FIND(".",L450)=5,--M450,--O450),0)</ns0:f>
        <ns0:v>0</ns0:v>
      </ns0:c>
      <ns0:c r="Q450" s="0">
        <ns0:f>IFERROR(--N450,0)</ns0:f>
        <ns0:v>0</ns0:v>
      </ns0:c>
      <ns0:c r="R450" s="0">
        <ns0:f>IFERROR(IF(FIND(".",L450)=5,--O450,--M450),0)</ns0:f>
        <ns0:v>0</ns0:v>
      </ns0:c>
      <ns0:c r="S450" s="0">
        <ns0:f>IFERROR(IF(AND(P450&gt;=2000,P450&lt;=2100,Q450&gt;=1,Q450&lt;=12,R450&gt;=1,R450&lt;=31),DATE(P450,Q450,R450),0),0)</ns0:f>
        <ns0:v>0</ns0:v>
      </ns0:c>
      <ns0:c r="T450" s="0">
        <ns0:f>IFERROR(IF(ISNUMBER(Bookings!D450),IF(AND(Bookings!D450=INT(Bookings!D450),Bookings!D450&gt;=DATE(2000,1,1),Bookings!D450&lt;=DATE(2100,12,31)),Bookings!D450,0),IF(AND(K450&lt;&gt;"",LEN("x"&amp;L450)-LEN(SUBSTITUTE("x"&amp;L450,".",""))=2,OR(1&gt;LEN(L450),MID(L450,1,1)=".",ISNUMBER(FIND("x"&amp;MID(L450,1,1),"x0x1x2x3x4x5x6x7x8x9"))),OR(2&gt;LEN(L450),MID(L450,2,1)=".",ISNUMBER(FIND("x"&amp;MID(L450,2,1),"x0x1x2x3x4x5x6x7x8x9"))),OR(3&gt;LEN(L450),MID(L450,3,1)=".",ISNUMBER(FIND("x"&amp;MID(L450,3,1),"x0x1x2x3x4x5x6x7x8x9"))),OR(4&gt;LEN(L450),MID(L450,4,1)=".",ISNUMBER(FIND("x"&amp;MID(L450,4,1),"x0x1x2x3x4x5x6x7x8x9"))),OR(5&gt;LEN(L450),MID(L450,5,1)=".",ISNUMBER(FIND("x"&amp;MID(L450,5,1),"x0x1x2x3x4x5x6x7x8x9"))),OR(6&gt;LEN(L450),MID(L450,6,1)=".",ISNUMBER(FIND("x"&amp;MID(L450,6,1),"x0x1x2x3x4x5x6x7x8x9"))),OR(7&gt;LEN(L450),MID(L450,7,1)=".",ISNUMBER(FIND("x"&amp;MID(L450,7,1),"x0x1x2x3x4x5x6x7x8x9"))),OR(8&gt;LEN(L450),MID(L450,8,1)=".",ISNUMBER(FIND("x"&amp;MID(L450,8,1),"x0x1x2x3x4x5x6x7x8x9"))),OR(9&gt;LEN(L450),MID(L450,9,1)=".",ISNUMBER(FIND("x"&amp;MID(L450,9,1),"x0x1x2x3x4x5x6x7x8x9"))),OR(10&gt;LEN(L450),MID(L450,10,1)=".",ISNUMBER(FIND("x"&amp;MID(L450,10,1),"x0x1x2x3x4x5x6x7x8x9"))),OR(AND(FIND(".",L450)=5,LEN(L450)-FIND(".",L450,FIND(".",L450)+1)&gt;=1,LEN(L450)-FIND(".",L450,FIND(".",L450)+1)&lt;=2),AND(LEN(L450)-FIND(".",L450,FIND(".",L450)+1)=4,FIND(".",L450)&gt;=2,FIND(".",L450)&lt;=3)),FIND(".",L450,FIND(".",L450)+1)-FIND(".",L450)&gt;=2,FIND(".",L450,FIND(".",L450)+1)-FIND(".",L450)&lt;=3,P450&gt;=2000,P450&lt;=2100,YEAR(S450)=P450,MONTH(S450)=Q450,DAY(S450)=R450),S450,0)),0)</ns0:f>
        <ns0:v>0</ns0:v>
      </ns0:c>
      <ns0:c r="U450" s="0" t="str">
        <ns0:f>IF(Bookings!C450="","Full day",Bookings!C450)</ns0:f>
        <ns0:v>Full day</ns0:v>
      </ns0:c>
      <ns0:c r="V450" s="0" t="str">
        <ns0:f>IF(Bookings!E450="","Full day",Bookings!E450)</ns0:f>
        <ns0:v>Full day</ns0:v>
      </ns0:c>
      <ns0:c r="W450" s="0">
        <ns0:f>IF(J450=0,0,J450+IF(U450="PM",1,0))</ns0:f>
        <ns0:v>0</ns0:v>
      </ns0:c>
      <ns0:c r="X450" s="0">
        <ns0:f>IF(T450=0,0,T450-IF(V450="PM",1,0))</ns0:f>
        <ns0:v>0</ns0:v>
      </ns0:c>
      <ns0:c r="Y450" s="0">
        <ns0:f>IF(J450=0,0,J450+IF(U450="AM",1,0))</ns0:f>
        <ns0:v>0</ns0:v>
      </ns0:c>
      <ns0:c r="Z450" s="0">
        <ns0:f>IF(T450=0,0,T450-IF(V450="AM",1,0))</ns0:f>
        <ns0:v>0</ns0:v>
      </ns0:c>
      <ns0:c r="AA450" s="0">
        <ns0:f>IFERROR(IF(AND(J450&gt;0,'_Engine'!C450&gt;0,MID('_Engine'!W450,WEEKDAY(J450,2),1)="W",COUNTIF(Settings!$F$18:$F$67,J450)=0),1,0),0)</ns0:f>
        <ns0:v>0</ns0:v>
      </ns0:c>
      <ns0:c r="AB450" s="0">
        <ns0:f>IFERROR(IF(AND(T450&gt;0,'_Engine'!C450&gt;0,MID('_Engine'!W450,WEEKDAY(T450,2),1)="W",COUNTIF(Settings!$F$18:$F$67,T450)=0),1,0),0)</ns0:f>
        <ns0:v>0</ns0:v>
      </ns0:c>
      <ns0:c r="AC450" s="0">
        <ns0:f>IF(AND(J450&gt;0,T450&gt;0,W450&lt;=X450),1,0)</ns0:f>
        <ns0:v>0</ns0:v>
      </ns0:c>
      <ns0:c r="AD450" s="0">
        <ns0:f>IF(AND(J450&gt;0,T450&gt;0,Y450&lt;=Z450),1,0)</ns0:f>
        <ns0:v>0</ns0:v>
      </ns0:c>
    </ns0:row>
    <ns0:row r="451">
      <ns0:c r="A451" s="0">
        <ns0:f>IFERROR(IF(ISNUMBER(Bookings!B451),"",TRIM(Bookings!B451&amp;"")),"")</ns0:f>
      </ns0:c>
      <ns0:c r="B451" s="0">
        <ns0:f>IFERROR(SUBSTITUTE(SUBSTITUTE(A451,"/","."),"-","."),"")</ns0:f>
      </ns0:c>
      <ns0:c r="C451" s="0">
        <ns0:f>IFERROR(LEFT(B451,FIND(".",B451)-1),"")</ns0:f>
      </ns0:c>
      <ns0:c r="D451" s="0">
        <ns0:f>IFERROR(MID(B451,FIND(".",B451)+1,FIND(".",B451,FIND(".",B451)+1)-FIND(".",B451)-1),"")</ns0:f>
      </ns0:c>
      <ns0:c r="E451" s="0">
        <ns0:f>IFERROR(MID(B451,FIND(".",B451,FIND(".",B451)+1)+1,99),"")</ns0:f>
        <ns0:v>99</ns0:v>
      </ns0:c>
      <ns0:c r="F451" s="0">
        <ns0:f>IFERROR(IF(FIND(".",B451)=5,--C451,--E451),0)</ns0:f>
        <ns0:v>0</ns0:v>
      </ns0:c>
      <ns0:c r="G451" s="0">
        <ns0:f>IFERROR(--D451,0)</ns0:f>
        <ns0:v>0</ns0:v>
      </ns0:c>
      <ns0:c r="H451" s="0">
        <ns0:f>IFERROR(IF(FIND(".",B451)=5,--E451,--C451),0)</ns0:f>
        <ns0:v>0</ns0:v>
      </ns0:c>
      <ns0:c r="I451" s="0">
        <ns0:f>IFERROR(IF(AND(F451&gt;=2000,F451&lt;=2100,G451&gt;=1,G451&lt;=12,H451&gt;=1,H451&lt;=31),DATE(F451,G451,H451),0),0)</ns0:f>
        <ns0:v>0</ns0:v>
      </ns0:c>
      <ns0:c r="J451" s="0">
        <ns0:f>IFERROR(IF(ISNUMBER(Bookings!B451),IF(AND(Bookings!B451=INT(Bookings!B451),Bookings!B451&gt;=DATE(2000,1,1),Bookings!B451&lt;=DATE(2100,12,31)),Bookings!B451,0),IF(AND(A451&lt;&gt;"",LEN("x"&amp;B451)-LEN(SUBSTITUTE("x"&amp;B451,".",""))=2,OR(1&gt;LEN(B451),MID(B451,1,1)=".",ISNUMBER(FIND("x"&amp;MID(B451,1,1),"x0x1x2x3x4x5x6x7x8x9"))),OR(2&gt;LEN(B451),MID(B451,2,1)=".",ISNUMBER(FIND("x"&amp;MID(B451,2,1),"x0x1x2x3x4x5x6x7x8x9"))),OR(3&gt;LEN(B451),MID(B451,3,1)=".",ISNUMBER(FIND("x"&amp;MID(B451,3,1),"x0x1x2x3x4x5x6x7x8x9"))),OR(4&gt;LEN(B451),MID(B451,4,1)=".",ISNUMBER(FIND("x"&amp;MID(B451,4,1),"x0x1x2x3x4x5x6x7x8x9"))),OR(5&gt;LEN(B451),MID(B451,5,1)=".",ISNUMBER(FIND("x"&amp;MID(B451,5,1),"x0x1x2x3x4x5x6x7x8x9"))),OR(6&gt;LEN(B451),MID(B451,6,1)=".",ISNUMBER(FIND("x"&amp;MID(B451,6,1),"x0x1x2x3x4x5x6x7x8x9"))),OR(7&gt;LEN(B451),MID(B451,7,1)=".",ISNUMBER(FIND("x"&amp;MID(B451,7,1),"x0x1x2x3x4x5x6x7x8x9"))),OR(8&gt;LEN(B451),MID(B451,8,1)=".",ISNUMBER(FIND("x"&amp;MID(B451,8,1),"x0x1x2x3x4x5x6x7x8x9"))),OR(9&gt;LEN(B451),MID(B451,9,1)=".",ISNUMBER(FIND("x"&amp;MID(B451,9,1),"x0x1x2x3x4x5x6x7x8x9"))),OR(10&gt;LEN(B451),MID(B451,10,1)=".",ISNUMBER(FIND("x"&amp;MID(B451,10,1),"x0x1x2x3x4x5x6x7x8x9"))),OR(AND(FIND(".",B451)=5,LEN(B451)-FIND(".",B451,FIND(".",B451)+1)&gt;=1,LEN(B451)-FIND(".",B451,FIND(".",B451)+1)&lt;=2),AND(LEN(B451)-FIND(".",B451,FIND(".",B451)+1)=4,FIND(".",B451)&gt;=2,FIND(".",B451)&lt;=3)),FIND(".",B451,FIND(".",B451)+1)-FIND(".",B451)&gt;=2,FIND(".",B451,FIND(".",B451)+1)-FIND(".",B451)&lt;=3,F451&gt;=2000,F451&lt;=2100,YEAR(I451)=F451,MONTH(I451)=G451,DAY(I451)=H451),I451,0)),0)</ns0:f>
        <ns0:v>0</ns0:v>
      </ns0:c>
      <ns0:c r="K451" s="0">
        <ns0:f>IFERROR(IF(ISNUMBER(Bookings!D451),"",TRIM(Bookings!D451&amp;"")),"")</ns0:f>
      </ns0:c>
      <ns0:c r="L451" s="0">
        <ns0:f>IFERROR(SUBSTITUTE(SUBSTITUTE(K451,"/","."),"-","."),"")</ns0:f>
      </ns0:c>
      <ns0:c r="M451" s="0">
        <ns0:f>IFERROR(LEFT(L451,FIND(".",L451)-1),"")</ns0:f>
      </ns0:c>
      <ns0:c r="N451" s="0">
        <ns0:f>IFERROR(MID(L451,FIND(".",L451)+1,FIND(".",L451,FIND(".",L451)+1)-FIND(".",L451)-1),"")</ns0:f>
      </ns0:c>
      <ns0:c r="O451" s="0">
        <ns0:f>IFERROR(MID(L451,FIND(".",L451,FIND(".",L451)+1)+1,99),"")</ns0:f>
        <ns0:v>99</ns0:v>
      </ns0:c>
      <ns0:c r="P451" s="0">
        <ns0:f>IFERROR(IF(FIND(".",L451)=5,--M451,--O451),0)</ns0:f>
        <ns0:v>0</ns0:v>
      </ns0:c>
      <ns0:c r="Q451" s="0">
        <ns0:f>IFERROR(--N451,0)</ns0:f>
        <ns0:v>0</ns0:v>
      </ns0:c>
      <ns0:c r="R451" s="0">
        <ns0:f>IFERROR(IF(FIND(".",L451)=5,--O451,--M451),0)</ns0:f>
        <ns0:v>0</ns0:v>
      </ns0:c>
      <ns0:c r="S451" s="0">
        <ns0:f>IFERROR(IF(AND(P451&gt;=2000,P451&lt;=2100,Q451&gt;=1,Q451&lt;=12,R451&gt;=1,R451&lt;=31),DATE(P451,Q451,R451),0),0)</ns0:f>
        <ns0:v>0</ns0:v>
      </ns0:c>
      <ns0:c r="T451" s="0">
        <ns0:f>IFERROR(IF(ISNUMBER(Bookings!D451),IF(AND(Bookings!D451=INT(Bookings!D451),Bookings!D451&gt;=DATE(2000,1,1),Bookings!D451&lt;=DATE(2100,12,31)),Bookings!D451,0),IF(AND(K451&lt;&gt;"",LEN("x"&amp;L451)-LEN(SUBSTITUTE("x"&amp;L451,".",""))=2,OR(1&gt;LEN(L451),MID(L451,1,1)=".",ISNUMBER(FIND("x"&amp;MID(L451,1,1),"x0x1x2x3x4x5x6x7x8x9"))),OR(2&gt;LEN(L451),MID(L451,2,1)=".",ISNUMBER(FIND("x"&amp;MID(L451,2,1),"x0x1x2x3x4x5x6x7x8x9"))),OR(3&gt;LEN(L451),MID(L451,3,1)=".",ISNUMBER(FIND("x"&amp;MID(L451,3,1),"x0x1x2x3x4x5x6x7x8x9"))),OR(4&gt;LEN(L451),MID(L451,4,1)=".",ISNUMBER(FIND("x"&amp;MID(L451,4,1),"x0x1x2x3x4x5x6x7x8x9"))),OR(5&gt;LEN(L451),MID(L451,5,1)=".",ISNUMBER(FIND("x"&amp;MID(L451,5,1),"x0x1x2x3x4x5x6x7x8x9"))),OR(6&gt;LEN(L451),MID(L451,6,1)=".",ISNUMBER(FIND("x"&amp;MID(L451,6,1),"x0x1x2x3x4x5x6x7x8x9"))),OR(7&gt;LEN(L451),MID(L451,7,1)=".",ISNUMBER(FIND("x"&amp;MID(L451,7,1),"x0x1x2x3x4x5x6x7x8x9"))),OR(8&gt;LEN(L451),MID(L451,8,1)=".",ISNUMBER(FIND("x"&amp;MID(L451,8,1),"x0x1x2x3x4x5x6x7x8x9"))),OR(9&gt;LEN(L451),MID(L451,9,1)=".",ISNUMBER(FIND("x"&amp;MID(L451,9,1),"x0x1x2x3x4x5x6x7x8x9"))),OR(10&gt;LEN(L451),MID(L451,10,1)=".",ISNUMBER(FIND("x"&amp;MID(L451,10,1),"x0x1x2x3x4x5x6x7x8x9"))),OR(AND(FIND(".",L451)=5,LEN(L451)-FIND(".",L451,FIND(".",L451)+1)&gt;=1,LEN(L451)-FIND(".",L451,FIND(".",L451)+1)&lt;=2),AND(LEN(L451)-FIND(".",L451,FIND(".",L451)+1)=4,FIND(".",L451)&gt;=2,FIND(".",L451)&lt;=3)),FIND(".",L451,FIND(".",L451)+1)-FIND(".",L451)&gt;=2,FIND(".",L451,FIND(".",L451)+1)-FIND(".",L451)&lt;=3,P451&gt;=2000,P451&lt;=2100,YEAR(S451)=P451,MONTH(S451)=Q451,DAY(S451)=R451),S451,0)),0)</ns0:f>
        <ns0:v>0</ns0:v>
      </ns0:c>
      <ns0:c r="U451" s="0" t="str">
        <ns0:f>IF(Bookings!C451="","Full day",Bookings!C451)</ns0:f>
        <ns0:v>Full day</ns0:v>
      </ns0:c>
      <ns0:c r="V451" s="0" t="str">
        <ns0:f>IF(Bookings!E451="","Full day",Bookings!E451)</ns0:f>
        <ns0:v>Full day</ns0:v>
      </ns0:c>
      <ns0:c r="W451" s="0">
        <ns0:f>IF(J451=0,0,J451+IF(U451="PM",1,0))</ns0:f>
        <ns0:v>0</ns0:v>
      </ns0:c>
      <ns0:c r="X451" s="0">
        <ns0:f>IF(T451=0,0,T451-IF(V451="PM",1,0))</ns0:f>
        <ns0:v>0</ns0:v>
      </ns0:c>
      <ns0:c r="Y451" s="0">
        <ns0:f>IF(J451=0,0,J451+IF(U451="AM",1,0))</ns0:f>
        <ns0:v>0</ns0:v>
      </ns0:c>
      <ns0:c r="Z451" s="0">
        <ns0:f>IF(T451=0,0,T451-IF(V451="AM",1,0))</ns0:f>
        <ns0:v>0</ns0:v>
      </ns0:c>
      <ns0:c r="AA451" s="0">
        <ns0:f>IFERROR(IF(AND(J451&gt;0,'_Engine'!C451&gt;0,MID('_Engine'!W451,WEEKDAY(J451,2),1)="W",COUNTIF(Settings!$F$18:$F$67,J451)=0),1,0),0)</ns0:f>
        <ns0:v>0</ns0:v>
      </ns0:c>
      <ns0:c r="AB451" s="0">
        <ns0:f>IFERROR(IF(AND(T451&gt;0,'_Engine'!C451&gt;0,MID('_Engine'!W451,WEEKDAY(T451,2),1)="W",COUNTIF(Settings!$F$18:$F$67,T451)=0),1,0),0)</ns0:f>
        <ns0:v>0</ns0:v>
      </ns0:c>
      <ns0:c r="AC451" s="0">
        <ns0:f>IF(AND(J451&gt;0,T451&gt;0,W451&lt;=X451),1,0)</ns0:f>
        <ns0:v>0</ns0:v>
      </ns0:c>
      <ns0:c r="AD451" s="0">
        <ns0:f>IF(AND(J451&gt;0,T451&gt;0,Y451&lt;=Z451),1,0)</ns0:f>
        <ns0:v>0</ns0:v>
      </ns0:c>
    </ns0:row>
    <ns0:row r="452">
      <ns0:c r="A452" s="0">
        <ns0:f>IFERROR(IF(ISNUMBER(Bookings!B452),"",TRIM(Bookings!B452&amp;"")),"")</ns0:f>
      </ns0:c>
      <ns0:c r="B452" s="0">
        <ns0:f>IFERROR(SUBSTITUTE(SUBSTITUTE(A452,"/","."),"-","."),"")</ns0:f>
      </ns0:c>
      <ns0:c r="C452" s="0">
        <ns0:f>IFERROR(LEFT(B452,FIND(".",B452)-1),"")</ns0:f>
      </ns0:c>
      <ns0:c r="D452" s="0">
        <ns0:f>IFERROR(MID(B452,FIND(".",B452)+1,FIND(".",B452,FIND(".",B452)+1)-FIND(".",B452)-1),"")</ns0:f>
      </ns0:c>
      <ns0:c r="E452" s="0">
        <ns0:f>IFERROR(MID(B452,FIND(".",B452,FIND(".",B452)+1)+1,99),"")</ns0:f>
        <ns0:v>99</ns0:v>
      </ns0:c>
      <ns0:c r="F452" s="0">
        <ns0:f>IFERROR(IF(FIND(".",B452)=5,--C452,--E452),0)</ns0:f>
        <ns0:v>0</ns0:v>
      </ns0:c>
      <ns0:c r="G452" s="0">
        <ns0:f>IFERROR(--D452,0)</ns0:f>
        <ns0:v>0</ns0:v>
      </ns0:c>
      <ns0:c r="H452" s="0">
        <ns0:f>IFERROR(IF(FIND(".",B452)=5,--E452,--C452),0)</ns0:f>
        <ns0:v>0</ns0:v>
      </ns0:c>
      <ns0:c r="I452" s="0">
        <ns0:f>IFERROR(IF(AND(F452&gt;=2000,F452&lt;=2100,G452&gt;=1,G452&lt;=12,H452&gt;=1,H452&lt;=31),DATE(F452,G452,H452),0),0)</ns0:f>
        <ns0:v>0</ns0:v>
      </ns0:c>
      <ns0:c r="J452" s="0">
        <ns0:f>IFERROR(IF(ISNUMBER(Bookings!B452),IF(AND(Bookings!B452=INT(Bookings!B452),Bookings!B452&gt;=DATE(2000,1,1),Bookings!B452&lt;=DATE(2100,12,31)),Bookings!B452,0),IF(AND(A452&lt;&gt;"",LEN("x"&amp;B452)-LEN(SUBSTITUTE("x"&amp;B452,".",""))=2,OR(1&gt;LEN(B452),MID(B452,1,1)=".",ISNUMBER(FIND("x"&amp;MID(B452,1,1),"x0x1x2x3x4x5x6x7x8x9"))),OR(2&gt;LEN(B452),MID(B452,2,1)=".",ISNUMBER(FIND("x"&amp;MID(B452,2,1),"x0x1x2x3x4x5x6x7x8x9"))),OR(3&gt;LEN(B452),MID(B452,3,1)=".",ISNUMBER(FIND("x"&amp;MID(B452,3,1),"x0x1x2x3x4x5x6x7x8x9"))),OR(4&gt;LEN(B452),MID(B452,4,1)=".",ISNUMBER(FIND("x"&amp;MID(B452,4,1),"x0x1x2x3x4x5x6x7x8x9"))),OR(5&gt;LEN(B452),MID(B452,5,1)=".",ISNUMBER(FIND("x"&amp;MID(B452,5,1),"x0x1x2x3x4x5x6x7x8x9"))),OR(6&gt;LEN(B452),MID(B452,6,1)=".",ISNUMBER(FIND("x"&amp;MID(B452,6,1),"x0x1x2x3x4x5x6x7x8x9"))),OR(7&gt;LEN(B452),MID(B452,7,1)=".",ISNUMBER(FIND("x"&amp;MID(B452,7,1),"x0x1x2x3x4x5x6x7x8x9"))),OR(8&gt;LEN(B452),MID(B452,8,1)=".",ISNUMBER(FIND("x"&amp;MID(B452,8,1),"x0x1x2x3x4x5x6x7x8x9"))),OR(9&gt;LEN(B452),MID(B452,9,1)=".",ISNUMBER(FIND("x"&amp;MID(B452,9,1),"x0x1x2x3x4x5x6x7x8x9"))),OR(10&gt;LEN(B452),MID(B452,10,1)=".",ISNUMBER(FIND("x"&amp;MID(B452,10,1),"x0x1x2x3x4x5x6x7x8x9"))),OR(AND(FIND(".",B452)=5,LEN(B452)-FIND(".",B452,FIND(".",B452)+1)&gt;=1,LEN(B452)-FIND(".",B452,FIND(".",B452)+1)&lt;=2),AND(LEN(B452)-FIND(".",B452,FIND(".",B452)+1)=4,FIND(".",B452)&gt;=2,FIND(".",B452)&lt;=3)),FIND(".",B452,FIND(".",B452)+1)-FIND(".",B452)&gt;=2,FIND(".",B452,FIND(".",B452)+1)-FIND(".",B452)&lt;=3,F452&gt;=2000,F452&lt;=2100,YEAR(I452)=F452,MONTH(I452)=G452,DAY(I452)=H452),I452,0)),0)</ns0:f>
        <ns0:v>0</ns0:v>
      </ns0:c>
      <ns0:c r="K452" s="0">
        <ns0:f>IFERROR(IF(ISNUMBER(Bookings!D452),"",TRIM(Bookings!D452&amp;"")),"")</ns0:f>
      </ns0:c>
      <ns0:c r="L452" s="0">
        <ns0:f>IFERROR(SUBSTITUTE(SUBSTITUTE(K452,"/","."),"-","."),"")</ns0:f>
      </ns0:c>
      <ns0:c r="M452" s="0">
        <ns0:f>IFERROR(LEFT(L452,FIND(".",L452)-1),"")</ns0:f>
      </ns0:c>
      <ns0:c r="N452" s="0">
        <ns0:f>IFERROR(MID(L452,FIND(".",L452)+1,FIND(".",L452,FIND(".",L452)+1)-FIND(".",L452)-1),"")</ns0:f>
      </ns0:c>
      <ns0:c r="O452" s="0">
        <ns0:f>IFERROR(MID(L452,FIND(".",L452,FIND(".",L452)+1)+1,99),"")</ns0:f>
        <ns0:v>99</ns0:v>
      </ns0:c>
      <ns0:c r="P452" s="0">
        <ns0:f>IFERROR(IF(FIND(".",L452)=5,--M452,--O452),0)</ns0:f>
        <ns0:v>0</ns0:v>
      </ns0:c>
      <ns0:c r="Q452" s="0">
        <ns0:f>IFERROR(--N452,0)</ns0:f>
        <ns0:v>0</ns0:v>
      </ns0:c>
      <ns0:c r="R452" s="0">
        <ns0:f>IFERROR(IF(FIND(".",L452)=5,--O452,--M452),0)</ns0:f>
        <ns0:v>0</ns0:v>
      </ns0:c>
      <ns0:c r="S452" s="0">
        <ns0:f>IFERROR(IF(AND(P452&gt;=2000,P452&lt;=2100,Q452&gt;=1,Q452&lt;=12,R452&gt;=1,R452&lt;=31),DATE(P452,Q452,R452),0),0)</ns0:f>
        <ns0:v>0</ns0:v>
      </ns0:c>
      <ns0:c r="T452" s="0">
        <ns0:f>IFERROR(IF(ISNUMBER(Bookings!D452),IF(AND(Bookings!D452=INT(Bookings!D452),Bookings!D452&gt;=DATE(2000,1,1),Bookings!D452&lt;=DATE(2100,12,31)),Bookings!D452,0),IF(AND(K452&lt;&gt;"",LEN("x"&amp;L452)-LEN(SUBSTITUTE("x"&amp;L452,".",""))=2,OR(1&gt;LEN(L452),MID(L452,1,1)=".",ISNUMBER(FIND("x"&amp;MID(L452,1,1),"x0x1x2x3x4x5x6x7x8x9"))),OR(2&gt;LEN(L452),MID(L452,2,1)=".",ISNUMBER(FIND("x"&amp;MID(L452,2,1),"x0x1x2x3x4x5x6x7x8x9"))),OR(3&gt;LEN(L452),MID(L452,3,1)=".",ISNUMBER(FIND("x"&amp;MID(L452,3,1),"x0x1x2x3x4x5x6x7x8x9"))),OR(4&gt;LEN(L452),MID(L452,4,1)=".",ISNUMBER(FIND("x"&amp;MID(L452,4,1),"x0x1x2x3x4x5x6x7x8x9"))),OR(5&gt;LEN(L452),MID(L452,5,1)=".",ISNUMBER(FIND("x"&amp;MID(L452,5,1),"x0x1x2x3x4x5x6x7x8x9"))),OR(6&gt;LEN(L452),MID(L452,6,1)=".",ISNUMBER(FIND("x"&amp;MID(L452,6,1),"x0x1x2x3x4x5x6x7x8x9"))),OR(7&gt;LEN(L452),MID(L452,7,1)=".",ISNUMBER(FIND("x"&amp;MID(L452,7,1),"x0x1x2x3x4x5x6x7x8x9"))),OR(8&gt;LEN(L452),MID(L452,8,1)=".",ISNUMBER(FIND("x"&amp;MID(L452,8,1),"x0x1x2x3x4x5x6x7x8x9"))),OR(9&gt;LEN(L452),MID(L452,9,1)=".",ISNUMBER(FIND("x"&amp;MID(L452,9,1),"x0x1x2x3x4x5x6x7x8x9"))),OR(10&gt;LEN(L452),MID(L452,10,1)=".",ISNUMBER(FIND("x"&amp;MID(L452,10,1),"x0x1x2x3x4x5x6x7x8x9"))),OR(AND(FIND(".",L452)=5,LEN(L452)-FIND(".",L452,FIND(".",L452)+1)&gt;=1,LEN(L452)-FIND(".",L452,FIND(".",L452)+1)&lt;=2),AND(LEN(L452)-FIND(".",L452,FIND(".",L452)+1)=4,FIND(".",L452)&gt;=2,FIND(".",L452)&lt;=3)),FIND(".",L452,FIND(".",L452)+1)-FIND(".",L452)&gt;=2,FIND(".",L452,FIND(".",L452)+1)-FIND(".",L452)&lt;=3,P452&gt;=2000,P452&lt;=2100,YEAR(S452)=P452,MONTH(S452)=Q452,DAY(S452)=R452),S452,0)),0)</ns0:f>
        <ns0:v>0</ns0:v>
      </ns0:c>
      <ns0:c r="U452" s="0" t="str">
        <ns0:f>IF(Bookings!C452="","Full day",Bookings!C452)</ns0:f>
        <ns0:v>Full day</ns0:v>
      </ns0:c>
      <ns0:c r="V452" s="0" t="str">
        <ns0:f>IF(Bookings!E452="","Full day",Bookings!E452)</ns0:f>
        <ns0:v>Full day</ns0:v>
      </ns0:c>
      <ns0:c r="W452" s="0">
        <ns0:f>IF(J452=0,0,J452+IF(U452="PM",1,0))</ns0:f>
        <ns0:v>0</ns0:v>
      </ns0:c>
      <ns0:c r="X452" s="0">
        <ns0:f>IF(T452=0,0,T452-IF(V452="PM",1,0))</ns0:f>
        <ns0:v>0</ns0:v>
      </ns0:c>
      <ns0:c r="Y452" s="0">
        <ns0:f>IF(J452=0,0,J452+IF(U452="AM",1,0))</ns0:f>
        <ns0:v>0</ns0:v>
      </ns0:c>
      <ns0:c r="Z452" s="0">
        <ns0:f>IF(T452=0,0,T452-IF(V452="AM",1,0))</ns0:f>
        <ns0:v>0</ns0:v>
      </ns0:c>
      <ns0:c r="AA452" s="0">
        <ns0:f>IFERROR(IF(AND(J452&gt;0,'_Engine'!C452&gt;0,MID('_Engine'!W452,WEEKDAY(J452,2),1)="W",COUNTIF(Settings!$F$18:$F$67,J452)=0),1,0),0)</ns0:f>
        <ns0:v>0</ns0:v>
      </ns0:c>
      <ns0:c r="AB452" s="0">
        <ns0:f>IFERROR(IF(AND(T452&gt;0,'_Engine'!C452&gt;0,MID('_Engine'!W452,WEEKDAY(T452,2),1)="W",COUNTIF(Settings!$F$18:$F$67,T452)=0),1,0),0)</ns0:f>
        <ns0:v>0</ns0:v>
      </ns0:c>
      <ns0:c r="AC452" s="0">
        <ns0:f>IF(AND(J452&gt;0,T452&gt;0,W452&lt;=X452),1,0)</ns0:f>
        <ns0:v>0</ns0:v>
      </ns0:c>
      <ns0:c r="AD452" s="0">
        <ns0:f>IF(AND(J452&gt;0,T452&gt;0,Y452&lt;=Z452),1,0)</ns0:f>
        <ns0:v>0</ns0:v>
      </ns0:c>
    </ns0:row>
    <ns0:row r="453">
      <ns0:c r="A453" s="0">
        <ns0:f>IFERROR(IF(ISNUMBER(Bookings!B453),"",TRIM(Bookings!B453&amp;"")),"")</ns0:f>
      </ns0:c>
      <ns0:c r="B453" s="0">
        <ns0:f>IFERROR(SUBSTITUTE(SUBSTITUTE(A453,"/","."),"-","."),"")</ns0:f>
      </ns0:c>
      <ns0:c r="C453" s="0">
        <ns0:f>IFERROR(LEFT(B453,FIND(".",B453)-1),"")</ns0:f>
      </ns0:c>
      <ns0:c r="D453" s="0">
        <ns0:f>IFERROR(MID(B453,FIND(".",B453)+1,FIND(".",B453,FIND(".",B453)+1)-FIND(".",B453)-1),"")</ns0:f>
      </ns0:c>
      <ns0:c r="E453" s="0">
        <ns0:f>IFERROR(MID(B453,FIND(".",B453,FIND(".",B453)+1)+1,99),"")</ns0:f>
        <ns0:v>99</ns0:v>
      </ns0:c>
      <ns0:c r="F453" s="0">
        <ns0:f>IFERROR(IF(FIND(".",B453)=5,--C453,--E453),0)</ns0:f>
        <ns0:v>0</ns0:v>
      </ns0:c>
      <ns0:c r="G453" s="0">
        <ns0:f>IFERROR(--D453,0)</ns0:f>
        <ns0:v>0</ns0:v>
      </ns0:c>
      <ns0:c r="H453" s="0">
        <ns0:f>IFERROR(IF(FIND(".",B453)=5,--E453,--C453),0)</ns0:f>
        <ns0:v>0</ns0:v>
      </ns0:c>
      <ns0:c r="I453" s="0">
        <ns0:f>IFERROR(IF(AND(F453&gt;=2000,F453&lt;=2100,G453&gt;=1,G453&lt;=12,H453&gt;=1,H453&lt;=31),DATE(F453,G453,H453),0),0)</ns0:f>
        <ns0:v>0</ns0:v>
      </ns0:c>
      <ns0:c r="J453" s="0">
        <ns0:f>IFERROR(IF(ISNUMBER(Bookings!B453),IF(AND(Bookings!B453=INT(Bookings!B453),Bookings!B453&gt;=DATE(2000,1,1),Bookings!B453&lt;=DATE(2100,12,31)),Bookings!B453,0),IF(AND(A453&lt;&gt;"",LEN("x"&amp;B453)-LEN(SUBSTITUTE("x"&amp;B453,".",""))=2,OR(1&gt;LEN(B453),MID(B453,1,1)=".",ISNUMBER(FIND("x"&amp;MID(B453,1,1),"x0x1x2x3x4x5x6x7x8x9"))),OR(2&gt;LEN(B453),MID(B453,2,1)=".",ISNUMBER(FIND("x"&amp;MID(B453,2,1),"x0x1x2x3x4x5x6x7x8x9"))),OR(3&gt;LEN(B453),MID(B453,3,1)=".",ISNUMBER(FIND("x"&amp;MID(B453,3,1),"x0x1x2x3x4x5x6x7x8x9"))),OR(4&gt;LEN(B453),MID(B453,4,1)=".",ISNUMBER(FIND("x"&amp;MID(B453,4,1),"x0x1x2x3x4x5x6x7x8x9"))),OR(5&gt;LEN(B453),MID(B453,5,1)=".",ISNUMBER(FIND("x"&amp;MID(B453,5,1),"x0x1x2x3x4x5x6x7x8x9"))),OR(6&gt;LEN(B453),MID(B453,6,1)=".",ISNUMBER(FIND("x"&amp;MID(B453,6,1),"x0x1x2x3x4x5x6x7x8x9"))),OR(7&gt;LEN(B453),MID(B453,7,1)=".",ISNUMBER(FIND("x"&amp;MID(B453,7,1),"x0x1x2x3x4x5x6x7x8x9"))),OR(8&gt;LEN(B453),MID(B453,8,1)=".",ISNUMBER(FIND("x"&amp;MID(B453,8,1),"x0x1x2x3x4x5x6x7x8x9"))),OR(9&gt;LEN(B453),MID(B453,9,1)=".",ISNUMBER(FIND("x"&amp;MID(B453,9,1),"x0x1x2x3x4x5x6x7x8x9"))),OR(10&gt;LEN(B453),MID(B453,10,1)=".",ISNUMBER(FIND("x"&amp;MID(B453,10,1),"x0x1x2x3x4x5x6x7x8x9"))),OR(AND(FIND(".",B453)=5,LEN(B453)-FIND(".",B453,FIND(".",B453)+1)&gt;=1,LEN(B453)-FIND(".",B453,FIND(".",B453)+1)&lt;=2),AND(LEN(B453)-FIND(".",B453,FIND(".",B453)+1)=4,FIND(".",B453)&gt;=2,FIND(".",B453)&lt;=3)),FIND(".",B453,FIND(".",B453)+1)-FIND(".",B453)&gt;=2,FIND(".",B453,FIND(".",B453)+1)-FIND(".",B453)&lt;=3,F453&gt;=2000,F453&lt;=2100,YEAR(I453)=F453,MONTH(I453)=G453,DAY(I453)=H453),I453,0)),0)</ns0:f>
        <ns0:v>0</ns0:v>
      </ns0:c>
      <ns0:c r="K453" s="0">
        <ns0:f>IFERROR(IF(ISNUMBER(Bookings!D453),"",TRIM(Bookings!D453&amp;"")),"")</ns0:f>
      </ns0:c>
      <ns0:c r="L453" s="0">
        <ns0:f>IFERROR(SUBSTITUTE(SUBSTITUTE(K453,"/","."),"-","."),"")</ns0:f>
      </ns0:c>
      <ns0:c r="M453" s="0">
        <ns0:f>IFERROR(LEFT(L453,FIND(".",L453)-1),"")</ns0:f>
      </ns0:c>
      <ns0:c r="N453" s="0">
        <ns0:f>IFERROR(MID(L453,FIND(".",L453)+1,FIND(".",L453,FIND(".",L453)+1)-FIND(".",L453)-1),"")</ns0:f>
      </ns0:c>
      <ns0:c r="O453" s="0">
        <ns0:f>IFERROR(MID(L453,FIND(".",L453,FIND(".",L453)+1)+1,99),"")</ns0:f>
        <ns0:v>99</ns0:v>
      </ns0:c>
      <ns0:c r="P453" s="0">
        <ns0:f>IFERROR(IF(FIND(".",L453)=5,--M453,--O453),0)</ns0:f>
        <ns0:v>0</ns0:v>
      </ns0:c>
      <ns0:c r="Q453" s="0">
        <ns0:f>IFERROR(--N453,0)</ns0:f>
        <ns0:v>0</ns0:v>
      </ns0:c>
      <ns0:c r="R453" s="0">
        <ns0:f>IFERROR(IF(FIND(".",L453)=5,--O453,--M453),0)</ns0:f>
        <ns0:v>0</ns0:v>
      </ns0:c>
      <ns0:c r="S453" s="0">
        <ns0:f>IFERROR(IF(AND(P453&gt;=2000,P453&lt;=2100,Q453&gt;=1,Q453&lt;=12,R453&gt;=1,R453&lt;=31),DATE(P453,Q453,R453),0),0)</ns0:f>
        <ns0:v>0</ns0:v>
      </ns0:c>
      <ns0:c r="T453" s="0">
        <ns0:f>IFERROR(IF(ISNUMBER(Bookings!D453),IF(AND(Bookings!D453=INT(Bookings!D453),Bookings!D453&gt;=DATE(2000,1,1),Bookings!D453&lt;=DATE(2100,12,31)),Bookings!D453,0),IF(AND(K453&lt;&gt;"",LEN("x"&amp;L453)-LEN(SUBSTITUTE("x"&amp;L453,".",""))=2,OR(1&gt;LEN(L453),MID(L453,1,1)=".",ISNUMBER(FIND("x"&amp;MID(L453,1,1),"x0x1x2x3x4x5x6x7x8x9"))),OR(2&gt;LEN(L453),MID(L453,2,1)=".",ISNUMBER(FIND("x"&amp;MID(L453,2,1),"x0x1x2x3x4x5x6x7x8x9"))),OR(3&gt;LEN(L453),MID(L453,3,1)=".",ISNUMBER(FIND("x"&amp;MID(L453,3,1),"x0x1x2x3x4x5x6x7x8x9"))),OR(4&gt;LEN(L453),MID(L453,4,1)=".",ISNUMBER(FIND("x"&amp;MID(L453,4,1),"x0x1x2x3x4x5x6x7x8x9"))),OR(5&gt;LEN(L453),MID(L453,5,1)=".",ISNUMBER(FIND("x"&amp;MID(L453,5,1),"x0x1x2x3x4x5x6x7x8x9"))),OR(6&gt;LEN(L453),MID(L453,6,1)=".",ISNUMBER(FIND("x"&amp;MID(L453,6,1),"x0x1x2x3x4x5x6x7x8x9"))),OR(7&gt;LEN(L453),MID(L453,7,1)=".",ISNUMBER(FIND("x"&amp;MID(L453,7,1),"x0x1x2x3x4x5x6x7x8x9"))),OR(8&gt;LEN(L453),MID(L453,8,1)=".",ISNUMBER(FIND("x"&amp;MID(L453,8,1),"x0x1x2x3x4x5x6x7x8x9"))),OR(9&gt;LEN(L453),MID(L453,9,1)=".",ISNUMBER(FIND("x"&amp;MID(L453,9,1),"x0x1x2x3x4x5x6x7x8x9"))),OR(10&gt;LEN(L453),MID(L453,10,1)=".",ISNUMBER(FIND("x"&amp;MID(L453,10,1),"x0x1x2x3x4x5x6x7x8x9"))),OR(AND(FIND(".",L453)=5,LEN(L453)-FIND(".",L453,FIND(".",L453)+1)&gt;=1,LEN(L453)-FIND(".",L453,FIND(".",L453)+1)&lt;=2),AND(LEN(L453)-FIND(".",L453,FIND(".",L453)+1)=4,FIND(".",L453)&gt;=2,FIND(".",L453)&lt;=3)),FIND(".",L453,FIND(".",L453)+1)-FIND(".",L453)&gt;=2,FIND(".",L453,FIND(".",L453)+1)-FIND(".",L453)&lt;=3,P453&gt;=2000,P453&lt;=2100,YEAR(S453)=P453,MONTH(S453)=Q453,DAY(S453)=R453),S453,0)),0)</ns0:f>
        <ns0:v>0</ns0:v>
      </ns0:c>
      <ns0:c r="U453" s="0" t="str">
        <ns0:f>IF(Bookings!C453="","Full day",Bookings!C453)</ns0:f>
        <ns0:v>Full day</ns0:v>
      </ns0:c>
      <ns0:c r="V453" s="0" t="str">
        <ns0:f>IF(Bookings!E453="","Full day",Bookings!E453)</ns0:f>
        <ns0:v>Full day</ns0:v>
      </ns0:c>
      <ns0:c r="W453" s="0">
        <ns0:f>IF(J453=0,0,J453+IF(U453="PM",1,0))</ns0:f>
        <ns0:v>0</ns0:v>
      </ns0:c>
      <ns0:c r="X453" s="0">
        <ns0:f>IF(T453=0,0,T453-IF(V453="PM",1,0))</ns0:f>
        <ns0:v>0</ns0:v>
      </ns0:c>
      <ns0:c r="Y453" s="0">
        <ns0:f>IF(J453=0,0,J453+IF(U453="AM",1,0))</ns0:f>
        <ns0:v>0</ns0:v>
      </ns0:c>
      <ns0:c r="Z453" s="0">
        <ns0:f>IF(T453=0,0,T453-IF(V453="AM",1,0))</ns0:f>
        <ns0:v>0</ns0:v>
      </ns0:c>
      <ns0:c r="AA453" s="0">
        <ns0:f>IFERROR(IF(AND(J453&gt;0,'_Engine'!C453&gt;0,MID('_Engine'!W453,WEEKDAY(J453,2),1)="W",COUNTIF(Settings!$F$18:$F$67,J453)=0),1,0),0)</ns0:f>
        <ns0:v>0</ns0:v>
      </ns0:c>
      <ns0:c r="AB453" s="0">
        <ns0:f>IFERROR(IF(AND(T453&gt;0,'_Engine'!C453&gt;0,MID('_Engine'!W453,WEEKDAY(T453,2),1)="W",COUNTIF(Settings!$F$18:$F$67,T453)=0),1,0),0)</ns0:f>
        <ns0:v>0</ns0:v>
      </ns0:c>
      <ns0:c r="AC453" s="0">
        <ns0:f>IF(AND(J453&gt;0,T453&gt;0,W453&lt;=X453),1,0)</ns0:f>
        <ns0:v>0</ns0:v>
      </ns0:c>
      <ns0:c r="AD453" s="0">
        <ns0:f>IF(AND(J453&gt;0,T453&gt;0,Y453&lt;=Z453),1,0)</ns0:f>
        <ns0:v>0</ns0:v>
      </ns0:c>
    </ns0:row>
    <ns0:row r="454">
      <ns0:c r="A454" s="0">
        <ns0:f>IFERROR(IF(ISNUMBER(Bookings!B454),"",TRIM(Bookings!B454&amp;"")),"")</ns0:f>
      </ns0:c>
      <ns0:c r="B454" s="0">
        <ns0:f>IFERROR(SUBSTITUTE(SUBSTITUTE(A454,"/","."),"-","."),"")</ns0:f>
      </ns0:c>
      <ns0:c r="C454" s="0">
        <ns0:f>IFERROR(LEFT(B454,FIND(".",B454)-1),"")</ns0:f>
      </ns0:c>
      <ns0:c r="D454" s="0">
        <ns0:f>IFERROR(MID(B454,FIND(".",B454)+1,FIND(".",B454,FIND(".",B454)+1)-FIND(".",B454)-1),"")</ns0:f>
      </ns0:c>
      <ns0:c r="E454" s="0">
        <ns0:f>IFERROR(MID(B454,FIND(".",B454,FIND(".",B454)+1)+1,99),"")</ns0:f>
        <ns0:v>99</ns0:v>
      </ns0:c>
      <ns0:c r="F454" s="0">
        <ns0:f>IFERROR(IF(FIND(".",B454)=5,--C454,--E454),0)</ns0:f>
        <ns0:v>0</ns0:v>
      </ns0:c>
      <ns0:c r="G454" s="0">
        <ns0:f>IFERROR(--D454,0)</ns0:f>
        <ns0:v>0</ns0:v>
      </ns0:c>
      <ns0:c r="H454" s="0">
        <ns0:f>IFERROR(IF(FIND(".",B454)=5,--E454,--C454),0)</ns0:f>
        <ns0:v>0</ns0:v>
      </ns0:c>
      <ns0:c r="I454" s="0">
        <ns0:f>IFERROR(IF(AND(F454&gt;=2000,F454&lt;=2100,G454&gt;=1,G454&lt;=12,H454&gt;=1,H454&lt;=31),DATE(F454,G454,H454),0),0)</ns0:f>
        <ns0:v>0</ns0:v>
      </ns0:c>
      <ns0:c r="J454" s="0">
        <ns0:f>IFERROR(IF(ISNUMBER(Bookings!B454),IF(AND(Bookings!B454=INT(Bookings!B454),Bookings!B454&gt;=DATE(2000,1,1),Bookings!B454&lt;=DATE(2100,12,31)),Bookings!B454,0),IF(AND(A454&lt;&gt;"",LEN("x"&amp;B454)-LEN(SUBSTITUTE("x"&amp;B454,".",""))=2,OR(1&gt;LEN(B454),MID(B454,1,1)=".",ISNUMBER(FIND("x"&amp;MID(B454,1,1),"x0x1x2x3x4x5x6x7x8x9"))),OR(2&gt;LEN(B454),MID(B454,2,1)=".",ISNUMBER(FIND("x"&amp;MID(B454,2,1),"x0x1x2x3x4x5x6x7x8x9"))),OR(3&gt;LEN(B454),MID(B454,3,1)=".",ISNUMBER(FIND("x"&amp;MID(B454,3,1),"x0x1x2x3x4x5x6x7x8x9"))),OR(4&gt;LEN(B454),MID(B454,4,1)=".",ISNUMBER(FIND("x"&amp;MID(B454,4,1),"x0x1x2x3x4x5x6x7x8x9"))),OR(5&gt;LEN(B454),MID(B454,5,1)=".",ISNUMBER(FIND("x"&amp;MID(B454,5,1),"x0x1x2x3x4x5x6x7x8x9"))),OR(6&gt;LEN(B454),MID(B454,6,1)=".",ISNUMBER(FIND("x"&amp;MID(B454,6,1),"x0x1x2x3x4x5x6x7x8x9"))),OR(7&gt;LEN(B454),MID(B454,7,1)=".",ISNUMBER(FIND("x"&amp;MID(B454,7,1),"x0x1x2x3x4x5x6x7x8x9"))),OR(8&gt;LEN(B454),MID(B454,8,1)=".",ISNUMBER(FIND("x"&amp;MID(B454,8,1),"x0x1x2x3x4x5x6x7x8x9"))),OR(9&gt;LEN(B454),MID(B454,9,1)=".",ISNUMBER(FIND("x"&amp;MID(B454,9,1),"x0x1x2x3x4x5x6x7x8x9"))),OR(10&gt;LEN(B454),MID(B454,10,1)=".",ISNUMBER(FIND("x"&amp;MID(B454,10,1),"x0x1x2x3x4x5x6x7x8x9"))),OR(AND(FIND(".",B454)=5,LEN(B454)-FIND(".",B454,FIND(".",B454)+1)&gt;=1,LEN(B454)-FIND(".",B454,FIND(".",B454)+1)&lt;=2),AND(LEN(B454)-FIND(".",B454,FIND(".",B454)+1)=4,FIND(".",B454)&gt;=2,FIND(".",B454)&lt;=3)),FIND(".",B454,FIND(".",B454)+1)-FIND(".",B454)&gt;=2,FIND(".",B454,FIND(".",B454)+1)-FIND(".",B454)&lt;=3,F454&gt;=2000,F454&lt;=2100,YEAR(I454)=F454,MONTH(I454)=G454,DAY(I454)=H454),I454,0)),0)</ns0:f>
        <ns0:v>0</ns0:v>
      </ns0:c>
      <ns0:c r="K454" s="0">
        <ns0:f>IFERROR(IF(ISNUMBER(Bookings!D454),"",TRIM(Bookings!D454&amp;"")),"")</ns0:f>
      </ns0:c>
      <ns0:c r="L454" s="0">
        <ns0:f>IFERROR(SUBSTITUTE(SUBSTITUTE(K454,"/","."),"-","."),"")</ns0:f>
      </ns0:c>
      <ns0:c r="M454" s="0">
        <ns0:f>IFERROR(LEFT(L454,FIND(".",L454)-1),"")</ns0:f>
      </ns0:c>
      <ns0:c r="N454" s="0">
        <ns0:f>IFERROR(MID(L454,FIND(".",L454)+1,FIND(".",L454,FIND(".",L454)+1)-FIND(".",L454)-1),"")</ns0:f>
      </ns0:c>
      <ns0:c r="O454" s="0">
        <ns0:f>IFERROR(MID(L454,FIND(".",L454,FIND(".",L454)+1)+1,99),"")</ns0:f>
        <ns0:v>99</ns0:v>
      </ns0:c>
      <ns0:c r="P454" s="0">
        <ns0:f>IFERROR(IF(FIND(".",L454)=5,--M454,--O454),0)</ns0:f>
        <ns0:v>0</ns0:v>
      </ns0:c>
      <ns0:c r="Q454" s="0">
        <ns0:f>IFERROR(--N454,0)</ns0:f>
        <ns0:v>0</ns0:v>
      </ns0:c>
      <ns0:c r="R454" s="0">
        <ns0:f>IFERROR(IF(FIND(".",L454)=5,--O454,--M454),0)</ns0:f>
        <ns0:v>0</ns0:v>
      </ns0:c>
      <ns0:c r="S454" s="0">
        <ns0:f>IFERROR(IF(AND(P454&gt;=2000,P454&lt;=2100,Q454&gt;=1,Q454&lt;=12,R454&gt;=1,R454&lt;=31),DATE(P454,Q454,R454),0),0)</ns0:f>
        <ns0:v>0</ns0:v>
      </ns0:c>
      <ns0:c r="T454" s="0">
        <ns0:f>IFERROR(IF(ISNUMBER(Bookings!D454),IF(AND(Bookings!D454=INT(Bookings!D454),Bookings!D454&gt;=DATE(2000,1,1),Bookings!D454&lt;=DATE(2100,12,31)),Bookings!D454,0),IF(AND(K454&lt;&gt;"",LEN("x"&amp;L454)-LEN(SUBSTITUTE("x"&amp;L454,".",""))=2,OR(1&gt;LEN(L454),MID(L454,1,1)=".",ISNUMBER(FIND("x"&amp;MID(L454,1,1),"x0x1x2x3x4x5x6x7x8x9"))),OR(2&gt;LEN(L454),MID(L454,2,1)=".",ISNUMBER(FIND("x"&amp;MID(L454,2,1),"x0x1x2x3x4x5x6x7x8x9"))),OR(3&gt;LEN(L454),MID(L454,3,1)=".",ISNUMBER(FIND("x"&amp;MID(L454,3,1),"x0x1x2x3x4x5x6x7x8x9"))),OR(4&gt;LEN(L454),MID(L454,4,1)=".",ISNUMBER(FIND("x"&amp;MID(L454,4,1),"x0x1x2x3x4x5x6x7x8x9"))),OR(5&gt;LEN(L454),MID(L454,5,1)=".",ISNUMBER(FIND("x"&amp;MID(L454,5,1),"x0x1x2x3x4x5x6x7x8x9"))),OR(6&gt;LEN(L454),MID(L454,6,1)=".",ISNUMBER(FIND("x"&amp;MID(L454,6,1),"x0x1x2x3x4x5x6x7x8x9"))),OR(7&gt;LEN(L454),MID(L454,7,1)=".",ISNUMBER(FIND("x"&amp;MID(L454,7,1),"x0x1x2x3x4x5x6x7x8x9"))),OR(8&gt;LEN(L454),MID(L454,8,1)=".",ISNUMBER(FIND("x"&amp;MID(L454,8,1),"x0x1x2x3x4x5x6x7x8x9"))),OR(9&gt;LEN(L454),MID(L454,9,1)=".",ISNUMBER(FIND("x"&amp;MID(L454,9,1),"x0x1x2x3x4x5x6x7x8x9"))),OR(10&gt;LEN(L454),MID(L454,10,1)=".",ISNUMBER(FIND("x"&amp;MID(L454,10,1),"x0x1x2x3x4x5x6x7x8x9"))),OR(AND(FIND(".",L454)=5,LEN(L454)-FIND(".",L454,FIND(".",L454)+1)&gt;=1,LEN(L454)-FIND(".",L454,FIND(".",L454)+1)&lt;=2),AND(LEN(L454)-FIND(".",L454,FIND(".",L454)+1)=4,FIND(".",L454)&gt;=2,FIND(".",L454)&lt;=3)),FIND(".",L454,FIND(".",L454)+1)-FIND(".",L454)&gt;=2,FIND(".",L454,FIND(".",L454)+1)-FIND(".",L454)&lt;=3,P454&gt;=2000,P454&lt;=2100,YEAR(S454)=P454,MONTH(S454)=Q454,DAY(S454)=R454),S454,0)),0)</ns0:f>
        <ns0:v>0</ns0:v>
      </ns0:c>
      <ns0:c r="U454" s="0" t="str">
        <ns0:f>IF(Bookings!C454="","Full day",Bookings!C454)</ns0:f>
        <ns0:v>Full day</ns0:v>
      </ns0:c>
      <ns0:c r="V454" s="0" t="str">
        <ns0:f>IF(Bookings!E454="","Full day",Bookings!E454)</ns0:f>
        <ns0:v>Full day</ns0:v>
      </ns0:c>
      <ns0:c r="W454" s="0">
        <ns0:f>IF(J454=0,0,J454+IF(U454="PM",1,0))</ns0:f>
        <ns0:v>0</ns0:v>
      </ns0:c>
      <ns0:c r="X454" s="0">
        <ns0:f>IF(T454=0,0,T454-IF(V454="PM",1,0))</ns0:f>
        <ns0:v>0</ns0:v>
      </ns0:c>
      <ns0:c r="Y454" s="0">
        <ns0:f>IF(J454=0,0,J454+IF(U454="AM",1,0))</ns0:f>
        <ns0:v>0</ns0:v>
      </ns0:c>
      <ns0:c r="Z454" s="0">
        <ns0:f>IF(T454=0,0,T454-IF(V454="AM",1,0))</ns0:f>
        <ns0:v>0</ns0:v>
      </ns0:c>
      <ns0:c r="AA454" s="0">
        <ns0:f>IFERROR(IF(AND(J454&gt;0,'_Engine'!C454&gt;0,MID('_Engine'!W454,WEEKDAY(J454,2),1)="W",COUNTIF(Settings!$F$18:$F$67,J454)=0),1,0),0)</ns0:f>
        <ns0:v>0</ns0:v>
      </ns0:c>
      <ns0:c r="AB454" s="0">
        <ns0:f>IFERROR(IF(AND(T454&gt;0,'_Engine'!C454&gt;0,MID('_Engine'!W454,WEEKDAY(T454,2),1)="W",COUNTIF(Settings!$F$18:$F$67,T454)=0),1,0),0)</ns0:f>
        <ns0:v>0</ns0:v>
      </ns0:c>
      <ns0:c r="AC454" s="0">
        <ns0:f>IF(AND(J454&gt;0,T454&gt;0,W454&lt;=X454),1,0)</ns0:f>
        <ns0:v>0</ns0:v>
      </ns0:c>
      <ns0:c r="AD454" s="0">
        <ns0:f>IF(AND(J454&gt;0,T454&gt;0,Y454&lt;=Z454),1,0)</ns0:f>
        <ns0:v>0</ns0:v>
      </ns0:c>
    </ns0:row>
    <ns0:row r="455">
      <ns0:c r="A455" s="0">
        <ns0:f>IFERROR(IF(ISNUMBER(Bookings!B455),"",TRIM(Bookings!B455&amp;"")),"")</ns0:f>
      </ns0:c>
      <ns0:c r="B455" s="0">
        <ns0:f>IFERROR(SUBSTITUTE(SUBSTITUTE(A455,"/","."),"-","."),"")</ns0:f>
      </ns0:c>
      <ns0:c r="C455" s="0">
        <ns0:f>IFERROR(LEFT(B455,FIND(".",B455)-1),"")</ns0:f>
      </ns0:c>
      <ns0:c r="D455" s="0">
        <ns0:f>IFERROR(MID(B455,FIND(".",B455)+1,FIND(".",B455,FIND(".",B455)+1)-FIND(".",B455)-1),"")</ns0:f>
      </ns0:c>
      <ns0:c r="E455" s="0">
        <ns0:f>IFERROR(MID(B455,FIND(".",B455,FIND(".",B455)+1)+1,99),"")</ns0:f>
        <ns0:v>99</ns0:v>
      </ns0:c>
      <ns0:c r="F455" s="0">
        <ns0:f>IFERROR(IF(FIND(".",B455)=5,--C455,--E455),0)</ns0:f>
        <ns0:v>0</ns0:v>
      </ns0:c>
      <ns0:c r="G455" s="0">
        <ns0:f>IFERROR(--D455,0)</ns0:f>
        <ns0:v>0</ns0:v>
      </ns0:c>
      <ns0:c r="H455" s="0">
        <ns0:f>IFERROR(IF(FIND(".",B455)=5,--E455,--C455),0)</ns0:f>
        <ns0:v>0</ns0:v>
      </ns0:c>
      <ns0:c r="I455" s="0">
        <ns0:f>IFERROR(IF(AND(F455&gt;=2000,F455&lt;=2100,G455&gt;=1,G455&lt;=12,H455&gt;=1,H455&lt;=31),DATE(F455,G455,H455),0),0)</ns0:f>
        <ns0:v>0</ns0:v>
      </ns0:c>
      <ns0:c r="J455" s="0">
        <ns0:f>IFERROR(IF(ISNUMBER(Bookings!B455),IF(AND(Bookings!B455=INT(Bookings!B455),Bookings!B455&gt;=DATE(2000,1,1),Bookings!B455&lt;=DATE(2100,12,31)),Bookings!B455,0),IF(AND(A455&lt;&gt;"",LEN("x"&amp;B455)-LEN(SUBSTITUTE("x"&amp;B455,".",""))=2,OR(1&gt;LEN(B455),MID(B455,1,1)=".",ISNUMBER(FIND("x"&amp;MID(B455,1,1),"x0x1x2x3x4x5x6x7x8x9"))),OR(2&gt;LEN(B455),MID(B455,2,1)=".",ISNUMBER(FIND("x"&amp;MID(B455,2,1),"x0x1x2x3x4x5x6x7x8x9"))),OR(3&gt;LEN(B455),MID(B455,3,1)=".",ISNUMBER(FIND("x"&amp;MID(B455,3,1),"x0x1x2x3x4x5x6x7x8x9"))),OR(4&gt;LEN(B455),MID(B455,4,1)=".",ISNUMBER(FIND("x"&amp;MID(B455,4,1),"x0x1x2x3x4x5x6x7x8x9"))),OR(5&gt;LEN(B455),MID(B455,5,1)=".",ISNUMBER(FIND("x"&amp;MID(B455,5,1),"x0x1x2x3x4x5x6x7x8x9"))),OR(6&gt;LEN(B455),MID(B455,6,1)=".",ISNUMBER(FIND("x"&amp;MID(B455,6,1),"x0x1x2x3x4x5x6x7x8x9"))),OR(7&gt;LEN(B455),MID(B455,7,1)=".",ISNUMBER(FIND("x"&amp;MID(B455,7,1),"x0x1x2x3x4x5x6x7x8x9"))),OR(8&gt;LEN(B455),MID(B455,8,1)=".",ISNUMBER(FIND("x"&amp;MID(B455,8,1),"x0x1x2x3x4x5x6x7x8x9"))),OR(9&gt;LEN(B455),MID(B455,9,1)=".",ISNUMBER(FIND("x"&amp;MID(B455,9,1),"x0x1x2x3x4x5x6x7x8x9"))),OR(10&gt;LEN(B455),MID(B455,10,1)=".",ISNUMBER(FIND("x"&amp;MID(B455,10,1),"x0x1x2x3x4x5x6x7x8x9"))),OR(AND(FIND(".",B455)=5,LEN(B455)-FIND(".",B455,FIND(".",B455)+1)&gt;=1,LEN(B455)-FIND(".",B455,FIND(".",B455)+1)&lt;=2),AND(LEN(B455)-FIND(".",B455,FIND(".",B455)+1)=4,FIND(".",B455)&gt;=2,FIND(".",B455)&lt;=3)),FIND(".",B455,FIND(".",B455)+1)-FIND(".",B455)&gt;=2,FIND(".",B455,FIND(".",B455)+1)-FIND(".",B455)&lt;=3,F455&gt;=2000,F455&lt;=2100,YEAR(I455)=F455,MONTH(I455)=G455,DAY(I455)=H455),I455,0)),0)</ns0:f>
        <ns0:v>0</ns0:v>
      </ns0:c>
      <ns0:c r="K455" s="0">
        <ns0:f>IFERROR(IF(ISNUMBER(Bookings!D455),"",TRIM(Bookings!D455&amp;"")),"")</ns0:f>
      </ns0:c>
      <ns0:c r="L455" s="0">
        <ns0:f>IFERROR(SUBSTITUTE(SUBSTITUTE(K455,"/","."),"-","."),"")</ns0:f>
      </ns0:c>
      <ns0:c r="M455" s="0">
        <ns0:f>IFERROR(LEFT(L455,FIND(".",L455)-1),"")</ns0:f>
      </ns0:c>
      <ns0:c r="N455" s="0">
        <ns0:f>IFERROR(MID(L455,FIND(".",L455)+1,FIND(".",L455,FIND(".",L455)+1)-FIND(".",L455)-1),"")</ns0:f>
      </ns0:c>
      <ns0:c r="O455" s="0">
        <ns0:f>IFERROR(MID(L455,FIND(".",L455,FIND(".",L455)+1)+1,99),"")</ns0:f>
        <ns0:v>99</ns0:v>
      </ns0:c>
      <ns0:c r="P455" s="0">
        <ns0:f>IFERROR(IF(FIND(".",L455)=5,--M455,--O455),0)</ns0:f>
        <ns0:v>0</ns0:v>
      </ns0:c>
      <ns0:c r="Q455" s="0">
        <ns0:f>IFERROR(--N455,0)</ns0:f>
        <ns0:v>0</ns0:v>
      </ns0:c>
      <ns0:c r="R455" s="0">
        <ns0:f>IFERROR(IF(FIND(".",L455)=5,--O455,--M455),0)</ns0:f>
        <ns0:v>0</ns0:v>
      </ns0:c>
      <ns0:c r="S455" s="0">
        <ns0:f>IFERROR(IF(AND(P455&gt;=2000,P455&lt;=2100,Q455&gt;=1,Q455&lt;=12,R455&gt;=1,R455&lt;=31),DATE(P455,Q455,R455),0),0)</ns0:f>
        <ns0:v>0</ns0:v>
      </ns0:c>
      <ns0:c r="T455" s="0">
        <ns0:f>IFERROR(IF(ISNUMBER(Bookings!D455),IF(AND(Bookings!D455=INT(Bookings!D455),Bookings!D455&gt;=DATE(2000,1,1),Bookings!D455&lt;=DATE(2100,12,31)),Bookings!D455,0),IF(AND(K455&lt;&gt;"",LEN("x"&amp;L455)-LEN(SUBSTITUTE("x"&amp;L455,".",""))=2,OR(1&gt;LEN(L455),MID(L455,1,1)=".",ISNUMBER(FIND("x"&amp;MID(L455,1,1),"x0x1x2x3x4x5x6x7x8x9"))),OR(2&gt;LEN(L455),MID(L455,2,1)=".",ISNUMBER(FIND("x"&amp;MID(L455,2,1),"x0x1x2x3x4x5x6x7x8x9"))),OR(3&gt;LEN(L455),MID(L455,3,1)=".",ISNUMBER(FIND("x"&amp;MID(L455,3,1),"x0x1x2x3x4x5x6x7x8x9"))),OR(4&gt;LEN(L455),MID(L455,4,1)=".",ISNUMBER(FIND("x"&amp;MID(L455,4,1),"x0x1x2x3x4x5x6x7x8x9"))),OR(5&gt;LEN(L455),MID(L455,5,1)=".",ISNUMBER(FIND("x"&amp;MID(L455,5,1),"x0x1x2x3x4x5x6x7x8x9"))),OR(6&gt;LEN(L455),MID(L455,6,1)=".",ISNUMBER(FIND("x"&amp;MID(L455,6,1),"x0x1x2x3x4x5x6x7x8x9"))),OR(7&gt;LEN(L455),MID(L455,7,1)=".",ISNUMBER(FIND("x"&amp;MID(L455,7,1),"x0x1x2x3x4x5x6x7x8x9"))),OR(8&gt;LEN(L455),MID(L455,8,1)=".",ISNUMBER(FIND("x"&amp;MID(L455,8,1),"x0x1x2x3x4x5x6x7x8x9"))),OR(9&gt;LEN(L455),MID(L455,9,1)=".",ISNUMBER(FIND("x"&amp;MID(L455,9,1),"x0x1x2x3x4x5x6x7x8x9"))),OR(10&gt;LEN(L455),MID(L455,10,1)=".",ISNUMBER(FIND("x"&amp;MID(L455,10,1),"x0x1x2x3x4x5x6x7x8x9"))),OR(AND(FIND(".",L455)=5,LEN(L455)-FIND(".",L455,FIND(".",L455)+1)&gt;=1,LEN(L455)-FIND(".",L455,FIND(".",L455)+1)&lt;=2),AND(LEN(L455)-FIND(".",L455,FIND(".",L455)+1)=4,FIND(".",L455)&gt;=2,FIND(".",L455)&lt;=3)),FIND(".",L455,FIND(".",L455)+1)-FIND(".",L455)&gt;=2,FIND(".",L455,FIND(".",L455)+1)-FIND(".",L455)&lt;=3,P455&gt;=2000,P455&lt;=2100,YEAR(S455)=P455,MONTH(S455)=Q455,DAY(S455)=R455),S455,0)),0)</ns0:f>
        <ns0:v>0</ns0:v>
      </ns0:c>
      <ns0:c r="U455" s="0" t="str">
        <ns0:f>IF(Bookings!C455="","Full day",Bookings!C455)</ns0:f>
        <ns0:v>Full day</ns0:v>
      </ns0:c>
      <ns0:c r="V455" s="0" t="str">
        <ns0:f>IF(Bookings!E455="","Full day",Bookings!E455)</ns0:f>
        <ns0:v>Full day</ns0:v>
      </ns0:c>
      <ns0:c r="W455" s="0">
        <ns0:f>IF(J455=0,0,J455+IF(U455="PM",1,0))</ns0:f>
        <ns0:v>0</ns0:v>
      </ns0:c>
      <ns0:c r="X455" s="0">
        <ns0:f>IF(T455=0,0,T455-IF(V455="PM",1,0))</ns0:f>
        <ns0:v>0</ns0:v>
      </ns0:c>
      <ns0:c r="Y455" s="0">
        <ns0:f>IF(J455=0,0,J455+IF(U455="AM",1,0))</ns0:f>
        <ns0:v>0</ns0:v>
      </ns0:c>
      <ns0:c r="Z455" s="0">
        <ns0:f>IF(T455=0,0,T455-IF(V455="AM",1,0))</ns0:f>
        <ns0:v>0</ns0:v>
      </ns0:c>
      <ns0:c r="AA455" s="0">
        <ns0:f>IFERROR(IF(AND(J455&gt;0,'_Engine'!C455&gt;0,MID('_Engine'!W455,WEEKDAY(J455,2),1)="W",COUNTIF(Settings!$F$18:$F$67,J455)=0),1,0),0)</ns0:f>
        <ns0:v>0</ns0:v>
      </ns0:c>
      <ns0:c r="AB455" s="0">
        <ns0:f>IFERROR(IF(AND(T455&gt;0,'_Engine'!C455&gt;0,MID('_Engine'!W455,WEEKDAY(T455,2),1)="W",COUNTIF(Settings!$F$18:$F$67,T455)=0),1,0),0)</ns0:f>
        <ns0:v>0</ns0:v>
      </ns0:c>
      <ns0:c r="AC455" s="0">
        <ns0:f>IF(AND(J455&gt;0,T455&gt;0,W455&lt;=X455),1,0)</ns0:f>
        <ns0:v>0</ns0:v>
      </ns0:c>
      <ns0:c r="AD455" s="0">
        <ns0:f>IF(AND(J455&gt;0,T455&gt;0,Y455&lt;=Z455),1,0)</ns0:f>
        <ns0:v>0</ns0:v>
      </ns0:c>
    </ns0:row>
    <ns0:row r="456">
      <ns0:c r="A456" s="0">
        <ns0:f>IFERROR(IF(ISNUMBER(Bookings!B456),"",TRIM(Bookings!B456&amp;"")),"")</ns0:f>
      </ns0:c>
      <ns0:c r="B456" s="0">
        <ns0:f>IFERROR(SUBSTITUTE(SUBSTITUTE(A456,"/","."),"-","."),"")</ns0:f>
      </ns0:c>
      <ns0:c r="C456" s="0">
        <ns0:f>IFERROR(LEFT(B456,FIND(".",B456)-1),"")</ns0:f>
      </ns0:c>
      <ns0:c r="D456" s="0">
        <ns0:f>IFERROR(MID(B456,FIND(".",B456)+1,FIND(".",B456,FIND(".",B456)+1)-FIND(".",B456)-1),"")</ns0:f>
      </ns0:c>
      <ns0:c r="E456" s="0">
        <ns0:f>IFERROR(MID(B456,FIND(".",B456,FIND(".",B456)+1)+1,99),"")</ns0:f>
        <ns0:v>99</ns0:v>
      </ns0:c>
      <ns0:c r="F456" s="0">
        <ns0:f>IFERROR(IF(FIND(".",B456)=5,--C456,--E456),0)</ns0:f>
        <ns0:v>0</ns0:v>
      </ns0:c>
      <ns0:c r="G456" s="0">
        <ns0:f>IFERROR(--D456,0)</ns0:f>
        <ns0:v>0</ns0:v>
      </ns0:c>
      <ns0:c r="H456" s="0">
        <ns0:f>IFERROR(IF(FIND(".",B456)=5,--E456,--C456),0)</ns0:f>
        <ns0:v>0</ns0:v>
      </ns0:c>
      <ns0:c r="I456" s="0">
        <ns0:f>IFERROR(IF(AND(F456&gt;=2000,F456&lt;=2100,G456&gt;=1,G456&lt;=12,H456&gt;=1,H456&lt;=31),DATE(F456,G456,H456),0),0)</ns0:f>
        <ns0:v>0</ns0:v>
      </ns0:c>
      <ns0:c r="J456" s="0">
        <ns0:f>IFERROR(IF(ISNUMBER(Bookings!B456),IF(AND(Bookings!B456=INT(Bookings!B456),Bookings!B456&gt;=DATE(2000,1,1),Bookings!B456&lt;=DATE(2100,12,31)),Bookings!B456,0),IF(AND(A456&lt;&gt;"",LEN("x"&amp;B456)-LEN(SUBSTITUTE("x"&amp;B456,".",""))=2,OR(1&gt;LEN(B456),MID(B456,1,1)=".",ISNUMBER(FIND("x"&amp;MID(B456,1,1),"x0x1x2x3x4x5x6x7x8x9"))),OR(2&gt;LEN(B456),MID(B456,2,1)=".",ISNUMBER(FIND("x"&amp;MID(B456,2,1),"x0x1x2x3x4x5x6x7x8x9"))),OR(3&gt;LEN(B456),MID(B456,3,1)=".",ISNUMBER(FIND("x"&amp;MID(B456,3,1),"x0x1x2x3x4x5x6x7x8x9"))),OR(4&gt;LEN(B456),MID(B456,4,1)=".",ISNUMBER(FIND("x"&amp;MID(B456,4,1),"x0x1x2x3x4x5x6x7x8x9"))),OR(5&gt;LEN(B456),MID(B456,5,1)=".",ISNUMBER(FIND("x"&amp;MID(B456,5,1),"x0x1x2x3x4x5x6x7x8x9"))),OR(6&gt;LEN(B456),MID(B456,6,1)=".",ISNUMBER(FIND("x"&amp;MID(B456,6,1),"x0x1x2x3x4x5x6x7x8x9"))),OR(7&gt;LEN(B456),MID(B456,7,1)=".",ISNUMBER(FIND("x"&amp;MID(B456,7,1),"x0x1x2x3x4x5x6x7x8x9"))),OR(8&gt;LEN(B456),MID(B456,8,1)=".",ISNUMBER(FIND("x"&amp;MID(B456,8,1),"x0x1x2x3x4x5x6x7x8x9"))),OR(9&gt;LEN(B456),MID(B456,9,1)=".",ISNUMBER(FIND("x"&amp;MID(B456,9,1),"x0x1x2x3x4x5x6x7x8x9"))),OR(10&gt;LEN(B456),MID(B456,10,1)=".",ISNUMBER(FIND("x"&amp;MID(B456,10,1),"x0x1x2x3x4x5x6x7x8x9"))),OR(AND(FIND(".",B456)=5,LEN(B456)-FIND(".",B456,FIND(".",B456)+1)&gt;=1,LEN(B456)-FIND(".",B456,FIND(".",B456)+1)&lt;=2),AND(LEN(B456)-FIND(".",B456,FIND(".",B456)+1)=4,FIND(".",B456)&gt;=2,FIND(".",B456)&lt;=3)),FIND(".",B456,FIND(".",B456)+1)-FIND(".",B456)&gt;=2,FIND(".",B456,FIND(".",B456)+1)-FIND(".",B456)&lt;=3,F456&gt;=2000,F456&lt;=2100,YEAR(I456)=F456,MONTH(I456)=G456,DAY(I456)=H456),I456,0)),0)</ns0:f>
        <ns0:v>0</ns0:v>
      </ns0:c>
      <ns0:c r="K456" s="0">
        <ns0:f>IFERROR(IF(ISNUMBER(Bookings!D456),"",TRIM(Bookings!D456&amp;"")),"")</ns0:f>
      </ns0:c>
      <ns0:c r="L456" s="0">
        <ns0:f>IFERROR(SUBSTITUTE(SUBSTITUTE(K456,"/","."),"-","."),"")</ns0:f>
      </ns0:c>
      <ns0:c r="M456" s="0">
        <ns0:f>IFERROR(LEFT(L456,FIND(".",L456)-1),"")</ns0:f>
      </ns0:c>
      <ns0:c r="N456" s="0">
        <ns0:f>IFERROR(MID(L456,FIND(".",L456)+1,FIND(".",L456,FIND(".",L456)+1)-FIND(".",L456)-1),"")</ns0:f>
      </ns0:c>
      <ns0:c r="O456" s="0">
        <ns0:f>IFERROR(MID(L456,FIND(".",L456,FIND(".",L456)+1)+1,99),"")</ns0:f>
        <ns0:v>99</ns0:v>
      </ns0:c>
      <ns0:c r="P456" s="0">
        <ns0:f>IFERROR(IF(FIND(".",L456)=5,--M456,--O456),0)</ns0:f>
        <ns0:v>0</ns0:v>
      </ns0:c>
      <ns0:c r="Q456" s="0">
        <ns0:f>IFERROR(--N456,0)</ns0:f>
        <ns0:v>0</ns0:v>
      </ns0:c>
      <ns0:c r="R456" s="0">
        <ns0:f>IFERROR(IF(FIND(".",L456)=5,--O456,--M456),0)</ns0:f>
        <ns0:v>0</ns0:v>
      </ns0:c>
      <ns0:c r="S456" s="0">
        <ns0:f>IFERROR(IF(AND(P456&gt;=2000,P456&lt;=2100,Q456&gt;=1,Q456&lt;=12,R456&gt;=1,R456&lt;=31),DATE(P456,Q456,R456),0),0)</ns0:f>
        <ns0:v>0</ns0:v>
      </ns0:c>
      <ns0:c r="T456" s="0">
        <ns0:f>IFERROR(IF(ISNUMBER(Bookings!D456),IF(AND(Bookings!D456=INT(Bookings!D456),Bookings!D456&gt;=DATE(2000,1,1),Bookings!D456&lt;=DATE(2100,12,31)),Bookings!D456,0),IF(AND(K456&lt;&gt;"",LEN("x"&amp;L456)-LEN(SUBSTITUTE("x"&amp;L456,".",""))=2,OR(1&gt;LEN(L456),MID(L456,1,1)=".",ISNUMBER(FIND("x"&amp;MID(L456,1,1),"x0x1x2x3x4x5x6x7x8x9"))),OR(2&gt;LEN(L456),MID(L456,2,1)=".",ISNUMBER(FIND("x"&amp;MID(L456,2,1),"x0x1x2x3x4x5x6x7x8x9"))),OR(3&gt;LEN(L456),MID(L456,3,1)=".",ISNUMBER(FIND("x"&amp;MID(L456,3,1),"x0x1x2x3x4x5x6x7x8x9"))),OR(4&gt;LEN(L456),MID(L456,4,1)=".",ISNUMBER(FIND("x"&amp;MID(L456,4,1),"x0x1x2x3x4x5x6x7x8x9"))),OR(5&gt;LEN(L456),MID(L456,5,1)=".",ISNUMBER(FIND("x"&amp;MID(L456,5,1),"x0x1x2x3x4x5x6x7x8x9"))),OR(6&gt;LEN(L456),MID(L456,6,1)=".",ISNUMBER(FIND("x"&amp;MID(L456,6,1),"x0x1x2x3x4x5x6x7x8x9"))),OR(7&gt;LEN(L456),MID(L456,7,1)=".",ISNUMBER(FIND("x"&amp;MID(L456,7,1),"x0x1x2x3x4x5x6x7x8x9"))),OR(8&gt;LEN(L456),MID(L456,8,1)=".",ISNUMBER(FIND("x"&amp;MID(L456,8,1),"x0x1x2x3x4x5x6x7x8x9"))),OR(9&gt;LEN(L456),MID(L456,9,1)=".",ISNUMBER(FIND("x"&amp;MID(L456,9,1),"x0x1x2x3x4x5x6x7x8x9"))),OR(10&gt;LEN(L456),MID(L456,10,1)=".",ISNUMBER(FIND("x"&amp;MID(L456,10,1),"x0x1x2x3x4x5x6x7x8x9"))),OR(AND(FIND(".",L456)=5,LEN(L456)-FIND(".",L456,FIND(".",L456)+1)&gt;=1,LEN(L456)-FIND(".",L456,FIND(".",L456)+1)&lt;=2),AND(LEN(L456)-FIND(".",L456,FIND(".",L456)+1)=4,FIND(".",L456)&gt;=2,FIND(".",L456)&lt;=3)),FIND(".",L456,FIND(".",L456)+1)-FIND(".",L456)&gt;=2,FIND(".",L456,FIND(".",L456)+1)-FIND(".",L456)&lt;=3,P456&gt;=2000,P456&lt;=2100,YEAR(S456)=P456,MONTH(S456)=Q456,DAY(S456)=R456),S456,0)),0)</ns0:f>
        <ns0:v>0</ns0:v>
      </ns0:c>
      <ns0:c r="U456" s="0" t="str">
        <ns0:f>IF(Bookings!C456="","Full day",Bookings!C456)</ns0:f>
        <ns0:v>Full day</ns0:v>
      </ns0:c>
      <ns0:c r="V456" s="0" t="str">
        <ns0:f>IF(Bookings!E456="","Full day",Bookings!E456)</ns0:f>
        <ns0:v>Full day</ns0:v>
      </ns0:c>
      <ns0:c r="W456" s="0">
        <ns0:f>IF(J456=0,0,J456+IF(U456="PM",1,0))</ns0:f>
        <ns0:v>0</ns0:v>
      </ns0:c>
      <ns0:c r="X456" s="0">
        <ns0:f>IF(T456=0,0,T456-IF(V456="PM",1,0))</ns0:f>
        <ns0:v>0</ns0:v>
      </ns0:c>
      <ns0:c r="Y456" s="0">
        <ns0:f>IF(J456=0,0,J456+IF(U456="AM",1,0))</ns0:f>
        <ns0:v>0</ns0:v>
      </ns0:c>
      <ns0:c r="Z456" s="0">
        <ns0:f>IF(T456=0,0,T456-IF(V456="AM",1,0))</ns0:f>
        <ns0:v>0</ns0:v>
      </ns0:c>
      <ns0:c r="AA456" s="0">
        <ns0:f>IFERROR(IF(AND(J456&gt;0,'_Engine'!C456&gt;0,MID('_Engine'!W456,WEEKDAY(J456,2),1)="W",COUNTIF(Settings!$F$18:$F$67,J456)=0),1,0),0)</ns0:f>
        <ns0:v>0</ns0:v>
      </ns0:c>
      <ns0:c r="AB456" s="0">
        <ns0:f>IFERROR(IF(AND(T456&gt;0,'_Engine'!C456&gt;0,MID('_Engine'!W456,WEEKDAY(T456,2),1)="W",COUNTIF(Settings!$F$18:$F$67,T456)=0),1,0),0)</ns0:f>
        <ns0:v>0</ns0:v>
      </ns0:c>
      <ns0:c r="AC456" s="0">
        <ns0:f>IF(AND(J456&gt;0,T456&gt;0,W456&lt;=X456),1,0)</ns0:f>
        <ns0:v>0</ns0:v>
      </ns0:c>
      <ns0:c r="AD456" s="0">
        <ns0:f>IF(AND(J456&gt;0,T456&gt;0,Y456&lt;=Z456),1,0)</ns0:f>
        <ns0:v>0</ns0:v>
      </ns0:c>
    </ns0:row>
    <ns0:row r="457">
      <ns0:c r="A457" s="0">
        <ns0:f>IFERROR(IF(ISNUMBER(Bookings!B457),"",TRIM(Bookings!B457&amp;"")),"")</ns0:f>
      </ns0:c>
      <ns0:c r="B457" s="0">
        <ns0:f>IFERROR(SUBSTITUTE(SUBSTITUTE(A457,"/","."),"-","."),"")</ns0:f>
      </ns0:c>
      <ns0:c r="C457" s="0">
        <ns0:f>IFERROR(LEFT(B457,FIND(".",B457)-1),"")</ns0:f>
      </ns0:c>
      <ns0:c r="D457" s="0">
        <ns0:f>IFERROR(MID(B457,FIND(".",B457)+1,FIND(".",B457,FIND(".",B457)+1)-FIND(".",B457)-1),"")</ns0:f>
      </ns0:c>
      <ns0:c r="E457" s="0">
        <ns0:f>IFERROR(MID(B457,FIND(".",B457,FIND(".",B457)+1)+1,99),"")</ns0:f>
        <ns0:v>99</ns0:v>
      </ns0:c>
      <ns0:c r="F457" s="0">
        <ns0:f>IFERROR(IF(FIND(".",B457)=5,--C457,--E457),0)</ns0:f>
        <ns0:v>0</ns0:v>
      </ns0:c>
      <ns0:c r="G457" s="0">
        <ns0:f>IFERROR(--D457,0)</ns0:f>
        <ns0:v>0</ns0:v>
      </ns0:c>
      <ns0:c r="H457" s="0">
        <ns0:f>IFERROR(IF(FIND(".",B457)=5,--E457,--C457),0)</ns0:f>
        <ns0:v>0</ns0:v>
      </ns0:c>
      <ns0:c r="I457" s="0">
        <ns0:f>IFERROR(IF(AND(F457&gt;=2000,F457&lt;=2100,G457&gt;=1,G457&lt;=12,H457&gt;=1,H457&lt;=31),DATE(F457,G457,H457),0),0)</ns0:f>
        <ns0:v>0</ns0:v>
      </ns0:c>
      <ns0:c r="J457" s="0">
        <ns0:f>IFERROR(IF(ISNUMBER(Bookings!B457),IF(AND(Bookings!B457=INT(Bookings!B457),Bookings!B457&gt;=DATE(2000,1,1),Bookings!B457&lt;=DATE(2100,12,31)),Bookings!B457,0),IF(AND(A457&lt;&gt;"",LEN("x"&amp;B457)-LEN(SUBSTITUTE("x"&amp;B457,".",""))=2,OR(1&gt;LEN(B457),MID(B457,1,1)=".",ISNUMBER(FIND("x"&amp;MID(B457,1,1),"x0x1x2x3x4x5x6x7x8x9"))),OR(2&gt;LEN(B457),MID(B457,2,1)=".",ISNUMBER(FIND("x"&amp;MID(B457,2,1),"x0x1x2x3x4x5x6x7x8x9"))),OR(3&gt;LEN(B457),MID(B457,3,1)=".",ISNUMBER(FIND("x"&amp;MID(B457,3,1),"x0x1x2x3x4x5x6x7x8x9"))),OR(4&gt;LEN(B457),MID(B457,4,1)=".",ISNUMBER(FIND("x"&amp;MID(B457,4,1),"x0x1x2x3x4x5x6x7x8x9"))),OR(5&gt;LEN(B457),MID(B457,5,1)=".",ISNUMBER(FIND("x"&amp;MID(B457,5,1),"x0x1x2x3x4x5x6x7x8x9"))),OR(6&gt;LEN(B457),MID(B457,6,1)=".",ISNUMBER(FIND("x"&amp;MID(B457,6,1),"x0x1x2x3x4x5x6x7x8x9"))),OR(7&gt;LEN(B457),MID(B457,7,1)=".",ISNUMBER(FIND("x"&amp;MID(B457,7,1),"x0x1x2x3x4x5x6x7x8x9"))),OR(8&gt;LEN(B457),MID(B457,8,1)=".",ISNUMBER(FIND("x"&amp;MID(B457,8,1),"x0x1x2x3x4x5x6x7x8x9"))),OR(9&gt;LEN(B457),MID(B457,9,1)=".",ISNUMBER(FIND("x"&amp;MID(B457,9,1),"x0x1x2x3x4x5x6x7x8x9"))),OR(10&gt;LEN(B457),MID(B457,10,1)=".",ISNUMBER(FIND("x"&amp;MID(B457,10,1),"x0x1x2x3x4x5x6x7x8x9"))),OR(AND(FIND(".",B457)=5,LEN(B457)-FIND(".",B457,FIND(".",B457)+1)&gt;=1,LEN(B457)-FIND(".",B457,FIND(".",B457)+1)&lt;=2),AND(LEN(B457)-FIND(".",B457,FIND(".",B457)+1)=4,FIND(".",B457)&gt;=2,FIND(".",B457)&lt;=3)),FIND(".",B457,FIND(".",B457)+1)-FIND(".",B457)&gt;=2,FIND(".",B457,FIND(".",B457)+1)-FIND(".",B457)&lt;=3,F457&gt;=2000,F457&lt;=2100,YEAR(I457)=F457,MONTH(I457)=G457,DAY(I457)=H457),I457,0)),0)</ns0:f>
        <ns0:v>0</ns0:v>
      </ns0:c>
      <ns0:c r="K457" s="0">
        <ns0:f>IFERROR(IF(ISNUMBER(Bookings!D457),"",TRIM(Bookings!D457&amp;"")),"")</ns0:f>
      </ns0:c>
      <ns0:c r="L457" s="0">
        <ns0:f>IFERROR(SUBSTITUTE(SUBSTITUTE(K457,"/","."),"-","."),"")</ns0:f>
      </ns0:c>
      <ns0:c r="M457" s="0">
        <ns0:f>IFERROR(LEFT(L457,FIND(".",L457)-1),"")</ns0:f>
      </ns0:c>
      <ns0:c r="N457" s="0">
        <ns0:f>IFERROR(MID(L457,FIND(".",L457)+1,FIND(".",L457,FIND(".",L457)+1)-FIND(".",L457)-1),"")</ns0:f>
      </ns0:c>
      <ns0:c r="O457" s="0">
        <ns0:f>IFERROR(MID(L457,FIND(".",L457,FIND(".",L457)+1)+1,99),"")</ns0:f>
        <ns0:v>99</ns0:v>
      </ns0:c>
      <ns0:c r="P457" s="0">
        <ns0:f>IFERROR(IF(FIND(".",L457)=5,--M457,--O457),0)</ns0:f>
        <ns0:v>0</ns0:v>
      </ns0:c>
      <ns0:c r="Q457" s="0">
        <ns0:f>IFERROR(--N457,0)</ns0:f>
        <ns0:v>0</ns0:v>
      </ns0:c>
      <ns0:c r="R457" s="0">
        <ns0:f>IFERROR(IF(FIND(".",L457)=5,--O457,--M457),0)</ns0:f>
        <ns0:v>0</ns0:v>
      </ns0:c>
      <ns0:c r="S457" s="0">
        <ns0:f>IFERROR(IF(AND(P457&gt;=2000,P457&lt;=2100,Q457&gt;=1,Q457&lt;=12,R457&gt;=1,R457&lt;=31),DATE(P457,Q457,R457),0),0)</ns0:f>
        <ns0:v>0</ns0:v>
      </ns0:c>
      <ns0:c r="T457" s="0">
        <ns0:f>IFERROR(IF(ISNUMBER(Bookings!D457),IF(AND(Bookings!D457=INT(Bookings!D457),Bookings!D457&gt;=DATE(2000,1,1),Bookings!D457&lt;=DATE(2100,12,31)),Bookings!D457,0),IF(AND(K457&lt;&gt;"",LEN("x"&amp;L457)-LEN(SUBSTITUTE("x"&amp;L457,".",""))=2,OR(1&gt;LEN(L457),MID(L457,1,1)=".",ISNUMBER(FIND("x"&amp;MID(L457,1,1),"x0x1x2x3x4x5x6x7x8x9"))),OR(2&gt;LEN(L457),MID(L457,2,1)=".",ISNUMBER(FIND("x"&amp;MID(L457,2,1),"x0x1x2x3x4x5x6x7x8x9"))),OR(3&gt;LEN(L457),MID(L457,3,1)=".",ISNUMBER(FIND("x"&amp;MID(L457,3,1),"x0x1x2x3x4x5x6x7x8x9"))),OR(4&gt;LEN(L457),MID(L457,4,1)=".",ISNUMBER(FIND("x"&amp;MID(L457,4,1),"x0x1x2x3x4x5x6x7x8x9"))),OR(5&gt;LEN(L457),MID(L457,5,1)=".",ISNUMBER(FIND("x"&amp;MID(L457,5,1),"x0x1x2x3x4x5x6x7x8x9"))),OR(6&gt;LEN(L457),MID(L457,6,1)=".",ISNUMBER(FIND("x"&amp;MID(L457,6,1),"x0x1x2x3x4x5x6x7x8x9"))),OR(7&gt;LEN(L457),MID(L457,7,1)=".",ISNUMBER(FIND("x"&amp;MID(L457,7,1),"x0x1x2x3x4x5x6x7x8x9"))),OR(8&gt;LEN(L457),MID(L457,8,1)=".",ISNUMBER(FIND("x"&amp;MID(L457,8,1),"x0x1x2x3x4x5x6x7x8x9"))),OR(9&gt;LEN(L457),MID(L457,9,1)=".",ISNUMBER(FIND("x"&amp;MID(L457,9,1),"x0x1x2x3x4x5x6x7x8x9"))),OR(10&gt;LEN(L457),MID(L457,10,1)=".",ISNUMBER(FIND("x"&amp;MID(L457,10,1),"x0x1x2x3x4x5x6x7x8x9"))),OR(AND(FIND(".",L457)=5,LEN(L457)-FIND(".",L457,FIND(".",L457)+1)&gt;=1,LEN(L457)-FIND(".",L457,FIND(".",L457)+1)&lt;=2),AND(LEN(L457)-FIND(".",L457,FIND(".",L457)+1)=4,FIND(".",L457)&gt;=2,FIND(".",L457)&lt;=3)),FIND(".",L457,FIND(".",L457)+1)-FIND(".",L457)&gt;=2,FIND(".",L457,FIND(".",L457)+1)-FIND(".",L457)&lt;=3,P457&gt;=2000,P457&lt;=2100,YEAR(S457)=P457,MONTH(S457)=Q457,DAY(S457)=R457),S457,0)),0)</ns0:f>
        <ns0:v>0</ns0:v>
      </ns0:c>
      <ns0:c r="U457" s="0" t="str">
        <ns0:f>IF(Bookings!C457="","Full day",Bookings!C457)</ns0:f>
        <ns0:v>Full day</ns0:v>
      </ns0:c>
      <ns0:c r="V457" s="0" t="str">
        <ns0:f>IF(Bookings!E457="","Full day",Bookings!E457)</ns0:f>
        <ns0:v>Full day</ns0:v>
      </ns0:c>
      <ns0:c r="W457" s="0">
        <ns0:f>IF(J457=0,0,J457+IF(U457="PM",1,0))</ns0:f>
        <ns0:v>0</ns0:v>
      </ns0:c>
      <ns0:c r="X457" s="0">
        <ns0:f>IF(T457=0,0,T457-IF(V457="PM",1,0))</ns0:f>
        <ns0:v>0</ns0:v>
      </ns0:c>
      <ns0:c r="Y457" s="0">
        <ns0:f>IF(J457=0,0,J457+IF(U457="AM",1,0))</ns0:f>
        <ns0:v>0</ns0:v>
      </ns0:c>
      <ns0:c r="Z457" s="0">
        <ns0:f>IF(T457=0,0,T457-IF(V457="AM",1,0))</ns0:f>
        <ns0:v>0</ns0:v>
      </ns0:c>
      <ns0:c r="AA457" s="0">
        <ns0:f>IFERROR(IF(AND(J457&gt;0,'_Engine'!C457&gt;0,MID('_Engine'!W457,WEEKDAY(J457,2),1)="W",COUNTIF(Settings!$F$18:$F$67,J457)=0),1,0),0)</ns0:f>
        <ns0:v>0</ns0:v>
      </ns0:c>
      <ns0:c r="AB457" s="0">
        <ns0:f>IFERROR(IF(AND(T457&gt;0,'_Engine'!C457&gt;0,MID('_Engine'!W457,WEEKDAY(T457,2),1)="W",COUNTIF(Settings!$F$18:$F$67,T457)=0),1,0),0)</ns0:f>
        <ns0:v>0</ns0:v>
      </ns0:c>
      <ns0:c r="AC457" s="0">
        <ns0:f>IF(AND(J457&gt;0,T457&gt;0,W457&lt;=X457),1,0)</ns0:f>
        <ns0:v>0</ns0:v>
      </ns0:c>
      <ns0:c r="AD457" s="0">
        <ns0:f>IF(AND(J457&gt;0,T457&gt;0,Y457&lt;=Z457),1,0)</ns0:f>
        <ns0:v>0</ns0:v>
      </ns0:c>
    </ns0:row>
    <ns0:row r="458">
      <ns0:c r="A458" s="0">
        <ns0:f>IFERROR(IF(ISNUMBER(Bookings!B458),"",TRIM(Bookings!B458&amp;"")),"")</ns0:f>
      </ns0:c>
      <ns0:c r="B458" s="0">
        <ns0:f>IFERROR(SUBSTITUTE(SUBSTITUTE(A458,"/","."),"-","."),"")</ns0:f>
      </ns0:c>
      <ns0:c r="C458" s="0">
        <ns0:f>IFERROR(LEFT(B458,FIND(".",B458)-1),"")</ns0:f>
      </ns0:c>
      <ns0:c r="D458" s="0">
        <ns0:f>IFERROR(MID(B458,FIND(".",B458)+1,FIND(".",B458,FIND(".",B458)+1)-FIND(".",B458)-1),"")</ns0:f>
      </ns0:c>
      <ns0:c r="E458" s="0">
        <ns0:f>IFERROR(MID(B458,FIND(".",B458,FIND(".",B458)+1)+1,99),"")</ns0:f>
        <ns0:v>99</ns0:v>
      </ns0:c>
      <ns0:c r="F458" s="0">
        <ns0:f>IFERROR(IF(FIND(".",B458)=5,--C458,--E458),0)</ns0:f>
        <ns0:v>0</ns0:v>
      </ns0:c>
      <ns0:c r="G458" s="0">
        <ns0:f>IFERROR(--D458,0)</ns0:f>
        <ns0:v>0</ns0:v>
      </ns0:c>
      <ns0:c r="H458" s="0">
        <ns0:f>IFERROR(IF(FIND(".",B458)=5,--E458,--C458),0)</ns0:f>
        <ns0:v>0</ns0:v>
      </ns0:c>
      <ns0:c r="I458" s="0">
        <ns0:f>IFERROR(IF(AND(F458&gt;=2000,F458&lt;=2100,G458&gt;=1,G458&lt;=12,H458&gt;=1,H458&lt;=31),DATE(F458,G458,H458),0),0)</ns0:f>
        <ns0:v>0</ns0:v>
      </ns0:c>
      <ns0:c r="J458" s="0">
        <ns0:f>IFERROR(IF(ISNUMBER(Bookings!B458),IF(AND(Bookings!B458=INT(Bookings!B458),Bookings!B458&gt;=DATE(2000,1,1),Bookings!B458&lt;=DATE(2100,12,31)),Bookings!B458,0),IF(AND(A458&lt;&gt;"",LEN("x"&amp;B458)-LEN(SUBSTITUTE("x"&amp;B458,".",""))=2,OR(1&gt;LEN(B458),MID(B458,1,1)=".",ISNUMBER(FIND("x"&amp;MID(B458,1,1),"x0x1x2x3x4x5x6x7x8x9"))),OR(2&gt;LEN(B458),MID(B458,2,1)=".",ISNUMBER(FIND("x"&amp;MID(B458,2,1),"x0x1x2x3x4x5x6x7x8x9"))),OR(3&gt;LEN(B458),MID(B458,3,1)=".",ISNUMBER(FIND("x"&amp;MID(B458,3,1),"x0x1x2x3x4x5x6x7x8x9"))),OR(4&gt;LEN(B458),MID(B458,4,1)=".",ISNUMBER(FIND("x"&amp;MID(B458,4,1),"x0x1x2x3x4x5x6x7x8x9"))),OR(5&gt;LEN(B458),MID(B458,5,1)=".",ISNUMBER(FIND("x"&amp;MID(B458,5,1),"x0x1x2x3x4x5x6x7x8x9"))),OR(6&gt;LEN(B458),MID(B458,6,1)=".",ISNUMBER(FIND("x"&amp;MID(B458,6,1),"x0x1x2x3x4x5x6x7x8x9"))),OR(7&gt;LEN(B458),MID(B458,7,1)=".",ISNUMBER(FIND("x"&amp;MID(B458,7,1),"x0x1x2x3x4x5x6x7x8x9"))),OR(8&gt;LEN(B458),MID(B458,8,1)=".",ISNUMBER(FIND("x"&amp;MID(B458,8,1),"x0x1x2x3x4x5x6x7x8x9"))),OR(9&gt;LEN(B458),MID(B458,9,1)=".",ISNUMBER(FIND("x"&amp;MID(B458,9,1),"x0x1x2x3x4x5x6x7x8x9"))),OR(10&gt;LEN(B458),MID(B458,10,1)=".",ISNUMBER(FIND("x"&amp;MID(B458,10,1),"x0x1x2x3x4x5x6x7x8x9"))),OR(AND(FIND(".",B458)=5,LEN(B458)-FIND(".",B458,FIND(".",B458)+1)&gt;=1,LEN(B458)-FIND(".",B458,FIND(".",B458)+1)&lt;=2),AND(LEN(B458)-FIND(".",B458,FIND(".",B458)+1)=4,FIND(".",B458)&gt;=2,FIND(".",B458)&lt;=3)),FIND(".",B458,FIND(".",B458)+1)-FIND(".",B458)&gt;=2,FIND(".",B458,FIND(".",B458)+1)-FIND(".",B458)&lt;=3,F458&gt;=2000,F458&lt;=2100,YEAR(I458)=F458,MONTH(I458)=G458,DAY(I458)=H458),I458,0)),0)</ns0:f>
        <ns0:v>0</ns0:v>
      </ns0:c>
      <ns0:c r="K458" s="0">
        <ns0:f>IFERROR(IF(ISNUMBER(Bookings!D458),"",TRIM(Bookings!D458&amp;"")),"")</ns0:f>
      </ns0:c>
      <ns0:c r="L458" s="0">
        <ns0:f>IFERROR(SUBSTITUTE(SUBSTITUTE(K458,"/","."),"-","."),"")</ns0:f>
      </ns0:c>
      <ns0:c r="M458" s="0">
        <ns0:f>IFERROR(LEFT(L458,FIND(".",L458)-1),"")</ns0:f>
      </ns0:c>
      <ns0:c r="N458" s="0">
        <ns0:f>IFERROR(MID(L458,FIND(".",L458)+1,FIND(".",L458,FIND(".",L458)+1)-FIND(".",L458)-1),"")</ns0:f>
      </ns0:c>
      <ns0:c r="O458" s="0">
        <ns0:f>IFERROR(MID(L458,FIND(".",L458,FIND(".",L458)+1)+1,99),"")</ns0:f>
        <ns0:v>99</ns0:v>
      </ns0:c>
      <ns0:c r="P458" s="0">
        <ns0:f>IFERROR(IF(FIND(".",L458)=5,--M458,--O458),0)</ns0:f>
        <ns0:v>0</ns0:v>
      </ns0:c>
      <ns0:c r="Q458" s="0">
        <ns0:f>IFERROR(--N458,0)</ns0:f>
        <ns0:v>0</ns0:v>
      </ns0:c>
      <ns0:c r="R458" s="0">
        <ns0:f>IFERROR(IF(FIND(".",L458)=5,--O458,--M458),0)</ns0:f>
        <ns0:v>0</ns0:v>
      </ns0:c>
      <ns0:c r="S458" s="0">
        <ns0:f>IFERROR(IF(AND(P458&gt;=2000,P458&lt;=2100,Q458&gt;=1,Q458&lt;=12,R458&gt;=1,R458&lt;=31),DATE(P458,Q458,R458),0),0)</ns0:f>
        <ns0:v>0</ns0:v>
      </ns0:c>
      <ns0:c r="T458" s="0">
        <ns0:f>IFERROR(IF(ISNUMBER(Bookings!D458),IF(AND(Bookings!D458=INT(Bookings!D458),Bookings!D458&gt;=DATE(2000,1,1),Bookings!D458&lt;=DATE(2100,12,31)),Bookings!D458,0),IF(AND(K458&lt;&gt;"",LEN("x"&amp;L458)-LEN(SUBSTITUTE("x"&amp;L458,".",""))=2,OR(1&gt;LEN(L458),MID(L458,1,1)=".",ISNUMBER(FIND("x"&amp;MID(L458,1,1),"x0x1x2x3x4x5x6x7x8x9"))),OR(2&gt;LEN(L458),MID(L458,2,1)=".",ISNUMBER(FIND("x"&amp;MID(L458,2,1),"x0x1x2x3x4x5x6x7x8x9"))),OR(3&gt;LEN(L458),MID(L458,3,1)=".",ISNUMBER(FIND("x"&amp;MID(L458,3,1),"x0x1x2x3x4x5x6x7x8x9"))),OR(4&gt;LEN(L458),MID(L458,4,1)=".",ISNUMBER(FIND("x"&amp;MID(L458,4,1),"x0x1x2x3x4x5x6x7x8x9"))),OR(5&gt;LEN(L458),MID(L458,5,1)=".",ISNUMBER(FIND("x"&amp;MID(L458,5,1),"x0x1x2x3x4x5x6x7x8x9"))),OR(6&gt;LEN(L458),MID(L458,6,1)=".",ISNUMBER(FIND("x"&amp;MID(L458,6,1),"x0x1x2x3x4x5x6x7x8x9"))),OR(7&gt;LEN(L458),MID(L458,7,1)=".",ISNUMBER(FIND("x"&amp;MID(L458,7,1),"x0x1x2x3x4x5x6x7x8x9"))),OR(8&gt;LEN(L458),MID(L458,8,1)=".",ISNUMBER(FIND("x"&amp;MID(L458,8,1),"x0x1x2x3x4x5x6x7x8x9"))),OR(9&gt;LEN(L458),MID(L458,9,1)=".",ISNUMBER(FIND("x"&amp;MID(L458,9,1),"x0x1x2x3x4x5x6x7x8x9"))),OR(10&gt;LEN(L458),MID(L458,10,1)=".",ISNUMBER(FIND("x"&amp;MID(L458,10,1),"x0x1x2x3x4x5x6x7x8x9"))),OR(AND(FIND(".",L458)=5,LEN(L458)-FIND(".",L458,FIND(".",L458)+1)&gt;=1,LEN(L458)-FIND(".",L458,FIND(".",L458)+1)&lt;=2),AND(LEN(L458)-FIND(".",L458,FIND(".",L458)+1)=4,FIND(".",L458)&gt;=2,FIND(".",L458)&lt;=3)),FIND(".",L458,FIND(".",L458)+1)-FIND(".",L458)&gt;=2,FIND(".",L458,FIND(".",L458)+1)-FIND(".",L458)&lt;=3,P458&gt;=2000,P458&lt;=2100,YEAR(S458)=P458,MONTH(S458)=Q458,DAY(S458)=R458),S458,0)),0)</ns0:f>
        <ns0:v>0</ns0:v>
      </ns0:c>
      <ns0:c r="U458" s="0" t="str">
        <ns0:f>IF(Bookings!C458="","Full day",Bookings!C458)</ns0:f>
        <ns0:v>Full day</ns0:v>
      </ns0:c>
      <ns0:c r="V458" s="0" t="str">
        <ns0:f>IF(Bookings!E458="","Full day",Bookings!E458)</ns0:f>
        <ns0:v>Full day</ns0:v>
      </ns0:c>
      <ns0:c r="W458" s="0">
        <ns0:f>IF(J458=0,0,J458+IF(U458="PM",1,0))</ns0:f>
        <ns0:v>0</ns0:v>
      </ns0:c>
      <ns0:c r="X458" s="0">
        <ns0:f>IF(T458=0,0,T458-IF(V458="PM",1,0))</ns0:f>
        <ns0:v>0</ns0:v>
      </ns0:c>
      <ns0:c r="Y458" s="0">
        <ns0:f>IF(J458=0,0,J458+IF(U458="AM",1,0))</ns0:f>
        <ns0:v>0</ns0:v>
      </ns0:c>
      <ns0:c r="Z458" s="0">
        <ns0:f>IF(T458=0,0,T458-IF(V458="AM",1,0))</ns0:f>
        <ns0:v>0</ns0:v>
      </ns0:c>
      <ns0:c r="AA458" s="0">
        <ns0:f>IFERROR(IF(AND(J458&gt;0,'_Engine'!C458&gt;0,MID('_Engine'!W458,WEEKDAY(J458,2),1)="W",COUNTIF(Settings!$F$18:$F$67,J458)=0),1,0),0)</ns0:f>
        <ns0:v>0</ns0:v>
      </ns0:c>
      <ns0:c r="AB458" s="0">
        <ns0:f>IFERROR(IF(AND(T458&gt;0,'_Engine'!C458&gt;0,MID('_Engine'!W458,WEEKDAY(T458,2),1)="W",COUNTIF(Settings!$F$18:$F$67,T458)=0),1,0),0)</ns0:f>
        <ns0:v>0</ns0:v>
      </ns0:c>
      <ns0:c r="AC458" s="0">
        <ns0:f>IF(AND(J458&gt;0,T458&gt;0,W458&lt;=X458),1,0)</ns0:f>
        <ns0:v>0</ns0:v>
      </ns0:c>
      <ns0:c r="AD458" s="0">
        <ns0:f>IF(AND(J458&gt;0,T458&gt;0,Y458&lt;=Z458),1,0)</ns0:f>
        <ns0:v>0</ns0:v>
      </ns0:c>
    </ns0:row>
    <ns0:row r="459">
      <ns0:c r="A459" s="0">
        <ns0:f>IFERROR(IF(ISNUMBER(Bookings!B459),"",TRIM(Bookings!B459&amp;"")),"")</ns0:f>
      </ns0:c>
      <ns0:c r="B459" s="0">
        <ns0:f>IFERROR(SUBSTITUTE(SUBSTITUTE(A459,"/","."),"-","."),"")</ns0:f>
      </ns0:c>
      <ns0:c r="C459" s="0">
        <ns0:f>IFERROR(LEFT(B459,FIND(".",B459)-1),"")</ns0:f>
      </ns0:c>
      <ns0:c r="D459" s="0">
        <ns0:f>IFERROR(MID(B459,FIND(".",B459)+1,FIND(".",B459,FIND(".",B459)+1)-FIND(".",B459)-1),"")</ns0:f>
      </ns0:c>
      <ns0:c r="E459" s="0">
        <ns0:f>IFERROR(MID(B459,FIND(".",B459,FIND(".",B459)+1)+1,99),"")</ns0:f>
        <ns0:v>99</ns0:v>
      </ns0:c>
      <ns0:c r="F459" s="0">
        <ns0:f>IFERROR(IF(FIND(".",B459)=5,--C459,--E459),0)</ns0:f>
        <ns0:v>0</ns0:v>
      </ns0:c>
      <ns0:c r="G459" s="0">
        <ns0:f>IFERROR(--D459,0)</ns0:f>
        <ns0:v>0</ns0:v>
      </ns0:c>
      <ns0:c r="H459" s="0">
        <ns0:f>IFERROR(IF(FIND(".",B459)=5,--E459,--C459),0)</ns0:f>
        <ns0:v>0</ns0:v>
      </ns0:c>
      <ns0:c r="I459" s="0">
        <ns0:f>IFERROR(IF(AND(F459&gt;=2000,F459&lt;=2100,G459&gt;=1,G459&lt;=12,H459&gt;=1,H459&lt;=31),DATE(F459,G459,H459),0),0)</ns0:f>
        <ns0:v>0</ns0:v>
      </ns0:c>
      <ns0:c r="J459" s="0">
        <ns0:f>IFERROR(IF(ISNUMBER(Bookings!B459),IF(AND(Bookings!B459=INT(Bookings!B459),Bookings!B459&gt;=DATE(2000,1,1),Bookings!B459&lt;=DATE(2100,12,31)),Bookings!B459,0),IF(AND(A459&lt;&gt;"",LEN("x"&amp;B459)-LEN(SUBSTITUTE("x"&amp;B459,".",""))=2,OR(1&gt;LEN(B459),MID(B459,1,1)=".",ISNUMBER(FIND("x"&amp;MID(B459,1,1),"x0x1x2x3x4x5x6x7x8x9"))),OR(2&gt;LEN(B459),MID(B459,2,1)=".",ISNUMBER(FIND("x"&amp;MID(B459,2,1),"x0x1x2x3x4x5x6x7x8x9"))),OR(3&gt;LEN(B459),MID(B459,3,1)=".",ISNUMBER(FIND("x"&amp;MID(B459,3,1),"x0x1x2x3x4x5x6x7x8x9"))),OR(4&gt;LEN(B459),MID(B459,4,1)=".",ISNUMBER(FIND("x"&amp;MID(B459,4,1),"x0x1x2x3x4x5x6x7x8x9"))),OR(5&gt;LEN(B459),MID(B459,5,1)=".",ISNUMBER(FIND("x"&amp;MID(B459,5,1),"x0x1x2x3x4x5x6x7x8x9"))),OR(6&gt;LEN(B459),MID(B459,6,1)=".",ISNUMBER(FIND("x"&amp;MID(B459,6,1),"x0x1x2x3x4x5x6x7x8x9"))),OR(7&gt;LEN(B459),MID(B459,7,1)=".",ISNUMBER(FIND("x"&amp;MID(B459,7,1),"x0x1x2x3x4x5x6x7x8x9"))),OR(8&gt;LEN(B459),MID(B459,8,1)=".",ISNUMBER(FIND("x"&amp;MID(B459,8,1),"x0x1x2x3x4x5x6x7x8x9"))),OR(9&gt;LEN(B459),MID(B459,9,1)=".",ISNUMBER(FIND("x"&amp;MID(B459,9,1),"x0x1x2x3x4x5x6x7x8x9"))),OR(10&gt;LEN(B459),MID(B459,10,1)=".",ISNUMBER(FIND("x"&amp;MID(B459,10,1),"x0x1x2x3x4x5x6x7x8x9"))),OR(AND(FIND(".",B459)=5,LEN(B459)-FIND(".",B459,FIND(".",B459)+1)&gt;=1,LEN(B459)-FIND(".",B459,FIND(".",B459)+1)&lt;=2),AND(LEN(B459)-FIND(".",B459,FIND(".",B459)+1)=4,FIND(".",B459)&gt;=2,FIND(".",B459)&lt;=3)),FIND(".",B459,FIND(".",B459)+1)-FIND(".",B459)&gt;=2,FIND(".",B459,FIND(".",B459)+1)-FIND(".",B459)&lt;=3,F459&gt;=2000,F459&lt;=2100,YEAR(I459)=F459,MONTH(I459)=G459,DAY(I459)=H459),I459,0)),0)</ns0:f>
        <ns0:v>0</ns0:v>
      </ns0:c>
      <ns0:c r="K459" s="0">
        <ns0:f>IFERROR(IF(ISNUMBER(Bookings!D459),"",TRIM(Bookings!D459&amp;"")),"")</ns0:f>
      </ns0:c>
      <ns0:c r="L459" s="0">
        <ns0:f>IFERROR(SUBSTITUTE(SUBSTITUTE(K459,"/","."),"-","."),"")</ns0:f>
      </ns0:c>
      <ns0:c r="M459" s="0">
        <ns0:f>IFERROR(LEFT(L459,FIND(".",L459)-1),"")</ns0:f>
      </ns0:c>
      <ns0:c r="N459" s="0">
        <ns0:f>IFERROR(MID(L459,FIND(".",L459)+1,FIND(".",L459,FIND(".",L459)+1)-FIND(".",L459)-1),"")</ns0:f>
      </ns0:c>
      <ns0:c r="O459" s="0">
        <ns0:f>IFERROR(MID(L459,FIND(".",L459,FIND(".",L459)+1)+1,99),"")</ns0:f>
        <ns0:v>99</ns0:v>
      </ns0:c>
      <ns0:c r="P459" s="0">
        <ns0:f>IFERROR(IF(FIND(".",L459)=5,--M459,--O459),0)</ns0:f>
        <ns0:v>0</ns0:v>
      </ns0:c>
      <ns0:c r="Q459" s="0">
        <ns0:f>IFERROR(--N459,0)</ns0:f>
        <ns0:v>0</ns0:v>
      </ns0:c>
      <ns0:c r="R459" s="0">
        <ns0:f>IFERROR(IF(FIND(".",L459)=5,--O459,--M459),0)</ns0:f>
        <ns0:v>0</ns0:v>
      </ns0:c>
      <ns0:c r="S459" s="0">
        <ns0:f>IFERROR(IF(AND(P459&gt;=2000,P459&lt;=2100,Q459&gt;=1,Q459&lt;=12,R459&gt;=1,R459&lt;=31),DATE(P459,Q459,R459),0),0)</ns0:f>
        <ns0:v>0</ns0:v>
      </ns0:c>
      <ns0:c r="T459" s="0">
        <ns0:f>IFERROR(IF(ISNUMBER(Bookings!D459),IF(AND(Bookings!D459=INT(Bookings!D459),Bookings!D459&gt;=DATE(2000,1,1),Bookings!D459&lt;=DATE(2100,12,31)),Bookings!D459,0),IF(AND(K459&lt;&gt;"",LEN("x"&amp;L459)-LEN(SUBSTITUTE("x"&amp;L459,".",""))=2,OR(1&gt;LEN(L459),MID(L459,1,1)=".",ISNUMBER(FIND("x"&amp;MID(L459,1,1),"x0x1x2x3x4x5x6x7x8x9"))),OR(2&gt;LEN(L459),MID(L459,2,1)=".",ISNUMBER(FIND("x"&amp;MID(L459,2,1),"x0x1x2x3x4x5x6x7x8x9"))),OR(3&gt;LEN(L459),MID(L459,3,1)=".",ISNUMBER(FIND("x"&amp;MID(L459,3,1),"x0x1x2x3x4x5x6x7x8x9"))),OR(4&gt;LEN(L459),MID(L459,4,1)=".",ISNUMBER(FIND("x"&amp;MID(L459,4,1),"x0x1x2x3x4x5x6x7x8x9"))),OR(5&gt;LEN(L459),MID(L459,5,1)=".",ISNUMBER(FIND("x"&amp;MID(L459,5,1),"x0x1x2x3x4x5x6x7x8x9"))),OR(6&gt;LEN(L459),MID(L459,6,1)=".",ISNUMBER(FIND("x"&amp;MID(L459,6,1),"x0x1x2x3x4x5x6x7x8x9"))),OR(7&gt;LEN(L459),MID(L459,7,1)=".",ISNUMBER(FIND("x"&amp;MID(L459,7,1),"x0x1x2x3x4x5x6x7x8x9"))),OR(8&gt;LEN(L459),MID(L459,8,1)=".",ISNUMBER(FIND("x"&amp;MID(L459,8,1),"x0x1x2x3x4x5x6x7x8x9"))),OR(9&gt;LEN(L459),MID(L459,9,1)=".",ISNUMBER(FIND("x"&amp;MID(L459,9,1),"x0x1x2x3x4x5x6x7x8x9"))),OR(10&gt;LEN(L459),MID(L459,10,1)=".",ISNUMBER(FIND("x"&amp;MID(L459,10,1),"x0x1x2x3x4x5x6x7x8x9"))),OR(AND(FIND(".",L459)=5,LEN(L459)-FIND(".",L459,FIND(".",L459)+1)&gt;=1,LEN(L459)-FIND(".",L459,FIND(".",L459)+1)&lt;=2),AND(LEN(L459)-FIND(".",L459,FIND(".",L459)+1)=4,FIND(".",L459)&gt;=2,FIND(".",L459)&lt;=3)),FIND(".",L459,FIND(".",L459)+1)-FIND(".",L459)&gt;=2,FIND(".",L459,FIND(".",L459)+1)-FIND(".",L459)&lt;=3,P459&gt;=2000,P459&lt;=2100,YEAR(S459)=P459,MONTH(S459)=Q459,DAY(S459)=R459),S459,0)),0)</ns0:f>
        <ns0:v>0</ns0:v>
      </ns0:c>
      <ns0:c r="U459" s="0" t="str">
        <ns0:f>IF(Bookings!C459="","Full day",Bookings!C459)</ns0:f>
        <ns0:v>Full day</ns0:v>
      </ns0:c>
      <ns0:c r="V459" s="0" t="str">
        <ns0:f>IF(Bookings!E459="","Full day",Bookings!E459)</ns0:f>
        <ns0:v>Full day</ns0:v>
      </ns0:c>
      <ns0:c r="W459" s="0">
        <ns0:f>IF(J459=0,0,J459+IF(U459="PM",1,0))</ns0:f>
        <ns0:v>0</ns0:v>
      </ns0:c>
      <ns0:c r="X459" s="0">
        <ns0:f>IF(T459=0,0,T459-IF(V459="PM",1,0))</ns0:f>
        <ns0:v>0</ns0:v>
      </ns0:c>
      <ns0:c r="Y459" s="0">
        <ns0:f>IF(J459=0,0,J459+IF(U459="AM",1,0))</ns0:f>
        <ns0:v>0</ns0:v>
      </ns0:c>
      <ns0:c r="Z459" s="0">
        <ns0:f>IF(T459=0,0,T459-IF(V459="AM",1,0))</ns0:f>
        <ns0:v>0</ns0:v>
      </ns0:c>
      <ns0:c r="AA459" s="0">
        <ns0:f>IFERROR(IF(AND(J459&gt;0,'_Engine'!C459&gt;0,MID('_Engine'!W459,WEEKDAY(J459,2),1)="W",COUNTIF(Settings!$F$18:$F$67,J459)=0),1,0),0)</ns0:f>
        <ns0:v>0</ns0:v>
      </ns0:c>
      <ns0:c r="AB459" s="0">
        <ns0:f>IFERROR(IF(AND(T459&gt;0,'_Engine'!C459&gt;0,MID('_Engine'!W459,WEEKDAY(T459,2),1)="W",COUNTIF(Settings!$F$18:$F$67,T459)=0),1,0),0)</ns0:f>
        <ns0:v>0</ns0:v>
      </ns0:c>
      <ns0:c r="AC459" s="0">
        <ns0:f>IF(AND(J459&gt;0,T459&gt;0,W459&lt;=X459),1,0)</ns0:f>
        <ns0:v>0</ns0:v>
      </ns0:c>
      <ns0:c r="AD459" s="0">
        <ns0:f>IF(AND(J459&gt;0,T459&gt;0,Y459&lt;=Z459),1,0)</ns0:f>
        <ns0:v>0</ns0:v>
      </ns0:c>
    </ns0:row>
    <ns0:row r="460">
      <ns0:c r="A460" s="0">
        <ns0:f>IFERROR(IF(ISNUMBER(Bookings!B460),"",TRIM(Bookings!B460&amp;"")),"")</ns0:f>
      </ns0:c>
      <ns0:c r="B460" s="0">
        <ns0:f>IFERROR(SUBSTITUTE(SUBSTITUTE(A460,"/","."),"-","."),"")</ns0:f>
      </ns0:c>
      <ns0:c r="C460" s="0">
        <ns0:f>IFERROR(LEFT(B460,FIND(".",B460)-1),"")</ns0:f>
      </ns0:c>
      <ns0:c r="D460" s="0">
        <ns0:f>IFERROR(MID(B460,FIND(".",B460)+1,FIND(".",B460,FIND(".",B460)+1)-FIND(".",B460)-1),"")</ns0:f>
      </ns0:c>
      <ns0:c r="E460" s="0">
        <ns0:f>IFERROR(MID(B460,FIND(".",B460,FIND(".",B460)+1)+1,99),"")</ns0:f>
        <ns0:v>99</ns0:v>
      </ns0:c>
      <ns0:c r="F460" s="0">
        <ns0:f>IFERROR(IF(FIND(".",B460)=5,--C460,--E460),0)</ns0:f>
        <ns0:v>0</ns0:v>
      </ns0:c>
      <ns0:c r="G460" s="0">
        <ns0:f>IFERROR(--D460,0)</ns0:f>
        <ns0:v>0</ns0:v>
      </ns0:c>
      <ns0:c r="H460" s="0">
        <ns0:f>IFERROR(IF(FIND(".",B460)=5,--E460,--C460),0)</ns0:f>
        <ns0:v>0</ns0:v>
      </ns0:c>
      <ns0:c r="I460" s="0">
        <ns0:f>IFERROR(IF(AND(F460&gt;=2000,F460&lt;=2100,G460&gt;=1,G460&lt;=12,H460&gt;=1,H460&lt;=31),DATE(F460,G460,H460),0),0)</ns0:f>
        <ns0:v>0</ns0:v>
      </ns0:c>
      <ns0:c r="J460" s="0">
        <ns0:f>IFERROR(IF(ISNUMBER(Bookings!B460),IF(AND(Bookings!B460=INT(Bookings!B460),Bookings!B460&gt;=DATE(2000,1,1),Bookings!B460&lt;=DATE(2100,12,31)),Bookings!B460,0),IF(AND(A460&lt;&gt;"",LEN("x"&amp;B460)-LEN(SUBSTITUTE("x"&amp;B460,".",""))=2,OR(1&gt;LEN(B460),MID(B460,1,1)=".",ISNUMBER(FIND("x"&amp;MID(B460,1,1),"x0x1x2x3x4x5x6x7x8x9"))),OR(2&gt;LEN(B460),MID(B460,2,1)=".",ISNUMBER(FIND("x"&amp;MID(B460,2,1),"x0x1x2x3x4x5x6x7x8x9"))),OR(3&gt;LEN(B460),MID(B460,3,1)=".",ISNUMBER(FIND("x"&amp;MID(B460,3,1),"x0x1x2x3x4x5x6x7x8x9"))),OR(4&gt;LEN(B460),MID(B460,4,1)=".",ISNUMBER(FIND("x"&amp;MID(B460,4,1),"x0x1x2x3x4x5x6x7x8x9"))),OR(5&gt;LEN(B460),MID(B460,5,1)=".",ISNUMBER(FIND("x"&amp;MID(B460,5,1),"x0x1x2x3x4x5x6x7x8x9"))),OR(6&gt;LEN(B460),MID(B460,6,1)=".",ISNUMBER(FIND("x"&amp;MID(B460,6,1),"x0x1x2x3x4x5x6x7x8x9"))),OR(7&gt;LEN(B460),MID(B460,7,1)=".",ISNUMBER(FIND("x"&amp;MID(B460,7,1),"x0x1x2x3x4x5x6x7x8x9"))),OR(8&gt;LEN(B460),MID(B460,8,1)=".",ISNUMBER(FIND("x"&amp;MID(B460,8,1),"x0x1x2x3x4x5x6x7x8x9"))),OR(9&gt;LEN(B460),MID(B460,9,1)=".",ISNUMBER(FIND("x"&amp;MID(B460,9,1),"x0x1x2x3x4x5x6x7x8x9"))),OR(10&gt;LEN(B460),MID(B460,10,1)=".",ISNUMBER(FIND("x"&amp;MID(B460,10,1),"x0x1x2x3x4x5x6x7x8x9"))),OR(AND(FIND(".",B460)=5,LEN(B460)-FIND(".",B460,FIND(".",B460)+1)&gt;=1,LEN(B460)-FIND(".",B460,FIND(".",B460)+1)&lt;=2),AND(LEN(B460)-FIND(".",B460,FIND(".",B460)+1)=4,FIND(".",B460)&gt;=2,FIND(".",B460)&lt;=3)),FIND(".",B460,FIND(".",B460)+1)-FIND(".",B460)&gt;=2,FIND(".",B460,FIND(".",B460)+1)-FIND(".",B460)&lt;=3,F460&gt;=2000,F460&lt;=2100,YEAR(I460)=F460,MONTH(I460)=G460,DAY(I460)=H460),I460,0)),0)</ns0:f>
        <ns0:v>0</ns0:v>
      </ns0:c>
      <ns0:c r="K460" s="0">
        <ns0:f>IFERROR(IF(ISNUMBER(Bookings!D460),"",TRIM(Bookings!D460&amp;"")),"")</ns0:f>
      </ns0:c>
      <ns0:c r="L460" s="0">
        <ns0:f>IFERROR(SUBSTITUTE(SUBSTITUTE(K460,"/","."),"-","."),"")</ns0:f>
      </ns0:c>
      <ns0:c r="M460" s="0">
        <ns0:f>IFERROR(LEFT(L460,FIND(".",L460)-1),"")</ns0:f>
      </ns0:c>
      <ns0:c r="N460" s="0">
        <ns0:f>IFERROR(MID(L460,FIND(".",L460)+1,FIND(".",L460,FIND(".",L460)+1)-FIND(".",L460)-1),"")</ns0:f>
      </ns0:c>
      <ns0:c r="O460" s="0">
        <ns0:f>IFERROR(MID(L460,FIND(".",L460,FIND(".",L460)+1)+1,99),"")</ns0:f>
        <ns0:v>99</ns0:v>
      </ns0:c>
      <ns0:c r="P460" s="0">
        <ns0:f>IFERROR(IF(FIND(".",L460)=5,--M460,--O460),0)</ns0:f>
        <ns0:v>0</ns0:v>
      </ns0:c>
      <ns0:c r="Q460" s="0">
        <ns0:f>IFERROR(--N460,0)</ns0:f>
        <ns0:v>0</ns0:v>
      </ns0:c>
      <ns0:c r="R460" s="0">
        <ns0:f>IFERROR(IF(FIND(".",L460)=5,--O460,--M460),0)</ns0:f>
        <ns0:v>0</ns0:v>
      </ns0:c>
      <ns0:c r="S460" s="0">
        <ns0:f>IFERROR(IF(AND(P460&gt;=2000,P460&lt;=2100,Q460&gt;=1,Q460&lt;=12,R460&gt;=1,R460&lt;=31),DATE(P460,Q460,R460),0),0)</ns0:f>
        <ns0:v>0</ns0:v>
      </ns0:c>
      <ns0:c r="T460" s="0">
        <ns0:f>IFERROR(IF(ISNUMBER(Bookings!D460),IF(AND(Bookings!D460=INT(Bookings!D460),Bookings!D460&gt;=DATE(2000,1,1),Bookings!D460&lt;=DATE(2100,12,31)),Bookings!D460,0),IF(AND(K460&lt;&gt;"",LEN("x"&amp;L460)-LEN(SUBSTITUTE("x"&amp;L460,".",""))=2,OR(1&gt;LEN(L460),MID(L460,1,1)=".",ISNUMBER(FIND("x"&amp;MID(L460,1,1),"x0x1x2x3x4x5x6x7x8x9"))),OR(2&gt;LEN(L460),MID(L460,2,1)=".",ISNUMBER(FIND("x"&amp;MID(L460,2,1),"x0x1x2x3x4x5x6x7x8x9"))),OR(3&gt;LEN(L460),MID(L460,3,1)=".",ISNUMBER(FIND("x"&amp;MID(L460,3,1),"x0x1x2x3x4x5x6x7x8x9"))),OR(4&gt;LEN(L460),MID(L460,4,1)=".",ISNUMBER(FIND("x"&amp;MID(L460,4,1),"x0x1x2x3x4x5x6x7x8x9"))),OR(5&gt;LEN(L460),MID(L460,5,1)=".",ISNUMBER(FIND("x"&amp;MID(L460,5,1),"x0x1x2x3x4x5x6x7x8x9"))),OR(6&gt;LEN(L460),MID(L460,6,1)=".",ISNUMBER(FIND("x"&amp;MID(L460,6,1),"x0x1x2x3x4x5x6x7x8x9"))),OR(7&gt;LEN(L460),MID(L460,7,1)=".",ISNUMBER(FIND("x"&amp;MID(L460,7,1),"x0x1x2x3x4x5x6x7x8x9"))),OR(8&gt;LEN(L460),MID(L460,8,1)=".",ISNUMBER(FIND("x"&amp;MID(L460,8,1),"x0x1x2x3x4x5x6x7x8x9"))),OR(9&gt;LEN(L460),MID(L460,9,1)=".",ISNUMBER(FIND("x"&amp;MID(L460,9,1),"x0x1x2x3x4x5x6x7x8x9"))),OR(10&gt;LEN(L460),MID(L460,10,1)=".",ISNUMBER(FIND("x"&amp;MID(L460,10,1),"x0x1x2x3x4x5x6x7x8x9"))),OR(AND(FIND(".",L460)=5,LEN(L460)-FIND(".",L460,FIND(".",L460)+1)&gt;=1,LEN(L460)-FIND(".",L460,FIND(".",L460)+1)&lt;=2),AND(LEN(L460)-FIND(".",L460,FIND(".",L460)+1)=4,FIND(".",L460)&gt;=2,FIND(".",L460)&lt;=3)),FIND(".",L460,FIND(".",L460)+1)-FIND(".",L460)&gt;=2,FIND(".",L460,FIND(".",L460)+1)-FIND(".",L460)&lt;=3,P460&gt;=2000,P460&lt;=2100,YEAR(S460)=P460,MONTH(S460)=Q460,DAY(S460)=R460),S460,0)),0)</ns0:f>
        <ns0:v>0</ns0:v>
      </ns0:c>
      <ns0:c r="U460" s="0" t="str">
        <ns0:f>IF(Bookings!C460="","Full day",Bookings!C460)</ns0:f>
        <ns0:v>Full day</ns0:v>
      </ns0:c>
      <ns0:c r="V460" s="0" t="str">
        <ns0:f>IF(Bookings!E460="","Full day",Bookings!E460)</ns0:f>
        <ns0:v>Full day</ns0:v>
      </ns0:c>
      <ns0:c r="W460" s="0">
        <ns0:f>IF(J460=0,0,J460+IF(U460="PM",1,0))</ns0:f>
        <ns0:v>0</ns0:v>
      </ns0:c>
      <ns0:c r="X460" s="0">
        <ns0:f>IF(T460=0,0,T460-IF(V460="PM",1,0))</ns0:f>
        <ns0:v>0</ns0:v>
      </ns0:c>
      <ns0:c r="Y460" s="0">
        <ns0:f>IF(J460=0,0,J460+IF(U460="AM",1,0))</ns0:f>
        <ns0:v>0</ns0:v>
      </ns0:c>
      <ns0:c r="Z460" s="0">
        <ns0:f>IF(T460=0,0,T460-IF(V460="AM",1,0))</ns0:f>
        <ns0:v>0</ns0:v>
      </ns0:c>
      <ns0:c r="AA460" s="0">
        <ns0:f>IFERROR(IF(AND(J460&gt;0,'_Engine'!C460&gt;0,MID('_Engine'!W460,WEEKDAY(J460,2),1)="W",COUNTIF(Settings!$F$18:$F$67,J460)=0),1,0),0)</ns0:f>
        <ns0:v>0</ns0:v>
      </ns0:c>
      <ns0:c r="AB460" s="0">
        <ns0:f>IFERROR(IF(AND(T460&gt;0,'_Engine'!C460&gt;0,MID('_Engine'!W460,WEEKDAY(T460,2),1)="W",COUNTIF(Settings!$F$18:$F$67,T460)=0),1,0),0)</ns0:f>
        <ns0:v>0</ns0:v>
      </ns0:c>
      <ns0:c r="AC460" s="0">
        <ns0:f>IF(AND(J460&gt;0,T460&gt;0,W460&lt;=X460),1,0)</ns0:f>
        <ns0:v>0</ns0:v>
      </ns0:c>
      <ns0:c r="AD460" s="0">
        <ns0:f>IF(AND(J460&gt;0,T460&gt;0,Y460&lt;=Z460),1,0)</ns0:f>
        <ns0:v>0</ns0:v>
      </ns0:c>
    </ns0:row>
    <ns0:row r="461">
      <ns0:c r="A461" s="0">
        <ns0:f>IFERROR(IF(ISNUMBER(Bookings!B461),"",TRIM(Bookings!B461&amp;"")),"")</ns0:f>
      </ns0:c>
      <ns0:c r="B461" s="0">
        <ns0:f>IFERROR(SUBSTITUTE(SUBSTITUTE(A461,"/","."),"-","."),"")</ns0:f>
      </ns0:c>
      <ns0:c r="C461" s="0">
        <ns0:f>IFERROR(LEFT(B461,FIND(".",B461)-1),"")</ns0:f>
      </ns0:c>
      <ns0:c r="D461" s="0">
        <ns0:f>IFERROR(MID(B461,FIND(".",B461)+1,FIND(".",B461,FIND(".",B461)+1)-FIND(".",B461)-1),"")</ns0:f>
      </ns0:c>
      <ns0:c r="E461" s="0">
        <ns0:f>IFERROR(MID(B461,FIND(".",B461,FIND(".",B461)+1)+1,99),"")</ns0:f>
        <ns0:v>99</ns0:v>
      </ns0:c>
      <ns0:c r="F461" s="0">
        <ns0:f>IFERROR(IF(FIND(".",B461)=5,--C461,--E461),0)</ns0:f>
        <ns0:v>0</ns0:v>
      </ns0:c>
      <ns0:c r="G461" s="0">
        <ns0:f>IFERROR(--D461,0)</ns0:f>
        <ns0:v>0</ns0:v>
      </ns0:c>
      <ns0:c r="H461" s="0">
        <ns0:f>IFERROR(IF(FIND(".",B461)=5,--E461,--C461),0)</ns0:f>
        <ns0:v>0</ns0:v>
      </ns0:c>
      <ns0:c r="I461" s="0">
        <ns0:f>IFERROR(IF(AND(F461&gt;=2000,F461&lt;=2100,G461&gt;=1,G461&lt;=12,H461&gt;=1,H461&lt;=31),DATE(F461,G461,H461),0),0)</ns0:f>
        <ns0:v>0</ns0:v>
      </ns0:c>
      <ns0:c r="J461" s="0">
        <ns0:f>IFERROR(IF(ISNUMBER(Bookings!B461),IF(AND(Bookings!B461=INT(Bookings!B461),Bookings!B461&gt;=DATE(2000,1,1),Bookings!B461&lt;=DATE(2100,12,31)),Bookings!B461,0),IF(AND(A461&lt;&gt;"",LEN("x"&amp;B461)-LEN(SUBSTITUTE("x"&amp;B461,".",""))=2,OR(1&gt;LEN(B461),MID(B461,1,1)=".",ISNUMBER(FIND("x"&amp;MID(B461,1,1),"x0x1x2x3x4x5x6x7x8x9"))),OR(2&gt;LEN(B461),MID(B461,2,1)=".",ISNUMBER(FIND("x"&amp;MID(B461,2,1),"x0x1x2x3x4x5x6x7x8x9"))),OR(3&gt;LEN(B461),MID(B461,3,1)=".",ISNUMBER(FIND("x"&amp;MID(B461,3,1),"x0x1x2x3x4x5x6x7x8x9"))),OR(4&gt;LEN(B461),MID(B461,4,1)=".",ISNUMBER(FIND("x"&amp;MID(B461,4,1),"x0x1x2x3x4x5x6x7x8x9"))),OR(5&gt;LEN(B461),MID(B461,5,1)=".",ISNUMBER(FIND("x"&amp;MID(B461,5,1),"x0x1x2x3x4x5x6x7x8x9"))),OR(6&gt;LEN(B461),MID(B461,6,1)=".",ISNUMBER(FIND("x"&amp;MID(B461,6,1),"x0x1x2x3x4x5x6x7x8x9"))),OR(7&gt;LEN(B461),MID(B461,7,1)=".",ISNUMBER(FIND("x"&amp;MID(B461,7,1),"x0x1x2x3x4x5x6x7x8x9"))),OR(8&gt;LEN(B461),MID(B461,8,1)=".",ISNUMBER(FIND("x"&amp;MID(B461,8,1),"x0x1x2x3x4x5x6x7x8x9"))),OR(9&gt;LEN(B461),MID(B461,9,1)=".",ISNUMBER(FIND("x"&amp;MID(B461,9,1),"x0x1x2x3x4x5x6x7x8x9"))),OR(10&gt;LEN(B461),MID(B461,10,1)=".",ISNUMBER(FIND("x"&amp;MID(B461,10,1),"x0x1x2x3x4x5x6x7x8x9"))),OR(AND(FIND(".",B461)=5,LEN(B461)-FIND(".",B461,FIND(".",B461)+1)&gt;=1,LEN(B461)-FIND(".",B461,FIND(".",B461)+1)&lt;=2),AND(LEN(B461)-FIND(".",B461,FIND(".",B461)+1)=4,FIND(".",B461)&gt;=2,FIND(".",B461)&lt;=3)),FIND(".",B461,FIND(".",B461)+1)-FIND(".",B461)&gt;=2,FIND(".",B461,FIND(".",B461)+1)-FIND(".",B461)&lt;=3,F461&gt;=2000,F461&lt;=2100,YEAR(I461)=F461,MONTH(I461)=G461,DAY(I461)=H461),I461,0)),0)</ns0:f>
        <ns0:v>0</ns0:v>
      </ns0:c>
      <ns0:c r="K461" s="0">
        <ns0:f>IFERROR(IF(ISNUMBER(Bookings!D461),"",TRIM(Bookings!D461&amp;"")),"")</ns0:f>
      </ns0:c>
      <ns0:c r="L461" s="0">
        <ns0:f>IFERROR(SUBSTITUTE(SUBSTITUTE(K461,"/","."),"-","."),"")</ns0:f>
      </ns0:c>
      <ns0:c r="M461" s="0">
        <ns0:f>IFERROR(LEFT(L461,FIND(".",L461)-1),"")</ns0:f>
      </ns0:c>
      <ns0:c r="N461" s="0">
        <ns0:f>IFERROR(MID(L461,FIND(".",L461)+1,FIND(".",L461,FIND(".",L461)+1)-FIND(".",L461)-1),"")</ns0:f>
      </ns0:c>
      <ns0:c r="O461" s="0">
        <ns0:f>IFERROR(MID(L461,FIND(".",L461,FIND(".",L461)+1)+1,99),"")</ns0:f>
        <ns0:v>99</ns0:v>
      </ns0:c>
      <ns0:c r="P461" s="0">
        <ns0:f>IFERROR(IF(FIND(".",L461)=5,--M461,--O461),0)</ns0:f>
        <ns0:v>0</ns0:v>
      </ns0:c>
      <ns0:c r="Q461" s="0">
        <ns0:f>IFERROR(--N461,0)</ns0:f>
        <ns0:v>0</ns0:v>
      </ns0:c>
      <ns0:c r="R461" s="0">
        <ns0:f>IFERROR(IF(FIND(".",L461)=5,--O461,--M461),0)</ns0:f>
        <ns0:v>0</ns0:v>
      </ns0:c>
      <ns0:c r="S461" s="0">
        <ns0:f>IFERROR(IF(AND(P461&gt;=2000,P461&lt;=2100,Q461&gt;=1,Q461&lt;=12,R461&gt;=1,R461&lt;=31),DATE(P461,Q461,R461),0),0)</ns0:f>
        <ns0:v>0</ns0:v>
      </ns0:c>
      <ns0:c r="T461" s="0">
        <ns0:f>IFERROR(IF(ISNUMBER(Bookings!D461),IF(AND(Bookings!D461=INT(Bookings!D461),Bookings!D461&gt;=DATE(2000,1,1),Bookings!D461&lt;=DATE(2100,12,31)),Bookings!D461,0),IF(AND(K461&lt;&gt;"",LEN("x"&amp;L461)-LEN(SUBSTITUTE("x"&amp;L461,".",""))=2,OR(1&gt;LEN(L461),MID(L461,1,1)=".",ISNUMBER(FIND("x"&amp;MID(L461,1,1),"x0x1x2x3x4x5x6x7x8x9"))),OR(2&gt;LEN(L461),MID(L461,2,1)=".",ISNUMBER(FIND("x"&amp;MID(L461,2,1),"x0x1x2x3x4x5x6x7x8x9"))),OR(3&gt;LEN(L461),MID(L461,3,1)=".",ISNUMBER(FIND("x"&amp;MID(L461,3,1),"x0x1x2x3x4x5x6x7x8x9"))),OR(4&gt;LEN(L461),MID(L461,4,1)=".",ISNUMBER(FIND("x"&amp;MID(L461,4,1),"x0x1x2x3x4x5x6x7x8x9"))),OR(5&gt;LEN(L461),MID(L461,5,1)=".",ISNUMBER(FIND("x"&amp;MID(L461,5,1),"x0x1x2x3x4x5x6x7x8x9"))),OR(6&gt;LEN(L461),MID(L461,6,1)=".",ISNUMBER(FIND("x"&amp;MID(L461,6,1),"x0x1x2x3x4x5x6x7x8x9"))),OR(7&gt;LEN(L461),MID(L461,7,1)=".",ISNUMBER(FIND("x"&amp;MID(L461,7,1),"x0x1x2x3x4x5x6x7x8x9"))),OR(8&gt;LEN(L461),MID(L461,8,1)=".",ISNUMBER(FIND("x"&amp;MID(L461,8,1),"x0x1x2x3x4x5x6x7x8x9"))),OR(9&gt;LEN(L461),MID(L461,9,1)=".",ISNUMBER(FIND("x"&amp;MID(L461,9,1),"x0x1x2x3x4x5x6x7x8x9"))),OR(10&gt;LEN(L461),MID(L461,10,1)=".",ISNUMBER(FIND("x"&amp;MID(L461,10,1),"x0x1x2x3x4x5x6x7x8x9"))),OR(AND(FIND(".",L461)=5,LEN(L461)-FIND(".",L461,FIND(".",L461)+1)&gt;=1,LEN(L461)-FIND(".",L461,FIND(".",L461)+1)&lt;=2),AND(LEN(L461)-FIND(".",L461,FIND(".",L461)+1)=4,FIND(".",L461)&gt;=2,FIND(".",L461)&lt;=3)),FIND(".",L461,FIND(".",L461)+1)-FIND(".",L461)&gt;=2,FIND(".",L461,FIND(".",L461)+1)-FIND(".",L461)&lt;=3,P461&gt;=2000,P461&lt;=2100,YEAR(S461)=P461,MONTH(S461)=Q461,DAY(S461)=R461),S461,0)),0)</ns0:f>
        <ns0:v>0</ns0:v>
      </ns0:c>
      <ns0:c r="U461" s="0" t="str">
        <ns0:f>IF(Bookings!C461="","Full day",Bookings!C461)</ns0:f>
        <ns0:v>Full day</ns0:v>
      </ns0:c>
      <ns0:c r="V461" s="0" t="str">
        <ns0:f>IF(Bookings!E461="","Full day",Bookings!E461)</ns0:f>
        <ns0:v>Full day</ns0:v>
      </ns0:c>
      <ns0:c r="W461" s="0">
        <ns0:f>IF(J461=0,0,J461+IF(U461="PM",1,0))</ns0:f>
        <ns0:v>0</ns0:v>
      </ns0:c>
      <ns0:c r="X461" s="0">
        <ns0:f>IF(T461=0,0,T461-IF(V461="PM",1,0))</ns0:f>
        <ns0:v>0</ns0:v>
      </ns0:c>
      <ns0:c r="Y461" s="0">
        <ns0:f>IF(J461=0,0,J461+IF(U461="AM",1,0))</ns0:f>
        <ns0:v>0</ns0:v>
      </ns0:c>
      <ns0:c r="Z461" s="0">
        <ns0:f>IF(T461=0,0,T461-IF(V461="AM",1,0))</ns0:f>
        <ns0:v>0</ns0:v>
      </ns0:c>
      <ns0:c r="AA461" s="0">
        <ns0:f>IFERROR(IF(AND(J461&gt;0,'_Engine'!C461&gt;0,MID('_Engine'!W461,WEEKDAY(J461,2),1)="W",COUNTIF(Settings!$F$18:$F$67,J461)=0),1,0),0)</ns0:f>
        <ns0:v>0</ns0:v>
      </ns0:c>
      <ns0:c r="AB461" s="0">
        <ns0:f>IFERROR(IF(AND(T461&gt;0,'_Engine'!C461&gt;0,MID('_Engine'!W461,WEEKDAY(T461,2),1)="W",COUNTIF(Settings!$F$18:$F$67,T461)=0),1,0),0)</ns0:f>
        <ns0:v>0</ns0:v>
      </ns0:c>
      <ns0:c r="AC461" s="0">
        <ns0:f>IF(AND(J461&gt;0,T461&gt;0,W461&lt;=X461),1,0)</ns0:f>
        <ns0:v>0</ns0:v>
      </ns0:c>
      <ns0:c r="AD461" s="0">
        <ns0:f>IF(AND(J461&gt;0,T461&gt;0,Y461&lt;=Z461),1,0)</ns0:f>
        <ns0:v>0</ns0:v>
      </ns0:c>
    </ns0:row>
    <ns0:row r="462">
      <ns0:c r="A462" s="0">
        <ns0:f>IFERROR(IF(ISNUMBER(Bookings!B462),"",TRIM(Bookings!B462&amp;"")),"")</ns0:f>
      </ns0:c>
      <ns0:c r="B462" s="0">
        <ns0:f>IFERROR(SUBSTITUTE(SUBSTITUTE(A462,"/","."),"-","."),"")</ns0:f>
      </ns0:c>
      <ns0:c r="C462" s="0">
        <ns0:f>IFERROR(LEFT(B462,FIND(".",B462)-1),"")</ns0:f>
      </ns0:c>
      <ns0:c r="D462" s="0">
        <ns0:f>IFERROR(MID(B462,FIND(".",B462)+1,FIND(".",B462,FIND(".",B462)+1)-FIND(".",B462)-1),"")</ns0:f>
      </ns0:c>
      <ns0:c r="E462" s="0">
        <ns0:f>IFERROR(MID(B462,FIND(".",B462,FIND(".",B462)+1)+1,99),"")</ns0:f>
        <ns0:v>99</ns0:v>
      </ns0:c>
      <ns0:c r="F462" s="0">
        <ns0:f>IFERROR(IF(FIND(".",B462)=5,--C462,--E462),0)</ns0:f>
        <ns0:v>0</ns0:v>
      </ns0:c>
      <ns0:c r="G462" s="0">
        <ns0:f>IFERROR(--D462,0)</ns0:f>
        <ns0:v>0</ns0:v>
      </ns0:c>
      <ns0:c r="H462" s="0">
        <ns0:f>IFERROR(IF(FIND(".",B462)=5,--E462,--C462),0)</ns0:f>
        <ns0:v>0</ns0:v>
      </ns0:c>
      <ns0:c r="I462" s="0">
        <ns0:f>IFERROR(IF(AND(F462&gt;=2000,F462&lt;=2100,G462&gt;=1,G462&lt;=12,H462&gt;=1,H462&lt;=31),DATE(F462,G462,H462),0),0)</ns0:f>
        <ns0:v>0</ns0:v>
      </ns0:c>
      <ns0:c r="J462" s="0">
        <ns0:f>IFERROR(IF(ISNUMBER(Bookings!B462),IF(AND(Bookings!B462=INT(Bookings!B462),Bookings!B462&gt;=DATE(2000,1,1),Bookings!B462&lt;=DATE(2100,12,31)),Bookings!B462,0),IF(AND(A462&lt;&gt;"",LEN("x"&amp;B462)-LEN(SUBSTITUTE("x"&amp;B462,".",""))=2,OR(1&gt;LEN(B462),MID(B462,1,1)=".",ISNUMBER(FIND("x"&amp;MID(B462,1,1),"x0x1x2x3x4x5x6x7x8x9"))),OR(2&gt;LEN(B462),MID(B462,2,1)=".",ISNUMBER(FIND("x"&amp;MID(B462,2,1),"x0x1x2x3x4x5x6x7x8x9"))),OR(3&gt;LEN(B462),MID(B462,3,1)=".",ISNUMBER(FIND("x"&amp;MID(B462,3,1),"x0x1x2x3x4x5x6x7x8x9"))),OR(4&gt;LEN(B462),MID(B462,4,1)=".",ISNUMBER(FIND("x"&amp;MID(B462,4,1),"x0x1x2x3x4x5x6x7x8x9"))),OR(5&gt;LEN(B462),MID(B462,5,1)=".",ISNUMBER(FIND("x"&amp;MID(B462,5,1),"x0x1x2x3x4x5x6x7x8x9"))),OR(6&gt;LEN(B462),MID(B462,6,1)=".",ISNUMBER(FIND("x"&amp;MID(B462,6,1),"x0x1x2x3x4x5x6x7x8x9"))),OR(7&gt;LEN(B462),MID(B462,7,1)=".",ISNUMBER(FIND("x"&amp;MID(B462,7,1),"x0x1x2x3x4x5x6x7x8x9"))),OR(8&gt;LEN(B462),MID(B462,8,1)=".",ISNUMBER(FIND("x"&amp;MID(B462,8,1),"x0x1x2x3x4x5x6x7x8x9"))),OR(9&gt;LEN(B462),MID(B462,9,1)=".",ISNUMBER(FIND("x"&amp;MID(B462,9,1),"x0x1x2x3x4x5x6x7x8x9"))),OR(10&gt;LEN(B462),MID(B462,10,1)=".",ISNUMBER(FIND("x"&amp;MID(B462,10,1),"x0x1x2x3x4x5x6x7x8x9"))),OR(AND(FIND(".",B462)=5,LEN(B462)-FIND(".",B462,FIND(".",B462)+1)&gt;=1,LEN(B462)-FIND(".",B462,FIND(".",B462)+1)&lt;=2),AND(LEN(B462)-FIND(".",B462,FIND(".",B462)+1)=4,FIND(".",B462)&gt;=2,FIND(".",B462)&lt;=3)),FIND(".",B462,FIND(".",B462)+1)-FIND(".",B462)&gt;=2,FIND(".",B462,FIND(".",B462)+1)-FIND(".",B462)&lt;=3,F462&gt;=2000,F462&lt;=2100,YEAR(I462)=F462,MONTH(I462)=G462,DAY(I462)=H462),I462,0)),0)</ns0:f>
        <ns0:v>0</ns0:v>
      </ns0:c>
      <ns0:c r="K462" s="0">
        <ns0:f>IFERROR(IF(ISNUMBER(Bookings!D462),"",TRIM(Bookings!D462&amp;"")),"")</ns0:f>
      </ns0:c>
      <ns0:c r="L462" s="0">
        <ns0:f>IFERROR(SUBSTITUTE(SUBSTITUTE(K462,"/","."),"-","."),"")</ns0:f>
      </ns0:c>
      <ns0:c r="M462" s="0">
        <ns0:f>IFERROR(LEFT(L462,FIND(".",L462)-1),"")</ns0:f>
      </ns0:c>
      <ns0:c r="N462" s="0">
        <ns0:f>IFERROR(MID(L462,FIND(".",L462)+1,FIND(".",L462,FIND(".",L462)+1)-FIND(".",L462)-1),"")</ns0:f>
      </ns0:c>
      <ns0:c r="O462" s="0">
        <ns0:f>IFERROR(MID(L462,FIND(".",L462,FIND(".",L462)+1)+1,99),"")</ns0:f>
        <ns0:v>99</ns0:v>
      </ns0:c>
      <ns0:c r="P462" s="0">
        <ns0:f>IFERROR(IF(FIND(".",L462)=5,--M462,--O462),0)</ns0:f>
        <ns0:v>0</ns0:v>
      </ns0:c>
      <ns0:c r="Q462" s="0">
        <ns0:f>IFERROR(--N462,0)</ns0:f>
        <ns0:v>0</ns0:v>
      </ns0:c>
      <ns0:c r="R462" s="0">
        <ns0:f>IFERROR(IF(FIND(".",L462)=5,--O462,--M462),0)</ns0:f>
        <ns0:v>0</ns0:v>
      </ns0:c>
      <ns0:c r="S462" s="0">
        <ns0:f>IFERROR(IF(AND(P462&gt;=2000,P462&lt;=2100,Q462&gt;=1,Q462&lt;=12,R462&gt;=1,R462&lt;=31),DATE(P462,Q462,R462),0),0)</ns0:f>
        <ns0:v>0</ns0:v>
      </ns0:c>
      <ns0:c r="T462" s="0">
        <ns0:f>IFERROR(IF(ISNUMBER(Bookings!D462),IF(AND(Bookings!D462=INT(Bookings!D462),Bookings!D462&gt;=DATE(2000,1,1),Bookings!D462&lt;=DATE(2100,12,31)),Bookings!D462,0),IF(AND(K462&lt;&gt;"",LEN("x"&amp;L462)-LEN(SUBSTITUTE("x"&amp;L462,".",""))=2,OR(1&gt;LEN(L462),MID(L462,1,1)=".",ISNUMBER(FIND("x"&amp;MID(L462,1,1),"x0x1x2x3x4x5x6x7x8x9"))),OR(2&gt;LEN(L462),MID(L462,2,1)=".",ISNUMBER(FIND("x"&amp;MID(L462,2,1),"x0x1x2x3x4x5x6x7x8x9"))),OR(3&gt;LEN(L462),MID(L462,3,1)=".",ISNUMBER(FIND("x"&amp;MID(L462,3,1),"x0x1x2x3x4x5x6x7x8x9"))),OR(4&gt;LEN(L462),MID(L462,4,1)=".",ISNUMBER(FIND("x"&amp;MID(L462,4,1),"x0x1x2x3x4x5x6x7x8x9"))),OR(5&gt;LEN(L462),MID(L462,5,1)=".",ISNUMBER(FIND("x"&amp;MID(L462,5,1),"x0x1x2x3x4x5x6x7x8x9"))),OR(6&gt;LEN(L462),MID(L462,6,1)=".",ISNUMBER(FIND("x"&amp;MID(L462,6,1),"x0x1x2x3x4x5x6x7x8x9"))),OR(7&gt;LEN(L462),MID(L462,7,1)=".",ISNUMBER(FIND("x"&amp;MID(L462,7,1),"x0x1x2x3x4x5x6x7x8x9"))),OR(8&gt;LEN(L462),MID(L462,8,1)=".",ISNUMBER(FIND("x"&amp;MID(L462,8,1),"x0x1x2x3x4x5x6x7x8x9"))),OR(9&gt;LEN(L462),MID(L462,9,1)=".",ISNUMBER(FIND("x"&amp;MID(L462,9,1),"x0x1x2x3x4x5x6x7x8x9"))),OR(10&gt;LEN(L462),MID(L462,10,1)=".",ISNUMBER(FIND("x"&amp;MID(L462,10,1),"x0x1x2x3x4x5x6x7x8x9"))),OR(AND(FIND(".",L462)=5,LEN(L462)-FIND(".",L462,FIND(".",L462)+1)&gt;=1,LEN(L462)-FIND(".",L462,FIND(".",L462)+1)&lt;=2),AND(LEN(L462)-FIND(".",L462,FIND(".",L462)+1)=4,FIND(".",L462)&gt;=2,FIND(".",L462)&lt;=3)),FIND(".",L462,FIND(".",L462)+1)-FIND(".",L462)&gt;=2,FIND(".",L462,FIND(".",L462)+1)-FIND(".",L462)&lt;=3,P462&gt;=2000,P462&lt;=2100,YEAR(S462)=P462,MONTH(S462)=Q462,DAY(S462)=R462),S462,0)),0)</ns0:f>
        <ns0:v>0</ns0:v>
      </ns0:c>
      <ns0:c r="U462" s="0" t="str">
        <ns0:f>IF(Bookings!C462="","Full day",Bookings!C462)</ns0:f>
        <ns0:v>Full day</ns0:v>
      </ns0:c>
      <ns0:c r="V462" s="0" t="str">
        <ns0:f>IF(Bookings!E462="","Full day",Bookings!E462)</ns0:f>
        <ns0:v>Full day</ns0:v>
      </ns0:c>
      <ns0:c r="W462" s="0">
        <ns0:f>IF(J462=0,0,J462+IF(U462="PM",1,0))</ns0:f>
        <ns0:v>0</ns0:v>
      </ns0:c>
      <ns0:c r="X462" s="0">
        <ns0:f>IF(T462=0,0,T462-IF(V462="PM",1,0))</ns0:f>
        <ns0:v>0</ns0:v>
      </ns0:c>
      <ns0:c r="Y462" s="0">
        <ns0:f>IF(J462=0,0,J462+IF(U462="AM",1,0))</ns0:f>
        <ns0:v>0</ns0:v>
      </ns0:c>
      <ns0:c r="Z462" s="0">
        <ns0:f>IF(T462=0,0,T462-IF(V462="AM",1,0))</ns0:f>
        <ns0:v>0</ns0:v>
      </ns0:c>
      <ns0:c r="AA462" s="0">
        <ns0:f>IFERROR(IF(AND(J462&gt;0,'_Engine'!C462&gt;0,MID('_Engine'!W462,WEEKDAY(J462,2),1)="W",COUNTIF(Settings!$F$18:$F$67,J462)=0),1,0),0)</ns0:f>
        <ns0:v>0</ns0:v>
      </ns0:c>
      <ns0:c r="AB462" s="0">
        <ns0:f>IFERROR(IF(AND(T462&gt;0,'_Engine'!C462&gt;0,MID('_Engine'!W462,WEEKDAY(T462,2),1)="W",COUNTIF(Settings!$F$18:$F$67,T462)=0),1,0),0)</ns0:f>
        <ns0:v>0</ns0:v>
      </ns0:c>
      <ns0:c r="AC462" s="0">
        <ns0:f>IF(AND(J462&gt;0,T462&gt;0,W462&lt;=X462),1,0)</ns0:f>
        <ns0:v>0</ns0:v>
      </ns0:c>
      <ns0:c r="AD462" s="0">
        <ns0:f>IF(AND(J462&gt;0,T462&gt;0,Y462&lt;=Z462),1,0)</ns0:f>
        <ns0:v>0</ns0:v>
      </ns0:c>
    </ns0:row>
    <ns0:row r="463">
      <ns0:c r="A463" s="0">
        <ns0:f>IFERROR(IF(ISNUMBER(Bookings!B463),"",TRIM(Bookings!B463&amp;"")),"")</ns0:f>
      </ns0:c>
      <ns0:c r="B463" s="0">
        <ns0:f>IFERROR(SUBSTITUTE(SUBSTITUTE(A463,"/","."),"-","."),"")</ns0:f>
      </ns0:c>
      <ns0:c r="C463" s="0">
        <ns0:f>IFERROR(LEFT(B463,FIND(".",B463)-1),"")</ns0:f>
      </ns0:c>
      <ns0:c r="D463" s="0">
        <ns0:f>IFERROR(MID(B463,FIND(".",B463)+1,FIND(".",B463,FIND(".",B463)+1)-FIND(".",B463)-1),"")</ns0:f>
      </ns0:c>
      <ns0:c r="E463" s="0">
        <ns0:f>IFERROR(MID(B463,FIND(".",B463,FIND(".",B463)+1)+1,99),"")</ns0:f>
        <ns0:v>99</ns0:v>
      </ns0:c>
      <ns0:c r="F463" s="0">
        <ns0:f>IFERROR(IF(FIND(".",B463)=5,--C463,--E463),0)</ns0:f>
        <ns0:v>0</ns0:v>
      </ns0:c>
      <ns0:c r="G463" s="0">
        <ns0:f>IFERROR(--D463,0)</ns0:f>
        <ns0:v>0</ns0:v>
      </ns0:c>
      <ns0:c r="H463" s="0">
        <ns0:f>IFERROR(IF(FIND(".",B463)=5,--E463,--C463),0)</ns0:f>
        <ns0:v>0</ns0:v>
      </ns0:c>
      <ns0:c r="I463" s="0">
        <ns0:f>IFERROR(IF(AND(F463&gt;=2000,F463&lt;=2100,G463&gt;=1,G463&lt;=12,H463&gt;=1,H463&lt;=31),DATE(F463,G463,H463),0),0)</ns0:f>
        <ns0:v>0</ns0:v>
      </ns0:c>
      <ns0:c r="J463" s="0">
        <ns0:f>IFERROR(IF(ISNUMBER(Bookings!B463),IF(AND(Bookings!B463=INT(Bookings!B463),Bookings!B463&gt;=DATE(2000,1,1),Bookings!B463&lt;=DATE(2100,12,31)),Bookings!B463,0),IF(AND(A463&lt;&gt;"",LEN("x"&amp;B463)-LEN(SUBSTITUTE("x"&amp;B463,".",""))=2,OR(1&gt;LEN(B463),MID(B463,1,1)=".",ISNUMBER(FIND("x"&amp;MID(B463,1,1),"x0x1x2x3x4x5x6x7x8x9"))),OR(2&gt;LEN(B463),MID(B463,2,1)=".",ISNUMBER(FIND("x"&amp;MID(B463,2,1),"x0x1x2x3x4x5x6x7x8x9"))),OR(3&gt;LEN(B463),MID(B463,3,1)=".",ISNUMBER(FIND("x"&amp;MID(B463,3,1),"x0x1x2x3x4x5x6x7x8x9"))),OR(4&gt;LEN(B463),MID(B463,4,1)=".",ISNUMBER(FIND("x"&amp;MID(B463,4,1),"x0x1x2x3x4x5x6x7x8x9"))),OR(5&gt;LEN(B463),MID(B463,5,1)=".",ISNUMBER(FIND("x"&amp;MID(B463,5,1),"x0x1x2x3x4x5x6x7x8x9"))),OR(6&gt;LEN(B463),MID(B463,6,1)=".",ISNUMBER(FIND("x"&amp;MID(B463,6,1),"x0x1x2x3x4x5x6x7x8x9"))),OR(7&gt;LEN(B463),MID(B463,7,1)=".",ISNUMBER(FIND("x"&amp;MID(B463,7,1),"x0x1x2x3x4x5x6x7x8x9"))),OR(8&gt;LEN(B463),MID(B463,8,1)=".",ISNUMBER(FIND("x"&amp;MID(B463,8,1),"x0x1x2x3x4x5x6x7x8x9"))),OR(9&gt;LEN(B463),MID(B463,9,1)=".",ISNUMBER(FIND("x"&amp;MID(B463,9,1),"x0x1x2x3x4x5x6x7x8x9"))),OR(10&gt;LEN(B463),MID(B463,10,1)=".",ISNUMBER(FIND("x"&amp;MID(B463,10,1),"x0x1x2x3x4x5x6x7x8x9"))),OR(AND(FIND(".",B463)=5,LEN(B463)-FIND(".",B463,FIND(".",B463)+1)&gt;=1,LEN(B463)-FIND(".",B463,FIND(".",B463)+1)&lt;=2),AND(LEN(B463)-FIND(".",B463,FIND(".",B463)+1)=4,FIND(".",B463)&gt;=2,FIND(".",B463)&lt;=3)),FIND(".",B463,FIND(".",B463)+1)-FIND(".",B463)&gt;=2,FIND(".",B463,FIND(".",B463)+1)-FIND(".",B463)&lt;=3,F463&gt;=2000,F463&lt;=2100,YEAR(I463)=F463,MONTH(I463)=G463,DAY(I463)=H463),I463,0)),0)</ns0:f>
        <ns0:v>0</ns0:v>
      </ns0:c>
      <ns0:c r="K463" s="0">
        <ns0:f>IFERROR(IF(ISNUMBER(Bookings!D463),"",TRIM(Bookings!D463&amp;"")),"")</ns0:f>
      </ns0:c>
      <ns0:c r="L463" s="0">
        <ns0:f>IFERROR(SUBSTITUTE(SUBSTITUTE(K463,"/","."),"-","."),"")</ns0:f>
      </ns0:c>
      <ns0:c r="M463" s="0">
        <ns0:f>IFERROR(LEFT(L463,FIND(".",L463)-1),"")</ns0:f>
      </ns0:c>
      <ns0:c r="N463" s="0">
        <ns0:f>IFERROR(MID(L463,FIND(".",L463)+1,FIND(".",L463,FIND(".",L463)+1)-FIND(".",L463)-1),"")</ns0:f>
      </ns0:c>
      <ns0:c r="O463" s="0">
        <ns0:f>IFERROR(MID(L463,FIND(".",L463,FIND(".",L463)+1)+1,99),"")</ns0:f>
        <ns0:v>99</ns0:v>
      </ns0:c>
      <ns0:c r="P463" s="0">
        <ns0:f>IFERROR(IF(FIND(".",L463)=5,--M463,--O463),0)</ns0:f>
        <ns0:v>0</ns0:v>
      </ns0:c>
      <ns0:c r="Q463" s="0">
        <ns0:f>IFERROR(--N463,0)</ns0:f>
        <ns0:v>0</ns0:v>
      </ns0:c>
      <ns0:c r="R463" s="0">
        <ns0:f>IFERROR(IF(FIND(".",L463)=5,--O463,--M463),0)</ns0:f>
        <ns0:v>0</ns0:v>
      </ns0:c>
      <ns0:c r="S463" s="0">
        <ns0:f>IFERROR(IF(AND(P463&gt;=2000,P463&lt;=2100,Q463&gt;=1,Q463&lt;=12,R463&gt;=1,R463&lt;=31),DATE(P463,Q463,R463),0),0)</ns0:f>
        <ns0:v>0</ns0:v>
      </ns0:c>
      <ns0:c r="T463" s="0">
        <ns0:f>IFERROR(IF(ISNUMBER(Bookings!D463),IF(AND(Bookings!D463=INT(Bookings!D463),Bookings!D463&gt;=DATE(2000,1,1),Bookings!D463&lt;=DATE(2100,12,31)),Bookings!D463,0),IF(AND(K463&lt;&gt;"",LEN("x"&amp;L463)-LEN(SUBSTITUTE("x"&amp;L463,".",""))=2,OR(1&gt;LEN(L463),MID(L463,1,1)=".",ISNUMBER(FIND("x"&amp;MID(L463,1,1),"x0x1x2x3x4x5x6x7x8x9"))),OR(2&gt;LEN(L463),MID(L463,2,1)=".",ISNUMBER(FIND("x"&amp;MID(L463,2,1),"x0x1x2x3x4x5x6x7x8x9"))),OR(3&gt;LEN(L463),MID(L463,3,1)=".",ISNUMBER(FIND("x"&amp;MID(L463,3,1),"x0x1x2x3x4x5x6x7x8x9"))),OR(4&gt;LEN(L463),MID(L463,4,1)=".",ISNUMBER(FIND("x"&amp;MID(L463,4,1),"x0x1x2x3x4x5x6x7x8x9"))),OR(5&gt;LEN(L463),MID(L463,5,1)=".",ISNUMBER(FIND("x"&amp;MID(L463,5,1),"x0x1x2x3x4x5x6x7x8x9"))),OR(6&gt;LEN(L463),MID(L463,6,1)=".",ISNUMBER(FIND("x"&amp;MID(L463,6,1),"x0x1x2x3x4x5x6x7x8x9"))),OR(7&gt;LEN(L463),MID(L463,7,1)=".",ISNUMBER(FIND("x"&amp;MID(L463,7,1),"x0x1x2x3x4x5x6x7x8x9"))),OR(8&gt;LEN(L463),MID(L463,8,1)=".",ISNUMBER(FIND("x"&amp;MID(L463,8,1),"x0x1x2x3x4x5x6x7x8x9"))),OR(9&gt;LEN(L463),MID(L463,9,1)=".",ISNUMBER(FIND("x"&amp;MID(L463,9,1),"x0x1x2x3x4x5x6x7x8x9"))),OR(10&gt;LEN(L463),MID(L463,10,1)=".",ISNUMBER(FIND("x"&amp;MID(L463,10,1),"x0x1x2x3x4x5x6x7x8x9"))),OR(AND(FIND(".",L463)=5,LEN(L463)-FIND(".",L463,FIND(".",L463)+1)&gt;=1,LEN(L463)-FIND(".",L463,FIND(".",L463)+1)&lt;=2),AND(LEN(L463)-FIND(".",L463,FIND(".",L463)+1)=4,FIND(".",L463)&gt;=2,FIND(".",L463)&lt;=3)),FIND(".",L463,FIND(".",L463)+1)-FIND(".",L463)&gt;=2,FIND(".",L463,FIND(".",L463)+1)-FIND(".",L463)&lt;=3,P463&gt;=2000,P463&lt;=2100,YEAR(S463)=P463,MONTH(S463)=Q463,DAY(S463)=R463),S463,0)),0)</ns0:f>
        <ns0:v>0</ns0:v>
      </ns0:c>
      <ns0:c r="U463" s="0" t="str">
        <ns0:f>IF(Bookings!C463="","Full day",Bookings!C463)</ns0:f>
        <ns0:v>Full day</ns0:v>
      </ns0:c>
      <ns0:c r="V463" s="0" t="str">
        <ns0:f>IF(Bookings!E463="","Full day",Bookings!E463)</ns0:f>
        <ns0:v>Full day</ns0:v>
      </ns0:c>
      <ns0:c r="W463" s="0">
        <ns0:f>IF(J463=0,0,J463+IF(U463="PM",1,0))</ns0:f>
        <ns0:v>0</ns0:v>
      </ns0:c>
      <ns0:c r="X463" s="0">
        <ns0:f>IF(T463=0,0,T463-IF(V463="PM",1,0))</ns0:f>
        <ns0:v>0</ns0:v>
      </ns0:c>
      <ns0:c r="Y463" s="0">
        <ns0:f>IF(J463=0,0,J463+IF(U463="AM",1,0))</ns0:f>
        <ns0:v>0</ns0:v>
      </ns0:c>
      <ns0:c r="Z463" s="0">
        <ns0:f>IF(T463=0,0,T463-IF(V463="AM",1,0))</ns0:f>
        <ns0:v>0</ns0:v>
      </ns0:c>
      <ns0:c r="AA463" s="0">
        <ns0:f>IFERROR(IF(AND(J463&gt;0,'_Engine'!C463&gt;0,MID('_Engine'!W463,WEEKDAY(J463,2),1)="W",COUNTIF(Settings!$F$18:$F$67,J463)=0),1,0),0)</ns0:f>
        <ns0:v>0</ns0:v>
      </ns0:c>
      <ns0:c r="AB463" s="0">
        <ns0:f>IFERROR(IF(AND(T463&gt;0,'_Engine'!C463&gt;0,MID('_Engine'!W463,WEEKDAY(T463,2),1)="W",COUNTIF(Settings!$F$18:$F$67,T463)=0),1,0),0)</ns0:f>
        <ns0:v>0</ns0:v>
      </ns0:c>
      <ns0:c r="AC463" s="0">
        <ns0:f>IF(AND(J463&gt;0,T463&gt;0,W463&lt;=X463),1,0)</ns0:f>
        <ns0:v>0</ns0:v>
      </ns0:c>
      <ns0:c r="AD463" s="0">
        <ns0:f>IF(AND(J463&gt;0,T463&gt;0,Y463&lt;=Z463),1,0)</ns0:f>
        <ns0:v>0</ns0:v>
      </ns0:c>
    </ns0:row>
    <ns0:row r="464">
      <ns0:c r="A464" s="0">
        <ns0:f>IFERROR(IF(ISNUMBER(Bookings!B464),"",TRIM(Bookings!B464&amp;"")),"")</ns0:f>
      </ns0:c>
      <ns0:c r="B464" s="0">
        <ns0:f>IFERROR(SUBSTITUTE(SUBSTITUTE(A464,"/","."),"-","."),"")</ns0:f>
      </ns0:c>
      <ns0:c r="C464" s="0">
        <ns0:f>IFERROR(LEFT(B464,FIND(".",B464)-1),"")</ns0:f>
      </ns0:c>
      <ns0:c r="D464" s="0">
        <ns0:f>IFERROR(MID(B464,FIND(".",B464)+1,FIND(".",B464,FIND(".",B464)+1)-FIND(".",B464)-1),"")</ns0:f>
      </ns0:c>
      <ns0:c r="E464" s="0">
        <ns0:f>IFERROR(MID(B464,FIND(".",B464,FIND(".",B464)+1)+1,99),"")</ns0:f>
        <ns0:v>99</ns0:v>
      </ns0:c>
      <ns0:c r="F464" s="0">
        <ns0:f>IFERROR(IF(FIND(".",B464)=5,--C464,--E464),0)</ns0:f>
        <ns0:v>0</ns0:v>
      </ns0:c>
      <ns0:c r="G464" s="0">
        <ns0:f>IFERROR(--D464,0)</ns0:f>
        <ns0:v>0</ns0:v>
      </ns0:c>
      <ns0:c r="H464" s="0">
        <ns0:f>IFERROR(IF(FIND(".",B464)=5,--E464,--C464),0)</ns0:f>
        <ns0:v>0</ns0:v>
      </ns0:c>
      <ns0:c r="I464" s="0">
        <ns0:f>IFERROR(IF(AND(F464&gt;=2000,F464&lt;=2100,G464&gt;=1,G464&lt;=12,H464&gt;=1,H464&lt;=31),DATE(F464,G464,H464),0),0)</ns0:f>
        <ns0:v>0</ns0:v>
      </ns0:c>
      <ns0:c r="J464" s="0">
        <ns0:f>IFERROR(IF(ISNUMBER(Bookings!B464),IF(AND(Bookings!B464=INT(Bookings!B464),Bookings!B464&gt;=DATE(2000,1,1),Bookings!B464&lt;=DATE(2100,12,31)),Bookings!B464,0),IF(AND(A464&lt;&gt;"",LEN("x"&amp;B464)-LEN(SUBSTITUTE("x"&amp;B464,".",""))=2,OR(1&gt;LEN(B464),MID(B464,1,1)=".",ISNUMBER(FIND("x"&amp;MID(B464,1,1),"x0x1x2x3x4x5x6x7x8x9"))),OR(2&gt;LEN(B464),MID(B464,2,1)=".",ISNUMBER(FIND("x"&amp;MID(B464,2,1),"x0x1x2x3x4x5x6x7x8x9"))),OR(3&gt;LEN(B464),MID(B464,3,1)=".",ISNUMBER(FIND("x"&amp;MID(B464,3,1),"x0x1x2x3x4x5x6x7x8x9"))),OR(4&gt;LEN(B464),MID(B464,4,1)=".",ISNUMBER(FIND("x"&amp;MID(B464,4,1),"x0x1x2x3x4x5x6x7x8x9"))),OR(5&gt;LEN(B464),MID(B464,5,1)=".",ISNUMBER(FIND("x"&amp;MID(B464,5,1),"x0x1x2x3x4x5x6x7x8x9"))),OR(6&gt;LEN(B464),MID(B464,6,1)=".",ISNUMBER(FIND("x"&amp;MID(B464,6,1),"x0x1x2x3x4x5x6x7x8x9"))),OR(7&gt;LEN(B464),MID(B464,7,1)=".",ISNUMBER(FIND("x"&amp;MID(B464,7,1),"x0x1x2x3x4x5x6x7x8x9"))),OR(8&gt;LEN(B464),MID(B464,8,1)=".",ISNUMBER(FIND("x"&amp;MID(B464,8,1),"x0x1x2x3x4x5x6x7x8x9"))),OR(9&gt;LEN(B464),MID(B464,9,1)=".",ISNUMBER(FIND("x"&amp;MID(B464,9,1),"x0x1x2x3x4x5x6x7x8x9"))),OR(10&gt;LEN(B464),MID(B464,10,1)=".",ISNUMBER(FIND("x"&amp;MID(B464,10,1),"x0x1x2x3x4x5x6x7x8x9"))),OR(AND(FIND(".",B464)=5,LEN(B464)-FIND(".",B464,FIND(".",B464)+1)&gt;=1,LEN(B464)-FIND(".",B464,FIND(".",B464)+1)&lt;=2),AND(LEN(B464)-FIND(".",B464,FIND(".",B464)+1)=4,FIND(".",B464)&gt;=2,FIND(".",B464)&lt;=3)),FIND(".",B464,FIND(".",B464)+1)-FIND(".",B464)&gt;=2,FIND(".",B464,FIND(".",B464)+1)-FIND(".",B464)&lt;=3,F464&gt;=2000,F464&lt;=2100,YEAR(I464)=F464,MONTH(I464)=G464,DAY(I464)=H464),I464,0)),0)</ns0:f>
        <ns0:v>0</ns0:v>
      </ns0:c>
      <ns0:c r="K464" s="0">
        <ns0:f>IFERROR(IF(ISNUMBER(Bookings!D464),"",TRIM(Bookings!D464&amp;"")),"")</ns0:f>
      </ns0:c>
      <ns0:c r="L464" s="0">
        <ns0:f>IFERROR(SUBSTITUTE(SUBSTITUTE(K464,"/","."),"-","."),"")</ns0:f>
      </ns0:c>
      <ns0:c r="M464" s="0">
        <ns0:f>IFERROR(LEFT(L464,FIND(".",L464)-1),"")</ns0:f>
      </ns0:c>
      <ns0:c r="N464" s="0">
        <ns0:f>IFERROR(MID(L464,FIND(".",L464)+1,FIND(".",L464,FIND(".",L464)+1)-FIND(".",L464)-1),"")</ns0:f>
      </ns0:c>
      <ns0:c r="O464" s="0">
        <ns0:f>IFERROR(MID(L464,FIND(".",L464,FIND(".",L464)+1)+1,99),"")</ns0:f>
        <ns0:v>99</ns0:v>
      </ns0:c>
      <ns0:c r="P464" s="0">
        <ns0:f>IFERROR(IF(FIND(".",L464)=5,--M464,--O464),0)</ns0:f>
        <ns0:v>0</ns0:v>
      </ns0:c>
      <ns0:c r="Q464" s="0">
        <ns0:f>IFERROR(--N464,0)</ns0:f>
        <ns0:v>0</ns0:v>
      </ns0:c>
      <ns0:c r="R464" s="0">
        <ns0:f>IFERROR(IF(FIND(".",L464)=5,--O464,--M464),0)</ns0:f>
        <ns0:v>0</ns0:v>
      </ns0:c>
      <ns0:c r="S464" s="0">
        <ns0:f>IFERROR(IF(AND(P464&gt;=2000,P464&lt;=2100,Q464&gt;=1,Q464&lt;=12,R464&gt;=1,R464&lt;=31),DATE(P464,Q464,R464),0),0)</ns0:f>
        <ns0:v>0</ns0:v>
      </ns0:c>
      <ns0:c r="T464" s="0">
        <ns0:f>IFERROR(IF(ISNUMBER(Bookings!D464),IF(AND(Bookings!D464=INT(Bookings!D464),Bookings!D464&gt;=DATE(2000,1,1),Bookings!D464&lt;=DATE(2100,12,31)),Bookings!D464,0),IF(AND(K464&lt;&gt;"",LEN("x"&amp;L464)-LEN(SUBSTITUTE("x"&amp;L464,".",""))=2,OR(1&gt;LEN(L464),MID(L464,1,1)=".",ISNUMBER(FIND("x"&amp;MID(L464,1,1),"x0x1x2x3x4x5x6x7x8x9"))),OR(2&gt;LEN(L464),MID(L464,2,1)=".",ISNUMBER(FIND("x"&amp;MID(L464,2,1),"x0x1x2x3x4x5x6x7x8x9"))),OR(3&gt;LEN(L464),MID(L464,3,1)=".",ISNUMBER(FIND("x"&amp;MID(L464,3,1),"x0x1x2x3x4x5x6x7x8x9"))),OR(4&gt;LEN(L464),MID(L464,4,1)=".",ISNUMBER(FIND("x"&amp;MID(L464,4,1),"x0x1x2x3x4x5x6x7x8x9"))),OR(5&gt;LEN(L464),MID(L464,5,1)=".",ISNUMBER(FIND("x"&amp;MID(L464,5,1),"x0x1x2x3x4x5x6x7x8x9"))),OR(6&gt;LEN(L464),MID(L464,6,1)=".",ISNUMBER(FIND("x"&amp;MID(L464,6,1),"x0x1x2x3x4x5x6x7x8x9"))),OR(7&gt;LEN(L464),MID(L464,7,1)=".",ISNUMBER(FIND("x"&amp;MID(L464,7,1),"x0x1x2x3x4x5x6x7x8x9"))),OR(8&gt;LEN(L464),MID(L464,8,1)=".",ISNUMBER(FIND("x"&amp;MID(L464,8,1),"x0x1x2x3x4x5x6x7x8x9"))),OR(9&gt;LEN(L464),MID(L464,9,1)=".",ISNUMBER(FIND("x"&amp;MID(L464,9,1),"x0x1x2x3x4x5x6x7x8x9"))),OR(10&gt;LEN(L464),MID(L464,10,1)=".",ISNUMBER(FIND("x"&amp;MID(L464,10,1),"x0x1x2x3x4x5x6x7x8x9"))),OR(AND(FIND(".",L464)=5,LEN(L464)-FIND(".",L464,FIND(".",L464)+1)&gt;=1,LEN(L464)-FIND(".",L464,FIND(".",L464)+1)&lt;=2),AND(LEN(L464)-FIND(".",L464,FIND(".",L464)+1)=4,FIND(".",L464)&gt;=2,FIND(".",L464)&lt;=3)),FIND(".",L464,FIND(".",L464)+1)-FIND(".",L464)&gt;=2,FIND(".",L464,FIND(".",L464)+1)-FIND(".",L464)&lt;=3,P464&gt;=2000,P464&lt;=2100,YEAR(S464)=P464,MONTH(S464)=Q464,DAY(S464)=R464),S464,0)),0)</ns0:f>
        <ns0:v>0</ns0:v>
      </ns0:c>
      <ns0:c r="U464" s="0" t="str">
        <ns0:f>IF(Bookings!C464="","Full day",Bookings!C464)</ns0:f>
        <ns0:v>Full day</ns0:v>
      </ns0:c>
      <ns0:c r="V464" s="0" t="str">
        <ns0:f>IF(Bookings!E464="","Full day",Bookings!E464)</ns0:f>
        <ns0:v>Full day</ns0:v>
      </ns0:c>
      <ns0:c r="W464" s="0">
        <ns0:f>IF(J464=0,0,J464+IF(U464="PM",1,0))</ns0:f>
        <ns0:v>0</ns0:v>
      </ns0:c>
      <ns0:c r="X464" s="0">
        <ns0:f>IF(T464=0,0,T464-IF(V464="PM",1,0))</ns0:f>
        <ns0:v>0</ns0:v>
      </ns0:c>
      <ns0:c r="Y464" s="0">
        <ns0:f>IF(J464=0,0,J464+IF(U464="AM",1,0))</ns0:f>
        <ns0:v>0</ns0:v>
      </ns0:c>
      <ns0:c r="Z464" s="0">
        <ns0:f>IF(T464=0,0,T464-IF(V464="AM",1,0))</ns0:f>
        <ns0:v>0</ns0:v>
      </ns0:c>
      <ns0:c r="AA464" s="0">
        <ns0:f>IFERROR(IF(AND(J464&gt;0,'_Engine'!C464&gt;0,MID('_Engine'!W464,WEEKDAY(J464,2),1)="W",COUNTIF(Settings!$F$18:$F$67,J464)=0),1,0),0)</ns0:f>
        <ns0:v>0</ns0:v>
      </ns0:c>
      <ns0:c r="AB464" s="0">
        <ns0:f>IFERROR(IF(AND(T464&gt;0,'_Engine'!C464&gt;0,MID('_Engine'!W464,WEEKDAY(T464,2),1)="W",COUNTIF(Settings!$F$18:$F$67,T464)=0),1,0),0)</ns0:f>
        <ns0:v>0</ns0:v>
      </ns0:c>
      <ns0:c r="AC464" s="0">
        <ns0:f>IF(AND(J464&gt;0,T464&gt;0,W464&lt;=X464),1,0)</ns0:f>
        <ns0:v>0</ns0:v>
      </ns0:c>
      <ns0:c r="AD464" s="0">
        <ns0:f>IF(AND(J464&gt;0,T464&gt;0,Y464&lt;=Z464),1,0)</ns0:f>
        <ns0:v>0</ns0:v>
      </ns0:c>
    </ns0:row>
    <ns0:row r="465">
      <ns0:c r="A465" s="0">
        <ns0:f>IFERROR(IF(ISNUMBER(Bookings!B465),"",TRIM(Bookings!B465&amp;"")),"")</ns0:f>
      </ns0:c>
      <ns0:c r="B465" s="0">
        <ns0:f>IFERROR(SUBSTITUTE(SUBSTITUTE(A465,"/","."),"-","."),"")</ns0:f>
      </ns0:c>
      <ns0:c r="C465" s="0">
        <ns0:f>IFERROR(LEFT(B465,FIND(".",B465)-1),"")</ns0:f>
      </ns0:c>
      <ns0:c r="D465" s="0">
        <ns0:f>IFERROR(MID(B465,FIND(".",B465)+1,FIND(".",B465,FIND(".",B465)+1)-FIND(".",B465)-1),"")</ns0:f>
      </ns0:c>
      <ns0:c r="E465" s="0">
        <ns0:f>IFERROR(MID(B465,FIND(".",B465,FIND(".",B465)+1)+1,99),"")</ns0:f>
        <ns0:v>99</ns0:v>
      </ns0:c>
      <ns0:c r="F465" s="0">
        <ns0:f>IFERROR(IF(FIND(".",B465)=5,--C465,--E465),0)</ns0:f>
        <ns0:v>0</ns0:v>
      </ns0:c>
      <ns0:c r="G465" s="0">
        <ns0:f>IFERROR(--D465,0)</ns0:f>
        <ns0:v>0</ns0:v>
      </ns0:c>
      <ns0:c r="H465" s="0">
        <ns0:f>IFERROR(IF(FIND(".",B465)=5,--E465,--C465),0)</ns0:f>
        <ns0:v>0</ns0:v>
      </ns0:c>
      <ns0:c r="I465" s="0">
        <ns0:f>IFERROR(IF(AND(F465&gt;=2000,F465&lt;=2100,G465&gt;=1,G465&lt;=12,H465&gt;=1,H465&lt;=31),DATE(F465,G465,H465),0),0)</ns0:f>
        <ns0:v>0</ns0:v>
      </ns0:c>
      <ns0:c r="J465" s="0">
        <ns0:f>IFERROR(IF(ISNUMBER(Bookings!B465),IF(AND(Bookings!B465=INT(Bookings!B465),Bookings!B465&gt;=DATE(2000,1,1),Bookings!B465&lt;=DATE(2100,12,31)),Bookings!B465,0),IF(AND(A465&lt;&gt;"",LEN("x"&amp;B465)-LEN(SUBSTITUTE("x"&amp;B465,".",""))=2,OR(1&gt;LEN(B465),MID(B465,1,1)=".",ISNUMBER(FIND("x"&amp;MID(B465,1,1),"x0x1x2x3x4x5x6x7x8x9"))),OR(2&gt;LEN(B465),MID(B465,2,1)=".",ISNUMBER(FIND("x"&amp;MID(B465,2,1),"x0x1x2x3x4x5x6x7x8x9"))),OR(3&gt;LEN(B465),MID(B465,3,1)=".",ISNUMBER(FIND("x"&amp;MID(B465,3,1),"x0x1x2x3x4x5x6x7x8x9"))),OR(4&gt;LEN(B465),MID(B465,4,1)=".",ISNUMBER(FIND("x"&amp;MID(B465,4,1),"x0x1x2x3x4x5x6x7x8x9"))),OR(5&gt;LEN(B465),MID(B465,5,1)=".",ISNUMBER(FIND("x"&amp;MID(B465,5,1),"x0x1x2x3x4x5x6x7x8x9"))),OR(6&gt;LEN(B465),MID(B465,6,1)=".",ISNUMBER(FIND("x"&amp;MID(B465,6,1),"x0x1x2x3x4x5x6x7x8x9"))),OR(7&gt;LEN(B465),MID(B465,7,1)=".",ISNUMBER(FIND("x"&amp;MID(B465,7,1),"x0x1x2x3x4x5x6x7x8x9"))),OR(8&gt;LEN(B465),MID(B465,8,1)=".",ISNUMBER(FIND("x"&amp;MID(B465,8,1),"x0x1x2x3x4x5x6x7x8x9"))),OR(9&gt;LEN(B465),MID(B465,9,1)=".",ISNUMBER(FIND("x"&amp;MID(B465,9,1),"x0x1x2x3x4x5x6x7x8x9"))),OR(10&gt;LEN(B465),MID(B465,10,1)=".",ISNUMBER(FIND("x"&amp;MID(B465,10,1),"x0x1x2x3x4x5x6x7x8x9"))),OR(AND(FIND(".",B465)=5,LEN(B465)-FIND(".",B465,FIND(".",B465)+1)&gt;=1,LEN(B465)-FIND(".",B465,FIND(".",B465)+1)&lt;=2),AND(LEN(B465)-FIND(".",B465,FIND(".",B465)+1)=4,FIND(".",B465)&gt;=2,FIND(".",B465)&lt;=3)),FIND(".",B465,FIND(".",B465)+1)-FIND(".",B465)&gt;=2,FIND(".",B465,FIND(".",B465)+1)-FIND(".",B465)&lt;=3,F465&gt;=2000,F465&lt;=2100,YEAR(I465)=F465,MONTH(I465)=G465,DAY(I465)=H465),I465,0)),0)</ns0:f>
        <ns0:v>0</ns0:v>
      </ns0:c>
      <ns0:c r="K465" s="0">
        <ns0:f>IFERROR(IF(ISNUMBER(Bookings!D465),"",TRIM(Bookings!D465&amp;"")),"")</ns0:f>
      </ns0:c>
      <ns0:c r="L465" s="0">
        <ns0:f>IFERROR(SUBSTITUTE(SUBSTITUTE(K465,"/","."),"-","."),"")</ns0:f>
      </ns0:c>
      <ns0:c r="M465" s="0">
        <ns0:f>IFERROR(LEFT(L465,FIND(".",L465)-1),"")</ns0:f>
      </ns0:c>
      <ns0:c r="N465" s="0">
        <ns0:f>IFERROR(MID(L465,FIND(".",L465)+1,FIND(".",L465,FIND(".",L465)+1)-FIND(".",L465)-1),"")</ns0:f>
      </ns0:c>
      <ns0:c r="O465" s="0">
        <ns0:f>IFERROR(MID(L465,FIND(".",L465,FIND(".",L465)+1)+1,99),"")</ns0:f>
        <ns0:v>99</ns0:v>
      </ns0:c>
      <ns0:c r="P465" s="0">
        <ns0:f>IFERROR(IF(FIND(".",L465)=5,--M465,--O465),0)</ns0:f>
        <ns0:v>0</ns0:v>
      </ns0:c>
      <ns0:c r="Q465" s="0">
        <ns0:f>IFERROR(--N465,0)</ns0:f>
        <ns0:v>0</ns0:v>
      </ns0:c>
      <ns0:c r="R465" s="0">
        <ns0:f>IFERROR(IF(FIND(".",L465)=5,--O465,--M465),0)</ns0:f>
        <ns0:v>0</ns0:v>
      </ns0:c>
      <ns0:c r="S465" s="0">
        <ns0:f>IFERROR(IF(AND(P465&gt;=2000,P465&lt;=2100,Q465&gt;=1,Q465&lt;=12,R465&gt;=1,R465&lt;=31),DATE(P465,Q465,R465),0),0)</ns0:f>
        <ns0:v>0</ns0:v>
      </ns0:c>
      <ns0:c r="T465" s="0">
        <ns0:f>IFERROR(IF(ISNUMBER(Bookings!D465),IF(AND(Bookings!D465=INT(Bookings!D465),Bookings!D465&gt;=DATE(2000,1,1),Bookings!D465&lt;=DATE(2100,12,31)),Bookings!D465,0),IF(AND(K465&lt;&gt;"",LEN("x"&amp;L465)-LEN(SUBSTITUTE("x"&amp;L465,".",""))=2,OR(1&gt;LEN(L465),MID(L465,1,1)=".",ISNUMBER(FIND("x"&amp;MID(L465,1,1),"x0x1x2x3x4x5x6x7x8x9"))),OR(2&gt;LEN(L465),MID(L465,2,1)=".",ISNUMBER(FIND("x"&amp;MID(L465,2,1),"x0x1x2x3x4x5x6x7x8x9"))),OR(3&gt;LEN(L465),MID(L465,3,1)=".",ISNUMBER(FIND("x"&amp;MID(L465,3,1),"x0x1x2x3x4x5x6x7x8x9"))),OR(4&gt;LEN(L465),MID(L465,4,1)=".",ISNUMBER(FIND("x"&amp;MID(L465,4,1),"x0x1x2x3x4x5x6x7x8x9"))),OR(5&gt;LEN(L465),MID(L465,5,1)=".",ISNUMBER(FIND("x"&amp;MID(L465,5,1),"x0x1x2x3x4x5x6x7x8x9"))),OR(6&gt;LEN(L465),MID(L465,6,1)=".",ISNUMBER(FIND("x"&amp;MID(L465,6,1),"x0x1x2x3x4x5x6x7x8x9"))),OR(7&gt;LEN(L465),MID(L465,7,1)=".",ISNUMBER(FIND("x"&amp;MID(L465,7,1),"x0x1x2x3x4x5x6x7x8x9"))),OR(8&gt;LEN(L465),MID(L465,8,1)=".",ISNUMBER(FIND("x"&amp;MID(L465,8,1),"x0x1x2x3x4x5x6x7x8x9"))),OR(9&gt;LEN(L465),MID(L465,9,1)=".",ISNUMBER(FIND("x"&amp;MID(L465,9,1),"x0x1x2x3x4x5x6x7x8x9"))),OR(10&gt;LEN(L465),MID(L465,10,1)=".",ISNUMBER(FIND("x"&amp;MID(L465,10,1),"x0x1x2x3x4x5x6x7x8x9"))),OR(AND(FIND(".",L465)=5,LEN(L465)-FIND(".",L465,FIND(".",L465)+1)&gt;=1,LEN(L465)-FIND(".",L465,FIND(".",L465)+1)&lt;=2),AND(LEN(L465)-FIND(".",L465,FIND(".",L465)+1)=4,FIND(".",L465)&gt;=2,FIND(".",L465)&lt;=3)),FIND(".",L465,FIND(".",L465)+1)-FIND(".",L465)&gt;=2,FIND(".",L465,FIND(".",L465)+1)-FIND(".",L465)&lt;=3,P465&gt;=2000,P465&lt;=2100,YEAR(S465)=P465,MONTH(S465)=Q465,DAY(S465)=R465),S465,0)),0)</ns0:f>
        <ns0:v>0</ns0:v>
      </ns0:c>
      <ns0:c r="U465" s="0" t="str">
        <ns0:f>IF(Bookings!C465="","Full day",Bookings!C465)</ns0:f>
        <ns0:v>Full day</ns0:v>
      </ns0:c>
      <ns0:c r="V465" s="0" t="str">
        <ns0:f>IF(Bookings!E465="","Full day",Bookings!E465)</ns0:f>
        <ns0:v>Full day</ns0:v>
      </ns0:c>
      <ns0:c r="W465" s="0">
        <ns0:f>IF(J465=0,0,J465+IF(U465="PM",1,0))</ns0:f>
        <ns0:v>0</ns0:v>
      </ns0:c>
      <ns0:c r="X465" s="0">
        <ns0:f>IF(T465=0,0,T465-IF(V465="PM",1,0))</ns0:f>
        <ns0:v>0</ns0:v>
      </ns0:c>
      <ns0:c r="Y465" s="0">
        <ns0:f>IF(J465=0,0,J465+IF(U465="AM",1,0))</ns0:f>
        <ns0:v>0</ns0:v>
      </ns0:c>
      <ns0:c r="Z465" s="0">
        <ns0:f>IF(T465=0,0,T465-IF(V465="AM",1,0))</ns0:f>
        <ns0:v>0</ns0:v>
      </ns0:c>
      <ns0:c r="AA465" s="0">
        <ns0:f>IFERROR(IF(AND(J465&gt;0,'_Engine'!C465&gt;0,MID('_Engine'!W465,WEEKDAY(J465,2),1)="W",COUNTIF(Settings!$F$18:$F$67,J465)=0),1,0),0)</ns0:f>
        <ns0:v>0</ns0:v>
      </ns0:c>
      <ns0:c r="AB465" s="0">
        <ns0:f>IFERROR(IF(AND(T465&gt;0,'_Engine'!C465&gt;0,MID('_Engine'!W465,WEEKDAY(T465,2),1)="W",COUNTIF(Settings!$F$18:$F$67,T465)=0),1,0),0)</ns0:f>
        <ns0:v>0</ns0:v>
      </ns0:c>
      <ns0:c r="AC465" s="0">
        <ns0:f>IF(AND(J465&gt;0,T465&gt;0,W465&lt;=X465),1,0)</ns0:f>
        <ns0:v>0</ns0:v>
      </ns0:c>
      <ns0:c r="AD465" s="0">
        <ns0:f>IF(AND(J465&gt;0,T465&gt;0,Y465&lt;=Z465),1,0)</ns0:f>
        <ns0:v>0</ns0:v>
      </ns0:c>
    </ns0:row>
    <ns0:row r="466">
      <ns0:c r="A466" s="0">
        <ns0:f>IFERROR(IF(ISNUMBER(Bookings!B466),"",TRIM(Bookings!B466&amp;"")),"")</ns0:f>
      </ns0:c>
      <ns0:c r="B466" s="0">
        <ns0:f>IFERROR(SUBSTITUTE(SUBSTITUTE(A466,"/","."),"-","."),"")</ns0:f>
      </ns0:c>
      <ns0:c r="C466" s="0">
        <ns0:f>IFERROR(LEFT(B466,FIND(".",B466)-1),"")</ns0:f>
      </ns0:c>
      <ns0:c r="D466" s="0">
        <ns0:f>IFERROR(MID(B466,FIND(".",B466)+1,FIND(".",B466,FIND(".",B466)+1)-FIND(".",B466)-1),"")</ns0:f>
      </ns0:c>
      <ns0:c r="E466" s="0">
        <ns0:f>IFERROR(MID(B466,FIND(".",B466,FIND(".",B466)+1)+1,99),"")</ns0:f>
        <ns0:v>99</ns0:v>
      </ns0:c>
      <ns0:c r="F466" s="0">
        <ns0:f>IFERROR(IF(FIND(".",B466)=5,--C466,--E466),0)</ns0:f>
        <ns0:v>0</ns0:v>
      </ns0:c>
      <ns0:c r="G466" s="0">
        <ns0:f>IFERROR(--D466,0)</ns0:f>
        <ns0:v>0</ns0:v>
      </ns0:c>
      <ns0:c r="H466" s="0">
        <ns0:f>IFERROR(IF(FIND(".",B466)=5,--E466,--C466),0)</ns0:f>
        <ns0:v>0</ns0:v>
      </ns0:c>
      <ns0:c r="I466" s="0">
        <ns0:f>IFERROR(IF(AND(F466&gt;=2000,F466&lt;=2100,G466&gt;=1,G466&lt;=12,H466&gt;=1,H466&lt;=31),DATE(F466,G466,H466),0),0)</ns0:f>
        <ns0:v>0</ns0:v>
      </ns0:c>
      <ns0:c r="J466" s="0">
        <ns0:f>IFERROR(IF(ISNUMBER(Bookings!B466),IF(AND(Bookings!B466=INT(Bookings!B466),Bookings!B466&gt;=DATE(2000,1,1),Bookings!B466&lt;=DATE(2100,12,31)),Bookings!B466,0),IF(AND(A466&lt;&gt;"",LEN("x"&amp;B466)-LEN(SUBSTITUTE("x"&amp;B466,".",""))=2,OR(1&gt;LEN(B466),MID(B466,1,1)=".",ISNUMBER(FIND("x"&amp;MID(B466,1,1),"x0x1x2x3x4x5x6x7x8x9"))),OR(2&gt;LEN(B466),MID(B466,2,1)=".",ISNUMBER(FIND("x"&amp;MID(B466,2,1),"x0x1x2x3x4x5x6x7x8x9"))),OR(3&gt;LEN(B466),MID(B466,3,1)=".",ISNUMBER(FIND("x"&amp;MID(B466,3,1),"x0x1x2x3x4x5x6x7x8x9"))),OR(4&gt;LEN(B466),MID(B466,4,1)=".",ISNUMBER(FIND("x"&amp;MID(B466,4,1),"x0x1x2x3x4x5x6x7x8x9"))),OR(5&gt;LEN(B466),MID(B466,5,1)=".",ISNUMBER(FIND("x"&amp;MID(B466,5,1),"x0x1x2x3x4x5x6x7x8x9"))),OR(6&gt;LEN(B466),MID(B466,6,1)=".",ISNUMBER(FIND("x"&amp;MID(B466,6,1),"x0x1x2x3x4x5x6x7x8x9"))),OR(7&gt;LEN(B466),MID(B466,7,1)=".",ISNUMBER(FIND("x"&amp;MID(B466,7,1),"x0x1x2x3x4x5x6x7x8x9"))),OR(8&gt;LEN(B466),MID(B466,8,1)=".",ISNUMBER(FIND("x"&amp;MID(B466,8,1),"x0x1x2x3x4x5x6x7x8x9"))),OR(9&gt;LEN(B466),MID(B466,9,1)=".",ISNUMBER(FIND("x"&amp;MID(B466,9,1),"x0x1x2x3x4x5x6x7x8x9"))),OR(10&gt;LEN(B466),MID(B466,10,1)=".",ISNUMBER(FIND("x"&amp;MID(B466,10,1),"x0x1x2x3x4x5x6x7x8x9"))),OR(AND(FIND(".",B466)=5,LEN(B466)-FIND(".",B466,FIND(".",B466)+1)&gt;=1,LEN(B466)-FIND(".",B466,FIND(".",B466)+1)&lt;=2),AND(LEN(B466)-FIND(".",B466,FIND(".",B466)+1)=4,FIND(".",B466)&gt;=2,FIND(".",B466)&lt;=3)),FIND(".",B466,FIND(".",B466)+1)-FIND(".",B466)&gt;=2,FIND(".",B466,FIND(".",B466)+1)-FIND(".",B466)&lt;=3,F466&gt;=2000,F466&lt;=2100,YEAR(I466)=F466,MONTH(I466)=G466,DAY(I466)=H466),I466,0)),0)</ns0:f>
        <ns0:v>0</ns0:v>
      </ns0:c>
      <ns0:c r="K466" s="0">
        <ns0:f>IFERROR(IF(ISNUMBER(Bookings!D466),"",TRIM(Bookings!D466&amp;"")),"")</ns0:f>
      </ns0:c>
      <ns0:c r="L466" s="0">
        <ns0:f>IFERROR(SUBSTITUTE(SUBSTITUTE(K466,"/","."),"-","."),"")</ns0:f>
      </ns0:c>
      <ns0:c r="M466" s="0">
        <ns0:f>IFERROR(LEFT(L466,FIND(".",L466)-1),"")</ns0:f>
      </ns0:c>
      <ns0:c r="N466" s="0">
        <ns0:f>IFERROR(MID(L466,FIND(".",L466)+1,FIND(".",L466,FIND(".",L466)+1)-FIND(".",L466)-1),"")</ns0:f>
      </ns0:c>
      <ns0:c r="O466" s="0">
        <ns0:f>IFERROR(MID(L466,FIND(".",L466,FIND(".",L466)+1)+1,99),"")</ns0:f>
        <ns0:v>99</ns0:v>
      </ns0:c>
      <ns0:c r="P466" s="0">
        <ns0:f>IFERROR(IF(FIND(".",L466)=5,--M466,--O466),0)</ns0:f>
        <ns0:v>0</ns0:v>
      </ns0:c>
      <ns0:c r="Q466" s="0">
        <ns0:f>IFERROR(--N466,0)</ns0:f>
        <ns0:v>0</ns0:v>
      </ns0:c>
      <ns0:c r="R466" s="0">
        <ns0:f>IFERROR(IF(FIND(".",L466)=5,--O466,--M466),0)</ns0:f>
        <ns0:v>0</ns0:v>
      </ns0:c>
      <ns0:c r="S466" s="0">
        <ns0:f>IFERROR(IF(AND(P466&gt;=2000,P466&lt;=2100,Q466&gt;=1,Q466&lt;=12,R466&gt;=1,R466&lt;=31),DATE(P466,Q466,R466),0),0)</ns0:f>
        <ns0:v>0</ns0:v>
      </ns0:c>
      <ns0:c r="T466" s="0">
        <ns0:f>IFERROR(IF(ISNUMBER(Bookings!D466),IF(AND(Bookings!D466=INT(Bookings!D466),Bookings!D466&gt;=DATE(2000,1,1),Bookings!D466&lt;=DATE(2100,12,31)),Bookings!D466,0),IF(AND(K466&lt;&gt;"",LEN("x"&amp;L466)-LEN(SUBSTITUTE("x"&amp;L466,".",""))=2,OR(1&gt;LEN(L466),MID(L466,1,1)=".",ISNUMBER(FIND("x"&amp;MID(L466,1,1),"x0x1x2x3x4x5x6x7x8x9"))),OR(2&gt;LEN(L466),MID(L466,2,1)=".",ISNUMBER(FIND("x"&amp;MID(L466,2,1),"x0x1x2x3x4x5x6x7x8x9"))),OR(3&gt;LEN(L466),MID(L466,3,1)=".",ISNUMBER(FIND("x"&amp;MID(L466,3,1),"x0x1x2x3x4x5x6x7x8x9"))),OR(4&gt;LEN(L466),MID(L466,4,1)=".",ISNUMBER(FIND("x"&amp;MID(L466,4,1),"x0x1x2x3x4x5x6x7x8x9"))),OR(5&gt;LEN(L466),MID(L466,5,1)=".",ISNUMBER(FIND("x"&amp;MID(L466,5,1),"x0x1x2x3x4x5x6x7x8x9"))),OR(6&gt;LEN(L466),MID(L466,6,1)=".",ISNUMBER(FIND("x"&amp;MID(L466,6,1),"x0x1x2x3x4x5x6x7x8x9"))),OR(7&gt;LEN(L466),MID(L466,7,1)=".",ISNUMBER(FIND("x"&amp;MID(L466,7,1),"x0x1x2x3x4x5x6x7x8x9"))),OR(8&gt;LEN(L466),MID(L466,8,1)=".",ISNUMBER(FIND("x"&amp;MID(L466,8,1),"x0x1x2x3x4x5x6x7x8x9"))),OR(9&gt;LEN(L466),MID(L466,9,1)=".",ISNUMBER(FIND("x"&amp;MID(L466,9,1),"x0x1x2x3x4x5x6x7x8x9"))),OR(10&gt;LEN(L466),MID(L466,10,1)=".",ISNUMBER(FIND("x"&amp;MID(L466,10,1),"x0x1x2x3x4x5x6x7x8x9"))),OR(AND(FIND(".",L466)=5,LEN(L466)-FIND(".",L466,FIND(".",L466)+1)&gt;=1,LEN(L466)-FIND(".",L466,FIND(".",L466)+1)&lt;=2),AND(LEN(L466)-FIND(".",L466,FIND(".",L466)+1)=4,FIND(".",L466)&gt;=2,FIND(".",L466)&lt;=3)),FIND(".",L466,FIND(".",L466)+1)-FIND(".",L466)&gt;=2,FIND(".",L466,FIND(".",L466)+1)-FIND(".",L466)&lt;=3,P466&gt;=2000,P466&lt;=2100,YEAR(S466)=P466,MONTH(S466)=Q466,DAY(S466)=R466),S466,0)),0)</ns0:f>
        <ns0:v>0</ns0:v>
      </ns0:c>
      <ns0:c r="U466" s="0" t="str">
        <ns0:f>IF(Bookings!C466="","Full day",Bookings!C466)</ns0:f>
        <ns0:v>Full day</ns0:v>
      </ns0:c>
      <ns0:c r="V466" s="0" t="str">
        <ns0:f>IF(Bookings!E466="","Full day",Bookings!E466)</ns0:f>
        <ns0:v>Full day</ns0:v>
      </ns0:c>
      <ns0:c r="W466" s="0">
        <ns0:f>IF(J466=0,0,J466+IF(U466="PM",1,0))</ns0:f>
        <ns0:v>0</ns0:v>
      </ns0:c>
      <ns0:c r="X466" s="0">
        <ns0:f>IF(T466=0,0,T466-IF(V466="PM",1,0))</ns0:f>
        <ns0:v>0</ns0:v>
      </ns0:c>
      <ns0:c r="Y466" s="0">
        <ns0:f>IF(J466=0,0,J466+IF(U466="AM",1,0))</ns0:f>
        <ns0:v>0</ns0:v>
      </ns0:c>
      <ns0:c r="Z466" s="0">
        <ns0:f>IF(T466=0,0,T466-IF(V466="AM",1,0))</ns0:f>
        <ns0:v>0</ns0:v>
      </ns0:c>
      <ns0:c r="AA466" s="0">
        <ns0:f>IFERROR(IF(AND(J466&gt;0,'_Engine'!C466&gt;0,MID('_Engine'!W466,WEEKDAY(J466,2),1)="W",COUNTIF(Settings!$F$18:$F$67,J466)=0),1,0),0)</ns0:f>
        <ns0:v>0</ns0:v>
      </ns0:c>
      <ns0:c r="AB466" s="0">
        <ns0:f>IFERROR(IF(AND(T466&gt;0,'_Engine'!C466&gt;0,MID('_Engine'!W466,WEEKDAY(T466,2),1)="W",COUNTIF(Settings!$F$18:$F$67,T466)=0),1,0),0)</ns0:f>
        <ns0:v>0</ns0:v>
      </ns0:c>
      <ns0:c r="AC466" s="0">
        <ns0:f>IF(AND(J466&gt;0,T466&gt;0,W466&lt;=X466),1,0)</ns0:f>
        <ns0:v>0</ns0:v>
      </ns0:c>
      <ns0:c r="AD466" s="0">
        <ns0:f>IF(AND(J466&gt;0,T466&gt;0,Y466&lt;=Z466),1,0)</ns0:f>
        <ns0:v>0</ns0:v>
      </ns0:c>
    </ns0:row>
    <ns0:row r="467">
      <ns0:c r="A467" s="0">
        <ns0:f>IFERROR(IF(ISNUMBER(Bookings!B467),"",TRIM(Bookings!B467&amp;"")),"")</ns0:f>
      </ns0:c>
      <ns0:c r="B467" s="0">
        <ns0:f>IFERROR(SUBSTITUTE(SUBSTITUTE(A467,"/","."),"-","."),"")</ns0:f>
      </ns0:c>
      <ns0:c r="C467" s="0">
        <ns0:f>IFERROR(LEFT(B467,FIND(".",B467)-1),"")</ns0:f>
      </ns0:c>
      <ns0:c r="D467" s="0">
        <ns0:f>IFERROR(MID(B467,FIND(".",B467)+1,FIND(".",B467,FIND(".",B467)+1)-FIND(".",B467)-1),"")</ns0:f>
      </ns0:c>
      <ns0:c r="E467" s="0">
        <ns0:f>IFERROR(MID(B467,FIND(".",B467,FIND(".",B467)+1)+1,99),"")</ns0:f>
        <ns0:v>99</ns0:v>
      </ns0:c>
      <ns0:c r="F467" s="0">
        <ns0:f>IFERROR(IF(FIND(".",B467)=5,--C467,--E467),0)</ns0:f>
        <ns0:v>0</ns0:v>
      </ns0:c>
      <ns0:c r="G467" s="0">
        <ns0:f>IFERROR(--D467,0)</ns0:f>
        <ns0:v>0</ns0:v>
      </ns0:c>
      <ns0:c r="H467" s="0">
        <ns0:f>IFERROR(IF(FIND(".",B467)=5,--E467,--C467),0)</ns0:f>
        <ns0:v>0</ns0:v>
      </ns0:c>
      <ns0:c r="I467" s="0">
        <ns0:f>IFERROR(IF(AND(F467&gt;=2000,F467&lt;=2100,G467&gt;=1,G467&lt;=12,H467&gt;=1,H467&lt;=31),DATE(F467,G467,H467),0),0)</ns0:f>
        <ns0:v>0</ns0:v>
      </ns0:c>
      <ns0:c r="J467" s="0">
        <ns0:f>IFERROR(IF(ISNUMBER(Bookings!B467),IF(AND(Bookings!B467=INT(Bookings!B467),Bookings!B467&gt;=DATE(2000,1,1),Bookings!B467&lt;=DATE(2100,12,31)),Bookings!B467,0),IF(AND(A467&lt;&gt;"",LEN("x"&amp;B467)-LEN(SUBSTITUTE("x"&amp;B467,".",""))=2,OR(1&gt;LEN(B467),MID(B467,1,1)=".",ISNUMBER(FIND("x"&amp;MID(B467,1,1),"x0x1x2x3x4x5x6x7x8x9"))),OR(2&gt;LEN(B467),MID(B467,2,1)=".",ISNUMBER(FIND("x"&amp;MID(B467,2,1),"x0x1x2x3x4x5x6x7x8x9"))),OR(3&gt;LEN(B467),MID(B467,3,1)=".",ISNUMBER(FIND("x"&amp;MID(B467,3,1),"x0x1x2x3x4x5x6x7x8x9"))),OR(4&gt;LEN(B467),MID(B467,4,1)=".",ISNUMBER(FIND("x"&amp;MID(B467,4,1),"x0x1x2x3x4x5x6x7x8x9"))),OR(5&gt;LEN(B467),MID(B467,5,1)=".",ISNUMBER(FIND("x"&amp;MID(B467,5,1),"x0x1x2x3x4x5x6x7x8x9"))),OR(6&gt;LEN(B467),MID(B467,6,1)=".",ISNUMBER(FIND("x"&amp;MID(B467,6,1),"x0x1x2x3x4x5x6x7x8x9"))),OR(7&gt;LEN(B467),MID(B467,7,1)=".",ISNUMBER(FIND("x"&amp;MID(B467,7,1),"x0x1x2x3x4x5x6x7x8x9"))),OR(8&gt;LEN(B467),MID(B467,8,1)=".",ISNUMBER(FIND("x"&amp;MID(B467,8,1),"x0x1x2x3x4x5x6x7x8x9"))),OR(9&gt;LEN(B467),MID(B467,9,1)=".",ISNUMBER(FIND("x"&amp;MID(B467,9,1),"x0x1x2x3x4x5x6x7x8x9"))),OR(10&gt;LEN(B467),MID(B467,10,1)=".",ISNUMBER(FIND("x"&amp;MID(B467,10,1),"x0x1x2x3x4x5x6x7x8x9"))),OR(AND(FIND(".",B467)=5,LEN(B467)-FIND(".",B467,FIND(".",B467)+1)&gt;=1,LEN(B467)-FIND(".",B467,FIND(".",B467)+1)&lt;=2),AND(LEN(B467)-FIND(".",B467,FIND(".",B467)+1)=4,FIND(".",B467)&gt;=2,FIND(".",B467)&lt;=3)),FIND(".",B467,FIND(".",B467)+1)-FIND(".",B467)&gt;=2,FIND(".",B467,FIND(".",B467)+1)-FIND(".",B467)&lt;=3,F467&gt;=2000,F467&lt;=2100,YEAR(I467)=F467,MONTH(I467)=G467,DAY(I467)=H467),I467,0)),0)</ns0:f>
        <ns0:v>0</ns0:v>
      </ns0:c>
      <ns0:c r="K467" s="0">
        <ns0:f>IFERROR(IF(ISNUMBER(Bookings!D467),"",TRIM(Bookings!D467&amp;"")),"")</ns0:f>
      </ns0:c>
      <ns0:c r="L467" s="0">
        <ns0:f>IFERROR(SUBSTITUTE(SUBSTITUTE(K467,"/","."),"-","."),"")</ns0:f>
      </ns0:c>
      <ns0:c r="M467" s="0">
        <ns0:f>IFERROR(LEFT(L467,FIND(".",L467)-1),"")</ns0:f>
      </ns0:c>
      <ns0:c r="N467" s="0">
        <ns0:f>IFERROR(MID(L467,FIND(".",L467)+1,FIND(".",L467,FIND(".",L467)+1)-FIND(".",L467)-1),"")</ns0:f>
      </ns0:c>
      <ns0:c r="O467" s="0">
        <ns0:f>IFERROR(MID(L467,FIND(".",L467,FIND(".",L467)+1)+1,99),"")</ns0:f>
        <ns0:v>99</ns0:v>
      </ns0:c>
      <ns0:c r="P467" s="0">
        <ns0:f>IFERROR(IF(FIND(".",L467)=5,--M467,--O467),0)</ns0:f>
        <ns0:v>0</ns0:v>
      </ns0:c>
      <ns0:c r="Q467" s="0">
        <ns0:f>IFERROR(--N467,0)</ns0:f>
        <ns0:v>0</ns0:v>
      </ns0:c>
      <ns0:c r="R467" s="0">
        <ns0:f>IFERROR(IF(FIND(".",L467)=5,--O467,--M467),0)</ns0:f>
        <ns0:v>0</ns0:v>
      </ns0:c>
      <ns0:c r="S467" s="0">
        <ns0:f>IFERROR(IF(AND(P467&gt;=2000,P467&lt;=2100,Q467&gt;=1,Q467&lt;=12,R467&gt;=1,R467&lt;=31),DATE(P467,Q467,R467),0),0)</ns0:f>
        <ns0:v>0</ns0:v>
      </ns0:c>
      <ns0:c r="T467" s="0">
        <ns0:f>IFERROR(IF(ISNUMBER(Bookings!D467),IF(AND(Bookings!D467=INT(Bookings!D467),Bookings!D467&gt;=DATE(2000,1,1),Bookings!D467&lt;=DATE(2100,12,31)),Bookings!D467,0),IF(AND(K467&lt;&gt;"",LEN("x"&amp;L467)-LEN(SUBSTITUTE("x"&amp;L467,".",""))=2,OR(1&gt;LEN(L467),MID(L467,1,1)=".",ISNUMBER(FIND("x"&amp;MID(L467,1,1),"x0x1x2x3x4x5x6x7x8x9"))),OR(2&gt;LEN(L467),MID(L467,2,1)=".",ISNUMBER(FIND("x"&amp;MID(L467,2,1),"x0x1x2x3x4x5x6x7x8x9"))),OR(3&gt;LEN(L467),MID(L467,3,1)=".",ISNUMBER(FIND("x"&amp;MID(L467,3,1),"x0x1x2x3x4x5x6x7x8x9"))),OR(4&gt;LEN(L467),MID(L467,4,1)=".",ISNUMBER(FIND("x"&amp;MID(L467,4,1),"x0x1x2x3x4x5x6x7x8x9"))),OR(5&gt;LEN(L467),MID(L467,5,1)=".",ISNUMBER(FIND("x"&amp;MID(L467,5,1),"x0x1x2x3x4x5x6x7x8x9"))),OR(6&gt;LEN(L467),MID(L467,6,1)=".",ISNUMBER(FIND("x"&amp;MID(L467,6,1),"x0x1x2x3x4x5x6x7x8x9"))),OR(7&gt;LEN(L467),MID(L467,7,1)=".",ISNUMBER(FIND("x"&amp;MID(L467,7,1),"x0x1x2x3x4x5x6x7x8x9"))),OR(8&gt;LEN(L467),MID(L467,8,1)=".",ISNUMBER(FIND("x"&amp;MID(L467,8,1),"x0x1x2x3x4x5x6x7x8x9"))),OR(9&gt;LEN(L467),MID(L467,9,1)=".",ISNUMBER(FIND("x"&amp;MID(L467,9,1),"x0x1x2x3x4x5x6x7x8x9"))),OR(10&gt;LEN(L467),MID(L467,10,1)=".",ISNUMBER(FIND("x"&amp;MID(L467,10,1),"x0x1x2x3x4x5x6x7x8x9"))),OR(AND(FIND(".",L467)=5,LEN(L467)-FIND(".",L467,FIND(".",L467)+1)&gt;=1,LEN(L467)-FIND(".",L467,FIND(".",L467)+1)&lt;=2),AND(LEN(L467)-FIND(".",L467,FIND(".",L467)+1)=4,FIND(".",L467)&gt;=2,FIND(".",L467)&lt;=3)),FIND(".",L467,FIND(".",L467)+1)-FIND(".",L467)&gt;=2,FIND(".",L467,FIND(".",L467)+1)-FIND(".",L467)&lt;=3,P467&gt;=2000,P467&lt;=2100,YEAR(S467)=P467,MONTH(S467)=Q467,DAY(S467)=R467),S467,0)),0)</ns0:f>
        <ns0:v>0</ns0:v>
      </ns0:c>
      <ns0:c r="U467" s="0" t="str">
        <ns0:f>IF(Bookings!C467="","Full day",Bookings!C467)</ns0:f>
        <ns0:v>Full day</ns0:v>
      </ns0:c>
      <ns0:c r="V467" s="0" t="str">
        <ns0:f>IF(Bookings!E467="","Full day",Bookings!E467)</ns0:f>
        <ns0:v>Full day</ns0:v>
      </ns0:c>
      <ns0:c r="W467" s="0">
        <ns0:f>IF(J467=0,0,J467+IF(U467="PM",1,0))</ns0:f>
        <ns0:v>0</ns0:v>
      </ns0:c>
      <ns0:c r="X467" s="0">
        <ns0:f>IF(T467=0,0,T467-IF(V467="PM",1,0))</ns0:f>
        <ns0:v>0</ns0:v>
      </ns0:c>
      <ns0:c r="Y467" s="0">
        <ns0:f>IF(J467=0,0,J467+IF(U467="AM",1,0))</ns0:f>
        <ns0:v>0</ns0:v>
      </ns0:c>
      <ns0:c r="Z467" s="0">
        <ns0:f>IF(T467=0,0,T467-IF(V467="AM",1,0))</ns0:f>
        <ns0:v>0</ns0:v>
      </ns0:c>
      <ns0:c r="AA467" s="0">
        <ns0:f>IFERROR(IF(AND(J467&gt;0,'_Engine'!C467&gt;0,MID('_Engine'!W467,WEEKDAY(J467,2),1)="W",COUNTIF(Settings!$F$18:$F$67,J467)=0),1,0),0)</ns0:f>
        <ns0:v>0</ns0:v>
      </ns0:c>
      <ns0:c r="AB467" s="0">
        <ns0:f>IFERROR(IF(AND(T467&gt;0,'_Engine'!C467&gt;0,MID('_Engine'!W467,WEEKDAY(T467,2),1)="W",COUNTIF(Settings!$F$18:$F$67,T467)=0),1,0),0)</ns0:f>
        <ns0:v>0</ns0:v>
      </ns0:c>
      <ns0:c r="AC467" s="0">
        <ns0:f>IF(AND(J467&gt;0,T467&gt;0,W467&lt;=X467),1,0)</ns0:f>
        <ns0:v>0</ns0:v>
      </ns0:c>
      <ns0:c r="AD467" s="0">
        <ns0:f>IF(AND(J467&gt;0,T467&gt;0,Y467&lt;=Z467),1,0)</ns0:f>
        <ns0:v>0</ns0:v>
      </ns0:c>
    </ns0:row>
    <ns0:row r="468">
      <ns0:c r="A468" s="0">
        <ns0:f>IFERROR(IF(ISNUMBER(Bookings!B468),"",TRIM(Bookings!B468&amp;"")),"")</ns0:f>
      </ns0:c>
      <ns0:c r="B468" s="0">
        <ns0:f>IFERROR(SUBSTITUTE(SUBSTITUTE(A468,"/","."),"-","."),"")</ns0:f>
      </ns0:c>
      <ns0:c r="C468" s="0">
        <ns0:f>IFERROR(LEFT(B468,FIND(".",B468)-1),"")</ns0:f>
      </ns0:c>
      <ns0:c r="D468" s="0">
        <ns0:f>IFERROR(MID(B468,FIND(".",B468)+1,FIND(".",B468,FIND(".",B468)+1)-FIND(".",B468)-1),"")</ns0:f>
      </ns0:c>
      <ns0:c r="E468" s="0">
        <ns0:f>IFERROR(MID(B468,FIND(".",B468,FIND(".",B468)+1)+1,99),"")</ns0:f>
        <ns0:v>99</ns0:v>
      </ns0:c>
      <ns0:c r="F468" s="0">
        <ns0:f>IFERROR(IF(FIND(".",B468)=5,--C468,--E468),0)</ns0:f>
        <ns0:v>0</ns0:v>
      </ns0:c>
      <ns0:c r="G468" s="0">
        <ns0:f>IFERROR(--D468,0)</ns0:f>
        <ns0:v>0</ns0:v>
      </ns0:c>
      <ns0:c r="H468" s="0">
        <ns0:f>IFERROR(IF(FIND(".",B468)=5,--E468,--C468),0)</ns0:f>
        <ns0:v>0</ns0:v>
      </ns0:c>
      <ns0:c r="I468" s="0">
        <ns0:f>IFERROR(IF(AND(F468&gt;=2000,F468&lt;=2100,G468&gt;=1,G468&lt;=12,H468&gt;=1,H468&lt;=31),DATE(F468,G468,H468),0),0)</ns0:f>
        <ns0:v>0</ns0:v>
      </ns0:c>
      <ns0:c r="J468" s="0">
        <ns0:f>IFERROR(IF(ISNUMBER(Bookings!B468),IF(AND(Bookings!B468=INT(Bookings!B468),Bookings!B468&gt;=DATE(2000,1,1),Bookings!B468&lt;=DATE(2100,12,31)),Bookings!B468,0),IF(AND(A468&lt;&gt;"",LEN("x"&amp;B468)-LEN(SUBSTITUTE("x"&amp;B468,".",""))=2,OR(1&gt;LEN(B468),MID(B468,1,1)=".",ISNUMBER(FIND("x"&amp;MID(B468,1,1),"x0x1x2x3x4x5x6x7x8x9"))),OR(2&gt;LEN(B468),MID(B468,2,1)=".",ISNUMBER(FIND("x"&amp;MID(B468,2,1),"x0x1x2x3x4x5x6x7x8x9"))),OR(3&gt;LEN(B468),MID(B468,3,1)=".",ISNUMBER(FIND("x"&amp;MID(B468,3,1),"x0x1x2x3x4x5x6x7x8x9"))),OR(4&gt;LEN(B468),MID(B468,4,1)=".",ISNUMBER(FIND("x"&amp;MID(B468,4,1),"x0x1x2x3x4x5x6x7x8x9"))),OR(5&gt;LEN(B468),MID(B468,5,1)=".",ISNUMBER(FIND("x"&amp;MID(B468,5,1),"x0x1x2x3x4x5x6x7x8x9"))),OR(6&gt;LEN(B468),MID(B468,6,1)=".",ISNUMBER(FIND("x"&amp;MID(B468,6,1),"x0x1x2x3x4x5x6x7x8x9"))),OR(7&gt;LEN(B468),MID(B468,7,1)=".",ISNUMBER(FIND("x"&amp;MID(B468,7,1),"x0x1x2x3x4x5x6x7x8x9"))),OR(8&gt;LEN(B468),MID(B468,8,1)=".",ISNUMBER(FIND("x"&amp;MID(B468,8,1),"x0x1x2x3x4x5x6x7x8x9"))),OR(9&gt;LEN(B468),MID(B468,9,1)=".",ISNUMBER(FIND("x"&amp;MID(B468,9,1),"x0x1x2x3x4x5x6x7x8x9"))),OR(10&gt;LEN(B468),MID(B468,10,1)=".",ISNUMBER(FIND("x"&amp;MID(B468,10,1),"x0x1x2x3x4x5x6x7x8x9"))),OR(AND(FIND(".",B468)=5,LEN(B468)-FIND(".",B468,FIND(".",B468)+1)&gt;=1,LEN(B468)-FIND(".",B468,FIND(".",B468)+1)&lt;=2),AND(LEN(B468)-FIND(".",B468,FIND(".",B468)+1)=4,FIND(".",B468)&gt;=2,FIND(".",B468)&lt;=3)),FIND(".",B468,FIND(".",B468)+1)-FIND(".",B468)&gt;=2,FIND(".",B468,FIND(".",B468)+1)-FIND(".",B468)&lt;=3,F468&gt;=2000,F468&lt;=2100,YEAR(I468)=F468,MONTH(I468)=G468,DAY(I468)=H468),I468,0)),0)</ns0:f>
        <ns0:v>0</ns0:v>
      </ns0:c>
      <ns0:c r="K468" s="0">
        <ns0:f>IFERROR(IF(ISNUMBER(Bookings!D468),"",TRIM(Bookings!D468&amp;"")),"")</ns0:f>
      </ns0:c>
      <ns0:c r="L468" s="0">
        <ns0:f>IFERROR(SUBSTITUTE(SUBSTITUTE(K468,"/","."),"-","."),"")</ns0:f>
      </ns0:c>
      <ns0:c r="M468" s="0">
        <ns0:f>IFERROR(LEFT(L468,FIND(".",L468)-1),"")</ns0:f>
      </ns0:c>
      <ns0:c r="N468" s="0">
        <ns0:f>IFERROR(MID(L468,FIND(".",L468)+1,FIND(".",L468,FIND(".",L468)+1)-FIND(".",L468)-1),"")</ns0:f>
      </ns0:c>
      <ns0:c r="O468" s="0">
        <ns0:f>IFERROR(MID(L468,FIND(".",L468,FIND(".",L468)+1)+1,99),"")</ns0:f>
        <ns0:v>99</ns0:v>
      </ns0:c>
      <ns0:c r="P468" s="0">
        <ns0:f>IFERROR(IF(FIND(".",L468)=5,--M468,--O468),0)</ns0:f>
        <ns0:v>0</ns0:v>
      </ns0:c>
      <ns0:c r="Q468" s="0">
        <ns0:f>IFERROR(--N468,0)</ns0:f>
        <ns0:v>0</ns0:v>
      </ns0:c>
      <ns0:c r="R468" s="0">
        <ns0:f>IFERROR(IF(FIND(".",L468)=5,--O468,--M468),0)</ns0:f>
        <ns0:v>0</ns0:v>
      </ns0:c>
      <ns0:c r="S468" s="0">
        <ns0:f>IFERROR(IF(AND(P468&gt;=2000,P468&lt;=2100,Q468&gt;=1,Q468&lt;=12,R468&gt;=1,R468&lt;=31),DATE(P468,Q468,R468),0),0)</ns0:f>
        <ns0:v>0</ns0:v>
      </ns0:c>
      <ns0:c r="T468" s="0">
        <ns0:f>IFERROR(IF(ISNUMBER(Bookings!D468),IF(AND(Bookings!D468=INT(Bookings!D468),Bookings!D468&gt;=DATE(2000,1,1),Bookings!D468&lt;=DATE(2100,12,31)),Bookings!D468,0),IF(AND(K468&lt;&gt;"",LEN("x"&amp;L468)-LEN(SUBSTITUTE("x"&amp;L468,".",""))=2,OR(1&gt;LEN(L468),MID(L468,1,1)=".",ISNUMBER(FIND("x"&amp;MID(L468,1,1),"x0x1x2x3x4x5x6x7x8x9"))),OR(2&gt;LEN(L468),MID(L468,2,1)=".",ISNUMBER(FIND("x"&amp;MID(L468,2,1),"x0x1x2x3x4x5x6x7x8x9"))),OR(3&gt;LEN(L468),MID(L468,3,1)=".",ISNUMBER(FIND("x"&amp;MID(L468,3,1),"x0x1x2x3x4x5x6x7x8x9"))),OR(4&gt;LEN(L468),MID(L468,4,1)=".",ISNUMBER(FIND("x"&amp;MID(L468,4,1),"x0x1x2x3x4x5x6x7x8x9"))),OR(5&gt;LEN(L468),MID(L468,5,1)=".",ISNUMBER(FIND("x"&amp;MID(L468,5,1),"x0x1x2x3x4x5x6x7x8x9"))),OR(6&gt;LEN(L468),MID(L468,6,1)=".",ISNUMBER(FIND("x"&amp;MID(L468,6,1),"x0x1x2x3x4x5x6x7x8x9"))),OR(7&gt;LEN(L468),MID(L468,7,1)=".",ISNUMBER(FIND("x"&amp;MID(L468,7,1),"x0x1x2x3x4x5x6x7x8x9"))),OR(8&gt;LEN(L468),MID(L468,8,1)=".",ISNUMBER(FIND("x"&amp;MID(L468,8,1),"x0x1x2x3x4x5x6x7x8x9"))),OR(9&gt;LEN(L468),MID(L468,9,1)=".",ISNUMBER(FIND("x"&amp;MID(L468,9,1),"x0x1x2x3x4x5x6x7x8x9"))),OR(10&gt;LEN(L468),MID(L468,10,1)=".",ISNUMBER(FIND("x"&amp;MID(L468,10,1),"x0x1x2x3x4x5x6x7x8x9"))),OR(AND(FIND(".",L468)=5,LEN(L468)-FIND(".",L468,FIND(".",L468)+1)&gt;=1,LEN(L468)-FIND(".",L468,FIND(".",L468)+1)&lt;=2),AND(LEN(L468)-FIND(".",L468,FIND(".",L468)+1)=4,FIND(".",L468)&gt;=2,FIND(".",L468)&lt;=3)),FIND(".",L468,FIND(".",L468)+1)-FIND(".",L468)&gt;=2,FIND(".",L468,FIND(".",L468)+1)-FIND(".",L468)&lt;=3,P468&gt;=2000,P468&lt;=2100,YEAR(S468)=P468,MONTH(S468)=Q468,DAY(S468)=R468),S468,0)),0)</ns0:f>
        <ns0:v>0</ns0:v>
      </ns0:c>
      <ns0:c r="U468" s="0" t="str">
        <ns0:f>IF(Bookings!C468="","Full day",Bookings!C468)</ns0:f>
        <ns0:v>Full day</ns0:v>
      </ns0:c>
      <ns0:c r="V468" s="0" t="str">
        <ns0:f>IF(Bookings!E468="","Full day",Bookings!E468)</ns0:f>
        <ns0:v>Full day</ns0:v>
      </ns0:c>
      <ns0:c r="W468" s="0">
        <ns0:f>IF(J468=0,0,J468+IF(U468="PM",1,0))</ns0:f>
        <ns0:v>0</ns0:v>
      </ns0:c>
      <ns0:c r="X468" s="0">
        <ns0:f>IF(T468=0,0,T468-IF(V468="PM",1,0))</ns0:f>
        <ns0:v>0</ns0:v>
      </ns0:c>
      <ns0:c r="Y468" s="0">
        <ns0:f>IF(J468=0,0,J468+IF(U468="AM",1,0))</ns0:f>
        <ns0:v>0</ns0:v>
      </ns0:c>
      <ns0:c r="Z468" s="0">
        <ns0:f>IF(T468=0,0,T468-IF(V468="AM",1,0))</ns0:f>
        <ns0:v>0</ns0:v>
      </ns0:c>
      <ns0:c r="AA468" s="0">
        <ns0:f>IFERROR(IF(AND(J468&gt;0,'_Engine'!C468&gt;0,MID('_Engine'!W468,WEEKDAY(J468,2),1)="W",COUNTIF(Settings!$F$18:$F$67,J468)=0),1,0),0)</ns0:f>
        <ns0:v>0</ns0:v>
      </ns0:c>
      <ns0:c r="AB468" s="0">
        <ns0:f>IFERROR(IF(AND(T468&gt;0,'_Engine'!C468&gt;0,MID('_Engine'!W468,WEEKDAY(T468,2),1)="W",COUNTIF(Settings!$F$18:$F$67,T468)=0),1,0),0)</ns0:f>
        <ns0:v>0</ns0:v>
      </ns0:c>
      <ns0:c r="AC468" s="0">
        <ns0:f>IF(AND(J468&gt;0,T468&gt;0,W468&lt;=X468),1,0)</ns0:f>
        <ns0:v>0</ns0:v>
      </ns0:c>
      <ns0:c r="AD468" s="0">
        <ns0:f>IF(AND(J468&gt;0,T468&gt;0,Y468&lt;=Z468),1,0)</ns0:f>
        <ns0:v>0</ns0:v>
      </ns0:c>
    </ns0:row>
    <ns0:row r="469">
      <ns0:c r="A469" s="0">
        <ns0:f>IFERROR(IF(ISNUMBER(Bookings!B469),"",TRIM(Bookings!B469&amp;"")),"")</ns0:f>
      </ns0:c>
      <ns0:c r="B469" s="0">
        <ns0:f>IFERROR(SUBSTITUTE(SUBSTITUTE(A469,"/","."),"-","."),"")</ns0:f>
      </ns0:c>
      <ns0:c r="C469" s="0">
        <ns0:f>IFERROR(LEFT(B469,FIND(".",B469)-1),"")</ns0:f>
      </ns0:c>
      <ns0:c r="D469" s="0">
        <ns0:f>IFERROR(MID(B469,FIND(".",B469)+1,FIND(".",B469,FIND(".",B469)+1)-FIND(".",B469)-1),"")</ns0:f>
      </ns0:c>
      <ns0:c r="E469" s="0">
        <ns0:f>IFERROR(MID(B469,FIND(".",B469,FIND(".",B469)+1)+1,99),"")</ns0:f>
        <ns0:v>99</ns0:v>
      </ns0:c>
      <ns0:c r="F469" s="0">
        <ns0:f>IFERROR(IF(FIND(".",B469)=5,--C469,--E469),0)</ns0:f>
        <ns0:v>0</ns0:v>
      </ns0:c>
      <ns0:c r="G469" s="0">
        <ns0:f>IFERROR(--D469,0)</ns0:f>
        <ns0:v>0</ns0:v>
      </ns0:c>
      <ns0:c r="H469" s="0">
        <ns0:f>IFERROR(IF(FIND(".",B469)=5,--E469,--C469),0)</ns0:f>
        <ns0:v>0</ns0:v>
      </ns0:c>
      <ns0:c r="I469" s="0">
        <ns0:f>IFERROR(IF(AND(F469&gt;=2000,F469&lt;=2100,G469&gt;=1,G469&lt;=12,H469&gt;=1,H469&lt;=31),DATE(F469,G469,H469),0),0)</ns0:f>
        <ns0:v>0</ns0:v>
      </ns0:c>
      <ns0:c r="J469" s="0">
        <ns0:f>IFERROR(IF(ISNUMBER(Bookings!B469),IF(AND(Bookings!B469=INT(Bookings!B469),Bookings!B469&gt;=DATE(2000,1,1),Bookings!B469&lt;=DATE(2100,12,31)),Bookings!B469,0),IF(AND(A469&lt;&gt;"",LEN("x"&amp;B469)-LEN(SUBSTITUTE("x"&amp;B469,".",""))=2,OR(1&gt;LEN(B469),MID(B469,1,1)=".",ISNUMBER(FIND("x"&amp;MID(B469,1,1),"x0x1x2x3x4x5x6x7x8x9"))),OR(2&gt;LEN(B469),MID(B469,2,1)=".",ISNUMBER(FIND("x"&amp;MID(B469,2,1),"x0x1x2x3x4x5x6x7x8x9"))),OR(3&gt;LEN(B469),MID(B469,3,1)=".",ISNUMBER(FIND("x"&amp;MID(B469,3,1),"x0x1x2x3x4x5x6x7x8x9"))),OR(4&gt;LEN(B469),MID(B469,4,1)=".",ISNUMBER(FIND("x"&amp;MID(B469,4,1),"x0x1x2x3x4x5x6x7x8x9"))),OR(5&gt;LEN(B469),MID(B469,5,1)=".",ISNUMBER(FIND("x"&amp;MID(B469,5,1),"x0x1x2x3x4x5x6x7x8x9"))),OR(6&gt;LEN(B469),MID(B469,6,1)=".",ISNUMBER(FIND("x"&amp;MID(B469,6,1),"x0x1x2x3x4x5x6x7x8x9"))),OR(7&gt;LEN(B469),MID(B469,7,1)=".",ISNUMBER(FIND("x"&amp;MID(B469,7,1),"x0x1x2x3x4x5x6x7x8x9"))),OR(8&gt;LEN(B469),MID(B469,8,1)=".",ISNUMBER(FIND("x"&amp;MID(B469,8,1),"x0x1x2x3x4x5x6x7x8x9"))),OR(9&gt;LEN(B469),MID(B469,9,1)=".",ISNUMBER(FIND("x"&amp;MID(B469,9,1),"x0x1x2x3x4x5x6x7x8x9"))),OR(10&gt;LEN(B469),MID(B469,10,1)=".",ISNUMBER(FIND("x"&amp;MID(B469,10,1),"x0x1x2x3x4x5x6x7x8x9"))),OR(AND(FIND(".",B469)=5,LEN(B469)-FIND(".",B469,FIND(".",B469)+1)&gt;=1,LEN(B469)-FIND(".",B469,FIND(".",B469)+1)&lt;=2),AND(LEN(B469)-FIND(".",B469,FIND(".",B469)+1)=4,FIND(".",B469)&gt;=2,FIND(".",B469)&lt;=3)),FIND(".",B469,FIND(".",B469)+1)-FIND(".",B469)&gt;=2,FIND(".",B469,FIND(".",B469)+1)-FIND(".",B469)&lt;=3,F469&gt;=2000,F469&lt;=2100,YEAR(I469)=F469,MONTH(I469)=G469,DAY(I469)=H469),I469,0)),0)</ns0:f>
        <ns0:v>0</ns0:v>
      </ns0:c>
      <ns0:c r="K469" s="0">
        <ns0:f>IFERROR(IF(ISNUMBER(Bookings!D469),"",TRIM(Bookings!D469&amp;"")),"")</ns0:f>
      </ns0:c>
      <ns0:c r="L469" s="0">
        <ns0:f>IFERROR(SUBSTITUTE(SUBSTITUTE(K469,"/","."),"-","."),"")</ns0:f>
      </ns0:c>
      <ns0:c r="M469" s="0">
        <ns0:f>IFERROR(LEFT(L469,FIND(".",L469)-1),"")</ns0:f>
      </ns0:c>
      <ns0:c r="N469" s="0">
        <ns0:f>IFERROR(MID(L469,FIND(".",L469)+1,FIND(".",L469,FIND(".",L469)+1)-FIND(".",L469)-1),"")</ns0:f>
      </ns0:c>
      <ns0:c r="O469" s="0">
        <ns0:f>IFERROR(MID(L469,FIND(".",L469,FIND(".",L469)+1)+1,99),"")</ns0:f>
        <ns0:v>99</ns0:v>
      </ns0:c>
      <ns0:c r="P469" s="0">
        <ns0:f>IFERROR(IF(FIND(".",L469)=5,--M469,--O469),0)</ns0:f>
        <ns0:v>0</ns0:v>
      </ns0:c>
      <ns0:c r="Q469" s="0">
        <ns0:f>IFERROR(--N469,0)</ns0:f>
        <ns0:v>0</ns0:v>
      </ns0:c>
      <ns0:c r="R469" s="0">
        <ns0:f>IFERROR(IF(FIND(".",L469)=5,--O469,--M469),0)</ns0:f>
        <ns0:v>0</ns0:v>
      </ns0:c>
      <ns0:c r="S469" s="0">
        <ns0:f>IFERROR(IF(AND(P469&gt;=2000,P469&lt;=2100,Q469&gt;=1,Q469&lt;=12,R469&gt;=1,R469&lt;=31),DATE(P469,Q469,R469),0),0)</ns0:f>
        <ns0:v>0</ns0:v>
      </ns0:c>
      <ns0:c r="T469" s="0">
        <ns0:f>IFERROR(IF(ISNUMBER(Bookings!D469),IF(AND(Bookings!D469=INT(Bookings!D469),Bookings!D469&gt;=DATE(2000,1,1),Bookings!D469&lt;=DATE(2100,12,31)),Bookings!D469,0),IF(AND(K469&lt;&gt;"",LEN("x"&amp;L469)-LEN(SUBSTITUTE("x"&amp;L469,".",""))=2,OR(1&gt;LEN(L469),MID(L469,1,1)=".",ISNUMBER(FIND("x"&amp;MID(L469,1,1),"x0x1x2x3x4x5x6x7x8x9"))),OR(2&gt;LEN(L469),MID(L469,2,1)=".",ISNUMBER(FIND("x"&amp;MID(L469,2,1),"x0x1x2x3x4x5x6x7x8x9"))),OR(3&gt;LEN(L469),MID(L469,3,1)=".",ISNUMBER(FIND("x"&amp;MID(L469,3,1),"x0x1x2x3x4x5x6x7x8x9"))),OR(4&gt;LEN(L469),MID(L469,4,1)=".",ISNUMBER(FIND("x"&amp;MID(L469,4,1),"x0x1x2x3x4x5x6x7x8x9"))),OR(5&gt;LEN(L469),MID(L469,5,1)=".",ISNUMBER(FIND("x"&amp;MID(L469,5,1),"x0x1x2x3x4x5x6x7x8x9"))),OR(6&gt;LEN(L469),MID(L469,6,1)=".",ISNUMBER(FIND("x"&amp;MID(L469,6,1),"x0x1x2x3x4x5x6x7x8x9"))),OR(7&gt;LEN(L469),MID(L469,7,1)=".",ISNUMBER(FIND("x"&amp;MID(L469,7,1),"x0x1x2x3x4x5x6x7x8x9"))),OR(8&gt;LEN(L469),MID(L469,8,1)=".",ISNUMBER(FIND("x"&amp;MID(L469,8,1),"x0x1x2x3x4x5x6x7x8x9"))),OR(9&gt;LEN(L469),MID(L469,9,1)=".",ISNUMBER(FIND("x"&amp;MID(L469,9,1),"x0x1x2x3x4x5x6x7x8x9"))),OR(10&gt;LEN(L469),MID(L469,10,1)=".",ISNUMBER(FIND("x"&amp;MID(L469,10,1),"x0x1x2x3x4x5x6x7x8x9"))),OR(AND(FIND(".",L469)=5,LEN(L469)-FIND(".",L469,FIND(".",L469)+1)&gt;=1,LEN(L469)-FIND(".",L469,FIND(".",L469)+1)&lt;=2),AND(LEN(L469)-FIND(".",L469,FIND(".",L469)+1)=4,FIND(".",L469)&gt;=2,FIND(".",L469)&lt;=3)),FIND(".",L469,FIND(".",L469)+1)-FIND(".",L469)&gt;=2,FIND(".",L469,FIND(".",L469)+1)-FIND(".",L469)&lt;=3,P469&gt;=2000,P469&lt;=2100,YEAR(S469)=P469,MONTH(S469)=Q469,DAY(S469)=R469),S469,0)),0)</ns0:f>
        <ns0:v>0</ns0:v>
      </ns0:c>
      <ns0:c r="U469" s="0" t="str">
        <ns0:f>IF(Bookings!C469="","Full day",Bookings!C469)</ns0:f>
        <ns0:v>Full day</ns0:v>
      </ns0:c>
      <ns0:c r="V469" s="0" t="str">
        <ns0:f>IF(Bookings!E469="","Full day",Bookings!E469)</ns0:f>
        <ns0:v>Full day</ns0:v>
      </ns0:c>
      <ns0:c r="W469" s="0">
        <ns0:f>IF(J469=0,0,J469+IF(U469="PM",1,0))</ns0:f>
        <ns0:v>0</ns0:v>
      </ns0:c>
      <ns0:c r="X469" s="0">
        <ns0:f>IF(T469=0,0,T469-IF(V469="PM",1,0))</ns0:f>
        <ns0:v>0</ns0:v>
      </ns0:c>
      <ns0:c r="Y469" s="0">
        <ns0:f>IF(J469=0,0,J469+IF(U469="AM",1,0))</ns0:f>
        <ns0:v>0</ns0:v>
      </ns0:c>
      <ns0:c r="Z469" s="0">
        <ns0:f>IF(T469=0,0,T469-IF(V469="AM",1,0))</ns0:f>
        <ns0:v>0</ns0:v>
      </ns0:c>
      <ns0:c r="AA469" s="0">
        <ns0:f>IFERROR(IF(AND(J469&gt;0,'_Engine'!C469&gt;0,MID('_Engine'!W469,WEEKDAY(J469,2),1)="W",COUNTIF(Settings!$F$18:$F$67,J469)=0),1,0),0)</ns0:f>
        <ns0:v>0</ns0:v>
      </ns0:c>
      <ns0:c r="AB469" s="0">
        <ns0:f>IFERROR(IF(AND(T469&gt;0,'_Engine'!C469&gt;0,MID('_Engine'!W469,WEEKDAY(T469,2),1)="W",COUNTIF(Settings!$F$18:$F$67,T469)=0),1,0),0)</ns0:f>
        <ns0:v>0</ns0:v>
      </ns0:c>
      <ns0:c r="AC469" s="0">
        <ns0:f>IF(AND(J469&gt;0,T469&gt;0,W469&lt;=X469),1,0)</ns0:f>
        <ns0:v>0</ns0:v>
      </ns0:c>
      <ns0:c r="AD469" s="0">
        <ns0:f>IF(AND(J469&gt;0,T469&gt;0,Y469&lt;=Z469),1,0)</ns0:f>
        <ns0:v>0</ns0:v>
      </ns0:c>
    </ns0:row>
    <ns0:row r="470">
      <ns0:c r="A470" s="0">
        <ns0:f>IFERROR(IF(ISNUMBER(Bookings!B470),"",TRIM(Bookings!B470&amp;"")),"")</ns0:f>
      </ns0:c>
      <ns0:c r="B470" s="0">
        <ns0:f>IFERROR(SUBSTITUTE(SUBSTITUTE(A470,"/","."),"-","."),"")</ns0:f>
      </ns0:c>
      <ns0:c r="C470" s="0">
        <ns0:f>IFERROR(LEFT(B470,FIND(".",B470)-1),"")</ns0:f>
      </ns0:c>
      <ns0:c r="D470" s="0">
        <ns0:f>IFERROR(MID(B470,FIND(".",B470)+1,FIND(".",B470,FIND(".",B470)+1)-FIND(".",B470)-1),"")</ns0:f>
      </ns0:c>
      <ns0:c r="E470" s="0">
        <ns0:f>IFERROR(MID(B470,FIND(".",B470,FIND(".",B470)+1)+1,99),"")</ns0:f>
        <ns0:v>99</ns0:v>
      </ns0:c>
      <ns0:c r="F470" s="0">
        <ns0:f>IFERROR(IF(FIND(".",B470)=5,--C470,--E470),0)</ns0:f>
        <ns0:v>0</ns0:v>
      </ns0:c>
      <ns0:c r="G470" s="0">
        <ns0:f>IFERROR(--D470,0)</ns0:f>
        <ns0:v>0</ns0:v>
      </ns0:c>
      <ns0:c r="H470" s="0">
        <ns0:f>IFERROR(IF(FIND(".",B470)=5,--E470,--C470),0)</ns0:f>
        <ns0:v>0</ns0:v>
      </ns0:c>
      <ns0:c r="I470" s="0">
        <ns0:f>IFERROR(IF(AND(F470&gt;=2000,F470&lt;=2100,G470&gt;=1,G470&lt;=12,H470&gt;=1,H470&lt;=31),DATE(F470,G470,H470),0),0)</ns0:f>
        <ns0:v>0</ns0:v>
      </ns0:c>
      <ns0:c r="J470" s="0">
        <ns0:f>IFERROR(IF(ISNUMBER(Bookings!B470),IF(AND(Bookings!B470=INT(Bookings!B470),Bookings!B470&gt;=DATE(2000,1,1),Bookings!B470&lt;=DATE(2100,12,31)),Bookings!B470,0),IF(AND(A470&lt;&gt;"",LEN("x"&amp;B470)-LEN(SUBSTITUTE("x"&amp;B470,".",""))=2,OR(1&gt;LEN(B470),MID(B470,1,1)=".",ISNUMBER(FIND("x"&amp;MID(B470,1,1),"x0x1x2x3x4x5x6x7x8x9"))),OR(2&gt;LEN(B470),MID(B470,2,1)=".",ISNUMBER(FIND("x"&amp;MID(B470,2,1),"x0x1x2x3x4x5x6x7x8x9"))),OR(3&gt;LEN(B470),MID(B470,3,1)=".",ISNUMBER(FIND("x"&amp;MID(B470,3,1),"x0x1x2x3x4x5x6x7x8x9"))),OR(4&gt;LEN(B470),MID(B470,4,1)=".",ISNUMBER(FIND("x"&amp;MID(B470,4,1),"x0x1x2x3x4x5x6x7x8x9"))),OR(5&gt;LEN(B470),MID(B470,5,1)=".",ISNUMBER(FIND("x"&amp;MID(B470,5,1),"x0x1x2x3x4x5x6x7x8x9"))),OR(6&gt;LEN(B470),MID(B470,6,1)=".",ISNUMBER(FIND("x"&amp;MID(B470,6,1),"x0x1x2x3x4x5x6x7x8x9"))),OR(7&gt;LEN(B470),MID(B470,7,1)=".",ISNUMBER(FIND("x"&amp;MID(B470,7,1),"x0x1x2x3x4x5x6x7x8x9"))),OR(8&gt;LEN(B470),MID(B470,8,1)=".",ISNUMBER(FIND("x"&amp;MID(B470,8,1),"x0x1x2x3x4x5x6x7x8x9"))),OR(9&gt;LEN(B470),MID(B470,9,1)=".",ISNUMBER(FIND("x"&amp;MID(B470,9,1),"x0x1x2x3x4x5x6x7x8x9"))),OR(10&gt;LEN(B470),MID(B470,10,1)=".",ISNUMBER(FIND("x"&amp;MID(B470,10,1),"x0x1x2x3x4x5x6x7x8x9"))),OR(AND(FIND(".",B470)=5,LEN(B470)-FIND(".",B470,FIND(".",B470)+1)&gt;=1,LEN(B470)-FIND(".",B470,FIND(".",B470)+1)&lt;=2),AND(LEN(B470)-FIND(".",B470,FIND(".",B470)+1)=4,FIND(".",B470)&gt;=2,FIND(".",B470)&lt;=3)),FIND(".",B470,FIND(".",B470)+1)-FIND(".",B470)&gt;=2,FIND(".",B470,FIND(".",B470)+1)-FIND(".",B470)&lt;=3,F470&gt;=2000,F470&lt;=2100,YEAR(I470)=F470,MONTH(I470)=G470,DAY(I470)=H470),I470,0)),0)</ns0:f>
        <ns0:v>0</ns0:v>
      </ns0:c>
      <ns0:c r="K470" s="0">
        <ns0:f>IFERROR(IF(ISNUMBER(Bookings!D470),"",TRIM(Bookings!D470&amp;"")),"")</ns0:f>
      </ns0:c>
      <ns0:c r="L470" s="0">
        <ns0:f>IFERROR(SUBSTITUTE(SUBSTITUTE(K470,"/","."),"-","."),"")</ns0:f>
      </ns0:c>
      <ns0:c r="M470" s="0">
        <ns0:f>IFERROR(LEFT(L470,FIND(".",L470)-1),"")</ns0:f>
      </ns0:c>
      <ns0:c r="N470" s="0">
        <ns0:f>IFERROR(MID(L470,FIND(".",L470)+1,FIND(".",L470,FIND(".",L470)+1)-FIND(".",L470)-1),"")</ns0:f>
      </ns0:c>
      <ns0:c r="O470" s="0">
        <ns0:f>IFERROR(MID(L470,FIND(".",L470,FIND(".",L470)+1)+1,99),"")</ns0:f>
        <ns0:v>99</ns0:v>
      </ns0:c>
      <ns0:c r="P470" s="0">
        <ns0:f>IFERROR(IF(FIND(".",L470)=5,--M470,--O470),0)</ns0:f>
        <ns0:v>0</ns0:v>
      </ns0:c>
      <ns0:c r="Q470" s="0">
        <ns0:f>IFERROR(--N470,0)</ns0:f>
        <ns0:v>0</ns0:v>
      </ns0:c>
      <ns0:c r="R470" s="0">
        <ns0:f>IFERROR(IF(FIND(".",L470)=5,--O470,--M470),0)</ns0:f>
        <ns0:v>0</ns0:v>
      </ns0:c>
      <ns0:c r="S470" s="0">
        <ns0:f>IFERROR(IF(AND(P470&gt;=2000,P470&lt;=2100,Q470&gt;=1,Q470&lt;=12,R470&gt;=1,R470&lt;=31),DATE(P470,Q470,R470),0),0)</ns0:f>
        <ns0:v>0</ns0:v>
      </ns0:c>
      <ns0:c r="T470" s="0">
        <ns0:f>IFERROR(IF(ISNUMBER(Bookings!D470),IF(AND(Bookings!D470=INT(Bookings!D470),Bookings!D470&gt;=DATE(2000,1,1),Bookings!D470&lt;=DATE(2100,12,31)),Bookings!D470,0),IF(AND(K470&lt;&gt;"",LEN("x"&amp;L470)-LEN(SUBSTITUTE("x"&amp;L470,".",""))=2,OR(1&gt;LEN(L470),MID(L470,1,1)=".",ISNUMBER(FIND("x"&amp;MID(L470,1,1),"x0x1x2x3x4x5x6x7x8x9"))),OR(2&gt;LEN(L470),MID(L470,2,1)=".",ISNUMBER(FIND("x"&amp;MID(L470,2,1),"x0x1x2x3x4x5x6x7x8x9"))),OR(3&gt;LEN(L470),MID(L470,3,1)=".",ISNUMBER(FIND("x"&amp;MID(L470,3,1),"x0x1x2x3x4x5x6x7x8x9"))),OR(4&gt;LEN(L470),MID(L470,4,1)=".",ISNUMBER(FIND("x"&amp;MID(L470,4,1),"x0x1x2x3x4x5x6x7x8x9"))),OR(5&gt;LEN(L470),MID(L470,5,1)=".",ISNUMBER(FIND("x"&amp;MID(L470,5,1),"x0x1x2x3x4x5x6x7x8x9"))),OR(6&gt;LEN(L470),MID(L470,6,1)=".",ISNUMBER(FIND("x"&amp;MID(L470,6,1),"x0x1x2x3x4x5x6x7x8x9"))),OR(7&gt;LEN(L470),MID(L470,7,1)=".",ISNUMBER(FIND("x"&amp;MID(L470,7,1),"x0x1x2x3x4x5x6x7x8x9"))),OR(8&gt;LEN(L470),MID(L470,8,1)=".",ISNUMBER(FIND("x"&amp;MID(L470,8,1),"x0x1x2x3x4x5x6x7x8x9"))),OR(9&gt;LEN(L470),MID(L470,9,1)=".",ISNUMBER(FIND("x"&amp;MID(L470,9,1),"x0x1x2x3x4x5x6x7x8x9"))),OR(10&gt;LEN(L470),MID(L470,10,1)=".",ISNUMBER(FIND("x"&amp;MID(L470,10,1),"x0x1x2x3x4x5x6x7x8x9"))),OR(AND(FIND(".",L470)=5,LEN(L470)-FIND(".",L470,FIND(".",L470)+1)&gt;=1,LEN(L470)-FIND(".",L470,FIND(".",L470)+1)&lt;=2),AND(LEN(L470)-FIND(".",L470,FIND(".",L470)+1)=4,FIND(".",L470)&gt;=2,FIND(".",L470)&lt;=3)),FIND(".",L470,FIND(".",L470)+1)-FIND(".",L470)&gt;=2,FIND(".",L470,FIND(".",L470)+1)-FIND(".",L470)&lt;=3,P470&gt;=2000,P470&lt;=2100,YEAR(S470)=P470,MONTH(S470)=Q470,DAY(S470)=R470),S470,0)),0)</ns0:f>
        <ns0:v>0</ns0:v>
      </ns0:c>
      <ns0:c r="U470" s="0" t="str">
        <ns0:f>IF(Bookings!C470="","Full day",Bookings!C470)</ns0:f>
        <ns0:v>Full day</ns0:v>
      </ns0:c>
      <ns0:c r="V470" s="0" t="str">
        <ns0:f>IF(Bookings!E470="","Full day",Bookings!E470)</ns0:f>
        <ns0:v>Full day</ns0:v>
      </ns0:c>
      <ns0:c r="W470" s="0">
        <ns0:f>IF(J470=0,0,J470+IF(U470="PM",1,0))</ns0:f>
        <ns0:v>0</ns0:v>
      </ns0:c>
      <ns0:c r="X470" s="0">
        <ns0:f>IF(T470=0,0,T470-IF(V470="PM",1,0))</ns0:f>
        <ns0:v>0</ns0:v>
      </ns0:c>
      <ns0:c r="Y470" s="0">
        <ns0:f>IF(J470=0,0,J470+IF(U470="AM",1,0))</ns0:f>
        <ns0:v>0</ns0:v>
      </ns0:c>
      <ns0:c r="Z470" s="0">
        <ns0:f>IF(T470=0,0,T470-IF(V470="AM",1,0))</ns0:f>
        <ns0:v>0</ns0:v>
      </ns0:c>
      <ns0:c r="AA470" s="0">
        <ns0:f>IFERROR(IF(AND(J470&gt;0,'_Engine'!C470&gt;0,MID('_Engine'!W470,WEEKDAY(J470,2),1)="W",COUNTIF(Settings!$F$18:$F$67,J470)=0),1,0),0)</ns0:f>
        <ns0:v>0</ns0:v>
      </ns0:c>
      <ns0:c r="AB470" s="0">
        <ns0:f>IFERROR(IF(AND(T470&gt;0,'_Engine'!C470&gt;0,MID('_Engine'!W470,WEEKDAY(T470,2),1)="W",COUNTIF(Settings!$F$18:$F$67,T470)=0),1,0),0)</ns0:f>
        <ns0:v>0</ns0:v>
      </ns0:c>
      <ns0:c r="AC470" s="0">
        <ns0:f>IF(AND(J470&gt;0,T470&gt;0,W470&lt;=X470),1,0)</ns0:f>
        <ns0:v>0</ns0:v>
      </ns0:c>
      <ns0:c r="AD470" s="0">
        <ns0:f>IF(AND(J470&gt;0,T470&gt;0,Y470&lt;=Z470),1,0)</ns0:f>
        <ns0:v>0</ns0:v>
      </ns0:c>
    </ns0:row>
    <ns0:row r="471">
      <ns0:c r="A471" s="0">
        <ns0:f>IFERROR(IF(ISNUMBER(Bookings!B471),"",TRIM(Bookings!B471&amp;"")),"")</ns0:f>
      </ns0:c>
      <ns0:c r="B471" s="0">
        <ns0:f>IFERROR(SUBSTITUTE(SUBSTITUTE(A471,"/","."),"-","."),"")</ns0:f>
      </ns0:c>
      <ns0:c r="C471" s="0">
        <ns0:f>IFERROR(LEFT(B471,FIND(".",B471)-1),"")</ns0:f>
      </ns0:c>
      <ns0:c r="D471" s="0">
        <ns0:f>IFERROR(MID(B471,FIND(".",B471)+1,FIND(".",B471,FIND(".",B471)+1)-FIND(".",B471)-1),"")</ns0:f>
      </ns0:c>
      <ns0:c r="E471" s="0">
        <ns0:f>IFERROR(MID(B471,FIND(".",B471,FIND(".",B471)+1)+1,99),"")</ns0:f>
        <ns0:v>99</ns0:v>
      </ns0:c>
      <ns0:c r="F471" s="0">
        <ns0:f>IFERROR(IF(FIND(".",B471)=5,--C471,--E471),0)</ns0:f>
        <ns0:v>0</ns0:v>
      </ns0:c>
      <ns0:c r="G471" s="0">
        <ns0:f>IFERROR(--D471,0)</ns0:f>
        <ns0:v>0</ns0:v>
      </ns0:c>
      <ns0:c r="H471" s="0">
        <ns0:f>IFERROR(IF(FIND(".",B471)=5,--E471,--C471),0)</ns0:f>
        <ns0:v>0</ns0:v>
      </ns0:c>
      <ns0:c r="I471" s="0">
        <ns0:f>IFERROR(IF(AND(F471&gt;=2000,F471&lt;=2100,G471&gt;=1,G471&lt;=12,H471&gt;=1,H471&lt;=31),DATE(F471,G471,H471),0),0)</ns0:f>
        <ns0:v>0</ns0:v>
      </ns0:c>
      <ns0:c r="J471" s="0">
        <ns0:f>IFERROR(IF(ISNUMBER(Bookings!B471),IF(AND(Bookings!B471=INT(Bookings!B471),Bookings!B471&gt;=DATE(2000,1,1),Bookings!B471&lt;=DATE(2100,12,31)),Bookings!B471,0),IF(AND(A471&lt;&gt;"",LEN("x"&amp;B471)-LEN(SUBSTITUTE("x"&amp;B471,".",""))=2,OR(1&gt;LEN(B471),MID(B471,1,1)=".",ISNUMBER(FIND("x"&amp;MID(B471,1,1),"x0x1x2x3x4x5x6x7x8x9"))),OR(2&gt;LEN(B471),MID(B471,2,1)=".",ISNUMBER(FIND("x"&amp;MID(B471,2,1),"x0x1x2x3x4x5x6x7x8x9"))),OR(3&gt;LEN(B471),MID(B471,3,1)=".",ISNUMBER(FIND("x"&amp;MID(B471,3,1),"x0x1x2x3x4x5x6x7x8x9"))),OR(4&gt;LEN(B471),MID(B471,4,1)=".",ISNUMBER(FIND("x"&amp;MID(B471,4,1),"x0x1x2x3x4x5x6x7x8x9"))),OR(5&gt;LEN(B471),MID(B471,5,1)=".",ISNUMBER(FIND("x"&amp;MID(B471,5,1),"x0x1x2x3x4x5x6x7x8x9"))),OR(6&gt;LEN(B471),MID(B471,6,1)=".",ISNUMBER(FIND("x"&amp;MID(B471,6,1),"x0x1x2x3x4x5x6x7x8x9"))),OR(7&gt;LEN(B471),MID(B471,7,1)=".",ISNUMBER(FIND("x"&amp;MID(B471,7,1),"x0x1x2x3x4x5x6x7x8x9"))),OR(8&gt;LEN(B471),MID(B471,8,1)=".",ISNUMBER(FIND("x"&amp;MID(B471,8,1),"x0x1x2x3x4x5x6x7x8x9"))),OR(9&gt;LEN(B471),MID(B471,9,1)=".",ISNUMBER(FIND("x"&amp;MID(B471,9,1),"x0x1x2x3x4x5x6x7x8x9"))),OR(10&gt;LEN(B471),MID(B471,10,1)=".",ISNUMBER(FIND("x"&amp;MID(B471,10,1),"x0x1x2x3x4x5x6x7x8x9"))),OR(AND(FIND(".",B471)=5,LEN(B471)-FIND(".",B471,FIND(".",B471)+1)&gt;=1,LEN(B471)-FIND(".",B471,FIND(".",B471)+1)&lt;=2),AND(LEN(B471)-FIND(".",B471,FIND(".",B471)+1)=4,FIND(".",B471)&gt;=2,FIND(".",B471)&lt;=3)),FIND(".",B471,FIND(".",B471)+1)-FIND(".",B471)&gt;=2,FIND(".",B471,FIND(".",B471)+1)-FIND(".",B471)&lt;=3,F471&gt;=2000,F471&lt;=2100,YEAR(I471)=F471,MONTH(I471)=G471,DAY(I471)=H471),I471,0)),0)</ns0:f>
        <ns0:v>0</ns0:v>
      </ns0:c>
      <ns0:c r="K471" s="0">
        <ns0:f>IFERROR(IF(ISNUMBER(Bookings!D471),"",TRIM(Bookings!D471&amp;"")),"")</ns0:f>
      </ns0:c>
      <ns0:c r="L471" s="0">
        <ns0:f>IFERROR(SUBSTITUTE(SUBSTITUTE(K471,"/","."),"-","."),"")</ns0:f>
      </ns0:c>
      <ns0:c r="M471" s="0">
        <ns0:f>IFERROR(LEFT(L471,FIND(".",L471)-1),"")</ns0:f>
      </ns0:c>
      <ns0:c r="N471" s="0">
        <ns0:f>IFERROR(MID(L471,FIND(".",L471)+1,FIND(".",L471,FIND(".",L471)+1)-FIND(".",L471)-1),"")</ns0:f>
      </ns0:c>
      <ns0:c r="O471" s="0">
        <ns0:f>IFERROR(MID(L471,FIND(".",L471,FIND(".",L471)+1)+1,99),"")</ns0:f>
        <ns0:v>99</ns0:v>
      </ns0:c>
      <ns0:c r="P471" s="0">
        <ns0:f>IFERROR(IF(FIND(".",L471)=5,--M471,--O471),0)</ns0:f>
        <ns0:v>0</ns0:v>
      </ns0:c>
      <ns0:c r="Q471" s="0">
        <ns0:f>IFERROR(--N471,0)</ns0:f>
        <ns0:v>0</ns0:v>
      </ns0:c>
      <ns0:c r="R471" s="0">
        <ns0:f>IFERROR(IF(FIND(".",L471)=5,--O471,--M471),0)</ns0:f>
        <ns0:v>0</ns0:v>
      </ns0:c>
      <ns0:c r="S471" s="0">
        <ns0:f>IFERROR(IF(AND(P471&gt;=2000,P471&lt;=2100,Q471&gt;=1,Q471&lt;=12,R471&gt;=1,R471&lt;=31),DATE(P471,Q471,R471),0),0)</ns0:f>
        <ns0:v>0</ns0:v>
      </ns0:c>
      <ns0:c r="T471" s="0">
        <ns0:f>IFERROR(IF(ISNUMBER(Bookings!D471),IF(AND(Bookings!D471=INT(Bookings!D471),Bookings!D471&gt;=DATE(2000,1,1),Bookings!D471&lt;=DATE(2100,12,31)),Bookings!D471,0),IF(AND(K471&lt;&gt;"",LEN("x"&amp;L471)-LEN(SUBSTITUTE("x"&amp;L471,".",""))=2,OR(1&gt;LEN(L471),MID(L471,1,1)=".",ISNUMBER(FIND("x"&amp;MID(L471,1,1),"x0x1x2x3x4x5x6x7x8x9"))),OR(2&gt;LEN(L471),MID(L471,2,1)=".",ISNUMBER(FIND("x"&amp;MID(L471,2,1),"x0x1x2x3x4x5x6x7x8x9"))),OR(3&gt;LEN(L471),MID(L471,3,1)=".",ISNUMBER(FIND("x"&amp;MID(L471,3,1),"x0x1x2x3x4x5x6x7x8x9"))),OR(4&gt;LEN(L471),MID(L471,4,1)=".",ISNUMBER(FIND("x"&amp;MID(L471,4,1),"x0x1x2x3x4x5x6x7x8x9"))),OR(5&gt;LEN(L471),MID(L471,5,1)=".",ISNUMBER(FIND("x"&amp;MID(L471,5,1),"x0x1x2x3x4x5x6x7x8x9"))),OR(6&gt;LEN(L471),MID(L471,6,1)=".",ISNUMBER(FIND("x"&amp;MID(L471,6,1),"x0x1x2x3x4x5x6x7x8x9"))),OR(7&gt;LEN(L471),MID(L471,7,1)=".",ISNUMBER(FIND("x"&amp;MID(L471,7,1),"x0x1x2x3x4x5x6x7x8x9"))),OR(8&gt;LEN(L471),MID(L471,8,1)=".",ISNUMBER(FIND("x"&amp;MID(L471,8,1),"x0x1x2x3x4x5x6x7x8x9"))),OR(9&gt;LEN(L471),MID(L471,9,1)=".",ISNUMBER(FIND("x"&amp;MID(L471,9,1),"x0x1x2x3x4x5x6x7x8x9"))),OR(10&gt;LEN(L471),MID(L471,10,1)=".",ISNUMBER(FIND("x"&amp;MID(L471,10,1),"x0x1x2x3x4x5x6x7x8x9"))),OR(AND(FIND(".",L471)=5,LEN(L471)-FIND(".",L471,FIND(".",L471)+1)&gt;=1,LEN(L471)-FIND(".",L471,FIND(".",L471)+1)&lt;=2),AND(LEN(L471)-FIND(".",L471,FIND(".",L471)+1)=4,FIND(".",L471)&gt;=2,FIND(".",L471)&lt;=3)),FIND(".",L471,FIND(".",L471)+1)-FIND(".",L471)&gt;=2,FIND(".",L471,FIND(".",L471)+1)-FIND(".",L471)&lt;=3,P471&gt;=2000,P471&lt;=2100,YEAR(S471)=P471,MONTH(S471)=Q471,DAY(S471)=R471),S471,0)),0)</ns0:f>
        <ns0:v>0</ns0:v>
      </ns0:c>
      <ns0:c r="U471" s="0" t="str">
        <ns0:f>IF(Bookings!C471="","Full day",Bookings!C471)</ns0:f>
        <ns0:v>Full day</ns0:v>
      </ns0:c>
      <ns0:c r="V471" s="0" t="str">
        <ns0:f>IF(Bookings!E471="","Full day",Bookings!E471)</ns0:f>
        <ns0:v>Full day</ns0:v>
      </ns0:c>
      <ns0:c r="W471" s="0">
        <ns0:f>IF(J471=0,0,J471+IF(U471="PM",1,0))</ns0:f>
        <ns0:v>0</ns0:v>
      </ns0:c>
      <ns0:c r="X471" s="0">
        <ns0:f>IF(T471=0,0,T471-IF(V471="PM",1,0))</ns0:f>
        <ns0:v>0</ns0:v>
      </ns0:c>
      <ns0:c r="Y471" s="0">
        <ns0:f>IF(J471=0,0,J471+IF(U471="AM",1,0))</ns0:f>
        <ns0:v>0</ns0:v>
      </ns0:c>
      <ns0:c r="Z471" s="0">
        <ns0:f>IF(T471=0,0,T471-IF(V471="AM",1,0))</ns0:f>
        <ns0:v>0</ns0:v>
      </ns0:c>
      <ns0:c r="AA471" s="0">
        <ns0:f>IFERROR(IF(AND(J471&gt;0,'_Engine'!C471&gt;0,MID('_Engine'!W471,WEEKDAY(J471,2),1)="W",COUNTIF(Settings!$F$18:$F$67,J471)=0),1,0),0)</ns0:f>
        <ns0:v>0</ns0:v>
      </ns0:c>
      <ns0:c r="AB471" s="0">
        <ns0:f>IFERROR(IF(AND(T471&gt;0,'_Engine'!C471&gt;0,MID('_Engine'!W471,WEEKDAY(T471,2),1)="W",COUNTIF(Settings!$F$18:$F$67,T471)=0),1,0),0)</ns0:f>
        <ns0:v>0</ns0:v>
      </ns0:c>
      <ns0:c r="AC471" s="0">
        <ns0:f>IF(AND(J471&gt;0,T471&gt;0,W471&lt;=X471),1,0)</ns0:f>
        <ns0:v>0</ns0:v>
      </ns0:c>
      <ns0:c r="AD471" s="0">
        <ns0:f>IF(AND(J471&gt;0,T471&gt;0,Y471&lt;=Z471),1,0)</ns0:f>
        <ns0:v>0</ns0:v>
      </ns0:c>
    </ns0:row>
    <ns0:row r="472">
      <ns0:c r="A472" s="0">
        <ns0:f>IFERROR(IF(ISNUMBER(Bookings!B472),"",TRIM(Bookings!B472&amp;"")),"")</ns0:f>
      </ns0:c>
      <ns0:c r="B472" s="0">
        <ns0:f>IFERROR(SUBSTITUTE(SUBSTITUTE(A472,"/","."),"-","."),"")</ns0:f>
      </ns0:c>
      <ns0:c r="C472" s="0">
        <ns0:f>IFERROR(LEFT(B472,FIND(".",B472)-1),"")</ns0:f>
      </ns0:c>
      <ns0:c r="D472" s="0">
        <ns0:f>IFERROR(MID(B472,FIND(".",B472)+1,FIND(".",B472,FIND(".",B472)+1)-FIND(".",B472)-1),"")</ns0:f>
      </ns0:c>
      <ns0:c r="E472" s="0">
        <ns0:f>IFERROR(MID(B472,FIND(".",B472,FIND(".",B472)+1)+1,99),"")</ns0:f>
        <ns0:v>99</ns0:v>
      </ns0:c>
      <ns0:c r="F472" s="0">
        <ns0:f>IFERROR(IF(FIND(".",B472)=5,--C472,--E472),0)</ns0:f>
        <ns0:v>0</ns0:v>
      </ns0:c>
      <ns0:c r="G472" s="0">
        <ns0:f>IFERROR(--D472,0)</ns0:f>
        <ns0:v>0</ns0:v>
      </ns0:c>
      <ns0:c r="H472" s="0">
        <ns0:f>IFERROR(IF(FIND(".",B472)=5,--E472,--C472),0)</ns0:f>
        <ns0:v>0</ns0:v>
      </ns0:c>
      <ns0:c r="I472" s="0">
        <ns0:f>IFERROR(IF(AND(F472&gt;=2000,F472&lt;=2100,G472&gt;=1,G472&lt;=12,H472&gt;=1,H472&lt;=31),DATE(F472,G472,H472),0),0)</ns0:f>
        <ns0:v>0</ns0:v>
      </ns0:c>
      <ns0:c r="J472" s="0">
        <ns0:f>IFERROR(IF(ISNUMBER(Bookings!B472),IF(AND(Bookings!B472=INT(Bookings!B472),Bookings!B472&gt;=DATE(2000,1,1),Bookings!B472&lt;=DATE(2100,12,31)),Bookings!B472,0),IF(AND(A472&lt;&gt;"",LEN("x"&amp;B472)-LEN(SUBSTITUTE("x"&amp;B472,".",""))=2,OR(1&gt;LEN(B472),MID(B472,1,1)=".",ISNUMBER(FIND("x"&amp;MID(B472,1,1),"x0x1x2x3x4x5x6x7x8x9"))),OR(2&gt;LEN(B472),MID(B472,2,1)=".",ISNUMBER(FIND("x"&amp;MID(B472,2,1),"x0x1x2x3x4x5x6x7x8x9"))),OR(3&gt;LEN(B472),MID(B472,3,1)=".",ISNUMBER(FIND("x"&amp;MID(B472,3,1),"x0x1x2x3x4x5x6x7x8x9"))),OR(4&gt;LEN(B472),MID(B472,4,1)=".",ISNUMBER(FIND("x"&amp;MID(B472,4,1),"x0x1x2x3x4x5x6x7x8x9"))),OR(5&gt;LEN(B472),MID(B472,5,1)=".",ISNUMBER(FIND("x"&amp;MID(B472,5,1),"x0x1x2x3x4x5x6x7x8x9"))),OR(6&gt;LEN(B472),MID(B472,6,1)=".",ISNUMBER(FIND("x"&amp;MID(B472,6,1),"x0x1x2x3x4x5x6x7x8x9"))),OR(7&gt;LEN(B472),MID(B472,7,1)=".",ISNUMBER(FIND("x"&amp;MID(B472,7,1),"x0x1x2x3x4x5x6x7x8x9"))),OR(8&gt;LEN(B472),MID(B472,8,1)=".",ISNUMBER(FIND("x"&amp;MID(B472,8,1),"x0x1x2x3x4x5x6x7x8x9"))),OR(9&gt;LEN(B472),MID(B472,9,1)=".",ISNUMBER(FIND("x"&amp;MID(B472,9,1),"x0x1x2x3x4x5x6x7x8x9"))),OR(10&gt;LEN(B472),MID(B472,10,1)=".",ISNUMBER(FIND("x"&amp;MID(B472,10,1),"x0x1x2x3x4x5x6x7x8x9"))),OR(AND(FIND(".",B472)=5,LEN(B472)-FIND(".",B472,FIND(".",B472)+1)&gt;=1,LEN(B472)-FIND(".",B472,FIND(".",B472)+1)&lt;=2),AND(LEN(B472)-FIND(".",B472,FIND(".",B472)+1)=4,FIND(".",B472)&gt;=2,FIND(".",B472)&lt;=3)),FIND(".",B472,FIND(".",B472)+1)-FIND(".",B472)&gt;=2,FIND(".",B472,FIND(".",B472)+1)-FIND(".",B472)&lt;=3,F472&gt;=2000,F472&lt;=2100,YEAR(I472)=F472,MONTH(I472)=G472,DAY(I472)=H472),I472,0)),0)</ns0:f>
        <ns0:v>0</ns0:v>
      </ns0:c>
      <ns0:c r="K472" s="0">
        <ns0:f>IFERROR(IF(ISNUMBER(Bookings!D472),"",TRIM(Bookings!D472&amp;"")),"")</ns0:f>
      </ns0:c>
      <ns0:c r="L472" s="0">
        <ns0:f>IFERROR(SUBSTITUTE(SUBSTITUTE(K472,"/","."),"-","."),"")</ns0:f>
      </ns0:c>
      <ns0:c r="M472" s="0">
        <ns0:f>IFERROR(LEFT(L472,FIND(".",L472)-1),"")</ns0:f>
      </ns0:c>
      <ns0:c r="N472" s="0">
        <ns0:f>IFERROR(MID(L472,FIND(".",L472)+1,FIND(".",L472,FIND(".",L472)+1)-FIND(".",L472)-1),"")</ns0:f>
      </ns0:c>
      <ns0:c r="O472" s="0">
        <ns0:f>IFERROR(MID(L472,FIND(".",L472,FIND(".",L472)+1)+1,99),"")</ns0:f>
        <ns0:v>99</ns0:v>
      </ns0:c>
      <ns0:c r="P472" s="0">
        <ns0:f>IFERROR(IF(FIND(".",L472)=5,--M472,--O472),0)</ns0:f>
        <ns0:v>0</ns0:v>
      </ns0:c>
      <ns0:c r="Q472" s="0">
        <ns0:f>IFERROR(--N472,0)</ns0:f>
        <ns0:v>0</ns0:v>
      </ns0:c>
      <ns0:c r="R472" s="0">
        <ns0:f>IFERROR(IF(FIND(".",L472)=5,--O472,--M472),0)</ns0:f>
        <ns0:v>0</ns0:v>
      </ns0:c>
      <ns0:c r="S472" s="0">
        <ns0:f>IFERROR(IF(AND(P472&gt;=2000,P472&lt;=2100,Q472&gt;=1,Q472&lt;=12,R472&gt;=1,R472&lt;=31),DATE(P472,Q472,R472),0),0)</ns0:f>
        <ns0:v>0</ns0:v>
      </ns0:c>
      <ns0:c r="T472" s="0">
        <ns0:f>IFERROR(IF(ISNUMBER(Bookings!D472),IF(AND(Bookings!D472=INT(Bookings!D472),Bookings!D472&gt;=DATE(2000,1,1),Bookings!D472&lt;=DATE(2100,12,31)),Bookings!D472,0),IF(AND(K472&lt;&gt;"",LEN("x"&amp;L472)-LEN(SUBSTITUTE("x"&amp;L472,".",""))=2,OR(1&gt;LEN(L472),MID(L472,1,1)=".",ISNUMBER(FIND("x"&amp;MID(L472,1,1),"x0x1x2x3x4x5x6x7x8x9"))),OR(2&gt;LEN(L472),MID(L472,2,1)=".",ISNUMBER(FIND("x"&amp;MID(L472,2,1),"x0x1x2x3x4x5x6x7x8x9"))),OR(3&gt;LEN(L472),MID(L472,3,1)=".",ISNUMBER(FIND("x"&amp;MID(L472,3,1),"x0x1x2x3x4x5x6x7x8x9"))),OR(4&gt;LEN(L472),MID(L472,4,1)=".",ISNUMBER(FIND("x"&amp;MID(L472,4,1),"x0x1x2x3x4x5x6x7x8x9"))),OR(5&gt;LEN(L472),MID(L472,5,1)=".",ISNUMBER(FIND("x"&amp;MID(L472,5,1),"x0x1x2x3x4x5x6x7x8x9"))),OR(6&gt;LEN(L472),MID(L472,6,1)=".",ISNUMBER(FIND("x"&amp;MID(L472,6,1),"x0x1x2x3x4x5x6x7x8x9"))),OR(7&gt;LEN(L472),MID(L472,7,1)=".",ISNUMBER(FIND("x"&amp;MID(L472,7,1),"x0x1x2x3x4x5x6x7x8x9"))),OR(8&gt;LEN(L472),MID(L472,8,1)=".",ISNUMBER(FIND("x"&amp;MID(L472,8,1),"x0x1x2x3x4x5x6x7x8x9"))),OR(9&gt;LEN(L472),MID(L472,9,1)=".",ISNUMBER(FIND("x"&amp;MID(L472,9,1),"x0x1x2x3x4x5x6x7x8x9"))),OR(10&gt;LEN(L472),MID(L472,10,1)=".",ISNUMBER(FIND("x"&amp;MID(L472,10,1),"x0x1x2x3x4x5x6x7x8x9"))),OR(AND(FIND(".",L472)=5,LEN(L472)-FIND(".",L472,FIND(".",L472)+1)&gt;=1,LEN(L472)-FIND(".",L472,FIND(".",L472)+1)&lt;=2),AND(LEN(L472)-FIND(".",L472,FIND(".",L472)+1)=4,FIND(".",L472)&gt;=2,FIND(".",L472)&lt;=3)),FIND(".",L472,FIND(".",L472)+1)-FIND(".",L472)&gt;=2,FIND(".",L472,FIND(".",L472)+1)-FIND(".",L472)&lt;=3,P472&gt;=2000,P472&lt;=2100,YEAR(S472)=P472,MONTH(S472)=Q472,DAY(S472)=R472),S472,0)),0)</ns0:f>
        <ns0:v>0</ns0:v>
      </ns0:c>
      <ns0:c r="U472" s="0" t="str">
        <ns0:f>IF(Bookings!C472="","Full day",Bookings!C472)</ns0:f>
        <ns0:v>Full day</ns0:v>
      </ns0:c>
      <ns0:c r="V472" s="0" t="str">
        <ns0:f>IF(Bookings!E472="","Full day",Bookings!E472)</ns0:f>
        <ns0:v>Full day</ns0:v>
      </ns0:c>
      <ns0:c r="W472" s="0">
        <ns0:f>IF(J472=0,0,J472+IF(U472="PM",1,0))</ns0:f>
        <ns0:v>0</ns0:v>
      </ns0:c>
      <ns0:c r="X472" s="0">
        <ns0:f>IF(T472=0,0,T472-IF(V472="PM",1,0))</ns0:f>
        <ns0:v>0</ns0:v>
      </ns0:c>
      <ns0:c r="Y472" s="0">
        <ns0:f>IF(J472=0,0,J472+IF(U472="AM",1,0))</ns0:f>
        <ns0:v>0</ns0:v>
      </ns0:c>
      <ns0:c r="Z472" s="0">
        <ns0:f>IF(T472=0,0,T472-IF(V472="AM",1,0))</ns0:f>
        <ns0:v>0</ns0:v>
      </ns0:c>
      <ns0:c r="AA472" s="0">
        <ns0:f>IFERROR(IF(AND(J472&gt;0,'_Engine'!C472&gt;0,MID('_Engine'!W472,WEEKDAY(J472,2),1)="W",COUNTIF(Settings!$F$18:$F$67,J472)=0),1,0),0)</ns0:f>
        <ns0:v>0</ns0:v>
      </ns0:c>
      <ns0:c r="AB472" s="0">
        <ns0:f>IFERROR(IF(AND(T472&gt;0,'_Engine'!C472&gt;0,MID('_Engine'!W472,WEEKDAY(T472,2),1)="W",COUNTIF(Settings!$F$18:$F$67,T472)=0),1,0),0)</ns0:f>
        <ns0:v>0</ns0:v>
      </ns0:c>
      <ns0:c r="AC472" s="0">
        <ns0:f>IF(AND(J472&gt;0,T472&gt;0,W472&lt;=X472),1,0)</ns0:f>
        <ns0:v>0</ns0:v>
      </ns0:c>
      <ns0:c r="AD472" s="0">
        <ns0:f>IF(AND(J472&gt;0,T472&gt;0,Y472&lt;=Z472),1,0)</ns0:f>
        <ns0:v>0</ns0:v>
      </ns0:c>
    </ns0:row>
    <ns0:row r="473">
      <ns0:c r="A473" s="0">
        <ns0:f>IFERROR(IF(ISNUMBER(Bookings!B473),"",TRIM(Bookings!B473&amp;"")),"")</ns0:f>
      </ns0:c>
      <ns0:c r="B473" s="0">
        <ns0:f>IFERROR(SUBSTITUTE(SUBSTITUTE(A473,"/","."),"-","."),"")</ns0:f>
      </ns0:c>
      <ns0:c r="C473" s="0">
        <ns0:f>IFERROR(LEFT(B473,FIND(".",B473)-1),"")</ns0:f>
      </ns0:c>
      <ns0:c r="D473" s="0">
        <ns0:f>IFERROR(MID(B473,FIND(".",B473)+1,FIND(".",B473,FIND(".",B473)+1)-FIND(".",B473)-1),"")</ns0:f>
      </ns0:c>
      <ns0:c r="E473" s="0">
        <ns0:f>IFERROR(MID(B473,FIND(".",B473,FIND(".",B473)+1)+1,99),"")</ns0:f>
        <ns0:v>99</ns0:v>
      </ns0:c>
      <ns0:c r="F473" s="0">
        <ns0:f>IFERROR(IF(FIND(".",B473)=5,--C473,--E473),0)</ns0:f>
        <ns0:v>0</ns0:v>
      </ns0:c>
      <ns0:c r="G473" s="0">
        <ns0:f>IFERROR(--D473,0)</ns0:f>
        <ns0:v>0</ns0:v>
      </ns0:c>
      <ns0:c r="H473" s="0">
        <ns0:f>IFERROR(IF(FIND(".",B473)=5,--E473,--C473),0)</ns0:f>
        <ns0:v>0</ns0:v>
      </ns0:c>
      <ns0:c r="I473" s="0">
        <ns0:f>IFERROR(IF(AND(F473&gt;=2000,F473&lt;=2100,G473&gt;=1,G473&lt;=12,H473&gt;=1,H473&lt;=31),DATE(F473,G473,H473),0),0)</ns0:f>
        <ns0:v>0</ns0:v>
      </ns0:c>
      <ns0:c r="J473" s="0">
        <ns0:f>IFERROR(IF(ISNUMBER(Bookings!B473),IF(AND(Bookings!B473=INT(Bookings!B473),Bookings!B473&gt;=DATE(2000,1,1),Bookings!B473&lt;=DATE(2100,12,31)),Bookings!B473,0),IF(AND(A473&lt;&gt;"",LEN("x"&amp;B473)-LEN(SUBSTITUTE("x"&amp;B473,".",""))=2,OR(1&gt;LEN(B473),MID(B473,1,1)=".",ISNUMBER(FIND("x"&amp;MID(B473,1,1),"x0x1x2x3x4x5x6x7x8x9"))),OR(2&gt;LEN(B473),MID(B473,2,1)=".",ISNUMBER(FIND("x"&amp;MID(B473,2,1),"x0x1x2x3x4x5x6x7x8x9"))),OR(3&gt;LEN(B473),MID(B473,3,1)=".",ISNUMBER(FIND("x"&amp;MID(B473,3,1),"x0x1x2x3x4x5x6x7x8x9"))),OR(4&gt;LEN(B473),MID(B473,4,1)=".",ISNUMBER(FIND("x"&amp;MID(B473,4,1),"x0x1x2x3x4x5x6x7x8x9"))),OR(5&gt;LEN(B473),MID(B473,5,1)=".",ISNUMBER(FIND("x"&amp;MID(B473,5,1),"x0x1x2x3x4x5x6x7x8x9"))),OR(6&gt;LEN(B473),MID(B473,6,1)=".",ISNUMBER(FIND("x"&amp;MID(B473,6,1),"x0x1x2x3x4x5x6x7x8x9"))),OR(7&gt;LEN(B473),MID(B473,7,1)=".",ISNUMBER(FIND("x"&amp;MID(B473,7,1),"x0x1x2x3x4x5x6x7x8x9"))),OR(8&gt;LEN(B473),MID(B473,8,1)=".",ISNUMBER(FIND("x"&amp;MID(B473,8,1),"x0x1x2x3x4x5x6x7x8x9"))),OR(9&gt;LEN(B473),MID(B473,9,1)=".",ISNUMBER(FIND("x"&amp;MID(B473,9,1),"x0x1x2x3x4x5x6x7x8x9"))),OR(10&gt;LEN(B473),MID(B473,10,1)=".",ISNUMBER(FIND("x"&amp;MID(B473,10,1),"x0x1x2x3x4x5x6x7x8x9"))),OR(AND(FIND(".",B473)=5,LEN(B473)-FIND(".",B473,FIND(".",B473)+1)&gt;=1,LEN(B473)-FIND(".",B473,FIND(".",B473)+1)&lt;=2),AND(LEN(B473)-FIND(".",B473,FIND(".",B473)+1)=4,FIND(".",B473)&gt;=2,FIND(".",B473)&lt;=3)),FIND(".",B473,FIND(".",B473)+1)-FIND(".",B473)&gt;=2,FIND(".",B473,FIND(".",B473)+1)-FIND(".",B473)&lt;=3,F473&gt;=2000,F473&lt;=2100,YEAR(I473)=F473,MONTH(I473)=G473,DAY(I473)=H473),I473,0)),0)</ns0:f>
        <ns0:v>0</ns0:v>
      </ns0:c>
      <ns0:c r="K473" s="0">
        <ns0:f>IFERROR(IF(ISNUMBER(Bookings!D473),"",TRIM(Bookings!D473&amp;"")),"")</ns0:f>
      </ns0:c>
      <ns0:c r="L473" s="0">
        <ns0:f>IFERROR(SUBSTITUTE(SUBSTITUTE(K473,"/","."),"-","."),"")</ns0:f>
      </ns0:c>
      <ns0:c r="M473" s="0">
        <ns0:f>IFERROR(LEFT(L473,FIND(".",L473)-1),"")</ns0:f>
      </ns0:c>
      <ns0:c r="N473" s="0">
        <ns0:f>IFERROR(MID(L473,FIND(".",L473)+1,FIND(".",L473,FIND(".",L473)+1)-FIND(".",L473)-1),"")</ns0:f>
      </ns0:c>
      <ns0:c r="O473" s="0">
        <ns0:f>IFERROR(MID(L473,FIND(".",L473,FIND(".",L473)+1)+1,99),"")</ns0:f>
        <ns0:v>99</ns0:v>
      </ns0:c>
      <ns0:c r="P473" s="0">
        <ns0:f>IFERROR(IF(FIND(".",L473)=5,--M473,--O473),0)</ns0:f>
        <ns0:v>0</ns0:v>
      </ns0:c>
      <ns0:c r="Q473" s="0">
        <ns0:f>IFERROR(--N473,0)</ns0:f>
        <ns0:v>0</ns0:v>
      </ns0:c>
      <ns0:c r="R473" s="0">
        <ns0:f>IFERROR(IF(FIND(".",L473)=5,--O473,--M473),0)</ns0:f>
        <ns0:v>0</ns0:v>
      </ns0:c>
      <ns0:c r="S473" s="0">
        <ns0:f>IFERROR(IF(AND(P473&gt;=2000,P473&lt;=2100,Q473&gt;=1,Q473&lt;=12,R473&gt;=1,R473&lt;=31),DATE(P473,Q473,R473),0),0)</ns0:f>
        <ns0:v>0</ns0:v>
      </ns0:c>
      <ns0:c r="T473" s="0">
        <ns0:f>IFERROR(IF(ISNUMBER(Bookings!D473),IF(AND(Bookings!D473=INT(Bookings!D473),Bookings!D473&gt;=DATE(2000,1,1),Bookings!D473&lt;=DATE(2100,12,31)),Bookings!D473,0),IF(AND(K473&lt;&gt;"",LEN("x"&amp;L473)-LEN(SUBSTITUTE("x"&amp;L473,".",""))=2,OR(1&gt;LEN(L473),MID(L473,1,1)=".",ISNUMBER(FIND("x"&amp;MID(L473,1,1),"x0x1x2x3x4x5x6x7x8x9"))),OR(2&gt;LEN(L473),MID(L473,2,1)=".",ISNUMBER(FIND("x"&amp;MID(L473,2,1),"x0x1x2x3x4x5x6x7x8x9"))),OR(3&gt;LEN(L473),MID(L473,3,1)=".",ISNUMBER(FIND("x"&amp;MID(L473,3,1),"x0x1x2x3x4x5x6x7x8x9"))),OR(4&gt;LEN(L473),MID(L473,4,1)=".",ISNUMBER(FIND("x"&amp;MID(L473,4,1),"x0x1x2x3x4x5x6x7x8x9"))),OR(5&gt;LEN(L473),MID(L473,5,1)=".",ISNUMBER(FIND("x"&amp;MID(L473,5,1),"x0x1x2x3x4x5x6x7x8x9"))),OR(6&gt;LEN(L473),MID(L473,6,1)=".",ISNUMBER(FIND("x"&amp;MID(L473,6,1),"x0x1x2x3x4x5x6x7x8x9"))),OR(7&gt;LEN(L473),MID(L473,7,1)=".",ISNUMBER(FIND("x"&amp;MID(L473,7,1),"x0x1x2x3x4x5x6x7x8x9"))),OR(8&gt;LEN(L473),MID(L473,8,1)=".",ISNUMBER(FIND("x"&amp;MID(L473,8,1),"x0x1x2x3x4x5x6x7x8x9"))),OR(9&gt;LEN(L473),MID(L473,9,1)=".",ISNUMBER(FIND("x"&amp;MID(L473,9,1),"x0x1x2x3x4x5x6x7x8x9"))),OR(10&gt;LEN(L473),MID(L473,10,1)=".",ISNUMBER(FIND("x"&amp;MID(L473,10,1),"x0x1x2x3x4x5x6x7x8x9"))),OR(AND(FIND(".",L473)=5,LEN(L473)-FIND(".",L473,FIND(".",L473)+1)&gt;=1,LEN(L473)-FIND(".",L473,FIND(".",L473)+1)&lt;=2),AND(LEN(L473)-FIND(".",L473,FIND(".",L473)+1)=4,FIND(".",L473)&gt;=2,FIND(".",L473)&lt;=3)),FIND(".",L473,FIND(".",L473)+1)-FIND(".",L473)&gt;=2,FIND(".",L473,FIND(".",L473)+1)-FIND(".",L473)&lt;=3,P473&gt;=2000,P473&lt;=2100,YEAR(S473)=P473,MONTH(S473)=Q473,DAY(S473)=R473),S473,0)),0)</ns0:f>
        <ns0:v>0</ns0:v>
      </ns0:c>
      <ns0:c r="U473" s="0" t="str">
        <ns0:f>IF(Bookings!C473="","Full day",Bookings!C473)</ns0:f>
        <ns0:v>Full day</ns0:v>
      </ns0:c>
      <ns0:c r="V473" s="0" t="str">
        <ns0:f>IF(Bookings!E473="","Full day",Bookings!E473)</ns0:f>
        <ns0:v>Full day</ns0:v>
      </ns0:c>
      <ns0:c r="W473" s="0">
        <ns0:f>IF(J473=0,0,J473+IF(U473="PM",1,0))</ns0:f>
        <ns0:v>0</ns0:v>
      </ns0:c>
      <ns0:c r="X473" s="0">
        <ns0:f>IF(T473=0,0,T473-IF(V473="PM",1,0))</ns0:f>
        <ns0:v>0</ns0:v>
      </ns0:c>
      <ns0:c r="Y473" s="0">
        <ns0:f>IF(J473=0,0,J473+IF(U473="AM",1,0))</ns0:f>
        <ns0:v>0</ns0:v>
      </ns0:c>
      <ns0:c r="Z473" s="0">
        <ns0:f>IF(T473=0,0,T473-IF(V473="AM",1,0))</ns0:f>
        <ns0:v>0</ns0:v>
      </ns0:c>
      <ns0:c r="AA473" s="0">
        <ns0:f>IFERROR(IF(AND(J473&gt;0,'_Engine'!C473&gt;0,MID('_Engine'!W473,WEEKDAY(J473,2),1)="W",COUNTIF(Settings!$F$18:$F$67,J473)=0),1,0),0)</ns0:f>
        <ns0:v>0</ns0:v>
      </ns0:c>
      <ns0:c r="AB473" s="0">
        <ns0:f>IFERROR(IF(AND(T473&gt;0,'_Engine'!C473&gt;0,MID('_Engine'!W473,WEEKDAY(T473,2),1)="W",COUNTIF(Settings!$F$18:$F$67,T473)=0),1,0),0)</ns0:f>
        <ns0:v>0</ns0:v>
      </ns0:c>
      <ns0:c r="AC473" s="0">
        <ns0:f>IF(AND(J473&gt;0,T473&gt;0,W473&lt;=X473),1,0)</ns0:f>
        <ns0:v>0</ns0:v>
      </ns0:c>
      <ns0:c r="AD473" s="0">
        <ns0:f>IF(AND(J473&gt;0,T473&gt;0,Y473&lt;=Z473),1,0)</ns0:f>
        <ns0:v>0</ns0:v>
      </ns0:c>
    </ns0:row>
    <ns0:row r="474">
      <ns0:c r="A474" s="0">
        <ns0:f>IFERROR(IF(ISNUMBER(Bookings!B474),"",TRIM(Bookings!B474&amp;"")),"")</ns0:f>
      </ns0:c>
      <ns0:c r="B474" s="0">
        <ns0:f>IFERROR(SUBSTITUTE(SUBSTITUTE(A474,"/","."),"-","."),"")</ns0:f>
      </ns0:c>
      <ns0:c r="C474" s="0">
        <ns0:f>IFERROR(LEFT(B474,FIND(".",B474)-1),"")</ns0:f>
      </ns0:c>
      <ns0:c r="D474" s="0">
        <ns0:f>IFERROR(MID(B474,FIND(".",B474)+1,FIND(".",B474,FIND(".",B474)+1)-FIND(".",B474)-1),"")</ns0:f>
      </ns0:c>
      <ns0:c r="E474" s="0">
        <ns0:f>IFERROR(MID(B474,FIND(".",B474,FIND(".",B474)+1)+1,99),"")</ns0:f>
        <ns0:v>99</ns0:v>
      </ns0:c>
      <ns0:c r="F474" s="0">
        <ns0:f>IFERROR(IF(FIND(".",B474)=5,--C474,--E474),0)</ns0:f>
        <ns0:v>0</ns0:v>
      </ns0:c>
      <ns0:c r="G474" s="0">
        <ns0:f>IFERROR(--D474,0)</ns0:f>
        <ns0:v>0</ns0:v>
      </ns0:c>
      <ns0:c r="H474" s="0">
        <ns0:f>IFERROR(IF(FIND(".",B474)=5,--E474,--C474),0)</ns0:f>
        <ns0:v>0</ns0:v>
      </ns0:c>
      <ns0:c r="I474" s="0">
        <ns0:f>IFERROR(IF(AND(F474&gt;=2000,F474&lt;=2100,G474&gt;=1,G474&lt;=12,H474&gt;=1,H474&lt;=31),DATE(F474,G474,H474),0),0)</ns0:f>
        <ns0:v>0</ns0:v>
      </ns0:c>
      <ns0:c r="J474" s="0">
        <ns0:f>IFERROR(IF(ISNUMBER(Bookings!B474),IF(AND(Bookings!B474=INT(Bookings!B474),Bookings!B474&gt;=DATE(2000,1,1),Bookings!B474&lt;=DATE(2100,12,31)),Bookings!B474,0),IF(AND(A474&lt;&gt;"",LEN("x"&amp;B474)-LEN(SUBSTITUTE("x"&amp;B474,".",""))=2,OR(1&gt;LEN(B474),MID(B474,1,1)=".",ISNUMBER(FIND("x"&amp;MID(B474,1,1),"x0x1x2x3x4x5x6x7x8x9"))),OR(2&gt;LEN(B474),MID(B474,2,1)=".",ISNUMBER(FIND("x"&amp;MID(B474,2,1),"x0x1x2x3x4x5x6x7x8x9"))),OR(3&gt;LEN(B474),MID(B474,3,1)=".",ISNUMBER(FIND("x"&amp;MID(B474,3,1),"x0x1x2x3x4x5x6x7x8x9"))),OR(4&gt;LEN(B474),MID(B474,4,1)=".",ISNUMBER(FIND("x"&amp;MID(B474,4,1),"x0x1x2x3x4x5x6x7x8x9"))),OR(5&gt;LEN(B474),MID(B474,5,1)=".",ISNUMBER(FIND("x"&amp;MID(B474,5,1),"x0x1x2x3x4x5x6x7x8x9"))),OR(6&gt;LEN(B474),MID(B474,6,1)=".",ISNUMBER(FIND("x"&amp;MID(B474,6,1),"x0x1x2x3x4x5x6x7x8x9"))),OR(7&gt;LEN(B474),MID(B474,7,1)=".",ISNUMBER(FIND("x"&amp;MID(B474,7,1),"x0x1x2x3x4x5x6x7x8x9"))),OR(8&gt;LEN(B474),MID(B474,8,1)=".",ISNUMBER(FIND("x"&amp;MID(B474,8,1),"x0x1x2x3x4x5x6x7x8x9"))),OR(9&gt;LEN(B474),MID(B474,9,1)=".",ISNUMBER(FIND("x"&amp;MID(B474,9,1),"x0x1x2x3x4x5x6x7x8x9"))),OR(10&gt;LEN(B474),MID(B474,10,1)=".",ISNUMBER(FIND("x"&amp;MID(B474,10,1),"x0x1x2x3x4x5x6x7x8x9"))),OR(AND(FIND(".",B474)=5,LEN(B474)-FIND(".",B474,FIND(".",B474)+1)&gt;=1,LEN(B474)-FIND(".",B474,FIND(".",B474)+1)&lt;=2),AND(LEN(B474)-FIND(".",B474,FIND(".",B474)+1)=4,FIND(".",B474)&gt;=2,FIND(".",B474)&lt;=3)),FIND(".",B474,FIND(".",B474)+1)-FIND(".",B474)&gt;=2,FIND(".",B474,FIND(".",B474)+1)-FIND(".",B474)&lt;=3,F474&gt;=2000,F474&lt;=2100,YEAR(I474)=F474,MONTH(I474)=G474,DAY(I474)=H474),I474,0)),0)</ns0:f>
        <ns0:v>0</ns0:v>
      </ns0:c>
      <ns0:c r="K474" s="0">
        <ns0:f>IFERROR(IF(ISNUMBER(Bookings!D474),"",TRIM(Bookings!D474&amp;"")),"")</ns0:f>
      </ns0:c>
      <ns0:c r="L474" s="0">
        <ns0:f>IFERROR(SUBSTITUTE(SUBSTITUTE(K474,"/","."),"-","."),"")</ns0:f>
      </ns0:c>
      <ns0:c r="M474" s="0">
        <ns0:f>IFERROR(LEFT(L474,FIND(".",L474)-1),"")</ns0:f>
      </ns0:c>
      <ns0:c r="N474" s="0">
        <ns0:f>IFERROR(MID(L474,FIND(".",L474)+1,FIND(".",L474,FIND(".",L474)+1)-FIND(".",L474)-1),"")</ns0:f>
      </ns0:c>
      <ns0:c r="O474" s="0">
        <ns0:f>IFERROR(MID(L474,FIND(".",L474,FIND(".",L474)+1)+1,99),"")</ns0:f>
        <ns0:v>99</ns0:v>
      </ns0:c>
      <ns0:c r="P474" s="0">
        <ns0:f>IFERROR(IF(FIND(".",L474)=5,--M474,--O474),0)</ns0:f>
        <ns0:v>0</ns0:v>
      </ns0:c>
      <ns0:c r="Q474" s="0">
        <ns0:f>IFERROR(--N474,0)</ns0:f>
        <ns0:v>0</ns0:v>
      </ns0:c>
      <ns0:c r="R474" s="0">
        <ns0:f>IFERROR(IF(FIND(".",L474)=5,--O474,--M474),0)</ns0:f>
        <ns0:v>0</ns0:v>
      </ns0:c>
      <ns0:c r="S474" s="0">
        <ns0:f>IFERROR(IF(AND(P474&gt;=2000,P474&lt;=2100,Q474&gt;=1,Q474&lt;=12,R474&gt;=1,R474&lt;=31),DATE(P474,Q474,R474),0),0)</ns0:f>
        <ns0:v>0</ns0:v>
      </ns0:c>
      <ns0:c r="T474" s="0">
        <ns0:f>IFERROR(IF(ISNUMBER(Bookings!D474),IF(AND(Bookings!D474=INT(Bookings!D474),Bookings!D474&gt;=DATE(2000,1,1),Bookings!D474&lt;=DATE(2100,12,31)),Bookings!D474,0),IF(AND(K474&lt;&gt;"",LEN("x"&amp;L474)-LEN(SUBSTITUTE("x"&amp;L474,".",""))=2,OR(1&gt;LEN(L474),MID(L474,1,1)=".",ISNUMBER(FIND("x"&amp;MID(L474,1,1),"x0x1x2x3x4x5x6x7x8x9"))),OR(2&gt;LEN(L474),MID(L474,2,1)=".",ISNUMBER(FIND("x"&amp;MID(L474,2,1),"x0x1x2x3x4x5x6x7x8x9"))),OR(3&gt;LEN(L474),MID(L474,3,1)=".",ISNUMBER(FIND("x"&amp;MID(L474,3,1),"x0x1x2x3x4x5x6x7x8x9"))),OR(4&gt;LEN(L474),MID(L474,4,1)=".",ISNUMBER(FIND("x"&amp;MID(L474,4,1),"x0x1x2x3x4x5x6x7x8x9"))),OR(5&gt;LEN(L474),MID(L474,5,1)=".",ISNUMBER(FIND("x"&amp;MID(L474,5,1),"x0x1x2x3x4x5x6x7x8x9"))),OR(6&gt;LEN(L474),MID(L474,6,1)=".",ISNUMBER(FIND("x"&amp;MID(L474,6,1),"x0x1x2x3x4x5x6x7x8x9"))),OR(7&gt;LEN(L474),MID(L474,7,1)=".",ISNUMBER(FIND("x"&amp;MID(L474,7,1),"x0x1x2x3x4x5x6x7x8x9"))),OR(8&gt;LEN(L474),MID(L474,8,1)=".",ISNUMBER(FIND("x"&amp;MID(L474,8,1),"x0x1x2x3x4x5x6x7x8x9"))),OR(9&gt;LEN(L474),MID(L474,9,1)=".",ISNUMBER(FIND("x"&amp;MID(L474,9,1),"x0x1x2x3x4x5x6x7x8x9"))),OR(10&gt;LEN(L474),MID(L474,10,1)=".",ISNUMBER(FIND("x"&amp;MID(L474,10,1),"x0x1x2x3x4x5x6x7x8x9"))),OR(AND(FIND(".",L474)=5,LEN(L474)-FIND(".",L474,FIND(".",L474)+1)&gt;=1,LEN(L474)-FIND(".",L474,FIND(".",L474)+1)&lt;=2),AND(LEN(L474)-FIND(".",L474,FIND(".",L474)+1)=4,FIND(".",L474)&gt;=2,FIND(".",L474)&lt;=3)),FIND(".",L474,FIND(".",L474)+1)-FIND(".",L474)&gt;=2,FIND(".",L474,FIND(".",L474)+1)-FIND(".",L474)&lt;=3,P474&gt;=2000,P474&lt;=2100,YEAR(S474)=P474,MONTH(S474)=Q474,DAY(S474)=R474),S474,0)),0)</ns0:f>
        <ns0:v>0</ns0:v>
      </ns0:c>
      <ns0:c r="U474" s="0" t="str">
        <ns0:f>IF(Bookings!C474="","Full day",Bookings!C474)</ns0:f>
        <ns0:v>Full day</ns0:v>
      </ns0:c>
      <ns0:c r="V474" s="0" t="str">
        <ns0:f>IF(Bookings!E474="","Full day",Bookings!E474)</ns0:f>
        <ns0:v>Full day</ns0:v>
      </ns0:c>
      <ns0:c r="W474" s="0">
        <ns0:f>IF(J474=0,0,J474+IF(U474="PM",1,0))</ns0:f>
        <ns0:v>0</ns0:v>
      </ns0:c>
      <ns0:c r="X474" s="0">
        <ns0:f>IF(T474=0,0,T474-IF(V474="PM",1,0))</ns0:f>
        <ns0:v>0</ns0:v>
      </ns0:c>
      <ns0:c r="Y474" s="0">
        <ns0:f>IF(J474=0,0,J474+IF(U474="AM",1,0))</ns0:f>
        <ns0:v>0</ns0:v>
      </ns0:c>
      <ns0:c r="Z474" s="0">
        <ns0:f>IF(T474=0,0,T474-IF(V474="AM",1,0))</ns0:f>
        <ns0:v>0</ns0:v>
      </ns0:c>
      <ns0:c r="AA474" s="0">
        <ns0:f>IFERROR(IF(AND(J474&gt;0,'_Engine'!C474&gt;0,MID('_Engine'!W474,WEEKDAY(J474,2),1)="W",COUNTIF(Settings!$F$18:$F$67,J474)=0),1,0),0)</ns0:f>
        <ns0:v>0</ns0:v>
      </ns0:c>
      <ns0:c r="AB474" s="0">
        <ns0:f>IFERROR(IF(AND(T474&gt;0,'_Engine'!C474&gt;0,MID('_Engine'!W474,WEEKDAY(T474,2),1)="W",COUNTIF(Settings!$F$18:$F$67,T474)=0),1,0),0)</ns0:f>
        <ns0:v>0</ns0:v>
      </ns0:c>
      <ns0:c r="AC474" s="0">
        <ns0:f>IF(AND(J474&gt;0,T474&gt;0,W474&lt;=X474),1,0)</ns0:f>
        <ns0:v>0</ns0:v>
      </ns0:c>
      <ns0:c r="AD474" s="0">
        <ns0:f>IF(AND(J474&gt;0,T474&gt;0,Y474&lt;=Z474),1,0)</ns0:f>
        <ns0:v>0</ns0:v>
      </ns0:c>
    </ns0:row>
    <ns0:row r="475">
      <ns0:c r="A475" s="0">
        <ns0:f>IFERROR(IF(ISNUMBER(Bookings!B475),"",TRIM(Bookings!B475&amp;"")),"")</ns0:f>
      </ns0:c>
      <ns0:c r="B475" s="0">
        <ns0:f>IFERROR(SUBSTITUTE(SUBSTITUTE(A475,"/","."),"-","."),"")</ns0:f>
      </ns0:c>
      <ns0:c r="C475" s="0">
        <ns0:f>IFERROR(LEFT(B475,FIND(".",B475)-1),"")</ns0:f>
      </ns0:c>
      <ns0:c r="D475" s="0">
        <ns0:f>IFERROR(MID(B475,FIND(".",B475)+1,FIND(".",B475,FIND(".",B475)+1)-FIND(".",B475)-1),"")</ns0:f>
      </ns0:c>
      <ns0:c r="E475" s="0">
        <ns0:f>IFERROR(MID(B475,FIND(".",B475,FIND(".",B475)+1)+1,99),"")</ns0:f>
        <ns0:v>99</ns0:v>
      </ns0:c>
      <ns0:c r="F475" s="0">
        <ns0:f>IFERROR(IF(FIND(".",B475)=5,--C475,--E475),0)</ns0:f>
        <ns0:v>0</ns0:v>
      </ns0:c>
      <ns0:c r="G475" s="0">
        <ns0:f>IFERROR(--D475,0)</ns0:f>
        <ns0:v>0</ns0:v>
      </ns0:c>
      <ns0:c r="H475" s="0">
        <ns0:f>IFERROR(IF(FIND(".",B475)=5,--E475,--C475),0)</ns0:f>
        <ns0:v>0</ns0:v>
      </ns0:c>
      <ns0:c r="I475" s="0">
        <ns0:f>IFERROR(IF(AND(F475&gt;=2000,F475&lt;=2100,G475&gt;=1,G475&lt;=12,H475&gt;=1,H475&lt;=31),DATE(F475,G475,H475),0),0)</ns0:f>
        <ns0:v>0</ns0:v>
      </ns0:c>
      <ns0:c r="J475" s="0">
        <ns0:f>IFERROR(IF(ISNUMBER(Bookings!B475),IF(AND(Bookings!B475=INT(Bookings!B475),Bookings!B475&gt;=DATE(2000,1,1),Bookings!B475&lt;=DATE(2100,12,31)),Bookings!B475,0),IF(AND(A475&lt;&gt;"",LEN("x"&amp;B475)-LEN(SUBSTITUTE("x"&amp;B475,".",""))=2,OR(1&gt;LEN(B475),MID(B475,1,1)=".",ISNUMBER(FIND("x"&amp;MID(B475,1,1),"x0x1x2x3x4x5x6x7x8x9"))),OR(2&gt;LEN(B475),MID(B475,2,1)=".",ISNUMBER(FIND("x"&amp;MID(B475,2,1),"x0x1x2x3x4x5x6x7x8x9"))),OR(3&gt;LEN(B475),MID(B475,3,1)=".",ISNUMBER(FIND("x"&amp;MID(B475,3,1),"x0x1x2x3x4x5x6x7x8x9"))),OR(4&gt;LEN(B475),MID(B475,4,1)=".",ISNUMBER(FIND("x"&amp;MID(B475,4,1),"x0x1x2x3x4x5x6x7x8x9"))),OR(5&gt;LEN(B475),MID(B475,5,1)=".",ISNUMBER(FIND("x"&amp;MID(B475,5,1),"x0x1x2x3x4x5x6x7x8x9"))),OR(6&gt;LEN(B475),MID(B475,6,1)=".",ISNUMBER(FIND("x"&amp;MID(B475,6,1),"x0x1x2x3x4x5x6x7x8x9"))),OR(7&gt;LEN(B475),MID(B475,7,1)=".",ISNUMBER(FIND("x"&amp;MID(B475,7,1),"x0x1x2x3x4x5x6x7x8x9"))),OR(8&gt;LEN(B475),MID(B475,8,1)=".",ISNUMBER(FIND("x"&amp;MID(B475,8,1),"x0x1x2x3x4x5x6x7x8x9"))),OR(9&gt;LEN(B475),MID(B475,9,1)=".",ISNUMBER(FIND("x"&amp;MID(B475,9,1),"x0x1x2x3x4x5x6x7x8x9"))),OR(10&gt;LEN(B475),MID(B475,10,1)=".",ISNUMBER(FIND("x"&amp;MID(B475,10,1),"x0x1x2x3x4x5x6x7x8x9"))),OR(AND(FIND(".",B475)=5,LEN(B475)-FIND(".",B475,FIND(".",B475)+1)&gt;=1,LEN(B475)-FIND(".",B475,FIND(".",B475)+1)&lt;=2),AND(LEN(B475)-FIND(".",B475,FIND(".",B475)+1)=4,FIND(".",B475)&gt;=2,FIND(".",B475)&lt;=3)),FIND(".",B475,FIND(".",B475)+1)-FIND(".",B475)&gt;=2,FIND(".",B475,FIND(".",B475)+1)-FIND(".",B475)&lt;=3,F475&gt;=2000,F475&lt;=2100,YEAR(I475)=F475,MONTH(I475)=G475,DAY(I475)=H475),I475,0)),0)</ns0:f>
        <ns0:v>0</ns0:v>
      </ns0:c>
      <ns0:c r="K475" s="0">
        <ns0:f>IFERROR(IF(ISNUMBER(Bookings!D475),"",TRIM(Bookings!D475&amp;"")),"")</ns0:f>
      </ns0:c>
      <ns0:c r="L475" s="0">
        <ns0:f>IFERROR(SUBSTITUTE(SUBSTITUTE(K475,"/","."),"-","."),"")</ns0:f>
      </ns0:c>
      <ns0:c r="M475" s="0">
        <ns0:f>IFERROR(LEFT(L475,FIND(".",L475)-1),"")</ns0:f>
      </ns0:c>
      <ns0:c r="N475" s="0">
        <ns0:f>IFERROR(MID(L475,FIND(".",L475)+1,FIND(".",L475,FIND(".",L475)+1)-FIND(".",L475)-1),"")</ns0:f>
      </ns0:c>
      <ns0:c r="O475" s="0">
        <ns0:f>IFERROR(MID(L475,FIND(".",L475,FIND(".",L475)+1)+1,99),"")</ns0:f>
        <ns0:v>99</ns0:v>
      </ns0:c>
      <ns0:c r="P475" s="0">
        <ns0:f>IFERROR(IF(FIND(".",L475)=5,--M475,--O475),0)</ns0:f>
        <ns0:v>0</ns0:v>
      </ns0:c>
      <ns0:c r="Q475" s="0">
        <ns0:f>IFERROR(--N475,0)</ns0:f>
        <ns0:v>0</ns0:v>
      </ns0:c>
      <ns0:c r="R475" s="0">
        <ns0:f>IFERROR(IF(FIND(".",L475)=5,--O475,--M475),0)</ns0:f>
        <ns0:v>0</ns0:v>
      </ns0:c>
      <ns0:c r="S475" s="0">
        <ns0:f>IFERROR(IF(AND(P475&gt;=2000,P475&lt;=2100,Q475&gt;=1,Q475&lt;=12,R475&gt;=1,R475&lt;=31),DATE(P475,Q475,R475),0),0)</ns0:f>
        <ns0:v>0</ns0:v>
      </ns0:c>
      <ns0:c r="T475" s="0">
        <ns0:f>IFERROR(IF(ISNUMBER(Bookings!D475),IF(AND(Bookings!D475=INT(Bookings!D475),Bookings!D475&gt;=DATE(2000,1,1),Bookings!D475&lt;=DATE(2100,12,31)),Bookings!D475,0),IF(AND(K475&lt;&gt;"",LEN("x"&amp;L475)-LEN(SUBSTITUTE("x"&amp;L475,".",""))=2,OR(1&gt;LEN(L475),MID(L475,1,1)=".",ISNUMBER(FIND("x"&amp;MID(L475,1,1),"x0x1x2x3x4x5x6x7x8x9"))),OR(2&gt;LEN(L475),MID(L475,2,1)=".",ISNUMBER(FIND("x"&amp;MID(L475,2,1),"x0x1x2x3x4x5x6x7x8x9"))),OR(3&gt;LEN(L475),MID(L475,3,1)=".",ISNUMBER(FIND("x"&amp;MID(L475,3,1),"x0x1x2x3x4x5x6x7x8x9"))),OR(4&gt;LEN(L475),MID(L475,4,1)=".",ISNUMBER(FIND("x"&amp;MID(L475,4,1),"x0x1x2x3x4x5x6x7x8x9"))),OR(5&gt;LEN(L475),MID(L475,5,1)=".",ISNUMBER(FIND("x"&amp;MID(L475,5,1),"x0x1x2x3x4x5x6x7x8x9"))),OR(6&gt;LEN(L475),MID(L475,6,1)=".",ISNUMBER(FIND("x"&amp;MID(L475,6,1),"x0x1x2x3x4x5x6x7x8x9"))),OR(7&gt;LEN(L475),MID(L475,7,1)=".",ISNUMBER(FIND("x"&amp;MID(L475,7,1),"x0x1x2x3x4x5x6x7x8x9"))),OR(8&gt;LEN(L475),MID(L475,8,1)=".",ISNUMBER(FIND("x"&amp;MID(L475,8,1),"x0x1x2x3x4x5x6x7x8x9"))),OR(9&gt;LEN(L475),MID(L475,9,1)=".",ISNUMBER(FIND("x"&amp;MID(L475,9,1),"x0x1x2x3x4x5x6x7x8x9"))),OR(10&gt;LEN(L475),MID(L475,10,1)=".",ISNUMBER(FIND("x"&amp;MID(L475,10,1),"x0x1x2x3x4x5x6x7x8x9"))),OR(AND(FIND(".",L475)=5,LEN(L475)-FIND(".",L475,FIND(".",L475)+1)&gt;=1,LEN(L475)-FIND(".",L475,FIND(".",L475)+1)&lt;=2),AND(LEN(L475)-FIND(".",L475,FIND(".",L475)+1)=4,FIND(".",L475)&gt;=2,FIND(".",L475)&lt;=3)),FIND(".",L475,FIND(".",L475)+1)-FIND(".",L475)&gt;=2,FIND(".",L475,FIND(".",L475)+1)-FIND(".",L475)&lt;=3,P475&gt;=2000,P475&lt;=2100,YEAR(S475)=P475,MONTH(S475)=Q475,DAY(S475)=R475),S475,0)),0)</ns0:f>
        <ns0:v>0</ns0:v>
      </ns0:c>
      <ns0:c r="U475" s="0" t="str">
        <ns0:f>IF(Bookings!C475="","Full day",Bookings!C475)</ns0:f>
        <ns0:v>Full day</ns0:v>
      </ns0:c>
      <ns0:c r="V475" s="0" t="str">
        <ns0:f>IF(Bookings!E475="","Full day",Bookings!E475)</ns0:f>
        <ns0:v>Full day</ns0:v>
      </ns0:c>
      <ns0:c r="W475" s="0">
        <ns0:f>IF(J475=0,0,J475+IF(U475="PM",1,0))</ns0:f>
        <ns0:v>0</ns0:v>
      </ns0:c>
      <ns0:c r="X475" s="0">
        <ns0:f>IF(T475=0,0,T475-IF(V475="PM",1,0))</ns0:f>
        <ns0:v>0</ns0:v>
      </ns0:c>
      <ns0:c r="Y475" s="0">
        <ns0:f>IF(J475=0,0,J475+IF(U475="AM",1,0))</ns0:f>
        <ns0:v>0</ns0:v>
      </ns0:c>
      <ns0:c r="Z475" s="0">
        <ns0:f>IF(T475=0,0,T475-IF(V475="AM",1,0))</ns0:f>
        <ns0:v>0</ns0:v>
      </ns0:c>
      <ns0:c r="AA475" s="0">
        <ns0:f>IFERROR(IF(AND(J475&gt;0,'_Engine'!C475&gt;0,MID('_Engine'!W475,WEEKDAY(J475,2),1)="W",COUNTIF(Settings!$F$18:$F$67,J475)=0),1,0),0)</ns0:f>
        <ns0:v>0</ns0:v>
      </ns0:c>
      <ns0:c r="AB475" s="0">
        <ns0:f>IFERROR(IF(AND(T475&gt;0,'_Engine'!C475&gt;0,MID('_Engine'!W475,WEEKDAY(T475,2),1)="W",COUNTIF(Settings!$F$18:$F$67,T475)=0),1,0),0)</ns0:f>
        <ns0:v>0</ns0:v>
      </ns0:c>
      <ns0:c r="AC475" s="0">
        <ns0:f>IF(AND(J475&gt;0,T475&gt;0,W475&lt;=X475),1,0)</ns0:f>
        <ns0:v>0</ns0:v>
      </ns0:c>
      <ns0:c r="AD475" s="0">
        <ns0:f>IF(AND(J475&gt;0,T475&gt;0,Y475&lt;=Z475),1,0)</ns0:f>
        <ns0:v>0</ns0:v>
      </ns0:c>
    </ns0:row>
    <ns0:row r="476">
      <ns0:c r="A476" s="0">
        <ns0:f>IFERROR(IF(ISNUMBER(Bookings!B476),"",TRIM(Bookings!B476&amp;"")),"")</ns0:f>
      </ns0:c>
      <ns0:c r="B476" s="0">
        <ns0:f>IFERROR(SUBSTITUTE(SUBSTITUTE(A476,"/","."),"-","."),"")</ns0:f>
      </ns0:c>
      <ns0:c r="C476" s="0">
        <ns0:f>IFERROR(LEFT(B476,FIND(".",B476)-1),"")</ns0:f>
      </ns0:c>
      <ns0:c r="D476" s="0">
        <ns0:f>IFERROR(MID(B476,FIND(".",B476)+1,FIND(".",B476,FIND(".",B476)+1)-FIND(".",B476)-1),"")</ns0:f>
      </ns0:c>
      <ns0:c r="E476" s="0">
        <ns0:f>IFERROR(MID(B476,FIND(".",B476,FIND(".",B476)+1)+1,99),"")</ns0:f>
        <ns0:v>99</ns0:v>
      </ns0:c>
      <ns0:c r="F476" s="0">
        <ns0:f>IFERROR(IF(FIND(".",B476)=5,--C476,--E476),0)</ns0:f>
        <ns0:v>0</ns0:v>
      </ns0:c>
      <ns0:c r="G476" s="0">
        <ns0:f>IFERROR(--D476,0)</ns0:f>
        <ns0:v>0</ns0:v>
      </ns0:c>
      <ns0:c r="H476" s="0">
        <ns0:f>IFERROR(IF(FIND(".",B476)=5,--E476,--C476),0)</ns0:f>
        <ns0:v>0</ns0:v>
      </ns0:c>
      <ns0:c r="I476" s="0">
        <ns0:f>IFERROR(IF(AND(F476&gt;=2000,F476&lt;=2100,G476&gt;=1,G476&lt;=12,H476&gt;=1,H476&lt;=31),DATE(F476,G476,H476),0),0)</ns0:f>
        <ns0:v>0</ns0:v>
      </ns0:c>
      <ns0:c r="J476" s="0">
        <ns0:f>IFERROR(IF(ISNUMBER(Bookings!B476),IF(AND(Bookings!B476=INT(Bookings!B476),Bookings!B476&gt;=DATE(2000,1,1),Bookings!B476&lt;=DATE(2100,12,31)),Bookings!B476,0),IF(AND(A476&lt;&gt;"",LEN("x"&amp;B476)-LEN(SUBSTITUTE("x"&amp;B476,".",""))=2,OR(1&gt;LEN(B476),MID(B476,1,1)=".",ISNUMBER(FIND("x"&amp;MID(B476,1,1),"x0x1x2x3x4x5x6x7x8x9"))),OR(2&gt;LEN(B476),MID(B476,2,1)=".",ISNUMBER(FIND("x"&amp;MID(B476,2,1),"x0x1x2x3x4x5x6x7x8x9"))),OR(3&gt;LEN(B476),MID(B476,3,1)=".",ISNUMBER(FIND("x"&amp;MID(B476,3,1),"x0x1x2x3x4x5x6x7x8x9"))),OR(4&gt;LEN(B476),MID(B476,4,1)=".",ISNUMBER(FIND("x"&amp;MID(B476,4,1),"x0x1x2x3x4x5x6x7x8x9"))),OR(5&gt;LEN(B476),MID(B476,5,1)=".",ISNUMBER(FIND("x"&amp;MID(B476,5,1),"x0x1x2x3x4x5x6x7x8x9"))),OR(6&gt;LEN(B476),MID(B476,6,1)=".",ISNUMBER(FIND("x"&amp;MID(B476,6,1),"x0x1x2x3x4x5x6x7x8x9"))),OR(7&gt;LEN(B476),MID(B476,7,1)=".",ISNUMBER(FIND("x"&amp;MID(B476,7,1),"x0x1x2x3x4x5x6x7x8x9"))),OR(8&gt;LEN(B476),MID(B476,8,1)=".",ISNUMBER(FIND("x"&amp;MID(B476,8,1),"x0x1x2x3x4x5x6x7x8x9"))),OR(9&gt;LEN(B476),MID(B476,9,1)=".",ISNUMBER(FIND("x"&amp;MID(B476,9,1),"x0x1x2x3x4x5x6x7x8x9"))),OR(10&gt;LEN(B476),MID(B476,10,1)=".",ISNUMBER(FIND("x"&amp;MID(B476,10,1),"x0x1x2x3x4x5x6x7x8x9"))),OR(AND(FIND(".",B476)=5,LEN(B476)-FIND(".",B476,FIND(".",B476)+1)&gt;=1,LEN(B476)-FIND(".",B476,FIND(".",B476)+1)&lt;=2),AND(LEN(B476)-FIND(".",B476,FIND(".",B476)+1)=4,FIND(".",B476)&gt;=2,FIND(".",B476)&lt;=3)),FIND(".",B476,FIND(".",B476)+1)-FIND(".",B476)&gt;=2,FIND(".",B476,FIND(".",B476)+1)-FIND(".",B476)&lt;=3,F476&gt;=2000,F476&lt;=2100,YEAR(I476)=F476,MONTH(I476)=G476,DAY(I476)=H476),I476,0)),0)</ns0:f>
        <ns0:v>0</ns0:v>
      </ns0:c>
      <ns0:c r="K476" s="0">
        <ns0:f>IFERROR(IF(ISNUMBER(Bookings!D476),"",TRIM(Bookings!D476&amp;"")),"")</ns0:f>
      </ns0:c>
      <ns0:c r="L476" s="0">
        <ns0:f>IFERROR(SUBSTITUTE(SUBSTITUTE(K476,"/","."),"-","."),"")</ns0:f>
      </ns0:c>
      <ns0:c r="M476" s="0">
        <ns0:f>IFERROR(LEFT(L476,FIND(".",L476)-1),"")</ns0:f>
      </ns0:c>
      <ns0:c r="N476" s="0">
        <ns0:f>IFERROR(MID(L476,FIND(".",L476)+1,FIND(".",L476,FIND(".",L476)+1)-FIND(".",L476)-1),"")</ns0:f>
      </ns0:c>
      <ns0:c r="O476" s="0">
        <ns0:f>IFERROR(MID(L476,FIND(".",L476,FIND(".",L476)+1)+1,99),"")</ns0:f>
        <ns0:v>99</ns0:v>
      </ns0:c>
      <ns0:c r="P476" s="0">
        <ns0:f>IFERROR(IF(FIND(".",L476)=5,--M476,--O476),0)</ns0:f>
        <ns0:v>0</ns0:v>
      </ns0:c>
      <ns0:c r="Q476" s="0">
        <ns0:f>IFERROR(--N476,0)</ns0:f>
        <ns0:v>0</ns0:v>
      </ns0:c>
      <ns0:c r="R476" s="0">
        <ns0:f>IFERROR(IF(FIND(".",L476)=5,--O476,--M476),0)</ns0:f>
        <ns0:v>0</ns0:v>
      </ns0:c>
      <ns0:c r="S476" s="0">
        <ns0:f>IFERROR(IF(AND(P476&gt;=2000,P476&lt;=2100,Q476&gt;=1,Q476&lt;=12,R476&gt;=1,R476&lt;=31),DATE(P476,Q476,R476),0),0)</ns0:f>
        <ns0:v>0</ns0:v>
      </ns0:c>
      <ns0:c r="T476" s="0">
        <ns0:f>IFERROR(IF(ISNUMBER(Bookings!D476),IF(AND(Bookings!D476=INT(Bookings!D476),Bookings!D476&gt;=DATE(2000,1,1),Bookings!D476&lt;=DATE(2100,12,31)),Bookings!D476,0),IF(AND(K476&lt;&gt;"",LEN("x"&amp;L476)-LEN(SUBSTITUTE("x"&amp;L476,".",""))=2,OR(1&gt;LEN(L476),MID(L476,1,1)=".",ISNUMBER(FIND("x"&amp;MID(L476,1,1),"x0x1x2x3x4x5x6x7x8x9"))),OR(2&gt;LEN(L476),MID(L476,2,1)=".",ISNUMBER(FIND("x"&amp;MID(L476,2,1),"x0x1x2x3x4x5x6x7x8x9"))),OR(3&gt;LEN(L476),MID(L476,3,1)=".",ISNUMBER(FIND("x"&amp;MID(L476,3,1),"x0x1x2x3x4x5x6x7x8x9"))),OR(4&gt;LEN(L476),MID(L476,4,1)=".",ISNUMBER(FIND("x"&amp;MID(L476,4,1),"x0x1x2x3x4x5x6x7x8x9"))),OR(5&gt;LEN(L476),MID(L476,5,1)=".",ISNUMBER(FIND("x"&amp;MID(L476,5,1),"x0x1x2x3x4x5x6x7x8x9"))),OR(6&gt;LEN(L476),MID(L476,6,1)=".",ISNUMBER(FIND("x"&amp;MID(L476,6,1),"x0x1x2x3x4x5x6x7x8x9"))),OR(7&gt;LEN(L476),MID(L476,7,1)=".",ISNUMBER(FIND("x"&amp;MID(L476,7,1),"x0x1x2x3x4x5x6x7x8x9"))),OR(8&gt;LEN(L476),MID(L476,8,1)=".",ISNUMBER(FIND("x"&amp;MID(L476,8,1),"x0x1x2x3x4x5x6x7x8x9"))),OR(9&gt;LEN(L476),MID(L476,9,1)=".",ISNUMBER(FIND("x"&amp;MID(L476,9,1),"x0x1x2x3x4x5x6x7x8x9"))),OR(10&gt;LEN(L476),MID(L476,10,1)=".",ISNUMBER(FIND("x"&amp;MID(L476,10,1),"x0x1x2x3x4x5x6x7x8x9"))),OR(AND(FIND(".",L476)=5,LEN(L476)-FIND(".",L476,FIND(".",L476)+1)&gt;=1,LEN(L476)-FIND(".",L476,FIND(".",L476)+1)&lt;=2),AND(LEN(L476)-FIND(".",L476,FIND(".",L476)+1)=4,FIND(".",L476)&gt;=2,FIND(".",L476)&lt;=3)),FIND(".",L476,FIND(".",L476)+1)-FIND(".",L476)&gt;=2,FIND(".",L476,FIND(".",L476)+1)-FIND(".",L476)&lt;=3,P476&gt;=2000,P476&lt;=2100,YEAR(S476)=P476,MONTH(S476)=Q476,DAY(S476)=R476),S476,0)),0)</ns0:f>
        <ns0:v>0</ns0:v>
      </ns0:c>
      <ns0:c r="U476" s="0" t="str">
        <ns0:f>IF(Bookings!C476="","Full day",Bookings!C476)</ns0:f>
        <ns0:v>Full day</ns0:v>
      </ns0:c>
      <ns0:c r="V476" s="0" t="str">
        <ns0:f>IF(Bookings!E476="","Full day",Bookings!E476)</ns0:f>
        <ns0:v>Full day</ns0:v>
      </ns0:c>
      <ns0:c r="W476" s="0">
        <ns0:f>IF(J476=0,0,J476+IF(U476="PM",1,0))</ns0:f>
        <ns0:v>0</ns0:v>
      </ns0:c>
      <ns0:c r="X476" s="0">
        <ns0:f>IF(T476=0,0,T476-IF(V476="PM",1,0))</ns0:f>
        <ns0:v>0</ns0:v>
      </ns0:c>
      <ns0:c r="Y476" s="0">
        <ns0:f>IF(J476=0,0,J476+IF(U476="AM",1,0))</ns0:f>
        <ns0:v>0</ns0:v>
      </ns0:c>
      <ns0:c r="Z476" s="0">
        <ns0:f>IF(T476=0,0,T476-IF(V476="AM",1,0))</ns0:f>
        <ns0:v>0</ns0:v>
      </ns0:c>
      <ns0:c r="AA476" s="0">
        <ns0:f>IFERROR(IF(AND(J476&gt;0,'_Engine'!C476&gt;0,MID('_Engine'!W476,WEEKDAY(J476,2),1)="W",COUNTIF(Settings!$F$18:$F$67,J476)=0),1,0),0)</ns0:f>
        <ns0:v>0</ns0:v>
      </ns0:c>
      <ns0:c r="AB476" s="0">
        <ns0:f>IFERROR(IF(AND(T476&gt;0,'_Engine'!C476&gt;0,MID('_Engine'!W476,WEEKDAY(T476,2),1)="W",COUNTIF(Settings!$F$18:$F$67,T476)=0),1,0),0)</ns0:f>
        <ns0:v>0</ns0:v>
      </ns0:c>
      <ns0:c r="AC476" s="0">
        <ns0:f>IF(AND(J476&gt;0,T476&gt;0,W476&lt;=X476),1,0)</ns0:f>
        <ns0:v>0</ns0:v>
      </ns0:c>
      <ns0:c r="AD476" s="0">
        <ns0:f>IF(AND(J476&gt;0,T476&gt;0,Y476&lt;=Z476),1,0)</ns0:f>
        <ns0:v>0</ns0:v>
      </ns0:c>
    </ns0:row>
    <ns0:row r="477">
      <ns0:c r="A477" s="0">
        <ns0:f>IFERROR(IF(ISNUMBER(Bookings!B477),"",TRIM(Bookings!B477&amp;"")),"")</ns0:f>
      </ns0:c>
      <ns0:c r="B477" s="0">
        <ns0:f>IFERROR(SUBSTITUTE(SUBSTITUTE(A477,"/","."),"-","."),"")</ns0:f>
      </ns0:c>
      <ns0:c r="C477" s="0">
        <ns0:f>IFERROR(LEFT(B477,FIND(".",B477)-1),"")</ns0:f>
      </ns0:c>
      <ns0:c r="D477" s="0">
        <ns0:f>IFERROR(MID(B477,FIND(".",B477)+1,FIND(".",B477,FIND(".",B477)+1)-FIND(".",B477)-1),"")</ns0:f>
      </ns0:c>
      <ns0:c r="E477" s="0">
        <ns0:f>IFERROR(MID(B477,FIND(".",B477,FIND(".",B477)+1)+1,99),"")</ns0:f>
        <ns0:v>99</ns0:v>
      </ns0:c>
      <ns0:c r="F477" s="0">
        <ns0:f>IFERROR(IF(FIND(".",B477)=5,--C477,--E477),0)</ns0:f>
        <ns0:v>0</ns0:v>
      </ns0:c>
      <ns0:c r="G477" s="0">
        <ns0:f>IFERROR(--D477,0)</ns0:f>
        <ns0:v>0</ns0:v>
      </ns0:c>
      <ns0:c r="H477" s="0">
        <ns0:f>IFERROR(IF(FIND(".",B477)=5,--E477,--C477),0)</ns0:f>
        <ns0:v>0</ns0:v>
      </ns0:c>
      <ns0:c r="I477" s="0">
        <ns0:f>IFERROR(IF(AND(F477&gt;=2000,F477&lt;=2100,G477&gt;=1,G477&lt;=12,H477&gt;=1,H477&lt;=31),DATE(F477,G477,H477),0),0)</ns0:f>
        <ns0:v>0</ns0:v>
      </ns0:c>
      <ns0:c r="J477" s="0">
        <ns0:f>IFERROR(IF(ISNUMBER(Bookings!B477),IF(AND(Bookings!B477=INT(Bookings!B477),Bookings!B477&gt;=DATE(2000,1,1),Bookings!B477&lt;=DATE(2100,12,31)),Bookings!B477,0),IF(AND(A477&lt;&gt;"",LEN("x"&amp;B477)-LEN(SUBSTITUTE("x"&amp;B477,".",""))=2,OR(1&gt;LEN(B477),MID(B477,1,1)=".",ISNUMBER(FIND("x"&amp;MID(B477,1,1),"x0x1x2x3x4x5x6x7x8x9"))),OR(2&gt;LEN(B477),MID(B477,2,1)=".",ISNUMBER(FIND("x"&amp;MID(B477,2,1),"x0x1x2x3x4x5x6x7x8x9"))),OR(3&gt;LEN(B477),MID(B477,3,1)=".",ISNUMBER(FIND("x"&amp;MID(B477,3,1),"x0x1x2x3x4x5x6x7x8x9"))),OR(4&gt;LEN(B477),MID(B477,4,1)=".",ISNUMBER(FIND("x"&amp;MID(B477,4,1),"x0x1x2x3x4x5x6x7x8x9"))),OR(5&gt;LEN(B477),MID(B477,5,1)=".",ISNUMBER(FIND("x"&amp;MID(B477,5,1),"x0x1x2x3x4x5x6x7x8x9"))),OR(6&gt;LEN(B477),MID(B477,6,1)=".",ISNUMBER(FIND("x"&amp;MID(B477,6,1),"x0x1x2x3x4x5x6x7x8x9"))),OR(7&gt;LEN(B477),MID(B477,7,1)=".",ISNUMBER(FIND("x"&amp;MID(B477,7,1),"x0x1x2x3x4x5x6x7x8x9"))),OR(8&gt;LEN(B477),MID(B477,8,1)=".",ISNUMBER(FIND("x"&amp;MID(B477,8,1),"x0x1x2x3x4x5x6x7x8x9"))),OR(9&gt;LEN(B477),MID(B477,9,1)=".",ISNUMBER(FIND("x"&amp;MID(B477,9,1),"x0x1x2x3x4x5x6x7x8x9"))),OR(10&gt;LEN(B477),MID(B477,10,1)=".",ISNUMBER(FIND("x"&amp;MID(B477,10,1),"x0x1x2x3x4x5x6x7x8x9"))),OR(AND(FIND(".",B477)=5,LEN(B477)-FIND(".",B477,FIND(".",B477)+1)&gt;=1,LEN(B477)-FIND(".",B477,FIND(".",B477)+1)&lt;=2),AND(LEN(B477)-FIND(".",B477,FIND(".",B477)+1)=4,FIND(".",B477)&gt;=2,FIND(".",B477)&lt;=3)),FIND(".",B477,FIND(".",B477)+1)-FIND(".",B477)&gt;=2,FIND(".",B477,FIND(".",B477)+1)-FIND(".",B477)&lt;=3,F477&gt;=2000,F477&lt;=2100,YEAR(I477)=F477,MONTH(I477)=G477,DAY(I477)=H477),I477,0)),0)</ns0:f>
        <ns0:v>0</ns0:v>
      </ns0:c>
      <ns0:c r="K477" s="0">
        <ns0:f>IFERROR(IF(ISNUMBER(Bookings!D477),"",TRIM(Bookings!D477&amp;"")),"")</ns0:f>
      </ns0:c>
      <ns0:c r="L477" s="0">
        <ns0:f>IFERROR(SUBSTITUTE(SUBSTITUTE(K477,"/","."),"-","."),"")</ns0:f>
      </ns0:c>
      <ns0:c r="M477" s="0">
        <ns0:f>IFERROR(LEFT(L477,FIND(".",L477)-1),"")</ns0:f>
      </ns0:c>
      <ns0:c r="N477" s="0">
        <ns0:f>IFERROR(MID(L477,FIND(".",L477)+1,FIND(".",L477,FIND(".",L477)+1)-FIND(".",L477)-1),"")</ns0:f>
      </ns0:c>
      <ns0:c r="O477" s="0">
        <ns0:f>IFERROR(MID(L477,FIND(".",L477,FIND(".",L477)+1)+1,99),"")</ns0:f>
        <ns0:v>99</ns0:v>
      </ns0:c>
      <ns0:c r="P477" s="0">
        <ns0:f>IFERROR(IF(FIND(".",L477)=5,--M477,--O477),0)</ns0:f>
        <ns0:v>0</ns0:v>
      </ns0:c>
      <ns0:c r="Q477" s="0">
        <ns0:f>IFERROR(--N477,0)</ns0:f>
        <ns0:v>0</ns0:v>
      </ns0:c>
      <ns0:c r="R477" s="0">
        <ns0:f>IFERROR(IF(FIND(".",L477)=5,--O477,--M477),0)</ns0:f>
        <ns0:v>0</ns0:v>
      </ns0:c>
      <ns0:c r="S477" s="0">
        <ns0:f>IFERROR(IF(AND(P477&gt;=2000,P477&lt;=2100,Q477&gt;=1,Q477&lt;=12,R477&gt;=1,R477&lt;=31),DATE(P477,Q477,R477),0),0)</ns0:f>
        <ns0:v>0</ns0:v>
      </ns0:c>
      <ns0:c r="T477" s="0">
        <ns0:f>IFERROR(IF(ISNUMBER(Bookings!D477),IF(AND(Bookings!D477=INT(Bookings!D477),Bookings!D477&gt;=DATE(2000,1,1),Bookings!D477&lt;=DATE(2100,12,31)),Bookings!D477,0),IF(AND(K477&lt;&gt;"",LEN("x"&amp;L477)-LEN(SUBSTITUTE("x"&amp;L477,".",""))=2,OR(1&gt;LEN(L477),MID(L477,1,1)=".",ISNUMBER(FIND("x"&amp;MID(L477,1,1),"x0x1x2x3x4x5x6x7x8x9"))),OR(2&gt;LEN(L477),MID(L477,2,1)=".",ISNUMBER(FIND("x"&amp;MID(L477,2,1),"x0x1x2x3x4x5x6x7x8x9"))),OR(3&gt;LEN(L477),MID(L477,3,1)=".",ISNUMBER(FIND("x"&amp;MID(L477,3,1),"x0x1x2x3x4x5x6x7x8x9"))),OR(4&gt;LEN(L477),MID(L477,4,1)=".",ISNUMBER(FIND("x"&amp;MID(L477,4,1),"x0x1x2x3x4x5x6x7x8x9"))),OR(5&gt;LEN(L477),MID(L477,5,1)=".",ISNUMBER(FIND("x"&amp;MID(L477,5,1),"x0x1x2x3x4x5x6x7x8x9"))),OR(6&gt;LEN(L477),MID(L477,6,1)=".",ISNUMBER(FIND("x"&amp;MID(L477,6,1),"x0x1x2x3x4x5x6x7x8x9"))),OR(7&gt;LEN(L477),MID(L477,7,1)=".",ISNUMBER(FIND("x"&amp;MID(L477,7,1),"x0x1x2x3x4x5x6x7x8x9"))),OR(8&gt;LEN(L477),MID(L477,8,1)=".",ISNUMBER(FIND("x"&amp;MID(L477,8,1),"x0x1x2x3x4x5x6x7x8x9"))),OR(9&gt;LEN(L477),MID(L477,9,1)=".",ISNUMBER(FIND("x"&amp;MID(L477,9,1),"x0x1x2x3x4x5x6x7x8x9"))),OR(10&gt;LEN(L477),MID(L477,10,1)=".",ISNUMBER(FIND("x"&amp;MID(L477,10,1),"x0x1x2x3x4x5x6x7x8x9"))),OR(AND(FIND(".",L477)=5,LEN(L477)-FIND(".",L477,FIND(".",L477)+1)&gt;=1,LEN(L477)-FIND(".",L477,FIND(".",L477)+1)&lt;=2),AND(LEN(L477)-FIND(".",L477,FIND(".",L477)+1)=4,FIND(".",L477)&gt;=2,FIND(".",L477)&lt;=3)),FIND(".",L477,FIND(".",L477)+1)-FIND(".",L477)&gt;=2,FIND(".",L477,FIND(".",L477)+1)-FIND(".",L477)&lt;=3,P477&gt;=2000,P477&lt;=2100,YEAR(S477)=P477,MONTH(S477)=Q477,DAY(S477)=R477),S477,0)),0)</ns0:f>
        <ns0:v>0</ns0:v>
      </ns0:c>
      <ns0:c r="U477" s="0" t="str">
        <ns0:f>IF(Bookings!C477="","Full day",Bookings!C477)</ns0:f>
        <ns0:v>Full day</ns0:v>
      </ns0:c>
      <ns0:c r="V477" s="0" t="str">
        <ns0:f>IF(Bookings!E477="","Full day",Bookings!E477)</ns0:f>
        <ns0:v>Full day</ns0:v>
      </ns0:c>
      <ns0:c r="W477" s="0">
        <ns0:f>IF(J477=0,0,J477+IF(U477="PM",1,0))</ns0:f>
        <ns0:v>0</ns0:v>
      </ns0:c>
      <ns0:c r="X477" s="0">
        <ns0:f>IF(T477=0,0,T477-IF(V477="PM",1,0))</ns0:f>
        <ns0:v>0</ns0:v>
      </ns0:c>
      <ns0:c r="Y477" s="0">
        <ns0:f>IF(J477=0,0,J477+IF(U477="AM",1,0))</ns0:f>
        <ns0:v>0</ns0:v>
      </ns0:c>
      <ns0:c r="Z477" s="0">
        <ns0:f>IF(T477=0,0,T477-IF(V477="AM",1,0))</ns0:f>
        <ns0:v>0</ns0:v>
      </ns0:c>
      <ns0:c r="AA477" s="0">
        <ns0:f>IFERROR(IF(AND(J477&gt;0,'_Engine'!C477&gt;0,MID('_Engine'!W477,WEEKDAY(J477,2),1)="W",COUNTIF(Settings!$F$18:$F$67,J477)=0),1,0),0)</ns0:f>
        <ns0:v>0</ns0:v>
      </ns0:c>
      <ns0:c r="AB477" s="0">
        <ns0:f>IFERROR(IF(AND(T477&gt;0,'_Engine'!C477&gt;0,MID('_Engine'!W477,WEEKDAY(T477,2),1)="W",COUNTIF(Settings!$F$18:$F$67,T477)=0),1,0),0)</ns0:f>
        <ns0:v>0</ns0:v>
      </ns0:c>
      <ns0:c r="AC477" s="0">
        <ns0:f>IF(AND(J477&gt;0,T477&gt;0,W477&lt;=X477),1,0)</ns0:f>
        <ns0:v>0</ns0:v>
      </ns0:c>
      <ns0:c r="AD477" s="0">
        <ns0:f>IF(AND(J477&gt;0,T477&gt;0,Y477&lt;=Z477),1,0)</ns0:f>
        <ns0:v>0</ns0:v>
      </ns0:c>
    </ns0:row>
    <ns0:row r="478">
      <ns0:c r="A478" s="0">
        <ns0:f>IFERROR(IF(ISNUMBER(Bookings!B478),"",TRIM(Bookings!B478&amp;"")),"")</ns0:f>
      </ns0:c>
      <ns0:c r="B478" s="0">
        <ns0:f>IFERROR(SUBSTITUTE(SUBSTITUTE(A478,"/","."),"-","."),"")</ns0:f>
      </ns0:c>
      <ns0:c r="C478" s="0">
        <ns0:f>IFERROR(LEFT(B478,FIND(".",B478)-1),"")</ns0:f>
      </ns0:c>
      <ns0:c r="D478" s="0">
        <ns0:f>IFERROR(MID(B478,FIND(".",B478)+1,FIND(".",B478,FIND(".",B478)+1)-FIND(".",B478)-1),"")</ns0:f>
      </ns0:c>
      <ns0:c r="E478" s="0">
        <ns0:f>IFERROR(MID(B478,FIND(".",B478,FIND(".",B478)+1)+1,99),"")</ns0:f>
        <ns0:v>99</ns0:v>
      </ns0:c>
      <ns0:c r="F478" s="0">
        <ns0:f>IFERROR(IF(FIND(".",B478)=5,--C478,--E478),0)</ns0:f>
        <ns0:v>0</ns0:v>
      </ns0:c>
      <ns0:c r="G478" s="0">
        <ns0:f>IFERROR(--D478,0)</ns0:f>
        <ns0:v>0</ns0:v>
      </ns0:c>
      <ns0:c r="H478" s="0">
        <ns0:f>IFERROR(IF(FIND(".",B478)=5,--E478,--C478),0)</ns0:f>
        <ns0:v>0</ns0:v>
      </ns0:c>
      <ns0:c r="I478" s="0">
        <ns0:f>IFERROR(IF(AND(F478&gt;=2000,F478&lt;=2100,G478&gt;=1,G478&lt;=12,H478&gt;=1,H478&lt;=31),DATE(F478,G478,H478),0),0)</ns0:f>
        <ns0:v>0</ns0:v>
      </ns0:c>
      <ns0:c r="J478" s="0">
        <ns0:f>IFERROR(IF(ISNUMBER(Bookings!B478),IF(AND(Bookings!B478=INT(Bookings!B478),Bookings!B478&gt;=DATE(2000,1,1),Bookings!B478&lt;=DATE(2100,12,31)),Bookings!B478,0),IF(AND(A478&lt;&gt;"",LEN("x"&amp;B478)-LEN(SUBSTITUTE("x"&amp;B478,".",""))=2,OR(1&gt;LEN(B478),MID(B478,1,1)=".",ISNUMBER(FIND("x"&amp;MID(B478,1,1),"x0x1x2x3x4x5x6x7x8x9"))),OR(2&gt;LEN(B478),MID(B478,2,1)=".",ISNUMBER(FIND("x"&amp;MID(B478,2,1),"x0x1x2x3x4x5x6x7x8x9"))),OR(3&gt;LEN(B478),MID(B478,3,1)=".",ISNUMBER(FIND("x"&amp;MID(B478,3,1),"x0x1x2x3x4x5x6x7x8x9"))),OR(4&gt;LEN(B478),MID(B478,4,1)=".",ISNUMBER(FIND("x"&amp;MID(B478,4,1),"x0x1x2x3x4x5x6x7x8x9"))),OR(5&gt;LEN(B478),MID(B478,5,1)=".",ISNUMBER(FIND("x"&amp;MID(B478,5,1),"x0x1x2x3x4x5x6x7x8x9"))),OR(6&gt;LEN(B478),MID(B478,6,1)=".",ISNUMBER(FIND("x"&amp;MID(B478,6,1),"x0x1x2x3x4x5x6x7x8x9"))),OR(7&gt;LEN(B478),MID(B478,7,1)=".",ISNUMBER(FIND("x"&amp;MID(B478,7,1),"x0x1x2x3x4x5x6x7x8x9"))),OR(8&gt;LEN(B478),MID(B478,8,1)=".",ISNUMBER(FIND("x"&amp;MID(B478,8,1),"x0x1x2x3x4x5x6x7x8x9"))),OR(9&gt;LEN(B478),MID(B478,9,1)=".",ISNUMBER(FIND("x"&amp;MID(B478,9,1),"x0x1x2x3x4x5x6x7x8x9"))),OR(10&gt;LEN(B478),MID(B478,10,1)=".",ISNUMBER(FIND("x"&amp;MID(B478,10,1),"x0x1x2x3x4x5x6x7x8x9"))),OR(AND(FIND(".",B478)=5,LEN(B478)-FIND(".",B478,FIND(".",B478)+1)&gt;=1,LEN(B478)-FIND(".",B478,FIND(".",B478)+1)&lt;=2),AND(LEN(B478)-FIND(".",B478,FIND(".",B478)+1)=4,FIND(".",B478)&gt;=2,FIND(".",B478)&lt;=3)),FIND(".",B478,FIND(".",B478)+1)-FIND(".",B478)&gt;=2,FIND(".",B478,FIND(".",B478)+1)-FIND(".",B478)&lt;=3,F478&gt;=2000,F478&lt;=2100,YEAR(I478)=F478,MONTH(I478)=G478,DAY(I478)=H478),I478,0)),0)</ns0:f>
        <ns0:v>0</ns0:v>
      </ns0:c>
      <ns0:c r="K478" s="0">
        <ns0:f>IFERROR(IF(ISNUMBER(Bookings!D478),"",TRIM(Bookings!D478&amp;"")),"")</ns0:f>
      </ns0:c>
      <ns0:c r="L478" s="0">
        <ns0:f>IFERROR(SUBSTITUTE(SUBSTITUTE(K478,"/","."),"-","."),"")</ns0:f>
      </ns0:c>
      <ns0:c r="M478" s="0">
        <ns0:f>IFERROR(LEFT(L478,FIND(".",L478)-1),"")</ns0:f>
      </ns0:c>
      <ns0:c r="N478" s="0">
        <ns0:f>IFERROR(MID(L478,FIND(".",L478)+1,FIND(".",L478,FIND(".",L478)+1)-FIND(".",L478)-1),"")</ns0:f>
      </ns0:c>
      <ns0:c r="O478" s="0">
        <ns0:f>IFERROR(MID(L478,FIND(".",L478,FIND(".",L478)+1)+1,99),"")</ns0:f>
        <ns0:v>99</ns0:v>
      </ns0:c>
      <ns0:c r="P478" s="0">
        <ns0:f>IFERROR(IF(FIND(".",L478)=5,--M478,--O478),0)</ns0:f>
        <ns0:v>0</ns0:v>
      </ns0:c>
      <ns0:c r="Q478" s="0">
        <ns0:f>IFERROR(--N478,0)</ns0:f>
        <ns0:v>0</ns0:v>
      </ns0:c>
      <ns0:c r="R478" s="0">
        <ns0:f>IFERROR(IF(FIND(".",L478)=5,--O478,--M478),0)</ns0:f>
        <ns0:v>0</ns0:v>
      </ns0:c>
      <ns0:c r="S478" s="0">
        <ns0:f>IFERROR(IF(AND(P478&gt;=2000,P478&lt;=2100,Q478&gt;=1,Q478&lt;=12,R478&gt;=1,R478&lt;=31),DATE(P478,Q478,R478),0),0)</ns0:f>
        <ns0:v>0</ns0:v>
      </ns0:c>
      <ns0:c r="T478" s="0">
        <ns0:f>IFERROR(IF(ISNUMBER(Bookings!D478),IF(AND(Bookings!D478=INT(Bookings!D478),Bookings!D478&gt;=DATE(2000,1,1),Bookings!D478&lt;=DATE(2100,12,31)),Bookings!D478,0),IF(AND(K478&lt;&gt;"",LEN("x"&amp;L478)-LEN(SUBSTITUTE("x"&amp;L478,".",""))=2,OR(1&gt;LEN(L478),MID(L478,1,1)=".",ISNUMBER(FIND("x"&amp;MID(L478,1,1),"x0x1x2x3x4x5x6x7x8x9"))),OR(2&gt;LEN(L478),MID(L478,2,1)=".",ISNUMBER(FIND("x"&amp;MID(L478,2,1),"x0x1x2x3x4x5x6x7x8x9"))),OR(3&gt;LEN(L478),MID(L478,3,1)=".",ISNUMBER(FIND("x"&amp;MID(L478,3,1),"x0x1x2x3x4x5x6x7x8x9"))),OR(4&gt;LEN(L478),MID(L478,4,1)=".",ISNUMBER(FIND("x"&amp;MID(L478,4,1),"x0x1x2x3x4x5x6x7x8x9"))),OR(5&gt;LEN(L478),MID(L478,5,1)=".",ISNUMBER(FIND("x"&amp;MID(L478,5,1),"x0x1x2x3x4x5x6x7x8x9"))),OR(6&gt;LEN(L478),MID(L478,6,1)=".",ISNUMBER(FIND("x"&amp;MID(L478,6,1),"x0x1x2x3x4x5x6x7x8x9"))),OR(7&gt;LEN(L478),MID(L478,7,1)=".",ISNUMBER(FIND("x"&amp;MID(L478,7,1),"x0x1x2x3x4x5x6x7x8x9"))),OR(8&gt;LEN(L478),MID(L478,8,1)=".",ISNUMBER(FIND("x"&amp;MID(L478,8,1),"x0x1x2x3x4x5x6x7x8x9"))),OR(9&gt;LEN(L478),MID(L478,9,1)=".",ISNUMBER(FIND("x"&amp;MID(L478,9,1),"x0x1x2x3x4x5x6x7x8x9"))),OR(10&gt;LEN(L478),MID(L478,10,1)=".",ISNUMBER(FIND("x"&amp;MID(L478,10,1),"x0x1x2x3x4x5x6x7x8x9"))),OR(AND(FIND(".",L478)=5,LEN(L478)-FIND(".",L478,FIND(".",L478)+1)&gt;=1,LEN(L478)-FIND(".",L478,FIND(".",L478)+1)&lt;=2),AND(LEN(L478)-FIND(".",L478,FIND(".",L478)+1)=4,FIND(".",L478)&gt;=2,FIND(".",L478)&lt;=3)),FIND(".",L478,FIND(".",L478)+1)-FIND(".",L478)&gt;=2,FIND(".",L478,FIND(".",L478)+1)-FIND(".",L478)&lt;=3,P478&gt;=2000,P478&lt;=2100,YEAR(S478)=P478,MONTH(S478)=Q478,DAY(S478)=R478),S478,0)),0)</ns0:f>
        <ns0:v>0</ns0:v>
      </ns0:c>
      <ns0:c r="U478" s="0" t="str">
        <ns0:f>IF(Bookings!C478="","Full day",Bookings!C478)</ns0:f>
        <ns0:v>Full day</ns0:v>
      </ns0:c>
      <ns0:c r="V478" s="0" t="str">
        <ns0:f>IF(Bookings!E478="","Full day",Bookings!E478)</ns0:f>
        <ns0:v>Full day</ns0:v>
      </ns0:c>
      <ns0:c r="W478" s="0">
        <ns0:f>IF(J478=0,0,J478+IF(U478="PM",1,0))</ns0:f>
        <ns0:v>0</ns0:v>
      </ns0:c>
      <ns0:c r="X478" s="0">
        <ns0:f>IF(T478=0,0,T478-IF(V478="PM",1,0))</ns0:f>
        <ns0:v>0</ns0:v>
      </ns0:c>
      <ns0:c r="Y478" s="0">
        <ns0:f>IF(J478=0,0,J478+IF(U478="AM",1,0))</ns0:f>
        <ns0:v>0</ns0:v>
      </ns0:c>
      <ns0:c r="Z478" s="0">
        <ns0:f>IF(T478=0,0,T478-IF(V478="AM",1,0))</ns0:f>
        <ns0:v>0</ns0:v>
      </ns0:c>
      <ns0:c r="AA478" s="0">
        <ns0:f>IFERROR(IF(AND(J478&gt;0,'_Engine'!C478&gt;0,MID('_Engine'!W478,WEEKDAY(J478,2),1)="W",COUNTIF(Settings!$F$18:$F$67,J478)=0),1,0),0)</ns0:f>
        <ns0:v>0</ns0:v>
      </ns0:c>
      <ns0:c r="AB478" s="0">
        <ns0:f>IFERROR(IF(AND(T478&gt;0,'_Engine'!C478&gt;0,MID('_Engine'!W478,WEEKDAY(T478,2),1)="W",COUNTIF(Settings!$F$18:$F$67,T478)=0),1,0),0)</ns0:f>
        <ns0:v>0</ns0:v>
      </ns0:c>
      <ns0:c r="AC478" s="0">
        <ns0:f>IF(AND(J478&gt;0,T478&gt;0,W478&lt;=X478),1,0)</ns0:f>
        <ns0:v>0</ns0:v>
      </ns0:c>
      <ns0:c r="AD478" s="0">
        <ns0:f>IF(AND(J478&gt;0,T478&gt;0,Y478&lt;=Z478),1,0)</ns0:f>
        <ns0:v>0</ns0:v>
      </ns0:c>
    </ns0:row>
    <ns0:row r="479">
      <ns0:c r="A479" s="0">
        <ns0:f>IFERROR(IF(ISNUMBER(Bookings!B479),"",TRIM(Bookings!B479&amp;"")),"")</ns0:f>
      </ns0:c>
      <ns0:c r="B479" s="0">
        <ns0:f>IFERROR(SUBSTITUTE(SUBSTITUTE(A479,"/","."),"-","."),"")</ns0:f>
      </ns0:c>
      <ns0:c r="C479" s="0">
        <ns0:f>IFERROR(LEFT(B479,FIND(".",B479)-1),"")</ns0:f>
      </ns0:c>
      <ns0:c r="D479" s="0">
        <ns0:f>IFERROR(MID(B479,FIND(".",B479)+1,FIND(".",B479,FIND(".",B479)+1)-FIND(".",B479)-1),"")</ns0:f>
      </ns0:c>
      <ns0:c r="E479" s="0">
        <ns0:f>IFERROR(MID(B479,FIND(".",B479,FIND(".",B479)+1)+1,99),"")</ns0:f>
        <ns0:v>99</ns0:v>
      </ns0:c>
      <ns0:c r="F479" s="0">
        <ns0:f>IFERROR(IF(FIND(".",B479)=5,--C479,--E479),0)</ns0:f>
        <ns0:v>0</ns0:v>
      </ns0:c>
      <ns0:c r="G479" s="0">
        <ns0:f>IFERROR(--D479,0)</ns0:f>
        <ns0:v>0</ns0:v>
      </ns0:c>
      <ns0:c r="H479" s="0">
        <ns0:f>IFERROR(IF(FIND(".",B479)=5,--E479,--C479),0)</ns0:f>
        <ns0:v>0</ns0:v>
      </ns0:c>
      <ns0:c r="I479" s="0">
        <ns0:f>IFERROR(IF(AND(F479&gt;=2000,F479&lt;=2100,G479&gt;=1,G479&lt;=12,H479&gt;=1,H479&lt;=31),DATE(F479,G479,H479),0),0)</ns0:f>
        <ns0:v>0</ns0:v>
      </ns0:c>
      <ns0:c r="J479" s="0">
        <ns0:f>IFERROR(IF(ISNUMBER(Bookings!B479),IF(AND(Bookings!B479=INT(Bookings!B479),Bookings!B479&gt;=DATE(2000,1,1),Bookings!B479&lt;=DATE(2100,12,31)),Bookings!B479,0),IF(AND(A479&lt;&gt;"",LEN("x"&amp;B479)-LEN(SUBSTITUTE("x"&amp;B479,".",""))=2,OR(1&gt;LEN(B479),MID(B479,1,1)=".",ISNUMBER(FIND("x"&amp;MID(B479,1,1),"x0x1x2x3x4x5x6x7x8x9"))),OR(2&gt;LEN(B479),MID(B479,2,1)=".",ISNUMBER(FIND("x"&amp;MID(B479,2,1),"x0x1x2x3x4x5x6x7x8x9"))),OR(3&gt;LEN(B479),MID(B479,3,1)=".",ISNUMBER(FIND("x"&amp;MID(B479,3,1),"x0x1x2x3x4x5x6x7x8x9"))),OR(4&gt;LEN(B479),MID(B479,4,1)=".",ISNUMBER(FIND("x"&amp;MID(B479,4,1),"x0x1x2x3x4x5x6x7x8x9"))),OR(5&gt;LEN(B479),MID(B479,5,1)=".",ISNUMBER(FIND("x"&amp;MID(B479,5,1),"x0x1x2x3x4x5x6x7x8x9"))),OR(6&gt;LEN(B479),MID(B479,6,1)=".",ISNUMBER(FIND("x"&amp;MID(B479,6,1),"x0x1x2x3x4x5x6x7x8x9"))),OR(7&gt;LEN(B479),MID(B479,7,1)=".",ISNUMBER(FIND("x"&amp;MID(B479,7,1),"x0x1x2x3x4x5x6x7x8x9"))),OR(8&gt;LEN(B479),MID(B479,8,1)=".",ISNUMBER(FIND("x"&amp;MID(B479,8,1),"x0x1x2x3x4x5x6x7x8x9"))),OR(9&gt;LEN(B479),MID(B479,9,1)=".",ISNUMBER(FIND("x"&amp;MID(B479,9,1),"x0x1x2x3x4x5x6x7x8x9"))),OR(10&gt;LEN(B479),MID(B479,10,1)=".",ISNUMBER(FIND("x"&amp;MID(B479,10,1),"x0x1x2x3x4x5x6x7x8x9"))),OR(AND(FIND(".",B479)=5,LEN(B479)-FIND(".",B479,FIND(".",B479)+1)&gt;=1,LEN(B479)-FIND(".",B479,FIND(".",B479)+1)&lt;=2),AND(LEN(B479)-FIND(".",B479,FIND(".",B479)+1)=4,FIND(".",B479)&gt;=2,FIND(".",B479)&lt;=3)),FIND(".",B479,FIND(".",B479)+1)-FIND(".",B479)&gt;=2,FIND(".",B479,FIND(".",B479)+1)-FIND(".",B479)&lt;=3,F479&gt;=2000,F479&lt;=2100,YEAR(I479)=F479,MONTH(I479)=G479,DAY(I479)=H479),I479,0)),0)</ns0:f>
        <ns0:v>0</ns0:v>
      </ns0:c>
      <ns0:c r="K479" s="0">
        <ns0:f>IFERROR(IF(ISNUMBER(Bookings!D479),"",TRIM(Bookings!D479&amp;"")),"")</ns0:f>
      </ns0:c>
      <ns0:c r="L479" s="0">
        <ns0:f>IFERROR(SUBSTITUTE(SUBSTITUTE(K479,"/","."),"-","."),"")</ns0:f>
      </ns0:c>
      <ns0:c r="M479" s="0">
        <ns0:f>IFERROR(LEFT(L479,FIND(".",L479)-1),"")</ns0:f>
      </ns0:c>
      <ns0:c r="N479" s="0">
        <ns0:f>IFERROR(MID(L479,FIND(".",L479)+1,FIND(".",L479,FIND(".",L479)+1)-FIND(".",L479)-1),"")</ns0:f>
      </ns0:c>
      <ns0:c r="O479" s="0">
        <ns0:f>IFERROR(MID(L479,FIND(".",L479,FIND(".",L479)+1)+1,99),"")</ns0:f>
        <ns0:v>99</ns0:v>
      </ns0:c>
      <ns0:c r="P479" s="0">
        <ns0:f>IFERROR(IF(FIND(".",L479)=5,--M479,--O479),0)</ns0:f>
        <ns0:v>0</ns0:v>
      </ns0:c>
      <ns0:c r="Q479" s="0">
        <ns0:f>IFERROR(--N479,0)</ns0:f>
        <ns0:v>0</ns0:v>
      </ns0:c>
      <ns0:c r="R479" s="0">
        <ns0:f>IFERROR(IF(FIND(".",L479)=5,--O479,--M479),0)</ns0:f>
        <ns0:v>0</ns0:v>
      </ns0:c>
      <ns0:c r="S479" s="0">
        <ns0:f>IFERROR(IF(AND(P479&gt;=2000,P479&lt;=2100,Q479&gt;=1,Q479&lt;=12,R479&gt;=1,R479&lt;=31),DATE(P479,Q479,R479),0),0)</ns0:f>
        <ns0:v>0</ns0:v>
      </ns0:c>
      <ns0:c r="T479" s="0">
        <ns0:f>IFERROR(IF(ISNUMBER(Bookings!D479),IF(AND(Bookings!D479=INT(Bookings!D479),Bookings!D479&gt;=DATE(2000,1,1),Bookings!D479&lt;=DATE(2100,12,31)),Bookings!D479,0),IF(AND(K479&lt;&gt;"",LEN("x"&amp;L479)-LEN(SUBSTITUTE("x"&amp;L479,".",""))=2,OR(1&gt;LEN(L479),MID(L479,1,1)=".",ISNUMBER(FIND("x"&amp;MID(L479,1,1),"x0x1x2x3x4x5x6x7x8x9"))),OR(2&gt;LEN(L479),MID(L479,2,1)=".",ISNUMBER(FIND("x"&amp;MID(L479,2,1),"x0x1x2x3x4x5x6x7x8x9"))),OR(3&gt;LEN(L479),MID(L479,3,1)=".",ISNUMBER(FIND("x"&amp;MID(L479,3,1),"x0x1x2x3x4x5x6x7x8x9"))),OR(4&gt;LEN(L479),MID(L479,4,1)=".",ISNUMBER(FIND("x"&amp;MID(L479,4,1),"x0x1x2x3x4x5x6x7x8x9"))),OR(5&gt;LEN(L479),MID(L479,5,1)=".",ISNUMBER(FIND("x"&amp;MID(L479,5,1),"x0x1x2x3x4x5x6x7x8x9"))),OR(6&gt;LEN(L479),MID(L479,6,1)=".",ISNUMBER(FIND("x"&amp;MID(L479,6,1),"x0x1x2x3x4x5x6x7x8x9"))),OR(7&gt;LEN(L479),MID(L479,7,1)=".",ISNUMBER(FIND("x"&amp;MID(L479,7,1),"x0x1x2x3x4x5x6x7x8x9"))),OR(8&gt;LEN(L479),MID(L479,8,1)=".",ISNUMBER(FIND("x"&amp;MID(L479,8,1),"x0x1x2x3x4x5x6x7x8x9"))),OR(9&gt;LEN(L479),MID(L479,9,1)=".",ISNUMBER(FIND("x"&amp;MID(L479,9,1),"x0x1x2x3x4x5x6x7x8x9"))),OR(10&gt;LEN(L479),MID(L479,10,1)=".",ISNUMBER(FIND("x"&amp;MID(L479,10,1),"x0x1x2x3x4x5x6x7x8x9"))),OR(AND(FIND(".",L479)=5,LEN(L479)-FIND(".",L479,FIND(".",L479)+1)&gt;=1,LEN(L479)-FIND(".",L479,FIND(".",L479)+1)&lt;=2),AND(LEN(L479)-FIND(".",L479,FIND(".",L479)+1)=4,FIND(".",L479)&gt;=2,FIND(".",L479)&lt;=3)),FIND(".",L479,FIND(".",L479)+1)-FIND(".",L479)&gt;=2,FIND(".",L479,FIND(".",L479)+1)-FIND(".",L479)&lt;=3,P479&gt;=2000,P479&lt;=2100,YEAR(S479)=P479,MONTH(S479)=Q479,DAY(S479)=R479),S479,0)),0)</ns0:f>
        <ns0:v>0</ns0:v>
      </ns0:c>
      <ns0:c r="U479" s="0" t="str">
        <ns0:f>IF(Bookings!C479="","Full day",Bookings!C479)</ns0:f>
        <ns0:v>Full day</ns0:v>
      </ns0:c>
      <ns0:c r="V479" s="0" t="str">
        <ns0:f>IF(Bookings!E479="","Full day",Bookings!E479)</ns0:f>
        <ns0:v>Full day</ns0:v>
      </ns0:c>
      <ns0:c r="W479" s="0">
        <ns0:f>IF(J479=0,0,J479+IF(U479="PM",1,0))</ns0:f>
        <ns0:v>0</ns0:v>
      </ns0:c>
      <ns0:c r="X479" s="0">
        <ns0:f>IF(T479=0,0,T479-IF(V479="PM",1,0))</ns0:f>
        <ns0:v>0</ns0:v>
      </ns0:c>
      <ns0:c r="Y479" s="0">
        <ns0:f>IF(J479=0,0,J479+IF(U479="AM",1,0))</ns0:f>
        <ns0:v>0</ns0:v>
      </ns0:c>
      <ns0:c r="Z479" s="0">
        <ns0:f>IF(T479=0,0,T479-IF(V479="AM",1,0))</ns0:f>
        <ns0:v>0</ns0:v>
      </ns0:c>
      <ns0:c r="AA479" s="0">
        <ns0:f>IFERROR(IF(AND(J479&gt;0,'_Engine'!C479&gt;0,MID('_Engine'!W479,WEEKDAY(J479,2),1)="W",COUNTIF(Settings!$F$18:$F$67,J479)=0),1,0),0)</ns0:f>
        <ns0:v>0</ns0:v>
      </ns0:c>
      <ns0:c r="AB479" s="0">
        <ns0:f>IFERROR(IF(AND(T479&gt;0,'_Engine'!C479&gt;0,MID('_Engine'!W479,WEEKDAY(T479,2),1)="W",COUNTIF(Settings!$F$18:$F$67,T479)=0),1,0),0)</ns0:f>
        <ns0:v>0</ns0:v>
      </ns0:c>
      <ns0:c r="AC479" s="0">
        <ns0:f>IF(AND(J479&gt;0,T479&gt;0,W479&lt;=X479),1,0)</ns0:f>
        <ns0:v>0</ns0:v>
      </ns0:c>
      <ns0:c r="AD479" s="0">
        <ns0:f>IF(AND(J479&gt;0,T479&gt;0,Y479&lt;=Z479),1,0)</ns0:f>
        <ns0:v>0</ns0:v>
      </ns0:c>
    </ns0:row>
    <ns0:row r="480">
      <ns0:c r="A480" s="0">
        <ns0:f>IFERROR(IF(ISNUMBER(Bookings!B480),"",TRIM(Bookings!B480&amp;"")),"")</ns0:f>
      </ns0:c>
      <ns0:c r="B480" s="0">
        <ns0:f>IFERROR(SUBSTITUTE(SUBSTITUTE(A480,"/","."),"-","."),"")</ns0:f>
      </ns0:c>
      <ns0:c r="C480" s="0">
        <ns0:f>IFERROR(LEFT(B480,FIND(".",B480)-1),"")</ns0:f>
      </ns0:c>
      <ns0:c r="D480" s="0">
        <ns0:f>IFERROR(MID(B480,FIND(".",B480)+1,FIND(".",B480,FIND(".",B480)+1)-FIND(".",B480)-1),"")</ns0:f>
      </ns0:c>
      <ns0:c r="E480" s="0">
        <ns0:f>IFERROR(MID(B480,FIND(".",B480,FIND(".",B480)+1)+1,99),"")</ns0:f>
        <ns0:v>99</ns0:v>
      </ns0:c>
      <ns0:c r="F480" s="0">
        <ns0:f>IFERROR(IF(FIND(".",B480)=5,--C480,--E480),0)</ns0:f>
        <ns0:v>0</ns0:v>
      </ns0:c>
      <ns0:c r="G480" s="0">
        <ns0:f>IFERROR(--D480,0)</ns0:f>
        <ns0:v>0</ns0:v>
      </ns0:c>
      <ns0:c r="H480" s="0">
        <ns0:f>IFERROR(IF(FIND(".",B480)=5,--E480,--C480),0)</ns0:f>
        <ns0:v>0</ns0:v>
      </ns0:c>
      <ns0:c r="I480" s="0">
        <ns0:f>IFERROR(IF(AND(F480&gt;=2000,F480&lt;=2100,G480&gt;=1,G480&lt;=12,H480&gt;=1,H480&lt;=31),DATE(F480,G480,H480),0),0)</ns0:f>
        <ns0:v>0</ns0:v>
      </ns0:c>
      <ns0:c r="J480" s="0">
        <ns0:f>IFERROR(IF(ISNUMBER(Bookings!B480),IF(AND(Bookings!B480=INT(Bookings!B480),Bookings!B480&gt;=DATE(2000,1,1),Bookings!B480&lt;=DATE(2100,12,31)),Bookings!B480,0),IF(AND(A480&lt;&gt;"",LEN("x"&amp;B480)-LEN(SUBSTITUTE("x"&amp;B480,".",""))=2,OR(1&gt;LEN(B480),MID(B480,1,1)=".",ISNUMBER(FIND("x"&amp;MID(B480,1,1),"x0x1x2x3x4x5x6x7x8x9"))),OR(2&gt;LEN(B480),MID(B480,2,1)=".",ISNUMBER(FIND("x"&amp;MID(B480,2,1),"x0x1x2x3x4x5x6x7x8x9"))),OR(3&gt;LEN(B480),MID(B480,3,1)=".",ISNUMBER(FIND("x"&amp;MID(B480,3,1),"x0x1x2x3x4x5x6x7x8x9"))),OR(4&gt;LEN(B480),MID(B480,4,1)=".",ISNUMBER(FIND("x"&amp;MID(B480,4,1),"x0x1x2x3x4x5x6x7x8x9"))),OR(5&gt;LEN(B480),MID(B480,5,1)=".",ISNUMBER(FIND("x"&amp;MID(B480,5,1),"x0x1x2x3x4x5x6x7x8x9"))),OR(6&gt;LEN(B480),MID(B480,6,1)=".",ISNUMBER(FIND("x"&amp;MID(B480,6,1),"x0x1x2x3x4x5x6x7x8x9"))),OR(7&gt;LEN(B480),MID(B480,7,1)=".",ISNUMBER(FIND("x"&amp;MID(B480,7,1),"x0x1x2x3x4x5x6x7x8x9"))),OR(8&gt;LEN(B480),MID(B480,8,1)=".",ISNUMBER(FIND("x"&amp;MID(B480,8,1),"x0x1x2x3x4x5x6x7x8x9"))),OR(9&gt;LEN(B480),MID(B480,9,1)=".",ISNUMBER(FIND("x"&amp;MID(B480,9,1),"x0x1x2x3x4x5x6x7x8x9"))),OR(10&gt;LEN(B480),MID(B480,10,1)=".",ISNUMBER(FIND("x"&amp;MID(B480,10,1),"x0x1x2x3x4x5x6x7x8x9"))),OR(AND(FIND(".",B480)=5,LEN(B480)-FIND(".",B480,FIND(".",B480)+1)&gt;=1,LEN(B480)-FIND(".",B480,FIND(".",B480)+1)&lt;=2),AND(LEN(B480)-FIND(".",B480,FIND(".",B480)+1)=4,FIND(".",B480)&gt;=2,FIND(".",B480)&lt;=3)),FIND(".",B480,FIND(".",B480)+1)-FIND(".",B480)&gt;=2,FIND(".",B480,FIND(".",B480)+1)-FIND(".",B480)&lt;=3,F480&gt;=2000,F480&lt;=2100,YEAR(I480)=F480,MONTH(I480)=G480,DAY(I480)=H480),I480,0)),0)</ns0:f>
        <ns0:v>0</ns0:v>
      </ns0:c>
      <ns0:c r="K480" s="0">
        <ns0:f>IFERROR(IF(ISNUMBER(Bookings!D480),"",TRIM(Bookings!D480&amp;"")),"")</ns0:f>
      </ns0:c>
      <ns0:c r="L480" s="0">
        <ns0:f>IFERROR(SUBSTITUTE(SUBSTITUTE(K480,"/","."),"-","."),"")</ns0:f>
      </ns0:c>
      <ns0:c r="M480" s="0">
        <ns0:f>IFERROR(LEFT(L480,FIND(".",L480)-1),"")</ns0:f>
      </ns0:c>
      <ns0:c r="N480" s="0">
        <ns0:f>IFERROR(MID(L480,FIND(".",L480)+1,FIND(".",L480,FIND(".",L480)+1)-FIND(".",L480)-1),"")</ns0:f>
      </ns0:c>
      <ns0:c r="O480" s="0">
        <ns0:f>IFERROR(MID(L480,FIND(".",L480,FIND(".",L480)+1)+1,99),"")</ns0:f>
        <ns0:v>99</ns0:v>
      </ns0:c>
      <ns0:c r="P480" s="0">
        <ns0:f>IFERROR(IF(FIND(".",L480)=5,--M480,--O480),0)</ns0:f>
        <ns0:v>0</ns0:v>
      </ns0:c>
      <ns0:c r="Q480" s="0">
        <ns0:f>IFERROR(--N480,0)</ns0:f>
        <ns0:v>0</ns0:v>
      </ns0:c>
      <ns0:c r="R480" s="0">
        <ns0:f>IFERROR(IF(FIND(".",L480)=5,--O480,--M480),0)</ns0:f>
        <ns0:v>0</ns0:v>
      </ns0:c>
      <ns0:c r="S480" s="0">
        <ns0:f>IFERROR(IF(AND(P480&gt;=2000,P480&lt;=2100,Q480&gt;=1,Q480&lt;=12,R480&gt;=1,R480&lt;=31),DATE(P480,Q480,R480),0),0)</ns0:f>
        <ns0:v>0</ns0:v>
      </ns0:c>
      <ns0:c r="T480" s="0">
        <ns0:f>IFERROR(IF(ISNUMBER(Bookings!D480),IF(AND(Bookings!D480=INT(Bookings!D480),Bookings!D480&gt;=DATE(2000,1,1),Bookings!D480&lt;=DATE(2100,12,31)),Bookings!D480,0),IF(AND(K480&lt;&gt;"",LEN("x"&amp;L480)-LEN(SUBSTITUTE("x"&amp;L480,".",""))=2,OR(1&gt;LEN(L480),MID(L480,1,1)=".",ISNUMBER(FIND("x"&amp;MID(L480,1,1),"x0x1x2x3x4x5x6x7x8x9"))),OR(2&gt;LEN(L480),MID(L480,2,1)=".",ISNUMBER(FIND("x"&amp;MID(L480,2,1),"x0x1x2x3x4x5x6x7x8x9"))),OR(3&gt;LEN(L480),MID(L480,3,1)=".",ISNUMBER(FIND("x"&amp;MID(L480,3,1),"x0x1x2x3x4x5x6x7x8x9"))),OR(4&gt;LEN(L480),MID(L480,4,1)=".",ISNUMBER(FIND("x"&amp;MID(L480,4,1),"x0x1x2x3x4x5x6x7x8x9"))),OR(5&gt;LEN(L480),MID(L480,5,1)=".",ISNUMBER(FIND("x"&amp;MID(L480,5,1),"x0x1x2x3x4x5x6x7x8x9"))),OR(6&gt;LEN(L480),MID(L480,6,1)=".",ISNUMBER(FIND("x"&amp;MID(L480,6,1),"x0x1x2x3x4x5x6x7x8x9"))),OR(7&gt;LEN(L480),MID(L480,7,1)=".",ISNUMBER(FIND("x"&amp;MID(L480,7,1),"x0x1x2x3x4x5x6x7x8x9"))),OR(8&gt;LEN(L480),MID(L480,8,1)=".",ISNUMBER(FIND("x"&amp;MID(L480,8,1),"x0x1x2x3x4x5x6x7x8x9"))),OR(9&gt;LEN(L480),MID(L480,9,1)=".",ISNUMBER(FIND("x"&amp;MID(L480,9,1),"x0x1x2x3x4x5x6x7x8x9"))),OR(10&gt;LEN(L480),MID(L480,10,1)=".",ISNUMBER(FIND("x"&amp;MID(L480,10,1),"x0x1x2x3x4x5x6x7x8x9"))),OR(AND(FIND(".",L480)=5,LEN(L480)-FIND(".",L480,FIND(".",L480)+1)&gt;=1,LEN(L480)-FIND(".",L480,FIND(".",L480)+1)&lt;=2),AND(LEN(L480)-FIND(".",L480,FIND(".",L480)+1)=4,FIND(".",L480)&gt;=2,FIND(".",L480)&lt;=3)),FIND(".",L480,FIND(".",L480)+1)-FIND(".",L480)&gt;=2,FIND(".",L480,FIND(".",L480)+1)-FIND(".",L480)&lt;=3,P480&gt;=2000,P480&lt;=2100,YEAR(S480)=P480,MONTH(S480)=Q480,DAY(S480)=R480),S480,0)),0)</ns0:f>
        <ns0:v>0</ns0:v>
      </ns0:c>
      <ns0:c r="U480" s="0" t="str">
        <ns0:f>IF(Bookings!C480="","Full day",Bookings!C480)</ns0:f>
        <ns0:v>Full day</ns0:v>
      </ns0:c>
      <ns0:c r="V480" s="0" t="str">
        <ns0:f>IF(Bookings!E480="","Full day",Bookings!E480)</ns0:f>
        <ns0:v>Full day</ns0:v>
      </ns0:c>
      <ns0:c r="W480" s="0">
        <ns0:f>IF(J480=0,0,J480+IF(U480="PM",1,0))</ns0:f>
        <ns0:v>0</ns0:v>
      </ns0:c>
      <ns0:c r="X480" s="0">
        <ns0:f>IF(T480=0,0,T480-IF(V480="PM",1,0))</ns0:f>
        <ns0:v>0</ns0:v>
      </ns0:c>
      <ns0:c r="Y480" s="0">
        <ns0:f>IF(J480=0,0,J480+IF(U480="AM",1,0))</ns0:f>
        <ns0:v>0</ns0:v>
      </ns0:c>
      <ns0:c r="Z480" s="0">
        <ns0:f>IF(T480=0,0,T480-IF(V480="AM",1,0))</ns0:f>
        <ns0:v>0</ns0:v>
      </ns0:c>
      <ns0:c r="AA480" s="0">
        <ns0:f>IFERROR(IF(AND(J480&gt;0,'_Engine'!C480&gt;0,MID('_Engine'!W480,WEEKDAY(J480,2),1)="W",COUNTIF(Settings!$F$18:$F$67,J480)=0),1,0),0)</ns0:f>
        <ns0:v>0</ns0:v>
      </ns0:c>
      <ns0:c r="AB480" s="0">
        <ns0:f>IFERROR(IF(AND(T480&gt;0,'_Engine'!C480&gt;0,MID('_Engine'!W480,WEEKDAY(T480,2),1)="W",COUNTIF(Settings!$F$18:$F$67,T480)=0),1,0),0)</ns0:f>
        <ns0:v>0</ns0:v>
      </ns0:c>
      <ns0:c r="AC480" s="0">
        <ns0:f>IF(AND(J480&gt;0,T480&gt;0,W480&lt;=X480),1,0)</ns0:f>
        <ns0:v>0</ns0:v>
      </ns0:c>
      <ns0:c r="AD480" s="0">
        <ns0:f>IF(AND(J480&gt;0,T480&gt;0,Y480&lt;=Z480),1,0)</ns0:f>
        <ns0:v>0</ns0:v>
      </ns0:c>
    </ns0:row>
    <ns0:row r="481">
      <ns0:c r="A481" s="0">
        <ns0:f>IFERROR(IF(ISNUMBER(Bookings!B481),"",TRIM(Bookings!B481&amp;"")),"")</ns0:f>
      </ns0:c>
      <ns0:c r="B481" s="0">
        <ns0:f>IFERROR(SUBSTITUTE(SUBSTITUTE(A481,"/","."),"-","."),"")</ns0:f>
      </ns0:c>
      <ns0:c r="C481" s="0">
        <ns0:f>IFERROR(LEFT(B481,FIND(".",B481)-1),"")</ns0:f>
      </ns0:c>
      <ns0:c r="D481" s="0">
        <ns0:f>IFERROR(MID(B481,FIND(".",B481)+1,FIND(".",B481,FIND(".",B481)+1)-FIND(".",B481)-1),"")</ns0:f>
      </ns0:c>
      <ns0:c r="E481" s="0">
        <ns0:f>IFERROR(MID(B481,FIND(".",B481,FIND(".",B481)+1)+1,99),"")</ns0:f>
        <ns0:v>99</ns0:v>
      </ns0:c>
      <ns0:c r="F481" s="0">
        <ns0:f>IFERROR(IF(FIND(".",B481)=5,--C481,--E481),0)</ns0:f>
        <ns0:v>0</ns0:v>
      </ns0:c>
      <ns0:c r="G481" s="0">
        <ns0:f>IFERROR(--D481,0)</ns0:f>
        <ns0:v>0</ns0:v>
      </ns0:c>
      <ns0:c r="H481" s="0">
        <ns0:f>IFERROR(IF(FIND(".",B481)=5,--E481,--C481),0)</ns0:f>
        <ns0:v>0</ns0:v>
      </ns0:c>
      <ns0:c r="I481" s="0">
        <ns0:f>IFERROR(IF(AND(F481&gt;=2000,F481&lt;=2100,G481&gt;=1,G481&lt;=12,H481&gt;=1,H481&lt;=31),DATE(F481,G481,H481),0),0)</ns0:f>
        <ns0:v>0</ns0:v>
      </ns0:c>
      <ns0:c r="J481" s="0">
        <ns0:f>IFERROR(IF(ISNUMBER(Bookings!B481),IF(AND(Bookings!B481=INT(Bookings!B481),Bookings!B481&gt;=DATE(2000,1,1),Bookings!B481&lt;=DATE(2100,12,31)),Bookings!B481,0),IF(AND(A481&lt;&gt;"",LEN("x"&amp;B481)-LEN(SUBSTITUTE("x"&amp;B481,".",""))=2,OR(1&gt;LEN(B481),MID(B481,1,1)=".",ISNUMBER(FIND("x"&amp;MID(B481,1,1),"x0x1x2x3x4x5x6x7x8x9"))),OR(2&gt;LEN(B481),MID(B481,2,1)=".",ISNUMBER(FIND("x"&amp;MID(B481,2,1),"x0x1x2x3x4x5x6x7x8x9"))),OR(3&gt;LEN(B481),MID(B481,3,1)=".",ISNUMBER(FIND("x"&amp;MID(B481,3,1),"x0x1x2x3x4x5x6x7x8x9"))),OR(4&gt;LEN(B481),MID(B481,4,1)=".",ISNUMBER(FIND("x"&amp;MID(B481,4,1),"x0x1x2x3x4x5x6x7x8x9"))),OR(5&gt;LEN(B481),MID(B481,5,1)=".",ISNUMBER(FIND("x"&amp;MID(B481,5,1),"x0x1x2x3x4x5x6x7x8x9"))),OR(6&gt;LEN(B481),MID(B481,6,1)=".",ISNUMBER(FIND("x"&amp;MID(B481,6,1),"x0x1x2x3x4x5x6x7x8x9"))),OR(7&gt;LEN(B481),MID(B481,7,1)=".",ISNUMBER(FIND("x"&amp;MID(B481,7,1),"x0x1x2x3x4x5x6x7x8x9"))),OR(8&gt;LEN(B481),MID(B481,8,1)=".",ISNUMBER(FIND("x"&amp;MID(B481,8,1),"x0x1x2x3x4x5x6x7x8x9"))),OR(9&gt;LEN(B481),MID(B481,9,1)=".",ISNUMBER(FIND("x"&amp;MID(B481,9,1),"x0x1x2x3x4x5x6x7x8x9"))),OR(10&gt;LEN(B481),MID(B481,10,1)=".",ISNUMBER(FIND("x"&amp;MID(B481,10,1),"x0x1x2x3x4x5x6x7x8x9"))),OR(AND(FIND(".",B481)=5,LEN(B481)-FIND(".",B481,FIND(".",B481)+1)&gt;=1,LEN(B481)-FIND(".",B481,FIND(".",B481)+1)&lt;=2),AND(LEN(B481)-FIND(".",B481,FIND(".",B481)+1)=4,FIND(".",B481)&gt;=2,FIND(".",B481)&lt;=3)),FIND(".",B481,FIND(".",B481)+1)-FIND(".",B481)&gt;=2,FIND(".",B481,FIND(".",B481)+1)-FIND(".",B481)&lt;=3,F481&gt;=2000,F481&lt;=2100,YEAR(I481)=F481,MONTH(I481)=G481,DAY(I481)=H481),I481,0)),0)</ns0:f>
        <ns0:v>0</ns0:v>
      </ns0:c>
      <ns0:c r="K481" s="0">
        <ns0:f>IFERROR(IF(ISNUMBER(Bookings!D481),"",TRIM(Bookings!D481&amp;"")),"")</ns0:f>
      </ns0:c>
      <ns0:c r="L481" s="0">
        <ns0:f>IFERROR(SUBSTITUTE(SUBSTITUTE(K481,"/","."),"-","."),"")</ns0:f>
      </ns0:c>
      <ns0:c r="M481" s="0">
        <ns0:f>IFERROR(LEFT(L481,FIND(".",L481)-1),"")</ns0:f>
      </ns0:c>
      <ns0:c r="N481" s="0">
        <ns0:f>IFERROR(MID(L481,FIND(".",L481)+1,FIND(".",L481,FIND(".",L481)+1)-FIND(".",L481)-1),"")</ns0:f>
      </ns0:c>
      <ns0:c r="O481" s="0">
        <ns0:f>IFERROR(MID(L481,FIND(".",L481,FIND(".",L481)+1)+1,99),"")</ns0:f>
        <ns0:v>99</ns0:v>
      </ns0:c>
      <ns0:c r="P481" s="0">
        <ns0:f>IFERROR(IF(FIND(".",L481)=5,--M481,--O481),0)</ns0:f>
        <ns0:v>0</ns0:v>
      </ns0:c>
      <ns0:c r="Q481" s="0">
        <ns0:f>IFERROR(--N481,0)</ns0:f>
        <ns0:v>0</ns0:v>
      </ns0:c>
      <ns0:c r="R481" s="0">
        <ns0:f>IFERROR(IF(FIND(".",L481)=5,--O481,--M481),0)</ns0:f>
        <ns0:v>0</ns0:v>
      </ns0:c>
      <ns0:c r="S481" s="0">
        <ns0:f>IFERROR(IF(AND(P481&gt;=2000,P481&lt;=2100,Q481&gt;=1,Q481&lt;=12,R481&gt;=1,R481&lt;=31),DATE(P481,Q481,R481),0),0)</ns0:f>
        <ns0:v>0</ns0:v>
      </ns0:c>
      <ns0:c r="T481" s="0">
        <ns0:f>IFERROR(IF(ISNUMBER(Bookings!D481),IF(AND(Bookings!D481=INT(Bookings!D481),Bookings!D481&gt;=DATE(2000,1,1),Bookings!D481&lt;=DATE(2100,12,31)),Bookings!D481,0),IF(AND(K481&lt;&gt;"",LEN("x"&amp;L481)-LEN(SUBSTITUTE("x"&amp;L481,".",""))=2,OR(1&gt;LEN(L481),MID(L481,1,1)=".",ISNUMBER(FIND("x"&amp;MID(L481,1,1),"x0x1x2x3x4x5x6x7x8x9"))),OR(2&gt;LEN(L481),MID(L481,2,1)=".",ISNUMBER(FIND("x"&amp;MID(L481,2,1),"x0x1x2x3x4x5x6x7x8x9"))),OR(3&gt;LEN(L481),MID(L481,3,1)=".",ISNUMBER(FIND("x"&amp;MID(L481,3,1),"x0x1x2x3x4x5x6x7x8x9"))),OR(4&gt;LEN(L481),MID(L481,4,1)=".",ISNUMBER(FIND("x"&amp;MID(L481,4,1),"x0x1x2x3x4x5x6x7x8x9"))),OR(5&gt;LEN(L481),MID(L481,5,1)=".",ISNUMBER(FIND("x"&amp;MID(L481,5,1),"x0x1x2x3x4x5x6x7x8x9"))),OR(6&gt;LEN(L481),MID(L481,6,1)=".",ISNUMBER(FIND("x"&amp;MID(L481,6,1),"x0x1x2x3x4x5x6x7x8x9"))),OR(7&gt;LEN(L481),MID(L481,7,1)=".",ISNUMBER(FIND("x"&amp;MID(L481,7,1),"x0x1x2x3x4x5x6x7x8x9"))),OR(8&gt;LEN(L481),MID(L481,8,1)=".",ISNUMBER(FIND("x"&amp;MID(L481,8,1),"x0x1x2x3x4x5x6x7x8x9"))),OR(9&gt;LEN(L481),MID(L481,9,1)=".",ISNUMBER(FIND("x"&amp;MID(L481,9,1),"x0x1x2x3x4x5x6x7x8x9"))),OR(10&gt;LEN(L481),MID(L481,10,1)=".",ISNUMBER(FIND("x"&amp;MID(L481,10,1),"x0x1x2x3x4x5x6x7x8x9"))),OR(AND(FIND(".",L481)=5,LEN(L481)-FIND(".",L481,FIND(".",L481)+1)&gt;=1,LEN(L481)-FIND(".",L481,FIND(".",L481)+1)&lt;=2),AND(LEN(L481)-FIND(".",L481,FIND(".",L481)+1)=4,FIND(".",L481)&gt;=2,FIND(".",L481)&lt;=3)),FIND(".",L481,FIND(".",L481)+1)-FIND(".",L481)&gt;=2,FIND(".",L481,FIND(".",L481)+1)-FIND(".",L481)&lt;=3,P481&gt;=2000,P481&lt;=2100,YEAR(S481)=P481,MONTH(S481)=Q481,DAY(S481)=R481),S481,0)),0)</ns0:f>
        <ns0:v>0</ns0:v>
      </ns0:c>
      <ns0:c r="U481" s="0" t="str">
        <ns0:f>IF(Bookings!C481="","Full day",Bookings!C481)</ns0:f>
        <ns0:v>Full day</ns0:v>
      </ns0:c>
      <ns0:c r="V481" s="0" t="str">
        <ns0:f>IF(Bookings!E481="","Full day",Bookings!E481)</ns0:f>
        <ns0:v>Full day</ns0:v>
      </ns0:c>
      <ns0:c r="W481" s="0">
        <ns0:f>IF(J481=0,0,J481+IF(U481="PM",1,0))</ns0:f>
        <ns0:v>0</ns0:v>
      </ns0:c>
      <ns0:c r="X481" s="0">
        <ns0:f>IF(T481=0,0,T481-IF(V481="PM",1,0))</ns0:f>
        <ns0:v>0</ns0:v>
      </ns0:c>
      <ns0:c r="Y481" s="0">
        <ns0:f>IF(J481=0,0,J481+IF(U481="AM",1,0))</ns0:f>
        <ns0:v>0</ns0:v>
      </ns0:c>
      <ns0:c r="Z481" s="0">
        <ns0:f>IF(T481=0,0,T481-IF(V481="AM",1,0))</ns0:f>
        <ns0:v>0</ns0:v>
      </ns0:c>
      <ns0:c r="AA481" s="0">
        <ns0:f>IFERROR(IF(AND(J481&gt;0,'_Engine'!C481&gt;0,MID('_Engine'!W481,WEEKDAY(J481,2),1)="W",COUNTIF(Settings!$F$18:$F$67,J481)=0),1,0),0)</ns0:f>
        <ns0:v>0</ns0:v>
      </ns0:c>
      <ns0:c r="AB481" s="0">
        <ns0:f>IFERROR(IF(AND(T481&gt;0,'_Engine'!C481&gt;0,MID('_Engine'!W481,WEEKDAY(T481,2),1)="W",COUNTIF(Settings!$F$18:$F$67,T481)=0),1,0),0)</ns0:f>
        <ns0:v>0</ns0:v>
      </ns0:c>
      <ns0:c r="AC481" s="0">
        <ns0:f>IF(AND(J481&gt;0,T481&gt;0,W481&lt;=X481),1,0)</ns0:f>
        <ns0:v>0</ns0:v>
      </ns0:c>
      <ns0:c r="AD481" s="0">
        <ns0:f>IF(AND(J481&gt;0,T481&gt;0,Y481&lt;=Z481),1,0)</ns0:f>
        <ns0:v>0</ns0:v>
      </ns0:c>
    </ns0:row>
    <ns0:row r="482">
      <ns0:c r="A482" s="0">
        <ns0:f>IFERROR(IF(ISNUMBER(Bookings!B482),"",TRIM(Bookings!B482&amp;"")),"")</ns0:f>
      </ns0:c>
      <ns0:c r="B482" s="0">
        <ns0:f>IFERROR(SUBSTITUTE(SUBSTITUTE(A482,"/","."),"-","."),"")</ns0:f>
      </ns0:c>
      <ns0:c r="C482" s="0">
        <ns0:f>IFERROR(LEFT(B482,FIND(".",B482)-1),"")</ns0:f>
      </ns0:c>
      <ns0:c r="D482" s="0">
        <ns0:f>IFERROR(MID(B482,FIND(".",B482)+1,FIND(".",B482,FIND(".",B482)+1)-FIND(".",B482)-1),"")</ns0:f>
      </ns0:c>
      <ns0:c r="E482" s="0">
        <ns0:f>IFERROR(MID(B482,FIND(".",B482,FIND(".",B482)+1)+1,99),"")</ns0:f>
        <ns0:v>99</ns0:v>
      </ns0:c>
      <ns0:c r="F482" s="0">
        <ns0:f>IFERROR(IF(FIND(".",B482)=5,--C482,--E482),0)</ns0:f>
        <ns0:v>0</ns0:v>
      </ns0:c>
      <ns0:c r="G482" s="0">
        <ns0:f>IFERROR(--D482,0)</ns0:f>
        <ns0:v>0</ns0:v>
      </ns0:c>
      <ns0:c r="H482" s="0">
        <ns0:f>IFERROR(IF(FIND(".",B482)=5,--E482,--C482),0)</ns0:f>
        <ns0:v>0</ns0:v>
      </ns0:c>
      <ns0:c r="I482" s="0">
        <ns0:f>IFERROR(IF(AND(F482&gt;=2000,F482&lt;=2100,G482&gt;=1,G482&lt;=12,H482&gt;=1,H482&lt;=31),DATE(F482,G482,H482),0),0)</ns0:f>
        <ns0:v>0</ns0:v>
      </ns0:c>
      <ns0:c r="J482" s="0">
        <ns0:f>IFERROR(IF(ISNUMBER(Bookings!B482),IF(AND(Bookings!B482=INT(Bookings!B482),Bookings!B482&gt;=DATE(2000,1,1),Bookings!B482&lt;=DATE(2100,12,31)),Bookings!B482,0),IF(AND(A482&lt;&gt;"",LEN("x"&amp;B482)-LEN(SUBSTITUTE("x"&amp;B482,".",""))=2,OR(1&gt;LEN(B482),MID(B482,1,1)=".",ISNUMBER(FIND("x"&amp;MID(B482,1,1),"x0x1x2x3x4x5x6x7x8x9"))),OR(2&gt;LEN(B482),MID(B482,2,1)=".",ISNUMBER(FIND("x"&amp;MID(B482,2,1),"x0x1x2x3x4x5x6x7x8x9"))),OR(3&gt;LEN(B482),MID(B482,3,1)=".",ISNUMBER(FIND("x"&amp;MID(B482,3,1),"x0x1x2x3x4x5x6x7x8x9"))),OR(4&gt;LEN(B482),MID(B482,4,1)=".",ISNUMBER(FIND("x"&amp;MID(B482,4,1),"x0x1x2x3x4x5x6x7x8x9"))),OR(5&gt;LEN(B482),MID(B482,5,1)=".",ISNUMBER(FIND("x"&amp;MID(B482,5,1),"x0x1x2x3x4x5x6x7x8x9"))),OR(6&gt;LEN(B482),MID(B482,6,1)=".",ISNUMBER(FIND("x"&amp;MID(B482,6,1),"x0x1x2x3x4x5x6x7x8x9"))),OR(7&gt;LEN(B482),MID(B482,7,1)=".",ISNUMBER(FIND("x"&amp;MID(B482,7,1),"x0x1x2x3x4x5x6x7x8x9"))),OR(8&gt;LEN(B482),MID(B482,8,1)=".",ISNUMBER(FIND("x"&amp;MID(B482,8,1),"x0x1x2x3x4x5x6x7x8x9"))),OR(9&gt;LEN(B482),MID(B482,9,1)=".",ISNUMBER(FIND("x"&amp;MID(B482,9,1),"x0x1x2x3x4x5x6x7x8x9"))),OR(10&gt;LEN(B482),MID(B482,10,1)=".",ISNUMBER(FIND("x"&amp;MID(B482,10,1),"x0x1x2x3x4x5x6x7x8x9"))),OR(AND(FIND(".",B482)=5,LEN(B482)-FIND(".",B482,FIND(".",B482)+1)&gt;=1,LEN(B482)-FIND(".",B482,FIND(".",B482)+1)&lt;=2),AND(LEN(B482)-FIND(".",B482,FIND(".",B482)+1)=4,FIND(".",B482)&gt;=2,FIND(".",B482)&lt;=3)),FIND(".",B482,FIND(".",B482)+1)-FIND(".",B482)&gt;=2,FIND(".",B482,FIND(".",B482)+1)-FIND(".",B482)&lt;=3,F482&gt;=2000,F482&lt;=2100,YEAR(I482)=F482,MONTH(I482)=G482,DAY(I482)=H482),I482,0)),0)</ns0:f>
        <ns0:v>0</ns0:v>
      </ns0:c>
      <ns0:c r="K482" s="0">
        <ns0:f>IFERROR(IF(ISNUMBER(Bookings!D482),"",TRIM(Bookings!D482&amp;"")),"")</ns0:f>
      </ns0:c>
      <ns0:c r="L482" s="0">
        <ns0:f>IFERROR(SUBSTITUTE(SUBSTITUTE(K482,"/","."),"-","."),"")</ns0:f>
      </ns0:c>
      <ns0:c r="M482" s="0">
        <ns0:f>IFERROR(LEFT(L482,FIND(".",L482)-1),"")</ns0:f>
      </ns0:c>
      <ns0:c r="N482" s="0">
        <ns0:f>IFERROR(MID(L482,FIND(".",L482)+1,FIND(".",L482,FIND(".",L482)+1)-FIND(".",L482)-1),"")</ns0:f>
      </ns0:c>
      <ns0:c r="O482" s="0">
        <ns0:f>IFERROR(MID(L482,FIND(".",L482,FIND(".",L482)+1)+1,99),"")</ns0:f>
        <ns0:v>99</ns0:v>
      </ns0:c>
      <ns0:c r="P482" s="0">
        <ns0:f>IFERROR(IF(FIND(".",L482)=5,--M482,--O482),0)</ns0:f>
        <ns0:v>0</ns0:v>
      </ns0:c>
      <ns0:c r="Q482" s="0">
        <ns0:f>IFERROR(--N482,0)</ns0:f>
        <ns0:v>0</ns0:v>
      </ns0:c>
      <ns0:c r="R482" s="0">
        <ns0:f>IFERROR(IF(FIND(".",L482)=5,--O482,--M482),0)</ns0:f>
        <ns0:v>0</ns0:v>
      </ns0:c>
      <ns0:c r="S482" s="0">
        <ns0:f>IFERROR(IF(AND(P482&gt;=2000,P482&lt;=2100,Q482&gt;=1,Q482&lt;=12,R482&gt;=1,R482&lt;=31),DATE(P482,Q482,R482),0),0)</ns0:f>
        <ns0:v>0</ns0:v>
      </ns0:c>
      <ns0:c r="T482" s="0">
        <ns0:f>IFERROR(IF(ISNUMBER(Bookings!D482),IF(AND(Bookings!D482=INT(Bookings!D482),Bookings!D482&gt;=DATE(2000,1,1),Bookings!D482&lt;=DATE(2100,12,31)),Bookings!D482,0),IF(AND(K482&lt;&gt;"",LEN("x"&amp;L482)-LEN(SUBSTITUTE("x"&amp;L482,".",""))=2,OR(1&gt;LEN(L482),MID(L482,1,1)=".",ISNUMBER(FIND("x"&amp;MID(L482,1,1),"x0x1x2x3x4x5x6x7x8x9"))),OR(2&gt;LEN(L482),MID(L482,2,1)=".",ISNUMBER(FIND("x"&amp;MID(L482,2,1),"x0x1x2x3x4x5x6x7x8x9"))),OR(3&gt;LEN(L482),MID(L482,3,1)=".",ISNUMBER(FIND("x"&amp;MID(L482,3,1),"x0x1x2x3x4x5x6x7x8x9"))),OR(4&gt;LEN(L482),MID(L482,4,1)=".",ISNUMBER(FIND("x"&amp;MID(L482,4,1),"x0x1x2x3x4x5x6x7x8x9"))),OR(5&gt;LEN(L482),MID(L482,5,1)=".",ISNUMBER(FIND("x"&amp;MID(L482,5,1),"x0x1x2x3x4x5x6x7x8x9"))),OR(6&gt;LEN(L482),MID(L482,6,1)=".",ISNUMBER(FIND("x"&amp;MID(L482,6,1),"x0x1x2x3x4x5x6x7x8x9"))),OR(7&gt;LEN(L482),MID(L482,7,1)=".",ISNUMBER(FIND("x"&amp;MID(L482,7,1),"x0x1x2x3x4x5x6x7x8x9"))),OR(8&gt;LEN(L482),MID(L482,8,1)=".",ISNUMBER(FIND("x"&amp;MID(L482,8,1),"x0x1x2x3x4x5x6x7x8x9"))),OR(9&gt;LEN(L482),MID(L482,9,1)=".",ISNUMBER(FIND("x"&amp;MID(L482,9,1),"x0x1x2x3x4x5x6x7x8x9"))),OR(10&gt;LEN(L482),MID(L482,10,1)=".",ISNUMBER(FIND("x"&amp;MID(L482,10,1),"x0x1x2x3x4x5x6x7x8x9"))),OR(AND(FIND(".",L482)=5,LEN(L482)-FIND(".",L482,FIND(".",L482)+1)&gt;=1,LEN(L482)-FIND(".",L482,FIND(".",L482)+1)&lt;=2),AND(LEN(L482)-FIND(".",L482,FIND(".",L482)+1)=4,FIND(".",L482)&gt;=2,FIND(".",L482)&lt;=3)),FIND(".",L482,FIND(".",L482)+1)-FIND(".",L482)&gt;=2,FIND(".",L482,FIND(".",L482)+1)-FIND(".",L482)&lt;=3,P482&gt;=2000,P482&lt;=2100,YEAR(S482)=P482,MONTH(S482)=Q482,DAY(S482)=R482),S482,0)),0)</ns0:f>
        <ns0:v>0</ns0:v>
      </ns0:c>
      <ns0:c r="U482" s="0" t="str">
        <ns0:f>IF(Bookings!C482="","Full day",Bookings!C482)</ns0:f>
        <ns0:v>Full day</ns0:v>
      </ns0:c>
      <ns0:c r="V482" s="0" t="str">
        <ns0:f>IF(Bookings!E482="","Full day",Bookings!E482)</ns0:f>
        <ns0:v>Full day</ns0:v>
      </ns0:c>
      <ns0:c r="W482" s="0">
        <ns0:f>IF(J482=0,0,J482+IF(U482="PM",1,0))</ns0:f>
        <ns0:v>0</ns0:v>
      </ns0:c>
      <ns0:c r="X482" s="0">
        <ns0:f>IF(T482=0,0,T482-IF(V482="PM",1,0))</ns0:f>
        <ns0:v>0</ns0:v>
      </ns0:c>
      <ns0:c r="Y482" s="0">
        <ns0:f>IF(J482=0,0,J482+IF(U482="AM",1,0))</ns0:f>
        <ns0:v>0</ns0:v>
      </ns0:c>
      <ns0:c r="Z482" s="0">
        <ns0:f>IF(T482=0,0,T482-IF(V482="AM",1,0))</ns0:f>
        <ns0:v>0</ns0:v>
      </ns0:c>
      <ns0:c r="AA482" s="0">
        <ns0:f>IFERROR(IF(AND(J482&gt;0,'_Engine'!C482&gt;0,MID('_Engine'!W482,WEEKDAY(J482,2),1)="W",COUNTIF(Settings!$F$18:$F$67,J482)=0),1,0),0)</ns0:f>
        <ns0:v>0</ns0:v>
      </ns0:c>
      <ns0:c r="AB482" s="0">
        <ns0:f>IFERROR(IF(AND(T482&gt;0,'_Engine'!C482&gt;0,MID('_Engine'!W482,WEEKDAY(T482,2),1)="W",COUNTIF(Settings!$F$18:$F$67,T482)=0),1,0),0)</ns0:f>
        <ns0:v>0</ns0:v>
      </ns0:c>
      <ns0:c r="AC482" s="0">
        <ns0:f>IF(AND(J482&gt;0,T482&gt;0,W482&lt;=X482),1,0)</ns0:f>
        <ns0:v>0</ns0:v>
      </ns0:c>
      <ns0:c r="AD482" s="0">
        <ns0:f>IF(AND(J482&gt;0,T482&gt;0,Y482&lt;=Z482),1,0)</ns0:f>
        <ns0:v>0</ns0:v>
      </ns0:c>
    </ns0:row>
    <ns0:row r="483">
      <ns0:c r="A483" s="0">
        <ns0:f>IFERROR(IF(ISNUMBER(Bookings!B483),"",TRIM(Bookings!B483&amp;"")),"")</ns0:f>
      </ns0:c>
      <ns0:c r="B483" s="0">
        <ns0:f>IFERROR(SUBSTITUTE(SUBSTITUTE(A483,"/","."),"-","."),"")</ns0:f>
      </ns0:c>
      <ns0:c r="C483" s="0">
        <ns0:f>IFERROR(LEFT(B483,FIND(".",B483)-1),"")</ns0:f>
      </ns0:c>
      <ns0:c r="D483" s="0">
        <ns0:f>IFERROR(MID(B483,FIND(".",B483)+1,FIND(".",B483,FIND(".",B483)+1)-FIND(".",B483)-1),"")</ns0:f>
      </ns0:c>
      <ns0:c r="E483" s="0">
        <ns0:f>IFERROR(MID(B483,FIND(".",B483,FIND(".",B483)+1)+1,99),"")</ns0:f>
        <ns0:v>99</ns0:v>
      </ns0:c>
      <ns0:c r="F483" s="0">
        <ns0:f>IFERROR(IF(FIND(".",B483)=5,--C483,--E483),0)</ns0:f>
        <ns0:v>0</ns0:v>
      </ns0:c>
      <ns0:c r="G483" s="0">
        <ns0:f>IFERROR(--D483,0)</ns0:f>
        <ns0:v>0</ns0:v>
      </ns0:c>
      <ns0:c r="H483" s="0">
        <ns0:f>IFERROR(IF(FIND(".",B483)=5,--E483,--C483),0)</ns0:f>
        <ns0:v>0</ns0:v>
      </ns0:c>
      <ns0:c r="I483" s="0">
        <ns0:f>IFERROR(IF(AND(F483&gt;=2000,F483&lt;=2100,G483&gt;=1,G483&lt;=12,H483&gt;=1,H483&lt;=31),DATE(F483,G483,H483),0),0)</ns0:f>
        <ns0:v>0</ns0:v>
      </ns0:c>
      <ns0:c r="J483" s="0">
        <ns0:f>IFERROR(IF(ISNUMBER(Bookings!B483),IF(AND(Bookings!B483=INT(Bookings!B483),Bookings!B483&gt;=DATE(2000,1,1),Bookings!B483&lt;=DATE(2100,12,31)),Bookings!B483,0),IF(AND(A483&lt;&gt;"",LEN("x"&amp;B483)-LEN(SUBSTITUTE("x"&amp;B483,".",""))=2,OR(1&gt;LEN(B483),MID(B483,1,1)=".",ISNUMBER(FIND("x"&amp;MID(B483,1,1),"x0x1x2x3x4x5x6x7x8x9"))),OR(2&gt;LEN(B483),MID(B483,2,1)=".",ISNUMBER(FIND("x"&amp;MID(B483,2,1),"x0x1x2x3x4x5x6x7x8x9"))),OR(3&gt;LEN(B483),MID(B483,3,1)=".",ISNUMBER(FIND("x"&amp;MID(B483,3,1),"x0x1x2x3x4x5x6x7x8x9"))),OR(4&gt;LEN(B483),MID(B483,4,1)=".",ISNUMBER(FIND("x"&amp;MID(B483,4,1),"x0x1x2x3x4x5x6x7x8x9"))),OR(5&gt;LEN(B483),MID(B483,5,1)=".",ISNUMBER(FIND("x"&amp;MID(B483,5,1),"x0x1x2x3x4x5x6x7x8x9"))),OR(6&gt;LEN(B483),MID(B483,6,1)=".",ISNUMBER(FIND("x"&amp;MID(B483,6,1),"x0x1x2x3x4x5x6x7x8x9"))),OR(7&gt;LEN(B483),MID(B483,7,1)=".",ISNUMBER(FIND("x"&amp;MID(B483,7,1),"x0x1x2x3x4x5x6x7x8x9"))),OR(8&gt;LEN(B483),MID(B483,8,1)=".",ISNUMBER(FIND("x"&amp;MID(B483,8,1),"x0x1x2x3x4x5x6x7x8x9"))),OR(9&gt;LEN(B483),MID(B483,9,1)=".",ISNUMBER(FIND("x"&amp;MID(B483,9,1),"x0x1x2x3x4x5x6x7x8x9"))),OR(10&gt;LEN(B483),MID(B483,10,1)=".",ISNUMBER(FIND("x"&amp;MID(B483,10,1),"x0x1x2x3x4x5x6x7x8x9"))),OR(AND(FIND(".",B483)=5,LEN(B483)-FIND(".",B483,FIND(".",B483)+1)&gt;=1,LEN(B483)-FIND(".",B483,FIND(".",B483)+1)&lt;=2),AND(LEN(B483)-FIND(".",B483,FIND(".",B483)+1)=4,FIND(".",B483)&gt;=2,FIND(".",B483)&lt;=3)),FIND(".",B483,FIND(".",B483)+1)-FIND(".",B483)&gt;=2,FIND(".",B483,FIND(".",B483)+1)-FIND(".",B483)&lt;=3,F483&gt;=2000,F483&lt;=2100,YEAR(I483)=F483,MONTH(I483)=G483,DAY(I483)=H483),I483,0)),0)</ns0:f>
        <ns0:v>0</ns0:v>
      </ns0:c>
      <ns0:c r="K483" s="0">
        <ns0:f>IFERROR(IF(ISNUMBER(Bookings!D483),"",TRIM(Bookings!D483&amp;"")),"")</ns0:f>
      </ns0:c>
      <ns0:c r="L483" s="0">
        <ns0:f>IFERROR(SUBSTITUTE(SUBSTITUTE(K483,"/","."),"-","."),"")</ns0:f>
      </ns0:c>
      <ns0:c r="M483" s="0">
        <ns0:f>IFERROR(LEFT(L483,FIND(".",L483)-1),"")</ns0:f>
      </ns0:c>
      <ns0:c r="N483" s="0">
        <ns0:f>IFERROR(MID(L483,FIND(".",L483)+1,FIND(".",L483,FIND(".",L483)+1)-FIND(".",L483)-1),"")</ns0:f>
      </ns0:c>
      <ns0:c r="O483" s="0">
        <ns0:f>IFERROR(MID(L483,FIND(".",L483,FIND(".",L483)+1)+1,99),"")</ns0:f>
        <ns0:v>99</ns0:v>
      </ns0:c>
      <ns0:c r="P483" s="0">
        <ns0:f>IFERROR(IF(FIND(".",L483)=5,--M483,--O483),0)</ns0:f>
        <ns0:v>0</ns0:v>
      </ns0:c>
      <ns0:c r="Q483" s="0">
        <ns0:f>IFERROR(--N483,0)</ns0:f>
        <ns0:v>0</ns0:v>
      </ns0:c>
      <ns0:c r="R483" s="0">
        <ns0:f>IFERROR(IF(FIND(".",L483)=5,--O483,--M483),0)</ns0:f>
        <ns0:v>0</ns0:v>
      </ns0:c>
      <ns0:c r="S483" s="0">
        <ns0:f>IFERROR(IF(AND(P483&gt;=2000,P483&lt;=2100,Q483&gt;=1,Q483&lt;=12,R483&gt;=1,R483&lt;=31),DATE(P483,Q483,R483),0),0)</ns0:f>
        <ns0:v>0</ns0:v>
      </ns0:c>
      <ns0:c r="T483" s="0">
        <ns0:f>IFERROR(IF(ISNUMBER(Bookings!D483),IF(AND(Bookings!D483=INT(Bookings!D483),Bookings!D483&gt;=DATE(2000,1,1),Bookings!D483&lt;=DATE(2100,12,31)),Bookings!D483,0),IF(AND(K483&lt;&gt;"",LEN("x"&amp;L483)-LEN(SUBSTITUTE("x"&amp;L483,".",""))=2,OR(1&gt;LEN(L483),MID(L483,1,1)=".",ISNUMBER(FIND("x"&amp;MID(L483,1,1),"x0x1x2x3x4x5x6x7x8x9"))),OR(2&gt;LEN(L483),MID(L483,2,1)=".",ISNUMBER(FIND("x"&amp;MID(L483,2,1),"x0x1x2x3x4x5x6x7x8x9"))),OR(3&gt;LEN(L483),MID(L483,3,1)=".",ISNUMBER(FIND("x"&amp;MID(L483,3,1),"x0x1x2x3x4x5x6x7x8x9"))),OR(4&gt;LEN(L483),MID(L483,4,1)=".",ISNUMBER(FIND("x"&amp;MID(L483,4,1),"x0x1x2x3x4x5x6x7x8x9"))),OR(5&gt;LEN(L483),MID(L483,5,1)=".",ISNUMBER(FIND("x"&amp;MID(L483,5,1),"x0x1x2x3x4x5x6x7x8x9"))),OR(6&gt;LEN(L483),MID(L483,6,1)=".",ISNUMBER(FIND("x"&amp;MID(L483,6,1),"x0x1x2x3x4x5x6x7x8x9"))),OR(7&gt;LEN(L483),MID(L483,7,1)=".",ISNUMBER(FIND("x"&amp;MID(L483,7,1),"x0x1x2x3x4x5x6x7x8x9"))),OR(8&gt;LEN(L483),MID(L483,8,1)=".",ISNUMBER(FIND("x"&amp;MID(L483,8,1),"x0x1x2x3x4x5x6x7x8x9"))),OR(9&gt;LEN(L483),MID(L483,9,1)=".",ISNUMBER(FIND("x"&amp;MID(L483,9,1),"x0x1x2x3x4x5x6x7x8x9"))),OR(10&gt;LEN(L483),MID(L483,10,1)=".",ISNUMBER(FIND("x"&amp;MID(L483,10,1),"x0x1x2x3x4x5x6x7x8x9"))),OR(AND(FIND(".",L483)=5,LEN(L483)-FIND(".",L483,FIND(".",L483)+1)&gt;=1,LEN(L483)-FIND(".",L483,FIND(".",L483)+1)&lt;=2),AND(LEN(L483)-FIND(".",L483,FIND(".",L483)+1)=4,FIND(".",L483)&gt;=2,FIND(".",L483)&lt;=3)),FIND(".",L483,FIND(".",L483)+1)-FIND(".",L483)&gt;=2,FIND(".",L483,FIND(".",L483)+1)-FIND(".",L483)&lt;=3,P483&gt;=2000,P483&lt;=2100,YEAR(S483)=P483,MONTH(S483)=Q483,DAY(S483)=R483),S483,0)),0)</ns0:f>
        <ns0:v>0</ns0:v>
      </ns0:c>
      <ns0:c r="U483" s="0" t="str">
        <ns0:f>IF(Bookings!C483="","Full day",Bookings!C483)</ns0:f>
        <ns0:v>Full day</ns0:v>
      </ns0:c>
      <ns0:c r="V483" s="0" t="str">
        <ns0:f>IF(Bookings!E483="","Full day",Bookings!E483)</ns0:f>
        <ns0:v>Full day</ns0:v>
      </ns0:c>
      <ns0:c r="W483" s="0">
        <ns0:f>IF(J483=0,0,J483+IF(U483="PM",1,0))</ns0:f>
        <ns0:v>0</ns0:v>
      </ns0:c>
      <ns0:c r="X483" s="0">
        <ns0:f>IF(T483=0,0,T483-IF(V483="PM",1,0))</ns0:f>
        <ns0:v>0</ns0:v>
      </ns0:c>
      <ns0:c r="Y483" s="0">
        <ns0:f>IF(J483=0,0,J483+IF(U483="AM",1,0))</ns0:f>
        <ns0:v>0</ns0:v>
      </ns0:c>
      <ns0:c r="Z483" s="0">
        <ns0:f>IF(T483=0,0,T483-IF(V483="AM",1,0))</ns0:f>
        <ns0:v>0</ns0:v>
      </ns0:c>
      <ns0:c r="AA483" s="0">
        <ns0:f>IFERROR(IF(AND(J483&gt;0,'_Engine'!C483&gt;0,MID('_Engine'!W483,WEEKDAY(J483,2),1)="W",COUNTIF(Settings!$F$18:$F$67,J483)=0),1,0),0)</ns0:f>
        <ns0:v>0</ns0:v>
      </ns0:c>
      <ns0:c r="AB483" s="0">
        <ns0:f>IFERROR(IF(AND(T483&gt;0,'_Engine'!C483&gt;0,MID('_Engine'!W483,WEEKDAY(T483,2),1)="W",COUNTIF(Settings!$F$18:$F$67,T483)=0),1,0),0)</ns0:f>
        <ns0:v>0</ns0:v>
      </ns0:c>
      <ns0:c r="AC483" s="0">
        <ns0:f>IF(AND(J483&gt;0,T483&gt;0,W483&lt;=X483),1,0)</ns0:f>
        <ns0:v>0</ns0:v>
      </ns0:c>
      <ns0:c r="AD483" s="0">
        <ns0:f>IF(AND(J483&gt;0,T483&gt;0,Y483&lt;=Z483),1,0)</ns0:f>
        <ns0:v>0</ns0:v>
      </ns0:c>
    </ns0:row>
    <ns0:row r="484">
      <ns0:c r="A484" s="0">
        <ns0:f>IFERROR(IF(ISNUMBER(Bookings!B484),"",TRIM(Bookings!B484&amp;"")),"")</ns0:f>
      </ns0:c>
      <ns0:c r="B484" s="0">
        <ns0:f>IFERROR(SUBSTITUTE(SUBSTITUTE(A484,"/","."),"-","."),"")</ns0:f>
      </ns0:c>
      <ns0:c r="C484" s="0">
        <ns0:f>IFERROR(LEFT(B484,FIND(".",B484)-1),"")</ns0:f>
      </ns0:c>
      <ns0:c r="D484" s="0">
        <ns0:f>IFERROR(MID(B484,FIND(".",B484)+1,FIND(".",B484,FIND(".",B484)+1)-FIND(".",B484)-1),"")</ns0:f>
      </ns0:c>
      <ns0:c r="E484" s="0">
        <ns0:f>IFERROR(MID(B484,FIND(".",B484,FIND(".",B484)+1)+1,99),"")</ns0:f>
        <ns0:v>99</ns0:v>
      </ns0:c>
      <ns0:c r="F484" s="0">
        <ns0:f>IFERROR(IF(FIND(".",B484)=5,--C484,--E484),0)</ns0:f>
        <ns0:v>0</ns0:v>
      </ns0:c>
      <ns0:c r="G484" s="0">
        <ns0:f>IFERROR(--D484,0)</ns0:f>
        <ns0:v>0</ns0:v>
      </ns0:c>
      <ns0:c r="H484" s="0">
        <ns0:f>IFERROR(IF(FIND(".",B484)=5,--E484,--C484),0)</ns0:f>
        <ns0:v>0</ns0:v>
      </ns0:c>
      <ns0:c r="I484" s="0">
        <ns0:f>IFERROR(IF(AND(F484&gt;=2000,F484&lt;=2100,G484&gt;=1,G484&lt;=12,H484&gt;=1,H484&lt;=31),DATE(F484,G484,H484),0),0)</ns0:f>
        <ns0:v>0</ns0:v>
      </ns0:c>
      <ns0:c r="J484" s="0">
        <ns0:f>IFERROR(IF(ISNUMBER(Bookings!B484),IF(AND(Bookings!B484=INT(Bookings!B484),Bookings!B484&gt;=DATE(2000,1,1),Bookings!B484&lt;=DATE(2100,12,31)),Bookings!B484,0),IF(AND(A484&lt;&gt;"",LEN("x"&amp;B484)-LEN(SUBSTITUTE("x"&amp;B484,".",""))=2,OR(1&gt;LEN(B484),MID(B484,1,1)=".",ISNUMBER(FIND("x"&amp;MID(B484,1,1),"x0x1x2x3x4x5x6x7x8x9"))),OR(2&gt;LEN(B484),MID(B484,2,1)=".",ISNUMBER(FIND("x"&amp;MID(B484,2,1),"x0x1x2x3x4x5x6x7x8x9"))),OR(3&gt;LEN(B484),MID(B484,3,1)=".",ISNUMBER(FIND("x"&amp;MID(B484,3,1),"x0x1x2x3x4x5x6x7x8x9"))),OR(4&gt;LEN(B484),MID(B484,4,1)=".",ISNUMBER(FIND("x"&amp;MID(B484,4,1),"x0x1x2x3x4x5x6x7x8x9"))),OR(5&gt;LEN(B484),MID(B484,5,1)=".",ISNUMBER(FIND("x"&amp;MID(B484,5,1),"x0x1x2x3x4x5x6x7x8x9"))),OR(6&gt;LEN(B484),MID(B484,6,1)=".",ISNUMBER(FIND("x"&amp;MID(B484,6,1),"x0x1x2x3x4x5x6x7x8x9"))),OR(7&gt;LEN(B484),MID(B484,7,1)=".",ISNUMBER(FIND("x"&amp;MID(B484,7,1),"x0x1x2x3x4x5x6x7x8x9"))),OR(8&gt;LEN(B484),MID(B484,8,1)=".",ISNUMBER(FIND("x"&amp;MID(B484,8,1),"x0x1x2x3x4x5x6x7x8x9"))),OR(9&gt;LEN(B484),MID(B484,9,1)=".",ISNUMBER(FIND("x"&amp;MID(B484,9,1),"x0x1x2x3x4x5x6x7x8x9"))),OR(10&gt;LEN(B484),MID(B484,10,1)=".",ISNUMBER(FIND("x"&amp;MID(B484,10,1),"x0x1x2x3x4x5x6x7x8x9"))),OR(AND(FIND(".",B484)=5,LEN(B484)-FIND(".",B484,FIND(".",B484)+1)&gt;=1,LEN(B484)-FIND(".",B484,FIND(".",B484)+1)&lt;=2),AND(LEN(B484)-FIND(".",B484,FIND(".",B484)+1)=4,FIND(".",B484)&gt;=2,FIND(".",B484)&lt;=3)),FIND(".",B484,FIND(".",B484)+1)-FIND(".",B484)&gt;=2,FIND(".",B484,FIND(".",B484)+1)-FIND(".",B484)&lt;=3,F484&gt;=2000,F484&lt;=2100,YEAR(I484)=F484,MONTH(I484)=G484,DAY(I484)=H484),I484,0)),0)</ns0:f>
        <ns0:v>0</ns0:v>
      </ns0:c>
      <ns0:c r="K484" s="0">
        <ns0:f>IFERROR(IF(ISNUMBER(Bookings!D484),"",TRIM(Bookings!D484&amp;"")),"")</ns0:f>
      </ns0:c>
      <ns0:c r="L484" s="0">
        <ns0:f>IFERROR(SUBSTITUTE(SUBSTITUTE(K484,"/","."),"-","."),"")</ns0:f>
      </ns0:c>
      <ns0:c r="M484" s="0">
        <ns0:f>IFERROR(LEFT(L484,FIND(".",L484)-1),"")</ns0:f>
      </ns0:c>
      <ns0:c r="N484" s="0">
        <ns0:f>IFERROR(MID(L484,FIND(".",L484)+1,FIND(".",L484,FIND(".",L484)+1)-FIND(".",L484)-1),"")</ns0:f>
      </ns0:c>
      <ns0:c r="O484" s="0">
        <ns0:f>IFERROR(MID(L484,FIND(".",L484,FIND(".",L484)+1)+1,99),"")</ns0:f>
        <ns0:v>99</ns0:v>
      </ns0:c>
      <ns0:c r="P484" s="0">
        <ns0:f>IFERROR(IF(FIND(".",L484)=5,--M484,--O484),0)</ns0:f>
        <ns0:v>0</ns0:v>
      </ns0:c>
      <ns0:c r="Q484" s="0">
        <ns0:f>IFERROR(--N484,0)</ns0:f>
        <ns0:v>0</ns0:v>
      </ns0:c>
      <ns0:c r="R484" s="0">
        <ns0:f>IFERROR(IF(FIND(".",L484)=5,--O484,--M484),0)</ns0:f>
        <ns0:v>0</ns0:v>
      </ns0:c>
      <ns0:c r="S484" s="0">
        <ns0:f>IFERROR(IF(AND(P484&gt;=2000,P484&lt;=2100,Q484&gt;=1,Q484&lt;=12,R484&gt;=1,R484&lt;=31),DATE(P484,Q484,R484),0),0)</ns0:f>
        <ns0:v>0</ns0:v>
      </ns0:c>
      <ns0:c r="T484" s="0">
        <ns0:f>IFERROR(IF(ISNUMBER(Bookings!D484),IF(AND(Bookings!D484=INT(Bookings!D484),Bookings!D484&gt;=DATE(2000,1,1),Bookings!D484&lt;=DATE(2100,12,31)),Bookings!D484,0),IF(AND(K484&lt;&gt;"",LEN("x"&amp;L484)-LEN(SUBSTITUTE("x"&amp;L484,".",""))=2,OR(1&gt;LEN(L484),MID(L484,1,1)=".",ISNUMBER(FIND("x"&amp;MID(L484,1,1),"x0x1x2x3x4x5x6x7x8x9"))),OR(2&gt;LEN(L484),MID(L484,2,1)=".",ISNUMBER(FIND("x"&amp;MID(L484,2,1),"x0x1x2x3x4x5x6x7x8x9"))),OR(3&gt;LEN(L484),MID(L484,3,1)=".",ISNUMBER(FIND("x"&amp;MID(L484,3,1),"x0x1x2x3x4x5x6x7x8x9"))),OR(4&gt;LEN(L484),MID(L484,4,1)=".",ISNUMBER(FIND("x"&amp;MID(L484,4,1),"x0x1x2x3x4x5x6x7x8x9"))),OR(5&gt;LEN(L484),MID(L484,5,1)=".",ISNUMBER(FIND("x"&amp;MID(L484,5,1),"x0x1x2x3x4x5x6x7x8x9"))),OR(6&gt;LEN(L484),MID(L484,6,1)=".",ISNUMBER(FIND("x"&amp;MID(L484,6,1),"x0x1x2x3x4x5x6x7x8x9"))),OR(7&gt;LEN(L484),MID(L484,7,1)=".",ISNUMBER(FIND("x"&amp;MID(L484,7,1),"x0x1x2x3x4x5x6x7x8x9"))),OR(8&gt;LEN(L484),MID(L484,8,1)=".",ISNUMBER(FIND("x"&amp;MID(L484,8,1),"x0x1x2x3x4x5x6x7x8x9"))),OR(9&gt;LEN(L484),MID(L484,9,1)=".",ISNUMBER(FIND("x"&amp;MID(L484,9,1),"x0x1x2x3x4x5x6x7x8x9"))),OR(10&gt;LEN(L484),MID(L484,10,1)=".",ISNUMBER(FIND("x"&amp;MID(L484,10,1),"x0x1x2x3x4x5x6x7x8x9"))),OR(AND(FIND(".",L484)=5,LEN(L484)-FIND(".",L484,FIND(".",L484)+1)&gt;=1,LEN(L484)-FIND(".",L484,FIND(".",L484)+1)&lt;=2),AND(LEN(L484)-FIND(".",L484,FIND(".",L484)+1)=4,FIND(".",L484)&gt;=2,FIND(".",L484)&lt;=3)),FIND(".",L484,FIND(".",L484)+1)-FIND(".",L484)&gt;=2,FIND(".",L484,FIND(".",L484)+1)-FIND(".",L484)&lt;=3,P484&gt;=2000,P484&lt;=2100,YEAR(S484)=P484,MONTH(S484)=Q484,DAY(S484)=R484),S484,0)),0)</ns0:f>
        <ns0:v>0</ns0:v>
      </ns0:c>
      <ns0:c r="U484" s="0" t="str">
        <ns0:f>IF(Bookings!C484="","Full day",Bookings!C484)</ns0:f>
        <ns0:v>Full day</ns0:v>
      </ns0:c>
      <ns0:c r="V484" s="0" t="str">
        <ns0:f>IF(Bookings!E484="","Full day",Bookings!E484)</ns0:f>
        <ns0:v>Full day</ns0:v>
      </ns0:c>
      <ns0:c r="W484" s="0">
        <ns0:f>IF(J484=0,0,J484+IF(U484="PM",1,0))</ns0:f>
        <ns0:v>0</ns0:v>
      </ns0:c>
      <ns0:c r="X484" s="0">
        <ns0:f>IF(T484=0,0,T484-IF(V484="PM",1,0))</ns0:f>
        <ns0:v>0</ns0:v>
      </ns0:c>
      <ns0:c r="Y484" s="0">
        <ns0:f>IF(J484=0,0,J484+IF(U484="AM",1,0))</ns0:f>
        <ns0:v>0</ns0:v>
      </ns0:c>
      <ns0:c r="Z484" s="0">
        <ns0:f>IF(T484=0,0,T484-IF(V484="AM",1,0))</ns0:f>
        <ns0:v>0</ns0:v>
      </ns0:c>
      <ns0:c r="AA484" s="0">
        <ns0:f>IFERROR(IF(AND(J484&gt;0,'_Engine'!C484&gt;0,MID('_Engine'!W484,WEEKDAY(J484,2),1)="W",COUNTIF(Settings!$F$18:$F$67,J484)=0),1,0),0)</ns0:f>
        <ns0:v>0</ns0:v>
      </ns0:c>
      <ns0:c r="AB484" s="0">
        <ns0:f>IFERROR(IF(AND(T484&gt;0,'_Engine'!C484&gt;0,MID('_Engine'!W484,WEEKDAY(T484,2),1)="W",COUNTIF(Settings!$F$18:$F$67,T484)=0),1,0),0)</ns0:f>
        <ns0:v>0</ns0:v>
      </ns0:c>
      <ns0:c r="AC484" s="0">
        <ns0:f>IF(AND(J484&gt;0,T484&gt;0,W484&lt;=X484),1,0)</ns0:f>
        <ns0:v>0</ns0:v>
      </ns0:c>
      <ns0:c r="AD484" s="0">
        <ns0:f>IF(AND(J484&gt;0,T484&gt;0,Y484&lt;=Z484),1,0)</ns0:f>
        <ns0:v>0</ns0:v>
      </ns0:c>
    </ns0:row>
    <ns0:row r="485">
      <ns0:c r="A485" s="0">
        <ns0:f>IFERROR(IF(ISNUMBER(Bookings!B485),"",TRIM(Bookings!B485&amp;"")),"")</ns0:f>
      </ns0:c>
      <ns0:c r="B485" s="0">
        <ns0:f>IFERROR(SUBSTITUTE(SUBSTITUTE(A485,"/","."),"-","."),"")</ns0:f>
      </ns0:c>
      <ns0:c r="C485" s="0">
        <ns0:f>IFERROR(LEFT(B485,FIND(".",B485)-1),"")</ns0:f>
      </ns0:c>
      <ns0:c r="D485" s="0">
        <ns0:f>IFERROR(MID(B485,FIND(".",B485)+1,FIND(".",B485,FIND(".",B485)+1)-FIND(".",B485)-1),"")</ns0:f>
      </ns0:c>
      <ns0:c r="E485" s="0">
        <ns0:f>IFERROR(MID(B485,FIND(".",B485,FIND(".",B485)+1)+1,99),"")</ns0:f>
        <ns0:v>99</ns0:v>
      </ns0:c>
      <ns0:c r="F485" s="0">
        <ns0:f>IFERROR(IF(FIND(".",B485)=5,--C485,--E485),0)</ns0:f>
        <ns0:v>0</ns0:v>
      </ns0:c>
      <ns0:c r="G485" s="0">
        <ns0:f>IFERROR(--D485,0)</ns0:f>
        <ns0:v>0</ns0:v>
      </ns0:c>
      <ns0:c r="H485" s="0">
        <ns0:f>IFERROR(IF(FIND(".",B485)=5,--E485,--C485),0)</ns0:f>
        <ns0:v>0</ns0:v>
      </ns0:c>
      <ns0:c r="I485" s="0">
        <ns0:f>IFERROR(IF(AND(F485&gt;=2000,F485&lt;=2100,G485&gt;=1,G485&lt;=12,H485&gt;=1,H485&lt;=31),DATE(F485,G485,H485),0),0)</ns0:f>
        <ns0:v>0</ns0:v>
      </ns0:c>
      <ns0:c r="J485" s="0">
        <ns0:f>IFERROR(IF(ISNUMBER(Bookings!B485),IF(AND(Bookings!B485=INT(Bookings!B485),Bookings!B485&gt;=DATE(2000,1,1),Bookings!B485&lt;=DATE(2100,12,31)),Bookings!B485,0),IF(AND(A485&lt;&gt;"",LEN("x"&amp;B485)-LEN(SUBSTITUTE("x"&amp;B485,".",""))=2,OR(1&gt;LEN(B485),MID(B485,1,1)=".",ISNUMBER(FIND("x"&amp;MID(B485,1,1),"x0x1x2x3x4x5x6x7x8x9"))),OR(2&gt;LEN(B485),MID(B485,2,1)=".",ISNUMBER(FIND("x"&amp;MID(B485,2,1),"x0x1x2x3x4x5x6x7x8x9"))),OR(3&gt;LEN(B485),MID(B485,3,1)=".",ISNUMBER(FIND("x"&amp;MID(B485,3,1),"x0x1x2x3x4x5x6x7x8x9"))),OR(4&gt;LEN(B485),MID(B485,4,1)=".",ISNUMBER(FIND("x"&amp;MID(B485,4,1),"x0x1x2x3x4x5x6x7x8x9"))),OR(5&gt;LEN(B485),MID(B485,5,1)=".",ISNUMBER(FIND("x"&amp;MID(B485,5,1),"x0x1x2x3x4x5x6x7x8x9"))),OR(6&gt;LEN(B485),MID(B485,6,1)=".",ISNUMBER(FIND("x"&amp;MID(B485,6,1),"x0x1x2x3x4x5x6x7x8x9"))),OR(7&gt;LEN(B485),MID(B485,7,1)=".",ISNUMBER(FIND("x"&amp;MID(B485,7,1),"x0x1x2x3x4x5x6x7x8x9"))),OR(8&gt;LEN(B485),MID(B485,8,1)=".",ISNUMBER(FIND("x"&amp;MID(B485,8,1),"x0x1x2x3x4x5x6x7x8x9"))),OR(9&gt;LEN(B485),MID(B485,9,1)=".",ISNUMBER(FIND("x"&amp;MID(B485,9,1),"x0x1x2x3x4x5x6x7x8x9"))),OR(10&gt;LEN(B485),MID(B485,10,1)=".",ISNUMBER(FIND("x"&amp;MID(B485,10,1),"x0x1x2x3x4x5x6x7x8x9"))),OR(AND(FIND(".",B485)=5,LEN(B485)-FIND(".",B485,FIND(".",B485)+1)&gt;=1,LEN(B485)-FIND(".",B485,FIND(".",B485)+1)&lt;=2),AND(LEN(B485)-FIND(".",B485,FIND(".",B485)+1)=4,FIND(".",B485)&gt;=2,FIND(".",B485)&lt;=3)),FIND(".",B485,FIND(".",B485)+1)-FIND(".",B485)&gt;=2,FIND(".",B485,FIND(".",B485)+1)-FIND(".",B485)&lt;=3,F485&gt;=2000,F485&lt;=2100,YEAR(I485)=F485,MONTH(I485)=G485,DAY(I485)=H485),I485,0)),0)</ns0:f>
        <ns0:v>0</ns0:v>
      </ns0:c>
      <ns0:c r="K485" s="0">
        <ns0:f>IFERROR(IF(ISNUMBER(Bookings!D485),"",TRIM(Bookings!D485&amp;"")),"")</ns0:f>
      </ns0:c>
      <ns0:c r="L485" s="0">
        <ns0:f>IFERROR(SUBSTITUTE(SUBSTITUTE(K485,"/","."),"-","."),"")</ns0:f>
      </ns0:c>
      <ns0:c r="M485" s="0">
        <ns0:f>IFERROR(LEFT(L485,FIND(".",L485)-1),"")</ns0:f>
      </ns0:c>
      <ns0:c r="N485" s="0">
        <ns0:f>IFERROR(MID(L485,FIND(".",L485)+1,FIND(".",L485,FIND(".",L485)+1)-FIND(".",L485)-1),"")</ns0:f>
      </ns0:c>
      <ns0:c r="O485" s="0">
        <ns0:f>IFERROR(MID(L485,FIND(".",L485,FIND(".",L485)+1)+1,99),"")</ns0:f>
        <ns0:v>99</ns0:v>
      </ns0:c>
      <ns0:c r="P485" s="0">
        <ns0:f>IFERROR(IF(FIND(".",L485)=5,--M485,--O485),0)</ns0:f>
        <ns0:v>0</ns0:v>
      </ns0:c>
      <ns0:c r="Q485" s="0">
        <ns0:f>IFERROR(--N485,0)</ns0:f>
        <ns0:v>0</ns0:v>
      </ns0:c>
      <ns0:c r="R485" s="0">
        <ns0:f>IFERROR(IF(FIND(".",L485)=5,--O485,--M485),0)</ns0:f>
        <ns0:v>0</ns0:v>
      </ns0:c>
      <ns0:c r="S485" s="0">
        <ns0:f>IFERROR(IF(AND(P485&gt;=2000,P485&lt;=2100,Q485&gt;=1,Q485&lt;=12,R485&gt;=1,R485&lt;=31),DATE(P485,Q485,R485),0),0)</ns0:f>
        <ns0:v>0</ns0:v>
      </ns0:c>
      <ns0:c r="T485" s="0">
        <ns0:f>IFERROR(IF(ISNUMBER(Bookings!D485),IF(AND(Bookings!D485=INT(Bookings!D485),Bookings!D485&gt;=DATE(2000,1,1),Bookings!D485&lt;=DATE(2100,12,31)),Bookings!D485,0),IF(AND(K485&lt;&gt;"",LEN("x"&amp;L485)-LEN(SUBSTITUTE("x"&amp;L485,".",""))=2,OR(1&gt;LEN(L485),MID(L485,1,1)=".",ISNUMBER(FIND("x"&amp;MID(L485,1,1),"x0x1x2x3x4x5x6x7x8x9"))),OR(2&gt;LEN(L485),MID(L485,2,1)=".",ISNUMBER(FIND("x"&amp;MID(L485,2,1),"x0x1x2x3x4x5x6x7x8x9"))),OR(3&gt;LEN(L485),MID(L485,3,1)=".",ISNUMBER(FIND("x"&amp;MID(L485,3,1),"x0x1x2x3x4x5x6x7x8x9"))),OR(4&gt;LEN(L485),MID(L485,4,1)=".",ISNUMBER(FIND("x"&amp;MID(L485,4,1),"x0x1x2x3x4x5x6x7x8x9"))),OR(5&gt;LEN(L485),MID(L485,5,1)=".",ISNUMBER(FIND("x"&amp;MID(L485,5,1),"x0x1x2x3x4x5x6x7x8x9"))),OR(6&gt;LEN(L485),MID(L485,6,1)=".",ISNUMBER(FIND("x"&amp;MID(L485,6,1),"x0x1x2x3x4x5x6x7x8x9"))),OR(7&gt;LEN(L485),MID(L485,7,1)=".",ISNUMBER(FIND("x"&amp;MID(L485,7,1),"x0x1x2x3x4x5x6x7x8x9"))),OR(8&gt;LEN(L485),MID(L485,8,1)=".",ISNUMBER(FIND("x"&amp;MID(L485,8,1),"x0x1x2x3x4x5x6x7x8x9"))),OR(9&gt;LEN(L485),MID(L485,9,1)=".",ISNUMBER(FIND("x"&amp;MID(L485,9,1),"x0x1x2x3x4x5x6x7x8x9"))),OR(10&gt;LEN(L485),MID(L485,10,1)=".",ISNUMBER(FIND("x"&amp;MID(L485,10,1),"x0x1x2x3x4x5x6x7x8x9"))),OR(AND(FIND(".",L485)=5,LEN(L485)-FIND(".",L485,FIND(".",L485)+1)&gt;=1,LEN(L485)-FIND(".",L485,FIND(".",L485)+1)&lt;=2),AND(LEN(L485)-FIND(".",L485,FIND(".",L485)+1)=4,FIND(".",L485)&gt;=2,FIND(".",L485)&lt;=3)),FIND(".",L485,FIND(".",L485)+1)-FIND(".",L485)&gt;=2,FIND(".",L485,FIND(".",L485)+1)-FIND(".",L485)&lt;=3,P485&gt;=2000,P485&lt;=2100,YEAR(S485)=P485,MONTH(S485)=Q485,DAY(S485)=R485),S485,0)),0)</ns0:f>
        <ns0:v>0</ns0:v>
      </ns0:c>
      <ns0:c r="U485" s="0" t="str">
        <ns0:f>IF(Bookings!C485="","Full day",Bookings!C485)</ns0:f>
        <ns0:v>Full day</ns0:v>
      </ns0:c>
      <ns0:c r="V485" s="0" t="str">
        <ns0:f>IF(Bookings!E485="","Full day",Bookings!E485)</ns0:f>
        <ns0:v>Full day</ns0:v>
      </ns0:c>
      <ns0:c r="W485" s="0">
        <ns0:f>IF(J485=0,0,J485+IF(U485="PM",1,0))</ns0:f>
        <ns0:v>0</ns0:v>
      </ns0:c>
      <ns0:c r="X485" s="0">
        <ns0:f>IF(T485=0,0,T485-IF(V485="PM",1,0))</ns0:f>
        <ns0:v>0</ns0:v>
      </ns0:c>
      <ns0:c r="Y485" s="0">
        <ns0:f>IF(J485=0,0,J485+IF(U485="AM",1,0))</ns0:f>
        <ns0:v>0</ns0:v>
      </ns0:c>
      <ns0:c r="Z485" s="0">
        <ns0:f>IF(T485=0,0,T485-IF(V485="AM",1,0))</ns0:f>
        <ns0:v>0</ns0:v>
      </ns0:c>
      <ns0:c r="AA485" s="0">
        <ns0:f>IFERROR(IF(AND(J485&gt;0,'_Engine'!C485&gt;0,MID('_Engine'!W485,WEEKDAY(J485,2),1)="W",COUNTIF(Settings!$F$18:$F$67,J485)=0),1,0),0)</ns0:f>
        <ns0:v>0</ns0:v>
      </ns0:c>
      <ns0:c r="AB485" s="0">
        <ns0:f>IFERROR(IF(AND(T485&gt;0,'_Engine'!C485&gt;0,MID('_Engine'!W485,WEEKDAY(T485,2),1)="W",COUNTIF(Settings!$F$18:$F$67,T485)=0),1,0),0)</ns0:f>
        <ns0:v>0</ns0:v>
      </ns0:c>
      <ns0:c r="AC485" s="0">
        <ns0:f>IF(AND(J485&gt;0,T485&gt;0,W485&lt;=X485),1,0)</ns0:f>
        <ns0:v>0</ns0:v>
      </ns0:c>
      <ns0:c r="AD485" s="0">
        <ns0:f>IF(AND(J485&gt;0,T485&gt;0,Y485&lt;=Z485),1,0)</ns0:f>
        <ns0:v>0</ns0:v>
      </ns0:c>
    </ns0:row>
    <ns0:row r="486">
      <ns0:c r="A486" s="0">
        <ns0:f>IFERROR(IF(ISNUMBER(Bookings!B486),"",TRIM(Bookings!B486&amp;"")),"")</ns0:f>
      </ns0:c>
      <ns0:c r="B486" s="0">
        <ns0:f>IFERROR(SUBSTITUTE(SUBSTITUTE(A486,"/","."),"-","."),"")</ns0:f>
      </ns0:c>
      <ns0:c r="C486" s="0">
        <ns0:f>IFERROR(LEFT(B486,FIND(".",B486)-1),"")</ns0:f>
      </ns0:c>
      <ns0:c r="D486" s="0">
        <ns0:f>IFERROR(MID(B486,FIND(".",B486)+1,FIND(".",B486,FIND(".",B486)+1)-FIND(".",B486)-1),"")</ns0:f>
      </ns0:c>
      <ns0:c r="E486" s="0">
        <ns0:f>IFERROR(MID(B486,FIND(".",B486,FIND(".",B486)+1)+1,99),"")</ns0:f>
        <ns0:v>99</ns0:v>
      </ns0:c>
      <ns0:c r="F486" s="0">
        <ns0:f>IFERROR(IF(FIND(".",B486)=5,--C486,--E486),0)</ns0:f>
        <ns0:v>0</ns0:v>
      </ns0:c>
      <ns0:c r="G486" s="0">
        <ns0:f>IFERROR(--D486,0)</ns0:f>
        <ns0:v>0</ns0:v>
      </ns0:c>
      <ns0:c r="H486" s="0">
        <ns0:f>IFERROR(IF(FIND(".",B486)=5,--E486,--C486),0)</ns0:f>
        <ns0:v>0</ns0:v>
      </ns0:c>
      <ns0:c r="I486" s="0">
        <ns0:f>IFERROR(IF(AND(F486&gt;=2000,F486&lt;=2100,G486&gt;=1,G486&lt;=12,H486&gt;=1,H486&lt;=31),DATE(F486,G486,H486),0),0)</ns0:f>
        <ns0:v>0</ns0:v>
      </ns0:c>
      <ns0:c r="J486" s="0">
        <ns0:f>IFERROR(IF(ISNUMBER(Bookings!B486),IF(AND(Bookings!B486=INT(Bookings!B486),Bookings!B486&gt;=DATE(2000,1,1),Bookings!B486&lt;=DATE(2100,12,31)),Bookings!B486,0),IF(AND(A486&lt;&gt;"",LEN("x"&amp;B486)-LEN(SUBSTITUTE("x"&amp;B486,".",""))=2,OR(1&gt;LEN(B486),MID(B486,1,1)=".",ISNUMBER(FIND("x"&amp;MID(B486,1,1),"x0x1x2x3x4x5x6x7x8x9"))),OR(2&gt;LEN(B486),MID(B486,2,1)=".",ISNUMBER(FIND("x"&amp;MID(B486,2,1),"x0x1x2x3x4x5x6x7x8x9"))),OR(3&gt;LEN(B486),MID(B486,3,1)=".",ISNUMBER(FIND("x"&amp;MID(B486,3,1),"x0x1x2x3x4x5x6x7x8x9"))),OR(4&gt;LEN(B486),MID(B486,4,1)=".",ISNUMBER(FIND("x"&amp;MID(B486,4,1),"x0x1x2x3x4x5x6x7x8x9"))),OR(5&gt;LEN(B486),MID(B486,5,1)=".",ISNUMBER(FIND("x"&amp;MID(B486,5,1),"x0x1x2x3x4x5x6x7x8x9"))),OR(6&gt;LEN(B486),MID(B486,6,1)=".",ISNUMBER(FIND("x"&amp;MID(B486,6,1),"x0x1x2x3x4x5x6x7x8x9"))),OR(7&gt;LEN(B486),MID(B486,7,1)=".",ISNUMBER(FIND("x"&amp;MID(B486,7,1),"x0x1x2x3x4x5x6x7x8x9"))),OR(8&gt;LEN(B486),MID(B486,8,1)=".",ISNUMBER(FIND("x"&amp;MID(B486,8,1),"x0x1x2x3x4x5x6x7x8x9"))),OR(9&gt;LEN(B486),MID(B486,9,1)=".",ISNUMBER(FIND("x"&amp;MID(B486,9,1),"x0x1x2x3x4x5x6x7x8x9"))),OR(10&gt;LEN(B486),MID(B486,10,1)=".",ISNUMBER(FIND("x"&amp;MID(B486,10,1),"x0x1x2x3x4x5x6x7x8x9"))),OR(AND(FIND(".",B486)=5,LEN(B486)-FIND(".",B486,FIND(".",B486)+1)&gt;=1,LEN(B486)-FIND(".",B486,FIND(".",B486)+1)&lt;=2),AND(LEN(B486)-FIND(".",B486,FIND(".",B486)+1)=4,FIND(".",B486)&gt;=2,FIND(".",B486)&lt;=3)),FIND(".",B486,FIND(".",B486)+1)-FIND(".",B486)&gt;=2,FIND(".",B486,FIND(".",B486)+1)-FIND(".",B486)&lt;=3,F486&gt;=2000,F486&lt;=2100,YEAR(I486)=F486,MONTH(I486)=G486,DAY(I486)=H486),I486,0)),0)</ns0:f>
        <ns0:v>0</ns0:v>
      </ns0:c>
      <ns0:c r="K486" s="0">
        <ns0:f>IFERROR(IF(ISNUMBER(Bookings!D486),"",TRIM(Bookings!D486&amp;"")),"")</ns0:f>
      </ns0:c>
      <ns0:c r="L486" s="0">
        <ns0:f>IFERROR(SUBSTITUTE(SUBSTITUTE(K486,"/","."),"-","."),"")</ns0:f>
      </ns0:c>
      <ns0:c r="M486" s="0">
        <ns0:f>IFERROR(LEFT(L486,FIND(".",L486)-1),"")</ns0:f>
      </ns0:c>
      <ns0:c r="N486" s="0">
        <ns0:f>IFERROR(MID(L486,FIND(".",L486)+1,FIND(".",L486,FIND(".",L486)+1)-FIND(".",L486)-1),"")</ns0:f>
      </ns0:c>
      <ns0:c r="O486" s="0">
        <ns0:f>IFERROR(MID(L486,FIND(".",L486,FIND(".",L486)+1)+1,99),"")</ns0:f>
        <ns0:v>99</ns0:v>
      </ns0:c>
      <ns0:c r="P486" s="0">
        <ns0:f>IFERROR(IF(FIND(".",L486)=5,--M486,--O486),0)</ns0:f>
        <ns0:v>0</ns0:v>
      </ns0:c>
      <ns0:c r="Q486" s="0">
        <ns0:f>IFERROR(--N486,0)</ns0:f>
        <ns0:v>0</ns0:v>
      </ns0:c>
      <ns0:c r="R486" s="0">
        <ns0:f>IFERROR(IF(FIND(".",L486)=5,--O486,--M486),0)</ns0:f>
        <ns0:v>0</ns0:v>
      </ns0:c>
      <ns0:c r="S486" s="0">
        <ns0:f>IFERROR(IF(AND(P486&gt;=2000,P486&lt;=2100,Q486&gt;=1,Q486&lt;=12,R486&gt;=1,R486&lt;=31),DATE(P486,Q486,R486),0),0)</ns0:f>
        <ns0:v>0</ns0:v>
      </ns0:c>
      <ns0:c r="T486" s="0">
        <ns0:f>IFERROR(IF(ISNUMBER(Bookings!D486),IF(AND(Bookings!D486=INT(Bookings!D486),Bookings!D486&gt;=DATE(2000,1,1),Bookings!D486&lt;=DATE(2100,12,31)),Bookings!D486,0),IF(AND(K486&lt;&gt;"",LEN("x"&amp;L486)-LEN(SUBSTITUTE("x"&amp;L486,".",""))=2,OR(1&gt;LEN(L486),MID(L486,1,1)=".",ISNUMBER(FIND("x"&amp;MID(L486,1,1),"x0x1x2x3x4x5x6x7x8x9"))),OR(2&gt;LEN(L486),MID(L486,2,1)=".",ISNUMBER(FIND("x"&amp;MID(L486,2,1),"x0x1x2x3x4x5x6x7x8x9"))),OR(3&gt;LEN(L486),MID(L486,3,1)=".",ISNUMBER(FIND("x"&amp;MID(L486,3,1),"x0x1x2x3x4x5x6x7x8x9"))),OR(4&gt;LEN(L486),MID(L486,4,1)=".",ISNUMBER(FIND("x"&amp;MID(L486,4,1),"x0x1x2x3x4x5x6x7x8x9"))),OR(5&gt;LEN(L486),MID(L486,5,1)=".",ISNUMBER(FIND("x"&amp;MID(L486,5,1),"x0x1x2x3x4x5x6x7x8x9"))),OR(6&gt;LEN(L486),MID(L486,6,1)=".",ISNUMBER(FIND("x"&amp;MID(L486,6,1),"x0x1x2x3x4x5x6x7x8x9"))),OR(7&gt;LEN(L486),MID(L486,7,1)=".",ISNUMBER(FIND("x"&amp;MID(L486,7,1),"x0x1x2x3x4x5x6x7x8x9"))),OR(8&gt;LEN(L486),MID(L486,8,1)=".",ISNUMBER(FIND("x"&amp;MID(L486,8,1),"x0x1x2x3x4x5x6x7x8x9"))),OR(9&gt;LEN(L486),MID(L486,9,1)=".",ISNUMBER(FIND("x"&amp;MID(L486,9,1),"x0x1x2x3x4x5x6x7x8x9"))),OR(10&gt;LEN(L486),MID(L486,10,1)=".",ISNUMBER(FIND("x"&amp;MID(L486,10,1),"x0x1x2x3x4x5x6x7x8x9"))),OR(AND(FIND(".",L486)=5,LEN(L486)-FIND(".",L486,FIND(".",L486)+1)&gt;=1,LEN(L486)-FIND(".",L486,FIND(".",L486)+1)&lt;=2),AND(LEN(L486)-FIND(".",L486,FIND(".",L486)+1)=4,FIND(".",L486)&gt;=2,FIND(".",L486)&lt;=3)),FIND(".",L486,FIND(".",L486)+1)-FIND(".",L486)&gt;=2,FIND(".",L486,FIND(".",L486)+1)-FIND(".",L486)&lt;=3,P486&gt;=2000,P486&lt;=2100,YEAR(S486)=P486,MONTH(S486)=Q486,DAY(S486)=R486),S486,0)),0)</ns0:f>
        <ns0:v>0</ns0:v>
      </ns0:c>
      <ns0:c r="U486" s="0" t="str">
        <ns0:f>IF(Bookings!C486="","Full day",Bookings!C486)</ns0:f>
        <ns0:v>Full day</ns0:v>
      </ns0:c>
      <ns0:c r="V486" s="0" t="str">
        <ns0:f>IF(Bookings!E486="","Full day",Bookings!E486)</ns0:f>
        <ns0:v>Full day</ns0:v>
      </ns0:c>
      <ns0:c r="W486" s="0">
        <ns0:f>IF(J486=0,0,J486+IF(U486="PM",1,0))</ns0:f>
        <ns0:v>0</ns0:v>
      </ns0:c>
      <ns0:c r="X486" s="0">
        <ns0:f>IF(T486=0,0,T486-IF(V486="PM",1,0))</ns0:f>
        <ns0:v>0</ns0:v>
      </ns0:c>
      <ns0:c r="Y486" s="0">
        <ns0:f>IF(J486=0,0,J486+IF(U486="AM",1,0))</ns0:f>
        <ns0:v>0</ns0:v>
      </ns0:c>
      <ns0:c r="Z486" s="0">
        <ns0:f>IF(T486=0,0,T486-IF(V486="AM",1,0))</ns0:f>
        <ns0:v>0</ns0:v>
      </ns0:c>
      <ns0:c r="AA486" s="0">
        <ns0:f>IFERROR(IF(AND(J486&gt;0,'_Engine'!C486&gt;0,MID('_Engine'!W486,WEEKDAY(J486,2),1)="W",COUNTIF(Settings!$F$18:$F$67,J486)=0),1,0),0)</ns0:f>
        <ns0:v>0</ns0:v>
      </ns0:c>
      <ns0:c r="AB486" s="0">
        <ns0:f>IFERROR(IF(AND(T486&gt;0,'_Engine'!C486&gt;0,MID('_Engine'!W486,WEEKDAY(T486,2),1)="W",COUNTIF(Settings!$F$18:$F$67,T486)=0),1,0),0)</ns0:f>
        <ns0:v>0</ns0:v>
      </ns0:c>
      <ns0:c r="AC486" s="0">
        <ns0:f>IF(AND(J486&gt;0,T486&gt;0,W486&lt;=X486),1,0)</ns0:f>
        <ns0:v>0</ns0:v>
      </ns0:c>
      <ns0:c r="AD486" s="0">
        <ns0:f>IF(AND(J486&gt;0,T486&gt;0,Y486&lt;=Z486),1,0)</ns0:f>
        <ns0:v>0</ns0:v>
      </ns0:c>
    </ns0:row>
    <ns0:row r="487">
      <ns0:c r="A487" s="0">
        <ns0:f>IFERROR(IF(ISNUMBER(Bookings!B487),"",TRIM(Bookings!B487&amp;"")),"")</ns0:f>
      </ns0:c>
      <ns0:c r="B487" s="0">
        <ns0:f>IFERROR(SUBSTITUTE(SUBSTITUTE(A487,"/","."),"-","."),"")</ns0:f>
      </ns0:c>
      <ns0:c r="C487" s="0">
        <ns0:f>IFERROR(LEFT(B487,FIND(".",B487)-1),"")</ns0:f>
      </ns0:c>
      <ns0:c r="D487" s="0">
        <ns0:f>IFERROR(MID(B487,FIND(".",B487)+1,FIND(".",B487,FIND(".",B487)+1)-FIND(".",B487)-1),"")</ns0:f>
      </ns0:c>
      <ns0:c r="E487" s="0">
        <ns0:f>IFERROR(MID(B487,FIND(".",B487,FIND(".",B487)+1)+1,99),"")</ns0:f>
        <ns0:v>99</ns0:v>
      </ns0:c>
      <ns0:c r="F487" s="0">
        <ns0:f>IFERROR(IF(FIND(".",B487)=5,--C487,--E487),0)</ns0:f>
        <ns0:v>0</ns0:v>
      </ns0:c>
      <ns0:c r="G487" s="0">
        <ns0:f>IFERROR(--D487,0)</ns0:f>
        <ns0:v>0</ns0:v>
      </ns0:c>
      <ns0:c r="H487" s="0">
        <ns0:f>IFERROR(IF(FIND(".",B487)=5,--E487,--C487),0)</ns0:f>
        <ns0:v>0</ns0:v>
      </ns0:c>
      <ns0:c r="I487" s="0">
        <ns0:f>IFERROR(IF(AND(F487&gt;=2000,F487&lt;=2100,G487&gt;=1,G487&lt;=12,H487&gt;=1,H487&lt;=31),DATE(F487,G487,H487),0),0)</ns0:f>
        <ns0:v>0</ns0:v>
      </ns0:c>
      <ns0:c r="J487" s="0">
        <ns0:f>IFERROR(IF(ISNUMBER(Bookings!B487),IF(AND(Bookings!B487=INT(Bookings!B487),Bookings!B487&gt;=DATE(2000,1,1),Bookings!B487&lt;=DATE(2100,12,31)),Bookings!B487,0),IF(AND(A487&lt;&gt;"",LEN("x"&amp;B487)-LEN(SUBSTITUTE("x"&amp;B487,".",""))=2,OR(1&gt;LEN(B487),MID(B487,1,1)=".",ISNUMBER(FIND("x"&amp;MID(B487,1,1),"x0x1x2x3x4x5x6x7x8x9"))),OR(2&gt;LEN(B487),MID(B487,2,1)=".",ISNUMBER(FIND("x"&amp;MID(B487,2,1),"x0x1x2x3x4x5x6x7x8x9"))),OR(3&gt;LEN(B487),MID(B487,3,1)=".",ISNUMBER(FIND("x"&amp;MID(B487,3,1),"x0x1x2x3x4x5x6x7x8x9"))),OR(4&gt;LEN(B487),MID(B487,4,1)=".",ISNUMBER(FIND("x"&amp;MID(B487,4,1),"x0x1x2x3x4x5x6x7x8x9"))),OR(5&gt;LEN(B487),MID(B487,5,1)=".",ISNUMBER(FIND("x"&amp;MID(B487,5,1),"x0x1x2x3x4x5x6x7x8x9"))),OR(6&gt;LEN(B487),MID(B487,6,1)=".",ISNUMBER(FIND("x"&amp;MID(B487,6,1),"x0x1x2x3x4x5x6x7x8x9"))),OR(7&gt;LEN(B487),MID(B487,7,1)=".",ISNUMBER(FIND("x"&amp;MID(B487,7,1),"x0x1x2x3x4x5x6x7x8x9"))),OR(8&gt;LEN(B487),MID(B487,8,1)=".",ISNUMBER(FIND("x"&amp;MID(B487,8,1),"x0x1x2x3x4x5x6x7x8x9"))),OR(9&gt;LEN(B487),MID(B487,9,1)=".",ISNUMBER(FIND("x"&amp;MID(B487,9,1),"x0x1x2x3x4x5x6x7x8x9"))),OR(10&gt;LEN(B487),MID(B487,10,1)=".",ISNUMBER(FIND("x"&amp;MID(B487,10,1),"x0x1x2x3x4x5x6x7x8x9"))),OR(AND(FIND(".",B487)=5,LEN(B487)-FIND(".",B487,FIND(".",B487)+1)&gt;=1,LEN(B487)-FIND(".",B487,FIND(".",B487)+1)&lt;=2),AND(LEN(B487)-FIND(".",B487,FIND(".",B487)+1)=4,FIND(".",B487)&gt;=2,FIND(".",B487)&lt;=3)),FIND(".",B487,FIND(".",B487)+1)-FIND(".",B487)&gt;=2,FIND(".",B487,FIND(".",B487)+1)-FIND(".",B487)&lt;=3,F487&gt;=2000,F487&lt;=2100,YEAR(I487)=F487,MONTH(I487)=G487,DAY(I487)=H487),I487,0)),0)</ns0:f>
        <ns0:v>0</ns0:v>
      </ns0:c>
      <ns0:c r="K487" s="0">
        <ns0:f>IFERROR(IF(ISNUMBER(Bookings!D487),"",TRIM(Bookings!D487&amp;"")),"")</ns0:f>
      </ns0:c>
      <ns0:c r="L487" s="0">
        <ns0:f>IFERROR(SUBSTITUTE(SUBSTITUTE(K487,"/","."),"-","."),"")</ns0:f>
      </ns0:c>
      <ns0:c r="M487" s="0">
        <ns0:f>IFERROR(LEFT(L487,FIND(".",L487)-1),"")</ns0:f>
      </ns0:c>
      <ns0:c r="N487" s="0">
        <ns0:f>IFERROR(MID(L487,FIND(".",L487)+1,FIND(".",L487,FIND(".",L487)+1)-FIND(".",L487)-1),"")</ns0:f>
      </ns0:c>
      <ns0:c r="O487" s="0">
        <ns0:f>IFERROR(MID(L487,FIND(".",L487,FIND(".",L487)+1)+1,99),"")</ns0:f>
        <ns0:v>99</ns0:v>
      </ns0:c>
      <ns0:c r="P487" s="0">
        <ns0:f>IFERROR(IF(FIND(".",L487)=5,--M487,--O487),0)</ns0:f>
        <ns0:v>0</ns0:v>
      </ns0:c>
      <ns0:c r="Q487" s="0">
        <ns0:f>IFERROR(--N487,0)</ns0:f>
        <ns0:v>0</ns0:v>
      </ns0:c>
      <ns0:c r="R487" s="0">
        <ns0:f>IFERROR(IF(FIND(".",L487)=5,--O487,--M487),0)</ns0:f>
        <ns0:v>0</ns0:v>
      </ns0:c>
      <ns0:c r="S487" s="0">
        <ns0:f>IFERROR(IF(AND(P487&gt;=2000,P487&lt;=2100,Q487&gt;=1,Q487&lt;=12,R487&gt;=1,R487&lt;=31),DATE(P487,Q487,R487),0),0)</ns0:f>
        <ns0:v>0</ns0:v>
      </ns0:c>
      <ns0:c r="T487" s="0">
        <ns0:f>IFERROR(IF(ISNUMBER(Bookings!D487),IF(AND(Bookings!D487=INT(Bookings!D487),Bookings!D487&gt;=DATE(2000,1,1),Bookings!D487&lt;=DATE(2100,12,31)),Bookings!D487,0),IF(AND(K487&lt;&gt;"",LEN("x"&amp;L487)-LEN(SUBSTITUTE("x"&amp;L487,".",""))=2,OR(1&gt;LEN(L487),MID(L487,1,1)=".",ISNUMBER(FIND("x"&amp;MID(L487,1,1),"x0x1x2x3x4x5x6x7x8x9"))),OR(2&gt;LEN(L487),MID(L487,2,1)=".",ISNUMBER(FIND("x"&amp;MID(L487,2,1),"x0x1x2x3x4x5x6x7x8x9"))),OR(3&gt;LEN(L487),MID(L487,3,1)=".",ISNUMBER(FIND("x"&amp;MID(L487,3,1),"x0x1x2x3x4x5x6x7x8x9"))),OR(4&gt;LEN(L487),MID(L487,4,1)=".",ISNUMBER(FIND("x"&amp;MID(L487,4,1),"x0x1x2x3x4x5x6x7x8x9"))),OR(5&gt;LEN(L487),MID(L487,5,1)=".",ISNUMBER(FIND("x"&amp;MID(L487,5,1),"x0x1x2x3x4x5x6x7x8x9"))),OR(6&gt;LEN(L487),MID(L487,6,1)=".",ISNUMBER(FIND("x"&amp;MID(L487,6,1),"x0x1x2x3x4x5x6x7x8x9"))),OR(7&gt;LEN(L487),MID(L487,7,1)=".",ISNUMBER(FIND("x"&amp;MID(L487,7,1),"x0x1x2x3x4x5x6x7x8x9"))),OR(8&gt;LEN(L487),MID(L487,8,1)=".",ISNUMBER(FIND("x"&amp;MID(L487,8,1),"x0x1x2x3x4x5x6x7x8x9"))),OR(9&gt;LEN(L487),MID(L487,9,1)=".",ISNUMBER(FIND("x"&amp;MID(L487,9,1),"x0x1x2x3x4x5x6x7x8x9"))),OR(10&gt;LEN(L487),MID(L487,10,1)=".",ISNUMBER(FIND("x"&amp;MID(L487,10,1),"x0x1x2x3x4x5x6x7x8x9"))),OR(AND(FIND(".",L487)=5,LEN(L487)-FIND(".",L487,FIND(".",L487)+1)&gt;=1,LEN(L487)-FIND(".",L487,FIND(".",L487)+1)&lt;=2),AND(LEN(L487)-FIND(".",L487,FIND(".",L487)+1)=4,FIND(".",L487)&gt;=2,FIND(".",L487)&lt;=3)),FIND(".",L487,FIND(".",L487)+1)-FIND(".",L487)&gt;=2,FIND(".",L487,FIND(".",L487)+1)-FIND(".",L487)&lt;=3,P487&gt;=2000,P487&lt;=2100,YEAR(S487)=P487,MONTH(S487)=Q487,DAY(S487)=R487),S487,0)),0)</ns0:f>
        <ns0:v>0</ns0:v>
      </ns0:c>
      <ns0:c r="U487" s="0" t="str">
        <ns0:f>IF(Bookings!C487="","Full day",Bookings!C487)</ns0:f>
        <ns0:v>Full day</ns0:v>
      </ns0:c>
      <ns0:c r="V487" s="0" t="str">
        <ns0:f>IF(Bookings!E487="","Full day",Bookings!E487)</ns0:f>
        <ns0:v>Full day</ns0:v>
      </ns0:c>
      <ns0:c r="W487" s="0">
        <ns0:f>IF(J487=0,0,J487+IF(U487="PM",1,0))</ns0:f>
        <ns0:v>0</ns0:v>
      </ns0:c>
      <ns0:c r="X487" s="0">
        <ns0:f>IF(T487=0,0,T487-IF(V487="PM",1,0))</ns0:f>
        <ns0:v>0</ns0:v>
      </ns0:c>
      <ns0:c r="Y487" s="0">
        <ns0:f>IF(J487=0,0,J487+IF(U487="AM",1,0))</ns0:f>
        <ns0:v>0</ns0:v>
      </ns0:c>
      <ns0:c r="Z487" s="0">
        <ns0:f>IF(T487=0,0,T487-IF(V487="AM",1,0))</ns0:f>
        <ns0:v>0</ns0:v>
      </ns0:c>
      <ns0:c r="AA487" s="0">
        <ns0:f>IFERROR(IF(AND(J487&gt;0,'_Engine'!C487&gt;0,MID('_Engine'!W487,WEEKDAY(J487,2),1)="W",COUNTIF(Settings!$F$18:$F$67,J487)=0),1,0),0)</ns0:f>
        <ns0:v>0</ns0:v>
      </ns0:c>
      <ns0:c r="AB487" s="0">
        <ns0:f>IFERROR(IF(AND(T487&gt;0,'_Engine'!C487&gt;0,MID('_Engine'!W487,WEEKDAY(T487,2),1)="W",COUNTIF(Settings!$F$18:$F$67,T487)=0),1,0),0)</ns0:f>
        <ns0:v>0</ns0:v>
      </ns0:c>
      <ns0:c r="AC487" s="0">
        <ns0:f>IF(AND(J487&gt;0,T487&gt;0,W487&lt;=X487),1,0)</ns0:f>
        <ns0:v>0</ns0:v>
      </ns0:c>
      <ns0:c r="AD487" s="0">
        <ns0:f>IF(AND(J487&gt;0,T487&gt;0,Y487&lt;=Z487),1,0)</ns0:f>
        <ns0:v>0</ns0:v>
      </ns0:c>
    </ns0:row>
    <ns0:row r="488">
      <ns0:c r="A488" s="0">
        <ns0:f>IFERROR(IF(ISNUMBER(Bookings!B488),"",TRIM(Bookings!B488&amp;"")),"")</ns0:f>
      </ns0:c>
      <ns0:c r="B488" s="0">
        <ns0:f>IFERROR(SUBSTITUTE(SUBSTITUTE(A488,"/","."),"-","."),"")</ns0:f>
      </ns0:c>
      <ns0:c r="C488" s="0">
        <ns0:f>IFERROR(LEFT(B488,FIND(".",B488)-1),"")</ns0:f>
      </ns0:c>
      <ns0:c r="D488" s="0">
        <ns0:f>IFERROR(MID(B488,FIND(".",B488)+1,FIND(".",B488,FIND(".",B488)+1)-FIND(".",B488)-1),"")</ns0:f>
      </ns0:c>
      <ns0:c r="E488" s="0">
        <ns0:f>IFERROR(MID(B488,FIND(".",B488,FIND(".",B488)+1)+1,99),"")</ns0:f>
        <ns0:v>99</ns0:v>
      </ns0:c>
      <ns0:c r="F488" s="0">
        <ns0:f>IFERROR(IF(FIND(".",B488)=5,--C488,--E488),0)</ns0:f>
        <ns0:v>0</ns0:v>
      </ns0:c>
      <ns0:c r="G488" s="0">
        <ns0:f>IFERROR(--D488,0)</ns0:f>
        <ns0:v>0</ns0:v>
      </ns0:c>
      <ns0:c r="H488" s="0">
        <ns0:f>IFERROR(IF(FIND(".",B488)=5,--E488,--C488),0)</ns0:f>
        <ns0:v>0</ns0:v>
      </ns0:c>
      <ns0:c r="I488" s="0">
        <ns0:f>IFERROR(IF(AND(F488&gt;=2000,F488&lt;=2100,G488&gt;=1,G488&lt;=12,H488&gt;=1,H488&lt;=31),DATE(F488,G488,H488),0),0)</ns0:f>
        <ns0:v>0</ns0:v>
      </ns0:c>
      <ns0:c r="J488" s="0">
        <ns0:f>IFERROR(IF(ISNUMBER(Bookings!B488),IF(AND(Bookings!B488=INT(Bookings!B488),Bookings!B488&gt;=DATE(2000,1,1),Bookings!B488&lt;=DATE(2100,12,31)),Bookings!B488,0),IF(AND(A488&lt;&gt;"",LEN("x"&amp;B488)-LEN(SUBSTITUTE("x"&amp;B488,".",""))=2,OR(1&gt;LEN(B488),MID(B488,1,1)=".",ISNUMBER(FIND("x"&amp;MID(B488,1,1),"x0x1x2x3x4x5x6x7x8x9"))),OR(2&gt;LEN(B488),MID(B488,2,1)=".",ISNUMBER(FIND("x"&amp;MID(B488,2,1),"x0x1x2x3x4x5x6x7x8x9"))),OR(3&gt;LEN(B488),MID(B488,3,1)=".",ISNUMBER(FIND("x"&amp;MID(B488,3,1),"x0x1x2x3x4x5x6x7x8x9"))),OR(4&gt;LEN(B488),MID(B488,4,1)=".",ISNUMBER(FIND("x"&amp;MID(B488,4,1),"x0x1x2x3x4x5x6x7x8x9"))),OR(5&gt;LEN(B488),MID(B488,5,1)=".",ISNUMBER(FIND("x"&amp;MID(B488,5,1),"x0x1x2x3x4x5x6x7x8x9"))),OR(6&gt;LEN(B488),MID(B488,6,1)=".",ISNUMBER(FIND("x"&amp;MID(B488,6,1),"x0x1x2x3x4x5x6x7x8x9"))),OR(7&gt;LEN(B488),MID(B488,7,1)=".",ISNUMBER(FIND("x"&amp;MID(B488,7,1),"x0x1x2x3x4x5x6x7x8x9"))),OR(8&gt;LEN(B488),MID(B488,8,1)=".",ISNUMBER(FIND("x"&amp;MID(B488,8,1),"x0x1x2x3x4x5x6x7x8x9"))),OR(9&gt;LEN(B488),MID(B488,9,1)=".",ISNUMBER(FIND("x"&amp;MID(B488,9,1),"x0x1x2x3x4x5x6x7x8x9"))),OR(10&gt;LEN(B488),MID(B488,10,1)=".",ISNUMBER(FIND("x"&amp;MID(B488,10,1),"x0x1x2x3x4x5x6x7x8x9"))),OR(AND(FIND(".",B488)=5,LEN(B488)-FIND(".",B488,FIND(".",B488)+1)&gt;=1,LEN(B488)-FIND(".",B488,FIND(".",B488)+1)&lt;=2),AND(LEN(B488)-FIND(".",B488,FIND(".",B488)+1)=4,FIND(".",B488)&gt;=2,FIND(".",B488)&lt;=3)),FIND(".",B488,FIND(".",B488)+1)-FIND(".",B488)&gt;=2,FIND(".",B488,FIND(".",B488)+1)-FIND(".",B488)&lt;=3,F488&gt;=2000,F488&lt;=2100,YEAR(I488)=F488,MONTH(I488)=G488,DAY(I488)=H488),I488,0)),0)</ns0:f>
        <ns0:v>0</ns0:v>
      </ns0:c>
      <ns0:c r="K488" s="0">
        <ns0:f>IFERROR(IF(ISNUMBER(Bookings!D488),"",TRIM(Bookings!D488&amp;"")),"")</ns0:f>
      </ns0:c>
      <ns0:c r="L488" s="0">
        <ns0:f>IFERROR(SUBSTITUTE(SUBSTITUTE(K488,"/","."),"-","."),"")</ns0:f>
      </ns0:c>
      <ns0:c r="M488" s="0">
        <ns0:f>IFERROR(LEFT(L488,FIND(".",L488)-1),"")</ns0:f>
      </ns0:c>
      <ns0:c r="N488" s="0">
        <ns0:f>IFERROR(MID(L488,FIND(".",L488)+1,FIND(".",L488,FIND(".",L488)+1)-FIND(".",L488)-1),"")</ns0:f>
      </ns0:c>
      <ns0:c r="O488" s="0">
        <ns0:f>IFERROR(MID(L488,FIND(".",L488,FIND(".",L488)+1)+1,99),"")</ns0:f>
        <ns0:v>99</ns0:v>
      </ns0:c>
      <ns0:c r="P488" s="0">
        <ns0:f>IFERROR(IF(FIND(".",L488)=5,--M488,--O488),0)</ns0:f>
        <ns0:v>0</ns0:v>
      </ns0:c>
      <ns0:c r="Q488" s="0">
        <ns0:f>IFERROR(--N488,0)</ns0:f>
        <ns0:v>0</ns0:v>
      </ns0:c>
      <ns0:c r="R488" s="0">
        <ns0:f>IFERROR(IF(FIND(".",L488)=5,--O488,--M488),0)</ns0:f>
        <ns0:v>0</ns0:v>
      </ns0:c>
      <ns0:c r="S488" s="0">
        <ns0:f>IFERROR(IF(AND(P488&gt;=2000,P488&lt;=2100,Q488&gt;=1,Q488&lt;=12,R488&gt;=1,R488&lt;=31),DATE(P488,Q488,R488),0),0)</ns0:f>
        <ns0:v>0</ns0:v>
      </ns0:c>
      <ns0:c r="T488" s="0">
        <ns0:f>IFERROR(IF(ISNUMBER(Bookings!D488),IF(AND(Bookings!D488=INT(Bookings!D488),Bookings!D488&gt;=DATE(2000,1,1),Bookings!D488&lt;=DATE(2100,12,31)),Bookings!D488,0),IF(AND(K488&lt;&gt;"",LEN("x"&amp;L488)-LEN(SUBSTITUTE("x"&amp;L488,".",""))=2,OR(1&gt;LEN(L488),MID(L488,1,1)=".",ISNUMBER(FIND("x"&amp;MID(L488,1,1),"x0x1x2x3x4x5x6x7x8x9"))),OR(2&gt;LEN(L488),MID(L488,2,1)=".",ISNUMBER(FIND("x"&amp;MID(L488,2,1),"x0x1x2x3x4x5x6x7x8x9"))),OR(3&gt;LEN(L488),MID(L488,3,1)=".",ISNUMBER(FIND("x"&amp;MID(L488,3,1),"x0x1x2x3x4x5x6x7x8x9"))),OR(4&gt;LEN(L488),MID(L488,4,1)=".",ISNUMBER(FIND("x"&amp;MID(L488,4,1),"x0x1x2x3x4x5x6x7x8x9"))),OR(5&gt;LEN(L488),MID(L488,5,1)=".",ISNUMBER(FIND("x"&amp;MID(L488,5,1),"x0x1x2x3x4x5x6x7x8x9"))),OR(6&gt;LEN(L488),MID(L488,6,1)=".",ISNUMBER(FIND("x"&amp;MID(L488,6,1),"x0x1x2x3x4x5x6x7x8x9"))),OR(7&gt;LEN(L488),MID(L488,7,1)=".",ISNUMBER(FIND("x"&amp;MID(L488,7,1),"x0x1x2x3x4x5x6x7x8x9"))),OR(8&gt;LEN(L488),MID(L488,8,1)=".",ISNUMBER(FIND("x"&amp;MID(L488,8,1),"x0x1x2x3x4x5x6x7x8x9"))),OR(9&gt;LEN(L488),MID(L488,9,1)=".",ISNUMBER(FIND("x"&amp;MID(L488,9,1),"x0x1x2x3x4x5x6x7x8x9"))),OR(10&gt;LEN(L488),MID(L488,10,1)=".",ISNUMBER(FIND("x"&amp;MID(L488,10,1),"x0x1x2x3x4x5x6x7x8x9"))),OR(AND(FIND(".",L488)=5,LEN(L488)-FIND(".",L488,FIND(".",L488)+1)&gt;=1,LEN(L488)-FIND(".",L488,FIND(".",L488)+1)&lt;=2),AND(LEN(L488)-FIND(".",L488,FIND(".",L488)+1)=4,FIND(".",L488)&gt;=2,FIND(".",L488)&lt;=3)),FIND(".",L488,FIND(".",L488)+1)-FIND(".",L488)&gt;=2,FIND(".",L488,FIND(".",L488)+1)-FIND(".",L488)&lt;=3,P488&gt;=2000,P488&lt;=2100,YEAR(S488)=P488,MONTH(S488)=Q488,DAY(S488)=R488),S488,0)),0)</ns0:f>
        <ns0:v>0</ns0:v>
      </ns0:c>
      <ns0:c r="U488" s="0" t="str">
        <ns0:f>IF(Bookings!C488="","Full day",Bookings!C488)</ns0:f>
        <ns0:v>Full day</ns0:v>
      </ns0:c>
      <ns0:c r="V488" s="0" t="str">
        <ns0:f>IF(Bookings!E488="","Full day",Bookings!E488)</ns0:f>
        <ns0:v>Full day</ns0:v>
      </ns0:c>
      <ns0:c r="W488" s="0">
        <ns0:f>IF(J488=0,0,J488+IF(U488="PM",1,0))</ns0:f>
        <ns0:v>0</ns0:v>
      </ns0:c>
      <ns0:c r="X488" s="0">
        <ns0:f>IF(T488=0,0,T488-IF(V488="PM",1,0))</ns0:f>
        <ns0:v>0</ns0:v>
      </ns0:c>
      <ns0:c r="Y488" s="0">
        <ns0:f>IF(J488=0,0,J488+IF(U488="AM",1,0))</ns0:f>
        <ns0:v>0</ns0:v>
      </ns0:c>
      <ns0:c r="Z488" s="0">
        <ns0:f>IF(T488=0,0,T488-IF(V488="AM",1,0))</ns0:f>
        <ns0:v>0</ns0:v>
      </ns0:c>
      <ns0:c r="AA488" s="0">
        <ns0:f>IFERROR(IF(AND(J488&gt;0,'_Engine'!C488&gt;0,MID('_Engine'!W488,WEEKDAY(J488,2),1)="W",COUNTIF(Settings!$F$18:$F$67,J488)=0),1,0),0)</ns0:f>
        <ns0:v>0</ns0:v>
      </ns0:c>
      <ns0:c r="AB488" s="0">
        <ns0:f>IFERROR(IF(AND(T488&gt;0,'_Engine'!C488&gt;0,MID('_Engine'!W488,WEEKDAY(T488,2),1)="W",COUNTIF(Settings!$F$18:$F$67,T488)=0),1,0),0)</ns0:f>
        <ns0:v>0</ns0:v>
      </ns0:c>
      <ns0:c r="AC488" s="0">
        <ns0:f>IF(AND(J488&gt;0,T488&gt;0,W488&lt;=X488),1,0)</ns0:f>
        <ns0:v>0</ns0:v>
      </ns0:c>
      <ns0:c r="AD488" s="0">
        <ns0:f>IF(AND(J488&gt;0,T488&gt;0,Y488&lt;=Z488),1,0)</ns0:f>
        <ns0:v>0</ns0:v>
      </ns0:c>
    </ns0:row>
    <ns0:row r="489">
      <ns0:c r="A489" s="0">
        <ns0:f>IFERROR(IF(ISNUMBER(Bookings!B489),"",TRIM(Bookings!B489&amp;"")),"")</ns0:f>
      </ns0:c>
      <ns0:c r="B489" s="0">
        <ns0:f>IFERROR(SUBSTITUTE(SUBSTITUTE(A489,"/","."),"-","."),"")</ns0:f>
      </ns0:c>
      <ns0:c r="C489" s="0">
        <ns0:f>IFERROR(LEFT(B489,FIND(".",B489)-1),"")</ns0:f>
      </ns0:c>
      <ns0:c r="D489" s="0">
        <ns0:f>IFERROR(MID(B489,FIND(".",B489)+1,FIND(".",B489,FIND(".",B489)+1)-FIND(".",B489)-1),"")</ns0:f>
      </ns0:c>
      <ns0:c r="E489" s="0">
        <ns0:f>IFERROR(MID(B489,FIND(".",B489,FIND(".",B489)+1)+1,99),"")</ns0:f>
        <ns0:v>99</ns0:v>
      </ns0:c>
      <ns0:c r="F489" s="0">
        <ns0:f>IFERROR(IF(FIND(".",B489)=5,--C489,--E489),0)</ns0:f>
        <ns0:v>0</ns0:v>
      </ns0:c>
      <ns0:c r="G489" s="0">
        <ns0:f>IFERROR(--D489,0)</ns0:f>
        <ns0:v>0</ns0:v>
      </ns0:c>
      <ns0:c r="H489" s="0">
        <ns0:f>IFERROR(IF(FIND(".",B489)=5,--E489,--C489),0)</ns0:f>
        <ns0:v>0</ns0:v>
      </ns0:c>
      <ns0:c r="I489" s="0">
        <ns0:f>IFERROR(IF(AND(F489&gt;=2000,F489&lt;=2100,G489&gt;=1,G489&lt;=12,H489&gt;=1,H489&lt;=31),DATE(F489,G489,H489),0),0)</ns0:f>
        <ns0:v>0</ns0:v>
      </ns0:c>
      <ns0:c r="J489" s="0">
        <ns0:f>IFERROR(IF(ISNUMBER(Bookings!B489),IF(AND(Bookings!B489=INT(Bookings!B489),Bookings!B489&gt;=DATE(2000,1,1),Bookings!B489&lt;=DATE(2100,12,31)),Bookings!B489,0),IF(AND(A489&lt;&gt;"",LEN("x"&amp;B489)-LEN(SUBSTITUTE("x"&amp;B489,".",""))=2,OR(1&gt;LEN(B489),MID(B489,1,1)=".",ISNUMBER(FIND("x"&amp;MID(B489,1,1),"x0x1x2x3x4x5x6x7x8x9"))),OR(2&gt;LEN(B489),MID(B489,2,1)=".",ISNUMBER(FIND("x"&amp;MID(B489,2,1),"x0x1x2x3x4x5x6x7x8x9"))),OR(3&gt;LEN(B489),MID(B489,3,1)=".",ISNUMBER(FIND("x"&amp;MID(B489,3,1),"x0x1x2x3x4x5x6x7x8x9"))),OR(4&gt;LEN(B489),MID(B489,4,1)=".",ISNUMBER(FIND("x"&amp;MID(B489,4,1),"x0x1x2x3x4x5x6x7x8x9"))),OR(5&gt;LEN(B489),MID(B489,5,1)=".",ISNUMBER(FIND("x"&amp;MID(B489,5,1),"x0x1x2x3x4x5x6x7x8x9"))),OR(6&gt;LEN(B489),MID(B489,6,1)=".",ISNUMBER(FIND("x"&amp;MID(B489,6,1),"x0x1x2x3x4x5x6x7x8x9"))),OR(7&gt;LEN(B489),MID(B489,7,1)=".",ISNUMBER(FIND("x"&amp;MID(B489,7,1),"x0x1x2x3x4x5x6x7x8x9"))),OR(8&gt;LEN(B489),MID(B489,8,1)=".",ISNUMBER(FIND("x"&amp;MID(B489,8,1),"x0x1x2x3x4x5x6x7x8x9"))),OR(9&gt;LEN(B489),MID(B489,9,1)=".",ISNUMBER(FIND("x"&amp;MID(B489,9,1),"x0x1x2x3x4x5x6x7x8x9"))),OR(10&gt;LEN(B489),MID(B489,10,1)=".",ISNUMBER(FIND("x"&amp;MID(B489,10,1),"x0x1x2x3x4x5x6x7x8x9"))),OR(AND(FIND(".",B489)=5,LEN(B489)-FIND(".",B489,FIND(".",B489)+1)&gt;=1,LEN(B489)-FIND(".",B489,FIND(".",B489)+1)&lt;=2),AND(LEN(B489)-FIND(".",B489,FIND(".",B489)+1)=4,FIND(".",B489)&gt;=2,FIND(".",B489)&lt;=3)),FIND(".",B489,FIND(".",B489)+1)-FIND(".",B489)&gt;=2,FIND(".",B489,FIND(".",B489)+1)-FIND(".",B489)&lt;=3,F489&gt;=2000,F489&lt;=2100,YEAR(I489)=F489,MONTH(I489)=G489,DAY(I489)=H489),I489,0)),0)</ns0:f>
        <ns0:v>0</ns0:v>
      </ns0:c>
      <ns0:c r="K489" s="0">
        <ns0:f>IFERROR(IF(ISNUMBER(Bookings!D489),"",TRIM(Bookings!D489&amp;"")),"")</ns0:f>
      </ns0:c>
      <ns0:c r="L489" s="0">
        <ns0:f>IFERROR(SUBSTITUTE(SUBSTITUTE(K489,"/","."),"-","."),"")</ns0:f>
      </ns0:c>
      <ns0:c r="M489" s="0">
        <ns0:f>IFERROR(LEFT(L489,FIND(".",L489)-1),"")</ns0:f>
      </ns0:c>
      <ns0:c r="N489" s="0">
        <ns0:f>IFERROR(MID(L489,FIND(".",L489)+1,FIND(".",L489,FIND(".",L489)+1)-FIND(".",L489)-1),"")</ns0:f>
      </ns0:c>
      <ns0:c r="O489" s="0">
        <ns0:f>IFERROR(MID(L489,FIND(".",L489,FIND(".",L489)+1)+1,99),"")</ns0:f>
        <ns0:v>99</ns0:v>
      </ns0:c>
      <ns0:c r="P489" s="0">
        <ns0:f>IFERROR(IF(FIND(".",L489)=5,--M489,--O489),0)</ns0:f>
        <ns0:v>0</ns0:v>
      </ns0:c>
      <ns0:c r="Q489" s="0">
        <ns0:f>IFERROR(--N489,0)</ns0:f>
        <ns0:v>0</ns0:v>
      </ns0:c>
      <ns0:c r="R489" s="0">
        <ns0:f>IFERROR(IF(FIND(".",L489)=5,--O489,--M489),0)</ns0:f>
        <ns0:v>0</ns0:v>
      </ns0:c>
      <ns0:c r="S489" s="0">
        <ns0:f>IFERROR(IF(AND(P489&gt;=2000,P489&lt;=2100,Q489&gt;=1,Q489&lt;=12,R489&gt;=1,R489&lt;=31),DATE(P489,Q489,R489),0),0)</ns0:f>
        <ns0:v>0</ns0:v>
      </ns0:c>
      <ns0:c r="T489" s="0">
        <ns0:f>IFERROR(IF(ISNUMBER(Bookings!D489),IF(AND(Bookings!D489=INT(Bookings!D489),Bookings!D489&gt;=DATE(2000,1,1),Bookings!D489&lt;=DATE(2100,12,31)),Bookings!D489,0),IF(AND(K489&lt;&gt;"",LEN("x"&amp;L489)-LEN(SUBSTITUTE("x"&amp;L489,".",""))=2,OR(1&gt;LEN(L489),MID(L489,1,1)=".",ISNUMBER(FIND("x"&amp;MID(L489,1,1),"x0x1x2x3x4x5x6x7x8x9"))),OR(2&gt;LEN(L489),MID(L489,2,1)=".",ISNUMBER(FIND("x"&amp;MID(L489,2,1),"x0x1x2x3x4x5x6x7x8x9"))),OR(3&gt;LEN(L489),MID(L489,3,1)=".",ISNUMBER(FIND("x"&amp;MID(L489,3,1),"x0x1x2x3x4x5x6x7x8x9"))),OR(4&gt;LEN(L489),MID(L489,4,1)=".",ISNUMBER(FIND("x"&amp;MID(L489,4,1),"x0x1x2x3x4x5x6x7x8x9"))),OR(5&gt;LEN(L489),MID(L489,5,1)=".",ISNUMBER(FIND("x"&amp;MID(L489,5,1),"x0x1x2x3x4x5x6x7x8x9"))),OR(6&gt;LEN(L489),MID(L489,6,1)=".",ISNUMBER(FIND("x"&amp;MID(L489,6,1),"x0x1x2x3x4x5x6x7x8x9"))),OR(7&gt;LEN(L489),MID(L489,7,1)=".",ISNUMBER(FIND("x"&amp;MID(L489,7,1),"x0x1x2x3x4x5x6x7x8x9"))),OR(8&gt;LEN(L489),MID(L489,8,1)=".",ISNUMBER(FIND("x"&amp;MID(L489,8,1),"x0x1x2x3x4x5x6x7x8x9"))),OR(9&gt;LEN(L489),MID(L489,9,1)=".",ISNUMBER(FIND("x"&amp;MID(L489,9,1),"x0x1x2x3x4x5x6x7x8x9"))),OR(10&gt;LEN(L489),MID(L489,10,1)=".",ISNUMBER(FIND("x"&amp;MID(L489,10,1),"x0x1x2x3x4x5x6x7x8x9"))),OR(AND(FIND(".",L489)=5,LEN(L489)-FIND(".",L489,FIND(".",L489)+1)&gt;=1,LEN(L489)-FIND(".",L489,FIND(".",L489)+1)&lt;=2),AND(LEN(L489)-FIND(".",L489,FIND(".",L489)+1)=4,FIND(".",L489)&gt;=2,FIND(".",L489)&lt;=3)),FIND(".",L489,FIND(".",L489)+1)-FIND(".",L489)&gt;=2,FIND(".",L489,FIND(".",L489)+1)-FIND(".",L489)&lt;=3,P489&gt;=2000,P489&lt;=2100,YEAR(S489)=P489,MONTH(S489)=Q489,DAY(S489)=R489),S489,0)),0)</ns0:f>
        <ns0:v>0</ns0:v>
      </ns0:c>
      <ns0:c r="U489" s="0" t="str">
        <ns0:f>IF(Bookings!C489="","Full day",Bookings!C489)</ns0:f>
        <ns0:v>Full day</ns0:v>
      </ns0:c>
      <ns0:c r="V489" s="0" t="str">
        <ns0:f>IF(Bookings!E489="","Full day",Bookings!E489)</ns0:f>
        <ns0:v>Full day</ns0:v>
      </ns0:c>
      <ns0:c r="W489" s="0">
        <ns0:f>IF(J489=0,0,J489+IF(U489="PM",1,0))</ns0:f>
        <ns0:v>0</ns0:v>
      </ns0:c>
      <ns0:c r="X489" s="0">
        <ns0:f>IF(T489=0,0,T489-IF(V489="PM",1,0))</ns0:f>
        <ns0:v>0</ns0:v>
      </ns0:c>
      <ns0:c r="Y489" s="0">
        <ns0:f>IF(J489=0,0,J489+IF(U489="AM",1,0))</ns0:f>
        <ns0:v>0</ns0:v>
      </ns0:c>
      <ns0:c r="Z489" s="0">
        <ns0:f>IF(T489=0,0,T489-IF(V489="AM",1,0))</ns0:f>
        <ns0:v>0</ns0:v>
      </ns0:c>
      <ns0:c r="AA489" s="0">
        <ns0:f>IFERROR(IF(AND(J489&gt;0,'_Engine'!C489&gt;0,MID('_Engine'!W489,WEEKDAY(J489,2),1)="W",COUNTIF(Settings!$F$18:$F$67,J489)=0),1,0),0)</ns0:f>
        <ns0:v>0</ns0:v>
      </ns0:c>
      <ns0:c r="AB489" s="0">
        <ns0:f>IFERROR(IF(AND(T489&gt;0,'_Engine'!C489&gt;0,MID('_Engine'!W489,WEEKDAY(T489,2),1)="W",COUNTIF(Settings!$F$18:$F$67,T489)=0),1,0),0)</ns0:f>
        <ns0:v>0</ns0:v>
      </ns0:c>
      <ns0:c r="AC489" s="0">
        <ns0:f>IF(AND(J489&gt;0,T489&gt;0,W489&lt;=X489),1,0)</ns0:f>
        <ns0:v>0</ns0:v>
      </ns0:c>
      <ns0:c r="AD489" s="0">
        <ns0:f>IF(AND(J489&gt;0,T489&gt;0,Y489&lt;=Z489),1,0)</ns0:f>
        <ns0:v>0</ns0:v>
      </ns0:c>
    </ns0:row>
    <ns0:row r="490">
      <ns0:c r="A490" s="0">
        <ns0:f>IFERROR(IF(ISNUMBER(Bookings!B490),"",TRIM(Bookings!B490&amp;"")),"")</ns0:f>
      </ns0:c>
      <ns0:c r="B490" s="0">
        <ns0:f>IFERROR(SUBSTITUTE(SUBSTITUTE(A490,"/","."),"-","."),"")</ns0:f>
      </ns0:c>
      <ns0:c r="C490" s="0">
        <ns0:f>IFERROR(LEFT(B490,FIND(".",B490)-1),"")</ns0:f>
      </ns0:c>
      <ns0:c r="D490" s="0">
        <ns0:f>IFERROR(MID(B490,FIND(".",B490)+1,FIND(".",B490,FIND(".",B490)+1)-FIND(".",B490)-1),"")</ns0:f>
      </ns0:c>
      <ns0:c r="E490" s="0">
        <ns0:f>IFERROR(MID(B490,FIND(".",B490,FIND(".",B490)+1)+1,99),"")</ns0:f>
        <ns0:v>99</ns0:v>
      </ns0:c>
      <ns0:c r="F490" s="0">
        <ns0:f>IFERROR(IF(FIND(".",B490)=5,--C490,--E490),0)</ns0:f>
        <ns0:v>0</ns0:v>
      </ns0:c>
      <ns0:c r="G490" s="0">
        <ns0:f>IFERROR(--D490,0)</ns0:f>
        <ns0:v>0</ns0:v>
      </ns0:c>
      <ns0:c r="H490" s="0">
        <ns0:f>IFERROR(IF(FIND(".",B490)=5,--E490,--C490),0)</ns0:f>
        <ns0:v>0</ns0:v>
      </ns0:c>
      <ns0:c r="I490" s="0">
        <ns0:f>IFERROR(IF(AND(F490&gt;=2000,F490&lt;=2100,G490&gt;=1,G490&lt;=12,H490&gt;=1,H490&lt;=31),DATE(F490,G490,H490),0),0)</ns0:f>
        <ns0:v>0</ns0:v>
      </ns0:c>
      <ns0:c r="J490" s="0">
        <ns0:f>IFERROR(IF(ISNUMBER(Bookings!B490),IF(AND(Bookings!B490=INT(Bookings!B490),Bookings!B490&gt;=DATE(2000,1,1),Bookings!B490&lt;=DATE(2100,12,31)),Bookings!B490,0),IF(AND(A490&lt;&gt;"",LEN("x"&amp;B490)-LEN(SUBSTITUTE("x"&amp;B490,".",""))=2,OR(1&gt;LEN(B490),MID(B490,1,1)=".",ISNUMBER(FIND("x"&amp;MID(B490,1,1),"x0x1x2x3x4x5x6x7x8x9"))),OR(2&gt;LEN(B490),MID(B490,2,1)=".",ISNUMBER(FIND("x"&amp;MID(B490,2,1),"x0x1x2x3x4x5x6x7x8x9"))),OR(3&gt;LEN(B490),MID(B490,3,1)=".",ISNUMBER(FIND("x"&amp;MID(B490,3,1),"x0x1x2x3x4x5x6x7x8x9"))),OR(4&gt;LEN(B490),MID(B490,4,1)=".",ISNUMBER(FIND("x"&amp;MID(B490,4,1),"x0x1x2x3x4x5x6x7x8x9"))),OR(5&gt;LEN(B490),MID(B490,5,1)=".",ISNUMBER(FIND("x"&amp;MID(B490,5,1),"x0x1x2x3x4x5x6x7x8x9"))),OR(6&gt;LEN(B490),MID(B490,6,1)=".",ISNUMBER(FIND("x"&amp;MID(B490,6,1),"x0x1x2x3x4x5x6x7x8x9"))),OR(7&gt;LEN(B490),MID(B490,7,1)=".",ISNUMBER(FIND("x"&amp;MID(B490,7,1),"x0x1x2x3x4x5x6x7x8x9"))),OR(8&gt;LEN(B490),MID(B490,8,1)=".",ISNUMBER(FIND("x"&amp;MID(B490,8,1),"x0x1x2x3x4x5x6x7x8x9"))),OR(9&gt;LEN(B490),MID(B490,9,1)=".",ISNUMBER(FIND("x"&amp;MID(B490,9,1),"x0x1x2x3x4x5x6x7x8x9"))),OR(10&gt;LEN(B490),MID(B490,10,1)=".",ISNUMBER(FIND("x"&amp;MID(B490,10,1),"x0x1x2x3x4x5x6x7x8x9"))),OR(AND(FIND(".",B490)=5,LEN(B490)-FIND(".",B490,FIND(".",B490)+1)&gt;=1,LEN(B490)-FIND(".",B490,FIND(".",B490)+1)&lt;=2),AND(LEN(B490)-FIND(".",B490,FIND(".",B490)+1)=4,FIND(".",B490)&gt;=2,FIND(".",B490)&lt;=3)),FIND(".",B490,FIND(".",B490)+1)-FIND(".",B490)&gt;=2,FIND(".",B490,FIND(".",B490)+1)-FIND(".",B490)&lt;=3,F490&gt;=2000,F490&lt;=2100,YEAR(I490)=F490,MONTH(I490)=G490,DAY(I490)=H490),I490,0)),0)</ns0:f>
        <ns0:v>0</ns0:v>
      </ns0:c>
      <ns0:c r="K490" s="0">
        <ns0:f>IFERROR(IF(ISNUMBER(Bookings!D490),"",TRIM(Bookings!D490&amp;"")),"")</ns0:f>
      </ns0:c>
      <ns0:c r="L490" s="0">
        <ns0:f>IFERROR(SUBSTITUTE(SUBSTITUTE(K490,"/","."),"-","."),"")</ns0:f>
      </ns0:c>
      <ns0:c r="M490" s="0">
        <ns0:f>IFERROR(LEFT(L490,FIND(".",L490)-1),"")</ns0:f>
      </ns0:c>
      <ns0:c r="N490" s="0">
        <ns0:f>IFERROR(MID(L490,FIND(".",L490)+1,FIND(".",L490,FIND(".",L490)+1)-FIND(".",L490)-1),"")</ns0:f>
      </ns0:c>
      <ns0:c r="O490" s="0">
        <ns0:f>IFERROR(MID(L490,FIND(".",L490,FIND(".",L490)+1)+1,99),"")</ns0:f>
        <ns0:v>99</ns0:v>
      </ns0:c>
      <ns0:c r="P490" s="0">
        <ns0:f>IFERROR(IF(FIND(".",L490)=5,--M490,--O490),0)</ns0:f>
        <ns0:v>0</ns0:v>
      </ns0:c>
      <ns0:c r="Q490" s="0">
        <ns0:f>IFERROR(--N490,0)</ns0:f>
        <ns0:v>0</ns0:v>
      </ns0:c>
      <ns0:c r="R490" s="0">
        <ns0:f>IFERROR(IF(FIND(".",L490)=5,--O490,--M490),0)</ns0:f>
        <ns0:v>0</ns0:v>
      </ns0:c>
      <ns0:c r="S490" s="0">
        <ns0:f>IFERROR(IF(AND(P490&gt;=2000,P490&lt;=2100,Q490&gt;=1,Q490&lt;=12,R490&gt;=1,R490&lt;=31),DATE(P490,Q490,R490),0),0)</ns0:f>
        <ns0:v>0</ns0:v>
      </ns0:c>
      <ns0:c r="T490" s="0">
        <ns0:f>IFERROR(IF(ISNUMBER(Bookings!D490),IF(AND(Bookings!D490=INT(Bookings!D490),Bookings!D490&gt;=DATE(2000,1,1),Bookings!D490&lt;=DATE(2100,12,31)),Bookings!D490,0),IF(AND(K490&lt;&gt;"",LEN("x"&amp;L490)-LEN(SUBSTITUTE("x"&amp;L490,".",""))=2,OR(1&gt;LEN(L490),MID(L490,1,1)=".",ISNUMBER(FIND("x"&amp;MID(L490,1,1),"x0x1x2x3x4x5x6x7x8x9"))),OR(2&gt;LEN(L490),MID(L490,2,1)=".",ISNUMBER(FIND("x"&amp;MID(L490,2,1),"x0x1x2x3x4x5x6x7x8x9"))),OR(3&gt;LEN(L490),MID(L490,3,1)=".",ISNUMBER(FIND("x"&amp;MID(L490,3,1),"x0x1x2x3x4x5x6x7x8x9"))),OR(4&gt;LEN(L490),MID(L490,4,1)=".",ISNUMBER(FIND("x"&amp;MID(L490,4,1),"x0x1x2x3x4x5x6x7x8x9"))),OR(5&gt;LEN(L490),MID(L490,5,1)=".",ISNUMBER(FIND("x"&amp;MID(L490,5,1),"x0x1x2x3x4x5x6x7x8x9"))),OR(6&gt;LEN(L490),MID(L490,6,1)=".",ISNUMBER(FIND("x"&amp;MID(L490,6,1),"x0x1x2x3x4x5x6x7x8x9"))),OR(7&gt;LEN(L490),MID(L490,7,1)=".",ISNUMBER(FIND("x"&amp;MID(L490,7,1),"x0x1x2x3x4x5x6x7x8x9"))),OR(8&gt;LEN(L490),MID(L490,8,1)=".",ISNUMBER(FIND("x"&amp;MID(L490,8,1),"x0x1x2x3x4x5x6x7x8x9"))),OR(9&gt;LEN(L490),MID(L490,9,1)=".",ISNUMBER(FIND("x"&amp;MID(L490,9,1),"x0x1x2x3x4x5x6x7x8x9"))),OR(10&gt;LEN(L490),MID(L490,10,1)=".",ISNUMBER(FIND("x"&amp;MID(L490,10,1),"x0x1x2x3x4x5x6x7x8x9"))),OR(AND(FIND(".",L490)=5,LEN(L490)-FIND(".",L490,FIND(".",L490)+1)&gt;=1,LEN(L490)-FIND(".",L490,FIND(".",L490)+1)&lt;=2),AND(LEN(L490)-FIND(".",L490,FIND(".",L490)+1)=4,FIND(".",L490)&gt;=2,FIND(".",L490)&lt;=3)),FIND(".",L490,FIND(".",L490)+1)-FIND(".",L490)&gt;=2,FIND(".",L490,FIND(".",L490)+1)-FIND(".",L490)&lt;=3,P490&gt;=2000,P490&lt;=2100,YEAR(S490)=P490,MONTH(S490)=Q490,DAY(S490)=R490),S490,0)),0)</ns0:f>
        <ns0:v>0</ns0:v>
      </ns0:c>
      <ns0:c r="U490" s="0" t="str">
        <ns0:f>IF(Bookings!C490="","Full day",Bookings!C490)</ns0:f>
        <ns0:v>Full day</ns0:v>
      </ns0:c>
      <ns0:c r="V490" s="0" t="str">
        <ns0:f>IF(Bookings!E490="","Full day",Bookings!E490)</ns0:f>
        <ns0:v>Full day</ns0:v>
      </ns0:c>
      <ns0:c r="W490" s="0">
        <ns0:f>IF(J490=0,0,J490+IF(U490="PM",1,0))</ns0:f>
        <ns0:v>0</ns0:v>
      </ns0:c>
      <ns0:c r="X490" s="0">
        <ns0:f>IF(T490=0,0,T490-IF(V490="PM",1,0))</ns0:f>
        <ns0:v>0</ns0:v>
      </ns0:c>
      <ns0:c r="Y490" s="0">
        <ns0:f>IF(J490=0,0,J490+IF(U490="AM",1,0))</ns0:f>
        <ns0:v>0</ns0:v>
      </ns0:c>
      <ns0:c r="Z490" s="0">
        <ns0:f>IF(T490=0,0,T490-IF(V490="AM",1,0))</ns0:f>
        <ns0:v>0</ns0:v>
      </ns0:c>
      <ns0:c r="AA490" s="0">
        <ns0:f>IFERROR(IF(AND(J490&gt;0,'_Engine'!C490&gt;0,MID('_Engine'!W490,WEEKDAY(J490,2),1)="W",COUNTIF(Settings!$F$18:$F$67,J490)=0),1,0),0)</ns0:f>
        <ns0:v>0</ns0:v>
      </ns0:c>
      <ns0:c r="AB490" s="0">
        <ns0:f>IFERROR(IF(AND(T490&gt;0,'_Engine'!C490&gt;0,MID('_Engine'!W490,WEEKDAY(T490,2),1)="W",COUNTIF(Settings!$F$18:$F$67,T490)=0),1,0),0)</ns0:f>
        <ns0:v>0</ns0:v>
      </ns0:c>
      <ns0:c r="AC490" s="0">
        <ns0:f>IF(AND(J490&gt;0,T490&gt;0,W490&lt;=X490),1,0)</ns0:f>
        <ns0:v>0</ns0:v>
      </ns0:c>
      <ns0:c r="AD490" s="0">
        <ns0:f>IF(AND(J490&gt;0,T490&gt;0,Y490&lt;=Z490),1,0)</ns0:f>
        <ns0:v>0</ns0:v>
      </ns0:c>
    </ns0:row>
    <ns0:row r="491">
      <ns0:c r="A491" s="0">
        <ns0:f>IFERROR(IF(ISNUMBER(Bookings!B491),"",TRIM(Bookings!B491&amp;"")),"")</ns0:f>
      </ns0:c>
      <ns0:c r="B491" s="0">
        <ns0:f>IFERROR(SUBSTITUTE(SUBSTITUTE(A491,"/","."),"-","."),"")</ns0:f>
      </ns0:c>
      <ns0:c r="C491" s="0">
        <ns0:f>IFERROR(LEFT(B491,FIND(".",B491)-1),"")</ns0:f>
      </ns0:c>
      <ns0:c r="D491" s="0">
        <ns0:f>IFERROR(MID(B491,FIND(".",B491)+1,FIND(".",B491,FIND(".",B491)+1)-FIND(".",B491)-1),"")</ns0:f>
      </ns0:c>
      <ns0:c r="E491" s="0">
        <ns0:f>IFERROR(MID(B491,FIND(".",B491,FIND(".",B491)+1)+1,99),"")</ns0:f>
        <ns0:v>99</ns0:v>
      </ns0:c>
      <ns0:c r="F491" s="0">
        <ns0:f>IFERROR(IF(FIND(".",B491)=5,--C491,--E491),0)</ns0:f>
        <ns0:v>0</ns0:v>
      </ns0:c>
      <ns0:c r="G491" s="0">
        <ns0:f>IFERROR(--D491,0)</ns0:f>
        <ns0:v>0</ns0:v>
      </ns0:c>
      <ns0:c r="H491" s="0">
        <ns0:f>IFERROR(IF(FIND(".",B491)=5,--E491,--C491),0)</ns0:f>
        <ns0:v>0</ns0:v>
      </ns0:c>
      <ns0:c r="I491" s="0">
        <ns0:f>IFERROR(IF(AND(F491&gt;=2000,F491&lt;=2100,G491&gt;=1,G491&lt;=12,H491&gt;=1,H491&lt;=31),DATE(F491,G491,H491),0),0)</ns0:f>
        <ns0:v>0</ns0:v>
      </ns0:c>
      <ns0:c r="J491" s="0">
        <ns0:f>IFERROR(IF(ISNUMBER(Bookings!B491),IF(AND(Bookings!B491=INT(Bookings!B491),Bookings!B491&gt;=DATE(2000,1,1),Bookings!B491&lt;=DATE(2100,12,31)),Bookings!B491,0),IF(AND(A491&lt;&gt;"",LEN("x"&amp;B491)-LEN(SUBSTITUTE("x"&amp;B491,".",""))=2,OR(1&gt;LEN(B491),MID(B491,1,1)=".",ISNUMBER(FIND("x"&amp;MID(B491,1,1),"x0x1x2x3x4x5x6x7x8x9"))),OR(2&gt;LEN(B491),MID(B491,2,1)=".",ISNUMBER(FIND("x"&amp;MID(B491,2,1),"x0x1x2x3x4x5x6x7x8x9"))),OR(3&gt;LEN(B491),MID(B491,3,1)=".",ISNUMBER(FIND("x"&amp;MID(B491,3,1),"x0x1x2x3x4x5x6x7x8x9"))),OR(4&gt;LEN(B491),MID(B491,4,1)=".",ISNUMBER(FIND("x"&amp;MID(B491,4,1),"x0x1x2x3x4x5x6x7x8x9"))),OR(5&gt;LEN(B491),MID(B491,5,1)=".",ISNUMBER(FIND("x"&amp;MID(B491,5,1),"x0x1x2x3x4x5x6x7x8x9"))),OR(6&gt;LEN(B491),MID(B491,6,1)=".",ISNUMBER(FIND("x"&amp;MID(B491,6,1),"x0x1x2x3x4x5x6x7x8x9"))),OR(7&gt;LEN(B491),MID(B491,7,1)=".",ISNUMBER(FIND("x"&amp;MID(B491,7,1),"x0x1x2x3x4x5x6x7x8x9"))),OR(8&gt;LEN(B491),MID(B491,8,1)=".",ISNUMBER(FIND("x"&amp;MID(B491,8,1),"x0x1x2x3x4x5x6x7x8x9"))),OR(9&gt;LEN(B491),MID(B491,9,1)=".",ISNUMBER(FIND("x"&amp;MID(B491,9,1),"x0x1x2x3x4x5x6x7x8x9"))),OR(10&gt;LEN(B491),MID(B491,10,1)=".",ISNUMBER(FIND("x"&amp;MID(B491,10,1),"x0x1x2x3x4x5x6x7x8x9"))),OR(AND(FIND(".",B491)=5,LEN(B491)-FIND(".",B491,FIND(".",B491)+1)&gt;=1,LEN(B491)-FIND(".",B491,FIND(".",B491)+1)&lt;=2),AND(LEN(B491)-FIND(".",B491,FIND(".",B491)+1)=4,FIND(".",B491)&gt;=2,FIND(".",B491)&lt;=3)),FIND(".",B491,FIND(".",B491)+1)-FIND(".",B491)&gt;=2,FIND(".",B491,FIND(".",B491)+1)-FIND(".",B491)&lt;=3,F491&gt;=2000,F491&lt;=2100,YEAR(I491)=F491,MONTH(I491)=G491,DAY(I491)=H491),I491,0)),0)</ns0:f>
        <ns0:v>0</ns0:v>
      </ns0:c>
      <ns0:c r="K491" s="0">
        <ns0:f>IFERROR(IF(ISNUMBER(Bookings!D491),"",TRIM(Bookings!D491&amp;"")),"")</ns0:f>
      </ns0:c>
      <ns0:c r="L491" s="0">
        <ns0:f>IFERROR(SUBSTITUTE(SUBSTITUTE(K491,"/","."),"-","."),"")</ns0:f>
      </ns0:c>
      <ns0:c r="M491" s="0">
        <ns0:f>IFERROR(LEFT(L491,FIND(".",L491)-1),"")</ns0:f>
      </ns0:c>
      <ns0:c r="N491" s="0">
        <ns0:f>IFERROR(MID(L491,FIND(".",L491)+1,FIND(".",L491,FIND(".",L491)+1)-FIND(".",L491)-1),"")</ns0:f>
      </ns0:c>
      <ns0:c r="O491" s="0">
        <ns0:f>IFERROR(MID(L491,FIND(".",L491,FIND(".",L491)+1)+1,99),"")</ns0:f>
        <ns0:v>99</ns0:v>
      </ns0:c>
      <ns0:c r="P491" s="0">
        <ns0:f>IFERROR(IF(FIND(".",L491)=5,--M491,--O491),0)</ns0:f>
        <ns0:v>0</ns0:v>
      </ns0:c>
      <ns0:c r="Q491" s="0">
        <ns0:f>IFERROR(--N491,0)</ns0:f>
        <ns0:v>0</ns0:v>
      </ns0:c>
      <ns0:c r="R491" s="0">
        <ns0:f>IFERROR(IF(FIND(".",L491)=5,--O491,--M491),0)</ns0:f>
        <ns0:v>0</ns0:v>
      </ns0:c>
      <ns0:c r="S491" s="0">
        <ns0:f>IFERROR(IF(AND(P491&gt;=2000,P491&lt;=2100,Q491&gt;=1,Q491&lt;=12,R491&gt;=1,R491&lt;=31),DATE(P491,Q491,R491),0),0)</ns0:f>
        <ns0:v>0</ns0:v>
      </ns0:c>
      <ns0:c r="T491" s="0">
        <ns0:f>IFERROR(IF(ISNUMBER(Bookings!D491),IF(AND(Bookings!D491=INT(Bookings!D491),Bookings!D491&gt;=DATE(2000,1,1),Bookings!D491&lt;=DATE(2100,12,31)),Bookings!D491,0),IF(AND(K491&lt;&gt;"",LEN("x"&amp;L491)-LEN(SUBSTITUTE("x"&amp;L491,".",""))=2,OR(1&gt;LEN(L491),MID(L491,1,1)=".",ISNUMBER(FIND("x"&amp;MID(L491,1,1),"x0x1x2x3x4x5x6x7x8x9"))),OR(2&gt;LEN(L491),MID(L491,2,1)=".",ISNUMBER(FIND("x"&amp;MID(L491,2,1),"x0x1x2x3x4x5x6x7x8x9"))),OR(3&gt;LEN(L491),MID(L491,3,1)=".",ISNUMBER(FIND("x"&amp;MID(L491,3,1),"x0x1x2x3x4x5x6x7x8x9"))),OR(4&gt;LEN(L491),MID(L491,4,1)=".",ISNUMBER(FIND("x"&amp;MID(L491,4,1),"x0x1x2x3x4x5x6x7x8x9"))),OR(5&gt;LEN(L491),MID(L491,5,1)=".",ISNUMBER(FIND("x"&amp;MID(L491,5,1),"x0x1x2x3x4x5x6x7x8x9"))),OR(6&gt;LEN(L491),MID(L491,6,1)=".",ISNUMBER(FIND("x"&amp;MID(L491,6,1),"x0x1x2x3x4x5x6x7x8x9"))),OR(7&gt;LEN(L491),MID(L491,7,1)=".",ISNUMBER(FIND("x"&amp;MID(L491,7,1),"x0x1x2x3x4x5x6x7x8x9"))),OR(8&gt;LEN(L491),MID(L491,8,1)=".",ISNUMBER(FIND("x"&amp;MID(L491,8,1),"x0x1x2x3x4x5x6x7x8x9"))),OR(9&gt;LEN(L491),MID(L491,9,1)=".",ISNUMBER(FIND("x"&amp;MID(L491,9,1),"x0x1x2x3x4x5x6x7x8x9"))),OR(10&gt;LEN(L491),MID(L491,10,1)=".",ISNUMBER(FIND("x"&amp;MID(L491,10,1),"x0x1x2x3x4x5x6x7x8x9"))),OR(AND(FIND(".",L491)=5,LEN(L491)-FIND(".",L491,FIND(".",L491)+1)&gt;=1,LEN(L491)-FIND(".",L491,FIND(".",L491)+1)&lt;=2),AND(LEN(L491)-FIND(".",L491,FIND(".",L491)+1)=4,FIND(".",L491)&gt;=2,FIND(".",L491)&lt;=3)),FIND(".",L491,FIND(".",L491)+1)-FIND(".",L491)&gt;=2,FIND(".",L491,FIND(".",L491)+1)-FIND(".",L491)&lt;=3,P491&gt;=2000,P491&lt;=2100,YEAR(S491)=P491,MONTH(S491)=Q491,DAY(S491)=R491),S491,0)),0)</ns0:f>
        <ns0:v>0</ns0:v>
      </ns0:c>
      <ns0:c r="U491" s="0" t="str">
        <ns0:f>IF(Bookings!C491="","Full day",Bookings!C491)</ns0:f>
        <ns0:v>Full day</ns0:v>
      </ns0:c>
      <ns0:c r="V491" s="0" t="str">
        <ns0:f>IF(Bookings!E491="","Full day",Bookings!E491)</ns0:f>
        <ns0:v>Full day</ns0:v>
      </ns0:c>
      <ns0:c r="W491" s="0">
        <ns0:f>IF(J491=0,0,J491+IF(U491="PM",1,0))</ns0:f>
        <ns0:v>0</ns0:v>
      </ns0:c>
      <ns0:c r="X491" s="0">
        <ns0:f>IF(T491=0,0,T491-IF(V491="PM",1,0))</ns0:f>
        <ns0:v>0</ns0:v>
      </ns0:c>
      <ns0:c r="Y491" s="0">
        <ns0:f>IF(J491=0,0,J491+IF(U491="AM",1,0))</ns0:f>
        <ns0:v>0</ns0:v>
      </ns0:c>
      <ns0:c r="Z491" s="0">
        <ns0:f>IF(T491=0,0,T491-IF(V491="AM",1,0))</ns0:f>
        <ns0:v>0</ns0:v>
      </ns0:c>
      <ns0:c r="AA491" s="0">
        <ns0:f>IFERROR(IF(AND(J491&gt;0,'_Engine'!C491&gt;0,MID('_Engine'!W491,WEEKDAY(J491,2),1)="W",COUNTIF(Settings!$F$18:$F$67,J491)=0),1,0),0)</ns0:f>
        <ns0:v>0</ns0:v>
      </ns0:c>
      <ns0:c r="AB491" s="0">
        <ns0:f>IFERROR(IF(AND(T491&gt;0,'_Engine'!C491&gt;0,MID('_Engine'!W491,WEEKDAY(T491,2),1)="W",COUNTIF(Settings!$F$18:$F$67,T491)=0),1,0),0)</ns0:f>
        <ns0:v>0</ns0:v>
      </ns0:c>
      <ns0:c r="AC491" s="0">
        <ns0:f>IF(AND(J491&gt;0,T491&gt;0,W491&lt;=X491),1,0)</ns0:f>
        <ns0:v>0</ns0:v>
      </ns0:c>
      <ns0:c r="AD491" s="0">
        <ns0:f>IF(AND(J491&gt;0,T491&gt;0,Y491&lt;=Z491),1,0)</ns0:f>
        <ns0:v>0</ns0:v>
      </ns0:c>
    </ns0:row>
    <ns0:row r="492">
      <ns0:c r="A492" s="0">
        <ns0:f>IFERROR(IF(ISNUMBER(Bookings!B492),"",TRIM(Bookings!B492&amp;"")),"")</ns0:f>
      </ns0:c>
      <ns0:c r="B492" s="0">
        <ns0:f>IFERROR(SUBSTITUTE(SUBSTITUTE(A492,"/","."),"-","."),"")</ns0:f>
      </ns0:c>
      <ns0:c r="C492" s="0">
        <ns0:f>IFERROR(LEFT(B492,FIND(".",B492)-1),"")</ns0:f>
      </ns0:c>
      <ns0:c r="D492" s="0">
        <ns0:f>IFERROR(MID(B492,FIND(".",B492)+1,FIND(".",B492,FIND(".",B492)+1)-FIND(".",B492)-1),"")</ns0:f>
      </ns0:c>
      <ns0:c r="E492" s="0">
        <ns0:f>IFERROR(MID(B492,FIND(".",B492,FIND(".",B492)+1)+1,99),"")</ns0:f>
        <ns0:v>99</ns0:v>
      </ns0:c>
      <ns0:c r="F492" s="0">
        <ns0:f>IFERROR(IF(FIND(".",B492)=5,--C492,--E492),0)</ns0:f>
        <ns0:v>0</ns0:v>
      </ns0:c>
      <ns0:c r="G492" s="0">
        <ns0:f>IFERROR(--D492,0)</ns0:f>
        <ns0:v>0</ns0:v>
      </ns0:c>
      <ns0:c r="H492" s="0">
        <ns0:f>IFERROR(IF(FIND(".",B492)=5,--E492,--C492),0)</ns0:f>
        <ns0:v>0</ns0:v>
      </ns0:c>
      <ns0:c r="I492" s="0">
        <ns0:f>IFERROR(IF(AND(F492&gt;=2000,F492&lt;=2100,G492&gt;=1,G492&lt;=12,H492&gt;=1,H492&lt;=31),DATE(F492,G492,H492),0),0)</ns0:f>
        <ns0:v>0</ns0:v>
      </ns0:c>
      <ns0:c r="J492" s="0">
        <ns0:f>IFERROR(IF(ISNUMBER(Bookings!B492),IF(AND(Bookings!B492=INT(Bookings!B492),Bookings!B492&gt;=DATE(2000,1,1),Bookings!B492&lt;=DATE(2100,12,31)),Bookings!B492,0),IF(AND(A492&lt;&gt;"",LEN("x"&amp;B492)-LEN(SUBSTITUTE("x"&amp;B492,".",""))=2,OR(1&gt;LEN(B492),MID(B492,1,1)=".",ISNUMBER(FIND("x"&amp;MID(B492,1,1),"x0x1x2x3x4x5x6x7x8x9"))),OR(2&gt;LEN(B492),MID(B492,2,1)=".",ISNUMBER(FIND("x"&amp;MID(B492,2,1),"x0x1x2x3x4x5x6x7x8x9"))),OR(3&gt;LEN(B492),MID(B492,3,1)=".",ISNUMBER(FIND("x"&amp;MID(B492,3,1),"x0x1x2x3x4x5x6x7x8x9"))),OR(4&gt;LEN(B492),MID(B492,4,1)=".",ISNUMBER(FIND("x"&amp;MID(B492,4,1),"x0x1x2x3x4x5x6x7x8x9"))),OR(5&gt;LEN(B492),MID(B492,5,1)=".",ISNUMBER(FIND("x"&amp;MID(B492,5,1),"x0x1x2x3x4x5x6x7x8x9"))),OR(6&gt;LEN(B492),MID(B492,6,1)=".",ISNUMBER(FIND("x"&amp;MID(B492,6,1),"x0x1x2x3x4x5x6x7x8x9"))),OR(7&gt;LEN(B492),MID(B492,7,1)=".",ISNUMBER(FIND("x"&amp;MID(B492,7,1),"x0x1x2x3x4x5x6x7x8x9"))),OR(8&gt;LEN(B492),MID(B492,8,1)=".",ISNUMBER(FIND("x"&amp;MID(B492,8,1),"x0x1x2x3x4x5x6x7x8x9"))),OR(9&gt;LEN(B492),MID(B492,9,1)=".",ISNUMBER(FIND("x"&amp;MID(B492,9,1),"x0x1x2x3x4x5x6x7x8x9"))),OR(10&gt;LEN(B492),MID(B492,10,1)=".",ISNUMBER(FIND("x"&amp;MID(B492,10,1),"x0x1x2x3x4x5x6x7x8x9"))),OR(AND(FIND(".",B492)=5,LEN(B492)-FIND(".",B492,FIND(".",B492)+1)&gt;=1,LEN(B492)-FIND(".",B492,FIND(".",B492)+1)&lt;=2),AND(LEN(B492)-FIND(".",B492,FIND(".",B492)+1)=4,FIND(".",B492)&gt;=2,FIND(".",B492)&lt;=3)),FIND(".",B492,FIND(".",B492)+1)-FIND(".",B492)&gt;=2,FIND(".",B492,FIND(".",B492)+1)-FIND(".",B492)&lt;=3,F492&gt;=2000,F492&lt;=2100,YEAR(I492)=F492,MONTH(I492)=G492,DAY(I492)=H492),I492,0)),0)</ns0:f>
        <ns0:v>0</ns0:v>
      </ns0:c>
      <ns0:c r="K492" s="0">
        <ns0:f>IFERROR(IF(ISNUMBER(Bookings!D492),"",TRIM(Bookings!D492&amp;"")),"")</ns0:f>
      </ns0:c>
      <ns0:c r="L492" s="0">
        <ns0:f>IFERROR(SUBSTITUTE(SUBSTITUTE(K492,"/","."),"-","."),"")</ns0:f>
      </ns0:c>
      <ns0:c r="M492" s="0">
        <ns0:f>IFERROR(LEFT(L492,FIND(".",L492)-1),"")</ns0:f>
      </ns0:c>
      <ns0:c r="N492" s="0">
        <ns0:f>IFERROR(MID(L492,FIND(".",L492)+1,FIND(".",L492,FIND(".",L492)+1)-FIND(".",L492)-1),"")</ns0:f>
      </ns0:c>
      <ns0:c r="O492" s="0">
        <ns0:f>IFERROR(MID(L492,FIND(".",L492,FIND(".",L492)+1)+1,99),"")</ns0:f>
        <ns0:v>99</ns0:v>
      </ns0:c>
      <ns0:c r="P492" s="0">
        <ns0:f>IFERROR(IF(FIND(".",L492)=5,--M492,--O492),0)</ns0:f>
        <ns0:v>0</ns0:v>
      </ns0:c>
      <ns0:c r="Q492" s="0">
        <ns0:f>IFERROR(--N492,0)</ns0:f>
        <ns0:v>0</ns0:v>
      </ns0:c>
      <ns0:c r="R492" s="0">
        <ns0:f>IFERROR(IF(FIND(".",L492)=5,--O492,--M492),0)</ns0:f>
        <ns0:v>0</ns0:v>
      </ns0:c>
      <ns0:c r="S492" s="0">
        <ns0:f>IFERROR(IF(AND(P492&gt;=2000,P492&lt;=2100,Q492&gt;=1,Q492&lt;=12,R492&gt;=1,R492&lt;=31),DATE(P492,Q492,R492),0),0)</ns0:f>
        <ns0:v>0</ns0:v>
      </ns0:c>
      <ns0:c r="T492" s="0">
        <ns0:f>IFERROR(IF(ISNUMBER(Bookings!D492),IF(AND(Bookings!D492=INT(Bookings!D492),Bookings!D492&gt;=DATE(2000,1,1),Bookings!D492&lt;=DATE(2100,12,31)),Bookings!D492,0),IF(AND(K492&lt;&gt;"",LEN("x"&amp;L492)-LEN(SUBSTITUTE("x"&amp;L492,".",""))=2,OR(1&gt;LEN(L492),MID(L492,1,1)=".",ISNUMBER(FIND("x"&amp;MID(L492,1,1),"x0x1x2x3x4x5x6x7x8x9"))),OR(2&gt;LEN(L492),MID(L492,2,1)=".",ISNUMBER(FIND("x"&amp;MID(L492,2,1),"x0x1x2x3x4x5x6x7x8x9"))),OR(3&gt;LEN(L492),MID(L492,3,1)=".",ISNUMBER(FIND("x"&amp;MID(L492,3,1),"x0x1x2x3x4x5x6x7x8x9"))),OR(4&gt;LEN(L492),MID(L492,4,1)=".",ISNUMBER(FIND("x"&amp;MID(L492,4,1),"x0x1x2x3x4x5x6x7x8x9"))),OR(5&gt;LEN(L492),MID(L492,5,1)=".",ISNUMBER(FIND("x"&amp;MID(L492,5,1),"x0x1x2x3x4x5x6x7x8x9"))),OR(6&gt;LEN(L492),MID(L492,6,1)=".",ISNUMBER(FIND("x"&amp;MID(L492,6,1),"x0x1x2x3x4x5x6x7x8x9"))),OR(7&gt;LEN(L492),MID(L492,7,1)=".",ISNUMBER(FIND("x"&amp;MID(L492,7,1),"x0x1x2x3x4x5x6x7x8x9"))),OR(8&gt;LEN(L492),MID(L492,8,1)=".",ISNUMBER(FIND("x"&amp;MID(L492,8,1),"x0x1x2x3x4x5x6x7x8x9"))),OR(9&gt;LEN(L492),MID(L492,9,1)=".",ISNUMBER(FIND("x"&amp;MID(L492,9,1),"x0x1x2x3x4x5x6x7x8x9"))),OR(10&gt;LEN(L492),MID(L492,10,1)=".",ISNUMBER(FIND("x"&amp;MID(L492,10,1),"x0x1x2x3x4x5x6x7x8x9"))),OR(AND(FIND(".",L492)=5,LEN(L492)-FIND(".",L492,FIND(".",L492)+1)&gt;=1,LEN(L492)-FIND(".",L492,FIND(".",L492)+1)&lt;=2),AND(LEN(L492)-FIND(".",L492,FIND(".",L492)+1)=4,FIND(".",L492)&gt;=2,FIND(".",L492)&lt;=3)),FIND(".",L492,FIND(".",L492)+1)-FIND(".",L492)&gt;=2,FIND(".",L492,FIND(".",L492)+1)-FIND(".",L492)&lt;=3,P492&gt;=2000,P492&lt;=2100,YEAR(S492)=P492,MONTH(S492)=Q492,DAY(S492)=R492),S492,0)),0)</ns0:f>
        <ns0:v>0</ns0:v>
      </ns0:c>
      <ns0:c r="U492" s="0" t="str">
        <ns0:f>IF(Bookings!C492="","Full day",Bookings!C492)</ns0:f>
        <ns0:v>Full day</ns0:v>
      </ns0:c>
      <ns0:c r="V492" s="0" t="str">
        <ns0:f>IF(Bookings!E492="","Full day",Bookings!E492)</ns0:f>
        <ns0:v>Full day</ns0:v>
      </ns0:c>
      <ns0:c r="W492" s="0">
        <ns0:f>IF(J492=0,0,J492+IF(U492="PM",1,0))</ns0:f>
        <ns0:v>0</ns0:v>
      </ns0:c>
      <ns0:c r="X492" s="0">
        <ns0:f>IF(T492=0,0,T492-IF(V492="PM",1,0))</ns0:f>
        <ns0:v>0</ns0:v>
      </ns0:c>
      <ns0:c r="Y492" s="0">
        <ns0:f>IF(J492=0,0,J492+IF(U492="AM",1,0))</ns0:f>
        <ns0:v>0</ns0:v>
      </ns0:c>
      <ns0:c r="Z492" s="0">
        <ns0:f>IF(T492=0,0,T492-IF(V492="AM",1,0))</ns0:f>
        <ns0:v>0</ns0:v>
      </ns0:c>
      <ns0:c r="AA492" s="0">
        <ns0:f>IFERROR(IF(AND(J492&gt;0,'_Engine'!C492&gt;0,MID('_Engine'!W492,WEEKDAY(J492,2),1)="W",COUNTIF(Settings!$F$18:$F$67,J492)=0),1,0),0)</ns0:f>
        <ns0:v>0</ns0:v>
      </ns0:c>
      <ns0:c r="AB492" s="0">
        <ns0:f>IFERROR(IF(AND(T492&gt;0,'_Engine'!C492&gt;0,MID('_Engine'!W492,WEEKDAY(T492,2),1)="W",COUNTIF(Settings!$F$18:$F$67,T492)=0),1,0),0)</ns0:f>
        <ns0:v>0</ns0:v>
      </ns0:c>
      <ns0:c r="AC492" s="0">
        <ns0:f>IF(AND(J492&gt;0,T492&gt;0,W492&lt;=X492),1,0)</ns0:f>
        <ns0:v>0</ns0:v>
      </ns0:c>
      <ns0:c r="AD492" s="0">
        <ns0:f>IF(AND(J492&gt;0,T492&gt;0,Y492&lt;=Z492),1,0)</ns0:f>
        <ns0:v>0</ns0:v>
      </ns0:c>
    </ns0:row>
    <ns0:row r="493">
      <ns0:c r="A493" s="0">
        <ns0:f>IFERROR(IF(ISNUMBER(Bookings!B493),"",TRIM(Bookings!B493&amp;"")),"")</ns0:f>
      </ns0:c>
      <ns0:c r="B493" s="0">
        <ns0:f>IFERROR(SUBSTITUTE(SUBSTITUTE(A493,"/","."),"-","."),"")</ns0:f>
      </ns0:c>
      <ns0:c r="C493" s="0">
        <ns0:f>IFERROR(LEFT(B493,FIND(".",B493)-1),"")</ns0:f>
      </ns0:c>
      <ns0:c r="D493" s="0">
        <ns0:f>IFERROR(MID(B493,FIND(".",B493)+1,FIND(".",B493,FIND(".",B493)+1)-FIND(".",B493)-1),"")</ns0:f>
      </ns0:c>
      <ns0:c r="E493" s="0">
        <ns0:f>IFERROR(MID(B493,FIND(".",B493,FIND(".",B493)+1)+1,99),"")</ns0:f>
        <ns0:v>99</ns0:v>
      </ns0:c>
      <ns0:c r="F493" s="0">
        <ns0:f>IFERROR(IF(FIND(".",B493)=5,--C493,--E493),0)</ns0:f>
        <ns0:v>0</ns0:v>
      </ns0:c>
      <ns0:c r="G493" s="0">
        <ns0:f>IFERROR(--D493,0)</ns0:f>
        <ns0:v>0</ns0:v>
      </ns0:c>
      <ns0:c r="H493" s="0">
        <ns0:f>IFERROR(IF(FIND(".",B493)=5,--E493,--C493),0)</ns0:f>
        <ns0:v>0</ns0:v>
      </ns0:c>
      <ns0:c r="I493" s="0">
        <ns0:f>IFERROR(IF(AND(F493&gt;=2000,F493&lt;=2100,G493&gt;=1,G493&lt;=12,H493&gt;=1,H493&lt;=31),DATE(F493,G493,H493),0),0)</ns0:f>
        <ns0:v>0</ns0:v>
      </ns0:c>
      <ns0:c r="J493" s="0">
        <ns0:f>IFERROR(IF(ISNUMBER(Bookings!B493),IF(AND(Bookings!B493=INT(Bookings!B493),Bookings!B493&gt;=DATE(2000,1,1),Bookings!B493&lt;=DATE(2100,12,31)),Bookings!B493,0),IF(AND(A493&lt;&gt;"",LEN("x"&amp;B493)-LEN(SUBSTITUTE("x"&amp;B493,".",""))=2,OR(1&gt;LEN(B493),MID(B493,1,1)=".",ISNUMBER(FIND("x"&amp;MID(B493,1,1),"x0x1x2x3x4x5x6x7x8x9"))),OR(2&gt;LEN(B493),MID(B493,2,1)=".",ISNUMBER(FIND("x"&amp;MID(B493,2,1),"x0x1x2x3x4x5x6x7x8x9"))),OR(3&gt;LEN(B493),MID(B493,3,1)=".",ISNUMBER(FIND("x"&amp;MID(B493,3,1),"x0x1x2x3x4x5x6x7x8x9"))),OR(4&gt;LEN(B493),MID(B493,4,1)=".",ISNUMBER(FIND("x"&amp;MID(B493,4,1),"x0x1x2x3x4x5x6x7x8x9"))),OR(5&gt;LEN(B493),MID(B493,5,1)=".",ISNUMBER(FIND("x"&amp;MID(B493,5,1),"x0x1x2x3x4x5x6x7x8x9"))),OR(6&gt;LEN(B493),MID(B493,6,1)=".",ISNUMBER(FIND("x"&amp;MID(B493,6,1),"x0x1x2x3x4x5x6x7x8x9"))),OR(7&gt;LEN(B493),MID(B493,7,1)=".",ISNUMBER(FIND("x"&amp;MID(B493,7,1),"x0x1x2x3x4x5x6x7x8x9"))),OR(8&gt;LEN(B493),MID(B493,8,1)=".",ISNUMBER(FIND("x"&amp;MID(B493,8,1),"x0x1x2x3x4x5x6x7x8x9"))),OR(9&gt;LEN(B493),MID(B493,9,1)=".",ISNUMBER(FIND("x"&amp;MID(B493,9,1),"x0x1x2x3x4x5x6x7x8x9"))),OR(10&gt;LEN(B493),MID(B493,10,1)=".",ISNUMBER(FIND("x"&amp;MID(B493,10,1),"x0x1x2x3x4x5x6x7x8x9"))),OR(AND(FIND(".",B493)=5,LEN(B493)-FIND(".",B493,FIND(".",B493)+1)&gt;=1,LEN(B493)-FIND(".",B493,FIND(".",B493)+1)&lt;=2),AND(LEN(B493)-FIND(".",B493,FIND(".",B493)+1)=4,FIND(".",B493)&gt;=2,FIND(".",B493)&lt;=3)),FIND(".",B493,FIND(".",B493)+1)-FIND(".",B493)&gt;=2,FIND(".",B493,FIND(".",B493)+1)-FIND(".",B493)&lt;=3,F493&gt;=2000,F493&lt;=2100,YEAR(I493)=F493,MONTH(I493)=G493,DAY(I493)=H493),I493,0)),0)</ns0:f>
        <ns0:v>0</ns0:v>
      </ns0:c>
      <ns0:c r="K493" s="0">
        <ns0:f>IFERROR(IF(ISNUMBER(Bookings!D493),"",TRIM(Bookings!D493&amp;"")),"")</ns0:f>
      </ns0:c>
      <ns0:c r="L493" s="0">
        <ns0:f>IFERROR(SUBSTITUTE(SUBSTITUTE(K493,"/","."),"-","."),"")</ns0:f>
      </ns0:c>
      <ns0:c r="M493" s="0">
        <ns0:f>IFERROR(LEFT(L493,FIND(".",L493)-1),"")</ns0:f>
      </ns0:c>
      <ns0:c r="N493" s="0">
        <ns0:f>IFERROR(MID(L493,FIND(".",L493)+1,FIND(".",L493,FIND(".",L493)+1)-FIND(".",L493)-1),"")</ns0:f>
      </ns0:c>
      <ns0:c r="O493" s="0">
        <ns0:f>IFERROR(MID(L493,FIND(".",L493,FIND(".",L493)+1)+1,99),"")</ns0:f>
        <ns0:v>99</ns0:v>
      </ns0:c>
      <ns0:c r="P493" s="0">
        <ns0:f>IFERROR(IF(FIND(".",L493)=5,--M493,--O493),0)</ns0:f>
        <ns0:v>0</ns0:v>
      </ns0:c>
      <ns0:c r="Q493" s="0">
        <ns0:f>IFERROR(--N493,0)</ns0:f>
        <ns0:v>0</ns0:v>
      </ns0:c>
      <ns0:c r="R493" s="0">
        <ns0:f>IFERROR(IF(FIND(".",L493)=5,--O493,--M493),0)</ns0:f>
        <ns0:v>0</ns0:v>
      </ns0:c>
      <ns0:c r="S493" s="0">
        <ns0:f>IFERROR(IF(AND(P493&gt;=2000,P493&lt;=2100,Q493&gt;=1,Q493&lt;=12,R493&gt;=1,R493&lt;=31),DATE(P493,Q493,R493),0),0)</ns0:f>
        <ns0:v>0</ns0:v>
      </ns0:c>
      <ns0:c r="T493" s="0">
        <ns0:f>IFERROR(IF(ISNUMBER(Bookings!D493),IF(AND(Bookings!D493=INT(Bookings!D493),Bookings!D493&gt;=DATE(2000,1,1),Bookings!D493&lt;=DATE(2100,12,31)),Bookings!D493,0),IF(AND(K493&lt;&gt;"",LEN("x"&amp;L493)-LEN(SUBSTITUTE("x"&amp;L493,".",""))=2,OR(1&gt;LEN(L493),MID(L493,1,1)=".",ISNUMBER(FIND("x"&amp;MID(L493,1,1),"x0x1x2x3x4x5x6x7x8x9"))),OR(2&gt;LEN(L493),MID(L493,2,1)=".",ISNUMBER(FIND("x"&amp;MID(L493,2,1),"x0x1x2x3x4x5x6x7x8x9"))),OR(3&gt;LEN(L493),MID(L493,3,1)=".",ISNUMBER(FIND("x"&amp;MID(L493,3,1),"x0x1x2x3x4x5x6x7x8x9"))),OR(4&gt;LEN(L493),MID(L493,4,1)=".",ISNUMBER(FIND("x"&amp;MID(L493,4,1),"x0x1x2x3x4x5x6x7x8x9"))),OR(5&gt;LEN(L493),MID(L493,5,1)=".",ISNUMBER(FIND("x"&amp;MID(L493,5,1),"x0x1x2x3x4x5x6x7x8x9"))),OR(6&gt;LEN(L493),MID(L493,6,1)=".",ISNUMBER(FIND("x"&amp;MID(L493,6,1),"x0x1x2x3x4x5x6x7x8x9"))),OR(7&gt;LEN(L493),MID(L493,7,1)=".",ISNUMBER(FIND("x"&amp;MID(L493,7,1),"x0x1x2x3x4x5x6x7x8x9"))),OR(8&gt;LEN(L493),MID(L493,8,1)=".",ISNUMBER(FIND("x"&amp;MID(L493,8,1),"x0x1x2x3x4x5x6x7x8x9"))),OR(9&gt;LEN(L493),MID(L493,9,1)=".",ISNUMBER(FIND("x"&amp;MID(L493,9,1),"x0x1x2x3x4x5x6x7x8x9"))),OR(10&gt;LEN(L493),MID(L493,10,1)=".",ISNUMBER(FIND("x"&amp;MID(L493,10,1),"x0x1x2x3x4x5x6x7x8x9"))),OR(AND(FIND(".",L493)=5,LEN(L493)-FIND(".",L493,FIND(".",L493)+1)&gt;=1,LEN(L493)-FIND(".",L493,FIND(".",L493)+1)&lt;=2),AND(LEN(L493)-FIND(".",L493,FIND(".",L493)+1)=4,FIND(".",L493)&gt;=2,FIND(".",L493)&lt;=3)),FIND(".",L493,FIND(".",L493)+1)-FIND(".",L493)&gt;=2,FIND(".",L493,FIND(".",L493)+1)-FIND(".",L493)&lt;=3,P493&gt;=2000,P493&lt;=2100,YEAR(S493)=P493,MONTH(S493)=Q493,DAY(S493)=R493),S493,0)),0)</ns0:f>
        <ns0:v>0</ns0:v>
      </ns0:c>
      <ns0:c r="U493" s="0" t="str">
        <ns0:f>IF(Bookings!C493="","Full day",Bookings!C493)</ns0:f>
        <ns0:v>Full day</ns0:v>
      </ns0:c>
      <ns0:c r="V493" s="0" t="str">
        <ns0:f>IF(Bookings!E493="","Full day",Bookings!E493)</ns0:f>
        <ns0:v>Full day</ns0:v>
      </ns0:c>
      <ns0:c r="W493" s="0">
        <ns0:f>IF(J493=0,0,J493+IF(U493="PM",1,0))</ns0:f>
        <ns0:v>0</ns0:v>
      </ns0:c>
      <ns0:c r="X493" s="0">
        <ns0:f>IF(T493=0,0,T493-IF(V493="PM",1,0))</ns0:f>
        <ns0:v>0</ns0:v>
      </ns0:c>
      <ns0:c r="Y493" s="0">
        <ns0:f>IF(J493=0,0,J493+IF(U493="AM",1,0))</ns0:f>
        <ns0:v>0</ns0:v>
      </ns0:c>
      <ns0:c r="Z493" s="0">
        <ns0:f>IF(T493=0,0,T493-IF(V493="AM",1,0))</ns0:f>
        <ns0:v>0</ns0:v>
      </ns0:c>
      <ns0:c r="AA493" s="0">
        <ns0:f>IFERROR(IF(AND(J493&gt;0,'_Engine'!C493&gt;0,MID('_Engine'!W493,WEEKDAY(J493,2),1)="W",COUNTIF(Settings!$F$18:$F$67,J493)=0),1,0),0)</ns0:f>
        <ns0:v>0</ns0:v>
      </ns0:c>
      <ns0:c r="AB493" s="0">
        <ns0:f>IFERROR(IF(AND(T493&gt;0,'_Engine'!C493&gt;0,MID('_Engine'!W493,WEEKDAY(T493,2),1)="W",COUNTIF(Settings!$F$18:$F$67,T493)=0),1,0),0)</ns0:f>
        <ns0:v>0</ns0:v>
      </ns0:c>
      <ns0:c r="AC493" s="0">
        <ns0:f>IF(AND(J493&gt;0,T493&gt;0,W493&lt;=X493),1,0)</ns0:f>
        <ns0:v>0</ns0:v>
      </ns0:c>
      <ns0:c r="AD493" s="0">
        <ns0:f>IF(AND(J493&gt;0,T493&gt;0,Y493&lt;=Z493),1,0)</ns0:f>
        <ns0:v>0</ns0:v>
      </ns0:c>
    </ns0:row>
    <ns0:row r="494">
      <ns0:c r="A494" s="0">
        <ns0:f>IFERROR(IF(ISNUMBER(Bookings!B494),"",TRIM(Bookings!B494&amp;"")),"")</ns0:f>
      </ns0:c>
      <ns0:c r="B494" s="0">
        <ns0:f>IFERROR(SUBSTITUTE(SUBSTITUTE(A494,"/","."),"-","."),"")</ns0:f>
      </ns0:c>
      <ns0:c r="C494" s="0">
        <ns0:f>IFERROR(LEFT(B494,FIND(".",B494)-1),"")</ns0:f>
      </ns0:c>
      <ns0:c r="D494" s="0">
        <ns0:f>IFERROR(MID(B494,FIND(".",B494)+1,FIND(".",B494,FIND(".",B494)+1)-FIND(".",B494)-1),"")</ns0:f>
      </ns0:c>
      <ns0:c r="E494" s="0">
        <ns0:f>IFERROR(MID(B494,FIND(".",B494,FIND(".",B494)+1)+1,99),"")</ns0:f>
        <ns0:v>99</ns0:v>
      </ns0:c>
      <ns0:c r="F494" s="0">
        <ns0:f>IFERROR(IF(FIND(".",B494)=5,--C494,--E494),0)</ns0:f>
        <ns0:v>0</ns0:v>
      </ns0:c>
      <ns0:c r="G494" s="0">
        <ns0:f>IFERROR(--D494,0)</ns0:f>
        <ns0:v>0</ns0:v>
      </ns0:c>
      <ns0:c r="H494" s="0">
        <ns0:f>IFERROR(IF(FIND(".",B494)=5,--E494,--C494),0)</ns0:f>
        <ns0:v>0</ns0:v>
      </ns0:c>
      <ns0:c r="I494" s="0">
        <ns0:f>IFERROR(IF(AND(F494&gt;=2000,F494&lt;=2100,G494&gt;=1,G494&lt;=12,H494&gt;=1,H494&lt;=31),DATE(F494,G494,H494),0),0)</ns0:f>
        <ns0:v>0</ns0:v>
      </ns0:c>
      <ns0:c r="J494" s="0">
        <ns0:f>IFERROR(IF(ISNUMBER(Bookings!B494),IF(AND(Bookings!B494=INT(Bookings!B494),Bookings!B494&gt;=DATE(2000,1,1),Bookings!B494&lt;=DATE(2100,12,31)),Bookings!B494,0),IF(AND(A494&lt;&gt;"",LEN("x"&amp;B494)-LEN(SUBSTITUTE("x"&amp;B494,".",""))=2,OR(1&gt;LEN(B494),MID(B494,1,1)=".",ISNUMBER(FIND("x"&amp;MID(B494,1,1),"x0x1x2x3x4x5x6x7x8x9"))),OR(2&gt;LEN(B494),MID(B494,2,1)=".",ISNUMBER(FIND("x"&amp;MID(B494,2,1),"x0x1x2x3x4x5x6x7x8x9"))),OR(3&gt;LEN(B494),MID(B494,3,1)=".",ISNUMBER(FIND("x"&amp;MID(B494,3,1),"x0x1x2x3x4x5x6x7x8x9"))),OR(4&gt;LEN(B494),MID(B494,4,1)=".",ISNUMBER(FIND("x"&amp;MID(B494,4,1),"x0x1x2x3x4x5x6x7x8x9"))),OR(5&gt;LEN(B494),MID(B494,5,1)=".",ISNUMBER(FIND("x"&amp;MID(B494,5,1),"x0x1x2x3x4x5x6x7x8x9"))),OR(6&gt;LEN(B494),MID(B494,6,1)=".",ISNUMBER(FIND("x"&amp;MID(B494,6,1),"x0x1x2x3x4x5x6x7x8x9"))),OR(7&gt;LEN(B494),MID(B494,7,1)=".",ISNUMBER(FIND("x"&amp;MID(B494,7,1),"x0x1x2x3x4x5x6x7x8x9"))),OR(8&gt;LEN(B494),MID(B494,8,1)=".",ISNUMBER(FIND("x"&amp;MID(B494,8,1),"x0x1x2x3x4x5x6x7x8x9"))),OR(9&gt;LEN(B494),MID(B494,9,1)=".",ISNUMBER(FIND("x"&amp;MID(B494,9,1),"x0x1x2x3x4x5x6x7x8x9"))),OR(10&gt;LEN(B494),MID(B494,10,1)=".",ISNUMBER(FIND("x"&amp;MID(B494,10,1),"x0x1x2x3x4x5x6x7x8x9"))),OR(AND(FIND(".",B494)=5,LEN(B494)-FIND(".",B494,FIND(".",B494)+1)&gt;=1,LEN(B494)-FIND(".",B494,FIND(".",B494)+1)&lt;=2),AND(LEN(B494)-FIND(".",B494,FIND(".",B494)+1)=4,FIND(".",B494)&gt;=2,FIND(".",B494)&lt;=3)),FIND(".",B494,FIND(".",B494)+1)-FIND(".",B494)&gt;=2,FIND(".",B494,FIND(".",B494)+1)-FIND(".",B494)&lt;=3,F494&gt;=2000,F494&lt;=2100,YEAR(I494)=F494,MONTH(I494)=G494,DAY(I494)=H494),I494,0)),0)</ns0:f>
        <ns0:v>0</ns0:v>
      </ns0:c>
      <ns0:c r="K494" s="0">
        <ns0:f>IFERROR(IF(ISNUMBER(Bookings!D494),"",TRIM(Bookings!D494&amp;"")),"")</ns0:f>
      </ns0:c>
      <ns0:c r="L494" s="0">
        <ns0:f>IFERROR(SUBSTITUTE(SUBSTITUTE(K494,"/","."),"-","."),"")</ns0:f>
      </ns0:c>
      <ns0:c r="M494" s="0">
        <ns0:f>IFERROR(LEFT(L494,FIND(".",L494)-1),"")</ns0:f>
      </ns0:c>
      <ns0:c r="N494" s="0">
        <ns0:f>IFERROR(MID(L494,FIND(".",L494)+1,FIND(".",L494,FIND(".",L494)+1)-FIND(".",L494)-1),"")</ns0:f>
      </ns0:c>
      <ns0:c r="O494" s="0">
        <ns0:f>IFERROR(MID(L494,FIND(".",L494,FIND(".",L494)+1)+1,99),"")</ns0:f>
        <ns0:v>99</ns0:v>
      </ns0:c>
      <ns0:c r="P494" s="0">
        <ns0:f>IFERROR(IF(FIND(".",L494)=5,--M494,--O494),0)</ns0:f>
        <ns0:v>0</ns0:v>
      </ns0:c>
      <ns0:c r="Q494" s="0">
        <ns0:f>IFERROR(--N494,0)</ns0:f>
        <ns0:v>0</ns0:v>
      </ns0:c>
      <ns0:c r="R494" s="0">
        <ns0:f>IFERROR(IF(FIND(".",L494)=5,--O494,--M494),0)</ns0:f>
        <ns0:v>0</ns0:v>
      </ns0:c>
      <ns0:c r="S494" s="0">
        <ns0:f>IFERROR(IF(AND(P494&gt;=2000,P494&lt;=2100,Q494&gt;=1,Q494&lt;=12,R494&gt;=1,R494&lt;=31),DATE(P494,Q494,R494),0),0)</ns0:f>
        <ns0:v>0</ns0:v>
      </ns0:c>
      <ns0:c r="T494" s="0">
        <ns0:f>IFERROR(IF(ISNUMBER(Bookings!D494),IF(AND(Bookings!D494=INT(Bookings!D494),Bookings!D494&gt;=DATE(2000,1,1),Bookings!D494&lt;=DATE(2100,12,31)),Bookings!D494,0),IF(AND(K494&lt;&gt;"",LEN("x"&amp;L494)-LEN(SUBSTITUTE("x"&amp;L494,".",""))=2,OR(1&gt;LEN(L494),MID(L494,1,1)=".",ISNUMBER(FIND("x"&amp;MID(L494,1,1),"x0x1x2x3x4x5x6x7x8x9"))),OR(2&gt;LEN(L494),MID(L494,2,1)=".",ISNUMBER(FIND("x"&amp;MID(L494,2,1),"x0x1x2x3x4x5x6x7x8x9"))),OR(3&gt;LEN(L494),MID(L494,3,1)=".",ISNUMBER(FIND("x"&amp;MID(L494,3,1),"x0x1x2x3x4x5x6x7x8x9"))),OR(4&gt;LEN(L494),MID(L494,4,1)=".",ISNUMBER(FIND("x"&amp;MID(L494,4,1),"x0x1x2x3x4x5x6x7x8x9"))),OR(5&gt;LEN(L494),MID(L494,5,1)=".",ISNUMBER(FIND("x"&amp;MID(L494,5,1),"x0x1x2x3x4x5x6x7x8x9"))),OR(6&gt;LEN(L494),MID(L494,6,1)=".",ISNUMBER(FIND("x"&amp;MID(L494,6,1),"x0x1x2x3x4x5x6x7x8x9"))),OR(7&gt;LEN(L494),MID(L494,7,1)=".",ISNUMBER(FIND("x"&amp;MID(L494,7,1),"x0x1x2x3x4x5x6x7x8x9"))),OR(8&gt;LEN(L494),MID(L494,8,1)=".",ISNUMBER(FIND("x"&amp;MID(L494,8,1),"x0x1x2x3x4x5x6x7x8x9"))),OR(9&gt;LEN(L494),MID(L494,9,1)=".",ISNUMBER(FIND("x"&amp;MID(L494,9,1),"x0x1x2x3x4x5x6x7x8x9"))),OR(10&gt;LEN(L494),MID(L494,10,1)=".",ISNUMBER(FIND("x"&amp;MID(L494,10,1),"x0x1x2x3x4x5x6x7x8x9"))),OR(AND(FIND(".",L494)=5,LEN(L494)-FIND(".",L494,FIND(".",L494)+1)&gt;=1,LEN(L494)-FIND(".",L494,FIND(".",L494)+1)&lt;=2),AND(LEN(L494)-FIND(".",L494,FIND(".",L494)+1)=4,FIND(".",L494)&gt;=2,FIND(".",L494)&lt;=3)),FIND(".",L494,FIND(".",L494)+1)-FIND(".",L494)&gt;=2,FIND(".",L494,FIND(".",L494)+1)-FIND(".",L494)&lt;=3,P494&gt;=2000,P494&lt;=2100,YEAR(S494)=P494,MONTH(S494)=Q494,DAY(S494)=R494),S494,0)),0)</ns0:f>
        <ns0:v>0</ns0:v>
      </ns0:c>
      <ns0:c r="U494" s="0" t="str">
        <ns0:f>IF(Bookings!C494="","Full day",Bookings!C494)</ns0:f>
        <ns0:v>Full day</ns0:v>
      </ns0:c>
      <ns0:c r="V494" s="0" t="str">
        <ns0:f>IF(Bookings!E494="","Full day",Bookings!E494)</ns0:f>
        <ns0:v>Full day</ns0:v>
      </ns0:c>
      <ns0:c r="W494" s="0">
        <ns0:f>IF(J494=0,0,J494+IF(U494="PM",1,0))</ns0:f>
        <ns0:v>0</ns0:v>
      </ns0:c>
      <ns0:c r="X494" s="0">
        <ns0:f>IF(T494=0,0,T494-IF(V494="PM",1,0))</ns0:f>
        <ns0:v>0</ns0:v>
      </ns0:c>
      <ns0:c r="Y494" s="0">
        <ns0:f>IF(J494=0,0,J494+IF(U494="AM",1,0))</ns0:f>
        <ns0:v>0</ns0:v>
      </ns0:c>
      <ns0:c r="Z494" s="0">
        <ns0:f>IF(T494=0,0,T494-IF(V494="AM",1,0))</ns0:f>
        <ns0:v>0</ns0:v>
      </ns0:c>
      <ns0:c r="AA494" s="0">
        <ns0:f>IFERROR(IF(AND(J494&gt;0,'_Engine'!C494&gt;0,MID('_Engine'!W494,WEEKDAY(J494,2),1)="W",COUNTIF(Settings!$F$18:$F$67,J494)=0),1,0),0)</ns0:f>
        <ns0:v>0</ns0:v>
      </ns0:c>
      <ns0:c r="AB494" s="0">
        <ns0:f>IFERROR(IF(AND(T494&gt;0,'_Engine'!C494&gt;0,MID('_Engine'!W494,WEEKDAY(T494,2),1)="W",COUNTIF(Settings!$F$18:$F$67,T494)=0),1,0),0)</ns0:f>
        <ns0:v>0</ns0:v>
      </ns0:c>
      <ns0:c r="AC494" s="0">
        <ns0:f>IF(AND(J494&gt;0,T494&gt;0,W494&lt;=X494),1,0)</ns0:f>
        <ns0:v>0</ns0:v>
      </ns0:c>
      <ns0:c r="AD494" s="0">
        <ns0:f>IF(AND(J494&gt;0,T494&gt;0,Y494&lt;=Z494),1,0)</ns0:f>
        <ns0:v>0</ns0:v>
      </ns0:c>
    </ns0:row>
    <ns0:row r="495">
      <ns0:c r="A495" s="0">
        <ns0:f>IFERROR(IF(ISNUMBER(Bookings!B495),"",TRIM(Bookings!B495&amp;"")),"")</ns0:f>
      </ns0:c>
      <ns0:c r="B495" s="0">
        <ns0:f>IFERROR(SUBSTITUTE(SUBSTITUTE(A495,"/","."),"-","."),"")</ns0:f>
      </ns0:c>
      <ns0:c r="C495" s="0">
        <ns0:f>IFERROR(LEFT(B495,FIND(".",B495)-1),"")</ns0:f>
      </ns0:c>
      <ns0:c r="D495" s="0">
        <ns0:f>IFERROR(MID(B495,FIND(".",B495)+1,FIND(".",B495,FIND(".",B495)+1)-FIND(".",B495)-1),"")</ns0:f>
      </ns0:c>
      <ns0:c r="E495" s="0">
        <ns0:f>IFERROR(MID(B495,FIND(".",B495,FIND(".",B495)+1)+1,99),"")</ns0:f>
        <ns0:v>99</ns0:v>
      </ns0:c>
      <ns0:c r="F495" s="0">
        <ns0:f>IFERROR(IF(FIND(".",B495)=5,--C495,--E495),0)</ns0:f>
        <ns0:v>0</ns0:v>
      </ns0:c>
      <ns0:c r="G495" s="0">
        <ns0:f>IFERROR(--D495,0)</ns0:f>
        <ns0:v>0</ns0:v>
      </ns0:c>
      <ns0:c r="H495" s="0">
        <ns0:f>IFERROR(IF(FIND(".",B495)=5,--E495,--C495),0)</ns0:f>
        <ns0:v>0</ns0:v>
      </ns0:c>
      <ns0:c r="I495" s="0">
        <ns0:f>IFERROR(IF(AND(F495&gt;=2000,F495&lt;=2100,G495&gt;=1,G495&lt;=12,H495&gt;=1,H495&lt;=31),DATE(F495,G495,H495),0),0)</ns0:f>
        <ns0:v>0</ns0:v>
      </ns0:c>
      <ns0:c r="J495" s="0">
        <ns0:f>IFERROR(IF(ISNUMBER(Bookings!B495),IF(AND(Bookings!B495=INT(Bookings!B495),Bookings!B495&gt;=DATE(2000,1,1),Bookings!B495&lt;=DATE(2100,12,31)),Bookings!B495,0),IF(AND(A495&lt;&gt;"",LEN("x"&amp;B495)-LEN(SUBSTITUTE("x"&amp;B495,".",""))=2,OR(1&gt;LEN(B495),MID(B495,1,1)=".",ISNUMBER(FIND("x"&amp;MID(B495,1,1),"x0x1x2x3x4x5x6x7x8x9"))),OR(2&gt;LEN(B495),MID(B495,2,1)=".",ISNUMBER(FIND("x"&amp;MID(B495,2,1),"x0x1x2x3x4x5x6x7x8x9"))),OR(3&gt;LEN(B495),MID(B495,3,1)=".",ISNUMBER(FIND("x"&amp;MID(B495,3,1),"x0x1x2x3x4x5x6x7x8x9"))),OR(4&gt;LEN(B495),MID(B495,4,1)=".",ISNUMBER(FIND("x"&amp;MID(B495,4,1),"x0x1x2x3x4x5x6x7x8x9"))),OR(5&gt;LEN(B495),MID(B495,5,1)=".",ISNUMBER(FIND("x"&amp;MID(B495,5,1),"x0x1x2x3x4x5x6x7x8x9"))),OR(6&gt;LEN(B495),MID(B495,6,1)=".",ISNUMBER(FIND("x"&amp;MID(B495,6,1),"x0x1x2x3x4x5x6x7x8x9"))),OR(7&gt;LEN(B495),MID(B495,7,1)=".",ISNUMBER(FIND("x"&amp;MID(B495,7,1),"x0x1x2x3x4x5x6x7x8x9"))),OR(8&gt;LEN(B495),MID(B495,8,1)=".",ISNUMBER(FIND("x"&amp;MID(B495,8,1),"x0x1x2x3x4x5x6x7x8x9"))),OR(9&gt;LEN(B495),MID(B495,9,1)=".",ISNUMBER(FIND("x"&amp;MID(B495,9,1),"x0x1x2x3x4x5x6x7x8x9"))),OR(10&gt;LEN(B495),MID(B495,10,1)=".",ISNUMBER(FIND("x"&amp;MID(B495,10,1),"x0x1x2x3x4x5x6x7x8x9"))),OR(AND(FIND(".",B495)=5,LEN(B495)-FIND(".",B495,FIND(".",B495)+1)&gt;=1,LEN(B495)-FIND(".",B495,FIND(".",B495)+1)&lt;=2),AND(LEN(B495)-FIND(".",B495,FIND(".",B495)+1)=4,FIND(".",B495)&gt;=2,FIND(".",B495)&lt;=3)),FIND(".",B495,FIND(".",B495)+1)-FIND(".",B495)&gt;=2,FIND(".",B495,FIND(".",B495)+1)-FIND(".",B495)&lt;=3,F495&gt;=2000,F495&lt;=2100,YEAR(I495)=F495,MONTH(I495)=G495,DAY(I495)=H495),I495,0)),0)</ns0:f>
        <ns0:v>0</ns0:v>
      </ns0:c>
      <ns0:c r="K495" s="0">
        <ns0:f>IFERROR(IF(ISNUMBER(Bookings!D495),"",TRIM(Bookings!D495&amp;"")),"")</ns0:f>
      </ns0:c>
      <ns0:c r="L495" s="0">
        <ns0:f>IFERROR(SUBSTITUTE(SUBSTITUTE(K495,"/","."),"-","."),"")</ns0:f>
      </ns0:c>
      <ns0:c r="M495" s="0">
        <ns0:f>IFERROR(LEFT(L495,FIND(".",L495)-1),"")</ns0:f>
      </ns0:c>
      <ns0:c r="N495" s="0">
        <ns0:f>IFERROR(MID(L495,FIND(".",L495)+1,FIND(".",L495,FIND(".",L495)+1)-FIND(".",L495)-1),"")</ns0:f>
      </ns0:c>
      <ns0:c r="O495" s="0">
        <ns0:f>IFERROR(MID(L495,FIND(".",L495,FIND(".",L495)+1)+1,99),"")</ns0:f>
        <ns0:v>99</ns0:v>
      </ns0:c>
      <ns0:c r="P495" s="0">
        <ns0:f>IFERROR(IF(FIND(".",L495)=5,--M495,--O495),0)</ns0:f>
        <ns0:v>0</ns0:v>
      </ns0:c>
      <ns0:c r="Q495" s="0">
        <ns0:f>IFERROR(--N495,0)</ns0:f>
        <ns0:v>0</ns0:v>
      </ns0:c>
      <ns0:c r="R495" s="0">
        <ns0:f>IFERROR(IF(FIND(".",L495)=5,--O495,--M495),0)</ns0:f>
        <ns0:v>0</ns0:v>
      </ns0:c>
      <ns0:c r="S495" s="0">
        <ns0:f>IFERROR(IF(AND(P495&gt;=2000,P495&lt;=2100,Q495&gt;=1,Q495&lt;=12,R495&gt;=1,R495&lt;=31),DATE(P495,Q495,R495),0),0)</ns0:f>
        <ns0:v>0</ns0:v>
      </ns0:c>
      <ns0:c r="T495" s="0">
        <ns0:f>IFERROR(IF(ISNUMBER(Bookings!D495),IF(AND(Bookings!D495=INT(Bookings!D495),Bookings!D495&gt;=DATE(2000,1,1),Bookings!D495&lt;=DATE(2100,12,31)),Bookings!D495,0),IF(AND(K495&lt;&gt;"",LEN("x"&amp;L495)-LEN(SUBSTITUTE("x"&amp;L495,".",""))=2,OR(1&gt;LEN(L495),MID(L495,1,1)=".",ISNUMBER(FIND("x"&amp;MID(L495,1,1),"x0x1x2x3x4x5x6x7x8x9"))),OR(2&gt;LEN(L495),MID(L495,2,1)=".",ISNUMBER(FIND("x"&amp;MID(L495,2,1),"x0x1x2x3x4x5x6x7x8x9"))),OR(3&gt;LEN(L495),MID(L495,3,1)=".",ISNUMBER(FIND("x"&amp;MID(L495,3,1),"x0x1x2x3x4x5x6x7x8x9"))),OR(4&gt;LEN(L495),MID(L495,4,1)=".",ISNUMBER(FIND("x"&amp;MID(L495,4,1),"x0x1x2x3x4x5x6x7x8x9"))),OR(5&gt;LEN(L495),MID(L495,5,1)=".",ISNUMBER(FIND("x"&amp;MID(L495,5,1),"x0x1x2x3x4x5x6x7x8x9"))),OR(6&gt;LEN(L495),MID(L495,6,1)=".",ISNUMBER(FIND("x"&amp;MID(L495,6,1),"x0x1x2x3x4x5x6x7x8x9"))),OR(7&gt;LEN(L495),MID(L495,7,1)=".",ISNUMBER(FIND("x"&amp;MID(L495,7,1),"x0x1x2x3x4x5x6x7x8x9"))),OR(8&gt;LEN(L495),MID(L495,8,1)=".",ISNUMBER(FIND("x"&amp;MID(L495,8,1),"x0x1x2x3x4x5x6x7x8x9"))),OR(9&gt;LEN(L495),MID(L495,9,1)=".",ISNUMBER(FIND("x"&amp;MID(L495,9,1),"x0x1x2x3x4x5x6x7x8x9"))),OR(10&gt;LEN(L495),MID(L495,10,1)=".",ISNUMBER(FIND("x"&amp;MID(L495,10,1),"x0x1x2x3x4x5x6x7x8x9"))),OR(AND(FIND(".",L495)=5,LEN(L495)-FIND(".",L495,FIND(".",L495)+1)&gt;=1,LEN(L495)-FIND(".",L495,FIND(".",L495)+1)&lt;=2),AND(LEN(L495)-FIND(".",L495,FIND(".",L495)+1)=4,FIND(".",L495)&gt;=2,FIND(".",L495)&lt;=3)),FIND(".",L495,FIND(".",L495)+1)-FIND(".",L495)&gt;=2,FIND(".",L495,FIND(".",L495)+1)-FIND(".",L495)&lt;=3,P495&gt;=2000,P495&lt;=2100,YEAR(S495)=P495,MONTH(S495)=Q495,DAY(S495)=R495),S495,0)),0)</ns0:f>
        <ns0:v>0</ns0:v>
      </ns0:c>
      <ns0:c r="U495" s="0" t="str">
        <ns0:f>IF(Bookings!C495="","Full day",Bookings!C495)</ns0:f>
        <ns0:v>Full day</ns0:v>
      </ns0:c>
      <ns0:c r="V495" s="0" t="str">
        <ns0:f>IF(Bookings!E495="","Full day",Bookings!E495)</ns0:f>
        <ns0:v>Full day</ns0:v>
      </ns0:c>
      <ns0:c r="W495" s="0">
        <ns0:f>IF(J495=0,0,J495+IF(U495="PM",1,0))</ns0:f>
        <ns0:v>0</ns0:v>
      </ns0:c>
      <ns0:c r="X495" s="0">
        <ns0:f>IF(T495=0,0,T495-IF(V495="PM",1,0))</ns0:f>
        <ns0:v>0</ns0:v>
      </ns0:c>
      <ns0:c r="Y495" s="0">
        <ns0:f>IF(J495=0,0,J495+IF(U495="AM",1,0))</ns0:f>
        <ns0:v>0</ns0:v>
      </ns0:c>
      <ns0:c r="Z495" s="0">
        <ns0:f>IF(T495=0,0,T495-IF(V495="AM",1,0))</ns0:f>
        <ns0:v>0</ns0:v>
      </ns0:c>
      <ns0:c r="AA495" s="0">
        <ns0:f>IFERROR(IF(AND(J495&gt;0,'_Engine'!C495&gt;0,MID('_Engine'!W495,WEEKDAY(J495,2),1)="W",COUNTIF(Settings!$F$18:$F$67,J495)=0),1,0),0)</ns0:f>
        <ns0:v>0</ns0:v>
      </ns0:c>
      <ns0:c r="AB495" s="0">
        <ns0:f>IFERROR(IF(AND(T495&gt;0,'_Engine'!C495&gt;0,MID('_Engine'!W495,WEEKDAY(T495,2),1)="W",COUNTIF(Settings!$F$18:$F$67,T495)=0),1,0),0)</ns0:f>
        <ns0:v>0</ns0:v>
      </ns0:c>
      <ns0:c r="AC495" s="0">
        <ns0:f>IF(AND(J495&gt;0,T495&gt;0,W495&lt;=X495),1,0)</ns0:f>
        <ns0:v>0</ns0:v>
      </ns0:c>
      <ns0:c r="AD495" s="0">
        <ns0:f>IF(AND(J495&gt;0,T495&gt;0,Y495&lt;=Z495),1,0)</ns0:f>
        <ns0:v>0</ns0:v>
      </ns0:c>
    </ns0:row>
    <ns0:row r="496">
      <ns0:c r="A496" s="0">
        <ns0:f>IFERROR(IF(ISNUMBER(Bookings!B496),"",TRIM(Bookings!B496&amp;"")),"")</ns0:f>
      </ns0:c>
      <ns0:c r="B496" s="0">
        <ns0:f>IFERROR(SUBSTITUTE(SUBSTITUTE(A496,"/","."),"-","."),"")</ns0:f>
      </ns0:c>
      <ns0:c r="C496" s="0">
        <ns0:f>IFERROR(LEFT(B496,FIND(".",B496)-1),"")</ns0:f>
      </ns0:c>
      <ns0:c r="D496" s="0">
        <ns0:f>IFERROR(MID(B496,FIND(".",B496)+1,FIND(".",B496,FIND(".",B496)+1)-FIND(".",B496)-1),"")</ns0:f>
      </ns0:c>
      <ns0:c r="E496" s="0">
        <ns0:f>IFERROR(MID(B496,FIND(".",B496,FIND(".",B496)+1)+1,99),"")</ns0:f>
        <ns0:v>99</ns0:v>
      </ns0:c>
      <ns0:c r="F496" s="0">
        <ns0:f>IFERROR(IF(FIND(".",B496)=5,--C496,--E496),0)</ns0:f>
        <ns0:v>0</ns0:v>
      </ns0:c>
      <ns0:c r="G496" s="0">
        <ns0:f>IFERROR(--D496,0)</ns0:f>
        <ns0:v>0</ns0:v>
      </ns0:c>
      <ns0:c r="H496" s="0">
        <ns0:f>IFERROR(IF(FIND(".",B496)=5,--E496,--C496),0)</ns0:f>
        <ns0:v>0</ns0:v>
      </ns0:c>
      <ns0:c r="I496" s="0">
        <ns0:f>IFERROR(IF(AND(F496&gt;=2000,F496&lt;=2100,G496&gt;=1,G496&lt;=12,H496&gt;=1,H496&lt;=31),DATE(F496,G496,H496),0),0)</ns0:f>
        <ns0:v>0</ns0:v>
      </ns0:c>
      <ns0:c r="J496" s="0">
        <ns0:f>IFERROR(IF(ISNUMBER(Bookings!B496),IF(AND(Bookings!B496=INT(Bookings!B496),Bookings!B496&gt;=DATE(2000,1,1),Bookings!B496&lt;=DATE(2100,12,31)),Bookings!B496,0),IF(AND(A496&lt;&gt;"",LEN("x"&amp;B496)-LEN(SUBSTITUTE("x"&amp;B496,".",""))=2,OR(1&gt;LEN(B496),MID(B496,1,1)=".",ISNUMBER(FIND("x"&amp;MID(B496,1,1),"x0x1x2x3x4x5x6x7x8x9"))),OR(2&gt;LEN(B496),MID(B496,2,1)=".",ISNUMBER(FIND("x"&amp;MID(B496,2,1),"x0x1x2x3x4x5x6x7x8x9"))),OR(3&gt;LEN(B496),MID(B496,3,1)=".",ISNUMBER(FIND("x"&amp;MID(B496,3,1),"x0x1x2x3x4x5x6x7x8x9"))),OR(4&gt;LEN(B496),MID(B496,4,1)=".",ISNUMBER(FIND("x"&amp;MID(B496,4,1),"x0x1x2x3x4x5x6x7x8x9"))),OR(5&gt;LEN(B496),MID(B496,5,1)=".",ISNUMBER(FIND("x"&amp;MID(B496,5,1),"x0x1x2x3x4x5x6x7x8x9"))),OR(6&gt;LEN(B496),MID(B496,6,1)=".",ISNUMBER(FIND("x"&amp;MID(B496,6,1),"x0x1x2x3x4x5x6x7x8x9"))),OR(7&gt;LEN(B496),MID(B496,7,1)=".",ISNUMBER(FIND("x"&amp;MID(B496,7,1),"x0x1x2x3x4x5x6x7x8x9"))),OR(8&gt;LEN(B496),MID(B496,8,1)=".",ISNUMBER(FIND("x"&amp;MID(B496,8,1),"x0x1x2x3x4x5x6x7x8x9"))),OR(9&gt;LEN(B496),MID(B496,9,1)=".",ISNUMBER(FIND("x"&amp;MID(B496,9,1),"x0x1x2x3x4x5x6x7x8x9"))),OR(10&gt;LEN(B496),MID(B496,10,1)=".",ISNUMBER(FIND("x"&amp;MID(B496,10,1),"x0x1x2x3x4x5x6x7x8x9"))),OR(AND(FIND(".",B496)=5,LEN(B496)-FIND(".",B496,FIND(".",B496)+1)&gt;=1,LEN(B496)-FIND(".",B496,FIND(".",B496)+1)&lt;=2),AND(LEN(B496)-FIND(".",B496,FIND(".",B496)+1)=4,FIND(".",B496)&gt;=2,FIND(".",B496)&lt;=3)),FIND(".",B496,FIND(".",B496)+1)-FIND(".",B496)&gt;=2,FIND(".",B496,FIND(".",B496)+1)-FIND(".",B496)&lt;=3,F496&gt;=2000,F496&lt;=2100,YEAR(I496)=F496,MONTH(I496)=G496,DAY(I496)=H496),I496,0)),0)</ns0:f>
        <ns0:v>0</ns0:v>
      </ns0:c>
      <ns0:c r="K496" s="0">
        <ns0:f>IFERROR(IF(ISNUMBER(Bookings!D496),"",TRIM(Bookings!D496&amp;"")),"")</ns0:f>
      </ns0:c>
      <ns0:c r="L496" s="0">
        <ns0:f>IFERROR(SUBSTITUTE(SUBSTITUTE(K496,"/","."),"-","."),"")</ns0:f>
      </ns0:c>
      <ns0:c r="M496" s="0">
        <ns0:f>IFERROR(LEFT(L496,FIND(".",L496)-1),"")</ns0:f>
      </ns0:c>
      <ns0:c r="N496" s="0">
        <ns0:f>IFERROR(MID(L496,FIND(".",L496)+1,FIND(".",L496,FIND(".",L496)+1)-FIND(".",L496)-1),"")</ns0:f>
      </ns0:c>
      <ns0:c r="O496" s="0">
        <ns0:f>IFERROR(MID(L496,FIND(".",L496,FIND(".",L496)+1)+1,99),"")</ns0:f>
        <ns0:v>99</ns0:v>
      </ns0:c>
      <ns0:c r="P496" s="0">
        <ns0:f>IFERROR(IF(FIND(".",L496)=5,--M496,--O496),0)</ns0:f>
        <ns0:v>0</ns0:v>
      </ns0:c>
      <ns0:c r="Q496" s="0">
        <ns0:f>IFERROR(--N496,0)</ns0:f>
        <ns0:v>0</ns0:v>
      </ns0:c>
      <ns0:c r="R496" s="0">
        <ns0:f>IFERROR(IF(FIND(".",L496)=5,--O496,--M496),0)</ns0:f>
        <ns0:v>0</ns0:v>
      </ns0:c>
      <ns0:c r="S496" s="0">
        <ns0:f>IFERROR(IF(AND(P496&gt;=2000,P496&lt;=2100,Q496&gt;=1,Q496&lt;=12,R496&gt;=1,R496&lt;=31),DATE(P496,Q496,R496),0),0)</ns0:f>
        <ns0:v>0</ns0:v>
      </ns0:c>
      <ns0:c r="T496" s="0">
        <ns0:f>IFERROR(IF(ISNUMBER(Bookings!D496),IF(AND(Bookings!D496=INT(Bookings!D496),Bookings!D496&gt;=DATE(2000,1,1),Bookings!D496&lt;=DATE(2100,12,31)),Bookings!D496,0),IF(AND(K496&lt;&gt;"",LEN("x"&amp;L496)-LEN(SUBSTITUTE("x"&amp;L496,".",""))=2,OR(1&gt;LEN(L496),MID(L496,1,1)=".",ISNUMBER(FIND("x"&amp;MID(L496,1,1),"x0x1x2x3x4x5x6x7x8x9"))),OR(2&gt;LEN(L496),MID(L496,2,1)=".",ISNUMBER(FIND("x"&amp;MID(L496,2,1),"x0x1x2x3x4x5x6x7x8x9"))),OR(3&gt;LEN(L496),MID(L496,3,1)=".",ISNUMBER(FIND("x"&amp;MID(L496,3,1),"x0x1x2x3x4x5x6x7x8x9"))),OR(4&gt;LEN(L496),MID(L496,4,1)=".",ISNUMBER(FIND("x"&amp;MID(L496,4,1),"x0x1x2x3x4x5x6x7x8x9"))),OR(5&gt;LEN(L496),MID(L496,5,1)=".",ISNUMBER(FIND("x"&amp;MID(L496,5,1),"x0x1x2x3x4x5x6x7x8x9"))),OR(6&gt;LEN(L496),MID(L496,6,1)=".",ISNUMBER(FIND("x"&amp;MID(L496,6,1),"x0x1x2x3x4x5x6x7x8x9"))),OR(7&gt;LEN(L496),MID(L496,7,1)=".",ISNUMBER(FIND("x"&amp;MID(L496,7,1),"x0x1x2x3x4x5x6x7x8x9"))),OR(8&gt;LEN(L496),MID(L496,8,1)=".",ISNUMBER(FIND("x"&amp;MID(L496,8,1),"x0x1x2x3x4x5x6x7x8x9"))),OR(9&gt;LEN(L496),MID(L496,9,1)=".",ISNUMBER(FIND("x"&amp;MID(L496,9,1),"x0x1x2x3x4x5x6x7x8x9"))),OR(10&gt;LEN(L496),MID(L496,10,1)=".",ISNUMBER(FIND("x"&amp;MID(L496,10,1),"x0x1x2x3x4x5x6x7x8x9"))),OR(AND(FIND(".",L496)=5,LEN(L496)-FIND(".",L496,FIND(".",L496)+1)&gt;=1,LEN(L496)-FIND(".",L496,FIND(".",L496)+1)&lt;=2),AND(LEN(L496)-FIND(".",L496,FIND(".",L496)+1)=4,FIND(".",L496)&gt;=2,FIND(".",L496)&lt;=3)),FIND(".",L496,FIND(".",L496)+1)-FIND(".",L496)&gt;=2,FIND(".",L496,FIND(".",L496)+1)-FIND(".",L496)&lt;=3,P496&gt;=2000,P496&lt;=2100,YEAR(S496)=P496,MONTH(S496)=Q496,DAY(S496)=R496),S496,0)),0)</ns0:f>
        <ns0:v>0</ns0:v>
      </ns0:c>
      <ns0:c r="U496" s="0" t="str">
        <ns0:f>IF(Bookings!C496="","Full day",Bookings!C496)</ns0:f>
        <ns0:v>Full day</ns0:v>
      </ns0:c>
      <ns0:c r="V496" s="0" t="str">
        <ns0:f>IF(Bookings!E496="","Full day",Bookings!E496)</ns0:f>
        <ns0:v>Full day</ns0:v>
      </ns0:c>
      <ns0:c r="W496" s="0">
        <ns0:f>IF(J496=0,0,J496+IF(U496="PM",1,0))</ns0:f>
        <ns0:v>0</ns0:v>
      </ns0:c>
      <ns0:c r="X496" s="0">
        <ns0:f>IF(T496=0,0,T496-IF(V496="PM",1,0))</ns0:f>
        <ns0:v>0</ns0:v>
      </ns0:c>
      <ns0:c r="Y496" s="0">
        <ns0:f>IF(J496=0,0,J496+IF(U496="AM",1,0))</ns0:f>
        <ns0:v>0</ns0:v>
      </ns0:c>
      <ns0:c r="Z496" s="0">
        <ns0:f>IF(T496=0,0,T496-IF(V496="AM",1,0))</ns0:f>
        <ns0:v>0</ns0:v>
      </ns0:c>
      <ns0:c r="AA496" s="0">
        <ns0:f>IFERROR(IF(AND(J496&gt;0,'_Engine'!C496&gt;0,MID('_Engine'!W496,WEEKDAY(J496,2),1)="W",COUNTIF(Settings!$F$18:$F$67,J496)=0),1,0),0)</ns0:f>
        <ns0:v>0</ns0:v>
      </ns0:c>
      <ns0:c r="AB496" s="0">
        <ns0:f>IFERROR(IF(AND(T496&gt;0,'_Engine'!C496&gt;0,MID('_Engine'!W496,WEEKDAY(T496,2),1)="W",COUNTIF(Settings!$F$18:$F$67,T496)=0),1,0),0)</ns0:f>
        <ns0:v>0</ns0:v>
      </ns0:c>
      <ns0:c r="AC496" s="0">
        <ns0:f>IF(AND(J496&gt;0,T496&gt;0,W496&lt;=X496),1,0)</ns0:f>
        <ns0:v>0</ns0:v>
      </ns0:c>
      <ns0:c r="AD496" s="0">
        <ns0:f>IF(AND(J496&gt;0,T496&gt;0,Y496&lt;=Z496),1,0)</ns0:f>
        <ns0:v>0</ns0:v>
      </ns0:c>
    </ns0:row>
    <ns0:row r="497">
      <ns0:c r="A497" s="0">
        <ns0:f>IFERROR(IF(ISNUMBER(Bookings!B497),"",TRIM(Bookings!B497&amp;"")),"")</ns0:f>
      </ns0:c>
      <ns0:c r="B497" s="0">
        <ns0:f>IFERROR(SUBSTITUTE(SUBSTITUTE(A497,"/","."),"-","."),"")</ns0:f>
      </ns0:c>
      <ns0:c r="C497" s="0">
        <ns0:f>IFERROR(LEFT(B497,FIND(".",B497)-1),"")</ns0:f>
      </ns0:c>
      <ns0:c r="D497" s="0">
        <ns0:f>IFERROR(MID(B497,FIND(".",B497)+1,FIND(".",B497,FIND(".",B497)+1)-FIND(".",B497)-1),"")</ns0:f>
      </ns0:c>
      <ns0:c r="E497" s="0">
        <ns0:f>IFERROR(MID(B497,FIND(".",B497,FIND(".",B497)+1)+1,99),"")</ns0:f>
        <ns0:v>99</ns0:v>
      </ns0:c>
      <ns0:c r="F497" s="0">
        <ns0:f>IFERROR(IF(FIND(".",B497)=5,--C497,--E497),0)</ns0:f>
        <ns0:v>0</ns0:v>
      </ns0:c>
      <ns0:c r="G497" s="0">
        <ns0:f>IFERROR(--D497,0)</ns0:f>
        <ns0:v>0</ns0:v>
      </ns0:c>
      <ns0:c r="H497" s="0">
        <ns0:f>IFERROR(IF(FIND(".",B497)=5,--E497,--C497),0)</ns0:f>
        <ns0:v>0</ns0:v>
      </ns0:c>
      <ns0:c r="I497" s="0">
        <ns0:f>IFERROR(IF(AND(F497&gt;=2000,F497&lt;=2100,G497&gt;=1,G497&lt;=12,H497&gt;=1,H497&lt;=31),DATE(F497,G497,H497),0),0)</ns0:f>
        <ns0:v>0</ns0:v>
      </ns0:c>
      <ns0:c r="J497" s="0">
        <ns0:f>IFERROR(IF(ISNUMBER(Bookings!B497),IF(AND(Bookings!B497=INT(Bookings!B497),Bookings!B497&gt;=DATE(2000,1,1),Bookings!B497&lt;=DATE(2100,12,31)),Bookings!B497,0),IF(AND(A497&lt;&gt;"",LEN("x"&amp;B497)-LEN(SUBSTITUTE("x"&amp;B497,".",""))=2,OR(1&gt;LEN(B497),MID(B497,1,1)=".",ISNUMBER(FIND("x"&amp;MID(B497,1,1),"x0x1x2x3x4x5x6x7x8x9"))),OR(2&gt;LEN(B497),MID(B497,2,1)=".",ISNUMBER(FIND("x"&amp;MID(B497,2,1),"x0x1x2x3x4x5x6x7x8x9"))),OR(3&gt;LEN(B497),MID(B497,3,1)=".",ISNUMBER(FIND("x"&amp;MID(B497,3,1),"x0x1x2x3x4x5x6x7x8x9"))),OR(4&gt;LEN(B497),MID(B497,4,1)=".",ISNUMBER(FIND("x"&amp;MID(B497,4,1),"x0x1x2x3x4x5x6x7x8x9"))),OR(5&gt;LEN(B497),MID(B497,5,1)=".",ISNUMBER(FIND("x"&amp;MID(B497,5,1),"x0x1x2x3x4x5x6x7x8x9"))),OR(6&gt;LEN(B497),MID(B497,6,1)=".",ISNUMBER(FIND("x"&amp;MID(B497,6,1),"x0x1x2x3x4x5x6x7x8x9"))),OR(7&gt;LEN(B497),MID(B497,7,1)=".",ISNUMBER(FIND("x"&amp;MID(B497,7,1),"x0x1x2x3x4x5x6x7x8x9"))),OR(8&gt;LEN(B497),MID(B497,8,1)=".",ISNUMBER(FIND("x"&amp;MID(B497,8,1),"x0x1x2x3x4x5x6x7x8x9"))),OR(9&gt;LEN(B497),MID(B497,9,1)=".",ISNUMBER(FIND("x"&amp;MID(B497,9,1),"x0x1x2x3x4x5x6x7x8x9"))),OR(10&gt;LEN(B497),MID(B497,10,1)=".",ISNUMBER(FIND("x"&amp;MID(B497,10,1),"x0x1x2x3x4x5x6x7x8x9"))),OR(AND(FIND(".",B497)=5,LEN(B497)-FIND(".",B497,FIND(".",B497)+1)&gt;=1,LEN(B497)-FIND(".",B497,FIND(".",B497)+1)&lt;=2),AND(LEN(B497)-FIND(".",B497,FIND(".",B497)+1)=4,FIND(".",B497)&gt;=2,FIND(".",B497)&lt;=3)),FIND(".",B497,FIND(".",B497)+1)-FIND(".",B497)&gt;=2,FIND(".",B497,FIND(".",B497)+1)-FIND(".",B497)&lt;=3,F497&gt;=2000,F497&lt;=2100,YEAR(I497)=F497,MONTH(I497)=G497,DAY(I497)=H497),I497,0)),0)</ns0:f>
        <ns0:v>0</ns0:v>
      </ns0:c>
      <ns0:c r="K497" s="0">
        <ns0:f>IFERROR(IF(ISNUMBER(Bookings!D497),"",TRIM(Bookings!D497&amp;"")),"")</ns0:f>
      </ns0:c>
      <ns0:c r="L497" s="0">
        <ns0:f>IFERROR(SUBSTITUTE(SUBSTITUTE(K497,"/","."),"-","."),"")</ns0:f>
      </ns0:c>
      <ns0:c r="M497" s="0">
        <ns0:f>IFERROR(LEFT(L497,FIND(".",L497)-1),"")</ns0:f>
      </ns0:c>
      <ns0:c r="N497" s="0">
        <ns0:f>IFERROR(MID(L497,FIND(".",L497)+1,FIND(".",L497,FIND(".",L497)+1)-FIND(".",L497)-1),"")</ns0:f>
      </ns0:c>
      <ns0:c r="O497" s="0">
        <ns0:f>IFERROR(MID(L497,FIND(".",L497,FIND(".",L497)+1)+1,99),"")</ns0:f>
        <ns0:v>99</ns0:v>
      </ns0:c>
      <ns0:c r="P497" s="0">
        <ns0:f>IFERROR(IF(FIND(".",L497)=5,--M497,--O497),0)</ns0:f>
        <ns0:v>0</ns0:v>
      </ns0:c>
      <ns0:c r="Q497" s="0">
        <ns0:f>IFERROR(--N497,0)</ns0:f>
        <ns0:v>0</ns0:v>
      </ns0:c>
      <ns0:c r="R497" s="0">
        <ns0:f>IFERROR(IF(FIND(".",L497)=5,--O497,--M497),0)</ns0:f>
        <ns0:v>0</ns0:v>
      </ns0:c>
      <ns0:c r="S497" s="0">
        <ns0:f>IFERROR(IF(AND(P497&gt;=2000,P497&lt;=2100,Q497&gt;=1,Q497&lt;=12,R497&gt;=1,R497&lt;=31),DATE(P497,Q497,R497),0),0)</ns0:f>
        <ns0:v>0</ns0:v>
      </ns0:c>
      <ns0:c r="T497" s="0">
        <ns0:f>IFERROR(IF(ISNUMBER(Bookings!D497),IF(AND(Bookings!D497=INT(Bookings!D497),Bookings!D497&gt;=DATE(2000,1,1),Bookings!D497&lt;=DATE(2100,12,31)),Bookings!D497,0),IF(AND(K497&lt;&gt;"",LEN("x"&amp;L497)-LEN(SUBSTITUTE("x"&amp;L497,".",""))=2,OR(1&gt;LEN(L497),MID(L497,1,1)=".",ISNUMBER(FIND("x"&amp;MID(L497,1,1),"x0x1x2x3x4x5x6x7x8x9"))),OR(2&gt;LEN(L497),MID(L497,2,1)=".",ISNUMBER(FIND("x"&amp;MID(L497,2,1),"x0x1x2x3x4x5x6x7x8x9"))),OR(3&gt;LEN(L497),MID(L497,3,1)=".",ISNUMBER(FIND("x"&amp;MID(L497,3,1),"x0x1x2x3x4x5x6x7x8x9"))),OR(4&gt;LEN(L497),MID(L497,4,1)=".",ISNUMBER(FIND("x"&amp;MID(L497,4,1),"x0x1x2x3x4x5x6x7x8x9"))),OR(5&gt;LEN(L497),MID(L497,5,1)=".",ISNUMBER(FIND("x"&amp;MID(L497,5,1),"x0x1x2x3x4x5x6x7x8x9"))),OR(6&gt;LEN(L497),MID(L497,6,1)=".",ISNUMBER(FIND("x"&amp;MID(L497,6,1),"x0x1x2x3x4x5x6x7x8x9"))),OR(7&gt;LEN(L497),MID(L497,7,1)=".",ISNUMBER(FIND("x"&amp;MID(L497,7,1),"x0x1x2x3x4x5x6x7x8x9"))),OR(8&gt;LEN(L497),MID(L497,8,1)=".",ISNUMBER(FIND("x"&amp;MID(L497,8,1),"x0x1x2x3x4x5x6x7x8x9"))),OR(9&gt;LEN(L497),MID(L497,9,1)=".",ISNUMBER(FIND("x"&amp;MID(L497,9,1),"x0x1x2x3x4x5x6x7x8x9"))),OR(10&gt;LEN(L497),MID(L497,10,1)=".",ISNUMBER(FIND("x"&amp;MID(L497,10,1),"x0x1x2x3x4x5x6x7x8x9"))),OR(AND(FIND(".",L497)=5,LEN(L497)-FIND(".",L497,FIND(".",L497)+1)&gt;=1,LEN(L497)-FIND(".",L497,FIND(".",L497)+1)&lt;=2),AND(LEN(L497)-FIND(".",L497,FIND(".",L497)+1)=4,FIND(".",L497)&gt;=2,FIND(".",L497)&lt;=3)),FIND(".",L497,FIND(".",L497)+1)-FIND(".",L497)&gt;=2,FIND(".",L497,FIND(".",L497)+1)-FIND(".",L497)&lt;=3,P497&gt;=2000,P497&lt;=2100,YEAR(S497)=P497,MONTH(S497)=Q497,DAY(S497)=R497),S497,0)),0)</ns0:f>
        <ns0:v>0</ns0:v>
      </ns0:c>
      <ns0:c r="U497" s="0" t="str">
        <ns0:f>IF(Bookings!C497="","Full day",Bookings!C497)</ns0:f>
        <ns0:v>Full day</ns0:v>
      </ns0:c>
      <ns0:c r="V497" s="0" t="str">
        <ns0:f>IF(Bookings!E497="","Full day",Bookings!E497)</ns0:f>
        <ns0:v>Full day</ns0:v>
      </ns0:c>
      <ns0:c r="W497" s="0">
        <ns0:f>IF(J497=0,0,J497+IF(U497="PM",1,0))</ns0:f>
        <ns0:v>0</ns0:v>
      </ns0:c>
      <ns0:c r="X497" s="0">
        <ns0:f>IF(T497=0,0,T497-IF(V497="PM",1,0))</ns0:f>
        <ns0:v>0</ns0:v>
      </ns0:c>
      <ns0:c r="Y497" s="0">
        <ns0:f>IF(J497=0,0,J497+IF(U497="AM",1,0))</ns0:f>
        <ns0:v>0</ns0:v>
      </ns0:c>
      <ns0:c r="Z497" s="0">
        <ns0:f>IF(T497=0,0,T497-IF(V497="AM",1,0))</ns0:f>
        <ns0:v>0</ns0:v>
      </ns0:c>
      <ns0:c r="AA497" s="0">
        <ns0:f>IFERROR(IF(AND(J497&gt;0,'_Engine'!C497&gt;0,MID('_Engine'!W497,WEEKDAY(J497,2),1)="W",COUNTIF(Settings!$F$18:$F$67,J497)=0),1,0),0)</ns0:f>
        <ns0:v>0</ns0:v>
      </ns0:c>
      <ns0:c r="AB497" s="0">
        <ns0:f>IFERROR(IF(AND(T497&gt;0,'_Engine'!C497&gt;0,MID('_Engine'!W497,WEEKDAY(T497,2),1)="W",COUNTIF(Settings!$F$18:$F$67,T497)=0),1,0),0)</ns0:f>
        <ns0:v>0</ns0:v>
      </ns0:c>
      <ns0:c r="AC497" s="0">
        <ns0:f>IF(AND(J497&gt;0,T497&gt;0,W497&lt;=X497),1,0)</ns0:f>
        <ns0:v>0</ns0:v>
      </ns0:c>
      <ns0:c r="AD497" s="0">
        <ns0:f>IF(AND(J497&gt;0,T497&gt;0,Y497&lt;=Z497),1,0)</ns0:f>
        <ns0:v>0</ns0:v>
      </ns0:c>
    </ns0:row>
    <ns0:row r="498">
      <ns0:c r="A498" s="0">
        <ns0:f>IFERROR(IF(ISNUMBER(Bookings!B498),"",TRIM(Bookings!B498&amp;"")),"")</ns0:f>
      </ns0:c>
      <ns0:c r="B498" s="0">
        <ns0:f>IFERROR(SUBSTITUTE(SUBSTITUTE(A498,"/","."),"-","."),"")</ns0:f>
      </ns0:c>
      <ns0:c r="C498" s="0">
        <ns0:f>IFERROR(LEFT(B498,FIND(".",B498)-1),"")</ns0:f>
      </ns0:c>
      <ns0:c r="D498" s="0">
        <ns0:f>IFERROR(MID(B498,FIND(".",B498)+1,FIND(".",B498,FIND(".",B498)+1)-FIND(".",B498)-1),"")</ns0:f>
      </ns0:c>
      <ns0:c r="E498" s="0">
        <ns0:f>IFERROR(MID(B498,FIND(".",B498,FIND(".",B498)+1)+1,99),"")</ns0:f>
        <ns0:v>99</ns0:v>
      </ns0:c>
      <ns0:c r="F498" s="0">
        <ns0:f>IFERROR(IF(FIND(".",B498)=5,--C498,--E498),0)</ns0:f>
        <ns0:v>0</ns0:v>
      </ns0:c>
      <ns0:c r="G498" s="0">
        <ns0:f>IFERROR(--D498,0)</ns0:f>
        <ns0:v>0</ns0:v>
      </ns0:c>
      <ns0:c r="H498" s="0">
        <ns0:f>IFERROR(IF(FIND(".",B498)=5,--E498,--C498),0)</ns0:f>
        <ns0:v>0</ns0:v>
      </ns0:c>
      <ns0:c r="I498" s="0">
        <ns0:f>IFERROR(IF(AND(F498&gt;=2000,F498&lt;=2100,G498&gt;=1,G498&lt;=12,H498&gt;=1,H498&lt;=31),DATE(F498,G498,H498),0),0)</ns0:f>
        <ns0:v>0</ns0:v>
      </ns0:c>
      <ns0:c r="J498" s="0">
        <ns0:f>IFERROR(IF(ISNUMBER(Bookings!B498),IF(AND(Bookings!B498=INT(Bookings!B498),Bookings!B498&gt;=DATE(2000,1,1),Bookings!B498&lt;=DATE(2100,12,31)),Bookings!B498,0),IF(AND(A498&lt;&gt;"",LEN("x"&amp;B498)-LEN(SUBSTITUTE("x"&amp;B498,".",""))=2,OR(1&gt;LEN(B498),MID(B498,1,1)=".",ISNUMBER(FIND("x"&amp;MID(B498,1,1),"x0x1x2x3x4x5x6x7x8x9"))),OR(2&gt;LEN(B498),MID(B498,2,1)=".",ISNUMBER(FIND("x"&amp;MID(B498,2,1),"x0x1x2x3x4x5x6x7x8x9"))),OR(3&gt;LEN(B498),MID(B498,3,1)=".",ISNUMBER(FIND("x"&amp;MID(B498,3,1),"x0x1x2x3x4x5x6x7x8x9"))),OR(4&gt;LEN(B498),MID(B498,4,1)=".",ISNUMBER(FIND("x"&amp;MID(B498,4,1),"x0x1x2x3x4x5x6x7x8x9"))),OR(5&gt;LEN(B498),MID(B498,5,1)=".",ISNUMBER(FIND("x"&amp;MID(B498,5,1),"x0x1x2x3x4x5x6x7x8x9"))),OR(6&gt;LEN(B498),MID(B498,6,1)=".",ISNUMBER(FIND("x"&amp;MID(B498,6,1),"x0x1x2x3x4x5x6x7x8x9"))),OR(7&gt;LEN(B498),MID(B498,7,1)=".",ISNUMBER(FIND("x"&amp;MID(B498,7,1),"x0x1x2x3x4x5x6x7x8x9"))),OR(8&gt;LEN(B498),MID(B498,8,1)=".",ISNUMBER(FIND("x"&amp;MID(B498,8,1),"x0x1x2x3x4x5x6x7x8x9"))),OR(9&gt;LEN(B498),MID(B498,9,1)=".",ISNUMBER(FIND("x"&amp;MID(B498,9,1),"x0x1x2x3x4x5x6x7x8x9"))),OR(10&gt;LEN(B498),MID(B498,10,1)=".",ISNUMBER(FIND("x"&amp;MID(B498,10,1),"x0x1x2x3x4x5x6x7x8x9"))),OR(AND(FIND(".",B498)=5,LEN(B498)-FIND(".",B498,FIND(".",B498)+1)&gt;=1,LEN(B498)-FIND(".",B498,FIND(".",B498)+1)&lt;=2),AND(LEN(B498)-FIND(".",B498,FIND(".",B498)+1)=4,FIND(".",B498)&gt;=2,FIND(".",B498)&lt;=3)),FIND(".",B498,FIND(".",B498)+1)-FIND(".",B498)&gt;=2,FIND(".",B498,FIND(".",B498)+1)-FIND(".",B498)&lt;=3,F498&gt;=2000,F498&lt;=2100,YEAR(I498)=F498,MONTH(I498)=G498,DAY(I498)=H498),I498,0)),0)</ns0:f>
        <ns0:v>0</ns0:v>
      </ns0:c>
      <ns0:c r="K498" s="0">
        <ns0:f>IFERROR(IF(ISNUMBER(Bookings!D498),"",TRIM(Bookings!D498&amp;"")),"")</ns0:f>
      </ns0:c>
      <ns0:c r="L498" s="0">
        <ns0:f>IFERROR(SUBSTITUTE(SUBSTITUTE(K498,"/","."),"-","."),"")</ns0:f>
      </ns0:c>
      <ns0:c r="M498" s="0">
        <ns0:f>IFERROR(LEFT(L498,FIND(".",L498)-1),"")</ns0:f>
      </ns0:c>
      <ns0:c r="N498" s="0">
        <ns0:f>IFERROR(MID(L498,FIND(".",L498)+1,FIND(".",L498,FIND(".",L498)+1)-FIND(".",L498)-1),"")</ns0:f>
      </ns0:c>
      <ns0:c r="O498" s="0">
        <ns0:f>IFERROR(MID(L498,FIND(".",L498,FIND(".",L498)+1)+1,99),"")</ns0:f>
        <ns0:v>99</ns0:v>
      </ns0:c>
      <ns0:c r="P498" s="0">
        <ns0:f>IFERROR(IF(FIND(".",L498)=5,--M498,--O498),0)</ns0:f>
        <ns0:v>0</ns0:v>
      </ns0:c>
      <ns0:c r="Q498" s="0">
        <ns0:f>IFERROR(--N498,0)</ns0:f>
        <ns0:v>0</ns0:v>
      </ns0:c>
      <ns0:c r="R498" s="0">
        <ns0:f>IFERROR(IF(FIND(".",L498)=5,--O498,--M498),0)</ns0:f>
        <ns0:v>0</ns0:v>
      </ns0:c>
      <ns0:c r="S498" s="0">
        <ns0:f>IFERROR(IF(AND(P498&gt;=2000,P498&lt;=2100,Q498&gt;=1,Q498&lt;=12,R498&gt;=1,R498&lt;=31),DATE(P498,Q498,R498),0),0)</ns0:f>
        <ns0:v>0</ns0:v>
      </ns0:c>
      <ns0:c r="T498" s="0">
        <ns0:f>IFERROR(IF(ISNUMBER(Bookings!D498),IF(AND(Bookings!D498=INT(Bookings!D498),Bookings!D498&gt;=DATE(2000,1,1),Bookings!D498&lt;=DATE(2100,12,31)),Bookings!D498,0),IF(AND(K498&lt;&gt;"",LEN("x"&amp;L498)-LEN(SUBSTITUTE("x"&amp;L498,".",""))=2,OR(1&gt;LEN(L498),MID(L498,1,1)=".",ISNUMBER(FIND("x"&amp;MID(L498,1,1),"x0x1x2x3x4x5x6x7x8x9"))),OR(2&gt;LEN(L498),MID(L498,2,1)=".",ISNUMBER(FIND("x"&amp;MID(L498,2,1),"x0x1x2x3x4x5x6x7x8x9"))),OR(3&gt;LEN(L498),MID(L498,3,1)=".",ISNUMBER(FIND("x"&amp;MID(L498,3,1),"x0x1x2x3x4x5x6x7x8x9"))),OR(4&gt;LEN(L498),MID(L498,4,1)=".",ISNUMBER(FIND("x"&amp;MID(L498,4,1),"x0x1x2x3x4x5x6x7x8x9"))),OR(5&gt;LEN(L498),MID(L498,5,1)=".",ISNUMBER(FIND("x"&amp;MID(L498,5,1),"x0x1x2x3x4x5x6x7x8x9"))),OR(6&gt;LEN(L498),MID(L498,6,1)=".",ISNUMBER(FIND("x"&amp;MID(L498,6,1),"x0x1x2x3x4x5x6x7x8x9"))),OR(7&gt;LEN(L498),MID(L498,7,1)=".",ISNUMBER(FIND("x"&amp;MID(L498,7,1),"x0x1x2x3x4x5x6x7x8x9"))),OR(8&gt;LEN(L498),MID(L498,8,1)=".",ISNUMBER(FIND("x"&amp;MID(L498,8,1),"x0x1x2x3x4x5x6x7x8x9"))),OR(9&gt;LEN(L498),MID(L498,9,1)=".",ISNUMBER(FIND("x"&amp;MID(L498,9,1),"x0x1x2x3x4x5x6x7x8x9"))),OR(10&gt;LEN(L498),MID(L498,10,1)=".",ISNUMBER(FIND("x"&amp;MID(L498,10,1),"x0x1x2x3x4x5x6x7x8x9"))),OR(AND(FIND(".",L498)=5,LEN(L498)-FIND(".",L498,FIND(".",L498)+1)&gt;=1,LEN(L498)-FIND(".",L498,FIND(".",L498)+1)&lt;=2),AND(LEN(L498)-FIND(".",L498,FIND(".",L498)+1)=4,FIND(".",L498)&gt;=2,FIND(".",L498)&lt;=3)),FIND(".",L498,FIND(".",L498)+1)-FIND(".",L498)&gt;=2,FIND(".",L498,FIND(".",L498)+1)-FIND(".",L498)&lt;=3,P498&gt;=2000,P498&lt;=2100,YEAR(S498)=P498,MONTH(S498)=Q498,DAY(S498)=R498),S498,0)),0)</ns0:f>
        <ns0:v>0</ns0:v>
      </ns0:c>
      <ns0:c r="U498" s="0" t="str">
        <ns0:f>IF(Bookings!C498="","Full day",Bookings!C498)</ns0:f>
        <ns0:v>Full day</ns0:v>
      </ns0:c>
      <ns0:c r="V498" s="0" t="str">
        <ns0:f>IF(Bookings!E498="","Full day",Bookings!E498)</ns0:f>
        <ns0:v>Full day</ns0:v>
      </ns0:c>
      <ns0:c r="W498" s="0">
        <ns0:f>IF(J498=0,0,J498+IF(U498="PM",1,0))</ns0:f>
        <ns0:v>0</ns0:v>
      </ns0:c>
      <ns0:c r="X498" s="0">
        <ns0:f>IF(T498=0,0,T498-IF(V498="PM",1,0))</ns0:f>
        <ns0:v>0</ns0:v>
      </ns0:c>
      <ns0:c r="Y498" s="0">
        <ns0:f>IF(J498=0,0,J498+IF(U498="AM",1,0))</ns0:f>
        <ns0:v>0</ns0:v>
      </ns0:c>
      <ns0:c r="Z498" s="0">
        <ns0:f>IF(T498=0,0,T498-IF(V498="AM",1,0))</ns0:f>
        <ns0:v>0</ns0:v>
      </ns0:c>
      <ns0:c r="AA498" s="0">
        <ns0:f>IFERROR(IF(AND(J498&gt;0,'_Engine'!C498&gt;0,MID('_Engine'!W498,WEEKDAY(J498,2),1)="W",COUNTIF(Settings!$F$18:$F$67,J498)=0),1,0),0)</ns0:f>
        <ns0:v>0</ns0:v>
      </ns0:c>
      <ns0:c r="AB498" s="0">
        <ns0:f>IFERROR(IF(AND(T498&gt;0,'_Engine'!C498&gt;0,MID('_Engine'!W498,WEEKDAY(T498,2),1)="W",COUNTIF(Settings!$F$18:$F$67,T498)=0),1,0),0)</ns0:f>
        <ns0:v>0</ns0:v>
      </ns0:c>
      <ns0:c r="AC498" s="0">
        <ns0:f>IF(AND(J498&gt;0,T498&gt;0,W498&lt;=X498),1,0)</ns0:f>
        <ns0:v>0</ns0:v>
      </ns0:c>
      <ns0:c r="AD498" s="0">
        <ns0:f>IF(AND(J498&gt;0,T498&gt;0,Y498&lt;=Z498),1,0)</ns0:f>
        <ns0:v>0</ns0:v>
      </ns0:c>
    </ns0:row>
    <ns0:row r="499">
      <ns0:c r="A499" s="0">
        <ns0:f>IFERROR(IF(ISNUMBER(Bookings!B499),"",TRIM(Bookings!B499&amp;"")),"")</ns0:f>
      </ns0:c>
      <ns0:c r="B499" s="0">
        <ns0:f>IFERROR(SUBSTITUTE(SUBSTITUTE(A499,"/","."),"-","."),"")</ns0:f>
      </ns0:c>
      <ns0:c r="C499" s="0">
        <ns0:f>IFERROR(LEFT(B499,FIND(".",B499)-1),"")</ns0:f>
      </ns0:c>
      <ns0:c r="D499" s="0">
        <ns0:f>IFERROR(MID(B499,FIND(".",B499)+1,FIND(".",B499,FIND(".",B499)+1)-FIND(".",B499)-1),"")</ns0:f>
      </ns0:c>
      <ns0:c r="E499" s="0">
        <ns0:f>IFERROR(MID(B499,FIND(".",B499,FIND(".",B499)+1)+1,99),"")</ns0:f>
        <ns0:v>99</ns0:v>
      </ns0:c>
      <ns0:c r="F499" s="0">
        <ns0:f>IFERROR(IF(FIND(".",B499)=5,--C499,--E499),0)</ns0:f>
        <ns0:v>0</ns0:v>
      </ns0:c>
      <ns0:c r="G499" s="0">
        <ns0:f>IFERROR(--D499,0)</ns0:f>
        <ns0:v>0</ns0:v>
      </ns0:c>
      <ns0:c r="H499" s="0">
        <ns0:f>IFERROR(IF(FIND(".",B499)=5,--E499,--C499),0)</ns0:f>
        <ns0:v>0</ns0:v>
      </ns0:c>
      <ns0:c r="I499" s="0">
        <ns0:f>IFERROR(IF(AND(F499&gt;=2000,F499&lt;=2100,G499&gt;=1,G499&lt;=12,H499&gt;=1,H499&lt;=31),DATE(F499,G499,H499),0),0)</ns0:f>
        <ns0:v>0</ns0:v>
      </ns0:c>
      <ns0:c r="J499" s="0">
        <ns0:f>IFERROR(IF(ISNUMBER(Bookings!B499),IF(AND(Bookings!B499=INT(Bookings!B499),Bookings!B499&gt;=DATE(2000,1,1),Bookings!B499&lt;=DATE(2100,12,31)),Bookings!B499,0),IF(AND(A499&lt;&gt;"",LEN("x"&amp;B499)-LEN(SUBSTITUTE("x"&amp;B499,".",""))=2,OR(1&gt;LEN(B499),MID(B499,1,1)=".",ISNUMBER(FIND("x"&amp;MID(B499,1,1),"x0x1x2x3x4x5x6x7x8x9"))),OR(2&gt;LEN(B499),MID(B499,2,1)=".",ISNUMBER(FIND("x"&amp;MID(B499,2,1),"x0x1x2x3x4x5x6x7x8x9"))),OR(3&gt;LEN(B499),MID(B499,3,1)=".",ISNUMBER(FIND("x"&amp;MID(B499,3,1),"x0x1x2x3x4x5x6x7x8x9"))),OR(4&gt;LEN(B499),MID(B499,4,1)=".",ISNUMBER(FIND("x"&amp;MID(B499,4,1),"x0x1x2x3x4x5x6x7x8x9"))),OR(5&gt;LEN(B499),MID(B499,5,1)=".",ISNUMBER(FIND("x"&amp;MID(B499,5,1),"x0x1x2x3x4x5x6x7x8x9"))),OR(6&gt;LEN(B499),MID(B499,6,1)=".",ISNUMBER(FIND("x"&amp;MID(B499,6,1),"x0x1x2x3x4x5x6x7x8x9"))),OR(7&gt;LEN(B499),MID(B499,7,1)=".",ISNUMBER(FIND("x"&amp;MID(B499,7,1),"x0x1x2x3x4x5x6x7x8x9"))),OR(8&gt;LEN(B499),MID(B499,8,1)=".",ISNUMBER(FIND("x"&amp;MID(B499,8,1),"x0x1x2x3x4x5x6x7x8x9"))),OR(9&gt;LEN(B499),MID(B499,9,1)=".",ISNUMBER(FIND("x"&amp;MID(B499,9,1),"x0x1x2x3x4x5x6x7x8x9"))),OR(10&gt;LEN(B499),MID(B499,10,1)=".",ISNUMBER(FIND("x"&amp;MID(B499,10,1),"x0x1x2x3x4x5x6x7x8x9"))),OR(AND(FIND(".",B499)=5,LEN(B499)-FIND(".",B499,FIND(".",B499)+1)&gt;=1,LEN(B499)-FIND(".",B499,FIND(".",B499)+1)&lt;=2),AND(LEN(B499)-FIND(".",B499,FIND(".",B499)+1)=4,FIND(".",B499)&gt;=2,FIND(".",B499)&lt;=3)),FIND(".",B499,FIND(".",B499)+1)-FIND(".",B499)&gt;=2,FIND(".",B499,FIND(".",B499)+1)-FIND(".",B499)&lt;=3,F499&gt;=2000,F499&lt;=2100,YEAR(I499)=F499,MONTH(I499)=G499,DAY(I499)=H499),I499,0)),0)</ns0:f>
        <ns0:v>0</ns0:v>
      </ns0:c>
      <ns0:c r="K499" s="0">
        <ns0:f>IFERROR(IF(ISNUMBER(Bookings!D499),"",TRIM(Bookings!D499&amp;"")),"")</ns0:f>
      </ns0:c>
      <ns0:c r="L499" s="0">
        <ns0:f>IFERROR(SUBSTITUTE(SUBSTITUTE(K499,"/","."),"-","."),"")</ns0:f>
      </ns0:c>
      <ns0:c r="M499" s="0">
        <ns0:f>IFERROR(LEFT(L499,FIND(".",L499)-1),"")</ns0:f>
      </ns0:c>
      <ns0:c r="N499" s="0">
        <ns0:f>IFERROR(MID(L499,FIND(".",L499)+1,FIND(".",L499,FIND(".",L499)+1)-FIND(".",L499)-1),"")</ns0:f>
      </ns0:c>
      <ns0:c r="O499" s="0">
        <ns0:f>IFERROR(MID(L499,FIND(".",L499,FIND(".",L499)+1)+1,99),"")</ns0:f>
        <ns0:v>99</ns0:v>
      </ns0:c>
      <ns0:c r="P499" s="0">
        <ns0:f>IFERROR(IF(FIND(".",L499)=5,--M499,--O499),0)</ns0:f>
        <ns0:v>0</ns0:v>
      </ns0:c>
      <ns0:c r="Q499" s="0">
        <ns0:f>IFERROR(--N499,0)</ns0:f>
        <ns0:v>0</ns0:v>
      </ns0:c>
      <ns0:c r="R499" s="0">
        <ns0:f>IFERROR(IF(FIND(".",L499)=5,--O499,--M499),0)</ns0:f>
        <ns0:v>0</ns0:v>
      </ns0:c>
      <ns0:c r="S499" s="0">
        <ns0:f>IFERROR(IF(AND(P499&gt;=2000,P499&lt;=2100,Q499&gt;=1,Q499&lt;=12,R499&gt;=1,R499&lt;=31),DATE(P499,Q499,R499),0),0)</ns0:f>
        <ns0:v>0</ns0:v>
      </ns0:c>
      <ns0:c r="T499" s="0">
        <ns0:f>IFERROR(IF(ISNUMBER(Bookings!D499),IF(AND(Bookings!D499=INT(Bookings!D499),Bookings!D499&gt;=DATE(2000,1,1),Bookings!D499&lt;=DATE(2100,12,31)),Bookings!D499,0),IF(AND(K499&lt;&gt;"",LEN("x"&amp;L499)-LEN(SUBSTITUTE("x"&amp;L499,".",""))=2,OR(1&gt;LEN(L499),MID(L499,1,1)=".",ISNUMBER(FIND("x"&amp;MID(L499,1,1),"x0x1x2x3x4x5x6x7x8x9"))),OR(2&gt;LEN(L499),MID(L499,2,1)=".",ISNUMBER(FIND("x"&amp;MID(L499,2,1),"x0x1x2x3x4x5x6x7x8x9"))),OR(3&gt;LEN(L499),MID(L499,3,1)=".",ISNUMBER(FIND("x"&amp;MID(L499,3,1),"x0x1x2x3x4x5x6x7x8x9"))),OR(4&gt;LEN(L499),MID(L499,4,1)=".",ISNUMBER(FIND("x"&amp;MID(L499,4,1),"x0x1x2x3x4x5x6x7x8x9"))),OR(5&gt;LEN(L499),MID(L499,5,1)=".",ISNUMBER(FIND("x"&amp;MID(L499,5,1),"x0x1x2x3x4x5x6x7x8x9"))),OR(6&gt;LEN(L499),MID(L499,6,1)=".",ISNUMBER(FIND("x"&amp;MID(L499,6,1),"x0x1x2x3x4x5x6x7x8x9"))),OR(7&gt;LEN(L499),MID(L499,7,1)=".",ISNUMBER(FIND("x"&amp;MID(L499,7,1),"x0x1x2x3x4x5x6x7x8x9"))),OR(8&gt;LEN(L499),MID(L499,8,1)=".",ISNUMBER(FIND("x"&amp;MID(L499,8,1),"x0x1x2x3x4x5x6x7x8x9"))),OR(9&gt;LEN(L499),MID(L499,9,1)=".",ISNUMBER(FIND("x"&amp;MID(L499,9,1),"x0x1x2x3x4x5x6x7x8x9"))),OR(10&gt;LEN(L499),MID(L499,10,1)=".",ISNUMBER(FIND("x"&amp;MID(L499,10,1),"x0x1x2x3x4x5x6x7x8x9"))),OR(AND(FIND(".",L499)=5,LEN(L499)-FIND(".",L499,FIND(".",L499)+1)&gt;=1,LEN(L499)-FIND(".",L499,FIND(".",L499)+1)&lt;=2),AND(LEN(L499)-FIND(".",L499,FIND(".",L499)+1)=4,FIND(".",L499)&gt;=2,FIND(".",L499)&lt;=3)),FIND(".",L499,FIND(".",L499)+1)-FIND(".",L499)&gt;=2,FIND(".",L499,FIND(".",L499)+1)-FIND(".",L499)&lt;=3,P499&gt;=2000,P499&lt;=2100,YEAR(S499)=P499,MONTH(S499)=Q499,DAY(S499)=R499),S499,0)),0)</ns0:f>
        <ns0:v>0</ns0:v>
      </ns0:c>
      <ns0:c r="U499" s="0" t="str">
        <ns0:f>IF(Bookings!C499="","Full day",Bookings!C499)</ns0:f>
        <ns0:v>Full day</ns0:v>
      </ns0:c>
      <ns0:c r="V499" s="0" t="str">
        <ns0:f>IF(Bookings!E499="","Full day",Bookings!E499)</ns0:f>
        <ns0:v>Full day</ns0:v>
      </ns0:c>
      <ns0:c r="W499" s="0">
        <ns0:f>IF(J499=0,0,J499+IF(U499="PM",1,0))</ns0:f>
        <ns0:v>0</ns0:v>
      </ns0:c>
      <ns0:c r="X499" s="0">
        <ns0:f>IF(T499=0,0,T499-IF(V499="PM",1,0))</ns0:f>
        <ns0:v>0</ns0:v>
      </ns0:c>
      <ns0:c r="Y499" s="0">
        <ns0:f>IF(J499=0,0,J499+IF(U499="AM",1,0))</ns0:f>
        <ns0:v>0</ns0:v>
      </ns0:c>
      <ns0:c r="Z499" s="0">
        <ns0:f>IF(T499=0,0,T499-IF(V499="AM",1,0))</ns0:f>
        <ns0:v>0</ns0:v>
      </ns0:c>
      <ns0:c r="AA499" s="0">
        <ns0:f>IFERROR(IF(AND(J499&gt;0,'_Engine'!C499&gt;0,MID('_Engine'!W499,WEEKDAY(J499,2),1)="W",COUNTIF(Settings!$F$18:$F$67,J499)=0),1,0),0)</ns0:f>
        <ns0:v>0</ns0:v>
      </ns0:c>
      <ns0:c r="AB499" s="0">
        <ns0:f>IFERROR(IF(AND(T499&gt;0,'_Engine'!C499&gt;0,MID('_Engine'!W499,WEEKDAY(T499,2),1)="W",COUNTIF(Settings!$F$18:$F$67,T499)=0),1,0),0)</ns0:f>
        <ns0:v>0</ns0:v>
      </ns0:c>
      <ns0:c r="AC499" s="0">
        <ns0:f>IF(AND(J499&gt;0,T499&gt;0,W499&lt;=X499),1,0)</ns0:f>
        <ns0:v>0</ns0:v>
      </ns0:c>
      <ns0:c r="AD499" s="0">
        <ns0:f>IF(AND(J499&gt;0,T499&gt;0,Y499&lt;=Z499),1,0)</ns0:f>
        <ns0:v>0</ns0:v>
      </ns0:c>
    </ns0:row>
    <ns0:row r="500">
      <ns0:c r="A500" s="0">
        <ns0:f>IFERROR(IF(ISNUMBER(Bookings!B500),"",TRIM(Bookings!B500&amp;"")),"")</ns0:f>
      </ns0:c>
      <ns0:c r="B500" s="0">
        <ns0:f>IFERROR(SUBSTITUTE(SUBSTITUTE(A500,"/","."),"-","."),"")</ns0:f>
      </ns0:c>
      <ns0:c r="C500" s="0">
        <ns0:f>IFERROR(LEFT(B500,FIND(".",B500)-1),"")</ns0:f>
      </ns0:c>
      <ns0:c r="D500" s="0">
        <ns0:f>IFERROR(MID(B500,FIND(".",B500)+1,FIND(".",B500,FIND(".",B500)+1)-FIND(".",B500)-1),"")</ns0:f>
      </ns0:c>
      <ns0:c r="E500" s="0">
        <ns0:f>IFERROR(MID(B500,FIND(".",B500,FIND(".",B500)+1)+1,99),"")</ns0:f>
        <ns0:v>99</ns0:v>
      </ns0:c>
      <ns0:c r="F500" s="0">
        <ns0:f>IFERROR(IF(FIND(".",B500)=5,--C500,--E500),0)</ns0:f>
        <ns0:v>0</ns0:v>
      </ns0:c>
      <ns0:c r="G500" s="0">
        <ns0:f>IFERROR(--D500,0)</ns0:f>
        <ns0:v>0</ns0:v>
      </ns0:c>
      <ns0:c r="H500" s="0">
        <ns0:f>IFERROR(IF(FIND(".",B500)=5,--E500,--C500),0)</ns0:f>
        <ns0:v>0</ns0:v>
      </ns0:c>
      <ns0:c r="I500" s="0">
        <ns0:f>IFERROR(IF(AND(F500&gt;=2000,F500&lt;=2100,G500&gt;=1,G500&lt;=12,H500&gt;=1,H500&lt;=31),DATE(F500,G500,H500),0),0)</ns0:f>
        <ns0:v>0</ns0:v>
      </ns0:c>
      <ns0:c r="J500" s="0">
        <ns0:f>IFERROR(IF(ISNUMBER(Bookings!B500),IF(AND(Bookings!B500=INT(Bookings!B500),Bookings!B500&gt;=DATE(2000,1,1),Bookings!B500&lt;=DATE(2100,12,31)),Bookings!B500,0),IF(AND(A500&lt;&gt;"",LEN("x"&amp;B500)-LEN(SUBSTITUTE("x"&amp;B500,".",""))=2,OR(1&gt;LEN(B500),MID(B500,1,1)=".",ISNUMBER(FIND("x"&amp;MID(B500,1,1),"x0x1x2x3x4x5x6x7x8x9"))),OR(2&gt;LEN(B500),MID(B500,2,1)=".",ISNUMBER(FIND("x"&amp;MID(B500,2,1),"x0x1x2x3x4x5x6x7x8x9"))),OR(3&gt;LEN(B500),MID(B500,3,1)=".",ISNUMBER(FIND("x"&amp;MID(B500,3,1),"x0x1x2x3x4x5x6x7x8x9"))),OR(4&gt;LEN(B500),MID(B500,4,1)=".",ISNUMBER(FIND("x"&amp;MID(B500,4,1),"x0x1x2x3x4x5x6x7x8x9"))),OR(5&gt;LEN(B500),MID(B500,5,1)=".",ISNUMBER(FIND("x"&amp;MID(B500,5,1),"x0x1x2x3x4x5x6x7x8x9"))),OR(6&gt;LEN(B500),MID(B500,6,1)=".",ISNUMBER(FIND("x"&amp;MID(B500,6,1),"x0x1x2x3x4x5x6x7x8x9"))),OR(7&gt;LEN(B500),MID(B500,7,1)=".",ISNUMBER(FIND("x"&amp;MID(B500,7,1),"x0x1x2x3x4x5x6x7x8x9"))),OR(8&gt;LEN(B500),MID(B500,8,1)=".",ISNUMBER(FIND("x"&amp;MID(B500,8,1),"x0x1x2x3x4x5x6x7x8x9"))),OR(9&gt;LEN(B500),MID(B500,9,1)=".",ISNUMBER(FIND("x"&amp;MID(B500,9,1),"x0x1x2x3x4x5x6x7x8x9"))),OR(10&gt;LEN(B500),MID(B500,10,1)=".",ISNUMBER(FIND("x"&amp;MID(B500,10,1),"x0x1x2x3x4x5x6x7x8x9"))),OR(AND(FIND(".",B500)=5,LEN(B500)-FIND(".",B500,FIND(".",B500)+1)&gt;=1,LEN(B500)-FIND(".",B500,FIND(".",B500)+1)&lt;=2),AND(LEN(B500)-FIND(".",B500,FIND(".",B500)+1)=4,FIND(".",B500)&gt;=2,FIND(".",B500)&lt;=3)),FIND(".",B500,FIND(".",B500)+1)-FIND(".",B500)&gt;=2,FIND(".",B500,FIND(".",B500)+1)-FIND(".",B500)&lt;=3,F500&gt;=2000,F500&lt;=2100,YEAR(I500)=F500,MONTH(I500)=G500,DAY(I500)=H500),I500,0)),0)</ns0:f>
        <ns0:v>0</ns0:v>
      </ns0:c>
      <ns0:c r="K500" s="0">
        <ns0:f>IFERROR(IF(ISNUMBER(Bookings!D500),"",TRIM(Bookings!D500&amp;"")),"")</ns0:f>
      </ns0:c>
      <ns0:c r="L500" s="0">
        <ns0:f>IFERROR(SUBSTITUTE(SUBSTITUTE(K500,"/","."),"-","."),"")</ns0:f>
      </ns0:c>
      <ns0:c r="M500" s="0">
        <ns0:f>IFERROR(LEFT(L500,FIND(".",L500)-1),"")</ns0:f>
      </ns0:c>
      <ns0:c r="N500" s="0">
        <ns0:f>IFERROR(MID(L500,FIND(".",L500)+1,FIND(".",L500,FIND(".",L500)+1)-FIND(".",L500)-1),"")</ns0:f>
      </ns0:c>
      <ns0:c r="O500" s="0">
        <ns0:f>IFERROR(MID(L500,FIND(".",L500,FIND(".",L500)+1)+1,99),"")</ns0:f>
        <ns0:v>99</ns0:v>
      </ns0:c>
      <ns0:c r="P500" s="0">
        <ns0:f>IFERROR(IF(FIND(".",L500)=5,--M500,--O500),0)</ns0:f>
        <ns0:v>0</ns0:v>
      </ns0:c>
      <ns0:c r="Q500" s="0">
        <ns0:f>IFERROR(--N500,0)</ns0:f>
        <ns0:v>0</ns0:v>
      </ns0:c>
      <ns0:c r="R500" s="0">
        <ns0:f>IFERROR(IF(FIND(".",L500)=5,--O500,--M500),0)</ns0:f>
        <ns0:v>0</ns0:v>
      </ns0:c>
      <ns0:c r="S500" s="0">
        <ns0:f>IFERROR(IF(AND(P500&gt;=2000,P500&lt;=2100,Q500&gt;=1,Q500&lt;=12,R500&gt;=1,R500&lt;=31),DATE(P500,Q500,R500),0),0)</ns0:f>
        <ns0:v>0</ns0:v>
      </ns0:c>
      <ns0:c r="T500" s="0">
        <ns0:f>IFERROR(IF(ISNUMBER(Bookings!D500),IF(AND(Bookings!D500=INT(Bookings!D500),Bookings!D500&gt;=DATE(2000,1,1),Bookings!D500&lt;=DATE(2100,12,31)),Bookings!D500,0),IF(AND(K500&lt;&gt;"",LEN("x"&amp;L500)-LEN(SUBSTITUTE("x"&amp;L500,".",""))=2,OR(1&gt;LEN(L500),MID(L500,1,1)=".",ISNUMBER(FIND("x"&amp;MID(L500,1,1),"x0x1x2x3x4x5x6x7x8x9"))),OR(2&gt;LEN(L500),MID(L500,2,1)=".",ISNUMBER(FIND("x"&amp;MID(L500,2,1),"x0x1x2x3x4x5x6x7x8x9"))),OR(3&gt;LEN(L500),MID(L500,3,1)=".",ISNUMBER(FIND("x"&amp;MID(L500,3,1),"x0x1x2x3x4x5x6x7x8x9"))),OR(4&gt;LEN(L500),MID(L500,4,1)=".",ISNUMBER(FIND("x"&amp;MID(L500,4,1),"x0x1x2x3x4x5x6x7x8x9"))),OR(5&gt;LEN(L500),MID(L500,5,1)=".",ISNUMBER(FIND("x"&amp;MID(L500,5,1),"x0x1x2x3x4x5x6x7x8x9"))),OR(6&gt;LEN(L500),MID(L500,6,1)=".",ISNUMBER(FIND("x"&amp;MID(L500,6,1),"x0x1x2x3x4x5x6x7x8x9"))),OR(7&gt;LEN(L500),MID(L500,7,1)=".",ISNUMBER(FIND("x"&amp;MID(L500,7,1),"x0x1x2x3x4x5x6x7x8x9"))),OR(8&gt;LEN(L500),MID(L500,8,1)=".",ISNUMBER(FIND("x"&amp;MID(L500,8,1),"x0x1x2x3x4x5x6x7x8x9"))),OR(9&gt;LEN(L500),MID(L500,9,1)=".",ISNUMBER(FIND("x"&amp;MID(L500,9,1),"x0x1x2x3x4x5x6x7x8x9"))),OR(10&gt;LEN(L500),MID(L500,10,1)=".",ISNUMBER(FIND("x"&amp;MID(L500,10,1),"x0x1x2x3x4x5x6x7x8x9"))),OR(AND(FIND(".",L500)=5,LEN(L500)-FIND(".",L500,FIND(".",L500)+1)&gt;=1,LEN(L500)-FIND(".",L500,FIND(".",L500)+1)&lt;=2),AND(LEN(L500)-FIND(".",L500,FIND(".",L500)+1)=4,FIND(".",L500)&gt;=2,FIND(".",L500)&lt;=3)),FIND(".",L500,FIND(".",L500)+1)-FIND(".",L500)&gt;=2,FIND(".",L500,FIND(".",L500)+1)-FIND(".",L500)&lt;=3,P500&gt;=2000,P500&lt;=2100,YEAR(S500)=P500,MONTH(S500)=Q500,DAY(S500)=R500),S500,0)),0)</ns0:f>
        <ns0:v>0</ns0:v>
      </ns0:c>
      <ns0:c r="U500" s="0" t="str">
        <ns0:f>IF(Bookings!C500="","Full day",Bookings!C500)</ns0:f>
        <ns0:v>Full day</ns0:v>
      </ns0:c>
      <ns0:c r="V500" s="0" t="str">
        <ns0:f>IF(Bookings!E500="","Full day",Bookings!E500)</ns0:f>
        <ns0:v>Full day</ns0:v>
      </ns0:c>
      <ns0:c r="W500" s="0">
        <ns0:f>IF(J500=0,0,J500+IF(U500="PM",1,0))</ns0:f>
        <ns0:v>0</ns0:v>
      </ns0:c>
      <ns0:c r="X500" s="0">
        <ns0:f>IF(T500=0,0,T500-IF(V500="PM",1,0))</ns0:f>
        <ns0:v>0</ns0:v>
      </ns0:c>
      <ns0:c r="Y500" s="0">
        <ns0:f>IF(J500=0,0,J500+IF(U500="AM",1,0))</ns0:f>
        <ns0:v>0</ns0:v>
      </ns0:c>
      <ns0:c r="Z500" s="0">
        <ns0:f>IF(T500=0,0,T500-IF(V500="AM",1,0))</ns0:f>
        <ns0:v>0</ns0:v>
      </ns0:c>
      <ns0:c r="AA500" s="0">
        <ns0:f>IFERROR(IF(AND(J500&gt;0,'_Engine'!C500&gt;0,MID('_Engine'!W500,WEEKDAY(J500,2),1)="W",COUNTIF(Settings!$F$18:$F$67,J500)=0),1,0),0)</ns0:f>
        <ns0:v>0</ns0:v>
      </ns0:c>
      <ns0:c r="AB500" s="0">
        <ns0:f>IFERROR(IF(AND(T500&gt;0,'_Engine'!C500&gt;0,MID('_Engine'!W500,WEEKDAY(T500,2),1)="W",COUNTIF(Settings!$F$18:$F$67,T500)=0),1,0),0)</ns0:f>
        <ns0:v>0</ns0:v>
      </ns0:c>
      <ns0:c r="AC500" s="0">
        <ns0:f>IF(AND(J500&gt;0,T500&gt;0,W500&lt;=X500),1,0)</ns0:f>
        <ns0:v>0</ns0:v>
      </ns0:c>
      <ns0:c r="AD500" s="0">
        <ns0:f>IF(AND(J500&gt;0,T500&gt;0,Y500&lt;=Z500),1,0)</ns0:f>
        <ns0:v>0</ns0:v>
      </ns0:c>
    </ns0:row>
    <ns0:row r="501">
      <ns0:c r="A501" s="0">
        <ns0:f>IFERROR(IF(ISNUMBER(Bookings!B501),"",TRIM(Bookings!B501&amp;"")),"")</ns0:f>
      </ns0:c>
      <ns0:c r="B501" s="0">
        <ns0:f>IFERROR(SUBSTITUTE(SUBSTITUTE(A501,"/","."),"-","."),"")</ns0:f>
      </ns0:c>
      <ns0:c r="C501" s="0">
        <ns0:f>IFERROR(LEFT(B501,FIND(".",B501)-1),"")</ns0:f>
      </ns0:c>
      <ns0:c r="D501" s="0">
        <ns0:f>IFERROR(MID(B501,FIND(".",B501)+1,FIND(".",B501,FIND(".",B501)+1)-FIND(".",B501)-1),"")</ns0:f>
      </ns0:c>
      <ns0:c r="E501" s="0">
        <ns0:f>IFERROR(MID(B501,FIND(".",B501,FIND(".",B501)+1)+1,99),"")</ns0:f>
        <ns0:v>99</ns0:v>
      </ns0:c>
      <ns0:c r="F501" s="0">
        <ns0:f>IFERROR(IF(FIND(".",B501)=5,--C501,--E501),0)</ns0:f>
        <ns0:v>0</ns0:v>
      </ns0:c>
      <ns0:c r="G501" s="0">
        <ns0:f>IFERROR(--D501,0)</ns0:f>
        <ns0:v>0</ns0:v>
      </ns0:c>
      <ns0:c r="H501" s="0">
        <ns0:f>IFERROR(IF(FIND(".",B501)=5,--E501,--C501),0)</ns0:f>
        <ns0:v>0</ns0:v>
      </ns0:c>
      <ns0:c r="I501" s="0">
        <ns0:f>IFERROR(IF(AND(F501&gt;=2000,F501&lt;=2100,G501&gt;=1,G501&lt;=12,H501&gt;=1,H501&lt;=31),DATE(F501,G501,H501),0),0)</ns0:f>
        <ns0:v>0</ns0:v>
      </ns0:c>
      <ns0:c r="J501" s="0">
        <ns0:f>IFERROR(IF(ISNUMBER(Bookings!B501),IF(AND(Bookings!B501=INT(Bookings!B501),Bookings!B501&gt;=DATE(2000,1,1),Bookings!B501&lt;=DATE(2100,12,31)),Bookings!B501,0),IF(AND(A501&lt;&gt;"",LEN("x"&amp;B501)-LEN(SUBSTITUTE("x"&amp;B501,".",""))=2,OR(1&gt;LEN(B501),MID(B501,1,1)=".",ISNUMBER(FIND("x"&amp;MID(B501,1,1),"x0x1x2x3x4x5x6x7x8x9"))),OR(2&gt;LEN(B501),MID(B501,2,1)=".",ISNUMBER(FIND("x"&amp;MID(B501,2,1),"x0x1x2x3x4x5x6x7x8x9"))),OR(3&gt;LEN(B501),MID(B501,3,1)=".",ISNUMBER(FIND("x"&amp;MID(B501,3,1),"x0x1x2x3x4x5x6x7x8x9"))),OR(4&gt;LEN(B501),MID(B501,4,1)=".",ISNUMBER(FIND("x"&amp;MID(B501,4,1),"x0x1x2x3x4x5x6x7x8x9"))),OR(5&gt;LEN(B501),MID(B501,5,1)=".",ISNUMBER(FIND("x"&amp;MID(B501,5,1),"x0x1x2x3x4x5x6x7x8x9"))),OR(6&gt;LEN(B501),MID(B501,6,1)=".",ISNUMBER(FIND("x"&amp;MID(B501,6,1),"x0x1x2x3x4x5x6x7x8x9"))),OR(7&gt;LEN(B501),MID(B501,7,1)=".",ISNUMBER(FIND("x"&amp;MID(B501,7,1),"x0x1x2x3x4x5x6x7x8x9"))),OR(8&gt;LEN(B501),MID(B501,8,1)=".",ISNUMBER(FIND("x"&amp;MID(B501,8,1),"x0x1x2x3x4x5x6x7x8x9"))),OR(9&gt;LEN(B501),MID(B501,9,1)=".",ISNUMBER(FIND("x"&amp;MID(B501,9,1),"x0x1x2x3x4x5x6x7x8x9"))),OR(10&gt;LEN(B501),MID(B501,10,1)=".",ISNUMBER(FIND("x"&amp;MID(B501,10,1),"x0x1x2x3x4x5x6x7x8x9"))),OR(AND(FIND(".",B501)=5,LEN(B501)-FIND(".",B501,FIND(".",B501)+1)&gt;=1,LEN(B501)-FIND(".",B501,FIND(".",B501)+1)&lt;=2),AND(LEN(B501)-FIND(".",B501,FIND(".",B501)+1)=4,FIND(".",B501)&gt;=2,FIND(".",B501)&lt;=3)),FIND(".",B501,FIND(".",B501)+1)-FIND(".",B501)&gt;=2,FIND(".",B501,FIND(".",B501)+1)-FIND(".",B501)&lt;=3,F501&gt;=2000,F501&lt;=2100,YEAR(I501)=F501,MONTH(I501)=G501,DAY(I501)=H501),I501,0)),0)</ns0:f>
        <ns0:v>0</ns0:v>
      </ns0:c>
      <ns0:c r="K501" s="0">
        <ns0:f>IFERROR(IF(ISNUMBER(Bookings!D501),"",TRIM(Bookings!D501&amp;"")),"")</ns0:f>
      </ns0:c>
      <ns0:c r="L501" s="0">
        <ns0:f>IFERROR(SUBSTITUTE(SUBSTITUTE(K501,"/","."),"-","."),"")</ns0:f>
      </ns0:c>
      <ns0:c r="M501" s="0">
        <ns0:f>IFERROR(LEFT(L501,FIND(".",L501)-1),"")</ns0:f>
      </ns0:c>
      <ns0:c r="N501" s="0">
        <ns0:f>IFERROR(MID(L501,FIND(".",L501)+1,FIND(".",L501,FIND(".",L501)+1)-FIND(".",L501)-1),"")</ns0:f>
      </ns0:c>
      <ns0:c r="O501" s="0">
        <ns0:f>IFERROR(MID(L501,FIND(".",L501,FIND(".",L501)+1)+1,99),"")</ns0:f>
        <ns0:v>99</ns0:v>
      </ns0:c>
      <ns0:c r="P501" s="0">
        <ns0:f>IFERROR(IF(FIND(".",L501)=5,--M501,--O501),0)</ns0:f>
        <ns0:v>0</ns0:v>
      </ns0:c>
      <ns0:c r="Q501" s="0">
        <ns0:f>IFERROR(--N501,0)</ns0:f>
        <ns0:v>0</ns0:v>
      </ns0:c>
      <ns0:c r="R501" s="0">
        <ns0:f>IFERROR(IF(FIND(".",L501)=5,--O501,--M501),0)</ns0:f>
        <ns0:v>0</ns0:v>
      </ns0:c>
      <ns0:c r="S501" s="0">
        <ns0:f>IFERROR(IF(AND(P501&gt;=2000,P501&lt;=2100,Q501&gt;=1,Q501&lt;=12,R501&gt;=1,R501&lt;=31),DATE(P501,Q501,R501),0),0)</ns0:f>
        <ns0:v>0</ns0:v>
      </ns0:c>
      <ns0:c r="T501" s="0">
        <ns0:f>IFERROR(IF(ISNUMBER(Bookings!D501),IF(AND(Bookings!D501=INT(Bookings!D501),Bookings!D501&gt;=DATE(2000,1,1),Bookings!D501&lt;=DATE(2100,12,31)),Bookings!D501,0),IF(AND(K501&lt;&gt;"",LEN("x"&amp;L501)-LEN(SUBSTITUTE("x"&amp;L501,".",""))=2,OR(1&gt;LEN(L501),MID(L501,1,1)=".",ISNUMBER(FIND("x"&amp;MID(L501,1,1),"x0x1x2x3x4x5x6x7x8x9"))),OR(2&gt;LEN(L501),MID(L501,2,1)=".",ISNUMBER(FIND("x"&amp;MID(L501,2,1),"x0x1x2x3x4x5x6x7x8x9"))),OR(3&gt;LEN(L501),MID(L501,3,1)=".",ISNUMBER(FIND("x"&amp;MID(L501,3,1),"x0x1x2x3x4x5x6x7x8x9"))),OR(4&gt;LEN(L501),MID(L501,4,1)=".",ISNUMBER(FIND("x"&amp;MID(L501,4,1),"x0x1x2x3x4x5x6x7x8x9"))),OR(5&gt;LEN(L501),MID(L501,5,1)=".",ISNUMBER(FIND("x"&amp;MID(L501,5,1),"x0x1x2x3x4x5x6x7x8x9"))),OR(6&gt;LEN(L501),MID(L501,6,1)=".",ISNUMBER(FIND("x"&amp;MID(L501,6,1),"x0x1x2x3x4x5x6x7x8x9"))),OR(7&gt;LEN(L501),MID(L501,7,1)=".",ISNUMBER(FIND("x"&amp;MID(L501,7,1),"x0x1x2x3x4x5x6x7x8x9"))),OR(8&gt;LEN(L501),MID(L501,8,1)=".",ISNUMBER(FIND("x"&amp;MID(L501,8,1),"x0x1x2x3x4x5x6x7x8x9"))),OR(9&gt;LEN(L501),MID(L501,9,1)=".",ISNUMBER(FIND("x"&amp;MID(L501,9,1),"x0x1x2x3x4x5x6x7x8x9"))),OR(10&gt;LEN(L501),MID(L501,10,1)=".",ISNUMBER(FIND("x"&amp;MID(L501,10,1),"x0x1x2x3x4x5x6x7x8x9"))),OR(AND(FIND(".",L501)=5,LEN(L501)-FIND(".",L501,FIND(".",L501)+1)&gt;=1,LEN(L501)-FIND(".",L501,FIND(".",L501)+1)&lt;=2),AND(LEN(L501)-FIND(".",L501,FIND(".",L501)+1)=4,FIND(".",L501)&gt;=2,FIND(".",L501)&lt;=3)),FIND(".",L501,FIND(".",L501)+1)-FIND(".",L501)&gt;=2,FIND(".",L501,FIND(".",L501)+1)-FIND(".",L501)&lt;=3,P501&gt;=2000,P501&lt;=2100,YEAR(S501)=P501,MONTH(S501)=Q501,DAY(S501)=R501),S501,0)),0)</ns0:f>
        <ns0:v>0</ns0:v>
      </ns0:c>
      <ns0:c r="U501" s="0" t="str">
        <ns0:f>IF(Bookings!C501="","Full day",Bookings!C501)</ns0:f>
        <ns0:v>Full day</ns0:v>
      </ns0:c>
      <ns0:c r="V501" s="0" t="str">
        <ns0:f>IF(Bookings!E501="","Full day",Bookings!E501)</ns0:f>
        <ns0:v>Full day</ns0:v>
      </ns0:c>
      <ns0:c r="W501" s="0">
        <ns0:f>IF(J501=0,0,J501+IF(U501="PM",1,0))</ns0:f>
        <ns0:v>0</ns0:v>
      </ns0:c>
      <ns0:c r="X501" s="0">
        <ns0:f>IF(T501=0,0,T501-IF(V501="PM",1,0))</ns0:f>
        <ns0:v>0</ns0:v>
      </ns0:c>
      <ns0:c r="Y501" s="0">
        <ns0:f>IF(J501=0,0,J501+IF(U501="AM",1,0))</ns0:f>
        <ns0:v>0</ns0:v>
      </ns0:c>
      <ns0:c r="Z501" s="0">
        <ns0:f>IF(T501=0,0,T501-IF(V501="AM",1,0))</ns0:f>
        <ns0:v>0</ns0:v>
      </ns0:c>
      <ns0:c r="AA501" s="0">
        <ns0:f>IFERROR(IF(AND(J501&gt;0,'_Engine'!C501&gt;0,MID('_Engine'!W501,WEEKDAY(J501,2),1)="W",COUNTIF(Settings!$F$18:$F$67,J501)=0),1,0),0)</ns0:f>
        <ns0:v>0</ns0:v>
      </ns0:c>
      <ns0:c r="AB501" s="0">
        <ns0:f>IFERROR(IF(AND(T501&gt;0,'_Engine'!C501&gt;0,MID('_Engine'!W501,WEEKDAY(T501,2),1)="W",COUNTIF(Settings!$F$18:$F$67,T501)=0),1,0),0)</ns0:f>
        <ns0:v>0</ns0:v>
      </ns0:c>
      <ns0:c r="AC501" s="0">
        <ns0:f>IF(AND(J501&gt;0,T501&gt;0,W501&lt;=X501),1,0)</ns0:f>
        <ns0:v>0</ns0:v>
      </ns0:c>
      <ns0:c r="AD501" s="0">
        <ns0:f>IF(AND(J501&gt;0,T501&gt;0,Y501&lt;=Z501),1,0)</ns0:f>
        <ns0:v>0</ns0:v>
      </ns0:c>
    </ns0:row>
    <ns0:row r="502">
      <ns0:c r="A502" s="0">
        <ns0:f>IFERROR(IF(ISNUMBER(Bookings!B502),"",TRIM(Bookings!B502&amp;"")),"")</ns0:f>
      </ns0:c>
      <ns0:c r="B502" s="0">
        <ns0:f>IFERROR(SUBSTITUTE(SUBSTITUTE(A502,"/","."),"-","."),"")</ns0:f>
      </ns0:c>
      <ns0:c r="C502" s="0">
        <ns0:f>IFERROR(LEFT(B502,FIND(".",B502)-1),"")</ns0:f>
      </ns0:c>
      <ns0:c r="D502" s="0">
        <ns0:f>IFERROR(MID(B502,FIND(".",B502)+1,FIND(".",B502,FIND(".",B502)+1)-FIND(".",B502)-1),"")</ns0:f>
      </ns0:c>
      <ns0:c r="E502" s="0">
        <ns0:f>IFERROR(MID(B502,FIND(".",B502,FIND(".",B502)+1)+1,99),"")</ns0:f>
        <ns0:v>99</ns0:v>
      </ns0:c>
      <ns0:c r="F502" s="0">
        <ns0:f>IFERROR(IF(FIND(".",B502)=5,--C502,--E502),0)</ns0:f>
        <ns0:v>0</ns0:v>
      </ns0:c>
      <ns0:c r="G502" s="0">
        <ns0:f>IFERROR(--D502,0)</ns0:f>
        <ns0:v>0</ns0:v>
      </ns0:c>
      <ns0:c r="H502" s="0">
        <ns0:f>IFERROR(IF(FIND(".",B502)=5,--E502,--C502),0)</ns0:f>
        <ns0:v>0</ns0:v>
      </ns0:c>
      <ns0:c r="I502" s="0">
        <ns0:f>IFERROR(IF(AND(F502&gt;=2000,F502&lt;=2100,G502&gt;=1,G502&lt;=12,H502&gt;=1,H502&lt;=31),DATE(F502,G502,H502),0),0)</ns0:f>
        <ns0:v>0</ns0:v>
      </ns0:c>
      <ns0:c r="J502" s="0">
        <ns0:f>IFERROR(IF(ISNUMBER(Bookings!B502),IF(AND(Bookings!B502=INT(Bookings!B502),Bookings!B502&gt;=DATE(2000,1,1),Bookings!B502&lt;=DATE(2100,12,31)),Bookings!B502,0),IF(AND(A502&lt;&gt;"",LEN("x"&amp;B502)-LEN(SUBSTITUTE("x"&amp;B502,".",""))=2,OR(1&gt;LEN(B502),MID(B502,1,1)=".",ISNUMBER(FIND("x"&amp;MID(B502,1,1),"x0x1x2x3x4x5x6x7x8x9"))),OR(2&gt;LEN(B502),MID(B502,2,1)=".",ISNUMBER(FIND("x"&amp;MID(B502,2,1),"x0x1x2x3x4x5x6x7x8x9"))),OR(3&gt;LEN(B502),MID(B502,3,1)=".",ISNUMBER(FIND("x"&amp;MID(B502,3,1),"x0x1x2x3x4x5x6x7x8x9"))),OR(4&gt;LEN(B502),MID(B502,4,1)=".",ISNUMBER(FIND("x"&amp;MID(B502,4,1),"x0x1x2x3x4x5x6x7x8x9"))),OR(5&gt;LEN(B502),MID(B502,5,1)=".",ISNUMBER(FIND("x"&amp;MID(B502,5,1),"x0x1x2x3x4x5x6x7x8x9"))),OR(6&gt;LEN(B502),MID(B502,6,1)=".",ISNUMBER(FIND("x"&amp;MID(B502,6,1),"x0x1x2x3x4x5x6x7x8x9"))),OR(7&gt;LEN(B502),MID(B502,7,1)=".",ISNUMBER(FIND("x"&amp;MID(B502,7,1),"x0x1x2x3x4x5x6x7x8x9"))),OR(8&gt;LEN(B502),MID(B502,8,1)=".",ISNUMBER(FIND("x"&amp;MID(B502,8,1),"x0x1x2x3x4x5x6x7x8x9"))),OR(9&gt;LEN(B502),MID(B502,9,1)=".",ISNUMBER(FIND("x"&amp;MID(B502,9,1),"x0x1x2x3x4x5x6x7x8x9"))),OR(10&gt;LEN(B502),MID(B502,10,1)=".",ISNUMBER(FIND("x"&amp;MID(B502,10,1),"x0x1x2x3x4x5x6x7x8x9"))),OR(AND(FIND(".",B502)=5,LEN(B502)-FIND(".",B502,FIND(".",B502)+1)&gt;=1,LEN(B502)-FIND(".",B502,FIND(".",B502)+1)&lt;=2),AND(LEN(B502)-FIND(".",B502,FIND(".",B502)+1)=4,FIND(".",B502)&gt;=2,FIND(".",B502)&lt;=3)),FIND(".",B502,FIND(".",B502)+1)-FIND(".",B502)&gt;=2,FIND(".",B502,FIND(".",B502)+1)-FIND(".",B502)&lt;=3,F502&gt;=2000,F502&lt;=2100,YEAR(I502)=F502,MONTH(I502)=G502,DAY(I502)=H502),I502,0)),0)</ns0:f>
        <ns0:v>0</ns0:v>
      </ns0:c>
      <ns0:c r="K502" s="0">
        <ns0:f>IFERROR(IF(ISNUMBER(Bookings!D502),"",TRIM(Bookings!D502&amp;"")),"")</ns0:f>
      </ns0:c>
      <ns0:c r="L502" s="0">
        <ns0:f>IFERROR(SUBSTITUTE(SUBSTITUTE(K502,"/","."),"-","."),"")</ns0:f>
      </ns0:c>
      <ns0:c r="M502" s="0">
        <ns0:f>IFERROR(LEFT(L502,FIND(".",L502)-1),"")</ns0:f>
      </ns0:c>
      <ns0:c r="N502" s="0">
        <ns0:f>IFERROR(MID(L502,FIND(".",L502)+1,FIND(".",L502,FIND(".",L502)+1)-FIND(".",L502)-1),"")</ns0:f>
      </ns0:c>
      <ns0:c r="O502" s="0">
        <ns0:f>IFERROR(MID(L502,FIND(".",L502,FIND(".",L502)+1)+1,99),"")</ns0:f>
        <ns0:v>99</ns0:v>
      </ns0:c>
      <ns0:c r="P502" s="0">
        <ns0:f>IFERROR(IF(FIND(".",L502)=5,--M502,--O502),0)</ns0:f>
        <ns0:v>0</ns0:v>
      </ns0:c>
      <ns0:c r="Q502" s="0">
        <ns0:f>IFERROR(--N502,0)</ns0:f>
        <ns0:v>0</ns0:v>
      </ns0:c>
      <ns0:c r="R502" s="0">
        <ns0:f>IFERROR(IF(FIND(".",L502)=5,--O502,--M502),0)</ns0:f>
        <ns0:v>0</ns0:v>
      </ns0:c>
      <ns0:c r="S502" s="0">
        <ns0:f>IFERROR(IF(AND(P502&gt;=2000,P502&lt;=2100,Q502&gt;=1,Q502&lt;=12,R502&gt;=1,R502&lt;=31),DATE(P502,Q502,R502),0),0)</ns0:f>
        <ns0:v>0</ns0:v>
      </ns0:c>
      <ns0:c r="T502" s="0">
        <ns0:f>IFERROR(IF(ISNUMBER(Bookings!D502),IF(AND(Bookings!D502=INT(Bookings!D502),Bookings!D502&gt;=DATE(2000,1,1),Bookings!D502&lt;=DATE(2100,12,31)),Bookings!D502,0),IF(AND(K502&lt;&gt;"",LEN("x"&amp;L502)-LEN(SUBSTITUTE("x"&amp;L502,".",""))=2,OR(1&gt;LEN(L502),MID(L502,1,1)=".",ISNUMBER(FIND("x"&amp;MID(L502,1,1),"x0x1x2x3x4x5x6x7x8x9"))),OR(2&gt;LEN(L502),MID(L502,2,1)=".",ISNUMBER(FIND("x"&amp;MID(L502,2,1),"x0x1x2x3x4x5x6x7x8x9"))),OR(3&gt;LEN(L502),MID(L502,3,1)=".",ISNUMBER(FIND("x"&amp;MID(L502,3,1),"x0x1x2x3x4x5x6x7x8x9"))),OR(4&gt;LEN(L502),MID(L502,4,1)=".",ISNUMBER(FIND("x"&amp;MID(L502,4,1),"x0x1x2x3x4x5x6x7x8x9"))),OR(5&gt;LEN(L502),MID(L502,5,1)=".",ISNUMBER(FIND("x"&amp;MID(L502,5,1),"x0x1x2x3x4x5x6x7x8x9"))),OR(6&gt;LEN(L502),MID(L502,6,1)=".",ISNUMBER(FIND("x"&amp;MID(L502,6,1),"x0x1x2x3x4x5x6x7x8x9"))),OR(7&gt;LEN(L502),MID(L502,7,1)=".",ISNUMBER(FIND("x"&amp;MID(L502,7,1),"x0x1x2x3x4x5x6x7x8x9"))),OR(8&gt;LEN(L502),MID(L502,8,1)=".",ISNUMBER(FIND("x"&amp;MID(L502,8,1),"x0x1x2x3x4x5x6x7x8x9"))),OR(9&gt;LEN(L502),MID(L502,9,1)=".",ISNUMBER(FIND("x"&amp;MID(L502,9,1),"x0x1x2x3x4x5x6x7x8x9"))),OR(10&gt;LEN(L502),MID(L502,10,1)=".",ISNUMBER(FIND("x"&amp;MID(L502,10,1),"x0x1x2x3x4x5x6x7x8x9"))),OR(AND(FIND(".",L502)=5,LEN(L502)-FIND(".",L502,FIND(".",L502)+1)&gt;=1,LEN(L502)-FIND(".",L502,FIND(".",L502)+1)&lt;=2),AND(LEN(L502)-FIND(".",L502,FIND(".",L502)+1)=4,FIND(".",L502)&gt;=2,FIND(".",L502)&lt;=3)),FIND(".",L502,FIND(".",L502)+1)-FIND(".",L502)&gt;=2,FIND(".",L502,FIND(".",L502)+1)-FIND(".",L502)&lt;=3,P502&gt;=2000,P502&lt;=2100,YEAR(S502)=P502,MONTH(S502)=Q502,DAY(S502)=R502),S502,0)),0)</ns0:f>
        <ns0:v>0</ns0:v>
      </ns0:c>
      <ns0:c r="U502" s="0" t="str">
        <ns0:f>IF(Bookings!C502="","Full day",Bookings!C502)</ns0:f>
        <ns0:v>Full day</ns0:v>
      </ns0:c>
      <ns0:c r="V502" s="0" t="str">
        <ns0:f>IF(Bookings!E502="","Full day",Bookings!E502)</ns0:f>
        <ns0:v>Full day</ns0:v>
      </ns0:c>
      <ns0:c r="W502" s="0">
        <ns0:f>IF(J502=0,0,J502+IF(U502="PM",1,0))</ns0:f>
        <ns0:v>0</ns0:v>
      </ns0:c>
      <ns0:c r="X502" s="0">
        <ns0:f>IF(T502=0,0,T502-IF(V502="PM",1,0))</ns0:f>
        <ns0:v>0</ns0:v>
      </ns0:c>
      <ns0:c r="Y502" s="0">
        <ns0:f>IF(J502=0,0,J502+IF(U502="AM",1,0))</ns0:f>
        <ns0:v>0</ns0:v>
      </ns0:c>
      <ns0:c r="Z502" s="0">
        <ns0:f>IF(T502=0,0,T502-IF(V502="AM",1,0))</ns0:f>
        <ns0:v>0</ns0:v>
      </ns0:c>
      <ns0:c r="AA502" s="0">
        <ns0:f>IFERROR(IF(AND(J502&gt;0,'_Engine'!C502&gt;0,MID('_Engine'!W502,WEEKDAY(J502,2),1)="W",COUNTIF(Settings!$F$18:$F$67,J502)=0),1,0),0)</ns0:f>
        <ns0:v>0</ns0:v>
      </ns0:c>
      <ns0:c r="AB502" s="0">
        <ns0:f>IFERROR(IF(AND(T502&gt;0,'_Engine'!C502&gt;0,MID('_Engine'!W502,WEEKDAY(T502,2),1)="W",COUNTIF(Settings!$F$18:$F$67,T502)=0),1,0),0)</ns0:f>
        <ns0:v>0</ns0:v>
      </ns0:c>
      <ns0:c r="AC502" s="0">
        <ns0:f>IF(AND(J502&gt;0,T502&gt;0,W502&lt;=X502),1,0)</ns0:f>
        <ns0:v>0</ns0:v>
      </ns0:c>
      <ns0:c r="AD502" s="0">
        <ns0:f>IF(AND(J502&gt;0,T502&gt;0,Y502&lt;=Z502),1,0)</ns0:f>
        <ns0:v>0</ns0:v>
      </ns0:c>
    </ns0:row>
    <ns0:row r="503">
      <ns0:c r="A503" s="0">
        <ns0:f>IFERROR(IF(ISNUMBER(Bookings!B503),"",TRIM(Bookings!B503&amp;"")),"")</ns0:f>
      </ns0:c>
      <ns0:c r="B503" s="0">
        <ns0:f>IFERROR(SUBSTITUTE(SUBSTITUTE(A503,"/","."),"-","."),"")</ns0:f>
      </ns0:c>
      <ns0:c r="C503" s="0">
        <ns0:f>IFERROR(LEFT(B503,FIND(".",B503)-1),"")</ns0:f>
      </ns0:c>
      <ns0:c r="D503" s="0">
        <ns0:f>IFERROR(MID(B503,FIND(".",B503)+1,FIND(".",B503,FIND(".",B503)+1)-FIND(".",B503)-1),"")</ns0:f>
      </ns0:c>
      <ns0:c r="E503" s="0">
        <ns0:f>IFERROR(MID(B503,FIND(".",B503,FIND(".",B503)+1)+1,99),"")</ns0:f>
        <ns0:v>99</ns0:v>
      </ns0:c>
      <ns0:c r="F503" s="0">
        <ns0:f>IFERROR(IF(FIND(".",B503)=5,--C503,--E503),0)</ns0:f>
        <ns0:v>0</ns0:v>
      </ns0:c>
      <ns0:c r="G503" s="0">
        <ns0:f>IFERROR(--D503,0)</ns0:f>
        <ns0:v>0</ns0:v>
      </ns0:c>
      <ns0:c r="H503" s="0">
        <ns0:f>IFERROR(IF(FIND(".",B503)=5,--E503,--C503),0)</ns0:f>
        <ns0:v>0</ns0:v>
      </ns0:c>
      <ns0:c r="I503" s="0">
        <ns0:f>IFERROR(IF(AND(F503&gt;=2000,F503&lt;=2100,G503&gt;=1,G503&lt;=12,H503&gt;=1,H503&lt;=31),DATE(F503,G503,H503),0),0)</ns0:f>
        <ns0:v>0</ns0:v>
      </ns0:c>
      <ns0:c r="J503" s="0">
        <ns0:f>IFERROR(IF(ISNUMBER(Bookings!B503),IF(AND(Bookings!B503=INT(Bookings!B503),Bookings!B503&gt;=DATE(2000,1,1),Bookings!B503&lt;=DATE(2100,12,31)),Bookings!B503,0),IF(AND(A503&lt;&gt;"",LEN("x"&amp;B503)-LEN(SUBSTITUTE("x"&amp;B503,".",""))=2,OR(1&gt;LEN(B503),MID(B503,1,1)=".",ISNUMBER(FIND("x"&amp;MID(B503,1,1),"x0x1x2x3x4x5x6x7x8x9"))),OR(2&gt;LEN(B503),MID(B503,2,1)=".",ISNUMBER(FIND("x"&amp;MID(B503,2,1),"x0x1x2x3x4x5x6x7x8x9"))),OR(3&gt;LEN(B503),MID(B503,3,1)=".",ISNUMBER(FIND("x"&amp;MID(B503,3,1),"x0x1x2x3x4x5x6x7x8x9"))),OR(4&gt;LEN(B503),MID(B503,4,1)=".",ISNUMBER(FIND("x"&amp;MID(B503,4,1),"x0x1x2x3x4x5x6x7x8x9"))),OR(5&gt;LEN(B503),MID(B503,5,1)=".",ISNUMBER(FIND("x"&amp;MID(B503,5,1),"x0x1x2x3x4x5x6x7x8x9"))),OR(6&gt;LEN(B503),MID(B503,6,1)=".",ISNUMBER(FIND("x"&amp;MID(B503,6,1),"x0x1x2x3x4x5x6x7x8x9"))),OR(7&gt;LEN(B503),MID(B503,7,1)=".",ISNUMBER(FIND("x"&amp;MID(B503,7,1),"x0x1x2x3x4x5x6x7x8x9"))),OR(8&gt;LEN(B503),MID(B503,8,1)=".",ISNUMBER(FIND("x"&amp;MID(B503,8,1),"x0x1x2x3x4x5x6x7x8x9"))),OR(9&gt;LEN(B503),MID(B503,9,1)=".",ISNUMBER(FIND("x"&amp;MID(B503,9,1),"x0x1x2x3x4x5x6x7x8x9"))),OR(10&gt;LEN(B503),MID(B503,10,1)=".",ISNUMBER(FIND("x"&amp;MID(B503,10,1),"x0x1x2x3x4x5x6x7x8x9"))),OR(AND(FIND(".",B503)=5,LEN(B503)-FIND(".",B503,FIND(".",B503)+1)&gt;=1,LEN(B503)-FIND(".",B503,FIND(".",B503)+1)&lt;=2),AND(LEN(B503)-FIND(".",B503,FIND(".",B503)+1)=4,FIND(".",B503)&gt;=2,FIND(".",B503)&lt;=3)),FIND(".",B503,FIND(".",B503)+1)-FIND(".",B503)&gt;=2,FIND(".",B503,FIND(".",B503)+1)-FIND(".",B503)&lt;=3,F503&gt;=2000,F503&lt;=2100,YEAR(I503)=F503,MONTH(I503)=G503,DAY(I503)=H503),I503,0)),0)</ns0:f>
        <ns0:v>0</ns0:v>
      </ns0:c>
      <ns0:c r="K503" s="0">
        <ns0:f>IFERROR(IF(ISNUMBER(Bookings!D503),"",TRIM(Bookings!D503&amp;"")),"")</ns0:f>
      </ns0:c>
      <ns0:c r="L503" s="0">
        <ns0:f>IFERROR(SUBSTITUTE(SUBSTITUTE(K503,"/","."),"-","."),"")</ns0:f>
      </ns0:c>
      <ns0:c r="M503" s="0">
        <ns0:f>IFERROR(LEFT(L503,FIND(".",L503)-1),"")</ns0:f>
      </ns0:c>
      <ns0:c r="N503" s="0">
        <ns0:f>IFERROR(MID(L503,FIND(".",L503)+1,FIND(".",L503,FIND(".",L503)+1)-FIND(".",L503)-1),"")</ns0:f>
      </ns0:c>
      <ns0:c r="O503" s="0">
        <ns0:f>IFERROR(MID(L503,FIND(".",L503,FIND(".",L503)+1)+1,99),"")</ns0:f>
        <ns0:v>99</ns0:v>
      </ns0:c>
      <ns0:c r="P503" s="0">
        <ns0:f>IFERROR(IF(FIND(".",L503)=5,--M503,--O503),0)</ns0:f>
        <ns0:v>0</ns0:v>
      </ns0:c>
      <ns0:c r="Q503" s="0">
        <ns0:f>IFERROR(--N503,0)</ns0:f>
        <ns0:v>0</ns0:v>
      </ns0:c>
      <ns0:c r="R503" s="0">
        <ns0:f>IFERROR(IF(FIND(".",L503)=5,--O503,--M503),0)</ns0:f>
        <ns0:v>0</ns0:v>
      </ns0:c>
      <ns0:c r="S503" s="0">
        <ns0:f>IFERROR(IF(AND(P503&gt;=2000,P503&lt;=2100,Q503&gt;=1,Q503&lt;=12,R503&gt;=1,R503&lt;=31),DATE(P503,Q503,R503),0),0)</ns0:f>
        <ns0:v>0</ns0:v>
      </ns0:c>
      <ns0:c r="T503" s="0">
        <ns0:f>IFERROR(IF(ISNUMBER(Bookings!D503),IF(AND(Bookings!D503=INT(Bookings!D503),Bookings!D503&gt;=DATE(2000,1,1),Bookings!D503&lt;=DATE(2100,12,31)),Bookings!D503,0),IF(AND(K503&lt;&gt;"",LEN("x"&amp;L503)-LEN(SUBSTITUTE("x"&amp;L503,".",""))=2,OR(1&gt;LEN(L503),MID(L503,1,1)=".",ISNUMBER(FIND("x"&amp;MID(L503,1,1),"x0x1x2x3x4x5x6x7x8x9"))),OR(2&gt;LEN(L503),MID(L503,2,1)=".",ISNUMBER(FIND("x"&amp;MID(L503,2,1),"x0x1x2x3x4x5x6x7x8x9"))),OR(3&gt;LEN(L503),MID(L503,3,1)=".",ISNUMBER(FIND("x"&amp;MID(L503,3,1),"x0x1x2x3x4x5x6x7x8x9"))),OR(4&gt;LEN(L503),MID(L503,4,1)=".",ISNUMBER(FIND("x"&amp;MID(L503,4,1),"x0x1x2x3x4x5x6x7x8x9"))),OR(5&gt;LEN(L503),MID(L503,5,1)=".",ISNUMBER(FIND("x"&amp;MID(L503,5,1),"x0x1x2x3x4x5x6x7x8x9"))),OR(6&gt;LEN(L503),MID(L503,6,1)=".",ISNUMBER(FIND("x"&amp;MID(L503,6,1),"x0x1x2x3x4x5x6x7x8x9"))),OR(7&gt;LEN(L503),MID(L503,7,1)=".",ISNUMBER(FIND("x"&amp;MID(L503,7,1),"x0x1x2x3x4x5x6x7x8x9"))),OR(8&gt;LEN(L503),MID(L503,8,1)=".",ISNUMBER(FIND("x"&amp;MID(L503,8,1),"x0x1x2x3x4x5x6x7x8x9"))),OR(9&gt;LEN(L503),MID(L503,9,1)=".",ISNUMBER(FIND("x"&amp;MID(L503,9,1),"x0x1x2x3x4x5x6x7x8x9"))),OR(10&gt;LEN(L503),MID(L503,10,1)=".",ISNUMBER(FIND("x"&amp;MID(L503,10,1),"x0x1x2x3x4x5x6x7x8x9"))),OR(AND(FIND(".",L503)=5,LEN(L503)-FIND(".",L503,FIND(".",L503)+1)&gt;=1,LEN(L503)-FIND(".",L503,FIND(".",L503)+1)&lt;=2),AND(LEN(L503)-FIND(".",L503,FIND(".",L503)+1)=4,FIND(".",L503)&gt;=2,FIND(".",L503)&lt;=3)),FIND(".",L503,FIND(".",L503)+1)-FIND(".",L503)&gt;=2,FIND(".",L503,FIND(".",L503)+1)-FIND(".",L503)&lt;=3,P503&gt;=2000,P503&lt;=2100,YEAR(S503)=P503,MONTH(S503)=Q503,DAY(S503)=R503),S503,0)),0)</ns0:f>
        <ns0:v>0</ns0:v>
      </ns0:c>
      <ns0:c r="U503" s="0" t="str">
        <ns0:f>IF(Bookings!C503="","Full day",Bookings!C503)</ns0:f>
        <ns0:v>Full day</ns0:v>
      </ns0:c>
      <ns0:c r="V503" s="0" t="str">
        <ns0:f>IF(Bookings!E503="","Full day",Bookings!E503)</ns0:f>
        <ns0:v>Full day</ns0:v>
      </ns0:c>
      <ns0:c r="W503" s="0">
        <ns0:f>IF(J503=0,0,J503+IF(U503="PM",1,0))</ns0:f>
        <ns0:v>0</ns0:v>
      </ns0:c>
      <ns0:c r="X503" s="0">
        <ns0:f>IF(T503=0,0,T503-IF(V503="PM",1,0))</ns0:f>
        <ns0:v>0</ns0:v>
      </ns0:c>
      <ns0:c r="Y503" s="0">
        <ns0:f>IF(J503=0,0,J503+IF(U503="AM",1,0))</ns0:f>
        <ns0:v>0</ns0:v>
      </ns0:c>
      <ns0:c r="Z503" s="0">
        <ns0:f>IF(T503=0,0,T503-IF(V503="AM",1,0))</ns0:f>
        <ns0:v>0</ns0:v>
      </ns0:c>
      <ns0:c r="AA503" s="0">
        <ns0:f>IFERROR(IF(AND(J503&gt;0,'_Engine'!C503&gt;0,MID('_Engine'!W503,WEEKDAY(J503,2),1)="W",COUNTIF(Settings!$F$18:$F$67,J503)=0),1,0),0)</ns0:f>
        <ns0:v>0</ns0:v>
      </ns0:c>
      <ns0:c r="AB503" s="0">
        <ns0:f>IFERROR(IF(AND(T503&gt;0,'_Engine'!C503&gt;0,MID('_Engine'!W503,WEEKDAY(T503,2),1)="W",COUNTIF(Settings!$F$18:$F$67,T503)=0),1,0),0)</ns0:f>
        <ns0:v>0</ns0:v>
      </ns0:c>
      <ns0:c r="AC503" s="0">
        <ns0:f>IF(AND(J503&gt;0,T503&gt;0,W503&lt;=X503),1,0)</ns0:f>
        <ns0:v>0</ns0:v>
      </ns0:c>
      <ns0:c r="AD503" s="0">
        <ns0:f>IF(AND(J503&gt;0,T503&gt;0,Y503&lt;=Z503),1,0)</ns0:f>
        <ns0:v>0</ns0:v>
      </ns0:c>
    </ns0:row>
    <ns0:row r="504">
      <ns0:c r="A504" s="0">
        <ns0:f>IFERROR(IF(ISNUMBER(Bookings!B504),"",TRIM(Bookings!B504&amp;"")),"")</ns0:f>
      </ns0:c>
      <ns0:c r="B504" s="0">
        <ns0:f>IFERROR(SUBSTITUTE(SUBSTITUTE(A504,"/","."),"-","."),"")</ns0:f>
      </ns0:c>
      <ns0:c r="C504" s="0">
        <ns0:f>IFERROR(LEFT(B504,FIND(".",B504)-1),"")</ns0:f>
      </ns0:c>
      <ns0:c r="D504" s="0">
        <ns0:f>IFERROR(MID(B504,FIND(".",B504)+1,FIND(".",B504,FIND(".",B504)+1)-FIND(".",B504)-1),"")</ns0:f>
      </ns0:c>
      <ns0:c r="E504" s="0">
        <ns0:f>IFERROR(MID(B504,FIND(".",B504,FIND(".",B504)+1)+1,99),"")</ns0:f>
        <ns0:v>99</ns0:v>
      </ns0:c>
      <ns0:c r="F504" s="0">
        <ns0:f>IFERROR(IF(FIND(".",B504)=5,--C504,--E504),0)</ns0:f>
        <ns0:v>0</ns0:v>
      </ns0:c>
      <ns0:c r="G504" s="0">
        <ns0:f>IFERROR(--D504,0)</ns0:f>
        <ns0:v>0</ns0:v>
      </ns0:c>
      <ns0:c r="H504" s="0">
        <ns0:f>IFERROR(IF(FIND(".",B504)=5,--E504,--C504),0)</ns0:f>
        <ns0:v>0</ns0:v>
      </ns0:c>
      <ns0:c r="I504" s="0">
        <ns0:f>IFERROR(IF(AND(F504&gt;=2000,F504&lt;=2100,G504&gt;=1,G504&lt;=12,H504&gt;=1,H504&lt;=31),DATE(F504,G504,H504),0),0)</ns0:f>
        <ns0:v>0</ns0:v>
      </ns0:c>
      <ns0:c r="J504" s="0">
        <ns0:f>IFERROR(IF(ISNUMBER(Bookings!B504),IF(AND(Bookings!B504=INT(Bookings!B504),Bookings!B504&gt;=DATE(2000,1,1),Bookings!B504&lt;=DATE(2100,12,31)),Bookings!B504,0),IF(AND(A504&lt;&gt;"",LEN("x"&amp;B504)-LEN(SUBSTITUTE("x"&amp;B504,".",""))=2,OR(1&gt;LEN(B504),MID(B504,1,1)=".",ISNUMBER(FIND("x"&amp;MID(B504,1,1),"x0x1x2x3x4x5x6x7x8x9"))),OR(2&gt;LEN(B504),MID(B504,2,1)=".",ISNUMBER(FIND("x"&amp;MID(B504,2,1),"x0x1x2x3x4x5x6x7x8x9"))),OR(3&gt;LEN(B504),MID(B504,3,1)=".",ISNUMBER(FIND("x"&amp;MID(B504,3,1),"x0x1x2x3x4x5x6x7x8x9"))),OR(4&gt;LEN(B504),MID(B504,4,1)=".",ISNUMBER(FIND("x"&amp;MID(B504,4,1),"x0x1x2x3x4x5x6x7x8x9"))),OR(5&gt;LEN(B504),MID(B504,5,1)=".",ISNUMBER(FIND("x"&amp;MID(B504,5,1),"x0x1x2x3x4x5x6x7x8x9"))),OR(6&gt;LEN(B504),MID(B504,6,1)=".",ISNUMBER(FIND("x"&amp;MID(B504,6,1),"x0x1x2x3x4x5x6x7x8x9"))),OR(7&gt;LEN(B504),MID(B504,7,1)=".",ISNUMBER(FIND("x"&amp;MID(B504,7,1),"x0x1x2x3x4x5x6x7x8x9"))),OR(8&gt;LEN(B504),MID(B504,8,1)=".",ISNUMBER(FIND("x"&amp;MID(B504,8,1),"x0x1x2x3x4x5x6x7x8x9"))),OR(9&gt;LEN(B504),MID(B504,9,1)=".",ISNUMBER(FIND("x"&amp;MID(B504,9,1),"x0x1x2x3x4x5x6x7x8x9"))),OR(10&gt;LEN(B504),MID(B504,10,1)=".",ISNUMBER(FIND("x"&amp;MID(B504,10,1),"x0x1x2x3x4x5x6x7x8x9"))),OR(AND(FIND(".",B504)=5,LEN(B504)-FIND(".",B504,FIND(".",B504)+1)&gt;=1,LEN(B504)-FIND(".",B504,FIND(".",B504)+1)&lt;=2),AND(LEN(B504)-FIND(".",B504,FIND(".",B504)+1)=4,FIND(".",B504)&gt;=2,FIND(".",B504)&lt;=3)),FIND(".",B504,FIND(".",B504)+1)-FIND(".",B504)&gt;=2,FIND(".",B504,FIND(".",B504)+1)-FIND(".",B504)&lt;=3,F504&gt;=2000,F504&lt;=2100,YEAR(I504)=F504,MONTH(I504)=G504,DAY(I504)=H504),I504,0)),0)</ns0:f>
        <ns0:v>0</ns0:v>
      </ns0:c>
      <ns0:c r="K504" s="0">
        <ns0:f>IFERROR(IF(ISNUMBER(Bookings!D504),"",TRIM(Bookings!D504&amp;"")),"")</ns0:f>
      </ns0:c>
      <ns0:c r="L504" s="0">
        <ns0:f>IFERROR(SUBSTITUTE(SUBSTITUTE(K504,"/","."),"-","."),"")</ns0:f>
      </ns0:c>
      <ns0:c r="M504" s="0">
        <ns0:f>IFERROR(LEFT(L504,FIND(".",L504)-1),"")</ns0:f>
      </ns0:c>
      <ns0:c r="N504" s="0">
        <ns0:f>IFERROR(MID(L504,FIND(".",L504)+1,FIND(".",L504,FIND(".",L504)+1)-FIND(".",L504)-1),"")</ns0:f>
      </ns0:c>
      <ns0:c r="O504" s="0">
        <ns0:f>IFERROR(MID(L504,FIND(".",L504,FIND(".",L504)+1)+1,99),"")</ns0:f>
        <ns0:v>99</ns0:v>
      </ns0:c>
      <ns0:c r="P504" s="0">
        <ns0:f>IFERROR(IF(FIND(".",L504)=5,--M504,--O504),0)</ns0:f>
        <ns0:v>0</ns0:v>
      </ns0:c>
      <ns0:c r="Q504" s="0">
        <ns0:f>IFERROR(--N504,0)</ns0:f>
        <ns0:v>0</ns0:v>
      </ns0:c>
      <ns0:c r="R504" s="0">
        <ns0:f>IFERROR(IF(FIND(".",L504)=5,--O504,--M504),0)</ns0:f>
        <ns0:v>0</ns0:v>
      </ns0:c>
      <ns0:c r="S504" s="0">
        <ns0:f>IFERROR(IF(AND(P504&gt;=2000,P504&lt;=2100,Q504&gt;=1,Q504&lt;=12,R504&gt;=1,R504&lt;=31),DATE(P504,Q504,R504),0),0)</ns0:f>
        <ns0:v>0</ns0:v>
      </ns0:c>
      <ns0:c r="T504" s="0">
        <ns0:f>IFERROR(IF(ISNUMBER(Bookings!D504),IF(AND(Bookings!D504=INT(Bookings!D504),Bookings!D504&gt;=DATE(2000,1,1),Bookings!D504&lt;=DATE(2100,12,31)),Bookings!D504,0),IF(AND(K504&lt;&gt;"",LEN("x"&amp;L504)-LEN(SUBSTITUTE("x"&amp;L504,".",""))=2,OR(1&gt;LEN(L504),MID(L504,1,1)=".",ISNUMBER(FIND("x"&amp;MID(L504,1,1),"x0x1x2x3x4x5x6x7x8x9"))),OR(2&gt;LEN(L504),MID(L504,2,1)=".",ISNUMBER(FIND("x"&amp;MID(L504,2,1),"x0x1x2x3x4x5x6x7x8x9"))),OR(3&gt;LEN(L504),MID(L504,3,1)=".",ISNUMBER(FIND("x"&amp;MID(L504,3,1),"x0x1x2x3x4x5x6x7x8x9"))),OR(4&gt;LEN(L504),MID(L504,4,1)=".",ISNUMBER(FIND("x"&amp;MID(L504,4,1),"x0x1x2x3x4x5x6x7x8x9"))),OR(5&gt;LEN(L504),MID(L504,5,1)=".",ISNUMBER(FIND("x"&amp;MID(L504,5,1),"x0x1x2x3x4x5x6x7x8x9"))),OR(6&gt;LEN(L504),MID(L504,6,1)=".",ISNUMBER(FIND("x"&amp;MID(L504,6,1),"x0x1x2x3x4x5x6x7x8x9"))),OR(7&gt;LEN(L504),MID(L504,7,1)=".",ISNUMBER(FIND("x"&amp;MID(L504,7,1),"x0x1x2x3x4x5x6x7x8x9"))),OR(8&gt;LEN(L504),MID(L504,8,1)=".",ISNUMBER(FIND("x"&amp;MID(L504,8,1),"x0x1x2x3x4x5x6x7x8x9"))),OR(9&gt;LEN(L504),MID(L504,9,1)=".",ISNUMBER(FIND("x"&amp;MID(L504,9,1),"x0x1x2x3x4x5x6x7x8x9"))),OR(10&gt;LEN(L504),MID(L504,10,1)=".",ISNUMBER(FIND("x"&amp;MID(L504,10,1),"x0x1x2x3x4x5x6x7x8x9"))),OR(AND(FIND(".",L504)=5,LEN(L504)-FIND(".",L504,FIND(".",L504)+1)&gt;=1,LEN(L504)-FIND(".",L504,FIND(".",L504)+1)&lt;=2),AND(LEN(L504)-FIND(".",L504,FIND(".",L504)+1)=4,FIND(".",L504)&gt;=2,FIND(".",L504)&lt;=3)),FIND(".",L504,FIND(".",L504)+1)-FIND(".",L504)&gt;=2,FIND(".",L504,FIND(".",L504)+1)-FIND(".",L504)&lt;=3,P504&gt;=2000,P504&lt;=2100,YEAR(S504)=P504,MONTH(S504)=Q504,DAY(S504)=R504),S504,0)),0)</ns0:f>
        <ns0:v>0</ns0:v>
      </ns0:c>
      <ns0:c r="U504" s="0" t="str">
        <ns0:f>IF(Bookings!C504="","Full day",Bookings!C504)</ns0:f>
        <ns0:v>Full day</ns0:v>
      </ns0:c>
      <ns0:c r="V504" s="0" t="str">
        <ns0:f>IF(Bookings!E504="","Full day",Bookings!E504)</ns0:f>
        <ns0:v>Full day</ns0:v>
      </ns0:c>
      <ns0:c r="W504" s="0">
        <ns0:f>IF(J504=0,0,J504+IF(U504="PM",1,0))</ns0:f>
        <ns0:v>0</ns0:v>
      </ns0:c>
      <ns0:c r="X504" s="0">
        <ns0:f>IF(T504=0,0,T504-IF(V504="PM",1,0))</ns0:f>
        <ns0:v>0</ns0:v>
      </ns0:c>
      <ns0:c r="Y504" s="0">
        <ns0:f>IF(J504=0,0,J504+IF(U504="AM",1,0))</ns0:f>
        <ns0:v>0</ns0:v>
      </ns0:c>
      <ns0:c r="Z504" s="0">
        <ns0:f>IF(T504=0,0,T504-IF(V504="AM",1,0))</ns0:f>
        <ns0:v>0</ns0:v>
      </ns0:c>
      <ns0:c r="AA504" s="0">
        <ns0:f>IFERROR(IF(AND(J504&gt;0,'_Engine'!C504&gt;0,MID('_Engine'!W504,WEEKDAY(J504,2),1)="W",COUNTIF(Settings!$F$18:$F$67,J504)=0),1,0),0)</ns0:f>
        <ns0:v>0</ns0:v>
      </ns0:c>
      <ns0:c r="AB504" s="0">
        <ns0:f>IFERROR(IF(AND(T504&gt;0,'_Engine'!C504&gt;0,MID('_Engine'!W504,WEEKDAY(T504,2),1)="W",COUNTIF(Settings!$F$18:$F$67,T504)=0),1,0),0)</ns0:f>
        <ns0:v>0</ns0:v>
      </ns0:c>
      <ns0:c r="AC504" s="0">
        <ns0:f>IF(AND(J504&gt;0,T504&gt;0,W504&lt;=X504),1,0)</ns0:f>
        <ns0:v>0</ns0:v>
      </ns0:c>
      <ns0:c r="AD504" s="0">
        <ns0:f>IF(AND(J504&gt;0,T504&gt;0,Y504&lt;=Z504),1,0)</ns0:f>
        <ns0:v>0</ns0:v>
      </ns0:c>
    </ns0:row>
    <ns0:row r="505">
      <ns0:c r="A505" s="0">
        <ns0:f>IFERROR(IF(ISNUMBER(Bookings!B505),"",TRIM(Bookings!B505&amp;"")),"")</ns0:f>
      </ns0:c>
      <ns0:c r="B505" s="0">
        <ns0:f>IFERROR(SUBSTITUTE(SUBSTITUTE(A505,"/","."),"-","."),"")</ns0:f>
      </ns0:c>
      <ns0:c r="C505" s="0">
        <ns0:f>IFERROR(LEFT(B505,FIND(".",B505)-1),"")</ns0:f>
      </ns0:c>
      <ns0:c r="D505" s="0">
        <ns0:f>IFERROR(MID(B505,FIND(".",B505)+1,FIND(".",B505,FIND(".",B505)+1)-FIND(".",B505)-1),"")</ns0:f>
      </ns0:c>
      <ns0:c r="E505" s="0">
        <ns0:f>IFERROR(MID(B505,FIND(".",B505,FIND(".",B505)+1)+1,99),"")</ns0:f>
        <ns0:v>99</ns0:v>
      </ns0:c>
      <ns0:c r="F505" s="0">
        <ns0:f>IFERROR(IF(FIND(".",B505)=5,--C505,--E505),0)</ns0:f>
        <ns0:v>0</ns0:v>
      </ns0:c>
      <ns0:c r="G505" s="0">
        <ns0:f>IFERROR(--D505,0)</ns0:f>
        <ns0:v>0</ns0:v>
      </ns0:c>
      <ns0:c r="H505" s="0">
        <ns0:f>IFERROR(IF(FIND(".",B505)=5,--E505,--C505),0)</ns0:f>
        <ns0:v>0</ns0:v>
      </ns0:c>
      <ns0:c r="I505" s="0">
        <ns0:f>IFERROR(IF(AND(F505&gt;=2000,F505&lt;=2100,G505&gt;=1,G505&lt;=12,H505&gt;=1,H505&lt;=31),DATE(F505,G505,H505),0),0)</ns0:f>
        <ns0:v>0</ns0:v>
      </ns0:c>
      <ns0:c r="J505" s="0">
        <ns0:f>IFERROR(IF(ISNUMBER(Bookings!B505),IF(AND(Bookings!B505=INT(Bookings!B505),Bookings!B505&gt;=DATE(2000,1,1),Bookings!B505&lt;=DATE(2100,12,31)),Bookings!B505,0),IF(AND(A505&lt;&gt;"",LEN("x"&amp;B505)-LEN(SUBSTITUTE("x"&amp;B505,".",""))=2,OR(1&gt;LEN(B505),MID(B505,1,1)=".",ISNUMBER(FIND("x"&amp;MID(B505,1,1),"x0x1x2x3x4x5x6x7x8x9"))),OR(2&gt;LEN(B505),MID(B505,2,1)=".",ISNUMBER(FIND("x"&amp;MID(B505,2,1),"x0x1x2x3x4x5x6x7x8x9"))),OR(3&gt;LEN(B505),MID(B505,3,1)=".",ISNUMBER(FIND("x"&amp;MID(B505,3,1),"x0x1x2x3x4x5x6x7x8x9"))),OR(4&gt;LEN(B505),MID(B505,4,1)=".",ISNUMBER(FIND("x"&amp;MID(B505,4,1),"x0x1x2x3x4x5x6x7x8x9"))),OR(5&gt;LEN(B505),MID(B505,5,1)=".",ISNUMBER(FIND("x"&amp;MID(B505,5,1),"x0x1x2x3x4x5x6x7x8x9"))),OR(6&gt;LEN(B505),MID(B505,6,1)=".",ISNUMBER(FIND("x"&amp;MID(B505,6,1),"x0x1x2x3x4x5x6x7x8x9"))),OR(7&gt;LEN(B505),MID(B505,7,1)=".",ISNUMBER(FIND("x"&amp;MID(B505,7,1),"x0x1x2x3x4x5x6x7x8x9"))),OR(8&gt;LEN(B505),MID(B505,8,1)=".",ISNUMBER(FIND("x"&amp;MID(B505,8,1),"x0x1x2x3x4x5x6x7x8x9"))),OR(9&gt;LEN(B505),MID(B505,9,1)=".",ISNUMBER(FIND("x"&amp;MID(B505,9,1),"x0x1x2x3x4x5x6x7x8x9"))),OR(10&gt;LEN(B505),MID(B505,10,1)=".",ISNUMBER(FIND("x"&amp;MID(B505,10,1),"x0x1x2x3x4x5x6x7x8x9"))),OR(AND(FIND(".",B505)=5,LEN(B505)-FIND(".",B505,FIND(".",B505)+1)&gt;=1,LEN(B505)-FIND(".",B505,FIND(".",B505)+1)&lt;=2),AND(LEN(B505)-FIND(".",B505,FIND(".",B505)+1)=4,FIND(".",B505)&gt;=2,FIND(".",B505)&lt;=3)),FIND(".",B505,FIND(".",B505)+1)-FIND(".",B505)&gt;=2,FIND(".",B505,FIND(".",B505)+1)-FIND(".",B505)&lt;=3,F505&gt;=2000,F505&lt;=2100,YEAR(I505)=F505,MONTH(I505)=G505,DAY(I505)=H505),I505,0)),0)</ns0:f>
        <ns0:v>0</ns0:v>
      </ns0:c>
      <ns0:c r="K505" s="0">
        <ns0:f>IFERROR(IF(ISNUMBER(Bookings!D505),"",TRIM(Bookings!D505&amp;"")),"")</ns0:f>
      </ns0:c>
      <ns0:c r="L505" s="0">
        <ns0:f>IFERROR(SUBSTITUTE(SUBSTITUTE(K505,"/","."),"-","."),"")</ns0:f>
      </ns0:c>
      <ns0:c r="M505" s="0">
        <ns0:f>IFERROR(LEFT(L505,FIND(".",L505)-1),"")</ns0:f>
      </ns0:c>
      <ns0:c r="N505" s="0">
        <ns0:f>IFERROR(MID(L505,FIND(".",L505)+1,FIND(".",L505,FIND(".",L505)+1)-FIND(".",L505)-1),"")</ns0:f>
      </ns0:c>
      <ns0:c r="O505" s="0">
        <ns0:f>IFERROR(MID(L505,FIND(".",L505,FIND(".",L505)+1)+1,99),"")</ns0:f>
        <ns0:v>99</ns0:v>
      </ns0:c>
      <ns0:c r="P505" s="0">
        <ns0:f>IFERROR(IF(FIND(".",L505)=5,--M505,--O505),0)</ns0:f>
        <ns0:v>0</ns0:v>
      </ns0:c>
      <ns0:c r="Q505" s="0">
        <ns0:f>IFERROR(--N505,0)</ns0:f>
        <ns0:v>0</ns0:v>
      </ns0:c>
      <ns0:c r="R505" s="0">
        <ns0:f>IFERROR(IF(FIND(".",L505)=5,--O505,--M505),0)</ns0:f>
        <ns0:v>0</ns0:v>
      </ns0:c>
      <ns0:c r="S505" s="0">
        <ns0:f>IFERROR(IF(AND(P505&gt;=2000,P505&lt;=2100,Q505&gt;=1,Q505&lt;=12,R505&gt;=1,R505&lt;=31),DATE(P505,Q505,R505),0),0)</ns0:f>
        <ns0:v>0</ns0:v>
      </ns0:c>
      <ns0:c r="T505" s="0">
        <ns0:f>IFERROR(IF(ISNUMBER(Bookings!D505),IF(AND(Bookings!D505=INT(Bookings!D505),Bookings!D505&gt;=DATE(2000,1,1),Bookings!D505&lt;=DATE(2100,12,31)),Bookings!D505,0),IF(AND(K505&lt;&gt;"",LEN("x"&amp;L505)-LEN(SUBSTITUTE("x"&amp;L505,".",""))=2,OR(1&gt;LEN(L505),MID(L505,1,1)=".",ISNUMBER(FIND("x"&amp;MID(L505,1,1),"x0x1x2x3x4x5x6x7x8x9"))),OR(2&gt;LEN(L505),MID(L505,2,1)=".",ISNUMBER(FIND("x"&amp;MID(L505,2,1),"x0x1x2x3x4x5x6x7x8x9"))),OR(3&gt;LEN(L505),MID(L505,3,1)=".",ISNUMBER(FIND("x"&amp;MID(L505,3,1),"x0x1x2x3x4x5x6x7x8x9"))),OR(4&gt;LEN(L505),MID(L505,4,1)=".",ISNUMBER(FIND("x"&amp;MID(L505,4,1),"x0x1x2x3x4x5x6x7x8x9"))),OR(5&gt;LEN(L505),MID(L505,5,1)=".",ISNUMBER(FIND("x"&amp;MID(L505,5,1),"x0x1x2x3x4x5x6x7x8x9"))),OR(6&gt;LEN(L505),MID(L505,6,1)=".",ISNUMBER(FIND("x"&amp;MID(L505,6,1),"x0x1x2x3x4x5x6x7x8x9"))),OR(7&gt;LEN(L505),MID(L505,7,1)=".",ISNUMBER(FIND("x"&amp;MID(L505,7,1),"x0x1x2x3x4x5x6x7x8x9"))),OR(8&gt;LEN(L505),MID(L505,8,1)=".",ISNUMBER(FIND("x"&amp;MID(L505,8,1),"x0x1x2x3x4x5x6x7x8x9"))),OR(9&gt;LEN(L505),MID(L505,9,1)=".",ISNUMBER(FIND("x"&amp;MID(L505,9,1),"x0x1x2x3x4x5x6x7x8x9"))),OR(10&gt;LEN(L505),MID(L505,10,1)=".",ISNUMBER(FIND("x"&amp;MID(L505,10,1),"x0x1x2x3x4x5x6x7x8x9"))),OR(AND(FIND(".",L505)=5,LEN(L505)-FIND(".",L505,FIND(".",L505)+1)&gt;=1,LEN(L505)-FIND(".",L505,FIND(".",L505)+1)&lt;=2),AND(LEN(L505)-FIND(".",L505,FIND(".",L505)+1)=4,FIND(".",L505)&gt;=2,FIND(".",L505)&lt;=3)),FIND(".",L505,FIND(".",L505)+1)-FIND(".",L505)&gt;=2,FIND(".",L505,FIND(".",L505)+1)-FIND(".",L505)&lt;=3,P505&gt;=2000,P505&lt;=2100,YEAR(S505)=P505,MONTH(S505)=Q505,DAY(S505)=R505),S505,0)),0)</ns0:f>
        <ns0:v>0</ns0:v>
      </ns0:c>
      <ns0:c r="U505" s="0" t="str">
        <ns0:f>IF(Bookings!C505="","Full day",Bookings!C505)</ns0:f>
        <ns0:v>Full day</ns0:v>
      </ns0:c>
      <ns0:c r="V505" s="0" t="str">
        <ns0:f>IF(Bookings!E505="","Full day",Bookings!E505)</ns0:f>
        <ns0:v>Full day</ns0:v>
      </ns0:c>
      <ns0:c r="W505" s="0">
        <ns0:f>IF(J505=0,0,J505+IF(U505="PM",1,0))</ns0:f>
        <ns0:v>0</ns0:v>
      </ns0:c>
      <ns0:c r="X505" s="0">
        <ns0:f>IF(T505=0,0,T505-IF(V505="PM",1,0))</ns0:f>
        <ns0:v>0</ns0:v>
      </ns0:c>
      <ns0:c r="Y505" s="0">
        <ns0:f>IF(J505=0,0,J505+IF(U505="AM",1,0))</ns0:f>
        <ns0:v>0</ns0:v>
      </ns0:c>
      <ns0:c r="Z505" s="0">
        <ns0:f>IF(T505=0,0,T505-IF(V505="AM",1,0))</ns0:f>
        <ns0:v>0</ns0:v>
      </ns0:c>
      <ns0:c r="AA505" s="0">
        <ns0:f>IFERROR(IF(AND(J505&gt;0,'_Engine'!C505&gt;0,MID('_Engine'!W505,WEEKDAY(J505,2),1)="W",COUNTIF(Settings!$F$18:$F$67,J505)=0),1,0),0)</ns0:f>
        <ns0:v>0</ns0:v>
      </ns0:c>
      <ns0:c r="AB505" s="0">
        <ns0:f>IFERROR(IF(AND(T505&gt;0,'_Engine'!C505&gt;0,MID('_Engine'!W505,WEEKDAY(T505,2),1)="W",COUNTIF(Settings!$F$18:$F$67,T505)=0),1,0),0)</ns0:f>
        <ns0:v>0</ns0:v>
      </ns0:c>
      <ns0:c r="AC505" s="0">
        <ns0:f>IF(AND(J505&gt;0,T505&gt;0,W505&lt;=X505),1,0)</ns0:f>
        <ns0:v>0</ns0:v>
      </ns0:c>
      <ns0:c r="AD505" s="0">
        <ns0:f>IF(AND(J505&gt;0,T505&gt;0,Y505&lt;=Z505),1,0)</ns0:f>
        <ns0:v>0</ns0:v>
      </ns0:c>
    </ns0:row>
    <ns0:row r="506">
      <ns0:c r="A506" s="0">
        <ns0:f>IFERROR(IF(ISNUMBER(Bookings!B506),"",TRIM(Bookings!B506&amp;"")),"")</ns0:f>
      </ns0:c>
      <ns0:c r="B506" s="0">
        <ns0:f>IFERROR(SUBSTITUTE(SUBSTITUTE(A506,"/","."),"-","."),"")</ns0:f>
      </ns0:c>
      <ns0:c r="C506" s="0">
        <ns0:f>IFERROR(LEFT(B506,FIND(".",B506)-1),"")</ns0:f>
      </ns0:c>
      <ns0:c r="D506" s="0">
        <ns0:f>IFERROR(MID(B506,FIND(".",B506)+1,FIND(".",B506,FIND(".",B506)+1)-FIND(".",B506)-1),"")</ns0:f>
      </ns0:c>
      <ns0:c r="E506" s="0">
        <ns0:f>IFERROR(MID(B506,FIND(".",B506,FIND(".",B506)+1)+1,99),"")</ns0:f>
        <ns0:v>99</ns0:v>
      </ns0:c>
      <ns0:c r="F506" s="0">
        <ns0:f>IFERROR(IF(FIND(".",B506)=5,--C506,--E506),0)</ns0:f>
        <ns0:v>0</ns0:v>
      </ns0:c>
      <ns0:c r="G506" s="0">
        <ns0:f>IFERROR(--D506,0)</ns0:f>
        <ns0:v>0</ns0:v>
      </ns0:c>
      <ns0:c r="H506" s="0">
        <ns0:f>IFERROR(IF(FIND(".",B506)=5,--E506,--C506),0)</ns0:f>
        <ns0:v>0</ns0:v>
      </ns0:c>
      <ns0:c r="I506" s="0">
        <ns0:f>IFERROR(IF(AND(F506&gt;=2000,F506&lt;=2100,G506&gt;=1,G506&lt;=12,H506&gt;=1,H506&lt;=31),DATE(F506,G506,H506),0),0)</ns0:f>
        <ns0:v>0</ns0:v>
      </ns0:c>
      <ns0:c r="J506" s="0">
        <ns0:f>IFERROR(IF(ISNUMBER(Bookings!B506),IF(AND(Bookings!B506=INT(Bookings!B506),Bookings!B506&gt;=DATE(2000,1,1),Bookings!B506&lt;=DATE(2100,12,31)),Bookings!B506,0),IF(AND(A506&lt;&gt;"",LEN("x"&amp;B506)-LEN(SUBSTITUTE("x"&amp;B506,".",""))=2,OR(1&gt;LEN(B506),MID(B506,1,1)=".",ISNUMBER(FIND("x"&amp;MID(B506,1,1),"x0x1x2x3x4x5x6x7x8x9"))),OR(2&gt;LEN(B506),MID(B506,2,1)=".",ISNUMBER(FIND("x"&amp;MID(B506,2,1),"x0x1x2x3x4x5x6x7x8x9"))),OR(3&gt;LEN(B506),MID(B506,3,1)=".",ISNUMBER(FIND("x"&amp;MID(B506,3,1),"x0x1x2x3x4x5x6x7x8x9"))),OR(4&gt;LEN(B506),MID(B506,4,1)=".",ISNUMBER(FIND("x"&amp;MID(B506,4,1),"x0x1x2x3x4x5x6x7x8x9"))),OR(5&gt;LEN(B506),MID(B506,5,1)=".",ISNUMBER(FIND("x"&amp;MID(B506,5,1),"x0x1x2x3x4x5x6x7x8x9"))),OR(6&gt;LEN(B506),MID(B506,6,1)=".",ISNUMBER(FIND("x"&amp;MID(B506,6,1),"x0x1x2x3x4x5x6x7x8x9"))),OR(7&gt;LEN(B506),MID(B506,7,1)=".",ISNUMBER(FIND("x"&amp;MID(B506,7,1),"x0x1x2x3x4x5x6x7x8x9"))),OR(8&gt;LEN(B506),MID(B506,8,1)=".",ISNUMBER(FIND("x"&amp;MID(B506,8,1),"x0x1x2x3x4x5x6x7x8x9"))),OR(9&gt;LEN(B506),MID(B506,9,1)=".",ISNUMBER(FIND("x"&amp;MID(B506,9,1),"x0x1x2x3x4x5x6x7x8x9"))),OR(10&gt;LEN(B506),MID(B506,10,1)=".",ISNUMBER(FIND("x"&amp;MID(B506,10,1),"x0x1x2x3x4x5x6x7x8x9"))),OR(AND(FIND(".",B506)=5,LEN(B506)-FIND(".",B506,FIND(".",B506)+1)&gt;=1,LEN(B506)-FIND(".",B506,FIND(".",B506)+1)&lt;=2),AND(LEN(B506)-FIND(".",B506,FIND(".",B506)+1)=4,FIND(".",B506)&gt;=2,FIND(".",B506)&lt;=3)),FIND(".",B506,FIND(".",B506)+1)-FIND(".",B506)&gt;=2,FIND(".",B506,FIND(".",B506)+1)-FIND(".",B506)&lt;=3,F506&gt;=2000,F506&lt;=2100,YEAR(I506)=F506,MONTH(I506)=G506,DAY(I506)=H506),I506,0)),0)</ns0:f>
        <ns0:v>0</ns0:v>
      </ns0:c>
      <ns0:c r="K506" s="0">
        <ns0:f>IFERROR(IF(ISNUMBER(Bookings!D506),"",TRIM(Bookings!D506&amp;"")),"")</ns0:f>
      </ns0:c>
      <ns0:c r="L506" s="0">
        <ns0:f>IFERROR(SUBSTITUTE(SUBSTITUTE(K506,"/","."),"-","."),"")</ns0:f>
      </ns0:c>
      <ns0:c r="M506" s="0">
        <ns0:f>IFERROR(LEFT(L506,FIND(".",L506)-1),"")</ns0:f>
      </ns0:c>
      <ns0:c r="N506" s="0">
        <ns0:f>IFERROR(MID(L506,FIND(".",L506)+1,FIND(".",L506,FIND(".",L506)+1)-FIND(".",L506)-1),"")</ns0:f>
      </ns0:c>
      <ns0:c r="O506" s="0">
        <ns0:f>IFERROR(MID(L506,FIND(".",L506,FIND(".",L506)+1)+1,99),"")</ns0:f>
        <ns0:v>99</ns0:v>
      </ns0:c>
      <ns0:c r="P506" s="0">
        <ns0:f>IFERROR(IF(FIND(".",L506)=5,--M506,--O506),0)</ns0:f>
        <ns0:v>0</ns0:v>
      </ns0:c>
      <ns0:c r="Q506" s="0">
        <ns0:f>IFERROR(--N506,0)</ns0:f>
        <ns0:v>0</ns0:v>
      </ns0:c>
      <ns0:c r="R506" s="0">
        <ns0:f>IFERROR(IF(FIND(".",L506)=5,--O506,--M506),0)</ns0:f>
        <ns0:v>0</ns0:v>
      </ns0:c>
      <ns0:c r="S506" s="0">
        <ns0:f>IFERROR(IF(AND(P506&gt;=2000,P506&lt;=2100,Q506&gt;=1,Q506&lt;=12,R506&gt;=1,R506&lt;=31),DATE(P506,Q506,R506),0),0)</ns0:f>
        <ns0:v>0</ns0:v>
      </ns0:c>
      <ns0:c r="T506" s="0">
        <ns0:f>IFERROR(IF(ISNUMBER(Bookings!D506),IF(AND(Bookings!D506=INT(Bookings!D506),Bookings!D506&gt;=DATE(2000,1,1),Bookings!D506&lt;=DATE(2100,12,31)),Bookings!D506,0),IF(AND(K506&lt;&gt;"",LEN("x"&amp;L506)-LEN(SUBSTITUTE("x"&amp;L506,".",""))=2,OR(1&gt;LEN(L506),MID(L506,1,1)=".",ISNUMBER(FIND("x"&amp;MID(L506,1,1),"x0x1x2x3x4x5x6x7x8x9"))),OR(2&gt;LEN(L506),MID(L506,2,1)=".",ISNUMBER(FIND("x"&amp;MID(L506,2,1),"x0x1x2x3x4x5x6x7x8x9"))),OR(3&gt;LEN(L506),MID(L506,3,1)=".",ISNUMBER(FIND("x"&amp;MID(L506,3,1),"x0x1x2x3x4x5x6x7x8x9"))),OR(4&gt;LEN(L506),MID(L506,4,1)=".",ISNUMBER(FIND("x"&amp;MID(L506,4,1),"x0x1x2x3x4x5x6x7x8x9"))),OR(5&gt;LEN(L506),MID(L506,5,1)=".",ISNUMBER(FIND("x"&amp;MID(L506,5,1),"x0x1x2x3x4x5x6x7x8x9"))),OR(6&gt;LEN(L506),MID(L506,6,1)=".",ISNUMBER(FIND("x"&amp;MID(L506,6,1),"x0x1x2x3x4x5x6x7x8x9"))),OR(7&gt;LEN(L506),MID(L506,7,1)=".",ISNUMBER(FIND("x"&amp;MID(L506,7,1),"x0x1x2x3x4x5x6x7x8x9"))),OR(8&gt;LEN(L506),MID(L506,8,1)=".",ISNUMBER(FIND("x"&amp;MID(L506,8,1),"x0x1x2x3x4x5x6x7x8x9"))),OR(9&gt;LEN(L506),MID(L506,9,1)=".",ISNUMBER(FIND("x"&amp;MID(L506,9,1),"x0x1x2x3x4x5x6x7x8x9"))),OR(10&gt;LEN(L506),MID(L506,10,1)=".",ISNUMBER(FIND("x"&amp;MID(L506,10,1),"x0x1x2x3x4x5x6x7x8x9"))),OR(AND(FIND(".",L506)=5,LEN(L506)-FIND(".",L506,FIND(".",L506)+1)&gt;=1,LEN(L506)-FIND(".",L506,FIND(".",L506)+1)&lt;=2),AND(LEN(L506)-FIND(".",L506,FIND(".",L506)+1)=4,FIND(".",L506)&gt;=2,FIND(".",L506)&lt;=3)),FIND(".",L506,FIND(".",L506)+1)-FIND(".",L506)&gt;=2,FIND(".",L506,FIND(".",L506)+1)-FIND(".",L506)&lt;=3,P506&gt;=2000,P506&lt;=2100,YEAR(S506)=P506,MONTH(S506)=Q506,DAY(S506)=R506),S506,0)),0)</ns0:f>
        <ns0:v>0</ns0:v>
      </ns0:c>
      <ns0:c r="U506" s="0" t="str">
        <ns0:f>IF(Bookings!C506="","Full day",Bookings!C506)</ns0:f>
        <ns0:v>Full day</ns0:v>
      </ns0:c>
      <ns0:c r="V506" s="0" t="str">
        <ns0:f>IF(Bookings!E506="","Full day",Bookings!E506)</ns0:f>
        <ns0:v>Full day</ns0:v>
      </ns0:c>
      <ns0:c r="W506" s="0">
        <ns0:f>IF(J506=0,0,J506+IF(U506="PM",1,0))</ns0:f>
        <ns0:v>0</ns0:v>
      </ns0:c>
      <ns0:c r="X506" s="0">
        <ns0:f>IF(T506=0,0,T506-IF(V506="PM",1,0))</ns0:f>
        <ns0:v>0</ns0:v>
      </ns0:c>
      <ns0:c r="Y506" s="0">
        <ns0:f>IF(J506=0,0,J506+IF(U506="AM",1,0))</ns0:f>
        <ns0:v>0</ns0:v>
      </ns0:c>
      <ns0:c r="Z506" s="0">
        <ns0:f>IF(T506=0,0,T506-IF(V506="AM",1,0))</ns0:f>
        <ns0:v>0</ns0:v>
      </ns0:c>
      <ns0:c r="AA506" s="0">
        <ns0:f>IFERROR(IF(AND(J506&gt;0,'_Engine'!C506&gt;0,MID('_Engine'!W506,WEEKDAY(J506,2),1)="W",COUNTIF(Settings!$F$18:$F$67,J506)=0),1,0),0)</ns0:f>
        <ns0:v>0</ns0:v>
      </ns0:c>
      <ns0:c r="AB506" s="0">
        <ns0:f>IFERROR(IF(AND(T506&gt;0,'_Engine'!C506&gt;0,MID('_Engine'!W506,WEEKDAY(T506,2),1)="W",COUNTIF(Settings!$F$18:$F$67,T506)=0),1,0),0)</ns0:f>
        <ns0:v>0</ns0:v>
      </ns0:c>
      <ns0:c r="AC506" s="0">
        <ns0:f>IF(AND(J506&gt;0,T506&gt;0,W506&lt;=X506),1,0)</ns0:f>
        <ns0:v>0</ns0:v>
      </ns0:c>
      <ns0:c r="AD506" s="0">
        <ns0:f>IF(AND(J506&gt;0,T506&gt;0,Y506&lt;=Z506),1,0)</ns0:f>
        <ns0:v>0</ns0:v>
      </ns0:c>
    </ns0:row>
    <ns0:row r="507">
      <ns0:c r="A507" s="0">
        <ns0:f>IFERROR(IF(ISNUMBER(Bookings!B507),"",TRIM(Bookings!B507&amp;"")),"")</ns0:f>
      </ns0:c>
      <ns0:c r="B507" s="0">
        <ns0:f>IFERROR(SUBSTITUTE(SUBSTITUTE(A507,"/","."),"-","."),"")</ns0:f>
      </ns0:c>
      <ns0:c r="C507" s="0">
        <ns0:f>IFERROR(LEFT(B507,FIND(".",B507)-1),"")</ns0:f>
      </ns0:c>
      <ns0:c r="D507" s="0">
        <ns0:f>IFERROR(MID(B507,FIND(".",B507)+1,FIND(".",B507,FIND(".",B507)+1)-FIND(".",B507)-1),"")</ns0:f>
      </ns0:c>
      <ns0:c r="E507" s="0">
        <ns0:f>IFERROR(MID(B507,FIND(".",B507,FIND(".",B507)+1)+1,99),"")</ns0:f>
        <ns0:v>99</ns0:v>
      </ns0:c>
      <ns0:c r="F507" s="0">
        <ns0:f>IFERROR(IF(FIND(".",B507)=5,--C507,--E507),0)</ns0:f>
        <ns0:v>0</ns0:v>
      </ns0:c>
      <ns0:c r="G507" s="0">
        <ns0:f>IFERROR(--D507,0)</ns0:f>
        <ns0:v>0</ns0:v>
      </ns0:c>
      <ns0:c r="H507" s="0">
        <ns0:f>IFERROR(IF(FIND(".",B507)=5,--E507,--C507),0)</ns0:f>
        <ns0:v>0</ns0:v>
      </ns0:c>
      <ns0:c r="I507" s="0">
        <ns0:f>IFERROR(IF(AND(F507&gt;=2000,F507&lt;=2100,G507&gt;=1,G507&lt;=12,H507&gt;=1,H507&lt;=31),DATE(F507,G507,H507),0),0)</ns0:f>
        <ns0:v>0</ns0:v>
      </ns0:c>
      <ns0:c r="J507" s="0">
        <ns0:f>IFERROR(IF(ISNUMBER(Bookings!B507),IF(AND(Bookings!B507=INT(Bookings!B507),Bookings!B507&gt;=DATE(2000,1,1),Bookings!B507&lt;=DATE(2100,12,31)),Bookings!B507,0),IF(AND(A507&lt;&gt;"",LEN("x"&amp;B507)-LEN(SUBSTITUTE("x"&amp;B507,".",""))=2,OR(1&gt;LEN(B507),MID(B507,1,1)=".",ISNUMBER(FIND("x"&amp;MID(B507,1,1),"x0x1x2x3x4x5x6x7x8x9"))),OR(2&gt;LEN(B507),MID(B507,2,1)=".",ISNUMBER(FIND("x"&amp;MID(B507,2,1),"x0x1x2x3x4x5x6x7x8x9"))),OR(3&gt;LEN(B507),MID(B507,3,1)=".",ISNUMBER(FIND("x"&amp;MID(B507,3,1),"x0x1x2x3x4x5x6x7x8x9"))),OR(4&gt;LEN(B507),MID(B507,4,1)=".",ISNUMBER(FIND("x"&amp;MID(B507,4,1),"x0x1x2x3x4x5x6x7x8x9"))),OR(5&gt;LEN(B507),MID(B507,5,1)=".",ISNUMBER(FIND("x"&amp;MID(B507,5,1),"x0x1x2x3x4x5x6x7x8x9"))),OR(6&gt;LEN(B507),MID(B507,6,1)=".",ISNUMBER(FIND("x"&amp;MID(B507,6,1),"x0x1x2x3x4x5x6x7x8x9"))),OR(7&gt;LEN(B507),MID(B507,7,1)=".",ISNUMBER(FIND("x"&amp;MID(B507,7,1),"x0x1x2x3x4x5x6x7x8x9"))),OR(8&gt;LEN(B507),MID(B507,8,1)=".",ISNUMBER(FIND("x"&amp;MID(B507,8,1),"x0x1x2x3x4x5x6x7x8x9"))),OR(9&gt;LEN(B507),MID(B507,9,1)=".",ISNUMBER(FIND("x"&amp;MID(B507,9,1),"x0x1x2x3x4x5x6x7x8x9"))),OR(10&gt;LEN(B507),MID(B507,10,1)=".",ISNUMBER(FIND("x"&amp;MID(B507,10,1),"x0x1x2x3x4x5x6x7x8x9"))),OR(AND(FIND(".",B507)=5,LEN(B507)-FIND(".",B507,FIND(".",B507)+1)&gt;=1,LEN(B507)-FIND(".",B507,FIND(".",B507)+1)&lt;=2),AND(LEN(B507)-FIND(".",B507,FIND(".",B507)+1)=4,FIND(".",B507)&gt;=2,FIND(".",B507)&lt;=3)),FIND(".",B507,FIND(".",B507)+1)-FIND(".",B507)&gt;=2,FIND(".",B507,FIND(".",B507)+1)-FIND(".",B507)&lt;=3,F507&gt;=2000,F507&lt;=2100,YEAR(I507)=F507,MONTH(I507)=G507,DAY(I507)=H507),I507,0)),0)</ns0:f>
        <ns0:v>0</ns0:v>
      </ns0:c>
      <ns0:c r="K507" s="0">
        <ns0:f>IFERROR(IF(ISNUMBER(Bookings!D507),"",TRIM(Bookings!D507&amp;"")),"")</ns0:f>
      </ns0:c>
      <ns0:c r="L507" s="0">
        <ns0:f>IFERROR(SUBSTITUTE(SUBSTITUTE(K507,"/","."),"-","."),"")</ns0:f>
      </ns0:c>
      <ns0:c r="M507" s="0">
        <ns0:f>IFERROR(LEFT(L507,FIND(".",L507)-1),"")</ns0:f>
      </ns0:c>
      <ns0:c r="N507" s="0">
        <ns0:f>IFERROR(MID(L507,FIND(".",L507)+1,FIND(".",L507,FIND(".",L507)+1)-FIND(".",L507)-1),"")</ns0:f>
      </ns0:c>
      <ns0:c r="O507" s="0">
        <ns0:f>IFERROR(MID(L507,FIND(".",L507,FIND(".",L507)+1)+1,99),"")</ns0:f>
        <ns0:v>99</ns0:v>
      </ns0:c>
      <ns0:c r="P507" s="0">
        <ns0:f>IFERROR(IF(FIND(".",L507)=5,--M507,--O507),0)</ns0:f>
        <ns0:v>0</ns0:v>
      </ns0:c>
      <ns0:c r="Q507" s="0">
        <ns0:f>IFERROR(--N507,0)</ns0:f>
        <ns0:v>0</ns0:v>
      </ns0:c>
      <ns0:c r="R507" s="0">
        <ns0:f>IFERROR(IF(FIND(".",L507)=5,--O507,--M507),0)</ns0:f>
        <ns0:v>0</ns0:v>
      </ns0:c>
      <ns0:c r="S507" s="0">
        <ns0:f>IFERROR(IF(AND(P507&gt;=2000,P507&lt;=2100,Q507&gt;=1,Q507&lt;=12,R507&gt;=1,R507&lt;=31),DATE(P507,Q507,R507),0),0)</ns0:f>
        <ns0:v>0</ns0:v>
      </ns0:c>
      <ns0:c r="T507" s="0">
        <ns0:f>IFERROR(IF(ISNUMBER(Bookings!D507),IF(AND(Bookings!D507=INT(Bookings!D507),Bookings!D507&gt;=DATE(2000,1,1),Bookings!D507&lt;=DATE(2100,12,31)),Bookings!D507,0),IF(AND(K507&lt;&gt;"",LEN("x"&amp;L507)-LEN(SUBSTITUTE("x"&amp;L507,".",""))=2,OR(1&gt;LEN(L507),MID(L507,1,1)=".",ISNUMBER(FIND("x"&amp;MID(L507,1,1),"x0x1x2x3x4x5x6x7x8x9"))),OR(2&gt;LEN(L507),MID(L507,2,1)=".",ISNUMBER(FIND("x"&amp;MID(L507,2,1),"x0x1x2x3x4x5x6x7x8x9"))),OR(3&gt;LEN(L507),MID(L507,3,1)=".",ISNUMBER(FIND("x"&amp;MID(L507,3,1),"x0x1x2x3x4x5x6x7x8x9"))),OR(4&gt;LEN(L507),MID(L507,4,1)=".",ISNUMBER(FIND("x"&amp;MID(L507,4,1),"x0x1x2x3x4x5x6x7x8x9"))),OR(5&gt;LEN(L507),MID(L507,5,1)=".",ISNUMBER(FIND("x"&amp;MID(L507,5,1),"x0x1x2x3x4x5x6x7x8x9"))),OR(6&gt;LEN(L507),MID(L507,6,1)=".",ISNUMBER(FIND("x"&amp;MID(L507,6,1),"x0x1x2x3x4x5x6x7x8x9"))),OR(7&gt;LEN(L507),MID(L507,7,1)=".",ISNUMBER(FIND("x"&amp;MID(L507,7,1),"x0x1x2x3x4x5x6x7x8x9"))),OR(8&gt;LEN(L507),MID(L507,8,1)=".",ISNUMBER(FIND("x"&amp;MID(L507,8,1),"x0x1x2x3x4x5x6x7x8x9"))),OR(9&gt;LEN(L507),MID(L507,9,1)=".",ISNUMBER(FIND("x"&amp;MID(L507,9,1),"x0x1x2x3x4x5x6x7x8x9"))),OR(10&gt;LEN(L507),MID(L507,10,1)=".",ISNUMBER(FIND("x"&amp;MID(L507,10,1),"x0x1x2x3x4x5x6x7x8x9"))),OR(AND(FIND(".",L507)=5,LEN(L507)-FIND(".",L507,FIND(".",L507)+1)&gt;=1,LEN(L507)-FIND(".",L507,FIND(".",L507)+1)&lt;=2),AND(LEN(L507)-FIND(".",L507,FIND(".",L507)+1)=4,FIND(".",L507)&gt;=2,FIND(".",L507)&lt;=3)),FIND(".",L507,FIND(".",L507)+1)-FIND(".",L507)&gt;=2,FIND(".",L507,FIND(".",L507)+1)-FIND(".",L507)&lt;=3,P507&gt;=2000,P507&lt;=2100,YEAR(S507)=P507,MONTH(S507)=Q507,DAY(S507)=R507),S507,0)),0)</ns0:f>
        <ns0:v>0</ns0:v>
      </ns0:c>
      <ns0:c r="U507" s="0" t="str">
        <ns0:f>IF(Bookings!C507="","Full day",Bookings!C507)</ns0:f>
        <ns0:v>Full day</ns0:v>
      </ns0:c>
      <ns0:c r="V507" s="0" t="str">
        <ns0:f>IF(Bookings!E507="","Full day",Bookings!E507)</ns0:f>
        <ns0:v>Full day</ns0:v>
      </ns0:c>
      <ns0:c r="W507" s="0">
        <ns0:f>IF(J507=0,0,J507+IF(U507="PM",1,0))</ns0:f>
        <ns0:v>0</ns0:v>
      </ns0:c>
      <ns0:c r="X507" s="0">
        <ns0:f>IF(T507=0,0,T507-IF(V507="PM",1,0))</ns0:f>
        <ns0:v>0</ns0:v>
      </ns0:c>
      <ns0:c r="Y507" s="0">
        <ns0:f>IF(J507=0,0,J507+IF(U507="AM",1,0))</ns0:f>
        <ns0:v>0</ns0:v>
      </ns0:c>
      <ns0:c r="Z507" s="0">
        <ns0:f>IF(T507=0,0,T507-IF(V507="AM",1,0))</ns0:f>
        <ns0:v>0</ns0:v>
      </ns0:c>
      <ns0:c r="AA507" s="0">
        <ns0:f>IFERROR(IF(AND(J507&gt;0,'_Engine'!C507&gt;0,MID('_Engine'!W507,WEEKDAY(J507,2),1)="W",COUNTIF(Settings!$F$18:$F$67,J507)=0),1,0),0)</ns0:f>
        <ns0:v>0</ns0:v>
      </ns0:c>
      <ns0:c r="AB507" s="0">
        <ns0:f>IFERROR(IF(AND(T507&gt;0,'_Engine'!C507&gt;0,MID('_Engine'!W507,WEEKDAY(T507,2),1)="W",COUNTIF(Settings!$F$18:$F$67,T507)=0),1,0),0)</ns0:f>
        <ns0:v>0</ns0:v>
      </ns0:c>
      <ns0:c r="AC507" s="0">
        <ns0:f>IF(AND(J507&gt;0,T507&gt;0,W507&lt;=X507),1,0)</ns0:f>
        <ns0:v>0</ns0:v>
      </ns0:c>
      <ns0:c r="AD507" s="0">
        <ns0:f>IF(AND(J507&gt;0,T507&gt;0,Y507&lt;=Z507),1,0)</ns0:f>
        <ns0:v>0</ns0:v>
      </ns0:c>
    </ns0:row>
    <ns0:row r="508">
      <ns0:c r="A508" s="0">
        <ns0:f>IFERROR(IF(ISNUMBER(Bookings!B508),"",TRIM(Bookings!B508&amp;"")),"")</ns0:f>
      </ns0:c>
      <ns0:c r="B508" s="0">
        <ns0:f>IFERROR(SUBSTITUTE(SUBSTITUTE(A508,"/","."),"-","."),"")</ns0:f>
      </ns0:c>
      <ns0:c r="C508" s="0">
        <ns0:f>IFERROR(LEFT(B508,FIND(".",B508)-1),"")</ns0:f>
      </ns0:c>
      <ns0:c r="D508" s="0">
        <ns0:f>IFERROR(MID(B508,FIND(".",B508)+1,FIND(".",B508,FIND(".",B508)+1)-FIND(".",B508)-1),"")</ns0:f>
      </ns0:c>
      <ns0:c r="E508" s="0">
        <ns0:f>IFERROR(MID(B508,FIND(".",B508,FIND(".",B508)+1)+1,99),"")</ns0:f>
        <ns0:v>99</ns0:v>
      </ns0:c>
      <ns0:c r="F508" s="0">
        <ns0:f>IFERROR(IF(FIND(".",B508)=5,--C508,--E508),0)</ns0:f>
        <ns0:v>0</ns0:v>
      </ns0:c>
      <ns0:c r="G508" s="0">
        <ns0:f>IFERROR(--D508,0)</ns0:f>
        <ns0:v>0</ns0:v>
      </ns0:c>
      <ns0:c r="H508" s="0">
        <ns0:f>IFERROR(IF(FIND(".",B508)=5,--E508,--C508),0)</ns0:f>
        <ns0:v>0</ns0:v>
      </ns0:c>
      <ns0:c r="I508" s="0">
        <ns0:f>IFERROR(IF(AND(F508&gt;=2000,F508&lt;=2100,G508&gt;=1,G508&lt;=12,H508&gt;=1,H508&lt;=31),DATE(F508,G508,H508),0),0)</ns0:f>
        <ns0:v>0</ns0:v>
      </ns0:c>
      <ns0:c r="J508" s="0">
        <ns0:f>IFERROR(IF(ISNUMBER(Bookings!B508),IF(AND(Bookings!B508=INT(Bookings!B508),Bookings!B508&gt;=DATE(2000,1,1),Bookings!B508&lt;=DATE(2100,12,31)),Bookings!B508,0),IF(AND(A508&lt;&gt;"",LEN("x"&amp;B508)-LEN(SUBSTITUTE("x"&amp;B508,".",""))=2,OR(1&gt;LEN(B508),MID(B508,1,1)=".",ISNUMBER(FIND("x"&amp;MID(B508,1,1),"x0x1x2x3x4x5x6x7x8x9"))),OR(2&gt;LEN(B508),MID(B508,2,1)=".",ISNUMBER(FIND("x"&amp;MID(B508,2,1),"x0x1x2x3x4x5x6x7x8x9"))),OR(3&gt;LEN(B508),MID(B508,3,1)=".",ISNUMBER(FIND("x"&amp;MID(B508,3,1),"x0x1x2x3x4x5x6x7x8x9"))),OR(4&gt;LEN(B508),MID(B508,4,1)=".",ISNUMBER(FIND("x"&amp;MID(B508,4,1),"x0x1x2x3x4x5x6x7x8x9"))),OR(5&gt;LEN(B508),MID(B508,5,1)=".",ISNUMBER(FIND("x"&amp;MID(B508,5,1),"x0x1x2x3x4x5x6x7x8x9"))),OR(6&gt;LEN(B508),MID(B508,6,1)=".",ISNUMBER(FIND("x"&amp;MID(B508,6,1),"x0x1x2x3x4x5x6x7x8x9"))),OR(7&gt;LEN(B508),MID(B508,7,1)=".",ISNUMBER(FIND("x"&amp;MID(B508,7,1),"x0x1x2x3x4x5x6x7x8x9"))),OR(8&gt;LEN(B508),MID(B508,8,1)=".",ISNUMBER(FIND("x"&amp;MID(B508,8,1),"x0x1x2x3x4x5x6x7x8x9"))),OR(9&gt;LEN(B508),MID(B508,9,1)=".",ISNUMBER(FIND("x"&amp;MID(B508,9,1),"x0x1x2x3x4x5x6x7x8x9"))),OR(10&gt;LEN(B508),MID(B508,10,1)=".",ISNUMBER(FIND("x"&amp;MID(B508,10,1),"x0x1x2x3x4x5x6x7x8x9"))),OR(AND(FIND(".",B508)=5,LEN(B508)-FIND(".",B508,FIND(".",B508)+1)&gt;=1,LEN(B508)-FIND(".",B508,FIND(".",B508)+1)&lt;=2),AND(LEN(B508)-FIND(".",B508,FIND(".",B508)+1)=4,FIND(".",B508)&gt;=2,FIND(".",B508)&lt;=3)),FIND(".",B508,FIND(".",B508)+1)-FIND(".",B508)&gt;=2,FIND(".",B508,FIND(".",B508)+1)-FIND(".",B508)&lt;=3,F508&gt;=2000,F508&lt;=2100,YEAR(I508)=F508,MONTH(I508)=G508,DAY(I508)=H508),I508,0)),0)</ns0:f>
        <ns0:v>0</ns0:v>
      </ns0:c>
      <ns0:c r="K508" s="0">
        <ns0:f>IFERROR(IF(ISNUMBER(Bookings!D508),"",TRIM(Bookings!D508&amp;"")),"")</ns0:f>
      </ns0:c>
      <ns0:c r="L508" s="0">
        <ns0:f>IFERROR(SUBSTITUTE(SUBSTITUTE(K508,"/","."),"-","."),"")</ns0:f>
      </ns0:c>
      <ns0:c r="M508" s="0">
        <ns0:f>IFERROR(LEFT(L508,FIND(".",L508)-1),"")</ns0:f>
      </ns0:c>
      <ns0:c r="N508" s="0">
        <ns0:f>IFERROR(MID(L508,FIND(".",L508)+1,FIND(".",L508,FIND(".",L508)+1)-FIND(".",L508)-1),"")</ns0:f>
      </ns0:c>
      <ns0:c r="O508" s="0">
        <ns0:f>IFERROR(MID(L508,FIND(".",L508,FIND(".",L508)+1)+1,99),"")</ns0:f>
        <ns0:v>99</ns0:v>
      </ns0:c>
      <ns0:c r="P508" s="0">
        <ns0:f>IFERROR(IF(FIND(".",L508)=5,--M508,--O508),0)</ns0:f>
        <ns0:v>0</ns0:v>
      </ns0:c>
      <ns0:c r="Q508" s="0">
        <ns0:f>IFERROR(--N508,0)</ns0:f>
        <ns0:v>0</ns0:v>
      </ns0:c>
      <ns0:c r="R508" s="0">
        <ns0:f>IFERROR(IF(FIND(".",L508)=5,--O508,--M508),0)</ns0:f>
        <ns0:v>0</ns0:v>
      </ns0:c>
      <ns0:c r="S508" s="0">
        <ns0:f>IFERROR(IF(AND(P508&gt;=2000,P508&lt;=2100,Q508&gt;=1,Q508&lt;=12,R508&gt;=1,R508&lt;=31),DATE(P508,Q508,R508),0),0)</ns0:f>
        <ns0:v>0</ns0:v>
      </ns0:c>
      <ns0:c r="T508" s="0">
        <ns0:f>IFERROR(IF(ISNUMBER(Bookings!D508),IF(AND(Bookings!D508=INT(Bookings!D508),Bookings!D508&gt;=DATE(2000,1,1),Bookings!D508&lt;=DATE(2100,12,31)),Bookings!D508,0),IF(AND(K508&lt;&gt;"",LEN("x"&amp;L508)-LEN(SUBSTITUTE("x"&amp;L508,".",""))=2,OR(1&gt;LEN(L508),MID(L508,1,1)=".",ISNUMBER(FIND("x"&amp;MID(L508,1,1),"x0x1x2x3x4x5x6x7x8x9"))),OR(2&gt;LEN(L508),MID(L508,2,1)=".",ISNUMBER(FIND("x"&amp;MID(L508,2,1),"x0x1x2x3x4x5x6x7x8x9"))),OR(3&gt;LEN(L508),MID(L508,3,1)=".",ISNUMBER(FIND("x"&amp;MID(L508,3,1),"x0x1x2x3x4x5x6x7x8x9"))),OR(4&gt;LEN(L508),MID(L508,4,1)=".",ISNUMBER(FIND("x"&amp;MID(L508,4,1),"x0x1x2x3x4x5x6x7x8x9"))),OR(5&gt;LEN(L508),MID(L508,5,1)=".",ISNUMBER(FIND("x"&amp;MID(L508,5,1),"x0x1x2x3x4x5x6x7x8x9"))),OR(6&gt;LEN(L508),MID(L508,6,1)=".",ISNUMBER(FIND("x"&amp;MID(L508,6,1),"x0x1x2x3x4x5x6x7x8x9"))),OR(7&gt;LEN(L508),MID(L508,7,1)=".",ISNUMBER(FIND("x"&amp;MID(L508,7,1),"x0x1x2x3x4x5x6x7x8x9"))),OR(8&gt;LEN(L508),MID(L508,8,1)=".",ISNUMBER(FIND("x"&amp;MID(L508,8,1),"x0x1x2x3x4x5x6x7x8x9"))),OR(9&gt;LEN(L508),MID(L508,9,1)=".",ISNUMBER(FIND("x"&amp;MID(L508,9,1),"x0x1x2x3x4x5x6x7x8x9"))),OR(10&gt;LEN(L508),MID(L508,10,1)=".",ISNUMBER(FIND("x"&amp;MID(L508,10,1),"x0x1x2x3x4x5x6x7x8x9"))),OR(AND(FIND(".",L508)=5,LEN(L508)-FIND(".",L508,FIND(".",L508)+1)&gt;=1,LEN(L508)-FIND(".",L508,FIND(".",L508)+1)&lt;=2),AND(LEN(L508)-FIND(".",L508,FIND(".",L508)+1)=4,FIND(".",L508)&gt;=2,FIND(".",L508)&lt;=3)),FIND(".",L508,FIND(".",L508)+1)-FIND(".",L508)&gt;=2,FIND(".",L508,FIND(".",L508)+1)-FIND(".",L508)&lt;=3,P508&gt;=2000,P508&lt;=2100,YEAR(S508)=P508,MONTH(S508)=Q508,DAY(S508)=R508),S508,0)),0)</ns0:f>
        <ns0:v>0</ns0:v>
      </ns0:c>
      <ns0:c r="U508" s="0" t="str">
        <ns0:f>IF(Bookings!C508="","Full day",Bookings!C508)</ns0:f>
        <ns0:v>Full day</ns0:v>
      </ns0:c>
      <ns0:c r="V508" s="0" t="str">
        <ns0:f>IF(Bookings!E508="","Full day",Bookings!E508)</ns0:f>
        <ns0:v>Full day</ns0:v>
      </ns0:c>
      <ns0:c r="W508" s="0">
        <ns0:f>IF(J508=0,0,J508+IF(U508="PM",1,0))</ns0:f>
        <ns0:v>0</ns0:v>
      </ns0:c>
      <ns0:c r="X508" s="0">
        <ns0:f>IF(T508=0,0,T508-IF(V508="PM",1,0))</ns0:f>
        <ns0:v>0</ns0:v>
      </ns0:c>
      <ns0:c r="Y508" s="0">
        <ns0:f>IF(J508=0,0,J508+IF(U508="AM",1,0))</ns0:f>
        <ns0:v>0</ns0:v>
      </ns0:c>
      <ns0:c r="Z508" s="0">
        <ns0:f>IF(T508=0,0,T508-IF(V508="AM",1,0))</ns0:f>
        <ns0:v>0</ns0:v>
      </ns0:c>
      <ns0:c r="AA508" s="0">
        <ns0:f>IFERROR(IF(AND(J508&gt;0,'_Engine'!C508&gt;0,MID('_Engine'!W508,WEEKDAY(J508,2),1)="W",COUNTIF(Settings!$F$18:$F$67,J508)=0),1,0),0)</ns0:f>
        <ns0:v>0</ns0:v>
      </ns0:c>
      <ns0:c r="AB508" s="0">
        <ns0:f>IFERROR(IF(AND(T508&gt;0,'_Engine'!C508&gt;0,MID('_Engine'!W508,WEEKDAY(T508,2),1)="W",COUNTIF(Settings!$F$18:$F$67,T508)=0),1,0),0)</ns0:f>
        <ns0:v>0</ns0:v>
      </ns0:c>
      <ns0:c r="AC508" s="0">
        <ns0:f>IF(AND(J508&gt;0,T508&gt;0,W508&lt;=X508),1,0)</ns0:f>
        <ns0:v>0</ns0:v>
      </ns0:c>
      <ns0:c r="AD508" s="0">
        <ns0:f>IF(AND(J508&gt;0,T508&gt;0,Y508&lt;=Z508),1,0)</ns0:f>
        <ns0:v>0</ns0:v>
      </ns0:c>
    </ns0:row>
    <ns0:row r="509">
      <ns0:c r="A509" s="0">
        <ns0:f>IFERROR(IF(ISNUMBER(Bookings!B509),"",TRIM(Bookings!B509&amp;"")),"")</ns0:f>
      </ns0:c>
      <ns0:c r="B509" s="0">
        <ns0:f>IFERROR(SUBSTITUTE(SUBSTITUTE(A509,"/","."),"-","."),"")</ns0:f>
      </ns0:c>
      <ns0:c r="C509" s="0">
        <ns0:f>IFERROR(LEFT(B509,FIND(".",B509)-1),"")</ns0:f>
      </ns0:c>
      <ns0:c r="D509" s="0">
        <ns0:f>IFERROR(MID(B509,FIND(".",B509)+1,FIND(".",B509,FIND(".",B509)+1)-FIND(".",B509)-1),"")</ns0:f>
      </ns0:c>
      <ns0:c r="E509" s="0">
        <ns0:f>IFERROR(MID(B509,FIND(".",B509,FIND(".",B509)+1)+1,99),"")</ns0:f>
        <ns0:v>99</ns0:v>
      </ns0:c>
      <ns0:c r="F509" s="0">
        <ns0:f>IFERROR(IF(FIND(".",B509)=5,--C509,--E509),0)</ns0:f>
        <ns0:v>0</ns0:v>
      </ns0:c>
      <ns0:c r="G509" s="0">
        <ns0:f>IFERROR(--D509,0)</ns0:f>
        <ns0:v>0</ns0:v>
      </ns0:c>
      <ns0:c r="H509" s="0">
        <ns0:f>IFERROR(IF(FIND(".",B509)=5,--E509,--C509),0)</ns0:f>
        <ns0:v>0</ns0:v>
      </ns0:c>
      <ns0:c r="I509" s="0">
        <ns0:f>IFERROR(IF(AND(F509&gt;=2000,F509&lt;=2100,G509&gt;=1,G509&lt;=12,H509&gt;=1,H509&lt;=31),DATE(F509,G509,H509),0),0)</ns0:f>
        <ns0:v>0</ns0:v>
      </ns0:c>
      <ns0:c r="J509" s="0">
        <ns0:f>IFERROR(IF(ISNUMBER(Bookings!B509),IF(AND(Bookings!B509=INT(Bookings!B509),Bookings!B509&gt;=DATE(2000,1,1),Bookings!B509&lt;=DATE(2100,12,31)),Bookings!B509,0),IF(AND(A509&lt;&gt;"",LEN("x"&amp;B509)-LEN(SUBSTITUTE("x"&amp;B509,".",""))=2,OR(1&gt;LEN(B509),MID(B509,1,1)=".",ISNUMBER(FIND("x"&amp;MID(B509,1,1),"x0x1x2x3x4x5x6x7x8x9"))),OR(2&gt;LEN(B509),MID(B509,2,1)=".",ISNUMBER(FIND("x"&amp;MID(B509,2,1),"x0x1x2x3x4x5x6x7x8x9"))),OR(3&gt;LEN(B509),MID(B509,3,1)=".",ISNUMBER(FIND("x"&amp;MID(B509,3,1),"x0x1x2x3x4x5x6x7x8x9"))),OR(4&gt;LEN(B509),MID(B509,4,1)=".",ISNUMBER(FIND("x"&amp;MID(B509,4,1),"x0x1x2x3x4x5x6x7x8x9"))),OR(5&gt;LEN(B509),MID(B509,5,1)=".",ISNUMBER(FIND("x"&amp;MID(B509,5,1),"x0x1x2x3x4x5x6x7x8x9"))),OR(6&gt;LEN(B509),MID(B509,6,1)=".",ISNUMBER(FIND("x"&amp;MID(B509,6,1),"x0x1x2x3x4x5x6x7x8x9"))),OR(7&gt;LEN(B509),MID(B509,7,1)=".",ISNUMBER(FIND("x"&amp;MID(B509,7,1),"x0x1x2x3x4x5x6x7x8x9"))),OR(8&gt;LEN(B509),MID(B509,8,1)=".",ISNUMBER(FIND("x"&amp;MID(B509,8,1),"x0x1x2x3x4x5x6x7x8x9"))),OR(9&gt;LEN(B509),MID(B509,9,1)=".",ISNUMBER(FIND("x"&amp;MID(B509,9,1),"x0x1x2x3x4x5x6x7x8x9"))),OR(10&gt;LEN(B509),MID(B509,10,1)=".",ISNUMBER(FIND("x"&amp;MID(B509,10,1),"x0x1x2x3x4x5x6x7x8x9"))),OR(AND(FIND(".",B509)=5,LEN(B509)-FIND(".",B509,FIND(".",B509)+1)&gt;=1,LEN(B509)-FIND(".",B509,FIND(".",B509)+1)&lt;=2),AND(LEN(B509)-FIND(".",B509,FIND(".",B509)+1)=4,FIND(".",B509)&gt;=2,FIND(".",B509)&lt;=3)),FIND(".",B509,FIND(".",B509)+1)-FIND(".",B509)&gt;=2,FIND(".",B509,FIND(".",B509)+1)-FIND(".",B509)&lt;=3,F509&gt;=2000,F509&lt;=2100,YEAR(I509)=F509,MONTH(I509)=G509,DAY(I509)=H509),I509,0)),0)</ns0:f>
        <ns0:v>0</ns0:v>
      </ns0:c>
      <ns0:c r="K509" s="0">
        <ns0:f>IFERROR(IF(ISNUMBER(Bookings!D509),"",TRIM(Bookings!D509&amp;"")),"")</ns0:f>
      </ns0:c>
      <ns0:c r="L509" s="0">
        <ns0:f>IFERROR(SUBSTITUTE(SUBSTITUTE(K509,"/","."),"-","."),"")</ns0:f>
      </ns0:c>
      <ns0:c r="M509" s="0">
        <ns0:f>IFERROR(LEFT(L509,FIND(".",L509)-1),"")</ns0:f>
      </ns0:c>
      <ns0:c r="N509" s="0">
        <ns0:f>IFERROR(MID(L509,FIND(".",L509)+1,FIND(".",L509,FIND(".",L509)+1)-FIND(".",L509)-1),"")</ns0:f>
      </ns0:c>
      <ns0:c r="O509" s="0">
        <ns0:f>IFERROR(MID(L509,FIND(".",L509,FIND(".",L509)+1)+1,99),"")</ns0:f>
        <ns0:v>99</ns0:v>
      </ns0:c>
      <ns0:c r="P509" s="0">
        <ns0:f>IFERROR(IF(FIND(".",L509)=5,--M509,--O509),0)</ns0:f>
        <ns0:v>0</ns0:v>
      </ns0:c>
      <ns0:c r="Q509" s="0">
        <ns0:f>IFERROR(--N509,0)</ns0:f>
        <ns0:v>0</ns0:v>
      </ns0:c>
      <ns0:c r="R509" s="0">
        <ns0:f>IFERROR(IF(FIND(".",L509)=5,--O509,--M509),0)</ns0:f>
        <ns0:v>0</ns0:v>
      </ns0:c>
      <ns0:c r="S509" s="0">
        <ns0:f>IFERROR(IF(AND(P509&gt;=2000,P509&lt;=2100,Q509&gt;=1,Q509&lt;=12,R509&gt;=1,R509&lt;=31),DATE(P509,Q509,R509),0),0)</ns0:f>
        <ns0:v>0</ns0:v>
      </ns0:c>
      <ns0:c r="T509" s="0">
        <ns0:f>IFERROR(IF(ISNUMBER(Bookings!D509),IF(AND(Bookings!D509=INT(Bookings!D509),Bookings!D509&gt;=DATE(2000,1,1),Bookings!D509&lt;=DATE(2100,12,31)),Bookings!D509,0),IF(AND(K509&lt;&gt;"",LEN("x"&amp;L509)-LEN(SUBSTITUTE("x"&amp;L509,".",""))=2,OR(1&gt;LEN(L509),MID(L509,1,1)=".",ISNUMBER(FIND("x"&amp;MID(L509,1,1),"x0x1x2x3x4x5x6x7x8x9"))),OR(2&gt;LEN(L509),MID(L509,2,1)=".",ISNUMBER(FIND("x"&amp;MID(L509,2,1),"x0x1x2x3x4x5x6x7x8x9"))),OR(3&gt;LEN(L509),MID(L509,3,1)=".",ISNUMBER(FIND("x"&amp;MID(L509,3,1),"x0x1x2x3x4x5x6x7x8x9"))),OR(4&gt;LEN(L509),MID(L509,4,1)=".",ISNUMBER(FIND("x"&amp;MID(L509,4,1),"x0x1x2x3x4x5x6x7x8x9"))),OR(5&gt;LEN(L509),MID(L509,5,1)=".",ISNUMBER(FIND("x"&amp;MID(L509,5,1),"x0x1x2x3x4x5x6x7x8x9"))),OR(6&gt;LEN(L509),MID(L509,6,1)=".",ISNUMBER(FIND("x"&amp;MID(L509,6,1),"x0x1x2x3x4x5x6x7x8x9"))),OR(7&gt;LEN(L509),MID(L509,7,1)=".",ISNUMBER(FIND("x"&amp;MID(L509,7,1),"x0x1x2x3x4x5x6x7x8x9"))),OR(8&gt;LEN(L509),MID(L509,8,1)=".",ISNUMBER(FIND("x"&amp;MID(L509,8,1),"x0x1x2x3x4x5x6x7x8x9"))),OR(9&gt;LEN(L509),MID(L509,9,1)=".",ISNUMBER(FIND("x"&amp;MID(L509,9,1),"x0x1x2x3x4x5x6x7x8x9"))),OR(10&gt;LEN(L509),MID(L509,10,1)=".",ISNUMBER(FIND("x"&amp;MID(L509,10,1),"x0x1x2x3x4x5x6x7x8x9"))),OR(AND(FIND(".",L509)=5,LEN(L509)-FIND(".",L509,FIND(".",L509)+1)&gt;=1,LEN(L509)-FIND(".",L509,FIND(".",L509)+1)&lt;=2),AND(LEN(L509)-FIND(".",L509,FIND(".",L509)+1)=4,FIND(".",L509)&gt;=2,FIND(".",L509)&lt;=3)),FIND(".",L509,FIND(".",L509)+1)-FIND(".",L509)&gt;=2,FIND(".",L509,FIND(".",L509)+1)-FIND(".",L509)&lt;=3,P509&gt;=2000,P509&lt;=2100,YEAR(S509)=P509,MONTH(S509)=Q509,DAY(S509)=R509),S509,0)),0)</ns0:f>
        <ns0:v>0</ns0:v>
      </ns0:c>
      <ns0:c r="U509" s="0" t="str">
        <ns0:f>IF(Bookings!C509="","Full day",Bookings!C509)</ns0:f>
        <ns0:v>Full day</ns0:v>
      </ns0:c>
      <ns0:c r="V509" s="0" t="str">
        <ns0:f>IF(Bookings!E509="","Full day",Bookings!E509)</ns0:f>
        <ns0:v>Full day</ns0:v>
      </ns0:c>
      <ns0:c r="W509" s="0">
        <ns0:f>IF(J509=0,0,J509+IF(U509="PM",1,0))</ns0:f>
        <ns0:v>0</ns0:v>
      </ns0:c>
      <ns0:c r="X509" s="0">
        <ns0:f>IF(T509=0,0,T509-IF(V509="PM",1,0))</ns0:f>
        <ns0:v>0</ns0:v>
      </ns0:c>
      <ns0:c r="Y509" s="0">
        <ns0:f>IF(J509=0,0,J509+IF(U509="AM",1,0))</ns0:f>
        <ns0:v>0</ns0:v>
      </ns0:c>
      <ns0:c r="Z509" s="0">
        <ns0:f>IF(T509=0,0,T509-IF(V509="AM",1,0))</ns0:f>
        <ns0:v>0</ns0:v>
      </ns0:c>
      <ns0:c r="AA509" s="0">
        <ns0:f>IFERROR(IF(AND(J509&gt;0,'_Engine'!C509&gt;0,MID('_Engine'!W509,WEEKDAY(J509,2),1)="W",COUNTIF(Settings!$F$18:$F$67,J509)=0),1,0),0)</ns0:f>
        <ns0:v>0</ns0:v>
      </ns0:c>
      <ns0:c r="AB509" s="0">
        <ns0:f>IFERROR(IF(AND(T509&gt;0,'_Engine'!C509&gt;0,MID('_Engine'!W509,WEEKDAY(T509,2),1)="W",COUNTIF(Settings!$F$18:$F$67,T509)=0),1,0),0)</ns0:f>
        <ns0:v>0</ns0:v>
      </ns0:c>
      <ns0:c r="AC509" s="0">
        <ns0:f>IF(AND(J509&gt;0,T509&gt;0,W509&lt;=X509),1,0)</ns0:f>
        <ns0:v>0</ns0:v>
      </ns0:c>
      <ns0:c r="AD509" s="0">
        <ns0:f>IF(AND(J509&gt;0,T509&gt;0,Y509&lt;=Z509),1,0)</ns0:f>
        <ns0:v>0</ns0:v>
      </ns0:c>
    </ns0:row>
    <ns0:row r="510">
      <ns0:c r="A510" s="0">
        <ns0:f>IFERROR(IF(ISNUMBER(Bookings!B510),"",TRIM(Bookings!B510&amp;"")),"")</ns0:f>
      </ns0:c>
      <ns0:c r="B510" s="0">
        <ns0:f>IFERROR(SUBSTITUTE(SUBSTITUTE(A510,"/","."),"-","."),"")</ns0:f>
      </ns0:c>
      <ns0:c r="C510" s="0">
        <ns0:f>IFERROR(LEFT(B510,FIND(".",B510)-1),"")</ns0:f>
      </ns0:c>
      <ns0:c r="D510" s="0">
        <ns0:f>IFERROR(MID(B510,FIND(".",B510)+1,FIND(".",B510,FIND(".",B510)+1)-FIND(".",B510)-1),"")</ns0:f>
      </ns0:c>
      <ns0:c r="E510" s="0">
        <ns0:f>IFERROR(MID(B510,FIND(".",B510,FIND(".",B510)+1)+1,99),"")</ns0:f>
        <ns0:v>99</ns0:v>
      </ns0:c>
      <ns0:c r="F510" s="0">
        <ns0:f>IFERROR(IF(FIND(".",B510)=5,--C510,--E510),0)</ns0:f>
        <ns0:v>0</ns0:v>
      </ns0:c>
      <ns0:c r="G510" s="0">
        <ns0:f>IFERROR(--D510,0)</ns0:f>
        <ns0:v>0</ns0:v>
      </ns0:c>
      <ns0:c r="H510" s="0">
        <ns0:f>IFERROR(IF(FIND(".",B510)=5,--E510,--C510),0)</ns0:f>
        <ns0:v>0</ns0:v>
      </ns0:c>
      <ns0:c r="I510" s="0">
        <ns0:f>IFERROR(IF(AND(F510&gt;=2000,F510&lt;=2100,G510&gt;=1,G510&lt;=12,H510&gt;=1,H510&lt;=31),DATE(F510,G510,H510),0),0)</ns0:f>
        <ns0:v>0</ns0:v>
      </ns0:c>
      <ns0:c r="J510" s="0">
        <ns0:f>IFERROR(IF(ISNUMBER(Bookings!B510),IF(AND(Bookings!B510=INT(Bookings!B510),Bookings!B510&gt;=DATE(2000,1,1),Bookings!B510&lt;=DATE(2100,12,31)),Bookings!B510,0),IF(AND(A510&lt;&gt;"",LEN("x"&amp;B510)-LEN(SUBSTITUTE("x"&amp;B510,".",""))=2,OR(1&gt;LEN(B510),MID(B510,1,1)=".",ISNUMBER(FIND("x"&amp;MID(B510,1,1),"x0x1x2x3x4x5x6x7x8x9"))),OR(2&gt;LEN(B510),MID(B510,2,1)=".",ISNUMBER(FIND("x"&amp;MID(B510,2,1),"x0x1x2x3x4x5x6x7x8x9"))),OR(3&gt;LEN(B510),MID(B510,3,1)=".",ISNUMBER(FIND("x"&amp;MID(B510,3,1),"x0x1x2x3x4x5x6x7x8x9"))),OR(4&gt;LEN(B510),MID(B510,4,1)=".",ISNUMBER(FIND("x"&amp;MID(B510,4,1),"x0x1x2x3x4x5x6x7x8x9"))),OR(5&gt;LEN(B510),MID(B510,5,1)=".",ISNUMBER(FIND("x"&amp;MID(B510,5,1),"x0x1x2x3x4x5x6x7x8x9"))),OR(6&gt;LEN(B510),MID(B510,6,1)=".",ISNUMBER(FIND("x"&amp;MID(B510,6,1),"x0x1x2x3x4x5x6x7x8x9"))),OR(7&gt;LEN(B510),MID(B510,7,1)=".",ISNUMBER(FIND("x"&amp;MID(B510,7,1),"x0x1x2x3x4x5x6x7x8x9"))),OR(8&gt;LEN(B510),MID(B510,8,1)=".",ISNUMBER(FIND("x"&amp;MID(B510,8,1),"x0x1x2x3x4x5x6x7x8x9"))),OR(9&gt;LEN(B510),MID(B510,9,1)=".",ISNUMBER(FIND("x"&amp;MID(B510,9,1),"x0x1x2x3x4x5x6x7x8x9"))),OR(10&gt;LEN(B510),MID(B510,10,1)=".",ISNUMBER(FIND("x"&amp;MID(B510,10,1),"x0x1x2x3x4x5x6x7x8x9"))),OR(AND(FIND(".",B510)=5,LEN(B510)-FIND(".",B510,FIND(".",B510)+1)&gt;=1,LEN(B510)-FIND(".",B510,FIND(".",B510)+1)&lt;=2),AND(LEN(B510)-FIND(".",B510,FIND(".",B510)+1)=4,FIND(".",B510)&gt;=2,FIND(".",B510)&lt;=3)),FIND(".",B510,FIND(".",B510)+1)-FIND(".",B510)&gt;=2,FIND(".",B510,FIND(".",B510)+1)-FIND(".",B510)&lt;=3,F510&gt;=2000,F510&lt;=2100,YEAR(I510)=F510,MONTH(I510)=G510,DAY(I510)=H510),I510,0)),0)</ns0:f>
        <ns0:v>0</ns0:v>
      </ns0:c>
      <ns0:c r="K510" s="0">
        <ns0:f>IFERROR(IF(ISNUMBER(Bookings!D510),"",TRIM(Bookings!D510&amp;"")),"")</ns0:f>
      </ns0:c>
      <ns0:c r="L510" s="0">
        <ns0:f>IFERROR(SUBSTITUTE(SUBSTITUTE(K510,"/","."),"-","."),"")</ns0:f>
      </ns0:c>
      <ns0:c r="M510" s="0">
        <ns0:f>IFERROR(LEFT(L510,FIND(".",L510)-1),"")</ns0:f>
      </ns0:c>
      <ns0:c r="N510" s="0">
        <ns0:f>IFERROR(MID(L510,FIND(".",L510)+1,FIND(".",L510,FIND(".",L510)+1)-FIND(".",L510)-1),"")</ns0:f>
      </ns0:c>
      <ns0:c r="O510" s="0">
        <ns0:f>IFERROR(MID(L510,FIND(".",L510,FIND(".",L510)+1)+1,99),"")</ns0:f>
        <ns0:v>99</ns0:v>
      </ns0:c>
      <ns0:c r="P510" s="0">
        <ns0:f>IFERROR(IF(FIND(".",L510)=5,--M510,--O510),0)</ns0:f>
        <ns0:v>0</ns0:v>
      </ns0:c>
      <ns0:c r="Q510" s="0">
        <ns0:f>IFERROR(--N510,0)</ns0:f>
        <ns0:v>0</ns0:v>
      </ns0:c>
      <ns0:c r="R510" s="0">
        <ns0:f>IFERROR(IF(FIND(".",L510)=5,--O510,--M510),0)</ns0:f>
        <ns0:v>0</ns0:v>
      </ns0:c>
      <ns0:c r="S510" s="0">
        <ns0:f>IFERROR(IF(AND(P510&gt;=2000,P510&lt;=2100,Q510&gt;=1,Q510&lt;=12,R510&gt;=1,R510&lt;=31),DATE(P510,Q510,R510),0),0)</ns0:f>
        <ns0:v>0</ns0:v>
      </ns0:c>
      <ns0:c r="T510" s="0">
        <ns0:f>IFERROR(IF(ISNUMBER(Bookings!D510),IF(AND(Bookings!D510=INT(Bookings!D510),Bookings!D510&gt;=DATE(2000,1,1),Bookings!D510&lt;=DATE(2100,12,31)),Bookings!D510,0),IF(AND(K510&lt;&gt;"",LEN("x"&amp;L510)-LEN(SUBSTITUTE("x"&amp;L510,".",""))=2,OR(1&gt;LEN(L510),MID(L510,1,1)=".",ISNUMBER(FIND("x"&amp;MID(L510,1,1),"x0x1x2x3x4x5x6x7x8x9"))),OR(2&gt;LEN(L510),MID(L510,2,1)=".",ISNUMBER(FIND("x"&amp;MID(L510,2,1),"x0x1x2x3x4x5x6x7x8x9"))),OR(3&gt;LEN(L510),MID(L510,3,1)=".",ISNUMBER(FIND("x"&amp;MID(L510,3,1),"x0x1x2x3x4x5x6x7x8x9"))),OR(4&gt;LEN(L510),MID(L510,4,1)=".",ISNUMBER(FIND("x"&amp;MID(L510,4,1),"x0x1x2x3x4x5x6x7x8x9"))),OR(5&gt;LEN(L510),MID(L510,5,1)=".",ISNUMBER(FIND("x"&amp;MID(L510,5,1),"x0x1x2x3x4x5x6x7x8x9"))),OR(6&gt;LEN(L510),MID(L510,6,1)=".",ISNUMBER(FIND("x"&amp;MID(L510,6,1),"x0x1x2x3x4x5x6x7x8x9"))),OR(7&gt;LEN(L510),MID(L510,7,1)=".",ISNUMBER(FIND("x"&amp;MID(L510,7,1),"x0x1x2x3x4x5x6x7x8x9"))),OR(8&gt;LEN(L510),MID(L510,8,1)=".",ISNUMBER(FIND("x"&amp;MID(L510,8,1),"x0x1x2x3x4x5x6x7x8x9"))),OR(9&gt;LEN(L510),MID(L510,9,1)=".",ISNUMBER(FIND("x"&amp;MID(L510,9,1),"x0x1x2x3x4x5x6x7x8x9"))),OR(10&gt;LEN(L510),MID(L510,10,1)=".",ISNUMBER(FIND("x"&amp;MID(L510,10,1),"x0x1x2x3x4x5x6x7x8x9"))),OR(AND(FIND(".",L510)=5,LEN(L510)-FIND(".",L510,FIND(".",L510)+1)&gt;=1,LEN(L510)-FIND(".",L510,FIND(".",L510)+1)&lt;=2),AND(LEN(L510)-FIND(".",L510,FIND(".",L510)+1)=4,FIND(".",L510)&gt;=2,FIND(".",L510)&lt;=3)),FIND(".",L510,FIND(".",L510)+1)-FIND(".",L510)&gt;=2,FIND(".",L510,FIND(".",L510)+1)-FIND(".",L510)&lt;=3,P510&gt;=2000,P510&lt;=2100,YEAR(S510)=P510,MONTH(S510)=Q510,DAY(S510)=R510),S510,0)),0)</ns0:f>
        <ns0:v>0</ns0:v>
      </ns0:c>
      <ns0:c r="U510" s="0" t="str">
        <ns0:f>IF(Bookings!C510="","Full day",Bookings!C510)</ns0:f>
        <ns0:v>Full day</ns0:v>
      </ns0:c>
      <ns0:c r="V510" s="0" t="str">
        <ns0:f>IF(Bookings!E510="","Full day",Bookings!E510)</ns0:f>
        <ns0:v>Full day</ns0:v>
      </ns0:c>
      <ns0:c r="W510" s="0">
        <ns0:f>IF(J510=0,0,J510+IF(U510="PM",1,0))</ns0:f>
        <ns0:v>0</ns0:v>
      </ns0:c>
      <ns0:c r="X510" s="0">
        <ns0:f>IF(T510=0,0,T510-IF(V510="PM",1,0))</ns0:f>
        <ns0:v>0</ns0:v>
      </ns0:c>
      <ns0:c r="Y510" s="0">
        <ns0:f>IF(J510=0,0,J510+IF(U510="AM",1,0))</ns0:f>
        <ns0:v>0</ns0:v>
      </ns0:c>
      <ns0:c r="Z510" s="0">
        <ns0:f>IF(T510=0,0,T510-IF(V510="AM",1,0))</ns0:f>
        <ns0:v>0</ns0:v>
      </ns0:c>
      <ns0:c r="AA510" s="0">
        <ns0:f>IFERROR(IF(AND(J510&gt;0,'_Engine'!C510&gt;0,MID('_Engine'!W510,WEEKDAY(J510,2),1)="W",COUNTIF(Settings!$F$18:$F$67,J510)=0),1,0),0)</ns0:f>
        <ns0:v>0</ns0:v>
      </ns0:c>
      <ns0:c r="AB510" s="0">
        <ns0:f>IFERROR(IF(AND(T510&gt;0,'_Engine'!C510&gt;0,MID('_Engine'!W510,WEEKDAY(T510,2),1)="W",COUNTIF(Settings!$F$18:$F$67,T510)=0),1,0),0)</ns0:f>
        <ns0:v>0</ns0:v>
      </ns0:c>
      <ns0:c r="AC510" s="0">
        <ns0:f>IF(AND(J510&gt;0,T510&gt;0,W510&lt;=X510),1,0)</ns0:f>
        <ns0:v>0</ns0:v>
      </ns0:c>
      <ns0:c r="AD510" s="0">
        <ns0:f>IF(AND(J510&gt;0,T510&gt;0,Y510&lt;=Z510),1,0)</ns0:f>
        <ns0:v>0</ns0:v>
      </ns0:c>
    </ns0:row>
    <ns0:row r="511">
      <ns0:c r="A511" s="0">
        <ns0:f>IFERROR(IF(ISNUMBER(Bookings!B511),"",TRIM(Bookings!B511&amp;"")),"")</ns0:f>
      </ns0:c>
      <ns0:c r="B511" s="0">
        <ns0:f>IFERROR(SUBSTITUTE(SUBSTITUTE(A511,"/","."),"-","."),"")</ns0:f>
      </ns0:c>
      <ns0:c r="C511" s="0">
        <ns0:f>IFERROR(LEFT(B511,FIND(".",B511)-1),"")</ns0:f>
      </ns0:c>
      <ns0:c r="D511" s="0">
        <ns0:f>IFERROR(MID(B511,FIND(".",B511)+1,FIND(".",B511,FIND(".",B511)+1)-FIND(".",B511)-1),"")</ns0:f>
      </ns0:c>
      <ns0:c r="E511" s="0">
        <ns0:f>IFERROR(MID(B511,FIND(".",B511,FIND(".",B511)+1)+1,99),"")</ns0:f>
        <ns0:v>99</ns0:v>
      </ns0:c>
      <ns0:c r="F511" s="0">
        <ns0:f>IFERROR(IF(FIND(".",B511)=5,--C511,--E511),0)</ns0:f>
        <ns0:v>0</ns0:v>
      </ns0:c>
      <ns0:c r="G511" s="0">
        <ns0:f>IFERROR(--D511,0)</ns0:f>
        <ns0:v>0</ns0:v>
      </ns0:c>
      <ns0:c r="H511" s="0">
        <ns0:f>IFERROR(IF(FIND(".",B511)=5,--E511,--C511),0)</ns0:f>
        <ns0:v>0</ns0:v>
      </ns0:c>
      <ns0:c r="I511" s="0">
        <ns0:f>IFERROR(IF(AND(F511&gt;=2000,F511&lt;=2100,G511&gt;=1,G511&lt;=12,H511&gt;=1,H511&lt;=31),DATE(F511,G511,H511),0),0)</ns0:f>
        <ns0:v>0</ns0:v>
      </ns0:c>
      <ns0:c r="J511" s="0">
        <ns0:f>IFERROR(IF(ISNUMBER(Bookings!B511),IF(AND(Bookings!B511=INT(Bookings!B511),Bookings!B511&gt;=DATE(2000,1,1),Bookings!B511&lt;=DATE(2100,12,31)),Bookings!B511,0),IF(AND(A511&lt;&gt;"",LEN("x"&amp;B511)-LEN(SUBSTITUTE("x"&amp;B511,".",""))=2,OR(1&gt;LEN(B511),MID(B511,1,1)=".",ISNUMBER(FIND("x"&amp;MID(B511,1,1),"x0x1x2x3x4x5x6x7x8x9"))),OR(2&gt;LEN(B511),MID(B511,2,1)=".",ISNUMBER(FIND("x"&amp;MID(B511,2,1),"x0x1x2x3x4x5x6x7x8x9"))),OR(3&gt;LEN(B511),MID(B511,3,1)=".",ISNUMBER(FIND("x"&amp;MID(B511,3,1),"x0x1x2x3x4x5x6x7x8x9"))),OR(4&gt;LEN(B511),MID(B511,4,1)=".",ISNUMBER(FIND("x"&amp;MID(B511,4,1),"x0x1x2x3x4x5x6x7x8x9"))),OR(5&gt;LEN(B511),MID(B511,5,1)=".",ISNUMBER(FIND("x"&amp;MID(B511,5,1),"x0x1x2x3x4x5x6x7x8x9"))),OR(6&gt;LEN(B511),MID(B511,6,1)=".",ISNUMBER(FIND("x"&amp;MID(B511,6,1),"x0x1x2x3x4x5x6x7x8x9"))),OR(7&gt;LEN(B511),MID(B511,7,1)=".",ISNUMBER(FIND("x"&amp;MID(B511,7,1),"x0x1x2x3x4x5x6x7x8x9"))),OR(8&gt;LEN(B511),MID(B511,8,1)=".",ISNUMBER(FIND("x"&amp;MID(B511,8,1),"x0x1x2x3x4x5x6x7x8x9"))),OR(9&gt;LEN(B511),MID(B511,9,1)=".",ISNUMBER(FIND("x"&amp;MID(B511,9,1),"x0x1x2x3x4x5x6x7x8x9"))),OR(10&gt;LEN(B511),MID(B511,10,1)=".",ISNUMBER(FIND("x"&amp;MID(B511,10,1),"x0x1x2x3x4x5x6x7x8x9"))),OR(AND(FIND(".",B511)=5,LEN(B511)-FIND(".",B511,FIND(".",B511)+1)&gt;=1,LEN(B511)-FIND(".",B511,FIND(".",B511)+1)&lt;=2),AND(LEN(B511)-FIND(".",B511,FIND(".",B511)+1)=4,FIND(".",B511)&gt;=2,FIND(".",B511)&lt;=3)),FIND(".",B511,FIND(".",B511)+1)-FIND(".",B511)&gt;=2,FIND(".",B511,FIND(".",B511)+1)-FIND(".",B511)&lt;=3,F511&gt;=2000,F511&lt;=2100,YEAR(I511)=F511,MONTH(I511)=G511,DAY(I511)=H511),I511,0)),0)</ns0:f>
        <ns0:v>0</ns0:v>
      </ns0:c>
      <ns0:c r="K511" s="0">
        <ns0:f>IFERROR(IF(ISNUMBER(Bookings!D511),"",TRIM(Bookings!D511&amp;"")),"")</ns0:f>
      </ns0:c>
      <ns0:c r="L511" s="0">
        <ns0:f>IFERROR(SUBSTITUTE(SUBSTITUTE(K511,"/","."),"-","."),"")</ns0:f>
      </ns0:c>
      <ns0:c r="M511" s="0">
        <ns0:f>IFERROR(LEFT(L511,FIND(".",L511)-1),"")</ns0:f>
      </ns0:c>
      <ns0:c r="N511" s="0">
        <ns0:f>IFERROR(MID(L511,FIND(".",L511)+1,FIND(".",L511,FIND(".",L511)+1)-FIND(".",L511)-1),"")</ns0:f>
      </ns0:c>
      <ns0:c r="O511" s="0">
        <ns0:f>IFERROR(MID(L511,FIND(".",L511,FIND(".",L511)+1)+1,99),"")</ns0:f>
        <ns0:v>99</ns0:v>
      </ns0:c>
      <ns0:c r="P511" s="0">
        <ns0:f>IFERROR(IF(FIND(".",L511)=5,--M511,--O511),0)</ns0:f>
        <ns0:v>0</ns0:v>
      </ns0:c>
      <ns0:c r="Q511" s="0">
        <ns0:f>IFERROR(--N511,0)</ns0:f>
        <ns0:v>0</ns0:v>
      </ns0:c>
      <ns0:c r="R511" s="0">
        <ns0:f>IFERROR(IF(FIND(".",L511)=5,--O511,--M511),0)</ns0:f>
        <ns0:v>0</ns0:v>
      </ns0:c>
      <ns0:c r="S511" s="0">
        <ns0:f>IFERROR(IF(AND(P511&gt;=2000,P511&lt;=2100,Q511&gt;=1,Q511&lt;=12,R511&gt;=1,R511&lt;=31),DATE(P511,Q511,R511),0),0)</ns0:f>
        <ns0:v>0</ns0:v>
      </ns0:c>
      <ns0:c r="T511" s="0">
        <ns0:f>IFERROR(IF(ISNUMBER(Bookings!D511),IF(AND(Bookings!D511=INT(Bookings!D511),Bookings!D511&gt;=DATE(2000,1,1),Bookings!D511&lt;=DATE(2100,12,31)),Bookings!D511,0),IF(AND(K511&lt;&gt;"",LEN("x"&amp;L511)-LEN(SUBSTITUTE("x"&amp;L511,".",""))=2,OR(1&gt;LEN(L511),MID(L511,1,1)=".",ISNUMBER(FIND("x"&amp;MID(L511,1,1),"x0x1x2x3x4x5x6x7x8x9"))),OR(2&gt;LEN(L511),MID(L511,2,1)=".",ISNUMBER(FIND("x"&amp;MID(L511,2,1),"x0x1x2x3x4x5x6x7x8x9"))),OR(3&gt;LEN(L511),MID(L511,3,1)=".",ISNUMBER(FIND("x"&amp;MID(L511,3,1),"x0x1x2x3x4x5x6x7x8x9"))),OR(4&gt;LEN(L511),MID(L511,4,1)=".",ISNUMBER(FIND("x"&amp;MID(L511,4,1),"x0x1x2x3x4x5x6x7x8x9"))),OR(5&gt;LEN(L511),MID(L511,5,1)=".",ISNUMBER(FIND("x"&amp;MID(L511,5,1),"x0x1x2x3x4x5x6x7x8x9"))),OR(6&gt;LEN(L511),MID(L511,6,1)=".",ISNUMBER(FIND("x"&amp;MID(L511,6,1),"x0x1x2x3x4x5x6x7x8x9"))),OR(7&gt;LEN(L511),MID(L511,7,1)=".",ISNUMBER(FIND("x"&amp;MID(L511,7,1),"x0x1x2x3x4x5x6x7x8x9"))),OR(8&gt;LEN(L511),MID(L511,8,1)=".",ISNUMBER(FIND("x"&amp;MID(L511,8,1),"x0x1x2x3x4x5x6x7x8x9"))),OR(9&gt;LEN(L511),MID(L511,9,1)=".",ISNUMBER(FIND("x"&amp;MID(L511,9,1),"x0x1x2x3x4x5x6x7x8x9"))),OR(10&gt;LEN(L511),MID(L511,10,1)=".",ISNUMBER(FIND("x"&amp;MID(L511,10,1),"x0x1x2x3x4x5x6x7x8x9"))),OR(AND(FIND(".",L511)=5,LEN(L511)-FIND(".",L511,FIND(".",L511)+1)&gt;=1,LEN(L511)-FIND(".",L511,FIND(".",L511)+1)&lt;=2),AND(LEN(L511)-FIND(".",L511,FIND(".",L511)+1)=4,FIND(".",L511)&gt;=2,FIND(".",L511)&lt;=3)),FIND(".",L511,FIND(".",L511)+1)-FIND(".",L511)&gt;=2,FIND(".",L511,FIND(".",L511)+1)-FIND(".",L511)&lt;=3,P511&gt;=2000,P511&lt;=2100,YEAR(S511)=P511,MONTH(S511)=Q511,DAY(S511)=R511),S511,0)),0)</ns0:f>
        <ns0:v>0</ns0:v>
      </ns0:c>
      <ns0:c r="U511" s="0" t="str">
        <ns0:f>IF(Bookings!C511="","Full day",Bookings!C511)</ns0:f>
        <ns0:v>Full day</ns0:v>
      </ns0:c>
      <ns0:c r="V511" s="0" t="str">
        <ns0:f>IF(Bookings!E511="","Full day",Bookings!E511)</ns0:f>
        <ns0:v>Full day</ns0:v>
      </ns0:c>
      <ns0:c r="W511" s="0">
        <ns0:f>IF(J511=0,0,J511+IF(U511="PM",1,0))</ns0:f>
        <ns0:v>0</ns0:v>
      </ns0:c>
      <ns0:c r="X511" s="0">
        <ns0:f>IF(T511=0,0,T511-IF(V511="PM",1,0))</ns0:f>
        <ns0:v>0</ns0:v>
      </ns0:c>
      <ns0:c r="Y511" s="0">
        <ns0:f>IF(J511=0,0,J511+IF(U511="AM",1,0))</ns0:f>
        <ns0:v>0</ns0:v>
      </ns0:c>
      <ns0:c r="Z511" s="0">
        <ns0:f>IF(T511=0,0,T511-IF(V511="AM",1,0))</ns0:f>
        <ns0:v>0</ns0:v>
      </ns0:c>
      <ns0:c r="AA511" s="0">
        <ns0:f>IFERROR(IF(AND(J511&gt;0,'_Engine'!C511&gt;0,MID('_Engine'!W511,WEEKDAY(J511,2),1)="W",COUNTIF(Settings!$F$18:$F$67,J511)=0),1,0),0)</ns0:f>
        <ns0:v>0</ns0:v>
      </ns0:c>
      <ns0:c r="AB511" s="0">
        <ns0:f>IFERROR(IF(AND(T511&gt;0,'_Engine'!C511&gt;0,MID('_Engine'!W511,WEEKDAY(T511,2),1)="W",COUNTIF(Settings!$F$18:$F$67,T511)=0),1,0),0)</ns0:f>
        <ns0:v>0</ns0:v>
      </ns0:c>
      <ns0:c r="AC511" s="0">
        <ns0:f>IF(AND(J511&gt;0,T511&gt;0,W511&lt;=X511),1,0)</ns0:f>
        <ns0:v>0</ns0:v>
      </ns0:c>
      <ns0:c r="AD511" s="0">
        <ns0:f>IF(AND(J511&gt;0,T511&gt;0,Y511&lt;=Z511),1,0)</ns0:f>
        <ns0:v>0</ns0:v>
      </ns0:c>
    </ns0:row>
    <ns0:row r="512">
      <ns0:c r="A512" s="0">
        <ns0:f>IFERROR(IF(ISNUMBER(Bookings!B512),"",TRIM(Bookings!B512&amp;"")),"")</ns0:f>
      </ns0:c>
      <ns0:c r="B512" s="0">
        <ns0:f>IFERROR(SUBSTITUTE(SUBSTITUTE(A512,"/","."),"-","."),"")</ns0:f>
      </ns0:c>
      <ns0:c r="C512" s="0">
        <ns0:f>IFERROR(LEFT(B512,FIND(".",B512)-1),"")</ns0:f>
      </ns0:c>
      <ns0:c r="D512" s="0">
        <ns0:f>IFERROR(MID(B512,FIND(".",B512)+1,FIND(".",B512,FIND(".",B512)+1)-FIND(".",B512)-1),"")</ns0:f>
      </ns0:c>
      <ns0:c r="E512" s="0">
        <ns0:f>IFERROR(MID(B512,FIND(".",B512,FIND(".",B512)+1)+1,99),"")</ns0:f>
        <ns0:v>99</ns0:v>
      </ns0:c>
      <ns0:c r="F512" s="0">
        <ns0:f>IFERROR(IF(FIND(".",B512)=5,--C512,--E512),0)</ns0:f>
        <ns0:v>0</ns0:v>
      </ns0:c>
      <ns0:c r="G512" s="0">
        <ns0:f>IFERROR(--D512,0)</ns0:f>
        <ns0:v>0</ns0:v>
      </ns0:c>
      <ns0:c r="H512" s="0">
        <ns0:f>IFERROR(IF(FIND(".",B512)=5,--E512,--C512),0)</ns0:f>
        <ns0:v>0</ns0:v>
      </ns0:c>
      <ns0:c r="I512" s="0">
        <ns0:f>IFERROR(IF(AND(F512&gt;=2000,F512&lt;=2100,G512&gt;=1,G512&lt;=12,H512&gt;=1,H512&lt;=31),DATE(F512,G512,H512),0),0)</ns0:f>
        <ns0:v>0</ns0:v>
      </ns0:c>
      <ns0:c r="J512" s="0">
        <ns0:f>IFERROR(IF(ISNUMBER(Bookings!B512),IF(AND(Bookings!B512=INT(Bookings!B512),Bookings!B512&gt;=DATE(2000,1,1),Bookings!B512&lt;=DATE(2100,12,31)),Bookings!B512,0),IF(AND(A512&lt;&gt;"",LEN("x"&amp;B512)-LEN(SUBSTITUTE("x"&amp;B512,".",""))=2,OR(1&gt;LEN(B512),MID(B512,1,1)=".",ISNUMBER(FIND("x"&amp;MID(B512,1,1),"x0x1x2x3x4x5x6x7x8x9"))),OR(2&gt;LEN(B512),MID(B512,2,1)=".",ISNUMBER(FIND("x"&amp;MID(B512,2,1),"x0x1x2x3x4x5x6x7x8x9"))),OR(3&gt;LEN(B512),MID(B512,3,1)=".",ISNUMBER(FIND("x"&amp;MID(B512,3,1),"x0x1x2x3x4x5x6x7x8x9"))),OR(4&gt;LEN(B512),MID(B512,4,1)=".",ISNUMBER(FIND("x"&amp;MID(B512,4,1),"x0x1x2x3x4x5x6x7x8x9"))),OR(5&gt;LEN(B512),MID(B512,5,1)=".",ISNUMBER(FIND("x"&amp;MID(B512,5,1),"x0x1x2x3x4x5x6x7x8x9"))),OR(6&gt;LEN(B512),MID(B512,6,1)=".",ISNUMBER(FIND("x"&amp;MID(B512,6,1),"x0x1x2x3x4x5x6x7x8x9"))),OR(7&gt;LEN(B512),MID(B512,7,1)=".",ISNUMBER(FIND("x"&amp;MID(B512,7,1),"x0x1x2x3x4x5x6x7x8x9"))),OR(8&gt;LEN(B512),MID(B512,8,1)=".",ISNUMBER(FIND("x"&amp;MID(B512,8,1),"x0x1x2x3x4x5x6x7x8x9"))),OR(9&gt;LEN(B512),MID(B512,9,1)=".",ISNUMBER(FIND("x"&amp;MID(B512,9,1),"x0x1x2x3x4x5x6x7x8x9"))),OR(10&gt;LEN(B512),MID(B512,10,1)=".",ISNUMBER(FIND("x"&amp;MID(B512,10,1),"x0x1x2x3x4x5x6x7x8x9"))),OR(AND(FIND(".",B512)=5,LEN(B512)-FIND(".",B512,FIND(".",B512)+1)&gt;=1,LEN(B512)-FIND(".",B512,FIND(".",B512)+1)&lt;=2),AND(LEN(B512)-FIND(".",B512,FIND(".",B512)+1)=4,FIND(".",B512)&gt;=2,FIND(".",B512)&lt;=3)),FIND(".",B512,FIND(".",B512)+1)-FIND(".",B512)&gt;=2,FIND(".",B512,FIND(".",B512)+1)-FIND(".",B512)&lt;=3,F512&gt;=2000,F512&lt;=2100,YEAR(I512)=F512,MONTH(I512)=G512,DAY(I512)=H512),I512,0)),0)</ns0:f>
        <ns0:v>0</ns0:v>
      </ns0:c>
      <ns0:c r="K512" s="0">
        <ns0:f>IFERROR(IF(ISNUMBER(Bookings!D512),"",TRIM(Bookings!D512&amp;"")),"")</ns0:f>
      </ns0:c>
      <ns0:c r="L512" s="0">
        <ns0:f>IFERROR(SUBSTITUTE(SUBSTITUTE(K512,"/","."),"-","."),"")</ns0:f>
      </ns0:c>
      <ns0:c r="M512" s="0">
        <ns0:f>IFERROR(LEFT(L512,FIND(".",L512)-1),"")</ns0:f>
      </ns0:c>
      <ns0:c r="N512" s="0">
        <ns0:f>IFERROR(MID(L512,FIND(".",L512)+1,FIND(".",L512,FIND(".",L512)+1)-FIND(".",L512)-1),"")</ns0:f>
      </ns0:c>
      <ns0:c r="O512" s="0">
        <ns0:f>IFERROR(MID(L512,FIND(".",L512,FIND(".",L512)+1)+1,99),"")</ns0:f>
        <ns0:v>99</ns0:v>
      </ns0:c>
      <ns0:c r="P512" s="0">
        <ns0:f>IFERROR(IF(FIND(".",L512)=5,--M512,--O512),0)</ns0:f>
        <ns0:v>0</ns0:v>
      </ns0:c>
      <ns0:c r="Q512" s="0">
        <ns0:f>IFERROR(--N512,0)</ns0:f>
        <ns0:v>0</ns0:v>
      </ns0:c>
      <ns0:c r="R512" s="0">
        <ns0:f>IFERROR(IF(FIND(".",L512)=5,--O512,--M512),0)</ns0:f>
        <ns0:v>0</ns0:v>
      </ns0:c>
      <ns0:c r="S512" s="0">
        <ns0:f>IFERROR(IF(AND(P512&gt;=2000,P512&lt;=2100,Q512&gt;=1,Q512&lt;=12,R512&gt;=1,R512&lt;=31),DATE(P512,Q512,R512),0),0)</ns0:f>
        <ns0:v>0</ns0:v>
      </ns0:c>
      <ns0:c r="T512" s="0">
        <ns0:f>IFERROR(IF(ISNUMBER(Bookings!D512),IF(AND(Bookings!D512=INT(Bookings!D512),Bookings!D512&gt;=DATE(2000,1,1),Bookings!D512&lt;=DATE(2100,12,31)),Bookings!D512,0),IF(AND(K512&lt;&gt;"",LEN("x"&amp;L512)-LEN(SUBSTITUTE("x"&amp;L512,".",""))=2,OR(1&gt;LEN(L512),MID(L512,1,1)=".",ISNUMBER(FIND("x"&amp;MID(L512,1,1),"x0x1x2x3x4x5x6x7x8x9"))),OR(2&gt;LEN(L512),MID(L512,2,1)=".",ISNUMBER(FIND("x"&amp;MID(L512,2,1),"x0x1x2x3x4x5x6x7x8x9"))),OR(3&gt;LEN(L512),MID(L512,3,1)=".",ISNUMBER(FIND("x"&amp;MID(L512,3,1),"x0x1x2x3x4x5x6x7x8x9"))),OR(4&gt;LEN(L512),MID(L512,4,1)=".",ISNUMBER(FIND("x"&amp;MID(L512,4,1),"x0x1x2x3x4x5x6x7x8x9"))),OR(5&gt;LEN(L512),MID(L512,5,1)=".",ISNUMBER(FIND("x"&amp;MID(L512,5,1),"x0x1x2x3x4x5x6x7x8x9"))),OR(6&gt;LEN(L512),MID(L512,6,1)=".",ISNUMBER(FIND("x"&amp;MID(L512,6,1),"x0x1x2x3x4x5x6x7x8x9"))),OR(7&gt;LEN(L512),MID(L512,7,1)=".",ISNUMBER(FIND("x"&amp;MID(L512,7,1),"x0x1x2x3x4x5x6x7x8x9"))),OR(8&gt;LEN(L512),MID(L512,8,1)=".",ISNUMBER(FIND("x"&amp;MID(L512,8,1),"x0x1x2x3x4x5x6x7x8x9"))),OR(9&gt;LEN(L512),MID(L512,9,1)=".",ISNUMBER(FIND("x"&amp;MID(L512,9,1),"x0x1x2x3x4x5x6x7x8x9"))),OR(10&gt;LEN(L512),MID(L512,10,1)=".",ISNUMBER(FIND("x"&amp;MID(L512,10,1),"x0x1x2x3x4x5x6x7x8x9"))),OR(AND(FIND(".",L512)=5,LEN(L512)-FIND(".",L512,FIND(".",L512)+1)&gt;=1,LEN(L512)-FIND(".",L512,FIND(".",L512)+1)&lt;=2),AND(LEN(L512)-FIND(".",L512,FIND(".",L512)+1)=4,FIND(".",L512)&gt;=2,FIND(".",L512)&lt;=3)),FIND(".",L512,FIND(".",L512)+1)-FIND(".",L512)&gt;=2,FIND(".",L512,FIND(".",L512)+1)-FIND(".",L512)&lt;=3,P512&gt;=2000,P512&lt;=2100,YEAR(S512)=P512,MONTH(S512)=Q512,DAY(S512)=R512),S512,0)),0)</ns0:f>
        <ns0:v>0</ns0:v>
      </ns0:c>
      <ns0:c r="U512" s="0" t="str">
        <ns0:f>IF(Bookings!C512="","Full day",Bookings!C512)</ns0:f>
        <ns0:v>Full day</ns0:v>
      </ns0:c>
      <ns0:c r="V512" s="0" t="str">
        <ns0:f>IF(Bookings!E512="","Full day",Bookings!E512)</ns0:f>
        <ns0:v>Full day</ns0:v>
      </ns0:c>
      <ns0:c r="W512" s="0">
        <ns0:f>IF(J512=0,0,J512+IF(U512="PM",1,0))</ns0:f>
        <ns0:v>0</ns0:v>
      </ns0:c>
      <ns0:c r="X512" s="0">
        <ns0:f>IF(T512=0,0,T512-IF(V512="PM",1,0))</ns0:f>
        <ns0:v>0</ns0:v>
      </ns0:c>
      <ns0:c r="Y512" s="0">
        <ns0:f>IF(J512=0,0,J512+IF(U512="AM",1,0))</ns0:f>
        <ns0:v>0</ns0:v>
      </ns0:c>
      <ns0:c r="Z512" s="0">
        <ns0:f>IF(T512=0,0,T512-IF(V512="AM",1,0))</ns0:f>
        <ns0:v>0</ns0:v>
      </ns0:c>
      <ns0:c r="AA512" s="0">
        <ns0:f>IFERROR(IF(AND(J512&gt;0,'_Engine'!C512&gt;0,MID('_Engine'!W512,WEEKDAY(J512,2),1)="W",COUNTIF(Settings!$F$18:$F$67,J512)=0),1,0),0)</ns0:f>
        <ns0:v>0</ns0:v>
      </ns0:c>
      <ns0:c r="AB512" s="0">
        <ns0:f>IFERROR(IF(AND(T512&gt;0,'_Engine'!C512&gt;0,MID('_Engine'!W512,WEEKDAY(T512,2),1)="W",COUNTIF(Settings!$F$18:$F$67,T512)=0),1,0),0)</ns0:f>
        <ns0:v>0</ns0:v>
      </ns0:c>
      <ns0:c r="AC512" s="0">
        <ns0:f>IF(AND(J512&gt;0,T512&gt;0,W512&lt;=X512),1,0)</ns0:f>
        <ns0:v>0</ns0:v>
      </ns0:c>
      <ns0:c r="AD512" s="0">
        <ns0:f>IF(AND(J512&gt;0,T512&gt;0,Y512&lt;=Z512),1,0)</ns0:f>
        <ns0:v>0</ns0:v>
      </ns0:c>
    </ns0:row>
    <ns0:row r="513">
      <ns0:c r="A513" s="0">
        <ns0:f>IFERROR(IF(ISNUMBER(Bookings!B513),"",TRIM(Bookings!B513&amp;"")),"")</ns0:f>
      </ns0:c>
      <ns0:c r="B513" s="0">
        <ns0:f>IFERROR(SUBSTITUTE(SUBSTITUTE(A513,"/","."),"-","."),"")</ns0:f>
      </ns0:c>
      <ns0:c r="C513" s="0">
        <ns0:f>IFERROR(LEFT(B513,FIND(".",B513)-1),"")</ns0:f>
      </ns0:c>
      <ns0:c r="D513" s="0">
        <ns0:f>IFERROR(MID(B513,FIND(".",B513)+1,FIND(".",B513,FIND(".",B513)+1)-FIND(".",B513)-1),"")</ns0:f>
      </ns0:c>
      <ns0:c r="E513" s="0">
        <ns0:f>IFERROR(MID(B513,FIND(".",B513,FIND(".",B513)+1)+1,99),"")</ns0:f>
        <ns0:v>99</ns0:v>
      </ns0:c>
      <ns0:c r="F513" s="0">
        <ns0:f>IFERROR(IF(FIND(".",B513)=5,--C513,--E513),0)</ns0:f>
        <ns0:v>0</ns0:v>
      </ns0:c>
      <ns0:c r="G513" s="0">
        <ns0:f>IFERROR(--D513,0)</ns0:f>
        <ns0:v>0</ns0:v>
      </ns0:c>
      <ns0:c r="H513" s="0">
        <ns0:f>IFERROR(IF(FIND(".",B513)=5,--E513,--C513),0)</ns0:f>
        <ns0:v>0</ns0:v>
      </ns0:c>
      <ns0:c r="I513" s="0">
        <ns0:f>IFERROR(IF(AND(F513&gt;=2000,F513&lt;=2100,G513&gt;=1,G513&lt;=12,H513&gt;=1,H513&lt;=31),DATE(F513,G513,H513),0),0)</ns0:f>
        <ns0:v>0</ns0:v>
      </ns0:c>
      <ns0:c r="J513" s="0">
        <ns0:f>IFERROR(IF(ISNUMBER(Bookings!B513),IF(AND(Bookings!B513=INT(Bookings!B513),Bookings!B513&gt;=DATE(2000,1,1),Bookings!B513&lt;=DATE(2100,12,31)),Bookings!B513,0),IF(AND(A513&lt;&gt;"",LEN("x"&amp;B513)-LEN(SUBSTITUTE("x"&amp;B513,".",""))=2,OR(1&gt;LEN(B513),MID(B513,1,1)=".",ISNUMBER(FIND("x"&amp;MID(B513,1,1),"x0x1x2x3x4x5x6x7x8x9"))),OR(2&gt;LEN(B513),MID(B513,2,1)=".",ISNUMBER(FIND("x"&amp;MID(B513,2,1),"x0x1x2x3x4x5x6x7x8x9"))),OR(3&gt;LEN(B513),MID(B513,3,1)=".",ISNUMBER(FIND("x"&amp;MID(B513,3,1),"x0x1x2x3x4x5x6x7x8x9"))),OR(4&gt;LEN(B513),MID(B513,4,1)=".",ISNUMBER(FIND("x"&amp;MID(B513,4,1),"x0x1x2x3x4x5x6x7x8x9"))),OR(5&gt;LEN(B513),MID(B513,5,1)=".",ISNUMBER(FIND("x"&amp;MID(B513,5,1),"x0x1x2x3x4x5x6x7x8x9"))),OR(6&gt;LEN(B513),MID(B513,6,1)=".",ISNUMBER(FIND("x"&amp;MID(B513,6,1),"x0x1x2x3x4x5x6x7x8x9"))),OR(7&gt;LEN(B513),MID(B513,7,1)=".",ISNUMBER(FIND("x"&amp;MID(B513,7,1),"x0x1x2x3x4x5x6x7x8x9"))),OR(8&gt;LEN(B513),MID(B513,8,1)=".",ISNUMBER(FIND("x"&amp;MID(B513,8,1),"x0x1x2x3x4x5x6x7x8x9"))),OR(9&gt;LEN(B513),MID(B513,9,1)=".",ISNUMBER(FIND("x"&amp;MID(B513,9,1),"x0x1x2x3x4x5x6x7x8x9"))),OR(10&gt;LEN(B513),MID(B513,10,1)=".",ISNUMBER(FIND("x"&amp;MID(B513,10,1),"x0x1x2x3x4x5x6x7x8x9"))),OR(AND(FIND(".",B513)=5,LEN(B513)-FIND(".",B513,FIND(".",B513)+1)&gt;=1,LEN(B513)-FIND(".",B513,FIND(".",B513)+1)&lt;=2),AND(LEN(B513)-FIND(".",B513,FIND(".",B513)+1)=4,FIND(".",B513)&gt;=2,FIND(".",B513)&lt;=3)),FIND(".",B513,FIND(".",B513)+1)-FIND(".",B513)&gt;=2,FIND(".",B513,FIND(".",B513)+1)-FIND(".",B513)&lt;=3,F513&gt;=2000,F513&lt;=2100,YEAR(I513)=F513,MONTH(I513)=G513,DAY(I513)=H513),I513,0)),0)</ns0:f>
        <ns0:v>0</ns0:v>
      </ns0:c>
      <ns0:c r="K513" s="0">
        <ns0:f>IFERROR(IF(ISNUMBER(Bookings!D513),"",TRIM(Bookings!D513&amp;"")),"")</ns0:f>
      </ns0:c>
      <ns0:c r="L513" s="0">
        <ns0:f>IFERROR(SUBSTITUTE(SUBSTITUTE(K513,"/","."),"-","."),"")</ns0:f>
      </ns0:c>
      <ns0:c r="M513" s="0">
        <ns0:f>IFERROR(LEFT(L513,FIND(".",L513)-1),"")</ns0:f>
      </ns0:c>
      <ns0:c r="N513" s="0">
        <ns0:f>IFERROR(MID(L513,FIND(".",L513)+1,FIND(".",L513,FIND(".",L513)+1)-FIND(".",L513)-1),"")</ns0:f>
      </ns0:c>
      <ns0:c r="O513" s="0">
        <ns0:f>IFERROR(MID(L513,FIND(".",L513,FIND(".",L513)+1)+1,99),"")</ns0:f>
        <ns0:v>99</ns0:v>
      </ns0:c>
      <ns0:c r="P513" s="0">
        <ns0:f>IFERROR(IF(FIND(".",L513)=5,--M513,--O513),0)</ns0:f>
        <ns0:v>0</ns0:v>
      </ns0:c>
      <ns0:c r="Q513" s="0">
        <ns0:f>IFERROR(--N513,0)</ns0:f>
        <ns0:v>0</ns0:v>
      </ns0:c>
      <ns0:c r="R513" s="0">
        <ns0:f>IFERROR(IF(FIND(".",L513)=5,--O513,--M513),0)</ns0:f>
        <ns0:v>0</ns0:v>
      </ns0:c>
      <ns0:c r="S513" s="0">
        <ns0:f>IFERROR(IF(AND(P513&gt;=2000,P513&lt;=2100,Q513&gt;=1,Q513&lt;=12,R513&gt;=1,R513&lt;=31),DATE(P513,Q513,R513),0),0)</ns0:f>
        <ns0:v>0</ns0:v>
      </ns0:c>
      <ns0:c r="T513" s="0">
        <ns0:f>IFERROR(IF(ISNUMBER(Bookings!D513),IF(AND(Bookings!D513=INT(Bookings!D513),Bookings!D513&gt;=DATE(2000,1,1),Bookings!D513&lt;=DATE(2100,12,31)),Bookings!D513,0),IF(AND(K513&lt;&gt;"",LEN("x"&amp;L513)-LEN(SUBSTITUTE("x"&amp;L513,".",""))=2,OR(1&gt;LEN(L513),MID(L513,1,1)=".",ISNUMBER(FIND("x"&amp;MID(L513,1,1),"x0x1x2x3x4x5x6x7x8x9"))),OR(2&gt;LEN(L513),MID(L513,2,1)=".",ISNUMBER(FIND("x"&amp;MID(L513,2,1),"x0x1x2x3x4x5x6x7x8x9"))),OR(3&gt;LEN(L513),MID(L513,3,1)=".",ISNUMBER(FIND("x"&amp;MID(L513,3,1),"x0x1x2x3x4x5x6x7x8x9"))),OR(4&gt;LEN(L513),MID(L513,4,1)=".",ISNUMBER(FIND("x"&amp;MID(L513,4,1),"x0x1x2x3x4x5x6x7x8x9"))),OR(5&gt;LEN(L513),MID(L513,5,1)=".",ISNUMBER(FIND("x"&amp;MID(L513,5,1),"x0x1x2x3x4x5x6x7x8x9"))),OR(6&gt;LEN(L513),MID(L513,6,1)=".",ISNUMBER(FIND("x"&amp;MID(L513,6,1),"x0x1x2x3x4x5x6x7x8x9"))),OR(7&gt;LEN(L513),MID(L513,7,1)=".",ISNUMBER(FIND("x"&amp;MID(L513,7,1),"x0x1x2x3x4x5x6x7x8x9"))),OR(8&gt;LEN(L513),MID(L513,8,1)=".",ISNUMBER(FIND("x"&amp;MID(L513,8,1),"x0x1x2x3x4x5x6x7x8x9"))),OR(9&gt;LEN(L513),MID(L513,9,1)=".",ISNUMBER(FIND("x"&amp;MID(L513,9,1),"x0x1x2x3x4x5x6x7x8x9"))),OR(10&gt;LEN(L513),MID(L513,10,1)=".",ISNUMBER(FIND("x"&amp;MID(L513,10,1),"x0x1x2x3x4x5x6x7x8x9"))),OR(AND(FIND(".",L513)=5,LEN(L513)-FIND(".",L513,FIND(".",L513)+1)&gt;=1,LEN(L513)-FIND(".",L513,FIND(".",L513)+1)&lt;=2),AND(LEN(L513)-FIND(".",L513,FIND(".",L513)+1)=4,FIND(".",L513)&gt;=2,FIND(".",L513)&lt;=3)),FIND(".",L513,FIND(".",L513)+1)-FIND(".",L513)&gt;=2,FIND(".",L513,FIND(".",L513)+1)-FIND(".",L513)&lt;=3,P513&gt;=2000,P513&lt;=2100,YEAR(S513)=P513,MONTH(S513)=Q513,DAY(S513)=R513),S513,0)),0)</ns0:f>
        <ns0:v>0</ns0:v>
      </ns0:c>
      <ns0:c r="U513" s="0" t="str">
        <ns0:f>IF(Bookings!C513="","Full day",Bookings!C513)</ns0:f>
        <ns0:v>Full day</ns0:v>
      </ns0:c>
      <ns0:c r="V513" s="0" t="str">
        <ns0:f>IF(Bookings!E513="","Full day",Bookings!E513)</ns0:f>
        <ns0:v>Full day</ns0:v>
      </ns0:c>
      <ns0:c r="W513" s="0">
        <ns0:f>IF(J513=0,0,J513+IF(U513="PM",1,0))</ns0:f>
        <ns0:v>0</ns0:v>
      </ns0:c>
      <ns0:c r="X513" s="0">
        <ns0:f>IF(T513=0,0,T513-IF(V513="PM",1,0))</ns0:f>
        <ns0:v>0</ns0:v>
      </ns0:c>
      <ns0:c r="Y513" s="0">
        <ns0:f>IF(J513=0,0,J513+IF(U513="AM",1,0))</ns0:f>
        <ns0:v>0</ns0:v>
      </ns0:c>
      <ns0:c r="Z513" s="0">
        <ns0:f>IF(T513=0,0,T513-IF(V513="AM",1,0))</ns0:f>
        <ns0:v>0</ns0:v>
      </ns0:c>
      <ns0:c r="AA513" s="0">
        <ns0:f>IFERROR(IF(AND(J513&gt;0,'_Engine'!C513&gt;0,MID('_Engine'!W513,WEEKDAY(J513,2),1)="W",COUNTIF(Settings!$F$18:$F$67,J513)=0),1,0),0)</ns0:f>
        <ns0:v>0</ns0:v>
      </ns0:c>
      <ns0:c r="AB513" s="0">
        <ns0:f>IFERROR(IF(AND(T513&gt;0,'_Engine'!C513&gt;0,MID('_Engine'!W513,WEEKDAY(T513,2),1)="W",COUNTIF(Settings!$F$18:$F$67,T513)=0),1,0),0)</ns0:f>
        <ns0:v>0</ns0:v>
      </ns0:c>
      <ns0:c r="AC513" s="0">
        <ns0:f>IF(AND(J513&gt;0,T513&gt;0,W513&lt;=X513),1,0)</ns0:f>
        <ns0:v>0</ns0:v>
      </ns0:c>
      <ns0:c r="AD513" s="0">
        <ns0:f>IF(AND(J513&gt;0,T513&gt;0,Y513&lt;=Z513),1,0)</ns0:f>
        <ns0:v>0</ns0:v>
      </ns0:c>
    </ns0:row>
    <ns0:row r="514">
      <ns0:c r="A514" s="0">
        <ns0:f>IFERROR(IF(ISNUMBER(Bookings!B514),"",TRIM(Bookings!B514&amp;"")),"")</ns0:f>
      </ns0:c>
      <ns0:c r="B514" s="0">
        <ns0:f>IFERROR(SUBSTITUTE(SUBSTITUTE(A514,"/","."),"-","."),"")</ns0:f>
      </ns0:c>
      <ns0:c r="C514" s="0">
        <ns0:f>IFERROR(LEFT(B514,FIND(".",B514)-1),"")</ns0:f>
      </ns0:c>
      <ns0:c r="D514" s="0">
        <ns0:f>IFERROR(MID(B514,FIND(".",B514)+1,FIND(".",B514,FIND(".",B514)+1)-FIND(".",B514)-1),"")</ns0:f>
      </ns0:c>
      <ns0:c r="E514" s="0">
        <ns0:f>IFERROR(MID(B514,FIND(".",B514,FIND(".",B514)+1)+1,99),"")</ns0:f>
        <ns0:v>99</ns0:v>
      </ns0:c>
      <ns0:c r="F514" s="0">
        <ns0:f>IFERROR(IF(FIND(".",B514)=5,--C514,--E514),0)</ns0:f>
        <ns0:v>0</ns0:v>
      </ns0:c>
      <ns0:c r="G514" s="0">
        <ns0:f>IFERROR(--D514,0)</ns0:f>
        <ns0:v>0</ns0:v>
      </ns0:c>
      <ns0:c r="H514" s="0">
        <ns0:f>IFERROR(IF(FIND(".",B514)=5,--E514,--C514),0)</ns0:f>
        <ns0:v>0</ns0:v>
      </ns0:c>
      <ns0:c r="I514" s="0">
        <ns0:f>IFERROR(IF(AND(F514&gt;=2000,F514&lt;=2100,G514&gt;=1,G514&lt;=12,H514&gt;=1,H514&lt;=31),DATE(F514,G514,H514),0),0)</ns0:f>
        <ns0:v>0</ns0:v>
      </ns0:c>
      <ns0:c r="J514" s="0">
        <ns0:f>IFERROR(IF(ISNUMBER(Bookings!B514),IF(AND(Bookings!B514=INT(Bookings!B514),Bookings!B514&gt;=DATE(2000,1,1),Bookings!B514&lt;=DATE(2100,12,31)),Bookings!B514,0),IF(AND(A514&lt;&gt;"",LEN("x"&amp;B514)-LEN(SUBSTITUTE("x"&amp;B514,".",""))=2,OR(1&gt;LEN(B514),MID(B514,1,1)=".",ISNUMBER(FIND("x"&amp;MID(B514,1,1),"x0x1x2x3x4x5x6x7x8x9"))),OR(2&gt;LEN(B514),MID(B514,2,1)=".",ISNUMBER(FIND("x"&amp;MID(B514,2,1),"x0x1x2x3x4x5x6x7x8x9"))),OR(3&gt;LEN(B514),MID(B514,3,1)=".",ISNUMBER(FIND("x"&amp;MID(B514,3,1),"x0x1x2x3x4x5x6x7x8x9"))),OR(4&gt;LEN(B514),MID(B514,4,1)=".",ISNUMBER(FIND("x"&amp;MID(B514,4,1),"x0x1x2x3x4x5x6x7x8x9"))),OR(5&gt;LEN(B514),MID(B514,5,1)=".",ISNUMBER(FIND("x"&amp;MID(B514,5,1),"x0x1x2x3x4x5x6x7x8x9"))),OR(6&gt;LEN(B514),MID(B514,6,1)=".",ISNUMBER(FIND("x"&amp;MID(B514,6,1),"x0x1x2x3x4x5x6x7x8x9"))),OR(7&gt;LEN(B514),MID(B514,7,1)=".",ISNUMBER(FIND("x"&amp;MID(B514,7,1),"x0x1x2x3x4x5x6x7x8x9"))),OR(8&gt;LEN(B514),MID(B514,8,1)=".",ISNUMBER(FIND("x"&amp;MID(B514,8,1),"x0x1x2x3x4x5x6x7x8x9"))),OR(9&gt;LEN(B514),MID(B514,9,1)=".",ISNUMBER(FIND("x"&amp;MID(B514,9,1),"x0x1x2x3x4x5x6x7x8x9"))),OR(10&gt;LEN(B514),MID(B514,10,1)=".",ISNUMBER(FIND("x"&amp;MID(B514,10,1),"x0x1x2x3x4x5x6x7x8x9"))),OR(AND(FIND(".",B514)=5,LEN(B514)-FIND(".",B514,FIND(".",B514)+1)&gt;=1,LEN(B514)-FIND(".",B514,FIND(".",B514)+1)&lt;=2),AND(LEN(B514)-FIND(".",B514,FIND(".",B514)+1)=4,FIND(".",B514)&gt;=2,FIND(".",B514)&lt;=3)),FIND(".",B514,FIND(".",B514)+1)-FIND(".",B514)&gt;=2,FIND(".",B514,FIND(".",B514)+1)-FIND(".",B514)&lt;=3,F514&gt;=2000,F514&lt;=2100,YEAR(I514)=F514,MONTH(I514)=G514,DAY(I514)=H514),I514,0)),0)</ns0:f>
        <ns0:v>0</ns0:v>
      </ns0:c>
      <ns0:c r="K514" s="0">
        <ns0:f>IFERROR(IF(ISNUMBER(Bookings!D514),"",TRIM(Bookings!D514&amp;"")),"")</ns0:f>
      </ns0:c>
      <ns0:c r="L514" s="0">
        <ns0:f>IFERROR(SUBSTITUTE(SUBSTITUTE(K514,"/","."),"-","."),"")</ns0:f>
      </ns0:c>
      <ns0:c r="M514" s="0">
        <ns0:f>IFERROR(LEFT(L514,FIND(".",L514)-1),"")</ns0:f>
      </ns0:c>
      <ns0:c r="N514" s="0">
        <ns0:f>IFERROR(MID(L514,FIND(".",L514)+1,FIND(".",L514,FIND(".",L514)+1)-FIND(".",L514)-1),"")</ns0:f>
      </ns0:c>
      <ns0:c r="O514" s="0">
        <ns0:f>IFERROR(MID(L514,FIND(".",L514,FIND(".",L514)+1)+1,99),"")</ns0:f>
        <ns0:v>99</ns0:v>
      </ns0:c>
      <ns0:c r="P514" s="0">
        <ns0:f>IFERROR(IF(FIND(".",L514)=5,--M514,--O514),0)</ns0:f>
        <ns0:v>0</ns0:v>
      </ns0:c>
      <ns0:c r="Q514" s="0">
        <ns0:f>IFERROR(--N514,0)</ns0:f>
        <ns0:v>0</ns0:v>
      </ns0:c>
      <ns0:c r="R514" s="0">
        <ns0:f>IFERROR(IF(FIND(".",L514)=5,--O514,--M514),0)</ns0:f>
        <ns0:v>0</ns0:v>
      </ns0:c>
      <ns0:c r="S514" s="0">
        <ns0:f>IFERROR(IF(AND(P514&gt;=2000,P514&lt;=2100,Q514&gt;=1,Q514&lt;=12,R514&gt;=1,R514&lt;=31),DATE(P514,Q514,R514),0),0)</ns0:f>
        <ns0:v>0</ns0:v>
      </ns0:c>
      <ns0:c r="T514" s="0">
        <ns0:f>IFERROR(IF(ISNUMBER(Bookings!D514),IF(AND(Bookings!D514=INT(Bookings!D514),Bookings!D514&gt;=DATE(2000,1,1),Bookings!D514&lt;=DATE(2100,12,31)),Bookings!D514,0),IF(AND(K514&lt;&gt;"",LEN("x"&amp;L514)-LEN(SUBSTITUTE("x"&amp;L514,".",""))=2,OR(1&gt;LEN(L514),MID(L514,1,1)=".",ISNUMBER(FIND("x"&amp;MID(L514,1,1),"x0x1x2x3x4x5x6x7x8x9"))),OR(2&gt;LEN(L514),MID(L514,2,1)=".",ISNUMBER(FIND("x"&amp;MID(L514,2,1),"x0x1x2x3x4x5x6x7x8x9"))),OR(3&gt;LEN(L514),MID(L514,3,1)=".",ISNUMBER(FIND("x"&amp;MID(L514,3,1),"x0x1x2x3x4x5x6x7x8x9"))),OR(4&gt;LEN(L514),MID(L514,4,1)=".",ISNUMBER(FIND("x"&amp;MID(L514,4,1),"x0x1x2x3x4x5x6x7x8x9"))),OR(5&gt;LEN(L514),MID(L514,5,1)=".",ISNUMBER(FIND("x"&amp;MID(L514,5,1),"x0x1x2x3x4x5x6x7x8x9"))),OR(6&gt;LEN(L514),MID(L514,6,1)=".",ISNUMBER(FIND("x"&amp;MID(L514,6,1),"x0x1x2x3x4x5x6x7x8x9"))),OR(7&gt;LEN(L514),MID(L514,7,1)=".",ISNUMBER(FIND("x"&amp;MID(L514,7,1),"x0x1x2x3x4x5x6x7x8x9"))),OR(8&gt;LEN(L514),MID(L514,8,1)=".",ISNUMBER(FIND("x"&amp;MID(L514,8,1),"x0x1x2x3x4x5x6x7x8x9"))),OR(9&gt;LEN(L514),MID(L514,9,1)=".",ISNUMBER(FIND("x"&amp;MID(L514,9,1),"x0x1x2x3x4x5x6x7x8x9"))),OR(10&gt;LEN(L514),MID(L514,10,1)=".",ISNUMBER(FIND("x"&amp;MID(L514,10,1),"x0x1x2x3x4x5x6x7x8x9"))),OR(AND(FIND(".",L514)=5,LEN(L514)-FIND(".",L514,FIND(".",L514)+1)&gt;=1,LEN(L514)-FIND(".",L514,FIND(".",L514)+1)&lt;=2),AND(LEN(L514)-FIND(".",L514,FIND(".",L514)+1)=4,FIND(".",L514)&gt;=2,FIND(".",L514)&lt;=3)),FIND(".",L514,FIND(".",L514)+1)-FIND(".",L514)&gt;=2,FIND(".",L514,FIND(".",L514)+1)-FIND(".",L514)&lt;=3,P514&gt;=2000,P514&lt;=2100,YEAR(S514)=P514,MONTH(S514)=Q514,DAY(S514)=R514),S514,0)),0)</ns0:f>
        <ns0:v>0</ns0:v>
      </ns0:c>
      <ns0:c r="U514" s="0" t="str">
        <ns0:f>IF(Bookings!C514="","Full day",Bookings!C514)</ns0:f>
        <ns0:v>Full day</ns0:v>
      </ns0:c>
      <ns0:c r="V514" s="0" t="str">
        <ns0:f>IF(Bookings!E514="","Full day",Bookings!E514)</ns0:f>
        <ns0:v>Full day</ns0:v>
      </ns0:c>
      <ns0:c r="W514" s="0">
        <ns0:f>IF(J514=0,0,J514+IF(U514="PM",1,0))</ns0:f>
        <ns0:v>0</ns0:v>
      </ns0:c>
      <ns0:c r="X514" s="0">
        <ns0:f>IF(T514=0,0,T514-IF(V514="PM",1,0))</ns0:f>
        <ns0:v>0</ns0:v>
      </ns0:c>
      <ns0:c r="Y514" s="0">
        <ns0:f>IF(J514=0,0,J514+IF(U514="AM",1,0))</ns0:f>
        <ns0:v>0</ns0:v>
      </ns0:c>
      <ns0:c r="Z514" s="0">
        <ns0:f>IF(T514=0,0,T514-IF(V514="AM",1,0))</ns0:f>
        <ns0:v>0</ns0:v>
      </ns0:c>
      <ns0:c r="AA514" s="0">
        <ns0:f>IFERROR(IF(AND(J514&gt;0,'_Engine'!C514&gt;0,MID('_Engine'!W514,WEEKDAY(J514,2),1)="W",COUNTIF(Settings!$F$18:$F$67,J514)=0),1,0),0)</ns0:f>
        <ns0:v>0</ns0:v>
      </ns0:c>
      <ns0:c r="AB514" s="0">
        <ns0:f>IFERROR(IF(AND(T514&gt;0,'_Engine'!C514&gt;0,MID('_Engine'!W514,WEEKDAY(T514,2),1)="W",COUNTIF(Settings!$F$18:$F$67,T514)=0),1,0),0)</ns0:f>
        <ns0:v>0</ns0:v>
      </ns0:c>
      <ns0:c r="AC514" s="0">
        <ns0:f>IF(AND(J514&gt;0,T514&gt;0,W514&lt;=X514),1,0)</ns0:f>
        <ns0:v>0</ns0:v>
      </ns0:c>
      <ns0:c r="AD514" s="0">
        <ns0:f>IF(AND(J514&gt;0,T514&gt;0,Y514&lt;=Z514),1,0)</ns0:f>
        <ns0:v>0</ns0:v>
      </ns0:c>
    </ns0:row>
    <ns0:row r="515">
      <ns0:c r="A515" s="0">
        <ns0:f>IFERROR(IF(ISNUMBER(Bookings!B515),"",TRIM(Bookings!B515&amp;"")),"")</ns0:f>
      </ns0:c>
      <ns0:c r="B515" s="0">
        <ns0:f>IFERROR(SUBSTITUTE(SUBSTITUTE(A515,"/","."),"-","."),"")</ns0:f>
      </ns0:c>
      <ns0:c r="C515" s="0">
        <ns0:f>IFERROR(LEFT(B515,FIND(".",B515)-1),"")</ns0:f>
      </ns0:c>
      <ns0:c r="D515" s="0">
        <ns0:f>IFERROR(MID(B515,FIND(".",B515)+1,FIND(".",B515,FIND(".",B515)+1)-FIND(".",B515)-1),"")</ns0:f>
      </ns0:c>
      <ns0:c r="E515" s="0">
        <ns0:f>IFERROR(MID(B515,FIND(".",B515,FIND(".",B515)+1)+1,99),"")</ns0:f>
        <ns0:v>99</ns0:v>
      </ns0:c>
      <ns0:c r="F515" s="0">
        <ns0:f>IFERROR(IF(FIND(".",B515)=5,--C515,--E515),0)</ns0:f>
        <ns0:v>0</ns0:v>
      </ns0:c>
      <ns0:c r="G515" s="0">
        <ns0:f>IFERROR(--D515,0)</ns0:f>
        <ns0:v>0</ns0:v>
      </ns0:c>
      <ns0:c r="H515" s="0">
        <ns0:f>IFERROR(IF(FIND(".",B515)=5,--E515,--C515),0)</ns0:f>
        <ns0:v>0</ns0:v>
      </ns0:c>
      <ns0:c r="I515" s="0">
        <ns0:f>IFERROR(IF(AND(F515&gt;=2000,F515&lt;=2100,G515&gt;=1,G515&lt;=12,H515&gt;=1,H515&lt;=31),DATE(F515,G515,H515),0),0)</ns0:f>
        <ns0:v>0</ns0:v>
      </ns0:c>
      <ns0:c r="J515" s="0">
        <ns0:f>IFERROR(IF(ISNUMBER(Bookings!B515),IF(AND(Bookings!B515=INT(Bookings!B515),Bookings!B515&gt;=DATE(2000,1,1),Bookings!B515&lt;=DATE(2100,12,31)),Bookings!B515,0),IF(AND(A515&lt;&gt;"",LEN("x"&amp;B515)-LEN(SUBSTITUTE("x"&amp;B515,".",""))=2,OR(1&gt;LEN(B515),MID(B515,1,1)=".",ISNUMBER(FIND("x"&amp;MID(B515,1,1),"x0x1x2x3x4x5x6x7x8x9"))),OR(2&gt;LEN(B515),MID(B515,2,1)=".",ISNUMBER(FIND("x"&amp;MID(B515,2,1),"x0x1x2x3x4x5x6x7x8x9"))),OR(3&gt;LEN(B515),MID(B515,3,1)=".",ISNUMBER(FIND("x"&amp;MID(B515,3,1),"x0x1x2x3x4x5x6x7x8x9"))),OR(4&gt;LEN(B515),MID(B515,4,1)=".",ISNUMBER(FIND("x"&amp;MID(B515,4,1),"x0x1x2x3x4x5x6x7x8x9"))),OR(5&gt;LEN(B515),MID(B515,5,1)=".",ISNUMBER(FIND("x"&amp;MID(B515,5,1),"x0x1x2x3x4x5x6x7x8x9"))),OR(6&gt;LEN(B515),MID(B515,6,1)=".",ISNUMBER(FIND("x"&amp;MID(B515,6,1),"x0x1x2x3x4x5x6x7x8x9"))),OR(7&gt;LEN(B515),MID(B515,7,1)=".",ISNUMBER(FIND("x"&amp;MID(B515,7,1),"x0x1x2x3x4x5x6x7x8x9"))),OR(8&gt;LEN(B515),MID(B515,8,1)=".",ISNUMBER(FIND("x"&amp;MID(B515,8,1),"x0x1x2x3x4x5x6x7x8x9"))),OR(9&gt;LEN(B515),MID(B515,9,1)=".",ISNUMBER(FIND("x"&amp;MID(B515,9,1),"x0x1x2x3x4x5x6x7x8x9"))),OR(10&gt;LEN(B515),MID(B515,10,1)=".",ISNUMBER(FIND("x"&amp;MID(B515,10,1),"x0x1x2x3x4x5x6x7x8x9"))),OR(AND(FIND(".",B515)=5,LEN(B515)-FIND(".",B515,FIND(".",B515)+1)&gt;=1,LEN(B515)-FIND(".",B515,FIND(".",B515)+1)&lt;=2),AND(LEN(B515)-FIND(".",B515,FIND(".",B515)+1)=4,FIND(".",B515)&gt;=2,FIND(".",B515)&lt;=3)),FIND(".",B515,FIND(".",B515)+1)-FIND(".",B515)&gt;=2,FIND(".",B515,FIND(".",B515)+1)-FIND(".",B515)&lt;=3,F515&gt;=2000,F515&lt;=2100,YEAR(I515)=F515,MONTH(I515)=G515,DAY(I515)=H515),I515,0)),0)</ns0:f>
        <ns0:v>0</ns0:v>
      </ns0:c>
      <ns0:c r="K515" s="0">
        <ns0:f>IFERROR(IF(ISNUMBER(Bookings!D515),"",TRIM(Bookings!D515&amp;"")),"")</ns0:f>
      </ns0:c>
      <ns0:c r="L515" s="0">
        <ns0:f>IFERROR(SUBSTITUTE(SUBSTITUTE(K515,"/","."),"-","."),"")</ns0:f>
      </ns0:c>
      <ns0:c r="M515" s="0">
        <ns0:f>IFERROR(LEFT(L515,FIND(".",L515)-1),"")</ns0:f>
      </ns0:c>
      <ns0:c r="N515" s="0">
        <ns0:f>IFERROR(MID(L515,FIND(".",L515)+1,FIND(".",L515,FIND(".",L515)+1)-FIND(".",L515)-1),"")</ns0:f>
      </ns0:c>
      <ns0:c r="O515" s="0">
        <ns0:f>IFERROR(MID(L515,FIND(".",L515,FIND(".",L515)+1)+1,99),"")</ns0:f>
        <ns0:v>99</ns0:v>
      </ns0:c>
      <ns0:c r="P515" s="0">
        <ns0:f>IFERROR(IF(FIND(".",L515)=5,--M515,--O515),0)</ns0:f>
        <ns0:v>0</ns0:v>
      </ns0:c>
      <ns0:c r="Q515" s="0">
        <ns0:f>IFERROR(--N515,0)</ns0:f>
        <ns0:v>0</ns0:v>
      </ns0:c>
      <ns0:c r="R515" s="0">
        <ns0:f>IFERROR(IF(FIND(".",L515)=5,--O515,--M515),0)</ns0:f>
        <ns0:v>0</ns0:v>
      </ns0:c>
      <ns0:c r="S515" s="0">
        <ns0:f>IFERROR(IF(AND(P515&gt;=2000,P515&lt;=2100,Q515&gt;=1,Q515&lt;=12,R515&gt;=1,R515&lt;=31),DATE(P515,Q515,R515),0),0)</ns0:f>
        <ns0:v>0</ns0:v>
      </ns0:c>
      <ns0:c r="T515" s="0">
        <ns0:f>IFERROR(IF(ISNUMBER(Bookings!D515),IF(AND(Bookings!D515=INT(Bookings!D515),Bookings!D515&gt;=DATE(2000,1,1),Bookings!D515&lt;=DATE(2100,12,31)),Bookings!D515,0),IF(AND(K515&lt;&gt;"",LEN("x"&amp;L515)-LEN(SUBSTITUTE("x"&amp;L515,".",""))=2,OR(1&gt;LEN(L515),MID(L515,1,1)=".",ISNUMBER(FIND("x"&amp;MID(L515,1,1),"x0x1x2x3x4x5x6x7x8x9"))),OR(2&gt;LEN(L515),MID(L515,2,1)=".",ISNUMBER(FIND("x"&amp;MID(L515,2,1),"x0x1x2x3x4x5x6x7x8x9"))),OR(3&gt;LEN(L515),MID(L515,3,1)=".",ISNUMBER(FIND("x"&amp;MID(L515,3,1),"x0x1x2x3x4x5x6x7x8x9"))),OR(4&gt;LEN(L515),MID(L515,4,1)=".",ISNUMBER(FIND("x"&amp;MID(L515,4,1),"x0x1x2x3x4x5x6x7x8x9"))),OR(5&gt;LEN(L515),MID(L515,5,1)=".",ISNUMBER(FIND("x"&amp;MID(L515,5,1),"x0x1x2x3x4x5x6x7x8x9"))),OR(6&gt;LEN(L515),MID(L515,6,1)=".",ISNUMBER(FIND("x"&amp;MID(L515,6,1),"x0x1x2x3x4x5x6x7x8x9"))),OR(7&gt;LEN(L515),MID(L515,7,1)=".",ISNUMBER(FIND("x"&amp;MID(L515,7,1),"x0x1x2x3x4x5x6x7x8x9"))),OR(8&gt;LEN(L515),MID(L515,8,1)=".",ISNUMBER(FIND("x"&amp;MID(L515,8,1),"x0x1x2x3x4x5x6x7x8x9"))),OR(9&gt;LEN(L515),MID(L515,9,1)=".",ISNUMBER(FIND("x"&amp;MID(L515,9,1),"x0x1x2x3x4x5x6x7x8x9"))),OR(10&gt;LEN(L515),MID(L515,10,1)=".",ISNUMBER(FIND("x"&amp;MID(L515,10,1),"x0x1x2x3x4x5x6x7x8x9"))),OR(AND(FIND(".",L515)=5,LEN(L515)-FIND(".",L515,FIND(".",L515)+1)&gt;=1,LEN(L515)-FIND(".",L515,FIND(".",L515)+1)&lt;=2),AND(LEN(L515)-FIND(".",L515,FIND(".",L515)+1)=4,FIND(".",L515)&gt;=2,FIND(".",L515)&lt;=3)),FIND(".",L515,FIND(".",L515)+1)-FIND(".",L515)&gt;=2,FIND(".",L515,FIND(".",L515)+1)-FIND(".",L515)&lt;=3,P515&gt;=2000,P515&lt;=2100,YEAR(S515)=P515,MONTH(S515)=Q515,DAY(S515)=R515),S515,0)),0)</ns0:f>
        <ns0:v>0</ns0:v>
      </ns0:c>
      <ns0:c r="U515" s="0" t="str">
        <ns0:f>IF(Bookings!C515="","Full day",Bookings!C515)</ns0:f>
        <ns0:v>Full day</ns0:v>
      </ns0:c>
      <ns0:c r="V515" s="0" t="str">
        <ns0:f>IF(Bookings!E515="","Full day",Bookings!E515)</ns0:f>
        <ns0:v>Full day</ns0:v>
      </ns0:c>
      <ns0:c r="W515" s="0">
        <ns0:f>IF(J515=0,0,J515+IF(U515="PM",1,0))</ns0:f>
        <ns0:v>0</ns0:v>
      </ns0:c>
      <ns0:c r="X515" s="0">
        <ns0:f>IF(T515=0,0,T515-IF(V515="PM",1,0))</ns0:f>
        <ns0:v>0</ns0:v>
      </ns0:c>
      <ns0:c r="Y515" s="0">
        <ns0:f>IF(J515=0,0,J515+IF(U515="AM",1,0))</ns0:f>
        <ns0:v>0</ns0:v>
      </ns0:c>
      <ns0:c r="Z515" s="0">
        <ns0:f>IF(T515=0,0,T515-IF(V515="AM",1,0))</ns0:f>
        <ns0:v>0</ns0:v>
      </ns0:c>
      <ns0:c r="AA515" s="0">
        <ns0:f>IFERROR(IF(AND(J515&gt;0,'_Engine'!C515&gt;0,MID('_Engine'!W515,WEEKDAY(J515,2),1)="W",COUNTIF(Settings!$F$18:$F$67,J515)=0),1,0),0)</ns0:f>
        <ns0:v>0</ns0:v>
      </ns0:c>
      <ns0:c r="AB515" s="0">
        <ns0:f>IFERROR(IF(AND(T515&gt;0,'_Engine'!C515&gt;0,MID('_Engine'!W515,WEEKDAY(T515,2),1)="W",COUNTIF(Settings!$F$18:$F$67,T515)=0),1,0),0)</ns0:f>
        <ns0:v>0</ns0:v>
      </ns0:c>
      <ns0:c r="AC515" s="0">
        <ns0:f>IF(AND(J515&gt;0,T515&gt;0,W515&lt;=X515),1,0)</ns0:f>
        <ns0:v>0</ns0:v>
      </ns0:c>
      <ns0:c r="AD515" s="0">
        <ns0:f>IF(AND(J515&gt;0,T515&gt;0,Y515&lt;=Z515),1,0)</ns0:f>
        <ns0:v>0</ns0:v>
      </ns0:c>
    </ns0:row>
    <ns0:row r="516">
      <ns0:c r="A516" s="0">
        <ns0:f>IFERROR(IF(ISNUMBER(Bookings!B516),"",TRIM(Bookings!B516&amp;"")),"")</ns0:f>
      </ns0:c>
      <ns0:c r="B516" s="0">
        <ns0:f>IFERROR(SUBSTITUTE(SUBSTITUTE(A516,"/","."),"-","."),"")</ns0:f>
      </ns0:c>
      <ns0:c r="C516" s="0">
        <ns0:f>IFERROR(LEFT(B516,FIND(".",B516)-1),"")</ns0:f>
      </ns0:c>
      <ns0:c r="D516" s="0">
        <ns0:f>IFERROR(MID(B516,FIND(".",B516)+1,FIND(".",B516,FIND(".",B516)+1)-FIND(".",B516)-1),"")</ns0:f>
      </ns0:c>
      <ns0:c r="E516" s="0">
        <ns0:f>IFERROR(MID(B516,FIND(".",B516,FIND(".",B516)+1)+1,99),"")</ns0:f>
        <ns0:v>99</ns0:v>
      </ns0:c>
      <ns0:c r="F516" s="0">
        <ns0:f>IFERROR(IF(FIND(".",B516)=5,--C516,--E516),0)</ns0:f>
        <ns0:v>0</ns0:v>
      </ns0:c>
      <ns0:c r="G516" s="0">
        <ns0:f>IFERROR(--D516,0)</ns0:f>
        <ns0:v>0</ns0:v>
      </ns0:c>
      <ns0:c r="H516" s="0">
        <ns0:f>IFERROR(IF(FIND(".",B516)=5,--E516,--C516),0)</ns0:f>
        <ns0:v>0</ns0:v>
      </ns0:c>
      <ns0:c r="I516" s="0">
        <ns0:f>IFERROR(IF(AND(F516&gt;=2000,F516&lt;=2100,G516&gt;=1,G516&lt;=12,H516&gt;=1,H516&lt;=31),DATE(F516,G516,H516),0),0)</ns0:f>
        <ns0:v>0</ns0:v>
      </ns0:c>
      <ns0:c r="J516" s="0">
        <ns0:f>IFERROR(IF(ISNUMBER(Bookings!B516),IF(AND(Bookings!B516=INT(Bookings!B516),Bookings!B516&gt;=DATE(2000,1,1),Bookings!B516&lt;=DATE(2100,12,31)),Bookings!B516,0),IF(AND(A516&lt;&gt;"",LEN("x"&amp;B516)-LEN(SUBSTITUTE("x"&amp;B516,".",""))=2,OR(1&gt;LEN(B516),MID(B516,1,1)=".",ISNUMBER(FIND("x"&amp;MID(B516,1,1),"x0x1x2x3x4x5x6x7x8x9"))),OR(2&gt;LEN(B516),MID(B516,2,1)=".",ISNUMBER(FIND("x"&amp;MID(B516,2,1),"x0x1x2x3x4x5x6x7x8x9"))),OR(3&gt;LEN(B516),MID(B516,3,1)=".",ISNUMBER(FIND("x"&amp;MID(B516,3,1),"x0x1x2x3x4x5x6x7x8x9"))),OR(4&gt;LEN(B516),MID(B516,4,1)=".",ISNUMBER(FIND("x"&amp;MID(B516,4,1),"x0x1x2x3x4x5x6x7x8x9"))),OR(5&gt;LEN(B516),MID(B516,5,1)=".",ISNUMBER(FIND("x"&amp;MID(B516,5,1),"x0x1x2x3x4x5x6x7x8x9"))),OR(6&gt;LEN(B516),MID(B516,6,1)=".",ISNUMBER(FIND("x"&amp;MID(B516,6,1),"x0x1x2x3x4x5x6x7x8x9"))),OR(7&gt;LEN(B516),MID(B516,7,1)=".",ISNUMBER(FIND("x"&amp;MID(B516,7,1),"x0x1x2x3x4x5x6x7x8x9"))),OR(8&gt;LEN(B516),MID(B516,8,1)=".",ISNUMBER(FIND("x"&amp;MID(B516,8,1),"x0x1x2x3x4x5x6x7x8x9"))),OR(9&gt;LEN(B516),MID(B516,9,1)=".",ISNUMBER(FIND("x"&amp;MID(B516,9,1),"x0x1x2x3x4x5x6x7x8x9"))),OR(10&gt;LEN(B516),MID(B516,10,1)=".",ISNUMBER(FIND("x"&amp;MID(B516,10,1),"x0x1x2x3x4x5x6x7x8x9"))),OR(AND(FIND(".",B516)=5,LEN(B516)-FIND(".",B516,FIND(".",B516)+1)&gt;=1,LEN(B516)-FIND(".",B516,FIND(".",B516)+1)&lt;=2),AND(LEN(B516)-FIND(".",B516,FIND(".",B516)+1)=4,FIND(".",B516)&gt;=2,FIND(".",B516)&lt;=3)),FIND(".",B516,FIND(".",B516)+1)-FIND(".",B516)&gt;=2,FIND(".",B516,FIND(".",B516)+1)-FIND(".",B516)&lt;=3,F516&gt;=2000,F516&lt;=2100,YEAR(I516)=F516,MONTH(I516)=G516,DAY(I516)=H516),I516,0)),0)</ns0:f>
        <ns0:v>0</ns0:v>
      </ns0:c>
      <ns0:c r="K516" s="0">
        <ns0:f>IFERROR(IF(ISNUMBER(Bookings!D516),"",TRIM(Bookings!D516&amp;"")),"")</ns0:f>
      </ns0:c>
      <ns0:c r="L516" s="0">
        <ns0:f>IFERROR(SUBSTITUTE(SUBSTITUTE(K516,"/","."),"-","."),"")</ns0:f>
      </ns0:c>
      <ns0:c r="M516" s="0">
        <ns0:f>IFERROR(LEFT(L516,FIND(".",L516)-1),"")</ns0:f>
      </ns0:c>
      <ns0:c r="N516" s="0">
        <ns0:f>IFERROR(MID(L516,FIND(".",L516)+1,FIND(".",L516,FIND(".",L516)+1)-FIND(".",L516)-1),"")</ns0:f>
      </ns0:c>
      <ns0:c r="O516" s="0">
        <ns0:f>IFERROR(MID(L516,FIND(".",L516,FIND(".",L516)+1)+1,99),"")</ns0:f>
        <ns0:v>99</ns0:v>
      </ns0:c>
      <ns0:c r="P516" s="0">
        <ns0:f>IFERROR(IF(FIND(".",L516)=5,--M516,--O516),0)</ns0:f>
        <ns0:v>0</ns0:v>
      </ns0:c>
      <ns0:c r="Q516" s="0">
        <ns0:f>IFERROR(--N516,0)</ns0:f>
        <ns0:v>0</ns0:v>
      </ns0:c>
      <ns0:c r="R516" s="0">
        <ns0:f>IFERROR(IF(FIND(".",L516)=5,--O516,--M516),0)</ns0:f>
        <ns0:v>0</ns0:v>
      </ns0:c>
      <ns0:c r="S516" s="0">
        <ns0:f>IFERROR(IF(AND(P516&gt;=2000,P516&lt;=2100,Q516&gt;=1,Q516&lt;=12,R516&gt;=1,R516&lt;=31),DATE(P516,Q516,R516),0),0)</ns0:f>
        <ns0:v>0</ns0:v>
      </ns0:c>
      <ns0:c r="T516" s="0">
        <ns0:f>IFERROR(IF(ISNUMBER(Bookings!D516),IF(AND(Bookings!D516=INT(Bookings!D516),Bookings!D516&gt;=DATE(2000,1,1),Bookings!D516&lt;=DATE(2100,12,31)),Bookings!D516,0),IF(AND(K516&lt;&gt;"",LEN("x"&amp;L516)-LEN(SUBSTITUTE("x"&amp;L516,".",""))=2,OR(1&gt;LEN(L516),MID(L516,1,1)=".",ISNUMBER(FIND("x"&amp;MID(L516,1,1),"x0x1x2x3x4x5x6x7x8x9"))),OR(2&gt;LEN(L516),MID(L516,2,1)=".",ISNUMBER(FIND("x"&amp;MID(L516,2,1),"x0x1x2x3x4x5x6x7x8x9"))),OR(3&gt;LEN(L516),MID(L516,3,1)=".",ISNUMBER(FIND("x"&amp;MID(L516,3,1),"x0x1x2x3x4x5x6x7x8x9"))),OR(4&gt;LEN(L516),MID(L516,4,1)=".",ISNUMBER(FIND("x"&amp;MID(L516,4,1),"x0x1x2x3x4x5x6x7x8x9"))),OR(5&gt;LEN(L516),MID(L516,5,1)=".",ISNUMBER(FIND("x"&amp;MID(L516,5,1),"x0x1x2x3x4x5x6x7x8x9"))),OR(6&gt;LEN(L516),MID(L516,6,1)=".",ISNUMBER(FIND("x"&amp;MID(L516,6,1),"x0x1x2x3x4x5x6x7x8x9"))),OR(7&gt;LEN(L516),MID(L516,7,1)=".",ISNUMBER(FIND("x"&amp;MID(L516,7,1),"x0x1x2x3x4x5x6x7x8x9"))),OR(8&gt;LEN(L516),MID(L516,8,1)=".",ISNUMBER(FIND("x"&amp;MID(L516,8,1),"x0x1x2x3x4x5x6x7x8x9"))),OR(9&gt;LEN(L516),MID(L516,9,1)=".",ISNUMBER(FIND("x"&amp;MID(L516,9,1),"x0x1x2x3x4x5x6x7x8x9"))),OR(10&gt;LEN(L516),MID(L516,10,1)=".",ISNUMBER(FIND("x"&amp;MID(L516,10,1),"x0x1x2x3x4x5x6x7x8x9"))),OR(AND(FIND(".",L516)=5,LEN(L516)-FIND(".",L516,FIND(".",L516)+1)&gt;=1,LEN(L516)-FIND(".",L516,FIND(".",L516)+1)&lt;=2),AND(LEN(L516)-FIND(".",L516,FIND(".",L516)+1)=4,FIND(".",L516)&gt;=2,FIND(".",L516)&lt;=3)),FIND(".",L516,FIND(".",L516)+1)-FIND(".",L516)&gt;=2,FIND(".",L516,FIND(".",L516)+1)-FIND(".",L516)&lt;=3,P516&gt;=2000,P516&lt;=2100,YEAR(S516)=P516,MONTH(S516)=Q516,DAY(S516)=R516),S516,0)),0)</ns0:f>
        <ns0:v>0</ns0:v>
      </ns0:c>
      <ns0:c r="U516" s="0" t="str">
        <ns0:f>IF(Bookings!C516="","Full day",Bookings!C516)</ns0:f>
        <ns0:v>Full day</ns0:v>
      </ns0:c>
      <ns0:c r="V516" s="0" t="str">
        <ns0:f>IF(Bookings!E516="","Full day",Bookings!E516)</ns0:f>
        <ns0:v>Full day</ns0:v>
      </ns0:c>
      <ns0:c r="W516" s="0">
        <ns0:f>IF(J516=0,0,J516+IF(U516="PM",1,0))</ns0:f>
        <ns0:v>0</ns0:v>
      </ns0:c>
      <ns0:c r="X516" s="0">
        <ns0:f>IF(T516=0,0,T516-IF(V516="PM",1,0))</ns0:f>
        <ns0:v>0</ns0:v>
      </ns0:c>
      <ns0:c r="Y516" s="0">
        <ns0:f>IF(J516=0,0,J516+IF(U516="AM",1,0))</ns0:f>
        <ns0:v>0</ns0:v>
      </ns0:c>
      <ns0:c r="Z516" s="0">
        <ns0:f>IF(T516=0,0,T516-IF(V516="AM",1,0))</ns0:f>
        <ns0:v>0</ns0:v>
      </ns0:c>
      <ns0:c r="AA516" s="0">
        <ns0:f>IFERROR(IF(AND(J516&gt;0,'_Engine'!C516&gt;0,MID('_Engine'!W516,WEEKDAY(J516,2),1)="W",COUNTIF(Settings!$F$18:$F$67,J516)=0),1,0),0)</ns0:f>
        <ns0:v>0</ns0:v>
      </ns0:c>
      <ns0:c r="AB516" s="0">
        <ns0:f>IFERROR(IF(AND(T516&gt;0,'_Engine'!C516&gt;0,MID('_Engine'!W516,WEEKDAY(T516,2),1)="W",COUNTIF(Settings!$F$18:$F$67,T516)=0),1,0),0)</ns0:f>
        <ns0:v>0</ns0:v>
      </ns0:c>
      <ns0:c r="AC516" s="0">
        <ns0:f>IF(AND(J516&gt;0,T516&gt;0,W516&lt;=X516),1,0)</ns0:f>
        <ns0:v>0</ns0:v>
      </ns0:c>
      <ns0:c r="AD516" s="0">
        <ns0:f>IF(AND(J516&gt;0,T516&gt;0,Y516&lt;=Z516),1,0)</ns0:f>
        <ns0:v>0</ns0:v>
      </ns0:c>
    </ns0:row>
    <ns0:row r="517">
      <ns0:c r="A517" s="0">
        <ns0:f>IFERROR(IF(ISNUMBER(Bookings!B517),"",TRIM(Bookings!B517&amp;"")),"")</ns0:f>
      </ns0:c>
      <ns0:c r="B517" s="0">
        <ns0:f>IFERROR(SUBSTITUTE(SUBSTITUTE(A517,"/","."),"-","."),"")</ns0:f>
      </ns0:c>
      <ns0:c r="C517" s="0">
        <ns0:f>IFERROR(LEFT(B517,FIND(".",B517)-1),"")</ns0:f>
      </ns0:c>
      <ns0:c r="D517" s="0">
        <ns0:f>IFERROR(MID(B517,FIND(".",B517)+1,FIND(".",B517,FIND(".",B517)+1)-FIND(".",B517)-1),"")</ns0:f>
      </ns0:c>
      <ns0:c r="E517" s="0">
        <ns0:f>IFERROR(MID(B517,FIND(".",B517,FIND(".",B517)+1)+1,99),"")</ns0:f>
        <ns0:v>99</ns0:v>
      </ns0:c>
      <ns0:c r="F517" s="0">
        <ns0:f>IFERROR(IF(FIND(".",B517)=5,--C517,--E517),0)</ns0:f>
        <ns0:v>0</ns0:v>
      </ns0:c>
      <ns0:c r="G517" s="0">
        <ns0:f>IFERROR(--D517,0)</ns0:f>
        <ns0:v>0</ns0:v>
      </ns0:c>
      <ns0:c r="H517" s="0">
        <ns0:f>IFERROR(IF(FIND(".",B517)=5,--E517,--C517),0)</ns0:f>
        <ns0:v>0</ns0:v>
      </ns0:c>
      <ns0:c r="I517" s="0">
        <ns0:f>IFERROR(IF(AND(F517&gt;=2000,F517&lt;=2100,G517&gt;=1,G517&lt;=12,H517&gt;=1,H517&lt;=31),DATE(F517,G517,H517),0),0)</ns0:f>
        <ns0:v>0</ns0:v>
      </ns0:c>
      <ns0:c r="J517" s="0">
        <ns0:f>IFERROR(IF(ISNUMBER(Bookings!B517),IF(AND(Bookings!B517=INT(Bookings!B517),Bookings!B517&gt;=DATE(2000,1,1),Bookings!B517&lt;=DATE(2100,12,31)),Bookings!B517,0),IF(AND(A517&lt;&gt;"",LEN("x"&amp;B517)-LEN(SUBSTITUTE("x"&amp;B517,".",""))=2,OR(1&gt;LEN(B517),MID(B517,1,1)=".",ISNUMBER(FIND("x"&amp;MID(B517,1,1),"x0x1x2x3x4x5x6x7x8x9"))),OR(2&gt;LEN(B517),MID(B517,2,1)=".",ISNUMBER(FIND("x"&amp;MID(B517,2,1),"x0x1x2x3x4x5x6x7x8x9"))),OR(3&gt;LEN(B517),MID(B517,3,1)=".",ISNUMBER(FIND("x"&amp;MID(B517,3,1),"x0x1x2x3x4x5x6x7x8x9"))),OR(4&gt;LEN(B517),MID(B517,4,1)=".",ISNUMBER(FIND("x"&amp;MID(B517,4,1),"x0x1x2x3x4x5x6x7x8x9"))),OR(5&gt;LEN(B517),MID(B517,5,1)=".",ISNUMBER(FIND("x"&amp;MID(B517,5,1),"x0x1x2x3x4x5x6x7x8x9"))),OR(6&gt;LEN(B517),MID(B517,6,1)=".",ISNUMBER(FIND("x"&amp;MID(B517,6,1),"x0x1x2x3x4x5x6x7x8x9"))),OR(7&gt;LEN(B517),MID(B517,7,1)=".",ISNUMBER(FIND("x"&amp;MID(B517,7,1),"x0x1x2x3x4x5x6x7x8x9"))),OR(8&gt;LEN(B517),MID(B517,8,1)=".",ISNUMBER(FIND("x"&amp;MID(B517,8,1),"x0x1x2x3x4x5x6x7x8x9"))),OR(9&gt;LEN(B517),MID(B517,9,1)=".",ISNUMBER(FIND("x"&amp;MID(B517,9,1),"x0x1x2x3x4x5x6x7x8x9"))),OR(10&gt;LEN(B517),MID(B517,10,1)=".",ISNUMBER(FIND("x"&amp;MID(B517,10,1),"x0x1x2x3x4x5x6x7x8x9"))),OR(AND(FIND(".",B517)=5,LEN(B517)-FIND(".",B517,FIND(".",B517)+1)&gt;=1,LEN(B517)-FIND(".",B517,FIND(".",B517)+1)&lt;=2),AND(LEN(B517)-FIND(".",B517,FIND(".",B517)+1)=4,FIND(".",B517)&gt;=2,FIND(".",B517)&lt;=3)),FIND(".",B517,FIND(".",B517)+1)-FIND(".",B517)&gt;=2,FIND(".",B517,FIND(".",B517)+1)-FIND(".",B517)&lt;=3,F517&gt;=2000,F517&lt;=2100,YEAR(I517)=F517,MONTH(I517)=G517,DAY(I517)=H517),I517,0)),0)</ns0:f>
        <ns0:v>0</ns0:v>
      </ns0:c>
      <ns0:c r="K517" s="0">
        <ns0:f>IFERROR(IF(ISNUMBER(Bookings!D517),"",TRIM(Bookings!D517&amp;"")),"")</ns0:f>
      </ns0:c>
      <ns0:c r="L517" s="0">
        <ns0:f>IFERROR(SUBSTITUTE(SUBSTITUTE(K517,"/","."),"-","."),"")</ns0:f>
      </ns0:c>
      <ns0:c r="M517" s="0">
        <ns0:f>IFERROR(LEFT(L517,FIND(".",L517)-1),"")</ns0:f>
      </ns0:c>
      <ns0:c r="N517" s="0">
        <ns0:f>IFERROR(MID(L517,FIND(".",L517)+1,FIND(".",L517,FIND(".",L517)+1)-FIND(".",L517)-1),"")</ns0:f>
      </ns0:c>
      <ns0:c r="O517" s="0">
        <ns0:f>IFERROR(MID(L517,FIND(".",L517,FIND(".",L517)+1)+1,99),"")</ns0:f>
        <ns0:v>99</ns0:v>
      </ns0:c>
      <ns0:c r="P517" s="0">
        <ns0:f>IFERROR(IF(FIND(".",L517)=5,--M517,--O517),0)</ns0:f>
        <ns0:v>0</ns0:v>
      </ns0:c>
      <ns0:c r="Q517" s="0">
        <ns0:f>IFERROR(--N517,0)</ns0:f>
        <ns0:v>0</ns0:v>
      </ns0:c>
      <ns0:c r="R517" s="0">
        <ns0:f>IFERROR(IF(FIND(".",L517)=5,--O517,--M517),0)</ns0:f>
        <ns0:v>0</ns0:v>
      </ns0:c>
      <ns0:c r="S517" s="0">
        <ns0:f>IFERROR(IF(AND(P517&gt;=2000,P517&lt;=2100,Q517&gt;=1,Q517&lt;=12,R517&gt;=1,R517&lt;=31),DATE(P517,Q517,R517),0),0)</ns0:f>
        <ns0:v>0</ns0:v>
      </ns0:c>
      <ns0:c r="T517" s="0">
        <ns0:f>IFERROR(IF(ISNUMBER(Bookings!D517),IF(AND(Bookings!D517=INT(Bookings!D517),Bookings!D517&gt;=DATE(2000,1,1),Bookings!D517&lt;=DATE(2100,12,31)),Bookings!D517,0),IF(AND(K517&lt;&gt;"",LEN("x"&amp;L517)-LEN(SUBSTITUTE("x"&amp;L517,".",""))=2,OR(1&gt;LEN(L517),MID(L517,1,1)=".",ISNUMBER(FIND("x"&amp;MID(L517,1,1),"x0x1x2x3x4x5x6x7x8x9"))),OR(2&gt;LEN(L517),MID(L517,2,1)=".",ISNUMBER(FIND("x"&amp;MID(L517,2,1),"x0x1x2x3x4x5x6x7x8x9"))),OR(3&gt;LEN(L517),MID(L517,3,1)=".",ISNUMBER(FIND("x"&amp;MID(L517,3,1),"x0x1x2x3x4x5x6x7x8x9"))),OR(4&gt;LEN(L517),MID(L517,4,1)=".",ISNUMBER(FIND("x"&amp;MID(L517,4,1),"x0x1x2x3x4x5x6x7x8x9"))),OR(5&gt;LEN(L517),MID(L517,5,1)=".",ISNUMBER(FIND("x"&amp;MID(L517,5,1),"x0x1x2x3x4x5x6x7x8x9"))),OR(6&gt;LEN(L517),MID(L517,6,1)=".",ISNUMBER(FIND("x"&amp;MID(L517,6,1),"x0x1x2x3x4x5x6x7x8x9"))),OR(7&gt;LEN(L517),MID(L517,7,1)=".",ISNUMBER(FIND("x"&amp;MID(L517,7,1),"x0x1x2x3x4x5x6x7x8x9"))),OR(8&gt;LEN(L517),MID(L517,8,1)=".",ISNUMBER(FIND("x"&amp;MID(L517,8,1),"x0x1x2x3x4x5x6x7x8x9"))),OR(9&gt;LEN(L517),MID(L517,9,1)=".",ISNUMBER(FIND("x"&amp;MID(L517,9,1),"x0x1x2x3x4x5x6x7x8x9"))),OR(10&gt;LEN(L517),MID(L517,10,1)=".",ISNUMBER(FIND("x"&amp;MID(L517,10,1),"x0x1x2x3x4x5x6x7x8x9"))),OR(AND(FIND(".",L517)=5,LEN(L517)-FIND(".",L517,FIND(".",L517)+1)&gt;=1,LEN(L517)-FIND(".",L517,FIND(".",L517)+1)&lt;=2),AND(LEN(L517)-FIND(".",L517,FIND(".",L517)+1)=4,FIND(".",L517)&gt;=2,FIND(".",L517)&lt;=3)),FIND(".",L517,FIND(".",L517)+1)-FIND(".",L517)&gt;=2,FIND(".",L517,FIND(".",L517)+1)-FIND(".",L517)&lt;=3,P517&gt;=2000,P517&lt;=2100,YEAR(S517)=P517,MONTH(S517)=Q517,DAY(S517)=R517),S517,0)),0)</ns0:f>
        <ns0:v>0</ns0:v>
      </ns0:c>
      <ns0:c r="U517" s="0" t="str">
        <ns0:f>IF(Bookings!C517="","Full day",Bookings!C517)</ns0:f>
        <ns0:v>Full day</ns0:v>
      </ns0:c>
      <ns0:c r="V517" s="0" t="str">
        <ns0:f>IF(Bookings!E517="","Full day",Bookings!E517)</ns0:f>
        <ns0:v>Full day</ns0:v>
      </ns0:c>
      <ns0:c r="W517" s="0">
        <ns0:f>IF(J517=0,0,J517+IF(U517="PM",1,0))</ns0:f>
        <ns0:v>0</ns0:v>
      </ns0:c>
      <ns0:c r="X517" s="0">
        <ns0:f>IF(T517=0,0,T517-IF(V517="PM",1,0))</ns0:f>
        <ns0:v>0</ns0:v>
      </ns0:c>
      <ns0:c r="Y517" s="0">
        <ns0:f>IF(J517=0,0,J517+IF(U517="AM",1,0))</ns0:f>
        <ns0:v>0</ns0:v>
      </ns0:c>
      <ns0:c r="Z517" s="0">
        <ns0:f>IF(T517=0,0,T517-IF(V517="AM",1,0))</ns0:f>
        <ns0:v>0</ns0:v>
      </ns0:c>
      <ns0:c r="AA517" s="0">
        <ns0:f>IFERROR(IF(AND(J517&gt;0,'_Engine'!C517&gt;0,MID('_Engine'!W517,WEEKDAY(J517,2),1)="W",COUNTIF(Settings!$F$18:$F$67,J517)=0),1,0),0)</ns0:f>
        <ns0:v>0</ns0:v>
      </ns0:c>
      <ns0:c r="AB517" s="0">
        <ns0:f>IFERROR(IF(AND(T517&gt;0,'_Engine'!C517&gt;0,MID('_Engine'!W517,WEEKDAY(T517,2),1)="W",COUNTIF(Settings!$F$18:$F$67,T517)=0),1,0),0)</ns0:f>
        <ns0:v>0</ns0:v>
      </ns0:c>
      <ns0:c r="AC517" s="0">
        <ns0:f>IF(AND(J517&gt;0,T517&gt;0,W517&lt;=X517),1,0)</ns0:f>
        <ns0:v>0</ns0:v>
      </ns0:c>
      <ns0:c r="AD517" s="0">
        <ns0:f>IF(AND(J517&gt;0,T517&gt;0,Y517&lt;=Z517),1,0)</ns0:f>
        <ns0:v>0</ns0:v>
      </ns0:c>
    </ns0:row>
    <ns0:row r="518">
      <ns0:c r="A518" s="0">
        <ns0:f>IFERROR(IF(ISNUMBER(Bookings!B518),"",TRIM(Bookings!B518&amp;"")),"")</ns0:f>
      </ns0:c>
      <ns0:c r="B518" s="0">
        <ns0:f>IFERROR(SUBSTITUTE(SUBSTITUTE(A518,"/","."),"-","."),"")</ns0:f>
      </ns0:c>
      <ns0:c r="C518" s="0">
        <ns0:f>IFERROR(LEFT(B518,FIND(".",B518)-1),"")</ns0:f>
      </ns0:c>
      <ns0:c r="D518" s="0">
        <ns0:f>IFERROR(MID(B518,FIND(".",B518)+1,FIND(".",B518,FIND(".",B518)+1)-FIND(".",B518)-1),"")</ns0:f>
      </ns0:c>
      <ns0:c r="E518" s="0">
        <ns0:f>IFERROR(MID(B518,FIND(".",B518,FIND(".",B518)+1)+1,99),"")</ns0:f>
        <ns0:v>99</ns0:v>
      </ns0:c>
      <ns0:c r="F518" s="0">
        <ns0:f>IFERROR(IF(FIND(".",B518)=5,--C518,--E518),0)</ns0:f>
        <ns0:v>0</ns0:v>
      </ns0:c>
      <ns0:c r="G518" s="0">
        <ns0:f>IFERROR(--D518,0)</ns0:f>
        <ns0:v>0</ns0:v>
      </ns0:c>
      <ns0:c r="H518" s="0">
        <ns0:f>IFERROR(IF(FIND(".",B518)=5,--E518,--C518),0)</ns0:f>
        <ns0:v>0</ns0:v>
      </ns0:c>
      <ns0:c r="I518" s="0">
        <ns0:f>IFERROR(IF(AND(F518&gt;=2000,F518&lt;=2100,G518&gt;=1,G518&lt;=12,H518&gt;=1,H518&lt;=31),DATE(F518,G518,H518),0),0)</ns0:f>
        <ns0:v>0</ns0:v>
      </ns0:c>
      <ns0:c r="J518" s="0">
        <ns0:f>IFERROR(IF(ISNUMBER(Bookings!B518),IF(AND(Bookings!B518=INT(Bookings!B518),Bookings!B518&gt;=DATE(2000,1,1),Bookings!B518&lt;=DATE(2100,12,31)),Bookings!B518,0),IF(AND(A518&lt;&gt;"",LEN("x"&amp;B518)-LEN(SUBSTITUTE("x"&amp;B518,".",""))=2,OR(1&gt;LEN(B518),MID(B518,1,1)=".",ISNUMBER(FIND("x"&amp;MID(B518,1,1),"x0x1x2x3x4x5x6x7x8x9"))),OR(2&gt;LEN(B518),MID(B518,2,1)=".",ISNUMBER(FIND("x"&amp;MID(B518,2,1),"x0x1x2x3x4x5x6x7x8x9"))),OR(3&gt;LEN(B518),MID(B518,3,1)=".",ISNUMBER(FIND("x"&amp;MID(B518,3,1),"x0x1x2x3x4x5x6x7x8x9"))),OR(4&gt;LEN(B518),MID(B518,4,1)=".",ISNUMBER(FIND("x"&amp;MID(B518,4,1),"x0x1x2x3x4x5x6x7x8x9"))),OR(5&gt;LEN(B518),MID(B518,5,1)=".",ISNUMBER(FIND("x"&amp;MID(B518,5,1),"x0x1x2x3x4x5x6x7x8x9"))),OR(6&gt;LEN(B518),MID(B518,6,1)=".",ISNUMBER(FIND("x"&amp;MID(B518,6,1),"x0x1x2x3x4x5x6x7x8x9"))),OR(7&gt;LEN(B518),MID(B518,7,1)=".",ISNUMBER(FIND("x"&amp;MID(B518,7,1),"x0x1x2x3x4x5x6x7x8x9"))),OR(8&gt;LEN(B518),MID(B518,8,1)=".",ISNUMBER(FIND("x"&amp;MID(B518,8,1),"x0x1x2x3x4x5x6x7x8x9"))),OR(9&gt;LEN(B518),MID(B518,9,1)=".",ISNUMBER(FIND("x"&amp;MID(B518,9,1),"x0x1x2x3x4x5x6x7x8x9"))),OR(10&gt;LEN(B518),MID(B518,10,1)=".",ISNUMBER(FIND("x"&amp;MID(B518,10,1),"x0x1x2x3x4x5x6x7x8x9"))),OR(AND(FIND(".",B518)=5,LEN(B518)-FIND(".",B518,FIND(".",B518)+1)&gt;=1,LEN(B518)-FIND(".",B518,FIND(".",B518)+1)&lt;=2),AND(LEN(B518)-FIND(".",B518,FIND(".",B518)+1)=4,FIND(".",B518)&gt;=2,FIND(".",B518)&lt;=3)),FIND(".",B518,FIND(".",B518)+1)-FIND(".",B518)&gt;=2,FIND(".",B518,FIND(".",B518)+1)-FIND(".",B518)&lt;=3,F518&gt;=2000,F518&lt;=2100,YEAR(I518)=F518,MONTH(I518)=G518,DAY(I518)=H518),I518,0)),0)</ns0:f>
        <ns0:v>0</ns0:v>
      </ns0:c>
      <ns0:c r="K518" s="0">
        <ns0:f>IFERROR(IF(ISNUMBER(Bookings!D518),"",TRIM(Bookings!D518&amp;"")),"")</ns0:f>
      </ns0:c>
      <ns0:c r="L518" s="0">
        <ns0:f>IFERROR(SUBSTITUTE(SUBSTITUTE(K518,"/","."),"-","."),"")</ns0:f>
      </ns0:c>
      <ns0:c r="M518" s="0">
        <ns0:f>IFERROR(LEFT(L518,FIND(".",L518)-1),"")</ns0:f>
      </ns0:c>
      <ns0:c r="N518" s="0">
        <ns0:f>IFERROR(MID(L518,FIND(".",L518)+1,FIND(".",L518,FIND(".",L518)+1)-FIND(".",L518)-1),"")</ns0:f>
      </ns0:c>
      <ns0:c r="O518" s="0">
        <ns0:f>IFERROR(MID(L518,FIND(".",L518,FIND(".",L518)+1)+1,99),"")</ns0:f>
        <ns0:v>99</ns0:v>
      </ns0:c>
      <ns0:c r="P518" s="0">
        <ns0:f>IFERROR(IF(FIND(".",L518)=5,--M518,--O518),0)</ns0:f>
        <ns0:v>0</ns0:v>
      </ns0:c>
      <ns0:c r="Q518" s="0">
        <ns0:f>IFERROR(--N518,0)</ns0:f>
        <ns0:v>0</ns0:v>
      </ns0:c>
      <ns0:c r="R518" s="0">
        <ns0:f>IFERROR(IF(FIND(".",L518)=5,--O518,--M518),0)</ns0:f>
        <ns0:v>0</ns0:v>
      </ns0:c>
      <ns0:c r="S518" s="0">
        <ns0:f>IFERROR(IF(AND(P518&gt;=2000,P518&lt;=2100,Q518&gt;=1,Q518&lt;=12,R518&gt;=1,R518&lt;=31),DATE(P518,Q518,R518),0),0)</ns0:f>
        <ns0:v>0</ns0:v>
      </ns0:c>
      <ns0:c r="T518" s="0">
        <ns0:f>IFERROR(IF(ISNUMBER(Bookings!D518),IF(AND(Bookings!D518=INT(Bookings!D518),Bookings!D518&gt;=DATE(2000,1,1),Bookings!D518&lt;=DATE(2100,12,31)),Bookings!D518,0),IF(AND(K518&lt;&gt;"",LEN("x"&amp;L518)-LEN(SUBSTITUTE("x"&amp;L518,".",""))=2,OR(1&gt;LEN(L518),MID(L518,1,1)=".",ISNUMBER(FIND("x"&amp;MID(L518,1,1),"x0x1x2x3x4x5x6x7x8x9"))),OR(2&gt;LEN(L518),MID(L518,2,1)=".",ISNUMBER(FIND("x"&amp;MID(L518,2,1),"x0x1x2x3x4x5x6x7x8x9"))),OR(3&gt;LEN(L518),MID(L518,3,1)=".",ISNUMBER(FIND("x"&amp;MID(L518,3,1),"x0x1x2x3x4x5x6x7x8x9"))),OR(4&gt;LEN(L518),MID(L518,4,1)=".",ISNUMBER(FIND("x"&amp;MID(L518,4,1),"x0x1x2x3x4x5x6x7x8x9"))),OR(5&gt;LEN(L518),MID(L518,5,1)=".",ISNUMBER(FIND("x"&amp;MID(L518,5,1),"x0x1x2x3x4x5x6x7x8x9"))),OR(6&gt;LEN(L518),MID(L518,6,1)=".",ISNUMBER(FIND("x"&amp;MID(L518,6,1),"x0x1x2x3x4x5x6x7x8x9"))),OR(7&gt;LEN(L518),MID(L518,7,1)=".",ISNUMBER(FIND("x"&amp;MID(L518,7,1),"x0x1x2x3x4x5x6x7x8x9"))),OR(8&gt;LEN(L518),MID(L518,8,1)=".",ISNUMBER(FIND("x"&amp;MID(L518,8,1),"x0x1x2x3x4x5x6x7x8x9"))),OR(9&gt;LEN(L518),MID(L518,9,1)=".",ISNUMBER(FIND("x"&amp;MID(L518,9,1),"x0x1x2x3x4x5x6x7x8x9"))),OR(10&gt;LEN(L518),MID(L518,10,1)=".",ISNUMBER(FIND("x"&amp;MID(L518,10,1),"x0x1x2x3x4x5x6x7x8x9"))),OR(AND(FIND(".",L518)=5,LEN(L518)-FIND(".",L518,FIND(".",L518)+1)&gt;=1,LEN(L518)-FIND(".",L518,FIND(".",L518)+1)&lt;=2),AND(LEN(L518)-FIND(".",L518,FIND(".",L518)+1)=4,FIND(".",L518)&gt;=2,FIND(".",L518)&lt;=3)),FIND(".",L518,FIND(".",L518)+1)-FIND(".",L518)&gt;=2,FIND(".",L518,FIND(".",L518)+1)-FIND(".",L518)&lt;=3,P518&gt;=2000,P518&lt;=2100,YEAR(S518)=P518,MONTH(S518)=Q518,DAY(S518)=R518),S518,0)),0)</ns0:f>
        <ns0:v>0</ns0:v>
      </ns0:c>
      <ns0:c r="U518" s="0" t="str">
        <ns0:f>IF(Bookings!C518="","Full day",Bookings!C518)</ns0:f>
        <ns0:v>Full day</ns0:v>
      </ns0:c>
      <ns0:c r="V518" s="0" t="str">
        <ns0:f>IF(Bookings!E518="","Full day",Bookings!E518)</ns0:f>
        <ns0:v>Full day</ns0:v>
      </ns0:c>
      <ns0:c r="W518" s="0">
        <ns0:f>IF(J518=0,0,J518+IF(U518="PM",1,0))</ns0:f>
        <ns0:v>0</ns0:v>
      </ns0:c>
      <ns0:c r="X518" s="0">
        <ns0:f>IF(T518=0,0,T518-IF(V518="PM",1,0))</ns0:f>
        <ns0:v>0</ns0:v>
      </ns0:c>
      <ns0:c r="Y518" s="0">
        <ns0:f>IF(J518=0,0,J518+IF(U518="AM",1,0))</ns0:f>
        <ns0:v>0</ns0:v>
      </ns0:c>
      <ns0:c r="Z518" s="0">
        <ns0:f>IF(T518=0,0,T518-IF(V518="AM",1,0))</ns0:f>
        <ns0:v>0</ns0:v>
      </ns0:c>
      <ns0:c r="AA518" s="0">
        <ns0:f>IFERROR(IF(AND(J518&gt;0,'_Engine'!C518&gt;0,MID('_Engine'!W518,WEEKDAY(J518,2),1)="W",COUNTIF(Settings!$F$18:$F$67,J518)=0),1,0),0)</ns0:f>
        <ns0:v>0</ns0:v>
      </ns0:c>
      <ns0:c r="AB518" s="0">
        <ns0:f>IFERROR(IF(AND(T518&gt;0,'_Engine'!C518&gt;0,MID('_Engine'!W518,WEEKDAY(T518,2),1)="W",COUNTIF(Settings!$F$18:$F$67,T518)=0),1,0),0)</ns0:f>
        <ns0:v>0</ns0:v>
      </ns0:c>
      <ns0:c r="AC518" s="0">
        <ns0:f>IF(AND(J518&gt;0,T518&gt;0,W518&lt;=X518),1,0)</ns0:f>
        <ns0:v>0</ns0:v>
      </ns0:c>
      <ns0:c r="AD518" s="0">
        <ns0:f>IF(AND(J518&gt;0,T518&gt;0,Y518&lt;=Z518),1,0)</ns0:f>
        <ns0:v>0</ns0:v>
      </ns0:c>
    </ns0:row>
    <ns0:row r="519">
      <ns0:c r="A519" s="0">
        <ns0:f>IFERROR(IF(ISNUMBER(Bookings!B519),"",TRIM(Bookings!B519&amp;"")),"")</ns0:f>
      </ns0:c>
      <ns0:c r="B519" s="0">
        <ns0:f>IFERROR(SUBSTITUTE(SUBSTITUTE(A519,"/","."),"-","."),"")</ns0:f>
      </ns0:c>
      <ns0:c r="C519" s="0">
        <ns0:f>IFERROR(LEFT(B519,FIND(".",B519)-1),"")</ns0:f>
      </ns0:c>
      <ns0:c r="D519" s="0">
        <ns0:f>IFERROR(MID(B519,FIND(".",B519)+1,FIND(".",B519,FIND(".",B519)+1)-FIND(".",B519)-1),"")</ns0:f>
      </ns0:c>
      <ns0:c r="E519" s="0">
        <ns0:f>IFERROR(MID(B519,FIND(".",B519,FIND(".",B519)+1)+1,99),"")</ns0:f>
        <ns0:v>99</ns0:v>
      </ns0:c>
      <ns0:c r="F519" s="0">
        <ns0:f>IFERROR(IF(FIND(".",B519)=5,--C519,--E519),0)</ns0:f>
        <ns0:v>0</ns0:v>
      </ns0:c>
      <ns0:c r="G519" s="0">
        <ns0:f>IFERROR(--D519,0)</ns0:f>
        <ns0:v>0</ns0:v>
      </ns0:c>
      <ns0:c r="H519" s="0">
        <ns0:f>IFERROR(IF(FIND(".",B519)=5,--E519,--C519),0)</ns0:f>
        <ns0:v>0</ns0:v>
      </ns0:c>
      <ns0:c r="I519" s="0">
        <ns0:f>IFERROR(IF(AND(F519&gt;=2000,F519&lt;=2100,G519&gt;=1,G519&lt;=12,H519&gt;=1,H519&lt;=31),DATE(F519,G519,H519),0),0)</ns0:f>
        <ns0:v>0</ns0:v>
      </ns0:c>
      <ns0:c r="J519" s="0">
        <ns0:f>IFERROR(IF(ISNUMBER(Bookings!B519),IF(AND(Bookings!B519=INT(Bookings!B519),Bookings!B519&gt;=DATE(2000,1,1),Bookings!B519&lt;=DATE(2100,12,31)),Bookings!B519,0),IF(AND(A519&lt;&gt;"",LEN("x"&amp;B519)-LEN(SUBSTITUTE("x"&amp;B519,".",""))=2,OR(1&gt;LEN(B519),MID(B519,1,1)=".",ISNUMBER(FIND("x"&amp;MID(B519,1,1),"x0x1x2x3x4x5x6x7x8x9"))),OR(2&gt;LEN(B519),MID(B519,2,1)=".",ISNUMBER(FIND("x"&amp;MID(B519,2,1),"x0x1x2x3x4x5x6x7x8x9"))),OR(3&gt;LEN(B519),MID(B519,3,1)=".",ISNUMBER(FIND("x"&amp;MID(B519,3,1),"x0x1x2x3x4x5x6x7x8x9"))),OR(4&gt;LEN(B519),MID(B519,4,1)=".",ISNUMBER(FIND("x"&amp;MID(B519,4,1),"x0x1x2x3x4x5x6x7x8x9"))),OR(5&gt;LEN(B519),MID(B519,5,1)=".",ISNUMBER(FIND("x"&amp;MID(B519,5,1),"x0x1x2x3x4x5x6x7x8x9"))),OR(6&gt;LEN(B519),MID(B519,6,1)=".",ISNUMBER(FIND("x"&amp;MID(B519,6,1),"x0x1x2x3x4x5x6x7x8x9"))),OR(7&gt;LEN(B519),MID(B519,7,1)=".",ISNUMBER(FIND("x"&amp;MID(B519,7,1),"x0x1x2x3x4x5x6x7x8x9"))),OR(8&gt;LEN(B519),MID(B519,8,1)=".",ISNUMBER(FIND("x"&amp;MID(B519,8,1),"x0x1x2x3x4x5x6x7x8x9"))),OR(9&gt;LEN(B519),MID(B519,9,1)=".",ISNUMBER(FIND("x"&amp;MID(B519,9,1),"x0x1x2x3x4x5x6x7x8x9"))),OR(10&gt;LEN(B519),MID(B519,10,1)=".",ISNUMBER(FIND("x"&amp;MID(B519,10,1),"x0x1x2x3x4x5x6x7x8x9"))),OR(AND(FIND(".",B519)=5,LEN(B519)-FIND(".",B519,FIND(".",B519)+1)&gt;=1,LEN(B519)-FIND(".",B519,FIND(".",B519)+1)&lt;=2),AND(LEN(B519)-FIND(".",B519,FIND(".",B519)+1)=4,FIND(".",B519)&gt;=2,FIND(".",B519)&lt;=3)),FIND(".",B519,FIND(".",B519)+1)-FIND(".",B519)&gt;=2,FIND(".",B519,FIND(".",B519)+1)-FIND(".",B519)&lt;=3,F519&gt;=2000,F519&lt;=2100,YEAR(I519)=F519,MONTH(I519)=G519,DAY(I519)=H519),I519,0)),0)</ns0:f>
        <ns0:v>0</ns0:v>
      </ns0:c>
      <ns0:c r="K519" s="0">
        <ns0:f>IFERROR(IF(ISNUMBER(Bookings!D519),"",TRIM(Bookings!D519&amp;"")),"")</ns0:f>
      </ns0:c>
      <ns0:c r="L519" s="0">
        <ns0:f>IFERROR(SUBSTITUTE(SUBSTITUTE(K519,"/","."),"-","."),"")</ns0:f>
      </ns0:c>
      <ns0:c r="M519" s="0">
        <ns0:f>IFERROR(LEFT(L519,FIND(".",L519)-1),"")</ns0:f>
      </ns0:c>
      <ns0:c r="N519" s="0">
        <ns0:f>IFERROR(MID(L519,FIND(".",L519)+1,FIND(".",L519,FIND(".",L519)+1)-FIND(".",L519)-1),"")</ns0:f>
      </ns0:c>
      <ns0:c r="O519" s="0">
        <ns0:f>IFERROR(MID(L519,FIND(".",L519,FIND(".",L519)+1)+1,99),"")</ns0:f>
        <ns0:v>99</ns0:v>
      </ns0:c>
      <ns0:c r="P519" s="0">
        <ns0:f>IFERROR(IF(FIND(".",L519)=5,--M519,--O519),0)</ns0:f>
        <ns0:v>0</ns0:v>
      </ns0:c>
      <ns0:c r="Q519" s="0">
        <ns0:f>IFERROR(--N519,0)</ns0:f>
        <ns0:v>0</ns0:v>
      </ns0:c>
      <ns0:c r="R519" s="0">
        <ns0:f>IFERROR(IF(FIND(".",L519)=5,--O519,--M519),0)</ns0:f>
        <ns0:v>0</ns0:v>
      </ns0:c>
      <ns0:c r="S519" s="0">
        <ns0:f>IFERROR(IF(AND(P519&gt;=2000,P519&lt;=2100,Q519&gt;=1,Q519&lt;=12,R519&gt;=1,R519&lt;=31),DATE(P519,Q519,R519),0),0)</ns0:f>
        <ns0:v>0</ns0:v>
      </ns0:c>
      <ns0:c r="T519" s="0">
        <ns0:f>IFERROR(IF(ISNUMBER(Bookings!D519),IF(AND(Bookings!D519=INT(Bookings!D519),Bookings!D519&gt;=DATE(2000,1,1),Bookings!D519&lt;=DATE(2100,12,31)),Bookings!D519,0),IF(AND(K519&lt;&gt;"",LEN("x"&amp;L519)-LEN(SUBSTITUTE("x"&amp;L519,".",""))=2,OR(1&gt;LEN(L519),MID(L519,1,1)=".",ISNUMBER(FIND("x"&amp;MID(L519,1,1),"x0x1x2x3x4x5x6x7x8x9"))),OR(2&gt;LEN(L519),MID(L519,2,1)=".",ISNUMBER(FIND("x"&amp;MID(L519,2,1),"x0x1x2x3x4x5x6x7x8x9"))),OR(3&gt;LEN(L519),MID(L519,3,1)=".",ISNUMBER(FIND("x"&amp;MID(L519,3,1),"x0x1x2x3x4x5x6x7x8x9"))),OR(4&gt;LEN(L519),MID(L519,4,1)=".",ISNUMBER(FIND("x"&amp;MID(L519,4,1),"x0x1x2x3x4x5x6x7x8x9"))),OR(5&gt;LEN(L519),MID(L519,5,1)=".",ISNUMBER(FIND("x"&amp;MID(L519,5,1),"x0x1x2x3x4x5x6x7x8x9"))),OR(6&gt;LEN(L519),MID(L519,6,1)=".",ISNUMBER(FIND("x"&amp;MID(L519,6,1),"x0x1x2x3x4x5x6x7x8x9"))),OR(7&gt;LEN(L519),MID(L519,7,1)=".",ISNUMBER(FIND("x"&amp;MID(L519,7,1),"x0x1x2x3x4x5x6x7x8x9"))),OR(8&gt;LEN(L519),MID(L519,8,1)=".",ISNUMBER(FIND("x"&amp;MID(L519,8,1),"x0x1x2x3x4x5x6x7x8x9"))),OR(9&gt;LEN(L519),MID(L519,9,1)=".",ISNUMBER(FIND("x"&amp;MID(L519,9,1),"x0x1x2x3x4x5x6x7x8x9"))),OR(10&gt;LEN(L519),MID(L519,10,1)=".",ISNUMBER(FIND("x"&amp;MID(L519,10,1),"x0x1x2x3x4x5x6x7x8x9"))),OR(AND(FIND(".",L519)=5,LEN(L519)-FIND(".",L519,FIND(".",L519)+1)&gt;=1,LEN(L519)-FIND(".",L519,FIND(".",L519)+1)&lt;=2),AND(LEN(L519)-FIND(".",L519,FIND(".",L519)+1)=4,FIND(".",L519)&gt;=2,FIND(".",L519)&lt;=3)),FIND(".",L519,FIND(".",L519)+1)-FIND(".",L519)&gt;=2,FIND(".",L519,FIND(".",L519)+1)-FIND(".",L519)&lt;=3,P519&gt;=2000,P519&lt;=2100,YEAR(S519)=P519,MONTH(S519)=Q519,DAY(S519)=R519),S519,0)),0)</ns0:f>
        <ns0:v>0</ns0:v>
      </ns0:c>
      <ns0:c r="U519" s="0" t="str">
        <ns0:f>IF(Bookings!C519="","Full day",Bookings!C519)</ns0:f>
        <ns0:v>Full day</ns0:v>
      </ns0:c>
      <ns0:c r="V519" s="0" t="str">
        <ns0:f>IF(Bookings!E519="","Full day",Bookings!E519)</ns0:f>
        <ns0:v>Full day</ns0:v>
      </ns0:c>
      <ns0:c r="W519" s="0">
        <ns0:f>IF(J519=0,0,J519+IF(U519="PM",1,0))</ns0:f>
        <ns0:v>0</ns0:v>
      </ns0:c>
      <ns0:c r="X519" s="0">
        <ns0:f>IF(T519=0,0,T519-IF(V519="PM",1,0))</ns0:f>
        <ns0:v>0</ns0:v>
      </ns0:c>
      <ns0:c r="Y519" s="0">
        <ns0:f>IF(J519=0,0,J519+IF(U519="AM",1,0))</ns0:f>
        <ns0:v>0</ns0:v>
      </ns0:c>
      <ns0:c r="Z519" s="0">
        <ns0:f>IF(T519=0,0,T519-IF(V519="AM",1,0))</ns0:f>
        <ns0:v>0</ns0:v>
      </ns0:c>
      <ns0:c r="AA519" s="0">
        <ns0:f>IFERROR(IF(AND(J519&gt;0,'_Engine'!C519&gt;0,MID('_Engine'!W519,WEEKDAY(J519,2),1)="W",COUNTIF(Settings!$F$18:$F$67,J519)=0),1,0),0)</ns0:f>
        <ns0:v>0</ns0:v>
      </ns0:c>
      <ns0:c r="AB519" s="0">
        <ns0:f>IFERROR(IF(AND(T519&gt;0,'_Engine'!C519&gt;0,MID('_Engine'!W519,WEEKDAY(T519,2),1)="W",COUNTIF(Settings!$F$18:$F$67,T519)=0),1,0),0)</ns0:f>
        <ns0:v>0</ns0:v>
      </ns0:c>
      <ns0:c r="AC519" s="0">
        <ns0:f>IF(AND(J519&gt;0,T519&gt;0,W519&lt;=X519),1,0)</ns0:f>
        <ns0:v>0</ns0:v>
      </ns0:c>
      <ns0:c r="AD519" s="0">
        <ns0:f>IF(AND(J519&gt;0,T519&gt;0,Y519&lt;=Z519),1,0)</ns0:f>
        <ns0:v>0</ns0:v>
      </ns0:c>
    </ns0:row>
    <ns0:row r="520">
      <ns0:c r="A520" s="0">
        <ns0:f>IFERROR(IF(ISNUMBER(Bookings!B520),"",TRIM(Bookings!B520&amp;"")),"")</ns0:f>
      </ns0:c>
      <ns0:c r="B520" s="0">
        <ns0:f>IFERROR(SUBSTITUTE(SUBSTITUTE(A520,"/","."),"-","."),"")</ns0:f>
      </ns0:c>
      <ns0:c r="C520" s="0">
        <ns0:f>IFERROR(LEFT(B520,FIND(".",B520)-1),"")</ns0:f>
      </ns0:c>
      <ns0:c r="D520" s="0">
        <ns0:f>IFERROR(MID(B520,FIND(".",B520)+1,FIND(".",B520,FIND(".",B520)+1)-FIND(".",B520)-1),"")</ns0:f>
      </ns0:c>
      <ns0:c r="E520" s="0">
        <ns0:f>IFERROR(MID(B520,FIND(".",B520,FIND(".",B520)+1)+1,99),"")</ns0:f>
        <ns0:v>99</ns0:v>
      </ns0:c>
      <ns0:c r="F520" s="0">
        <ns0:f>IFERROR(IF(FIND(".",B520)=5,--C520,--E520),0)</ns0:f>
        <ns0:v>0</ns0:v>
      </ns0:c>
      <ns0:c r="G520" s="0">
        <ns0:f>IFERROR(--D520,0)</ns0:f>
        <ns0:v>0</ns0:v>
      </ns0:c>
      <ns0:c r="H520" s="0">
        <ns0:f>IFERROR(IF(FIND(".",B520)=5,--E520,--C520),0)</ns0:f>
        <ns0:v>0</ns0:v>
      </ns0:c>
      <ns0:c r="I520" s="0">
        <ns0:f>IFERROR(IF(AND(F520&gt;=2000,F520&lt;=2100,G520&gt;=1,G520&lt;=12,H520&gt;=1,H520&lt;=31),DATE(F520,G520,H520),0),0)</ns0:f>
        <ns0:v>0</ns0:v>
      </ns0:c>
      <ns0:c r="J520" s="0">
        <ns0:f>IFERROR(IF(ISNUMBER(Bookings!B520),IF(AND(Bookings!B520=INT(Bookings!B520),Bookings!B520&gt;=DATE(2000,1,1),Bookings!B520&lt;=DATE(2100,12,31)),Bookings!B520,0),IF(AND(A520&lt;&gt;"",LEN("x"&amp;B520)-LEN(SUBSTITUTE("x"&amp;B520,".",""))=2,OR(1&gt;LEN(B520),MID(B520,1,1)=".",ISNUMBER(FIND("x"&amp;MID(B520,1,1),"x0x1x2x3x4x5x6x7x8x9"))),OR(2&gt;LEN(B520),MID(B520,2,1)=".",ISNUMBER(FIND("x"&amp;MID(B520,2,1),"x0x1x2x3x4x5x6x7x8x9"))),OR(3&gt;LEN(B520),MID(B520,3,1)=".",ISNUMBER(FIND("x"&amp;MID(B520,3,1),"x0x1x2x3x4x5x6x7x8x9"))),OR(4&gt;LEN(B520),MID(B520,4,1)=".",ISNUMBER(FIND("x"&amp;MID(B520,4,1),"x0x1x2x3x4x5x6x7x8x9"))),OR(5&gt;LEN(B520),MID(B520,5,1)=".",ISNUMBER(FIND("x"&amp;MID(B520,5,1),"x0x1x2x3x4x5x6x7x8x9"))),OR(6&gt;LEN(B520),MID(B520,6,1)=".",ISNUMBER(FIND("x"&amp;MID(B520,6,1),"x0x1x2x3x4x5x6x7x8x9"))),OR(7&gt;LEN(B520),MID(B520,7,1)=".",ISNUMBER(FIND("x"&amp;MID(B520,7,1),"x0x1x2x3x4x5x6x7x8x9"))),OR(8&gt;LEN(B520),MID(B520,8,1)=".",ISNUMBER(FIND("x"&amp;MID(B520,8,1),"x0x1x2x3x4x5x6x7x8x9"))),OR(9&gt;LEN(B520),MID(B520,9,1)=".",ISNUMBER(FIND("x"&amp;MID(B520,9,1),"x0x1x2x3x4x5x6x7x8x9"))),OR(10&gt;LEN(B520),MID(B520,10,1)=".",ISNUMBER(FIND("x"&amp;MID(B520,10,1),"x0x1x2x3x4x5x6x7x8x9"))),OR(AND(FIND(".",B520)=5,LEN(B520)-FIND(".",B520,FIND(".",B520)+1)&gt;=1,LEN(B520)-FIND(".",B520,FIND(".",B520)+1)&lt;=2),AND(LEN(B520)-FIND(".",B520,FIND(".",B520)+1)=4,FIND(".",B520)&gt;=2,FIND(".",B520)&lt;=3)),FIND(".",B520,FIND(".",B520)+1)-FIND(".",B520)&gt;=2,FIND(".",B520,FIND(".",B520)+1)-FIND(".",B520)&lt;=3,F520&gt;=2000,F520&lt;=2100,YEAR(I520)=F520,MONTH(I520)=G520,DAY(I520)=H520),I520,0)),0)</ns0:f>
        <ns0:v>0</ns0:v>
      </ns0:c>
      <ns0:c r="K520" s="0">
        <ns0:f>IFERROR(IF(ISNUMBER(Bookings!D520),"",TRIM(Bookings!D520&amp;"")),"")</ns0:f>
      </ns0:c>
      <ns0:c r="L520" s="0">
        <ns0:f>IFERROR(SUBSTITUTE(SUBSTITUTE(K520,"/","."),"-","."),"")</ns0:f>
      </ns0:c>
      <ns0:c r="M520" s="0">
        <ns0:f>IFERROR(LEFT(L520,FIND(".",L520)-1),"")</ns0:f>
      </ns0:c>
      <ns0:c r="N520" s="0">
        <ns0:f>IFERROR(MID(L520,FIND(".",L520)+1,FIND(".",L520,FIND(".",L520)+1)-FIND(".",L520)-1),"")</ns0:f>
      </ns0:c>
      <ns0:c r="O520" s="0">
        <ns0:f>IFERROR(MID(L520,FIND(".",L520,FIND(".",L520)+1)+1,99),"")</ns0:f>
        <ns0:v>99</ns0:v>
      </ns0:c>
      <ns0:c r="P520" s="0">
        <ns0:f>IFERROR(IF(FIND(".",L520)=5,--M520,--O520),0)</ns0:f>
        <ns0:v>0</ns0:v>
      </ns0:c>
      <ns0:c r="Q520" s="0">
        <ns0:f>IFERROR(--N520,0)</ns0:f>
        <ns0:v>0</ns0:v>
      </ns0:c>
      <ns0:c r="R520" s="0">
        <ns0:f>IFERROR(IF(FIND(".",L520)=5,--O520,--M520),0)</ns0:f>
        <ns0:v>0</ns0:v>
      </ns0:c>
      <ns0:c r="S520" s="0">
        <ns0:f>IFERROR(IF(AND(P520&gt;=2000,P520&lt;=2100,Q520&gt;=1,Q520&lt;=12,R520&gt;=1,R520&lt;=31),DATE(P520,Q520,R520),0),0)</ns0:f>
        <ns0:v>0</ns0:v>
      </ns0:c>
      <ns0:c r="T520" s="0">
        <ns0:f>IFERROR(IF(ISNUMBER(Bookings!D520),IF(AND(Bookings!D520=INT(Bookings!D520),Bookings!D520&gt;=DATE(2000,1,1),Bookings!D520&lt;=DATE(2100,12,31)),Bookings!D520,0),IF(AND(K520&lt;&gt;"",LEN("x"&amp;L520)-LEN(SUBSTITUTE("x"&amp;L520,".",""))=2,OR(1&gt;LEN(L520),MID(L520,1,1)=".",ISNUMBER(FIND("x"&amp;MID(L520,1,1),"x0x1x2x3x4x5x6x7x8x9"))),OR(2&gt;LEN(L520),MID(L520,2,1)=".",ISNUMBER(FIND("x"&amp;MID(L520,2,1),"x0x1x2x3x4x5x6x7x8x9"))),OR(3&gt;LEN(L520),MID(L520,3,1)=".",ISNUMBER(FIND("x"&amp;MID(L520,3,1),"x0x1x2x3x4x5x6x7x8x9"))),OR(4&gt;LEN(L520),MID(L520,4,1)=".",ISNUMBER(FIND("x"&amp;MID(L520,4,1),"x0x1x2x3x4x5x6x7x8x9"))),OR(5&gt;LEN(L520),MID(L520,5,1)=".",ISNUMBER(FIND("x"&amp;MID(L520,5,1),"x0x1x2x3x4x5x6x7x8x9"))),OR(6&gt;LEN(L520),MID(L520,6,1)=".",ISNUMBER(FIND("x"&amp;MID(L520,6,1),"x0x1x2x3x4x5x6x7x8x9"))),OR(7&gt;LEN(L520),MID(L520,7,1)=".",ISNUMBER(FIND("x"&amp;MID(L520,7,1),"x0x1x2x3x4x5x6x7x8x9"))),OR(8&gt;LEN(L520),MID(L520,8,1)=".",ISNUMBER(FIND("x"&amp;MID(L520,8,1),"x0x1x2x3x4x5x6x7x8x9"))),OR(9&gt;LEN(L520),MID(L520,9,1)=".",ISNUMBER(FIND("x"&amp;MID(L520,9,1),"x0x1x2x3x4x5x6x7x8x9"))),OR(10&gt;LEN(L520),MID(L520,10,1)=".",ISNUMBER(FIND("x"&amp;MID(L520,10,1),"x0x1x2x3x4x5x6x7x8x9"))),OR(AND(FIND(".",L520)=5,LEN(L520)-FIND(".",L520,FIND(".",L520)+1)&gt;=1,LEN(L520)-FIND(".",L520,FIND(".",L520)+1)&lt;=2),AND(LEN(L520)-FIND(".",L520,FIND(".",L520)+1)=4,FIND(".",L520)&gt;=2,FIND(".",L520)&lt;=3)),FIND(".",L520,FIND(".",L520)+1)-FIND(".",L520)&gt;=2,FIND(".",L520,FIND(".",L520)+1)-FIND(".",L520)&lt;=3,P520&gt;=2000,P520&lt;=2100,YEAR(S520)=P520,MONTH(S520)=Q520,DAY(S520)=R520),S520,0)),0)</ns0:f>
        <ns0:v>0</ns0:v>
      </ns0:c>
      <ns0:c r="U520" s="0" t="str">
        <ns0:f>IF(Bookings!C520="","Full day",Bookings!C520)</ns0:f>
        <ns0:v>Full day</ns0:v>
      </ns0:c>
      <ns0:c r="V520" s="0" t="str">
        <ns0:f>IF(Bookings!E520="","Full day",Bookings!E520)</ns0:f>
        <ns0:v>Full day</ns0:v>
      </ns0:c>
      <ns0:c r="W520" s="0">
        <ns0:f>IF(J520=0,0,J520+IF(U520="PM",1,0))</ns0:f>
        <ns0:v>0</ns0:v>
      </ns0:c>
      <ns0:c r="X520" s="0">
        <ns0:f>IF(T520=0,0,T520-IF(V520="PM",1,0))</ns0:f>
        <ns0:v>0</ns0:v>
      </ns0:c>
      <ns0:c r="Y520" s="0">
        <ns0:f>IF(J520=0,0,J520+IF(U520="AM",1,0))</ns0:f>
        <ns0:v>0</ns0:v>
      </ns0:c>
      <ns0:c r="Z520" s="0">
        <ns0:f>IF(T520=0,0,T520-IF(V520="AM",1,0))</ns0:f>
        <ns0:v>0</ns0:v>
      </ns0:c>
      <ns0:c r="AA520" s="0">
        <ns0:f>IFERROR(IF(AND(J520&gt;0,'_Engine'!C520&gt;0,MID('_Engine'!W520,WEEKDAY(J520,2),1)="W",COUNTIF(Settings!$F$18:$F$67,J520)=0),1,0),0)</ns0:f>
        <ns0:v>0</ns0:v>
      </ns0:c>
      <ns0:c r="AB520" s="0">
        <ns0:f>IFERROR(IF(AND(T520&gt;0,'_Engine'!C520&gt;0,MID('_Engine'!W520,WEEKDAY(T520,2),1)="W",COUNTIF(Settings!$F$18:$F$67,T520)=0),1,0),0)</ns0:f>
        <ns0:v>0</ns0:v>
      </ns0:c>
      <ns0:c r="AC520" s="0">
        <ns0:f>IF(AND(J520&gt;0,T520&gt;0,W520&lt;=X520),1,0)</ns0:f>
        <ns0:v>0</ns0:v>
      </ns0:c>
      <ns0:c r="AD520" s="0">
        <ns0:f>IF(AND(J520&gt;0,T520&gt;0,Y520&lt;=Z520),1,0)</ns0:f>
        <ns0:v>0</ns0:v>
      </ns0:c>
    </ns0:row>
    <ns0:row r="521">
      <ns0:c r="A521" s="0">
        <ns0:f>IFERROR(IF(ISNUMBER(Bookings!B521),"",TRIM(Bookings!B521&amp;"")),"")</ns0:f>
      </ns0:c>
      <ns0:c r="B521" s="0">
        <ns0:f>IFERROR(SUBSTITUTE(SUBSTITUTE(A521,"/","."),"-","."),"")</ns0:f>
      </ns0:c>
      <ns0:c r="C521" s="0">
        <ns0:f>IFERROR(LEFT(B521,FIND(".",B521)-1),"")</ns0:f>
      </ns0:c>
      <ns0:c r="D521" s="0">
        <ns0:f>IFERROR(MID(B521,FIND(".",B521)+1,FIND(".",B521,FIND(".",B521)+1)-FIND(".",B521)-1),"")</ns0:f>
      </ns0:c>
      <ns0:c r="E521" s="0">
        <ns0:f>IFERROR(MID(B521,FIND(".",B521,FIND(".",B521)+1)+1,99),"")</ns0:f>
        <ns0:v>99</ns0:v>
      </ns0:c>
      <ns0:c r="F521" s="0">
        <ns0:f>IFERROR(IF(FIND(".",B521)=5,--C521,--E521),0)</ns0:f>
        <ns0:v>0</ns0:v>
      </ns0:c>
      <ns0:c r="G521" s="0">
        <ns0:f>IFERROR(--D521,0)</ns0:f>
        <ns0:v>0</ns0:v>
      </ns0:c>
      <ns0:c r="H521" s="0">
        <ns0:f>IFERROR(IF(FIND(".",B521)=5,--E521,--C521),0)</ns0:f>
        <ns0:v>0</ns0:v>
      </ns0:c>
      <ns0:c r="I521" s="0">
        <ns0:f>IFERROR(IF(AND(F521&gt;=2000,F521&lt;=2100,G521&gt;=1,G521&lt;=12,H521&gt;=1,H521&lt;=31),DATE(F521,G521,H521),0),0)</ns0:f>
        <ns0:v>0</ns0:v>
      </ns0:c>
      <ns0:c r="J521" s="0">
        <ns0:f>IFERROR(IF(ISNUMBER(Bookings!B521),IF(AND(Bookings!B521=INT(Bookings!B521),Bookings!B521&gt;=DATE(2000,1,1),Bookings!B521&lt;=DATE(2100,12,31)),Bookings!B521,0),IF(AND(A521&lt;&gt;"",LEN("x"&amp;B521)-LEN(SUBSTITUTE("x"&amp;B521,".",""))=2,OR(1&gt;LEN(B521),MID(B521,1,1)=".",ISNUMBER(FIND("x"&amp;MID(B521,1,1),"x0x1x2x3x4x5x6x7x8x9"))),OR(2&gt;LEN(B521),MID(B521,2,1)=".",ISNUMBER(FIND("x"&amp;MID(B521,2,1),"x0x1x2x3x4x5x6x7x8x9"))),OR(3&gt;LEN(B521),MID(B521,3,1)=".",ISNUMBER(FIND("x"&amp;MID(B521,3,1),"x0x1x2x3x4x5x6x7x8x9"))),OR(4&gt;LEN(B521),MID(B521,4,1)=".",ISNUMBER(FIND("x"&amp;MID(B521,4,1),"x0x1x2x3x4x5x6x7x8x9"))),OR(5&gt;LEN(B521),MID(B521,5,1)=".",ISNUMBER(FIND("x"&amp;MID(B521,5,1),"x0x1x2x3x4x5x6x7x8x9"))),OR(6&gt;LEN(B521),MID(B521,6,1)=".",ISNUMBER(FIND("x"&amp;MID(B521,6,1),"x0x1x2x3x4x5x6x7x8x9"))),OR(7&gt;LEN(B521),MID(B521,7,1)=".",ISNUMBER(FIND("x"&amp;MID(B521,7,1),"x0x1x2x3x4x5x6x7x8x9"))),OR(8&gt;LEN(B521),MID(B521,8,1)=".",ISNUMBER(FIND("x"&amp;MID(B521,8,1),"x0x1x2x3x4x5x6x7x8x9"))),OR(9&gt;LEN(B521),MID(B521,9,1)=".",ISNUMBER(FIND("x"&amp;MID(B521,9,1),"x0x1x2x3x4x5x6x7x8x9"))),OR(10&gt;LEN(B521),MID(B521,10,1)=".",ISNUMBER(FIND("x"&amp;MID(B521,10,1),"x0x1x2x3x4x5x6x7x8x9"))),OR(AND(FIND(".",B521)=5,LEN(B521)-FIND(".",B521,FIND(".",B521)+1)&gt;=1,LEN(B521)-FIND(".",B521,FIND(".",B521)+1)&lt;=2),AND(LEN(B521)-FIND(".",B521,FIND(".",B521)+1)=4,FIND(".",B521)&gt;=2,FIND(".",B521)&lt;=3)),FIND(".",B521,FIND(".",B521)+1)-FIND(".",B521)&gt;=2,FIND(".",B521,FIND(".",B521)+1)-FIND(".",B521)&lt;=3,F521&gt;=2000,F521&lt;=2100,YEAR(I521)=F521,MONTH(I521)=G521,DAY(I521)=H521),I521,0)),0)</ns0:f>
        <ns0:v>0</ns0:v>
      </ns0:c>
      <ns0:c r="K521" s="0">
        <ns0:f>IFERROR(IF(ISNUMBER(Bookings!D521),"",TRIM(Bookings!D521&amp;"")),"")</ns0:f>
      </ns0:c>
      <ns0:c r="L521" s="0">
        <ns0:f>IFERROR(SUBSTITUTE(SUBSTITUTE(K521,"/","."),"-","."),"")</ns0:f>
      </ns0:c>
      <ns0:c r="M521" s="0">
        <ns0:f>IFERROR(LEFT(L521,FIND(".",L521)-1),"")</ns0:f>
      </ns0:c>
      <ns0:c r="N521" s="0">
        <ns0:f>IFERROR(MID(L521,FIND(".",L521)+1,FIND(".",L521,FIND(".",L521)+1)-FIND(".",L521)-1),"")</ns0:f>
      </ns0:c>
      <ns0:c r="O521" s="0">
        <ns0:f>IFERROR(MID(L521,FIND(".",L521,FIND(".",L521)+1)+1,99),"")</ns0:f>
        <ns0:v>99</ns0:v>
      </ns0:c>
      <ns0:c r="P521" s="0">
        <ns0:f>IFERROR(IF(FIND(".",L521)=5,--M521,--O521),0)</ns0:f>
        <ns0:v>0</ns0:v>
      </ns0:c>
      <ns0:c r="Q521" s="0">
        <ns0:f>IFERROR(--N521,0)</ns0:f>
        <ns0:v>0</ns0:v>
      </ns0:c>
      <ns0:c r="R521" s="0">
        <ns0:f>IFERROR(IF(FIND(".",L521)=5,--O521,--M521),0)</ns0:f>
        <ns0:v>0</ns0:v>
      </ns0:c>
      <ns0:c r="S521" s="0">
        <ns0:f>IFERROR(IF(AND(P521&gt;=2000,P521&lt;=2100,Q521&gt;=1,Q521&lt;=12,R521&gt;=1,R521&lt;=31),DATE(P521,Q521,R521),0),0)</ns0:f>
        <ns0:v>0</ns0:v>
      </ns0:c>
      <ns0:c r="T521" s="0">
        <ns0:f>IFERROR(IF(ISNUMBER(Bookings!D521),IF(AND(Bookings!D521=INT(Bookings!D521),Bookings!D521&gt;=DATE(2000,1,1),Bookings!D521&lt;=DATE(2100,12,31)),Bookings!D521,0),IF(AND(K521&lt;&gt;"",LEN("x"&amp;L521)-LEN(SUBSTITUTE("x"&amp;L521,".",""))=2,OR(1&gt;LEN(L521),MID(L521,1,1)=".",ISNUMBER(FIND("x"&amp;MID(L521,1,1),"x0x1x2x3x4x5x6x7x8x9"))),OR(2&gt;LEN(L521),MID(L521,2,1)=".",ISNUMBER(FIND("x"&amp;MID(L521,2,1),"x0x1x2x3x4x5x6x7x8x9"))),OR(3&gt;LEN(L521),MID(L521,3,1)=".",ISNUMBER(FIND("x"&amp;MID(L521,3,1),"x0x1x2x3x4x5x6x7x8x9"))),OR(4&gt;LEN(L521),MID(L521,4,1)=".",ISNUMBER(FIND("x"&amp;MID(L521,4,1),"x0x1x2x3x4x5x6x7x8x9"))),OR(5&gt;LEN(L521),MID(L521,5,1)=".",ISNUMBER(FIND("x"&amp;MID(L521,5,1),"x0x1x2x3x4x5x6x7x8x9"))),OR(6&gt;LEN(L521),MID(L521,6,1)=".",ISNUMBER(FIND("x"&amp;MID(L521,6,1),"x0x1x2x3x4x5x6x7x8x9"))),OR(7&gt;LEN(L521),MID(L521,7,1)=".",ISNUMBER(FIND("x"&amp;MID(L521,7,1),"x0x1x2x3x4x5x6x7x8x9"))),OR(8&gt;LEN(L521),MID(L521,8,1)=".",ISNUMBER(FIND("x"&amp;MID(L521,8,1),"x0x1x2x3x4x5x6x7x8x9"))),OR(9&gt;LEN(L521),MID(L521,9,1)=".",ISNUMBER(FIND("x"&amp;MID(L521,9,1),"x0x1x2x3x4x5x6x7x8x9"))),OR(10&gt;LEN(L521),MID(L521,10,1)=".",ISNUMBER(FIND("x"&amp;MID(L521,10,1),"x0x1x2x3x4x5x6x7x8x9"))),OR(AND(FIND(".",L521)=5,LEN(L521)-FIND(".",L521,FIND(".",L521)+1)&gt;=1,LEN(L521)-FIND(".",L521,FIND(".",L521)+1)&lt;=2),AND(LEN(L521)-FIND(".",L521,FIND(".",L521)+1)=4,FIND(".",L521)&gt;=2,FIND(".",L521)&lt;=3)),FIND(".",L521,FIND(".",L521)+1)-FIND(".",L521)&gt;=2,FIND(".",L521,FIND(".",L521)+1)-FIND(".",L521)&lt;=3,P521&gt;=2000,P521&lt;=2100,YEAR(S521)=P521,MONTH(S521)=Q521,DAY(S521)=R521),S521,0)),0)</ns0:f>
        <ns0:v>0</ns0:v>
      </ns0:c>
      <ns0:c r="U521" s="0" t="str">
        <ns0:f>IF(Bookings!C521="","Full day",Bookings!C521)</ns0:f>
        <ns0:v>Full day</ns0:v>
      </ns0:c>
      <ns0:c r="V521" s="0" t="str">
        <ns0:f>IF(Bookings!E521="","Full day",Bookings!E521)</ns0:f>
        <ns0:v>Full day</ns0:v>
      </ns0:c>
      <ns0:c r="W521" s="0">
        <ns0:f>IF(J521=0,0,J521+IF(U521="PM",1,0))</ns0:f>
        <ns0:v>0</ns0:v>
      </ns0:c>
      <ns0:c r="X521" s="0">
        <ns0:f>IF(T521=0,0,T521-IF(V521="PM",1,0))</ns0:f>
        <ns0:v>0</ns0:v>
      </ns0:c>
      <ns0:c r="Y521" s="0">
        <ns0:f>IF(J521=0,0,J521+IF(U521="AM",1,0))</ns0:f>
        <ns0:v>0</ns0:v>
      </ns0:c>
      <ns0:c r="Z521" s="0">
        <ns0:f>IF(T521=0,0,T521-IF(V521="AM",1,0))</ns0:f>
        <ns0:v>0</ns0:v>
      </ns0:c>
      <ns0:c r="AA521" s="0">
        <ns0:f>IFERROR(IF(AND(J521&gt;0,'_Engine'!C521&gt;0,MID('_Engine'!W521,WEEKDAY(J521,2),1)="W",COUNTIF(Settings!$F$18:$F$67,J521)=0),1,0),0)</ns0:f>
        <ns0:v>0</ns0:v>
      </ns0:c>
      <ns0:c r="AB521" s="0">
        <ns0:f>IFERROR(IF(AND(T521&gt;0,'_Engine'!C521&gt;0,MID('_Engine'!W521,WEEKDAY(T521,2),1)="W",COUNTIF(Settings!$F$18:$F$67,T521)=0),1,0),0)</ns0:f>
        <ns0:v>0</ns0:v>
      </ns0:c>
      <ns0:c r="AC521" s="0">
        <ns0:f>IF(AND(J521&gt;0,T521&gt;0,W521&lt;=X521),1,0)</ns0:f>
        <ns0:v>0</ns0:v>
      </ns0:c>
      <ns0:c r="AD521" s="0">
        <ns0:f>IF(AND(J521&gt;0,T521&gt;0,Y521&lt;=Z521),1,0)</ns0:f>
        <ns0:v>0</ns0:v>
      </ns0:c>
    </ns0:row>
    <ns0:row r="522">
      <ns0:c r="A522" s="0">
        <ns0:f>IFERROR(IF(ISNUMBER(Bookings!B522),"",TRIM(Bookings!B522&amp;"")),"")</ns0:f>
      </ns0:c>
      <ns0:c r="B522" s="0">
        <ns0:f>IFERROR(SUBSTITUTE(SUBSTITUTE(A522,"/","."),"-","."),"")</ns0:f>
      </ns0:c>
      <ns0:c r="C522" s="0">
        <ns0:f>IFERROR(LEFT(B522,FIND(".",B522)-1),"")</ns0:f>
      </ns0:c>
      <ns0:c r="D522" s="0">
        <ns0:f>IFERROR(MID(B522,FIND(".",B522)+1,FIND(".",B522,FIND(".",B522)+1)-FIND(".",B522)-1),"")</ns0:f>
      </ns0:c>
      <ns0:c r="E522" s="0">
        <ns0:f>IFERROR(MID(B522,FIND(".",B522,FIND(".",B522)+1)+1,99),"")</ns0:f>
        <ns0:v>99</ns0:v>
      </ns0:c>
      <ns0:c r="F522" s="0">
        <ns0:f>IFERROR(IF(FIND(".",B522)=5,--C522,--E522),0)</ns0:f>
        <ns0:v>0</ns0:v>
      </ns0:c>
      <ns0:c r="G522" s="0">
        <ns0:f>IFERROR(--D522,0)</ns0:f>
        <ns0:v>0</ns0:v>
      </ns0:c>
      <ns0:c r="H522" s="0">
        <ns0:f>IFERROR(IF(FIND(".",B522)=5,--E522,--C522),0)</ns0:f>
        <ns0:v>0</ns0:v>
      </ns0:c>
      <ns0:c r="I522" s="0">
        <ns0:f>IFERROR(IF(AND(F522&gt;=2000,F522&lt;=2100,G522&gt;=1,G522&lt;=12,H522&gt;=1,H522&lt;=31),DATE(F522,G522,H522),0),0)</ns0:f>
        <ns0:v>0</ns0:v>
      </ns0:c>
      <ns0:c r="J522" s="0">
        <ns0:f>IFERROR(IF(ISNUMBER(Bookings!B522),IF(AND(Bookings!B522=INT(Bookings!B522),Bookings!B522&gt;=DATE(2000,1,1),Bookings!B522&lt;=DATE(2100,12,31)),Bookings!B522,0),IF(AND(A522&lt;&gt;"",LEN("x"&amp;B522)-LEN(SUBSTITUTE("x"&amp;B522,".",""))=2,OR(1&gt;LEN(B522),MID(B522,1,1)=".",ISNUMBER(FIND("x"&amp;MID(B522,1,1),"x0x1x2x3x4x5x6x7x8x9"))),OR(2&gt;LEN(B522),MID(B522,2,1)=".",ISNUMBER(FIND("x"&amp;MID(B522,2,1),"x0x1x2x3x4x5x6x7x8x9"))),OR(3&gt;LEN(B522),MID(B522,3,1)=".",ISNUMBER(FIND("x"&amp;MID(B522,3,1),"x0x1x2x3x4x5x6x7x8x9"))),OR(4&gt;LEN(B522),MID(B522,4,1)=".",ISNUMBER(FIND("x"&amp;MID(B522,4,1),"x0x1x2x3x4x5x6x7x8x9"))),OR(5&gt;LEN(B522),MID(B522,5,1)=".",ISNUMBER(FIND("x"&amp;MID(B522,5,1),"x0x1x2x3x4x5x6x7x8x9"))),OR(6&gt;LEN(B522),MID(B522,6,1)=".",ISNUMBER(FIND("x"&amp;MID(B522,6,1),"x0x1x2x3x4x5x6x7x8x9"))),OR(7&gt;LEN(B522),MID(B522,7,1)=".",ISNUMBER(FIND("x"&amp;MID(B522,7,1),"x0x1x2x3x4x5x6x7x8x9"))),OR(8&gt;LEN(B522),MID(B522,8,1)=".",ISNUMBER(FIND("x"&amp;MID(B522,8,1),"x0x1x2x3x4x5x6x7x8x9"))),OR(9&gt;LEN(B522),MID(B522,9,1)=".",ISNUMBER(FIND("x"&amp;MID(B522,9,1),"x0x1x2x3x4x5x6x7x8x9"))),OR(10&gt;LEN(B522),MID(B522,10,1)=".",ISNUMBER(FIND("x"&amp;MID(B522,10,1),"x0x1x2x3x4x5x6x7x8x9"))),OR(AND(FIND(".",B522)=5,LEN(B522)-FIND(".",B522,FIND(".",B522)+1)&gt;=1,LEN(B522)-FIND(".",B522,FIND(".",B522)+1)&lt;=2),AND(LEN(B522)-FIND(".",B522,FIND(".",B522)+1)=4,FIND(".",B522)&gt;=2,FIND(".",B522)&lt;=3)),FIND(".",B522,FIND(".",B522)+1)-FIND(".",B522)&gt;=2,FIND(".",B522,FIND(".",B522)+1)-FIND(".",B522)&lt;=3,F522&gt;=2000,F522&lt;=2100,YEAR(I522)=F522,MONTH(I522)=G522,DAY(I522)=H522),I522,0)),0)</ns0:f>
        <ns0:v>0</ns0:v>
      </ns0:c>
      <ns0:c r="K522" s="0">
        <ns0:f>IFERROR(IF(ISNUMBER(Bookings!D522),"",TRIM(Bookings!D522&amp;"")),"")</ns0:f>
      </ns0:c>
      <ns0:c r="L522" s="0">
        <ns0:f>IFERROR(SUBSTITUTE(SUBSTITUTE(K522,"/","."),"-","."),"")</ns0:f>
      </ns0:c>
      <ns0:c r="M522" s="0">
        <ns0:f>IFERROR(LEFT(L522,FIND(".",L522)-1),"")</ns0:f>
      </ns0:c>
      <ns0:c r="N522" s="0">
        <ns0:f>IFERROR(MID(L522,FIND(".",L522)+1,FIND(".",L522,FIND(".",L522)+1)-FIND(".",L522)-1),"")</ns0:f>
      </ns0:c>
      <ns0:c r="O522" s="0">
        <ns0:f>IFERROR(MID(L522,FIND(".",L522,FIND(".",L522)+1)+1,99),"")</ns0:f>
        <ns0:v>99</ns0:v>
      </ns0:c>
      <ns0:c r="P522" s="0">
        <ns0:f>IFERROR(IF(FIND(".",L522)=5,--M522,--O522),0)</ns0:f>
        <ns0:v>0</ns0:v>
      </ns0:c>
      <ns0:c r="Q522" s="0">
        <ns0:f>IFERROR(--N522,0)</ns0:f>
        <ns0:v>0</ns0:v>
      </ns0:c>
      <ns0:c r="R522" s="0">
        <ns0:f>IFERROR(IF(FIND(".",L522)=5,--O522,--M522),0)</ns0:f>
        <ns0:v>0</ns0:v>
      </ns0:c>
      <ns0:c r="S522" s="0">
        <ns0:f>IFERROR(IF(AND(P522&gt;=2000,P522&lt;=2100,Q522&gt;=1,Q522&lt;=12,R522&gt;=1,R522&lt;=31),DATE(P522,Q522,R522),0),0)</ns0:f>
        <ns0:v>0</ns0:v>
      </ns0:c>
      <ns0:c r="T522" s="0">
        <ns0:f>IFERROR(IF(ISNUMBER(Bookings!D522),IF(AND(Bookings!D522=INT(Bookings!D522),Bookings!D522&gt;=DATE(2000,1,1),Bookings!D522&lt;=DATE(2100,12,31)),Bookings!D522,0),IF(AND(K522&lt;&gt;"",LEN("x"&amp;L522)-LEN(SUBSTITUTE("x"&amp;L522,".",""))=2,OR(1&gt;LEN(L522),MID(L522,1,1)=".",ISNUMBER(FIND("x"&amp;MID(L522,1,1),"x0x1x2x3x4x5x6x7x8x9"))),OR(2&gt;LEN(L522),MID(L522,2,1)=".",ISNUMBER(FIND("x"&amp;MID(L522,2,1),"x0x1x2x3x4x5x6x7x8x9"))),OR(3&gt;LEN(L522),MID(L522,3,1)=".",ISNUMBER(FIND("x"&amp;MID(L522,3,1),"x0x1x2x3x4x5x6x7x8x9"))),OR(4&gt;LEN(L522),MID(L522,4,1)=".",ISNUMBER(FIND("x"&amp;MID(L522,4,1),"x0x1x2x3x4x5x6x7x8x9"))),OR(5&gt;LEN(L522),MID(L522,5,1)=".",ISNUMBER(FIND("x"&amp;MID(L522,5,1),"x0x1x2x3x4x5x6x7x8x9"))),OR(6&gt;LEN(L522),MID(L522,6,1)=".",ISNUMBER(FIND("x"&amp;MID(L522,6,1),"x0x1x2x3x4x5x6x7x8x9"))),OR(7&gt;LEN(L522),MID(L522,7,1)=".",ISNUMBER(FIND("x"&amp;MID(L522,7,1),"x0x1x2x3x4x5x6x7x8x9"))),OR(8&gt;LEN(L522),MID(L522,8,1)=".",ISNUMBER(FIND("x"&amp;MID(L522,8,1),"x0x1x2x3x4x5x6x7x8x9"))),OR(9&gt;LEN(L522),MID(L522,9,1)=".",ISNUMBER(FIND("x"&amp;MID(L522,9,1),"x0x1x2x3x4x5x6x7x8x9"))),OR(10&gt;LEN(L522),MID(L522,10,1)=".",ISNUMBER(FIND("x"&amp;MID(L522,10,1),"x0x1x2x3x4x5x6x7x8x9"))),OR(AND(FIND(".",L522)=5,LEN(L522)-FIND(".",L522,FIND(".",L522)+1)&gt;=1,LEN(L522)-FIND(".",L522,FIND(".",L522)+1)&lt;=2),AND(LEN(L522)-FIND(".",L522,FIND(".",L522)+1)=4,FIND(".",L522)&gt;=2,FIND(".",L522)&lt;=3)),FIND(".",L522,FIND(".",L522)+1)-FIND(".",L522)&gt;=2,FIND(".",L522,FIND(".",L522)+1)-FIND(".",L522)&lt;=3,P522&gt;=2000,P522&lt;=2100,YEAR(S522)=P522,MONTH(S522)=Q522,DAY(S522)=R522),S522,0)),0)</ns0:f>
        <ns0:v>0</ns0:v>
      </ns0:c>
      <ns0:c r="U522" s="0" t="str">
        <ns0:f>IF(Bookings!C522="","Full day",Bookings!C522)</ns0:f>
        <ns0:v>Full day</ns0:v>
      </ns0:c>
      <ns0:c r="V522" s="0" t="str">
        <ns0:f>IF(Bookings!E522="","Full day",Bookings!E522)</ns0:f>
        <ns0:v>Full day</ns0:v>
      </ns0:c>
      <ns0:c r="W522" s="0">
        <ns0:f>IF(J522=0,0,J522+IF(U522="PM",1,0))</ns0:f>
        <ns0:v>0</ns0:v>
      </ns0:c>
      <ns0:c r="X522" s="0">
        <ns0:f>IF(T522=0,0,T522-IF(V522="PM",1,0))</ns0:f>
        <ns0:v>0</ns0:v>
      </ns0:c>
      <ns0:c r="Y522" s="0">
        <ns0:f>IF(J522=0,0,J522+IF(U522="AM",1,0))</ns0:f>
        <ns0:v>0</ns0:v>
      </ns0:c>
      <ns0:c r="Z522" s="0">
        <ns0:f>IF(T522=0,0,T522-IF(V522="AM",1,0))</ns0:f>
        <ns0:v>0</ns0:v>
      </ns0:c>
      <ns0:c r="AA522" s="0">
        <ns0:f>IFERROR(IF(AND(J522&gt;0,'_Engine'!C522&gt;0,MID('_Engine'!W522,WEEKDAY(J522,2),1)="W",COUNTIF(Settings!$F$18:$F$67,J522)=0),1,0),0)</ns0:f>
        <ns0:v>0</ns0:v>
      </ns0:c>
      <ns0:c r="AB522" s="0">
        <ns0:f>IFERROR(IF(AND(T522&gt;0,'_Engine'!C522&gt;0,MID('_Engine'!W522,WEEKDAY(T522,2),1)="W",COUNTIF(Settings!$F$18:$F$67,T522)=0),1,0),0)</ns0:f>
        <ns0:v>0</ns0:v>
      </ns0:c>
      <ns0:c r="AC522" s="0">
        <ns0:f>IF(AND(J522&gt;0,T522&gt;0,W522&lt;=X522),1,0)</ns0:f>
        <ns0:v>0</ns0:v>
      </ns0:c>
      <ns0:c r="AD522" s="0">
        <ns0:f>IF(AND(J522&gt;0,T522&gt;0,Y522&lt;=Z522),1,0)</ns0:f>
        <ns0:v>0</ns0:v>
      </ns0:c>
    </ns0:row>
    <ns0:row r="523">
      <ns0:c r="A523" s="0">
        <ns0:f>IFERROR(IF(ISNUMBER(Bookings!B523),"",TRIM(Bookings!B523&amp;"")),"")</ns0:f>
      </ns0:c>
      <ns0:c r="B523" s="0">
        <ns0:f>IFERROR(SUBSTITUTE(SUBSTITUTE(A523,"/","."),"-","."),"")</ns0:f>
      </ns0:c>
      <ns0:c r="C523" s="0">
        <ns0:f>IFERROR(LEFT(B523,FIND(".",B523)-1),"")</ns0:f>
      </ns0:c>
      <ns0:c r="D523" s="0">
        <ns0:f>IFERROR(MID(B523,FIND(".",B523)+1,FIND(".",B523,FIND(".",B523)+1)-FIND(".",B523)-1),"")</ns0:f>
      </ns0:c>
      <ns0:c r="E523" s="0">
        <ns0:f>IFERROR(MID(B523,FIND(".",B523,FIND(".",B523)+1)+1,99),"")</ns0:f>
        <ns0:v>99</ns0:v>
      </ns0:c>
      <ns0:c r="F523" s="0">
        <ns0:f>IFERROR(IF(FIND(".",B523)=5,--C523,--E523),0)</ns0:f>
        <ns0:v>0</ns0:v>
      </ns0:c>
      <ns0:c r="G523" s="0">
        <ns0:f>IFERROR(--D523,0)</ns0:f>
        <ns0:v>0</ns0:v>
      </ns0:c>
      <ns0:c r="H523" s="0">
        <ns0:f>IFERROR(IF(FIND(".",B523)=5,--E523,--C523),0)</ns0:f>
        <ns0:v>0</ns0:v>
      </ns0:c>
      <ns0:c r="I523" s="0">
        <ns0:f>IFERROR(IF(AND(F523&gt;=2000,F523&lt;=2100,G523&gt;=1,G523&lt;=12,H523&gt;=1,H523&lt;=31),DATE(F523,G523,H523),0),0)</ns0:f>
        <ns0:v>0</ns0:v>
      </ns0:c>
      <ns0:c r="J523" s="0">
        <ns0:f>IFERROR(IF(ISNUMBER(Bookings!B523),IF(AND(Bookings!B523=INT(Bookings!B523),Bookings!B523&gt;=DATE(2000,1,1),Bookings!B523&lt;=DATE(2100,12,31)),Bookings!B523,0),IF(AND(A523&lt;&gt;"",LEN("x"&amp;B523)-LEN(SUBSTITUTE("x"&amp;B523,".",""))=2,OR(1&gt;LEN(B523),MID(B523,1,1)=".",ISNUMBER(FIND("x"&amp;MID(B523,1,1),"x0x1x2x3x4x5x6x7x8x9"))),OR(2&gt;LEN(B523),MID(B523,2,1)=".",ISNUMBER(FIND("x"&amp;MID(B523,2,1),"x0x1x2x3x4x5x6x7x8x9"))),OR(3&gt;LEN(B523),MID(B523,3,1)=".",ISNUMBER(FIND("x"&amp;MID(B523,3,1),"x0x1x2x3x4x5x6x7x8x9"))),OR(4&gt;LEN(B523),MID(B523,4,1)=".",ISNUMBER(FIND("x"&amp;MID(B523,4,1),"x0x1x2x3x4x5x6x7x8x9"))),OR(5&gt;LEN(B523),MID(B523,5,1)=".",ISNUMBER(FIND("x"&amp;MID(B523,5,1),"x0x1x2x3x4x5x6x7x8x9"))),OR(6&gt;LEN(B523),MID(B523,6,1)=".",ISNUMBER(FIND("x"&amp;MID(B523,6,1),"x0x1x2x3x4x5x6x7x8x9"))),OR(7&gt;LEN(B523),MID(B523,7,1)=".",ISNUMBER(FIND("x"&amp;MID(B523,7,1),"x0x1x2x3x4x5x6x7x8x9"))),OR(8&gt;LEN(B523),MID(B523,8,1)=".",ISNUMBER(FIND("x"&amp;MID(B523,8,1),"x0x1x2x3x4x5x6x7x8x9"))),OR(9&gt;LEN(B523),MID(B523,9,1)=".",ISNUMBER(FIND("x"&amp;MID(B523,9,1),"x0x1x2x3x4x5x6x7x8x9"))),OR(10&gt;LEN(B523),MID(B523,10,1)=".",ISNUMBER(FIND("x"&amp;MID(B523,10,1),"x0x1x2x3x4x5x6x7x8x9"))),OR(AND(FIND(".",B523)=5,LEN(B523)-FIND(".",B523,FIND(".",B523)+1)&gt;=1,LEN(B523)-FIND(".",B523,FIND(".",B523)+1)&lt;=2),AND(LEN(B523)-FIND(".",B523,FIND(".",B523)+1)=4,FIND(".",B523)&gt;=2,FIND(".",B523)&lt;=3)),FIND(".",B523,FIND(".",B523)+1)-FIND(".",B523)&gt;=2,FIND(".",B523,FIND(".",B523)+1)-FIND(".",B523)&lt;=3,F523&gt;=2000,F523&lt;=2100,YEAR(I523)=F523,MONTH(I523)=G523,DAY(I523)=H523),I523,0)),0)</ns0:f>
        <ns0:v>0</ns0:v>
      </ns0:c>
      <ns0:c r="K523" s="0">
        <ns0:f>IFERROR(IF(ISNUMBER(Bookings!D523),"",TRIM(Bookings!D523&amp;"")),"")</ns0:f>
      </ns0:c>
      <ns0:c r="L523" s="0">
        <ns0:f>IFERROR(SUBSTITUTE(SUBSTITUTE(K523,"/","."),"-","."),"")</ns0:f>
      </ns0:c>
      <ns0:c r="M523" s="0">
        <ns0:f>IFERROR(LEFT(L523,FIND(".",L523)-1),"")</ns0:f>
      </ns0:c>
      <ns0:c r="N523" s="0">
        <ns0:f>IFERROR(MID(L523,FIND(".",L523)+1,FIND(".",L523,FIND(".",L523)+1)-FIND(".",L523)-1),"")</ns0:f>
      </ns0:c>
      <ns0:c r="O523" s="0">
        <ns0:f>IFERROR(MID(L523,FIND(".",L523,FIND(".",L523)+1)+1,99),"")</ns0:f>
        <ns0:v>99</ns0:v>
      </ns0:c>
      <ns0:c r="P523" s="0">
        <ns0:f>IFERROR(IF(FIND(".",L523)=5,--M523,--O523),0)</ns0:f>
        <ns0:v>0</ns0:v>
      </ns0:c>
      <ns0:c r="Q523" s="0">
        <ns0:f>IFERROR(--N523,0)</ns0:f>
        <ns0:v>0</ns0:v>
      </ns0:c>
      <ns0:c r="R523" s="0">
        <ns0:f>IFERROR(IF(FIND(".",L523)=5,--O523,--M523),0)</ns0:f>
        <ns0:v>0</ns0:v>
      </ns0:c>
      <ns0:c r="S523" s="0">
        <ns0:f>IFERROR(IF(AND(P523&gt;=2000,P523&lt;=2100,Q523&gt;=1,Q523&lt;=12,R523&gt;=1,R523&lt;=31),DATE(P523,Q523,R523),0),0)</ns0:f>
        <ns0:v>0</ns0:v>
      </ns0:c>
      <ns0:c r="T523" s="0">
        <ns0:f>IFERROR(IF(ISNUMBER(Bookings!D523),IF(AND(Bookings!D523=INT(Bookings!D523),Bookings!D523&gt;=DATE(2000,1,1),Bookings!D523&lt;=DATE(2100,12,31)),Bookings!D523,0),IF(AND(K523&lt;&gt;"",LEN("x"&amp;L523)-LEN(SUBSTITUTE("x"&amp;L523,".",""))=2,OR(1&gt;LEN(L523),MID(L523,1,1)=".",ISNUMBER(FIND("x"&amp;MID(L523,1,1),"x0x1x2x3x4x5x6x7x8x9"))),OR(2&gt;LEN(L523),MID(L523,2,1)=".",ISNUMBER(FIND("x"&amp;MID(L523,2,1),"x0x1x2x3x4x5x6x7x8x9"))),OR(3&gt;LEN(L523),MID(L523,3,1)=".",ISNUMBER(FIND("x"&amp;MID(L523,3,1),"x0x1x2x3x4x5x6x7x8x9"))),OR(4&gt;LEN(L523),MID(L523,4,1)=".",ISNUMBER(FIND("x"&amp;MID(L523,4,1),"x0x1x2x3x4x5x6x7x8x9"))),OR(5&gt;LEN(L523),MID(L523,5,1)=".",ISNUMBER(FIND("x"&amp;MID(L523,5,1),"x0x1x2x3x4x5x6x7x8x9"))),OR(6&gt;LEN(L523),MID(L523,6,1)=".",ISNUMBER(FIND("x"&amp;MID(L523,6,1),"x0x1x2x3x4x5x6x7x8x9"))),OR(7&gt;LEN(L523),MID(L523,7,1)=".",ISNUMBER(FIND("x"&amp;MID(L523,7,1),"x0x1x2x3x4x5x6x7x8x9"))),OR(8&gt;LEN(L523),MID(L523,8,1)=".",ISNUMBER(FIND("x"&amp;MID(L523,8,1),"x0x1x2x3x4x5x6x7x8x9"))),OR(9&gt;LEN(L523),MID(L523,9,1)=".",ISNUMBER(FIND("x"&amp;MID(L523,9,1),"x0x1x2x3x4x5x6x7x8x9"))),OR(10&gt;LEN(L523),MID(L523,10,1)=".",ISNUMBER(FIND("x"&amp;MID(L523,10,1),"x0x1x2x3x4x5x6x7x8x9"))),OR(AND(FIND(".",L523)=5,LEN(L523)-FIND(".",L523,FIND(".",L523)+1)&gt;=1,LEN(L523)-FIND(".",L523,FIND(".",L523)+1)&lt;=2),AND(LEN(L523)-FIND(".",L523,FIND(".",L523)+1)=4,FIND(".",L523)&gt;=2,FIND(".",L523)&lt;=3)),FIND(".",L523,FIND(".",L523)+1)-FIND(".",L523)&gt;=2,FIND(".",L523,FIND(".",L523)+1)-FIND(".",L523)&lt;=3,P523&gt;=2000,P523&lt;=2100,YEAR(S523)=P523,MONTH(S523)=Q523,DAY(S523)=R523),S523,0)),0)</ns0:f>
        <ns0:v>0</ns0:v>
      </ns0:c>
      <ns0:c r="U523" s="0" t="str">
        <ns0:f>IF(Bookings!C523="","Full day",Bookings!C523)</ns0:f>
        <ns0:v>Full day</ns0:v>
      </ns0:c>
      <ns0:c r="V523" s="0" t="str">
        <ns0:f>IF(Bookings!E523="","Full day",Bookings!E523)</ns0:f>
        <ns0:v>Full day</ns0:v>
      </ns0:c>
      <ns0:c r="W523" s="0">
        <ns0:f>IF(J523=0,0,J523+IF(U523="PM",1,0))</ns0:f>
        <ns0:v>0</ns0:v>
      </ns0:c>
      <ns0:c r="X523" s="0">
        <ns0:f>IF(T523=0,0,T523-IF(V523="PM",1,0))</ns0:f>
        <ns0:v>0</ns0:v>
      </ns0:c>
      <ns0:c r="Y523" s="0">
        <ns0:f>IF(J523=0,0,J523+IF(U523="AM",1,0))</ns0:f>
        <ns0:v>0</ns0:v>
      </ns0:c>
      <ns0:c r="Z523" s="0">
        <ns0:f>IF(T523=0,0,T523-IF(V523="AM",1,0))</ns0:f>
        <ns0:v>0</ns0:v>
      </ns0:c>
      <ns0:c r="AA523" s="0">
        <ns0:f>IFERROR(IF(AND(J523&gt;0,'_Engine'!C523&gt;0,MID('_Engine'!W523,WEEKDAY(J523,2),1)="W",COUNTIF(Settings!$F$18:$F$67,J523)=0),1,0),0)</ns0:f>
        <ns0:v>0</ns0:v>
      </ns0:c>
      <ns0:c r="AB523" s="0">
        <ns0:f>IFERROR(IF(AND(T523&gt;0,'_Engine'!C523&gt;0,MID('_Engine'!W523,WEEKDAY(T523,2),1)="W",COUNTIF(Settings!$F$18:$F$67,T523)=0),1,0),0)</ns0:f>
        <ns0:v>0</ns0:v>
      </ns0:c>
      <ns0:c r="AC523" s="0">
        <ns0:f>IF(AND(J523&gt;0,T523&gt;0,W523&lt;=X523),1,0)</ns0:f>
        <ns0:v>0</ns0:v>
      </ns0:c>
      <ns0:c r="AD523" s="0">
        <ns0:f>IF(AND(J523&gt;0,T523&gt;0,Y523&lt;=Z523),1,0)</ns0:f>
        <ns0:v>0</ns0:v>
      </ns0:c>
    </ns0:row>
    <ns0:row r="524">
      <ns0:c r="A524" s="0">
        <ns0:f>IFERROR(IF(ISNUMBER(Bookings!B524),"",TRIM(Bookings!B524&amp;"")),"")</ns0:f>
      </ns0:c>
      <ns0:c r="B524" s="0">
        <ns0:f>IFERROR(SUBSTITUTE(SUBSTITUTE(A524,"/","."),"-","."),"")</ns0:f>
      </ns0:c>
      <ns0:c r="C524" s="0">
        <ns0:f>IFERROR(LEFT(B524,FIND(".",B524)-1),"")</ns0:f>
      </ns0:c>
      <ns0:c r="D524" s="0">
        <ns0:f>IFERROR(MID(B524,FIND(".",B524)+1,FIND(".",B524,FIND(".",B524)+1)-FIND(".",B524)-1),"")</ns0:f>
      </ns0:c>
      <ns0:c r="E524" s="0">
        <ns0:f>IFERROR(MID(B524,FIND(".",B524,FIND(".",B524)+1)+1,99),"")</ns0:f>
        <ns0:v>99</ns0:v>
      </ns0:c>
      <ns0:c r="F524" s="0">
        <ns0:f>IFERROR(IF(FIND(".",B524)=5,--C524,--E524),0)</ns0:f>
        <ns0:v>0</ns0:v>
      </ns0:c>
      <ns0:c r="G524" s="0">
        <ns0:f>IFERROR(--D524,0)</ns0:f>
        <ns0:v>0</ns0:v>
      </ns0:c>
      <ns0:c r="H524" s="0">
        <ns0:f>IFERROR(IF(FIND(".",B524)=5,--E524,--C524),0)</ns0:f>
        <ns0:v>0</ns0:v>
      </ns0:c>
      <ns0:c r="I524" s="0">
        <ns0:f>IFERROR(IF(AND(F524&gt;=2000,F524&lt;=2100,G524&gt;=1,G524&lt;=12,H524&gt;=1,H524&lt;=31),DATE(F524,G524,H524),0),0)</ns0:f>
        <ns0:v>0</ns0:v>
      </ns0:c>
      <ns0:c r="J524" s="0">
        <ns0:f>IFERROR(IF(ISNUMBER(Bookings!B524),IF(AND(Bookings!B524=INT(Bookings!B524),Bookings!B524&gt;=DATE(2000,1,1),Bookings!B524&lt;=DATE(2100,12,31)),Bookings!B524,0),IF(AND(A524&lt;&gt;"",LEN("x"&amp;B524)-LEN(SUBSTITUTE("x"&amp;B524,".",""))=2,OR(1&gt;LEN(B524),MID(B524,1,1)=".",ISNUMBER(FIND("x"&amp;MID(B524,1,1),"x0x1x2x3x4x5x6x7x8x9"))),OR(2&gt;LEN(B524),MID(B524,2,1)=".",ISNUMBER(FIND("x"&amp;MID(B524,2,1),"x0x1x2x3x4x5x6x7x8x9"))),OR(3&gt;LEN(B524),MID(B524,3,1)=".",ISNUMBER(FIND("x"&amp;MID(B524,3,1),"x0x1x2x3x4x5x6x7x8x9"))),OR(4&gt;LEN(B524),MID(B524,4,1)=".",ISNUMBER(FIND("x"&amp;MID(B524,4,1),"x0x1x2x3x4x5x6x7x8x9"))),OR(5&gt;LEN(B524),MID(B524,5,1)=".",ISNUMBER(FIND("x"&amp;MID(B524,5,1),"x0x1x2x3x4x5x6x7x8x9"))),OR(6&gt;LEN(B524),MID(B524,6,1)=".",ISNUMBER(FIND("x"&amp;MID(B524,6,1),"x0x1x2x3x4x5x6x7x8x9"))),OR(7&gt;LEN(B524),MID(B524,7,1)=".",ISNUMBER(FIND("x"&amp;MID(B524,7,1),"x0x1x2x3x4x5x6x7x8x9"))),OR(8&gt;LEN(B524),MID(B524,8,1)=".",ISNUMBER(FIND("x"&amp;MID(B524,8,1),"x0x1x2x3x4x5x6x7x8x9"))),OR(9&gt;LEN(B524),MID(B524,9,1)=".",ISNUMBER(FIND("x"&amp;MID(B524,9,1),"x0x1x2x3x4x5x6x7x8x9"))),OR(10&gt;LEN(B524),MID(B524,10,1)=".",ISNUMBER(FIND("x"&amp;MID(B524,10,1),"x0x1x2x3x4x5x6x7x8x9"))),OR(AND(FIND(".",B524)=5,LEN(B524)-FIND(".",B524,FIND(".",B524)+1)&gt;=1,LEN(B524)-FIND(".",B524,FIND(".",B524)+1)&lt;=2),AND(LEN(B524)-FIND(".",B524,FIND(".",B524)+1)=4,FIND(".",B524)&gt;=2,FIND(".",B524)&lt;=3)),FIND(".",B524,FIND(".",B524)+1)-FIND(".",B524)&gt;=2,FIND(".",B524,FIND(".",B524)+1)-FIND(".",B524)&lt;=3,F524&gt;=2000,F524&lt;=2100,YEAR(I524)=F524,MONTH(I524)=G524,DAY(I524)=H524),I524,0)),0)</ns0:f>
        <ns0:v>0</ns0:v>
      </ns0:c>
      <ns0:c r="K524" s="0">
        <ns0:f>IFERROR(IF(ISNUMBER(Bookings!D524),"",TRIM(Bookings!D524&amp;"")),"")</ns0:f>
      </ns0:c>
      <ns0:c r="L524" s="0">
        <ns0:f>IFERROR(SUBSTITUTE(SUBSTITUTE(K524,"/","."),"-","."),"")</ns0:f>
      </ns0:c>
      <ns0:c r="M524" s="0">
        <ns0:f>IFERROR(LEFT(L524,FIND(".",L524)-1),"")</ns0:f>
      </ns0:c>
      <ns0:c r="N524" s="0">
        <ns0:f>IFERROR(MID(L524,FIND(".",L524)+1,FIND(".",L524,FIND(".",L524)+1)-FIND(".",L524)-1),"")</ns0:f>
      </ns0:c>
      <ns0:c r="O524" s="0">
        <ns0:f>IFERROR(MID(L524,FIND(".",L524,FIND(".",L524)+1)+1,99),"")</ns0:f>
        <ns0:v>99</ns0:v>
      </ns0:c>
      <ns0:c r="P524" s="0">
        <ns0:f>IFERROR(IF(FIND(".",L524)=5,--M524,--O524),0)</ns0:f>
        <ns0:v>0</ns0:v>
      </ns0:c>
      <ns0:c r="Q524" s="0">
        <ns0:f>IFERROR(--N524,0)</ns0:f>
        <ns0:v>0</ns0:v>
      </ns0:c>
      <ns0:c r="R524" s="0">
        <ns0:f>IFERROR(IF(FIND(".",L524)=5,--O524,--M524),0)</ns0:f>
        <ns0:v>0</ns0:v>
      </ns0:c>
      <ns0:c r="S524" s="0">
        <ns0:f>IFERROR(IF(AND(P524&gt;=2000,P524&lt;=2100,Q524&gt;=1,Q524&lt;=12,R524&gt;=1,R524&lt;=31),DATE(P524,Q524,R524),0),0)</ns0:f>
        <ns0:v>0</ns0:v>
      </ns0:c>
      <ns0:c r="T524" s="0">
        <ns0:f>IFERROR(IF(ISNUMBER(Bookings!D524),IF(AND(Bookings!D524=INT(Bookings!D524),Bookings!D524&gt;=DATE(2000,1,1),Bookings!D524&lt;=DATE(2100,12,31)),Bookings!D524,0),IF(AND(K524&lt;&gt;"",LEN("x"&amp;L524)-LEN(SUBSTITUTE("x"&amp;L524,".",""))=2,OR(1&gt;LEN(L524),MID(L524,1,1)=".",ISNUMBER(FIND("x"&amp;MID(L524,1,1),"x0x1x2x3x4x5x6x7x8x9"))),OR(2&gt;LEN(L524),MID(L524,2,1)=".",ISNUMBER(FIND("x"&amp;MID(L524,2,1),"x0x1x2x3x4x5x6x7x8x9"))),OR(3&gt;LEN(L524),MID(L524,3,1)=".",ISNUMBER(FIND("x"&amp;MID(L524,3,1),"x0x1x2x3x4x5x6x7x8x9"))),OR(4&gt;LEN(L524),MID(L524,4,1)=".",ISNUMBER(FIND("x"&amp;MID(L524,4,1),"x0x1x2x3x4x5x6x7x8x9"))),OR(5&gt;LEN(L524),MID(L524,5,1)=".",ISNUMBER(FIND("x"&amp;MID(L524,5,1),"x0x1x2x3x4x5x6x7x8x9"))),OR(6&gt;LEN(L524),MID(L524,6,1)=".",ISNUMBER(FIND("x"&amp;MID(L524,6,1),"x0x1x2x3x4x5x6x7x8x9"))),OR(7&gt;LEN(L524),MID(L524,7,1)=".",ISNUMBER(FIND("x"&amp;MID(L524,7,1),"x0x1x2x3x4x5x6x7x8x9"))),OR(8&gt;LEN(L524),MID(L524,8,1)=".",ISNUMBER(FIND("x"&amp;MID(L524,8,1),"x0x1x2x3x4x5x6x7x8x9"))),OR(9&gt;LEN(L524),MID(L524,9,1)=".",ISNUMBER(FIND("x"&amp;MID(L524,9,1),"x0x1x2x3x4x5x6x7x8x9"))),OR(10&gt;LEN(L524),MID(L524,10,1)=".",ISNUMBER(FIND("x"&amp;MID(L524,10,1),"x0x1x2x3x4x5x6x7x8x9"))),OR(AND(FIND(".",L524)=5,LEN(L524)-FIND(".",L524,FIND(".",L524)+1)&gt;=1,LEN(L524)-FIND(".",L524,FIND(".",L524)+1)&lt;=2),AND(LEN(L524)-FIND(".",L524,FIND(".",L524)+1)=4,FIND(".",L524)&gt;=2,FIND(".",L524)&lt;=3)),FIND(".",L524,FIND(".",L524)+1)-FIND(".",L524)&gt;=2,FIND(".",L524,FIND(".",L524)+1)-FIND(".",L524)&lt;=3,P524&gt;=2000,P524&lt;=2100,YEAR(S524)=P524,MONTH(S524)=Q524,DAY(S524)=R524),S524,0)),0)</ns0:f>
        <ns0:v>0</ns0:v>
      </ns0:c>
      <ns0:c r="U524" s="0" t="str">
        <ns0:f>IF(Bookings!C524="","Full day",Bookings!C524)</ns0:f>
        <ns0:v>Full day</ns0:v>
      </ns0:c>
      <ns0:c r="V524" s="0" t="str">
        <ns0:f>IF(Bookings!E524="","Full day",Bookings!E524)</ns0:f>
        <ns0:v>Full day</ns0:v>
      </ns0:c>
      <ns0:c r="W524" s="0">
        <ns0:f>IF(J524=0,0,J524+IF(U524="PM",1,0))</ns0:f>
        <ns0:v>0</ns0:v>
      </ns0:c>
      <ns0:c r="X524" s="0">
        <ns0:f>IF(T524=0,0,T524-IF(V524="PM",1,0))</ns0:f>
        <ns0:v>0</ns0:v>
      </ns0:c>
      <ns0:c r="Y524" s="0">
        <ns0:f>IF(J524=0,0,J524+IF(U524="AM",1,0))</ns0:f>
        <ns0:v>0</ns0:v>
      </ns0:c>
      <ns0:c r="Z524" s="0">
        <ns0:f>IF(T524=0,0,T524-IF(V524="AM",1,0))</ns0:f>
        <ns0:v>0</ns0:v>
      </ns0:c>
      <ns0:c r="AA524" s="0">
        <ns0:f>IFERROR(IF(AND(J524&gt;0,'_Engine'!C524&gt;0,MID('_Engine'!W524,WEEKDAY(J524,2),1)="W",COUNTIF(Settings!$F$18:$F$67,J524)=0),1,0),0)</ns0:f>
        <ns0:v>0</ns0:v>
      </ns0:c>
      <ns0:c r="AB524" s="0">
        <ns0:f>IFERROR(IF(AND(T524&gt;0,'_Engine'!C524&gt;0,MID('_Engine'!W524,WEEKDAY(T524,2),1)="W",COUNTIF(Settings!$F$18:$F$67,T524)=0),1,0),0)</ns0:f>
        <ns0:v>0</ns0:v>
      </ns0:c>
      <ns0:c r="AC524" s="0">
        <ns0:f>IF(AND(J524&gt;0,T524&gt;0,W524&lt;=X524),1,0)</ns0:f>
        <ns0:v>0</ns0:v>
      </ns0:c>
      <ns0:c r="AD524" s="0">
        <ns0:f>IF(AND(J524&gt;0,T524&gt;0,Y524&lt;=Z524),1,0)</ns0:f>
        <ns0:v>0</ns0:v>
      </ns0:c>
    </ns0:row>
    <ns0:row r="525">
      <ns0:c r="A525" s="0">
        <ns0:f>IFERROR(IF(ISNUMBER(Bookings!B525),"",TRIM(Bookings!B525&amp;"")),"")</ns0:f>
      </ns0:c>
      <ns0:c r="B525" s="0">
        <ns0:f>IFERROR(SUBSTITUTE(SUBSTITUTE(A525,"/","."),"-","."),"")</ns0:f>
      </ns0:c>
      <ns0:c r="C525" s="0">
        <ns0:f>IFERROR(LEFT(B525,FIND(".",B525)-1),"")</ns0:f>
      </ns0:c>
      <ns0:c r="D525" s="0">
        <ns0:f>IFERROR(MID(B525,FIND(".",B525)+1,FIND(".",B525,FIND(".",B525)+1)-FIND(".",B525)-1),"")</ns0:f>
      </ns0:c>
      <ns0:c r="E525" s="0">
        <ns0:f>IFERROR(MID(B525,FIND(".",B525,FIND(".",B525)+1)+1,99),"")</ns0:f>
        <ns0:v>99</ns0:v>
      </ns0:c>
      <ns0:c r="F525" s="0">
        <ns0:f>IFERROR(IF(FIND(".",B525)=5,--C525,--E525),0)</ns0:f>
        <ns0:v>0</ns0:v>
      </ns0:c>
      <ns0:c r="G525" s="0">
        <ns0:f>IFERROR(--D525,0)</ns0:f>
        <ns0:v>0</ns0:v>
      </ns0:c>
      <ns0:c r="H525" s="0">
        <ns0:f>IFERROR(IF(FIND(".",B525)=5,--E525,--C525),0)</ns0:f>
        <ns0:v>0</ns0:v>
      </ns0:c>
      <ns0:c r="I525" s="0">
        <ns0:f>IFERROR(IF(AND(F525&gt;=2000,F525&lt;=2100,G525&gt;=1,G525&lt;=12,H525&gt;=1,H525&lt;=31),DATE(F525,G525,H525),0),0)</ns0:f>
        <ns0:v>0</ns0:v>
      </ns0:c>
      <ns0:c r="J525" s="0">
        <ns0:f>IFERROR(IF(ISNUMBER(Bookings!B525),IF(AND(Bookings!B525=INT(Bookings!B525),Bookings!B525&gt;=DATE(2000,1,1),Bookings!B525&lt;=DATE(2100,12,31)),Bookings!B525,0),IF(AND(A525&lt;&gt;"",LEN("x"&amp;B525)-LEN(SUBSTITUTE("x"&amp;B525,".",""))=2,OR(1&gt;LEN(B525),MID(B525,1,1)=".",ISNUMBER(FIND("x"&amp;MID(B525,1,1),"x0x1x2x3x4x5x6x7x8x9"))),OR(2&gt;LEN(B525),MID(B525,2,1)=".",ISNUMBER(FIND("x"&amp;MID(B525,2,1),"x0x1x2x3x4x5x6x7x8x9"))),OR(3&gt;LEN(B525),MID(B525,3,1)=".",ISNUMBER(FIND("x"&amp;MID(B525,3,1),"x0x1x2x3x4x5x6x7x8x9"))),OR(4&gt;LEN(B525),MID(B525,4,1)=".",ISNUMBER(FIND("x"&amp;MID(B525,4,1),"x0x1x2x3x4x5x6x7x8x9"))),OR(5&gt;LEN(B525),MID(B525,5,1)=".",ISNUMBER(FIND("x"&amp;MID(B525,5,1),"x0x1x2x3x4x5x6x7x8x9"))),OR(6&gt;LEN(B525),MID(B525,6,1)=".",ISNUMBER(FIND("x"&amp;MID(B525,6,1),"x0x1x2x3x4x5x6x7x8x9"))),OR(7&gt;LEN(B525),MID(B525,7,1)=".",ISNUMBER(FIND("x"&amp;MID(B525,7,1),"x0x1x2x3x4x5x6x7x8x9"))),OR(8&gt;LEN(B525),MID(B525,8,1)=".",ISNUMBER(FIND("x"&amp;MID(B525,8,1),"x0x1x2x3x4x5x6x7x8x9"))),OR(9&gt;LEN(B525),MID(B525,9,1)=".",ISNUMBER(FIND("x"&amp;MID(B525,9,1),"x0x1x2x3x4x5x6x7x8x9"))),OR(10&gt;LEN(B525),MID(B525,10,1)=".",ISNUMBER(FIND("x"&amp;MID(B525,10,1),"x0x1x2x3x4x5x6x7x8x9"))),OR(AND(FIND(".",B525)=5,LEN(B525)-FIND(".",B525,FIND(".",B525)+1)&gt;=1,LEN(B525)-FIND(".",B525,FIND(".",B525)+1)&lt;=2),AND(LEN(B525)-FIND(".",B525,FIND(".",B525)+1)=4,FIND(".",B525)&gt;=2,FIND(".",B525)&lt;=3)),FIND(".",B525,FIND(".",B525)+1)-FIND(".",B525)&gt;=2,FIND(".",B525,FIND(".",B525)+1)-FIND(".",B525)&lt;=3,F525&gt;=2000,F525&lt;=2100,YEAR(I525)=F525,MONTH(I525)=G525,DAY(I525)=H525),I525,0)),0)</ns0:f>
        <ns0:v>0</ns0:v>
      </ns0:c>
      <ns0:c r="K525" s="0">
        <ns0:f>IFERROR(IF(ISNUMBER(Bookings!D525),"",TRIM(Bookings!D525&amp;"")),"")</ns0:f>
      </ns0:c>
      <ns0:c r="L525" s="0">
        <ns0:f>IFERROR(SUBSTITUTE(SUBSTITUTE(K525,"/","."),"-","."),"")</ns0:f>
      </ns0:c>
      <ns0:c r="M525" s="0">
        <ns0:f>IFERROR(LEFT(L525,FIND(".",L525)-1),"")</ns0:f>
      </ns0:c>
      <ns0:c r="N525" s="0">
        <ns0:f>IFERROR(MID(L525,FIND(".",L525)+1,FIND(".",L525,FIND(".",L525)+1)-FIND(".",L525)-1),"")</ns0:f>
      </ns0:c>
      <ns0:c r="O525" s="0">
        <ns0:f>IFERROR(MID(L525,FIND(".",L525,FIND(".",L525)+1)+1,99),"")</ns0:f>
        <ns0:v>99</ns0:v>
      </ns0:c>
      <ns0:c r="P525" s="0">
        <ns0:f>IFERROR(IF(FIND(".",L525)=5,--M525,--O525),0)</ns0:f>
        <ns0:v>0</ns0:v>
      </ns0:c>
      <ns0:c r="Q525" s="0">
        <ns0:f>IFERROR(--N525,0)</ns0:f>
        <ns0:v>0</ns0:v>
      </ns0:c>
      <ns0:c r="R525" s="0">
        <ns0:f>IFERROR(IF(FIND(".",L525)=5,--O525,--M525),0)</ns0:f>
        <ns0:v>0</ns0:v>
      </ns0:c>
      <ns0:c r="S525" s="0">
        <ns0:f>IFERROR(IF(AND(P525&gt;=2000,P525&lt;=2100,Q525&gt;=1,Q525&lt;=12,R525&gt;=1,R525&lt;=31),DATE(P525,Q525,R525),0),0)</ns0:f>
        <ns0:v>0</ns0:v>
      </ns0:c>
      <ns0:c r="T525" s="0">
        <ns0:f>IFERROR(IF(ISNUMBER(Bookings!D525),IF(AND(Bookings!D525=INT(Bookings!D525),Bookings!D525&gt;=DATE(2000,1,1),Bookings!D525&lt;=DATE(2100,12,31)),Bookings!D525,0),IF(AND(K525&lt;&gt;"",LEN("x"&amp;L525)-LEN(SUBSTITUTE("x"&amp;L525,".",""))=2,OR(1&gt;LEN(L525),MID(L525,1,1)=".",ISNUMBER(FIND("x"&amp;MID(L525,1,1),"x0x1x2x3x4x5x6x7x8x9"))),OR(2&gt;LEN(L525),MID(L525,2,1)=".",ISNUMBER(FIND("x"&amp;MID(L525,2,1),"x0x1x2x3x4x5x6x7x8x9"))),OR(3&gt;LEN(L525),MID(L525,3,1)=".",ISNUMBER(FIND("x"&amp;MID(L525,3,1),"x0x1x2x3x4x5x6x7x8x9"))),OR(4&gt;LEN(L525),MID(L525,4,1)=".",ISNUMBER(FIND("x"&amp;MID(L525,4,1),"x0x1x2x3x4x5x6x7x8x9"))),OR(5&gt;LEN(L525),MID(L525,5,1)=".",ISNUMBER(FIND("x"&amp;MID(L525,5,1),"x0x1x2x3x4x5x6x7x8x9"))),OR(6&gt;LEN(L525),MID(L525,6,1)=".",ISNUMBER(FIND("x"&amp;MID(L525,6,1),"x0x1x2x3x4x5x6x7x8x9"))),OR(7&gt;LEN(L525),MID(L525,7,1)=".",ISNUMBER(FIND("x"&amp;MID(L525,7,1),"x0x1x2x3x4x5x6x7x8x9"))),OR(8&gt;LEN(L525),MID(L525,8,1)=".",ISNUMBER(FIND("x"&amp;MID(L525,8,1),"x0x1x2x3x4x5x6x7x8x9"))),OR(9&gt;LEN(L525),MID(L525,9,1)=".",ISNUMBER(FIND("x"&amp;MID(L525,9,1),"x0x1x2x3x4x5x6x7x8x9"))),OR(10&gt;LEN(L525),MID(L525,10,1)=".",ISNUMBER(FIND("x"&amp;MID(L525,10,1),"x0x1x2x3x4x5x6x7x8x9"))),OR(AND(FIND(".",L525)=5,LEN(L525)-FIND(".",L525,FIND(".",L525)+1)&gt;=1,LEN(L525)-FIND(".",L525,FIND(".",L525)+1)&lt;=2),AND(LEN(L525)-FIND(".",L525,FIND(".",L525)+1)=4,FIND(".",L525)&gt;=2,FIND(".",L525)&lt;=3)),FIND(".",L525,FIND(".",L525)+1)-FIND(".",L525)&gt;=2,FIND(".",L525,FIND(".",L525)+1)-FIND(".",L525)&lt;=3,P525&gt;=2000,P525&lt;=2100,YEAR(S525)=P525,MONTH(S525)=Q525,DAY(S525)=R525),S525,0)),0)</ns0:f>
        <ns0:v>0</ns0:v>
      </ns0:c>
      <ns0:c r="U525" s="0" t="str">
        <ns0:f>IF(Bookings!C525="","Full day",Bookings!C525)</ns0:f>
        <ns0:v>Full day</ns0:v>
      </ns0:c>
      <ns0:c r="V525" s="0" t="str">
        <ns0:f>IF(Bookings!E525="","Full day",Bookings!E525)</ns0:f>
        <ns0:v>Full day</ns0:v>
      </ns0:c>
      <ns0:c r="W525" s="0">
        <ns0:f>IF(J525=0,0,J525+IF(U525="PM",1,0))</ns0:f>
        <ns0:v>0</ns0:v>
      </ns0:c>
      <ns0:c r="X525" s="0">
        <ns0:f>IF(T525=0,0,T525-IF(V525="PM",1,0))</ns0:f>
        <ns0:v>0</ns0:v>
      </ns0:c>
      <ns0:c r="Y525" s="0">
        <ns0:f>IF(J525=0,0,J525+IF(U525="AM",1,0))</ns0:f>
        <ns0:v>0</ns0:v>
      </ns0:c>
      <ns0:c r="Z525" s="0">
        <ns0:f>IF(T525=0,0,T525-IF(V525="AM",1,0))</ns0:f>
        <ns0:v>0</ns0:v>
      </ns0:c>
      <ns0:c r="AA525" s="0">
        <ns0:f>IFERROR(IF(AND(J525&gt;0,'_Engine'!C525&gt;0,MID('_Engine'!W525,WEEKDAY(J525,2),1)="W",COUNTIF(Settings!$F$18:$F$67,J525)=0),1,0),0)</ns0:f>
        <ns0:v>0</ns0:v>
      </ns0:c>
      <ns0:c r="AB525" s="0">
        <ns0:f>IFERROR(IF(AND(T525&gt;0,'_Engine'!C525&gt;0,MID('_Engine'!W525,WEEKDAY(T525,2),1)="W",COUNTIF(Settings!$F$18:$F$67,T525)=0),1,0),0)</ns0:f>
        <ns0:v>0</ns0:v>
      </ns0:c>
      <ns0:c r="AC525" s="0">
        <ns0:f>IF(AND(J525&gt;0,T525&gt;0,W525&lt;=X525),1,0)</ns0:f>
        <ns0:v>0</ns0:v>
      </ns0:c>
      <ns0:c r="AD525" s="0">
        <ns0:f>IF(AND(J525&gt;0,T525&gt;0,Y525&lt;=Z525),1,0)</ns0:f>
        <ns0:v>0</ns0:v>
      </ns0:c>
    </ns0:row>
    <ns0:row r="526">
      <ns0:c r="A526" s="0">
        <ns0:f>IFERROR(IF(ISNUMBER(Bookings!B526),"",TRIM(Bookings!B526&amp;"")),"")</ns0:f>
      </ns0:c>
      <ns0:c r="B526" s="0">
        <ns0:f>IFERROR(SUBSTITUTE(SUBSTITUTE(A526,"/","."),"-","."),"")</ns0:f>
      </ns0:c>
      <ns0:c r="C526" s="0">
        <ns0:f>IFERROR(LEFT(B526,FIND(".",B526)-1),"")</ns0:f>
      </ns0:c>
      <ns0:c r="D526" s="0">
        <ns0:f>IFERROR(MID(B526,FIND(".",B526)+1,FIND(".",B526,FIND(".",B526)+1)-FIND(".",B526)-1),"")</ns0:f>
      </ns0:c>
      <ns0:c r="E526" s="0">
        <ns0:f>IFERROR(MID(B526,FIND(".",B526,FIND(".",B526)+1)+1,99),"")</ns0:f>
        <ns0:v>99</ns0:v>
      </ns0:c>
      <ns0:c r="F526" s="0">
        <ns0:f>IFERROR(IF(FIND(".",B526)=5,--C526,--E526),0)</ns0:f>
        <ns0:v>0</ns0:v>
      </ns0:c>
      <ns0:c r="G526" s="0">
        <ns0:f>IFERROR(--D526,0)</ns0:f>
        <ns0:v>0</ns0:v>
      </ns0:c>
      <ns0:c r="H526" s="0">
        <ns0:f>IFERROR(IF(FIND(".",B526)=5,--E526,--C526),0)</ns0:f>
        <ns0:v>0</ns0:v>
      </ns0:c>
      <ns0:c r="I526" s="0">
        <ns0:f>IFERROR(IF(AND(F526&gt;=2000,F526&lt;=2100,G526&gt;=1,G526&lt;=12,H526&gt;=1,H526&lt;=31),DATE(F526,G526,H526),0),0)</ns0:f>
        <ns0:v>0</ns0:v>
      </ns0:c>
      <ns0:c r="J526" s="0">
        <ns0:f>IFERROR(IF(ISNUMBER(Bookings!B526),IF(AND(Bookings!B526=INT(Bookings!B526),Bookings!B526&gt;=DATE(2000,1,1),Bookings!B526&lt;=DATE(2100,12,31)),Bookings!B526,0),IF(AND(A526&lt;&gt;"",LEN("x"&amp;B526)-LEN(SUBSTITUTE("x"&amp;B526,".",""))=2,OR(1&gt;LEN(B526),MID(B526,1,1)=".",ISNUMBER(FIND("x"&amp;MID(B526,1,1),"x0x1x2x3x4x5x6x7x8x9"))),OR(2&gt;LEN(B526),MID(B526,2,1)=".",ISNUMBER(FIND("x"&amp;MID(B526,2,1),"x0x1x2x3x4x5x6x7x8x9"))),OR(3&gt;LEN(B526),MID(B526,3,1)=".",ISNUMBER(FIND("x"&amp;MID(B526,3,1),"x0x1x2x3x4x5x6x7x8x9"))),OR(4&gt;LEN(B526),MID(B526,4,1)=".",ISNUMBER(FIND("x"&amp;MID(B526,4,1),"x0x1x2x3x4x5x6x7x8x9"))),OR(5&gt;LEN(B526),MID(B526,5,1)=".",ISNUMBER(FIND("x"&amp;MID(B526,5,1),"x0x1x2x3x4x5x6x7x8x9"))),OR(6&gt;LEN(B526),MID(B526,6,1)=".",ISNUMBER(FIND("x"&amp;MID(B526,6,1),"x0x1x2x3x4x5x6x7x8x9"))),OR(7&gt;LEN(B526),MID(B526,7,1)=".",ISNUMBER(FIND("x"&amp;MID(B526,7,1),"x0x1x2x3x4x5x6x7x8x9"))),OR(8&gt;LEN(B526),MID(B526,8,1)=".",ISNUMBER(FIND("x"&amp;MID(B526,8,1),"x0x1x2x3x4x5x6x7x8x9"))),OR(9&gt;LEN(B526),MID(B526,9,1)=".",ISNUMBER(FIND("x"&amp;MID(B526,9,1),"x0x1x2x3x4x5x6x7x8x9"))),OR(10&gt;LEN(B526),MID(B526,10,1)=".",ISNUMBER(FIND("x"&amp;MID(B526,10,1),"x0x1x2x3x4x5x6x7x8x9"))),OR(AND(FIND(".",B526)=5,LEN(B526)-FIND(".",B526,FIND(".",B526)+1)&gt;=1,LEN(B526)-FIND(".",B526,FIND(".",B526)+1)&lt;=2),AND(LEN(B526)-FIND(".",B526,FIND(".",B526)+1)=4,FIND(".",B526)&gt;=2,FIND(".",B526)&lt;=3)),FIND(".",B526,FIND(".",B526)+1)-FIND(".",B526)&gt;=2,FIND(".",B526,FIND(".",B526)+1)-FIND(".",B526)&lt;=3,F526&gt;=2000,F526&lt;=2100,YEAR(I526)=F526,MONTH(I526)=G526,DAY(I526)=H526),I526,0)),0)</ns0:f>
        <ns0:v>0</ns0:v>
      </ns0:c>
      <ns0:c r="K526" s="0">
        <ns0:f>IFERROR(IF(ISNUMBER(Bookings!D526),"",TRIM(Bookings!D526&amp;"")),"")</ns0:f>
      </ns0:c>
      <ns0:c r="L526" s="0">
        <ns0:f>IFERROR(SUBSTITUTE(SUBSTITUTE(K526,"/","."),"-","."),"")</ns0:f>
      </ns0:c>
      <ns0:c r="M526" s="0">
        <ns0:f>IFERROR(LEFT(L526,FIND(".",L526)-1),"")</ns0:f>
      </ns0:c>
      <ns0:c r="N526" s="0">
        <ns0:f>IFERROR(MID(L526,FIND(".",L526)+1,FIND(".",L526,FIND(".",L526)+1)-FIND(".",L526)-1),"")</ns0:f>
      </ns0:c>
      <ns0:c r="O526" s="0">
        <ns0:f>IFERROR(MID(L526,FIND(".",L526,FIND(".",L526)+1)+1,99),"")</ns0:f>
        <ns0:v>99</ns0:v>
      </ns0:c>
      <ns0:c r="P526" s="0">
        <ns0:f>IFERROR(IF(FIND(".",L526)=5,--M526,--O526),0)</ns0:f>
        <ns0:v>0</ns0:v>
      </ns0:c>
      <ns0:c r="Q526" s="0">
        <ns0:f>IFERROR(--N526,0)</ns0:f>
        <ns0:v>0</ns0:v>
      </ns0:c>
      <ns0:c r="R526" s="0">
        <ns0:f>IFERROR(IF(FIND(".",L526)=5,--O526,--M526),0)</ns0:f>
        <ns0:v>0</ns0:v>
      </ns0:c>
      <ns0:c r="S526" s="0">
        <ns0:f>IFERROR(IF(AND(P526&gt;=2000,P526&lt;=2100,Q526&gt;=1,Q526&lt;=12,R526&gt;=1,R526&lt;=31),DATE(P526,Q526,R526),0),0)</ns0:f>
        <ns0:v>0</ns0:v>
      </ns0:c>
      <ns0:c r="T526" s="0">
        <ns0:f>IFERROR(IF(ISNUMBER(Bookings!D526),IF(AND(Bookings!D526=INT(Bookings!D526),Bookings!D526&gt;=DATE(2000,1,1),Bookings!D526&lt;=DATE(2100,12,31)),Bookings!D526,0),IF(AND(K526&lt;&gt;"",LEN("x"&amp;L526)-LEN(SUBSTITUTE("x"&amp;L526,".",""))=2,OR(1&gt;LEN(L526),MID(L526,1,1)=".",ISNUMBER(FIND("x"&amp;MID(L526,1,1),"x0x1x2x3x4x5x6x7x8x9"))),OR(2&gt;LEN(L526),MID(L526,2,1)=".",ISNUMBER(FIND("x"&amp;MID(L526,2,1),"x0x1x2x3x4x5x6x7x8x9"))),OR(3&gt;LEN(L526),MID(L526,3,1)=".",ISNUMBER(FIND("x"&amp;MID(L526,3,1),"x0x1x2x3x4x5x6x7x8x9"))),OR(4&gt;LEN(L526),MID(L526,4,1)=".",ISNUMBER(FIND("x"&amp;MID(L526,4,1),"x0x1x2x3x4x5x6x7x8x9"))),OR(5&gt;LEN(L526),MID(L526,5,1)=".",ISNUMBER(FIND("x"&amp;MID(L526,5,1),"x0x1x2x3x4x5x6x7x8x9"))),OR(6&gt;LEN(L526),MID(L526,6,1)=".",ISNUMBER(FIND("x"&amp;MID(L526,6,1),"x0x1x2x3x4x5x6x7x8x9"))),OR(7&gt;LEN(L526),MID(L526,7,1)=".",ISNUMBER(FIND("x"&amp;MID(L526,7,1),"x0x1x2x3x4x5x6x7x8x9"))),OR(8&gt;LEN(L526),MID(L526,8,1)=".",ISNUMBER(FIND("x"&amp;MID(L526,8,1),"x0x1x2x3x4x5x6x7x8x9"))),OR(9&gt;LEN(L526),MID(L526,9,1)=".",ISNUMBER(FIND("x"&amp;MID(L526,9,1),"x0x1x2x3x4x5x6x7x8x9"))),OR(10&gt;LEN(L526),MID(L526,10,1)=".",ISNUMBER(FIND("x"&amp;MID(L526,10,1),"x0x1x2x3x4x5x6x7x8x9"))),OR(AND(FIND(".",L526)=5,LEN(L526)-FIND(".",L526,FIND(".",L526)+1)&gt;=1,LEN(L526)-FIND(".",L526,FIND(".",L526)+1)&lt;=2),AND(LEN(L526)-FIND(".",L526,FIND(".",L526)+1)=4,FIND(".",L526)&gt;=2,FIND(".",L526)&lt;=3)),FIND(".",L526,FIND(".",L526)+1)-FIND(".",L526)&gt;=2,FIND(".",L526,FIND(".",L526)+1)-FIND(".",L526)&lt;=3,P526&gt;=2000,P526&lt;=2100,YEAR(S526)=P526,MONTH(S526)=Q526,DAY(S526)=R526),S526,0)),0)</ns0:f>
        <ns0:v>0</ns0:v>
      </ns0:c>
      <ns0:c r="U526" s="0" t="str">
        <ns0:f>IF(Bookings!C526="","Full day",Bookings!C526)</ns0:f>
        <ns0:v>Full day</ns0:v>
      </ns0:c>
      <ns0:c r="V526" s="0" t="str">
        <ns0:f>IF(Bookings!E526="","Full day",Bookings!E526)</ns0:f>
        <ns0:v>Full day</ns0:v>
      </ns0:c>
      <ns0:c r="W526" s="0">
        <ns0:f>IF(J526=0,0,J526+IF(U526="PM",1,0))</ns0:f>
        <ns0:v>0</ns0:v>
      </ns0:c>
      <ns0:c r="X526" s="0">
        <ns0:f>IF(T526=0,0,T526-IF(V526="PM",1,0))</ns0:f>
        <ns0:v>0</ns0:v>
      </ns0:c>
      <ns0:c r="Y526" s="0">
        <ns0:f>IF(J526=0,0,J526+IF(U526="AM",1,0))</ns0:f>
        <ns0:v>0</ns0:v>
      </ns0:c>
      <ns0:c r="Z526" s="0">
        <ns0:f>IF(T526=0,0,T526-IF(V526="AM",1,0))</ns0:f>
        <ns0:v>0</ns0:v>
      </ns0:c>
      <ns0:c r="AA526" s="0">
        <ns0:f>IFERROR(IF(AND(J526&gt;0,'_Engine'!C526&gt;0,MID('_Engine'!W526,WEEKDAY(J526,2),1)="W",COUNTIF(Settings!$F$18:$F$67,J526)=0),1,0),0)</ns0:f>
        <ns0:v>0</ns0:v>
      </ns0:c>
      <ns0:c r="AB526" s="0">
        <ns0:f>IFERROR(IF(AND(T526&gt;0,'_Engine'!C526&gt;0,MID('_Engine'!W526,WEEKDAY(T526,2),1)="W",COUNTIF(Settings!$F$18:$F$67,T526)=0),1,0),0)</ns0:f>
        <ns0:v>0</ns0:v>
      </ns0:c>
      <ns0:c r="AC526" s="0">
        <ns0:f>IF(AND(J526&gt;0,T526&gt;0,W526&lt;=X526),1,0)</ns0:f>
        <ns0:v>0</ns0:v>
      </ns0:c>
      <ns0:c r="AD526" s="0">
        <ns0:f>IF(AND(J526&gt;0,T526&gt;0,Y526&lt;=Z526),1,0)</ns0:f>
        <ns0:v>0</ns0:v>
      </ns0:c>
    </ns0:row>
    <ns0:row r="527">
      <ns0:c r="A527" s="0">
        <ns0:f>IFERROR(IF(ISNUMBER(Bookings!B527),"",TRIM(Bookings!B527&amp;"")),"")</ns0:f>
      </ns0:c>
      <ns0:c r="B527" s="0">
        <ns0:f>IFERROR(SUBSTITUTE(SUBSTITUTE(A527,"/","."),"-","."),"")</ns0:f>
      </ns0:c>
      <ns0:c r="C527" s="0">
        <ns0:f>IFERROR(LEFT(B527,FIND(".",B527)-1),"")</ns0:f>
      </ns0:c>
      <ns0:c r="D527" s="0">
        <ns0:f>IFERROR(MID(B527,FIND(".",B527)+1,FIND(".",B527,FIND(".",B527)+1)-FIND(".",B527)-1),"")</ns0:f>
      </ns0:c>
      <ns0:c r="E527" s="0">
        <ns0:f>IFERROR(MID(B527,FIND(".",B527,FIND(".",B527)+1)+1,99),"")</ns0:f>
        <ns0:v>99</ns0:v>
      </ns0:c>
      <ns0:c r="F527" s="0">
        <ns0:f>IFERROR(IF(FIND(".",B527)=5,--C527,--E527),0)</ns0:f>
        <ns0:v>0</ns0:v>
      </ns0:c>
      <ns0:c r="G527" s="0">
        <ns0:f>IFERROR(--D527,0)</ns0:f>
        <ns0:v>0</ns0:v>
      </ns0:c>
      <ns0:c r="H527" s="0">
        <ns0:f>IFERROR(IF(FIND(".",B527)=5,--E527,--C527),0)</ns0:f>
        <ns0:v>0</ns0:v>
      </ns0:c>
      <ns0:c r="I527" s="0">
        <ns0:f>IFERROR(IF(AND(F527&gt;=2000,F527&lt;=2100,G527&gt;=1,G527&lt;=12,H527&gt;=1,H527&lt;=31),DATE(F527,G527,H527),0),0)</ns0:f>
        <ns0:v>0</ns0:v>
      </ns0:c>
      <ns0:c r="J527" s="0">
        <ns0:f>IFERROR(IF(ISNUMBER(Bookings!B527),IF(AND(Bookings!B527=INT(Bookings!B527),Bookings!B527&gt;=DATE(2000,1,1),Bookings!B527&lt;=DATE(2100,12,31)),Bookings!B527,0),IF(AND(A527&lt;&gt;"",LEN("x"&amp;B527)-LEN(SUBSTITUTE("x"&amp;B527,".",""))=2,OR(1&gt;LEN(B527),MID(B527,1,1)=".",ISNUMBER(FIND("x"&amp;MID(B527,1,1),"x0x1x2x3x4x5x6x7x8x9"))),OR(2&gt;LEN(B527),MID(B527,2,1)=".",ISNUMBER(FIND("x"&amp;MID(B527,2,1),"x0x1x2x3x4x5x6x7x8x9"))),OR(3&gt;LEN(B527),MID(B527,3,1)=".",ISNUMBER(FIND("x"&amp;MID(B527,3,1),"x0x1x2x3x4x5x6x7x8x9"))),OR(4&gt;LEN(B527),MID(B527,4,1)=".",ISNUMBER(FIND("x"&amp;MID(B527,4,1),"x0x1x2x3x4x5x6x7x8x9"))),OR(5&gt;LEN(B527),MID(B527,5,1)=".",ISNUMBER(FIND("x"&amp;MID(B527,5,1),"x0x1x2x3x4x5x6x7x8x9"))),OR(6&gt;LEN(B527),MID(B527,6,1)=".",ISNUMBER(FIND("x"&amp;MID(B527,6,1),"x0x1x2x3x4x5x6x7x8x9"))),OR(7&gt;LEN(B527),MID(B527,7,1)=".",ISNUMBER(FIND("x"&amp;MID(B527,7,1),"x0x1x2x3x4x5x6x7x8x9"))),OR(8&gt;LEN(B527),MID(B527,8,1)=".",ISNUMBER(FIND("x"&amp;MID(B527,8,1),"x0x1x2x3x4x5x6x7x8x9"))),OR(9&gt;LEN(B527),MID(B527,9,1)=".",ISNUMBER(FIND("x"&amp;MID(B527,9,1),"x0x1x2x3x4x5x6x7x8x9"))),OR(10&gt;LEN(B527),MID(B527,10,1)=".",ISNUMBER(FIND("x"&amp;MID(B527,10,1),"x0x1x2x3x4x5x6x7x8x9"))),OR(AND(FIND(".",B527)=5,LEN(B527)-FIND(".",B527,FIND(".",B527)+1)&gt;=1,LEN(B527)-FIND(".",B527,FIND(".",B527)+1)&lt;=2),AND(LEN(B527)-FIND(".",B527,FIND(".",B527)+1)=4,FIND(".",B527)&gt;=2,FIND(".",B527)&lt;=3)),FIND(".",B527,FIND(".",B527)+1)-FIND(".",B527)&gt;=2,FIND(".",B527,FIND(".",B527)+1)-FIND(".",B527)&lt;=3,F527&gt;=2000,F527&lt;=2100,YEAR(I527)=F527,MONTH(I527)=G527,DAY(I527)=H527),I527,0)),0)</ns0:f>
        <ns0:v>0</ns0:v>
      </ns0:c>
      <ns0:c r="K527" s="0">
        <ns0:f>IFERROR(IF(ISNUMBER(Bookings!D527),"",TRIM(Bookings!D527&amp;"")),"")</ns0:f>
      </ns0:c>
      <ns0:c r="L527" s="0">
        <ns0:f>IFERROR(SUBSTITUTE(SUBSTITUTE(K527,"/","."),"-","."),"")</ns0:f>
      </ns0:c>
      <ns0:c r="M527" s="0">
        <ns0:f>IFERROR(LEFT(L527,FIND(".",L527)-1),"")</ns0:f>
      </ns0:c>
      <ns0:c r="N527" s="0">
        <ns0:f>IFERROR(MID(L527,FIND(".",L527)+1,FIND(".",L527,FIND(".",L527)+1)-FIND(".",L527)-1),"")</ns0:f>
      </ns0:c>
      <ns0:c r="O527" s="0">
        <ns0:f>IFERROR(MID(L527,FIND(".",L527,FIND(".",L527)+1)+1,99),"")</ns0:f>
        <ns0:v>99</ns0:v>
      </ns0:c>
      <ns0:c r="P527" s="0">
        <ns0:f>IFERROR(IF(FIND(".",L527)=5,--M527,--O527),0)</ns0:f>
        <ns0:v>0</ns0:v>
      </ns0:c>
      <ns0:c r="Q527" s="0">
        <ns0:f>IFERROR(--N527,0)</ns0:f>
        <ns0:v>0</ns0:v>
      </ns0:c>
      <ns0:c r="R527" s="0">
        <ns0:f>IFERROR(IF(FIND(".",L527)=5,--O527,--M527),0)</ns0:f>
        <ns0:v>0</ns0:v>
      </ns0:c>
      <ns0:c r="S527" s="0">
        <ns0:f>IFERROR(IF(AND(P527&gt;=2000,P527&lt;=2100,Q527&gt;=1,Q527&lt;=12,R527&gt;=1,R527&lt;=31),DATE(P527,Q527,R527),0),0)</ns0:f>
        <ns0:v>0</ns0:v>
      </ns0:c>
      <ns0:c r="T527" s="0">
        <ns0:f>IFERROR(IF(ISNUMBER(Bookings!D527),IF(AND(Bookings!D527=INT(Bookings!D527),Bookings!D527&gt;=DATE(2000,1,1),Bookings!D527&lt;=DATE(2100,12,31)),Bookings!D527,0),IF(AND(K527&lt;&gt;"",LEN("x"&amp;L527)-LEN(SUBSTITUTE("x"&amp;L527,".",""))=2,OR(1&gt;LEN(L527),MID(L527,1,1)=".",ISNUMBER(FIND("x"&amp;MID(L527,1,1),"x0x1x2x3x4x5x6x7x8x9"))),OR(2&gt;LEN(L527),MID(L527,2,1)=".",ISNUMBER(FIND("x"&amp;MID(L527,2,1),"x0x1x2x3x4x5x6x7x8x9"))),OR(3&gt;LEN(L527),MID(L527,3,1)=".",ISNUMBER(FIND("x"&amp;MID(L527,3,1),"x0x1x2x3x4x5x6x7x8x9"))),OR(4&gt;LEN(L527),MID(L527,4,1)=".",ISNUMBER(FIND("x"&amp;MID(L527,4,1),"x0x1x2x3x4x5x6x7x8x9"))),OR(5&gt;LEN(L527),MID(L527,5,1)=".",ISNUMBER(FIND("x"&amp;MID(L527,5,1),"x0x1x2x3x4x5x6x7x8x9"))),OR(6&gt;LEN(L527),MID(L527,6,1)=".",ISNUMBER(FIND("x"&amp;MID(L527,6,1),"x0x1x2x3x4x5x6x7x8x9"))),OR(7&gt;LEN(L527),MID(L527,7,1)=".",ISNUMBER(FIND("x"&amp;MID(L527,7,1),"x0x1x2x3x4x5x6x7x8x9"))),OR(8&gt;LEN(L527),MID(L527,8,1)=".",ISNUMBER(FIND("x"&amp;MID(L527,8,1),"x0x1x2x3x4x5x6x7x8x9"))),OR(9&gt;LEN(L527),MID(L527,9,1)=".",ISNUMBER(FIND("x"&amp;MID(L527,9,1),"x0x1x2x3x4x5x6x7x8x9"))),OR(10&gt;LEN(L527),MID(L527,10,1)=".",ISNUMBER(FIND("x"&amp;MID(L527,10,1),"x0x1x2x3x4x5x6x7x8x9"))),OR(AND(FIND(".",L527)=5,LEN(L527)-FIND(".",L527,FIND(".",L527)+1)&gt;=1,LEN(L527)-FIND(".",L527,FIND(".",L527)+1)&lt;=2),AND(LEN(L527)-FIND(".",L527,FIND(".",L527)+1)=4,FIND(".",L527)&gt;=2,FIND(".",L527)&lt;=3)),FIND(".",L527,FIND(".",L527)+1)-FIND(".",L527)&gt;=2,FIND(".",L527,FIND(".",L527)+1)-FIND(".",L527)&lt;=3,P527&gt;=2000,P527&lt;=2100,YEAR(S527)=P527,MONTH(S527)=Q527,DAY(S527)=R527),S527,0)),0)</ns0:f>
        <ns0:v>0</ns0:v>
      </ns0:c>
      <ns0:c r="U527" s="0" t="str">
        <ns0:f>IF(Bookings!C527="","Full day",Bookings!C527)</ns0:f>
        <ns0:v>Full day</ns0:v>
      </ns0:c>
      <ns0:c r="V527" s="0" t="str">
        <ns0:f>IF(Bookings!E527="","Full day",Bookings!E527)</ns0:f>
        <ns0:v>Full day</ns0:v>
      </ns0:c>
      <ns0:c r="W527" s="0">
        <ns0:f>IF(J527=0,0,J527+IF(U527="PM",1,0))</ns0:f>
        <ns0:v>0</ns0:v>
      </ns0:c>
      <ns0:c r="X527" s="0">
        <ns0:f>IF(T527=0,0,T527-IF(V527="PM",1,0))</ns0:f>
        <ns0:v>0</ns0:v>
      </ns0:c>
      <ns0:c r="Y527" s="0">
        <ns0:f>IF(J527=0,0,J527+IF(U527="AM",1,0))</ns0:f>
        <ns0:v>0</ns0:v>
      </ns0:c>
      <ns0:c r="Z527" s="0">
        <ns0:f>IF(T527=0,0,T527-IF(V527="AM",1,0))</ns0:f>
        <ns0:v>0</ns0:v>
      </ns0:c>
      <ns0:c r="AA527" s="0">
        <ns0:f>IFERROR(IF(AND(J527&gt;0,'_Engine'!C527&gt;0,MID('_Engine'!W527,WEEKDAY(J527,2),1)="W",COUNTIF(Settings!$F$18:$F$67,J527)=0),1,0),0)</ns0:f>
        <ns0:v>0</ns0:v>
      </ns0:c>
      <ns0:c r="AB527" s="0">
        <ns0:f>IFERROR(IF(AND(T527&gt;0,'_Engine'!C527&gt;0,MID('_Engine'!W527,WEEKDAY(T527,2),1)="W",COUNTIF(Settings!$F$18:$F$67,T527)=0),1,0),0)</ns0:f>
        <ns0:v>0</ns0:v>
      </ns0:c>
      <ns0:c r="AC527" s="0">
        <ns0:f>IF(AND(J527&gt;0,T527&gt;0,W527&lt;=X527),1,0)</ns0:f>
        <ns0:v>0</ns0:v>
      </ns0:c>
      <ns0:c r="AD527" s="0">
        <ns0:f>IF(AND(J527&gt;0,T527&gt;0,Y527&lt;=Z527),1,0)</ns0:f>
        <ns0:v>0</ns0:v>
      </ns0:c>
    </ns0:row>
    <ns0:row r="528">
      <ns0:c r="A528" s="0">
        <ns0:f>IFERROR(IF(ISNUMBER(Bookings!B528),"",TRIM(Bookings!B528&amp;"")),"")</ns0:f>
      </ns0:c>
      <ns0:c r="B528" s="0">
        <ns0:f>IFERROR(SUBSTITUTE(SUBSTITUTE(A528,"/","."),"-","."),"")</ns0:f>
      </ns0:c>
      <ns0:c r="C528" s="0">
        <ns0:f>IFERROR(LEFT(B528,FIND(".",B528)-1),"")</ns0:f>
      </ns0:c>
      <ns0:c r="D528" s="0">
        <ns0:f>IFERROR(MID(B528,FIND(".",B528)+1,FIND(".",B528,FIND(".",B528)+1)-FIND(".",B528)-1),"")</ns0:f>
      </ns0:c>
      <ns0:c r="E528" s="0">
        <ns0:f>IFERROR(MID(B528,FIND(".",B528,FIND(".",B528)+1)+1,99),"")</ns0:f>
        <ns0:v>99</ns0:v>
      </ns0:c>
      <ns0:c r="F528" s="0">
        <ns0:f>IFERROR(IF(FIND(".",B528)=5,--C528,--E528),0)</ns0:f>
        <ns0:v>0</ns0:v>
      </ns0:c>
      <ns0:c r="G528" s="0">
        <ns0:f>IFERROR(--D528,0)</ns0:f>
        <ns0:v>0</ns0:v>
      </ns0:c>
      <ns0:c r="H528" s="0">
        <ns0:f>IFERROR(IF(FIND(".",B528)=5,--E528,--C528),0)</ns0:f>
        <ns0:v>0</ns0:v>
      </ns0:c>
      <ns0:c r="I528" s="0">
        <ns0:f>IFERROR(IF(AND(F528&gt;=2000,F528&lt;=2100,G528&gt;=1,G528&lt;=12,H528&gt;=1,H528&lt;=31),DATE(F528,G528,H528),0),0)</ns0:f>
        <ns0:v>0</ns0:v>
      </ns0:c>
      <ns0:c r="J528" s="0">
        <ns0:f>IFERROR(IF(ISNUMBER(Bookings!B528),IF(AND(Bookings!B528=INT(Bookings!B528),Bookings!B528&gt;=DATE(2000,1,1),Bookings!B528&lt;=DATE(2100,12,31)),Bookings!B528,0),IF(AND(A528&lt;&gt;"",LEN("x"&amp;B528)-LEN(SUBSTITUTE("x"&amp;B528,".",""))=2,OR(1&gt;LEN(B528),MID(B528,1,1)=".",ISNUMBER(FIND("x"&amp;MID(B528,1,1),"x0x1x2x3x4x5x6x7x8x9"))),OR(2&gt;LEN(B528),MID(B528,2,1)=".",ISNUMBER(FIND("x"&amp;MID(B528,2,1),"x0x1x2x3x4x5x6x7x8x9"))),OR(3&gt;LEN(B528),MID(B528,3,1)=".",ISNUMBER(FIND("x"&amp;MID(B528,3,1),"x0x1x2x3x4x5x6x7x8x9"))),OR(4&gt;LEN(B528),MID(B528,4,1)=".",ISNUMBER(FIND("x"&amp;MID(B528,4,1),"x0x1x2x3x4x5x6x7x8x9"))),OR(5&gt;LEN(B528),MID(B528,5,1)=".",ISNUMBER(FIND("x"&amp;MID(B528,5,1),"x0x1x2x3x4x5x6x7x8x9"))),OR(6&gt;LEN(B528),MID(B528,6,1)=".",ISNUMBER(FIND("x"&amp;MID(B528,6,1),"x0x1x2x3x4x5x6x7x8x9"))),OR(7&gt;LEN(B528),MID(B528,7,1)=".",ISNUMBER(FIND("x"&amp;MID(B528,7,1),"x0x1x2x3x4x5x6x7x8x9"))),OR(8&gt;LEN(B528),MID(B528,8,1)=".",ISNUMBER(FIND("x"&amp;MID(B528,8,1),"x0x1x2x3x4x5x6x7x8x9"))),OR(9&gt;LEN(B528),MID(B528,9,1)=".",ISNUMBER(FIND("x"&amp;MID(B528,9,1),"x0x1x2x3x4x5x6x7x8x9"))),OR(10&gt;LEN(B528),MID(B528,10,1)=".",ISNUMBER(FIND("x"&amp;MID(B528,10,1),"x0x1x2x3x4x5x6x7x8x9"))),OR(AND(FIND(".",B528)=5,LEN(B528)-FIND(".",B528,FIND(".",B528)+1)&gt;=1,LEN(B528)-FIND(".",B528,FIND(".",B528)+1)&lt;=2),AND(LEN(B528)-FIND(".",B528,FIND(".",B528)+1)=4,FIND(".",B528)&gt;=2,FIND(".",B528)&lt;=3)),FIND(".",B528,FIND(".",B528)+1)-FIND(".",B528)&gt;=2,FIND(".",B528,FIND(".",B528)+1)-FIND(".",B528)&lt;=3,F528&gt;=2000,F528&lt;=2100,YEAR(I528)=F528,MONTH(I528)=G528,DAY(I528)=H528),I528,0)),0)</ns0:f>
        <ns0:v>0</ns0:v>
      </ns0:c>
      <ns0:c r="K528" s="0">
        <ns0:f>IFERROR(IF(ISNUMBER(Bookings!D528),"",TRIM(Bookings!D528&amp;"")),"")</ns0:f>
      </ns0:c>
      <ns0:c r="L528" s="0">
        <ns0:f>IFERROR(SUBSTITUTE(SUBSTITUTE(K528,"/","."),"-","."),"")</ns0:f>
      </ns0:c>
      <ns0:c r="M528" s="0">
        <ns0:f>IFERROR(LEFT(L528,FIND(".",L528)-1),"")</ns0:f>
      </ns0:c>
      <ns0:c r="N528" s="0">
        <ns0:f>IFERROR(MID(L528,FIND(".",L528)+1,FIND(".",L528,FIND(".",L528)+1)-FIND(".",L528)-1),"")</ns0:f>
      </ns0:c>
      <ns0:c r="O528" s="0">
        <ns0:f>IFERROR(MID(L528,FIND(".",L528,FIND(".",L528)+1)+1,99),"")</ns0:f>
        <ns0:v>99</ns0:v>
      </ns0:c>
      <ns0:c r="P528" s="0">
        <ns0:f>IFERROR(IF(FIND(".",L528)=5,--M528,--O528),0)</ns0:f>
        <ns0:v>0</ns0:v>
      </ns0:c>
      <ns0:c r="Q528" s="0">
        <ns0:f>IFERROR(--N528,0)</ns0:f>
        <ns0:v>0</ns0:v>
      </ns0:c>
      <ns0:c r="R528" s="0">
        <ns0:f>IFERROR(IF(FIND(".",L528)=5,--O528,--M528),0)</ns0:f>
        <ns0:v>0</ns0:v>
      </ns0:c>
      <ns0:c r="S528" s="0">
        <ns0:f>IFERROR(IF(AND(P528&gt;=2000,P528&lt;=2100,Q528&gt;=1,Q528&lt;=12,R528&gt;=1,R528&lt;=31),DATE(P528,Q528,R528),0),0)</ns0:f>
        <ns0:v>0</ns0:v>
      </ns0:c>
      <ns0:c r="T528" s="0">
        <ns0:f>IFERROR(IF(ISNUMBER(Bookings!D528),IF(AND(Bookings!D528=INT(Bookings!D528),Bookings!D528&gt;=DATE(2000,1,1),Bookings!D528&lt;=DATE(2100,12,31)),Bookings!D528,0),IF(AND(K528&lt;&gt;"",LEN("x"&amp;L528)-LEN(SUBSTITUTE("x"&amp;L528,".",""))=2,OR(1&gt;LEN(L528),MID(L528,1,1)=".",ISNUMBER(FIND("x"&amp;MID(L528,1,1),"x0x1x2x3x4x5x6x7x8x9"))),OR(2&gt;LEN(L528),MID(L528,2,1)=".",ISNUMBER(FIND("x"&amp;MID(L528,2,1),"x0x1x2x3x4x5x6x7x8x9"))),OR(3&gt;LEN(L528),MID(L528,3,1)=".",ISNUMBER(FIND("x"&amp;MID(L528,3,1),"x0x1x2x3x4x5x6x7x8x9"))),OR(4&gt;LEN(L528),MID(L528,4,1)=".",ISNUMBER(FIND("x"&amp;MID(L528,4,1),"x0x1x2x3x4x5x6x7x8x9"))),OR(5&gt;LEN(L528),MID(L528,5,1)=".",ISNUMBER(FIND("x"&amp;MID(L528,5,1),"x0x1x2x3x4x5x6x7x8x9"))),OR(6&gt;LEN(L528),MID(L528,6,1)=".",ISNUMBER(FIND("x"&amp;MID(L528,6,1),"x0x1x2x3x4x5x6x7x8x9"))),OR(7&gt;LEN(L528),MID(L528,7,1)=".",ISNUMBER(FIND("x"&amp;MID(L528,7,1),"x0x1x2x3x4x5x6x7x8x9"))),OR(8&gt;LEN(L528),MID(L528,8,1)=".",ISNUMBER(FIND("x"&amp;MID(L528,8,1),"x0x1x2x3x4x5x6x7x8x9"))),OR(9&gt;LEN(L528),MID(L528,9,1)=".",ISNUMBER(FIND("x"&amp;MID(L528,9,1),"x0x1x2x3x4x5x6x7x8x9"))),OR(10&gt;LEN(L528),MID(L528,10,1)=".",ISNUMBER(FIND("x"&amp;MID(L528,10,1),"x0x1x2x3x4x5x6x7x8x9"))),OR(AND(FIND(".",L528)=5,LEN(L528)-FIND(".",L528,FIND(".",L528)+1)&gt;=1,LEN(L528)-FIND(".",L528,FIND(".",L528)+1)&lt;=2),AND(LEN(L528)-FIND(".",L528,FIND(".",L528)+1)=4,FIND(".",L528)&gt;=2,FIND(".",L528)&lt;=3)),FIND(".",L528,FIND(".",L528)+1)-FIND(".",L528)&gt;=2,FIND(".",L528,FIND(".",L528)+1)-FIND(".",L528)&lt;=3,P528&gt;=2000,P528&lt;=2100,YEAR(S528)=P528,MONTH(S528)=Q528,DAY(S528)=R528),S528,0)),0)</ns0:f>
        <ns0:v>0</ns0:v>
      </ns0:c>
      <ns0:c r="U528" s="0" t="str">
        <ns0:f>IF(Bookings!C528="","Full day",Bookings!C528)</ns0:f>
        <ns0:v>Full day</ns0:v>
      </ns0:c>
      <ns0:c r="V528" s="0" t="str">
        <ns0:f>IF(Bookings!E528="","Full day",Bookings!E528)</ns0:f>
        <ns0:v>Full day</ns0:v>
      </ns0:c>
      <ns0:c r="W528" s="0">
        <ns0:f>IF(J528=0,0,J528+IF(U528="PM",1,0))</ns0:f>
        <ns0:v>0</ns0:v>
      </ns0:c>
      <ns0:c r="X528" s="0">
        <ns0:f>IF(T528=0,0,T528-IF(V528="PM",1,0))</ns0:f>
        <ns0:v>0</ns0:v>
      </ns0:c>
      <ns0:c r="Y528" s="0">
        <ns0:f>IF(J528=0,0,J528+IF(U528="AM",1,0))</ns0:f>
        <ns0:v>0</ns0:v>
      </ns0:c>
      <ns0:c r="Z528" s="0">
        <ns0:f>IF(T528=0,0,T528-IF(V528="AM",1,0))</ns0:f>
        <ns0:v>0</ns0:v>
      </ns0:c>
      <ns0:c r="AA528" s="0">
        <ns0:f>IFERROR(IF(AND(J528&gt;0,'_Engine'!C528&gt;0,MID('_Engine'!W528,WEEKDAY(J528,2),1)="W",COUNTIF(Settings!$F$18:$F$67,J528)=0),1,0),0)</ns0:f>
        <ns0:v>0</ns0:v>
      </ns0:c>
      <ns0:c r="AB528" s="0">
        <ns0:f>IFERROR(IF(AND(T528&gt;0,'_Engine'!C528&gt;0,MID('_Engine'!W528,WEEKDAY(T528,2),1)="W",COUNTIF(Settings!$F$18:$F$67,T528)=0),1,0),0)</ns0:f>
        <ns0:v>0</ns0:v>
      </ns0:c>
      <ns0:c r="AC528" s="0">
        <ns0:f>IF(AND(J528&gt;0,T528&gt;0,W528&lt;=X528),1,0)</ns0:f>
        <ns0:v>0</ns0:v>
      </ns0:c>
      <ns0:c r="AD528" s="0">
        <ns0:f>IF(AND(J528&gt;0,T528&gt;0,Y528&lt;=Z528),1,0)</ns0:f>
        <ns0:v>0</ns0:v>
      </ns0:c>
    </ns0:row>
    <ns0:row r="529">
      <ns0:c r="A529" s="0">
        <ns0:f>IFERROR(IF(ISNUMBER(Bookings!B529),"",TRIM(Bookings!B529&amp;"")),"")</ns0:f>
      </ns0:c>
      <ns0:c r="B529" s="0">
        <ns0:f>IFERROR(SUBSTITUTE(SUBSTITUTE(A529,"/","."),"-","."),"")</ns0:f>
      </ns0:c>
      <ns0:c r="C529" s="0">
        <ns0:f>IFERROR(LEFT(B529,FIND(".",B529)-1),"")</ns0:f>
      </ns0:c>
      <ns0:c r="D529" s="0">
        <ns0:f>IFERROR(MID(B529,FIND(".",B529)+1,FIND(".",B529,FIND(".",B529)+1)-FIND(".",B529)-1),"")</ns0:f>
      </ns0:c>
      <ns0:c r="E529" s="0">
        <ns0:f>IFERROR(MID(B529,FIND(".",B529,FIND(".",B529)+1)+1,99),"")</ns0:f>
        <ns0:v>99</ns0:v>
      </ns0:c>
      <ns0:c r="F529" s="0">
        <ns0:f>IFERROR(IF(FIND(".",B529)=5,--C529,--E529),0)</ns0:f>
        <ns0:v>0</ns0:v>
      </ns0:c>
      <ns0:c r="G529" s="0">
        <ns0:f>IFERROR(--D529,0)</ns0:f>
        <ns0:v>0</ns0:v>
      </ns0:c>
      <ns0:c r="H529" s="0">
        <ns0:f>IFERROR(IF(FIND(".",B529)=5,--E529,--C529),0)</ns0:f>
        <ns0:v>0</ns0:v>
      </ns0:c>
      <ns0:c r="I529" s="0">
        <ns0:f>IFERROR(IF(AND(F529&gt;=2000,F529&lt;=2100,G529&gt;=1,G529&lt;=12,H529&gt;=1,H529&lt;=31),DATE(F529,G529,H529),0),0)</ns0:f>
        <ns0:v>0</ns0:v>
      </ns0:c>
      <ns0:c r="J529" s="0">
        <ns0:f>IFERROR(IF(ISNUMBER(Bookings!B529),IF(AND(Bookings!B529=INT(Bookings!B529),Bookings!B529&gt;=DATE(2000,1,1),Bookings!B529&lt;=DATE(2100,12,31)),Bookings!B529,0),IF(AND(A529&lt;&gt;"",LEN("x"&amp;B529)-LEN(SUBSTITUTE("x"&amp;B529,".",""))=2,OR(1&gt;LEN(B529),MID(B529,1,1)=".",ISNUMBER(FIND("x"&amp;MID(B529,1,1),"x0x1x2x3x4x5x6x7x8x9"))),OR(2&gt;LEN(B529),MID(B529,2,1)=".",ISNUMBER(FIND("x"&amp;MID(B529,2,1),"x0x1x2x3x4x5x6x7x8x9"))),OR(3&gt;LEN(B529),MID(B529,3,1)=".",ISNUMBER(FIND("x"&amp;MID(B529,3,1),"x0x1x2x3x4x5x6x7x8x9"))),OR(4&gt;LEN(B529),MID(B529,4,1)=".",ISNUMBER(FIND("x"&amp;MID(B529,4,1),"x0x1x2x3x4x5x6x7x8x9"))),OR(5&gt;LEN(B529),MID(B529,5,1)=".",ISNUMBER(FIND("x"&amp;MID(B529,5,1),"x0x1x2x3x4x5x6x7x8x9"))),OR(6&gt;LEN(B529),MID(B529,6,1)=".",ISNUMBER(FIND("x"&amp;MID(B529,6,1),"x0x1x2x3x4x5x6x7x8x9"))),OR(7&gt;LEN(B529),MID(B529,7,1)=".",ISNUMBER(FIND("x"&amp;MID(B529,7,1),"x0x1x2x3x4x5x6x7x8x9"))),OR(8&gt;LEN(B529),MID(B529,8,1)=".",ISNUMBER(FIND("x"&amp;MID(B529,8,1),"x0x1x2x3x4x5x6x7x8x9"))),OR(9&gt;LEN(B529),MID(B529,9,1)=".",ISNUMBER(FIND("x"&amp;MID(B529,9,1),"x0x1x2x3x4x5x6x7x8x9"))),OR(10&gt;LEN(B529),MID(B529,10,1)=".",ISNUMBER(FIND("x"&amp;MID(B529,10,1),"x0x1x2x3x4x5x6x7x8x9"))),OR(AND(FIND(".",B529)=5,LEN(B529)-FIND(".",B529,FIND(".",B529)+1)&gt;=1,LEN(B529)-FIND(".",B529,FIND(".",B529)+1)&lt;=2),AND(LEN(B529)-FIND(".",B529,FIND(".",B529)+1)=4,FIND(".",B529)&gt;=2,FIND(".",B529)&lt;=3)),FIND(".",B529,FIND(".",B529)+1)-FIND(".",B529)&gt;=2,FIND(".",B529,FIND(".",B529)+1)-FIND(".",B529)&lt;=3,F529&gt;=2000,F529&lt;=2100,YEAR(I529)=F529,MONTH(I529)=G529,DAY(I529)=H529),I529,0)),0)</ns0:f>
        <ns0:v>0</ns0:v>
      </ns0:c>
      <ns0:c r="K529" s="0">
        <ns0:f>IFERROR(IF(ISNUMBER(Bookings!D529),"",TRIM(Bookings!D529&amp;"")),"")</ns0:f>
      </ns0:c>
      <ns0:c r="L529" s="0">
        <ns0:f>IFERROR(SUBSTITUTE(SUBSTITUTE(K529,"/","."),"-","."),"")</ns0:f>
      </ns0:c>
      <ns0:c r="M529" s="0">
        <ns0:f>IFERROR(LEFT(L529,FIND(".",L529)-1),"")</ns0:f>
      </ns0:c>
      <ns0:c r="N529" s="0">
        <ns0:f>IFERROR(MID(L529,FIND(".",L529)+1,FIND(".",L529,FIND(".",L529)+1)-FIND(".",L529)-1),"")</ns0:f>
      </ns0:c>
      <ns0:c r="O529" s="0">
        <ns0:f>IFERROR(MID(L529,FIND(".",L529,FIND(".",L529)+1)+1,99),"")</ns0:f>
        <ns0:v>99</ns0:v>
      </ns0:c>
      <ns0:c r="P529" s="0">
        <ns0:f>IFERROR(IF(FIND(".",L529)=5,--M529,--O529),0)</ns0:f>
        <ns0:v>0</ns0:v>
      </ns0:c>
      <ns0:c r="Q529" s="0">
        <ns0:f>IFERROR(--N529,0)</ns0:f>
        <ns0:v>0</ns0:v>
      </ns0:c>
      <ns0:c r="R529" s="0">
        <ns0:f>IFERROR(IF(FIND(".",L529)=5,--O529,--M529),0)</ns0:f>
        <ns0:v>0</ns0:v>
      </ns0:c>
      <ns0:c r="S529" s="0">
        <ns0:f>IFERROR(IF(AND(P529&gt;=2000,P529&lt;=2100,Q529&gt;=1,Q529&lt;=12,R529&gt;=1,R529&lt;=31),DATE(P529,Q529,R529),0),0)</ns0:f>
        <ns0:v>0</ns0:v>
      </ns0:c>
      <ns0:c r="T529" s="0">
        <ns0:f>IFERROR(IF(ISNUMBER(Bookings!D529),IF(AND(Bookings!D529=INT(Bookings!D529),Bookings!D529&gt;=DATE(2000,1,1),Bookings!D529&lt;=DATE(2100,12,31)),Bookings!D529,0),IF(AND(K529&lt;&gt;"",LEN("x"&amp;L529)-LEN(SUBSTITUTE("x"&amp;L529,".",""))=2,OR(1&gt;LEN(L529),MID(L529,1,1)=".",ISNUMBER(FIND("x"&amp;MID(L529,1,1),"x0x1x2x3x4x5x6x7x8x9"))),OR(2&gt;LEN(L529),MID(L529,2,1)=".",ISNUMBER(FIND("x"&amp;MID(L529,2,1),"x0x1x2x3x4x5x6x7x8x9"))),OR(3&gt;LEN(L529),MID(L529,3,1)=".",ISNUMBER(FIND("x"&amp;MID(L529,3,1),"x0x1x2x3x4x5x6x7x8x9"))),OR(4&gt;LEN(L529),MID(L529,4,1)=".",ISNUMBER(FIND("x"&amp;MID(L529,4,1),"x0x1x2x3x4x5x6x7x8x9"))),OR(5&gt;LEN(L529),MID(L529,5,1)=".",ISNUMBER(FIND("x"&amp;MID(L529,5,1),"x0x1x2x3x4x5x6x7x8x9"))),OR(6&gt;LEN(L529),MID(L529,6,1)=".",ISNUMBER(FIND("x"&amp;MID(L529,6,1),"x0x1x2x3x4x5x6x7x8x9"))),OR(7&gt;LEN(L529),MID(L529,7,1)=".",ISNUMBER(FIND("x"&amp;MID(L529,7,1),"x0x1x2x3x4x5x6x7x8x9"))),OR(8&gt;LEN(L529),MID(L529,8,1)=".",ISNUMBER(FIND("x"&amp;MID(L529,8,1),"x0x1x2x3x4x5x6x7x8x9"))),OR(9&gt;LEN(L529),MID(L529,9,1)=".",ISNUMBER(FIND("x"&amp;MID(L529,9,1),"x0x1x2x3x4x5x6x7x8x9"))),OR(10&gt;LEN(L529),MID(L529,10,1)=".",ISNUMBER(FIND("x"&amp;MID(L529,10,1),"x0x1x2x3x4x5x6x7x8x9"))),OR(AND(FIND(".",L529)=5,LEN(L529)-FIND(".",L529,FIND(".",L529)+1)&gt;=1,LEN(L529)-FIND(".",L529,FIND(".",L529)+1)&lt;=2),AND(LEN(L529)-FIND(".",L529,FIND(".",L529)+1)=4,FIND(".",L529)&gt;=2,FIND(".",L529)&lt;=3)),FIND(".",L529,FIND(".",L529)+1)-FIND(".",L529)&gt;=2,FIND(".",L529,FIND(".",L529)+1)-FIND(".",L529)&lt;=3,P529&gt;=2000,P529&lt;=2100,YEAR(S529)=P529,MONTH(S529)=Q529,DAY(S529)=R529),S529,0)),0)</ns0:f>
        <ns0:v>0</ns0:v>
      </ns0:c>
      <ns0:c r="U529" s="0" t="str">
        <ns0:f>IF(Bookings!C529="","Full day",Bookings!C529)</ns0:f>
        <ns0:v>Full day</ns0:v>
      </ns0:c>
      <ns0:c r="V529" s="0" t="str">
        <ns0:f>IF(Bookings!E529="","Full day",Bookings!E529)</ns0:f>
        <ns0:v>Full day</ns0:v>
      </ns0:c>
      <ns0:c r="W529" s="0">
        <ns0:f>IF(J529=0,0,J529+IF(U529="PM",1,0))</ns0:f>
        <ns0:v>0</ns0:v>
      </ns0:c>
      <ns0:c r="X529" s="0">
        <ns0:f>IF(T529=0,0,T529-IF(V529="PM",1,0))</ns0:f>
        <ns0:v>0</ns0:v>
      </ns0:c>
      <ns0:c r="Y529" s="0">
        <ns0:f>IF(J529=0,0,J529+IF(U529="AM",1,0))</ns0:f>
        <ns0:v>0</ns0:v>
      </ns0:c>
      <ns0:c r="Z529" s="0">
        <ns0:f>IF(T529=0,0,T529-IF(V529="AM",1,0))</ns0:f>
        <ns0:v>0</ns0:v>
      </ns0:c>
      <ns0:c r="AA529" s="0">
        <ns0:f>IFERROR(IF(AND(J529&gt;0,'_Engine'!C529&gt;0,MID('_Engine'!W529,WEEKDAY(J529,2),1)="W",COUNTIF(Settings!$F$18:$F$67,J529)=0),1,0),0)</ns0:f>
        <ns0:v>0</ns0:v>
      </ns0:c>
      <ns0:c r="AB529" s="0">
        <ns0:f>IFERROR(IF(AND(T529&gt;0,'_Engine'!C529&gt;0,MID('_Engine'!W529,WEEKDAY(T529,2),1)="W",COUNTIF(Settings!$F$18:$F$67,T529)=0),1,0),0)</ns0:f>
        <ns0:v>0</ns0:v>
      </ns0:c>
      <ns0:c r="AC529" s="0">
        <ns0:f>IF(AND(J529&gt;0,T529&gt;0,W529&lt;=X529),1,0)</ns0:f>
        <ns0:v>0</ns0:v>
      </ns0:c>
      <ns0:c r="AD529" s="0">
        <ns0:f>IF(AND(J529&gt;0,T529&gt;0,Y529&lt;=Z529),1,0)</ns0:f>
        <ns0:v>0</ns0:v>
      </ns0:c>
    </ns0:row>
    <ns0:row r="530">
      <ns0:c r="A530" s="0">
        <ns0:f>IFERROR(IF(ISNUMBER(Bookings!B530),"",TRIM(Bookings!B530&amp;"")),"")</ns0:f>
      </ns0:c>
      <ns0:c r="B530" s="0">
        <ns0:f>IFERROR(SUBSTITUTE(SUBSTITUTE(A530,"/","."),"-","."),"")</ns0:f>
      </ns0:c>
      <ns0:c r="C530" s="0">
        <ns0:f>IFERROR(LEFT(B530,FIND(".",B530)-1),"")</ns0:f>
      </ns0:c>
      <ns0:c r="D530" s="0">
        <ns0:f>IFERROR(MID(B530,FIND(".",B530)+1,FIND(".",B530,FIND(".",B530)+1)-FIND(".",B530)-1),"")</ns0:f>
      </ns0:c>
      <ns0:c r="E530" s="0">
        <ns0:f>IFERROR(MID(B530,FIND(".",B530,FIND(".",B530)+1)+1,99),"")</ns0:f>
        <ns0:v>99</ns0:v>
      </ns0:c>
      <ns0:c r="F530" s="0">
        <ns0:f>IFERROR(IF(FIND(".",B530)=5,--C530,--E530),0)</ns0:f>
        <ns0:v>0</ns0:v>
      </ns0:c>
      <ns0:c r="G530" s="0">
        <ns0:f>IFERROR(--D530,0)</ns0:f>
        <ns0:v>0</ns0:v>
      </ns0:c>
      <ns0:c r="H530" s="0">
        <ns0:f>IFERROR(IF(FIND(".",B530)=5,--E530,--C530),0)</ns0:f>
        <ns0:v>0</ns0:v>
      </ns0:c>
      <ns0:c r="I530" s="0">
        <ns0:f>IFERROR(IF(AND(F530&gt;=2000,F530&lt;=2100,G530&gt;=1,G530&lt;=12,H530&gt;=1,H530&lt;=31),DATE(F530,G530,H530),0),0)</ns0:f>
        <ns0:v>0</ns0:v>
      </ns0:c>
      <ns0:c r="J530" s="0">
        <ns0:f>IFERROR(IF(ISNUMBER(Bookings!B530),IF(AND(Bookings!B530=INT(Bookings!B530),Bookings!B530&gt;=DATE(2000,1,1),Bookings!B530&lt;=DATE(2100,12,31)),Bookings!B530,0),IF(AND(A530&lt;&gt;"",LEN("x"&amp;B530)-LEN(SUBSTITUTE("x"&amp;B530,".",""))=2,OR(1&gt;LEN(B530),MID(B530,1,1)=".",ISNUMBER(FIND("x"&amp;MID(B530,1,1),"x0x1x2x3x4x5x6x7x8x9"))),OR(2&gt;LEN(B530),MID(B530,2,1)=".",ISNUMBER(FIND("x"&amp;MID(B530,2,1),"x0x1x2x3x4x5x6x7x8x9"))),OR(3&gt;LEN(B530),MID(B530,3,1)=".",ISNUMBER(FIND("x"&amp;MID(B530,3,1),"x0x1x2x3x4x5x6x7x8x9"))),OR(4&gt;LEN(B530),MID(B530,4,1)=".",ISNUMBER(FIND("x"&amp;MID(B530,4,1),"x0x1x2x3x4x5x6x7x8x9"))),OR(5&gt;LEN(B530),MID(B530,5,1)=".",ISNUMBER(FIND("x"&amp;MID(B530,5,1),"x0x1x2x3x4x5x6x7x8x9"))),OR(6&gt;LEN(B530),MID(B530,6,1)=".",ISNUMBER(FIND("x"&amp;MID(B530,6,1),"x0x1x2x3x4x5x6x7x8x9"))),OR(7&gt;LEN(B530),MID(B530,7,1)=".",ISNUMBER(FIND("x"&amp;MID(B530,7,1),"x0x1x2x3x4x5x6x7x8x9"))),OR(8&gt;LEN(B530),MID(B530,8,1)=".",ISNUMBER(FIND("x"&amp;MID(B530,8,1),"x0x1x2x3x4x5x6x7x8x9"))),OR(9&gt;LEN(B530),MID(B530,9,1)=".",ISNUMBER(FIND("x"&amp;MID(B530,9,1),"x0x1x2x3x4x5x6x7x8x9"))),OR(10&gt;LEN(B530),MID(B530,10,1)=".",ISNUMBER(FIND("x"&amp;MID(B530,10,1),"x0x1x2x3x4x5x6x7x8x9"))),OR(AND(FIND(".",B530)=5,LEN(B530)-FIND(".",B530,FIND(".",B530)+1)&gt;=1,LEN(B530)-FIND(".",B530,FIND(".",B530)+1)&lt;=2),AND(LEN(B530)-FIND(".",B530,FIND(".",B530)+1)=4,FIND(".",B530)&gt;=2,FIND(".",B530)&lt;=3)),FIND(".",B530,FIND(".",B530)+1)-FIND(".",B530)&gt;=2,FIND(".",B530,FIND(".",B530)+1)-FIND(".",B530)&lt;=3,F530&gt;=2000,F530&lt;=2100,YEAR(I530)=F530,MONTH(I530)=G530,DAY(I530)=H530),I530,0)),0)</ns0:f>
        <ns0:v>0</ns0:v>
      </ns0:c>
      <ns0:c r="K530" s="0">
        <ns0:f>IFERROR(IF(ISNUMBER(Bookings!D530),"",TRIM(Bookings!D530&amp;"")),"")</ns0:f>
      </ns0:c>
      <ns0:c r="L530" s="0">
        <ns0:f>IFERROR(SUBSTITUTE(SUBSTITUTE(K530,"/","."),"-","."),"")</ns0:f>
      </ns0:c>
      <ns0:c r="M530" s="0">
        <ns0:f>IFERROR(LEFT(L530,FIND(".",L530)-1),"")</ns0:f>
      </ns0:c>
      <ns0:c r="N530" s="0">
        <ns0:f>IFERROR(MID(L530,FIND(".",L530)+1,FIND(".",L530,FIND(".",L530)+1)-FIND(".",L530)-1),"")</ns0:f>
      </ns0:c>
      <ns0:c r="O530" s="0">
        <ns0:f>IFERROR(MID(L530,FIND(".",L530,FIND(".",L530)+1)+1,99),"")</ns0:f>
        <ns0:v>99</ns0:v>
      </ns0:c>
      <ns0:c r="P530" s="0">
        <ns0:f>IFERROR(IF(FIND(".",L530)=5,--M530,--O530),0)</ns0:f>
        <ns0:v>0</ns0:v>
      </ns0:c>
      <ns0:c r="Q530" s="0">
        <ns0:f>IFERROR(--N530,0)</ns0:f>
        <ns0:v>0</ns0:v>
      </ns0:c>
      <ns0:c r="R530" s="0">
        <ns0:f>IFERROR(IF(FIND(".",L530)=5,--O530,--M530),0)</ns0:f>
        <ns0:v>0</ns0:v>
      </ns0:c>
      <ns0:c r="S530" s="0">
        <ns0:f>IFERROR(IF(AND(P530&gt;=2000,P530&lt;=2100,Q530&gt;=1,Q530&lt;=12,R530&gt;=1,R530&lt;=31),DATE(P530,Q530,R530),0),0)</ns0:f>
        <ns0:v>0</ns0:v>
      </ns0:c>
      <ns0:c r="T530" s="0">
        <ns0:f>IFERROR(IF(ISNUMBER(Bookings!D530),IF(AND(Bookings!D530=INT(Bookings!D530),Bookings!D530&gt;=DATE(2000,1,1),Bookings!D530&lt;=DATE(2100,12,31)),Bookings!D530,0),IF(AND(K530&lt;&gt;"",LEN("x"&amp;L530)-LEN(SUBSTITUTE("x"&amp;L530,".",""))=2,OR(1&gt;LEN(L530),MID(L530,1,1)=".",ISNUMBER(FIND("x"&amp;MID(L530,1,1),"x0x1x2x3x4x5x6x7x8x9"))),OR(2&gt;LEN(L530),MID(L530,2,1)=".",ISNUMBER(FIND("x"&amp;MID(L530,2,1),"x0x1x2x3x4x5x6x7x8x9"))),OR(3&gt;LEN(L530),MID(L530,3,1)=".",ISNUMBER(FIND("x"&amp;MID(L530,3,1),"x0x1x2x3x4x5x6x7x8x9"))),OR(4&gt;LEN(L530),MID(L530,4,1)=".",ISNUMBER(FIND("x"&amp;MID(L530,4,1),"x0x1x2x3x4x5x6x7x8x9"))),OR(5&gt;LEN(L530),MID(L530,5,1)=".",ISNUMBER(FIND("x"&amp;MID(L530,5,1),"x0x1x2x3x4x5x6x7x8x9"))),OR(6&gt;LEN(L530),MID(L530,6,1)=".",ISNUMBER(FIND("x"&amp;MID(L530,6,1),"x0x1x2x3x4x5x6x7x8x9"))),OR(7&gt;LEN(L530),MID(L530,7,1)=".",ISNUMBER(FIND("x"&amp;MID(L530,7,1),"x0x1x2x3x4x5x6x7x8x9"))),OR(8&gt;LEN(L530),MID(L530,8,1)=".",ISNUMBER(FIND("x"&amp;MID(L530,8,1),"x0x1x2x3x4x5x6x7x8x9"))),OR(9&gt;LEN(L530),MID(L530,9,1)=".",ISNUMBER(FIND("x"&amp;MID(L530,9,1),"x0x1x2x3x4x5x6x7x8x9"))),OR(10&gt;LEN(L530),MID(L530,10,1)=".",ISNUMBER(FIND("x"&amp;MID(L530,10,1),"x0x1x2x3x4x5x6x7x8x9"))),OR(AND(FIND(".",L530)=5,LEN(L530)-FIND(".",L530,FIND(".",L530)+1)&gt;=1,LEN(L530)-FIND(".",L530,FIND(".",L530)+1)&lt;=2),AND(LEN(L530)-FIND(".",L530,FIND(".",L530)+1)=4,FIND(".",L530)&gt;=2,FIND(".",L530)&lt;=3)),FIND(".",L530,FIND(".",L530)+1)-FIND(".",L530)&gt;=2,FIND(".",L530,FIND(".",L530)+1)-FIND(".",L530)&lt;=3,P530&gt;=2000,P530&lt;=2100,YEAR(S530)=P530,MONTH(S530)=Q530,DAY(S530)=R530),S530,0)),0)</ns0:f>
        <ns0:v>0</ns0:v>
      </ns0:c>
      <ns0:c r="U530" s="0" t="str">
        <ns0:f>IF(Bookings!C530="","Full day",Bookings!C530)</ns0:f>
        <ns0:v>Full day</ns0:v>
      </ns0:c>
      <ns0:c r="V530" s="0" t="str">
        <ns0:f>IF(Bookings!E530="","Full day",Bookings!E530)</ns0:f>
        <ns0:v>Full day</ns0:v>
      </ns0:c>
      <ns0:c r="W530" s="0">
        <ns0:f>IF(J530=0,0,J530+IF(U530="PM",1,0))</ns0:f>
        <ns0:v>0</ns0:v>
      </ns0:c>
      <ns0:c r="X530" s="0">
        <ns0:f>IF(T530=0,0,T530-IF(V530="PM",1,0))</ns0:f>
        <ns0:v>0</ns0:v>
      </ns0:c>
      <ns0:c r="Y530" s="0">
        <ns0:f>IF(J530=0,0,J530+IF(U530="AM",1,0))</ns0:f>
        <ns0:v>0</ns0:v>
      </ns0:c>
      <ns0:c r="Z530" s="0">
        <ns0:f>IF(T530=0,0,T530-IF(V530="AM",1,0))</ns0:f>
        <ns0:v>0</ns0:v>
      </ns0:c>
      <ns0:c r="AA530" s="0">
        <ns0:f>IFERROR(IF(AND(J530&gt;0,'_Engine'!C530&gt;0,MID('_Engine'!W530,WEEKDAY(J530,2),1)="W",COUNTIF(Settings!$F$18:$F$67,J530)=0),1,0),0)</ns0:f>
        <ns0:v>0</ns0:v>
      </ns0:c>
      <ns0:c r="AB530" s="0">
        <ns0:f>IFERROR(IF(AND(T530&gt;0,'_Engine'!C530&gt;0,MID('_Engine'!W530,WEEKDAY(T530,2),1)="W",COUNTIF(Settings!$F$18:$F$67,T530)=0),1,0),0)</ns0:f>
        <ns0:v>0</ns0:v>
      </ns0:c>
      <ns0:c r="AC530" s="0">
        <ns0:f>IF(AND(J530&gt;0,T530&gt;0,W530&lt;=X530),1,0)</ns0:f>
        <ns0:v>0</ns0:v>
      </ns0:c>
      <ns0:c r="AD530" s="0">
        <ns0:f>IF(AND(J530&gt;0,T530&gt;0,Y530&lt;=Z530),1,0)</ns0:f>
        <ns0:v>0</ns0:v>
      </ns0:c>
    </ns0:row>
    <ns0:row r="531">
      <ns0:c r="A531" s="0">
        <ns0:f>IFERROR(IF(ISNUMBER(Bookings!B531),"",TRIM(Bookings!B531&amp;"")),"")</ns0:f>
      </ns0:c>
      <ns0:c r="B531" s="0">
        <ns0:f>IFERROR(SUBSTITUTE(SUBSTITUTE(A531,"/","."),"-","."),"")</ns0:f>
      </ns0:c>
      <ns0:c r="C531" s="0">
        <ns0:f>IFERROR(LEFT(B531,FIND(".",B531)-1),"")</ns0:f>
      </ns0:c>
      <ns0:c r="D531" s="0">
        <ns0:f>IFERROR(MID(B531,FIND(".",B531)+1,FIND(".",B531,FIND(".",B531)+1)-FIND(".",B531)-1),"")</ns0:f>
      </ns0:c>
      <ns0:c r="E531" s="0">
        <ns0:f>IFERROR(MID(B531,FIND(".",B531,FIND(".",B531)+1)+1,99),"")</ns0:f>
        <ns0:v>99</ns0:v>
      </ns0:c>
      <ns0:c r="F531" s="0">
        <ns0:f>IFERROR(IF(FIND(".",B531)=5,--C531,--E531),0)</ns0:f>
        <ns0:v>0</ns0:v>
      </ns0:c>
      <ns0:c r="G531" s="0">
        <ns0:f>IFERROR(--D531,0)</ns0:f>
        <ns0:v>0</ns0:v>
      </ns0:c>
      <ns0:c r="H531" s="0">
        <ns0:f>IFERROR(IF(FIND(".",B531)=5,--E531,--C531),0)</ns0:f>
        <ns0:v>0</ns0:v>
      </ns0:c>
      <ns0:c r="I531" s="0">
        <ns0:f>IFERROR(IF(AND(F531&gt;=2000,F531&lt;=2100,G531&gt;=1,G531&lt;=12,H531&gt;=1,H531&lt;=31),DATE(F531,G531,H531),0),0)</ns0:f>
        <ns0:v>0</ns0:v>
      </ns0:c>
      <ns0:c r="J531" s="0">
        <ns0:f>IFERROR(IF(ISNUMBER(Bookings!B531),IF(AND(Bookings!B531=INT(Bookings!B531),Bookings!B531&gt;=DATE(2000,1,1),Bookings!B531&lt;=DATE(2100,12,31)),Bookings!B531,0),IF(AND(A531&lt;&gt;"",LEN("x"&amp;B531)-LEN(SUBSTITUTE("x"&amp;B531,".",""))=2,OR(1&gt;LEN(B531),MID(B531,1,1)=".",ISNUMBER(FIND("x"&amp;MID(B531,1,1),"x0x1x2x3x4x5x6x7x8x9"))),OR(2&gt;LEN(B531),MID(B531,2,1)=".",ISNUMBER(FIND("x"&amp;MID(B531,2,1),"x0x1x2x3x4x5x6x7x8x9"))),OR(3&gt;LEN(B531),MID(B531,3,1)=".",ISNUMBER(FIND("x"&amp;MID(B531,3,1),"x0x1x2x3x4x5x6x7x8x9"))),OR(4&gt;LEN(B531),MID(B531,4,1)=".",ISNUMBER(FIND("x"&amp;MID(B531,4,1),"x0x1x2x3x4x5x6x7x8x9"))),OR(5&gt;LEN(B531),MID(B531,5,1)=".",ISNUMBER(FIND("x"&amp;MID(B531,5,1),"x0x1x2x3x4x5x6x7x8x9"))),OR(6&gt;LEN(B531),MID(B531,6,1)=".",ISNUMBER(FIND("x"&amp;MID(B531,6,1),"x0x1x2x3x4x5x6x7x8x9"))),OR(7&gt;LEN(B531),MID(B531,7,1)=".",ISNUMBER(FIND("x"&amp;MID(B531,7,1),"x0x1x2x3x4x5x6x7x8x9"))),OR(8&gt;LEN(B531),MID(B531,8,1)=".",ISNUMBER(FIND("x"&amp;MID(B531,8,1),"x0x1x2x3x4x5x6x7x8x9"))),OR(9&gt;LEN(B531),MID(B531,9,1)=".",ISNUMBER(FIND("x"&amp;MID(B531,9,1),"x0x1x2x3x4x5x6x7x8x9"))),OR(10&gt;LEN(B531),MID(B531,10,1)=".",ISNUMBER(FIND("x"&amp;MID(B531,10,1),"x0x1x2x3x4x5x6x7x8x9"))),OR(AND(FIND(".",B531)=5,LEN(B531)-FIND(".",B531,FIND(".",B531)+1)&gt;=1,LEN(B531)-FIND(".",B531,FIND(".",B531)+1)&lt;=2),AND(LEN(B531)-FIND(".",B531,FIND(".",B531)+1)=4,FIND(".",B531)&gt;=2,FIND(".",B531)&lt;=3)),FIND(".",B531,FIND(".",B531)+1)-FIND(".",B531)&gt;=2,FIND(".",B531,FIND(".",B531)+1)-FIND(".",B531)&lt;=3,F531&gt;=2000,F531&lt;=2100,YEAR(I531)=F531,MONTH(I531)=G531,DAY(I531)=H531),I531,0)),0)</ns0:f>
        <ns0:v>0</ns0:v>
      </ns0:c>
      <ns0:c r="K531" s="0">
        <ns0:f>IFERROR(IF(ISNUMBER(Bookings!D531),"",TRIM(Bookings!D531&amp;"")),"")</ns0:f>
      </ns0:c>
      <ns0:c r="L531" s="0">
        <ns0:f>IFERROR(SUBSTITUTE(SUBSTITUTE(K531,"/","."),"-","."),"")</ns0:f>
      </ns0:c>
      <ns0:c r="M531" s="0">
        <ns0:f>IFERROR(LEFT(L531,FIND(".",L531)-1),"")</ns0:f>
      </ns0:c>
      <ns0:c r="N531" s="0">
        <ns0:f>IFERROR(MID(L531,FIND(".",L531)+1,FIND(".",L531,FIND(".",L531)+1)-FIND(".",L531)-1),"")</ns0:f>
      </ns0:c>
      <ns0:c r="O531" s="0">
        <ns0:f>IFERROR(MID(L531,FIND(".",L531,FIND(".",L531)+1)+1,99),"")</ns0:f>
        <ns0:v>99</ns0:v>
      </ns0:c>
      <ns0:c r="P531" s="0">
        <ns0:f>IFERROR(IF(FIND(".",L531)=5,--M531,--O531),0)</ns0:f>
        <ns0:v>0</ns0:v>
      </ns0:c>
      <ns0:c r="Q531" s="0">
        <ns0:f>IFERROR(--N531,0)</ns0:f>
        <ns0:v>0</ns0:v>
      </ns0:c>
      <ns0:c r="R531" s="0">
        <ns0:f>IFERROR(IF(FIND(".",L531)=5,--O531,--M531),0)</ns0:f>
        <ns0:v>0</ns0:v>
      </ns0:c>
      <ns0:c r="S531" s="0">
        <ns0:f>IFERROR(IF(AND(P531&gt;=2000,P531&lt;=2100,Q531&gt;=1,Q531&lt;=12,R531&gt;=1,R531&lt;=31),DATE(P531,Q531,R531),0),0)</ns0:f>
        <ns0:v>0</ns0:v>
      </ns0:c>
      <ns0:c r="T531" s="0">
        <ns0:f>IFERROR(IF(ISNUMBER(Bookings!D531),IF(AND(Bookings!D531=INT(Bookings!D531),Bookings!D531&gt;=DATE(2000,1,1),Bookings!D531&lt;=DATE(2100,12,31)),Bookings!D531,0),IF(AND(K531&lt;&gt;"",LEN("x"&amp;L531)-LEN(SUBSTITUTE("x"&amp;L531,".",""))=2,OR(1&gt;LEN(L531),MID(L531,1,1)=".",ISNUMBER(FIND("x"&amp;MID(L531,1,1),"x0x1x2x3x4x5x6x7x8x9"))),OR(2&gt;LEN(L531),MID(L531,2,1)=".",ISNUMBER(FIND("x"&amp;MID(L531,2,1),"x0x1x2x3x4x5x6x7x8x9"))),OR(3&gt;LEN(L531),MID(L531,3,1)=".",ISNUMBER(FIND("x"&amp;MID(L531,3,1),"x0x1x2x3x4x5x6x7x8x9"))),OR(4&gt;LEN(L531),MID(L531,4,1)=".",ISNUMBER(FIND("x"&amp;MID(L531,4,1),"x0x1x2x3x4x5x6x7x8x9"))),OR(5&gt;LEN(L531),MID(L531,5,1)=".",ISNUMBER(FIND("x"&amp;MID(L531,5,1),"x0x1x2x3x4x5x6x7x8x9"))),OR(6&gt;LEN(L531),MID(L531,6,1)=".",ISNUMBER(FIND("x"&amp;MID(L531,6,1),"x0x1x2x3x4x5x6x7x8x9"))),OR(7&gt;LEN(L531),MID(L531,7,1)=".",ISNUMBER(FIND("x"&amp;MID(L531,7,1),"x0x1x2x3x4x5x6x7x8x9"))),OR(8&gt;LEN(L531),MID(L531,8,1)=".",ISNUMBER(FIND("x"&amp;MID(L531,8,1),"x0x1x2x3x4x5x6x7x8x9"))),OR(9&gt;LEN(L531),MID(L531,9,1)=".",ISNUMBER(FIND("x"&amp;MID(L531,9,1),"x0x1x2x3x4x5x6x7x8x9"))),OR(10&gt;LEN(L531),MID(L531,10,1)=".",ISNUMBER(FIND("x"&amp;MID(L531,10,1),"x0x1x2x3x4x5x6x7x8x9"))),OR(AND(FIND(".",L531)=5,LEN(L531)-FIND(".",L531,FIND(".",L531)+1)&gt;=1,LEN(L531)-FIND(".",L531,FIND(".",L531)+1)&lt;=2),AND(LEN(L531)-FIND(".",L531,FIND(".",L531)+1)=4,FIND(".",L531)&gt;=2,FIND(".",L531)&lt;=3)),FIND(".",L531,FIND(".",L531)+1)-FIND(".",L531)&gt;=2,FIND(".",L531,FIND(".",L531)+1)-FIND(".",L531)&lt;=3,P531&gt;=2000,P531&lt;=2100,YEAR(S531)=P531,MONTH(S531)=Q531,DAY(S531)=R531),S531,0)),0)</ns0:f>
        <ns0:v>0</ns0:v>
      </ns0:c>
      <ns0:c r="U531" s="0" t="str">
        <ns0:f>IF(Bookings!C531="","Full day",Bookings!C531)</ns0:f>
        <ns0:v>Full day</ns0:v>
      </ns0:c>
      <ns0:c r="V531" s="0" t="str">
        <ns0:f>IF(Bookings!E531="","Full day",Bookings!E531)</ns0:f>
        <ns0:v>Full day</ns0:v>
      </ns0:c>
      <ns0:c r="W531" s="0">
        <ns0:f>IF(J531=0,0,J531+IF(U531="PM",1,0))</ns0:f>
        <ns0:v>0</ns0:v>
      </ns0:c>
      <ns0:c r="X531" s="0">
        <ns0:f>IF(T531=0,0,T531-IF(V531="PM",1,0))</ns0:f>
        <ns0:v>0</ns0:v>
      </ns0:c>
      <ns0:c r="Y531" s="0">
        <ns0:f>IF(J531=0,0,J531+IF(U531="AM",1,0))</ns0:f>
        <ns0:v>0</ns0:v>
      </ns0:c>
      <ns0:c r="Z531" s="0">
        <ns0:f>IF(T531=0,0,T531-IF(V531="AM",1,0))</ns0:f>
        <ns0:v>0</ns0:v>
      </ns0:c>
      <ns0:c r="AA531" s="0">
        <ns0:f>IFERROR(IF(AND(J531&gt;0,'_Engine'!C531&gt;0,MID('_Engine'!W531,WEEKDAY(J531,2),1)="W",COUNTIF(Settings!$F$18:$F$67,J531)=0),1,0),0)</ns0:f>
        <ns0:v>0</ns0:v>
      </ns0:c>
      <ns0:c r="AB531" s="0">
        <ns0:f>IFERROR(IF(AND(T531&gt;0,'_Engine'!C531&gt;0,MID('_Engine'!W531,WEEKDAY(T531,2),1)="W",COUNTIF(Settings!$F$18:$F$67,T531)=0),1,0),0)</ns0:f>
        <ns0:v>0</ns0:v>
      </ns0:c>
      <ns0:c r="AC531" s="0">
        <ns0:f>IF(AND(J531&gt;0,T531&gt;0,W531&lt;=X531),1,0)</ns0:f>
        <ns0:v>0</ns0:v>
      </ns0:c>
      <ns0:c r="AD531" s="0">
        <ns0:f>IF(AND(J531&gt;0,T531&gt;0,Y531&lt;=Z531),1,0)</ns0:f>
        <ns0:v>0</ns0:v>
      </ns0:c>
    </ns0:row>
    <ns0:row r="532">
      <ns0:c r="A532" s="0">
        <ns0:f>IFERROR(IF(ISNUMBER(Bookings!B532),"",TRIM(Bookings!B532&amp;"")),"")</ns0:f>
      </ns0:c>
      <ns0:c r="B532" s="0">
        <ns0:f>IFERROR(SUBSTITUTE(SUBSTITUTE(A532,"/","."),"-","."),"")</ns0:f>
      </ns0:c>
      <ns0:c r="C532" s="0">
        <ns0:f>IFERROR(LEFT(B532,FIND(".",B532)-1),"")</ns0:f>
      </ns0:c>
      <ns0:c r="D532" s="0">
        <ns0:f>IFERROR(MID(B532,FIND(".",B532)+1,FIND(".",B532,FIND(".",B532)+1)-FIND(".",B532)-1),"")</ns0:f>
      </ns0:c>
      <ns0:c r="E532" s="0">
        <ns0:f>IFERROR(MID(B532,FIND(".",B532,FIND(".",B532)+1)+1,99),"")</ns0:f>
        <ns0:v>99</ns0:v>
      </ns0:c>
      <ns0:c r="F532" s="0">
        <ns0:f>IFERROR(IF(FIND(".",B532)=5,--C532,--E532),0)</ns0:f>
        <ns0:v>0</ns0:v>
      </ns0:c>
      <ns0:c r="G532" s="0">
        <ns0:f>IFERROR(--D532,0)</ns0:f>
        <ns0:v>0</ns0:v>
      </ns0:c>
      <ns0:c r="H532" s="0">
        <ns0:f>IFERROR(IF(FIND(".",B532)=5,--E532,--C532),0)</ns0:f>
        <ns0:v>0</ns0:v>
      </ns0:c>
      <ns0:c r="I532" s="0">
        <ns0:f>IFERROR(IF(AND(F532&gt;=2000,F532&lt;=2100,G532&gt;=1,G532&lt;=12,H532&gt;=1,H532&lt;=31),DATE(F532,G532,H532),0),0)</ns0:f>
        <ns0:v>0</ns0:v>
      </ns0:c>
      <ns0:c r="J532" s="0">
        <ns0:f>IFERROR(IF(ISNUMBER(Bookings!B532),IF(AND(Bookings!B532=INT(Bookings!B532),Bookings!B532&gt;=DATE(2000,1,1),Bookings!B532&lt;=DATE(2100,12,31)),Bookings!B532,0),IF(AND(A532&lt;&gt;"",LEN("x"&amp;B532)-LEN(SUBSTITUTE("x"&amp;B532,".",""))=2,OR(1&gt;LEN(B532),MID(B532,1,1)=".",ISNUMBER(FIND("x"&amp;MID(B532,1,1),"x0x1x2x3x4x5x6x7x8x9"))),OR(2&gt;LEN(B532),MID(B532,2,1)=".",ISNUMBER(FIND("x"&amp;MID(B532,2,1),"x0x1x2x3x4x5x6x7x8x9"))),OR(3&gt;LEN(B532),MID(B532,3,1)=".",ISNUMBER(FIND("x"&amp;MID(B532,3,1),"x0x1x2x3x4x5x6x7x8x9"))),OR(4&gt;LEN(B532),MID(B532,4,1)=".",ISNUMBER(FIND("x"&amp;MID(B532,4,1),"x0x1x2x3x4x5x6x7x8x9"))),OR(5&gt;LEN(B532),MID(B532,5,1)=".",ISNUMBER(FIND("x"&amp;MID(B532,5,1),"x0x1x2x3x4x5x6x7x8x9"))),OR(6&gt;LEN(B532),MID(B532,6,1)=".",ISNUMBER(FIND("x"&amp;MID(B532,6,1),"x0x1x2x3x4x5x6x7x8x9"))),OR(7&gt;LEN(B532),MID(B532,7,1)=".",ISNUMBER(FIND("x"&amp;MID(B532,7,1),"x0x1x2x3x4x5x6x7x8x9"))),OR(8&gt;LEN(B532),MID(B532,8,1)=".",ISNUMBER(FIND("x"&amp;MID(B532,8,1),"x0x1x2x3x4x5x6x7x8x9"))),OR(9&gt;LEN(B532),MID(B532,9,1)=".",ISNUMBER(FIND("x"&amp;MID(B532,9,1),"x0x1x2x3x4x5x6x7x8x9"))),OR(10&gt;LEN(B532),MID(B532,10,1)=".",ISNUMBER(FIND("x"&amp;MID(B532,10,1),"x0x1x2x3x4x5x6x7x8x9"))),OR(AND(FIND(".",B532)=5,LEN(B532)-FIND(".",B532,FIND(".",B532)+1)&gt;=1,LEN(B532)-FIND(".",B532,FIND(".",B532)+1)&lt;=2),AND(LEN(B532)-FIND(".",B532,FIND(".",B532)+1)=4,FIND(".",B532)&gt;=2,FIND(".",B532)&lt;=3)),FIND(".",B532,FIND(".",B532)+1)-FIND(".",B532)&gt;=2,FIND(".",B532,FIND(".",B532)+1)-FIND(".",B532)&lt;=3,F532&gt;=2000,F532&lt;=2100,YEAR(I532)=F532,MONTH(I532)=G532,DAY(I532)=H532),I532,0)),0)</ns0:f>
        <ns0:v>0</ns0:v>
      </ns0:c>
      <ns0:c r="K532" s="0">
        <ns0:f>IFERROR(IF(ISNUMBER(Bookings!D532),"",TRIM(Bookings!D532&amp;"")),"")</ns0:f>
      </ns0:c>
      <ns0:c r="L532" s="0">
        <ns0:f>IFERROR(SUBSTITUTE(SUBSTITUTE(K532,"/","."),"-","."),"")</ns0:f>
      </ns0:c>
      <ns0:c r="M532" s="0">
        <ns0:f>IFERROR(LEFT(L532,FIND(".",L532)-1),"")</ns0:f>
      </ns0:c>
      <ns0:c r="N532" s="0">
        <ns0:f>IFERROR(MID(L532,FIND(".",L532)+1,FIND(".",L532,FIND(".",L532)+1)-FIND(".",L532)-1),"")</ns0:f>
      </ns0:c>
      <ns0:c r="O532" s="0">
        <ns0:f>IFERROR(MID(L532,FIND(".",L532,FIND(".",L532)+1)+1,99),"")</ns0:f>
        <ns0:v>99</ns0:v>
      </ns0:c>
      <ns0:c r="P532" s="0">
        <ns0:f>IFERROR(IF(FIND(".",L532)=5,--M532,--O532),0)</ns0:f>
        <ns0:v>0</ns0:v>
      </ns0:c>
      <ns0:c r="Q532" s="0">
        <ns0:f>IFERROR(--N532,0)</ns0:f>
        <ns0:v>0</ns0:v>
      </ns0:c>
      <ns0:c r="R532" s="0">
        <ns0:f>IFERROR(IF(FIND(".",L532)=5,--O532,--M532),0)</ns0:f>
        <ns0:v>0</ns0:v>
      </ns0:c>
      <ns0:c r="S532" s="0">
        <ns0:f>IFERROR(IF(AND(P532&gt;=2000,P532&lt;=2100,Q532&gt;=1,Q532&lt;=12,R532&gt;=1,R532&lt;=31),DATE(P532,Q532,R532),0),0)</ns0:f>
        <ns0:v>0</ns0:v>
      </ns0:c>
      <ns0:c r="T532" s="0">
        <ns0:f>IFERROR(IF(ISNUMBER(Bookings!D532),IF(AND(Bookings!D532=INT(Bookings!D532),Bookings!D532&gt;=DATE(2000,1,1),Bookings!D532&lt;=DATE(2100,12,31)),Bookings!D532,0),IF(AND(K532&lt;&gt;"",LEN("x"&amp;L532)-LEN(SUBSTITUTE("x"&amp;L532,".",""))=2,OR(1&gt;LEN(L532),MID(L532,1,1)=".",ISNUMBER(FIND("x"&amp;MID(L532,1,1),"x0x1x2x3x4x5x6x7x8x9"))),OR(2&gt;LEN(L532),MID(L532,2,1)=".",ISNUMBER(FIND("x"&amp;MID(L532,2,1),"x0x1x2x3x4x5x6x7x8x9"))),OR(3&gt;LEN(L532),MID(L532,3,1)=".",ISNUMBER(FIND("x"&amp;MID(L532,3,1),"x0x1x2x3x4x5x6x7x8x9"))),OR(4&gt;LEN(L532),MID(L532,4,1)=".",ISNUMBER(FIND("x"&amp;MID(L532,4,1),"x0x1x2x3x4x5x6x7x8x9"))),OR(5&gt;LEN(L532),MID(L532,5,1)=".",ISNUMBER(FIND("x"&amp;MID(L532,5,1),"x0x1x2x3x4x5x6x7x8x9"))),OR(6&gt;LEN(L532),MID(L532,6,1)=".",ISNUMBER(FIND("x"&amp;MID(L532,6,1),"x0x1x2x3x4x5x6x7x8x9"))),OR(7&gt;LEN(L532),MID(L532,7,1)=".",ISNUMBER(FIND("x"&amp;MID(L532,7,1),"x0x1x2x3x4x5x6x7x8x9"))),OR(8&gt;LEN(L532),MID(L532,8,1)=".",ISNUMBER(FIND("x"&amp;MID(L532,8,1),"x0x1x2x3x4x5x6x7x8x9"))),OR(9&gt;LEN(L532),MID(L532,9,1)=".",ISNUMBER(FIND("x"&amp;MID(L532,9,1),"x0x1x2x3x4x5x6x7x8x9"))),OR(10&gt;LEN(L532),MID(L532,10,1)=".",ISNUMBER(FIND("x"&amp;MID(L532,10,1),"x0x1x2x3x4x5x6x7x8x9"))),OR(AND(FIND(".",L532)=5,LEN(L532)-FIND(".",L532,FIND(".",L532)+1)&gt;=1,LEN(L532)-FIND(".",L532,FIND(".",L532)+1)&lt;=2),AND(LEN(L532)-FIND(".",L532,FIND(".",L532)+1)=4,FIND(".",L532)&gt;=2,FIND(".",L532)&lt;=3)),FIND(".",L532,FIND(".",L532)+1)-FIND(".",L532)&gt;=2,FIND(".",L532,FIND(".",L532)+1)-FIND(".",L532)&lt;=3,P532&gt;=2000,P532&lt;=2100,YEAR(S532)=P532,MONTH(S532)=Q532,DAY(S532)=R532),S532,0)),0)</ns0:f>
        <ns0:v>0</ns0:v>
      </ns0:c>
      <ns0:c r="U532" s="0" t="str">
        <ns0:f>IF(Bookings!C532="","Full day",Bookings!C532)</ns0:f>
        <ns0:v>Full day</ns0:v>
      </ns0:c>
      <ns0:c r="V532" s="0" t="str">
        <ns0:f>IF(Bookings!E532="","Full day",Bookings!E532)</ns0:f>
        <ns0:v>Full day</ns0:v>
      </ns0:c>
      <ns0:c r="W532" s="0">
        <ns0:f>IF(J532=0,0,J532+IF(U532="PM",1,0))</ns0:f>
        <ns0:v>0</ns0:v>
      </ns0:c>
      <ns0:c r="X532" s="0">
        <ns0:f>IF(T532=0,0,T532-IF(V532="PM",1,0))</ns0:f>
        <ns0:v>0</ns0:v>
      </ns0:c>
      <ns0:c r="Y532" s="0">
        <ns0:f>IF(J532=0,0,J532+IF(U532="AM",1,0))</ns0:f>
        <ns0:v>0</ns0:v>
      </ns0:c>
      <ns0:c r="Z532" s="0">
        <ns0:f>IF(T532=0,0,T532-IF(V532="AM",1,0))</ns0:f>
        <ns0:v>0</ns0:v>
      </ns0:c>
      <ns0:c r="AA532" s="0">
        <ns0:f>IFERROR(IF(AND(J532&gt;0,'_Engine'!C532&gt;0,MID('_Engine'!W532,WEEKDAY(J532,2),1)="W",COUNTIF(Settings!$F$18:$F$67,J532)=0),1,0),0)</ns0:f>
        <ns0:v>0</ns0:v>
      </ns0:c>
      <ns0:c r="AB532" s="0">
        <ns0:f>IFERROR(IF(AND(T532&gt;0,'_Engine'!C532&gt;0,MID('_Engine'!W532,WEEKDAY(T532,2),1)="W",COUNTIF(Settings!$F$18:$F$67,T532)=0),1,0),0)</ns0:f>
        <ns0:v>0</ns0:v>
      </ns0:c>
      <ns0:c r="AC532" s="0">
        <ns0:f>IF(AND(J532&gt;0,T532&gt;0,W532&lt;=X532),1,0)</ns0:f>
        <ns0:v>0</ns0:v>
      </ns0:c>
      <ns0:c r="AD532" s="0">
        <ns0:f>IF(AND(J532&gt;0,T532&gt;0,Y532&lt;=Z532),1,0)</ns0:f>
        <ns0:v>0</ns0:v>
      </ns0:c>
    </ns0:row>
    <ns0:row r="533">
      <ns0:c r="A533" s="0">
        <ns0:f>IFERROR(IF(ISNUMBER(Bookings!B533),"",TRIM(Bookings!B533&amp;"")),"")</ns0:f>
      </ns0:c>
      <ns0:c r="B533" s="0">
        <ns0:f>IFERROR(SUBSTITUTE(SUBSTITUTE(A533,"/","."),"-","."),"")</ns0:f>
      </ns0:c>
      <ns0:c r="C533" s="0">
        <ns0:f>IFERROR(LEFT(B533,FIND(".",B533)-1),"")</ns0:f>
      </ns0:c>
      <ns0:c r="D533" s="0">
        <ns0:f>IFERROR(MID(B533,FIND(".",B533)+1,FIND(".",B533,FIND(".",B533)+1)-FIND(".",B533)-1),"")</ns0:f>
      </ns0:c>
      <ns0:c r="E533" s="0">
        <ns0:f>IFERROR(MID(B533,FIND(".",B533,FIND(".",B533)+1)+1,99),"")</ns0:f>
        <ns0:v>99</ns0:v>
      </ns0:c>
      <ns0:c r="F533" s="0">
        <ns0:f>IFERROR(IF(FIND(".",B533)=5,--C533,--E533),0)</ns0:f>
        <ns0:v>0</ns0:v>
      </ns0:c>
      <ns0:c r="G533" s="0">
        <ns0:f>IFERROR(--D533,0)</ns0:f>
        <ns0:v>0</ns0:v>
      </ns0:c>
      <ns0:c r="H533" s="0">
        <ns0:f>IFERROR(IF(FIND(".",B533)=5,--E533,--C533),0)</ns0:f>
        <ns0:v>0</ns0:v>
      </ns0:c>
      <ns0:c r="I533" s="0">
        <ns0:f>IFERROR(IF(AND(F533&gt;=2000,F533&lt;=2100,G533&gt;=1,G533&lt;=12,H533&gt;=1,H533&lt;=31),DATE(F533,G533,H533),0),0)</ns0:f>
        <ns0:v>0</ns0:v>
      </ns0:c>
      <ns0:c r="J533" s="0">
        <ns0:f>IFERROR(IF(ISNUMBER(Bookings!B533),IF(AND(Bookings!B533=INT(Bookings!B533),Bookings!B533&gt;=DATE(2000,1,1),Bookings!B533&lt;=DATE(2100,12,31)),Bookings!B533,0),IF(AND(A533&lt;&gt;"",LEN("x"&amp;B533)-LEN(SUBSTITUTE("x"&amp;B533,".",""))=2,OR(1&gt;LEN(B533),MID(B533,1,1)=".",ISNUMBER(FIND("x"&amp;MID(B533,1,1),"x0x1x2x3x4x5x6x7x8x9"))),OR(2&gt;LEN(B533),MID(B533,2,1)=".",ISNUMBER(FIND("x"&amp;MID(B533,2,1),"x0x1x2x3x4x5x6x7x8x9"))),OR(3&gt;LEN(B533),MID(B533,3,1)=".",ISNUMBER(FIND("x"&amp;MID(B533,3,1),"x0x1x2x3x4x5x6x7x8x9"))),OR(4&gt;LEN(B533),MID(B533,4,1)=".",ISNUMBER(FIND("x"&amp;MID(B533,4,1),"x0x1x2x3x4x5x6x7x8x9"))),OR(5&gt;LEN(B533),MID(B533,5,1)=".",ISNUMBER(FIND("x"&amp;MID(B533,5,1),"x0x1x2x3x4x5x6x7x8x9"))),OR(6&gt;LEN(B533),MID(B533,6,1)=".",ISNUMBER(FIND("x"&amp;MID(B533,6,1),"x0x1x2x3x4x5x6x7x8x9"))),OR(7&gt;LEN(B533),MID(B533,7,1)=".",ISNUMBER(FIND("x"&amp;MID(B533,7,1),"x0x1x2x3x4x5x6x7x8x9"))),OR(8&gt;LEN(B533),MID(B533,8,1)=".",ISNUMBER(FIND("x"&amp;MID(B533,8,1),"x0x1x2x3x4x5x6x7x8x9"))),OR(9&gt;LEN(B533),MID(B533,9,1)=".",ISNUMBER(FIND("x"&amp;MID(B533,9,1),"x0x1x2x3x4x5x6x7x8x9"))),OR(10&gt;LEN(B533),MID(B533,10,1)=".",ISNUMBER(FIND("x"&amp;MID(B533,10,1),"x0x1x2x3x4x5x6x7x8x9"))),OR(AND(FIND(".",B533)=5,LEN(B533)-FIND(".",B533,FIND(".",B533)+1)&gt;=1,LEN(B533)-FIND(".",B533,FIND(".",B533)+1)&lt;=2),AND(LEN(B533)-FIND(".",B533,FIND(".",B533)+1)=4,FIND(".",B533)&gt;=2,FIND(".",B533)&lt;=3)),FIND(".",B533,FIND(".",B533)+1)-FIND(".",B533)&gt;=2,FIND(".",B533,FIND(".",B533)+1)-FIND(".",B533)&lt;=3,F533&gt;=2000,F533&lt;=2100,YEAR(I533)=F533,MONTH(I533)=G533,DAY(I533)=H533),I533,0)),0)</ns0:f>
        <ns0:v>0</ns0:v>
      </ns0:c>
      <ns0:c r="K533" s="0">
        <ns0:f>IFERROR(IF(ISNUMBER(Bookings!D533),"",TRIM(Bookings!D533&amp;"")),"")</ns0:f>
      </ns0:c>
      <ns0:c r="L533" s="0">
        <ns0:f>IFERROR(SUBSTITUTE(SUBSTITUTE(K533,"/","."),"-","."),"")</ns0:f>
      </ns0:c>
      <ns0:c r="M533" s="0">
        <ns0:f>IFERROR(LEFT(L533,FIND(".",L533)-1),"")</ns0:f>
      </ns0:c>
      <ns0:c r="N533" s="0">
        <ns0:f>IFERROR(MID(L533,FIND(".",L533)+1,FIND(".",L533,FIND(".",L533)+1)-FIND(".",L533)-1),"")</ns0:f>
      </ns0:c>
      <ns0:c r="O533" s="0">
        <ns0:f>IFERROR(MID(L533,FIND(".",L533,FIND(".",L533)+1)+1,99),"")</ns0:f>
        <ns0:v>99</ns0:v>
      </ns0:c>
      <ns0:c r="P533" s="0">
        <ns0:f>IFERROR(IF(FIND(".",L533)=5,--M533,--O533),0)</ns0:f>
        <ns0:v>0</ns0:v>
      </ns0:c>
      <ns0:c r="Q533" s="0">
        <ns0:f>IFERROR(--N533,0)</ns0:f>
        <ns0:v>0</ns0:v>
      </ns0:c>
      <ns0:c r="R533" s="0">
        <ns0:f>IFERROR(IF(FIND(".",L533)=5,--O533,--M533),0)</ns0:f>
        <ns0:v>0</ns0:v>
      </ns0:c>
      <ns0:c r="S533" s="0">
        <ns0:f>IFERROR(IF(AND(P533&gt;=2000,P533&lt;=2100,Q533&gt;=1,Q533&lt;=12,R533&gt;=1,R533&lt;=31),DATE(P533,Q533,R533),0),0)</ns0:f>
        <ns0:v>0</ns0:v>
      </ns0:c>
      <ns0:c r="T533" s="0">
        <ns0:f>IFERROR(IF(ISNUMBER(Bookings!D533),IF(AND(Bookings!D533=INT(Bookings!D533),Bookings!D533&gt;=DATE(2000,1,1),Bookings!D533&lt;=DATE(2100,12,31)),Bookings!D533,0),IF(AND(K533&lt;&gt;"",LEN("x"&amp;L533)-LEN(SUBSTITUTE("x"&amp;L533,".",""))=2,OR(1&gt;LEN(L533),MID(L533,1,1)=".",ISNUMBER(FIND("x"&amp;MID(L533,1,1),"x0x1x2x3x4x5x6x7x8x9"))),OR(2&gt;LEN(L533),MID(L533,2,1)=".",ISNUMBER(FIND("x"&amp;MID(L533,2,1),"x0x1x2x3x4x5x6x7x8x9"))),OR(3&gt;LEN(L533),MID(L533,3,1)=".",ISNUMBER(FIND("x"&amp;MID(L533,3,1),"x0x1x2x3x4x5x6x7x8x9"))),OR(4&gt;LEN(L533),MID(L533,4,1)=".",ISNUMBER(FIND("x"&amp;MID(L533,4,1),"x0x1x2x3x4x5x6x7x8x9"))),OR(5&gt;LEN(L533),MID(L533,5,1)=".",ISNUMBER(FIND("x"&amp;MID(L533,5,1),"x0x1x2x3x4x5x6x7x8x9"))),OR(6&gt;LEN(L533),MID(L533,6,1)=".",ISNUMBER(FIND("x"&amp;MID(L533,6,1),"x0x1x2x3x4x5x6x7x8x9"))),OR(7&gt;LEN(L533),MID(L533,7,1)=".",ISNUMBER(FIND("x"&amp;MID(L533,7,1),"x0x1x2x3x4x5x6x7x8x9"))),OR(8&gt;LEN(L533),MID(L533,8,1)=".",ISNUMBER(FIND("x"&amp;MID(L533,8,1),"x0x1x2x3x4x5x6x7x8x9"))),OR(9&gt;LEN(L533),MID(L533,9,1)=".",ISNUMBER(FIND("x"&amp;MID(L533,9,1),"x0x1x2x3x4x5x6x7x8x9"))),OR(10&gt;LEN(L533),MID(L533,10,1)=".",ISNUMBER(FIND("x"&amp;MID(L533,10,1),"x0x1x2x3x4x5x6x7x8x9"))),OR(AND(FIND(".",L533)=5,LEN(L533)-FIND(".",L533,FIND(".",L533)+1)&gt;=1,LEN(L533)-FIND(".",L533,FIND(".",L533)+1)&lt;=2),AND(LEN(L533)-FIND(".",L533,FIND(".",L533)+1)=4,FIND(".",L533)&gt;=2,FIND(".",L533)&lt;=3)),FIND(".",L533,FIND(".",L533)+1)-FIND(".",L533)&gt;=2,FIND(".",L533,FIND(".",L533)+1)-FIND(".",L533)&lt;=3,P533&gt;=2000,P533&lt;=2100,YEAR(S533)=P533,MONTH(S533)=Q533,DAY(S533)=R533),S533,0)),0)</ns0:f>
        <ns0:v>0</ns0:v>
      </ns0:c>
      <ns0:c r="U533" s="0" t="str">
        <ns0:f>IF(Bookings!C533="","Full day",Bookings!C533)</ns0:f>
        <ns0:v>Full day</ns0:v>
      </ns0:c>
      <ns0:c r="V533" s="0" t="str">
        <ns0:f>IF(Bookings!E533="","Full day",Bookings!E533)</ns0:f>
        <ns0:v>Full day</ns0:v>
      </ns0:c>
      <ns0:c r="W533" s="0">
        <ns0:f>IF(J533=0,0,J533+IF(U533="PM",1,0))</ns0:f>
        <ns0:v>0</ns0:v>
      </ns0:c>
      <ns0:c r="X533" s="0">
        <ns0:f>IF(T533=0,0,T533-IF(V533="PM",1,0))</ns0:f>
        <ns0:v>0</ns0:v>
      </ns0:c>
      <ns0:c r="Y533" s="0">
        <ns0:f>IF(J533=0,0,J533+IF(U533="AM",1,0))</ns0:f>
        <ns0:v>0</ns0:v>
      </ns0:c>
      <ns0:c r="Z533" s="0">
        <ns0:f>IF(T533=0,0,T533-IF(V533="AM",1,0))</ns0:f>
        <ns0:v>0</ns0:v>
      </ns0:c>
      <ns0:c r="AA533" s="0">
        <ns0:f>IFERROR(IF(AND(J533&gt;0,'_Engine'!C533&gt;0,MID('_Engine'!W533,WEEKDAY(J533,2),1)="W",COUNTIF(Settings!$F$18:$F$67,J533)=0),1,0),0)</ns0:f>
        <ns0:v>0</ns0:v>
      </ns0:c>
      <ns0:c r="AB533" s="0">
        <ns0:f>IFERROR(IF(AND(T533&gt;0,'_Engine'!C533&gt;0,MID('_Engine'!W533,WEEKDAY(T533,2),1)="W",COUNTIF(Settings!$F$18:$F$67,T533)=0),1,0),0)</ns0:f>
        <ns0:v>0</ns0:v>
      </ns0:c>
      <ns0:c r="AC533" s="0">
        <ns0:f>IF(AND(J533&gt;0,T533&gt;0,W533&lt;=X533),1,0)</ns0:f>
        <ns0:v>0</ns0:v>
      </ns0:c>
      <ns0:c r="AD533" s="0">
        <ns0:f>IF(AND(J533&gt;0,T533&gt;0,Y533&lt;=Z533),1,0)</ns0:f>
        <ns0:v>0</ns0:v>
      </ns0:c>
    </ns0:row>
    <ns0:row r="534">
      <ns0:c r="A534" s="0">
        <ns0:f>IFERROR(IF(ISNUMBER(Bookings!B534),"",TRIM(Bookings!B534&amp;"")),"")</ns0:f>
      </ns0:c>
      <ns0:c r="B534" s="0">
        <ns0:f>IFERROR(SUBSTITUTE(SUBSTITUTE(A534,"/","."),"-","."),"")</ns0:f>
      </ns0:c>
      <ns0:c r="C534" s="0">
        <ns0:f>IFERROR(LEFT(B534,FIND(".",B534)-1),"")</ns0:f>
      </ns0:c>
      <ns0:c r="D534" s="0">
        <ns0:f>IFERROR(MID(B534,FIND(".",B534)+1,FIND(".",B534,FIND(".",B534)+1)-FIND(".",B534)-1),"")</ns0:f>
      </ns0:c>
      <ns0:c r="E534" s="0">
        <ns0:f>IFERROR(MID(B534,FIND(".",B534,FIND(".",B534)+1)+1,99),"")</ns0:f>
        <ns0:v>99</ns0:v>
      </ns0:c>
      <ns0:c r="F534" s="0">
        <ns0:f>IFERROR(IF(FIND(".",B534)=5,--C534,--E534),0)</ns0:f>
        <ns0:v>0</ns0:v>
      </ns0:c>
      <ns0:c r="G534" s="0">
        <ns0:f>IFERROR(--D534,0)</ns0:f>
        <ns0:v>0</ns0:v>
      </ns0:c>
      <ns0:c r="H534" s="0">
        <ns0:f>IFERROR(IF(FIND(".",B534)=5,--E534,--C534),0)</ns0:f>
        <ns0:v>0</ns0:v>
      </ns0:c>
      <ns0:c r="I534" s="0">
        <ns0:f>IFERROR(IF(AND(F534&gt;=2000,F534&lt;=2100,G534&gt;=1,G534&lt;=12,H534&gt;=1,H534&lt;=31),DATE(F534,G534,H534),0),0)</ns0:f>
        <ns0:v>0</ns0:v>
      </ns0:c>
      <ns0:c r="J534" s="0">
        <ns0:f>IFERROR(IF(ISNUMBER(Bookings!B534),IF(AND(Bookings!B534=INT(Bookings!B534),Bookings!B534&gt;=DATE(2000,1,1),Bookings!B534&lt;=DATE(2100,12,31)),Bookings!B534,0),IF(AND(A534&lt;&gt;"",LEN("x"&amp;B534)-LEN(SUBSTITUTE("x"&amp;B534,".",""))=2,OR(1&gt;LEN(B534),MID(B534,1,1)=".",ISNUMBER(FIND("x"&amp;MID(B534,1,1),"x0x1x2x3x4x5x6x7x8x9"))),OR(2&gt;LEN(B534),MID(B534,2,1)=".",ISNUMBER(FIND("x"&amp;MID(B534,2,1),"x0x1x2x3x4x5x6x7x8x9"))),OR(3&gt;LEN(B534),MID(B534,3,1)=".",ISNUMBER(FIND("x"&amp;MID(B534,3,1),"x0x1x2x3x4x5x6x7x8x9"))),OR(4&gt;LEN(B534),MID(B534,4,1)=".",ISNUMBER(FIND("x"&amp;MID(B534,4,1),"x0x1x2x3x4x5x6x7x8x9"))),OR(5&gt;LEN(B534),MID(B534,5,1)=".",ISNUMBER(FIND("x"&amp;MID(B534,5,1),"x0x1x2x3x4x5x6x7x8x9"))),OR(6&gt;LEN(B534),MID(B534,6,1)=".",ISNUMBER(FIND("x"&amp;MID(B534,6,1),"x0x1x2x3x4x5x6x7x8x9"))),OR(7&gt;LEN(B534),MID(B534,7,1)=".",ISNUMBER(FIND("x"&amp;MID(B534,7,1),"x0x1x2x3x4x5x6x7x8x9"))),OR(8&gt;LEN(B534),MID(B534,8,1)=".",ISNUMBER(FIND("x"&amp;MID(B534,8,1),"x0x1x2x3x4x5x6x7x8x9"))),OR(9&gt;LEN(B534),MID(B534,9,1)=".",ISNUMBER(FIND("x"&amp;MID(B534,9,1),"x0x1x2x3x4x5x6x7x8x9"))),OR(10&gt;LEN(B534),MID(B534,10,1)=".",ISNUMBER(FIND("x"&amp;MID(B534,10,1),"x0x1x2x3x4x5x6x7x8x9"))),OR(AND(FIND(".",B534)=5,LEN(B534)-FIND(".",B534,FIND(".",B534)+1)&gt;=1,LEN(B534)-FIND(".",B534,FIND(".",B534)+1)&lt;=2),AND(LEN(B534)-FIND(".",B534,FIND(".",B534)+1)=4,FIND(".",B534)&gt;=2,FIND(".",B534)&lt;=3)),FIND(".",B534,FIND(".",B534)+1)-FIND(".",B534)&gt;=2,FIND(".",B534,FIND(".",B534)+1)-FIND(".",B534)&lt;=3,F534&gt;=2000,F534&lt;=2100,YEAR(I534)=F534,MONTH(I534)=G534,DAY(I534)=H534),I534,0)),0)</ns0:f>
        <ns0:v>0</ns0:v>
      </ns0:c>
      <ns0:c r="K534" s="0">
        <ns0:f>IFERROR(IF(ISNUMBER(Bookings!D534),"",TRIM(Bookings!D534&amp;"")),"")</ns0:f>
      </ns0:c>
      <ns0:c r="L534" s="0">
        <ns0:f>IFERROR(SUBSTITUTE(SUBSTITUTE(K534,"/","."),"-","."),"")</ns0:f>
      </ns0:c>
      <ns0:c r="M534" s="0">
        <ns0:f>IFERROR(LEFT(L534,FIND(".",L534)-1),"")</ns0:f>
      </ns0:c>
      <ns0:c r="N534" s="0">
        <ns0:f>IFERROR(MID(L534,FIND(".",L534)+1,FIND(".",L534,FIND(".",L534)+1)-FIND(".",L534)-1),"")</ns0:f>
      </ns0:c>
      <ns0:c r="O534" s="0">
        <ns0:f>IFERROR(MID(L534,FIND(".",L534,FIND(".",L534)+1)+1,99),"")</ns0:f>
        <ns0:v>99</ns0:v>
      </ns0:c>
      <ns0:c r="P534" s="0">
        <ns0:f>IFERROR(IF(FIND(".",L534)=5,--M534,--O534),0)</ns0:f>
        <ns0:v>0</ns0:v>
      </ns0:c>
      <ns0:c r="Q534" s="0">
        <ns0:f>IFERROR(--N534,0)</ns0:f>
        <ns0:v>0</ns0:v>
      </ns0:c>
      <ns0:c r="R534" s="0">
        <ns0:f>IFERROR(IF(FIND(".",L534)=5,--O534,--M534),0)</ns0:f>
        <ns0:v>0</ns0:v>
      </ns0:c>
      <ns0:c r="S534" s="0">
        <ns0:f>IFERROR(IF(AND(P534&gt;=2000,P534&lt;=2100,Q534&gt;=1,Q534&lt;=12,R534&gt;=1,R534&lt;=31),DATE(P534,Q534,R534),0),0)</ns0:f>
        <ns0:v>0</ns0:v>
      </ns0:c>
      <ns0:c r="T534" s="0">
        <ns0:f>IFERROR(IF(ISNUMBER(Bookings!D534),IF(AND(Bookings!D534=INT(Bookings!D534),Bookings!D534&gt;=DATE(2000,1,1),Bookings!D534&lt;=DATE(2100,12,31)),Bookings!D534,0),IF(AND(K534&lt;&gt;"",LEN("x"&amp;L534)-LEN(SUBSTITUTE("x"&amp;L534,".",""))=2,OR(1&gt;LEN(L534),MID(L534,1,1)=".",ISNUMBER(FIND("x"&amp;MID(L534,1,1),"x0x1x2x3x4x5x6x7x8x9"))),OR(2&gt;LEN(L534),MID(L534,2,1)=".",ISNUMBER(FIND("x"&amp;MID(L534,2,1),"x0x1x2x3x4x5x6x7x8x9"))),OR(3&gt;LEN(L534),MID(L534,3,1)=".",ISNUMBER(FIND("x"&amp;MID(L534,3,1),"x0x1x2x3x4x5x6x7x8x9"))),OR(4&gt;LEN(L534),MID(L534,4,1)=".",ISNUMBER(FIND("x"&amp;MID(L534,4,1),"x0x1x2x3x4x5x6x7x8x9"))),OR(5&gt;LEN(L534),MID(L534,5,1)=".",ISNUMBER(FIND("x"&amp;MID(L534,5,1),"x0x1x2x3x4x5x6x7x8x9"))),OR(6&gt;LEN(L534),MID(L534,6,1)=".",ISNUMBER(FIND("x"&amp;MID(L534,6,1),"x0x1x2x3x4x5x6x7x8x9"))),OR(7&gt;LEN(L534),MID(L534,7,1)=".",ISNUMBER(FIND("x"&amp;MID(L534,7,1),"x0x1x2x3x4x5x6x7x8x9"))),OR(8&gt;LEN(L534),MID(L534,8,1)=".",ISNUMBER(FIND("x"&amp;MID(L534,8,1),"x0x1x2x3x4x5x6x7x8x9"))),OR(9&gt;LEN(L534),MID(L534,9,1)=".",ISNUMBER(FIND("x"&amp;MID(L534,9,1),"x0x1x2x3x4x5x6x7x8x9"))),OR(10&gt;LEN(L534),MID(L534,10,1)=".",ISNUMBER(FIND("x"&amp;MID(L534,10,1),"x0x1x2x3x4x5x6x7x8x9"))),OR(AND(FIND(".",L534)=5,LEN(L534)-FIND(".",L534,FIND(".",L534)+1)&gt;=1,LEN(L534)-FIND(".",L534,FIND(".",L534)+1)&lt;=2),AND(LEN(L534)-FIND(".",L534,FIND(".",L534)+1)=4,FIND(".",L534)&gt;=2,FIND(".",L534)&lt;=3)),FIND(".",L534,FIND(".",L534)+1)-FIND(".",L534)&gt;=2,FIND(".",L534,FIND(".",L534)+1)-FIND(".",L534)&lt;=3,P534&gt;=2000,P534&lt;=2100,YEAR(S534)=P534,MONTH(S534)=Q534,DAY(S534)=R534),S534,0)),0)</ns0:f>
        <ns0:v>0</ns0:v>
      </ns0:c>
      <ns0:c r="U534" s="0" t="str">
        <ns0:f>IF(Bookings!C534="","Full day",Bookings!C534)</ns0:f>
        <ns0:v>Full day</ns0:v>
      </ns0:c>
      <ns0:c r="V534" s="0" t="str">
        <ns0:f>IF(Bookings!E534="","Full day",Bookings!E534)</ns0:f>
        <ns0:v>Full day</ns0:v>
      </ns0:c>
      <ns0:c r="W534" s="0">
        <ns0:f>IF(J534=0,0,J534+IF(U534="PM",1,0))</ns0:f>
        <ns0:v>0</ns0:v>
      </ns0:c>
      <ns0:c r="X534" s="0">
        <ns0:f>IF(T534=0,0,T534-IF(V534="PM",1,0))</ns0:f>
        <ns0:v>0</ns0:v>
      </ns0:c>
      <ns0:c r="Y534" s="0">
        <ns0:f>IF(J534=0,0,J534+IF(U534="AM",1,0))</ns0:f>
        <ns0:v>0</ns0:v>
      </ns0:c>
      <ns0:c r="Z534" s="0">
        <ns0:f>IF(T534=0,0,T534-IF(V534="AM",1,0))</ns0:f>
        <ns0:v>0</ns0:v>
      </ns0:c>
      <ns0:c r="AA534" s="0">
        <ns0:f>IFERROR(IF(AND(J534&gt;0,'_Engine'!C534&gt;0,MID('_Engine'!W534,WEEKDAY(J534,2),1)="W",COUNTIF(Settings!$F$18:$F$67,J534)=0),1,0),0)</ns0:f>
        <ns0:v>0</ns0:v>
      </ns0:c>
      <ns0:c r="AB534" s="0">
        <ns0:f>IFERROR(IF(AND(T534&gt;0,'_Engine'!C534&gt;0,MID('_Engine'!W534,WEEKDAY(T534,2),1)="W",COUNTIF(Settings!$F$18:$F$67,T534)=0),1,0),0)</ns0:f>
        <ns0:v>0</ns0:v>
      </ns0:c>
      <ns0:c r="AC534" s="0">
        <ns0:f>IF(AND(J534&gt;0,T534&gt;0,W534&lt;=X534),1,0)</ns0:f>
        <ns0:v>0</ns0:v>
      </ns0:c>
      <ns0:c r="AD534" s="0">
        <ns0:f>IF(AND(J534&gt;0,T534&gt;0,Y534&lt;=Z534),1,0)</ns0:f>
        <ns0:v>0</ns0:v>
      </ns0:c>
    </ns0:row>
    <ns0:row r="535">
      <ns0:c r="A535" s="0">
        <ns0:f>IFERROR(IF(ISNUMBER(Bookings!B535),"",TRIM(Bookings!B535&amp;"")),"")</ns0:f>
      </ns0:c>
      <ns0:c r="B535" s="0">
        <ns0:f>IFERROR(SUBSTITUTE(SUBSTITUTE(A535,"/","."),"-","."),"")</ns0:f>
      </ns0:c>
      <ns0:c r="C535" s="0">
        <ns0:f>IFERROR(LEFT(B535,FIND(".",B535)-1),"")</ns0:f>
      </ns0:c>
      <ns0:c r="D535" s="0">
        <ns0:f>IFERROR(MID(B535,FIND(".",B535)+1,FIND(".",B535,FIND(".",B535)+1)-FIND(".",B535)-1),"")</ns0:f>
      </ns0:c>
      <ns0:c r="E535" s="0">
        <ns0:f>IFERROR(MID(B535,FIND(".",B535,FIND(".",B535)+1)+1,99),"")</ns0:f>
        <ns0:v>99</ns0:v>
      </ns0:c>
      <ns0:c r="F535" s="0">
        <ns0:f>IFERROR(IF(FIND(".",B535)=5,--C535,--E535),0)</ns0:f>
        <ns0:v>0</ns0:v>
      </ns0:c>
      <ns0:c r="G535" s="0">
        <ns0:f>IFERROR(--D535,0)</ns0:f>
        <ns0:v>0</ns0:v>
      </ns0:c>
      <ns0:c r="H535" s="0">
        <ns0:f>IFERROR(IF(FIND(".",B535)=5,--E535,--C535),0)</ns0:f>
        <ns0:v>0</ns0:v>
      </ns0:c>
      <ns0:c r="I535" s="0">
        <ns0:f>IFERROR(IF(AND(F535&gt;=2000,F535&lt;=2100,G535&gt;=1,G535&lt;=12,H535&gt;=1,H535&lt;=31),DATE(F535,G535,H535),0),0)</ns0:f>
        <ns0:v>0</ns0:v>
      </ns0:c>
      <ns0:c r="J535" s="0">
        <ns0:f>IFERROR(IF(ISNUMBER(Bookings!B535),IF(AND(Bookings!B535=INT(Bookings!B535),Bookings!B535&gt;=DATE(2000,1,1),Bookings!B535&lt;=DATE(2100,12,31)),Bookings!B535,0),IF(AND(A535&lt;&gt;"",LEN("x"&amp;B535)-LEN(SUBSTITUTE("x"&amp;B535,".",""))=2,OR(1&gt;LEN(B535),MID(B535,1,1)=".",ISNUMBER(FIND("x"&amp;MID(B535,1,1),"x0x1x2x3x4x5x6x7x8x9"))),OR(2&gt;LEN(B535),MID(B535,2,1)=".",ISNUMBER(FIND("x"&amp;MID(B535,2,1),"x0x1x2x3x4x5x6x7x8x9"))),OR(3&gt;LEN(B535),MID(B535,3,1)=".",ISNUMBER(FIND("x"&amp;MID(B535,3,1),"x0x1x2x3x4x5x6x7x8x9"))),OR(4&gt;LEN(B535),MID(B535,4,1)=".",ISNUMBER(FIND("x"&amp;MID(B535,4,1),"x0x1x2x3x4x5x6x7x8x9"))),OR(5&gt;LEN(B535),MID(B535,5,1)=".",ISNUMBER(FIND("x"&amp;MID(B535,5,1),"x0x1x2x3x4x5x6x7x8x9"))),OR(6&gt;LEN(B535),MID(B535,6,1)=".",ISNUMBER(FIND("x"&amp;MID(B535,6,1),"x0x1x2x3x4x5x6x7x8x9"))),OR(7&gt;LEN(B535),MID(B535,7,1)=".",ISNUMBER(FIND("x"&amp;MID(B535,7,1),"x0x1x2x3x4x5x6x7x8x9"))),OR(8&gt;LEN(B535),MID(B535,8,1)=".",ISNUMBER(FIND("x"&amp;MID(B535,8,1),"x0x1x2x3x4x5x6x7x8x9"))),OR(9&gt;LEN(B535),MID(B535,9,1)=".",ISNUMBER(FIND("x"&amp;MID(B535,9,1),"x0x1x2x3x4x5x6x7x8x9"))),OR(10&gt;LEN(B535),MID(B535,10,1)=".",ISNUMBER(FIND("x"&amp;MID(B535,10,1),"x0x1x2x3x4x5x6x7x8x9"))),OR(AND(FIND(".",B535)=5,LEN(B535)-FIND(".",B535,FIND(".",B535)+1)&gt;=1,LEN(B535)-FIND(".",B535,FIND(".",B535)+1)&lt;=2),AND(LEN(B535)-FIND(".",B535,FIND(".",B535)+1)=4,FIND(".",B535)&gt;=2,FIND(".",B535)&lt;=3)),FIND(".",B535,FIND(".",B535)+1)-FIND(".",B535)&gt;=2,FIND(".",B535,FIND(".",B535)+1)-FIND(".",B535)&lt;=3,F535&gt;=2000,F535&lt;=2100,YEAR(I535)=F535,MONTH(I535)=G535,DAY(I535)=H535),I535,0)),0)</ns0:f>
        <ns0:v>0</ns0:v>
      </ns0:c>
      <ns0:c r="K535" s="0">
        <ns0:f>IFERROR(IF(ISNUMBER(Bookings!D535),"",TRIM(Bookings!D535&amp;"")),"")</ns0:f>
      </ns0:c>
      <ns0:c r="L535" s="0">
        <ns0:f>IFERROR(SUBSTITUTE(SUBSTITUTE(K535,"/","."),"-","."),"")</ns0:f>
      </ns0:c>
      <ns0:c r="M535" s="0">
        <ns0:f>IFERROR(LEFT(L535,FIND(".",L535)-1),"")</ns0:f>
      </ns0:c>
      <ns0:c r="N535" s="0">
        <ns0:f>IFERROR(MID(L535,FIND(".",L535)+1,FIND(".",L535,FIND(".",L535)+1)-FIND(".",L535)-1),"")</ns0:f>
      </ns0:c>
      <ns0:c r="O535" s="0">
        <ns0:f>IFERROR(MID(L535,FIND(".",L535,FIND(".",L535)+1)+1,99),"")</ns0:f>
        <ns0:v>99</ns0:v>
      </ns0:c>
      <ns0:c r="P535" s="0">
        <ns0:f>IFERROR(IF(FIND(".",L535)=5,--M535,--O535),0)</ns0:f>
        <ns0:v>0</ns0:v>
      </ns0:c>
      <ns0:c r="Q535" s="0">
        <ns0:f>IFERROR(--N535,0)</ns0:f>
        <ns0:v>0</ns0:v>
      </ns0:c>
      <ns0:c r="R535" s="0">
        <ns0:f>IFERROR(IF(FIND(".",L535)=5,--O535,--M535),0)</ns0:f>
        <ns0:v>0</ns0:v>
      </ns0:c>
      <ns0:c r="S535" s="0">
        <ns0:f>IFERROR(IF(AND(P535&gt;=2000,P535&lt;=2100,Q535&gt;=1,Q535&lt;=12,R535&gt;=1,R535&lt;=31),DATE(P535,Q535,R535),0),0)</ns0:f>
        <ns0:v>0</ns0:v>
      </ns0:c>
      <ns0:c r="T535" s="0">
        <ns0:f>IFERROR(IF(ISNUMBER(Bookings!D535),IF(AND(Bookings!D535=INT(Bookings!D535),Bookings!D535&gt;=DATE(2000,1,1),Bookings!D535&lt;=DATE(2100,12,31)),Bookings!D535,0),IF(AND(K535&lt;&gt;"",LEN("x"&amp;L535)-LEN(SUBSTITUTE("x"&amp;L535,".",""))=2,OR(1&gt;LEN(L535),MID(L535,1,1)=".",ISNUMBER(FIND("x"&amp;MID(L535,1,1),"x0x1x2x3x4x5x6x7x8x9"))),OR(2&gt;LEN(L535),MID(L535,2,1)=".",ISNUMBER(FIND("x"&amp;MID(L535,2,1),"x0x1x2x3x4x5x6x7x8x9"))),OR(3&gt;LEN(L535),MID(L535,3,1)=".",ISNUMBER(FIND("x"&amp;MID(L535,3,1),"x0x1x2x3x4x5x6x7x8x9"))),OR(4&gt;LEN(L535),MID(L535,4,1)=".",ISNUMBER(FIND("x"&amp;MID(L535,4,1),"x0x1x2x3x4x5x6x7x8x9"))),OR(5&gt;LEN(L535),MID(L535,5,1)=".",ISNUMBER(FIND("x"&amp;MID(L535,5,1),"x0x1x2x3x4x5x6x7x8x9"))),OR(6&gt;LEN(L535),MID(L535,6,1)=".",ISNUMBER(FIND("x"&amp;MID(L535,6,1),"x0x1x2x3x4x5x6x7x8x9"))),OR(7&gt;LEN(L535),MID(L535,7,1)=".",ISNUMBER(FIND("x"&amp;MID(L535,7,1),"x0x1x2x3x4x5x6x7x8x9"))),OR(8&gt;LEN(L535),MID(L535,8,1)=".",ISNUMBER(FIND("x"&amp;MID(L535,8,1),"x0x1x2x3x4x5x6x7x8x9"))),OR(9&gt;LEN(L535),MID(L535,9,1)=".",ISNUMBER(FIND("x"&amp;MID(L535,9,1),"x0x1x2x3x4x5x6x7x8x9"))),OR(10&gt;LEN(L535),MID(L535,10,1)=".",ISNUMBER(FIND("x"&amp;MID(L535,10,1),"x0x1x2x3x4x5x6x7x8x9"))),OR(AND(FIND(".",L535)=5,LEN(L535)-FIND(".",L535,FIND(".",L535)+1)&gt;=1,LEN(L535)-FIND(".",L535,FIND(".",L535)+1)&lt;=2),AND(LEN(L535)-FIND(".",L535,FIND(".",L535)+1)=4,FIND(".",L535)&gt;=2,FIND(".",L535)&lt;=3)),FIND(".",L535,FIND(".",L535)+1)-FIND(".",L535)&gt;=2,FIND(".",L535,FIND(".",L535)+1)-FIND(".",L535)&lt;=3,P535&gt;=2000,P535&lt;=2100,YEAR(S535)=P535,MONTH(S535)=Q535,DAY(S535)=R535),S535,0)),0)</ns0:f>
        <ns0:v>0</ns0:v>
      </ns0:c>
      <ns0:c r="U535" s="0" t="str">
        <ns0:f>IF(Bookings!C535="","Full day",Bookings!C535)</ns0:f>
        <ns0:v>Full day</ns0:v>
      </ns0:c>
      <ns0:c r="V535" s="0" t="str">
        <ns0:f>IF(Bookings!E535="","Full day",Bookings!E535)</ns0:f>
        <ns0:v>Full day</ns0:v>
      </ns0:c>
      <ns0:c r="W535" s="0">
        <ns0:f>IF(J535=0,0,J535+IF(U535="PM",1,0))</ns0:f>
        <ns0:v>0</ns0:v>
      </ns0:c>
      <ns0:c r="X535" s="0">
        <ns0:f>IF(T535=0,0,T535-IF(V535="PM",1,0))</ns0:f>
        <ns0:v>0</ns0:v>
      </ns0:c>
      <ns0:c r="Y535" s="0">
        <ns0:f>IF(J535=0,0,J535+IF(U535="AM",1,0))</ns0:f>
        <ns0:v>0</ns0:v>
      </ns0:c>
      <ns0:c r="Z535" s="0">
        <ns0:f>IF(T535=0,0,T535-IF(V535="AM",1,0))</ns0:f>
        <ns0:v>0</ns0:v>
      </ns0:c>
      <ns0:c r="AA535" s="0">
        <ns0:f>IFERROR(IF(AND(J535&gt;0,'_Engine'!C535&gt;0,MID('_Engine'!W535,WEEKDAY(J535,2),1)="W",COUNTIF(Settings!$F$18:$F$67,J535)=0),1,0),0)</ns0:f>
        <ns0:v>0</ns0:v>
      </ns0:c>
      <ns0:c r="AB535" s="0">
        <ns0:f>IFERROR(IF(AND(T535&gt;0,'_Engine'!C535&gt;0,MID('_Engine'!W535,WEEKDAY(T535,2),1)="W",COUNTIF(Settings!$F$18:$F$67,T535)=0),1,0),0)</ns0:f>
        <ns0:v>0</ns0:v>
      </ns0:c>
      <ns0:c r="AC535" s="0">
        <ns0:f>IF(AND(J535&gt;0,T535&gt;0,W535&lt;=X535),1,0)</ns0:f>
        <ns0:v>0</ns0:v>
      </ns0:c>
      <ns0:c r="AD535" s="0">
        <ns0:f>IF(AND(J535&gt;0,T535&gt;0,Y535&lt;=Z535),1,0)</ns0:f>
        <ns0:v>0</ns0:v>
      </ns0:c>
    </ns0:row>
    <ns0:row r="536">
      <ns0:c r="A536" s="0">
        <ns0:f>IFERROR(IF(ISNUMBER(Bookings!B536),"",TRIM(Bookings!B536&amp;"")),"")</ns0:f>
      </ns0:c>
      <ns0:c r="B536" s="0">
        <ns0:f>IFERROR(SUBSTITUTE(SUBSTITUTE(A536,"/","."),"-","."),"")</ns0:f>
      </ns0:c>
      <ns0:c r="C536" s="0">
        <ns0:f>IFERROR(LEFT(B536,FIND(".",B536)-1),"")</ns0:f>
      </ns0:c>
      <ns0:c r="D536" s="0">
        <ns0:f>IFERROR(MID(B536,FIND(".",B536)+1,FIND(".",B536,FIND(".",B536)+1)-FIND(".",B536)-1),"")</ns0:f>
      </ns0:c>
      <ns0:c r="E536" s="0">
        <ns0:f>IFERROR(MID(B536,FIND(".",B536,FIND(".",B536)+1)+1,99),"")</ns0:f>
        <ns0:v>99</ns0:v>
      </ns0:c>
      <ns0:c r="F536" s="0">
        <ns0:f>IFERROR(IF(FIND(".",B536)=5,--C536,--E536),0)</ns0:f>
        <ns0:v>0</ns0:v>
      </ns0:c>
      <ns0:c r="G536" s="0">
        <ns0:f>IFERROR(--D536,0)</ns0:f>
        <ns0:v>0</ns0:v>
      </ns0:c>
      <ns0:c r="H536" s="0">
        <ns0:f>IFERROR(IF(FIND(".",B536)=5,--E536,--C536),0)</ns0:f>
        <ns0:v>0</ns0:v>
      </ns0:c>
      <ns0:c r="I536" s="0">
        <ns0:f>IFERROR(IF(AND(F536&gt;=2000,F536&lt;=2100,G536&gt;=1,G536&lt;=12,H536&gt;=1,H536&lt;=31),DATE(F536,G536,H536),0),0)</ns0:f>
        <ns0:v>0</ns0:v>
      </ns0:c>
      <ns0:c r="J536" s="0">
        <ns0:f>IFERROR(IF(ISNUMBER(Bookings!B536),IF(AND(Bookings!B536=INT(Bookings!B536),Bookings!B536&gt;=DATE(2000,1,1),Bookings!B536&lt;=DATE(2100,12,31)),Bookings!B536,0),IF(AND(A536&lt;&gt;"",LEN("x"&amp;B536)-LEN(SUBSTITUTE("x"&amp;B536,".",""))=2,OR(1&gt;LEN(B536),MID(B536,1,1)=".",ISNUMBER(FIND("x"&amp;MID(B536,1,1),"x0x1x2x3x4x5x6x7x8x9"))),OR(2&gt;LEN(B536),MID(B536,2,1)=".",ISNUMBER(FIND("x"&amp;MID(B536,2,1),"x0x1x2x3x4x5x6x7x8x9"))),OR(3&gt;LEN(B536),MID(B536,3,1)=".",ISNUMBER(FIND("x"&amp;MID(B536,3,1),"x0x1x2x3x4x5x6x7x8x9"))),OR(4&gt;LEN(B536),MID(B536,4,1)=".",ISNUMBER(FIND("x"&amp;MID(B536,4,1),"x0x1x2x3x4x5x6x7x8x9"))),OR(5&gt;LEN(B536),MID(B536,5,1)=".",ISNUMBER(FIND("x"&amp;MID(B536,5,1),"x0x1x2x3x4x5x6x7x8x9"))),OR(6&gt;LEN(B536),MID(B536,6,1)=".",ISNUMBER(FIND("x"&amp;MID(B536,6,1),"x0x1x2x3x4x5x6x7x8x9"))),OR(7&gt;LEN(B536),MID(B536,7,1)=".",ISNUMBER(FIND("x"&amp;MID(B536,7,1),"x0x1x2x3x4x5x6x7x8x9"))),OR(8&gt;LEN(B536),MID(B536,8,1)=".",ISNUMBER(FIND("x"&amp;MID(B536,8,1),"x0x1x2x3x4x5x6x7x8x9"))),OR(9&gt;LEN(B536),MID(B536,9,1)=".",ISNUMBER(FIND("x"&amp;MID(B536,9,1),"x0x1x2x3x4x5x6x7x8x9"))),OR(10&gt;LEN(B536),MID(B536,10,1)=".",ISNUMBER(FIND("x"&amp;MID(B536,10,1),"x0x1x2x3x4x5x6x7x8x9"))),OR(AND(FIND(".",B536)=5,LEN(B536)-FIND(".",B536,FIND(".",B536)+1)&gt;=1,LEN(B536)-FIND(".",B536,FIND(".",B536)+1)&lt;=2),AND(LEN(B536)-FIND(".",B536,FIND(".",B536)+1)=4,FIND(".",B536)&gt;=2,FIND(".",B536)&lt;=3)),FIND(".",B536,FIND(".",B536)+1)-FIND(".",B536)&gt;=2,FIND(".",B536,FIND(".",B536)+1)-FIND(".",B536)&lt;=3,F536&gt;=2000,F536&lt;=2100,YEAR(I536)=F536,MONTH(I536)=G536,DAY(I536)=H536),I536,0)),0)</ns0:f>
        <ns0:v>0</ns0:v>
      </ns0:c>
      <ns0:c r="K536" s="0">
        <ns0:f>IFERROR(IF(ISNUMBER(Bookings!D536),"",TRIM(Bookings!D536&amp;"")),"")</ns0:f>
      </ns0:c>
      <ns0:c r="L536" s="0">
        <ns0:f>IFERROR(SUBSTITUTE(SUBSTITUTE(K536,"/","."),"-","."),"")</ns0:f>
      </ns0:c>
      <ns0:c r="M536" s="0">
        <ns0:f>IFERROR(LEFT(L536,FIND(".",L536)-1),"")</ns0:f>
      </ns0:c>
      <ns0:c r="N536" s="0">
        <ns0:f>IFERROR(MID(L536,FIND(".",L536)+1,FIND(".",L536,FIND(".",L536)+1)-FIND(".",L536)-1),"")</ns0:f>
      </ns0:c>
      <ns0:c r="O536" s="0">
        <ns0:f>IFERROR(MID(L536,FIND(".",L536,FIND(".",L536)+1)+1,99),"")</ns0:f>
        <ns0:v>99</ns0:v>
      </ns0:c>
      <ns0:c r="P536" s="0">
        <ns0:f>IFERROR(IF(FIND(".",L536)=5,--M536,--O536),0)</ns0:f>
        <ns0:v>0</ns0:v>
      </ns0:c>
      <ns0:c r="Q536" s="0">
        <ns0:f>IFERROR(--N536,0)</ns0:f>
        <ns0:v>0</ns0:v>
      </ns0:c>
      <ns0:c r="R536" s="0">
        <ns0:f>IFERROR(IF(FIND(".",L536)=5,--O536,--M536),0)</ns0:f>
        <ns0:v>0</ns0:v>
      </ns0:c>
      <ns0:c r="S536" s="0">
        <ns0:f>IFERROR(IF(AND(P536&gt;=2000,P536&lt;=2100,Q536&gt;=1,Q536&lt;=12,R536&gt;=1,R536&lt;=31),DATE(P536,Q536,R536),0),0)</ns0:f>
        <ns0:v>0</ns0:v>
      </ns0:c>
      <ns0:c r="T536" s="0">
        <ns0:f>IFERROR(IF(ISNUMBER(Bookings!D536),IF(AND(Bookings!D536=INT(Bookings!D536),Bookings!D536&gt;=DATE(2000,1,1),Bookings!D536&lt;=DATE(2100,12,31)),Bookings!D536,0),IF(AND(K536&lt;&gt;"",LEN("x"&amp;L536)-LEN(SUBSTITUTE("x"&amp;L536,".",""))=2,OR(1&gt;LEN(L536),MID(L536,1,1)=".",ISNUMBER(FIND("x"&amp;MID(L536,1,1),"x0x1x2x3x4x5x6x7x8x9"))),OR(2&gt;LEN(L536),MID(L536,2,1)=".",ISNUMBER(FIND("x"&amp;MID(L536,2,1),"x0x1x2x3x4x5x6x7x8x9"))),OR(3&gt;LEN(L536),MID(L536,3,1)=".",ISNUMBER(FIND("x"&amp;MID(L536,3,1),"x0x1x2x3x4x5x6x7x8x9"))),OR(4&gt;LEN(L536),MID(L536,4,1)=".",ISNUMBER(FIND("x"&amp;MID(L536,4,1),"x0x1x2x3x4x5x6x7x8x9"))),OR(5&gt;LEN(L536),MID(L536,5,1)=".",ISNUMBER(FIND("x"&amp;MID(L536,5,1),"x0x1x2x3x4x5x6x7x8x9"))),OR(6&gt;LEN(L536),MID(L536,6,1)=".",ISNUMBER(FIND("x"&amp;MID(L536,6,1),"x0x1x2x3x4x5x6x7x8x9"))),OR(7&gt;LEN(L536),MID(L536,7,1)=".",ISNUMBER(FIND("x"&amp;MID(L536,7,1),"x0x1x2x3x4x5x6x7x8x9"))),OR(8&gt;LEN(L536),MID(L536,8,1)=".",ISNUMBER(FIND("x"&amp;MID(L536,8,1),"x0x1x2x3x4x5x6x7x8x9"))),OR(9&gt;LEN(L536),MID(L536,9,1)=".",ISNUMBER(FIND("x"&amp;MID(L536,9,1),"x0x1x2x3x4x5x6x7x8x9"))),OR(10&gt;LEN(L536),MID(L536,10,1)=".",ISNUMBER(FIND("x"&amp;MID(L536,10,1),"x0x1x2x3x4x5x6x7x8x9"))),OR(AND(FIND(".",L536)=5,LEN(L536)-FIND(".",L536,FIND(".",L536)+1)&gt;=1,LEN(L536)-FIND(".",L536,FIND(".",L536)+1)&lt;=2),AND(LEN(L536)-FIND(".",L536,FIND(".",L536)+1)=4,FIND(".",L536)&gt;=2,FIND(".",L536)&lt;=3)),FIND(".",L536,FIND(".",L536)+1)-FIND(".",L536)&gt;=2,FIND(".",L536,FIND(".",L536)+1)-FIND(".",L536)&lt;=3,P536&gt;=2000,P536&lt;=2100,YEAR(S536)=P536,MONTH(S536)=Q536,DAY(S536)=R536),S536,0)),0)</ns0:f>
        <ns0:v>0</ns0:v>
      </ns0:c>
      <ns0:c r="U536" s="0" t="str">
        <ns0:f>IF(Bookings!C536="","Full day",Bookings!C536)</ns0:f>
        <ns0:v>Full day</ns0:v>
      </ns0:c>
      <ns0:c r="V536" s="0" t="str">
        <ns0:f>IF(Bookings!E536="","Full day",Bookings!E536)</ns0:f>
        <ns0:v>Full day</ns0:v>
      </ns0:c>
      <ns0:c r="W536" s="0">
        <ns0:f>IF(J536=0,0,J536+IF(U536="PM",1,0))</ns0:f>
        <ns0:v>0</ns0:v>
      </ns0:c>
      <ns0:c r="X536" s="0">
        <ns0:f>IF(T536=0,0,T536-IF(V536="PM",1,0))</ns0:f>
        <ns0:v>0</ns0:v>
      </ns0:c>
      <ns0:c r="Y536" s="0">
        <ns0:f>IF(J536=0,0,J536+IF(U536="AM",1,0))</ns0:f>
        <ns0:v>0</ns0:v>
      </ns0:c>
      <ns0:c r="Z536" s="0">
        <ns0:f>IF(T536=0,0,T536-IF(V536="AM",1,0))</ns0:f>
        <ns0:v>0</ns0:v>
      </ns0:c>
      <ns0:c r="AA536" s="0">
        <ns0:f>IFERROR(IF(AND(J536&gt;0,'_Engine'!C536&gt;0,MID('_Engine'!W536,WEEKDAY(J536,2),1)="W",COUNTIF(Settings!$F$18:$F$67,J536)=0),1,0),0)</ns0:f>
        <ns0:v>0</ns0:v>
      </ns0:c>
      <ns0:c r="AB536" s="0">
        <ns0:f>IFERROR(IF(AND(T536&gt;0,'_Engine'!C536&gt;0,MID('_Engine'!W536,WEEKDAY(T536,2),1)="W",COUNTIF(Settings!$F$18:$F$67,T536)=0),1,0),0)</ns0:f>
        <ns0:v>0</ns0:v>
      </ns0:c>
      <ns0:c r="AC536" s="0">
        <ns0:f>IF(AND(J536&gt;0,T536&gt;0,W536&lt;=X536),1,0)</ns0:f>
        <ns0:v>0</ns0:v>
      </ns0:c>
      <ns0:c r="AD536" s="0">
        <ns0:f>IF(AND(J536&gt;0,T536&gt;0,Y536&lt;=Z536),1,0)</ns0:f>
        <ns0:v>0</ns0:v>
      </ns0:c>
    </ns0:row>
    <ns0:row r="537">
      <ns0:c r="A537" s="0">
        <ns0:f>IFERROR(IF(ISNUMBER(Bookings!B537),"",TRIM(Bookings!B537&amp;"")),"")</ns0:f>
      </ns0:c>
      <ns0:c r="B537" s="0">
        <ns0:f>IFERROR(SUBSTITUTE(SUBSTITUTE(A537,"/","."),"-","."),"")</ns0:f>
      </ns0:c>
      <ns0:c r="C537" s="0">
        <ns0:f>IFERROR(LEFT(B537,FIND(".",B537)-1),"")</ns0:f>
      </ns0:c>
      <ns0:c r="D537" s="0">
        <ns0:f>IFERROR(MID(B537,FIND(".",B537)+1,FIND(".",B537,FIND(".",B537)+1)-FIND(".",B537)-1),"")</ns0:f>
      </ns0:c>
      <ns0:c r="E537" s="0">
        <ns0:f>IFERROR(MID(B537,FIND(".",B537,FIND(".",B537)+1)+1,99),"")</ns0:f>
        <ns0:v>99</ns0:v>
      </ns0:c>
      <ns0:c r="F537" s="0">
        <ns0:f>IFERROR(IF(FIND(".",B537)=5,--C537,--E537),0)</ns0:f>
        <ns0:v>0</ns0:v>
      </ns0:c>
      <ns0:c r="G537" s="0">
        <ns0:f>IFERROR(--D537,0)</ns0:f>
        <ns0:v>0</ns0:v>
      </ns0:c>
      <ns0:c r="H537" s="0">
        <ns0:f>IFERROR(IF(FIND(".",B537)=5,--E537,--C537),0)</ns0:f>
        <ns0:v>0</ns0:v>
      </ns0:c>
      <ns0:c r="I537" s="0">
        <ns0:f>IFERROR(IF(AND(F537&gt;=2000,F537&lt;=2100,G537&gt;=1,G537&lt;=12,H537&gt;=1,H537&lt;=31),DATE(F537,G537,H537),0),0)</ns0:f>
        <ns0:v>0</ns0:v>
      </ns0:c>
      <ns0:c r="J537" s="0">
        <ns0:f>IFERROR(IF(ISNUMBER(Bookings!B537),IF(AND(Bookings!B537=INT(Bookings!B537),Bookings!B537&gt;=DATE(2000,1,1),Bookings!B537&lt;=DATE(2100,12,31)),Bookings!B537,0),IF(AND(A537&lt;&gt;"",LEN("x"&amp;B537)-LEN(SUBSTITUTE("x"&amp;B537,".",""))=2,OR(1&gt;LEN(B537),MID(B537,1,1)=".",ISNUMBER(FIND("x"&amp;MID(B537,1,1),"x0x1x2x3x4x5x6x7x8x9"))),OR(2&gt;LEN(B537),MID(B537,2,1)=".",ISNUMBER(FIND("x"&amp;MID(B537,2,1),"x0x1x2x3x4x5x6x7x8x9"))),OR(3&gt;LEN(B537),MID(B537,3,1)=".",ISNUMBER(FIND("x"&amp;MID(B537,3,1),"x0x1x2x3x4x5x6x7x8x9"))),OR(4&gt;LEN(B537),MID(B537,4,1)=".",ISNUMBER(FIND("x"&amp;MID(B537,4,1),"x0x1x2x3x4x5x6x7x8x9"))),OR(5&gt;LEN(B537),MID(B537,5,1)=".",ISNUMBER(FIND("x"&amp;MID(B537,5,1),"x0x1x2x3x4x5x6x7x8x9"))),OR(6&gt;LEN(B537),MID(B537,6,1)=".",ISNUMBER(FIND("x"&amp;MID(B537,6,1),"x0x1x2x3x4x5x6x7x8x9"))),OR(7&gt;LEN(B537),MID(B537,7,1)=".",ISNUMBER(FIND("x"&amp;MID(B537,7,1),"x0x1x2x3x4x5x6x7x8x9"))),OR(8&gt;LEN(B537),MID(B537,8,1)=".",ISNUMBER(FIND("x"&amp;MID(B537,8,1),"x0x1x2x3x4x5x6x7x8x9"))),OR(9&gt;LEN(B537),MID(B537,9,1)=".",ISNUMBER(FIND("x"&amp;MID(B537,9,1),"x0x1x2x3x4x5x6x7x8x9"))),OR(10&gt;LEN(B537),MID(B537,10,1)=".",ISNUMBER(FIND("x"&amp;MID(B537,10,1),"x0x1x2x3x4x5x6x7x8x9"))),OR(AND(FIND(".",B537)=5,LEN(B537)-FIND(".",B537,FIND(".",B537)+1)&gt;=1,LEN(B537)-FIND(".",B537,FIND(".",B537)+1)&lt;=2),AND(LEN(B537)-FIND(".",B537,FIND(".",B537)+1)=4,FIND(".",B537)&gt;=2,FIND(".",B537)&lt;=3)),FIND(".",B537,FIND(".",B537)+1)-FIND(".",B537)&gt;=2,FIND(".",B537,FIND(".",B537)+1)-FIND(".",B537)&lt;=3,F537&gt;=2000,F537&lt;=2100,YEAR(I537)=F537,MONTH(I537)=G537,DAY(I537)=H537),I537,0)),0)</ns0:f>
        <ns0:v>0</ns0:v>
      </ns0:c>
      <ns0:c r="K537" s="0">
        <ns0:f>IFERROR(IF(ISNUMBER(Bookings!D537),"",TRIM(Bookings!D537&amp;"")),"")</ns0:f>
      </ns0:c>
      <ns0:c r="L537" s="0">
        <ns0:f>IFERROR(SUBSTITUTE(SUBSTITUTE(K537,"/","."),"-","."),"")</ns0:f>
      </ns0:c>
      <ns0:c r="M537" s="0">
        <ns0:f>IFERROR(LEFT(L537,FIND(".",L537)-1),"")</ns0:f>
      </ns0:c>
      <ns0:c r="N537" s="0">
        <ns0:f>IFERROR(MID(L537,FIND(".",L537)+1,FIND(".",L537,FIND(".",L537)+1)-FIND(".",L537)-1),"")</ns0:f>
      </ns0:c>
      <ns0:c r="O537" s="0">
        <ns0:f>IFERROR(MID(L537,FIND(".",L537,FIND(".",L537)+1)+1,99),"")</ns0:f>
        <ns0:v>99</ns0:v>
      </ns0:c>
      <ns0:c r="P537" s="0">
        <ns0:f>IFERROR(IF(FIND(".",L537)=5,--M537,--O537),0)</ns0:f>
        <ns0:v>0</ns0:v>
      </ns0:c>
      <ns0:c r="Q537" s="0">
        <ns0:f>IFERROR(--N537,0)</ns0:f>
        <ns0:v>0</ns0:v>
      </ns0:c>
      <ns0:c r="R537" s="0">
        <ns0:f>IFERROR(IF(FIND(".",L537)=5,--O537,--M537),0)</ns0:f>
        <ns0:v>0</ns0:v>
      </ns0:c>
      <ns0:c r="S537" s="0">
        <ns0:f>IFERROR(IF(AND(P537&gt;=2000,P537&lt;=2100,Q537&gt;=1,Q537&lt;=12,R537&gt;=1,R537&lt;=31),DATE(P537,Q537,R537),0),0)</ns0:f>
        <ns0:v>0</ns0:v>
      </ns0:c>
      <ns0:c r="T537" s="0">
        <ns0:f>IFERROR(IF(ISNUMBER(Bookings!D537),IF(AND(Bookings!D537=INT(Bookings!D537),Bookings!D537&gt;=DATE(2000,1,1),Bookings!D537&lt;=DATE(2100,12,31)),Bookings!D537,0),IF(AND(K537&lt;&gt;"",LEN("x"&amp;L537)-LEN(SUBSTITUTE("x"&amp;L537,".",""))=2,OR(1&gt;LEN(L537),MID(L537,1,1)=".",ISNUMBER(FIND("x"&amp;MID(L537,1,1),"x0x1x2x3x4x5x6x7x8x9"))),OR(2&gt;LEN(L537),MID(L537,2,1)=".",ISNUMBER(FIND("x"&amp;MID(L537,2,1),"x0x1x2x3x4x5x6x7x8x9"))),OR(3&gt;LEN(L537),MID(L537,3,1)=".",ISNUMBER(FIND("x"&amp;MID(L537,3,1),"x0x1x2x3x4x5x6x7x8x9"))),OR(4&gt;LEN(L537),MID(L537,4,1)=".",ISNUMBER(FIND("x"&amp;MID(L537,4,1),"x0x1x2x3x4x5x6x7x8x9"))),OR(5&gt;LEN(L537),MID(L537,5,1)=".",ISNUMBER(FIND("x"&amp;MID(L537,5,1),"x0x1x2x3x4x5x6x7x8x9"))),OR(6&gt;LEN(L537),MID(L537,6,1)=".",ISNUMBER(FIND("x"&amp;MID(L537,6,1),"x0x1x2x3x4x5x6x7x8x9"))),OR(7&gt;LEN(L537),MID(L537,7,1)=".",ISNUMBER(FIND("x"&amp;MID(L537,7,1),"x0x1x2x3x4x5x6x7x8x9"))),OR(8&gt;LEN(L537),MID(L537,8,1)=".",ISNUMBER(FIND("x"&amp;MID(L537,8,1),"x0x1x2x3x4x5x6x7x8x9"))),OR(9&gt;LEN(L537),MID(L537,9,1)=".",ISNUMBER(FIND("x"&amp;MID(L537,9,1),"x0x1x2x3x4x5x6x7x8x9"))),OR(10&gt;LEN(L537),MID(L537,10,1)=".",ISNUMBER(FIND("x"&amp;MID(L537,10,1),"x0x1x2x3x4x5x6x7x8x9"))),OR(AND(FIND(".",L537)=5,LEN(L537)-FIND(".",L537,FIND(".",L537)+1)&gt;=1,LEN(L537)-FIND(".",L537,FIND(".",L537)+1)&lt;=2),AND(LEN(L537)-FIND(".",L537,FIND(".",L537)+1)=4,FIND(".",L537)&gt;=2,FIND(".",L537)&lt;=3)),FIND(".",L537,FIND(".",L537)+1)-FIND(".",L537)&gt;=2,FIND(".",L537,FIND(".",L537)+1)-FIND(".",L537)&lt;=3,P537&gt;=2000,P537&lt;=2100,YEAR(S537)=P537,MONTH(S537)=Q537,DAY(S537)=R537),S537,0)),0)</ns0:f>
        <ns0:v>0</ns0:v>
      </ns0:c>
      <ns0:c r="U537" s="0" t="str">
        <ns0:f>IF(Bookings!C537="","Full day",Bookings!C537)</ns0:f>
        <ns0:v>Full day</ns0:v>
      </ns0:c>
      <ns0:c r="V537" s="0" t="str">
        <ns0:f>IF(Bookings!E537="","Full day",Bookings!E537)</ns0:f>
        <ns0:v>Full day</ns0:v>
      </ns0:c>
      <ns0:c r="W537" s="0">
        <ns0:f>IF(J537=0,0,J537+IF(U537="PM",1,0))</ns0:f>
        <ns0:v>0</ns0:v>
      </ns0:c>
      <ns0:c r="X537" s="0">
        <ns0:f>IF(T537=0,0,T537-IF(V537="PM",1,0))</ns0:f>
        <ns0:v>0</ns0:v>
      </ns0:c>
      <ns0:c r="Y537" s="0">
        <ns0:f>IF(J537=0,0,J537+IF(U537="AM",1,0))</ns0:f>
        <ns0:v>0</ns0:v>
      </ns0:c>
      <ns0:c r="Z537" s="0">
        <ns0:f>IF(T537=0,0,T537-IF(V537="AM",1,0))</ns0:f>
        <ns0:v>0</ns0:v>
      </ns0:c>
      <ns0:c r="AA537" s="0">
        <ns0:f>IFERROR(IF(AND(J537&gt;0,'_Engine'!C537&gt;0,MID('_Engine'!W537,WEEKDAY(J537,2),1)="W",COUNTIF(Settings!$F$18:$F$67,J537)=0),1,0),0)</ns0:f>
        <ns0:v>0</ns0:v>
      </ns0:c>
      <ns0:c r="AB537" s="0">
        <ns0:f>IFERROR(IF(AND(T537&gt;0,'_Engine'!C537&gt;0,MID('_Engine'!W537,WEEKDAY(T537,2),1)="W",COUNTIF(Settings!$F$18:$F$67,T537)=0),1,0),0)</ns0:f>
        <ns0:v>0</ns0:v>
      </ns0:c>
      <ns0:c r="AC537" s="0">
        <ns0:f>IF(AND(J537&gt;0,T537&gt;0,W537&lt;=X537),1,0)</ns0:f>
        <ns0:v>0</ns0:v>
      </ns0:c>
      <ns0:c r="AD537" s="0">
        <ns0:f>IF(AND(J537&gt;0,T537&gt;0,Y537&lt;=Z537),1,0)</ns0:f>
        <ns0:v>0</ns0:v>
      </ns0:c>
    </ns0:row>
    <ns0:row r="538">
      <ns0:c r="A538" s="0">
        <ns0:f>IFERROR(IF(ISNUMBER(Bookings!B538),"",TRIM(Bookings!B538&amp;"")),"")</ns0:f>
      </ns0:c>
      <ns0:c r="B538" s="0">
        <ns0:f>IFERROR(SUBSTITUTE(SUBSTITUTE(A538,"/","."),"-","."),"")</ns0:f>
      </ns0:c>
      <ns0:c r="C538" s="0">
        <ns0:f>IFERROR(LEFT(B538,FIND(".",B538)-1),"")</ns0:f>
      </ns0:c>
      <ns0:c r="D538" s="0">
        <ns0:f>IFERROR(MID(B538,FIND(".",B538)+1,FIND(".",B538,FIND(".",B538)+1)-FIND(".",B538)-1),"")</ns0:f>
      </ns0:c>
      <ns0:c r="E538" s="0">
        <ns0:f>IFERROR(MID(B538,FIND(".",B538,FIND(".",B538)+1)+1,99),"")</ns0:f>
        <ns0:v>99</ns0:v>
      </ns0:c>
      <ns0:c r="F538" s="0">
        <ns0:f>IFERROR(IF(FIND(".",B538)=5,--C538,--E538),0)</ns0:f>
        <ns0:v>0</ns0:v>
      </ns0:c>
      <ns0:c r="G538" s="0">
        <ns0:f>IFERROR(--D538,0)</ns0:f>
        <ns0:v>0</ns0:v>
      </ns0:c>
      <ns0:c r="H538" s="0">
        <ns0:f>IFERROR(IF(FIND(".",B538)=5,--E538,--C538),0)</ns0:f>
        <ns0:v>0</ns0:v>
      </ns0:c>
      <ns0:c r="I538" s="0">
        <ns0:f>IFERROR(IF(AND(F538&gt;=2000,F538&lt;=2100,G538&gt;=1,G538&lt;=12,H538&gt;=1,H538&lt;=31),DATE(F538,G538,H538),0),0)</ns0:f>
        <ns0:v>0</ns0:v>
      </ns0:c>
      <ns0:c r="J538" s="0">
        <ns0:f>IFERROR(IF(ISNUMBER(Bookings!B538),IF(AND(Bookings!B538=INT(Bookings!B538),Bookings!B538&gt;=DATE(2000,1,1),Bookings!B538&lt;=DATE(2100,12,31)),Bookings!B538,0),IF(AND(A538&lt;&gt;"",LEN("x"&amp;B538)-LEN(SUBSTITUTE("x"&amp;B538,".",""))=2,OR(1&gt;LEN(B538),MID(B538,1,1)=".",ISNUMBER(FIND("x"&amp;MID(B538,1,1),"x0x1x2x3x4x5x6x7x8x9"))),OR(2&gt;LEN(B538),MID(B538,2,1)=".",ISNUMBER(FIND("x"&amp;MID(B538,2,1),"x0x1x2x3x4x5x6x7x8x9"))),OR(3&gt;LEN(B538),MID(B538,3,1)=".",ISNUMBER(FIND("x"&amp;MID(B538,3,1),"x0x1x2x3x4x5x6x7x8x9"))),OR(4&gt;LEN(B538),MID(B538,4,1)=".",ISNUMBER(FIND("x"&amp;MID(B538,4,1),"x0x1x2x3x4x5x6x7x8x9"))),OR(5&gt;LEN(B538),MID(B538,5,1)=".",ISNUMBER(FIND("x"&amp;MID(B538,5,1),"x0x1x2x3x4x5x6x7x8x9"))),OR(6&gt;LEN(B538),MID(B538,6,1)=".",ISNUMBER(FIND("x"&amp;MID(B538,6,1),"x0x1x2x3x4x5x6x7x8x9"))),OR(7&gt;LEN(B538),MID(B538,7,1)=".",ISNUMBER(FIND("x"&amp;MID(B538,7,1),"x0x1x2x3x4x5x6x7x8x9"))),OR(8&gt;LEN(B538),MID(B538,8,1)=".",ISNUMBER(FIND("x"&amp;MID(B538,8,1),"x0x1x2x3x4x5x6x7x8x9"))),OR(9&gt;LEN(B538),MID(B538,9,1)=".",ISNUMBER(FIND("x"&amp;MID(B538,9,1),"x0x1x2x3x4x5x6x7x8x9"))),OR(10&gt;LEN(B538),MID(B538,10,1)=".",ISNUMBER(FIND("x"&amp;MID(B538,10,1),"x0x1x2x3x4x5x6x7x8x9"))),OR(AND(FIND(".",B538)=5,LEN(B538)-FIND(".",B538,FIND(".",B538)+1)&gt;=1,LEN(B538)-FIND(".",B538,FIND(".",B538)+1)&lt;=2),AND(LEN(B538)-FIND(".",B538,FIND(".",B538)+1)=4,FIND(".",B538)&gt;=2,FIND(".",B538)&lt;=3)),FIND(".",B538,FIND(".",B538)+1)-FIND(".",B538)&gt;=2,FIND(".",B538,FIND(".",B538)+1)-FIND(".",B538)&lt;=3,F538&gt;=2000,F538&lt;=2100,YEAR(I538)=F538,MONTH(I538)=G538,DAY(I538)=H538),I538,0)),0)</ns0:f>
        <ns0:v>0</ns0:v>
      </ns0:c>
      <ns0:c r="K538" s="0">
        <ns0:f>IFERROR(IF(ISNUMBER(Bookings!D538),"",TRIM(Bookings!D538&amp;"")),"")</ns0:f>
      </ns0:c>
      <ns0:c r="L538" s="0">
        <ns0:f>IFERROR(SUBSTITUTE(SUBSTITUTE(K538,"/","."),"-","."),"")</ns0:f>
      </ns0:c>
      <ns0:c r="M538" s="0">
        <ns0:f>IFERROR(LEFT(L538,FIND(".",L538)-1),"")</ns0:f>
      </ns0:c>
      <ns0:c r="N538" s="0">
        <ns0:f>IFERROR(MID(L538,FIND(".",L538)+1,FIND(".",L538,FIND(".",L538)+1)-FIND(".",L538)-1),"")</ns0:f>
      </ns0:c>
      <ns0:c r="O538" s="0">
        <ns0:f>IFERROR(MID(L538,FIND(".",L538,FIND(".",L538)+1)+1,99),"")</ns0:f>
        <ns0:v>99</ns0:v>
      </ns0:c>
      <ns0:c r="P538" s="0">
        <ns0:f>IFERROR(IF(FIND(".",L538)=5,--M538,--O538),0)</ns0:f>
        <ns0:v>0</ns0:v>
      </ns0:c>
      <ns0:c r="Q538" s="0">
        <ns0:f>IFERROR(--N538,0)</ns0:f>
        <ns0:v>0</ns0:v>
      </ns0:c>
      <ns0:c r="R538" s="0">
        <ns0:f>IFERROR(IF(FIND(".",L538)=5,--O538,--M538),0)</ns0:f>
        <ns0:v>0</ns0:v>
      </ns0:c>
      <ns0:c r="S538" s="0">
        <ns0:f>IFERROR(IF(AND(P538&gt;=2000,P538&lt;=2100,Q538&gt;=1,Q538&lt;=12,R538&gt;=1,R538&lt;=31),DATE(P538,Q538,R538),0),0)</ns0:f>
        <ns0:v>0</ns0:v>
      </ns0:c>
      <ns0:c r="T538" s="0">
        <ns0:f>IFERROR(IF(ISNUMBER(Bookings!D538),IF(AND(Bookings!D538=INT(Bookings!D538),Bookings!D538&gt;=DATE(2000,1,1),Bookings!D538&lt;=DATE(2100,12,31)),Bookings!D538,0),IF(AND(K538&lt;&gt;"",LEN("x"&amp;L538)-LEN(SUBSTITUTE("x"&amp;L538,".",""))=2,OR(1&gt;LEN(L538),MID(L538,1,1)=".",ISNUMBER(FIND("x"&amp;MID(L538,1,1),"x0x1x2x3x4x5x6x7x8x9"))),OR(2&gt;LEN(L538),MID(L538,2,1)=".",ISNUMBER(FIND("x"&amp;MID(L538,2,1),"x0x1x2x3x4x5x6x7x8x9"))),OR(3&gt;LEN(L538),MID(L538,3,1)=".",ISNUMBER(FIND("x"&amp;MID(L538,3,1),"x0x1x2x3x4x5x6x7x8x9"))),OR(4&gt;LEN(L538),MID(L538,4,1)=".",ISNUMBER(FIND("x"&amp;MID(L538,4,1),"x0x1x2x3x4x5x6x7x8x9"))),OR(5&gt;LEN(L538),MID(L538,5,1)=".",ISNUMBER(FIND("x"&amp;MID(L538,5,1),"x0x1x2x3x4x5x6x7x8x9"))),OR(6&gt;LEN(L538),MID(L538,6,1)=".",ISNUMBER(FIND("x"&amp;MID(L538,6,1),"x0x1x2x3x4x5x6x7x8x9"))),OR(7&gt;LEN(L538),MID(L538,7,1)=".",ISNUMBER(FIND("x"&amp;MID(L538,7,1),"x0x1x2x3x4x5x6x7x8x9"))),OR(8&gt;LEN(L538),MID(L538,8,1)=".",ISNUMBER(FIND("x"&amp;MID(L538,8,1),"x0x1x2x3x4x5x6x7x8x9"))),OR(9&gt;LEN(L538),MID(L538,9,1)=".",ISNUMBER(FIND("x"&amp;MID(L538,9,1),"x0x1x2x3x4x5x6x7x8x9"))),OR(10&gt;LEN(L538),MID(L538,10,1)=".",ISNUMBER(FIND("x"&amp;MID(L538,10,1),"x0x1x2x3x4x5x6x7x8x9"))),OR(AND(FIND(".",L538)=5,LEN(L538)-FIND(".",L538,FIND(".",L538)+1)&gt;=1,LEN(L538)-FIND(".",L538,FIND(".",L538)+1)&lt;=2),AND(LEN(L538)-FIND(".",L538,FIND(".",L538)+1)=4,FIND(".",L538)&gt;=2,FIND(".",L538)&lt;=3)),FIND(".",L538,FIND(".",L538)+1)-FIND(".",L538)&gt;=2,FIND(".",L538,FIND(".",L538)+1)-FIND(".",L538)&lt;=3,P538&gt;=2000,P538&lt;=2100,YEAR(S538)=P538,MONTH(S538)=Q538,DAY(S538)=R538),S538,0)),0)</ns0:f>
        <ns0:v>0</ns0:v>
      </ns0:c>
      <ns0:c r="U538" s="0" t="str">
        <ns0:f>IF(Bookings!C538="","Full day",Bookings!C538)</ns0:f>
        <ns0:v>Full day</ns0:v>
      </ns0:c>
      <ns0:c r="V538" s="0" t="str">
        <ns0:f>IF(Bookings!E538="","Full day",Bookings!E538)</ns0:f>
        <ns0:v>Full day</ns0:v>
      </ns0:c>
      <ns0:c r="W538" s="0">
        <ns0:f>IF(J538=0,0,J538+IF(U538="PM",1,0))</ns0:f>
        <ns0:v>0</ns0:v>
      </ns0:c>
      <ns0:c r="X538" s="0">
        <ns0:f>IF(T538=0,0,T538-IF(V538="PM",1,0))</ns0:f>
        <ns0:v>0</ns0:v>
      </ns0:c>
      <ns0:c r="Y538" s="0">
        <ns0:f>IF(J538=0,0,J538+IF(U538="AM",1,0))</ns0:f>
        <ns0:v>0</ns0:v>
      </ns0:c>
      <ns0:c r="Z538" s="0">
        <ns0:f>IF(T538=0,0,T538-IF(V538="AM",1,0))</ns0:f>
        <ns0:v>0</ns0:v>
      </ns0:c>
      <ns0:c r="AA538" s="0">
        <ns0:f>IFERROR(IF(AND(J538&gt;0,'_Engine'!C538&gt;0,MID('_Engine'!W538,WEEKDAY(J538,2),1)="W",COUNTIF(Settings!$F$18:$F$67,J538)=0),1,0),0)</ns0:f>
        <ns0:v>0</ns0:v>
      </ns0:c>
      <ns0:c r="AB538" s="0">
        <ns0:f>IFERROR(IF(AND(T538&gt;0,'_Engine'!C538&gt;0,MID('_Engine'!W538,WEEKDAY(T538,2),1)="W",COUNTIF(Settings!$F$18:$F$67,T538)=0),1,0),0)</ns0:f>
        <ns0:v>0</ns0:v>
      </ns0:c>
      <ns0:c r="AC538" s="0">
        <ns0:f>IF(AND(J538&gt;0,T538&gt;0,W538&lt;=X538),1,0)</ns0:f>
        <ns0:v>0</ns0:v>
      </ns0:c>
      <ns0:c r="AD538" s="0">
        <ns0:f>IF(AND(J538&gt;0,T538&gt;0,Y538&lt;=Z538),1,0)</ns0:f>
        <ns0:v>0</ns0:v>
      </ns0:c>
    </ns0:row>
    <ns0:row r="539">
      <ns0:c r="A539" s="0">
        <ns0:f>IFERROR(IF(ISNUMBER(Bookings!B539),"",TRIM(Bookings!B539&amp;"")),"")</ns0:f>
      </ns0:c>
      <ns0:c r="B539" s="0">
        <ns0:f>IFERROR(SUBSTITUTE(SUBSTITUTE(A539,"/","."),"-","."),"")</ns0:f>
      </ns0:c>
      <ns0:c r="C539" s="0">
        <ns0:f>IFERROR(LEFT(B539,FIND(".",B539)-1),"")</ns0:f>
      </ns0:c>
      <ns0:c r="D539" s="0">
        <ns0:f>IFERROR(MID(B539,FIND(".",B539)+1,FIND(".",B539,FIND(".",B539)+1)-FIND(".",B539)-1),"")</ns0:f>
      </ns0:c>
      <ns0:c r="E539" s="0">
        <ns0:f>IFERROR(MID(B539,FIND(".",B539,FIND(".",B539)+1)+1,99),"")</ns0:f>
        <ns0:v>99</ns0:v>
      </ns0:c>
      <ns0:c r="F539" s="0">
        <ns0:f>IFERROR(IF(FIND(".",B539)=5,--C539,--E539),0)</ns0:f>
        <ns0:v>0</ns0:v>
      </ns0:c>
      <ns0:c r="G539" s="0">
        <ns0:f>IFERROR(--D539,0)</ns0:f>
        <ns0:v>0</ns0:v>
      </ns0:c>
      <ns0:c r="H539" s="0">
        <ns0:f>IFERROR(IF(FIND(".",B539)=5,--E539,--C539),0)</ns0:f>
        <ns0:v>0</ns0:v>
      </ns0:c>
      <ns0:c r="I539" s="0">
        <ns0:f>IFERROR(IF(AND(F539&gt;=2000,F539&lt;=2100,G539&gt;=1,G539&lt;=12,H539&gt;=1,H539&lt;=31),DATE(F539,G539,H539),0),0)</ns0:f>
        <ns0:v>0</ns0:v>
      </ns0:c>
      <ns0:c r="J539" s="0">
        <ns0:f>IFERROR(IF(ISNUMBER(Bookings!B539),IF(AND(Bookings!B539=INT(Bookings!B539),Bookings!B539&gt;=DATE(2000,1,1),Bookings!B539&lt;=DATE(2100,12,31)),Bookings!B539,0),IF(AND(A539&lt;&gt;"",LEN("x"&amp;B539)-LEN(SUBSTITUTE("x"&amp;B539,".",""))=2,OR(1&gt;LEN(B539),MID(B539,1,1)=".",ISNUMBER(FIND("x"&amp;MID(B539,1,1),"x0x1x2x3x4x5x6x7x8x9"))),OR(2&gt;LEN(B539),MID(B539,2,1)=".",ISNUMBER(FIND("x"&amp;MID(B539,2,1),"x0x1x2x3x4x5x6x7x8x9"))),OR(3&gt;LEN(B539),MID(B539,3,1)=".",ISNUMBER(FIND("x"&amp;MID(B539,3,1),"x0x1x2x3x4x5x6x7x8x9"))),OR(4&gt;LEN(B539),MID(B539,4,1)=".",ISNUMBER(FIND("x"&amp;MID(B539,4,1),"x0x1x2x3x4x5x6x7x8x9"))),OR(5&gt;LEN(B539),MID(B539,5,1)=".",ISNUMBER(FIND("x"&amp;MID(B539,5,1),"x0x1x2x3x4x5x6x7x8x9"))),OR(6&gt;LEN(B539),MID(B539,6,1)=".",ISNUMBER(FIND("x"&amp;MID(B539,6,1),"x0x1x2x3x4x5x6x7x8x9"))),OR(7&gt;LEN(B539),MID(B539,7,1)=".",ISNUMBER(FIND("x"&amp;MID(B539,7,1),"x0x1x2x3x4x5x6x7x8x9"))),OR(8&gt;LEN(B539),MID(B539,8,1)=".",ISNUMBER(FIND("x"&amp;MID(B539,8,1),"x0x1x2x3x4x5x6x7x8x9"))),OR(9&gt;LEN(B539),MID(B539,9,1)=".",ISNUMBER(FIND("x"&amp;MID(B539,9,1),"x0x1x2x3x4x5x6x7x8x9"))),OR(10&gt;LEN(B539),MID(B539,10,1)=".",ISNUMBER(FIND("x"&amp;MID(B539,10,1),"x0x1x2x3x4x5x6x7x8x9"))),OR(AND(FIND(".",B539)=5,LEN(B539)-FIND(".",B539,FIND(".",B539)+1)&gt;=1,LEN(B539)-FIND(".",B539,FIND(".",B539)+1)&lt;=2),AND(LEN(B539)-FIND(".",B539,FIND(".",B539)+1)=4,FIND(".",B539)&gt;=2,FIND(".",B539)&lt;=3)),FIND(".",B539,FIND(".",B539)+1)-FIND(".",B539)&gt;=2,FIND(".",B539,FIND(".",B539)+1)-FIND(".",B539)&lt;=3,F539&gt;=2000,F539&lt;=2100,YEAR(I539)=F539,MONTH(I539)=G539,DAY(I539)=H539),I539,0)),0)</ns0:f>
        <ns0:v>0</ns0:v>
      </ns0:c>
      <ns0:c r="K539" s="0">
        <ns0:f>IFERROR(IF(ISNUMBER(Bookings!D539),"",TRIM(Bookings!D539&amp;"")),"")</ns0:f>
      </ns0:c>
      <ns0:c r="L539" s="0">
        <ns0:f>IFERROR(SUBSTITUTE(SUBSTITUTE(K539,"/","."),"-","."),"")</ns0:f>
      </ns0:c>
      <ns0:c r="M539" s="0">
        <ns0:f>IFERROR(LEFT(L539,FIND(".",L539)-1),"")</ns0:f>
      </ns0:c>
      <ns0:c r="N539" s="0">
        <ns0:f>IFERROR(MID(L539,FIND(".",L539)+1,FIND(".",L539,FIND(".",L539)+1)-FIND(".",L539)-1),"")</ns0:f>
      </ns0:c>
      <ns0:c r="O539" s="0">
        <ns0:f>IFERROR(MID(L539,FIND(".",L539,FIND(".",L539)+1)+1,99),"")</ns0:f>
        <ns0:v>99</ns0:v>
      </ns0:c>
      <ns0:c r="P539" s="0">
        <ns0:f>IFERROR(IF(FIND(".",L539)=5,--M539,--O539),0)</ns0:f>
        <ns0:v>0</ns0:v>
      </ns0:c>
      <ns0:c r="Q539" s="0">
        <ns0:f>IFERROR(--N539,0)</ns0:f>
        <ns0:v>0</ns0:v>
      </ns0:c>
      <ns0:c r="R539" s="0">
        <ns0:f>IFERROR(IF(FIND(".",L539)=5,--O539,--M539),0)</ns0:f>
        <ns0:v>0</ns0:v>
      </ns0:c>
      <ns0:c r="S539" s="0">
        <ns0:f>IFERROR(IF(AND(P539&gt;=2000,P539&lt;=2100,Q539&gt;=1,Q539&lt;=12,R539&gt;=1,R539&lt;=31),DATE(P539,Q539,R539),0),0)</ns0:f>
        <ns0:v>0</ns0:v>
      </ns0:c>
      <ns0:c r="T539" s="0">
        <ns0:f>IFERROR(IF(ISNUMBER(Bookings!D539),IF(AND(Bookings!D539=INT(Bookings!D539),Bookings!D539&gt;=DATE(2000,1,1),Bookings!D539&lt;=DATE(2100,12,31)),Bookings!D539,0),IF(AND(K539&lt;&gt;"",LEN("x"&amp;L539)-LEN(SUBSTITUTE("x"&amp;L539,".",""))=2,OR(1&gt;LEN(L539),MID(L539,1,1)=".",ISNUMBER(FIND("x"&amp;MID(L539,1,1),"x0x1x2x3x4x5x6x7x8x9"))),OR(2&gt;LEN(L539),MID(L539,2,1)=".",ISNUMBER(FIND("x"&amp;MID(L539,2,1),"x0x1x2x3x4x5x6x7x8x9"))),OR(3&gt;LEN(L539),MID(L539,3,1)=".",ISNUMBER(FIND("x"&amp;MID(L539,3,1),"x0x1x2x3x4x5x6x7x8x9"))),OR(4&gt;LEN(L539),MID(L539,4,1)=".",ISNUMBER(FIND("x"&amp;MID(L539,4,1),"x0x1x2x3x4x5x6x7x8x9"))),OR(5&gt;LEN(L539),MID(L539,5,1)=".",ISNUMBER(FIND("x"&amp;MID(L539,5,1),"x0x1x2x3x4x5x6x7x8x9"))),OR(6&gt;LEN(L539),MID(L539,6,1)=".",ISNUMBER(FIND("x"&amp;MID(L539,6,1),"x0x1x2x3x4x5x6x7x8x9"))),OR(7&gt;LEN(L539),MID(L539,7,1)=".",ISNUMBER(FIND("x"&amp;MID(L539,7,1),"x0x1x2x3x4x5x6x7x8x9"))),OR(8&gt;LEN(L539),MID(L539,8,1)=".",ISNUMBER(FIND("x"&amp;MID(L539,8,1),"x0x1x2x3x4x5x6x7x8x9"))),OR(9&gt;LEN(L539),MID(L539,9,1)=".",ISNUMBER(FIND("x"&amp;MID(L539,9,1),"x0x1x2x3x4x5x6x7x8x9"))),OR(10&gt;LEN(L539),MID(L539,10,1)=".",ISNUMBER(FIND("x"&amp;MID(L539,10,1),"x0x1x2x3x4x5x6x7x8x9"))),OR(AND(FIND(".",L539)=5,LEN(L539)-FIND(".",L539,FIND(".",L539)+1)&gt;=1,LEN(L539)-FIND(".",L539,FIND(".",L539)+1)&lt;=2),AND(LEN(L539)-FIND(".",L539,FIND(".",L539)+1)=4,FIND(".",L539)&gt;=2,FIND(".",L539)&lt;=3)),FIND(".",L539,FIND(".",L539)+1)-FIND(".",L539)&gt;=2,FIND(".",L539,FIND(".",L539)+1)-FIND(".",L539)&lt;=3,P539&gt;=2000,P539&lt;=2100,YEAR(S539)=P539,MONTH(S539)=Q539,DAY(S539)=R539),S539,0)),0)</ns0:f>
        <ns0:v>0</ns0:v>
      </ns0:c>
      <ns0:c r="U539" s="0" t="str">
        <ns0:f>IF(Bookings!C539="","Full day",Bookings!C539)</ns0:f>
        <ns0:v>Full day</ns0:v>
      </ns0:c>
      <ns0:c r="V539" s="0" t="str">
        <ns0:f>IF(Bookings!E539="","Full day",Bookings!E539)</ns0:f>
        <ns0:v>Full day</ns0:v>
      </ns0:c>
      <ns0:c r="W539" s="0">
        <ns0:f>IF(J539=0,0,J539+IF(U539="PM",1,0))</ns0:f>
        <ns0:v>0</ns0:v>
      </ns0:c>
      <ns0:c r="X539" s="0">
        <ns0:f>IF(T539=0,0,T539-IF(V539="PM",1,0))</ns0:f>
        <ns0:v>0</ns0:v>
      </ns0:c>
      <ns0:c r="Y539" s="0">
        <ns0:f>IF(J539=0,0,J539+IF(U539="AM",1,0))</ns0:f>
        <ns0:v>0</ns0:v>
      </ns0:c>
      <ns0:c r="Z539" s="0">
        <ns0:f>IF(T539=0,0,T539-IF(V539="AM",1,0))</ns0:f>
        <ns0:v>0</ns0:v>
      </ns0:c>
      <ns0:c r="AA539" s="0">
        <ns0:f>IFERROR(IF(AND(J539&gt;0,'_Engine'!C539&gt;0,MID('_Engine'!W539,WEEKDAY(J539,2),1)="W",COUNTIF(Settings!$F$18:$F$67,J539)=0),1,0),0)</ns0:f>
        <ns0:v>0</ns0:v>
      </ns0:c>
      <ns0:c r="AB539" s="0">
        <ns0:f>IFERROR(IF(AND(T539&gt;0,'_Engine'!C539&gt;0,MID('_Engine'!W539,WEEKDAY(T539,2),1)="W",COUNTIF(Settings!$F$18:$F$67,T539)=0),1,0),0)</ns0:f>
        <ns0:v>0</ns0:v>
      </ns0:c>
      <ns0:c r="AC539" s="0">
        <ns0:f>IF(AND(J539&gt;0,T539&gt;0,W539&lt;=X539),1,0)</ns0:f>
        <ns0:v>0</ns0:v>
      </ns0:c>
      <ns0:c r="AD539" s="0">
        <ns0:f>IF(AND(J539&gt;0,T539&gt;0,Y539&lt;=Z539),1,0)</ns0:f>
        <ns0:v>0</ns0:v>
      </ns0:c>
    </ns0:row>
    <ns0:row r="540">
      <ns0:c r="A540" s="0">
        <ns0:f>IFERROR(IF(ISNUMBER(Bookings!B540),"",TRIM(Bookings!B540&amp;"")),"")</ns0:f>
      </ns0:c>
      <ns0:c r="B540" s="0">
        <ns0:f>IFERROR(SUBSTITUTE(SUBSTITUTE(A540,"/","."),"-","."),"")</ns0:f>
      </ns0:c>
      <ns0:c r="C540" s="0">
        <ns0:f>IFERROR(LEFT(B540,FIND(".",B540)-1),"")</ns0:f>
      </ns0:c>
      <ns0:c r="D540" s="0">
        <ns0:f>IFERROR(MID(B540,FIND(".",B540)+1,FIND(".",B540,FIND(".",B540)+1)-FIND(".",B540)-1),"")</ns0:f>
      </ns0:c>
      <ns0:c r="E540" s="0">
        <ns0:f>IFERROR(MID(B540,FIND(".",B540,FIND(".",B540)+1)+1,99),"")</ns0:f>
        <ns0:v>99</ns0:v>
      </ns0:c>
      <ns0:c r="F540" s="0">
        <ns0:f>IFERROR(IF(FIND(".",B540)=5,--C540,--E540),0)</ns0:f>
        <ns0:v>0</ns0:v>
      </ns0:c>
      <ns0:c r="G540" s="0">
        <ns0:f>IFERROR(--D540,0)</ns0:f>
        <ns0:v>0</ns0:v>
      </ns0:c>
      <ns0:c r="H540" s="0">
        <ns0:f>IFERROR(IF(FIND(".",B540)=5,--E540,--C540),0)</ns0:f>
        <ns0:v>0</ns0:v>
      </ns0:c>
      <ns0:c r="I540" s="0">
        <ns0:f>IFERROR(IF(AND(F540&gt;=2000,F540&lt;=2100,G540&gt;=1,G540&lt;=12,H540&gt;=1,H540&lt;=31),DATE(F540,G540,H540),0),0)</ns0:f>
        <ns0:v>0</ns0:v>
      </ns0:c>
      <ns0:c r="J540" s="0">
        <ns0:f>IFERROR(IF(ISNUMBER(Bookings!B540),IF(AND(Bookings!B540=INT(Bookings!B540),Bookings!B540&gt;=DATE(2000,1,1),Bookings!B540&lt;=DATE(2100,12,31)),Bookings!B540,0),IF(AND(A540&lt;&gt;"",LEN("x"&amp;B540)-LEN(SUBSTITUTE("x"&amp;B540,".",""))=2,OR(1&gt;LEN(B540),MID(B540,1,1)=".",ISNUMBER(FIND("x"&amp;MID(B540,1,1),"x0x1x2x3x4x5x6x7x8x9"))),OR(2&gt;LEN(B540),MID(B540,2,1)=".",ISNUMBER(FIND("x"&amp;MID(B540,2,1),"x0x1x2x3x4x5x6x7x8x9"))),OR(3&gt;LEN(B540),MID(B540,3,1)=".",ISNUMBER(FIND("x"&amp;MID(B540,3,1),"x0x1x2x3x4x5x6x7x8x9"))),OR(4&gt;LEN(B540),MID(B540,4,1)=".",ISNUMBER(FIND("x"&amp;MID(B540,4,1),"x0x1x2x3x4x5x6x7x8x9"))),OR(5&gt;LEN(B540),MID(B540,5,1)=".",ISNUMBER(FIND("x"&amp;MID(B540,5,1),"x0x1x2x3x4x5x6x7x8x9"))),OR(6&gt;LEN(B540),MID(B540,6,1)=".",ISNUMBER(FIND("x"&amp;MID(B540,6,1),"x0x1x2x3x4x5x6x7x8x9"))),OR(7&gt;LEN(B540),MID(B540,7,1)=".",ISNUMBER(FIND("x"&amp;MID(B540,7,1),"x0x1x2x3x4x5x6x7x8x9"))),OR(8&gt;LEN(B540),MID(B540,8,1)=".",ISNUMBER(FIND("x"&amp;MID(B540,8,1),"x0x1x2x3x4x5x6x7x8x9"))),OR(9&gt;LEN(B540),MID(B540,9,1)=".",ISNUMBER(FIND("x"&amp;MID(B540,9,1),"x0x1x2x3x4x5x6x7x8x9"))),OR(10&gt;LEN(B540),MID(B540,10,1)=".",ISNUMBER(FIND("x"&amp;MID(B540,10,1),"x0x1x2x3x4x5x6x7x8x9"))),OR(AND(FIND(".",B540)=5,LEN(B540)-FIND(".",B540,FIND(".",B540)+1)&gt;=1,LEN(B540)-FIND(".",B540,FIND(".",B540)+1)&lt;=2),AND(LEN(B540)-FIND(".",B540,FIND(".",B540)+1)=4,FIND(".",B540)&gt;=2,FIND(".",B540)&lt;=3)),FIND(".",B540,FIND(".",B540)+1)-FIND(".",B540)&gt;=2,FIND(".",B540,FIND(".",B540)+1)-FIND(".",B540)&lt;=3,F540&gt;=2000,F540&lt;=2100,YEAR(I540)=F540,MONTH(I540)=G540,DAY(I540)=H540),I540,0)),0)</ns0:f>
        <ns0:v>0</ns0:v>
      </ns0:c>
      <ns0:c r="K540" s="0">
        <ns0:f>IFERROR(IF(ISNUMBER(Bookings!D540),"",TRIM(Bookings!D540&amp;"")),"")</ns0:f>
      </ns0:c>
      <ns0:c r="L540" s="0">
        <ns0:f>IFERROR(SUBSTITUTE(SUBSTITUTE(K540,"/","."),"-","."),"")</ns0:f>
      </ns0:c>
      <ns0:c r="M540" s="0">
        <ns0:f>IFERROR(LEFT(L540,FIND(".",L540)-1),"")</ns0:f>
      </ns0:c>
      <ns0:c r="N540" s="0">
        <ns0:f>IFERROR(MID(L540,FIND(".",L540)+1,FIND(".",L540,FIND(".",L540)+1)-FIND(".",L540)-1),"")</ns0:f>
      </ns0:c>
      <ns0:c r="O540" s="0">
        <ns0:f>IFERROR(MID(L540,FIND(".",L540,FIND(".",L540)+1)+1,99),"")</ns0:f>
        <ns0:v>99</ns0:v>
      </ns0:c>
      <ns0:c r="P540" s="0">
        <ns0:f>IFERROR(IF(FIND(".",L540)=5,--M540,--O540),0)</ns0:f>
        <ns0:v>0</ns0:v>
      </ns0:c>
      <ns0:c r="Q540" s="0">
        <ns0:f>IFERROR(--N540,0)</ns0:f>
        <ns0:v>0</ns0:v>
      </ns0:c>
      <ns0:c r="R540" s="0">
        <ns0:f>IFERROR(IF(FIND(".",L540)=5,--O540,--M540),0)</ns0:f>
        <ns0:v>0</ns0:v>
      </ns0:c>
      <ns0:c r="S540" s="0">
        <ns0:f>IFERROR(IF(AND(P540&gt;=2000,P540&lt;=2100,Q540&gt;=1,Q540&lt;=12,R540&gt;=1,R540&lt;=31),DATE(P540,Q540,R540),0),0)</ns0:f>
        <ns0:v>0</ns0:v>
      </ns0:c>
      <ns0:c r="T540" s="0">
        <ns0:f>IFERROR(IF(ISNUMBER(Bookings!D540),IF(AND(Bookings!D540=INT(Bookings!D540),Bookings!D540&gt;=DATE(2000,1,1),Bookings!D540&lt;=DATE(2100,12,31)),Bookings!D540,0),IF(AND(K540&lt;&gt;"",LEN("x"&amp;L540)-LEN(SUBSTITUTE("x"&amp;L540,".",""))=2,OR(1&gt;LEN(L540),MID(L540,1,1)=".",ISNUMBER(FIND("x"&amp;MID(L540,1,1),"x0x1x2x3x4x5x6x7x8x9"))),OR(2&gt;LEN(L540),MID(L540,2,1)=".",ISNUMBER(FIND("x"&amp;MID(L540,2,1),"x0x1x2x3x4x5x6x7x8x9"))),OR(3&gt;LEN(L540),MID(L540,3,1)=".",ISNUMBER(FIND("x"&amp;MID(L540,3,1),"x0x1x2x3x4x5x6x7x8x9"))),OR(4&gt;LEN(L540),MID(L540,4,1)=".",ISNUMBER(FIND("x"&amp;MID(L540,4,1),"x0x1x2x3x4x5x6x7x8x9"))),OR(5&gt;LEN(L540),MID(L540,5,1)=".",ISNUMBER(FIND("x"&amp;MID(L540,5,1),"x0x1x2x3x4x5x6x7x8x9"))),OR(6&gt;LEN(L540),MID(L540,6,1)=".",ISNUMBER(FIND("x"&amp;MID(L540,6,1),"x0x1x2x3x4x5x6x7x8x9"))),OR(7&gt;LEN(L540),MID(L540,7,1)=".",ISNUMBER(FIND("x"&amp;MID(L540,7,1),"x0x1x2x3x4x5x6x7x8x9"))),OR(8&gt;LEN(L540),MID(L540,8,1)=".",ISNUMBER(FIND("x"&amp;MID(L540,8,1),"x0x1x2x3x4x5x6x7x8x9"))),OR(9&gt;LEN(L540),MID(L540,9,1)=".",ISNUMBER(FIND("x"&amp;MID(L540,9,1),"x0x1x2x3x4x5x6x7x8x9"))),OR(10&gt;LEN(L540),MID(L540,10,1)=".",ISNUMBER(FIND("x"&amp;MID(L540,10,1),"x0x1x2x3x4x5x6x7x8x9"))),OR(AND(FIND(".",L540)=5,LEN(L540)-FIND(".",L540,FIND(".",L540)+1)&gt;=1,LEN(L540)-FIND(".",L540,FIND(".",L540)+1)&lt;=2),AND(LEN(L540)-FIND(".",L540,FIND(".",L540)+1)=4,FIND(".",L540)&gt;=2,FIND(".",L540)&lt;=3)),FIND(".",L540,FIND(".",L540)+1)-FIND(".",L540)&gt;=2,FIND(".",L540,FIND(".",L540)+1)-FIND(".",L540)&lt;=3,P540&gt;=2000,P540&lt;=2100,YEAR(S540)=P540,MONTH(S540)=Q540,DAY(S540)=R540),S540,0)),0)</ns0:f>
        <ns0:v>0</ns0:v>
      </ns0:c>
      <ns0:c r="U540" s="0" t="str">
        <ns0:f>IF(Bookings!C540="","Full day",Bookings!C540)</ns0:f>
        <ns0:v>Full day</ns0:v>
      </ns0:c>
      <ns0:c r="V540" s="0" t="str">
        <ns0:f>IF(Bookings!E540="","Full day",Bookings!E540)</ns0:f>
        <ns0:v>Full day</ns0:v>
      </ns0:c>
      <ns0:c r="W540" s="0">
        <ns0:f>IF(J540=0,0,J540+IF(U540="PM",1,0))</ns0:f>
        <ns0:v>0</ns0:v>
      </ns0:c>
      <ns0:c r="X540" s="0">
        <ns0:f>IF(T540=0,0,T540-IF(V540="PM",1,0))</ns0:f>
        <ns0:v>0</ns0:v>
      </ns0:c>
      <ns0:c r="Y540" s="0">
        <ns0:f>IF(J540=0,0,J540+IF(U540="AM",1,0))</ns0:f>
        <ns0:v>0</ns0:v>
      </ns0:c>
      <ns0:c r="Z540" s="0">
        <ns0:f>IF(T540=0,0,T540-IF(V540="AM",1,0))</ns0:f>
        <ns0:v>0</ns0:v>
      </ns0:c>
      <ns0:c r="AA540" s="0">
        <ns0:f>IFERROR(IF(AND(J540&gt;0,'_Engine'!C540&gt;0,MID('_Engine'!W540,WEEKDAY(J540,2),1)="W",COUNTIF(Settings!$F$18:$F$67,J540)=0),1,0),0)</ns0:f>
        <ns0:v>0</ns0:v>
      </ns0:c>
      <ns0:c r="AB540" s="0">
        <ns0:f>IFERROR(IF(AND(T540&gt;0,'_Engine'!C540&gt;0,MID('_Engine'!W540,WEEKDAY(T540,2),1)="W",COUNTIF(Settings!$F$18:$F$67,T540)=0),1,0),0)</ns0:f>
        <ns0:v>0</ns0:v>
      </ns0:c>
      <ns0:c r="AC540" s="0">
        <ns0:f>IF(AND(J540&gt;0,T540&gt;0,W540&lt;=X540),1,0)</ns0:f>
        <ns0:v>0</ns0:v>
      </ns0:c>
      <ns0:c r="AD540" s="0">
        <ns0:f>IF(AND(J540&gt;0,T540&gt;0,Y540&lt;=Z540),1,0)</ns0:f>
        <ns0:v>0</ns0:v>
      </ns0:c>
    </ns0:row>
    <ns0:row r="541">
      <ns0:c r="A541" s="0">
        <ns0:f>IFERROR(IF(ISNUMBER(Bookings!B541),"",TRIM(Bookings!B541&amp;"")),"")</ns0:f>
      </ns0:c>
      <ns0:c r="B541" s="0">
        <ns0:f>IFERROR(SUBSTITUTE(SUBSTITUTE(A541,"/","."),"-","."),"")</ns0:f>
      </ns0:c>
      <ns0:c r="C541" s="0">
        <ns0:f>IFERROR(LEFT(B541,FIND(".",B541)-1),"")</ns0:f>
      </ns0:c>
      <ns0:c r="D541" s="0">
        <ns0:f>IFERROR(MID(B541,FIND(".",B541)+1,FIND(".",B541,FIND(".",B541)+1)-FIND(".",B541)-1),"")</ns0:f>
      </ns0:c>
      <ns0:c r="E541" s="0">
        <ns0:f>IFERROR(MID(B541,FIND(".",B541,FIND(".",B541)+1)+1,99),"")</ns0:f>
        <ns0:v>99</ns0:v>
      </ns0:c>
      <ns0:c r="F541" s="0">
        <ns0:f>IFERROR(IF(FIND(".",B541)=5,--C541,--E541),0)</ns0:f>
        <ns0:v>0</ns0:v>
      </ns0:c>
      <ns0:c r="G541" s="0">
        <ns0:f>IFERROR(--D541,0)</ns0:f>
        <ns0:v>0</ns0:v>
      </ns0:c>
      <ns0:c r="H541" s="0">
        <ns0:f>IFERROR(IF(FIND(".",B541)=5,--E541,--C541),0)</ns0:f>
        <ns0:v>0</ns0:v>
      </ns0:c>
      <ns0:c r="I541" s="0">
        <ns0:f>IFERROR(IF(AND(F541&gt;=2000,F541&lt;=2100,G541&gt;=1,G541&lt;=12,H541&gt;=1,H541&lt;=31),DATE(F541,G541,H541),0),0)</ns0:f>
        <ns0:v>0</ns0:v>
      </ns0:c>
      <ns0:c r="J541" s="0">
        <ns0:f>IFERROR(IF(ISNUMBER(Bookings!B541),IF(AND(Bookings!B541=INT(Bookings!B541),Bookings!B541&gt;=DATE(2000,1,1),Bookings!B541&lt;=DATE(2100,12,31)),Bookings!B541,0),IF(AND(A541&lt;&gt;"",LEN("x"&amp;B541)-LEN(SUBSTITUTE("x"&amp;B541,".",""))=2,OR(1&gt;LEN(B541),MID(B541,1,1)=".",ISNUMBER(FIND("x"&amp;MID(B541,1,1),"x0x1x2x3x4x5x6x7x8x9"))),OR(2&gt;LEN(B541),MID(B541,2,1)=".",ISNUMBER(FIND("x"&amp;MID(B541,2,1),"x0x1x2x3x4x5x6x7x8x9"))),OR(3&gt;LEN(B541),MID(B541,3,1)=".",ISNUMBER(FIND("x"&amp;MID(B541,3,1),"x0x1x2x3x4x5x6x7x8x9"))),OR(4&gt;LEN(B541),MID(B541,4,1)=".",ISNUMBER(FIND("x"&amp;MID(B541,4,1),"x0x1x2x3x4x5x6x7x8x9"))),OR(5&gt;LEN(B541),MID(B541,5,1)=".",ISNUMBER(FIND("x"&amp;MID(B541,5,1),"x0x1x2x3x4x5x6x7x8x9"))),OR(6&gt;LEN(B541),MID(B541,6,1)=".",ISNUMBER(FIND("x"&amp;MID(B541,6,1),"x0x1x2x3x4x5x6x7x8x9"))),OR(7&gt;LEN(B541),MID(B541,7,1)=".",ISNUMBER(FIND("x"&amp;MID(B541,7,1),"x0x1x2x3x4x5x6x7x8x9"))),OR(8&gt;LEN(B541),MID(B541,8,1)=".",ISNUMBER(FIND("x"&amp;MID(B541,8,1),"x0x1x2x3x4x5x6x7x8x9"))),OR(9&gt;LEN(B541),MID(B541,9,1)=".",ISNUMBER(FIND("x"&amp;MID(B541,9,1),"x0x1x2x3x4x5x6x7x8x9"))),OR(10&gt;LEN(B541),MID(B541,10,1)=".",ISNUMBER(FIND("x"&amp;MID(B541,10,1),"x0x1x2x3x4x5x6x7x8x9"))),OR(AND(FIND(".",B541)=5,LEN(B541)-FIND(".",B541,FIND(".",B541)+1)&gt;=1,LEN(B541)-FIND(".",B541,FIND(".",B541)+1)&lt;=2),AND(LEN(B541)-FIND(".",B541,FIND(".",B541)+1)=4,FIND(".",B541)&gt;=2,FIND(".",B541)&lt;=3)),FIND(".",B541,FIND(".",B541)+1)-FIND(".",B541)&gt;=2,FIND(".",B541,FIND(".",B541)+1)-FIND(".",B541)&lt;=3,F541&gt;=2000,F541&lt;=2100,YEAR(I541)=F541,MONTH(I541)=G541,DAY(I541)=H541),I541,0)),0)</ns0:f>
        <ns0:v>0</ns0:v>
      </ns0:c>
      <ns0:c r="K541" s="0">
        <ns0:f>IFERROR(IF(ISNUMBER(Bookings!D541),"",TRIM(Bookings!D541&amp;"")),"")</ns0:f>
      </ns0:c>
      <ns0:c r="L541" s="0">
        <ns0:f>IFERROR(SUBSTITUTE(SUBSTITUTE(K541,"/","."),"-","."),"")</ns0:f>
      </ns0:c>
      <ns0:c r="M541" s="0">
        <ns0:f>IFERROR(LEFT(L541,FIND(".",L541)-1),"")</ns0:f>
      </ns0:c>
      <ns0:c r="N541" s="0">
        <ns0:f>IFERROR(MID(L541,FIND(".",L541)+1,FIND(".",L541,FIND(".",L541)+1)-FIND(".",L541)-1),"")</ns0:f>
      </ns0:c>
      <ns0:c r="O541" s="0">
        <ns0:f>IFERROR(MID(L541,FIND(".",L541,FIND(".",L541)+1)+1,99),"")</ns0:f>
        <ns0:v>99</ns0:v>
      </ns0:c>
      <ns0:c r="P541" s="0">
        <ns0:f>IFERROR(IF(FIND(".",L541)=5,--M541,--O541),0)</ns0:f>
        <ns0:v>0</ns0:v>
      </ns0:c>
      <ns0:c r="Q541" s="0">
        <ns0:f>IFERROR(--N541,0)</ns0:f>
        <ns0:v>0</ns0:v>
      </ns0:c>
      <ns0:c r="R541" s="0">
        <ns0:f>IFERROR(IF(FIND(".",L541)=5,--O541,--M541),0)</ns0:f>
        <ns0:v>0</ns0:v>
      </ns0:c>
      <ns0:c r="S541" s="0">
        <ns0:f>IFERROR(IF(AND(P541&gt;=2000,P541&lt;=2100,Q541&gt;=1,Q541&lt;=12,R541&gt;=1,R541&lt;=31),DATE(P541,Q541,R541),0),0)</ns0:f>
        <ns0:v>0</ns0:v>
      </ns0:c>
      <ns0:c r="T541" s="0">
        <ns0:f>IFERROR(IF(ISNUMBER(Bookings!D541),IF(AND(Bookings!D541=INT(Bookings!D541),Bookings!D541&gt;=DATE(2000,1,1),Bookings!D541&lt;=DATE(2100,12,31)),Bookings!D541,0),IF(AND(K541&lt;&gt;"",LEN("x"&amp;L541)-LEN(SUBSTITUTE("x"&amp;L541,".",""))=2,OR(1&gt;LEN(L541),MID(L541,1,1)=".",ISNUMBER(FIND("x"&amp;MID(L541,1,1),"x0x1x2x3x4x5x6x7x8x9"))),OR(2&gt;LEN(L541),MID(L541,2,1)=".",ISNUMBER(FIND("x"&amp;MID(L541,2,1),"x0x1x2x3x4x5x6x7x8x9"))),OR(3&gt;LEN(L541),MID(L541,3,1)=".",ISNUMBER(FIND("x"&amp;MID(L541,3,1),"x0x1x2x3x4x5x6x7x8x9"))),OR(4&gt;LEN(L541),MID(L541,4,1)=".",ISNUMBER(FIND("x"&amp;MID(L541,4,1),"x0x1x2x3x4x5x6x7x8x9"))),OR(5&gt;LEN(L541),MID(L541,5,1)=".",ISNUMBER(FIND("x"&amp;MID(L541,5,1),"x0x1x2x3x4x5x6x7x8x9"))),OR(6&gt;LEN(L541),MID(L541,6,1)=".",ISNUMBER(FIND("x"&amp;MID(L541,6,1),"x0x1x2x3x4x5x6x7x8x9"))),OR(7&gt;LEN(L541),MID(L541,7,1)=".",ISNUMBER(FIND("x"&amp;MID(L541,7,1),"x0x1x2x3x4x5x6x7x8x9"))),OR(8&gt;LEN(L541),MID(L541,8,1)=".",ISNUMBER(FIND("x"&amp;MID(L541,8,1),"x0x1x2x3x4x5x6x7x8x9"))),OR(9&gt;LEN(L541),MID(L541,9,1)=".",ISNUMBER(FIND("x"&amp;MID(L541,9,1),"x0x1x2x3x4x5x6x7x8x9"))),OR(10&gt;LEN(L541),MID(L541,10,1)=".",ISNUMBER(FIND("x"&amp;MID(L541,10,1),"x0x1x2x3x4x5x6x7x8x9"))),OR(AND(FIND(".",L541)=5,LEN(L541)-FIND(".",L541,FIND(".",L541)+1)&gt;=1,LEN(L541)-FIND(".",L541,FIND(".",L541)+1)&lt;=2),AND(LEN(L541)-FIND(".",L541,FIND(".",L541)+1)=4,FIND(".",L541)&gt;=2,FIND(".",L541)&lt;=3)),FIND(".",L541,FIND(".",L541)+1)-FIND(".",L541)&gt;=2,FIND(".",L541,FIND(".",L541)+1)-FIND(".",L541)&lt;=3,P541&gt;=2000,P541&lt;=2100,YEAR(S541)=P541,MONTH(S541)=Q541,DAY(S541)=R541),S541,0)),0)</ns0:f>
        <ns0:v>0</ns0:v>
      </ns0:c>
      <ns0:c r="U541" s="0" t="str">
        <ns0:f>IF(Bookings!C541="","Full day",Bookings!C541)</ns0:f>
        <ns0:v>Full day</ns0:v>
      </ns0:c>
      <ns0:c r="V541" s="0" t="str">
        <ns0:f>IF(Bookings!E541="","Full day",Bookings!E541)</ns0:f>
        <ns0:v>Full day</ns0:v>
      </ns0:c>
      <ns0:c r="W541" s="0">
        <ns0:f>IF(J541=0,0,J541+IF(U541="PM",1,0))</ns0:f>
        <ns0:v>0</ns0:v>
      </ns0:c>
      <ns0:c r="X541" s="0">
        <ns0:f>IF(T541=0,0,T541-IF(V541="PM",1,0))</ns0:f>
        <ns0:v>0</ns0:v>
      </ns0:c>
      <ns0:c r="Y541" s="0">
        <ns0:f>IF(J541=0,0,J541+IF(U541="AM",1,0))</ns0:f>
        <ns0:v>0</ns0:v>
      </ns0:c>
      <ns0:c r="Z541" s="0">
        <ns0:f>IF(T541=0,0,T541-IF(V541="AM",1,0))</ns0:f>
        <ns0:v>0</ns0:v>
      </ns0:c>
      <ns0:c r="AA541" s="0">
        <ns0:f>IFERROR(IF(AND(J541&gt;0,'_Engine'!C541&gt;0,MID('_Engine'!W541,WEEKDAY(J541,2),1)="W",COUNTIF(Settings!$F$18:$F$67,J541)=0),1,0),0)</ns0:f>
        <ns0:v>0</ns0:v>
      </ns0:c>
      <ns0:c r="AB541" s="0">
        <ns0:f>IFERROR(IF(AND(T541&gt;0,'_Engine'!C541&gt;0,MID('_Engine'!W541,WEEKDAY(T541,2),1)="W",COUNTIF(Settings!$F$18:$F$67,T541)=0),1,0),0)</ns0:f>
        <ns0:v>0</ns0:v>
      </ns0:c>
      <ns0:c r="AC541" s="0">
        <ns0:f>IF(AND(J541&gt;0,T541&gt;0,W541&lt;=X541),1,0)</ns0:f>
        <ns0:v>0</ns0:v>
      </ns0:c>
      <ns0:c r="AD541" s="0">
        <ns0:f>IF(AND(J541&gt;0,T541&gt;0,Y541&lt;=Z541),1,0)</ns0:f>
        <ns0:v>0</ns0:v>
      </ns0:c>
    </ns0:row>
    <ns0:row r="542">
      <ns0:c r="A542" s="0">
        <ns0:f>IFERROR(IF(ISNUMBER(Bookings!B542),"",TRIM(Bookings!B542&amp;"")),"")</ns0:f>
      </ns0:c>
      <ns0:c r="B542" s="0">
        <ns0:f>IFERROR(SUBSTITUTE(SUBSTITUTE(A542,"/","."),"-","."),"")</ns0:f>
      </ns0:c>
      <ns0:c r="C542" s="0">
        <ns0:f>IFERROR(LEFT(B542,FIND(".",B542)-1),"")</ns0:f>
      </ns0:c>
      <ns0:c r="D542" s="0">
        <ns0:f>IFERROR(MID(B542,FIND(".",B542)+1,FIND(".",B542,FIND(".",B542)+1)-FIND(".",B542)-1),"")</ns0:f>
      </ns0:c>
      <ns0:c r="E542" s="0">
        <ns0:f>IFERROR(MID(B542,FIND(".",B542,FIND(".",B542)+1)+1,99),"")</ns0:f>
        <ns0:v>99</ns0:v>
      </ns0:c>
      <ns0:c r="F542" s="0">
        <ns0:f>IFERROR(IF(FIND(".",B542)=5,--C542,--E542),0)</ns0:f>
        <ns0:v>0</ns0:v>
      </ns0:c>
      <ns0:c r="G542" s="0">
        <ns0:f>IFERROR(--D542,0)</ns0:f>
        <ns0:v>0</ns0:v>
      </ns0:c>
      <ns0:c r="H542" s="0">
        <ns0:f>IFERROR(IF(FIND(".",B542)=5,--E542,--C542),0)</ns0:f>
        <ns0:v>0</ns0:v>
      </ns0:c>
      <ns0:c r="I542" s="0">
        <ns0:f>IFERROR(IF(AND(F542&gt;=2000,F542&lt;=2100,G542&gt;=1,G542&lt;=12,H542&gt;=1,H542&lt;=31),DATE(F542,G542,H542),0),0)</ns0:f>
        <ns0:v>0</ns0:v>
      </ns0:c>
      <ns0:c r="J542" s="0">
        <ns0:f>IFERROR(IF(ISNUMBER(Bookings!B542),IF(AND(Bookings!B542=INT(Bookings!B542),Bookings!B542&gt;=DATE(2000,1,1),Bookings!B542&lt;=DATE(2100,12,31)),Bookings!B542,0),IF(AND(A542&lt;&gt;"",LEN("x"&amp;B542)-LEN(SUBSTITUTE("x"&amp;B542,".",""))=2,OR(1&gt;LEN(B542),MID(B542,1,1)=".",ISNUMBER(FIND("x"&amp;MID(B542,1,1),"x0x1x2x3x4x5x6x7x8x9"))),OR(2&gt;LEN(B542),MID(B542,2,1)=".",ISNUMBER(FIND("x"&amp;MID(B542,2,1),"x0x1x2x3x4x5x6x7x8x9"))),OR(3&gt;LEN(B542),MID(B542,3,1)=".",ISNUMBER(FIND("x"&amp;MID(B542,3,1),"x0x1x2x3x4x5x6x7x8x9"))),OR(4&gt;LEN(B542),MID(B542,4,1)=".",ISNUMBER(FIND("x"&amp;MID(B542,4,1),"x0x1x2x3x4x5x6x7x8x9"))),OR(5&gt;LEN(B542),MID(B542,5,1)=".",ISNUMBER(FIND("x"&amp;MID(B542,5,1),"x0x1x2x3x4x5x6x7x8x9"))),OR(6&gt;LEN(B542),MID(B542,6,1)=".",ISNUMBER(FIND("x"&amp;MID(B542,6,1),"x0x1x2x3x4x5x6x7x8x9"))),OR(7&gt;LEN(B542),MID(B542,7,1)=".",ISNUMBER(FIND("x"&amp;MID(B542,7,1),"x0x1x2x3x4x5x6x7x8x9"))),OR(8&gt;LEN(B542),MID(B542,8,1)=".",ISNUMBER(FIND("x"&amp;MID(B542,8,1),"x0x1x2x3x4x5x6x7x8x9"))),OR(9&gt;LEN(B542),MID(B542,9,1)=".",ISNUMBER(FIND("x"&amp;MID(B542,9,1),"x0x1x2x3x4x5x6x7x8x9"))),OR(10&gt;LEN(B542),MID(B542,10,1)=".",ISNUMBER(FIND("x"&amp;MID(B542,10,1),"x0x1x2x3x4x5x6x7x8x9"))),OR(AND(FIND(".",B542)=5,LEN(B542)-FIND(".",B542,FIND(".",B542)+1)&gt;=1,LEN(B542)-FIND(".",B542,FIND(".",B542)+1)&lt;=2),AND(LEN(B542)-FIND(".",B542,FIND(".",B542)+1)=4,FIND(".",B542)&gt;=2,FIND(".",B542)&lt;=3)),FIND(".",B542,FIND(".",B542)+1)-FIND(".",B542)&gt;=2,FIND(".",B542,FIND(".",B542)+1)-FIND(".",B542)&lt;=3,F542&gt;=2000,F542&lt;=2100,YEAR(I542)=F542,MONTH(I542)=G542,DAY(I542)=H542),I542,0)),0)</ns0:f>
        <ns0:v>0</ns0:v>
      </ns0:c>
      <ns0:c r="K542" s="0">
        <ns0:f>IFERROR(IF(ISNUMBER(Bookings!D542),"",TRIM(Bookings!D542&amp;"")),"")</ns0:f>
      </ns0:c>
      <ns0:c r="L542" s="0">
        <ns0:f>IFERROR(SUBSTITUTE(SUBSTITUTE(K542,"/","."),"-","."),"")</ns0:f>
      </ns0:c>
      <ns0:c r="M542" s="0">
        <ns0:f>IFERROR(LEFT(L542,FIND(".",L542)-1),"")</ns0:f>
      </ns0:c>
      <ns0:c r="N542" s="0">
        <ns0:f>IFERROR(MID(L542,FIND(".",L542)+1,FIND(".",L542,FIND(".",L542)+1)-FIND(".",L542)-1),"")</ns0:f>
      </ns0:c>
      <ns0:c r="O542" s="0">
        <ns0:f>IFERROR(MID(L542,FIND(".",L542,FIND(".",L542)+1)+1,99),"")</ns0:f>
        <ns0:v>99</ns0:v>
      </ns0:c>
      <ns0:c r="P542" s="0">
        <ns0:f>IFERROR(IF(FIND(".",L542)=5,--M542,--O542),0)</ns0:f>
        <ns0:v>0</ns0:v>
      </ns0:c>
      <ns0:c r="Q542" s="0">
        <ns0:f>IFERROR(--N542,0)</ns0:f>
        <ns0:v>0</ns0:v>
      </ns0:c>
      <ns0:c r="R542" s="0">
        <ns0:f>IFERROR(IF(FIND(".",L542)=5,--O542,--M542),0)</ns0:f>
        <ns0:v>0</ns0:v>
      </ns0:c>
      <ns0:c r="S542" s="0">
        <ns0:f>IFERROR(IF(AND(P542&gt;=2000,P542&lt;=2100,Q542&gt;=1,Q542&lt;=12,R542&gt;=1,R542&lt;=31),DATE(P542,Q542,R542),0),0)</ns0:f>
        <ns0:v>0</ns0:v>
      </ns0:c>
      <ns0:c r="T542" s="0">
        <ns0:f>IFERROR(IF(ISNUMBER(Bookings!D542),IF(AND(Bookings!D542=INT(Bookings!D542),Bookings!D542&gt;=DATE(2000,1,1),Bookings!D542&lt;=DATE(2100,12,31)),Bookings!D542,0),IF(AND(K542&lt;&gt;"",LEN("x"&amp;L542)-LEN(SUBSTITUTE("x"&amp;L542,".",""))=2,OR(1&gt;LEN(L542),MID(L542,1,1)=".",ISNUMBER(FIND("x"&amp;MID(L542,1,1),"x0x1x2x3x4x5x6x7x8x9"))),OR(2&gt;LEN(L542),MID(L542,2,1)=".",ISNUMBER(FIND("x"&amp;MID(L542,2,1),"x0x1x2x3x4x5x6x7x8x9"))),OR(3&gt;LEN(L542),MID(L542,3,1)=".",ISNUMBER(FIND("x"&amp;MID(L542,3,1),"x0x1x2x3x4x5x6x7x8x9"))),OR(4&gt;LEN(L542),MID(L542,4,1)=".",ISNUMBER(FIND("x"&amp;MID(L542,4,1),"x0x1x2x3x4x5x6x7x8x9"))),OR(5&gt;LEN(L542),MID(L542,5,1)=".",ISNUMBER(FIND("x"&amp;MID(L542,5,1),"x0x1x2x3x4x5x6x7x8x9"))),OR(6&gt;LEN(L542),MID(L542,6,1)=".",ISNUMBER(FIND("x"&amp;MID(L542,6,1),"x0x1x2x3x4x5x6x7x8x9"))),OR(7&gt;LEN(L542),MID(L542,7,1)=".",ISNUMBER(FIND("x"&amp;MID(L542,7,1),"x0x1x2x3x4x5x6x7x8x9"))),OR(8&gt;LEN(L542),MID(L542,8,1)=".",ISNUMBER(FIND("x"&amp;MID(L542,8,1),"x0x1x2x3x4x5x6x7x8x9"))),OR(9&gt;LEN(L542),MID(L542,9,1)=".",ISNUMBER(FIND("x"&amp;MID(L542,9,1),"x0x1x2x3x4x5x6x7x8x9"))),OR(10&gt;LEN(L542),MID(L542,10,1)=".",ISNUMBER(FIND("x"&amp;MID(L542,10,1),"x0x1x2x3x4x5x6x7x8x9"))),OR(AND(FIND(".",L542)=5,LEN(L542)-FIND(".",L542,FIND(".",L542)+1)&gt;=1,LEN(L542)-FIND(".",L542,FIND(".",L542)+1)&lt;=2),AND(LEN(L542)-FIND(".",L542,FIND(".",L542)+1)=4,FIND(".",L542)&gt;=2,FIND(".",L542)&lt;=3)),FIND(".",L542,FIND(".",L542)+1)-FIND(".",L542)&gt;=2,FIND(".",L542,FIND(".",L542)+1)-FIND(".",L542)&lt;=3,P542&gt;=2000,P542&lt;=2100,YEAR(S542)=P542,MONTH(S542)=Q542,DAY(S542)=R542),S542,0)),0)</ns0:f>
        <ns0:v>0</ns0:v>
      </ns0:c>
      <ns0:c r="U542" s="0" t="str">
        <ns0:f>IF(Bookings!C542="","Full day",Bookings!C542)</ns0:f>
        <ns0:v>Full day</ns0:v>
      </ns0:c>
      <ns0:c r="V542" s="0" t="str">
        <ns0:f>IF(Bookings!E542="","Full day",Bookings!E542)</ns0:f>
        <ns0:v>Full day</ns0:v>
      </ns0:c>
      <ns0:c r="W542" s="0">
        <ns0:f>IF(J542=0,0,J542+IF(U542="PM",1,0))</ns0:f>
        <ns0:v>0</ns0:v>
      </ns0:c>
      <ns0:c r="X542" s="0">
        <ns0:f>IF(T542=0,0,T542-IF(V542="PM",1,0))</ns0:f>
        <ns0:v>0</ns0:v>
      </ns0:c>
      <ns0:c r="Y542" s="0">
        <ns0:f>IF(J542=0,0,J542+IF(U542="AM",1,0))</ns0:f>
        <ns0:v>0</ns0:v>
      </ns0:c>
      <ns0:c r="Z542" s="0">
        <ns0:f>IF(T542=0,0,T542-IF(V542="AM",1,0))</ns0:f>
        <ns0:v>0</ns0:v>
      </ns0:c>
      <ns0:c r="AA542" s="0">
        <ns0:f>IFERROR(IF(AND(J542&gt;0,'_Engine'!C542&gt;0,MID('_Engine'!W542,WEEKDAY(J542,2),1)="W",COUNTIF(Settings!$F$18:$F$67,J542)=0),1,0),0)</ns0:f>
        <ns0:v>0</ns0:v>
      </ns0:c>
      <ns0:c r="AB542" s="0">
        <ns0:f>IFERROR(IF(AND(T542&gt;0,'_Engine'!C542&gt;0,MID('_Engine'!W542,WEEKDAY(T542,2),1)="W",COUNTIF(Settings!$F$18:$F$67,T542)=0),1,0),0)</ns0:f>
        <ns0:v>0</ns0:v>
      </ns0:c>
      <ns0:c r="AC542" s="0">
        <ns0:f>IF(AND(J542&gt;0,T542&gt;0,W542&lt;=X542),1,0)</ns0:f>
        <ns0:v>0</ns0:v>
      </ns0:c>
      <ns0:c r="AD542" s="0">
        <ns0:f>IF(AND(J542&gt;0,T542&gt;0,Y542&lt;=Z542),1,0)</ns0:f>
        <ns0:v>0</ns0:v>
      </ns0:c>
    </ns0:row>
    <ns0:row r="543">
      <ns0:c r="A543" s="0">
        <ns0:f>IFERROR(IF(ISNUMBER(Bookings!B543),"",TRIM(Bookings!B543&amp;"")),"")</ns0:f>
      </ns0:c>
      <ns0:c r="B543" s="0">
        <ns0:f>IFERROR(SUBSTITUTE(SUBSTITUTE(A543,"/","."),"-","."),"")</ns0:f>
      </ns0:c>
      <ns0:c r="C543" s="0">
        <ns0:f>IFERROR(LEFT(B543,FIND(".",B543)-1),"")</ns0:f>
      </ns0:c>
      <ns0:c r="D543" s="0">
        <ns0:f>IFERROR(MID(B543,FIND(".",B543)+1,FIND(".",B543,FIND(".",B543)+1)-FIND(".",B543)-1),"")</ns0:f>
      </ns0:c>
      <ns0:c r="E543" s="0">
        <ns0:f>IFERROR(MID(B543,FIND(".",B543,FIND(".",B543)+1)+1,99),"")</ns0:f>
        <ns0:v>99</ns0:v>
      </ns0:c>
      <ns0:c r="F543" s="0">
        <ns0:f>IFERROR(IF(FIND(".",B543)=5,--C543,--E543),0)</ns0:f>
        <ns0:v>0</ns0:v>
      </ns0:c>
      <ns0:c r="G543" s="0">
        <ns0:f>IFERROR(--D543,0)</ns0:f>
        <ns0:v>0</ns0:v>
      </ns0:c>
      <ns0:c r="H543" s="0">
        <ns0:f>IFERROR(IF(FIND(".",B543)=5,--E543,--C543),0)</ns0:f>
        <ns0:v>0</ns0:v>
      </ns0:c>
      <ns0:c r="I543" s="0">
        <ns0:f>IFERROR(IF(AND(F543&gt;=2000,F543&lt;=2100,G543&gt;=1,G543&lt;=12,H543&gt;=1,H543&lt;=31),DATE(F543,G543,H543),0),0)</ns0:f>
        <ns0:v>0</ns0:v>
      </ns0:c>
      <ns0:c r="J543" s="0">
        <ns0:f>IFERROR(IF(ISNUMBER(Bookings!B543),IF(AND(Bookings!B543=INT(Bookings!B543),Bookings!B543&gt;=DATE(2000,1,1),Bookings!B543&lt;=DATE(2100,12,31)),Bookings!B543,0),IF(AND(A543&lt;&gt;"",LEN("x"&amp;B543)-LEN(SUBSTITUTE("x"&amp;B543,".",""))=2,OR(1&gt;LEN(B543),MID(B543,1,1)=".",ISNUMBER(FIND("x"&amp;MID(B543,1,1),"x0x1x2x3x4x5x6x7x8x9"))),OR(2&gt;LEN(B543),MID(B543,2,1)=".",ISNUMBER(FIND("x"&amp;MID(B543,2,1),"x0x1x2x3x4x5x6x7x8x9"))),OR(3&gt;LEN(B543),MID(B543,3,1)=".",ISNUMBER(FIND("x"&amp;MID(B543,3,1),"x0x1x2x3x4x5x6x7x8x9"))),OR(4&gt;LEN(B543),MID(B543,4,1)=".",ISNUMBER(FIND("x"&amp;MID(B543,4,1),"x0x1x2x3x4x5x6x7x8x9"))),OR(5&gt;LEN(B543),MID(B543,5,1)=".",ISNUMBER(FIND("x"&amp;MID(B543,5,1),"x0x1x2x3x4x5x6x7x8x9"))),OR(6&gt;LEN(B543),MID(B543,6,1)=".",ISNUMBER(FIND("x"&amp;MID(B543,6,1),"x0x1x2x3x4x5x6x7x8x9"))),OR(7&gt;LEN(B543),MID(B543,7,1)=".",ISNUMBER(FIND("x"&amp;MID(B543,7,1),"x0x1x2x3x4x5x6x7x8x9"))),OR(8&gt;LEN(B543),MID(B543,8,1)=".",ISNUMBER(FIND("x"&amp;MID(B543,8,1),"x0x1x2x3x4x5x6x7x8x9"))),OR(9&gt;LEN(B543),MID(B543,9,1)=".",ISNUMBER(FIND("x"&amp;MID(B543,9,1),"x0x1x2x3x4x5x6x7x8x9"))),OR(10&gt;LEN(B543),MID(B543,10,1)=".",ISNUMBER(FIND("x"&amp;MID(B543,10,1),"x0x1x2x3x4x5x6x7x8x9"))),OR(AND(FIND(".",B543)=5,LEN(B543)-FIND(".",B543,FIND(".",B543)+1)&gt;=1,LEN(B543)-FIND(".",B543,FIND(".",B543)+1)&lt;=2),AND(LEN(B543)-FIND(".",B543,FIND(".",B543)+1)=4,FIND(".",B543)&gt;=2,FIND(".",B543)&lt;=3)),FIND(".",B543,FIND(".",B543)+1)-FIND(".",B543)&gt;=2,FIND(".",B543,FIND(".",B543)+1)-FIND(".",B543)&lt;=3,F543&gt;=2000,F543&lt;=2100,YEAR(I543)=F543,MONTH(I543)=G543,DAY(I543)=H543),I543,0)),0)</ns0:f>
        <ns0:v>0</ns0:v>
      </ns0:c>
      <ns0:c r="K543" s="0">
        <ns0:f>IFERROR(IF(ISNUMBER(Bookings!D543),"",TRIM(Bookings!D543&amp;"")),"")</ns0:f>
      </ns0:c>
      <ns0:c r="L543" s="0">
        <ns0:f>IFERROR(SUBSTITUTE(SUBSTITUTE(K543,"/","."),"-","."),"")</ns0:f>
      </ns0:c>
      <ns0:c r="M543" s="0">
        <ns0:f>IFERROR(LEFT(L543,FIND(".",L543)-1),"")</ns0:f>
      </ns0:c>
      <ns0:c r="N543" s="0">
        <ns0:f>IFERROR(MID(L543,FIND(".",L543)+1,FIND(".",L543,FIND(".",L543)+1)-FIND(".",L543)-1),"")</ns0:f>
      </ns0:c>
      <ns0:c r="O543" s="0">
        <ns0:f>IFERROR(MID(L543,FIND(".",L543,FIND(".",L543)+1)+1,99),"")</ns0:f>
        <ns0:v>99</ns0:v>
      </ns0:c>
      <ns0:c r="P543" s="0">
        <ns0:f>IFERROR(IF(FIND(".",L543)=5,--M543,--O543),0)</ns0:f>
        <ns0:v>0</ns0:v>
      </ns0:c>
      <ns0:c r="Q543" s="0">
        <ns0:f>IFERROR(--N543,0)</ns0:f>
        <ns0:v>0</ns0:v>
      </ns0:c>
      <ns0:c r="R543" s="0">
        <ns0:f>IFERROR(IF(FIND(".",L543)=5,--O543,--M543),0)</ns0:f>
        <ns0:v>0</ns0:v>
      </ns0:c>
      <ns0:c r="S543" s="0">
        <ns0:f>IFERROR(IF(AND(P543&gt;=2000,P543&lt;=2100,Q543&gt;=1,Q543&lt;=12,R543&gt;=1,R543&lt;=31),DATE(P543,Q543,R543),0),0)</ns0:f>
        <ns0:v>0</ns0:v>
      </ns0:c>
      <ns0:c r="T543" s="0">
        <ns0:f>IFERROR(IF(ISNUMBER(Bookings!D543),IF(AND(Bookings!D543=INT(Bookings!D543),Bookings!D543&gt;=DATE(2000,1,1),Bookings!D543&lt;=DATE(2100,12,31)),Bookings!D543,0),IF(AND(K543&lt;&gt;"",LEN("x"&amp;L543)-LEN(SUBSTITUTE("x"&amp;L543,".",""))=2,OR(1&gt;LEN(L543),MID(L543,1,1)=".",ISNUMBER(FIND("x"&amp;MID(L543,1,1),"x0x1x2x3x4x5x6x7x8x9"))),OR(2&gt;LEN(L543),MID(L543,2,1)=".",ISNUMBER(FIND("x"&amp;MID(L543,2,1),"x0x1x2x3x4x5x6x7x8x9"))),OR(3&gt;LEN(L543),MID(L543,3,1)=".",ISNUMBER(FIND("x"&amp;MID(L543,3,1),"x0x1x2x3x4x5x6x7x8x9"))),OR(4&gt;LEN(L543),MID(L543,4,1)=".",ISNUMBER(FIND("x"&amp;MID(L543,4,1),"x0x1x2x3x4x5x6x7x8x9"))),OR(5&gt;LEN(L543),MID(L543,5,1)=".",ISNUMBER(FIND("x"&amp;MID(L543,5,1),"x0x1x2x3x4x5x6x7x8x9"))),OR(6&gt;LEN(L543),MID(L543,6,1)=".",ISNUMBER(FIND("x"&amp;MID(L543,6,1),"x0x1x2x3x4x5x6x7x8x9"))),OR(7&gt;LEN(L543),MID(L543,7,1)=".",ISNUMBER(FIND("x"&amp;MID(L543,7,1),"x0x1x2x3x4x5x6x7x8x9"))),OR(8&gt;LEN(L543),MID(L543,8,1)=".",ISNUMBER(FIND("x"&amp;MID(L543,8,1),"x0x1x2x3x4x5x6x7x8x9"))),OR(9&gt;LEN(L543),MID(L543,9,1)=".",ISNUMBER(FIND("x"&amp;MID(L543,9,1),"x0x1x2x3x4x5x6x7x8x9"))),OR(10&gt;LEN(L543),MID(L543,10,1)=".",ISNUMBER(FIND("x"&amp;MID(L543,10,1),"x0x1x2x3x4x5x6x7x8x9"))),OR(AND(FIND(".",L543)=5,LEN(L543)-FIND(".",L543,FIND(".",L543)+1)&gt;=1,LEN(L543)-FIND(".",L543,FIND(".",L543)+1)&lt;=2),AND(LEN(L543)-FIND(".",L543,FIND(".",L543)+1)=4,FIND(".",L543)&gt;=2,FIND(".",L543)&lt;=3)),FIND(".",L543,FIND(".",L543)+1)-FIND(".",L543)&gt;=2,FIND(".",L543,FIND(".",L543)+1)-FIND(".",L543)&lt;=3,P543&gt;=2000,P543&lt;=2100,YEAR(S543)=P543,MONTH(S543)=Q543,DAY(S543)=R543),S543,0)),0)</ns0:f>
        <ns0:v>0</ns0:v>
      </ns0:c>
      <ns0:c r="U543" s="0" t="str">
        <ns0:f>IF(Bookings!C543="","Full day",Bookings!C543)</ns0:f>
        <ns0:v>Full day</ns0:v>
      </ns0:c>
      <ns0:c r="V543" s="0" t="str">
        <ns0:f>IF(Bookings!E543="","Full day",Bookings!E543)</ns0:f>
        <ns0:v>Full day</ns0:v>
      </ns0:c>
      <ns0:c r="W543" s="0">
        <ns0:f>IF(J543=0,0,J543+IF(U543="PM",1,0))</ns0:f>
        <ns0:v>0</ns0:v>
      </ns0:c>
      <ns0:c r="X543" s="0">
        <ns0:f>IF(T543=0,0,T543-IF(V543="PM",1,0))</ns0:f>
        <ns0:v>0</ns0:v>
      </ns0:c>
      <ns0:c r="Y543" s="0">
        <ns0:f>IF(J543=0,0,J543+IF(U543="AM",1,0))</ns0:f>
        <ns0:v>0</ns0:v>
      </ns0:c>
      <ns0:c r="Z543" s="0">
        <ns0:f>IF(T543=0,0,T543-IF(V543="AM",1,0))</ns0:f>
        <ns0:v>0</ns0:v>
      </ns0:c>
      <ns0:c r="AA543" s="0">
        <ns0:f>IFERROR(IF(AND(J543&gt;0,'_Engine'!C543&gt;0,MID('_Engine'!W543,WEEKDAY(J543,2),1)="W",COUNTIF(Settings!$F$18:$F$67,J543)=0),1,0),0)</ns0:f>
        <ns0:v>0</ns0:v>
      </ns0:c>
      <ns0:c r="AB543" s="0">
        <ns0:f>IFERROR(IF(AND(T543&gt;0,'_Engine'!C543&gt;0,MID('_Engine'!W543,WEEKDAY(T543,2),1)="W",COUNTIF(Settings!$F$18:$F$67,T543)=0),1,0),0)</ns0:f>
        <ns0:v>0</ns0:v>
      </ns0:c>
      <ns0:c r="AC543" s="0">
        <ns0:f>IF(AND(J543&gt;0,T543&gt;0,W543&lt;=X543),1,0)</ns0:f>
        <ns0:v>0</ns0:v>
      </ns0:c>
      <ns0:c r="AD543" s="0">
        <ns0:f>IF(AND(J543&gt;0,T543&gt;0,Y543&lt;=Z543),1,0)</ns0:f>
        <ns0:v>0</ns0:v>
      </ns0:c>
    </ns0:row>
    <ns0:row r="544">
      <ns0:c r="A544" s="0">
        <ns0:f>IFERROR(IF(ISNUMBER(Bookings!B544),"",TRIM(Bookings!B544&amp;"")),"")</ns0:f>
      </ns0:c>
      <ns0:c r="B544" s="0">
        <ns0:f>IFERROR(SUBSTITUTE(SUBSTITUTE(A544,"/","."),"-","."),"")</ns0:f>
      </ns0:c>
      <ns0:c r="C544" s="0">
        <ns0:f>IFERROR(LEFT(B544,FIND(".",B544)-1),"")</ns0:f>
      </ns0:c>
      <ns0:c r="D544" s="0">
        <ns0:f>IFERROR(MID(B544,FIND(".",B544)+1,FIND(".",B544,FIND(".",B544)+1)-FIND(".",B544)-1),"")</ns0:f>
      </ns0:c>
      <ns0:c r="E544" s="0">
        <ns0:f>IFERROR(MID(B544,FIND(".",B544,FIND(".",B544)+1)+1,99),"")</ns0:f>
        <ns0:v>99</ns0:v>
      </ns0:c>
      <ns0:c r="F544" s="0">
        <ns0:f>IFERROR(IF(FIND(".",B544)=5,--C544,--E544),0)</ns0:f>
        <ns0:v>0</ns0:v>
      </ns0:c>
      <ns0:c r="G544" s="0">
        <ns0:f>IFERROR(--D544,0)</ns0:f>
        <ns0:v>0</ns0:v>
      </ns0:c>
      <ns0:c r="H544" s="0">
        <ns0:f>IFERROR(IF(FIND(".",B544)=5,--E544,--C544),0)</ns0:f>
        <ns0:v>0</ns0:v>
      </ns0:c>
      <ns0:c r="I544" s="0">
        <ns0:f>IFERROR(IF(AND(F544&gt;=2000,F544&lt;=2100,G544&gt;=1,G544&lt;=12,H544&gt;=1,H544&lt;=31),DATE(F544,G544,H544),0),0)</ns0:f>
        <ns0:v>0</ns0:v>
      </ns0:c>
      <ns0:c r="J544" s="0">
        <ns0:f>IFERROR(IF(ISNUMBER(Bookings!B544),IF(AND(Bookings!B544=INT(Bookings!B544),Bookings!B544&gt;=DATE(2000,1,1),Bookings!B544&lt;=DATE(2100,12,31)),Bookings!B544,0),IF(AND(A544&lt;&gt;"",LEN("x"&amp;B544)-LEN(SUBSTITUTE("x"&amp;B544,".",""))=2,OR(1&gt;LEN(B544),MID(B544,1,1)=".",ISNUMBER(FIND("x"&amp;MID(B544,1,1),"x0x1x2x3x4x5x6x7x8x9"))),OR(2&gt;LEN(B544),MID(B544,2,1)=".",ISNUMBER(FIND("x"&amp;MID(B544,2,1),"x0x1x2x3x4x5x6x7x8x9"))),OR(3&gt;LEN(B544),MID(B544,3,1)=".",ISNUMBER(FIND("x"&amp;MID(B544,3,1),"x0x1x2x3x4x5x6x7x8x9"))),OR(4&gt;LEN(B544),MID(B544,4,1)=".",ISNUMBER(FIND("x"&amp;MID(B544,4,1),"x0x1x2x3x4x5x6x7x8x9"))),OR(5&gt;LEN(B544),MID(B544,5,1)=".",ISNUMBER(FIND("x"&amp;MID(B544,5,1),"x0x1x2x3x4x5x6x7x8x9"))),OR(6&gt;LEN(B544),MID(B544,6,1)=".",ISNUMBER(FIND("x"&amp;MID(B544,6,1),"x0x1x2x3x4x5x6x7x8x9"))),OR(7&gt;LEN(B544),MID(B544,7,1)=".",ISNUMBER(FIND("x"&amp;MID(B544,7,1),"x0x1x2x3x4x5x6x7x8x9"))),OR(8&gt;LEN(B544),MID(B544,8,1)=".",ISNUMBER(FIND("x"&amp;MID(B544,8,1),"x0x1x2x3x4x5x6x7x8x9"))),OR(9&gt;LEN(B544),MID(B544,9,1)=".",ISNUMBER(FIND("x"&amp;MID(B544,9,1),"x0x1x2x3x4x5x6x7x8x9"))),OR(10&gt;LEN(B544),MID(B544,10,1)=".",ISNUMBER(FIND("x"&amp;MID(B544,10,1),"x0x1x2x3x4x5x6x7x8x9"))),OR(AND(FIND(".",B544)=5,LEN(B544)-FIND(".",B544,FIND(".",B544)+1)&gt;=1,LEN(B544)-FIND(".",B544,FIND(".",B544)+1)&lt;=2),AND(LEN(B544)-FIND(".",B544,FIND(".",B544)+1)=4,FIND(".",B544)&gt;=2,FIND(".",B544)&lt;=3)),FIND(".",B544,FIND(".",B544)+1)-FIND(".",B544)&gt;=2,FIND(".",B544,FIND(".",B544)+1)-FIND(".",B544)&lt;=3,F544&gt;=2000,F544&lt;=2100,YEAR(I544)=F544,MONTH(I544)=G544,DAY(I544)=H544),I544,0)),0)</ns0:f>
        <ns0:v>0</ns0:v>
      </ns0:c>
      <ns0:c r="K544" s="0">
        <ns0:f>IFERROR(IF(ISNUMBER(Bookings!D544),"",TRIM(Bookings!D544&amp;"")),"")</ns0:f>
      </ns0:c>
      <ns0:c r="L544" s="0">
        <ns0:f>IFERROR(SUBSTITUTE(SUBSTITUTE(K544,"/","."),"-","."),"")</ns0:f>
      </ns0:c>
      <ns0:c r="M544" s="0">
        <ns0:f>IFERROR(LEFT(L544,FIND(".",L544)-1),"")</ns0:f>
      </ns0:c>
      <ns0:c r="N544" s="0">
        <ns0:f>IFERROR(MID(L544,FIND(".",L544)+1,FIND(".",L544,FIND(".",L544)+1)-FIND(".",L544)-1),"")</ns0:f>
      </ns0:c>
      <ns0:c r="O544" s="0">
        <ns0:f>IFERROR(MID(L544,FIND(".",L544,FIND(".",L544)+1)+1,99),"")</ns0:f>
        <ns0:v>99</ns0:v>
      </ns0:c>
      <ns0:c r="P544" s="0">
        <ns0:f>IFERROR(IF(FIND(".",L544)=5,--M544,--O544),0)</ns0:f>
        <ns0:v>0</ns0:v>
      </ns0:c>
      <ns0:c r="Q544" s="0">
        <ns0:f>IFERROR(--N544,0)</ns0:f>
        <ns0:v>0</ns0:v>
      </ns0:c>
      <ns0:c r="R544" s="0">
        <ns0:f>IFERROR(IF(FIND(".",L544)=5,--O544,--M544),0)</ns0:f>
        <ns0:v>0</ns0:v>
      </ns0:c>
      <ns0:c r="S544" s="0">
        <ns0:f>IFERROR(IF(AND(P544&gt;=2000,P544&lt;=2100,Q544&gt;=1,Q544&lt;=12,R544&gt;=1,R544&lt;=31),DATE(P544,Q544,R544),0),0)</ns0:f>
        <ns0:v>0</ns0:v>
      </ns0:c>
      <ns0:c r="T544" s="0">
        <ns0:f>IFERROR(IF(ISNUMBER(Bookings!D544),IF(AND(Bookings!D544=INT(Bookings!D544),Bookings!D544&gt;=DATE(2000,1,1),Bookings!D544&lt;=DATE(2100,12,31)),Bookings!D544,0),IF(AND(K544&lt;&gt;"",LEN("x"&amp;L544)-LEN(SUBSTITUTE("x"&amp;L544,".",""))=2,OR(1&gt;LEN(L544),MID(L544,1,1)=".",ISNUMBER(FIND("x"&amp;MID(L544,1,1),"x0x1x2x3x4x5x6x7x8x9"))),OR(2&gt;LEN(L544),MID(L544,2,1)=".",ISNUMBER(FIND("x"&amp;MID(L544,2,1),"x0x1x2x3x4x5x6x7x8x9"))),OR(3&gt;LEN(L544),MID(L544,3,1)=".",ISNUMBER(FIND("x"&amp;MID(L544,3,1),"x0x1x2x3x4x5x6x7x8x9"))),OR(4&gt;LEN(L544),MID(L544,4,1)=".",ISNUMBER(FIND("x"&amp;MID(L544,4,1),"x0x1x2x3x4x5x6x7x8x9"))),OR(5&gt;LEN(L544),MID(L544,5,1)=".",ISNUMBER(FIND("x"&amp;MID(L544,5,1),"x0x1x2x3x4x5x6x7x8x9"))),OR(6&gt;LEN(L544),MID(L544,6,1)=".",ISNUMBER(FIND("x"&amp;MID(L544,6,1),"x0x1x2x3x4x5x6x7x8x9"))),OR(7&gt;LEN(L544),MID(L544,7,1)=".",ISNUMBER(FIND("x"&amp;MID(L544,7,1),"x0x1x2x3x4x5x6x7x8x9"))),OR(8&gt;LEN(L544),MID(L544,8,1)=".",ISNUMBER(FIND("x"&amp;MID(L544,8,1),"x0x1x2x3x4x5x6x7x8x9"))),OR(9&gt;LEN(L544),MID(L544,9,1)=".",ISNUMBER(FIND("x"&amp;MID(L544,9,1),"x0x1x2x3x4x5x6x7x8x9"))),OR(10&gt;LEN(L544),MID(L544,10,1)=".",ISNUMBER(FIND("x"&amp;MID(L544,10,1),"x0x1x2x3x4x5x6x7x8x9"))),OR(AND(FIND(".",L544)=5,LEN(L544)-FIND(".",L544,FIND(".",L544)+1)&gt;=1,LEN(L544)-FIND(".",L544,FIND(".",L544)+1)&lt;=2),AND(LEN(L544)-FIND(".",L544,FIND(".",L544)+1)=4,FIND(".",L544)&gt;=2,FIND(".",L544)&lt;=3)),FIND(".",L544,FIND(".",L544)+1)-FIND(".",L544)&gt;=2,FIND(".",L544,FIND(".",L544)+1)-FIND(".",L544)&lt;=3,P544&gt;=2000,P544&lt;=2100,YEAR(S544)=P544,MONTH(S544)=Q544,DAY(S544)=R544),S544,0)),0)</ns0:f>
        <ns0:v>0</ns0:v>
      </ns0:c>
      <ns0:c r="U544" s="0" t="str">
        <ns0:f>IF(Bookings!C544="","Full day",Bookings!C544)</ns0:f>
        <ns0:v>Full day</ns0:v>
      </ns0:c>
      <ns0:c r="V544" s="0" t="str">
        <ns0:f>IF(Bookings!E544="","Full day",Bookings!E544)</ns0:f>
        <ns0:v>Full day</ns0:v>
      </ns0:c>
      <ns0:c r="W544" s="0">
        <ns0:f>IF(J544=0,0,J544+IF(U544="PM",1,0))</ns0:f>
        <ns0:v>0</ns0:v>
      </ns0:c>
      <ns0:c r="X544" s="0">
        <ns0:f>IF(T544=0,0,T544-IF(V544="PM",1,0))</ns0:f>
        <ns0:v>0</ns0:v>
      </ns0:c>
      <ns0:c r="Y544" s="0">
        <ns0:f>IF(J544=0,0,J544+IF(U544="AM",1,0))</ns0:f>
        <ns0:v>0</ns0:v>
      </ns0:c>
      <ns0:c r="Z544" s="0">
        <ns0:f>IF(T544=0,0,T544-IF(V544="AM",1,0))</ns0:f>
        <ns0:v>0</ns0:v>
      </ns0:c>
      <ns0:c r="AA544" s="0">
        <ns0:f>IFERROR(IF(AND(J544&gt;0,'_Engine'!C544&gt;0,MID('_Engine'!W544,WEEKDAY(J544,2),1)="W",COUNTIF(Settings!$F$18:$F$67,J544)=0),1,0),0)</ns0:f>
        <ns0:v>0</ns0:v>
      </ns0:c>
      <ns0:c r="AB544" s="0">
        <ns0:f>IFERROR(IF(AND(T544&gt;0,'_Engine'!C544&gt;0,MID('_Engine'!W544,WEEKDAY(T544,2),1)="W",COUNTIF(Settings!$F$18:$F$67,T544)=0),1,0),0)</ns0:f>
        <ns0:v>0</ns0:v>
      </ns0:c>
      <ns0:c r="AC544" s="0">
        <ns0:f>IF(AND(J544&gt;0,T544&gt;0,W544&lt;=X544),1,0)</ns0:f>
        <ns0:v>0</ns0:v>
      </ns0:c>
      <ns0:c r="AD544" s="0">
        <ns0:f>IF(AND(J544&gt;0,T544&gt;0,Y544&lt;=Z544),1,0)</ns0:f>
        <ns0:v>0</ns0:v>
      </ns0:c>
    </ns0:row>
    <ns0:row r="545">
      <ns0:c r="A545" s="0">
        <ns0:f>IFERROR(IF(ISNUMBER(Bookings!B545),"",TRIM(Bookings!B545&amp;"")),"")</ns0:f>
      </ns0:c>
      <ns0:c r="B545" s="0">
        <ns0:f>IFERROR(SUBSTITUTE(SUBSTITUTE(A545,"/","."),"-","."),"")</ns0:f>
      </ns0:c>
      <ns0:c r="C545" s="0">
        <ns0:f>IFERROR(LEFT(B545,FIND(".",B545)-1),"")</ns0:f>
      </ns0:c>
      <ns0:c r="D545" s="0">
        <ns0:f>IFERROR(MID(B545,FIND(".",B545)+1,FIND(".",B545,FIND(".",B545)+1)-FIND(".",B545)-1),"")</ns0:f>
      </ns0:c>
      <ns0:c r="E545" s="0">
        <ns0:f>IFERROR(MID(B545,FIND(".",B545,FIND(".",B545)+1)+1,99),"")</ns0:f>
        <ns0:v>99</ns0:v>
      </ns0:c>
      <ns0:c r="F545" s="0">
        <ns0:f>IFERROR(IF(FIND(".",B545)=5,--C545,--E545),0)</ns0:f>
        <ns0:v>0</ns0:v>
      </ns0:c>
      <ns0:c r="G545" s="0">
        <ns0:f>IFERROR(--D545,0)</ns0:f>
        <ns0:v>0</ns0:v>
      </ns0:c>
      <ns0:c r="H545" s="0">
        <ns0:f>IFERROR(IF(FIND(".",B545)=5,--E545,--C545),0)</ns0:f>
        <ns0:v>0</ns0:v>
      </ns0:c>
      <ns0:c r="I545" s="0">
        <ns0:f>IFERROR(IF(AND(F545&gt;=2000,F545&lt;=2100,G545&gt;=1,G545&lt;=12,H545&gt;=1,H545&lt;=31),DATE(F545,G545,H545),0),0)</ns0:f>
        <ns0:v>0</ns0:v>
      </ns0:c>
      <ns0:c r="J545" s="0">
        <ns0:f>IFERROR(IF(ISNUMBER(Bookings!B545),IF(AND(Bookings!B545=INT(Bookings!B545),Bookings!B545&gt;=DATE(2000,1,1),Bookings!B545&lt;=DATE(2100,12,31)),Bookings!B545,0),IF(AND(A545&lt;&gt;"",LEN("x"&amp;B545)-LEN(SUBSTITUTE("x"&amp;B545,".",""))=2,OR(1&gt;LEN(B545),MID(B545,1,1)=".",ISNUMBER(FIND("x"&amp;MID(B545,1,1),"x0x1x2x3x4x5x6x7x8x9"))),OR(2&gt;LEN(B545),MID(B545,2,1)=".",ISNUMBER(FIND("x"&amp;MID(B545,2,1),"x0x1x2x3x4x5x6x7x8x9"))),OR(3&gt;LEN(B545),MID(B545,3,1)=".",ISNUMBER(FIND("x"&amp;MID(B545,3,1),"x0x1x2x3x4x5x6x7x8x9"))),OR(4&gt;LEN(B545),MID(B545,4,1)=".",ISNUMBER(FIND("x"&amp;MID(B545,4,1),"x0x1x2x3x4x5x6x7x8x9"))),OR(5&gt;LEN(B545),MID(B545,5,1)=".",ISNUMBER(FIND("x"&amp;MID(B545,5,1),"x0x1x2x3x4x5x6x7x8x9"))),OR(6&gt;LEN(B545),MID(B545,6,1)=".",ISNUMBER(FIND("x"&amp;MID(B545,6,1),"x0x1x2x3x4x5x6x7x8x9"))),OR(7&gt;LEN(B545),MID(B545,7,1)=".",ISNUMBER(FIND("x"&amp;MID(B545,7,1),"x0x1x2x3x4x5x6x7x8x9"))),OR(8&gt;LEN(B545),MID(B545,8,1)=".",ISNUMBER(FIND("x"&amp;MID(B545,8,1),"x0x1x2x3x4x5x6x7x8x9"))),OR(9&gt;LEN(B545),MID(B545,9,1)=".",ISNUMBER(FIND("x"&amp;MID(B545,9,1),"x0x1x2x3x4x5x6x7x8x9"))),OR(10&gt;LEN(B545),MID(B545,10,1)=".",ISNUMBER(FIND("x"&amp;MID(B545,10,1),"x0x1x2x3x4x5x6x7x8x9"))),OR(AND(FIND(".",B545)=5,LEN(B545)-FIND(".",B545,FIND(".",B545)+1)&gt;=1,LEN(B545)-FIND(".",B545,FIND(".",B545)+1)&lt;=2),AND(LEN(B545)-FIND(".",B545,FIND(".",B545)+1)=4,FIND(".",B545)&gt;=2,FIND(".",B545)&lt;=3)),FIND(".",B545,FIND(".",B545)+1)-FIND(".",B545)&gt;=2,FIND(".",B545,FIND(".",B545)+1)-FIND(".",B545)&lt;=3,F545&gt;=2000,F545&lt;=2100,YEAR(I545)=F545,MONTH(I545)=G545,DAY(I545)=H545),I545,0)),0)</ns0:f>
        <ns0:v>0</ns0:v>
      </ns0:c>
      <ns0:c r="K545" s="0">
        <ns0:f>IFERROR(IF(ISNUMBER(Bookings!D545),"",TRIM(Bookings!D545&amp;"")),"")</ns0:f>
      </ns0:c>
      <ns0:c r="L545" s="0">
        <ns0:f>IFERROR(SUBSTITUTE(SUBSTITUTE(K545,"/","."),"-","."),"")</ns0:f>
      </ns0:c>
      <ns0:c r="M545" s="0">
        <ns0:f>IFERROR(LEFT(L545,FIND(".",L545)-1),"")</ns0:f>
      </ns0:c>
      <ns0:c r="N545" s="0">
        <ns0:f>IFERROR(MID(L545,FIND(".",L545)+1,FIND(".",L545,FIND(".",L545)+1)-FIND(".",L545)-1),"")</ns0:f>
      </ns0:c>
      <ns0:c r="O545" s="0">
        <ns0:f>IFERROR(MID(L545,FIND(".",L545,FIND(".",L545)+1)+1,99),"")</ns0:f>
        <ns0:v>99</ns0:v>
      </ns0:c>
      <ns0:c r="P545" s="0">
        <ns0:f>IFERROR(IF(FIND(".",L545)=5,--M545,--O545),0)</ns0:f>
        <ns0:v>0</ns0:v>
      </ns0:c>
      <ns0:c r="Q545" s="0">
        <ns0:f>IFERROR(--N545,0)</ns0:f>
        <ns0:v>0</ns0:v>
      </ns0:c>
      <ns0:c r="R545" s="0">
        <ns0:f>IFERROR(IF(FIND(".",L545)=5,--O545,--M545),0)</ns0:f>
        <ns0:v>0</ns0:v>
      </ns0:c>
      <ns0:c r="S545" s="0">
        <ns0:f>IFERROR(IF(AND(P545&gt;=2000,P545&lt;=2100,Q545&gt;=1,Q545&lt;=12,R545&gt;=1,R545&lt;=31),DATE(P545,Q545,R545),0),0)</ns0:f>
        <ns0:v>0</ns0:v>
      </ns0:c>
      <ns0:c r="T545" s="0">
        <ns0:f>IFERROR(IF(ISNUMBER(Bookings!D545),IF(AND(Bookings!D545=INT(Bookings!D545),Bookings!D545&gt;=DATE(2000,1,1),Bookings!D545&lt;=DATE(2100,12,31)),Bookings!D545,0),IF(AND(K545&lt;&gt;"",LEN("x"&amp;L545)-LEN(SUBSTITUTE("x"&amp;L545,".",""))=2,OR(1&gt;LEN(L545),MID(L545,1,1)=".",ISNUMBER(FIND("x"&amp;MID(L545,1,1),"x0x1x2x3x4x5x6x7x8x9"))),OR(2&gt;LEN(L545),MID(L545,2,1)=".",ISNUMBER(FIND("x"&amp;MID(L545,2,1),"x0x1x2x3x4x5x6x7x8x9"))),OR(3&gt;LEN(L545),MID(L545,3,1)=".",ISNUMBER(FIND("x"&amp;MID(L545,3,1),"x0x1x2x3x4x5x6x7x8x9"))),OR(4&gt;LEN(L545),MID(L545,4,1)=".",ISNUMBER(FIND("x"&amp;MID(L545,4,1),"x0x1x2x3x4x5x6x7x8x9"))),OR(5&gt;LEN(L545),MID(L545,5,1)=".",ISNUMBER(FIND("x"&amp;MID(L545,5,1),"x0x1x2x3x4x5x6x7x8x9"))),OR(6&gt;LEN(L545),MID(L545,6,1)=".",ISNUMBER(FIND("x"&amp;MID(L545,6,1),"x0x1x2x3x4x5x6x7x8x9"))),OR(7&gt;LEN(L545),MID(L545,7,1)=".",ISNUMBER(FIND("x"&amp;MID(L545,7,1),"x0x1x2x3x4x5x6x7x8x9"))),OR(8&gt;LEN(L545),MID(L545,8,1)=".",ISNUMBER(FIND("x"&amp;MID(L545,8,1),"x0x1x2x3x4x5x6x7x8x9"))),OR(9&gt;LEN(L545),MID(L545,9,1)=".",ISNUMBER(FIND("x"&amp;MID(L545,9,1),"x0x1x2x3x4x5x6x7x8x9"))),OR(10&gt;LEN(L545),MID(L545,10,1)=".",ISNUMBER(FIND("x"&amp;MID(L545,10,1),"x0x1x2x3x4x5x6x7x8x9"))),OR(AND(FIND(".",L545)=5,LEN(L545)-FIND(".",L545,FIND(".",L545)+1)&gt;=1,LEN(L545)-FIND(".",L545,FIND(".",L545)+1)&lt;=2),AND(LEN(L545)-FIND(".",L545,FIND(".",L545)+1)=4,FIND(".",L545)&gt;=2,FIND(".",L545)&lt;=3)),FIND(".",L545,FIND(".",L545)+1)-FIND(".",L545)&gt;=2,FIND(".",L545,FIND(".",L545)+1)-FIND(".",L545)&lt;=3,P545&gt;=2000,P545&lt;=2100,YEAR(S545)=P545,MONTH(S545)=Q545,DAY(S545)=R545),S545,0)),0)</ns0:f>
        <ns0:v>0</ns0:v>
      </ns0:c>
      <ns0:c r="U545" s="0" t="str">
        <ns0:f>IF(Bookings!C545="","Full day",Bookings!C545)</ns0:f>
        <ns0:v>Full day</ns0:v>
      </ns0:c>
      <ns0:c r="V545" s="0" t="str">
        <ns0:f>IF(Bookings!E545="","Full day",Bookings!E545)</ns0:f>
        <ns0:v>Full day</ns0:v>
      </ns0:c>
      <ns0:c r="W545" s="0">
        <ns0:f>IF(J545=0,0,J545+IF(U545="PM",1,0))</ns0:f>
        <ns0:v>0</ns0:v>
      </ns0:c>
      <ns0:c r="X545" s="0">
        <ns0:f>IF(T545=0,0,T545-IF(V545="PM",1,0))</ns0:f>
        <ns0:v>0</ns0:v>
      </ns0:c>
      <ns0:c r="Y545" s="0">
        <ns0:f>IF(J545=0,0,J545+IF(U545="AM",1,0))</ns0:f>
        <ns0:v>0</ns0:v>
      </ns0:c>
      <ns0:c r="Z545" s="0">
        <ns0:f>IF(T545=0,0,T545-IF(V545="AM",1,0))</ns0:f>
        <ns0:v>0</ns0:v>
      </ns0:c>
      <ns0:c r="AA545" s="0">
        <ns0:f>IFERROR(IF(AND(J545&gt;0,'_Engine'!C545&gt;0,MID('_Engine'!W545,WEEKDAY(J545,2),1)="W",COUNTIF(Settings!$F$18:$F$67,J545)=0),1,0),0)</ns0:f>
        <ns0:v>0</ns0:v>
      </ns0:c>
      <ns0:c r="AB545" s="0">
        <ns0:f>IFERROR(IF(AND(T545&gt;0,'_Engine'!C545&gt;0,MID('_Engine'!W545,WEEKDAY(T545,2),1)="W",COUNTIF(Settings!$F$18:$F$67,T545)=0),1,0),0)</ns0:f>
        <ns0:v>0</ns0:v>
      </ns0:c>
      <ns0:c r="AC545" s="0">
        <ns0:f>IF(AND(J545&gt;0,T545&gt;0,W545&lt;=X545),1,0)</ns0:f>
        <ns0:v>0</ns0:v>
      </ns0:c>
      <ns0:c r="AD545" s="0">
        <ns0:f>IF(AND(J545&gt;0,T545&gt;0,Y545&lt;=Z545),1,0)</ns0:f>
        <ns0:v>0</ns0:v>
      </ns0:c>
    </ns0:row>
    <ns0:row r="546">
      <ns0:c r="A546" s="0">
        <ns0:f>IFERROR(IF(ISNUMBER(Bookings!B546),"",TRIM(Bookings!B546&amp;"")),"")</ns0:f>
      </ns0:c>
      <ns0:c r="B546" s="0">
        <ns0:f>IFERROR(SUBSTITUTE(SUBSTITUTE(A546,"/","."),"-","."),"")</ns0:f>
      </ns0:c>
      <ns0:c r="C546" s="0">
        <ns0:f>IFERROR(LEFT(B546,FIND(".",B546)-1),"")</ns0:f>
      </ns0:c>
      <ns0:c r="D546" s="0">
        <ns0:f>IFERROR(MID(B546,FIND(".",B546)+1,FIND(".",B546,FIND(".",B546)+1)-FIND(".",B546)-1),"")</ns0:f>
      </ns0:c>
      <ns0:c r="E546" s="0">
        <ns0:f>IFERROR(MID(B546,FIND(".",B546,FIND(".",B546)+1)+1,99),"")</ns0:f>
        <ns0:v>99</ns0:v>
      </ns0:c>
      <ns0:c r="F546" s="0">
        <ns0:f>IFERROR(IF(FIND(".",B546)=5,--C546,--E546),0)</ns0:f>
        <ns0:v>0</ns0:v>
      </ns0:c>
      <ns0:c r="G546" s="0">
        <ns0:f>IFERROR(--D546,0)</ns0:f>
        <ns0:v>0</ns0:v>
      </ns0:c>
      <ns0:c r="H546" s="0">
        <ns0:f>IFERROR(IF(FIND(".",B546)=5,--E546,--C546),0)</ns0:f>
        <ns0:v>0</ns0:v>
      </ns0:c>
      <ns0:c r="I546" s="0">
        <ns0:f>IFERROR(IF(AND(F546&gt;=2000,F546&lt;=2100,G546&gt;=1,G546&lt;=12,H546&gt;=1,H546&lt;=31),DATE(F546,G546,H546),0),0)</ns0:f>
        <ns0:v>0</ns0:v>
      </ns0:c>
      <ns0:c r="J546" s="0">
        <ns0:f>IFERROR(IF(ISNUMBER(Bookings!B546),IF(AND(Bookings!B546=INT(Bookings!B546),Bookings!B546&gt;=DATE(2000,1,1),Bookings!B546&lt;=DATE(2100,12,31)),Bookings!B546,0),IF(AND(A546&lt;&gt;"",LEN("x"&amp;B546)-LEN(SUBSTITUTE("x"&amp;B546,".",""))=2,OR(1&gt;LEN(B546),MID(B546,1,1)=".",ISNUMBER(FIND("x"&amp;MID(B546,1,1),"x0x1x2x3x4x5x6x7x8x9"))),OR(2&gt;LEN(B546),MID(B546,2,1)=".",ISNUMBER(FIND("x"&amp;MID(B546,2,1),"x0x1x2x3x4x5x6x7x8x9"))),OR(3&gt;LEN(B546),MID(B546,3,1)=".",ISNUMBER(FIND("x"&amp;MID(B546,3,1),"x0x1x2x3x4x5x6x7x8x9"))),OR(4&gt;LEN(B546),MID(B546,4,1)=".",ISNUMBER(FIND("x"&amp;MID(B546,4,1),"x0x1x2x3x4x5x6x7x8x9"))),OR(5&gt;LEN(B546),MID(B546,5,1)=".",ISNUMBER(FIND("x"&amp;MID(B546,5,1),"x0x1x2x3x4x5x6x7x8x9"))),OR(6&gt;LEN(B546),MID(B546,6,1)=".",ISNUMBER(FIND("x"&amp;MID(B546,6,1),"x0x1x2x3x4x5x6x7x8x9"))),OR(7&gt;LEN(B546),MID(B546,7,1)=".",ISNUMBER(FIND("x"&amp;MID(B546,7,1),"x0x1x2x3x4x5x6x7x8x9"))),OR(8&gt;LEN(B546),MID(B546,8,1)=".",ISNUMBER(FIND("x"&amp;MID(B546,8,1),"x0x1x2x3x4x5x6x7x8x9"))),OR(9&gt;LEN(B546),MID(B546,9,1)=".",ISNUMBER(FIND("x"&amp;MID(B546,9,1),"x0x1x2x3x4x5x6x7x8x9"))),OR(10&gt;LEN(B546),MID(B546,10,1)=".",ISNUMBER(FIND("x"&amp;MID(B546,10,1),"x0x1x2x3x4x5x6x7x8x9"))),OR(AND(FIND(".",B546)=5,LEN(B546)-FIND(".",B546,FIND(".",B546)+1)&gt;=1,LEN(B546)-FIND(".",B546,FIND(".",B546)+1)&lt;=2),AND(LEN(B546)-FIND(".",B546,FIND(".",B546)+1)=4,FIND(".",B546)&gt;=2,FIND(".",B546)&lt;=3)),FIND(".",B546,FIND(".",B546)+1)-FIND(".",B546)&gt;=2,FIND(".",B546,FIND(".",B546)+1)-FIND(".",B546)&lt;=3,F546&gt;=2000,F546&lt;=2100,YEAR(I546)=F546,MONTH(I546)=G546,DAY(I546)=H546),I546,0)),0)</ns0:f>
        <ns0:v>0</ns0:v>
      </ns0:c>
      <ns0:c r="K546" s="0">
        <ns0:f>IFERROR(IF(ISNUMBER(Bookings!D546),"",TRIM(Bookings!D546&amp;"")),"")</ns0:f>
      </ns0:c>
      <ns0:c r="L546" s="0">
        <ns0:f>IFERROR(SUBSTITUTE(SUBSTITUTE(K546,"/","."),"-","."),"")</ns0:f>
      </ns0:c>
      <ns0:c r="M546" s="0">
        <ns0:f>IFERROR(LEFT(L546,FIND(".",L546)-1),"")</ns0:f>
      </ns0:c>
      <ns0:c r="N546" s="0">
        <ns0:f>IFERROR(MID(L546,FIND(".",L546)+1,FIND(".",L546,FIND(".",L546)+1)-FIND(".",L546)-1),"")</ns0:f>
      </ns0:c>
      <ns0:c r="O546" s="0">
        <ns0:f>IFERROR(MID(L546,FIND(".",L546,FIND(".",L546)+1)+1,99),"")</ns0:f>
        <ns0:v>99</ns0:v>
      </ns0:c>
      <ns0:c r="P546" s="0">
        <ns0:f>IFERROR(IF(FIND(".",L546)=5,--M546,--O546),0)</ns0:f>
        <ns0:v>0</ns0:v>
      </ns0:c>
      <ns0:c r="Q546" s="0">
        <ns0:f>IFERROR(--N546,0)</ns0:f>
        <ns0:v>0</ns0:v>
      </ns0:c>
      <ns0:c r="R546" s="0">
        <ns0:f>IFERROR(IF(FIND(".",L546)=5,--O546,--M546),0)</ns0:f>
        <ns0:v>0</ns0:v>
      </ns0:c>
      <ns0:c r="S546" s="0">
        <ns0:f>IFERROR(IF(AND(P546&gt;=2000,P546&lt;=2100,Q546&gt;=1,Q546&lt;=12,R546&gt;=1,R546&lt;=31),DATE(P546,Q546,R546),0),0)</ns0:f>
        <ns0:v>0</ns0:v>
      </ns0:c>
      <ns0:c r="T546" s="0">
        <ns0:f>IFERROR(IF(ISNUMBER(Bookings!D546),IF(AND(Bookings!D546=INT(Bookings!D546),Bookings!D546&gt;=DATE(2000,1,1),Bookings!D546&lt;=DATE(2100,12,31)),Bookings!D546,0),IF(AND(K546&lt;&gt;"",LEN("x"&amp;L546)-LEN(SUBSTITUTE("x"&amp;L546,".",""))=2,OR(1&gt;LEN(L546),MID(L546,1,1)=".",ISNUMBER(FIND("x"&amp;MID(L546,1,1),"x0x1x2x3x4x5x6x7x8x9"))),OR(2&gt;LEN(L546),MID(L546,2,1)=".",ISNUMBER(FIND("x"&amp;MID(L546,2,1),"x0x1x2x3x4x5x6x7x8x9"))),OR(3&gt;LEN(L546),MID(L546,3,1)=".",ISNUMBER(FIND("x"&amp;MID(L546,3,1),"x0x1x2x3x4x5x6x7x8x9"))),OR(4&gt;LEN(L546),MID(L546,4,1)=".",ISNUMBER(FIND("x"&amp;MID(L546,4,1),"x0x1x2x3x4x5x6x7x8x9"))),OR(5&gt;LEN(L546),MID(L546,5,1)=".",ISNUMBER(FIND("x"&amp;MID(L546,5,1),"x0x1x2x3x4x5x6x7x8x9"))),OR(6&gt;LEN(L546),MID(L546,6,1)=".",ISNUMBER(FIND("x"&amp;MID(L546,6,1),"x0x1x2x3x4x5x6x7x8x9"))),OR(7&gt;LEN(L546),MID(L546,7,1)=".",ISNUMBER(FIND("x"&amp;MID(L546,7,1),"x0x1x2x3x4x5x6x7x8x9"))),OR(8&gt;LEN(L546),MID(L546,8,1)=".",ISNUMBER(FIND("x"&amp;MID(L546,8,1),"x0x1x2x3x4x5x6x7x8x9"))),OR(9&gt;LEN(L546),MID(L546,9,1)=".",ISNUMBER(FIND("x"&amp;MID(L546,9,1),"x0x1x2x3x4x5x6x7x8x9"))),OR(10&gt;LEN(L546),MID(L546,10,1)=".",ISNUMBER(FIND("x"&amp;MID(L546,10,1),"x0x1x2x3x4x5x6x7x8x9"))),OR(AND(FIND(".",L546)=5,LEN(L546)-FIND(".",L546,FIND(".",L546)+1)&gt;=1,LEN(L546)-FIND(".",L546,FIND(".",L546)+1)&lt;=2),AND(LEN(L546)-FIND(".",L546,FIND(".",L546)+1)=4,FIND(".",L546)&gt;=2,FIND(".",L546)&lt;=3)),FIND(".",L546,FIND(".",L546)+1)-FIND(".",L546)&gt;=2,FIND(".",L546,FIND(".",L546)+1)-FIND(".",L546)&lt;=3,P546&gt;=2000,P546&lt;=2100,YEAR(S546)=P546,MONTH(S546)=Q546,DAY(S546)=R546),S546,0)),0)</ns0:f>
        <ns0:v>0</ns0:v>
      </ns0:c>
      <ns0:c r="U546" s="0" t="str">
        <ns0:f>IF(Bookings!C546="","Full day",Bookings!C546)</ns0:f>
        <ns0:v>Full day</ns0:v>
      </ns0:c>
      <ns0:c r="V546" s="0" t="str">
        <ns0:f>IF(Bookings!E546="","Full day",Bookings!E546)</ns0:f>
        <ns0:v>Full day</ns0:v>
      </ns0:c>
      <ns0:c r="W546" s="0">
        <ns0:f>IF(J546=0,0,J546+IF(U546="PM",1,0))</ns0:f>
        <ns0:v>0</ns0:v>
      </ns0:c>
      <ns0:c r="X546" s="0">
        <ns0:f>IF(T546=0,0,T546-IF(V546="PM",1,0))</ns0:f>
        <ns0:v>0</ns0:v>
      </ns0:c>
      <ns0:c r="Y546" s="0">
        <ns0:f>IF(J546=0,0,J546+IF(U546="AM",1,0))</ns0:f>
        <ns0:v>0</ns0:v>
      </ns0:c>
      <ns0:c r="Z546" s="0">
        <ns0:f>IF(T546=0,0,T546-IF(V546="AM",1,0))</ns0:f>
        <ns0:v>0</ns0:v>
      </ns0:c>
      <ns0:c r="AA546" s="0">
        <ns0:f>IFERROR(IF(AND(J546&gt;0,'_Engine'!C546&gt;0,MID('_Engine'!W546,WEEKDAY(J546,2),1)="W",COUNTIF(Settings!$F$18:$F$67,J546)=0),1,0),0)</ns0:f>
        <ns0:v>0</ns0:v>
      </ns0:c>
      <ns0:c r="AB546" s="0">
        <ns0:f>IFERROR(IF(AND(T546&gt;0,'_Engine'!C546&gt;0,MID('_Engine'!W546,WEEKDAY(T546,2),1)="W",COUNTIF(Settings!$F$18:$F$67,T546)=0),1,0),0)</ns0:f>
        <ns0:v>0</ns0:v>
      </ns0:c>
      <ns0:c r="AC546" s="0">
        <ns0:f>IF(AND(J546&gt;0,T546&gt;0,W546&lt;=X546),1,0)</ns0:f>
        <ns0:v>0</ns0:v>
      </ns0:c>
      <ns0:c r="AD546" s="0">
        <ns0:f>IF(AND(J546&gt;0,T546&gt;0,Y546&lt;=Z546),1,0)</ns0:f>
        <ns0:v>0</ns0:v>
      </ns0:c>
    </ns0:row>
    <ns0:row r="547">
      <ns0:c r="A547" s="0">
        <ns0:f>IFERROR(IF(ISNUMBER(Bookings!B547),"",TRIM(Bookings!B547&amp;"")),"")</ns0:f>
      </ns0:c>
      <ns0:c r="B547" s="0">
        <ns0:f>IFERROR(SUBSTITUTE(SUBSTITUTE(A547,"/","."),"-","."),"")</ns0:f>
      </ns0:c>
      <ns0:c r="C547" s="0">
        <ns0:f>IFERROR(LEFT(B547,FIND(".",B547)-1),"")</ns0:f>
      </ns0:c>
      <ns0:c r="D547" s="0">
        <ns0:f>IFERROR(MID(B547,FIND(".",B547)+1,FIND(".",B547,FIND(".",B547)+1)-FIND(".",B547)-1),"")</ns0:f>
      </ns0:c>
      <ns0:c r="E547" s="0">
        <ns0:f>IFERROR(MID(B547,FIND(".",B547,FIND(".",B547)+1)+1,99),"")</ns0:f>
        <ns0:v>99</ns0:v>
      </ns0:c>
      <ns0:c r="F547" s="0">
        <ns0:f>IFERROR(IF(FIND(".",B547)=5,--C547,--E547),0)</ns0:f>
        <ns0:v>0</ns0:v>
      </ns0:c>
      <ns0:c r="G547" s="0">
        <ns0:f>IFERROR(--D547,0)</ns0:f>
        <ns0:v>0</ns0:v>
      </ns0:c>
      <ns0:c r="H547" s="0">
        <ns0:f>IFERROR(IF(FIND(".",B547)=5,--E547,--C547),0)</ns0:f>
        <ns0:v>0</ns0:v>
      </ns0:c>
      <ns0:c r="I547" s="0">
        <ns0:f>IFERROR(IF(AND(F547&gt;=2000,F547&lt;=2100,G547&gt;=1,G547&lt;=12,H547&gt;=1,H547&lt;=31),DATE(F547,G547,H547),0),0)</ns0:f>
        <ns0:v>0</ns0:v>
      </ns0:c>
      <ns0:c r="J547" s="0">
        <ns0:f>IFERROR(IF(ISNUMBER(Bookings!B547),IF(AND(Bookings!B547=INT(Bookings!B547),Bookings!B547&gt;=DATE(2000,1,1),Bookings!B547&lt;=DATE(2100,12,31)),Bookings!B547,0),IF(AND(A547&lt;&gt;"",LEN("x"&amp;B547)-LEN(SUBSTITUTE("x"&amp;B547,".",""))=2,OR(1&gt;LEN(B547),MID(B547,1,1)=".",ISNUMBER(FIND("x"&amp;MID(B547,1,1),"x0x1x2x3x4x5x6x7x8x9"))),OR(2&gt;LEN(B547),MID(B547,2,1)=".",ISNUMBER(FIND("x"&amp;MID(B547,2,1),"x0x1x2x3x4x5x6x7x8x9"))),OR(3&gt;LEN(B547),MID(B547,3,1)=".",ISNUMBER(FIND("x"&amp;MID(B547,3,1),"x0x1x2x3x4x5x6x7x8x9"))),OR(4&gt;LEN(B547),MID(B547,4,1)=".",ISNUMBER(FIND("x"&amp;MID(B547,4,1),"x0x1x2x3x4x5x6x7x8x9"))),OR(5&gt;LEN(B547),MID(B547,5,1)=".",ISNUMBER(FIND("x"&amp;MID(B547,5,1),"x0x1x2x3x4x5x6x7x8x9"))),OR(6&gt;LEN(B547),MID(B547,6,1)=".",ISNUMBER(FIND("x"&amp;MID(B547,6,1),"x0x1x2x3x4x5x6x7x8x9"))),OR(7&gt;LEN(B547),MID(B547,7,1)=".",ISNUMBER(FIND("x"&amp;MID(B547,7,1),"x0x1x2x3x4x5x6x7x8x9"))),OR(8&gt;LEN(B547),MID(B547,8,1)=".",ISNUMBER(FIND("x"&amp;MID(B547,8,1),"x0x1x2x3x4x5x6x7x8x9"))),OR(9&gt;LEN(B547),MID(B547,9,1)=".",ISNUMBER(FIND("x"&amp;MID(B547,9,1),"x0x1x2x3x4x5x6x7x8x9"))),OR(10&gt;LEN(B547),MID(B547,10,1)=".",ISNUMBER(FIND("x"&amp;MID(B547,10,1),"x0x1x2x3x4x5x6x7x8x9"))),OR(AND(FIND(".",B547)=5,LEN(B547)-FIND(".",B547,FIND(".",B547)+1)&gt;=1,LEN(B547)-FIND(".",B547,FIND(".",B547)+1)&lt;=2),AND(LEN(B547)-FIND(".",B547,FIND(".",B547)+1)=4,FIND(".",B547)&gt;=2,FIND(".",B547)&lt;=3)),FIND(".",B547,FIND(".",B547)+1)-FIND(".",B547)&gt;=2,FIND(".",B547,FIND(".",B547)+1)-FIND(".",B547)&lt;=3,F547&gt;=2000,F547&lt;=2100,YEAR(I547)=F547,MONTH(I547)=G547,DAY(I547)=H547),I547,0)),0)</ns0:f>
        <ns0:v>0</ns0:v>
      </ns0:c>
      <ns0:c r="K547" s="0">
        <ns0:f>IFERROR(IF(ISNUMBER(Bookings!D547),"",TRIM(Bookings!D547&amp;"")),"")</ns0:f>
      </ns0:c>
      <ns0:c r="L547" s="0">
        <ns0:f>IFERROR(SUBSTITUTE(SUBSTITUTE(K547,"/","."),"-","."),"")</ns0:f>
      </ns0:c>
      <ns0:c r="M547" s="0">
        <ns0:f>IFERROR(LEFT(L547,FIND(".",L547)-1),"")</ns0:f>
      </ns0:c>
      <ns0:c r="N547" s="0">
        <ns0:f>IFERROR(MID(L547,FIND(".",L547)+1,FIND(".",L547,FIND(".",L547)+1)-FIND(".",L547)-1),"")</ns0:f>
      </ns0:c>
      <ns0:c r="O547" s="0">
        <ns0:f>IFERROR(MID(L547,FIND(".",L547,FIND(".",L547)+1)+1,99),"")</ns0:f>
        <ns0:v>99</ns0:v>
      </ns0:c>
      <ns0:c r="P547" s="0">
        <ns0:f>IFERROR(IF(FIND(".",L547)=5,--M547,--O547),0)</ns0:f>
        <ns0:v>0</ns0:v>
      </ns0:c>
      <ns0:c r="Q547" s="0">
        <ns0:f>IFERROR(--N547,0)</ns0:f>
        <ns0:v>0</ns0:v>
      </ns0:c>
      <ns0:c r="R547" s="0">
        <ns0:f>IFERROR(IF(FIND(".",L547)=5,--O547,--M547),0)</ns0:f>
        <ns0:v>0</ns0:v>
      </ns0:c>
      <ns0:c r="S547" s="0">
        <ns0:f>IFERROR(IF(AND(P547&gt;=2000,P547&lt;=2100,Q547&gt;=1,Q547&lt;=12,R547&gt;=1,R547&lt;=31),DATE(P547,Q547,R547),0),0)</ns0:f>
        <ns0:v>0</ns0:v>
      </ns0:c>
      <ns0:c r="T547" s="0">
        <ns0:f>IFERROR(IF(ISNUMBER(Bookings!D547),IF(AND(Bookings!D547=INT(Bookings!D547),Bookings!D547&gt;=DATE(2000,1,1),Bookings!D547&lt;=DATE(2100,12,31)),Bookings!D547,0),IF(AND(K547&lt;&gt;"",LEN("x"&amp;L547)-LEN(SUBSTITUTE("x"&amp;L547,".",""))=2,OR(1&gt;LEN(L547),MID(L547,1,1)=".",ISNUMBER(FIND("x"&amp;MID(L547,1,1),"x0x1x2x3x4x5x6x7x8x9"))),OR(2&gt;LEN(L547),MID(L547,2,1)=".",ISNUMBER(FIND("x"&amp;MID(L547,2,1),"x0x1x2x3x4x5x6x7x8x9"))),OR(3&gt;LEN(L547),MID(L547,3,1)=".",ISNUMBER(FIND("x"&amp;MID(L547,3,1),"x0x1x2x3x4x5x6x7x8x9"))),OR(4&gt;LEN(L547),MID(L547,4,1)=".",ISNUMBER(FIND("x"&amp;MID(L547,4,1),"x0x1x2x3x4x5x6x7x8x9"))),OR(5&gt;LEN(L547),MID(L547,5,1)=".",ISNUMBER(FIND("x"&amp;MID(L547,5,1),"x0x1x2x3x4x5x6x7x8x9"))),OR(6&gt;LEN(L547),MID(L547,6,1)=".",ISNUMBER(FIND("x"&amp;MID(L547,6,1),"x0x1x2x3x4x5x6x7x8x9"))),OR(7&gt;LEN(L547),MID(L547,7,1)=".",ISNUMBER(FIND("x"&amp;MID(L547,7,1),"x0x1x2x3x4x5x6x7x8x9"))),OR(8&gt;LEN(L547),MID(L547,8,1)=".",ISNUMBER(FIND("x"&amp;MID(L547,8,1),"x0x1x2x3x4x5x6x7x8x9"))),OR(9&gt;LEN(L547),MID(L547,9,1)=".",ISNUMBER(FIND("x"&amp;MID(L547,9,1),"x0x1x2x3x4x5x6x7x8x9"))),OR(10&gt;LEN(L547),MID(L547,10,1)=".",ISNUMBER(FIND("x"&amp;MID(L547,10,1),"x0x1x2x3x4x5x6x7x8x9"))),OR(AND(FIND(".",L547)=5,LEN(L547)-FIND(".",L547,FIND(".",L547)+1)&gt;=1,LEN(L547)-FIND(".",L547,FIND(".",L547)+1)&lt;=2),AND(LEN(L547)-FIND(".",L547,FIND(".",L547)+1)=4,FIND(".",L547)&gt;=2,FIND(".",L547)&lt;=3)),FIND(".",L547,FIND(".",L547)+1)-FIND(".",L547)&gt;=2,FIND(".",L547,FIND(".",L547)+1)-FIND(".",L547)&lt;=3,P547&gt;=2000,P547&lt;=2100,YEAR(S547)=P547,MONTH(S547)=Q547,DAY(S547)=R547),S547,0)),0)</ns0:f>
        <ns0:v>0</ns0:v>
      </ns0:c>
      <ns0:c r="U547" s="0" t="str">
        <ns0:f>IF(Bookings!C547="","Full day",Bookings!C547)</ns0:f>
        <ns0:v>Full day</ns0:v>
      </ns0:c>
      <ns0:c r="V547" s="0" t="str">
        <ns0:f>IF(Bookings!E547="","Full day",Bookings!E547)</ns0:f>
        <ns0:v>Full day</ns0:v>
      </ns0:c>
      <ns0:c r="W547" s="0">
        <ns0:f>IF(J547=0,0,J547+IF(U547="PM",1,0))</ns0:f>
        <ns0:v>0</ns0:v>
      </ns0:c>
      <ns0:c r="X547" s="0">
        <ns0:f>IF(T547=0,0,T547-IF(V547="PM",1,0))</ns0:f>
        <ns0:v>0</ns0:v>
      </ns0:c>
      <ns0:c r="Y547" s="0">
        <ns0:f>IF(J547=0,0,J547+IF(U547="AM",1,0))</ns0:f>
        <ns0:v>0</ns0:v>
      </ns0:c>
      <ns0:c r="Z547" s="0">
        <ns0:f>IF(T547=0,0,T547-IF(V547="AM",1,0))</ns0:f>
        <ns0:v>0</ns0:v>
      </ns0:c>
      <ns0:c r="AA547" s="0">
        <ns0:f>IFERROR(IF(AND(J547&gt;0,'_Engine'!C547&gt;0,MID('_Engine'!W547,WEEKDAY(J547,2),1)="W",COUNTIF(Settings!$F$18:$F$67,J547)=0),1,0),0)</ns0:f>
        <ns0:v>0</ns0:v>
      </ns0:c>
      <ns0:c r="AB547" s="0">
        <ns0:f>IFERROR(IF(AND(T547&gt;0,'_Engine'!C547&gt;0,MID('_Engine'!W547,WEEKDAY(T547,2),1)="W",COUNTIF(Settings!$F$18:$F$67,T547)=0),1,0),0)</ns0:f>
        <ns0:v>0</ns0:v>
      </ns0:c>
      <ns0:c r="AC547" s="0">
        <ns0:f>IF(AND(J547&gt;0,T547&gt;0,W547&lt;=X547),1,0)</ns0:f>
        <ns0:v>0</ns0:v>
      </ns0:c>
      <ns0:c r="AD547" s="0">
        <ns0:f>IF(AND(J547&gt;0,T547&gt;0,Y547&lt;=Z547),1,0)</ns0:f>
        <ns0:v>0</ns0:v>
      </ns0:c>
    </ns0:row>
    <ns0:row r="548">
      <ns0:c r="A548" s="0">
        <ns0:f>IFERROR(IF(ISNUMBER(Bookings!B548),"",TRIM(Bookings!B548&amp;"")),"")</ns0:f>
      </ns0:c>
      <ns0:c r="B548" s="0">
        <ns0:f>IFERROR(SUBSTITUTE(SUBSTITUTE(A548,"/","."),"-","."),"")</ns0:f>
      </ns0:c>
      <ns0:c r="C548" s="0">
        <ns0:f>IFERROR(LEFT(B548,FIND(".",B548)-1),"")</ns0:f>
      </ns0:c>
      <ns0:c r="D548" s="0">
        <ns0:f>IFERROR(MID(B548,FIND(".",B548)+1,FIND(".",B548,FIND(".",B548)+1)-FIND(".",B548)-1),"")</ns0:f>
      </ns0:c>
      <ns0:c r="E548" s="0">
        <ns0:f>IFERROR(MID(B548,FIND(".",B548,FIND(".",B548)+1)+1,99),"")</ns0:f>
        <ns0:v>99</ns0:v>
      </ns0:c>
      <ns0:c r="F548" s="0">
        <ns0:f>IFERROR(IF(FIND(".",B548)=5,--C548,--E548),0)</ns0:f>
        <ns0:v>0</ns0:v>
      </ns0:c>
      <ns0:c r="G548" s="0">
        <ns0:f>IFERROR(--D548,0)</ns0:f>
        <ns0:v>0</ns0:v>
      </ns0:c>
      <ns0:c r="H548" s="0">
        <ns0:f>IFERROR(IF(FIND(".",B548)=5,--E548,--C548),0)</ns0:f>
        <ns0:v>0</ns0:v>
      </ns0:c>
      <ns0:c r="I548" s="0">
        <ns0:f>IFERROR(IF(AND(F548&gt;=2000,F548&lt;=2100,G548&gt;=1,G548&lt;=12,H548&gt;=1,H548&lt;=31),DATE(F548,G548,H548),0),0)</ns0:f>
        <ns0:v>0</ns0:v>
      </ns0:c>
      <ns0:c r="J548" s="0">
        <ns0:f>IFERROR(IF(ISNUMBER(Bookings!B548),IF(AND(Bookings!B548=INT(Bookings!B548),Bookings!B548&gt;=DATE(2000,1,1),Bookings!B548&lt;=DATE(2100,12,31)),Bookings!B548,0),IF(AND(A548&lt;&gt;"",LEN("x"&amp;B548)-LEN(SUBSTITUTE("x"&amp;B548,".",""))=2,OR(1&gt;LEN(B548),MID(B548,1,1)=".",ISNUMBER(FIND("x"&amp;MID(B548,1,1),"x0x1x2x3x4x5x6x7x8x9"))),OR(2&gt;LEN(B548),MID(B548,2,1)=".",ISNUMBER(FIND("x"&amp;MID(B548,2,1),"x0x1x2x3x4x5x6x7x8x9"))),OR(3&gt;LEN(B548),MID(B548,3,1)=".",ISNUMBER(FIND("x"&amp;MID(B548,3,1),"x0x1x2x3x4x5x6x7x8x9"))),OR(4&gt;LEN(B548),MID(B548,4,1)=".",ISNUMBER(FIND("x"&amp;MID(B548,4,1),"x0x1x2x3x4x5x6x7x8x9"))),OR(5&gt;LEN(B548),MID(B548,5,1)=".",ISNUMBER(FIND("x"&amp;MID(B548,5,1),"x0x1x2x3x4x5x6x7x8x9"))),OR(6&gt;LEN(B548),MID(B548,6,1)=".",ISNUMBER(FIND("x"&amp;MID(B548,6,1),"x0x1x2x3x4x5x6x7x8x9"))),OR(7&gt;LEN(B548),MID(B548,7,1)=".",ISNUMBER(FIND("x"&amp;MID(B548,7,1),"x0x1x2x3x4x5x6x7x8x9"))),OR(8&gt;LEN(B548),MID(B548,8,1)=".",ISNUMBER(FIND("x"&amp;MID(B548,8,1),"x0x1x2x3x4x5x6x7x8x9"))),OR(9&gt;LEN(B548),MID(B548,9,1)=".",ISNUMBER(FIND("x"&amp;MID(B548,9,1),"x0x1x2x3x4x5x6x7x8x9"))),OR(10&gt;LEN(B548),MID(B548,10,1)=".",ISNUMBER(FIND("x"&amp;MID(B548,10,1),"x0x1x2x3x4x5x6x7x8x9"))),OR(AND(FIND(".",B548)=5,LEN(B548)-FIND(".",B548,FIND(".",B548)+1)&gt;=1,LEN(B548)-FIND(".",B548,FIND(".",B548)+1)&lt;=2),AND(LEN(B548)-FIND(".",B548,FIND(".",B548)+1)=4,FIND(".",B548)&gt;=2,FIND(".",B548)&lt;=3)),FIND(".",B548,FIND(".",B548)+1)-FIND(".",B548)&gt;=2,FIND(".",B548,FIND(".",B548)+1)-FIND(".",B548)&lt;=3,F548&gt;=2000,F548&lt;=2100,YEAR(I548)=F548,MONTH(I548)=G548,DAY(I548)=H548),I548,0)),0)</ns0:f>
        <ns0:v>0</ns0:v>
      </ns0:c>
      <ns0:c r="K548" s="0">
        <ns0:f>IFERROR(IF(ISNUMBER(Bookings!D548),"",TRIM(Bookings!D548&amp;"")),"")</ns0:f>
      </ns0:c>
      <ns0:c r="L548" s="0">
        <ns0:f>IFERROR(SUBSTITUTE(SUBSTITUTE(K548,"/","."),"-","."),"")</ns0:f>
      </ns0:c>
      <ns0:c r="M548" s="0">
        <ns0:f>IFERROR(LEFT(L548,FIND(".",L548)-1),"")</ns0:f>
      </ns0:c>
      <ns0:c r="N548" s="0">
        <ns0:f>IFERROR(MID(L548,FIND(".",L548)+1,FIND(".",L548,FIND(".",L548)+1)-FIND(".",L548)-1),"")</ns0:f>
      </ns0:c>
      <ns0:c r="O548" s="0">
        <ns0:f>IFERROR(MID(L548,FIND(".",L548,FIND(".",L548)+1)+1,99),"")</ns0:f>
        <ns0:v>99</ns0:v>
      </ns0:c>
      <ns0:c r="P548" s="0">
        <ns0:f>IFERROR(IF(FIND(".",L548)=5,--M548,--O548),0)</ns0:f>
        <ns0:v>0</ns0:v>
      </ns0:c>
      <ns0:c r="Q548" s="0">
        <ns0:f>IFERROR(--N548,0)</ns0:f>
        <ns0:v>0</ns0:v>
      </ns0:c>
      <ns0:c r="R548" s="0">
        <ns0:f>IFERROR(IF(FIND(".",L548)=5,--O548,--M548),0)</ns0:f>
        <ns0:v>0</ns0:v>
      </ns0:c>
      <ns0:c r="S548" s="0">
        <ns0:f>IFERROR(IF(AND(P548&gt;=2000,P548&lt;=2100,Q548&gt;=1,Q548&lt;=12,R548&gt;=1,R548&lt;=31),DATE(P548,Q548,R548),0),0)</ns0:f>
        <ns0:v>0</ns0:v>
      </ns0:c>
      <ns0:c r="T548" s="0">
        <ns0:f>IFERROR(IF(ISNUMBER(Bookings!D548),IF(AND(Bookings!D548=INT(Bookings!D548),Bookings!D548&gt;=DATE(2000,1,1),Bookings!D548&lt;=DATE(2100,12,31)),Bookings!D548,0),IF(AND(K548&lt;&gt;"",LEN("x"&amp;L548)-LEN(SUBSTITUTE("x"&amp;L548,".",""))=2,OR(1&gt;LEN(L548),MID(L548,1,1)=".",ISNUMBER(FIND("x"&amp;MID(L548,1,1),"x0x1x2x3x4x5x6x7x8x9"))),OR(2&gt;LEN(L548),MID(L548,2,1)=".",ISNUMBER(FIND("x"&amp;MID(L548,2,1),"x0x1x2x3x4x5x6x7x8x9"))),OR(3&gt;LEN(L548),MID(L548,3,1)=".",ISNUMBER(FIND("x"&amp;MID(L548,3,1),"x0x1x2x3x4x5x6x7x8x9"))),OR(4&gt;LEN(L548),MID(L548,4,1)=".",ISNUMBER(FIND("x"&amp;MID(L548,4,1),"x0x1x2x3x4x5x6x7x8x9"))),OR(5&gt;LEN(L548),MID(L548,5,1)=".",ISNUMBER(FIND("x"&amp;MID(L548,5,1),"x0x1x2x3x4x5x6x7x8x9"))),OR(6&gt;LEN(L548),MID(L548,6,1)=".",ISNUMBER(FIND("x"&amp;MID(L548,6,1),"x0x1x2x3x4x5x6x7x8x9"))),OR(7&gt;LEN(L548),MID(L548,7,1)=".",ISNUMBER(FIND("x"&amp;MID(L548,7,1),"x0x1x2x3x4x5x6x7x8x9"))),OR(8&gt;LEN(L548),MID(L548,8,1)=".",ISNUMBER(FIND("x"&amp;MID(L548,8,1),"x0x1x2x3x4x5x6x7x8x9"))),OR(9&gt;LEN(L548),MID(L548,9,1)=".",ISNUMBER(FIND("x"&amp;MID(L548,9,1),"x0x1x2x3x4x5x6x7x8x9"))),OR(10&gt;LEN(L548),MID(L548,10,1)=".",ISNUMBER(FIND("x"&amp;MID(L548,10,1),"x0x1x2x3x4x5x6x7x8x9"))),OR(AND(FIND(".",L548)=5,LEN(L548)-FIND(".",L548,FIND(".",L548)+1)&gt;=1,LEN(L548)-FIND(".",L548,FIND(".",L548)+1)&lt;=2),AND(LEN(L548)-FIND(".",L548,FIND(".",L548)+1)=4,FIND(".",L548)&gt;=2,FIND(".",L548)&lt;=3)),FIND(".",L548,FIND(".",L548)+1)-FIND(".",L548)&gt;=2,FIND(".",L548,FIND(".",L548)+1)-FIND(".",L548)&lt;=3,P548&gt;=2000,P548&lt;=2100,YEAR(S548)=P548,MONTH(S548)=Q548,DAY(S548)=R548),S548,0)),0)</ns0:f>
        <ns0:v>0</ns0:v>
      </ns0:c>
      <ns0:c r="U548" s="0" t="str">
        <ns0:f>IF(Bookings!C548="","Full day",Bookings!C548)</ns0:f>
        <ns0:v>Full day</ns0:v>
      </ns0:c>
      <ns0:c r="V548" s="0" t="str">
        <ns0:f>IF(Bookings!E548="","Full day",Bookings!E548)</ns0:f>
        <ns0:v>Full day</ns0:v>
      </ns0:c>
      <ns0:c r="W548" s="0">
        <ns0:f>IF(J548=0,0,J548+IF(U548="PM",1,0))</ns0:f>
        <ns0:v>0</ns0:v>
      </ns0:c>
      <ns0:c r="X548" s="0">
        <ns0:f>IF(T548=0,0,T548-IF(V548="PM",1,0))</ns0:f>
        <ns0:v>0</ns0:v>
      </ns0:c>
      <ns0:c r="Y548" s="0">
        <ns0:f>IF(J548=0,0,J548+IF(U548="AM",1,0))</ns0:f>
        <ns0:v>0</ns0:v>
      </ns0:c>
      <ns0:c r="Z548" s="0">
        <ns0:f>IF(T548=0,0,T548-IF(V548="AM",1,0))</ns0:f>
        <ns0:v>0</ns0:v>
      </ns0:c>
      <ns0:c r="AA548" s="0">
        <ns0:f>IFERROR(IF(AND(J548&gt;0,'_Engine'!C548&gt;0,MID('_Engine'!W548,WEEKDAY(J548,2),1)="W",COUNTIF(Settings!$F$18:$F$67,J548)=0),1,0),0)</ns0:f>
        <ns0:v>0</ns0:v>
      </ns0:c>
      <ns0:c r="AB548" s="0">
        <ns0:f>IFERROR(IF(AND(T548&gt;0,'_Engine'!C548&gt;0,MID('_Engine'!W548,WEEKDAY(T548,2),1)="W",COUNTIF(Settings!$F$18:$F$67,T548)=0),1,0),0)</ns0:f>
        <ns0:v>0</ns0:v>
      </ns0:c>
      <ns0:c r="AC548" s="0">
        <ns0:f>IF(AND(J548&gt;0,T548&gt;0,W548&lt;=X548),1,0)</ns0:f>
        <ns0:v>0</ns0:v>
      </ns0:c>
      <ns0:c r="AD548" s="0">
        <ns0:f>IF(AND(J548&gt;0,T548&gt;0,Y548&lt;=Z548),1,0)</ns0:f>
        <ns0:v>0</ns0:v>
      </ns0:c>
    </ns0:row>
    <ns0:row r="549">
      <ns0:c r="A549" s="0">
        <ns0:f>IFERROR(IF(ISNUMBER(Bookings!B549),"",TRIM(Bookings!B549&amp;"")),"")</ns0:f>
      </ns0:c>
      <ns0:c r="B549" s="0">
        <ns0:f>IFERROR(SUBSTITUTE(SUBSTITUTE(A549,"/","."),"-","."),"")</ns0:f>
      </ns0:c>
      <ns0:c r="C549" s="0">
        <ns0:f>IFERROR(LEFT(B549,FIND(".",B549)-1),"")</ns0:f>
      </ns0:c>
      <ns0:c r="D549" s="0">
        <ns0:f>IFERROR(MID(B549,FIND(".",B549)+1,FIND(".",B549,FIND(".",B549)+1)-FIND(".",B549)-1),"")</ns0:f>
      </ns0:c>
      <ns0:c r="E549" s="0">
        <ns0:f>IFERROR(MID(B549,FIND(".",B549,FIND(".",B549)+1)+1,99),"")</ns0:f>
        <ns0:v>99</ns0:v>
      </ns0:c>
      <ns0:c r="F549" s="0">
        <ns0:f>IFERROR(IF(FIND(".",B549)=5,--C549,--E549),0)</ns0:f>
        <ns0:v>0</ns0:v>
      </ns0:c>
      <ns0:c r="G549" s="0">
        <ns0:f>IFERROR(--D549,0)</ns0:f>
        <ns0:v>0</ns0:v>
      </ns0:c>
      <ns0:c r="H549" s="0">
        <ns0:f>IFERROR(IF(FIND(".",B549)=5,--E549,--C549),0)</ns0:f>
        <ns0:v>0</ns0:v>
      </ns0:c>
      <ns0:c r="I549" s="0">
        <ns0:f>IFERROR(IF(AND(F549&gt;=2000,F549&lt;=2100,G549&gt;=1,G549&lt;=12,H549&gt;=1,H549&lt;=31),DATE(F549,G549,H549),0),0)</ns0:f>
        <ns0:v>0</ns0:v>
      </ns0:c>
      <ns0:c r="J549" s="0">
        <ns0:f>IFERROR(IF(ISNUMBER(Bookings!B549),IF(AND(Bookings!B549=INT(Bookings!B549),Bookings!B549&gt;=DATE(2000,1,1),Bookings!B549&lt;=DATE(2100,12,31)),Bookings!B549,0),IF(AND(A549&lt;&gt;"",LEN("x"&amp;B549)-LEN(SUBSTITUTE("x"&amp;B549,".",""))=2,OR(1&gt;LEN(B549),MID(B549,1,1)=".",ISNUMBER(FIND("x"&amp;MID(B549,1,1),"x0x1x2x3x4x5x6x7x8x9"))),OR(2&gt;LEN(B549),MID(B549,2,1)=".",ISNUMBER(FIND("x"&amp;MID(B549,2,1),"x0x1x2x3x4x5x6x7x8x9"))),OR(3&gt;LEN(B549),MID(B549,3,1)=".",ISNUMBER(FIND("x"&amp;MID(B549,3,1),"x0x1x2x3x4x5x6x7x8x9"))),OR(4&gt;LEN(B549),MID(B549,4,1)=".",ISNUMBER(FIND("x"&amp;MID(B549,4,1),"x0x1x2x3x4x5x6x7x8x9"))),OR(5&gt;LEN(B549),MID(B549,5,1)=".",ISNUMBER(FIND("x"&amp;MID(B549,5,1),"x0x1x2x3x4x5x6x7x8x9"))),OR(6&gt;LEN(B549),MID(B549,6,1)=".",ISNUMBER(FIND("x"&amp;MID(B549,6,1),"x0x1x2x3x4x5x6x7x8x9"))),OR(7&gt;LEN(B549),MID(B549,7,1)=".",ISNUMBER(FIND("x"&amp;MID(B549,7,1),"x0x1x2x3x4x5x6x7x8x9"))),OR(8&gt;LEN(B549),MID(B549,8,1)=".",ISNUMBER(FIND("x"&amp;MID(B549,8,1),"x0x1x2x3x4x5x6x7x8x9"))),OR(9&gt;LEN(B549),MID(B549,9,1)=".",ISNUMBER(FIND("x"&amp;MID(B549,9,1),"x0x1x2x3x4x5x6x7x8x9"))),OR(10&gt;LEN(B549),MID(B549,10,1)=".",ISNUMBER(FIND("x"&amp;MID(B549,10,1),"x0x1x2x3x4x5x6x7x8x9"))),OR(AND(FIND(".",B549)=5,LEN(B549)-FIND(".",B549,FIND(".",B549)+1)&gt;=1,LEN(B549)-FIND(".",B549,FIND(".",B549)+1)&lt;=2),AND(LEN(B549)-FIND(".",B549,FIND(".",B549)+1)=4,FIND(".",B549)&gt;=2,FIND(".",B549)&lt;=3)),FIND(".",B549,FIND(".",B549)+1)-FIND(".",B549)&gt;=2,FIND(".",B549,FIND(".",B549)+1)-FIND(".",B549)&lt;=3,F549&gt;=2000,F549&lt;=2100,YEAR(I549)=F549,MONTH(I549)=G549,DAY(I549)=H549),I549,0)),0)</ns0:f>
        <ns0:v>0</ns0:v>
      </ns0:c>
      <ns0:c r="K549" s="0">
        <ns0:f>IFERROR(IF(ISNUMBER(Bookings!D549),"",TRIM(Bookings!D549&amp;"")),"")</ns0:f>
      </ns0:c>
      <ns0:c r="L549" s="0">
        <ns0:f>IFERROR(SUBSTITUTE(SUBSTITUTE(K549,"/","."),"-","."),"")</ns0:f>
      </ns0:c>
      <ns0:c r="M549" s="0">
        <ns0:f>IFERROR(LEFT(L549,FIND(".",L549)-1),"")</ns0:f>
      </ns0:c>
      <ns0:c r="N549" s="0">
        <ns0:f>IFERROR(MID(L549,FIND(".",L549)+1,FIND(".",L549,FIND(".",L549)+1)-FIND(".",L549)-1),"")</ns0:f>
      </ns0:c>
      <ns0:c r="O549" s="0">
        <ns0:f>IFERROR(MID(L549,FIND(".",L549,FIND(".",L549)+1)+1,99),"")</ns0:f>
        <ns0:v>99</ns0:v>
      </ns0:c>
      <ns0:c r="P549" s="0">
        <ns0:f>IFERROR(IF(FIND(".",L549)=5,--M549,--O549),0)</ns0:f>
        <ns0:v>0</ns0:v>
      </ns0:c>
      <ns0:c r="Q549" s="0">
        <ns0:f>IFERROR(--N549,0)</ns0:f>
        <ns0:v>0</ns0:v>
      </ns0:c>
      <ns0:c r="R549" s="0">
        <ns0:f>IFERROR(IF(FIND(".",L549)=5,--O549,--M549),0)</ns0:f>
        <ns0:v>0</ns0:v>
      </ns0:c>
      <ns0:c r="S549" s="0">
        <ns0:f>IFERROR(IF(AND(P549&gt;=2000,P549&lt;=2100,Q549&gt;=1,Q549&lt;=12,R549&gt;=1,R549&lt;=31),DATE(P549,Q549,R549),0),0)</ns0:f>
        <ns0:v>0</ns0:v>
      </ns0:c>
      <ns0:c r="T549" s="0">
        <ns0:f>IFERROR(IF(ISNUMBER(Bookings!D549),IF(AND(Bookings!D549=INT(Bookings!D549),Bookings!D549&gt;=DATE(2000,1,1),Bookings!D549&lt;=DATE(2100,12,31)),Bookings!D549,0),IF(AND(K549&lt;&gt;"",LEN("x"&amp;L549)-LEN(SUBSTITUTE("x"&amp;L549,".",""))=2,OR(1&gt;LEN(L549),MID(L549,1,1)=".",ISNUMBER(FIND("x"&amp;MID(L549,1,1),"x0x1x2x3x4x5x6x7x8x9"))),OR(2&gt;LEN(L549),MID(L549,2,1)=".",ISNUMBER(FIND("x"&amp;MID(L549,2,1),"x0x1x2x3x4x5x6x7x8x9"))),OR(3&gt;LEN(L549),MID(L549,3,1)=".",ISNUMBER(FIND("x"&amp;MID(L549,3,1),"x0x1x2x3x4x5x6x7x8x9"))),OR(4&gt;LEN(L549),MID(L549,4,1)=".",ISNUMBER(FIND("x"&amp;MID(L549,4,1),"x0x1x2x3x4x5x6x7x8x9"))),OR(5&gt;LEN(L549),MID(L549,5,1)=".",ISNUMBER(FIND("x"&amp;MID(L549,5,1),"x0x1x2x3x4x5x6x7x8x9"))),OR(6&gt;LEN(L549),MID(L549,6,1)=".",ISNUMBER(FIND("x"&amp;MID(L549,6,1),"x0x1x2x3x4x5x6x7x8x9"))),OR(7&gt;LEN(L549),MID(L549,7,1)=".",ISNUMBER(FIND("x"&amp;MID(L549,7,1),"x0x1x2x3x4x5x6x7x8x9"))),OR(8&gt;LEN(L549),MID(L549,8,1)=".",ISNUMBER(FIND("x"&amp;MID(L549,8,1),"x0x1x2x3x4x5x6x7x8x9"))),OR(9&gt;LEN(L549),MID(L549,9,1)=".",ISNUMBER(FIND("x"&amp;MID(L549,9,1),"x0x1x2x3x4x5x6x7x8x9"))),OR(10&gt;LEN(L549),MID(L549,10,1)=".",ISNUMBER(FIND("x"&amp;MID(L549,10,1),"x0x1x2x3x4x5x6x7x8x9"))),OR(AND(FIND(".",L549)=5,LEN(L549)-FIND(".",L549,FIND(".",L549)+1)&gt;=1,LEN(L549)-FIND(".",L549,FIND(".",L549)+1)&lt;=2),AND(LEN(L549)-FIND(".",L549,FIND(".",L549)+1)=4,FIND(".",L549)&gt;=2,FIND(".",L549)&lt;=3)),FIND(".",L549,FIND(".",L549)+1)-FIND(".",L549)&gt;=2,FIND(".",L549,FIND(".",L549)+1)-FIND(".",L549)&lt;=3,P549&gt;=2000,P549&lt;=2100,YEAR(S549)=P549,MONTH(S549)=Q549,DAY(S549)=R549),S549,0)),0)</ns0:f>
        <ns0:v>0</ns0:v>
      </ns0:c>
      <ns0:c r="U549" s="0" t="str">
        <ns0:f>IF(Bookings!C549="","Full day",Bookings!C549)</ns0:f>
        <ns0:v>Full day</ns0:v>
      </ns0:c>
      <ns0:c r="V549" s="0" t="str">
        <ns0:f>IF(Bookings!E549="","Full day",Bookings!E549)</ns0:f>
        <ns0:v>Full day</ns0:v>
      </ns0:c>
      <ns0:c r="W549" s="0">
        <ns0:f>IF(J549=0,0,J549+IF(U549="PM",1,0))</ns0:f>
        <ns0:v>0</ns0:v>
      </ns0:c>
      <ns0:c r="X549" s="0">
        <ns0:f>IF(T549=0,0,T549-IF(V549="PM",1,0))</ns0:f>
        <ns0:v>0</ns0:v>
      </ns0:c>
      <ns0:c r="Y549" s="0">
        <ns0:f>IF(J549=0,0,J549+IF(U549="AM",1,0))</ns0:f>
        <ns0:v>0</ns0:v>
      </ns0:c>
      <ns0:c r="Z549" s="0">
        <ns0:f>IF(T549=0,0,T549-IF(V549="AM",1,0))</ns0:f>
        <ns0:v>0</ns0:v>
      </ns0:c>
      <ns0:c r="AA549" s="0">
        <ns0:f>IFERROR(IF(AND(J549&gt;0,'_Engine'!C549&gt;0,MID('_Engine'!W549,WEEKDAY(J549,2),1)="W",COUNTIF(Settings!$F$18:$F$67,J549)=0),1,0),0)</ns0:f>
        <ns0:v>0</ns0:v>
      </ns0:c>
      <ns0:c r="AB549" s="0">
        <ns0:f>IFERROR(IF(AND(T549&gt;0,'_Engine'!C549&gt;0,MID('_Engine'!W549,WEEKDAY(T549,2),1)="W",COUNTIF(Settings!$F$18:$F$67,T549)=0),1,0),0)</ns0:f>
        <ns0:v>0</ns0:v>
      </ns0:c>
      <ns0:c r="AC549" s="0">
        <ns0:f>IF(AND(J549&gt;0,T549&gt;0,W549&lt;=X549),1,0)</ns0:f>
        <ns0:v>0</ns0:v>
      </ns0:c>
      <ns0:c r="AD549" s="0">
        <ns0:f>IF(AND(J549&gt;0,T549&gt;0,Y549&lt;=Z549),1,0)</ns0:f>
        <ns0:v>0</ns0:v>
      </ns0:c>
    </ns0:row>
    <ns0:row r="550">
      <ns0:c r="A550" s="0">
        <ns0:f>IFERROR(IF(ISNUMBER(Bookings!B550),"",TRIM(Bookings!B550&amp;"")),"")</ns0:f>
      </ns0:c>
      <ns0:c r="B550" s="0">
        <ns0:f>IFERROR(SUBSTITUTE(SUBSTITUTE(A550,"/","."),"-","."),"")</ns0:f>
      </ns0:c>
      <ns0:c r="C550" s="0">
        <ns0:f>IFERROR(LEFT(B550,FIND(".",B550)-1),"")</ns0:f>
      </ns0:c>
      <ns0:c r="D550" s="0">
        <ns0:f>IFERROR(MID(B550,FIND(".",B550)+1,FIND(".",B550,FIND(".",B550)+1)-FIND(".",B550)-1),"")</ns0:f>
      </ns0:c>
      <ns0:c r="E550" s="0">
        <ns0:f>IFERROR(MID(B550,FIND(".",B550,FIND(".",B550)+1)+1,99),"")</ns0:f>
        <ns0:v>99</ns0:v>
      </ns0:c>
      <ns0:c r="F550" s="0">
        <ns0:f>IFERROR(IF(FIND(".",B550)=5,--C550,--E550),0)</ns0:f>
        <ns0:v>0</ns0:v>
      </ns0:c>
      <ns0:c r="G550" s="0">
        <ns0:f>IFERROR(--D550,0)</ns0:f>
        <ns0:v>0</ns0:v>
      </ns0:c>
      <ns0:c r="H550" s="0">
        <ns0:f>IFERROR(IF(FIND(".",B550)=5,--E550,--C550),0)</ns0:f>
        <ns0:v>0</ns0:v>
      </ns0:c>
      <ns0:c r="I550" s="0">
        <ns0:f>IFERROR(IF(AND(F550&gt;=2000,F550&lt;=2100,G550&gt;=1,G550&lt;=12,H550&gt;=1,H550&lt;=31),DATE(F550,G550,H550),0),0)</ns0:f>
        <ns0:v>0</ns0:v>
      </ns0:c>
      <ns0:c r="J550" s="0">
        <ns0:f>IFERROR(IF(ISNUMBER(Bookings!B550),IF(AND(Bookings!B550=INT(Bookings!B550),Bookings!B550&gt;=DATE(2000,1,1),Bookings!B550&lt;=DATE(2100,12,31)),Bookings!B550,0),IF(AND(A550&lt;&gt;"",LEN("x"&amp;B550)-LEN(SUBSTITUTE("x"&amp;B550,".",""))=2,OR(1&gt;LEN(B550),MID(B550,1,1)=".",ISNUMBER(FIND("x"&amp;MID(B550,1,1),"x0x1x2x3x4x5x6x7x8x9"))),OR(2&gt;LEN(B550),MID(B550,2,1)=".",ISNUMBER(FIND("x"&amp;MID(B550,2,1),"x0x1x2x3x4x5x6x7x8x9"))),OR(3&gt;LEN(B550),MID(B550,3,1)=".",ISNUMBER(FIND("x"&amp;MID(B550,3,1),"x0x1x2x3x4x5x6x7x8x9"))),OR(4&gt;LEN(B550),MID(B550,4,1)=".",ISNUMBER(FIND("x"&amp;MID(B550,4,1),"x0x1x2x3x4x5x6x7x8x9"))),OR(5&gt;LEN(B550),MID(B550,5,1)=".",ISNUMBER(FIND("x"&amp;MID(B550,5,1),"x0x1x2x3x4x5x6x7x8x9"))),OR(6&gt;LEN(B550),MID(B550,6,1)=".",ISNUMBER(FIND("x"&amp;MID(B550,6,1),"x0x1x2x3x4x5x6x7x8x9"))),OR(7&gt;LEN(B550),MID(B550,7,1)=".",ISNUMBER(FIND("x"&amp;MID(B550,7,1),"x0x1x2x3x4x5x6x7x8x9"))),OR(8&gt;LEN(B550),MID(B550,8,1)=".",ISNUMBER(FIND("x"&amp;MID(B550,8,1),"x0x1x2x3x4x5x6x7x8x9"))),OR(9&gt;LEN(B550),MID(B550,9,1)=".",ISNUMBER(FIND("x"&amp;MID(B550,9,1),"x0x1x2x3x4x5x6x7x8x9"))),OR(10&gt;LEN(B550),MID(B550,10,1)=".",ISNUMBER(FIND("x"&amp;MID(B550,10,1),"x0x1x2x3x4x5x6x7x8x9"))),OR(AND(FIND(".",B550)=5,LEN(B550)-FIND(".",B550,FIND(".",B550)+1)&gt;=1,LEN(B550)-FIND(".",B550,FIND(".",B550)+1)&lt;=2),AND(LEN(B550)-FIND(".",B550,FIND(".",B550)+1)=4,FIND(".",B550)&gt;=2,FIND(".",B550)&lt;=3)),FIND(".",B550,FIND(".",B550)+1)-FIND(".",B550)&gt;=2,FIND(".",B550,FIND(".",B550)+1)-FIND(".",B550)&lt;=3,F550&gt;=2000,F550&lt;=2100,YEAR(I550)=F550,MONTH(I550)=G550,DAY(I550)=H550),I550,0)),0)</ns0:f>
        <ns0:v>0</ns0:v>
      </ns0:c>
      <ns0:c r="K550" s="0">
        <ns0:f>IFERROR(IF(ISNUMBER(Bookings!D550),"",TRIM(Bookings!D550&amp;"")),"")</ns0:f>
      </ns0:c>
      <ns0:c r="L550" s="0">
        <ns0:f>IFERROR(SUBSTITUTE(SUBSTITUTE(K550,"/","."),"-","."),"")</ns0:f>
      </ns0:c>
      <ns0:c r="M550" s="0">
        <ns0:f>IFERROR(LEFT(L550,FIND(".",L550)-1),"")</ns0:f>
      </ns0:c>
      <ns0:c r="N550" s="0">
        <ns0:f>IFERROR(MID(L550,FIND(".",L550)+1,FIND(".",L550,FIND(".",L550)+1)-FIND(".",L550)-1),"")</ns0:f>
      </ns0:c>
      <ns0:c r="O550" s="0">
        <ns0:f>IFERROR(MID(L550,FIND(".",L550,FIND(".",L550)+1)+1,99),"")</ns0:f>
        <ns0:v>99</ns0:v>
      </ns0:c>
      <ns0:c r="P550" s="0">
        <ns0:f>IFERROR(IF(FIND(".",L550)=5,--M550,--O550),0)</ns0:f>
        <ns0:v>0</ns0:v>
      </ns0:c>
      <ns0:c r="Q550" s="0">
        <ns0:f>IFERROR(--N550,0)</ns0:f>
        <ns0:v>0</ns0:v>
      </ns0:c>
      <ns0:c r="R550" s="0">
        <ns0:f>IFERROR(IF(FIND(".",L550)=5,--O550,--M550),0)</ns0:f>
        <ns0:v>0</ns0:v>
      </ns0:c>
      <ns0:c r="S550" s="0">
        <ns0:f>IFERROR(IF(AND(P550&gt;=2000,P550&lt;=2100,Q550&gt;=1,Q550&lt;=12,R550&gt;=1,R550&lt;=31),DATE(P550,Q550,R550),0),0)</ns0:f>
        <ns0:v>0</ns0:v>
      </ns0:c>
      <ns0:c r="T550" s="0">
        <ns0:f>IFERROR(IF(ISNUMBER(Bookings!D550),IF(AND(Bookings!D550=INT(Bookings!D550),Bookings!D550&gt;=DATE(2000,1,1),Bookings!D550&lt;=DATE(2100,12,31)),Bookings!D550,0),IF(AND(K550&lt;&gt;"",LEN("x"&amp;L550)-LEN(SUBSTITUTE("x"&amp;L550,".",""))=2,OR(1&gt;LEN(L550),MID(L550,1,1)=".",ISNUMBER(FIND("x"&amp;MID(L550,1,1),"x0x1x2x3x4x5x6x7x8x9"))),OR(2&gt;LEN(L550),MID(L550,2,1)=".",ISNUMBER(FIND("x"&amp;MID(L550,2,1),"x0x1x2x3x4x5x6x7x8x9"))),OR(3&gt;LEN(L550),MID(L550,3,1)=".",ISNUMBER(FIND("x"&amp;MID(L550,3,1),"x0x1x2x3x4x5x6x7x8x9"))),OR(4&gt;LEN(L550),MID(L550,4,1)=".",ISNUMBER(FIND("x"&amp;MID(L550,4,1),"x0x1x2x3x4x5x6x7x8x9"))),OR(5&gt;LEN(L550),MID(L550,5,1)=".",ISNUMBER(FIND("x"&amp;MID(L550,5,1),"x0x1x2x3x4x5x6x7x8x9"))),OR(6&gt;LEN(L550),MID(L550,6,1)=".",ISNUMBER(FIND("x"&amp;MID(L550,6,1),"x0x1x2x3x4x5x6x7x8x9"))),OR(7&gt;LEN(L550),MID(L550,7,1)=".",ISNUMBER(FIND("x"&amp;MID(L550,7,1),"x0x1x2x3x4x5x6x7x8x9"))),OR(8&gt;LEN(L550),MID(L550,8,1)=".",ISNUMBER(FIND("x"&amp;MID(L550,8,1),"x0x1x2x3x4x5x6x7x8x9"))),OR(9&gt;LEN(L550),MID(L550,9,1)=".",ISNUMBER(FIND("x"&amp;MID(L550,9,1),"x0x1x2x3x4x5x6x7x8x9"))),OR(10&gt;LEN(L550),MID(L550,10,1)=".",ISNUMBER(FIND("x"&amp;MID(L550,10,1),"x0x1x2x3x4x5x6x7x8x9"))),OR(AND(FIND(".",L550)=5,LEN(L550)-FIND(".",L550,FIND(".",L550)+1)&gt;=1,LEN(L550)-FIND(".",L550,FIND(".",L550)+1)&lt;=2),AND(LEN(L550)-FIND(".",L550,FIND(".",L550)+1)=4,FIND(".",L550)&gt;=2,FIND(".",L550)&lt;=3)),FIND(".",L550,FIND(".",L550)+1)-FIND(".",L550)&gt;=2,FIND(".",L550,FIND(".",L550)+1)-FIND(".",L550)&lt;=3,P550&gt;=2000,P550&lt;=2100,YEAR(S550)=P550,MONTH(S550)=Q550,DAY(S550)=R550),S550,0)),0)</ns0:f>
        <ns0:v>0</ns0:v>
      </ns0:c>
      <ns0:c r="U550" s="0" t="str">
        <ns0:f>IF(Bookings!C550="","Full day",Bookings!C550)</ns0:f>
        <ns0:v>Full day</ns0:v>
      </ns0:c>
      <ns0:c r="V550" s="0" t="str">
        <ns0:f>IF(Bookings!E550="","Full day",Bookings!E550)</ns0:f>
        <ns0:v>Full day</ns0:v>
      </ns0:c>
      <ns0:c r="W550" s="0">
        <ns0:f>IF(J550=0,0,J550+IF(U550="PM",1,0))</ns0:f>
        <ns0:v>0</ns0:v>
      </ns0:c>
      <ns0:c r="X550" s="0">
        <ns0:f>IF(T550=0,0,T550-IF(V550="PM",1,0))</ns0:f>
        <ns0:v>0</ns0:v>
      </ns0:c>
      <ns0:c r="Y550" s="0">
        <ns0:f>IF(J550=0,0,J550+IF(U550="AM",1,0))</ns0:f>
        <ns0:v>0</ns0:v>
      </ns0:c>
      <ns0:c r="Z550" s="0">
        <ns0:f>IF(T550=0,0,T550-IF(V550="AM",1,0))</ns0:f>
        <ns0:v>0</ns0:v>
      </ns0:c>
      <ns0:c r="AA550" s="0">
        <ns0:f>IFERROR(IF(AND(J550&gt;0,'_Engine'!C550&gt;0,MID('_Engine'!W550,WEEKDAY(J550,2),1)="W",COUNTIF(Settings!$F$18:$F$67,J550)=0),1,0),0)</ns0:f>
        <ns0:v>0</ns0:v>
      </ns0:c>
      <ns0:c r="AB550" s="0">
        <ns0:f>IFERROR(IF(AND(T550&gt;0,'_Engine'!C550&gt;0,MID('_Engine'!W550,WEEKDAY(T550,2),1)="W",COUNTIF(Settings!$F$18:$F$67,T550)=0),1,0),0)</ns0:f>
        <ns0:v>0</ns0:v>
      </ns0:c>
      <ns0:c r="AC550" s="0">
        <ns0:f>IF(AND(J550&gt;0,T550&gt;0,W550&lt;=X550),1,0)</ns0:f>
        <ns0:v>0</ns0:v>
      </ns0:c>
      <ns0:c r="AD550" s="0">
        <ns0:f>IF(AND(J550&gt;0,T550&gt;0,Y550&lt;=Z550),1,0)</ns0:f>
        <ns0:v>0</ns0:v>
      </ns0:c>
    </ns0:row>
    <ns0:row r="551">
      <ns0:c r="A551" s="0">
        <ns0:f>IFERROR(IF(ISNUMBER(Bookings!B551),"",TRIM(Bookings!B551&amp;"")),"")</ns0:f>
      </ns0:c>
      <ns0:c r="B551" s="0">
        <ns0:f>IFERROR(SUBSTITUTE(SUBSTITUTE(A551,"/","."),"-","."),"")</ns0:f>
      </ns0:c>
      <ns0:c r="C551" s="0">
        <ns0:f>IFERROR(LEFT(B551,FIND(".",B551)-1),"")</ns0:f>
      </ns0:c>
      <ns0:c r="D551" s="0">
        <ns0:f>IFERROR(MID(B551,FIND(".",B551)+1,FIND(".",B551,FIND(".",B551)+1)-FIND(".",B551)-1),"")</ns0:f>
      </ns0:c>
      <ns0:c r="E551" s="0">
        <ns0:f>IFERROR(MID(B551,FIND(".",B551,FIND(".",B551)+1)+1,99),"")</ns0:f>
        <ns0:v>99</ns0:v>
      </ns0:c>
      <ns0:c r="F551" s="0">
        <ns0:f>IFERROR(IF(FIND(".",B551)=5,--C551,--E551),0)</ns0:f>
        <ns0:v>0</ns0:v>
      </ns0:c>
      <ns0:c r="G551" s="0">
        <ns0:f>IFERROR(--D551,0)</ns0:f>
        <ns0:v>0</ns0:v>
      </ns0:c>
      <ns0:c r="H551" s="0">
        <ns0:f>IFERROR(IF(FIND(".",B551)=5,--E551,--C551),0)</ns0:f>
        <ns0:v>0</ns0:v>
      </ns0:c>
      <ns0:c r="I551" s="0">
        <ns0:f>IFERROR(IF(AND(F551&gt;=2000,F551&lt;=2100,G551&gt;=1,G551&lt;=12,H551&gt;=1,H551&lt;=31),DATE(F551,G551,H551),0),0)</ns0:f>
        <ns0:v>0</ns0:v>
      </ns0:c>
      <ns0:c r="J551" s="0">
        <ns0:f>IFERROR(IF(ISNUMBER(Bookings!B551),IF(AND(Bookings!B551=INT(Bookings!B551),Bookings!B551&gt;=DATE(2000,1,1),Bookings!B551&lt;=DATE(2100,12,31)),Bookings!B551,0),IF(AND(A551&lt;&gt;"",LEN("x"&amp;B551)-LEN(SUBSTITUTE("x"&amp;B551,".",""))=2,OR(1&gt;LEN(B551),MID(B551,1,1)=".",ISNUMBER(FIND("x"&amp;MID(B551,1,1),"x0x1x2x3x4x5x6x7x8x9"))),OR(2&gt;LEN(B551),MID(B551,2,1)=".",ISNUMBER(FIND("x"&amp;MID(B551,2,1),"x0x1x2x3x4x5x6x7x8x9"))),OR(3&gt;LEN(B551),MID(B551,3,1)=".",ISNUMBER(FIND("x"&amp;MID(B551,3,1),"x0x1x2x3x4x5x6x7x8x9"))),OR(4&gt;LEN(B551),MID(B551,4,1)=".",ISNUMBER(FIND("x"&amp;MID(B551,4,1),"x0x1x2x3x4x5x6x7x8x9"))),OR(5&gt;LEN(B551),MID(B551,5,1)=".",ISNUMBER(FIND("x"&amp;MID(B551,5,1),"x0x1x2x3x4x5x6x7x8x9"))),OR(6&gt;LEN(B551),MID(B551,6,1)=".",ISNUMBER(FIND("x"&amp;MID(B551,6,1),"x0x1x2x3x4x5x6x7x8x9"))),OR(7&gt;LEN(B551),MID(B551,7,1)=".",ISNUMBER(FIND("x"&amp;MID(B551,7,1),"x0x1x2x3x4x5x6x7x8x9"))),OR(8&gt;LEN(B551),MID(B551,8,1)=".",ISNUMBER(FIND("x"&amp;MID(B551,8,1),"x0x1x2x3x4x5x6x7x8x9"))),OR(9&gt;LEN(B551),MID(B551,9,1)=".",ISNUMBER(FIND("x"&amp;MID(B551,9,1),"x0x1x2x3x4x5x6x7x8x9"))),OR(10&gt;LEN(B551),MID(B551,10,1)=".",ISNUMBER(FIND("x"&amp;MID(B551,10,1),"x0x1x2x3x4x5x6x7x8x9"))),OR(AND(FIND(".",B551)=5,LEN(B551)-FIND(".",B551,FIND(".",B551)+1)&gt;=1,LEN(B551)-FIND(".",B551,FIND(".",B551)+1)&lt;=2),AND(LEN(B551)-FIND(".",B551,FIND(".",B551)+1)=4,FIND(".",B551)&gt;=2,FIND(".",B551)&lt;=3)),FIND(".",B551,FIND(".",B551)+1)-FIND(".",B551)&gt;=2,FIND(".",B551,FIND(".",B551)+1)-FIND(".",B551)&lt;=3,F551&gt;=2000,F551&lt;=2100,YEAR(I551)=F551,MONTH(I551)=G551,DAY(I551)=H551),I551,0)),0)</ns0:f>
        <ns0:v>0</ns0:v>
      </ns0:c>
      <ns0:c r="K551" s="0">
        <ns0:f>IFERROR(IF(ISNUMBER(Bookings!D551),"",TRIM(Bookings!D551&amp;"")),"")</ns0:f>
      </ns0:c>
      <ns0:c r="L551" s="0">
        <ns0:f>IFERROR(SUBSTITUTE(SUBSTITUTE(K551,"/","."),"-","."),"")</ns0:f>
      </ns0:c>
      <ns0:c r="M551" s="0">
        <ns0:f>IFERROR(LEFT(L551,FIND(".",L551)-1),"")</ns0:f>
      </ns0:c>
      <ns0:c r="N551" s="0">
        <ns0:f>IFERROR(MID(L551,FIND(".",L551)+1,FIND(".",L551,FIND(".",L551)+1)-FIND(".",L551)-1),"")</ns0:f>
      </ns0:c>
      <ns0:c r="O551" s="0">
        <ns0:f>IFERROR(MID(L551,FIND(".",L551,FIND(".",L551)+1)+1,99),"")</ns0:f>
        <ns0:v>99</ns0:v>
      </ns0:c>
      <ns0:c r="P551" s="0">
        <ns0:f>IFERROR(IF(FIND(".",L551)=5,--M551,--O551),0)</ns0:f>
        <ns0:v>0</ns0:v>
      </ns0:c>
      <ns0:c r="Q551" s="0">
        <ns0:f>IFERROR(--N551,0)</ns0:f>
        <ns0:v>0</ns0:v>
      </ns0:c>
      <ns0:c r="R551" s="0">
        <ns0:f>IFERROR(IF(FIND(".",L551)=5,--O551,--M551),0)</ns0:f>
        <ns0:v>0</ns0:v>
      </ns0:c>
      <ns0:c r="S551" s="0">
        <ns0:f>IFERROR(IF(AND(P551&gt;=2000,P551&lt;=2100,Q551&gt;=1,Q551&lt;=12,R551&gt;=1,R551&lt;=31),DATE(P551,Q551,R551),0),0)</ns0:f>
        <ns0:v>0</ns0:v>
      </ns0:c>
      <ns0:c r="T551" s="0">
        <ns0:f>IFERROR(IF(ISNUMBER(Bookings!D551),IF(AND(Bookings!D551=INT(Bookings!D551),Bookings!D551&gt;=DATE(2000,1,1),Bookings!D551&lt;=DATE(2100,12,31)),Bookings!D551,0),IF(AND(K551&lt;&gt;"",LEN("x"&amp;L551)-LEN(SUBSTITUTE("x"&amp;L551,".",""))=2,OR(1&gt;LEN(L551),MID(L551,1,1)=".",ISNUMBER(FIND("x"&amp;MID(L551,1,1),"x0x1x2x3x4x5x6x7x8x9"))),OR(2&gt;LEN(L551),MID(L551,2,1)=".",ISNUMBER(FIND("x"&amp;MID(L551,2,1),"x0x1x2x3x4x5x6x7x8x9"))),OR(3&gt;LEN(L551),MID(L551,3,1)=".",ISNUMBER(FIND("x"&amp;MID(L551,3,1),"x0x1x2x3x4x5x6x7x8x9"))),OR(4&gt;LEN(L551),MID(L551,4,1)=".",ISNUMBER(FIND("x"&amp;MID(L551,4,1),"x0x1x2x3x4x5x6x7x8x9"))),OR(5&gt;LEN(L551),MID(L551,5,1)=".",ISNUMBER(FIND("x"&amp;MID(L551,5,1),"x0x1x2x3x4x5x6x7x8x9"))),OR(6&gt;LEN(L551),MID(L551,6,1)=".",ISNUMBER(FIND("x"&amp;MID(L551,6,1),"x0x1x2x3x4x5x6x7x8x9"))),OR(7&gt;LEN(L551),MID(L551,7,1)=".",ISNUMBER(FIND("x"&amp;MID(L551,7,1),"x0x1x2x3x4x5x6x7x8x9"))),OR(8&gt;LEN(L551),MID(L551,8,1)=".",ISNUMBER(FIND("x"&amp;MID(L551,8,1),"x0x1x2x3x4x5x6x7x8x9"))),OR(9&gt;LEN(L551),MID(L551,9,1)=".",ISNUMBER(FIND("x"&amp;MID(L551,9,1),"x0x1x2x3x4x5x6x7x8x9"))),OR(10&gt;LEN(L551),MID(L551,10,1)=".",ISNUMBER(FIND("x"&amp;MID(L551,10,1),"x0x1x2x3x4x5x6x7x8x9"))),OR(AND(FIND(".",L551)=5,LEN(L551)-FIND(".",L551,FIND(".",L551)+1)&gt;=1,LEN(L551)-FIND(".",L551,FIND(".",L551)+1)&lt;=2),AND(LEN(L551)-FIND(".",L551,FIND(".",L551)+1)=4,FIND(".",L551)&gt;=2,FIND(".",L551)&lt;=3)),FIND(".",L551,FIND(".",L551)+1)-FIND(".",L551)&gt;=2,FIND(".",L551,FIND(".",L551)+1)-FIND(".",L551)&lt;=3,P551&gt;=2000,P551&lt;=2100,YEAR(S551)=P551,MONTH(S551)=Q551,DAY(S551)=R551),S551,0)),0)</ns0:f>
        <ns0:v>0</ns0:v>
      </ns0:c>
      <ns0:c r="U551" s="0" t="str">
        <ns0:f>IF(Bookings!C551="","Full day",Bookings!C551)</ns0:f>
        <ns0:v>Full day</ns0:v>
      </ns0:c>
      <ns0:c r="V551" s="0" t="str">
        <ns0:f>IF(Bookings!E551="","Full day",Bookings!E551)</ns0:f>
        <ns0:v>Full day</ns0:v>
      </ns0:c>
      <ns0:c r="W551" s="0">
        <ns0:f>IF(J551=0,0,J551+IF(U551="PM",1,0))</ns0:f>
        <ns0:v>0</ns0:v>
      </ns0:c>
      <ns0:c r="X551" s="0">
        <ns0:f>IF(T551=0,0,T551-IF(V551="PM",1,0))</ns0:f>
        <ns0:v>0</ns0:v>
      </ns0:c>
      <ns0:c r="Y551" s="0">
        <ns0:f>IF(J551=0,0,J551+IF(U551="AM",1,0))</ns0:f>
        <ns0:v>0</ns0:v>
      </ns0:c>
      <ns0:c r="Z551" s="0">
        <ns0:f>IF(T551=0,0,T551-IF(V551="AM",1,0))</ns0:f>
        <ns0:v>0</ns0:v>
      </ns0:c>
      <ns0:c r="AA551" s="0">
        <ns0:f>IFERROR(IF(AND(J551&gt;0,'_Engine'!C551&gt;0,MID('_Engine'!W551,WEEKDAY(J551,2),1)="W",COUNTIF(Settings!$F$18:$F$67,J551)=0),1,0),0)</ns0:f>
        <ns0:v>0</ns0:v>
      </ns0:c>
      <ns0:c r="AB551" s="0">
        <ns0:f>IFERROR(IF(AND(T551&gt;0,'_Engine'!C551&gt;0,MID('_Engine'!W551,WEEKDAY(T551,2),1)="W",COUNTIF(Settings!$F$18:$F$67,T551)=0),1,0),0)</ns0:f>
        <ns0:v>0</ns0:v>
      </ns0:c>
      <ns0:c r="AC551" s="0">
        <ns0:f>IF(AND(J551&gt;0,T551&gt;0,W551&lt;=X551),1,0)</ns0:f>
        <ns0:v>0</ns0:v>
      </ns0:c>
      <ns0:c r="AD551" s="0">
        <ns0:f>IF(AND(J551&gt;0,T551&gt;0,Y551&lt;=Z551),1,0)</ns0:f>
        <ns0:v>0</ns0:v>
      </ns0:c>
    </ns0:row>
    <ns0:row r="552">
      <ns0:c r="A552" s="0">
        <ns0:f>IFERROR(IF(ISNUMBER(Bookings!B552),"",TRIM(Bookings!B552&amp;"")),"")</ns0:f>
      </ns0:c>
      <ns0:c r="B552" s="0">
        <ns0:f>IFERROR(SUBSTITUTE(SUBSTITUTE(A552,"/","."),"-","."),"")</ns0:f>
      </ns0:c>
      <ns0:c r="C552" s="0">
        <ns0:f>IFERROR(LEFT(B552,FIND(".",B552)-1),"")</ns0:f>
      </ns0:c>
      <ns0:c r="D552" s="0">
        <ns0:f>IFERROR(MID(B552,FIND(".",B552)+1,FIND(".",B552,FIND(".",B552)+1)-FIND(".",B552)-1),"")</ns0:f>
      </ns0:c>
      <ns0:c r="E552" s="0">
        <ns0:f>IFERROR(MID(B552,FIND(".",B552,FIND(".",B552)+1)+1,99),"")</ns0:f>
        <ns0:v>99</ns0:v>
      </ns0:c>
      <ns0:c r="F552" s="0">
        <ns0:f>IFERROR(IF(FIND(".",B552)=5,--C552,--E552),0)</ns0:f>
        <ns0:v>0</ns0:v>
      </ns0:c>
      <ns0:c r="G552" s="0">
        <ns0:f>IFERROR(--D552,0)</ns0:f>
        <ns0:v>0</ns0:v>
      </ns0:c>
      <ns0:c r="H552" s="0">
        <ns0:f>IFERROR(IF(FIND(".",B552)=5,--E552,--C552),0)</ns0:f>
        <ns0:v>0</ns0:v>
      </ns0:c>
      <ns0:c r="I552" s="0">
        <ns0:f>IFERROR(IF(AND(F552&gt;=2000,F552&lt;=2100,G552&gt;=1,G552&lt;=12,H552&gt;=1,H552&lt;=31),DATE(F552,G552,H552),0),0)</ns0:f>
        <ns0:v>0</ns0:v>
      </ns0:c>
      <ns0:c r="J552" s="0">
        <ns0:f>IFERROR(IF(ISNUMBER(Bookings!B552),IF(AND(Bookings!B552=INT(Bookings!B552),Bookings!B552&gt;=DATE(2000,1,1),Bookings!B552&lt;=DATE(2100,12,31)),Bookings!B552,0),IF(AND(A552&lt;&gt;"",LEN("x"&amp;B552)-LEN(SUBSTITUTE("x"&amp;B552,".",""))=2,OR(1&gt;LEN(B552),MID(B552,1,1)=".",ISNUMBER(FIND("x"&amp;MID(B552,1,1),"x0x1x2x3x4x5x6x7x8x9"))),OR(2&gt;LEN(B552),MID(B552,2,1)=".",ISNUMBER(FIND("x"&amp;MID(B552,2,1),"x0x1x2x3x4x5x6x7x8x9"))),OR(3&gt;LEN(B552),MID(B552,3,1)=".",ISNUMBER(FIND("x"&amp;MID(B552,3,1),"x0x1x2x3x4x5x6x7x8x9"))),OR(4&gt;LEN(B552),MID(B552,4,1)=".",ISNUMBER(FIND("x"&amp;MID(B552,4,1),"x0x1x2x3x4x5x6x7x8x9"))),OR(5&gt;LEN(B552),MID(B552,5,1)=".",ISNUMBER(FIND("x"&amp;MID(B552,5,1),"x0x1x2x3x4x5x6x7x8x9"))),OR(6&gt;LEN(B552),MID(B552,6,1)=".",ISNUMBER(FIND("x"&amp;MID(B552,6,1),"x0x1x2x3x4x5x6x7x8x9"))),OR(7&gt;LEN(B552),MID(B552,7,1)=".",ISNUMBER(FIND("x"&amp;MID(B552,7,1),"x0x1x2x3x4x5x6x7x8x9"))),OR(8&gt;LEN(B552),MID(B552,8,1)=".",ISNUMBER(FIND("x"&amp;MID(B552,8,1),"x0x1x2x3x4x5x6x7x8x9"))),OR(9&gt;LEN(B552),MID(B552,9,1)=".",ISNUMBER(FIND("x"&amp;MID(B552,9,1),"x0x1x2x3x4x5x6x7x8x9"))),OR(10&gt;LEN(B552),MID(B552,10,1)=".",ISNUMBER(FIND("x"&amp;MID(B552,10,1),"x0x1x2x3x4x5x6x7x8x9"))),OR(AND(FIND(".",B552)=5,LEN(B552)-FIND(".",B552,FIND(".",B552)+1)&gt;=1,LEN(B552)-FIND(".",B552,FIND(".",B552)+1)&lt;=2),AND(LEN(B552)-FIND(".",B552,FIND(".",B552)+1)=4,FIND(".",B552)&gt;=2,FIND(".",B552)&lt;=3)),FIND(".",B552,FIND(".",B552)+1)-FIND(".",B552)&gt;=2,FIND(".",B552,FIND(".",B552)+1)-FIND(".",B552)&lt;=3,F552&gt;=2000,F552&lt;=2100,YEAR(I552)=F552,MONTH(I552)=G552,DAY(I552)=H552),I552,0)),0)</ns0:f>
        <ns0:v>0</ns0:v>
      </ns0:c>
      <ns0:c r="K552" s="0">
        <ns0:f>IFERROR(IF(ISNUMBER(Bookings!D552),"",TRIM(Bookings!D552&amp;"")),"")</ns0:f>
      </ns0:c>
      <ns0:c r="L552" s="0">
        <ns0:f>IFERROR(SUBSTITUTE(SUBSTITUTE(K552,"/","."),"-","."),"")</ns0:f>
      </ns0:c>
      <ns0:c r="M552" s="0">
        <ns0:f>IFERROR(LEFT(L552,FIND(".",L552)-1),"")</ns0:f>
      </ns0:c>
      <ns0:c r="N552" s="0">
        <ns0:f>IFERROR(MID(L552,FIND(".",L552)+1,FIND(".",L552,FIND(".",L552)+1)-FIND(".",L552)-1),"")</ns0:f>
      </ns0:c>
      <ns0:c r="O552" s="0">
        <ns0:f>IFERROR(MID(L552,FIND(".",L552,FIND(".",L552)+1)+1,99),"")</ns0:f>
        <ns0:v>99</ns0:v>
      </ns0:c>
      <ns0:c r="P552" s="0">
        <ns0:f>IFERROR(IF(FIND(".",L552)=5,--M552,--O552),0)</ns0:f>
        <ns0:v>0</ns0:v>
      </ns0:c>
      <ns0:c r="Q552" s="0">
        <ns0:f>IFERROR(--N552,0)</ns0:f>
        <ns0:v>0</ns0:v>
      </ns0:c>
      <ns0:c r="R552" s="0">
        <ns0:f>IFERROR(IF(FIND(".",L552)=5,--O552,--M552),0)</ns0:f>
        <ns0:v>0</ns0:v>
      </ns0:c>
      <ns0:c r="S552" s="0">
        <ns0:f>IFERROR(IF(AND(P552&gt;=2000,P552&lt;=2100,Q552&gt;=1,Q552&lt;=12,R552&gt;=1,R552&lt;=31),DATE(P552,Q552,R552),0),0)</ns0:f>
        <ns0:v>0</ns0:v>
      </ns0:c>
      <ns0:c r="T552" s="0">
        <ns0:f>IFERROR(IF(ISNUMBER(Bookings!D552),IF(AND(Bookings!D552=INT(Bookings!D552),Bookings!D552&gt;=DATE(2000,1,1),Bookings!D552&lt;=DATE(2100,12,31)),Bookings!D552,0),IF(AND(K552&lt;&gt;"",LEN("x"&amp;L552)-LEN(SUBSTITUTE("x"&amp;L552,".",""))=2,OR(1&gt;LEN(L552),MID(L552,1,1)=".",ISNUMBER(FIND("x"&amp;MID(L552,1,1),"x0x1x2x3x4x5x6x7x8x9"))),OR(2&gt;LEN(L552),MID(L552,2,1)=".",ISNUMBER(FIND("x"&amp;MID(L552,2,1),"x0x1x2x3x4x5x6x7x8x9"))),OR(3&gt;LEN(L552),MID(L552,3,1)=".",ISNUMBER(FIND("x"&amp;MID(L552,3,1),"x0x1x2x3x4x5x6x7x8x9"))),OR(4&gt;LEN(L552),MID(L552,4,1)=".",ISNUMBER(FIND("x"&amp;MID(L552,4,1),"x0x1x2x3x4x5x6x7x8x9"))),OR(5&gt;LEN(L552),MID(L552,5,1)=".",ISNUMBER(FIND("x"&amp;MID(L552,5,1),"x0x1x2x3x4x5x6x7x8x9"))),OR(6&gt;LEN(L552),MID(L552,6,1)=".",ISNUMBER(FIND("x"&amp;MID(L552,6,1),"x0x1x2x3x4x5x6x7x8x9"))),OR(7&gt;LEN(L552),MID(L552,7,1)=".",ISNUMBER(FIND("x"&amp;MID(L552,7,1),"x0x1x2x3x4x5x6x7x8x9"))),OR(8&gt;LEN(L552),MID(L552,8,1)=".",ISNUMBER(FIND("x"&amp;MID(L552,8,1),"x0x1x2x3x4x5x6x7x8x9"))),OR(9&gt;LEN(L552),MID(L552,9,1)=".",ISNUMBER(FIND("x"&amp;MID(L552,9,1),"x0x1x2x3x4x5x6x7x8x9"))),OR(10&gt;LEN(L552),MID(L552,10,1)=".",ISNUMBER(FIND("x"&amp;MID(L552,10,1),"x0x1x2x3x4x5x6x7x8x9"))),OR(AND(FIND(".",L552)=5,LEN(L552)-FIND(".",L552,FIND(".",L552)+1)&gt;=1,LEN(L552)-FIND(".",L552,FIND(".",L552)+1)&lt;=2),AND(LEN(L552)-FIND(".",L552,FIND(".",L552)+1)=4,FIND(".",L552)&gt;=2,FIND(".",L552)&lt;=3)),FIND(".",L552,FIND(".",L552)+1)-FIND(".",L552)&gt;=2,FIND(".",L552,FIND(".",L552)+1)-FIND(".",L552)&lt;=3,P552&gt;=2000,P552&lt;=2100,YEAR(S552)=P552,MONTH(S552)=Q552,DAY(S552)=R552),S552,0)),0)</ns0:f>
        <ns0:v>0</ns0:v>
      </ns0:c>
      <ns0:c r="U552" s="0" t="str">
        <ns0:f>IF(Bookings!C552="","Full day",Bookings!C552)</ns0:f>
        <ns0:v>Full day</ns0:v>
      </ns0:c>
      <ns0:c r="V552" s="0" t="str">
        <ns0:f>IF(Bookings!E552="","Full day",Bookings!E552)</ns0:f>
        <ns0:v>Full day</ns0:v>
      </ns0:c>
      <ns0:c r="W552" s="0">
        <ns0:f>IF(J552=0,0,J552+IF(U552="PM",1,0))</ns0:f>
        <ns0:v>0</ns0:v>
      </ns0:c>
      <ns0:c r="X552" s="0">
        <ns0:f>IF(T552=0,0,T552-IF(V552="PM",1,0))</ns0:f>
        <ns0:v>0</ns0:v>
      </ns0:c>
      <ns0:c r="Y552" s="0">
        <ns0:f>IF(J552=0,0,J552+IF(U552="AM",1,0))</ns0:f>
        <ns0:v>0</ns0:v>
      </ns0:c>
      <ns0:c r="Z552" s="0">
        <ns0:f>IF(T552=0,0,T552-IF(V552="AM",1,0))</ns0:f>
        <ns0:v>0</ns0:v>
      </ns0:c>
      <ns0:c r="AA552" s="0">
        <ns0:f>IFERROR(IF(AND(J552&gt;0,'_Engine'!C552&gt;0,MID('_Engine'!W552,WEEKDAY(J552,2),1)="W",COUNTIF(Settings!$F$18:$F$67,J552)=0),1,0),0)</ns0:f>
        <ns0:v>0</ns0:v>
      </ns0:c>
      <ns0:c r="AB552" s="0">
        <ns0:f>IFERROR(IF(AND(T552&gt;0,'_Engine'!C552&gt;0,MID('_Engine'!W552,WEEKDAY(T552,2),1)="W",COUNTIF(Settings!$F$18:$F$67,T552)=0),1,0),0)</ns0:f>
        <ns0:v>0</ns0:v>
      </ns0:c>
      <ns0:c r="AC552" s="0">
        <ns0:f>IF(AND(J552&gt;0,T552&gt;0,W552&lt;=X552),1,0)</ns0:f>
        <ns0:v>0</ns0:v>
      </ns0:c>
      <ns0:c r="AD552" s="0">
        <ns0:f>IF(AND(J552&gt;0,T552&gt;0,Y552&lt;=Z552),1,0)</ns0:f>
        <ns0:v>0</ns0:v>
      </ns0:c>
    </ns0:row>
    <ns0:row r="553">
      <ns0:c r="A553" s="0">
        <ns0:f>IFERROR(IF(ISNUMBER(Bookings!B553),"",TRIM(Bookings!B553&amp;"")),"")</ns0:f>
      </ns0:c>
      <ns0:c r="B553" s="0">
        <ns0:f>IFERROR(SUBSTITUTE(SUBSTITUTE(A553,"/","."),"-","."),"")</ns0:f>
      </ns0:c>
      <ns0:c r="C553" s="0">
        <ns0:f>IFERROR(LEFT(B553,FIND(".",B553)-1),"")</ns0:f>
      </ns0:c>
      <ns0:c r="D553" s="0">
        <ns0:f>IFERROR(MID(B553,FIND(".",B553)+1,FIND(".",B553,FIND(".",B553)+1)-FIND(".",B553)-1),"")</ns0:f>
      </ns0:c>
      <ns0:c r="E553" s="0">
        <ns0:f>IFERROR(MID(B553,FIND(".",B553,FIND(".",B553)+1)+1,99),"")</ns0:f>
        <ns0:v>99</ns0:v>
      </ns0:c>
      <ns0:c r="F553" s="0">
        <ns0:f>IFERROR(IF(FIND(".",B553)=5,--C553,--E553),0)</ns0:f>
        <ns0:v>0</ns0:v>
      </ns0:c>
      <ns0:c r="G553" s="0">
        <ns0:f>IFERROR(--D553,0)</ns0:f>
        <ns0:v>0</ns0:v>
      </ns0:c>
      <ns0:c r="H553" s="0">
        <ns0:f>IFERROR(IF(FIND(".",B553)=5,--E553,--C553),0)</ns0:f>
        <ns0:v>0</ns0:v>
      </ns0:c>
      <ns0:c r="I553" s="0">
        <ns0:f>IFERROR(IF(AND(F553&gt;=2000,F553&lt;=2100,G553&gt;=1,G553&lt;=12,H553&gt;=1,H553&lt;=31),DATE(F553,G553,H553),0),0)</ns0:f>
        <ns0:v>0</ns0:v>
      </ns0:c>
      <ns0:c r="J553" s="0">
        <ns0:f>IFERROR(IF(ISNUMBER(Bookings!B553),IF(AND(Bookings!B553=INT(Bookings!B553),Bookings!B553&gt;=DATE(2000,1,1),Bookings!B553&lt;=DATE(2100,12,31)),Bookings!B553,0),IF(AND(A553&lt;&gt;"",LEN("x"&amp;B553)-LEN(SUBSTITUTE("x"&amp;B553,".",""))=2,OR(1&gt;LEN(B553),MID(B553,1,1)=".",ISNUMBER(FIND("x"&amp;MID(B553,1,1),"x0x1x2x3x4x5x6x7x8x9"))),OR(2&gt;LEN(B553),MID(B553,2,1)=".",ISNUMBER(FIND("x"&amp;MID(B553,2,1),"x0x1x2x3x4x5x6x7x8x9"))),OR(3&gt;LEN(B553),MID(B553,3,1)=".",ISNUMBER(FIND("x"&amp;MID(B553,3,1),"x0x1x2x3x4x5x6x7x8x9"))),OR(4&gt;LEN(B553),MID(B553,4,1)=".",ISNUMBER(FIND("x"&amp;MID(B553,4,1),"x0x1x2x3x4x5x6x7x8x9"))),OR(5&gt;LEN(B553),MID(B553,5,1)=".",ISNUMBER(FIND("x"&amp;MID(B553,5,1),"x0x1x2x3x4x5x6x7x8x9"))),OR(6&gt;LEN(B553),MID(B553,6,1)=".",ISNUMBER(FIND("x"&amp;MID(B553,6,1),"x0x1x2x3x4x5x6x7x8x9"))),OR(7&gt;LEN(B553),MID(B553,7,1)=".",ISNUMBER(FIND("x"&amp;MID(B553,7,1),"x0x1x2x3x4x5x6x7x8x9"))),OR(8&gt;LEN(B553),MID(B553,8,1)=".",ISNUMBER(FIND("x"&amp;MID(B553,8,1),"x0x1x2x3x4x5x6x7x8x9"))),OR(9&gt;LEN(B553),MID(B553,9,1)=".",ISNUMBER(FIND("x"&amp;MID(B553,9,1),"x0x1x2x3x4x5x6x7x8x9"))),OR(10&gt;LEN(B553),MID(B553,10,1)=".",ISNUMBER(FIND("x"&amp;MID(B553,10,1),"x0x1x2x3x4x5x6x7x8x9"))),OR(AND(FIND(".",B553)=5,LEN(B553)-FIND(".",B553,FIND(".",B553)+1)&gt;=1,LEN(B553)-FIND(".",B553,FIND(".",B553)+1)&lt;=2),AND(LEN(B553)-FIND(".",B553,FIND(".",B553)+1)=4,FIND(".",B553)&gt;=2,FIND(".",B553)&lt;=3)),FIND(".",B553,FIND(".",B553)+1)-FIND(".",B553)&gt;=2,FIND(".",B553,FIND(".",B553)+1)-FIND(".",B553)&lt;=3,F553&gt;=2000,F553&lt;=2100,YEAR(I553)=F553,MONTH(I553)=G553,DAY(I553)=H553),I553,0)),0)</ns0:f>
        <ns0:v>0</ns0:v>
      </ns0:c>
      <ns0:c r="K553" s="0">
        <ns0:f>IFERROR(IF(ISNUMBER(Bookings!D553),"",TRIM(Bookings!D553&amp;"")),"")</ns0:f>
      </ns0:c>
      <ns0:c r="L553" s="0">
        <ns0:f>IFERROR(SUBSTITUTE(SUBSTITUTE(K553,"/","."),"-","."),"")</ns0:f>
      </ns0:c>
      <ns0:c r="M553" s="0">
        <ns0:f>IFERROR(LEFT(L553,FIND(".",L553)-1),"")</ns0:f>
      </ns0:c>
      <ns0:c r="N553" s="0">
        <ns0:f>IFERROR(MID(L553,FIND(".",L553)+1,FIND(".",L553,FIND(".",L553)+1)-FIND(".",L553)-1),"")</ns0:f>
      </ns0:c>
      <ns0:c r="O553" s="0">
        <ns0:f>IFERROR(MID(L553,FIND(".",L553,FIND(".",L553)+1)+1,99),"")</ns0:f>
        <ns0:v>99</ns0:v>
      </ns0:c>
      <ns0:c r="P553" s="0">
        <ns0:f>IFERROR(IF(FIND(".",L553)=5,--M553,--O553),0)</ns0:f>
        <ns0:v>0</ns0:v>
      </ns0:c>
      <ns0:c r="Q553" s="0">
        <ns0:f>IFERROR(--N553,0)</ns0:f>
        <ns0:v>0</ns0:v>
      </ns0:c>
      <ns0:c r="R553" s="0">
        <ns0:f>IFERROR(IF(FIND(".",L553)=5,--O553,--M553),0)</ns0:f>
        <ns0:v>0</ns0:v>
      </ns0:c>
      <ns0:c r="S553" s="0">
        <ns0:f>IFERROR(IF(AND(P553&gt;=2000,P553&lt;=2100,Q553&gt;=1,Q553&lt;=12,R553&gt;=1,R553&lt;=31),DATE(P553,Q553,R553),0),0)</ns0:f>
        <ns0:v>0</ns0:v>
      </ns0:c>
      <ns0:c r="T553" s="0">
        <ns0:f>IFERROR(IF(ISNUMBER(Bookings!D553),IF(AND(Bookings!D553=INT(Bookings!D553),Bookings!D553&gt;=DATE(2000,1,1),Bookings!D553&lt;=DATE(2100,12,31)),Bookings!D553,0),IF(AND(K553&lt;&gt;"",LEN("x"&amp;L553)-LEN(SUBSTITUTE("x"&amp;L553,".",""))=2,OR(1&gt;LEN(L553),MID(L553,1,1)=".",ISNUMBER(FIND("x"&amp;MID(L553,1,1),"x0x1x2x3x4x5x6x7x8x9"))),OR(2&gt;LEN(L553),MID(L553,2,1)=".",ISNUMBER(FIND("x"&amp;MID(L553,2,1),"x0x1x2x3x4x5x6x7x8x9"))),OR(3&gt;LEN(L553),MID(L553,3,1)=".",ISNUMBER(FIND("x"&amp;MID(L553,3,1),"x0x1x2x3x4x5x6x7x8x9"))),OR(4&gt;LEN(L553),MID(L553,4,1)=".",ISNUMBER(FIND("x"&amp;MID(L553,4,1),"x0x1x2x3x4x5x6x7x8x9"))),OR(5&gt;LEN(L553),MID(L553,5,1)=".",ISNUMBER(FIND("x"&amp;MID(L553,5,1),"x0x1x2x3x4x5x6x7x8x9"))),OR(6&gt;LEN(L553),MID(L553,6,1)=".",ISNUMBER(FIND("x"&amp;MID(L553,6,1),"x0x1x2x3x4x5x6x7x8x9"))),OR(7&gt;LEN(L553),MID(L553,7,1)=".",ISNUMBER(FIND("x"&amp;MID(L553,7,1),"x0x1x2x3x4x5x6x7x8x9"))),OR(8&gt;LEN(L553),MID(L553,8,1)=".",ISNUMBER(FIND("x"&amp;MID(L553,8,1),"x0x1x2x3x4x5x6x7x8x9"))),OR(9&gt;LEN(L553),MID(L553,9,1)=".",ISNUMBER(FIND("x"&amp;MID(L553,9,1),"x0x1x2x3x4x5x6x7x8x9"))),OR(10&gt;LEN(L553),MID(L553,10,1)=".",ISNUMBER(FIND("x"&amp;MID(L553,10,1),"x0x1x2x3x4x5x6x7x8x9"))),OR(AND(FIND(".",L553)=5,LEN(L553)-FIND(".",L553,FIND(".",L553)+1)&gt;=1,LEN(L553)-FIND(".",L553,FIND(".",L553)+1)&lt;=2),AND(LEN(L553)-FIND(".",L553,FIND(".",L553)+1)=4,FIND(".",L553)&gt;=2,FIND(".",L553)&lt;=3)),FIND(".",L553,FIND(".",L553)+1)-FIND(".",L553)&gt;=2,FIND(".",L553,FIND(".",L553)+1)-FIND(".",L553)&lt;=3,P553&gt;=2000,P553&lt;=2100,YEAR(S553)=P553,MONTH(S553)=Q553,DAY(S553)=R553),S553,0)),0)</ns0:f>
        <ns0:v>0</ns0:v>
      </ns0:c>
      <ns0:c r="U553" s="0" t="str">
        <ns0:f>IF(Bookings!C553="","Full day",Bookings!C553)</ns0:f>
        <ns0:v>Full day</ns0:v>
      </ns0:c>
      <ns0:c r="V553" s="0" t="str">
        <ns0:f>IF(Bookings!E553="","Full day",Bookings!E553)</ns0:f>
        <ns0:v>Full day</ns0:v>
      </ns0:c>
      <ns0:c r="W553" s="0">
        <ns0:f>IF(J553=0,0,J553+IF(U553="PM",1,0))</ns0:f>
        <ns0:v>0</ns0:v>
      </ns0:c>
      <ns0:c r="X553" s="0">
        <ns0:f>IF(T553=0,0,T553-IF(V553="PM",1,0))</ns0:f>
        <ns0:v>0</ns0:v>
      </ns0:c>
      <ns0:c r="Y553" s="0">
        <ns0:f>IF(J553=0,0,J553+IF(U553="AM",1,0))</ns0:f>
        <ns0:v>0</ns0:v>
      </ns0:c>
      <ns0:c r="Z553" s="0">
        <ns0:f>IF(T553=0,0,T553-IF(V553="AM",1,0))</ns0:f>
        <ns0:v>0</ns0:v>
      </ns0:c>
      <ns0:c r="AA553" s="0">
        <ns0:f>IFERROR(IF(AND(J553&gt;0,'_Engine'!C553&gt;0,MID('_Engine'!W553,WEEKDAY(J553,2),1)="W",COUNTIF(Settings!$F$18:$F$67,J553)=0),1,0),0)</ns0:f>
        <ns0:v>0</ns0:v>
      </ns0:c>
      <ns0:c r="AB553" s="0">
        <ns0:f>IFERROR(IF(AND(T553&gt;0,'_Engine'!C553&gt;0,MID('_Engine'!W553,WEEKDAY(T553,2),1)="W",COUNTIF(Settings!$F$18:$F$67,T553)=0),1,0),0)</ns0:f>
        <ns0:v>0</ns0:v>
      </ns0:c>
      <ns0:c r="AC553" s="0">
        <ns0:f>IF(AND(J553&gt;0,T553&gt;0,W553&lt;=X553),1,0)</ns0:f>
        <ns0:v>0</ns0:v>
      </ns0:c>
      <ns0:c r="AD553" s="0">
        <ns0:f>IF(AND(J553&gt;0,T553&gt;0,Y553&lt;=Z553),1,0)</ns0:f>
        <ns0:v>0</ns0:v>
      </ns0:c>
    </ns0:row>
    <ns0:row r="554">
      <ns0:c r="A554" s="0">
        <ns0:f>IFERROR(IF(ISNUMBER(Bookings!B554),"",TRIM(Bookings!B554&amp;"")),"")</ns0:f>
      </ns0:c>
      <ns0:c r="B554" s="0">
        <ns0:f>IFERROR(SUBSTITUTE(SUBSTITUTE(A554,"/","."),"-","."),"")</ns0:f>
      </ns0:c>
      <ns0:c r="C554" s="0">
        <ns0:f>IFERROR(LEFT(B554,FIND(".",B554)-1),"")</ns0:f>
      </ns0:c>
      <ns0:c r="D554" s="0">
        <ns0:f>IFERROR(MID(B554,FIND(".",B554)+1,FIND(".",B554,FIND(".",B554)+1)-FIND(".",B554)-1),"")</ns0:f>
      </ns0:c>
      <ns0:c r="E554" s="0">
        <ns0:f>IFERROR(MID(B554,FIND(".",B554,FIND(".",B554)+1)+1,99),"")</ns0:f>
        <ns0:v>99</ns0:v>
      </ns0:c>
      <ns0:c r="F554" s="0">
        <ns0:f>IFERROR(IF(FIND(".",B554)=5,--C554,--E554),0)</ns0:f>
        <ns0:v>0</ns0:v>
      </ns0:c>
      <ns0:c r="G554" s="0">
        <ns0:f>IFERROR(--D554,0)</ns0:f>
        <ns0:v>0</ns0:v>
      </ns0:c>
      <ns0:c r="H554" s="0">
        <ns0:f>IFERROR(IF(FIND(".",B554)=5,--E554,--C554),0)</ns0:f>
        <ns0:v>0</ns0:v>
      </ns0:c>
      <ns0:c r="I554" s="0">
        <ns0:f>IFERROR(IF(AND(F554&gt;=2000,F554&lt;=2100,G554&gt;=1,G554&lt;=12,H554&gt;=1,H554&lt;=31),DATE(F554,G554,H554),0),0)</ns0:f>
        <ns0:v>0</ns0:v>
      </ns0:c>
      <ns0:c r="J554" s="0">
        <ns0:f>IFERROR(IF(ISNUMBER(Bookings!B554),IF(AND(Bookings!B554=INT(Bookings!B554),Bookings!B554&gt;=DATE(2000,1,1),Bookings!B554&lt;=DATE(2100,12,31)),Bookings!B554,0),IF(AND(A554&lt;&gt;"",LEN("x"&amp;B554)-LEN(SUBSTITUTE("x"&amp;B554,".",""))=2,OR(1&gt;LEN(B554),MID(B554,1,1)=".",ISNUMBER(FIND("x"&amp;MID(B554,1,1),"x0x1x2x3x4x5x6x7x8x9"))),OR(2&gt;LEN(B554),MID(B554,2,1)=".",ISNUMBER(FIND("x"&amp;MID(B554,2,1),"x0x1x2x3x4x5x6x7x8x9"))),OR(3&gt;LEN(B554),MID(B554,3,1)=".",ISNUMBER(FIND("x"&amp;MID(B554,3,1),"x0x1x2x3x4x5x6x7x8x9"))),OR(4&gt;LEN(B554),MID(B554,4,1)=".",ISNUMBER(FIND("x"&amp;MID(B554,4,1),"x0x1x2x3x4x5x6x7x8x9"))),OR(5&gt;LEN(B554),MID(B554,5,1)=".",ISNUMBER(FIND("x"&amp;MID(B554,5,1),"x0x1x2x3x4x5x6x7x8x9"))),OR(6&gt;LEN(B554),MID(B554,6,1)=".",ISNUMBER(FIND("x"&amp;MID(B554,6,1),"x0x1x2x3x4x5x6x7x8x9"))),OR(7&gt;LEN(B554),MID(B554,7,1)=".",ISNUMBER(FIND("x"&amp;MID(B554,7,1),"x0x1x2x3x4x5x6x7x8x9"))),OR(8&gt;LEN(B554),MID(B554,8,1)=".",ISNUMBER(FIND("x"&amp;MID(B554,8,1),"x0x1x2x3x4x5x6x7x8x9"))),OR(9&gt;LEN(B554),MID(B554,9,1)=".",ISNUMBER(FIND("x"&amp;MID(B554,9,1),"x0x1x2x3x4x5x6x7x8x9"))),OR(10&gt;LEN(B554),MID(B554,10,1)=".",ISNUMBER(FIND("x"&amp;MID(B554,10,1),"x0x1x2x3x4x5x6x7x8x9"))),OR(AND(FIND(".",B554)=5,LEN(B554)-FIND(".",B554,FIND(".",B554)+1)&gt;=1,LEN(B554)-FIND(".",B554,FIND(".",B554)+1)&lt;=2),AND(LEN(B554)-FIND(".",B554,FIND(".",B554)+1)=4,FIND(".",B554)&gt;=2,FIND(".",B554)&lt;=3)),FIND(".",B554,FIND(".",B554)+1)-FIND(".",B554)&gt;=2,FIND(".",B554,FIND(".",B554)+1)-FIND(".",B554)&lt;=3,F554&gt;=2000,F554&lt;=2100,YEAR(I554)=F554,MONTH(I554)=G554,DAY(I554)=H554),I554,0)),0)</ns0:f>
        <ns0:v>0</ns0:v>
      </ns0:c>
      <ns0:c r="K554" s="0">
        <ns0:f>IFERROR(IF(ISNUMBER(Bookings!D554),"",TRIM(Bookings!D554&amp;"")),"")</ns0:f>
      </ns0:c>
      <ns0:c r="L554" s="0">
        <ns0:f>IFERROR(SUBSTITUTE(SUBSTITUTE(K554,"/","."),"-","."),"")</ns0:f>
      </ns0:c>
      <ns0:c r="M554" s="0">
        <ns0:f>IFERROR(LEFT(L554,FIND(".",L554)-1),"")</ns0:f>
      </ns0:c>
      <ns0:c r="N554" s="0">
        <ns0:f>IFERROR(MID(L554,FIND(".",L554)+1,FIND(".",L554,FIND(".",L554)+1)-FIND(".",L554)-1),"")</ns0:f>
      </ns0:c>
      <ns0:c r="O554" s="0">
        <ns0:f>IFERROR(MID(L554,FIND(".",L554,FIND(".",L554)+1)+1,99),"")</ns0:f>
        <ns0:v>99</ns0:v>
      </ns0:c>
      <ns0:c r="P554" s="0">
        <ns0:f>IFERROR(IF(FIND(".",L554)=5,--M554,--O554),0)</ns0:f>
        <ns0:v>0</ns0:v>
      </ns0:c>
      <ns0:c r="Q554" s="0">
        <ns0:f>IFERROR(--N554,0)</ns0:f>
        <ns0:v>0</ns0:v>
      </ns0:c>
      <ns0:c r="R554" s="0">
        <ns0:f>IFERROR(IF(FIND(".",L554)=5,--O554,--M554),0)</ns0:f>
        <ns0:v>0</ns0:v>
      </ns0:c>
      <ns0:c r="S554" s="0">
        <ns0:f>IFERROR(IF(AND(P554&gt;=2000,P554&lt;=2100,Q554&gt;=1,Q554&lt;=12,R554&gt;=1,R554&lt;=31),DATE(P554,Q554,R554),0),0)</ns0:f>
        <ns0:v>0</ns0:v>
      </ns0:c>
      <ns0:c r="T554" s="0">
        <ns0:f>IFERROR(IF(ISNUMBER(Bookings!D554),IF(AND(Bookings!D554=INT(Bookings!D554),Bookings!D554&gt;=DATE(2000,1,1),Bookings!D554&lt;=DATE(2100,12,31)),Bookings!D554,0),IF(AND(K554&lt;&gt;"",LEN("x"&amp;L554)-LEN(SUBSTITUTE("x"&amp;L554,".",""))=2,OR(1&gt;LEN(L554),MID(L554,1,1)=".",ISNUMBER(FIND("x"&amp;MID(L554,1,1),"x0x1x2x3x4x5x6x7x8x9"))),OR(2&gt;LEN(L554),MID(L554,2,1)=".",ISNUMBER(FIND("x"&amp;MID(L554,2,1),"x0x1x2x3x4x5x6x7x8x9"))),OR(3&gt;LEN(L554),MID(L554,3,1)=".",ISNUMBER(FIND("x"&amp;MID(L554,3,1),"x0x1x2x3x4x5x6x7x8x9"))),OR(4&gt;LEN(L554),MID(L554,4,1)=".",ISNUMBER(FIND("x"&amp;MID(L554,4,1),"x0x1x2x3x4x5x6x7x8x9"))),OR(5&gt;LEN(L554),MID(L554,5,1)=".",ISNUMBER(FIND("x"&amp;MID(L554,5,1),"x0x1x2x3x4x5x6x7x8x9"))),OR(6&gt;LEN(L554),MID(L554,6,1)=".",ISNUMBER(FIND("x"&amp;MID(L554,6,1),"x0x1x2x3x4x5x6x7x8x9"))),OR(7&gt;LEN(L554),MID(L554,7,1)=".",ISNUMBER(FIND("x"&amp;MID(L554,7,1),"x0x1x2x3x4x5x6x7x8x9"))),OR(8&gt;LEN(L554),MID(L554,8,1)=".",ISNUMBER(FIND("x"&amp;MID(L554,8,1),"x0x1x2x3x4x5x6x7x8x9"))),OR(9&gt;LEN(L554),MID(L554,9,1)=".",ISNUMBER(FIND("x"&amp;MID(L554,9,1),"x0x1x2x3x4x5x6x7x8x9"))),OR(10&gt;LEN(L554),MID(L554,10,1)=".",ISNUMBER(FIND("x"&amp;MID(L554,10,1),"x0x1x2x3x4x5x6x7x8x9"))),OR(AND(FIND(".",L554)=5,LEN(L554)-FIND(".",L554,FIND(".",L554)+1)&gt;=1,LEN(L554)-FIND(".",L554,FIND(".",L554)+1)&lt;=2),AND(LEN(L554)-FIND(".",L554,FIND(".",L554)+1)=4,FIND(".",L554)&gt;=2,FIND(".",L554)&lt;=3)),FIND(".",L554,FIND(".",L554)+1)-FIND(".",L554)&gt;=2,FIND(".",L554,FIND(".",L554)+1)-FIND(".",L554)&lt;=3,P554&gt;=2000,P554&lt;=2100,YEAR(S554)=P554,MONTH(S554)=Q554,DAY(S554)=R554),S554,0)),0)</ns0:f>
        <ns0:v>0</ns0:v>
      </ns0:c>
      <ns0:c r="U554" s="0" t="str">
        <ns0:f>IF(Bookings!C554="","Full day",Bookings!C554)</ns0:f>
        <ns0:v>Full day</ns0:v>
      </ns0:c>
      <ns0:c r="V554" s="0" t="str">
        <ns0:f>IF(Bookings!E554="","Full day",Bookings!E554)</ns0:f>
        <ns0:v>Full day</ns0:v>
      </ns0:c>
      <ns0:c r="W554" s="0">
        <ns0:f>IF(J554=0,0,J554+IF(U554="PM",1,0))</ns0:f>
        <ns0:v>0</ns0:v>
      </ns0:c>
      <ns0:c r="X554" s="0">
        <ns0:f>IF(T554=0,0,T554-IF(V554="PM",1,0))</ns0:f>
        <ns0:v>0</ns0:v>
      </ns0:c>
      <ns0:c r="Y554" s="0">
        <ns0:f>IF(J554=0,0,J554+IF(U554="AM",1,0))</ns0:f>
        <ns0:v>0</ns0:v>
      </ns0:c>
      <ns0:c r="Z554" s="0">
        <ns0:f>IF(T554=0,0,T554-IF(V554="AM",1,0))</ns0:f>
        <ns0:v>0</ns0:v>
      </ns0:c>
      <ns0:c r="AA554" s="0">
        <ns0:f>IFERROR(IF(AND(J554&gt;0,'_Engine'!C554&gt;0,MID('_Engine'!W554,WEEKDAY(J554,2),1)="W",COUNTIF(Settings!$F$18:$F$67,J554)=0),1,0),0)</ns0:f>
        <ns0:v>0</ns0:v>
      </ns0:c>
      <ns0:c r="AB554" s="0">
        <ns0:f>IFERROR(IF(AND(T554&gt;0,'_Engine'!C554&gt;0,MID('_Engine'!W554,WEEKDAY(T554,2),1)="W",COUNTIF(Settings!$F$18:$F$67,T554)=0),1,0),0)</ns0:f>
        <ns0:v>0</ns0:v>
      </ns0:c>
      <ns0:c r="AC554" s="0">
        <ns0:f>IF(AND(J554&gt;0,T554&gt;0,W554&lt;=X554),1,0)</ns0:f>
        <ns0:v>0</ns0:v>
      </ns0:c>
      <ns0:c r="AD554" s="0">
        <ns0:f>IF(AND(J554&gt;0,T554&gt;0,Y554&lt;=Z554),1,0)</ns0:f>
        <ns0:v>0</ns0:v>
      </ns0:c>
    </ns0:row>
    <ns0:row r="555">
      <ns0:c r="A555" s="0">
        <ns0:f>IFERROR(IF(ISNUMBER(Bookings!B555),"",TRIM(Bookings!B555&amp;"")),"")</ns0:f>
      </ns0:c>
      <ns0:c r="B555" s="0">
        <ns0:f>IFERROR(SUBSTITUTE(SUBSTITUTE(A555,"/","."),"-","."),"")</ns0:f>
      </ns0:c>
      <ns0:c r="C555" s="0">
        <ns0:f>IFERROR(LEFT(B555,FIND(".",B555)-1),"")</ns0:f>
      </ns0:c>
      <ns0:c r="D555" s="0">
        <ns0:f>IFERROR(MID(B555,FIND(".",B555)+1,FIND(".",B555,FIND(".",B555)+1)-FIND(".",B555)-1),"")</ns0:f>
      </ns0:c>
      <ns0:c r="E555" s="0">
        <ns0:f>IFERROR(MID(B555,FIND(".",B555,FIND(".",B555)+1)+1,99),"")</ns0:f>
        <ns0:v>99</ns0:v>
      </ns0:c>
      <ns0:c r="F555" s="0">
        <ns0:f>IFERROR(IF(FIND(".",B555)=5,--C555,--E555),0)</ns0:f>
        <ns0:v>0</ns0:v>
      </ns0:c>
      <ns0:c r="G555" s="0">
        <ns0:f>IFERROR(--D555,0)</ns0:f>
        <ns0:v>0</ns0:v>
      </ns0:c>
      <ns0:c r="H555" s="0">
        <ns0:f>IFERROR(IF(FIND(".",B555)=5,--E555,--C555),0)</ns0:f>
        <ns0:v>0</ns0:v>
      </ns0:c>
      <ns0:c r="I555" s="0">
        <ns0:f>IFERROR(IF(AND(F555&gt;=2000,F555&lt;=2100,G555&gt;=1,G555&lt;=12,H555&gt;=1,H555&lt;=31),DATE(F555,G555,H555),0),0)</ns0:f>
        <ns0:v>0</ns0:v>
      </ns0:c>
      <ns0:c r="J555" s="0">
        <ns0:f>IFERROR(IF(ISNUMBER(Bookings!B555),IF(AND(Bookings!B555=INT(Bookings!B555),Bookings!B555&gt;=DATE(2000,1,1),Bookings!B555&lt;=DATE(2100,12,31)),Bookings!B555,0),IF(AND(A555&lt;&gt;"",LEN("x"&amp;B555)-LEN(SUBSTITUTE("x"&amp;B555,".",""))=2,OR(1&gt;LEN(B555),MID(B555,1,1)=".",ISNUMBER(FIND("x"&amp;MID(B555,1,1),"x0x1x2x3x4x5x6x7x8x9"))),OR(2&gt;LEN(B555),MID(B555,2,1)=".",ISNUMBER(FIND("x"&amp;MID(B555,2,1),"x0x1x2x3x4x5x6x7x8x9"))),OR(3&gt;LEN(B555),MID(B555,3,1)=".",ISNUMBER(FIND("x"&amp;MID(B555,3,1),"x0x1x2x3x4x5x6x7x8x9"))),OR(4&gt;LEN(B555),MID(B555,4,1)=".",ISNUMBER(FIND("x"&amp;MID(B555,4,1),"x0x1x2x3x4x5x6x7x8x9"))),OR(5&gt;LEN(B555),MID(B555,5,1)=".",ISNUMBER(FIND("x"&amp;MID(B555,5,1),"x0x1x2x3x4x5x6x7x8x9"))),OR(6&gt;LEN(B555),MID(B555,6,1)=".",ISNUMBER(FIND("x"&amp;MID(B555,6,1),"x0x1x2x3x4x5x6x7x8x9"))),OR(7&gt;LEN(B555),MID(B555,7,1)=".",ISNUMBER(FIND("x"&amp;MID(B555,7,1),"x0x1x2x3x4x5x6x7x8x9"))),OR(8&gt;LEN(B555),MID(B555,8,1)=".",ISNUMBER(FIND("x"&amp;MID(B555,8,1),"x0x1x2x3x4x5x6x7x8x9"))),OR(9&gt;LEN(B555),MID(B555,9,1)=".",ISNUMBER(FIND("x"&amp;MID(B555,9,1),"x0x1x2x3x4x5x6x7x8x9"))),OR(10&gt;LEN(B555),MID(B555,10,1)=".",ISNUMBER(FIND("x"&amp;MID(B555,10,1),"x0x1x2x3x4x5x6x7x8x9"))),OR(AND(FIND(".",B555)=5,LEN(B555)-FIND(".",B555,FIND(".",B555)+1)&gt;=1,LEN(B555)-FIND(".",B555,FIND(".",B555)+1)&lt;=2),AND(LEN(B555)-FIND(".",B555,FIND(".",B555)+1)=4,FIND(".",B555)&gt;=2,FIND(".",B555)&lt;=3)),FIND(".",B555,FIND(".",B555)+1)-FIND(".",B555)&gt;=2,FIND(".",B555,FIND(".",B555)+1)-FIND(".",B555)&lt;=3,F555&gt;=2000,F555&lt;=2100,YEAR(I555)=F555,MONTH(I555)=G555,DAY(I555)=H555),I555,0)),0)</ns0:f>
        <ns0:v>0</ns0:v>
      </ns0:c>
      <ns0:c r="K555" s="0">
        <ns0:f>IFERROR(IF(ISNUMBER(Bookings!D555),"",TRIM(Bookings!D555&amp;"")),"")</ns0:f>
      </ns0:c>
      <ns0:c r="L555" s="0">
        <ns0:f>IFERROR(SUBSTITUTE(SUBSTITUTE(K555,"/","."),"-","."),"")</ns0:f>
      </ns0:c>
      <ns0:c r="M555" s="0">
        <ns0:f>IFERROR(LEFT(L555,FIND(".",L555)-1),"")</ns0:f>
      </ns0:c>
      <ns0:c r="N555" s="0">
        <ns0:f>IFERROR(MID(L555,FIND(".",L555)+1,FIND(".",L555,FIND(".",L555)+1)-FIND(".",L555)-1),"")</ns0:f>
      </ns0:c>
      <ns0:c r="O555" s="0">
        <ns0:f>IFERROR(MID(L555,FIND(".",L555,FIND(".",L555)+1)+1,99),"")</ns0:f>
        <ns0:v>99</ns0:v>
      </ns0:c>
      <ns0:c r="P555" s="0">
        <ns0:f>IFERROR(IF(FIND(".",L555)=5,--M555,--O555),0)</ns0:f>
        <ns0:v>0</ns0:v>
      </ns0:c>
      <ns0:c r="Q555" s="0">
        <ns0:f>IFERROR(--N555,0)</ns0:f>
        <ns0:v>0</ns0:v>
      </ns0:c>
      <ns0:c r="R555" s="0">
        <ns0:f>IFERROR(IF(FIND(".",L555)=5,--O555,--M555),0)</ns0:f>
        <ns0:v>0</ns0:v>
      </ns0:c>
      <ns0:c r="S555" s="0">
        <ns0:f>IFERROR(IF(AND(P555&gt;=2000,P555&lt;=2100,Q555&gt;=1,Q555&lt;=12,R555&gt;=1,R555&lt;=31),DATE(P555,Q555,R555),0),0)</ns0:f>
        <ns0:v>0</ns0:v>
      </ns0:c>
      <ns0:c r="T555" s="0">
        <ns0:f>IFERROR(IF(ISNUMBER(Bookings!D555),IF(AND(Bookings!D555=INT(Bookings!D555),Bookings!D555&gt;=DATE(2000,1,1),Bookings!D555&lt;=DATE(2100,12,31)),Bookings!D555,0),IF(AND(K555&lt;&gt;"",LEN("x"&amp;L555)-LEN(SUBSTITUTE("x"&amp;L555,".",""))=2,OR(1&gt;LEN(L555),MID(L555,1,1)=".",ISNUMBER(FIND("x"&amp;MID(L555,1,1),"x0x1x2x3x4x5x6x7x8x9"))),OR(2&gt;LEN(L555),MID(L555,2,1)=".",ISNUMBER(FIND("x"&amp;MID(L555,2,1),"x0x1x2x3x4x5x6x7x8x9"))),OR(3&gt;LEN(L555),MID(L555,3,1)=".",ISNUMBER(FIND("x"&amp;MID(L555,3,1),"x0x1x2x3x4x5x6x7x8x9"))),OR(4&gt;LEN(L555),MID(L555,4,1)=".",ISNUMBER(FIND("x"&amp;MID(L555,4,1),"x0x1x2x3x4x5x6x7x8x9"))),OR(5&gt;LEN(L555),MID(L555,5,1)=".",ISNUMBER(FIND("x"&amp;MID(L555,5,1),"x0x1x2x3x4x5x6x7x8x9"))),OR(6&gt;LEN(L555),MID(L555,6,1)=".",ISNUMBER(FIND("x"&amp;MID(L555,6,1),"x0x1x2x3x4x5x6x7x8x9"))),OR(7&gt;LEN(L555),MID(L555,7,1)=".",ISNUMBER(FIND("x"&amp;MID(L555,7,1),"x0x1x2x3x4x5x6x7x8x9"))),OR(8&gt;LEN(L555),MID(L555,8,1)=".",ISNUMBER(FIND("x"&amp;MID(L555,8,1),"x0x1x2x3x4x5x6x7x8x9"))),OR(9&gt;LEN(L555),MID(L555,9,1)=".",ISNUMBER(FIND("x"&amp;MID(L555,9,1),"x0x1x2x3x4x5x6x7x8x9"))),OR(10&gt;LEN(L555),MID(L555,10,1)=".",ISNUMBER(FIND("x"&amp;MID(L555,10,1),"x0x1x2x3x4x5x6x7x8x9"))),OR(AND(FIND(".",L555)=5,LEN(L555)-FIND(".",L555,FIND(".",L555)+1)&gt;=1,LEN(L555)-FIND(".",L555,FIND(".",L555)+1)&lt;=2),AND(LEN(L555)-FIND(".",L555,FIND(".",L555)+1)=4,FIND(".",L555)&gt;=2,FIND(".",L555)&lt;=3)),FIND(".",L555,FIND(".",L555)+1)-FIND(".",L555)&gt;=2,FIND(".",L555,FIND(".",L555)+1)-FIND(".",L555)&lt;=3,P555&gt;=2000,P555&lt;=2100,YEAR(S555)=P555,MONTH(S555)=Q555,DAY(S555)=R555),S555,0)),0)</ns0:f>
        <ns0:v>0</ns0:v>
      </ns0:c>
      <ns0:c r="U555" s="0" t="str">
        <ns0:f>IF(Bookings!C555="","Full day",Bookings!C555)</ns0:f>
        <ns0:v>Full day</ns0:v>
      </ns0:c>
      <ns0:c r="V555" s="0" t="str">
        <ns0:f>IF(Bookings!E555="","Full day",Bookings!E555)</ns0:f>
        <ns0:v>Full day</ns0:v>
      </ns0:c>
      <ns0:c r="W555" s="0">
        <ns0:f>IF(J555=0,0,J555+IF(U555="PM",1,0))</ns0:f>
        <ns0:v>0</ns0:v>
      </ns0:c>
      <ns0:c r="X555" s="0">
        <ns0:f>IF(T555=0,0,T555-IF(V555="PM",1,0))</ns0:f>
        <ns0:v>0</ns0:v>
      </ns0:c>
      <ns0:c r="Y555" s="0">
        <ns0:f>IF(J555=0,0,J555+IF(U555="AM",1,0))</ns0:f>
        <ns0:v>0</ns0:v>
      </ns0:c>
      <ns0:c r="Z555" s="0">
        <ns0:f>IF(T555=0,0,T555-IF(V555="AM",1,0))</ns0:f>
        <ns0:v>0</ns0:v>
      </ns0:c>
      <ns0:c r="AA555" s="0">
        <ns0:f>IFERROR(IF(AND(J555&gt;0,'_Engine'!C555&gt;0,MID('_Engine'!W555,WEEKDAY(J555,2),1)="W",COUNTIF(Settings!$F$18:$F$67,J555)=0),1,0),0)</ns0:f>
        <ns0:v>0</ns0:v>
      </ns0:c>
      <ns0:c r="AB555" s="0">
        <ns0:f>IFERROR(IF(AND(T555&gt;0,'_Engine'!C555&gt;0,MID('_Engine'!W555,WEEKDAY(T555,2),1)="W",COUNTIF(Settings!$F$18:$F$67,T555)=0),1,0),0)</ns0:f>
        <ns0:v>0</ns0:v>
      </ns0:c>
      <ns0:c r="AC555" s="0">
        <ns0:f>IF(AND(J555&gt;0,T555&gt;0,W555&lt;=X555),1,0)</ns0:f>
        <ns0:v>0</ns0:v>
      </ns0:c>
      <ns0:c r="AD555" s="0">
        <ns0:f>IF(AND(J555&gt;0,T555&gt;0,Y555&lt;=Z555),1,0)</ns0:f>
        <ns0:v>0</ns0:v>
      </ns0:c>
    </ns0:row>
    <ns0:row r="556">
      <ns0:c r="A556" s="0">
        <ns0:f>IFERROR(IF(ISNUMBER(Bookings!B556),"",TRIM(Bookings!B556&amp;"")),"")</ns0:f>
      </ns0:c>
      <ns0:c r="B556" s="0">
        <ns0:f>IFERROR(SUBSTITUTE(SUBSTITUTE(A556,"/","."),"-","."),"")</ns0:f>
      </ns0:c>
      <ns0:c r="C556" s="0">
        <ns0:f>IFERROR(LEFT(B556,FIND(".",B556)-1),"")</ns0:f>
      </ns0:c>
      <ns0:c r="D556" s="0">
        <ns0:f>IFERROR(MID(B556,FIND(".",B556)+1,FIND(".",B556,FIND(".",B556)+1)-FIND(".",B556)-1),"")</ns0:f>
      </ns0:c>
      <ns0:c r="E556" s="0">
        <ns0:f>IFERROR(MID(B556,FIND(".",B556,FIND(".",B556)+1)+1,99),"")</ns0:f>
        <ns0:v>99</ns0:v>
      </ns0:c>
      <ns0:c r="F556" s="0">
        <ns0:f>IFERROR(IF(FIND(".",B556)=5,--C556,--E556),0)</ns0:f>
        <ns0:v>0</ns0:v>
      </ns0:c>
      <ns0:c r="G556" s="0">
        <ns0:f>IFERROR(--D556,0)</ns0:f>
        <ns0:v>0</ns0:v>
      </ns0:c>
      <ns0:c r="H556" s="0">
        <ns0:f>IFERROR(IF(FIND(".",B556)=5,--E556,--C556),0)</ns0:f>
        <ns0:v>0</ns0:v>
      </ns0:c>
      <ns0:c r="I556" s="0">
        <ns0:f>IFERROR(IF(AND(F556&gt;=2000,F556&lt;=2100,G556&gt;=1,G556&lt;=12,H556&gt;=1,H556&lt;=31),DATE(F556,G556,H556),0),0)</ns0:f>
        <ns0:v>0</ns0:v>
      </ns0:c>
      <ns0:c r="J556" s="0">
        <ns0:f>IFERROR(IF(ISNUMBER(Bookings!B556),IF(AND(Bookings!B556=INT(Bookings!B556),Bookings!B556&gt;=DATE(2000,1,1),Bookings!B556&lt;=DATE(2100,12,31)),Bookings!B556,0),IF(AND(A556&lt;&gt;"",LEN("x"&amp;B556)-LEN(SUBSTITUTE("x"&amp;B556,".",""))=2,OR(1&gt;LEN(B556),MID(B556,1,1)=".",ISNUMBER(FIND("x"&amp;MID(B556,1,1),"x0x1x2x3x4x5x6x7x8x9"))),OR(2&gt;LEN(B556),MID(B556,2,1)=".",ISNUMBER(FIND("x"&amp;MID(B556,2,1),"x0x1x2x3x4x5x6x7x8x9"))),OR(3&gt;LEN(B556),MID(B556,3,1)=".",ISNUMBER(FIND("x"&amp;MID(B556,3,1),"x0x1x2x3x4x5x6x7x8x9"))),OR(4&gt;LEN(B556),MID(B556,4,1)=".",ISNUMBER(FIND("x"&amp;MID(B556,4,1),"x0x1x2x3x4x5x6x7x8x9"))),OR(5&gt;LEN(B556),MID(B556,5,1)=".",ISNUMBER(FIND("x"&amp;MID(B556,5,1),"x0x1x2x3x4x5x6x7x8x9"))),OR(6&gt;LEN(B556),MID(B556,6,1)=".",ISNUMBER(FIND("x"&amp;MID(B556,6,1),"x0x1x2x3x4x5x6x7x8x9"))),OR(7&gt;LEN(B556),MID(B556,7,1)=".",ISNUMBER(FIND("x"&amp;MID(B556,7,1),"x0x1x2x3x4x5x6x7x8x9"))),OR(8&gt;LEN(B556),MID(B556,8,1)=".",ISNUMBER(FIND("x"&amp;MID(B556,8,1),"x0x1x2x3x4x5x6x7x8x9"))),OR(9&gt;LEN(B556),MID(B556,9,1)=".",ISNUMBER(FIND("x"&amp;MID(B556,9,1),"x0x1x2x3x4x5x6x7x8x9"))),OR(10&gt;LEN(B556),MID(B556,10,1)=".",ISNUMBER(FIND("x"&amp;MID(B556,10,1),"x0x1x2x3x4x5x6x7x8x9"))),OR(AND(FIND(".",B556)=5,LEN(B556)-FIND(".",B556,FIND(".",B556)+1)&gt;=1,LEN(B556)-FIND(".",B556,FIND(".",B556)+1)&lt;=2),AND(LEN(B556)-FIND(".",B556,FIND(".",B556)+1)=4,FIND(".",B556)&gt;=2,FIND(".",B556)&lt;=3)),FIND(".",B556,FIND(".",B556)+1)-FIND(".",B556)&gt;=2,FIND(".",B556,FIND(".",B556)+1)-FIND(".",B556)&lt;=3,F556&gt;=2000,F556&lt;=2100,YEAR(I556)=F556,MONTH(I556)=G556,DAY(I556)=H556),I556,0)),0)</ns0:f>
        <ns0:v>0</ns0:v>
      </ns0:c>
      <ns0:c r="K556" s="0">
        <ns0:f>IFERROR(IF(ISNUMBER(Bookings!D556),"",TRIM(Bookings!D556&amp;"")),"")</ns0:f>
      </ns0:c>
      <ns0:c r="L556" s="0">
        <ns0:f>IFERROR(SUBSTITUTE(SUBSTITUTE(K556,"/","."),"-","."),"")</ns0:f>
      </ns0:c>
      <ns0:c r="M556" s="0">
        <ns0:f>IFERROR(LEFT(L556,FIND(".",L556)-1),"")</ns0:f>
      </ns0:c>
      <ns0:c r="N556" s="0">
        <ns0:f>IFERROR(MID(L556,FIND(".",L556)+1,FIND(".",L556,FIND(".",L556)+1)-FIND(".",L556)-1),"")</ns0:f>
      </ns0:c>
      <ns0:c r="O556" s="0">
        <ns0:f>IFERROR(MID(L556,FIND(".",L556,FIND(".",L556)+1)+1,99),"")</ns0:f>
        <ns0:v>99</ns0:v>
      </ns0:c>
      <ns0:c r="P556" s="0">
        <ns0:f>IFERROR(IF(FIND(".",L556)=5,--M556,--O556),0)</ns0:f>
        <ns0:v>0</ns0:v>
      </ns0:c>
      <ns0:c r="Q556" s="0">
        <ns0:f>IFERROR(--N556,0)</ns0:f>
        <ns0:v>0</ns0:v>
      </ns0:c>
      <ns0:c r="R556" s="0">
        <ns0:f>IFERROR(IF(FIND(".",L556)=5,--O556,--M556),0)</ns0:f>
        <ns0:v>0</ns0:v>
      </ns0:c>
      <ns0:c r="S556" s="0">
        <ns0:f>IFERROR(IF(AND(P556&gt;=2000,P556&lt;=2100,Q556&gt;=1,Q556&lt;=12,R556&gt;=1,R556&lt;=31),DATE(P556,Q556,R556),0),0)</ns0:f>
        <ns0:v>0</ns0:v>
      </ns0:c>
      <ns0:c r="T556" s="0">
        <ns0:f>IFERROR(IF(ISNUMBER(Bookings!D556),IF(AND(Bookings!D556=INT(Bookings!D556),Bookings!D556&gt;=DATE(2000,1,1),Bookings!D556&lt;=DATE(2100,12,31)),Bookings!D556,0),IF(AND(K556&lt;&gt;"",LEN("x"&amp;L556)-LEN(SUBSTITUTE("x"&amp;L556,".",""))=2,OR(1&gt;LEN(L556),MID(L556,1,1)=".",ISNUMBER(FIND("x"&amp;MID(L556,1,1),"x0x1x2x3x4x5x6x7x8x9"))),OR(2&gt;LEN(L556),MID(L556,2,1)=".",ISNUMBER(FIND("x"&amp;MID(L556,2,1),"x0x1x2x3x4x5x6x7x8x9"))),OR(3&gt;LEN(L556),MID(L556,3,1)=".",ISNUMBER(FIND("x"&amp;MID(L556,3,1),"x0x1x2x3x4x5x6x7x8x9"))),OR(4&gt;LEN(L556),MID(L556,4,1)=".",ISNUMBER(FIND("x"&amp;MID(L556,4,1),"x0x1x2x3x4x5x6x7x8x9"))),OR(5&gt;LEN(L556),MID(L556,5,1)=".",ISNUMBER(FIND("x"&amp;MID(L556,5,1),"x0x1x2x3x4x5x6x7x8x9"))),OR(6&gt;LEN(L556),MID(L556,6,1)=".",ISNUMBER(FIND("x"&amp;MID(L556,6,1),"x0x1x2x3x4x5x6x7x8x9"))),OR(7&gt;LEN(L556),MID(L556,7,1)=".",ISNUMBER(FIND("x"&amp;MID(L556,7,1),"x0x1x2x3x4x5x6x7x8x9"))),OR(8&gt;LEN(L556),MID(L556,8,1)=".",ISNUMBER(FIND("x"&amp;MID(L556,8,1),"x0x1x2x3x4x5x6x7x8x9"))),OR(9&gt;LEN(L556),MID(L556,9,1)=".",ISNUMBER(FIND("x"&amp;MID(L556,9,1),"x0x1x2x3x4x5x6x7x8x9"))),OR(10&gt;LEN(L556),MID(L556,10,1)=".",ISNUMBER(FIND("x"&amp;MID(L556,10,1),"x0x1x2x3x4x5x6x7x8x9"))),OR(AND(FIND(".",L556)=5,LEN(L556)-FIND(".",L556,FIND(".",L556)+1)&gt;=1,LEN(L556)-FIND(".",L556,FIND(".",L556)+1)&lt;=2),AND(LEN(L556)-FIND(".",L556,FIND(".",L556)+1)=4,FIND(".",L556)&gt;=2,FIND(".",L556)&lt;=3)),FIND(".",L556,FIND(".",L556)+1)-FIND(".",L556)&gt;=2,FIND(".",L556,FIND(".",L556)+1)-FIND(".",L556)&lt;=3,P556&gt;=2000,P556&lt;=2100,YEAR(S556)=P556,MONTH(S556)=Q556,DAY(S556)=R556),S556,0)),0)</ns0:f>
        <ns0:v>0</ns0:v>
      </ns0:c>
      <ns0:c r="U556" s="0" t="str">
        <ns0:f>IF(Bookings!C556="","Full day",Bookings!C556)</ns0:f>
        <ns0:v>Full day</ns0:v>
      </ns0:c>
      <ns0:c r="V556" s="0" t="str">
        <ns0:f>IF(Bookings!E556="","Full day",Bookings!E556)</ns0:f>
        <ns0:v>Full day</ns0:v>
      </ns0:c>
      <ns0:c r="W556" s="0">
        <ns0:f>IF(J556=0,0,J556+IF(U556="PM",1,0))</ns0:f>
        <ns0:v>0</ns0:v>
      </ns0:c>
      <ns0:c r="X556" s="0">
        <ns0:f>IF(T556=0,0,T556-IF(V556="PM",1,0))</ns0:f>
        <ns0:v>0</ns0:v>
      </ns0:c>
      <ns0:c r="Y556" s="0">
        <ns0:f>IF(J556=0,0,J556+IF(U556="AM",1,0))</ns0:f>
        <ns0:v>0</ns0:v>
      </ns0:c>
      <ns0:c r="Z556" s="0">
        <ns0:f>IF(T556=0,0,T556-IF(V556="AM",1,0))</ns0:f>
        <ns0:v>0</ns0:v>
      </ns0:c>
      <ns0:c r="AA556" s="0">
        <ns0:f>IFERROR(IF(AND(J556&gt;0,'_Engine'!C556&gt;0,MID('_Engine'!W556,WEEKDAY(J556,2),1)="W",COUNTIF(Settings!$F$18:$F$67,J556)=0),1,0),0)</ns0:f>
        <ns0:v>0</ns0:v>
      </ns0:c>
      <ns0:c r="AB556" s="0">
        <ns0:f>IFERROR(IF(AND(T556&gt;0,'_Engine'!C556&gt;0,MID('_Engine'!W556,WEEKDAY(T556,2),1)="W",COUNTIF(Settings!$F$18:$F$67,T556)=0),1,0),0)</ns0:f>
        <ns0:v>0</ns0:v>
      </ns0:c>
      <ns0:c r="AC556" s="0">
        <ns0:f>IF(AND(J556&gt;0,T556&gt;0,W556&lt;=X556),1,0)</ns0:f>
        <ns0:v>0</ns0:v>
      </ns0:c>
      <ns0:c r="AD556" s="0">
        <ns0:f>IF(AND(J556&gt;0,T556&gt;0,Y556&lt;=Z556),1,0)</ns0:f>
        <ns0:v>0</ns0:v>
      </ns0:c>
    </ns0:row>
    <ns0:row r="557">
      <ns0:c r="A557" s="0">
        <ns0:f>IFERROR(IF(ISNUMBER(Bookings!B557),"",TRIM(Bookings!B557&amp;"")),"")</ns0:f>
      </ns0:c>
      <ns0:c r="B557" s="0">
        <ns0:f>IFERROR(SUBSTITUTE(SUBSTITUTE(A557,"/","."),"-","."),"")</ns0:f>
      </ns0:c>
      <ns0:c r="C557" s="0">
        <ns0:f>IFERROR(LEFT(B557,FIND(".",B557)-1),"")</ns0:f>
      </ns0:c>
      <ns0:c r="D557" s="0">
        <ns0:f>IFERROR(MID(B557,FIND(".",B557)+1,FIND(".",B557,FIND(".",B557)+1)-FIND(".",B557)-1),"")</ns0:f>
      </ns0:c>
      <ns0:c r="E557" s="0">
        <ns0:f>IFERROR(MID(B557,FIND(".",B557,FIND(".",B557)+1)+1,99),"")</ns0:f>
        <ns0:v>99</ns0:v>
      </ns0:c>
      <ns0:c r="F557" s="0">
        <ns0:f>IFERROR(IF(FIND(".",B557)=5,--C557,--E557),0)</ns0:f>
        <ns0:v>0</ns0:v>
      </ns0:c>
      <ns0:c r="G557" s="0">
        <ns0:f>IFERROR(--D557,0)</ns0:f>
        <ns0:v>0</ns0:v>
      </ns0:c>
      <ns0:c r="H557" s="0">
        <ns0:f>IFERROR(IF(FIND(".",B557)=5,--E557,--C557),0)</ns0:f>
        <ns0:v>0</ns0:v>
      </ns0:c>
      <ns0:c r="I557" s="0">
        <ns0:f>IFERROR(IF(AND(F557&gt;=2000,F557&lt;=2100,G557&gt;=1,G557&lt;=12,H557&gt;=1,H557&lt;=31),DATE(F557,G557,H557),0),0)</ns0:f>
        <ns0:v>0</ns0:v>
      </ns0:c>
      <ns0:c r="J557" s="0">
        <ns0:f>IFERROR(IF(ISNUMBER(Bookings!B557),IF(AND(Bookings!B557=INT(Bookings!B557),Bookings!B557&gt;=DATE(2000,1,1),Bookings!B557&lt;=DATE(2100,12,31)),Bookings!B557,0),IF(AND(A557&lt;&gt;"",LEN("x"&amp;B557)-LEN(SUBSTITUTE("x"&amp;B557,".",""))=2,OR(1&gt;LEN(B557),MID(B557,1,1)=".",ISNUMBER(FIND("x"&amp;MID(B557,1,1),"x0x1x2x3x4x5x6x7x8x9"))),OR(2&gt;LEN(B557),MID(B557,2,1)=".",ISNUMBER(FIND("x"&amp;MID(B557,2,1),"x0x1x2x3x4x5x6x7x8x9"))),OR(3&gt;LEN(B557),MID(B557,3,1)=".",ISNUMBER(FIND("x"&amp;MID(B557,3,1),"x0x1x2x3x4x5x6x7x8x9"))),OR(4&gt;LEN(B557),MID(B557,4,1)=".",ISNUMBER(FIND("x"&amp;MID(B557,4,1),"x0x1x2x3x4x5x6x7x8x9"))),OR(5&gt;LEN(B557),MID(B557,5,1)=".",ISNUMBER(FIND("x"&amp;MID(B557,5,1),"x0x1x2x3x4x5x6x7x8x9"))),OR(6&gt;LEN(B557),MID(B557,6,1)=".",ISNUMBER(FIND("x"&amp;MID(B557,6,1),"x0x1x2x3x4x5x6x7x8x9"))),OR(7&gt;LEN(B557),MID(B557,7,1)=".",ISNUMBER(FIND("x"&amp;MID(B557,7,1),"x0x1x2x3x4x5x6x7x8x9"))),OR(8&gt;LEN(B557),MID(B557,8,1)=".",ISNUMBER(FIND("x"&amp;MID(B557,8,1),"x0x1x2x3x4x5x6x7x8x9"))),OR(9&gt;LEN(B557),MID(B557,9,1)=".",ISNUMBER(FIND("x"&amp;MID(B557,9,1),"x0x1x2x3x4x5x6x7x8x9"))),OR(10&gt;LEN(B557),MID(B557,10,1)=".",ISNUMBER(FIND("x"&amp;MID(B557,10,1),"x0x1x2x3x4x5x6x7x8x9"))),OR(AND(FIND(".",B557)=5,LEN(B557)-FIND(".",B557,FIND(".",B557)+1)&gt;=1,LEN(B557)-FIND(".",B557,FIND(".",B557)+1)&lt;=2),AND(LEN(B557)-FIND(".",B557,FIND(".",B557)+1)=4,FIND(".",B557)&gt;=2,FIND(".",B557)&lt;=3)),FIND(".",B557,FIND(".",B557)+1)-FIND(".",B557)&gt;=2,FIND(".",B557,FIND(".",B557)+1)-FIND(".",B557)&lt;=3,F557&gt;=2000,F557&lt;=2100,YEAR(I557)=F557,MONTH(I557)=G557,DAY(I557)=H557),I557,0)),0)</ns0:f>
        <ns0:v>0</ns0:v>
      </ns0:c>
      <ns0:c r="K557" s="0">
        <ns0:f>IFERROR(IF(ISNUMBER(Bookings!D557),"",TRIM(Bookings!D557&amp;"")),"")</ns0:f>
      </ns0:c>
      <ns0:c r="L557" s="0">
        <ns0:f>IFERROR(SUBSTITUTE(SUBSTITUTE(K557,"/","."),"-","."),"")</ns0:f>
      </ns0:c>
      <ns0:c r="M557" s="0">
        <ns0:f>IFERROR(LEFT(L557,FIND(".",L557)-1),"")</ns0:f>
      </ns0:c>
      <ns0:c r="N557" s="0">
        <ns0:f>IFERROR(MID(L557,FIND(".",L557)+1,FIND(".",L557,FIND(".",L557)+1)-FIND(".",L557)-1),"")</ns0:f>
      </ns0:c>
      <ns0:c r="O557" s="0">
        <ns0:f>IFERROR(MID(L557,FIND(".",L557,FIND(".",L557)+1)+1,99),"")</ns0:f>
        <ns0:v>99</ns0:v>
      </ns0:c>
      <ns0:c r="P557" s="0">
        <ns0:f>IFERROR(IF(FIND(".",L557)=5,--M557,--O557),0)</ns0:f>
        <ns0:v>0</ns0:v>
      </ns0:c>
      <ns0:c r="Q557" s="0">
        <ns0:f>IFERROR(--N557,0)</ns0:f>
        <ns0:v>0</ns0:v>
      </ns0:c>
      <ns0:c r="R557" s="0">
        <ns0:f>IFERROR(IF(FIND(".",L557)=5,--O557,--M557),0)</ns0:f>
        <ns0:v>0</ns0:v>
      </ns0:c>
      <ns0:c r="S557" s="0">
        <ns0:f>IFERROR(IF(AND(P557&gt;=2000,P557&lt;=2100,Q557&gt;=1,Q557&lt;=12,R557&gt;=1,R557&lt;=31),DATE(P557,Q557,R557),0),0)</ns0:f>
        <ns0:v>0</ns0:v>
      </ns0:c>
      <ns0:c r="T557" s="0">
        <ns0:f>IFERROR(IF(ISNUMBER(Bookings!D557),IF(AND(Bookings!D557=INT(Bookings!D557),Bookings!D557&gt;=DATE(2000,1,1),Bookings!D557&lt;=DATE(2100,12,31)),Bookings!D557,0),IF(AND(K557&lt;&gt;"",LEN("x"&amp;L557)-LEN(SUBSTITUTE("x"&amp;L557,".",""))=2,OR(1&gt;LEN(L557),MID(L557,1,1)=".",ISNUMBER(FIND("x"&amp;MID(L557,1,1),"x0x1x2x3x4x5x6x7x8x9"))),OR(2&gt;LEN(L557),MID(L557,2,1)=".",ISNUMBER(FIND("x"&amp;MID(L557,2,1),"x0x1x2x3x4x5x6x7x8x9"))),OR(3&gt;LEN(L557),MID(L557,3,1)=".",ISNUMBER(FIND("x"&amp;MID(L557,3,1),"x0x1x2x3x4x5x6x7x8x9"))),OR(4&gt;LEN(L557),MID(L557,4,1)=".",ISNUMBER(FIND("x"&amp;MID(L557,4,1),"x0x1x2x3x4x5x6x7x8x9"))),OR(5&gt;LEN(L557),MID(L557,5,1)=".",ISNUMBER(FIND("x"&amp;MID(L557,5,1),"x0x1x2x3x4x5x6x7x8x9"))),OR(6&gt;LEN(L557),MID(L557,6,1)=".",ISNUMBER(FIND("x"&amp;MID(L557,6,1),"x0x1x2x3x4x5x6x7x8x9"))),OR(7&gt;LEN(L557),MID(L557,7,1)=".",ISNUMBER(FIND("x"&amp;MID(L557,7,1),"x0x1x2x3x4x5x6x7x8x9"))),OR(8&gt;LEN(L557),MID(L557,8,1)=".",ISNUMBER(FIND("x"&amp;MID(L557,8,1),"x0x1x2x3x4x5x6x7x8x9"))),OR(9&gt;LEN(L557),MID(L557,9,1)=".",ISNUMBER(FIND("x"&amp;MID(L557,9,1),"x0x1x2x3x4x5x6x7x8x9"))),OR(10&gt;LEN(L557),MID(L557,10,1)=".",ISNUMBER(FIND("x"&amp;MID(L557,10,1),"x0x1x2x3x4x5x6x7x8x9"))),OR(AND(FIND(".",L557)=5,LEN(L557)-FIND(".",L557,FIND(".",L557)+1)&gt;=1,LEN(L557)-FIND(".",L557,FIND(".",L557)+1)&lt;=2),AND(LEN(L557)-FIND(".",L557,FIND(".",L557)+1)=4,FIND(".",L557)&gt;=2,FIND(".",L557)&lt;=3)),FIND(".",L557,FIND(".",L557)+1)-FIND(".",L557)&gt;=2,FIND(".",L557,FIND(".",L557)+1)-FIND(".",L557)&lt;=3,P557&gt;=2000,P557&lt;=2100,YEAR(S557)=P557,MONTH(S557)=Q557,DAY(S557)=R557),S557,0)),0)</ns0:f>
        <ns0:v>0</ns0:v>
      </ns0:c>
      <ns0:c r="U557" s="0" t="str">
        <ns0:f>IF(Bookings!C557="","Full day",Bookings!C557)</ns0:f>
        <ns0:v>Full day</ns0:v>
      </ns0:c>
      <ns0:c r="V557" s="0" t="str">
        <ns0:f>IF(Bookings!E557="","Full day",Bookings!E557)</ns0:f>
        <ns0:v>Full day</ns0:v>
      </ns0:c>
      <ns0:c r="W557" s="0">
        <ns0:f>IF(J557=0,0,J557+IF(U557="PM",1,0))</ns0:f>
        <ns0:v>0</ns0:v>
      </ns0:c>
      <ns0:c r="X557" s="0">
        <ns0:f>IF(T557=0,0,T557-IF(V557="PM",1,0))</ns0:f>
        <ns0:v>0</ns0:v>
      </ns0:c>
      <ns0:c r="Y557" s="0">
        <ns0:f>IF(J557=0,0,J557+IF(U557="AM",1,0))</ns0:f>
        <ns0:v>0</ns0:v>
      </ns0:c>
      <ns0:c r="Z557" s="0">
        <ns0:f>IF(T557=0,0,T557-IF(V557="AM",1,0))</ns0:f>
        <ns0:v>0</ns0:v>
      </ns0:c>
      <ns0:c r="AA557" s="0">
        <ns0:f>IFERROR(IF(AND(J557&gt;0,'_Engine'!C557&gt;0,MID('_Engine'!W557,WEEKDAY(J557,2),1)="W",COUNTIF(Settings!$F$18:$F$67,J557)=0),1,0),0)</ns0:f>
        <ns0:v>0</ns0:v>
      </ns0:c>
      <ns0:c r="AB557" s="0">
        <ns0:f>IFERROR(IF(AND(T557&gt;0,'_Engine'!C557&gt;0,MID('_Engine'!W557,WEEKDAY(T557,2),1)="W",COUNTIF(Settings!$F$18:$F$67,T557)=0),1,0),0)</ns0:f>
        <ns0:v>0</ns0:v>
      </ns0:c>
      <ns0:c r="AC557" s="0">
        <ns0:f>IF(AND(J557&gt;0,T557&gt;0,W557&lt;=X557),1,0)</ns0:f>
        <ns0:v>0</ns0:v>
      </ns0:c>
      <ns0:c r="AD557" s="0">
        <ns0:f>IF(AND(J557&gt;0,T557&gt;0,Y557&lt;=Z557),1,0)</ns0:f>
        <ns0:v>0</ns0:v>
      </ns0:c>
    </ns0:row>
    <ns0:row r="558">
      <ns0:c r="A558" s="0">
        <ns0:f>IFERROR(IF(ISNUMBER(Bookings!B558),"",TRIM(Bookings!B558&amp;"")),"")</ns0:f>
      </ns0:c>
      <ns0:c r="B558" s="0">
        <ns0:f>IFERROR(SUBSTITUTE(SUBSTITUTE(A558,"/","."),"-","."),"")</ns0:f>
      </ns0:c>
      <ns0:c r="C558" s="0">
        <ns0:f>IFERROR(LEFT(B558,FIND(".",B558)-1),"")</ns0:f>
      </ns0:c>
      <ns0:c r="D558" s="0">
        <ns0:f>IFERROR(MID(B558,FIND(".",B558)+1,FIND(".",B558,FIND(".",B558)+1)-FIND(".",B558)-1),"")</ns0:f>
      </ns0:c>
      <ns0:c r="E558" s="0">
        <ns0:f>IFERROR(MID(B558,FIND(".",B558,FIND(".",B558)+1)+1,99),"")</ns0:f>
        <ns0:v>99</ns0:v>
      </ns0:c>
      <ns0:c r="F558" s="0">
        <ns0:f>IFERROR(IF(FIND(".",B558)=5,--C558,--E558),0)</ns0:f>
        <ns0:v>0</ns0:v>
      </ns0:c>
      <ns0:c r="G558" s="0">
        <ns0:f>IFERROR(--D558,0)</ns0:f>
        <ns0:v>0</ns0:v>
      </ns0:c>
      <ns0:c r="H558" s="0">
        <ns0:f>IFERROR(IF(FIND(".",B558)=5,--E558,--C558),0)</ns0:f>
        <ns0:v>0</ns0:v>
      </ns0:c>
      <ns0:c r="I558" s="0">
        <ns0:f>IFERROR(IF(AND(F558&gt;=2000,F558&lt;=2100,G558&gt;=1,G558&lt;=12,H558&gt;=1,H558&lt;=31),DATE(F558,G558,H558),0),0)</ns0:f>
        <ns0:v>0</ns0:v>
      </ns0:c>
      <ns0:c r="J558" s="0">
        <ns0:f>IFERROR(IF(ISNUMBER(Bookings!B558),IF(AND(Bookings!B558=INT(Bookings!B558),Bookings!B558&gt;=DATE(2000,1,1),Bookings!B558&lt;=DATE(2100,12,31)),Bookings!B558,0),IF(AND(A558&lt;&gt;"",LEN("x"&amp;B558)-LEN(SUBSTITUTE("x"&amp;B558,".",""))=2,OR(1&gt;LEN(B558),MID(B558,1,1)=".",ISNUMBER(FIND("x"&amp;MID(B558,1,1),"x0x1x2x3x4x5x6x7x8x9"))),OR(2&gt;LEN(B558),MID(B558,2,1)=".",ISNUMBER(FIND("x"&amp;MID(B558,2,1),"x0x1x2x3x4x5x6x7x8x9"))),OR(3&gt;LEN(B558),MID(B558,3,1)=".",ISNUMBER(FIND("x"&amp;MID(B558,3,1),"x0x1x2x3x4x5x6x7x8x9"))),OR(4&gt;LEN(B558),MID(B558,4,1)=".",ISNUMBER(FIND("x"&amp;MID(B558,4,1),"x0x1x2x3x4x5x6x7x8x9"))),OR(5&gt;LEN(B558),MID(B558,5,1)=".",ISNUMBER(FIND("x"&amp;MID(B558,5,1),"x0x1x2x3x4x5x6x7x8x9"))),OR(6&gt;LEN(B558),MID(B558,6,1)=".",ISNUMBER(FIND("x"&amp;MID(B558,6,1),"x0x1x2x3x4x5x6x7x8x9"))),OR(7&gt;LEN(B558),MID(B558,7,1)=".",ISNUMBER(FIND("x"&amp;MID(B558,7,1),"x0x1x2x3x4x5x6x7x8x9"))),OR(8&gt;LEN(B558),MID(B558,8,1)=".",ISNUMBER(FIND("x"&amp;MID(B558,8,1),"x0x1x2x3x4x5x6x7x8x9"))),OR(9&gt;LEN(B558),MID(B558,9,1)=".",ISNUMBER(FIND("x"&amp;MID(B558,9,1),"x0x1x2x3x4x5x6x7x8x9"))),OR(10&gt;LEN(B558),MID(B558,10,1)=".",ISNUMBER(FIND("x"&amp;MID(B558,10,1),"x0x1x2x3x4x5x6x7x8x9"))),OR(AND(FIND(".",B558)=5,LEN(B558)-FIND(".",B558,FIND(".",B558)+1)&gt;=1,LEN(B558)-FIND(".",B558,FIND(".",B558)+1)&lt;=2),AND(LEN(B558)-FIND(".",B558,FIND(".",B558)+1)=4,FIND(".",B558)&gt;=2,FIND(".",B558)&lt;=3)),FIND(".",B558,FIND(".",B558)+1)-FIND(".",B558)&gt;=2,FIND(".",B558,FIND(".",B558)+1)-FIND(".",B558)&lt;=3,F558&gt;=2000,F558&lt;=2100,YEAR(I558)=F558,MONTH(I558)=G558,DAY(I558)=H558),I558,0)),0)</ns0:f>
        <ns0:v>0</ns0:v>
      </ns0:c>
      <ns0:c r="K558" s="0">
        <ns0:f>IFERROR(IF(ISNUMBER(Bookings!D558),"",TRIM(Bookings!D558&amp;"")),"")</ns0:f>
      </ns0:c>
      <ns0:c r="L558" s="0">
        <ns0:f>IFERROR(SUBSTITUTE(SUBSTITUTE(K558,"/","."),"-","."),"")</ns0:f>
      </ns0:c>
      <ns0:c r="M558" s="0">
        <ns0:f>IFERROR(LEFT(L558,FIND(".",L558)-1),"")</ns0:f>
      </ns0:c>
      <ns0:c r="N558" s="0">
        <ns0:f>IFERROR(MID(L558,FIND(".",L558)+1,FIND(".",L558,FIND(".",L558)+1)-FIND(".",L558)-1),"")</ns0:f>
      </ns0:c>
      <ns0:c r="O558" s="0">
        <ns0:f>IFERROR(MID(L558,FIND(".",L558,FIND(".",L558)+1)+1,99),"")</ns0:f>
        <ns0:v>99</ns0:v>
      </ns0:c>
      <ns0:c r="P558" s="0">
        <ns0:f>IFERROR(IF(FIND(".",L558)=5,--M558,--O558),0)</ns0:f>
        <ns0:v>0</ns0:v>
      </ns0:c>
      <ns0:c r="Q558" s="0">
        <ns0:f>IFERROR(--N558,0)</ns0:f>
        <ns0:v>0</ns0:v>
      </ns0:c>
      <ns0:c r="R558" s="0">
        <ns0:f>IFERROR(IF(FIND(".",L558)=5,--O558,--M558),0)</ns0:f>
        <ns0:v>0</ns0:v>
      </ns0:c>
      <ns0:c r="S558" s="0">
        <ns0:f>IFERROR(IF(AND(P558&gt;=2000,P558&lt;=2100,Q558&gt;=1,Q558&lt;=12,R558&gt;=1,R558&lt;=31),DATE(P558,Q558,R558),0),0)</ns0:f>
        <ns0:v>0</ns0:v>
      </ns0:c>
      <ns0:c r="T558" s="0">
        <ns0:f>IFERROR(IF(ISNUMBER(Bookings!D558),IF(AND(Bookings!D558=INT(Bookings!D558),Bookings!D558&gt;=DATE(2000,1,1),Bookings!D558&lt;=DATE(2100,12,31)),Bookings!D558,0),IF(AND(K558&lt;&gt;"",LEN("x"&amp;L558)-LEN(SUBSTITUTE("x"&amp;L558,".",""))=2,OR(1&gt;LEN(L558),MID(L558,1,1)=".",ISNUMBER(FIND("x"&amp;MID(L558,1,1),"x0x1x2x3x4x5x6x7x8x9"))),OR(2&gt;LEN(L558),MID(L558,2,1)=".",ISNUMBER(FIND("x"&amp;MID(L558,2,1),"x0x1x2x3x4x5x6x7x8x9"))),OR(3&gt;LEN(L558),MID(L558,3,1)=".",ISNUMBER(FIND("x"&amp;MID(L558,3,1),"x0x1x2x3x4x5x6x7x8x9"))),OR(4&gt;LEN(L558),MID(L558,4,1)=".",ISNUMBER(FIND("x"&amp;MID(L558,4,1),"x0x1x2x3x4x5x6x7x8x9"))),OR(5&gt;LEN(L558),MID(L558,5,1)=".",ISNUMBER(FIND("x"&amp;MID(L558,5,1),"x0x1x2x3x4x5x6x7x8x9"))),OR(6&gt;LEN(L558),MID(L558,6,1)=".",ISNUMBER(FIND("x"&amp;MID(L558,6,1),"x0x1x2x3x4x5x6x7x8x9"))),OR(7&gt;LEN(L558),MID(L558,7,1)=".",ISNUMBER(FIND("x"&amp;MID(L558,7,1),"x0x1x2x3x4x5x6x7x8x9"))),OR(8&gt;LEN(L558),MID(L558,8,1)=".",ISNUMBER(FIND("x"&amp;MID(L558,8,1),"x0x1x2x3x4x5x6x7x8x9"))),OR(9&gt;LEN(L558),MID(L558,9,1)=".",ISNUMBER(FIND("x"&amp;MID(L558,9,1),"x0x1x2x3x4x5x6x7x8x9"))),OR(10&gt;LEN(L558),MID(L558,10,1)=".",ISNUMBER(FIND("x"&amp;MID(L558,10,1),"x0x1x2x3x4x5x6x7x8x9"))),OR(AND(FIND(".",L558)=5,LEN(L558)-FIND(".",L558,FIND(".",L558)+1)&gt;=1,LEN(L558)-FIND(".",L558,FIND(".",L558)+1)&lt;=2),AND(LEN(L558)-FIND(".",L558,FIND(".",L558)+1)=4,FIND(".",L558)&gt;=2,FIND(".",L558)&lt;=3)),FIND(".",L558,FIND(".",L558)+1)-FIND(".",L558)&gt;=2,FIND(".",L558,FIND(".",L558)+1)-FIND(".",L558)&lt;=3,P558&gt;=2000,P558&lt;=2100,YEAR(S558)=P558,MONTH(S558)=Q558,DAY(S558)=R558),S558,0)),0)</ns0:f>
        <ns0:v>0</ns0:v>
      </ns0:c>
      <ns0:c r="U558" s="0" t="str">
        <ns0:f>IF(Bookings!C558="","Full day",Bookings!C558)</ns0:f>
        <ns0:v>Full day</ns0:v>
      </ns0:c>
      <ns0:c r="V558" s="0" t="str">
        <ns0:f>IF(Bookings!E558="","Full day",Bookings!E558)</ns0:f>
        <ns0:v>Full day</ns0:v>
      </ns0:c>
      <ns0:c r="W558" s="0">
        <ns0:f>IF(J558=0,0,J558+IF(U558="PM",1,0))</ns0:f>
        <ns0:v>0</ns0:v>
      </ns0:c>
      <ns0:c r="X558" s="0">
        <ns0:f>IF(T558=0,0,T558-IF(V558="PM",1,0))</ns0:f>
        <ns0:v>0</ns0:v>
      </ns0:c>
      <ns0:c r="Y558" s="0">
        <ns0:f>IF(J558=0,0,J558+IF(U558="AM",1,0))</ns0:f>
        <ns0:v>0</ns0:v>
      </ns0:c>
      <ns0:c r="Z558" s="0">
        <ns0:f>IF(T558=0,0,T558-IF(V558="AM",1,0))</ns0:f>
        <ns0:v>0</ns0:v>
      </ns0:c>
      <ns0:c r="AA558" s="0">
        <ns0:f>IFERROR(IF(AND(J558&gt;0,'_Engine'!C558&gt;0,MID('_Engine'!W558,WEEKDAY(J558,2),1)="W",COUNTIF(Settings!$F$18:$F$67,J558)=0),1,0),0)</ns0:f>
        <ns0:v>0</ns0:v>
      </ns0:c>
      <ns0:c r="AB558" s="0">
        <ns0:f>IFERROR(IF(AND(T558&gt;0,'_Engine'!C558&gt;0,MID('_Engine'!W558,WEEKDAY(T558,2),1)="W",COUNTIF(Settings!$F$18:$F$67,T558)=0),1,0),0)</ns0:f>
        <ns0:v>0</ns0:v>
      </ns0:c>
      <ns0:c r="AC558" s="0">
        <ns0:f>IF(AND(J558&gt;0,T558&gt;0,W558&lt;=X558),1,0)</ns0:f>
        <ns0:v>0</ns0:v>
      </ns0:c>
      <ns0:c r="AD558" s="0">
        <ns0:f>IF(AND(J558&gt;0,T558&gt;0,Y558&lt;=Z558),1,0)</ns0:f>
        <ns0:v>0</ns0:v>
      </ns0:c>
    </ns0:row>
    <ns0:row r="559">
      <ns0:c r="A559" s="0">
        <ns0:f>IFERROR(IF(ISNUMBER(Bookings!B559),"",TRIM(Bookings!B559&amp;"")),"")</ns0:f>
      </ns0:c>
      <ns0:c r="B559" s="0">
        <ns0:f>IFERROR(SUBSTITUTE(SUBSTITUTE(A559,"/","."),"-","."),"")</ns0:f>
      </ns0:c>
      <ns0:c r="C559" s="0">
        <ns0:f>IFERROR(LEFT(B559,FIND(".",B559)-1),"")</ns0:f>
      </ns0:c>
      <ns0:c r="D559" s="0">
        <ns0:f>IFERROR(MID(B559,FIND(".",B559)+1,FIND(".",B559,FIND(".",B559)+1)-FIND(".",B559)-1),"")</ns0:f>
      </ns0:c>
      <ns0:c r="E559" s="0">
        <ns0:f>IFERROR(MID(B559,FIND(".",B559,FIND(".",B559)+1)+1,99),"")</ns0:f>
        <ns0:v>99</ns0:v>
      </ns0:c>
      <ns0:c r="F559" s="0">
        <ns0:f>IFERROR(IF(FIND(".",B559)=5,--C559,--E559),0)</ns0:f>
        <ns0:v>0</ns0:v>
      </ns0:c>
      <ns0:c r="G559" s="0">
        <ns0:f>IFERROR(--D559,0)</ns0:f>
        <ns0:v>0</ns0:v>
      </ns0:c>
      <ns0:c r="H559" s="0">
        <ns0:f>IFERROR(IF(FIND(".",B559)=5,--E559,--C559),0)</ns0:f>
        <ns0:v>0</ns0:v>
      </ns0:c>
      <ns0:c r="I559" s="0">
        <ns0:f>IFERROR(IF(AND(F559&gt;=2000,F559&lt;=2100,G559&gt;=1,G559&lt;=12,H559&gt;=1,H559&lt;=31),DATE(F559,G559,H559),0),0)</ns0:f>
        <ns0:v>0</ns0:v>
      </ns0:c>
      <ns0:c r="J559" s="0">
        <ns0:f>IFERROR(IF(ISNUMBER(Bookings!B559),IF(AND(Bookings!B559=INT(Bookings!B559),Bookings!B559&gt;=DATE(2000,1,1),Bookings!B559&lt;=DATE(2100,12,31)),Bookings!B559,0),IF(AND(A559&lt;&gt;"",LEN("x"&amp;B559)-LEN(SUBSTITUTE("x"&amp;B559,".",""))=2,OR(1&gt;LEN(B559),MID(B559,1,1)=".",ISNUMBER(FIND("x"&amp;MID(B559,1,1),"x0x1x2x3x4x5x6x7x8x9"))),OR(2&gt;LEN(B559),MID(B559,2,1)=".",ISNUMBER(FIND("x"&amp;MID(B559,2,1),"x0x1x2x3x4x5x6x7x8x9"))),OR(3&gt;LEN(B559),MID(B559,3,1)=".",ISNUMBER(FIND("x"&amp;MID(B559,3,1),"x0x1x2x3x4x5x6x7x8x9"))),OR(4&gt;LEN(B559),MID(B559,4,1)=".",ISNUMBER(FIND("x"&amp;MID(B559,4,1),"x0x1x2x3x4x5x6x7x8x9"))),OR(5&gt;LEN(B559),MID(B559,5,1)=".",ISNUMBER(FIND("x"&amp;MID(B559,5,1),"x0x1x2x3x4x5x6x7x8x9"))),OR(6&gt;LEN(B559),MID(B559,6,1)=".",ISNUMBER(FIND("x"&amp;MID(B559,6,1),"x0x1x2x3x4x5x6x7x8x9"))),OR(7&gt;LEN(B559),MID(B559,7,1)=".",ISNUMBER(FIND("x"&amp;MID(B559,7,1),"x0x1x2x3x4x5x6x7x8x9"))),OR(8&gt;LEN(B559),MID(B559,8,1)=".",ISNUMBER(FIND("x"&amp;MID(B559,8,1),"x0x1x2x3x4x5x6x7x8x9"))),OR(9&gt;LEN(B559),MID(B559,9,1)=".",ISNUMBER(FIND("x"&amp;MID(B559,9,1),"x0x1x2x3x4x5x6x7x8x9"))),OR(10&gt;LEN(B559),MID(B559,10,1)=".",ISNUMBER(FIND("x"&amp;MID(B559,10,1),"x0x1x2x3x4x5x6x7x8x9"))),OR(AND(FIND(".",B559)=5,LEN(B559)-FIND(".",B559,FIND(".",B559)+1)&gt;=1,LEN(B559)-FIND(".",B559,FIND(".",B559)+1)&lt;=2),AND(LEN(B559)-FIND(".",B559,FIND(".",B559)+1)=4,FIND(".",B559)&gt;=2,FIND(".",B559)&lt;=3)),FIND(".",B559,FIND(".",B559)+1)-FIND(".",B559)&gt;=2,FIND(".",B559,FIND(".",B559)+1)-FIND(".",B559)&lt;=3,F559&gt;=2000,F559&lt;=2100,YEAR(I559)=F559,MONTH(I559)=G559,DAY(I559)=H559),I559,0)),0)</ns0:f>
        <ns0:v>0</ns0:v>
      </ns0:c>
      <ns0:c r="K559" s="0">
        <ns0:f>IFERROR(IF(ISNUMBER(Bookings!D559),"",TRIM(Bookings!D559&amp;"")),"")</ns0:f>
      </ns0:c>
      <ns0:c r="L559" s="0">
        <ns0:f>IFERROR(SUBSTITUTE(SUBSTITUTE(K559,"/","."),"-","."),"")</ns0:f>
      </ns0:c>
      <ns0:c r="M559" s="0">
        <ns0:f>IFERROR(LEFT(L559,FIND(".",L559)-1),"")</ns0:f>
      </ns0:c>
      <ns0:c r="N559" s="0">
        <ns0:f>IFERROR(MID(L559,FIND(".",L559)+1,FIND(".",L559,FIND(".",L559)+1)-FIND(".",L559)-1),"")</ns0:f>
      </ns0:c>
      <ns0:c r="O559" s="0">
        <ns0:f>IFERROR(MID(L559,FIND(".",L559,FIND(".",L559)+1)+1,99),"")</ns0:f>
        <ns0:v>99</ns0:v>
      </ns0:c>
      <ns0:c r="P559" s="0">
        <ns0:f>IFERROR(IF(FIND(".",L559)=5,--M559,--O559),0)</ns0:f>
        <ns0:v>0</ns0:v>
      </ns0:c>
      <ns0:c r="Q559" s="0">
        <ns0:f>IFERROR(--N559,0)</ns0:f>
        <ns0:v>0</ns0:v>
      </ns0:c>
      <ns0:c r="R559" s="0">
        <ns0:f>IFERROR(IF(FIND(".",L559)=5,--O559,--M559),0)</ns0:f>
        <ns0:v>0</ns0:v>
      </ns0:c>
      <ns0:c r="S559" s="0">
        <ns0:f>IFERROR(IF(AND(P559&gt;=2000,P559&lt;=2100,Q559&gt;=1,Q559&lt;=12,R559&gt;=1,R559&lt;=31),DATE(P559,Q559,R559),0),0)</ns0:f>
        <ns0:v>0</ns0:v>
      </ns0:c>
      <ns0:c r="T559" s="0">
        <ns0:f>IFERROR(IF(ISNUMBER(Bookings!D559),IF(AND(Bookings!D559=INT(Bookings!D559),Bookings!D559&gt;=DATE(2000,1,1),Bookings!D559&lt;=DATE(2100,12,31)),Bookings!D559,0),IF(AND(K559&lt;&gt;"",LEN("x"&amp;L559)-LEN(SUBSTITUTE("x"&amp;L559,".",""))=2,OR(1&gt;LEN(L559),MID(L559,1,1)=".",ISNUMBER(FIND("x"&amp;MID(L559,1,1),"x0x1x2x3x4x5x6x7x8x9"))),OR(2&gt;LEN(L559),MID(L559,2,1)=".",ISNUMBER(FIND("x"&amp;MID(L559,2,1),"x0x1x2x3x4x5x6x7x8x9"))),OR(3&gt;LEN(L559),MID(L559,3,1)=".",ISNUMBER(FIND("x"&amp;MID(L559,3,1),"x0x1x2x3x4x5x6x7x8x9"))),OR(4&gt;LEN(L559),MID(L559,4,1)=".",ISNUMBER(FIND("x"&amp;MID(L559,4,1),"x0x1x2x3x4x5x6x7x8x9"))),OR(5&gt;LEN(L559),MID(L559,5,1)=".",ISNUMBER(FIND("x"&amp;MID(L559,5,1),"x0x1x2x3x4x5x6x7x8x9"))),OR(6&gt;LEN(L559),MID(L559,6,1)=".",ISNUMBER(FIND("x"&amp;MID(L559,6,1),"x0x1x2x3x4x5x6x7x8x9"))),OR(7&gt;LEN(L559),MID(L559,7,1)=".",ISNUMBER(FIND("x"&amp;MID(L559,7,1),"x0x1x2x3x4x5x6x7x8x9"))),OR(8&gt;LEN(L559),MID(L559,8,1)=".",ISNUMBER(FIND("x"&amp;MID(L559,8,1),"x0x1x2x3x4x5x6x7x8x9"))),OR(9&gt;LEN(L559),MID(L559,9,1)=".",ISNUMBER(FIND("x"&amp;MID(L559,9,1),"x0x1x2x3x4x5x6x7x8x9"))),OR(10&gt;LEN(L559),MID(L559,10,1)=".",ISNUMBER(FIND("x"&amp;MID(L559,10,1),"x0x1x2x3x4x5x6x7x8x9"))),OR(AND(FIND(".",L559)=5,LEN(L559)-FIND(".",L559,FIND(".",L559)+1)&gt;=1,LEN(L559)-FIND(".",L559,FIND(".",L559)+1)&lt;=2),AND(LEN(L559)-FIND(".",L559,FIND(".",L559)+1)=4,FIND(".",L559)&gt;=2,FIND(".",L559)&lt;=3)),FIND(".",L559,FIND(".",L559)+1)-FIND(".",L559)&gt;=2,FIND(".",L559,FIND(".",L559)+1)-FIND(".",L559)&lt;=3,P559&gt;=2000,P559&lt;=2100,YEAR(S559)=P559,MONTH(S559)=Q559,DAY(S559)=R559),S559,0)),0)</ns0:f>
        <ns0:v>0</ns0:v>
      </ns0:c>
      <ns0:c r="U559" s="0" t="str">
        <ns0:f>IF(Bookings!C559="","Full day",Bookings!C559)</ns0:f>
        <ns0:v>Full day</ns0:v>
      </ns0:c>
      <ns0:c r="V559" s="0" t="str">
        <ns0:f>IF(Bookings!E559="","Full day",Bookings!E559)</ns0:f>
        <ns0:v>Full day</ns0:v>
      </ns0:c>
      <ns0:c r="W559" s="0">
        <ns0:f>IF(J559=0,0,J559+IF(U559="PM",1,0))</ns0:f>
        <ns0:v>0</ns0:v>
      </ns0:c>
      <ns0:c r="X559" s="0">
        <ns0:f>IF(T559=0,0,T559-IF(V559="PM",1,0))</ns0:f>
        <ns0:v>0</ns0:v>
      </ns0:c>
      <ns0:c r="Y559" s="0">
        <ns0:f>IF(J559=0,0,J559+IF(U559="AM",1,0))</ns0:f>
        <ns0:v>0</ns0:v>
      </ns0:c>
      <ns0:c r="Z559" s="0">
        <ns0:f>IF(T559=0,0,T559-IF(V559="AM",1,0))</ns0:f>
        <ns0:v>0</ns0:v>
      </ns0:c>
      <ns0:c r="AA559" s="0">
        <ns0:f>IFERROR(IF(AND(J559&gt;0,'_Engine'!C559&gt;0,MID('_Engine'!W559,WEEKDAY(J559,2),1)="W",COUNTIF(Settings!$F$18:$F$67,J559)=0),1,0),0)</ns0:f>
        <ns0:v>0</ns0:v>
      </ns0:c>
      <ns0:c r="AB559" s="0">
        <ns0:f>IFERROR(IF(AND(T559&gt;0,'_Engine'!C559&gt;0,MID('_Engine'!W559,WEEKDAY(T559,2),1)="W",COUNTIF(Settings!$F$18:$F$67,T559)=0),1,0),0)</ns0:f>
        <ns0:v>0</ns0:v>
      </ns0:c>
      <ns0:c r="AC559" s="0">
        <ns0:f>IF(AND(J559&gt;0,T559&gt;0,W559&lt;=X559),1,0)</ns0:f>
        <ns0:v>0</ns0:v>
      </ns0:c>
      <ns0:c r="AD559" s="0">
        <ns0:f>IF(AND(J559&gt;0,T559&gt;0,Y559&lt;=Z559),1,0)</ns0:f>
        <ns0:v>0</ns0:v>
      </ns0:c>
    </ns0:row>
    <ns0:row r="560">
      <ns0:c r="A560" s="0">
        <ns0:f>IFERROR(IF(ISNUMBER(Bookings!B560),"",TRIM(Bookings!B560&amp;"")),"")</ns0:f>
      </ns0:c>
      <ns0:c r="B560" s="0">
        <ns0:f>IFERROR(SUBSTITUTE(SUBSTITUTE(A560,"/","."),"-","."),"")</ns0:f>
      </ns0:c>
      <ns0:c r="C560" s="0">
        <ns0:f>IFERROR(LEFT(B560,FIND(".",B560)-1),"")</ns0:f>
      </ns0:c>
      <ns0:c r="D560" s="0">
        <ns0:f>IFERROR(MID(B560,FIND(".",B560)+1,FIND(".",B560,FIND(".",B560)+1)-FIND(".",B560)-1),"")</ns0:f>
      </ns0:c>
      <ns0:c r="E560" s="0">
        <ns0:f>IFERROR(MID(B560,FIND(".",B560,FIND(".",B560)+1)+1,99),"")</ns0:f>
        <ns0:v>99</ns0:v>
      </ns0:c>
      <ns0:c r="F560" s="0">
        <ns0:f>IFERROR(IF(FIND(".",B560)=5,--C560,--E560),0)</ns0:f>
        <ns0:v>0</ns0:v>
      </ns0:c>
      <ns0:c r="G560" s="0">
        <ns0:f>IFERROR(--D560,0)</ns0:f>
        <ns0:v>0</ns0:v>
      </ns0:c>
      <ns0:c r="H560" s="0">
        <ns0:f>IFERROR(IF(FIND(".",B560)=5,--E560,--C560),0)</ns0:f>
        <ns0:v>0</ns0:v>
      </ns0:c>
      <ns0:c r="I560" s="0">
        <ns0:f>IFERROR(IF(AND(F560&gt;=2000,F560&lt;=2100,G560&gt;=1,G560&lt;=12,H560&gt;=1,H560&lt;=31),DATE(F560,G560,H560),0),0)</ns0:f>
        <ns0:v>0</ns0:v>
      </ns0:c>
      <ns0:c r="J560" s="0">
        <ns0:f>IFERROR(IF(ISNUMBER(Bookings!B560),IF(AND(Bookings!B560=INT(Bookings!B560),Bookings!B560&gt;=DATE(2000,1,1),Bookings!B560&lt;=DATE(2100,12,31)),Bookings!B560,0),IF(AND(A560&lt;&gt;"",LEN("x"&amp;B560)-LEN(SUBSTITUTE("x"&amp;B560,".",""))=2,OR(1&gt;LEN(B560),MID(B560,1,1)=".",ISNUMBER(FIND("x"&amp;MID(B560,1,1),"x0x1x2x3x4x5x6x7x8x9"))),OR(2&gt;LEN(B560),MID(B560,2,1)=".",ISNUMBER(FIND("x"&amp;MID(B560,2,1),"x0x1x2x3x4x5x6x7x8x9"))),OR(3&gt;LEN(B560),MID(B560,3,1)=".",ISNUMBER(FIND("x"&amp;MID(B560,3,1),"x0x1x2x3x4x5x6x7x8x9"))),OR(4&gt;LEN(B560),MID(B560,4,1)=".",ISNUMBER(FIND("x"&amp;MID(B560,4,1),"x0x1x2x3x4x5x6x7x8x9"))),OR(5&gt;LEN(B560),MID(B560,5,1)=".",ISNUMBER(FIND("x"&amp;MID(B560,5,1),"x0x1x2x3x4x5x6x7x8x9"))),OR(6&gt;LEN(B560),MID(B560,6,1)=".",ISNUMBER(FIND("x"&amp;MID(B560,6,1),"x0x1x2x3x4x5x6x7x8x9"))),OR(7&gt;LEN(B560),MID(B560,7,1)=".",ISNUMBER(FIND("x"&amp;MID(B560,7,1),"x0x1x2x3x4x5x6x7x8x9"))),OR(8&gt;LEN(B560),MID(B560,8,1)=".",ISNUMBER(FIND("x"&amp;MID(B560,8,1),"x0x1x2x3x4x5x6x7x8x9"))),OR(9&gt;LEN(B560),MID(B560,9,1)=".",ISNUMBER(FIND("x"&amp;MID(B560,9,1),"x0x1x2x3x4x5x6x7x8x9"))),OR(10&gt;LEN(B560),MID(B560,10,1)=".",ISNUMBER(FIND("x"&amp;MID(B560,10,1),"x0x1x2x3x4x5x6x7x8x9"))),OR(AND(FIND(".",B560)=5,LEN(B560)-FIND(".",B560,FIND(".",B560)+1)&gt;=1,LEN(B560)-FIND(".",B560,FIND(".",B560)+1)&lt;=2),AND(LEN(B560)-FIND(".",B560,FIND(".",B560)+1)=4,FIND(".",B560)&gt;=2,FIND(".",B560)&lt;=3)),FIND(".",B560,FIND(".",B560)+1)-FIND(".",B560)&gt;=2,FIND(".",B560,FIND(".",B560)+1)-FIND(".",B560)&lt;=3,F560&gt;=2000,F560&lt;=2100,YEAR(I560)=F560,MONTH(I560)=G560,DAY(I560)=H560),I560,0)),0)</ns0:f>
        <ns0:v>0</ns0:v>
      </ns0:c>
      <ns0:c r="K560" s="0">
        <ns0:f>IFERROR(IF(ISNUMBER(Bookings!D560),"",TRIM(Bookings!D560&amp;"")),"")</ns0:f>
      </ns0:c>
      <ns0:c r="L560" s="0">
        <ns0:f>IFERROR(SUBSTITUTE(SUBSTITUTE(K560,"/","."),"-","."),"")</ns0:f>
      </ns0:c>
      <ns0:c r="M560" s="0">
        <ns0:f>IFERROR(LEFT(L560,FIND(".",L560)-1),"")</ns0:f>
      </ns0:c>
      <ns0:c r="N560" s="0">
        <ns0:f>IFERROR(MID(L560,FIND(".",L560)+1,FIND(".",L560,FIND(".",L560)+1)-FIND(".",L560)-1),"")</ns0:f>
      </ns0:c>
      <ns0:c r="O560" s="0">
        <ns0:f>IFERROR(MID(L560,FIND(".",L560,FIND(".",L560)+1)+1,99),"")</ns0:f>
        <ns0:v>99</ns0:v>
      </ns0:c>
      <ns0:c r="P560" s="0">
        <ns0:f>IFERROR(IF(FIND(".",L560)=5,--M560,--O560),0)</ns0:f>
        <ns0:v>0</ns0:v>
      </ns0:c>
      <ns0:c r="Q560" s="0">
        <ns0:f>IFERROR(--N560,0)</ns0:f>
        <ns0:v>0</ns0:v>
      </ns0:c>
      <ns0:c r="R560" s="0">
        <ns0:f>IFERROR(IF(FIND(".",L560)=5,--O560,--M560),0)</ns0:f>
        <ns0:v>0</ns0:v>
      </ns0:c>
      <ns0:c r="S560" s="0">
        <ns0:f>IFERROR(IF(AND(P560&gt;=2000,P560&lt;=2100,Q560&gt;=1,Q560&lt;=12,R560&gt;=1,R560&lt;=31),DATE(P560,Q560,R560),0),0)</ns0:f>
        <ns0:v>0</ns0:v>
      </ns0:c>
      <ns0:c r="T560" s="0">
        <ns0:f>IFERROR(IF(ISNUMBER(Bookings!D560),IF(AND(Bookings!D560=INT(Bookings!D560),Bookings!D560&gt;=DATE(2000,1,1),Bookings!D560&lt;=DATE(2100,12,31)),Bookings!D560,0),IF(AND(K560&lt;&gt;"",LEN("x"&amp;L560)-LEN(SUBSTITUTE("x"&amp;L560,".",""))=2,OR(1&gt;LEN(L560),MID(L560,1,1)=".",ISNUMBER(FIND("x"&amp;MID(L560,1,1),"x0x1x2x3x4x5x6x7x8x9"))),OR(2&gt;LEN(L560),MID(L560,2,1)=".",ISNUMBER(FIND("x"&amp;MID(L560,2,1),"x0x1x2x3x4x5x6x7x8x9"))),OR(3&gt;LEN(L560),MID(L560,3,1)=".",ISNUMBER(FIND("x"&amp;MID(L560,3,1),"x0x1x2x3x4x5x6x7x8x9"))),OR(4&gt;LEN(L560),MID(L560,4,1)=".",ISNUMBER(FIND("x"&amp;MID(L560,4,1),"x0x1x2x3x4x5x6x7x8x9"))),OR(5&gt;LEN(L560),MID(L560,5,1)=".",ISNUMBER(FIND("x"&amp;MID(L560,5,1),"x0x1x2x3x4x5x6x7x8x9"))),OR(6&gt;LEN(L560),MID(L560,6,1)=".",ISNUMBER(FIND("x"&amp;MID(L560,6,1),"x0x1x2x3x4x5x6x7x8x9"))),OR(7&gt;LEN(L560),MID(L560,7,1)=".",ISNUMBER(FIND("x"&amp;MID(L560,7,1),"x0x1x2x3x4x5x6x7x8x9"))),OR(8&gt;LEN(L560),MID(L560,8,1)=".",ISNUMBER(FIND("x"&amp;MID(L560,8,1),"x0x1x2x3x4x5x6x7x8x9"))),OR(9&gt;LEN(L560),MID(L560,9,1)=".",ISNUMBER(FIND("x"&amp;MID(L560,9,1),"x0x1x2x3x4x5x6x7x8x9"))),OR(10&gt;LEN(L560),MID(L560,10,1)=".",ISNUMBER(FIND("x"&amp;MID(L560,10,1),"x0x1x2x3x4x5x6x7x8x9"))),OR(AND(FIND(".",L560)=5,LEN(L560)-FIND(".",L560,FIND(".",L560)+1)&gt;=1,LEN(L560)-FIND(".",L560,FIND(".",L560)+1)&lt;=2),AND(LEN(L560)-FIND(".",L560,FIND(".",L560)+1)=4,FIND(".",L560)&gt;=2,FIND(".",L560)&lt;=3)),FIND(".",L560,FIND(".",L560)+1)-FIND(".",L560)&gt;=2,FIND(".",L560,FIND(".",L560)+1)-FIND(".",L560)&lt;=3,P560&gt;=2000,P560&lt;=2100,YEAR(S560)=P560,MONTH(S560)=Q560,DAY(S560)=R560),S560,0)),0)</ns0:f>
        <ns0:v>0</ns0:v>
      </ns0:c>
      <ns0:c r="U560" s="0" t="str">
        <ns0:f>IF(Bookings!C560="","Full day",Bookings!C560)</ns0:f>
        <ns0:v>Full day</ns0:v>
      </ns0:c>
      <ns0:c r="V560" s="0" t="str">
        <ns0:f>IF(Bookings!E560="","Full day",Bookings!E560)</ns0:f>
        <ns0:v>Full day</ns0:v>
      </ns0:c>
      <ns0:c r="W560" s="0">
        <ns0:f>IF(J560=0,0,J560+IF(U560="PM",1,0))</ns0:f>
        <ns0:v>0</ns0:v>
      </ns0:c>
      <ns0:c r="X560" s="0">
        <ns0:f>IF(T560=0,0,T560-IF(V560="PM",1,0))</ns0:f>
        <ns0:v>0</ns0:v>
      </ns0:c>
      <ns0:c r="Y560" s="0">
        <ns0:f>IF(J560=0,0,J560+IF(U560="AM",1,0))</ns0:f>
        <ns0:v>0</ns0:v>
      </ns0:c>
      <ns0:c r="Z560" s="0">
        <ns0:f>IF(T560=0,0,T560-IF(V560="AM",1,0))</ns0:f>
        <ns0:v>0</ns0:v>
      </ns0:c>
      <ns0:c r="AA560" s="0">
        <ns0:f>IFERROR(IF(AND(J560&gt;0,'_Engine'!C560&gt;0,MID('_Engine'!W560,WEEKDAY(J560,2),1)="W",COUNTIF(Settings!$F$18:$F$67,J560)=0),1,0),0)</ns0:f>
        <ns0:v>0</ns0:v>
      </ns0:c>
      <ns0:c r="AB560" s="0">
        <ns0:f>IFERROR(IF(AND(T560&gt;0,'_Engine'!C560&gt;0,MID('_Engine'!W560,WEEKDAY(T560,2),1)="W",COUNTIF(Settings!$F$18:$F$67,T560)=0),1,0),0)</ns0:f>
        <ns0:v>0</ns0:v>
      </ns0:c>
      <ns0:c r="AC560" s="0">
        <ns0:f>IF(AND(J560&gt;0,T560&gt;0,W560&lt;=X560),1,0)</ns0:f>
        <ns0:v>0</ns0:v>
      </ns0:c>
      <ns0:c r="AD560" s="0">
        <ns0:f>IF(AND(J560&gt;0,T560&gt;0,Y560&lt;=Z560),1,0)</ns0:f>
        <ns0:v>0</ns0:v>
      </ns0:c>
    </ns0:row>
    <ns0:row r="561">
      <ns0:c r="A561" s="0">
        <ns0:f>IFERROR(IF(ISNUMBER(Bookings!B561),"",TRIM(Bookings!B561&amp;"")),"")</ns0:f>
      </ns0:c>
      <ns0:c r="B561" s="0">
        <ns0:f>IFERROR(SUBSTITUTE(SUBSTITUTE(A561,"/","."),"-","."),"")</ns0:f>
      </ns0:c>
      <ns0:c r="C561" s="0">
        <ns0:f>IFERROR(LEFT(B561,FIND(".",B561)-1),"")</ns0:f>
      </ns0:c>
      <ns0:c r="D561" s="0">
        <ns0:f>IFERROR(MID(B561,FIND(".",B561)+1,FIND(".",B561,FIND(".",B561)+1)-FIND(".",B561)-1),"")</ns0:f>
      </ns0:c>
      <ns0:c r="E561" s="0">
        <ns0:f>IFERROR(MID(B561,FIND(".",B561,FIND(".",B561)+1)+1,99),"")</ns0:f>
        <ns0:v>99</ns0:v>
      </ns0:c>
      <ns0:c r="F561" s="0">
        <ns0:f>IFERROR(IF(FIND(".",B561)=5,--C561,--E561),0)</ns0:f>
        <ns0:v>0</ns0:v>
      </ns0:c>
      <ns0:c r="G561" s="0">
        <ns0:f>IFERROR(--D561,0)</ns0:f>
        <ns0:v>0</ns0:v>
      </ns0:c>
      <ns0:c r="H561" s="0">
        <ns0:f>IFERROR(IF(FIND(".",B561)=5,--E561,--C561),0)</ns0:f>
        <ns0:v>0</ns0:v>
      </ns0:c>
      <ns0:c r="I561" s="0">
        <ns0:f>IFERROR(IF(AND(F561&gt;=2000,F561&lt;=2100,G561&gt;=1,G561&lt;=12,H561&gt;=1,H561&lt;=31),DATE(F561,G561,H561),0),0)</ns0:f>
        <ns0:v>0</ns0:v>
      </ns0:c>
      <ns0:c r="J561" s="0">
        <ns0:f>IFERROR(IF(ISNUMBER(Bookings!B561),IF(AND(Bookings!B561=INT(Bookings!B561),Bookings!B561&gt;=DATE(2000,1,1),Bookings!B561&lt;=DATE(2100,12,31)),Bookings!B561,0),IF(AND(A561&lt;&gt;"",LEN("x"&amp;B561)-LEN(SUBSTITUTE("x"&amp;B561,".",""))=2,OR(1&gt;LEN(B561),MID(B561,1,1)=".",ISNUMBER(FIND("x"&amp;MID(B561,1,1),"x0x1x2x3x4x5x6x7x8x9"))),OR(2&gt;LEN(B561),MID(B561,2,1)=".",ISNUMBER(FIND("x"&amp;MID(B561,2,1),"x0x1x2x3x4x5x6x7x8x9"))),OR(3&gt;LEN(B561),MID(B561,3,1)=".",ISNUMBER(FIND("x"&amp;MID(B561,3,1),"x0x1x2x3x4x5x6x7x8x9"))),OR(4&gt;LEN(B561),MID(B561,4,1)=".",ISNUMBER(FIND("x"&amp;MID(B561,4,1),"x0x1x2x3x4x5x6x7x8x9"))),OR(5&gt;LEN(B561),MID(B561,5,1)=".",ISNUMBER(FIND("x"&amp;MID(B561,5,1),"x0x1x2x3x4x5x6x7x8x9"))),OR(6&gt;LEN(B561),MID(B561,6,1)=".",ISNUMBER(FIND("x"&amp;MID(B561,6,1),"x0x1x2x3x4x5x6x7x8x9"))),OR(7&gt;LEN(B561),MID(B561,7,1)=".",ISNUMBER(FIND("x"&amp;MID(B561,7,1),"x0x1x2x3x4x5x6x7x8x9"))),OR(8&gt;LEN(B561),MID(B561,8,1)=".",ISNUMBER(FIND("x"&amp;MID(B561,8,1),"x0x1x2x3x4x5x6x7x8x9"))),OR(9&gt;LEN(B561),MID(B561,9,1)=".",ISNUMBER(FIND("x"&amp;MID(B561,9,1),"x0x1x2x3x4x5x6x7x8x9"))),OR(10&gt;LEN(B561),MID(B561,10,1)=".",ISNUMBER(FIND("x"&amp;MID(B561,10,1),"x0x1x2x3x4x5x6x7x8x9"))),OR(AND(FIND(".",B561)=5,LEN(B561)-FIND(".",B561,FIND(".",B561)+1)&gt;=1,LEN(B561)-FIND(".",B561,FIND(".",B561)+1)&lt;=2),AND(LEN(B561)-FIND(".",B561,FIND(".",B561)+1)=4,FIND(".",B561)&gt;=2,FIND(".",B561)&lt;=3)),FIND(".",B561,FIND(".",B561)+1)-FIND(".",B561)&gt;=2,FIND(".",B561,FIND(".",B561)+1)-FIND(".",B561)&lt;=3,F561&gt;=2000,F561&lt;=2100,YEAR(I561)=F561,MONTH(I561)=G561,DAY(I561)=H561),I561,0)),0)</ns0:f>
        <ns0:v>0</ns0:v>
      </ns0:c>
      <ns0:c r="K561" s="0">
        <ns0:f>IFERROR(IF(ISNUMBER(Bookings!D561),"",TRIM(Bookings!D561&amp;"")),"")</ns0:f>
      </ns0:c>
      <ns0:c r="L561" s="0">
        <ns0:f>IFERROR(SUBSTITUTE(SUBSTITUTE(K561,"/","."),"-","."),"")</ns0:f>
      </ns0:c>
      <ns0:c r="M561" s="0">
        <ns0:f>IFERROR(LEFT(L561,FIND(".",L561)-1),"")</ns0:f>
      </ns0:c>
      <ns0:c r="N561" s="0">
        <ns0:f>IFERROR(MID(L561,FIND(".",L561)+1,FIND(".",L561,FIND(".",L561)+1)-FIND(".",L561)-1),"")</ns0:f>
      </ns0:c>
      <ns0:c r="O561" s="0">
        <ns0:f>IFERROR(MID(L561,FIND(".",L561,FIND(".",L561)+1)+1,99),"")</ns0:f>
        <ns0:v>99</ns0:v>
      </ns0:c>
      <ns0:c r="P561" s="0">
        <ns0:f>IFERROR(IF(FIND(".",L561)=5,--M561,--O561),0)</ns0:f>
        <ns0:v>0</ns0:v>
      </ns0:c>
      <ns0:c r="Q561" s="0">
        <ns0:f>IFERROR(--N561,0)</ns0:f>
        <ns0:v>0</ns0:v>
      </ns0:c>
      <ns0:c r="R561" s="0">
        <ns0:f>IFERROR(IF(FIND(".",L561)=5,--O561,--M561),0)</ns0:f>
        <ns0:v>0</ns0:v>
      </ns0:c>
      <ns0:c r="S561" s="0">
        <ns0:f>IFERROR(IF(AND(P561&gt;=2000,P561&lt;=2100,Q561&gt;=1,Q561&lt;=12,R561&gt;=1,R561&lt;=31),DATE(P561,Q561,R561),0),0)</ns0:f>
        <ns0:v>0</ns0:v>
      </ns0:c>
      <ns0:c r="T561" s="0">
        <ns0:f>IFERROR(IF(ISNUMBER(Bookings!D561),IF(AND(Bookings!D561=INT(Bookings!D561),Bookings!D561&gt;=DATE(2000,1,1),Bookings!D561&lt;=DATE(2100,12,31)),Bookings!D561,0),IF(AND(K561&lt;&gt;"",LEN("x"&amp;L561)-LEN(SUBSTITUTE("x"&amp;L561,".",""))=2,OR(1&gt;LEN(L561),MID(L561,1,1)=".",ISNUMBER(FIND("x"&amp;MID(L561,1,1),"x0x1x2x3x4x5x6x7x8x9"))),OR(2&gt;LEN(L561),MID(L561,2,1)=".",ISNUMBER(FIND("x"&amp;MID(L561,2,1),"x0x1x2x3x4x5x6x7x8x9"))),OR(3&gt;LEN(L561),MID(L561,3,1)=".",ISNUMBER(FIND("x"&amp;MID(L561,3,1),"x0x1x2x3x4x5x6x7x8x9"))),OR(4&gt;LEN(L561),MID(L561,4,1)=".",ISNUMBER(FIND("x"&amp;MID(L561,4,1),"x0x1x2x3x4x5x6x7x8x9"))),OR(5&gt;LEN(L561),MID(L561,5,1)=".",ISNUMBER(FIND("x"&amp;MID(L561,5,1),"x0x1x2x3x4x5x6x7x8x9"))),OR(6&gt;LEN(L561),MID(L561,6,1)=".",ISNUMBER(FIND("x"&amp;MID(L561,6,1),"x0x1x2x3x4x5x6x7x8x9"))),OR(7&gt;LEN(L561),MID(L561,7,1)=".",ISNUMBER(FIND("x"&amp;MID(L561,7,1),"x0x1x2x3x4x5x6x7x8x9"))),OR(8&gt;LEN(L561),MID(L561,8,1)=".",ISNUMBER(FIND("x"&amp;MID(L561,8,1),"x0x1x2x3x4x5x6x7x8x9"))),OR(9&gt;LEN(L561),MID(L561,9,1)=".",ISNUMBER(FIND("x"&amp;MID(L561,9,1),"x0x1x2x3x4x5x6x7x8x9"))),OR(10&gt;LEN(L561),MID(L561,10,1)=".",ISNUMBER(FIND("x"&amp;MID(L561,10,1),"x0x1x2x3x4x5x6x7x8x9"))),OR(AND(FIND(".",L561)=5,LEN(L561)-FIND(".",L561,FIND(".",L561)+1)&gt;=1,LEN(L561)-FIND(".",L561,FIND(".",L561)+1)&lt;=2),AND(LEN(L561)-FIND(".",L561,FIND(".",L561)+1)=4,FIND(".",L561)&gt;=2,FIND(".",L561)&lt;=3)),FIND(".",L561,FIND(".",L561)+1)-FIND(".",L561)&gt;=2,FIND(".",L561,FIND(".",L561)+1)-FIND(".",L561)&lt;=3,P561&gt;=2000,P561&lt;=2100,YEAR(S561)=P561,MONTH(S561)=Q561,DAY(S561)=R561),S561,0)),0)</ns0:f>
        <ns0:v>0</ns0:v>
      </ns0:c>
      <ns0:c r="U561" s="0" t="str">
        <ns0:f>IF(Bookings!C561="","Full day",Bookings!C561)</ns0:f>
        <ns0:v>Full day</ns0:v>
      </ns0:c>
      <ns0:c r="V561" s="0" t="str">
        <ns0:f>IF(Bookings!E561="","Full day",Bookings!E561)</ns0:f>
        <ns0:v>Full day</ns0:v>
      </ns0:c>
      <ns0:c r="W561" s="0">
        <ns0:f>IF(J561=0,0,J561+IF(U561="PM",1,0))</ns0:f>
        <ns0:v>0</ns0:v>
      </ns0:c>
      <ns0:c r="X561" s="0">
        <ns0:f>IF(T561=0,0,T561-IF(V561="PM",1,0))</ns0:f>
        <ns0:v>0</ns0:v>
      </ns0:c>
      <ns0:c r="Y561" s="0">
        <ns0:f>IF(J561=0,0,J561+IF(U561="AM",1,0))</ns0:f>
        <ns0:v>0</ns0:v>
      </ns0:c>
      <ns0:c r="Z561" s="0">
        <ns0:f>IF(T561=0,0,T561-IF(V561="AM",1,0))</ns0:f>
        <ns0:v>0</ns0:v>
      </ns0:c>
      <ns0:c r="AA561" s="0">
        <ns0:f>IFERROR(IF(AND(J561&gt;0,'_Engine'!C561&gt;0,MID('_Engine'!W561,WEEKDAY(J561,2),1)="W",COUNTIF(Settings!$F$18:$F$67,J561)=0),1,0),0)</ns0:f>
        <ns0:v>0</ns0:v>
      </ns0:c>
      <ns0:c r="AB561" s="0">
        <ns0:f>IFERROR(IF(AND(T561&gt;0,'_Engine'!C561&gt;0,MID('_Engine'!W561,WEEKDAY(T561,2),1)="W",COUNTIF(Settings!$F$18:$F$67,T561)=0),1,0),0)</ns0:f>
        <ns0:v>0</ns0:v>
      </ns0:c>
      <ns0:c r="AC561" s="0">
        <ns0:f>IF(AND(J561&gt;0,T561&gt;0,W561&lt;=X561),1,0)</ns0:f>
        <ns0:v>0</ns0:v>
      </ns0:c>
      <ns0:c r="AD561" s="0">
        <ns0:f>IF(AND(J561&gt;0,T561&gt;0,Y561&lt;=Z561),1,0)</ns0:f>
        <ns0:v>0</ns0:v>
      </ns0:c>
    </ns0:row>
    <ns0:row r="562">
      <ns0:c r="A562" s="0">
        <ns0:f>IFERROR(IF(ISNUMBER(Bookings!B562),"",TRIM(Bookings!B562&amp;"")),"")</ns0:f>
      </ns0:c>
      <ns0:c r="B562" s="0">
        <ns0:f>IFERROR(SUBSTITUTE(SUBSTITUTE(A562,"/","."),"-","."),"")</ns0:f>
      </ns0:c>
      <ns0:c r="C562" s="0">
        <ns0:f>IFERROR(LEFT(B562,FIND(".",B562)-1),"")</ns0:f>
      </ns0:c>
      <ns0:c r="D562" s="0">
        <ns0:f>IFERROR(MID(B562,FIND(".",B562)+1,FIND(".",B562,FIND(".",B562)+1)-FIND(".",B562)-1),"")</ns0:f>
      </ns0:c>
      <ns0:c r="E562" s="0">
        <ns0:f>IFERROR(MID(B562,FIND(".",B562,FIND(".",B562)+1)+1,99),"")</ns0:f>
        <ns0:v>99</ns0:v>
      </ns0:c>
      <ns0:c r="F562" s="0">
        <ns0:f>IFERROR(IF(FIND(".",B562)=5,--C562,--E562),0)</ns0:f>
        <ns0:v>0</ns0:v>
      </ns0:c>
      <ns0:c r="G562" s="0">
        <ns0:f>IFERROR(--D562,0)</ns0:f>
        <ns0:v>0</ns0:v>
      </ns0:c>
      <ns0:c r="H562" s="0">
        <ns0:f>IFERROR(IF(FIND(".",B562)=5,--E562,--C562),0)</ns0:f>
        <ns0:v>0</ns0:v>
      </ns0:c>
      <ns0:c r="I562" s="0">
        <ns0:f>IFERROR(IF(AND(F562&gt;=2000,F562&lt;=2100,G562&gt;=1,G562&lt;=12,H562&gt;=1,H562&lt;=31),DATE(F562,G562,H562),0),0)</ns0:f>
        <ns0:v>0</ns0:v>
      </ns0:c>
      <ns0:c r="J562" s="0">
        <ns0:f>IFERROR(IF(ISNUMBER(Bookings!B562),IF(AND(Bookings!B562=INT(Bookings!B562),Bookings!B562&gt;=DATE(2000,1,1),Bookings!B562&lt;=DATE(2100,12,31)),Bookings!B562,0),IF(AND(A562&lt;&gt;"",LEN("x"&amp;B562)-LEN(SUBSTITUTE("x"&amp;B562,".",""))=2,OR(1&gt;LEN(B562),MID(B562,1,1)=".",ISNUMBER(FIND("x"&amp;MID(B562,1,1),"x0x1x2x3x4x5x6x7x8x9"))),OR(2&gt;LEN(B562),MID(B562,2,1)=".",ISNUMBER(FIND("x"&amp;MID(B562,2,1),"x0x1x2x3x4x5x6x7x8x9"))),OR(3&gt;LEN(B562),MID(B562,3,1)=".",ISNUMBER(FIND("x"&amp;MID(B562,3,1),"x0x1x2x3x4x5x6x7x8x9"))),OR(4&gt;LEN(B562),MID(B562,4,1)=".",ISNUMBER(FIND("x"&amp;MID(B562,4,1),"x0x1x2x3x4x5x6x7x8x9"))),OR(5&gt;LEN(B562),MID(B562,5,1)=".",ISNUMBER(FIND("x"&amp;MID(B562,5,1),"x0x1x2x3x4x5x6x7x8x9"))),OR(6&gt;LEN(B562),MID(B562,6,1)=".",ISNUMBER(FIND("x"&amp;MID(B562,6,1),"x0x1x2x3x4x5x6x7x8x9"))),OR(7&gt;LEN(B562),MID(B562,7,1)=".",ISNUMBER(FIND("x"&amp;MID(B562,7,1),"x0x1x2x3x4x5x6x7x8x9"))),OR(8&gt;LEN(B562),MID(B562,8,1)=".",ISNUMBER(FIND("x"&amp;MID(B562,8,1),"x0x1x2x3x4x5x6x7x8x9"))),OR(9&gt;LEN(B562),MID(B562,9,1)=".",ISNUMBER(FIND("x"&amp;MID(B562,9,1),"x0x1x2x3x4x5x6x7x8x9"))),OR(10&gt;LEN(B562),MID(B562,10,1)=".",ISNUMBER(FIND("x"&amp;MID(B562,10,1),"x0x1x2x3x4x5x6x7x8x9"))),OR(AND(FIND(".",B562)=5,LEN(B562)-FIND(".",B562,FIND(".",B562)+1)&gt;=1,LEN(B562)-FIND(".",B562,FIND(".",B562)+1)&lt;=2),AND(LEN(B562)-FIND(".",B562,FIND(".",B562)+1)=4,FIND(".",B562)&gt;=2,FIND(".",B562)&lt;=3)),FIND(".",B562,FIND(".",B562)+1)-FIND(".",B562)&gt;=2,FIND(".",B562,FIND(".",B562)+1)-FIND(".",B562)&lt;=3,F562&gt;=2000,F562&lt;=2100,YEAR(I562)=F562,MONTH(I562)=G562,DAY(I562)=H562),I562,0)),0)</ns0:f>
        <ns0:v>0</ns0:v>
      </ns0:c>
      <ns0:c r="K562" s="0">
        <ns0:f>IFERROR(IF(ISNUMBER(Bookings!D562),"",TRIM(Bookings!D562&amp;"")),"")</ns0:f>
      </ns0:c>
      <ns0:c r="L562" s="0">
        <ns0:f>IFERROR(SUBSTITUTE(SUBSTITUTE(K562,"/","."),"-","."),"")</ns0:f>
      </ns0:c>
      <ns0:c r="M562" s="0">
        <ns0:f>IFERROR(LEFT(L562,FIND(".",L562)-1),"")</ns0:f>
      </ns0:c>
      <ns0:c r="N562" s="0">
        <ns0:f>IFERROR(MID(L562,FIND(".",L562)+1,FIND(".",L562,FIND(".",L562)+1)-FIND(".",L562)-1),"")</ns0:f>
      </ns0:c>
      <ns0:c r="O562" s="0">
        <ns0:f>IFERROR(MID(L562,FIND(".",L562,FIND(".",L562)+1)+1,99),"")</ns0:f>
        <ns0:v>99</ns0:v>
      </ns0:c>
      <ns0:c r="P562" s="0">
        <ns0:f>IFERROR(IF(FIND(".",L562)=5,--M562,--O562),0)</ns0:f>
        <ns0:v>0</ns0:v>
      </ns0:c>
      <ns0:c r="Q562" s="0">
        <ns0:f>IFERROR(--N562,0)</ns0:f>
        <ns0:v>0</ns0:v>
      </ns0:c>
      <ns0:c r="R562" s="0">
        <ns0:f>IFERROR(IF(FIND(".",L562)=5,--O562,--M562),0)</ns0:f>
        <ns0:v>0</ns0:v>
      </ns0:c>
      <ns0:c r="S562" s="0">
        <ns0:f>IFERROR(IF(AND(P562&gt;=2000,P562&lt;=2100,Q562&gt;=1,Q562&lt;=12,R562&gt;=1,R562&lt;=31),DATE(P562,Q562,R562),0),0)</ns0:f>
        <ns0:v>0</ns0:v>
      </ns0:c>
      <ns0:c r="T562" s="0">
        <ns0:f>IFERROR(IF(ISNUMBER(Bookings!D562),IF(AND(Bookings!D562=INT(Bookings!D562),Bookings!D562&gt;=DATE(2000,1,1),Bookings!D562&lt;=DATE(2100,12,31)),Bookings!D562,0),IF(AND(K562&lt;&gt;"",LEN("x"&amp;L562)-LEN(SUBSTITUTE("x"&amp;L562,".",""))=2,OR(1&gt;LEN(L562),MID(L562,1,1)=".",ISNUMBER(FIND("x"&amp;MID(L562,1,1),"x0x1x2x3x4x5x6x7x8x9"))),OR(2&gt;LEN(L562),MID(L562,2,1)=".",ISNUMBER(FIND("x"&amp;MID(L562,2,1),"x0x1x2x3x4x5x6x7x8x9"))),OR(3&gt;LEN(L562),MID(L562,3,1)=".",ISNUMBER(FIND("x"&amp;MID(L562,3,1),"x0x1x2x3x4x5x6x7x8x9"))),OR(4&gt;LEN(L562),MID(L562,4,1)=".",ISNUMBER(FIND("x"&amp;MID(L562,4,1),"x0x1x2x3x4x5x6x7x8x9"))),OR(5&gt;LEN(L562),MID(L562,5,1)=".",ISNUMBER(FIND("x"&amp;MID(L562,5,1),"x0x1x2x3x4x5x6x7x8x9"))),OR(6&gt;LEN(L562),MID(L562,6,1)=".",ISNUMBER(FIND("x"&amp;MID(L562,6,1),"x0x1x2x3x4x5x6x7x8x9"))),OR(7&gt;LEN(L562),MID(L562,7,1)=".",ISNUMBER(FIND("x"&amp;MID(L562,7,1),"x0x1x2x3x4x5x6x7x8x9"))),OR(8&gt;LEN(L562),MID(L562,8,1)=".",ISNUMBER(FIND("x"&amp;MID(L562,8,1),"x0x1x2x3x4x5x6x7x8x9"))),OR(9&gt;LEN(L562),MID(L562,9,1)=".",ISNUMBER(FIND("x"&amp;MID(L562,9,1),"x0x1x2x3x4x5x6x7x8x9"))),OR(10&gt;LEN(L562),MID(L562,10,1)=".",ISNUMBER(FIND("x"&amp;MID(L562,10,1),"x0x1x2x3x4x5x6x7x8x9"))),OR(AND(FIND(".",L562)=5,LEN(L562)-FIND(".",L562,FIND(".",L562)+1)&gt;=1,LEN(L562)-FIND(".",L562,FIND(".",L562)+1)&lt;=2),AND(LEN(L562)-FIND(".",L562,FIND(".",L562)+1)=4,FIND(".",L562)&gt;=2,FIND(".",L562)&lt;=3)),FIND(".",L562,FIND(".",L562)+1)-FIND(".",L562)&gt;=2,FIND(".",L562,FIND(".",L562)+1)-FIND(".",L562)&lt;=3,P562&gt;=2000,P562&lt;=2100,YEAR(S562)=P562,MONTH(S562)=Q562,DAY(S562)=R562),S562,0)),0)</ns0:f>
        <ns0:v>0</ns0:v>
      </ns0:c>
      <ns0:c r="U562" s="0" t="str">
        <ns0:f>IF(Bookings!C562="","Full day",Bookings!C562)</ns0:f>
        <ns0:v>Full day</ns0:v>
      </ns0:c>
      <ns0:c r="V562" s="0" t="str">
        <ns0:f>IF(Bookings!E562="","Full day",Bookings!E562)</ns0:f>
        <ns0:v>Full day</ns0:v>
      </ns0:c>
      <ns0:c r="W562" s="0">
        <ns0:f>IF(J562=0,0,J562+IF(U562="PM",1,0))</ns0:f>
        <ns0:v>0</ns0:v>
      </ns0:c>
      <ns0:c r="X562" s="0">
        <ns0:f>IF(T562=0,0,T562-IF(V562="PM",1,0))</ns0:f>
        <ns0:v>0</ns0:v>
      </ns0:c>
      <ns0:c r="Y562" s="0">
        <ns0:f>IF(J562=0,0,J562+IF(U562="AM",1,0))</ns0:f>
        <ns0:v>0</ns0:v>
      </ns0:c>
      <ns0:c r="Z562" s="0">
        <ns0:f>IF(T562=0,0,T562-IF(V562="AM",1,0))</ns0:f>
        <ns0:v>0</ns0:v>
      </ns0:c>
      <ns0:c r="AA562" s="0">
        <ns0:f>IFERROR(IF(AND(J562&gt;0,'_Engine'!C562&gt;0,MID('_Engine'!W562,WEEKDAY(J562,2),1)="W",COUNTIF(Settings!$F$18:$F$67,J562)=0),1,0),0)</ns0:f>
        <ns0:v>0</ns0:v>
      </ns0:c>
      <ns0:c r="AB562" s="0">
        <ns0:f>IFERROR(IF(AND(T562&gt;0,'_Engine'!C562&gt;0,MID('_Engine'!W562,WEEKDAY(T562,2),1)="W",COUNTIF(Settings!$F$18:$F$67,T562)=0),1,0),0)</ns0:f>
        <ns0:v>0</ns0:v>
      </ns0:c>
      <ns0:c r="AC562" s="0">
        <ns0:f>IF(AND(J562&gt;0,T562&gt;0,W562&lt;=X562),1,0)</ns0:f>
        <ns0:v>0</ns0:v>
      </ns0:c>
      <ns0:c r="AD562" s="0">
        <ns0:f>IF(AND(J562&gt;0,T562&gt;0,Y562&lt;=Z562),1,0)</ns0:f>
        <ns0:v>0</ns0:v>
      </ns0:c>
    </ns0:row>
    <ns0:row r="563">
      <ns0:c r="A563" s="0">
        <ns0:f>IFERROR(IF(ISNUMBER(Bookings!B563),"",TRIM(Bookings!B563&amp;"")),"")</ns0:f>
      </ns0:c>
      <ns0:c r="B563" s="0">
        <ns0:f>IFERROR(SUBSTITUTE(SUBSTITUTE(A563,"/","."),"-","."),"")</ns0:f>
      </ns0:c>
      <ns0:c r="C563" s="0">
        <ns0:f>IFERROR(LEFT(B563,FIND(".",B563)-1),"")</ns0:f>
      </ns0:c>
      <ns0:c r="D563" s="0">
        <ns0:f>IFERROR(MID(B563,FIND(".",B563)+1,FIND(".",B563,FIND(".",B563)+1)-FIND(".",B563)-1),"")</ns0:f>
      </ns0:c>
      <ns0:c r="E563" s="0">
        <ns0:f>IFERROR(MID(B563,FIND(".",B563,FIND(".",B563)+1)+1,99),"")</ns0:f>
        <ns0:v>99</ns0:v>
      </ns0:c>
      <ns0:c r="F563" s="0">
        <ns0:f>IFERROR(IF(FIND(".",B563)=5,--C563,--E563),0)</ns0:f>
        <ns0:v>0</ns0:v>
      </ns0:c>
      <ns0:c r="G563" s="0">
        <ns0:f>IFERROR(--D563,0)</ns0:f>
        <ns0:v>0</ns0:v>
      </ns0:c>
      <ns0:c r="H563" s="0">
        <ns0:f>IFERROR(IF(FIND(".",B563)=5,--E563,--C563),0)</ns0:f>
        <ns0:v>0</ns0:v>
      </ns0:c>
      <ns0:c r="I563" s="0">
        <ns0:f>IFERROR(IF(AND(F563&gt;=2000,F563&lt;=2100,G563&gt;=1,G563&lt;=12,H563&gt;=1,H563&lt;=31),DATE(F563,G563,H563),0),0)</ns0:f>
        <ns0:v>0</ns0:v>
      </ns0:c>
      <ns0:c r="J563" s="0">
        <ns0:f>IFERROR(IF(ISNUMBER(Bookings!B563),IF(AND(Bookings!B563=INT(Bookings!B563),Bookings!B563&gt;=DATE(2000,1,1),Bookings!B563&lt;=DATE(2100,12,31)),Bookings!B563,0),IF(AND(A563&lt;&gt;"",LEN("x"&amp;B563)-LEN(SUBSTITUTE("x"&amp;B563,".",""))=2,OR(1&gt;LEN(B563),MID(B563,1,1)=".",ISNUMBER(FIND("x"&amp;MID(B563,1,1),"x0x1x2x3x4x5x6x7x8x9"))),OR(2&gt;LEN(B563),MID(B563,2,1)=".",ISNUMBER(FIND("x"&amp;MID(B563,2,1),"x0x1x2x3x4x5x6x7x8x9"))),OR(3&gt;LEN(B563),MID(B563,3,1)=".",ISNUMBER(FIND("x"&amp;MID(B563,3,1),"x0x1x2x3x4x5x6x7x8x9"))),OR(4&gt;LEN(B563),MID(B563,4,1)=".",ISNUMBER(FIND("x"&amp;MID(B563,4,1),"x0x1x2x3x4x5x6x7x8x9"))),OR(5&gt;LEN(B563),MID(B563,5,1)=".",ISNUMBER(FIND("x"&amp;MID(B563,5,1),"x0x1x2x3x4x5x6x7x8x9"))),OR(6&gt;LEN(B563),MID(B563,6,1)=".",ISNUMBER(FIND("x"&amp;MID(B563,6,1),"x0x1x2x3x4x5x6x7x8x9"))),OR(7&gt;LEN(B563),MID(B563,7,1)=".",ISNUMBER(FIND("x"&amp;MID(B563,7,1),"x0x1x2x3x4x5x6x7x8x9"))),OR(8&gt;LEN(B563),MID(B563,8,1)=".",ISNUMBER(FIND("x"&amp;MID(B563,8,1),"x0x1x2x3x4x5x6x7x8x9"))),OR(9&gt;LEN(B563),MID(B563,9,1)=".",ISNUMBER(FIND("x"&amp;MID(B563,9,1),"x0x1x2x3x4x5x6x7x8x9"))),OR(10&gt;LEN(B563),MID(B563,10,1)=".",ISNUMBER(FIND("x"&amp;MID(B563,10,1),"x0x1x2x3x4x5x6x7x8x9"))),OR(AND(FIND(".",B563)=5,LEN(B563)-FIND(".",B563,FIND(".",B563)+1)&gt;=1,LEN(B563)-FIND(".",B563,FIND(".",B563)+1)&lt;=2),AND(LEN(B563)-FIND(".",B563,FIND(".",B563)+1)=4,FIND(".",B563)&gt;=2,FIND(".",B563)&lt;=3)),FIND(".",B563,FIND(".",B563)+1)-FIND(".",B563)&gt;=2,FIND(".",B563,FIND(".",B563)+1)-FIND(".",B563)&lt;=3,F563&gt;=2000,F563&lt;=2100,YEAR(I563)=F563,MONTH(I563)=G563,DAY(I563)=H563),I563,0)),0)</ns0:f>
        <ns0:v>0</ns0:v>
      </ns0:c>
      <ns0:c r="K563" s="0">
        <ns0:f>IFERROR(IF(ISNUMBER(Bookings!D563),"",TRIM(Bookings!D563&amp;"")),"")</ns0:f>
      </ns0:c>
      <ns0:c r="L563" s="0">
        <ns0:f>IFERROR(SUBSTITUTE(SUBSTITUTE(K563,"/","."),"-","."),"")</ns0:f>
      </ns0:c>
      <ns0:c r="M563" s="0">
        <ns0:f>IFERROR(LEFT(L563,FIND(".",L563)-1),"")</ns0:f>
      </ns0:c>
      <ns0:c r="N563" s="0">
        <ns0:f>IFERROR(MID(L563,FIND(".",L563)+1,FIND(".",L563,FIND(".",L563)+1)-FIND(".",L563)-1),"")</ns0:f>
      </ns0:c>
      <ns0:c r="O563" s="0">
        <ns0:f>IFERROR(MID(L563,FIND(".",L563,FIND(".",L563)+1)+1,99),"")</ns0:f>
        <ns0:v>99</ns0:v>
      </ns0:c>
      <ns0:c r="P563" s="0">
        <ns0:f>IFERROR(IF(FIND(".",L563)=5,--M563,--O563),0)</ns0:f>
        <ns0:v>0</ns0:v>
      </ns0:c>
      <ns0:c r="Q563" s="0">
        <ns0:f>IFERROR(--N563,0)</ns0:f>
        <ns0:v>0</ns0:v>
      </ns0:c>
      <ns0:c r="R563" s="0">
        <ns0:f>IFERROR(IF(FIND(".",L563)=5,--O563,--M563),0)</ns0:f>
        <ns0:v>0</ns0:v>
      </ns0:c>
      <ns0:c r="S563" s="0">
        <ns0:f>IFERROR(IF(AND(P563&gt;=2000,P563&lt;=2100,Q563&gt;=1,Q563&lt;=12,R563&gt;=1,R563&lt;=31),DATE(P563,Q563,R563),0),0)</ns0:f>
        <ns0:v>0</ns0:v>
      </ns0:c>
      <ns0:c r="T563" s="0">
        <ns0:f>IFERROR(IF(ISNUMBER(Bookings!D563),IF(AND(Bookings!D563=INT(Bookings!D563),Bookings!D563&gt;=DATE(2000,1,1),Bookings!D563&lt;=DATE(2100,12,31)),Bookings!D563,0),IF(AND(K563&lt;&gt;"",LEN("x"&amp;L563)-LEN(SUBSTITUTE("x"&amp;L563,".",""))=2,OR(1&gt;LEN(L563),MID(L563,1,1)=".",ISNUMBER(FIND("x"&amp;MID(L563,1,1),"x0x1x2x3x4x5x6x7x8x9"))),OR(2&gt;LEN(L563),MID(L563,2,1)=".",ISNUMBER(FIND("x"&amp;MID(L563,2,1),"x0x1x2x3x4x5x6x7x8x9"))),OR(3&gt;LEN(L563),MID(L563,3,1)=".",ISNUMBER(FIND("x"&amp;MID(L563,3,1),"x0x1x2x3x4x5x6x7x8x9"))),OR(4&gt;LEN(L563),MID(L563,4,1)=".",ISNUMBER(FIND("x"&amp;MID(L563,4,1),"x0x1x2x3x4x5x6x7x8x9"))),OR(5&gt;LEN(L563),MID(L563,5,1)=".",ISNUMBER(FIND("x"&amp;MID(L563,5,1),"x0x1x2x3x4x5x6x7x8x9"))),OR(6&gt;LEN(L563),MID(L563,6,1)=".",ISNUMBER(FIND("x"&amp;MID(L563,6,1),"x0x1x2x3x4x5x6x7x8x9"))),OR(7&gt;LEN(L563),MID(L563,7,1)=".",ISNUMBER(FIND("x"&amp;MID(L563,7,1),"x0x1x2x3x4x5x6x7x8x9"))),OR(8&gt;LEN(L563),MID(L563,8,1)=".",ISNUMBER(FIND("x"&amp;MID(L563,8,1),"x0x1x2x3x4x5x6x7x8x9"))),OR(9&gt;LEN(L563),MID(L563,9,1)=".",ISNUMBER(FIND("x"&amp;MID(L563,9,1),"x0x1x2x3x4x5x6x7x8x9"))),OR(10&gt;LEN(L563),MID(L563,10,1)=".",ISNUMBER(FIND("x"&amp;MID(L563,10,1),"x0x1x2x3x4x5x6x7x8x9"))),OR(AND(FIND(".",L563)=5,LEN(L563)-FIND(".",L563,FIND(".",L563)+1)&gt;=1,LEN(L563)-FIND(".",L563,FIND(".",L563)+1)&lt;=2),AND(LEN(L563)-FIND(".",L563,FIND(".",L563)+1)=4,FIND(".",L563)&gt;=2,FIND(".",L563)&lt;=3)),FIND(".",L563,FIND(".",L563)+1)-FIND(".",L563)&gt;=2,FIND(".",L563,FIND(".",L563)+1)-FIND(".",L563)&lt;=3,P563&gt;=2000,P563&lt;=2100,YEAR(S563)=P563,MONTH(S563)=Q563,DAY(S563)=R563),S563,0)),0)</ns0:f>
        <ns0:v>0</ns0:v>
      </ns0:c>
      <ns0:c r="U563" s="0" t="str">
        <ns0:f>IF(Bookings!C563="","Full day",Bookings!C563)</ns0:f>
        <ns0:v>Full day</ns0:v>
      </ns0:c>
      <ns0:c r="V563" s="0" t="str">
        <ns0:f>IF(Bookings!E563="","Full day",Bookings!E563)</ns0:f>
        <ns0:v>Full day</ns0:v>
      </ns0:c>
      <ns0:c r="W563" s="0">
        <ns0:f>IF(J563=0,0,J563+IF(U563="PM",1,0))</ns0:f>
        <ns0:v>0</ns0:v>
      </ns0:c>
      <ns0:c r="X563" s="0">
        <ns0:f>IF(T563=0,0,T563-IF(V563="PM",1,0))</ns0:f>
        <ns0:v>0</ns0:v>
      </ns0:c>
      <ns0:c r="Y563" s="0">
        <ns0:f>IF(J563=0,0,J563+IF(U563="AM",1,0))</ns0:f>
        <ns0:v>0</ns0:v>
      </ns0:c>
      <ns0:c r="Z563" s="0">
        <ns0:f>IF(T563=0,0,T563-IF(V563="AM",1,0))</ns0:f>
        <ns0:v>0</ns0:v>
      </ns0:c>
      <ns0:c r="AA563" s="0">
        <ns0:f>IFERROR(IF(AND(J563&gt;0,'_Engine'!C563&gt;0,MID('_Engine'!W563,WEEKDAY(J563,2),1)="W",COUNTIF(Settings!$F$18:$F$67,J563)=0),1,0),0)</ns0:f>
        <ns0:v>0</ns0:v>
      </ns0:c>
      <ns0:c r="AB563" s="0">
        <ns0:f>IFERROR(IF(AND(T563&gt;0,'_Engine'!C563&gt;0,MID('_Engine'!W563,WEEKDAY(T563,2),1)="W",COUNTIF(Settings!$F$18:$F$67,T563)=0),1,0),0)</ns0:f>
        <ns0:v>0</ns0:v>
      </ns0:c>
      <ns0:c r="AC563" s="0">
        <ns0:f>IF(AND(J563&gt;0,T563&gt;0,W563&lt;=X563),1,0)</ns0:f>
        <ns0:v>0</ns0:v>
      </ns0:c>
      <ns0:c r="AD563" s="0">
        <ns0:f>IF(AND(J563&gt;0,T563&gt;0,Y563&lt;=Z563),1,0)</ns0:f>
        <ns0:v>0</ns0:v>
      </ns0:c>
    </ns0:row>
    <ns0:row r="564">
      <ns0:c r="A564" s="0">
        <ns0:f>IFERROR(IF(ISNUMBER(Bookings!B564),"",TRIM(Bookings!B564&amp;"")),"")</ns0:f>
      </ns0:c>
      <ns0:c r="B564" s="0">
        <ns0:f>IFERROR(SUBSTITUTE(SUBSTITUTE(A564,"/","."),"-","."),"")</ns0:f>
      </ns0:c>
      <ns0:c r="C564" s="0">
        <ns0:f>IFERROR(LEFT(B564,FIND(".",B564)-1),"")</ns0:f>
      </ns0:c>
      <ns0:c r="D564" s="0">
        <ns0:f>IFERROR(MID(B564,FIND(".",B564)+1,FIND(".",B564,FIND(".",B564)+1)-FIND(".",B564)-1),"")</ns0:f>
      </ns0:c>
      <ns0:c r="E564" s="0">
        <ns0:f>IFERROR(MID(B564,FIND(".",B564,FIND(".",B564)+1)+1,99),"")</ns0:f>
        <ns0:v>99</ns0:v>
      </ns0:c>
      <ns0:c r="F564" s="0">
        <ns0:f>IFERROR(IF(FIND(".",B564)=5,--C564,--E564),0)</ns0:f>
        <ns0:v>0</ns0:v>
      </ns0:c>
      <ns0:c r="G564" s="0">
        <ns0:f>IFERROR(--D564,0)</ns0:f>
        <ns0:v>0</ns0:v>
      </ns0:c>
      <ns0:c r="H564" s="0">
        <ns0:f>IFERROR(IF(FIND(".",B564)=5,--E564,--C564),0)</ns0:f>
        <ns0:v>0</ns0:v>
      </ns0:c>
      <ns0:c r="I564" s="0">
        <ns0:f>IFERROR(IF(AND(F564&gt;=2000,F564&lt;=2100,G564&gt;=1,G564&lt;=12,H564&gt;=1,H564&lt;=31),DATE(F564,G564,H564),0),0)</ns0:f>
        <ns0:v>0</ns0:v>
      </ns0:c>
      <ns0:c r="J564" s="0">
        <ns0:f>IFERROR(IF(ISNUMBER(Bookings!B564),IF(AND(Bookings!B564=INT(Bookings!B564),Bookings!B564&gt;=DATE(2000,1,1),Bookings!B564&lt;=DATE(2100,12,31)),Bookings!B564,0),IF(AND(A564&lt;&gt;"",LEN("x"&amp;B564)-LEN(SUBSTITUTE("x"&amp;B564,".",""))=2,OR(1&gt;LEN(B564),MID(B564,1,1)=".",ISNUMBER(FIND("x"&amp;MID(B564,1,1),"x0x1x2x3x4x5x6x7x8x9"))),OR(2&gt;LEN(B564),MID(B564,2,1)=".",ISNUMBER(FIND("x"&amp;MID(B564,2,1),"x0x1x2x3x4x5x6x7x8x9"))),OR(3&gt;LEN(B564),MID(B564,3,1)=".",ISNUMBER(FIND("x"&amp;MID(B564,3,1),"x0x1x2x3x4x5x6x7x8x9"))),OR(4&gt;LEN(B564),MID(B564,4,1)=".",ISNUMBER(FIND("x"&amp;MID(B564,4,1),"x0x1x2x3x4x5x6x7x8x9"))),OR(5&gt;LEN(B564),MID(B564,5,1)=".",ISNUMBER(FIND("x"&amp;MID(B564,5,1),"x0x1x2x3x4x5x6x7x8x9"))),OR(6&gt;LEN(B564),MID(B564,6,1)=".",ISNUMBER(FIND("x"&amp;MID(B564,6,1),"x0x1x2x3x4x5x6x7x8x9"))),OR(7&gt;LEN(B564),MID(B564,7,1)=".",ISNUMBER(FIND("x"&amp;MID(B564,7,1),"x0x1x2x3x4x5x6x7x8x9"))),OR(8&gt;LEN(B564),MID(B564,8,1)=".",ISNUMBER(FIND("x"&amp;MID(B564,8,1),"x0x1x2x3x4x5x6x7x8x9"))),OR(9&gt;LEN(B564),MID(B564,9,1)=".",ISNUMBER(FIND("x"&amp;MID(B564,9,1),"x0x1x2x3x4x5x6x7x8x9"))),OR(10&gt;LEN(B564),MID(B564,10,1)=".",ISNUMBER(FIND("x"&amp;MID(B564,10,1),"x0x1x2x3x4x5x6x7x8x9"))),OR(AND(FIND(".",B564)=5,LEN(B564)-FIND(".",B564,FIND(".",B564)+1)&gt;=1,LEN(B564)-FIND(".",B564,FIND(".",B564)+1)&lt;=2),AND(LEN(B564)-FIND(".",B564,FIND(".",B564)+1)=4,FIND(".",B564)&gt;=2,FIND(".",B564)&lt;=3)),FIND(".",B564,FIND(".",B564)+1)-FIND(".",B564)&gt;=2,FIND(".",B564,FIND(".",B564)+1)-FIND(".",B564)&lt;=3,F564&gt;=2000,F564&lt;=2100,YEAR(I564)=F564,MONTH(I564)=G564,DAY(I564)=H564),I564,0)),0)</ns0:f>
        <ns0:v>0</ns0:v>
      </ns0:c>
      <ns0:c r="K564" s="0">
        <ns0:f>IFERROR(IF(ISNUMBER(Bookings!D564),"",TRIM(Bookings!D564&amp;"")),"")</ns0:f>
      </ns0:c>
      <ns0:c r="L564" s="0">
        <ns0:f>IFERROR(SUBSTITUTE(SUBSTITUTE(K564,"/","."),"-","."),"")</ns0:f>
      </ns0:c>
      <ns0:c r="M564" s="0">
        <ns0:f>IFERROR(LEFT(L564,FIND(".",L564)-1),"")</ns0:f>
      </ns0:c>
      <ns0:c r="N564" s="0">
        <ns0:f>IFERROR(MID(L564,FIND(".",L564)+1,FIND(".",L564,FIND(".",L564)+1)-FIND(".",L564)-1),"")</ns0:f>
      </ns0:c>
      <ns0:c r="O564" s="0">
        <ns0:f>IFERROR(MID(L564,FIND(".",L564,FIND(".",L564)+1)+1,99),"")</ns0:f>
        <ns0:v>99</ns0:v>
      </ns0:c>
      <ns0:c r="P564" s="0">
        <ns0:f>IFERROR(IF(FIND(".",L564)=5,--M564,--O564),0)</ns0:f>
        <ns0:v>0</ns0:v>
      </ns0:c>
      <ns0:c r="Q564" s="0">
        <ns0:f>IFERROR(--N564,0)</ns0:f>
        <ns0:v>0</ns0:v>
      </ns0:c>
      <ns0:c r="R564" s="0">
        <ns0:f>IFERROR(IF(FIND(".",L564)=5,--O564,--M564),0)</ns0:f>
        <ns0:v>0</ns0:v>
      </ns0:c>
      <ns0:c r="S564" s="0">
        <ns0:f>IFERROR(IF(AND(P564&gt;=2000,P564&lt;=2100,Q564&gt;=1,Q564&lt;=12,R564&gt;=1,R564&lt;=31),DATE(P564,Q564,R564),0),0)</ns0:f>
        <ns0:v>0</ns0:v>
      </ns0:c>
      <ns0:c r="T564" s="0">
        <ns0:f>IFERROR(IF(ISNUMBER(Bookings!D564),IF(AND(Bookings!D564=INT(Bookings!D564),Bookings!D564&gt;=DATE(2000,1,1),Bookings!D564&lt;=DATE(2100,12,31)),Bookings!D564,0),IF(AND(K564&lt;&gt;"",LEN("x"&amp;L564)-LEN(SUBSTITUTE("x"&amp;L564,".",""))=2,OR(1&gt;LEN(L564),MID(L564,1,1)=".",ISNUMBER(FIND("x"&amp;MID(L564,1,1),"x0x1x2x3x4x5x6x7x8x9"))),OR(2&gt;LEN(L564),MID(L564,2,1)=".",ISNUMBER(FIND("x"&amp;MID(L564,2,1),"x0x1x2x3x4x5x6x7x8x9"))),OR(3&gt;LEN(L564),MID(L564,3,1)=".",ISNUMBER(FIND("x"&amp;MID(L564,3,1),"x0x1x2x3x4x5x6x7x8x9"))),OR(4&gt;LEN(L564),MID(L564,4,1)=".",ISNUMBER(FIND("x"&amp;MID(L564,4,1),"x0x1x2x3x4x5x6x7x8x9"))),OR(5&gt;LEN(L564),MID(L564,5,1)=".",ISNUMBER(FIND("x"&amp;MID(L564,5,1),"x0x1x2x3x4x5x6x7x8x9"))),OR(6&gt;LEN(L564),MID(L564,6,1)=".",ISNUMBER(FIND("x"&amp;MID(L564,6,1),"x0x1x2x3x4x5x6x7x8x9"))),OR(7&gt;LEN(L564),MID(L564,7,1)=".",ISNUMBER(FIND("x"&amp;MID(L564,7,1),"x0x1x2x3x4x5x6x7x8x9"))),OR(8&gt;LEN(L564),MID(L564,8,1)=".",ISNUMBER(FIND("x"&amp;MID(L564,8,1),"x0x1x2x3x4x5x6x7x8x9"))),OR(9&gt;LEN(L564),MID(L564,9,1)=".",ISNUMBER(FIND("x"&amp;MID(L564,9,1),"x0x1x2x3x4x5x6x7x8x9"))),OR(10&gt;LEN(L564),MID(L564,10,1)=".",ISNUMBER(FIND("x"&amp;MID(L564,10,1),"x0x1x2x3x4x5x6x7x8x9"))),OR(AND(FIND(".",L564)=5,LEN(L564)-FIND(".",L564,FIND(".",L564)+1)&gt;=1,LEN(L564)-FIND(".",L564,FIND(".",L564)+1)&lt;=2),AND(LEN(L564)-FIND(".",L564,FIND(".",L564)+1)=4,FIND(".",L564)&gt;=2,FIND(".",L564)&lt;=3)),FIND(".",L564,FIND(".",L564)+1)-FIND(".",L564)&gt;=2,FIND(".",L564,FIND(".",L564)+1)-FIND(".",L564)&lt;=3,P564&gt;=2000,P564&lt;=2100,YEAR(S564)=P564,MONTH(S564)=Q564,DAY(S564)=R564),S564,0)),0)</ns0:f>
        <ns0:v>0</ns0:v>
      </ns0:c>
      <ns0:c r="U564" s="0" t="str">
        <ns0:f>IF(Bookings!C564="","Full day",Bookings!C564)</ns0:f>
        <ns0:v>Full day</ns0:v>
      </ns0:c>
      <ns0:c r="V564" s="0" t="str">
        <ns0:f>IF(Bookings!E564="","Full day",Bookings!E564)</ns0:f>
        <ns0:v>Full day</ns0:v>
      </ns0:c>
      <ns0:c r="W564" s="0">
        <ns0:f>IF(J564=0,0,J564+IF(U564="PM",1,0))</ns0:f>
        <ns0:v>0</ns0:v>
      </ns0:c>
      <ns0:c r="X564" s="0">
        <ns0:f>IF(T564=0,0,T564-IF(V564="PM",1,0))</ns0:f>
        <ns0:v>0</ns0:v>
      </ns0:c>
      <ns0:c r="Y564" s="0">
        <ns0:f>IF(J564=0,0,J564+IF(U564="AM",1,0))</ns0:f>
        <ns0:v>0</ns0:v>
      </ns0:c>
      <ns0:c r="Z564" s="0">
        <ns0:f>IF(T564=0,0,T564-IF(V564="AM",1,0))</ns0:f>
        <ns0:v>0</ns0:v>
      </ns0:c>
      <ns0:c r="AA564" s="0">
        <ns0:f>IFERROR(IF(AND(J564&gt;0,'_Engine'!C564&gt;0,MID('_Engine'!W564,WEEKDAY(J564,2),1)="W",COUNTIF(Settings!$F$18:$F$67,J564)=0),1,0),0)</ns0:f>
        <ns0:v>0</ns0:v>
      </ns0:c>
      <ns0:c r="AB564" s="0">
        <ns0:f>IFERROR(IF(AND(T564&gt;0,'_Engine'!C564&gt;0,MID('_Engine'!W564,WEEKDAY(T564,2),1)="W",COUNTIF(Settings!$F$18:$F$67,T564)=0),1,0),0)</ns0:f>
        <ns0:v>0</ns0:v>
      </ns0:c>
      <ns0:c r="AC564" s="0">
        <ns0:f>IF(AND(J564&gt;0,T564&gt;0,W564&lt;=X564),1,0)</ns0:f>
        <ns0:v>0</ns0:v>
      </ns0:c>
      <ns0:c r="AD564" s="0">
        <ns0:f>IF(AND(J564&gt;0,T564&gt;0,Y564&lt;=Z564),1,0)</ns0:f>
        <ns0:v>0</ns0:v>
      </ns0:c>
    </ns0:row>
    <ns0:row r="565">
      <ns0:c r="A565" s="0">
        <ns0:f>IFERROR(IF(ISNUMBER(Bookings!B565),"",TRIM(Bookings!B565&amp;"")),"")</ns0:f>
      </ns0:c>
      <ns0:c r="B565" s="0">
        <ns0:f>IFERROR(SUBSTITUTE(SUBSTITUTE(A565,"/","."),"-","."),"")</ns0:f>
      </ns0:c>
      <ns0:c r="C565" s="0">
        <ns0:f>IFERROR(LEFT(B565,FIND(".",B565)-1),"")</ns0:f>
      </ns0:c>
      <ns0:c r="D565" s="0">
        <ns0:f>IFERROR(MID(B565,FIND(".",B565)+1,FIND(".",B565,FIND(".",B565)+1)-FIND(".",B565)-1),"")</ns0:f>
      </ns0:c>
      <ns0:c r="E565" s="0">
        <ns0:f>IFERROR(MID(B565,FIND(".",B565,FIND(".",B565)+1)+1,99),"")</ns0:f>
        <ns0:v>99</ns0:v>
      </ns0:c>
      <ns0:c r="F565" s="0">
        <ns0:f>IFERROR(IF(FIND(".",B565)=5,--C565,--E565),0)</ns0:f>
        <ns0:v>0</ns0:v>
      </ns0:c>
      <ns0:c r="G565" s="0">
        <ns0:f>IFERROR(--D565,0)</ns0:f>
        <ns0:v>0</ns0:v>
      </ns0:c>
      <ns0:c r="H565" s="0">
        <ns0:f>IFERROR(IF(FIND(".",B565)=5,--E565,--C565),0)</ns0:f>
        <ns0:v>0</ns0:v>
      </ns0:c>
      <ns0:c r="I565" s="0">
        <ns0:f>IFERROR(IF(AND(F565&gt;=2000,F565&lt;=2100,G565&gt;=1,G565&lt;=12,H565&gt;=1,H565&lt;=31),DATE(F565,G565,H565),0),0)</ns0:f>
        <ns0:v>0</ns0:v>
      </ns0:c>
      <ns0:c r="J565" s="0">
        <ns0:f>IFERROR(IF(ISNUMBER(Bookings!B565),IF(AND(Bookings!B565=INT(Bookings!B565),Bookings!B565&gt;=DATE(2000,1,1),Bookings!B565&lt;=DATE(2100,12,31)),Bookings!B565,0),IF(AND(A565&lt;&gt;"",LEN("x"&amp;B565)-LEN(SUBSTITUTE("x"&amp;B565,".",""))=2,OR(1&gt;LEN(B565),MID(B565,1,1)=".",ISNUMBER(FIND("x"&amp;MID(B565,1,1),"x0x1x2x3x4x5x6x7x8x9"))),OR(2&gt;LEN(B565),MID(B565,2,1)=".",ISNUMBER(FIND("x"&amp;MID(B565,2,1),"x0x1x2x3x4x5x6x7x8x9"))),OR(3&gt;LEN(B565),MID(B565,3,1)=".",ISNUMBER(FIND("x"&amp;MID(B565,3,1),"x0x1x2x3x4x5x6x7x8x9"))),OR(4&gt;LEN(B565),MID(B565,4,1)=".",ISNUMBER(FIND("x"&amp;MID(B565,4,1),"x0x1x2x3x4x5x6x7x8x9"))),OR(5&gt;LEN(B565),MID(B565,5,1)=".",ISNUMBER(FIND("x"&amp;MID(B565,5,1),"x0x1x2x3x4x5x6x7x8x9"))),OR(6&gt;LEN(B565),MID(B565,6,1)=".",ISNUMBER(FIND("x"&amp;MID(B565,6,1),"x0x1x2x3x4x5x6x7x8x9"))),OR(7&gt;LEN(B565),MID(B565,7,1)=".",ISNUMBER(FIND("x"&amp;MID(B565,7,1),"x0x1x2x3x4x5x6x7x8x9"))),OR(8&gt;LEN(B565),MID(B565,8,1)=".",ISNUMBER(FIND("x"&amp;MID(B565,8,1),"x0x1x2x3x4x5x6x7x8x9"))),OR(9&gt;LEN(B565),MID(B565,9,1)=".",ISNUMBER(FIND("x"&amp;MID(B565,9,1),"x0x1x2x3x4x5x6x7x8x9"))),OR(10&gt;LEN(B565),MID(B565,10,1)=".",ISNUMBER(FIND("x"&amp;MID(B565,10,1),"x0x1x2x3x4x5x6x7x8x9"))),OR(AND(FIND(".",B565)=5,LEN(B565)-FIND(".",B565,FIND(".",B565)+1)&gt;=1,LEN(B565)-FIND(".",B565,FIND(".",B565)+1)&lt;=2),AND(LEN(B565)-FIND(".",B565,FIND(".",B565)+1)=4,FIND(".",B565)&gt;=2,FIND(".",B565)&lt;=3)),FIND(".",B565,FIND(".",B565)+1)-FIND(".",B565)&gt;=2,FIND(".",B565,FIND(".",B565)+1)-FIND(".",B565)&lt;=3,F565&gt;=2000,F565&lt;=2100,YEAR(I565)=F565,MONTH(I565)=G565,DAY(I565)=H565),I565,0)),0)</ns0:f>
        <ns0:v>0</ns0:v>
      </ns0:c>
      <ns0:c r="K565" s="0">
        <ns0:f>IFERROR(IF(ISNUMBER(Bookings!D565),"",TRIM(Bookings!D565&amp;"")),"")</ns0:f>
      </ns0:c>
      <ns0:c r="L565" s="0">
        <ns0:f>IFERROR(SUBSTITUTE(SUBSTITUTE(K565,"/","."),"-","."),"")</ns0:f>
      </ns0:c>
      <ns0:c r="M565" s="0">
        <ns0:f>IFERROR(LEFT(L565,FIND(".",L565)-1),"")</ns0:f>
      </ns0:c>
      <ns0:c r="N565" s="0">
        <ns0:f>IFERROR(MID(L565,FIND(".",L565)+1,FIND(".",L565,FIND(".",L565)+1)-FIND(".",L565)-1),"")</ns0:f>
      </ns0:c>
      <ns0:c r="O565" s="0">
        <ns0:f>IFERROR(MID(L565,FIND(".",L565,FIND(".",L565)+1)+1,99),"")</ns0:f>
        <ns0:v>99</ns0:v>
      </ns0:c>
      <ns0:c r="P565" s="0">
        <ns0:f>IFERROR(IF(FIND(".",L565)=5,--M565,--O565),0)</ns0:f>
        <ns0:v>0</ns0:v>
      </ns0:c>
      <ns0:c r="Q565" s="0">
        <ns0:f>IFERROR(--N565,0)</ns0:f>
        <ns0:v>0</ns0:v>
      </ns0:c>
      <ns0:c r="R565" s="0">
        <ns0:f>IFERROR(IF(FIND(".",L565)=5,--O565,--M565),0)</ns0:f>
        <ns0:v>0</ns0:v>
      </ns0:c>
      <ns0:c r="S565" s="0">
        <ns0:f>IFERROR(IF(AND(P565&gt;=2000,P565&lt;=2100,Q565&gt;=1,Q565&lt;=12,R565&gt;=1,R565&lt;=31),DATE(P565,Q565,R565),0),0)</ns0:f>
        <ns0:v>0</ns0:v>
      </ns0:c>
      <ns0:c r="T565" s="0">
        <ns0:f>IFERROR(IF(ISNUMBER(Bookings!D565),IF(AND(Bookings!D565=INT(Bookings!D565),Bookings!D565&gt;=DATE(2000,1,1),Bookings!D565&lt;=DATE(2100,12,31)),Bookings!D565,0),IF(AND(K565&lt;&gt;"",LEN("x"&amp;L565)-LEN(SUBSTITUTE("x"&amp;L565,".",""))=2,OR(1&gt;LEN(L565),MID(L565,1,1)=".",ISNUMBER(FIND("x"&amp;MID(L565,1,1),"x0x1x2x3x4x5x6x7x8x9"))),OR(2&gt;LEN(L565),MID(L565,2,1)=".",ISNUMBER(FIND("x"&amp;MID(L565,2,1),"x0x1x2x3x4x5x6x7x8x9"))),OR(3&gt;LEN(L565),MID(L565,3,1)=".",ISNUMBER(FIND("x"&amp;MID(L565,3,1),"x0x1x2x3x4x5x6x7x8x9"))),OR(4&gt;LEN(L565),MID(L565,4,1)=".",ISNUMBER(FIND("x"&amp;MID(L565,4,1),"x0x1x2x3x4x5x6x7x8x9"))),OR(5&gt;LEN(L565),MID(L565,5,1)=".",ISNUMBER(FIND("x"&amp;MID(L565,5,1),"x0x1x2x3x4x5x6x7x8x9"))),OR(6&gt;LEN(L565),MID(L565,6,1)=".",ISNUMBER(FIND("x"&amp;MID(L565,6,1),"x0x1x2x3x4x5x6x7x8x9"))),OR(7&gt;LEN(L565),MID(L565,7,1)=".",ISNUMBER(FIND("x"&amp;MID(L565,7,1),"x0x1x2x3x4x5x6x7x8x9"))),OR(8&gt;LEN(L565),MID(L565,8,1)=".",ISNUMBER(FIND("x"&amp;MID(L565,8,1),"x0x1x2x3x4x5x6x7x8x9"))),OR(9&gt;LEN(L565),MID(L565,9,1)=".",ISNUMBER(FIND("x"&amp;MID(L565,9,1),"x0x1x2x3x4x5x6x7x8x9"))),OR(10&gt;LEN(L565),MID(L565,10,1)=".",ISNUMBER(FIND("x"&amp;MID(L565,10,1),"x0x1x2x3x4x5x6x7x8x9"))),OR(AND(FIND(".",L565)=5,LEN(L565)-FIND(".",L565,FIND(".",L565)+1)&gt;=1,LEN(L565)-FIND(".",L565,FIND(".",L565)+1)&lt;=2),AND(LEN(L565)-FIND(".",L565,FIND(".",L565)+1)=4,FIND(".",L565)&gt;=2,FIND(".",L565)&lt;=3)),FIND(".",L565,FIND(".",L565)+1)-FIND(".",L565)&gt;=2,FIND(".",L565,FIND(".",L565)+1)-FIND(".",L565)&lt;=3,P565&gt;=2000,P565&lt;=2100,YEAR(S565)=P565,MONTH(S565)=Q565,DAY(S565)=R565),S565,0)),0)</ns0:f>
        <ns0:v>0</ns0:v>
      </ns0:c>
      <ns0:c r="U565" s="0" t="str">
        <ns0:f>IF(Bookings!C565="","Full day",Bookings!C565)</ns0:f>
        <ns0:v>Full day</ns0:v>
      </ns0:c>
      <ns0:c r="V565" s="0" t="str">
        <ns0:f>IF(Bookings!E565="","Full day",Bookings!E565)</ns0:f>
        <ns0:v>Full day</ns0:v>
      </ns0:c>
      <ns0:c r="W565" s="0">
        <ns0:f>IF(J565=0,0,J565+IF(U565="PM",1,0))</ns0:f>
        <ns0:v>0</ns0:v>
      </ns0:c>
      <ns0:c r="X565" s="0">
        <ns0:f>IF(T565=0,0,T565-IF(V565="PM",1,0))</ns0:f>
        <ns0:v>0</ns0:v>
      </ns0:c>
      <ns0:c r="Y565" s="0">
        <ns0:f>IF(J565=0,0,J565+IF(U565="AM",1,0))</ns0:f>
        <ns0:v>0</ns0:v>
      </ns0:c>
      <ns0:c r="Z565" s="0">
        <ns0:f>IF(T565=0,0,T565-IF(V565="AM",1,0))</ns0:f>
        <ns0:v>0</ns0:v>
      </ns0:c>
      <ns0:c r="AA565" s="0">
        <ns0:f>IFERROR(IF(AND(J565&gt;0,'_Engine'!C565&gt;0,MID('_Engine'!W565,WEEKDAY(J565,2),1)="W",COUNTIF(Settings!$F$18:$F$67,J565)=0),1,0),0)</ns0:f>
        <ns0:v>0</ns0:v>
      </ns0:c>
      <ns0:c r="AB565" s="0">
        <ns0:f>IFERROR(IF(AND(T565&gt;0,'_Engine'!C565&gt;0,MID('_Engine'!W565,WEEKDAY(T565,2),1)="W",COUNTIF(Settings!$F$18:$F$67,T565)=0),1,0),0)</ns0:f>
        <ns0:v>0</ns0:v>
      </ns0:c>
      <ns0:c r="AC565" s="0">
        <ns0:f>IF(AND(J565&gt;0,T565&gt;0,W565&lt;=X565),1,0)</ns0:f>
        <ns0:v>0</ns0:v>
      </ns0:c>
      <ns0:c r="AD565" s="0">
        <ns0:f>IF(AND(J565&gt;0,T565&gt;0,Y565&lt;=Z565),1,0)</ns0:f>
        <ns0:v>0</ns0:v>
      </ns0:c>
    </ns0:row>
    <ns0:row r="566">
      <ns0:c r="A566" s="0">
        <ns0:f>IFERROR(IF(ISNUMBER(Bookings!B566),"",TRIM(Bookings!B566&amp;"")),"")</ns0:f>
      </ns0:c>
      <ns0:c r="B566" s="0">
        <ns0:f>IFERROR(SUBSTITUTE(SUBSTITUTE(A566,"/","."),"-","."),"")</ns0:f>
      </ns0:c>
      <ns0:c r="C566" s="0">
        <ns0:f>IFERROR(LEFT(B566,FIND(".",B566)-1),"")</ns0:f>
      </ns0:c>
      <ns0:c r="D566" s="0">
        <ns0:f>IFERROR(MID(B566,FIND(".",B566)+1,FIND(".",B566,FIND(".",B566)+1)-FIND(".",B566)-1),"")</ns0:f>
      </ns0:c>
      <ns0:c r="E566" s="0">
        <ns0:f>IFERROR(MID(B566,FIND(".",B566,FIND(".",B566)+1)+1,99),"")</ns0:f>
        <ns0:v>99</ns0:v>
      </ns0:c>
      <ns0:c r="F566" s="0">
        <ns0:f>IFERROR(IF(FIND(".",B566)=5,--C566,--E566),0)</ns0:f>
        <ns0:v>0</ns0:v>
      </ns0:c>
      <ns0:c r="G566" s="0">
        <ns0:f>IFERROR(--D566,0)</ns0:f>
        <ns0:v>0</ns0:v>
      </ns0:c>
      <ns0:c r="H566" s="0">
        <ns0:f>IFERROR(IF(FIND(".",B566)=5,--E566,--C566),0)</ns0:f>
        <ns0:v>0</ns0:v>
      </ns0:c>
      <ns0:c r="I566" s="0">
        <ns0:f>IFERROR(IF(AND(F566&gt;=2000,F566&lt;=2100,G566&gt;=1,G566&lt;=12,H566&gt;=1,H566&lt;=31),DATE(F566,G566,H566),0),0)</ns0:f>
        <ns0:v>0</ns0:v>
      </ns0:c>
      <ns0:c r="J566" s="0">
        <ns0:f>IFERROR(IF(ISNUMBER(Bookings!B566),IF(AND(Bookings!B566=INT(Bookings!B566),Bookings!B566&gt;=DATE(2000,1,1),Bookings!B566&lt;=DATE(2100,12,31)),Bookings!B566,0),IF(AND(A566&lt;&gt;"",LEN("x"&amp;B566)-LEN(SUBSTITUTE("x"&amp;B566,".",""))=2,OR(1&gt;LEN(B566),MID(B566,1,1)=".",ISNUMBER(FIND("x"&amp;MID(B566,1,1),"x0x1x2x3x4x5x6x7x8x9"))),OR(2&gt;LEN(B566),MID(B566,2,1)=".",ISNUMBER(FIND("x"&amp;MID(B566,2,1),"x0x1x2x3x4x5x6x7x8x9"))),OR(3&gt;LEN(B566),MID(B566,3,1)=".",ISNUMBER(FIND("x"&amp;MID(B566,3,1),"x0x1x2x3x4x5x6x7x8x9"))),OR(4&gt;LEN(B566),MID(B566,4,1)=".",ISNUMBER(FIND("x"&amp;MID(B566,4,1),"x0x1x2x3x4x5x6x7x8x9"))),OR(5&gt;LEN(B566),MID(B566,5,1)=".",ISNUMBER(FIND("x"&amp;MID(B566,5,1),"x0x1x2x3x4x5x6x7x8x9"))),OR(6&gt;LEN(B566),MID(B566,6,1)=".",ISNUMBER(FIND("x"&amp;MID(B566,6,1),"x0x1x2x3x4x5x6x7x8x9"))),OR(7&gt;LEN(B566),MID(B566,7,1)=".",ISNUMBER(FIND("x"&amp;MID(B566,7,1),"x0x1x2x3x4x5x6x7x8x9"))),OR(8&gt;LEN(B566),MID(B566,8,1)=".",ISNUMBER(FIND("x"&amp;MID(B566,8,1),"x0x1x2x3x4x5x6x7x8x9"))),OR(9&gt;LEN(B566),MID(B566,9,1)=".",ISNUMBER(FIND("x"&amp;MID(B566,9,1),"x0x1x2x3x4x5x6x7x8x9"))),OR(10&gt;LEN(B566),MID(B566,10,1)=".",ISNUMBER(FIND("x"&amp;MID(B566,10,1),"x0x1x2x3x4x5x6x7x8x9"))),OR(AND(FIND(".",B566)=5,LEN(B566)-FIND(".",B566,FIND(".",B566)+1)&gt;=1,LEN(B566)-FIND(".",B566,FIND(".",B566)+1)&lt;=2),AND(LEN(B566)-FIND(".",B566,FIND(".",B566)+1)=4,FIND(".",B566)&gt;=2,FIND(".",B566)&lt;=3)),FIND(".",B566,FIND(".",B566)+1)-FIND(".",B566)&gt;=2,FIND(".",B566,FIND(".",B566)+1)-FIND(".",B566)&lt;=3,F566&gt;=2000,F566&lt;=2100,YEAR(I566)=F566,MONTH(I566)=G566,DAY(I566)=H566),I566,0)),0)</ns0:f>
        <ns0:v>0</ns0:v>
      </ns0:c>
      <ns0:c r="K566" s="0">
        <ns0:f>IFERROR(IF(ISNUMBER(Bookings!D566),"",TRIM(Bookings!D566&amp;"")),"")</ns0:f>
      </ns0:c>
      <ns0:c r="L566" s="0">
        <ns0:f>IFERROR(SUBSTITUTE(SUBSTITUTE(K566,"/","."),"-","."),"")</ns0:f>
      </ns0:c>
      <ns0:c r="M566" s="0">
        <ns0:f>IFERROR(LEFT(L566,FIND(".",L566)-1),"")</ns0:f>
      </ns0:c>
      <ns0:c r="N566" s="0">
        <ns0:f>IFERROR(MID(L566,FIND(".",L566)+1,FIND(".",L566,FIND(".",L566)+1)-FIND(".",L566)-1),"")</ns0:f>
      </ns0:c>
      <ns0:c r="O566" s="0">
        <ns0:f>IFERROR(MID(L566,FIND(".",L566,FIND(".",L566)+1)+1,99),"")</ns0:f>
        <ns0:v>99</ns0:v>
      </ns0:c>
      <ns0:c r="P566" s="0">
        <ns0:f>IFERROR(IF(FIND(".",L566)=5,--M566,--O566),0)</ns0:f>
        <ns0:v>0</ns0:v>
      </ns0:c>
      <ns0:c r="Q566" s="0">
        <ns0:f>IFERROR(--N566,0)</ns0:f>
        <ns0:v>0</ns0:v>
      </ns0:c>
      <ns0:c r="R566" s="0">
        <ns0:f>IFERROR(IF(FIND(".",L566)=5,--O566,--M566),0)</ns0:f>
        <ns0:v>0</ns0:v>
      </ns0:c>
      <ns0:c r="S566" s="0">
        <ns0:f>IFERROR(IF(AND(P566&gt;=2000,P566&lt;=2100,Q566&gt;=1,Q566&lt;=12,R566&gt;=1,R566&lt;=31),DATE(P566,Q566,R566),0),0)</ns0:f>
        <ns0:v>0</ns0:v>
      </ns0:c>
      <ns0:c r="T566" s="0">
        <ns0:f>IFERROR(IF(ISNUMBER(Bookings!D566),IF(AND(Bookings!D566=INT(Bookings!D566),Bookings!D566&gt;=DATE(2000,1,1),Bookings!D566&lt;=DATE(2100,12,31)),Bookings!D566,0),IF(AND(K566&lt;&gt;"",LEN("x"&amp;L566)-LEN(SUBSTITUTE("x"&amp;L566,".",""))=2,OR(1&gt;LEN(L566),MID(L566,1,1)=".",ISNUMBER(FIND("x"&amp;MID(L566,1,1),"x0x1x2x3x4x5x6x7x8x9"))),OR(2&gt;LEN(L566),MID(L566,2,1)=".",ISNUMBER(FIND("x"&amp;MID(L566,2,1),"x0x1x2x3x4x5x6x7x8x9"))),OR(3&gt;LEN(L566),MID(L566,3,1)=".",ISNUMBER(FIND("x"&amp;MID(L566,3,1),"x0x1x2x3x4x5x6x7x8x9"))),OR(4&gt;LEN(L566),MID(L566,4,1)=".",ISNUMBER(FIND("x"&amp;MID(L566,4,1),"x0x1x2x3x4x5x6x7x8x9"))),OR(5&gt;LEN(L566),MID(L566,5,1)=".",ISNUMBER(FIND("x"&amp;MID(L566,5,1),"x0x1x2x3x4x5x6x7x8x9"))),OR(6&gt;LEN(L566),MID(L566,6,1)=".",ISNUMBER(FIND("x"&amp;MID(L566,6,1),"x0x1x2x3x4x5x6x7x8x9"))),OR(7&gt;LEN(L566),MID(L566,7,1)=".",ISNUMBER(FIND("x"&amp;MID(L566,7,1),"x0x1x2x3x4x5x6x7x8x9"))),OR(8&gt;LEN(L566),MID(L566,8,1)=".",ISNUMBER(FIND("x"&amp;MID(L566,8,1),"x0x1x2x3x4x5x6x7x8x9"))),OR(9&gt;LEN(L566),MID(L566,9,1)=".",ISNUMBER(FIND("x"&amp;MID(L566,9,1),"x0x1x2x3x4x5x6x7x8x9"))),OR(10&gt;LEN(L566),MID(L566,10,1)=".",ISNUMBER(FIND("x"&amp;MID(L566,10,1),"x0x1x2x3x4x5x6x7x8x9"))),OR(AND(FIND(".",L566)=5,LEN(L566)-FIND(".",L566,FIND(".",L566)+1)&gt;=1,LEN(L566)-FIND(".",L566,FIND(".",L566)+1)&lt;=2),AND(LEN(L566)-FIND(".",L566,FIND(".",L566)+1)=4,FIND(".",L566)&gt;=2,FIND(".",L566)&lt;=3)),FIND(".",L566,FIND(".",L566)+1)-FIND(".",L566)&gt;=2,FIND(".",L566,FIND(".",L566)+1)-FIND(".",L566)&lt;=3,P566&gt;=2000,P566&lt;=2100,YEAR(S566)=P566,MONTH(S566)=Q566,DAY(S566)=R566),S566,0)),0)</ns0:f>
        <ns0:v>0</ns0:v>
      </ns0:c>
      <ns0:c r="U566" s="0" t="str">
        <ns0:f>IF(Bookings!C566="","Full day",Bookings!C566)</ns0:f>
        <ns0:v>Full day</ns0:v>
      </ns0:c>
      <ns0:c r="V566" s="0" t="str">
        <ns0:f>IF(Bookings!E566="","Full day",Bookings!E566)</ns0:f>
        <ns0:v>Full day</ns0:v>
      </ns0:c>
      <ns0:c r="W566" s="0">
        <ns0:f>IF(J566=0,0,J566+IF(U566="PM",1,0))</ns0:f>
        <ns0:v>0</ns0:v>
      </ns0:c>
      <ns0:c r="X566" s="0">
        <ns0:f>IF(T566=0,0,T566-IF(V566="PM",1,0))</ns0:f>
        <ns0:v>0</ns0:v>
      </ns0:c>
      <ns0:c r="Y566" s="0">
        <ns0:f>IF(J566=0,0,J566+IF(U566="AM",1,0))</ns0:f>
        <ns0:v>0</ns0:v>
      </ns0:c>
      <ns0:c r="Z566" s="0">
        <ns0:f>IF(T566=0,0,T566-IF(V566="AM",1,0))</ns0:f>
        <ns0:v>0</ns0:v>
      </ns0:c>
      <ns0:c r="AA566" s="0">
        <ns0:f>IFERROR(IF(AND(J566&gt;0,'_Engine'!C566&gt;0,MID('_Engine'!W566,WEEKDAY(J566,2),1)="W",COUNTIF(Settings!$F$18:$F$67,J566)=0),1,0),0)</ns0:f>
        <ns0:v>0</ns0:v>
      </ns0:c>
      <ns0:c r="AB566" s="0">
        <ns0:f>IFERROR(IF(AND(T566&gt;0,'_Engine'!C566&gt;0,MID('_Engine'!W566,WEEKDAY(T566,2),1)="W",COUNTIF(Settings!$F$18:$F$67,T566)=0),1,0),0)</ns0:f>
        <ns0:v>0</ns0:v>
      </ns0:c>
      <ns0:c r="AC566" s="0">
        <ns0:f>IF(AND(J566&gt;0,T566&gt;0,W566&lt;=X566),1,0)</ns0:f>
        <ns0:v>0</ns0:v>
      </ns0:c>
      <ns0:c r="AD566" s="0">
        <ns0:f>IF(AND(J566&gt;0,T566&gt;0,Y566&lt;=Z566),1,0)</ns0:f>
        <ns0:v>0</ns0:v>
      </ns0:c>
    </ns0:row>
    <ns0:row r="567">
      <ns0:c r="A567" s="0">
        <ns0:f>IFERROR(IF(ISNUMBER(Bookings!B567),"",TRIM(Bookings!B567&amp;"")),"")</ns0:f>
      </ns0:c>
      <ns0:c r="B567" s="0">
        <ns0:f>IFERROR(SUBSTITUTE(SUBSTITUTE(A567,"/","."),"-","."),"")</ns0:f>
      </ns0:c>
      <ns0:c r="C567" s="0">
        <ns0:f>IFERROR(LEFT(B567,FIND(".",B567)-1),"")</ns0:f>
      </ns0:c>
      <ns0:c r="D567" s="0">
        <ns0:f>IFERROR(MID(B567,FIND(".",B567)+1,FIND(".",B567,FIND(".",B567)+1)-FIND(".",B567)-1),"")</ns0:f>
      </ns0:c>
      <ns0:c r="E567" s="0">
        <ns0:f>IFERROR(MID(B567,FIND(".",B567,FIND(".",B567)+1)+1,99),"")</ns0:f>
        <ns0:v>99</ns0:v>
      </ns0:c>
      <ns0:c r="F567" s="0">
        <ns0:f>IFERROR(IF(FIND(".",B567)=5,--C567,--E567),0)</ns0:f>
        <ns0:v>0</ns0:v>
      </ns0:c>
      <ns0:c r="G567" s="0">
        <ns0:f>IFERROR(--D567,0)</ns0:f>
        <ns0:v>0</ns0:v>
      </ns0:c>
      <ns0:c r="H567" s="0">
        <ns0:f>IFERROR(IF(FIND(".",B567)=5,--E567,--C567),0)</ns0:f>
        <ns0:v>0</ns0:v>
      </ns0:c>
      <ns0:c r="I567" s="0">
        <ns0:f>IFERROR(IF(AND(F567&gt;=2000,F567&lt;=2100,G567&gt;=1,G567&lt;=12,H567&gt;=1,H567&lt;=31),DATE(F567,G567,H567),0),0)</ns0:f>
        <ns0:v>0</ns0:v>
      </ns0:c>
      <ns0:c r="J567" s="0">
        <ns0:f>IFERROR(IF(ISNUMBER(Bookings!B567),IF(AND(Bookings!B567=INT(Bookings!B567),Bookings!B567&gt;=DATE(2000,1,1),Bookings!B567&lt;=DATE(2100,12,31)),Bookings!B567,0),IF(AND(A567&lt;&gt;"",LEN("x"&amp;B567)-LEN(SUBSTITUTE("x"&amp;B567,".",""))=2,OR(1&gt;LEN(B567),MID(B567,1,1)=".",ISNUMBER(FIND("x"&amp;MID(B567,1,1),"x0x1x2x3x4x5x6x7x8x9"))),OR(2&gt;LEN(B567),MID(B567,2,1)=".",ISNUMBER(FIND("x"&amp;MID(B567,2,1),"x0x1x2x3x4x5x6x7x8x9"))),OR(3&gt;LEN(B567),MID(B567,3,1)=".",ISNUMBER(FIND("x"&amp;MID(B567,3,1),"x0x1x2x3x4x5x6x7x8x9"))),OR(4&gt;LEN(B567),MID(B567,4,1)=".",ISNUMBER(FIND("x"&amp;MID(B567,4,1),"x0x1x2x3x4x5x6x7x8x9"))),OR(5&gt;LEN(B567),MID(B567,5,1)=".",ISNUMBER(FIND("x"&amp;MID(B567,5,1),"x0x1x2x3x4x5x6x7x8x9"))),OR(6&gt;LEN(B567),MID(B567,6,1)=".",ISNUMBER(FIND("x"&amp;MID(B567,6,1),"x0x1x2x3x4x5x6x7x8x9"))),OR(7&gt;LEN(B567),MID(B567,7,1)=".",ISNUMBER(FIND("x"&amp;MID(B567,7,1),"x0x1x2x3x4x5x6x7x8x9"))),OR(8&gt;LEN(B567),MID(B567,8,1)=".",ISNUMBER(FIND("x"&amp;MID(B567,8,1),"x0x1x2x3x4x5x6x7x8x9"))),OR(9&gt;LEN(B567),MID(B567,9,1)=".",ISNUMBER(FIND("x"&amp;MID(B567,9,1),"x0x1x2x3x4x5x6x7x8x9"))),OR(10&gt;LEN(B567),MID(B567,10,1)=".",ISNUMBER(FIND("x"&amp;MID(B567,10,1),"x0x1x2x3x4x5x6x7x8x9"))),OR(AND(FIND(".",B567)=5,LEN(B567)-FIND(".",B567,FIND(".",B567)+1)&gt;=1,LEN(B567)-FIND(".",B567,FIND(".",B567)+1)&lt;=2),AND(LEN(B567)-FIND(".",B567,FIND(".",B567)+1)=4,FIND(".",B567)&gt;=2,FIND(".",B567)&lt;=3)),FIND(".",B567,FIND(".",B567)+1)-FIND(".",B567)&gt;=2,FIND(".",B567,FIND(".",B567)+1)-FIND(".",B567)&lt;=3,F567&gt;=2000,F567&lt;=2100,YEAR(I567)=F567,MONTH(I567)=G567,DAY(I567)=H567),I567,0)),0)</ns0:f>
        <ns0:v>0</ns0:v>
      </ns0:c>
      <ns0:c r="K567" s="0">
        <ns0:f>IFERROR(IF(ISNUMBER(Bookings!D567),"",TRIM(Bookings!D567&amp;"")),"")</ns0:f>
      </ns0:c>
      <ns0:c r="L567" s="0">
        <ns0:f>IFERROR(SUBSTITUTE(SUBSTITUTE(K567,"/","."),"-","."),"")</ns0:f>
      </ns0:c>
      <ns0:c r="M567" s="0">
        <ns0:f>IFERROR(LEFT(L567,FIND(".",L567)-1),"")</ns0:f>
      </ns0:c>
      <ns0:c r="N567" s="0">
        <ns0:f>IFERROR(MID(L567,FIND(".",L567)+1,FIND(".",L567,FIND(".",L567)+1)-FIND(".",L567)-1),"")</ns0:f>
      </ns0:c>
      <ns0:c r="O567" s="0">
        <ns0:f>IFERROR(MID(L567,FIND(".",L567,FIND(".",L567)+1)+1,99),"")</ns0:f>
        <ns0:v>99</ns0:v>
      </ns0:c>
      <ns0:c r="P567" s="0">
        <ns0:f>IFERROR(IF(FIND(".",L567)=5,--M567,--O567),0)</ns0:f>
        <ns0:v>0</ns0:v>
      </ns0:c>
      <ns0:c r="Q567" s="0">
        <ns0:f>IFERROR(--N567,0)</ns0:f>
        <ns0:v>0</ns0:v>
      </ns0:c>
      <ns0:c r="R567" s="0">
        <ns0:f>IFERROR(IF(FIND(".",L567)=5,--O567,--M567),0)</ns0:f>
        <ns0:v>0</ns0:v>
      </ns0:c>
      <ns0:c r="S567" s="0">
        <ns0:f>IFERROR(IF(AND(P567&gt;=2000,P567&lt;=2100,Q567&gt;=1,Q567&lt;=12,R567&gt;=1,R567&lt;=31),DATE(P567,Q567,R567),0),0)</ns0:f>
        <ns0:v>0</ns0:v>
      </ns0:c>
      <ns0:c r="T567" s="0">
        <ns0:f>IFERROR(IF(ISNUMBER(Bookings!D567),IF(AND(Bookings!D567=INT(Bookings!D567),Bookings!D567&gt;=DATE(2000,1,1),Bookings!D567&lt;=DATE(2100,12,31)),Bookings!D567,0),IF(AND(K567&lt;&gt;"",LEN("x"&amp;L567)-LEN(SUBSTITUTE("x"&amp;L567,".",""))=2,OR(1&gt;LEN(L567),MID(L567,1,1)=".",ISNUMBER(FIND("x"&amp;MID(L567,1,1),"x0x1x2x3x4x5x6x7x8x9"))),OR(2&gt;LEN(L567),MID(L567,2,1)=".",ISNUMBER(FIND("x"&amp;MID(L567,2,1),"x0x1x2x3x4x5x6x7x8x9"))),OR(3&gt;LEN(L567),MID(L567,3,1)=".",ISNUMBER(FIND("x"&amp;MID(L567,3,1),"x0x1x2x3x4x5x6x7x8x9"))),OR(4&gt;LEN(L567),MID(L567,4,1)=".",ISNUMBER(FIND("x"&amp;MID(L567,4,1),"x0x1x2x3x4x5x6x7x8x9"))),OR(5&gt;LEN(L567),MID(L567,5,1)=".",ISNUMBER(FIND("x"&amp;MID(L567,5,1),"x0x1x2x3x4x5x6x7x8x9"))),OR(6&gt;LEN(L567),MID(L567,6,1)=".",ISNUMBER(FIND("x"&amp;MID(L567,6,1),"x0x1x2x3x4x5x6x7x8x9"))),OR(7&gt;LEN(L567),MID(L567,7,1)=".",ISNUMBER(FIND("x"&amp;MID(L567,7,1),"x0x1x2x3x4x5x6x7x8x9"))),OR(8&gt;LEN(L567),MID(L567,8,1)=".",ISNUMBER(FIND("x"&amp;MID(L567,8,1),"x0x1x2x3x4x5x6x7x8x9"))),OR(9&gt;LEN(L567),MID(L567,9,1)=".",ISNUMBER(FIND("x"&amp;MID(L567,9,1),"x0x1x2x3x4x5x6x7x8x9"))),OR(10&gt;LEN(L567),MID(L567,10,1)=".",ISNUMBER(FIND("x"&amp;MID(L567,10,1),"x0x1x2x3x4x5x6x7x8x9"))),OR(AND(FIND(".",L567)=5,LEN(L567)-FIND(".",L567,FIND(".",L567)+1)&gt;=1,LEN(L567)-FIND(".",L567,FIND(".",L567)+1)&lt;=2),AND(LEN(L567)-FIND(".",L567,FIND(".",L567)+1)=4,FIND(".",L567)&gt;=2,FIND(".",L567)&lt;=3)),FIND(".",L567,FIND(".",L567)+1)-FIND(".",L567)&gt;=2,FIND(".",L567,FIND(".",L567)+1)-FIND(".",L567)&lt;=3,P567&gt;=2000,P567&lt;=2100,YEAR(S567)=P567,MONTH(S567)=Q567,DAY(S567)=R567),S567,0)),0)</ns0:f>
        <ns0:v>0</ns0:v>
      </ns0:c>
      <ns0:c r="U567" s="0" t="str">
        <ns0:f>IF(Bookings!C567="","Full day",Bookings!C567)</ns0:f>
        <ns0:v>Full day</ns0:v>
      </ns0:c>
      <ns0:c r="V567" s="0" t="str">
        <ns0:f>IF(Bookings!E567="","Full day",Bookings!E567)</ns0:f>
        <ns0:v>Full day</ns0:v>
      </ns0:c>
      <ns0:c r="W567" s="0">
        <ns0:f>IF(J567=0,0,J567+IF(U567="PM",1,0))</ns0:f>
        <ns0:v>0</ns0:v>
      </ns0:c>
      <ns0:c r="X567" s="0">
        <ns0:f>IF(T567=0,0,T567-IF(V567="PM",1,0))</ns0:f>
        <ns0:v>0</ns0:v>
      </ns0:c>
      <ns0:c r="Y567" s="0">
        <ns0:f>IF(J567=0,0,J567+IF(U567="AM",1,0))</ns0:f>
        <ns0:v>0</ns0:v>
      </ns0:c>
      <ns0:c r="Z567" s="0">
        <ns0:f>IF(T567=0,0,T567-IF(V567="AM",1,0))</ns0:f>
        <ns0:v>0</ns0:v>
      </ns0:c>
      <ns0:c r="AA567" s="0">
        <ns0:f>IFERROR(IF(AND(J567&gt;0,'_Engine'!C567&gt;0,MID('_Engine'!W567,WEEKDAY(J567,2),1)="W",COUNTIF(Settings!$F$18:$F$67,J567)=0),1,0),0)</ns0:f>
        <ns0:v>0</ns0:v>
      </ns0:c>
      <ns0:c r="AB567" s="0">
        <ns0:f>IFERROR(IF(AND(T567&gt;0,'_Engine'!C567&gt;0,MID('_Engine'!W567,WEEKDAY(T567,2),1)="W",COUNTIF(Settings!$F$18:$F$67,T567)=0),1,0),0)</ns0:f>
        <ns0:v>0</ns0:v>
      </ns0:c>
      <ns0:c r="AC567" s="0">
        <ns0:f>IF(AND(J567&gt;0,T567&gt;0,W567&lt;=X567),1,0)</ns0:f>
        <ns0:v>0</ns0:v>
      </ns0:c>
      <ns0:c r="AD567" s="0">
        <ns0:f>IF(AND(J567&gt;0,T567&gt;0,Y567&lt;=Z567),1,0)</ns0:f>
        <ns0:v>0</ns0:v>
      </ns0:c>
    </ns0:row>
    <ns0:row r="568">
      <ns0:c r="A568" s="0">
        <ns0:f>IFERROR(IF(ISNUMBER(Bookings!B568),"",TRIM(Bookings!B568&amp;"")),"")</ns0:f>
      </ns0:c>
      <ns0:c r="B568" s="0">
        <ns0:f>IFERROR(SUBSTITUTE(SUBSTITUTE(A568,"/","."),"-","."),"")</ns0:f>
      </ns0:c>
      <ns0:c r="C568" s="0">
        <ns0:f>IFERROR(LEFT(B568,FIND(".",B568)-1),"")</ns0:f>
      </ns0:c>
      <ns0:c r="D568" s="0">
        <ns0:f>IFERROR(MID(B568,FIND(".",B568)+1,FIND(".",B568,FIND(".",B568)+1)-FIND(".",B568)-1),"")</ns0:f>
      </ns0:c>
      <ns0:c r="E568" s="0">
        <ns0:f>IFERROR(MID(B568,FIND(".",B568,FIND(".",B568)+1)+1,99),"")</ns0:f>
        <ns0:v>99</ns0:v>
      </ns0:c>
      <ns0:c r="F568" s="0">
        <ns0:f>IFERROR(IF(FIND(".",B568)=5,--C568,--E568),0)</ns0:f>
        <ns0:v>0</ns0:v>
      </ns0:c>
      <ns0:c r="G568" s="0">
        <ns0:f>IFERROR(--D568,0)</ns0:f>
        <ns0:v>0</ns0:v>
      </ns0:c>
      <ns0:c r="H568" s="0">
        <ns0:f>IFERROR(IF(FIND(".",B568)=5,--E568,--C568),0)</ns0:f>
        <ns0:v>0</ns0:v>
      </ns0:c>
      <ns0:c r="I568" s="0">
        <ns0:f>IFERROR(IF(AND(F568&gt;=2000,F568&lt;=2100,G568&gt;=1,G568&lt;=12,H568&gt;=1,H568&lt;=31),DATE(F568,G568,H568),0),0)</ns0:f>
        <ns0:v>0</ns0:v>
      </ns0:c>
      <ns0:c r="J568" s="0">
        <ns0:f>IFERROR(IF(ISNUMBER(Bookings!B568),IF(AND(Bookings!B568=INT(Bookings!B568),Bookings!B568&gt;=DATE(2000,1,1),Bookings!B568&lt;=DATE(2100,12,31)),Bookings!B568,0),IF(AND(A568&lt;&gt;"",LEN("x"&amp;B568)-LEN(SUBSTITUTE("x"&amp;B568,".",""))=2,OR(1&gt;LEN(B568),MID(B568,1,1)=".",ISNUMBER(FIND("x"&amp;MID(B568,1,1),"x0x1x2x3x4x5x6x7x8x9"))),OR(2&gt;LEN(B568),MID(B568,2,1)=".",ISNUMBER(FIND("x"&amp;MID(B568,2,1),"x0x1x2x3x4x5x6x7x8x9"))),OR(3&gt;LEN(B568),MID(B568,3,1)=".",ISNUMBER(FIND("x"&amp;MID(B568,3,1),"x0x1x2x3x4x5x6x7x8x9"))),OR(4&gt;LEN(B568),MID(B568,4,1)=".",ISNUMBER(FIND("x"&amp;MID(B568,4,1),"x0x1x2x3x4x5x6x7x8x9"))),OR(5&gt;LEN(B568),MID(B568,5,1)=".",ISNUMBER(FIND("x"&amp;MID(B568,5,1),"x0x1x2x3x4x5x6x7x8x9"))),OR(6&gt;LEN(B568),MID(B568,6,1)=".",ISNUMBER(FIND("x"&amp;MID(B568,6,1),"x0x1x2x3x4x5x6x7x8x9"))),OR(7&gt;LEN(B568),MID(B568,7,1)=".",ISNUMBER(FIND("x"&amp;MID(B568,7,1),"x0x1x2x3x4x5x6x7x8x9"))),OR(8&gt;LEN(B568),MID(B568,8,1)=".",ISNUMBER(FIND("x"&amp;MID(B568,8,1),"x0x1x2x3x4x5x6x7x8x9"))),OR(9&gt;LEN(B568),MID(B568,9,1)=".",ISNUMBER(FIND("x"&amp;MID(B568,9,1),"x0x1x2x3x4x5x6x7x8x9"))),OR(10&gt;LEN(B568),MID(B568,10,1)=".",ISNUMBER(FIND("x"&amp;MID(B568,10,1),"x0x1x2x3x4x5x6x7x8x9"))),OR(AND(FIND(".",B568)=5,LEN(B568)-FIND(".",B568,FIND(".",B568)+1)&gt;=1,LEN(B568)-FIND(".",B568,FIND(".",B568)+1)&lt;=2),AND(LEN(B568)-FIND(".",B568,FIND(".",B568)+1)=4,FIND(".",B568)&gt;=2,FIND(".",B568)&lt;=3)),FIND(".",B568,FIND(".",B568)+1)-FIND(".",B568)&gt;=2,FIND(".",B568,FIND(".",B568)+1)-FIND(".",B568)&lt;=3,F568&gt;=2000,F568&lt;=2100,YEAR(I568)=F568,MONTH(I568)=G568,DAY(I568)=H568),I568,0)),0)</ns0:f>
        <ns0:v>0</ns0:v>
      </ns0:c>
      <ns0:c r="K568" s="0">
        <ns0:f>IFERROR(IF(ISNUMBER(Bookings!D568),"",TRIM(Bookings!D568&amp;"")),"")</ns0:f>
      </ns0:c>
      <ns0:c r="L568" s="0">
        <ns0:f>IFERROR(SUBSTITUTE(SUBSTITUTE(K568,"/","."),"-","."),"")</ns0:f>
      </ns0:c>
      <ns0:c r="M568" s="0">
        <ns0:f>IFERROR(LEFT(L568,FIND(".",L568)-1),"")</ns0:f>
      </ns0:c>
      <ns0:c r="N568" s="0">
        <ns0:f>IFERROR(MID(L568,FIND(".",L568)+1,FIND(".",L568,FIND(".",L568)+1)-FIND(".",L568)-1),"")</ns0:f>
      </ns0:c>
      <ns0:c r="O568" s="0">
        <ns0:f>IFERROR(MID(L568,FIND(".",L568,FIND(".",L568)+1)+1,99),"")</ns0:f>
        <ns0:v>99</ns0:v>
      </ns0:c>
      <ns0:c r="P568" s="0">
        <ns0:f>IFERROR(IF(FIND(".",L568)=5,--M568,--O568),0)</ns0:f>
        <ns0:v>0</ns0:v>
      </ns0:c>
      <ns0:c r="Q568" s="0">
        <ns0:f>IFERROR(--N568,0)</ns0:f>
        <ns0:v>0</ns0:v>
      </ns0:c>
      <ns0:c r="R568" s="0">
        <ns0:f>IFERROR(IF(FIND(".",L568)=5,--O568,--M568),0)</ns0:f>
        <ns0:v>0</ns0:v>
      </ns0:c>
      <ns0:c r="S568" s="0">
        <ns0:f>IFERROR(IF(AND(P568&gt;=2000,P568&lt;=2100,Q568&gt;=1,Q568&lt;=12,R568&gt;=1,R568&lt;=31),DATE(P568,Q568,R568),0),0)</ns0:f>
        <ns0:v>0</ns0:v>
      </ns0:c>
      <ns0:c r="T568" s="0">
        <ns0:f>IFERROR(IF(ISNUMBER(Bookings!D568),IF(AND(Bookings!D568=INT(Bookings!D568),Bookings!D568&gt;=DATE(2000,1,1),Bookings!D568&lt;=DATE(2100,12,31)),Bookings!D568,0),IF(AND(K568&lt;&gt;"",LEN("x"&amp;L568)-LEN(SUBSTITUTE("x"&amp;L568,".",""))=2,OR(1&gt;LEN(L568),MID(L568,1,1)=".",ISNUMBER(FIND("x"&amp;MID(L568,1,1),"x0x1x2x3x4x5x6x7x8x9"))),OR(2&gt;LEN(L568),MID(L568,2,1)=".",ISNUMBER(FIND("x"&amp;MID(L568,2,1),"x0x1x2x3x4x5x6x7x8x9"))),OR(3&gt;LEN(L568),MID(L568,3,1)=".",ISNUMBER(FIND("x"&amp;MID(L568,3,1),"x0x1x2x3x4x5x6x7x8x9"))),OR(4&gt;LEN(L568),MID(L568,4,1)=".",ISNUMBER(FIND("x"&amp;MID(L568,4,1),"x0x1x2x3x4x5x6x7x8x9"))),OR(5&gt;LEN(L568),MID(L568,5,1)=".",ISNUMBER(FIND("x"&amp;MID(L568,5,1),"x0x1x2x3x4x5x6x7x8x9"))),OR(6&gt;LEN(L568),MID(L568,6,1)=".",ISNUMBER(FIND("x"&amp;MID(L568,6,1),"x0x1x2x3x4x5x6x7x8x9"))),OR(7&gt;LEN(L568),MID(L568,7,1)=".",ISNUMBER(FIND("x"&amp;MID(L568,7,1),"x0x1x2x3x4x5x6x7x8x9"))),OR(8&gt;LEN(L568),MID(L568,8,1)=".",ISNUMBER(FIND("x"&amp;MID(L568,8,1),"x0x1x2x3x4x5x6x7x8x9"))),OR(9&gt;LEN(L568),MID(L568,9,1)=".",ISNUMBER(FIND("x"&amp;MID(L568,9,1),"x0x1x2x3x4x5x6x7x8x9"))),OR(10&gt;LEN(L568),MID(L568,10,1)=".",ISNUMBER(FIND("x"&amp;MID(L568,10,1),"x0x1x2x3x4x5x6x7x8x9"))),OR(AND(FIND(".",L568)=5,LEN(L568)-FIND(".",L568,FIND(".",L568)+1)&gt;=1,LEN(L568)-FIND(".",L568,FIND(".",L568)+1)&lt;=2),AND(LEN(L568)-FIND(".",L568,FIND(".",L568)+1)=4,FIND(".",L568)&gt;=2,FIND(".",L568)&lt;=3)),FIND(".",L568,FIND(".",L568)+1)-FIND(".",L568)&gt;=2,FIND(".",L568,FIND(".",L568)+1)-FIND(".",L568)&lt;=3,P568&gt;=2000,P568&lt;=2100,YEAR(S568)=P568,MONTH(S568)=Q568,DAY(S568)=R568),S568,0)),0)</ns0:f>
        <ns0:v>0</ns0:v>
      </ns0:c>
      <ns0:c r="U568" s="0" t="str">
        <ns0:f>IF(Bookings!C568="","Full day",Bookings!C568)</ns0:f>
        <ns0:v>Full day</ns0:v>
      </ns0:c>
      <ns0:c r="V568" s="0" t="str">
        <ns0:f>IF(Bookings!E568="","Full day",Bookings!E568)</ns0:f>
        <ns0:v>Full day</ns0:v>
      </ns0:c>
      <ns0:c r="W568" s="0">
        <ns0:f>IF(J568=0,0,J568+IF(U568="PM",1,0))</ns0:f>
        <ns0:v>0</ns0:v>
      </ns0:c>
      <ns0:c r="X568" s="0">
        <ns0:f>IF(T568=0,0,T568-IF(V568="PM",1,0))</ns0:f>
        <ns0:v>0</ns0:v>
      </ns0:c>
      <ns0:c r="Y568" s="0">
        <ns0:f>IF(J568=0,0,J568+IF(U568="AM",1,0))</ns0:f>
        <ns0:v>0</ns0:v>
      </ns0:c>
      <ns0:c r="Z568" s="0">
        <ns0:f>IF(T568=0,0,T568-IF(V568="AM",1,0))</ns0:f>
        <ns0:v>0</ns0:v>
      </ns0:c>
      <ns0:c r="AA568" s="0">
        <ns0:f>IFERROR(IF(AND(J568&gt;0,'_Engine'!C568&gt;0,MID('_Engine'!W568,WEEKDAY(J568,2),1)="W",COUNTIF(Settings!$F$18:$F$67,J568)=0),1,0),0)</ns0:f>
        <ns0:v>0</ns0:v>
      </ns0:c>
      <ns0:c r="AB568" s="0">
        <ns0:f>IFERROR(IF(AND(T568&gt;0,'_Engine'!C568&gt;0,MID('_Engine'!W568,WEEKDAY(T568,2),1)="W",COUNTIF(Settings!$F$18:$F$67,T568)=0),1,0),0)</ns0:f>
        <ns0:v>0</ns0:v>
      </ns0:c>
      <ns0:c r="AC568" s="0">
        <ns0:f>IF(AND(J568&gt;0,T568&gt;0,W568&lt;=X568),1,0)</ns0:f>
        <ns0:v>0</ns0:v>
      </ns0:c>
      <ns0:c r="AD568" s="0">
        <ns0:f>IF(AND(J568&gt;0,T568&gt;0,Y568&lt;=Z568),1,0)</ns0:f>
        <ns0:v>0</ns0:v>
      </ns0:c>
    </ns0:row>
    <ns0:row r="569">
      <ns0:c r="A569" s="0">
        <ns0:f>IFERROR(IF(ISNUMBER(Bookings!B569),"",TRIM(Bookings!B569&amp;"")),"")</ns0:f>
      </ns0:c>
      <ns0:c r="B569" s="0">
        <ns0:f>IFERROR(SUBSTITUTE(SUBSTITUTE(A569,"/","."),"-","."),"")</ns0:f>
      </ns0:c>
      <ns0:c r="C569" s="0">
        <ns0:f>IFERROR(LEFT(B569,FIND(".",B569)-1),"")</ns0:f>
      </ns0:c>
      <ns0:c r="D569" s="0">
        <ns0:f>IFERROR(MID(B569,FIND(".",B569)+1,FIND(".",B569,FIND(".",B569)+1)-FIND(".",B569)-1),"")</ns0:f>
      </ns0:c>
      <ns0:c r="E569" s="0">
        <ns0:f>IFERROR(MID(B569,FIND(".",B569,FIND(".",B569)+1)+1,99),"")</ns0:f>
        <ns0:v>99</ns0:v>
      </ns0:c>
      <ns0:c r="F569" s="0">
        <ns0:f>IFERROR(IF(FIND(".",B569)=5,--C569,--E569),0)</ns0:f>
        <ns0:v>0</ns0:v>
      </ns0:c>
      <ns0:c r="G569" s="0">
        <ns0:f>IFERROR(--D569,0)</ns0:f>
        <ns0:v>0</ns0:v>
      </ns0:c>
      <ns0:c r="H569" s="0">
        <ns0:f>IFERROR(IF(FIND(".",B569)=5,--E569,--C569),0)</ns0:f>
        <ns0:v>0</ns0:v>
      </ns0:c>
      <ns0:c r="I569" s="0">
        <ns0:f>IFERROR(IF(AND(F569&gt;=2000,F569&lt;=2100,G569&gt;=1,G569&lt;=12,H569&gt;=1,H569&lt;=31),DATE(F569,G569,H569),0),0)</ns0:f>
        <ns0:v>0</ns0:v>
      </ns0:c>
      <ns0:c r="J569" s="0">
        <ns0:f>IFERROR(IF(ISNUMBER(Bookings!B569),IF(AND(Bookings!B569=INT(Bookings!B569),Bookings!B569&gt;=DATE(2000,1,1),Bookings!B569&lt;=DATE(2100,12,31)),Bookings!B569,0),IF(AND(A569&lt;&gt;"",LEN("x"&amp;B569)-LEN(SUBSTITUTE("x"&amp;B569,".",""))=2,OR(1&gt;LEN(B569),MID(B569,1,1)=".",ISNUMBER(FIND("x"&amp;MID(B569,1,1),"x0x1x2x3x4x5x6x7x8x9"))),OR(2&gt;LEN(B569),MID(B569,2,1)=".",ISNUMBER(FIND("x"&amp;MID(B569,2,1),"x0x1x2x3x4x5x6x7x8x9"))),OR(3&gt;LEN(B569),MID(B569,3,1)=".",ISNUMBER(FIND("x"&amp;MID(B569,3,1),"x0x1x2x3x4x5x6x7x8x9"))),OR(4&gt;LEN(B569),MID(B569,4,1)=".",ISNUMBER(FIND("x"&amp;MID(B569,4,1),"x0x1x2x3x4x5x6x7x8x9"))),OR(5&gt;LEN(B569),MID(B569,5,1)=".",ISNUMBER(FIND("x"&amp;MID(B569,5,1),"x0x1x2x3x4x5x6x7x8x9"))),OR(6&gt;LEN(B569),MID(B569,6,1)=".",ISNUMBER(FIND("x"&amp;MID(B569,6,1),"x0x1x2x3x4x5x6x7x8x9"))),OR(7&gt;LEN(B569),MID(B569,7,1)=".",ISNUMBER(FIND("x"&amp;MID(B569,7,1),"x0x1x2x3x4x5x6x7x8x9"))),OR(8&gt;LEN(B569),MID(B569,8,1)=".",ISNUMBER(FIND("x"&amp;MID(B569,8,1),"x0x1x2x3x4x5x6x7x8x9"))),OR(9&gt;LEN(B569),MID(B569,9,1)=".",ISNUMBER(FIND("x"&amp;MID(B569,9,1),"x0x1x2x3x4x5x6x7x8x9"))),OR(10&gt;LEN(B569),MID(B569,10,1)=".",ISNUMBER(FIND("x"&amp;MID(B569,10,1),"x0x1x2x3x4x5x6x7x8x9"))),OR(AND(FIND(".",B569)=5,LEN(B569)-FIND(".",B569,FIND(".",B569)+1)&gt;=1,LEN(B569)-FIND(".",B569,FIND(".",B569)+1)&lt;=2),AND(LEN(B569)-FIND(".",B569,FIND(".",B569)+1)=4,FIND(".",B569)&gt;=2,FIND(".",B569)&lt;=3)),FIND(".",B569,FIND(".",B569)+1)-FIND(".",B569)&gt;=2,FIND(".",B569,FIND(".",B569)+1)-FIND(".",B569)&lt;=3,F569&gt;=2000,F569&lt;=2100,YEAR(I569)=F569,MONTH(I569)=G569,DAY(I569)=H569),I569,0)),0)</ns0:f>
        <ns0:v>0</ns0:v>
      </ns0:c>
      <ns0:c r="K569" s="0">
        <ns0:f>IFERROR(IF(ISNUMBER(Bookings!D569),"",TRIM(Bookings!D569&amp;"")),"")</ns0:f>
      </ns0:c>
      <ns0:c r="L569" s="0">
        <ns0:f>IFERROR(SUBSTITUTE(SUBSTITUTE(K569,"/","."),"-","."),"")</ns0:f>
      </ns0:c>
      <ns0:c r="M569" s="0">
        <ns0:f>IFERROR(LEFT(L569,FIND(".",L569)-1),"")</ns0:f>
      </ns0:c>
      <ns0:c r="N569" s="0">
        <ns0:f>IFERROR(MID(L569,FIND(".",L569)+1,FIND(".",L569,FIND(".",L569)+1)-FIND(".",L569)-1),"")</ns0:f>
      </ns0:c>
      <ns0:c r="O569" s="0">
        <ns0:f>IFERROR(MID(L569,FIND(".",L569,FIND(".",L569)+1)+1,99),"")</ns0:f>
        <ns0:v>99</ns0:v>
      </ns0:c>
      <ns0:c r="P569" s="0">
        <ns0:f>IFERROR(IF(FIND(".",L569)=5,--M569,--O569),0)</ns0:f>
        <ns0:v>0</ns0:v>
      </ns0:c>
      <ns0:c r="Q569" s="0">
        <ns0:f>IFERROR(--N569,0)</ns0:f>
        <ns0:v>0</ns0:v>
      </ns0:c>
      <ns0:c r="R569" s="0">
        <ns0:f>IFERROR(IF(FIND(".",L569)=5,--O569,--M569),0)</ns0:f>
        <ns0:v>0</ns0:v>
      </ns0:c>
      <ns0:c r="S569" s="0">
        <ns0:f>IFERROR(IF(AND(P569&gt;=2000,P569&lt;=2100,Q569&gt;=1,Q569&lt;=12,R569&gt;=1,R569&lt;=31),DATE(P569,Q569,R569),0),0)</ns0:f>
        <ns0:v>0</ns0:v>
      </ns0:c>
      <ns0:c r="T569" s="0">
        <ns0:f>IFERROR(IF(ISNUMBER(Bookings!D569),IF(AND(Bookings!D569=INT(Bookings!D569),Bookings!D569&gt;=DATE(2000,1,1),Bookings!D569&lt;=DATE(2100,12,31)),Bookings!D569,0),IF(AND(K569&lt;&gt;"",LEN("x"&amp;L569)-LEN(SUBSTITUTE("x"&amp;L569,".",""))=2,OR(1&gt;LEN(L569),MID(L569,1,1)=".",ISNUMBER(FIND("x"&amp;MID(L569,1,1),"x0x1x2x3x4x5x6x7x8x9"))),OR(2&gt;LEN(L569),MID(L569,2,1)=".",ISNUMBER(FIND("x"&amp;MID(L569,2,1),"x0x1x2x3x4x5x6x7x8x9"))),OR(3&gt;LEN(L569),MID(L569,3,1)=".",ISNUMBER(FIND("x"&amp;MID(L569,3,1),"x0x1x2x3x4x5x6x7x8x9"))),OR(4&gt;LEN(L569),MID(L569,4,1)=".",ISNUMBER(FIND("x"&amp;MID(L569,4,1),"x0x1x2x3x4x5x6x7x8x9"))),OR(5&gt;LEN(L569),MID(L569,5,1)=".",ISNUMBER(FIND("x"&amp;MID(L569,5,1),"x0x1x2x3x4x5x6x7x8x9"))),OR(6&gt;LEN(L569),MID(L569,6,1)=".",ISNUMBER(FIND("x"&amp;MID(L569,6,1),"x0x1x2x3x4x5x6x7x8x9"))),OR(7&gt;LEN(L569),MID(L569,7,1)=".",ISNUMBER(FIND("x"&amp;MID(L569,7,1),"x0x1x2x3x4x5x6x7x8x9"))),OR(8&gt;LEN(L569),MID(L569,8,1)=".",ISNUMBER(FIND("x"&amp;MID(L569,8,1),"x0x1x2x3x4x5x6x7x8x9"))),OR(9&gt;LEN(L569),MID(L569,9,1)=".",ISNUMBER(FIND("x"&amp;MID(L569,9,1),"x0x1x2x3x4x5x6x7x8x9"))),OR(10&gt;LEN(L569),MID(L569,10,1)=".",ISNUMBER(FIND("x"&amp;MID(L569,10,1),"x0x1x2x3x4x5x6x7x8x9"))),OR(AND(FIND(".",L569)=5,LEN(L569)-FIND(".",L569,FIND(".",L569)+1)&gt;=1,LEN(L569)-FIND(".",L569,FIND(".",L569)+1)&lt;=2),AND(LEN(L569)-FIND(".",L569,FIND(".",L569)+1)=4,FIND(".",L569)&gt;=2,FIND(".",L569)&lt;=3)),FIND(".",L569,FIND(".",L569)+1)-FIND(".",L569)&gt;=2,FIND(".",L569,FIND(".",L569)+1)-FIND(".",L569)&lt;=3,P569&gt;=2000,P569&lt;=2100,YEAR(S569)=P569,MONTH(S569)=Q569,DAY(S569)=R569),S569,0)),0)</ns0:f>
        <ns0:v>0</ns0:v>
      </ns0:c>
      <ns0:c r="U569" s="0" t="str">
        <ns0:f>IF(Bookings!C569="","Full day",Bookings!C569)</ns0:f>
        <ns0:v>Full day</ns0:v>
      </ns0:c>
      <ns0:c r="V569" s="0" t="str">
        <ns0:f>IF(Bookings!E569="","Full day",Bookings!E569)</ns0:f>
        <ns0:v>Full day</ns0:v>
      </ns0:c>
      <ns0:c r="W569" s="0">
        <ns0:f>IF(J569=0,0,J569+IF(U569="PM",1,0))</ns0:f>
        <ns0:v>0</ns0:v>
      </ns0:c>
      <ns0:c r="X569" s="0">
        <ns0:f>IF(T569=0,0,T569-IF(V569="PM",1,0))</ns0:f>
        <ns0:v>0</ns0:v>
      </ns0:c>
      <ns0:c r="Y569" s="0">
        <ns0:f>IF(J569=0,0,J569+IF(U569="AM",1,0))</ns0:f>
        <ns0:v>0</ns0:v>
      </ns0:c>
      <ns0:c r="Z569" s="0">
        <ns0:f>IF(T569=0,0,T569-IF(V569="AM",1,0))</ns0:f>
        <ns0:v>0</ns0:v>
      </ns0:c>
      <ns0:c r="AA569" s="0">
        <ns0:f>IFERROR(IF(AND(J569&gt;0,'_Engine'!C569&gt;0,MID('_Engine'!W569,WEEKDAY(J569,2),1)="W",COUNTIF(Settings!$F$18:$F$67,J569)=0),1,0),0)</ns0:f>
        <ns0:v>0</ns0:v>
      </ns0:c>
      <ns0:c r="AB569" s="0">
        <ns0:f>IFERROR(IF(AND(T569&gt;0,'_Engine'!C569&gt;0,MID('_Engine'!W569,WEEKDAY(T569,2),1)="W",COUNTIF(Settings!$F$18:$F$67,T569)=0),1,0),0)</ns0:f>
        <ns0:v>0</ns0:v>
      </ns0:c>
      <ns0:c r="AC569" s="0">
        <ns0:f>IF(AND(J569&gt;0,T569&gt;0,W569&lt;=X569),1,0)</ns0:f>
        <ns0:v>0</ns0:v>
      </ns0:c>
      <ns0:c r="AD569" s="0">
        <ns0:f>IF(AND(J569&gt;0,T569&gt;0,Y569&lt;=Z569),1,0)</ns0:f>
        <ns0:v>0</ns0:v>
      </ns0:c>
    </ns0:row>
    <ns0:row r="570">
      <ns0:c r="A570" s="0">
        <ns0:f>IFERROR(IF(ISNUMBER(Bookings!B570),"",TRIM(Bookings!B570&amp;"")),"")</ns0:f>
      </ns0:c>
      <ns0:c r="B570" s="0">
        <ns0:f>IFERROR(SUBSTITUTE(SUBSTITUTE(A570,"/","."),"-","."),"")</ns0:f>
      </ns0:c>
      <ns0:c r="C570" s="0">
        <ns0:f>IFERROR(LEFT(B570,FIND(".",B570)-1),"")</ns0:f>
      </ns0:c>
      <ns0:c r="D570" s="0">
        <ns0:f>IFERROR(MID(B570,FIND(".",B570)+1,FIND(".",B570,FIND(".",B570)+1)-FIND(".",B570)-1),"")</ns0:f>
      </ns0:c>
      <ns0:c r="E570" s="0">
        <ns0:f>IFERROR(MID(B570,FIND(".",B570,FIND(".",B570)+1)+1,99),"")</ns0:f>
        <ns0:v>99</ns0:v>
      </ns0:c>
      <ns0:c r="F570" s="0">
        <ns0:f>IFERROR(IF(FIND(".",B570)=5,--C570,--E570),0)</ns0:f>
        <ns0:v>0</ns0:v>
      </ns0:c>
      <ns0:c r="G570" s="0">
        <ns0:f>IFERROR(--D570,0)</ns0:f>
        <ns0:v>0</ns0:v>
      </ns0:c>
      <ns0:c r="H570" s="0">
        <ns0:f>IFERROR(IF(FIND(".",B570)=5,--E570,--C570),0)</ns0:f>
        <ns0:v>0</ns0:v>
      </ns0:c>
      <ns0:c r="I570" s="0">
        <ns0:f>IFERROR(IF(AND(F570&gt;=2000,F570&lt;=2100,G570&gt;=1,G570&lt;=12,H570&gt;=1,H570&lt;=31),DATE(F570,G570,H570),0),0)</ns0:f>
        <ns0:v>0</ns0:v>
      </ns0:c>
      <ns0:c r="J570" s="0">
        <ns0:f>IFERROR(IF(ISNUMBER(Bookings!B570),IF(AND(Bookings!B570=INT(Bookings!B570),Bookings!B570&gt;=DATE(2000,1,1),Bookings!B570&lt;=DATE(2100,12,31)),Bookings!B570,0),IF(AND(A570&lt;&gt;"",LEN("x"&amp;B570)-LEN(SUBSTITUTE("x"&amp;B570,".",""))=2,OR(1&gt;LEN(B570),MID(B570,1,1)=".",ISNUMBER(FIND("x"&amp;MID(B570,1,1),"x0x1x2x3x4x5x6x7x8x9"))),OR(2&gt;LEN(B570),MID(B570,2,1)=".",ISNUMBER(FIND("x"&amp;MID(B570,2,1),"x0x1x2x3x4x5x6x7x8x9"))),OR(3&gt;LEN(B570),MID(B570,3,1)=".",ISNUMBER(FIND("x"&amp;MID(B570,3,1),"x0x1x2x3x4x5x6x7x8x9"))),OR(4&gt;LEN(B570),MID(B570,4,1)=".",ISNUMBER(FIND("x"&amp;MID(B570,4,1),"x0x1x2x3x4x5x6x7x8x9"))),OR(5&gt;LEN(B570),MID(B570,5,1)=".",ISNUMBER(FIND("x"&amp;MID(B570,5,1),"x0x1x2x3x4x5x6x7x8x9"))),OR(6&gt;LEN(B570),MID(B570,6,1)=".",ISNUMBER(FIND("x"&amp;MID(B570,6,1),"x0x1x2x3x4x5x6x7x8x9"))),OR(7&gt;LEN(B570),MID(B570,7,1)=".",ISNUMBER(FIND("x"&amp;MID(B570,7,1),"x0x1x2x3x4x5x6x7x8x9"))),OR(8&gt;LEN(B570),MID(B570,8,1)=".",ISNUMBER(FIND("x"&amp;MID(B570,8,1),"x0x1x2x3x4x5x6x7x8x9"))),OR(9&gt;LEN(B570),MID(B570,9,1)=".",ISNUMBER(FIND("x"&amp;MID(B570,9,1),"x0x1x2x3x4x5x6x7x8x9"))),OR(10&gt;LEN(B570),MID(B570,10,1)=".",ISNUMBER(FIND("x"&amp;MID(B570,10,1),"x0x1x2x3x4x5x6x7x8x9"))),OR(AND(FIND(".",B570)=5,LEN(B570)-FIND(".",B570,FIND(".",B570)+1)&gt;=1,LEN(B570)-FIND(".",B570,FIND(".",B570)+1)&lt;=2),AND(LEN(B570)-FIND(".",B570,FIND(".",B570)+1)=4,FIND(".",B570)&gt;=2,FIND(".",B570)&lt;=3)),FIND(".",B570,FIND(".",B570)+1)-FIND(".",B570)&gt;=2,FIND(".",B570,FIND(".",B570)+1)-FIND(".",B570)&lt;=3,F570&gt;=2000,F570&lt;=2100,YEAR(I570)=F570,MONTH(I570)=G570,DAY(I570)=H570),I570,0)),0)</ns0:f>
        <ns0:v>0</ns0:v>
      </ns0:c>
      <ns0:c r="K570" s="0">
        <ns0:f>IFERROR(IF(ISNUMBER(Bookings!D570),"",TRIM(Bookings!D570&amp;"")),"")</ns0:f>
      </ns0:c>
      <ns0:c r="L570" s="0">
        <ns0:f>IFERROR(SUBSTITUTE(SUBSTITUTE(K570,"/","."),"-","."),"")</ns0:f>
      </ns0:c>
      <ns0:c r="M570" s="0">
        <ns0:f>IFERROR(LEFT(L570,FIND(".",L570)-1),"")</ns0:f>
      </ns0:c>
      <ns0:c r="N570" s="0">
        <ns0:f>IFERROR(MID(L570,FIND(".",L570)+1,FIND(".",L570,FIND(".",L570)+1)-FIND(".",L570)-1),"")</ns0:f>
      </ns0:c>
      <ns0:c r="O570" s="0">
        <ns0:f>IFERROR(MID(L570,FIND(".",L570,FIND(".",L570)+1)+1,99),"")</ns0:f>
        <ns0:v>99</ns0:v>
      </ns0:c>
      <ns0:c r="P570" s="0">
        <ns0:f>IFERROR(IF(FIND(".",L570)=5,--M570,--O570),0)</ns0:f>
        <ns0:v>0</ns0:v>
      </ns0:c>
      <ns0:c r="Q570" s="0">
        <ns0:f>IFERROR(--N570,0)</ns0:f>
        <ns0:v>0</ns0:v>
      </ns0:c>
      <ns0:c r="R570" s="0">
        <ns0:f>IFERROR(IF(FIND(".",L570)=5,--O570,--M570),0)</ns0:f>
        <ns0:v>0</ns0:v>
      </ns0:c>
      <ns0:c r="S570" s="0">
        <ns0:f>IFERROR(IF(AND(P570&gt;=2000,P570&lt;=2100,Q570&gt;=1,Q570&lt;=12,R570&gt;=1,R570&lt;=31),DATE(P570,Q570,R570),0),0)</ns0:f>
        <ns0:v>0</ns0:v>
      </ns0:c>
      <ns0:c r="T570" s="0">
        <ns0:f>IFERROR(IF(ISNUMBER(Bookings!D570),IF(AND(Bookings!D570=INT(Bookings!D570),Bookings!D570&gt;=DATE(2000,1,1),Bookings!D570&lt;=DATE(2100,12,31)),Bookings!D570,0),IF(AND(K570&lt;&gt;"",LEN("x"&amp;L570)-LEN(SUBSTITUTE("x"&amp;L570,".",""))=2,OR(1&gt;LEN(L570),MID(L570,1,1)=".",ISNUMBER(FIND("x"&amp;MID(L570,1,1),"x0x1x2x3x4x5x6x7x8x9"))),OR(2&gt;LEN(L570),MID(L570,2,1)=".",ISNUMBER(FIND("x"&amp;MID(L570,2,1),"x0x1x2x3x4x5x6x7x8x9"))),OR(3&gt;LEN(L570),MID(L570,3,1)=".",ISNUMBER(FIND("x"&amp;MID(L570,3,1),"x0x1x2x3x4x5x6x7x8x9"))),OR(4&gt;LEN(L570),MID(L570,4,1)=".",ISNUMBER(FIND("x"&amp;MID(L570,4,1),"x0x1x2x3x4x5x6x7x8x9"))),OR(5&gt;LEN(L570),MID(L570,5,1)=".",ISNUMBER(FIND("x"&amp;MID(L570,5,1),"x0x1x2x3x4x5x6x7x8x9"))),OR(6&gt;LEN(L570),MID(L570,6,1)=".",ISNUMBER(FIND("x"&amp;MID(L570,6,1),"x0x1x2x3x4x5x6x7x8x9"))),OR(7&gt;LEN(L570),MID(L570,7,1)=".",ISNUMBER(FIND("x"&amp;MID(L570,7,1),"x0x1x2x3x4x5x6x7x8x9"))),OR(8&gt;LEN(L570),MID(L570,8,1)=".",ISNUMBER(FIND("x"&amp;MID(L570,8,1),"x0x1x2x3x4x5x6x7x8x9"))),OR(9&gt;LEN(L570),MID(L570,9,1)=".",ISNUMBER(FIND("x"&amp;MID(L570,9,1),"x0x1x2x3x4x5x6x7x8x9"))),OR(10&gt;LEN(L570),MID(L570,10,1)=".",ISNUMBER(FIND("x"&amp;MID(L570,10,1),"x0x1x2x3x4x5x6x7x8x9"))),OR(AND(FIND(".",L570)=5,LEN(L570)-FIND(".",L570,FIND(".",L570)+1)&gt;=1,LEN(L570)-FIND(".",L570,FIND(".",L570)+1)&lt;=2),AND(LEN(L570)-FIND(".",L570,FIND(".",L570)+1)=4,FIND(".",L570)&gt;=2,FIND(".",L570)&lt;=3)),FIND(".",L570,FIND(".",L570)+1)-FIND(".",L570)&gt;=2,FIND(".",L570,FIND(".",L570)+1)-FIND(".",L570)&lt;=3,P570&gt;=2000,P570&lt;=2100,YEAR(S570)=P570,MONTH(S570)=Q570,DAY(S570)=R570),S570,0)),0)</ns0:f>
        <ns0:v>0</ns0:v>
      </ns0:c>
      <ns0:c r="U570" s="0" t="str">
        <ns0:f>IF(Bookings!C570="","Full day",Bookings!C570)</ns0:f>
        <ns0:v>Full day</ns0:v>
      </ns0:c>
      <ns0:c r="V570" s="0" t="str">
        <ns0:f>IF(Bookings!E570="","Full day",Bookings!E570)</ns0:f>
        <ns0:v>Full day</ns0:v>
      </ns0:c>
      <ns0:c r="W570" s="0">
        <ns0:f>IF(J570=0,0,J570+IF(U570="PM",1,0))</ns0:f>
        <ns0:v>0</ns0:v>
      </ns0:c>
      <ns0:c r="X570" s="0">
        <ns0:f>IF(T570=0,0,T570-IF(V570="PM",1,0))</ns0:f>
        <ns0:v>0</ns0:v>
      </ns0:c>
      <ns0:c r="Y570" s="0">
        <ns0:f>IF(J570=0,0,J570+IF(U570="AM",1,0))</ns0:f>
        <ns0:v>0</ns0:v>
      </ns0:c>
      <ns0:c r="Z570" s="0">
        <ns0:f>IF(T570=0,0,T570-IF(V570="AM",1,0))</ns0:f>
        <ns0:v>0</ns0:v>
      </ns0:c>
      <ns0:c r="AA570" s="0">
        <ns0:f>IFERROR(IF(AND(J570&gt;0,'_Engine'!C570&gt;0,MID('_Engine'!W570,WEEKDAY(J570,2),1)="W",COUNTIF(Settings!$F$18:$F$67,J570)=0),1,0),0)</ns0:f>
        <ns0:v>0</ns0:v>
      </ns0:c>
      <ns0:c r="AB570" s="0">
        <ns0:f>IFERROR(IF(AND(T570&gt;0,'_Engine'!C570&gt;0,MID('_Engine'!W570,WEEKDAY(T570,2),1)="W",COUNTIF(Settings!$F$18:$F$67,T570)=0),1,0),0)</ns0:f>
        <ns0:v>0</ns0:v>
      </ns0:c>
      <ns0:c r="AC570" s="0">
        <ns0:f>IF(AND(J570&gt;0,T570&gt;0,W570&lt;=X570),1,0)</ns0:f>
        <ns0:v>0</ns0:v>
      </ns0:c>
      <ns0:c r="AD570" s="0">
        <ns0:f>IF(AND(J570&gt;0,T570&gt;0,Y570&lt;=Z570),1,0)</ns0:f>
        <ns0:v>0</ns0:v>
      </ns0:c>
    </ns0:row>
    <ns0:row r="571">
      <ns0:c r="A571" s="0">
        <ns0:f>IFERROR(IF(ISNUMBER(Bookings!B571),"",TRIM(Bookings!B571&amp;"")),"")</ns0:f>
      </ns0:c>
      <ns0:c r="B571" s="0">
        <ns0:f>IFERROR(SUBSTITUTE(SUBSTITUTE(A571,"/","."),"-","."),"")</ns0:f>
      </ns0:c>
      <ns0:c r="C571" s="0">
        <ns0:f>IFERROR(LEFT(B571,FIND(".",B571)-1),"")</ns0:f>
      </ns0:c>
      <ns0:c r="D571" s="0">
        <ns0:f>IFERROR(MID(B571,FIND(".",B571)+1,FIND(".",B571,FIND(".",B571)+1)-FIND(".",B571)-1),"")</ns0:f>
      </ns0:c>
      <ns0:c r="E571" s="0">
        <ns0:f>IFERROR(MID(B571,FIND(".",B571,FIND(".",B571)+1)+1,99),"")</ns0:f>
        <ns0:v>99</ns0:v>
      </ns0:c>
      <ns0:c r="F571" s="0">
        <ns0:f>IFERROR(IF(FIND(".",B571)=5,--C571,--E571),0)</ns0:f>
        <ns0:v>0</ns0:v>
      </ns0:c>
      <ns0:c r="G571" s="0">
        <ns0:f>IFERROR(--D571,0)</ns0:f>
        <ns0:v>0</ns0:v>
      </ns0:c>
      <ns0:c r="H571" s="0">
        <ns0:f>IFERROR(IF(FIND(".",B571)=5,--E571,--C571),0)</ns0:f>
        <ns0:v>0</ns0:v>
      </ns0:c>
      <ns0:c r="I571" s="0">
        <ns0:f>IFERROR(IF(AND(F571&gt;=2000,F571&lt;=2100,G571&gt;=1,G571&lt;=12,H571&gt;=1,H571&lt;=31),DATE(F571,G571,H571),0),0)</ns0:f>
        <ns0:v>0</ns0:v>
      </ns0:c>
      <ns0:c r="J571" s="0">
        <ns0:f>IFERROR(IF(ISNUMBER(Bookings!B571),IF(AND(Bookings!B571=INT(Bookings!B571),Bookings!B571&gt;=DATE(2000,1,1),Bookings!B571&lt;=DATE(2100,12,31)),Bookings!B571,0),IF(AND(A571&lt;&gt;"",LEN("x"&amp;B571)-LEN(SUBSTITUTE("x"&amp;B571,".",""))=2,OR(1&gt;LEN(B571),MID(B571,1,1)=".",ISNUMBER(FIND("x"&amp;MID(B571,1,1),"x0x1x2x3x4x5x6x7x8x9"))),OR(2&gt;LEN(B571),MID(B571,2,1)=".",ISNUMBER(FIND("x"&amp;MID(B571,2,1),"x0x1x2x3x4x5x6x7x8x9"))),OR(3&gt;LEN(B571),MID(B571,3,1)=".",ISNUMBER(FIND("x"&amp;MID(B571,3,1),"x0x1x2x3x4x5x6x7x8x9"))),OR(4&gt;LEN(B571),MID(B571,4,1)=".",ISNUMBER(FIND("x"&amp;MID(B571,4,1),"x0x1x2x3x4x5x6x7x8x9"))),OR(5&gt;LEN(B571),MID(B571,5,1)=".",ISNUMBER(FIND("x"&amp;MID(B571,5,1),"x0x1x2x3x4x5x6x7x8x9"))),OR(6&gt;LEN(B571),MID(B571,6,1)=".",ISNUMBER(FIND("x"&amp;MID(B571,6,1),"x0x1x2x3x4x5x6x7x8x9"))),OR(7&gt;LEN(B571),MID(B571,7,1)=".",ISNUMBER(FIND("x"&amp;MID(B571,7,1),"x0x1x2x3x4x5x6x7x8x9"))),OR(8&gt;LEN(B571),MID(B571,8,1)=".",ISNUMBER(FIND("x"&amp;MID(B571,8,1),"x0x1x2x3x4x5x6x7x8x9"))),OR(9&gt;LEN(B571),MID(B571,9,1)=".",ISNUMBER(FIND("x"&amp;MID(B571,9,1),"x0x1x2x3x4x5x6x7x8x9"))),OR(10&gt;LEN(B571),MID(B571,10,1)=".",ISNUMBER(FIND("x"&amp;MID(B571,10,1),"x0x1x2x3x4x5x6x7x8x9"))),OR(AND(FIND(".",B571)=5,LEN(B571)-FIND(".",B571,FIND(".",B571)+1)&gt;=1,LEN(B571)-FIND(".",B571,FIND(".",B571)+1)&lt;=2),AND(LEN(B571)-FIND(".",B571,FIND(".",B571)+1)=4,FIND(".",B571)&gt;=2,FIND(".",B571)&lt;=3)),FIND(".",B571,FIND(".",B571)+1)-FIND(".",B571)&gt;=2,FIND(".",B571,FIND(".",B571)+1)-FIND(".",B571)&lt;=3,F571&gt;=2000,F571&lt;=2100,YEAR(I571)=F571,MONTH(I571)=G571,DAY(I571)=H571),I571,0)),0)</ns0:f>
        <ns0:v>0</ns0:v>
      </ns0:c>
      <ns0:c r="K571" s="0">
        <ns0:f>IFERROR(IF(ISNUMBER(Bookings!D571),"",TRIM(Bookings!D571&amp;"")),"")</ns0:f>
      </ns0:c>
      <ns0:c r="L571" s="0">
        <ns0:f>IFERROR(SUBSTITUTE(SUBSTITUTE(K571,"/","."),"-","."),"")</ns0:f>
      </ns0:c>
      <ns0:c r="M571" s="0">
        <ns0:f>IFERROR(LEFT(L571,FIND(".",L571)-1),"")</ns0:f>
      </ns0:c>
      <ns0:c r="N571" s="0">
        <ns0:f>IFERROR(MID(L571,FIND(".",L571)+1,FIND(".",L571,FIND(".",L571)+1)-FIND(".",L571)-1),"")</ns0:f>
      </ns0:c>
      <ns0:c r="O571" s="0">
        <ns0:f>IFERROR(MID(L571,FIND(".",L571,FIND(".",L571)+1)+1,99),"")</ns0:f>
        <ns0:v>99</ns0:v>
      </ns0:c>
      <ns0:c r="P571" s="0">
        <ns0:f>IFERROR(IF(FIND(".",L571)=5,--M571,--O571),0)</ns0:f>
        <ns0:v>0</ns0:v>
      </ns0:c>
      <ns0:c r="Q571" s="0">
        <ns0:f>IFERROR(--N571,0)</ns0:f>
        <ns0:v>0</ns0:v>
      </ns0:c>
      <ns0:c r="R571" s="0">
        <ns0:f>IFERROR(IF(FIND(".",L571)=5,--O571,--M571),0)</ns0:f>
        <ns0:v>0</ns0:v>
      </ns0:c>
      <ns0:c r="S571" s="0">
        <ns0:f>IFERROR(IF(AND(P571&gt;=2000,P571&lt;=2100,Q571&gt;=1,Q571&lt;=12,R571&gt;=1,R571&lt;=31),DATE(P571,Q571,R571),0),0)</ns0:f>
        <ns0:v>0</ns0:v>
      </ns0:c>
      <ns0:c r="T571" s="0">
        <ns0:f>IFERROR(IF(ISNUMBER(Bookings!D571),IF(AND(Bookings!D571=INT(Bookings!D571),Bookings!D571&gt;=DATE(2000,1,1),Bookings!D571&lt;=DATE(2100,12,31)),Bookings!D571,0),IF(AND(K571&lt;&gt;"",LEN("x"&amp;L571)-LEN(SUBSTITUTE("x"&amp;L571,".",""))=2,OR(1&gt;LEN(L571),MID(L571,1,1)=".",ISNUMBER(FIND("x"&amp;MID(L571,1,1),"x0x1x2x3x4x5x6x7x8x9"))),OR(2&gt;LEN(L571),MID(L571,2,1)=".",ISNUMBER(FIND("x"&amp;MID(L571,2,1),"x0x1x2x3x4x5x6x7x8x9"))),OR(3&gt;LEN(L571),MID(L571,3,1)=".",ISNUMBER(FIND("x"&amp;MID(L571,3,1),"x0x1x2x3x4x5x6x7x8x9"))),OR(4&gt;LEN(L571),MID(L571,4,1)=".",ISNUMBER(FIND("x"&amp;MID(L571,4,1),"x0x1x2x3x4x5x6x7x8x9"))),OR(5&gt;LEN(L571),MID(L571,5,1)=".",ISNUMBER(FIND("x"&amp;MID(L571,5,1),"x0x1x2x3x4x5x6x7x8x9"))),OR(6&gt;LEN(L571),MID(L571,6,1)=".",ISNUMBER(FIND("x"&amp;MID(L571,6,1),"x0x1x2x3x4x5x6x7x8x9"))),OR(7&gt;LEN(L571),MID(L571,7,1)=".",ISNUMBER(FIND("x"&amp;MID(L571,7,1),"x0x1x2x3x4x5x6x7x8x9"))),OR(8&gt;LEN(L571),MID(L571,8,1)=".",ISNUMBER(FIND("x"&amp;MID(L571,8,1),"x0x1x2x3x4x5x6x7x8x9"))),OR(9&gt;LEN(L571),MID(L571,9,1)=".",ISNUMBER(FIND("x"&amp;MID(L571,9,1),"x0x1x2x3x4x5x6x7x8x9"))),OR(10&gt;LEN(L571),MID(L571,10,1)=".",ISNUMBER(FIND("x"&amp;MID(L571,10,1),"x0x1x2x3x4x5x6x7x8x9"))),OR(AND(FIND(".",L571)=5,LEN(L571)-FIND(".",L571,FIND(".",L571)+1)&gt;=1,LEN(L571)-FIND(".",L571,FIND(".",L571)+1)&lt;=2),AND(LEN(L571)-FIND(".",L571,FIND(".",L571)+1)=4,FIND(".",L571)&gt;=2,FIND(".",L571)&lt;=3)),FIND(".",L571,FIND(".",L571)+1)-FIND(".",L571)&gt;=2,FIND(".",L571,FIND(".",L571)+1)-FIND(".",L571)&lt;=3,P571&gt;=2000,P571&lt;=2100,YEAR(S571)=P571,MONTH(S571)=Q571,DAY(S571)=R571),S571,0)),0)</ns0:f>
        <ns0:v>0</ns0:v>
      </ns0:c>
      <ns0:c r="U571" s="0" t="str">
        <ns0:f>IF(Bookings!C571="","Full day",Bookings!C571)</ns0:f>
        <ns0:v>Full day</ns0:v>
      </ns0:c>
      <ns0:c r="V571" s="0" t="str">
        <ns0:f>IF(Bookings!E571="","Full day",Bookings!E571)</ns0:f>
        <ns0:v>Full day</ns0:v>
      </ns0:c>
      <ns0:c r="W571" s="0">
        <ns0:f>IF(J571=0,0,J571+IF(U571="PM",1,0))</ns0:f>
        <ns0:v>0</ns0:v>
      </ns0:c>
      <ns0:c r="X571" s="0">
        <ns0:f>IF(T571=0,0,T571-IF(V571="PM",1,0))</ns0:f>
        <ns0:v>0</ns0:v>
      </ns0:c>
      <ns0:c r="Y571" s="0">
        <ns0:f>IF(J571=0,0,J571+IF(U571="AM",1,0))</ns0:f>
        <ns0:v>0</ns0:v>
      </ns0:c>
      <ns0:c r="Z571" s="0">
        <ns0:f>IF(T571=0,0,T571-IF(V571="AM",1,0))</ns0:f>
        <ns0:v>0</ns0:v>
      </ns0:c>
      <ns0:c r="AA571" s="0">
        <ns0:f>IFERROR(IF(AND(J571&gt;0,'_Engine'!C571&gt;0,MID('_Engine'!W571,WEEKDAY(J571,2),1)="W",COUNTIF(Settings!$F$18:$F$67,J571)=0),1,0),0)</ns0:f>
        <ns0:v>0</ns0:v>
      </ns0:c>
      <ns0:c r="AB571" s="0">
        <ns0:f>IFERROR(IF(AND(T571&gt;0,'_Engine'!C571&gt;0,MID('_Engine'!W571,WEEKDAY(T571,2),1)="W",COUNTIF(Settings!$F$18:$F$67,T571)=0),1,0),0)</ns0:f>
        <ns0:v>0</ns0:v>
      </ns0:c>
      <ns0:c r="AC571" s="0">
        <ns0:f>IF(AND(J571&gt;0,T571&gt;0,W571&lt;=X571),1,0)</ns0:f>
        <ns0:v>0</ns0:v>
      </ns0:c>
      <ns0:c r="AD571" s="0">
        <ns0:f>IF(AND(J571&gt;0,T571&gt;0,Y571&lt;=Z571),1,0)</ns0:f>
        <ns0:v>0</ns0:v>
      </ns0:c>
    </ns0:row>
    <ns0:row r="572">
      <ns0:c r="A572" s="0">
        <ns0:f>IFERROR(IF(ISNUMBER(Bookings!B572),"",TRIM(Bookings!B572&amp;"")),"")</ns0:f>
      </ns0:c>
      <ns0:c r="B572" s="0">
        <ns0:f>IFERROR(SUBSTITUTE(SUBSTITUTE(A572,"/","."),"-","."),"")</ns0:f>
      </ns0:c>
      <ns0:c r="C572" s="0">
        <ns0:f>IFERROR(LEFT(B572,FIND(".",B572)-1),"")</ns0:f>
      </ns0:c>
      <ns0:c r="D572" s="0">
        <ns0:f>IFERROR(MID(B572,FIND(".",B572)+1,FIND(".",B572,FIND(".",B572)+1)-FIND(".",B572)-1),"")</ns0:f>
      </ns0:c>
      <ns0:c r="E572" s="0">
        <ns0:f>IFERROR(MID(B572,FIND(".",B572,FIND(".",B572)+1)+1,99),"")</ns0:f>
        <ns0:v>99</ns0:v>
      </ns0:c>
      <ns0:c r="F572" s="0">
        <ns0:f>IFERROR(IF(FIND(".",B572)=5,--C572,--E572),0)</ns0:f>
        <ns0:v>0</ns0:v>
      </ns0:c>
      <ns0:c r="G572" s="0">
        <ns0:f>IFERROR(--D572,0)</ns0:f>
        <ns0:v>0</ns0:v>
      </ns0:c>
      <ns0:c r="H572" s="0">
        <ns0:f>IFERROR(IF(FIND(".",B572)=5,--E572,--C572),0)</ns0:f>
        <ns0:v>0</ns0:v>
      </ns0:c>
      <ns0:c r="I572" s="0">
        <ns0:f>IFERROR(IF(AND(F572&gt;=2000,F572&lt;=2100,G572&gt;=1,G572&lt;=12,H572&gt;=1,H572&lt;=31),DATE(F572,G572,H572),0),0)</ns0:f>
        <ns0:v>0</ns0:v>
      </ns0:c>
      <ns0:c r="J572" s="0">
        <ns0:f>IFERROR(IF(ISNUMBER(Bookings!B572),IF(AND(Bookings!B572=INT(Bookings!B572),Bookings!B572&gt;=DATE(2000,1,1),Bookings!B572&lt;=DATE(2100,12,31)),Bookings!B572,0),IF(AND(A572&lt;&gt;"",LEN("x"&amp;B572)-LEN(SUBSTITUTE("x"&amp;B572,".",""))=2,OR(1&gt;LEN(B572),MID(B572,1,1)=".",ISNUMBER(FIND("x"&amp;MID(B572,1,1),"x0x1x2x3x4x5x6x7x8x9"))),OR(2&gt;LEN(B572),MID(B572,2,1)=".",ISNUMBER(FIND("x"&amp;MID(B572,2,1),"x0x1x2x3x4x5x6x7x8x9"))),OR(3&gt;LEN(B572),MID(B572,3,1)=".",ISNUMBER(FIND("x"&amp;MID(B572,3,1),"x0x1x2x3x4x5x6x7x8x9"))),OR(4&gt;LEN(B572),MID(B572,4,1)=".",ISNUMBER(FIND("x"&amp;MID(B572,4,1),"x0x1x2x3x4x5x6x7x8x9"))),OR(5&gt;LEN(B572),MID(B572,5,1)=".",ISNUMBER(FIND("x"&amp;MID(B572,5,1),"x0x1x2x3x4x5x6x7x8x9"))),OR(6&gt;LEN(B572),MID(B572,6,1)=".",ISNUMBER(FIND("x"&amp;MID(B572,6,1),"x0x1x2x3x4x5x6x7x8x9"))),OR(7&gt;LEN(B572),MID(B572,7,1)=".",ISNUMBER(FIND("x"&amp;MID(B572,7,1),"x0x1x2x3x4x5x6x7x8x9"))),OR(8&gt;LEN(B572),MID(B572,8,1)=".",ISNUMBER(FIND("x"&amp;MID(B572,8,1),"x0x1x2x3x4x5x6x7x8x9"))),OR(9&gt;LEN(B572),MID(B572,9,1)=".",ISNUMBER(FIND("x"&amp;MID(B572,9,1),"x0x1x2x3x4x5x6x7x8x9"))),OR(10&gt;LEN(B572),MID(B572,10,1)=".",ISNUMBER(FIND("x"&amp;MID(B572,10,1),"x0x1x2x3x4x5x6x7x8x9"))),OR(AND(FIND(".",B572)=5,LEN(B572)-FIND(".",B572,FIND(".",B572)+1)&gt;=1,LEN(B572)-FIND(".",B572,FIND(".",B572)+1)&lt;=2),AND(LEN(B572)-FIND(".",B572,FIND(".",B572)+1)=4,FIND(".",B572)&gt;=2,FIND(".",B572)&lt;=3)),FIND(".",B572,FIND(".",B572)+1)-FIND(".",B572)&gt;=2,FIND(".",B572,FIND(".",B572)+1)-FIND(".",B572)&lt;=3,F572&gt;=2000,F572&lt;=2100,YEAR(I572)=F572,MONTH(I572)=G572,DAY(I572)=H572),I572,0)),0)</ns0:f>
        <ns0:v>0</ns0:v>
      </ns0:c>
      <ns0:c r="K572" s="0">
        <ns0:f>IFERROR(IF(ISNUMBER(Bookings!D572),"",TRIM(Bookings!D572&amp;"")),"")</ns0:f>
      </ns0:c>
      <ns0:c r="L572" s="0">
        <ns0:f>IFERROR(SUBSTITUTE(SUBSTITUTE(K572,"/","."),"-","."),"")</ns0:f>
      </ns0:c>
      <ns0:c r="M572" s="0">
        <ns0:f>IFERROR(LEFT(L572,FIND(".",L572)-1),"")</ns0:f>
      </ns0:c>
      <ns0:c r="N572" s="0">
        <ns0:f>IFERROR(MID(L572,FIND(".",L572)+1,FIND(".",L572,FIND(".",L572)+1)-FIND(".",L572)-1),"")</ns0:f>
      </ns0:c>
      <ns0:c r="O572" s="0">
        <ns0:f>IFERROR(MID(L572,FIND(".",L572,FIND(".",L572)+1)+1,99),"")</ns0:f>
        <ns0:v>99</ns0:v>
      </ns0:c>
      <ns0:c r="P572" s="0">
        <ns0:f>IFERROR(IF(FIND(".",L572)=5,--M572,--O572),0)</ns0:f>
        <ns0:v>0</ns0:v>
      </ns0:c>
      <ns0:c r="Q572" s="0">
        <ns0:f>IFERROR(--N572,0)</ns0:f>
        <ns0:v>0</ns0:v>
      </ns0:c>
      <ns0:c r="R572" s="0">
        <ns0:f>IFERROR(IF(FIND(".",L572)=5,--O572,--M572),0)</ns0:f>
        <ns0:v>0</ns0:v>
      </ns0:c>
      <ns0:c r="S572" s="0">
        <ns0:f>IFERROR(IF(AND(P572&gt;=2000,P572&lt;=2100,Q572&gt;=1,Q572&lt;=12,R572&gt;=1,R572&lt;=31),DATE(P572,Q572,R572),0),0)</ns0:f>
        <ns0:v>0</ns0:v>
      </ns0:c>
      <ns0:c r="T572" s="0">
        <ns0:f>IFERROR(IF(ISNUMBER(Bookings!D572),IF(AND(Bookings!D572=INT(Bookings!D572),Bookings!D572&gt;=DATE(2000,1,1),Bookings!D572&lt;=DATE(2100,12,31)),Bookings!D572,0),IF(AND(K572&lt;&gt;"",LEN("x"&amp;L572)-LEN(SUBSTITUTE("x"&amp;L572,".",""))=2,OR(1&gt;LEN(L572),MID(L572,1,1)=".",ISNUMBER(FIND("x"&amp;MID(L572,1,1),"x0x1x2x3x4x5x6x7x8x9"))),OR(2&gt;LEN(L572),MID(L572,2,1)=".",ISNUMBER(FIND("x"&amp;MID(L572,2,1),"x0x1x2x3x4x5x6x7x8x9"))),OR(3&gt;LEN(L572),MID(L572,3,1)=".",ISNUMBER(FIND("x"&amp;MID(L572,3,1),"x0x1x2x3x4x5x6x7x8x9"))),OR(4&gt;LEN(L572),MID(L572,4,1)=".",ISNUMBER(FIND("x"&amp;MID(L572,4,1),"x0x1x2x3x4x5x6x7x8x9"))),OR(5&gt;LEN(L572),MID(L572,5,1)=".",ISNUMBER(FIND("x"&amp;MID(L572,5,1),"x0x1x2x3x4x5x6x7x8x9"))),OR(6&gt;LEN(L572),MID(L572,6,1)=".",ISNUMBER(FIND("x"&amp;MID(L572,6,1),"x0x1x2x3x4x5x6x7x8x9"))),OR(7&gt;LEN(L572),MID(L572,7,1)=".",ISNUMBER(FIND("x"&amp;MID(L572,7,1),"x0x1x2x3x4x5x6x7x8x9"))),OR(8&gt;LEN(L572),MID(L572,8,1)=".",ISNUMBER(FIND("x"&amp;MID(L572,8,1),"x0x1x2x3x4x5x6x7x8x9"))),OR(9&gt;LEN(L572),MID(L572,9,1)=".",ISNUMBER(FIND("x"&amp;MID(L572,9,1),"x0x1x2x3x4x5x6x7x8x9"))),OR(10&gt;LEN(L572),MID(L572,10,1)=".",ISNUMBER(FIND("x"&amp;MID(L572,10,1),"x0x1x2x3x4x5x6x7x8x9"))),OR(AND(FIND(".",L572)=5,LEN(L572)-FIND(".",L572,FIND(".",L572)+1)&gt;=1,LEN(L572)-FIND(".",L572,FIND(".",L572)+1)&lt;=2),AND(LEN(L572)-FIND(".",L572,FIND(".",L572)+1)=4,FIND(".",L572)&gt;=2,FIND(".",L572)&lt;=3)),FIND(".",L572,FIND(".",L572)+1)-FIND(".",L572)&gt;=2,FIND(".",L572,FIND(".",L572)+1)-FIND(".",L572)&lt;=3,P572&gt;=2000,P572&lt;=2100,YEAR(S572)=P572,MONTH(S572)=Q572,DAY(S572)=R572),S572,0)),0)</ns0:f>
        <ns0:v>0</ns0:v>
      </ns0:c>
      <ns0:c r="U572" s="0" t="str">
        <ns0:f>IF(Bookings!C572="","Full day",Bookings!C572)</ns0:f>
        <ns0:v>Full day</ns0:v>
      </ns0:c>
      <ns0:c r="V572" s="0" t="str">
        <ns0:f>IF(Bookings!E572="","Full day",Bookings!E572)</ns0:f>
        <ns0:v>Full day</ns0:v>
      </ns0:c>
      <ns0:c r="W572" s="0">
        <ns0:f>IF(J572=0,0,J572+IF(U572="PM",1,0))</ns0:f>
        <ns0:v>0</ns0:v>
      </ns0:c>
      <ns0:c r="X572" s="0">
        <ns0:f>IF(T572=0,0,T572-IF(V572="PM",1,0))</ns0:f>
        <ns0:v>0</ns0:v>
      </ns0:c>
      <ns0:c r="Y572" s="0">
        <ns0:f>IF(J572=0,0,J572+IF(U572="AM",1,0))</ns0:f>
        <ns0:v>0</ns0:v>
      </ns0:c>
      <ns0:c r="Z572" s="0">
        <ns0:f>IF(T572=0,0,T572-IF(V572="AM",1,0))</ns0:f>
        <ns0:v>0</ns0:v>
      </ns0:c>
      <ns0:c r="AA572" s="0">
        <ns0:f>IFERROR(IF(AND(J572&gt;0,'_Engine'!C572&gt;0,MID('_Engine'!W572,WEEKDAY(J572,2),1)="W",COUNTIF(Settings!$F$18:$F$67,J572)=0),1,0),0)</ns0:f>
        <ns0:v>0</ns0:v>
      </ns0:c>
      <ns0:c r="AB572" s="0">
        <ns0:f>IFERROR(IF(AND(T572&gt;0,'_Engine'!C572&gt;0,MID('_Engine'!W572,WEEKDAY(T572,2),1)="W",COUNTIF(Settings!$F$18:$F$67,T572)=0),1,0),0)</ns0:f>
        <ns0:v>0</ns0:v>
      </ns0:c>
      <ns0:c r="AC572" s="0">
        <ns0:f>IF(AND(J572&gt;0,T572&gt;0,W572&lt;=X572),1,0)</ns0:f>
        <ns0:v>0</ns0:v>
      </ns0:c>
      <ns0:c r="AD572" s="0">
        <ns0:f>IF(AND(J572&gt;0,T572&gt;0,Y572&lt;=Z572),1,0)</ns0:f>
        <ns0:v>0</ns0:v>
      </ns0:c>
    </ns0:row>
    <ns0:row r="573">
      <ns0:c r="A573" s="0">
        <ns0:f>IFERROR(IF(ISNUMBER(Bookings!B573),"",TRIM(Bookings!B573&amp;"")),"")</ns0:f>
      </ns0:c>
      <ns0:c r="B573" s="0">
        <ns0:f>IFERROR(SUBSTITUTE(SUBSTITUTE(A573,"/","."),"-","."),"")</ns0:f>
      </ns0:c>
      <ns0:c r="C573" s="0">
        <ns0:f>IFERROR(LEFT(B573,FIND(".",B573)-1),"")</ns0:f>
      </ns0:c>
      <ns0:c r="D573" s="0">
        <ns0:f>IFERROR(MID(B573,FIND(".",B573)+1,FIND(".",B573,FIND(".",B573)+1)-FIND(".",B573)-1),"")</ns0:f>
      </ns0:c>
      <ns0:c r="E573" s="0">
        <ns0:f>IFERROR(MID(B573,FIND(".",B573,FIND(".",B573)+1)+1,99),"")</ns0:f>
        <ns0:v>99</ns0:v>
      </ns0:c>
      <ns0:c r="F573" s="0">
        <ns0:f>IFERROR(IF(FIND(".",B573)=5,--C573,--E573),0)</ns0:f>
        <ns0:v>0</ns0:v>
      </ns0:c>
      <ns0:c r="G573" s="0">
        <ns0:f>IFERROR(--D573,0)</ns0:f>
        <ns0:v>0</ns0:v>
      </ns0:c>
      <ns0:c r="H573" s="0">
        <ns0:f>IFERROR(IF(FIND(".",B573)=5,--E573,--C573),0)</ns0:f>
        <ns0:v>0</ns0:v>
      </ns0:c>
      <ns0:c r="I573" s="0">
        <ns0:f>IFERROR(IF(AND(F573&gt;=2000,F573&lt;=2100,G573&gt;=1,G573&lt;=12,H573&gt;=1,H573&lt;=31),DATE(F573,G573,H573),0),0)</ns0:f>
        <ns0:v>0</ns0:v>
      </ns0:c>
      <ns0:c r="J573" s="0">
        <ns0:f>IFERROR(IF(ISNUMBER(Bookings!B573),IF(AND(Bookings!B573=INT(Bookings!B573),Bookings!B573&gt;=DATE(2000,1,1),Bookings!B573&lt;=DATE(2100,12,31)),Bookings!B573,0),IF(AND(A573&lt;&gt;"",LEN("x"&amp;B573)-LEN(SUBSTITUTE("x"&amp;B573,".",""))=2,OR(1&gt;LEN(B573),MID(B573,1,1)=".",ISNUMBER(FIND("x"&amp;MID(B573,1,1),"x0x1x2x3x4x5x6x7x8x9"))),OR(2&gt;LEN(B573),MID(B573,2,1)=".",ISNUMBER(FIND("x"&amp;MID(B573,2,1),"x0x1x2x3x4x5x6x7x8x9"))),OR(3&gt;LEN(B573),MID(B573,3,1)=".",ISNUMBER(FIND("x"&amp;MID(B573,3,1),"x0x1x2x3x4x5x6x7x8x9"))),OR(4&gt;LEN(B573),MID(B573,4,1)=".",ISNUMBER(FIND("x"&amp;MID(B573,4,1),"x0x1x2x3x4x5x6x7x8x9"))),OR(5&gt;LEN(B573),MID(B573,5,1)=".",ISNUMBER(FIND("x"&amp;MID(B573,5,1),"x0x1x2x3x4x5x6x7x8x9"))),OR(6&gt;LEN(B573),MID(B573,6,1)=".",ISNUMBER(FIND("x"&amp;MID(B573,6,1),"x0x1x2x3x4x5x6x7x8x9"))),OR(7&gt;LEN(B573),MID(B573,7,1)=".",ISNUMBER(FIND("x"&amp;MID(B573,7,1),"x0x1x2x3x4x5x6x7x8x9"))),OR(8&gt;LEN(B573),MID(B573,8,1)=".",ISNUMBER(FIND("x"&amp;MID(B573,8,1),"x0x1x2x3x4x5x6x7x8x9"))),OR(9&gt;LEN(B573),MID(B573,9,1)=".",ISNUMBER(FIND("x"&amp;MID(B573,9,1),"x0x1x2x3x4x5x6x7x8x9"))),OR(10&gt;LEN(B573),MID(B573,10,1)=".",ISNUMBER(FIND("x"&amp;MID(B573,10,1),"x0x1x2x3x4x5x6x7x8x9"))),OR(AND(FIND(".",B573)=5,LEN(B573)-FIND(".",B573,FIND(".",B573)+1)&gt;=1,LEN(B573)-FIND(".",B573,FIND(".",B573)+1)&lt;=2),AND(LEN(B573)-FIND(".",B573,FIND(".",B573)+1)=4,FIND(".",B573)&gt;=2,FIND(".",B573)&lt;=3)),FIND(".",B573,FIND(".",B573)+1)-FIND(".",B573)&gt;=2,FIND(".",B573,FIND(".",B573)+1)-FIND(".",B573)&lt;=3,F573&gt;=2000,F573&lt;=2100,YEAR(I573)=F573,MONTH(I573)=G573,DAY(I573)=H573),I573,0)),0)</ns0:f>
        <ns0:v>0</ns0:v>
      </ns0:c>
      <ns0:c r="K573" s="0">
        <ns0:f>IFERROR(IF(ISNUMBER(Bookings!D573),"",TRIM(Bookings!D573&amp;"")),"")</ns0:f>
      </ns0:c>
      <ns0:c r="L573" s="0">
        <ns0:f>IFERROR(SUBSTITUTE(SUBSTITUTE(K573,"/","."),"-","."),"")</ns0:f>
      </ns0:c>
      <ns0:c r="M573" s="0">
        <ns0:f>IFERROR(LEFT(L573,FIND(".",L573)-1),"")</ns0:f>
      </ns0:c>
      <ns0:c r="N573" s="0">
        <ns0:f>IFERROR(MID(L573,FIND(".",L573)+1,FIND(".",L573,FIND(".",L573)+1)-FIND(".",L573)-1),"")</ns0:f>
      </ns0:c>
      <ns0:c r="O573" s="0">
        <ns0:f>IFERROR(MID(L573,FIND(".",L573,FIND(".",L573)+1)+1,99),"")</ns0:f>
        <ns0:v>99</ns0:v>
      </ns0:c>
      <ns0:c r="P573" s="0">
        <ns0:f>IFERROR(IF(FIND(".",L573)=5,--M573,--O573),0)</ns0:f>
        <ns0:v>0</ns0:v>
      </ns0:c>
      <ns0:c r="Q573" s="0">
        <ns0:f>IFERROR(--N573,0)</ns0:f>
        <ns0:v>0</ns0:v>
      </ns0:c>
      <ns0:c r="R573" s="0">
        <ns0:f>IFERROR(IF(FIND(".",L573)=5,--O573,--M573),0)</ns0:f>
        <ns0:v>0</ns0:v>
      </ns0:c>
      <ns0:c r="S573" s="0">
        <ns0:f>IFERROR(IF(AND(P573&gt;=2000,P573&lt;=2100,Q573&gt;=1,Q573&lt;=12,R573&gt;=1,R573&lt;=31),DATE(P573,Q573,R573),0),0)</ns0:f>
        <ns0:v>0</ns0:v>
      </ns0:c>
      <ns0:c r="T573" s="0">
        <ns0:f>IFERROR(IF(ISNUMBER(Bookings!D573),IF(AND(Bookings!D573=INT(Bookings!D573),Bookings!D573&gt;=DATE(2000,1,1),Bookings!D573&lt;=DATE(2100,12,31)),Bookings!D573,0),IF(AND(K573&lt;&gt;"",LEN("x"&amp;L573)-LEN(SUBSTITUTE("x"&amp;L573,".",""))=2,OR(1&gt;LEN(L573),MID(L573,1,1)=".",ISNUMBER(FIND("x"&amp;MID(L573,1,1),"x0x1x2x3x4x5x6x7x8x9"))),OR(2&gt;LEN(L573),MID(L573,2,1)=".",ISNUMBER(FIND("x"&amp;MID(L573,2,1),"x0x1x2x3x4x5x6x7x8x9"))),OR(3&gt;LEN(L573),MID(L573,3,1)=".",ISNUMBER(FIND("x"&amp;MID(L573,3,1),"x0x1x2x3x4x5x6x7x8x9"))),OR(4&gt;LEN(L573),MID(L573,4,1)=".",ISNUMBER(FIND("x"&amp;MID(L573,4,1),"x0x1x2x3x4x5x6x7x8x9"))),OR(5&gt;LEN(L573),MID(L573,5,1)=".",ISNUMBER(FIND("x"&amp;MID(L573,5,1),"x0x1x2x3x4x5x6x7x8x9"))),OR(6&gt;LEN(L573),MID(L573,6,1)=".",ISNUMBER(FIND("x"&amp;MID(L573,6,1),"x0x1x2x3x4x5x6x7x8x9"))),OR(7&gt;LEN(L573),MID(L573,7,1)=".",ISNUMBER(FIND("x"&amp;MID(L573,7,1),"x0x1x2x3x4x5x6x7x8x9"))),OR(8&gt;LEN(L573),MID(L573,8,1)=".",ISNUMBER(FIND("x"&amp;MID(L573,8,1),"x0x1x2x3x4x5x6x7x8x9"))),OR(9&gt;LEN(L573),MID(L573,9,1)=".",ISNUMBER(FIND("x"&amp;MID(L573,9,1),"x0x1x2x3x4x5x6x7x8x9"))),OR(10&gt;LEN(L573),MID(L573,10,1)=".",ISNUMBER(FIND("x"&amp;MID(L573,10,1),"x0x1x2x3x4x5x6x7x8x9"))),OR(AND(FIND(".",L573)=5,LEN(L573)-FIND(".",L573,FIND(".",L573)+1)&gt;=1,LEN(L573)-FIND(".",L573,FIND(".",L573)+1)&lt;=2),AND(LEN(L573)-FIND(".",L573,FIND(".",L573)+1)=4,FIND(".",L573)&gt;=2,FIND(".",L573)&lt;=3)),FIND(".",L573,FIND(".",L573)+1)-FIND(".",L573)&gt;=2,FIND(".",L573,FIND(".",L573)+1)-FIND(".",L573)&lt;=3,P573&gt;=2000,P573&lt;=2100,YEAR(S573)=P573,MONTH(S573)=Q573,DAY(S573)=R573),S573,0)),0)</ns0:f>
        <ns0:v>0</ns0:v>
      </ns0:c>
      <ns0:c r="U573" s="0" t="str">
        <ns0:f>IF(Bookings!C573="","Full day",Bookings!C573)</ns0:f>
        <ns0:v>Full day</ns0:v>
      </ns0:c>
      <ns0:c r="V573" s="0" t="str">
        <ns0:f>IF(Bookings!E573="","Full day",Bookings!E573)</ns0:f>
        <ns0:v>Full day</ns0:v>
      </ns0:c>
      <ns0:c r="W573" s="0">
        <ns0:f>IF(J573=0,0,J573+IF(U573="PM",1,0))</ns0:f>
        <ns0:v>0</ns0:v>
      </ns0:c>
      <ns0:c r="X573" s="0">
        <ns0:f>IF(T573=0,0,T573-IF(V573="PM",1,0))</ns0:f>
        <ns0:v>0</ns0:v>
      </ns0:c>
      <ns0:c r="Y573" s="0">
        <ns0:f>IF(J573=0,0,J573+IF(U573="AM",1,0))</ns0:f>
        <ns0:v>0</ns0:v>
      </ns0:c>
      <ns0:c r="Z573" s="0">
        <ns0:f>IF(T573=0,0,T573-IF(V573="AM",1,0))</ns0:f>
        <ns0:v>0</ns0:v>
      </ns0:c>
      <ns0:c r="AA573" s="0">
        <ns0:f>IFERROR(IF(AND(J573&gt;0,'_Engine'!C573&gt;0,MID('_Engine'!W573,WEEKDAY(J573,2),1)="W",COUNTIF(Settings!$F$18:$F$67,J573)=0),1,0),0)</ns0:f>
        <ns0:v>0</ns0:v>
      </ns0:c>
      <ns0:c r="AB573" s="0">
        <ns0:f>IFERROR(IF(AND(T573&gt;0,'_Engine'!C573&gt;0,MID('_Engine'!W573,WEEKDAY(T573,2),1)="W",COUNTIF(Settings!$F$18:$F$67,T573)=0),1,0),0)</ns0:f>
        <ns0:v>0</ns0:v>
      </ns0:c>
      <ns0:c r="AC573" s="0">
        <ns0:f>IF(AND(J573&gt;0,T573&gt;0,W573&lt;=X573),1,0)</ns0:f>
        <ns0:v>0</ns0:v>
      </ns0:c>
      <ns0:c r="AD573" s="0">
        <ns0:f>IF(AND(J573&gt;0,T573&gt;0,Y573&lt;=Z573),1,0)</ns0:f>
        <ns0:v>0</ns0:v>
      </ns0:c>
    </ns0:row>
    <ns0:row r="574">
      <ns0:c r="A574" s="0">
        <ns0:f>IFERROR(IF(ISNUMBER(Bookings!B574),"",TRIM(Bookings!B574&amp;"")),"")</ns0:f>
      </ns0:c>
      <ns0:c r="B574" s="0">
        <ns0:f>IFERROR(SUBSTITUTE(SUBSTITUTE(A574,"/","."),"-","."),"")</ns0:f>
      </ns0:c>
      <ns0:c r="C574" s="0">
        <ns0:f>IFERROR(LEFT(B574,FIND(".",B574)-1),"")</ns0:f>
      </ns0:c>
      <ns0:c r="D574" s="0">
        <ns0:f>IFERROR(MID(B574,FIND(".",B574)+1,FIND(".",B574,FIND(".",B574)+1)-FIND(".",B574)-1),"")</ns0:f>
      </ns0:c>
      <ns0:c r="E574" s="0">
        <ns0:f>IFERROR(MID(B574,FIND(".",B574,FIND(".",B574)+1)+1,99),"")</ns0:f>
        <ns0:v>99</ns0:v>
      </ns0:c>
      <ns0:c r="F574" s="0">
        <ns0:f>IFERROR(IF(FIND(".",B574)=5,--C574,--E574),0)</ns0:f>
        <ns0:v>0</ns0:v>
      </ns0:c>
      <ns0:c r="G574" s="0">
        <ns0:f>IFERROR(--D574,0)</ns0:f>
        <ns0:v>0</ns0:v>
      </ns0:c>
      <ns0:c r="H574" s="0">
        <ns0:f>IFERROR(IF(FIND(".",B574)=5,--E574,--C574),0)</ns0:f>
        <ns0:v>0</ns0:v>
      </ns0:c>
      <ns0:c r="I574" s="0">
        <ns0:f>IFERROR(IF(AND(F574&gt;=2000,F574&lt;=2100,G574&gt;=1,G574&lt;=12,H574&gt;=1,H574&lt;=31),DATE(F574,G574,H574),0),0)</ns0:f>
        <ns0:v>0</ns0:v>
      </ns0:c>
      <ns0:c r="J574" s="0">
        <ns0:f>IFERROR(IF(ISNUMBER(Bookings!B574),IF(AND(Bookings!B574=INT(Bookings!B574),Bookings!B574&gt;=DATE(2000,1,1),Bookings!B574&lt;=DATE(2100,12,31)),Bookings!B574,0),IF(AND(A574&lt;&gt;"",LEN("x"&amp;B574)-LEN(SUBSTITUTE("x"&amp;B574,".",""))=2,OR(1&gt;LEN(B574),MID(B574,1,1)=".",ISNUMBER(FIND("x"&amp;MID(B574,1,1),"x0x1x2x3x4x5x6x7x8x9"))),OR(2&gt;LEN(B574),MID(B574,2,1)=".",ISNUMBER(FIND("x"&amp;MID(B574,2,1),"x0x1x2x3x4x5x6x7x8x9"))),OR(3&gt;LEN(B574),MID(B574,3,1)=".",ISNUMBER(FIND("x"&amp;MID(B574,3,1),"x0x1x2x3x4x5x6x7x8x9"))),OR(4&gt;LEN(B574),MID(B574,4,1)=".",ISNUMBER(FIND("x"&amp;MID(B574,4,1),"x0x1x2x3x4x5x6x7x8x9"))),OR(5&gt;LEN(B574),MID(B574,5,1)=".",ISNUMBER(FIND("x"&amp;MID(B574,5,1),"x0x1x2x3x4x5x6x7x8x9"))),OR(6&gt;LEN(B574),MID(B574,6,1)=".",ISNUMBER(FIND("x"&amp;MID(B574,6,1),"x0x1x2x3x4x5x6x7x8x9"))),OR(7&gt;LEN(B574),MID(B574,7,1)=".",ISNUMBER(FIND("x"&amp;MID(B574,7,1),"x0x1x2x3x4x5x6x7x8x9"))),OR(8&gt;LEN(B574),MID(B574,8,1)=".",ISNUMBER(FIND("x"&amp;MID(B574,8,1),"x0x1x2x3x4x5x6x7x8x9"))),OR(9&gt;LEN(B574),MID(B574,9,1)=".",ISNUMBER(FIND("x"&amp;MID(B574,9,1),"x0x1x2x3x4x5x6x7x8x9"))),OR(10&gt;LEN(B574),MID(B574,10,1)=".",ISNUMBER(FIND("x"&amp;MID(B574,10,1),"x0x1x2x3x4x5x6x7x8x9"))),OR(AND(FIND(".",B574)=5,LEN(B574)-FIND(".",B574,FIND(".",B574)+1)&gt;=1,LEN(B574)-FIND(".",B574,FIND(".",B574)+1)&lt;=2),AND(LEN(B574)-FIND(".",B574,FIND(".",B574)+1)=4,FIND(".",B574)&gt;=2,FIND(".",B574)&lt;=3)),FIND(".",B574,FIND(".",B574)+1)-FIND(".",B574)&gt;=2,FIND(".",B574,FIND(".",B574)+1)-FIND(".",B574)&lt;=3,F574&gt;=2000,F574&lt;=2100,YEAR(I574)=F574,MONTH(I574)=G574,DAY(I574)=H574),I574,0)),0)</ns0:f>
        <ns0:v>0</ns0:v>
      </ns0:c>
      <ns0:c r="K574" s="0">
        <ns0:f>IFERROR(IF(ISNUMBER(Bookings!D574),"",TRIM(Bookings!D574&amp;"")),"")</ns0:f>
      </ns0:c>
      <ns0:c r="L574" s="0">
        <ns0:f>IFERROR(SUBSTITUTE(SUBSTITUTE(K574,"/","."),"-","."),"")</ns0:f>
      </ns0:c>
      <ns0:c r="M574" s="0">
        <ns0:f>IFERROR(LEFT(L574,FIND(".",L574)-1),"")</ns0:f>
      </ns0:c>
      <ns0:c r="N574" s="0">
        <ns0:f>IFERROR(MID(L574,FIND(".",L574)+1,FIND(".",L574,FIND(".",L574)+1)-FIND(".",L574)-1),"")</ns0:f>
      </ns0:c>
      <ns0:c r="O574" s="0">
        <ns0:f>IFERROR(MID(L574,FIND(".",L574,FIND(".",L574)+1)+1,99),"")</ns0:f>
        <ns0:v>99</ns0:v>
      </ns0:c>
      <ns0:c r="P574" s="0">
        <ns0:f>IFERROR(IF(FIND(".",L574)=5,--M574,--O574),0)</ns0:f>
        <ns0:v>0</ns0:v>
      </ns0:c>
      <ns0:c r="Q574" s="0">
        <ns0:f>IFERROR(--N574,0)</ns0:f>
        <ns0:v>0</ns0:v>
      </ns0:c>
      <ns0:c r="R574" s="0">
        <ns0:f>IFERROR(IF(FIND(".",L574)=5,--O574,--M574),0)</ns0:f>
        <ns0:v>0</ns0:v>
      </ns0:c>
      <ns0:c r="S574" s="0">
        <ns0:f>IFERROR(IF(AND(P574&gt;=2000,P574&lt;=2100,Q574&gt;=1,Q574&lt;=12,R574&gt;=1,R574&lt;=31),DATE(P574,Q574,R574),0),0)</ns0:f>
        <ns0:v>0</ns0:v>
      </ns0:c>
      <ns0:c r="T574" s="0">
        <ns0:f>IFERROR(IF(ISNUMBER(Bookings!D574),IF(AND(Bookings!D574=INT(Bookings!D574),Bookings!D574&gt;=DATE(2000,1,1),Bookings!D574&lt;=DATE(2100,12,31)),Bookings!D574,0),IF(AND(K574&lt;&gt;"",LEN("x"&amp;L574)-LEN(SUBSTITUTE("x"&amp;L574,".",""))=2,OR(1&gt;LEN(L574),MID(L574,1,1)=".",ISNUMBER(FIND("x"&amp;MID(L574,1,1),"x0x1x2x3x4x5x6x7x8x9"))),OR(2&gt;LEN(L574),MID(L574,2,1)=".",ISNUMBER(FIND("x"&amp;MID(L574,2,1),"x0x1x2x3x4x5x6x7x8x9"))),OR(3&gt;LEN(L574),MID(L574,3,1)=".",ISNUMBER(FIND("x"&amp;MID(L574,3,1),"x0x1x2x3x4x5x6x7x8x9"))),OR(4&gt;LEN(L574),MID(L574,4,1)=".",ISNUMBER(FIND("x"&amp;MID(L574,4,1),"x0x1x2x3x4x5x6x7x8x9"))),OR(5&gt;LEN(L574),MID(L574,5,1)=".",ISNUMBER(FIND("x"&amp;MID(L574,5,1),"x0x1x2x3x4x5x6x7x8x9"))),OR(6&gt;LEN(L574),MID(L574,6,1)=".",ISNUMBER(FIND("x"&amp;MID(L574,6,1),"x0x1x2x3x4x5x6x7x8x9"))),OR(7&gt;LEN(L574),MID(L574,7,1)=".",ISNUMBER(FIND("x"&amp;MID(L574,7,1),"x0x1x2x3x4x5x6x7x8x9"))),OR(8&gt;LEN(L574),MID(L574,8,1)=".",ISNUMBER(FIND("x"&amp;MID(L574,8,1),"x0x1x2x3x4x5x6x7x8x9"))),OR(9&gt;LEN(L574),MID(L574,9,1)=".",ISNUMBER(FIND("x"&amp;MID(L574,9,1),"x0x1x2x3x4x5x6x7x8x9"))),OR(10&gt;LEN(L574),MID(L574,10,1)=".",ISNUMBER(FIND("x"&amp;MID(L574,10,1),"x0x1x2x3x4x5x6x7x8x9"))),OR(AND(FIND(".",L574)=5,LEN(L574)-FIND(".",L574,FIND(".",L574)+1)&gt;=1,LEN(L574)-FIND(".",L574,FIND(".",L574)+1)&lt;=2),AND(LEN(L574)-FIND(".",L574,FIND(".",L574)+1)=4,FIND(".",L574)&gt;=2,FIND(".",L574)&lt;=3)),FIND(".",L574,FIND(".",L574)+1)-FIND(".",L574)&gt;=2,FIND(".",L574,FIND(".",L574)+1)-FIND(".",L574)&lt;=3,P574&gt;=2000,P574&lt;=2100,YEAR(S574)=P574,MONTH(S574)=Q574,DAY(S574)=R574),S574,0)),0)</ns0:f>
        <ns0:v>0</ns0:v>
      </ns0:c>
      <ns0:c r="U574" s="0" t="str">
        <ns0:f>IF(Bookings!C574="","Full day",Bookings!C574)</ns0:f>
        <ns0:v>Full day</ns0:v>
      </ns0:c>
      <ns0:c r="V574" s="0" t="str">
        <ns0:f>IF(Bookings!E574="","Full day",Bookings!E574)</ns0:f>
        <ns0:v>Full day</ns0:v>
      </ns0:c>
      <ns0:c r="W574" s="0">
        <ns0:f>IF(J574=0,0,J574+IF(U574="PM",1,0))</ns0:f>
        <ns0:v>0</ns0:v>
      </ns0:c>
      <ns0:c r="X574" s="0">
        <ns0:f>IF(T574=0,0,T574-IF(V574="PM",1,0))</ns0:f>
        <ns0:v>0</ns0:v>
      </ns0:c>
      <ns0:c r="Y574" s="0">
        <ns0:f>IF(J574=0,0,J574+IF(U574="AM",1,0))</ns0:f>
        <ns0:v>0</ns0:v>
      </ns0:c>
      <ns0:c r="Z574" s="0">
        <ns0:f>IF(T574=0,0,T574-IF(V574="AM",1,0))</ns0:f>
        <ns0:v>0</ns0:v>
      </ns0:c>
      <ns0:c r="AA574" s="0">
        <ns0:f>IFERROR(IF(AND(J574&gt;0,'_Engine'!C574&gt;0,MID('_Engine'!W574,WEEKDAY(J574,2),1)="W",COUNTIF(Settings!$F$18:$F$67,J574)=0),1,0),0)</ns0:f>
        <ns0:v>0</ns0:v>
      </ns0:c>
      <ns0:c r="AB574" s="0">
        <ns0:f>IFERROR(IF(AND(T574&gt;0,'_Engine'!C574&gt;0,MID('_Engine'!W574,WEEKDAY(T574,2),1)="W",COUNTIF(Settings!$F$18:$F$67,T574)=0),1,0),0)</ns0:f>
        <ns0:v>0</ns0:v>
      </ns0:c>
      <ns0:c r="AC574" s="0">
        <ns0:f>IF(AND(J574&gt;0,T574&gt;0,W574&lt;=X574),1,0)</ns0:f>
        <ns0:v>0</ns0:v>
      </ns0:c>
      <ns0:c r="AD574" s="0">
        <ns0:f>IF(AND(J574&gt;0,T574&gt;0,Y574&lt;=Z574),1,0)</ns0:f>
        <ns0:v>0</ns0:v>
      </ns0:c>
    </ns0:row>
    <ns0:row r="575">
      <ns0:c r="A575" s="0">
        <ns0:f>IFERROR(IF(ISNUMBER(Bookings!B575),"",TRIM(Bookings!B575&amp;"")),"")</ns0:f>
      </ns0:c>
      <ns0:c r="B575" s="0">
        <ns0:f>IFERROR(SUBSTITUTE(SUBSTITUTE(A575,"/","."),"-","."),"")</ns0:f>
      </ns0:c>
      <ns0:c r="C575" s="0">
        <ns0:f>IFERROR(LEFT(B575,FIND(".",B575)-1),"")</ns0:f>
      </ns0:c>
      <ns0:c r="D575" s="0">
        <ns0:f>IFERROR(MID(B575,FIND(".",B575)+1,FIND(".",B575,FIND(".",B575)+1)-FIND(".",B575)-1),"")</ns0:f>
      </ns0:c>
      <ns0:c r="E575" s="0">
        <ns0:f>IFERROR(MID(B575,FIND(".",B575,FIND(".",B575)+1)+1,99),"")</ns0:f>
        <ns0:v>99</ns0:v>
      </ns0:c>
      <ns0:c r="F575" s="0">
        <ns0:f>IFERROR(IF(FIND(".",B575)=5,--C575,--E575),0)</ns0:f>
        <ns0:v>0</ns0:v>
      </ns0:c>
      <ns0:c r="G575" s="0">
        <ns0:f>IFERROR(--D575,0)</ns0:f>
        <ns0:v>0</ns0:v>
      </ns0:c>
      <ns0:c r="H575" s="0">
        <ns0:f>IFERROR(IF(FIND(".",B575)=5,--E575,--C575),0)</ns0:f>
        <ns0:v>0</ns0:v>
      </ns0:c>
      <ns0:c r="I575" s="0">
        <ns0:f>IFERROR(IF(AND(F575&gt;=2000,F575&lt;=2100,G575&gt;=1,G575&lt;=12,H575&gt;=1,H575&lt;=31),DATE(F575,G575,H575),0),0)</ns0:f>
        <ns0:v>0</ns0:v>
      </ns0:c>
      <ns0:c r="J575" s="0">
        <ns0:f>IFERROR(IF(ISNUMBER(Bookings!B575),IF(AND(Bookings!B575=INT(Bookings!B575),Bookings!B575&gt;=DATE(2000,1,1),Bookings!B575&lt;=DATE(2100,12,31)),Bookings!B575,0),IF(AND(A575&lt;&gt;"",LEN("x"&amp;B575)-LEN(SUBSTITUTE("x"&amp;B575,".",""))=2,OR(1&gt;LEN(B575),MID(B575,1,1)=".",ISNUMBER(FIND("x"&amp;MID(B575,1,1),"x0x1x2x3x4x5x6x7x8x9"))),OR(2&gt;LEN(B575),MID(B575,2,1)=".",ISNUMBER(FIND("x"&amp;MID(B575,2,1),"x0x1x2x3x4x5x6x7x8x9"))),OR(3&gt;LEN(B575),MID(B575,3,1)=".",ISNUMBER(FIND("x"&amp;MID(B575,3,1),"x0x1x2x3x4x5x6x7x8x9"))),OR(4&gt;LEN(B575),MID(B575,4,1)=".",ISNUMBER(FIND("x"&amp;MID(B575,4,1),"x0x1x2x3x4x5x6x7x8x9"))),OR(5&gt;LEN(B575),MID(B575,5,1)=".",ISNUMBER(FIND("x"&amp;MID(B575,5,1),"x0x1x2x3x4x5x6x7x8x9"))),OR(6&gt;LEN(B575),MID(B575,6,1)=".",ISNUMBER(FIND("x"&amp;MID(B575,6,1),"x0x1x2x3x4x5x6x7x8x9"))),OR(7&gt;LEN(B575),MID(B575,7,1)=".",ISNUMBER(FIND("x"&amp;MID(B575,7,1),"x0x1x2x3x4x5x6x7x8x9"))),OR(8&gt;LEN(B575),MID(B575,8,1)=".",ISNUMBER(FIND("x"&amp;MID(B575,8,1),"x0x1x2x3x4x5x6x7x8x9"))),OR(9&gt;LEN(B575),MID(B575,9,1)=".",ISNUMBER(FIND("x"&amp;MID(B575,9,1),"x0x1x2x3x4x5x6x7x8x9"))),OR(10&gt;LEN(B575),MID(B575,10,1)=".",ISNUMBER(FIND("x"&amp;MID(B575,10,1),"x0x1x2x3x4x5x6x7x8x9"))),OR(AND(FIND(".",B575)=5,LEN(B575)-FIND(".",B575,FIND(".",B575)+1)&gt;=1,LEN(B575)-FIND(".",B575,FIND(".",B575)+1)&lt;=2),AND(LEN(B575)-FIND(".",B575,FIND(".",B575)+1)=4,FIND(".",B575)&gt;=2,FIND(".",B575)&lt;=3)),FIND(".",B575,FIND(".",B575)+1)-FIND(".",B575)&gt;=2,FIND(".",B575,FIND(".",B575)+1)-FIND(".",B575)&lt;=3,F575&gt;=2000,F575&lt;=2100,YEAR(I575)=F575,MONTH(I575)=G575,DAY(I575)=H575),I575,0)),0)</ns0:f>
        <ns0:v>0</ns0:v>
      </ns0:c>
      <ns0:c r="K575" s="0">
        <ns0:f>IFERROR(IF(ISNUMBER(Bookings!D575),"",TRIM(Bookings!D575&amp;"")),"")</ns0:f>
      </ns0:c>
      <ns0:c r="L575" s="0">
        <ns0:f>IFERROR(SUBSTITUTE(SUBSTITUTE(K575,"/","."),"-","."),"")</ns0:f>
      </ns0:c>
      <ns0:c r="M575" s="0">
        <ns0:f>IFERROR(LEFT(L575,FIND(".",L575)-1),"")</ns0:f>
      </ns0:c>
      <ns0:c r="N575" s="0">
        <ns0:f>IFERROR(MID(L575,FIND(".",L575)+1,FIND(".",L575,FIND(".",L575)+1)-FIND(".",L575)-1),"")</ns0:f>
      </ns0:c>
      <ns0:c r="O575" s="0">
        <ns0:f>IFERROR(MID(L575,FIND(".",L575,FIND(".",L575)+1)+1,99),"")</ns0:f>
        <ns0:v>99</ns0:v>
      </ns0:c>
      <ns0:c r="P575" s="0">
        <ns0:f>IFERROR(IF(FIND(".",L575)=5,--M575,--O575),0)</ns0:f>
        <ns0:v>0</ns0:v>
      </ns0:c>
      <ns0:c r="Q575" s="0">
        <ns0:f>IFERROR(--N575,0)</ns0:f>
        <ns0:v>0</ns0:v>
      </ns0:c>
      <ns0:c r="R575" s="0">
        <ns0:f>IFERROR(IF(FIND(".",L575)=5,--O575,--M575),0)</ns0:f>
        <ns0:v>0</ns0:v>
      </ns0:c>
      <ns0:c r="S575" s="0">
        <ns0:f>IFERROR(IF(AND(P575&gt;=2000,P575&lt;=2100,Q575&gt;=1,Q575&lt;=12,R575&gt;=1,R575&lt;=31),DATE(P575,Q575,R575),0),0)</ns0:f>
        <ns0:v>0</ns0:v>
      </ns0:c>
      <ns0:c r="T575" s="0">
        <ns0:f>IFERROR(IF(ISNUMBER(Bookings!D575),IF(AND(Bookings!D575=INT(Bookings!D575),Bookings!D575&gt;=DATE(2000,1,1),Bookings!D575&lt;=DATE(2100,12,31)),Bookings!D575,0),IF(AND(K575&lt;&gt;"",LEN("x"&amp;L575)-LEN(SUBSTITUTE("x"&amp;L575,".",""))=2,OR(1&gt;LEN(L575),MID(L575,1,1)=".",ISNUMBER(FIND("x"&amp;MID(L575,1,1),"x0x1x2x3x4x5x6x7x8x9"))),OR(2&gt;LEN(L575),MID(L575,2,1)=".",ISNUMBER(FIND("x"&amp;MID(L575,2,1),"x0x1x2x3x4x5x6x7x8x9"))),OR(3&gt;LEN(L575),MID(L575,3,1)=".",ISNUMBER(FIND("x"&amp;MID(L575,3,1),"x0x1x2x3x4x5x6x7x8x9"))),OR(4&gt;LEN(L575),MID(L575,4,1)=".",ISNUMBER(FIND("x"&amp;MID(L575,4,1),"x0x1x2x3x4x5x6x7x8x9"))),OR(5&gt;LEN(L575),MID(L575,5,1)=".",ISNUMBER(FIND("x"&amp;MID(L575,5,1),"x0x1x2x3x4x5x6x7x8x9"))),OR(6&gt;LEN(L575),MID(L575,6,1)=".",ISNUMBER(FIND("x"&amp;MID(L575,6,1),"x0x1x2x3x4x5x6x7x8x9"))),OR(7&gt;LEN(L575),MID(L575,7,1)=".",ISNUMBER(FIND("x"&amp;MID(L575,7,1),"x0x1x2x3x4x5x6x7x8x9"))),OR(8&gt;LEN(L575),MID(L575,8,1)=".",ISNUMBER(FIND("x"&amp;MID(L575,8,1),"x0x1x2x3x4x5x6x7x8x9"))),OR(9&gt;LEN(L575),MID(L575,9,1)=".",ISNUMBER(FIND("x"&amp;MID(L575,9,1),"x0x1x2x3x4x5x6x7x8x9"))),OR(10&gt;LEN(L575),MID(L575,10,1)=".",ISNUMBER(FIND("x"&amp;MID(L575,10,1),"x0x1x2x3x4x5x6x7x8x9"))),OR(AND(FIND(".",L575)=5,LEN(L575)-FIND(".",L575,FIND(".",L575)+1)&gt;=1,LEN(L575)-FIND(".",L575,FIND(".",L575)+1)&lt;=2),AND(LEN(L575)-FIND(".",L575,FIND(".",L575)+1)=4,FIND(".",L575)&gt;=2,FIND(".",L575)&lt;=3)),FIND(".",L575,FIND(".",L575)+1)-FIND(".",L575)&gt;=2,FIND(".",L575,FIND(".",L575)+1)-FIND(".",L575)&lt;=3,P575&gt;=2000,P575&lt;=2100,YEAR(S575)=P575,MONTH(S575)=Q575,DAY(S575)=R575),S575,0)),0)</ns0:f>
        <ns0:v>0</ns0:v>
      </ns0:c>
      <ns0:c r="U575" s="0" t="str">
        <ns0:f>IF(Bookings!C575="","Full day",Bookings!C575)</ns0:f>
        <ns0:v>Full day</ns0:v>
      </ns0:c>
      <ns0:c r="V575" s="0" t="str">
        <ns0:f>IF(Bookings!E575="","Full day",Bookings!E575)</ns0:f>
        <ns0:v>Full day</ns0:v>
      </ns0:c>
      <ns0:c r="W575" s="0">
        <ns0:f>IF(J575=0,0,J575+IF(U575="PM",1,0))</ns0:f>
        <ns0:v>0</ns0:v>
      </ns0:c>
      <ns0:c r="X575" s="0">
        <ns0:f>IF(T575=0,0,T575-IF(V575="PM",1,0))</ns0:f>
        <ns0:v>0</ns0:v>
      </ns0:c>
      <ns0:c r="Y575" s="0">
        <ns0:f>IF(J575=0,0,J575+IF(U575="AM",1,0))</ns0:f>
        <ns0:v>0</ns0:v>
      </ns0:c>
      <ns0:c r="Z575" s="0">
        <ns0:f>IF(T575=0,0,T575-IF(V575="AM",1,0))</ns0:f>
        <ns0:v>0</ns0:v>
      </ns0:c>
      <ns0:c r="AA575" s="0">
        <ns0:f>IFERROR(IF(AND(J575&gt;0,'_Engine'!C575&gt;0,MID('_Engine'!W575,WEEKDAY(J575,2),1)="W",COUNTIF(Settings!$F$18:$F$67,J575)=0),1,0),0)</ns0:f>
        <ns0:v>0</ns0:v>
      </ns0:c>
      <ns0:c r="AB575" s="0">
        <ns0:f>IFERROR(IF(AND(T575&gt;0,'_Engine'!C575&gt;0,MID('_Engine'!W575,WEEKDAY(T575,2),1)="W",COUNTIF(Settings!$F$18:$F$67,T575)=0),1,0),0)</ns0:f>
        <ns0:v>0</ns0:v>
      </ns0:c>
      <ns0:c r="AC575" s="0">
        <ns0:f>IF(AND(J575&gt;0,T575&gt;0,W575&lt;=X575),1,0)</ns0:f>
        <ns0:v>0</ns0:v>
      </ns0:c>
      <ns0:c r="AD575" s="0">
        <ns0:f>IF(AND(J575&gt;0,T575&gt;0,Y575&lt;=Z575),1,0)</ns0:f>
        <ns0:v>0</ns0:v>
      </ns0:c>
    </ns0:row>
    <ns0:row r="576">
      <ns0:c r="A576" s="0">
        <ns0:f>IFERROR(IF(ISNUMBER(Bookings!B576),"",TRIM(Bookings!B576&amp;"")),"")</ns0:f>
      </ns0:c>
      <ns0:c r="B576" s="0">
        <ns0:f>IFERROR(SUBSTITUTE(SUBSTITUTE(A576,"/","."),"-","."),"")</ns0:f>
      </ns0:c>
      <ns0:c r="C576" s="0">
        <ns0:f>IFERROR(LEFT(B576,FIND(".",B576)-1),"")</ns0:f>
      </ns0:c>
      <ns0:c r="D576" s="0">
        <ns0:f>IFERROR(MID(B576,FIND(".",B576)+1,FIND(".",B576,FIND(".",B576)+1)-FIND(".",B576)-1),"")</ns0:f>
      </ns0:c>
      <ns0:c r="E576" s="0">
        <ns0:f>IFERROR(MID(B576,FIND(".",B576,FIND(".",B576)+1)+1,99),"")</ns0:f>
        <ns0:v>99</ns0:v>
      </ns0:c>
      <ns0:c r="F576" s="0">
        <ns0:f>IFERROR(IF(FIND(".",B576)=5,--C576,--E576),0)</ns0:f>
        <ns0:v>0</ns0:v>
      </ns0:c>
      <ns0:c r="G576" s="0">
        <ns0:f>IFERROR(--D576,0)</ns0:f>
        <ns0:v>0</ns0:v>
      </ns0:c>
      <ns0:c r="H576" s="0">
        <ns0:f>IFERROR(IF(FIND(".",B576)=5,--E576,--C576),0)</ns0:f>
        <ns0:v>0</ns0:v>
      </ns0:c>
      <ns0:c r="I576" s="0">
        <ns0:f>IFERROR(IF(AND(F576&gt;=2000,F576&lt;=2100,G576&gt;=1,G576&lt;=12,H576&gt;=1,H576&lt;=31),DATE(F576,G576,H576),0),0)</ns0:f>
        <ns0:v>0</ns0:v>
      </ns0:c>
      <ns0:c r="J576" s="0">
        <ns0:f>IFERROR(IF(ISNUMBER(Bookings!B576),IF(AND(Bookings!B576=INT(Bookings!B576),Bookings!B576&gt;=DATE(2000,1,1),Bookings!B576&lt;=DATE(2100,12,31)),Bookings!B576,0),IF(AND(A576&lt;&gt;"",LEN("x"&amp;B576)-LEN(SUBSTITUTE("x"&amp;B576,".",""))=2,OR(1&gt;LEN(B576),MID(B576,1,1)=".",ISNUMBER(FIND("x"&amp;MID(B576,1,1),"x0x1x2x3x4x5x6x7x8x9"))),OR(2&gt;LEN(B576),MID(B576,2,1)=".",ISNUMBER(FIND("x"&amp;MID(B576,2,1),"x0x1x2x3x4x5x6x7x8x9"))),OR(3&gt;LEN(B576),MID(B576,3,1)=".",ISNUMBER(FIND("x"&amp;MID(B576,3,1),"x0x1x2x3x4x5x6x7x8x9"))),OR(4&gt;LEN(B576),MID(B576,4,1)=".",ISNUMBER(FIND("x"&amp;MID(B576,4,1),"x0x1x2x3x4x5x6x7x8x9"))),OR(5&gt;LEN(B576),MID(B576,5,1)=".",ISNUMBER(FIND("x"&amp;MID(B576,5,1),"x0x1x2x3x4x5x6x7x8x9"))),OR(6&gt;LEN(B576),MID(B576,6,1)=".",ISNUMBER(FIND("x"&amp;MID(B576,6,1),"x0x1x2x3x4x5x6x7x8x9"))),OR(7&gt;LEN(B576),MID(B576,7,1)=".",ISNUMBER(FIND("x"&amp;MID(B576,7,1),"x0x1x2x3x4x5x6x7x8x9"))),OR(8&gt;LEN(B576),MID(B576,8,1)=".",ISNUMBER(FIND("x"&amp;MID(B576,8,1),"x0x1x2x3x4x5x6x7x8x9"))),OR(9&gt;LEN(B576),MID(B576,9,1)=".",ISNUMBER(FIND("x"&amp;MID(B576,9,1),"x0x1x2x3x4x5x6x7x8x9"))),OR(10&gt;LEN(B576),MID(B576,10,1)=".",ISNUMBER(FIND("x"&amp;MID(B576,10,1),"x0x1x2x3x4x5x6x7x8x9"))),OR(AND(FIND(".",B576)=5,LEN(B576)-FIND(".",B576,FIND(".",B576)+1)&gt;=1,LEN(B576)-FIND(".",B576,FIND(".",B576)+1)&lt;=2),AND(LEN(B576)-FIND(".",B576,FIND(".",B576)+1)=4,FIND(".",B576)&gt;=2,FIND(".",B576)&lt;=3)),FIND(".",B576,FIND(".",B576)+1)-FIND(".",B576)&gt;=2,FIND(".",B576,FIND(".",B576)+1)-FIND(".",B576)&lt;=3,F576&gt;=2000,F576&lt;=2100,YEAR(I576)=F576,MONTH(I576)=G576,DAY(I576)=H576),I576,0)),0)</ns0:f>
        <ns0:v>0</ns0:v>
      </ns0:c>
      <ns0:c r="K576" s="0">
        <ns0:f>IFERROR(IF(ISNUMBER(Bookings!D576),"",TRIM(Bookings!D576&amp;"")),"")</ns0:f>
      </ns0:c>
      <ns0:c r="L576" s="0">
        <ns0:f>IFERROR(SUBSTITUTE(SUBSTITUTE(K576,"/","."),"-","."),"")</ns0:f>
      </ns0:c>
      <ns0:c r="M576" s="0">
        <ns0:f>IFERROR(LEFT(L576,FIND(".",L576)-1),"")</ns0:f>
      </ns0:c>
      <ns0:c r="N576" s="0">
        <ns0:f>IFERROR(MID(L576,FIND(".",L576)+1,FIND(".",L576,FIND(".",L576)+1)-FIND(".",L576)-1),"")</ns0:f>
      </ns0:c>
      <ns0:c r="O576" s="0">
        <ns0:f>IFERROR(MID(L576,FIND(".",L576,FIND(".",L576)+1)+1,99),"")</ns0:f>
        <ns0:v>99</ns0:v>
      </ns0:c>
      <ns0:c r="P576" s="0">
        <ns0:f>IFERROR(IF(FIND(".",L576)=5,--M576,--O576),0)</ns0:f>
        <ns0:v>0</ns0:v>
      </ns0:c>
      <ns0:c r="Q576" s="0">
        <ns0:f>IFERROR(--N576,0)</ns0:f>
        <ns0:v>0</ns0:v>
      </ns0:c>
      <ns0:c r="R576" s="0">
        <ns0:f>IFERROR(IF(FIND(".",L576)=5,--O576,--M576),0)</ns0:f>
        <ns0:v>0</ns0:v>
      </ns0:c>
      <ns0:c r="S576" s="0">
        <ns0:f>IFERROR(IF(AND(P576&gt;=2000,P576&lt;=2100,Q576&gt;=1,Q576&lt;=12,R576&gt;=1,R576&lt;=31),DATE(P576,Q576,R576),0),0)</ns0:f>
        <ns0:v>0</ns0:v>
      </ns0:c>
      <ns0:c r="T576" s="0">
        <ns0:f>IFERROR(IF(ISNUMBER(Bookings!D576),IF(AND(Bookings!D576=INT(Bookings!D576),Bookings!D576&gt;=DATE(2000,1,1),Bookings!D576&lt;=DATE(2100,12,31)),Bookings!D576,0),IF(AND(K576&lt;&gt;"",LEN("x"&amp;L576)-LEN(SUBSTITUTE("x"&amp;L576,".",""))=2,OR(1&gt;LEN(L576),MID(L576,1,1)=".",ISNUMBER(FIND("x"&amp;MID(L576,1,1),"x0x1x2x3x4x5x6x7x8x9"))),OR(2&gt;LEN(L576),MID(L576,2,1)=".",ISNUMBER(FIND("x"&amp;MID(L576,2,1),"x0x1x2x3x4x5x6x7x8x9"))),OR(3&gt;LEN(L576),MID(L576,3,1)=".",ISNUMBER(FIND("x"&amp;MID(L576,3,1),"x0x1x2x3x4x5x6x7x8x9"))),OR(4&gt;LEN(L576),MID(L576,4,1)=".",ISNUMBER(FIND("x"&amp;MID(L576,4,1),"x0x1x2x3x4x5x6x7x8x9"))),OR(5&gt;LEN(L576),MID(L576,5,1)=".",ISNUMBER(FIND("x"&amp;MID(L576,5,1),"x0x1x2x3x4x5x6x7x8x9"))),OR(6&gt;LEN(L576),MID(L576,6,1)=".",ISNUMBER(FIND("x"&amp;MID(L576,6,1),"x0x1x2x3x4x5x6x7x8x9"))),OR(7&gt;LEN(L576),MID(L576,7,1)=".",ISNUMBER(FIND("x"&amp;MID(L576,7,1),"x0x1x2x3x4x5x6x7x8x9"))),OR(8&gt;LEN(L576),MID(L576,8,1)=".",ISNUMBER(FIND("x"&amp;MID(L576,8,1),"x0x1x2x3x4x5x6x7x8x9"))),OR(9&gt;LEN(L576),MID(L576,9,1)=".",ISNUMBER(FIND("x"&amp;MID(L576,9,1),"x0x1x2x3x4x5x6x7x8x9"))),OR(10&gt;LEN(L576),MID(L576,10,1)=".",ISNUMBER(FIND("x"&amp;MID(L576,10,1),"x0x1x2x3x4x5x6x7x8x9"))),OR(AND(FIND(".",L576)=5,LEN(L576)-FIND(".",L576,FIND(".",L576)+1)&gt;=1,LEN(L576)-FIND(".",L576,FIND(".",L576)+1)&lt;=2),AND(LEN(L576)-FIND(".",L576,FIND(".",L576)+1)=4,FIND(".",L576)&gt;=2,FIND(".",L576)&lt;=3)),FIND(".",L576,FIND(".",L576)+1)-FIND(".",L576)&gt;=2,FIND(".",L576,FIND(".",L576)+1)-FIND(".",L576)&lt;=3,P576&gt;=2000,P576&lt;=2100,YEAR(S576)=P576,MONTH(S576)=Q576,DAY(S576)=R576),S576,0)),0)</ns0:f>
        <ns0:v>0</ns0:v>
      </ns0:c>
      <ns0:c r="U576" s="0" t="str">
        <ns0:f>IF(Bookings!C576="","Full day",Bookings!C576)</ns0:f>
        <ns0:v>Full day</ns0:v>
      </ns0:c>
      <ns0:c r="V576" s="0" t="str">
        <ns0:f>IF(Bookings!E576="","Full day",Bookings!E576)</ns0:f>
        <ns0:v>Full day</ns0:v>
      </ns0:c>
      <ns0:c r="W576" s="0">
        <ns0:f>IF(J576=0,0,J576+IF(U576="PM",1,0))</ns0:f>
        <ns0:v>0</ns0:v>
      </ns0:c>
      <ns0:c r="X576" s="0">
        <ns0:f>IF(T576=0,0,T576-IF(V576="PM",1,0))</ns0:f>
        <ns0:v>0</ns0:v>
      </ns0:c>
      <ns0:c r="Y576" s="0">
        <ns0:f>IF(J576=0,0,J576+IF(U576="AM",1,0))</ns0:f>
        <ns0:v>0</ns0:v>
      </ns0:c>
      <ns0:c r="Z576" s="0">
        <ns0:f>IF(T576=0,0,T576-IF(V576="AM",1,0))</ns0:f>
        <ns0:v>0</ns0:v>
      </ns0:c>
      <ns0:c r="AA576" s="0">
        <ns0:f>IFERROR(IF(AND(J576&gt;0,'_Engine'!C576&gt;0,MID('_Engine'!W576,WEEKDAY(J576,2),1)="W",COUNTIF(Settings!$F$18:$F$67,J576)=0),1,0),0)</ns0:f>
        <ns0:v>0</ns0:v>
      </ns0:c>
      <ns0:c r="AB576" s="0">
        <ns0:f>IFERROR(IF(AND(T576&gt;0,'_Engine'!C576&gt;0,MID('_Engine'!W576,WEEKDAY(T576,2),1)="W",COUNTIF(Settings!$F$18:$F$67,T576)=0),1,0),0)</ns0:f>
        <ns0:v>0</ns0:v>
      </ns0:c>
      <ns0:c r="AC576" s="0">
        <ns0:f>IF(AND(J576&gt;0,T576&gt;0,W576&lt;=X576),1,0)</ns0:f>
        <ns0:v>0</ns0:v>
      </ns0:c>
      <ns0:c r="AD576" s="0">
        <ns0:f>IF(AND(J576&gt;0,T576&gt;0,Y576&lt;=Z576),1,0)</ns0:f>
        <ns0:v>0</ns0:v>
      </ns0:c>
    </ns0:row>
    <ns0:row r="577">
      <ns0:c r="A577" s="0">
        <ns0:f>IFERROR(IF(ISNUMBER(Bookings!B577),"",TRIM(Bookings!B577&amp;"")),"")</ns0:f>
      </ns0:c>
      <ns0:c r="B577" s="0">
        <ns0:f>IFERROR(SUBSTITUTE(SUBSTITUTE(A577,"/","."),"-","."),"")</ns0:f>
      </ns0:c>
      <ns0:c r="C577" s="0">
        <ns0:f>IFERROR(LEFT(B577,FIND(".",B577)-1),"")</ns0:f>
      </ns0:c>
      <ns0:c r="D577" s="0">
        <ns0:f>IFERROR(MID(B577,FIND(".",B577)+1,FIND(".",B577,FIND(".",B577)+1)-FIND(".",B577)-1),"")</ns0:f>
      </ns0:c>
      <ns0:c r="E577" s="0">
        <ns0:f>IFERROR(MID(B577,FIND(".",B577,FIND(".",B577)+1)+1,99),"")</ns0:f>
        <ns0:v>99</ns0:v>
      </ns0:c>
      <ns0:c r="F577" s="0">
        <ns0:f>IFERROR(IF(FIND(".",B577)=5,--C577,--E577),0)</ns0:f>
        <ns0:v>0</ns0:v>
      </ns0:c>
      <ns0:c r="G577" s="0">
        <ns0:f>IFERROR(--D577,0)</ns0:f>
        <ns0:v>0</ns0:v>
      </ns0:c>
      <ns0:c r="H577" s="0">
        <ns0:f>IFERROR(IF(FIND(".",B577)=5,--E577,--C577),0)</ns0:f>
        <ns0:v>0</ns0:v>
      </ns0:c>
      <ns0:c r="I577" s="0">
        <ns0:f>IFERROR(IF(AND(F577&gt;=2000,F577&lt;=2100,G577&gt;=1,G577&lt;=12,H577&gt;=1,H577&lt;=31),DATE(F577,G577,H577),0),0)</ns0:f>
        <ns0:v>0</ns0:v>
      </ns0:c>
      <ns0:c r="J577" s="0">
        <ns0:f>IFERROR(IF(ISNUMBER(Bookings!B577),IF(AND(Bookings!B577=INT(Bookings!B577),Bookings!B577&gt;=DATE(2000,1,1),Bookings!B577&lt;=DATE(2100,12,31)),Bookings!B577,0),IF(AND(A577&lt;&gt;"",LEN("x"&amp;B577)-LEN(SUBSTITUTE("x"&amp;B577,".",""))=2,OR(1&gt;LEN(B577),MID(B577,1,1)=".",ISNUMBER(FIND("x"&amp;MID(B577,1,1),"x0x1x2x3x4x5x6x7x8x9"))),OR(2&gt;LEN(B577),MID(B577,2,1)=".",ISNUMBER(FIND("x"&amp;MID(B577,2,1),"x0x1x2x3x4x5x6x7x8x9"))),OR(3&gt;LEN(B577),MID(B577,3,1)=".",ISNUMBER(FIND("x"&amp;MID(B577,3,1),"x0x1x2x3x4x5x6x7x8x9"))),OR(4&gt;LEN(B577),MID(B577,4,1)=".",ISNUMBER(FIND("x"&amp;MID(B577,4,1),"x0x1x2x3x4x5x6x7x8x9"))),OR(5&gt;LEN(B577),MID(B577,5,1)=".",ISNUMBER(FIND("x"&amp;MID(B577,5,1),"x0x1x2x3x4x5x6x7x8x9"))),OR(6&gt;LEN(B577),MID(B577,6,1)=".",ISNUMBER(FIND("x"&amp;MID(B577,6,1),"x0x1x2x3x4x5x6x7x8x9"))),OR(7&gt;LEN(B577),MID(B577,7,1)=".",ISNUMBER(FIND("x"&amp;MID(B577,7,1),"x0x1x2x3x4x5x6x7x8x9"))),OR(8&gt;LEN(B577),MID(B577,8,1)=".",ISNUMBER(FIND("x"&amp;MID(B577,8,1),"x0x1x2x3x4x5x6x7x8x9"))),OR(9&gt;LEN(B577),MID(B577,9,1)=".",ISNUMBER(FIND("x"&amp;MID(B577,9,1),"x0x1x2x3x4x5x6x7x8x9"))),OR(10&gt;LEN(B577),MID(B577,10,1)=".",ISNUMBER(FIND("x"&amp;MID(B577,10,1),"x0x1x2x3x4x5x6x7x8x9"))),OR(AND(FIND(".",B577)=5,LEN(B577)-FIND(".",B577,FIND(".",B577)+1)&gt;=1,LEN(B577)-FIND(".",B577,FIND(".",B577)+1)&lt;=2),AND(LEN(B577)-FIND(".",B577,FIND(".",B577)+1)=4,FIND(".",B577)&gt;=2,FIND(".",B577)&lt;=3)),FIND(".",B577,FIND(".",B577)+1)-FIND(".",B577)&gt;=2,FIND(".",B577,FIND(".",B577)+1)-FIND(".",B577)&lt;=3,F577&gt;=2000,F577&lt;=2100,YEAR(I577)=F577,MONTH(I577)=G577,DAY(I577)=H577),I577,0)),0)</ns0:f>
        <ns0:v>0</ns0:v>
      </ns0:c>
      <ns0:c r="K577" s="0">
        <ns0:f>IFERROR(IF(ISNUMBER(Bookings!D577),"",TRIM(Bookings!D577&amp;"")),"")</ns0:f>
      </ns0:c>
      <ns0:c r="L577" s="0">
        <ns0:f>IFERROR(SUBSTITUTE(SUBSTITUTE(K577,"/","."),"-","."),"")</ns0:f>
      </ns0:c>
      <ns0:c r="M577" s="0">
        <ns0:f>IFERROR(LEFT(L577,FIND(".",L577)-1),"")</ns0:f>
      </ns0:c>
      <ns0:c r="N577" s="0">
        <ns0:f>IFERROR(MID(L577,FIND(".",L577)+1,FIND(".",L577,FIND(".",L577)+1)-FIND(".",L577)-1),"")</ns0:f>
      </ns0:c>
      <ns0:c r="O577" s="0">
        <ns0:f>IFERROR(MID(L577,FIND(".",L577,FIND(".",L577)+1)+1,99),"")</ns0:f>
        <ns0:v>99</ns0:v>
      </ns0:c>
      <ns0:c r="P577" s="0">
        <ns0:f>IFERROR(IF(FIND(".",L577)=5,--M577,--O577),0)</ns0:f>
        <ns0:v>0</ns0:v>
      </ns0:c>
      <ns0:c r="Q577" s="0">
        <ns0:f>IFERROR(--N577,0)</ns0:f>
        <ns0:v>0</ns0:v>
      </ns0:c>
      <ns0:c r="R577" s="0">
        <ns0:f>IFERROR(IF(FIND(".",L577)=5,--O577,--M577),0)</ns0:f>
        <ns0:v>0</ns0:v>
      </ns0:c>
      <ns0:c r="S577" s="0">
        <ns0:f>IFERROR(IF(AND(P577&gt;=2000,P577&lt;=2100,Q577&gt;=1,Q577&lt;=12,R577&gt;=1,R577&lt;=31),DATE(P577,Q577,R577),0),0)</ns0:f>
        <ns0:v>0</ns0:v>
      </ns0:c>
      <ns0:c r="T577" s="0">
        <ns0:f>IFERROR(IF(ISNUMBER(Bookings!D577),IF(AND(Bookings!D577=INT(Bookings!D577),Bookings!D577&gt;=DATE(2000,1,1),Bookings!D577&lt;=DATE(2100,12,31)),Bookings!D577,0),IF(AND(K577&lt;&gt;"",LEN("x"&amp;L577)-LEN(SUBSTITUTE("x"&amp;L577,".",""))=2,OR(1&gt;LEN(L577),MID(L577,1,1)=".",ISNUMBER(FIND("x"&amp;MID(L577,1,1),"x0x1x2x3x4x5x6x7x8x9"))),OR(2&gt;LEN(L577),MID(L577,2,1)=".",ISNUMBER(FIND("x"&amp;MID(L577,2,1),"x0x1x2x3x4x5x6x7x8x9"))),OR(3&gt;LEN(L577),MID(L577,3,1)=".",ISNUMBER(FIND("x"&amp;MID(L577,3,1),"x0x1x2x3x4x5x6x7x8x9"))),OR(4&gt;LEN(L577),MID(L577,4,1)=".",ISNUMBER(FIND("x"&amp;MID(L577,4,1),"x0x1x2x3x4x5x6x7x8x9"))),OR(5&gt;LEN(L577),MID(L577,5,1)=".",ISNUMBER(FIND("x"&amp;MID(L577,5,1),"x0x1x2x3x4x5x6x7x8x9"))),OR(6&gt;LEN(L577),MID(L577,6,1)=".",ISNUMBER(FIND("x"&amp;MID(L577,6,1),"x0x1x2x3x4x5x6x7x8x9"))),OR(7&gt;LEN(L577),MID(L577,7,1)=".",ISNUMBER(FIND("x"&amp;MID(L577,7,1),"x0x1x2x3x4x5x6x7x8x9"))),OR(8&gt;LEN(L577),MID(L577,8,1)=".",ISNUMBER(FIND("x"&amp;MID(L577,8,1),"x0x1x2x3x4x5x6x7x8x9"))),OR(9&gt;LEN(L577),MID(L577,9,1)=".",ISNUMBER(FIND("x"&amp;MID(L577,9,1),"x0x1x2x3x4x5x6x7x8x9"))),OR(10&gt;LEN(L577),MID(L577,10,1)=".",ISNUMBER(FIND("x"&amp;MID(L577,10,1),"x0x1x2x3x4x5x6x7x8x9"))),OR(AND(FIND(".",L577)=5,LEN(L577)-FIND(".",L577,FIND(".",L577)+1)&gt;=1,LEN(L577)-FIND(".",L577,FIND(".",L577)+1)&lt;=2),AND(LEN(L577)-FIND(".",L577,FIND(".",L577)+1)=4,FIND(".",L577)&gt;=2,FIND(".",L577)&lt;=3)),FIND(".",L577,FIND(".",L577)+1)-FIND(".",L577)&gt;=2,FIND(".",L577,FIND(".",L577)+1)-FIND(".",L577)&lt;=3,P577&gt;=2000,P577&lt;=2100,YEAR(S577)=P577,MONTH(S577)=Q577,DAY(S577)=R577),S577,0)),0)</ns0:f>
        <ns0:v>0</ns0:v>
      </ns0:c>
      <ns0:c r="U577" s="0" t="str">
        <ns0:f>IF(Bookings!C577="","Full day",Bookings!C577)</ns0:f>
        <ns0:v>Full day</ns0:v>
      </ns0:c>
      <ns0:c r="V577" s="0" t="str">
        <ns0:f>IF(Bookings!E577="","Full day",Bookings!E577)</ns0:f>
        <ns0:v>Full day</ns0:v>
      </ns0:c>
      <ns0:c r="W577" s="0">
        <ns0:f>IF(J577=0,0,J577+IF(U577="PM",1,0))</ns0:f>
        <ns0:v>0</ns0:v>
      </ns0:c>
      <ns0:c r="X577" s="0">
        <ns0:f>IF(T577=0,0,T577-IF(V577="PM",1,0))</ns0:f>
        <ns0:v>0</ns0:v>
      </ns0:c>
      <ns0:c r="Y577" s="0">
        <ns0:f>IF(J577=0,0,J577+IF(U577="AM",1,0))</ns0:f>
        <ns0:v>0</ns0:v>
      </ns0:c>
      <ns0:c r="Z577" s="0">
        <ns0:f>IF(T577=0,0,T577-IF(V577="AM",1,0))</ns0:f>
        <ns0:v>0</ns0:v>
      </ns0:c>
      <ns0:c r="AA577" s="0">
        <ns0:f>IFERROR(IF(AND(J577&gt;0,'_Engine'!C577&gt;0,MID('_Engine'!W577,WEEKDAY(J577,2),1)="W",COUNTIF(Settings!$F$18:$F$67,J577)=0),1,0),0)</ns0:f>
        <ns0:v>0</ns0:v>
      </ns0:c>
      <ns0:c r="AB577" s="0">
        <ns0:f>IFERROR(IF(AND(T577&gt;0,'_Engine'!C577&gt;0,MID('_Engine'!W577,WEEKDAY(T577,2),1)="W",COUNTIF(Settings!$F$18:$F$67,T577)=0),1,0),0)</ns0:f>
        <ns0:v>0</ns0:v>
      </ns0:c>
      <ns0:c r="AC577" s="0">
        <ns0:f>IF(AND(J577&gt;0,T577&gt;0,W577&lt;=X577),1,0)</ns0:f>
        <ns0:v>0</ns0:v>
      </ns0:c>
      <ns0:c r="AD577" s="0">
        <ns0:f>IF(AND(J577&gt;0,T577&gt;0,Y577&lt;=Z577),1,0)</ns0:f>
        <ns0:v>0</ns0:v>
      </ns0:c>
    </ns0:row>
    <ns0:row r="578">
      <ns0:c r="A578" s="0">
        <ns0:f>IFERROR(IF(ISNUMBER(Bookings!B578),"",TRIM(Bookings!B578&amp;"")),"")</ns0:f>
      </ns0:c>
      <ns0:c r="B578" s="0">
        <ns0:f>IFERROR(SUBSTITUTE(SUBSTITUTE(A578,"/","."),"-","."),"")</ns0:f>
      </ns0:c>
      <ns0:c r="C578" s="0">
        <ns0:f>IFERROR(LEFT(B578,FIND(".",B578)-1),"")</ns0:f>
      </ns0:c>
      <ns0:c r="D578" s="0">
        <ns0:f>IFERROR(MID(B578,FIND(".",B578)+1,FIND(".",B578,FIND(".",B578)+1)-FIND(".",B578)-1),"")</ns0:f>
      </ns0:c>
      <ns0:c r="E578" s="0">
        <ns0:f>IFERROR(MID(B578,FIND(".",B578,FIND(".",B578)+1)+1,99),"")</ns0:f>
        <ns0:v>99</ns0:v>
      </ns0:c>
      <ns0:c r="F578" s="0">
        <ns0:f>IFERROR(IF(FIND(".",B578)=5,--C578,--E578),0)</ns0:f>
        <ns0:v>0</ns0:v>
      </ns0:c>
      <ns0:c r="G578" s="0">
        <ns0:f>IFERROR(--D578,0)</ns0:f>
        <ns0:v>0</ns0:v>
      </ns0:c>
      <ns0:c r="H578" s="0">
        <ns0:f>IFERROR(IF(FIND(".",B578)=5,--E578,--C578),0)</ns0:f>
        <ns0:v>0</ns0:v>
      </ns0:c>
      <ns0:c r="I578" s="0">
        <ns0:f>IFERROR(IF(AND(F578&gt;=2000,F578&lt;=2100,G578&gt;=1,G578&lt;=12,H578&gt;=1,H578&lt;=31),DATE(F578,G578,H578),0),0)</ns0:f>
        <ns0:v>0</ns0:v>
      </ns0:c>
      <ns0:c r="J578" s="0">
        <ns0:f>IFERROR(IF(ISNUMBER(Bookings!B578),IF(AND(Bookings!B578=INT(Bookings!B578),Bookings!B578&gt;=DATE(2000,1,1),Bookings!B578&lt;=DATE(2100,12,31)),Bookings!B578,0),IF(AND(A578&lt;&gt;"",LEN("x"&amp;B578)-LEN(SUBSTITUTE("x"&amp;B578,".",""))=2,OR(1&gt;LEN(B578),MID(B578,1,1)=".",ISNUMBER(FIND("x"&amp;MID(B578,1,1),"x0x1x2x3x4x5x6x7x8x9"))),OR(2&gt;LEN(B578),MID(B578,2,1)=".",ISNUMBER(FIND("x"&amp;MID(B578,2,1),"x0x1x2x3x4x5x6x7x8x9"))),OR(3&gt;LEN(B578),MID(B578,3,1)=".",ISNUMBER(FIND("x"&amp;MID(B578,3,1),"x0x1x2x3x4x5x6x7x8x9"))),OR(4&gt;LEN(B578),MID(B578,4,1)=".",ISNUMBER(FIND("x"&amp;MID(B578,4,1),"x0x1x2x3x4x5x6x7x8x9"))),OR(5&gt;LEN(B578),MID(B578,5,1)=".",ISNUMBER(FIND("x"&amp;MID(B578,5,1),"x0x1x2x3x4x5x6x7x8x9"))),OR(6&gt;LEN(B578),MID(B578,6,1)=".",ISNUMBER(FIND("x"&amp;MID(B578,6,1),"x0x1x2x3x4x5x6x7x8x9"))),OR(7&gt;LEN(B578),MID(B578,7,1)=".",ISNUMBER(FIND("x"&amp;MID(B578,7,1),"x0x1x2x3x4x5x6x7x8x9"))),OR(8&gt;LEN(B578),MID(B578,8,1)=".",ISNUMBER(FIND("x"&amp;MID(B578,8,1),"x0x1x2x3x4x5x6x7x8x9"))),OR(9&gt;LEN(B578),MID(B578,9,1)=".",ISNUMBER(FIND("x"&amp;MID(B578,9,1),"x0x1x2x3x4x5x6x7x8x9"))),OR(10&gt;LEN(B578),MID(B578,10,1)=".",ISNUMBER(FIND("x"&amp;MID(B578,10,1),"x0x1x2x3x4x5x6x7x8x9"))),OR(AND(FIND(".",B578)=5,LEN(B578)-FIND(".",B578,FIND(".",B578)+1)&gt;=1,LEN(B578)-FIND(".",B578,FIND(".",B578)+1)&lt;=2),AND(LEN(B578)-FIND(".",B578,FIND(".",B578)+1)=4,FIND(".",B578)&gt;=2,FIND(".",B578)&lt;=3)),FIND(".",B578,FIND(".",B578)+1)-FIND(".",B578)&gt;=2,FIND(".",B578,FIND(".",B578)+1)-FIND(".",B578)&lt;=3,F578&gt;=2000,F578&lt;=2100,YEAR(I578)=F578,MONTH(I578)=G578,DAY(I578)=H578),I578,0)),0)</ns0:f>
        <ns0:v>0</ns0:v>
      </ns0:c>
      <ns0:c r="K578" s="0">
        <ns0:f>IFERROR(IF(ISNUMBER(Bookings!D578),"",TRIM(Bookings!D578&amp;"")),"")</ns0:f>
      </ns0:c>
      <ns0:c r="L578" s="0">
        <ns0:f>IFERROR(SUBSTITUTE(SUBSTITUTE(K578,"/","."),"-","."),"")</ns0:f>
      </ns0:c>
      <ns0:c r="M578" s="0">
        <ns0:f>IFERROR(LEFT(L578,FIND(".",L578)-1),"")</ns0:f>
      </ns0:c>
      <ns0:c r="N578" s="0">
        <ns0:f>IFERROR(MID(L578,FIND(".",L578)+1,FIND(".",L578,FIND(".",L578)+1)-FIND(".",L578)-1),"")</ns0:f>
      </ns0:c>
      <ns0:c r="O578" s="0">
        <ns0:f>IFERROR(MID(L578,FIND(".",L578,FIND(".",L578)+1)+1,99),"")</ns0:f>
        <ns0:v>99</ns0:v>
      </ns0:c>
      <ns0:c r="P578" s="0">
        <ns0:f>IFERROR(IF(FIND(".",L578)=5,--M578,--O578),0)</ns0:f>
        <ns0:v>0</ns0:v>
      </ns0:c>
      <ns0:c r="Q578" s="0">
        <ns0:f>IFERROR(--N578,0)</ns0:f>
        <ns0:v>0</ns0:v>
      </ns0:c>
      <ns0:c r="R578" s="0">
        <ns0:f>IFERROR(IF(FIND(".",L578)=5,--O578,--M578),0)</ns0:f>
        <ns0:v>0</ns0:v>
      </ns0:c>
      <ns0:c r="S578" s="0">
        <ns0:f>IFERROR(IF(AND(P578&gt;=2000,P578&lt;=2100,Q578&gt;=1,Q578&lt;=12,R578&gt;=1,R578&lt;=31),DATE(P578,Q578,R578),0),0)</ns0:f>
        <ns0:v>0</ns0:v>
      </ns0:c>
      <ns0:c r="T578" s="0">
        <ns0:f>IFERROR(IF(ISNUMBER(Bookings!D578),IF(AND(Bookings!D578=INT(Bookings!D578),Bookings!D578&gt;=DATE(2000,1,1),Bookings!D578&lt;=DATE(2100,12,31)),Bookings!D578,0),IF(AND(K578&lt;&gt;"",LEN("x"&amp;L578)-LEN(SUBSTITUTE("x"&amp;L578,".",""))=2,OR(1&gt;LEN(L578),MID(L578,1,1)=".",ISNUMBER(FIND("x"&amp;MID(L578,1,1),"x0x1x2x3x4x5x6x7x8x9"))),OR(2&gt;LEN(L578),MID(L578,2,1)=".",ISNUMBER(FIND("x"&amp;MID(L578,2,1),"x0x1x2x3x4x5x6x7x8x9"))),OR(3&gt;LEN(L578),MID(L578,3,1)=".",ISNUMBER(FIND("x"&amp;MID(L578,3,1),"x0x1x2x3x4x5x6x7x8x9"))),OR(4&gt;LEN(L578),MID(L578,4,1)=".",ISNUMBER(FIND("x"&amp;MID(L578,4,1),"x0x1x2x3x4x5x6x7x8x9"))),OR(5&gt;LEN(L578),MID(L578,5,1)=".",ISNUMBER(FIND("x"&amp;MID(L578,5,1),"x0x1x2x3x4x5x6x7x8x9"))),OR(6&gt;LEN(L578),MID(L578,6,1)=".",ISNUMBER(FIND("x"&amp;MID(L578,6,1),"x0x1x2x3x4x5x6x7x8x9"))),OR(7&gt;LEN(L578),MID(L578,7,1)=".",ISNUMBER(FIND("x"&amp;MID(L578,7,1),"x0x1x2x3x4x5x6x7x8x9"))),OR(8&gt;LEN(L578),MID(L578,8,1)=".",ISNUMBER(FIND("x"&amp;MID(L578,8,1),"x0x1x2x3x4x5x6x7x8x9"))),OR(9&gt;LEN(L578),MID(L578,9,1)=".",ISNUMBER(FIND("x"&amp;MID(L578,9,1),"x0x1x2x3x4x5x6x7x8x9"))),OR(10&gt;LEN(L578),MID(L578,10,1)=".",ISNUMBER(FIND("x"&amp;MID(L578,10,1),"x0x1x2x3x4x5x6x7x8x9"))),OR(AND(FIND(".",L578)=5,LEN(L578)-FIND(".",L578,FIND(".",L578)+1)&gt;=1,LEN(L578)-FIND(".",L578,FIND(".",L578)+1)&lt;=2),AND(LEN(L578)-FIND(".",L578,FIND(".",L578)+1)=4,FIND(".",L578)&gt;=2,FIND(".",L578)&lt;=3)),FIND(".",L578,FIND(".",L578)+1)-FIND(".",L578)&gt;=2,FIND(".",L578,FIND(".",L578)+1)-FIND(".",L578)&lt;=3,P578&gt;=2000,P578&lt;=2100,YEAR(S578)=P578,MONTH(S578)=Q578,DAY(S578)=R578),S578,0)),0)</ns0:f>
        <ns0:v>0</ns0:v>
      </ns0:c>
      <ns0:c r="U578" s="0" t="str">
        <ns0:f>IF(Bookings!C578="","Full day",Bookings!C578)</ns0:f>
        <ns0:v>Full day</ns0:v>
      </ns0:c>
      <ns0:c r="V578" s="0" t="str">
        <ns0:f>IF(Bookings!E578="","Full day",Bookings!E578)</ns0:f>
        <ns0:v>Full day</ns0:v>
      </ns0:c>
      <ns0:c r="W578" s="0">
        <ns0:f>IF(J578=0,0,J578+IF(U578="PM",1,0))</ns0:f>
        <ns0:v>0</ns0:v>
      </ns0:c>
      <ns0:c r="X578" s="0">
        <ns0:f>IF(T578=0,0,T578-IF(V578="PM",1,0))</ns0:f>
        <ns0:v>0</ns0:v>
      </ns0:c>
      <ns0:c r="Y578" s="0">
        <ns0:f>IF(J578=0,0,J578+IF(U578="AM",1,0))</ns0:f>
        <ns0:v>0</ns0:v>
      </ns0:c>
      <ns0:c r="Z578" s="0">
        <ns0:f>IF(T578=0,0,T578-IF(V578="AM",1,0))</ns0:f>
        <ns0:v>0</ns0:v>
      </ns0:c>
      <ns0:c r="AA578" s="0">
        <ns0:f>IFERROR(IF(AND(J578&gt;0,'_Engine'!C578&gt;0,MID('_Engine'!W578,WEEKDAY(J578,2),1)="W",COUNTIF(Settings!$F$18:$F$67,J578)=0),1,0),0)</ns0:f>
        <ns0:v>0</ns0:v>
      </ns0:c>
      <ns0:c r="AB578" s="0">
        <ns0:f>IFERROR(IF(AND(T578&gt;0,'_Engine'!C578&gt;0,MID('_Engine'!W578,WEEKDAY(T578,2),1)="W",COUNTIF(Settings!$F$18:$F$67,T578)=0),1,0),0)</ns0:f>
        <ns0:v>0</ns0:v>
      </ns0:c>
      <ns0:c r="AC578" s="0">
        <ns0:f>IF(AND(J578&gt;0,T578&gt;0,W578&lt;=X578),1,0)</ns0:f>
        <ns0:v>0</ns0:v>
      </ns0:c>
      <ns0:c r="AD578" s="0">
        <ns0:f>IF(AND(J578&gt;0,T578&gt;0,Y578&lt;=Z578),1,0)</ns0:f>
        <ns0:v>0</ns0:v>
      </ns0:c>
    </ns0:row>
    <ns0:row r="579">
      <ns0:c r="A579" s="0">
        <ns0:f>IFERROR(IF(ISNUMBER(Bookings!B579),"",TRIM(Bookings!B579&amp;"")),"")</ns0:f>
      </ns0:c>
      <ns0:c r="B579" s="0">
        <ns0:f>IFERROR(SUBSTITUTE(SUBSTITUTE(A579,"/","."),"-","."),"")</ns0:f>
      </ns0:c>
      <ns0:c r="C579" s="0">
        <ns0:f>IFERROR(LEFT(B579,FIND(".",B579)-1),"")</ns0:f>
      </ns0:c>
      <ns0:c r="D579" s="0">
        <ns0:f>IFERROR(MID(B579,FIND(".",B579)+1,FIND(".",B579,FIND(".",B579)+1)-FIND(".",B579)-1),"")</ns0:f>
      </ns0:c>
      <ns0:c r="E579" s="0">
        <ns0:f>IFERROR(MID(B579,FIND(".",B579,FIND(".",B579)+1)+1,99),"")</ns0:f>
        <ns0:v>99</ns0:v>
      </ns0:c>
      <ns0:c r="F579" s="0">
        <ns0:f>IFERROR(IF(FIND(".",B579)=5,--C579,--E579),0)</ns0:f>
        <ns0:v>0</ns0:v>
      </ns0:c>
      <ns0:c r="G579" s="0">
        <ns0:f>IFERROR(--D579,0)</ns0:f>
        <ns0:v>0</ns0:v>
      </ns0:c>
      <ns0:c r="H579" s="0">
        <ns0:f>IFERROR(IF(FIND(".",B579)=5,--E579,--C579),0)</ns0:f>
        <ns0:v>0</ns0:v>
      </ns0:c>
      <ns0:c r="I579" s="0">
        <ns0:f>IFERROR(IF(AND(F579&gt;=2000,F579&lt;=2100,G579&gt;=1,G579&lt;=12,H579&gt;=1,H579&lt;=31),DATE(F579,G579,H579),0),0)</ns0:f>
        <ns0:v>0</ns0:v>
      </ns0:c>
      <ns0:c r="J579" s="0">
        <ns0:f>IFERROR(IF(ISNUMBER(Bookings!B579),IF(AND(Bookings!B579=INT(Bookings!B579),Bookings!B579&gt;=DATE(2000,1,1),Bookings!B579&lt;=DATE(2100,12,31)),Bookings!B579,0),IF(AND(A579&lt;&gt;"",LEN("x"&amp;B579)-LEN(SUBSTITUTE("x"&amp;B579,".",""))=2,OR(1&gt;LEN(B579),MID(B579,1,1)=".",ISNUMBER(FIND("x"&amp;MID(B579,1,1),"x0x1x2x3x4x5x6x7x8x9"))),OR(2&gt;LEN(B579),MID(B579,2,1)=".",ISNUMBER(FIND("x"&amp;MID(B579,2,1),"x0x1x2x3x4x5x6x7x8x9"))),OR(3&gt;LEN(B579),MID(B579,3,1)=".",ISNUMBER(FIND("x"&amp;MID(B579,3,1),"x0x1x2x3x4x5x6x7x8x9"))),OR(4&gt;LEN(B579),MID(B579,4,1)=".",ISNUMBER(FIND("x"&amp;MID(B579,4,1),"x0x1x2x3x4x5x6x7x8x9"))),OR(5&gt;LEN(B579),MID(B579,5,1)=".",ISNUMBER(FIND("x"&amp;MID(B579,5,1),"x0x1x2x3x4x5x6x7x8x9"))),OR(6&gt;LEN(B579),MID(B579,6,1)=".",ISNUMBER(FIND("x"&amp;MID(B579,6,1),"x0x1x2x3x4x5x6x7x8x9"))),OR(7&gt;LEN(B579),MID(B579,7,1)=".",ISNUMBER(FIND("x"&amp;MID(B579,7,1),"x0x1x2x3x4x5x6x7x8x9"))),OR(8&gt;LEN(B579),MID(B579,8,1)=".",ISNUMBER(FIND("x"&amp;MID(B579,8,1),"x0x1x2x3x4x5x6x7x8x9"))),OR(9&gt;LEN(B579),MID(B579,9,1)=".",ISNUMBER(FIND("x"&amp;MID(B579,9,1),"x0x1x2x3x4x5x6x7x8x9"))),OR(10&gt;LEN(B579),MID(B579,10,1)=".",ISNUMBER(FIND("x"&amp;MID(B579,10,1),"x0x1x2x3x4x5x6x7x8x9"))),OR(AND(FIND(".",B579)=5,LEN(B579)-FIND(".",B579,FIND(".",B579)+1)&gt;=1,LEN(B579)-FIND(".",B579,FIND(".",B579)+1)&lt;=2),AND(LEN(B579)-FIND(".",B579,FIND(".",B579)+1)=4,FIND(".",B579)&gt;=2,FIND(".",B579)&lt;=3)),FIND(".",B579,FIND(".",B579)+1)-FIND(".",B579)&gt;=2,FIND(".",B579,FIND(".",B579)+1)-FIND(".",B579)&lt;=3,F579&gt;=2000,F579&lt;=2100,YEAR(I579)=F579,MONTH(I579)=G579,DAY(I579)=H579),I579,0)),0)</ns0:f>
        <ns0:v>0</ns0:v>
      </ns0:c>
      <ns0:c r="K579" s="0">
        <ns0:f>IFERROR(IF(ISNUMBER(Bookings!D579),"",TRIM(Bookings!D579&amp;"")),"")</ns0:f>
      </ns0:c>
      <ns0:c r="L579" s="0">
        <ns0:f>IFERROR(SUBSTITUTE(SUBSTITUTE(K579,"/","."),"-","."),"")</ns0:f>
      </ns0:c>
      <ns0:c r="M579" s="0">
        <ns0:f>IFERROR(LEFT(L579,FIND(".",L579)-1),"")</ns0:f>
      </ns0:c>
      <ns0:c r="N579" s="0">
        <ns0:f>IFERROR(MID(L579,FIND(".",L579)+1,FIND(".",L579,FIND(".",L579)+1)-FIND(".",L579)-1),"")</ns0:f>
      </ns0:c>
      <ns0:c r="O579" s="0">
        <ns0:f>IFERROR(MID(L579,FIND(".",L579,FIND(".",L579)+1)+1,99),"")</ns0:f>
        <ns0:v>99</ns0:v>
      </ns0:c>
      <ns0:c r="P579" s="0">
        <ns0:f>IFERROR(IF(FIND(".",L579)=5,--M579,--O579),0)</ns0:f>
        <ns0:v>0</ns0:v>
      </ns0:c>
      <ns0:c r="Q579" s="0">
        <ns0:f>IFERROR(--N579,0)</ns0:f>
        <ns0:v>0</ns0:v>
      </ns0:c>
      <ns0:c r="R579" s="0">
        <ns0:f>IFERROR(IF(FIND(".",L579)=5,--O579,--M579),0)</ns0:f>
        <ns0:v>0</ns0:v>
      </ns0:c>
      <ns0:c r="S579" s="0">
        <ns0:f>IFERROR(IF(AND(P579&gt;=2000,P579&lt;=2100,Q579&gt;=1,Q579&lt;=12,R579&gt;=1,R579&lt;=31),DATE(P579,Q579,R579),0),0)</ns0:f>
        <ns0:v>0</ns0:v>
      </ns0:c>
      <ns0:c r="T579" s="0">
        <ns0:f>IFERROR(IF(ISNUMBER(Bookings!D579),IF(AND(Bookings!D579=INT(Bookings!D579),Bookings!D579&gt;=DATE(2000,1,1),Bookings!D579&lt;=DATE(2100,12,31)),Bookings!D579,0),IF(AND(K579&lt;&gt;"",LEN("x"&amp;L579)-LEN(SUBSTITUTE("x"&amp;L579,".",""))=2,OR(1&gt;LEN(L579),MID(L579,1,1)=".",ISNUMBER(FIND("x"&amp;MID(L579,1,1),"x0x1x2x3x4x5x6x7x8x9"))),OR(2&gt;LEN(L579),MID(L579,2,1)=".",ISNUMBER(FIND("x"&amp;MID(L579,2,1),"x0x1x2x3x4x5x6x7x8x9"))),OR(3&gt;LEN(L579),MID(L579,3,1)=".",ISNUMBER(FIND("x"&amp;MID(L579,3,1),"x0x1x2x3x4x5x6x7x8x9"))),OR(4&gt;LEN(L579),MID(L579,4,1)=".",ISNUMBER(FIND("x"&amp;MID(L579,4,1),"x0x1x2x3x4x5x6x7x8x9"))),OR(5&gt;LEN(L579),MID(L579,5,1)=".",ISNUMBER(FIND("x"&amp;MID(L579,5,1),"x0x1x2x3x4x5x6x7x8x9"))),OR(6&gt;LEN(L579),MID(L579,6,1)=".",ISNUMBER(FIND("x"&amp;MID(L579,6,1),"x0x1x2x3x4x5x6x7x8x9"))),OR(7&gt;LEN(L579),MID(L579,7,1)=".",ISNUMBER(FIND("x"&amp;MID(L579,7,1),"x0x1x2x3x4x5x6x7x8x9"))),OR(8&gt;LEN(L579),MID(L579,8,1)=".",ISNUMBER(FIND("x"&amp;MID(L579,8,1),"x0x1x2x3x4x5x6x7x8x9"))),OR(9&gt;LEN(L579),MID(L579,9,1)=".",ISNUMBER(FIND("x"&amp;MID(L579,9,1),"x0x1x2x3x4x5x6x7x8x9"))),OR(10&gt;LEN(L579),MID(L579,10,1)=".",ISNUMBER(FIND("x"&amp;MID(L579,10,1),"x0x1x2x3x4x5x6x7x8x9"))),OR(AND(FIND(".",L579)=5,LEN(L579)-FIND(".",L579,FIND(".",L579)+1)&gt;=1,LEN(L579)-FIND(".",L579,FIND(".",L579)+1)&lt;=2),AND(LEN(L579)-FIND(".",L579,FIND(".",L579)+1)=4,FIND(".",L579)&gt;=2,FIND(".",L579)&lt;=3)),FIND(".",L579,FIND(".",L579)+1)-FIND(".",L579)&gt;=2,FIND(".",L579,FIND(".",L579)+1)-FIND(".",L579)&lt;=3,P579&gt;=2000,P579&lt;=2100,YEAR(S579)=P579,MONTH(S579)=Q579,DAY(S579)=R579),S579,0)),0)</ns0:f>
        <ns0:v>0</ns0:v>
      </ns0:c>
      <ns0:c r="U579" s="0" t="str">
        <ns0:f>IF(Bookings!C579="","Full day",Bookings!C579)</ns0:f>
        <ns0:v>Full day</ns0:v>
      </ns0:c>
      <ns0:c r="V579" s="0" t="str">
        <ns0:f>IF(Bookings!E579="","Full day",Bookings!E579)</ns0:f>
        <ns0:v>Full day</ns0:v>
      </ns0:c>
      <ns0:c r="W579" s="0">
        <ns0:f>IF(J579=0,0,J579+IF(U579="PM",1,0))</ns0:f>
        <ns0:v>0</ns0:v>
      </ns0:c>
      <ns0:c r="X579" s="0">
        <ns0:f>IF(T579=0,0,T579-IF(V579="PM",1,0))</ns0:f>
        <ns0:v>0</ns0:v>
      </ns0:c>
      <ns0:c r="Y579" s="0">
        <ns0:f>IF(J579=0,0,J579+IF(U579="AM",1,0))</ns0:f>
        <ns0:v>0</ns0:v>
      </ns0:c>
      <ns0:c r="Z579" s="0">
        <ns0:f>IF(T579=0,0,T579-IF(V579="AM",1,0))</ns0:f>
        <ns0:v>0</ns0:v>
      </ns0:c>
      <ns0:c r="AA579" s="0">
        <ns0:f>IFERROR(IF(AND(J579&gt;0,'_Engine'!C579&gt;0,MID('_Engine'!W579,WEEKDAY(J579,2),1)="W",COUNTIF(Settings!$F$18:$F$67,J579)=0),1,0),0)</ns0:f>
        <ns0:v>0</ns0:v>
      </ns0:c>
      <ns0:c r="AB579" s="0">
        <ns0:f>IFERROR(IF(AND(T579&gt;0,'_Engine'!C579&gt;0,MID('_Engine'!W579,WEEKDAY(T579,2),1)="W",COUNTIF(Settings!$F$18:$F$67,T579)=0),1,0),0)</ns0:f>
        <ns0:v>0</ns0:v>
      </ns0:c>
      <ns0:c r="AC579" s="0">
        <ns0:f>IF(AND(J579&gt;0,T579&gt;0,W579&lt;=X579),1,0)</ns0:f>
        <ns0:v>0</ns0:v>
      </ns0:c>
      <ns0:c r="AD579" s="0">
        <ns0:f>IF(AND(J579&gt;0,T579&gt;0,Y579&lt;=Z579),1,0)</ns0:f>
        <ns0:v>0</ns0:v>
      </ns0:c>
    </ns0:row>
    <ns0:row r="580">
      <ns0:c r="A580" s="0">
        <ns0:f>IFERROR(IF(ISNUMBER(Bookings!B580),"",TRIM(Bookings!B580&amp;"")),"")</ns0:f>
      </ns0:c>
      <ns0:c r="B580" s="0">
        <ns0:f>IFERROR(SUBSTITUTE(SUBSTITUTE(A580,"/","."),"-","."),"")</ns0:f>
      </ns0:c>
      <ns0:c r="C580" s="0">
        <ns0:f>IFERROR(LEFT(B580,FIND(".",B580)-1),"")</ns0:f>
      </ns0:c>
      <ns0:c r="D580" s="0">
        <ns0:f>IFERROR(MID(B580,FIND(".",B580)+1,FIND(".",B580,FIND(".",B580)+1)-FIND(".",B580)-1),"")</ns0:f>
      </ns0:c>
      <ns0:c r="E580" s="0">
        <ns0:f>IFERROR(MID(B580,FIND(".",B580,FIND(".",B580)+1)+1,99),"")</ns0:f>
        <ns0:v>99</ns0:v>
      </ns0:c>
      <ns0:c r="F580" s="0">
        <ns0:f>IFERROR(IF(FIND(".",B580)=5,--C580,--E580),0)</ns0:f>
        <ns0:v>0</ns0:v>
      </ns0:c>
      <ns0:c r="G580" s="0">
        <ns0:f>IFERROR(--D580,0)</ns0:f>
        <ns0:v>0</ns0:v>
      </ns0:c>
      <ns0:c r="H580" s="0">
        <ns0:f>IFERROR(IF(FIND(".",B580)=5,--E580,--C580),0)</ns0:f>
        <ns0:v>0</ns0:v>
      </ns0:c>
      <ns0:c r="I580" s="0">
        <ns0:f>IFERROR(IF(AND(F580&gt;=2000,F580&lt;=2100,G580&gt;=1,G580&lt;=12,H580&gt;=1,H580&lt;=31),DATE(F580,G580,H580),0),0)</ns0:f>
        <ns0:v>0</ns0:v>
      </ns0:c>
      <ns0:c r="J580" s="0">
        <ns0:f>IFERROR(IF(ISNUMBER(Bookings!B580),IF(AND(Bookings!B580=INT(Bookings!B580),Bookings!B580&gt;=DATE(2000,1,1),Bookings!B580&lt;=DATE(2100,12,31)),Bookings!B580,0),IF(AND(A580&lt;&gt;"",LEN("x"&amp;B580)-LEN(SUBSTITUTE("x"&amp;B580,".",""))=2,OR(1&gt;LEN(B580),MID(B580,1,1)=".",ISNUMBER(FIND("x"&amp;MID(B580,1,1),"x0x1x2x3x4x5x6x7x8x9"))),OR(2&gt;LEN(B580),MID(B580,2,1)=".",ISNUMBER(FIND("x"&amp;MID(B580,2,1),"x0x1x2x3x4x5x6x7x8x9"))),OR(3&gt;LEN(B580),MID(B580,3,1)=".",ISNUMBER(FIND("x"&amp;MID(B580,3,1),"x0x1x2x3x4x5x6x7x8x9"))),OR(4&gt;LEN(B580),MID(B580,4,1)=".",ISNUMBER(FIND("x"&amp;MID(B580,4,1),"x0x1x2x3x4x5x6x7x8x9"))),OR(5&gt;LEN(B580),MID(B580,5,1)=".",ISNUMBER(FIND("x"&amp;MID(B580,5,1),"x0x1x2x3x4x5x6x7x8x9"))),OR(6&gt;LEN(B580),MID(B580,6,1)=".",ISNUMBER(FIND("x"&amp;MID(B580,6,1),"x0x1x2x3x4x5x6x7x8x9"))),OR(7&gt;LEN(B580),MID(B580,7,1)=".",ISNUMBER(FIND("x"&amp;MID(B580,7,1),"x0x1x2x3x4x5x6x7x8x9"))),OR(8&gt;LEN(B580),MID(B580,8,1)=".",ISNUMBER(FIND("x"&amp;MID(B580,8,1),"x0x1x2x3x4x5x6x7x8x9"))),OR(9&gt;LEN(B580),MID(B580,9,1)=".",ISNUMBER(FIND("x"&amp;MID(B580,9,1),"x0x1x2x3x4x5x6x7x8x9"))),OR(10&gt;LEN(B580),MID(B580,10,1)=".",ISNUMBER(FIND("x"&amp;MID(B580,10,1),"x0x1x2x3x4x5x6x7x8x9"))),OR(AND(FIND(".",B580)=5,LEN(B580)-FIND(".",B580,FIND(".",B580)+1)&gt;=1,LEN(B580)-FIND(".",B580,FIND(".",B580)+1)&lt;=2),AND(LEN(B580)-FIND(".",B580,FIND(".",B580)+1)=4,FIND(".",B580)&gt;=2,FIND(".",B580)&lt;=3)),FIND(".",B580,FIND(".",B580)+1)-FIND(".",B580)&gt;=2,FIND(".",B580,FIND(".",B580)+1)-FIND(".",B580)&lt;=3,F580&gt;=2000,F580&lt;=2100,YEAR(I580)=F580,MONTH(I580)=G580,DAY(I580)=H580),I580,0)),0)</ns0:f>
        <ns0:v>0</ns0:v>
      </ns0:c>
      <ns0:c r="K580" s="0">
        <ns0:f>IFERROR(IF(ISNUMBER(Bookings!D580),"",TRIM(Bookings!D580&amp;"")),"")</ns0:f>
      </ns0:c>
      <ns0:c r="L580" s="0">
        <ns0:f>IFERROR(SUBSTITUTE(SUBSTITUTE(K580,"/","."),"-","."),"")</ns0:f>
      </ns0:c>
      <ns0:c r="M580" s="0">
        <ns0:f>IFERROR(LEFT(L580,FIND(".",L580)-1),"")</ns0:f>
      </ns0:c>
      <ns0:c r="N580" s="0">
        <ns0:f>IFERROR(MID(L580,FIND(".",L580)+1,FIND(".",L580,FIND(".",L580)+1)-FIND(".",L580)-1),"")</ns0:f>
      </ns0:c>
      <ns0:c r="O580" s="0">
        <ns0:f>IFERROR(MID(L580,FIND(".",L580,FIND(".",L580)+1)+1,99),"")</ns0:f>
        <ns0:v>99</ns0:v>
      </ns0:c>
      <ns0:c r="P580" s="0">
        <ns0:f>IFERROR(IF(FIND(".",L580)=5,--M580,--O580),0)</ns0:f>
        <ns0:v>0</ns0:v>
      </ns0:c>
      <ns0:c r="Q580" s="0">
        <ns0:f>IFERROR(--N580,0)</ns0:f>
        <ns0:v>0</ns0:v>
      </ns0:c>
      <ns0:c r="R580" s="0">
        <ns0:f>IFERROR(IF(FIND(".",L580)=5,--O580,--M580),0)</ns0:f>
        <ns0:v>0</ns0:v>
      </ns0:c>
      <ns0:c r="S580" s="0">
        <ns0:f>IFERROR(IF(AND(P580&gt;=2000,P580&lt;=2100,Q580&gt;=1,Q580&lt;=12,R580&gt;=1,R580&lt;=31),DATE(P580,Q580,R580),0),0)</ns0:f>
        <ns0:v>0</ns0:v>
      </ns0:c>
      <ns0:c r="T580" s="0">
        <ns0:f>IFERROR(IF(ISNUMBER(Bookings!D580),IF(AND(Bookings!D580=INT(Bookings!D580),Bookings!D580&gt;=DATE(2000,1,1),Bookings!D580&lt;=DATE(2100,12,31)),Bookings!D580,0),IF(AND(K580&lt;&gt;"",LEN("x"&amp;L580)-LEN(SUBSTITUTE("x"&amp;L580,".",""))=2,OR(1&gt;LEN(L580),MID(L580,1,1)=".",ISNUMBER(FIND("x"&amp;MID(L580,1,1),"x0x1x2x3x4x5x6x7x8x9"))),OR(2&gt;LEN(L580),MID(L580,2,1)=".",ISNUMBER(FIND("x"&amp;MID(L580,2,1),"x0x1x2x3x4x5x6x7x8x9"))),OR(3&gt;LEN(L580),MID(L580,3,1)=".",ISNUMBER(FIND("x"&amp;MID(L580,3,1),"x0x1x2x3x4x5x6x7x8x9"))),OR(4&gt;LEN(L580),MID(L580,4,1)=".",ISNUMBER(FIND("x"&amp;MID(L580,4,1),"x0x1x2x3x4x5x6x7x8x9"))),OR(5&gt;LEN(L580),MID(L580,5,1)=".",ISNUMBER(FIND("x"&amp;MID(L580,5,1),"x0x1x2x3x4x5x6x7x8x9"))),OR(6&gt;LEN(L580),MID(L580,6,1)=".",ISNUMBER(FIND("x"&amp;MID(L580,6,1),"x0x1x2x3x4x5x6x7x8x9"))),OR(7&gt;LEN(L580),MID(L580,7,1)=".",ISNUMBER(FIND("x"&amp;MID(L580,7,1),"x0x1x2x3x4x5x6x7x8x9"))),OR(8&gt;LEN(L580),MID(L580,8,1)=".",ISNUMBER(FIND("x"&amp;MID(L580,8,1),"x0x1x2x3x4x5x6x7x8x9"))),OR(9&gt;LEN(L580),MID(L580,9,1)=".",ISNUMBER(FIND("x"&amp;MID(L580,9,1),"x0x1x2x3x4x5x6x7x8x9"))),OR(10&gt;LEN(L580),MID(L580,10,1)=".",ISNUMBER(FIND("x"&amp;MID(L580,10,1),"x0x1x2x3x4x5x6x7x8x9"))),OR(AND(FIND(".",L580)=5,LEN(L580)-FIND(".",L580,FIND(".",L580)+1)&gt;=1,LEN(L580)-FIND(".",L580,FIND(".",L580)+1)&lt;=2),AND(LEN(L580)-FIND(".",L580,FIND(".",L580)+1)=4,FIND(".",L580)&gt;=2,FIND(".",L580)&lt;=3)),FIND(".",L580,FIND(".",L580)+1)-FIND(".",L580)&gt;=2,FIND(".",L580,FIND(".",L580)+1)-FIND(".",L580)&lt;=3,P580&gt;=2000,P580&lt;=2100,YEAR(S580)=P580,MONTH(S580)=Q580,DAY(S580)=R580),S580,0)),0)</ns0:f>
        <ns0:v>0</ns0:v>
      </ns0:c>
      <ns0:c r="U580" s="0" t="str">
        <ns0:f>IF(Bookings!C580="","Full day",Bookings!C580)</ns0:f>
        <ns0:v>Full day</ns0:v>
      </ns0:c>
      <ns0:c r="V580" s="0" t="str">
        <ns0:f>IF(Bookings!E580="","Full day",Bookings!E580)</ns0:f>
        <ns0:v>Full day</ns0:v>
      </ns0:c>
      <ns0:c r="W580" s="0">
        <ns0:f>IF(J580=0,0,J580+IF(U580="PM",1,0))</ns0:f>
        <ns0:v>0</ns0:v>
      </ns0:c>
      <ns0:c r="X580" s="0">
        <ns0:f>IF(T580=0,0,T580-IF(V580="PM",1,0))</ns0:f>
        <ns0:v>0</ns0:v>
      </ns0:c>
      <ns0:c r="Y580" s="0">
        <ns0:f>IF(J580=0,0,J580+IF(U580="AM",1,0))</ns0:f>
        <ns0:v>0</ns0:v>
      </ns0:c>
      <ns0:c r="Z580" s="0">
        <ns0:f>IF(T580=0,0,T580-IF(V580="AM",1,0))</ns0:f>
        <ns0:v>0</ns0:v>
      </ns0:c>
      <ns0:c r="AA580" s="0">
        <ns0:f>IFERROR(IF(AND(J580&gt;0,'_Engine'!C580&gt;0,MID('_Engine'!W580,WEEKDAY(J580,2),1)="W",COUNTIF(Settings!$F$18:$F$67,J580)=0),1,0),0)</ns0:f>
        <ns0:v>0</ns0:v>
      </ns0:c>
      <ns0:c r="AB580" s="0">
        <ns0:f>IFERROR(IF(AND(T580&gt;0,'_Engine'!C580&gt;0,MID('_Engine'!W580,WEEKDAY(T580,2),1)="W",COUNTIF(Settings!$F$18:$F$67,T580)=0),1,0),0)</ns0:f>
        <ns0:v>0</ns0:v>
      </ns0:c>
      <ns0:c r="AC580" s="0">
        <ns0:f>IF(AND(J580&gt;0,T580&gt;0,W580&lt;=X580),1,0)</ns0:f>
        <ns0:v>0</ns0:v>
      </ns0:c>
      <ns0:c r="AD580" s="0">
        <ns0:f>IF(AND(J580&gt;0,T580&gt;0,Y580&lt;=Z580),1,0)</ns0:f>
        <ns0:v>0</ns0:v>
      </ns0:c>
    </ns0:row>
    <ns0:row r="581">
      <ns0:c r="A581" s="0">
        <ns0:f>IFERROR(IF(ISNUMBER(Bookings!B581),"",TRIM(Bookings!B581&amp;"")),"")</ns0:f>
      </ns0:c>
      <ns0:c r="B581" s="0">
        <ns0:f>IFERROR(SUBSTITUTE(SUBSTITUTE(A581,"/","."),"-","."),"")</ns0:f>
      </ns0:c>
      <ns0:c r="C581" s="0">
        <ns0:f>IFERROR(LEFT(B581,FIND(".",B581)-1),"")</ns0:f>
      </ns0:c>
      <ns0:c r="D581" s="0">
        <ns0:f>IFERROR(MID(B581,FIND(".",B581)+1,FIND(".",B581,FIND(".",B581)+1)-FIND(".",B581)-1),"")</ns0:f>
      </ns0:c>
      <ns0:c r="E581" s="0">
        <ns0:f>IFERROR(MID(B581,FIND(".",B581,FIND(".",B581)+1)+1,99),"")</ns0:f>
        <ns0:v>99</ns0:v>
      </ns0:c>
      <ns0:c r="F581" s="0">
        <ns0:f>IFERROR(IF(FIND(".",B581)=5,--C581,--E581),0)</ns0:f>
        <ns0:v>0</ns0:v>
      </ns0:c>
      <ns0:c r="G581" s="0">
        <ns0:f>IFERROR(--D581,0)</ns0:f>
        <ns0:v>0</ns0:v>
      </ns0:c>
      <ns0:c r="H581" s="0">
        <ns0:f>IFERROR(IF(FIND(".",B581)=5,--E581,--C581),0)</ns0:f>
        <ns0:v>0</ns0:v>
      </ns0:c>
      <ns0:c r="I581" s="0">
        <ns0:f>IFERROR(IF(AND(F581&gt;=2000,F581&lt;=2100,G581&gt;=1,G581&lt;=12,H581&gt;=1,H581&lt;=31),DATE(F581,G581,H581),0),0)</ns0:f>
        <ns0:v>0</ns0:v>
      </ns0:c>
      <ns0:c r="J581" s="0">
        <ns0:f>IFERROR(IF(ISNUMBER(Bookings!B581),IF(AND(Bookings!B581=INT(Bookings!B581),Bookings!B581&gt;=DATE(2000,1,1),Bookings!B581&lt;=DATE(2100,12,31)),Bookings!B581,0),IF(AND(A581&lt;&gt;"",LEN("x"&amp;B581)-LEN(SUBSTITUTE("x"&amp;B581,".",""))=2,OR(1&gt;LEN(B581),MID(B581,1,1)=".",ISNUMBER(FIND("x"&amp;MID(B581,1,1),"x0x1x2x3x4x5x6x7x8x9"))),OR(2&gt;LEN(B581),MID(B581,2,1)=".",ISNUMBER(FIND("x"&amp;MID(B581,2,1),"x0x1x2x3x4x5x6x7x8x9"))),OR(3&gt;LEN(B581),MID(B581,3,1)=".",ISNUMBER(FIND("x"&amp;MID(B581,3,1),"x0x1x2x3x4x5x6x7x8x9"))),OR(4&gt;LEN(B581),MID(B581,4,1)=".",ISNUMBER(FIND("x"&amp;MID(B581,4,1),"x0x1x2x3x4x5x6x7x8x9"))),OR(5&gt;LEN(B581),MID(B581,5,1)=".",ISNUMBER(FIND("x"&amp;MID(B581,5,1),"x0x1x2x3x4x5x6x7x8x9"))),OR(6&gt;LEN(B581),MID(B581,6,1)=".",ISNUMBER(FIND("x"&amp;MID(B581,6,1),"x0x1x2x3x4x5x6x7x8x9"))),OR(7&gt;LEN(B581),MID(B581,7,1)=".",ISNUMBER(FIND("x"&amp;MID(B581,7,1),"x0x1x2x3x4x5x6x7x8x9"))),OR(8&gt;LEN(B581),MID(B581,8,1)=".",ISNUMBER(FIND("x"&amp;MID(B581,8,1),"x0x1x2x3x4x5x6x7x8x9"))),OR(9&gt;LEN(B581),MID(B581,9,1)=".",ISNUMBER(FIND("x"&amp;MID(B581,9,1),"x0x1x2x3x4x5x6x7x8x9"))),OR(10&gt;LEN(B581),MID(B581,10,1)=".",ISNUMBER(FIND("x"&amp;MID(B581,10,1),"x0x1x2x3x4x5x6x7x8x9"))),OR(AND(FIND(".",B581)=5,LEN(B581)-FIND(".",B581,FIND(".",B581)+1)&gt;=1,LEN(B581)-FIND(".",B581,FIND(".",B581)+1)&lt;=2),AND(LEN(B581)-FIND(".",B581,FIND(".",B581)+1)=4,FIND(".",B581)&gt;=2,FIND(".",B581)&lt;=3)),FIND(".",B581,FIND(".",B581)+1)-FIND(".",B581)&gt;=2,FIND(".",B581,FIND(".",B581)+1)-FIND(".",B581)&lt;=3,F581&gt;=2000,F581&lt;=2100,YEAR(I581)=F581,MONTH(I581)=G581,DAY(I581)=H581),I581,0)),0)</ns0:f>
        <ns0:v>0</ns0:v>
      </ns0:c>
      <ns0:c r="K581" s="0">
        <ns0:f>IFERROR(IF(ISNUMBER(Bookings!D581),"",TRIM(Bookings!D581&amp;"")),"")</ns0:f>
      </ns0:c>
      <ns0:c r="L581" s="0">
        <ns0:f>IFERROR(SUBSTITUTE(SUBSTITUTE(K581,"/","."),"-","."),"")</ns0:f>
      </ns0:c>
      <ns0:c r="M581" s="0">
        <ns0:f>IFERROR(LEFT(L581,FIND(".",L581)-1),"")</ns0:f>
      </ns0:c>
      <ns0:c r="N581" s="0">
        <ns0:f>IFERROR(MID(L581,FIND(".",L581)+1,FIND(".",L581,FIND(".",L581)+1)-FIND(".",L581)-1),"")</ns0:f>
      </ns0:c>
      <ns0:c r="O581" s="0">
        <ns0:f>IFERROR(MID(L581,FIND(".",L581,FIND(".",L581)+1)+1,99),"")</ns0:f>
        <ns0:v>99</ns0:v>
      </ns0:c>
      <ns0:c r="P581" s="0">
        <ns0:f>IFERROR(IF(FIND(".",L581)=5,--M581,--O581),0)</ns0:f>
        <ns0:v>0</ns0:v>
      </ns0:c>
      <ns0:c r="Q581" s="0">
        <ns0:f>IFERROR(--N581,0)</ns0:f>
        <ns0:v>0</ns0:v>
      </ns0:c>
      <ns0:c r="R581" s="0">
        <ns0:f>IFERROR(IF(FIND(".",L581)=5,--O581,--M581),0)</ns0:f>
        <ns0:v>0</ns0:v>
      </ns0:c>
      <ns0:c r="S581" s="0">
        <ns0:f>IFERROR(IF(AND(P581&gt;=2000,P581&lt;=2100,Q581&gt;=1,Q581&lt;=12,R581&gt;=1,R581&lt;=31),DATE(P581,Q581,R581),0),0)</ns0:f>
        <ns0:v>0</ns0:v>
      </ns0:c>
      <ns0:c r="T581" s="0">
        <ns0:f>IFERROR(IF(ISNUMBER(Bookings!D581),IF(AND(Bookings!D581=INT(Bookings!D581),Bookings!D581&gt;=DATE(2000,1,1),Bookings!D581&lt;=DATE(2100,12,31)),Bookings!D581,0),IF(AND(K581&lt;&gt;"",LEN("x"&amp;L581)-LEN(SUBSTITUTE("x"&amp;L581,".",""))=2,OR(1&gt;LEN(L581),MID(L581,1,1)=".",ISNUMBER(FIND("x"&amp;MID(L581,1,1),"x0x1x2x3x4x5x6x7x8x9"))),OR(2&gt;LEN(L581),MID(L581,2,1)=".",ISNUMBER(FIND("x"&amp;MID(L581,2,1),"x0x1x2x3x4x5x6x7x8x9"))),OR(3&gt;LEN(L581),MID(L581,3,1)=".",ISNUMBER(FIND("x"&amp;MID(L581,3,1),"x0x1x2x3x4x5x6x7x8x9"))),OR(4&gt;LEN(L581),MID(L581,4,1)=".",ISNUMBER(FIND("x"&amp;MID(L581,4,1),"x0x1x2x3x4x5x6x7x8x9"))),OR(5&gt;LEN(L581),MID(L581,5,1)=".",ISNUMBER(FIND("x"&amp;MID(L581,5,1),"x0x1x2x3x4x5x6x7x8x9"))),OR(6&gt;LEN(L581),MID(L581,6,1)=".",ISNUMBER(FIND("x"&amp;MID(L581,6,1),"x0x1x2x3x4x5x6x7x8x9"))),OR(7&gt;LEN(L581),MID(L581,7,1)=".",ISNUMBER(FIND("x"&amp;MID(L581,7,1),"x0x1x2x3x4x5x6x7x8x9"))),OR(8&gt;LEN(L581),MID(L581,8,1)=".",ISNUMBER(FIND("x"&amp;MID(L581,8,1),"x0x1x2x3x4x5x6x7x8x9"))),OR(9&gt;LEN(L581),MID(L581,9,1)=".",ISNUMBER(FIND("x"&amp;MID(L581,9,1),"x0x1x2x3x4x5x6x7x8x9"))),OR(10&gt;LEN(L581),MID(L581,10,1)=".",ISNUMBER(FIND("x"&amp;MID(L581,10,1),"x0x1x2x3x4x5x6x7x8x9"))),OR(AND(FIND(".",L581)=5,LEN(L581)-FIND(".",L581,FIND(".",L581)+1)&gt;=1,LEN(L581)-FIND(".",L581,FIND(".",L581)+1)&lt;=2),AND(LEN(L581)-FIND(".",L581,FIND(".",L581)+1)=4,FIND(".",L581)&gt;=2,FIND(".",L581)&lt;=3)),FIND(".",L581,FIND(".",L581)+1)-FIND(".",L581)&gt;=2,FIND(".",L581,FIND(".",L581)+1)-FIND(".",L581)&lt;=3,P581&gt;=2000,P581&lt;=2100,YEAR(S581)=P581,MONTH(S581)=Q581,DAY(S581)=R581),S581,0)),0)</ns0:f>
        <ns0:v>0</ns0:v>
      </ns0:c>
      <ns0:c r="U581" s="0" t="str">
        <ns0:f>IF(Bookings!C581="","Full day",Bookings!C581)</ns0:f>
        <ns0:v>Full day</ns0:v>
      </ns0:c>
      <ns0:c r="V581" s="0" t="str">
        <ns0:f>IF(Bookings!E581="","Full day",Bookings!E581)</ns0:f>
        <ns0:v>Full day</ns0:v>
      </ns0:c>
      <ns0:c r="W581" s="0">
        <ns0:f>IF(J581=0,0,J581+IF(U581="PM",1,0))</ns0:f>
        <ns0:v>0</ns0:v>
      </ns0:c>
      <ns0:c r="X581" s="0">
        <ns0:f>IF(T581=0,0,T581-IF(V581="PM",1,0))</ns0:f>
        <ns0:v>0</ns0:v>
      </ns0:c>
      <ns0:c r="Y581" s="0">
        <ns0:f>IF(J581=0,0,J581+IF(U581="AM",1,0))</ns0:f>
        <ns0:v>0</ns0:v>
      </ns0:c>
      <ns0:c r="Z581" s="0">
        <ns0:f>IF(T581=0,0,T581-IF(V581="AM",1,0))</ns0:f>
        <ns0:v>0</ns0:v>
      </ns0:c>
      <ns0:c r="AA581" s="0">
        <ns0:f>IFERROR(IF(AND(J581&gt;0,'_Engine'!C581&gt;0,MID('_Engine'!W581,WEEKDAY(J581,2),1)="W",COUNTIF(Settings!$F$18:$F$67,J581)=0),1,0),0)</ns0:f>
        <ns0:v>0</ns0:v>
      </ns0:c>
      <ns0:c r="AB581" s="0">
        <ns0:f>IFERROR(IF(AND(T581&gt;0,'_Engine'!C581&gt;0,MID('_Engine'!W581,WEEKDAY(T581,2),1)="W",COUNTIF(Settings!$F$18:$F$67,T581)=0),1,0),0)</ns0:f>
        <ns0:v>0</ns0:v>
      </ns0:c>
      <ns0:c r="AC581" s="0">
        <ns0:f>IF(AND(J581&gt;0,T581&gt;0,W581&lt;=X581),1,0)</ns0:f>
        <ns0:v>0</ns0:v>
      </ns0:c>
      <ns0:c r="AD581" s="0">
        <ns0:f>IF(AND(J581&gt;0,T581&gt;0,Y581&lt;=Z581),1,0)</ns0:f>
        <ns0:v>0</ns0:v>
      </ns0:c>
    </ns0:row>
    <ns0:row r="582">
      <ns0:c r="A582" s="0">
        <ns0:f>IFERROR(IF(ISNUMBER(Bookings!B582),"",TRIM(Bookings!B582&amp;"")),"")</ns0:f>
      </ns0:c>
      <ns0:c r="B582" s="0">
        <ns0:f>IFERROR(SUBSTITUTE(SUBSTITUTE(A582,"/","."),"-","."),"")</ns0:f>
      </ns0:c>
      <ns0:c r="C582" s="0">
        <ns0:f>IFERROR(LEFT(B582,FIND(".",B582)-1),"")</ns0:f>
      </ns0:c>
      <ns0:c r="D582" s="0">
        <ns0:f>IFERROR(MID(B582,FIND(".",B582)+1,FIND(".",B582,FIND(".",B582)+1)-FIND(".",B582)-1),"")</ns0:f>
      </ns0:c>
      <ns0:c r="E582" s="0">
        <ns0:f>IFERROR(MID(B582,FIND(".",B582,FIND(".",B582)+1)+1,99),"")</ns0:f>
        <ns0:v>99</ns0:v>
      </ns0:c>
      <ns0:c r="F582" s="0">
        <ns0:f>IFERROR(IF(FIND(".",B582)=5,--C582,--E582),0)</ns0:f>
        <ns0:v>0</ns0:v>
      </ns0:c>
      <ns0:c r="G582" s="0">
        <ns0:f>IFERROR(--D582,0)</ns0:f>
        <ns0:v>0</ns0:v>
      </ns0:c>
      <ns0:c r="H582" s="0">
        <ns0:f>IFERROR(IF(FIND(".",B582)=5,--E582,--C582),0)</ns0:f>
        <ns0:v>0</ns0:v>
      </ns0:c>
      <ns0:c r="I582" s="0">
        <ns0:f>IFERROR(IF(AND(F582&gt;=2000,F582&lt;=2100,G582&gt;=1,G582&lt;=12,H582&gt;=1,H582&lt;=31),DATE(F582,G582,H582),0),0)</ns0:f>
        <ns0:v>0</ns0:v>
      </ns0:c>
      <ns0:c r="J582" s="0">
        <ns0:f>IFERROR(IF(ISNUMBER(Bookings!B582),IF(AND(Bookings!B582=INT(Bookings!B582),Bookings!B582&gt;=DATE(2000,1,1),Bookings!B582&lt;=DATE(2100,12,31)),Bookings!B582,0),IF(AND(A582&lt;&gt;"",LEN("x"&amp;B582)-LEN(SUBSTITUTE("x"&amp;B582,".",""))=2,OR(1&gt;LEN(B582),MID(B582,1,1)=".",ISNUMBER(FIND("x"&amp;MID(B582,1,1),"x0x1x2x3x4x5x6x7x8x9"))),OR(2&gt;LEN(B582),MID(B582,2,1)=".",ISNUMBER(FIND("x"&amp;MID(B582,2,1),"x0x1x2x3x4x5x6x7x8x9"))),OR(3&gt;LEN(B582),MID(B582,3,1)=".",ISNUMBER(FIND("x"&amp;MID(B582,3,1),"x0x1x2x3x4x5x6x7x8x9"))),OR(4&gt;LEN(B582),MID(B582,4,1)=".",ISNUMBER(FIND("x"&amp;MID(B582,4,1),"x0x1x2x3x4x5x6x7x8x9"))),OR(5&gt;LEN(B582),MID(B582,5,1)=".",ISNUMBER(FIND("x"&amp;MID(B582,5,1),"x0x1x2x3x4x5x6x7x8x9"))),OR(6&gt;LEN(B582),MID(B582,6,1)=".",ISNUMBER(FIND("x"&amp;MID(B582,6,1),"x0x1x2x3x4x5x6x7x8x9"))),OR(7&gt;LEN(B582),MID(B582,7,1)=".",ISNUMBER(FIND("x"&amp;MID(B582,7,1),"x0x1x2x3x4x5x6x7x8x9"))),OR(8&gt;LEN(B582),MID(B582,8,1)=".",ISNUMBER(FIND("x"&amp;MID(B582,8,1),"x0x1x2x3x4x5x6x7x8x9"))),OR(9&gt;LEN(B582),MID(B582,9,1)=".",ISNUMBER(FIND("x"&amp;MID(B582,9,1),"x0x1x2x3x4x5x6x7x8x9"))),OR(10&gt;LEN(B582),MID(B582,10,1)=".",ISNUMBER(FIND("x"&amp;MID(B582,10,1),"x0x1x2x3x4x5x6x7x8x9"))),OR(AND(FIND(".",B582)=5,LEN(B582)-FIND(".",B582,FIND(".",B582)+1)&gt;=1,LEN(B582)-FIND(".",B582,FIND(".",B582)+1)&lt;=2),AND(LEN(B582)-FIND(".",B582,FIND(".",B582)+1)=4,FIND(".",B582)&gt;=2,FIND(".",B582)&lt;=3)),FIND(".",B582,FIND(".",B582)+1)-FIND(".",B582)&gt;=2,FIND(".",B582,FIND(".",B582)+1)-FIND(".",B582)&lt;=3,F582&gt;=2000,F582&lt;=2100,YEAR(I582)=F582,MONTH(I582)=G582,DAY(I582)=H582),I582,0)),0)</ns0:f>
        <ns0:v>0</ns0:v>
      </ns0:c>
      <ns0:c r="K582" s="0">
        <ns0:f>IFERROR(IF(ISNUMBER(Bookings!D582),"",TRIM(Bookings!D582&amp;"")),"")</ns0:f>
      </ns0:c>
      <ns0:c r="L582" s="0">
        <ns0:f>IFERROR(SUBSTITUTE(SUBSTITUTE(K582,"/","."),"-","."),"")</ns0:f>
      </ns0:c>
      <ns0:c r="M582" s="0">
        <ns0:f>IFERROR(LEFT(L582,FIND(".",L582)-1),"")</ns0:f>
      </ns0:c>
      <ns0:c r="N582" s="0">
        <ns0:f>IFERROR(MID(L582,FIND(".",L582)+1,FIND(".",L582,FIND(".",L582)+1)-FIND(".",L582)-1),"")</ns0:f>
      </ns0:c>
      <ns0:c r="O582" s="0">
        <ns0:f>IFERROR(MID(L582,FIND(".",L582,FIND(".",L582)+1)+1,99),"")</ns0:f>
        <ns0:v>99</ns0:v>
      </ns0:c>
      <ns0:c r="P582" s="0">
        <ns0:f>IFERROR(IF(FIND(".",L582)=5,--M582,--O582),0)</ns0:f>
        <ns0:v>0</ns0:v>
      </ns0:c>
      <ns0:c r="Q582" s="0">
        <ns0:f>IFERROR(--N582,0)</ns0:f>
        <ns0:v>0</ns0:v>
      </ns0:c>
      <ns0:c r="R582" s="0">
        <ns0:f>IFERROR(IF(FIND(".",L582)=5,--O582,--M582),0)</ns0:f>
        <ns0:v>0</ns0:v>
      </ns0:c>
      <ns0:c r="S582" s="0">
        <ns0:f>IFERROR(IF(AND(P582&gt;=2000,P582&lt;=2100,Q582&gt;=1,Q582&lt;=12,R582&gt;=1,R582&lt;=31),DATE(P582,Q582,R582),0),0)</ns0:f>
        <ns0:v>0</ns0:v>
      </ns0:c>
      <ns0:c r="T582" s="0">
        <ns0:f>IFERROR(IF(ISNUMBER(Bookings!D582),IF(AND(Bookings!D582=INT(Bookings!D582),Bookings!D582&gt;=DATE(2000,1,1),Bookings!D582&lt;=DATE(2100,12,31)),Bookings!D582,0),IF(AND(K582&lt;&gt;"",LEN("x"&amp;L582)-LEN(SUBSTITUTE("x"&amp;L582,".",""))=2,OR(1&gt;LEN(L582),MID(L582,1,1)=".",ISNUMBER(FIND("x"&amp;MID(L582,1,1),"x0x1x2x3x4x5x6x7x8x9"))),OR(2&gt;LEN(L582),MID(L582,2,1)=".",ISNUMBER(FIND("x"&amp;MID(L582,2,1),"x0x1x2x3x4x5x6x7x8x9"))),OR(3&gt;LEN(L582),MID(L582,3,1)=".",ISNUMBER(FIND("x"&amp;MID(L582,3,1),"x0x1x2x3x4x5x6x7x8x9"))),OR(4&gt;LEN(L582),MID(L582,4,1)=".",ISNUMBER(FIND("x"&amp;MID(L582,4,1),"x0x1x2x3x4x5x6x7x8x9"))),OR(5&gt;LEN(L582),MID(L582,5,1)=".",ISNUMBER(FIND("x"&amp;MID(L582,5,1),"x0x1x2x3x4x5x6x7x8x9"))),OR(6&gt;LEN(L582),MID(L582,6,1)=".",ISNUMBER(FIND("x"&amp;MID(L582,6,1),"x0x1x2x3x4x5x6x7x8x9"))),OR(7&gt;LEN(L582),MID(L582,7,1)=".",ISNUMBER(FIND("x"&amp;MID(L582,7,1),"x0x1x2x3x4x5x6x7x8x9"))),OR(8&gt;LEN(L582),MID(L582,8,1)=".",ISNUMBER(FIND("x"&amp;MID(L582,8,1),"x0x1x2x3x4x5x6x7x8x9"))),OR(9&gt;LEN(L582),MID(L582,9,1)=".",ISNUMBER(FIND("x"&amp;MID(L582,9,1),"x0x1x2x3x4x5x6x7x8x9"))),OR(10&gt;LEN(L582),MID(L582,10,1)=".",ISNUMBER(FIND("x"&amp;MID(L582,10,1),"x0x1x2x3x4x5x6x7x8x9"))),OR(AND(FIND(".",L582)=5,LEN(L582)-FIND(".",L582,FIND(".",L582)+1)&gt;=1,LEN(L582)-FIND(".",L582,FIND(".",L582)+1)&lt;=2),AND(LEN(L582)-FIND(".",L582,FIND(".",L582)+1)=4,FIND(".",L582)&gt;=2,FIND(".",L582)&lt;=3)),FIND(".",L582,FIND(".",L582)+1)-FIND(".",L582)&gt;=2,FIND(".",L582,FIND(".",L582)+1)-FIND(".",L582)&lt;=3,P582&gt;=2000,P582&lt;=2100,YEAR(S582)=P582,MONTH(S582)=Q582,DAY(S582)=R582),S582,0)),0)</ns0:f>
        <ns0:v>0</ns0:v>
      </ns0:c>
      <ns0:c r="U582" s="0" t="str">
        <ns0:f>IF(Bookings!C582="","Full day",Bookings!C582)</ns0:f>
        <ns0:v>Full day</ns0:v>
      </ns0:c>
      <ns0:c r="V582" s="0" t="str">
        <ns0:f>IF(Bookings!E582="","Full day",Bookings!E582)</ns0:f>
        <ns0:v>Full day</ns0:v>
      </ns0:c>
      <ns0:c r="W582" s="0">
        <ns0:f>IF(J582=0,0,J582+IF(U582="PM",1,0))</ns0:f>
        <ns0:v>0</ns0:v>
      </ns0:c>
      <ns0:c r="X582" s="0">
        <ns0:f>IF(T582=0,0,T582-IF(V582="PM",1,0))</ns0:f>
        <ns0:v>0</ns0:v>
      </ns0:c>
      <ns0:c r="Y582" s="0">
        <ns0:f>IF(J582=0,0,J582+IF(U582="AM",1,0))</ns0:f>
        <ns0:v>0</ns0:v>
      </ns0:c>
      <ns0:c r="Z582" s="0">
        <ns0:f>IF(T582=0,0,T582-IF(V582="AM",1,0))</ns0:f>
        <ns0:v>0</ns0:v>
      </ns0:c>
      <ns0:c r="AA582" s="0">
        <ns0:f>IFERROR(IF(AND(J582&gt;0,'_Engine'!C582&gt;0,MID('_Engine'!W582,WEEKDAY(J582,2),1)="W",COUNTIF(Settings!$F$18:$F$67,J582)=0),1,0),0)</ns0:f>
        <ns0:v>0</ns0:v>
      </ns0:c>
      <ns0:c r="AB582" s="0">
        <ns0:f>IFERROR(IF(AND(T582&gt;0,'_Engine'!C582&gt;0,MID('_Engine'!W582,WEEKDAY(T582,2),1)="W",COUNTIF(Settings!$F$18:$F$67,T582)=0),1,0),0)</ns0:f>
        <ns0:v>0</ns0:v>
      </ns0:c>
      <ns0:c r="AC582" s="0">
        <ns0:f>IF(AND(J582&gt;0,T582&gt;0,W582&lt;=X582),1,0)</ns0:f>
        <ns0:v>0</ns0:v>
      </ns0:c>
      <ns0:c r="AD582" s="0">
        <ns0:f>IF(AND(J582&gt;0,T582&gt;0,Y582&lt;=Z582),1,0)</ns0:f>
        <ns0:v>0</ns0:v>
      </ns0:c>
    </ns0:row>
    <ns0:row r="583">
      <ns0:c r="A583" s="0">
        <ns0:f>IFERROR(IF(ISNUMBER(Bookings!B583),"",TRIM(Bookings!B583&amp;"")),"")</ns0:f>
      </ns0:c>
      <ns0:c r="B583" s="0">
        <ns0:f>IFERROR(SUBSTITUTE(SUBSTITUTE(A583,"/","."),"-","."),"")</ns0:f>
      </ns0:c>
      <ns0:c r="C583" s="0">
        <ns0:f>IFERROR(LEFT(B583,FIND(".",B583)-1),"")</ns0:f>
      </ns0:c>
      <ns0:c r="D583" s="0">
        <ns0:f>IFERROR(MID(B583,FIND(".",B583)+1,FIND(".",B583,FIND(".",B583)+1)-FIND(".",B583)-1),"")</ns0:f>
      </ns0:c>
      <ns0:c r="E583" s="0">
        <ns0:f>IFERROR(MID(B583,FIND(".",B583,FIND(".",B583)+1)+1,99),"")</ns0:f>
        <ns0:v>99</ns0:v>
      </ns0:c>
      <ns0:c r="F583" s="0">
        <ns0:f>IFERROR(IF(FIND(".",B583)=5,--C583,--E583),0)</ns0:f>
        <ns0:v>0</ns0:v>
      </ns0:c>
      <ns0:c r="G583" s="0">
        <ns0:f>IFERROR(--D583,0)</ns0:f>
        <ns0:v>0</ns0:v>
      </ns0:c>
      <ns0:c r="H583" s="0">
        <ns0:f>IFERROR(IF(FIND(".",B583)=5,--E583,--C583),0)</ns0:f>
        <ns0:v>0</ns0:v>
      </ns0:c>
      <ns0:c r="I583" s="0">
        <ns0:f>IFERROR(IF(AND(F583&gt;=2000,F583&lt;=2100,G583&gt;=1,G583&lt;=12,H583&gt;=1,H583&lt;=31),DATE(F583,G583,H583),0),0)</ns0:f>
        <ns0:v>0</ns0:v>
      </ns0:c>
      <ns0:c r="J583" s="0">
        <ns0:f>IFERROR(IF(ISNUMBER(Bookings!B583),IF(AND(Bookings!B583=INT(Bookings!B583),Bookings!B583&gt;=DATE(2000,1,1),Bookings!B583&lt;=DATE(2100,12,31)),Bookings!B583,0),IF(AND(A583&lt;&gt;"",LEN("x"&amp;B583)-LEN(SUBSTITUTE("x"&amp;B583,".",""))=2,OR(1&gt;LEN(B583),MID(B583,1,1)=".",ISNUMBER(FIND("x"&amp;MID(B583,1,1),"x0x1x2x3x4x5x6x7x8x9"))),OR(2&gt;LEN(B583),MID(B583,2,1)=".",ISNUMBER(FIND("x"&amp;MID(B583,2,1),"x0x1x2x3x4x5x6x7x8x9"))),OR(3&gt;LEN(B583),MID(B583,3,1)=".",ISNUMBER(FIND("x"&amp;MID(B583,3,1),"x0x1x2x3x4x5x6x7x8x9"))),OR(4&gt;LEN(B583),MID(B583,4,1)=".",ISNUMBER(FIND("x"&amp;MID(B583,4,1),"x0x1x2x3x4x5x6x7x8x9"))),OR(5&gt;LEN(B583),MID(B583,5,1)=".",ISNUMBER(FIND("x"&amp;MID(B583,5,1),"x0x1x2x3x4x5x6x7x8x9"))),OR(6&gt;LEN(B583),MID(B583,6,1)=".",ISNUMBER(FIND("x"&amp;MID(B583,6,1),"x0x1x2x3x4x5x6x7x8x9"))),OR(7&gt;LEN(B583),MID(B583,7,1)=".",ISNUMBER(FIND("x"&amp;MID(B583,7,1),"x0x1x2x3x4x5x6x7x8x9"))),OR(8&gt;LEN(B583),MID(B583,8,1)=".",ISNUMBER(FIND("x"&amp;MID(B583,8,1),"x0x1x2x3x4x5x6x7x8x9"))),OR(9&gt;LEN(B583),MID(B583,9,1)=".",ISNUMBER(FIND("x"&amp;MID(B583,9,1),"x0x1x2x3x4x5x6x7x8x9"))),OR(10&gt;LEN(B583),MID(B583,10,1)=".",ISNUMBER(FIND("x"&amp;MID(B583,10,1),"x0x1x2x3x4x5x6x7x8x9"))),OR(AND(FIND(".",B583)=5,LEN(B583)-FIND(".",B583,FIND(".",B583)+1)&gt;=1,LEN(B583)-FIND(".",B583,FIND(".",B583)+1)&lt;=2),AND(LEN(B583)-FIND(".",B583,FIND(".",B583)+1)=4,FIND(".",B583)&gt;=2,FIND(".",B583)&lt;=3)),FIND(".",B583,FIND(".",B583)+1)-FIND(".",B583)&gt;=2,FIND(".",B583,FIND(".",B583)+1)-FIND(".",B583)&lt;=3,F583&gt;=2000,F583&lt;=2100,YEAR(I583)=F583,MONTH(I583)=G583,DAY(I583)=H583),I583,0)),0)</ns0:f>
        <ns0:v>0</ns0:v>
      </ns0:c>
      <ns0:c r="K583" s="0">
        <ns0:f>IFERROR(IF(ISNUMBER(Bookings!D583),"",TRIM(Bookings!D583&amp;"")),"")</ns0:f>
      </ns0:c>
      <ns0:c r="L583" s="0">
        <ns0:f>IFERROR(SUBSTITUTE(SUBSTITUTE(K583,"/","."),"-","."),"")</ns0:f>
      </ns0:c>
      <ns0:c r="M583" s="0">
        <ns0:f>IFERROR(LEFT(L583,FIND(".",L583)-1),"")</ns0:f>
      </ns0:c>
      <ns0:c r="N583" s="0">
        <ns0:f>IFERROR(MID(L583,FIND(".",L583)+1,FIND(".",L583,FIND(".",L583)+1)-FIND(".",L583)-1),"")</ns0:f>
      </ns0:c>
      <ns0:c r="O583" s="0">
        <ns0:f>IFERROR(MID(L583,FIND(".",L583,FIND(".",L583)+1)+1,99),"")</ns0:f>
        <ns0:v>99</ns0:v>
      </ns0:c>
      <ns0:c r="P583" s="0">
        <ns0:f>IFERROR(IF(FIND(".",L583)=5,--M583,--O583),0)</ns0:f>
        <ns0:v>0</ns0:v>
      </ns0:c>
      <ns0:c r="Q583" s="0">
        <ns0:f>IFERROR(--N583,0)</ns0:f>
        <ns0:v>0</ns0:v>
      </ns0:c>
      <ns0:c r="R583" s="0">
        <ns0:f>IFERROR(IF(FIND(".",L583)=5,--O583,--M583),0)</ns0:f>
        <ns0:v>0</ns0:v>
      </ns0:c>
      <ns0:c r="S583" s="0">
        <ns0:f>IFERROR(IF(AND(P583&gt;=2000,P583&lt;=2100,Q583&gt;=1,Q583&lt;=12,R583&gt;=1,R583&lt;=31),DATE(P583,Q583,R583),0),0)</ns0:f>
        <ns0:v>0</ns0:v>
      </ns0:c>
      <ns0:c r="T583" s="0">
        <ns0:f>IFERROR(IF(ISNUMBER(Bookings!D583),IF(AND(Bookings!D583=INT(Bookings!D583),Bookings!D583&gt;=DATE(2000,1,1),Bookings!D583&lt;=DATE(2100,12,31)),Bookings!D583,0),IF(AND(K583&lt;&gt;"",LEN("x"&amp;L583)-LEN(SUBSTITUTE("x"&amp;L583,".",""))=2,OR(1&gt;LEN(L583),MID(L583,1,1)=".",ISNUMBER(FIND("x"&amp;MID(L583,1,1),"x0x1x2x3x4x5x6x7x8x9"))),OR(2&gt;LEN(L583),MID(L583,2,1)=".",ISNUMBER(FIND("x"&amp;MID(L583,2,1),"x0x1x2x3x4x5x6x7x8x9"))),OR(3&gt;LEN(L583),MID(L583,3,1)=".",ISNUMBER(FIND("x"&amp;MID(L583,3,1),"x0x1x2x3x4x5x6x7x8x9"))),OR(4&gt;LEN(L583),MID(L583,4,1)=".",ISNUMBER(FIND("x"&amp;MID(L583,4,1),"x0x1x2x3x4x5x6x7x8x9"))),OR(5&gt;LEN(L583),MID(L583,5,1)=".",ISNUMBER(FIND("x"&amp;MID(L583,5,1),"x0x1x2x3x4x5x6x7x8x9"))),OR(6&gt;LEN(L583),MID(L583,6,1)=".",ISNUMBER(FIND("x"&amp;MID(L583,6,1),"x0x1x2x3x4x5x6x7x8x9"))),OR(7&gt;LEN(L583),MID(L583,7,1)=".",ISNUMBER(FIND("x"&amp;MID(L583,7,1),"x0x1x2x3x4x5x6x7x8x9"))),OR(8&gt;LEN(L583),MID(L583,8,1)=".",ISNUMBER(FIND("x"&amp;MID(L583,8,1),"x0x1x2x3x4x5x6x7x8x9"))),OR(9&gt;LEN(L583),MID(L583,9,1)=".",ISNUMBER(FIND("x"&amp;MID(L583,9,1),"x0x1x2x3x4x5x6x7x8x9"))),OR(10&gt;LEN(L583),MID(L583,10,1)=".",ISNUMBER(FIND("x"&amp;MID(L583,10,1),"x0x1x2x3x4x5x6x7x8x9"))),OR(AND(FIND(".",L583)=5,LEN(L583)-FIND(".",L583,FIND(".",L583)+1)&gt;=1,LEN(L583)-FIND(".",L583,FIND(".",L583)+1)&lt;=2),AND(LEN(L583)-FIND(".",L583,FIND(".",L583)+1)=4,FIND(".",L583)&gt;=2,FIND(".",L583)&lt;=3)),FIND(".",L583,FIND(".",L583)+1)-FIND(".",L583)&gt;=2,FIND(".",L583,FIND(".",L583)+1)-FIND(".",L583)&lt;=3,P583&gt;=2000,P583&lt;=2100,YEAR(S583)=P583,MONTH(S583)=Q583,DAY(S583)=R583),S583,0)),0)</ns0:f>
        <ns0:v>0</ns0:v>
      </ns0:c>
      <ns0:c r="U583" s="0" t="str">
        <ns0:f>IF(Bookings!C583="","Full day",Bookings!C583)</ns0:f>
        <ns0:v>Full day</ns0:v>
      </ns0:c>
      <ns0:c r="V583" s="0" t="str">
        <ns0:f>IF(Bookings!E583="","Full day",Bookings!E583)</ns0:f>
        <ns0:v>Full day</ns0:v>
      </ns0:c>
      <ns0:c r="W583" s="0">
        <ns0:f>IF(J583=0,0,J583+IF(U583="PM",1,0))</ns0:f>
        <ns0:v>0</ns0:v>
      </ns0:c>
      <ns0:c r="X583" s="0">
        <ns0:f>IF(T583=0,0,T583-IF(V583="PM",1,0))</ns0:f>
        <ns0:v>0</ns0:v>
      </ns0:c>
      <ns0:c r="Y583" s="0">
        <ns0:f>IF(J583=0,0,J583+IF(U583="AM",1,0))</ns0:f>
        <ns0:v>0</ns0:v>
      </ns0:c>
      <ns0:c r="Z583" s="0">
        <ns0:f>IF(T583=0,0,T583-IF(V583="AM",1,0))</ns0:f>
        <ns0:v>0</ns0:v>
      </ns0:c>
      <ns0:c r="AA583" s="0">
        <ns0:f>IFERROR(IF(AND(J583&gt;0,'_Engine'!C583&gt;0,MID('_Engine'!W583,WEEKDAY(J583,2),1)="W",COUNTIF(Settings!$F$18:$F$67,J583)=0),1,0),0)</ns0:f>
        <ns0:v>0</ns0:v>
      </ns0:c>
      <ns0:c r="AB583" s="0">
        <ns0:f>IFERROR(IF(AND(T583&gt;0,'_Engine'!C583&gt;0,MID('_Engine'!W583,WEEKDAY(T583,2),1)="W",COUNTIF(Settings!$F$18:$F$67,T583)=0),1,0),0)</ns0:f>
        <ns0:v>0</ns0:v>
      </ns0:c>
      <ns0:c r="AC583" s="0">
        <ns0:f>IF(AND(J583&gt;0,T583&gt;0,W583&lt;=X583),1,0)</ns0:f>
        <ns0:v>0</ns0:v>
      </ns0:c>
      <ns0:c r="AD583" s="0">
        <ns0:f>IF(AND(J583&gt;0,T583&gt;0,Y583&lt;=Z583),1,0)</ns0:f>
        <ns0:v>0</ns0:v>
      </ns0:c>
    </ns0:row>
    <ns0:row r="584">
      <ns0:c r="A584" s="0">
        <ns0:f>IFERROR(IF(ISNUMBER(Bookings!B584),"",TRIM(Bookings!B584&amp;"")),"")</ns0:f>
      </ns0:c>
      <ns0:c r="B584" s="0">
        <ns0:f>IFERROR(SUBSTITUTE(SUBSTITUTE(A584,"/","."),"-","."),"")</ns0:f>
      </ns0:c>
      <ns0:c r="C584" s="0">
        <ns0:f>IFERROR(LEFT(B584,FIND(".",B584)-1),"")</ns0:f>
      </ns0:c>
      <ns0:c r="D584" s="0">
        <ns0:f>IFERROR(MID(B584,FIND(".",B584)+1,FIND(".",B584,FIND(".",B584)+1)-FIND(".",B584)-1),"")</ns0:f>
      </ns0:c>
      <ns0:c r="E584" s="0">
        <ns0:f>IFERROR(MID(B584,FIND(".",B584,FIND(".",B584)+1)+1,99),"")</ns0:f>
        <ns0:v>99</ns0:v>
      </ns0:c>
      <ns0:c r="F584" s="0">
        <ns0:f>IFERROR(IF(FIND(".",B584)=5,--C584,--E584),0)</ns0:f>
        <ns0:v>0</ns0:v>
      </ns0:c>
      <ns0:c r="G584" s="0">
        <ns0:f>IFERROR(--D584,0)</ns0:f>
        <ns0:v>0</ns0:v>
      </ns0:c>
      <ns0:c r="H584" s="0">
        <ns0:f>IFERROR(IF(FIND(".",B584)=5,--E584,--C584),0)</ns0:f>
        <ns0:v>0</ns0:v>
      </ns0:c>
      <ns0:c r="I584" s="0">
        <ns0:f>IFERROR(IF(AND(F584&gt;=2000,F584&lt;=2100,G584&gt;=1,G584&lt;=12,H584&gt;=1,H584&lt;=31),DATE(F584,G584,H584),0),0)</ns0:f>
        <ns0:v>0</ns0:v>
      </ns0:c>
      <ns0:c r="J584" s="0">
        <ns0:f>IFERROR(IF(ISNUMBER(Bookings!B584),IF(AND(Bookings!B584=INT(Bookings!B584),Bookings!B584&gt;=DATE(2000,1,1),Bookings!B584&lt;=DATE(2100,12,31)),Bookings!B584,0),IF(AND(A584&lt;&gt;"",LEN("x"&amp;B584)-LEN(SUBSTITUTE("x"&amp;B584,".",""))=2,OR(1&gt;LEN(B584),MID(B584,1,1)=".",ISNUMBER(FIND("x"&amp;MID(B584,1,1),"x0x1x2x3x4x5x6x7x8x9"))),OR(2&gt;LEN(B584),MID(B584,2,1)=".",ISNUMBER(FIND("x"&amp;MID(B584,2,1),"x0x1x2x3x4x5x6x7x8x9"))),OR(3&gt;LEN(B584),MID(B584,3,1)=".",ISNUMBER(FIND("x"&amp;MID(B584,3,1),"x0x1x2x3x4x5x6x7x8x9"))),OR(4&gt;LEN(B584),MID(B584,4,1)=".",ISNUMBER(FIND("x"&amp;MID(B584,4,1),"x0x1x2x3x4x5x6x7x8x9"))),OR(5&gt;LEN(B584),MID(B584,5,1)=".",ISNUMBER(FIND("x"&amp;MID(B584,5,1),"x0x1x2x3x4x5x6x7x8x9"))),OR(6&gt;LEN(B584),MID(B584,6,1)=".",ISNUMBER(FIND("x"&amp;MID(B584,6,1),"x0x1x2x3x4x5x6x7x8x9"))),OR(7&gt;LEN(B584),MID(B584,7,1)=".",ISNUMBER(FIND("x"&amp;MID(B584,7,1),"x0x1x2x3x4x5x6x7x8x9"))),OR(8&gt;LEN(B584),MID(B584,8,1)=".",ISNUMBER(FIND("x"&amp;MID(B584,8,1),"x0x1x2x3x4x5x6x7x8x9"))),OR(9&gt;LEN(B584),MID(B584,9,1)=".",ISNUMBER(FIND("x"&amp;MID(B584,9,1),"x0x1x2x3x4x5x6x7x8x9"))),OR(10&gt;LEN(B584),MID(B584,10,1)=".",ISNUMBER(FIND("x"&amp;MID(B584,10,1),"x0x1x2x3x4x5x6x7x8x9"))),OR(AND(FIND(".",B584)=5,LEN(B584)-FIND(".",B584,FIND(".",B584)+1)&gt;=1,LEN(B584)-FIND(".",B584,FIND(".",B584)+1)&lt;=2),AND(LEN(B584)-FIND(".",B584,FIND(".",B584)+1)=4,FIND(".",B584)&gt;=2,FIND(".",B584)&lt;=3)),FIND(".",B584,FIND(".",B584)+1)-FIND(".",B584)&gt;=2,FIND(".",B584,FIND(".",B584)+1)-FIND(".",B584)&lt;=3,F584&gt;=2000,F584&lt;=2100,YEAR(I584)=F584,MONTH(I584)=G584,DAY(I584)=H584),I584,0)),0)</ns0:f>
        <ns0:v>0</ns0:v>
      </ns0:c>
      <ns0:c r="K584" s="0">
        <ns0:f>IFERROR(IF(ISNUMBER(Bookings!D584),"",TRIM(Bookings!D584&amp;"")),"")</ns0:f>
      </ns0:c>
      <ns0:c r="L584" s="0">
        <ns0:f>IFERROR(SUBSTITUTE(SUBSTITUTE(K584,"/","."),"-","."),"")</ns0:f>
      </ns0:c>
      <ns0:c r="M584" s="0">
        <ns0:f>IFERROR(LEFT(L584,FIND(".",L584)-1),"")</ns0:f>
      </ns0:c>
      <ns0:c r="N584" s="0">
        <ns0:f>IFERROR(MID(L584,FIND(".",L584)+1,FIND(".",L584,FIND(".",L584)+1)-FIND(".",L584)-1),"")</ns0:f>
      </ns0:c>
      <ns0:c r="O584" s="0">
        <ns0:f>IFERROR(MID(L584,FIND(".",L584,FIND(".",L584)+1)+1,99),"")</ns0:f>
        <ns0:v>99</ns0:v>
      </ns0:c>
      <ns0:c r="P584" s="0">
        <ns0:f>IFERROR(IF(FIND(".",L584)=5,--M584,--O584),0)</ns0:f>
        <ns0:v>0</ns0:v>
      </ns0:c>
      <ns0:c r="Q584" s="0">
        <ns0:f>IFERROR(--N584,0)</ns0:f>
        <ns0:v>0</ns0:v>
      </ns0:c>
      <ns0:c r="R584" s="0">
        <ns0:f>IFERROR(IF(FIND(".",L584)=5,--O584,--M584),0)</ns0:f>
        <ns0:v>0</ns0:v>
      </ns0:c>
      <ns0:c r="S584" s="0">
        <ns0:f>IFERROR(IF(AND(P584&gt;=2000,P584&lt;=2100,Q584&gt;=1,Q584&lt;=12,R584&gt;=1,R584&lt;=31),DATE(P584,Q584,R584),0),0)</ns0:f>
        <ns0:v>0</ns0:v>
      </ns0:c>
      <ns0:c r="T584" s="0">
        <ns0:f>IFERROR(IF(ISNUMBER(Bookings!D584),IF(AND(Bookings!D584=INT(Bookings!D584),Bookings!D584&gt;=DATE(2000,1,1),Bookings!D584&lt;=DATE(2100,12,31)),Bookings!D584,0),IF(AND(K584&lt;&gt;"",LEN("x"&amp;L584)-LEN(SUBSTITUTE("x"&amp;L584,".",""))=2,OR(1&gt;LEN(L584),MID(L584,1,1)=".",ISNUMBER(FIND("x"&amp;MID(L584,1,1),"x0x1x2x3x4x5x6x7x8x9"))),OR(2&gt;LEN(L584),MID(L584,2,1)=".",ISNUMBER(FIND("x"&amp;MID(L584,2,1),"x0x1x2x3x4x5x6x7x8x9"))),OR(3&gt;LEN(L584),MID(L584,3,1)=".",ISNUMBER(FIND("x"&amp;MID(L584,3,1),"x0x1x2x3x4x5x6x7x8x9"))),OR(4&gt;LEN(L584),MID(L584,4,1)=".",ISNUMBER(FIND("x"&amp;MID(L584,4,1),"x0x1x2x3x4x5x6x7x8x9"))),OR(5&gt;LEN(L584),MID(L584,5,1)=".",ISNUMBER(FIND("x"&amp;MID(L584,5,1),"x0x1x2x3x4x5x6x7x8x9"))),OR(6&gt;LEN(L584),MID(L584,6,1)=".",ISNUMBER(FIND("x"&amp;MID(L584,6,1),"x0x1x2x3x4x5x6x7x8x9"))),OR(7&gt;LEN(L584),MID(L584,7,1)=".",ISNUMBER(FIND("x"&amp;MID(L584,7,1),"x0x1x2x3x4x5x6x7x8x9"))),OR(8&gt;LEN(L584),MID(L584,8,1)=".",ISNUMBER(FIND("x"&amp;MID(L584,8,1),"x0x1x2x3x4x5x6x7x8x9"))),OR(9&gt;LEN(L584),MID(L584,9,1)=".",ISNUMBER(FIND("x"&amp;MID(L584,9,1),"x0x1x2x3x4x5x6x7x8x9"))),OR(10&gt;LEN(L584),MID(L584,10,1)=".",ISNUMBER(FIND("x"&amp;MID(L584,10,1),"x0x1x2x3x4x5x6x7x8x9"))),OR(AND(FIND(".",L584)=5,LEN(L584)-FIND(".",L584,FIND(".",L584)+1)&gt;=1,LEN(L584)-FIND(".",L584,FIND(".",L584)+1)&lt;=2),AND(LEN(L584)-FIND(".",L584,FIND(".",L584)+1)=4,FIND(".",L584)&gt;=2,FIND(".",L584)&lt;=3)),FIND(".",L584,FIND(".",L584)+1)-FIND(".",L584)&gt;=2,FIND(".",L584,FIND(".",L584)+1)-FIND(".",L584)&lt;=3,P584&gt;=2000,P584&lt;=2100,YEAR(S584)=P584,MONTH(S584)=Q584,DAY(S584)=R584),S584,0)),0)</ns0:f>
        <ns0:v>0</ns0:v>
      </ns0:c>
      <ns0:c r="U584" s="0" t="str">
        <ns0:f>IF(Bookings!C584="","Full day",Bookings!C584)</ns0:f>
        <ns0:v>Full day</ns0:v>
      </ns0:c>
      <ns0:c r="V584" s="0" t="str">
        <ns0:f>IF(Bookings!E584="","Full day",Bookings!E584)</ns0:f>
        <ns0:v>Full day</ns0:v>
      </ns0:c>
      <ns0:c r="W584" s="0">
        <ns0:f>IF(J584=0,0,J584+IF(U584="PM",1,0))</ns0:f>
        <ns0:v>0</ns0:v>
      </ns0:c>
      <ns0:c r="X584" s="0">
        <ns0:f>IF(T584=0,0,T584-IF(V584="PM",1,0))</ns0:f>
        <ns0:v>0</ns0:v>
      </ns0:c>
      <ns0:c r="Y584" s="0">
        <ns0:f>IF(J584=0,0,J584+IF(U584="AM",1,0))</ns0:f>
        <ns0:v>0</ns0:v>
      </ns0:c>
      <ns0:c r="Z584" s="0">
        <ns0:f>IF(T584=0,0,T584-IF(V584="AM",1,0))</ns0:f>
        <ns0:v>0</ns0:v>
      </ns0:c>
      <ns0:c r="AA584" s="0">
        <ns0:f>IFERROR(IF(AND(J584&gt;0,'_Engine'!C584&gt;0,MID('_Engine'!W584,WEEKDAY(J584,2),1)="W",COUNTIF(Settings!$F$18:$F$67,J584)=0),1,0),0)</ns0:f>
        <ns0:v>0</ns0:v>
      </ns0:c>
      <ns0:c r="AB584" s="0">
        <ns0:f>IFERROR(IF(AND(T584&gt;0,'_Engine'!C584&gt;0,MID('_Engine'!W584,WEEKDAY(T584,2),1)="W",COUNTIF(Settings!$F$18:$F$67,T584)=0),1,0),0)</ns0:f>
        <ns0:v>0</ns0:v>
      </ns0:c>
      <ns0:c r="AC584" s="0">
        <ns0:f>IF(AND(J584&gt;0,T584&gt;0,W584&lt;=X584),1,0)</ns0:f>
        <ns0:v>0</ns0:v>
      </ns0:c>
      <ns0:c r="AD584" s="0">
        <ns0:f>IF(AND(J584&gt;0,T584&gt;0,Y584&lt;=Z584),1,0)</ns0:f>
        <ns0:v>0</ns0:v>
      </ns0:c>
    </ns0:row>
    <ns0:row r="585">
      <ns0:c r="A585" s="0">
        <ns0:f>IFERROR(IF(ISNUMBER(Bookings!B585),"",TRIM(Bookings!B585&amp;"")),"")</ns0:f>
      </ns0:c>
      <ns0:c r="B585" s="0">
        <ns0:f>IFERROR(SUBSTITUTE(SUBSTITUTE(A585,"/","."),"-","."),"")</ns0:f>
      </ns0:c>
      <ns0:c r="C585" s="0">
        <ns0:f>IFERROR(LEFT(B585,FIND(".",B585)-1),"")</ns0:f>
      </ns0:c>
      <ns0:c r="D585" s="0">
        <ns0:f>IFERROR(MID(B585,FIND(".",B585)+1,FIND(".",B585,FIND(".",B585)+1)-FIND(".",B585)-1),"")</ns0:f>
      </ns0:c>
      <ns0:c r="E585" s="0">
        <ns0:f>IFERROR(MID(B585,FIND(".",B585,FIND(".",B585)+1)+1,99),"")</ns0:f>
        <ns0:v>99</ns0:v>
      </ns0:c>
      <ns0:c r="F585" s="0">
        <ns0:f>IFERROR(IF(FIND(".",B585)=5,--C585,--E585),0)</ns0:f>
        <ns0:v>0</ns0:v>
      </ns0:c>
      <ns0:c r="G585" s="0">
        <ns0:f>IFERROR(--D585,0)</ns0:f>
        <ns0:v>0</ns0:v>
      </ns0:c>
      <ns0:c r="H585" s="0">
        <ns0:f>IFERROR(IF(FIND(".",B585)=5,--E585,--C585),0)</ns0:f>
        <ns0:v>0</ns0:v>
      </ns0:c>
      <ns0:c r="I585" s="0">
        <ns0:f>IFERROR(IF(AND(F585&gt;=2000,F585&lt;=2100,G585&gt;=1,G585&lt;=12,H585&gt;=1,H585&lt;=31),DATE(F585,G585,H585),0),0)</ns0:f>
        <ns0:v>0</ns0:v>
      </ns0:c>
      <ns0:c r="J585" s="0">
        <ns0:f>IFERROR(IF(ISNUMBER(Bookings!B585),IF(AND(Bookings!B585=INT(Bookings!B585),Bookings!B585&gt;=DATE(2000,1,1),Bookings!B585&lt;=DATE(2100,12,31)),Bookings!B585,0),IF(AND(A585&lt;&gt;"",LEN("x"&amp;B585)-LEN(SUBSTITUTE("x"&amp;B585,".",""))=2,OR(1&gt;LEN(B585),MID(B585,1,1)=".",ISNUMBER(FIND("x"&amp;MID(B585,1,1),"x0x1x2x3x4x5x6x7x8x9"))),OR(2&gt;LEN(B585),MID(B585,2,1)=".",ISNUMBER(FIND("x"&amp;MID(B585,2,1),"x0x1x2x3x4x5x6x7x8x9"))),OR(3&gt;LEN(B585),MID(B585,3,1)=".",ISNUMBER(FIND("x"&amp;MID(B585,3,1),"x0x1x2x3x4x5x6x7x8x9"))),OR(4&gt;LEN(B585),MID(B585,4,1)=".",ISNUMBER(FIND("x"&amp;MID(B585,4,1),"x0x1x2x3x4x5x6x7x8x9"))),OR(5&gt;LEN(B585),MID(B585,5,1)=".",ISNUMBER(FIND("x"&amp;MID(B585,5,1),"x0x1x2x3x4x5x6x7x8x9"))),OR(6&gt;LEN(B585),MID(B585,6,1)=".",ISNUMBER(FIND("x"&amp;MID(B585,6,1),"x0x1x2x3x4x5x6x7x8x9"))),OR(7&gt;LEN(B585),MID(B585,7,1)=".",ISNUMBER(FIND("x"&amp;MID(B585,7,1),"x0x1x2x3x4x5x6x7x8x9"))),OR(8&gt;LEN(B585),MID(B585,8,1)=".",ISNUMBER(FIND("x"&amp;MID(B585,8,1),"x0x1x2x3x4x5x6x7x8x9"))),OR(9&gt;LEN(B585),MID(B585,9,1)=".",ISNUMBER(FIND("x"&amp;MID(B585,9,1),"x0x1x2x3x4x5x6x7x8x9"))),OR(10&gt;LEN(B585),MID(B585,10,1)=".",ISNUMBER(FIND("x"&amp;MID(B585,10,1),"x0x1x2x3x4x5x6x7x8x9"))),OR(AND(FIND(".",B585)=5,LEN(B585)-FIND(".",B585,FIND(".",B585)+1)&gt;=1,LEN(B585)-FIND(".",B585,FIND(".",B585)+1)&lt;=2),AND(LEN(B585)-FIND(".",B585,FIND(".",B585)+1)=4,FIND(".",B585)&gt;=2,FIND(".",B585)&lt;=3)),FIND(".",B585,FIND(".",B585)+1)-FIND(".",B585)&gt;=2,FIND(".",B585,FIND(".",B585)+1)-FIND(".",B585)&lt;=3,F585&gt;=2000,F585&lt;=2100,YEAR(I585)=F585,MONTH(I585)=G585,DAY(I585)=H585),I585,0)),0)</ns0:f>
        <ns0:v>0</ns0:v>
      </ns0:c>
      <ns0:c r="K585" s="0">
        <ns0:f>IFERROR(IF(ISNUMBER(Bookings!D585),"",TRIM(Bookings!D585&amp;"")),"")</ns0:f>
      </ns0:c>
      <ns0:c r="L585" s="0">
        <ns0:f>IFERROR(SUBSTITUTE(SUBSTITUTE(K585,"/","."),"-","."),"")</ns0:f>
      </ns0:c>
      <ns0:c r="M585" s="0">
        <ns0:f>IFERROR(LEFT(L585,FIND(".",L585)-1),"")</ns0:f>
      </ns0:c>
      <ns0:c r="N585" s="0">
        <ns0:f>IFERROR(MID(L585,FIND(".",L585)+1,FIND(".",L585,FIND(".",L585)+1)-FIND(".",L585)-1),"")</ns0:f>
      </ns0:c>
      <ns0:c r="O585" s="0">
        <ns0:f>IFERROR(MID(L585,FIND(".",L585,FIND(".",L585)+1)+1,99),"")</ns0:f>
        <ns0:v>99</ns0:v>
      </ns0:c>
      <ns0:c r="P585" s="0">
        <ns0:f>IFERROR(IF(FIND(".",L585)=5,--M585,--O585),0)</ns0:f>
        <ns0:v>0</ns0:v>
      </ns0:c>
      <ns0:c r="Q585" s="0">
        <ns0:f>IFERROR(--N585,0)</ns0:f>
        <ns0:v>0</ns0:v>
      </ns0:c>
      <ns0:c r="R585" s="0">
        <ns0:f>IFERROR(IF(FIND(".",L585)=5,--O585,--M585),0)</ns0:f>
        <ns0:v>0</ns0:v>
      </ns0:c>
      <ns0:c r="S585" s="0">
        <ns0:f>IFERROR(IF(AND(P585&gt;=2000,P585&lt;=2100,Q585&gt;=1,Q585&lt;=12,R585&gt;=1,R585&lt;=31),DATE(P585,Q585,R585),0),0)</ns0:f>
        <ns0:v>0</ns0:v>
      </ns0:c>
      <ns0:c r="T585" s="0">
        <ns0:f>IFERROR(IF(ISNUMBER(Bookings!D585),IF(AND(Bookings!D585=INT(Bookings!D585),Bookings!D585&gt;=DATE(2000,1,1),Bookings!D585&lt;=DATE(2100,12,31)),Bookings!D585,0),IF(AND(K585&lt;&gt;"",LEN("x"&amp;L585)-LEN(SUBSTITUTE("x"&amp;L585,".",""))=2,OR(1&gt;LEN(L585),MID(L585,1,1)=".",ISNUMBER(FIND("x"&amp;MID(L585,1,1),"x0x1x2x3x4x5x6x7x8x9"))),OR(2&gt;LEN(L585),MID(L585,2,1)=".",ISNUMBER(FIND("x"&amp;MID(L585,2,1),"x0x1x2x3x4x5x6x7x8x9"))),OR(3&gt;LEN(L585),MID(L585,3,1)=".",ISNUMBER(FIND("x"&amp;MID(L585,3,1),"x0x1x2x3x4x5x6x7x8x9"))),OR(4&gt;LEN(L585),MID(L585,4,1)=".",ISNUMBER(FIND("x"&amp;MID(L585,4,1),"x0x1x2x3x4x5x6x7x8x9"))),OR(5&gt;LEN(L585),MID(L585,5,1)=".",ISNUMBER(FIND("x"&amp;MID(L585,5,1),"x0x1x2x3x4x5x6x7x8x9"))),OR(6&gt;LEN(L585),MID(L585,6,1)=".",ISNUMBER(FIND("x"&amp;MID(L585,6,1),"x0x1x2x3x4x5x6x7x8x9"))),OR(7&gt;LEN(L585),MID(L585,7,1)=".",ISNUMBER(FIND("x"&amp;MID(L585,7,1),"x0x1x2x3x4x5x6x7x8x9"))),OR(8&gt;LEN(L585),MID(L585,8,1)=".",ISNUMBER(FIND("x"&amp;MID(L585,8,1),"x0x1x2x3x4x5x6x7x8x9"))),OR(9&gt;LEN(L585),MID(L585,9,1)=".",ISNUMBER(FIND("x"&amp;MID(L585,9,1),"x0x1x2x3x4x5x6x7x8x9"))),OR(10&gt;LEN(L585),MID(L585,10,1)=".",ISNUMBER(FIND("x"&amp;MID(L585,10,1),"x0x1x2x3x4x5x6x7x8x9"))),OR(AND(FIND(".",L585)=5,LEN(L585)-FIND(".",L585,FIND(".",L585)+1)&gt;=1,LEN(L585)-FIND(".",L585,FIND(".",L585)+1)&lt;=2),AND(LEN(L585)-FIND(".",L585,FIND(".",L585)+1)=4,FIND(".",L585)&gt;=2,FIND(".",L585)&lt;=3)),FIND(".",L585,FIND(".",L585)+1)-FIND(".",L585)&gt;=2,FIND(".",L585,FIND(".",L585)+1)-FIND(".",L585)&lt;=3,P585&gt;=2000,P585&lt;=2100,YEAR(S585)=P585,MONTH(S585)=Q585,DAY(S585)=R585),S585,0)),0)</ns0:f>
        <ns0:v>0</ns0:v>
      </ns0:c>
      <ns0:c r="U585" s="0" t="str">
        <ns0:f>IF(Bookings!C585="","Full day",Bookings!C585)</ns0:f>
        <ns0:v>Full day</ns0:v>
      </ns0:c>
      <ns0:c r="V585" s="0" t="str">
        <ns0:f>IF(Bookings!E585="","Full day",Bookings!E585)</ns0:f>
        <ns0:v>Full day</ns0:v>
      </ns0:c>
      <ns0:c r="W585" s="0">
        <ns0:f>IF(J585=0,0,J585+IF(U585="PM",1,0))</ns0:f>
        <ns0:v>0</ns0:v>
      </ns0:c>
      <ns0:c r="X585" s="0">
        <ns0:f>IF(T585=0,0,T585-IF(V585="PM",1,0))</ns0:f>
        <ns0:v>0</ns0:v>
      </ns0:c>
      <ns0:c r="Y585" s="0">
        <ns0:f>IF(J585=0,0,J585+IF(U585="AM",1,0))</ns0:f>
        <ns0:v>0</ns0:v>
      </ns0:c>
      <ns0:c r="Z585" s="0">
        <ns0:f>IF(T585=0,0,T585-IF(V585="AM",1,0))</ns0:f>
        <ns0:v>0</ns0:v>
      </ns0:c>
      <ns0:c r="AA585" s="0">
        <ns0:f>IFERROR(IF(AND(J585&gt;0,'_Engine'!C585&gt;0,MID('_Engine'!W585,WEEKDAY(J585,2),1)="W",COUNTIF(Settings!$F$18:$F$67,J585)=0),1,0),0)</ns0:f>
        <ns0:v>0</ns0:v>
      </ns0:c>
      <ns0:c r="AB585" s="0">
        <ns0:f>IFERROR(IF(AND(T585&gt;0,'_Engine'!C585&gt;0,MID('_Engine'!W585,WEEKDAY(T585,2),1)="W",COUNTIF(Settings!$F$18:$F$67,T585)=0),1,0),0)</ns0:f>
        <ns0:v>0</ns0:v>
      </ns0:c>
      <ns0:c r="AC585" s="0">
        <ns0:f>IF(AND(J585&gt;0,T585&gt;0,W585&lt;=X585),1,0)</ns0:f>
        <ns0:v>0</ns0:v>
      </ns0:c>
      <ns0:c r="AD585" s="0">
        <ns0:f>IF(AND(J585&gt;0,T585&gt;0,Y585&lt;=Z585),1,0)</ns0:f>
        <ns0:v>0</ns0:v>
      </ns0:c>
    </ns0:row>
    <ns0:row r="586">
      <ns0:c r="A586" s="0">
        <ns0:f>IFERROR(IF(ISNUMBER(Bookings!B586),"",TRIM(Bookings!B586&amp;"")),"")</ns0:f>
      </ns0:c>
      <ns0:c r="B586" s="0">
        <ns0:f>IFERROR(SUBSTITUTE(SUBSTITUTE(A586,"/","."),"-","."),"")</ns0:f>
      </ns0:c>
      <ns0:c r="C586" s="0">
        <ns0:f>IFERROR(LEFT(B586,FIND(".",B586)-1),"")</ns0:f>
      </ns0:c>
      <ns0:c r="D586" s="0">
        <ns0:f>IFERROR(MID(B586,FIND(".",B586)+1,FIND(".",B586,FIND(".",B586)+1)-FIND(".",B586)-1),"")</ns0:f>
      </ns0:c>
      <ns0:c r="E586" s="0">
        <ns0:f>IFERROR(MID(B586,FIND(".",B586,FIND(".",B586)+1)+1,99),"")</ns0:f>
        <ns0:v>99</ns0:v>
      </ns0:c>
      <ns0:c r="F586" s="0">
        <ns0:f>IFERROR(IF(FIND(".",B586)=5,--C586,--E586),0)</ns0:f>
        <ns0:v>0</ns0:v>
      </ns0:c>
      <ns0:c r="G586" s="0">
        <ns0:f>IFERROR(--D586,0)</ns0:f>
        <ns0:v>0</ns0:v>
      </ns0:c>
      <ns0:c r="H586" s="0">
        <ns0:f>IFERROR(IF(FIND(".",B586)=5,--E586,--C586),0)</ns0:f>
        <ns0:v>0</ns0:v>
      </ns0:c>
      <ns0:c r="I586" s="0">
        <ns0:f>IFERROR(IF(AND(F586&gt;=2000,F586&lt;=2100,G586&gt;=1,G586&lt;=12,H586&gt;=1,H586&lt;=31),DATE(F586,G586,H586),0),0)</ns0:f>
        <ns0:v>0</ns0:v>
      </ns0:c>
      <ns0:c r="J586" s="0">
        <ns0:f>IFERROR(IF(ISNUMBER(Bookings!B586),IF(AND(Bookings!B586=INT(Bookings!B586),Bookings!B586&gt;=DATE(2000,1,1),Bookings!B586&lt;=DATE(2100,12,31)),Bookings!B586,0),IF(AND(A586&lt;&gt;"",LEN("x"&amp;B586)-LEN(SUBSTITUTE("x"&amp;B586,".",""))=2,OR(1&gt;LEN(B586),MID(B586,1,1)=".",ISNUMBER(FIND("x"&amp;MID(B586,1,1),"x0x1x2x3x4x5x6x7x8x9"))),OR(2&gt;LEN(B586),MID(B586,2,1)=".",ISNUMBER(FIND("x"&amp;MID(B586,2,1),"x0x1x2x3x4x5x6x7x8x9"))),OR(3&gt;LEN(B586),MID(B586,3,1)=".",ISNUMBER(FIND("x"&amp;MID(B586,3,1),"x0x1x2x3x4x5x6x7x8x9"))),OR(4&gt;LEN(B586),MID(B586,4,1)=".",ISNUMBER(FIND("x"&amp;MID(B586,4,1),"x0x1x2x3x4x5x6x7x8x9"))),OR(5&gt;LEN(B586),MID(B586,5,1)=".",ISNUMBER(FIND("x"&amp;MID(B586,5,1),"x0x1x2x3x4x5x6x7x8x9"))),OR(6&gt;LEN(B586),MID(B586,6,1)=".",ISNUMBER(FIND("x"&amp;MID(B586,6,1),"x0x1x2x3x4x5x6x7x8x9"))),OR(7&gt;LEN(B586),MID(B586,7,1)=".",ISNUMBER(FIND("x"&amp;MID(B586,7,1),"x0x1x2x3x4x5x6x7x8x9"))),OR(8&gt;LEN(B586),MID(B586,8,1)=".",ISNUMBER(FIND("x"&amp;MID(B586,8,1),"x0x1x2x3x4x5x6x7x8x9"))),OR(9&gt;LEN(B586),MID(B586,9,1)=".",ISNUMBER(FIND("x"&amp;MID(B586,9,1),"x0x1x2x3x4x5x6x7x8x9"))),OR(10&gt;LEN(B586),MID(B586,10,1)=".",ISNUMBER(FIND("x"&amp;MID(B586,10,1),"x0x1x2x3x4x5x6x7x8x9"))),OR(AND(FIND(".",B586)=5,LEN(B586)-FIND(".",B586,FIND(".",B586)+1)&gt;=1,LEN(B586)-FIND(".",B586,FIND(".",B586)+1)&lt;=2),AND(LEN(B586)-FIND(".",B586,FIND(".",B586)+1)=4,FIND(".",B586)&gt;=2,FIND(".",B586)&lt;=3)),FIND(".",B586,FIND(".",B586)+1)-FIND(".",B586)&gt;=2,FIND(".",B586,FIND(".",B586)+1)-FIND(".",B586)&lt;=3,F586&gt;=2000,F586&lt;=2100,YEAR(I586)=F586,MONTH(I586)=G586,DAY(I586)=H586),I586,0)),0)</ns0:f>
        <ns0:v>0</ns0:v>
      </ns0:c>
      <ns0:c r="K586" s="0">
        <ns0:f>IFERROR(IF(ISNUMBER(Bookings!D586),"",TRIM(Bookings!D586&amp;"")),"")</ns0:f>
      </ns0:c>
      <ns0:c r="L586" s="0">
        <ns0:f>IFERROR(SUBSTITUTE(SUBSTITUTE(K586,"/","."),"-","."),"")</ns0:f>
      </ns0:c>
      <ns0:c r="M586" s="0">
        <ns0:f>IFERROR(LEFT(L586,FIND(".",L586)-1),"")</ns0:f>
      </ns0:c>
      <ns0:c r="N586" s="0">
        <ns0:f>IFERROR(MID(L586,FIND(".",L586)+1,FIND(".",L586,FIND(".",L586)+1)-FIND(".",L586)-1),"")</ns0:f>
      </ns0:c>
      <ns0:c r="O586" s="0">
        <ns0:f>IFERROR(MID(L586,FIND(".",L586,FIND(".",L586)+1)+1,99),"")</ns0:f>
        <ns0:v>99</ns0:v>
      </ns0:c>
      <ns0:c r="P586" s="0">
        <ns0:f>IFERROR(IF(FIND(".",L586)=5,--M586,--O586),0)</ns0:f>
        <ns0:v>0</ns0:v>
      </ns0:c>
      <ns0:c r="Q586" s="0">
        <ns0:f>IFERROR(--N586,0)</ns0:f>
        <ns0:v>0</ns0:v>
      </ns0:c>
      <ns0:c r="R586" s="0">
        <ns0:f>IFERROR(IF(FIND(".",L586)=5,--O586,--M586),0)</ns0:f>
        <ns0:v>0</ns0:v>
      </ns0:c>
      <ns0:c r="S586" s="0">
        <ns0:f>IFERROR(IF(AND(P586&gt;=2000,P586&lt;=2100,Q586&gt;=1,Q586&lt;=12,R586&gt;=1,R586&lt;=31),DATE(P586,Q586,R586),0),0)</ns0:f>
        <ns0:v>0</ns0:v>
      </ns0:c>
      <ns0:c r="T586" s="0">
        <ns0:f>IFERROR(IF(ISNUMBER(Bookings!D586),IF(AND(Bookings!D586=INT(Bookings!D586),Bookings!D586&gt;=DATE(2000,1,1),Bookings!D586&lt;=DATE(2100,12,31)),Bookings!D586,0),IF(AND(K586&lt;&gt;"",LEN("x"&amp;L586)-LEN(SUBSTITUTE("x"&amp;L586,".",""))=2,OR(1&gt;LEN(L586),MID(L586,1,1)=".",ISNUMBER(FIND("x"&amp;MID(L586,1,1),"x0x1x2x3x4x5x6x7x8x9"))),OR(2&gt;LEN(L586),MID(L586,2,1)=".",ISNUMBER(FIND("x"&amp;MID(L586,2,1),"x0x1x2x3x4x5x6x7x8x9"))),OR(3&gt;LEN(L586),MID(L586,3,1)=".",ISNUMBER(FIND("x"&amp;MID(L586,3,1),"x0x1x2x3x4x5x6x7x8x9"))),OR(4&gt;LEN(L586),MID(L586,4,1)=".",ISNUMBER(FIND("x"&amp;MID(L586,4,1),"x0x1x2x3x4x5x6x7x8x9"))),OR(5&gt;LEN(L586),MID(L586,5,1)=".",ISNUMBER(FIND("x"&amp;MID(L586,5,1),"x0x1x2x3x4x5x6x7x8x9"))),OR(6&gt;LEN(L586),MID(L586,6,1)=".",ISNUMBER(FIND("x"&amp;MID(L586,6,1),"x0x1x2x3x4x5x6x7x8x9"))),OR(7&gt;LEN(L586),MID(L586,7,1)=".",ISNUMBER(FIND("x"&amp;MID(L586,7,1),"x0x1x2x3x4x5x6x7x8x9"))),OR(8&gt;LEN(L586),MID(L586,8,1)=".",ISNUMBER(FIND("x"&amp;MID(L586,8,1),"x0x1x2x3x4x5x6x7x8x9"))),OR(9&gt;LEN(L586),MID(L586,9,1)=".",ISNUMBER(FIND("x"&amp;MID(L586,9,1),"x0x1x2x3x4x5x6x7x8x9"))),OR(10&gt;LEN(L586),MID(L586,10,1)=".",ISNUMBER(FIND("x"&amp;MID(L586,10,1),"x0x1x2x3x4x5x6x7x8x9"))),OR(AND(FIND(".",L586)=5,LEN(L586)-FIND(".",L586,FIND(".",L586)+1)&gt;=1,LEN(L586)-FIND(".",L586,FIND(".",L586)+1)&lt;=2),AND(LEN(L586)-FIND(".",L586,FIND(".",L586)+1)=4,FIND(".",L586)&gt;=2,FIND(".",L586)&lt;=3)),FIND(".",L586,FIND(".",L586)+1)-FIND(".",L586)&gt;=2,FIND(".",L586,FIND(".",L586)+1)-FIND(".",L586)&lt;=3,P586&gt;=2000,P586&lt;=2100,YEAR(S586)=P586,MONTH(S586)=Q586,DAY(S586)=R586),S586,0)),0)</ns0:f>
        <ns0:v>0</ns0:v>
      </ns0:c>
      <ns0:c r="U586" s="0" t="str">
        <ns0:f>IF(Bookings!C586="","Full day",Bookings!C586)</ns0:f>
        <ns0:v>Full day</ns0:v>
      </ns0:c>
      <ns0:c r="V586" s="0" t="str">
        <ns0:f>IF(Bookings!E586="","Full day",Bookings!E586)</ns0:f>
        <ns0:v>Full day</ns0:v>
      </ns0:c>
      <ns0:c r="W586" s="0">
        <ns0:f>IF(J586=0,0,J586+IF(U586="PM",1,0))</ns0:f>
        <ns0:v>0</ns0:v>
      </ns0:c>
      <ns0:c r="X586" s="0">
        <ns0:f>IF(T586=0,0,T586-IF(V586="PM",1,0))</ns0:f>
        <ns0:v>0</ns0:v>
      </ns0:c>
      <ns0:c r="Y586" s="0">
        <ns0:f>IF(J586=0,0,J586+IF(U586="AM",1,0))</ns0:f>
        <ns0:v>0</ns0:v>
      </ns0:c>
      <ns0:c r="Z586" s="0">
        <ns0:f>IF(T586=0,0,T586-IF(V586="AM",1,0))</ns0:f>
        <ns0:v>0</ns0:v>
      </ns0:c>
      <ns0:c r="AA586" s="0">
        <ns0:f>IFERROR(IF(AND(J586&gt;0,'_Engine'!C586&gt;0,MID('_Engine'!W586,WEEKDAY(J586,2),1)="W",COUNTIF(Settings!$F$18:$F$67,J586)=0),1,0),0)</ns0:f>
        <ns0:v>0</ns0:v>
      </ns0:c>
      <ns0:c r="AB586" s="0">
        <ns0:f>IFERROR(IF(AND(T586&gt;0,'_Engine'!C586&gt;0,MID('_Engine'!W586,WEEKDAY(T586,2),1)="W",COUNTIF(Settings!$F$18:$F$67,T586)=0),1,0),0)</ns0:f>
        <ns0:v>0</ns0:v>
      </ns0:c>
      <ns0:c r="AC586" s="0">
        <ns0:f>IF(AND(J586&gt;0,T586&gt;0,W586&lt;=X586),1,0)</ns0:f>
        <ns0:v>0</ns0:v>
      </ns0:c>
      <ns0:c r="AD586" s="0">
        <ns0:f>IF(AND(J586&gt;0,T586&gt;0,Y586&lt;=Z586),1,0)</ns0:f>
        <ns0:v>0</ns0:v>
      </ns0:c>
    </ns0:row>
    <ns0:row r="587">
      <ns0:c r="A587" s="0">
        <ns0:f>IFERROR(IF(ISNUMBER(Bookings!B587),"",TRIM(Bookings!B587&amp;"")),"")</ns0:f>
      </ns0:c>
      <ns0:c r="B587" s="0">
        <ns0:f>IFERROR(SUBSTITUTE(SUBSTITUTE(A587,"/","."),"-","."),"")</ns0:f>
      </ns0:c>
      <ns0:c r="C587" s="0">
        <ns0:f>IFERROR(LEFT(B587,FIND(".",B587)-1),"")</ns0:f>
      </ns0:c>
      <ns0:c r="D587" s="0">
        <ns0:f>IFERROR(MID(B587,FIND(".",B587)+1,FIND(".",B587,FIND(".",B587)+1)-FIND(".",B587)-1),"")</ns0:f>
      </ns0:c>
      <ns0:c r="E587" s="0">
        <ns0:f>IFERROR(MID(B587,FIND(".",B587,FIND(".",B587)+1)+1,99),"")</ns0:f>
        <ns0:v>99</ns0:v>
      </ns0:c>
      <ns0:c r="F587" s="0">
        <ns0:f>IFERROR(IF(FIND(".",B587)=5,--C587,--E587),0)</ns0:f>
        <ns0:v>0</ns0:v>
      </ns0:c>
      <ns0:c r="G587" s="0">
        <ns0:f>IFERROR(--D587,0)</ns0:f>
        <ns0:v>0</ns0:v>
      </ns0:c>
      <ns0:c r="H587" s="0">
        <ns0:f>IFERROR(IF(FIND(".",B587)=5,--E587,--C587),0)</ns0:f>
        <ns0:v>0</ns0:v>
      </ns0:c>
      <ns0:c r="I587" s="0">
        <ns0:f>IFERROR(IF(AND(F587&gt;=2000,F587&lt;=2100,G587&gt;=1,G587&lt;=12,H587&gt;=1,H587&lt;=31),DATE(F587,G587,H587),0),0)</ns0:f>
        <ns0:v>0</ns0:v>
      </ns0:c>
      <ns0:c r="J587" s="0">
        <ns0:f>IFERROR(IF(ISNUMBER(Bookings!B587),IF(AND(Bookings!B587=INT(Bookings!B587),Bookings!B587&gt;=DATE(2000,1,1),Bookings!B587&lt;=DATE(2100,12,31)),Bookings!B587,0),IF(AND(A587&lt;&gt;"",LEN("x"&amp;B587)-LEN(SUBSTITUTE("x"&amp;B587,".",""))=2,OR(1&gt;LEN(B587),MID(B587,1,1)=".",ISNUMBER(FIND("x"&amp;MID(B587,1,1),"x0x1x2x3x4x5x6x7x8x9"))),OR(2&gt;LEN(B587),MID(B587,2,1)=".",ISNUMBER(FIND("x"&amp;MID(B587,2,1),"x0x1x2x3x4x5x6x7x8x9"))),OR(3&gt;LEN(B587),MID(B587,3,1)=".",ISNUMBER(FIND("x"&amp;MID(B587,3,1),"x0x1x2x3x4x5x6x7x8x9"))),OR(4&gt;LEN(B587),MID(B587,4,1)=".",ISNUMBER(FIND("x"&amp;MID(B587,4,1),"x0x1x2x3x4x5x6x7x8x9"))),OR(5&gt;LEN(B587),MID(B587,5,1)=".",ISNUMBER(FIND("x"&amp;MID(B587,5,1),"x0x1x2x3x4x5x6x7x8x9"))),OR(6&gt;LEN(B587),MID(B587,6,1)=".",ISNUMBER(FIND("x"&amp;MID(B587,6,1),"x0x1x2x3x4x5x6x7x8x9"))),OR(7&gt;LEN(B587),MID(B587,7,1)=".",ISNUMBER(FIND("x"&amp;MID(B587,7,1),"x0x1x2x3x4x5x6x7x8x9"))),OR(8&gt;LEN(B587),MID(B587,8,1)=".",ISNUMBER(FIND("x"&amp;MID(B587,8,1),"x0x1x2x3x4x5x6x7x8x9"))),OR(9&gt;LEN(B587),MID(B587,9,1)=".",ISNUMBER(FIND("x"&amp;MID(B587,9,1),"x0x1x2x3x4x5x6x7x8x9"))),OR(10&gt;LEN(B587),MID(B587,10,1)=".",ISNUMBER(FIND("x"&amp;MID(B587,10,1),"x0x1x2x3x4x5x6x7x8x9"))),OR(AND(FIND(".",B587)=5,LEN(B587)-FIND(".",B587,FIND(".",B587)+1)&gt;=1,LEN(B587)-FIND(".",B587,FIND(".",B587)+1)&lt;=2),AND(LEN(B587)-FIND(".",B587,FIND(".",B587)+1)=4,FIND(".",B587)&gt;=2,FIND(".",B587)&lt;=3)),FIND(".",B587,FIND(".",B587)+1)-FIND(".",B587)&gt;=2,FIND(".",B587,FIND(".",B587)+1)-FIND(".",B587)&lt;=3,F587&gt;=2000,F587&lt;=2100,YEAR(I587)=F587,MONTH(I587)=G587,DAY(I587)=H587),I587,0)),0)</ns0:f>
        <ns0:v>0</ns0:v>
      </ns0:c>
      <ns0:c r="K587" s="0">
        <ns0:f>IFERROR(IF(ISNUMBER(Bookings!D587),"",TRIM(Bookings!D587&amp;"")),"")</ns0:f>
      </ns0:c>
      <ns0:c r="L587" s="0">
        <ns0:f>IFERROR(SUBSTITUTE(SUBSTITUTE(K587,"/","."),"-","."),"")</ns0:f>
      </ns0:c>
      <ns0:c r="M587" s="0">
        <ns0:f>IFERROR(LEFT(L587,FIND(".",L587)-1),"")</ns0:f>
      </ns0:c>
      <ns0:c r="N587" s="0">
        <ns0:f>IFERROR(MID(L587,FIND(".",L587)+1,FIND(".",L587,FIND(".",L587)+1)-FIND(".",L587)-1),"")</ns0:f>
      </ns0:c>
      <ns0:c r="O587" s="0">
        <ns0:f>IFERROR(MID(L587,FIND(".",L587,FIND(".",L587)+1)+1,99),"")</ns0:f>
        <ns0:v>99</ns0:v>
      </ns0:c>
      <ns0:c r="P587" s="0">
        <ns0:f>IFERROR(IF(FIND(".",L587)=5,--M587,--O587),0)</ns0:f>
        <ns0:v>0</ns0:v>
      </ns0:c>
      <ns0:c r="Q587" s="0">
        <ns0:f>IFERROR(--N587,0)</ns0:f>
        <ns0:v>0</ns0:v>
      </ns0:c>
      <ns0:c r="R587" s="0">
        <ns0:f>IFERROR(IF(FIND(".",L587)=5,--O587,--M587),0)</ns0:f>
        <ns0:v>0</ns0:v>
      </ns0:c>
      <ns0:c r="S587" s="0">
        <ns0:f>IFERROR(IF(AND(P587&gt;=2000,P587&lt;=2100,Q587&gt;=1,Q587&lt;=12,R587&gt;=1,R587&lt;=31),DATE(P587,Q587,R587),0),0)</ns0:f>
        <ns0:v>0</ns0:v>
      </ns0:c>
      <ns0:c r="T587" s="0">
        <ns0:f>IFERROR(IF(ISNUMBER(Bookings!D587),IF(AND(Bookings!D587=INT(Bookings!D587),Bookings!D587&gt;=DATE(2000,1,1),Bookings!D587&lt;=DATE(2100,12,31)),Bookings!D587,0),IF(AND(K587&lt;&gt;"",LEN("x"&amp;L587)-LEN(SUBSTITUTE("x"&amp;L587,".",""))=2,OR(1&gt;LEN(L587),MID(L587,1,1)=".",ISNUMBER(FIND("x"&amp;MID(L587,1,1),"x0x1x2x3x4x5x6x7x8x9"))),OR(2&gt;LEN(L587),MID(L587,2,1)=".",ISNUMBER(FIND("x"&amp;MID(L587,2,1),"x0x1x2x3x4x5x6x7x8x9"))),OR(3&gt;LEN(L587),MID(L587,3,1)=".",ISNUMBER(FIND("x"&amp;MID(L587,3,1),"x0x1x2x3x4x5x6x7x8x9"))),OR(4&gt;LEN(L587),MID(L587,4,1)=".",ISNUMBER(FIND("x"&amp;MID(L587,4,1),"x0x1x2x3x4x5x6x7x8x9"))),OR(5&gt;LEN(L587),MID(L587,5,1)=".",ISNUMBER(FIND("x"&amp;MID(L587,5,1),"x0x1x2x3x4x5x6x7x8x9"))),OR(6&gt;LEN(L587),MID(L587,6,1)=".",ISNUMBER(FIND("x"&amp;MID(L587,6,1),"x0x1x2x3x4x5x6x7x8x9"))),OR(7&gt;LEN(L587),MID(L587,7,1)=".",ISNUMBER(FIND("x"&amp;MID(L587,7,1),"x0x1x2x3x4x5x6x7x8x9"))),OR(8&gt;LEN(L587),MID(L587,8,1)=".",ISNUMBER(FIND("x"&amp;MID(L587,8,1),"x0x1x2x3x4x5x6x7x8x9"))),OR(9&gt;LEN(L587),MID(L587,9,1)=".",ISNUMBER(FIND("x"&amp;MID(L587,9,1),"x0x1x2x3x4x5x6x7x8x9"))),OR(10&gt;LEN(L587),MID(L587,10,1)=".",ISNUMBER(FIND("x"&amp;MID(L587,10,1),"x0x1x2x3x4x5x6x7x8x9"))),OR(AND(FIND(".",L587)=5,LEN(L587)-FIND(".",L587,FIND(".",L587)+1)&gt;=1,LEN(L587)-FIND(".",L587,FIND(".",L587)+1)&lt;=2),AND(LEN(L587)-FIND(".",L587,FIND(".",L587)+1)=4,FIND(".",L587)&gt;=2,FIND(".",L587)&lt;=3)),FIND(".",L587,FIND(".",L587)+1)-FIND(".",L587)&gt;=2,FIND(".",L587,FIND(".",L587)+1)-FIND(".",L587)&lt;=3,P587&gt;=2000,P587&lt;=2100,YEAR(S587)=P587,MONTH(S587)=Q587,DAY(S587)=R587),S587,0)),0)</ns0:f>
        <ns0:v>0</ns0:v>
      </ns0:c>
      <ns0:c r="U587" s="0" t="str">
        <ns0:f>IF(Bookings!C587="","Full day",Bookings!C587)</ns0:f>
        <ns0:v>Full day</ns0:v>
      </ns0:c>
      <ns0:c r="V587" s="0" t="str">
        <ns0:f>IF(Bookings!E587="","Full day",Bookings!E587)</ns0:f>
        <ns0:v>Full day</ns0:v>
      </ns0:c>
      <ns0:c r="W587" s="0">
        <ns0:f>IF(J587=0,0,J587+IF(U587="PM",1,0))</ns0:f>
        <ns0:v>0</ns0:v>
      </ns0:c>
      <ns0:c r="X587" s="0">
        <ns0:f>IF(T587=0,0,T587-IF(V587="PM",1,0))</ns0:f>
        <ns0:v>0</ns0:v>
      </ns0:c>
      <ns0:c r="Y587" s="0">
        <ns0:f>IF(J587=0,0,J587+IF(U587="AM",1,0))</ns0:f>
        <ns0:v>0</ns0:v>
      </ns0:c>
      <ns0:c r="Z587" s="0">
        <ns0:f>IF(T587=0,0,T587-IF(V587="AM",1,0))</ns0:f>
        <ns0:v>0</ns0:v>
      </ns0:c>
      <ns0:c r="AA587" s="0">
        <ns0:f>IFERROR(IF(AND(J587&gt;0,'_Engine'!C587&gt;0,MID('_Engine'!W587,WEEKDAY(J587,2),1)="W",COUNTIF(Settings!$F$18:$F$67,J587)=0),1,0),0)</ns0:f>
        <ns0:v>0</ns0:v>
      </ns0:c>
      <ns0:c r="AB587" s="0">
        <ns0:f>IFERROR(IF(AND(T587&gt;0,'_Engine'!C587&gt;0,MID('_Engine'!W587,WEEKDAY(T587,2),1)="W",COUNTIF(Settings!$F$18:$F$67,T587)=0),1,0),0)</ns0:f>
        <ns0:v>0</ns0:v>
      </ns0:c>
      <ns0:c r="AC587" s="0">
        <ns0:f>IF(AND(J587&gt;0,T587&gt;0,W587&lt;=X587),1,0)</ns0:f>
        <ns0:v>0</ns0:v>
      </ns0:c>
      <ns0:c r="AD587" s="0">
        <ns0:f>IF(AND(J587&gt;0,T587&gt;0,Y587&lt;=Z587),1,0)</ns0:f>
        <ns0:v>0</ns0:v>
      </ns0:c>
    </ns0:row>
    <ns0:row r="588">
      <ns0:c r="A588" s="0">
        <ns0:f>IFERROR(IF(ISNUMBER(Bookings!B588),"",TRIM(Bookings!B588&amp;"")),"")</ns0:f>
      </ns0:c>
      <ns0:c r="B588" s="0">
        <ns0:f>IFERROR(SUBSTITUTE(SUBSTITUTE(A588,"/","."),"-","."),"")</ns0:f>
      </ns0:c>
      <ns0:c r="C588" s="0">
        <ns0:f>IFERROR(LEFT(B588,FIND(".",B588)-1),"")</ns0:f>
      </ns0:c>
      <ns0:c r="D588" s="0">
        <ns0:f>IFERROR(MID(B588,FIND(".",B588)+1,FIND(".",B588,FIND(".",B588)+1)-FIND(".",B588)-1),"")</ns0:f>
      </ns0:c>
      <ns0:c r="E588" s="0">
        <ns0:f>IFERROR(MID(B588,FIND(".",B588,FIND(".",B588)+1)+1,99),"")</ns0:f>
        <ns0:v>99</ns0:v>
      </ns0:c>
      <ns0:c r="F588" s="0">
        <ns0:f>IFERROR(IF(FIND(".",B588)=5,--C588,--E588),0)</ns0:f>
        <ns0:v>0</ns0:v>
      </ns0:c>
      <ns0:c r="G588" s="0">
        <ns0:f>IFERROR(--D588,0)</ns0:f>
        <ns0:v>0</ns0:v>
      </ns0:c>
      <ns0:c r="H588" s="0">
        <ns0:f>IFERROR(IF(FIND(".",B588)=5,--E588,--C588),0)</ns0:f>
        <ns0:v>0</ns0:v>
      </ns0:c>
      <ns0:c r="I588" s="0">
        <ns0:f>IFERROR(IF(AND(F588&gt;=2000,F588&lt;=2100,G588&gt;=1,G588&lt;=12,H588&gt;=1,H588&lt;=31),DATE(F588,G588,H588),0),0)</ns0:f>
        <ns0:v>0</ns0:v>
      </ns0:c>
      <ns0:c r="J588" s="0">
        <ns0:f>IFERROR(IF(ISNUMBER(Bookings!B588),IF(AND(Bookings!B588=INT(Bookings!B588),Bookings!B588&gt;=DATE(2000,1,1),Bookings!B588&lt;=DATE(2100,12,31)),Bookings!B588,0),IF(AND(A588&lt;&gt;"",LEN("x"&amp;B588)-LEN(SUBSTITUTE("x"&amp;B588,".",""))=2,OR(1&gt;LEN(B588),MID(B588,1,1)=".",ISNUMBER(FIND("x"&amp;MID(B588,1,1),"x0x1x2x3x4x5x6x7x8x9"))),OR(2&gt;LEN(B588),MID(B588,2,1)=".",ISNUMBER(FIND("x"&amp;MID(B588,2,1),"x0x1x2x3x4x5x6x7x8x9"))),OR(3&gt;LEN(B588),MID(B588,3,1)=".",ISNUMBER(FIND("x"&amp;MID(B588,3,1),"x0x1x2x3x4x5x6x7x8x9"))),OR(4&gt;LEN(B588),MID(B588,4,1)=".",ISNUMBER(FIND("x"&amp;MID(B588,4,1),"x0x1x2x3x4x5x6x7x8x9"))),OR(5&gt;LEN(B588),MID(B588,5,1)=".",ISNUMBER(FIND("x"&amp;MID(B588,5,1),"x0x1x2x3x4x5x6x7x8x9"))),OR(6&gt;LEN(B588),MID(B588,6,1)=".",ISNUMBER(FIND("x"&amp;MID(B588,6,1),"x0x1x2x3x4x5x6x7x8x9"))),OR(7&gt;LEN(B588),MID(B588,7,1)=".",ISNUMBER(FIND("x"&amp;MID(B588,7,1),"x0x1x2x3x4x5x6x7x8x9"))),OR(8&gt;LEN(B588),MID(B588,8,1)=".",ISNUMBER(FIND("x"&amp;MID(B588,8,1),"x0x1x2x3x4x5x6x7x8x9"))),OR(9&gt;LEN(B588),MID(B588,9,1)=".",ISNUMBER(FIND("x"&amp;MID(B588,9,1),"x0x1x2x3x4x5x6x7x8x9"))),OR(10&gt;LEN(B588),MID(B588,10,1)=".",ISNUMBER(FIND("x"&amp;MID(B588,10,1),"x0x1x2x3x4x5x6x7x8x9"))),OR(AND(FIND(".",B588)=5,LEN(B588)-FIND(".",B588,FIND(".",B588)+1)&gt;=1,LEN(B588)-FIND(".",B588,FIND(".",B588)+1)&lt;=2),AND(LEN(B588)-FIND(".",B588,FIND(".",B588)+1)=4,FIND(".",B588)&gt;=2,FIND(".",B588)&lt;=3)),FIND(".",B588,FIND(".",B588)+1)-FIND(".",B588)&gt;=2,FIND(".",B588,FIND(".",B588)+1)-FIND(".",B588)&lt;=3,F588&gt;=2000,F588&lt;=2100,YEAR(I588)=F588,MONTH(I588)=G588,DAY(I588)=H588),I588,0)),0)</ns0:f>
        <ns0:v>0</ns0:v>
      </ns0:c>
      <ns0:c r="K588" s="0">
        <ns0:f>IFERROR(IF(ISNUMBER(Bookings!D588),"",TRIM(Bookings!D588&amp;"")),"")</ns0:f>
      </ns0:c>
      <ns0:c r="L588" s="0">
        <ns0:f>IFERROR(SUBSTITUTE(SUBSTITUTE(K588,"/","."),"-","."),"")</ns0:f>
      </ns0:c>
      <ns0:c r="M588" s="0">
        <ns0:f>IFERROR(LEFT(L588,FIND(".",L588)-1),"")</ns0:f>
      </ns0:c>
      <ns0:c r="N588" s="0">
        <ns0:f>IFERROR(MID(L588,FIND(".",L588)+1,FIND(".",L588,FIND(".",L588)+1)-FIND(".",L588)-1),"")</ns0:f>
      </ns0:c>
      <ns0:c r="O588" s="0">
        <ns0:f>IFERROR(MID(L588,FIND(".",L588,FIND(".",L588)+1)+1,99),"")</ns0:f>
        <ns0:v>99</ns0:v>
      </ns0:c>
      <ns0:c r="P588" s="0">
        <ns0:f>IFERROR(IF(FIND(".",L588)=5,--M588,--O588),0)</ns0:f>
        <ns0:v>0</ns0:v>
      </ns0:c>
      <ns0:c r="Q588" s="0">
        <ns0:f>IFERROR(--N588,0)</ns0:f>
        <ns0:v>0</ns0:v>
      </ns0:c>
      <ns0:c r="R588" s="0">
        <ns0:f>IFERROR(IF(FIND(".",L588)=5,--O588,--M588),0)</ns0:f>
        <ns0:v>0</ns0:v>
      </ns0:c>
      <ns0:c r="S588" s="0">
        <ns0:f>IFERROR(IF(AND(P588&gt;=2000,P588&lt;=2100,Q588&gt;=1,Q588&lt;=12,R588&gt;=1,R588&lt;=31),DATE(P588,Q588,R588),0),0)</ns0:f>
        <ns0:v>0</ns0:v>
      </ns0:c>
      <ns0:c r="T588" s="0">
        <ns0:f>IFERROR(IF(ISNUMBER(Bookings!D588),IF(AND(Bookings!D588=INT(Bookings!D588),Bookings!D588&gt;=DATE(2000,1,1),Bookings!D588&lt;=DATE(2100,12,31)),Bookings!D588,0),IF(AND(K588&lt;&gt;"",LEN("x"&amp;L588)-LEN(SUBSTITUTE("x"&amp;L588,".",""))=2,OR(1&gt;LEN(L588),MID(L588,1,1)=".",ISNUMBER(FIND("x"&amp;MID(L588,1,1),"x0x1x2x3x4x5x6x7x8x9"))),OR(2&gt;LEN(L588),MID(L588,2,1)=".",ISNUMBER(FIND("x"&amp;MID(L588,2,1),"x0x1x2x3x4x5x6x7x8x9"))),OR(3&gt;LEN(L588),MID(L588,3,1)=".",ISNUMBER(FIND("x"&amp;MID(L588,3,1),"x0x1x2x3x4x5x6x7x8x9"))),OR(4&gt;LEN(L588),MID(L588,4,1)=".",ISNUMBER(FIND("x"&amp;MID(L588,4,1),"x0x1x2x3x4x5x6x7x8x9"))),OR(5&gt;LEN(L588),MID(L588,5,1)=".",ISNUMBER(FIND("x"&amp;MID(L588,5,1),"x0x1x2x3x4x5x6x7x8x9"))),OR(6&gt;LEN(L588),MID(L588,6,1)=".",ISNUMBER(FIND("x"&amp;MID(L588,6,1),"x0x1x2x3x4x5x6x7x8x9"))),OR(7&gt;LEN(L588),MID(L588,7,1)=".",ISNUMBER(FIND("x"&amp;MID(L588,7,1),"x0x1x2x3x4x5x6x7x8x9"))),OR(8&gt;LEN(L588),MID(L588,8,1)=".",ISNUMBER(FIND("x"&amp;MID(L588,8,1),"x0x1x2x3x4x5x6x7x8x9"))),OR(9&gt;LEN(L588),MID(L588,9,1)=".",ISNUMBER(FIND("x"&amp;MID(L588,9,1),"x0x1x2x3x4x5x6x7x8x9"))),OR(10&gt;LEN(L588),MID(L588,10,1)=".",ISNUMBER(FIND("x"&amp;MID(L588,10,1),"x0x1x2x3x4x5x6x7x8x9"))),OR(AND(FIND(".",L588)=5,LEN(L588)-FIND(".",L588,FIND(".",L588)+1)&gt;=1,LEN(L588)-FIND(".",L588,FIND(".",L588)+1)&lt;=2),AND(LEN(L588)-FIND(".",L588,FIND(".",L588)+1)=4,FIND(".",L588)&gt;=2,FIND(".",L588)&lt;=3)),FIND(".",L588,FIND(".",L588)+1)-FIND(".",L588)&gt;=2,FIND(".",L588,FIND(".",L588)+1)-FIND(".",L588)&lt;=3,P588&gt;=2000,P588&lt;=2100,YEAR(S588)=P588,MONTH(S588)=Q588,DAY(S588)=R588),S588,0)),0)</ns0:f>
        <ns0:v>0</ns0:v>
      </ns0:c>
      <ns0:c r="U588" s="0" t="str">
        <ns0:f>IF(Bookings!C588="","Full day",Bookings!C588)</ns0:f>
        <ns0:v>Full day</ns0:v>
      </ns0:c>
      <ns0:c r="V588" s="0" t="str">
        <ns0:f>IF(Bookings!E588="","Full day",Bookings!E588)</ns0:f>
        <ns0:v>Full day</ns0:v>
      </ns0:c>
      <ns0:c r="W588" s="0">
        <ns0:f>IF(J588=0,0,J588+IF(U588="PM",1,0))</ns0:f>
        <ns0:v>0</ns0:v>
      </ns0:c>
      <ns0:c r="X588" s="0">
        <ns0:f>IF(T588=0,0,T588-IF(V588="PM",1,0))</ns0:f>
        <ns0:v>0</ns0:v>
      </ns0:c>
      <ns0:c r="Y588" s="0">
        <ns0:f>IF(J588=0,0,J588+IF(U588="AM",1,0))</ns0:f>
        <ns0:v>0</ns0:v>
      </ns0:c>
      <ns0:c r="Z588" s="0">
        <ns0:f>IF(T588=0,0,T588-IF(V588="AM",1,0))</ns0:f>
        <ns0:v>0</ns0:v>
      </ns0:c>
      <ns0:c r="AA588" s="0">
        <ns0:f>IFERROR(IF(AND(J588&gt;0,'_Engine'!C588&gt;0,MID('_Engine'!W588,WEEKDAY(J588,2),1)="W",COUNTIF(Settings!$F$18:$F$67,J588)=0),1,0),0)</ns0:f>
        <ns0:v>0</ns0:v>
      </ns0:c>
      <ns0:c r="AB588" s="0">
        <ns0:f>IFERROR(IF(AND(T588&gt;0,'_Engine'!C588&gt;0,MID('_Engine'!W588,WEEKDAY(T588,2),1)="W",COUNTIF(Settings!$F$18:$F$67,T588)=0),1,0),0)</ns0:f>
        <ns0:v>0</ns0:v>
      </ns0:c>
      <ns0:c r="AC588" s="0">
        <ns0:f>IF(AND(J588&gt;0,T588&gt;0,W588&lt;=X588),1,0)</ns0:f>
        <ns0:v>0</ns0:v>
      </ns0:c>
      <ns0:c r="AD588" s="0">
        <ns0:f>IF(AND(J588&gt;0,T588&gt;0,Y588&lt;=Z588),1,0)</ns0:f>
        <ns0:v>0</ns0:v>
      </ns0:c>
    </ns0:row>
    <ns0:row r="589">
      <ns0:c r="A589" s="0">
        <ns0:f>IFERROR(IF(ISNUMBER(Bookings!B589),"",TRIM(Bookings!B589&amp;"")),"")</ns0:f>
      </ns0:c>
      <ns0:c r="B589" s="0">
        <ns0:f>IFERROR(SUBSTITUTE(SUBSTITUTE(A589,"/","."),"-","."),"")</ns0:f>
      </ns0:c>
      <ns0:c r="C589" s="0">
        <ns0:f>IFERROR(LEFT(B589,FIND(".",B589)-1),"")</ns0:f>
      </ns0:c>
      <ns0:c r="D589" s="0">
        <ns0:f>IFERROR(MID(B589,FIND(".",B589)+1,FIND(".",B589,FIND(".",B589)+1)-FIND(".",B589)-1),"")</ns0:f>
      </ns0:c>
      <ns0:c r="E589" s="0">
        <ns0:f>IFERROR(MID(B589,FIND(".",B589,FIND(".",B589)+1)+1,99),"")</ns0:f>
        <ns0:v>99</ns0:v>
      </ns0:c>
      <ns0:c r="F589" s="0">
        <ns0:f>IFERROR(IF(FIND(".",B589)=5,--C589,--E589),0)</ns0:f>
        <ns0:v>0</ns0:v>
      </ns0:c>
      <ns0:c r="G589" s="0">
        <ns0:f>IFERROR(--D589,0)</ns0:f>
        <ns0:v>0</ns0:v>
      </ns0:c>
      <ns0:c r="H589" s="0">
        <ns0:f>IFERROR(IF(FIND(".",B589)=5,--E589,--C589),0)</ns0:f>
        <ns0:v>0</ns0:v>
      </ns0:c>
      <ns0:c r="I589" s="0">
        <ns0:f>IFERROR(IF(AND(F589&gt;=2000,F589&lt;=2100,G589&gt;=1,G589&lt;=12,H589&gt;=1,H589&lt;=31),DATE(F589,G589,H589),0),0)</ns0:f>
        <ns0:v>0</ns0:v>
      </ns0:c>
      <ns0:c r="J589" s="0">
        <ns0:f>IFERROR(IF(ISNUMBER(Bookings!B589),IF(AND(Bookings!B589=INT(Bookings!B589),Bookings!B589&gt;=DATE(2000,1,1),Bookings!B589&lt;=DATE(2100,12,31)),Bookings!B589,0),IF(AND(A589&lt;&gt;"",LEN("x"&amp;B589)-LEN(SUBSTITUTE("x"&amp;B589,".",""))=2,OR(1&gt;LEN(B589),MID(B589,1,1)=".",ISNUMBER(FIND("x"&amp;MID(B589,1,1),"x0x1x2x3x4x5x6x7x8x9"))),OR(2&gt;LEN(B589),MID(B589,2,1)=".",ISNUMBER(FIND("x"&amp;MID(B589,2,1),"x0x1x2x3x4x5x6x7x8x9"))),OR(3&gt;LEN(B589),MID(B589,3,1)=".",ISNUMBER(FIND("x"&amp;MID(B589,3,1),"x0x1x2x3x4x5x6x7x8x9"))),OR(4&gt;LEN(B589),MID(B589,4,1)=".",ISNUMBER(FIND("x"&amp;MID(B589,4,1),"x0x1x2x3x4x5x6x7x8x9"))),OR(5&gt;LEN(B589),MID(B589,5,1)=".",ISNUMBER(FIND("x"&amp;MID(B589,5,1),"x0x1x2x3x4x5x6x7x8x9"))),OR(6&gt;LEN(B589),MID(B589,6,1)=".",ISNUMBER(FIND("x"&amp;MID(B589,6,1),"x0x1x2x3x4x5x6x7x8x9"))),OR(7&gt;LEN(B589),MID(B589,7,1)=".",ISNUMBER(FIND("x"&amp;MID(B589,7,1),"x0x1x2x3x4x5x6x7x8x9"))),OR(8&gt;LEN(B589),MID(B589,8,1)=".",ISNUMBER(FIND("x"&amp;MID(B589,8,1),"x0x1x2x3x4x5x6x7x8x9"))),OR(9&gt;LEN(B589),MID(B589,9,1)=".",ISNUMBER(FIND("x"&amp;MID(B589,9,1),"x0x1x2x3x4x5x6x7x8x9"))),OR(10&gt;LEN(B589),MID(B589,10,1)=".",ISNUMBER(FIND("x"&amp;MID(B589,10,1),"x0x1x2x3x4x5x6x7x8x9"))),OR(AND(FIND(".",B589)=5,LEN(B589)-FIND(".",B589,FIND(".",B589)+1)&gt;=1,LEN(B589)-FIND(".",B589,FIND(".",B589)+1)&lt;=2),AND(LEN(B589)-FIND(".",B589,FIND(".",B589)+1)=4,FIND(".",B589)&gt;=2,FIND(".",B589)&lt;=3)),FIND(".",B589,FIND(".",B589)+1)-FIND(".",B589)&gt;=2,FIND(".",B589,FIND(".",B589)+1)-FIND(".",B589)&lt;=3,F589&gt;=2000,F589&lt;=2100,YEAR(I589)=F589,MONTH(I589)=G589,DAY(I589)=H589),I589,0)),0)</ns0:f>
        <ns0:v>0</ns0:v>
      </ns0:c>
      <ns0:c r="K589" s="0">
        <ns0:f>IFERROR(IF(ISNUMBER(Bookings!D589),"",TRIM(Bookings!D589&amp;"")),"")</ns0:f>
      </ns0:c>
      <ns0:c r="L589" s="0">
        <ns0:f>IFERROR(SUBSTITUTE(SUBSTITUTE(K589,"/","."),"-","."),"")</ns0:f>
      </ns0:c>
      <ns0:c r="M589" s="0">
        <ns0:f>IFERROR(LEFT(L589,FIND(".",L589)-1),"")</ns0:f>
      </ns0:c>
      <ns0:c r="N589" s="0">
        <ns0:f>IFERROR(MID(L589,FIND(".",L589)+1,FIND(".",L589,FIND(".",L589)+1)-FIND(".",L589)-1),"")</ns0:f>
      </ns0:c>
      <ns0:c r="O589" s="0">
        <ns0:f>IFERROR(MID(L589,FIND(".",L589,FIND(".",L589)+1)+1,99),"")</ns0:f>
        <ns0:v>99</ns0:v>
      </ns0:c>
      <ns0:c r="P589" s="0">
        <ns0:f>IFERROR(IF(FIND(".",L589)=5,--M589,--O589),0)</ns0:f>
        <ns0:v>0</ns0:v>
      </ns0:c>
      <ns0:c r="Q589" s="0">
        <ns0:f>IFERROR(--N589,0)</ns0:f>
        <ns0:v>0</ns0:v>
      </ns0:c>
      <ns0:c r="R589" s="0">
        <ns0:f>IFERROR(IF(FIND(".",L589)=5,--O589,--M589),0)</ns0:f>
        <ns0:v>0</ns0:v>
      </ns0:c>
      <ns0:c r="S589" s="0">
        <ns0:f>IFERROR(IF(AND(P589&gt;=2000,P589&lt;=2100,Q589&gt;=1,Q589&lt;=12,R589&gt;=1,R589&lt;=31),DATE(P589,Q589,R589),0),0)</ns0:f>
        <ns0:v>0</ns0:v>
      </ns0:c>
      <ns0:c r="T589" s="0">
        <ns0:f>IFERROR(IF(ISNUMBER(Bookings!D589),IF(AND(Bookings!D589=INT(Bookings!D589),Bookings!D589&gt;=DATE(2000,1,1),Bookings!D589&lt;=DATE(2100,12,31)),Bookings!D589,0),IF(AND(K589&lt;&gt;"",LEN("x"&amp;L589)-LEN(SUBSTITUTE("x"&amp;L589,".",""))=2,OR(1&gt;LEN(L589),MID(L589,1,1)=".",ISNUMBER(FIND("x"&amp;MID(L589,1,1),"x0x1x2x3x4x5x6x7x8x9"))),OR(2&gt;LEN(L589),MID(L589,2,1)=".",ISNUMBER(FIND("x"&amp;MID(L589,2,1),"x0x1x2x3x4x5x6x7x8x9"))),OR(3&gt;LEN(L589),MID(L589,3,1)=".",ISNUMBER(FIND("x"&amp;MID(L589,3,1),"x0x1x2x3x4x5x6x7x8x9"))),OR(4&gt;LEN(L589),MID(L589,4,1)=".",ISNUMBER(FIND("x"&amp;MID(L589,4,1),"x0x1x2x3x4x5x6x7x8x9"))),OR(5&gt;LEN(L589),MID(L589,5,1)=".",ISNUMBER(FIND("x"&amp;MID(L589,5,1),"x0x1x2x3x4x5x6x7x8x9"))),OR(6&gt;LEN(L589),MID(L589,6,1)=".",ISNUMBER(FIND("x"&amp;MID(L589,6,1),"x0x1x2x3x4x5x6x7x8x9"))),OR(7&gt;LEN(L589),MID(L589,7,1)=".",ISNUMBER(FIND("x"&amp;MID(L589,7,1),"x0x1x2x3x4x5x6x7x8x9"))),OR(8&gt;LEN(L589),MID(L589,8,1)=".",ISNUMBER(FIND("x"&amp;MID(L589,8,1),"x0x1x2x3x4x5x6x7x8x9"))),OR(9&gt;LEN(L589),MID(L589,9,1)=".",ISNUMBER(FIND("x"&amp;MID(L589,9,1),"x0x1x2x3x4x5x6x7x8x9"))),OR(10&gt;LEN(L589),MID(L589,10,1)=".",ISNUMBER(FIND("x"&amp;MID(L589,10,1),"x0x1x2x3x4x5x6x7x8x9"))),OR(AND(FIND(".",L589)=5,LEN(L589)-FIND(".",L589,FIND(".",L589)+1)&gt;=1,LEN(L589)-FIND(".",L589,FIND(".",L589)+1)&lt;=2),AND(LEN(L589)-FIND(".",L589,FIND(".",L589)+1)=4,FIND(".",L589)&gt;=2,FIND(".",L589)&lt;=3)),FIND(".",L589,FIND(".",L589)+1)-FIND(".",L589)&gt;=2,FIND(".",L589,FIND(".",L589)+1)-FIND(".",L589)&lt;=3,P589&gt;=2000,P589&lt;=2100,YEAR(S589)=P589,MONTH(S589)=Q589,DAY(S589)=R589),S589,0)),0)</ns0:f>
        <ns0:v>0</ns0:v>
      </ns0:c>
      <ns0:c r="U589" s="0" t="str">
        <ns0:f>IF(Bookings!C589="","Full day",Bookings!C589)</ns0:f>
        <ns0:v>Full day</ns0:v>
      </ns0:c>
      <ns0:c r="V589" s="0" t="str">
        <ns0:f>IF(Bookings!E589="","Full day",Bookings!E589)</ns0:f>
        <ns0:v>Full day</ns0:v>
      </ns0:c>
      <ns0:c r="W589" s="0">
        <ns0:f>IF(J589=0,0,J589+IF(U589="PM",1,0))</ns0:f>
        <ns0:v>0</ns0:v>
      </ns0:c>
      <ns0:c r="X589" s="0">
        <ns0:f>IF(T589=0,0,T589-IF(V589="PM",1,0))</ns0:f>
        <ns0:v>0</ns0:v>
      </ns0:c>
      <ns0:c r="Y589" s="0">
        <ns0:f>IF(J589=0,0,J589+IF(U589="AM",1,0))</ns0:f>
        <ns0:v>0</ns0:v>
      </ns0:c>
      <ns0:c r="Z589" s="0">
        <ns0:f>IF(T589=0,0,T589-IF(V589="AM",1,0))</ns0:f>
        <ns0:v>0</ns0:v>
      </ns0:c>
      <ns0:c r="AA589" s="0">
        <ns0:f>IFERROR(IF(AND(J589&gt;0,'_Engine'!C589&gt;0,MID('_Engine'!W589,WEEKDAY(J589,2),1)="W",COUNTIF(Settings!$F$18:$F$67,J589)=0),1,0),0)</ns0:f>
        <ns0:v>0</ns0:v>
      </ns0:c>
      <ns0:c r="AB589" s="0">
        <ns0:f>IFERROR(IF(AND(T589&gt;0,'_Engine'!C589&gt;0,MID('_Engine'!W589,WEEKDAY(T589,2),1)="W",COUNTIF(Settings!$F$18:$F$67,T589)=0),1,0),0)</ns0:f>
        <ns0:v>0</ns0:v>
      </ns0:c>
      <ns0:c r="AC589" s="0">
        <ns0:f>IF(AND(J589&gt;0,T589&gt;0,W589&lt;=X589),1,0)</ns0:f>
        <ns0:v>0</ns0:v>
      </ns0:c>
      <ns0:c r="AD589" s="0">
        <ns0:f>IF(AND(J589&gt;0,T589&gt;0,Y589&lt;=Z589),1,0)</ns0:f>
        <ns0:v>0</ns0:v>
      </ns0:c>
    </ns0:row>
    <ns0:row r="590">
      <ns0:c r="A590" s="0">
        <ns0:f>IFERROR(IF(ISNUMBER(Bookings!B590),"",TRIM(Bookings!B590&amp;"")),"")</ns0:f>
      </ns0:c>
      <ns0:c r="B590" s="0">
        <ns0:f>IFERROR(SUBSTITUTE(SUBSTITUTE(A590,"/","."),"-","."),"")</ns0:f>
      </ns0:c>
      <ns0:c r="C590" s="0">
        <ns0:f>IFERROR(LEFT(B590,FIND(".",B590)-1),"")</ns0:f>
      </ns0:c>
      <ns0:c r="D590" s="0">
        <ns0:f>IFERROR(MID(B590,FIND(".",B590)+1,FIND(".",B590,FIND(".",B590)+1)-FIND(".",B590)-1),"")</ns0:f>
      </ns0:c>
      <ns0:c r="E590" s="0">
        <ns0:f>IFERROR(MID(B590,FIND(".",B590,FIND(".",B590)+1)+1,99),"")</ns0:f>
        <ns0:v>99</ns0:v>
      </ns0:c>
      <ns0:c r="F590" s="0">
        <ns0:f>IFERROR(IF(FIND(".",B590)=5,--C590,--E590),0)</ns0:f>
        <ns0:v>0</ns0:v>
      </ns0:c>
      <ns0:c r="G590" s="0">
        <ns0:f>IFERROR(--D590,0)</ns0:f>
        <ns0:v>0</ns0:v>
      </ns0:c>
      <ns0:c r="H590" s="0">
        <ns0:f>IFERROR(IF(FIND(".",B590)=5,--E590,--C590),0)</ns0:f>
        <ns0:v>0</ns0:v>
      </ns0:c>
      <ns0:c r="I590" s="0">
        <ns0:f>IFERROR(IF(AND(F590&gt;=2000,F590&lt;=2100,G590&gt;=1,G590&lt;=12,H590&gt;=1,H590&lt;=31),DATE(F590,G590,H590),0),0)</ns0:f>
        <ns0:v>0</ns0:v>
      </ns0:c>
      <ns0:c r="J590" s="0">
        <ns0:f>IFERROR(IF(ISNUMBER(Bookings!B590),IF(AND(Bookings!B590=INT(Bookings!B590),Bookings!B590&gt;=DATE(2000,1,1),Bookings!B590&lt;=DATE(2100,12,31)),Bookings!B590,0),IF(AND(A590&lt;&gt;"",LEN("x"&amp;B590)-LEN(SUBSTITUTE("x"&amp;B590,".",""))=2,OR(1&gt;LEN(B590),MID(B590,1,1)=".",ISNUMBER(FIND("x"&amp;MID(B590,1,1),"x0x1x2x3x4x5x6x7x8x9"))),OR(2&gt;LEN(B590),MID(B590,2,1)=".",ISNUMBER(FIND("x"&amp;MID(B590,2,1),"x0x1x2x3x4x5x6x7x8x9"))),OR(3&gt;LEN(B590),MID(B590,3,1)=".",ISNUMBER(FIND("x"&amp;MID(B590,3,1),"x0x1x2x3x4x5x6x7x8x9"))),OR(4&gt;LEN(B590),MID(B590,4,1)=".",ISNUMBER(FIND("x"&amp;MID(B590,4,1),"x0x1x2x3x4x5x6x7x8x9"))),OR(5&gt;LEN(B590),MID(B590,5,1)=".",ISNUMBER(FIND("x"&amp;MID(B590,5,1),"x0x1x2x3x4x5x6x7x8x9"))),OR(6&gt;LEN(B590),MID(B590,6,1)=".",ISNUMBER(FIND("x"&amp;MID(B590,6,1),"x0x1x2x3x4x5x6x7x8x9"))),OR(7&gt;LEN(B590),MID(B590,7,1)=".",ISNUMBER(FIND("x"&amp;MID(B590,7,1),"x0x1x2x3x4x5x6x7x8x9"))),OR(8&gt;LEN(B590),MID(B590,8,1)=".",ISNUMBER(FIND("x"&amp;MID(B590,8,1),"x0x1x2x3x4x5x6x7x8x9"))),OR(9&gt;LEN(B590),MID(B590,9,1)=".",ISNUMBER(FIND("x"&amp;MID(B590,9,1),"x0x1x2x3x4x5x6x7x8x9"))),OR(10&gt;LEN(B590),MID(B590,10,1)=".",ISNUMBER(FIND("x"&amp;MID(B590,10,1),"x0x1x2x3x4x5x6x7x8x9"))),OR(AND(FIND(".",B590)=5,LEN(B590)-FIND(".",B590,FIND(".",B590)+1)&gt;=1,LEN(B590)-FIND(".",B590,FIND(".",B590)+1)&lt;=2),AND(LEN(B590)-FIND(".",B590,FIND(".",B590)+1)=4,FIND(".",B590)&gt;=2,FIND(".",B590)&lt;=3)),FIND(".",B590,FIND(".",B590)+1)-FIND(".",B590)&gt;=2,FIND(".",B590,FIND(".",B590)+1)-FIND(".",B590)&lt;=3,F590&gt;=2000,F590&lt;=2100,YEAR(I590)=F590,MONTH(I590)=G590,DAY(I590)=H590),I590,0)),0)</ns0:f>
        <ns0:v>0</ns0:v>
      </ns0:c>
      <ns0:c r="K590" s="0">
        <ns0:f>IFERROR(IF(ISNUMBER(Bookings!D590),"",TRIM(Bookings!D590&amp;"")),"")</ns0:f>
      </ns0:c>
      <ns0:c r="L590" s="0">
        <ns0:f>IFERROR(SUBSTITUTE(SUBSTITUTE(K590,"/","."),"-","."),"")</ns0:f>
      </ns0:c>
      <ns0:c r="M590" s="0">
        <ns0:f>IFERROR(LEFT(L590,FIND(".",L590)-1),"")</ns0:f>
      </ns0:c>
      <ns0:c r="N590" s="0">
        <ns0:f>IFERROR(MID(L590,FIND(".",L590)+1,FIND(".",L590,FIND(".",L590)+1)-FIND(".",L590)-1),"")</ns0:f>
      </ns0:c>
      <ns0:c r="O590" s="0">
        <ns0:f>IFERROR(MID(L590,FIND(".",L590,FIND(".",L590)+1)+1,99),"")</ns0:f>
        <ns0:v>99</ns0:v>
      </ns0:c>
      <ns0:c r="P590" s="0">
        <ns0:f>IFERROR(IF(FIND(".",L590)=5,--M590,--O590),0)</ns0:f>
        <ns0:v>0</ns0:v>
      </ns0:c>
      <ns0:c r="Q590" s="0">
        <ns0:f>IFERROR(--N590,0)</ns0:f>
        <ns0:v>0</ns0:v>
      </ns0:c>
      <ns0:c r="R590" s="0">
        <ns0:f>IFERROR(IF(FIND(".",L590)=5,--O590,--M590),0)</ns0:f>
        <ns0:v>0</ns0:v>
      </ns0:c>
      <ns0:c r="S590" s="0">
        <ns0:f>IFERROR(IF(AND(P590&gt;=2000,P590&lt;=2100,Q590&gt;=1,Q590&lt;=12,R590&gt;=1,R590&lt;=31),DATE(P590,Q590,R590),0),0)</ns0:f>
        <ns0:v>0</ns0:v>
      </ns0:c>
      <ns0:c r="T590" s="0">
        <ns0:f>IFERROR(IF(ISNUMBER(Bookings!D590),IF(AND(Bookings!D590=INT(Bookings!D590),Bookings!D590&gt;=DATE(2000,1,1),Bookings!D590&lt;=DATE(2100,12,31)),Bookings!D590,0),IF(AND(K590&lt;&gt;"",LEN("x"&amp;L590)-LEN(SUBSTITUTE("x"&amp;L590,".",""))=2,OR(1&gt;LEN(L590),MID(L590,1,1)=".",ISNUMBER(FIND("x"&amp;MID(L590,1,1),"x0x1x2x3x4x5x6x7x8x9"))),OR(2&gt;LEN(L590),MID(L590,2,1)=".",ISNUMBER(FIND("x"&amp;MID(L590,2,1),"x0x1x2x3x4x5x6x7x8x9"))),OR(3&gt;LEN(L590),MID(L590,3,1)=".",ISNUMBER(FIND("x"&amp;MID(L590,3,1),"x0x1x2x3x4x5x6x7x8x9"))),OR(4&gt;LEN(L590),MID(L590,4,1)=".",ISNUMBER(FIND("x"&amp;MID(L590,4,1),"x0x1x2x3x4x5x6x7x8x9"))),OR(5&gt;LEN(L590),MID(L590,5,1)=".",ISNUMBER(FIND("x"&amp;MID(L590,5,1),"x0x1x2x3x4x5x6x7x8x9"))),OR(6&gt;LEN(L590),MID(L590,6,1)=".",ISNUMBER(FIND("x"&amp;MID(L590,6,1),"x0x1x2x3x4x5x6x7x8x9"))),OR(7&gt;LEN(L590),MID(L590,7,1)=".",ISNUMBER(FIND("x"&amp;MID(L590,7,1),"x0x1x2x3x4x5x6x7x8x9"))),OR(8&gt;LEN(L590),MID(L590,8,1)=".",ISNUMBER(FIND("x"&amp;MID(L590,8,1),"x0x1x2x3x4x5x6x7x8x9"))),OR(9&gt;LEN(L590),MID(L590,9,1)=".",ISNUMBER(FIND("x"&amp;MID(L590,9,1),"x0x1x2x3x4x5x6x7x8x9"))),OR(10&gt;LEN(L590),MID(L590,10,1)=".",ISNUMBER(FIND("x"&amp;MID(L590,10,1),"x0x1x2x3x4x5x6x7x8x9"))),OR(AND(FIND(".",L590)=5,LEN(L590)-FIND(".",L590,FIND(".",L590)+1)&gt;=1,LEN(L590)-FIND(".",L590,FIND(".",L590)+1)&lt;=2),AND(LEN(L590)-FIND(".",L590,FIND(".",L590)+1)=4,FIND(".",L590)&gt;=2,FIND(".",L590)&lt;=3)),FIND(".",L590,FIND(".",L590)+1)-FIND(".",L590)&gt;=2,FIND(".",L590,FIND(".",L590)+1)-FIND(".",L590)&lt;=3,P590&gt;=2000,P590&lt;=2100,YEAR(S590)=P590,MONTH(S590)=Q590,DAY(S590)=R590),S590,0)),0)</ns0:f>
        <ns0:v>0</ns0:v>
      </ns0:c>
      <ns0:c r="U590" s="0" t="str">
        <ns0:f>IF(Bookings!C590="","Full day",Bookings!C590)</ns0:f>
        <ns0:v>Full day</ns0:v>
      </ns0:c>
      <ns0:c r="V590" s="0" t="str">
        <ns0:f>IF(Bookings!E590="","Full day",Bookings!E590)</ns0:f>
        <ns0:v>Full day</ns0:v>
      </ns0:c>
      <ns0:c r="W590" s="0">
        <ns0:f>IF(J590=0,0,J590+IF(U590="PM",1,0))</ns0:f>
        <ns0:v>0</ns0:v>
      </ns0:c>
      <ns0:c r="X590" s="0">
        <ns0:f>IF(T590=0,0,T590-IF(V590="PM",1,0))</ns0:f>
        <ns0:v>0</ns0:v>
      </ns0:c>
      <ns0:c r="Y590" s="0">
        <ns0:f>IF(J590=0,0,J590+IF(U590="AM",1,0))</ns0:f>
        <ns0:v>0</ns0:v>
      </ns0:c>
      <ns0:c r="Z590" s="0">
        <ns0:f>IF(T590=0,0,T590-IF(V590="AM",1,0))</ns0:f>
        <ns0:v>0</ns0:v>
      </ns0:c>
      <ns0:c r="AA590" s="0">
        <ns0:f>IFERROR(IF(AND(J590&gt;0,'_Engine'!C590&gt;0,MID('_Engine'!W590,WEEKDAY(J590,2),1)="W",COUNTIF(Settings!$F$18:$F$67,J590)=0),1,0),0)</ns0:f>
        <ns0:v>0</ns0:v>
      </ns0:c>
      <ns0:c r="AB590" s="0">
        <ns0:f>IFERROR(IF(AND(T590&gt;0,'_Engine'!C590&gt;0,MID('_Engine'!W590,WEEKDAY(T590,2),1)="W",COUNTIF(Settings!$F$18:$F$67,T590)=0),1,0),0)</ns0:f>
        <ns0:v>0</ns0:v>
      </ns0:c>
      <ns0:c r="AC590" s="0">
        <ns0:f>IF(AND(J590&gt;0,T590&gt;0,W590&lt;=X590),1,0)</ns0:f>
        <ns0:v>0</ns0:v>
      </ns0:c>
      <ns0:c r="AD590" s="0">
        <ns0:f>IF(AND(J590&gt;0,T590&gt;0,Y590&lt;=Z590),1,0)</ns0:f>
        <ns0:v>0</ns0:v>
      </ns0:c>
    </ns0:row>
    <ns0:row r="591">
      <ns0:c r="A591" s="0">
        <ns0:f>IFERROR(IF(ISNUMBER(Bookings!B591),"",TRIM(Bookings!B591&amp;"")),"")</ns0:f>
      </ns0:c>
      <ns0:c r="B591" s="0">
        <ns0:f>IFERROR(SUBSTITUTE(SUBSTITUTE(A591,"/","."),"-","."),"")</ns0:f>
      </ns0:c>
      <ns0:c r="C591" s="0">
        <ns0:f>IFERROR(LEFT(B591,FIND(".",B591)-1),"")</ns0:f>
      </ns0:c>
      <ns0:c r="D591" s="0">
        <ns0:f>IFERROR(MID(B591,FIND(".",B591)+1,FIND(".",B591,FIND(".",B591)+1)-FIND(".",B591)-1),"")</ns0:f>
      </ns0:c>
      <ns0:c r="E591" s="0">
        <ns0:f>IFERROR(MID(B591,FIND(".",B591,FIND(".",B591)+1)+1,99),"")</ns0:f>
        <ns0:v>99</ns0:v>
      </ns0:c>
      <ns0:c r="F591" s="0">
        <ns0:f>IFERROR(IF(FIND(".",B591)=5,--C591,--E591),0)</ns0:f>
        <ns0:v>0</ns0:v>
      </ns0:c>
      <ns0:c r="G591" s="0">
        <ns0:f>IFERROR(--D591,0)</ns0:f>
        <ns0:v>0</ns0:v>
      </ns0:c>
      <ns0:c r="H591" s="0">
        <ns0:f>IFERROR(IF(FIND(".",B591)=5,--E591,--C591),0)</ns0:f>
        <ns0:v>0</ns0:v>
      </ns0:c>
      <ns0:c r="I591" s="0">
        <ns0:f>IFERROR(IF(AND(F591&gt;=2000,F591&lt;=2100,G591&gt;=1,G591&lt;=12,H591&gt;=1,H591&lt;=31),DATE(F591,G591,H591),0),0)</ns0:f>
        <ns0:v>0</ns0:v>
      </ns0:c>
      <ns0:c r="J591" s="0">
        <ns0:f>IFERROR(IF(ISNUMBER(Bookings!B591),IF(AND(Bookings!B591=INT(Bookings!B591),Bookings!B591&gt;=DATE(2000,1,1),Bookings!B591&lt;=DATE(2100,12,31)),Bookings!B591,0),IF(AND(A591&lt;&gt;"",LEN("x"&amp;B591)-LEN(SUBSTITUTE("x"&amp;B591,".",""))=2,OR(1&gt;LEN(B591),MID(B591,1,1)=".",ISNUMBER(FIND("x"&amp;MID(B591,1,1),"x0x1x2x3x4x5x6x7x8x9"))),OR(2&gt;LEN(B591),MID(B591,2,1)=".",ISNUMBER(FIND("x"&amp;MID(B591,2,1),"x0x1x2x3x4x5x6x7x8x9"))),OR(3&gt;LEN(B591),MID(B591,3,1)=".",ISNUMBER(FIND("x"&amp;MID(B591,3,1),"x0x1x2x3x4x5x6x7x8x9"))),OR(4&gt;LEN(B591),MID(B591,4,1)=".",ISNUMBER(FIND("x"&amp;MID(B591,4,1),"x0x1x2x3x4x5x6x7x8x9"))),OR(5&gt;LEN(B591),MID(B591,5,1)=".",ISNUMBER(FIND("x"&amp;MID(B591,5,1),"x0x1x2x3x4x5x6x7x8x9"))),OR(6&gt;LEN(B591),MID(B591,6,1)=".",ISNUMBER(FIND("x"&amp;MID(B591,6,1),"x0x1x2x3x4x5x6x7x8x9"))),OR(7&gt;LEN(B591),MID(B591,7,1)=".",ISNUMBER(FIND("x"&amp;MID(B591,7,1),"x0x1x2x3x4x5x6x7x8x9"))),OR(8&gt;LEN(B591),MID(B591,8,1)=".",ISNUMBER(FIND("x"&amp;MID(B591,8,1),"x0x1x2x3x4x5x6x7x8x9"))),OR(9&gt;LEN(B591),MID(B591,9,1)=".",ISNUMBER(FIND("x"&amp;MID(B591,9,1),"x0x1x2x3x4x5x6x7x8x9"))),OR(10&gt;LEN(B591),MID(B591,10,1)=".",ISNUMBER(FIND("x"&amp;MID(B591,10,1),"x0x1x2x3x4x5x6x7x8x9"))),OR(AND(FIND(".",B591)=5,LEN(B591)-FIND(".",B591,FIND(".",B591)+1)&gt;=1,LEN(B591)-FIND(".",B591,FIND(".",B591)+1)&lt;=2),AND(LEN(B591)-FIND(".",B591,FIND(".",B591)+1)=4,FIND(".",B591)&gt;=2,FIND(".",B591)&lt;=3)),FIND(".",B591,FIND(".",B591)+1)-FIND(".",B591)&gt;=2,FIND(".",B591,FIND(".",B591)+1)-FIND(".",B591)&lt;=3,F591&gt;=2000,F591&lt;=2100,YEAR(I591)=F591,MONTH(I591)=G591,DAY(I591)=H591),I591,0)),0)</ns0:f>
        <ns0:v>0</ns0:v>
      </ns0:c>
      <ns0:c r="K591" s="0">
        <ns0:f>IFERROR(IF(ISNUMBER(Bookings!D591),"",TRIM(Bookings!D591&amp;"")),"")</ns0:f>
      </ns0:c>
      <ns0:c r="L591" s="0">
        <ns0:f>IFERROR(SUBSTITUTE(SUBSTITUTE(K591,"/","."),"-","."),"")</ns0:f>
      </ns0:c>
      <ns0:c r="M591" s="0">
        <ns0:f>IFERROR(LEFT(L591,FIND(".",L591)-1),"")</ns0:f>
      </ns0:c>
      <ns0:c r="N591" s="0">
        <ns0:f>IFERROR(MID(L591,FIND(".",L591)+1,FIND(".",L591,FIND(".",L591)+1)-FIND(".",L591)-1),"")</ns0:f>
      </ns0:c>
      <ns0:c r="O591" s="0">
        <ns0:f>IFERROR(MID(L591,FIND(".",L591,FIND(".",L591)+1)+1,99),"")</ns0:f>
        <ns0:v>99</ns0:v>
      </ns0:c>
      <ns0:c r="P591" s="0">
        <ns0:f>IFERROR(IF(FIND(".",L591)=5,--M591,--O591),0)</ns0:f>
        <ns0:v>0</ns0:v>
      </ns0:c>
      <ns0:c r="Q591" s="0">
        <ns0:f>IFERROR(--N591,0)</ns0:f>
        <ns0:v>0</ns0:v>
      </ns0:c>
      <ns0:c r="R591" s="0">
        <ns0:f>IFERROR(IF(FIND(".",L591)=5,--O591,--M591),0)</ns0:f>
        <ns0:v>0</ns0:v>
      </ns0:c>
      <ns0:c r="S591" s="0">
        <ns0:f>IFERROR(IF(AND(P591&gt;=2000,P591&lt;=2100,Q591&gt;=1,Q591&lt;=12,R591&gt;=1,R591&lt;=31),DATE(P591,Q591,R591),0),0)</ns0:f>
        <ns0:v>0</ns0:v>
      </ns0:c>
      <ns0:c r="T591" s="0">
        <ns0:f>IFERROR(IF(ISNUMBER(Bookings!D591),IF(AND(Bookings!D591=INT(Bookings!D591),Bookings!D591&gt;=DATE(2000,1,1),Bookings!D591&lt;=DATE(2100,12,31)),Bookings!D591,0),IF(AND(K591&lt;&gt;"",LEN("x"&amp;L591)-LEN(SUBSTITUTE("x"&amp;L591,".",""))=2,OR(1&gt;LEN(L591),MID(L591,1,1)=".",ISNUMBER(FIND("x"&amp;MID(L591,1,1),"x0x1x2x3x4x5x6x7x8x9"))),OR(2&gt;LEN(L591),MID(L591,2,1)=".",ISNUMBER(FIND("x"&amp;MID(L591,2,1),"x0x1x2x3x4x5x6x7x8x9"))),OR(3&gt;LEN(L591),MID(L591,3,1)=".",ISNUMBER(FIND("x"&amp;MID(L591,3,1),"x0x1x2x3x4x5x6x7x8x9"))),OR(4&gt;LEN(L591),MID(L591,4,1)=".",ISNUMBER(FIND("x"&amp;MID(L591,4,1),"x0x1x2x3x4x5x6x7x8x9"))),OR(5&gt;LEN(L591),MID(L591,5,1)=".",ISNUMBER(FIND("x"&amp;MID(L591,5,1),"x0x1x2x3x4x5x6x7x8x9"))),OR(6&gt;LEN(L591),MID(L591,6,1)=".",ISNUMBER(FIND("x"&amp;MID(L591,6,1),"x0x1x2x3x4x5x6x7x8x9"))),OR(7&gt;LEN(L591),MID(L591,7,1)=".",ISNUMBER(FIND("x"&amp;MID(L591,7,1),"x0x1x2x3x4x5x6x7x8x9"))),OR(8&gt;LEN(L591),MID(L591,8,1)=".",ISNUMBER(FIND("x"&amp;MID(L591,8,1),"x0x1x2x3x4x5x6x7x8x9"))),OR(9&gt;LEN(L591),MID(L591,9,1)=".",ISNUMBER(FIND("x"&amp;MID(L591,9,1),"x0x1x2x3x4x5x6x7x8x9"))),OR(10&gt;LEN(L591),MID(L591,10,1)=".",ISNUMBER(FIND("x"&amp;MID(L591,10,1),"x0x1x2x3x4x5x6x7x8x9"))),OR(AND(FIND(".",L591)=5,LEN(L591)-FIND(".",L591,FIND(".",L591)+1)&gt;=1,LEN(L591)-FIND(".",L591,FIND(".",L591)+1)&lt;=2),AND(LEN(L591)-FIND(".",L591,FIND(".",L591)+1)=4,FIND(".",L591)&gt;=2,FIND(".",L591)&lt;=3)),FIND(".",L591,FIND(".",L591)+1)-FIND(".",L591)&gt;=2,FIND(".",L591,FIND(".",L591)+1)-FIND(".",L591)&lt;=3,P591&gt;=2000,P591&lt;=2100,YEAR(S591)=P591,MONTH(S591)=Q591,DAY(S591)=R591),S591,0)),0)</ns0:f>
        <ns0:v>0</ns0:v>
      </ns0:c>
      <ns0:c r="U591" s="0" t="str">
        <ns0:f>IF(Bookings!C591="","Full day",Bookings!C591)</ns0:f>
        <ns0:v>Full day</ns0:v>
      </ns0:c>
      <ns0:c r="V591" s="0" t="str">
        <ns0:f>IF(Bookings!E591="","Full day",Bookings!E591)</ns0:f>
        <ns0:v>Full day</ns0:v>
      </ns0:c>
      <ns0:c r="W591" s="0">
        <ns0:f>IF(J591=0,0,J591+IF(U591="PM",1,0))</ns0:f>
        <ns0:v>0</ns0:v>
      </ns0:c>
      <ns0:c r="X591" s="0">
        <ns0:f>IF(T591=0,0,T591-IF(V591="PM",1,0))</ns0:f>
        <ns0:v>0</ns0:v>
      </ns0:c>
      <ns0:c r="Y591" s="0">
        <ns0:f>IF(J591=0,0,J591+IF(U591="AM",1,0))</ns0:f>
        <ns0:v>0</ns0:v>
      </ns0:c>
      <ns0:c r="Z591" s="0">
        <ns0:f>IF(T591=0,0,T591-IF(V591="AM",1,0))</ns0:f>
        <ns0:v>0</ns0:v>
      </ns0:c>
      <ns0:c r="AA591" s="0">
        <ns0:f>IFERROR(IF(AND(J591&gt;0,'_Engine'!C591&gt;0,MID('_Engine'!W591,WEEKDAY(J591,2),1)="W",COUNTIF(Settings!$F$18:$F$67,J591)=0),1,0),0)</ns0:f>
        <ns0:v>0</ns0:v>
      </ns0:c>
      <ns0:c r="AB591" s="0">
        <ns0:f>IFERROR(IF(AND(T591&gt;0,'_Engine'!C591&gt;0,MID('_Engine'!W591,WEEKDAY(T591,2),1)="W",COUNTIF(Settings!$F$18:$F$67,T591)=0),1,0),0)</ns0:f>
        <ns0:v>0</ns0:v>
      </ns0:c>
      <ns0:c r="AC591" s="0">
        <ns0:f>IF(AND(J591&gt;0,T591&gt;0,W591&lt;=X591),1,0)</ns0:f>
        <ns0:v>0</ns0:v>
      </ns0:c>
      <ns0:c r="AD591" s="0">
        <ns0:f>IF(AND(J591&gt;0,T591&gt;0,Y591&lt;=Z591),1,0)</ns0:f>
        <ns0:v>0</ns0:v>
      </ns0:c>
    </ns0:row>
    <ns0:row r="592">
      <ns0:c r="A592" s="0">
        <ns0:f>IFERROR(IF(ISNUMBER(Bookings!B592),"",TRIM(Bookings!B592&amp;"")),"")</ns0:f>
      </ns0:c>
      <ns0:c r="B592" s="0">
        <ns0:f>IFERROR(SUBSTITUTE(SUBSTITUTE(A592,"/","."),"-","."),"")</ns0:f>
      </ns0:c>
      <ns0:c r="C592" s="0">
        <ns0:f>IFERROR(LEFT(B592,FIND(".",B592)-1),"")</ns0:f>
      </ns0:c>
      <ns0:c r="D592" s="0">
        <ns0:f>IFERROR(MID(B592,FIND(".",B592)+1,FIND(".",B592,FIND(".",B592)+1)-FIND(".",B592)-1),"")</ns0:f>
      </ns0:c>
      <ns0:c r="E592" s="0">
        <ns0:f>IFERROR(MID(B592,FIND(".",B592,FIND(".",B592)+1)+1,99),"")</ns0:f>
        <ns0:v>99</ns0:v>
      </ns0:c>
      <ns0:c r="F592" s="0">
        <ns0:f>IFERROR(IF(FIND(".",B592)=5,--C592,--E592),0)</ns0:f>
        <ns0:v>0</ns0:v>
      </ns0:c>
      <ns0:c r="G592" s="0">
        <ns0:f>IFERROR(--D592,0)</ns0:f>
        <ns0:v>0</ns0:v>
      </ns0:c>
      <ns0:c r="H592" s="0">
        <ns0:f>IFERROR(IF(FIND(".",B592)=5,--E592,--C592),0)</ns0:f>
        <ns0:v>0</ns0:v>
      </ns0:c>
      <ns0:c r="I592" s="0">
        <ns0:f>IFERROR(IF(AND(F592&gt;=2000,F592&lt;=2100,G592&gt;=1,G592&lt;=12,H592&gt;=1,H592&lt;=31),DATE(F592,G592,H592),0),0)</ns0:f>
        <ns0:v>0</ns0:v>
      </ns0:c>
      <ns0:c r="J592" s="0">
        <ns0:f>IFERROR(IF(ISNUMBER(Bookings!B592),IF(AND(Bookings!B592=INT(Bookings!B592),Bookings!B592&gt;=DATE(2000,1,1),Bookings!B592&lt;=DATE(2100,12,31)),Bookings!B592,0),IF(AND(A592&lt;&gt;"",LEN("x"&amp;B592)-LEN(SUBSTITUTE("x"&amp;B592,".",""))=2,OR(1&gt;LEN(B592),MID(B592,1,1)=".",ISNUMBER(FIND("x"&amp;MID(B592,1,1),"x0x1x2x3x4x5x6x7x8x9"))),OR(2&gt;LEN(B592),MID(B592,2,1)=".",ISNUMBER(FIND("x"&amp;MID(B592,2,1),"x0x1x2x3x4x5x6x7x8x9"))),OR(3&gt;LEN(B592),MID(B592,3,1)=".",ISNUMBER(FIND("x"&amp;MID(B592,3,1),"x0x1x2x3x4x5x6x7x8x9"))),OR(4&gt;LEN(B592),MID(B592,4,1)=".",ISNUMBER(FIND("x"&amp;MID(B592,4,1),"x0x1x2x3x4x5x6x7x8x9"))),OR(5&gt;LEN(B592),MID(B592,5,1)=".",ISNUMBER(FIND("x"&amp;MID(B592,5,1),"x0x1x2x3x4x5x6x7x8x9"))),OR(6&gt;LEN(B592),MID(B592,6,1)=".",ISNUMBER(FIND("x"&amp;MID(B592,6,1),"x0x1x2x3x4x5x6x7x8x9"))),OR(7&gt;LEN(B592),MID(B592,7,1)=".",ISNUMBER(FIND("x"&amp;MID(B592,7,1),"x0x1x2x3x4x5x6x7x8x9"))),OR(8&gt;LEN(B592),MID(B592,8,1)=".",ISNUMBER(FIND("x"&amp;MID(B592,8,1),"x0x1x2x3x4x5x6x7x8x9"))),OR(9&gt;LEN(B592),MID(B592,9,1)=".",ISNUMBER(FIND("x"&amp;MID(B592,9,1),"x0x1x2x3x4x5x6x7x8x9"))),OR(10&gt;LEN(B592),MID(B592,10,1)=".",ISNUMBER(FIND("x"&amp;MID(B592,10,1),"x0x1x2x3x4x5x6x7x8x9"))),OR(AND(FIND(".",B592)=5,LEN(B592)-FIND(".",B592,FIND(".",B592)+1)&gt;=1,LEN(B592)-FIND(".",B592,FIND(".",B592)+1)&lt;=2),AND(LEN(B592)-FIND(".",B592,FIND(".",B592)+1)=4,FIND(".",B592)&gt;=2,FIND(".",B592)&lt;=3)),FIND(".",B592,FIND(".",B592)+1)-FIND(".",B592)&gt;=2,FIND(".",B592,FIND(".",B592)+1)-FIND(".",B592)&lt;=3,F592&gt;=2000,F592&lt;=2100,YEAR(I592)=F592,MONTH(I592)=G592,DAY(I592)=H592),I592,0)),0)</ns0:f>
        <ns0:v>0</ns0:v>
      </ns0:c>
      <ns0:c r="K592" s="0">
        <ns0:f>IFERROR(IF(ISNUMBER(Bookings!D592),"",TRIM(Bookings!D592&amp;"")),"")</ns0:f>
      </ns0:c>
      <ns0:c r="L592" s="0">
        <ns0:f>IFERROR(SUBSTITUTE(SUBSTITUTE(K592,"/","."),"-","."),"")</ns0:f>
      </ns0:c>
      <ns0:c r="M592" s="0">
        <ns0:f>IFERROR(LEFT(L592,FIND(".",L592)-1),"")</ns0:f>
      </ns0:c>
      <ns0:c r="N592" s="0">
        <ns0:f>IFERROR(MID(L592,FIND(".",L592)+1,FIND(".",L592,FIND(".",L592)+1)-FIND(".",L592)-1),"")</ns0:f>
      </ns0:c>
      <ns0:c r="O592" s="0">
        <ns0:f>IFERROR(MID(L592,FIND(".",L592,FIND(".",L592)+1)+1,99),"")</ns0:f>
        <ns0:v>99</ns0:v>
      </ns0:c>
      <ns0:c r="P592" s="0">
        <ns0:f>IFERROR(IF(FIND(".",L592)=5,--M592,--O592),0)</ns0:f>
        <ns0:v>0</ns0:v>
      </ns0:c>
      <ns0:c r="Q592" s="0">
        <ns0:f>IFERROR(--N592,0)</ns0:f>
        <ns0:v>0</ns0:v>
      </ns0:c>
      <ns0:c r="R592" s="0">
        <ns0:f>IFERROR(IF(FIND(".",L592)=5,--O592,--M592),0)</ns0:f>
        <ns0:v>0</ns0:v>
      </ns0:c>
      <ns0:c r="S592" s="0">
        <ns0:f>IFERROR(IF(AND(P592&gt;=2000,P592&lt;=2100,Q592&gt;=1,Q592&lt;=12,R592&gt;=1,R592&lt;=31),DATE(P592,Q592,R592),0),0)</ns0:f>
        <ns0:v>0</ns0:v>
      </ns0:c>
      <ns0:c r="T592" s="0">
        <ns0:f>IFERROR(IF(ISNUMBER(Bookings!D592),IF(AND(Bookings!D592=INT(Bookings!D592),Bookings!D592&gt;=DATE(2000,1,1),Bookings!D592&lt;=DATE(2100,12,31)),Bookings!D592,0),IF(AND(K592&lt;&gt;"",LEN("x"&amp;L592)-LEN(SUBSTITUTE("x"&amp;L592,".",""))=2,OR(1&gt;LEN(L592),MID(L592,1,1)=".",ISNUMBER(FIND("x"&amp;MID(L592,1,1),"x0x1x2x3x4x5x6x7x8x9"))),OR(2&gt;LEN(L592),MID(L592,2,1)=".",ISNUMBER(FIND("x"&amp;MID(L592,2,1),"x0x1x2x3x4x5x6x7x8x9"))),OR(3&gt;LEN(L592),MID(L592,3,1)=".",ISNUMBER(FIND("x"&amp;MID(L592,3,1),"x0x1x2x3x4x5x6x7x8x9"))),OR(4&gt;LEN(L592),MID(L592,4,1)=".",ISNUMBER(FIND("x"&amp;MID(L592,4,1),"x0x1x2x3x4x5x6x7x8x9"))),OR(5&gt;LEN(L592),MID(L592,5,1)=".",ISNUMBER(FIND("x"&amp;MID(L592,5,1),"x0x1x2x3x4x5x6x7x8x9"))),OR(6&gt;LEN(L592),MID(L592,6,1)=".",ISNUMBER(FIND("x"&amp;MID(L592,6,1),"x0x1x2x3x4x5x6x7x8x9"))),OR(7&gt;LEN(L592),MID(L592,7,1)=".",ISNUMBER(FIND("x"&amp;MID(L592,7,1),"x0x1x2x3x4x5x6x7x8x9"))),OR(8&gt;LEN(L592),MID(L592,8,1)=".",ISNUMBER(FIND("x"&amp;MID(L592,8,1),"x0x1x2x3x4x5x6x7x8x9"))),OR(9&gt;LEN(L592),MID(L592,9,1)=".",ISNUMBER(FIND("x"&amp;MID(L592,9,1),"x0x1x2x3x4x5x6x7x8x9"))),OR(10&gt;LEN(L592),MID(L592,10,1)=".",ISNUMBER(FIND("x"&amp;MID(L592,10,1),"x0x1x2x3x4x5x6x7x8x9"))),OR(AND(FIND(".",L592)=5,LEN(L592)-FIND(".",L592,FIND(".",L592)+1)&gt;=1,LEN(L592)-FIND(".",L592,FIND(".",L592)+1)&lt;=2),AND(LEN(L592)-FIND(".",L592,FIND(".",L592)+1)=4,FIND(".",L592)&gt;=2,FIND(".",L592)&lt;=3)),FIND(".",L592,FIND(".",L592)+1)-FIND(".",L592)&gt;=2,FIND(".",L592,FIND(".",L592)+1)-FIND(".",L592)&lt;=3,P592&gt;=2000,P592&lt;=2100,YEAR(S592)=P592,MONTH(S592)=Q592,DAY(S592)=R592),S592,0)),0)</ns0:f>
        <ns0:v>0</ns0:v>
      </ns0:c>
      <ns0:c r="U592" s="0" t="str">
        <ns0:f>IF(Bookings!C592="","Full day",Bookings!C592)</ns0:f>
        <ns0:v>Full day</ns0:v>
      </ns0:c>
      <ns0:c r="V592" s="0" t="str">
        <ns0:f>IF(Bookings!E592="","Full day",Bookings!E592)</ns0:f>
        <ns0:v>Full day</ns0:v>
      </ns0:c>
      <ns0:c r="W592" s="0">
        <ns0:f>IF(J592=0,0,J592+IF(U592="PM",1,0))</ns0:f>
        <ns0:v>0</ns0:v>
      </ns0:c>
      <ns0:c r="X592" s="0">
        <ns0:f>IF(T592=0,0,T592-IF(V592="PM",1,0))</ns0:f>
        <ns0:v>0</ns0:v>
      </ns0:c>
      <ns0:c r="Y592" s="0">
        <ns0:f>IF(J592=0,0,J592+IF(U592="AM",1,0))</ns0:f>
        <ns0:v>0</ns0:v>
      </ns0:c>
      <ns0:c r="Z592" s="0">
        <ns0:f>IF(T592=0,0,T592-IF(V592="AM",1,0))</ns0:f>
        <ns0:v>0</ns0:v>
      </ns0:c>
      <ns0:c r="AA592" s="0">
        <ns0:f>IFERROR(IF(AND(J592&gt;0,'_Engine'!C592&gt;0,MID('_Engine'!W592,WEEKDAY(J592,2),1)="W",COUNTIF(Settings!$F$18:$F$67,J592)=0),1,0),0)</ns0:f>
        <ns0:v>0</ns0:v>
      </ns0:c>
      <ns0:c r="AB592" s="0">
        <ns0:f>IFERROR(IF(AND(T592&gt;0,'_Engine'!C592&gt;0,MID('_Engine'!W592,WEEKDAY(T592,2),1)="W",COUNTIF(Settings!$F$18:$F$67,T592)=0),1,0),0)</ns0:f>
        <ns0:v>0</ns0:v>
      </ns0:c>
      <ns0:c r="AC592" s="0">
        <ns0:f>IF(AND(J592&gt;0,T592&gt;0,W592&lt;=X592),1,0)</ns0:f>
        <ns0:v>0</ns0:v>
      </ns0:c>
      <ns0:c r="AD592" s="0">
        <ns0:f>IF(AND(J592&gt;0,T592&gt;0,Y592&lt;=Z592),1,0)</ns0:f>
        <ns0:v>0</ns0:v>
      </ns0:c>
    </ns0:row>
    <ns0:row r="593">
      <ns0:c r="A593" s="0">
        <ns0:f>IFERROR(IF(ISNUMBER(Bookings!B593),"",TRIM(Bookings!B593&amp;"")),"")</ns0:f>
      </ns0:c>
      <ns0:c r="B593" s="0">
        <ns0:f>IFERROR(SUBSTITUTE(SUBSTITUTE(A593,"/","."),"-","."),"")</ns0:f>
      </ns0:c>
      <ns0:c r="C593" s="0">
        <ns0:f>IFERROR(LEFT(B593,FIND(".",B593)-1),"")</ns0:f>
      </ns0:c>
      <ns0:c r="D593" s="0">
        <ns0:f>IFERROR(MID(B593,FIND(".",B593)+1,FIND(".",B593,FIND(".",B593)+1)-FIND(".",B593)-1),"")</ns0:f>
      </ns0:c>
      <ns0:c r="E593" s="0">
        <ns0:f>IFERROR(MID(B593,FIND(".",B593,FIND(".",B593)+1)+1,99),"")</ns0:f>
        <ns0:v>99</ns0:v>
      </ns0:c>
      <ns0:c r="F593" s="0">
        <ns0:f>IFERROR(IF(FIND(".",B593)=5,--C593,--E593),0)</ns0:f>
        <ns0:v>0</ns0:v>
      </ns0:c>
      <ns0:c r="G593" s="0">
        <ns0:f>IFERROR(--D593,0)</ns0:f>
        <ns0:v>0</ns0:v>
      </ns0:c>
      <ns0:c r="H593" s="0">
        <ns0:f>IFERROR(IF(FIND(".",B593)=5,--E593,--C593),0)</ns0:f>
        <ns0:v>0</ns0:v>
      </ns0:c>
      <ns0:c r="I593" s="0">
        <ns0:f>IFERROR(IF(AND(F593&gt;=2000,F593&lt;=2100,G593&gt;=1,G593&lt;=12,H593&gt;=1,H593&lt;=31),DATE(F593,G593,H593),0),0)</ns0:f>
        <ns0:v>0</ns0:v>
      </ns0:c>
      <ns0:c r="J593" s="0">
        <ns0:f>IFERROR(IF(ISNUMBER(Bookings!B593),IF(AND(Bookings!B593=INT(Bookings!B593),Bookings!B593&gt;=DATE(2000,1,1),Bookings!B593&lt;=DATE(2100,12,31)),Bookings!B593,0),IF(AND(A593&lt;&gt;"",LEN("x"&amp;B593)-LEN(SUBSTITUTE("x"&amp;B593,".",""))=2,OR(1&gt;LEN(B593),MID(B593,1,1)=".",ISNUMBER(FIND("x"&amp;MID(B593,1,1),"x0x1x2x3x4x5x6x7x8x9"))),OR(2&gt;LEN(B593),MID(B593,2,1)=".",ISNUMBER(FIND("x"&amp;MID(B593,2,1),"x0x1x2x3x4x5x6x7x8x9"))),OR(3&gt;LEN(B593),MID(B593,3,1)=".",ISNUMBER(FIND("x"&amp;MID(B593,3,1),"x0x1x2x3x4x5x6x7x8x9"))),OR(4&gt;LEN(B593),MID(B593,4,1)=".",ISNUMBER(FIND("x"&amp;MID(B593,4,1),"x0x1x2x3x4x5x6x7x8x9"))),OR(5&gt;LEN(B593),MID(B593,5,1)=".",ISNUMBER(FIND("x"&amp;MID(B593,5,1),"x0x1x2x3x4x5x6x7x8x9"))),OR(6&gt;LEN(B593),MID(B593,6,1)=".",ISNUMBER(FIND("x"&amp;MID(B593,6,1),"x0x1x2x3x4x5x6x7x8x9"))),OR(7&gt;LEN(B593),MID(B593,7,1)=".",ISNUMBER(FIND("x"&amp;MID(B593,7,1),"x0x1x2x3x4x5x6x7x8x9"))),OR(8&gt;LEN(B593),MID(B593,8,1)=".",ISNUMBER(FIND("x"&amp;MID(B593,8,1),"x0x1x2x3x4x5x6x7x8x9"))),OR(9&gt;LEN(B593),MID(B593,9,1)=".",ISNUMBER(FIND("x"&amp;MID(B593,9,1),"x0x1x2x3x4x5x6x7x8x9"))),OR(10&gt;LEN(B593),MID(B593,10,1)=".",ISNUMBER(FIND("x"&amp;MID(B593,10,1),"x0x1x2x3x4x5x6x7x8x9"))),OR(AND(FIND(".",B593)=5,LEN(B593)-FIND(".",B593,FIND(".",B593)+1)&gt;=1,LEN(B593)-FIND(".",B593,FIND(".",B593)+1)&lt;=2),AND(LEN(B593)-FIND(".",B593,FIND(".",B593)+1)=4,FIND(".",B593)&gt;=2,FIND(".",B593)&lt;=3)),FIND(".",B593,FIND(".",B593)+1)-FIND(".",B593)&gt;=2,FIND(".",B593,FIND(".",B593)+1)-FIND(".",B593)&lt;=3,F593&gt;=2000,F593&lt;=2100,YEAR(I593)=F593,MONTH(I593)=G593,DAY(I593)=H593),I593,0)),0)</ns0:f>
        <ns0:v>0</ns0:v>
      </ns0:c>
      <ns0:c r="K593" s="0">
        <ns0:f>IFERROR(IF(ISNUMBER(Bookings!D593),"",TRIM(Bookings!D593&amp;"")),"")</ns0:f>
      </ns0:c>
      <ns0:c r="L593" s="0">
        <ns0:f>IFERROR(SUBSTITUTE(SUBSTITUTE(K593,"/","."),"-","."),"")</ns0:f>
      </ns0:c>
      <ns0:c r="M593" s="0">
        <ns0:f>IFERROR(LEFT(L593,FIND(".",L593)-1),"")</ns0:f>
      </ns0:c>
      <ns0:c r="N593" s="0">
        <ns0:f>IFERROR(MID(L593,FIND(".",L593)+1,FIND(".",L593,FIND(".",L593)+1)-FIND(".",L593)-1),"")</ns0:f>
      </ns0:c>
      <ns0:c r="O593" s="0">
        <ns0:f>IFERROR(MID(L593,FIND(".",L593,FIND(".",L593)+1)+1,99),"")</ns0:f>
        <ns0:v>99</ns0:v>
      </ns0:c>
      <ns0:c r="P593" s="0">
        <ns0:f>IFERROR(IF(FIND(".",L593)=5,--M593,--O593),0)</ns0:f>
        <ns0:v>0</ns0:v>
      </ns0:c>
      <ns0:c r="Q593" s="0">
        <ns0:f>IFERROR(--N593,0)</ns0:f>
        <ns0:v>0</ns0:v>
      </ns0:c>
      <ns0:c r="R593" s="0">
        <ns0:f>IFERROR(IF(FIND(".",L593)=5,--O593,--M593),0)</ns0:f>
        <ns0:v>0</ns0:v>
      </ns0:c>
      <ns0:c r="S593" s="0">
        <ns0:f>IFERROR(IF(AND(P593&gt;=2000,P593&lt;=2100,Q593&gt;=1,Q593&lt;=12,R593&gt;=1,R593&lt;=31),DATE(P593,Q593,R593),0),0)</ns0:f>
        <ns0:v>0</ns0:v>
      </ns0:c>
      <ns0:c r="T593" s="0">
        <ns0:f>IFERROR(IF(ISNUMBER(Bookings!D593),IF(AND(Bookings!D593=INT(Bookings!D593),Bookings!D593&gt;=DATE(2000,1,1),Bookings!D593&lt;=DATE(2100,12,31)),Bookings!D593,0),IF(AND(K593&lt;&gt;"",LEN("x"&amp;L593)-LEN(SUBSTITUTE("x"&amp;L593,".",""))=2,OR(1&gt;LEN(L593),MID(L593,1,1)=".",ISNUMBER(FIND("x"&amp;MID(L593,1,1),"x0x1x2x3x4x5x6x7x8x9"))),OR(2&gt;LEN(L593),MID(L593,2,1)=".",ISNUMBER(FIND("x"&amp;MID(L593,2,1),"x0x1x2x3x4x5x6x7x8x9"))),OR(3&gt;LEN(L593),MID(L593,3,1)=".",ISNUMBER(FIND("x"&amp;MID(L593,3,1),"x0x1x2x3x4x5x6x7x8x9"))),OR(4&gt;LEN(L593),MID(L593,4,1)=".",ISNUMBER(FIND("x"&amp;MID(L593,4,1),"x0x1x2x3x4x5x6x7x8x9"))),OR(5&gt;LEN(L593),MID(L593,5,1)=".",ISNUMBER(FIND("x"&amp;MID(L593,5,1),"x0x1x2x3x4x5x6x7x8x9"))),OR(6&gt;LEN(L593),MID(L593,6,1)=".",ISNUMBER(FIND("x"&amp;MID(L593,6,1),"x0x1x2x3x4x5x6x7x8x9"))),OR(7&gt;LEN(L593),MID(L593,7,1)=".",ISNUMBER(FIND("x"&amp;MID(L593,7,1),"x0x1x2x3x4x5x6x7x8x9"))),OR(8&gt;LEN(L593),MID(L593,8,1)=".",ISNUMBER(FIND("x"&amp;MID(L593,8,1),"x0x1x2x3x4x5x6x7x8x9"))),OR(9&gt;LEN(L593),MID(L593,9,1)=".",ISNUMBER(FIND("x"&amp;MID(L593,9,1),"x0x1x2x3x4x5x6x7x8x9"))),OR(10&gt;LEN(L593),MID(L593,10,1)=".",ISNUMBER(FIND("x"&amp;MID(L593,10,1),"x0x1x2x3x4x5x6x7x8x9"))),OR(AND(FIND(".",L593)=5,LEN(L593)-FIND(".",L593,FIND(".",L593)+1)&gt;=1,LEN(L593)-FIND(".",L593,FIND(".",L593)+1)&lt;=2),AND(LEN(L593)-FIND(".",L593,FIND(".",L593)+1)=4,FIND(".",L593)&gt;=2,FIND(".",L593)&lt;=3)),FIND(".",L593,FIND(".",L593)+1)-FIND(".",L593)&gt;=2,FIND(".",L593,FIND(".",L593)+1)-FIND(".",L593)&lt;=3,P593&gt;=2000,P593&lt;=2100,YEAR(S593)=P593,MONTH(S593)=Q593,DAY(S593)=R593),S593,0)),0)</ns0:f>
        <ns0:v>0</ns0:v>
      </ns0:c>
      <ns0:c r="U593" s="0" t="str">
        <ns0:f>IF(Bookings!C593="","Full day",Bookings!C593)</ns0:f>
        <ns0:v>Full day</ns0:v>
      </ns0:c>
      <ns0:c r="V593" s="0" t="str">
        <ns0:f>IF(Bookings!E593="","Full day",Bookings!E593)</ns0:f>
        <ns0:v>Full day</ns0:v>
      </ns0:c>
      <ns0:c r="W593" s="0">
        <ns0:f>IF(J593=0,0,J593+IF(U593="PM",1,0))</ns0:f>
        <ns0:v>0</ns0:v>
      </ns0:c>
      <ns0:c r="X593" s="0">
        <ns0:f>IF(T593=0,0,T593-IF(V593="PM",1,0))</ns0:f>
        <ns0:v>0</ns0:v>
      </ns0:c>
      <ns0:c r="Y593" s="0">
        <ns0:f>IF(J593=0,0,J593+IF(U593="AM",1,0))</ns0:f>
        <ns0:v>0</ns0:v>
      </ns0:c>
      <ns0:c r="Z593" s="0">
        <ns0:f>IF(T593=0,0,T593-IF(V593="AM",1,0))</ns0:f>
        <ns0:v>0</ns0:v>
      </ns0:c>
      <ns0:c r="AA593" s="0">
        <ns0:f>IFERROR(IF(AND(J593&gt;0,'_Engine'!C593&gt;0,MID('_Engine'!W593,WEEKDAY(J593,2),1)="W",COUNTIF(Settings!$F$18:$F$67,J593)=0),1,0),0)</ns0:f>
        <ns0:v>0</ns0:v>
      </ns0:c>
      <ns0:c r="AB593" s="0">
        <ns0:f>IFERROR(IF(AND(T593&gt;0,'_Engine'!C593&gt;0,MID('_Engine'!W593,WEEKDAY(T593,2),1)="W",COUNTIF(Settings!$F$18:$F$67,T593)=0),1,0),0)</ns0:f>
        <ns0:v>0</ns0:v>
      </ns0:c>
      <ns0:c r="AC593" s="0">
        <ns0:f>IF(AND(J593&gt;0,T593&gt;0,W593&lt;=X593),1,0)</ns0:f>
        <ns0:v>0</ns0:v>
      </ns0:c>
      <ns0:c r="AD593" s="0">
        <ns0:f>IF(AND(J593&gt;0,T593&gt;0,Y593&lt;=Z593),1,0)</ns0:f>
        <ns0:v>0</ns0:v>
      </ns0:c>
    </ns0:row>
    <ns0:row r="594">
      <ns0:c r="A594" s="0">
        <ns0:f>IFERROR(IF(ISNUMBER(Bookings!B594),"",TRIM(Bookings!B594&amp;"")),"")</ns0:f>
      </ns0:c>
      <ns0:c r="B594" s="0">
        <ns0:f>IFERROR(SUBSTITUTE(SUBSTITUTE(A594,"/","."),"-","."),"")</ns0:f>
      </ns0:c>
      <ns0:c r="C594" s="0">
        <ns0:f>IFERROR(LEFT(B594,FIND(".",B594)-1),"")</ns0:f>
      </ns0:c>
      <ns0:c r="D594" s="0">
        <ns0:f>IFERROR(MID(B594,FIND(".",B594)+1,FIND(".",B594,FIND(".",B594)+1)-FIND(".",B594)-1),"")</ns0:f>
      </ns0:c>
      <ns0:c r="E594" s="0">
        <ns0:f>IFERROR(MID(B594,FIND(".",B594,FIND(".",B594)+1)+1,99),"")</ns0:f>
        <ns0:v>99</ns0:v>
      </ns0:c>
      <ns0:c r="F594" s="0">
        <ns0:f>IFERROR(IF(FIND(".",B594)=5,--C594,--E594),0)</ns0:f>
        <ns0:v>0</ns0:v>
      </ns0:c>
      <ns0:c r="G594" s="0">
        <ns0:f>IFERROR(--D594,0)</ns0:f>
        <ns0:v>0</ns0:v>
      </ns0:c>
      <ns0:c r="H594" s="0">
        <ns0:f>IFERROR(IF(FIND(".",B594)=5,--E594,--C594),0)</ns0:f>
        <ns0:v>0</ns0:v>
      </ns0:c>
      <ns0:c r="I594" s="0">
        <ns0:f>IFERROR(IF(AND(F594&gt;=2000,F594&lt;=2100,G594&gt;=1,G594&lt;=12,H594&gt;=1,H594&lt;=31),DATE(F594,G594,H594),0),0)</ns0:f>
        <ns0:v>0</ns0:v>
      </ns0:c>
      <ns0:c r="J594" s="0">
        <ns0:f>IFERROR(IF(ISNUMBER(Bookings!B594),IF(AND(Bookings!B594=INT(Bookings!B594),Bookings!B594&gt;=DATE(2000,1,1),Bookings!B594&lt;=DATE(2100,12,31)),Bookings!B594,0),IF(AND(A594&lt;&gt;"",LEN("x"&amp;B594)-LEN(SUBSTITUTE("x"&amp;B594,".",""))=2,OR(1&gt;LEN(B594),MID(B594,1,1)=".",ISNUMBER(FIND("x"&amp;MID(B594,1,1),"x0x1x2x3x4x5x6x7x8x9"))),OR(2&gt;LEN(B594),MID(B594,2,1)=".",ISNUMBER(FIND("x"&amp;MID(B594,2,1),"x0x1x2x3x4x5x6x7x8x9"))),OR(3&gt;LEN(B594),MID(B594,3,1)=".",ISNUMBER(FIND("x"&amp;MID(B594,3,1),"x0x1x2x3x4x5x6x7x8x9"))),OR(4&gt;LEN(B594),MID(B594,4,1)=".",ISNUMBER(FIND("x"&amp;MID(B594,4,1),"x0x1x2x3x4x5x6x7x8x9"))),OR(5&gt;LEN(B594),MID(B594,5,1)=".",ISNUMBER(FIND("x"&amp;MID(B594,5,1),"x0x1x2x3x4x5x6x7x8x9"))),OR(6&gt;LEN(B594),MID(B594,6,1)=".",ISNUMBER(FIND("x"&amp;MID(B594,6,1),"x0x1x2x3x4x5x6x7x8x9"))),OR(7&gt;LEN(B594),MID(B594,7,1)=".",ISNUMBER(FIND("x"&amp;MID(B594,7,1),"x0x1x2x3x4x5x6x7x8x9"))),OR(8&gt;LEN(B594),MID(B594,8,1)=".",ISNUMBER(FIND("x"&amp;MID(B594,8,1),"x0x1x2x3x4x5x6x7x8x9"))),OR(9&gt;LEN(B594),MID(B594,9,1)=".",ISNUMBER(FIND("x"&amp;MID(B594,9,1),"x0x1x2x3x4x5x6x7x8x9"))),OR(10&gt;LEN(B594),MID(B594,10,1)=".",ISNUMBER(FIND("x"&amp;MID(B594,10,1),"x0x1x2x3x4x5x6x7x8x9"))),OR(AND(FIND(".",B594)=5,LEN(B594)-FIND(".",B594,FIND(".",B594)+1)&gt;=1,LEN(B594)-FIND(".",B594,FIND(".",B594)+1)&lt;=2),AND(LEN(B594)-FIND(".",B594,FIND(".",B594)+1)=4,FIND(".",B594)&gt;=2,FIND(".",B594)&lt;=3)),FIND(".",B594,FIND(".",B594)+1)-FIND(".",B594)&gt;=2,FIND(".",B594,FIND(".",B594)+1)-FIND(".",B594)&lt;=3,F594&gt;=2000,F594&lt;=2100,YEAR(I594)=F594,MONTH(I594)=G594,DAY(I594)=H594),I594,0)),0)</ns0:f>
        <ns0:v>0</ns0:v>
      </ns0:c>
      <ns0:c r="K594" s="0">
        <ns0:f>IFERROR(IF(ISNUMBER(Bookings!D594),"",TRIM(Bookings!D594&amp;"")),"")</ns0:f>
      </ns0:c>
      <ns0:c r="L594" s="0">
        <ns0:f>IFERROR(SUBSTITUTE(SUBSTITUTE(K594,"/","."),"-","."),"")</ns0:f>
      </ns0:c>
      <ns0:c r="M594" s="0">
        <ns0:f>IFERROR(LEFT(L594,FIND(".",L594)-1),"")</ns0:f>
      </ns0:c>
      <ns0:c r="N594" s="0">
        <ns0:f>IFERROR(MID(L594,FIND(".",L594)+1,FIND(".",L594,FIND(".",L594)+1)-FIND(".",L594)-1),"")</ns0:f>
      </ns0:c>
      <ns0:c r="O594" s="0">
        <ns0:f>IFERROR(MID(L594,FIND(".",L594,FIND(".",L594)+1)+1,99),"")</ns0:f>
        <ns0:v>99</ns0:v>
      </ns0:c>
      <ns0:c r="P594" s="0">
        <ns0:f>IFERROR(IF(FIND(".",L594)=5,--M594,--O594),0)</ns0:f>
        <ns0:v>0</ns0:v>
      </ns0:c>
      <ns0:c r="Q594" s="0">
        <ns0:f>IFERROR(--N594,0)</ns0:f>
        <ns0:v>0</ns0:v>
      </ns0:c>
      <ns0:c r="R594" s="0">
        <ns0:f>IFERROR(IF(FIND(".",L594)=5,--O594,--M594),0)</ns0:f>
        <ns0:v>0</ns0:v>
      </ns0:c>
      <ns0:c r="S594" s="0">
        <ns0:f>IFERROR(IF(AND(P594&gt;=2000,P594&lt;=2100,Q594&gt;=1,Q594&lt;=12,R594&gt;=1,R594&lt;=31),DATE(P594,Q594,R594),0),0)</ns0:f>
        <ns0:v>0</ns0:v>
      </ns0:c>
      <ns0:c r="T594" s="0">
        <ns0:f>IFERROR(IF(ISNUMBER(Bookings!D594),IF(AND(Bookings!D594=INT(Bookings!D594),Bookings!D594&gt;=DATE(2000,1,1),Bookings!D594&lt;=DATE(2100,12,31)),Bookings!D594,0),IF(AND(K594&lt;&gt;"",LEN("x"&amp;L594)-LEN(SUBSTITUTE("x"&amp;L594,".",""))=2,OR(1&gt;LEN(L594),MID(L594,1,1)=".",ISNUMBER(FIND("x"&amp;MID(L594,1,1),"x0x1x2x3x4x5x6x7x8x9"))),OR(2&gt;LEN(L594),MID(L594,2,1)=".",ISNUMBER(FIND("x"&amp;MID(L594,2,1),"x0x1x2x3x4x5x6x7x8x9"))),OR(3&gt;LEN(L594),MID(L594,3,1)=".",ISNUMBER(FIND("x"&amp;MID(L594,3,1),"x0x1x2x3x4x5x6x7x8x9"))),OR(4&gt;LEN(L594),MID(L594,4,1)=".",ISNUMBER(FIND("x"&amp;MID(L594,4,1),"x0x1x2x3x4x5x6x7x8x9"))),OR(5&gt;LEN(L594),MID(L594,5,1)=".",ISNUMBER(FIND("x"&amp;MID(L594,5,1),"x0x1x2x3x4x5x6x7x8x9"))),OR(6&gt;LEN(L594),MID(L594,6,1)=".",ISNUMBER(FIND("x"&amp;MID(L594,6,1),"x0x1x2x3x4x5x6x7x8x9"))),OR(7&gt;LEN(L594),MID(L594,7,1)=".",ISNUMBER(FIND("x"&amp;MID(L594,7,1),"x0x1x2x3x4x5x6x7x8x9"))),OR(8&gt;LEN(L594),MID(L594,8,1)=".",ISNUMBER(FIND("x"&amp;MID(L594,8,1),"x0x1x2x3x4x5x6x7x8x9"))),OR(9&gt;LEN(L594),MID(L594,9,1)=".",ISNUMBER(FIND("x"&amp;MID(L594,9,1),"x0x1x2x3x4x5x6x7x8x9"))),OR(10&gt;LEN(L594),MID(L594,10,1)=".",ISNUMBER(FIND("x"&amp;MID(L594,10,1),"x0x1x2x3x4x5x6x7x8x9"))),OR(AND(FIND(".",L594)=5,LEN(L594)-FIND(".",L594,FIND(".",L594)+1)&gt;=1,LEN(L594)-FIND(".",L594,FIND(".",L594)+1)&lt;=2),AND(LEN(L594)-FIND(".",L594,FIND(".",L594)+1)=4,FIND(".",L594)&gt;=2,FIND(".",L594)&lt;=3)),FIND(".",L594,FIND(".",L594)+1)-FIND(".",L594)&gt;=2,FIND(".",L594,FIND(".",L594)+1)-FIND(".",L594)&lt;=3,P594&gt;=2000,P594&lt;=2100,YEAR(S594)=P594,MONTH(S594)=Q594,DAY(S594)=R594),S594,0)),0)</ns0:f>
        <ns0:v>0</ns0:v>
      </ns0:c>
      <ns0:c r="U594" s="0" t="str">
        <ns0:f>IF(Bookings!C594="","Full day",Bookings!C594)</ns0:f>
        <ns0:v>Full day</ns0:v>
      </ns0:c>
      <ns0:c r="V594" s="0" t="str">
        <ns0:f>IF(Bookings!E594="","Full day",Bookings!E594)</ns0:f>
        <ns0:v>Full day</ns0:v>
      </ns0:c>
      <ns0:c r="W594" s="0">
        <ns0:f>IF(J594=0,0,J594+IF(U594="PM",1,0))</ns0:f>
        <ns0:v>0</ns0:v>
      </ns0:c>
      <ns0:c r="X594" s="0">
        <ns0:f>IF(T594=0,0,T594-IF(V594="PM",1,0))</ns0:f>
        <ns0:v>0</ns0:v>
      </ns0:c>
      <ns0:c r="Y594" s="0">
        <ns0:f>IF(J594=0,0,J594+IF(U594="AM",1,0))</ns0:f>
        <ns0:v>0</ns0:v>
      </ns0:c>
      <ns0:c r="Z594" s="0">
        <ns0:f>IF(T594=0,0,T594-IF(V594="AM",1,0))</ns0:f>
        <ns0:v>0</ns0:v>
      </ns0:c>
      <ns0:c r="AA594" s="0">
        <ns0:f>IFERROR(IF(AND(J594&gt;0,'_Engine'!C594&gt;0,MID('_Engine'!W594,WEEKDAY(J594,2),1)="W",COUNTIF(Settings!$F$18:$F$67,J594)=0),1,0),0)</ns0:f>
        <ns0:v>0</ns0:v>
      </ns0:c>
      <ns0:c r="AB594" s="0">
        <ns0:f>IFERROR(IF(AND(T594&gt;0,'_Engine'!C594&gt;0,MID('_Engine'!W594,WEEKDAY(T594,2),1)="W",COUNTIF(Settings!$F$18:$F$67,T594)=0),1,0),0)</ns0:f>
        <ns0:v>0</ns0:v>
      </ns0:c>
      <ns0:c r="AC594" s="0">
        <ns0:f>IF(AND(J594&gt;0,T594&gt;0,W594&lt;=X594),1,0)</ns0:f>
        <ns0:v>0</ns0:v>
      </ns0:c>
      <ns0:c r="AD594" s="0">
        <ns0:f>IF(AND(J594&gt;0,T594&gt;0,Y594&lt;=Z594),1,0)</ns0:f>
        <ns0:v>0</ns0:v>
      </ns0:c>
    </ns0:row>
    <ns0:row r="595">
      <ns0:c r="A595" s="0">
        <ns0:f>IFERROR(IF(ISNUMBER(Bookings!B595),"",TRIM(Bookings!B595&amp;"")),"")</ns0:f>
      </ns0:c>
      <ns0:c r="B595" s="0">
        <ns0:f>IFERROR(SUBSTITUTE(SUBSTITUTE(A595,"/","."),"-","."),"")</ns0:f>
      </ns0:c>
      <ns0:c r="C595" s="0">
        <ns0:f>IFERROR(LEFT(B595,FIND(".",B595)-1),"")</ns0:f>
      </ns0:c>
      <ns0:c r="D595" s="0">
        <ns0:f>IFERROR(MID(B595,FIND(".",B595)+1,FIND(".",B595,FIND(".",B595)+1)-FIND(".",B595)-1),"")</ns0:f>
      </ns0:c>
      <ns0:c r="E595" s="0">
        <ns0:f>IFERROR(MID(B595,FIND(".",B595,FIND(".",B595)+1)+1,99),"")</ns0:f>
        <ns0:v>99</ns0:v>
      </ns0:c>
      <ns0:c r="F595" s="0">
        <ns0:f>IFERROR(IF(FIND(".",B595)=5,--C595,--E595),0)</ns0:f>
        <ns0:v>0</ns0:v>
      </ns0:c>
      <ns0:c r="G595" s="0">
        <ns0:f>IFERROR(--D595,0)</ns0:f>
        <ns0:v>0</ns0:v>
      </ns0:c>
      <ns0:c r="H595" s="0">
        <ns0:f>IFERROR(IF(FIND(".",B595)=5,--E595,--C595),0)</ns0:f>
        <ns0:v>0</ns0:v>
      </ns0:c>
      <ns0:c r="I595" s="0">
        <ns0:f>IFERROR(IF(AND(F595&gt;=2000,F595&lt;=2100,G595&gt;=1,G595&lt;=12,H595&gt;=1,H595&lt;=31),DATE(F595,G595,H595),0),0)</ns0:f>
        <ns0:v>0</ns0:v>
      </ns0:c>
      <ns0:c r="J595" s="0">
        <ns0:f>IFERROR(IF(ISNUMBER(Bookings!B595),IF(AND(Bookings!B595=INT(Bookings!B595),Bookings!B595&gt;=DATE(2000,1,1),Bookings!B595&lt;=DATE(2100,12,31)),Bookings!B595,0),IF(AND(A595&lt;&gt;"",LEN("x"&amp;B595)-LEN(SUBSTITUTE("x"&amp;B595,".",""))=2,OR(1&gt;LEN(B595),MID(B595,1,1)=".",ISNUMBER(FIND("x"&amp;MID(B595,1,1),"x0x1x2x3x4x5x6x7x8x9"))),OR(2&gt;LEN(B595),MID(B595,2,1)=".",ISNUMBER(FIND("x"&amp;MID(B595,2,1),"x0x1x2x3x4x5x6x7x8x9"))),OR(3&gt;LEN(B595),MID(B595,3,1)=".",ISNUMBER(FIND("x"&amp;MID(B595,3,1),"x0x1x2x3x4x5x6x7x8x9"))),OR(4&gt;LEN(B595),MID(B595,4,1)=".",ISNUMBER(FIND("x"&amp;MID(B595,4,1),"x0x1x2x3x4x5x6x7x8x9"))),OR(5&gt;LEN(B595),MID(B595,5,1)=".",ISNUMBER(FIND("x"&amp;MID(B595,5,1),"x0x1x2x3x4x5x6x7x8x9"))),OR(6&gt;LEN(B595),MID(B595,6,1)=".",ISNUMBER(FIND("x"&amp;MID(B595,6,1),"x0x1x2x3x4x5x6x7x8x9"))),OR(7&gt;LEN(B595),MID(B595,7,1)=".",ISNUMBER(FIND("x"&amp;MID(B595,7,1),"x0x1x2x3x4x5x6x7x8x9"))),OR(8&gt;LEN(B595),MID(B595,8,1)=".",ISNUMBER(FIND("x"&amp;MID(B595,8,1),"x0x1x2x3x4x5x6x7x8x9"))),OR(9&gt;LEN(B595),MID(B595,9,1)=".",ISNUMBER(FIND("x"&amp;MID(B595,9,1),"x0x1x2x3x4x5x6x7x8x9"))),OR(10&gt;LEN(B595),MID(B595,10,1)=".",ISNUMBER(FIND("x"&amp;MID(B595,10,1),"x0x1x2x3x4x5x6x7x8x9"))),OR(AND(FIND(".",B595)=5,LEN(B595)-FIND(".",B595,FIND(".",B595)+1)&gt;=1,LEN(B595)-FIND(".",B595,FIND(".",B595)+1)&lt;=2),AND(LEN(B595)-FIND(".",B595,FIND(".",B595)+1)=4,FIND(".",B595)&gt;=2,FIND(".",B595)&lt;=3)),FIND(".",B595,FIND(".",B595)+1)-FIND(".",B595)&gt;=2,FIND(".",B595,FIND(".",B595)+1)-FIND(".",B595)&lt;=3,F595&gt;=2000,F595&lt;=2100,YEAR(I595)=F595,MONTH(I595)=G595,DAY(I595)=H595),I595,0)),0)</ns0:f>
        <ns0:v>0</ns0:v>
      </ns0:c>
      <ns0:c r="K595" s="0">
        <ns0:f>IFERROR(IF(ISNUMBER(Bookings!D595),"",TRIM(Bookings!D595&amp;"")),"")</ns0:f>
      </ns0:c>
      <ns0:c r="L595" s="0">
        <ns0:f>IFERROR(SUBSTITUTE(SUBSTITUTE(K595,"/","."),"-","."),"")</ns0:f>
      </ns0:c>
      <ns0:c r="M595" s="0">
        <ns0:f>IFERROR(LEFT(L595,FIND(".",L595)-1),"")</ns0:f>
      </ns0:c>
      <ns0:c r="N595" s="0">
        <ns0:f>IFERROR(MID(L595,FIND(".",L595)+1,FIND(".",L595,FIND(".",L595)+1)-FIND(".",L595)-1),"")</ns0:f>
      </ns0:c>
      <ns0:c r="O595" s="0">
        <ns0:f>IFERROR(MID(L595,FIND(".",L595,FIND(".",L595)+1)+1,99),"")</ns0:f>
        <ns0:v>99</ns0:v>
      </ns0:c>
      <ns0:c r="P595" s="0">
        <ns0:f>IFERROR(IF(FIND(".",L595)=5,--M595,--O595),0)</ns0:f>
        <ns0:v>0</ns0:v>
      </ns0:c>
      <ns0:c r="Q595" s="0">
        <ns0:f>IFERROR(--N595,0)</ns0:f>
        <ns0:v>0</ns0:v>
      </ns0:c>
      <ns0:c r="R595" s="0">
        <ns0:f>IFERROR(IF(FIND(".",L595)=5,--O595,--M595),0)</ns0:f>
        <ns0:v>0</ns0:v>
      </ns0:c>
      <ns0:c r="S595" s="0">
        <ns0:f>IFERROR(IF(AND(P595&gt;=2000,P595&lt;=2100,Q595&gt;=1,Q595&lt;=12,R595&gt;=1,R595&lt;=31),DATE(P595,Q595,R595),0),0)</ns0:f>
        <ns0:v>0</ns0:v>
      </ns0:c>
      <ns0:c r="T595" s="0">
        <ns0:f>IFERROR(IF(ISNUMBER(Bookings!D595),IF(AND(Bookings!D595=INT(Bookings!D595),Bookings!D595&gt;=DATE(2000,1,1),Bookings!D595&lt;=DATE(2100,12,31)),Bookings!D595,0),IF(AND(K595&lt;&gt;"",LEN("x"&amp;L595)-LEN(SUBSTITUTE("x"&amp;L595,".",""))=2,OR(1&gt;LEN(L595),MID(L595,1,1)=".",ISNUMBER(FIND("x"&amp;MID(L595,1,1),"x0x1x2x3x4x5x6x7x8x9"))),OR(2&gt;LEN(L595),MID(L595,2,1)=".",ISNUMBER(FIND("x"&amp;MID(L595,2,1),"x0x1x2x3x4x5x6x7x8x9"))),OR(3&gt;LEN(L595),MID(L595,3,1)=".",ISNUMBER(FIND("x"&amp;MID(L595,3,1),"x0x1x2x3x4x5x6x7x8x9"))),OR(4&gt;LEN(L595),MID(L595,4,1)=".",ISNUMBER(FIND("x"&amp;MID(L595,4,1),"x0x1x2x3x4x5x6x7x8x9"))),OR(5&gt;LEN(L595),MID(L595,5,1)=".",ISNUMBER(FIND("x"&amp;MID(L595,5,1),"x0x1x2x3x4x5x6x7x8x9"))),OR(6&gt;LEN(L595),MID(L595,6,1)=".",ISNUMBER(FIND("x"&amp;MID(L595,6,1),"x0x1x2x3x4x5x6x7x8x9"))),OR(7&gt;LEN(L595),MID(L595,7,1)=".",ISNUMBER(FIND("x"&amp;MID(L595,7,1),"x0x1x2x3x4x5x6x7x8x9"))),OR(8&gt;LEN(L595),MID(L595,8,1)=".",ISNUMBER(FIND("x"&amp;MID(L595,8,1),"x0x1x2x3x4x5x6x7x8x9"))),OR(9&gt;LEN(L595),MID(L595,9,1)=".",ISNUMBER(FIND("x"&amp;MID(L595,9,1),"x0x1x2x3x4x5x6x7x8x9"))),OR(10&gt;LEN(L595),MID(L595,10,1)=".",ISNUMBER(FIND("x"&amp;MID(L595,10,1),"x0x1x2x3x4x5x6x7x8x9"))),OR(AND(FIND(".",L595)=5,LEN(L595)-FIND(".",L595,FIND(".",L595)+1)&gt;=1,LEN(L595)-FIND(".",L595,FIND(".",L595)+1)&lt;=2),AND(LEN(L595)-FIND(".",L595,FIND(".",L595)+1)=4,FIND(".",L595)&gt;=2,FIND(".",L595)&lt;=3)),FIND(".",L595,FIND(".",L595)+1)-FIND(".",L595)&gt;=2,FIND(".",L595,FIND(".",L595)+1)-FIND(".",L595)&lt;=3,P595&gt;=2000,P595&lt;=2100,YEAR(S595)=P595,MONTH(S595)=Q595,DAY(S595)=R595),S595,0)),0)</ns0:f>
        <ns0:v>0</ns0:v>
      </ns0:c>
      <ns0:c r="U595" s="0" t="str">
        <ns0:f>IF(Bookings!C595="","Full day",Bookings!C595)</ns0:f>
        <ns0:v>Full day</ns0:v>
      </ns0:c>
      <ns0:c r="V595" s="0" t="str">
        <ns0:f>IF(Bookings!E595="","Full day",Bookings!E595)</ns0:f>
        <ns0:v>Full day</ns0:v>
      </ns0:c>
      <ns0:c r="W595" s="0">
        <ns0:f>IF(J595=0,0,J595+IF(U595="PM",1,0))</ns0:f>
        <ns0:v>0</ns0:v>
      </ns0:c>
      <ns0:c r="X595" s="0">
        <ns0:f>IF(T595=0,0,T595-IF(V595="PM",1,0))</ns0:f>
        <ns0:v>0</ns0:v>
      </ns0:c>
      <ns0:c r="Y595" s="0">
        <ns0:f>IF(J595=0,0,J595+IF(U595="AM",1,0))</ns0:f>
        <ns0:v>0</ns0:v>
      </ns0:c>
      <ns0:c r="Z595" s="0">
        <ns0:f>IF(T595=0,0,T595-IF(V595="AM",1,0))</ns0:f>
        <ns0:v>0</ns0:v>
      </ns0:c>
      <ns0:c r="AA595" s="0">
        <ns0:f>IFERROR(IF(AND(J595&gt;0,'_Engine'!C595&gt;0,MID('_Engine'!W595,WEEKDAY(J595,2),1)="W",COUNTIF(Settings!$F$18:$F$67,J595)=0),1,0),0)</ns0:f>
        <ns0:v>0</ns0:v>
      </ns0:c>
      <ns0:c r="AB595" s="0">
        <ns0:f>IFERROR(IF(AND(T595&gt;0,'_Engine'!C595&gt;0,MID('_Engine'!W595,WEEKDAY(T595,2),1)="W",COUNTIF(Settings!$F$18:$F$67,T595)=0),1,0),0)</ns0:f>
        <ns0:v>0</ns0:v>
      </ns0:c>
      <ns0:c r="AC595" s="0">
        <ns0:f>IF(AND(J595&gt;0,T595&gt;0,W595&lt;=X595),1,0)</ns0:f>
        <ns0:v>0</ns0:v>
      </ns0:c>
      <ns0:c r="AD595" s="0">
        <ns0:f>IF(AND(J595&gt;0,T595&gt;0,Y595&lt;=Z595),1,0)</ns0:f>
        <ns0:v>0</ns0:v>
      </ns0:c>
    </ns0:row>
    <ns0:row r="596">
      <ns0:c r="A596" s="0">
        <ns0:f>IFERROR(IF(ISNUMBER(Bookings!B596),"",TRIM(Bookings!B596&amp;"")),"")</ns0:f>
      </ns0:c>
      <ns0:c r="B596" s="0">
        <ns0:f>IFERROR(SUBSTITUTE(SUBSTITUTE(A596,"/","."),"-","."),"")</ns0:f>
      </ns0:c>
      <ns0:c r="C596" s="0">
        <ns0:f>IFERROR(LEFT(B596,FIND(".",B596)-1),"")</ns0:f>
      </ns0:c>
      <ns0:c r="D596" s="0">
        <ns0:f>IFERROR(MID(B596,FIND(".",B596)+1,FIND(".",B596,FIND(".",B596)+1)-FIND(".",B596)-1),"")</ns0:f>
      </ns0:c>
      <ns0:c r="E596" s="0">
        <ns0:f>IFERROR(MID(B596,FIND(".",B596,FIND(".",B596)+1)+1,99),"")</ns0:f>
        <ns0:v>99</ns0:v>
      </ns0:c>
      <ns0:c r="F596" s="0">
        <ns0:f>IFERROR(IF(FIND(".",B596)=5,--C596,--E596),0)</ns0:f>
        <ns0:v>0</ns0:v>
      </ns0:c>
      <ns0:c r="G596" s="0">
        <ns0:f>IFERROR(--D596,0)</ns0:f>
        <ns0:v>0</ns0:v>
      </ns0:c>
      <ns0:c r="H596" s="0">
        <ns0:f>IFERROR(IF(FIND(".",B596)=5,--E596,--C596),0)</ns0:f>
        <ns0:v>0</ns0:v>
      </ns0:c>
      <ns0:c r="I596" s="0">
        <ns0:f>IFERROR(IF(AND(F596&gt;=2000,F596&lt;=2100,G596&gt;=1,G596&lt;=12,H596&gt;=1,H596&lt;=31),DATE(F596,G596,H596),0),0)</ns0:f>
        <ns0:v>0</ns0:v>
      </ns0:c>
      <ns0:c r="J596" s="0">
        <ns0:f>IFERROR(IF(ISNUMBER(Bookings!B596),IF(AND(Bookings!B596=INT(Bookings!B596),Bookings!B596&gt;=DATE(2000,1,1),Bookings!B596&lt;=DATE(2100,12,31)),Bookings!B596,0),IF(AND(A596&lt;&gt;"",LEN("x"&amp;B596)-LEN(SUBSTITUTE("x"&amp;B596,".",""))=2,OR(1&gt;LEN(B596),MID(B596,1,1)=".",ISNUMBER(FIND("x"&amp;MID(B596,1,1),"x0x1x2x3x4x5x6x7x8x9"))),OR(2&gt;LEN(B596),MID(B596,2,1)=".",ISNUMBER(FIND("x"&amp;MID(B596,2,1),"x0x1x2x3x4x5x6x7x8x9"))),OR(3&gt;LEN(B596),MID(B596,3,1)=".",ISNUMBER(FIND("x"&amp;MID(B596,3,1),"x0x1x2x3x4x5x6x7x8x9"))),OR(4&gt;LEN(B596),MID(B596,4,1)=".",ISNUMBER(FIND("x"&amp;MID(B596,4,1),"x0x1x2x3x4x5x6x7x8x9"))),OR(5&gt;LEN(B596),MID(B596,5,1)=".",ISNUMBER(FIND("x"&amp;MID(B596,5,1),"x0x1x2x3x4x5x6x7x8x9"))),OR(6&gt;LEN(B596),MID(B596,6,1)=".",ISNUMBER(FIND("x"&amp;MID(B596,6,1),"x0x1x2x3x4x5x6x7x8x9"))),OR(7&gt;LEN(B596),MID(B596,7,1)=".",ISNUMBER(FIND("x"&amp;MID(B596,7,1),"x0x1x2x3x4x5x6x7x8x9"))),OR(8&gt;LEN(B596),MID(B596,8,1)=".",ISNUMBER(FIND("x"&amp;MID(B596,8,1),"x0x1x2x3x4x5x6x7x8x9"))),OR(9&gt;LEN(B596),MID(B596,9,1)=".",ISNUMBER(FIND("x"&amp;MID(B596,9,1),"x0x1x2x3x4x5x6x7x8x9"))),OR(10&gt;LEN(B596),MID(B596,10,1)=".",ISNUMBER(FIND("x"&amp;MID(B596,10,1),"x0x1x2x3x4x5x6x7x8x9"))),OR(AND(FIND(".",B596)=5,LEN(B596)-FIND(".",B596,FIND(".",B596)+1)&gt;=1,LEN(B596)-FIND(".",B596,FIND(".",B596)+1)&lt;=2),AND(LEN(B596)-FIND(".",B596,FIND(".",B596)+1)=4,FIND(".",B596)&gt;=2,FIND(".",B596)&lt;=3)),FIND(".",B596,FIND(".",B596)+1)-FIND(".",B596)&gt;=2,FIND(".",B596,FIND(".",B596)+1)-FIND(".",B596)&lt;=3,F596&gt;=2000,F596&lt;=2100,YEAR(I596)=F596,MONTH(I596)=G596,DAY(I596)=H596),I596,0)),0)</ns0:f>
        <ns0:v>0</ns0:v>
      </ns0:c>
      <ns0:c r="K596" s="0">
        <ns0:f>IFERROR(IF(ISNUMBER(Bookings!D596),"",TRIM(Bookings!D596&amp;"")),"")</ns0:f>
      </ns0:c>
      <ns0:c r="L596" s="0">
        <ns0:f>IFERROR(SUBSTITUTE(SUBSTITUTE(K596,"/","."),"-","."),"")</ns0:f>
      </ns0:c>
      <ns0:c r="M596" s="0">
        <ns0:f>IFERROR(LEFT(L596,FIND(".",L596)-1),"")</ns0:f>
      </ns0:c>
      <ns0:c r="N596" s="0">
        <ns0:f>IFERROR(MID(L596,FIND(".",L596)+1,FIND(".",L596,FIND(".",L596)+1)-FIND(".",L596)-1),"")</ns0:f>
      </ns0:c>
      <ns0:c r="O596" s="0">
        <ns0:f>IFERROR(MID(L596,FIND(".",L596,FIND(".",L596)+1)+1,99),"")</ns0:f>
        <ns0:v>99</ns0:v>
      </ns0:c>
      <ns0:c r="P596" s="0">
        <ns0:f>IFERROR(IF(FIND(".",L596)=5,--M596,--O596),0)</ns0:f>
        <ns0:v>0</ns0:v>
      </ns0:c>
      <ns0:c r="Q596" s="0">
        <ns0:f>IFERROR(--N596,0)</ns0:f>
        <ns0:v>0</ns0:v>
      </ns0:c>
      <ns0:c r="R596" s="0">
        <ns0:f>IFERROR(IF(FIND(".",L596)=5,--O596,--M596),0)</ns0:f>
        <ns0:v>0</ns0:v>
      </ns0:c>
      <ns0:c r="S596" s="0">
        <ns0:f>IFERROR(IF(AND(P596&gt;=2000,P596&lt;=2100,Q596&gt;=1,Q596&lt;=12,R596&gt;=1,R596&lt;=31),DATE(P596,Q596,R596),0),0)</ns0:f>
        <ns0:v>0</ns0:v>
      </ns0:c>
      <ns0:c r="T596" s="0">
        <ns0:f>IFERROR(IF(ISNUMBER(Bookings!D596),IF(AND(Bookings!D596=INT(Bookings!D596),Bookings!D596&gt;=DATE(2000,1,1),Bookings!D596&lt;=DATE(2100,12,31)),Bookings!D596,0),IF(AND(K596&lt;&gt;"",LEN("x"&amp;L596)-LEN(SUBSTITUTE("x"&amp;L596,".",""))=2,OR(1&gt;LEN(L596),MID(L596,1,1)=".",ISNUMBER(FIND("x"&amp;MID(L596,1,1),"x0x1x2x3x4x5x6x7x8x9"))),OR(2&gt;LEN(L596),MID(L596,2,1)=".",ISNUMBER(FIND("x"&amp;MID(L596,2,1),"x0x1x2x3x4x5x6x7x8x9"))),OR(3&gt;LEN(L596),MID(L596,3,1)=".",ISNUMBER(FIND("x"&amp;MID(L596,3,1),"x0x1x2x3x4x5x6x7x8x9"))),OR(4&gt;LEN(L596),MID(L596,4,1)=".",ISNUMBER(FIND("x"&amp;MID(L596,4,1),"x0x1x2x3x4x5x6x7x8x9"))),OR(5&gt;LEN(L596),MID(L596,5,1)=".",ISNUMBER(FIND("x"&amp;MID(L596,5,1),"x0x1x2x3x4x5x6x7x8x9"))),OR(6&gt;LEN(L596),MID(L596,6,1)=".",ISNUMBER(FIND("x"&amp;MID(L596,6,1),"x0x1x2x3x4x5x6x7x8x9"))),OR(7&gt;LEN(L596),MID(L596,7,1)=".",ISNUMBER(FIND("x"&amp;MID(L596,7,1),"x0x1x2x3x4x5x6x7x8x9"))),OR(8&gt;LEN(L596),MID(L596,8,1)=".",ISNUMBER(FIND("x"&amp;MID(L596,8,1),"x0x1x2x3x4x5x6x7x8x9"))),OR(9&gt;LEN(L596),MID(L596,9,1)=".",ISNUMBER(FIND("x"&amp;MID(L596,9,1),"x0x1x2x3x4x5x6x7x8x9"))),OR(10&gt;LEN(L596),MID(L596,10,1)=".",ISNUMBER(FIND("x"&amp;MID(L596,10,1),"x0x1x2x3x4x5x6x7x8x9"))),OR(AND(FIND(".",L596)=5,LEN(L596)-FIND(".",L596,FIND(".",L596)+1)&gt;=1,LEN(L596)-FIND(".",L596,FIND(".",L596)+1)&lt;=2),AND(LEN(L596)-FIND(".",L596,FIND(".",L596)+1)=4,FIND(".",L596)&gt;=2,FIND(".",L596)&lt;=3)),FIND(".",L596,FIND(".",L596)+1)-FIND(".",L596)&gt;=2,FIND(".",L596,FIND(".",L596)+1)-FIND(".",L596)&lt;=3,P596&gt;=2000,P596&lt;=2100,YEAR(S596)=P596,MONTH(S596)=Q596,DAY(S596)=R596),S596,0)),0)</ns0:f>
        <ns0:v>0</ns0:v>
      </ns0:c>
      <ns0:c r="U596" s="0" t="str">
        <ns0:f>IF(Bookings!C596="","Full day",Bookings!C596)</ns0:f>
        <ns0:v>Full day</ns0:v>
      </ns0:c>
      <ns0:c r="V596" s="0" t="str">
        <ns0:f>IF(Bookings!E596="","Full day",Bookings!E596)</ns0:f>
        <ns0:v>Full day</ns0:v>
      </ns0:c>
      <ns0:c r="W596" s="0">
        <ns0:f>IF(J596=0,0,J596+IF(U596="PM",1,0))</ns0:f>
        <ns0:v>0</ns0:v>
      </ns0:c>
      <ns0:c r="X596" s="0">
        <ns0:f>IF(T596=0,0,T596-IF(V596="PM",1,0))</ns0:f>
        <ns0:v>0</ns0:v>
      </ns0:c>
      <ns0:c r="Y596" s="0">
        <ns0:f>IF(J596=0,0,J596+IF(U596="AM",1,0))</ns0:f>
        <ns0:v>0</ns0:v>
      </ns0:c>
      <ns0:c r="Z596" s="0">
        <ns0:f>IF(T596=0,0,T596-IF(V596="AM",1,0))</ns0:f>
        <ns0:v>0</ns0:v>
      </ns0:c>
      <ns0:c r="AA596" s="0">
        <ns0:f>IFERROR(IF(AND(J596&gt;0,'_Engine'!C596&gt;0,MID('_Engine'!W596,WEEKDAY(J596,2),1)="W",COUNTIF(Settings!$F$18:$F$67,J596)=0),1,0),0)</ns0:f>
        <ns0:v>0</ns0:v>
      </ns0:c>
      <ns0:c r="AB596" s="0">
        <ns0:f>IFERROR(IF(AND(T596&gt;0,'_Engine'!C596&gt;0,MID('_Engine'!W596,WEEKDAY(T596,2),1)="W",COUNTIF(Settings!$F$18:$F$67,T596)=0),1,0),0)</ns0:f>
        <ns0:v>0</ns0:v>
      </ns0:c>
      <ns0:c r="AC596" s="0">
        <ns0:f>IF(AND(J596&gt;0,T596&gt;0,W596&lt;=X596),1,0)</ns0:f>
        <ns0:v>0</ns0:v>
      </ns0:c>
      <ns0:c r="AD596" s="0">
        <ns0:f>IF(AND(J596&gt;0,T596&gt;0,Y596&lt;=Z596),1,0)</ns0:f>
        <ns0:v>0</ns0:v>
      </ns0:c>
    </ns0:row>
    <ns0:row r="597">
      <ns0:c r="A597" s="0">
        <ns0:f>IFERROR(IF(ISNUMBER(Bookings!B597),"",TRIM(Bookings!B597&amp;"")),"")</ns0:f>
      </ns0:c>
      <ns0:c r="B597" s="0">
        <ns0:f>IFERROR(SUBSTITUTE(SUBSTITUTE(A597,"/","."),"-","."),"")</ns0:f>
      </ns0:c>
      <ns0:c r="C597" s="0">
        <ns0:f>IFERROR(LEFT(B597,FIND(".",B597)-1),"")</ns0:f>
      </ns0:c>
      <ns0:c r="D597" s="0">
        <ns0:f>IFERROR(MID(B597,FIND(".",B597)+1,FIND(".",B597,FIND(".",B597)+1)-FIND(".",B597)-1),"")</ns0:f>
      </ns0:c>
      <ns0:c r="E597" s="0">
        <ns0:f>IFERROR(MID(B597,FIND(".",B597,FIND(".",B597)+1)+1,99),"")</ns0:f>
        <ns0:v>99</ns0:v>
      </ns0:c>
      <ns0:c r="F597" s="0">
        <ns0:f>IFERROR(IF(FIND(".",B597)=5,--C597,--E597),0)</ns0:f>
        <ns0:v>0</ns0:v>
      </ns0:c>
      <ns0:c r="G597" s="0">
        <ns0:f>IFERROR(--D597,0)</ns0:f>
        <ns0:v>0</ns0:v>
      </ns0:c>
      <ns0:c r="H597" s="0">
        <ns0:f>IFERROR(IF(FIND(".",B597)=5,--E597,--C597),0)</ns0:f>
        <ns0:v>0</ns0:v>
      </ns0:c>
      <ns0:c r="I597" s="0">
        <ns0:f>IFERROR(IF(AND(F597&gt;=2000,F597&lt;=2100,G597&gt;=1,G597&lt;=12,H597&gt;=1,H597&lt;=31),DATE(F597,G597,H597),0),0)</ns0:f>
        <ns0:v>0</ns0:v>
      </ns0:c>
      <ns0:c r="J597" s="0">
        <ns0:f>IFERROR(IF(ISNUMBER(Bookings!B597),IF(AND(Bookings!B597=INT(Bookings!B597),Bookings!B597&gt;=DATE(2000,1,1),Bookings!B597&lt;=DATE(2100,12,31)),Bookings!B597,0),IF(AND(A597&lt;&gt;"",LEN("x"&amp;B597)-LEN(SUBSTITUTE("x"&amp;B597,".",""))=2,OR(1&gt;LEN(B597),MID(B597,1,1)=".",ISNUMBER(FIND("x"&amp;MID(B597,1,1),"x0x1x2x3x4x5x6x7x8x9"))),OR(2&gt;LEN(B597),MID(B597,2,1)=".",ISNUMBER(FIND("x"&amp;MID(B597,2,1),"x0x1x2x3x4x5x6x7x8x9"))),OR(3&gt;LEN(B597),MID(B597,3,1)=".",ISNUMBER(FIND("x"&amp;MID(B597,3,1),"x0x1x2x3x4x5x6x7x8x9"))),OR(4&gt;LEN(B597),MID(B597,4,1)=".",ISNUMBER(FIND("x"&amp;MID(B597,4,1),"x0x1x2x3x4x5x6x7x8x9"))),OR(5&gt;LEN(B597),MID(B597,5,1)=".",ISNUMBER(FIND("x"&amp;MID(B597,5,1),"x0x1x2x3x4x5x6x7x8x9"))),OR(6&gt;LEN(B597),MID(B597,6,1)=".",ISNUMBER(FIND("x"&amp;MID(B597,6,1),"x0x1x2x3x4x5x6x7x8x9"))),OR(7&gt;LEN(B597),MID(B597,7,1)=".",ISNUMBER(FIND("x"&amp;MID(B597,7,1),"x0x1x2x3x4x5x6x7x8x9"))),OR(8&gt;LEN(B597),MID(B597,8,1)=".",ISNUMBER(FIND("x"&amp;MID(B597,8,1),"x0x1x2x3x4x5x6x7x8x9"))),OR(9&gt;LEN(B597),MID(B597,9,1)=".",ISNUMBER(FIND("x"&amp;MID(B597,9,1),"x0x1x2x3x4x5x6x7x8x9"))),OR(10&gt;LEN(B597),MID(B597,10,1)=".",ISNUMBER(FIND("x"&amp;MID(B597,10,1),"x0x1x2x3x4x5x6x7x8x9"))),OR(AND(FIND(".",B597)=5,LEN(B597)-FIND(".",B597,FIND(".",B597)+1)&gt;=1,LEN(B597)-FIND(".",B597,FIND(".",B597)+1)&lt;=2),AND(LEN(B597)-FIND(".",B597,FIND(".",B597)+1)=4,FIND(".",B597)&gt;=2,FIND(".",B597)&lt;=3)),FIND(".",B597,FIND(".",B597)+1)-FIND(".",B597)&gt;=2,FIND(".",B597,FIND(".",B597)+1)-FIND(".",B597)&lt;=3,F597&gt;=2000,F597&lt;=2100,YEAR(I597)=F597,MONTH(I597)=G597,DAY(I597)=H597),I597,0)),0)</ns0:f>
        <ns0:v>0</ns0:v>
      </ns0:c>
      <ns0:c r="K597" s="0">
        <ns0:f>IFERROR(IF(ISNUMBER(Bookings!D597),"",TRIM(Bookings!D597&amp;"")),"")</ns0:f>
      </ns0:c>
      <ns0:c r="L597" s="0">
        <ns0:f>IFERROR(SUBSTITUTE(SUBSTITUTE(K597,"/","."),"-","."),"")</ns0:f>
      </ns0:c>
      <ns0:c r="M597" s="0">
        <ns0:f>IFERROR(LEFT(L597,FIND(".",L597)-1),"")</ns0:f>
      </ns0:c>
      <ns0:c r="N597" s="0">
        <ns0:f>IFERROR(MID(L597,FIND(".",L597)+1,FIND(".",L597,FIND(".",L597)+1)-FIND(".",L597)-1),"")</ns0:f>
      </ns0:c>
      <ns0:c r="O597" s="0">
        <ns0:f>IFERROR(MID(L597,FIND(".",L597,FIND(".",L597)+1)+1,99),"")</ns0:f>
        <ns0:v>99</ns0:v>
      </ns0:c>
      <ns0:c r="P597" s="0">
        <ns0:f>IFERROR(IF(FIND(".",L597)=5,--M597,--O597),0)</ns0:f>
        <ns0:v>0</ns0:v>
      </ns0:c>
      <ns0:c r="Q597" s="0">
        <ns0:f>IFERROR(--N597,0)</ns0:f>
        <ns0:v>0</ns0:v>
      </ns0:c>
      <ns0:c r="R597" s="0">
        <ns0:f>IFERROR(IF(FIND(".",L597)=5,--O597,--M597),0)</ns0:f>
        <ns0:v>0</ns0:v>
      </ns0:c>
      <ns0:c r="S597" s="0">
        <ns0:f>IFERROR(IF(AND(P597&gt;=2000,P597&lt;=2100,Q597&gt;=1,Q597&lt;=12,R597&gt;=1,R597&lt;=31),DATE(P597,Q597,R597),0),0)</ns0:f>
        <ns0:v>0</ns0:v>
      </ns0:c>
      <ns0:c r="T597" s="0">
        <ns0:f>IFERROR(IF(ISNUMBER(Bookings!D597),IF(AND(Bookings!D597=INT(Bookings!D597),Bookings!D597&gt;=DATE(2000,1,1),Bookings!D597&lt;=DATE(2100,12,31)),Bookings!D597,0),IF(AND(K597&lt;&gt;"",LEN("x"&amp;L597)-LEN(SUBSTITUTE("x"&amp;L597,".",""))=2,OR(1&gt;LEN(L597),MID(L597,1,1)=".",ISNUMBER(FIND("x"&amp;MID(L597,1,1),"x0x1x2x3x4x5x6x7x8x9"))),OR(2&gt;LEN(L597),MID(L597,2,1)=".",ISNUMBER(FIND("x"&amp;MID(L597,2,1),"x0x1x2x3x4x5x6x7x8x9"))),OR(3&gt;LEN(L597),MID(L597,3,1)=".",ISNUMBER(FIND("x"&amp;MID(L597,3,1),"x0x1x2x3x4x5x6x7x8x9"))),OR(4&gt;LEN(L597),MID(L597,4,1)=".",ISNUMBER(FIND("x"&amp;MID(L597,4,1),"x0x1x2x3x4x5x6x7x8x9"))),OR(5&gt;LEN(L597),MID(L597,5,1)=".",ISNUMBER(FIND("x"&amp;MID(L597,5,1),"x0x1x2x3x4x5x6x7x8x9"))),OR(6&gt;LEN(L597),MID(L597,6,1)=".",ISNUMBER(FIND("x"&amp;MID(L597,6,1),"x0x1x2x3x4x5x6x7x8x9"))),OR(7&gt;LEN(L597),MID(L597,7,1)=".",ISNUMBER(FIND("x"&amp;MID(L597,7,1),"x0x1x2x3x4x5x6x7x8x9"))),OR(8&gt;LEN(L597),MID(L597,8,1)=".",ISNUMBER(FIND("x"&amp;MID(L597,8,1),"x0x1x2x3x4x5x6x7x8x9"))),OR(9&gt;LEN(L597),MID(L597,9,1)=".",ISNUMBER(FIND("x"&amp;MID(L597,9,1),"x0x1x2x3x4x5x6x7x8x9"))),OR(10&gt;LEN(L597),MID(L597,10,1)=".",ISNUMBER(FIND("x"&amp;MID(L597,10,1),"x0x1x2x3x4x5x6x7x8x9"))),OR(AND(FIND(".",L597)=5,LEN(L597)-FIND(".",L597,FIND(".",L597)+1)&gt;=1,LEN(L597)-FIND(".",L597,FIND(".",L597)+1)&lt;=2),AND(LEN(L597)-FIND(".",L597,FIND(".",L597)+1)=4,FIND(".",L597)&gt;=2,FIND(".",L597)&lt;=3)),FIND(".",L597,FIND(".",L597)+1)-FIND(".",L597)&gt;=2,FIND(".",L597,FIND(".",L597)+1)-FIND(".",L597)&lt;=3,P597&gt;=2000,P597&lt;=2100,YEAR(S597)=P597,MONTH(S597)=Q597,DAY(S597)=R597),S597,0)),0)</ns0:f>
        <ns0:v>0</ns0:v>
      </ns0:c>
      <ns0:c r="U597" s="0" t="str">
        <ns0:f>IF(Bookings!C597="","Full day",Bookings!C597)</ns0:f>
        <ns0:v>Full day</ns0:v>
      </ns0:c>
      <ns0:c r="V597" s="0" t="str">
        <ns0:f>IF(Bookings!E597="","Full day",Bookings!E597)</ns0:f>
        <ns0:v>Full day</ns0:v>
      </ns0:c>
      <ns0:c r="W597" s="0">
        <ns0:f>IF(J597=0,0,J597+IF(U597="PM",1,0))</ns0:f>
        <ns0:v>0</ns0:v>
      </ns0:c>
      <ns0:c r="X597" s="0">
        <ns0:f>IF(T597=0,0,T597-IF(V597="PM",1,0))</ns0:f>
        <ns0:v>0</ns0:v>
      </ns0:c>
      <ns0:c r="Y597" s="0">
        <ns0:f>IF(J597=0,0,J597+IF(U597="AM",1,0))</ns0:f>
        <ns0:v>0</ns0:v>
      </ns0:c>
      <ns0:c r="Z597" s="0">
        <ns0:f>IF(T597=0,0,T597-IF(V597="AM",1,0))</ns0:f>
        <ns0:v>0</ns0:v>
      </ns0:c>
      <ns0:c r="AA597" s="0">
        <ns0:f>IFERROR(IF(AND(J597&gt;0,'_Engine'!C597&gt;0,MID('_Engine'!W597,WEEKDAY(J597,2),1)="W",COUNTIF(Settings!$F$18:$F$67,J597)=0),1,0),0)</ns0:f>
        <ns0:v>0</ns0:v>
      </ns0:c>
      <ns0:c r="AB597" s="0">
        <ns0:f>IFERROR(IF(AND(T597&gt;0,'_Engine'!C597&gt;0,MID('_Engine'!W597,WEEKDAY(T597,2),1)="W",COUNTIF(Settings!$F$18:$F$67,T597)=0),1,0),0)</ns0:f>
        <ns0:v>0</ns0:v>
      </ns0:c>
      <ns0:c r="AC597" s="0">
        <ns0:f>IF(AND(J597&gt;0,T597&gt;0,W597&lt;=X597),1,0)</ns0:f>
        <ns0:v>0</ns0:v>
      </ns0:c>
      <ns0:c r="AD597" s="0">
        <ns0:f>IF(AND(J597&gt;0,T597&gt;0,Y597&lt;=Z597),1,0)</ns0:f>
        <ns0:v>0</ns0:v>
      </ns0:c>
    </ns0:row>
    <ns0:row r="598">
      <ns0:c r="A598" s="0">
        <ns0:f>IFERROR(IF(ISNUMBER(Bookings!B598),"",TRIM(Bookings!B598&amp;"")),"")</ns0:f>
      </ns0:c>
      <ns0:c r="B598" s="0">
        <ns0:f>IFERROR(SUBSTITUTE(SUBSTITUTE(A598,"/","."),"-","."),"")</ns0:f>
      </ns0:c>
      <ns0:c r="C598" s="0">
        <ns0:f>IFERROR(LEFT(B598,FIND(".",B598)-1),"")</ns0:f>
      </ns0:c>
      <ns0:c r="D598" s="0">
        <ns0:f>IFERROR(MID(B598,FIND(".",B598)+1,FIND(".",B598,FIND(".",B598)+1)-FIND(".",B598)-1),"")</ns0:f>
      </ns0:c>
      <ns0:c r="E598" s="0">
        <ns0:f>IFERROR(MID(B598,FIND(".",B598,FIND(".",B598)+1)+1,99),"")</ns0:f>
        <ns0:v>99</ns0:v>
      </ns0:c>
      <ns0:c r="F598" s="0">
        <ns0:f>IFERROR(IF(FIND(".",B598)=5,--C598,--E598),0)</ns0:f>
        <ns0:v>0</ns0:v>
      </ns0:c>
      <ns0:c r="G598" s="0">
        <ns0:f>IFERROR(--D598,0)</ns0:f>
        <ns0:v>0</ns0:v>
      </ns0:c>
      <ns0:c r="H598" s="0">
        <ns0:f>IFERROR(IF(FIND(".",B598)=5,--E598,--C598),0)</ns0:f>
        <ns0:v>0</ns0:v>
      </ns0:c>
      <ns0:c r="I598" s="0">
        <ns0:f>IFERROR(IF(AND(F598&gt;=2000,F598&lt;=2100,G598&gt;=1,G598&lt;=12,H598&gt;=1,H598&lt;=31),DATE(F598,G598,H598),0),0)</ns0:f>
        <ns0:v>0</ns0:v>
      </ns0:c>
      <ns0:c r="J598" s="0">
        <ns0:f>IFERROR(IF(ISNUMBER(Bookings!B598),IF(AND(Bookings!B598=INT(Bookings!B598),Bookings!B598&gt;=DATE(2000,1,1),Bookings!B598&lt;=DATE(2100,12,31)),Bookings!B598,0),IF(AND(A598&lt;&gt;"",LEN("x"&amp;B598)-LEN(SUBSTITUTE("x"&amp;B598,".",""))=2,OR(1&gt;LEN(B598),MID(B598,1,1)=".",ISNUMBER(FIND("x"&amp;MID(B598,1,1),"x0x1x2x3x4x5x6x7x8x9"))),OR(2&gt;LEN(B598),MID(B598,2,1)=".",ISNUMBER(FIND("x"&amp;MID(B598,2,1),"x0x1x2x3x4x5x6x7x8x9"))),OR(3&gt;LEN(B598),MID(B598,3,1)=".",ISNUMBER(FIND("x"&amp;MID(B598,3,1),"x0x1x2x3x4x5x6x7x8x9"))),OR(4&gt;LEN(B598),MID(B598,4,1)=".",ISNUMBER(FIND("x"&amp;MID(B598,4,1),"x0x1x2x3x4x5x6x7x8x9"))),OR(5&gt;LEN(B598),MID(B598,5,1)=".",ISNUMBER(FIND("x"&amp;MID(B598,5,1),"x0x1x2x3x4x5x6x7x8x9"))),OR(6&gt;LEN(B598),MID(B598,6,1)=".",ISNUMBER(FIND("x"&amp;MID(B598,6,1),"x0x1x2x3x4x5x6x7x8x9"))),OR(7&gt;LEN(B598),MID(B598,7,1)=".",ISNUMBER(FIND("x"&amp;MID(B598,7,1),"x0x1x2x3x4x5x6x7x8x9"))),OR(8&gt;LEN(B598),MID(B598,8,1)=".",ISNUMBER(FIND("x"&amp;MID(B598,8,1),"x0x1x2x3x4x5x6x7x8x9"))),OR(9&gt;LEN(B598),MID(B598,9,1)=".",ISNUMBER(FIND("x"&amp;MID(B598,9,1),"x0x1x2x3x4x5x6x7x8x9"))),OR(10&gt;LEN(B598),MID(B598,10,1)=".",ISNUMBER(FIND("x"&amp;MID(B598,10,1),"x0x1x2x3x4x5x6x7x8x9"))),OR(AND(FIND(".",B598)=5,LEN(B598)-FIND(".",B598,FIND(".",B598)+1)&gt;=1,LEN(B598)-FIND(".",B598,FIND(".",B598)+1)&lt;=2),AND(LEN(B598)-FIND(".",B598,FIND(".",B598)+1)=4,FIND(".",B598)&gt;=2,FIND(".",B598)&lt;=3)),FIND(".",B598,FIND(".",B598)+1)-FIND(".",B598)&gt;=2,FIND(".",B598,FIND(".",B598)+1)-FIND(".",B598)&lt;=3,F598&gt;=2000,F598&lt;=2100,YEAR(I598)=F598,MONTH(I598)=G598,DAY(I598)=H598),I598,0)),0)</ns0:f>
        <ns0:v>0</ns0:v>
      </ns0:c>
      <ns0:c r="K598" s="0">
        <ns0:f>IFERROR(IF(ISNUMBER(Bookings!D598),"",TRIM(Bookings!D598&amp;"")),"")</ns0:f>
      </ns0:c>
      <ns0:c r="L598" s="0">
        <ns0:f>IFERROR(SUBSTITUTE(SUBSTITUTE(K598,"/","."),"-","."),"")</ns0:f>
      </ns0:c>
      <ns0:c r="M598" s="0">
        <ns0:f>IFERROR(LEFT(L598,FIND(".",L598)-1),"")</ns0:f>
      </ns0:c>
      <ns0:c r="N598" s="0">
        <ns0:f>IFERROR(MID(L598,FIND(".",L598)+1,FIND(".",L598,FIND(".",L598)+1)-FIND(".",L598)-1),"")</ns0:f>
      </ns0:c>
      <ns0:c r="O598" s="0">
        <ns0:f>IFERROR(MID(L598,FIND(".",L598,FIND(".",L598)+1)+1,99),"")</ns0:f>
        <ns0:v>99</ns0:v>
      </ns0:c>
      <ns0:c r="P598" s="0">
        <ns0:f>IFERROR(IF(FIND(".",L598)=5,--M598,--O598),0)</ns0:f>
        <ns0:v>0</ns0:v>
      </ns0:c>
      <ns0:c r="Q598" s="0">
        <ns0:f>IFERROR(--N598,0)</ns0:f>
        <ns0:v>0</ns0:v>
      </ns0:c>
      <ns0:c r="R598" s="0">
        <ns0:f>IFERROR(IF(FIND(".",L598)=5,--O598,--M598),0)</ns0:f>
        <ns0:v>0</ns0:v>
      </ns0:c>
      <ns0:c r="S598" s="0">
        <ns0:f>IFERROR(IF(AND(P598&gt;=2000,P598&lt;=2100,Q598&gt;=1,Q598&lt;=12,R598&gt;=1,R598&lt;=31),DATE(P598,Q598,R598),0),0)</ns0:f>
        <ns0:v>0</ns0:v>
      </ns0:c>
      <ns0:c r="T598" s="0">
        <ns0:f>IFERROR(IF(ISNUMBER(Bookings!D598),IF(AND(Bookings!D598=INT(Bookings!D598),Bookings!D598&gt;=DATE(2000,1,1),Bookings!D598&lt;=DATE(2100,12,31)),Bookings!D598,0),IF(AND(K598&lt;&gt;"",LEN("x"&amp;L598)-LEN(SUBSTITUTE("x"&amp;L598,".",""))=2,OR(1&gt;LEN(L598),MID(L598,1,1)=".",ISNUMBER(FIND("x"&amp;MID(L598,1,1),"x0x1x2x3x4x5x6x7x8x9"))),OR(2&gt;LEN(L598),MID(L598,2,1)=".",ISNUMBER(FIND("x"&amp;MID(L598,2,1),"x0x1x2x3x4x5x6x7x8x9"))),OR(3&gt;LEN(L598),MID(L598,3,1)=".",ISNUMBER(FIND("x"&amp;MID(L598,3,1),"x0x1x2x3x4x5x6x7x8x9"))),OR(4&gt;LEN(L598),MID(L598,4,1)=".",ISNUMBER(FIND("x"&amp;MID(L598,4,1),"x0x1x2x3x4x5x6x7x8x9"))),OR(5&gt;LEN(L598),MID(L598,5,1)=".",ISNUMBER(FIND("x"&amp;MID(L598,5,1),"x0x1x2x3x4x5x6x7x8x9"))),OR(6&gt;LEN(L598),MID(L598,6,1)=".",ISNUMBER(FIND("x"&amp;MID(L598,6,1),"x0x1x2x3x4x5x6x7x8x9"))),OR(7&gt;LEN(L598),MID(L598,7,1)=".",ISNUMBER(FIND("x"&amp;MID(L598,7,1),"x0x1x2x3x4x5x6x7x8x9"))),OR(8&gt;LEN(L598),MID(L598,8,1)=".",ISNUMBER(FIND("x"&amp;MID(L598,8,1),"x0x1x2x3x4x5x6x7x8x9"))),OR(9&gt;LEN(L598),MID(L598,9,1)=".",ISNUMBER(FIND("x"&amp;MID(L598,9,1),"x0x1x2x3x4x5x6x7x8x9"))),OR(10&gt;LEN(L598),MID(L598,10,1)=".",ISNUMBER(FIND("x"&amp;MID(L598,10,1),"x0x1x2x3x4x5x6x7x8x9"))),OR(AND(FIND(".",L598)=5,LEN(L598)-FIND(".",L598,FIND(".",L598)+1)&gt;=1,LEN(L598)-FIND(".",L598,FIND(".",L598)+1)&lt;=2),AND(LEN(L598)-FIND(".",L598,FIND(".",L598)+1)=4,FIND(".",L598)&gt;=2,FIND(".",L598)&lt;=3)),FIND(".",L598,FIND(".",L598)+1)-FIND(".",L598)&gt;=2,FIND(".",L598,FIND(".",L598)+1)-FIND(".",L598)&lt;=3,P598&gt;=2000,P598&lt;=2100,YEAR(S598)=P598,MONTH(S598)=Q598,DAY(S598)=R598),S598,0)),0)</ns0:f>
        <ns0:v>0</ns0:v>
      </ns0:c>
      <ns0:c r="U598" s="0" t="str">
        <ns0:f>IF(Bookings!C598="","Full day",Bookings!C598)</ns0:f>
        <ns0:v>Full day</ns0:v>
      </ns0:c>
      <ns0:c r="V598" s="0" t="str">
        <ns0:f>IF(Bookings!E598="","Full day",Bookings!E598)</ns0:f>
        <ns0:v>Full day</ns0:v>
      </ns0:c>
      <ns0:c r="W598" s="0">
        <ns0:f>IF(J598=0,0,J598+IF(U598="PM",1,0))</ns0:f>
        <ns0:v>0</ns0:v>
      </ns0:c>
      <ns0:c r="X598" s="0">
        <ns0:f>IF(T598=0,0,T598-IF(V598="PM",1,0))</ns0:f>
        <ns0:v>0</ns0:v>
      </ns0:c>
      <ns0:c r="Y598" s="0">
        <ns0:f>IF(J598=0,0,J598+IF(U598="AM",1,0))</ns0:f>
        <ns0:v>0</ns0:v>
      </ns0:c>
      <ns0:c r="Z598" s="0">
        <ns0:f>IF(T598=0,0,T598-IF(V598="AM",1,0))</ns0:f>
        <ns0:v>0</ns0:v>
      </ns0:c>
      <ns0:c r="AA598" s="0">
        <ns0:f>IFERROR(IF(AND(J598&gt;0,'_Engine'!C598&gt;0,MID('_Engine'!W598,WEEKDAY(J598,2),1)="W",COUNTIF(Settings!$F$18:$F$67,J598)=0),1,0),0)</ns0:f>
        <ns0:v>0</ns0:v>
      </ns0:c>
      <ns0:c r="AB598" s="0">
        <ns0:f>IFERROR(IF(AND(T598&gt;0,'_Engine'!C598&gt;0,MID('_Engine'!W598,WEEKDAY(T598,2),1)="W",COUNTIF(Settings!$F$18:$F$67,T598)=0),1,0),0)</ns0:f>
        <ns0:v>0</ns0:v>
      </ns0:c>
      <ns0:c r="AC598" s="0">
        <ns0:f>IF(AND(J598&gt;0,T598&gt;0,W598&lt;=X598),1,0)</ns0:f>
        <ns0:v>0</ns0:v>
      </ns0:c>
      <ns0:c r="AD598" s="0">
        <ns0:f>IF(AND(J598&gt;0,T598&gt;0,Y598&lt;=Z598),1,0)</ns0:f>
        <ns0:v>0</ns0:v>
      </ns0:c>
    </ns0:row>
    <ns0:row r="599">
      <ns0:c r="A599" s="0">
        <ns0:f>IFERROR(IF(ISNUMBER(Bookings!B599),"",TRIM(Bookings!B599&amp;"")),"")</ns0:f>
      </ns0:c>
      <ns0:c r="B599" s="0">
        <ns0:f>IFERROR(SUBSTITUTE(SUBSTITUTE(A599,"/","."),"-","."),"")</ns0:f>
      </ns0:c>
      <ns0:c r="C599" s="0">
        <ns0:f>IFERROR(LEFT(B599,FIND(".",B599)-1),"")</ns0:f>
      </ns0:c>
      <ns0:c r="D599" s="0">
        <ns0:f>IFERROR(MID(B599,FIND(".",B599)+1,FIND(".",B599,FIND(".",B599)+1)-FIND(".",B599)-1),"")</ns0:f>
      </ns0:c>
      <ns0:c r="E599" s="0">
        <ns0:f>IFERROR(MID(B599,FIND(".",B599,FIND(".",B599)+1)+1,99),"")</ns0:f>
        <ns0:v>99</ns0:v>
      </ns0:c>
      <ns0:c r="F599" s="0">
        <ns0:f>IFERROR(IF(FIND(".",B599)=5,--C599,--E599),0)</ns0:f>
        <ns0:v>0</ns0:v>
      </ns0:c>
      <ns0:c r="G599" s="0">
        <ns0:f>IFERROR(--D599,0)</ns0:f>
        <ns0:v>0</ns0:v>
      </ns0:c>
      <ns0:c r="H599" s="0">
        <ns0:f>IFERROR(IF(FIND(".",B599)=5,--E599,--C599),0)</ns0:f>
        <ns0:v>0</ns0:v>
      </ns0:c>
      <ns0:c r="I599" s="0">
        <ns0:f>IFERROR(IF(AND(F599&gt;=2000,F599&lt;=2100,G599&gt;=1,G599&lt;=12,H599&gt;=1,H599&lt;=31),DATE(F599,G599,H599),0),0)</ns0:f>
        <ns0:v>0</ns0:v>
      </ns0:c>
      <ns0:c r="J599" s="0">
        <ns0:f>IFERROR(IF(ISNUMBER(Bookings!B599),IF(AND(Bookings!B599=INT(Bookings!B599),Bookings!B599&gt;=DATE(2000,1,1),Bookings!B599&lt;=DATE(2100,12,31)),Bookings!B599,0),IF(AND(A599&lt;&gt;"",LEN("x"&amp;B599)-LEN(SUBSTITUTE("x"&amp;B599,".",""))=2,OR(1&gt;LEN(B599),MID(B599,1,1)=".",ISNUMBER(FIND("x"&amp;MID(B599,1,1),"x0x1x2x3x4x5x6x7x8x9"))),OR(2&gt;LEN(B599),MID(B599,2,1)=".",ISNUMBER(FIND("x"&amp;MID(B599,2,1),"x0x1x2x3x4x5x6x7x8x9"))),OR(3&gt;LEN(B599),MID(B599,3,1)=".",ISNUMBER(FIND("x"&amp;MID(B599,3,1),"x0x1x2x3x4x5x6x7x8x9"))),OR(4&gt;LEN(B599),MID(B599,4,1)=".",ISNUMBER(FIND("x"&amp;MID(B599,4,1),"x0x1x2x3x4x5x6x7x8x9"))),OR(5&gt;LEN(B599),MID(B599,5,1)=".",ISNUMBER(FIND("x"&amp;MID(B599,5,1),"x0x1x2x3x4x5x6x7x8x9"))),OR(6&gt;LEN(B599),MID(B599,6,1)=".",ISNUMBER(FIND("x"&amp;MID(B599,6,1),"x0x1x2x3x4x5x6x7x8x9"))),OR(7&gt;LEN(B599),MID(B599,7,1)=".",ISNUMBER(FIND("x"&amp;MID(B599,7,1),"x0x1x2x3x4x5x6x7x8x9"))),OR(8&gt;LEN(B599),MID(B599,8,1)=".",ISNUMBER(FIND("x"&amp;MID(B599,8,1),"x0x1x2x3x4x5x6x7x8x9"))),OR(9&gt;LEN(B599),MID(B599,9,1)=".",ISNUMBER(FIND("x"&amp;MID(B599,9,1),"x0x1x2x3x4x5x6x7x8x9"))),OR(10&gt;LEN(B599),MID(B599,10,1)=".",ISNUMBER(FIND("x"&amp;MID(B599,10,1),"x0x1x2x3x4x5x6x7x8x9"))),OR(AND(FIND(".",B599)=5,LEN(B599)-FIND(".",B599,FIND(".",B599)+1)&gt;=1,LEN(B599)-FIND(".",B599,FIND(".",B599)+1)&lt;=2),AND(LEN(B599)-FIND(".",B599,FIND(".",B599)+1)=4,FIND(".",B599)&gt;=2,FIND(".",B599)&lt;=3)),FIND(".",B599,FIND(".",B599)+1)-FIND(".",B599)&gt;=2,FIND(".",B599,FIND(".",B599)+1)-FIND(".",B599)&lt;=3,F599&gt;=2000,F599&lt;=2100,YEAR(I599)=F599,MONTH(I599)=G599,DAY(I599)=H599),I599,0)),0)</ns0:f>
        <ns0:v>0</ns0:v>
      </ns0:c>
      <ns0:c r="K599" s="0">
        <ns0:f>IFERROR(IF(ISNUMBER(Bookings!D599),"",TRIM(Bookings!D599&amp;"")),"")</ns0:f>
      </ns0:c>
      <ns0:c r="L599" s="0">
        <ns0:f>IFERROR(SUBSTITUTE(SUBSTITUTE(K599,"/","."),"-","."),"")</ns0:f>
      </ns0:c>
      <ns0:c r="M599" s="0">
        <ns0:f>IFERROR(LEFT(L599,FIND(".",L599)-1),"")</ns0:f>
      </ns0:c>
      <ns0:c r="N599" s="0">
        <ns0:f>IFERROR(MID(L599,FIND(".",L599)+1,FIND(".",L599,FIND(".",L599)+1)-FIND(".",L599)-1),"")</ns0:f>
      </ns0:c>
      <ns0:c r="O599" s="0">
        <ns0:f>IFERROR(MID(L599,FIND(".",L599,FIND(".",L599)+1)+1,99),"")</ns0:f>
        <ns0:v>99</ns0:v>
      </ns0:c>
      <ns0:c r="P599" s="0">
        <ns0:f>IFERROR(IF(FIND(".",L599)=5,--M599,--O599),0)</ns0:f>
        <ns0:v>0</ns0:v>
      </ns0:c>
      <ns0:c r="Q599" s="0">
        <ns0:f>IFERROR(--N599,0)</ns0:f>
        <ns0:v>0</ns0:v>
      </ns0:c>
      <ns0:c r="R599" s="0">
        <ns0:f>IFERROR(IF(FIND(".",L599)=5,--O599,--M599),0)</ns0:f>
        <ns0:v>0</ns0:v>
      </ns0:c>
      <ns0:c r="S599" s="0">
        <ns0:f>IFERROR(IF(AND(P599&gt;=2000,P599&lt;=2100,Q599&gt;=1,Q599&lt;=12,R599&gt;=1,R599&lt;=31),DATE(P599,Q599,R599),0),0)</ns0:f>
        <ns0:v>0</ns0:v>
      </ns0:c>
      <ns0:c r="T599" s="0">
        <ns0:f>IFERROR(IF(ISNUMBER(Bookings!D599),IF(AND(Bookings!D599=INT(Bookings!D599),Bookings!D599&gt;=DATE(2000,1,1),Bookings!D599&lt;=DATE(2100,12,31)),Bookings!D599,0),IF(AND(K599&lt;&gt;"",LEN("x"&amp;L599)-LEN(SUBSTITUTE("x"&amp;L599,".",""))=2,OR(1&gt;LEN(L599),MID(L599,1,1)=".",ISNUMBER(FIND("x"&amp;MID(L599,1,1),"x0x1x2x3x4x5x6x7x8x9"))),OR(2&gt;LEN(L599),MID(L599,2,1)=".",ISNUMBER(FIND("x"&amp;MID(L599,2,1),"x0x1x2x3x4x5x6x7x8x9"))),OR(3&gt;LEN(L599),MID(L599,3,1)=".",ISNUMBER(FIND("x"&amp;MID(L599,3,1),"x0x1x2x3x4x5x6x7x8x9"))),OR(4&gt;LEN(L599),MID(L599,4,1)=".",ISNUMBER(FIND("x"&amp;MID(L599,4,1),"x0x1x2x3x4x5x6x7x8x9"))),OR(5&gt;LEN(L599),MID(L599,5,1)=".",ISNUMBER(FIND("x"&amp;MID(L599,5,1),"x0x1x2x3x4x5x6x7x8x9"))),OR(6&gt;LEN(L599),MID(L599,6,1)=".",ISNUMBER(FIND("x"&amp;MID(L599,6,1),"x0x1x2x3x4x5x6x7x8x9"))),OR(7&gt;LEN(L599),MID(L599,7,1)=".",ISNUMBER(FIND("x"&amp;MID(L599,7,1),"x0x1x2x3x4x5x6x7x8x9"))),OR(8&gt;LEN(L599),MID(L599,8,1)=".",ISNUMBER(FIND("x"&amp;MID(L599,8,1),"x0x1x2x3x4x5x6x7x8x9"))),OR(9&gt;LEN(L599),MID(L599,9,1)=".",ISNUMBER(FIND("x"&amp;MID(L599,9,1),"x0x1x2x3x4x5x6x7x8x9"))),OR(10&gt;LEN(L599),MID(L599,10,1)=".",ISNUMBER(FIND("x"&amp;MID(L599,10,1),"x0x1x2x3x4x5x6x7x8x9"))),OR(AND(FIND(".",L599)=5,LEN(L599)-FIND(".",L599,FIND(".",L599)+1)&gt;=1,LEN(L599)-FIND(".",L599,FIND(".",L599)+1)&lt;=2),AND(LEN(L599)-FIND(".",L599,FIND(".",L599)+1)=4,FIND(".",L599)&gt;=2,FIND(".",L599)&lt;=3)),FIND(".",L599,FIND(".",L599)+1)-FIND(".",L599)&gt;=2,FIND(".",L599,FIND(".",L599)+1)-FIND(".",L599)&lt;=3,P599&gt;=2000,P599&lt;=2100,YEAR(S599)=P599,MONTH(S599)=Q599,DAY(S599)=R599),S599,0)),0)</ns0:f>
        <ns0:v>0</ns0:v>
      </ns0:c>
      <ns0:c r="U599" s="0" t="str">
        <ns0:f>IF(Bookings!C599="","Full day",Bookings!C599)</ns0:f>
        <ns0:v>Full day</ns0:v>
      </ns0:c>
      <ns0:c r="V599" s="0" t="str">
        <ns0:f>IF(Bookings!E599="","Full day",Bookings!E599)</ns0:f>
        <ns0:v>Full day</ns0:v>
      </ns0:c>
      <ns0:c r="W599" s="0">
        <ns0:f>IF(J599=0,0,J599+IF(U599="PM",1,0))</ns0:f>
        <ns0:v>0</ns0:v>
      </ns0:c>
      <ns0:c r="X599" s="0">
        <ns0:f>IF(T599=0,0,T599-IF(V599="PM",1,0))</ns0:f>
        <ns0:v>0</ns0:v>
      </ns0:c>
      <ns0:c r="Y599" s="0">
        <ns0:f>IF(J599=0,0,J599+IF(U599="AM",1,0))</ns0:f>
        <ns0:v>0</ns0:v>
      </ns0:c>
      <ns0:c r="Z599" s="0">
        <ns0:f>IF(T599=0,0,T599-IF(V599="AM",1,0))</ns0:f>
        <ns0:v>0</ns0:v>
      </ns0:c>
      <ns0:c r="AA599" s="0">
        <ns0:f>IFERROR(IF(AND(J599&gt;0,'_Engine'!C599&gt;0,MID('_Engine'!W599,WEEKDAY(J599,2),1)="W",COUNTIF(Settings!$F$18:$F$67,J599)=0),1,0),0)</ns0:f>
        <ns0:v>0</ns0:v>
      </ns0:c>
      <ns0:c r="AB599" s="0">
        <ns0:f>IFERROR(IF(AND(T599&gt;0,'_Engine'!C599&gt;0,MID('_Engine'!W599,WEEKDAY(T599,2),1)="W",COUNTIF(Settings!$F$18:$F$67,T599)=0),1,0),0)</ns0:f>
        <ns0:v>0</ns0:v>
      </ns0:c>
      <ns0:c r="AC599" s="0">
        <ns0:f>IF(AND(J599&gt;0,T599&gt;0,W599&lt;=X599),1,0)</ns0:f>
        <ns0:v>0</ns0:v>
      </ns0:c>
      <ns0:c r="AD599" s="0">
        <ns0:f>IF(AND(J599&gt;0,T599&gt;0,Y599&lt;=Z599),1,0)</ns0:f>
        <ns0:v>0</ns0:v>
      </ns0:c>
    </ns0:row>
    <ns0:row r="600">
      <ns0:c r="A600" s="0">
        <ns0:f>IFERROR(IF(ISNUMBER(Bookings!B600),"",TRIM(Bookings!B600&amp;"")),"")</ns0:f>
      </ns0:c>
      <ns0:c r="B600" s="0">
        <ns0:f>IFERROR(SUBSTITUTE(SUBSTITUTE(A600,"/","."),"-","."),"")</ns0:f>
      </ns0:c>
      <ns0:c r="C600" s="0">
        <ns0:f>IFERROR(LEFT(B600,FIND(".",B600)-1),"")</ns0:f>
      </ns0:c>
      <ns0:c r="D600" s="0">
        <ns0:f>IFERROR(MID(B600,FIND(".",B600)+1,FIND(".",B600,FIND(".",B600)+1)-FIND(".",B600)-1),"")</ns0:f>
      </ns0:c>
      <ns0:c r="E600" s="0">
        <ns0:f>IFERROR(MID(B600,FIND(".",B600,FIND(".",B600)+1)+1,99),"")</ns0:f>
        <ns0:v>99</ns0:v>
      </ns0:c>
      <ns0:c r="F600" s="0">
        <ns0:f>IFERROR(IF(FIND(".",B600)=5,--C600,--E600),0)</ns0:f>
        <ns0:v>0</ns0:v>
      </ns0:c>
      <ns0:c r="G600" s="0">
        <ns0:f>IFERROR(--D600,0)</ns0:f>
        <ns0:v>0</ns0:v>
      </ns0:c>
      <ns0:c r="H600" s="0">
        <ns0:f>IFERROR(IF(FIND(".",B600)=5,--E600,--C600),0)</ns0:f>
        <ns0:v>0</ns0:v>
      </ns0:c>
      <ns0:c r="I600" s="0">
        <ns0:f>IFERROR(IF(AND(F600&gt;=2000,F600&lt;=2100,G600&gt;=1,G600&lt;=12,H600&gt;=1,H600&lt;=31),DATE(F600,G600,H600),0),0)</ns0:f>
        <ns0:v>0</ns0:v>
      </ns0:c>
      <ns0:c r="J600" s="0">
        <ns0:f>IFERROR(IF(ISNUMBER(Bookings!B600),IF(AND(Bookings!B600=INT(Bookings!B600),Bookings!B600&gt;=DATE(2000,1,1),Bookings!B600&lt;=DATE(2100,12,31)),Bookings!B600,0),IF(AND(A600&lt;&gt;"",LEN("x"&amp;B600)-LEN(SUBSTITUTE("x"&amp;B600,".",""))=2,OR(1&gt;LEN(B600),MID(B600,1,1)=".",ISNUMBER(FIND("x"&amp;MID(B600,1,1),"x0x1x2x3x4x5x6x7x8x9"))),OR(2&gt;LEN(B600),MID(B600,2,1)=".",ISNUMBER(FIND("x"&amp;MID(B600,2,1),"x0x1x2x3x4x5x6x7x8x9"))),OR(3&gt;LEN(B600),MID(B600,3,1)=".",ISNUMBER(FIND("x"&amp;MID(B600,3,1),"x0x1x2x3x4x5x6x7x8x9"))),OR(4&gt;LEN(B600),MID(B600,4,1)=".",ISNUMBER(FIND("x"&amp;MID(B600,4,1),"x0x1x2x3x4x5x6x7x8x9"))),OR(5&gt;LEN(B600),MID(B600,5,1)=".",ISNUMBER(FIND("x"&amp;MID(B600,5,1),"x0x1x2x3x4x5x6x7x8x9"))),OR(6&gt;LEN(B600),MID(B600,6,1)=".",ISNUMBER(FIND("x"&amp;MID(B600,6,1),"x0x1x2x3x4x5x6x7x8x9"))),OR(7&gt;LEN(B600),MID(B600,7,1)=".",ISNUMBER(FIND("x"&amp;MID(B600,7,1),"x0x1x2x3x4x5x6x7x8x9"))),OR(8&gt;LEN(B600),MID(B600,8,1)=".",ISNUMBER(FIND("x"&amp;MID(B600,8,1),"x0x1x2x3x4x5x6x7x8x9"))),OR(9&gt;LEN(B600),MID(B600,9,1)=".",ISNUMBER(FIND("x"&amp;MID(B600,9,1),"x0x1x2x3x4x5x6x7x8x9"))),OR(10&gt;LEN(B600),MID(B600,10,1)=".",ISNUMBER(FIND("x"&amp;MID(B600,10,1),"x0x1x2x3x4x5x6x7x8x9"))),OR(AND(FIND(".",B600)=5,LEN(B600)-FIND(".",B600,FIND(".",B600)+1)&gt;=1,LEN(B600)-FIND(".",B600,FIND(".",B600)+1)&lt;=2),AND(LEN(B600)-FIND(".",B600,FIND(".",B600)+1)=4,FIND(".",B600)&gt;=2,FIND(".",B600)&lt;=3)),FIND(".",B600,FIND(".",B600)+1)-FIND(".",B600)&gt;=2,FIND(".",B600,FIND(".",B600)+1)-FIND(".",B600)&lt;=3,F600&gt;=2000,F600&lt;=2100,YEAR(I600)=F600,MONTH(I600)=G600,DAY(I600)=H600),I600,0)),0)</ns0:f>
        <ns0:v>0</ns0:v>
      </ns0:c>
      <ns0:c r="K600" s="0">
        <ns0:f>IFERROR(IF(ISNUMBER(Bookings!D600),"",TRIM(Bookings!D600&amp;"")),"")</ns0:f>
      </ns0:c>
      <ns0:c r="L600" s="0">
        <ns0:f>IFERROR(SUBSTITUTE(SUBSTITUTE(K600,"/","."),"-","."),"")</ns0:f>
      </ns0:c>
      <ns0:c r="M600" s="0">
        <ns0:f>IFERROR(LEFT(L600,FIND(".",L600)-1),"")</ns0:f>
      </ns0:c>
      <ns0:c r="N600" s="0">
        <ns0:f>IFERROR(MID(L600,FIND(".",L600)+1,FIND(".",L600,FIND(".",L600)+1)-FIND(".",L600)-1),"")</ns0:f>
      </ns0:c>
      <ns0:c r="O600" s="0">
        <ns0:f>IFERROR(MID(L600,FIND(".",L600,FIND(".",L600)+1)+1,99),"")</ns0:f>
        <ns0:v>99</ns0:v>
      </ns0:c>
      <ns0:c r="P600" s="0">
        <ns0:f>IFERROR(IF(FIND(".",L600)=5,--M600,--O600),0)</ns0:f>
        <ns0:v>0</ns0:v>
      </ns0:c>
      <ns0:c r="Q600" s="0">
        <ns0:f>IFERROR(--N600,0)</ns0:f>
        <ns0:v>0</ns0:v>
      </ns0:c>
      <ns0:c r="R600" s="0">
        <ns0:f>IFERROR(IF(FIND(".",L600)=5,--O600,--M600),0)</ns0:f>
        <ns0:v>0</ns0:v>
      </ns0:c>
      <ns0:c r="S600" s="0">
        <ns0:f>IFERROR(IF(AND(P600&gt;=2000,P600&lt;=2100,Q600&gt;=1,Q600&lt;=12,R600&gt;=1,R600&lt;=31),DATE(P600,Q600,R600),0),0)</ns0:f>
        <ns0:v>0</ns0:v>
      </ns0:c>
      <ns0:c r="T600" s="0">
        <ns0:f>IFERROR(IF(ISNUMBER(Bookings!D600),IF(AND(Bookings!D600=INT(Bookings!D600),Bookings!D600&gt;=DATE(2000,1,1),Bookings!D600&lt;=DATE(2100,12,31)),Bookings!D600,0),IF(AND(K600&lt;&gt;"",LEN("x"&amp;L600)-LEN(SUBSTITUTE("x"&amp;L600,".",""))=2,OR(1&gt;LEN(L600),MID(L600,1,1)=".",ISNUMBER(FIND("x"&amp;MID(L600,1,1),"x0x1x2x3x4x5x6x7x8x9"))),OR(2&gt;LEN(L600),MID(L600,2,1)=".",ISNUMBER(FIND("x"&amp;MID(L600,2,1),"x0x1x2x3x4x5x6x7x8x9"))),OR(3&gt;LEN(L600),MID(L600,3,1)=".",ISNUMBER(FIND("x"&amp;MID(L600,3,1),"x0x1x2x3x4x5x6x7x8x9"))),OR(4&gt;LEN(L600),MID(L600,4,1)=".",ISNUMBER(FIND("x"&amp;MID(L600,4,1),"x0x1x2x3x4x5x6x7x8x9"))),OR(5&gt;LEN(L600),MID(L600,5,1)=".",ISNUMBER(FIND("x"&amp;MID(L600,5,1),"x0x1x2x3x4x5x6x7x8x9"))),OR(6&gt;LEN(L600),MID(L600,6,1)=".",ISNUMBER(FIND("x"&amp;MID(L600,6,1),"x0x1x2x3x4x5x6x7x8x9"))),OR(7&gt;LEN(L600),MID(L600,7,1)=".",ISNUMBER(FIND("x"&amp;MID(L600,7,1),"x0x1x2x3x4x5x6x7x8x9"))),OR(8&gt;LEN(L600),MID(L600,8,1)=".",ISNUMBER(FIND("x"&amp;MID(L600,8,1),"x0x1x2x3x4x5x6x7x8x9"))),OR(9&gt;LEN(L600),MID(L600,9,1)=".",ISNUMBER(FIND("x"&amp;MID(L600,9,1),"x0x1x2x3x4x5x6x7x8x9"))),OR(10&gt;LEN(L600),MID(L600,10,1)=".",ISNUMBER(FIND("x"&amp;MID(L600,10,1),"x0x1x2x3x4x5x6x7x8x9"))),OR(AND(FIND(".",L600)=5,LEN(L600)-FIND(".",L600,FIND(".",L600)+1)&gt;=1,LEN(L600)-FIND(".",L600,FIND(".",L600)+1)&lt;=2),AND(LEN(L600)-FIND(".",L600,FIND(".",L600)+1)=4,FIND(".",L600)&gt;=2,FIND(".",L600)&lt;=3)),FIND(".",L600,FIND(".",L600)+1)-FIND(".",L600)&gt;=2,FIND(".",L600,FIND(".",L600)+1)-FIND(".",L600)&lt;=3,P600&gt;=2000,P600&lt;=2100,YEAR(S600)=P600,MONTH(S600)=Q600,DAY(S600)=R600),S600,0)),0)</ns0:f>
        <ns0:v>0</ns0:v>
      </ns0:c>
      <ns0:c r="U600" s="0" t="str">
        <ns0:f>IF(Bookings!C600="","Full day",Bookings!C600)</ns0:f>
        <ns0:v>Full day</ns0:v>
      </ns0:c>
      <ns0:c r="V600" s="0" t="str">
        <ns0:f>IF(Bookings!E600="","Full day",Bookings!E600)</ns0:f>
        <ns0:v>Full day</ns0:v>
      </ns0:c>
      <ns0:c r="W600" s="0">
        <ns0:f>IF(J600=0,0,J600+IF(U600="PM",1,0))</ns0:f>
        <ns0:v>0</ns0:v>
      </ns0:c>
      <ns0:c r="X600" s="0">
        <ns0:f>IF(T600=0,0,T600-IF(V600="PM",1,0))</ns0:f>
        <ns0:v>0</ns0:v>
      </ns0:c>
      <ns0:c r="Y600" s="0">
        <ns0:f>IF(J600=0,0,J600+IF(U600="AM",1,0))</ns0:f>
        <ns0:v>0</ns0:v>
      </ns0:c>
      <ns0:c r="Z600" s="0">
        <ns0:f>IF(T600=0,0,T600-IF(V600="AM",1,0))</ns0:f>
        <ns0:v>0</ns0:v>
      </ns0:c>
      <ns0:c r="AA600" s="0">
        <ns0:f>IFERROR(IF(AND(J600&gt;0,'_Engine'!C600&gt;0,MID('_Engine'!W600,WEEKDAY(J600,2),1)="W",COUNTIF(Settings!$F$18:$F$67,J600)=0),1,0),0)</ns0:f>
        <ns0:v>0</ns0:v>
      </ns0:c>
      <ns0:c r="AB600" s="0">
        <ns0:f>IFERROR(IF(AND(T600&gt;0,'_Engine'!C600&gt;0,MID('_Engine'!W600,WEEKDAY(T600,2),1)="W",COUNTIF(Settings!$F$18:$F$67,T600)=0),1,0),0)</ns0:f>
        <ns0:v>0</ns0:v>
      </ns0:c>
      <ns0:c r="AC600" s="0">
        <ns0:f>IF(AND(J600&gt;0,T600&gt;0,W600&lt;=X600),1,0)</ns0:f>
        <ns0:v>0</ns0:v>
      </ns0:c>
      <ns0:c r="AD600" s="0">
        <ns0:f>IF(AND(J600&gt;0,T600&gt;0,Y600&lt;=Z600),1,0)</ns0:f>
        <ns0:v>0</ns0:v>
      </ns0:c>
    </ns0:row>
    <ns0:row r="601">
      <ns0:c r="A601" s="0">
        <ns0:f>IFERROR(IF(ISNUMBER(Bookings!B601),"",TRIM(Bookings!B601&amp;"")),"")</ns0:f>
      </ns0:c>
      <ns0:c r="B601" s="0">
        <ns0:f>IFERROR(SUBSTITUTE(SUBSTITUTE(A601,"/","."),"-","."),"")</ns0:f>
      </ns0:c>
      <ns0:c r="C601" s="0">
        <ns0:f>IFERROR(LEFT(B601,FIND(".",B601)-1),"")</ns0:f>
      </ns0:c>
      <ns0:c r="D601" s="0">
        <ns0:f>IFERROR(MID(B601,FIND(".",B601)+1,FIND(".",B601,FIND(".",B601)+1)-FIND(".",B601)-1),"")</ns0:f>
      </ns0:c>
      <ns0:c r="E601" s="0">
        <ns0:f>IFERROR(MID(B601,FIND(".",B601,FIND(".",B601)+1)+1,99),"")</ns0:f>
        <ns0:v>99</ns0:v>
      </ns0:c>
      <ns0:c r="F601" s="0">
        <ns0:f>IFERROR(IF(FIND(".",B601)=5,--C601,--E601),0)</ns0:f>
        <ns0:v>0</ns0:v>
      </ns0:c>
      <ns0:c r="G601" s="0">
        <ns0:f>IFERROR(--D601,0)</ns0:f>
        <ns0:v>0</ns0:v>
      </ns0:c>
      <ns0:c r="H601" s="0">
        <ns0:f>IFERROR(IF(FIND(".",B601)=5,--E601,--C601),0)</ns0:f>
        <ns0:v>0</ns0:v>
      </ns0:c>
      <ns0:c r="I601" s="0">
        <ns0:f>IFERROR(IF(AND(F601&gt;=2000,F601&lt;=2100,G601&gt;=1,G601&lt;=12,H601&gt;=1,H601&lt;=31),DATE(F601,G601,H601),0),0)</ns0:f>
        <ns0:v>0</ns0:v>
      </ns0:c>
      <ns0:c r="J601" s="0">
        <ns0:f>IFERROR(IF(ISNUMBER(Bookings!B601),IF(AND(Bookings!B601=INT(Bookings!B601),Bookings!B601&gt;=DATE(2000,1,1),Bookings!B601&lt;=DATE(2100,12,31)),Bookings!B601,0),IF(AND(A601&lt;&gt;"",LEN("x"&amp;B601)-LEN(SUBSTITUTE("x"&amp;B601,".",""))=2,OR(1&gt;LEN(B601),MID(B601,1,1)=".",ISNUMBER(FIND("x"&amp;MID(B601,1,1),"x0x1x2x3x4x5x6x7x8x9"))),OR(2&gt;LEN(B601),MID(B601,2,1)=".",ISNUMBER(FIND("x"&amp;MID(B601,2,1),"x0x1x2x3x4x5x6x7x8x9"))),OR(3&gt;LEN(B601),MID(B601,3,1)=".",ISNUMBER(FIND("x"&amp;MID(B601,3,1),"x0x1x2x3x4x5x6x7x8x9"))),OR(4&gt;LEN(B601),MID(B601,4,1)=".",ISNUMBER(FIND("x"&amp;MID(B601,4,1),"x0x1x2x3x4x5x6x7x8x9"))),OR(5&gt;LEN(B601),MID(B601,5,1)=".",ISNUMBER(FIND("x"&amp;MID(B601,5,1),"x0x1x2x3x4x5x6x7x8x9"))),OR(6&gt;LEN(B601),MID(B601,6,1)=".",ISNUMBER(FIND("x"&amp;MID(B601,6,1),"x0x1x2x3x4x5x6x7x8x9"))),OR(7&gt;LEN(B601),MID(B601,7,1)=".",ISNUMBER(FIND("x"&amp;MID(B601,7,1),"x0x1x2x3x4x5x6x7x8x9"))),OR(8&gt;LEN(B601),MID(B601,8,1)=".",ISNUMBER(FIND("x"&amp;MID(B601,8,1),"x0x1x2x3x4x5x6x7x8x9"))),OR(9&gt;LEN(B601),MID(B601,9,1)=".",ISNUMBER(FIND("x"&amp;MID(B601,9,1),"x0x1x2x3x4x5x6x7x8x9"))),OR(10&gt;LEN(B601),MID(B601,10,1)=".",ISNUMBER(FIND("x"&amp;MID(B601,10,1),"x0x1x2x3x4x5x6x7x8x9"))),OR(AND(FIND(".",B601)=5,LEN(B601)-FIND(".",B601,FIND(".",B601)+1)&gt;=1,LEN(B601)-FIND(".",B601,FIND(".",B601)+1)&lt;=2),AND(LEN(B601)-FIND(".",B601,FIND(".",B601)+1)=4,FIND(".",B601)&gt;=2,FIND(".",B601)&lt;=3)),FIND(".",B601,FIND(".",B601)+1)-FIND(".",B601)&gt;=2,FIND(".",B601,FIND(".",B601)+1)-FIND(".",B601)&lt;=3,F601&gt;=2000,F601&lt;=2100,YEAR(I601)=F601,MONTH(I601)=G601,DAY(I601)=H601),I601,0)),0)</ns0:f>
        <ns0:v>0</ns0:v>
      </ns0:c>
      <ns0:c r="K601" s="0">
        <ns0:f>IFERROR(IF(ISNUMBER(Bookings!D601),"",TRIM(Bookings!D601&amp;"")),"")</ns0:f>
      </ns0:c>
      <ns0:c r="L601" s="0">
        <ns0:f>IFERROR(SUBSTITUTE(SUBSTITUTE(K601,"/","."),"-","."),"")</ns0:f>
      </ns0:c>
      <ns0:c r="M601" s="0">
        <ns0:f>IFERROR(LEFT(L601,FIND(".",L601)-1),"")</ns0:f>
      </ns0:c>
      <ns0:c r="N601" s="0">
        <ns0:f>IFERROR(MID(L601,FIND(".",L601)+1,FIND(".",L601,FIND(".",L601)+1)-FIND(".",L601)-1),"")</ns0:f>
      </ns0:c>
      <ns0:c r="O601" s="0">
        <ns0:f>IFERROR(MID(L601,FIND(".",L601,FIND(".",L601)+1)+1,99),"")</ns0:f>
        <ns0:v>99</ns0:v>
      </ns0:c>
      <ns0:c r="P601" s="0">
        <ns0:f>IFERROR(IF(FIND(".",L601)=5,--M601,--O601),0)</ns0:f>
        <ns0:v>0</ns0:v>
      </ns0:c>
      <ns0:c r="Q601" s="0">
        <ns0:f>IFERROR(--N601,0)</ns0:f>
        <ns0:v>0</ns0:v>
      </ns0:c>
      <ns0:c r="R601" s="0">
        <ns0:f>IFERROR(IF(FIND(".",L601)=5,--O601,--M601),0)</ns0:f>
        <ns0:v>0</ns0:v>
      </ns0:c>
      <ns0:c r="S601" s="0">
        <ns0:f>IFERROR(IF(AND(P601&gt;=2000,P601&lt;=2100,Q601&gt;=1,Q601&lt;=12,R601&gt;=1,R601&lt;=31),DATE(P601,Q601,R601),0),0)</ns0:f>
        <ns0:v>0</ns0:v>
      </ns0:c>
      <ns0:c r="T601" s="0">
        <ns0:f>IFERROR(IF(ISNUMBER(Bookings!D601),IF(AND(Bookings!D601=INT(Bookings!D601),Bookings!D601&gt;=DATE(2000,1,1),Bookings!D601&lt;=DATE(2100,12,31)),Bookings!D601,0),IF(AND(K601&lt;&gt;"",LEN("x"&amp;L601)-LEN(SUBSTITUTE("x"&amp;L601,".",""))=2,OR(1&gt;LEN(L601),MID(L601,1,1)=".",ISNUMBER(FIND("x"&amp;MID(L601,1,1),"x0x1x2x3x4x5x6x7x8x9"))),OR(2&gt;LEN(L601),MID(L601,2,1)=".",ISNUMBER(FIND("x"&amp;MID(L601,2,1),"x0x1x2x3x4x5x6x7x8x9"))),OR(3&gt;LEN(L601),MID(L601,3,1)=".",ISNUMBER(FIND("x"&amp;MID(L601,3,1),"x0x1x2x3x4x5x6x7x8x9"))),OR(4&gt;LEN(L601),MID(L601,4,1)=".",ISNUMBER(FIND("x"&amp;MID(L601,4,1),"x0x1x2x3x4x5x6x7x8x9"))),OR(5&gt;LEN(L601),MID(L601,5,1)=".",ISNUMBER(FIND("x"&amp;MID(L601,5,1),"x0x1x2x3x4x5x6x7x8x9"))),OR(6&gt;LEN(L601),MID(L601,6,1)=".",ISNUMBER(FIND("x"&amp;MID(L601,6,1),"x0x1x2x3x4x5x6x7x8x9"))),OR(7&gt;LEN(L601),MID(L601,7,1)=".",ISNUMBER(FIND("x"&amp;MID(L601,7,1),"x0x1x2x3x4x5x6x7x8x9"))),OR(8&gt;LEN(L601),MID(L601,8,1)=".",ISNUMBER(FIND("x"&amp;MID(L601,8,1),"x0x1x2x3x4x5x6x7x8x9"))),OR(9&gt;LEN(L601),MID(L601,9,1)=".",ISNUMBER(FIND("x"&amp;MID(L601,9,1),"x0x1x2x3x4x5x6x7x8x9"))),OR(10&gt;LEN(L601),MID(L601,10,1)=".",ISNUMBER(FIND("x"&amp;MID(L601,10,1),"x0x1x2x3x4x5x6x7x8x9"))),OR(AND(FIND(".",L601)=5,LEN(L601)-FIND(".",L601,FIND(".",L601)+1)&gt;=1,LEN(L601)-FIND(".",L601,FIND(".",L601)+1)&lt;=2),AND(LEN(L601)-FIND(".",L601,FIND(".",L601)+1)=4,FIND(".",L601)&gt;=2,FIND(".",L601)&lt;=3)),FIND(".",L601,FIND(".",L601)+1)-FIND(".",L601)&gt;=2,FIND(".",L601,FIND(".",L601)+1)-FIND(".",L601)&lt;=3,P601&gt;=2000,P601&lt;=2100,YEAR(S601)=P601,MONTH(S601)=Q601,DAY(S601)=R601),S601,0)),0)</ns0:f>
        <ns0:v>0</ns0:v>
      </ns0:c>
      <ns0:c r="U601" s="0" t="str">
        <ns0:f>IF(Bookings!C601="","Full day",Bookings!C601)</ns0:f>
        <ns0:v>Full day</ns0:v>
      </ns0:c>
      <ns0:c r="V601" s="0" t="str">
        <ns0:f>IF(Bookings!E601="","Full day",Bookings!E601)</ns0:f>
        <ns0:v>Full day</ns0:v>
      </ns0:c>
      <ns0:c r="W601" s="0">
        <ns0:f>IF(J601=0,0,J601+IF(U601="PM",1,0))</ns0:f>
        <ns0:v>0</ns0:v>
      </ns0:c>
      <ns0:c r="X601" s="0">
        <ns0:f>IF(T601=0,0,T601-IF(V601="PM",1,0))</ns0:f>
        <ns0:v>0</ns0:v>
      </ns0:c>
      <ns0:c r="Y601" s="0">
        <ns0:f>IF(J601=0,0,J601+IF(U601="AM",1,0))</ns0:f>
        <ns0:v>0</ns0:v>
      </ns0:c>
      <ns0:c r="Z601" s="0">
        <ns0:f>IF(T601=0,0,T601-IF(V601="AM",1,0))</ns0:f>
        <ns0:v>0</ns0:v>
      </ns0:c>
      <ns0:c r="AA601" s="0">
        <ns0:f>IFERROR(IF(AND(J601&gt;0,'_Engine'!C601&gt;0,MID('_Engine'!W601,WEEKDAY(J601,2),1)="W",COUNTIF(Settings!$F$18:$F$67,J601)=0),1,0),0)</ns0:f>
        <ns0:v>0</ns0:v>
      </ns0:c>
      <ns0:c r="AB601" s="0">
        <ns0:f>IFERROR(IF(AND(T601&gt;0,'_Engine'!C601&gt;0,MID('_Engine'!W601,WEEKDAY(T601,2),1)="W",COUNTIF(Settings!$F$18:$F$67,T601)=0),1,0),0)</ns0:f>
        <ns0:v>0</ns0:v>
      </ns0:c>
      <ns0:c r="AC601" s="0">
        <ns0:f>IF(AND(J601&gt;0,T601&gt;0,W601&lt;=X601),1,0)</ns0:f>
        <ns0:v>0</ns0:v>
      </ns0:c>
      <ns0:c r="AD601" s="0">
        <ns0:f>IF(AND(J601&gt;0,T601&gt;0,Y601&lt;=Z601),1,0)</ns0:f>
        <ns0:v>0</ns0:v>
      </ns0:c>
    </ns0:row>
    <ns0:row r="602">
      <ns0:c r="A602" s="0">
        <ns0:f>IFERROR(IF(ISNUMBER(Bookings!B602),"",TRIM(Bookings!B602&amp;"")),"")</ns0:f>
      </ns0:c>
      <ns0:c r="B602" s="0">
        <ns0:f>IFERROR(SUBSTITUTE(SUBSTITUTE(A602,"/","."),"-","."),"")</ns0:f>
      </ns0:c>
      <ns0:c r="C602" s="0">
        <ns0:f>IFERROR(LEFT(B602,FIND(".",B602)-1),"")</ns0:f>
      </ns0:c>
      <ns0:c r="D602" s="0">
        <ns0:f>IFERROR(MID(B602,FIND(".",B602)+1,FIND(".",B602,FIND(".",B602)+1)-FIND(".",B602)-1),"")</ns0:f>
      </ns0:c>
      <ns0:c r="E602" s="0">
        <ns0:f>IFERROR(MID(B602,FIND(".",B602,FIND(".",B602)+1)+1,99),"")</ns0:f>
        <ns0:v>99</ns0:v>
      </ns0:c>
      <ns0:c r="F602" s="0">
        <ns0:f>IFERROR(IF(FIND(".",B602)=5,--C602,--E602),0)</ns0:f>
        <ns0:v>0</ns0:v>
      </ns0:c>
      <ns0:c r="G602" s="0">
        <ns0:f>IFERROR(--D602,0)</ns0:f>
        <ns0:v>0</ns0:v>
      </ns0:c>
      <ns0:c r="H602" s="0">
        <ns0:f>IFERROR(IF(FIND(".",B602)=5,--E602,--C602),0)</ns0:f>
        <ns0:v>0</ns0:v>
      </ns0:c>
      <ns0:c r="I602" s="0">
        <ns0:f>IFERROR(IF(AND(F602&gt;=2000,F602&lt;=2100,G602&gt;=1,G602&lt;=12,H602&gt;=1,H602&lt;=31),DATE(F602,G602,H602),0),0)</ns0:f>
        <ns0:v>0</ns0:v>
      </ns0:c>
      <ns0:c r="J602" s="0">
        <ns0:f>IFERROR(IF(ISNUMBER(Bookings!B602),IF(AND(Bookings!B602=INT(Bookings!B602),Bookings!B602&gt;=DATE(2000,1,1),Bookings!B602&lt;=DATE(2100,12,31)),Bookings!B602,0),IF(AND(A602&lt;&gt;"",LEN("x"&amp;B602)-LEN(SUBSTITUTE("x"&amp;B602,".",""))=2,OR(1&gt;LEN(B602),MID(B602,1,1)=".",ISNUMBER(FIND("x"&amp;MID(B602,1,1),"x0x1x2x3x4x5x6x7x8x9"))),OR(2&gt;LEN(B602),MID(B602,2,1)=".",ISNUMBER(FIND("x"&amp;MID(B602,2,1),"x0x1x2x3x4x5x6x7x8x9"))),OR(3&gt;LEN(B602),MID(B602,3,1)=".",ISNUMBER(FIND("x"&amp;MID(B602,3,1),"x0x1x2x3x4x5x6x7x8x9"))),OR(4&gt;LEN(B602),MID(B602,4,1)=".",ISNUMBER(FIND("x"&amp;MID(B602,4,1),"x0x1x2x3x4x5x6x7x8x9"))),OR(5&gt;LEN(B602),MID(B602,5,1)=".",ISNUMBER(FIND("x"&amp;MID(B602,5,1),"x0x1x2x3x4x5x6x7x8x9"))),OR(6&gt;LEN(B602),MID(B602,6,1)=".",ISNUMBER(FIND("x"&amp;MID(B602,6,1),"x0x1x2x3x4x5x6x7x8x9"))),OR(7&gt;LEN(B602),MID(B602,7,1)=".",ISNUMBER(FIND("x"&amp;MID(B602,7,1),"x0x1x2x3x4x5x6x7x8x9"))),OR(8&gt;LEN(B602),MID(B602,8,1)=".",ISNUMBER(FIND("x"&amp;MID(B602,8,1),"x0x1x2x3x4x5x6x7x8x9"))),OR(9&gt;LEN(B602),MID(B602,9,1)=".",ISNUMBER(FIND("x"&amp;MID(B602,9,1),"x0x1x2x3x4x5x6x7x8x9"))),OR(10&gt;LEN(B602),MID(B602,10,1)=".",ISNUMBER(FIND("x"&amp;MID(B602,10,1),"x0x1x2x3x4x5x6x7x8x9"))),OR(AND(FIND(".",B602)=5,LEN(B602)-FIND(".",B602,FIND(".",B602)+1)&gt;=1,LEN(B602)-FIND(".",B602,FIND(".",B602)+1)&lt;=2),AND(LEN(B602)-FIND(".",B602,FIND(".",B602)+1)=4,FIND(".",B602)&gt;=2,FIND(".",B602)&lt;=3)),FIND(".",B602,FIND(".",B602)+1)-FIND(".",B602)&gt;=2,FIND(".",B602,FIND(".",B602)+1)-FIND(".",B602)&lt;=3,F602&gt;=2000,F602&lt;=2100,YEAR(I602)=F602,MONTH(I602)=G602,DAY(I602)=H602),I602,0)),0)</ns0:f>
        <ns0:v>0</ns0:v>
      </ns0:c>
      <ns0:c r="K602" s="0">
        <ns0:f>IFERROR(IF(ISNUMBER(Bookings!D602),"",TRIM(Bookings!D602&amp;"")),"")</ns0:f>
      </ns0:c>
      <ns0:c r="L602" s="0">
        <ns0:f>IFERROR(SUBSTITUTE(SUBSTITUTE(K602,"/","."),"-","."),"")</ns0:f>
      </ns0:c>
      <ns0:c r="M602" s="0">
        <ns0:f>IFERROR(LEFT(L602,FIND(".",L602)-1),"")</ns0:f>
      </ns0:c>
      <ns0:c r="N602" s="0">
        <ns0:f>IFERROR(MID(L602,FIND(".",L602)+1,FIND(".",L602,FIND(".",L602)+1)-FIND(".",L602)-1),"")</ns0:f>
      </ns0:c>
      <ns0:c r="O602" s="0">
        <ns0:f>IFERROR(MID(L602,FIND(".",L602,FIND(".",L602)+1)+1,99),"")</ns0:f>
        <ns0:v>99</ns0:v>
      </ns0:c>
      <ns0:c r="P602" s="0">
        <ns0:f>IFERROR(IF(FIND(".",L602)=5,--M602,--O602),0)</ns0:f>
        <ns0:v>0</ns0:v>
      </ns0:c>
      <ns0:c r="Q602" s="0">
        <ns0:f>IFERROR(--N602,0)</ns0:f>
        <ns0:v>0</ns0:v>
      </ns0:c>
      <ns0:c r="R602" s="0">
        <ns0:f>IFERROR(IF(FIND(".",L602)=5,--O602,--M602),0)</ns0:f>
        <ns0:v>0</ns0:v>
      </ns0:c>
      <ns0:c r="S602" s="0">
        <ns0:f>IFERROR(IF(AND(P602&gt;=2000,P602&lt;=2100,Q602&gt;=1,Q602&lt;=12,R602&gt;=1,R602&lt;=31),DATE(P602,Q602,R602),0),0)</ns0:f>
        <ns0:v>0</ns0:v>
      </ns0:c>
      <ns0:c r="T602" s="0">
        <ns0:f>IFERROR(IF(ISNUMBER(Bookings!D602),IF(AND(Bookings!D602=INT(Bookings!D602),Bookings!D602&gt;=DATE(2000,1,1),Bookings!D602&lt;=DATE(2100,12,31)),Bookings!D602,0),IF(AND(K602&lt;&gt;"",LEN("x"&amp;L602)-LEN(SUBSTITUTE("x"&amp;L602,".",""))=2,OR(1&gt;LEN(L602),MID(L602,1,1)=".",ISNUMBER(FIND("x"&amp;MID(L602,1,1),"x0x1x2x3x4x5x6x7x8x9"))),OR(2&gt;LEN(L602),MID(L602,2,1)=".",ISNUMBER(FIND("x"&amp;MID(L602,2,1),"x0x1x2x3x4x5x6x7x8x9"))),OR(3&gt;LEN(L602),MID(L602,3,1)=".",ISNUMBER(FIND("x"&amp;MID(L602,3,1),"x0x1x2x3x4x5x6x7x8x9"))),OR(4&gt;LEN(L602),MID(L602,4,1)=".",ISNUMBER(FIND("x"&amp;MID(L602,4,1),"x0x1x2x3x4x5x6x7x8x9"))),OR(5&gt;LEN(L602),MID(L602,5,1)=".",ISNUMBER(FIND("x"&amp;MID(L602,5,1),"x0x1x2x3x4x5x6x7x8x9"))),OR(6&gt;LEN(L602),MID(L602,6,1)=".",ISNUMBER(FIND("x"&amp;MID(L602,6,1),"x0x1x2x3x4x5x6x7x8x9"))),OR(7&gt;LEN(L602),MID(L602,7,1)=".",ISNUMBER(FIND("x"&amp;MID(L602,7,1),"x0x1x2x3x4x5x6x7x8x9"))),OR(8&gt;LEN(L602),MID(L602,8,1)=".",ISNUMBER(FIND("x"&amp;MID(L602,8,1),"x0x1x2x3x4x5x6x7x8x9"))),OR(9&gt;LEN(L602),MID(L602,9,1)=".",ISNUMBER(FIND("x"&amp;MID(L602,9,1),"x0x1x2x3x4x5x6x7x8x9"))),OR(10&gt;LEN(L602),MID(L602,10,1)=".",ISNUMBER(FIND("x"&amp;MID(L602,10,1),"x0x1x2x3x4x5x6x7x8x9"))),OR(AND(FIND(".",L602)=5,LEN(L602)-FIND(".",L602,FIND(".",L602)+1)&gt;=1,LEN(L602)-FIND(".",L602,FIND(".",L602)+1)&lt;=2),AND(LEN(L602)-FIND(".",L602,FIND(".",L602)+1)=4,FIND(".",L602)&gt;=2,FIND(".",L602)&lt;=3)),FIND(".",L602,FIND(".",L602)+1)-FIND(".",L602)&gt;=2,FIND(".",L602,FIND(".",L602)+1)-FIND(".",L602)&lt;=3,P602&gt;=2000,P602&lt;=2100,YEAR(S602)=P602,MONTH(S602)=Q602,DAY(S602)=R602),S602,0)),0)</ns0:f>
        <ns0:v>0</ns0:v>
      </ns0:c>
      <ns0:c r="U602" s="0" t="str">
        <ns0:f>IF(Bookings!C602="","Full day",Bookings!C602)</ns0:f>
        <ns0:v>Full day</ns0:v>
      </ns0:c>
      <ns0:c r="V602" s="0" t="str">
        <ns0:f>IF(Bookings!E602="","Full day",Bookings!E602)</ns0:f>
        <ns0:v>Full day</ns0:v>
      </ns0:c>
      <ns0:c r="W602" s="0">
        <ns0:f>IF(J602=0,0,J602+IF(U602="PM",1,0))</ns0:f>
        <ns0:v>0</ns0:v>
      </ns0:c>
      <ns0:c r="X602" s="0">
        <ns0:f>IF(T602=0,0,T602-IF(V602="PM",1,0))</ns0:f>
        <ns0:v>0</ns0:v>
      </ns0:c>
      <ns0:c r="Y602" s="0">
        <ns0:f>IF(J602=0,0,J602+IF(U602="AM",1,0))</ns0:f>
        <ns0:v>0</ns0:v>
      </ns0:c>
      <ns0:c r="Z602" s="0">
        <ns0:f>IF(T602=0,0,T602-IF(V602="AM",1,0))</ns0:f>
        <ns0:v>0</ns0:v>
      </ns0:c>
      <ns0:c r="AA602" s="0">
        <ns0:f>IFERROR(IF(AND(J602&gt;0,'_Engine'!C602&gt;0,MID('_Engine'!W602,WEEKDAY(J602,2),1)="W",COUNTIF(Settings!$F$18:$F$67,J602)=0),1,0),0)</ns0:f>
        <ns0:v>0</ns0:v>
      </ns0:c>
      <ns0:c r="AB602" s="0">
        <ns0:f>IFERROR(IF(AND(T602&gt;0,'_Engine'!C602&gt;0,MID('_Engine'!W602,WEEKDAY(T602,2),1)="W",COUNTIF(Settings!$F$18:$F$67,T602)=0),1,0),0)</ns0:f>
        <ns0:v>0</ns0:v>
      </ns0:c>
      <ns0:c r="AC602" s="0">
        <ns0:f>IF(AND(J602&gt;0,T602&gt;0,W602&lt;=X602),1,0)</ns0:f>
        <ns0:v>0</ns0:v>
      </ns0:c>
      <ns0:c r="AD602" s="0">
        <ns0:f>IF(AND(J602&gt;0,T602&gt;0,Y602&lt;=Z602),1,0)</ns0:f>
        <ns0:v>0</ns0:v>
      </ns0:c>
    </ns0:row>
    <ns0:row r="603">
      <ns0:c r="A603" s="0">
        <ns0:f>IFERROR(IF(ISNUMBER(Bookings!B603),"",TRIM(Bookings!B603&amp;"")),"")</ns0:f>
      </ns0:c>
      <ns0:c r="B603" s="0">
        <ns0:f>IFERROR(SUBSTITUTE(SUBSTITUTE(A603,"/","."),"-","."),"")</ns0:f>
      </ns0:c>
      <ns0:c r="C603" s="0">
        <ns0:f>IFERROR(LEFT(B603,FIND(".",B603)-1),"")</ns0:f>
      </ns0:c>
      <ns0:c r="D603" s="0">
        <ns0:f>IFERROR(MID(B603,FIND(".",B603)+1,FIND(".",B603,FIND(".",B603)+1)-FIND(".",B603)-1),"")</ns0:f>
      </ns0:c>
      <ns0:c r="E603" s="0">
        <ns0:f>IFERROR(MID(B603,FIND(".",B603,FIND(".",B603)+1)+1,99),"")</ns0:f>
        <ns0:v>99</ns0:v>
      </ns0:c>
      <ns0:c r="F603" s="0">
        <ns0:f>IFERROR(IF(FIND(".",B603)=5,--C603,--E603),0)</ns0:f>
        <ns0:v>0</ns0:v>
      </ns0:c>
      <ns0:c r="G603" s="0">
        <ns0:f>IFERROR(--D603,0)</ns0:f>
        <ns0:v>0</ns0:v>
      </ns0:c>
      <ns0:c r="H603" s="0">
        <ns0:f>IFERROR(IF(FIND(".",B603)=5,--E603,--C603),0)</ns0:f>
        <ns0:v>0</ns0:v>
      </ns0:c>
      <ns0:c r="I603" s="0">
        <ns0:f>IFERROR(IF(AND(F603&gt;=2000,F603&lt;=2100,G603&gt;=1,G603&lt;=12,H603&gt;=1,H603&lt;=31),DATE(F603,G603,H603),0),0)</ns0:f>
        <ns0:v>0</ns0:v>
      </ns0:c>
      <ns0:c r="J603" s="0">
        <ns0:f>IFERROR(IF(ISNUMBER(Bookings!B603),IF(AND(Bookings!B603=INT(Bookings!B603),Bookings!B603&gt;=DATE(2000,1,1),Bookings!B603&lt;=DATE(2100,12,31)),Bookings!B603,0),IF(AND(A603&lt;&gt;"",LEN("x"&amp;B603)-LEN(SUBSTITUTE("x"&amp;B603,".",""))=2,OR(1&gt;LEN(B603),MID(B603,1,1)=".",ISNUMBER(FIND("x"&amp;MID(B603,1,1),"x0x1x2x3x4x5x6x7x8x9"))),OR(2&gt;LEN(B603),MID(B603,2,1)=".",ISNUMBER(FIND("x"&amp;MID(B603,2,1),"x0x1x2x3x4x5x6x7x8x9"))),OR(3&gt;LEN(B603),MID(B603,3,1)=".",ISNUMBER(FIND("x"&amp;MID(B603,3,1),"x0x1x2x3x4x5x6x7x8x9"))),OR(4&gt;LEN(B603),MID(B603,4,1)=".",ISNUMBER(FIND("x"&amp;MID(B603,4,1),"x0x1x2x3x4x5x6x7x8x9"))),OR(5&gt;LEN(B603),MID(B603,5,1)=".",ISNUMBER(FIND("x"&amp;MID(B603,5,1),"x0x1x2x3x4x5x6x7x8x9"))),OR(6&gt;LEN(B603),MID(B603,6,1)=".",ISNUMBER(FIND("x"&amp;MID(B603,6,1),"x0x1x2x3x4x5x6x7x8x9"))),OR(7&gt;LEN(B603),MID(B603,7,1)=".",ISNUMBER(FIND("x"&amp;MID(B603,7,1),"x0x1x2x3x4x5x6x7x8x9"))),OR(8&gt;LEN(B603),MID(B603,8,1)=".",ISNUMBER(FIND("x"&amp;MID(B603,8,1),"x0x1x2x3x4x5x6x7x8x9"))),OR(9&gt;LEN(B603),MID(B603,9,1)=".",ISNUMBER(FIND("x"&amp;MID(B603,9,1),"x0x1x2x3x4x5x6x7x8x9"))),OR(10&gt;LEN(B603),MID(B603,10,1)=".",ISNUMBER(FIND("x"&amp;MID(B603,10,1),"x0x1x2x3x4x5x6x7x8x9"))),OR(AND(FIND(".",B603)=5,LEN(B603)-FIND(".",B603,FIND(".",B603)+1)&gt;=1,LEN(B603)-FIND(".",B603,FIND(".",B603)+1)&lt;=2),AND(LEN(B603)-FIND(".",B603,FIND(".",B603)+1)=4,FIND(".",B603)&gt;=2,FIND(".",B603)&lt;=3)),FIND(".",B603,FIND(".",B603)+1)-FIND(".",B603)&gt;=2,FIND(".",B603,FIND(".",B603)+1)-FIND(".",B603)&lt;=3,F603&gt;=2000,F603&lt;=2100,YEAR(I603)=F603,MONTH(I603)=G603,DAY(I603)=H603),I603,0)),0)</ns0:f>
        <ns0:v>0</ns0:v>
      </ns0:c>
      <ns0:c r="K603" s="0">
        <ns0:f>IFERROR(IF(ISNUMBER(Bookings!D603),"",TRIM(Bookings!D603&amp;"")),"")</ns0:f>
      </ns0:c>
      <ns0:c r="L603" s="0">
        <ns0:f>IFERROR(SUBSTITUTE(SUBSTITUTE(K603,"/","."),"-","."),"")</ns0:f>
      </ns0:c>
      <ns0:c r="M603" s="0">
        <ns0:f>IFERROR(LEFT(L603,FIND(".",L603)-1),"")</ns0:f>
      </ns0:c>
      <ns0:c r="N603" s="0">
        <ns0:f>IFERROR(MID(L603,FIND(".",L603)+1,FIND(".",L603,FIND(".",L603)+1)-FIND(".",L603)-1),"")</ns0:f>
      </ns0:c>
      <ns0:c r="O603" s="0">
        <ns0:f>IFERROR(MID(L603,FIND(".",L603,FIND(".",L603)+1)+1,99),"")</ns0:f>
        <ns0:v>99</ns0:v>
      </ns0:c>
      <ns0:c r="P603" s="0">
        <ns0:f>IFERROR(IF(FIND(".",L603)=5,--M603,--O603),0)</ns0:f>
        <ns0:v>0</ns0:v>
      </ns0:c>
      <ns0:c r="Q603" s="0">
        <ns0:f>IFERROR(--N603,0)</ns0:f>
        <ns0:v>0</ns0:v>
      </ns0:c>
      <ns0:c r="R603" s="0">
        <ns0:f>IFERROR(IF(FIND(".",L603)=5,--O603,--M603),0)</ns0:f>
        <ns0:v>0</ns0:v>
      </ns0:c>
      <ns0:c r="S603" s="0">
        <ns0:f>IFERROR(IF(AND(P603&gt;=2000,P603&lt;=2100,Q603&gt;=1,Q603&lt;=12,R603&gt;=1,R603&lt;=31),DATE(P603,Q603,R603),0),0)</ns0:f>
        <ns0:v>0</ns0:v>
      </ns0:c>
      <ns0:c r="T603" s="0">
        <ns0:f>IFERROR(IF(ISNUMBER(Bookings!D603),IF(AND(Bookings!D603=INT(Bookings!D603),Bookings!D603&gt;=DATE(2000,1,1),Bookings!D603&lt;=DATE(2100,12,31)),Bookings!D603,0),IF(AND(K603&lt;&gt;"",LEN("x"&amp;L603)-LEN(SUBSTITUTE("x"&amp;L603,".",""))=2,OR(1&gt;LEN(L603),MID(L603,1,1)=".",ISNUMBER(FIND("x"&amp;MID(L603,1,1),"x0x1x2x3x4x5x6x7x8x9"))),OR(2&gt;LEN(L603),MID(L603,2,1)=".",ISNUMBER(FIND("x"&amp;MID(L603,2,1),"x0x1x2x3x4x5x6x7x8x9"))),OR(3&gt;LEN(L603),MID(L603,3,1)=".",ISNUMBER(FIND("x"&amp;MID(L603,3,1),"x0x1x2x3x4x5x6x7x8x9"))),OR(4&gt;LEN(L603),MID(L603,4,1)=".",ISNUMBER(FIND("x"&amp;MID(L603,4,1),"x0x1x2x3x4x5x6x7x8x9"))),OR(5&gt;LEN(L603),MID(L603,5,1)=".",ISNUMBER(FIND("x"&amp;MID(L603,5,1),"x0x1x2x3x4x5x6x7x8x9"))),OR(6&gt;LEN(L603),MID(L603,6,1)=".",ISNUMBER(FIND("x"&amp;MID(L603,6,1),"x0x1x2x3x4x5x6x7x8x9"))),OR(7&gt;LEN(L603),MID(L603,7,1)=".",ISNUMBER(FIND("x"&amp;MID(L603,7,1),"x0x1x2x3x4x5x6x7x8x9"))),OR(8&gt;LEN(L603),MID(L603,8,1)=".",ISNUMBER(FIND("x"&amp;MID(L603,8,1),"x0x1x2x3x4x5x6x7x8x9"))),OR(9&gt;LEN(L603),MID(L603,9,1)=".",ISNUMBER(FIND("x"&amp;MID(L603,9,1),"x0x1x2x3x4x5x6x7x8x9"))),OR(10&gt;LEN(L603),MID(L603,10,1)=".",ISNUMBER(FIND("x"&amp;MID(L603,10,1),"x0x1x2x3x4x5x6x7x8x9"))),OR(AND(FIND(".",L603)=5,LEN(L603)-FIND(".",L603,FIND(".",L603)+1)&gt;=1,LEN(L603)-FIND(".",L603,FIND(".",L603)+1)&lt;=2),AND(LEN(L603)-FIND(".",L603,FIND(".",L603)+1)=4,FIND(".",L603)&gt;=2,FIND(".",L603)&lt;=3)),FIND(".",L603,FIND(".",L603)+1)-FIND(".",L603)&gt;=2,FIND(".",L603,FIND(".",L603)+1)-FIND(".",L603)&lt;=3,P603&gt;=2000,P603&lt;=2100,YEAR(S603)=P603,MONTH(S603)=Q603,DAY(S603)=R603),S603,0)),0)</ns0:f>
        <ns0:v>0</ns0:v>
      </ns0:c>
      <ns0:c r="U603" s="0" t="str">
        <ns0:f>IF(Bookings!C603="","Full day",Bookings!C603)</ns0:f>
        <ns0:v>Full day</ns0:v>
      </ns0:c>
      <ns0:c r="V603" s="0" t="str">
        <ns0:f>IF(Bookings!E603="","Full day",Bookings!E603)</ns0:f>
        <ns0:v>Full day</ns0:v>
      </ns0:c>
      <ns0:c r="W603" s="0">
        <ns0:f>IF(J603=0,0,J603+IF(U603="PM",1,0))</ns0:f>
        <ns0:v>0</ns0:v>
      </ns0:c>
      <ns0:c r="X603" s="0">
        <ns0:f>IF(T603=0,0,T603-IF(V603="PM",1,0))</ns0:f>
        <ns0:v>0</ns0:v>
      </ns0:c>
      <ns0:c r="Y603" s="0">
        <ns0:f>IF(J603=0,0,J603+IF(U603="AM",1,0))</ns0:f>
        <ns0:v>0</ns0:v>
      </ns0:c>
      <ns0:c r="Z603" s="0">
        <ns0:f>IF(T603=0,0,T603-IF(V603="AM",1,0))</ns0:f>
        <ns0:v>0</ns0:v>
      </ns0:c>
      <ns0:c r="AA603" s="0">
        <ns0:f>IFERROR(IF(AND(J603&gt;0,'_Engine'!C603&gt;0,MID('_Engine'!W603,WEEKDAY(J603,2),1)="W",COUNTIF(Settings!$F$18:$F$67,J603)=0),1,0),0)</ns0:f>
        <ns0:v>0</ns0:v>
      </ns0:c>
      <ns0:c r="AB603" s="0">
        <ns0:f>IFERROR(IF(AND(T603&gt;0,'_Engine'!C603&gt;0,MID('_Engine'!W603,WEEKDAY(T603,2),1)="W",COUNTIF(Settings!$F$18:$F$67,T603)=0),1,0),0)</ns0:f>
        <ns0:v>0</ns0:v>
      </ns0:c>
      <ns0:c r="AC603" s="0">
        <ns0:f>IF(AND(J603&gt;0,T603&gt;0,W603&lt;=X603),1,0)</ns0:f>
        <ns0:v>0</ns0:v>
      </ns0:c>
      <ns0:c r="AD603" s="0">
        <ns0:f>IF(AND(J603&gt;0,T603&gt;0,Y603&lt;=Z603),1,0)</ns0:f>
        <ns0:v>0</ns0:v>
      </ns0:c>
    </ns0:row>
    <ns0:row r="604">
      <ns0:c r="A604" s="0">
        <ns0:f>IFERROR(IF(ISNUMBER(Bookings!B604),"",TRIM(Bookings!B604&amp;"")),"")</ns0:f>
      </ns0:c>
      <ns0:c r="B604" s="0">
        <ns0:f>IFERROR(SUBSTITUTE(SUBSTITUTE(A604,"/","."),"-","."),"")</ns0:f>
      </ns0:c>
      <ns0:c r="C604" s="0">
        <ns0:f>IFERROR(LEFT(B604,FIND(".",B604)-1),"")</ns0:f>
      </ns0:c>
      <ns0:c r="D604" s="0">
        <ns0:f>IFERROR(MID(B604,FIND(".",B604)+1,FIND(".",B604,FIND(".",B604)+1)-FIND(".",B604)-1),"")</ns0:f>
      </ns0:c>
      <ns0:c r="E604" s="0">
        <ns0:f>IFERROR(MID(B604,FIND(".",B604,FIND(".",B604)+1)+1,99),"")</ns0:f>
        <ns0:v>99</ns0:v>
      </ns0:c>
      <ns0:c r="F604" s="0">
        <ns0:f>IFERROR(IF(FIND(".",B604)=5,--C604,--E604),0)</ns0:f>
        <ns0:v>0</ns0:v>
      </ns0:c>
      <ns0:c r="G604" s="0">
        <ns0:f>IFERROR(--D604,0)</ns0:f>
        <ns0:v>0</ns0:v>
      </ns0:c>
      <ns0:c r="H604" s="0">
        <ns0:f>IFERROR(IF(FIND(".",B604)=5,--E604,--C604),0)</ns0:f>
        <ns0:v>0</ns0:v>
      </ns0:c>
      <ns0:c r="I604" s="0">
        <ns0:f>IFERROR(IF(AND(F604&gt;=2000,F604&lt;=2100,G604&gt;=1,G604&lt;=12,H604&gt;=1,H604&lt;=31),DATE(F604,G604,H604),0),0)</ns0:f>
        <ns0:v>0</ns0:v>
      </ns0:c>
      <ns0:c r="J604" s="0">
        <ns0:f>IFERROR(IF(ISNUMBER(Bookings!B604),IF(AND(Bookings!B604=INT(Bookings!B604),Bookings!B604&gt;=DATE(2000,1,1),Bookings!B604&lt;=DATE(2100,12,31)),Bookings!B604,0),IF(AND(A604&lt;&gt;"",LEN("x"&amp;B604)-LEN(SUBSTITUTE("x"&amp;B604,".",""))=2,OR(1&gt;LEN(B604),MID(B604,1,1)=".",ISNUMBER(FIND("x"&amp;MID(B604,1,1),"x0x1x2x3x4x5x6x7x8x9"))),OR(2&gt;LEN(B604),MID(B604,2,1)=".",ISNUMBER(FIND("x"&amp;MID(B604,2,1),"x0x1x2x3x4x5x6x7x8x9"))),OR(3&gt;LEN(B604),MID(B604,3,1)=".",ISNUMBER(FIND("x"&amp;MID(B604,3,1),"x0x1x2x3x4x5x6x7x8x9"))),OR(4&gt;LEN(B604),MID(B604,4,1)=".",ISNUMBER(FIND("x"&amp;MID(B604,4,1),"x0x1x2x3x4x5x6x7x8x9"))),OR(5&gt;LEN(B604),MID(B604,5,1)=".",ISNUMBER(FIND("x"&amp;MID(B604,5,1),"x0x1x2x3x4x5x6x7x8x9"))),OR(6&gt;LEN(B604),MID(B604,6,1)=".",ISNUMBER(FIND("x"&amp;MID(B604,6,1),"x0x1x2x3x4x5x6x7x8x9"))),OR(7&gt;LEN(B604),MID(B604,7,1)=".",ISNUMBER(FIND("x"&amp;MID(B604,7,1),"x0x1x2x3x4x5x6x7x8x9"))),OR(8&gt;LEN(B604),MID(B604,8,1)=".",ISNUMBER(FIND("x"&amp;MID(B604,8,1),"x0x1x2x3x4x5x6x7x8x9"))),OR(9&gt;LEN(B604),MID(B604,9,1)=".",ISNUMBER(FIND("x"&amp;MID(B604,9,1),"x0x1x2x3x4x5x6x7x8x9"))),OR(10&gt;LEN(B604),MID(B604,10,1)=".",ISNUMBER(FIND("x"&amp;MID(B604,10,1),"x0x1x2x3x4x5x6x7x8x9"))),OR(AND(FIND(".",B604)=5,LEN(B604)-FIND(".",B604,FIND(".",B604)+1)&gt;=1,LEN(B604)-FIND(".",B604,FIND(".",B604)+1)&lt;=2),AND(LEN(B604)-FIND(".",B604,FIND(".",B604)+1)=4,FIND(".",B604)&gt;=2,FIND(".",B604)&lt;=3)),FIND(".",B604,FIND(".",B604)+1)-FIND(".",B604)&gt;=2,FIND(".",B604,FIND(".",B604)+1)-FIND(".",B604)&lt;=3,F604&gt;=2000,F604&lt;=2100,YEAR(I604)=F604,MONTH(I604)=G604,DAY(I604)=H604),I604,0)),0)</ns0:f>
        <ns0:v>0</ns0:v>
      </ns0:c>
      <ns0:c r="K604" s="0">
        <ns0:f>IFERROR(IF(ISNUMBER(Bookings!D604),"",TRIM(Bookings!D604&amp;"")),"")</ns0:f>
      </ns0:c>
      <ns0:c r="L604" s="0">
        <ns0:f>IFERROR(SUBSTITUTE(SUBSTITUTE(K604,"/","."),"-","."),"")</ns0:f>
      </ns0:c>
      <ns0:c r="M604" s="0">
        <ns0:f>IFERROR(LEFT(L604,FIND(".",L604)-1),"")</ns0:f>
      </ns0:c>
      <ns0:c r="N604" s="0">
        <ns0:f>IFERROR(MID(L604,FIND(".",L604)+1,FIND(".",L604,FIND(".",L604)+1)-FIND(".",L604)-1),"")</ns0:f>
      </ns0:c>
      <ns0:c r="O604" s="0">
        <ns0:f>IFERROR(MID(L604,FIND(".",L604,FIND(".",L604)+1)+1,99),"")</ns0:f>
        <ns0:v>99</ns0:v>
      </ns0:c>
      <ns0:c r="P604" s="0">
        <ns0:f>IFERROR(IF(FIND(".",L604)=5,--M604,--O604),0)</ns0:f>
        <ns0:v>0</ns0:v>
      </ns0:c>
      <ns0:c r="Q604" s="0">
        <ns0:f>IFERROR(--N604,0)</ns0:f>
        <ns0:v>0</ns0:v>
      </ns0:c>
      <ns0:c r="R604" s="0">
        <ns0:f>IFERROR(IF(FIND(".",L604)=5,--O604,--M604),0)</ns0:f>
        <ns0:v>0</ns0:v>
      </ns0:c>
      <ns0:c r="S604" s="0">
        <ns0:f>IFERROR(IF(AND(P604&gt;=2000,P604&lt;=2100,Q604&gt;=1,Q604&lt;=12,R604&gt;=1,R604&lt;=31),DATE(P604,Q604,R604),0),0)</ns0:f>
        <ns0:v>0</ns0:v>
      </ns0:c>
      <ns0:c r="T604" s="0">
        <ns0:f>IFERROR(IF(ISNUMBER(Bookings!D604),IF(AND(Bookings!D604=INT(Bookings!D604),Bookings!D604&gt;=DATE(2000,1,1),Bookings!D604&lt;=DATE(2100,12,31)),Bookings!D604,0),IF(AND(K604&lt;&gt;"",LEN("x"&amp;L604)-LEN(SUBSTITUTE("x"&amp;L604,".",""))=2,OR(1&gt;LEN(L604),MID(L604,1,1)=".",ISNUMBER(FIND("x"&amp;MID(L604,1,1),"x0x1x2x3x4x5x6x7x8x9"))),OR(2&gt;LEN(L604),MID(L604,2,1)=".",ISNUMBER(FIND("x"&amp;MID(L604,2,1),"x0x1x2x3x4x5x6x7x8x9"))),OR(3&gt;LEN(L604),MID(L604,3,1)=".",ISNUMBER(FIND("x"&amp;MID(L604,3,1),"x0x1x2x3x4x5x6x7x8x9"))),OR(4&gt;LEN(L604),MID(L604,4,1)=".",ISNUMBER(FIND("x"&amp;MID(L604,4,1),"x0x1x2x3x4x5x6x7x8x9"))),OR(5&gt;LEN(L604),MID(L604,5,1)=".",ISNUMBER(FIND("x"&amp;MID(L604,5,1),"x0x1x2x3x4x5x6x7x8x9"))),OR(6&gt;LEN(L604),MID(L604,6,1)=".",ISNUMBER(FIND("x"&amp;MID(L604,6,1),"x0x1x2x3x4x5x6x7x8x9"))),OR(7&gt;LEN(L604),MID(L604,7,1)=".",ISNUMBER(FIND("x"&amp;MID(L604,7,1),"x0x1x2x3x4x5x6x7x8x9"))),OR(8&gt;LEN(L604),MID(L604,8,1)=".",ISNUMBER(FIND("x"&amp;MID(L604,8,1),"x0x1x2x3x4x5x6x7x8x9"))),OR(9&gt;LEN(L604),MID(L604,9,1)=".",ISNUMBER(FIND("x"&amp;MID(L604,9,1),"x0x1x2x3x4x5x6x7x8x9"))),OR(10&gt;LEN(L604),MID(L604,10,1)=".",ISNUMBER(FIND("x"&amp;MID(L604,10,1),"x0x1x2x3x4x5x6x7x8x9"))),OR(AND(FIND(".",L604)=5,LEN(L604)-FIND(".",L604,FIND(".",L604)+1)&gt;=1,LEN(L604)-FIND(".",L604,FIND(".",L604)+1)&lt;=2),AND(LEN(L604)-FIND(".",L604,FIND(".",L604)+1)=4,FIND(".",L604)&gt;=2,FIND(".",L604)&lt;=3)),FIND(".",L604,FIND(".",L604)+1)-FIND(".",L604)&gt;=2,FIND(".",L604,FIND(".",L604)+1)-FIND(".",L604)&lt;=3,P604&gt;=2000,P604&lt;=2100,YEAR(S604)=P604,MONTH(S604)=Q604,DAY(S604)=R604),S604,0)),0)</ns0:f>
        <ns0:v>0</ns0:v>
      </ns0:c>
      <ns0:c r="U604" s="0" t="str">
        <ns0:f>IF(Bookings!C604="","Full day",Bookings!C604)</ns0:f>
        <ns0:v>Full day</ns0:v>
      </ns0:c>
      <ns0:c r="V604" s="0" t="str">
        <ns0:f>IF(Bookings!E604="","Full day",Bookings!E604)</ns0:f>
        <ns0:v>Full day</ns0:v>
      </ns0:c>
      <ns0:c r="W604" s="0">
        <ns0:f>IF(J604=0,0,J604+IF(U604="PM",1,0))</ns0:f>
        <ns0:v>0</ns0:v>
      </ns0:c>
      <ns0:c r="X604" s="0">
        <ns0:f>IF(T604=0,0,T604-IF(V604="PM",1,0))</ns0:f>
        <ns0:v>0</ns0:v>
      </ns0:c>
      <ns0:c r="Y604" s="0">
        <ns0:f>IF(J604=0,0,J604+IF(U604="AM",1,0))</ns0:f>
        <ns0:v>0</ns0:v>
      </ns0:c>
      <ns0:c r="Z604" s="0">
        <ns0:f>IF(T604=0,0,T604-IF(V604="AM",1,0))</ns0:f>
        <ns0:v>0</ns0:v>
      </ns0:c>
      <ns0:c r="AA604" s="0">
        <ns0:f>IFERROR(IF(AND(J604&gt;0,'_Engine'!C604&gt;0,MID('_Engine'!W604,WEEKDAY(J604,2),1)="W",COUNTIF(Settings!$F$18:$F$67,J604)=0),1,0),0)</ns0:f>
        <ns0:v>0</ns0:v>
      </ns0:c>
      <ns0:c r="AB604" s="0">
        <ns0:f>IFERROR(IF(AND(T604&gt;0,'_Engine'!C604&gt;0,MID('_Engine'!W604,WEEKDAY(T604,2),1)="W",COUNTIF(Settings!$F$18:$F$67,T604)=0),1,0),0)</ns0:f>
        <ns0:v>0</ns0:v>
      </ns0:c>
      <ns0:c r="AC604" s="0">
        <ns0:f>IF(AND(J604&gt;0,T604&gt;0,W604&lt;=X604),1,0)</ns0:f>
        <ns0:v>0</ns0:v>
      </ns0:c>
      <ns0:c r="AD604" s="0">
        <ns0:f>IF(AND(J604&gt;0,T604&gt;0,Y604&lt;=Z604),1,0)</ns0:f>
        <ns0:v>0</ns0:v>
      </ns0:c>
    </ns0:row>
    <ns0:row r="605">
      <ns0:c r="A605" s="0">
        <ns0:f>IFERROR(IF(ISNUMBER(Bookings!B605),"",TRIM(Bookings!B605&amp;"")),"")</ns0:f>
      </ns0:c>
      <ns0:c r="B605" s="0">
        <ns0:f>IFERROR(SUBSTITUTE(SUBSTITUTE(A605,"/","."),"-","."),"")</ns0:f>
      </ns0:c>
      <ns0:c r="C605" s="0">
        <ns0:f>IFERROR(LEFT(B605,FIND(".",B605)-1),"")</ns0:f>
      </ns0:c>
      <ns0:c r="D605" s="0">
        <ns0:f>IFERROR(MID(B605,FIND(".",B605)+1,FIND(".",B605,FIND(".",B605)+1)-FIND(".",B605)-1),"")</ns0:f>
      </ns0:c>
      <ns0:c r="E605" s="0">
        <ns0:f>IFERROR(MID(B605,FIND(".",B605,FIND(".",B605)+1)+1,99),"")</ns0:f>
        <ns0:v>99</ns0:v>
      </ns0:c>
      <ns0:c r="F605" s="0">
        <ns0:f>IFERROR(IF(FIND(".",B605)=5,--C605,--E605),0)</ns0:f>
        <ns0:v>0</ns0:v>
      </ns0:c>
      <ns0:c r="G605" s="0">
        <ns0:f>IFERROR(--D605,0)</ns0:f>
        <ns0:v>0</ns0:v>
      </ns0:c>
      <ns0:c r="H605" s="0">
        <ns0:f>IFERROR(IF(FIND(".",B605)=5,--E605,--C605),0)</ns0:f>
        <ns0:v>0</ns0:v>
      </ns0:c>
      <ns0:c r="I605" s="0">
        <ns0:f>IFERROR(IF(AND(F605&gt;=2000,F605&lt;=2100,G605&gt;=1,G605&lt;=12,H605&gt;=1,H605&lt;=31),DATE(F605,G605,H605),0),0)</ns0:f>
        <ns0:v>0</ns0:v>
      </ns0:c>
      <ns0:c r="J605" s="0">
        <ns0:f>IFERROR(IF(ISNUMBER(Bookings!B605),IF(AND(Bookings!B605=INT(Bookings!B605),Bookings!B605&gt;=DATE(2000,1,1),Bookings!B605&lt;=DATE(2100,12,31)),Bookings!B605,0),IF(AND(A605&lt;&gt;"",LEN("x"&amp;B605)-LEN(SUBSTITUTE("x"&amp;B605,".",""))=2,OR(1&gt;LEN(B605),MID(B605,1,1)=".",ISNUMBER(FIND("x"&amp;MID(B605,1,1),"x0x1x2x3x4x5x6x7x8x9"))),OR(2&gt;LEN(B605),MID(B605,2,1)=".",ISNUMBER(FIND("x"&amp;MID(B605,2,1),"x0x1x2x3x4x5x6x7x8x9"))),OR(3&gt;LEN(B605),MID(B605,3,1)=".",ISNUMBER(FIND("x"&amp;MID(B605,3,1),"x0x1x2x3x4x5x6x7x8x9"))),OR(4&gt;LEN(B605),MID(B605,4,1)=".",ISNUMBER(FIND("x"&amp;MID(B605,4,1),"x0x1x2x3x4x5x6x7x8x9"))),OR(5&gt;LEN(B605),MID(B605,5,1)=".",ISNUMBER(FIND("x"&amp;MID(B605,5,1),"x0x1x2x3x4x5x6x7x8x9"))),OR(6&gt;LEN(B605),MID(B605,6,1)=".",ISNUMBER(FIND("x"&amp;MID(B605,6,1),"x0x1x2x3x4x5x6x7x8x9"))),OR(7&gt;LEN(B605),MID(B605,7,1)=".",ISNUMBER(FIND("x"&amp;MID(B605,7,1),"x0x1x2x3x4x5x6x7x8x9"))),OR(8&gt;LEN(B605),MID(B605,8,1)=".",ISNUMBER(FIND("x"&amp;MID(B605,8,1),"x0x1x2x3x4x5x6x7x8x9"))),OR(9&gt;LEN(B605),MID(B605,9,1)=".",ISNUMBER(FIND("x"&amp;MID(B605,9,1),"x0x1x2x3x4x5x6x7x8x9"))),OR(10&gt;LEN(B605),MID(B605,10,1)=".",ISNUMBER(FIND("x"&amp;MID(B605,10,1),"x0x1x2x3x4x5x6x7x8x9"))),OR(AND(FIND(".",B605)=5,LEN(B605)-FIND(".",B605,FIND(".",B605)+1)&gt;=1,LEN(B605)-FIND(".",B605,FIND(".",B605)+1)&lt;=2),AND(LEN(B605)-FIND(".",B605,FIND(".",B605)+1)=4,FIND(".",B605)&gt;=2,FIND(".",B605)&lt;=3)),FIND(".",B605,FIND(".",B605)+1)-FIND(".",B605)&gt;=2,FIND(".",B605,FIND(".",B605)+1)-FIND(".",B605)&lt;=3,F605&gt;=2000,F605&lt;=2100,YEAR(I605)=F605,MONTH(I605)=G605,DAY(I605)=H605),I605,0)),0)</ns0:f>
        <ns0:v>0</ns0:v>
      </ns0:c>
      <ns0:c r="K605" s="0">
        <ns0:f>IFERROR(IF(ISNUMBER(Bookings!D605),"",TRIM(Bookings!D605&amp;"")),"")</ns0:f>
      </ns0:c>
      <ns0:c r="L605" s="0">
        <ns0:f>IFERROR(SUBSTITUTE(SUBSTITUTE(K605,"/","."),"-","."),"")</ns0:f>
      </ns0:c>
      <ns0:c r="M605" s="0">
        <ns0:f>IFERROR(LEFT(L605,FIND(".",L605)-1),"")</ns0:f>
      </ns0:c>
      <ns0:c r="N605" s="0">
        <ns0:f>IFERROR(MID(L605,FIND(".",L605)+1,FIND(".",L605,FIND(".",L605)+1)-FIND(".",L605)-1),"")</ns0:f>
      </ns0:c>
      <ns0:c r="O605" s="0">
        <ns0:f>IFERROR(MID(L605,FIND(".",L605,FIND(".",L605)+1)+1,99),"")</ns0:f>
        <ns0:v>99</ns0:v>
      </ns0:c>
      <ns0:c r="P605" s="0">
        <ns0:f>IFERROR(IF(FIND(".",L605)=5,--M605,--O605),0)</ns0:f>
        <ns0:v>0</ns0:v>
      </ns0:c>
      <ns0:c r="Q605" s="0">
        <ns0:f>IFERROR(--N605,0)</ns0:f>
        <ns0:v>0</ns0:v>
      </ns0:c>
      <ns0:c r="R605" s="0">
        <ns0:f>IFERROR(IF(FIND(".",L605)=5,--O605,--M605),0)</ns0:f>
        <ns0:v>0</ns0:v>
      </ns0:c>
      <ns0:c r="S605" s="0">
        <ns0:f>IFERROR(IF(AND(P605&gt;=2000,P605&lt;=2100,Q605&gt;=1,Q605&lt;=12,R605&gt;=1,R605&lt;=31),DATE(P605,Q605,R605),0),0)</ns0:f>
        <ns0:v>0</ns0:v>
      </ns0:c>
      <ns0:c r="T605" s="0">
        <ns0:f>IFERROR(IF(ISNUMBER(Bookings!D605),IF(AND(Bookings!D605=INT(Bookings!D605),Bookings!D605&gt;=DATE(2000,1,1),Bookings!D605&lt;=DATE(2100,12,31)),Bookings!D605,0),IF(AND(K605&lt;&gt;"",LEN("x"&amp;L605)-LEN(SUBSTITUTE("x"&amp;L605,".",""))=2,OR(1&gt;LEN(L605),MID(L605,1,1)=".",ISNUMBER(FIND("x"&amp;MID(L605,1,1),"x0x1x2x3x4x5x6x7x8x9"))),OR(2&gt;LEN(L605),MID(L605,2,1)=".",ISNUMBER(FIND("x"&amp;MID(L605,2,1),"x0x1x2x3x4x5x6x7x8x9"))),OR(3&gt;LEN(L605),MID(L605,3,1)=".",ISNUMBER(FIND("x"&amp;MID(L605,3,1),"x0x1x2x3x4x5x6x7x8x9"))),OR(4&gt;LEN(L605),MID(L605,4,1)=".",ISNUMBER(FIND("x"&amp;MID(L605,4,1),"x0x1x2x3x4x5x6x7x8x9"))),OR(5&gt;LEN(L605),MID(L605,5,1)=".",ISNUMBER(FIND("x"&amp;MID(L605,5,1),"x0x1x2x3x4x5x6x7x8x9"))),OR(6&gt;LEN(L605),MID(L605,6,1)=".",ISNUMBER(FIND("x"&amp;MID(L605,6,1),"x0x1x2x3x4x5x6x7x8x9"))),OR(7&gt;LEN(L605),MID(L605,7,1)=".",ISNUMBER(FIND("x"&amp;MID(L605,7,1),"x0x1x2x3x4x5x6x7x8x9"))),OR(8&gt;LEN(L605),MID(L605,8,1)=".",ISNUMBER(FIND("x"&amp;MID(L605,8,1),"x0x1x2x3x4x5x6x7x8x9"))),OR(9&gt;LEN(L605),MID(L605,9,1)=".",ISNUMBER(FIND("x"&amp;MID(L605,9,1),"x0x1x2x3x4x5x6x7x8x9"))),OR(10&gt;LEN(L605),MID(L605,10,1)=".",ISNUMBER(FIND("x"&amp;MID(L605,10,1),"x0x1x2x3x4x5x6x7x8x9"))),OR(AND(FIND(".",L605)=5,LEN(L605)-FIND(".",L605,FIND(".",L605)+1)&gt;=1,LEN(L605)-FIND(".",L605,FIND(".",L605)+1)&lt;=2),AND(LEN(L605)-FIND(".",L605,FIND(".",L605)+1)=4,FIND(".",L605)&gt;=2,FIND(".",L605)&lt;=3)),FIND(".",L605,FIND(".",L605)+1)-FIND(".",L605)&gt;=2,FIND(".",L605,FIND(".",L605)+1)-FIND(".",L605)&lt;=3,P605&gt;=2000,P605&lt;=2100,YEAR(S605)=P605,MONTH(S605)=Q605,DAY(S605)=R605),S605,0)),0)</ns0:f>
        <ns0:v>0</ns0:v>
      </ns0:c>
      <ns0:c r="U605" s="0" t="str">
        <ns0:f>IF(Bookings!C605="","Full day",Bookings!C605)</ns0:f>
        <ns0:v>Full day</ns0:v>
      </ns0:c>
      <ns0:c r="V605" s="0" t="str">
        <ns0:f>IF(Bookings!E605="","Full day",Bookings!E605)</ns0:f>
        <ns0:v>Full day</ns0:v>
      </ns0:c>
      <ns0:c r="W605" s="0">
        <ns0:f>IF(J605=0,0,J605+IF(U605="PM",1,0))</ns0:f>
        <ns0:v>0</ns0:v>
      </ns0:c>
      <ns0:c r="X605" s="0">
        <ns0:f>IF(T605=0,0,T605-IF(V605="PM",1,0))</ns0:f>
        <ns0:v>0</ns0:v>
      </ns0:c>
      <ns0:c r="Y605" s="0">
        <ns0:f>IF(J605=0,0,J605+IF(U605="AM",1,0))</ns0:f>
        <ns0:v>0</ns0:v>
      </ns0:c>
      <ns0:c r="Z605" s="0">
        <ns0:f>IF(T605=0,0,T605-IF(V605="AM",1,0))</ns0:f>
        <ns0:v>0</ns0:v>
      </ns0:c>
      <ns0:c r="AA605" s="0">
        <ns0:f>IFERROR(IF(AND(J605&gt;0,'_Engine'!C605&gt;0,MID('_Engine'!W605,WEEKDAY(J605,2),1)="W",COUNTIF(Settings!$F$18:$F$67,J605)=0),1,0),0)</ns0:f>
        <ns0:v>0</ns0:v>
      </ns0:c>
      <ns0:c r="AB605" s="0">
        <ns0:f>IFERROR(IF(AND(T605&gt;0,'_Engine'!C605&gt;0,MID('_Engine'!W605,WEEKDAY(T605,2),1)="W",COUNTIF(Settings!$F$18:$F$67,T605)=0),1,0),0)</ns0:f>
        <ns0:v>0</ns0:v>
      </ns0:c>
      <ns0:c r="AC605" s="0">
        <ns0:f>IF(AND(J605&gt;0,T605&gt;0,W605&lt;=X605),1,0)</ns0:f>
        <ns0:v>0</ns0:v>
      </ns0:c>
      <ns0:c r="AD605" s="0">
        <ns0:f>IF(AND(J605&gt;0,T605&gt;0,Y605&lt;=Z605),1,0)</ns0:f>
        <ns0:v>0</ns0:v>
      </ns0:c>
    </ns0:row>
    <ns0:row r="606">
      <ns0:c r="A606" s="0">
        <ns0:f>IFERROR(IF(ISNUMBER(Bookings!B606),"",TRIM(Bookings!B606&amp;"")),"")</ns0:f>
      </ns0:c>
      <ns0:c r="B606" s="0">
        <ns0:f>IFERROR(SUBSTITUTE(SUBSTITUTE(A606,"/","."),"-","."),"")</ns0:f>
      </ns0:c>
      <ns0:c r="C606" s="0">
        <ns0:f>IFERROR(LEFT(B606,FIND(".",B606)-1),"")</ns0:f>
      </ns0:c>
      <ns0:c r="D606" s="0">
        <ns0:f>IFERROR(MID(B606,FIND(".",B606)+1,FIND(".",B606,FIND(".",B606)+1)-FIND(".",B606)-1),"")</ns0:f>
      </ns0:c>
      <ns0:c r="E606" s="0">
        <ns0:f>IFERROR(MID(B606,FIND(".",B606,FIND(".",B606)+1)+1,99),"")</ns0:f>
        <ns0:v>99</ns0:v>
      </ns0:c>
      <ns0:c r="F606" s="0">
        <ns0:f>IFERROR(IF(FIND(".",B606)=5,--C606,--E606),0)</ns0:f>
        <ns0:v>0</ns0:v>
      </ns0:c>
      <ns0:c r="G606" s="0">
        <ns0:f>IFERROR(--D606,0)</ns0:f>
        <ns0:v>0</ns0:v>
      </ns0:c>
      <ns0:c r="H606" s="0">
        <ns0:f>IFERROR(IF(FIND(".",B606)=5,--E606,--C606),0)</ns0:f>
        <ns0:v>0</ns0:v>
      </ns0:c>
      <ns0:c r="I606" s="0">
        <ns0:f>IFERROR(IF(AND(F606&gt;=2000,F606&lt;=2100,G606&gt;=1,G606&lt;=12,H606&gt;=1,H606&lt;=31),DATE(F606,G606,H606),0),0)</ns0:f>
        <ns0:v>0</ns0:v>
      </ns0:c>
      <ns0:c r="J606" s="0">
        <ns0:f>IFERROR(IF(ISNUMBER(Bookings!B606),IF(AND(Bookings!B606=INT(Bookings!B606),Bookings!B606&gt;=DATE(2000,1,1),Bookings!B606&lt;=DATE(2100,12,31)),Bookings!B606,0),IF(AND(A606&lt;&gt;"",LEN("x"&amp;B606)-LEN(SUBSTITUTE("x"&amp;B606,".",""))=2,OR(1&gt;LEN(B606),MID(B606,1,1)=".",ISNUMBER(FIND("x"&amp;MID(B606,1,1),"x0x1x2x3x4x5x6x7x8x9"))),OR(2&gt;LEN(B606),MID(B606,2,1)=".",ISNUMBER(FIND("x"&amp;MID(B606,2,1),"x0x1x2x3x4x5x6x7x8x9"))),OR(3&gt;LEN(B606),MID(B606,3,1)=".",ISNUMBER(FIND("x"&amp;MID(B606,3,1),"x0x1x2x3x4x5x6x7x8x9"))),OR(4&gt;LEN(B606),MID(B606,4,1)=".",ISNUMBER(FIND("x"&amp;MID(B606,4,1),"x0x1x2x3x4x5x6x7x8x9"))),OR(5&gt;LEN(B606),MID(B606,5,1)=".",ISNUMBER(FIND("x"&amp;MID(B606,5,1),"x0x1x2x3x4x5x6x7x8x9"))),OR(6&gt;LEN(B606),MID(B606,6,1)=".",ISNUMBER(FIND("x"&amp;MID(B606,6,1),"x0x1x2x3x4x5x6x7x8x9"))),OR(7&gt;LEN(B606),MID(B606,7,1)=".",ISNUMBER(FIND("x"&amp;MID(B606,7,1),"x0x1x2x3x4x5x6x7x8x9"))),OR(8&gt;LEN(B606),MID(B606,8,1)=".",ISNUMBER(FIND("x"&amp;MID(B606,8,1),"x0x1x2x3x4x5x6x7x8x9"))),OR(9&gt;LEN(B606),MID(B606,9,1)=".",ISNUMBER(FIND("x"&amp;MID(B606,9,1),"x0x1x2x3x4x5x6x7x8x9"))),OR(10&gt;LEN(B606),MID(B606,10,1)=".",ISNUMBER(FIND("x"&amp;MID(B606,10,1),"x0x1x2x3x4x5x6x7x8x9"))),OR(AND(FIND(".",B606)=5,LEN(B606)-FIND(".",B606,FIND(".",B606)+1)&gt;=1,LEN(B606)-FIND(".",B606,FIND(".",B606)+1)&lt;=2),AND(LEN(B606)-FIND(".",B606,FIND(".",B606)+1)=4,FIND(".",B606)&gt;=2,FIND(".",B606)&lt;=3)),FIND(".",B606,FIND(".",B606)+1)-FIND(".",B606)&gt;=2,FIND(".",B606,FIND(".",B606)+1)-FIND(".",B606)&lt;=3,F606&gt;=2000,F606&lt;=2100,YEAR(I606)=F606,MONTH(I606)=G606,DAY(I606)=H606),I606,0)),0)</ns0:f>
        <ns0:v>0</ns0:v>
      </ns0:c>
      <ns0:c r="K606" s="0">
        <ns0:f>IFERROR(IF(ISNUMBER(Bookings!D606),"",TRIM(Bookings!D606&amp;"")),"")</ns0:f>
      </ns0:c>
      <ns0:c r="L606" s="0">
        <ns0:f>IFERROR(SUBSTITUTE(SUBSTITUTE(K606,"/","."),"-","."),"")</ns0:f>
      </ns0:c>
      <ns0:c r="M606" s="0">
        <ns0:f>IFERROR(LEFT(L606,FIND(".",L606)-1),"")</ns0:f>
      </ns0:c>
      <ns0:c r="N606" s="0">
        <ns0:f>IFERROR(MID(L606,FIND(".",L606)+1,FIND(".",L606,FIND(".",L606)+1)-FIND(".",L606)-1),"")</ns0:f>
      </ns0:c>
      <ns0:c r="O606" s="0">
        <ns0:f>IFERROR(MID(L606,FIND(".",L606,FIND(".",L606)+1)+1,99),"")</ns0:f>
        <ns0:v>99</ns0:v>
      </ns0:c>
      <ns0:c r="P606" s="0">
        <ns0:f>IFERROR(IF(FIND(".",L606)=5,--M606,--O606),0)</ns0:f>
        <ns0:v>0</ns0:v>
      </ns0:c>
      <ns0:c r="Q606" s="0">
        <ns0:f>IFERROR(--N606,0)</ns0:f>
        <ns0:v>0</ns0:v>
      </ns0:c>
      <ns0:c r="R606" s="0">
        <ns0:f>IFERROR(IF(FIND(".",L606)=5,--O606,--M606),0)</ns0:f>
        <ns0:v>0</ns0:v>
      </ns0:c>
      <ns0:c r="S606" s="0">
        <ns0:f>IFERROR(IF(AND(P606&gt;=2000,P606&lt;=2100,Q606&gt;=1,Q606&lt;=12,R606&gt;=1,R606&lt;=31),DATE(P606,Q606,R606),0),0)</ns0:f>
        <ns0:v>0</ns0:v>
      </ns0:c>
      <ns0:c r="T606" s="0">
        <ns0:f>IFERROR(IF(ISNUMBER(Bookings!D606),IF(AND(Bookings!D606=INT(Bookings!D606),Bookings!D606&gt;=DATE(2000,1,1),Bookings!D606&lt;=DATE(2100,12,31)),Bookings!D606,0),IF(AND(K606&lt;&gt;"",LEN("x"&amp;L606)-LEN(SUBSTITUTE("x"&amp;L606,".",""))=2,OR(1&gt;LEN(L606),MID(L606,1,1)=".",ISNUMBER(FIND("x"&amp;MID(L606,1,1),"x0x1x2x3x4x5x6x7x8x9"))),OR(2&gt;LEN(L606),MID(L606,2,1)=".",ISNUMBER(FIND("x"&amp;MID(L606,2,1),"x0x1x2x3x4x5x6x7x8x9"))),OR(3&gt;LEN(L606),MID(L606,3,1)=".",ISNUMBER(FIND("x"&amp;MID(L606,3,1),"x0x1x2x3x4x5x6x7x8x9"))),OR(4&gt;LEN(L606),MID(L606,4,1)=".",ISNUMBER(FIND("x"&amp;MID(L606,4,1),"x0x1x2x3x4x5x6x7x8x9"))),OR(5&gt;LEN(L606),MID(L606,5,1)=".",ISNUMBER(FIND("x"&amp;MID(L606,5,1),"x0x1x2x3x4x5x6x7x8x9"))),OR(6&gt;LEN(L606),MID(L606,6,1)=".",ISNUMBER(FIND("x"&amp;MID(L606,6,1),"x0x1x2x3x4x5x6x7x8x9"))),OR(7&gt;LEN(L606),MID(L606,7,1)=".",ISNUMBER(FIND("x"&amp;MID(L606,7,1),"x0x1x2x3x4x5x6x7x8x9"))),OR(8&gt;LEN(L606),MID(L606,8,1)=".",ISNUMBER(FIND("x"&amp;MID(L606,8,1),"x0x1x2x3x4x5x6x7x8x9"))),OR(9&gt;LEN(L606),MID(L606,9,1)=".",ISNUMBER(FIND("x"&amp;MID(L606,9,1),"x0x1x2x3x4x5x6x7x8x9"))),OR(10&gt;LEN(L606),MID(L606,10,1)=".",ISNUMBER(FIND("x"&amp;MID(L606,10,1),"x0x1x2x3x4x5x6x7x8x9"))),OR(AND(FIND(".",L606)=5,LEN(L606)-FIND(".",L606,FIND(".",L606)+1)&gt;=1,LEN(L606)-FIND(".",L606,FIND(".",L606)+1)&lt;=2),AND(LEN(L606)-FIND(".",L606,FIND(".",L606)+1)=4,FIND(".",L606)&gt;=2,FIND(".",L606)&lt;=3)),FIND(".",L606,FIND(".",L606)+1)-FIND(".",L606)&gt;=2,FIND(".",L606,FIND(".",L606)+1)-FIND(".",L606)&lt;=3,P606&gt;=2000,P606&lt;=2100,YEAR(S606)=P606,MONTH(S606)=Q606,DAY(S606)=R606),S606,0)),0)</ns0:f>
        <ns0:v>0</ns0:v>
      </ns0:c>
      <ns0:c r="U606" s="0" t="str">
        <ns0:f>IF(Bookings!C606="","Full day",Bookings!C606)</ns0:f>
        <ns0:v>Full day</ns0:v>
      </ns0:c>
      <ns0:c r="V606" s="0" t="str">
        <ns0:f>IF(Bookings!E606="","Full day",Bookings!E606)</ns0:f>
        <ns0:v>Full day</ns0:v>
      </ns0:c>
      <ns0:c r="W606" s="0">
        <ns0:f>IF(J606=0,0,J606+IF(U606="PM",1,0))</ns0:f>
        <ns0:v>0</ns0:v>
      </ns0:c>
      <ns0:c r="X606" s="0">
        <ns0:f>IF(T606=0,0,T606-IF(V606="PM",1,0))</ns0:f>
        <ns0:v>0</ns0:v>
      </ns0:c>
      <ns0:c r="Y606" s="0">
        <ns0:f>IF(J606=0,0,J606+IF(U606="AM",1,0))</ns0:f>
        <ns0:v>0</ns0:v>
      </ns0:c>
      <ns0:c r="Z606" s="0">
        <ns0:f>IF(T606=0,0,T606-IF(V606="AM",1,0))</ns0:f>
        <ns0:v>0</ns0:v>
      </ns0:c>
      <ns0:c r="AA606" s="0">
        <ns0:f>IFERROR(IF(AND(J606&gt;0,'_Engine'!C606&gt;0,MID('_Engine'!W606,WEEKDAY(J606,2),1)="W",COUNTIF(Settings!$F$18:$F$67,J606)=0),1,0),0)</ns0:f>
        <ns0:v>0</ns0:v>
      </ns0:c>
      <ns0:c r="AB606" s="0">
        <ns0:f>IFERROR(IF(AND(T606&gt;0,'_Engine'!C606&gt;0,MID('_Engine'!W606,WEEKDAY(T606,2),1)="W",COUNTIF(Settings!$F$18:$F$67,T606)=0),1,0),0)</ns0:f>
        <ns0:v>0</ns0:v>
      </ns0:c>
      <ns0:c r="AC606" s="0">
        <ns0:f>IF(AND(J606&gt;0,T606&gt;0,W606&lt;=X606),1,0)</ns0:f>
        <ns0:v>0</ns0:v>
      </ns0:c>
      <ns0:c r="AD606" s="0">
        <ns0:f>IF(AND(J606&gt;0,T606&gt;0,Y606&lt;=Z606),1,0)</ns0:f>
        <ns0:v>0</ns0:v>
      </ns0:c>
    </ns0:row>
    <ns0:row r="607">
      <ns0:c r="A607" s="0">
        <ns0:f>IFERROR(IF(ISNUMBER(Bookings!B607),"",TRIM(Bookings!B607&amp;"")),"")</ns0:f>
      </ns0:c>
      <ns0:c r="B607" s="0">
        <ns0:f>IFERROR(SUBSTITUTE(SUBSTITUTE(A607,"/","."),"-","."),"")</ns0:f>
      </ns0:c>
      <ns0:c r="C607" s="0">
        <ns0:f>IFERROR(LEFT(B607,FIND(".",B607)-1),"")</ns0:f>
      </ns0:c>
      <ns0:c r="D607" s="0">
        <ns0:f>IFERROR(MID(B607,FIND(".",B607)+1,FIND(".",B607,FIND(".",B607)+1)-FIND(".",B607)-1),"")</ns0:f>
      </ns0:c>
      <ns0:c r="E607" s="0">
        <ns0:f>IFERROR(MID(B607,FIND(".",B607,FIND(".",B607)+1)+1,99),"")</ns0:f>
        <ns0:v>99</ns0:v>
      </ns0:c>
      <ns0:c r="F607" s="0">
        <ns0:f>IFERROR(IF(FIND(".",B607)=5,--C607,--E607),0)</ns0:f>
        <ns0:v>0</ns0:v>
      </ns0:c>
      <ns0:c r="G607" s="0">
        <ns0:f>IFERROR(--D607,0)</ns0:f>
        <ns0:v>0</ns0:v>
      </ns0:c>
      <ns0:c r="H607" s="0">
        <ns0:f>IFERROR(IF(FIND(".",B607)=5,--E607,--C607),0)</ns0:f>
        <ns0:v>0</ns0:v>
      </ns0:c>
      <ns0:c r="I607" s="0">
        <ns0:f>IFERROR(IF(AND(F607&gt;=2000,F607&lt;=2100,G607&gt;=1,G607&lt;=12,H607&gt;=1,H607&lt;=31),DATE(F607,G607,H607),0),0)</ns0:f>
        <ns0:v>0</ns0:v>
      </ns0:c>
      <ns0:c r="J607" s="0">
        <ns0:f>IFERROR(IF(ISNUMBER(Bookings!B607),IF(AND(Bookings!B607=INT(Bookings!B607),Bookings!B607&gt;=DATE(2000,1,1),Bookings!B607&lt;=DATE(2100,12,31)),Bookings!B607,0),IF(AND(A607&lt;&gt;"",LEN("x"&amp;B607)-LEN(SUBSTITUTE("x"&amp;B607,".",""))=2,OR(1&gt;LEN(B607),MID(B607,1,1)=".",ISNUMBER(FIND("x"&amp;MID(B607,1,1),"x0x1x2x3x4x5x6x7x8x9"))),OR(2&gt;LEN(B607),MID(B607,2,1)=".",ISNUMBER(FIND("x"&amp;MID(B607,2,1),"x0x1x2x3x4x5x6x7x8x9"))),OR(3&gt;LEN(B607),MID(B607,3,1)=".",ISNUMBER(FIND("x"&amp;MID(B607,3,1),"x0x1x2x3x4x5x6x7x8x9"))),OR(4&gt;LEN(B607),MID(B607,4,1)=".",ISNUMBER(FIND("x"&amp;MID(B607,4,1),"x0x1x2x3x4x5x6x7x8x9"))),OR(5&gt;LEN(B607),MID(B607,5,1)=".",ISNUMBER(FIND("x"&amp;MID(B607,5,1),"x0x1x2x3x4x5x6x7x8x9"))),OR(6&gt;LEN(B607),MID(B607,6,1)=".",ISNUMBER(FIND("x"&amp;MID(B607,6,1),"x0x1x2x3x4x5x6x7x8x9"))),OR(7&gt;LEN(B607),MID(B607,7,1)=".",ISNUMBER(FIND("x"&amp;MID(B607,7,1),"x0x1x2x3x4x5x6x7x8x9"))),OR(8&gt;LEN(B607),MID(B607,8,1)=".",ISNUMBER(FIND("x"&amp;MID(B607,8,1),"x0x1x2x3x4x5x6x7x8x9"))),OR(9&gt;LEN(B607),MID(B607,9,1)=".",ISNUMBER(FIND("x"&amp;MID(B607,9,1),"x0x1x2x3x4x5x6x7x8x9"))),OR(10&gt;LEN(B607),MID(B607,10,1)=".",ISNUMBER(FIND("x"&amp;MID(B607,10,1),"x0x1x2x3x4x5x6x7x8x9"))),OR(AND(FIND(".",B607)=5,LEN(B607)-FIND(".",B607,FIND(".",B607)+1)&gt;=1,LEN(B607)-FIND(".",B607,FIND(".",B607)+1)&lt;=2),AND(LEN(B607)-FIND(".",B607,FIND(".",B607)+1)=4,FIND(".",B607)&gt;=2,FIND(".",B607)&lt;=3)),FIND(".",B607,FIND(".",B607)+1)-FIND(".",B607)&gt;=2,FIND(".",B607,FIND(".",B607)+1)-FIND(".",B607)&lt;=3,F607&gt;=2000,F607&lt;=2100,YEAR(I607)=F607,MONTH(I607)=G607,DAY(I607)=H607),I607,0)),0)</ns0:f>
        <ns0:v>0</ns0:v>
      </ns0:c>
      <ns0:c r="K607" s="0">
        <ns0:f>IFERROR(IF(ISNUMBER(Bookings!D607),"",TRIM(Bookings!D607&amp;"")),"")</ns0:f>
      </ns0:c>
      <ns0:c r="L607" s="0">
        <ns0:f>IFERROR(SUBSTITUTE(SUBSTITUTE(K607,"/","."),"-","."),"")</ns0:f>
      </ns0:c>
      <ns0:c r="M607" s="0">
        <ns0:f>IFERROR(LEFT(L607,FIND(".",L607)-1),"")</ns0:f>
      </ns0:c>
      <ns0:c r="N607" s="0">
        <ns0:f>IFERROR(MID(L607,FIND(".",L607)+1,FIND(".",L607,FIND(".",L607)+1)-FIND(".",L607)-1),"")</ns0:f>
      </ns0:c>
      <ns0:c r="O607" s="0">
        <ns0:f>IFERROR(MID(L607,FIND(".",L607,FIND(".",L607)+1)+1,99),"")</ns0:f>
        <ns0:v>99</ns0:v>
      </ns0:c>
      <ns0:c r="P607" s="0">
        <ns0:f>IFERROR(IF(FIND(".",L607)=5,--M607,--O607),0)</ns0:f>
        <ns0:v>0</ns0:v>
      </ns0:c>
      <ns0:c r="Q607" s="0">
        <ns0:f>IFERROR(--N607,0)</ns0:f>
        <ns0:v>0</ns0:v>
      </ns0:c>
      <ns0:c r="R607" s="0">
        <ns0:f>IFERROR(IF(FIND(".",L607)=5,--O607,--M607),0)</ns0:f>
        <ns0:v>0</ns0:v>
      </ns0:c>
      <ns0:c r="S607" s="0">
        <ns0:f>IFERROR(IF(AND(P607&gt;=2000,P607&lt;=2100,Q607&gt;=1,Q607&lt;=12,R607&gt;=1,R607&lt;=31),DATE(P607,Q607,R607),0),0)</ns0:f>
        <ns0:v>0</ns0:v>
      </ns0:c>
      <ns0:c r="T607" s="0">
        <ns0:f>IFERROR(IF(ISNUMBER(Bookings!D607),IF(AND(Bookings!D607=INT(Bookings!D607),Bookings!D607&gt;=DATE(2000,1,1),Bookings!D607&lt;=DATE(2100,12,31)),Bookings!D607,0),IF(AND(K607&lt;&gt;"",LEN("x"&amp;L607)-LEN(SUBSTITUTE("x"&amp;L607,".",""))=2,OR(1&gt;LEN(L607),MID(L607,1,1)=".",ISNUMBER(FIND("x"&amp;MID(L607,1,1),"x0x1x2x3x4x5x6x7x8x9"))),OR(2&gt;LEN(L607),MID(L607,2,1)=".",ISNUMBER(FIND("x"&amp;MID(L607,2,1),"x0x1x2x3x4x5x6x7x8x9"))),OR(3&gt;LEN(L607),MID(L607,3,1)=".",ISNUMBER(FIND("x"&amp;MID(L607,3,1),"x0x1x2x3x4x5x6x7x8x9"))),OR(4&gt;LEN(L607),MID(L607,4,1)=".",ISNUMBER(FIND("x"&amp;MID(L607,4,1),"x0x1x2x3x4x5x6x7x8x9"))),OR(5&gt;LEN(L607),MID(L607,5,1)=".",ISNUMBER(FIND("x"&amp;MID(L607,5,1),"x0x1x2x3x4x5x6x7x8x9"))),OR(6&gt;LEN(L607),MID(L607,6,1)=".",ISNUMBER(FIND("x"&amp;MID(L607,6,1),"x0x1x2x3x4x5x6x7x8x9"))),OR(7&gt;LEN(L607),MID(L607,7,1)=".",ISNUMBER(FIND("x"&amp;MID(L607,7,1),"x0x1x2x3x4x5x6x7x8x9"))),OR(8&gt;LEN(L607),MID(L607,8,1)=".",ISNUMBER(FIND("x"&amp;MID(L607,8,1),"x0x1x2x3x4x5x6x7x8x9"))),OR(9&gt;LEN(L607),MID(L607,9,1)=".",ISNUMBER(FIND("x"&amp;MID(L607,9,1),"x0x1x2x3x4x5x6x7x8x9"))),OR(10&gt;LEN(L607),MID(L607,10,1)=".",ISNUMBER(FIND("x"&amp;MID(L607,10,1),"x0x1x2x3x4x5x6x7x8x9"))),OR(AND(FIND(".",L607)=5,LEN(L607)-FIND(".",L607,FIND(".",L607)+1)&gt;=1,LEN(L607)-FIND(".",L607,FIND(".",L607)+1)&lt;=2),AND(LEN(L607)-FIND(".",L607,FIND(".",L607)+1)=4,FIND(".",L607)&gt;=2,FIND(".",L607)&lt;=3)),FIND(".",L607,FIND(".",L607)+1)-FIND(".",L607)&gt;=2,FIND(".",L607,FIND(".",L607)+1)-FIND(".",L607)&lt;=3,P607&gt;=2000,P607&lt;=2100,YEAR(S607)=P607,MONTH(S607)=Q607,DAY(S607)=R607),S607,0)),0)</ns0:f>
        <ns0:v>0</ns0:v>
      </ns0:c>
      <ns0:c r="U607" s="0" t="str">
        <ns0:f>IF(Bookings!C607="","Full day",Bookings!C607)</ns0:f>
        <ns0:v>Full day</ns0:v>
      </ns0:c>
      <ns0:c r="V607" s="0" t="str">
        <ns0:f>IF(Bookings!E607="","Full day",Bookings!E607)</ns0:f>
        <ns0:v>Full day</ns0:v>
      </ns0:c>
      <ns0:c r="W607" s="0">
        <ns0:f>IF(J607=0,0,J607+IF(U607="PM",1,0))</ns0:f>
        <ns0:v>0</ns0:v>
      </ns0:c>
      <ns0:c r="X607" s="0">
        <ns0:f>IF(T607=0,0,T607-IF(V607="PM",1,0))</ns0:f>
        <ns0:v>0</ns0:v>
      </ns0:c>
      <ns0:c r="Y607" s="0">
        <ns0:f>IF(J607=0,0,J607+IF(U607="AM",1,0))</ns0:f>
        <ns0:v>0</ns0:v>
      </ns0:c>
      <ns0:c r="Z607" s="0">
        <ns0:f>IF(T607=0,0,T607-IF(V607="AM",1,0))</ns0:f>
        <ns0:v>0</ns0:v>
      </ns0:c>
      <ns0:c r="AA607" s="0">
        <ns0:f>IFERROR(IF(AND(J607&gt;0,'_Engine'!C607&gt;0,MID('_Engine'!W607,WEEKDAY(J607,2),1)="W",COUNTIF(Settings!$F$18:$F$67,J607)=0),1,0),0)</ns0:f>
        <ns0:v>0</ns0:v>
      </ns0:c>
      <ns0:c r="AB607" s="0">
        <ns0:f>IFERROR(IF(AND(T607&gt;0,'_Engine'!C607&gt;0,MID('_Engine'!W607,WEEKDAY(T607,2),1)="W",COUNTIF(Settings!$F$18:$F$67,T607)=0),1,0),0)</ns0:f>
        <ns0:v>0</ns0:v>
      </ns0:c>
      <ns0:c r="AC607" s="0">
        <ns0:f>IF(AND(J607&gt;0,T607&gt;0,W607&lt;=X607),1,0)</ns0:f>
        <ns0:v>0</ns0:v>
      </ns0:c>
      <ns0:c r="AD607" s="0">
        <ns0:f>IF(AND(J607&gt;0,T607&gt;0,Y607&lt;=Z607),1,0)</ns0:f>
        <ns0:v>0</ns0:v>
      </ns0:c>
    </ns0:row>
    <ns0:row r="608">
      <ns0:c r="A608" s="0">
        <ns0:f>IFERROR(IF(ISNUMBER(Bookings!B608),"",TRIM(Bookings!B608&amp;"")),"")</ns0:f>
      </ns0:c>
      <ns0:c r="B608" s="0">
        <ns0:f>IFERROR(SUBSTITUTE(SUBSTITUTE(A608,"/","."),"-","."),"")</ns0:f>
      </ns0:c>
      <ns0:c r="C608" s="0">
        <ns0:f>IFERROR(LEFT(B608,FIND(".",B608)-1),"")</ns0:f>
      </ns0:c>
      <ns0:c r="D608" s="0">
        <ns0:f>IFERROR(MID(B608,FIND(".",B608)+1,FIND(".",B608,FIND(".",B608)+1)-FIND(".",B608)-1),"")</ns0:f>
      </ns0:c>
      <ns0:c r="E608" s="0">
        <ns0:f>IFERROR(MID(B608,FIND(".",B608,FIND(".",B608)+1)+1,99),"")</ns0:f>
        <ns0:v>99</ns0:v>
      </ns0:c>
      <ns0:c r="F608" s="0">
        <ns0:f>IFERROR(IF(FIND(".",B608)=5,--C608,--E608),0)</ns0:f>
        <ns0:v>0</ns0:v>
      </ns0:c>
      <ns0:c r="G608" s="0">
        <ns0:f>IFERROR(--D608,0)</ns0:f>
        <ns0:v>0</ns0:v>
      </ns0:c>
      <ns0:c r="H608" s="0">
        <ns0:f>IFERROR(IF(FIND(".",B608)=5,--E608,--C608),0)</ns0:f>
        <ns0:v>0</ns0:v>
      </ns0:c>
      <ns0:c r="I608" s="0">
        <ns0:f>IFERROR(IF(AND(F608&gt;=2000,F608&lt;=2100,G608&gt;=1,G608&lt;=12,H608&gt;=1,H608&lt;=31),DATE(F608,G608,H608),0),0)</ns0:f>
        <ns0:v>0</ns0:v>
      </ns0:c>
      <ns0:c r="J608" s="0">
        <ns0:f>IFERROR(IF(ISNUMBER(Bookings!B608),IF(AND(Bookings!B608=INT(Bookings!B608),Bookings!B608&gt;=DATE(2000,1,1),Bookings!B608&lt;=DATE(2100,12,31)),Bookings!B608,0),IF(AND(A608&lt;&gt;"",LEN("x"&amp;B608)-LEN(SUBSTITUTE("x"&amp;B608,".",""))=2,OR(1&gt;LEN(B608),MID(B608,1,1)=".",ISNUMBER(FIND("x"&amp;MID(B608,1,1),"x0x1x2x3x4x5x6x7x8x9"))),OR(2&gt;LEN(B608),MID(B608,2,1)=".",ISNUMBER(FIND("x"&amp;MID(B608,2,1),"x0x1x2x3x4x5x6x7x8x9"))),OR(3&gt;LEN(B608),MID(B608,3,1)=".",ISNUMBER(FIND("x"&amp;MID(B608,3,1),"x0x1x2x3x4x5x6x7x8x9"))),OR(4&gt;LEN(B608),MID(B608,4,1)=".",ISNUMBER(FIND("x"&amp;MID(B608,4,1),"x0x1x2x3x4x5x6x7x8x9"))),OR(5&gt;LEN(B608),MID(B608,5,1)=".",ISNUMBER(FIND("x"&amp;MID(B608,5,1),"x0x1x2x3x4x5x6x7x8x9"))),OR(6&gt;LEN(B608),MID(B608,6,1)=".",ISNUMBER(FIND("x"&amp;MID(B608,6,1),"x0x1x2x3x4x5x6x7x8x9"))),OR(7&gt;LEN(B608),MID(B608,7,1)=".",ISNUMBER(FIND("x"&amp;MID(B608,7,1),"x0x1x2x3x4x5x6x7x8x9"))),OR(8&gt;LEN(B608),MID(B608,8,1)=".",ISNUMBER(FIND("x"&amp;MID(B608,8,1),"x0x1x2x3x4x5x6x7x8x9"))),OR(9&gt;LEN(B608),MID(B608,9,1)=".",ISNUMBER(FIND("x"&amp;MID(B608,9,1),"x0x1x2x3x4x5x6x7x8x9"))),OR(10&gt;LEN(B608),MID(B608,10,1)=".",ISNUMBER(FIND("x"&amp;MID(B608,10,1),"x0x1x2x3x4x5x6x7x8x9"))),OR(AND(FIND(".",B608)=5,LEN(B608)-FIND(".",B608,FIND(".",B608)+1)&gt;=1,LEN(B608)-FIND(".",B608,FIND(".",B608)+1)&lt;=2),AND(LEN(B608)-FIND(".",B608,FIND(".",B608)+1)=4,FIND(".",B608)&gt;=2,FIND(".",B608)&lt;=3)),FIND(".",B608,FIND(".",B608)+1)-FIND(".",B608)&gt;=2,FIND(".",B608,FIND(".",B608)+1)-FIND(".",B608)&lt;=3,F608&gt;=2000,F608&lt;=2100,YEAR(I608)=F608,MONTH(I608)=G608,DAY(I608)=H608),I608,0)),0)</ns0:f>
        <ns0:v>0</ns0:v>
      </ns0:c>
      <ns0:c r="K608" s="0">
        <ns0:f>IFERROR(IF(ISNUMBER(Bookings!D608),"",TRIM(Bookings!D608&amp;"")),"")</ns0:f>
      </ns0:c>
      <ns0:c r="L608" s="0">
        <ns0:f>IFERROR(SUBSTITUTE(SUBSTITUTE(K608,"/","."),"-","."),"")</ns0:f>
      </ns0:c>
      <ns0:c r="M608" s="0">
        <ns0:f>IFERROR(LEFT(L608,FIND(".",L608)-1),"")</ns0:f>
      </ns0:c>
      <ns0:c r="N608" s="0">
        <ns0:f>IFERROR(MID(L608,FIND(".",L608)+1,FIND(".",L608,FIND(".",L608)+1)-FIND(".",L608)-1),"")</ns0:f>
      </ns0:c>
      <ns0:c r="O608" s="0">
        <ns0:f>IFERROR(MID(L608,FIND(".",L608,FIND(".",L608)+1)+1,99),"")</ns0:f>
        <ns0:v>99</ns0:v>
      </ns0:c>
      <ns0:c r="P608" s="0">
        <ns0:f>IFERROR(IF(FIND(".",L608)=5,--M608,--O608),0)</ns0:f>
        <ns0:v>0</ns0:v>
      </ns0:c>
      <ns0:c r="Q608" s="0">
        <ns0:f>IFERROR(--N608,0)</ns0:f>
        <ns0:v>0</ns0:v>
      </ns0:c>
      <ns0:c r="R608" s="0">
        <ns0:f>IFERROR(IF(FIND(".",L608)=5,--O608,--M608),0)</ns0:f>
        <ns0:v>0</ns0:v>
      </ns0:c>
      <ns0:c r="S608" s="0">
        <ns0:f>IFERROR(IF(AND(P608&gt;=2000,P608&lt;=2100,Q608&gt;=1,Q608&lt;=12,R608&gt;=1,R608&lt;=31),DATE(P608,Q608,R608),0),0)</ns0:f>
        <ns0:v>0</ns0:v>
      </ns0:c>
      <ns0:c r="T608" s="0">
        <ns0:f>IFERROR(IF(ISNUMBER(Bookings!D608),IF(AND(Bookings!D608=INT(Bookings!D608),Bookings!D608&gt;=DATE(2000,1,1),Bookings!D608&lt;=DATE(2100,12,31)),Bookings!D608,0),IF(AND(K608&lt;&gt;"",LEN("x"&amp;L608)-LEN(SUBSTITUTE("x"&amp;L608,".",""))=2,OR(1&gt;LEN(L608),MID(L608,1,1)=".",ISNUMBER(FIND("x"&amp;MID(L608,1,1),"x0x1x2x3x4x5x6x7x8x9"))),OR(2&gt;LEN(L608),MID(L608,2,1)=".",ISNUMBER(FIND("x"&amp;MID(L608,2,1),"x0x1x2x3x4x5x6x7x8x9"))),OR(3&gt;LEN(L608),MID(L608,3,1)=".",ISNUMBER(FIND("x"&amp;MID(L608,3,1),"x0x1x2x3x4x5x6x7x8x9"))),OR(4&gt;LEN(L608),MID(L608,4,1)=".",ISNUMBER(FIND("x"&amp;MID(L608,4,1),"x0x1x2x3x4x5x6x7x8x9"))),OR(5&gt;LEN(L608),MID(L608,5,1)=".",ISNUMBER(FIND("x"&amp;MID(L608,5,1),"x0x1x2x3x4x5x6x7x8x9"))),OR(6&gt;LEN(L608),MID(L608,6,1)=".",ISNUMBER(FIND("x"&amp;MID(L608,6,1),"x0x1x2x3x4x5x6x7x8x9"))),OR(7&gt;LEN(L608),MID(L608,7,1)=".",ISNUMBER(FIND("x"&amp;MID(L608,7,1),"x0x1x2x3x4x5x6x7x8x9"))),OR(8&gt;LEN(L608),MID(L608,8,1)=".",ISNUMBER(FIND("x"&amp;MID(L608,8,1),"x0x1x2x3x4x5x6x7x8x9"))),OR(9&gt;LEN(L608),MID(L608,9,1)=".",ISNUMBER(FIND("x"&amp;MID(L608,9,1),"x0x1x2x3x4x5x6x7x8x9"))),OR(10&gt;LEN(L608),MID(L608,10,1)=".",ISNUMBER(FIND("x"&amp;MID(L608,10,1),"x0x1x2x3x4x5x6x7x8x9"))),OR(AND(FIND(".",L608)=5,LEN(L608)-FIND(".",L608,FIND(".",L608)+1)&gt;=1,LEN(L608)-FIND(".",L608,FIND(".",L608)+1)&lt;=2),AND(LEN(L608)-FIND(".",L608,FIND(".",L608)+1)=4,FIND(".",L608)&gt;=2,FIND(".",L608)&lt;=3)),FIND(".",L608,FIND(".",L608)+1)-FIND(".",L608)&gt;=2,FIND(".",L608,FIND(".",L608)+1)-FIND(".",L608)&lt;=3,P608&gt;=2000,P608&lt;=2100,YEAR(S608)=P608,MONTH(S608)=Q608,DAY(S608)=R608),S608,0)),0)</ns0:f>
        <ns0:v>0</ns0:v>
      </ns0:c>
      <ns0:c r="U608" s="0" t="str">
        <ns0:f>IF(Bookings!C608="","Full day",Bookings!C608)</ns0:f>
        <ns0:v>Full day</ns0:v>
      </ns0:c>
      <ns0:c r="V608" s="0" t="str">
        <ns0:f>IF(Bookings!E608="","Full day",Bookings!E608)</ns0:f>
        <ns0:v>Full day</ns0:v>
      </ns0:c>
      <ns0:c r="W608" s="0">
        <ns0:f>IF(J608=0,0,J608+IF(U608="PM",1,0))</ns0:f>
        <ns0:v>0</ns0:v>
      </ns0:c>
      <ns0:c r="X608" s="0">
        <ns0:f>IF(T608=0,0,T608-IF(V608="PM",1,0))</ns0:f>
        <ns0:v>0</ns0:v>
      </ns0:c>
      <ns0:c r="Y608" s="0">
        <ns0:f>IF(J608=0,0,J608+IF(U608="AM",1,0))</ns0:f>
        <ns0:v>0</ns0:v>
      </ns0:c>
      <ns0:c r="Z608" s="0">
        <ns0:f>IF(T608=0,0,T608-IF(V608="AM",1,0))</ns0:f>
        <ns0:v>0</ns0:v>
      </ns0:c>
      <ns0:c r="AA608" s="0">
        <ns0:f>IFERROR(IF(AND(J608&gt;0,'_Engine'!C608&gt;0,MID('_Engine'!W608,WEEKDAY(J608,2),1)="W",COUNTIF(Settings!$F$18:$F$67,J608)=0),1,0),0)</ns0:f>
        <ns0:v>0</ns0:v>
      </ns0:c>
      <ns0:c r="AB608" s="0">
        <ns0:f>IFERROR(IF(AND(T608&gt;0,'_Engine'!C608&gt;0,MID('_Engine'!W608,WEEKDAY(T608,2),1)="W",COUNTIF(Settings!$F$18:$F$67,T608)=0),1,0),0)</ns0:f>
        <ns0:v>0</ns0:v>
      </ns0:c>
      <ns0:c r="AC608" s="0">
        <ns0:f>IF(AND(J608&gt;0,T608&gt;0,W608&lt;=X608),1,0)</ns0:f>
        <ns0:v>0</ns0:v>
      </ns0:c>
      <ns0:c r="AD608" s="0">
        <ns0:f>IF(AND(J608&gt;0,T608&gt;0,Y608&lt;=Z608),1,0)</ns0:f>
        <ns0:v>0</ns0:v>
      </ns0:c>
    </ns0:row>
    <ns0:row r="609">
      <ns0:c r="A609" s="0">
        <ns0:f>IFERROR(IF(ISNUMBER(Bookings!B609),"",TRIM(Bookings!B609&amp;"")),"")</ns0:f>
      </ns0:c>
      <ns0:c r="B609" s="0">
        <ns0:f>IFERROR(SUBSTITUTE(SUBSTITUTE(A609,"/","."),"-","."),"")</ns0:f>
      </ns0:c>
      <ns0:c r="C609" s="0">
        <ns0:f>IFERROR(LEFT(B609,FIND(".",B609)-1),"")</ns0:f>
      </ns0:c>
      <ns0:c r="D609" s="0">
        <ns0:f>IFERROR(MID(B609,FIND(".",B609)+1,FIND(".",B609,FIND(".",B609)+1)-FIND(".",B609)-1),"")</ns0:f>
      </ns0:c>
      <ns0:c r="E609" s="0">
        <ns0:f>IFERROR(MID(B609,FIND(".",B609,FIND(".",B609)+1)+1,99),"")</ns0:f>
        <ns0:v>99</ns0:v>
      </ns0:c>
      <ns0:c r="F609" s="0">
        <ns0:f>IFERROR(IF(FIND(".",B609)=5,--C609,--E609),0)</ns0:f>
        <ns0:v>0</ns0:v>
      </ns0:c>
      <ns0:c r="G609" s="0">
        <ns0:f>IFERROR(--D609,0)</ns0:f>
        <ns0:v>0</ns0:v>
      </ns0:c>
      <ns0:c r="H609" s="0">
        <ns0:f>IFERROR(IF(FIND(".",B609)=5,--E609,--C609),0)</ns0:f>
        <ns0:v>0</ns0:v>
      </ns0:c>
      <ns0:c r="I609" s="0">
        <ns0:f>IFERROR(IF(AND(F609&gt;=2000,F609&lt;=2100,G609&gt;=1,G609&lt;=12,H609&gt;=1,H609&lt;=31),DATE(F609,G609,H609),0),0)</ns0:f>
        <ns0:v>0</ns0:v>
      </ns0:c>
      <ns0:c r="J609" s="0">
        <ns0:f>IFERROR(IF(ISNUMBER(Bookings!B609),IF(AND(Bookings!B609=INT(Bookings!B609),Bookings!B609&gt;=DATE(2000,1,1),Bookings!B609&lt;=DATE(2100,12,31)),Bookings!B609,0),IF(AND(A609&lt;&gt;"",LEN("x"&amp;B609)-LEN(SUBSTITUTE("x"&amp;B609,".",""))=2,OR(1&gt;LEN(B609),MID(B609,1,1)=".",ISNUMBER(FIND("x"&amp;MID(B609,1,1),"x0x1x2x3x4x5x6x7x8x9"))),OR(2&gt;LEN(B609),MID(B609,2,1)=".",ISNUMBER(FIND("x"&amp;MID(B609,2,1),"x0x1x2x3x4x5x6x7x8x9"))),OR(3&gt;LEN(B609),MID(B609,3,1)=".",ISNUMBER(FIND("x"&amp;MID(B609,3,1),"x0x1x2x3x4x5x6x7x8x9"))),OR(4&gt;LEN(B609),MID(B609,4,1)=".",ISNUMBER(FIND("x"&amp;MID(B609,4,1),"x0x1x2x3x4x5x6x7x8x9"))),OR(5&gt;LEN(B609),MID(B609,5,1)=".",ISNUMBER(FIND("x"&amp;MID(B609,5,1),"x0x1x2x3x4x5x6x7x8x9"))),OR(6&gt;LEN(B609),MID(B609,6,1)=".",ISNUMBER(FIND("x"&amp;MID(B609,6,1),"x0x1x2x3x4x5x6x7x8x9"))),OR(7&gt;LEN(B609),MID(B609,7,1)=".",ISNUMBER(FIND("x"&amp;MID(B609,7,1),"x0x1x2x3x4x5x6x7x8x9"))),OR(8&gt;LEN(B609),MID(B609,8,1)=".",ISNUMBER(FIND("x"&amp;MID(B609,8,1),"x0x1x2x3x4x5x6x7x8x9"))),OR(9&gt;LEN(B609),MID(B609,9,1)=".",ISNUMBER(FIND("x"&amp;MID(B609,9,1),"x0x1x2x3x4x5x6x7x8x9"))),OR(10&gt;LEN(B609),MID(B609,10,1)=".",ISNUMBER(FIND("x"&amp;MID(B609,10,1),"x0x1x2x3x4x5x6x7x8x9"))),OR(AND(FIND(".",B609)=5,LEN(B609)-FIND(".",B609,FIND(".",B609)+1)&gt;=1,LEN(B609)-FIND(".",B609,FIND(".",B609)+1)&lt;=2),AND(LEN(B609)-FIND(".",B609,FIND(".",B609)+1)=4,FIND(".",B609)&gt;=2,FIND(".",B609)&lt;=3)),FIND(".",B609,FIND(".",B609)+1)-FIND(".",B609)&gt;=2,FIND(".",B609,FIND(".",B609)+1)-FIND(".",B609)&lt;=3,F609&gt;=2000,F609&lt;=2100,YEAR(I609)=F609,MONTH(I609)=G609,DAY(I609)=H609),I609,0)),0)</ns0:f>
        <ns0:v>0</ns0:v>
      </ns0:c>
      <ns0:c r="K609" s="0">
        <ns0:f>IFERROR(IF(ISNUMBER(Bookings!D609),"",TRIM(Bookings!D609&amp;"")),"")</ns0:f>
      </ns0:c>
      <ns0:c r="L609" s="0">
        <ns0:f>IFERROR(SUBSTITUTE(SUBSTITUTE(K609,"/","."),"-","."),"")</ns0:f>
      </ns0:c>
      <ns0:c r="M609" s="0">
        <ns0:f>IFERROR(LEFT(L609,FIND(".",L609)-1),"")</ns0:f>
      </ns0:c>
      <ns0:c r="N609" s="0">
        <ns0:f>IFERROR(MID(L609,FIND(".",L609)+1,FIND(".",L609,FIND(".",L609)+1)-FIND(".",L609)-1),"")</ns0:f>
      </ns0:c>
      <ns0:c r="O609" s="0">
        <ns0:f>IFERROR(MID(L609,FIND(".",L609,FIND(".",L609)+1)+1,99),"")</ns0:f>
        <ns0:v>99</ns0:v>
      </ns0:c>
      <ns0:c r="P609" s="0">
        <ns0:f>IFERROR(IF(FIND(".",L609)=5,--M609,--O609),0)</ns0:f>
        <ns0:v>0</ns0:v>
      </ns0:c>
      <ns0:c r="Q609" s="0">
        <ns0:f>IFERROR(--N609,0)</ns0:f>
        <ns0:v>0</ns0:v>
      </ns0:c>
      <ns0:c r="R609" s="0">
        <ns0:f>IFERROR(IF(FIND(".",L609)=5,--O609,--M609),0)</ns0:f>
        <ns0:v>0</ns0:v>
      </ns0:c>
      <ns0:c r="S609" s="0">
        <ns0:f>IFERROR(IF(AND(P609&gt;=2000,P609&lt;=2100,Q609&gt;=1,Q609&lt;=12,R609&gt;=1,R609&lt;=31),DATE(P609,Q609,R609),0),0)</ns0:f>
        <ns0:v>0</ns0:v>
      </ns0:c>
      <ns0:c r="T609" s="0">
        <ns0:f>IFERROR(IF(ISNUMBER(Bookings!D609),IF(AND(Bookings!D609=INT(Bookings!D609),Bookings!D609&gt;=DATE(2000,1,1),Bookings!D609&lt;=DATE(2100,12,31)),Bookings!D609,0),IF(AND(K609&lt;&gt;"",LEN("x"&amp;L609)-LEN(SUBSTITUTE("x"&amp;L609,".",""))=2,OR(1&gt;LEN(L609),MID(L609,1,1)=".",ISNUMBER(FIND("x"&amp;MID(L609,1,1),"x0x1x2x3x4x5x6x7x8x9"))),OR(2&gt;LEN(L609),MID(L609,2,1)=".",ISNUMBER(FIND("x"&amp;MID(L609,2,1),"x0x1x2x3x4x5x6x7x8x9"))),OR(3&gt;LEN(L609),MID(L609,3,1)=".",ISNUMBER(FIND("x"&amp;MID(L609,3,1),"x0x1x2x3x4x5x6x7x8x9"))),OR(4&gt;LEN(L609),MID(L609,4,1)=".",ISNUMBER(FIND("x"&amp;MID(L609,4,1),"x0x1x2x3x4x5x6x7x8x9"))),OR(5&gt;LEN(L609),MID(L609,5,1)=".",ISNUMBER(FIND("x"&amp;MID(L609,5,1),"x0x1x2x3x4x5x6x7x8x9"))),OR(6&gt;LEN(L609),MID(L609,6,1)=".",ISNUMBER(FIND("x"&amp;MID(L609,6,1),"x0x1x2x3x4x5x6x7x8x9"))),OR(7&gt;LEN(L609),MID(L609,7,1)=".",ISNUMBER(FIND("x"&amp;MID(L609,7,1),"x0x1x2x3x4x5x6x7x8x9"))),OR(8&gt;LEN(L609),MID(L609,8,1)=".",ISNUMBER(FIND("x"&amp;MID(L609,8,1),"x0x1x2x3x4x5x6x7x8x9"))),OR(9&gt;LEN(L609),MID(L609,9,1)=".",ISNUMBER(FIND("x"&amp;MID(L609,9,1),"x0x1x2x3x4x5x6x7x8x9"))),OR(10&gt;LEN(L609),MID(L609,10,1)=".",ISNUMBER(FIND("x"&amp;MID(L609,10,1),"x0x1x2x3x4x5x6x7x8x9"))),OR(AND(FIND(".",L609)=5,LEN(L609)-FIND(".",L609,FIND(".",L609)+1)&gt;=1,LEN(L609)-FIND(".",L609,FIND(".",L609)+1)&lt;=2),AND(LEN(L609)-FIND(".",L609,FIND(".",L609)+1)=4,FIND(".",L609)&gt;=2,FIND(".",L609)&lt;=3)),FIND(".",L609,FIND(".",L609)+1)-FIND(".",L609)&gt;=2,FIND(".",L609,FIND(".",L609)+1)-FIND(".",L609)&lt;=3,P609&gt;=2000,P609&lt;=2100,YEAR(S609)=P609,MONTH(S609)=Q609,DAY(S609)=R609),S609,0)),0)</ns0:f>
        <ns0:v>0</ns0:v>
      </ns0:c>
      <ns0:c r="U609" s="0" t="str">
        <ns0:f>IF(Bookings!C609="","Full day",Bookings!C609)</ns0:f>
        <ns0:v>Full day</ns0:v>
      </ns0:c>
      <ns0:c r="V609" s="0" t="str">
        <ns0:f>IF(Bookings!E609="","Full day",Bookings!E609)</ns0:f>
        <ns0:v>Full day</ns0:v>
      </ns0:c>
      <ns0:c r="W609" s="0">
        <ns0:f>IF(J609=0,0,J609+IF(U609="PM",1,0))</ns0:f>
        <ns0:v>0</ns0:v>
      </ns0:c>
      <ns0:c r="X609" s="0">
        <ns0:f>IF(T609=0,0,T609-IF(V609="PM",1,0))</ns0:f>
        <ns0:v>0</ns0:v>
      </ns0:c>
      <ns0:c r="Y609" s="0">
        <ns0:f>IF(J609=0,0,J609+IF(U609="AM",1,0))</ns0:f>
        <ns0:v>0</ns0:v>
      </ns0:c>
      <ns0:c r="Z609" s="0">
        <ns0:f>IF(T609=0,0,T609-IF(V609="AM",1,0))</ns0:f>
        <ns0:v>0</ns0:v>
      </ns0:c>
      <ns0:c r="AA609" s="0">
        <ns0:f>IFERROR(IF(AND(J609&gt;0,'_Engine'!C609&gt;0,MID('_Engine'!W609,WEEKDAY(J609,2),1)="W",COUNTIF(Settings!$F$18:$F$67,J609)=0),1,0),0)</ns0:f>
        <ns0:v>0</ns0:v>
      </ns0:c>
      <ns0:c r="AB609" s="0">
        <ns0:f>IFERROR(IF(AND(T609&gt;0,'_Engine'!C609&gt;0,MID('_Engine'!W609,WEEKDAY(T609,2),1)="W",COUNTIF(Settings!$F$18:$F$67,T609)=0),1,0),0)</ns0:f>
        <ns0:v>0</ns0:v>
      </ns0:c>
      <ns0:c r="AC609" s="0">
        <ns0:f>IF(AND(J609&gt;0,T609&gt;0,W609&lt;=X609),1,0)</ns0:f>
        <ns0:v>0</ns0:v>
      </ns0:c>
      <ns0:c r="AD609" s="0">
        <ns0:f>IF(AND(J609&gt;0,T609&gt;0,Y609&lt;=Z609),1,0)</ns0:f>
        <ns0:v>0</ns0:v>
      </ns0:c>
    </ns0:row>
    <ns0:row r="610">
      <ns0:c r="A610" s="0">
        <ns0:f>IFERROR(IF(ISNUMBER(Bookings!B610),"",TRIM(Bookings!B610&amp;"")),"")</ns0:f>
      </ns0:c>
      <ns0:c r="B610" s="0">
        <ns0:f>IFERROR(SUBSTITUTE(SUBSTITUTE(A610,"/","."),"-","."),"")</ns0:f>
      </ns0:c>
      <ns0:c r="C610" s="0">
        <ns0:f>IFERROR(LEFT(B610,FIND(".",B610)-1),"")</ns0:f>
      </ns0:c>
      <ns0:c r="D610" s="0">
        <ns0:f>IFERROR(MID(B610,FIND(".",B610)+1,FIND(".",B610,FIND(".",B610)+1)-FIND(".",B610)-1),"")</ns0:f>
      </ns0:c>
      <ns0:c r="E610" s="0">
        <ns0:f>IFERROR(MID(B610,FIND(".",B610,FIND(".",B610)+1)+1,99),"")</ns0:f>
        <ns0:v>99</ns0:v>
      </ns0:c>
      <ns0:c r="F610" s="0">
        <ns0:f>IFERROR(IF(FIND(".",B610)=5,--C610,--E610),0)</ns0:f>
        <ns0:v>0</ns0:v>
      </ns0:c>
      <ns0:c r="G610" s="0">
        <ns0:f>IFERROR(--D610,0)</ns0:f>
        <ns0:v>0</ns0:v>
      </ns0:c>
      <ns0:c r="H610" s="0">
        <ns0:f>IFERROR(IF(FIND(".",B610)=5,--E610,--C610),0)</ns0:f>
        <ns0:v>0</ns0:v>
      </ns0:c>
      <ns0:c r="I610" s="0">
        <ns0:f>IFERROR(IF(AND(F610&gt;=2000,F610&lt;=2100,G610&gt;=1,G610&lt;=12,H610&gt;=1,H610&lt;=31),DATE(F610,G610,H610),0),0)</ns0:f>
        <ns0:v>0</ns0:v>
      </ns0:c>
      <ns0:c r="J610" s="0">
        <ns0:f>IFERROR(IF(ISNUMBER(Bookings!B610),IF(AND(Bookings!B610=INT(Bookings!B610),Bookings!B610&gt;=DATE(2000,1,1),Bookings!B610&lt;=DATE(2100,12,31)),Bookings!B610,0),IF(AND(A610&lt;&gt;"",LEN("x"&amp;B610)-LEN(SUBSTITUTE("x"&amp;B610,".",""))=2,OR(1&gt;LEN(B610),MID(B610,1,1)=".",ISNUMBER(FIND("x"&amp;MID(B610,1,1),"x0x1x2x3x4x5x6x7x8x9"))),OR(2&gt;LEN(B610),MID(B610,2,1)=".",ISNUMBER(FIND("x"&amp;MID(B610,2,1),"x0x1x2x3x4x5x6x7x8x9"))),OR(3&gt;LEN(B610),MID(B610,3,1)=".",ISNUMBER(FIND("x"&amp;MID(B610,3,1),"x0x1x2x3x4x5x6x7x8x9"))),OR(4&gt;LEN(B610),MID(B610,4,1)=".",ISNUMBER(FIND("x"&amp;MID(B610,4,1),"x0x1x2x3x4x5x6x7x8x9"))),OR(5&gt;LEN(B610),MID(B610,5,1)=".",ISNUMBER(FIND("x"&amp;MID(B610,5,1),"x0x1x2x3x4x5x6x7x8x9"))),OR(6&gt;LEN(B610),MID(B610,6,1)=".",ISNUMBER(FIND("x"&amp;MID(B610,6,1),"x0x1x2x3x4x5x6x7x8x9"))),OR(7&gt;LEN(B610),MID(B610,7,1)=".",ISNUMBER(FIND("x"&amp;MID(B610,7,1),"x0x1x2x3x4x5x6x7x8x9"))),OR(8&gt;LEN(B610),MID(B610,8,1)=".",ISNUMBER(FIND("x"&amp;MID(B610,8,1),"x0x1x2x3x4x5x6x7x8x9"))),OR(9&gt;LEN(B610),MID(B610,9,1)=".",ISNUMBER(FIND("x"&amp;MID(B610,9,1),"x0x1x2x3x4x5x6x7x8x9"))),OR(10&gt;LEN(B610),MID(B610,10,1)=".",ISNUMBER(FIND("x"&amp;MID(B610,10,1),"x0x1x2x3x4x5x6x7x8x9"))),OR(AND(FIND(".",B610)=5,LEN(B610)-FIND(".",B610,FIND(".",B610)+1)&gt;=1,LEN(B610)-FIND(".",B610,FIND(".",B610)+1)&lt;=2),AND(LEN(B610)-FIND(".",B610,FIND(".",B610)+1)=4,FIND(".",B610)&gt;=2,FIND(".",B610)&lt;=3)),FIND(".",B610,FIND(".",B610)+1)-FIND(".",B610)&gt;=2,FIND(".",B610,FIND(".",B610)+1)-FIND(".",B610)&lt;=3,F610&gt;=2000,F610&lt;=2100,YEAR(I610)=F610,MONTH(I610)=G610,DAY(I610)=H610),I610,0)),0)</ns0:f>
        <ns0:v>0</ns0:v>
      </ns0:c>
      <ns0:c r="K610" s="0">
        <ns0:f>IFERROR(IF(ISNUMBER(Bookings!D610),"",TRIM(Bookings!D610&amp;"")),"")</ns0:f>
      </ns0:c>
      <ns0:c r="L610" s="0">
        <ns0:f>IFERROR(SUBSTITUTE(SUBSTITUTE(K610,"/","."),"-","."),"")</ns0:f>
      </ns0:c>
      <ns0:c r="M610" s="0">
        <ns0:f>IFERROR(LEFT(L610,FIND(".",L610)-1),"")</ns0:f>
      </ns0:c>
      <ns0:c r="N610" s="0">
        <ns0:f>IFERROR(MID(L610,FIND(".",L610)+1,FIND(".",L610,FIND(".",L610)+1)-FIND(".",L610)-1),"")</ns0:f>
      </ns0:c>
      <ns0:c r="O610" s="0">
        <ns0:f>IFERROR(MID(L610,FIND(".",L610,FIND(".",L610)+1)+1,99),"")</ns0:f>
        <ns0:v>99</ns0:v>
      </ns0:c>
      <ns0:c r="P610" s="0">
        <ns0:f>IFERROR(IF(FIND(".",L610)=5,--M610,--O610),0)</ns0:f>
        <ns0:v>0</ns0:v>
      </ns0:c>
      <ns0:c r="Q610" s="0">
        <ns0:f>IFERROR(--N610,0)</ns0:f>
        <ns0:v>0</ns0:v>
      </ns0:c>
      <ns0:c r="R610" s="0">
        <ns0:f>IFERROR(IF(FIND(".",L610)=5,--O610,--M610),0)</ns0:f>
        <ns0:v>0</ns0:v>
      </ns0:c>
      <ns0:c r="S610" s="0">
        <ns0:f>IFERROR(IF(AND(P610&gt;=2000,P610&lt;=2100,Q610&gt;=1,Q610&lt;=12,R610&gt;=1,R610&lt;=31),DATE(P610,Q610,R610),0),0)</ns0:f>
        <ns0:v>0</ns0:v>
      </ns0:c>
      <ns0:c r="T610" s="0">
        <ns0:f>IFERROR(IF(ISNUMBER(Bookings!D610),IF(AND(Bookings!D610=INT(Bookings!D610),Bookings!D610&gt;=DATE(2000,1,1),Bookings!D610&lt;=DATE(2100,12,31)),Bookings!D610,0),IF(AND(K610&lt;&gt;"",LEN("x"&amp;L610)-LEN(SUBSTITUTE("x"&amp;L610,".",""))=2,OR(1&gt;LEN(L610),MID(L610,1,1)=".",ISNUMBER(FIND("x"&amp;MID(L610,1,1),"x0x1x2x3x4x5x6x7x8x9"))),OR(2&gt;LEN(L610),MID(L610,2,1)=".",ISNUMBER(FIND("x"&amp;MID(L610,2,1),"x0x1x2x3x4x5x6x7x8x9"))),OR(3&gt;LEN(L610),MID(L610,3,1)=".",ISNUMBER(FIND("x"&amp;MID(L610,3,1),"x0x1x2x3x4x5x6x7x8x9"))),OR(4&gt;LEN(L610),MID(L610,4,1)=".",ISNUMBER(FIND("x"&amp;MID(L610,4,1),"x0x1x2x3x4x5x6x7x8x9"))),OR(5&gt;LEN(L610),MID(L610,5,1)=".",ISNUMBER(FIND("x"&amp;MID(L610,5,1),"x0x1x2x3x4x5x6x7x8x9"))),OR(6&gt;LEN(L610),MID(L610,6,1)=".",ISNUMBER(FIND("x"&amp;MID(L610,6,1),"x0x1x2x3x4x5x6x7x8x9"))),OR(7&gt;LEN(L610),MID(L610,7,1)=".",ISNUMBER(FIND("x"&amp;MID(L610,7,1),"x0x1x2x3x4x5x6x7x8x9"))),OR(8&gt;LEN(L610),MID(L610,8,1)=".",ISNUMBER(FIND("x"&amp;MID(L610,8,1),"x0x1x2x3x4x5x6x7x8x9"))),OR(9&gt;LEN(L610),MID(L610,9,1)=".",ISNUMBER(FIND("x"&amp;MID(L610,9,1),"x0x1x2x3x4x5x6x7x8x9"))),OR(10&gt;LEN(L610),MID(L610,10,1)=".",ISNUMBER(FIND("x"&amp;MID(L610,10,1),"x0x1x2x3x4x5x6x7x8x9"))),OR(AND(FIND(".",L610)=5,LEN(L610)-FIND(".",L610,FIND(".",L610)+1)&gt;=1,LEN(L610)-FIND(".",L610,FIND(".",L610)+1)&lt;=2),AND(LEN(L610)-FIND(".",L610,FIND(".",L610)+1)=4,FIND(".",L610)&gt;=2,FIND(".",L610)&lt;=3)),FIND(".",L610,FIND(".",L610)+1)-FIND(".",L610)&gt;=2,FIND(".",L610,FIND(".",L610)+1)-FIND(".",L610)&lt;=3,P610&gt;=2000,P610&lt;=2100,YEAR(S610)=P610,MONTH(S610)=Q610,DAY(S610)=R610),S610,0)),0)</ns0:f>
        <ns0:v>0</ns0:v>
      </ns0:c>
      <ns0:c r="U610" s="0" t="str">
        <ns0:f>IF(Bookings!C610="","Full day",Bookings!C610)</ns0:f>
        <ns0:v>Full day</ns0:v>
      </ns0:c>
      <ns0:c r="V610" s="0" t="str">
        <ns0:f>IF(Bookings!E610="","Full day",Bookings!E610)</ns0:f>
        <ns0:v>Full day</ns0:v>
      </ns0:c>
      <ns0:c r="W610" s="0">
        <ns0:f>IF(J610=0,0,J610+IF(U610="PM",1,0))</ns0:f>
        <ns0:v>0</ns0:v>
      </ns0:c>
      <ns0:c r="X610" s="0">
        <ns0:f>IF(T610=0,0,T610-IF(V610="PM",1,0))</ns0:f>
        <ns0:v>0</ns0:v>
      </ns0:c>
      <ns0:c r="Y610" s="0">
        <ns0:f>IF(J610=0,0,J610+IF(U610="AM",1,0))</ns0:f>
        <ns0:v>0</ns0:v>
      </ns0:c>
      <ns0:c r="Z610" s="0">
        <ns0:f>IF(T610=0,0,T610-IF(V610="AM",1,0))</ns0:f>
        <ns0:v>0</ns0:v>
      </ns0:c>
      <ns0:c r="AA610" s="0">
        <ns0:f>IFERROR(IF(AND(J610&gt;0,'_Engine'!C610&gt;0,MID('_Engine'!W610,WEEKDAY(J610,2),1)="W",COUNTIF(Settings!$F$18:$F$67,J610)=0),1,0),0)</ns0:f>
        <ns0:v>0</ns0:v>
      </ns0:c>
      <ns0:c r="AB610" s="0">
        <ns0:f>IFERROR(IF(AND(T610&gt;0,'_Engine'!C610&gt;0,MID('_Engine'!W610,WEEKDAY(T610,2),1)="W",COUNTIF(Settings!$F$18:$F$67,T610)=0),1,0),0)</ns0:f>
        <ns0:v>0</ns0:v>
      </ns0:c>
      <ns0:c r="AC610" s="0">
        <ns0:f>IF(AND(J610&gt;0,T610&gt;0,W610&lt;=X610),1,0)</ns0:f>
        <ns0:v>0</ns0:v>
      </ns0:c>
      <ns0:c r="AD610" s="0">
        <ns0:f>IF(AND(J610&gt;0,T610&gt;0,Y610&lt;=Z610),1,0)</ns0:f>
        <ns0:v>0</ns0:v>
      </ns0:c>
    </ns0:row>
    <ns0:row r="611">
      <ns0:c r="A611" s="0">
        <ns0:f>IFERROR(IF(ISNUMBER(Bookings!B611),"",TRIM(Bookings!B611&amp;"")),"")</ns0:f>
      </ns0:c>
      <ns0:c r="B611" s="0">
        <ns0:f>IFERROR(SUBSTITUTE(SUBSTITUTE(A611,"/","."),"-","."),"")</ns0:f>
      </ns0:c>
      <ns0:c r="C611" s="0">
        <ns0:f>IFERROR(LEFT(B611,FIND(".",B611)-1),"")</ns0:f>
      </ns0:c>
      <ns0:c r="D611" s="0">
        <ns0:f>IFERROR(MID(B611,FIND(".",B611)+1,FIND(".",B611,FIND(".",B611)+1)-FIND(".",B611)-1),"")</ns0:f>
      </ns0:c>
      <ns0:c r="E611" s="0">
        <ns0:f>IFERROR(MID(B611,FIND(".",B611,FIND(".",B611)+1)+1,99),"")</ns0:f>
        <ns0:v>99</ns0:v>
      </ns0:c>
      <ns0:c r="F611" s="0">
        <ns0:f>IFERROR(IF(FIND(".",B611)=5,--C611,--E611),0)</ns0:f>
        <ns0:v>0</ns0:v>
      </ns0:c>
      <ns0:c r="G611" s="0">
        <ns0:f>IFERROR(--D611,0)</ns0:f>
        <ns0:v>0</ns0:v>
      </ns0:c>
      <ns0:c r="H611" s="0">
        <ns0:f>IFERROR(IF(FIND(".",B611)=5,--E611,--C611),0)</ns0:f>
        <ns0:v>0</ns0:v>
      </ns0:c>
      <ns0:c r="I611" s="0">
        <ns0:f>IFERROR(IF(AND(F611&gt;=2000,F611&lt;=2100,G611&gt;=1,G611&lt;=12,H611&gt;=1,H611&lt;=31),DATE(F611,G611,H611),0),0)</ns0:f>
        <ns0:v>0</ns0:v>
      </ns0:c>
      <ns0:c r="J611" s="0">
        <ns0:f>IFERROR(IF(ISNUMBER(Bookings!B611),IF(AND(Bookings!B611=INT(Bookings!B611),Bookings!B611&gt;=DATE(2000,1,1),Bookings!B611&lt;=DATE(2100,12,31)),Bookings!B611,0),IF(AND(A611&lt;&gt;"",LEN("x"&amp;B611)-LEN(SUBSTITUTE("x"&amp;B611,".",""))=2,OR(1&gt;LEN(B611),MID(B611,1,1)=".",ISNUMBER(FIND("x"&amp;MID(B611,1,1),"x0x1x2x3x4x5x6x7x8x9"))),OR(2&gt;LEN(B611),MID(B611,2,1)=".",ISNUMBER(FIND("x"&amp;MID(B611,2,1),"x0x1x2x3x4x5x6x7x8x9"))),OR(3&gt;LEN(B611),MID(B611,3,1)=".",ISNUMBER(FIND("x"&amp;MID(B611,3,1),"x0x1x2x3x4x5x6x7x8x9"))),OR(4&gt;LEN(B611),MID(B611,4,1)=".",ISNUMBER(FIND("x"&amp;MID(B611,4,1),"x0x1x2x3x4x5x6x7x8x9"))),OR(5&gt;LEN(B611),MID(B611,5,1)=".",ISNUMBER(FIND("x"&amp;MID(B611,5,1),"x0x1x2x3x4x5x6x7x8x9"))),OR(6&gt;LEN(B611),MID(B611,6,1)=".",ISNUMBER(FIND("x"&amp;MID(B611,6,1),"x0x1x2x3x4x5x6x7x8x9"))),OR(7&gt;LEN(B611),MID(B611,7,1)=".",ISNUMBER(FIND("x"&amp;MID(B611,7,1),"x0x1x2x3x4x5x6x7x8x9"))),OR(8&gt;LEN(B611),MID(B611,8,1)=".",ISNUMBER(FIND("x"&amp;MID(B611,8,1),"x0x1x2x3x4x5x6x7x8x9"))),OR(9&gt;LEN(B611),MID(B611,9,1)=".",ISNUMBER(FIND("x"&amp;MID(B611,9,1),"x0x1x2x3x4x5x6x7x8x9"))),OR(10&gt;LEN(B611),MID(B611,10,1)=".",ISNUMBER(FIND("x"&amp;MID(B611,10,1),"x0x1x2x3x4x5x6x7x8x9"))),OR(AND(FIND(".",B611)=5,LEN(B611)-FIND(".",B611,FIND(".",B611)+1)&gt;=1,LEN(B611)-FIND(".",B611,FIND(".",B611)+1)&lt;=2),AND(LEN(B611)-FIND(".",B611,FIND(".",B611)+1)=4,FIND(".",B611)&gt;=2,FIND(".",B611)&lt;=3)),FIND(".",B611,FIND(".",B611)+1)-FIND(".",B611)&gt;=2,FIND(".",B611,FIND(".",B611)+1)-FIND(".",B611)&lt;=3,F611&gt;=2000,F611&lt;=2100,YEAR(I611)=F611,MONTH(I611)=G611,DAY(I611)=H611),I611,0)),0)</ns0:f>
        <ns0:v>0</ns0:v>
      </ns0:c>
      <ns0:c r="K611" s="0">
        <ns0:f>IFERROR(IF(ISNUMBER(Bookings!D611),"",TRIM(Bookings!D611&amp;"")),"")</ns0:f>
      </ns0:c>
      <ns0:c r="L611" s="0">
        <ns0:f>IFERROR(SUBSTITUTE(SUBSTITUTE(K611,"/","."),"-","."),"")</ns0:f>
      </ns0:c>
      <ns0:c r="M611" s="0">
        <ns0:f>IFERROR(LEFT(L611,FIND(".",L611)-1),"")</ns0:f>
      </ns0:c>
      <ns0:c r="N611" s="0">
        <ns0:f>IFERROR(MID(L611,FIND(".",L611)+1,FIND(".",L611,FIND(".",L611)+1)-FIND(".",L611)-1),"")</ns0:f>
      </ns0:c>
      <ns0:c r="O611" s="0">
        <ns0:f>IFERROR(MID(L611,FIND(".",L611,FIND(".",L611)+1)+1,99),"")</ns0:f>
        <ns0:v>99</ns0:v>
      </ns0:c>
      <ns0:c r="P611" s="0">
        <ns0:f>IFERROR(IF(FIND(".",L611)=5,--M611,--O611),0)</ns0:f>
        <ns0:v>0</ns0:v>
      </ns0:c>
      <ns0:c r="Q611" s="0">
        <ns0:f>IFERROR(--N611,0)</ns0:f>
        <ns0:v>0</ns0:v>
      </ns0:c>
      <ns0:c r="R611" s="0">
        <ns0:f>IFERROR(IF(FIND(".",L611)=5,--O611,--M611),0)</ns0:f>
        <ns0:v>0</ns0:v>
      </ns0:c>
      <ns0:c r="S611" s="0">
        <ns0:f>IFERROR(IF(AND(P611&gt;=2000,P611&lt;=2100,Q611&gt;=1,Q611&lt;=12,R611&gt;=1,R611&lt;=31),DATE(P611,Q611,R611),0),0)</ns0:f>
        <ns0:v>0</ns0:v>
      </ns0:c>
      <ns0:c r="T611" s="0">
        <ns0:f>IFERROR(IF(ISNUMBER(Bookings!D611),IF(AND(Bookings!D611=INT(Bookings!D611),Bookings!D611&gt;=DATE(2000,1,1),Bookings!D611&lt;=DATE(2100,12,31)),Bookings!D611,0),IF(AND(K611&lt;&gt;"",LEN("x"&amp;L611)-LEN(SUBSTITUTE("x"&amp;L611,".",""))=2,OR(1&gt;LEN(L611),MID(L611,1,1)=".",ISNUMBER(FIND("x"&amp;MID(L611,1,1),"x0x1x2x3x4x5x6x7x8x9"))),OR(2&gt;LEN(L611),MID(L611,2,1)=".",ISNUMBER(FIND("x"&amp;MID(L611,2,1),"x0x1x2x3x4x5x6x7x8x9"))),OR(3&gt;LEN(L611),MID(L611,3,1)=".",ISNUMBER(FIND("x"&amp;MID(L611,3,1),"x0x1x2x3x4x5x6x7x8x9"))),OR(4&gt;LEN(L611),MID(L611,4,1)=".",ISNUMBER(FIND("x"&amp;MID(L611,4,1),"x0x1x2x3x4x5x6x7x8x9"))),OR(5&gt;LEN(L611),MID(L611,5,1)=".",ISNUMBER(FIND("x"&amp;MID(L611,5,1),"x0x1x2x3x4x5x6x7x8x9"))),OR(6&gt;LEN(L611),MID(L611,6,1)=".",ISNUMBER(FIND("x"&amp;MID(L611,6,1),"x0x1x2x3x4x5x6x7x8x9"))),OR(7&gt;LEN(L611),MID(L611,7,1)=".",ISNUMBER(FIND("x"&amp;MID(L611,7,1),"x0x1x2x3x4x5x6x7x8x9"))),OR(8&gt;LEN(L611),MID(L611,8,1)=".",ISNUMBER(FIND("x"&amp;MID(L611,8,1),"x0x1x2x3x4x5x6x7x8x9"))),OR(9&gt;LEN(L611),MID(L611,9,1)=".",ISNUMBER(FIND("x"&amp;MID(L611,9,1),"x0x1x2x3x4x5x6x7x8x9"))),OR(10&gt;LEN(L611),MID(L611,10,1)=".",ISNUMBER(FIND("x"&amp;MID(L611,10,1),"x0x1x2x3x4x5x6x7x8x9"))),OR(AND(FIND(".",L611)=5,LEN(L611)-FIND(".",L611,FIND(".",L611)+1)&gt;=1,LEN(L611)-FIND(".",L611,FIND(".",L611)+1)&lt;=2),AND(LEN(L611)-FIND(".",L611,FIND(".",L611)+1)=4,FIND(".",L611)&gt;=2,FIND(".",L611)&lt;=3)),FIND(".",L611,FIND(".",L611)+1)-FIND(".",L611)&gt;=2,FIND(".",L611,FIND(".",L611)+1)-FIND(".",L611)&lt;=3,P611&gt;=2000,P611&lt;=2100,YEAR(S611)=P611,MONTH(S611)=Q611,DAY(S611)=R611),S611,0)),0)</ns0:f>
        <ns0:v>0</ns0:v>
      </ns0:c>
      <ns0:c r="U611" s="0" t="str">
        <ns0:f>IF(Bookings!C611="","Full day",Bookings!C611)</ns0:f>
        <ns0:v>Full day</ns0:v>
      </ns0:c>
      <ns0:c r="V611" s="0" t="str">
        <ns0:f>IF(Bookings!E611="","Full day",Bookings!E611)</ns0:f>
        <ns0:v>Full day</ns0:v>
      </ns0:c>
      <ns0:c r="W611" s="0">
        <ns0:f>IF(J611=0,0,J611+IF(U611="PM",1,0))</ns0:f>
        <ns0:v>0</ns0:v>
      </ns0:c>
      <ns0:c r="X611" s="0">
        <ns0:f>IF(T611=0,0,T611-IF(V611="PM",1,0))</ns0:f>
        <ns0:v>0</ns0:v>
      </ns0:c>
      <ns0:c r="Y611" s="0">
        <ns0:f>IF(J611=0,0,J611+IF(U611="AM",1,0))</ns0:f>
        <ns0:v>0</ns0:v>
      </ns0:c>
      <ns0:c r="Z611" s="0">
        <ns0:f>IF(T611=0,0,T611-IF(V611="AM",1,0))</ns0:f>
        <ns0:v>0</ns0:v>
      </ns0:c>
      <ns0:c r="AA611" s="0">
        <ns0:f>IFERROR(IF(AND(J611&gt;0,'_Engine'!C611&gt;0,MID('_Engine'!W611,WEEKDAY(J611,2),1)="W",COUNTIF(Settings!$F$18:$F$67,J611)=0),1,0),0)</ns0:f>
        <ns0:v>0</ns0:v>
      </ns0:c>
      <ns0:c r="AB611" s="0">
        <ns0:f>IFERROR(IF(AND(T611&gt;0,'_Engine'!C611&gt;0,MID('_Engine'!W611,WEEKDAY(T611,2),1)="W",COUNTIF(Settings!$F$18:$F$67,T611)=0),1,0),0)</ns0:f>
        <ns0:v>0</ns0:v>
      </ns0:c>
      <ns0:c r="AC611" s="0">
        <ns0:f>IF(AND(J611&gt;0,T611&gt;0,W611&lt;=X611),1,0)</ns0:f>
        <ns0:v>0</ns0:v>
      </ns0:c>
      <ns0:c r="AD611" s="0">
        <ns0:f>IF(AND(J611&gt;0,T611&gt;0,Y611&lt;=Z611),1,0)</ns0:f>
        <ns0:v>0</ns0:v>
      </ns0:c>
    </ns0:row>
    <ns0:row r="612">
      <ns0:c r="A612" s="0">
        <ns0:f>IFERROR(IF(ISNUMBER(Bookings!B612),"",TRIM(Bookings!B612&amp;"")),"")</ns0:f>
      </ns0:c>
      <ns0:c r="B612" s="0">
        <ns0:f>IFERROR(SUBSTITUTE(SUBSTITUTE(A612,"/","."),"-","."),"")</ns0:f>
      </ns0:c>
      <ns0:c r="C612" s="0">
        <ns0:f>IFERROR(LEFT(B612,FIND(".",B612)-1),"")</ns0:f>
      </ns0:c>
      <ns0:c r="D612" s="0">
        <ns0:f>IFERROR(MID(B612,FIND(".",B612)+1,FIND(".",B612,FIND(".",B612)+1)-FIND(".",B612)-1),"")</ns0:f>
      </ns0:c>
      <ns0:c r="E612" s="0">
        <ns0:f>IFERROR(MID(B612,FIND(".",B612,FIND(".",B612)+1)+1,99),"")</ns0:f>
        <ns0:v>99</ns0:v>
      </ns0:c>
      <ns0:c r="F612" s="0">
        <ns0:f>IFERROR(IF(FIND(".",B612)=5,--C612,--E612),0)</ns0:f>
        <ns0:v>0</ns0:v>
      </ns0:c>
      <ns0:c r="G612" s="0">
        <ns0:f>IFERROR(--D612,0)</ns0:f>
        <ns0:v>0</ns0:v>
      </ns0:c>
      <ns0:c r="H612" s="0">
        <ns0:f>IFERROR(IF(FIND(".",B612)=5,--E612,--C612),0)</ns0:f>
        <ns0:v>0</ns0:v>
      </ns0:c>
      <ns0:c r="I612" s="0">
        <ns0:f>IFERROR(IF(AND(F612&gt;=2000,F612&lt;=2100,G612&gt;=1,G612&lt;=12,H612&gt;=1,H612&lt;=31),DATE(F612,G612,H612),0),0)</ns0:f>
        <ns0:v>0</ns0:v>
      </ns0:c>
      <ns0:c r="J612" s="0">
        <ns0:f>IFERROR(IF(ISNUMBER(Bookings!B612),IF(AND(Bookings!B612=INT(Bookings!B612),Bookings!B612&gt;=DATE(2000,1,1),Bookings!B612&lt;=DATE(2100,12,31)),Bookings!B612,0),IF(AND(A612&lt;&gt;"",LEN("x"&amp;B612)-LEN(SUBSTITUTE("x"&amp;B612,".",""))=2,OR(1&gt;LEN(B612),MID(B612,1,1)=".",ISNUMBER(FIND("x"&amp;MID(B612,1,1),"x0x1x2x3x4x5x6x7x8x9"))),OR(2&gt;LEN(B612),MID(B612,2,1)=".",ISNUMBER(FIND("x"&amp;MID(B612,2,1),"x0x1x2x3x4x5x6x7x8x9"))),OR(3&gt;LEN(B612),MID(B612,3,1)=".",ISNUMBER(FIND("x"&amp;MID(B612,3,1),"x0x1x2x3x4x5x6x7x8x9"))),OR(4&gt;LEN(B612),MID(B612,4,1)=".",ISNUMBER(FIND("x"&amp;MID(B612,4,1),"x0x1x2x3x4x5x6x7x8x9"))),OR(5&gt;LEN(B612),MID(B612,5,1)=".",ISNUMBER(FIND("x"&amp;MID(B612,5,1),"x0x1x2x3x4x5x6x7x8x9"))),OR(6&gt;LEN(B612),MID(B612,6,1)=".",ISNUMBER(FIND("x"&amp;MID(B612,6,1),"x0x1x2x3x4x5x6x7x8x9"))),OR(7&gt;LEN(B612),MID(B612,7,1)=".",ISNUMBER(FIND("x"&amp;MID(B612,7,1),"x0x1x2x3x4x5x6x7x8x9"))),OR(8&gt;LEN(B612),MID(B612,8,1)=".",ISNUMBER(FIND("x"&amp;MID(B612,8,1),"x0x1x2x3x4x5x6x7x8x9"))),OR(9&gt;LEN(B612),MID(B612,9,1)=".",ISNUMBER(FIND("x"&amp;MID(B612,9,1),"x0x1x2x3x4x5x6x7x8x9"))),OR(10&gt;LEN(B612),MID(B612,10,1)=".",ISNUMBER(FIND("x"&amp;MID(B612,10,1),"x0x1x2x3x4x5x6x7x8x9"))),OR(AND(FIND(".",B612)=5,LEN(B612)-FIND(".",B612,FIND(".",B612)+1)&gt;=1,LEN(B612)-FIND(".",B612,FIND(".",B612)+1)&lt;=2),AND(LEN(B612)-FIND(".",B612,FIND(".",B612)+1)=4,FIND(".",B612)&gt;=2,FIND(".",B612)&lt;=3)),FIND(".",B612,FIND(".",B612)+1)-FIND(".",B612)&gt;=2,FIND(".",B612,FIND(".",B612)+1)-FIND(".",B612)&lt;=3,F612&gt;=2000,F612&lt;=2100,YEAR(I612)=F612,MONTH(I612)=G612,DAY(I612)=H612),I612,0)),0)</ns0:f>
        <ns0:v>0</ns0:v>
      </ns0:c>
      <ns0:c r="K612" s="0">
        <ns0:f>IFERROR(IF(ISNUMBER(Bookings!D612),"",TRIM(Bookings!D612&amp;"")),"")</ns0:f>
      </ns0:c>
      <ns0:c r="L612" s="0">
        <ns0:f>IFERROR(SUBSTITUTE(SUBSTITUTE(K612,"/","."),"-","."),"")</ns0:f>
      </ns0:c>
      <ns0:c r="M612" s="0">
        <ns0:f>IFERROR(LEFT(L612,FIND(".",L612)-1),"")</ns0:f>
      </ns0:c>
      <ns0:c r="N612" s="0">
        <ns0:f>IFERROR(MID(L612,FIND(".",L612)+1,FIND(".",L612,FIND(".",L612)+1)-FIND(".",L612)-1),"")</ns0:f>
      </ns0:c>
      <ns0:c r="O612" s="0">
        <ns0:f>IFERROR(MID(L612,FIND(".",L612,FIND(".",L612)+1)+1,99),"")</ns0:f>
        <ns0:v>99</ns0:v>
      </ns0:c>
      <ns0:c r="P612" s="0">
        <ns0:f>IFERROR(IF(FIND(".",L612)=5,--M612,--O612),0)</ns0:f>
        <ns0:v>0</ns0:v>
      </ns0:c>
      <ns0:c r="Q612" s="0">
        <ns0:f>IFERROR(--N612,0)</ns0:f>
        <ns0:v>0</ns0:v>
      </ns0:c>
      <ns0:c r="R612" s="0">
        <ns0:f>IFERROR(IF(FIND(".",L612)=5,--O612,--M612),0)</ns0:f>
        <ns0:v>0</ns0:v>
      </ns0:c>
      <ns0:c r="S612" s="0">
        <ns0:f>IFERROR(IF(AND(P612&gt;=2000,P612&lt;=2100,Q612&gt;=1,Q612&lt;=12,R612&gt;=1,R612&lt;=31),DATE(P612,Q612,R612),0),0)</ns0:f>
        <ns0:v>0</ns0:v>
      </ns0:c>
      <ns0:c r="T612" s="0">
        <ns0:f>IFERROR(IF(ISNUMBER(Bookings!D612),IF(AND(Bookings!D612=INT(Bookings!D612),Bookings!D612&gt;=DATE(2000,1,1),Bookings!D612&lt;=DATE(2100,12,31)),Bookings!D612,0),IF(AND(K612&lt;&gt;"",LEN("x"&amp;L612)-LEN(SUBSTITUTE("x"&amp;L612,".",""))=2,OR(1&gt;LEN(L612),MID(L612,1,1)=".",ISNUMBER(FIND("x"&amp;MID(L612,1,1),"x0x1x2x3x4x5x6x7x8x9"))),OR(2&gt;LEN(L612),MID(L612,2,1)=".",ISNUMBER(FIND("x"&amp;MID(L612,2,1),"x0x1x2x3x4x5x6x7x8x9"))),OR(3&gt;LEN(L612),MID(L612,3,1)=".",ISNUMBER(FIND("x"&amp;MID(L612,3,1),"x0x1x2x3x4x5x6x7x8x9"))),OR(4&gt;LEN(L612),MID(L612,4,1)=".",ISNUMBER(FIND("x"&amp;MID(L612,4,1),"x0x1x2x3x4x5x6x7x8x9"))),OR(5&gt;LEN(L612),MID(L612,5,1)=".",ISNUMBER(FIND("x"&amp;MID(L612,5,1),"x0x1x2x3x4x5x6x7x8x9"))),OR(6&gt;LEN(L612),MID(L612,6,1)=".",ISNUMBER(FIND("x"&amp;MID(L612,6,1),"x0x1x2x3x4x5x6x7x8x9"))),OR(7&gt;LEN(L612),MID(L612,7,1)=".",ISNUMBER(FIND("x"&amp;MID(L612,7,1),"x0x1x2x3x4x5x6x7x8x9"))),OR(8&gt;LEN(L612),MID(L612,8,1)=".",ISNUMBER(FIND("x"&amp;MID(L612,8,1),"x0x1x2x3x4x5x6x7x8x9"))),OR(9&gt;LEN(L612),MID(L612,9,1)=".",ISNUMBER(FIND("x"&amp;MID(L612,9,1),"x0x1x2x3x4x5x6x7x8x9"))),OR(10&gt;LEN(L612),MID(L612,10,1)=".",ISNUMBER(FIND("x"&amp;MID(L612,10,1),"x0x1x2x3x4x5x6x7x8x9"))),OR(AND(FIND(".",L612)=5,LEN(L612)-FIND(".",L612,FIND(".",L612)+1)&gt;=1,LEN(L612)-FIND(".",L612,FIND(".",L612)+1)&lt;=2),AND(LEN(L612)-FIND(".",L612,FIND(".",L612)+1)=4,FIND(".",L612)&gt;=2,FIND(".",L612)&lt;=3)),FIND(".",L612,FIND(".",L612)+1)-FIND(".",L612)&gt;=2,FIND(".",L612,FIND(".",L612)+1)-FIND(".",L612)&lt;=3,P612&gt;=2000,P612&lt;=2100,YEAR(S612)=P612,MONTH(S612)=Q612,DAY(S612)=R612),S612,0)),0)</ns0:f>
        <ns0:v>0</ns0:v>
      </ns0:c>
      <ns0:c r="U612" s="0" t="str">
        <ns0:f>IF(Bookings!C612="","Full day",Bookings!C612)</ns0:f>
        <ns0:v>Full day</ns0:v>
      </ns0:c>
      <ns0:c r="V612" s="0" t="str">
        <ns0:f>IF(Bookings!E612="","Full day",Bookings!E612)</ns0:f>
        <ns0:v>Full day</ns0:v>
      </ns0:c>
      <ns0:c r="W612" s="0">
        <ns0:f>IF(J612=0,0,J612+IF(U612="PM",1,0))</ns0:f>
        <ns0:v>0</ns0:v>
      </ns0:c>
      <ns0:c r="X612" s="0">
        <ns0:f>IF(T612=0,0,T612-IF(V612="PM",1,0))</ns0:f>
        <ns0:v>0</ns0:v>
      </ns0:c>
      <ns0:c r="Y612" s="0">
        <ns0:f>IF(J612=0,0,J612+IF(U612="AM",1,0))</ns0:f>
        <ns0:v>0</ns0:v>
      </ns0:c>
      <ns0:c r="Z612" s="0">
        <ns0:f>IF(T612=0,0,T612-IF(V612="AM",1,0))</ns0:f>
        <ns0:v>0</ns0:v>
      </ns0:c>
      <ns0:c r="AA612" s="0">
        <ns0:f>IFERROR(IF(AND(J612&gt;0,'_Engine'!C612&gt;0,MID('_Engine'!W612,WEEKDAY(J612,2),1)="W",COUNTIF(Settings!$F$18:$F$67,J612)=0),1,0),0)</ns0:f>
        <ns0:v>0</ns0:v>
      </ns0:c>
      <ns0:c r="AB612" s="0">
        <ns0:f>IFERROR(IF(AND(T612&gt;0,'_Engine'!C612&gt;0,MID('_Engine'!W612,WEEKDAY(T612,2),1)="W",COUNTIF(Settings!$F$18:$F$67,T612)=0),1,0),0)</ns0:f>
        <ns0:v>0</ns0:v>
      </ns0:c>
      <ns0:c r="AC612" s="0">
        <ns0:f>IF(AND(J612&gt;0,T612&gt;0,W612&lt;=X612),1,0)</ns0:f>
        <ns0:v>0</ns0:v>
      </ns0:c>
      <ns0:c r="AD612" s="0">
        <ns0:f>IF(AND(J612&gt;0,T612&gt;0,Y612&lt;=Z612),1,0)</ns0:f>
        <ns0:v>0</ns0:v>
      </ns0:c>
    </ns0:row>
    <ns0:row r="613">
      <ns0:c r="A613" s="0">
        <ns0:f>IFERROR(IF(ISNUMBER(Bookings!B613),"",TRIM(Bookings!B613&amp;"")),"")</ns0:f>
      </ns0:c>
      <ns0:c r="B613" s="0">
        <ns0:f>IFERROR(SUBSTITUTE(SUBSTITUTE(A613,"/","."),"-","."),"")</ns0:f>
      </ns0:c>
      <ns0:c r="C613" s="0">
        <ns0:f>IFERROR(LEFT(B613,FIND(".",B613)-1),"")</ns0:f>
      </ns0:c>
      <ns0:c r="D613" s="0">
        <ns0:f>IFERROR(MID(B613,FIND(".",B613)+1,FIND(".",B613,FIND(".",B613)+1)-FIND(".",B613)-1),"")</ns0:f>
      </ns0:c>
      <ns0:c r="E613" s="0">
        <ns0:f>IFERROR(MID(B613,FIND(".",B613,FIND(".",B613)+1)+1,99),"")</ns0:f>
        <ns0:v>99</ns0:v>
      </ns0:c>
      <ns0:c r="F613" s="0">
        <ns0:f>IFERROR(IF(FIND(".",B613)=5,--C613,--E613),0)</ns0:f>
        <ns0:v>0</ns0:v>
      </ns0:c>
      <ns0:c r="G613" s="0">
        <ns0:f>IFERROR(--D613,0)</ns0:f>
        <ns0:v>0</ns0:v>
      </ns0:c>
      <ns0:c r="H613" s="0">
        <ns0:f>IFERROR(IF(FIND(".",B613)=5,--E613,--C613),0)</ns0:f>
        <ns0:v>0</ns0:v>
      </ns0:c>
      <ns0:c r="I613" s="0">
        <ns0:f>IFERROR(IF(AND(F613&gt;=2000,F613&lt;=2100,G613&gt;=1,G613&lt;=12,H613&gt;=1,H613&lt;=31),DATE(F613,G613,H613),0),0)</ns0:f>
        <ns0:v>0</ns0:v>
      </ns0:c>
      <ns0:c r="J613" s="0">
        <ns0:f>IFERROR(IF(ISNUMBER(Bookings!B613),IF(AND(Bookings!B613=INT(Bookings!B613),Bookings!B613&gt;=DATE(2000,1,1),Bookings!B613&lt;=DATE(2100,12,31)),Bookings!B613,0),IF(AND(A613&lt;&gt;"",LEN("x"&amp;B613)-LEN(SUBSTITUTE("x"&amp;B613,".",""))=2,OR(1&gt;LEN(B613),MID(B613,1,1)=".",ISNUMBER(FIND("x"&amp;MID(B613,1,1),"x0x1x2x3x4x5x6x7x8x9"))),OR(2&gt;LEN(B613),MID(B613,2,1)=".",ISNUMBER(FIND("x"&amp;MID(B613,2,1),"x0x1x2x3x4x5x6x7x8x9"))),OR(3&gt;LEN(B613),MID(B613,3,1)=".",ISNUMBER(FIND("x"&amp;MID(B613,3,1),"x0x1x2x3x4x5x6x7x8x9"))),OR(4&gt;LEN(B613),MID(B613,4,1)=".",ISNUMBER(FIND("x"&amp;MID(B613,4,1),"x0x1x2x3x4x5x6x7x8x9"))),OR(5&gt;LEN(B613),MID(B613,5,1)=".",ISNUMBER(FIND("x"&amp;MID(B613,5,1),"x0x1x2x3x4x5x6x7x8x9"))),OR(6&gt;LEN(B613),MID(B613,6,1)=".",ISNUMBER(FIND("x"&amp;MID(B613,6,1),"x0x1x2x3x4x5x6x7x8x9"))),OR(7&gt;LEN(B613),MID(B613,7,1)=".",ISNUMBER(FIND("x"&amp;MID(B613,7,1),"x0x1x2x3x4x5x6x7x8x9"))),OR(8&gt;LEN(B613),MID(B613,8,1)=".",ISNUMBER(FIND("x"&amp;MID(B613,8,1),"x0x1x2x3x4x5x6x7x8x9"))),OR(9&gt;LEN(B613),MID(B613,9,1)=".",ISNUMBER(FIND("x"&amp;MID(B613,9,1),"x0x1x2x3x4x5x6x7x8x9"))),OR(10&gt;LEN(B613),MID(B613,10,1)=".",ISNUMBER(FIND("x"&amp;MID(B613,10,1),"x0x1x2x3x4x5x6x7x8x9"))),OR(AND(FIND(".",B613)=5,LEN(B613)-FIND(".",B613,FIND(".",B613)+1)&gt;=1,LEN(B613)-FIND(".",B613,FIND(".",B613)+1)&lt;=2),AND(LEN(B613)-FIND(".",B613,FIND(".",B613)+1)=4,FIND(".",B613)&gt;=2,FIND(".",B613)&lt;=3)),FIND(".",B613,FIND(".",B613)+1)-FIND(".",B613)&gt;=2,FIND(".",B613,FIND(".",B613)+1)-FIND(".",B613)&lt;=3,F613&gt;=2000,F613&lt;=2100,YEAR(I613)=F613,MONTH(I613)=G613,DAY(I613)=H613),I613,0)),0)</ns0:f>
        <ns0:v>0</ns0:v>
      </ns0:c>
      <ns0:c r="K613" s="0">
        <ns0:f>IFERROR(IF(ISNUMBER(Bookings!D613),"",TRIM(Bookings!D613&amp;"")),"")</ns0:f>
      </ns0:c>
      <ns0:c r="L613" s="0">
        <ns0:f>IFERROR(SUBSTITUTE(SUBSTITUTE(K613,"/","."),"-","."),"")</ns0:f>
      </ns0:c>
      <ns0:c r="M613" s="0">
        <ns0:f>IFERROR(LEFT(L613,FIND(".",L613)-1),"")</ns0:f>
      </ns0:c>
      <ns0:c r="N613" s="0">
        <ns0:f>IFERROR(MID(L613,FIND(".",L613)+1,FIND(".",L613,FIND(".",L613)+1)-FIND(".",L613)-1),"")</ns0:f>
      </ns0:c>
      <ns0:c r="O613" s="0">
        <ns0:f>IFERROR(MID(L613,FIND(".",L613,FIND(".",L613)+1)+1,99),"")</ns0:f>
        <ns0:v>99</ns0:v>
      </ns0:c>
      <ns0:c r="P613" s="0">
        <ns0:f>IFERROR(IF(FIND(".",L613)=5,--M613,--O613),0)</ns0:f>
        <ns0:v>0</ns0:v>
      </ns0:c>
      <ns0:c r="Q613" s="0">
        <ns0:f>IFERROR(--N613,0)</ns0:f>
        <ns0:v>0</ns0:v>
      </ns0:c>
      <ns0:c r="R613" s="0">
        <ns0:f>IFERROR(IF(FIND(".",L613)=5,--O613,--M613),0)</ns0:f>
        <ns0:v>0</ns0:v>
      </ns0:c>
      <ns0:c r="S613" s="0">
        <ns0:f>IFERROR(IF(AND(P613&gt;=2000,P613&lt;=2100,Q613&gt;=1,Q613&lt;=12,R613&gt;=1,R613&lt;=31),DATE(P613,Q613,R613),0),0)</ns0:f>
        <ns0:v>0</ns0:v>
      </ns0:c>
      <ns0:c r="T613" s="0">
        <ns0:f>IFERROR(IF(ISNUMBER(Bookings!D613),IF(AND(Bookings!D613=INT(Bookings!D613),Bookings!D613&gt;=DATE(2000,1,1),Bookings!D613&lt;=DATE(2100,12,31)),Bookings!D613,0),IF(AND(K613&lt;&gt;"",LEN("x"&amp;L613)-LEN(SUBSTITUTE("x"&amp;L613,".",""))=2,OR(1&gt;LEN(L613),MID(L613,1,1)=".",ISNUMBER(FIND("x"&amp;MID(L613,1,1),"x0x1x2x3x4x5x6x7x8x9"))),OR(2&gt;LEN(L613),MID(L613,2,1)=".",ISNUMBER(FIND("x"&amp;MID(L613,2,1),"x0x1x2x3x4x5x6x7x8x9"))),OR(3&gt;LEN(L613),MID(L613,3,1)=".",ISNUMBER(FIND("x"&amp;MID(L613,3,1),"x0x1x2x3x4x5x6x7x8x9"))),OR(4&gt;LEN(L613),MID(L613,4,1)=".",ISNUMBER(FIND("x"&amp;MID(L613,4,1),"x0x1x2x3x4x5x6x7x8x9"))),OR(5&gt;LEN(L613),MID(L613,5,1)=".",ISNUMBER(FIND("x"&amp;MID(L613,5,1),"x0x1x2x3x4x5x6x7x8x9"))),OR(6&gt;LEN(L613),MID(L613,6,1)=".",ISNUMBER(FIND("x"&amp;MID(L613,6,1),"x0x1x2x3x4x5x6x7x8x9"))),OR(7&gt;LEN(L613),MID(L613,7,1)=".",ISNUMBER(FIND("x"&amp;MID(L613,7,1),"x0x1x2x3x4x5x6x7x8x9"))),OR(8&gt;LEN(L613),MID(L613,8,1)=".",ISNUMBER(FIND("x"&amp;MID(L613,8,1),"x0x1x2x3x4x5x6x7x8x9"))),OR(9&gt;LEN(L613),MID(L613,9,1)=".",ISNUMBER(FIND("x"&amp;MID(L613,9,1),"x0x1x2x3x4x5x6x7x8x9"))),OR(10&gt;LEN(L613),MID(L613,10,1)=".",ISNUMBER(FIND("x"&amp;MID(L613,10,1),"x0x1x2x3x4x5x6x7x8x9"))),OR(AND(FIND(".",L613)=5,LEN(L613)-FIND(".",L613,FIND(".",L613)+1)&gt;=1,LEN(L613)-FIND(".",L613,FIND(".",L613)+1)&lt;=2),AND(LEN(L613)-FIND(".",L613,FIND(".",L613)+1)=4,FIND(".",L613)&gt;=2,FIND(".",L613)&lt;=3)),FIND(".",L613,FIND(".",L613)+1)-FIND(".",L613)&gt;=2,FIND(".",L613,FIND(".",L613)+1)-FIND(".",L613)&lt;=3,P613&gt;=2000,P613&lt;=2100,YEAR(S613)=P613,MONTH(S613)=Q613,DAY(S613)=R613),S613,0)),0)</ns0:f>
        <ns0:v>0</ns0:v>
      </ns0:c>
      <ns0:c r="U613" s="0" t="str">
        <ns0:f>IF(Bookings!C613="","Full day",Bookings!C613)</ns0:f>
        <ns0:v>Full day</ns0:v>
      </ns0:c>
      <ns0:c r="V613" s="0" t="str">
        <ns0:f>IF(Bookings!E613="","Full day",Bookings!E613)</ns0:f>
        <ns0:v>Full day</ns0:v>
      </ns0:c>
      <ns0:c r="W613" s="0">
        <ns0:f>IF(J613=0,0,J613+IF(U613="PM",1,0))</ns0:f>
        <ns0:v>0</ns0:v>
      </ns0:c>
      <ns0:c r="X613" s="0">
        <ns0:f>IF(T613=0,0,T613-IF(V613="PM",1,0))</ns0:f>
        <ns0:v>0</ns0:v>
      </ns0:c>
      <ns0:c r="Y613" s="0">
        <ns0:f>IF(J613=0,0,J613+IF(U613="AM",1,0))</ns0:f>
        <ns0:v>0</ns0:v>
      </ns0:c>
      <ns0:c r="Z613" s="0">
        <ns0:f>IF(T613=0,0,T613-IF(V613="AM",1,0))</ns0:f>
        <ns0:v>0</ns0:v>
      </ns0:c>
      <ns0:c r="AA613" s="0">
        <ns0:f>IFERROR(IF(AND(J613&gt;0,'_Engine'!C613&gt;0,MID('_Engine'!W613,WEEKDAY(J613,2),1)="W",COUNTIF(Settings!$F$18:$F$67,J613)=0),1,0),0)</ns0:f>
        <ns0:v>0</ns0:v>
      </ns0:c>
      <ns0:c r="AB613" s="0">
        <ns0:f>IFERROR(IF(AND(T613&gt;0,'_Engine'!C613&gt;0,MID('_Engine'!W613,WEEKDAY(T613,2),1)="W",COUNTIF(Settings!$F$18:$F$67,T613)=0),1,0),0)</ns0:f>
        <ns0:v>0</ns0:v>
      </ns0:c>
      <ns0:c r="AC613" s="0">
        <ns0:f>IF(AND(J613&gt;0,T613&gt;0,W613&lt;=X613),1,0)</ns0:f>
        <ns0:v>0</ns0:v>
      </ns0:c>
      <ns0:c r="AD613" s="0">
        <ns0:f>IF(AND(J613&gt;0,T613&gt;0,Y613&lt;=Z613),1,0)</ns0:f>
        <ns0:v>0</ns0:v>
      </ns0:c>
    </ns0:row>
    <ns0:row r="614">
      <ns0:c r="A614" s="0">
        <ns0:f>IFERROR(IF(ISNUMBER(Bookings!B614),"",TRIM(Bookings!B614&amp;"")),"")</ns0:f>
      </ns0:c>
      <ns0:c r="B614" s="0">
        <ns0:f>IFERROR(SUBSTITUTE(SUBSTITUTE(A614,"/","."),"-","."),"")</ns0:f>
      </ns0:c>
      <ns0:c r="C614" s="0">
        <ns0:f>IFERROR(LEFT(B614,FIND(".",B614)-1),"")</ns0:f>
      </ns0:c>
      <ns0:c r="D614" s="0">
        <ns0:f>IFERROR(MID(B614,FIND(".",B614)+1,FIND(".",B614,FIND(".",B614)+1)-FIND(".",B614)-1),"")</ns0:f>
      </ns0:c>
      <ns0:c r="E614" s="0">
        <ns0:f>IFERROR(MID(B614,FIND(".",B614,FIND(".",B614)+1)+1,99),"")</ns0:f>
        <ns0:v>99</ns0:v>
      </ns0:c>
      <ns0:c r="F614" s="0">
        <ns0:f>IFERROR(IF(FIND(".",B614)=5,--C614,--E614),0)</ns0:f>
        <ns0:v>0</ns0:v>
      </ns0:c>
      <ns0:c r="G614" s="0">
        <ns0:f>IFERROR(--D614,0)</ns0:f>
        <ns0:v>0</ns0:v>
      </ns0:c>
      <ns0:c r="H614" s="0">
        <ns0:f>IFERROR(IF(FIND(".",B614)=5,--E614,--C614),0)</ns0:f>
        <ns0:v>0</ns0:v>
      </ns0:c>
      <ns0:c r="I614" s="0">
        <ns0:f>IFERROR(IF(AND(F614&gt;=2000,F614&lt;=2100,G614&gt;=1,G614&lt;=12,H614&gt;=1,H614&lt;=31),DATE(F614,G614,H614),0),0)</ns0:f>
        <ns0:v>0</ns0:v>
      </ns0:c>
      <ns0:c r="J614" s="0">
        <ns0:f>IFERROR(IF(ISNUMBER(Bookings!B614),IF(AND(Bookings!B614=INT(Bookings!B614),Bookings!B614&gt;=DATE(2000,1,1),Bookings!B614&lt;=DATE(2100,12,31)),Bookings!B614,0),IF(AND(A614&lt;&gt;"",LEN("x"&amp;B614)-LEN(SUBSTITUTE("x"&amp;B614,".",""))=2,OR(1&gt;LEN(B614),MID(B614,1,1)=".",ISNUMBER(FIND("x"&amp;MID(B614,1,1),"x0x1x2x3x4x5x6x7x8x9"))),OR(2&gt;LEN(B614),MID(B614,2,1)=".",ISNUMBER(FIND("x"&amp;MID(B614,2,1),"x0x1x2x3x4x5x6x7x8x9"))),OR(3&gt;LEN(B614),MID(B614,3,1)=".",ISNUMBER(FIND("x"&amp;MID(B614,3,1),"x0x1x2x3x4x5x6x7x8x9"))),OR(4&gt;LEN(B614),MID(B614,4,1)=".",ISNUMBER(FIND("x"&amp;MID(B614,4,1),"x0x1x2x3x4x5x6x7x8x9"))),OR(5&gt;LEN(B614),MID(B614,5,1)=".",ISNUMBER(FIND("x"&amp;MID(B614,5,1),"x0x1x2x3x4x5x6x7x8x9"))),OR(6&gt;LEN(B614),MID(B614,6,1)=".",ISNUMBER(FIND("x"&amp;MID(B614,6,1),"x0x1x2x3x4x5x6x7x8x9"))),OR(7&gt;LEN(B614),MID(B614,7,1)=".",ISNUMBER(FIND("x"&amp;MID(B614,7,1),"x0x1x2x3x4x5x6x7x8x9"))),OR(8&gt;LEN(B614),MID(B614,8,1)=".",ISNUMBER(FIND("x"&amp;MID(B614,8,1),"x0x1x2x3x4x5x6x7x8x9"))),OR(9&gt;LEN(B614),MID(B614,9,1)=".",ISNUMBER(FIND("x"&amp;MID(B614,9,1),"x0x1x2x3x4x5x6x7x8x9"))),OR(10&gt;LEN(B614),MID(B614,10,1)=".",ISNUMBER(FIND("x"&amp;MID(B614,10,1),"x0x1x2x3x4x5x6x7x8x9"))),OR(AND(FIND(".",B614)=5,LEN(B614)-FIND(".",B614,FIND(".",B614)+1)&gt;=1,LEN(B614)-FIND(".",B614,FIND(".",B614)+1)&lt;=2),AND(LEN(B614)-FIND(".",B614,FIND(".",B614)+1)=4,FIND(".",B614)&gt;=2,FIND(".",B614)&lt;=3)),FIND(".",B614,FIND(".",B614)+1)-FIND(".",B614)&gt;=2,FIND(".",B614,FIND(".",B614)+1)-FIND(".",B614)&lt;=3,F614&gt;=2000,F614&lt;=2100,YEAR(I614)=F614,MONTH(I614)=G614,DAY(I614)=H614),I614,0)),0)</ns0:f>
        <ns0:v>0</ns0:v>
      </ns0:c>
      <ns0:c r="K614" s="0">
        <ns0:f>IFERROR(IF(ISNUMBER(Bookings!D614),"",TRIM(Bookings!D614&amp;"")),"")</ns0:f>
      </ns0:c>
      <ns0:c r="L614" s="0">
        <ns0:f>IFERROR(SUBSTITUTE(SUBSTITUTE(K614,"/","."),"-","."),"")</ns0:f>
      </ns0:c>
      <ns0:c r="M614" s="0">
        <ns0:f>IFERROR(LEFT(L614,FIND(".",L614)-1),"")</ns0:f>
      </ns0:c>
      <ns0:c r="N614" s="0">
        <ns0:f>IFERROR(MID(L614,FIND(".",L614)+1,FIND(".",L614,FIND(".",L614)+1)-FIND(".",L614)-1),"")</ns0:f>
      </ns0:c>
      <ns0:c r="O614" s="0">
        <ns0:f>IFERROR(MID(L614,FIND(".",L614,FIND(".",L614)+1)+1,99),"")</ns0:f>
        <ns0:v>99</ns0:v>
      </ns0:c>
      <ns0:c r="P614" s="0">
        <ns0:f>IFERROR(IF(FIND(".",L614)=5,--M614,--O614),0)</ns0:f>
        <ns0:v>0</ns0:v>
      </ns0:c>
      <ns0:c r="Q614" s="0">
        <ns0:f>IFERROR(--N614,0)</ns0:f>
        <ns0:v>0</ns0:v>
      </ns0:c>
      <ns0:c r="R614" s="0">
        <ns0:f>IFERROR(IF(FIND(".",L614)=5,--O614,--M614),0)</ns0:f>
        <ns0:v>0</ns0:v>
      </ns0:c>
      <ns0:c r="S614" s="0">
        <ns0:f>IFERROR(IF(AND(P614&gt;=2000,P614&lt;=2100,Q614&gt;=1,Q614&lt;=12,R614&gt;=1,R614&lt;=31),DATE(P614,Q614,R614),0),0)</ns0:f>
        <ns0:v>0</ns0:v>
      </ns0:c>
      <ns0:c r="T614" s="0">
        <ns0:f>IFERROR(IF(ISNUMBER(Bookings!D614),IF(AND(Bookings!D614=INT(Bookings!D614),Bookings!D614&gt;=DATE(2000,1,1),Bookings!D614&lt;=DATE(2100,12,31)),Bookings!D614,0),IF(AND(K614&lt;&gt;"",LEN("x"&amp;L614)-LEN(SUBSTITUTE("x"&amp;L614,".",""))=2,OR(1&gt;LEN(L614),MID(L614,1,1)=".",ISNUMBER(FIND("x"&amp;MID(L614,1,1),"x0x1x2x3x4x5x6x7x8x9"))),OR(2&gt;LEN(L614),MID(L614,2,1)=".",ISNUMBER(FIND("x"&amp;MID(L614,2,1),"x0x1x2x3x4x5x6x7x8x9"))),OR(3&gt;LEN(L614),MID(L614,3,1)=".",ISNUMBER(FIND("x"&amp;MID(L614,3,1),"x0x1x2x3x4x5x6x7x8x9"))),OR(4&gt;LEN(L614),MID(L614,4,1)=".",ISNUMBER(FIND("x"&amp;MID(L614,4,1),"x0x1x2x3x4x5x6x7x8x9"))),OR(5&gt;LEN(L614),MID(L614,5,1)=".",ISNUMBER(FIND("x"&amp;MID(L614,5,1),"x0x1x2x3x4x5x6x7x8x9"))),OR(6&gt;LEN(L614),MID(L614,6,1)=".",ISNUMBER(FIND("x"&amp;MID(L614,6,1),"x0x1x2x3x4x5x6x7x8x9"))),OR(7&gt;LEN(L614),MID(L614,7,1)=".",ISNUMBER(FIND("x"&amp;MID(L614,7,1),"x0x1x2x3x4x5x6x7x8x9"))),OR(8&gt;LEN(L614),MID(L614,8,1)=".",ISNUMBER(FIND("x"&amp;MID(L614,8,1),"x0x1x2x3x4x5x6x7x8x9"))),OR(9&gt;LEN(L614),MID(L614,9,1)=".",ISNUMBER(FIND("x"&amp;MID(L614,9,1),"x0x1x2x3x4x5x6x7x8x9"))),OR(10&gt;LEN(L614),MID(L614,10,1)=".",ISNUMBER(FIND("x"&amp;MID(L614,10,1),"x0x1x2x3x4x5x6x7x8x9"))),OR(AND(FIND(".",L614)=5,LEN(L614)-FIND(".",L614,FIND(".",L614)+1)&gt;=1,LEN(L614)-FIND(".",L614,FIND(".",L614)+1)&lt;=2),AND(LEN(L614)-FIND(".",L614,FIND(".",L614)+1)=4,FIND(".",L614)&gt;=2,FIND(".",L614)&lt;=3)),FIND(".",L614,FIND(".",L614)+1)-FIND(".",L614)&gt;=2,FIND(".",L614,FIND(".",L614)+1)-FIND(".",L614)&lt;=3,P614&gt;=2000,P614&lt;=2100,YEAR(S614)=P614,MONTH(S614)=Q614,DAY(S614)=R614),S614,0)),0)</ns0:f>
        <ns0:v>0</ns0:v>
      </ns0:c>
      <ns0:c r="U614" s="0" t="str">
        <ns0:f>IF(Bookings!C614="","Full day",Bookings!C614)</ns0:f>
        <ns0:v>Full day</ns0:v>
      </ns0:c>
      <ns0:c r="V614" s="0" t="str">
        <ns0:f>IF(Bookings!E614="","Full day",Bookings!E614)</ns0:f>
        <ns0:v>Full day</ns0:v>
      </ns0:c>
      <ns0:c r="W614" s="0">
        <ns0:f>IF(J614=0,0,J614+IF(U614="PM",1,0))</ns0:f>
        <ns0:v>0</ns0:v>
      </ns0:c>
      <ns0:c r="X614" s="0">
        <ns0:f>IF(T614=0,0,T614-IF(V614="PM",1,0))</ns0:f>
        <ns0:v>0</ns0:v>
      </ns0:c>
      <ns0:c r="Y614" s="0">
        <ns0:f>IF(J614=0,0,J614+IF(U614="AM",1,0))</ns0:f>
        <ns0:v>0</ns0:v>
      </ns0:c>
      <ns0:c r="Z614" s="0">
        <ns0:f>IF(T614=0,0,T614-IF(V614="AM",1,0))</ns0:f>
        <ns0:v>0</ns0:v>
      </ns0:c>
      <ns0:c r="AA614" s="0">
        <ns0:f>IFERROR(IF(AND(J614&gt;0,'_Engine'!C614&gt;0,MID('_Engine'!W614,WEEKDAY(J614,2),1)="W",COUNTIF(Settings!$F$18:$F$67,J614)=0),1,0),0)</ns0:f>
        <ns0:v>0</ns0:v>
      </ns0:c>
      <ns0:c r="AB614" s="0">
        <ns0:f>IFERROR(IF(AND(T614&gt;0,'_Engine'!C614&gt;0,MID('_Engine'!W614,WEEKDAY(T614,2),1)="W",COUNTIF(Settings!$F$18:$F$67,T614)=0),1,0),0)</ns0:f>
        <ns0:v>0</ns0:v>
      </ns0:c>
      <ns0:c r="AC614" s="0">
        <ns0:f>IF(AND(J614&gt;0,T614&gt;0,W614&lt;=X614),1,0)</ns0:f>
        <ns0:v>0</ns0:v>
      </ns0:c>
      <ns0:c r="AD614" s="0">
        <ns0:f>IF(AND(J614&gt;0,T614&gt;0,Y614&lt;=Z614),1,0)</ns0:f>
        <ns0:v>0</ns0:v>
      </ns0:c>
    </ns0:row>
    <ns0:row r="615">
      <ns0:c r="A615" s="0">
        <ns0:f>IFERROR(IF(ISNUMBER(Bookings!B615),"",TRIM(Bookings!B615&amp;"")),"")</ns0:f>
      </ns0:c>
      <ns0:c r="B615" s="0">
        <ns0:f>IFERROR(SUBSTITUTE(SUBSTITUTE(A615,"/","."),"-","."),"")</ns0:f>
      </ns0:c>
      <ns0:c r="C615" s="0">
        <ns0:f>IFERROR(LEFT(B615,FIND(".",B615)-1),"")</ns0:f>
      </ns0:c>
      <ns0:c r="D615" s="0">
        <ns0:f>IFERROR(MID(B615,FIND(".",B615)+1,FIND(".",B615,FIND(".",B615)+1)-FIND(".",B615)-1),"")</ns0:f>
      </ns0:c>
      <ns0:c r="E615" s="0">
        <ns0:f>IFERROR(MID(B615,FIND(".",B615,FIND(".",B615)+1)+1,99),"")</ns0:f>
        <ns0:v>99</ns0:v>
      </ns0:c>
      <ns0:c r="F615" s="0">
        <ns0:f>IFERROR(IF(FIND(".",B615)=5,--C615,--E615),0)</ns0:f>
        <ns0:v>0</ns0:v>
      </ns0:c>
      <ns0:c r="G615" s="0">
        <ns0:f>IFERROR(--D615,0)</ns0:f>
        <ns0:v>0</ns0:v>
      </ns0:c>
      <ns0:c r="H615" s="0">
        <ns0:f>IFERROR(IF(FIND(".",B615)=5,--E615,--C615),0)</ns0:f>
        <ns0:v>0</ns0:v>
      </ns0:c>
      <ns0:c r="I615" s="0">
        <ns0:f>IFERROR(IF(AND(F615&gt;=2000,F615&lt;=2100,G615&gt;=1,G615&lt;=12,H615&gt;=1,H615&lt;=31),DATE(F615,G615,H615),0),0)</ns0:f>
        <ns0:v>0</ns0:v>
      </ns0:c>
      <ns0:c r="J615" s="0">
        <ns0:f>IFERROR(IF(ISNUMBER(Bookings!B615),IF(AND(Bookings!B615=INT(Bookings!B615),Bookings!B615&gt;=DATE(2000,1,1),Bookings!B615&lt;=DATE(2100,12,31)),Bookings!B615,0),IF(AND(A615&lt;&gt;"",LEN("x"&amp;B615)-LEN(SUBSTITUTE("x"&amp;B615,".",""))=2,OR(1&gt;LEN(B615),MID(B615,1,1)=".",ISNUMBER(FIND("x"&amp;MID(B615,1,1),"x0x1x2x3x4x5x6x7x8x9"))),OR(2&gt;LEN(B615),MID(B615,2,1)=".",ISNUMBER(FIND("x"&amp;MID(B615,2,1),"x0x1x2x3x4x5x6x7x8x9"))),OR(3&gt;LEN(B615),MID(B615,3,1)=".",ISNUMBER(FIND("x"&amp;MID(B615,3,1),"x0x1x2x3x4x5x6x7x8x9"))),OR(4&gt;LEN(B615),MID(B615,4,1)=".",ISNUMBER(FIND("x"&amp;MID(B615,4,1),"x0x1x2x3x4x5x6x7x8x9"))),OR(5&gt;LEN(B615),MID(B615,5,1)=".",ISNUMBER(FIND("x"&amp;MID(B615,5,1),"x0x1x2x3x4x5x6x7x8x9"))),OR(6&gt;LEN(B615),MID(B615,6,1)=".",ISNUMBER(FIND("x"&amp;MID(B615,6,1),"x0x1x2x3x4x5x6x7x8x9"))),OR(7&gt;LEN(B615),MID(B615,7,1)=".",ISNUMBER(FIND("x"&amp;MID(B615,7,1),"x0x1x2x3x4x5x6x7x8x9"))),OR(8&gt;LEN(B615),MID(B615,8,1)=".",ISNUMBER(FIND("x"&amp;MID(B615,8,1),"x0x1x2x3x4x5x6x7x8x9"))),OR(9&gt;LEN(B615),MID(B615,9,1)=".",ISNUMBER(FIND("x"&amp;MID(B615,9,1),"x0x1x2x3x4x5x6x7x8x9"))),OR(10&gt;LEN(B615),MID(B615,10,1)=".",ISNUMBER(FIND("x"&amp;MID(B615,10,1),"x0x1x2x3x4x5x6x7x8x9"))),OR(AND(FIND(".",B615)=5,LEN(B615)-FIND(".",B615,FIND(".",B615)+1)&gt;=1,LEN(B615)-FIND(".",B615,FIND(".",B615)+1)&lt;=2),AND(LEN(B615)-FIND(".",B615,FIND(".",B615)+1)=4,FIND(".",B615)&gt;=2,FIND(".",B615)&lt;=3)),FIND(".",B615,FIND(".",B615)+1)-FIND(".",B615)&gt;=2,FIND(".",B615,FIND(".",B615)+1)-FIND(".",B615)&lt;=3,F615&gt;=2000,F615&lt;=2100,YEAR(I615)=F615,MONTH(I615)=G615,DAY(I615)=H615),I615,0)),0)</ns0:f>
        <ns0:v>0</ns0:v>
      </ns0:c>
      <ns0:c r="K615" s="0">
        <ns0:f>IFERROR(IF(ISNUMBER(Bookings!D615),"",TRIM(Bookings!D615&amp;"")),"")</ns0:f>
      </ns0:c>
      <ns0:c r="L615" s="0">
        <ns0:f>IFERROR(SUBSTITUTE(SUBSTITUTE(K615,"/","."),"-","."),"")</ns0:f>
      </ns0:c>
      <ns0:c r="M615" s="0">
        <ns0:f>IFERROR(LEFT(L615,FIND(".",L615)-1),"")</ns0:f>
      </ns0:c>
      <ns0:c r="N615" s="0">
        <ns0:f>IFERROR(MID(L615,FIND(".",L615)+1,FIND(".",L615,FIND(".",L615)+1)-FIND(".",L615)-1),"")</ns0:f>
      </ns0:c>
      <ns0:c r="O615" s="0">
        <ns0:f>IFERROR(MID(L615,FIND(".",L615,FIND(".",L615)+1)+1,99),"")</ns0:f>
        <ns0:v>99</ns0:v>
      </ns0:c>
      <ns0:c r="P615" s="0">
        <ns0:f>IFERROR(IF(FIND(".",L615)=5,--M615,--O615),0)</ns0:f>
        <ns0:v>0</ns0:v>
      </ns0:c>
      <ns0:c r="Q615" s="0">
        <ns0:f>IFERROR(--N615,0)</ns0:f>
        <ns0:v>0</ns0:v>
      </ns0:c>
      <ns0:c r="R615" s="0">
        <ns0:f>IFERROR(IF(FIND(".",L615)=5,--O615,--M615),0)</ns0:f>
        <ns0:v>0</ns0:v>
      </ns0:c>
      <ns0:c r="S615" s="0">
        <ns0:f>IFERROR(IF(AND(P615&gt;=2000,P615&lt;=2100,Q615&gt;=1,Q615&lt;=12,R615&gt;=1,R615&lt;=31),DATE(P615,Q615,R615),0),0)</ns0:f>
        <ns0:v>0</ns0:v>
      </ns0:c>
      <ns0:c r="T615" s="0">
        <ns0:f>IFERROR(IF(ISNUMBER(Bookings!D615),IF(AND(Bookings!D615=INT(Bookings!D615),Bookings!D615&gt;=DATE(2000,1,1),Bookings!D615&lt;=DATE(2100,12,31)),Bookings!D615,0),IF(AND(K615&lt;&gt;"",LEN("x"&amp;L615)-LEN(SUBSTITUTE("x"&amp;L615,".",""))=2,OR(1&gt;LEN(L615),MID(L615,1,1)=".",ISNUMBER(FIND("x"&amp;MID(L615,1,1),"x0x1x2x3x4x5x6x7x8x9"))),OR(2&gt;LEN(L615),MID(L615,2,1)=".",ISNUMBER(FIND("x"&amp;MID(L615,2,1),"x0x1x2x3x4x5x6x7x8x9"))),OR(3&gt;LEN(L615),MID(L615,3,1)=".",ISNUMBER(FIND("x"&amp;MID(L615,3,1),"x0x1x2x3x4x5x6x7x8x9"))),OR(4&gt;LEN(L615),MID(L615,4,1)=".",ISNUMBER(FIND("x"&amp;MID(L615,4,1),"x0x1x2x3x4x5x6x7x8x9"))),OR(5&gt;LEN(L615),MID(L615,5,1)=".",ISNUMBER(FIND("x"&amp;MID(L615,5,1),"x0x1x2x3x4x5x6x7x8x9"))),OR(6&gt;LEN(L615),MID(L615,6,1)=".",ISNUMBER(FIND("x"&amp;MID(L615,6,1),"x0x1x2x3x4x5x6x7x8x9"))),OR(7&gt;LEN(L615),MID(L615,7,1)=".",ISNUMBER(FIND("x"&amp;MID(L615,7,1),"x0x1x2x3x4x5x6x7x8x9"))),OR(8&gt;LEN(L615),MID(L615,8,1)=".",ISNUMBER(FIND("x"&amp;MID(L615,8,1),"x0x1x2x3x4x5x6x7x8x9"))),OR(9&gt;LEN(L615),MID(L615,9,1)=".",ISNUMBER(FIND("x"&amp;MID(L615,9,1),"x0x1x2x3x4x5x6x7x8x9"))),OR(10&gt;LEN(L615),MID(L615,10,1)=".",ISNUMBER(FIND("x"&amp;MID(L615,10,1),"x0x1x2x3x4x5x6x7x8x9"))),OR(AND(FIND(".",L615)=5,LEN(L615)-FIND(".",L615,FIND(".",L615)+1)&gt;=1,LEN(L615)-FIND(".",L615,FIND(".",L615)+1)&lt;=2),AND(LEN(L615)-FIND(".",L615,FIND(".",L615)+1)=4,FIND(".",L615)&gt;=2,FIND(".",L615)&lt;=3)),FIND(".",L615,FIND(".",L615)+1)-FIND(".",L615)&gt;=2,FIND(".",L615,FIND(".",L615)+1)-FIND(".",L615)&lt;=3,P615&gt;=2000,P615&lt;=2100,YEAR(S615)=P615,MONTH(S615)=Q615,DAY(S615)=R615),S615,0)),0)</ns0:f>
        <ns0:v>0</ns0:v>
      </ns0:c>
      <ns0:c r="U615" s="0" t="str">
        <ns0:f>IF(Bookings!C615="","Full day",Bookings!C615)</ns0:f>
        <ns0:v>Full day</ns0:v>
      </ns0:c>
      <ns0:c r="V615" s="0" t="str">
        <ns0:f>IF(Bookings!E615="","Full day",Bookings!E615)</ns0:f>
        <ns0:v>Full day</ns0:v>
      </ns0:c>
      <ns0:c r="W615" s="0">
        <ns0:f>IF(J615=0,0,J615+IF(U615="PM",1,0))</ns0:f>
        <ns0:v>0</ns0:v>
      </ns0:c>
      <ns0:c r="X615" s="0">
        <ns0:f>IF(T615=0,0,T615-IF(V615="PM",1,0))</ns0:f>
        <ns0:v>0</ns0:v>
      </ns0:c>
      <ns0:c r="Y615" s="0">
        <ns0:f>IF(J615=0,0,J615+IF(U615="AM",1,0))</ns0:f>
        <ns0:v>0</ns0:v>
      </ns0:c>
      <ns0:c r="Z615" s="0">
        <ns0:f>IF(T615=0,0,T615-IF(V615="AM",1,0))</ns0:f>
        <ns0:v>0</ns0:v>
      </ns0:c>
      <ns0:c r="AA615" s="0">
        <ns0:f>IFERROR(IF(AND(J615&gt;0,'_Engine'!C615&gt;0,MID('_Engine'!W615,WEEKDAY(J615,2),1)="W",COUNTIF(Settings!$F$18:$F$67,J615)=0),1,0),0)</ns0:f>
        <ns0:v>0</ns0:v>
      </ns0:c>
      <ns0:c r="AB615" s="0">
        <ns0:f>IFERROR(IF(AND(T615&gt;0,'_Engine'!C615&gt;0,MID('_Engine'!W615,WEEKDAY(T615,2),1)="W",COUNTIF(Settings!$F$18:$F$67,T615)=0),1,0),0)</ns0:f>
        <ns0:v>0</ns0:v>
      </ns0:c>
      <ns0:c r="AC615" s="0">
        <ns0:f>IF(AND(J615&gt;0,T615&gt;0,W615&lt;=X615),1,0)</ns0:f>
        <ns0:v>0</ns0:v>
      </ns0:c>
      <ns0:c r="AD615" s="0">
        <ns0:f>IF(AND(J615&gt;0,T615&gt;0,Y615&lt;=Z615),1,0)</ns0:f>
        <ns0:v>0</ns0:v>
      </ns0:c>
    </ns0:row>
    <ns0:row r="616">
      <ns0:c r="A616" s="0">
        <ns0:f>IFERROR(IF(ISNUMBER(Bookings!B616),"",TRIM(Bookings!B616&amp;"")),"")</ns0:f>
      </ns0:c>
      <ns0:c r="B616" s="0">
        <ns0:f>IFERROR(SUBSTITUTE(SUBSTITUTE(A616,"/","."),"-","."),"")</ns0:f>
      </ns0:c>
      <ns0:c r="C616" s="0">
        <ns0:f>IFERROR(LEFT(B616,FIND(".",B616)-1),"")</ns0:f>
      </ns0:c>
      <ns0:c r="D616" s="0">
        <ns0:f>IFERROR(MID(B616,FIND(".",B616)+1,FIND(".",B616,FIND(".",B616)+1)-FIND(".",B616)-1),"")</ns0:f>
      </ns0:c>
      <ns0:c r="E616" s="0">
        <ns0:f>IFERROR(MID(B616,FIND(".",B616,FIND(".",B616)+1)+1,99),"")</ns0:f>
        <ns0:v>99</ns0:v>
      </ns0:c>
      <ns0:c r="F616" s="0">
        <ns0:f>IFERROR(IF(FIND(".",B616)=5,--C616,--E616),0)</ns0:f>
        <ns0:v>0</ns0:v>
      </ns0:c>
      <ns0:c r="G616" s="0">
        <ns0:f>IFERROR(--D616,0)</ns0:f>
        <ns0:v>0</ns0:v>
      </ns0:c>
      <ns0:c r="H616" s="0">
        <ns0:f>IFERROR(IF(FIND(".",B616)=5,--E616,--C616),0)</ns0:f>
        <ns0:v>0</ns0:v>
      </ns0:c>
      <ns0:c r="I616" s="0">
        <ns0:f>IFERROR(IF(AND(F616&gt;=2000,F616&lt;=2100,G616&gt;=1,G616&lt;=12,H616&gt;=1,H616&lt;=31),DATE(F616,G616,H616),0),0)</ns0:f>
        <ns0:v>0</ns0:v>
      </ns0:c>
      <ns0:c r="J616" s="0">
        <ns0:f>IFERROR(IF(ISNUMBER(Bookings!B616),IF(AND(Bookings!B616=INT(Bookings!B616),Bookings!B616&gt;=DATE(2000,1,1),Bookings!B616&lt;=DATE(2100,12,31)),Bookings!B616,0),IF(AND(A616&lt;&gt;"",LEN("x"&amp;B616)-LEN(SUBSTITUTE("x"&amp;B616,".",""))=2,OR(1&gt;LEN(B616),MID(B616,1,1)=".",ISNUMBER(FIND("x"&amp;MID(B616,1,1),"x0x1x2x3x4x5x6x7x8x9"))),OR(2&gt;LEN(B616),MID(B616,2,1)=".",ISNUMBER(FIND("x"&amp;MID(B616,2,1),"x0x1x2x3x4x5x6x7x8x9"))),OR(3&gt;LEN(B616),MID(B616,3,1)=".",ISNUMBER(FIND("x"&amp;MID(B616,3,1),"x0x1x2x3x4x5x6x7x8x9"))),OR(4&gt;LEN(B616),MID(B616,4,1)=".",ISNUMBER(FIND("x"&amp;MID(B616,4,1),"x0x1x2x3x4x5x6x7x8x9"))),OR(5&gt;LEN(B616),MID(B616,5,1)=".",ISNUMBER(FIND("x"&amp;MID(B616,5,1),"x0x1x2x3x4x5x6x7x8x9"))),OR(6&gt;LEN(B616),MID(B616,6,1)=".",ISNUMBER(FIND("x"&amp;MID(B616,6,1),"x0x1x2x3x4x5x6x7x8x9"))),OR(7&gt;LEN(B616),MID(B616,7,1)=".",ISNUMBER(FIND("x"&amp;MID(B616,7,1),"x0x1x2x3x4x5x6x7x8x9"))),OR(8&gt;LEN(B616),MID(B616,8,1)=".",ISNUMBER(FIND("x"&amp;MID(B616,8,1),"x0x1x2x3x4x5x6x7x8x9"))),OR(9&gt;LEN(B616),MID(B616,9,1)=".",ISNUMBER(FIND("x"&amp;MID(B616,9,1),"x0x1x2x3x4x5x6x7x8x9"))),OR(10&gt;LEN(B616),MID(B616,10,1)=".",ISNUMBER(FIND("x"&amp;MID(B616,10,1),"x0x1x2x3x4x5x6x7x8x9"))),OR(AND(FIND(".",B616)=5,LEN(B616)-FIND(".",B616,FIND(".",B616)+1)&gt;=1,LEN(B616)-FIND(".",B616,FIND(".",B616)+1)&lt;=2),AND(LEN(B616)-FIND(".",B616,FIND(".",B616)+1)=4,FIND(".",B616)&gt;=2,FIND(".",B616)&lt;=3)),FIND(".",B616,FIND(".",B616)+1)-FIND(".",B616)&gt;=2,FIND(".",B616,FIND(".",B616)+1)-FIND(".",B616)&lt;=3,F616&gt;=2000,F616&lt;=2100,YEAR(I616)=F616,MONTH(I616)=G616,DAY(I616)=H616),I616,0)),0)</ns0:f>
        <ns0:v>0</ns0:v>
      </ns0:c>
      <ns0:c r="K616" s="0">
        <ns0:f>IFERROR(IF(ISNUMBER(Bookings!D616),"",TRIM(Bookings!D616&amp;"")),"")</ns0:f>
      </ns0:c>
      <ns0:c r="L616" s="0">
        <ns0:f>IFERROR(SUBSTITUTE(SUBSTITUTE(K616,"/","."),"-","."),"")</ns0:f>
      </ns0:c>
      <ns0:c r="M616" s="0">
        <ns0:f>IFERROR(LEFT(L616,FIND(".",L616)-1),"")</ns0:f>
      </ns0:c>
      <ns0:c r="N616" s="0">
        <ns0:f>IFERROR(MID(L616,FIND(".",L616)+1,FIND(".",L616,FIND(".",L616)+1)-FIND(".",L616)-1),"")</ns0:f>
      </ns0:c>
      <ns0:c r="O616" s="0">
        <ns0:f>IFERROR(MID(L616,FIND(".",L616,FIND(".",L616)+1)+1,99),"")</ns0:f>
        <ns0:v>99</ns0:v>
      </ns0:c>
      <ns0:c r="P616" s="0">
        <ns0:f>IFERROR(IF(FIND(".",L616)=5,--M616,--O616),0)</ns0:f>
        <ns0:v>0</ns0:v>
      </ns0:c>
      <ns0:c r="Q616" s="0">
        <ns0:f>IFERROR(--N616,0)</ns0:f>
        <ns0:v>0</ns0:v>
      </ns0:c>
      <ns0:c r="R616" s="0">
        <ns0:f>IFERROR(IF(FIND(".",L616)=5,--O616,--M616),0)</ns0:f>
        <ns0:v>0</ns0:v>
      </ns0:c>
      <ns0:c r="S616" s="0">
        <ns0:f>IFERROR(IF(AND(P616&gt;=2000,P616&lt;=2100,Q616&gt;=1,Q616&lt;=12,R616&gt;=1,R616&lt;=31),DATE(P616,Q616,R616),0),0)</ns0:f>
        <ns0:v>0</ns0:v>
      </ns0:c>
      <ns0:c r="T616" s="0">
        <ns0:f>IFERROR(IF(ISNUMBER(Bookings!D616),IF(AND(Bookings!D616=INT(Bookings!D616),Bookings!D616&gt;=DATE(2000,1,1),Bookings!D616&lt;=DATE(2100,12,31)),Bookings!D616,0),IF(AND(K616&lt;&gt;"",LEN("x"&amp;L616)-LEN(SUBSTITUTE("x"&amp;L616,".",""))=2,OR(1&gt;LEN(L616),MID(L616,1,1)=".",ISNUMBER(FIND("x"&amp;MID(L616,1,1),"x0x1x2x3x4x5x6x7x8x9"))),OR(2&gt;LEN(L616),MID(L616,2,1)=".",ISNUMBER(FIND("x"&amp;MID(L616,2,1),"x0x1x2x3x4x5x6x7x8x9"))),OR(3&gt;LEN(L616),MID(L616,3,1)=".",ISNUMBER(FIND("x"&amp;MID(L616,3,1),"x0x1x2x3x4x5x6x7x8x9"))),OR(4&gt;LEN(L616),MID(L616,4,1)=".",ISNUMBER(FIND("x"&amp;MID(L616,4,1),"x0x1x2x3x4x5x6x7x8x9"))),OR(5&gt;LEN(L616),MID(L616,5,1)=".",ISNUMBER(FIND("x"&amp;MID(L616,5,1),"x0x1x2x3x4x5x6x7x8x9"))),OR(6&gt;LEN(L616),MID(L616,6,1)=".",ISNUMBER(FIND("x"&amp;MID(L616,6,1),"x0x1x2x3x4x5x6x7x8x9"))),OR(7&gt;LEN(L616),MID(L616,7,1)=".",ISNUMBER(FIND("x"&amp;MID(L616,7,1),"x0x1x2x3x4x5x6x7x8x9"))),OR(8&gt;LEN(L616),MID(L616,8,1)=".",ISNUMBER(FIND("x"&amp;MID(L616,8,1),"x0x1x2x3x4x5x6x7x8x9"))),OR(9&gt;LEN(L616),MID(L616,9,1)=".",ISNUMBER(FIND("x"&amp;MID(L616,9,1),"x0x1x2x3x4x5x6x7x8x9"))),OR(10&gt;LEN(L616),MID(L616,10,1)=".",ISNUMBER(FIND("x"&amp;MID(L616,10,1),"x0x1x2x3x4x5x6x7x8x9"))),OR(AND(FIND(".",L616)=5,LEN(L616)-FIND(".",L616,FIND(".",L616)+1)&gt;=1,LEN(L616)-FIND(".",L616,FIND(".",L616)+1)&lt;=2),AND(LEN(L616)-FIND(".",L616,FIND(".",L616)+1)=4,FIND(".",L616)&gt;=2,FIND(".",L616)&lt;=3)),FIND(".",L616,FIND(".",L616)+1)-FIND(".",L616)&gt;=2,FIND(".",L616,FIND(".",L616)+1)-FIND(".",L616)&lt;=3,P616&gt;=2000,P616&lt;=2100,YEAR(S616)=P616,MONTH(S616)=Q616,DAY(S616)=R616),S616,0)),0)</ns0:f>
        <ns0:v>0</ns0:v>
      </ns0:c>
      <ns0:c r="U616" s="0" t="str">
        <ns0:f>IF(Bookings!C616="","Full day",Bookings!C616)</ns0:f>
        <ns0:v>Full day</ns0:v>
      </ns0:c>
      <ns0:c r="V616" s="0" t="str">
        <ns0:f>IF(Bookings!E616="","Full day",Bookings!E616)</ns0:f>
        <ns0:v>Full day</ns0:v>
      </ns0:c>
      <ns0:c r="W616" s="0">
        <ns0:f>IF(J616=0,0,J616+IF(U616="PM",1,0))</ns0:f>
        <ns0:v>0</ns0:v>
      </ns0:c>
      <ns0:c r="X616" s="0">
        <ns0:f>IF(T616=0,0,T616-IF(V616="PM",1,0))</ns0:f>
        <ns0:v>0</ns0:v>
      </ns0:c>
      <ns0:c r="Y616" s="0">
        <ns0:f>IF(J616=0,0,J616+IF(U616="AM",1,0))</ns0:f>
        <ns0:v>0</ns0:v>
      </ns0:c>
      <ns0:c r="Z616" s="0">
        <ns0:f>IF(T616=0,0,T616-IF(V616="AM",1,0))</ns0:f>
        <ns0:v>0</ns0:v>
      </ns0:c>
      <ns0:c r="AA616" s="0">
        <ns0:f>IFERROR(IF(AND(J616&gt;0,'_Engine'!C616&gt;0,MID('_Engine'!W616,WEEKDAY(J616,2),1)="W",COUNTIF(Settings!$F$18:$F$67,J616)=0),1,0),0)</ns0:f>
        <ns0:v>0</ns0:v>
      </ns0:c>
      <ns0:c r="AB616" s="0">
        <ns0:f>IFERROR(IF(AND(T616&gt;0,'_Engine'!C616&gt;0,MID('_Engine'!W616,WEEKDAY(T616,2),1)="W",COUNTIF(Settings!$F$18:$F$67,T616)=0),1,0),0)</ns0:f>
        <ns0:v>0</ns0:v>
      </ns0:c>
      <ns0:c r="AC616" s="0">
        <ns0:f>IF(AND(J616&gt;0,T616&gt;0,W616&lt;=X616),1,0)</ns0:f>
        <ns0:v>0</ns0:v>
      </ns0:c>
      <ns0:c r="AD616" s="0">
        <ns0:f>IF(AND(J616&gt;0,T616&gt;0,Y616&lt;=Z616),1,0)</ns0:f>
        <ns0:v>0</ns0:v>
      </ns0:c>
    </ns0:row>
    <ns0:row r="617">
      <ns0:c r="A617" s="0">
        <ns0:f>IFERROR(IF(ISNUMBER(Bookings!B617),"",TRIM(Bookings!B617&amp;"")),"")</ns0:f>
      </ns0:c>
      <ns0:c r="B617" s="0">
        <ns0:f>IFERROR(SUBSTITUTE(SUBSTITUTE(A617,"/","."),"-","."),"")</ns0:f>
      </ns0:c>
      <ns0:c r="C617" s="0">
        <ns0:f>IFERROR(LEFT(B617,FIND(".",B617)-1),"")</ns0:f>
      </ns0:c>
      <ns0:c r="D617" s="0">
        <ns0:f>IFERROR(MID(B617,FIND(".",B617)+1,FIND(".",B617,FIND(".",B617)+1)-FIND(".",B617)-1),"")</ns0:f>
      </ns0:c>
      <ns0:c r="E617" s="0">
        <ns0:f>IFERROR(MID(B617,FIND(".",B617,FIND(".",B617)+1)+1,99),"")</ns0:f>
        <ns0:v>99</ns0:v>
      </ns0:c>
      <ns0:c r="F617" s="0">
        <ns0:f>IFERROR(IF(FIND(".",B617)=5,--C617,--E617),0)</ns0:f>
        <ns0:v>0</ns0:v>
      </ns0:c>
      <ns0:c r="G617" s="0">
        <ns0:f>IFERROR(--D617,0)</ns0:f>
        <ns0:v>0</ns0:v>
      </ns0:c>
      <ns0:c r="H617" s="0">
        <ns0:f>IFERROR(IF(FIND(".",B617)=5,--E617,--C617),0)</ns0:f>
        <ns0:v>0</ns0:v>
      </ns0:c>
      <ns0:c r="I617" s="0">
        <ns0:f>IFERROR(IF(AND(F617&gt;=2000,F617&lt;=2100,G617&gt;=1,G617&lt;=12,H617&gt;=1,H617&lt;=31),DATE(F617,G617,H617),0),0)</ns0:f>
        <ns0:v>0</ns0:v>
      </ns0:c>
      <ns0:c r="J617" s="0">
        <ns0:f>IFERROR(IF(ISNUMBER(Bookings!B617),IF(AND(Bookings!B617=INT(Bookings!B617),Bookings!B617&gt;=DATE(2000,1,1),Bookings!B617&lt;=DATE(2100,12,31)),Bookings!B617,0),IF(AND(A617&lt;&gt;"",LEN("x"&amp;B617)-LEN(SUBSTITUTE("x"&amp;B617,".",""))=2,OR(1&gt;LEN(B617),MID(B617,1,1)=".",ISNUMBER(FIND("x"&amp;MID(B617,1,1),"x0x1x2x3x4x5x6x7x8x9"))),OR(2&gt;LEN(B617),MID(B617,2,1)=".",ISNUMBER(FIND("x"&amp;MID(B617,2,1),"x0x1x2x3x4x5x6x7x8x9"))),OR(3&gt;LEN(B617),MID(B617,3,1)=".",ISNUMBER(FIND("x"&amp;MID(B617,3,1),"x0x1x2x3x4x5x6x7x8x9"))),OR(4&gt;LEN(B617),MID(B617,4,1)=".",ISNUMBER(FIND("x"&amp;MID(B617,4,1),"x0x1x2x3x4x5x6x7x8x9"))),OR(5&gt;LEN(B617),MID(B617,5,1)=".",ISNUMBER(FIND("x"&amp;MID(B617,5,1),"x0x1x2x3x4x5x6x7x8x9"))),OR(6&gt;LEN(B617),MID(B617,6,1)=".",ISNUMBER(FIND("x"&amp;MID(B617,6,1),"x0x1x2x3x4x5x6x7x8x9"))),OR(7&gt;LEN(B617),MID(B617,7,1)=".",ISNUMBER(FIND("x"&amp;MID(B617,7,1),"x0x1x2x3x4x5x6x7x8x9"))),OR(8&gt;LEN(B617),MID(B617,8,1)=".",ISNUMBER(FIND("x"&amp;MID(B617,8,1),"x0x1x2x3x4x5x6x7x8x9"))),OR(9&gt;LEN(B617),MID(B617,9,1)=".",ISNUMBER(FIND("x"&amp;MID(B617,9,1),"x0x1x2x3x4x5x6x7x8x9"))),OR(10&gt;LEN(B617),MID(B617,10,1)=".",ISNUMBER(FIND("x"&amp;MID(B617,10,1),"x0x1x2x3x4x5x6x7x8x9"))),OR(AND(FIND(".",B617)=5,LEN(B617)-FIND(".",B617,FIND(".",B617)+1)&gt;=1,LEN(B617)-FIND(".",B617,FIND(".",B617)+1)&lt;=2),AND(LEN(B617)-FIND(".",B617,FIND(".",B617)+1)=4,FIND(".",B617)&gt;=2,FIND(".",B617)&lt;=3)),FIND(".",B617,FIND(".",B617)+1)-FIND(".",B617)&gt;=2,FIND(".",B617,FIND(".",B617)+1)-FIND(".",B617)&lt;=3,F617&gt;=2000,F617&lt;=2100,YEAR(I617)=F617,MONTH(I617)=G617,DAY(I617)=H617),I617,0)),0)</ns0:f>
        <ns0:v>0</ns0:v>
      </ns0:c>
      <ns0:c r="K617" s="0">
        <ns0:f>IFERROR(IF(ISNUMBER(Bookings!D617),"",TRIM(Bookings!D617&amp;"")),"")</ns0:f>
      </ns0:c>
      <ns0:c r="L617" s="0">
        <ns0:f>IFERROR(SUBSTITUTE(SUBSTITUTE(K617,"/","."),"-","."),"")</ns0:f>
      </ns0:c>
      <ns0:c r="M617" s="0">
        <ns0:f>IFERROR(LEFT(L617,FIND(".",L617)-1),"")</ns0:f>
      </ns0:c>
      <ns0:c r="N617" s="0">
        <ns0:f>IFERROR(MID(L617,FIND(".",L617)+1,FIND(".",L617,FIND(".",L617)+1)-FIND(".",L617)-1),"")</ns0:f>
      </ns0:c>
      <ns0:c r="O617" s="0">
        <ns0:f>IFERROR(MID(L617,FIND(".",L617,FIND(".",L617)+1)+1,99),"")</ns0:f>
        <ns0:v>99</ns0:v>
      </ns0:c>
      <ns0:c r="P617" s="0">
        <ns0:f>IFERROR(IF(FIND(".",L617)=5,--M617,--O617),0)</ns0:f>
        <ns0:v>0</ns0:v>
      </ns0:c>
      <ns0:c r="Q617" s="0">
        <ns0:f>IFERROR(--N617,0)</ns0:f>
        <ns0:v>0</ns0:v>
      </ns0:c>
      <ns0:c r="R617" s="0">
        <ns0:f>IFERROR(IF(FIND(".",L617)=5,--O617,--M617),0)</ns0:f>
        <ns0:v>0</ns0:v>
      </ns0:c>
      <ns0:c r="S617" s="0">
        <ns0:f>IFERROR(IF(AND(P617&gt;=2000,P617&lt;=2100,Q617&gt;=1,Q617&lt;=12,R617&gt;=1,R617&lt;=31),DATE(P617,Q617,R617),0),0)</ns0:f>
        <ns0:v>0</ns0:v>
      </ns0:c>
      <ns0:c r="T617" s="0">
        <ns0:f>IFERROR(IF(ISNUMBER(Bookings!D617),IF(AND(Bookings!D617=INT(Bookings!D617),Bookings!D617&gt;=DATE(2000,1,1),Bookings!D617&lt;=DATE(2100,12,31)),Bookings!D617,0),IF(AND(K617&lt;&gt;"",LEN("x"&amp;L617)-LEN(SUBSTITUTE("x"&amp;L617,".",""))=2,OR(1&gt;LEN(L617),MID(L617,1,1)=".",ISNUMBER(FIND("x"&amp;MID(L617,1,1),"x0x1x2x3x4x5x6x7x8x9"))),OR(2&gt;LEN(L617),MID(L617,2,1)=".",ISNUMBER(FIND("x"&amp;MID(L617,2,1),"x0x1x2x3x4x5x6x7x8x9"))),OR(3&gt;LEN(L617),MID(L617,3,1)=".",ISNUMBER(FIND("x"&amp;MID(L617,3,1),"x0x1x2x3x4x5x6x7x8x9"))),OR(4&gt;LEN(L617),MID(L617,4,1)=".",ISNUMBER(FIND("x"&amp;MID(L617,4,1),"x0x1x2x3x4x5x6x7x8x9"))),OR(5&gt;LEN(L617),MID(L617,5,1)=".",ISNUMBER(FIND("x"&amp;MID(L617,5,1),"x0x1x2x3x4x5x6x7x8x9"))),OR(6&gt;LEN(L617),MID(L617,6,1)=".",ISNUMBER(FIND("x"&amp;MID(L617,6,1),"x0x1x2x3x4x5x6x7x8x9"))),OR(7&gt;LEN(L617),MID(L617,7,1)=".",ISNUMBER(FIND("x"&amp;MID(L617,7,1),"x0x1x2x3x4x5x6x7x8x9"))),OR(8&gt;LEN(L617),MID(L617,8,1)=".",ISNUMBER(FIND("x"&amp;MID(L617,8,1),"x0x1x2x3x4x5x6x7x8x9"))),OR(9&gt;LEN(L617),MID(L617,9,1)=".",ISNUMBER(FIND("x"&amp;MID(L617,9,1),"x0x1x2x3x4x5x6x7x8x9"))),OR(10&gt;LEN(L617),MID(L617,10,1)=".",ISNUMBER(FIND("x"&amp;MID(L617,10,1),"x0x1x2x3x4x5x6x7x8x9"))),OR(AND(FIND(".",L617)=5,LEN(L617)-FIND(".",L617,FIND(".",L617)+1)&gt;=1,LEN(L617)-FIND(".",L617,FIND(".",L617)+1)&lt;=2),AND(LEN(L617)-FIND(".",L617,FIND(".",L617)+1)=4,FIND(".",L617)&gt;=2,FIND(".",L617)&lt;=3)),FIND(".",L617,FIND(".",L617)+1)-FIND(".",L617)&gt;=2,FIND(".",L617,FIND(".",L617)+1)-FIND(".",L617)&lt;=3,P617&gt;=2000,P617&lt;=2100,YEAR(S617)=P617,MONTH(S617)=Q617,DAY(S617)=R617),S617,0)),0)</ns0:f>
        <ns0:v>0</ns0:v>
      </ns0:c>
      <ns0:c r="U617" s="0" t="str">
        <ns0:f>IF(Bookings!C617="","Full day",Bookings!C617)</ns0:f>
        <ns0:v>Full day</ns0:v>
      </ns0:c>
      <ns0:c r="V617" s="0" t="str">
        <ns0:f>IF(Bookings!E617="","Full day",Bookings!E617)</ns0:f>
        <ns0:v>Full day</ns0:v>
      </ns0:c>
      <ns0:c r="W617" s="0">
        <ns0:f>IF(J617=0,0,J617+IF(U617="PM",1,0))</ns0:f>
        <ns0:v>0</ns0:v>
      </ns0:c>
      <ns0:c r="X617" s="0">
        <ns0:f>IF(T617=0,0,T617-IF(V617="PM",1,0))</ns0:f>
        <ns0:v>0</ns0:v>
      </ns0:c>
      <ns0:c r="Y617" s="0">
        <ns0:f>IF(J617=0,0,J617+IF(U617="AM",1,0))</ns0:f>
        <ns0:v>0</ns0:v>
      </ns0:c>
      <ns0:c r="Z617" s="0">
        <ns0:f>IF(T617=0,0,T617-IF(V617="AM",1,0))</ns0:f>
        <ns0:v>0</ns0:v>
      </ns0:c>
      <ns0:c r="AA617" s="0">
        <ns0:f>IFERROR(IF(AND(J617&gt;0,'_Engine'!C617&gt;0,MID('_Engine'!W617,WEEKDAY(J617,2),1)="W",COUNTIF(Settings!$F$18:$F$67,J617)=0),1,0),0)</ns0:f>
        <ns0:v>0</ns0:v>
      </ns0:c>
      <ns0:c r="AB617" s="0">
        <ns0:f>IFERROR(IF(AND(T617&gt;0,'_Engine'!C617&gt;0,MID('_Engine'!W617,WEEKDAY(T617,2),1)="W",COUNTIF(Settings!$F$18:$F$67,T617)=0),1,0),0)</ns0:f>
        <ns0:v>0</ns0:v>
      </ns0:c>
      <ns0:c r="AC617" s="0">
        <ns0:f>IF(AND(J617&gt;0,T617&gt;0,W617&lt;=X617),1,0)</ns0:f>
        <ns0:v>0</ns0:v>
      </ns0:c>
      <ns0:c r="AD617" s="0">
        <ns0:f>IF(AND(J617&gt;0,T617&gt;0,Y617&lt;=Z617),1,0)</ns0:f>
        <ns0:v>0</ns0:v>
      </ns0:c>
    </ns0:row>
    <ns0:row r="618">
      <ns0:c r="A618" s="0">
        <ns0:f>IFERROR(IF(ISNUMBER(Bookings!B618),"",TRIM(Bookings!B618&amp;"")),"")</ns0:f>
      </ns0:c>
      <ns0:c r="B618" s="0">
        <ns0:f>IFERROR(SUBSTITUTE(SUBSTITUTE(A618,"/","."),"-","."),"")</ns0:f>
      </ns0:c>
      <ns0:c r="C618" s="0">
        <ns0:f>IFERROR(LEFT(B618,FIND(".",B618)-1),"")</ns0:f>
      </ns0:c>
      <ns0:c r="D618" s="0">
        <ns0:f>IFERROR(MID(B618,FIND(".",B618)+1,FIND(".",B618,FIND(".",B618)+1)-FIND(".",B618)-1),"")</ns0:f>
      </ns0:c>
      <ns0:c r="E618" s="0">
        <ns0:f>IFERROR(MID(B618,FIND(".",B618,FIND(".",B618)+1)+1,99),"")</ns0:f>
        <ns0:v>99</ns0:v>
      </ns0:c>
      <ns0:c r="F618" s="0">
        <ns0:f>IFERROR(IF(FIND(".",B618)=5,--C618,--E618),0)</ns0:f>
        <ns0:v>0</ns0:v>
      </ns0:c>
      <ns0:c r="G618" s="0">
        <ns0:f>IFERROR(--D618,0)</ns0:f>
        <ns0:v>0</ns0:v>
      </ns0:c>
      <ns0:c r="H618" s="0">
        <ns0:f>IFERROR(IF(FIND(".",B618)=5,--E618,--C618),0)</ns0:f>
        <ns0:v>0</ns0:v>
      </ns0:c>
      <ns0:c r="I618" s="0">
        <ns0:f>IFERROR(IF(AND(F618&gt;=2000,F618&lt;=2100,G618&gt;=1,G618&lt;=12,H618&gt;=1,H618&lt;=31),DATE(F618,G618,H618),0),0)</ns0:f>
        <ns0:v>0</ns0:v>
      </ns0:c>
      <ns0:c r="J618" s="0">
        <ns0:f>IFERROR(IF(ISNUMBER(Bookings!B618),IF(AND(Bookings!B618=INT(Bookings!B618),Bookings!B618&gt;=DATE(2000,1,1),Bookings!B618&lt;=DATE(2100,12,31)),Bookings!B618,0),IF(AND(A618&lt;&gt;"",LEN("x"&amp;B618)-LEN(SUBSTITUTE("x"&amp;B618,".",""))=2,OR(1&gt;LEN(B618),MID(B618,1,1)=".",ISNUMBER(FIND("x"&amp;MID(B618,1,1),"x0x1x2x3x4x5x6x7x8x9"))),OR(2&gt;LEN(B618),MID(B618,2,1)=".",ISNUMBER(FIND("x"&amp;MID(B618,2,1),"x0x1x2x3x4x5x6x7x8x9"))),OR(3&gt;LEN(B618),MID(B618,3,1)=".",ISNUMBER(FIND("x"&amp;MID(B618,3,1),"x0x1x2x3x4x5x6x7x8x9"))),OR(4&gt;LEN(B618),MID(B618,4,1)=".",ISNUMBER(FIND("x"&amp;MID(B618,4,1),"x0x1x2x3x4x5x6x7x8x9"))),OR(5&gt;LEN(B618),MID(B618,5,1)=".",ISNUMBER(FIND("x"&amp;MID(B618,5,1),"x0x1x2x3x4x5x6x7x8x9"))),OR(6&gt;LEN(B618),MID(B618,6,1)=".",ISNUMBER(FIND("x"&amp;MID(B618,6,1),"x0x1x2x3x4x5x6x7x8x9"))),OR(7&gt;LEN(B618),MID(B618,7,1)=".",ISNUMBER(FIND("x"&amp;MID(B618,7,1),"x0x1x2x3x4x5x6x7x8x9"))),OR(8&gt;LEN(B618),MID(B618,8,1)=".",ISNUMBER(FIND("x"&amp;MID(B618,8,1),"x0x1x2x3x4x5x6x7x8x9"))),OR(9&gt;LEN(B618),MID(B618,9,1)=".",ISNUMBER(FIND("x"&amp;MID(B618,9,1),"x0x1x2x3x4x5x6x7x8x9"))),OR(10&gt;LEN(B618),MID(B618,10,1)=".",ISNUMBER(FIND("x"&amp;MID(B618,10,1),"x0x1x2x3x4x5x6x7x8x9"))),OR(AND(FIND(".",B618)=5,LEN(B618)-FIND(".",B618,FIND(".",B618)+1)&gt;=1,LEN(B618)-FIND(".",B618,FIND(".",B618)+1)&lt;=2),AND(LEN(B618)-FIND(".",B618,FIND(".",B618)+1)=4,FIND(".",B618)&gt;=2,FIND(".",B618)&lt;=3)),FIND(".",B618,FIND(".",B618)+1)-FIND(".",B618)&gt;=2,FIND(".",B618,FIND(".",B618)+1)-FIND(".",B618)&lt;=3,F618&gt;=2000,F618&lt;=2100,YEAR(I618)=F618,MONTH(I618)=G618,DAY(I618)=H618),I618,0)),0)</ns0:f>
        <ns0:v>0</ns0:v>
      </ns0:c>
      <ns0:c r="K618" s="0">
        <ns0:f>IFERROR(IF(ISNUMBER(Bookings!D618),"",TRIM(Bookings!D618&amp;"")),"")</ns0:f>
      </ns0:c>
      <ns0:c r="L618" s="0">
        <ns0:f>IFERROR(SUBSTITUTE(SUBSTITUTE(K618,"/","."),"-","."),"")</ns0:f>
      </ns0:c>
      <ns0:c r="M618" s="0">
        <ns0:f>IFERROR(LEFT(L618,FIND(".",L618)-1),"")</ns0:f>
      </ns0:c>
      <ns0:c r="N618" s="0">
        <ns0:f>IFERROR(MID(L618,FIND(".",L618)+1,FIND(".",L618,FIND(".",L618)+1)-FIND(".",L618)-1),"")</ns0:f>
      </ns0:c>
      <ns0:c r="O618" s="0">
        <ns0:f>IFERROR(MID(L618,FIND(".",L618,FIND(".",L618)+1)+1,99),"")</ns0:f>
        <ns0:v>99</ns0:v>
      </ns0:c>
      <ns0:c r="P618" s="0">
        <ns0:f>IFERROR(IF(FIND(".",L618)=5,--M618,--O618),0)</ns0:f>
        <ns0:v>0</ns0:v>
      </ns0:c>
      <ns0:c r="Q618" s="0">
        <ns0:f>IFERROR(--N618,0)</ns0:f>
        <ns0:v>0</ns0:v>
      </ns0:c>
      <ns0:c r="R618" s="0">
        <ns0:f>IFERROR(IF(FIND(".",L618)=5,--O618,--M618),0)</ns0:f>
        <ns0:v>0</ns0:v>
      </ns0:c>
      <ns0:c r="S618" s="0">
        <ns0:f>IFERROR(IF(AND(P618&gt;=2000,P618&lt;=2100,Q618&gt;=1,Q618&lt;=12,R618&gt;=1,R618&lt;=31),DATE(P618,Q618,R618),0),0)</ns0:f>
        <ns0:v>0</ns0:v>
      </ns0:c>
      <ns0:c r="T618" s="0">
        <ns0:f>IFERROR(IF(ISNUMBER(Bookings!D618),IF(AND(Bookings!D618=INT(Bookings!D618),Bookings!D618&gt;=DATE(2000,1,1),Bookings!D618&lt;=DATE(2100,12,31)),Bookings!D618,0),IF(AND(K618&lt;&gt;"",LEN("x"&amp;L618)-LEN(SUBSTITUTE("x"&amp;L618,".",""))=2,OR(1&gt;LEN(L618),MID(L618,1,1)=".",ISNUMBER(FIND("x"&amp;MID(L618,1,1),"x0x1x2x3x4x5x6x7x8x9"))),OR(2&gt;LEN(L618),MID(L618,2,1)=".",ISNUMBER(FIND("x"&amp;MID(L618,2,1),"x0x1x2x3x4x5x6x7x8x9"))),OR(3&gt;LEN(L618),MID(L618,3,1)=".",ISNUMBER(FIND("x"&amp;MID(L618,3,1),"x0x1x2x3x4x5x6x7x8x9"))),OR(4&gt;LEN(L618),MID(L618,4,1)=".",ISNUMBER(FIND("x"&amp;MID(L618,4,1),"x0x1x2x3x4x5x6x7x8x9"))),OR(5&gt;LEN(L618),MID(L618,5,1)=".",ISNUMBER(FIND("x"&amp;MID(L618,5,1),"x0x1x2x3x4x5x6x7x8x9"))),OR(6&gt;LEN(L618),MID(L618,6,1)=".",ISNUMBER(FIND("x"&amp;MID(L618,6,1),"x0x1x2x3x4x5x6x7x8x9"))),OR(7&gt;LEN(L618),MID(L618,7,1)=".",ISNUMBER(FIND("x"&amp;MID(L618,7,1),"x0x1x2x3x4x5x6x7x8x9"))),OR(8&gt;LEN(L618),MID(L618,8,1)=".",ISNUMBER(FIND("x"&amp;MID(L618,8,1),"x0x1x2x3x4x5x6x7x8x9"))),OR(9&gt;LEN(L618),MID(L618,9,1)=".",ISNUMBER(FIND("x"&amp;MID(L618,9,1),"x0x1x2x3x4x5x6x7x8x9"))),OR(10&gt;LEN(L618),MID(L618,10,1)=".",ISNUMBER(FIND("x"&amp;MID(L618,10,1),"x0x1x2x3x4x5x6x7x8x9"))),OR(AND(FIND(".",L618)=5,LEN(L618)-FIND(".",L618,FIND(".",L618)+1)&gt;=1,LEN(L618)-FIND(".",L618,FIND(".",L618)+1)&lt;=2),AND(LEN(L618)-FIND(".",L618,FIND(".",L618)+1)=4,FIND(".",L618)&gt;=2,FIND(".",L618)&lt;=3)),FIND(".",L618,FIND(".",L618)+1)-FIND(".",L618)&gt;=2,FIND(".",L618,FIND(".",L618)+1)-FIND(".",L618)&lt;=3,P618&gt;=2000,P618&lt;=2100,YEAR(S618)=P618,MONTH(S618)=Q618,DAY(S618)=R618),S618,0)),0)</ns0:f>
        <ns0:v>0</ns0:v>
      </ns0:c>
      <ns0:c r="U618" s="0" t="str">
        <ns0:f>IF(Bookings!C618="","Full day",Bookings!C618)</ns0:f>
        <ns0:v>Full day</ns0:v>
      </ns0:c>
      <ns0:c r="V618" s="0" t="str">
        <ns0:f>IF(Bookings!E618="","Full day",Bookings!E618)</ns0:f>
        <ns0:v>Full day</ns0:v>
      </ns0:c>
      <ns0:c r="W618" s="0">
        <ns0:f>IF(J618=0,0,J618+IF(U618="PM",1,0))</ns0:f>
        <ns0:v>0</ns0:v>
      </ns0:c>
      <ns0:c r="X618" s="0">
        <ns0:f>IF(T618=0,0,T618-IF(V618="PM",1,0))</ns0:f>
        <ns0:v>0</ns0:v>
      </ns0:c>
      <ns0:c r="Y618" s="0">
        <ns0:f>IF(J618=0,0,J618+IF(U618="AM",1,0))</ns0:f>
        <ns0:v>0</ns0:v>
      </ns0:c>
      <ns0:c r="Z618" s="0">
        <ns0:f>IF(T618=0,0,T618-IF(V618="AM",1,0))</ns0:f>
        <ns0:v>0</ns0:v>
      </ns0:c>
      <ns0:c r="AA618" s="0">
        <ns0:f>IFERROR(IF(AND(J618&gt;0,'_Engine'!C618&gt;0,MID('_Engine'!W618,WEEKDAY(J618,2),1)="W",COUNTIF(Settings!$F$18:$F$67,J618)=0),1,0),0)</ns0:f>
        <ns0:v>0</ns0:v>
      </ns0:c>
      <ns0:c r="AB618" s="0">
        <ns0:f>IFERROR(IF(AND(T618&gt;0,'_Engine'!C618&gt;0,MID('_Engine'!W618,WEEKDAY(T618,2),1)="W",COUNTIF(Settings!$F$18:$F$67,T618)=0),1,0),0)</ns0:f>
        <ns0:v>0</ns0:v>
      </ns0:c>
      <ns0:c r="AC618" s="0">
        <ns0:f>IF(AND(J618&gt;0,T618&gt;0,W618&lt;=X618),1,0)</ns0:f>
        <ns0:v>0</ns0:v>
      </ns0:c>
      <ns0:c r="AD618" s="0">
        <ns0:f>IF(AND(J618&gt;0,T618&gt;0,Y618&lt;=Z618),1,0)</ns0:f>
        <ns0:v>0</ns0:v>
      </ns0:c>
    </ns0:row>
    <ns0:row r="619">
      <ns0:c r="A619" s="0">
        <ns0:f>IFERROR(IF(ISNUMBER(Bookings!B619),"",TRIM(Bookings!B619&amp;"")),"")</ns0:f>
      </ns0:c>
      <ns0:c r="B619" s="0">
        <ns0:f>IFERROR(SUBSTITUTE(SUBSTITUTE(A619,"/","."),"-","."),"")</ns0:f>
      </ns0:c>
      <ns0:c r="C619" s="0">
        <ns0:f>IFERROR(LEFT(B619,FIND(".",B619)-1),"")</ns0:f>
      </ns0:c>
      <ns0:c r="D619" s="0">
        <ns0:f>IFERROR(MID(B619,FIND(".",B619)+1,FIND(".",B619,FIND(".",B619)+1)-FIND(".",B619)-1),"")</ns0:f>
      </ns0:c>
      <ns0:c r="E619" s="0">
        <ns0:f>IFERROR(MID(B619,FIND(".",B619,FIND(".",B619)+1)+1,99),"")</ns0:f>
        <ns0:v>99</ns0:v>
      </ns0:c>
      <ns0:c r="F619" s="0">
        <ns0:f>IFERROR(IF(FIND(".",B619)=5,--C619,--E619),0)</ns0:f>
        <ns0:v>0</ns0:v>
      </ns0:c>
      <ns0:c r="G619" s="0">
        <ns0:f>IFERROR(--D619,0)</ns0:f>
        <ns0:v>0</ns0:v>
      </ns0:c>
      <ns0:c r="H619" s="0">
        <ns0:f>IFERROR(IF(FIND(".",B619)=5,--E619,--C619),0)</ns0:f>
        <ns0:v>0</ns0:v>
      </ns0:c>
      <ns0:c r="I619" s="0">
        <ns0:f>IFERROR(IF(AND(F619&gt;=2000,F619&lt;=2100,G619&gt;=1,G619&lt;=12,H619&gt;=1,H619&lt;=31),DATE(F619,G619,H619),0),0)</ns0:f>
        <ns0:v>0</ns0:v>
      </ns0:c>
      <ns0:c r="J619" s="0">
        <ns0:f>IFERROR(IF(ISNUMBER(Bookings!B619),IF(AND(Bookings!B619=INT(Bookings!B619),Bookings!B619&gt;=DATE(2000,1,1),Bookings!B619&lt;=DATE(2100,12,31)),Bookings!B619,0),IF(AND(A619&lt;&gt;"",LEN("x"&amp;B619)-LEN(SUBSTITUTE("x"&amp;B619,".",""))=2,OR(1&gt;LEN(B619),MID(B619,1,1)=".",ISNUMBER(FIND("x"&amp;MID(B619,1,1),"x0x1x2x3x4x5x6x7x8x9"))),OR(2&gt;LEN(B619),MID(B619,2,1)=".",ISNUMBER(FIND("x"&amp;MID(B619,2,1),"x0x1x2x3x4x5x6x7x8x9"))),OR(3&gt;LEN(B619),MID(B619,3,1)=".",ISNUMBER(FIND("x"&amp;MID(B619,3,1),"x0x1x2x3x4x5x6x7x8x9"))),OR(4&gt;LEN(B619),MID(B619,4,1)=".",ISNUMBER(FIND("x"&amp;MID(B619,4,1),"x0x1x2x3x4x5x6x7x8x9"))),OR(5&gt;LEN(B619),MID(B619,5,1)=".",ISNUMBER(FIND("x"&amp;MID(B619,5,1),"x0x1x2x3x4x5x6x7x8x9"))),OR(6&gt;LEN(B619),MID(B619,6,1)=".",ISNUMBER(FIND("x"&amp;MID(B619,6,1),"x0x1x2x3x4x5x6x7x8x9"))),OR(7&gt;LEN(B619),MID(B619,7,1)=".",ISNUMBER(FIND("x"&amp;MID(B619,7,1),"x0x1x2x3x4x5x6x7x8x9"))),OR(8&gt;LEN(B619),MID(B619,8,1)=".",ISNUMBER(FIND("x"&amp;MID(B619,8,1),"x0x1x2x3x4x5x6x7x8x9"))),OR(9&gt;LEN(B619),MID(B619,9,1)=".",ISNUMBER(FIND("x"&amp;MID(B619,9,1),"x0x1x2x3x4x5x6x7x8x9"))),OR(10&gt;LEN(B619),MID(B619,10,1)=".",ISNUMBER(FIND("x"&amp;MID(B619,10,1),"x0x1x2x3x4x5x6x7x8x9"))),OR(AND(FIND(".",B619)=5,LEN(B619)-FIND(".",B619,FIND(".",B619)+1)&gt;=1,LEN(B619)-FIND(".",B619,FIND(".",B619)+1)&lt;=2),AND(LEN(B619)-FIND(".",B619,FIND(".",B619)+1)=4,FIND(".",B619)&gt;=2,FIND(".",B619)&lt;=3)),FIND(".",B619,FIND(".",B619)+1)-FIND(".",B619)&gt;=2,FIND(".",B619,FIND(".",B619)+1)-FIND(".",B619)&lt;=3,F619&gt;=2000,F619&lt;=2100,YEAR(I619)=F619,MONTH(I619)=G619,DAY(I619)=H619),I619,0)),0)</ns0:f>
        <ns0:v>0</ns0:v>
      </ns0:c>
      <ns0:c r="K619" s="0">
        <ns0:f>IFERROR(IF(ISNUMBER(Bookings!D619),"",TRIM(Bookings!D619&amp;"")),"")</ns0:f>
      </ns0:c>
      <ns0:c r="L619" s="0">
        <ns0:f>IFERROR(SUBSTITUTE(SUBSTITUTE(K619,"/","."),"-","."),"")</ns0:f>
      </ns0:c>
      <ns0:c r="M619" s="0">
        <ns0:f>IFERROR(LEFT(L619,FIND(".",L619)-1),"")</ns0:f>
      </ns0:c>
      <ns0:c r="N619" s="0">
        <ns0:f>IFERROR(MID(L619,FIND(".",L619)+1,FIND(".",L619,FIND(".",L619)+1)-FIND(".",L619)-1),"")</ns0:f>
      </ns0:c>
      <ns0:c r="O619" s="0">
        <ns0:f>IFERROR(MID(L619,FIND(".",L619,FIND(".",L619)+1)+1,99),"")</ns0:f>
        <ns0:v>99</ns0:v>
      </ns0:c>
      <ns0:c r="P619" s="0">
        <ns0:f>IFERROR(IF(FIND(".",L619)=5,--M619,--O619),0)</ns0:f>
        <ns0:v>0</ns0:v>
      </ns0:c>
      <ns0:c r="Q619" s="0">
        <ns0:f>IFERROR(--N619,0)</ns0:f>
        <ns0:v>0</ns0:v>
      </ns0:c>
      <ns0:c r="R619" s="0">
        <ns0:f>IFERROR(IF(FIND(".",L619)=5,--O619,--M619),0)</ns0:f>
        <ns0:v>0</ns0:v>
      </ns0:c>
      <ns0:c r="S619" s="0">
        <ns0:f>IFERROR(IF(AND(P619&gt;=2000,P619&lt;=2100,Q619&gt;=1,Q619&lt;=12,R619&gt;=1,R619&lt;=31),DATE(P619,Q619,R619),0),0)</ns0:f>
        <ns0:v>0</ns0:v>
      </ns0:c>
      <ns0:c r="T619" s="0">
        <ns0:f>IFERROR(IF(ISNUMBER(Bookings!D619),IF(AND(Bookings!D619=INT(Bookings!D619),Bookings!D619&gt;=DATE(2000,1,1),Bookings!D619&lt;=DATE(2100,12,31)),Bookings!D619,0),IF(AND(K619&lt;&gt;"",LEN("x"&amp;L619)-LEN(SUBSTITUTE("x"&amp;L619,".",""))=2,OR(1&gt;LEN(L619),MID(L619,1,1)=".",ISNUMBER(FIND("x"&amp;MID(L619,1,1),"x0x1x2x3x4x5x6x7x8x9"))),OR(2&gt;LEN(L619),MID(L619,2,1)=".",ISNUMBER(FIND("x"&amp;MID(L619,2,1),"x0x1x2x3x4x5x6x7x8x9"))),OR(3&gt;LEN(L619),MID(L619,3,1)=".",ISNUMBER(FIND("x"&amp;MID(L619,3,1),"x0x1x2x3x4x5x6x7x8x9"))),OR(4&gt;LEN(L619),MID(L619,4,1)=".",ISNUMBER(FIND("x"&amp;MID(L619,4,1),"x0x1x2x3x4x5x6x7x8x9"))),OR(5&gt;LEN(L619),MID(L619,5,1)=".",ISNUMBER(FIND("x"&amp;MID(L619,5,1),"x0x1x2x3x4x5x6x7x8x9"))),OR(6&gt;LEN(L619),MID(L619,6,1)=".",ISNUMBER(FIND("x"&amp;MID(L619,6,1),"x0x1x2x3x4x5x6x7x8x9"))),OR(7&gt;LEN(L619),MID(L619,7,1)=".",ISNUMBER(FIND("x"&amp;MID(L619,7,1),"x0x1x2x3x4x5x6x7x8x9"))),OR(8&gt;LEN(L619),MID(L619,8,1)=".",ISNUMBER(FIND("x"&amp;MID(L619,8,1),"x0x1x2x3x4x5x6x7x8x9"))),OR(9&gt;LEN(L619),MID(L619,9,1)=".",ISNUMBER(FIND("x"&amp;MID(L619,9,1),"x0x1x2x3x4x5x6x7x8x9"))),OR(10&gt;LEN(L619),MID(L619,10,1)=".",ISNUMBER(FIND("x"&amp;MID(L619,10,1),"x0x1x2x3x4x5x6x7x8x9"))),OR(AND(FIND(".",L619)=5,LEN(L619)-FIND(".",L619,FIND(".",L619)+1)&gt;=1,LEN(L619)-FIND(".",L619,FIND(".",L619)+1)&lt;=2),AND(LEN(L619)-FIND(".",L619,FIND(".",L619)+1)=4,FIND(".",L619)&gt;=2,FIND(".",L619)&lt;=3)),FIND(".",L619,FIND(".",L619)+1)-FIND(".",L619)&gt;=2,FIND(".",L619,FIND(".",L619)+1)-FIND(".",L619)&lt;=3,P619&gt;=2000,P619&lt;=2100,YEAR(S619)=P619,MONTH(S619)=Q619,DAY(S619)=R619),S619,0)),0)</ns0:f>
        <ns0:v>0</ns0:v>
      </ns0:c>
      <ns0:c r="U619" s="0" t="str">
        <ns0:f>IF(Bookings!C619="","Full day",Bookings!C619)</ns0:f>
        <ns0:v>Full day</ns0:v>
      </ns0:c>
      <ns0:c r="V619" s="0" t="str">
        <ns0:f>IF(Bookings!E619="","Full day",Bookings!E619)</ns0:f>
        <ns0:v>Full day</ns0:v>
      </ns0:c>
      <ns0:c r="W619" s="0">
        <ns0:f>IF(J619=0,0,J619+IF(U619="PM",1,0))</ns0:f>
        <ns0:v>0</ns0:v>
      </ns0:c>
      <ns0:c r="X619" s="0">
        <ns0:f>IF(T619=0,0,T619-IF(V619="PM",1,0))</ns0:f>
        <ns0:v>0</ns0:v>
      </ns0:c>
      <ns0:c r="Y619" s="0">
        <ns0:f>IF(J619=0,0,J619+IF(U619="AM",1,0))</ns0:f>
        <ns0:v>0</ns0:v>
      </ns0:c>
      <ns0:c r="Z619" s="0">
        <ns0:f>IF(T619=0,0,T619-IF(V619="AM",1,0))</ns0:f>
        <ns0:v>0</ns0:v>
      </ns0:c>
      <ns0:c r="AA619" s="0">
        <ns0:f>IFERROR(IF(AND(J619&gt;0,'_Engine'!C619&gt;0,MID('_Engine'!W619,WEEKDAY(J619,2),1)="W",COUNTIF(Settings!$F$18:$F$67,J619)=0),1,0),0)</ns0:f>
        <ns0:v>0</ns0:v>
      </ns0:c>
      <ns0:c r="AB619" s="0">
        <ns0:f>IFERROR(IF(AND(T619&gt;0,'_Engine'!C619&gt;0,MID('_Engine'!W619,WEEKDAY(T619,2),1)="W",COUNTIF(Settings!$F$18:$F$67,T619)=0),1,0),0)</ns0:f>
        <ns0:v>0</ns0:v>
      </ns0:c>
      <ns0:c r="AC619" s="0">
        <ns0:f>IF(AND(J619&gt;0,T619&gt;0,W619&lt;=X619),1,0)</ns0:f>
        <ns0:v>0</ns0:v>
      </ns0:c>
      <ns0:c r="AD619" s="0">
        <ns0:f>IF(AND(J619&gt;0,T619&gt;0,Y619&lt;=Z619),1,0)</ns0:f>
        <ns0:v>0</ns0:v>
      </ns0:c>
    </ns0:row>
    <ns0:row r="620">
      <ns0:c r="A620" s="0">
        <ns0:f>IFERROR(IF(ISNUMBER(Bookings!B620),"",TRIM(Bookings!B620&amp;"")),"")</ns0:f>
      </ns0:c>
      <ns0:c r="B620" s="0">
        <ns0:f>IFERROR(SUBSTITUTE(SUBSTITUTE(A620,"/","."),"-","."),"")</ns0:f>
      </ns0:c>
      <ns0:c r="C620" s="0">
        <ns0:f>IFERROR(LEFT(B620,FIND(".",B620)-1),"")</ns0:f>
      </ns0:c>
      <ns0:c r="D620" s="0">
        <ns0:f>IFERROR(MID(B620,FIND(".",B620)+1,FIND(".",B620,FIND(".",B620)+1)-FIND(".",B620)-1),"")</ns0:f>
      </ns0:c>
      <ns0:c r="E620" s="0">
        <ns0:f>IFERROR(MID(B620,FIND(".",B620,FIND(".",B620)+1)+1,99),"")</ns0:f>
        <ns0:v>99</ns0:v>
      </ns0:c>
      <ns0:c r="F620" s="0">
        <ns0:f>IFERROR(IF(FIND(".",B620)=5,--C620,--E620),0)</ns0:f>
        <ns0:v>0</ns0:v>
      </ns0:c>
      <ns0:c r="G620" s="0">
        <ns0:f>IFERROR(--D620,0)</ns0:f>
        <ns0:v>0</ns0:v>
      </ns0:c>
      <ns0:c r="H620" s="0">
        <ns0:f>IFERROR(IF(FIND(".",B620)=5,--E620,--C620),0)</ns0:f>
        <ns0:v>0</ns0:v>
      </ns0:c>
      <ns0:c r="I620" s="0">
        <ns0:f>IFERROR(IF(AND(F620&gt;=2000,F620&lt;=2100,G620&gt;=1,G620&lt;=12,H620&gt;=1,H620&lt;=31),DATE(F620,G620,H620),0),0)</ns0:f>
        <ns0:v>0</ns0:v>
      </ns0:c>
      <ns0:c r="J620" s="0">
        <ns0:f>IFERROR(IF(ISNUMBER(Bookings!B620),IF(AND(Bookings!B620=INT(Bookings!B620),Bookings!B620&gt;=DATE(2000,1,1),Bookings!B620&lt;=DATE(2100,12,31)),Bookings!B620,0),IF(AND(A620&lt;&gt;"",LEN("x"&amp;B620)-LEN(SUBSTITUTE("x"&amp;B620,".",""))=2,OR(1&gt;LEN(B620),MID(B620,1,1)=".",ISNUMBER(FIND("x"&amp;MID(B620,1,1),"x0x1x2x3x4x5x6x7x8x9"))),OR(2&gt;LEN(B620),MID(B620,2,1)=".",ISNUMBER(FIND("x"&amp;MID(B620,2,1),"x0x1x2x3x4x5x6x7x8x9"))),OR(3&gt;LEN(B620),MID(B620,3,1)=".",ISNUMBER(FIND("x"&amp;MID(B620,3,1),"x0x1x2x3x4x5x6x7x8x9"))),OR(4&gt;LEN(B620),MID(B620,4,1)=".",ISNUMBER(FIND("x"&amp;MID(B620,4,1),"x0x1x2x3x4x5x6x7x8x9"))),OR(5&gt;LEN(B620),MID(B620,5,1)=".",ISNUMBER(FIND("x"&amp;MID(B620,5,1),"x0x1x2x3x4x5x6x7x8x9"))),OR(6&gt;LEN(B620),MID(B620,6,1)=".",ISNUMBER(FIND("x"&amp;MID(B620,6,1),"x0x1x2x3x4x5x6x7x8x9"))),OR(7&gt;LEN(B620),MID(B620,7,1)=".",ISNUMBER(FIND("x"&amp;MID(B620,7,1),"x0x1x2x3x4x5x6x7x8x9"))),OR(8&gt;LEN(B620),MID(B620,8,1)=".",ISNUMBER(FIND("x"&amp;MID(B620,8,1),"x0x1x2x3x4x5x6x7x8x9"))),OR(9&gt;LEN(B620),MID(B620,9,1)=".",ISNUMBER(FIND("x"&amp;MID(B620,9,1),"x0x1x2x3x4x5x6x7x8x9"))),OR(10&gt;LEN(B620),MID(B620,10,1)=".",ISNUMBER(FIND("x"&amp;MID(B620,10,1),"x0x1x2x3x4x5x6x7x8x9"))),OR(AND(FIND(".",B620)=5,LEN(B620)-FIND(".",B620,FIND(".",B620)+1)&gt;=1,LEN(B620)-FIND(".",B620,FIND(".",B620)+1)&lt;=2),AND(LEN(B620)-FIND(".",B620,FIND(".",B620)+1)=4,FIND(".",B620)&gt;=2,FIND(".",B620)&lt;=3)),FIND(".",B620,FIND(".",B620)+1)-FIND(".",B620)&gt;=2,FIND(".",B620,FIND(".",B620)+1)-FIND(".",B620)&lt;=3,F620&gt;=2000,F620&lt;=2100,YEAR(I620)=F620,MONTH(I620)=G620,DAY(I620)=H620),I620,0)),0)</ns0:f>
        <ns0:v>0</ns0:v>
      </ns0:c>
      <ns0:c r="K620" s="0">
        <ns0:f>IFERROR(IF(ISNUMBER(Bookings!D620),"",TRIM(Bookings!D620&amp;"")),"")</ns0:f>
      </ns0:c>
      <ns0:c r="L620" s="0">
        <ns0:f>IFERROR(SUBSTITUTE(SUBSTITUTE(K620,"/","."),"-","."),"")</ns0:f>
      </ns0:c>
      <ns0:c r="M620" s="0">
        <ns0:f>IFERROR(LEFT(L620,FIND(".",L620)-1),"")</ns0:f>
      </ns0:c>
      <ns0:c r="N620" s="0">
        <ns0:f>IFERROR(MID(L620,FIND(".",L620)+1,FIND(".",L620,FIND(".",L620)+1)-FIND(".",L620)-1),"")</ns0:f>
      </ns0:c>
      <ns0:c r="O620" s="0">
        <ns0:f>IFERROR(MID(L620,FIND(".",L620,FIND(".",L620)+1)+1,99),"")</ns0:f>
        <ns0:v>99</ns0:v>
      </ns0:c>
      <ns0:c r="P620" s="0">
        <ns0:f>IFERROR(IF(FIND(".",L620)=5,--M620,--O620),0)</ns0:f>
        <ns0:v>0</ns0:v>
      </ns0:c>
      <ns0:c r="Q620" s="0">
        <ns0:f>IFERROR(--N620,0)</ns0:f>
        <ns0:v>0</ns0:v>
      </ns0:c>
      <ns0:c r="R620" s="0">
        <ns0:f>IFERROR(IF(FIND(".",L620)=5,--O620,--M620),0)</ns0:f>
        <ns0:v>0</ns0:v>
      </ns0:c>
      <ns0:c r="S620" s="0">
        <ns0:f>IFERROR(IF(AND(P620&gt;=2000,P620&lt;=2100,Q620&gt;=1,Q620&lt;=12,R620&gt;=1,R620&lt;=31),DATE(P620,Q620,R620),0),0)</ns0:f>
        <ns0:v>0</ns0:v>
      </ns0:c>
      <ns0:c r="T620" s="0">
        <ns0:f>IFERROR(IF(ISNUMBER(Bookings!D620),IF(AND(Bookings!D620=INT(Bookings!D620),Bookings!D620&gt;=DATE(2000,1,1),Bookings!D620&lt;=DATE(2100,12,31)),Bookings!D620,0),IF(AND(K620&lt;&gt;"",LEN("x"&amp;L620)-LEN(SUBSTITUTE("x"&amp;L620,".",""))=2,OR(1&gt;LEN(L620),MID(L620,1,1)=".",ISNUMBER(FIND("x"&amp;MID(L620,1,1),"x0x1x2x3x4x5x6x7x8x9"))),OR(2&gt;LEN(L620),MID(L620,2,1)=".",ISNUMBER(FIND("x"&amp;MID(L620,2,1),"x0x1x2x3x4x5x6x7x8x9"))),OR(3&gt;LEN(L620),MID(L620,3,1)=".",ISNUMBER(FIND("x"&amp;MID(L620,3,1),"x0x1x2x3x4x5x6x7x8x9"))),OR(4&gt;LEN(L620),MID(L620,4,1)=".",ISNUMBER(FIND("x"&amp;MID(L620,4,1),"x0x1x2x3x4x5x6x7x8x9"))),OR(5&gt;LEN(L620),MID(L620,5,1)=".",ISNUMBER(FIND("x"&amp;MID(L620,5,1),"x0x1x2x3x4x5x6x7x8x9"))),OR(6&gt;LEN(L620),MID(L620,6,1)=".",ISNUMBER(FIND("x"&amp;MID(L620,6,1),"x0x1x2x3x4x5x6x7x8x9"))),OR(7&gt;LEN(L620),MID(L620,7,1)=".",ISNUMBER(FIND("x"&amp;MID(L620,7,1),"x0x1x2x3x4x5x6x7x8x9"))),OR(8&gt;LEN(L620),MID(L620,8,1)=".",ISNUMBER(FIND("x"&amp;MID(L620,8,1),"x0x1x2x3x4x5x6x7x8x9"))),OR(9&gt;LEN(L620),MID(L620,9,1)=".",ISNUMBER(FIND("x"&amp;MID(L620,9,1),"x0x1x2x3x4x5x6x7x8x9"))),OR(10&gt;LEN(L620),MID(L620,10,1)=".",ISNUMBER(FIND("x"&amp;MID(L620,10,1),"x0x1x2x3x4x5x6x7x8x9"))),OR(AND(FIND(".",L620)=5,LEN(L620)-FIND(".",L620,FIND(".",L620)+1)&gt;=1,LEN(L620)-FIND(".",L620,FIND(".",L620)+1)&lt;=2),AND(LEN(L620)-FIND(".",L620,FIND(".",L620)+1)=4,FIND(".",L620)&gt;=2,FIND(".",L620)&lt;=3)),FIND(".",L620,FIND(".",L620)+1)-FIND(".",L620)&gt;=2,FIND(".",L620,FIND(".",L620)+1)-FIND(".",L620)&lt;=3,P620&gt;=2000,P620&lt;=2100,YEAR(S620)=P620,MONTH(S620)=Q620,DAY(S620)=R620),S620,0)),0)</ns0:f>
        <ns0:v>0</ns0:v>
      </ns0:c>
      <ns0:c r="U620" s="0" t="str">
        <ns0:f>IF(Bookings!C620="","Full day",Bookings!C620)</ns0:f>
        <ns0:v>Full day</ns0:v>
      </ns0:c>
      <ns0:c r="V620" s="0" t="str">
        <ns0:f>IF(Bookings!E620="","Full day",Bookings!E620)</ns0:f>
        <ns0:v>Full day</ns0:v>
      </ns0:c>
      <ns0:c r="W620" s="0">
        <ns0:f>IF(J620=0,0,J620+IF(U620="PM",1,0))</ns0:f>
        <ns0:v>0</ns0:v>
      </ns0:c>
      <ns0:c r="X620" s="0">
        <ns0:f>IF(T620=0,0,T620-IF(V620="PM",1,0))</ns0:f>
        <ns0:v>0</ns0:v>
      </ns0:c>
      <ns0:c r="Y620" s="0">
        <ns0:f>IF(J620=0,0,J620+IF(U620="AM",1,0))</ns0:f>
        <ns0:v>0</ns0:v>
      </ns0:c>
      <ns0:c r="Z620" s="0">
        <ns0:f>IF(T620=0,0,T620-IF(V620="AM",1,0))</ns0:f>
        <ns0:v>0</ns0:v>
      </ns0:c>
      <ns0:c r="AA620" s="0">
        <ns0:f>IFERROR(IF(AND(J620&gt;0,'_Engine'!C620&gt;0,MID('_Engine'!W620,WEEKDAY(J620,2),1)="W",COUNTIF(Settings!$F$18:$F$67,J620)=0),1,0),0)</ns0:f>
        <ns0:v>0</ns0:v>
      </ns0:c>
      <ns0:c r="AB620" s="0">
        <ns0:f>IFERROR(IF(AND(T620&gt;0,'_Engine'!C620&gt;0,MID('_Engine'!W620,WEEKDAY(T620,2),1)="W",COUNTIF(Settings!$F$18:$F$67,T620)=0),1,0),0)</ns0:f>
        <ns0:v>0</ns0:v>
      </ns0:c>
      <ns0:c r="AC620" s="0">
        <ns0:f>IF(AND(J620&gt;0,T620&gt;0,W620&lt;=X620),1,0)</ns0:f>
        <ns0:v>0</ns0:v>
      </ns0:c>
      <ns0:c r="AD620" s="0">
        <ns0:f>IF(AND(J620&gt;0,T620&gt;0,Y620&lt;=Z620),1,0)</ns0:f>
        <ns0:v>0</ns0:v>
      </ns0:c>
    </ns0:row>
    <ns0:row r="621">
      <ns0:c r="A621" s="0">
        <ns0:f>IFERROR(IF(ISNUMBER(Bookings!B621),"",TRIM(Bookings!B621&amp;"")),"")</ns0:f>
      </ns0:c>
      <ns0:c r="B621" s="0">
        <ns0:f>IFERROR(SUBSTITUTE(SUBSTITUTE(A621,"/","."),"-","."),"")</ns0:f>
      </ns0:c>
      <ns0:c r="C621" s="0">
        <ns0:f>IFERROR(LEFT(B621,FIND(".",B621)-1),"")</ns0:f>
      </ns0:c>
      <ns0:c r="D621" s="0">
        <ns0:f>IFERROR(MID(B621,FIND(".",B621)+1,FIND(".",B621,FIND(".",B621)+1)-FIND(".",B621)-1),"")</ns0:f>
      </ns0:c>
      <ns0:c r="E621" s="0">
        <ns0:f>IFERROR(MID(B621,FIND(".",B621,FIND(".",B621)+1)+1,99),"")</ns0:f>
        <ns0:v>99</ns0:v>
      </ns0:c>
      <ns0:c r="F621" s="0">
        <ns0:f>IFERROR(IF(FIND(".",B621)=5,--C621,--E621),0)</ns0:f>
        <ns0:v>0</ns0:v>
      </ns0:c>
      <ns0:c r="G621" s="0">
        <ns0:f>IFERROR(--D621,0)</ns0:f>
        <ns0:v>0</ns0:v>
      </ns0:c>
      <ns0:c r="H621" s="0">
        <ns0:f>IFERROR(IF(FIND(".",B621)=5,--E621,--C621),0)</ns0:f>
        <ns0:v>0</ns0:v>
      </ns0:c>
      <ns0:c r="I621" s="0">
        <ns0:f>IFERROR(IF(AND(F621&gt;=2000,F621&lt;=2100,G621&gt;=1,G621&lt;=12,H621&gt;=1,H621&lt;=31),DATE(F621,G621,H621),0),0)</ns0:f>
        <ns0:v>0</ns0:v>
      </ns0:c>
      <ns0:c r="J621" s="0">
        <ns0:f>IFERROR(IF(ISNUMBER(Bookings!B621),IF(AND(Bookings!B621=INT(Bookings!B621),Bookings!B621&gt;=DATE(2000,1,1),Bookings!B621&lt;=DATE(2100,12,31)),Bookings!B621,0),IF(AND(A621&lt;&gt;"",LEN("x"&amp;B621)-LEN(SUBSTITUTE("x"&amp;B621,".",""))=2,OR(1&gt;LEN(B621),MID(B621,1,1)=".",ISNUMBER(FIND("x"&amp;MID(B621,1,1),"x0x1x2x3x4x5x6x7x8x9"))),OR(2&gt;LEN(B621),MID(B621,2,1)=".",ISNUMBER(FIND("x"&amp;MID(B621,2,1),"x0x1x2x3x4x5x6x7x8x9"))),OR(3&gt;LEN(B621),MID(B621,3,1)=".",ISNUMBER(FIND("x"&amp;MID(B621,3,1),"x0x1x2x3x4x5x6x7x8x9"))),OR(4&gt;LEN(B621),MID(B621,4,1)=".",ISNUMBER(FIND("x"&amp;MID(B621,4,1),"x0x1x2x3x4x5x6x7x8x9"))),OR(5&gt;LEN(B621),MID(B621,5,1)=".",ISNUMBER(FIND("x"&amp;MID(B621,5,1),"x0x1x2x3x4x5x6x7x8x9"))),OR(6&gt;LEN(B621),MID(B621,6,1)=".",ISNUMBER(FIND("x"&amp;MID(B621,6,1),"x0x1x2x3x4x5x6x7x8x9"))),OR(7&gt;LEN(B621),MID(B621,7,1)=".",ISNUMBER(FIND("x"&amp;MID(B621,7,1),"x0x1x2x3x4x5x6x7x8x9"))),OR(8&gt;LEN(B621),MID(B621,8,1)=".",ISNUMBER(FIND("x"&amp;MID(B621,8,1),"x0x1x2x3x4x5x6x7x8x9"))),OR(9&gt;LEN(B621),MID(B621,9,1)=".",ISNUMBER(FIND("x"&amp;MID(B621,9,1),"x0x1x2x3x4x5x6x7x8x9"))),OR(10&gt;LEN(B621),MID(B621,10,1)=".",ISNUMBER(FIND("x"&amp;MID(B621,10,1),"x0x1x2x3x4x5x6x7x8x9"))),OR(AND(FIND(".",B621)=5,LEN(B621)-FIND(".",B621,FIND(".",B621)+1)&gt;=1,LEN(B621)-FIND(".",B621,FIND(".",B621)+1)&lt;=2),AND(LEN(B621)-FIND(".",B621,FIND(".",B621)+1)=4,FIND(".",B621)&gt;=2,FIND(".",B621)&lt;=3)),FIND(".",B621,FIND(".",B621)+1)-FIND(".",B621)&gt;=2,FIND(".",B621,FIND(".",B621)+1)-FIND(".",B621)&lt;=3,F621&gt;=2000,F621&lt;=2100,YEAR(I621)=F621,MONTH(I621)=G621,DAY(I621)=H621),I621,0)),0)</ns0:f>
        <ns0:v>0</ns0:v>
      </ns0:c>
      <ns0:c r="K621" s="0">
        <ns0:f>IFERROR(IF(ISNUMBER(Bookings!D621),"",TRIM(Bookings!D621&amp;"")),"")</ns0:f>
      </ns0:c>
      <ns0:c r="L621" s="0">
        <ns0:f>IFERROR(SUBSTITUTE(SUBSTITUTE(K621,"/","."),"-","."),"")</ns0:f>
      </ns0:c>
      <ns0:c r="M621" s="0">
        <ns0:f>IFERROR(LEFT(L621,FIND(".",L621)-1),"")</ns0:f>
      </ns0:c>
      <ns0:c r="N621" s="0">
        <ns0:f>IFERROR(MID(L621,FIND(".",L621)+1,FIND(".",L621,FIND(".",L621)+1)-FIND(".",L621)-1),"")</ns0:f>
      </ns0:c>
      <ns0:c r="O621" s="0">
        <ns0:f>IFERROR(MID(L621,FIND(".",L621,FIND(".",L621)+1)+1,99),"")</ns0:f>
        <ns0:v>99</ns0:v>
      </ns0:c>
      <ns0:c r="P621" s="0">
        <ns0:f>IFERROR(IF(FIND(".",L621)=5,--M621,--O621),0)</ns0:f>
        <ns0:v>0</ns0:v>
      </ns0:c>
      <ns0:c r="Q621" s="0">
        <ns0:f>IFERROR(--N621,0)</ns0:f>
        <ns0:v>0</ns0:v>
      </ns0:c>
      <ns0:c r="R621" s="0">
        <ns0:f>IFERROR(IF(FIND(".",L621)=5,--O621,--M621),0)</ns0:f>
        <ns0:v>0</ns0:v>
      </ns0:c>
      <ns0:c r="S621" s="0">
        <ns0:f>IFERROR(IF(AND(P621&gt;=2000,P621&lt;=2100,Q621&gt;=1,Q621&lt;=12,R621&gt;=1,R621&lt;=31),DATE(P621,Q621,R621),0),0)</ns0:f>
        <ns0:v>0</ns0:v>
      </ns0:c>
      <ns0:c r="T621" s="0">
        <ns0:f>IFERROR(IF(ISNUMBER(Bookings!D621),IF(AND(Bookings!D621=INT(Bookings!D621),Bookings!D621&gt;=DATE(2000,1,1),Bookings!D621&lt;=DATE(2100,12,31)),Bookings!D621,0),IF(AND(K621&lt;&gt;"",LEN("x"&amp;L621)-LEN(SUBSTITUTE("x"&amp;L621,".",""))=2,OR(1&gt;LEN(L621),MID(L621,1,1)=".",ISNUMBER(FIND("x"&amp;MID(L621,1,1),"x0x1x2x3x4x5x6x7x8x9"))),OR(2&gt;LEN(L621),MID(L621,2,1)=".",ISNUMBER(FIND("x"&amp;MID(L621,2,1),"x0x1x2x3x4x5x6x7x8x9"))),OR(3&gt;LEN(L621),MID(L621,3,1)=".",ISNUMBER(FIND("x"&amp;MID(L621,3,1),"x0x1x2x3x4x5x6x7x8x9"))),OR(4&gt;LEN(L621),MID(L621,4,1)=".",ISNUMBER(FIND("x"&amp;MID(L621,4,1),"x0x1x2x3x4x5x6x7x8x9"))),OR(5&gt;LEN(L621),MID(L621,5,1)=".",ISNUMBER(FIND("x"&amp;MID(L621,5,1),"x0x1x2x3x4x5x6x7x8x9"))),OR(6&gt;LEN(L621),MID(L621,6,1)=".",ISNUMBER(FIND("x"&amp;MID(L621,6,1),"x0x1x2x3x4x5x6x7x8x9"))),OR(7&gt;LEN(L621),MID(L621,7,1)=".",ISNUMBER(FIND("x"&amp;MID(L621,7,1),"x0x1x2x3x4x5x6x7x8x9"))),OR(8&gt;LEN(L621),MID(L621,8,1)=".",ISNUMBER(FIND("x"&amp;MID(L621,8,1),"x0x1x2x3x4x5x6x7x8x9"))),OR(9&gt;LEN(L621),MID(L621,9,1)=".",ISNUMBER(FIND("x"&amp;MID(L621,9,1),"x0x1x2x3x4x5x6x7x8x9"))),OR(10&gt;LEN(L621),MID(L621,10,1)=".",ISNUMBER(FIND("x"&amp;MID(L621,10,1),"x0x1x2x3x4x5x6x7x8x9"))),OR(AND(FIND(".",L621)=5,LEN(L621)-FIND(".",L621,FIND(".",L621)+1)&gt;=1,LEN(L621)-FIND(".",L621,FIND(".",L621)+1)&lt;=2),AND(LEN(L621)-FIND(".",L621,FIND(".",L621)+1)=4,FIND(".",L621)&gt;=2,FIND(".",L621)&lt;=3)),FIND(".",L621,FIND(".",L621)+1)-FIND(".",L621)&gt;=2,FIND(".",L621,FIND(".",L621)+1)-FIND(".",L621)&lt;=3,P621&gt;=2000,P621&lt;=2100,YEAR(S621)=P621,MONTH(S621)=Q621,DAY(S621)=R621),S621,0)),0)</ns0:f>
        <ns0:v>0</ns0:v>
      </ns0:c>
      <ns0:c r="U621" s="0" t="str">
        <ns0:f>IF(Bookings!C621="","Full day",Bookings!C621)</ns0:f>
        <ns0:v>Full day</ns0:v>
      </ns0:c>
      <ns0:c r="V621" s="0" t="str">
        <ns0:f>IF(Bookings!E621="","Full day",Bookings!E621)</ns0:f>
        <ns0:v>Full day</ns0:v>
      </ns0:c>
      <ns0:c r="W621" s="0">
        <ns0:f>IF(J621=0,0,J621+IF(U621="PM",1,0))</ns0:f>
        <ns0:v>0</ns0:v>
      </ns0:c>
      <ns0:c r="X621" s="0">
        <ns0:f>IF(T621=0,0,T621-IF(V621="PM",1,0))</ns0:f>
        <ns0:v>0</ns0:v>
      </ns0:c>
      <ns0:c r="Y621" s="0">
        <ns0:f>IF(J621=0,0,J621+IF(U621="AM",1,0))</ns0:f>
        <ns0:v>0</ns0:v>
      </ns0:c>
      <ns0:c r="Z621" s="0">
        <ns0:f>IF(T621=0,0,T621-IF(V621="AM",1,0))</ns0:f>
        <ns0:v>0</ns0:v>
      </ns0:c>
      <ns0:c r="AA621" s="0">
        <ns0:f>IFERROR(IF(AND(J621&gt;0,'_Engine'!C621&gt;0,MID('_Engine'!W621,WEEKDAY(J621,2),1)="W",COUNTIF(Settings!$F$18:$F$67,J621)=0),1,0),0)</ns0:f>
        <ns0:v>0</ns0:v>
      </ns0:c>
      <ns0:c r="AB621" s="0">
        <ns0:f>IFERROR(IF(AND(T621&gt;0,'_Engine'!C621&gt;0,MID('_Engine'!W621,WEEKDAY(T621,2),1)="W",COUNTIF(Settings!$F$18:$F$67,T621)=0),1,0),0)</ns0:f>
        <ns0:v>0</ns0:v>
      </ns0:c>
      <ns0:c r="AC621" s="0">
        <ns0:f>IF(AND(J621&gt;0,T621&gt;0,W621&lt;=X621),1,0)</ns0:f>
        <ns0:v>0</ns0:v>
      </ns0:c>
      <ns0:c r="AD621" s="0">
        <ns0:f>IF(AND(J621&gt;0,T621&gt;0,Y621&lt;=Z621),1,0)</ns0:f>
        <ns0:v>0</ns0:v>
      </ns0:c>
    </ns0:row>
    <ns0:row r="622">
      <ns0:c r="A622" s="0">
        <ns0:f>IFERROR(IF(ISNUMBER(Bookings!B622),"",TRIM(Bookings!B622&amp;"")),"")</ns0:f>
      </ns0:c>
      <ns0:c r="B622" s="0">
        <ns0:f>IFERROR(SUBSTITUTE(SUBSTITUTE(A622,"/","."),"-","."),"")</ns0:f>
      </ns0:c>
      <ns0:c r="C622" s="0">
        <ns0:f>IFERROR(LEFT(B622,FIND(".",B622)-1),"")</ns0:f>
      </ns0:c>
      <ns0:c r="D622" s="0">
        <ns0:f>IFERROR(MID(B622,FIND(".",B622)+1,FIND(".",B622,FIND(".",B622)+1)-FIND(".",B622)-1),"")</ns0:f>
      </ns0:c>
      <ns0:c r="E622" s="0">
        <ns0:f>IFERROR(MID(B622,FIND(".",B622,FIND(".",B622)+1)+1,99),"")</ns0:f>
        <ns0:v>99</ns0:v>
      </ns0:c>
      <ns0:c r="F622" s="0">
        <ns0:f>IFERROR(IF(FIND(".",B622)=5,--C622,--E622),0)</ns0:f>
        <ns0:v>0</ns0:v>
      </ns0:c>
      <ns0:c r="G622" s="0">
        <ns0:f>IFERROR(--D622,0)</ns0:f>
        <ns0:v>0</ns0:v>
      </ns0:c>
      <ns0:c r="H622" s="0">
        <ns0:f>IFERROR(IF(FIND(".",B622)=5,--E622,--C622),0)</ns0:f>
        <ns0:v>0</ns0:v>
      </ns0:c>
      <ns0:c r="I622" s="0">
        <ns0:f>IFERROR(IF(AND(F622&gt;=2000,F622&lt;=2100,G622&gt;=1,G622&lt;=12,H622&gt;=1,H622&lt;=31),DATE(F622,G622,H622),0),0)</ns0:f>
        <ns0:v>0</ns0:v>
      </ns0:c>
      <ns0:c r="J622" s="0">
        <ns0:f>IFERROR(IF(ISNUMBER(Bookings!B622),IF(AND(Bookings!B622=INT(Bookings!B622),Bookings!B622&gt;=DATE(2000,1,1),Bookings!B622&lt;=DATE(2100,12,31)),Bookings!B622,0),IF(AND(A622&lt;&gt;"",LEN("x"&amp;B622)-LEN(SUBSTITUTE("x"&amp;B622,".",""))=2,OR(1&gt;LEN(B622),MID(B622,1,1)=".",ISNUMBER(FIND("x"&amp;MID(B622,1,1),"x0x1x2x3x4x5x6x7x8x9"))),OR(2&gt;LEN(B622),MID(B622,2,1)=".",ISNUMBER(FIND("x"&amp;MID(B622,2,1),"x0x1x2x3x4x5x6x7x8x9"))),OR(3&gt;LEN(B622),MID(B622,3,1)=".",ISNUMBER(FIND("x"&amp;MID(B622,3,1),"x0x1x2x3x4x5x6x7x8x9"))),OR(4&gt;LEN(B622),MID(B622,4,1)=".",ISNUMBER(FIND("x"&amp;MID(B622,4,1),"x0x1x2x3x4x5x6x7x8x9"))),OR(5&gt;LEN(B622),MID(B622,5,1)=".",ISNUMBER(FIND("x"&amp;MID(B622,5,1),"x0x1x2x3x4x5x6x7x8x9"))),OR(6&gt;LEN(B622),MID(B622,6,1)=".",ISNUMBER(FIND("x"&amp;MID(B622,6,1),"x0x1x2x3x4x5x6x7x8x9"))),OR(7&gt;LEN(B622),MID(B622,7,1)=".",ISNUMBER(FIND("x"&amp;MID(B622,7,1),"x0x1x2x3x4x5x6x7x8x9"))),OR(8&gt;LEN(B622),MID(B622,8,1)=".",ISNUMBER(FIND("x"&amp;MID(B622,8,1),"x0x1x2x3x4x5x6x7x8x9"))),OR(9&gt;LEN(B622),MID(B622,9,1)=".",ISNUMBER(FIND("x"&amp;MID(B622,9,1),"x0x1x2x3x4x5x6x7x8x9"))),OR(10&gt;LEN(B622),MID(B622,10,1)=".",ISNUMBER(FIND("x"&amp;MID(B622,10,1),"x0x1x2x3x4x5x6x7x8x9"))),OR(AND(FIND(".",B622)=5,LEN(B622)-FIND(".",B622,FIND(".",B622)+1)&gt;=1,LEN(B622)-FIND(".",B622,FIND(".",B622)+1)&lt;=2),AND(LEN(B622)-FIND(".",B622,FIND(".",B622)+1)=4,FIND(".",B622)&gt;=2,FIND(".",B622)&lt;=3)),FIND(".",B622,FIND(".",B622)+1)-FIND(".",B622)&gt;=2,FIND(".",B622,FIND(".",B622)+1)-FIND(".",B622)&lt;=3,F622&gt;=2000,F622&lt;=2100,YEAR(I622)=F622,MONTH(I622)=G622,DAY(I622)=H622),I622,0)),0)</ns0:f>
        <ns0:v>0</ns0:v>
      </ns0:c>
      <ns0:c r="K622" s="0">
        <ns0:f>IFERROR(IF(ISNUMBER(Bookings!D622),"",TRIM(Bookings!D622&amp;"")),"")</ns0:f>
      </ns0:c>
      <ns0:c r="L622" s="0">
        <ns0:f>IFERROR(SUBSTITUTE(SUBSTITUTE(K622,"/","."),"-","."),"")</ns0:f>
      </ns0:c>
      <ns0:c r="M622" s="0">
        <ns0:f>IFERROR(LEFT(L622,FIND(".",L622)-1),"")</ns0:f>
      </ns0:c>
      <ns0:c r="N622" s="0">
        <ns0:f>IFERROR(MID(L622,FIND(".",L622)+1,FIND(".",L622,FIND(".",L622)+1)-FIND(".",L622)-1),"")</ns0:f>
      </ns0:c>
      <ns0:c r="O622" s="0">
        <ns0:f>IFERROR(MID(L622,FIND(".",L622,FIND(".",L622)+1)+1,99),"")</ns0:f>
        <ns0:v>99</ns0:v>
      </ns0:c>
      <ns0:c r="P622" s="0">
        <ns0:f>IFERROR(IF(FIND(".",L622)=5,--M622,--O622),0)</ns0:f>
        <ns0:v>0</ns0:v>
      </ns0:c>
      <ns0:c r="Q622" s="0">
        <ns0:f>IFERROR(--N622,0)</ns0:f>
        <ns0:v>0</ns0:v>
      </ns0:c>
      <ns0:c r="R622" s="0">
        <ns0:f>IFERROR(IF(FIND(".",L622)=5,--O622,--M622),0)</ns0:f>
        <ns0:v>0</ns0:v>
      </ns0:c>
      <ns0:c r="S622" s="0">
        <ns0:f>IFERROR(IF(AND(P622&gt;=2000,P622&lt;=2100,Q622&gt;=1,Q622&lt;=12,R622&gt;=1,R622&lt;=31),DATE(P622,Q622,R622),0),0)</ns0:f>
        <ns0:v>0</ns0:v>
      </ns0:c>
      <ns0:c r="T622" s="0">
        <ns0:f>IFERROR(IF(ISNUMBER(Bookings!D622),IF(AND(Bookings!D622=INT(Bookings!D622),Bookings!D622&gt;=DATE(2000,1,1),Bookings!D622&lt;=DATE(2100,12,31)),Bookings!D622,0),IF(AND(K622&lt;&gt;"",LEN("x"&amp;L622)-LEN(SUBSTITUTE("x"&amp;L622,".",""))=2,OR(1&gt;LEN(L622),MID(L622,1,1)=".",ISNUMBER(FIND("x"&amp;MID(L622,1,1),"x0x1x2x3x4x5x6x7x8x9"))),OR(2&gt;LEN(L622),MID(L622,2,1)=".",ISNUMBER(FIND("x"&amp;MID(L622,2,1),"x0x1x2x3x4x5x6x7x8x9"))),OR(3&gt;LEN(L622),MID(L622,3,1)=".",ISNUMBER(FIND("x"&amp;MID(L622,3,1),"x0x1x2x3x4x5x6x7x8x9"))),OR(4&gt;LEN(L622),MID(L622,4,1)=".",ISNUMBER(FIND("x"&amp;MID(L622,4,1),"x0x1x2x3x4x5x6x7x8x9"))),OR(5&gt;LEN(L622),MID(L622,5,1)=".",ISNUMBER(FIND("x"&amp;MID(L622,5,1),"x0x1x2x3x4x5x6x7x8x9"))),OR(6&gt;LEN(L622),MID(L622,6,1)=".",ISNUMBER(FIND("x"&amp;MID(L622,6,1),"x0x1x2x3x4x5x6x7x8x9"))),OR(7&gt;LEN(L622),MID(L622,7,1)=".",ISNUMBER(FIND("x"&amp;MID(L622,7,1),"x0x1x2x3x4x5x6x7x8x9"))),OR(8&gt;LEN(L622),MID(L622,8,1)=".",ISNUMBER(FIND("x"&amp;MID(L622,8,1),"x0x1x2x3x4x5x6x7x8x9"))),OR(9&gt;LEN(L622),MID(L622,9,1)=".",ISNUMBER(FIND("x"&amp;MID(L622,9,1),"x0x1x2x3x4x5x6x7x8x9"))),OR(10&gt;LEN(L622),MID(L622,10,1)=".",ISNUMBER(FIND("x"&amp;MID(L622,10,1),"x0x1x2x3x4x5x6x7x8x9"))),OR(AND(FIND(".",L622)=5,LEN(L622)-FIND(".",L622,FIND(".",L622)+1)&gt;=1,LEN(L622)-FIND(".",L622,FIND(".",L622)+1)&lt;=2),AND(LEN(L622)-FIND(".",L622,FIND(".",L622)+1)=4,FIND(".",L622)&gt;=2,FIND(".",L622)&lt;=3)),FIND(".",L622,FIND(".",L622)+1)-FIND(".",L622)&gt;=2,FIND(".",L622,FIND(".",L622)+1)-FIND(".",L622)&lt;=3,P622&gt;=2000,P622&lt;=2100,YEAR(S622)=P622,MONTH(S622)=Q622,DAY(S622)=R622),S622,0)),0)</ns0:f>
        <ns0:v>0</ns0:v>
      </ns0:c>
      <ns0:c r="U622" s="0" t="str">
        <ns0:f>IF(Bookings!C622="","Full day",Bookings!C622)</ns0:f>
        <ns0:v>Full day</ns0:v>
      </ns0:c>
      <ns0:c r="V622" s="0" t="str">
        <ns0:f>IF(Bookings!E622="","Full day",Bookings!E622)</ns0:f>
        <ns0:v>Full day</ns0:v>
      </ns0:c>
      <ns0:c r="W622" s="0">
        <ns0:f>IF(J622=0,0,J622+IF(U622="PM",1,0))</ns0:f>
        <ns0:v>0</ns0:v>
      </ns0:c>
      <ns0:c r="X622" s="0">
        <ns0:f>IF(T622=0,0,T622-IF(V622="PM",1,0))</ns0:f>
        <ns0:v>0</ns0:v>
      </ns0:c>
      <ns0:c r="Y622" s="0">
        <ns0:f>IF(J622=0,0,J622+IF(U622="AM",1,0))</ns0:f>
        <ns0:v>0</ns0:v>
      </ns0:c>
      <ns0:c r="Z622" s="0">
        <ns0:f>IF(T622=0,0,T622-IF(V622="AM",1,0))</ns0:f>
        <ns0:v>0</ns0:v>
      </ns0:c>
      <ns0:c r="AA622" s="0">
        <ns0:f>IFERROR(IF(AND(J622&gt;0,'_Engine'!C622&gt;0,MID('_Engine'!W622,WEEKDAY(J622,2),1)="W",COUNTIF(Settings!$F$18:$F$67,J622)=0),1,0),0)</ns0:f>
        <ns0:v>0</ns0:v>
      </ns0:c>
      <ns0:c r="AB622" s="0">
        <ns0:f>IFERROR(IF(AND(T622&gt;0,'_Engine'!C622&gt;0,MID('_Engine'!W622,WEEKDAY(T622,2),1)="W",COUNTIF(Settings!$F$18:$F$67,T622)=0),1,0),0)</ns0:f>
        <ns0:v>0</ns0:v>
      </ns0:c>
      <ns0:c r="AC622" s="0">
        <ns0:f>IF(AND(J622&gt;0,T622&gt;0,W622&lt;=X622),1,0)</ns0:f>
        <ns0:v>0</ns0:v>
      </ns0:c>
      <ns0:c r="AD622" s="0">
        <ns0:f>IF(AND(J622&gt;0,T622&gt;0,Y622&lt;=Z622),1,0)</ns0:f>
        <ns0:v>0</ns0:v>
      </ns0:c>
    </ns0:row>
    <ns0:row r="623">
      <ns0:c r="A623" s="0">
        <ns0:f>IFERROR(IF(ISNUMBER(Bookings!B623),"",TRIM(Bookings!B623&amp;"")),"")</ns0:f>
      </ns0:c>
      <ns0:c r="B623" s="0">
        <ns0:f>IFERROR(SUBSTITUTE(SUBSTITUTE(A623,"/","."),"-","."),"")</ns0:f>
      </ns0:c>
      <ns0:c r="C623" s="0">
        <ns0:f>IFERROR(LEFT(B623,FIND(".",B623)-1),"")</ns0:f>
      </ns0:c>
      <ns0:c r="D623" s="0">
        <ns0:f>IFERROR(MID(B623,FIND(".",B623)+1,FIND(".",B623,FIND(".",B623)+1)-FIND(".",B623)-1),"")</ns0:f>
      </ns0:c>
      <ns0:c r="E623" s="0">
        <ns0:f>IFERROR(MID(B623,FIND(".",B623,FIND(".",B623)+1)+1,99),"")</ns0:f>
        <ns0:v>99</ns0:v>
      </ns0:c>
      <ns0:c r="F623" s="0">
        <ns0:f>IFERROR(IF(FIND(".",B623)=5,--C623,--E623),0)</ns0:f>
        <ns0:v>0</ns0:v>
      </ns0:c>
      <ns0:c r="G623" s="0">
        <ns0:f>IFERROR(--D623,0)</ns0:f>
        <ns0:v>0</ns0:v>
      </ns0:c>
      <ns0:c r="H623" s="0">
        <ns0:f>IFERROR(IF(FIND(".",B623)=5,--E623,--C623),0)</ns0:f>
        <ns0:v>0</ns0:v>
      </ns0:c>
      <ns0:c r="I623" s="0">
        <ns0:f>IFERROR(IF(AND(F623&gt;=2000,F623&lt;=2100,G623&gt;=1,G623&lt;=12,H623&gt;=1,H623&lt;=31),DATE(F623,G623,H623),0),0)</ns0:f>
        <ns0:v>0</ns0:v>
      </ns0:c>
      <ns0:c r="J623" s="0">
        <ns0:f>IFERROR(IF(ISNUMBER(Bookings!B623),IF(AND(Bookings!B623=INT(Bookings!B623),Bookings!B623&gt;=DATE(2000,1,1),Bookings!B623&lt;=DATE(2100,12,31)),Bookings!B623,0),IF(AND(A623&lt;&gt;"",LEN("x"&amp;B623)-LEN(SUBSTITUTE("x"&amp;B623,".",""))=2,OR(1&gt;LEN(B623),MID(B623,1,1)=".",ISNUMBER(FIND("x"&amp;MID(B623,1,1),"x0x1x2x3x4x5x6x7x8x9"))),OR(2&gt;LEN(B623),MID(B623,2,1)=".",ISNUMBER(FIND("x"&amp;MID(B623,2,1),"x0x1x2x3x4x5x6x7x8x9"))),OR(3&gt;LEN(B623),MID(B623,3,1)=".",ISNUMBER(FIND("x"&amp;MID(B623,3,1),"x0x1x2x3x4x5x6x7x8x9"))),OR(4&gt;LEN(B623),MID(B623,4,1)=".",ISNUMBER(FIND("x"&amp;MID(B623,4,1),"x0x1x2x3x4x5x6x7x8x9"))),OR(5&gt;LEN(B623),MID(B623,5,1)=".",ISNUMBER(FIND("x"&amp;MID(B623,5,1),"x0x1x2x3x4x5x6x7x8x9"))),OR(6&gt;LEN(B623),MID(B623,6,1)=".",ISNUMBER(FIND("x"&amp;MID(B623,6,1),"x0x1x2x3x4x5x6x7x8x9"))),OR(7&gt;LEN(B623),MID(B623,7,1)=".",ISNUMBER(FIND("x"&amp;MID(B623,7,1),"x0x1x2x3x4x5x6x7x8x9"))),OR(8&gt;LEN(B623),MID(B623,8,1)=".",ISNUMBER(FIND("x"&amp;MID(B623,8,1),"x0x1x2x3x4x5x6x7x8x9"))),OR(9&gt;LEN(B623),MID(B623,9,1)=".",ISNUMBER(FIND("x"&amp;MID(B623,9,1),"x0x1x2x3x4x5x6x7x8x9"))),OR(10&gt;LEN(B623),MID(B623,10,1)=".",ISNUMBER(FIND("x"&amp;MID(B623,10,1),"x0x1x2x3x4x5x6x7x8x9"))),OR(AND(FIND(".",B623)=5,LEN(B623)-FIND(".",B623,FIND(".",B623)+1)&gt;=1,LEN(B623)-FIND(".",B623,FIND(".",B623)+1)&lt;=2),AND(LEN(B623)-FIND(".",B623,FIND(".",B623)+1)=4,FIND(".",B623)&gt;=2,FIND(".",B623)&lt;=3)),FIND(".",B623,FIND(".",B623)+1)-FIND(".",B623)&gt;=2,FIND(".",B623,FIND(".",B623)+1)-FIND(".",B623)&lt;=3,F623&gt;=2000,F623&lt;=2100,YEAR(I623)=F623,MONTH(I623)=G623,DAY(I623)=H623),I623,0)),0)</ns0:f>
        <ns0:v>0</ns0:v>
      </ns0:c>
      <ns0:c r="K623" s="0">
        <ns0:f>IFERROR(IF(ISNUMBER(Bookings!D623),"",TRIM(Bookings!D623&amp;"")),"")</ns0:f>
      </ns0:c>
      <ns0:c r="L623" s="0">
        <ns0:f>IFERROR(SUBSTITUTE(SUBSTITUTE(K623,"/","."),"-","."),"")</ns0:f>
      </ns0:c>
      <ns0:c r="M623" s="0">
        <ns0:f>IFERROR(LEFT(L623,FIND(".",L623)-1),"")</ns0:f>
      </ns0:c>
      <ns0:c r="N623" s="0">
        <ns0:f>IFERROR(MID(L623,FIND(".",L623)+1,FIND(".",L623,FIND(".",L623)+1)-FIND(".",L623)-1),"")</ns0:f>
      </ns0:c>
      <ns0:c r="O623" s="0">
        <ns0:f>IFERROR(MID(L623,FIND(".",L623,FIND(".",L623)+1)+1,99),"")</ns0:f>
        <ns0:v>99</ns0:v>
      </ns0:c>
      <ns0:c r="P623" s="0">
        <ns0:f>IFERROR(IF(FIND(".",L623)=5,--M623,--O623),0)</ns0:f>
        <ns0:v>0</ns0:v>
      </ns0:c>
      <ns0:c r="Q623" s="0">
        <ns0:f>IFERROR(--N623,0)</ns0:f>
        <ns0:v>0</ns0:v>
      </ns0:c>
      <ns0:c r="R623" s="0">
        <ns0:f>IFERROR(IF(FIND(".",L623)=5,--O623,--M623),0)</ns0:f>
        <ns0:v>0</ns0:v>
      </ns0:c>
      <ns0:c r="S623" s="0">
        <ns0:f>IFERROR(IF(AND(P623&gt;=2000,P623&lt;=2100,Q623&gt;=1,Q623&lt;=12,R623&gt;=1,R623&lt;=31),DATE(P623,Q623,R623),0),0)</ns0:f>
        <ns0:v>0</ns0:v>
      </ns0:c>
      <ns0:c r="T623" s="0">
        <ns0:f>IFERROR(IF(ISNUMBER(Bookings!D623),IF(AND(Bookings!D623=INT(Bookings!D623),Bookings!D623&gt;=DATE(2000,1,1),Bookings!D623&lt;=DATE(2100,12,31)),Bookings!D623,0),IF(AND(K623&lt;&gt;"",LEN("x"&amp;L623)-LEN(SUBSTITUTE("x"&amp;L623,".",""))=2,OR(1&gt;LEN(L623),MID(L623,1,1)=".",ISNUMBER(FIND("x"&amp;MID(L623,1,1),"x0x1x2x3x4x5x6x7x8x9"))),OR(2&gt;LEN(L623),MID(L623,2,1)=".",ISNUMBER(FIND("x"&amp;MID(L623,2,1),"x0x1x2x3x4x5x6x7x8x9"))),OR(3&gt;LEN(L623),MID(L623,3,1)=".",ISNUMBER(FIND("x"&amp;MID(L623,3,1),"x0x1x2x3x4x5x6x7x8x9"))),OR(4&gt;LEN(L623),MID(L623,4,1)=".",ISNUMBER(FIND("x"&amp;MID(L623,4,1),"x0x1x2x3x4x5x6x7x8x9"))),OR(5&gt;LEN(L623),MID(L623,5,1)=".",ISNUMBER(FIND("x"&amp;MID(L623,5,1),"x0x1x2x3x4x5x6x7x8x9"))),OR(6&gt;LEN(L623),MID(L623,6,1)=".",ISNUMBER(FIND("x"&amp;MID(L623,6,1),"x0x1x2x3x4x5x6x7x8x9"))),OR(7&gt;LEN(L623),MID(L623,7,1)=".",ISNUMBER(FIND("x"&amp;MID(L623,7,1),"x0x1x2x3x4x5x6x7x8x9"))),OR(8&gt;LEN(L623),MID(L623,8,1)=".",ISNUMBER(FIND("x"&amp;MID(L623,8,1),"x0x1x2x3x4x5x6x7x8x9"))),OR(9&gt;LEN(L623),MID(L623,9,1)=".",ISNUMBER(FIND("x"&amp;MID(L623,9,1),"x0x1x2x3x4x5x6x7x8x9"))),OR(10&gt;LEN(L623),MID(L623,10,1)=".",ISNUMBER(FIND("x"&amp;MID(L623,10,1),"x0x1x2x3x4x5x6x7x8x9"))),OR(AND(FIND(".",L623)=5,LEN(L623)-FIND(".",L623,FIND(".",L623)+1)&gt;=1,LEN(L623)-FIND(".",L623,FIND(".",L623)+1)&lt;=2),AND(LEN(L623)-FIND(".",L623,FIND(".",L623)+1)=4,FIND(".",L623)&gt;=2,FIND(".",L623)&lt;=3)),FIND(".",L623,FIND(".",L623)+1)-FIND(".",L623)&gt;=2,FIND(".",L623,FIND(".",L623)+1)-FIND(".",L623)&lt;=3,P623&gt;=2000,P623&lt;=2100,YEAR(S623)=P623,MONTH(S623)=Q623,DAY(S623)=R623),S623,0)),0)</ns0:f>
        <ns0:v>0</ns0:v>
      </ns0:c>
      <ns0:c r="U623" s="0" t="str">
        <ns0:f>IF(Bookings!C623="","Full day",Bookings!C623)</ns0:f>
        <ns0:v>Full day</ns0:v>
      </ns0:c>
      <ns0:c r="V623" s="0" t="str">
        <ns0:f>IF(Bookings!E623="","Full day",Bookings!E623)</ns0:f>
        <ns0:v>Full day</ns0:v>
      </ns0:c>
      <ns0:c r="W623" s="0">
        <ns0:f>IF(J623=0,0,J623+IF(U623="PM",1,0))</ns0:f>
        <ns0:v>0</ns0:v>
      </ns0:c>
      <ns0:c r="X623" s="0">
        <ns0:f>IF(T623=0,0,T623-IF(V623="PM",1,0))</ns0:f>
        <ns0:v>0</ns0:v>
      </ns0:c>
      <ns0:c r="Y623" s="0">
        <ns0:f>IF(J623=0,0,J623+IF(U623="AM",1,0))</ns0:f>
        <ns0:v>0</ns0:v>
      </ns0:c>
      <ns0:c r="Z623" s="0">
        <ns0:f>IF(T623=0,0,T623-IF(V623="AM",1,0))</ns0:f>
        <ns0:v>0</ns0:v>
      </ns0:c>
      <ns0:c r="AA623" s="0">
        <ns0:f>IFERROR(IF(AND(J623&gt;0,'_Engine'!C623&gt;0,MID('_Engine'!W623,WEEKDAY(J623,2),1)="W",COUNTIF(Settings!$F$18:$F$67,J623)=0),1,0),0)</ns0:f>
        <ns0:v>0</ns0:v>
      </ns0:c>
      <ns0:c r="AB623" s="0">
        <ns0:f>IFERROR(IF(AND(T623&gt;0,'_Engine'!C623&gt;0,MID('_Engine'!W623,WEEKDAY(T623,2),1)="W",COUNTIF(Settings!$F$18:$F$67,T623)=0),1,0),0)</ns0:f>
        <ns0:v>0</ns0:v>
      </ns0:c>
      <ns0:c r="AC623" s="0">
        <ns0:f>IF(AND(J623&gt;0,T623&gt;0,W623&lt;=X623),1,0)</ns0:f>
        <ns0:v>0</ns0:v>
      </ns0:c>
      <ns0:c r="AD623" s="0">
        <ns0:f>IF(AND(J623&gt;0,T623&gt;0,Y623&lt;=Z623),1,0)</ns0:f>
        <ns0:v>0</ns0:v>
      </ns0:c>
    </ns0:row>
    <ns0:row r="624">
      <ns0:c r="A624" s="0">
        <ns0:f>IFERROR(IF(ISNUMBER(Bookings!B624),"",TRIM(Bookings!B624&amp;"")),"")</ns0:f>
      </ns0:c>
      <ns0:c r="B624" s="0">
        <ns0:f>IFERROR(SUBSTITUTE(SUBSTITUTE(A624,"/","."),"-","."),"")</ns0:f>
      </ns0:c>
      <ns0:c r="C624" s="0">
        <ns0:f>IFERROR(LEFT(B624,FIND(".",B624)-1),"")</ns0:f>
      </ns0:c>
      <ns0:c r="D624" s="0">
        <ns0:f>IFERROR(MID(B624,FIND(".",B624)+1,FIND(".",B624,FIND(".",B624)+1)-FIND(".",B624)-1),"")</ns0:f>
      </ns0:c>
      <ns0:c r="E624" s="0">
        <ns0:f>IFERROR(MID(B624,FIND(".",B624,FIND(".",B624)+1)+1,99),"")</ns0:f>
        <ns0:v>99</ns0:v>
      </ns0:c>
      <ns0:c r="F624" s="0">
        <ns0:f>IFERROR(IF(FIND(".",B624)=5,--C624,--E624),0)</ns0:f>
        <ns0:v>0</ns0:v>
      </ns0:c>
      <ns0:c r="G624" s="0">
        <ns0:f>IFERROR(--D624,0)</ns0:f>
        <ns0:v>0</ns0:v>
      </ns0:c>
      <ns0:c r="H624" s="0">
        <ns0:f>IFERROR(IF(FIND(".",B624)=5,--E624,--C624),0)</ns0:f>
        <ns0:v>0</ns0:v>
      </ns0:c>
      <ns0:c r="I624" s="0">
        <ns0:f>IFERROR(IF(AND(F624&gt;=2000,F624&lt;=2100,G624&gt;=1,G624&lt;=12,H624&gt;=1,H624&lt;=31),DATE(F624,G624,H624),0),0)</ns0:f>
        <ns0:v>0</ns0:v>
      </ns0:c>
      <ns0:c r="J624" s="0">
        <ns0:f>IFERROR(IF(ISNUMBER(Bookings!B624),IF(AND(Bookings!B624=INT(Bookings!B624),Bookings!B624&gt;=DATE(2000,1,1),Bookings!B624&lt;=DATE(2100,12,31)),Bookings!B624,0),IF(AND(A624&lt;&gt;"",LEN("x"&amp;B624)-LEN(SUBSTITUTE("x"&amp;B624,".",""))=2,OR(1&gt;LEN(B624),MID(B624,1,1)=".",ISNUMBER(FIND("x"&amp;MID(B624,1,1),"x0x1x2x3x4x5x6x7x8x9"))),OR(2&gt;LEN(B624),MID(B624,2,1)=".",ISNUMBER(FIND("x"&amp;MID(B624,2,1),"x0x1x2x3x4x5x6x7x8x9"))),OR(3&gt;LEN(B624),MID(B624,3,1)=".",ISNUMBER(FIND("x"&amp;MID(B624,3,1),"x0x1x2x3x4x5x6x7x8x9"))),OR(4&gt;LEN(B624),MID(B624,4,1)=".",ISNUMBER(FIND("x"&amp;MID(B624,4,1),"x0x1x2x3x4x5x6x7x8x9"))),OR(5&gt;LEN(B624),MID(B624,5,1)=".",ISNUMBER(FIND("x"&amp;MID(B624,5,1),"x0x1x2x3x4x5x6x7x8x9"))),OR(6&gt;LEN(B624),MID(B624,6,1)=".",ISNUMBER(FIND("x"&amp;MID(B624,6,1),"x0x1x2x3x4x5x6x7x8x9"))),OR(7&gt;LEN(B624),MID(B624,7,1)=".",ISNUMBER(FIND("x"&amp;MID(B624,7,1),"x0x1x2x3x4x5x6x7x8x9"))),OR(8&gt;LEN(B624),MID(B624,8,1)=".",ISNUMBER(FIND("x"&amp;MID(B624,8,1),"x0x1x2x3x4x5x6x7x8x9"))),OR(9&gt;LEN(B624),MID(B624,9,1)=".",ISNUMBER(FIND("x"&amp;MID(B624,9,1),"x0x1x2x3x4x5x6x7x8x9"))),OR(10&gt;LEN(B624),MID(B624,10,1)=".",ISNUMBER(FIND("x"&amp;MID(B624,10,1),"x0x1x2x3x4x5x6x7x8x9"))),OR(AND(FIND(".",B624)=5,LEN(B624)-FIND(".",B624,FIND(".",B624)+1)&gt;=1,LEN(B624)-FIND(".",B624,FIND(".",B624)+1)&lt;=2),AND(LEN(B624)-FIND(".",B624,FIND(".",B624)+1)=4,FIND(".",B624)&gt;=2,FIND(".",B624)&lt;=3)),FIND(".",B624,FIND(".",B624)+1)-FIND(".",B624)&gt;=2,FIND(".",B624,FIND(".",B624)+1)-FIND(".",B624)&lt;=3,F624&gt;=2000,F624&lt;=2100,YEAR(I624)=F624,MONTH(I624)=G624,DAY(I624)=H624),I624,0)),0)</ns0:f>
        <ns0:v>0</ns0:v>
      </ns0:c>
      <ns0:c r="K624" s="0">
        <ns0:f>IFERROR(IF(ISNUMBER(Bookings!D624),"",TRIM(Bookings!D624&amp;"")),"")</ns0:f>
      </ns0:c>
      <ns0:c r="L624" s="0">
        <ns0:f>IFERROR(SUBSTITUTE(SUBSTITUTE(K624,"/","."),"-","."),"")</ns0:f>
      </ns0:c>
      <ns0:c r="M624" s="0">
        <ns0:f>IFERROR(LEFT(L624,FIND(".",L624)-1),"")</ns0:f>
      </ns0:c>
      <ns0:c r="N624" s="0">
        <ns0:f>IFERROR(MID(L624,FIND(".",L624)+1,FIND(".",L624,FIND(".",L624)+1)-FIND(".",L624)-1),"")</ns0:f>
      </ns0:c>
      <ns0:c r="O624" s="0">
        <ns0:f>IFERROR(MID(L624,FIND(".",L624,FIND(".",L624)+1)+1,99),"")</ns0:f>
        <ns0:v>99</ns0:v>
      </ns0:c>
      <ns0:c r="P624" s="0">
        <ns0:f>IFERROR(IF(FIND(".",L624)=5,--M624,--O624),0)</ns0:f>
        <ns0:v>0</ns0:v>
      </ns0:c>
      <ns0:c r="Q624" s="0">
        <ns0:f>IFERROR(--N624,0)</ns0:f>
        <ns0:v>0</ns0:v>
      </ns0:c>
      <ns0:c r="R624" s="0">
        <ns0:f>IFERROR(IF(FIND(".",L624)=5,--O624,--M624),0)</ns0:f>
        <ns0:v>0</ns0:v>
      </ns0:c>
      <ns0:c r="S624" s="0">
        <ns0:f>IFERROR(IF(AND(P624&gt;=2000,P624&lt;=2100,Q624&gt;=1,Q624&lt;=12,R624&gt;=1,R624&lt;=31),DATE(P624,Q624,R624),0),0)</ns0:f>
        <ns0:v>0</ns0:v>
      </ns0:c>
      <ns0:c r="T624" s="0">
        <ns0:f>IFERROR(IF(ISNUMBER(Bookings!D624),IF(AND(Bookings!D624=INT(Bookings!D624),Bookings!D624&gt;=DATE(2000,1,1),Bookings!D624&lt;=DATE(2100,12,31)),Bookings!D624,0),IF(AND(K624&lt;&gt;"",LEN("x"&amp;L624)-LEN(SUBSTITUTE("x"&amp;L624,".",""))=2,OR(1&gt;LEN(L624),MID(L624,1,1)=".",ISNUMBER(FIND("x"&amp;MID(L624,1,1),"x0x1x2x3x4x5x6x7x8x9"))),OR(2&gt;LEN(L624),MID(L624,2,1)=".",ISNUMBER(FIND("x"&amp;MID(L624,2,1),"x0x1x2x3x4x5x6x7x8x9"))),OR(3&gt;LEN(L624),MID(L624,3,1)=".",ISNUMBER(FIND("x"&amp;MID(L624,3,1),"x0x1x2x3x4x5x6x7x8x9"))),OR(4&gt;LEN(L624),MID(L624,4,1)=".",ISNUMBER(FIND("x"&amp;MID(L624,4,1),"x0x1x2x3x4x5x6x7x8x9"))),OR(5&gt;LEN(L624),MID(L624,5,1)=".",ISNUMBER(FIND("x"&amp;MID(L624,5,1),"x0x1x2x3x4x5x6x7x8x9"))),OR(6&gt;LEN(L624),MID(L624,6,1)=".",ISNUMBER(FIND("x"&amp;MID(L624,6,1),"x0x1x2x3x4x5x6x7x8x9"))),OR(7&gt;LEN(L624),MID(L624,7,1)=".",ISNUMBER(FIND("x"&amp;MID(L624,7,1),"x0x1x2x3x4x5x6x7x8x9"))),OR(8&gt;LEN(L624),MID(L624,8,1)=".",ISNUMBER(FIND("x"&amp;MID(L624,8,1),"x0x1x2x3x4x5x6x7x8x9"))),OR(9&gt;LEN(L624),MID(L624,9,1)=".",ISNUMBER(FIND("x"&amp;MID(L624,9,1),"x0x1x2x3x4x5x6x7x8x9"))),OR(10&gt;LEN(L624),MID(L624,10,1)=".",ISNUMBER(FIND("x"&amp;MID(L624,10,1),"x0x1x2x3x4x5x6x7x8x9"))),OR(AND(FIND(".",L624)=5,LEN(L624)-FIND(".",L624,FIND(".",L624)+1)&gt;=1,LEN(L624)-FIND(".",L624,FIND(".",L624)+1)&lt;=2),AND(LEN(L624)-FIND(".",L624,FIND(".",L624)+1)=4,FIND(".",L624)&gt;=2,FIND(".",L624)&lt;=3)),FIND(".",L624,FIND(".",L624)+1)-FIND(".",L624)&gt;=2,FIND(".",L624,FIND(".",L624)+1)-FIND(".",L624)&lt;=3,P624&gt;=2000,P624&lt;=2100,YEAR(S624)=P624,MONTH(S624)=Q624,DAY(S624)=R624),S624,0)),0)</ns0:f>
        <ns0:v>0</ns0:v>
      </ns0:c>
      <ns0:c r="U624" s="0" t="str">
        <ns0:f>IF(Bookings!C624="","Full day",Bookings!C624)</ns0:f>
        <ns0:v>Full day</ns0:v>
      </ns0:c>
      <ns0:c r="V624" s="0" t="str">
        <ns0:f>IF(Bookings!E624="","Full day",Bookings!E624)</ns0:f>
        <ns0:v>Full day</ns0:v>
      </ns0:c>
      <ns0:c r="W624" s="0">
        <ns0:f>IF(J624=0,0,J624+IF(U624="PM",1,0))</ns0:f>
        <ns0:v>0</ns0:v>
      </ns0:c>
      <ns0:c r="X624" s="0">
        <ns0:f>IF(T624=0,0,T624-IF(V624="PM",1,0))</ns0:f>
        <ns0:v>0</ns0:v>
      </ns0:c>
      <ns0:c r="Y624" s="0">
        <ns0:f>IF(J624=0,0,J624+IF(U624="AM",1,0))</ns0:f>
        <ns0:v>0</ns0:v>
      </ns0:c>
      <ns0:c r="Z624" s="0">
        <ns0:f>IF(T624=0,0,T624-IF(V624="AM",1,0))</ns0:f>
        <ns0:v>0</ns0:v>
      </ns0:c>
      <ns0:c r="AA624" s="0">
        <ns0:f>IFERROR(IF(AND(J624&gt;0,'_Engine'!C624&gt;0,MID('_Engine'!W624,WEEKDAY(J624,2),1)="W",COUNTIF(Settings!$F$18:$F$67,J624)=0),1,0),0)</ns0:f>
        <ns0:v>0</ns0:v>
      </ns0:c>
      <ns0:c r="AB624" s="0">
        <ns0:f>IFERROR(IF(AND(T624&gt;0,'_Engine'!C624&gt;0,MID('_Engine'!W624,WEEKDAY(T624,2),1)="W",COUNTIF(Settings!$F$18:$F$67,T624)=0),1,0),0)</ns0:f>
        <ns0:v>0</ns0:v>
      </ns0:c>
      <ns0:c r="AC624" s="0">
        <ns0:f>IF(AND(J624&gt;0,T624&gt;0,W624&lt;=X624),1,0)</ns0:f>
        <ns0:v>0</ns0:v>
      </ns0:c>
      <ns0:c r="AD624" s="0">
        <ns0:f>IF(AND(J624&gt;0,T624&gt;0,Y624&lt;=Z624),1,0)</ns0:f>
        <ns0:v>0</ns0:v>
      </ns0:c>
    </ns0:row>
    <ns0:row r="625">
      <ns0:c r="A625" s="0">
        <ns0:f>IFERROR(IF(ISNUMBER(Bookings!B625),"",TRIM(Bookings!B625&amp;"")),"")</ns0:f>
      </ns0:c>
      <ns0:c r="B625" s="0">
        <ns0:f>IFERROR(SUBSTITUTE(SUBSTITUTE(A625,"/","."),"-","."),"")</ns0:f>
      </ns0:c>
      <ns0:c r="C625" s="0">
        <ns0:f>IFERROR(LEFT(B625,FIND(".",B625)-1),"")</ns0:f>
      </ns0:c>
      <ns0:c r="D625" s="0">
        <ns0:f>IFERROR(MID(B625,FIND(".",B625)+1,FIND(".",B625,FIND(".",B625)+1)-FIND(".",B625)-1),"")</ns0:f>
      </ns0:c>
      <ns0:c r="E625" s="0">
        <ns0:f>IFERROR(MID(B625,FIND(".",B625,FIND(".",B625)+1)+1,99),"")</ns0:f>
        <ns0:v>99</ns0:v>
      </ns0:c>
      <ns0:c r="F625" s="0">
        <ns0:f>IFERROR(IF(FIND(".",B625)=5,--C625,--E625),0)</ns0:f>
        <ns0:v>0</ns0:v>
      </ns0:c>
      <ns0:c r="G625" s="0">
        <ns0:f>IFERROR(--D625,0)</ns0:f>
        <ns0:v>0</ns0:v>
      </ns0:c>
      <ns0:c r="H625" s="0">
        <ns0:f>IFERROR(IF(FIND(".",B625)=5,--E625,--C625),0)</ns0:f>
        <ns0:v>0</ns0:v>
      </ns0:c>
      <ns0:c r="I625" s="0">
        <ns0:f>IFERROR(IF(AND(F625&gt;=2000,F625&lt;=2100,G625&gt;=1,G625&lt;=12,H625&gt;=1,H625&lt;=31),DATE(F625,G625,H625),0),0)</ns0:f>
        <ns0:v>0</ns0:v>
      </ns0:c>
      <ns0:c r="J625" s="0">
        <ns0:f>IFERROR(IF(ISNUMBER(Bookings!B625),IF(AND(Bookings!B625=INT(Bookings!B625),Bookings!B625&gt;=DATE(2000,1,1),Bookings!B625&lt;=DATE(2100,12,31)),Bookings!B625,0),IF(AND(A625&lt;&gt;"",LEN("x"&amp;B625)-LEN(SUBSTITUTE("x"&amp;B625,".",""))=2,OR(1&gt;LEN(B625),MID(B625,1,1)=".",ISNUMBER(FIND("x"&amp;MID(B625,1,1),"x0x1x2x3x4x5x6x7x8x9"))),OR(2&gt;LEN(B625),MID(B625,2,1)=".",ISNUMBER(FIND("x"&amp;MID(B625,2,1),"x0x1x2x3x4x5x6x7x8x9"))),OR(3&gt;LEN(B625),MID(B625,3,1)=".",ISNUMBER(FIND("x"&amp;MID(B625,3,1),"x0x1x2x3x4x5x6x7x8x9"))),OR(4&gt;LEN(B625),MID(B625,4,1)=".",ISNUMBER(FIND("x"&amp;MID(B625,4,1),"x0x1x2x3x4x5x6x7x8x9"))),OR(5&gt;LEN(B625),MID(B625,5,1)=".",ISNUMBER(FIND("x"&amp;MID(B625,5,1),"x0x1x2x3x4x5x6x7x8x9"))),OR(6&gt;LEN(B625),MID(B625,6,1)=".",ISNUMBER(FIND("x"&amp;MID(B625,6,1),"x0x1x2x3x4x5x6x7x8x9"))),OR(7&gt;LEN(B625),MID(B625,7,1)=".",ISNUMBER(FIND("x"&amp;MID(B625,7,1),"x0x1x2x3x4x5x6x7x8x9"))),OR(8&gt;LEN(B625),MID(B625,8,1)=".",ISNUMBER(FIND("x"&amp;MID(B625,8,1),"x0x1x2x3x4x5x6x7x8x9"))),OR(9&gt;LEN(B625),MID(B625,9,1)=".",ISNUMBER(FIND("x"&amp;MID(B625,9,1),"x0x1x2x3x4x5x6x7x8x9"))),OR(10&gt;LEN(B625),MID(B625,10,1)=".",ISNUMBER(FIND("x"&amp;MID(B625,10,1),"x0x1x2x3x4x5x6x7x8x9"))),OR(AND(FIND(".",B625)=5,LEN(B625)-FIND(".",B625,FIND(".",B625)+1)&gt;=1,LEN(B625)-FIND(".",B625,FIND(".",B625)+1)&lt;=2),AND(LEN(B625)-FIND(".",B625,FIND(".",B625)+1)=4,FIND(".",B625)&gt;=2,FIND(".",B625)&lt;=3)),FIND(".",B625,FIND(".",B625)+1)-FIND(".",B625)&gt;=2,FIND(".",B625,FIND(".",B625)+1)-FIND(".",B625)&lt;=3,F625&gt;=2000,F625&lt;=2100,YEAR(I625)=F625,MONTH(I625)=G625,DAY(I625)=H625),I625,0)),0)</ns0:f>
        <ns0:v>0</ns0:v>
      </ns0:c>
      <ns0:c r="K625" s="0">
        <ns0:f>IFERROR(IF(ISNUMBER(Bookings!D625),"",TRIM(Bookings!D625&amp;"")),"")</ns0:f>
      </ns0:c>
      <ns0:c r="L625" s="0">
        <ns0:f>IFERROR(SUBSTITUTE(SUBSTITUTE(K625,"/","."),"-","."),"")</ns0:f>
      </ns0:c>
      <ns0:c r="M625" s="0">
        <ns0:f>IFERROR(LEFT(L625,FIND(".",L625)-1),"")</ns0:f>
      </ns0:c>
      <ns0:c r="N625" s="0">
        <ns0:f>IFERROR(MID(L625,FIND(".",L625)+1,FIND(".",L625,FIND(".",L625)+1)-FIND(".",L625)-1),"")</ns0:f>
      </ns0:c>
      <ns0:c r="O625" s="0">
        <ns0:f>IFERROR(MID(L625,FIND(".",L625,FIND(".",L625)+1)+1,99),"")</ns0:f>
        <ns0:v>99</ns0:v>
      </ns0:c>
      <ns0:c r="P625" s="0">
        <ns0:f>IFERROR(IF(FIND(".",L625)=5,--M625,--O625),0)</ns0:f>
        <ns0:v>0</ns0:v>
      </ns0:c>
      <ns0:c r="Q625" s="0">
        <ns0:f>IFERROR(--N625,0)</ns0:f>
        <ns0:v>0</ns0:v>
      </ns0:c>
      <ns0:c r="R625" s="0">
        <ns0:f>IFERROR(IF(FIND(".",L625)=5,--O625,--M625),0)</ns0:f>
        <ns0:v>0</ns0:v>
      </ns0:c>
      <ns0:c r="S625" s="0">
        <ns0:f>IFERROR(IF(AND(P625&gt;=2000,P625&lt;=2100,Q625&gt;=1,Q625&lt;=12,R625&gt;=1,R625&lt;=31),DATE(P625,Q625,R625),0),0)</ns0:f>
        <ns0:v>0</ns0:v>
      </ns0:c>
      <ns0:c r="T625" s="0">
        <ns0:f>IFERROR(IF(ISNUMBER(Bookings!D625),IF(AND(Bookings!D625=INT(Bookings!D625),Bookings!D625&gt;=DATE(2000,1,1),Bookings!D625&lt;=DATE(2100,12,31)),Bookings!D625,0),IF(AND(K625&lt;&gt;"",LEN("x"&amp;L625)-LEN(SUBSTITUTE("x"&amp;L625,".",""))=2,OR(1&gt;LEN(L625),MID(L625,1,1)=".",ISNUMBER(FIND("x"&amp;MID(L625,1,1),"x0x1x2x3x4x5x6x7x8x9"))),OR(2&gt;LEN(L625),MID(L625,2,1)=".",ISNUMBER(FIND("x"&amp;MID(L625,2,1),"x0x1x2x3x4x5x6x7x8x9"))),OR(3&gt;LEN(L625),MID(L625,3,1)=".",ISNUMBER(FIND("x"&amp;MID(L625,3,1),"x0x1x2x3x4x5x6x7x8x9"))),OR(4&gt;LEN(L625),MID(L625,4,1)=".",ISNUMBER(FIND("x"&amp;MID(L625,4,1),"x0x1x2x3x4x5x6x7x8x9"))),OR(5&gt;LEN(L625),MID(L625,5,1)=".",ISNUMBER(FIND("x"&amp;MID(L625,5,1),"x0x1x2x3x4x5x6x7x8x9"))),OR(6&gt;LEN(L625),MID(L625,6,1)=".",ISNUMBER(FIND("x"&amp;MID(L625,6,1),"x0x1x2x3x4x5x6x7x8x9"))),OR(7&gt;LEN(L625),MID(L625,7,1)=".",ISNUMBER(FIND("x"&amp;MID(L625,7,1),"x0x1x2x3x4x5x6x7x8x9"))),OR(8&gt;LEN(L625),MID(L625,8,1)=".",ISNUMBER(FIND("x"&amp;MID(L625,8,1),"x0x1x2x3x4x5x6x7x8x9"))),OR(9&gt;LEN(L625),MID(L625,9,1)=".",ISNUMBER(FIND("x"&amp;MID(L625,9,1),"x0x1x2x3x4x5x6x7x8x9"))),OR(10&gt;LEN(L625),MID(L625,10,1)=".",ISNUMBER(FIND("x"&amp;MID(L625,10,1),"x0x1x2x3x4x5x6x7x8x9"))),OR(AND(FIND(".",L625)=5,LEN(L625)-FIND(".",L625,FIND(".",L625)+1)&gt;=1,LEN(L625)-FIND(".",L625,FIND(".",L625)+1)&lt;=2),AND(LEN(L625)-FIND(".",L625,FIND(".",L625)+1)=4,FIND(".",L625)&gt;=2,FIND(".",L625)&lt;=3)),FIND(".",L625,FIND(".",L625)+1)-FIND(".",L625)&gt;=2,FIND(".",L625,FIND(".",L625)+1)-FIND(".",L625)&lt;=3,P625&gt;=2000,P625&lt;=2100,YEAR(S625)=P625,MONTH(S625)=Q625,DAY(S625)=R625),S625,0)),0)</ns0:f>
        <ns0:v>0</ns0:v>
      </ns0:c>
      <ns0:c r="U625" s="0" t="str">
        <ns0:f>IF(Bookings!C625="","Full day",Bookings!C625)</ns0:f>
        <ns0:v>Full day</ns0:v>
      </ns0:c>
      <ns0:c r="V625" s="0" t="str">
        <ns0:f>IF(Bookings!E625="","Full day",Bookings!E625)</ns0:f>
        <ns0:v>Full day</ns0:v>
      </ns0:c>
      <ns0:c r="W625" s="0">
        <ns0:f>IF(J625=0,0,J625+IF(U625="PM",1,0))</ns0:f>
        <ns0:v>0</ns0:v>
      </ns0:c>
      <ns0:c r="X625" s="0">
        <ns0:f>IF(T625=0,0,T625-IF(V625="PM",1,0))</ns0:f>
        <ns0:v>0</ns0:v>
      </ns0:c>
      <ns0:c r="Y625" s="0">
        <ns0:f>IF(J625=0,0,J625+IF(U625="AM",1,0))</ns0:f>
        <ns0:v>0</ns0:v>
      </ns0:c>
      <ns0:c r="Z625" s="0">
        <ns0:f>IF(T625=0,0,T625-IF(V625="AM",1,0))</ns0:f>
        <ns0:v>0</ns0:v>
      </ns0:c>
      <ns0:c r="AA625" s="0">
        <ns0:f>IFERROR(IF(AND(J625&gt;0,'_Engine'!C625&gt;0,MID('_Engine'!W625,WEEKDAY(J625,2),1)="W",COUNTIF(Settings!$F$18:$F$67,J625)=0),1,0),0)</ns0:f>
        <ns0:v>0</ns0:v>
      </ns0:c>
      <ns0:c r="AB625" s="0">
        <ns0:f>IFERROR(IF(AND(T625&gt;0,'_Engine'!C625&gt;0,MID('_Engine'!W625,WEEKDAY(T625,2),1)="W",COUNTIF(Settings!$F$18:$F$67,T625)=0),1,0),0)</ns0:f>
        <ns0:v>0</ns0:v>
      </ns0:c>
      <ns0:c r="AC625" s="0">
        <ns0:f>IF(AND(J625&gt;0,T625&gt;0,W625&lt;=X625),1,0)</ns0:f>
        <ns0:v>0</ns0:v>
      </ns0:c>
      <ns0:c r="AD625" s="0">
        <ns0:f>IF(AND(J625&gt;0,T625&gt;0,Y625&lt;=Z625),1,0)</ns0:f>
        <ns0:v>0</ns0:v>
      </ns0:c>
    </ns0:row>
    <ns0:row r="626">
      <ns0:c r="A626" s="0">
        <ns0:f>IFERROR(IF(ISNUMBER(Bookings!B626),"",TRIM(Bookings!B626&amp;"")),"")</ns0:f>
      </ns0:c>
      <ns0:c r="B626" s="0">
        <ns0:f>IFERROR(SUBSTITUTE(SUBSTITUTE(A626,"/","."),"-","."),"")</ns0:f>
      </ns0:c>
      <ns0:c r="C626" s="0">
        <ns0:f>IFERROR(LEFT(B626,FIND(".",B626)-1),"")</ns0:f>
      </ns0:c>
      <ns0:c r="D626" s="0">
        <ns0:f>IFERROR(MID(B626,FIND(".",B626)+1,FIND(".",B626,FIND(".",B626)+1)-FIND(".",B626)-1),"")</ns0:f>
      </ns0:c>
      <ns0:c r="E626" s="0">
        <ns0:f>IFERROR(MID(B626,FIND(".",B626,FIND(".",B626)+1)+1,99),"")</ns0:f>
        <ns0:v>99</ns0:v>
      </ns0:c>
      <ns0:c r="F626" s="0">
        <ns0:f>IFERROR(IF(FIND(".",B626)=5,--C626,--E626),0)</ns0:f>
        <ns0:v>0</ns0:v>
      </ns0:c>
      <ns0:c r="G626" s="0">
        <ns0:f>IFERROR(--D626,0)</ns0:f>
        <ns0:v>0</ns0:v>
      </ns0:c>
      <ns0:c r="H626" s="0">
        <ns0:f>IFERROR(IF(FIND(".",B626)=5,--E626,--C626),0)</ns0:f>
        <ns0:v>0</ns0:v>
      </ns0:c>
      <ns0:c r="I626" s="0">
        <ns0:f>IFERROR(IF(AND(F626&gt;=2000,F626&lt;=2100,G626&gt;=1,G626&lt;=12,H626&gt;=1,H626&lt;=31),DATE(F626,G626,H626),0),0)</ns0:f>
        <ns0:v>0</ns0:v>
      </ns0:c>
      <ns0:c r="J626" s="0">
        <ns0:f>IFERROR(IF(ISNUMBER(Bookings!B626),IF(AND(Bookings!B626=INT(Bookings!B626),Bookings!B626&gt;=DATE(2000,1,1),Bookings!B626&lt;=DATE(2100,12,31)),Bookings!B626,0),IF(AND(A626&lt;&gt;"",LEN("x"&amp;B626)-LEN(SUBSTITUTE("x"&amp;B626,".",""))=2,OR(1&gt;LEN(B626),MID(B626,1,1)=".",ISNUMBER(FIND("x"&amp;MID(B626,1,1),"x0x1x2x3x4x5x6x7x8x9"))),OR(2&gt;LEN(B626),MID(B626,2,1)=".",ISNUMBER(FIND("x"&amp;MID(B626,2,1),"x0x1x2x3x4x5x6x7x8x9"))),OR(3&gt;LEN(B626),MID(B626,3,1)=".",ISNUMBER(FIND("x"&amp;MID(B626,3,1),"x0x1x2x3x4x5x6x7x8x9"))),OR(4&gt;LEN(B626),MID(B626,4,1)=".",ISNUMBER(FIND("x"&amp;MID(B626,4,1),"x0x1x2x3x4x5x6x7x8x9"))),OR(5&gt;LEN(B626),MID(B626,5,1)=".",ISNUMBER(FIND("x"&amp;MID(B626,5,1),"x0x1x2x3x4x5x6x7x8x9"))),OR(6&gt;LEN(B626),MID(B626,6,1)=".",ISNUMBER(FIND("x"&amp;MID(B626,6,1),"x0x1x2x3x4x5x6x7x8x9"))),OR(7&gt;LEN(B626),MID(B626,7,1)=".",ISNUMBER(FIND("x"&amp;MID(B626,7,1),"x0x1x2x3x4x5x6x7x8x9"))),OR(8&gt;LEN(B626),MID(B626,8,1)=".",ISNUMBER(FIND("x"&amp;MID(B626,8,1),"x0x1x2x3x4x5x6x7x8x9"))),OR(9&gt;LEN(B626),MID(B626,9,1)=".",ISNUMBER(FIND("x"&amp;MID(B626,9,1),"x0x1x2x3x4x5x6x7x8x9"))),OR(10&gt;LEN(B626),MID(B626,10,1)=".",ISNUMBER(FIND("x"&amp;MID(B626,10,1),"x0x1x2x3x4x5x6x7x8x9"))),OR(AND(FIND(".",B626)=5,LEN(B626)-FIND(".",B626,FIND(".",B626)+1)&gt;=1,LEN(B626)-FIND(".",B626,FIND(".",B626)+1)&lt;=2),AND(LEN(B626)-FIND(".",B626,FIND(".",B626)+1)=4,FIND(".",B626)&gt;=2,FIND(".",B626)&lt;=3)),FIND(".",B626,FIND(".",B626)+1)-FIND(".",B626)&gt;=2,FIND(".",B626,FIND(".",B626)+1)-FIND(".",B626)&lt;=3,F626&gt;=2000,F626&lt;=2100,YEAR(I626)=F626,MONTH(I626)=G626,DAY(I626)=H626),I626,0)),0)</ns0:f>
        <ns0:v>0</ns0:v>
      </ns0:c>
      <ns0:c r="K626" s="0">
        <ns0:f>IFERROR(IF(ISNUMBER(Bookings!D626),"",TRIM(Bookings!D626&amp;"")),"")</ns0:f>
      </ns0:c>
      <ns0:c r="L626" s="0">
        <ns0:f>IFERROR(SUBSTITUTE(SUBSTITUTE(K626,"/","."),"-","."),"")</ns0:f>
      </ns0:c>
      <ns0:c r="M626" s="0">
        <ns0:f>IFERROR(LEFT(L626,FIND(".",L626)-1),"")</ns0:f>
      </ns0:c>
      <ns0:c r="N626" s="0">
        <ns0:f>IFERROR(MID(L626,FIND(".",L626)+1,FIND(".",L626,FIND(".",L626)+1)-FIND(".",L626)-1),"")</ns0:f>
      </ns0:c>
      <ns0:c r="O626" s="0">
        <ns0:f>IFERROR(MID(L626,FIND(".",L626,FIND(".",L626)+1)+1,99),"")</ns0:f>
        <ns0:v>99</ns0:v>
      </ns0:c>
      <ns0:c r="P626" s="0">
        <ns0:f>IFERROR(IF(FIND(".",L626)=5,--M626,--O626),0)</ns0:f>
        <ns0:v>0</ns0:v>
      </ns0:c>
      <ns0:c r="Q626" s="0">
        <ns0:f>IFERROR(--N626,0)</ns0:f>
        <ns0:v>0</ns0:v>
      </ns0:c>
      <ns0:c r="R626" s="0">
        <ns0:f>IFERROR(IF(FIND(".",L626)=5,--O626,--M626),0)</ns0:f>
        <ns0:v>0</ns0:v>
      </ns0:c>
      <ns0:c r="S626" s="0">
        <ns0:f>IFERROR(IF(AND(P626&gt;=2000,P626&lt;=2100,Q626&gt;=1,Q626&lt;=12,R626&gt;=1,R626&lt;=31),DATE(P626,Q626,R626),0),0)</ns0:f>
        <ns0:v>0</ns0:v>
      </ns0:c>
      <ns0:c r="T626" s="0">
        <ns0:f>IFERROR(IF(ISNUMBER(Bookings!D626),IF(AND(Bookings!D626=INT(Bookings!D626),Bookings!D626&gt;=DATE(2000,1,1),Bookings!D626&lt;=DATE(2100,12,31)),Bookings!D626,0),IF(AND(K626&lt;&gt;"",LEN("x"&amp;L626)-LEN(SUBSTITUTE("x"&amp;L626,".",""))=2,OR(1&gt;LEN(L626),MID(L626,1,1)=".",ISNUMBER(FIND("x"&amp;MID(L626,1,1),"x0x1x2x3x4x5x6x7x8x9"))),OR(2&gt;LEN(L626),MID(L626,2,1)=".",ISNUMBER(FIND("x"&amp;MID(L626,2,1),"x0x1x2x3x4x5x6x7x8x9"))),OR(3&gt;LEN(L626),MID(L626,3,1)=".",ISNUMBER(FIND("x"&amp;MID(L626,3,1),"x0x1x2x3x4x5x6x7x8x9"))),OR(4&gt;LEN(L626),MID(L626,4,1)=".",ISNUMBER(FIND("x"&amp;MID(L626,4,1),"x0x1x2x3x4x5x6x7x8x9"))),OR(5&gt;LEN(L626),MID(L626,5,1)=".",ISNUMBER(FIND("x"&amp;MID(L626,5,1),"x0x1x2x3x4x5x6x7x8x9"))),OR(6&gt;LEN(L626),MID(L626,6,1)=".",ISNUMBER(FIND("x"&amp;MID(L626,6,1),"x0x1x2x3x4x5x6x7x8x9"))),OR(7&gt;LEN(L626),MID(L626,7,1)=".",ISNUMBER(FIND("x"&amp;MID(L626,7,1),"x0x1x2x3x4x5x6x7x8x9"))),OR(8&gt;LEN(L626),MID(L626,8,1)=".",ISNUMBER(FIND("x"&amp;MID(L626,8,1),"x0x1x2x3x4x5x6x7x8x9"))),OR(9&gt;LEN(L626),MID(L626,9,1)=".",ISNUMBER(FIND("x"&amp;MID(L626,9,1),"x0x1x2x3x4x5x6x7x8x9"))),OR(10&gt;LEN(L626),MID(L626,10,1)=".",ISNUMBER(FIND("x"&amp;MID(L626,10,1),"x0x1x2x3x4x5x6x7x8x9"))),OR(AND(FIND(".",L626)=5,LEN(L626)-FIND(".",L626,FIND(".",L626)+1)&gt;=1,LEN(L626)-FIND(".",L626,FIND(".",L626)+1)&lt;=2),AND(LEN(L626)-FIND(".",L626,FIND(".",L626)+1)=4,FIND(".",L626)&gt;=2,FIND(".",L626)&lt;=3)),FIND(".",L626,FIND(".",L626)+1)-FIND(".",L626)&gt;=2,FIND(".",L626,FIND(".",L626)+1)-FIND(".",L626)&lt;=3,P626&gt;=2000,P626&lt;=2100,YEAR(S626)=P626,MONTH(S626)=Q626,DAY(S626)=R626),S626,0)),0)</ns0:f>
        <ns0:v>0</ns0:v>
      </ns0:c>
      <ns0:c r="U626" s="0" t="str">
        <ns0:f>IF(Bookings!C626="","Full day",Bookings!C626)</ns0:f>
        <ns0:v>Full day</ns0:v>
      </ns0:c>
      <ns0:c r="V626" s="0" t="str">
        <ns0:f>IF(Bookings!E626="","Full day",Bookings!E626)</ns0:f>
        <ns0:v>Full day</ns0:v>
      </ns0:c>
      <ns0:c r="W626" s="0">
        <ns0:f>IF(J626=0,0,J626+IF(U626="PM",1,0))</ns0:f>
        <ns0:v>0</ns0:v>
      </ns0:c>
      <ns0:c r="X626" s="0">
        <ns0:f>IF(T626=0,0,T626-IF(V626="PM",1,0))</ns0:f>
        <ns0:v>0</ns0:v>
      </ns0:c>
      <ns0:c r="Y626" s="0">
        <ns0:f>IF(J626=0,0,J626+IF(U626="AM",1,0))</ns0:f>
        <ns0:v>0</ns0:v>
      </ns0:c>
      <ns0:c r="Z626" s="0">
        <ns0:f>IF(T626=0,0,T626-IF(V626="AM",1,0))</ns0:f>
        <ns0:v>0</ns0:v>
      </ns0:c>
      <ns0:c r="AA626" s="0">
        <ns0:f>IFERROR(IF(AND(J626&gt;0,'_Engine'!C626&gt;0,MID('_Engine'!W626,WEEKDAY(J626,2),1)="W",COUNTIF(Settings!$F$18:$F$67,J626)=0),1,0),0)</ns0:f>
        <ns0:v>0</ns0:v>
      </ns0:c>
      <ns0:c r="AB626" s="0">
        <ns0:f>IFERROR(IF(AND(T626&gt;0,'_Engine'!C626&gt;0,MID('_Engine'!W626,WEEKDAY(T626,2),1)="W",COUNTIF(Settings!$F$18:$F$67,T626)=0),1,0),0)</ns0:f>
        <ns0:v>0</ns0:v>
      </ns0:c>
      <ns0:c r="AC626" s="0">
        <ns0:f>IF(AND(J626&gt;0,T626&gt;0,W626&lt;=X626),1,0)</ns0:f>
        <ns0:v>0</ns0:v>
      </ns0:c>
      <ns0:c r="AD626" s="0">
        <ns0:f>IF(AND(J626&gt;0,T626&gt;0,Y626&lt;=Z626),1,0)</ns0:f>
        <ns0:v>0</ns0:v>
      </ns0:c>
    </ns0:row>
    <ns0:row r="627">
      <ns0:c r="A627" s="0">
        <ns0:f>IFERROR(IF(ISNUMBER(Bookings!B627),"",TRIM(Bookings!B627&amp;"")),"")</ns0:f>
      </ns0:c>
      <ns0:c r="B627" s="0">
        <ns0:f>IFERROR(SUBSTITUTE(SUBSTITUTE(A627,"/","."),"-","."),"")</ns0:f>
      </ns0:c>
      <ns0:c r="C627" s="0">
        <ns0:f>IFERROR(LEFT(B627,FIND(".",B627)-1),"")</ns0:f>
      </ns0:c>
      <ns0:c r="D627" s="0">
        <ns0:f>IFERROR(MID(B627,FIND(".",B627)+1,FIND(".",B627,FIND(".",B627)+1)-FIND(".",B627)-1),"")</ns0:f>
      </ns0:c>
      <ns0:c r="E627" s="0">
        <ns0:f>IFERROR(MID(B627,FIND(".",B627,FIND(".",B627)+1)+1,99),"")</ns0:f>
        <ns0:v>99</ns0:v>
      </ns0:c>
      <ns0:c r="F627" s="0">
        <ns0:f>IFERROR(IF(FIND(".",B627)=5,--C627,--E627),0)</ns0:f>
        <ns0:v>0</ns0:v>
      </ns0:c>
      <ns0:c r="G627" s="0">
        <ns0:f>IFERROR(--D627,0)</ns0:f>
        <ns0:v>0</ns0:v>
      </ns0:c>
      <ns0:c r="H627" s="0">
        <ns0:f>IFERROR(IF(FIND(".",B627)=5,--E627,--C627),0)</ns0:f>
        <ns0:v>0</ns0:v>
      </ns0:c>
      <ns0:c r="I627" s="0">
        <ns0:f>IFERROR(IF(AND(F627&gt;=2000,F627&lt;=2100,G627&gt;=1,G627&lt;=12,H627&gt;=1,H627&lt;=31),DATE(F627,G627,H627),0),0)</ns0:f>
        <ns0:v>0</ns0:v>
      </ns0:c>
      <ns0:c r="J627" s="0">
        <ns0:f>IFERROR(IF(ISNUMBER(Bookings!B627),IF(AND(Bookings!B627=INT(Bookings!B627),Bookings!B627&gt;=DATE(2000,1,1),Bookings!B627&lt;=DATE(2100,12,31)),Bookings!B627,0),IF(AND(A627&lt;&gt;"",LEN("x"&amp;B627)-LEN(SUBSTITUTE("x"&amp;B627,".",""))=2,OR(1&gt;LEN(B627),MID(B627,1,1)=".",ISNUMBER(FIND("x"&amp;MID(B627,1,1),"x0x1x2x3x4x5x6x7x8x9"))),OR(2&gt;LEN(B627),MID(B627,2,1)=".",ISNUMBER(FIND("x"&amp;MID(B627,2,1),"x0x1x2x3x4x5x6x7x8x9"))),OR(3&gt;LEN(B627),MID(B627,3,1)=".",ISNUMBER(FIND("x"&amp;MID(B627,3,1),"x0x1x2x3x4x5x6x7x8x9"))),OR(4&gt;LEN(B627),MID(B627,4,1)=".",ISNUMBER(FIND("x"&amp;MID(B627,4,1),"x0x1x2x3x4x5x6x7x8x9"))),OR(5&gt;LEN(B627),MID(B627,5,1)=".",ISNUMBER(FIND("x"&amp;MID(B627,5,1),"x0x1x2x3x4x5x6x7x8x9"))),OR(6&gt;LEN(B627),MID(B627,6,1)=".",ISNUMBER(FIND("x"&amp;MID(B627,6,1),"x0x1x2x3x4x5x6x7x8x9"))),OR(7&gt;LEN(B627),MID(B627,7,1)=".",ISNUMBER(FIND("x"&amp;MID(B627,7,1),"x0x1x2x3x4x5x6x7x8x9"))),OR(8&gt;LEN(B627),MID(B627,8,1)=".",ISNUMBER(FIND("x"&amp;MID(B627,8,1),"x0x1x2x3x4x5x6x7x8x9"))),OR(9&gt;LEN(B627),MID(B627,9,1)=".",ISNUMBER(FIND("x"&amp;MID(B627,9,1),"x0x1x2x3x4x5x6x7x8x9"))),OR(10&gt;LEN(B627),MID(B627,10,1)=".",ISNUMBER(FIND("x"&amp;MID(B627,10,1),"x0x1x2x3x4x5x6x7x8x9"))),OR(AND(FIND(".",B627)=5,LEN(B627)-FIND(".",B627,FIND(".",B627)+1)&gt;=1,LEN(B627)-FIND(".",B627,FIND(".",B627)+1)&lt;=2),AND(LEN(B627)-FIND(".",B627,FIND(".",B627)+1)=4,FIND(".",B627)&gt;=2,FIND(".",B627)&lt;=3)),FIND(".",B627,FIND(".",B627)+1)-FIND(".",B627)&gt;=2,FIND(".",B627,FIND(".",B627)+1)-FIND(".",B627)&lt;=3,F627&gt;=2000,F627&lt;=2100,YEAR(I627)=F627,MONTH(I627)=G627,DAY(I627)=H627),I627,0)),0)</ns0:f>
        <ns0:v>0</ns0:v>
      </ns0:c>
      <ns0:c r="K627" s="0">
        <ns0:f>IFERROR(IF(ISNUMBER(Bookings!D627),"",TRIM(Bookings!D627&amp;"")),"")</ns0:f>
      </ns0:c>
      <ns0:c r="L627" s="0">
        <ns0:f>IFERROR(SUBSTITUTE(SUBSTITUTE(K627,"/","."),"-","."),"")</ns0:f>
      </ns0:c>
      <ns0:c r="M627" s="0">
        <ns0:f>IFERROR(LEFT(L627,FIND(".",L627)-1),"")</ns0:f>
      </ns0:c>
      <ns0:c r="N627" s="0">
        <ns0:f>IFERROR(MID(L627,FIND(".",L627)+1,FIND(".",L627,FIND(".",L627)+1)-FIND(".",L627)-1),"")</ns0:f>
      </ns0:c>
      <ns0:c r="O627" s="0">
        <ns0:f>IFERROR(MID(L627,FIND(".",L627,FIND(".",L627)+1)+1,99),"")</ns0:f>
        <ns0:v>99</ns0:v>
      </ns0:c>
      <ns0:c r="P627" s="0">
        <ns0:f>IFERROR(IF(FIND(".",L627)=5,--M627,--O627),0)</ns0:f>
        <ns0:v>0</ns0:v>
      </ns0:c>
      <ns0:c r="Q627" s="0">
        <ns0:f>IFERROR(--N627,0)</ns0:f>
        <ns0:v>0</ns0:v>
      </ns0:c>
      <ns0:c r="R627" s="0">
        <ns0:f>IFERROR(IF(FIND(".",L627)=5,--O627,--M627),0)</ns0:f>
        <ns0:v>0</ns0:v>
      </ns0:c>
      <ns0:c r="S627" s="0">
        <ns0:f>IFERROR(IF(AND(P627&gt;=2000,P627&lt;=2100,Q627&gt;=1,Q627&lt;=12,R627&gt;=1,R627&lt;=31),DATE(P627,Q627,R627),0),0)</ns0:f>
        <ns0:v>0</ns0:v>
      </ns0:c>
      <ns0:c r="T627" s="0">
        <ns0:f>IFERROR(IF(ISNUMBER(Bookings!D627),IF(AND(Bookings!D627=INT(Bookings!D627),Bookings!D627&gt;=DATE(2000,1,1),Bookings!D627&lt;=DATE(2100,12,31)),Bookings!D627,0),IF(AND(K627&lt;&gt;"",LEN("x"&amp;L627)-LEN(SUBSTITUTE("x"&amp;L627,".",""))=2,OR(1&gt;LEN(L627),MID(L627,1,1)=".",ISNUMBER(FIND("x"&amp;MID(L627,1,1),"x0x1x2x3x4x5x6x7x8x9"))),OR(2&gt;LEN(L627),MID(L627,2,1)=".",ISNUMBER(FIND("x"&amp;MID(L627,2,1),"x0x1x2x3x4x5x6x7x8x9"))),OR(3&gt;LEN(L627),MID(L627,3,1)=".",ISNUMBER(FIND("x"&amp;MID(L627,3,1),"x0x1x2x3x4x5x6x7x8x9"))),OR(4&gt;LEN(L627),MID(L627,4,1)=".",ISNUMBER(FIND("x"&amp;MID(L627,4,1),"x0x1x2x3x4x5x6x7x8x9"))),OR(5&gt;LEN(L627),MID(L627,5,1)=".",ISNUMBER(FIND("x"&amp;MID(L627,5,1),"x0x1x2x3x4x5x6x7x8x9"))),OR(6&gt;LEN(L627),MID(L627,6,1)=".",ISNUMBER(FIND("x"&amp;MID(L627,6,1),"x0x1x2x3x4x5x6x7x8x9"))),OR(7&gt;LEN(L627),MID(L627,7,1)=".",ISNUMBER(FIND("x"&amp;MID(L627,7,1),"x0x1x2x3x4x5x6x7x8x9"))),OR(8&gt;LEN(L627),MID(L627,8,1)=".",ISNUMBER(FIND("x"&amp;MID(L627,8,1),"x0x1x2x3x4x5x6x7x8x9"))),OR(9&gt;LEN(L627),MID(L627,9,1)=".",ISNUMBER(FIND("x"&amp;MID(L627,9,1),"x0x1x2x3x4x5x6x7x8x9"))),OR(10&gt;LEN(L627),MID(L627,10,1)=".",ISNUMBER(FIND("x"&amp;MID(L627,10,1),"x0x1x2x3x4x5x6x7x8x9"))),OR(AND(FIND(".",L627)=5,LEN(L627)-FIND(".",L627,FIND(".",L627)+1)&gt;=1,LEN(L627)-FIND(".",L627,FIND(".",L627)+1)&lt;=2),AND(LEN(L627)-FIND(".",L627,FIND(".",L627)+1)=4,FIND(".",L627)&gt;=2,FIND(".",L627)&lt;=3)),FIND(".",L627,FIND(".",L627)+1)-FIND(".",L627)&gt;=2,FIND(".",L627,FIND(".",L627)+1)-FIND(".",L627)&lt;=3,P627&gt;=2000,P627&lt;=2100,YEAR(S627)=P627,MONTH(S627)=Q627,DAY(S627)=R627),S627,0)),0)</ns0:f>
        <ns0:v>0</ns0:v>
      </ns0:c>
      <ns0:c r="U627" s="0" t="str">
        <ns0:f>IF(Bookings!C627="","Full day",Bookings!C627)</ns0:f>
        <ns0:v>Full day</ns0:v>
      </ns0:c>
      <ns0:c r="V627" s="0" t="str">
        <ns0:f>IF(Bookings!E627="","Full day",Bookings!E627)</ns0:f>
        <ns0:v>Full day</ns0:v>
      </ns0:c>
      <ns0:c r="W627" s="0">
        <ns0:f>IF(J627=0,0,J627+IF(U627="PM",1,0))</ns0:f>
        <ns0:v>0</ns0:v>
      </ns0:c>
      <ns0:c r="X627" s="0">
        <ns0:f>IF(T627=0,0,T627-IF(V627="PM",1,0))</ns0:f>
        <ns0:v>0</ns0:v>
      </ns0:c>
      <ns0:c r="Y627" s="0">
        <ns0:f>IF(J627=0,0,J627+IF(U627="AM",1,0))</ns0:f>
        <ns0:v>0</ns0:v>
      </ns0:c>
      <ns0:c r="Z627" s="0">
        <ns0:f>IF(T627=0,0,T627-IF(V627="AM",1,0))</ns0:f>
        <ns0:v>0</ns0:v>
      </ns0:c>
      <ns0:c r="AA627" s="0">
        <ns0:f>IFERROR(IF(AND(J627&gt;0,'_Engine'!C627&gt;0,MID('_Engine'!W627,WEEKDAY(J627,2),1)="W",COUNTIF(Settings!$F$18:$F$67,J627)=0),1,0),0)</ns0:f>
        <ns0:v>0</ns0:v>
      </ns0:c>
      <ns0:c r="AB627" s="0">
        <ns0:f>IFERROR(IF(AND(T627&gt;0,'_Engine'!C627&gt;0,MID('_Engine'!W627,WEEKDAY(T627,2),1)="W",COUNTIF(Settings!$F$18:$F$67,T627)=0),1,0),0)</ns0:f>
        <ns0:v>0</ns0:v>
      </ns0:c>
      <ns0:c r="AC627" s="0">
        <ns0:f>IF(AND(J627&gt;0,T627&gt;0,W627&lt;=X627),1,0)</ns0:f>
        <ns0:v>0</ns0:v>
      </ns0:c>
      <ns0:c r="AD627" s="0">
        <ns0:f>IF(AND(J627&gt;0,T627&gt;0,Y627&lt;=Z627),1,0)</ns0:f>
        <ns0:v>0</ns0:v>
      </ns0:c>
    </ns0:row>
    <ns0:row r="628">
      <ns0:c r="A628" s="0">
        <ns0:f>IFERROR(IF(ISNUMBER(Bookings!B628),"",TRIM(Bookings!B628&amp;"")),"")</ns0:f>
      </ns0:c>
      <ns0:c r="B628" s="0">
        <ns0:f>IFERROR(SUBSTITUTE(SUBSTITUTE(A628,"/","."),"-","."),"")</ns0:f>
      </ns0:c>
      <ns0:c r="C628" s="0">
        <ns0:f>IFERROR(LEFT(B628,FIND(".",B628)-1),"")</ns0:f>
      </ns0:c>
      <ns0:c r="D628" s="0">
        <ns0:f>IFERROR(MID(B628,FIND(".",B628)+1,FIND(".",B628,FIND(".",B628)+1)-FIND(".",B628)-1),"")</ns0:f>
      </ns0:c>
      <ns0:c r="E628" s="0">
        <ns0:f>IFERROR(MID(B628,FIND(".",B628,FIND(".",B628)+1)+1,99),"")</ns0:f>
        <ns0:v>99</ns0:v>
      </ns0:c>
      <ns0:c r="F628" s="0">
        <ns0:f>IFERROR(IF(FIND(".",B628)=5,--C628,--E628),0)</ns0:f>
        <ns0:v>0</ns0:v>
      </ns0:c>
      <ns0:c r="G628" s="0">
        <ns0:f>IFERROR(--D628,0)</ns0:f>
        <ns0:v>0</ns0:v>
      </ns0:c>
      <ns0:c r="H628" s="0">
        <ns0:f>IFERROR(IF(FIND(".",B628)=5,--E628,--C628),0)</ns0:f>
        <ns0:v>0</ns0:v>
      </ns0:c>
      <ns0:c r="I628" s="0">
        <ns0:f>IFERROR(IF(AND(F628&gt;=2000,F628&lt;=2100,G628&gt;=1,G628&lt;=12,H628&gt;=1,H628&lt;=31),DATE(F628,G628,H628),0),0)</ns0:f>
        <ns0:v>0</ns0:v>
      </ns0:c>
      <ns0:c r="J628" s="0">
        <ns0:f>IFERROR(IF(ISNUMBER(Bookings!B628),IF(AND(Bookings!B628=INT(Bookings!B628),Bookings!B628&gt;=DATE(2000,1,1),Bookings!B628&lt;=DATE(2100,12,31)),Bookings!B628,0),IF(AND(A628&lt;&gt;"",LEN("x"&amp;B628)-LEN(SUBSTITUTE("x"&amp;B628,".",""))=2,OR(1&gt;LEN(B628),MID(B628,1,1)=".",ISNUMBER(FIND("x"&amp;MID(B628,1,1),"x0x1x2x3x4x5x6x7x8x9"))),OR(2&gt;LEN(B628),MID(B628,2,1)=".",ISNUMBER(FIND("x"&amp;MID(B628,2,1),"x0x1x2x3x4x5x6x7x8x9"))),OR(3&gt;LEN(B628),MID(B628,3,1)=".",ISNUMBER(FIND("x"&amp;MID(B628,3,1),"x0x1x2x3x4x5x6x7x8x9"))),OR(4&gt;LEN(B628),MID(B628,4,1)=".",ISNUMBER(FIND("x"&amp;MID(B628,4,1),"x0x1x2x3x4x5x6x7x8x9"))),OR(5&gt;LEN(B628),MID(B628,5,1)=".",ISNUMBER(FIND("x"&amp;MID(B628,5,1),"x0x1x2x3x4x5x6x7x8x9"))),OR(6&gt;LEN(B628),MID(B628,6,1)=".",ISNUMBER(FIND("x"&amp;MID(B628,6,1),"x0x1x2x3x4x5x6x7x8x9"))),OR(7&gt;LEN(B628),MID(B628,7,1)=".",ISNUMBER(FIND("x"&amp;MID(B628,7,1),"x0x1x2x3x4x5x6x7x8x9"))),OR(8&gt;LEN(B628),MID(B628,8,1)=".",ISNUMBER(FIND("x"&amp;MID(B628,8,1),"x0x1x2x3x4x5x6x7x8x9"))),OR(9&gt;LEN(B628),MID(B628,9,1)=".",ISNUMBER(FIND("x"&amp;MID(B628,9,1),"x0x1x2x3x4x5x6x7x8x9"))),OR(10&gt;LEN(B628),MID(B628,10,1)=".",ISNUMBER(FIND("x"&amp;MID(B628,10,1),"x0x1x2x3x4x5x6x7x8x9"))),OR(AND(FIND(".",B628)=5,LEN(B628)-FIND(".",B628,FIND(".",B628)+1)&gt;=1,LEN(B628)-FIND(".",B628,FIND(".",B628)+1)&lt;=2),AND(LEN(B628)-FIND(".",B628,FIND(".",B628)+1)=4,FIND(".",B628)&gt;=2,FIND(".",B628)&lt;=3)),FIND(".",B628,FIND(".",B628)+1)-FIND(".",B628)&gt;=2,FIND(".",B628,FIND(".",B628)+1)-FIND(".",B628)&lt;=3,F628&gt;=2000,F628&lt;=2100,YEAR(I628)=F628,MONTH(I628)=G628,DAY(I628)=H628),I628,0)),0)</ns0:f>
        <ns0:v>0</ns0:v>
      </ns0:c>
      <ns0:c r="K628" s="0">
        <ns0:f>IFERROR(IF(ISNUMBER(Bookings!D628),"",TRIM(Bookings!D628&amp;"")),"")</ns0:f>
      </ns0:c>
      <ns0:c r="L628" s="0">
        <ns0:f>IFERROR(SUBSTITUTE(SUBSTITUTE(K628,"/","."),"-","."),"")</ns0:f>
      </ns0:c>
      <ns0:c r="M628" s="0">
        <ns0:f>IFERROR(LEFT(L628,FIND(".",L628)-1),"")</ns0:f>
      </ns0:c>
      <ns0:c r="N628" s="0">
        <ns0:f>IFERROR(MID(L628,FIND(".",L628)+1,FIND(".",L628,FIND(".",L628)+1)-FIND(".",L628)-1),"")</ns0:f>
      </ns0:c>
      <ns0:c r="O628" s="0">
        <ns0:f>IFERROR(MID(L628,FIND(".",L628,FIND(".",L628)+1)+1,99),"")</ns0:f>
        <ns0:v>99</ns0:v>
      </ns0:c>
      <ns0:c r="P628" s="0">
        <ns0:f>IFERROR(IF(FIND(".",L628)=5,--M628,--O628),0)</ns0:f>
        <ns0:v>0</ns0:v>
      </ns0:c>
      <ns0:c r="Q628" s="0">
        <ns0:f>IFERROR(--N628,0)</ns0:f>
        <ns0:v>0</ns0:v>
      </ns0:c>
      <ns0:c r="R628" s="0">
        <ns0:f>IFERROR(IF(FIND(".",L628)=5,--O628,--M628),0)</ns0:f>
        <ns0:v>0</ns0:v>
      </ns0:c>
      <ns0:c r="S628" s="0">
        <ns0:f>IFERROR(IF(AND(P628&gt;=2000,P628&lt;=2100,Q628&gt;=1,Q628&lt;=12,R628&gt;=1,R628&lt;=31),DATE(P628,Q628,R628),0),0)</ns0:f>
        <ns0:v>0</ns0:v>
      </ns0:c>
      <ns0:c r="T628" s="0">
        <ns0:f>IFERROR(IF(ISNUMBER(Bookings!D628),IF(AND(Bookings!D628=INT(Bookings!D628),Bookings!D628&gt;=DATE(2000,1,1),Bookings!D628&lt;=DATE(2100,12,31)),Bookings!D628,0),IF(AND(K628&lt;&gt;"",LEN("x"&amp;L628)-LEN(SUBSTITUTE("x"&amp;L628,".",""))=2,OR(1&gt;LEN(L628),MID(L628,1,1)=".",ISNUMBER(FIND("x"&amp;MID(L628,1,1),"x0x1x2x3x4x5x6x7x8x9"))),OR(2&gt;LEN(L628),MID(L628,2,1)=".",ISNUMBER(FIND("x"&amp;MID(L628,2,1),"x0x1x2x3x4x5x6x7x8x9"))),OR(3&gt;LEN(L628),MID(L628,3,1)=".",ISNUMBER(FIND("x"&amp;MID(L628,3,1),"x0x1x2x3x4x5x6x7x8x9"))),OR(4&gt;LEN(L628),MID(L628,4,1)=".",ISNUMBER(FIND("x"&amp;MID(L628,4,1),"x0x1x2x3x4x5x6x7x8x9"))),OR(5&gt;LEN(L628),MID(L628,5,1)=".",ISNUMBER(FIND("x"&amp;MID(L628,5,1),"x0x1x2x3x4x5x6x7x8x9"))),OR(6&gt;LEN(L628),MID(L628,6,1)=".",ISNUMBER(FIND("x"&amp;MID(L628,6,1),"x0x1x2x3x4x5x6x7x8x9"))),OR(7&gt;LEN(L628),MID(L628,7,1)=".",ISNUMBER(FIND("x"&amp;MID(L628,7,1),"x0x1x2x3x4x5x6x7x8x9"))),OR(8&gt;LEN(L628),MID(L628,8,1)=".",ISNUMBER(FIND("x"&amp;MID(L628,8,1),"x0x1x2x3x4x5x6x7x8x9"))),OR(9&gt;LEN(L628),MID(L628,9,1)=".",ISNUMBER(FIND("x"&amp;MID(L628,9,1),"x0x1x2x3x4x5x6x7x8x9"))),OR(10&gt;LEN(L628),MID(L628,10,1)=".",ISNUMBER(FIND("x"&amp;MID(L628,10,1),"x0x1x2x3x4x5x6x7x8x9"))),OR(AND(FIND(".",L628)=5,LEN(L628)-FIND(".",L628,FIND(".",L628)+1)&gt;=1,LEN(L628)-FIND(".",L628,FIND(".",L628)+1)&lt;=2),AND(LEN(L628)-FIND(".",L628,FIND(".",L628)+1)=4,FIND(".",L628)&gt;=2,FIND(".",L628)&lt;=3)),FIND(".",L628,FIND(".",L628)+1)-FIND(".",L628)&gt;=2,FIND(".",L628,FIND(".",L628)+1)-FIND(".",L628)&lt;=3,P628&gt;=2000,P628&lt;=2100,YEAR(S628)=P628,MONTH(S628)=Q628,DAY(S628)=R628),S628,0)),0)</ns0:f>
        <ns0:v>0</ns0:v>
      </ns0:c>
      <ns0:c r="U628" s="0" t="str">
        <ns0:f>IF(Bookings!C628="","Full day",Bookings!C628)</ns0:f>
        <ns0:v>Full day</ns0:v>
      </ns0:c>
      <ns0:c r="V628" s="0" t="str">
        <ns0:f>IF(Bookings!E628="","Full day",Bookings!E628)</ns0:f>
        <ns0:v>Full day</ns0:v>
      </ns0:c>
      <ns0:c r="W628" s="0">
        <ns0:f>IF(J628=0,0,J628+IF(U628="PM",1,0))</ns0:f>
        <ns0:v>0</ns0:v>
      </ns0:c>
      <ns0:c r="X628" s="0">
        <ns0:f>IF(T628=0,0,T628-IF(V628="PM",1,0))</ns0:f>
        <ns0:v>0</ns0:v>
      </ns0:c>
      <ns0:c r="Y628" s="0">
        <ns0:f>IF(J628=0,0,J628+IF(U628="AM",1,0))</ns0:f>
        <ns0:v>0</ns0:v>
      </ns0:c>
      <ns0:c r="Z628" s="0">
        <ns0:f>IF(T628=0,0,T628-IF(V628="AM",1,0))</ns0:f>
        <ns0:v>0</ns0:v>
      </ns0:c>
      <ns0:c r="AA628" s="0">
        <ns0:f>IFERROR(IF(AND(J628&gt;0,'_Engine'!C628&gt;0,MID('_Engine'!W628,WEEKDAY(J628,2),1)="W",COUNTIF(Settings!$F$18:$F$67,J628)=0),1,0),0)</ns0:f>
        <ns0:v>0</ns0:v>
      </ns0:c>
      <ns0:c r="AB628" s="0">
        <ns0:f>IFERROR(IF(AND(T628&gt;0,'_Engine'!C628&gt;0,MID('_Engine'!W628,WEEKDAY(T628,2),1)="W",COUNTIF(Settings!$F$18:$F$67,T628)=0),1,0),0)</ns0:f>
        <ns0:v>0</ns0:v>
      </ns0:c>
      <ns0:c r="AC628" s="0">
        <ns0:f>IF(AND(J628&gt;0,T628&gt;0,W628&lt;=X628),1,0)</ns0:f>
        <ns0:v>0</ns0:v>
      </ns0:c>
      <ns0:c r="AD628" s="0">
        <ns0:f>IF(AND(J628&gt;0,T628&gt;0,Y628&lt;=Z628),1,0)</ns0:f>
        <ns0:v>0</ns0:v>
      </ns0:c>
    </ns0:row>
    <ns0:row r="629">
      <ns0:c r="A629" s="0">
        <ns0:f>IFERROR(IF(ISNUMBER(Bookings!B629),"",TRIM(Bookings!B629&amp;"")),"")</ns0:f>
      </ns0:c>
      <ns0:c r="B629" s="0">
        <ns0:f>IFERROR(SUBSTITUTE(SUBSTITUTE(A629,"/","."),"-","."),"")</ns0:f>
      </ns0:c>
      <ns0:c r="C629" s="0">
        <ns0:f>IFERROR(LEFT(B629,FIND(".",B629)-1),"")</ns0:f>
      </ns0:c>
      <ns0:c r="D629" s="0">
        <ns0:f>IFERROR(MID(B629,FIND(".",B629)+1,FIND(".",B629,FIND(".",B629)+1)-FIND(".",B629)-1),"")</ns0:f>
      </ns0:c>
      <ns0:c r="E629" s="0">
        <ns0:f>IFERROR(MID(B629,FIND(".",B629,FIND(".",B629)+1)+1,99),"")</ns0:f>
        <ns0:v>99</ns0:v>
      </ns0:c>
      <ns0:c r="F629" s="0">
        <ns0:f>IFERROR(IF(FIND(".",B629)=5,--C629,--E629),0)</ns0:f>
        <ns0:v>0</ns0:v>
      </ns0:c>
      <ns0:c r="G629" s="0">
        <ns0:f>IFERROR(--D629,0)</ns0:f>
        <ns0:v>0</ns0:v>
      </ns0:c>
      <ns0:c r="H629" s="0">
        <ns0:f>IFERROR(IF(FIND(".",B629)=5,--E629,--C629),0)</ns0:f>
        <ns0:v>0</ns0:v>
      </ns0:c>
      <ns0:c r="I629" s="0">
        <ns0:f>IFERROR(IF(AND(F629&gt;=2000,F629&lt;=2100,G629&gt;=1,G629&lt;=12,H629&gt;=1,H629&lt;=31),DATE(F629,G629,H629),0),0)</ns0:f>
        <ns0:v>0</ns0:v>
      </ns0:c>
      <ns0:c r="J629" s="0">
        <ns0:f>IFERROR(IF(ISNUMBER(Bookings!B629),IF(AND(Bookings!B629=INT(Bookings!B629),Bookings!B629&gt;=DATE(2000,1,1),Bookings!B629&lt;=DATE(2100,12,31)),Bookings!B629,0),IF(AND(A629&lt;&gt;"",LEN("x"&amp;B629)-LEN(SUBSTITUTE("x"&amp;B629,".",""))=2,OR(1&gt;LEN(B629),MID(B629,1,1)=".",ISNUMBER(FIND("x"&amp;MID(B629,1,1),"x0x1x2x3x4x5x6x7x8x9"))),OR(2&gt;LEN(B629),MID(B629,2,1)=".",ISNUMBER(FIND("x"&amp;MID(B629,2,1),"x0x1x2x3x4x5x6x7x8x9"))),OR(3&gt;LEN(B629),MID(B629,3,1)=".",ISNUMBER(FIND("x"&amp;MID(B629,3,1),"x0x1x2x3x4x5x6x7x8x9"))),OR(4&gt;LEN(B629),MID(B629,4,1)=".",ISNUMBER(FIND("x"&amp;MID(B629,4,1),"x0x1x2x3x4x5x6x7x8x9"))),OR(5&gt;LEN(B629),MID(B629,5,1)=".",ISNUMBER(FIND("x"&amp;MID(B629,5,1),"x0x1x2x3x4x5x6x7x8x9"))),OR(6&gt;LEN(B629),MID(B629,6,1)=".",ISNUMBER(FIND("x"&amp;MID(B629,6,1),"x0x1x2x3x4x5x6x7x8x9"))),OR(7&gt;LEN(B629),MID(B629,7,1)=".",ISNUMBER(FIND("x"&amp;MID(B629,7,1),"x0x1x2x3x4x5x6x7x8x9"))),OR(8&gt;LEN(B629),MID(B629,8,1)=".",ISNUMBER(FIND("x"&amp;MID(B629,8,1),"x0x1x2x3x4x5x6x7x8x9"))),OR(9&gt;LEN(B629),MID(B629,9,1)=".",ISNUMBER(FIND("x"&amp;MID(B629,9,1),"x0x1x2x3x4x5x6x7x8x9"))),OR(10&gt;LEN(B629),MID(B629,10,1)=".",ISNUMBER(FIND("x"&amp;MID(B629,10,1),"x0x1x2x3x4x5x6x7x8x9"))),OR(AND(FIND(".",B629)=5,LEN(B629)-FIND(".",B629,FIND(".",B629)+1)&gt;=1,LEN(B629)-FIND(".",B629,FIND(".",B629)+1)&lt;=2),AND(LEN(B629)-FIND(".",B629,FIND(".",B629)+1)=4,FIND(".",B629)&gt;=2,FIND(".",B629)&lt;=3)),FIND(".",B629,FIND(".",B629)+1)-FIND(".",B629)&gt;=2,FIND(".",B629,FIND(".",B629)+1)-FIND(".",B629)&lt;=3,F629&gt;=2000,F629&lt;=2100,YEAR(I629)=F629,MONTH(I629)=G629,DAY(I629)=H629),I629,0)),0)</ns0:f>
        <ns0:v>0</ns0:v>
      </ns0:c>
      <ns0:c r="K629" s="0">
        <ns0:f>IFERROR(IF(ISNUMBER(Bookings!D629),"",TRIM(Bookings!D629&amp;"")),"")</ns0:f>
      </ns0:c>
      <ns0:c r="L629" s="0">
        <ns0:f>IFERROR(SUBSTITUTE(SUBSTITUTE(K629,"/","."),"-","."),"")</ns0:f>
      </ns0:c>
      <ns0:c r="M629" s="0">
        <ns0:f>IFERROR(LEFT(L629,FIND(".",L629)-1),"")</ns0:f>
      </ns0:c>
      <ns0:c r="N629" s="0">
        <ns0:f>IFERROR(MID(L629,FIND(".",L629)+1,FIND(".",L629,FIND(".",L629)+1)-FIND(".",L629)-1),"")</ns0:f>
      </ns0:c>
      <ns0:c r="O629" s="0">
        <ns0:f>IFERROR(MID(L629,FIND(".",L629,FIND(".",L629)+1)+1,99),"")</ns0:f>
        <ns0:v>99</ns0:v>
      </ns0:c>
      <ns0:c r="P629" s="0">
        <ns0:f>IFERROR(IF(FIND(".",L629)=5,--M629,--O629),0)</ns0:f>
        <ns0:v>0</ns0:v>
      </ns0:c>
      <ns0:c r="Q629" s="0">
        <ns0:f>IFERROR(--N629,0)</ns0:f>
        <ns0:v>0</ns0:v>
      </ns0:c>
      <ns0:c r="R629" s="0">
        <ns0:f>IFERROR(IF(FIND(".",L629)=5,--O629,--M629),0)</ns0:f>
        <ns0:v>0</ns0:v>
      </ns0:c>
      <ns0:c r="S629" s="0">
        <ns0:f>IFERROR(IF(AND(P629&gt;=2000,P629&lt;=2100,Q629&gt;=1,Q629&lt;=12,R629&gt;=1,R629&lt;=31),DATE(P629,Q629,R629),0),0)</ns0:f>
        <ns0:v>0</ns0:v>
      </ns0:c>
      <ns0:c r="T629" s="0">
        <ns0:f>IFERROR(IF(ISNUMBER(Bookings!D629),IF(AND(Bookings!D629=INT(Bookings!D629),Bookings!D629&gt;=DATE(2000,1,1),Bookings!D629&lt;=DATE(2100,12,31)),Bookings!D629,0),IF(AND(K629&lt;&gt;"",LEN("x"&amp;L629)-LEN(SUBSTITUTE("x"&amp;L629,".",""))=2,OR(1&gt;LEN(L629),MID(L629,1,1)=".",ISNUMBER(FIND("x"&amp;MID(L629,1,1),"x0x1x2x3x4x5x6x7x8x9"))),OR(2&gt;LEN(L629),MID(L629,2,1)=".",ISNUMBER(FIND("x"&amp;MID(L629,2,1),"x0x1x2x3x4x5x6x7x8x9"))),OR(3&gt;LEN(L629),MID(L629,3,1)=".",ISNUMBER(FIND("x"&amp;MID(L629,3,1),"x0x1x2x3x4x5x6x7x8x9"))),OR(4&gt;LEN(L629),MID(L629,4,1)=".",ISNUMBER(FIND("x"&amp;MID(L629,4,1),"x0x1x2x3x4x5x6x7x8x9"))),OR(5&gt;LEN(L629),MID(L629,5,1)=".",ISNUMBER(FIND("x"&amp;MID(L629,5,1),"x0x1x2x3x4x5x6x7x8x9"))),OR(6&gt;LEN(L629),MID(L629,6,1)=".",ISNUMBER(FIND("x"&amp;MID(L629,6,1),"x0x1x2x3x4x5x6x7x8x9"))),OR(7&gt;LEN(L629),MID(L629,7,1)=".",ISNUMBER(FIND("x"&amp;MID(L629,7,1),"x0x1x2x3x4x5x6x7x8x9"))),OR(8&gt;LEN(L629),MID(L629,8,1)=".",ISNUMBER(FIND("x"&amp;MID(L629,8,1),"x0x1x2x3x4x5x6x7x8x9"))),OR(9&gt;LEN(L629),MID(L629,9,1)=".",ISNUMBER(FIND("x"&amp;MID(L629,9,1),"x0x1x2x3x4x5x6x7x8x9"))),OR(10&gt;LEN(L629),MID(L629,10,1)=".",ISNUMBER(FIND("x"&amp;MID(L629,10,1),"x0x1x2x3x4x5x6x7x8x9"))),OR(AND(FIND(".",L629)=5,LEN(L629)-FIND(".",L629,FIND(".",L629)+1)&gt;=1,LEN(L629)-FIND(".",L629,FIND(".",L629)+1)&lt;=2),AND(LEN(L629)-FIND(".",L629,FIND(".",L629)+1)=4,FIND(".",L629)&gt;=2,FIND(".",L629)&lt;=3)),FIND(".",L629,FIND(".",L629)+1)-FIND(".",L629)&gt;=2,FIND(".",L629,FIND(".",L629)+1)-FIND(".",L629)&lt;=3,P629&gt;=2000,P629&lt;=2100,YEAR(S629)=P629,MONTH(S629)=Q629,DAY(S629)=R629),S629,0)),0)</ns0:f>
        <ns0:v>0</ns0:v>
      </ns0:c>
      <ns0:c r="U629" s="0" t="str">
        <ns0:f>IF(Bookings!C629="","Full day",Bookings!C629)</ns0:f>
        <ns0:v>Full day</ns0:v>
      </ns0:c>
      <ns0:c r="V629" s="0" t="str">
        <ns0:f>IF(Bookings!E629="","Full day",Bookings!E629)</ns0:f>
        <ns0:v>Full day</ns0:v>
      </ns0:c>
      <ns0:c r="W629" s="0">
        <ns0:f>IF(J629=0,0,J629+IF(U629="PM",1,0))</ns0:f>
        <ns0:v>0</ns0:v>
      </ns0:c>
      <ns0:c r="X629" s="0">
        <ns0:f>IF(T629=0,0,T629-IF(V629="PM",1,0))</ns0:f>
        <ns0:v>0</ns0:v>
      </ns0:c>
      <ns0:c r="Y629" s="0">
        <ns0:f>IF(J629=0,0,J629+IF(U629="AM",1,0))</ns0:f>
        <ns0:v>0</ns0:v>
      </ns0:c>
      <ns0:c r="Z629" s="0">
        <ns0:f>IF(T629=0,0,T629-IF(V629="AM",1,0))</ns0:f>
        <ns0:v>0</ns0:v>
      </ns0:c>
      <ns0:c r="AA629" s="0">
        <ns0:f>IFERROR(IF(AND(J629&gt;0,'_Engine'!C629&gt;0,MID('_Engine'!W629,WEEKDAY(J629,2),1)="W",COUNTIF(Settings!$F$18:$F$67,J629)=0),1,0),0)</ns0:f>
        <ns0:v>0</ns0:v>
      </ns0:c>
      <ns0:c r="AB629" s="0">
        <ns0:f>IFERROR(IF(AND(T629&gt;0,'_Engine'!C629&gt;0,MID('_Engine'!W629,WEEKDAY(T629,2),1)="W",COUNTIF(Settings!$F$18:$F$67,T629)=0),1,0),0)</ns0:f>
        <ns0:v>0</ns0:v>
      </ns0:c>
      <ns0:c r="AC629" s="0">
        <ns0:f>IF(AND(J629&gt;0,T629&gt;0,W629&lt;=X629),1,0)</ns0:f>
        <ns0:v>0</ns0:v>
      </ns0:c>
      <ns0:c r="AD629" s="0">
        <ns0:f>IF(AND(J629&gt;0,T629&gt;0,Y629&lt;=Z629),1,0)</ns0:f>
        <ns0:v>0</ns0:v>
      </ns0:c>
    </ns0:row>
    <ns0:row r="630">
      <ns0:c r="A630" s="0">
        <ns0:f>IFERROR(IF(ISNUMBER(Bookings!B630),"",TRIM(Bookings!B630&amp;"")),"")</ns0:f>
      </ns0:c>
      <ns0:c r="B630" s="0">
        <ns0:f>IFERROR(SUBSTITUTE(SUBSTITUTE(A630,"/","."),"-","."),"")</ns0:f>
      </ns0:c>
      <ns0:c r="C630" s="0">
        <ns0:f>IFERROR(LEFT(B630,FIND(".",B630)-1),"")</ns0:f>
      </ns0:c>
      <ns0:c r="D630" s="0">
        <ns0:f>IFERROR(MID(B630,FIND(".",B630)+1,FIND(".",B630,FIND(".",B630)+1)-FIND(".",B630)-1),"")</ns0:f>
      </ns0:c>
      <ns0:c r="E630" s="0">
        <ns0:f>IFERROR(MID(B630,FIND(".",B630,FIND(".",B630)+1)+1,99),"")</ns0:f>
        <ns0:v>99</ns0:v>
      </ns0:c>
      <ns0:c r="F630" s="0">
        <ns0:f>IFERROR(IF(FIND(".",B630)=5,--C630,--E630),0)</ns0:f>
        <ns0:v>0</ns0:v>
      </ns0:c>
      <ns0:c r="G630" s="0">
        <ns0:f>IFERROR(--D630,0)</ns0:f>
        <ns0:v>0</ns0:v>
      </ns0:c>
      <ns0:c r="H630" s="0">
        <ns0:f>IFERROR(IF(FIND(".",B630)=5,--E630,--C630),0)</ns0:f>
        <ns0:v>0</ns0:v>
      </ns0:c>
      <ns0:c r="I630" s="0">
        <ns0:f>IFERROR(IF(AND(F630&gt;=2000,F630&lt;=2100,G630&gt;=1,G630&lt;=12,H630&gt;=1,H630&lt;=31),DATE(F630,G630,H630),0),0)</ns0:f>
        <ns0:v>0</ns0:v>
      </ns0:c>
      <ns0:c r="J630" s="0">
        <ns0:f>IFERROR(IF(ISNUMBER(Bookings!B630),IF(AND(Bookings!B630=INT(Bookings!B630),Bookings!B630&gt;=DATE(2000,1,1),Bookings!B630&lt;=DATE(2100,12,31)),Bookings!B630,0),IF(AND(A630&lt;&gt;"",LEN("x"&amp;B630)-LEN(SUBSTITUTE("x"&amp;B630,".",""))=2,OR(1&gt;LEN(B630),MID(B630,1,1)=".",ISNUMBER(FIND("x"&amp;MID(B630,1,1),"x0x1x2x3x4x5x6x7x8x9"))),OR(2&gt;LEN(B630),MID(B630,2,1)=".",ISNUMBER(FIND("x"&amp;MID(B630,2,1),"x0x1x2x3x4x5x6x7x8x9"))),OR(3&gt;LEN(B630),MID(B630,3,1)=".",ISNUMBER(FIND("x"&amp;MID(B630,3,1),"x0x1x2x3x4x5x6x7x8x9"))),OR(4&gt;LEN(B630),MID(B630,4,1)=".",ISNUMBER(FIND("x"&amp;MID(B630,4,1),"x0x1x2x3x4x5x6x7x8x9"))),OR(5&gt;LEN(B630),MID(B630,5,1)=".",ISNUMBER(FIND("x"&amp;MID(B630,5,1),"x0x1x2x3x4x5x6x7x8x9"))),OR(6&gt;LEN(B630),MID(B630,6,1)=".",ISNUMBER(FIND("x"&amp;MID(B630,6,1),"x0x1x2x3x4x5x6x7x8x9"))),OR(7&gt;LEN(B630),MID(B630,7,1)=".",ISNUMBER(FIND("x"&amp;MID(B630,7,1),"x0x1x2x3x4x5x6x7x8x9"))),OR(8&gt;LEN(B630),MID(B630,8,1)=".",ISNUMBER(FIND("x"&amp;MID(B630,8,1),"x0x1x2x3x4x5x6x7x8x9"))),OR(9&gt;LEN(B630),MID(B630,9,1)=".",ISNUMBER(FIND("x"&amp;MID(B630,9,1),"x0x1x2x3x4x5x6x7x8x9"))),OR(10&gt;LEN(B630),MID(B630,10,1)=".",ISNUMBER(FIND("x"&amp;MID(B630,10,1),"x0x1x2x3x4x5x6x7x8x9"))),OR(AND(FIND(".",B630)=5,LEN(B630)-FIND(".",B630,FIND(".",B630)+1)&gt;=1,LEN(B630)-FIND(".",B630,FIND(".",B630)+1)&lt;=2),AND(LEN(B630)-FIND(".",B630,FIND(".",B630)+1)=4,FIND(".",B630)&gt;=2,FIND(".",B630)&lt;=3)),FIND(".",B630,FIND(".",B630)+1)-FIND(".",B630)&gt;=2,FIND(".",B630,FIND(".",B630)+1)-FIND(".",B630)&lt;=3,F630&gt;=2000,F630&lt;=2100,YEAR(I630)=F630,MONTH(I630)=G630,DAY(I630)=H630),I630,0)),0)</ns0:f>
        <ns0:v>0</ns0:v>
      </ns0:c>
      <ns0:c r="K630" s="0">
        <ns0:f>IFERROR(IF(ISNUMBER(Bookings!D630),"",TRIM(Bookings!D630&amp;"")),"")</ns0:f>
      </ns0:c>
      <ns0:c r="L630" s="0">
        <ns0:f>IFERROR(SUBSTITUTE(SUBSTITUTE(K630,"/","."),"-","."),"")</ns0:f>
      </ns0:c>
      <ns0:c r="M630" s="0">
        <ns0:f>IFERROR(LEFT(L630,FIND(".",L630)-1),"")</ns0:f>
      </ns0:c>
      <ns0:c r="N630" s="0">
        <ns0:f>IFERROR(MID(L630,FIND(".",L630)+1,FIND(".",L630,FIND(".",L630)+1)-FIND(".",L630)-1),"")</ns0:f>
      </ns0:c>
      <ns0:c r="O630" s="0">
        <ns0:f>IFERROR(MID(L630,FIND(".",L630,FIND(".",L630)+1)+1,99),"")</ns0:f>
        <ns0:v>99</ns0:v>
      </ns0:c>
      <ns0:c r="P630" s="0">
        <ns0:f>IFERROR(IF(FIND(".",L630)=5,--M630,--O630),0)</ns0:f>
        <ns0:v>0</ns0:v>
      </ns0:c>
      <ns0:c r="Q630" s="0">
        <ns0:f>IFERROR(--N630,0)</ns0:f>
        <ns0:v>0</ns0:v>
      </ns0:c>
      <ns0:c r="R630" s="0">
        <ns0:f>IFERROR(IF(FIND(".",L630)=5,--O630,--M630),0)</ns0:f>
        <ns0:v>0</ns0:v>
      </ns0:c>
      <ns0:c r="S630" s="0">
        <ns0:f>IFERROR(IF(AND(P630&gt;=2000,P630&lt;=2100,Q630&gt;=1,Q630&lt;=12,R630&gt;=1,R630&lt;=31),DATE(P630,Q630,R630),0),0)</ns0:f>
        <ns0:v>0</ns0:v>
      </ns0:c>
      <ns0:c r="T630" s="0">
        <ns0:f>IFERROR(IF(ISNUMBER(Bookings!D630),IF(AND(Bookings!D630=INT(Bookings!D630),Bookings!D630&gt;=DATE(2000,1,1),Bookings!D630&lt;=DATE(2100,12,31)),Bookings!D630,0),IF(AND(K630&lt;&gt;"",LEN("x"&amp;L630)-LEN(SUBSTITUTE("x"&amp;L630,".",""))=2,OR(1&gt;LEN(L630),MID(L630,1,1)=".",ISNUMBER(FIND("x"&amp;MID(L630,1,1),"x0x1x2x3x4x5x6x7x8x9"))),OR(2&gt;LEN(L630),MID(L630,2,1)=".",ISNUMBER(FIND("x"&amp;MID(L630,2,1),"x0x1x2x3x4x5x6x7x8x9"))),OR(3&gt;LEN(L630),MID(L630,3,1)=".",ISNUMBER(FIND("x"&amp;MID(L630,3,1),"x0x1x2x3x4x5x6x7x8x9"))),OR(4&gt;LEN(L630),MID(L630,4,1)=".",ISNUMBER(FIND("x"&amp;MID(L630,4,1),"x0x1x2x3x4x5x6x7x8x9"))),OR(5&gt;LEN(L630),MID(L630,5,1)=".",ISNUMBER(FIND("x"&amp;MID(L630,5,1),"x0x1x2x3x4x5x6x7x8x9"))),OR(6&gt;LEN(L630),MID(L630,6,1)=".",ISNUMBER(FIND("x"&amp;MID(L630,6,1),"x0x1x2x3x4x5x6x7x8x9"))),OR(7&gt;LEN(L630),MID(L630,7,1)=".",ISNUMBER(FIND("x"&amp;MID(L630,7,1),"x0x1x2x3x4x5x6x7x8x9"))),OR(8&gt;LEN(L630),MID(L630,8,1)=".",ISNUMBER(FIND("x"&amp;MID(L630,8,1),"x0x1x2x3x4x5x6x7x8x9"))),OR(9&gt;LEN(L630),MID(L630,9,1)=".",ISNUMBER(FIND("x"&amp;MID(L630,9,1),"x0x1x2x3x4x5x6x7x8x9"))),OR(10&gt;LEN(L630),MID(L630,10,1)=".",ISNUMBER(FIND("x"&amp;MID(L630,10,1),"x0x1x2x3x4x5x6x7x8x9"))),OR(AND(FIND(".",L630)=5,LEN(L630)-FIND(".",L630,FIND(".",L630)+1)&gt;=1,LEN(L630)-FIND(".",L630,FIND(".",L630)+1)&lt;=2),AND(LEN(L630)-FIND(".",L630,FIND(".",L630)+1)=4,FIND(".",L630)&gt;=2,FIND(".",L630)&lt;=3)),FIND(".",L630,FIND(".",L630)+1)-FIND(".",L630)&gt;=2,FIND(".",L630,FIND(".",L630)+1)-FIND(".",L630)&lt;=3,P630&gt;=2000,P630&lt;=2100,YEAR(S630)=P630,MONTH(S630)=Q630,DAY(S630)=R630),S630,0)),0)</ns0:f>
        <ns0:v>0</ns0:v>
      </ns0:c>
      <ns0:c r="U630" s="0" t="str">
        <ns0:f>IF(Bookings!C630="","Full day",Bookings!C630)</ns0:f>
        <ns0:v>Full day</ns0:v>
      </ns0:c>
      <ns0:c r="V630" s="0" t="str">
        <ns0:f>IF(Bookings!E630="","Full day",Bookings!E630)</ns0:f>
        <ns0:v>Full day</ns0:v>
      </ns0:c>
      <ns0:c r="W630" s="0">
        <ns0:f>IF(J630=0,0,J630+IF(U630="PM",1,0))</ns0:f>
        <ns0:v>0</ns0:v>
      </ns0:c>
      <ns0:c r="X630" s="0">
        <ns0:f>IF(T630=0,0,T630-IF(V630="PM",1,0))</ns0:f>
        <ns0:v>0</ns0:v>
      </ns0:c>
      <ns0:c r="Y630" s="0">
        <ns0:f>IF(J630=0,0,J630+IF(U630="AM",1,0))</ns0:f>
        <ns0:v>0</ns0:v>
      </ns0:c>
      <ns0:c r="Z630" s="0">
        <ns0:f>IF(T630=0,0,T630-IF(V630="AM",1,0))</ns0:f>
        <ns0:v>0</ns0:v>
      </ns0:c>
      <ns0:c r="AA630" s="0">
        <ns0:f>IFERROR(IF(AND(J630&gt;0,'_Engine'!C630&gt;0,MID('_Engine'!W630,WEEKDAY(J630,2),1)="W",COUNTIF(Settings!$F$18:$F$67,J630)=0),1,0),0)</ns0:f>
        <ns0:v>0</ns0:v>
      </ns0:c>
      <ns0:c r="AB630" s="0">
        <ns0:f>IFERROR(IF(AND(T630&gt;0,'_Engine'!C630&gt;0,MID('_Engine'!W630,WEEKDAY(T630,2),1)="W",COUNTIF(Settings!$F$18:$F$67,T630)=0),1,0),0)</ns0:f>
        <ns0:v>0</ns0:v>
      </ns0:c>
      <ns0:c r="AC630" s="0">
        <ns0:f>IF(AND(J630&gt;0,T630&gt;0,W630&lt;=X630),1,0)</ns0:f>
        <ns0:v>0</ns0:v>
      </ns0:c>
      <ns0:c r="AD630" s="0">
        <ns0:f>IF(AND(J630&gt;0,T630&gt;0,Y630&lt;=Z630),1,0)</ns0:f>
        <ns0:v>0</ns0:v>
      </ns0:c>
    </ns0:row>
    <ns0:row r="631">
      <ns0:c r="A631" s="0">
        <ns0:f>IFERROR(IF(ISNUMBER(Bookings!B631),"",TRIM(Bookings!B631&amp;"")),"")</ns0:f>
      </ns0:c>
      <ns0:c r="B631" s="0">
        <ns0:f>IFERROR(SUBSTITUTE(SUBSTITUTE(A631,"/","."),"-","."),"")</ns0:f>
      </ns0:c>
      <ns0:c r="C631" s="0">
        <ns0:f>IFERROR(LEFT(B631,FIND(".",B631)-1),"")</ns0:f>
      </ns0:c>
      <ns0:c r="D631" s="0">
        <ns0:f>IFERROR(MID(B631,FIND(".",B631)+1,FIND(".",B631,FIND(".",B631)+1)-FIND(".",B631)-1),"")</ns0:f>
      </ns0:c>
      <ns0:c r="E631" s="0">
        <ns0:f>IFERROR(MID(B631,FIND(".",B631,FIND(".",B631)+1)+1,99),"")</ns0:f>
        <ns0:v>99</ns0:v>
      </ns0:c>
      <ns0:c r="F631" s="0">
        <ns0:f>IFERROR(IF(FIND(".",B631)=5,--C631,--E631),0)</ns0:f>
        <ns0:v>0</ns0:v>
      </ns0:c>
      <ns0:c r="G631" s="0">
        <ns0:f>IFERROR(--D631,0)</ns0:f>
        <ns0:v>0</ns0:v>
      </ns0:c>
      <ns0:c r="H631" s="0">
        <ns0:f>IFERROR(IF(FIND(".",B631)=5,--E631,--C631),0)</ns0:f>
        <ns0:v>0</ns0:v>
      </ns0:c>
      <ns0:c r="I631" s="0">
        <ns0:f>IFERROR(IF(AND(F631&gt;=2000,F631&lt;=2100,G631&gt;=1,G631&lt;=12,H631&gt;=1,H631&lt;=31),DATE(F631,G631,H631),0),0)</ns0:f>
        <ns0:v>0</ns0:v>
      </ns0:c>
      <ns0:c r="J631" s="0">
        <ns0:f>IFERROR(IF(ISNUMBER(Bookings!B631),IF(AND(Bookings!B631=INT(Bookings!B631),Bookings!B631&gt;=DATE(2000,1,1),Bookings!B631&lt;=DATE(2100,12,31)),Bookings!B631,0),IF(AND(A631&lt;&gt;"",LEN("x"&amp;B631)-LEN(SUBSTITUTE("x"&amp;B631,".",""))=2,OR(1&gt;LEN(B631),MID(B631,1,1)=".",ISNUMBER(FIND("x"&amp;MID(B631,1,1),"x0x1x2x3x4x5x6x7x8x9"))),OR(2&gt;LEN(B631),MID(B631,2,1)=".",ISNUMBER(FIND("x"&amp;MID(B631,2,1),"x0x1x2x3x4x5x6x7x8x9"))),OR(3&gt;LEN(B631),MID(B631,3,1)=".",ISNUMBER(FIND("x"&amp;MID(B631,3,1),"x0x1x2x3x4x5x6x7x8x9"))),OR(4&gt;LEN(B631),MID(B631,4,1)=".",ISNUMBER(FIND("x"&amp;MID(B631,4,1),"x0x1x2x3x4x5x6x7x8x9"))),OR(5&gt;LEN(B631),MID(B631,5,1)=".",ISNUMBER(FIND("x"&amp;MID(B631,5,1),"x0x1x2x3x4x5x6x7x8x9"))),OR(6&gt;LEN(B631),MID(B631,6,1)=".",ISNUMBER(FIND("x"&amp;MID(B631,6,1),"x0x1x2x3x4x5x6x7x8x9"))),OR(7&gt;LEN(B631),MID(B631,7,1)=".",ISNUMBER(FIND("x"&amp;MID(B631,7,1),"x0x1x2x3x4x5x6x7x8x9"))),OR(8&gt;LEN(B631),MID(B631,8,1)=".",ISNUMBER(FIND("x"&amp;MID(B631,8,1),"x0x1x2x3x4x5x6x7x8x9"))),OR(9&gt;LEN(B631),MID(B631,9,1)=".",ISNUMBER(FIND("x"&amp;MID(B631,9,1),"x0x1x2x3x4x5x6x7x8x9"))),OR(10&gt;LEN(B631),MID(B631,10,1)=".",ISNUMBER(FIND("x"&amp;MID(B631,10,1),"x0x1x2x3x4x5x6x7x8x9"))),OR(AND(FIND(".",B631)=5,LEN(B631)-FIND(".",B631,FIND(".",B631)+1)&gt;=1,LEN(B631)-FIND(".",B631,FIND(".",B631)+1)&lt;=2),AND(LEN(B631)-FIND(".",B631,FIND(".",B631)+1)=4,FIND(".",B631)&gt;=2,FIND(".",B631)&lt;=3)),FIND(".",B631,FIND(".",B631)+1)-FIND(".",B631)&gt;=2,FIND(".",B631,FIND(".",B631)+1)-FIND(".",B631)&lt;=3,F631&gt;=2000,F631&lt;=2100,YEAR(I631)=F631,MONTH(I631)=G631,DAY(I631)=H631),I631,0)),0)</ns0:f>
        <ns0:v>0</ns0:v>
      </ns0:c>
      <ns0:c r="K631" s="0">
        <ns0:f>IFERROR(IF(ISNUMBER(Bookings!D631),"",TRIM(Bookings!D631&amp;"")),"")</ns0:f>
      </ns0:c>
      <ns0:c r="L631" s="0">
        <ns0:f>IFERROR(SUBSTITUTE(SUBSTITUTE(K631,"/","."),"-","."),"")</ns0:f>
      </ns0:c>
      <ns0:c r="M631" s="0">
        <ns0:f>IFERROR(LEFT(L631,FIND(".",L631)-1),"")</ns0:f>
      </ns0:c>
      <ns0:c r="N631" s="0">
        <ns0:f>IFERROR(MID(L631,FIND(".",L631)+1,FIND(".",L631,FIND(".",L631)+1)-FIND(".",L631)-1),"")</ns0:f>
      </ns0:c>
      <ns0:c r="O631" s="0">
        <ns0:f>IFERROR(MID(L631,FIND(".",L631,FIND(".",L631)+1)+1,99),"")</ns0:f>
        <ns0:v>99</ns0:v>
      </ns0:c>
      <ns0:c r="P631" s="0">
        <ns0:f>IFERROR(IF(FIND(".",L631)=5,--M631,--O631),0)</ns0:f>
        <ns0:v>0</ns0:v>
      </ns0:c>
      <ns0:c r="Q631" s="0">
        <ns0:f>IFERROR(--N631,0)</ns0:f>
        <ns0:v>0</ns0:v>
      </ns0:c>
      <ns0:c r="R631" s="0">
        <ns0:f>IFERROR(IF(FIND(".",L631)=5,--O631,--M631),0)</ns0:f>
        <ns0:v>0</ns0:v>
      </ns0:c>
      <ns0:c r="S631" s="0">
        <ns0:f>IFERROR(IF(AND(P631&gt;=2000,P631&lt;=2100,Q631&gt;=1,Q631&lt;=12,R631&gt;=1,R631&lt;=31),DATE(P631,Q631,R631),0),0)</ns0:f>
        <ns0:v>0</ns0:v>
      </ns0:c>
      <ns0:c r="T631" s="0">
        <ns0:f>IFERROR(IF(ISNUMBER(Bookings!D631),IF(AND(Bookings!D631=INT(Bookings!D631),Bookings!D631&gt;=DATE(2000,1,1),Bookings!D631&lt;=DATE(2100,12,31)),Bookings!D631,0),IF(AND(K631&lt;&gt;"",LEN("x"&amp;L631)-LEN(SUBSTITUTE("x"&amp;L631,".",""))=2,OR(1&gt;LEN(L631),MID(L631,1,1)=".",ISNUMBER(FIND("x"&amp;MID(L631,1,1),"x0x1x2x3x4x5x6x7x8x9"))),OR(2&gt;LEN(L631),MID(L631,2,1)=".",ISNUMBER(FIND("x"&amp;MID(L631,2,1),"x0x1x2x3x4x5x6x7x8x9"))),OR(3&gt;LEN(L631),MID(L631,3,1)=".",ISNUMBER(FIND("x"&amp;MID(L631,3,1),"x0x1x2x3x4x5x6x7x8x9"))),OR(4&gt;LEN(L631),MID(L631,4,1)=".",ISNUMBER(FIND("x"&amp;MID(L631,4,1),"x0x1x2x3x4x5x6x7x8x9"))),OR(5&gt;LEN(L631),MID(L631,5,1)=".",ISNUMBER(FIND("x"&amp;MID(L631,5,1),"x0x1x2x3x4x5x6x7x8x9"))),OR(6&gt;LEN(L631),MID(L631,6,1)=".",ISNUMBER(FIND("x"&amp;MID(L631,6,1),"x0x1x2x3x4x5x6x7x8x9"))),OR(7&gt;LEN(L631),MID(L631,7,1)=".",ISNUMBER(FIND("x"&amp;MID(L631,7,1),"x0x1x2x3x4x5x6x7x8x9"))),OR(8&gt;LEN(L631),MID(L631,8,1)=".",ISNUMBER(FIND("x"&amp;MID(L631,8,1),"x0x1x2x3x4x5x6x7x8x9"))),OR(9&gt;LEN(L631),MID(L631,9,1)=".",ISNUMBER(FIND("x"&amp;MID(L631,9,1),"x0x1x2x3x4x5x6x7x8x9"))),OR(10&gt;LEN(L631),MID(L631,10,1)=".",ISNUMBER(FIND("x"&amp;MID(L631,10,1),"x0x1x2x3x4x5x6x7x8x9"))),OR(AND(FIND(".",L631)=5,LEN(L631)-FIND(".",L631,FIND(".",L631)+1)&gt;=1,LEN(L631)-FIND(".",L631,FIND(".",L631)+1)&lt;=2),AND(LEN(L631)-FIND(".",L631,FIND(".",L631)+1)=4,FIND(".",L631)&gt;=2,FIND(".",L631)&lt;=3)),FIND(".",L631,FIND(".",L631)+1)-FIND(".",L631)&gt;=2,FIND(".",L631,FIND(".",L631)+1)-FIND(".",L631)&lt;=3,P631&gt;=2000,P631&lt;=2100,YEAR(S631)=P631,MONTH(S631)=Q631,DAY(S631)=R631),S631,0)),0)</ns0:f>
        <ns0:v>0</ns0:v>
      </ns0:c>
      <ns0:c r="U631" s="0" t="str">
        <ns0:f>IF(Bookings!C631="","Full day",Bookings!C631)</ns0:f>
        <ns0:v>Full day</ns0:v>
      </ns0:c>
      <ns0:c r="V631" s="0" t="str">
        <ns0:f>IF(Bookings!E631="","Full day",Bookings!E631)</ns0:f>
        <ns0:v>Full day</ns0:v>
      </ns0:c>
      <ns0:c r="W631" s="0">
        <ns0:f>IF(J631=0,0,J631+IF(U631="PM",1,0))</ns0:f>
        <ns0:v>0</ns0:v>
      </ns0:c>
      <ns0:c r="X631" s="0">
        <ns0:f>IF(T631=0,0,T631-IF(V631="PM",1,0))</ns0:f>
        <ns0:v>0</ns0:v>
      </ns0:c>
      <ns0:c r="Y631" s="0">
        <ns0:f>IF(J631=0,0,J631+IF(U631="AM",1,0))</ns0:f>
        <ns0:v>0</ns0:v>
      </ns0:c>
      <ns0:c r="Z631" s="0">
        <ns0:f>IF(T631=0,0,T631-IF(V631="AM",1,0))</ns0:f>
        <ns0:v>0</ns0:v>
      </ns0:c>
      <ns0:c r="AA631" s="0">
        <ns0:f>IFERROR(IF(AND(J631&gt;0,'_Engine'!C631&gt;0,MID('_Engine'!W631,WEEKDAY(J631,2),1)="W",COUNTIF(Settings!$F$18:$F$67,J631)=0),1,0),0)</ns0:f>
        <ns0:v>0</ns0:v>
      </ns0:c>
      <ns0:c r="AB631" s="0">
        <ns0:f>IFERROR(IF(AND(T631&gt;0,'_Engine'!C631&gt;0,MID('_Engine'!W631,WEEKDAY(T631,2),1)="W",COUNTIF(Settings!$F$18:$F$67,T631)=0),1,0),0)</ns0:f>
        <ns0:v>0</ns0:v>
      </ns0:c>
      <ns0:c r="AC631" s="0">
        <ns0:f>IF(AND(J631&gt;0,T631&gt;0,W631&lt;=X631),1,0)</ns0:f>
        <ns0:v>0</ns0:v>
      </ns0:c>
      <ns0:c r="AD631" s="0">
        <ns0:f>IF(AND(J631&gt;0,T631&gt;0,Y631&lt;=Z631),1,0)</ns0:f>
        <ns0:v>0</ns0:v>
      </ns0:c>
    </ns0:row>
    <ns0:row r="632">
      <ns0:c r="A632" s="0">
        <ns0:f>IFERROR(IF(ISNUMBER(Bookings!B632),"",TRIM(Bookings!B632&amp;"")),"")</ns0:f>
      </ns0:c>
      <ns0:c r="B632" s="0">
        <ns0:f>IFERROR(SUBSTITUTE(SUBSTITUTE(A632,"/","."),"-","."),"")</ns0:f>
      </ns0:c>
      <ns0:c r="C632" s="0">
        <ns0:f>IFERROR(LEFT(B632,FIND(".",B632)-1),"")</ns0:f>
      </ns0:c>
      <ns0:c r="D632" s="0">
        <ns0:f>IFERROR(MID(B632,FIND(".",B632)+1,FIND(".",B632,FIND(".",B632)+1)-FIND(".",B632)-1),"")</ns0:f>
      </ns0:c>
      <ns0:c r="E632" s="0">
        <ns0:f>IFERROR(MID(B632,FIND(".",B632,FIND(".",B632)+1)+1,99),"")</ns0:f>
        <ns0:v>99</ns0:v>
      </ns0:c>
      <ns0:c r="F632" s="0">
        <ns0:f>IFERROR(IF(FIND(".",B632)=5,--C632,--E632),0)</ns0:f>
        <ns0:v>0</ns0:v>
      </ns0:c>
      <ns0:c r="G632" s="0">
        <ns0:f>IFERROR(--D632,0)</ns0:f>
        <ns0:v>0</ns0:v>
      </ns0:c>
      <ns0:c r="H632" s="0">
        <ns0:f>IFERROR(IF(FIND(".",B632)=5,--E632,--C632),0)</ns0:f>
        <ns0:v>0</ns0:v>
      </ns0:c>
      <ns0:c r="I632" s="0">
        <ns0:f>IFERROR(IF(AND(F632&gt;=2000,F632&lt;=2100,G632&gt;=1,G632&lt;=12,H632&gt;=1,H632&lt;=31),DATE(F632,G632,H632),0),0)</ns0:f>
        <ns0:v>0</ns0:v>
      </ns0:c>
      <ns0:c r="J632" s="0">
        <ns0:f>IFERROR(IF(ISNUMBER(Bookings!B632),IF(AND(Bookings!B632=INT(Bookings!B632),Bookings!B632&gt;=DATE(2000,1,1),Bookings!B632&lt;=DATE(2100,12,31)),Bookings!B632,0),IF(AND(A632&lt;&gt;"",LEN("x"&amp;B632)-LEN(SUBSTITUTE("x"&amp;B632,".",""))=2,OR(1&gt;LEN(B632),MID(B632,1,1)=".",ISNUMBER(FIND("x"&amp;MID(B632,1,1),"x0x1x2x3x4x5x6x7x8x9"))),OR(2&gt;LEN(B632),MID(B632,2,1)=".",ISNUMBER(FIND("x"&amp;MID(B632,2,1),"x0x1x2x3x4x5x6x7x8x9"))),OR(3&gt;LEN(B632),MID(B632,3,1)=".",ISNUMBER(FIND("x"&amp;MID(B632,3,1),"x0x1x2x3x4x5x6x7x8x9"))),OR(4&gt;LEN(B632),MID(B632,4,1)=".",ISNUMBER(FIND("x"&amp;MID(B632,4,1),"x0x1x2x3x4x5x6x7x8x9"))),OR(5&gt;LEN(B632),MID(B632,5,1)=".",ISNUMBER(FIND("x"&amp;MID(B632,5,1),"x0x1x2x3x4x5x6x7x8x9"))),OR(6&gt;LEN(B632),MID(B632,6,1)=".",ISNUMBER(FIND("x"&amp;MID(B632,6,1),"x0x1x2x3x4x5x6x7x8x9"))),OR(7&gt;LEN(B632),MID(B632,7,1)=".",ISNUMBER(FIND("x"&amp;MID(B632,7,1),"x0x1x2x3x4x5x6x7x8x9"))),OR(8&gt;LEN(B632),MID(B632,8,1)=".",ISNUMBER(FIND("x"&amp;MID(B632,8,1),"x0x1x2x3x4x5x6x7x8x9"))),OR(9&gt;LEN(B632),MID(B632,9,1)=".",ISNUMBER(FIND("x"&amp;MID(B632,9,1),"x0x1x2x3x4x5x6x7x8x9"))),OR(10&gt;LEN(B632),MID(B632,10,1)=".",ISNUMBER(FIND("x"&amp;MID(B632,10,1),"x0x1x2x3x4x5x6x7x8x9"))),OR(AND(FIND(".",B632)=5,LEN(B632)-FIND(".",B632,FIND(".",B632)+1)&gt;=1,LEN(B632)-FIND(".",B632,FIND(".",B632)+1)&lt;=2),AND(LEN(B632)-FIND(".",B632,FIND(".",B632)+1)=4,FIND(".",B632)&gt;=2,FIND(".",B632)&lt;=3)),FIND(".",B632,FIND(".",B632)+1)-FIND(".",B632)&gt;=2,FIND(".",B632,FIND(".",B632)+1)-FIND(".",B632)&lt;=3,F632&gt;=2000,F632&lt;=2100,YEAR(I632)=F632,MONTH(I632)=G632,DAY(I632)=H632),I632,0)),0)</ns0:f>
        <ns0:v>0</ns0:v>
      </ns0:c>
      <ns0:c r="K632" s="0">
        <ns0:f>IFERROR(IF(ISNUMBER(Bookings!D632),"",TRIM(Bookings!D632&amp;"")),"")</ns0:f>
      </ns0:c>
      <ns0:c r="L632" s="0">
        <ns0:f>IFERROR(SUBSTITUTE(SUBSTITUTE(K632,"/","."),"-","."),"")</ns0:f>
      </ns0:c>
      <ns0:c r="M632" s="0">
        <ns0:f>IFERROR(LEFT(L632,FIND(".",L632)-1),"")</ns0:f>
      </ns0:c>
      <ns0:c r="N632" s="0">
        <ns0:f>IFERROR(MID(L632,FIND(".",L632)+1,FIND(".",L632,FIND(".",L632)+1)-FIND(".",L632)-1),"")</ns0:f>
      </ns0:c>
      <ns0:c r="O632" s="0">
        <ns0:f>IFERROR(MID(L632,FIND(".",L632,FIND(".",L632)+1)+1,99),"")</ns0:f>
        <ns0:v>99</ns0:v>
      </ns0:c>
      <ns0:c r="P632" s="0">
        <ns0:f>IFERROR(IF(FIND(".",L632)=5,--M632,--O632),0)</ns0:f>
        <ns0:v>0</ns0:v>
      </ns0:c>
      <ns0:c r="Q632" s="0">
        <ns0:f>IFERROR(--N632,0)</ns0:f>
        <ns0:v>0</ns0:v>
      </ns0:c>
      <ns0:c r="R632" s="0">
        <ns0:f>IFERROR(IF(FIND(".",L632)=5,--O632,--M632),0)</ns0:f>
        <ns0:v>0</ns0:v>
      </ns0:c>
      <ns0:c r="S632" s="0">
        <ns0:f>IFERROR(IF(AND(P632&gt;=2000,P632&lt;=2100,Q632&gt;=1,Q632&lt;=12,R632&gt;=1,R632&lt;=31),DATE(P632,Q632,R632),0),0)</ns0:f>
        <ns0:v>0</ns0:v>
      </ns0:c>
      <ns0:c r="T632" s="0">
        <ns0:f>IFERROR(IF(ISNUMBER(Bookings!D632),IF(AND(Bookings!D632=INT(Bookings!D632),Bookings!D632&gt;=DATE(2000,1,1),Bookings!D632&lt;=DATE(2100,12,31)),Bookings!D632,0),IF(AND(K632&lt;&gt;"",LEN("x"&amp;L632)-LEN(SUBSTITUTE("x"&amp;L632,".",""))=2,OR(1&gt;LEN(L632),MID(L632,1,1)=".",ISNUMBER(FIND("x"&amp;MID(L632,1,1),"x0x1x2x3x4x5x6x7x8x9"))),OR(2&gt;LEN(L632),MID(L632,2,1)=".",ISNUMBER(FIND("x"&amp;MID(L632,2,1),"x0x1x2x3x4x5x6x7x8x9"))),OR(3&gt;LEN(L632),MID(L632,3,1)=".",ISNUMBER(FIND("x"&amp;MID(L632,3,1),"x0x1x2x3x4x5x6x7x8x9"))),OR(4&gt;LEN(L632),MID(L632,4,1)=".",ISNUMBER(FIND("x"&amp;MID(L632,4,1),"x0x1x2x3x4x5x6x7x8x9"))),OR(5&gt;LEN(L632),MID(L632,5,1)=".",ISNUMBER(FIND("x"&amp;MID(L632,5,1),"x0x1x2x3x4x5x6x7x8x9"))),OR(6&gt;LEN(L632),MID(L632,6,1)=".",ISNUMBER(FIND("x"&amp;MID(L632,6,1),"x0x1x2x3x4x5x6x7x8x9"))),OR(7&gt;LEN(L632),MID(L632,7,1)=".",ISNUMBER(FIND("x"&amp;MID(L632,7,1),"x0x1x2x3x4x5x6x7x8x9"))),OR(8&gt;LEN(L632),MID(L632,8,1)=".",ISNUMBER(FIND("x"&amp;MID(L632,8,1),"x0x1x2x3x4x5x6x7x8x9"))),OR(9&gt;LEN(L632),MID(L632,9,1)=".",ISNUMBER(FIND("x"&amp;MID(L632,9,1),"x0x1x2x3x4x5x6x7x8x9"))),OR(10&gt;LEN(L632),MID(L632,10,1)=".",ISNUMBER(FIND("x"&amp;MID(L632,10,1),"x0x1x2x3x4x5x6x7x8x9"))),OR(AND(FIND(".",L632)=5,LEN(L632)-FIND(".",L632,FIND(".",L632)+1)&gt;=1,LEN(L632)-FIND(".",L632,FIND(".",L632)+1)&lt;=2),AND(LEN(L632)-FIND(".",L632,FIND(".",L632)+1)=4,FIND(".",L632)&gt;=2,FIND(".",L632)&lt;=3)),FIND(".",L632,FIND(".",L632)+1)-FIND(".",L632)&gt;=2,FIND(".",L632,FIND(".",L632)+1)-FIND(".",L632)&lt;=3,P632&gt;=2000,P632&lt;=2100,YEAR(S632)=P632,MONTH(S632)=Q632,DAY(S632)=R632),S632,0)),0)</ns0:f>
        <ns0:v>0</ns0:v>
      </ns0:c>
      <ns0:c r="U632" s="0" t="str">
        <ns0:f>IF(Bookings!C632="","Full day",Bookings!C632)</ns0:f>
        <ns0:v>Full day</ns0:v>
      </ns0:c>
      <ns0:c r="V632" s="0" t="str">
        <ns0:f>IF(Bookings!E632="","Full day",Bookings!E632)</ns0:f>
        <ns0:v>Full day</ns0:v>
      </ns0:c>
      <ns0:c r="W632" s="0">
        <ns0:f>IF(J632=0,0,J632+IF(U632="PM",1,0))</ns0:f>
        <ns0:v>0</ns0:v>
      </ns0:c>
      <ns0:c r="X632" s="0">
        <ns0:f>IF(T632=0,0,T632-IF(V632="PM",1,0))</ns0:f>
        <ns0:v>0</ns0:v>
      </ns0:c>
      <ns0:c r="Y632" s="0">
        <ns0:f>IF(J632=0,0,J632+IF(U632="AM",1,0))</ns0:f>
        <ns0:v>0</ns0:v>
      </ns0:c>
      <ns0:c r="Z632" s="0">
        <ns0:f>IF(T632=0,0,T632-IF(V632="AM",1,0))</ns0:f>
        <ns0:v>0</ns0:v>
      </ns0:c>
      <ns0:c r="AA632" s="0">
        <ns0:f>IFERROR(IF(AND(J632&gt;0,'_Engine'!C632&gt;0,MID('_Engine'!W632,WEEKDAY(J632,2),1)="W",COUNTIF(Settings!$F$18:$F$67,J632)=0),1,0),0)</ns0:f>
        <ns0:v>0</ns0:v>
      </ns0:c>
      <ns0:c r="AB632" s="0">
        <ns0:f>IFERROR(IF(AND(T632&gt;0,'_Engine'!C632&gt;0,MID('_Engine'!W632,WEEKDAY(T632,2),1)="W",COUNTIF(Settings!$F$18:$F$67,T632)=0),1,0),0)</ns0:f>
        <ns0:v>0</ns0:v>
      </ns0:c>
      <ns0:c r="AC632" s="0">
        <ns0:f>IF(AND(J632&gt;0,T632&gt;0,W632&lt;=X632),1,0)</ns0:f>
        <ns0:v>0</ns0:v>
      </ns0:c>
      <ns0:c r="AD632" s="0">
        <ns0:f>IF(AND(J632&gt;0,T632&gt;0,Y632&lt;=Z632),1,0)</ns0:f>
        <ns0:v>0</ns0:v>
      </ns0:c>
    </ns0:row>
    <ns0:row r="633">
      <ns0:c r="A633" s="0">
        <ns0:f>IFERROR(IF(ISNUMBER(Bookings!B633),"",TRIM(Bookings!B633&amp;"")),"")</ns0:f>
      </ns0:c>
      <ns0:c r="B633" s="0">
        <ns0:f>IFERROR(SUBSTITUTE(SUBSTITUTE(A633,"/","."),"-","."),"")</ns0:f>
      </ns0:c>
      <ns0:c r="C633" s="0">
        <ns0:f>IFERROR(LEFT(B633,FIND(".",B633)-1),"")</ns0:f>
      </ns0:c>
      <ns0:c r="D633" s="0">
        <ns0:f>IFERROR(MID(B633,FIND(".",B633)+1,FIND(".",B633,FIND(".",B633)+1)-FIND(".",B633)-1),"")</ns0:f>
      </ns0:c>
      <ns0:c r="E633" s="0">
        <ns0:f>IFERROR(MID(B633,FIND(".",B633,FIND(".",B633)+1)+1,99),"")</ns0:f>
        <ns0:v>99</ns0:v>
      </ns0:c>
      <ns0:c r="F633" s="0">
        <ns0:f>IFERROR(IF(FIND(".",B633)=5,--C633,--E633),0)</ns0:f>
        <ns0:v>0</ns0:v>
      </ns0:c>
      <ns0:c r="G633" s="0">
        <ns0:f>IFERROR(--D633,0)</ns0:f>
        <ns0:v>0</ns0:v>
      </ns0:c>
      <ns0:c r="H633" s="0">
        <ns0:f>IFERROR(IF(FIND(".",B633)=5,--E633,--C633),0)</ns0:f>
        <ns0:v>0</ns0:v>
      </ns0:c>
      <ns0:c r="I633" s="0">
        <ns0:f>IFERROR(IF(AND(F633&gt;=2000,F633&lt;=2100,G633&gt;=1,G633&lt;=12,H633&gt;=1,H633&lt;=31),DATE(F633,G633,H633),0),0)</ns0:f>
        <ns0:v>0</ns0:v>
      </ns0:c>
      <ns0:c r="J633" s="0">
        <ns0:f>IFERROR(IF(ISNUMBER(Bookings!B633),IF(AND(Bookings!B633=INT(Bookings!B633),Bookings!B633&gt;=DATE(2000,1,1),Bookings!B633&lt;=DATE(2100,12,31)),Bookings!B633,0),IF(AND(A633&lt;&gt;"",LEN("x"&amp;B633)-LEN(SUBSTITUTE("x"&amp;B633,".",""))=2,OR(1&gt;LEN(B633),MID(B633,1,1)=".",ISNUMBER(FIND("x"&amp;MID(B633,1,1),"x0x1x2x3x4x5x6x7x8x9"))),OR(2&gt;LEN(B633),MID(B633,2,1)=".",ISNUMBER(FIND("x"&amp;MID(B633,2,1),"x0x1x2x3x4x5x6x7x8x9"))),OR(3&gt;LEN(B633),MID(B633,3,1)=".",ISNUMBER(FIND("x"&amp;MID(B633,3,1),"x0x1x2x3x4x5x6x7x8x9"))),OR(4&gt;LEN(B633),MID(B633,4,1)=".",ISNUMBER(FIND("x"&amp;MID(B633,4,1),"x0x1x2x3x4x5x6x7x8x9"))),OR(5&gt;LEN(B633),MID(B633,5,1)=".",ISNUMBER(FIND("x"&amp;MID(B633,5,1),"x0x1x2x3x4x5x6x7x8x9"))),OR(6&gt;LEN(B633),MID(B633,6,1)=".",ISNUMBER(FIND("x"&amp;MID(B633,6,1),"x0x1x2x3x4x5x6x7x8x9"))),OR(7&gt;LEN(B633),MID(B633,7,1)=".",ISNUMBER(FIND("x"&amp;MID(B633,7,1),"x0x1x2x3x4x5x6x7x8x9"))),OR(8&gt;LEN(B633),MID(B633,8,1)=".",ISNUMBER(FIND("x"&amp;MID(B633,8,1),"x0x1x2x3x4x5x6x7x8x9"))),OR(9&gt;LEN(B633),MID(B633,9,1)=".",ISNUMBER(FIND("x"&amp;MID(B633,9,1),"x0x1x2x3x4x5x6x7x8x9"))),OR(10&gt;LEN(B633),MID(B633,10,1)=".",ISNUMBER(FIND("x"&amp;MID(B633,10,1),"x0x1x2x3x4x5x6x7x8x9"))),OR(AND(FIND(".",B633)=5,LEN(B633)-FIND(".",B633,FIND(".",B633)+1)&gt;=1,LEN(B633)-FIND(".",B633,FIND(".",B633)+1)&lt;=2),AND(LEN(B633)-FIND(".",B633,FIND(".",B633)+1)=4,FIND(".",B633)&gt;=2,FIND(".",B633)&lt;=3)),FIND(".",B633,FIND(".",B633)+1)-FIND(".",B633)&gt;=2,FIND(".",B633,FIND(".",B633)+1)-FIND(".",B633)&lt;=3,F633&gt;=2000,F633&lt;=2100,YEAR(I633)=F633,MONTH(I633)=G633,DAY(I633)=H633),I633,0)),0)</ns0:f>
        <ns0:v>0</ns0:v>
      </ns0:c>
      <ns0:c r="K633" s="0">
        <ns0:f>IFERROR(IF(ISNUMBER(Bookings!D633),"",TRIM(Bookings!D633&amp;"")),"")</ns0:f>
      </ns0:c>
      <ns0:c r="L633" s="0">
        <ns0:f>IFERROR(SUBSTITUTE(SUBSTITUTE(K633,"/","."),"-","."),"")</ns0:f>
      </ns0:c>
      <ns0:c r="M633" s="0">
        <ns0:f>IFERROR(LEFT(L633,FIND(".",L633)-1),"")</ns0:f>
      </ns0:c>
      <ns0:c r="N633" s="0">
        <ns0:f>IFERROR(MID(L633,FIND(".",L633)+1,FIND(".",L633,FIND(".",L633)+1)-FIND(".",L633)-1),"")</ns0:f>
      </ns0:c>
      <ns0:c r="O633" s="0">
        <ns0:f>IFERROR(MID(L633,FIND(".",L633,FIND(".",L633)+1)+1,99),"")</ns0:f>
        <ns0:v>99</ns0:v>
      </ns0:c>
      <ns0:c r="P633" s="0">
        <ns0:f>IFERROR(IF(FIND(".",L633)=5,--M633,--O633),0)</ns0:f>
        <ns0:v>0</ns0:v>
      </ns0:c>
      <ns0:c r="Q633" s="0">
        <ns0:f>IFERROR(--N633,0)</ns0:f>
        <ns0:v>0</ns0:v>
      </ns0:c>
      <ns0:c r="R633" s="0">
        <ns0:f>IFERROR(IF(FIND(".",L633)=5,--O633,--M633),0)</ns0:f>
        <ns0:v>0</ns0:v>
      </ns0:c>
      <ns0:c r="S633" s="0">
        <ns0:f>IFERROR(IF(AND(P633&gt;=2000,P633&lt;=2100,Q633&gt;=1,Q633&lt;=12,R633&gt;=1,R633&lt;=31),DATE(P633,Q633,R633),0),0)</ns0:f>
        <ns0:v>0</ns0:v>
      </ns0:c>
      <ns0:c r="T633" s="0">
        <ns0:f>IFERROR(IF(ISNUMBER(Bookings!D633),IF(AND(Bookings!D633=INT(Bookings!D633),Bookings!D633&gt;=DATE(2000,1,1),Bookings!D633&lt;=DATE(2100,12,31)),Bookings!D633,0),IF(AND(K633&lt;&gt;"",LEN("x"&amp;L633)-LEN(SUBSTITUTE("x"&amp;L633,".",""))=2,OR(1&gt;LEN(L633),MID(L633,1,1)=".",ISNUMBER(FIND("x"&amp;MID(L633,1,1),"x0x1x2x3x4x5x6x7x8x9"))),OR(2&gt;LEN(L633),MID(L633,2,1)=".",ISNUMBER(FIND("x"&amp;MID(L633,2,1),"x0x1x2x3x4x5x6x7x8x9"))),OR(3&gt;LEN(L633),MID(L633,3,1)=".",ISNUMBER(FIND("x"&amp;MID(L633,3,1),"x0x1x2x3x4x5x6x7x8x9"))),OR(4&gt;LEN(L633),MID(L633,4,1)=".",ISNUMBER(FIND("x"&amp;MID(L633,4,1),"x0x1x2x3x4x5x6x7x8x9"))),OR(5&gt;LEN(L633),MID(L633,5,1)=".",ISNUMBER(FIND("x"&amp;MID(L633,5,1),"x0x1x2x3x4x5x6x7x8x9"))),OR(6&gt;LEN(L633),MID(L633,6,1)=".",ISNUMBER(FIND("x"&amp;MID(L633,6,1),"x0x1x2x3x4x5x6x7x8x9"))),OR(7&gt;LEN(L633),MID(L633,7,1)=".",ISNUMBER(FIND("x"&amp;MID(L633,7,1),"x0x1x2x3x4x5x6x7x8x9"))),OR(8&gt;LEN(L633),MID(L633,8,1)=".",ISNUMBER(FIND("x"&amp;MID(L633,8,1),"x0x1x2x3x4x5x6x7x8x9"))),OR(9&gt;LEN(L633),MID(L633,9,1)=".",ISNUMBER(FIND("x"&amp;MID(L633,9,1),"x0x1x2x3x4x5x6x7x8x9"))),OR(10&gt;LEN(L633),MID(L633,10,1)=".",ISNUMBER(FIND("x"&amp;MID(L633,10,1),"x0x1x2x3x4x5x6x7x8x9"))),OR(AND(FIND(".",L633)=5,LEN(L633)-FIND(".",L633,FIND(".",L633)+1)&gt;=1,LEN(L633)-FIND(".",L633,FIND(".",L633)+1)&lt;=2),AND(LEN(L633)-FIND(".",L633,FIND(".",L633)+1)=4,FIND(".",L633)&gt;=2,FIND(".",L633)&lt;=3)),FIND(".",L633,FIND(".",L633)+1)-FIND(".",L633)&gt;=2,FIND(".",L633,FIND(".",L633)+1)-FIND(".",L633)&lt;=3,P633&gt;=2000,P633&lt;=2100,YEAR(S633)=P633,MONTH(S633)=Q633,DAY(S633)=R633),S633,0)),0)</ns0:f>
        <ns0:v>0</ns0:v>
      </ns0:c>
      <ns0:c r="U633" s="0" t="str">
        <ns0:f>IF(Bookings!C633="","Full day",Bookings!C633)</ns0:f>
        <ns0:v>Full day</ns0:v>
      </ns0:c>
      <ns0:c r="V633" s="0" t="str">
        <ns0:f>IF(Bookings!E633="","Full day",Bookings!E633)</ns0:f>
        <ns0:v>Full day</ns0:v>
      </ns0:c>
      <ns0:c r="W633" s="0">
        <ns0:f>IF(J633=0,0,J633+IF(U633="PM",1,0))</ns0:f>
        <ns0:v>0</ns0:v>
      </ns0:c>
      <ns0:c r="X633" s="0">
        <ns0:f>IF(T633=0,0,T633-IF(V633="PM",1,0))</ns0:f>
        <ns0:v>0</ns0:v>
      </ns0:c>
      <ns0:c r="Y633" s="0">
        <ns0:f>IF(J633=0,0,J633+IF(U633="AM",1,0))</ns0:f>
        <ns0:v>0</ns0:v>
      </ns0:c>
      <ns0:c r="Z633" s="0">
        <ns0:f>IF(T633=0,0,T633-IF(V633="AM",1,0))</ns0:f>
        <ns0:v>0</ns0:v>
      </ns0:c>
      <ns0:c r="AA633" s="0">
        <ns0:f>IFERROR(IF(AND(J633&gt;0,'_Engine'!C633&gt;0,MID('_Engine'!W633,WEEKDAY(J633,2),1)="W",COUNTIF(Settings!$F$18:$F$67,J633)=0),1,0),0)</ns0:f>
        <ns0:v>0</ns0:v>
      </ns0:c>
      <ns0:c r="AB633" s="0">
        <ns0:f>IFERROR(IF(AND(T633&gt;0,'_Engine'!C633&gt;0,MID('_Engine'!W633,WEEKDAY(T633,2),1)="W",COUNTIF(Settings!$F$18:$F$67,T633)=0),1,0),0)</ns0:f>
        <ns0:v>0</ns0:v>
      </ns0:c>
      <ns0:c r="AC633" s="0">
        <ns0:f>IF(AND(J633&gt;0,T633&gt;0,W633&lt;=X633),1,0)</ns0:f>
        <ns0:v>0</ns0:v>
      </ns0:c>
      <ns0:c r="AD633" s="0">
        <ns0:f>IF(AND(J633&gt;0,T633&gt;0,Y633&lt;=Z633),1,0)</ns0:f>
        <ns0:v>0</ns0:v>
      </ns0:c>
    </ns0:row>
    <ns0:row r="634">
      <ns0:c r="A634" s="0">
        <ns0:f>IFERROR(IF(ISNUMBER(Bookings!B634),"",TRIM(Bookings!B634&amp;"")),"")</ns0:f>
      </ns0:c>
      <ns0:c r="B634" s="0">
        <ns0:f>IFERROR(SUBSTITUTE(SUBSTITUTE(A634,"/","."),"-","."),"")</ns0:f>
      </ns0:c>
      <ns0:c r="C634" s="0">
        <ns0:f>IFERROR(LEFT(B634,FIND(".",B634)-1),"")</ns0:f>
      </ns0:c>
      <ns0:c r="D634" s="0">
        <ns0:f>IFERROR(MID(B634,FIND(".",B634)+1,FIND(".",B634,FIND(".",B634)+1)-FIND(".",B634)-1),"")</ns0:f>
      </ns0:c>
      <ns0:c r="E634" s="0">
        <ns0:f>IFERROR(MID(B634,FIND(".",B634,FIND(".",B634)+1)+1,99),"")</ns0:f>
        <ns0:v>99</ns0:v>
      </ns0:c>
      <ns0:c r="F634" s="0">
        <ns0:f>IFERROR(IF(FIND(".",B634)=5,--C634,--E634),0)</ns0:f>
        <ns0:v>0</ns0:v>
      </ns0:c>
      <ns0:c r="G634" s="0">
        <ns0:f>IFERROR(--D634,0)</ns0:f>
        <ns0:v>0</ns0:v>
      </ns0:c>
      <ns0:c r="H634" s="0">
        <ns0:f>IFERROR(IF(FIND(".",B634)=5,--E634,--C634),0)</ns0:f>
        <ns0:v>0</ns0:v>
      </ns0:c>
      <ns0:c r="I634" s="0">
        <ns0:f>IFERROR(IF(AND(F634&gt;=2000,F634&lt;=2100,G634&gt;=1,G634&lt;=12,H634&gt;=1,H634&lt;=31),DATE(F634,G634,H634),0),0)</ns0:f>
        <ns0:v>0</ns0:v>
      </ns0:c>
      <ns0:c r="J634" s="0">
        <ns0:f>IFERROR(IF(ISNUMBER(Bookings!B634),IF(AND(Bookings!B634=INT(Bookings!B634),Bookings!B634&gt;=DATE(2000,1,1),Bookings!B634&lt;=DATE(2100,12,31)),Bookings!B634,0),IF(AND(A634&lt;&gt;"",LEN("x"&amp;B634)-LEN(SUBSTITUTE("x"&amp;B634,".",""))=2,OR(1&gt;LEN(B634),MID(B634,1,1)=".",ISNUMBER(FIND("x"&amp;MID(B634,1,1),"x0x1x2x3x4x5x6x7x8x9"))),OR(2&gt;LEN(B634),MID(B634,2,1)=".",ISNUMBER(FIND("x"&amp;MID(B634,2,1),"x0x1x2x3x4x5x6x7x8x9"))),OR(3&gt;LEN(B634),MID(B634,3,1)=".",ISNUMBER(FIND("x"&amp;MID(B634,3,1),"x0x1x2x3x4x5x6x7x8x9"))),OR(4&gt;LEN(B634),MID(B634,4,1)=".",ISNUMBER(FIND("x"&amp;MID(B634,4,1),"x0x1x2x3x4x5x6x7x8x9"))),OR(5&gt;LEN(B634),MID(B634,5,1)=".",ISNUMBER(FIND("x"&amp;MID(B634,5,1),"x0x1x2x3x4x5x6x7x8x9"))),OR(6&gt;LEN(B634),MID(B634,6,1)=".",ISNUMBER(FIND("x"&amp;MID(B634,6,1),"x0x1x2x3x4x5x6x7x8x9"))),OR(7&gt;LEN(B634),MID(B634,7,1)=".",ISNUMBER(FIND("x"&amp;MID(B634,7,1),"x0x1x2x3x4x5x6x7x8x9"))),OR(8&gt;LEN(B634),MID(B634,8,1)=".",ISNUMBER(FIND("x"&amp;MID(B634,8,1),"x0x1x2x3x4x5x6x7x8x9"))),OR(9&gt;LEN(B634),MID(B634,9,1)=".",ISNUMBER(FIND("x"&amp;MID(B634,9,1),"x0x1x2x3x4x5x6x7x8x9"))),OR(10&gt;LEN(B634),MID(B634,10,1)=".",ISNUMBER(FIND("x"&amp;MID(B634,10,1),"x0x1x2x3x4x5x6x7x8x9"))),OR(AND(FIND(".",B634)=5,LEN(B634)-FIND(".",B634,FIND(".",B634)+1)&gt;=1,LEN(B634)-FIND(".",B634,FIND(".",B634)+1)&lt;=2),AND(LEN(B634)-FIND(".",B634,FIND(".",B634)+1)=4,FIND(".",B634)&gt;=2,FIND(".",B634)&lt;=3)),FIND(".",B634,FIND(".",B634)+1)-FIND(".",B634)&gt;=2,FIND(".",B634,FIND(".",B634)+1)-FIND(".",B634)&lt;=3,F634&gt;=2000,F634&lt;=2100,YEAR(I634)=F634,MONTH(I634)=G634,DAY(I634)=H634),I634,0)),0)</ns0:f>
        <ns0:v>0</ns0:v>
      </ns0:c>
      <ns0:c r="K634" s="0">
        <ns0:f>IFERROR(IF(ISNUMBER(Bookings!D634),"",TRIM(Bookings!D634&amp;"")),"")</ns0:f>
      </ns0:c>
      <ns0:c r="L634" s="0">
        <ns0:f>IFERROR(SUBSTITUTE(SUBSTITUTE(K634,"/","."),"-","."),"")</ns0:f>
      </ns0:c>
      <ns0:c r="M634" s="0">
        <ns0:f>IFERROR(LEFT(L634,FIND(".",L634)-1),"")</ns0:f>
      </ns0:c>
      <ns0:c r="N634" s="0">
        <ns0:f>IFERROR(MID(L634,FIND(".",L634)+1,FIND(".",L634,FIND(".",L634)+1)-FIND(".",L634)-1),"")</ns0:f>
      </ns0:c>
      <ns0:c r="O634" s="0">
        <ns0:f>IFERROR(MID(L634,FIND(".",L634,FIND(".",L634)+1)+1,99),"")</ns0:f>
        <ns0:v>99</ns0:v>
      </ns0:c>
      <ns0:c r="P634" s="0">
        <ns0:f>IFERROR(IF(FIND(".",L634)=5,--M634,--O634),0)</ns0:f>
        <ns0:v>0</ns0:v>
      </ns0:c>
      <ns0:c r="Q634" s="0">
        <ns0:f>IFERROR(--N634,0)</ns0:f>
        <ns0:v>0</ns0:v>
      </ns0:c>
      <ns0:c r="R634" s="0">
        <ns0:f>IFERROR(IF(FIND(".",L634)=5,--O634,--M634),0)</ns0:f>
        <ns0:v>0</ns0:v>
      </ns0:c>
      <ns0:c r="S634" s="0">
        <ns0:f>IFERROR(IF(AND(P634&gt;=2000,P634&lt;=2100,Q634&gt;=1,Q634&lt;=12,R634&gt;=1,R634&lt;=31),DATE(P634,Q634,R634),0),0)</ns0:f>
        <ns0:v>0</ns0:v>
      </ns0:c>
      <ns0:c r="T634" s="0">
        <ns0:f>IFERROR(IF(ISNUMBER(Bookings!D634),IF(AND(Bookings!D634=INT(Bookings!D634),Bookings!D634&gt;=DATE(2000,1,1),Bookings!D634&lt;=DATE(2100,12,31)),Bookings!D634,0),IF(AND(K634&lt;&gt;"",LEN("x"&amp;L634)-LEN(SUBSTITUTE("x"&amp;L634,".",""))=2,OR(1&gt;LEN(L634),MID(L634,1,1)=".",ISNUMBER(FIND("x"&amp;MID(L634,1,1),"x0x1x2x3x4x5x6x7x8x9"))),OR(2&gt;LEN(L634),MID(L634,2,1)=".",ISNUMBER(FIND("x"&amp;MID(L634,2,1),"x0x1x2x3x4x5x6x7x8x9"))),OR(3&gt;LEN(L634),MID(L634,3,1)=".",ISNUMBER(FIND("x"&amp;MID(L634,3,1),"x0x1x2x3x4x5x6x7x8x9"))),OR(4&gt;LEN(L634),MID(L634,4,1)=".",ISNUMBER(FIND("x"&amp;MID(L634,4,1),"x0x1x2x3x4x5x6x7x8x9"))),OR(5&gt;LEN(L634),MID(L634,5,1)=".",ISNUMBER(FIND("x"&amp;MID(L634,5,1),"x0x1x2x3x4x5x6x7x8x9"))),OR(6&gt;LEN(L634),MID(L634,6,1)=".",ISNUMBER(FIND("x"&amp;MID(L634,6,1),"x0x1x2x3x4x5x6x7x8x9"))),OR(7&gt;LEN(L634),MID(L634,7,1)=".",ISNUMBER(FIND("x"&amp;MID(L634,7,1),"x0x1x2x3x4x5x6x7x8x9"))),OR(8&gt;LEN(L634),MID(L634,8,1)=".",ISNUMBER(FIND("x"&amp;MID(L634,8,1),"x0x1x2x3x4x5x6x7x8x9"))),OR(9&gt;LEN(L634),MID(L634,9,1)=".",ISNUMBER(FIND("x"&amp;MID(L634,9,1),"x0x1x2x3x4x5x6x7x8x9"))),OR(10&gt;LEN(L634),MID(L634,10,1)=".",ISNUMBER(FIND("x"&amp;MID(L634,10,1),"x0x1x2x3x4x5x6x7x8x9"))),OR(AND(FIND(".",L634)=5,LEN(L634)-FIND(".",L634,FIND(".",L634)+1)&gt;=1,LEN(L634)-FIND(".",L634,FIND(".",L634)+1)&lt;=2),AND(LEN(L634)-FIND(".",L634,FIND(".",L634)+1)=4,FIND(".",L634)&gt;=2,FIND(".",L634)&lt;=3)),FIND(".",L634,FIND(".",L634)+1)-FIND(".",L634)&gt;=2,FIND(".",L634,FIND(".",L634)+1)-FIND(".",L634)&lt;=3,P634&gt;=2000,P634&lt;=2100,YEAR(S634)=P634,MONTH(S634)=Q634,DAY(S634)=R634),S634,0)),0)</ns0:f>
        <ns0:v>0</ns0:v>
      </ns0:c>
      <ns0:c r="U634" s="0" t="str">
        <ns0:f>IF(Bookings!C634="","Full day",Bookings!C634)</ns0:f>
        <ns0:v>Full day</ns0:v>
      </ns0:c>
      <ns0:c r="V634" s="0" t="str">
        <ns0:f>IF(Bookings!E634="","Full day",Bookings!E634)</ns0:f>
        <ns0:v>Full day</ns0:v>
      </ns0:c>
      <ns0:c r="W634" s="0">
        <ns0:f>IF(J634=0,0,J634+IF(U634="PM",1,0))</ns0:f>
        <ns0:v>0</ns0:v>
      </ns0:c>
      <ns0:c r="X634" s="0">
        <ns0:f>IF(T634=0,0,T634-IF(V634="PM",1,0))</ns0:f>
        <ns0:v>0</ns0:v>
      </ns0:c>
      <ns0:c r="Y634" s="0">
        <ns0:f>IF(J634=0,0,J634+IF(U634="AM",1,0))</ns0:f>
        <ns0:v>0</ns0:v>
      </ns0:c>
      <ns0:c r="Z634" s="0">
        <ns0:f>IF(T634=0,0,T634-IF(V634="AM",1,0))</ns0:f>
        <ns0:v>0</ns0:v>
      </ns0:c>
      <ns0:c r="AA634" s="0">
        <ns0:f>IFERROR(IF(AND(J634&gt;0,'_Engine'!C634&gt;0,MID('_Engine'!W634,WEEKDAY(J634,2),1)="W",COUNTIF(Settings!$F$18:$F$67,J634)=0),1,0),0)</ns0:f>
        <ns0:v>0</ns0:v>
      </ns0:c>
      <ns0:c r="AB634" s="0">
        <ns0:f>IFERROR(IF(AND(T634&gt;0,'_Engine'!C634&gt;0,MID('_Engine'!W634,WEEKDAY(T634,2),1)="W",COUNTIF(Settings!$F$18:$F$67,T634)=0),1,0),0)</ns0:f>
        <ns0:v>0</ns0:v>
      </ns0:c>
      <ns0:c r="AC634" s="0">
        <ns0:f>IF(AND(J634&gt;0,T634&gt;0,W634&lt;=X634),1,0)</ns0:f>
        <ns0:v>0</ns0:v>
      </ns0:c>
      <ns0:c r="AD634" s="0">
        <ns0:f>IF(AND(J634&gt;0,T634&gt;0,Y634&lt;=Z634),1,0)</ns0:f>
        <ns0:v>0</ns0:v>
      </ns0:c>
    </ns0:row>
    <ns0:row r="635">
      <ns0:c r="A635" s="0">
        <ns0:f>IFERROR(IF(ISNUMBER(Bookings!B635),"",TRIM(Bookings!B635&amp;"")),"")</ns0:f>
      </ns0:c>
      <ns0:c r="B635" s="0">
        <ns0:f>IFERROR(SUBSTITUTE(SUBSTITUTE(A635,"/","."),"-","."),"")</ns0:f>
      </ns0:c>
      <ns0:c r="C635" s="0">
        <ns0:f>IFERROR(LEFT(B635,FIND(".",B635)-1),"")</ns0:f>
      </ns0:c>
      <ns0:c r="D635" s="0">
        <ns0:f>IFERROR(MID(B635,FIND(".",B635)+1,FIND(".",B635,FIND(".",B635)+1)-FIND(".",B635)-1),"")</ns0:f>
      </ns0:c>
      <ns0:c r="E635" s="0">
        <ns0:f>IFERROR(MID(B635,FIND(".",B635,FIND(".",B635)+1)+1,99),"")</ns0:f>
        <ns0:v>99</ns0:v>
      </ns0:c>
      <ns0:c r="F635" s="0">
        <ns0:f>IFERROR(IF(FIND(".",B635)=5,--C635,--E635),0)</ns0:f>
        <ns0:v>0</ns0:v>
      </ns0:c>
      <ns0:c r="G635" s="0">
        <ns0:f>IFERROR(--D635,0)</ns0:f>
        <ns0:v>0</ns0:v>
      </ns0:c>
      <ns0:c r="H635" s="0">
        <ns0:f>IFERROR(IF(FIND(".",B635)=5,--E635,--C635),0)</ns0:f>
        <ns0:v>0</ns0:v>
      </ns0:c>
      <ns0:c r="I635" s="0">
        <ns0:f>IFERROR(IF(AND(F635&gt;=2000,F635&lt;=2100,G635&gt;=1,G635&lt;=12,H635&gt;=1,H635&lt;=31),DATE(F635,G635,H635),0),0)</ns0:f>
        <ns0:v>0</ns0:v>
      </ns0:c>
      <ns0:c r="J635" s="0">
        <ns0:f>IFERROR(IF(ISNUMBER(Bookings!B635),IF(AND(Bookings!B635=INT(Bookings!B635),Bookings!B635&gt;=DATE(2000,1,1),Bookings!B635&lt;=DATE(2100,12,31)),Bookings!B635,0),IF(AND(A635&lt;&gt;"",LEN("x"&amp;B635)-LEN(SUBSTITUTE("x"&amp;B635,".",""))=2,OR(1&gt;LEN(B635),MID(B635,1,1)=".",ISNUMBER(FIND("x"&amp;MID(B635,1,1),"x0x1x2x3x4x5x6x7x8x9"))),OR(2&gt;LEN(B635),MID(B635,2,1)=".",ISNUMBER(FIND("x"&amp;MID(B635,2,1),"x0x1x2x3x4x5x6x7x8x9"))),OR(3&gt;LEN(B635),MID(B635,3,1)=".",ISNUMBER(FIND("x"&amp;MID(B635,3,1),"x0x1x2x3x4x5x6x7x8x9"))),OR(4&gt;LEN(B635),MID(B635,4,1)=".",ISNUMBER(FIND("x"&amp;MID(B635,4,1),"x0x1x2x3x4x5x6x7x8x9"))),OR(5&gt;LEN(B635),MID(B635,5,1)=".",ISNUMBER(FIND("x"&amp;MID(B635,5,1),"x0x1x2x3x4x5x6x7x8x9"))),OR(6&gt;LEN(B635),MID(B635,6,1)=".",ISNUMBER(FIND("x"&amp;MID(B635,6,1),"x0x1x2x3x4x5x6x7x8x9"))),OR(7&gt;LEN(B635),MID(B635,7,1)=".",ISNUMBER(FIND("x"&amp;MID(B635,7,1),"x0x1x2x3x4x5x6x7x8x9"))),OR(8&gt;LEN(B635),MID(B635,8,1)=".",ISNUMBER(FIND("x"&amp;MID(B635,8,1),"x0x1x2x3x4x5x6x7x8x9"))),OR(9&gt;LEN(B635),MID(B635,9,1)=".",ISNUMBER(FIND("x"&amp;MID(B635,9,1),"x0x1x2x3x4x5x6x7x8x9"))),OR(10&gt;LEN(B635),MID(B635,10,1)=".",ISNUMBER(FIND("x"&amp;MID(B635,10,1),"x0x1x2x3x4x5x6x7x8x9"))),OR(AND(FIND(".",B635)=5,LEN(B635)-FIND(".",B635,FIND(".",B635)+1)&gt;=1,LEN(B635)-FIND(".",B635,FIND(".",B635)+1)&lt;=2),AND(LEN(B635)-FIND(".",B635,FIND(".",B635)+1)=4,FIND(".",B635)&gt;=2,FIND(".",B635)&lt;=3)),FIND(".",B635,FIND(".",B635)+1)-FIND(".",B635)&gt;=2,FIND(".",B635,FIND(".",B635)+1)-FIND(".",B635)&lt;=3,F635&gt;=2000,F635&lt;=2100,YEAR(I635)=F635,MONTH(I635)=G635,DAY(I635)=H635),I635,0)),0)</ns0:f>
        <ns0:v>0</ns0:v>
      </ns0:c>
      <ns0:c r="K635" s="0">
        <ns0:f>IFERROR(IF(ISNUMBER(Bookings!D635),"",TRIM(Bookings!D635&amp;"")),"")</ns0:f>
      </ns0:c>
      <ns0:c r="L635" s="0">
        <ns0:f>IFERROR(SUBSTITUTE(SUBSTITUTE(K635,"/","."),"-","."),"")</ns0:f>
      </ns0:c>
      <ns0:c r="M635" s="0">
        <ns0:f>IFERROR(LEFT(L635,FIND(".",L635)-1),"")</ns0:f>
      </ns0:c>
      <ns0:c r="N635" s="0">
        <ns0:f>IFERROR(MID(L635,FIND(".",L635)+1,FIND(".",L635,FIND(".",L635)+1)-FIND(".",L635)-1),"")</ns0:f>
      </ns0:c>
      <ns0:c r="O635" s="0">
        <ns0:f>IFERROR(MID(L635,FIND(".",L635,FIND(".",L635)+1)+1,99),"")</ns0:f>
        <ns0:v>99</ns0:v>
      </ns0:c>
      <ns0:c r="P635" s="0">
        <ns0:f>IFERROR(IF(FIND(".",L635)=5,--M635,--O635),0)</ns0:f>
        <ns0:v>0</ns0:v>
      </ns0:c>
      <ns0:c r="Q635" s="0">
        <ns0:f>IFERROR(--N635,0)</ns0:f>
        <ns0:v>0</ns0:v>
      </ns0:c>
      <ns0:c r="R635" s="0">
        <ns0:f>IFERROR(IF(FIND(".",L635)=5,--O635,--M635),0)</ns0:f>
        <ns0:v>0</ns0:v>
      </ns0:c>
      <ns0:c r="S635" s="0">
        <ns0:f>IFERROR(IF(AND(P635&gt;=2000,P635&lt;=2100,Q635&gt;=1,Q635&lt;=12,R635&gt;=1,R635&lt;=31),DATE(P635,Q635,R635),0),0)</ns0:f>
        <ns0:v>0</ns0:v>
      </ns0:c>
      <ns0:c r="T635" s="0">
        <ns0:f>IFERROR(IF(ISNUMBER(Bookings!D635),IF(AND(Bookings!D635=INT(Bookings!D635),Bookings!D635&gt;=DATE(2000,1,1),Bookings!D635&lt;=DATE(2100,12,31)),Bookings!D635,0),IF(AND(K635&lt;&gt;"",LEN("x"&amp;L635)-LEN(SUBSTITUTE("x"&amp;L635,".",""))=2,OR(1&gt;LEN(L635),MID(L635,1,1)=".",ISNUMBER(FIND("x"&amp;MID(L635,1,1),"x0x1x2x3x4x5x6x7x8x9"))),OR(2&gt;LEN(L635),MID(L635,2,1)=".",ISNUMBER(FIND("x"&amp;MID(L635,2,1),"x0x1x2x3x4x5x6x7x8x9"))),OR(3&gt;LEN(L635),MID(L635,3,1)=".",ISNUMBER(FIND("x"&amp;MID(L635,3,1),"x0x1x2x3x4x5x6x7x8x9"))),OR(4&gt;LEN(L635),MID(L635,4,1)=".",ISNUMBER(FIND("x"&amp;MID(L635,4,1),"x0x1x2x3x4x5x6x7x8x9"))),OR(5&gt;LEN(L635),MID(L635,5,1)=".",ISNUMBER(FIND("x"&amp;MID(L635,5,1),"x0x1x2x3x4x5x6x7x8x9"))),OR(6&gt;LEN(L635),MID(L635,6,1)=".",ISNUMBER(FIND("x"&amp;MID(L635,6,1),"x0x1x2x3x4x5x6x7x8x9"))),OR(7&gt;LEN(L635),MID(L635,7,1)=".",ISNUMBER(FIND("x"&amp;MID(L635,7,1),"x0x1x2x3x4x5x6x7x8x9"))),OR(8&gt;LEN(L635),MID(L635,8,1)=".",ISNUMBER(FIND("x"&amp;MID(L635,8,1),"x0x1x2x3x4x5x6x7x8x9"))),OR(9&gt;LEN(L635),MID(L635,9,1)=".",ISNUMBER(FIND("x"&amp;MID(L635,9,1),"x0x1x2x3x4x5x6x7x8x9"))),OR(10&gt;LEN(L635),MID(L635,10,1)=".",ISNUMBER(FIND("x"&amp;MID(L635,10,1),"x0x1x2x3x4x5x6x7x8x9"))),OR(AND(FIND(".",L635)=5,LEN(L635)-FIND(".",L635,FIND(".",L635)+1)&gt;=1,LEN(L635)-FIND(".",L635,FIND(".",L635)+1)&lt;=2),AND(LEN(L635)-FIND(".",L635,FIND(".",L635)+1)=4,FIND(".",L635)&gt;=2,FIND(".",L635)&lt;=3)),FIND(".",L635,FIND(".",L635)+1)-FIND(".",L635)&gt;=2,FIND(".",L635,FIND(".",L635)+1)-FIND(".",L635)&lt;=3,P635&gt;=2000,P635&lt;=2100,YEAR(S635)=P635,MONTH(S635)=Q635,DAY(S635)=R635),S635,0)),0)</ns0:f>
        <ns0:v>0</ns0:v>
      </ns0:c>
      <ns0:c r="U635" s="0" t="str">
        <ns0:f>IF(Bookings!C635="","Full day",Bookings!C635)</ns0:f>
        <ns0:v>Full day</ns0:v>
      </ns0:c>
      <ns0:c r="V635" s="0" t="str">
        <ns0:f>IF(Bookings!E635="","Full day",Bookings!E635)</ns0:f>
        <ns0:v>Full day</ns0:v>
      </ns0:c>
      <ns0:c r="W635" s="0">
        <ns0:f>IF(J635=0,0,J635+IF(U635="PM",1,0))</ns0:f>
        <ns0:v>0</ns0:v>
      </ns0:c>
      <ns0:c r="X635" s="0">
        <ns0:f>IF(T635=0,0,T635-IF(V635="PM",1,0))</ns0:f>
        <ns0:v>0</ns0:v>
      </ns0:c>
      <ns0:c r="Y635" s="0">
        <ns0:f>IF(J635=0,0,J635+IF(U635="AM",1,0))</ns0:f>
        <ns0:v>0</ns0:v>
      </ns0:c>
      <ns0:c r="Z635" s="0">
        <ns0:f>IF(T635=0,0,T635-IF(V635="AM",1,0))</ns0:f>
        <ns0:v>0</ns0:v>
      </ns0:c>
      <ns0:c r="AA635" s="0">
        <ns0:f>IFERROR(IF(AND(J635&gt;0,'_Engine'!C635&gt;0,MID('_Engine'!W635,WEEKDAY(J635,2),1)="W",COUNTIF(Settings!$F$18:$F$67,J635)=0),1,0),0)</ns0:f>
        <ns0:v>0</ns0:v>
      </ns0:c>
      <ns0:c r="AB635" s="0">
        <ns0:f>IFERROR(IF(AND(T635&gt;0,'_Engine'!C635&gt;0,MID('_Engine'!W635,WEEKDAY(T635,2),1)="W",COUNTIF(Settings!$F$18:$F$67,T635)=0),1,0),0)</ns0:f>
        <ns0:v>0</ns0:v>
      </ns0:c>
      <ns0:c r="AC635" s="0">
        <ns0:f>IF(AND(J635&gt;0,T635&gt;0,W635&lt;=X635),1,0)</ns0:f>
        <ns0:v>0</ns0:v>
      </ns0:c>
      <ns0:c r="AD635" s="0">
        <ns0:f>IF(AND(J635&gt;0,T635&gt;0,Y635&lt;=Z635),1,0)</ns0:f>
        <ns0:v>0</ns0:v>
      </ns0:c>
    </ns0:row>
    <ns0:row r="636">
      <ns0:c r="A636" s="0">
        <ns0:f>IFERROR(IF(ISNUMBER(Bookings!B636),"",TRIM(Bookings!B636&amp;"")),"")</ns0:f>
      </ns0:c>
      <ns0:c r="B636" s="0">
        <ns0:f>IFERROR(SUBSTITUTE(SUBSTITUTE(A636,"/","."),"-","."),"")</ns0:f>
      </ns0:c>
      <ns0:c r="C636" s="0">
        <ns0:f>IFERROR(LEFT(B636,FIND(".",B636)-1),"")</ns0:f>
      </ns0:c>
      <ns0:c r="D636" s="0">
        <ns0:f>IFERROR(MID(B636,FIND(".",B636)+1,FIND(".",B636,FIND(".",B636)+1)-FIND(".",B636)-1),"")</ns0:f>
      </ns0:c>
      <ns0:c r="E636" s="0">
        <ns0:f>IFERROR(MID(B636,FIND(".",B636,FIND(".",B636)+1)+1,99),"")</ns0:f>
        <ns0:v>99</ns0:v>
      </ns0:c>
      <ns0:c r="F636" s="0">
        <ns0:f>IFERROR(IF(FIND(".",B636)=5,--C636,--E636),0)</ns0:f>
        <ns0:v>0</ns0:v>
      </ns0:c>
      <ns0:c r="G636" s="0">
        <ns0:f>IFERROR(--D636,0)</ns0:f>
        <ns0:v>0</ns0:v>
      </ns0:c>
      <ns0:c r="H636" s="0">
        <ns0:f>IFERROR(IF(FIND(".",B636)=5,--E636,--C636),0)</ns0:f>
        <ns0:v>0</ns0:v>
      </ns0:c>
      <ns0:c r="I636" s="0">
        <ns0:f>IFERROR(IF(AND(F636&gt;=2000,F636&lt;=2100,G636&gt;=1,G636&lt;=12,H636&gt;=1,H636&lt;=31),DATE(F636,G636,H636),0),0)</ns0:f>
        <ns0:v>0</ns0:v>
      </ns0:c>
      <ns0:c r="J636" s="0">
        <ns0:f>IFERROR(IF(ISNUMBER(Bookings!B636),IF(AND(Bookings!B636=INT(Bookings!B636),Bookings!B636&gt;=DATE(2000,1,1),Bookings!B636&lt;=DATE(2100,12,31)),Bookings!B636,0),IF(AND(A636&lt;&gt;"",LEN("x"&amp;B636)-LEN(SUBSTITUTE("x"&amp;B636,".",""))=2,OR(1&gt;LEN(B636),MID(B636,1,1)=".",ISNUMBER(FIND("x"&amp;MID(B636,1,1),"x0x1x2x3x4x5x6x7x8x9"))),OR(2&gt;LEN(B636),MID(B636,2,1)=".",ISNUMBER(FIND("x"&amp;MID(B636,2,1),"x0x1x2x3x4x5x6x7x8x9"))),OR(3&gt;LEN(B636),MID(B636,3,1)=".",ISNUMBER(FIND("x"&amp;MID(B636,3,1),"x0x1x2x3x4x5x6x7x8x9"))),OR(4&gt;LEN(B636),MID(B636,4,1)=".",ISNUMBER(FIND("x"&amp;MID(B636,4,1),"x0x1x2x3x4x5x6x7x8x9"))),OR(5&gt;LEN(B636),MID(B636,5,1)=".",ISNUMBER(FIND("x"&amp;MID(B636,5,1),"x0x1x2x3x4x5x6x7x8x9"))),OR(6&gt;LEN(B636),MID(B636,6,1)=".",ISNUMBER(FIND("x"&amp;MID(B636,6,1),"x0x1x2x3x4x5x6x7x8x9"))),OR(7&gt;LEN(B636),MID(B636,7,1)=".",ISNUMBER(FIND("x"&amp;MID(B636,7,1),"x0x1x2x3x4x5x6x7x8x9"))),OR(8&gt;LEN(B636),MID(B636,8,1)=".",ISNUMBER(FIND("x"&amp;MID(B636,8,1),"x0x1x2x3x4x5x6x7x8x9"))),OR(9&gt;LEN(B636),MID(B636,9,1)=".",ISNUMBER(FIND("x"&amp;MID(B636,9,1),"x0x1x2x3x4x5x6x7x8x9"))),OR(10&gt;LEN(B636),MID(B636,10,1)=".",ISNUMBER(FIND("x"&amp;MID(B636,10,1),"x0x1x2x3x4x5x6x7x8x9"))),OR(AND(FIND(".",B636)=5,LEN(B636)-FIND(".",B636,FIND(".",B636)+1)&gt;=1,LEN(B636)-FIND(".",B636,FIND(".",B636)+1)&lt;=2),AND(LEN(B636)-FIND(".",B636,FIND(".",B636)+1)=4,FIND(".",B636)&gt;=2,FIND(".",B636)&lt;=3)),FIND(".",B636,FIND(".",B636)+1)-FIND(".",B636)&gt;=2,FIND(".",B636,FIND(".",B636)+1)-FIND(".",B636)&lt;=3,F636&gt;=2000,F636&lt;=2100,YEAR(I636)=F636,MONTH(I636)=G636,DAY(I636)=H636),I636,0)),0)</ns0:f>
        <ns0:v>0</ns0:v>
      </ns0:c>
      <ns0:c r="K636" s="0">
        <ns0:f>IFERROR(IF(ISNUMBER(Bookings!D636),"",TRIM(Bookings!D636&amp;"")),"")</ns0:f>
      </ns0:c>
      <ns0:c r="L636" s="0">
        <ns0:f>IFERROR(SUBSTITUTE(SUBSTITUTE(K636,"/","."),"-","."),"")</ns0:f>
      </ns0:c>
      <ns0:c r="M636" s="0">
        <ns0:f>IFERROR(LEFT(L636,FIND(".",L636)-1),"")</ns0:f>
      </ns0:c>
      <ns0:c r="N636" s="0">
        <ns0:f>IFERROR(MID(L636,FIND(".",L636)+1,FIND(".",L636,FIND(".",L636)+1)-FIND(".",L636)-1),"")</ns0:f>
      </ns0:c>
      <ns0:c r="O636" s="0">
        <ns0:f>IFERROR(MID(L636,FIND(".",L636,FIND(".",L636)+1)+1,99),"")</ns0:f>
        <ns0:v>99</ns0:v>
      </ns0:c>
      <ns0:c r="P636" s="0">
        <ns0:f>IFERROR(IF(FIND(".",L636)=5,--M636,--O636),0)</ns0:f>
        <ns0:v>0</ns0:v>
      </ns0:c>
      <ns0:c r="Q636" s="0">
        <ns0:f>IFERROR(--N636,0)</ns0:f>
        <ns0:v>0</ns0:v>
      </ns0:c>
      <ns0:c r="R636" s="0">
        <ns0:f>IFERROR(IF(FIND(".",L636)=5,--O636,--M636),0)</ns0:f>
        <ns0:v>0</ns0:v>
      </ns0:c>
      <ns0:c r="S636" s="0">
        <ns0:f>IFERROR(IF(AND(P636&gt;=2000,P636&lt;=2100,Q636&gt;=1,Q636&lt;=12,R636&gt;=1,R636&lt;=31),DATE(P636,Q636,R636),0),0)</ns0:f>
        <ns0:v>0</ns0:v>
      </ns0:c>
      <ns0:c r="T636" s="0">
        <ns0:f>IFERROR(IF(ISNUMBER(Bookings!D636),IF(AND(Bookings!D636=INT(Bookings!D636),Bookings!D636&gt;=DATE(2000,1,1),Bookings!D636&lt;=DATE(2100,12,31)),Bookings!D636,0),IF(AND(K636&lt;&gt;"",LEN("x"&amp;L636)-LEN(SUBSTITUTE("x"&amp;L636,".",""))=2,OR(1&gt;LEN(L636),MID(L636,1,1)=".",ISNUMBER(FIND("x"&amp;MID(L636,1,1),"x0x1x2x3x4x5x6x7x8x9"))),OR(2&gt;LEN(L636),MID(L636,2,1)=".",ISNUMBER(FIND("x"&amp;MID(L636,2,1),"x0x1x2x3x4x5x6x7x8x9"))),OR(3&gt;LEN(L636),MID(L636,3,1)=".",ISNUMBER(FIND("x"&amp;MID(L636,3,1),"x0x1x2x3x4x5x6x7x8x9"))),OR(4&gt;LEN(L636),MID(L636,4,1)=".",ISNUMBER(FIND("x"&amp;MID(L636,4,1),"x0x1x2x3x4x5x6x7x8x9"))),OR(5&gt;LEN(L636),MID(L636,5,1)=".",ISNUMBER(FIND("x"&amp;MID(L636,5,1),"x0x1x2x3x4x5x6x7x8x9"))),OR(6&gt;LEN(L636),MID(L636,6,1)=".",ISNUMBER(FIND("x"&amp;MID(L636,6,1),"x0x1x2x3x4x5x6x7x8x9"))),OR(7&gt;LEN(L636),MID(L636,7,1)=".",ISNUMBER(FIND("x"&amp;MID(L636,7,1),"x0x1x2x3x4x5x6x7x8x9"))),OR(8&gt;LEN(L636),MID(L636,8,1)=".",ISNUMBER(FIND("x"&amp;MID(L636,8,1),"x0x1x2x3x4x5x6x7x8x9"))),OR(9&gt;LEN(L636),MID(L636,9,1)=".",ISNUMBER(FIND("x"&amp;MID(L636,9,1),"x0x1x2x3x4x5x6x7x8x9"))),OR(10&gt;LEN(L636),MID(L636,10,1)=".",ISNUMBER(FIND("x"&amp;MID(L636,10,1),"x0x1x2x3x4x5x6x7x8x9"))),OR(AND(FIND(".",L636)=5,LEN(L636)-FIND(".",L636,FIND(".",L636)+1)&gt;=1,LEN(L636)-FIND(".",L636,FIND(".",L636)+1)&lt;=2),AND(LEN(L636)-FIND(".",L636,FIND(".",L636)+1)=4,FIND(".",L636)&gt;=2,FIND(".",L636)&lt;=3)),FIND(".",L636,FIND(".",L636)+1)-FIND(".",L636)&gt;=2,FIND(".",L636,FIND(".",L636)+1)-FIND(".",L636)&lt;=3,P636&gt;=2000,P636&lt;=2100,YEAR(S636)=P636,MONTH(S636)=Q636,DAY(S636)=R636),S636,0)),0)</ns0:f>
        <ns0:v>0</ns0:v>
      </ns0:c>
      <ns0:c r="U636" s="0" t="str">
        <ns0:f>IF(Bookings!C636="","Full day",Bookings!C636)</ns0:f>
        <ns0:v>Full day</ns0:v>
      </ns0:c>
      <ns0:c r="V636" s="0" t="str">
        <ns0:f>IF(Bookings!E636="","Full day",Bookings!E636)</ns0:f>
        <ns0:v>Full day</ns0:v>
      </ns0:c>
      <ns0:c r="W636" s="0">
        <ns0:f>IF(J636=0,0,J636+IF(U636="PM",1,0))</ns0:f>
        <ns0:v>0</ns0:v>
      </ns0:c>
      <ns0:c r="X636" s="0">
        <ns0:f>IF(T636=0,0,T636-IF(V636="PM",1,0))</ns0:f>
        <ns0:v>0</ns0:v>
      </ns0:c>
      <ns0:c r="Y636" s="0">
        <ns0:f>IF(J636=0,0,J636+IF(U636="AM",1,0))</ns0:f>
        <ns0:v>0</ns0:v>
      </ns0:c>
      <ns0:c r="Z636" s="0">
        <ns0:f>IF(T636=0,0,T636-IF(V636="AM",1,0))</ns0:f>
        <ns0:v>0</ns0:v>
      </ns0:c>
      <ns0:c r="AA636" s="0">
        <ns0:f>IFERROR(IF(AND(J636&gt;0,'_Engine'!C636&gt;0,MID('_Engine'!W636,WEEKDAY(J636,2),1)="W",COUNTIF(Settings!$F$18:$F$67,J636)=0),1,0),0)</ns0:f>
        <ns0:v>0</ns0:v>
      </ns0:c>
      <ns0:c r="AB636" s="0">
        <ns0:f>IFERROR(IF(AND(T636&gt;0,'_Engine'!C636&gt;0,MID('_Engine'!W636,WEEKDAY(T636,2),1)="W",COUNTIF(Settings!$F$18:$F$67,T636)=0),1,0),0)</ns0:f>
        <ns0:v>0</ns0:v>
      </ns0:c>
      <ns0:c r="AC636" s="0">
        <ns0:f>IF(AND(J636&gt;0,T636&gt;0,W636&lt;=X636),1,0)</ns0:f>
        <ns0:v>0</ns0:v>
      </ns0:c>
      <ns0:c r="AD636" s="0">
        <ns0:f>IF(AND(J636&gt;0,T636&gt;0,Y636&lt;=Z636),1,0)</ns0:f>
        <ns0:v>0</ns0:v>
      </ns0:c>
    </ns0:row>
    <ns0:row r="637">
      <ns0:c r="A637" s="0">
        <ns0:f>IFERROR(IF(ISNUMBER(Bookings!B637),"",TRIM(Bookings!B637&amp;"")),"")</ns0:f>
      </ns0:c>
      <ns0:c r="B637" s="0">
        <ns0:f>IFERROR(SUBSTITUTE(SUBSTITUTE(A637,"/","."),"-","."),"")</ns0:f>
      </ns0:c>
      <ns0:c r="C637" s="0">
        <ns0:f>IFERROR(LEFT(B637,FIND(".",B637)-1),"")</ns0:f>
      </ns0:c>
      <ns0:c r="D637" s="0">
        <ns0:f>IFERROR(MID(B637,FIND(".",B637)+1,FIND(".",B637,FIND(".",B637)+1)-FIND(".",B637)-1),"")</ns0:f>
      </ns0:c>
      <ns0:c r="E637" s="0">
        <ns0:f>IFERROR(MID(B637,FIND(".",B637,FIND(".",B637)+1)+1,99),"")</ns0:f>
        <ns0:v>99</ns0:v>
      </ns0:c>
      <ns0:c r="F637" s="0">
        <ns0:f>IFERROR(IF(FIND(".",B637)=5,--C637,--E637),0)</ns0:f>
        <ns0:v>0</ns0:v>
      </ns0:c>
      <ns0:c r="G637" s="0">
        <ns0:f>IFERROR(--D637,0)</ns0:f>
        <ns0:v>0</ns0:v>
      </ns0:c>
      <ns0:c r="H637" s="0">
        <ns0:f>IFERROR(IF(FIND(".",B637)=5,--E637,--C637),0)</ns0:f>
        <ns0:v>0</ns0:v>
      </ns0:c>
      <ns0:c r="I637" s="0">
        <ns0:f>IFERROR(IF(AND(F637&gt;=2000,F637&lt;=2100,G637&gt;=1,G637&lt;=12,H637&gt;=1,H637&lt;=31),DATE(F637,G637,H637),0),0)</ns0:f>
        <ns0:v>0</ns0:v>
      </ns0:c>
      <ns0:c r="J637" s="0">
        <ns0:f>IFERROR(IF(ISNUMBER(Bookings!B637),IF(AND(Bookings!B637=INT(Bookings!B637),Bookings!B637&gt;=DATE(2000,1,1),Bookings!B637&lt;=DATE(2100,12,31)),Bookings!B637,0),IF(AND(A637&lt;&gt;"",LEN("x"&amp;B637)-LEN(SUBSTITUTE("x"&amp;B637,".",""))=2,OR(1&gt;LEN(B637),MID(B637,1,1)=".",ISNUMBER(FIND("x"&amp;MID(B637,1,1),"x0x1x2x3x4x5x6x7x8x9"))),OR(2&gt;LEN(B637),MID(B637,2,1)=".",ISNUMBER(FIND("x"&amp;MID(B637,2,1),"x0x1x2x3x4x5x6x7x8x9"))),OR(3&gt;LEN(B637),MID(B637,3,1)=".",ISNUMBER(FIND("x"&amp;MID(B637,3,1),"x0x1x2x3x4x5x6x7x8x9"))),OR(4&gt;LEN(B637),MID(B637,4,1)=".",ISNUMBER(FIND("x"&amp;MID(B637,4,1),"x0x1x2x3x4x5x6x7x8x9"))),OR(5&gt;LEN(B637),MID(B637,5,1)=".",ISNUMBER(FIND("x"&amp;MID(B637,5,1),"x0x1x2x3x4x5x6x7x8x9"))),OR(6&gt;LEN(B637),MID(B637,6,1)=".",ISNUMBER(FIND("x"&amp;MID(B637,6,1),"x0x1x2x3x4x5x6x7x8x9"))),OR(7&gt;LEN(B637),MID(B637,7,1)=".",ISNUMBER(FIND("x"&amp;MID(B637,7,1),"x0x1x2x3x4x5x6x7x8x9"))),OR(8&gt;LEN(B637),MID(B637,8,1)=".",ISNUMBER(FIND("x"&amp;MID(B637,8,1),"x0x1x2x3x4x5x6x7x8x9"))),OR(9&gt;LEN(B637),MID(B637,9,1)=".",ISNUMBER(FIND("x"&amp;MID(B637,9,1),"x0x1x2x3x4x5x6x7x8x9"))),OR(10&gt;LEN(B637),MID(B637,10,1)=".",ISNUMBER(FIND("x"&amp;MID(B637,10,1),"x0x1x2x3x4x5x6x7x8x9"))),OR(AND(FIND(".",B637)=5,LEN(B637)-FIND(".",B637,FIND(".",B637)+1)&gt;=1,LEN(B637)-FIND(".",B637,FIND(".",B637)+1)&lt;=2),AND(LEN(B637)-FIND(".",B637,FIND(".",B637)+1)=4,FIND(".",B637)&gt;=2,FIND(".",B637)&lt;=3)),FIND(".",B637,FIND(".",B637)+1)-FIND(".",B637)&gt;=2,FIND(".",B637,FIND(".",B637)+1)-FIND(".",B637)&lt;=3,F637&gt;=2000,F637&lt;=2100,YEAR(I637)=F637,MONTH(I637)=G637,DAY(I637)=H637),I637,0)),0)</ns0:f>
        <ns0:v>0</ns0:v>
      </ns0:c>
      <ns0:c r="K637" s="0">
        <ns0:f>IFERROR(IF(ISNUMBER(Bookings!D637),"",TRIM(Bookings!D637&amp;"")),"")</ns0:f>
      </ns0:c>
      <ns0:c r="L637" s="0">
        <ns0:f>IFERROR(SUBSTITUTE(SUBSTITUTE(K637,"/","."),"-","."),"")</ns0:f>
      </ns0:c>
      <ns0:c r="M637" s="0">
        <ns0:f>IFERROR(LEFT(L637,FIND(".",L637)-1),"")</ns0:f>
      </ns0:c>
      <ns0:c r="N637" s="0">
        <ns0:f>IFERROR(MID(L637,FIND(".",L637)+1,FIND(".",L637,FIND(".",L637)+1)-FIND(".",L637)-1),"")</ns0:f>
      </ns0:c>
      <ns0:c r="O637" s="0">
        <ns0:f>IFERROR(MID(L637,FIND(".",L637,FIND(".",L637)+1)+1,99),"")</ns0:f>
        <ns0:v>99</ns0:v>
      </ns0:c>
      <ns0:c r="P637" s="0">
        <ns0:f>IFERROR(IF(FIND(".",L637)=5,--M637,--O637),0)</ns0:f>
        <ns0:v>0</ns0:v>
      </ns0:c>
      <ns0:c r="Q637" s="0">
        <ns0:f>IFERROR(--N637,0)</ns0:f>
        <ns0:v>0</ns0:v>
      </ns0:c>
      <ns0:c r="R637" s="0">
        <ns0:f>IFERROR(IF(FIND(".",L637)=5,--O637,--M637),0)</ns0:f>
        <ns0:v>0</ns0:v>
      </ns0:c>
      <ns0:c r="S637" s="0">
        <ns0:f>IFERROR(IF(AND(P637&gt;=2000,P637&lt;=2100,Q637&gt;=1,Q637&lt;=12,R637&gt;=1,R637&lt;=31),DATE(P637,Q637,R637),0),0)</ns0:f>
        <ns0:v>0</ns0:v>
      </ns0:c>
      <ns0:c r="T637" s="0">
        <ns0:f>IFERROR(IF(ISNUMBER(Bookings!D637),IF(AND(Bookings!D637=INT(Bookings!D637),Bookings!D637&gt;=DATE(2000,1,1),Bookings!D637&lt;=DATE(2100,12,31)),Bookings!D637,0),IF(AND(K637&lt;&gt;"",LEN("x"&amp;L637)-LEN(SUBSTITUTE("x"&amp;L637,".",""))=2,OR(1&gt;LEN(L637),MID(L637,1,1)=".",ISNUMBER(FIND("x"&amp;MID(L637,1,1),"x0x1x2x3x4x5x6x7x8x9"))),OR(2&gt;LEN(L637),MID(L637,2,1)=".",ISNUMBER(FIND("x"&amp;MID(L637,2,1),"x0x1x2x3x4x5x6x7x8x9"))),OR(3&gt;LEN(L637),MID(L637,3,1)=".",ISNUMBER(FIND("x"&amp;MID(L637,3,1),"x0x1x2x3x4x5x6x7x8x9"))),OR(4&gt;LEN(L637),MID(L637,4,1)=".",ISNUMBER(FIND("x"&amp;MID(L637,4,1),"x0x1x2x3x4x5x6x7x8x9"))),OR(5&gt;LEN(L637),MID(L637,5,1)=".",ISNUMBER(FIND("x"&amp;MID(L637,5,1),"x0x1x2x3x4x5x6x7x8x9"))),OR(6&gt;LEN(L637),MID(L637,6,1)=".",ISNUMBER(FIND("x"&amp;MID(L637,6,1),"x0x1x2x3x4x5x6x7x8x9"))),OR(7&gt;LEN(L637),MID(L637,7,1)=".",ISNUMBER(FIND("x"&amp;MID(L637,7,1),"x0x1x2x3x4x5x6x7x8x9"))),OR(8&gt;LEN(L637),MID(L637,8,1)=".",ISNUMBER(FIND("x"&amp;MID(L637,8,1),"x0x1x2x3x4x5x6x7x8x9"))),OR(9&gt;LEN(L637),MID(L637,9,1)=".",ISNUMBER(FIND("x"&amp;MID(L637,9,1),"x0x1x2x3x4x5x6x7x8x9"))),OR(10&gt;LEN(L637),MID(L637,10,1)=".",ISNUMBER(FIND("x"&amp;MID(L637,10,1),"x0x1x2x3x4x5x6x7x8x9"))),OR(AND(FIND(".",L637)=5,LEN(L637)-FIND(".",L637,FIND(".",L637)+1)&gt;=1,LEN(L637)-FIND(".",L637,FIND(".",L637)+1)&lt;=2),AND(LEN(L637)-FIND(".",L637,FIND(".",L637)+1)=4,FIND(".",L637)&gt;=2,FIND(".",L637)&lt;=3)),FIND(".",L637,FIND(".",L637)+1)-FIND(".",L637)&gt;=2,FIND(".",L637,FIND(".",L637)+1)-FIND(".",L637)&lt;=3,P637&gt;=2000,P637&lt;=2100,YEAR(S637)=P637,MONTH(S637)=Q637,DAY(S637)=R637),S637,0)),0)</ns0:f>
        <ns0:v>0</ns0:v>
      </ns0:c>
      <ns0:c r="U637" s="0" t="str">
        <ns0:f>IF(Bookings!C637="","Full day",Bookings!C637)</ns0:f>
        <ns0:v>Full day</ns0:v>
      </ns0:c>
      <ns0:c r="V637" s="0" t="str">
        <ns0:f>IF(Bookings!E637="","Full day",Bookings!E637)</ns0:f>
        <ns0:v>Full day</ns0:v>
      </ns0:c>
      <ns0:c r="W637" s="0">
        <ns0:f>IF(J637=0,0,J637+IF(U637="PM",1,0))</ns0:f>
        <ns0:v>0</ns0:v>
      </ns0:c>
      <ns0:c r="X637" s="0">
        <ns0:f>IF(T637=0,0,T637-IF(V637="PM",1,0))</ns0:f>
        <ns0:v>0</ns0:v>
      </ns0:c>
      <ns0:c r="Y637" s="0">
        <ns0:f>IF(J637=0,0,J637+IF(U637="AM",1,0))</ns0:f>
        <ns0:v>0</ns0:v>
      </ns0:c>
      <ns0:c r="Z637" s="0">
        <ns0:f>IF(T637=0,0,T637-IF(V637="AM",1,0))</ns0:f>
        <ns0:v>0</ns0:v>
      </ns0:c>
      <ns0:c r="AA637" s="0">
        <ns0:f>IFERROR(IF(AND(J637&gt;0,'_Engine'!C637&gt;0,MID('_Engine'!W637,WEEKDAY(J637,2),1)="W",COUNTIF(Settings!$F$18:$F$67,J637)=0),1,0),0)</ns0:f>
        <ns0:v>0</ns0:v>
      </ns0:c>
      <ns0:c r="AB637" s="0">
        <ns0:f>IFERROR(IF(AND(T637&gt;0,'_Engine'!C637&gt;0,MID('_Engine'!W637,WEEKDAY(T637,2),1)="W",COUNTIF(Settings!$F$18:$F$67,T637)=0),1,0),0)</ns0:f>
        <ns0:v>0</ns0:v>
      </ns0:c>
      <ns0:c r="AC637" s="0">
        <ns0:f>IF(AND(J637&gt;0,T637&gt;0,W637&lt;=X637),1,0)</ns0:f>
        <ns0:v>0</ns0:v>
      </ns0:c>
      <ns0:c r="AD637" s="0">
        <ns0:f>IF(AND(J637&gt;0,T637&gt;0,Y637&lt;=Z637),1,0)</ns0:f>
        <ns0:v>0</ns0:v>
      </ns0:c>
    </ns0:row>
    <ns0:row r="638">
      <ns0:c r="A638" s="0">
        <ns0:f>IFERROR(IF(ISNUMBER(Bookings!B638),"",TRIM(Bookings!B638&amp;"")),"")</ns0:f>
      </ns0:c>
      <ns0:c r="B638" s="0">
        <ns0:f>IFERROR(SUBSTITUTE(SUBSTITUTE(A638,"/","."),"-","."),"")</ns0:f>
      </ns0:c>
      <ns0:c r="C638" s="0">
        <ns0:f>IFERROR(LEFT(B638,FIND(".",B638)-1),"")</ns0:f>
      </ns0:c>
      <ns0:c r="D638" s="0">
        <ns0:f>IFERROR(MID(B638,FIND(".",B638)+1,FIND(".",B638,FIND(".",B638)+1)-FIND(".",B638)-1),"")</ns0:f>
      </ns0:c>
      <ns0:c r="E638" s="0">
        <ns0:f>IFERROR(MID(B638,FIND(".",B638,FIND(".",B638)+1)+1,99),"")</ns0:f>
        <ns0:v>99</ns0:v>
      </ns0:c>
      <ns0:c r="F638" s="0">
        <ns0:f>IFERROR(IF(FIND(".",B638)=5,--C638,--E638),0)</ns0:f>
        <ns0:v>0</ns0:v>
      </ns0:c>
      <ns0:c r="G638" s="0">
        <ns0:f>IFERROR(--D638,0)</ns0:f>
        <ns0:v>0</ns0:v>
      </ns0:c>
      <ns0:c r="H638" s="0">
        <ns0:f>IFERROR(IF(FIND(".",B638)=5,--E638,--C638),0)</ns0:f>
        <ns0:v>0</ns0:v>
      </ns0:c>
      <ns0:c r="I638" s="0">
        <ns0:f>IFERROR(IF(AND(F638&gt;=2000,F638&lt;=2100,G638&gt;=1,G638&lt;=12,H638&gt;=1,H638&lt;=31),DATE(F638,G638,H638),0),0)</ns0:f>
        <ns0:v>0</ns0:v>
      </ns0:c>
      <ns0:c r="J638" s="0">
        <ns0:f>IFERROR(IF(ISNUMBER(Bookings!B638),IF(AND(Bookings!B638=INT(Bookings!B638),Bookings!B638&gt;=DATE(2000,1,1),Bookings!B638&lt;=DATE(2100,12,31)),Bookings!B638,0),IF(AND(A638&lt;&gt;"",LEN("x"&amp;B638)-LEN(SUBSTITUTE("x"&amp;B638,".",""))=2,OR(1&gt;LEN(B638),MID(B638,1,1)=".",ISNUMBER(FIND("x"&amp;MID(B638,1,1),"x0x1x2x3x4x5x6x7x8x9"))),OR(2&gt;LEN(B638),MID(B638,2,1)=".",ISNUMBER(FIND("x"&amp;MID(B638,2,1),"x0x1x2x3x4x5x6x7x8x9"))),OR(3&gt;LEN(B638),MID(B638,3,1)=".",ISNUMBER(FIND("x"&amp;MID(B638,3,1),"x0x1x2x3x4x5x6x7x8x9"))),OR(4&gt;LEN(B638),MID(B638,4,1)=".",ISNUMBER(FIND("x"&amp;MID(B638,4,1),"x0x1x2x3x4x5x6x7x8x9"))),OR(5&gt;LEN(B638),MID(B638,5,1)=".",ISNUMBER(FIND("x"&amp;MID(B638,5,1),"x0x1x2x3x4x5x6x7x8x9"))),OR(6&gt;LEN(B638),MID(B638,6,1)=".",ISNUMBER(FIND("x"&amp;MID(B638,6,1),"x0x1x2x3x4x5x6x7x8x9"))),OR(7&gt;LEN(B638),MID(B638,7,1)=".",ISNUMBER(FIND("x"&amp;MID(B638,7,1),"x0x1x2x3x4x5x6x7x8x9"))),OR(8&gt;LEN(B638),MID(B638,8,1)=".",ISNUMBER(FIND("x"&amp;MID(B638,8,1),"x0x1x2x3x4x5x6x7x8x9"))),OR(9&gt;LEN(B638),MID(B638,9,1)=".",ISNUMBER(FIND("x"&amp;MID(B638,9,1),"x0x1x2x3x4x5x6x7x8x9"))),OR(10&gt;LEN(B638),MID(B638,10,1)=".",ISNUMBER(FIND("x"&amp;MID(B638,10,1),"x0x1x2x3x4x5x6x7x8x9"))),OR(AND(FIND(".",B638)=5,LEN(B638)-FIND(".",B638,FIND(".",B638)+1)&gt;=1,LEN(B638)-FIND(".",B638,FIND(".",B638)+1)&lt;=2),AND(LEN(B638)-FIND(".",B638,FIND(".",B638)+1)=4,FIND(".",B638)&gt;=2,FIND(".",B638)&lt;=3)),FIND(".",B638,FIND(".",B638)+1)-FIND(".",B638)&gt;=2,FIND(".",B638,FIND(".",B638)+1)-FIND(".",B638)&lt;=3,F638&gt;=2000,F638&lt;=2100,YEAR(I638)=F638,MONTH(I638)=G638,DAY(I638)=H638),I638,0)),0)</ns0:f>
        <ns0:v>0</ns0:v>
      </ns0:c>
      <ns0:c r="K638" s="0">
        <ns0:f>IFERROR(IF(ISNUMBER(Bookings!D638),"",TRIM(Bookings!D638&amp;"")),"")</ns0:f>
      </ns0:c>
      <ns0:c r="L638" s="0">
        <ns0:f>IFERROR(SUBSTITUTE(SUBSTITUTE(K638,"/","."),"-","."),"")</ns0:f>
      </ns0:c>
      <ns0:c r="M638" s="0">
        <ns0:f>IFERROR(LEFT(L638,FIND(".",L638)-1),"")</ns0:f>
      </ns0:c>
      <ns0:c r="N638" s="0">
        <ns0:f>IFERROR(MID(L638,FIND(".",L638)+1,FIND(".",L638,FIND(".",L638)+1)-FIND(".",L638)-1),"")</ns0:f>
      </ns0:c>
      <ns0:c r="O638" s="0">
        <ns0:f>IFERROR(MID(L638,FIND(".",L638,FIND(".",L638)+1)+1,99),"")</ns0:f>
        <ns0:v>99</ns0:v>
      </ns0:c>
      <ns0:c r="P638" s="0">
        <ns0:f>IFERROR(IF(FIND(".",L638)=5,--M638,--O638),0)</ns0:f>
        <ns0:v>0</ns0:v>
      </ns0:c>
      <ns0:c r="Q638" s="0">
        <ns0:f>IFERROR(--N638,0)</ns0:f>
        <ns0:v>0</ns0:v>
      </ns0:c>
      <ns0:c r="R638" s="0">
        <ns0:f>IFERROR(IF(FIND(".",L638)=5,--O638,--M638),0)</ns0:f>
        <ns0:v>0</ns0:v>
      </ns0:c>
      <ns0:c r="S638" s="0">
        <ns0:f>IFERROR(IF(AND(P638&gt;=2000,P638&lt;=2100,Q638&gt;=1,Q638&lt;=12,R638&gt;=1,R638&lt;=31),DATE(P638,Q638,R638),0),0)</ns0:f>
        <ns0:v>0</ns0:v>
      </ns0:c>
      <ns0:c r="T638" s="0">
        <ns0:f>IFERROR(IF(ISNUMBER(Bookings!D638),IF(AND(Bookings!D638=INT(Bookings!D638),Bookings!D638&gt;=DATE(2000,1,1),Bookings!D638&lt;=DATE(2100,12,31)),Bookings!D638,0),IF(AND(K638&lt;&gt;"",LEN("x"&amp;L638)-LEN(SUBSTITUTE("x"&amp;L638,".",""))=2,OR(1&gt;LEN(L638),MID(L638,1,1)=".",ISNUMBER(FIND("x"&amp;MID(L638,1,1),"x0x1x2x3x4x5x6x7x8x9"))),OR(2&gt;LEN(L638),MID(L638,2,1)=".",ISNUMBER(FIND("x"&amp;MID(L638,2,1),"x0x1x2x3x4x5x6x7x8x9"))),OR(3&gt;LEN(L638),MID(L638,3,1)=".",ISNUMBER(FIND("x"&amp;MID(L638,3,1),"x0x1x2x3x4x5x6x7x8x9"))),OR(4&gt;LEN(L638),MID(L638,4,1)=".",ISNUMBER(FIND("x"&amp;MID(L638,4,1),"x0x1x2x3x4x5x6x7x8x9"))),OR(5&gt;LEN(L638),MID(L638,5,1)=".",ISNUMBER(FIND("x"&amp;MID(L638,5,1),"x0x1x2x3x4x5x6x7x8x9"))),OR(6&gt;LEN(L638),MID(L638,6,1)=".",ISNUMBER(FIND("x"&amp;MID(L638,6,1),"x0x1x2x3x4x5x6x7x8x9"))),OR(7&gt;LEN(L638),MID(L638,7,1)=".",ISNUMBER(FIND("x"&amp;MID(L638,7,1),"x0x1x2x3x4x5x6x7x8x9"))),OR(8&gt;LEN(L638),MID(L638,8,1)=".",ISNUMBER(FIND("x"&amp;MID(L638,8,1),"x0x1x2x3x4x5x6x7x8x9"))),OR(9&gt;LEN(L638),MID(L638,9,1)=".",ISNUMBER(FIND("x"&amp;MID(L638,9,1),"x0x1x2x3x4x5x6x7x8x9"))),OR(10&gt;LEN(L638),MID(L638,10,1)=".",ISNUMBER(FIND("x"&amp;MID(L638,10,1),"x0x1x2x3x4x5x6x7x8x9"))),OR(AND(FIND(".",L638)=5,LEN(L638)-FIND(".",L638,FIND(".",L638)+1)&gt;=1,LEN(L638)-FIND(".",L638,FIND(".",L638)+1)&lt;=2),AND(LEN(L638)-FIND(".",L638,FIND(".",L638)+1)=4,FIND(".",L638)&gt;=2,FIND(".",L638)&lt;=3)),FIND(".",L638,FIND(".",L638)+1)-FIND(".",L638)&gt;=2,FIND(".",L638,FIND(".",L638)+1)-FIND(".",L638)&lt;=3,P638&gt;=2000,P638&lt;=2100,YEAR(S638)=P638,MONTH(S638)=Q638,DAY(S638)=R638),S638,0)),0)</ns0:f>
        <ns0:v>0</ns0:v>
      </ns0:c>
      <ns0:c r="U638" s="0" t="str">
        <ns0:f>IF(Bookings!C638="","Full day",Bookings!C638)</ns0:f>
        <ns0:v>Full day</ns0:v>
      </ns0:c>
      <ns0:c r="V638" s="0" t="str">
        <ns0:f>IF(Bookings!E638="","Full day",Bookings!E638)</ns0:f>
        <ns0:v>Full day</ns0:v>
      </ns0:c>
      <ns0:c r="W638" s="0">
        <ns0:f>IF(J638=0,0,J638+IF(U638="PM",1,0))</ns0:f>
        <ns0:v>0</ns0:v>
      </ns0:c>
      <ns0:c r="X638" s="0">
        <ns0:f>IF(T638=0,0,T638-IF(V638="PM",1,0))</ns0:f>
        <ns0:v>0</ns0:v>
      </ns0:c>
      <ns0:c r="Y638" s="0">
        <ns0:f>IF(J638=0,0,J638+IF(U638="AM",1,0))</ns0:f>
        <ns0:v>0</ns0:v>
      </ns0:c>
      <ns0:c r="Z638" s="0">
        <ns0:f>IF(T638=0,0,T638-IF(V638="AM",1,0))</ns0:f>
        <ns0:v>0</ns0:v>
      </ns0:c>
      <ns0:c r="AA638" s="0">
        <ns0:f>IFERROR(IF(AND(J638&gt;0,'_Engine'!C638&gt;0,MID('_Engine'!W638,WEEKDAY(J638,2),1)="W",COUNTIF(Settings!$F$18:$F$67,J638)=0),1,0),0)</ns0:f>
        <ns0:v>0</ns0:v>
      </ns0:c>
      <ns0:c r="AB638" s="0">
        <ns0:f>IFERROR(IF(AND(T638&gt;0,'_Engine'!C638&gt;0,MID('_Engine'!W638,WEEKDAY(T638,2),1)="W",COUNTIF(Settings!$F$18:$F$67,T638)=0),1,0),0)</ns0:f>
        <ns0:v>0</ns0:v>
      </ns0:c>
      <ns0:c r="AC638" s="0">
        <ns0:f>IF(AND(J638&gt;0,T638&gt;0,W638&lt;=X638),1,0)</ns0:f>
        <ns0:v>0</ns0:v>
      </ns0:c>
      <ns0:c r="AD638" s="0">
        <ns0:f>IF(AND(J638&gt;0,T638&gt;0,Y638&lt;=Z638),1,0)</ns0:f>
        <ns0:v>0</ns0:v>
      </ns0:c>
    </ns0:row>
    <ns0:row r="639">
      <ns0:c r="A639" s="0">
        <ns0:f>IFERROR(IF(ISNUMBER(Bookings!B639),"",TRIM(Bookings!B639&amp;"")),"")</ns0:f>
      </ns0:c>
      <ns0:c r="B639" s="0">
        <ns0:f>IFERROR(SUBSTITUTE(SUBSTITUTE(A639,"/","."),"-","."),"")</ns0:f>
      </ns0:c>
      <ns0:c r="C639" s="0">
        <ns0:f>IFERROR(LEFT(B639,FIND(".",B639)-1),"")</ns0:f>
      </ns0:c>
      <ns0:c r="D639" s="0">
        <ns0:f>IFERROR(MID(B639,FIND(".",B639)+1,FIND(".",B639,FIND(".",B639)+1)-FIND(".",B639)-1),"")</ns0:f>
      </ns0:c>
      <ns0:c r="E639" s="0">
        <ns0:f>IFERROR(MID(B639,FIND(".",B639,FIND(".",B639)+1)+1,99),"")</ns0:f>
        <ns0:v>99</ns0:v>
      </ns0:c>
      <ns0:c r="F639" s="0">
        <ns0:f>IFERROR(IF(FIND(".",B639)=5,--C639,--E639),0)</ns0:f>
        <ns0:v>0</ns0:v>
      </ns0:c>
      <ns0:c r="G639" s="0">
        <ns0:f>IFERROR(--D639,0)</ns0:f>
        <ns0:v>0</ns0:v>
      </ns0:c>
      <ns0:c r="H639" s="0">
        <ns0:f>IFERROR(IF(FIND(".",B639)=5,--E639,--C639),0)</ns0:f>
        <ns0:v>0</ns0:v>
      </ns0:c>
      <ns0:c r="I639" s="0">
        <ns0:f>IFERROR(IF(AND(F639&gt;=2000,F639&lt;=2100,G639&gt;=1,G639&lt;=12,H639&gt;=1,H639&lt;=31),DATE(F639,G639,H639),0),0)</ns0:f>
        <ns0:v>0</ns0:v>
      </ns0:c>
      <ns0:c r="J639" s="0">
        <ns0:f>IFERROR(IF(ISNUMBER(Bookings!B639),IF(AND(Bookings!B639=INT(Bookings!B639),Bookings!B639&gt;=DATE(2000,1,1),Bookings!B639&lt;=DATE(2100,12,31)),Bookings!B639,0),IF(AND(A639&lt;&gt;"",LEN("x"&amp;B639)-LEN(SUBSTITUTE("x"&amp;B639,".",""))=2,OR(1&gt;LEN(B639),MID(B639,1,1)=".",ISNUMBER(FIND("x"&amp;MID(B639,1,1),"x0x1x2x3x4x5x6x7x8x9"))),OR(2&gt;LEN(B639),MID(B639,2,1)=".",ISNUMBER(FIND("x"&amp;MID(B639,2,1),"x0x1x2x3x4x5x6x7x8x9"))),OR(3&gt;LEN(B639),MID(B639,3,1)=".",ISNUMBER(FIND("x"&amp;MID(B639,3,1),"x0x1x2x3x4x5x6x7x8x9"))),OR(4&gt;LEN(B639),MID(B639,4,1)=".",ISNUMBER(FIND("x"&amp;MID(B639,4,1),"x0x1x2x3x4x5x6x7x8x9"))),OR(5&gt;LEN(B639),MID(B639,5,1)=".",ISNUMBER(FIND("x"&amp;MID(B639,5,1),"x0x1x2x3x4x5x6x7x8x9"))),OR(6&gt;LEN(B639),MID(B639,6,1)=".",ISNUMBER(FIND("x"&amp;MID(B639,6,1),"x0x1x2x3x4x5x6x7x8x9"))),OR(7&gt;LEN(B639),MID(B639,7,1)=".",ISNUMBER(FIND("x"&amp;MID(B639,7,1),"x0x1x2x3x4x5x6x7x8x9"))),OR(8&gt;LEN(B639),MID(B639,8,1)=".",ISNUMBER(FIND("x"&amp;MID(B639,8,1),"x0x1x2x3x4x5x6x7x8x9"))),OR(9&gt;LEN(B639),MID(B639,9,1)=".",ISNUMBER(FIND("x"&amp;MID(B639,9,1),"x0x1x2x3x4x5x6x7x8x9"))),OR(10&gt;LEN(B639),MID(B639,10,1)=".",ISNUMBER(FIND("x"&amp;MID(B639,10,1),"x0x1x2x3x4x5x6x7x8x9"))),OR(AND(FIND(".",B639)=5,LEN(B639)-FIND(".",B639,FIND(".",B639)+1)&gt;=1,LEN(B639)-FIND(".",B639,FIND(".",B639)+1)&lt;=2),AND(LEN(B639)-FIND(".",B639,FIND(".",B639)+1)=4,FIND(".",B639)&gt;=2,FIND(".",B639)&lt;=3)),FIND(".",B639,FIND(".",B639)+1)-FIND(".",B639)&gt;=2,FIND(".",B639,FIND(".",B639)+1)-FIND(".",B639)&lt;=3,F639&gt;=2000,F639&lt;=2100,YEAR(I639)=F639,MONTH(I639)=G639,DAY(I639)=H639),I639,0)),0)</ns0:f>
        <ns0:v>0</ns0:v>
      </ns0:c>
      <ns0:c r="K639" s="0">
        <ns0:f>IFERROR(IF(ISNUMBER(Bookings!D639),"",TRIM(Bookings!D639&amp;"")),"")</ns0:f>
      </ns0:c>
      <ns0:c r="L639" s="0">
        <ns0:f>IFERROR(SUBSTITUTE(SUBSTITUTE(K639,"/","."),"-","."),"")</ns0:f>
      </ns0:c>
      <ns0:c r="M639" s="0">
        <ns0:f>IFERROR(LEFT(L639,FIND(".",L639)-1),"")</ns0:f>
      </ns0:c>
      <ns0:c r="N639" s="0">
        <ns0:f>IFERROR(MID(L639,FIND(".",L639)+1,FIND(".",L639,FIND(".",L639)+1)-FIND(".",L639)-1),"")</ns0:f>
      </ns0:c>
      <ns0:c r="O639" s="0">
        <ns0:f>IFERROR(MID(L639,FIND(".",L639,FIND(".",L639)+1)+1,99),"")</ns0:f>
        <ns0:v>99</ns0:v>
      </ns0:c>
      <ns0:c r="P639" s="0">
        <ns0:f>IFERROR(IF(FIND(".",L639)=5,--M639,--O639),0)</ns0:f>
        <ns0:v>0</ns0:v>
      </ns0:c>
      <ns0:c r="Q639" s="0">
        <ns0:f>IFERROR(--N639,0)</ns0:f>
        <ns0:v>0</ns0:v>
      </ns0:c>
      <ns0:c r="R639" s="0">
        <ns0:f>IFERROR(IF(FIND(".",L639)=5,--O639,--M639),0)</ns0:f>
        <ns0:v>0</ns0:v>
      </ns0:c>
      <ns0:c r="S639" s="0">
        <ns0:f>IFERROR(IF(AND(P639&gt;=2000,P639&lt;=2100,Q639&gt;=1,Q639&lt;=12,R639&gt;=1,R639&lt;=31),DATE(P639,Q639,R639),0),0)</ns0:f>
        <ns0:v>0</ns0:v>
      </ns0:c>
      <ns0:c r="T639" s="0">
        <ns0:f>IFERROR(IF(ISNUMBER(Bookings!D639),IF(AND(Bookings!D639=INT(Bookings!D639),Bookings!D639&gt;=DATE(2000,1,1),Bookings!D639&lt;=DATE(2100,12,31)),Bookings!D639,0),IF(AND(K639&lt;&gt;"",LEN("x"&amp;L639)-LEN(SUBSTITUTE("x"&amp;L639,".",""))=2,OR(1&gt;LEN(L639),MID(L639,1,1)=".",ISNUMBER(FIND("x"&amp;MID(L639,1,1),"x0x1x2x3x4x5x6x7x8x9"))),OR(2&gt;LEN(L639),MID(L639,2,1)=".",ISNUMBER(FIND("x"&amp;MID(L639,2,1),"x0x1x2x3x4x5x6x7x8x9"))),OR(3&gt;LEN(L639),MID(L639,3,1)=".",ISNUMBER(FIND("x"&amp;MID(L639,3,1),"x0x1x2x3x4x5x6x7x8x9"))),OR(4&gt;LEN(L639),MID(L639,4,1)=".",ISNUMBER(FIND("x"&amp;MID(L639,4,1),"x0x1x2x3x4x5x6x7x8x9"))),OR(5&gt;LEN(L639),MID(L639,5,1)=".",ISNUMBER(FIND("x"&amp;MID(L639,5,1),"x0x1x2x3x4x5x6x7x8x9"))),OR(6&gt;LEN(L639),MID(L639,6,1)=".",ISNUMBER(FIND("x"&amp;MID(L639,6,1),"x0x1x2x3x4x5x6x7x8x9"))),OR(7&gt;LEN(L639),MID(L639,7,1)=".",ISNUMBER(FIND("x"&amp;MID(L639,7,1),"x0x1x2x3x4x5x6x7x8x9"))),OR(8&gt;LEN(L639),MID(L639,8,1)=".",ISNUMBER(FIND("x"&amp;MID(L639,8,1),"x0x1x2x3x4x5x6x7x8x9"))),OR(9&gt;LEN(L639),MID(L639,9,1)=".",ISNUMBER(FIND("x"&amp;MID(L639,9,1),"x0x1x2x3x4x5x6x7x8x9"))),OR(10&gt;LEN(L639),MID(L639,10,1)=".",ISNUMBER(FIND("x"&amp;MID(L639,10,1),"x0x1x2x3x4x5x6x7x8x9"))),OR(AND(FIND(".",L639)=5,LEN(L639)-FIND(".",L639,FIND(".",L639)+1)&gt;=1,LEN(L639)-FIND(".",L639,FIND(".",L639)+1)&lt;=2),AND(LEN(L639)-FIND(".",L639,FIND(".",L639)+1)=4,FIND(".",L639)&gt;=2,FIND(".",L639)&lt;=3)),FIND(".",L639,FIND(".",L639)+1)-FIND(".",L639)&gt;=2,FIND(".",L639,FIND(".",L639)+1)-FIND(".",L639)&lt;=3,P639&gt;=2000,P639&lt;=2100,YEAR(S639)=P639,MONTH(S639)=Q639,DAY(S639)=R639),S639,0)),0)</ns0:f>
        <ns0:v>0</ns0:v>
      </ns0:c>
      <ns0:c r="U639" s="0" t="str">
        <ns0:f>IF(Bookings!C639="","Full day",Bookings!C639)</ns0:f>
        <ns0:v>Full day</ns0:v>
      </ns0:c>
      <ns0:c r="V639" s="0" t="str">
        <ns0:f>IF(Bookings!E639="","Full day",Bookings!E639)</ns0:f>
        <ns0:v>Full day</ns0:v>
      </ns0:c>
      <ns0:c r="W639" s="0">
        <ns0:f>IF(J639=0,0,J639+IF(U639="PM",1,0))</ns0:f>
        <ns0:v>0</ns0:v>
      </ns0:c>
      <ns0:c r="X639" s="0">
        <ns0:f>IF(T639=0,0,T639-IF(V639="PM",1,0))</ns0:f>
        <ns0:v>0</ns0:v>
      </ns0:c>
      <ns0:c r="Y639" s="0">
        <ns0:f>IF(J639=0,0,J639+IF(U639="AM",1,0))</ns0:f>
        <ns0:v>0</ns0:v>
      </ns0:c>
      <ns0:c r="Z639" s="0">
        <ns0:f>IF(T639=0,0,T639-IF(V639="AM",1,0))</ns0:f>
        <ns0:v>0</ns0:v>
      </ns0:c>
      <ns0:c r="AA639" s="0">
        <ns0:f>IFERROR(IF(AND(J639&gt;0,'_Engine'!C639&gt;0,MID('_Engine'!W639,WEEKDAY(J639,2),1)="W",COUNTIF(Settings!$F$18:$F$67,J639)=0),1,0),0)</ns0:f>
        <ns0:v>0</ns0:v>
      </ns0:c>
      <ns0:c r="AB639" s="0">
        <ns0:f>IFERROR(IF(AND(T639&gt;0,'_Engine'!C639&gt;0,MID('_Engine'!W639,WEEKDAY(T639,2),1)="W",COUNTIF(Settings!$F$18:$F$67,T639)=0),1,0),0)</ns0:f>
        <ns0:v>0</ns0:v>
      </ns0:c>
      <ns0:c r="AC639" s="0">
        <ns0:f>IF(AND(J639&gt;0,T639&gt;0,W639&lt;=X639),1,0)</ns0:f>
        <ns0:v>0</ns0:v>
      </ns0:c>
      <ns0:c r="AD639" s="0">
        <ns0:f>IF(AND(J639&gt;0,T639&gt;0,Y639&lt;=Z639),1,0)</ns0:f>
        <ns0:v>0</ns0:v>
      </ns0:c>
    </ns0:row>
    <ns0:row r="640">
      <ns0:c r="A640" s="0">
        <ns0:f>IFERROR(IF(ISNUMBER(Bookings!B640),"",TRIM(Bookings!B640&amp;"")),"")</ns0:f>
      </ns0:c>
      <ns0:c r="B640" s="0">
        <ns0:f>IFERROR(SUBSTITUTE(SUBSTITUTE(A640,"/","."),"-","."),"")</ns0:f>
      </ns0:c>
      <ns0:c r="C640" s="0">
        <ns0:f>IFERROR(LEFT(B640,FIND(".",B640)-1),"")</ns0:f>
      </ns0:c>
      <ns0:c r="D640" s="0">
        <ns0:f>IFERROR(MID(B640,FIND(".",B640)+1,FIND(".",B640,FIND(".",B640)+1)-FIND(".",B640)-1),"")</ns0:f>
      </ns0:c>
      <ns0:c r="E640" s="0">
        <ns0:f>IFERROR(MID(B640,FIND(".",B640,FIND(".",B640)+1)+1,99),"")</ns0:f>
        <ns0:v>99</ns0:v>
      </ns0:c>
      <ns0:c r="F640" s="0">
        <ns0:f>IFERROR(IF(FIND(".",B640)=5,--C640,--E640),0)</ns0:f>
        <ns0:v>0</ns0:v>
      </ns0:c>
      <ns0:c r="G640" s="0">
        <ns0:f>IFERROR(--D640,0)</ns0:f>
        <ns0:v>0</ns0:v>
      </ns0:c>
      <ns0:c r="H640" s="0">
        <ns0:f>IFERROR(IF(FIND(".",B640)=5,--E640,--C640),0)</ns0:f>
        <ns0:v>0</ns0:v>
      </ns0:c>
      <ns0:c r="I640" s="0">
        <ns0:f>IFERROR(IF(AND(F640&gt;=2000,F640&lt;=2100,G640&gt;=1,G640&lt;=12,H640&gt;=1,H640&lt;=31),DATE(F640,G640,H640),0),0)</ns0:f>
        <ns0:v>0</ns0:v>
      </ns0:c>
      <ns0:c r="J640" s="0">
        <ns0:f>IFERROR(IF(ISNUMBER(Bookings!B640),IF(AND(Bookings!B640=INT(Bookings!B640),Bookings!B640&gt;=DATE(2000,1,1),Bookings!B640&lt;=DATE(2100,12,31)),Bookings!B640,0),IF(AND(A640&lt;&gt;"",LEN("x"&amp;B640)-LEN(SUBSTITUTE("x"&amp;B640,".",""))=2,OR(1&gt;LEN(B640),MID(B640,1,1)=".",ISNUMBER(FIND("x"&amp;MID(B640,1,1),"x0x1x2x3x4x5x6x7x8x9"))),OR(2&gt;LEN(B640),MID(B640,2,1)=".",ISNUMBER(FIND("x"&amp;MID(B640,2,1),"x0x1x2x3x4x5x6x7x8x9"))),OR(3&gt;LEN(B640),MID(B640,3,1)=".",ISNUMBER(FIND("x"&amp;MID(B640,3,1),"x0x1x2x3x4x5x6x7x8x9"))),OR(4&gt;LEN(B640),MID(B640,4,1)=".",ISNUMBER(FIND("x"&amp;MID(B640,4,1),"x0x1x2x3x4x5x6x7x8x9"))),OR(5&gt;LEN(B640),MID(B640,5,1)=".",ISNUMBER(FIND("x"&amp;MID(B640,5,1),"x0x1x2x3x4x5x6x7x8x9"))),OR(6&gt;LEN(B640),MID(B640,6,1)=".",ISNUMBER(FIND("x"&amp;MID(B640,6,1),"x0x1x2x3x4x5x6x7x8x9"))),OR(7&gt;LEN(B640),MID(B640,7,1)=".",ISNUMBER(FIND("x"&amp;MID(B640,7,1),"x0x1x2x3x4x5x6x7x8x9"))),OR(8&gt;LEN(B640),MID(B640,8,1)=".",ISNUMBER(FIND("x"&amp;MID(B640,8,1),"x0x1x2x3x4x5x6x7x8x9"))),OR(9&gt;LEN(B640),MID(B640,9,1)=".",ISNUMBER(FIND("x"&amp;MID(B640,9,1),"x0x1x2x3x4x5x6x7x8x9"))),OR(10&gt;LEN(B640),MID(B640,10,1)=".",ISNUMBER(FIND("x"&amp;MID(B640,10,1),"x0x1x2x3x4x5x6x7x8x9"))),OR(AND(FIND(".",B640)=5,LEN(B640)-FIND(".",B640,FIND(".",B640)+1)&gt;=1,LEN(B640)-FIND(".",B640,FIND(".",B640)+1)&lt;=2),AND(LEN(B640)-FIND(".",B640,FIND(".",B640)+1)=4,FIND(".",B640)&gt;=2,FIND(".",B640)&lt;=3)),FIND(".",B640,FIND(".",B640)+1)-FIND(".",B640)&gt;=2,FIND(".",B640,FIND(".",B640)+1)-FIND(".",B640)&lt;=3,F640&gt;=2000,F640&lt;=2100,YEAR(I640)=F640,MONTH(I640)=G640,DAY(I640)=H640),I640,0)),0)</ns0:f>
        <ns0:v>0</ns0:v>
      </ns0:c>
      <ns0:c r="K640" s="0">
        <ns0:f>IFERROR(IF(ISNUMBER(Bookings!D640),"",TRIM(Bookings!D640&amp;"")),"")</ns0:f>
      </ns0:c>
      <ns0:c r="L640" s="0">
        <ns0:f>IFERROR(SUBSTITUTE(SUBSTITUTE(K640,"/","."),"-","."),"")</ns0:f>
      </ns0:c>
      <ns0:c r="M640" s="0">
        <ns0:f>IFERROR(LEFT(L640,FIND(".",L640)-1),"")</ns0:f>
      </ns0:c>
      <ns0:c r="N640" s="0">
        <ns0:f>IFERROR(MID(L640,FIND(".",L640)+1,FIND(".",L640,FIND(".",L640)+1)-FIND(".",L640)-1),"")</ns0:f>
      </ns0:c>
      <ns0:c r="O640" s="0">
        <ns0:f>IFERROR(MID(L640,FIND(".",L640,FIND(".",L640)+1)+1,99),"")</ns0:f>
        <ns0:v>99</ns0:v>
      </ns0:c>
      <ns0:c r="P640" s="0">
        <ns0:f>IFERROR(IF(FIND(".",L640)=5,--M640,--O640),0)</ns0:f>
        <ns0:v>0</ns0:v>
      </ns0:c>
      <ns0:c r="Q640" s="0">
        <ns0:f>IFERROR(--N640,0)</ns0:f>
        <ns0:v>0</ns0:v>
      </ns0:c>
      <ns0:c r="R640" s="0">
        <ns0:f>IFERROR(IF(FIND(".",L640)=5,--O640,--M640),0)</ns0:f>
        <ns0:v>0</ns0:v>
      </ns0:c>
      <ns0:c r="S640" s="0">
        <ns0:f>IFERROR(IF(AND(P640&gt;=2000,P640&lt;=2100,Q640&gt;=1,Q640&lt;=12,R640&gt;=1,R640&lt;=31),DATE(P640,Q640,R640),0),0)</ns0:f>
        <ns0:v>0</ns0:v>
      </ns0:c>
      <ns0:c r="T640" s="0">
        <ns0:f>IFERROR(IF(ISNUMBER(Bookings!D640),IF(AND(Bookings!D640=INT(Bookings!D640),Bookings!D640&gt;=DATE(2000,1,1),Bookings!D640&lt;=DATE(2100,12,31)),Bookings!D640,0),IF(AND(K640&lt;&gt;"",LEN("x"&amp;L640)-LEN(SUBSTITUTE("x"&amp;L640,".",""))=2,OR(1&gt;LEN(L640),MID(L640,1,1)=".",ISNUMBER(FIND("x"&amp;MID(L640,1,1),"x0x1x2x3x4x5x6x7x8x9"))),OR(2&gt;LEN(L640),MID(L640,2,1)=".",ISNUMBER(FIND("x"&amp;MID(L640,2,1),"x0x1x2x3x4x5x6x7x8x9"))),OR(3&gt;LEN(L640),MID(L640,3,1)=".",ISNUMBER(FIND("x"&amp;MID(L640,3,1),"x0x1x2x3x4x5x6x7x8x9"))),OR(4&gt;LEN(L640),MID(L640,4,1)=".",ISNUMBER(FIND("x"&amp;MID(L640,4,1),"x0x1x2x3x4x5x6x7x8x9"))),OR(5&gt;LEN(L640),MID(L640,5,1)=".",ISNUMBER(FIND("x"&amp;MID(L640,5,1),"x0x1x2x3x4x5x6x7x8x9"))),OR(6&gt;LEN(L640),MID(L640,6,1)=".",ISNUMBER(FIND("x"&amp;MID(L640,6,1),"x0x1x2x3x4x5x6x7x8x9"))),OR(7&gt;LEN(L640),MID(L640,7,1)=".",ISNUMBER(FIND("x"&amp;MID(L640,7,1),"x0x1x2x3x4x5x6x7x8x9"))),OR(8&gt;LEN(L640),MID(L640,8,1)=".",ISNUMBER(FIND("x"&amp;MID(L640,8,1),"x0x1x2x3x4x5x6x7x8x9"))),OR(9&gt;LEN(L640),MID(L640,9,1)=".",ISNUMBER(FIND("x"&amp;MID(L640,9,1),"x0x1x2x3x4x5x6x7x8x9"))),OR(10&gt;LEN(L640),MID(L640,10,1)=".",ISNUMBER(FIND("x"&amp;MID(L640,10,1),"x0x1x2x3x4x5x6x7x8x9"))),OR(AND(FIND(".",L640)=5,LEN(L640)-FIND(".",L640,FIND(".",L640)+1)&gt;=1,LEN(L640)-FIND(".",L640,FIND(".",L640)+1)&lt;=2),AND(LEN(L640)-FIND(".",L640,FIND(".",L640)+1)=4,FIND(".",L640)&gt;=2,FIND(".",L640)&lt;=3)),FIND(".",L640,FIND(".",L640)+1)-FIND(".",L640)&gt;=2,FIND(".",L640,FIND(".",L640)+1)-FIND(".",L640)&lt;=3,P640&gt;=2000,P640&lt;=2100,YEAR(S640)=P640,MONTH(S640)=Q640,DAY(S640)=R640),S640,0)),0)</ns0:f>
        <ns0:v>0</ns0:v>
      </ns0:c>
      <ns0:c r="U640" s="0" t="str">
        <ns0:f>IF(Bookings!C640="","Full day",Bookings!C640)</ns0:f>
        <ns0:v>Full day</ns0:v>
      </ns0:c>
      <ns0:c r="V640" s="0" t="str">
        <ns0:f>IF(Bookings!E640="","Full day",Bookings!E640)</ns0:f>
        <ns0:v>Full day</ns0:v>
      </ns0:c>
      <ns0:c r="W640" s="0">
        <ns0:f>IF(J640=0,0,J640+IF(U640="PM",1,0))</ns0:f>
        <ns0:v>0</ns0:v>
      </ns0:c>
      <ns0:c r="X640" s="0">
        <ns0:f>IF(T640=0,0,T640-IF(V640="PM",1,0))</ns0:f>
        <ns0:v>0</ns0:v>
      </ns0:c>
      <ns0:c r="Y640" s="0">
        <ns0:f>IF(J640=0,0,J640+IF(U640="AM",1,0))</ns0:f>
        <ns0:v>0</ns0:v>
      </ns0:c>
      <ns0:c r="Z640" s="0">
        <ns0:f>IF(T640=0,0,T640-IF(V640="AM",1,0))</ns0:f>
        <ns0:v>0</ns0:v>
      </ns0:c>
      <ns0:c r="AA640" s="0">
        <ns0:f>IFERROR(IF(AND(J640&gt;0,'_Engine'!C640&gt;0,MID('_Engine'!W640,WEEKDAY(J640,2),1)="W",COUNTIF(Settings!$F$18:$F$67,J640)=0),1,0),0)</ns0:f>
        <ns0:v>0</ns0:v>
      </ns0:c>
      <ns0:c r="AB640" s="0">
        <ns0:f>IFERROR(IF(AND(T640&gt;0,'_Engine'!C640&gt;0,MID('_Engine'!W640,WEEKDAY(T640,2),1)="W",COUNTIF(Settings!$F$18:$F$67,T640)=0),1,0),0)</ns0:f>
        <ns0:v>0</ns0:v>
      </ns0:c>
      <ns0:c r="AC640" s="0">
        <ns0:f>IF(AND(J640&gt;0,T640&gt;0,W640&lt;=X640),1,0)</ns0:f>
        <ns0:v>0</ns0:v>
      </ns0:c>
      <ns0:c r="AD640" s="0">
        <ns0:f>IF(AND(J640&gt;0,T640&gt;0,Y640&lt;=Z640),1,0)</ns0:f>
        <ns0:v>0</ns0:v>
      </ns0:c>
    </ns0:row>
    <ns0:row r="641">
      <ns0:c r="A641" s="0">
        <ns0:f>IFERROR(IF(ISNUMBER(Bookings!B641),"",TRIM(Bookings!B641&amp;"")),"")</ns0:f>
      </ns0:c>
      <ns0:c r="B641" s="0">
        <ns0:f>IFERROR(SUBSTITUTE(SUBSTITUTE(A641,"/","."),"-","."),"")</ns0:f>
      </ns0:c>
      <ns0:c r="C641" s="0">
        <ns0:f>IFERROR(LEFT(B641,FIND(".",B641)-1),"")</ns0:f>
      </ns0:c>
      <ns0:c r="D641" s="0">
        <ns0:f>IFERROR(MID(B641,FIND(".",B641)+1,FIND(".",B641,FIND(".",B641)+1)-FIND(".",B641)-1),"")</ns0:f>
      </ns0:c>
      <ns0:c r="E641" s="0">
        <ns0:f>IFERROR(MID(B641,FIND(".",B641,FIND(".",B641)+1)+1,99),"")</ns0:f>
        <ns0:v>99</ns0:v>
      </ns0:c>
      <ns0:c r="F641" s="0">
        <ns0:f>IFERROR(IF(FIND(".",B641)=5,--C641,--E641),0)</ns0:f>
        <ns0:v>0</ns0:v>
      </ns0:c>
      <ns0:c r="G641" s="0">
        <ns0:f>IFERROR(--D641,0)</ns0:f>
        <ns0:v>0</ns0:v>
      </ns0:c>
      <ns0:c r="H641" s="0">
        <ns0:f>IFERROR(IF(FIND(".",B641)=5,--E641,--C641),0)</ns0:f>
        <ns0:v>0</ns0:v>
      </ns0:c>
      <ns0:c r="I641" s="0">
        <ns0:f>IFERROR(IF(AND(F641&gt;=2000,F641&lt;=2100,G641&gt;=1,G641&lt;=12,H641&gt;=1,H641&lt;=31),DATE(F641,G641,H641),0),0)</ns0:f>
        <ns0:v>0</ns0:v>
      </ns0:c>
      <ns0:c r="J641" s="0">
        <ns0:f>IFERROR(IF(ISNUMBER(Bookings!B641),IF(AND(Bookings!B641=INT(Bookings!B641),Bookings!B641&gt;=DATE(2000,1,1),Bookings!B641&lt;=DATE(2100,12,31)),Bookings!B641,0),IF(AND(A641&lt;&gt;"",LEN("x"&amp;B641)-LEN(SUBSTITUTE("x"&amp;B641,".",""))=2,OR(1&gt;LEN(B641),MID(B641,1,1)=".",ISNUMBER(FIND("x"&amp;MID(B641,1,1),"x0x1x2x3x4x5x6x7x8x9"))),OR(2&gt;LEN(B641),MID(B641,2,1)=".",ISNUMBER(FIND("x"&amp;MID(B641,2,1),"x0x1x2x3x4x5x6x7x8x9"))),OR(3&gt;LEN(B641),MID(B641,3,1)=".",ISNUMBER(FIND("x"&amp;MID(B641,3,1),"x0x1x2x3x4x5x6x7x8x9"))),OR(4&gt;LEN(B641),MID(B641,4,1)=".",ISNUMBER(FIND("x"&amp;MID(B641,4,1),"x0x1x2x3x4x5x6x7x8x9"))),OR(5&gt;LEN(B641),MID(B641,5,1)=".",ISNUMBER(FIND("x"&amp;MID(B641,5,1),"x0x1x2x3x4x5x6x7x8x9"))),OR(6&gt;LEN(B641),MID(B641,6,1)=".",ISNUMBER(FIND("x"&amp;MID(B641,6,1),"x0x1x2x3x4x5x6x7x8x9"))),OR(7&gt;LEN(B641),MID(B641,7,1)=".",ISNUMBER(FIND("x"&amp;MID(B641,7,1),"x0x1x2x3x4x5x6x7x8x9"))),OR(8&gt;LEN(B641),MID(B641,8,1)=".",ISNUMBER(FIND("x"&amp;MID(B641,8,1),"x0x1x2x3x4x5x6x7x8x9"))),OR(9&gt;LEN(B641),MID(B641,9,1)=".",ISNUMBER(FIND("x"&amp;MID(B641,9,1),"x0x1x2x3x4x5x6x7x8x9"))),OR(10&gt;LEN(B641),MID(B641,10,1)=".",ISNUMBER(FIND("x"&amp;MID(B641,10,1),"x0x1x2x3x4x5x6x7x8x9"))),OR(AND(FIND(".",B641)=5,LEN(B641)-FIND(".",B641,FIND(".",B641)+1)&gt;=1,LEN(B641)-FIND(".",B641,FIND(".",B641)+1)&lt;=2),AND(LEN(B641)-FIND(".",B641,FIND(".",B641)+1)=4,FIND(".",B641)&gt;=2,FIND(".",B641)&lt;=3)),FIND(".",B641,FIND(".",B641)+1)-FIND(".",B641)&gt;=2,FIND(".",B641,FIND(".",B641)+1)-FIND(".",B641)&lt;=3,F641&gt;=2000,F641&lt;=2100,YEAR(I641)=F641,MONTH(I641)=G641,DAY(I641)=H641),I641,0)),0)</ns0:f>
        <ns0:v>0</ns0:v>
      </ns0:c>
      <ns0:c r="K641" s="0">
        <ns0:f>IFERROR(IF(ISNUMBER(Bookings!D641),"",TRIM(Bookings!D641&amp;"")),"")</ns0:f>
      </ns0:c>
      <ns0:c r="L641" s="0">
        <ns0:f>IFERROR(SUBSTITUTE(SUBSTITUTE(K641,"/","."),"-","."),"")</ns0:f>
      </ns0:c>
      <ns0:c r="M641" s="0">
        <ns0:f>IFERROR(LEFT(L641,FIND(".",L641)-1),"")</ns0:f>
      </ns0:c>
      <ns0:c r="N641" s="0">
        <ns0:f>IFERROR(MID(L641,FIND(".",L641)+1,FIND(".",L641,FIND(".",L641)+1)-FIND(".",L641)-1),"")</ns0:f>
      </ns0:c>
      <ns0:c r="O641" s="0">
        <ns0:f>IFERROR(MID(L641,FIND(".",L641,FIND(".",L641)+1)+1,99),"")</ns0:f>
        <ns0:v>99</ns0:v>
      </ns0:c>
      <ns0:c r="P641" s="0">
        <ns0:f>IFERROR(IF(FIND(".",L641)=5,--M641,--O641),0)</ns0:f>
        <ns0:v>0</ns0:v>
      </ns0:c>
      <ns0:c r="Q641" s="0">
        <ns0:f>IFERROR(--N641,0)</ns0:f>
        <ns0:v>0</ns0:v>
      </ns0:c>
      <ns0:c r="R641" s="0">
        <ns0:f>IFERROR(IF(FIND(".",L641)=5,--O641,--M641),0)</ns0:f>
        <ns0:v>0</ns0:v>
      </ns0:c>
      <ns0:c r="S641" s="0">
        <ns0:f>IFERROR(IF(AND(P641&gt;=2000,P641&lt;=2100,Q641&gt;=1,Q641&lt;=12,R641&gt;=1,R641&lt;=31),DATE(P641,Q641,R641),0),0)</ns0:f>
        <ns0:v>0</ns0:v>
      </ns0:c>
      <ns0:c r="T641" s="0">
        <ns0:f>IFERROR(IF(ISNUMBER(Bookings!D641),IF(AND(Bookings!D641=INT(Bookings!D641),Bookings!D641&gt;=DATE(2000,1,1),Bookings!D641&lt;=DATE(2100,12,31)),Bookings!D641,0),IF(AND(K641&lt;&gt;"",LEN("x"&amp;L641)-LEN(SUBSTITUTE("x"&amp;L641,".",""))=2,OR(1&gt;LEN(L641),MID(L641,1,1)=".",ISNUMBER(FIND("x"&amp;MID(L641,1,1),"x0x1x2x3x4x5x6x7x8x9"))),OR(2&gt;LEN(L641),MID(L641,2,1)=".",ISNUMBER(FIND("x"&amp;MID(L641,2,1),"x0x1x2x3x4x5x6x7x8x9"))),OR(3&gt;LEN(L641),MID(L641,3,1)=".",ISNUMBER(FIND("x"&amp;MID(L641,3,1),"x0x1x2x3x4x5x6x7x8x9"))),OR(4&gt;LEN(L641),MID(L641,4,1)=".",ISNUMBER(FIND("x"&amp;MID(L641,4,1),"x0x1x2x3x4x5x6x7x8x9"))),OR(5&gt;LEN(L641),MID(L641,5,1)=".",ISNUMBER(FIND("x"&amp;MID(L641,5,1),"x0x1x2x3x4x5x6x7x8x9"))),OR(6&gt;LEN(L641),MID(L641,6,1)=".",ISNUMBER(FIND("x"&amp;MID(L641,6,1),"x0x1x2x3x4x5x6x7x8x9"))),OR(7&gt;LEN(L641),MID(L641,7,1)=".",ISNUMBER(FIND("x"&amp;MID(L641,7,1),"x0x1x2x3x4x5x6x7x8x9"))),OR(8&gt;LEN(L641),MID(L641,8,1)=".",ISNUMBER(FIND("x"&amp;MID(L641,8,1),"x0x1x2x3x4x5x6x7x8x9"))),OR(9&gt;LEN(L641),MID(L641,9,1)=".",ISNUMBER(FIND("x"&amp;MID(L641,9,1),"x0x1x2x3x4x5x6x7x8x9"))),OR(10&gt;LEN(L641),MID(L641,10,1)=".",ISNUMBER(FIND("x"&amp;MID(L641,10,1),"x0x1x2x3x4x5x6x7x8x9"))),OR(AND(FIND(".",L641)=5,LEN(L641)-FIND(".",L641,FIND(".",L641)+1)&gt;=1,LEN(L641)-FIND(".",L641,FIND(".",L641)+1)&lt;=2),AND(LEN(L641)-FIND(".",L641,FIND(".",L641)+1)=4,FIND(".",L641)&gt;=2,FIND(".",L641)&lt;=3)),FIND(".",L641,FIND(".",L641)+1)-FIND(".",L641)&gt;=2,FIND(".",L641,FIND(".",L641)+1)-FIND(".",L641)&lt;=3,P641&gt;=2000,P641&lt;=2100,YEAR(S641)=P641,MONTH(S641)=Q641,DAY(S641)=R641),S641,0)),0)</ns0:f>
        <ns0:v>0</ns0:v>
      </ns0:c>
      <ns0:c r="U641" s="0" t="str">
        <ns0:f>IF(Bookings!C641="","Full day",Bookings!C641)</ns0:f>
        <ns0:v>Full day</ns0:v>
      </ns0:c>
      <ns0:c r="V641" s="0" t="str">
        <ns0:f>IF(Bookings!E641="","Full day",Bookings!E641)</ns0:f>
        <ns0:v>Full day</ns0:v>
      </ns0:c>
      <ns0:c r="W641" s="0">
        <ns0:f>IF(J641=0,0,J641+IF(U641="PM",1,0))</ns0:f>
        <ns0:v>0</ns0:v>
      </ns0:c>
      <ns0:c r="X641" s="0">
        <ns0:f>IF(T641=0,0,T641-IF(V641="PM",1,0))</ns0:f>
        <ns0:v>0</ns0:v>
      </ns0:c>
      <ns0:c r="Y641" s="0">
        <ns0:f>IF(J641=0,0,J641+IF(U641="AM",1,0))</ns0:f>
        <ns0:v>0</ns0:v>
      </ns0:c>
      <ns0:c r="Z641" s="0">
        <ns0:f>IF(T641=0,0,T641-IF(V641="AM",1,0))</ns0:f>
        <ns0:v>0</ns0:v>
      </ns0:c>
      <ns0:c r="AA641" s="0">
        <ns0:f>IFERROR(IF(AND(J641&gt;0,'_Engine'!C641&gt;0,MID('_Engine'!W641,WEEKDAY(J641,2),1)="W",COUNTIF(Settings!$F$18:$F$67,J641)=0),1,0),0)</ns0:f>
        <ns0:v>0</ns0:v>
      </ns0:c>
      <ns0:c r="AB641" s="0">
        <ns0:f>IFERROR(IF(AND(T641&gt;0,'_Engine'!C641&gt;0,MID('_Engine'!W641,WEEKDAY(T641,2),1)="W",COUNTIF(Settings!$F$18:$F$67,T641)=0),1,0),0)</ns0:f>
        <ns0:v>0</ns0:v>
      </ns0:c>
      <ns0:c r="AC641" s="0">
        <ns0:f>IF(AND(J641&gt;0,T641&gt;0,W641&lt;=X641),1,0)</ns0:f>
        <ns0:v>0</ns0:v>
      </ns0:c>
      <ns0:c r="AD641" s="0">
        <ns0:f>IF(AND(J641&gt;0,T641&gt;0,Y641&lt;=Z641),1,0)</ns0:f>
        <ns0:v>0</ns0:v>
      </ns0:c>
    </ns0:row>
    <ns0:row r="642">
      <ns0:c r="A642" s="0">
        <ns0:f>IFERROR(IF(ISNUMBER(Bookings!B642),"",TRIM(Bookings!B642&amp;"")),"")</ns0:f>
      </ns0:c>
      <ns0:c r="B642" s="0">
        <ns0:f>IFERROR(SUBSTITUTE(SUBSTITUTE(A642,"/","."),"-","."),"")</ns0:f>
      </ns0:c>
      <ns0:c r="C642" s="0">
        <ns0:f>IFERROR(LEFT(B642,FIND(".",B642)-1),"")</ns0:f>
      </ns0:c>
      <ns0:c r="D642" s="0">
        <ns0:f>IFERROR(MID(B642,FIND(".",B642)+1,FIND(".",B642,FIND(".",B642)+1)-FIND(".",B642)-1),"")</ns0:f>
      </ns0:c>
      <ns0:c r="E642" s="0">
        <ns0:f>IFERROR(MID(B642,FIND(".",B642,FIND(".",B642)+1)+1,99),"")</ns0:f>
        <ns0:v>99</ns0:v>
      </ns0:c>
      <ns0:c r="F642" s="0">
        <ns0:f>IFERROR(IF(FIND(".",B642)=5,--C642,--E642),0)</ns0:f>
        <ns0:v>0</ns0:v>
      </ns0:c>
      <ns0:c r="G642" s="0">
        <ns0:f>IFERROR(--D642,0)</ns0:f>
        <ns0:v>0</ns0:v>
      </ns0:c>
      <ns0:c r="H642" s="0">
        <ns0:f>IFERROR(IF(FIND(".",B642)=5,--E642,--C642),0)</ns0:f>
        <ns0:v>0</ns0:v>
      </ns0:c>
      <ns0:c r="I642" s="0">
        <ns0:f>IFERROR(IF(AND(F642&gt;=2000,F642&lt;=2100,G642&gt;=1,G642&lt;=12,H642&gt;=1,H642&lt;=31),DATE(F642,G642,H642),0),0)</ns0:f>
        <ns0:v>0</ns0:v>
      </ns0:c>
      <ns0:c r="J642" s="0">
        <ns0:f>IFERROR(IF(ISNUMBER(Bookings!B642),IF(AND(Bookings!B642=INT(Bookings!B642),Bookings!B642&gt;=DATE(2000,1,1),Bookings!B642&lt;=DATE(2100,12,31)),Bookings!B642,0),IF(AND(A642&lt;&gt;"",LEN("x"&amp;B642)-LEN(SUBSTITUTE("x"&amp;B642,".",""))=2,OR(1&gt;LEN(B642),MID(B642,1,1)=".",ISNUMBER(FIND("x"&amp;MID(B642,1,1),"x0x1x2x3x4x5x6x7x8x9"))),OR(2&gt;LEN(B642),MID(B642,2,1)=".",ISNUMBER(FIND("x"&amp;MID(B642,2,1),"x0x1x2x3x4x5x6x7x8x9"))),OR(3&gt;LEN(B642),MID(B642,3,1)=".",ISNUMBER(FIND("x"&amp;MID(B642,3,1),"x0x1x2x3x4x5x6x7x8x9"))),OR(4&gt;LEN(B642),MID(B642,4,1)=".",ISNUMBER(FIND("x"&amp;MID(B642,4,1),"x0x1x2x3x4x5x6x7x8x9"))),OR(5&gt;LEN(B642),MID(B642,5,1)=".",ISNUMBER(FIND("x"&amp;MID(B642,5,1),"x0x1x2x3x4x5x6x7x8x9"))),OR(6&gt;LEN(B642),MID(B642,6,1)=".",ISNUMBER(FIND("x"&amp;MID(B642,6,1),"x0x1x2x3x4x5x6x7x8x9"))),OR(7&gt;LEN(B642),MID(B642,7,1)=".",ISNUMBER(FIND("x"&amp;MID(B642,7,1),"x0x1x2x3x4x5x6x7x8x9"))),OR(8&gt;LEN(B642),MID(B642,8,1)=".",ISNUMBER(FIND("x"&amp;MID(B642,8,1),"x0x1x2x3x4x5x6x7x8x9"))),OR(9&gt;LEN(B642),MID(B642,9,1)=".",ISNUMBER(FIND("x"&amp;MID(B642,9,1),"x0x1x2x3x4x5x6x7x8x9"))),OR(10&gt;LEN(B642),MID(B642,10,1)=".",ISNUMBER(FIND("x"&amp;MID(B642,10,1),"x0x1x2x3x4x5x6x7x8x9"))),OR(AND(FIND(".",B642)=5,LEN(B642)-FIND(".",B642,FIND(".",B642)+1)&gt;=1,LEN(B642)-FIND(".",B642,FIND(".",B642)+1)&lt;=2),AND(LEN(B642)-FIND(".",B642,FIND(".",B642)+1)=4,FIND(".",B642)&gt;=2,FIND(".",B642)&lt;=3)),FIND(".",B642,FIND(".",B642)+1)-FIND(".",B642)&gt;=2,FIND(".",B642,FIND(".",B642)+1)-FIND(".",B642)&lt;=3,F642&gt;=2000,F642&lt;=2100,YEAR(I642)=F642,MONTH(I642)=G642,DAY(I642)=H642),I642,0)),0)</ns0:f>
        <ns0:v>0</ns0:v>
      </ns0:c>
      <ns0:c r="K642" s="0">
        <ns0:f>IFERROR(IF(ISNUMBER(Bookings!D642),"",TRIM(Bookings!D642&amp;"")),"")</ns0:f>
      </ns0:c>
      <ns0:c r="L642" s="0">
        <ns0:f>IFERROR(SUBSTITUTE(SUBSTITUTE(K642,"/","."),"-","."),"")</ns0:f>
      </ns0:c>
      <ns0:c r="M642" s="0">
        <ns0:f>IFERROR(LEFT(L642,FIND(".",L642)-1),"")</ns0:f>
      </ns0:c>
      <ns0:c r="N642" s="0">
        <ns0:f>IFERROR(MID(L642,FIND(".",L642)+1,FIND(".",L642,FIND(".",L642)+1)-FIND(".",L642)-1),"")</ns0:f>
      </ns0:c>
      <ns0:c r="O642" s="0">
        <ns0:f>IFERROR(MID(L642,FIND(".",L642,FIND(".",L642)+1)+1,99),"")</ns0:f>
        <ns0:v>99</ns0:v>
      </ns0:c>
      <ns0:c r="P642" s="0">
        <ns0:f>IFERROR(IF(FIND(".",L642)=5,--M642,--O642),0)</ns0:f>
        <ns0:v>0</ns0:v>
      </ns0:c>
      <ns0:c r="Q642" s="0">
        <ns0:f>IFERROR(--N642,0)</ns0:f>
        <ns0:v>0</ns0:v>
      </ns0:c>
      <ns0:c r="R642" s="0">
        <ns0:f>IFERROR(IF(FIND(".",L642)=5,--O642,--M642),0)</ns0:f>
        <ns0:v>0</ns0:v>
      </ns0:c>
      <ns0:c r="S642" s="0">
        <ns0:f>IFERROR(IF(AND(P642&gt;=2000,P642&lt;=2100,Q642&gt;=1,Q642&lt;=12,R642&gt;=1,R642&lt;=31),DATE(P642,Q642,R642),0),0)</ns0:f>
        <ns0:v>0</ns0:v>
      </ns0:c>
      <ns0:c r="T642" s="0">
        <ns0:f>IFERROR(IF(ISNUMBER(Bookings!D642),IF(AND(Bookings!D642=INT(Bookings!D642),Bookings!D642&gt;=DATE(2000,1,1),Bookings!D642&lt;=DATE(2100,12,31)),Bookings!D642,0),IF(AND(K642&lt;&gt;"",LEN("x"&amp;L642)-LEN(SUBSTITUTE("x"&amp;L642,".",""))=2,OR(1&gt;LEN(L642),MID(L642,1,1)=".",ISNUMBER(FIND("x"&amp;MID(L642,1,1),"x0x1x2x3x4x5x6x7x8x9"))),OR(2&gt;LEN(L642),MID(L642,2,1)=".",ISNUMBER(FIND("x"&amp;MID(L642,2,1),"x0x1x2x3x4x5x6x7x8x9"))),OR(3&gt;LEN(L642),MID(L642,3,1)=".",ISNUMBER(FIND("x"&amp;MID(L642,3,1),"x0x1x2x3x4x5x6x7x8x9"))),OR(4&gt;LEN(L642),MID(L642,4,1)=".",ISNUMBER(FIND("x"&amp;MID(L642,4,1),"x0x1x2x3x4x5x6x7x8x9"))),OR(5&gt;LEN(L642),MID(L642,5,1)=".",ISNUMBER(FIND("x"&amp;MID(L642,5,1),"x0x1x2x3x4x5x6x7x8x9"))),OR(6&gt;LEN(L642),MID(L642,6,1)=".",ISNUMBER(FIND("x"&amp;MID(L642,6,1),"x0x1x2x3x4x5x6x7x8x9"))),OR(7&gt;LEN(L642),MID(L642,7,1)=".",ISNUMBER(FIND("x"&amp;MID(L642,7,1),"x0x1x2x3x4x5x6x7x8x9"))),OR(8&gt;LEN(L642),MID(L642,8,1)=".",ISNUMBER(FIND("x"&amp;MID(L642,8,1),"x0x1x2x3x4x5x6x7x8x9"))),OR(9&gt;LEN(L642),MID(L642,9,1)=".",ISNUMBER(FIND("x"&amp;MID(L642,9,1),"x0x1x2x3x4x5x6x7x8x9"))),OR(10&gt;LEN(L642),MID(L642,10,1)=".",ISNUMBER(FIND("x"&amp;MID(L642,10,1),"x0x1x2x3x4x5x6x7x8x9"))),OR(AND(FIND(".",L642)=5,LEN(L642)-FIND(".",L642,FIND(".",L642)+1)&gt;=1,LEN(L642)-FIND(".",L642,FIND(".",L642)+1)&lt;=2),AND(LEN(L642)-FIND(".",L642,FIND(".",L642)+1)=4,FIND(".",L642)&gt;=2,FIND(".",L642)&lt;=3)),FIND(".",L642,FIND(".",L642)+1)-FIND(".",L642)&gt;=2,FIND(".",L642,FIND(".",L642)+1)-FIND(".",L642)&lt;=3,P642&gt;=2000,P642&lt;=2100,YEAR(S642)=P642,MONTH(S642)=Q642,DAY(S642)=R642),S642,0)),0)</ns0:f>
        <ns0:v>0</ns0:v>
      </ns0:c>
      <ns0:c r="U642" s="0" t="str">
        <ns0:f>IF(Bookings!C642="","Full day",Bookings!C642)</ns0:f>
        <ns0:v>Full day</ns0:v>
      </ns0:c>
      <ns0:c r="V642" s="0" t="str">
        <ns0:f>IF(Bookings!E642="","Full day",Bookings!E642)</ns0:f>
        <ns0:v>Full day</ns0:v>
      </ns0:c>
      <ns0:c r="W642" s="0">
        <ns0:f>IF(J642=0,0,J642+IF(U642="PM",1,0))</ns0:f>
        <ns0:v>0</ns0:v>
      </ns0:c>
      <ns0:c r="X642" s="0">
        <ns0:f>IF(T642=0,0,T642-IF(V642="PM",1,0))</ns0:f>
        <ns0:v>0</ns0:v>
      </ns0:c>
      <ns0:c r="Y642" s="0">
        <ns0:f>IF(J642=0,0,J642+IF(U642="AM",1,0))</ns0:f>
        <ns0:v>0</ns0:v>
      </ns0:c>
      <ns0:c r="Z642" s="0">
        <ns0:f>IF(T642=0,0,T642-IF(V642="AM",1,0))</ns0:f>
        <ns0:v>0</ns0:v>
      </ns0:c>
      <ns0:c r="AA642" s="0">
        <ns0:f>IFERROR(IF(AND(J642&gt;0,'_Engine'!C642&gt;0,MID('_Engine'!W642,WEEKDAY(J642,2),1)="W",COUNTIF(Settings!$F$18:$F$67,J642)=0),1,0),0)</ns0:f>
        <ns0:v>0</ns0:v>
      </ns0:c>
      <ns0:c r="AB642" s="0">
        <ns0:f>IFERROR(IF(AND(T642&gt;0,'_Engine'!C642&gt;0,MID('_Engine'!W642,WEEKDAY(T642,2),1)="W",COUNTIF(Settings!$F$18:$F$67,T642)=0),1,0),0)</ns0:f>
        <ns0:v>0</ns0:v>
      </ns0:c>
      <ns0:c r="AC642" s="0">
        <ns0:f>IF(AND(J642&gt;0,T642&gt;0,W642&lt;=X642),1,0)</ns0:f>
        <ns0:v>0</ns0:v>
      </ns0:c>
      <ns0:c r="AD642" s="0">
        <ns0:f>IF(AND(J642&gt;0,T642&gt;0,Y642&lt;=Z642),1,0)</ns0:f>
        <ns0:v>0</ns0:v>
      </ns0:c>
    </ns0:row>
    <ns0:row r="643">
      <ns0:c r="A643" s="0">
        <ns0:f>IFERROR(IF(ISNUMBER(Bookings!B643),"",TRIM(Bookings!B643&amp;"")),"")</ns0:f>
      </ns0:c>
      <ns0:c r="B643" s="0">
        <ns0:f>IFERROR(SUBSTITUTE(SUBSTITUTE(A643,"/","."),"-","."),"")</ns0:f>
      </ns0:c>
      <ns0:c r="C643" s="0">
        <ns0:f>IFERROR(LEFT(B643,FIND(".",B643)-1),"")</ns0:f>
      </ns0:c>
      <ns0:c r="D643" s="0">
        <ns0:f>IFERROR(MID(B643,FIND(".",B643)+1,FIND(".",B643,FIND(".",B643)+1)-FIND(".",B643)-1),"")</ns0:f>
      </ns0:c>
      <ns0:c r="E643" s="0">
        <ns0:f>IFERROR(MID(B643,FIND(".",B643,FIND(".",B643)+1)+1,99),"")</ns0:f>
        <ns0:v>99</ns0:v>
      </ns0:c>
      <ns0:c r="F643" s="0">
        <ns0:f>IFERROR(IF(FIND(".",B643)=5,--C643,--E643),0)</ns0:f>
        <ns0:v>0</ns0:v>
      </ns0:c>
      <ns0:c r="G643" s="0">
        <ns0:f>IFERROR(--D643,0)</ns0:f>
        <ns0:v>0</ns0:v>
      </ns0:c>
      <ns0:c r="H643" s="0">
        <ns0:f>IFERROR(IF(FIND(".",B643)=5,--E643,--C643),0)</ns0:f>
        <ns0:v>0</ns0:v>
      </ns0:c>
      <ns0:c r="I643" s="0">
        <ns0:f>IFERROR(IF(AND(F643&gt;=2000,F643&lt;=2100,G643&gt;=1,G643&lt;=12,H643&gt;=1,H643&lt;=31),DATE(F643,G643,H643),0),0)</ns0:f>
        <ns0:v>0</ns0:v>
      </ns0:c>
      <ns0:c r="J643" s="0">
        <ns0:f>IFERROR(IF(ISNUMBER(Bookings!B643),IF(AND(Bookings!B643=INT(Bookings!B643),Bookings!B643&gt;=DATE(2000,1,1),Bookings!B643&lt;=DATE(2100,12,31)),Bookings!B643,0),IF(AND(A643&lt;&gt;"",LEN("x"&amp;B643)-LEN(SUBSTITUTE("x"&amp;B643,".",""))=2,OR(1&gt;LEN(B643),MID(B643,1,1)=".",ISNUMBER(FIND("x"&amp;MID(B643,1,1),"x0x1x2x3x4x5x6x7x8x9"))),OR(2&gt;LEN(B643),MID(B643,2,1)=".",ISNUMBER(FIND("x"&amp;MID(B643,2,1),"x0x1x2x3x4x5x6x7x8x9"))),OR(3&gt;LEN(B643),MID(B643,3,1)=".",ISNUMBER(FIND("x"&amp;MID(B643,3,1),"x0x1x2x3x4x5x6x7x8x9"))),OR(4&gt;LEN(B643),MID(B643,4,1)=".",ISNUMBER(FIND("x"&amp;MID(B643,4,1),"x0x1x2x3x4x5x6x7x8x9"))),OR(5&gt;LEN(B643),MID(B643,5,1)=".",ISNUMBER(FIND("x"&amp;MID(B643,5,1),"x0x1x2x3x4x5x6x7x8x9"))),OR(6&gt;LEN(B643),MID(B643,6,1)=".",ISNUMBER(FIND("x"&amp;MID(B643,6,1),"x0x1x2x3x4x5x6x7x8x9"))),OR(7&gt;LEN(B643),MID(B643,7,1)=".",ISNUMBER(FIND("x"&amp;MID(B643,7,1),"x0x1x2x3x4x5x6x7x8x9"))),OR(8&gt;LEN(B643),MID(B643,8,1)=".",ISNUMBER(FIND("x"&amp;MID(B643,8,1),"x0x1x2x3x4x5x6x7x8x9"))),OR(9&gt;LEN(B643),MID(B643,9,1)=".",ISNUMBER(FIND("x"&amp;MID(B643,9,1),"x0x1x2x3x4x5x6x7x8x9"))),OR(10&gt;LEN(B643),MID(B643,10,1)=".",ISNUMBER(FIND("x"&amp;MID(B643,10,1),"x0x1x2x3x4x5x6x7x8x9"))),OR(AND(FIND(".",B643)=5,LEN(B643)-FIND(".",B643,FIND(".",B643)+1)&gt;=1,LEN(B643)-FIND(".",B643,FIND(".",B643)+1)&lt;=2),AND(LEN(B643)-FIND(".",B643,FIND(".",B643)+1)=4,FIND(".",B643)&gt;=2,FIND(".",B643)&lt;=3)),FIND(".",B643,FIND(".",B643)+1)-FIND(".",B643)&gt;=2,FIND(".",B643,FIND(".",B643)+1)-FIND(".",B643)&lt;=3,F643&gt;=2000,F643&lt;=2100,YEAR(I643)=F643,MONTH(I643)=G643,DAY(I643)=H643),I643,0)),0)</ns0:f>
        <ns0:v>0</ns0:v>
      </ns0:c>
      <ns0:c r="K643" s="0">
        <ns0:f>IFERROR(IF(ISNUMBER(Bookings!D643),"",TRIM(Bookings!D643&amp;"")),"")</ns0:f>
      </ns0:c>
      <ns0:c r="L643" s="0">
        <ns0:f>IFERROR(SUBSTITUTE(SUBSTITUTE(K643,"/","."),"-","."),"")</ns0:f>
      </ns0:c>
      <ns0:c r="M643" s="0">
        <ns0:f>IFERROR(LEFT(L643,FIND(".",L643)-1),"")</ns0:f>
      </ns0:c>
      <ns0:c r="N643" s="0">
        <ns0:f>IFERROR(MID(L643,FIND(".",L643)+1,FIND(".",L643,FIND(".",L643)+1)-FIND(".",L643)-1),"")</ns0:f>
      </ns0:c>
      <ns0:c r="O643" s="0">
        <ns0:f>IFERROR(MID(L643,FIND(".",L643,FIND(".",L643)+1)+1,99),"")</ns0:f>
        <ns0:v>99</ns0:v>
      </ns0:c>
      <ns0:c r="P643" s="0">
        <ns0:f>IFERROR(IF(FIND(".",L643)=5,--M643,--O643),0)</ns0:f>
        <ns0:v>0</ns0:v>
      </ns0:c>
      <ns0:c r="Q643" s="0">
        <ns0:f>IFERROR(--N643,0)</ns0:f>
        <ns0:v>0</ns0:v>
      </ns0:c>
      <ns0:c r="R643" s="0">
        <ns0:f>IFERROR(IF(FIND(".",L643)=5,--O643,--M643),0)</ns0:f>
        <ns0:v>0</ns0:v>
      </ns0:c>
      <ns0:c r="S643" s="0">
        <ns0:f>IFERROR(IF(AND(P643&gt;=2000,P643&lt;=2100,Q643&gt;=1,Q643&lt;=12,R643&gt;=1,R643&lt;=31),DATE(P643,Q643,R643),0),0)</ns0:f>
        <ns0:v>0</ns0:v>
      </ns0:c>
      <ns0:c r="T643" s="0">
        <ns0:f>IFERROR(IF(ISNUMBER(Bookings!D643),IF(AND(Bookings!D643=INT(Bookings!D643),Bookings!D643&gt;=DATE(2000,1,1),Bookings!D643&lt;=DATE(2100,12,31)),Bookings!D643,0),IF(AND(K643&lt;&gt;"",LEN("x"&amp;L643)-LEN(SUBSTITUTE("x"&amp;L643,".",""))=2,OR(1&gt;LEN(L643),MID(L643,1,1)=".",ISNUMBER(FIND("x"&amp;MID(L643,1,1),"x0x1x2x3x4x5x6x7x8x9"))),OR(2&gt;LEN(L643),MID(L643,2,1)=".",ISNUMBER(FIND("x"&amp;MID(L643,2,1),"x0x1x2x3x4x5x6x7x8x9"))),OR(3&gt;LEN(L643),MID(L643,3,1)=".",ISNUMBER(FIND("x"&amp;MID(L643,3,1),"x0x1x2x3x4x5x6x7x8x9"))),OR(4&gt;LEN(L643),MID(L643,4,1)=".",ISNUMBER(FIND("x"&amp;MID(L643,4,1),"x0x1x2x3x4x5x6x7x8x9"))),OR(5&gt;LEN(L643),MID(L643,5,1)=".",ISNUMBER(FIND("x"&amp;MID(L643,5,1),"x0x1x2x3x4x5x6x7x8x9"))),OR(6&gt;LEN(L643),MID(L643,6,1)=".",ISNUMBER(FIND("x"&amp;MID(L643,6,1),"x0x1x2x3x4x5x6x7x8x9"))),OR(7&gt;LEN(L643),MID(L643,7,1)=".",ISNUMBER(FIND("x"&amp;MID(L643,7,1),"x0x1x2x3x4x5x6x7x8x9"))),OR(8&gt;LEN(L643),MID(L643,8,1)=".",ISNUMBER(FIND("x"&amp;MID(L643,8,1),"x0x1x2x3x4x5x6x7x8x9"))),OR(9&gt;LEN(L643),MID(L643,9,1)=".",ISNUMBER(FIND("x"&amp;MID(L643,9,1),"x0x1x2x3x4x5x6x7x8x9"))),OR(10&gt;LEN(L643),MID(L643,10,1)=".",ISNUMBER(FIND("x"&amp;MID(L643,10,1),"x0x1x2x3x4x5x6x7x8x9"))),OR(AND(FIND(".",L643)=5,LEN(L643)-FIND(".",L643,FIND(".",L643)+1)&gt;=1,LEN(L643)-FIND(".",L643,FIND(".",L643)+1)&lt;=2),AND(LEN(L643)-FIND(".",L643,FIND(".",L643)+1)=4,FIND(".",L643)&gt;=2,FIND(".",L643)&lt;=3)),FIND(".",L643,FIND(".",L643)+1)-FIND(".",L643)&gt;=2,FIND(".",L643,FIND(".",L643)+1)-FIND(".",L643)&lt;=3,P643&gt;=2000,P643&lt;=2100,YEAR(S643)=P643,MONTH(S643)=Q643,DAY(S643)=R643),S643,0)),0)</ns0:f>
        <ns0:v>0</ns0:v>
      </ns0:c>
      <ns0:c r="U643" s="0" t="str">
        <ns0:f>IF(Bookings!C643="","Full day",Bookings!C643)</ns0:f>
        <ns0:v>Full day</ns0:v>
      </ns0:c>
      <ns0:c r="V643" s="0" t="str">
        <ns0:f>IF(Bookings!E643="","Full day",Bookings!E643)</ns0:f>
        <ns0:v>Full day</ns0:v>
      </ns0:c>
      <ns0:c r="W643" s="0">
        <ns0:f>IF(J643=0,0,J643+IF(U643="PM",1,0))</ns0:f>
        <ns0:v>0</ns0:v>
      </ns0:c>
      <ns0:c r="X643" s="0">
        <ns0:f>IF(T643=0,0,T643-IF(V643="PM",1,0))</ns0:f>
        <ns0:v>0</ns0:v>
      </ns0:c>
      <ns0:c r="Y643" s="0">
        <ns0:f>IF(J643=0,0,J643+IF(U643="AM",1,0))</ns0:f>
        <ns0:v>0</ns0:v>
      </ns0:c>
      <ns0:c r="Z643" s="0">
        <ns0:f>IF(T643=0,0,T643-IF(V643="AM",1,0))</ns0:f>
        <ns0:v>0</ns0:v>
      </ns0:c>
      <ns0:c r="AA643" s="0">
        <ns0:f>IFERROR(IF(AND(J643&gt;0,'_Engine'!C643&gt;0,MID('_Engine'!W643,WEEKDAY(J643,2),1)="W",COUNTIF(Settings!$F$18:$F$67,J643)=0),1,0),0)</ns0:f>
        <ns0:v>0</ns0:v>
      </ns0:c>
      <ns0:c r="AB643" s="0">
        <ns0:f>IFERROR(IF(AND(T643&gt;0,'_Engine'!C643&gt;0,MID('_Engine'!W643,WEEKDAY(T643,2),1)="W",COUNTIF(Settings!$F$18:$F$67,T643)=0),1,0),0)</ns0:f>
        <ns0:v>0</ns0:v>
      </ns0:c>
      <ns0:c r="AC643" s="0">
        <ns0:f>IF(AND(J643&gt;0,T643&gt;0,W643&lt;=X643),1,0)</ns0:f>
        <ns0:v>0</ns0:v>
      </ns0:c>
      <ns0:c r="AD643" s="0">
        <ns0:f>IF(AND(J643&gt;0,T643&gt;0,Y643&lt;=Z643),1,0)</ns0:f>
        <ns0:v>0</ns0:v>
      </ns0:c>
    </ns0:row>
    <ns0:row r="644">
      <ns0:c r="A644" s="0">
        <ns0:f>IFERROR(IF(ISNUMBER(Bookings!B644),"",TRIM(Bookings!B644&amp;"")),"")</ns0:f>
      </ns0:c>
      <ns0:c r="B644" s="0">
        <ns0:f>IFERROR(SUBSTITUTE(SUBSTITUTE(A644,"/","."),"-","."),"")</ns0:f>
      </ns0:c>
      <ns0:c r="C644" s="0">
        <ns0:f>IFERROR(LEFT(B644,FIND(".",B644)-1),"")</ns0:f>
      </ns0:c>
      <ns0:c r="D644" s="0">
        <ns0:f>IFERROR(MID(B644,FIND(".",B644)+1,FIND(".",B644,FIND(".",B644)+1)-FIND(".",B644)-1),"")</ns0:f>
      </ns0:c>
      <ns0:c r="E644" s="0">
        <ns0:f>IFERROR(MID(B644,FIND(".",B644,FIND(".",B644)+1)+1,99),"")</ns0:f>
        <ns0:v>99</ns0:v>
      </ns0:c>
      <ns0:c r="F644" s="0">
        <ns0:f>IFERROR(IF(FIND(".",B644)=5,--C644,--E644),0)</ns0:f>
        <ns0:v>0</ns0:v>
      </ns0:c>
      <ns0:c r="G644" s="0">
        <ns0:f>IFERROR(--D644,0)</ns0:f>
        <ns0:v>0</ns0:v>
      </ns0:c>
      <ns0:c r="H644" s="0">
        <ns0:f>IFERROR(IF(FIND(".",B644)=5,--E644,--C644),0)</ns0:f>
        <ns0:v>0</ns0:v>
      </ns0:c>
      <ns0:c r="I644" s="0">
        <ns0:f>IFERROR(IF(AND(F644&gt;=2000,F644&lt;=2100,G644&gt;=1,G644&lt;=12,H644&gt;=1,H644&lt;=31),DATE(F644,G644,H644),0),0)</ns0:f>
        <ns0:v>0</ns0:v>
      </ns0:c>
      <ns0:c r="J644" s="0">
        <ns0:f>IFERROR(IF(ISNUMBER(Bookings!B644),IF(AND(Bookings!B644=INT(Bookings!B644),Bookings!B644&gt;=DATE(2000,1,1),Bookings!B644&lt;=DATE(2100,12,31)),Bookings!B644,0),IF(AND(A644&lt;&gt;"",LEN("x"&amp;B644)-LEN(SUBSTITUTE("x"&amp;B644,".",""))=2,OR(1&gt;LEN(B644),MID(B644,1,1)=".",ISNUMBER(FIND("x"&amp;MID(B644,1,1),"x0x1x2x3x4x5x6x7x8x9"))),OR(2&gt;LEN(B644),MID(B644,2,1)=".",ISNUMBER(FIND("x"&amp;MID(B644,2,1),"x0x1x2x3x4x5x6x7x8x9"))),OR(3&gt;LEN(B644),MID(B644,3,1)=".",ISNUMBER(FIND("x"&amp;MID(B644,3,1),"x0x1x2x3x4x5x6x7x8x9"))),OR(4&gt;LEN(B644),MID(B644,4,1)=".",ISNUMBER(FIND("x"&amp;MID(B644,4,1),"x0x1x2x3x4x5x6x7x8x9"))),OR(5&gt;LEN(B644),MID(B644,5,1)=".",ISNUMBER(FIND("x"&amp;MID(B644,5,1),"x0x1x2x3x4x5x6x7x8x9"))),OR(6&gt;LEN(B644),MID(B644,6,1)=".",ISNUMBER(FIND("x"&amp;MID(B644,6,1),"x0x1x2x3x4x5x6x7x8x9"))),OR(7&gt;LEN(B644),MID(B644,7,1)=".",ISNUMBER(FIND("x"&amp;MID(B644,7,1),"x0x1x2x3x4x5x6x7x8x9"))),OR(8&gt;LEN(B644),MID(B644,8,1)=".",ISNUMBER(FIND("x"&amp;MID(B644,8,1),"x0x1x2x3x4x5x6x7x8x9"))),OR(9&gt;LEN(B644),MID(B644,9,1)=".",ISNUMBER(FIND("x"&amp;MID(B644,9,1),"x0x1x2x3x4x5x6x7x8x9"))),OR(10&gt;LEN(B644),MID(B644,10,1)=".",ISNUMBER(FIND("x"&amp;MID(B644,10,1),"x0x1x2x3x4x5x6x7x8x9"))),OR(AND(FIND(".",B644)=5,LEN(B644)-FIND(".",B644,FIND(".",B644)+1)&gt;=1,LEN(B644)-FIND(".",B644,FIND(".",B644)+1)&lt;=2),AND(LEN(B644)-FIND(".",B644,FIND(".",B644)+1)=4,FIND(".",B644)&gt;=2,FIND(".",B644)&lt;=3)),FIND(".",B644,FIND(".",B644)+1)-FIND(".",B644)&gt;=2,FIND(".",B644,FIND(".",B644)+1)-FIND(".",B644)&lt;=3,F644&gt;=2000,F644&lt;=2100,YEAR(I644)=F644,MONTH(I644)=G644,DAY(I644)=H644),I644,0)),0)</ns0:f>
        <ns0:v>0</ns0:v>
      </ns0:c>
      <ns0:c r="K644" s="0">
        <ns0:f>IFERROR(IF(ISNUMBER(Bookings!D644),"",TRIM(Bookings!D644&amp;"")),"")</ns0:f>
      </ns0:c>
      <ns0:c r="L644" s="0">
        <ns0:f>IFERROR(SUBSTITUTE(SUBSTITUTE(K644,"/","."),"-","."),"")</ns0:f>
      </ns0:c>
      <ns0:c r="M644" s="0">
        <ns0:f>IFERROR(LEFT(L644,FIND(".",L644)-1),"")</ns0:f>
      </ns0:c>
      <ns0:c r="N644" s="0">
        <ns0:f>IFERROR(MID(L644,FIND(".",L644)+1,FIND(".",L644,FIND(".",L644)+1)-FIND(".",L644)-1),"")</ns0:f>
      </ns0:c>
      <ns0:c r="O644" s="0">
        <ns0:f>IFERROR(MID(L644,FIND(".",L644,FIND(".",L644)+1)+1,99),"")</ns0:f>
        <ns0:v>99</ns0:v>
      </ns0:c>
      <ns0:c r="P644" s="0">
        <ns0:f>IFERROR(IF(FIND(".",L644)=5,--M644,--O644),0)</ns0:f>
        <ns0:v>0</ns0:v>
      </ns0:c>
      <ns0:c r="Q644" s="0">
        <ns0:f>IFERROR(--N644,0)</ns0:f>
        <ns0:v>0</ns0:v>
      </ns0:c>
      <ns0:c r="R644" s="0">
        <ns0:f>IFERROR(IF(FIND(".",L644)=5,--O644,--M644),0)</ns0:f>
        <ns0:v>0</ns0:v>
      </ns0:c>
      <ns0:c r="S644" s="0">
        <ns0:f>IFERROR(IF(AND(P644&gt;=2000,P644&lt;=2100,Q644&gt;=1,Q644&lt;=12,R644&gt;=1,R644&lt;=31),DATE(P644,Q644,R644),0),0)</ns0:f>
        <ns0:v>0</ns0:v>
      </ns0:c>
      <ns0:c r="T644" s="0">
        <ns0:f>IFERROR(IF(ISNUMBER(Bookings!D644),IF(AND(Bookings!D644=INT(Bookings!D644),Bookings!D644&gt;=DATE(2000,1,1),Bookings!D644&lt;=DATE(2100,12,31)),Bookings!D644,0),IF(AND(K644&lt;&gt;"",LEN("x"&amp;L644)-LEN(SUBSTITUTE("x"&amp;L644,".",""))=2,OR(1&gt;LEN(L644),MID(L644,1,1)=".",ISNUMBER(FIND("x"&amp;MID(L644,1,1),"x0x1x2x3x4x5x6x7x8x9"))),OR(2&gt;LEN(L644),MID(L644,2,1)=".",ISNUMBER(FIND("x"&amp;MID(L644,2,1),"x0x1x2x3x4x5x6x7x8x9"))),OR(3&gt;LEN(L644),MID(L644,3,1)=".",ISNUMBER(FIND("x"&amp;MID(L644,3,1),"x0x1x2x3x4x5x6x7x8x9"))),OR(4&gt;LEN(L644),MID(L644,4,1)=".",ISNUMBER(FIND("x"&amp;MID(L644,4,1),"x0x1x2x3x4x5x6x7x8x9"))),OR(5&gt;LEN(L644),MID(L644,5,1)=".",ISNUMBER(FIND("x"&amp;MID(L644,5,1),"x0x1x2x3x4x5x6x7x8x9"))),OR(6&gt;LEN(L644),MID(L644,6,1)=".",ISNUMBER(FIND("x"&amp;MID(L644,6,1),"x0x1x2x3x4x5x6x7x8x9"))),OR(7&gt;LEN(L644),MID(L644,7,1)=".",ISNUMBER(FIND("x"&amp;MID(L644,7,1),"x0x1x2x3x4x5x6x7x8x9"))),OR(8&gt;LEN(L644),MID(L644,8,1)=".",ISNUMBER(FIND("x"&amp;MID(L644,8,1),"x0x1x2x3x4x5x6x7x8x9"))),OR(9&gt;LEN(L644),MID(L644,9,1)=".",ISNUMBER(FIND("x"&amp;MID(L644,9,1),"x0x1x2x3x4x5x6x7x8x9"))),OR(10&gt;LEN(L644),MID(L644,10,1)=".",ISNUMBER(FIND("x"&amp;MID(L644,10,1),"x0x1x2x3x4x5x6x7x8x9"))),OR(AND(FIND(".",L644)=5,LEN(L644)-FIND(".",L644,FIND(".",L644)+1)&gt;=1,LEN(L644)-FIND(".",L644,FIND(".",L644)+1)&lt;=2),AND(LEN(L644)-FIND(".",L644,FIND(".",L644)+1)=4,FIND(".",L644)&gt;=2,FIND(".",L644)&lt;=3)),FIND(".",L644,FIND(".",L644)+1)-FIND(".",L644)&gt;=2,FIND(".",L644,FIND(".",L644)+1)-FIND(".",L644)&lt;=3,P644&gt;=2000,P644&lt;=2100,YEAR(S644)=P644,MONTH(S644)=Q644,DAY(S644)=R644),S644,0)),0)</ns0:f>
        <ns0:v>0</ns0:v>
      </ns0:c>
      <ns0:c r="U644" s="0" t="str">
        <ns0:f>IF(Bookings!C644="","Full day",Bookings!C644)</ns0:f>
        <ns0:v>Full day</ns0:v>
      </ns0:c>
      <ns0:c r="V644" s="0" t="str">
        <ns0:f>IF(Bookings!E644="","Full day",Bookings!E644)</ns0:f>
        <ns0:v>Full day</ns0:v>
      </ns0:c>
      <ns0:c r="W644" s="0">
        <ns0:f>IF(J644=0,0,J644+IF(U644="PM",1,0))</ns0:f>
        <ns0:v>0</ns0:v>
      </ns0:c>
      <ns0:c r="X644" s="0">
        <ns0:f>IF(T644=0,0,T644-IF(V644="PM",1,0))</ns0:f>
        <ns0:v>0</ns0:v>
      </ns0:c>
      <ns0:c r="Y644" s="0">
        <ns0:f>IF(J644=0,0,J644+IF(U644="AM",1,0))</ns0:f>
        <ns0:v>0</ns0:v>
      </ns0:c>
      <ns0:c r="Z644" s="0">
        <ns0:f>IF(T644=0,0,T644-IF(V644="AM",1,0))</ns0:f>
        <ns0:v>0</ns0:v>
      </ns0:c>
      <ns0:c r="AA644" s="0">
        <ns0:f>IFERROR(IF(AND(J644&gt;0,'_Engine'!C644&gt;0,MID('_Engine'!W644,WEEKDAY(J644,2),1)="W",COUNTIF(Settings!$F$18:$F$67,J644)=0),1,0),0)</ns0:f>
        <ns0:v>0</ns0:v>
      </ns0:c>
      <ns0:c r="AB644" s="0">
        <ns0:f>IFERROR(IF(AND(T644&gt;0,'_Engine'!C644&gt;0,MID('_Engine'!W644,WEEKDAY(T644,2),1)="W",COUNTIF(Settings!$F$18:$F$67,T644)=0),1,0),0)</ns0:f>
        <ns0:v>0</ns0:v>
      </ns0:c>
      <ns0:c r="AC644" s="0">
        <ns0:f>IF(AND(J644&gt;0,T644&gt;0,W644&lt;=X644),1,0)</ns0:f>
        <ns0:v>0</ns0:v>
      </ns0:c>
      <ns0:c r="AD644" s="0">
        <ns0:f>IF(AND(J644&gt;0,T644&gt;0,Y644&lt;=Z644),1,0)</ns0:f>
        <ns0:v>0</ns0:v>
      </ns0:c>
    </ns0:row>
    <ns0:row r="645">
      <ns0:c r="A645" s="0">
        <ns0:f>IFERROR(IF(ISNUMBER(Bookings!B645),"",TRIM(Bookings!B645&amp;"")),"")</ns0:f>
      </ns0:c>
      <ns0:c r="B645" s="0">
        <ns0:f>IFERROR(SUBSTITUTE(SUBSTITUTE(A645,"/","."),"-","."),"")</ns0:f>
      </ns0:c>
      <ns0:c r="C645" s="0">
        <ns0:f>IFERROR(LEFT(B645,FIND(".",B645)-1),"")</ns0:f>
      </ns0:c>
      <ns0:c r="D645" s="0">
        <ns0:f>IFERROR(MID(B645,FIND(".",B645)+1,FIND(".",B645,FIND(".",B645)+1)-FIND(".",B645)-1),"")</ns0:f>
      </ns0:c>
      <ns0:c r="E645" s="0">
        <ns0:f>IFERROR(MID(B645,FIND(".",B645,FIND(".",B645)+1)+1,99),"")</ns0:f>
        <ns0:v>99</ns0:v>
      </ns0:c>
      <ns0:c r="F645" s="0">
        <ns0:f>IFERROR(IF(FIND(".",B645)=5,--C645,--E645),0)</ns0:f>
        <ns0:v>0</ns0:v>
      </ns0:c>
      <ns0:c r="G645" s="0">
        <ns0:f>IFERROR(--D645,0)</ns0:f>
        <ns0:v>0</ns0:v>
      </ns0:c>
      <ns0:c r="H645" s="0">
        <ns0:f>IFERROR(IF(FIND(".",B645)=5,--E645,--C645),0)</ns0:f>
        <ns0:v>0</ns0:v>
      </ns0:c>
      <ns0:c r="I645" s="0">
        <ns0:f>IFERROR(IF(AND(F645&gt;=2000,F645&lt;=2100,G645&gt;=1,G645&lt;=12,H645&gt;=1,H645&lt;=31),DATE(F645,G645,H645),0),0)</ns0:f>
        <ns0:v>0</ns0:v>
      </ns0:c>
      <ns0:c r="J645" s="0">
        <ns0:f>IFERROR(IF(ISNUMBER(Bookings!B645),IF(AND(Bookings!B645=INT(Bookings!B645),Bookings!B645&gt;=DATE(2000,1,1),Bookings!B645&lt;=DATE(2100,12,31)),Bookings!B645,0),IF(AND(A645&lt;&gt;"",LEN("x"&amp;B645)-LEN(SUBSTITUTE("x"&amp;B645,".",""))=2,OR(1&gt;LEN(B645),MID(B645,1,1)=".",ISNUMBER(FIND("x"&amp;MID(B645,1,1),"x0x1x2x3x4x5x6x7x8x9"))),OR(2&gt;LEN(B645),MID(B645,2,1)=".",ISNUMBER(FIND("x"&amp;MID(B645,2,1),"x0x1x2x3x4x5x6x7x8x9"))),OR(3&gt;LEN(B645),MID(B645,3,1)=".",ISNUMBER(FIND("x"&amp;MID(B645,3,1),"x0x1x2x3x4x5x6x7x8x9"))),OR(4&gt;LEN(B645),MID(B645,4,1)=".",ISNUMBER(FIND("x"&amp;MID(B645,4,1),"x0x1x2x3x4x5x6x7x8x9"))),OR(5&gt;LEN(B645),MID(B645,5,1)=".",ISNUMBER(FIND("x"&amp;MID(B645,5,1),"x0x1x2x3x4x5x6x7x8x9"))),OR(6&gt;LEN(B645),MID(B645,6,1)=".",ISNUMBER(FIND("x"&amp;MID(B645,6,1),"x0x1x2x3x4x5x6x7x8x9"))),OR(7&gt;LEN(B645),MID(B645,7,1)=".",ISNUMBER(FIND("x"&amp;MID(B645,7,1),"x0x1x2x3x4x5x6x7x8x9"))),OR(8&gt;LEN(B645),MID(B645,8,1)=".",ISNUMBER(FIND("x"&amp;MID(B645,8,1),"x0x1x2x3x4x5x6x7x8x9"))),OR(9&gt;LEN(B645),MID(B645,9,1)=".",ISNUMBER(FIND("x"&amp;MID(B645,9,1),"x0x1x2x3x4x5x6x7x8x9"))),OR(10&gt;LEN(B645),MID(B645,10,1)=".",ISNUMBER(FIND("x"&amp;MID(B645,10,1),"x0x1x2x3x4x5x6x7x8x9"))),OR(AND(FIND(".",B645)=5,LEN(B645)-FIND(".",B645,FIND(".",B645)+1)&gt;=1,LEN(B645)-FIND(".",B645,FIND(".",B645)+1)&lt;=2),AND(LEN(B645)-FIND(".",B645,FIND(".",B645)+1)=4,FIND(".",B645)&gt;=2,FIND(".",B645)&lt;=3)),FIND(".",B645,FIND(".",B645)+1)-FIND(".",B645)&gt;=2,FIND(".",B645,FIND(".",B645)+1)-FIND(".",B645)&lt;=3,F645&gt;=2000,F645&lt;=2100,YEAR(I645)=F645,MONTH(I645)=G645,DAY(I645)=H645),I645,0)),0)</ns0:f>
        <ns0:v>0</ns0:v>
      </ns0:c>
      <ns0:c r="K645" s="0">
        <ns0:f>IFERROR(IF(ISNUMBER(Bookings!D645),"",TRIM(Bookings!D645&amp;"")),"")</ns0:f>
      </ns0:c>
      <ns0:c r="L645" s="0">
        <ns0:f>IFERROR(SUBSTITUTE(SUBSTITUTE(K645,"/","."),"-","."),"")</ns0:f>
      </ns0:c>
      <ns0:c r="M645" s="0">
        <ns0:f>IFERROR(LEFT(L645,FIND(".",L645)-1),"")</ns0:f>
      </ns0:c>
      <ns0:c r="N645" s="0">
        <ns0:f>IFERROR(MID(L645,FIND(".",L645)+1,FIND(".",L645,FIND(".",L645)+1)-FIND(".",L645)-1),"")</ns0:f>
      </ns0:c>
      <ns0:c r="O645" s="0">
        <ns0:f>IFERROR(MID(L645,FIND(".",L645,FIND(".",L645)+1)+1,99),"")</ns0:f>
        <ns0:v>99</ns0:v>
      </ns0:c>
      <ns0:c r="P645" s="0">
        <ns0:f>IFERROR(IF(FIND(".",L645)=5,--M645,--O645),0)</ns0:f>
        <ns0:v>0</ns0:v>
      </ns0:c>
      <ns0:c r="Q645" s="0">
        <ns0:f>IFERROR(--N645,0)</ns0:f>
        <ns0:v>0</ns0:v>
      </ns0:c>
      <ns0:c r="R645" s="0">
        <ns0:f>IFERROR(IF(FIND(".",L645)=5,--O645,--M645),0)</ns0:f>
        <ns0:v>0</ns0:v>
      </ns0:c>
      <ns0:c r="S645" s="0">
        <ns0:f>IFERROR(IF(AND(P645&gt;=2000,P645&lt;=2100,Q645&gt;=1,Q645&lt;=12,R645&gt;=1,R645&lt;=31),DATE(P645,Q645,R645),0),0)</ns0:f>
        <ns0:v>0</ns0:v>
      </ns0:c>
      <ns0:c r="T645" s="0">
        <ns0:f>IFERROR(IF(ISNUMBER(Bookings!D645),IF(AND(Bookings!D645=INT(Bookings!D645),Bookings!D645&gt;=DATE(2000,1,1),Bookings!D645&lt;=DATE(2100,12,31)),Bookings!D645,0),IF(AND(K645&lt;&gt;"",LEN("x"&amp;L645)-LEN(SUBSTITUTE("x"&amp;L645,".",""))=2,OR(1&gt;LEN(L645),MID(L645,1,1)=".",ISNUMBER(FIND("x"&amp;MID(L645,1,1),"x0x1x2x3x4x5x6x7x8x9"))),OR(2&gt;LEN(L645),MID(L645,2,1)=".",ISNUMBER(FIND("x"&amp;MID(L645,2,1),"x0x1x2x3x4x5x6x7x8x9"))),OR(3&gt;LEN(L645),MID(L645,3,1)=".",ISNUMBER(FIND("x"&amp;MID(L645,3,1),"x0x1x2x3x4x5x6x7x8x9"))),OR(4&gt;LEN(L645),MID(L645,4,1)=".",ISNUMBER(FIND("x"&amp;MID(L645,4,1),"x0x1x2x3x4x5x6x7x8x9"))),OR(5&gt;LEN(L645),MID(L645,5,1)=".",ISNUMBER(FIND("x"&amp;MID(L645,5,1),"x0x1x2x3x4x5x6x7x8x9"))),OR(6&gt;LEN(L645),MID(L645,6,1)=".",ISNUMBER(FIND("x"&amp;MID(L645,6,1),"x0x1x2x3x4x5x6x7x8x9"))),OR(7&gt;LEN(L645),MID(L645,7,1)=".",ISNUMBER(FIND("x"&amp;MID(L645,7,1),"x0x1x2x3x4x5x6x7x8x9"))),OR(8&gt;LEN(L645),MID(L645,8,1)=".",ISNUMBER(FIND("x"&amp;MID(L645,8,1),"x0x1x2x3x4x5x6x7x8x9"))),OR(9&gt;LEN(L645),MID(L645,9,1)=".",ISNUMBER(FIND("x"&amp;MID(L645,9,1),"x0x1x2x3x4x5x6x7x8x9"))),OR(10&gt;LEN(L645),MID(L645,10,1)=".",ISNUMBER(FIND("x"&amp;MID(L645,10,1),"x0x1x2x3x4x5x6x7x8x9"))),OR(AND(FIND(".",L645)=5,LEN(L645)-FIND(".",L645,FIND(".",L645)+1)&gt;=1,LEN(L645)-FIND(".",L645,FIND(".",L645)+1)&lt;=2),AND(LEN(L645)-FIND(".",L645,FIND(".",L645)+1)=4,FIND(".",L645)&gt;=2,FIND(".",L645)&lt;=3)),FIND(".",L645,FIND(".",L645)+1)-FIND(".",L645)&gt;=2,FIND(".",L645,FIND(".",L645)+1)-FIND(".",L645)&lt;=3,P645&gt;=2000,P645&lt;=2100,YEAR(S645)=P645,MONTH(S645)=Q645,DAY(S645)=R645),S645,0)),0)</ns0:f>
        <ns0:v>0</ns0:v>
      </ns0:c>
      <ns0:c r="U645" s="0" t="str">
        <ns0:f>IF(Bookings!C645="","Full day",Bookings!C645)</ns0:f>
        <ns0:v>Full day</ns0:v>
      </ns0:c>
      <ns0:c r="V645" s="0" t="str">
        <ns0:f>IF(Bookings!E645="","Full day",Bookings!E645)</ns0:f>
        <ns0:v>Full day</ns0:v>
      </ns0:c>
      <ns0:c r="W645" s="0">
        <ns0:f>IF(J645=0,0,J645+IF(U645="PM",1,0))</ns0:f>
        <ns0:v>0</ns0:v>
      </ns0:c>
      <ns0:c r="X645" s="0">
        <ns0:f>IF(T645=0,0,T645-IF(V645="PM",1,0))</ns0:f>
        <ns0:v>0</ns0:v>
      </ns0:c>
      <ns0:c r="Y645" s="0">
        <ns0:f>IF(J645=0,0,J645+IF(U645="AM",1,0))</ns0:f>
        <ns0:v>0</ns0:v>
      </ns0:c>
      <ns0:c r="Z645" s="0">
        <ns0:f>IF(T645=0,0,T645-IF(V645="AM",1,0))</ns0:f>
        <ns0:v>0</ns0:v>
      </ns0:c>
      <ns0:c r="AA645" s="0">
        <ns0:f>IFERROR(IF(AND(J645&gt;0,'_Engine'!C645&gt;0,MID('_Engine'!W645,WEEKDAY(J645,2),1)="W",COUNTIF(Settings!$F$18:$F$67,J645)=0),1,0),0)</ns0:f>
        <ns0:v>0</ns0:v>
      </ns0:c>
      <ns0:c r="AB645" s="0">
        <ns0:f>IFERROR(IF(AND(T645&gt;0,'_Engine'!C645&gt;0,MID('_Engine'!W645,WEEKDAY(T645,2),1)="W",COUNTIF(Settings!$F$18:$F$67,T645)=0),1,0),0)</ns0:f>
        <ns0:v>0</ns0:v>
      </ns0:c>
      <ns0:c r="AC645" s="0">
        <ns0:f>IF(AND(J645&gt;0,T645&gt;0,W645&lt;=X645),1,0)</ns0:f>
        <ns0:v>0</ns0:v>
      </ns0:c>
      <ns0:c r="AD645" s="0">
        <ns0:f>IF(AND(J645&gt;0,T645&gt;0,Y645&lt;=Z645),1,0)</ns0:f>
        <ns0:v>0</ns0:v>
      </ns0:c>
    </ns0:row>
    <ns0:row r="646">
      <ns0:c r="A646" s="0">
        <ns0:f>IFERROR(IF(ISNUMBER(Bookings!B646),"",TRIM(Bookings!B646&amp;"")),"")</ns0:f>
      </ns0:c>
      <ns0:c r="B646" s="0">
        <ns0:f>IFERROR(SUBSTITUTE(SUBSTITUTE(A646,"/","."),"-","."),"")</ns0:f>
      </ns0:c>
      <ns0:c r="C646" s="0">
        <ns0:f>IFERROR(LEFT(B646,FIND(".",B646)-1),"")</ns0:f>
      </ns0:c>
      <ns0:c r="D646" s="0">
        <ns0:f>IFERROR(MID(B646,FIND(".",B646)+1,FIND(".",B646,FIND(".",B646)+1)-FIND(".",B646)-1),"")</ns0:f>
      </ns0:c>
      <ns0:c r="E646" s="0">
        <ns0:f>IFERROR(MID(B646,FIND(".",B646,FIND(".",B646)+1)+1,99),"")</ns0:f>
        <ns0:v>99</ns0:v>
      </ns0:c>
      <ns0:c r="F646" s="0">
        <ns0:f>IFERROR(IF(FIND(".",B646)=5,--C646,--E646),0)</ns0:f>
        <ns0:v>0</ns0:v>
      </ns0:c>
      <ns0:c r="G646" s="0">
        <ns0:f>IFERROR(--D646,0)</ns0:f>
        <ns0:v>0</ns0:v>
      </ns0:c>
      <ns0:c r="H646" s="0">
        <ns0:f>IFERROR(IF(FIND(".",B646)=5,--E646,--C646),0)</ns0:f>
        <ns0:v>0</ns0:v>
      </ns0:c>
      <ns0:c r="I646" s="0">
        <ns0:f>IFERROR(IF(AND(F646&gt;=2000,F646&lt;=2100,G646&gt;=1,G646&lt;=12,H646&gt;=1,H646&lt;=31),DATE(F646,G646,H646),0),0)</ns0:f>
        <ns0:v>0</ns0:v>
      </ns0:c>
      <ns0:c r="J646" s="0">
        <ns0:f>IFERROR(IF(ISNUMBER(Bookings!B646),IF(AND(Bookings!B646=INT(Bookings!B646),Bookings!B646&gt;=DATE(2000,1,1),Bookings!B646&lt;=DATE(2100,12,31)),Bookings!B646,0),IF(AND(A646&lt;&gt;"",LEN("x"&amp;B646)-LEN(SUBSTITUTE("x"&amp;B646,".",""))=2,OR(1&gt;LEN(B646),MID(B646,1,1)=".",ISNUMBER(FIND("x"&amp;MID(B646,1,1),"x0x1x2x3x4x5x6x7x8x9"))),OR(2&gt;LEN(B646),MID(B646,2,1)=".",ISNUMBER(FIND("x"&amp;MID(B646,2,1),"x0x1x2x3x4x5x6x7x8x9"))),OR(3&gt;LEN(B646),MID(B646,3,1)=".",ISNUMBER(FIND("x"&amp;MID(B646,3,1),"x0x1x2x3x4x5x6x7x8x9"))),OR(4&gt;LEN(B646),MID(B646,4,1)=".",ISNUMBER(FIND("x"&amp;MID(B646,4,1),"x0x1x2x3x4x5x6x7x8x9"))),OR(5&gt;LEN(B646),MID(B646,5,1)=".",ISNUMBER(FIND("x"&amp;MID(B646,5,1),"x0x1x2x3x4x5x6x7x8x9"))),OR(6&gt;LEN(B646),MID(B646,6,1)=".",ISNUMBER(FIND("x"&amp;MID(B646,6,1),"x0x1x2x3x4x5x6x7x8x9"))),OR(7&gt;LEN(B646),MID(B646,7,1)=".",ISNUMBER(FIND("x"&amp;MID(B646,7,1),"x0x1x2x3x4x5x6x7x8x9"))),OR(8&gt;LEN(B646),MID(B646,8,1)=".",ISNUMBER(FIND("x"&amp;MID(B646,8,1),"x0x1x2x3x4x5x6x7x8x9"))),OR(9&gt;LEN(B646),MID(B646,9,1)=".",ISNUMBER(FIND("x"&amp;MID(B646,9,1),"x0x1x2x3x4x5x6x7x8x9"))),OR(10&gt;LEN(B646),MID(B646,10,1)=".",ISNUMBER(FIND("x"&amp;MID(B646,10,1),"x0x1x2x3x4x5x6x7x8x9"))),OR(AND(FIND(".",B646)=5,LEN(B646)-FIND(".",B646,FIND(".",B646)+1)&gt;=1,LEN(B646)-FIND(".",B646,FIND(".",B646)+1)&lt;=2),AND(LEN(B646)-FIND(".",B646,FIND(".",B646)+1)=4,FIND(".",B646)&gt;=2,FIND(".",B646)&lt;=3)),FIND(".",B646,FIND(".",B646)+1)-FIND(".",B646)&gt;=2,FIND(".",B646,FIND(".",B646)+1)-FIND(".",B646)&lt;=3,F646&gt;=2000,F646&lt;=2100,YEAR(I646)=F646,MONTH(I646)=G646,DAY(I646)=H646),I646,0)),0)</ns0:f>
        <ns0:v>0</ns0:v>
      </ns0:c>
      <ns0:c r="K646" s="0">
        <ns0:f>IFERROR(IF(ISNUMBER(Bookings!D646),"",TRIM(Bookings!D646&amp;"")),"")</ns0:f>
      </ns0:c>
      <ns0:c r="L646" s="0">
        <ns0:f>IFERROR(SUBSTITUTE(SUBSTITUTE(K646,"/","."),"-","."),"")</ns0:f>
      </ns0:c>
      <ns0:c r="M646" s="0">
        <ns0:f>IFERROR(LEFT(L646,FIND(".",L646)-1),"")</ns0:f>
      </ns0:c>
      <ns0:c r="N646" s="0">
        <ns0:f>IFERROR(MID(L646,FIND(".",L646)+1,FIND(".",L646,FIND(".",L646)+1)-FIND(".",L646)-1),"")</ns0:f>
      </ns0:c>
      <ns0:c r="O646" s="0">
        <ns0:f>IFERROR(MID(L646,FIND(".",L646,FIND(".",L646)+1)+1,99),"")</ns0:f>
        <ns0:v>99</ns0:v>
      </ns0:c>
      <ns0:c r="P646" s="0">
        <ns0:f>IFERROR(IF(FIND(".",L646)=5,--M646,--O646),0)</ns0:f>
        <ns0:v>0</ns0:v>
      </ns0:c>
      <ns0:c r="Q646" s="0">
        <ns0:f>IFERROR(--N646,0)</ns0:f>
        <ns0:v>0</ns0:v>
      </ns0:c>
      <ns0:c r="R646" s="0">
        <ns0:f>IFERROR(IF(FIND(".",L646)=5,--O646,--M646),0)</ns0:f>
        <ns0:v>0</ns0:v>
      </ns0:c>
      <ns0:c r="S646" s="0">
        <ns0:f>IFERROR(IF(AND(P646&gt;=2000,P646&lt;=2100,Q646&gt;=1,Q646&lt;=12,R646&gt;=1,R646&lt;=31),DATE(P646,Q646,R646),0),0)</ns0:f>
        <ns0:v>0</ns0:v>
      </ns0:c>
      <ns0:c r="T646" s="0">
        <ns0:f>IFERROR(IF(ISNUMBER(Bookings!D646),IF(AND(Bookings!D646=INT(Bookings!D646),Bookings!D646&gt;=DATE(2000,1,1),Bookings!D646&lt;=DATE(2100,12,31)),Bookings!D646,0),IF(AND(K646&lt;&gt;"",LEN("x"&amp;L646)-LEN(SUBSTITUTE("x"&amp;L646,".",""))=2,OR(1&gt;LEN(L646),MID(L646,1,1)=".",ISNUMBER(FIND("x"&amp;MID(L646,1,1),"x0x1x2x3x4x5x6x7x8x9"))),OR(2&gt;LEN(L646),MID(L646,2,1)=".",ISNUMBER(FIND("x"&amp;MID(L646,2,1),"x0x1x2x3x4x5x6x7x8x9"))),OR(3&gt;LEN(L646),MID(L646,3,1)=".",ISNUMBER(FIND("x"&amp;MID(L646,3,1),"x0x1x2x3x4x5x6x7x8x9"))),OR(4&gt;LEN(L646),MID(L646,4,1)=".",ISNUMBER(FIND("x"&amp;MID(L646,4,1),"x0x1x2x3x4x5x6x7x8x9"))),OR(5&gt;LEN(L646),MID(L646,5,1)=".",ISNUMBER(FIND("x"&amp;MID(L646,5,1),"x0x1x2x3x4x5x6x7x8x9"))),OR(6&gt;LEN(L646),MID(L646,6,1)=".",ISNUMBER(FIND("x"&amp;MID(L646,6,1),"x0x1x2x3x4x5x6x7x8x9"))),OR(7&gt;LEN(L646),MID(L646,7,1)=".",ISNUMBER(FIND("x"&amp;MID(L646,7,1),"x0x1x2x3x4x5x6x7x8x9"))),OR(8&gt;LEN(L646),MID(L646,8,1)=".",ISNUMBER(FIND("x"&amp;MID(L646,8,1),"x0x1x2x3x4x5x6x7x8x9"))),OR(9&gt;LEN(L646),MID(L646,9,1)=".",ISNUMBER(FIND("x"&amp;MID(L646,9,1),"x0x1x2x3x4x5x6x7x8x9"))),OR(10&gt;LEN(L646),MID(L646,10,1)=".",ISNUMBER(FIND("x"&amp;MID(L646,10,1),"x0x1x2x3x4x5x6x7x8x9"))),OR(AND(FIND(".",L646)=5,LEN(L646)-FIND(".",L646,FIND(".",L646)+1)&gt;=1,LEN(L646)-FIND(".",L646,FIND(".",L646)+1)&lt;=2),AND(LEN(L646)-FIND(".",L646,FIND(".",L646)+1)=4,FIND(".",L646)&gt;=2,FIND(".",L646)&lt;=3)),FIND(".",L646,FIND(".",L646)+1)-FIND(".",L646)&gt;=2,FIND(".",L646,FIND(".",L646)+1)-FIND(".",L646)&lt;=3,P646&gt;=2000,P646&lt;=2100,YEAR(S646)=P646,MONTH(S646)=Q646,DAY(S646)=R646),S646,0)),0)</ns0:f>
        <ns0:v>0</ns0:v>
      </ns0:c>
      <ns0:c r="U646" s="0" t="str">
        <ns0:f>IF(Bookings!C646="","Full day",Bookings!C646)</ns0:f>
        <ns0:v>Full day</ns0:v>
      </ns0:c>
      <ns0:c r="V646" s="0" t="str">
        <ns0:f>IF(Bookings!E646="","Full day",Bookings!E646)</ns0:f>
        <ns0:v>Full day</ns0:v>
      </ns0:c>
      <ns0:c r="W646" s="0">
        <ns0:f>IF(J646=0,0,J646+IF(U646="PM",1,0))</ns0:f>
        <ns0:v>0</ns0:v>
      </ns0:c>
      <ns0:c r="X646" s="0">
        <ns0:f>IF(T646=0,0,T646-IF(V646="PM",1,0))</ns0:f>
        <ns0:v>0</ns0:v>
      </ns0:c>
      <ns0:c r="Y646" s="0">
        <ns0:f>IF(J646=0,0,J646+IF(U646="AM",1,0))</ns0:f>
        <ns0:v>0</ns0:v>
      </ns0:c>
      <ns0:c r="Z646" s="0">
        <ns0:f>IF(T646=0,0,T646-IF(V646="AM",1,0))</ns0:f>
        <ns0:v>0</ns0:v>
      </ns0:c>
      <ns0:c r="AA646" s="0">
        <ns0:f>IFERROR(IF(AND(J646&gt;0,'_Engine'!C646&gt;0,MID('_Engine'!W646,WEEKDAY(J646,2),1)="W",COUNTIF(Settings!$F$18:$F$67,J646)=0),1,0),0)</ns0:f>
        <ns0:v>0</ns0:v>
      </ns0:c>
      <ns0:c r="AB646" s="0">
        <ns0:f>IFERROR(IF(AND(T646&gt;0,'_Engine'!C646&gt;0,MID('_Engine'!W646,WEEKDAY(T646,2),1)="W",COUNTIF(Settings!$F$18:$F$67,T646)=0),1,0),0)</ns0:f>
        <ns0:v>0</ns0:v>
      </ns0:c>
      <ns0:c r="AC646" s="0">
        <ns0:f>IF(AND(J646&gt;0,T646&gt;0,W646&lt;=X646),1,0)</ns0:f>
        <ns0:v>0</ns0:v>
      </ns0:c>
      <ns0:c r="AD646" s="0">
        <ns0:f>IF(AND(J646&gt;0,T646&gt;0,Y646&lt;=Z646),1,0)</ns0:f>
        <ns0:v>0</ns0:v>
      </ns0:c>
    </ns0:row>
    <ns0:row r="647">
      <ns0:c r="A647" s="0">
        <ns0:f>IFERROR(IF(ISNUMBER(Bookings!B647),"",TRIM(Bookings!B647&amp;"")),"")</ns0:f>
      </ns0:c>
      <ns0:c r="B647" s="0">
        <ns0:f>IFERROR(SUBSTITUTE(SUBSTITUTE(A647,"/","."),"-","."),"")</ns0:f>
      </ns0:c>
      <ns0:c r="C647" s="0">
        <ns0:f>IFERROR(LEFT(B647,FIND(".",B647)-1),"")</ns0:f>
      </ns0:c>
      <ns0:c r="D647" s="0">
        <ns0:f>IFERROR(MID(B647,FIND(".",B647)+1,FIND(".",B647,FIND(".",B647)+1)-FIND(".",B647)-1),"")</ns0:f>
      </ns0:c>
      <ns0:c r="E647" s="0">
        <ns0:f>IFERROR(MID(B647,FIND(".",B647,FIND(".",B647)+1)+1,99),"")</ns0:f>
        <ns0:v>99</ns0:v>
      </ns0:c>
      <ns0:c r="F647" s="0">
        <ns0:f>IFERROR(IF(FIND(".",B647)=5,--C647,--E647),0)</ns0:f>
        <ns0:v>0</ns0:v>
      </ns0:c>
      <ns0:c r="G647" s="0">
        <ns0:f>IFERROR(--D647,0)</ns0:f>
        <ns0:v>0</ns0:v>
      </ns0:c>
      <ns0:c r="H647" s="0">
        <ns0:f>IFERROR(IF(FIND(".",B647)=5,--E647,--C647),0)</ns0:f>
        <ns0:v>0</ns0:v>
      </ns0:c>
      <ns0:c r="I647" s="0">
        <ns0:f>IFERROR(IF(AND(F647&gt;=2000,F647&lt;=2100,G647&gt;=1,G647&lt;=12,H647&gt;=1,H647&lt;=31),DATE(F647,G647,H647),0),0)</ns0:f>
        <ns0:v>0</ns0:v>
      </ns0:c>
      <ns0:c r="J647" s="0">
        <ns0:f>IFERROR(IF(ISNUMBER(Bookings!B647),IF(AND(Bookings!B647=INT(Bookings!B647),Bookings!B647&gt;=DATE(2000,1,1),Bookings!B647&lt;=DATE(2100,12,31)),Bookings!B647,0),IF(AND(A647&lt;&gt;"",LEN("x"&amp;B647)-LEN(SUBSTITUTE("x"&amp;B647,".",""))=2,OR(1&gt;LEN(B647),MID(B647,1,1)=".",ISNUMBER(FIND("x"&amp;MID(B647,1,1),"x0x1x2x3x4x5x6x7x8x9"))),OR(2&gt;LEN(B647),MID(B647,2,1)=".",ISNUMBER(FIND("x"&amp;MID(B647,2,1),"x0x1x2x3x4x5x6x7x8x9"))),OR(3&gt;LEN(B647),MID(B647,3,1)=".",ISNUMBER(FIND("x"&amp;MID(B647,3,1),"x0x1x2x3x4x5x6x7x8x9"))),OR(4&gt;LEN(B647),MID(B647,4,1)=".",ISNUMBER(FIND("x"&amp;MID(B647,4,1),"x0x1x2x3x4x5x6x7x8x9"))),OR(5&gt;LEN(B647),MID(B647,5,1)=".",ISNUMBER(FIND("x"&amp;MID(B647,5,1),"x0x1x2x3x4x5x6x7x8x9"))),OR(6&gt;LEN(B647),MID(B647,6,1)=".",ISNUMBER(FIND("x"&amp;MID(B647,6,1),"x0x1x2x3x4x5x6x7x8x9"))),OR(7&gt;LEN(B647),MID(B647,7,1)=".",ISNUMBER(FIND("x"&amp;MID(B647,7,1),"x0x1x2x3x4x5x6x7x8x9"))),OR(8&gt;LEN(B647),MID(B647,8,1)=".",ISNUMBER(FIND("x"&amp;MID(B647,8,1),"x0x1x2x3x4x5x6x7x8x9"))),OR(9&gt;LEN(B647),MID(B647,9,1)=".",ISNUMBER(FIND("x"&amp;MID(B647,9,1),"x0x1x2x3x4x5x6x7x8x9"))),OR(10&gt;LEN(B647),MID(B647,10,1)=".",ISNUMBER(FIND("x"&amp;MID(B647,10,1),"x0x1x2x3x4x5x6x7x8x9"))),OR(AND(FIND(".",B647)=5,LEN(B647)-FIND(".",B647,FIND(".",B647)+1)&gt;=1,LEN(B647)-FIND(".",B647,FIND(".",B647)+1)&lt;=2),AND(LEN(B647)-FIND(".",B647,FIND(".",B647)+1)=4,FIND(".",B647)&gt;=2,FIND(".",B647)&lt;=3)),FIND(".",B647,FIND(".",B647)+1)-FIND(".",B647)&gt;=2,FIND(".",B647,FIND(".",B647)+1)-FIND(".",B647)&lt;=3,F647&gt;=2000,F647&lt;=2100,YEAR(I647)=F647,MONTH(I647)=G647,DAY(I647)=H647),I647,0)),0)</ns0:f>
        <ns0:v>0</ns0:v>
      </ns0:c>
      <ns0:c r="K647" s="0">
        <ns0:f>IFERROR(IF(ISNUMBER(Bookings!D647),"",TRIM(Bookings!D647&amp;"")),"")</ns0:f>
      </ns0:c>
      <ns0:c r="L647" s="0">
        <ns0:f>IFERROR(SUBSTITUTE(SUBSTITUTE(K647,"/","."),"-","."),"")</ns0:f>
      </ns0:c>
      <ns0:c r="M647" s="0">
        <ns0:f>IFERROR(LEFT(L647,FIND(".",L647)-1),"")</ns0:f>
      </ns0:c>
      <ns0:c r="N647" s="0">
        <ns0:f>IFERROR(MID(L647,FIND(".",L647)+1,FIND(".",L647,FIND(".",L647)+1)-FIND(".",L647)-1),"")</ns0:f>
      </ns0:c>
      <ns0:c r="O647" s="0">
        <ns0:f>IFERROR(MID(L647,FIND(".",L647,FIND(".",L647)+1)+1,99),"")</ns0:f>
        <ns0:v>99</ns0:v>
      </ns0:c>
      <ns0:c r="P647" s="0">
        <ns0:f>IFERROR(IF(FIND(".",L647)=5,--M647,--O647),0)</ns0:f>
        <ns0:v>0</ns0:v>
      </ns0:c>
      <ns0:c r="Q647" s="0">
        <ns0:f>IFERROR(--N647,0)</ns0:f>
        <ns0:v>0</ns0:v>
      </ns0:c>
      <ns0:c r="R647" s="0">
        <ns0:f>IFERROR(IF(FIND(".",L647)=5,--O647,--M647),0)</ns0:f>
        <ns0:v>0</ns0:v>
      </ns0:c>
      <ns0:c r="S647" s="0">
        <ns0:f>IFERROR(IF(AND(P647&gt;=2000,P647&lt;=2100,Q647&gt;=1,Q647&lt;=12,R647&gt;=1,R647&lt;=31),DATE(P647,Q647,R647),0),0)</ns0:f>
        <ns0:v>0</ns0:v>
      </ns0:c>
      <ns0:c r="T647" s="0">
        <ns0:f>IFERROR(IF(ISNUMBER(Bookings!D647),IF(AND(Bookings!D647=INT(Bookings!D647),Bookings!D647&gt;=DATE(2000,1,1),Bookings!D647&lt;=DATE(2100,12,31)),Bookings!D647,0),IF(AND(K647&lt;&gt;"",LEN("x"&amp;L647)-LEN(SUBSTITUTE("x"&amp;L647,".",""))=2,OR(1&gt;LEN(L647),MID(L647,1,1)=".",ISNUMBER(FIND("x"&amp;MID(L647,1,1),"x0x1x2x3x4x5x6x7x8x9"))),OR(2&gt;LEN(L647),MID(L647,2,1)=".",ISNUMBER(FIND("x"&amp;MID(L647,2,1),"x0x1x2x3x4x5x6x7x8x9"))),OR(3&gt;LEN(L647),MID(L647,3,1)=".",ISNUMBER(FIND("x"&amp;MID(L647,3,1),"x0x1x2x3x4x5x6x7x8x9"))),OR(4&gt;LEN(L647),MID(L647,4,1)=".",ISNUMBER(FIND("x"&amp;MID(L647,4,1),"x0x1x2x3x4x5x6x7x8x9"))),OR(5&gt;LEN(L647),MID(L647,5,1)=".",ISNUMBER(FIND("x"&amp;MID(L647,5,1),"x0x1x2x3x4x5x6x7x8x9"))),OR(6&gt;LEN(L647),MID(L647,6,1)=".",ISNUMBER(FIND("x"&amp;MID(L647,6,1),"x0x1x2x3x4x5x6x7x8x9"))),OR(7&gt;LEN(L647),MID(L647,7,1)=".",ISNUMBER(FIND("x"&amp;MID(L647,7,1),"x0x1x2x3x4x5x6x7x8x9"))),OR(8&gt;LEN(L647),MID(L647,8,1)=".",ISNUMBER(FIND("x"&amp;MID(L647,8,1),"x0x1x2x3x4x5x6x7x8x9"))),OR(9&gt;LEN(L647),MID(L647,9,1)=".",ISNUMBER(FIND("x"&amp;MID(L647,9,1),"x0x1x2x3x4x5x6x7x8x9"))),OR(10&gt;LEN(L647),MID(L647,10,1)=".",ISNUMBER(FIND("x"&amp;MID(L647,10,1),"x0x1x2x3x4x5x6x7x8x9"))),OR(AND(FIND(".",L647)=5,LEN(L647)-FIND(".",L647,FIND(".",L647)+1)&gt;=1,LEN(L647)-FIND(".",L647,FIND(".",L647)+1)&lt;=2),AND(LEN(L647)-FIND(".",L647,FIND(".",L647)+1)=4,FIND(".",L647)&gt;=2,FIND(".",L647)&lt;=3)),FIND(".",L647,FIND(".",L647)+1)-FIND(".",L647)&gt;=2,FIND(".",L647,FIND(".",L647)+1)-FIND(".",L647)&lt;=3,P647&gt;=2000,P647&lt;=2100,YEAR(S647)=P647,MONTH(S647)=Q647,DAY(S647)=R647),S647,0)),0)</ns0:f>
        <ns0:v>0</ns0:v>
      </ns0:c>
      <ns0:c r="U647" s="0" t="str">
        <ns0:f>IF(Bookings!C647="","Full day",Bookings!C647)</ns0:f>
        <ns0:v>Full day</ns0:v>
      </ns0:c>
      <ns0:c r="V647" s="0" t="str">
        <ns0:f>IF(Bookings!E647="","Full day",Bookings!E647)</ns0:f>
        <ns0:v>Full day</ns0:v>
      </ns0:c>
      <ns0:c r="W647" s="0">
        <ns0:f>IF(J647=0,0,J647+IF(U647="PM",1,0))</ns0:f>
        <ns0:v>0</ns0:v>
      </ns0:c>
      <ns0:c r="X647" s="0">
        <ns0:f>IF(T647=0,0,T647-IF(V647="PM",1,0))</ns0:f>
        <ns0:v>0</ns0:v>
      </ns0:c>
      <ns0:c r="Y647" s="0">
        <ns0:f>IF(J647=0,0,J647+IF(U647="AM",1,0))</ns0:f>
        <ns0:v>0</ns0:v>
      </ns0:c>
      <ns0:c r="Z647" s="0">
        <ns0:f>IF(T647=0,0,T647-IF(V647="AM",1,0))</ns0:f>
        <ns0:v>0</ns0:v>
      </ns0:c>
      <ns0:c r="AA647" s="0">
        <ns0:f>IFERROR(IF(AND(J647&gt;0,'_Engine'!C647&gt;0,MID('_Engine'!W647,WEEKDAY(J647,2),1)="W",COUNTIF(Settings!$F$18:$F$67,J647)=0),1,0),0)</ns0:f>
        <ns0:v>0</ns0:v>
      </ns0:c>
      <ns0:c r="AB647" s="0">
        <ns0:f>IFERROR(IF(AND(T647&gt;0,'_Engine'!C647&gt;0,MID('_Engine'!W647,WEEKDAY(T647,2),1)="W",COUNTIF(Settings!$F$18:$F$67,T647)=0),1,0),0)</ns0:f>
        <ns0:v>0</ns0:v>
      </ns0:c>
      <ns0:c r="AC647" s="0">
        <ns0:f>IF(AND(J647&gt;0,T647&gt;0,W647&lt;=X647),1,0)</ns0:f>
        <ns0:v>0</ns0:v>
      </ns0:c>
      <ns0:c r="AD647" s="0">
        <ns0:f>IF(AND(J647&gt;0,T647&gt;0,Y647&lt;=Z647),1,0)</ns0:f>
        <ns0:v>0</ns0:v>
      </ns0:c>
    </ns0:row>
    <ns0:row r="648">
      <ns0:c r="A648" s="0">
        <ns0:f>IFERROR(IF(ISNUMBER(Bookings!B648),"",TRIM(Bookings!B648&amp;"")),"")</ns0:f>
      </ns0:c>
      <ns0:c r="B648" s="0">
        <ns0:f>IFERROR(SUBSTITUTE(SUBSTITUTE(A648,"/","."),"-","."),"")</ns0:f>
      </ns0:c>
      <ns0:c r="C648" s="0">
        <ns0:f>IFERROR(LEFT(B648,FIND(".",B648)-1),"")</ns0:f>
      </ns0:c>
      <ns0:c r="D648" s="0">
        <ns0:f>IFERROR(MID(B648,FIND(".",B648)+1,FIND(".",B648,FIND(".",B648)+1)-FIND(".",B648)-1),"")</ns0:f>
      </ns0:c>
      <ns0:c r="E648" s="0">
        <ns0:f>IFERROR(MID(B648,FIND(".",B648,FIND(".",B648)+1)+1,99),"")</ns0:f>
        <ns0:v>99</ns0:v>
      </ns0:c>
      <ns0:c r="F648" s="0">
        <ns0:f>IFERROR(IF(FIND(".",B648)=5,--C648,--E648),0)</ns0:f>
        <ns0:v>0</ns0:v>
      </ns0:c>
      <ns0:c r="G648" s="0">
        <ns0:f>IFERROR(--D648,0)</ns0:f>
        <ns0:v>0</ns0:v>
      </ns0:c>
      <ns0:c r="H648" s="0">
        <ns0:f>IFERROR(IF(FIND(".",B648)=5,--E648,--C648),0)</ns0:f>
        <ns0:v>0</ns0:v>
      </ns0:c>
      <ns0:c r="I648" s="0">
        <ns0:f>IFERROR(IF(AND(F648&gt;=2000,F648&lt;=2100,G648&gt;=1,G648&lt;=12,H648&gt;=1,H648&lt;=31),DATE(F648,G648,H648),0),0)</ns0:f>
        <ns0:v>0</ns0:v>
      </ns0:c>
      <ns0:c r="J648" s="0">
        <ns0:f>IFERROR(IF(ISNUMBER(Bookings!B648),IF(AND(Bookings!B648=INT(Bookings!B648),Bookings!B648&gt;=DATE(2000,1,1),Bookings!B648&lt;=DATE(2100,12,31)),Bookings!B648,0),IF(AND(A648&lt;&gt;"",LEN("x"&amp;B648)-LEN(SUBSTITUTE("x"&amp;B648,".",""))=2,OR(1&gt;LEN(B648),MID(B648,1,1)=".",ISNUMBER(FIND("x"&amp;MID(B648,1,1),"x0x1x2x3x4x5x6x7x8x9"))),OR(2&gt;LEN(B648),MID(B648,2,1)=".",ISNUMBER(FIND("x"&amp;MID(B648,2,1),"x0x1x2x3x4x5x6x7x8x9"))),OR(3&gt;LEN(B648),MID(B648,3,1)=".",ISNUMBER(FIND("x"&amp;MID(B648,3,1),"x0x1x2x3x4x5x6x7x8x9"))),OR(4&gt;LEN(B648),MID(B648,4,1)=".",ISNUMBER(FIND("x"&amp;MID(B648,4,1),"x0x1x2x3x4x5x6x7x8x9"))),OR(5&gt;LEN(B648),MID(B648,5,1)=".",ISNUMBER(FIND("x"&amp;MID(B648,5,1),"x0x1x2x3x4x5x6x7x8x9"))),OR(6&gt;LEN(B648),MID(B648,6,1)=".",ISNUMBER(FIND("x"&amp;MID(B648,6,1),"x0x1x2x3x4x5x6x7x8x9"))),OR(7&gt;LEN(B648),MID(B648,7,1)=".",ISNUMBER(FIND("x"&amp;MID(B648,7,1),"x0x1x2x3x4x5x6x7x8x9"))),OR(8&gt;LEN(B648),MID(B648,8,1)=".",ISNUMBER(FIND("x"&amp;MID(B648,8,1),"x0x1x2x3x4x5x6x7x8x9"))),OR(9&gt;LEN(B648),MID(B648,9,1)=".",ISNUMBER(FIND("x"&amp;MID(B648,9,1),"x0x1x2x3x4x5x6x7x8x9"))),OR(10&gt;LEN(B648),MID(B648,10,1)=".",ISNUMBER(FIND("x"&amp;MID(B648,10,1),"x0x1x2x3x4x5x6x7x8x9"))),OR(AND(FIND(".",B648)=5,LEN(B648)-FIND(".",B648,FIND(".",B648)+1)&gt;=1,LEN(B648)-FIND(".",B648,FIND(".",B648)+1)&lt;=2),AND(LEN(B648)-FIND(".",B648,FIND(".",B648)+1)=4,FIND(".",B648)&gt;=2,FIND(".",B648)&lt;=3)),FIND(".",B648,FIND(".",B648)+1)-FIND(".",B648)&gt;=2,FIND(".",B648,FIND(".",B648)+1)-FIND(".",B648)&lt;=3,F648&gt;=2000,F648&lt;=2100,YEAR(I648)=F648,MONTH(I648)=G648,DAY(I648)=H648),I648,0)),0)</ns0:f>
        <ns0:v>0</ns0:v>
      </ns0:c>
      <ns0:c r="K648" s="0">
        <ns0:f>IFERROR(IF(ISNUMBER(Bookings!D648),"",TRIM(Bookings!D648&amp;"")),"")</ns0:f>
      </ns0:c>
      <ns0:c r="L648" s="0">
        <ns0:f>IFERROR(SUBSTITUTE(SUBSTITUTE(K648,"/","."),"-","."),"")</ns0:f>
      </ns0:c>
      <ns0:c r="M648" s="0">
        <ns0:f>IFERROR(LEFT(L648,FIND(".",L648)-1),"")</ns0:f>
      </ns0:c>
      <ns0:c r="N648" s="0">
        <ns0:f>IFERROR(MID(L648,FIND(".",L648)+1,FIND(".",L648,FIND(".",L648)+1)-FIND(".",L648)-1),"")</ns0:f>
      </ns0:c>
      <ns0:c r="O648" s="0">
        <ns0:f>IFERROR(MID(L648,FIND(".",L648,FIND(".",L648)+1)+1,99),"")</ns0:f>
        <ns0:v>99</ns0:v>
      </ns0:c>
      <ns0:c r="P648" s="0">
        <ns0:f>IFERROR(IF(FIND(".",L648)=5,--M648,--O648),0)</ns0:f>
        <ns0:v>0</ns0:v>
      </ns0:c>
      <ns0:c r="Q648" s="0">
        <ns0:f>IFERROR(--N648,0)</ns0:f>
        <ns0:v>0</ns0:v>
      </ns0:c>
      <ns0:c r="R648" s="0">
        <ns0:f>IFERROR(IF(FIND(".",L648)=5,--O648,--M648),0)</ns0:f>
        <ns0:v>0</ns0:v>
      </ns0:c>
      <ns0:c r="S648" s="0">
        <ns0:f>IFERROR(IF(AND(P648&gt;=2000,P648&lt;=2100,Q648&gt;=1,Q648&lt;=12,R648&gt;=1,R648&lt;=31),DATE(P648,Q648,R648),0),0)</ns0:f>
        <ns0:v>0</ns0:v>
      </ns0:c>
      <ns0:c r="T648" s="0">
        <ns0:f>IFERROR(IF(ISNUMBER(Bookings!D648),IF(AND(Bookings!D648=INT(Bookings!D648),Bookings!D648&gt;=DATE(2000,1,1),Bookings!D648&lt;=DATE(2100,12,31)),Bookings!D648,0),IF(AND(K648&lt;&gt;"",LEN("x"&amp;L648)-LEN(SUBSTITUTE("x"&amp;L648,".",""))=2,OR(1&gt;LEN(L648),MID(L648,1,1)=".",ISNUMBER(FIND("x"&amp;MID(L648,1,1),"x0x1x2x3x4x5x6x7x8x9"))),OR(2&gt;LEN(L648),MID(L648,2,1)=".",ISNUMBER(FIND("x"&amp;MID(L648,2,1),"x0x1x2x3x4x5x6x7x8x9"))),OR(3&gt;LEN(L648),MID(L648,3,1)=".",ISNUMBER(FIND("x"&amp;MID(L648,3,1),"x0x1x2x3x4x5x6x7x8x9"))),OR(4&gt;LEN(L648),MID(L648,4,1)=".",ISNUMBER(FIND("x"&amp;MID(L648,4,1),"x0x1x2x3x4x5x6x7x8x9"))),OR(5&gt;LEN(L648),MID(L648,5,1)=".",ISNUMBER(FIND("x"&amp;MID(L648,5,1),"x0x1x2x3x4x5x6x7x8x9"))),OR(6&gt;LEN(L648),MID(L648,6,1)=".",ISNUMBER(FIND("x"&amp;MID(L648,6,1),"x0x1x2x3x4x5x6x7x8x9"))),OR(7&gt;LEN(L648),MID(L648,7,1)=".",ISNUMBER(FIND("x"&amp;MID(L648,7,1),"x0x1x2x3x4x5x6x7x8x9"))),OR(8&gt;LEN(L648),MID(L648,8,1)=".",ISNUMBER(FIND("x"&amp;MID(L648,8,1),"x0x1x2x3x4x5x6x7x8x9"))),OR(9&gt;LEN(L648),MID(L648,9,1)=".",ISNUMBER(FIND("x"&amp;MID(L648,9,1),"x0x1x2x3x4x5x6x7x8x9"))),OR(10&gt;LEN(L648),MID(L648,10,1)=".",ISNUMBER(FIND("x"&amp;MID(L648,10,1),"x0x1x2x3x4x5x6x7x8x9"))),OR(AND(FIND(".",L648)=5,LEN(L648)-FIND(".",L648,FIND(".",L648)+1)&gt;=1,LEN(L648)-FIND(".",L648,FIND(".",L648)+1)&lt;=2),AND(LEN(L648)-FIND(".",L648,FIND(".",L648)+1)=4,FIND(".",L648)&gt;=2,FIND(".",L648)&lt;=3)),FIND(".",L648,FIND(".",L648)+1)-FIND(".",L648)&gt;=2,FIND(".",L648,FIND(".",L648)+1)-FIND(".",L648)&lt;=3,P648&gt;=2000,P648&lt;=2100,YEAR(S648)=P648,MONTH(S648)=Q648,DAY(S648)=R648),S648,0)),0)</ns0:f>
        <ns0:v>0</ns0:v>
      </ns0:c>
      <ns0:c r="U648" s="0" t="str">
        <ns0:f>IF(Bookings!C648="","Full day",Bookings!C648)</ns0:f>
        <ns0:v>Full day</ns0:v>
      </ns0:c>
      <ns0:c r="V648" s="0" t="str">
        <ns0:f>IF(Bookings!E648="","Full day",Bookings!E648)</ns0:f>
        <ns0:v>Full day</ns0:v>
      </ns0:c>
      <ns0:c r="W648" s="0">
        <ns0:f>IF(J648=0,0,J648+IF(U648="PM",1,0))</ns0:f>
        <ns0:v>0</ns0:v>
      </ns0:c>
      <ns0:c r="X648" s="0">
        <ns0:f>IF(T648=0,0,T648-IF(V648="PM",1,0))</ns0:f>
        <ns0:v>0</ns0:v>
      </ns0:c>
      <ns0:c r="Y648" s="0">
        <ns0:f>IF(J648=0,0,J648+IF(U648="AM",1,0))</ns0:f>
        <ns0:v>0</ns0:v>
      </ns0:c>
      <ns0:c r="Z648" s="0">
        <ns0:f>IF(T648=0,0,T648-IF(V648="AM",1,0))</ns0:f>
        <ns0:v>0</ns0:v>
      </ns0:c>
      <ns0:c r="AA648" s="0">
        <ns0:f>IFERROR(IF(AND(J648&gt;0,'_Engine'!C648&gt;0,MID('_Engine'!W648,WEEKDAY(J648,2),1)="W",COUNTIF(Settings!$F$18:$F$67,J648)=0),1,0),0)</ns0:f>
        <ns0:v>0</ns0:v>
      </ns0:c>
      <ns0:c r="AB648" s="0">
        <ns0:f>IFERROR(IF(AND(T648&gt;0,'_Engine'!C648&gt;0,MID('_Engine'!W648,WEEKDAY(T648,2),1)="W",COUNTIF(Settings!$F$18:$F$67,T648)=0),1,0),0)</ns0:f>
        <ns0:v>0</ns0:v>
      </ns0:c>
      <ns0:c r="AC648" s="0">
        <ns0:f>IF(AND(J648&gt;0,T648&gt;0,W648&lt;=X648),1,0)</ns0:f>
        <ns0:v>0</ns0:v>
      </ns0:c>
      <ns0:c r="AD648" s="0">
        <ns0:f>IF(AND(J648&gt;0,T648&gt;0,Y648&lt;=Z648),1,0)</ns0:f>
        <ns0:v>0</ns0:v>
      </ns0:c>
    </ns0:row>
    <ns0:row r="649">
      <ns0:c r="A649" s="0">
        <ns0:f>IFERROR(IF(ISNUMBER(Bookings!B649),"",TRIM(Bookings!B649&amp;"")),"")</ns0:f>
      </ns0:c>
      <ns0:c r="B649" s="0">
        <ns0:f>IFERROR(SUBSTITUTE(SUBSTITUTE(A649,"/","."),"-","."),"")</ns0:f>
      </ns0:c>
      <ns0:c r="C649" s="0">
        <ns0:f>IFERROR(LEFT(B649,FIND(".",B649)-1),"")</ns0:f>
      </ns0:c>
      <ns0:c r="D649" s="0">
        <ns0:f>IFERROR(MID(B649,FIND(".",B649)+1,FIND(".",B649,FIND(".",B649)+1)-FIND(".",B649)-1),"")</ns0:f>
      </ns0:c>
      <ns0:c r="E649" s="0">
        <ns0:f>IFERROR(MID(B649,FIND(".",B649,FIND(".",B649)+1)+1,99),"")</ns0:f>
        <ns0:v>99</ns0:v>
      </ns0:c>
      <ns0:c r="F649" s="0">
        <ns0:f>IFERROR(IF(FIND(".",B649)=5,--C649,--E649),0)</ns0:f>
        <ns0:v>0</ns0:v>
      </ns0:c>
      <ns0:c r="G649" s="0">
        <ns0:f>IFERROR(--D649,0)</ns0:f>
        <ns0:v>0</ns0:v>
      </ns0:c>
      <ns0:c r="H649" s="0">
        <ns0:f>IFERROR(IF(FIND(".",B649)=5,--E649,--C649),0)</ns0:f>
        <ns0:v>0</ns0:v>
      </ns0:c>
      <ns0:c r="I649" s="0">
        <ns0:f>IFERROR(IF(AND(F649&gt;=2000,F649&lt;=2100,G649&gt;=1,G649&lt;=12,H649&gt;=1,H649&lt;=31),DATE(F649,G649,H649),0),0)</ns0:f>
        <ns0:v>0</ns0:v>
      </ns0:c>
      <ns0:c r="J649" s="0">
        <ns0:f>IFERROR(IF(ISNUMBER(Bookings!B649),IF(AND(Bookings!B649=INT(Bookings!B649),Bookings!B649&gt;=DATE(2000,1,1),Bookings!B649&lt;=DATE(2100,12,31)),Bookings!B649,0),IF(AND(A649&lt;&gt;"",LEN("x"&amp;B649)-LEN(SUBSTITUTE("x"&amp;B649,".",""))=2,OR(1&gt;LEN(B649),MID(B649,1,1)=".",ISNUMBER(FIND("x"&amp;MID(B649,1,1),"x0x1x2x3x4x5x6x7x8x9"))),OR(2&gt;LEN(B649),MID(B649,2,1)=".",ISNUMBER(FIND("x"&amp;MID(B649,2,1),"x0x1x2x3x4x5x6x7x8x9"))),OR(3&gt;LEN(B649),MID(B649,3,1)=".",ISNUMBER(FIND("x"&amp;MID(B649,3,1),"x0x1x2x3x4x5x6x7x8x9"))),OR(4&gt;LEN(B649),MID(B649,4,1)=".",ISNUMBER(FIND("x"&amp;MID(B649,4,1),"x0x1x2x3x4x5x6x7x8x9"))),OR(5&gt;LEN(B649),MID(B649,5,1)=".",ISNUMBER(FIND("x"&amp;MID(B649,5,1),"x0x1x2x3x4x5x6x7x8x9"))),OR(6&gt;LEN(B649),MID(B649,6,1)=".",ISNUMBER(FIND("x"&amp;MID(B649,6,1),"x0x1x2x3x4x5x6x7x8x9"))),OR(7&gt;LEN(B649),MID(B649,7,1)=".",ISNUMBER(FIND("x"&amp;MID(B649,7,1),"x0x1x2x3x4x5x6x7x8x9"))),OR(8&gt;LEN(B649),MID(B649,8,1)=".",ISNUMBER(FIND("x"&amp;MID(B649,8,1),"x0x1x2x3x4x5x6x7x8x9"))),OR(9&gt;LEN(B649),MID(B649,9,1)=".",ISNUMBER(FIND("x"&amp;MID(B649,9,1),"x0x1x2x3x4x5x6x7x8x9"))),OR(10&gt;LEN(B649),MID(B649,10,1)=".",ISNUMBER(FIND("x"&amp;MID(B649,10,1),"x0x1x2x3x4x5x6x7x8x9"))),OR(AND(FIND(".",B649)=5,LEN(B649)-FIND(".",B649,FIND(".",B649)+1)&gt;=1,LEN(B649)-FIND(".",B649,FIND(".",B649)+1)&lt;=2),AND(LEN(B649)-FIND(".",B649,FIND(".",B649)+1)=4,FIND(".",B649)&gt;=2,FIND(".",B649)&lt;=3)),FIND(".",B649,FIND(".",B649)+1)-FIND(".",B649)&gt;=2,FIND(".",B649,FIND(".",B649)+1)-FIND(".",B649)&lt;=3,F649&gt;=2000,F649&lt;=2100,YEAR(I649)=F649,MONTH(I649)=G649,DAY(I649)=H649),I649,0)),0)</ns0:f>
        <ns0:v>0</ns0:v>
      </ns0:c>
      <ns0:c r="K649" s="0">
        <ns0:f>IFERROR(IF(ISNUMBER(Bookings!D649),"",TRIM(Bookings!D649&amp;"")),"")</ns0:f>
      </ns0:c>
      <ns0:c r="L649" s="0">
        <ns0:f>IFERROR(SUBSTITUTE(SUBSTITUTE(K649,"/","."),"-","."),"")</ns0:f>
      </ns0:c>
      <ns0:c r="M649" s="0">
        <ns0:f>IFERROR(LEFT(L649,FIND(".",L649)-1),"")</ns0:f>
      </ns0:c>
      <ns0:c r="N649" s="0">
        <ns0:f>IFERROR(MID(L649,FIND(".",L649)+1,FIND(".",L649,FIND(".",L649)+1)-FIND(".",L649)-1),"")</ns0:f>
      </ns0:c>
      <ns0:c r="O649" s="0">
        <ns0:f>IFERROR(MID(L649,FIND(".",L649,FIND(".",L649)+1)+1,99),"")</ns0:f>
        <ns0:v>99</ns0:v>
      </ns0:c>
      <ns0:c r="P649" s="0">
        <ns0:f>IFERROR(IF(FIND(".",L649)=5,--M649,--O649),0)</ns0:f>
        <ns0:v>0</ns0:v>
      </ns0:c>
      <ns0:c r="Q649" s="0">
        <ns0:f>IFERROR(--N649,0)</ns0:f>
        <ns0:v>0</ns0:v>
      </ns0:c>
      <ns0:c r="R649" s="0">
        <ns0:f>IFERROR(IF(FIND(".",L649)=5,--O649,--M649),0)</ns0:f>
        <ns0:v>0</ns0:v>
      </ns0:c>
      <ns0:c r="S649" s="0">
        <ns0:f>IFERROR(IF(AND(P649&gt;=2000,P649&lt;=2100,Q649&gt;=1,Q649&lt;=12,R649&gt;=1,R649&lt;=31),DATE(P649,Q649,R649),0),0)</ns0:f>
        <ns0:v>0</ns0:v>
      </ns0:c>
      <ns0:c r="T649" s="0">
        <ns0:f>IFERROR(IF(ISNUMBER(Bookings!D649),IF(AND(Bookings!D649=INT(Bookings!D649),Bookings!D649&gt;=DATE(2000,1,1),Bookings!D649&lt;=DATE(2100,12,31)),Bookings!D649,0),IF(AND(K649&lt;&gt;"",LEN("x"&amp;L649)-LEN(SUBSTITUTE("x"&amp;L649,".",""))=2,OR(1&gt;LEN(L649),MID(L649,1,1)=".",ISNUMBER(FIND("x"&amp;MID(L649,1,1),"x0x1x2x3x4x5x6x7x8x9"))),OR(2&gt;LEN(L649),MID(L649,2,1)=".",ISNUMBER(FIND("x"&amp;MID(L649,2,1),"x0x1x2x3x4x5x6x7x8x9"))),OR(3&gt;LEN(L649),MID(L649,3,1)=".",ISNUMBER(FIND("x"&amp;MID(L649,3,1),"x0x1x2x3x4x5x6x7x8x9"))),OR(4&gt;LEN(L649),MID(L649,4,1)=".",ISNUMBER(FIND("x"&amp;MID(L649,4,1),"x0x1x2x3x4x5x6x7x8x9"))),OR(5&gt;LEN(L649),MID(L649,5,1)=".",ISNUMBER(FIND("x"&amp;MID(L649,5,1),"x0x1x2x3x4x5x6x7x8x9"))),OR(6&gt;LEN(L649),MID(L649,6,1)=".",ISNUMBER(FIND("x"&amp;MID(L649,6,1),"x0x1x2x3x4x5x6x7x8x9"))),OR(7&gt;LEN(L649),MID(L649,7,1)=".",ISNUMBER(FIND("x"&amp;MID(L649,7,1),"x0x1x2x3x4x5x6x7x8x9"))),OR(8&gt;LEN(L649),MID(L649,8,1)=".",ISNUMBER(FIND("x"&amp;MID(L649,8,1),"x0x1x2x3x4x5x6x7x8x9"))),OR(9&gt;LEN(L649),MID(L649,9,1)=".",ISNUMBER(FIND("x"&amp;MID(L649,9,1),"x0x1x2x3x4x5x6x7x8x9"))),OR(10&gt;LEN(L649),MID(L649,10,1)=".",ISNUMBER(FIND("x"&amp;MID(L649,10,1),"x0x1x2x3x4x5x6x7x8x9"))),OR(AND(FIND(".",L649)=5,LEN(L649)-FIND(".",L649,FIND(".",L649)+1)&gt;=1,LEN(L649)-FIND(".",L649,FIND(".",L649)+1)&lt;=2),AND(LEN(L649)-FIND(".",L649,FIND(".",L649)+1)=4,FIND(".",L649)&gt;=2,FIND(".",L649)&lt;=3)),FIND(".",L649,FIND(".",L649)+1)-FIND(".",L649)&gt;=2,FIND(".",L649,FIND(".",L649)+1)-FIND(".",L649)&lt;=3,P649&gt;=2000,P649&lt;=2100,YEAR(S649)=P649,MONTH(S649)=Q649,DAY(S649)=R649),S649,0)),0)</ns0:f>
        <ns0:v>0</ns0:v>
      </ns0:c>
      <ns0:c r="U649" s="0" t="str">
        <ns0:f>IF(Bookings!C649="","Full day",Bookings!C649)</ns0:f>
        <ns0:v>Full day</ns0:v>
      </ns0:c>
      <ns0:c r="V649" s="0" t="str">
        <ns0:f>IF(Bookings!E649="","Full day",Bookings!E649)</ns0:f>
        <ns0:v>Full day</ns0:v>
      </ns0:c>
      <ns0:c r="W649" s="0">
        <ns0:f>IF(J649=0,0,J649+IF(U649="PM",1,0))</ns0:f>
        <ns0:v>0</ns0:v>
      </ns0:c>
      <ns0:c r="X649" s="0">
        <ns0:f>IF(T649=0,0,T649-IF(V649="PM",1,0))</ns0:f>
        <ns0:v>0</ns0:v>
      </ns0:c>
      <ns0:c r="Y649" s="0">
        <ns0:f>IF(J649=0,0,J649+IF(U649="AM",1,0))</ns0:f>
        <ns0:v>0</ns0:v>
      </ns0:c>
      <ns0:c r="Z649" s="0">
        <ns0:f>IF(T649=0,0,T649-IF(V649="AM",1,0))</ns0:f>
        <ns0:v>0</ns0:v>
      </ns0:c>
      <ns0:c r="AA649" s="0">
        <ns0:f>IFERROR(IF(AND(J649&gt;0,'_Engine'!C649&gt;0,MID('_Engine'!W649,WEEKDAY(J649,2),1)="W",COUNTIF(Settings!$F$18:$F$67,J649)=0),1,0),0)</ns0:f>
        <ns0:v>0</ns0:v>
      </ns0:c>
      <ns0:c r="AB649" s="0">
        <ns0:f>IFERROR(IF(AND(T649&gt;0,'_Engine'!C649&gt;0,MID('_Engine'!W649,WEEKDAY(T649,2),1)="W",COUNTIF(Settings!$F$18:$F$67,T649)=0),1,0),0)</ns0:f>
        <ns0:v>0</ns0:v>
      </ns0:c>
      <ns0:c r="AC649" s="0">
        <ns0:f>IF(AND(J649&gt;0,T649&gt;0,W649&lt;=X649),1,0)</ns0:f>
        <ns0:v>0</ns0:v>
      </ns0:c>
      <ns0:c r="AD649" s="0">
        <ns0:f>IF(AND(J649&gt;0,T649&gt;0,Y649&lt;=Z649),1,0)</ns0:f>
        <ns0:v>0</ns0:v>
      </ns0:c>
    </ns0:row>
    <ns0:row r="650">
      <ns0:c r="A650" s="0">
        <ns0:f>IFERROR(IF(ISNUMBER(Bookings!B650),"",TRIM(Bookings!B650&amp;"")),"")</ns0:f>
      </ns0:c>
      <ns0:c r="B650" s="0">
        <ns0:f>IFERROR(SUBSTITUTE(SUBSTITUTE(A650,"/","."),"-","."),"")</ns0:f>
      </ns0:c>
      <ns0:c r="C650" s="0">
        <ns0:f>IFERROR(LEFT(B650,FIND(".",B650)-1),"")</ns0:f>
      </ns0:c>
      <ns0:c r="D650" s="0">
        <ns0:f>IFERROR(MID(B650,FIND(".",B650)+1,FIND(".",B650,FIND(".",B650)+1)-FIND(".",B650)-1),"")</ns0:f>
      </ns0:c>
      <ns0:c r="E650" s="0">
        <ns0:f>IFERROR(MID(B650,FIND(".",B650,FIND(".",B650)+1)+1,99),"")</ns0:f>
        <ns0:v>99</ns0:v>
      </ns0:c>
      <ns0:c r="F650" s="0">
        <ns0:f>IFERROR(IF(FIND(".",B650)=5,--C650,--E650),0)</ns0:f>
        <ns0:v>0</ns0:v>
      </ns0:c>
      <ns0:c r="G650" s="0">
        <ns0:f>IFERROR(--D650,0)</ns0:f>
        <ns0:v>0</ns0:v>
      </ns0:c>
      <ns0:c r="H650" s="0">
        <ns0:f>IFERROR(IF(FIND(".",B650)=5,--E650,--C650),0)</ns0:f>
        <ns0:v>0</ns0:v>
      </ns0:c>
      <ns0:c r="I650" s="0">
        <ns0:f>IFERROR(IF(AND(F650&gt;=2000,F650&lt;=2100,G650&gt;=1,G650&lt;=12,H650&gt;=1,H650&lt;=31),DATE(F650,G650,H650),0),0)</ns0:f>
        <ns0:v>0</ns0:v>
      </ns0:c>
      <ns0:c r="J650" s="0">
        <ns0:f>IFERROR(IF(ISNUMBER(Bookings!B650),IF(AND(Bookings!B650=INT(Bookings!B650),Bookings!B650&gt;=DATE(2000,1,1),Bookings!B650&lt;=DATE(2100,12,31)),Bookings!B650,0),IF(AND(A650&lt;&gt;"",LEN("x"&amp;B650)-LEN(SUBSTITUTE("x"&amp;B650,".",""))=2,OR(1&gt;LEN(B650),MID(B650,1,1)=".",ISNUMBER(FIND("x"&amp;MID(B650,1,1),"x0x1x2x3x4x5x6x7x8x9"))),OR(2&gt;LEN(B650),MID(B650,2,1)=".",ISNUMBER(FIND("x"&amp;MID(B650,2,1),"x0x1x2x3x4x5x6x7x8x9"))),OR(3&gt;LEN(B650),MID(B650,3,1)=".",ISNUMBER(FIND("x"&amp;MID(B650,3,1),"x0x1x2x3x4x5x6x7x8x9"))),OR(4&gt;LEN(B650),MID(B650,4,1)=".",ISNUMBER(FIND("x"&amp;MID(B650,4,1),"x0x1x2x3x4x5x6x7x8x9"))),OR(5&gt;LEN(B650),MID(B650,5,1)=".",ISNUMBER(FIND("x"&amp;MID(B650,5,1),"x0x1x2x3x4x5x6x7x8x9"))),OR(6&gt;LEN(B650),MID(B650,6,1)=".",ISNUMBER(FIND("x"&amp;MID(B650,6,1),"x0x1x2x3x4x5x6x7x8x9"))),OR(7&gt;LEN(B650),MID(B650,7,1)=".",ISNUMBER(FIND("x"&amp;MID(B650,7,1),"x0x1x2x3x4x5x6x7x8x9"))),OR(8&gt;LEN(B650),MID(B650,8,1)=".",ISNUMBER(FIND("x"&amp;MID(B650,8,1),"x0x1x2x3x4x5x6x7x8x9"))),OR(9&gt;LEN(B650),MID(B650,9,1)=".",ISNUMBER(FIND("x"&amp;MID(B650,9,1),"x0x1x2x3x4x5x6x7x8x9"))),OR(10&gt;LEN(B650),MID(B650,10,1)=".",ISNUMBER(FIND("x"&amp;MID(B650,10,1),"x0x1x2x3x4x5x6x7x8x9"))),OR(AND(FIND(".",B650)=5,LEN(B650)-FIND(".",B650,FIND(".",B650)+1)&gt;=1,LEN(B650)-FIND(".",B650,FIND(".",B650)+1)&lt;=2),AND(LEN(B650)-FIND(".",B650,FIND(".",B650)+1)=4,FIND(".",B650)&gt;=2,FIND(".",B650)&lt;=3)),FIND(".",B650,FIND(".",B650)+1)-FIND(".",B650)&gt;=2,FIND(".",B650,FIND(".",B650)+1)-FIND(".",B650)&lt;=3,F650&gt;=2000,F650&lt;=2100,YEAR(I650)=F650,MONTH(I650)=G650,DAY(I650)=H650),I650,0)),0)</ns0:f>
        <ns0:v>0</ns0:v>
      </ns0:c>
      <ns0:c r="K650" s="0">
        <ns0:f>IFERROR(IF(ISNUMBER(Bookings!D650),"",TRIM(Bookings!D650&amp;"")),"")</ns0:f>
      </ns0:c>
      <ns0:c r="L650" s="0">
        <ns0:f>IFERROR(SUBSTITUTE(SUBSTITUTE(K650,"/","."),"-","."),"")</ns0:f>
      </ns0:c>
      <ns0:c r="M650" s="0">
        <ns0:f>IFERROR(LEFT(L650,FIND(".",L650)-1),"")</ns0:f>
      </ns0:c>
      <ns0:c r="N650" s="0">
        <ns0:f>IFERROR(MID(L650,FIND(".",L650)+1,FIND(".",L650,FIND(".",L650)+1)-FIND(".",L650)-1),"")</ns0:f>
      </ns0:c>
      <ns0:c r="O650" s="0">
        <ns0:f>IFERROR(MID(L650,FIND(".",L650,FIND(".",L650)+1)+1,99),"")</ns0:f>
        <ns0:v>99</ns0:v>
      </ns0:c>
      <ns0:c r="P650" s="0">
        <ns0:f>IFERROR(IF(FIND(".",L650)=5,--M650,--O650),0)</ns0:f>
        <ns0:v>0</ns0:v>
      </ns0:c>
      <ns0:c r="Q650" s="0">
        <ns0:f>IFERROR(--N650,0)</ns0:f>
        <ns0:v>0</ns0:v>
      </ns0:c>
      <ns0:c r="R650" s="0">
        <ns0:f>IFERROR(IF(FIND(".",L650)=5,--O650,--M650),0)</ns0:f>
        <ns0:v>0</ns0:v>
      </ns0:c>
      <ns0:c r="S650" s="0">
        <ns0:f>IFERROR(IF(AND(P650&gt;=2000,P650&lt;=2100,Q650&gt;=1,Q650&lt;=12,R650&gt;=1,R650&lt;=31),DATE(P650,Q650,R650),0),0)</ns0:f>
        <ns0:v>0</ns0:v>
      </ns0:c>
      <ns0:c r="T650" s="0">
        <ns0:f>IFERROR(IF(ISNUMBER(Bookings!D650),IF(AND(Bookings!D650=INT(Bookings!D650),Bookings!D650&gt;=DATE(2000,1,1),Bookings!D650&lt;=DATE(2100,12,31)),Bookings!D650,0),IF(AND(K650&lt;&gt;"",LEN("x"&amp;L650)-LEN(SUBSTITUTE("x"&amp;L650,".",""))=2,OR(1&gt;LEN(L650),MID(L650,1,1)=".",ISNUMBER(FIND("x"&amp;MID(L650,1,1),"x0x1x2x3x4x5x6x7x8x9"))),OR(2&gt;LEN(L650),MID(L650,2,1)=".",ISNUMBER(FIND("x"&amp;MID(L650,2,1),"x0x1x2x3x4x5x6x7x8x9"))),OR(3&gt;LEN(L650),MID(L650,3,1)=".",ISNUMBER(FIND("x"&amp;MID(L650,3,1),"x0x1x2x3x4x5x6x7x8x9"))),OR(4&gt;LEN(L650),MID(L650,4,1)=".",ISNUMBER(FIND("x"&amp;MID(L650,4,1),"x0x1x2x3x4x5x6x7x8x9"))),OR(5&gt;LEN(L650),MID(L650,5,1)=".",ISNUMBER(FIND("x"&amp;MID(L650,5,1),"x0x1x2x3x4x5x6x7x8x9"))),OR(6&gt;LEN(L650),MID(L650,6,1)=".",ISNUMBER(FIND("x"&amp;MID(L650,6,1),"x0x1x2x3x4x5x6x7x8x9"))),OR(7&gt;LEN(L650),MID(L650,7,1)=".",ISNUMBER(FIND("x"&amp;MID(L650,7,1),"x0x1x2x3x4x5x6x7x8x9"))),OR(8&gt;LEN(L650),MID(L650,8,1)=".",ISNUMBER(FIND("x"&amp;MID(L650,8,1),"x0x1x2x3x4x5x6x7x8x9"))),OR(9&gt;LEN(L650),MID(L650,9,1)=".",ISNUMBER(FIND("x"&amp;MID(L650,9,1),"x0x1x2x3x4x5x6x7x8x9"))),OR(10&gt;LEN(L650),MID(L650,10,1)=".",ISNUMBER(FIND("x"&amp;MID(L650,10,1),"x0x1x2x3x4x5x6x7x8x9"))),OR(AND(FIND(".",L650)=5,LEN(L650)-FIND(".",L650,FIND(".",L650)+1)&gt;=1,LEN(L650)-FIND(".",L650,FIND(".",L650)+1)&lt;=2),AND(LEN(L650)-FIND(".",L650,FIND(".",L650)+1)=4,FIND(".",L650)&gt;=2,FIND(".",L650)&lt;=3)),FIND(".",L650,FIND(".",L650)+1)-FIND(".",L650)&gt;=2,FIND(".",L650,FIND(".",L650)+1)-FIND(".",L650)&lt;=3,P650&gt;=2000,P650&lt;=2100,YEAR(S650)=P650,MONTH(S650)=Q650,DAY(S650)=R650),S650,0)),0)</ns0:f>
        <ns0:v>0</ns0:v>
      </ns0:c>
      <ns0:c r="U650" s="0" t="str">
        <ns0:f>IF(Bookings!C650="","Full day",Bookings!C650)</ns0:f>
        <ns0:v>Full day</ns0:v>
      </ns0:c>
      <ns0:c r="V650" s="0" t="str">
        <ns0:f>IF(Bookings!E650="","Full day",Bookings!E650)</ns0:f>
        <ns0:v>Full day</ns0:v>
      </ns0:c>
      <ns0:c r="W650" s="0">
        <ns0:f>IF(J650=0,0,J650+IF(U650="PM",1,0))</ns0:f>
        <ns0:v>0</ns0:v>
      </ns0:c>
      <ns0:c r="X650" s="0">
        <ns0:f>IF(T650=0,0,T650-IF(V650="PM",1,0))</ns0:f>
        <ns0:v>0</ns0:v>
      </ns0:c>
      <ns0:c r="Y650" s="0">
        <ns0:f>IF(J650=0,0,J650+IF(U650="AM",1,0))</ns0:f>
        <ns0:v>0</ns0:v>
      </ns0:c>
      <ns0:c r="Z650" s="0">
        <ns0:f>IF(T650=0,0,T650-IF(V650="AM",1,0))</ns0:f>
        <ns0:v>0</ns0:v>
      </ns0:c>
      <ns0:c r="AA650" s="0">
        <ns0:f>IFERROR(IF(AND(J650&gt;0,'_Engine'!C650&gt;0,MID('_Engine'!W650,WEEKDAY(J650,2),1)="W",COUNTIF(Settings!$F$18:$F$67,J650)=0),1,0),0)</ns0:f>
        <ns0:v>0</ns0:v>
      </ns0:c>
      <ns0:c r="AB650" s="0">
        <ns0:f>IFERROR(IF(AND(T650&gt;0,'_Engine'!C650&gt;0,MID('_Engine'!W650,WEEKDAY(T650,2),1)="W",COUNTIF(Settings!$F$18:$F$67,T650)=0),1,0),0)</ns0:f>
        <ns0:v>0</ns0:v>
      </ns0:c>
      <ns0:c r="AC650" s="0">
        <ns0:f>IF(AND(J650&gt;0,T650&gt;0,W650&lt;=X650),1,0)</ns0:f>
        <ns0:v>0</ns0:v>
      </ns0:c>
      <ns0:c r="AD650" s="0">
        <ns0:f>IF(AND(J650&gt;0,T650&gt;0,Y650&lt;=Z650),1,0)</ns0:f>
        <ns0:v>0</ns0:v>
      </ns0:c>
    </ns0:row>
    <ns0:row r="651">
      <ns0:c r="A651" s="0">
        <ns0:f>IFERROR(IF(ISNUMBER(Bookings!B651),"",TRIM(Bookings!B651&amp;"")),"")</ns0:f>
      </ns0:c>
      <ns0:c r="B651" s="0">
        <ns0:f>IFERROR(SUBSTITUTE(SUBSTITUTE(A651,"/","."),"-","."),"")</ns0:f>
      </ns0:c>
      <ns0:c r="C651" s="0">
        <ns0:f>IFERROR(LEFT(B651,FIND(".",B651)-1),"")</ns0:f>
      </ns0:c>
      <ns0:c r="D651" s="0">
        <ns0:f>IFERROR(MID(B651,FIND(".",B651)+1,FIND(".",B651,FIND(".",B651)+1)-FIND(".",B651)-1),"")</ns0:f>
      </ns0:c>
      <ns0:c r="E651" s="0">
        <ns0:f>IFERROR(MID(B651,FIND(".",B651,FIND(".",B651)+1)+1,99),"")</ns0:f>
        <ns0:v>99</ns0:v>
      </ns0:c>
      <ns0:c r="F651" s="0">
        <ns0:f>IFERROR(IF(FIND(".",B651)=5,--C651,--E651),0)</ns0:f>
        <ns0:v>0</ns0:v>
      </ns0:c>
      <ns0:c r="G651" s="0">
        <ns0:f>IFERROR(--D651,0)</ns0:f>
        <ns0:v>0</ns0:v>
      </ns0:c>
      <ns0:c r="H651" s="0">
        <ns0:f>IFERROR(IF(FIND(".",B651)=5,--E651,--C651),0)</ns0:f>
        <ns0:v>0</ns0:v>
      </ns0:c>
      <ns0:c r="I651" s="0">
        <ns0:f>IFERROR(IF(AND(F651&gt;=2000,F651&lt;=2100,G651&gt;=1,G651&lt;=12,H651&gt;=1,H651&lt;=31),DATE(F651,G651,H651),0),0)</ns0:f>
        <ns0:v>0</ns0:v>
      </ns0:c>
      <ns0:c r="J651" s="0">
        <ns0:f>IFERROR(IF(ISNUMBER(Bookings!B651),IF(AND(Bookings!B651=INT(Bookings!B651),Bookings!B651&gt;=DATE(2000,1,1),Bookings!B651&lt;=DATE(2100,12,31)),Bookings!B651,0),IF(AND(A651&lt;&gt;"",LEN("x"&amp;B651)-LEN(SUBSTITUTE("x"&amp;B651,".",""))=2,OR(1&gt;LEN(B651),MID(B651,1,1)=".",ISNUMBER(FIND("x"&amp;MID(B651,1,1),"x0x1x2x3x4x5x6x7x8x9"))),OR(2&gt;LEN(B651),MID(B651,2,1)=".",ISNUMBER(FIND("x"&amp;MID(B651,2,1),"x0x1x2x3x4x5x6x7x8x9"))),OR(3&gt;LEN(B651),MID(B651,3,1)=".",ISNUMBER(FIND("x"&amp;MID(B651,3,1),"x0x1x2x3x4x5x6x7x8x9"))),OR(4&gt;LEN(B651),MID(B651,4,1)=".",ISNUMBER(FIND("x"&amp;MID(B651,4,1),"x0x1x2x3x4x5x6x7x8x9"))),OR(5&gt;LEN(B651),MID(B651,5,1)=".",ISNUMBER(FIND("x"&amp;MID(B651,5,1),"x0x1x2x3x4x5x6x7x8x9"))),OR(6&gt;LEN(B651),MID(B651,6,1)=".",ISNUMBER(FIND("x"&amp;MID(B651,6,1),"x0x1x2x3x4x5x6x7x8x9"))),OR(7&gt;LEN(B651),MID(B651,7,1)=".",ISNUMBER(FIND("x"&amp;MID(B651,7,1),"x0x1x2x3x4x5x6x7x8x9"))),OR(8&gt;LEN(B651),MID(B651,8,1)=".",ISNUMBER(FIND("x"&amp;MID(B651,8,1),"x0x1x2x3x4x5x6x7x8x9"))),OR(9&gt;LEN(B651),MID(B651,9,1)=".",ISNUMBER(FIND("x"&amp;MID(B651,9,1),"x0x1x2x3x4x5x6x7x8x9"))),OR(10&gt;LEN(B651),MID(B651,10,1)=".",ISNUMBER(FIND("x"&amp;MID(B651,10,1),"x0x1x2x3x4x5x6x7x8x9"))),OR(AND(FIND(".",B651)=5,LEN(B651)-FIND(".",B651,FIND(".",B651)+1)&gt;=1,LEN(B651)-FIND(".",B651,FIND(".",B651)+1)&lt;=2),AND(LEN(B651)-FIND(".",B651,FIND(".",B651)+1)=4,FIND(".",B651)&gt;=2,FIND(".",B651)&lt;=3)),FIND(".",B651,FIND(".",B651)+1)-FIND(".",B651)&gt;=2,FIND(".",B651,FIND(".",B651)+1)-FIND(".",B651)&lt;=3,F651&gt;=2000,F651&lt;=2100,YEAR(I651)=F651,MONTH(I651)=G651,DAY(I651)=H651),I651,0)),0)</ns0:f>
        <ns0:v>0</ns0:v>
      </ns0:c>
      <ns0:c r="K651" s="0">
        <ns0:f>IFERROR(IF(ISNUMBER(Bookings!D651),"",TRIM(Bookings!D651&amp;"")),"")</ns0:f>
      </ns0:c>
      <ns0:c r="L651" s="0">
        <ns0:f>IFERROR(SUBSTITUTE(SUBSTITUTE(K651,"/","."),"-","."),"")</ns0:f>
      </ns0:c>
      <ns0:c r="M651" s="0">
        <ns0:f>IFERROR(LEFT(L651,FIND(".",L651)-1),"")</ns0:f>
      </ns0:c>
      <ns0:c r="N651" s="0">
        <ns0:f>IFERROR(MID(L651,FIND(".",L651)+1,FIND(".",L651,FIND(".",L651)+1)-FIND(".",L651)-1),"")</ns0:f>
      </ns0:c>
      <ns0:c r="O651" s="0">
        <ns0:f>IFERROR(MID(L651,FIND(".",L651,FIND(".",L651)+1)+1,99),"")</ns0:f>
        <ns0:v>99</ns0:v>
      </ns0:c>
      <ns0:c r="P651" s="0">
        <ns0:f>IFERROR(IF(FIND(".",L651)=5,--M651,--O651),0)</ns0:f>
        <ns0:v>0</ns0:v>
      </ns0:c>
      <ns0:c r="Q651" s="0">
        <ns0:f>IFERROR(--N651,0)</ns0:f>
        <ns0:v>0</ns0:v>
      </ns0:c>
      <ns0:c r="R651" s="0">
        <ns0:f>IFERROR(IF(FIND(".",L651)=5,--O651,--M651),0)</ns0:f>
        <ns0:v>0</ns0:v>
      </ns0:c>
      <ns0:c r="S651" s="0">
        <ns0:f>IFERROR(IF(AND(P651&gt;=2000,P651&lt;=2100,Q651&gt;=1,Q651&lt;=12,R651&gt;=1,R651&lt;=31),DATE(P651,Q651,R651),0),0)</ns0:f>
        <ns0:v>0</ns0:v>
      </ns0:c>
      <ns0:c r="T651" s="0">
        <ns0:f>IFERROR(IF(ISNUMBER(Bookings!D651),IF(AND(Bookings!D651=INT(Bookings!D651),Bookings!D651&gt;=DATE(2000,1,1),Bookings!D651&lt;=DATE(2100,12,31)),Bookings!D651,0),IF(AND(K651&lt;&gt;"",LEN("x"&amp;L651)-LEN(SUBSTITUTE("x"&amp;L651,".",""))=2,OR(1&gt;LEN(L651),MID(L651,1,1)=".",ISNUMBER(FIND("x"&amp;MID(L651,1,1),"x0x1x2x3x4x5x6x7x8x9"))),OR(2&gt;LEN(L651),MID(L651,2,1)=".",ISNUMBER(FIND("x"&amp;MID(L651,2,1),"x0x1x2x3x4x5x6x7x8x9"))),OR(3&gt;LEN(L651),MID(L651,3,1)=".",ISNUMBER(FIND("x"&amp;MID(L651,3,1),"x0x1x2x3x4x5x6x7x8x9"))),OR(4&gt;LEN(L651),MID(L651,4,1)=".",ISNUMBER(FIND("x"&amp;MID(L651,4,1),"x0x1x2x3x4x5x6x7x8x9"))),OR(5&gt;LEN(L651),MID(L651,5,1)=".",ISNUMBER(FIND("x"&amp;MID(L651,5,1),"x0x1x2x3x4x5x6x7x8x9"))),OR(6&gt;LEN(L651),MID(L651,6,1)=".",ISNUMBER(FIND("x"&amp;MID(L651,6,1),"x0x1x2x3x4x5x6x7x8x9"))),OR(7&gt;LEN(L651),MID(L651,7,1)=".",ISNUMBER(FIND("x"&amp;MID(L651,7,1),"x0x1x2x3x4x5x6x7x8x9"))),OR(8&gt;LEN(L651),MID(L651,8,1)=".",ISNUMBER(FIND("x"&amp;MID(L651,8,1),"x0x1x2x3x4x5x6x7x8x9"))),OR(9&gt;LEN(L651),MID(L651,9,1)=".",ISNUMBER(FIND("x"&amp;MID(L651,9,1),"x0x1x2x3x4x5x6x7x8x9"))),OR(10&gt;LEN(L651),MID(L651,10,1)=".",ISNUMBER(FIND("x"&amp;MID(L651,10,1),"x0x1x2x3x4x5x6x7x8x9"))),OR(AND(FIND(".",L651)=5,LEN(L651)-FIND(".",L651,FIND(".",L651)+1)&gt;=1,LEN(L651)-FIND(".",L651,FIND(".",L651)+1)&lt;=2),AND(LEN(L651)-FIND(".",L651,FIND(".",L651)+1)=4,FIND(".",L651)&gt;=2,FIND(".",L651)&lt;=3)),FIND(".",L651,FIND(".",L651)+1)-FIND(".",L651)&gt;=2,FIND(".",L651,FIND(".",L651)+1)-FIND(".",L651)&lt;=3,P651&gt;=2000,P651&lt;=2100,YEAR(S651)=P651,MONTH(S651)=Q651,DAY(S651)=R651),S651,0)),0)</ns0:f>
        <ns0:v>0</ns0:v>
      </ns0:c>
      <ns0:c r="U651" s="0" t="str">
        <ns0:f>IF(Bookings!C651="","Full day",Bookings!C651)</ns0:f>
        <ns0:v>Full day</ns0:v>
      </ns0:c>
      <ns0:c r="V651" s="0" t="str">
        <ns0:f>IF(Bookings!E651="","Full day",Bookings!E651)</ns0:f>
        <ns0:v>Full day</ns0:v>
      </ns0:c>
      <ns0:c r="W651" s="0">
        <ns0:f>IF(J651=0,0,J651+IF(U651="PM",1,0))</ns0:f>
        <ns0:v>0</ns0:v>
      </ns0:c>
      <ns0:c r="X651" s="0">
        <ns0:f>IF(T651=0,0,T651-IF(V651="PM",1,0))</ns0:f>
        <ns0:v>0</ns0:v>
      </ns0:c>
      <ns0:c r="Y651" s="0">
        <ns0:f>IF(J651=0,0,J651+IF(U651="AM",1,0))</ns0:f>
        <ns0:v>0</ns0:v>
      </ns0:c>
      <ns0:c r="Z651" s="0">
        <ns0:f>IF(T651=0,0,T651-IF(V651="AM",1,0))</ns0:f>
        <ns0:v>0</ns0:v>
      </ns0:c>
      <ns0:c r="AA651" s="0">
        <ns0:f>IFERROR(IF(AND(J651&gt;0,'_Engine'!C651&gt;0,MID('_Engine'!W651,WEEKDAY(J651,2),1)="W",COUNTIF(Settings!$F$18:$F$67,J651)=0),1,0),0)</ns0:f>
        <ns0:v>0</ns0:v>
      </ns0:c>
      <ns0:c r="AB651" s="0">
        <ns0:f>IFERROR(IF(AND(T651&gt;0,'_Engine'!C651&gt;0,MID('_Engine'!W651,WEEKDAY(T651,2),1)="W",COUNTIF(Settings!$F$18:$F$67,T651)=0),1,0),0)</ns0:f>
        <ns0:v>0</ns0:v>
      </ns0:c>
      <ns0:c r="AC651" s="0">
        <ns0:f>IF(AND(J651&gt;0,T651&gt;0,W651&lt;=X651),1,0)</ns0:f>
        <ns0:v>0</ns0:v>
      </ns0:c>
      <ns0:c r="AD651" s="0">
        <ns0:f>IF(AND(J651&gt;0,T651&gt;0,Y651&lt;=Z651),1,0)</ns0:f>
        <ns0:v>0</ns0:v>
      </ns0:c>
    </ns0:row>
    <ns0:row r="652">
      <ns0:c r="A652" s="0">
        <ns0:f>IFERROR(IF(ISNUMBER(Bookings!B652),"",TRIM(Bookings!B652&amp;"")),"")</ns0:f>
      </ns0:c>
      <ns0:c r="B652" s="0">
        <ns0:f>IFERROR(SUBSTITUTE(SUBSTITUTE(A652,"/","."),"-","."),"")</ns0:f>
      </ns0:c>
      <ns0:c r="C652" s="0">
        <ns0:f>IFERROR(LEFT(B652,FIND(".",B652)-1),"")</ns0:f>
      </ns0:c>
      <ns0:c r="D652" s="0">
        <ns0:f>IFERROR(MID(B652,FIND(".",B652)+1,FIND(".",B652,FIND(".",B652)+1)-FIND(".",B652)-1),"")</ns0:f>
      </ns0:c>
      <ns0:c r="E652" s="0">
        <ns0:f>IFERROR(MID(B652,FIND(".",B652,FIND(".",B652)+1)+1,99),"")</ns0:f>
        <ns0:v>99</ns0:v>
      </ns0:c>
      <ns0:c r="F652" s="0">
        <ns0:f>IFERROR(IF(FIND(".",B652)=5,--C652,--E652),0)</ns0:f>
        <ns0:v>0</ns0:v>
      </ns0:c>
      <ns0:c r="G652" s="0">
        <ns0:f>IFERROR(--D652,0)</ns0:f>
        <ns0:v>0</ns0:v>
      </ns0:c>
      <ns0:c r="H652" s="0">
        <ns0:f>IFERROR(IF(FIND(".",B652)=5,--E652,--C652),0)</ns0:f>
        <ns0:v>0</ns0:v>
      </ns0:c>
      <ns0:c r="I652" s="0">
        <ns0:f>IFERROR(IF(AND(F652&gt;=2000,F652&lt;=2100,G652&gt;=1,G652&lt;=12,H652&gt;=1,H652&lt;=31),DATE(F652,G652,H652),0),0)</ns0:f>
        <ns0:v>0</ns0:v>
      </ns0:c>
      <ns0:c r="J652" s="0">
        <ns0:f>IFERROR(IF(ISNUMBER(Bookings!B652),IF(AND(Bookings!B652=INT(Bookings!B652),Bookings!B652&gt;=DATE(2000,1,1),Bookings!B652&lt;=DATE(2100,12,31)),Bookings!B652,0),IF(AND(A652&lt;&gt;"",LEN("x"&amp;B652)-LEN(SUBSTITUTE("x"&amp;B652,".",""))=2,OR(1&gt;LEN(B652),MID(B652,1,1)=".",ISNUMBER(FIND("x"&amp;MID(B652,1,1),"x0x1x2x3x4x5x6x7x8x9"))),OR(2&gt;LEN(B652),MID(B652,2,1)=".",ISNUMBER(FIND("x"&amp;MID(B652,2,1),"x0x1x2x3x4x5x6x7x8x9"))),OR(3&gt;LEN(B652),MID(B652,3,1)=".",ISNUMBER(FIND("x"&amp;MID(B652,3,1),"x0x1x2x3x4x5x6x7x8x9"))),OR(4&gt;LEN(B652),MID(B652,4,1)=".",ISNUMBER(FIND("x"&amp;MID(B652,4,1),"x0x1x2x3x4x5x6x7x8x9"))),OR(5&gt;LEN(B652),MID(B652,5,1)=".",ISNUMBER(FIND("x"&amp;MID(B652,5,1),"x0x1x2x3x4x5x6x7x8x9"))),OR(6&gt;LEN(B652),MID(B652,6,1)=".",ISNUMBER(FIND("x"&amp;MID(B652,6,1),"x0x1x2x3x4x5x6x7x8x9"))),OR(7&gt;LEN(B652),MID(B652,7,1)=".",ISNUMBER(FIND("x"&amp;MID(B652,7,1),"x0x1x2x3x4x5x6x7x8x9"))),OR(8&gt;LEN(B652),MID(B652,8,1)=".",ISNUMBER(FIND("x"&amp;MID(B652,8,1),"x0x1x2x3x4x5x6x7x8x9"))),OR(9&gt;LEN(B652),MID(B652,9,1)=".",ISNUMBER(FIND("x"&amp;MID(B652,9,1),"x0x1x2x3x4x5x6x7x8x9"))),OR(10&gt;LEN(B652),MID(B652,10,1)=".",ISNUMBER(FIND("x"&amp;MID(B652,10,1),"x0x1x2x3x4x5x6x7x8x9"))),OR(AND(FIND(".",B652)=5,LEN(B652)-FIND(".",B652,FIND(".",B652)+1)&gt;=1,LEN(B652)-FIND(".",B652,FIND(".",B652)+1)&lt;=2),AND(LEN(B652)-FIND(".",B652,FIND(".",B652)+1)=4,FIND(".",B652)&gt;=2,FIND(".",B652)&lt;=3)),FIND(".",B652,FIND(".",B652)+1)-FIND(".",B652)&gt;=2,FIND(".",B652,FIND(".",B652)+1)-FIND(".",B652)&lt;=3,F652&gt;=2000,F652&lt;=2100,YEAR(I652)=F652,MONTH(I652)=G652,DAY(I652)=H652),I652,0)),0)</ns0:f>
        <ns0:v>0</ns0:v>
      </ns0:c>
      <ns0:c r="K652" s="0">
        <ns0:f>IFERROR(IF(ISNUMBER(Bookings!D652),"",TRIM(Bookings!D652&amp;"")),"")</ns0:f>
      </ns0:c>
      <ns0:c r="L652" s="0">
        <ns0:f>IFERROR(SUBSTITUTE(SUBSTITUTE(K652,"/","."),"-","."),"")</ns0:f>
      </ns0:c>
      <ns0:c r="M652" s="0">
        <ns0:f>IFERROR(LEFT(L652,FIND(".",L652)-1),"")</ns0:f>
      </ns0:c>
      <ns0:c r="N652" s="0">
        <ns0:f>IFERROR(MID(L652,FIND(".",L652)+1,FIND(".",L652,FIND(".",L652)+1)-FIND(".",L652)-1),"")</ns0:f>
      </ns0:c>
      <ns0:c r="O652" s="0">
        <ns0:f>IFERROR(MID(L652,FIND(".",L652,FIND(".",L652)+1)+1,99),"")</ns0:f>
        <ns0:v>99</ns0:v>
      </ns0:c>
      <ns0:c r="P652" s="0">
        <ns0:f>IFERROR(IF(FIND(".",L652)=5,--M652,--O652),0)</ns0:f>
        <ns0:v>0</ns0:v>
      </ns0:c>
      <ns0:c r="Q652" s="0">
        <ns0:f>IFERROR(--N652,0)</ns0:f>
        <ns0:v>0</ns0:v>
      </ns0:c>
      <ns0:c r="R652" s="0">
        <ns0:f>IFERROR(IF(FIND(".",L652)=5,--O652,--M652),0)</ns0:f>
        <ns0:v>0</ns0:v>
      </ns0:c>
      <ns0:c r="S652" s="0">
        <ns0:f>IFERROR(IF(AND(P652&gt;=2000,P652&lt;=2100,Q652&gt;=1,Q652&lt;=12,R652&gt;=1,R652&lt;=31),DATE(P652,Q652,R652),0),0)</ns0:f>
        <ns0:v>0</ns0:v>
      </ns0:c>
      <ns0:c r="T652" s="0">
        <ns0:f>IFERROR(IF(ISNUMBER(Bookings!D652),IF(AND(Bookings!D652=INT(Bookings!D652),Bookings!D652&gt;=DATE(2000,1,1),Bookings!D652&lt;=DATE(2100,12,31)),Bookings!D652,0),IF(AND(K652&lt;&gt;"",LEN("x"&amp;L652)-LEN(SUBSTITUTE("x"&amp;L652,".",""))=2,OR(1&gt;LEN(L652),MID(L652,1,1)=".",ISNUMBER(FIND("x"&amp;MID(L652,1,1),"x0x1x2x3x4x5x6x7x8x9"))),OR(2&gt;LEN(L652),MID(L652,2,1)=".",ISNUMBER(FIND("x"&amp;MID(L652,2,1),"x0x1x2x3x4x5x6x7x8x9"))),OR(3&gt;LEN(L652),MID(L652,3,1)=".",ISNUMBER(FIND("x"&amp;MID(L652,3,1),"x0x1x2x3x4x5x6x7x8x9"))),OR(4&gt;LEN(L652),MID(L652,4,1)=".",ISNUMBER(FIND("x"&amp;MID(L652,4,1),"x0x1x2x3x4x5x6x7x8x9"))),OR(5&gt;LEN(L652),MID(L652,5,1)=".",ISNUMBER(FIND("x"&amp;MID(L652,5,1),"x0x1x2x3x4x5x6x7x8x9"))),OR(6&gt;LEN(L652),MID(L652,6,1)=".",ISNUMBER(FIND("x"&amp;MID(L652,6,1),"x0x1x2x3x4x5x6x7x8x9"))),OR(7&gt;LEN(L652),MID(L652,7,1)=".",ISNUMBER(FIND("x"&amp;MID(L652,7,1),"x0x1x2x3x4x5x6x7x8x9"))),OR(8&gt;LEN(L652),MID(L652,8,1)=".",ISNUMBER(FIND("x"&amp;MID(L652,8,1),"x0x1x2x3x4x5x6x7x8x9"))),OR(9&gt;LEN(L652),MID(L652,9,1)=".",ISNUMBER(FIND("x"&amp;MID(L652,9,1),"x0x1x2x3x4x5x6x7x8x9"))),OR(10&gt;LEN(L652),MID(L652,10,1)=".",ISNUMBER(FIND("x"&amp;MID(L652,10,1),"x0x1x2x3x4x5x6x7x8x9"))),OR(AND(FIND(".",L652)=5,LEN(L652)-FIND(".",L652,FIND(".",L652)+1)&gt;=1,LEN(L652)-FIND(".",L652,FIND(".",L652)+1)&lt;=2),AND(LEN(L652)-FIND(".",L652,FIND(".",L652)+1)=4,FIND(".",L652)&gt;=2,FIND(".",L652)&lt;=3)),FIND(".",L652,FIND(".",L652)+1)-FIND(".",L652)&gt;=2,FIND(".",L652,FIND(".",L652)+1)-FIND(".",L652)&lt;=3,P652&gt;=2000,P652&lt;=2100,YEAR(S652)=P652,MONTH(S652)=Q652,DAY(S652)=R652),S652,0)),0)</ns0:f>
        <ns0:v>0</ns0:v>
      </ns0:c>
      <ns0:c r="U652" s="0" t="str">
        <ns0:f>IF(Bookings!C652="","Full day",Bookings!C652)</ns0:f>
        <ns0:v>Full day</ns0:v>
      </ns0:c>
      <ns0:c r="V652" s="0" t="str">
        <ns0:f>IF(Bookings!E652="","Full day",Bookings!E652)</ns0:f>
        <ns0:v>Full day</ns0:v>
      </ns0:c>
      <ns0:c r="W652" s="0">
        <ns0:f>IF(J652=0,0,J652+IF(U652="PM",1,0))</ns0:f>
        <ns0:v>0</ns0:v>
      </ns0:c>
      <ns0:c r="X652" s="0">
        <ns0:f>IF(T652=0,0,T652-IF(V652="PM",1,0))</ns0:f>
        <ns0:v>0</ns0:v>
      </ns0:c>
      <ns0:c r="Y652" s="0">
        <ns0:f>IF(J652=0,0,J652+IF(U652="AM",1,0))</ns0:f>
        <ns0:v>0</ns0:v>
      </ns0:c>
      <ns0:c r="Z652" s="0">
        <ns0:f>IF(T652=0,0,T652-IF(V652="AM",1,0))</ns0:f>
        <ns0:v>0</ns0:v>
      </ns0:c>
      <ns0:c r="AA652" s="0">
        <ns0:f>IFERROR(IF(AND(J652&gt;0,'_Engine'!C652&gt;0,MID('_Engine'!W652,WEEKDAY(J652,2),1)="W",COUNTIF(Settings!$F$18:$F$67,J652)=0),1,0),0)</ns0:f>
        <ns0:v>0</ns0:v>
      </ns0:c>
      <ns0:c r="AB652" s="0">
        <ns0:f>IFERROR(IF(AND(T652&gt;0,'_Engine'!C652&gt;0,MID('_Engine'!W652,WEEKDAY(T652,2),1)="W",COUNTIF(Settings!$F$18:$F$67,T652)=0),1,0),0)</ns0:f>
        <ns0:v>0</ns0:v>
      </ns0:c>
      <ns0:c r="AC652" s="0">
        <ns0:f>IF(AND(J652&gt;0,T652&gt;0,W652&lt;=X652),1,0)</ns0:f>
        <ns0:v>0</ns0:v>
      </ns0:c>
      <ns0:c r="AD652" s="0">
        <ns0:f>IF(AND(J652&gt;0,T652&gt;0,Y652&lt;=Z652),1,0)</ns0:f>
        <ns0:v>0</ns0:v>
      </ns0:c>
    </ns0:row>
    <ns0:row r="653">
      <ns0:c r="A653" s="0">
        <ns0:f>IFERROR(IF(ISNUMBER(Bookings!B653),"",TRIM(Bookings!B653&amp;"")),"")</ns0:f>
      </ns0:c>
      <ns0:c r="B653" s="0">
        <ns0:f>IFERROR(SUBSTITUTE(SUBSTITUTE(A653,"/","."),"-","."),"")</ns0:f>
      </ns0:c>
      <ns0:c r="C653" s="0">
        <ns0:f>IFERROR(LEFT(B653,FIND(".",B653)-1),"")</ns0:f>
      </ns0:c>
      <ns0:c r="D653" s="0">
        <ns0:f>IFERROR(MID(B653,FIND(".",B653)+1,FIND(".",B653,FIND(".",B653)+1)-FIND(".",B653)-1),"")</ns0:f>
      </ns0:c>
      <ns0:c r="E653" s="0">
        <ns0:f>IFERROR(MID(B653,FIND(".",B653,FIND(".",B653)+1)+1,99),"")</ns0:f>
        <ns0:v>99</ns0:v>
      </ns0:c>
      <ns0:c r="F653" s="0">
        <ns0:f>IFERROR(IF(FIND(".",B653)=5,--C653,--E653),0)</ns0:f>
        <ns0:v>0</ns0:v>
      </ns0:c>
      <ns0:c r="G653" s="0">
        <ns0:f>IFERROR(--D653,0)</ns0:f>
        <ns0:v>0</ns0:v>
      </ns0:c>
      <ns0:c r="H653" s="0">
        <ns0:f>IFERROR(IF(FIND(".",B653)=5,--E653,--C653),0)</ns0:f>
        <ns0:v>0</ns0:v>
      </ns0:c>
      <ns0:c r="I653" s="0">
        <ns0:f>IFERROR(IF(AND(F653&gt;=2000,F653&lt;=2100,G653&gt;=1,G653&lt;=12,H653&gt;=1,H653&lt;=31),DATE(F653,G653,H653),0),0)</ns0:f>
        <ns0:v>0</ns0:v>
      </ns0:c>
      <ns0:c r="J653" s="0">
        <ns0:f>IFERROR(IF(ISNUMBER(Bookings!B653),IF(AND(Bookings!B653=INT(Bookings!B653),Bookings!B653&gt;=DATE(2000,1,1),Bookings!B653&lt;=DATE(2100,12,31)),Bookings!B653,0),IF(AND(A653&lt;&gt;"",LEN("x"&amp;B653)-LEN(SUBSTITUTE("x"&amp;B653,".",""))=2,OR(1&gt;LEN(B653),MID(B653,1,1)=".",ISNUMBER(FIND("x"&amp;MID(B653,1,1),"x0x1x2x3x4x5x6x7x8x9"))),OR(2&gt;LEN(B653),MID(B653,2,1)=".",ISNUMBER(FIND("x"&amp;MID(B653,2,1),"x0x1x2x3x4x5x6x7x8x9"))),OR(3&gt;LEN(B653),MID(B653,3,1)=".",ISNUMBER(FIND("x"&amp;MID(B653,3,1),"x0x1x2x3x4x5x6x7x8x9"))),OR(4&gt;LEN(B653),MID(B653,4,1)=".",ISNUMBER(FIND("x"&amp;MID(B653,4,1),"x0x1x2x3x4x5x6x7x8x9"))),OR(5&gt;LEN(B653),MID(B653,5,1)=".",ISNUMBER(FIND("x"&amp;MID(B653,5,1),"x0x1x2x3x4x5x6x7x8x9"))),OR(6&gt;LEN(B653),MID(B653,6,1)=".",ISNUMBER(FIND("x"&amp;MID(B653,6,1),"x0x1x2x3x4x5x6x7x8x9"))),OR(7&gt;LEN(B653),MID(B653,7,1)=".",ISNUMBER(FIND("x"&amp;MID(B653,7,1),"x0x1x2x3x4x5x6x7x8x9"))),OR(8&gt;LEN(B653),MID(B653,8,1)=".",ISNUMBER(FIND("x"&amp;MID(B653,8,1),"x0x1x2x3x4x5x6x7x8x9"))),OR(9&gt;LEN(B653),MID(B653,9,1)=".",ISNUMBER(FIND("x"&amp;MID(B653,9,1),"x0x1x2x3x4x5x6x7x8x9"))),OR(10&gt;LEN(B653),MID(B653,10,1)=".",ISNUMBER(FIND("x"&amp;MID(B653,10,1),"x0x1x2x3x4x5x6x7x8x9"))),OR(AND(FIND(".",B653)=5,LEN(B653)-FIND(".",B653,FIND(".",B653)+1)&gt;=1,LEN(B653)-FIND(".",B653,FIND(".",B653)+1)&lt;=2),AND(LEN(B653)-FIND(".",B653,FIND(".",B653)+1)=4,FIND(".",B653)&gt;=2,FIND(".",B653)&lt;=3)),FIND(".",B653,FIND(".",B653)+1)-FIND(".",B653)&gt;=2,FIND(".",B653,FIND(".",B653)+1)-FIND(".",B653)&lt;=3,F653&gt;=2000,F653&lt;=2100,YEAR(I653)=F653,MONTH(I653)=G653,DAY(I653)=H653),I653,0)),0)</ns0:f>
        <ns0:v>0</ns0:v>
      </ns0:c>
      <ns0:c r="K653" s="0">
        <ns0:f>IFERROR(IF(ISNUMBER(Bookings!D653),"",TRIM(Bookings!D653&amp;"")),"")</ns0:f>
      </ns0:c>
      <ns0:c r="L653" s="0">
        <ns0:f>IFERROR(SUBSTITUTE(SUBSTITUTE(K653,"/","."),"-","."),"")</ns0:f>
      </ns0:c>
      <ns0:c r="M653" s="0">
        <ns0:f>IFERROR(LEFT(L653,FIND(".",L653)-1),"")</ns0:f>
      </ns0:c>
      <ns0:c r="N653" s="0">
        <ns0:f>IFERROR(MID(L653,FIND(".",L653)+1,FIND(".",L653,FIND(".",L653)+1)-FIND(".",L653)-1),"")</ns0:f>
      </ns0:c>
      <ns0:c r="O653" s="0">
        <ns0:f>IFERROR(MID(L653,FIND(".",L653,FIND(".",L653)+1)+1,99),"")</ns0:f>
        <ns0:v>99</ns0:v>
      </ns0:c>
      <ns0:c r="P653" s="0">
        <ns0:f>IFERROR(IF(FIND(".",L653)=5,--M653,--O653),0)</ns0:f>
        <ns0:v>0</ns0:v>
      </ns0:c>
      <ns0:c r="Q653" s="0">
        <ns0:f>IFERROR(--N653,0)</ns0:f>
        <ns0:v>0</ns0:v>
      </ns0:c>
      <ns0:c r="R653" s="0">
        <ns0:f>IFERROR(IF(FIND(".",L653)=5,--O653,--M653),0)</ns0:f>
        <ns0:v>0</ns0:v>
      </ns0:c>
      <ns0:c r="S653" s="0">
        <ns0:f>IFERROR(IF(AND(P653&gt;=2000,P653&lt;=2100,Q653&gt;=1,Q653&lt;=12,R653&gt;=1,R653&lt;=31),DATE(P653,Q653,R653),0),0)</ns0:f>
        <ns0:v>0</ns0:v>
      </ns0:c>
      <ns0:c r="T653" s="0">
        <ns0:f>IFERROR(IF(ISNUMBER(Bookings!D653),IF(AND(Bookings!D653=INT(Bookings!D653),Bookings!D653&gt;=DATE(2000,1,1),Bookings!D653&lt;=DATE(2100,12,31)),Bookings!D653,0),IF(AND(K653&lt;&gt;"",LEN("x"&amp;L653)-LEN(SUBSTITUTE("x"&amp;L653,".",""))=2,OR(1&gt;LEN(L653),MID(L653,1,1)=".",ISNUMBER(FIND("x"&amp;MID(L653,1,1),"x0x1x2x3x4x5x6x7x8x9"))),OR(2&gt;LEN(L653),MID(L653,2,1)=".",ISNUMBER(FIND("x"&amp;MID(L653,2,1),"x0x1x2x3x4x5x6x7x8x9"))),OR(3&gt;LEN(L653),MID(L653,3,1)=".",ISNUMBER(FIND("x"&amp;MID(L653,3,1),"x0x1x2x3x4x5x6x7x8x9"))),OR(4&gt;LEN(L653),MID(L653,4,1)=".",ISNUMBER(FIND("x"&amp;MID(L653,4,1),"x0x1x2x3x4x5x6x7x8x9"))),OR(5&gt;LEN(L653),MID(L653,5,1)=".",ISNUMBER(FIND("x"&amp;MID(L653,5,1),"x0x1x2x3x4x5x6x7x8x9"))),OR(6&gt;LEN(L653),MID(L653,6,1)=".",ISNUMBER(FIND("x"&amp;MID(L653,6,1),"x0x1x2x3x4x5x6x7x8x9"))),OR(7&gt;LEN(L653),MID(L653,7,1)=".",ISNUMBER(FIND("x"&amp;MID(L653,7,1),"x0x1x2x3x4x5x6x7x8x9"))),OR(8&gt;LEN(L653),MID(L653,8,1)=".",ISNUMBER(FIND("x"&amp;MID(L653,8,1),"x0x1x2x3x4x5x6x7x8x9"))),OR(9&gt;LEN(L653),MID(L653,9,1)=".",ISNUMBER(FIND("x"&amp;MID(L653,9,1),"x0x1x2x3x4x5x6x7x8x9"))),OR(10&gt;LEN(L653),MID(L653,10,1)=".",ISNUMBER(FIND("x"&amp;MID(L653,10,1),"x0x1x2x3x4x5x6x7x8x9"))),OR(AND(FIND(".",L653)=5,LEN(L653)-FIND(".",L653,FIND(".",L653)+1)&gt;=1,LEN(L653)-FIND(".",L653,FIND(".",L653)+1)&lt;=2),AND(LEN(L653)-FIND(".",L653,FIND(".",L653)+1)=4,FIND(".",L653)&gt;=2,FIND(".",L653)&lt;=3)),FIND(".",L653,FIND(".",L653)+1)-FIND(".",L653)&gt;=2,FIND(".",L653,FIND(".",L653)+1)-FIND(".",L653)&lt;=3,P653&gt;=2000,P653&lt;=2100,YEAR(S653)=P653,MONTH(S653)=Q653,DAY(S653)=R653),S653,0)),0)</ns0:f>
        <ns0:v>0</ns0:v>
      </ns0:c>
      <ns0:c r="U653" s="0" t="str">
        <ns0:f>IF(Bookings!C653="","Full day",Bookings!C653)</ns0:f>
        <ns0:v>Full day</ns0:v>
      </ns0:c>
      <ns0:c r="V653" s="0" t="str">
        <ns0:f>IF(Bookings!E653="","Full day",Bookings!E653)</ns0:f>
        <ns0:v>Full day</ns0:v>
      </ns0:c>
      <ns0:c r="W653" s="0">
        <ns0:f>IF(J653=0,0,J653+IF(U653="PM",1,0))</ns0:f>
        <ns0:v>0</ns0:v>
      </ns0:c>
      <ns0:c r="X653" s="0">
        <ns0:f>IF(T653=0,0,T653-IF(V653="PM",1,0))</ns0:f>
        <ns0:v>0</ns0:v>
      </ns0:c>
      <ns0:c r="Y653" s="0">
        <ns0:f>IF(J653=0,0,J653+IF(U653="AM",1,0))</ns0:f>
        <ns0:v>0</ns0:v>
      </ns0:c>
      <ns0:c r="Z653" s="0">
        <ns0:f>IF(T653=0,0,T653-IF(V653="AM",1,0))</ns0:f>
        <ns0:v>0</ns0:v>
      </ns0:c>
      <ns0:c r="AA653" s="0">
        <ns0:f>IFERROR(IF(AND(J653&gt;0,'_Engine'!C653&gt;0,MID('_Engine'!W653,WEEKDAY(J653,2),1)="W",COUNTIF(Settings!$F$18:$F$67,J653)=0),1,0),0)</ns0:f>
        <ns0:v>0</ns0:v>
      </ns0:c>
      <ns0:c r="AB653" s="0">
        <ns0:f>IFERROR(IF(AND(T653&gt;0,'_Engine'!C653&gt;0,MID('_Engine'!W653,WEEKDAY(T653,2),1)="W",COUNTIF(Settings!$F$18:$F$67,T653)=0),1,0),0)</ns0:f>
        <ns0:v>0</ns0:v>
      </ns0:c>
      <ns0:c r="AC653" s="0">
        <ns0:f>IF(AND(J653&gt;0,T653&gt;0,W653&lt;=X653),1,0)</ns0:f>
        <ns0:v>0</ns0:v>
      </ns0:c>
      <ns0:c r="AD653" s="0">
        <ns0:f>IF(AND(J653&gt;0,T653&gt;0,Y653&lt;=Z653),1,0)</ns0:f>
        <ns0:v>0</ns0:v>
      </ns0:c>
    </ns0:row>
    <ns0:row r="654">
      <ns0:c r="A654" s="0">
        <ns0:f>IFERROR(IF(ISNUMBER(Bookings!B654),"",TRIM(Bookings!B654&amp;"")),"")</ns0:f>
      </ns0:c>
      <ns0:c r="B654" s="0">
        <ns0:f>IFERROR(SUBSTITUTE(SUBSTITUTE(A654,"/","."),"-","."),"")</ns0:f>
      </ns0:c>
      <ns0:c r="C654" s="0">
        <ns0:f>IFERROR(LEFT(B654,FIND(".",B654)-1),"")</ns0:f>
      </ns0:c>
      <ns0:c r="D654" s="0">
        <ns0:f>IFERROR(MID(B654,FIND(".",B654)+1,FIND(".",B654,FIND(".",B654)+1)-FIND(".",B654)-1),"")</ns0:f>
      </ns0:c>
      <ns0:c r="E654" s="0">
        <ns0:f>IFERROR(MID(B654,FIND(".",B654,FIND(".",B654)+1)+1,99),"")</ns0:f>
        <ns0:v>99</ns0:v>
      </ns0:c>
      <ns0:c r="F654" s="0">
        <ns0:f>IFERROR(IF(FIND(".",B654)=5,--C654,--E654),0)</ns0:f>
        <ns0:v>0</ns0:v>
      </ns0:c>
      <ns0:c r="G654" s="0">
        <ns0:f>IFERROR(--D654,0)</ns0:f>
        <ns0:v>0</ns0:v>
      </ns0:c>
      <ns0:c r="H654" s="0">
        <ns0:f>IFERROR(IF(FIND(".",B654)=5,--E654,--C654),0)</ns0:f>
        <ns0:v>0</ns0:v>
      </ns0:c>
      <ns0:c r="I654" s="0">
        <ns0:f>IFERROR(IF(AND(F654&gt;=2000,F654&lt;=2100,G654&gt;=1,G654&lt;=12,H654&gt;=1,H654&lt;=31),DATE(F654,G654,H654),0),0)</ns0:f>
        <ns0:v>0</ns0:v>
      </ns0:c>
      <ns0:c r="J654" s="0">
        <ns0:f>IFERROR(IF(ISNUMBER(Bookings!B654),IF(AND(Bookings!B654=INT(Bookings!B654),Bookings!B654&gt;=DATE(2000,1,1),Bookings!B654&lt;=DATE(2100,12,31)),Bookings!B654,0),IF(AND(A654&lt;&gt;"",LEN("x"&amp;B654)-LEN(SUBSTITUTE("x"&amp;B654,".",""))=2,OR(1&gt;LEN(B654),MID(B654,1,1)=".",ISNUMBER(FIND("x"&amp;MID(B654,1,1),"x0x1x2x3x4x5x6x7x8x9"))),OR(2&gt;LEN(B654),MID(B654,2,1)=".",ISNUMBER(FIND("x"&amp;MID(B654,2,1),"x0x1x2x3x4x5x6x7x8x9"))),OR(3&gt;LEN(B654),MID(B654,3,1)=".",ISNUMBER(FIND("x"&amp;MID(B654,3,1),"x0x1x2x3x4x5x6x7x8x9"))),OR(4&gt;LEN(B654),MID(B654,4,1)=".",ISNUMBER(FIND("x"&amp;MID(B654,4,1),"x0x1x2x3x4x5x6x7x8x9"))),OR(5&gt;LEN(B654),MID(B654,5,1)=".",ISNUMBER(FIND("x"&amp;MID(B654,5,1),"x0x1x2x3x4x5x6x7x8x9"))),OR(6&gt;LEN(B654),MID(B654,6,1)=".",ISNUMBER(FIND("x"&amp;MID(B654,6,1),"x0x1x2x3x4x5x6x7x8x9"))),OR(7&gt;LEN(B654),MID(B654,7,1)=".",ISNUMBER(FIND("x"&amp;MID(B654,7,1),"x0x1x2x3x4x5x6x7x8x9"))),OR(8&gt;LEN(B654),MID(B654,8,1)=".",ISNUMBER(FIND("x"&amp;MID(B654,8,1),"x0x1x2x3x4x5x6x7x8x9"))),OR(9&gt;LEN(B654),MID(B654,9,1)=".",ISNUMBER(FIND("x"&amp;MID(B654,9,1),"x0x1x2x3x4x5x6x7x8x9"))),OR(10&gt;LEN(B654),MID(B654,10,1)=".",ISNUMBER(FIND("x"&amp;MID(B654,10,1),"x0x1x2x3x4x5x6x7x8x9"))),OR(AND(FIND(".",B654)=5,LEN(B654)-FIND(".",B654,FIND(".",B654)+1)&gt;=1,LEN(B654)-FIND(".",B654,FIND(".",B654)+1)&lt;=2),AND(LEN(B654)-FIND(".",B654,FIND(".",B654)+1)=4,FIND(".",B654)&gt;=2,FIND(".",B654)&lt;=3)),FIND(".",B654,FIND(".",B654)+1)-FIND(".",B654)&gt;=2,FIND(".",B654,FIND(".",B654)+1)-FIND(".",B654)&lt;=3,F654&gt;=2000,F654&lt;=2100,YEAR(I654)=F654,MONTH(I654)=G654,DAY(I654)=H654),I654,0)),0)</ns0:f>
        <ns0:v>0</ns0:v>
      </ns0:c>
      <ns0:c r="K654" s="0">
        <ns0:f>IFERROR(IF(ISNUMBER(Bookings!D654),"",TRIM(Bookings!D654&amp;"")),"")</ns0:f>
      </ns0:c>
      <ns0:c r="L654" s="0">
        <ns0:f>IFERROR(SUBSTITUTE(SUBSTITUTE(K654,"/","."),"-","."),"")</ns0:f>
      </ns0:c>
      <ns0:c r="M654" s="0">
        <ns0:f>IFERROR(LEFT(L654,FIND(".",L654)-1),"")</ns0:f>
      </ns0:c>
      <ns0:c r="N654" s="0">
        <ns0:f>IFERROR(MID(L654,FIND(".",L654)+1,FIND(".",L654,FIND(".",L654)+1)-FIND(".",L654)-1),"")</ns0:f>
      </ns0:c>
      <ns0:c r="O654" s="0">
        <ns0:f>IFERROR(MID(L654,FIND(".",L654,FIND(".",L654)+1)+1,99),"")</ns0:f>
        <ns0:v>99</ns0:v>
      </ns0:c>
      <ns0:c r="P654" s="0">
        <ns0:f>IFERROR(IF(FIND(".",L654)=5,--M654,--O654),0)</ns0:f>
        <ns0:v>0</ns0:v>
      </ns0:c>
      <ns0:c r="Q654" s="0">
        <ns0:f>IFERROR(--N654,0)</ns0:f>
        <ns0:v>0</ns0:v>
      </ns0:c>
      <ns0:c r="R654" s="0">
        <ns0:f>IFERROR(IF(FIND(".",L654)=5,--O654,--M654),0)</ns0:f>
        <ns0:v>0</ns0:v>
      </ns0:c>
      <ns0:c r="S654" s="0">
        <ns0:f>IFERROR(IF(AND(P654&gt;=2000,P654&lt;=2100,Q654&gt;=1,Q654&lt;=12,R654&gt;=1,R654&lt;=31),DATE(P654,Q654,R654),0),0)</ns0:f>
        <ns0:v>0</ns0:v>
      </ns0:c>
      <ns0:c r="T654" s="0">
        <ns0:f>IFERROR(IF(ISNUMBER(Bookings!D654),IF(AND(Bookings!D654=INT(Bookings!D654),Bookings!D654&gt;=DATE(2000,1,1),Bookings!D654&lt;=DATE(2100,12,31)),Bookings!D654,0),IF(AND(K654&lt;&gt;"",LEN("x"&amp;L654)-LEN(SUBSTITUTE("x"&amp;L654,".",""))=2,OR(1&gt;LEN(L654),MID(L654,1,1)=".",ISNUMBER(FIND("x"&amp;MID(L654,1,1),"x0x1x2x3x4x5x6x7x8x9"))),OR(2&gt;LEN(L654),MID(L654,2,1)=".",ISNUMBER(FIND("x"&amp;MID(L654,2,1),"x0x1x2x3x4x5x6x7x8x9"))),OR(3&gt;LEN(L654),MID(L654,3,1)=".",ISNUMBER(FIND("x"&amp;MID(L654,3,1),"x0x1x2x3x4x5x6x7x8x9"))),OR(4&gt;LEN(L654),MID(L654,4,1)=".",ISNUMBER(FIND("x"&amp;MID(L654,4,1),"x0x1x2x3x4x5x6x7x8x9"))),OR(5&gt;LEN(L654),MID(L654,5,1)=".",ISNUMBER(FIND("x"&amp;MID(L654,5,1),"x0x1x2x3x4x5x6x7x8x9"))),OR(6&gt;LEN(L654),MID(L654,6,1)=".",ISNUMBER(FIND("x"&amp;MID(L654,6,1),"x0x1x2x3x4x5x6x7x8x9"))),OR(7&gt;LEN(L654),MID(L654,7,1)=".",ISNUMBER(FIND("x"&amp;MID(L654,7,1),"x0x1x2x3x4x5x6x7x8x9"))),OR(8&gt;LEN(L654),MID(L654,8,1)=".",ISNUMBER(FIND("x"&amp;MID(L654,8,1),"x0x1x2x3x4x5x6x7x8x9"))),OR(9&gt;LEN(L654),MID(L654,9,1)=".",ISNUMBER(FIND("x"&amp;MID(L654,9,1),"x0x1x2x3x4x5x6x7x8x9"))),OR(10&gt;LEN(L654),MID(L654,10,1)=".",ISNUMBER(FIND("x"&amp;MID(L654,10,1),"x0x1x2x3x4x5x6x7x8x9"))),OR(AND(FIND(".",L654)=5,LEN(L654)-FIND(".",L654,FIND(".",L654)+1)&gt;=1,LEN(L654)-FIND(".",L654,FIND(".",L654)+1)&lt;=2),AND(LEN(L654)-FIND(".",L654,FIND(".",L654)+1)=4,FIND(".",L654)&gt;=2,FIND(".",L654)&lt;=3)),FIND(".",L654,FIND(".",L654)+1)-FIND(".",L654)&gt;=2,FIND(".",L654,FIND(".",L654)+1)-FIND(".",L654)&lt;=3,P654&gt;=2000,P654&lt;=2100,YEAR(S654)=P654,MONTH(S654)=Q654,DAY(S654)=R654),S654,0)),0)</ns0:f>
        <ns0:v>0</ns0:v>
      </ns0:c>
      <ns0:c r="U654" s="0" t="str">
        <ns0:f>IF(Bookings!C654="","Full day",Bookings!C654)</ns0:f>
        <ns0:v>Full day</ns0:v>
      </ns0:c>
      <ns0:c r="V654" s="0" t="str">
        <ns0:f>IF(Bookings!E654="","Full day",Bookings!E654)</ns0:f>
        <ns0:v>Full day</ns0:v>
      </ns0:c>
      <ns0:c r="W654" s="0">
        <ns0:f>IF(J654=0,0,J654+IF(U654="PM",1,0))</ns0:f>
        <ns0:v>0</ns0:v>
      </ns0:c>
      <ns0:c r="X654" s="0">
        <ns0:f>IF(T654=0,0,T654-IF(V654="PM",1,0))</ns0:f>
        <ns0:v>0</ns0:v>
      </ns0:c>
      <ns0:c r="Y654" s="0">
        <ns0:f>IF(J654=0,0,J654+IF(U654="AM",1,0))</ns0:f>
        <ns0:v>0</ns0:v>
      </ns0:c>
      <ns0:c r="Z654" s="0">
        <ns0:f>IF(T654=0,0,T654-IF(V654="AM",1,0))</ns0:f>
        <ns0:v>0</ns0:v>
      </ns0:c>
      <ns0:c r="AA654" s="0">
        <ns0:f>IFERROR(IF(AND(J654&gt;0,'_Engine'!C654&gt;0,MID('_Engine'!W654,WEEKDAY(J654,2),1)="W",COUNTIF(Settings!$F$18:$F$67,J654)=0),1,0),0)</ns0:f>
        <ns0:v>0</ns0:v>
      </ns0:c>
      <ns0:c r="AB654" s="0">
        <ns0:f>IFERROR(IF(AND(T654&gt;0,'_Engine'!C654&gt;0,MID('_Engine'!W654,WEEKDAY(T654,2),1)="W",COUNTIF(Settings!$F$18:$F$67,T654)=0),1,0),0)</ns0:f>
        <ns0:v>0</ns0:v>
      </ns0:c>
      <ns0:c r="AC654" s="0">
        <ns0:f>IF(AND(J654&gt;0,T654&gt;0,W654&lt;=X654),1,0)</ns0:f>
        <ns0:v>0</ns0:v>
      </ns0:c>
      <ns0:c r="AD654" s="0">
        <ns0:f>IF(AND(J654&gt;0,T654&gt;0,Y654&lt;=Z654),1,0)</ns0:f>
        <ns0:v>0</ns0:v>
      </ns0:c>
    </ns0:row>
    <ns0:row r="655">
      <ns0:c r="A655" s="0">
        <ns0:f>IFERROR(IF(ISNUMBER(Bookings!B655),"",TRIM(Bookings!B655&amp;"")),"")</ns0:f>
      </ns0:c>
      <ns0:c r="B655" s="0">
        <ns0:f>IFERROR(SUBSTITUTE(SUBSTITUTE(A655,"/","."),"-","."),"")</ns0:f>
      </ns0:c>
      <ns0:c r="C655" s="0">
        <ns0:f>IFERROR(LEFT(B655,FIND(".",B655)-1),"")</ns0:f>
      </ns0:c>
      <ns0:c r="D655" s="0">
        <ns0:f>IFERROR(MID(B655,FIND(".",B655)+1,FIND(".",B655,FIND(".",B655)+1)-FIND(".",B655)-1),"")</ns0:f>
      </ns0:c>
      <ns0:c r="E655" s="0">
        <ns0:f>IFERROR(MID(B655,FIND(".",B655,FIND(".",B655)+1)+1,99),"")</ns0:f>
        <ns0:v>99</ns0:v>
      </ns0:c>
      <ns0:c r="F655" s="0">
        <ns0:f>IFERROR(IF(FIND(".",B655)=5,--C655,--E655),0)</ns0:f>
        <ns0:v>0</ns0:v>
      </ns0:c>
      <ns0:c r="G655" s="0">
        <ns0:f>IFERROR(--D655,0)</ns0:f>
        <ns0:v>0</ns0:v>
      </ns0:c>
      <ns0:c r="H655" s="0">
        <ns0:f>IFERROR(IF(FIND(".",B655)=5,--E655,--C655),0)</ns0:f>
        <ns0:v>0</ns0:v>
      </ns0:c>
      <ns0:c r="I655" s="0">
        <ns0:f>IFERROR(IF(AND(F655&gt;=2000,F655&lt;=2100,G655&gt;=1,G655&lt;=12,H655&gt;=1,H655&lt;=31),DATE(F655,G655,H655),0),0)</ns0:f>
        <ns0:v>0</ns0:v>
      </ns0:c>
      <ns0:c r="J655" s="0">
        <ns0:f>IFERROR(IF(ISNUMBER(Bookings!B655),IF(AND(Bookings!B655=INT(Bookings!B655),Bookings!B655&gt;=DATE(2000,1,1),Bookings!B655&lt;=DATE(2100,12,31)),Bookings!B655,0),IF(AND(A655&lt;&gt;"",LEN("x"&amp;B655)-LEN(SUBSTITUTE("x"&amp;B655,".",""))=2,OR(1&gt;LEN(B655),MID(B655,1,1)=".",ISNUMBER(FIND("x"&amp;MID(B655,1,1),"x0x1x2x3x4x5x6x7x8x9"))),OR(2&gt;LEN(B655),MID(B655,2,1)=".",ISNUMBER(FIND("x"&amp;MID(B655,2,1),"x0x1x2x3x4x5x6x7x8x9"))),OR(3&gt;LEN(B655),MID(B655,3,1)=".",ISNUMBER(FIND("x"&amp;MID(B655,3,1),"x0x1x2x3x4x5x6x7x8x9"))),OR(4&gt;LEN(B655),MID(B655,4,1)=".",ISNUMBER(FIND("x"&amp;MID(B655,4,1),"x0x1x2x3x4x5x6x7x8x9"))),OR(5&gt;LEN(B655),MID(B655,5,1)=".",ISNUMBER(FIND("x"&amp;MID(B655,5,1),"x0x1x2x3x4x5x6x7x8x9"))),OR(6&gt;LEN(B655),MID(B655,6,1)=".",ISNUMBER(FIND("x"&amp;MID(B655,6,1),"x0x1x2x3x4x5x6x7x8x9"))),OR(7&gt;LEN(B655),MID(B655,7,1)=".",ISNUMBER(FIND("x"&amp;MID(B655,7,1),"x0x1x2x3x4x5x6x7x8x9"))),OR(8&gt;LEN(B655),MID(B655,8,1)=".",ISNUMBER(FIND("x"&amp;MID(B655,8,1),"x0x1x2x3x4x5x6x7x8x9"))),OR(9&gt;LEN(B655),MID(B655,9,1)=".",ISNUMBER(FIND("x"&amp;MID(B655,9,1),"x0x1x2x3x4x5x6x7x8x9"))),OR(10&gt;LEN(B655),MID(B655,10,1)=".",ISNUMBER(FIND("x"&amp;MID(B655,10,1),"x0x1x2x3x4x5x6x7x8x9"))),OR(AND(FIND(".",B655)=5,LEN(B655)-FIND(".",B655,FIND(".",B655)+1)&gt;=1,LEN(B655)-FIND(".",B655,FIND(".",B655)+1)&lt;=2),AND(LEN(B655)-FIND(".",B655,FIND(".",B655)+1)=4,FIND(".",B655)&gt;=2,FIND(".",B655)&lt;=3)),FIND(".",B655,FIND(".",B655)+1)-FIND(".",B655)&gt;=2,FIND(".",B655,FIND(".",B655)+1)-FIND(".",B655)&lt;=3,F655&gt;=2000,F655&lt;=2100,YEAR(I655)=F655,MONTH(I655)=G655,DAY(I655)=H655),I655,0)),0)</ns0:f>
        <ns0:v>0</ns0:v>
      </ns0:c>
      <ns0:c r="K655" s="0">
        <ns0:f>IFERROR(IF(ISNUMBER(Bookings!D655),"",TRIM(Bookings!D655&amp;"")),"")</ns0:f>
      </ns0:c>
      <ns0:c r="L655" s="0">
        <ns0:f>IFERROR(SUBSTITUTE(SUBSTITUTE(K655,"/","."),"-","."),"")</ns0:f>
      </ns0:c>
      <ns0:c r="M655" s="0">
        <ns0:f>IFERROR(LEFT(L655,FIND(".",L655)-1),"")</ns0:f>
      </ns0:c>
      <ns0:c r="N655" s="0">
        <ns0:f>IFERROR(MID(L655,FIND(".",L655)+1,FIND(".",L655,FIND(".",L655)+1)-FIND(".",L655)-1),"")</ns0:f>
      </ns0:c>
      <ns0:c r="O655" s="0">
        <ns0:f>IFERROR(MID(L655,FIND(".",L655,FIND(".",L655)+1)+1,99),"")</ns0:f>
        <ns0:v>99</ns0:v>
      </ns0:c>
      <ns0:c r="P655" s="0">
        <ns0:f>IFERROR(IF(FIND(".",L655)=5,--M655,--O655),0)</ns0:f>
        <ns0:v>0</ns0:v>
      </ns0:c>
      <ns0:c r="Q655" s="0">
        <ns0:f>IFERROR(--N655,0)</ns0:f>
        <ns0:v>0</ns0:v>
      </ns0:c>
      <ns0:c r="R655" s="0">
        <ns0:f>IFERROR(IF(FIND(".",L655)=5,--O655,--M655),0)</ns0:f>
        <ns0:v>0</ns0:v>
      </ns0:c>
      <ns0:c r="S655" s="0">
        <ns0:f>IFERROR(IF(AND(P655&gt;=2000,P655&lt;=2100,Q655&gt;=1,Q655&lt;=12,R655&gt;=1,R655&lt;=31),DATE(P655,Q655,R655),0),0)</ns0:f>
        <ns0:v>0</ns0:v>
      </ns0:c>
      <ns0:c r="T655" s="0">
        <ns0:f>IFERROR(IF(ISNUMBER(Bookings!D655),IF(AND(Bookings!D655=INT(Bookings!D655),Bookings!D655&gt;=DATE(2000,1,1),Bookings!D655&lt;=DATE(2100,12,31)),Bookings!D655,0),IF(AND(K655&lt;&gt;"",LEN("x"&amp;L655)-LEN(SUBSTITUTE("x"&amp;L655,".",""))=2,OR(1&gt;LEN(L655),MID(L655,1,1)=".",ISNUMBER(FIND("x"&amp;MID(L655,1,1),"x0x1x2x3x4x5x6x7x8x9"))),OR(2&gt;LEN(L655),MID(L655,2,1)=".",ISNUMBER(FIND("x"&amp;MID(L655,2,1),"x0x1x2x3x4x5x6x7x8x9"))),OR(3&gt;LEN(L655),MID(L655,3,1)=".",ISNUMBER(FIND("x"&amp;MID(L655,3,1),"x0x1x2x3x4x5x6x7x8x9"))),OR(4&gt;LEN(L655),MID(L655,4,1)=".",ISNUMBER(FIND("x"&amp;MID(L655,4,1),"x0x1x2x3x4x5x6x7x8x9"))),OR(5&gt;LEN(L655),MID(L655,5,1)=".",ISNUMBER(FIND("x"&amp;MID(L655,5,1),"x0x1x2x3x4x5x6x7x8x9"))),OR(6&gt;LEN(L655),MID(L655,6,1)=".",ISNUMBER(FIND("x"&amp;MID(L655,6,1),"x0x1x2x3x4x5x6x7x8x9"))),OR(7&gt;LEN(L655),MID(L655,7,1)=".",ISNUMBER(FIND("x"&amp;MID(L655,7,1),"x0x1x2x3x4x5x6x7x8x9"))),OR(8&gt;LEN(L655),MID(L655,8,1)=".",ISNUMBER(FIND("x"&amp;MID(L655,8,1),"x0x1x2x3x4x5x6x7x8x9"))),OR(9&gt;LEN(L655),MID(L655,9,1)=".",ISNUMBER(FIND("x"&amp;MID(L655,9,1),"x0x1x2x3x4x5x6x7x8x9"))),OR(10&gt;LEN(L655),MID(L655,10,1)=".",ISNUMBER(FIND("x"&amp;MID(L655,10,1),"x0x1x2x3x4x5x6x7x8x9"))),OR(AND(FIND(".",L655)=5,LEN(L655)-FIND(".",L655,FIND(".",L655)+1)&gt;=1,LEN(L655)-FIND(".",L655,FIND(".",L655)+1)&lt;=2),AND(LEN(L655)-FIND(".",L655,FIND(".",L655)+1)=4,FIND(".",L655)&gt;=2,FIND(".",L655)&lt;=3)),FIND(".",L655,FIND(".",L655)+1)-FIND(".",L655)&gt;=2,FIND(".",L655,FIND(".",L655)+1)-FIND(".",L655)&lt;=3,P655&gt;=2000,P655&lt;=2100,YEAR(S655)=P655,MONTH(S655)=Q655,DAY(S655)=R655),S655,0)),0)</ns0:f>
        <ns0:v>0</ns0:v>
      </ns0:c>
      <ns0:c r="U655" s="0" t="str">
        <ns0:f>IF(Bookings!C655="","Full day",Bookings!C655)</ns0:f>
        <ns0:v>Full day</ns0:v>
      </ns0:c>
      <ns0:c r="V655" s="0" t="str">
        <ns0:f>IF(Bookings!E655="","Full day",Bookings!E655)</ns0:f>
        <ns0:v>Full day</ns0:v>
      </ns0:c>
      <ns0:c r="W655" s="0">
        <ns0:f>IF(J655=0,0,J655+IF(U655="PM",1,0))</ns0:f>
        <ns0:v>0</ns0:v>
      </ns0:c>
      <ns0:c r="X655" s="0">
        <ns0:f>IF(T655=0,0,T655-IF(V655="PM",1,0))</ns0:f>
        <ns0:v>0</ns0:v>
      </ns0:c>
      <ns0:c r="Y655" s="0">
        <ns0:f>IF(J655=0,0,J655+IF(U655="AM",1,0))</ns0:f>
        <ns0:v>0</ns0:v>
      </ns0:c>
      <ns0:c r="Z655" s="0">
        <ns0:f>IF(T655=0,0,T655-IF(V655="AM",1,0))</ns0:f>
        <ns0:v>0</ns0:v>
      </ns0:c>
      <ns0:c r="AA655" s="0">
        <ns0:f>IFERROR(IF(AND(J655&gt;0,'_Engine'!C655&gt;0,MID('_Engine'!W655,WEEKDAY(J655,2),1)="W",COUNTIF(Settings!$F$18:$F$67,J655)=0),1,0),0)</ns0:f>
        <ns0:v>0</ns0:v>
      </ns0:c>
      <ns0:c r="AB655" s="0">
        <ns0:f>IFERROR(IF(AND(T655&gt;0,'_Engine'!C655&gt;0,MID('_Engine'!W655,WEEKDAY(T655,2),1)="W",COUNTIF(Settings!$F$18:$F$67,T655)=0),1,0),0)</ns0:f>
        <ns0:v>0</ns0:v>
      </ns0:c>
      <ns0:c r="AC655" s="0">
        <ns0:f>IF(AND(J655&gt;0,T655&gt;0,W655&lt;=X655),1,0)</ns0:f>
        <ns0:v>0</ns0:v>
      </ns0:c>
      <ns0:c r="AD655" s="0">
        <ns0:f>IF(AND(J655&gt;0,T655&gt;0,Y655&lt;=Z655),1,0)</ns0:f>
        <ns0:v>0</ns0:v>
      </ns0:c>
    </ns0:row>
    <ns0:row r="656">
      <ns0:c r="A656" s="0">
        <ns0:f>IFERROR(IF(ISNUMBER(Bookings!B656),"",TRIM(Bookings!B656&amp;"")),"")</ns0:f>
      </ns0:c>
      <ns0:c r="B656" s="0">
        <ns0:f>IFERROR(SUBSTITUTE(SUBSTITUTE(A656,"/","."),"-","."),"")</ns0:f>
      </ns0:c>
      <ns0:c r="C656" s="0">
        <ns0:f>IFERROR(LEFT(B656,FIND(".",B656)-1),"")</ns0:f>
      </ns0:c>
      <ns0:c r="D656" s="0">
        <ns0:f>IFERROR(MID(B656,FIND(".",B656)+1,FIND(".",B656,FIND(".",B656)+1)-FIND(".",B656)-1),"")</ns0:f>
      </ns0:c>
      <ns0:c r="E656" s="0">
        <ns0:f>IFERROR(MID(B656,FIND(".",B656,FIND(".",B656)+1)+1,99),"")</ns0:f>
        <ns0:v>99</ns0:v>
      </ns0:c>
      <ns0:c r="F656" s="0">
        <ns0:f>IFERROR(IF(FIND(".",B656)=5,--C656,--E656),0)</ns0:f>
        <ns0:v>0</ns0:v>
      </ns0:c>
      <ns0:c r="G656" s="0">
        <ns0:f>IFERROR(--D656,0)</ns0:f>
        <ns0:v>0</ns0:v>
      </ns0:c>
      <ns0:c r="H656" s="0">
        <ns0:f>IFERROR(IF(FIND(".",B656)=5,--E656,--C656),0)</ns0:f>
        <ns0:v>0</ns0:v>
      </ns0:c>
      <ns0:c r="I656" s="0">
        <ns0:f>IFERROR(IF(AND(F656&gt;=2000,F656&lt;=2100,G656&gt;=1,G656&lt;=12,H656&gt;=1,H656&lt;=31),DATE(F656,G656,H656),0),0)</ns0:f>
        <ns0:v>0</ns0:v>
      </ns0:c>
      <ns0:c r="J656" s="0">
        <ns0:f>IFERROR(IF(ISNUMBER(Bookings!B656),IF(AND(Bookings!B656=INT(Bookings!B656),Bookings!B656&gt;=DATE(2000,1,1),Bookings!B656&lt;=DATE(2100,12,31)),Bookings!B656,0),IF(AND(A656&lt;&gt;"",LEN("x"&amp;B656)-LEN(SUBSTITUTE("x"&amp;B656,".",""))=2,OR(1&gt;LEN(B656),MID(B656,1,1)=".",ISNUMBER(FIND("x"&amp;MID(B656,1,1),"x0x1x2x3x4x5x6x7x8x9"))),OR(2&gt;LEN(B656),MID(B656,2,1)=".",ISNUMBER(FIND("x"&amp;MID(B656,2,1),"x0x1x2x3x4x5x6x7x8x9"))),OR(3&gt;LEN(B656),MID(B656,3,1)=".",ISNUMBER(FIND("x"&amp;MID(B656,3,1),"x0x1x2x3x4x5x6x7x8x9"))),OR(4&gt;LEN(B656),MID(B656,4,1)=".",ISNUMBER(FIND("x"&amp;MID(B656,4,1),"x0x1x2x3x4x5x6x7x8x9"))),OR(5&gt;LEN(B656),MID(B656,5,1)=".",ISNUMBER(FIND("x"&amp;MID(B656,5,1),"x0x1x2x3x4x5x6x7x8x9"))),OR(6&gt;LEN(B656),MID(B656,6,1)=".",ISNUMBER(FIND("x"&amp;MID(B656,6,1),"x0x1x2x3x4x5x6x7x8x9"))),OR(7&gt;LEN(B656),MID(B656,7,1)=".",ISNUMBER(FIND("x"&amp;MID(B656,7,1),"x0x1x2x3x4x5x6x7x8x9"))),OR(8&gt;LEN(B656),MID(B656,8,1)=".",ISNUMBER(FIND("x"&amp;MID(B656,8,1),"x0x1x2x3x4x5x6x7x8x9"))),OR(9&gt;LEN(B656),MID(B656,9,1)=".",ISNUMBER(FIND("x"&amp;MID(B656,9,1),"x0x1x2x3x4x5x6x7x8x9"))),OR(10&gt;LEN(B656),MID(B656,10,1)=".",ISNUMBER(FIND("x"&amp;MID(B656,10,1),"x0x1x2x3x4x5x6x7x8x9"))),OR(AND(FIND(".",B656)=5,LEN(B656)-FIND(".",B656,FIND(".",B656)+1)&gt;=1,LEN(B656)-FIND(".",B656,FIND(".",B656)+1)&lt;=2),AND(LEN(B656)-FIND(".",B656,FIND(".",B656)+1)=4,FIND(".",B656)&gt;=2,FIND(".",B656)&lt;=3)),FIND(".",B656,FIND(".",B656)+1)-FIND(".",B656)&gt;=2,FIND(".",B656,FIND(".",B656)+1)-FIND(".",B656)&lt;=3,F656&gt;=2000,F656&lt;=2100,YEAR(I656)=F656,MONTH(I656)=G656,DAY(I656)=H656),I656,0)),0)</ns0:f>
        <ns0:v>0</ns0:v>
      </ns0:c>
      <ns0:c r="K656" s="0">
        <ns0:f>IFERROR(IF(ISNUMBER(Bookings!D656),"",TRIM(Bookings!D656&amp;"")),"")</ns0:f>
      </ns0:c>
      <ns0:c r="L656" s="0">
        <ns0:f>IFERROR(SUBSTITUTE(SUBSTITUTE(K656,"/","."),"-","."),"")</ns0:f>
      </ns0:c>
      <ns0:c r="M656" s="0">
        <ns0:f>IFERROR(LEFT(L656,FIND(".",L656)-1),"")</ns0:f>
      </ns0:c>
      <ns0:c r="N656" s="0">
        <ns0:f>IFERROR(MID(L656,FIND(".",L656)+1,FIND(".",L656,FIND(".",L656)+1)-FIND(".",L656)-1),"")</ns0:f>
      </ns0:c>
      <ns0:c r="O656" s="0">
        <ns0:f>IFERROR(MID(L656,FIND(".",L656,FIND(".",L656)+1)+1,99),"")</ns0:f>
        <ns0:v>99</ns0:v>
      </ns0:c>
      <ns0:c r="P656" s="0">
        <ns0:f>IFERROR(IF(FIND(".",L656)=5,--M656,--O656),0)</ns0:f>
        <ns0:v>0</ns0:v>
      </ns0:c>
      <ns0:c r="Q656" s="0">
        <ns0:f>IFERROR(--N656,0)</ns0:f>
        <ns0:v>0</ns0:v>
      </ns0:c>
      <ns0:c r="R656" s="0">
        <ns0:f>IFERROR(IF(FIND(".",L656)=5,--O656,--M656),0)</ns0:f>
        <ns0:v>0</ns0:v>
      </ns0:c>
      <ns0:c r="S656" s="0">
        <ns0:f>IFERROR(IF(AND(P656&gt;=2000,P656&lt;=2100,Q656&gt;=1,Q656&lt;=12,R656&gt;=1,R656&lt;=31),DATE(P656,Q656,R656),0),0)</ns0:f>
        <ns0:v>0</ns0:v>
      </ns0:c>
      <ns0:c r="T656" s="0">
        <ns0:f>IFERROR(IF(ISNUMBER(Bookings!D656),IF(AND(Bookings!D656=INT(Bookings!D656),Bookings!D656&gt;=DATE(2000,1,1),Bookings!D656&lt;=DATE(2100,12,31)),Bookings!D656,0),IF(AND(K656&lt;&gt;"",LEN("x"&amp;L656)-LEN(SUBSTITUTE("x"&amp;L656,".",""))=2,OR(1&gt;LEN(L656),MID(L656,1,1)=".",ISNUMBER(FIND("x"&amp;MID(L656,1,1),"x0x1x2x3x4x5x6x7x8x9"))),OR(2&gt;LEN(L656),MID(L656,2,1)=".",ISNUMBER(FIND("x"&amp;MID(L656,2,1),"x0x1x2x3x4x5x6x7x8x9"))),OR(3&gt;LEN(L656),MID(L656,3,1)=".",ISNUMBER(FIND("x"&amp;MID(L656,3,1),"x0x1x2x3x4x5x6x7x8x9"))),OR(4&gt;LEN(L656),MID(L656,4,1)=".",ISNUMBER(FIND("x"&amp;MID(L656,4,1),"x0x1x2x3x4x5x6x7x8x9"))),OR(5&gt;LEN(L656),MID(L656,5,1)=".",ISNUMBER(FIND("x"&amp;MID(L656,5,1),"x0x1x2x3x4x5x6x7x8x9"))),OR(6&gt;LEN(L656),MID(L656,6,1)=".",ISNUMBER(FIND("x"&amp;MID(L656,6,1),"x0x1x2x3x4x5x6x7x8x9"))),OR(7&gt;LEN(L656),MID(L656,7,1)=".",ISNUMBER(FIND("x"&amp;MID(L656,7,1),"x0x1x2x3x4x5x6x7x8x9"))),OR(8&gt;LEN(L656),MID(L656,8,1)=".",ISNUMBER(FIND("x"&amp;MID(L656,8,1),"x0x1x2x3x4x5x6x7x8x9"))),OR(9&gt;LEN(L656),MID(L656,9,1)=".",ISNUMBER(FIND("x"&amp;MID(L656,9,1),"x0x1x2x3x4x5x6x7x8x9"))),OR(10&gt;LEN(L656),MID(L656,10,1)=".",ISNUMBER(FIND("x"&amp;MID(L656,10,1),"x0x1x2x3x4x5x6x7x8x9"))),OR(AND(FIND(".",L656)=5,LEN(L656)-FIND(".",L656,FIND(".",L656)+1)&gt;=1,LEN(L656)-FIND(".",L656,FIND(".",L656)+1)&lt;=2),AND(LEN(L656)-FIND(".",L656,FIND(".",L656)+1)=4,FIND(".",L656)&gt;=2,FIND(".",L656)&lt;=3)),FIND(".",L656,FIND(".",L656)+1)-FIND(".",L656)&gt;=2,FIND(".",L656,FIND(".",L656)+1)-FIND(".",L656)&lt;=3,P656&gt;=2000,P656&lt;=2100,YEAR(S656)=P656,MONTH(S656)=Q656,DAY(S656)=R656),S656,0)),0)</ns0:f>
        <ns0:v>0</ns0:v>
      </ns0:c>
      <ns0:c r="U656" s="0" t="str">
        <ns0:f>IF(Bookings!C656="","Full day",Bookings!C656)</ns0:f>
        <ns0:v>Full day</ns0:v>
      </ns0:c>
      <ns0:c r="V656" s="0" t="str">
        <ns0:f>IF(Bookings!E656="","Full day",Bookings!E656)</ns0:f>
        <ns0:v>Full day</ns0:v>
      </ns0:c>
      <ns0:c r="W656" s="0">
        <ns0:f>IF(J656=0,0,J656+IF(U656="PM",1,0))</ns0:f>
        <ns0:v>0</ns0:v>
      </ns0:c>
      <ns0:c r="X656" s="0">
        <ns0:f>IF(T656=0,0,T656-IF(V656="PM",1,0))</ns0:f>
        <ns0:v>0</ns0:v>
      </ns0:c>
      <ns0:c r="Y656" s="0">
        <ns0:f>IF(J656=0,0,J656+IF(U656="AM",1,0))</ns0:f>
        <ns0:v>0</ns0:v>
      </ns0:c>
      <ns0:c r="Z656" s="0">
        <ns0:f>IF(T656=0,0,T656-IF(V656="AM",1,0))</ns0:f>
        <ns0:v>0</ns0:v>
      </ns0:c>
      <ns0:c r="AA656" s="0">
        <ns0:f>IFERROR(IF(AND(J656&gt;0,'_Engine'!C656&gt;0,MID('_Engine'!W656,WEEKDAY(J656,2),1)="W",COUNTIF(Settings!$F$18:$F$67,J656)=0),1,0),0)</ns0:f>
        <ns0:v>0</ns0:v>
      </ns0:c>
      <ns0:c r="AB656" s="0">
        <ns0:f>IFERROR(IF(AND(T656&gt;0,'_Engine'!C656&gt;0,MID('_Engine'!W656,WEEKDAY(T656,2),1)="W",COUNTIF(Settings!$F$18:$F$67,T656)=0),1,0),0)</ns0:f>
        <ns0:v>0</ns0:v>
      </ns0:c>
      <ns0:c r="AC656" s="0">
        <ns0:f>IF(AND(J656&gt;0,T656&gt;0,W656&lt;=X656),1,0)</ns0:f>
        <ns0:v>0</ns0:v>
      </ns0:c>
      <ns0:c r="AD656" s="0">
        <ns0:f>IF(AND(J656&gt;0,T656&gt;0,Y656&lt;=Z656),1,0)</ns0:f>
        <ns0:v>0</ns0:v>
      </ns0:c>
    </ns0:row>
    <ns0:row r="657">
      <ns0:c r="A657" s="0">
        <ns0:f>IFERROR(IF(ISNUMBER(Bookings!B657),"",TRIM(Bookings!B657&amp;"")),"")</ns0:f>
      </ns0:c>
      <ns0:c r="B657" s="0">
        <ns0:f>IFERROR(SUBSTITUTE(SUBSTITUTE(A657,"/","."),"-","."),"")</ns0:f>
      </ns0:c>
      <ns0:c r="C657" s="0">
        <ns0:f>IFERROR(LEFT(B657,FIND(".",B657)-1),"")</ns0:f>
      </ns0:c>
      <ns0:c r="D657" s="0">
        <ns0:f>IFERROR(MID(B657,FIND(".",B657)+1,FIND(".",B657,FIND(".",B657)+1)-FIND(".",B657)-1),"")</ns0:f>
      </ns0:c>
      <ns0:c r="E657" s="0">
        <ns0:f>IFERROR(MID(B657,FIND(".",B657,FIND(".",B657)+1)+1,99),"")</ns0:f>
        <ns0:v>99</ns0:v>
      </ns0:c>
      <ns0:c r="F657" s="0">
        <ns0:f>IFERROR(IF(FIND(".",B657)=5,--C657,--E657),0)</ns0:f>
        <ns0:v>0</ns0:v>
      </ns0:c>
      <ns0:c r="G657" s="0">
        <ns0:f>IFERROR(--D657,0)</ns0:f>
        <ns0:v>0</ns0:v>
      </ns0:c>
      <ns0:c r="H657" s="0">
        <ns0:f>IFERROR(IF(FIND(".",B657)=5,--E657,--C657),0)</ns0:f>
        <ns0:v>0</ns0:v>
      </ns0:c>
      <ns0:c r="I657" s="0">
        <ns0:f>IFERROR(IF(AND(F657&gt;=2000,F657&lt;=2100,G657&gt;=1,G657&lt;=12,H657&gt;=1,H657&lt;=31),DATE(F657,G657,H657),0),0)</ns0:f>
        <ns0:v>0</ns0:v>
      </ns0:c>
      <ns0:c r="J657" s="0">
        <ns0:f>IFERROR(IF(ISNUMBER(Bookings!B657),IF(AND(Bookings!B657=INT(Bookings!B657),Bookings!B657&gt;=DATE(2000,1,1),Bookings!B657&lt;=DATE(2100,12,31)),Bookings!B657,0),IF(AND(A657&lt;&gt;"",LEN("x"&amp;B657)-LEN(SUBSTITUTE("x"&amp;B657,".",""))=2,OR(1&gt;LEN(B657),MID(B657,1,1)=".",ISNUMBER(FIND("x"&amp;MID(B657,1,1),"x0x1x2x3x4x5x6x7x8x9"))),OR(2&gt;LEN(B657),MID(B657,2,1)=".",ISNUMBER(FIND("x"&amp;MID(B657,2,1),"x0x1x2x3x4x5x6x7x8x9"))),OR(3&gt;LEN(B657),MID(B657,3,1)=".",ISNUMBER(FIND("x"&amp;MID(B657,3,1),"x0x1x2x3x4x5x6x7x8x9"))),OR(4&gt;LEN(B657),MID(B657,4,1)=".",ISNUMBER(FIND("x"&amp;MID(B657,4,1),"x0x1x2x3x4x5x6x7x8x9"))),OR(5&gt;LEN(B657),MID(B657,5,1)=".",ISNUMBER(FIND("x"&amp;MID(B657,5,1),"x0x1x2x3x4x5x6x7x8x9"))),OR(6&gt;LEN(B657),MID(B657,6,1)=".",ISNUMBER(FIND("x"&amp;MID(B657,6,1),"x0x1x2x3x4x5x6x7x8x9"))),OR(7&gt;LEN(B657),MID(B657,7,1)=".",ISNUMBER(FIND("x"&amp;MID(B657,7,1),"x0x1x2x3x4x5x6x7x8x9"))),OR(8&gt;LEN(B657),MID(B657,8,1)=".",ISNUMBER(FIND("x"&amp;MID(B657,8,1),"x0x1x2x3x4x5x6x7x8x9"))),OR(9&gt;LEN(B657),MID(B657,9,1)=".",ISNUMBER(FIND("x"&amp;MID(B657,9,1),"x0x1x2x3x4x5x6x7x8x9"))),OR(10&gt;LEN(B657),MID(B657,10,1)=".",ISNUMBER(FIND("x"&amp;MID(B657,10,1),"x0x1x2x3x4x5x6x7x8x9"))),OR(AND(FIND(".",B657)=5,LEN(B657)-FIND(".",B657,FIND(".",B657)+1)&gt;=1,LEN(B657)-FIND(".",B657,FIND(".",B657)+1)&lt;=2),AND(LEN(B657)-FIND(".",B657,FIND(".",B657)+1)=4,FIND(".",B657)&gt;=2,FIND(".",B657)&lt;=3)),FIND(".",B657,FIND(".",B657)+1)-FIND(".",B657)&gt;=2,FIND(".",B657,FIND(".",B657)+1)-FIND(".",B657)&lt;=3,F657&gt;=2000,F657&lt;=2100,YEAR(I657)=F657,MONTH(I657)=G657,DAY(I657)=H657),I657,0)),0)</ns0:f>
        <ns0:v>0</ns0:v>
      </ns0:c>
      <ns0:c r="K657" s="0">
        <ns0:f>IFERROR(IF(ISNUMBER(Bookings!D657),"",TRIM(Bookings!D657&amp;"")),"")</ns0:f>
      </ns0:c>
      <ns0:c r="L657" s="0">
        <ns0:f>IFERROR(SUBSTITUTE(SUBSTITUTE(K657,"/","."),"-","."),"")</ns0:f>
      </ns0:c>
      <ns0:c r="M657" s="0">
        <ns0:f>IFERROR(LEFT(L657,FIND(".",L657)-1),"")</ns0:f>
      </ns0:c>
      <ns0:c r="N657" s="0">
        <ns0:f>IFERROR(MID(L657,FIND(".",L657)+1,FIND(".",L657,FIND(".",L657)+1)-FIND(".",L657)-1),"")</ns0:f>
      </ns0:c>
      <ns0:c r="O657" s="0">
        <ns0:f>IFERROR(MID(L657,FIND(".",L657,FIND(".",L657)+1)+1,99),"")</ns0:f>
        <ns0:v>99</ns0:v>
      </ns0:c>
      <ns0:c r="P657" s="0">
        <ns0:f>IFERROR(IF(FIND(".",L657)=5,--M657,--O657),0)</ns0:f>
        <ns0:v>0</ns0:v>
      </ns0:c>
      <ns0:c r="Q657" s="0">
        <ns0:f>IFERROR(--N657,0)</ns0:f>
        <ns0:v>0</ns0:v>
      </ns0:c>
      <ns0:c r="R657" s="0">
        <ns0:f>IFERROR(IF(FIND(".",L657)=5,--O657,--M657),0)</ns0:f>
        <ns0:v>0</ns0:v>
      </ns0:c>
      <ns0:c r="S657" s="0">
        <ns0:f>IFERROR(IF(AND(P657&gt;=2000,P657&lt;=2100,Q657&gt;=1,Q657&lt;=12,R657&gt;=1,R657&lt;=31),DATE(P657,Q657,R657),0),0)</ns0:f>
        <ns0:v>0</ns0:v>
      </ns0:c>
      <ns0:c r="T657" s="0">
        <ns0:f>IFERROR(IF(ISNUMBER(Bookings!D657),IF(AND(Bookings!D657=INT(Bookings!D657),Bookings!D657&gt;=DATE(2000,1,1),Bookings!D657&lt;=DATE(2100,12,31)),Bookings!D657,0),IF(AND(K657&lt;&gt;"",LEN("x"&amp;L657)-LEN(SUBSTITUTE("x"&amp;L657,".",""))=2,OR(1&gt;LEN(L657),MID(L657,1,1)=".",ISNUMBER(FIND("x"&amp;MID(L657,1,1),"x0x1x2x3x4x5x6x7x8x9"))),OR(2&gt;LEN(L657),MID(L657,2,1)=".",ISNUMBER(FIND("x"&amp;MID(L657,2,1),"x0x1x2x3x4x5x6x7x8x9"))),OR(3&gt;LEN(L657),MID(L657,3,1)=".",ISNUMBER(FIND("x"&amp;MID(L657,3,1),"x0x1x2x3x4x5x6x7x8x9"))),OR(4&gt;LEN(L657),MID(L657,4,1)=".",ISNUMBER(FIND("x"&amp;MID(L657,4,1),"x0x1x2x3x4x5x6x7x8x9"))),OR(5&gt;LEN(L657),MID(L657,5,1)=".",ISNUMBER(FIND("x"&amp;MID(L657,5,1),"x0x1x2x3x4x5x6x7x8x9"))),OR(6&gt;LEN(L657),MID(L657,6,1)=".",ISNUMBER(FIND("x"&amp;MID(L657,6,1),"x0x1x2x3x4x5x6x7x8x9"))),OR(7&gt;LEN(L657),MID(L657,7,1)=".",ISNUMBER(FIND("x"&amp;MID(L657,7,1),"x0x1x2x3x4x5x6x7x8x9"))),OR(8&gt;LEN(L657),MID(L657,8,1)=".",ISNUMBER(FIND("x"&amp;MID(L657,8,1),"x0x1x2x3x4x5x6x7x8x9"))),OR(9&gt;LEN(L657),MID(L657,9,1)=".",ISNUMBER(FIND("x"&amp;MID(L657,9,1),"x0x1x2x3x4x5x6x7x8x9"))),OR(10&gt;LEN(L657),MID(L657,10,1)=".",ISNUMBER(FIND("x"&amp;MID(L657,10,1),"x0x1x2x3x4x5x6x7x8x9"))),OR(AND(FIND(".",L657)=5,LEN(L657)-FIND(".",L657,FIND(".",L657)+1)&gt;=1,LEN(L657)-FIND(".",L657,FIND(".",L657)+1)&lt;=2),AND(LEN(L657)-FIND(".",L657,FIND(".",L657)+1)=4,FIND(".",L657)&gt;=2,FIND(".",L657)&lt;=3)),FIND(".",L657,FIND(".",L657)+1)-FIND(".",L657)&gt;=2,FIND(".",L657,FIND(".",L657)+1)-FIND(".",L657)&lt;=3,P657&gt;=2000,P657&lt;=2100,YEAR(S657)=P657,MONTH(S657)=Q657,DAY(S657)=R657),S657,0)),0)</ns0:f>
        <ns0:v>0</ns0:v>
      </ns0:c>
      <ns0:c r="U657" s="0" t="str">
        <ns0:f>IF(Bookings!C657="","Full day",Bookings!C657)</ns0:f>
        <ns0:v>Full day</ns0:v>
      </ns0:c>
      <ns0:c r="V657" s="0" t="str">
        <ns0:f>IF(Bookings!E657="","Full day",Bookings!E657)</ns0:f>
        <ns0:v>Full day</ns0:v>
      </ns0:c>
      <ns0:c r="W657" s="0">
        <ns0:f>IF(J657=0,0,J657+IF(U657="PM",1,0))</ns0:f>
        <ns0:v>0</ns0:v>
      </ns0:c>
      <ns0:c r="X657" s="0">
        <ns0:f>IF(T657=0,0,T657-IF(V657="PM",1,0))</ns0:f>
        <ns0:v>0</ns0:v>
      </ns0:c>
      <ns0:c r="Y657" s="0">
        <ns0:f>IF(J657=0,0,J657+IF(U657="AM",1,0))</ns0:f>
        <ns0:v>0</ns0:v>
      </ns0:c>
      <ns0:c r="Z657" s="0">
        <ns0:f>IF(T657=0,0,T657-IF(V657="AM",1,0))</ns0:f>
        <ns0:v>0</ns0:v>
      </ns0:c>
      <ns0:c r="AA657" s="0">
        <ns0:f>IFERROR(IF(AND(J657&gt;0,'_Engine'!C657&gt;0,MID('_Engine'!W657,WEEKDAY(J657,2),1)="W",COUNTIF(Settings!$F$18:$F$67,J657)=0),1,0),0)</ns0:f>
        <ns0:v>0</ns0:v>
      </ns0:c>
      <ns0:c r="AB657" s="0">
        <ns0:f>IFERROR(IF(AND(T657&gt;0,'_Engine'!C657&gt;0,MID('_Engine'!W657,WEEKDAY(T657,2),1)="W",COUNTIF(Settings!$F$18:$F$67,T657)=0),1,0),0)</ns0:f>
        <ns0:v>0</ns0:v>
      </ns0:c>
      <ns0:c r="AC657" s="0">
        <ns0:f>IF(AND(J657&gt;0,T657&gt;0,W657&lt;=X657),1,0)</ns0:f>
        <ns0:v>0</ns0:v>
      </ns0:c>
      <ns0:c r="AD657" s="0">
        <ns0:f>IF(AND(J657&gt;0,T657&gt;0,Y657&lt;=Z657),1,0)</ns0:f>
        <ns0:v>0</ns0:v>
      </ns0:c>
    </ns0:row>
    <ns0:row r="658">
      <ns0:c r="A658" s="0">
        <ns0:f>IFERROR(IF(ISNUMBER(Bookings!B658),"",TRIM(Bookings!B658&amp;"")),"")</ns0:f>
      </ns0:c>
      <ns0:c r="B658" s="0">
        <ns0:f>IFERROR(SUBSTITUTE(SUBSTITUTE(A658,"/","."),"-","."),"")</ns0:f>
      </ns0:c>
      <ns0:c r="C658" s="0">
        <ns0:f>IFERROR(LEFT(B658,FIND(".",B658)-1),"")</ns0:f>
      </ns0:c>
      <ns0:c r="D658" s="0">
        <ns0:f>IFERROR(MID(B658,FIND(".",B658)+1,FIND(".",B658,FIND(".",B658)+1)-FIND(".",B658)-1),"")</ns0:f>
      </ns0:c>
      <ns0:c r="E658" s="0">
        <ns0:f>IFERROR(MID(B658,FIND(".",B658,FIND(".",B658)+1)+1,99),"")</ns0:f>
        <ns0:v>99</ns0:v>
      </ns0:c>
      <ns0:c r="F658" s="0">
        <ns0:f>IFERROR(IF(FIND(".",B658)=5,--C658,--E658),0)</ns0:f>
        <ns0:v>0</ns0:v>
      </ns0:c>
      <ns0:c r="G658" s="0">
        <ns0:f>IFERROR(--D658,0)</ns0:f>
        <ns0:v>0</ns0:v>
      </ns0:c>
      <ns0:c r="H658" s="0">
        <ns0:f>IFERROR(IF(FIND(".",B658)=5,--E658,--C658),0)</ns0:f>
        <ns0:v>0</ns0:v>
      </ns0:c>
      <ns0:c r="I658" s="0">
        <ns0:f>IFERROR(IF(AND(F658&gt;=2000,F658&lt;=2100,G658&gt;=1,G658&lt;=12,H658&gt;=1,H658&lt;=31),DATE(F658,G658,H658),0),0)</ns0:f>
        <ns0:v>0</ns0:v>
      </ns0:c>
      <ns0:c r="J658" s="0">
        <ns0:f>IFERROR(IF(ISNUMBER(Bookings!B658),IF(AND(Bookings!B658=INT(Bookings!B658),Bookings!B658&gt;=DATE(2000,1,1),Bookings!B658&lt;=DATE(2100,12,31)),Bookings!B658,0),IF(AND(A658&lt;&gt;"",LEN("x"&amp;B658)-LEN(SUBSTITUTE("x"&amp;B658,".",""))=2,OR(1&gt;LEN(B658),MID(B658,1,1)=".",ISNUMBER(FIND("x"&amp;MID(B658,1,1),"x0x1x2x3x4x5x6x7x8x9"))),OR(2&gt;LEN(B658),MID(B658,2,1)=".",ISNUMBER(FIND("x"&amp;MID(B658,2,1),"x0x1x2x3x4x5x6x7x8x9"))),OR(3&gt;LEN(B658),MID(B658,3,1)=".",ISNUMBER(FIND("x"&amp;MID(B658,3,1),"x0x1x2x3x4x5x6x7x8x9"))),OR(4&gt;LEN(B658),MID(B658,4,1)=".",ISNUMBER(FIND("x"&amp;MID(B658,4,1),"x0x1x2x3x4x5x6x7x8x9"))),OR(5&gt;LEN(B658),MID(B658,5,1)=".",ISNUMBER(FIND("x"&amp;MID(B658,5,1),"x0x1x2x3x4x5x6x7x8x9"))),OR(6&gt;LEN(B658),MID(B658,6,1)=".",ISNUMBER(FIND("x"&amp;MID(B658,6,1),"x0x1x2x3x4x5x6x7x8x9"))),OR(7&gt;LEN(B658),MID(B658,7,1)=".",ISNUMBER(FIND("x"&amp;MID(B658,7,1),"x0x1x2x3x4x5x6x7x8x9"))),OR(8&gt;LEN(B658),MID(B658,8,1)=".",ISNUMBER(FIND("x"&amp;MID(B658,8,1),"x0x1x2x3x4x5x6x7x8x9"))),OR(9&gt;LEN(B658),MID(B658,9,1)=".",ISNUMBER(FIND("x"&amp;MID(B658,9,1),"x0x1x2x3x4x5x6x7x8x9"))),OR(10&gt;LEN(B658),MID(B658,10,1)=".",ISNUMBER(FIND("x"&amp;MID(B658,10,1),"x0x1x2x3x4x5x6x7x8x9"))),OR(AND(FIND(".",B658)=5,LEN(B658)-FIND(".",B658,FIND(".",B658)+1)&gt;=1,LEN(B658)-FIND(".",B658,FIND(".",B658)+1)&lt;=2),AND(LEN(B658)-FIND(".",B658,FIND(".",B658)+1)=4,FIND(".",B658)&gt;=2,FIND(".",B658)&lt;=3)),FIND(".",B658,FIND(".",B658)+1)-FIND(".",B658)&gt;=2,FIND(".",B658,FIND(".",B658)+1)-FIND(".",B658)&lt;=3,F658&gt;=2000,F658&lt;=2100,YEAR(I658)=F658,MONTH(I658)=G658,DAY(I658)=H658),I658,0)),0)</ns0:f>
        <ns0:v>0</ns0:v>
      </ns0:c>
      <ns0:c r="K658" s="0">
        <ns0:f>IFERROR(IF(ISNUMBER(Bookings!D658),"",TRIM(Bookings!D658&amp;"")),"")</ns0:f>
      </ns0:c>
      <ns0:c r="L658" s="0">
        <ns0:f>IFERROR(SUBSTITUTE(SUBSTITUTE(K658,"/","."),"-","."),"")</ns0:f>
      </ns0:c>
      <ns0:c r="M658" s="0">
        <ns0:f>IFERROR(LEFT(L658,FIND(".",L658)-1),"")</ns0:f>
      </ns0:c>
      <ns0:c r="N658" s="0">
        <ns0:f>IFERROR(MID(L658,FIND(".",L658)+1,FIND(".",L658,FIND(".",L658)+1)-FIND(".",L658)-1),"")</ns0:f>
      </ns0:c>
      <ns0:c r="O658" s="0">
        <ns0:f>IFERROR(MID(L658,FIND(".",L658,FIND(".",L658)+1)+1,99),"")</ns0:f>
        <ns0:v>99</ns0:v>
      </ns0:c>
      <ns0:c r="P658" s="0">
        <ns0:f>IFERROR(IF(FIND(".",L658)=5,--M658,--O658),0)</ns0:f>
        <ns0:v>0</ns0:v>
      </ns0:c>
      <ns0:c r="Q658" s="0">
        <ns0:f>IFERROR(--N658,0)</ns0:f>
        <ns0:v>0</ns0:v>
      </ns0:c>
      <ns0:c r="R658" s="0">
        <ns0:f>IFERROR(IF(FIND(".",L658)=5,--O658,--M658),0)</ns0:f>
        <ns0:v>0</ns0:v>
      </ns0:c>
      <ns0:c r="S658" s="0">
        <ns0:f>IFERROR(IF(AND(P658&gt;=2000,P658&lt;=2100,Q658&gt;=1,Q658&lt;=12,R658&gt;=1,R658&lt;=31),DATE(P658,Q658,R658),0),0)</ns0:f>
        <ns0:v>0</ns0:v>
      </ns0:c>
      <ns0:c r="T658" s="0">
        <ns0:f>IFERROR(IF(ISNUMBER(Bookings!D658),IF(AND(Bookings!D658=INT(Bookings!D658),Bookings!D658&gt;=DATE(2000,1,1),Bookings!D658&lt;=DATE(2100,12,31)),Bookings!D658,0),IF(AND(K658&lt;&gt;"",LEN("x"&amp;L658)-LEN(SUBSTITUTE("x"&amp;L658,".",""))=2,OR(1&gt;LEN(L658),MID(L658,1,1)=".",ISNUMBER(FIND("x"&amp;MID(L658,1,1),"x0x1x2x3x4x5x6x7x8x9"))),OR(2&gt;LEN(L658),MID(L658,2,1)=".",ISNUMBER(FIND("x"&amp;MID(L658,2,1),"x0x1x2x3x4x5x6x7x8x9"))),OR(3&gt;LEN(L658),MID(L658,3,1)=".",ISNUMBER(FIND("x"&amp;MID(L658,3,1),"x0x1x2x3x4x5x6x7x8x9"))),OR(4&gt;LEN(L658),MID(L658,4,1)=".",ISNUMBER(FIND("x"&amp;MID(L658,4,1),"x0x1x2x3x4x5x6x7x8x9"))),OR(5&gt;LEN(L658),MID(L658,5,1)=".",ISNUMBER(FIND("x"&amp;MID(L658,5,1),"x0x1x2x3x4x5x6x7x8x9"))),OR(6&gt;LEN(L658),MID(L658,6,1)=".",ISNUMBER(FIND("x"&amp;MID(L658,6,1),"x0x1x2x3x4x5x6x7x8x9"))),OR(7&gt;LEN(L658),MID(L658,7,1)=".",ISNUMBER(FIND("x"&amp;MID(L658,7,1),"x0x1x2x3x4x5x6x7x8x9"))),OR(8&gt;LEN(L658),MID(L658,8,1)=".",ISNUMBER(FIND("x"&amp;MID(L658,8,1),"x0x1x2x3x4x5x6x7x8x9"))),OR(9&gt;LEN(L658),MID(L658,9,1)=".",ISNUMBER(FIND("x"&amp;MID(L658,9,1),"x0x1x2x3x4x5x6x7x8x9"))),OR(10&gt;LEN(L658),MID(L658,10,1)=".",ISNUMBER(FIND("x"&amp;MID(L658,10,1),"x0x1x2x3x4x5x6x7x8x9"))),OR(AND(FIND(".",L658)=5,LEN(L658)-FIND(".",L658,FIND(".",L658)+1)&gt;=1,LEN(L658)-FIND(".",L658,FIND(".",L658)+1)&lt;=2),AND(LEN(L658)-FIND(".",L658,FIND(".",L658)+1)=4,FIND(".",L658)&gt;=2,FIND(".",L658)&lt;=3)),FIND(".",L658,FIND(".",L658)+1)-FIND(".",L658)&gt;=2,FIND(".",L658,FIND(".",L658)+1)-FIND(".",L658)&lt;=3,P658&gt;=2000,P658&lt;=2100,YEAR(S658)=P658,MONTH(S658)=Q658,DAY(S658)=R658),S658,0)),0)</ns0:f>
        <ns0:v>0</ns0:v>
      </ns0:c>
      <ns0:c r="U658" s="0" t="str">
        <ns0:f>IF(Bookings!C658="","Full day",Bookings!C658)</ns0:f>
        <ns0:v>Full day</ns0:v>
      </ns0:c>
      <ns0:c r="V658" s="0" t="str">
        <ns0:f>IF(Bookings!E658="","Full day",Bookings!E658)</ns0:f>
        <ns0:v>Full day</ns0:v>
      </ns0:c>
      <ns0:c r="W658" s="0">
        <ns0:f>IF(J658=0,0,J658+IF(U658="PM",1,0))</ns0:f>
        <ns0:v>0</ns0:v>
      </ns0:c>
      <ns0:c r="X658" s="0">
        <ns0:f>IF(T658=0,0,T658-IF(V658="PM",1,0))</ns0:f>
        <ns0:v>0</ns0:v>
      </ns0:c>
      <ns0:c r="Y658" s="0">
        <ns0:f>IF(J658=0,0,J658+IF(U658="AM",1,0))</ns0:f>
        <ns0:v>0</ns0:v>
      </ns0:c>
      <ns0:c r="Z658" s="0">
        <ns0:f>IF(T658=0,0,T658-IF(V658="AM",1,0))</ns0:f>
        <ns0:v>0</ns0:v>
      </ns0:c>
      <ns0:c r="AA658" s="0">
        <ns0:f>IFERROR(IF(AND(J658&gt;0,'_Engine'!C658&gt;0,MID('_Engine'!W658,WEEKDAY(J658,2),1)="W",COUNTIF(Settings!$F$18:$F$67,J658)=0),1,0),0)</ns0:f>
        <ns0:v>0</ns0:v>
      </ns0:c>
      <ns0:c r="AB658" s="0">
        <ns0:f>IFERROR(IF(AND(T658&gt;0,'_Engine'!C658&gt;0,MID('_Engine'!W658,WEEKDAY(T658,2),1)="W",COUNTIF(Settings!$F$18:$F$67,T658)=0),1,0),0)</ns0:f>
        <ns0:v>0</ns0:v>
      </ns0:c>
      <ns0:c r="AC658" s="0">
        <ns0:f>IF(AND(J658&gt;0,T658&gt;0,W658&lt;=X658),1,0)</ns0:f>
        <ns0:v>0</ns0:v>
      </ns0:c>
      <ns0:c r="AD658" s="0">
        <ns0:f>IF(AND(J658&gt;0,T658&gt;0,Y658&lt;=Z658),1,0)</ns0:f>
        <ns0:v>0</ns0:v>
      </ns0:c>
    </ns0:row>
    <ns0:row r="659">
      <ns0:c r="A659" s="0">
        <ns0:f>IFERROR(IF(ISNUMBER(Bookings!B659),"",TRIM(Bookings!B659&amp;"")),"")</ns0:f>
      </ns0:c>
      <ns0:c r="B659" s="0">
        <ns0:f>IFERROR(SUBSTITUTE(SUBSTITUTE(A659,"/","."),"-","."),"")</ns0:f>
      </ns0:c>
      <ns0:c r="C659" s="0">
        <ns0:f>IFERROR(LEFT(B659,FIND(".",B659)-1),"")</ns0:f>
      </ns0:c>
      <ns0:c r="D659" s="0">
        <ns0:f>IFERROR(MID(B659,FIND(".",B659)+1,FIND(".",B659,FIND(".",B659)+1)-FIND(".",B659)-1),"")</ns0:f>
      </ns0:c>
      <ns0:c r="E659" s="0">
        <ns0:f>IFERROR(MID(B659,FIND(".",B659,FIND(".",B659)+1)+1,99),"")</ns0:f>
        <ns0:v>99</ns0:v>
      </ns0:c>
      <ns0:c r="F659" s="0">
        <ns0:f>IFERROR(IF(FIND(".",B659)=5,--C659,--E659),0)</ns0:f>
        <ns0:v>0</ns0:v>
      </ns0:c>
      <ns0:c r="G659" s="0">
        <ns0:f>IFERROR(--D659,0)</ns0:f>
        <ns0:v>0</ns0:v>
      </ns0:c>
      <ns0:c r="H659" s="0">
        <ns0:f>IFERROR(IF(FIND(".",B659)=5,--E659,--C659),0)</ns0:f>
        <ns0:v>0</ns0:v>
      </ns0:c>
      <ns0:c r="I659" s="0">
        <ns0:f>IFERROR(IF(AND(F659&gt;=2000,F659&lt;=2100,G659&gt;=1,G659&lt;=12,H659&gt;=1,H659&lt;=31),DATE(F659,G659,H659),0),0)</ns0:f>
        <ns0:v>0</ns0:v>
      </ns0:c>
      <ns0:c r="J659" s="0">
        <ns0:f>IFERROR(IF(ISNUMBER(Bookings!B659),IF(AND(Bookings!B659=INT(Bookings!B659),Bookings!B659&gt;=DATE(2000,1,1),Bookings!B659&lt;=DATE(2100,12,31)),Bookings!B659,0),IF(AND(A659&lt;&gt;"",LEN("x"&amp;B659)-LEN(SUBSTITUTE("x"&amp;B659,".",""))=2,OR(1&gt;LEN(B659),MID(B659,1,1)=".",ISNUMBER(FIND("x"&amp;MID(B659,1,1),"x0x1x2x3x4x5x6x7x8x9"))),OR(2&gt;LEN(B659),MID(B659,2,1)=".",ISNUMBER(FIND("x"&amp;MID(B659,2,1),"x0x1x2x3x4x5x6x7x8x9"))),OR(3&gt;LEN(B659),MID(B659,3,1)=".",ISNUMBER(FIND("x"&amp;MID(B659,3,1),"x0x1x2x3x4x5x6x7x8x9"))),OR(4&gt;LEN(B659),MID(B659,4,1)=".",ISNUMBER(FIND("x"&amp;MID(B659,4,1),"x0x1x2x3x4x5x6x7x8x9"))),OR(5&gt;LEN(B659),MID(B659,5,1)=".",ISNUMBER(FIND("x"&amp;MID(B659,5,1),"x0x1x2x3x4x5x6x7x8x9"))),OR(6&gt;LEN(B659),MID(B659,6,1)=".",ISNUMBER(FIND("x"&amp;MID(B659,6,1),"x0x1x2x3x4x5x6x7x8x9"))),OR(7&gt;LEN(B659),MID(B659,7,1)=".",ISNUMBER(FIND("x"&amp;MID(B659,7,1),"x0x1x2x3x4x5x6x7x8x9"))),OR(8&gt;LEN(B659),MID(B659,8,1)=".",ISNUMBER(FIND("x"&amp;MID(B659,8,1),"x0x1x2x3x4x5x6x7x8x9"))),OR(9&gt;LEN(B659),MID(B659,9,1)=".",ISNUMBER(FIND("x"&amp;MID(B659,9,1),"x0x1x2x3x4x5x6x7x8x9"))),OR(10&gt;LEN(B659),MID(B659,10,1)=".",ISNUMBER(FIND("x"&amp;MID(B659,10,1),"x0x1x2x3x4x5x6x7x8x9"))),OR(AND(FIND(".",B659)=5,LEN(B659)-FIND(".",B659,FIND(".",B659)+1)&gt;=1,LEN(B659)-FIND(".",B659,FIND(".",B659)+1)&lt;=2),AND(LEN(B659)-FIND(".",B659,FIND(".",B659)+1)=4,FIND(".",B659)&gt;=2,FIND(".",B659)&lt;=3)),FIND(".",B659,FIND(".",B659)+1)-FIND(".",B659)&gt;=2,FIND(".",B659,FIND(".",B659)+1)-FIND(".",B659)&lt;=3,F659&gt;=2000,F659&lt;=2100,YEAR(I659)=F659,MONTH(I659)=G659,DAY(I659)=H659),I659,0)),0)</ns0:f>
        <ns0:v>0</ns0:v>
      </ns0:c>
      <ns0:c r="K659" s="0">
        <ns0:f>IFERROR(IF(ISNUMBER(Bookings!D659),"",TRIM(Bookings!D659&amp;"")),"")</ns0:f>
      </ns0:c>
      <ns0:c r="L659" s="0">
        <ns0:f>IFERROR(SUBSTITUTE(SUBSTITUTE(K659,"/","."),"-","."),"")</ns0:f>
      </ns0:c>
      <ns0:c r="M659" s="0">
        <ns0:f>IFERROR(LEFT(L659,FIND(".",L659)-1),"")</ns0:f>
      </ns0:c>
      <ns0:c r="N659" s="0">
        <ns0:f>IFERROR(MID(L659,FIND(".",L659)+1,FIND(".",L659,FIND(".",L659)+1)-FIND(".",L659)-1),"")</ns0:f>
      </ns0:c>
      <ns0:c r="O659" s="0">
        <ns0:f>IFERROR(MID(L659,FIND(".",L659,FIND(".",L659)+1)+1,99),"")</ns0:f>
        <ns0:v>99</ns0:v>
      </ns0:c>
      <ns0:c r="P659" s="0">
        <ns0:f>IFERROR(IF(FIND(".",L659)=5,--M659,--O659),0)</ns0:f>
        <ns0:v>0</ns0:v>
      </ns0:c>
      <ns0:c r="Q659" s="0">
        <ns0:f>IFERROR(--N659,0)</ns0:f>
        <ns0:v>0</ns0:v>
      </ns0:c>
      <ns0:c r="R659" s="0">
        <ns0:f>IFERROR(IF(FIND(".",L659)=5,--O659,--M659),0)</ns0:f>
        <ns0:v>0</ns0:v>
      </ns0:c>
      <ns0:c r="S659" s="0">
        <ns0:f>IFERROR(IF(AND(P659&gt;=2000,P659&lt;=2100,Q659&gt;=1,Q659&lt;=12,R659&gt;=1,R659&lt;=31),DATE(P659,Q659,R659),0),0)</ns0:f>
        <ns0:v>0</ns0:v>
      </ns0:c>
      <ns0:c r="T659" s="0">
        <ns0:f>IFERROR(IF(ISNUMBER(Bookings!D659),IF(AND(Bookings!D659=INT(Bookings!D659),Bookings!D659&gt;=DATE(2000,1,1),Bookings!D659&lt;=DATE(2100,12,31)),Bookings!D659,0),IF(AND(K659&lt;&gt;"",LEN("x"&amp;L659)-LEN(SUBSTITUTE("x"&amp;L659,".",""))=2,OR(1&gt;LEN(L659),MID(L659,1,1)=".",ISNUMBER(FIND("x"&amp;MID(L659,1,1),"x0x1x2x3x4x5x6x7x8x9"))),OR(2&gt;LEN(L659),MID(L659,2,1)=".",ISNUMBER(FIND("x"&amp;MID(L659,2,1),"x0x1x2x3x4x5x6x7x8x9"))),OR(3&gt;LEN(L659),MID(L659,3,1)=".",ISNUMBER(FIND("x"&amp;MID(L659,3,1),"x0x1x2x3x4x5x6x7x8x9"))),OR(4&gt;LEN(L659),MID(L659,4,1)=".",ISNUMBER(FIND("x"&amp;MID(L659,4,1),"x0x1x2x3x4x5x6x7x8x9"))),OR(5&gt;LEN(L659),MID(L659,5,1)=".",ISNUMBER(FIND("x"&amp;MID(L659,5,1),"x0x1x2x3x4x5x6x7x8x9"))),OR(6&gt;LEN(L659),MID(L659,6,1)=".",ISNUMBER(FIND("x"&amp;MID(L659,6,1),"x0x1x2x3x4x5x6x7x8x9"))),OR(7&gt;LEN(L659),MID(L659,7,1)=".",ISNUMBER(FIND("x"&amp;MID(L659,7,1),"x0x1x2x3x4x5x6x7x8x9"))),OR(8&gt;LEN(L659),MID(L659,8,1)=".",ISNUMBER(FIND("x"&amp;MID(L659,8,1),"x0x1x2x3x4x5x6x7x8x9"))),OR(9&gt;LEN(L659),MID(L659,9,1)=".",ISNUMBER(FIND("x"&amp;MID(L659,9,1),"x0x1x2x3x4x5x6x7x8x9"))),OR(10&gt;LEN(L659),MID(L659,10,1)=".",ISNUMBER(FIND("x"&amp;MID(L659,10,1),"x0x1x2x3x4x5x6x7x8x9"))),OR(AND(FIND(".",L659)=5,LEN(L659)-FIND(".",L659,FIND(".",L659)+1)&gt;=1,LEN(L659)-FIND(".",L659,FIND(".",L659)+1)&lt;=2),AND(LEN(L659)-FIND(".",L659,FIND(".",L659)+1)=4,FIND(".",L659)&gt;=2,FIND(".",L659)&lt;=3)),FIND(".",L659,FIND(".",L659)+1)-FIND(".",L659)&gt;=2,FIND(".",L659,FIND(".",L659)+1)-FIND(".",L659)&lt;=3,P659&gt;=2000,P659&lt;=2100,YEAR(S659)=P659,MONTH(S659)=Q659,DAY(S659)=R659),S659,0)),0)</ns0:f>
        <ns0:v>0</ns0:v>
      </ns0:c>
      <ns0:c r="U659" s="0" t="str">
        <ns0:f>IF(Bookings!C659="","Full day",Bookings!C659)</ns0:f>
        <ns0:v>Full day</ns0:v>
      </ns0:c>
      <ns0:c r="V659" s="0" t="str">
        <ns0:f>IF(Bookings!E659="","Full day",Bookings!E659)</ns0:f>
        <ns0:v>Full day</ns0:v>
      </ns0:c>
      <ns0:c r="W659" s="0">
        <ns0:f>IF(J659=0,0,J659+IF(U659="PM",1,0))</ns0:f>
        <ns0:v>0</ns0:v>
      </ns0:c>
      <ns0:c r="X659" s="0">
        <ns0:f>IF(T659=0,0,T659-IF(V659="PM",1,0))</ns0:f>
        <ns0:v>0</ns0:v>
      </ns0:c>
      <ns0:c r="Y659" s="0">
        <ns0:f>IF(J659=0,0,J659+IF(U659="AM",1,0))</ns0:f>
        <ns0:v>0</ns0:v>
      </ns0:c>
      <ns0:c r="Z659" s="0">
        <ns0:f>IF(T659=0,0,T659-IF(V659="AM",1,0))</ns0:f>
        <ns0:v>0</ns0:v>
      </ns0:c>
      <ns0:c r="AA659" s="0">
        <ns0:f>IFERROR(IF(AND(J659&gt;0,'_Engine'!C659&gt;0,MID('_Engine'!W659,WEEKDAY(J659,2),1)="W",COUNTIF(Settings!$F$18:$F$67,J659)=0),1,0),0)</ns0:f>
        <ns0:v>0</ns0:v>
      </ns0:c>
      <ns0:c r="AB659" s="0">
        <ns0:f>IFERROR(IF(AND(T659&gt;0,'_Engine'!C659&gt;0,MID('_Engine'!W659,WEEKDAY(T659,2),1)="W",COUNTIF(Settings!$F$18:$F$67,T659)=0),1,0),0)</ns0:f>
        <ns0:v>0</ns0:v>
      </ns0:c>
      <ns0:c r="AC659" s="0">
        <ns0:f>IF(AND(J659&gt;0,T659&gt;0,W659&lt;=X659),1,0)</ns0:f>
        <ns0:v>0</ns0:v>
      </ns0:c>
      <ns0:c r="AD659" s="0">
        <ns0:f>IF(AND(J659&gt;0,T659&gt;0,Y659&lt;=Z659),1,0)</ns0:f>
        <ns0:v>0</ns0:v>
      </ns0:c>
    </ns0:row>
    <ns0:row r="660">
      <ns0:c r="A660" s="0">
        <ns0:f>IFERROR(IF(ISNUMBER(Bookings!B660),"",TRIM(Bookings!B660&amp;"")),"")</ns0:f>
      </ns0:c>
      <ns0:c r="B660" s="0">
        <ns0:f>IFERROR(SUBSTITUTE(SUBSTITUTE(A660,"/","."),"-","."),"")</ns0:f>
      </ns0:c>
      <ns0:c r="C660" s="0">
        <ns0:f>IFERROR(LEFT(B660,FIND(".",B660)-1),"")</ns0:f>
      </ns0:c>
      <ns0:c r="D660" s="0">
        <ns0:f>IFERROR(MID(B660,FIND(".",B660)+1,FIND(".",B660,FIND(".",B660)+1)-FIND(".",B660)-1),"")</ns0:f>
      </ns0:c>
      <ns0:c r="E660" s="0">
        <ns0:f>IFERROR(MID(B660,FIND(".",B660,FIND(".",B660)+1)+1,99),"")</ns0:f>
        <ns0:v>99</ns0:v>
      </ns0:c>
      <ns0:c r="F660" s="0">
        <ns0:f>IFERROR(IF(FIND(".",B660)=5,--C660,--E660),0)</ns0:f>
        <ns0:v>0</ns0:v>
      </ns0:c>
      <ns0:c r="G660" s="0">
        <ns0:f>IFERROR(--D660,0)</ns0:f>
        <ns0:v>0</ns0:v>
      </ns0:c>
      <ns0:c r="H660" s="0">
        <ns0:f>IFERROR(IF(FIND(".",B660)=5,--E660,--C660),0)</ns0:f>
        <ns0:v>0</ns0:v>
      </ns0:c>
      <ns0:c r="I660" s="0">
        <ns0:f>IFERROR(IF(AND(F660&gt;=2000,F660&lt;=2100,G660&gt;=1,G660&lt;=12,H660&gt;=1,H660&lt;=31),DATE(F660,G660,H660),0),0)</ns0:f>
        <ns0:v>0</ns0:v>
      </ns0:c>
      <ns0:c r="J660" s="0">
        <ns0:f>IFERROR(IF(ISNUMBER(Bookings!B660),IF(AND(Bookings!B660=INT(Bookings!B660),Bookings!B660&gt;=DATE(2000,1,1),Bookings!B660&lt;=DATE(2100,12,31)),Bookings!B660,0),IF(AND(A660&lt;&gt;"",LEN("x"&amp;B660)-LEN(SUBSTITUTE("x"&amp;B660,".",""))=2,OR(1&gt;LEN(B660),MID(B660,1,1)=".",ISNUMBER(FIND("x"&amp;MID(B660,1,1),"x0x1x2x3x4x5x6x7x8x9"))),OR(2&gt;LEN(B660),MID(B660,2,1)=".",ISNUMBER(FIND("x"&amp;MID(B660,2,1),"x0x1x2x3x4x5x6x7x8x9"))),OR(3&gt;LEN(B660),MID(B660,3,1)=".",ISNUMBER(FIND("x"&amp;MID(B660,3,1),"x0x1x2x3x4x5x6x7x8x9"))),OR(4&gt;LEN(B660),MID(B660,4,1)=".",ISNUMBER(FIND("x"&amp;MID(B660,4,1),"x0x1x2x3x4x5x6x7x8x9"))),OR(5&gt;LEN(B660),MID(B660,5,1)=".",ISNUMBER(FIND("x"&amp;MID(B660,5,1),"x0x1x2x3x4x5x6x7x8x9"))),OR(6&gt;LEN(B660),MID(B660,6,1)=".",ISNUMBER(FIND("x"&amp;MID(B660,6,1),"x0x1x2x3x4x5x6x7x8x9"))),OR(7&gt;LEN(B660),MID(B660,7,1)=".",ISNUMBER(FIND("x"&amp;MID(B660,7,1),"x0x1x2x3x4x5x6x7x8x9"))),OR(8&gt;LEN(B660),MID(B660,8,1)=".",ISNUMBER(FIND("x"&amp;MID(B660,8,1),"x0x1x2x3x4x5x6x7x8x9"))),OR(9&gt;LEN(B660),MID(B660,9,1)=".",ISNUMBER(FIND("x"&amp;MID(B660,9,1),"x0x1x2x3x4x5x6x7x8x9"))),OR(10&gt;LEN(B660),MID(B660,10,1)=".",ISNUMBER(FIND("x"&amp;MID(B660,10,1),"x0x1x2x3x4x5x6x7x8x9"))),OR(AND(FIND(".",B660)=5,LEN(B660)-FIND(".",B660,FIND(".",B660)+1)&gt;=1,LEN(B660)-FIND(".",B660,FIND(".",B660)+1)&lt;=2),AND(LEN(B660)-FIND(".",B660,FIND(".",B660)+1)=4,FIND(".",B660)&gt;=2,FIND(".",B660)&lt;=3)),FIND(".",B660,FIND(".",B660)+1)-FIND(".",B660)&gt;=2,FIND(".",B660,FIND(".",B660)+1)-FIND(".",B660)&lt;=3,F660&gt;=2000,F660&lt;=2100,YEAR(I660)=F660,MONTH(I660)=G660,DAY(I660)=H660),I660,0)),0)</ns0:f>
        <ns0:v>0</ns0:v>
      </ns0:c>
      <ns0:c r="K660" s="0">
        <ns0:f>IFERROR(IF(ISNUMBER(Bookings!D660),"",TRIM(Bookings!D660&amp;"")),"")</ns0:f>
      </ns0:c>
      <ns0:c r="L660" s="0">
        <ns0:f>IFERROR(SUBSTITUTE(SUBSTITUTE(K660,"/","."),"-","."),"")</ns0:f>
      </ns0:c>
      <ns0:c r="M660" s="0">
        <ns0:f>IFERROR(LEFT(L660,FIND(".",L660)-1),"")</ns0:f>
      </ns0:c>
      <ns0:c r="N660" s="0">
        <ns0:f>IFERROR(MID(L660,FIND(".",L660)+1,FIND(".",L660,FIND(".",L660)+1)-FIND(".",L660)-1),"")</ns0:f>
      </ns0:c>
      <ns0:c r="O660" s="0">
        <ns0:f>IFERROR(MID(L660,FIND(".",L660,FIND(".",L660)+1)+1,99),"")</ns0:f>
        <ns0:v>99</ns0:v>
      </ns0:c>
      <ns0:c r="P660" s="0">
        <ns0:f>IFERROR(IF(FIND(".",L660)=5,--M660,--O660),0)</ns0:f>
        <ns0:v>0</ns0:v>
      </ns0:c>
      <ns0:c r="Q660" s="0">
        <ns0:f>IFERROR(--N660,0)</ns0:f>
        <ns0:v>0</ns0:v>
      </ns0:c>
      <ns0:c r="R660" s="0">
        <ns0:f>IFERROR(IF(FIND(".",L660)=5,--O660,--M660),0)</ns0:f>
        <ns0:v>0</ns0:v>
      </ns0:c>
      <ns0:c r="S660" s="0">
        <ns0:f>IFERROR(IF(AND(P660&gt;=2000,P660&lt;=2100,Q660&gt;=1,Q660&lt;=12,R660&gt;=1,R660&lt;=31),DATE(P660,Q660,R660),0),0)</ns0:f>
        <ns0:v>0</ns0:v>
      </ns0:c>
      <ns0:c r="T660" s="0">
        <ns0:f>IFERROR(IF(ISNUMBER(Bookings!D660),IF(AND(Bookings!D660=INT(Bookings!D660),Bookings!D660&gt;=DATE(2000,1,1),Bookings!D660&lt;=DATE(2100,12,31)),Bookings!D660,0),IF(AND(K660&lt;&gt;"",LEN("x"&amp;L660)-LEN(SUBSTITUTE("x"&amp;L660,".",""))=2,OR(1&gt;LEN(L660),MID(L660,1,1)=".",ISNUMBER(FIND("x"&amp;MID(L660,1,1),"x0x1x2x3x4x5x6x7x8x9"))),OR(2&gt;LEN(L660),MID(L660,2,1)=".",ISNUMBER(FIND("x"&amp;MID(L660,2,1),"x0x1x2x3x4x5x6x7x8x9"))),OR(3&gt;LEN(L660),MID(L660,3,1)=".",ISNUMBER(FIND("x"&amp;MID(L660,3,1),"x0x1x2x3x4x5x6x7x8x9"))),OR(4&gt;LEN(L660),MID(L660,4,1)=".",ISNUMBER(FIND("x"&amp;MID(L660,4,1),"x0x1x2x3x4x5x6x7x8x9"))),OR(5&gt;LEN(L660),MID(L660,5,1)=".",ISNUMBER(FIND("x"&amp;MID(L660,5,1),"x0x1x2x3x4x5x6x7x8x9"))),OR(6&gt;LEN(L660),MID(L660,6,1)=".",ISNUMBER(FIND("x"&amp;MID(L660,6,1),"x0x1x2x3x4x5x6x7x8x9"))),OR(7&gt;LEN(L660),MID(L660,7,1)=".",ISNUMBER(FIND("x"&amp;MID(L660,7,1),"x0x1x2x3x4x5x6x7x8x9"))),OR(8&gt;LEN(L660),MID(L660,8,1)=".",ISNUMBER(FIND("x"&amp;MID(L660,8,1),"x0x1x2x3x4x5x6x7x8x9"))),OR(9&gt;LEN(L660),MID(L660,9,1)=".",ISNUMBER(FIND("x"&amp;MID(L660,9,1),"x0x1x2x3x4x5x6x7x8x9"))),OR(10&gt;LEN(L660),MID(L660,10,1)=".",ISNUMBER(FIND("x"&amp;MID(L660,10,1),"x0x1x2x3x4x5x6x7x8x9"))),OR(AND(FIND(".",L660)=5,LEN(L660)-FIND(".",L660,FIND(".",L660)+1)&gt;=1,LEN(L660)-FIND(".",L660,FIND(".",L660)+1)&lt;=2),AND(LEN(L660)-FIND(".",L660,FIND(".",L660)+1)=4,FIND(".",L660)&gt;=2,FIND(".",L660)&lt;=3)),FIND(".",L660,FIND(".",L660)+1)-FIND(".",L660)&gt;=2,FIND(".",L660,FIND(".",L660)+1)-FIND(".",L660)&lt;=3,P660&gt;=2000,P660&lt;=2100,YEAR(S660)=P660,MONTH(S660)=Q660,DAY(S660)=R660),S660,0)),0)</ns0:f>
        <ns0:v>0</ns0:v>
      </ns0:c>
      <ns0:c r="U660" s="0" t="str">
        <ns0:f>IF(Bookings!C660="","Full day",Bookings!C660)</ns0:f>
        <ns0:v>Full day</ns0:v>
      </ns0:c>
      <ns0:c r="V660" s="0" t="str">
        <ns0:f>IF(Bookings!E660="","Full day",Bookings!E660)</ns0:f>
        <ns0:v>Full day</ns0:v>
      </ns0:c>
      <ns0:c r="W660" s="0">
        <ns0:f>IF(J660=0,0,J660+IF(U660="PM",1,0))</ns0:f>
        <ns0:v>0</ns0:v>
      </ns0:c>
      <ns0:c r="X660" s="0">
        <ns0:f>IF(T660=0,0,T660-IF(V660="PM",1,0))</ns0:f>
        <ns0:v>0</ns0:v>
      </ns0:c>
      <ns0:c r="Y660" s="0">
        <ns0:f>IF(J660=0,0,J660+IF(U660="AM",1,0))</ns0:f>
        <ns0:v>0</ns0:v>
      </ns0:c>
      <ns0:c r="Z660" s="0">
        <ns0:f>IF(T660=0,0,T660-IF(V660="AM",1,0))</ns0:f>
        <ns0:v>0</ns0:v>
      </ns0:c>
      <ns0:c r="AA660" s="0">
        <ns0:f>IFERROR(IF(AND(J660&gt;0,'_Engine'!C660&gt;0,MID('_Engine'!W660,WEEKDAY(J660,2),1)="W",COUNTIF(Settings!$F$18:$F$67,J660)=0),1,0),0)</ns0:f>
        <ns0:v>0</ns0:v>
      </ns0:c>
      <ns0:c r="AB660" s="0">
        <ns0:f>IFERROR(IF(AND(T660&gt;0,'_Engine'!C660&gt;0,MID('_Engine'!W660,WEEKDAY(T660,2),1)="W",COUNTIF(Settings!$F$18:$F$67,T660)=0),1,0),0)</ns0:f>
        <ns0:v>0</ns0:v>
      </ns0:c>
      <ns0:c r="AC660" s="0">
        <ns0:f>IF(AND(J660&gt;0,T660&gt;0,W660&lt;=X660),1,0)</ns0:f>
        <ns0:v>0</ns0:v>
      </ns0:c>
      <ns0:c r="AD660" s="0">
        <ns0:f>IF(AND(J660&gt;0,T660&gt;0,Y660&lt;=Z660),1,0)</ns0:f>
        <ns0:v>0</ns0:v>
      </ns0:c>
    </ns0:row>
    <ns0:row r="661">
      <ns0:c r="A661" s="0">
        <ns0:f>IFERROR(IF(ISNUMBER(Bookings!B661),"",TRIM(Bookings!B661&amp;"")),"")</ns0:f>
      </ns0:c>
      <ns0:c r="B661" s="0">
        <ns0:f>IFERROR(SUBSTITUTE(SUBSTITUTE(A661,"/","."),"-","."),"")</ns0:f>
      </ns0:c>
      <ns0:c r="C661" s="0">
        <ns0:f>IFERROR(LEFT(B661,FIND(".",B661)-1),"")</ns0:f>
      </ns0:c>
      <ns0:c r="D661" s="0">
        <ns0:f>IFERROR(MID(B661,FIND(".",B661)+1,FIND(".",B661,FIND(".",B661)+1)-FIND(".",B661)-1),"")</ns0:f>
      </ns0:c>
      <ns0:c r="E661" s="0">
        <ns0:f>IFERROR(MID(B661,FIND(".",B661,FIND(".",B661)+1)+1,99),"")</ns0:f>
        <ns0:v>99</ns0:v>
      </ns0:c>
      <ns0:c r="F661" s="0">
        <ns0:f>IFERROR(IF(FIND(".",B661)=5,--C661,--E661),0)</ns0:f>
        <ns0:v>0</ns0:v>
      </ns0:c>
      <ns0:c r="G661" s="0">
        <ns0:f>IFERROR(--D661,0)</ns0:f>
        <ns0:v>0</ns0:v>
      </ns0:c>
      <ns0:c r="H661" s="0">
        <ns0:f>IFERROR(IF(FIND(".",B661)=5,--E661,--C661),0)</ns0:f>
        <ns0:v>0</ns0:v>
      </ns0:c>
      <ns0:c r="I661" s="0">
        <ns0:f>IFERROR(IF(AND(F661&gt;=2000,F661&lt;=2100,G661&gt;=1,G661&lt;=12,H661&gt;=1,H661&lt;=31),DATE(F661,G661,H661),0),0)</ns0:f>
        <ns0:v>0</ns0:v>
      </ns0:c>
      <ns0:c r="J661" s="0">
        <ns0:f>IFERROR(IF(ISNUMBER(Bookings!B661),IF(AND(Bookings!B661=INT(Bookings!B661),Bookings!B661&gt;=DATE(2000,1,1),Bookings!B661&lt;=DATE(2100,12,31)),Bookings!B661,0),IF(AND(A661&lt;&gt;"",LEN("x"&amp;B661)-LEN(SUBSTITUTE("x"&amp;B661,".",""))=2,OR(1&gt;LEN(B661),MID(B661,1,1)=".",ISNUMBER(FIND("x"&amp;MID(B661,1,1),"x0x1x2x3x4x5x6x7x8x9"))),OR(2&gt;LEN(B661),MID(B661,2,1)=".",ISNUMBER(FIND("x"&amp;MID(B661,2,1),"x0x1x2x3x4x5x6x7x8x9"))),OR(3&gt;LEN(B661),MID(B661,3,1)=".",ISNUMBER(FIND("x"&amp;MID(B661,3,1),"x0x1x2x3x4x5x6x7x8x9"))),OR(4&gt;LEN(B661),MID(B661,4,1)=".",ISNUMBER(FIND("x"&amp;MID(B661,4,1),"x0x1x2x3x4x5x6x7x8x9"))),OR(5&gt;LEN(B661),MID(B661,5,1)=".",ISNUMBER(FIND("x"&amp;MID(B661,5,1),"x0x1x2x3x4x5x6x7x8x9"))),OR(6&gt;LEN(B661),MID(B661,6,1)=".",ISNUMBER(FIND("x"&amp;MID(B661,6,1),"x0x1x2x3x4x5x6x7x8x9"))),OR(7&gt;LEN(B661),MID(B661,7,1)=".",ISNUMBER(FIND("x"&amp;MID(B661,7,1),"x0x1x2x3x4x5x6x7x8x9"))),OR(8&gt;LEN(B661),MID(B661,8,1)=".",ISNUMBER(FIND("x"&amp;MID(B661,8,1),"x0x1x2x3x4x5x6x7x8x9"))),OR(9&gt;LEN(B661),MID(B661,9,1)=".",ISNUMBER(FIND("x"&amp;MID(B661,9,1),"x0x1x2x3x4x5x6x7x8x9"))),OR(10&gt;LEN(B661),MID(B661,10,1)=".",ISNUMBER(FIND("x"&amp;MID(B661,10,1),"x0x1x2x3x4x5x6x7x8x9"))),OR(AND(FIND(".",B661)=5,LEN(B661)-FIND(".",B661,FIND(".",B661)+1)&gt;=1,LEN(B661)-FIND(".",B661,FIND(".",B661)+1)&lt;=2),AND(LEN(B661)-FIND(".",B661,FIND(".",B661)+1)=4,FIND(".",B661)&gt;=2,FIND(".",B661)&lt;=3)),FIND(".",B661,FIND(".",B661)+1)-FIND(".",B661)&gt;=2,FIND(".",B661,FIND(".",B661)+1)-FIND(".",B661)&lt;=3,F661&gt;=2000,F661&lt;=2100,YEAR(I661)=F661,MONTH(I661)=G661,DAY(I661)=H661),I661,0)),0)</ns0:f>
        <ns0:v>0</ns0:v>
      </ns0:c>
      <ns0:c r="K661" s="0">
        <ns0:f>IFERROR(IF(ISNUMBER(Bookings!D661),"",TRIM(Bookings!D661&amp;"")),"")</ns0:f>
      </ns0:c>
      <ns0:c r="L661" s="0">
        <ns0:f>IFERROR(SUBSTITUTE(SUBSTITUTE(K661,"/","."),"-","."),"")</ns0:f>
      </ns0:c>
      <ns0:c r="M661" s="0">
        <ns0:f>IFERROR(LEFT(L661,FIND(".",L661)-1),"")</ns0:f>
      </ns0:c>
      <ns0:c r="N661" s="0">
        <ns0:f>IFERROR(MID(L661,FIND(".",L661)+1,FIND(".",L661,FIND(".",L661)+1)-FIND(".",L661)-1),"")</ns0:f>
      </ns0:c>
      <ns0:c r="O661" s="0">
        <ns0:f>IFERROR(MID(L661,FIND(".",L661,FIND(".",L661)+1)+1,99),"")</ns0:f>
        <ns0:v>99</ns0:v>
      </ns0:c>
      <ns0:c r="P661" s="0">
        <ns0:f>IFERROR(IF(FIND(".",L661)=5,--M661,--O661),0)</ns0:f>
        <ns0:v>0</ns0:v>
      </ns0:c>
      <ns0:c r="Q661" s="0">
        <ns0:f>IFERROR(--N661,0)</ns0:f>
        <ns0:v>0</ns0:v>
      </ns0:c>
      <ns0:c r="R661" s="0">
        <ns0:f>IFERROR(IF(FIND(".",L661)=5,--O661,--M661),0)</ns0:f>
        <ns0:v>0</ns0:v>
      </ns0:c>
      <ns0:c r="S661" s="0">
        <ns0:f>IFERROR(IF(AND(P661&gt;=2000,P661&lt;=2100,Q661&gt;=1,Q661&lt;=12,R661&gt;=1,R661&lt;=31),DATE(P661,Q661,R661),0),0)</ns0:f>
        <ns0:v>0</ns0:v>
      </ns0:c>
      <ns0:c r="T661" s="0">
        <ns0:f>IFERROR(IF(ISNUMBER(Bookings!D661),IF(AND(Bookings!D661=INT(Bookings!D661),Bookings!D661&gt;=DATE(2000,1,1),Bookings!D661&lt;=DATE(2100,12,31)),Bookings!D661,0),IF(AND(K661&lt;&gt;"",LEN("x"&amp;L661)-LEN(SUBSTITUTE("x"&amp;L661,".",""))=2,OR(1&gt;LEN(L661),MID(L661,1,1)=".",ISNUMBER(FIND("x"&amp;MID(L661,1,1),"x0x1x2x3x4x5x6x7x8x9"))),OR(2&gt;LEN(L661),MID(L661,2,1)=".",ISNUMBER(FIND("x"&amp;MID(L661,2,1),"x0x1x2x3x4x5x6x7x8x9"))),OR(3&gt;LEN(L661),MID(L661,3,1)=".",ISNUMBER(FIND("x"&amp;MID(L661,3,1),"x0x1x2x3x4x5x6x7x8x9"))),OR(4&gt;LEN(L661),MID(L661,4,1)=".",ISNUMBER(FIND("x"&amp;MID(L661,4,1),"x0x1x2x3x4x5x6x7x8x9"))),OR(5&gt;LEN(L661),MID(L661,5,1)=".",ISNUMBER(FIND("x"&amp;MID(L661,5,1),"x0x1x2x3x4x5x6x7x8x9"))),OR(6&gt;LEN(L661),MID(L661,6,1)=".",ISNUMBER(FIND("x"&amp;MID(L661,6,1),"x0x1x2x3x4x5x6x7x8x9"))),OR(7&gt;LEN(L661),MID(L661,7,1)=".",ISNUMBER(FIND("x"&amp;MID(L661,7,1),"x0x1x2x3x4x5x6x7x8x9"))),OR(8&gt;LEN(L661),MID(L661,8,1)=".",ISNUMBER(FIND("x"&amp;MID(L661,8,1),"x0x1x2x3x4x5x6x7x8x9"))),OR(9&gt;LEN(L661),MID(L661,9,1)=".",ISNUMBER(FIND("x"&amp;MID(L661,9,1),"x0x1x2x3x4x5x6x7x8x9"))),OR(10&gt;LEN(L661),MID(L661,10,1)=".",ISNUMBER(FIND("x"&amp;MID(L661,10,1),"x0x1x2x3x4x5x6x7x8x9"))),OR(AND(FIND(".",L661)=5,LEN(L661)-FIND(".",L661,FIND(".",L661)+1)&gt;=1,LEN(L661)-FIND(".",L661,FIND(".",L661)+1)&lt;=2),AND(LEN(L661)-FIND(".",L661,FIND(".",L661)+1)=4,FIND(".",L661)&gt;=2,FIND(".",L661)&lt;=3)),FIND(".",L661,FIND(".",L661)+1)-FIND(".",L661)&gt;=2,FIND(".",L661,FIND(".",L661)+1)-FIND(".",L661)&lt;=3,P661&gt;=2000,P661&lt;=2100,YEAR(S661)=P661,MONTH(S661)=Q661,DAY(S661)=R661),S661,0)),0)</ns0:f>
        <ns0:v>0</ns0:v>
      </ns0:c>
      <ns0:c r="U661" s="0" t="str">
        <ns0:f>IF(Bookings!C661="","Full day",Bookings!C661)</ns0:f>
        <ns0:v>Full day</ns0:v>
      </ns0:c>
      <ns0:c r="V661" s="0" t="str">
        <ns0:f>IF(Bookings!E661="","Full day",Bookings!E661)</ns0:f>
        <ns0:v>Full day</ns0:v>
      </ns0:c>
      <ns0:c r="W661" s="0">
        <ns0:f>IF(J661=0,0,J661+IF(U661="PM",1,0))</ns0:f>
        <ns0:v>0</ns0:v>
      </ns0:c>
      <ns0:c r="X661" s="0">
        <ns0:f>IF(T661=0,0,T661-IF(V661="PM",1,0))</ns0:f>
        <ns0:v>0</ns0:v>
      </ns0:c>
      <ns0:c r="Y661" s="0">
        <ns0:f>IF(J661=0,0,J661+IF(U661="AM",1,0))</ns0:f>
        <ns0:v>0</ns0:v>
      </ns0:c>
      <ns0:c r="Z661" s="0">
        <ns0:f>IF(T661=0,0,T661-IF(V661="AM",1,0))</ns0:f>
        <ns0:v>0</ns0:v>
      </ns0:c>
      <ns0:c r="AA661" s="0">
        <ns0:f>IFERROR(IF(AND(J661&gt;0,'_Engine'!C661&gt;0,MID('_Engine'!W661,WEEKDAY(J661,2),1)="W",COUNTIF(Settings!$F$18:$F$67,J661)=0),1,0),0)</ns0:f>
        <ns0:v>0</ns0:v>
      </ns0:c>
      <ns0:c r="AB661" s="0">
        <ns0:f>IFERROR(IF(AND(T661&gt;0,'_Engine'!C661&gt;0,MID('_Engine'!W661,WEEKDAY(T661,2),1)="W",COUNTIF(Settings!$F$18:$F$67,T661)=0),1,0),0)</ns0:f>
        <ns0:v>0</ns0:v>
      </ns0:c>
      <ns0:c r="AC661" s="0">
        <ns0:f>IF(AND(J661&gt;0,T661&gt;0,W661&lt;=X661),1,0)</ns0:f>
        <ns0:v>0</ns0:v>
      </ns0:c>
      <ns0:c r="AD661" s="0">
        <ns0:f>IF(AND(J661&gt;0,T661&gt;0,Y661&lt;=Z661),1,0)</ns0:f>
        <ns0:v>0</ns0:v>
      </ns0:c>
    </ns0:row>
    <ns0:row r="662">
      <ns0:c r="A662" s="0">
        <ns0:f>IFERROR(IF(ISNUMBER(Bookings!B662),"",TRIM(Bookings!B662&amp;"")),"")</ns0:f>
      </ns0:c>
      <ns0:c r="B662" s="0">
        <ns0:f>IFERROR(SUBSTITUTE(SUBSTITUTE(A662,"/","."),"-","."),"")</ns0:f>
      </ns0:c>
      <ns0:c r="C662" s="0">
        <ns0:f>IFERROR(LEFT(B662,FIND(".",B662)-1),"")</ns0:f>
      </ns0:c>
      <ns0:c r="D662" s="0">
        <ns0:f>IFERROR(MID(B662,FIND(".",B662)+1,FIND(".",B662,FIND(".",B662)+1)-FIND(".",B662)-1),"")</ns0:f>
      </ns0:c>
      <ns0:c r="E662" s="0">
        <ns0:f>IFERROR(MID(B662,FIND(".",B662,FIND(".",B662)+1)+1,99),"")</ns0:f>
        <ns0:v>99</ns0:v>
      </ns0:c>
      <ns0:c r="F662" s="0">
        <ns0:f>IFERROR(IF(FIND(".",B662)=5,--C662,--E662),0)</ns0:f>
        <ns0:v>0</ns0:v>
      </ns0:c>
      <ns0:c r="G662" s="0">
        <ns0:f>IFERROR(--D662,0)</ns0:f>
        <ns0:v>0</ns0:v>
      </ns0:c>
      <ns0:c r="H662" s="0">
        <ns0:f>IFERROR(IF(FIND(".",B662)=5,--E662,--C662),0)</ns0:f>
        <ns0:v>0</ns0:v>
      </ns0:c>
      <ns0:c r="I662" s="0">
        <ns0:f>IFERROR(IF(AND(F662&gt;=2000,F662&lt;=2100,G662&gt;=1,G662&lt;=12,H662&gt;=1,H662&lt;=31),DATE(F662,G662,H662),0),0)</ns0:f>
        <ns0:v>0</ns0:v>
      </ns0:c>
      <ns0:c r="J662" s="0">
        <ns0:f>IFERROR(IF(ISNUMBER(Bookings!B662),IF(AND(Bookings!B662=INT(Bookings!B662),Bookings!B662&gt;=DATE(2000,1,1),Bookings!B662&lt;=DATE(2100,12,31)),Bookings!B662,0),IF(AND(A662&lt;&gt;"",LEN("x"&amp;B662)-LEN(SUBSTITUTE("x"&amp;B662,".",""))=2,OR(1&gt;LEN(B662),MID(B662,1,1)=".",ISNUMBER(FIND("x"&amp;MID(B662,1,1),"x0x1x2x3x4x5x6x7x8x9"))),OR(2&gt;LEN(B662),MID(B662,2,1)=".",ISNUMBER(FIND("x"&amp;MID(B662,2,1),"x0x1x2x3x4x5x6x7x8x9"))),OR(3&gt;LEN(B662),MID(B662,3,1)=".",ISNUMBER(FIND("x"&amp;MID(B662,3,1),"x0x1x2x3x4x5x6x7x8x9"))),OR(4&gt;LEN(B662),MID(B662,4,1)=".",ISNUMBER(FIND("x"&amp;MID(B662,4,1),"x0x1x2x3x4x5x6x7x8x9"))),OR(5&gt;LEN(B662),MID(B662,5,1)=".",ISNUMBER(FIND("x"&amp;MID(B662,5,1),"x0x1x2x3x4x5x6x7x8x9"))),OR(6&gt;LEN(B662),MID(B662,6,1)=".",ISNUMBER(FIND("x"&amp;MID(B662,6,1),"x0x1x2x3x4x5x6x7x8x9"))),OR(7&gt;LEN(B662),MID(B662,7,1)=".",ISNUMBER(FIND("x"&amp;MID(B662,7,1),"x0x1x2x3x4x5x6x7x8x9"))),OR(8&gt;LEN(B662),MID(B662,8,1)=".",ISNUMBER(FIND("x"&amp;MID(B662,8,1),"x0x1x2x3x4x5x6x7x8x9"))),OR(9&gt;LEN(B662),MID(B662,9,1)=".",ISNUMBER(FIND("x"&amp;MID(B662,9,1),"x0x1x2x3x4x5x6x7x8x9"))),OR(10&gt;LEN(B662),MID(B662,10,1)=".",ISNUMBER(FIND("x"&amp;MID(B662,10,1),"x0x1x2x3x4x5x6x7x8x9"))),OR(AND(FIND(".",B662)=5,LEN(B662)-FIND(".",B662,FIND(".",B662)+1)&gt;=1,LEN(B662)-FIND(".",B662,FIND(".",B662)+1)&lt;=2),AND(LEN(B662)-FIND(".",B662,FIND(".",B662)+1)=4,FIND(".",B662)&gt;=2,FIND(".",B662)&lt;=3)),FIND(".",B662,FIND(".",B662)+1)-FIND(".",B662)&gt;=2,FIND(".",B662,FIND(".",B662)+1)-FIND(".",B662)&lt;=3,F662&gt;=2000,F662&lt;=2100,YEAR(I662)=F662,MONTH(I662)=G662,DAY(I662)=H662),I662,0)),0)</ns0:f>
        <ns0:v>0</ns0:v>
      </ns0:c>
      <ns0:c r="K662" s="0">
        <ns0:f>IFERROR(IF(ISNUMBER(Bookings!D662),"",TRIM(Bookings!D662&amp;"")),"")</ns0:f>
      </ns0:c>
      <ns0:c r="L662" s="0">
        <ns0:f>IFERROR(SUBSTITUTE(SUBSTITUTE(K662,"/","."),"-","."),"")</ns0:f>
      </ns0:c>
      <ns0:c r="M662" s="0">
        <ns0:f>IFERROR(LEFT(L662,FIND(".",L662)-1),"")</ns0:f>
      </ns0:c>
      <ns0:c r="N662" s="0">
        <ns0:f>IFERROR(MID(L662,FIND(".",L662)+1,FIND(".",L662,FIND(".",L662)+1)-FIND(".",L662)-1),"")</ns0:f>
      </ns0:c>
      <ns0:c r="O662" s="0">
        <ns0:f>IFERROR(MID(L662,FIND(".",L662,FIND(".",L662)+1)+1,99),"")</ns0:f>
        <ns0:v>99</ns0:v>
      </ns0:c>
      <ns0:c r="P662" s="0">
        <ns0:f>IFERROR(IF(FIND(".",L662)=5,--M662,--O662),0)</ns0:f>
        <ns0:v>0</ns0:v>
      </ns0:c>
      <ns0:c r="Q662" s="0">
        <ns0:f>IFERROR(--N662,0)</ns0:f>
        <ns0:v>0</ns0:v>
      </ns0:c>
      <ns0:c r="R662" s="0">
        <ns0:f>IFERROR(IF(FIND(".",L662)=5,--O662,--M662),0)</ns0:f>
        <ns0:v>0</ns0:v>
      </ns0:c>
      <ns0:c r="S662" s="0">
        <ns0:f>IFERROR(IF(AND(P662&gt;=2000,P662&lt;=2100,Q662&gt;=1,Q662&lt;=12,R662&gt;=1,R662&lt;=31),DATE(P662,Q662,R662),0),0)</ns0:f>
        <ns0:v>0</ns0:v>
      </ns0:c>
      <ns0:c r="T662" s="0">
        <ns0:f>IFERROR(IF(ISNUMBER(Bookings!D662),IF(AND(Bookings!D662=INT(Bookings!D662),Bookings!D662&gt;=DATE(2000,1,1),Bookings!D662&lt;=DATE(2100,12,31)),Bookings!D662,0),IF(AND(K662&lt;&gt;"",LEN("x"&amp;L662)-LEN(SUBSTITUTE("x"&amp;L662,".",""))=2,OR(1&gt;LEN(L662),MID(L662,1,1)=".",ISNUMBER(FIND("x"&amp;MID(L662,1,1),"x0x1x2x3x4x5x6x7x8x9"))),OR(2&gt;LEN(L662),MID(L662,2,1)=".",ISNUMBER(FIND("x"&amp;MID(L662,2,1),"x0x1x2x3x4x5x6x7x8x9"))),OR(3&gt;LEN(L662),MID(L662,3,1)=".",ISNUMBER(FIND("x"&amp;MID(L662,3,1),"x0x1x2x3x4x5x6x7x8x9"))),OR(4&gt;LEN(L662),MID(L662,4,1)=".",ISNUMBER(FIND("x"&amp;MID(L662,4,1),"x0x1x2x3x4x5x6x7x8x9"))),OR(5&gt;LEN(L662),MID(L662,5,1)=".",ISNUMBER(FIND("x"&amp;MID(L662,5,1),"x0x1x2x3x4x5x6x7x8x9"))),OR(6&gt;LEN(L662),MID(L662,6,1)=".",ISNUMBER(FIND("x"&amp;MID(L662,6,1),"x0x1x2x3x4x5x6x7x8x9"))),OR(7&gt;LEN(L662),MID(L662,7,1)=".",ISNUMBER(FIND("x"&amp;MID(L662,7,1),"x0x1x2x3x4x5x6x7x8x9"))),OR(8&gt;LEN(L662),MID(L662,8,1)=".",ISNUMBER(FIND("x"&amp;MID(L662,8,1),"x0x1x2x3x4x5x6x7x8x9"))),OR(9&gt;LEN(L662),MID(L662,9,1)=".",ISNUMBER(FIND("x"&amp;MID(L662,9,1),"x0x1x2x3x4x5x6x7x8x9"))),OR(10&gt;LEN(L662),MID(L662,10,1)=".",ISNUMBER(FIND("x"&amp;MID(L662,10,1),"x0x1x2x3x4x5x6x7x8x9"))),OR(AND(FIND(".",L662)=5,LEN(L662)-FIND(".",L662,FIND(".",L662)+1)&gt;=1,LEN(L662)-FIND(".",L662,FIND(".",L662)+1)&lt;=2),AND(LEN(L662)-FIND(".",L662,FIND(".",L662)+1)=4,FIND(".",L662)&gt;=2,FIND(".",L662)&lt;=3)),FIND(".",L662,FIND(".",L662)+1)-FIND(".",L662)&gt;=2,FIND(".",L662,FIND(".",L662)+1)-FIND(".",L662)&lt;=3,P662&gt;=2000,P662&lt;=2100,YEAR(S662)=P662,MONTH(S662)=Q662,DAY(S662)=R662),S662,0)),0)</ns0:f>
        <ns0:v>0</ns0:v>
      </ns0:c>
      <ns0:c r="U662" s="0" t="str">
        <ns0:f>IF(Bookings!C662="","Full day",Bookings!C662)</ns0:f>
        <ns0:v>Full day</ns0:v>
      </ns0:c>
      <ns0:c r="V662" s="0" t="str">
        <ns0:f>IF(Bookings!E662="","Full day",Bookings!E662)</ns0:f>
        <ns0:v>Full day</ns0:v>
      </ns0:c>
      <ns0:c r="W662" s="0">
        <ns0:f>IF(J662=0,0,J662+IF(U662="PM",1,0))</ns0:f>
        <ns0:v>0</ns0:v>
      </ns0:c>
      <ns0:c r="X662" s="0">
        <ns0:f>IF(T662=0,0,T662-IF(V662="PM",1,0))</ns0:f>
        <ns0:v>0</ns0:v>
      </ns0:c>
      <ns0:c r="Y662" s="0">
        <ns0:f>IF(J662=0,0,J662+IF(U662="AM",1,0))</ns0:f>
        <ns0:v>0</ns0:v>
      </ns0:c>
      <ns0:c r="Z662" s="0">
        <ns0:f>IF(T662=0,0,T662-IF(V662="AM",1,0))</ns0:f>
        <ns0:v>0</ns0:v>
      </ns0:c>
      <ns0:c r="AA662" s="0">
        <ns0:f>IFERROR(IF(AND(J662&gt;0,'_Engine'!C662&gt;0,MID('_Engine'!W662,WEEKDAY(J662,2),1)="W",COUNTIF(Settings!$F$18:$F$67,J662)=0),1,0),0)</ns0:f>
        <ns0:v>0</ns0:v>
      </ns0:c>
      <ns0:c r="AB662" s="0">
        <ns0:f>IFERROR(IF(AND(T662&gt;0,'_Engine'!C662&gt;0,MID('_Engine'!W662,WEEKDAY(T662,2),1)="W",COUNTIF(Settings!$F$18:$F$67,T662)=0),1,0),0)</ns0:f>
        <ns0:v>0</ns0:v>
      </ns0:c>
      <ns0:c r="AC662" s="0">
        <ns0:f>IF(AND(J662&gt;0,T662&gt;0,W662&lt;=X662),1,0)</ns0:f>
        <ns0:v>0</ns0:v>
      </ns0:c>
      <ns0:c r="AD662" s="0">
        <ns0:f>IF(AND(J662&gt;0,T662&gt;0,Y662&lt;=Z662),1,0)</ns0:f>
        <ns0:v>0</ns0:v>
      </ns0:c>
    </ns0:row>
    <ns0:row r="663">
      <ns0:c r="A663" s="0">
        <ns0:f>IFERROR(IF(ISNUMBER(Bookings!B663),"",TRIM(Bookings!B663&amp;"")),"")</ns0:f>
      </ns0:c>
      <ns0:c r="B663" s="0">
        <ns0:f>IFERROR(SUBSTITUTE(SUBSTITUTE(A663,"/","."),"-","."),"")</ns0:f>
      </ns0:c>
      <ns0:c r="C663" s="0">
        <ns0:f>IFERROR(LEFT(B663,FIND(".",B663)-1),"")</ns0:f>
      </ns0:c>
      <ns0:c r="D663" s="0">
        <ns0:f>IFERROR(MID(B663,FIND(".",B663)+1,FIND(".",B663,FIND(".",B663)+1)-FIND(".",B663)-1),"")</ns0:f>
      </ns0:c>
      <ns0:c r="E663" s="0">
        <ns0:f>IFERROR(MID(B663,FIND(".",B663,FIND(".",B663)+1)+1,99),"")</ns0:f>
        <ns0:v>99</ns0:v>
      </ns0:c>
      <ns0:c r="F663" s="0">
        <ns0:f>IFERROR(IF(FIND(".",B663)=5,--C663,--E663),0)</ns0:f>
        <ns0:v>0</ns0:v>
      </ns0:c>
      <ns0:c r="G663" s="0">
        <ns0:f>IFERROR(--D663,0)</ns0:f>
        <ns0:v>0</ns0:v>
      </ns0:c>
      <ns0:c r="H663" s="0">
        <ns0:f>IFERROR(IF(FIND(".",B663)=5,--E663,--C663),0)</ns0:f>
        <ns0:v>0</ns0:v>
      </ns0:c>
      <ns0:c r="I663" s="0">
        <ns0:f>IFERROR(IF(AND(F663&gt;=2000,F663&lt;=2100,G663&gt;=1,G663&lt;=12,H663&gt;=1,H663&lt;=31),DATE(F663,G663,H663),0),0)</ns0:f>
        <ns0:v>0</ns0:v>
      </ns0:c>
      <ns0:c r="J663" s="0">
        <ns0:f>IFERROR(IF(ISNUMBER(Bookings!B663),IF(AND(Bookings!B663=INT(Bookings!B663),Bookings!B663&gt;=DATE(2000,1,1),Bookings!B663&lt;=DATE(2100,12,31)),Bookings!B663,0),IF(AND(A663&lt;&gt;"",LEN("x"&amp;B663)-LEN(SUBSTITUTE("x"&amp;B663,".",""))=2,OR(1&gt;LEN(B663),MID(B663,1,1)=".",ISNUMBER(FIND("x"&amp;MID(B663,1,1),"x0x1x2x3x4x5x6x7x8x9"))),OR(2&gt;LEN(B663),MID(B663,2,1)=".",ISNUMBER(FIND("x"&amp;MID(B663,2,1),"x0x1x2x3x4x5x6x7x8x9"))),OR(3&gt;LEN(B663),MID(B663,3,1)=".",ISNUMBER(FIND("x"&amp;MID(B663,3,1),"x0x1x2x3x4x5x6x7x8x9"))),OR(4&gt;LEN(B663),MID(B663,4,1)=".",ISNUMBER(FIND("x"&amp;MID(B663,4,1),"x0x1x2x3x4x5x6x7x8x9"))),OR(5&gt;LEN(B663),MID(B663,5,1)=".",ISNUMBER(FIND("x"&amp;MID(B663,5,1),"x0x1x2x3x4x5x6x7x8x9"))),OR(6&gt;LEN(B663),MID(B663,6,1)=".",ISNUMBER(FIND("x"&amp;MID(B663,6,1),"x0x1x2x3x4x5x6x7x8x9"))),OR(7&gt;LEN(B663),MID(B663,7,1)=".",ISNUMBER(FIND("x"&amp;MID(B663,7,1),"x0x1x2x3x4x5x6x7x8x9"))),OR(8&gt;LEN(B663),MID(B663,8,1)=".",ISNUMBER(FIND("x"&amp;MID(B663,8,1),"x0x1x2x3x4x5x6x7x8x9"))),OR(9&gt;LEN(B663),MID(B663,9,1)=".",ISNUMBER(FIND("x"&amp;MID(B663,9,1),"x0x1x2x3x4x5x6x7x8x9"))),OR(10&gt;LEN(B663),MID(B663,10,1)=".",ISNUMBER(FIND("x"&amp;MID(B663,10,1),"x0x1x2x3x4x5x6x7x8x9"))),OR(AND(FIND(".",B663)=5,LEN(B663)-FIND(".",B663,FIND(".",B663)+1)&gt;=1,LEN(B663)-FIND(".",B663,FIND(".",B663)+1)&lt;=2),AND(LEN(B663)-FIND(".",B663,FIND(".",B663)+1)=4,FIND(".",B663)&gt;=2,FIND(".",B663)&lt;=3)),FIND(".",B663,FIND(".",B663)+1)-FIND(".",B663)&gt;=2,FIND(".",B663,FIND(".",B663)+1)-FIND(".",B663)&lt;=3,F663&gt;=2000,F663&lt;=2100,YEAR(I663)=F663,MONTH(I663)=G663,DAY(I663)=H663),I663,0)),0)</ns0:f>
        <ns0:v>0</ns0:v>
      </ns0:c>
      <ns0:c r="K663" s="0">
        <ns0:f>IFERROR(IF(ISNUMBER(Bookings!D663),"",TRIM(Bookings!D663&amp;"")),"")</ns0:f>
      </ns0:c>
      <ns0:c r="L663" s="0">
        <ns0:f>IFERROR(SUBSTITUTE(SUBSTITUTE(K663,"/","."),"-","."),"")</ns0:f>
      </ns0:c>
      <ns0:c r="M663" s="0">
        <ns0:f>IFERROR(LEFT(L663,FIND(".",L663)-1),"")</ns0:f>
      </ns0:c>
      <ns0:c r="N663" s="0">
        <ns0:f>IFERROR(MID(L663,FIND(".",L663)+1,FIND(".",L663,FIND(".",L663)+1)-FIND(".",L663)-1),"")</ns0:f>
      </ns0:c>
      <ns0:c r="O663" s="0">
        <ns0:f>IFERROR(MID(L663,FIND(".",L663,FIND(".",L663)+1)+1,99),"")</ns0:f>
        <ns0:v>99</ns0:v>
      </ns0:c>
      <ns0:c r="P663" s="0">
        <ns0:f>IFERROR(IF(FIND(".",L663)=5,--M663,--O663),0)</ns0:f>
        <ns0:v>0</ns0:v>
      </ns0:c>
      <ns0:c r="Q663" s="0">
        <ns0:f>IFERROR(--N663,0)</ns0:f>
        <ns0:v>0</ns0:v>
      </ns0:c>
      <ns0:c r="R663" s="0">
        <ns0:f>IFERROR(IF(FIND(".",L663)=5,--O663,--M663),0)</ns0:f>
        <ns0:v>0</ns0:v>
      </ns0:c>
      <ns0:c r="S663" s="0">
        <ns0:f>IFERROR(IF(AND(P663&gt;=2000,P663&lt;=2100,Q663&gt;=1,Q663&lt;=12,R663&gt;=1,R663&lt;=31),DATE(P663,Q663,R663),0),0)</ns0:f>
        <ns0:v>0</ns0:v>
      </ns0:c>
      <ns0:c r="T663" s="0">
        <ns0:f>IFERROR(IF(ISNUMBER(Bookings!D663),IF(AND(Bookings!D663=INT(Bookings!D663),Bookings!D663&gt;=DATE(2000,1,1),Bookings!D663&lt;=DATE(2100,12,31)),Bookings!D663,0),IF(AND(K663&lt;&gt;"",LEN("x"&amp;L663)-LEN(SUBSTITUTE("x"&amp;L663,".",""))=2,OR(1&gt;LEN(L663),MID(L663,1,1)=".",ISNUMBER(FIND("x"&amp;MID(L663,1,1),"x0x1x2x3x4x5x6x7x8x9"))),OR(2&gt;LEN(L663),MID(L663,2,1)=".",ISNUMBER(FIND("x"&amp;MID(L663,2,1),"x0x1x2x3x4x5x6x7x8x9"))),OR(3&gt;LEN(L663),MID(L663,3,1)=".",ISNUMBER(FIND("x"&amp;MID(L663,3,1),"x0x1x2x3x4x5x6x7x8x9"))),OR(4&gt;LEN(L663),MID(L663,4,1)=".",ISNUMBER(FIND("x"&amp;MID(L663,4,1),"x0x1x2x3x4x5x6x7x8x9"))),OR(5&gt;LEN(L663),MID(L663,5,1)=".",ISNUMBER(FIND("x"&amp;MID(L663,5,1),"x0x1x2x3x4x5x6x7x8x9"))),OR(6&gt;LEN(L663),MID(L663,6,1)=".",ISNUMBER(FIND("x"&amp;MID(L663,6,1),"x0x1x2x3x4x5x6x7x8x9"))),OR(7&gt;LEN(L663),MID(L663,7,1)=".",ISNUMBER(FIND("x"&amp;MID(L663,7,1),"x0x1x2x3x4x5x6x7x8x9"))),OR(8&gt;LEN(L663),MID(L663,8,1)=".",ISNUMBER(FIND("x"&amp;MID(L663,8,1),"x0x1x2x3x4x5x6x7x8x9"))),OR(9&gt;LEN(L663),MID(L663,9,1)=".",ISNUMBER(FIND("x"&amp;MID(L663,9,1),"x0x1x2x3x4x5x6x7x8x9"))),OR(10&gt;LEN(L663),MID(L663,10,1)=".",ISNUMBER(FIND("x"&amp;MID(L663,10,1),"x0x1x2x3x4x5x6x7x8x9"))),OR(AND(FIND(".",L663)=5,LEN(L663)-FIND(".",L663,FIND(".",L663)+1)&gt;=1,LEN(L663)-FIND(".",L663,FIND(".",L663)+1)&lt;=2),AND(LEN(L663)-FIND(".",L663,FIND(".",L663)+1)=4,FIND(".",L663)&gt;=2,FIND(".",L663)&lt;=3)),FIND(".",L663,FIND(".",L663)+1)-FIND(".",L663)&gt;=2,FIND(".",L663,FIND(".",L663)+1)-FIND(".",L663)&lt;=3,P663&gt;=2000,P663&lt;=2100,YEAR(S663)=P663,MONTH(S663)=Q663,DAY(S663)=R663),S663,0)),0)</ns0:f>
        <ns0:v>0</ns0:v>
      </ns0:c>
      <ns0:c r="U663" s="0" t="str">
        <ns0:f>IF(Bookings!C663="","Full day",Bookings!C663)</ns0:f>
        <ns0:v>Full day</ns0:v>
      </ns0:c>
      <ns0:c r="V663" s="0" t="str">
        <ns0:f>IF(Bookings!E663="","Full day",Bookings!E663)</ns0:f>
        <ns0:v>Full day</ns0:v>
      </ns0:c>
      <ns0:c r="W663" s="0">
        <ns0:f>IF(J663=0,0,J663+IF(U663="PM",1,0))</ns0:f>
        <ns0:v>0</ns0:v>
      </ns0:c>
      <ns0:c r="X663" s="0">
        <ns0:f>IF(T663=0,0,T663-IF(V663="PM",1,0))</ns0:f>
        <ns0:v>0</ns0:v>
      </ns0:c>
      <ns0:c r="Y663" s="0">
        <ns0:f>IF(J663=0,0,J663+IF(U663="AM",1,0))</ns0:f>
        <ns0:v>0</ns0:v>
      </ns0:c>
      <ns0:c r="Z663" s="0">
        <ns0:f>IF(T663=0,0,T663-IF(V663="AM",1,0))</ns0:f>
        <ns0:v>0</ns0:v>
      </ns0:c>
      <ns0:c r="AA663" s="0">
        <ns0:f>IFERROR(IF(AND(J663&gt;0,'_Engine'!C663&gt;0,MID('_Engine'!W663,WEEKDAY(J663,2),1)="W",COUNTIF(Settings!$F$18:$F$67,J663)=0),1,0),0)</ns0:f>
        <ns0:v>0</ns0:v>
      </ns0:c>
      <ns0:c r="AB663" s="0">
        <ns0:f>IFERROR(IF(AND(T663&gt;0,'_Engine'!C663&gt;0,MID('_Engine'!W663,WEEKDAY(T663,2),1)="W",COUNTIF(Settings!$F$18:$F$67,T663)=0),1,0),0)</ns0:f>
        <ns0:v>0</ns0:v>
      </ns0:c>
      <ns0:c r="AC663" s="0">
        <ns0:f>IF(AND(J663&gt;0,T663&gt;0,W663&lt;=X663),1,0)</ns0:f>
        <ns0:v>0</ns0:v>
      </ns0:c>
      <ns0:c r="AD663" s="0">
        <ns0:f>IF(AND(J663&gt;0,T663&gt;0,Y663&lt;=Z663),1,0)</ns0:f>
        <ns0:v>0</ns0:v>
      </ns0:c>
    </ns0:row>
    <ns0:row r="664">
      <ns0:c r="A664" s="0">
        <ns0:f>IFERROR(IF(ISNUMBER(Bookings!B664),"",TRIM(Bookings!B664&amp;"")),"")</ns0:f>
      </ns0:c>
      <ns0:c r="B664" s="0">
        <ns0:f>IFERROR(SUBSTITUTE(SUBSTITUTE(A664,"/","."),"-","."),"")</ns0:f>
      </ns0:c>
      <ns0:c r="C664" s="0">
        <ns0:f>IFERROR(LEFT(B664,FIND(".",B664)-1),"")</ns0:f>
      </ns0:c>
      <ns0:c r="D664" s="0">
        <ns0:f>IFERROR(MID(B664,FIND(".",B664)+1,FIND(".",B664,FIND(".",B664)+1)-FIND(".",B664)-1),"")</ns0:f>
      </ns0:c>
      <ns0:c r="E664" s="0">
        <ns0:f>IFERROR(MID(B664,FIND(".",B664,FIND(".",B664)+1)+1,99),"")</ns0:f>
        <ns0:v>99</ns0:v>
      </ns0:c>
      <ns0:c r="F664" s="0">
        <ns0:f>IFERROR(IF(FIND(".",B664)=5,--C664,--E664),0)</ns0:f>
        <ns0:v>0</ns0:v>
      </ns0:c>
      <ns0:c r="G664" s="0">
        <ns0:f>IFERROR(--D664,0)</ns0:f>
        <ns0:v>0</ns0:v>
      </ns0:c>
      <ns0:c r="H664" s="0">
        <ns0:f>IFERROR(IF(FIND(".",B664)=5,--E664,--C664),0)</ns0:f>
        <ns0:v>0</ns0:v>
      </ns0:c>
      <ns0:c r="I664" s="0">
        <ns0:f>IFERROR(IF(AND(F664&gt;=2000,F664&lt;=2100,G664&gt;=1,G664&lt;=12,H664&gt;=1,H664&lt;=31),DATE(F664,G664,H664),0),0)</ns0:f>
        <ns0:v>0</ns0:v>
      </ns0:c>
      <ns0:c r="J664" s="0">
        <ns0:f>IFERROR(IF(ISNUMBER(Bookings!B664),IF(AND(Bookings!B664=INT(Bookings!B664),Bookings!B664&gt;=DATE(2000,1,1),Bookings!B664&lt;=DATE(2100,12,31)),Bookings!B664,0),IF(AND(A664&lt;&gt;"",LEN("x"&amp;B664)-LEN(SUBSTITUTE("x"&amp;B664,".",""))=2,OR(1&gt;LEN(B664),MID(B664,1,1)=".",ISNUMBER(FIND("x"&amp;MID(B664,1,1),"x0x1x2x3x4x5x6x7x8x9"))),OR(2&gt;LEN(B664),MID(B664,2,1)=".",ISNUMBER(FIND("x"&amp;MID(B664,2,1),"x0x1x2x3x4x5x6x7x8x9"))),OR(3&gt;LEN(B664),MID(B664,3,1)=".",ISNUMBER(FIND("x"&amp;MID(B664,3,1),"x0x1x2x3x4x5x6x7x8x9"))),OR(4&gt;LEN(B664),MID(B664,4,1)=".",ISNUMBER(FIND("x"&amp;MID(B664,4,1),"x0x1x2x3x4x5x6x7x8x9"))),OR(5&gt;LEN(B664),MID(B664,5,1)=".",ISNUMBER(FIND("x"&amp;MID(B664,5,1),"x0x1x2x3x4x5x6x7x8x9"))),OR(6&gt;LEN(B664),MID(B664,6,1)=".",ISNUMBER(FIND("x"&amp;MID(B664,6,1),"x0x1x2x3x4x5x6x7x8x9"))),OR(7&gt;LEN(B664),MID(B664,7,1)=".",ISNUMBER(FIND("x"&amp;MID(B664,7,1),"x0x1x2x3x4x5x6x7x8x9"))),OR(8&gt;LEN(B664),MID(B664,8,1)=".",ISNUMBER(FIND("x"&amp;MID(B664,8,1),"x0x1x2x3x4x5x6x7x8x9"))),OR(9&gt;LEN(B664),MID(B664,9,1)=".",ISNUMBER(FIND("x"&amp;MID(B664,9,1),"x0x1x2x3x4x5x6x7x8x9"))),OR(10&gt;LEN(B664),MID(B664,10,1)=".",ISNUMBER(FIND("x"&amp;MID(B664,10,1),"x0x1x2x3x4x5x6x7x8x9"))),OR(AND(FIND(".",B664)=5,LEN(B664)-FIND(".",B664,FIND(".",B664)+1)&gt;=1,LEN(B664)-FIND(".",B664,FIND(".",B664)+1)&lt;=2),AND(LEN(B664)-FIND(".",B664,FIND(".",B664)+1)=4,FIND(".",B664)&gt;=2,FIND(".",B664)&lt;=3)),FIND(".",B664,FIND(".",B664)+1)-FIND(".",B664)&gt;=2,FIND(".",B664,FIND(".",B664)+1)-FIND(".",B664)&lt;=3,F664&gt;=2000,F664&lt;=2100,YEAR(I664)=F664,MONTH(I664)=G664,DAY(I664)=H664),I664,0)),0)</ns0:f>
        <ns0:v>0</ns0:v>
      </ns0:c>
      <ns0:c r="K664" s="0">
        <ns0:f>IFERROR(IF(ISNUMBER(Bookings!D664),"",TRIM(Bookings!D664&amp;"")),"")</ns0:f>
      </ns0:c>
      <ns0:c r="L664" s="0">
        <ns0:f>IFERROR(SUBSTITUTE(SUBSTITUTE(K664,"/","."),"-","."),"")</ns0:f>
      </ns0:c>
      <ns0:c r="M664" s="0">
        <ns0:f>IFERROR(LEFT(L664,FIND(".",L664)-1),"")</ns0:f>
      </ns0:c>
      <ns0:c r="N664" s="0">
        <ns0:f>IFERROR(MID(L664,FIND(".",L664)+1,FIND(".",L664,FIND(".",L664)+1)-FIND(".",L664)-1),"")</ns0:f>
      </ns0:c>
      <ns0:c r="O664" s="0">
        <ns0:f>IFERROR(MID(L664,FIND(".",L664,FIND(".",L664)+1)+1,99),"")</ns0:f>
        <ns0:v>99</ns0:v>
      </ns0:c>
      <ns0:c r="P664" s="0">
        <ns0:f>IFERROR(IF(FIND(".",L664)=5,--M664,--O664),0)</ns0:f>
        <ns0:v>0</ns0:v>
      </ns0:c>
      <ns0:c r="Q664" s="0">
        <ns0:f>IFERROR(--N664,0)</ns0:f>
        <ns0:v>0</ns0:v>
      </ns0:c>
      <ns0:c r="R664" s="0">
        <ns0:f>IFERROR(IF(FIND(".",L664)=5,--O664,--M664),0)</ns0:f>
        <ns0:v>0</ns0:v>
      </ns0:c>
      <ns0:c r="S664" s="0">
        <ns0:f>IFERROR(IF(AND(P664&gt;=2000,P664&lt;=2100,Q664&gt;=1,Q664&lt;=12,R664&gt;=1,R664&lt;=31),DATE(P664,Q664,R664),0),0)</ns0:f>
        <ns0:v>0</ns0:v>
      </ns0:c>
      <ns0:c r="T664" s="0">
        <ns0:f>IFERROR(IF(ISNUMBER(Bookings!D664),IF(AND(Bookings!D664=INT(Bookings!D664),Bookings!D664&gt;=DATE(2000,1,1),Bookings!D664&lt;=DATE(2100,12,31)),Bookings!D664,0),IF(AND(K664&lt;&gt;"",LEN("x"&amp;L664)-LEN(SUBSTITUTE("x"&amp;L664,".",""))=2,OR(1&gt;LEN(L664),MID(L664,1,1)=".",ISNUMBER(FIND("x"&amp;MID(L664,1,1),"x0x1x2x3x4x5x6x7x8x9"))),OR(2&gt;LEN(L664),MID(L664,2,1)=".",ISNUMBER(FIND("x"&amp;MID(L664,2,1),"x0x1x2x3x4x5x6x7x8x9"))),OR(3&gt;LEN(L664),MID(L664,3,1)=".",ISNUMBER(FIND("x"&amp;MID(L664,3,1),"x0x1x2x3x4x5x6x7x8x9"))),OR(4&gt;LEN(L664),MID(L664,4,1)=".",ISNUMBER(FIND("x"&amp;MID(L664,4,1),"x0x1x2x3x4x5x6x7x8x9"))),OR(5&gt;LEN(L664),MID(L664,5,1)=".",ISNUMBER(FIND("x"&amp;MID(L664,5,1),"x0x1x2x3x4x5x6x7x8x9"))),OR(6&gt;LEN(L664),MID(L664,6,1)=".",ISNUMBER(FIND("x"&amp;MID(L664,6,1),"x0x1x2x3x4x5x6x7x8x9"))),OR(7&gt;LEN(L664),MID(L664,7,1)=".",ISNUMBER(FIND("x"&amp;MID(L664,7,1),"x0x1x2x3x4x5x6x7x8x9"))),OR(8&gt;LEN(L664),MID(L664,8,1)=".",ISNUMBER(FIND("x"&amp;MID(L664,8,1),"x0x1x2x3x4x5x6x7x8x9"))),OR(9&gt;LEN(L664),MID(L664,9,1)=".",ISNUMBER(FIND("x"&amp;MID(L664,9,1),"x0x1x2x3x4x5x6x7x8x9"))),OR(10&gt;LEN(L664),MID(L664,10,1)=".",ISNUMBER(FIND("x"&amp;MID(L664,10,1),"x0x1x2x3x4x5x6x7x8x9"))),OR(AND(FIND(".",L664)=5,LEN(L664)-FIND(".",L664,FIND(".",L664)+1)&gt;=1,LEN(L664)-FIND(".",L664,FIND(".",L664)+1)&lt;=2),AND(LEN(L664)-FIND(".",L664,FIND(".",L664)+1)=4,FIND(".",L664)&gt;=2,FIND(".",L664)&lt;=3)),FIND(".",L664,FIND(".",L664)+1)-FIND(".",L664)&gt;=2,FIND(".",L664,FIND(".",L664)+1)-FIND(".",L664)&lt;=3,P664&gt;=2000,P664&lt;=2100,YEAR(S664)=P664,MONTH(S664)=Q664,DAY(S664)=R664),S664,0)),0)</ns0:f>
        <ns0:v>0</ns0:v>
      </ns0:c>
      <ns0:c r="U664" s="0" t="str">
        <ns0:f>IF(Bookings!C664="","Full day",Bookings!C664)</ns0:f>
        <ns0:v>Full day</ns0:v>
      </ns0:c>
      <ns0:c r="V664" s="0" t="str">
        <ns0:f>IF(Bookings!E664="","Full day",Bookings!E664)</ns0:f>
        <ns0:v>Full day</ns0:v>
      </ns0:c>
      <ns0:c r="W664" s="0">
        <ns0:f>IF(J664=0,0,J664+IF(U664="PM",1,0))</ns0:f>
        <ns0:v>0</ns0:v>
      </ns0:c>
      <ns0:c r="X664" s="0">
        <ns0:f>IF(T664=0,0,T664-IF(V664="PM",1,0))</ns0:f>
        <ns0:v>0</ns0:v>
      </ns0:c>
      <ns0:c r="Y664" s="0">
        <ns0:f>IF(J664=0,0,J664+IF(U664="AM",1,0))</ns0:f>
        <ns0:v>0</ns0:v>
      </ns0:c>
      <ns0:c r="Z664" s="0">
        <ns0:f>IF(T664=0,0,T664-IF(V664="AM",1,0))</ns0:f>
        <ns0:v>0</ns0:v>
      </ns0:c>
      <ns0:c r="AA664" s="0">
        <ns0:f>IFERROR(IF(AND(J664&gt;0,'_Engine'!C664&gt;0,MID('_Engine'!W664,WEEKDAY(J664,2),1)="W",COUNTIF(Settings!$F$18:$F$67,J664)=0),1,0),0)</ns0:f>
        <ns0:v>0</ns0:v>
      </ns0:c>
      <ns0:c r="AB664" s="0">
        <ns0:f>IFERROR(IF(AND(T664&gt;0,'_Engine'!C664&gt;0,MID('_Engine'!W664,WEEKDAY(T664,2),1)="W",COUNTIF(Settings!$F$18:$F$67,T664)=0),1,0),0)</ns0:f>
        <ns0:v>0</ns0:v>
      </ns0:c>
      <ns0:c r="AC664" s="0">
        <ns0:f>IF(AND(J664&gt;0,T664&gt;0,W664&lt;=X664),1,0)</ns0:f>
        <ns0:v>0</ns0:v>
      </ns0:c>
      <ns0:c r="AD664" s="0">
        <ns0:f>IF(AND(J664&gt;0,T664&gt;0,Y664&lt;=Z664),1,0)</ns0:f>
        <ns0:v>0</ns0:v>
      </ns0:c>
    </ns0:row>
    <ns0:row r="665">
      <ns0:c r="A665" s="0">
        <ns0:f>IFERROR(IF(ISNUMBER(Bookings!B665),"",TRIM(Bookings!B665&amp;"")),"")</ns0:f>
      </ns0:c>
      <ns0:c r="B665" s="0">
        <ns0:f>IFERROR(SUBSTITUTE(SUBSTITUTE(A665,"/","."),"-","."),"")</ns0:f>
      </ns0:c>
      <ns0:c r="C665" s="0">
        <ns0:f>IFERROR(LEFT(B665,FIND(".",B665)-1),"")</ns0:f>
      </ns0:c>
      <ns0:c r="D665" s="0">
        <ns0:f>IFERROR(MID(B665,FIND(".",B665)+1,FIND(".",B665,FIND(".",B665)+1)-FIND(".",B665)-1),"")</ns0:f>
      </ns0:c>
      <ns0:c r="E665" s="0">
        <ns0:f>IFERROR(MID(B665,FIND(".",B665,FIND(".",B665)+1)+1,99),"")</ns0:f>
        <ns0:v>99</ns0:v>
      </ns0:c>
      <ns0:c r="F665" s="0">
        <ns0:f>IFERROR(IF(FIND(".",B665)=5,--C665,--E665),0)</ns0:f>
        <ns0:v>0</ns0:v>
      </ns0:c>
      <ns0:c r="G665" s="0">
        <ns0:f>IFERROR(--D665,0)</ns0:f>
        <ns0:v>0</ns0:v>
      </ns0:c>
      <ns0:c r="H665" s="0">
        <ns0:f>IFERROR(IF(FIND(".",B665)=5,--E665,--C665),0)</ns0:f>
        <ns0:v>0</ns0:v>
      </ns0:c>
      <ns0:c r="I665" s="0">
        <ns0:f>IFERROR(IF(AND(F665&gt;=2000,F665&lt;=2100,G665&gt;=1,G665&lt;=12,H665&gt;=1,H665&lt;=31),DATE(F665,G665,H665),0),0)</ns0:f>
        <ns0:v>0</ns0:v>
      </ns0:c>
      <ns0:c r="J665" s="0">
        <ns0:f>IFERROR(IF(ISNUMBER(Bookings!B665),IF(AND(Bookings!B665=INT(Bookings!B665),Bookings!B665&gt;=DATE(2000,1,1),Bookings!B665&lt;=DATE(2100,12,31)),Bookings!B665,0),IF(AND(A665&lt;&gt;"",LEN("x"&amp;B665)-LEN(SUBSTITUTE("x"&amp;B665,".",""))=2,OR(1&gt;LEN(B665),MID(B665,1,1)=".",ISNUMBER(FIND("x"&amp;MID(B665,1,1),"x0x1x2x3x4x5x6x7x8x9"))),OR(2&gt;LEN(B665),MID(B665,2,1)=".",ISNUMBER(FIND("x"&amp;MID(B665,2,1),"x0x1x2x3x4x5x6x7x8x9"))),OR(3&gt;LEN(B665),MID(B665,3,1)=".",ISNUMBER(FIND("x"&amp;MID(B665,3,1),"x0x1x2x3x4x5x6x7x8x9"))),OR(4&gt;LEN(B665),MID(B665,4,1)=".",ISNUMBER(FIND("x"&amp;MID(B665,4,1),"x0x1x2x3x4x5x6x7x8x9"))),OR(5&gt;LEN(B665),MID(B665,5,1)=".",ISNUMBER(FIND("x"&amp;MID(B665,5,1),"x0x1x2x3x4x5x6x7x8x9"))),OR(6&gt;LEN(B665),MID(B665,6,1)=".",ISNUMBER(FIND("x"&amp;MID(B665,6,1),"x0x1x2x3x4x5x6x7x8x9"))),OR(7&gt;LEN(B665),MID(B665,7,1)=".",ISNUMBER(FIND("x"&amp;MID(B665,7,1),"x0x1x2x3x4x5x6x7x8x9"))),OR(8&gt;LEN(B665),MID(B665,8,1)=".",ISNUMBER(FIND("x"&amp;MID(B665,8,1),"x0x1x2x3x4x5x6x7x8x9"))),OR(9&gt;LEN(B665),MID(B665,9,1)=".",ISNUMBER(FIND("x"&amp;MID(B665,9,1),"x0x1x2x3x4x5x6x7x8x9"))),OR(10&gt;LEN(B665),MID(B665,10,1)=".",ISNUMBER(FIND("x"&amp;MID(B665,10,1),"x0x1x2x3x4x5x6x7x8x9"))),OR(AND(FIND(".",B665)=5,LEN(B665)-FIND(".",B665,FIND(".",B665)+1)&gt;=1,LEN(B665)-FIND(".",B665,FIND(".",B665)+1)&lt;=2),AND(LEN(B665)-FIND(".",B665,FIND(".",B665)+1)=4,FIND(".",B665)&gt;=2,FIND(".",B665)&lt;=3)),FIND(".",B665,FIND(".",B665)+1)-FIND(".",B665)&gt;=2,FIND(".",B665,FIND(".",B665)+1)-FIND(".",B665)&lt;=3,F665&gt;=2000,F665&lt;=2100,YEAR(I665)=F665,MONTH(I665)=G665,DAY(I665)=H665),I665,0)),0)</ns0:f>
        <ns0:v>0</ns0:v>
      </ns0:c>
      <ns0:c r="K665" s="0">
        <ns0:f>IFERROR(IF(ISNUMBER(Bookings!D665),"",TRIM(Bookings!D665&amp;"")),"")</ns0:f>
      </ns0:c>
      <ns0:c r="L665" s="0">
        <ns0:f>IFERROR(SUBSTITUTE(SUBSTITUTE(K665,"/","."),"-","."),"")</ns0:f>
      </ns0:c>
      <ns0:c r="M665" s="0">
        <ns0:f>IFERROR(LEFT(L665,FIND(".",L665)-1),"")</ns0:f>
      </ns0:c>
      <ns0:c r="N665" s="0">
        <ns0:f>IFERROR(MID(L665,FIND(".",L665)+1,FIND(".",L665,FIND(".",L665)+1)-FIND(".",L665)-1),"")</ns0:f>
      </ns0:c>
      <ns0:c r="O665" s="0">
        <ns0:f>IFERROR(MID(L665,FIND(".",L665,FIND(".",L665)+1)+1,99),"")</ns0:f>
        <ns0:v>99</ns0:v>
      </ns0:c>
      <ns0:c r="P665" s="0">
        <ns0:f>IFERROR(IF(FIND(".",L665)=5,--M665,--O665),0)</ns0:f>
        <ns0:v>0</ns0:v>
      </ns0:c>
      <ns0:c r="Q665" s="0">
        <ns0:f>IFERROR(--N665,0)</ns0:f>
        <ns0:v>0</ns0:v>
      </ns0:c>
      <ns0:c r="R665" s="0">
        <ns0:f>IFERROR(IF(FIND(".",L665)=5,--O665,--M665),0)</ns0:f>
        <ns0:v>0</ns0:v>
      </ns0:c>
      <ns0:c r="S665" s="0">
        <ns0:f>IFERROR(IF(AND(P665&gt;=2000,P665&lt;=2100,Q665&gt;=1,Q665&lt;=12,R665&gt;=1,R665&lt;=31),DATE(P665,Q665,R665),0),0)</ns0:f>
        <ns0:v>0</ns0:v>
      </ns0:c>
      <ns0:c r="T665" s="0">
        <ns0:f>IFERROR(IF(ISNUMBER(Bookings!D665),IF(AND(Bookings!D665=INT(Bookings!D665),Bookings!D665&gt;=DATE(2000,1,1),Bookings!D665&lt;=DATE(2100,12,31)),Bookings!D665,0),IF(AND(K665&lt;&gt;"",LEN("x"&amp;L665)-LEN(SUBSTITUTE("x"&amp;L665,".",""))=2,OR(1&gt;LEN(L665),MID(L665,1,1)=".",ISNUMBER(FIND("x"&amp;MID(L665,1,1),"x0x1x2x3x4x5x6x7x8x9"))),OR(2&gt;LEN(L665),MID(L665,2,1)=".",ISNUMBER(FIND("x"&amp;MID(L665,2,1),"x0x1x2x3x4x5x6x7x8x9"))),OR(3&gt;LEN(L665),MID(L665,3,1)=".",ISNUMBER(FIND("x"&amp;MID(L665,3,1),"x0x1x2x3x4x5x6x7x8x9"))),OR(4&gt;LEN(L665),MID(L665,4,1)=".",ISNUMBER(FIND("x"&amp;MID(L665,4,1),"x0x1x2x3x4x5x6x7x8x9"))),OR(5&gt;LEN(L665),MID(L665,5,1)=".",ISNUMBER(FIND("x"&amp;MID(L665,5,1),"x0x1x2x3x4x5x6x7x8x9"))),OR(6&gt;LEN(L665),MID(L665,6,1)=".",ISNUMBER(FIND("x"&amp;MID(L665,6,1),"x0x1x2x3x4x5x6x7x8x9"))),OR(7&gt;LEN(L665),MID(L665,7,1)=".",ISNUMBER(FIND("x"&amp;MID(L665,7,1),"x0x1x2x3x4x5x6x7x8x9"))),OR(8&gt;LEN(L665),MID(L665,8,1)=".",ISNUMBER(FIND("x"&amp;MID(L665,8,1),"x0x1x2x3x4x5x6x7x8x9"))),OR(9&gt;LEN(L665),MID(L665,9,1)=".",ISNUMBER(FIND("x"&amp;MID(L665,9,1),"x0x1x2x3x4x5x6x7x8x9"))),OR(10&gt;LEN(L665),MID(L665,10,1)=".",ISNUMBER(FIND("x"&amp;MID(L665,10,1),"x0x1x2x3x4x5x6x7x8x9"))),OR(AND(FIND(".",L665)=5,LEN(L665)-FIND(".",L665,FIND(".",L665)+1)&gt;=1,LEN(L665)-FIND(".",L665,FIND(".",L665)+1)&lt;=2),AND(LEN(L665)-FIND(".",L665,FIND(".",L665)+1)=4,FIND(".",L665)&gt;=2,FIND(".",L665)&lt;=3)),FIND(".",L665,FIND(".",L665)+1)-FIND(".",L665)&gt;=2,FIND(".",L665,FIND(".",L665)+1)-FIND(".",L665)&lt;=3,P665&gt;=2000,P665&lt;=2100,YEAR(S665)=P665,MONTH(S665)=Q665,DAY(S665)=R665),S665,0)),0)</ns0:f>
        <ns0:v>0</ns0:v>
      </ns0:c>
      <ns0:c r="U665" s="0" t="str">
        <ns0:f>IF(Bookings!C665="","Full day",Bookings!C665)</ns0:f>
        <ns0:v>Full day</ns0:v>
      </ns0:c>
      <ns0:c r="V665" s="0" t="str">
        <ns0:f>IF(Bookings!E665="","Full day",Bookings!E665)</ns0:f>
        <ns0:v>Full day</ns0:v>
      </ns0:c>
      <ns0:c r="W665" s="0">
        <ns0:f>IF(J665=0,0,J665+IF(U665="PM",1,0))</ns0:f>
        <ns0:v>0</ns0:v>
      </ns0:c>
      <ns0:c r="X665" s="0">
        <ns0:f>IF(T665=0,0,T665-IF(V665="PM",1,0))</ns0:f>
        <ns0:v>0</ns0:v>
      </ns0:c>
      <ns0:c r="Y665" s="0">
        <ns0:f>IF(J665=0,0,J665+IF(U665="AM",1,0))</ns0:f>
        <ns0:v>0</ns0:v>
      </ns0:c>
      <ns0:c r="Z665" s="0">
        <ns0:f>IF(T665=0,0,T665-IF(V665="AM",1,0))</ns0:f>
        <ns0:v>0</ns0:v>
      </ns0:c>
      <ns0:c r="AA665" s="0">
        <ns0:f>IFERROR(IF(AND(J665&gt;0,'_Engine'!C665&gt;0,MID('_Engine'!W665,WEEKDAY(J665,2),1)="W",COUNTIF(Settings!$F$18:$F$67,J665)=0),1,0),0)</ns0:f>
        <ns0:v>0</ns0:v>
      </ns0:c>
      <ns0:c r="AB665" s="0">
        <ns0:f>IFERROR(IF(AND(T665&gt;0,'_Engine'!C665&gt;0,MID('_Engine'!W665,WEEKDAY(T665,2),1)="W",COUNTIF(Settings!$F$18:$F$67,T665)=0),1,0),0)</ns0:f>
        <ns0:v>0</ns0:v>
      </ns0:c>
      <ns0:c r="AC665" s="0">
        <ns0:f>IF(AND(J665&gt;0,T665&gt;0,W665&lt;=X665),1,0)</ns0:f>
        <ns0:v>0</ns0:v>
      </ns0:c>
      <ns0:c r="AD665" s="0">
        <ns0:f>IF(AND(J665&gt;0,T665&gt;0,Y665&lt;=Z665),1,0)</ns0:f>
        <ns0:v>0</ns0:v>
      </ns0:c>
    </ns0:row>
    <ns0:row r="666">
      <ns0:c r="A666" s="0">
        <ns0:f>IFERROR(IF(ISNUMBER(Bookings!B666),"",TRIM(Bookings!B666&amp;"")),"")</ns0:f>
      </ns0:c>
      <ns0:c r="B666" s="0">
        <ns0:f>IFERROR(SUBSTITUTE(SUBSTITUTE(A666,"/","."),"-","."),"")</ns0:f>
      </ns0:c>
      <ns0:c r="C666" s="0">
        <ns0:f>IFERROR(LEFT(B666,FIND(".",B666)-1),"")</ns0:f>
      </ns0:c>
      <ns0:c r="D666" s="0">
        <ns0:f>IFERROR(MID(B666,FIND(".",B666)+1,FIND(".",B666,FIND(".",B666)+1)-FIND(".",B666)-1),"")</ns0:f>
      </ns0:c>
      <ns0:c r="E666" s="0">
        <ns0:f>IFERROR(MID(B666,FIND(".",B666,FIND(".",B666)+1)+1,99),"")</ns0:f>
        <ns0:v>99</ns0:v>
      </ns0:c>
      <ns0:c r="F666" s="0">
        <ns0:f>IFERROR(IF(FIND(".",B666)=5,--C666,--E666),0)</ns0:f>
        <ns0:v>0</ns0:v>
      </ns0:c>
      <ns0:c r="G666" s="0">
        <ns0:f>IFERROR(--D666,0)</ns0:f>
        <ns0:v>0</ns0:v>
      </ns0:c>
      <ns0:c r="H666" s="0">
        <ns0:f>IFERROR(IF(FIND(".",B666)=5,--E666,--C666),0)</ns0:f>
        <ns0:v>0</ns0:v>
      </ns0:c>
      <ns0:c r="I666" s="0">
        <ns0:f>IFERROR(IF(AND(F666&gt;=2000,F666&lt;=2100,G666&gt;=1,G666&lt;=12,H666&gt;=1,H666&lt;=31),DATE(F666,G666,H666),0),0)</ns0:f>
        <ns0:v>0</ns0:v>
      </ns0:c>
      <ns0:c r="J666" s="0">
        <ns0:f>IFERROR(IF(ISNUMBER(Bookings!B666),IF(AND(Bookings!B666=INT(Bookings!B666),Bookings!B666&gt;=DATE(2000,1,1),Bookings!B666&lt;=DATE(2100,12,31)),Bookings!B666,0),IF(AND(A666&lt;&gt;"",LEN("x"&amp;B666)-LEN(SUBSTITUTE("x"&amp;B666,".",""))=2,OR(1&gt;LEN(B666),MID(B666,1,1)=".",ISNUMBER(FIND("x"&amp;MID(B666,1,1),"x0x1x2x3x4x5x6x7x8x9"))),OR(2&gt;LEN(B666),MID(B666,2,1)=".",ISNUMBER(FIND("x"&amp;MID(B666,2,1),"x0x1x2x3x4x5x6x7x8x9"))),OR(3&gt;LEN(B666),MID(B666,3,1)=".",ISNUMBER(FIND("x"&amp;MID(B666,3,1),"x0x1x2x3x4x5x6x7x8x9"))),OR(4&gt;LEN(B666),MID(B666,4,1)=".",ISNUMBER(FIND("x"&amp;MID(B666,4,1),"x0x1x2x3x4x5x6x7x8x9"))),OR(5&gt;LEN(B666),MID(B666,5,1)=".",ISNUMBER(FIND("x"&amp;MID(B666,5,1),"x0x1x2x3x4x5x6x7x8x9"))),OR(6&gt;LEN(B666),MID(B666,6,1)=".",ISNUMBER(FIND("x"&amp;MID(B666,6,1),"x0x1x2x3x4x5x6x7x8x9"))),OR(7&gt;LEN(B666),MID(B666,7,1)=".",ISNUMBER(FIND("x"&amp;MID(B666,7,1),"x0x1x2x3x4x5x6x7x8x9"))),OR(8&gt;LEN(B666),MID(B666,8,1)=".",ISNUMBER(FIND("x"&amp;MID(B666,8,1),"x0x1x2x3x4x5x6x7x8x9"))),OR(9&gt;LEN(B666),MID(B666,9,1)=".",ISNUMBER(FIND("x"&amp;MID(B666,9,1),"x0x1x2x3x4x5x6x7x8x9"))),OR(10&gt;LEN(B666),MID(B666,10,1)=".",ISNUMBER(FIND("x"&amp;MID(B666,10,1),"x0x1x2x3x4x5x6x7x8x9"))),OR(AND(FIND(".",B666)=5,LEN(B666)-FIND(".",B666,FIND(".",B666)+1)&gt;=1,LEN(B666)-FIND(".",B666,FIND(".",B666)+1)&lt;=2),AND(LEN(B666)-FIND(".",B666,FIND(".",B666)+1)=4,FIND(".",B666)&gt;=2,FIND(".",B666)&lt;=3)),FIND(".",B666,FIND(".",B666)+1)-FIND(".",B666)&gt;=2,FIND(".",B666,FIND(".",B666)+1)-FIND(".",B666)&lt;=3,F666&gt;=2000,F666&lt;=2100,YEAR(I666)=F666,MONTH(I666)=G666,DAY(I666)=H666),I666,0)),0)</ns0:f>
        <ns0:v>0</ns0:v>
      </ns0:c>
      <ns0:c r="K666" s="0">
        <ns0:f>IFERROR(IF(ISNUMBER(Bookings!D666),"",TRIM(Bookings!D666&amp;"")),"")</ns0:f>
      </ns0:c>
      <ns0:c r="L666" s="0">
        <ns0:f>IFERROR(SUBSTITUTE(SUBSTITUTE(K666,"/","."),"-","."),"")</ns0:f>
      </ns0:c>
      <ns0:c r="M666" s="0">
        <ns0:f>IFERROR(LEFT(L666,FIND(".",L666)-1),"")</ns0:f>
      </ns0:c>
      <ns0:c r="N666" s="0">
        <ns0:f>IFERROR(MID(L666,FIND(".",L666)+1,FIND(".",L666,FIND(".",L666)+1)-FIND(".",L666)-1),"")</ns0:f>
      </ns0:c>
      <ns0:c r="O666" s="0">
        <ns0:f>IFERROR(MID(L666,FIND(".",L666,FIND(".",L666)+1)+1,99),"")</ns0:f>
        <ns0:v>99</ns0:v>
      </ns0:c>
      <ns0:c r="P666" s="0">
        <ns0:f>IFERROR(IF(FIND(".",L666)=5,--M666,--O666),0)</ns0:f>
        <ns0:v>0</ns0:v>
      </ns0:c>
      <ns0:c r="Q666" s="0">
        <ns0:f>IFERROR(--N666,0)</ns0:f>
        <ns0:v>0</ns0:v>
      </ns0:c>
      <ns0:c r="R666" s="0">
        <ns0:f>IFERROR(IF(FIND(".",L666)=5,--O666,--M666),0)</ns0:f>
        <ns0:v>0</ns0:v>
      </ns0:c>
      <ns0:c r="S666" s="0">
        <ns0:f>IFERROR(IF(AND(P666&gt;=2000,P666&lt;=2100,Q666&gt;=1,Q666&lt;=12,R666&gt;=1,R666&lt;=31),DATE(P666,Q666,R666),0),0)</ns0:f>
        <ns0:v>0</ns0:v>
      </ns0:c>
      <ns0:c r="T666" s="0">
        <ns0:f>IFERROR(IF(ISNUMBER(Bookings!D666),IF(AND(Bookings!D666=INT(Bookings!D666),Bookings!D666&gt;=DATE(2000,1,1),Bookings!D666&lt;=DATE(2100,12,31)),Bookings!D666,0),IF(AND(K666&lt;&gt;"",LEN("x"&amp;L666)-LEN(SUBSTITUTE("x"&amp;L666,".",""))=2,OR(1&gt;LEN(L666),MID(L666,1,1)=".",ISNUMBER(FIND("x"&amp;MID(L666,1,1),"x0x1x2x3x4x5x6x7x8x9"))),OR(2&gt;LEN(L666),MID(L666,2,1)=".",ISNUMBER(FIND("x"&amp;MID(L666,2,1),"x0x1x2x3x4x5x6x7x8x9"))),OR(3&gt;LEN(L666),MID(L666,3,1)=".",ISNUMBER(FIND("x"&amp;MID(L666,3,1),"x0x1x2x3x4x5x6x7x8x9"))),OR(4&gt;LEN(L666),MID(L666,4,1)=".",ISNUMBER(FIND("x"&amp;MID(L666,4,1),"x0x1x2x3x4x5x6x7x8x9"))),OR(5&gt;LEN(L666),MID(L666,5,1)=".",ISNUMBER(FIND("x"&amp;MID(L666,5,1),"x0x1x2x3x4x5x6x7x8x9"))),OR(6&gt;LEN(L666),MID(L666,6,1)=".",ISNUMBER(FIND("x"&amp;MID(L666,6,1),"x0x1x2x3x4x5x6x7x8x9"))),OR(7&gt;LEN(L666),MID(L666,7,1)=".",ISNUMBER(FIND("x"&amp;MID(L666,7,1),"x0x1x2x3x4x5x6x7x8x9"))),OR(8&gt;LEN(L666),MID(L666,8,1)=".",ISNUMBER(FIND("x"&amp;MID(L666,8,1),"x0x1x2x3x4x5x6x7x8x9"))),OR(9&gt;LEN(L666),MID(L666,9,1)=".",ISNUMBER(FIND("x"&amp;MID(L666,9,1),"x0x1x2x3x4x5x6x7x8x9"))),OR(10&gt;LEN(L666),MID(L666,10,1)=".",ISNUMBER(FIND("x"&amp;MID(L666,10,1),"x0x1x2x3x4x5x6x7x8x9"))),OR(AND(FIND(".",L666)=5,LEN(L666)-FIND(".",L666,FIND(".",L666)+1)&gt;=1,LEN(L666)-FIND(".",L666,FIND(".",L666)+1)&lt;=2),AND(LEN(L666)-FIND(".",L666,FIND(".",L666)+1)=4,FIND(".",L666)&gt;=2,FIND(".",L666)&lt;=3)),FIND(".",L666,FIND(".",L666)+1)-FIND(".",L666)&gt;=2,FIND(".",L666,FIND(".",L666)+1)-FIND(".",L666)&lt;=3,P666&gt;=2000,P666&lt;=2100,YEAR(S666)=P666,MONTH(S666)=Q666,DAY(S666)=R666),S666,0)),0)</ns0:f>
        <ns0:v>0</ns0:v>
      </ns0:c>
      <ns0:c r="U666" s="0" t="str">
        <ns0:f>IF(Bookings!C666="","Full day",Bookings!C666)</ns0:f>
        <ns0:v>Full day</ns0:v>
      </ns0:c>
      <ns0:c r="V666" s="0" t="str">
        <ns0:f>IF(Bookings!E666="","Full day",Bookings!E666)</ns0:f>
        <ns0:v>Full day</ns0:v>
      </ns0:c>
      <ns0:c r="W666" s="0">
        <ns0:f>IF(J666=0,0,J666+IF(U666="PM",1,0))</ns0:f>
        <ns0:v>0</ns0:v>
      </ns0:c>
      <ns0:c r="X666" s="0">
        <ns0:f>IF(T666=0,0,T666-IF(V666="PM",1,0))</ns0:f>
        <ns0:v>0</ns0:v>
      </ns0:c>
      <ns0:c r="Y666" s="0">
        <ns0:f>IF(J666=0,0,J666+IF(U666="AM",1,0))</ns0:f>
        <ns0:v>0</ns0:v>
      </ns0:c>
      <ns0:c r="Z666" s="0">
        <ns0:f>IF(T666=0,0,T666-IF(V666="AM",1,0))</ns0:f>
        <ns0:v>0</ns0:v>
      </ns0:c>
      <ns0:c r="AA666" s="0">
        <ns0:f>IFERROR(IF(AND(J666&gt;0,'_Engine'!C666&gt;0,MID('_Engine'!W666,WEEKDAY(J666,2),1)="W",COUNTIF(Settings!$F$18:$F$67,J666)=0),1,0),0)</ns0:f>
        <ns0:v>0</ns0:v>
      </ns0:c>
      <ns0:c r="AB666" s="0">
        <ns0:f>IFERROR(IF(AND(T666&gt;0,'_Engine'!C666&gt;0,MID('_Engine'!W666,WEEKDAY(T666,2),1)="W",COUNTIF(Settings!$F$18:$F$67,T666)=0),1,0),0)</ns0:f>
        <ns0:v>0</ns0:v>
      </ns0:c>
      <ns0:c r="AC666" s="0">
        <ns0:f>IF(AND(J666&gt;0,T666&gt;0,W666&lt;=X666),1,0)</ns0:f>
        <ns0:v>0</ns0:v>
      </ns0:c>
      <ns0:c r="AD666" s="0">
        <ns0:f>IF(AND(J666&gt;0,T666&gt;0,Y666&lt;=Z666),1,0)</ns0:f>
        <ns0:v>0</ns0:v>
      </ns0:c>
    </ns0:row>
    <ns0:row r="667">
      <ns0:c r="A667" s="0">
        <ns0:f>IFERROR(IF(ISNUMBER(Bookings!B667),"",TRIM(Bookings!B667&amp;"")),"")</ns0:f>
      </ns0:c>
      <ns0:c r="B667" s="0">
        <ns0:f>IFERROR(SUBSTITUTE(SUBSTITUTE(A667,"/","."),"-","."),"")</ns0:f>
      </ns0:c>
      <ns0:c r="C667" s="0">
        <ns0:f>IFERROR(LEFT(B667,FIND(".",B667)-1),"")</ns0:f>
      </ns0:c>
      <ns0:c r="D667" s="0">
        <ns0:f>IFERROR(MID(B667,FIND(".",B667)+1,FIND(".",B667,FIND(".",B667)+1)-FIND(".",B667)-1),"")</ns0:f>
      </ns0:c>
      <ns0:c r="E667" s="0">
        <ns0:f>IFERROR(MID(B667,FIND(".",B667,FIND(".",B667)+1)+1,99),"")</ns0:f>
        <ns0:v>99</ns0:v>
      </ns0:c>
      <ns0:c r="F667" s="0">
        <ns0:f>IFERROR(IF(FIND(".",B667)=5,--C667,--E667),0)</ns0:f>
        <ns0:v>0</ns0:v>
      </ns0:c>
      <ns0:c r="G667" s="0">
        <ns0:f>IFERROR(--D667,0)</ns0:f>
        <ns0:v>0</ns0:v>
      </ns0:c>
      <ns0:c r="H667" s="0">
        <ns0:f>IFERROR(IF(FIND(".",B667)=5,--E667,--C667),0)</ns0:f>
        <ns0:v>0</ns0:v>
      </ns0:c>
      <ns0:c r="I667" s="0">
        <ns0:f>IFERROR(IF(AND(F667&gt;=2000,F667&lt;=2100,G667&gt;=1,G667&lt;=12,H667&gt;=1,H667&lt;=31),DATE(F667,G667,H667),0),0)</ns0:f>
        <ns0:v>0</ns0:v>
      </ns0:c>
      <ns0:c r="J667" s="0">
        <ns0:f>IFERROR(IF(ISNUMBER(Bookings!B667),IF(AND(Bookings!B667=INT(Bookings!B667),Bookings!B667&gt;=DATE(2000,1,1),Bookings!B667&lt;=DATE(2100,12,31)),Bookings!B667,0),IF(AND(A667&lt;&gt;"",LEN("x"&amp;B667)-LEN(SUBSTITUTE("x"&amp;B667,".",""))=2,OR(1&gt;LEN(B667),MID(B667,1,1)=".",ISNUMBER(FIND("x"&amp;MID(B667,1,1),"x0x1x2x3x4x5x6x7x8x9"))),OR(2&gt;LEN(B667),MID(B667,2,1)=".",ISNUMBER(FIND("x"&amp;MID(B667,2,1),"x0x1x2x3x4x5x6x7x8x9"))),OR(3&gt;LEN(B667),MID(B667,3,1)=".",ISNUMBER(FIND("x"&amp;MID(B667,3,1),"x0x1x2x3x4x5x6x7x8x9"))),OR(4&gt;LEN(B667),MID(B667,4,1)=".",ISNUMBER(FIND("x"&amp;MID(B667,4,1),"x0x1x2x3x4x5x6x7x8x9"))),OR(5&gt;LEN(B667),MID(B667,5,1)=".",ISNUMBER(FIND("x"&amp;MID(B667,5,1),"x0x1x2x3x4x5x6x7x8x9"))),OR(6&gt;LEN(B667),MID(B667,6,1)=".",ISNUMBER(FIND("x"&amp;MID(B667,6,1),"x0x1x2x3x4x5x6x7x8x9"))),OR(7&gt;LEN(B667),MID(B667,7,1)=".",ISNUMBER(FIND("x"&amp;MID(B667,7,1),"x0x1x2x3x4x5x6x7x8x9"))),OR(8&gt;LEN(B667),MID(B667,8,1)=".",ISNUMBER(FIND("x"&amp;MID(B667,8,1),"x0x1x2x3x4x5x6x7x8x9"))),OR(9&gt;LEN(B667),MID(B667,9,1)=".",ISNUMBER(FIND("x"&amp;MID(B667,9,1),"x0x1x2x3x4x5x6x7x8x9"))),OR(10&gt;LEN(B667),MID(B667,10,1)=".",ISNUMBER(FIND("x"&amp;MID(B667,10,1),"x0x1x2x3x4x5x6x7x8x9"))),OR(AND(FIND(".",B667)=5,LEN(B667)-FIND(".",B667,FIND(".",B667)+1)&gt;=1,LEN(B667)-FIND(".",B667,FIND(".",B667)+1)&lt;=2),AND(LEN(B667)-FIND(".",B667,FIND(".",B667)+1)=4,FIND(".",B667)&gt;=2,FIND(".",B667)&lt;=3)),FIND(".",B667,FIND(".",B667)+1)-FIND(".",B667)&gt;=2,FIND(".",B667,FIND(".",B667)+1)-FIND(".",B667)&lt;=3,F667&gt;=2000,F667&lt;=2100,YEAR(I667)=F667,MONTH(I667)=G667,DAY(I667)=H667),I667,0)),0)</ns0:f>
        <ns0:v>0</ns0:v>
      </ns0:c>
      <ns0:c r="K667" s="0">
        <ns0:f>IFERROR(IF(ISNUMBER(Bookings!D667),"",TRIM(Bookings!D667&amp;"")),"")</ns0:f>
      </ns0:c>
      <ns0:c r="L667" s="0">
        <ns0:f>IFERROR(SUBSTITUTE(SUBSTITUTE(K667,"/","."),"-","."),"")</ns0:f>
      </ns0:c>
      <ns0:c r="M667" s="0">
        <ns0:f>IFERROR(LEFT(L667,FIND(".",L667)-1),"")</ns0:f>
      </ns0:c>
      <ns0:c r="N667" s="0">
        <ns0:f>IFERROR(MID(L667,FIND(".",L667)+1,FIND(".",L667,FIND(".",L667)+1)-FIND(".",L667)-1),"")</ns0:f>
      </ns0:c>
      <ns0:c r="O667" s="0">
        <ns0:f>IFERROR(MID(L667,FIND(".",L667,FIND(".",L667)+1)+1,99),"")</ns0:f>
        <ns0:v>99</ns0:v>
      </ns0:c>
      <ns0:c r="P667" s="0">
        <ns0:f>IFERROR(IF(FIND(".",L667)=5,--M667,--O667),0)</ns0:f>
        <ns0:v>0</ns0:v>
      </ns0:c>
      <ns0:c r="Q667" s="0">
        <ns0:f>IFERROR(--N667,0)</ns0:f>
        <ns0:v>0</ns0:v>
      </ns0:c>
      <ns0:c r="R667" s="0">
        <ns0:f>IFERROR(IF(FIND(".",L667)=5,--O667,--M667),0)</ns0:f>
        <ns0:v>0</ns0:v>
      </ns0:c>
      <ns0:c r="S667" s="0">
        <ns0:f>IFERROR(IF(AND(P667&gt;=2000,P667&lt;=2100,Q667&gt;=1,Q667&lt;=12,R667&gt;=1,R667&lt;=31),DATE(P667,Q667,R667),0),0)</ns0:f>
        <ns0:v>0</ns0:v>
      </ns0:c>
      <ns0:c r="T667" s="0">
        <ns0:f>IFERROR(IF(ISNUMBER(Bookings!D667),IF(AND(Bookings!D667=INT(Bookings!D667),Bookings!D667&gt;=DATE(2000,1,1),Bookings!D667&lt;=DATE(2100,12,31)),Bookings!D667,0),IF(AND(K667&lt;&gt;"",LEN("x"&amp;L667)-LEN(SUBSTITUTE("x"&amp;L667,".",""))=2,OR(1&gt;LEN(L667),MID(L667,1,1)=".",ISNUMBER(FIND("x"&amp;MID(L667,1,1),"x0x1x2x3x4x5x6x7x8x9"))),OR(2&gt;LEN(L667),MID(L667,2,1)=".",ISNUMBER(FIND("x"&amp;MID(L667,2,1),"x0x1x2x3x4x5x6x7x8x9"))),OR(3&gt;LEN(L667),MID(L667,3,1)=".",ISNUMBER(FIND("x"&amp;MID(L667,3,1),"x0x1x2x3x4x5x6x7x8x9"))),OR(4&gt;LEN(L667),MID(L667,4,1)=".",ISNUMBER(FIND("x"&amp;MID(L667,4,1),"x0x1x2x3x4x5x6x7x8x9"))),OR(5&gt;LEN(L667),MID(L667,5,1)=".",ISNUMBER(FIND("x"&amp;MID(L667,5,1),"x0x1x2x3x4x5x6x7x8x9"))),OR(6&gt;LEN(L667),MID(L667,6,1)=".",ISNUMBER(FIND("x"&amp;MID(L667,6,1),"x0x1x2x3x4x5x6x7x8x9"))),OR(7&gt;LEN(L667),MID(L667,7,1)=".",ISNUMBER(FIND("x"&amp;MID(L667,7,1),"x0x1x2x3x4x5x6x7x8x9"))),OR(8&gt;LEN(L667),MID(L667,8,1)=".",ISNUMBER(FIND("x"&amp;MID(L667,8,1),"x0x1x2x3x4x5x6x7x8x9"))),OR(9&gt;LEN(L667),MID(L667,9,1)=".",ISNUMBER(FIND("x"&amp;MID(L667,9,1),"x0x1x2x3x4x5x6x7x8x9"))),OR(10&gt;LEN(L667),MID(L667,10,1)=".",ISNUMBER(FIND("x"&amp;MID(L667,10,1),"x0x1x2x3x4x5x6x7x8x9"))),OR(AND(FIND(".",L667)=5,LEN(L667)-FIND(".",L667,FIND(".",L667)+1)&gt;=1,LEN(L667)-FIND(".",L667,FIND(".",L667)+1)&lt;=2),AND(LEN(L667)-FIND(".",L667,FIND(".",L667)+1)=4,FIND(".",L667)&gt;=2,FIND(".",L667)&lt;=3)),FIND(".",L667,FIND(".",L667)+1)-FIND(".",L667)&gt;=2,FIND(".",L667,FIND(".",L667)+1)-FIND(".",L667)&lt;=3,P667&gt;=2000,P667&lt;=2100,YEAR(S667)=P667,MONTH(S667)=Q667,DAY(S667)=R667),S667,0)),0)</ns0:f>
        <ns0:v>0</ns0:v>
      </ns0:c>
      <ns0:c r="U667" s="0" t="str">
        <ns0:f>IF(Bookings!C667="","Full day",Bookings!C667)</ns0:f>
        <ns0:v>Full day</ns0:v>
      </ns0:c>
      <ns0:c r="V667" s="0" t="str">
        <ns0:f>IF(Bookings!E667="","Full day",Bookings!E667)</ns0:f>
        <ns0:v>Full day</ns0:v>
      </ns0:c>
      <ns0:c r="W667" s="0">
        <ns0:f>IF(J667=0,0,J667+IF(U667="PM",1,0))</ns0:f>
        <ns0:v>0</ns0:v>
      </ns0:c>
      <ns0:c r="X667" s="0">
        <ns0:f>IF(T667=0,0,T667-IF(V667="PM",1,0))</ns0:f>
        <ns0:v>0</ns0:v>
      </ns0:c>
      <ns0:c r="Y667" s="0">
        <ns0:f>IF(J667=0,0,J667+IF(U667="AM",1,0))</ns0:f>
        <ns0:v>0</ns0:v>
      </ns0:c>
      <ns0:c r="Z667" s="0">
        <ns0:f>IF(T667=0,0,T667-IF(V667="AM",1,0))</ns0:f>
        <ns0:v>0</ns0:v>
      </ns0:c>
      <ns0:c r="AA667" s="0">
        <ns0:f>IFERROR(IF(AND(J667&gt;0,'_Engine'!C667&gt;0,MID('_Engine'!W667,WEEKDAY(J667,2),1)="W",COUNTIF(Settings!$F$18:$F$67,J667)=0),1,0),0)</ns0:f>
        <ns0:v>0</ns0:v>
      </ns0:c>
      <ns0:c r="AB667" s="0">
        <ns0:f>IFERROR(IF(AND(T667&gt;0,'_Engine'!C667&gt;0,MID('_Engine'!W667,WEEKDAY(T667,2),1)="W",COUNTIF(Settings!$F$18:$F$67,T667)=0),1,0),0)</ns0:f>
        <ns0:v>0</ns0:v>
      </ns0:c>
      <ns0:c r="AC667" s="0">
        <ns0:f>IF(AND(J667&gt;0,T667&gt;0,W667&lt;=X667),1,0)</ns0:f>
        <ns0:v>0</ns0:v>
      </ns0:c>
      <ns0:c r="AD667" s="0">
        <ns0:f>IF(AND(J667&gt;0,T667&gt;0,Y667&lt;=Z667),1,0)</ns0:f>
        <ns0:v>0</ns0:v>
      </ns0:c>
    </ns0:row>
    <ns0:row r="668">
      <ns0:c r="A668" s="0">
        <ns0:f>IFERROR(IF(ISNUMBER(Bookings!B668),"",TRIM(Bookings!B668&amp;"")),"")</ns0:f>
      </ns0:c>
      <ns0:c r="B668" s="0">
        <ns0:f>IFERROR(SUBSTITUTE(SUBSTITUTE(A668,"/","."),"-","."),"")</ns0:f>
      </ns0:c>
      <ns0:c r="C668" s="0">
        <ns0:f>IFERROR(LEFT(B668,FIND(".",B668)-1),"")</ns0:f>
      </ns0:c>
      <ns0:c r="D668" s="0">
        <ns0:f>IFERROR(MID(B668,FIND(".",B668)+1,FIND(".",B668,FIND(".",B668)+1)-FIND(".",B668)-1),"")</ns0:f>
      </ns0:c>
      <ns0:c r="E668" s="0">
        <ns0:f>IFERROR(MID(B668,FIND(".",B668,FIND(".",B668)+1)+1,99),"")</ns0:f>
        <ns0:v>99</ns0:v>
      </ns0:c>
      <ns0:c r="F668" s="0">
        <ns0:f>IFERROR(IF(FIND(".",B668)=5,--C668,--E668),0)</ns0:f>
        <ns0:v>0</ns0:v>
      </ns0:c>
      <ns0:c r="G668" s="0">
        <ns0:f>IFERROR(--D668,0)</ns0:f>
        <ns0:v>0</ns0:v>
      </ns0:c>
      <ns0:c r="H668" s="0">
        <ns0:f>IFERROR(IF(FIND(".",B668)=5,--E668,--C668),0)</ns0:f>
        <ns0:v>0</ns0:v>
      </ns0:c>
      <ns0:c r="I668" s="0">
        <ns0:f>IFERROR(IF(AND(F668&gt;=2000,F668&lt;=2100,G668&gt;=1,G668&lt;=12,H668&gt;=1,H668&lt;=31),DATE(F668,G668,H668),0),0)</ns0:f>
        <ns0:v>0</ns0:v>
      </ns0:c>
      <ns0:c r="J668" s="0">
        <ns0:f>IFERROR(IF(ISNUMBER(Bookings!B668),IF(AND(Bookings!B668=INT(Bookings!B668),Bookings!B668&gt;=DATE(2000,1,1),Bookings!B668&lt;=DATE(2100,12,31)),Bookings!B668,0),IF(AND(A668&lt;&gt;"",LEN("x"&amp;B668)-LEN(SUBSTITUTE("x"&amp;B668,".",""))=2,OR(1&gt;LEN(B668),MID(B668,1,1)=".",ISNUMBER(FIND("x"&amp;MID(B668,1,1),"x0x1x2x3x4x5x6x7x8x9"))),OR(2&gt;LEN(B668),MID(B668,2,1)=".",ISNUMBER(FIND("x"&amp;MID(B668,2,1),"x0x1x2x3x4x5x6x7x8x9"))),OR(3&gt;LEN(B668),MID(B668,3,1)=".",ISNUMBER(FIND("x"&amp;MID(B668,3,1),"x0x1x2x3x4x5x6x7x8x9"))),OR(4&gt;LEN(B668),MID(B668,4,1)=".",ISNUMBER(FIND("x"&amp;MID(B668,4,1),"x0x1x2x3x4x5x6x7x8x9"))),OR(5&gt;LEN(B668),MID(B668,5,1)=".",ISNUMBER(FIND("x"&amp;MID(B668,5,1),"x0x1x2x3x4x5x6x7x8x9"))),OR(6&gt;LEN(B668),MID(B668,6,1)=".",ISNUMBER(FIND("x"&amp;MID(B668,6,1),"x0x1x2x3x4x5x6x7x8x9"))),OR(7&gt;LEN(B668),MID(B668,7,1)=".",ISNUMBER(FIND("x"&amp;MID(B668,7,1),"x0x1x2x3x4x5x6x7x8x9"))),OR(8&gt;LEN(B668),MID(B668,8,1)=".",ISNUMBER(FIND("x"&amp;MID(B668,8,1),"x0x1x2x3x4x5x6x7x8x9"))),OR(9&gt;LEN(B668),MID(B668,9,1)=".",ISNUMBER(FIND("x"&amp;MID(B668,9,1),"x0x1x2x3x4x5x6x7x8x9"))),OR(10&gt;LEN(B668),MID(B668,10,1)=".",ISNUMBER(FIND("x"&amp;MID(B668,10,1),"x0x1x2x3x4x5x6x7x8x9"))),OR(AND(FIND(".",B668)=5,LEN(B668)-FIND(".",B668,FIND(".",B668)+1)&gt;=1,LEN(B668)-FIND(".",B668,FIND(".",B668)+1)&lt;=2),AND(LEN(B668)-FIND(".",B668,FIND(".",B668)+1)=4,FIND(".",B668)&gt;=2,FIND(".",B668)&lt;=3)),FIND(".",B668,FIND(".",B668)+1)-FIND(".",B668)&gt;=2,FIND(".",B668,FIND(".",B668)+1)-FIND(".",B668)&lt;=3,F668&gt;=2000,F668&lt;=2100,YEAR(I668)=F668,MONTH(I668)=G668,DAY(I668)=H668),I668,0)),0)</ns0:f>
        <ns0:v>0</ns0:v>
      </ns0:c>
      <ns0:c r="K668" s="0">
        <ns0:f>IFERROR(IF(ISNUMBER(Bookings!D668),"",TRIM(Bookings!D668&amp;"")),"")</ns0:f>
      </ns0:c>
      <ns0:c r="L668" s="0">
        <ns0:f>IFERROR(SUBSTITUTE(SUBSTITUTE(K668,"/","."),"-","."),"")</ns0:f>
      </ns0:c>
      <ns0:c r="M668" s="0">
        <ns0:f>IFERROR(LEFT(L668,FIND(".",L668)-1),"")</ns0:f>
      </ns0:c>
      <ns0:c r="N668" s="0">
        <ns0:f>IFERROR(MID(L668,FIND(".",L668)+1,FIND(".",L668,FIND(".",L668)+1)-FIND(".",L668)-1),"")</ns0:f>
      </ns0:c>
      <ns0:c r="O668" s="0">
        <ns0:f>IFERROR(MID(L668,FIND(".",L668,FIND(".",L668)+1)+1,99),"")</ns0:f>
        <ns0:v>99</ns0:v>
      </ns0:c>
      <ns0:c r="P668" s="0">
        <ns0:f>IFERROR(IF(FIND(".",L668)=5,--M668,--O668),0)</ns0:f>
        <ns0:v>0</ns0:v>
      </ns0:c>
      <ns0:c r="Q668" s="0">
        <ns0:f>IFERROR(--N668,0)</ns0:f>
        <ns0:v>0</ns0:v>
      </ns0:c>
      <ns0:c r="R668" s="0">
        <ns0:f>IFERROR(IF(FIND(".",L668)=5,--O668,--M668),0)</ns0:f>
        <ns0:v>0</ns0:v>
      </ns0:c>
      <ns0:c r="S668" s="0">
        <ns0:f>IFERROR(IF(AND(P668&gt;=2000,P668&lt;=2100,Q668&gt;=1,Q668&lt;=12,R668&gt;=1,R668&lt;=31),DATE(P668,Q668,R668),0),0)</ns0:f>
        <ns0:v>0</ns0:v>
      </ns0:c>
      <ns0:c r="T668" s="0">
        <ns0:f>IFERROR(IF(ISNUMBER(Bookings!D668),IF(AND(Bookings!D668=INT(Bookings!D668),Bookings!D668&gt;=DATE(2000,1,1),Bookings!D668&lt;=DATE(2100,12,31)),Bookings!D668,0),IF(AND(K668&lt;&gt;"",LEN("x"&amp;L668)-LEN(SUBSTITUTE("x"&amp;L668,".",""))=2,OR(1&gt;LEN(L668),MID(L668,1,1)=".",ISNUMBER(FIND("x"&amp;MID(L668,1,1),"x0x1x2x3x4x5x6x7x8x9"))),OR(2&gt;LEN(L668),MID(L668,2,1)=".",ISNUMBER(FIND("x"&amp;MID(L668,2,1),"x0x1x2x3x4x5x6x7x8x9"))),OR(3&gt;LEN(L668),MID(L668,3,1)=".",ISNUMBER(FIND("x"&amp;MID(L668,3,1),"x0x1x2x3x4x5x6x7x8x9"))),OR(4&gt;LEN(L668),MID(L668,4,1)=".",ISNUMBER(FIND("x"&amp;MID(L668,4,1),"x0x1x2x3x4x5x6x7x8x9"))),OR(5&gt;LEN(L668),MID(L668,5,1)=".",ISNUMBER(FIND("x"&amp;MID(L668,5,1),"x0x1x2x3x4x5x6x7x8x9"))),OR(6&gt;LEN(L668),MID(L668,6,1)=".",ISNUMBER(FIND("x"&amp;MID(L668,6,1),"x0x1x2x3x4x5x6x7x8x9"))),OR(7&gt;LEN(L668),MID(L668,7,1)=".",ISNUMBER(FIND("x"&amp;MID(L668,7,1),"x0x1x2x3x4x5x6x7x8x9"))),OR(8&gt;LEN(L668),MID(L668,8,1)=".",ISNUMBER(FIND("x"&amp;MID(L668,8,1),"x0x1x2x3x4x5x6x7x8x9"))),OR(9&gt;LEN(L668),MID(L668,9,1)=".",ISNUMBER(FIND("x"&amp;MID(L668,9,1),"x0x1x2x3x4x5x6x7x8x9"))),OR(10&gt;LEN(L668),MID(L668,10,1)=".",ISNUMBER(FIND("x"&amp;MID(L668,10,1),"x0x1x2x3x4x5x6x7x8x9"))),OR(AND(FIND(".",L668)=5,LEN(L668)-FIND(".",L668,FIND(".",L668)+1)&gt;=1,LEN(L668)-FIND(".",L668,FIND(".",L668)+1)&lt;=2),AND(LEN(L668)-FIND(".",L668,FIND(".",L668)+1)=4,FIND(".",L668)&gt;=2,FIND(".",L668)&lt;=3)),FIND(".",L668,FIND(".",L668)+1)-FIND(".",L668)&gt;=2,FIND(".",L668,FIND(".",L668)+1)-FIND(".",L668)&lt;=3,P668&gt;=2000,P668&lt;=2100,YEAR(S668)=P668,MONTH(S668)=Q668,DAY(S668)=R668),S668,0)),0)</ns0:f>
        <ns0:v>0</ns0:v>
      </ns0:c>
      <ns0:c r="U668" s="0" t="str">
        <ns0:f>IF(Bookings!C668="","Full day",Bookings!C668)</ns0:f>
        <ns0:v>Full day</ns0:v>
      </ns0:c>
      <ns0:c r="V668" s="0" t="str">
        <ns0:f>IF(Bookings!E668="","Full day",Bookings!E668)</ns0:f>
        <ns0:v>Full day</ns0:v>
      </ns0:c>
      <ns0:c r="W668" s="0">
        <ns0:f>IF(J668=0,0,J668+IF(U668="PM",1,0))</ns0:f>
        <ns0:v>0</ns0:v>
      </ns0:c>
      <ns0:c r="X668" s="0">
        <ns0:f>IF(T668=0,0,T668-IF(V668="PM",1,0))</ns0:f>
        <ns0:v>0</ns0:v>
      </ns0:c>
      <ns0:c r="Y668" s="0">
        <ns0:f>IF(J668=0,0,J668+IF(U668="AM",1,0))</ns0:f>
        <ns0:v>0</ns0:v>
      </ns0:c>
      <ns0:c r="Z668" s="0">
        <ns0:f>IF(T668=0,0,T668-IF(V668="AM",1,0))</ns0:f>
        <ns0:v>0</ns0:v>
      </ns0:c>
      <ns0:c r="AA668" s="0">
        <ns0:f>IFERROR(IF(AND(J668&gt;0,'_Engine'!C668&gt;0,MID('_Engine'!W668,WEEKDAY(J668,2),1)="W",COUNTIF(Settings!$F$18:$F$67,J668)=0),1,0),0)</ns0:f>
        <ns0:v>0</ns0:v>
      </ns0:c>
      <ns0:c r="AB668" s="0">
        <ns0:f>IFERROR(IF(AND(T668&gt;0,'_Engine'!C668&gt;0,MID('_Engine'!W668,WEEKDAY(T668,2),1)="W",COUNTIF(Settings!$F$18:$F$67,T668)=0),1,0),0)</ns0:f>
        <ns0:v>0</ns0:v>
      </ns0:c>
      <ns0:c r="AC668" s="0">
        <ns0:f>IF(AND(J668&gt;0,T668&gt;0,W668&lt;=X668),1,0)</ns0:f>
        <ns0:v>0</ns0:v>
      </ns0:c>
      <ns0:c r="AD668" s="0">
        <ns0:f>IF(AND(J668&gt;0,T668&gt;0,Y668&lt;=Z668),1,0)</ns0:f>
        <ns0:v>0</ns0:v>
      </ns0:c>
    </ns0:row>
    <ns0:row r="669">
      <ns0:c r="A669" s="0">
        <ns0:f>IFERROR(IF(ISNUMBER(Bookings!B669),"",TRIM(Bookings!B669&amp;"")),"")</ns0:f>
      </ns0:c>
      <ns0:c r="B669" s="0">
        <ns0:f>IFERROR(SUBSTITUTE(SUBSTITUTE(A669,"/","."),"-","."),"")</ns0:f>
      </ns0:c>
      <ns0:c r="C669" s="0">
        <ns0:f>IFERROR(LEFT(B669,FIND(".",B669)-1),"")</ns0:f>
      </ns0:c>
      <ns0:c r="D669" s="0">
        <ns0:f>IFERROR(MID(B669,FIND(".",B669)+1,FIND(".",B669,FIND(".",B669)+1)-FIND(".",B669)-1),"")</ns0:f>
      </ns0:c>
      <ns0:c r="E669" s="0">
        <ns0:f>IFERROR(MID(B669,FIND(".",B669,FIND(".",B669)+1)+1,99),"")</ns0:f>
        <ns0:v>99</ns0:v>
      </ns0:c>
      <ns0:c r="F669" s="0">
        <ns0:f>IFERROR(IF(FIND(".",B669)=5,--C669,--E669),0)</ns0:f>
        <ns0:v>0</ns0:v>
      </ns0:c>
      <ns0:c r="G669" s="0">
        <ns0:f>IFERROR(--D669,0)</ns0:f>
        <ns0:v>0</ns0:v>
      </ns0:c>
      <ns0:c r="H669" s="0">
        <ns0:f>IFERROR(IF(FIND(".",B669)=5,--E669,--C669),0)</ns0:f>
        <ns0:v>0</ns0:v>
      </ns0:c>
      <ns0:c r="I669" s="0">
        <ns0:f>IFERROR(IF(AND(F669&gt;=2000,F669&lt;=2100,G669&gt;=1,G669&lt;=12,H669&gt;=1,H669&lt;=31),DATE(F669,G669,H669),0),0)</ns0:f>
        <ns0:v>0</ns0:v>
      </ns0:c>
      <ns0:c r="J669" s="0">
        <ns0:f>IFERROR(IF(ISNUMBER(Bookings!B669),IF(AND(Bookings!B669=INT(Bookings!B669),Bookings!B669&gt;=DATE(2000,1,1),Bookings!B669&lt;=DATE(2100,12,31)),Bookings!B669,0),IF(AND(A669&lt;&gt;"",LEN("x"&amp;B669)-LEN(SUBSTITUTE("x"&amp;B669,".",""))=2,OR(1&gt;LEN(B669),MID(B669,1,1)=".",ISNUMBER(FIND("x"&amp;MID(B669,1,1),"x0x1x2x3x4x5x6x7x8x9"))),OR(2&gt;LEN(B669),MID(B669,2,1)=".",ISNUMBER(FIND("x"&amp;MID(B669,2,1),"x0x1x2x3x4x5x6x7x8x9"))),OR(3&gt;LEN(B669),MID(B669,3,1)=".",ISNUMBER(FIND("x"&amp;MID(B669,3,1),"x0x1x2x3x4x5x6x7x8x9"))),OR(4&gt;LEN(B669),MID(B669,4,1)=".",ISNUMBER(FIND("x"&amp;MID(B669,4,1),"x0x1x2x3x4x5x6x7x8x9"))),OR(5&gt;LEN(B669),MID(B669,5,1)=".",ISNUMBER(FIND("x"&amp;MID(B669,5,1),"x0x1x2x3x4x5x6x7x8x9"))),OR(6&gt;LEN(B669),MID(B669,6,1)=".",ISNUMBER(FIND("x"&amp;MID(B669,6,1),"x0x1x2x3x4x5x6x7x8x9"))),OR(7&gt;LEN(B669),MID(B669,7,1)=".",ISNUMBER(FIND("x"&amp;MID(B669,7,1),"x0x1x2x3x4x5x6x7x8x9"))),OR(8&gt;LEN(B669),MID(B669,8,1)=".",ISNUMBER(FIND("x"&amp;MID(B669,8,1),"x0x1x2x3x4x5x6x7x8x9"))),OR(9&gt;LEN(B669),MID(B669,9,1)=".",ISNUMBER(FIND("x"&amp;MID(B669,9,1),"x0x1x2x3x4x5x6x7x8x9"))),OR(10&gt;LEN(B669),MID(B669,10,1)=".",ISNUMBER(FIND("x"&amp;MID(B669,10,1),"x0x1x2x3x4x5x6x7x8x9"))),OR(AND(FIND(".",B669)=5,LEN(B669)-FIND(".",B669,FIND(".",B669)+1)&gt;=1,LEN(B669)-FIND(".",B669,FIND(".",B669)+1)&lt;=2),AND(LEN(B669)-FIND(".",B669,FIND(".",B669)+1)=4,FIND(".",B669)&gt;=2,FIND(".",B669)&lt;=3)),FIND(".",B669,FIND(".",B669)+1)-FIND(".",B669)&gt;=2,FIND(".",B669,FIND(".",B669)+1)-FIND(".",B669)&lt;=3,F669&gt;=2000,F669&lt;=2100,YEAR(I669)=F669,MONTH(I669)=G669,DAY(I669)=H669),I669,0)),0)</ns0:f>
        <ns0:v>0</ns0:v>
      </ns0:c>
      <ns0:c r="K669" s="0">
        <ns0:f>IFERROR(IF(ISNUMBER(Bookings!D669),"",TRIM(Bookings!D669&amp;"")),"")</ns0:f>
      </ns0:c>
      <ns0:c r="L669" s="0">
        <ns0:f>IFERROR(SUBSTITUTE(SUBSTITUTE(K669,"/","."),"-","."),"")</ns0:f>
      </ns0:c>
      <ns0:c r="M669" s="0">
        <ns0:f>IFERROR(LEFT(L669,FIND(".",L669)-1),"")</ns0:f>
      </ns0:c>
      <ns0:c r="N669" s="0">
        <ns0:f>IFERROR(MID(L669,FIND(".",L669)+1,FIND(".",L669,FIND(".",L669)+1)-FIND(".",L669)-1),"")</ns0:f>
      </ns0:c>
      <ns0:c r="O669" s="0">
        <ns0:f>IFERROR(MID(L669,FIND(".",L669,FIND(".",L669)+1)+1,99),"")</ns0:f>
        <ns0:v>99</ns0:v>
      </ns0:c>
      <ns0:c r="P669" s="0">
        <ns0:f>IFERROR(IF(FIND(".",L669)=5,--M669,--O669),0)</ns0:f>
        <ns0:v>0</ns0:v>
      </ns0:c>
      <ns0:c r="Q669" s="0">
        <ns0:f>IFERROR(--N669,0)</ns0:f>
        <ns0:v>0</ns0:v>
      </ns0:c>
      <ns0:c r="R669" s="0">
        <ns0:f>IFERROR(IF(FIND(".",L669)=5,--O669,--M669),0)</ns0:f>
        <ns0:v>0</ns0:v>
      </ns0:c>
      <ns0:c r="S669" s="0">
        <ns0:f>IFERROR(IF(AND(P669&gt;=2000,P669&lt;=2100,Q669&gt;=1,Q669&lt;=12,R669&gt;=1,R669&lt;=31),DATE(P669,Q669,R669),0),0)</ns0:f>
        <ns0:v>0</ns0:v>
      </ns0:c>
      <ns0:c r="T669" s="0">
        <ns0:f>IFERROR(IF(ISNUMBER(Bookings!D669),IF(AND(Bookings!D669=INT(Bookings!D669),Bookings!D669&gt;=DATE(2000,1,1),Bookings!D669&lt;=DATE(2100,12,31)),Bookings!D669,0),IF(AND(K669&lt;&gt;"",LEN("x"&amp;L669)-LEN(SUBSTITUTE("x"&amp;L669,".",""))=2,OR(1&gt;LEN(L669),MID(L669,1,1)=".",ISNUMBER(FIND("x"&amp;MID(L669,1,1),"x0x1x2x3x4x5x6x7x8x9"))),OR(2&gt;LEN(L669),MID(L669,2,1)=".",ISNUMBER(FIND("x"&amp;MID(L669,2,1),"x0x1x2x3x4x5x6x7x8x9"))),OR(3&gt;LEN(L669),MID(L669,3,1)=".",ISNUMBER(FIND("x"&amp;MID(L669,3,1),"x0x1x2x3x4x5x6x7x8x9"))),OR(4&gt;LEN(L669),MID(L669,4,1)=".",ISNUMBER(FIND("x"&amp;MID(L669,4,1),"x0x1x2x3x4x5x6x7x8x9"))),OR(5&gt;LEN(L669),MID(L669,5,1)=".",ISNUMBER(FIND("x"&amp;MID(L669,5,1),"x0x1x2x3x4x5x6x7x8x9"))),OR(6&gt;LEN(L669),MID(L669,6,1)=".",ISNUMBER(FIND("x"&amp;MID(L669,6,1),"x0x1x2x3x4x5x6x7x8x9"))),OR(7&gt;LEN(L669),MID(L669,7,1)=".",ISNUMBER(FIND("x"&amp;MID(L669,7,1),"x0x1x2x3x4x5x6x7x8x9"))),OR(8&gt;LEN(L669),MID(L669,8,1)=".",ISNUMBER(FIND("x"&amp;MID(L669,8,1),"x0x1x2x3x4x5x6x7x8x9"))),OR(9&gt;LEN(L669),MID(L669,9,1)=".",ISNUMBER(FIND("x"&amp;MID(L669,9,1),"x0x1x2x3x4x5x6x7x8x9"))),OR(10&gt;LEN(L669),MID(L669,10,1)=".",ISNUMBER(FIND("x"&amp;MID(L669,10,1),"x0x1x2x3x4x5x6x7x8x9"))),OR(AND(FIND(".",L669)=5,LEN(L669)-FIND(".",L669,FIND(".",L669)+1)&gt;=1,LEN(L669)-FIND(".",L669,FIND(".",L669)+1)&lt;=2),AND(LEN(L669)-FIND(".",L669,FIND(".",L669)+1)=4,FIND(".",L669)&gt;=2,FIND(".",L669)&lt;=3)),FIND(".",L669,FIND(".",L669)+1)-FIND(".",L669)&gt;=2,FIND(".",L669,FIND(".",L669)+1)-FIND(".",L669)&lt;=3,P669&gt;=2000,P669&lt;=2100,YEAR(S669)=P669,MONTH(S669)=Q669,DAY(S669)=R669),S669,0)),0)</ns0:f>
        <ns0:v>0</ns0:v>
      </ns0:c>
      <ns0:c r="U669" s="0" t="str">
        <ns0:f>IF(Bookings!C669="","Full day",Bookings!C669)</ns0:f>
        <ns0:v>Full day</ns0:v>
      </ns0:c>
      <ns0:c r="V669" s="0" t="str">
        <ns0:f>IF(Bookings!E669="","Full day",Bookings!E669)</ns0:f>
        <ns0:v>Full day</ns0:v>
      </ns0:c>
      <ns0:c r="W669" s="0">
        <ns0:f>IF(J669=0,0,J669+IF(U669="PM",1,0))</ns0:f>
        <ns0:v>0</ns0:v>
      </ns0:c>
      <ns0:c r="X669" s="0">
        <ns0:f>IF(T669=0,0,T669-IF(V669="PM",1,0))</ns0:f>
        <ns0:v>0</ns0:v>
      </ns0:c>
      <ns0:c r="Y669" s="0">
        <ns0:f>IF(J669=0,0,J669+IF(U669="AM",1,0))</ns0:f>
        <ns0:v>0</ns0:v>
      </ns0:c>
      <ns0:c r="Z669" s="0">
        <ns0:f>IF(T669=0,0,T669-IF(V669="AM",1,0))</ns0:f>
        <ns0:v>0</ns0:v>
      </ns0:c>
      <ns0:c r="AA669" s="0">
        <ns0:f>IFERROR(IF(AND(J669&gt;0,'_Engine'!C669&gt;0,MID('_Engine'!W669,WEEKDAY(J669,2),1)="W",COUNTIF(Settings!$F$18:$F$67,J669)=0),1,0),0)</ns0:f>
        <ns0:v>0</ns0:v>
      </ns0:c>
      <ns0:c r="AB669" s="0">
        <ns0:f>IFERROR(IF(AND(T669&gt;0,'_Engine'!C669&gt;0,MID('_Engine'!W669,WEEKDAY(T669,2),1)="W",COUNTIF(Settings!$F$18:$F$67,T669)=0),1,0),0)</ns0:f>
        <ns0:v>0</ns0:v>
      </ns0:c>
      <ns0:c r="AC669" s="0">
        <ns0:f>IF(AND(J669&gt;0,T669&gt;0,W669&lt;=X669),1,0)</ns0:f>
        <ns0:v>0</ns0:v>
      </ns0:c>
      <ns0:c r="AD669" s="0">
        <ns0:f>IF(AND(J669&gt;0,T669&gt;0,Y669&lt;=Z669),1,0)</ns0:f>
        <ns0:v>0</ns0:v>
      </ns0:c>
    </ns0:row>
    <ns0:row r="670">
      <ns0:c r="A670" s="0">
        <ns0:f>IFERROR(IF(ISNUMBER(Bookings!B670),"",TRIM(Bookings!B670&amp;"")),"")</ns0:f>
      </ns0:c>
      <ns0:c r="B670" s="0">
        <ns0:f>IFERROR(SUBSTITUTE(SUBSTITUTE(A670,"/","."),"-","."),"")</ns0:f>
      </ns0:c>
      <ns0:c r="C670" s="0">
        <ns0:f>IFERROR(LEFT(B670,FIND(".",B670)-1),"")</ns0:f>
      </ns0:c>
      <ns0:c r="D670" s="0">
        <ns0:f>IFERROR(MID(B670,FIND(".",B670)+1,FIND(".",B670,FIND(".",B670)+1)-FIND(".",B670)-1),"")</ns0:f>
      </ns0:c>
      <ns0:c r="E670" s="0">
        <ns0:f>IFERROR(MID(B670,FIND(".",B670,FIND(".",B670)+1)+1,99),"")</ns0:f>
        <ns0:v>99</ns0:v>
      </ns0:c>
      <ns0:c r="F670" s="0">
        <ns0:f>IFERROR(IF(FIND(".",B670)=5,--C670,--E670),0)</ns0:f>
        <ns0:v>0</ns0:v>
      </ns0:c>
      <ns0:c r="G670" s="0">
        <ns0:f>IFERROR(--D670,0)</ns0:f>
        <ns0:v>0</ns0:v>
      </ns0:c>
      <ns0:c r="H670" s="0">
        <ns0:f>IFERROR(IF(FIND(".",B670)=5,--E670,--C670),0)</ns0:f>
        <ns0:v>0</ns0:v>
      </ns0:c>
      <ns0:c r="I670" s="0">
        <ns0:f>IFERROR(IF(AND(F670&gt;=2000,F670&lt;=2100,G670&gt;=1,G670&lt;=12,H670&gt;=1,H670&lt;=31),DATE(F670,G670,H670),0),0)</ns0:f>
        <ns0:v>0</ns0:v>
      </ns0:c>
      <ns0:c r="J670" s="0">
        <ns0:f>IFERROR(IF(ISNUMBER(Bookings!B670),IF(AND(Bookings!B670=INT(Bookings!B670),Bookings!B670&gt;=DATE(2000,1,1),Bookings!B670&lt;=DATE(2100,12,31)),Bookings!B670,0),IF(AND(A670&lt;&gt;"",LEN("x"&amp;B670)-LEN(SUBSTITUTE("x"&amp;B670,".",""))=2,OR(1&gt;LEN(B670),MID(B670,1,1)=".",ISNUMBER(FIND("x"&amp;MID(B670,1,1),"x0x1x2x3x4x5x6x7x8x9"))),OR(2&gt;LEN(B670),MID(B670,2,1)=".",ISNUMBER(FIND("x"&amp;MID(B670,2,1),"x0x1x2x3x4x5x6x7x8x9"))),OR(3&gt;LEN(B670),MID(B670,3,1)=".",ISNUMBER(FIND("x"&amp;MID(B670,3,1),"x0x1x2x3x4x5x6x7x8x9"))),OR(4&gt;LEN(B670),MID(B670,4,1)=".",ISNUMBER(FIND("x"&amp;MID(B670,4,1),"x0x1x2x3x4x5x6x7x8x9"))),OR(5&gt;LEN(B670),MID(B670,5,1)=".",ISNUMBER(FIND("x"&amp;MID(B670,5,1),"x0x1x2x3x4x5x6x7x8x9"))),OR(6&gt;LEN(B670),MID(B670,6,1)=".",ISNUMBER(FIND("x"&amp;MID(B670,6,1),"x0x1x2x3x4x5x6x7x8x9"))),OR(7&gt;LEN(B670),MID(B670,7,1)=".",ISNUMBER(FIND("x"&amp;MID(B670,7,1),"x0x1x2x3x4x5x6x7x8x9"))),OR(8&gt;LEN(B670),MID(B670,8,1)=".",ISNUMBER(FIND("x"&amp;MID(B670,8,1),"x0x1x2x3x4x5x6x7x8x9"))),OR(9&gt;LEN(B670),MID(B670,9,1)=".",ISNUMBER(FIND("x"&amp;MID(B670,9,1),"x0x1x2x3x4x5x6x7x8x9"))),OR(10&gt;LEN(B670),MID(B670,10,1)=".",ISNUMBER(FIND("x"&amp;MID(B670,10,1),"x0x1x2x3x4x5x6x7x8x9"))),OR(AND(FIND(".",B670)=5,LEN(B670)-FIND(".",B670,FIND(".",B670)+1)&gt;=1,LEN(B670)-FIND(".",B670,FIND(".",B670)+1)&lt;=2),AND(LEN(B670)-FIND(".",B670,FIND(".",B670)+1)=4,FIND(".",B670)&gt;=2,FIND(".",B670)&lt;=3)),FIND(".",B670,FIND(".",B670)+1)-FIND(".",B670)&gt;=2,FIND(".",B670,FIND(".",B670)+1)-FIND(".",B670)&lt;=3,F670&gt;=2000,F670&lt;=2100,YEAR(I670)=F670,MONTH(I670)=G670,DAY(I670)=H670),I670,0)),0)</ns0:f>
        <ns0:v>0</ns0:v>
      </ns0:c>
      <ns0:c r="K670" s="0">
        <ns0:f>IFERROR(IF(ISNUMBER(Bookings!D670),"",TRIM(Bookings!D670&amp;"")),"")</ns0:f>
      </ns0:c>
      <ns0:c r="L670" s="0">
        <ns0:f>IFERROR(SUBSTITUTE(SUBSTITUTE(K670,"/","."),"-","."),"")</ns0:f>
      </ns0:c>
      <ns0:c r="M670" s="0">
        <ns0:f>IFERROR(LEFT(L670,FIND(".",L670)-1),"")</ns0:f>
      </ns0:c>
      <ns0:c r="N670" s="0">
        <ns0:f>IFERROR(MID(L670,FIND(".",L670)+1,FIND(".",L670,FIND(".",L670)+1)-FIND(".",L670)-1),"")</ns0:f>
      </ns0:c>
      <ns0:c r="O670" s="0">
        <ns0:f>IFERROR(MID(L670,FIND(".",L670,FIND(".",L670)+1)+1,99),"")</ns0:f>
        <ns0:v>99</ns0:v>
      </ns0:c>
      <ns0:c r="P670" s="0">
        <ns0:f>IFERROR(IF(FIND(".",L670)=5,--M670,--O670),0)</ns0:f>
        <ns0:v>0</ns0:v>
      </ns0:c>
      <ns0:c r="Q670" s="0">
        <ns0:f>IFERROR(--N670,0)</ns0:f>
        <ns0:v>0</ns0:v>
      </ns0:c>
      <ns0:c r="R670" s="0">
        <ns0:f>IFERROR(IF(FIND(".",L670)=5,--O670,--M670),0)</ns0:f>
        <ns0:v>0</ns0:v>
      </ns0:c>
      <ns0:c r="S670" s="0">
        <ns0:f>IFERROR(IF(AND(P670&gt;=2000,P670&lt;=2100,Q670&gt;=1,Q670&lt;=12,R670&gt;=1,R670&lt;=31),DATE(P670,Q670,R670),0),0)</ns0:f>
        <ns0:v>0</ns0:v>
      </ns0:c>
      <ns0:c r="T670" s="0">
        <ns0:f>IFERROR(IF(ISNUMBER(Bookings!D670),IF(AND(Bookings!D670=INT(Bookings!D670),Bookings!D670&gt;=DATE(2000,1,1),Bookings!D670&lt;=DATE(2100,12,31)),Bookings!D670,0),IF(AND(K670&lt;&gt;"",LEN("x"&amp;L670)-LEN(SUBSTITUTE("x"&amp;L670,".",""))=2,OR(1&gt;LEN(L670),MID(L670,1,1)=".",ISNUMBER(FIND("x"&amp;MID(L670,1,1),"x0x1x2x3x4x5x6x7x8x9"))),OR(2&gt;LEN(L670),MID(L670,2,1)=".",ISNUMBER(FIND("x"&amp;MID(L670,2,1),"x0x1x2x3x4x5x6x7x8x9"))),OR(3&gt;LEN(L670),MID(L670,3,1)=".",ISNUMBER(FIND("x"&amp;MID(L670,3,1),"x0x1x2x3x4x5x6x7x8x9"))),OR(4&gt;LEN(L670),MID(L670,4,1)=".",ISNUMBER(FIND("x"&amp;MID(L670,4,1),"x0x1x2x3x4x5x6x7x8x9"))),OR(5&gt;LEN(L670),MID(L670,5,1)=".",ISNUMBER(FIND("x"&amp;MID(L670,5,1),"x0x1x2x3x4x5x6x7x8x9"))),OR(6&gt;LEN(L670),MID(L670,6,1)=".",ISNUMBER(FIND("x"&amp;MID(L670,6,1),"x0x1x2x3x4x5x6x7x8x9"))),OR(7&gt;LEN(L670),MID(L670,7,1)=".",ISNUMBER(FIND("x"&amp;MID(L670,7,1),"x0x1x2x3x4x5x6x7x8x9"))),OR(8&gt;LEN(L670),MID(L670,8,1)=".",ISNUMBER(FIND("x"&amp;MID(L670,8,1),"x0x1x2x3x4x5x6x7x8x9"))),OR(9&gt;LEN(L670),MID(L670,9,1)=".",ISNUMBER(FIND("x"&amp;MID(L670,9,1),"x0x1x2x3x4x5x6x7x8x9"))),OR(10&gt;LEN(L670),MID(L670,10,1)=".",ISNUMBER(FIND("x"&amp;MID(L670,10,1),"x0x1x2x3x4x5x6x7x8x9"))),OR(AND(FIND(".",L670)=5,LEN(L670)-FIND(".",L670,FIND(".",L670)+1)&gt;=1,LEN(L670)-FIND(".",L670,FIND(".",L670)+1)&lt;=2),AND(LEN(L670)-FIND(".",L670,FIND(".",L670)+1)=4,FIND(".",L670)&gt;=2,FIND(".",L670)&lt;=3)),FIND(".",L670,FIND(".",L670)+1)-FIND(".",L670)&gt;=2,FIND(".",L670,FIND(".",L670)+1)-FIND(".",L670)&lt;=3,P670&gt;=2000,P670&lt;=2100,YEAR(S670)=P670,MONTH(S670)=Q670,DAY(S670)=R670),S670,0)),0)</ns0:f>
        <ns0:v>0</ns0:v>
      </ns0:c>
      <ns0:c r="U670" s="0" t="str">
        <ns0:f>IF(Bookings!C670="","Full day",Bookings!C670)</ns0:f>
        <ns0:v>Full day</ns0:v>
      </ns0:c>
      <ns0:c r="V670" s="0" t="str">
        <ns0:f>IF(Bookings!E670="","Full day",Bookings!E670)</ns0:f>
        <ns0:v>Full day</ns0:v>
      </ns0:c>
      <ns0:c r="W670" s="0">
        <ns0:f>IF(J670=0,0,J670+IF(U670="PM",1,0))</ns0:f>
        <ns0:v>0</ns0:v>
      </ns0:c>
      <ns0:c r="X670" s="0">
        <ns0:f>IF(T670=0,0,T670-IF(V670="PM",1,0))</ns0:f>
        <ns0:v>0</ns0:v>
      </ns0:c>
      <ns0:c r="Y670" s="0">
        <ns0:f>IF(J670=0,0,J670+IF(U670="AM",1,0))</ns0:f>
        <ns0:v>0</ns0:v>
      </ns0:c>
      <ns0:c r="Z670" s="0">
        <ns0:f>IF(T670=0,0,T670-IF(V670="AM",1,0))</ns0:f>
        <ns0:v>0</ns0:v>
      </ns0:c>
      <ns0:c r="AA670" s="0">
        <ns0:f>IFERROR(IF(AND(J670&gt;0,'_Engine'!C670&gt;0,MID('_Engine'!W670,WEEKDAY(J670,2),1)="W",COUNTIF(Settings!$F$18:$F$67,J670)=0),1,0),0)</ns0:f>
        <ns0:v>0</ns0:v>
      </ns0:c>
      <ns0:c r="AB670" s="0">
        <ns0:f>IFERROR(IF(AND(T670&gt;0,'_Engine'!C670&gt;0,MID('_Engine'!W670,WEEKDAY(T670,2),1)="W",COUNTIF(Settings!$F$18:$F$67,T670)=0),1,0),0)</ns0:f>
        <ns0:v>0</ns0:v>
      </ns0:c>
      <ns0:c r="AC670" s="0">
        <ns0:f>IF(AND(J670&gt;0,T670&gt;0,W670&lt;=X670),1,0)</ns0:f>
        <ns0:v>0</ns0:v>
      </ns0:c>
      <ns0:c r="AD670" s="0">
        <ns0:f>IF(AND(J670&gt;0,T670&gt;0,Y670&lt;=Z670),1,0)</ns0:f>
        <ns0:v>0</ns0:v>
      </ns0:c>
    </ns0:row>
    <ns0:row r="671">
      <ns0:c r="A671" s="0">
        <ns0:f>IFERROR(IF(ISNUMBER(Bookings!B671),"",TRIM(Bookings!B671&amp;"")),"")</ns0:f>
      </ns0:c>
      <ns0:c r="B671" s="0">
        <ns0:f>IFERROR(SUBSTITUTE(SUBSTITUTE(A671,"/","."),"-","."),"")</ns0:f>
      </ns0:c>
      <ns0:c r="C671" s="0">
        <ns0:f>IFERROR(LEFT(B671,FIND(".",B671)-1),"")</ns0:f>
      </ns0:c>
      <ns0:c r="D671" s="0">
        <ns0:f>IFERROR(MID(B671,FIND(".",B671)+1,FIND(".",B671,FIND(".",B671)+1)-FIND(".",B671)-1),"")</ns0:f>
      </ns0:c>
      <ns0:c r="E671" s="0">
        <ns0:f>IFERROR(MID(B671,FIND(".",B671,FIND(".",B671)+1)+1,99),"")</ns0:f>
        <ns0:v>99</ns0:v>
      </ns0:c>
      <ns0:c r="F671" s="0">
        <ns0:f>IFERROR(IF(FIND(".",B671)=5,--C671,--E671),0)</ns0:f>
        <ns0:v>0</ns0:v>
      </ns0:c>
      <ns0:c r="G671" s="0">
        <ns0:f>IFERROR(--D671,0)</ns0:f>
        <ns0:v>0</ns0:v>
      </ns0:c>
      <ns0:c r="H671" s="0">
        <ns0:f>IFERROR(IF(FIND(".",B671)=5,--E671,--C671),0)</ns0:f>
        <ns0:v>0</ns0:v>
      </ns0:c>
      <ns0:c r="I671" s="0">
        <ns0:f>IFERROR(IF(AND(F671&gt;=2000,F671&lt;=2100,G671&gt;=1,G671&lt;=12,H671&gt;=1,H671&lt;=31),DATE(F671,G671,H671),0),0)</ns0:f>
        <ns0:v>0</ns0:v>
      </ns0:c>
      <ns0:c r="J671" s="0">
        <ns0:f>IFERROR(IF(ISNUMBER(Bookings!B671),IF(AND(Bookings!B671=INT(Bookings!B671),Bookings!B671&gt;=DATE(2000,1,1),Bookings!B671&lt;=DATE(2100,12,31)),Bookings!B671,0),IF(AND(A671&lt;&gt;"",LEN("x"&amp;B671)-LEN(SUBSTITUTE("x"&amp;B671,".",""))=2,OR(1&gt;LEN(B671),MID(B671,1,1)=".",ISNUMBER(FIND("x"&amp;MID(B671,1,1),"x0x1x2x3x4x5x6x7x8x9"))),OR(2&gt;LEN(B671),MID(B671,2,1)=".",ISNUMBER(FIND("x"&amp;MID(B671,2,1),"x0x1x2x3x4x5x6x7x8x9"))),OR(3&gt;LEN(B671),MID(B671,3,1)=".",ISNUMBER(FIND("x"&amp;MID(B671,3,1),"x0x1x2x3x4x5x6x7x8x9"))),OR(4&gt;LEN(B671),MID(B671,4,1)=".",ISNUMBER(FIND("x"&amp;MID(B671,4,1),"x0x1x2x3x4x5x6x7x8x9"))),OR(5&gt;LEN(B671),MID(B671,5,1)=".",ISNUMBER(FIND("x"&amp;MID(B671,5,1),"x0x1x2x3x4x5x6x7x8x9"))),OR(6&gt;LEN(B671),MID(B671,6,1)=".",ISNUMBER(FIND("x"&amp;MID(B671,6,1),"x0x1x2x3x4x5x6x7x8x9"))),OR(7&gt;LEN(B671),MID(B671,7,1)=".",ISNUMBER(FIND("x"&amp;MID(B671,7,1),"x0x1x2x3x4x5x6x7x8x9"))),OR(8&gt;LEN(B671),MID(B671,8,1)=".",ISNUMBER(FIND("x"&amp;MID(B671,8,1),"x0x1x2x3x4x5x6x7x8x9"))),OR(9&gt;LEN(B671),MID(B671,9,1)=".",ISNUMBER(FIND("x"&amp;MID(B671,9,1),"x0x1x2x3x4x5x6x7x8x9"))),OR(10&gt;LEN(B671),MID(B671,10,1)=".",ISNUMBER(FIND("x"&amp;MID(B671,10,1),"x0x1x2x3x4x5x6x7x8x9"))),OR(AND(FIND(".",B671)=5,LEN(B671)-FIND(".",B671,FIND(".",B671)+1)&gt;=1,LEN(B671)-FIND(".",B671,FIND(".",B671)+1)&lt;=2),AND(LEN(B671)-FIND(".",B671,FIND(".",B671)+1)=4,FIND(".",B671)&gt;=2,FIND(".",B671)&lt;=3)),FIND(".",B671,FIND(".",B671)+1)-FIND(".",B671)&gt;=2,FIND(".",B671,FIND(".",B671)+1)-FIND(".",B671)&lt;=3,F671&gt;=2000,F671&lt;=2100,YEAR(I671)=F671,MONTH(I671)=G671,DAY(I671)=H671),I671,0)),0)</ns0:f>
        <ns0:v>0</ns0:v>
      </ns0:c>
      <ns0:c r="K671" s="0">
        <ns0:f>IFERROR(IF(ISNUMBER(Bookings!D671),"",TRIM(Bookings!D671&amp;"")),"")</ns0:f>
      </ns0:c>
      <ns0:c r="L671" s="0">
        <ns0:f>IFERROR(SUBSTITUTE(SUBSTITUTE(K671,"/","."),"-","."),"")</ns0:f>
      </ns0:c>
      <ns0:c r="M671" s="0">
        <ns0:f>IFERROR(LEFT(L671,FIND(".",L671)-1),"")</ns0:f>
      </ns0:c>
      <ns0:c r="N671" s="0">
        <ns0:f>IFERROR(MID(L671,FIND(".",L671)+1,FIND(".",L671,FIND(".",L671)+1)-FIND(".",L671)-1),"")</ns0:f>
      </ns0:c>
      <ns0:c r="O671" s="0">
        <ns0:f>IFERROR(MID(L671,FIND(".",L671,FIND(".",L671)+1)+1,99),"")</ns0:f>
        <ns0:v>99</ns0:v>
      </ns0:c>
      <ns0:c r="P671" s="0">
        <ns0:f>IFERROR(IF(FIND(".",L671)=5,--M671,--O671),0)</ns0:f>
        <ns0:v>0</ns0:v>
      </ns0:c>
      <ns0:c r="Q671" s="0">
        <ns0:f>IFERROR(--N671,0)</ns0:f>
        <ns0:v>0</ns0:v>
      </ns0:c>
      <ns0:c r="R671" s="0">
        <ns0:f>IFERROR(IF(FIND(".",L671)=5,--O671,--M671),0)</ns0:f>
        <ns0:v>0</ns0:v>
      </ns0:c>
      <ns0:c r="S671" s="0">
        <ns0:f>IFERROR(IF(AND(P671&gt;=2000,P671&lt;=2100,Q671&gt;=1,Q671&lt;=12,R671&gt;=1,R671&lt;=31),DATE(P671,Q671,R671),0),0)</ns0:f>
        <ns0:v>0</ns0:v>
      </ns0:c>
      <ns0:c r="T671" s="0">
        <ns0:f>IFERROR(IF(ISNUMBER(Bookings!D671),IF(AND(Bookings!D671=INT(Bookings!D671),Bookings!D671&gt;=DATE(2000,1,1),Bookings!D671&lt;=DATE(2100,12,31)),Bookings!D671,0),IF(AND(K671&lt;&gt;"",LEN("x"&amp;L671)-LEN(SUBSTITUTE("x"&amp;L671,".",""))=2,OR(1&gt;LEN(L671),MID(L671,1,1)=".",ISNUMBER(FIND("x"&amp;MID(L671,1,1),"x0x1x2x3x4x5x6x7x8x9"))),OR(2&gt;LEN(L671),MID(L671,2,1)=".",ISNUMBER(FIND("x"&amp;MID(L671,2,1),"x0x1x2x3x4x5x6x7x8x9"))),OR(3&gt;LEN(L671),MID(L671,3,1)=".",ISNUMBER(FIND("x"&amp;MID(L671,3,1),"x0x1x2x3x4x5x6x7x8x9"))),OR(4&gt;LEN(L671),MID(L671,4,1)=".",ISNUMBER(FIND("x"&amp;MID(L671,4,1),"x0x1x2x3x4x5x6x7x8x9"))),OR(5&gt;LEN(L671),MID(L671,5,1)=".",ISNUMBER(FIND("x"&amp;MID(L671,5,1),"x0x1x2x3x4x5x6x7x8x9"))),OR(6&gt;LEN(L671),MID(L671,6,1)=".",ISNUMBER(FIND("x"&amp;MID(L671,6,1),"x0x1x2x3x4x5x6x7x8x9"))),OR(7&gt;LEN(L671),MID(L671,7,1)=".",ISNUMBER(FIND("x"&amp;MID(L671,7,1),"x0x1x2x3x4x5x6x7x8x9"))),OR(8&gt;LEN(L671),MID(L671,8,1)=".",ISNUMBER(FIND("x"&amp;MID(L671,8,1),"x0x1x2x3x4x5x6x7x8x9"))),OR(9&gt;LEN(L671),MID(L671,9,1)=".",ISNUMBER(FIND("x"&amp;MID(L671,9,1),"x0x1x2x3x4x5x6x7x8x9"))),OR(10&gt;LEN(L671),MID(L671,10,1)=".",ISNUMBER(FIND("x"&amp;MID(L671,10,1),"x0x1x2x3x4x5x6x7x8x9"))),OR(AND(FIND(".",L671)=5,LEN(L671)-FIND(".",L671,FIND(".",L671)+1)&gt;=1,LEN(L671)-FIND(".",L671,FIND(".",L671)+1)&lt;=2),AND(LEN(L671)-FIND(".",L671,FIND(".",L671)+1)=4,FIND(".",L671)&gt;=2,FIND(".",L671)&lt;=3)),FIND(".",L671,FIND(".",L671)+1)-FIND(".",L671)&gt;=2,FIND(".",L671,FIND(".",L671)+1)-FIND(".",L671)&lt;=3,P671&gt;=2000,P671&lt;=2100,YEAR(S671)=P671,MONTH(S671)=Q671,DAY(S671)=R671),S671,0)),0)</ns0:f>
        <ns0:v>0</ns0:v>
      </ns0:c>
      <ns0:c r="U671" s="0" t="str">
        <ns0:f>IF(Bookings!C671="","Full day",Bookings!C671)</ns0:f>
        <ns0:v>Full day</ns0:v>
      </ns0:c>
      <ns0:c r="V671" s="0" t="str">
        <ns0:f>IF(Bookings!E671="","Full day",Bookings!E671)</ns0:f>
        <ns0:v>Full day</ns0:v>
      </ns0:c>
      <ns0:c r="W671" s="0">
        <ns0:f>IF(J671=0,0,J671+IF(U671="PM",1,0))</ns0:f>
        <ns0:v>0</ns0:v>
      </ns0:c>
      <ns0:c r="X671" s="0">
        <ns0:f>IF(T671=0,0,T671-IF(V671="PM",1,0))</ns0:f>
        <ns0:v>0</ns0:v>
      </ns0:c>
      <ns0:c r="Y671" s="0">
        <ns0:f>IF(J671=0,0,J671+IF(U671="AM",1,0))</ns0:f>
        <ns0:v>0</ns0:v>
      </ns0:c>
      <ns0:c r="Z671" s="0">
        <ns0:f>IF(T671=0,0,T671-IF(V671="AM",1,0))</ns0:f>
        <ns0:v>0</ns0:v>
      </ns0:c>
      <ns0:c r="AA671" s="0">
        <ns0:f>IFERROR(IF(AND(J671&gt;0,'_Engine'!C671&gt;0,MID('_Engine'!W671,WEEKDAY(J671,2),1)="W",COUNTIF(Settings!$F$18:$F$67,J671)=0),1,0),0)</ns0:f>
        <ns0:v>0</ns0:v>
      </ns0:c>
      <ns0:c r="AB671" s="0">
        <ns0:f>IFERROR(IF(AND(T671&gt;0,'_Engine'!C671&gt;0,MID('_Engine'!W671,WEEKDAY(T671,2),1)="W",COUNTIF(Settings!$F$18:$F$67,T671)=0),1,0),0)</ns0:f>
        <ns0:v>0</ns0:v>
      </ns0:c>
      <ns0:c r="AC671" s="0">
        <ns0:f>IF(AND(J671&gt;0,T671&gt;0,W671&lt;=X671),1,0)</ns0:f>
        <ns0:v>0</ns0:v>
      </ns0:c>
      <ns0:c r="AD671" s="0">
        <ns0:f>IF(AND(J671&gt;0,T671&gt;0,Y671&lt;=Z671),1,0)</ns0:f>
        <ns0:v>0</ns0:v>
      </ns0:c>
    </ns0:row>
    <ns0:row r="672">
      <ns0:c r="A672" s="0">
        <ns0:f>IFERROR(IF(ISNUMBER(Bookings!B672),"",TRIM(Bookings!B672&amp;"")),"")</ns0:f>
      </ns0:c>
      <ns0:c r="B672" s="0">
        <ns0:f>IFERROR(SUBSTITUTE(SUBSTITUTE(A672,"/","."),"-","."),"")</ns0:f>
      </ns0:c>
      <ns0:c r="C672" s="0">
        <ns0:f>IFERROR(LEFT(B672,FIND(".",B672)-1),"")</ns0:f>
      </ns0:c>
      <ns0:c r="D672" s="0">
        <ns0:f>IFERROR(MID(B672,FIND(".",B672)+1,FIND(".",B672,FIND(".",B672)+1)-FIND(".",B672)-1),"")</ns0:f>
      </ns0:c>
      <ns0:c r="E672" s="0">
        <ns0:f>IFERROR(MID(B672,FIND(".",B672,FIND(".",B672)+1)+1,99),"")</ns0:f>
        <ns0:v>99</ns0:v>
      </ns0:c>
      <ns0:c r="F672" s="0">
        <ns0:f>IFERROR(IF(FIND(".",B672)=5,--C672,--E672),0)</ns0:f>
        <ns0:v>0</ns0:v>
      </ns0:c>
      <ns0:c r="G672" s="0">
        <ns0:f>IFERROR(--D672,0)</ns0:f>
        <ns0:v>0</ns0:v>
      </ns0:c>
      <ns0:c r="H672" s="0">
        <ns0:f>IFERROR(IF(FIND(".",B672)=5,--E672,--C672),0)</ns0:f>
        <ns0:v>0</ns0:v>
      </ns0:c>
      <ns0:c r="I672" s="0">
        <ns0:f>IFERROR(IF(AND(F672&gt;=2000,F672&lt;=2100,G672&gt;=1,G672&lt;=12,H672&gt;=1,H672&lt;=31),DATE(F672,G672,H672),0),0)</ns0:f>
        <ns0:v>0</ns0:v>
      </ns0:c>
      <ns0:c r="J672" s="0">
        <ns0:f>IFERROR(IF(ISNUMBER(Bookings!B672),IF(AND(Bookings!B672=INT(Bookings!B672),Bookings!B672&gt;=DATE(2000,1,1),Bookings!B672&lt;=DATE(2100,12,31)),Bookings!B672,0),IF(AND(A672&lt;&gt;"",LEN("x"&amp;B672)-LEN(SUBSTITUTE("x"&amp;B672,".",""))=2,OR(1&gt;LEN(B672),MID(B672,1,1)=".",ISNUMBER(FIND("x"&amp;MID(B672,1,1),"x0x1x2x3x4x5x6x7x8x9"))),OR(2&gt;LEN(B672),MID(B672,2,1)=".",ISNUMBER(FIND("x"&amp;MID(B672,2,1),"x0x1x2x3x4x5x6x7x8x9"))),OR(3&gt;LEN(B672),MID(B672,3,1)=".",ISNUMBER(FIND("x"&amp;MID(B672,3,1),"x0x1x2x3x4x5x6x7x8x9"))),OR(4&gt;LEN(B672),MID(B672,4,1)=".",ISNUMBER(FIND("x"&amp;MID(B672,4,1),"x0x1x2x3x4x5x6x7x8x9"))),OR(5&gt;LEN(B672),MID(B672,5,1)=".",ISNUMBER(FIND("x"&amp;MID(B672,5,1),"x0x1x2x3x4x5x6x7x8x9"))),OR(6&gt;LEN(B672),MID(B672,6,1)=".",ISNUMBER(FIND("x"&amp;MID(B672,6,1),"x0x1x2x3x4x5x6x7x8x9"))),OR(7&gt;LEN(B672),MID(B672,7,1)=".",ISNUMBER(FIND("x"&amp;MID(B672,7,1),"x0x1x2x3x4x5x6x7x8x9"))),OR(8&gt;LEN(B672),MID(B672,8,1)=".",ISNUMBER(FIND("x"&amp;MID(B672,8,1),"x0x1x2x3x4x5x6x7x8x9"))),OR(9&gt;LEN(B672),MID(B672,9,1)=".",ISNUMBER(FIND("x"&amp;MID(B672,9,1),"x0x1x2x3x4x5x6x7x8x9"))),OR(10&gt;LEN(B672),MID(B672,10,1)=".",ISNUMBER(FIND("x"&amp;MID(B672,10,1),"x0x1x2x3x4x5x6x7x8x9"))),OR(AND(FIND(".",B672)=5,LEN(B672)-FIND(".",B672,FIND(".",B672)+1)&gt;=1,LEN(B672)-FIND(".",B672,FIND(".",B672)+1)&lt;=2),AND(LEN(B672)-FIND(".",B672,FIND(".",B672)+1)=4,FIND(".",B672)&gt;=2,FIND(".",B672)&lt;=3)),FIND(".",B672,FIND(".",B672)+1)-FIND(".",B672)&gt;=2,FIND(".",B672,FIND(".",B672)+1)-FIND(".",B672)&lt;=3,F672&gt;=2000,F672&lt;=2100,YEAR(I672)=F672,MONTH(I672)=G672,DAY(I672)=H672),I672,0)),0)</ns0:f>
        <ns0:v>0</ns0:v>
      </ns0:c>
      <ns0:c r="K672" s="0">
        <ns0:f>IFERROR(IF(ISNUMBER(Bookings!D672),"",TRIM(Bookings!D672&amp;"")),"")</ns0:f>
      </ns0:c>
      <ns0:c r="L672" s="0">
        <ns0:f>IFERROR(SUBSTITUTE(SUBSTITUTE(K672,"/","."),"-","."),"")</ns0:f>
      </ns0:c>
      <ns0:c r="M672" s="0">
        <ns0:f>IFERROR(LEFT(L672,FIND(".",L672)-1),"")</ns0:f>
      </ns0:c>
      <ns0:c r="N672" s="0">
        <ns0:f>IFERROR(MID(L672,FIND(".",L672)+1,FIND(".",L672,FIND(".",L672)+1)-FIND(".",L672)-1),"")</ns0:f>
      </ns0:c>
      <ns0:c r="O672" s="0">
        <ns0:f>IFERROR(MID(L672,FIND(".",L672,FIND(".",L672)+1)+1,99),"")</ns0:f>
        <ns0:v>99</ns0:v>
      </ns0:c>
      <ns0:c r="P672" s="0">
        <ns0:f>IFERROR(IF(FIND(".",L672)=5,--M672,--O672),0)</ns0:f>
        <ns0:v>0</ns0:v>
      </ns0:c>
      <ns0:c r="Q672" s="0">
        <ns0:f>IFERROR(--N672,0)</ns0:f>
        <ns0:v>0</ns0:v>
      </ns0:c>
      <ns0:c r="R672" s="0">
        <ns0:f>IFERROR(IF(FIND(".",L672)=5,--O672,--M672),0)</ns0:f>
        <ns0:v>0</ns0:v>
      </ns0:c>
      <ns0:c r="S672" s="0">
        <ns0:f>IFERROR(IF(AND(P672&gt;=2000,P672&lt;=2100,Q672&gt;=1,Q672&lt;=12,R672&gt;=1,R672&lt;=31),DATE(P672,Q672,R672),0),0)</ns0:f>
        <ns0:v>0</ns0:v>
      </ns0:c>
      <ns0:c r="T672" s="0">
        <ns0:f>IFERROR(IF(ISNUMBER(Bookings!D672),IF(AND(Bookings!D672=INT(Bookings!D672),Bookings!D672&gt;=DATE(2000,1,1),Bookings!D672&lt;=DATE(2100,12,31)),Bookings!D672,0),IF(AND(K672&lt;&gt;"",LEN("x"&amp;L672)-LEN(SUBSTITUTE("x"&amp;L672,".",""))=2,OR(1&gt;LEN(L672),MID(L672,1,1)=".",ISNUMBER(FIND("x"&amp;MID(L672,1,1),"x0x1x2x3x4x5x6x7x8x9"))),OR(2&gt;LEN(L672),MID(L672,2,1)=".",ISNUMBER(FIND("x"&amp;MID(L672,2,1),"x0x1x2x3x4x5x6x7x8x9"))),OR(3&gt;LEN(L672),MID(L672,3,1)=".",ISNUMBER(FIND("x"&amp;MID(L672,3,1),"x0x1x2x3x4x5x6x7x8x9"))),OR(4&gt;LEN(L672),MID(L672,4,1)=".",ISNUMBER(FIND("x"&amp;MID(L672,4,1),"x0x1x2x3x4x5x6x7x8x9"))),OR(5&gt;LEN(L672),MID(L672,5,1)=".",ISNUMBER(FIND("x"&amp;MID(L672,5,1),"x0x1x2x3x4x5x6x7x8x9"))),OR(6&gt;LEN(L672),MID(L672,6,1)=".",ISNUMBER(FIND("x"&amp;MID(L672,6,1),"x0x1x2x3x4x5x6x7x8x9"))),OR(7&gt;LEN(L672),MID(L672,7,1)=".",ISNUMBER(FIND("x"&amp;MID(L672,7,1),"x0x1x2x3x4x5x6x7x8x9"))),OR(8&gt;LEN(L672),MID(L672,8,1)=".",ISNUMBER(FIND("x"&amp;MID(L672,8,1),"x0x1x2x3x4x5x6x7x8x9"))),OR(9&gt;LEN(L672),MID(L672,9,1)=".",ISNUMBER(FIND("x"&amp;MID(L672,9,1),"x0x1x2x3x4x5x6x7x8x9"))),OR(10&gt;LEN(L672),MID(L672,10,1)=".",ISNUMBER(FIND("x"&amp;MID(L672,10,1),"x0x1x2x3x4x5x6x7x8x9"))),OR(AND(FIND(".",L672)=5,LEN(L672)-FIND(".",L672,FIND(".",L672)+1)&gt;=1,LEN(L672)-FIND(".",L672,FIND(".",L672)+1)&lt;=2),AND(LEN(L672)-FIND(".",L672,FIND(".",L672)+1)=4,FIND(".",L672)&gt;=2,FIND(".",L672)&lt;=3)),FIND(".",L672,FIND(".",L672)+1)-FIND(".",L672)&gt;=2,FIND(".",L672,FIND(".",L672)+1)-FIND(".",L672)&lt;=3,P672&gt;=2000,P672&lt;=2100,YEAR(S672)=P672,MONTH(S672)=Q672,DAY(S672)=R672),S672,0)),0)</ns0:f>
        <ns0:v>0</ns0:v>
      </ns0:c>
      <ns0:c r="U672" s="0" t="str">
        <ns0:f>IF(Bookings!C672="","Full day",Bookings!C672)</ns0:f>
        <ns0:v>Full day</ns0:v>
      </ns0:c>
      <ns0:c r="V672" s="0" t="str">
        <ns0:f>IF(Bookings!E672="","Full day",Bookings!E672)</ns0:f>
        <ns0:v>Full day</ns0:v>
      </ns0:c>
      <ns0:c r="W672" s="0">
        <ns0:f>IF(J672=0,0,J672+IF(U672="PM",1,0))</ns0:f>
        <ns0:v>0</ns0:v>
      </ns0:c>
      <ns0:c r="X672" s="0">
        <ns0:f>IF(T672=0,0,T672-IF(V672="PM",1,0))</ns0:f>
        <ns0:v>0</ns0:v>
      </ns0:c>
      <ns0:c r="Y672" s="0">
        <ns0:f>IF(J672=0,0,J672+IF(U672="AM",1,0))</ns0:f>
        <ns0:v>0</ns0:v>
      </ns0:c>
      <ns0:c r="Z672" s="0">
        <ns0:f>IF(T672=0,0,T672-IF(V672="AM",1,0))</ns0:f>
        <ns0:v>0</ns0:v>
      </ns0:c>
      <ns0:c r="AA672" s="0">
        <ns0:f>IFERROR(IF(AND(J672&gt;0,'_Engine'!C672&gt;0,MID('_Engine'!W672,WEEKDAY(J672,2),1)="W",COUNTIF(Settings!$F$18:$F$67,J672)=0),1,0),0)</ns0:f>
        <ns0:v>0</ns0:v>
      </ns0:c>
      <ns0:c r="AB672" s="0">
        <ns0:f>IFERROR(IF(AND(T672&gt;0,'_Engine'!C672&gt;0,MID('_Engine'!W672,WEEKDAY(T672,2),1)="W",COUNTIF(Settings!$F$18:$F$67,T672)=0),1,0),0)</ns0:f>
        <ns0:v>0</ns0:v>
      </ns0:c>
      <ns0:c r="AC672" s="0">
        <ns0:f>IF(AND(J672&gt;0,T672&gt;0,W672&lt;=X672),1,0)</ns0:f>
        <ns0:v>0</ns0:v>
      </ns0:c>
      <ns0:c r="AD672" s="0">
        <ns0:f>IF(AND(J672&gt;0,T672&gt;0,Y672&lt;=Z672),1,0)</ns0:f>
        <ns0:v>0</ns0:v>
      </ns0:c>
    </ns0:row>
    <ns0:row r="673">
      <ns0:c r="A673" s="0">
        <ns0:f>IFERROR(IF(ISNUMBER(Bookings!B673),"",TRIM(Bookings!B673&amp;"")),"")</ns0:f>
      </ns0:c>
      <ns0:c r="B673" s="0">
        <ns0:f>IFERROR(SUBSTITUTE(SUBSTITUTE(A673,"/","."),"-","."),"")</ns0:f>
      </ns0:c>
      <ns0:c r="C673" s="0">
        <ns0:f>IFERROR(LEFT(B673,FIND(".",B673)-1),"")</ns0:f>
      </ns0:c>
      <ns0:c r="D673" s="0">
        <ns0:f>IFERROR(MID(B673,FIND(".",B673)+1,FIND(".",B673,FIND(".",B673)+1)-FIND(".",B673)-1),"")</ns0:f>
      </ns0:c>
      <ns0:c r="E673" s="0">
        <ns0:f>IFERROR(MID(B673,FIND(".",B673,FIND(".",B673)+1)+1,99),"")</ns0:f>
        <ns0:v>99</ns0:v>
      </ns0:c>
      <ns0:c r="F673" s="0">
        <ns0:f>IFERROR(IF(FIND(".",B673)=5,--C673,--E673),0)</ns0:f>
        <ns0:v>0</ns0:v>
      </ns0:c>
      <ns0:c r="G673" s="0">
        <ns0:f>IFERROR(--D673,0)</ns0:f>
        <ns0:v>0</ns0:v>
      </ns0:c>
      <ns0:c r="H673" s="0">
        <ns0:f>IFERROR(IF(FIND(".",B673)=5,--E673,--C673),0)</ns0:f>
        <ns0:v>0</ns0:v>
      </ns0:c>
      <ns0:c r="I673" s="0">
        <ns0:f>IFERROR(IF(AND(F673&gt;=2000,F673&lt;=2100,G673&gt;=1,G673&lt;=12,H673&gt;=1,H673&lt;=31),DATE(F673,G673,H673),0),0)</ns0:f>
        <ns0:v>0</ns0:v>
      </ns0:c>
      <ns0:c r="J673" s="0">
        <ns0:f>IFERROR(IF(ISNUMBER(Bookings!B673),IF(AND(Bookings!B673=INT(Bookings!B673),Bookings!B673&gt;=DATE(2000,1,1),Bookings!B673&lt;=DATE(2100,12,31)),Bookings!B673,0),IF(AND(A673&lt;&gt;"",LEN("x"&amp;B673)-LEN(SUBSTITUTE("x"&amp;B673,".",""))=2,OR(1&gt;LEN(B673),MID(B673,1,1)=".",ISNUMBER(FIND("x"&amp;MID(B673,1,1),"x0x1x2x3x4x5x6x7x8x9"))),OR(2&gt;LEN(B673),MID(B673,2,1)=".",ISNUMBER(FIND("x"&amp;MID(B673,2,1),"x0x1x2x3x4x5x6x7x8x9"))),OR(3&gt;LEN(B673),MID(B673,3,1)=".",ISNUMBER(FIND("x"&amp;MID(B673,3,1),"x0x1x2x3x4x5x6x7x8x9"))),OR(4&gt;LEN(B673),MID(B673,4,1)=".",ISNUMBER(FIND("x"&amp;MID(B673,4,1),"x0x1x2x3x4x5x6x7x8x9"))),OR(5&gt;LEN(B673),MID(B673,5,1)=".",ISNUMBER(FIND("x"&amp;MID(B673,5,1),"x0x1x2x3x4x5x6x7x8x9"))),OR(6&gt;LEN(B673),MID(B673,6,1)=".",ISNUMBER(FIND("x"&amp;MID(B673,6,1),"x0x1x2x3x4x5x6x7x8x9"))),OR(7&gt;LEN(B673),MID(B673,7,1)=".",ISNUMBER(FIND("x"&amp;MID(B673,7,1),"x0x1x2x3x4x5x6x7x8x9"))),OR(8&gt;LEN(B673),MID(B673,8,1)=".",ISNUMBER(FIND("x"&amp;MID(B673,8,1),"x0x1x2x3x4x5x6x7x8x9"))),OR(9&gt;LEN(B673),MID(B673,9,1)=".",ISNUMBER(FIND("x"&amp;MID(B673,9,1),"x0x1x2x3x4x5x6x7x8x9"))),OR(10&gt;LEN(B673),MID(B673,10,1)=".",ISNUMBER(FIND("x"&amp;MID(B673,10,1),"x0x1x2x3x4x5x6x7x8x9"))),OR(AND(FIND(".",B673)=5,LEN(B673)-FIND(".",B673,FIND(".",B673)+1)&gt;=1,LEN(B673)-FIND(".",B673,FIND(".",B673)+1)&lt;=2),AND(LEN(B673)-FIND(".",B673,FIND(".",B673)+1)=4,FIND(".",B673)&gt;=2,FIND(".",B673)&lt;=3)),FIND(".",B673,FIND(".",B673)+1)-FIND(".",B673)&gt;=2,FIND(".",B673,FIND(".",B673)+1)-FIND(".",B673)&lt;=3,F673&gt;=2000,F673&lt;=2100,YEAR(I673)=F673,MONTH(I673)=G673,DAY(I673)=H673),I673,0)),0)</ns0:f>
        <ns0:v>0</ns0:v>
      </ns0:c>
      <ns0:c r="K673" s="0">
        <ns0:f>IFERROR(IF(ISNUMBER(Bookings!D673),"",TRIM(Bookings!D673&amp;"")),"")</ns0:f>
      </ns0:c>
      <ns0:c r="L673" s="0">
        <ns0:f>IFERROR(SUBSTITUTE(SUBSTITUTE(K673,"/","."),"-","."),"")</ns0:f>
      </ns0:c>
      <ns0:c r="M673" s="0">
        <ns0:f>IFERROR(LEFT(L673,FIND(".",L673)-1),"")</ns0:f>
      </ns0:c>
      <ns0:c r="N673" s="0">
        <ns0:f>IFERROR(MID(L673,FIND(".",L673)+1,FIND(".",L673,FIND(".",L673)+1)-FIND(".",L673)-1),"")</ns0:f>
      </ns0:c>
      <ns0:c r="O673" s="0">
        <ns0:f>IFERROR(MID(L673,FIND(".",L673,FIND(".",L673)+1)+1,99),"")</ns0:f>
        <ns0:v>99</ns0:v>
      </ns0:c>
      <ns0:c r="P673" s="0">
        <ns0:f>IFERROR(IF(FIND(".",L673)=5,--M673,--O673),0)</ns0:f>
        <ns0:v>0</ns0:v>
      </ns0:c>
      <ns0:c r="Q673" s="0">
        <ns0:f>IFERROR(--N673,0)</ns0:f>
        <ns0:v>0</ns0:v>
      </ns0:c>
      <ns0:c r="R673" s="0">
        <ns0:f>IFERROR(IF(FIND(".",L673)=5,--O673,--M673),0)</ns0:f>
        <ns0:v>0</ns0:v>
      </ns0:c>
      <ns0:c r="S673" s="0">
        <ns0:f>IFERROR(IF(AND(P673&gt;=2000,P673&lt;=2100,Q673&gt;=1,Q673&lt;=12,R673&gt;=1,R673&lt;=31),DATE(P673,Q673,R673),0),0)</ns0:f>
        <ns0:v>0</ns0:v>
      </ns0:c>
      <ns0:c r="T673" s="0">
        <ns0:f>IFERROR(IF(ISNUMBER(Bookings!D673),IF(AND(Bookings!D673=INT(Bookings!D673),Bookings!D673&gt;=DATE(2000,1,1),Bookings!D673&lt;=DATE(2100,12,31)),Bookings!D673,0),IF(AND(K673&lt;&gt;"",LEN("x"&amp;L673)-LEN(SUBSTITUTE("x"&amp;L673,".",""))=2,OR(1&gt;LEN(L673),MID(L673,1,1)=".",ISNUMBER(FIND("x"&amp;MID(L673,1,1),"x0x1x2x3x4x5x6x7x8x9"))),OR(2&gt;LEN(L673),MID(L673,2,1)=".",ISNUMBER(FIND("x"&amp;MID(L673,2,1),"x0x1x2x3x4x5x6x7x8x9"))),OR(3&gt;LEN(L673),MID(L673,3,1)=".",ISNUMBER(FIND("x"&amp;MID(L673,3,1),"x0x1x2x3x4x5x6x7x8x9"))),OR(4&gt;LEN(L673),MID(L673,4,1)=".",ISNUMBER(FIND("x"&amp;MID(L673,4,1),"x0x1x2x3x4x5x6x7x8x9"))),OR(5&gt;LEN(L673),MID(L673,5,1)=".",ISNUMBER(FIND("x"&amp;MID(L673,5,1),"x0x1x2x3x4x5x6x7x8x9"))),OR(6&gt;LEN(L673),MID(L673,6,1)=".",ISNUMBER(FIND("x"&amp;MID(L673,6,1),"x0x1x2x3x4x5x6x7x8x9"))),OR(7&gt;LEN(L673),MID(L673,7,1)=".",ISNUMBER(FIND("x"&amp;MID(L673,7,1),"x0x1x2x3x4x5x6x7x8x9"))),OR(8&gt;LEN(L673),MID(L673,8,1)=".",ISNUMBER(FIND("x"&amp;MID(L673,8,1),"x0x1x2x3x4x5x6x7x8x9"))),OR(9&gt;LEN(L673),MID(L673,9,1)=".",ISNUMBER(FIND("x"&amp;MID(L673,9,1),"x0x1x2x3x4x5x6x7x8x9"))),OR(10&gt;LEN(L673),MID(L673,10,1)=".",ISNUMBER(FIND("x"&amp;MID(L673,10,1),"x0x1x2x3x4x5x6x7x8x9"))),OR(AND(FIND(".",L673)=5,LEN(L673)-FIND(".",L673,FIND(".",L673)+1)&gt;=1,LEN(L673)-FIND(".",L673,FIND(".",L673)+1)&lt;=2),AND(LEN(L673)-FIND(".",L673,FIND(".",L673)+1)=4,FIND(".",L673)&gt;=2,FIND(".",L673)&lt;=3)),FIND(".",L673,FIND(".",L673)+1)-FIND(".",L673)&gt;=2,FIND(".",L673,FIND(".",L673)+1)-FIND(".",L673)&lt;=3,P673&gt;=2000,P673&lt;=2100,YEAR(S673)=P673,MONTH(S673)=Q673,DAY(S673)=R673),S673,0)),0)</ns0:f>
        <ns0:v>0</ns0:v>
      </ns0:c>
      <ns0:c r="U673" s="0" t="str">
        <ns0:f>IF(Bookings!C673="","Full day",Bookings!C673)</ns0:f>
        <ns0:v>Full day</ns0:v>
      </ns0:c>
      <ns0:c r="V673" s="0" t="str">
        <ns0:f>IF(Bookings!E673="","Full day",Bookings!E673)</ns0:f>
        <ns0:v>Full day</ns0:v>
      </ns0:c>
      <ns0:c r="W673" s="0">
        <ns0:f>IF(J673=0,0,J673+IF(U673="PM",1,0))</ns0:f>
        <ns0:v>0</ns0:v>
      </ns0:c>
      <ns0:c r="X673" s="0">
        <ns0:f>IF(T673=0,0,T673-IF(V673="PM",1,0))</ns0:f>
        <ns0:v>0</ns0:v>
      </ns0:c>
      <ns0:c r="Y673" s="0">
        <ns0:f>IF(J673=0,0,J673+IF(U673="AM",1,0))</ns0:f>
        <ns0:v>0</ns0:v>
      </ns0:c>
      <ns0:c r="Z673" s="0">
        <ns0:f>IF(T673=0,0,T673-IF(V673="AM",1,0))</ns0:f>
        <ns0:v>0</ns0:v>
      </ns0:c>
      <ns0:c r="AA673" s="0">
        <ns0:f>IFERROR(IF(AND(J673&gt;0,'_Engine'!C673&gt;0,MID('_Engine'!W673,WEEKDAY(J673,2),1)="W",COUNTIF(Settings!$F$18:$F$67,J673)=0),1,0),0)</ns0:f>
        <ns0:v>0</ns0:v>
      </ns0:c>
      <ns0:c r="AB673" s="0">
        <ns0:f>IFERROR(IF(AND(T673&gt;0,'_Engine'!C673&gt;0,MID('_Engine'!W673,WEEKDAY(T673,2),1)="W",COUNTIF(Settings!$F$18:$F$67,T673)=0),1,0),0)</ns0:f>
        <ns0:v>0</ns0:v>
      </ns0:c>
      <ns0:c r="AC673" s="0">
        <ns0:f>IF(AND(J673&gt;0,T673&gt;0,W673&lt;=X673),1,0)</ns0:f>
        <ns0:v>0</ns0:v>
      </ns0:c>
      <ns0:c r="AD673" s="0">
        <ns0:f>IF(AND(J673&gt;0,T673&gt;0,Y673&lt;=Z673),1,0)</ns0:f>
        <ns0:v>0</ns0:v>
      </ns0:c>
    </ns0:row>
    <ns0:row r="674">
      <ns0:c r="A674" s="0">
        <ns0:f>IFERROR(IF(ISNUMBER(Bookings!B674),"",TRIM(Bookings!B674&amp;"")),"")</ns0:f>
      </ns0:c>
      <ns0:c r="B674" s="0">
        <ns0:f>IFERROR(SUBSTITUTE(SUBSTITUTE(A674,"/","."),"-","."),"")</ns0:f>
      </ns0:c>
      <ns0:c r="C674" s="0">
        <ns0:f>IFERROR(LEFT(B674,FIND(".",B674)-1),"")</ns0:f>
      </ns0:c>
      <ns0:c r="D674" s="0">
        <ns0:f>IFERROR(MID(B674,FIND(".",B674)+1,FIND(".",B674,FIND(".",B674)+1)-FIND(".",B674)-1),"")</ns0:f>
      </ns0:c>
      <ns0:c r="E674" s="0">
        <ns0:f>IFERROR(MID(B674,FIND(".",B674,FIND(".",B674)+1)+1,99),"")</ns0:f>
        <ns0:v>99</ns0:v>
      </ns0:c>
      <ns0:c r="F674" s="0">
        <ns0:f>IFERROR(IF(FIND(".",B674)=5,--C674,--E674),0)</ns0:f>
        <ns0:v>0</ns0:v>
      </ns0:c>
      <ns0:c r="G674" s="0">
        <ns0:f>IFERROR(--D674,0)</ns0:f>
        <ns0:v>0</ns0:v>
      </ns0:c>
      <ns0:c r="H674" s="0">
        <ns0:f>IFERROR(IF(FIND(".",B674)=5,--E674,--C674),0)</ns0:f>
        <ns0:v>0</ns0:v>
      </ns0:c>
      <ns0:c r="I674" s="0">
        <ns0:f>IFERROR(IF(AND(F674&gt;=2000,F674&lt;=2100,G674&gt;=1,G674&lt;=12,H674&gt;=1,H674&lt;=31),DATE(F674,G674,H674),0),0)</ns0:f>
        <ns0:v>0</ns0:v>
      </ns0:c>
      <ns0:c r="J674" s="0">
        <ns0:f>IFERROR(IF(ISNUMBER(Bookings!B674),IF(AND(Bookings!B674=INT(Bookings!B674),Bookings!B674&gt;=DATE(2000,1,1),Bookings!B674&lt;=DATE(2100,12,31)),Bookings!B674,0),IF(AND(A674&lt;&gt;"",LEN("x"&amp;B674)-LEN(SUBSTITUTE("x"&amp;B674,".",""))=2,OR(1&gt;LEN(B674),MID(B674,1,1)=".",ISNUMBER(FIND("x"&amp;MID(B674,1,1),"x0x1x2x3x4x5x6x7x8x9"))),OR(2&gt;LEN(B674),MID(B674,2,1)=".",ISNUMBER(FIND("x"&amp;MID(B674,2,1),"x0x1x2x3x4x5x6x7x8x9"))),OR(3&gt;LEN(B674),MID(B674,3,1)=".",ISNUMBER(FIND("x"&amp;MID(B674,3,1),"x0x1x2x3x4x5x6x7x8x9"))),OR(4&gt;LEN(B674),MID(B674,4,1)=".",ISNUMBER(FIND("x"&amp;MID(B674,4,1),"x0x1x2x3x4x5x6x7x8x9"))),OR(5&gt;LEN(B674),MID(B674,5,1)=".",ISNUMBER(FIND("x"&amp;MID(B674,5,1),"x0x1x2x3x4x5x6x7x8x9"))),OR(6&gt;LEN(B674),MID(B674,6,1)=".",ISNUMBER(FIND("x"&amp;MID(B674,6,1),"x0x1x2x3x4x5x6x7x8x9"))),OR(7&gt;LEN(B674),MID(B674,7,1)=".",ISNUMBER(FIND("x"&amp;MID(B674,7,1),"x0x1x2x3x4x5x6x7x8x9"))),OR(8&gt;LEN(B674),MID(B674,8,1)=".",ISNUMBER(FIND("x"&amp;MID(B674,8,1),"x0x1x2x3x4x5x6x7x8x9"))),OR(9&gt;LEN(B674),MID(B674,9,1)=".",ISNUMBER(FIND("x"&amp;MID(B674,9,1),"x0x1x2x3x4x5x6x7x8x9"))),OR(10&gt;LEN(B674),MID(B674,10,1)=".",ISNUMBER(FIND("x"&amp;MID(B674,10,1),"x0x1x2x3x4x5x6x7x8x9"))),OR(AND(FIND(".",B674)=5,LEN(B674)-FIND(".",B674,FIND(".",B674)+1)&gt;=1,LEN(B674)-FIND(".",B674,FIND(".",B674)+1)&lt;=2),AND(LEN(B674)-FIND(".",B674,FIND(".",B674)+1)=4,FIND(".",B674)&gt;=2,FIND(".",B674)&lt;=3)),FIND(".",B674,FIND(".",B674)+1)-FIND(".",B674)&gt;=2,FIND(".",B674,FIND(".",B674)+1)-FIND(".",B674)&lt;=3,F674&gt;=2000,F674&lt;=2100,YEAR(I674)=F674,MONTH(I674)=G674,DAY(I674)=H674),I674,0)),0)</ns0:f>
        <ns0:v>0</ns0:v>
      </ns0:c>
      <ns0:c r="K674" s="0">
        <ns0:f>IFERROR(IF(ISNUMBER(Bookings!D674),"",TRIM(Bookings!D674&amp;"")),"")</ns0:f>
      </ns0:c>
      <ns0:c r="L674" s="0">
        <ns0:f>IFERROR(SUBSTITUTE(SUBSTITUTE(K674,"/","."),"-","."),"")</ns0:f>
      </ns0:c>
      <ns0:c r="M674" s="0">
        <ns0:f>IFERROR(LEFT(L674,FIND(".",L674)-1),"")</ns0:f>
      </ns0:c>
      <ns0:c r="N674" s="0">
        <ns0:f>IFERROR(MID(L674,FIND(".",L674)+1,FIND(".",L674,FIND(".",L674)+1)-FIND(".",L674)-1),"")</ns0:f>
      </ns0:c>
      <ns0:c r="O674" s="0">
        <ns0:f>IFERROR(MID(L674,FIND(".",L674,FIND(".",L674)+1)+1,99),"")</ns0:f>
        <ns0:v>99</ns0:v>
      </ns0:c>
      <ns0:c r="P674" s="0">
        <ns0:f>IFERROR(IF(FIND(".",L674)=5,--M674,--O674),0)</ns0:f>
        <ns0:v>0</ns0:v>
      </ns0:c>
      <ns0:c r="Q674" s="0">
        <ns0:f>IFERROR(--N674,0)</ns0:f>
        <ns0:v>0</ns0:v>
      </ns0:c>
      <ns0:c r="R674" s="0">
        <ns0:f>IFERROR(IF(FIND(".",L674)=5,--O674,--M674),0)</ns0:f>
        <ns0:v>0</ns0:v>
      </ns0:c>
      <ns0:c r="S674" s="0">
        <ns0:f>IFERROR(IF(AND(P674&gt;=2000,P674&lt;=2100,Q674&gt;=1,Q674&lt;=12,R674&gt;=1,R674&lt;=31),DATE(P674,Q674,R674),0),0)</ns0:f>
        <ns0:v>0</ns0:v>
      </ns0:c>
      <ns0:c r="T674" s="0">
        <ns0:f>IFERROR(IF(ISNUMBER(Bookings!D674),IF(AND(Bookings!D674=INT(Bookings!D674),Bookings!D674&gt;=DATE(2000,1,1),Bookings!D674&lt;=DATE(2100,12,31)),Bookings!D674,0),IF(AND(K674&lt;&gt;"",LEN("x"&amp;L674)-LEN(SUBSTITUTE("x"&amp;L674,".",""))=2,OR(1&gt;LEN(L674),MID(L674,1,1)=".",ISNUMBER(FIND("x"&amp;MID(L674,1,1),"x0x1x2x3x4x5x6x7x8x9"))),OR(2&gt;LEN(L674),MID(L674,2,1)=".",ISNUMBER(FIND("x"&amp;MID(L674,2,1),"x0x1x2x3x4x5x6x7x8x9"))),OR(3&gt;LEN(L674),MID(L674,3,1)=".",ISNUMBER(FIND("x"&amp;MID(L674,3,1),"x0x1x2x3x4x5x6x7x8x9"))),OR(4&gt;LEN(L674),MID(L674,4,1)=".",ISNUMBER(FIND("x"&amp;MID(L674,4,1),"x0x1x2x3x4x5x6x7x8x9"))),OR(5&gt;LEN(L674),MID(L674,5,1)=".",ISNUMBER(FIND("x"&amp;MID(L674,5,1),"x0x1x2x3x4x5x6x7x8x9"))),OR(6&gt;LEN(L674),MID(L674,6,1)=".",ISNUMBER(FIND("x"&amp;MID(L674,6,1),"x0x1x2x3x4x5x6x7x8x9"))),OR(7&gt;LEN(L674),MID(L674,7,1)=".",ISNUMBER(FIND("x"&amp;MID(L674,7,1),"x0x1x2x3x4x5x6x7x8x9"))),OR(8&gt;LEN(L674),MID(L674,8,1)=".",ISNUMBER(FIND("x"&amp;MID(L674,8,1),"x0x1x2x3x4x5x6x7x8x9"))),OR(9&gt;LEN(L674),MID(L674,9,1)=".",ISNUMBER(FIND("x"&amp;MID(L674,9,1),"x0x1x2x3x4x5x6x7x8x9"))),OR(10&gt;LEN(L674),MID(L674,10,1)=".",ISNUMBER(FIND("x"&amp;MID(L674,10,1),"x0x1x2x3x4x5x6x7x8x9"))),OR(AND(FIND(".",L674)=5,LEN(L674)-FIND(".",L674,FIND(".",L674)+1)&gt;=1,LEN(L674)-FIND(".",L674,FIND(".",L674)+1)&lt;=2),AND(LEN(L674)-FIND(".",L674,FIND(".",L674)+1)=4,FIND(".",L674)&gt;=2,FIND(".",L674)&lt;=3)),FIND(".",L674,FIND(".",L674)+1)-FIND(".",L674)&gt;=2,FIND(".",L674,FIND(".",L674)+1)-FIND(".",L674)&lt;=3,P674&gt;=2000,P674&lt;=2100,YEAR(S674)=P674,MONTH(S674)=Q674,DAY(S674)=R674),S674,0)),0)</ns0:f>
        <ns0:v>0</ns0:v>
      </ns0:c>
      <ns0:c r="U674" s="0" t="str">
        <ns0:f>IF(Bookings!C674="","Full day",Bookings!C674)</ns0:f>
        <ns0:v>Full day</ns0:v>
      </ns0:c>
      <ns0:c r="V674" s="0" t="str">
        <ns0:f>IF(Bookings!E674="","Full day",Bookings!E674)</ns0:f>
        <ns0:v>Full day</ns0:v>
      </ns0:c>
      <ns0:c r="W674" s="0">
        <ns0:f>IF(J674=0,0,J674+IF(U674="PM",1,0))</ns0:f>
        <ns0:v>0</ns0:v>
      </ns0:c>
      <ns0:c r="X674" s="0">
        <ns0:f>IF(T674=0,0,T674-IF(V674="PM",1,0))</ns0:f>
        <ns0:v>0</ns0:v>
      </ns0:c>
      <ns0:c r="Y674" s="0">
        <ns0:f>IF(J674=0,0,J674+IF(U674="AM",1,0))</ns0:f>
        <ns0:v>0</ns0:v>
      </ns0:c>
      <ns0:c r="Z674" s="0">
        <ns0:f>IF(T674=0,0,T674-IF(V674="AM",1,0))</ns0:f>
        <ns0:v>0</ns0:v>
      </ns0:c>
      <ns0:c r="AA674" s="0">
        <ns0:f>IFERROR(IF(AND(J674&gt;0,'_Engine'!C674&gt;0,MID('_Engine'!W674,WEEKDAY(J674,2),1)="W",COUNTIF(Settings!$F$18:$F$67,J674)=0),1,0),0)</ns0:f>
        <ns0:v>0</ns0:v>
      </ns0:c>
      <ns0:c r="AB674" s="0">
        <ns0:f>IFERROR(IF(AND(T674&gt;0,'_Engine'!C674&gt;0,MID('_Engine'!W674,WEEKDAY(T674,2),1)="W",COUNTIF(Settings!$F$18:$F$67,T674)=0),1,0),0)</ns0:f>
        <ns0:v>0</ns0:v>
      </ns0:c>
      <ns0:c r="AC674" s="0">
        <ns0:f>IF(AND(J674&gt;0,T674&gt;0,W674&lt;=X674),1,0)</ns0:f>
        <ns0:v>0</ns0:v>
      </ns0:c>
      <ns0:c r="AD674" s="0">
        <ns0:f>IF(AND(J674&gt;0,T674&gt;0,Y674&lt;=Z674),1,0)</ns0:f>
        <ns0:v>0</ns0:v>
      </ns0:c>
    </ns0:row>
    <ns0:row r="675">
      <ns0:c r="A675" s="0">
        <ns0:f>IFERROR(IF(ISNUMBER(Bookings!B675),"",TRIM(Bookings!B675&amp;"")),"")</ns0:f>
      </ns0:c>
      <ns0:c r="B675" s="0">
        <ns0:f>IFERROR(SUBSTITUTE(SUBSTITUTE(A675,"/","."),"-","."),"")</ns0:f>
      </ns0:c>
      <ns0:c r="C675" s="0">
        <ns0:f>IFERROR(LEFT(B675,FIND(".",B675)-1),"")</ns0:f>
      </ns0:c>
      <ns0:c r="D675" s="0">
        <ns0:f>IFERROR(MID(B675,FIND(".",B675)+1,FIND(".",B675,FIND(".",B675)+1)-FIND(".",B675)-1),"")</ns0:f>
      </ns0:c>
      <ns0:c r="E675" s="0">
        <ns0:f>IFERROR(MID(B675,FIND(".",B675,FIND(".",B675)+1)+1,99),"")</ns0:f>
        <ns0:v>99</ns0:v>
      </ns0:c>
      <ns0:c r="F675" s="0">
        <ns0:f>IFERROR(IF(FIND(".",B675)=5,--C675,--E675),0)</ns0:f>
        <ns0:v>0</ns0:v>
      </ns0:c>
      <ns0:c r="G675" s="0">
        <ns0:f>IFERROR(--D675,0)</ns0:f>
        <ns0:v>0</ns0:v>
      </ns0:c>
      <ns0:c r="H675" s="0">
        <ns0:f>IFERROR(IF(FIND(".",B675)=5,--E675,--C675),0)</ns0:f>
        <ns0:v>0</ns0:v>
      </ns0:c>
      <ns0:c r="I675" s="0">
        <ns0:f>IFERROR(IF(AND(F675&gt;=2000,F675&lt;=2100,G675&gt;=1,G675&lt;=12,H675&gt;=1,H675&lt;=31),DATE(F675,G675,H675),0),0)</ns0:f>
        <ns0:v>0</ns0:v>
      </ns0:c>
      <ns0:c r="J675" s="0">
        <ns0:f>IFERROR(IF(ISNUMBER(Bookings!B675),IF(AND(Bookings!B675=INT(Bookings!B675),Bookings!B675&gt;=DATE(2000,1,1),Bookings!B675&lt;=DATE(2100,12,31)),Bookings!B675,0),IF(AND(A675&lt;&gt;"",LEN("x"&amp;B675)-LEN(SUBSTITUTE("x"&amp;B675,".",""))=2,OR(1&gt;LEN(B675),MID(B675,1,1)=".",ISNUMBER(FIND("x"&amp;MID(B675,1,1),"x0x1x2x3x4x5x6x7x8x9"))),OR(2&gt;LEN(B675),MID(B675,2,1)=".",ISNUMBER(FIND("x"&amp;MID(B675,2,1),"x0x1x2x3x4x5x6x7x8x9"))),OR(3&gt;LEN(B675),MID(B675,3,1)=".",ISNUMBER(FIND("x"&amp;MID(B675,3,1),"x0x1x2x3x4x5x6x7x8x9"))),OR(4&gt;LEN(B675),MID(B675,4,1)=".",ISNUMBER(FIND("x"&amp;MID(B675,4,1),"x0x1x2x3x4x5x6x7x8x9"))),OR(5&gt;LEN(B675),MID(B675,5,1)=".",ISNUMBER(FIND("x"&amp;MID(B675,5,1),"x0x1x2x3x4x5x6x7x8x9"))),OR(6&gt;LEN(B675),MID(B675,6,1)=".",ISNUMBER(FIND("x"&amp;MID(B675,6,1),"x0x1x2x3x4x5x6x7x8x9"))),OR(7&gt;LEN(B675),MID(B675,7,1)=".",ISNUMBER(FIND("x"&amp;MID(B675,7,1),"x0x1x2x3x4x5x6x7x8x9"))),OR(8&gt;LEN(B675),MID(B675,8,1)=".",ISNUMBER(FIND("x"&amp;MID(B675,8,1),"x0x1x2x3x4x5x6x7x8x9"))),OR(9&gt;LEN(B675),MID(B675,9,1)=".",ISNUMBER(FIND("x"&amp;MID(B675,9,1),"x0x1x2x3x4x5x6x7x8x9"))),OR(10&gt;LEN(B675),MID(B675,10,1)=".",ISNUMBER(FIND("x"&amp;MID(B675,10,1),"x0x1x2x3x4x5x6x7x8x9"))),OR(AND(FIND(".",B675)=5,LEN(B675)-FIND(".",B675,FIND(".",B675)+1)&gt;=1,LEN(B675)-FIND(".",B675,FIND(".",B675)+1)&lt;=2),AND(LEN(B675)-FIND(".",B675,FIND(".",B675)+1)=4,FIND(".",B675)&gt;=2,FIND(".",B675)&lt;=3)),FIND(".",B675,FIND(".",B675)+1)-FIND(".",B675)&gt;=2,FIND(".",B675,FIND(".",B675)+1)-FIND(".",B675)&lt;=3,F675&gt;=2000,F675&lt;=2100,YEAR(I675)=F675,MONTH(I675)=G675,DAY(I675)=H675),I675,0)),0)</ns0:f>
        <ns0:v>0</ns0:v>
      </ns0:c>
      <ns0:c r="K675" s="0">
        <ns0:f>IFERROR(IF(ISNUMBER(Bookings!D675),"",TRIM(Bookings!D675&amp;"")),"")</ns0:f>
      </ns0:c>
      <ns0:c r="L675" s="0">
        <ns0:f>IFERROR(SUBSTITUTE(SUBSTITUTE(K675,"/","."),"-","."),"")</ns0:f>
      </ns0:c>
      <ns0:c r="M675" s="0">
        <ns0:f>IFERROR(LEFT(L675,FIND(".",L675)-1),"")</ns0:f>
      </ns0:c>
      <ns0:c r="N675" s="0">
        <ns0:f>IFERROR(MID(L675,FIND(".",L675)+1,FIND(".",L675,FIND(".",L675)+1)-FIND(".",L675)-1),"")</ns0:f>
      </ns0:c>
      <ns0:c r="O675" s="0">
        <ns0:f>IFERROR(MID(L675,FIND(".",L675,FIND(".",L675)+1)+1,99),"")</ns0:f>
        <ns0:v>99</ns0:v>
      </ns0:c>
      <ns0:c r="P675" s="0">
        <ns0:f>IFERROR(IF(FIND(".",L675)=5,--M675,--O675),0)</ns0:f>
        <ns0:v>0</ns0:v>
      </ns0:c>
      <ns0:c r="Q675" s="0">
        <ns0:f>IFERROR(--N675,0)</ns0:f>
        <ns0:v>0</ns0:v>
      </ns0:c>
      <ns0:c r="R675" s="0">
        <ns0:f>IFERROR(IF(FIND(".",L675)=5,--O675,--M675),0)</ns0:f>
        <ns0:v>0</ns0:v>
      </ns0:c>
      <ns0:c r="S675" s="0">
        <ns0:f>IFERROR(IF(AND(P675&gt;=2000,P675&lt;=2100,Q675&gt;=1,Q675&lt;=12,R675&gt;=1,R675&lt;=31),DATE(P675,Q675,R675),0),0)</ns0:f>
        <ns0:v>0</ns0:v>
      </ns0:c>
      <ns0:c r="T675" s="0">
        <ns0:f>IFERROR(IF(ISNUMBER(Bookings!D675),IF(AND(Bookings!D675=INT(Bookings!D675),Bookings!D675&gt;=DATE(2000,1,1),Bookings!D675&lt;=DATE(2100,12,31)),Bookings!D675,0),IF(AND(K675&lt;&gt;"",LEN("x"&amp;L675)-LEN(SUBSTITUTE("x"&amp;L675,".",""))=2,OR(1&gt;LEN(L675),MID(L675,1,1)=".",ISNUMBER(FIND("x"&amp;MID(L675,1,1),"x0x1x2x3x4x5x6x7x8x9"))),OR(2&gt;LEN(L675),MID(L675,2,1)=".",ISNUMBER(FIND("x"&amp;MID(L675,2,1),"x0x1x2x3x4x5x6x7x8x9"))),OR(3&gt;LEN(L675),MID(L675,3,1)=".",ISNUMBER(FIND("x"&amp;MID(L675,3,1),"x0x1x2x3x4x5x6x7x8x9"))),OR(4&gt;LEN(L675),MID(L675,4,1)=".",ISNUMBER(FIND("x"&amp;MID(L675,4,1),"x0x1x2x3x4x5x6x7x8x9"))),OR(5&gt;LEN(L675),MID(L675,5,1)=".",ISNUMBER(FIND("x"&amp;MID(L675,5,1),"x0x1x2x3x4x5x6x7x8x9"))),OR(6&gt;LEN(L675),MID(L675,6,1)=".",ISNUMBER(FIND("x"&amp;MID(L675,6,1),"x0x1x2x3x4x5x6x7x8x9"))),OR(7&gt;LEN(L675),MID(L675,7,1)=".",ISNUMBER(FIND("x"&amp;MID(L675,7,1),"x0x1x2x3x4x5x6x7x8x9"))),OR(8&gt;LEN(L675),MID(L675,8,1)=".",ISNUMBER(FIND("x"&amp;MID(L675,8,1),"x0x1x2x3x4x5x6x7x8x9"))),OR(9&gt;LEN(L675),MID(L675,9,1)=".",ISNUMBER(FIND("x"&amp;MID(L675,9,1),"x0x1x2x3x4x5x6x7x8x9"))),OR(10&gt;LEN(L675),MID(L675,10,1)=".",ISNUMBER(FIND("x"&amp;MID(L675,10,1),"x0x1x2x3x4x5x6x7x8x9"))),OR(AND(FIND(".",L675)=5,LEN(L675)-FIND(".",L675,FIND(".",L675)+1)&gt;=1,LEN(L675)-FIND(".",L675,FIND(".",L675)+1)&lt;=2),AND(LEN(L675)-FIND(".",L675,FIND(".",L675)+1)=4,FIND(".",L675)&gt;=2,FIND(".",L675)&lt;=3)),FIND(".",L675,FIND(".",L675)+1)-FIND(".",L675)&gt;=2,FIND(".",L675,FIND(".",L675)+1)-FIND(".",L675)&lt;=3,P675&gt;=2000,P675&lt;=2100,YEAR(S675)=P675,MONTH(S675)=Q675,DAY(S675)=R675),S675,0)),0)</ns0:f>
        <ns0:v>0</ns0:v>
      </ns0:c>
      <ns0:c r="U675" s="0" t="str">
        <ns0:f>IF(Bookings!C675="","Full day",Bookings!C675)</ns0:f>
        <ns0:v>Full day</ns0:v>
      </ns0:c>
      <ns0:c r="V675" s="0" t="str">
        <ns0:f>IF(Bookings!E675="","Full day",Bookings!E675)</ns0:f>
        <ns0:v>Full day</ns0:v>
      </ns0:c>
      <ns0:c r="W675" s="0">
        <ns0:f>IF(J675=0,0,J675+IF(U675="PM",1,0))</ns0:f>
        <ns0:v>0</ns0:v>
      </ns0:c>
      <ns0:c r="X675" s="0">
        <ns0:f>IF(T675=0,0,T675-IF(V675="PM",1,0))</ns0:f>
        <ns0:v>0</ns0:v>
      </ns0:c>
      <ns0:c r="Y675" s="0">
        <ns0:f>IF(J675=0,0,J675+IF(U675="AM",1,0))</ns0:f>
        <ns0:v>0</ns0:v>
      </ns0:c>
      <ns0:c r="Z675" s="0">
        <ns0:f>IF(T675=0,0,T675-IF(V675="AM",1,0))</ns0:f>
        <ns0:v>0</ns0:v>
      </ns0:c>
      <ns0:c r="AA675" s="0">
        <ns0:f>IFERROR(IF(AND(J675&gt;0,'_Engine'!C675&gt;0,MID('_Engine'!W675,WEEKDAY(J675,2),1)="W",COUNTIF(Settings!$F$18:$F$67,J675)=0),1,0),0)</ns0:f>
        <ns0:v>0</ns0:v>
      </ns0:c>
      <ns0:c r="AB675" s="0">
        <ns0:f>IFERROR(IF(AND(T675&gt;0,'_Engine'!C675&gt;0,MID('_Engine'!W675,WEEKDAY(T675,2),1)="W",COUNTIF(Settings!$F$18:$F$67,T675)=0),1,0),0)</ns0:f>
        <ns0:v>0</ns0:v>
      </ns0:c>
      <ns0:c r="AC675" s="0">
        <ns0:f>IF(AND(J675&gt;0,T675&gt;0,W675&lt;=X675),1,0)</ns0:f>
        <ns0:v>0</ns0:v>
      </ns0:c>
      <ns0:c r="AD675" s="0">
        <ns0:f>IF(AND(J675&gt;0,T675&gt;0,Y675&lt;=Z675),1,0)</ns0:f>
        <ns0:v>0</ns0:v>
      </ns0:c>
    </ns0:row>
    <ns0:row r="676">
      <ns0:c r="A676" s="0">
        <ns0:f>IFERROR(IF(ISNUMBER(Bookings!B676),"",TRIM(Bookings!B676&amp;"")),"")</ns0:f>
      </ns0:c>
      <ns0:c r="B676" s="0">
        <ns0:f>IFERROR(SUBSTITUTE(SUBSTITUTE(A676,"/","."),"-","."),"")</ns0:f>
      </ns0:c>
      <ns0:c r="C676" s="0">
        <ns0:f>IFERROR(LEFT(B676,FIND(".",B676)-1),"")</ns0:f>
      </ns0:c>
      <ns0:c r="D676" s="0">
        <ns0:f>IFERROR(MID(B676,FIND(".",B676)+1,FIND(".",B676,FIND(".",B676)+1)-FIND(".",B676)-1),"")</ns0:f>
      </ns0:c>
      <ns0:c r="E676" s="0">
        <ns0:f>IFERROR(MID(B676,FIND(".",B676,FIND(".",B676)+1)+1,99),"")</ns0:f>
        <ns0:v>99</ns0:v>
      </ns0:c>
      <ns0:c r="F676" s="0">
        <ns0:f>IFERROR(IF(FIND(".",B676)=5,--C676,--E676),0)</ns0:f>
        <ns0:v>0</ns0:v>
      </ns0:c>
      <ns0:c r="G676" s="0">
        <ns0:f>IFERROR(--D676,0)</ns0:f>
        <ns0:v>0</ns0:v>
      </ns0:c>
      <ns0:c r="H676" s="0">
        <ns0:f>IFERROR(IF(FIND(".",B676)=5,--E676,--C676),0)</ns0:f>
        <ns0:v>0</ns0:v>
      </ns0:c>
      <ns0:c r="I676" s="0">
        <ns0:f>IFERROR(IF(AND(F676&gt;=2000,F676&lt;=2100,G676&gt;=1,G676&lt;=12,H676&gt;=1,H676&lt;=31),DATE(F676,G676,H676),0),0)</ns0:f>
        <ns0:v>0</ns0:v>
      </ns0:c>
      <ns0:c r="J676" s="0">
        <ns0:f>IFERROR(IF(ISNUMBER(Bookings!B676),IF(AND(Bookings!B676=INT(Bookings!B676),Bookings!B676&gt;=DATE(2000,1,1),Bookings!B676&lt;=DATE(2100,12,31)),Bookings!B676,0),IF(AND(A676&lt;&gt;"",LEN("x"&amp;B676)-LEN(SUBSTITUTE("x"&amp;B676,".",""))=2,OR(1&gt;LEN(B676),MID(B676,1,1)=".",ISNUMBER(FIND("x"&amp;MID(B676,1,1),"x0x1x2x3x4x5x6x7x8x9"))),OR(2&gt;LEN(B676),MID(B676,2,1)=".",ISNUMBER(FIND("x"&amp;MID(B676,2,1),"x0x1x2x3x4x5x6x7x8x9"))),OR(3&gt;LEN(B676),MID(B676,3,1)=".",ISNUMBER(FIND("x"&amp;MID(B676,3,1),"x0x1x2x3x4x5x6x7x8x9"))),OR(4&gt;LEN(B676),MID(B676,4,1)=".",ISNUMBER(FIND("x"&amp;MID(B676,4,1),"x0x1x2x3x4x5x6x7x8x9"))),OR(5&gt;LEN(B676),MID(B676,5,1)=".",ISNUMBER(FIND("x"&amp;MID(B676,5,1),"x0x1x2x3x4x5x6x7x8x9"))),OR(6&gt;LEN(B676),MID(B676,6,1)=".",ISNUMBER(FIND("x"&amp;MID(B676,6,1),"x0x1x2x3x4x5x6x7x8x9"))),OR(7&gt;LEN(B676),MID(B676,7,1)=".",ISNUMBER(FIND("x"&amp;MID(B676,7,1),"x0x1x2x3x4x5x6x7x8x9"))),OR(8&gt;LEN(B676),MID(B676,8,1)=".",ISNUMBER(FIND("x"&amp;MID(B676,8,1),"x0x1x2x3x4x5x6x7x8x9"))),OR(9&gt;LEN(B676),MID(B676,9,1)=".",ISNUMBER(FIND("x"&amp;MID(B676,9,1),"x0x1x2x3x4x5x6x7x8x9"))),OR(10&gt;LEN(B676),MID(B676,10,1)=".",ISNUMBER(FIND("x"&amp;MID(B676,10,1),"x0x1x2x3x4x5x6x7x8x9"))),OR(AND(FIND(".",B676)=5,LEN(B676)-FIND(".",B676,FIND(".",B676)+1)&gt;=1,LEN(B676)-FIND(".",B676,FIND(".",B676)+1)&lt;=2),AND(LEN(B676)-FIND(".",B676,FIND(".",B676)+1)=4,FIND(".",B676)&gt;=2,FIND(".",B676)&lt;=3)),FIND(".",B676,FIND(".",B676)+1)-FIND(".",B676)&gt;=2,FIND(".",B676,FIND(".",B676)+1)-FIND(".",B676)&lt;=3,F676&gt;=2000,F676&lt;=2100,YEAR(I676)=F676,MONTH(I676)=G676,DAY(I676)=H676),I676,0)),0)</ns0:f>
        <ns0:v>0</ns0:v>
      </ns0:c>
      <ns0:c r="K676" s="0">
        <ns0:f>IFERROR(IF(ISNUMBER(Bookings!D676),"",TRIM(Bookings!D676&amp;"")),"")</ns0:f>
      </ns0:c>
      <ns0:c r="L676" s="0">
        <ns0:f>IFERROR(SUBSTITUTE(SUBSTITUTE(K676,"/","."),"-","."),"")</ns0:f>
      </ns0:c>
      <ns0:c r="M676" s="0">
        <ns0:f>IFERROR(LEFT(L676,FIND(".",L676)-1),"")</ns0:f>
      </ns0:c>
      <ns0:c r="N676" s="0">
        <ns0:f>IFERROR(MID(L676,FIND(".",L676)+1,FIND(".",L676,FIND(".",L676)+1)-FIND(".",L676)-1),"")</ns0:f>
      </ns0:c>
      <ns0:c r="O676" s="0">
        <ns0:f>IFERROR(MID(L676,FIND(".",L676,FIND(".",L676)+1)+1,99),"")</ns0:f>
        <ns0:v>99</ns0:v>
      </ns0:c>
      <ns0:c r="P676" s="0">
        <ns0:f>IFERROR(IF(FIND(".",L676)=5,--M676,--O676),0)</ns0:f>
        <ns0:v>0</ns0:v>
      </ns0:c>
      <ns0:c r="Q676" s="0">
        <ns0:f>IFERROR(--N676,0)</ns0:f>
        <ns0:v>0</ns0:v>
      </ns0:c>
      <ns0:c r="R676" s="0">
        <ns0:f>IFERROR(IF(FIND(".",L676)=5,--O676,--M676),0)</ns0:f>
        <ns0:v>0</ns0:v>
      </ns0:c>
      <ns0:c r="S676" s="0">
        <ns0:f>IFERROR(IF(AND(P676&gt;=2000,P676&lt;=2100,Q676&gt;=1,Q676&lt;=12,R676&gt;=1,R676&lt;=31),DATE(P676,Q676,R676),0),0)</ns0:f>
        <ns0:v>0</ns0:v>
      </ns0:c>
      <ns0:c r="T676" s="0">
        <ns0:f>IFERROR(IF(ISNUMBER(Bookings!D676),IF(AND(Bookings!D676=INT(Bookings!D676),Bookings!D676&gt;=DATE(2000,1,1),Bookings!D676&lt;=DATE(2100,12,31)),Bookings!D676,0),IF(AND(K676&lt;&gt;"",LEN("x"&amp;L676)-LEN(SUBSTITUTE("x"&amp;L676,".",""))=2,OR(1&gt;LEN(L676),MID(L676,1,1)=".",ISNUMBER(FIND("x"&amp;MID(L676,1,1),"x0x1x2x3x4x5x6x7x8x9"))),OR(2&gt;LEN(L676),MID(L676,2,1)=".",ISNUMBER(FIND("x"&amp;MID(L676,2,1),"x0x1x2x3x4x5x6x7x8x9"))),OR(3&gt;LEN(L676),MID(L676,3,1)=".",ISNUMBER(FIND("x"&amp;MID(L676,3,1),"x0x1x2x3x4x5x6x7x8x9"))),OR(4&gt;LEN(L676),MID(L676,4,1)=".",ISNUMBER(FIND("x"&amp;MID(L676,4,1),"x0x1x2x3x4x5x6x7x8x9"))),OR(5&gt;LEN(L676),MID(L676,5,1)=".",ISNUMBER(FIND("x"&amp;MID(L676,5,1),"x0x1x2x3x4x5x6x7x8x9"))),OR(6&gt;LEN(L676),MID(L676,6,1)=".",ISNUMBER(FIND("x"&amp;MID(L676,6,1),"x0x1x2x3x4x5x6x7x8x9"))),OR(7&gt;LEN(L676),MID(L676,7,1)=".",ISNUMBER(FIND("x"&amp;MID(L676,7,1),"x0x1x2x3x4x5x6x7x8x9"))),OR(8&gt;LEN(L676),MID(L676,8,1)=".",ISNUMBER(FIND("x"&amp;MID(L676,8,1),"x0x1x2x3x4x5x6x7x8x9"))),OR(9&gt;LEN(L676),MID(L676,9,1)=".",ISNUMBER(FIND("x"&amp;MID(L676,9,1),"x0x1x2x3x4x5x6x7x8x9"))),OR(10&gt;LEN(L676),MID(L676,10,1)=".",ISNUMBER(FIND("x"&amp;MID(L676,10,1),"x0x1x2x3x4x5x6x7x8x9"))),OR(AND(FIND(".",L676)=5,LEN(L676)-FIND(".",L676,FIND(".",L676)+1)&gt;=1,LEN(L676)-FIND(".",L676,FIND(".",L676)+1)&lt;=2),AND(LEN(L676)-FIND(".",L676,FIND(".",L676)+1)=4,FIND(".",L676)&gt;=2,FIND(".",L676)&lt;=3)),FIND(".",L676,FIND(".",L676)+1)-FIND(".",L676)&gt;=2,FIND(".",L676,FIND(".",L676)+1)-FIND(".",L676)&lt;=3,P676&gt;=2000,P676&lt;=2100,YEAR(S676)=P676,MONTH(S676)=Q676,DAY(S676)=R676),S676,0)),0)</ns0:f>
        <ns0:v>0</ns0:v>
      </ns0:c>
      <ns0:c r="U676" s="0" t="str">
        <ns0:f>IF(Bookings!C676="","Full day",Bookings!C676)</ns0:f>
        <ns0:v>Full day</ns0:v>
      </ns0:c>
      <ns0:c r="V676" s="0" t="str">
        <ns0:f>IF(Bookings!E676="","Full day",Bookings!E676)</ns0:f>
        <ns0:v>Full day</ns0:v>
      </ns0:c>
      <ns0:c r="W676" s="0">
        <ns0:f>IF(J676=0,0,J676+IF(U676="PM",1,0))</ns0:f>
        <ns0:v>0</ns0:v>
      </ns0:c>
      <ns0:c r="X676" s="0">
        <ns0:f>IF(T676=0,0,T676-IF(V676="PM",1,0))</ns0:f>
        <ns0:v>0</ns0:v>
      </ns0:c>
      <ns0:c r="Y676" s="0">
        <ns0:f>IF(J676=0,0,J676+IF(U676="AM",1,0))</ns0:f>
        <ns0:v>0</ns0:v>
      </ns0:c>
      <ns0:c r="Z676" s="0">
        <ns0:f>IF(T676=0,0,T676-IF(V676="AM",1,0))</ns0:f>
        <ns0:v>0</ns0:v>
      </ns0:c>
      <ns0:c r="AA676" s="0">
        <ns0:f>IFERROR(IF(AND(J676&gt;0,'_Engine'!C676&gt;0,MID('_Engine'!W676,WEEKDAY(J676,2),1)="W",COUNTIF(Settings!$F$18:$F$67,J676)=0),1,0),0)</ns0:f>
        <ns0:v>0</ns0:v>
      </ns0:c>
      <ns0:c r="AB676" s="0">
        <ns0:f>IFERROR(IF(AND(T676&gt;0,'_Engine'!C676&gt;0,MID('_Engine'!W676,WEEKDAY(T676,2),1)="W",COUNTIF(Settings!$F$18:$F$67,T676)=0),1,0),0)</ns0:f>
        <ns0:v>0</ns0:v>
      </ns0:c>
      <ns0:c r="AC676" s="0">
        <ns0:f>IF(AND(J676&gt;0,T676&gt;0,W676&lt;=X676),1,0)</ns0:f>
        <ns0:v>0</ns0:v>
      </ns0:c>
      <ns0:c r="AD676" s="0">
        <ns0:f>IF(AND(J676&gt;0,T676&gt;0,Y676&lt;=Z676),1,0)</ns0:f>
        <ns0:v>0</ns0:v>
      </ns0:c>
    </ns0:row>
    <ns0:row r="677">
      <ns0:c r="A677" s="0">
        <ns0:f>IFERROR(IF(ISNUMBER(Bookings!B677),"",TRIM(Bookings!B677&amp;"")),"")</ns0:f>
      </ns0:c>
      <ns0:c r="B677" s="0">
        <ns0:f>IFERROR(SUBSTITUTE(SUBSTITUTE(A677,"/","."),"-","."),"")</ns0:f>
      </ns0:c>
      <ns0:c r="C677" s="0">
        <ns0:f>IFERROR(LEFT(B677,FIND(".",B677)-1),"")</ns0:f>
      </ns0:c>
      <ns0:c r="D677" s="0">
        <ns0:f>IFERROR(MID(B677,FIND(".",B677)+1,FIND(".",B677,FIND(".",B677)+1)-FIND(".",B677)-1),"")</ns0:f>
      </ns0:c>
      <ns0:c r="E677" s="0">
        <ns0:f>IFERROR(MID(B677,FIND(".",B677,FIND(".",B677)+1)+1,99),"")</ns0:f>
        <ns0:v>99</ns0:v>
      </ns0:c>
      <ns0:c r="F677" s="0">
        <ns0:f>IFERROR(IF(FIND(".",B677)=5,--C677,--E677),0)</ns0:f>
        <ns0:v>0</ns0:v>
      </ns0:c>
      <ns0:c r="G677" s="0">
        <ns0:f>IFERROR(--D677,0)</ns0:f>
        <ns0:v>0</ns0:v>
      </ns0:c>
      <ns0:c r="H677" s="0">
        <ns0:f>IFERROR(IF(FIND(".",B677)=5,--E677,--C677),0)</ns0:f>
        <ns0:v>0</ns0:v>
      </ns0:c>
      <ns0:c r="I677" s="0">
        <ns0:f>IFERROR(IF(AND(F677&gt;=2000,F677&lt;=2100,G677&gt;=1,G677&lt;=12,H677&gt;=1,H677&lt;=31),DATE(F677,G677,H677),0),0)</ns0:f>
        <ns0:v>0</ns0:v>
      </ns0:c>
      <ns0:c r="J677" s="0">
        <ns0:f>IFERROR(IF(ISNUMBER(Bookings!B677),IF(AND(Bookings!B677=INT(Bookings!B677),Bookings!B677&gt;=DATE(2000,1,1),Bookings!B677&lt;=DATE(2100,12,31)),Bookings!B677,0),IF(AND(A677&lt;&gt;"",LEN("x"&amp;B677)-LEN(SUBSTITUTE("x"&amp;B677,".",""))=2,OR(1&gt;LEN(B677),MID(B677,1,1)=".",ISNUMBER(FIND("x"&amp;MID(B677,1,1),"x0x1x2x3x4x5x6x7x8x9"))),OR(2&gt;LEN(B677),MID(B677,2,1)=".",ISNUMBER(FIND("x"&amp;MID(B677,2,1),"x0x1x2x3x4x5x6x7x8x9"))),OR(3&gt;LEN(B677),MID(B677,3,1)=".",ISNUMBER(FIND("x"&amp;MID(B677,3,1),"x0x1x2x3x4x5x6x7x8x9"))),OR(4&gt;LEN(B677),MID(B677,4,1)=".",ISNUMBER(FIND("x"&amp;MID(B677,4,1),"x0x1x2x3x4x5x6x7x8x9"))),OR(5&gt;LEN(B677),MID(B677,5,1)=".",ISNUMBER(FIND("x"&amp;MID(B677,5,1),"x0x1x2x3x4x5x6x7x8x9"))),OR(6&gt;LEN(B677),MID(B677,6,1)=".",ISNUMBER(FIND("x"&amp;MID(B677,6,1),"x0x1x2x3x4x5x6x7x8x9"))),OR(7&gt;LEN(B677),MID(B677,7,1)=".",ISNUMBER(FIND("x"&amp;MID(B677,7,1),"x0x1x2x3x4x5x6x7x8x9"))),OR(8&gt;LEN(B677),MID(B677,8,1)=".",ISNUMBER(FIND("x"&amp;MID(B677,8,1),"x0x1x2x3x4x5x6x7x8x9"))),OR(9&gt;LEN(B677),MID(B677,9,1)=".",ISNUMBER(FIND("x"&amp;MID(B677,9,1),"x0x1x2x3x4x5x6x7x8x9"))),OR(10&gt;LEN(B677),MID(B677,10,1)=".",ISNUMBER(FIND("x"&amp;MID(B677,10,1),"x0x1x2x3x4x5x6x7x8x9"))),OR(AND(FIND(".",B677)=5,LEN(B677)-FIND(".",B677,FIND(".",B677)+1)&gt;=1,LEN(B677)-FIND(".",B677,FIND(".",B677)+1)&lt;=2),AND(LEN(B677)-FIND(".",B677,FIND(".",B677)+1)=4,FIND(".",B677)&gt;=2,FIND(".",B677)&lt;=3)),FIND(".",B677,FIND(".",B677)+1)-FIND(".",B677)&gt;=2,FIND(".",B677,FIND(".",B677)+1)-FIND(".",B677)&lt;=3,F677&gt;=2000,F677&lt;=2100,YEAR(I677)=F677,MONTH(I677)=G677,DAY(I677)=H677),I677,0)),0)</ns0:f>
        <ns0:v>0</ns0:v>
      </ns0:c>
      <ns0:c r="K677" s="0">
        <ns0:f>IFERROR(IF(ISNUMBER(Bookings!D677),"",TRIM(Bookings!D677&amp;"")),"")</ns0:f>
      </ns0:c>
      <ns0:c r="L677" s="0">
        <ns0:f>IFERROR(SUBSTITUTE(SUBSTITUTE(K677,"/","."),"-","."),"")</ns0:f>
      </ns0:c>
      <ns0:c r="M677" s="0">
        <ns0:f>IFERROR(LEFT(L677,FIND(".",L677)-1),"")</ns0:f>
      </ns0:c>
      <ns0:c r="N677" s="0">
        <ns0:f>IFERROR(MID(L677,FIND(".",L677)+1,FIND(".",L677,FIND(".",L677)+1)-FIND(".",L677)-1),"")</ns0:f>
      </ns0:c>
      <ns0:c r="O677" s="0">
        <ns0:f>IFERROR(MID(L677,FIND(".",L677,FIND(".",L677)+1)+1,99),"")</ns0:f>
        <ns0:v>99</ns0:v>
      </ns0:c>
      <ns0:c r="P677" s="0">
        <ns0:f>IFERROR(IF(FIND(".",L677)=5,--M677,--O677),0)</ns0:f>
        <ns0:v>0</ns0:v>
      </ns0:c>
      <ns0:c r="Q677" s="0">
        <ns0:f>IFERROR(--N677,0)</ns0:f>
        <ns0:v>0</ns0:v>
      </ns0:c>
      <ns0:c r="R677" s="0">
        <ns0:f>IFERROR(IF(FIND(".",L677)=5,--O677,--M677),0)</ns0:f>
        <ns0:v>0</ns0:v>
      </ns0:c>
      <ns0:c r="S677" s="0">
        <ns0:f>IFERROR(IF(AND(P677&gt;=2000,P677&lt;=2100,Q677&gt;=1,Q677&lt;=12,R677&gt;=1,R677&lt;=31),DATE(P677,Q677,R677),0),0)</ns0:f>
        <ns0:v>0</ns0:v>
      </ns0:c>
      <ns0:c r="T677" s="0">
        <ns0:f>IFERROR(IF(ISNUMBER(Bookings!D677),IF(AND(Bookings!D677=INT(Bookings!D677),Bookings!D677&gt;=DATE(2000,1,1),Bookings!D677&lt;=DATE(2100,12,31)),Bookings!D677,0),IF(AND(K677&lt;&gt;"",LEN("x"&amp;L677)-LEN(SUBSTITUTE("x"&amp;L677,".",""))=2,OR(1&gt;LEN(L677),MID(L677,1,1)=".",ISNUMBER(FIND("x"&amp;MID(L677,1,1),"x0x1x2x3x4x5x6x7x8x9"))),OR(2&gt;LEN(L677),MID(L677,2,1)=".",ISNUMBER(FIND("x"&amp;MID(L677,2,1),"x0x1x2x3x4x5x6x7x8x9"))),OR(3&gt;LEN(L677),MID(L677,3,1)=".",ISNUMBER(FIND("x"&amp;MID(L677,3,1),"x0x1x2x3x4x5x6x7x8x9"))),OR(4&gt;LEN(L677),MID(L677,4,1)=".",ISNUMBER(FIND("x"&amp;MID(L677,4,1),"x0x1x2x3x4x5x6x7x8x9"))),OR(5&gt;LEN(L677),MID(L677,5,1)=".",ISNUMBER(FIND("x"&amp;MID(L677,5,1),"x0x1x2x3x4x5x6x7x8x9"))),OR(6&gt;LEN(L677),MID(L677,6,1)=".",ISNUMBER(FIND("x"&amp;MID(L677,6,1),"x0x1x2x3x4x5x6x7x8x9"))),OR(7&gt;LEN(L677),MID(L677,7,1)=".",ISNUMBER(FIND("x"&amp;MID(L677,7,1),"x0x1x2x3x4x5x6x7x8x9"))),OR(8&gt;LEN(L677),MID(L677,8,1)=".",ISNUMBER(FIND("x"&amp;MID(L677,8,1),"x0x1x2x3x4x5x6x7x8x9"))),OR(9&gt;LEN(L677),MID(L677,9,1)=".",ISNUMBER(FIND("x"&amp;MID(L677,9,1),"x0x1x2x3x4x5x6x7x8x9"))),OR(10&gt;LEN(L677),MID(L677,10,1)=".",ISNUMBER(FIND("x"&amp;MID(L677,10,1),"x0x1x2x3x4x5x6x7x8x9"))),OR(AND(FIND(".",L677)=5,LEN(L677)-FIND(".",L677,FIND(".",L677)+1)&gt;=1,LEN(L677)-FIND(".",L677,FIND(".",L677)+1)&lt;=2),AND(LEN(L677)-FIND(".",L677,FIND(".",L677)+1)=4,FIND(".",L677)&gt;=2,FIND(".",L677)&lt;=3)),FIND(".",L677,FIND(".",L677)+1)-FIND(".",L677)&gt;=2,FIND(".",L677,FIND(".",L677)+1)-FIND(".",L677)&lt;=3,P677&gt;=2000,P677&lt;=2100,YEAR(S677)=P677,MONTH(S677)=Q677,DAY(S677)=R677),S677,0)),0)</ns0:f>
        <ns0:v>0</ns0:v>
      </ns0:c>
      <ns0:c r="U677" s="0" t="str">
        <ns0:f>IF(Bookings!C677="","Full day",Bookings!C677)</ns0:f>
        <ns0:v>Full day</ns0:v>
      </ns0:c>
      <ns0:c r="V677" s="0" t="str">
        <ns0:f>IF(Bookings!E677="","Full day",Bookings!E677)</ns0:f>
        <ns0:v>Full day</ns0:v>
      </ns0:c>
      <ns0:c r="W677" s="0">
        <ns0:f>IF(J677=0,0,J677+IF(U677="PM",1,0))</ns0:f>
        <ns0:v>0</ns0:v>
      </ns0:c>
      <ns0:c r="X677" s="0">
        <ns0:f>IF(T677=0,0,T677-IF(V677="PM",1,0))</ns0:f>
        <ns0:v>0</ns0:v>
      </ns0:c>
      <ns0:c r="Y677" s="0">
        <ns0:f>IF(J677=0,0,J677+IF(U677="AM",1,0))</ns0:f>
        <ns0:v>0</ns0:v>
      </ns0:c>
      <ns0:c r="Z677" s="0">
        <ns0:f>IF(T677=0,0,T677-IF(V677="AM",1,0))</ns0:f>
        <ns0:v>0</ns0:v>
      </ns0:c>
      <ns0:c r="AA677" s="0">
        <ns0:f>IFERROR(IF(AND(J677&gt;0,'_Engine'!C677&gt;0,MID('_Engine'!W677,WEEKDAY(J677,2),1)="W",COUNTIF(Settings!$F$18:$F$67,J677)=0),1,0),0)</ns0:f>
        <ns0:v>0</ns0:v>
      </ns0:c>
      <ns0:c r="AB677" s="0">
        <ns0:f>IFERROR(IF(AND(T677&gt;0,'_Engine'!C677&gt;0,MID('_Engine'!W677,WEEKDAY(T677,2),1)="W",COUNTIF(Settings!$F$18:$F$67,T677)=0),1,0),0)</ns0:f>
        <ns0:v>0</ns0:v>
      </ns0:c>
      <ns0:c r="AC677" s="0">
        <ns0:f>IF(AND(J677&gt;0,T677&gt;0,W677&lt;=X677),1,0)</ns0:f>
        <ns0:v>0</ns0:v>
      </ns0:c>
      <ns0:c r="AD677" s="0">
        <ns0:f>IF(AND(J677&gt;0,T677&gt;0,Y677&lt;=Z677),1,0)</ns0:f>
        <ns0:v>0</ns0:v>
      </ns0:c>
    </ns0:row>
    <ns0:row r="678">
      <ns0:c r="A678" s="0">
        <ns0:f>IFERROR(IF(ISNUMBER(Bookings!B678),"",TRIM(Bookings!B678&amp;"")),"")</ns0:f>
      </ns0:c>
      <ns0:c r="B678" s="0">
        <ns0:f>IFERROR(SUBSTITUTE(SUBSTITUTE(A678,"/","."),"-","."),"")</ns0:f>
      </ns0:c>
      <ns0:c r="C678" s="0">
        <ns0:f>IFERROR(LEFT(B678,FIND(".",B678)-1),"")</ns0:f>
      </ns0:c>
      <ns0:c r="D678" s="0">
        <ns0:f>IFERROR(MID(B678,FIND(".",B678)+1,FIND(".",B678,FIND(".",B678)+1)-FIND(".",B678)-1),"")</ns0:f>
      </ns0:c>
      <ns0:c r="E678" s="0">
        <ns0:f>IFERROR(MID(B678,FIND(".",B678,FIND(".",B678)+1)+1,99),"")</ns0:f>
        <ns0:v>99</ns0:v>
      </ns0:c>
      <ns0:c r="F678" s="0">
        <ns0:f>IFERROR(IF(FIND(".",B678)=5,--C678,--E678),0)</ns0:f>
        <ns0:v>0</ns0:v>
      </ns0:c>
      <ns0:c r="G678" s="0">
        <ns0:f>IFERROR(--D678,0)</ns0:f>
        <ns0:v>0</ns0:v>
      </ns0:c>
      <ns0:c r="H678" s="0">
        <ns0:f>IFERROR(IF(FIND(".",B678)=5,--E678,--C678),0)</ns0:f>
        <ns0:v>0</ns0:v>
      </ns0:c>
      <ns0:c r="I678" s="0">
        <ns0:f>IFERROR(IF(AND(F678&gt;=2000,F678&lt;=2100,G678&gt;=1,G678&lt;=12,H678&gt;=1,H678&lt;=31),DATE(F678,G678,H678),0),0)</ns0:f>
        <ns0:v>0</ns0:v>
      </ns0:c>
      <ns0:c r="J678" s="0">
        <ns0:f>IFERROR(IF(ISNUMBER(Bookings!B678),IF(AND(Bookings!B678=INT(Bookings!B678),Bookings!B678&gt;=DATE(2000,1,1),Bookings!B678&lt;=DATE(2100,12,31)),Bookings!B678,0),IF(AND(A678&lt;&gt;"",LEN("x"&amp;B678)-LEN(SUBSTITUTE("x"&amp;B678,".",""))=2,OR(1&gt;LEN(B678),MID(B678,1,1)=".",ISNUMBER(FIND("x"&amp;MID(B678,1,1),"x0x1x2x3x4x5x6x7x8x9"))),OR(2&gt;LEN(B678),MID(B678,2,1)=".",ISNUMBER(FIND("x"&amp;MID(B678,2,1),"x0x1x2x3x4x5x6x7x8x9"))),OR(3&gt;LEN(B678),MID(B678,3,1)=".",ISNUMBER(FIND("x"&amp;MID(B678,3,1),"x0x1x2x3x4x5x6x7x8x9"))),OR(4&gt;LEN(B678),MID(B678,4,1)=".",ISNUMBER(FIND("x"&amp;MID(B678,4,1),"x0x1x2x3x4x5x6x7x8x9"))),OR(5&gt;LEN(B678),MID(B678,5,1)=".",ISNUMBER(FIND("x"&amp;MID(B678,5,1),"x0x1x2x3x4x5x6x7x8x9"))),OR(6&gt;LEN(B678),MID(B678,6,1)=".",ISNUMBER(FIND("x"&amp;MID(B678,6,1),"x0x1x2x3x4x5x6x7x8x9"))),OR(7&gt;LEN(B678),MID(B678,7,1)=".",ISNUMBER(FIND("x"&amp;MID(B678,7,1),"x0x1x2x3x4x5x6x7x8x9"))),OR(8&gt;LEN(B678),MID(B678,8,1)=".",ISNUMBER(FIND("x"&amp;MID(B678,8,1),"x0x1x2x3x4x5x6x7x8x9"))),OR(9&gt;LEN(B678),MID(B678,9,1)=".",ISNUMBER(FIND("x"&amp;MID(B678,9,1),"x0x1x2x3x4x5x6x7x8x9"))),OR(10&gt;LEN(B678),MID(B678,10,1)=".",ISNUMBER(FIND("x"&amp;MID(B678,10,1),"x0x1x2x3x4x5x6x7x8x9"))),OR(AND(FIND(".",B678)=5,LEN(B678)-FIND(".",B678,FIND(".",B678)+1)&gt;=1,LEN(B678)-FIND(".",B678,FIND(".",B678)+1)&lt;=2),AND(LEN(B678)-FIND(".",B678,FIND(".",B678)+1)=4,FIND(".",B678)&gt;=2,FIND(".",B678)&lt;=3)),FIND(".",B678,FIND(".",B678)+1)-FIND(".",B678)&gt;=2,FIND(".",B678,FIND(".",B678)+1)-FIND(".",B678)&lt;=3,F678&gt;=2000,F678&lt;=2100,YEAR(I678)=F678,MONTH(I678)=G678,DAY(I678)=H678),I678,0)),0)</ns0:f>
        <ns0:v>0</ns0:v>
      </ns0:c>
      <ns0:c r="K678" s="0">
        <ns0:f>IFERROR(IF(ISNUMBER(Bookings!D678),"",TRIM(Bookings!D678&amp;"")),"")</ns0:f>
      </ns0:c>
      <ns0:c r="L678" s="0">
        <ns0:f>IFERROR(SUBSTITUTE(SUBSTITUTE(K678,"/","."),"-","."),"")</ns0:f>
      </ns0:c>
      <ns0:c r="M678" s="0">
        <ns0:f>IFERROR(LEFT(L678,FIND(".",L678)-1),"")</ns0:f>
      </ns0:c>
      <ns0:c r="N678" s="0">
        <ns0:f>IFERROR(MID(L678,FIND(".",L678)+1,FIND(".",L678,FIND(".",L678)+1)-FIND(".",L678)-1),"")</ns0:f>
      </ns0:c>
      <ns0:c r="O678" s="0">
        <ns0:f>IFERROR(MID(L678,FIND(".",L678,FIND(".",L678)+1)+1,99),"")</ns0:f>
        <ns0:v>99</ns0:v>
      </ns0:c>
      <ns0:c r="P678" s="0">
        <ns0:f>IFERROR(IF(FIND(".",L678)=5,--M678,--O678),0)</ns0:f>
        <ns0:v>0</ns0:v>
      </ns0:c>
      <ns0:c r="Q678" s="0">
        <ns0:f>IFERROR(--N678,0)</ns0:f>
        <ns0:v>0</ns0:v>
      </ns0:c>
      <ns0:c r="R678" s="0">
        <ns0:f>IFERROR(IF(FIND(".",L678)=5,--O678,--M678),0)</ns0:f>
        <ns0:v>0</ns0:v>
      </ns0:c>
      <ns0:c r="S678" s="0">
        <ns0:f>IFERROR(IF(AND(P678&gt;=2000,P678&lt;=2100,Q678&gt;=1,Q678&lt;=12,R678&gt;=1,R678&lt;=31),DATE(P678,Q678,R678),0),0)</ns0:f>
        <ns0:v>0</ns0:v>
      </ns0:c>
      <ns0:c r="T678" s="0">
        <ns0:f>IFERROR(IF(ISNUMBER(Bookings!D678),IF(AND(Bookings!D678=INT(Bookings!D678),Bookings!D678&gt;=DATE(2000,1,1),Bookings!D678&lt;=DATE(2100,12,31)),Bookings!D678,0),IF(AND(K678&lt;&gt;"",LEN("x"&amp;L678)-LEN(SUBSTITUTE("x"&amp;L678,".",""))=2,OR(1&gt;LEN(L678),MID(L678,1,1)=".",ISNUMBER(FIND("x"&amp;MID(L678,1,1),"x0x1x2x3x4x5x6x7x8x9"))),OR(2&gt;LEN(L678),MID(L678,2,1)=".",ISNUMBER(FIND("x"&amp;MID(L678,2,1),"x0x1x2x3x4x5x6x7x8x9"))),OR(3&gt;LEN(L678),MID(L678,3,1)=".",ISNUMBER(FIND("x"&amp;MID(L678,3,1),"x0x1x2x3x4x5x6x7x8x9"))),OR(4&gt;LEN(L678),MID(L678,4,1)=".",ISNUMBER(FIND("x"&amp;MID(L678,4,1),"x0x1x2x3x4x5x6x7x8x9"))),OR(5&gt;LEN(L678),MID(L678,5,1)=".",ISNUMBER(FIND("x"&amp;MID(L678,5,1),"x0x1x2x3x4x5x6x7x8x9"))),OR(6&gt;LEN(L678),MID(L678,6,1)=".",ISNUMBER(FIND("x"&amp;MID(L678,6,1),"x0x1x2x3x4x5x6x7x8x9"))),OR(7&gt;LEN(L678),MID(L678,7,1)=".",ISNUMBER(FIND("x"&amp;MID(L678,7,1),"x0x1x2x3x4x5x6x7x8x9"))),OR(8&gt;LEN(L678),MID(L678,8,1)=".",ISNUMBER(FIND("x"&amp;MID(L678,8,1),"x0x1x2x3x4x5x6x7x8x9"))),OR(9&gt;LEN(L678),MID(L678,9,1)=".",ISNUMBER(FIND("x"&amp;MID(L678,9,1),"x0x1x2x3x4x5x6x7x8x9"))),OR(10&gt;LEN(L678),MID(L678,10,1)=".",ISNUMBER(FIND("x"&amp;MID(L678,10,1),"x0x1x2x3x4x5x6x7x8x9"))),OR(AND(FIND(".",L678)=5,LEN(L678)-FIND(".",L678,FIND(".",L678)+1)&gt;=1,LEN(L678)-FIND(".",L678,FIND(".",L678)+1)&lt;=2),AND(LEN(L678)-FIND(".",L678,FIND(".",L678)+1)=4,FIND(".",L678)&gt;=2,FIND(".",L678)&lt;=3)),FIND(".",L678,FIND(".",L678)+1)-FIND(".",L678)&gt;=2,FIND(".",L678,FIND(".",L678)+1)-FIND(".",L678)&lt;=3,P678&gt;=2000,P678&lt;=2100,YEAR(S678)=P678,MONTH(S678)=Q678,DAY(S678)=R678),S678,0)),0)</ns0:f>
        <ns0:v>0</ns0:v>
      </ns0:c>
      <ns0:c r="U678" s="0" t="str">
        <ns0:f>IF(Bookings!C678="","Full day",Bookings!C678)</ns0:f>
        <ns0:v>Full day</ns0:v>
      </ns0:c>
      <ns0:c r="V678" s="0" t="str">
        <ns0:f>IF(Bookings!E678="","Full day",Bookings!E678)</ns0:f>
        <ns0:v>Full day</ns0:v>
      </ns0:c>
      <ns0:c r="W678" s="0">
        <ns0:f>IF(J678=0,0,J678+IF(U678="PM",1,0))</ns0:f>
        <ns0:v>0</ns0:v>
      </ns0:c>
      <ns0:c r="X678" s="0">
        <ns0:f>IF(T678=0,0,T678-IF(V678="PM",1,0))</ns0:f>
        <ns0:v>0</ns0:v>
      </ns0:c>
      <ns0:c r="Y678" s="0">
        <ns0:f>IF(J678=0,0,J678+IF(U678="AM",1,0))</ns0:f>
        <ns0:v>0</ns0:v>
      </ns0:c>
      <ns0:c r="Z678" s="0">
        <ns0:f>IF(T678=0,0,T678-IF(V678="AM",1,0))</ns0:f>
        <ns0:v>0</ns0:v>
      </ns0:c>
      <ns0:c r="AA678" s="0">
        <ns0:f>IFERROR(IF(AND(J678&gt;0,'_Engine'!C678&gt;0,MID('_Engine'!W678,WEEKDAY(J678,2),1)="W",COUNTIF(Settings!$F$18:$F$67,J678)=0),1,0),0)</ns0:f>
        <ns0:v>0</ns0:v>
      </ns0:c>
      <ns0:c r="AB678" s="0">
        <ns0:f>IFERROR(IF(AND(T678&gt;0,'_Engine'!C678&gt;0,MID('_Engine'!W678,WEEKDAY(T678,2),1)="W",COUNTIF(Settings!$F$18:$F$67,T678)=0),1,0),0)</ns0:f>
        <ns0:v>0</ns0:v>
      </ns0:c>
      <ns0:c r="AC678" s="0">
        <ns0:f>IF(AND(J678&gt;0,T678&gt;0,W678&lt;=X678),1,0)</ns0:f>
        <ns0:v>0</ns0:v>
      </ns0:c>
      <ns0:c r="AD678" s="0">
        <ns0:f>IF(AND(J678&gt;0,T678&gt;0,Y678&lt;=Z678),1,0)</ns0:f>
        <ns0:v>0</ns0:v>
      </ns0:c>
    </ns0:row>
    <ns0:row r="679">
      <ns0:c r="A679" s="0">
        <ns0:f>IFERROR(IF(ISNUMBER(Bookings!B679),"",TRIM(Bookings!B679&amp;"")),"")</ns0:f>
      </ns0:c>
      <ns0:c r="B679" s="0">
        <ns0:f>IFERROR(SUBSTITUTE(SUBSTITUTE(A679,"/","."),"-","."),"")</ns0:f>
      </ns0:c>
      <ns0:c r="C679" s="0">
        <ns0:f>IFERROR(LEFT(B679,FIND(".",B679)-1),"")</ns0:f>
      </ns0:c>
      <ns0:c r="D679" s="0">
        <ns0:f>IFERROR(MID(B679,FIND(".",B679)+1,FIND(".",B679,FIND(".",B679)+1)-FIND(".",B679)-1),"")</ns0:f>
      </ns0:c>
      <ns0:c r="E679" s="0">
        <ns0:f>IFERROR(MID(B679,FIND(".",B679,FIND(".",B679)+1)+1,99),"")</ns0:f>
        <ns0:v>99</ns0:v>
      </ns0:c>
      <ns0:c r="F679" s="0">
        <ns0:f>IFERROR(IF(FIND(".",B679)=5,--C679,--E679),0)</ns0:f>
        <ns0:v>0</ns0:v>
      </ns0:c>
      <ns0:c r="G679" s="0">
        <ns0:f>IFERROR(--D679,0)</ns0:f>
        <ns0:v>0</ns0:v>
      </ns0:c>
      <ns0:c r="H679" s="0">
        <ns0:f>IFERROR(IF(FIND(".",B679)=5,--E679,--C679),0)</ns0:f>
        <ns0:v>0</ns0:v>
      </ns0:c>
      <ns0:c r="I679" s="0">
        <ns0:f>IFERROR(IF(AND(F679&gt;=2000,F679&lt;=2100,G679&gt;=1,G679&lt;=12,H679&gt;=1,H679&lt;=31),DATE(F679,G679,H679),0),0)</ns0:f>
        <ns0:v>0</ns0:v>
      </ns0:c>
      <ns0:c r="J679" s="0">
        <ns0:f>IFERROR(IF(ISNUMBER(Bookings!B679),IF(AND(Bookings!B679=INT(Bookings!B679),Bookings!B679&gt;=DATE(2000,1,1),Bookings!B679&lt;=DATE(2100,12,31)),Bookings!B679,0),IF(AND(A679&lt;&gt;"",LEN("x"&amp;B679)-LEN(SUBSTITUTE("x"&amp;B679,".",""))=2,OR(1&gt;LEN(B679),MID(B679,1,1)=".",ISNUMBER(FIND("x"&amp;MID(B679,1,1),"x0x1x2x3x4x5x6x7x8x9"))),OR(2&gt;LEN(B679),MID(B679,2,1)=".",ISNUMBER(FIND("x"&amp;MID(B679,2,1),"x0x1x2x3x4x5x6x7x8x9"))),OR(3&gt;LEN(B679),MID(B679,3,1)=".",ISNUMBER(FIND("x"&amp;MID(B679,3,1),"x0x1x2x3x4x5x6x7x8x9"))),OR(4&gt;LEN(B679),MID(B679,4,1)=".",ISNUMBER(FIND("x"&amp;MID(B679,4,1),"x0x1x2x3x4x5x6x7x8x9"))),OR(5&gt;LEN(B679),MID(B679,5,1)=".",ISNUMBER(FIND("x"&amp;MID(B679,5,1),"x0x1x2x3x4x5x6x7x8x9"))),OR(6&gt;LEN(B679),MID(B679,6,1)=".",ISNUMBER(FIND("x"&amp;MID(B679,6,1),"x0x1x2x3x4x5x6x7x8x9"))),OR(7&gt;LEN(B679),MID(B679,7,1)=".",ISNUMBER(FIND("x"&amp;MID(B679,7,1),"x0x1x2x3x4x5x6x7x8x9"))),OR(8&gt;LEN(B679),MID(B679,8,1)=".",ISNUMBER(FIND("x"&amp;MID(B679,8,1),"x0x1x2x3x4x5x6x7x8x9"))),OR(9&gt;LEN(B679),MID(B679,9,1)=".",ISNUMBER(FIND("x"&amp;MID(B679,9,1),"x0x1x2x3x4x5x6x7x8x9"))),OR(10&gt;LEN(B679),MID(B679,10,1)=".",ISNUMBER(FIND("x"&amp;MID(B679,10,1),"x0x1x2x3x4x5x6x7x8x9"))),OR(AND(FIND(".",B679)=5,LEN(B679)-FIND(".",B679,FIND(".",B679)+1)&gt;=1,LEN(B679)-FIND(".",B679,FIND(".",B679)+1)&lt;=2),AND(LEN(B679)-FIND(".",B679,FIND(".",B679)+1)=4,FIND(".",B679)&gt;=2,FIND(".",B679)&lt;=3)),FIND(".",B679,FIND(".",B679)+1)-FIND(".",B679)&gt;=2,FIND(".",B679,FIND(".",B679)+1)-FIND(".",B679)&lt;=3,F679&gt;=2000,F679&lt;=2100,YEAR(I679)=F679,MONTH(I679)=G679,DAY(I679)=H679),I679,0)),0)</ns0:f>
        <ns0:v>0</ns0:v>
      </ns0:c>
      <ns0:c r="K679" s="0">
        <ns0:f>IFERROR(IF(ISNUMBER(Bookings!D679),"",TRIM(Bookings!D679&amp;"")),"")</ns0:f>
      </ns0:c>
      <ns0:c r="L679" s="0">
        <ns0:f>IFERROR(SUBSTITUTE(SUBSTITUTE(K679,"/","."),"-","."),"")</ns0:f>
      </ns0:c>
      <ns0:c r="M679" s="0">
        <ns0:f>IFERROR(LEFT(L679,FIND(".",L679)-1),"")</ns0:f>
      </ns0:c>
      <ns0:c r="N679" s="0">
        <ns0:f>IFERROR(MID(L679,FIND(".",L679)+1,FIND(".",L679,FIND(".",L679)+1)-FIND(".",L679)-1),"")</ns0:f>
      </ns0:c>
      <ns0:c r="O679" s="0">
        <ns0:f>IFERROR(MID(L679,FIND(".",L679,FIND(".",L679)+1)+1,99),"")</ns0:f>
        <ns0:v>99</ns0:v>
      </ns0:c>
      <ns0:c r="P679" s="0">
        <ns0:f>IFERROR(IF(FIND(".",L679)=5,--M679,--O679),0)</ns0:f>
        <ns0:v>0</ns0:v>
      </ns0:c>
      <ns0:c r="Q679" s="0">
        <ns0:f>IFERROR(--N679,0)</ns0:f>
        <ns0:v>0</ns0:v>
      </ns0:c>
      <ns0:c r="R679" s="0">
        <ns0:f>IFERROR(IF(FIND(".",L679)=5,--O679,--M679),0)</ns0:f>
        <ns0:v>0</ns0:v>
      </ns0:c>
      <ns0:c r="S679" s="0">
        <ns0:f>IFERROR(IF(AND(P679&gt;=2000,P679&lt;=2100,Q679&gt;=1,Q679&lt;=12,R679&gt;=1,R679&lt;=31),DATE(P679,Q679,R679),0),0)</ns0:f>
        <ns0:v>0</ns0:v>
      </ns0:c>
      <ns0:c r="T679" s="0">
        <ns0:f>IFERROR(IF(ISNUMBER(Bookings!D679),IF(AND(Bookings!D679=INT(Bookings!D679),Bookings!D679&gt;=DATE(2000,1,1),Bookings!D679&lt;=DATE(2100,12,31)),Bookings!D679,0),IF(AND(K679&lt;&gt;"",LEN("x"&amp;L679)-LEN(SUBSTITUTE("x"&amp;L679,".",""))=2,OR(1&gt;LEN(L679),MID(L679,1,1)=".",ISNUMBER(FIND("x"&amp;MID(L679,1,1),"x0x1x2x3x4x5x6x7x8x9"))),OR(2&gt;LEN(L679),MID(L679,2,1)=".",ISNUMBER(FIND("x"&amp;MID(L679,2,1),"x0x1x2x3x4x5x6x7x8x9"))),OR(3&gt;LEN(L679),MID(L679,3,1)=".",ISNUMBER(FIND("x"&amp;MID(L679,3,1),"x0x1x2x3x4x5x6x7x8x9"))),OR(4&gt;LEN(L679),MID(L679,4,1)=".",ISNUMBER(FIND("x"&amp;MID(L679,4,1),"x0x1x2x3x4x5x6x7x8x9"))),OR(5&gt;LEN(L679),MID(L679,5,1)=".",ISNUMBER(FIND("x"&amp;MID(L679,5,1),"x0x1x2x3x4x5x6x7x8x9"))),OR(6&gt;LEN(L679),MID(L679,6,1)=".",ISNUMBER(FIND("x"&amp;MID(L679,6,1),"x0x1x2x3x4x5x6x7x8x9"))),OR(7&gt;LEN(L679),MID(L679,7,1)=".",ISNUMBER(FIND("x"&amp;MID(L679,7,1),"x0x1x2x3x4x5x6x7x8x9"))),OR(8&gt;LEN(L679),MID(L679,8,1)=".",ISNUMBER(FIND("x"&amp;MID(L679,8,1),"x0x1x2x3x4x5x6x7x8x9"))),OR(9&gt;LEN(L679),MID(L679,9,1)=".",ISNUMBER(FIND("x"&amp;MID(L679,9,1),"x0x1x2x3x4x5x6x7x8x9"))),OR(10&gt;LEN(L679),MID(L679,10,1)=".",ISNUMBER(FIND("x"&amp;MID(L679,10,1),"x0x1x2x3x4x5x6x7x8x9"))),OR(AND(FIND(".",L679)=5,LEN(L679)-FIND(".",L679,FIND(".",L679)+1)&gt;=1,LEN(L679)-FIND(".",L679,FIND(".",L679)+1)&lt;=2),AND(LEN(L679)-FIND(".",L679,FIND(".",L679)+1)=4,FIND(".",L679)&gt;=2,FIND(".",L679)&lt;=3)),FIND(".",L679,FIND(".",L679)+1)-FIND(".",L679)&gt;=2,FIND(".",L679,FIND(".",L679)+1)-FIND(".",L679)&lt;=3,P679&gt;=2000,P679&lt;=2100,YEAR(S679)=P679,MONTH(S679)=Q679,DAY(S679)=R679),S679,0)),0)</ns0:f>
        <ns0:v>0</ns0:v>
      </ns0:c>
      <ns0:c r="U679" s="0" t="str">
        <ns0:f>IF(Bookings!C679="","Full day",Bookings!C679)</ns0:f>
        <ns0:v>Full day</ns0:v>
      </ns0:c>
      <ns0:c r="V679" s="0" t="str">
        <ns0:f>IF(Bookings!E679="","Full day",Bookings!E679)</ns0:f>
        <ns0:v>Full day</ns0:v>
      </ns0:c>
      <ns0:c r="W679" s="0">
        <ns0:f>IF(J679=0,0,J679+IF(U679="PM",1,0))</ns0:f>
        <ns0:v>0</ns0:v>
      </ns0:c>
      <ns0:c r="X679" s="0">
        <ns0:f>IF(T679=0,0,T679-IF(V679="PM",1,0))</ns0:f>
        <ns0:v>0</ns0:v>
      </ns0:c>
      <ns0:c r="Y679" s="0">
        <ns0:f>IF(J679=0,0,J679+IF(U679="AM",1,0))</ns0:f>
        <ns0:v>0</ns0:v>
      </ns0:c>
      <ns0:c r="Z679" s="0">
        <ns0:f>IF(T679=0,0,T679-IF(V679="AM",1,0))</ns0:f>
        <ns0:v>0</ns0:v>
      </ns0:c>
      <ns0:c r="AA679" s="0">
        <ns0:f>IFERROR(IF(AND(J679&gt;0,'_Engine'!C679&gt;0,MID('_Engine'!W679,WEEKDAY(J679,2),1)="W",COUNTIF(Settings!$F$18:$F$67,J679)=0),1,0),0)</ns0:f>
        <ns0:v>0</ns0:v>
      </ns0:c>
      <ns0:c r="AB679" s="0">
        <ns0:f>IFERROR(IF(AND(T679&gt;0,'_Engine'!C679&gt;0,MID('_Engine'!W679,WEEKDAY(T679,2),1)="W",COUNTIF(Settings!$F$18:$F$67,T679)=0),1,0),0)</ns0:f>
        <ns0:v>0</ns0:v>
      </ns0:c>
      <ns0:c r="AC679" s="0">
        <ns0:f>IF(AND(J679&gt;0,T679&gt;0,W679&lt;=X679),1,0)</ns0:f>
        <ns0:v>0</ns0:v>
      </ns0:c>
      <ns0:c r="AD679" s="0">
        <ns0:f>IF(AND(J679&gt;0,T679&gt;0,Y679&lt;=Z679),1,0)</ns0:f>
        <ns0:v>0</ns0:v>
      </ns0:c>
    </ns0:row>
    <ns0:row r="680">
      <ns0:c r="A680" s="0">
        <ns0:f>IFERROR(IF(ISNUMBER(Bookings!B680),"",TRIM(Bookings!B680&amp;"")),"")</ns0:f>
      </ns0:c>
      <ns0:c r="B680" s="0">
        <ns0:f>IFERROR(SUBSTITUTE(SUBSTITUTE(A680,"/","."),"-","."),"")</ns0:f>
      </ns0:c>
      <ns0:c r="C680" s="0">
        <ns0:f>IFERROR(LEFT(B680,FIND(".",B680)-1),"")</ns0:f>
      </ns0:c>
      <ns0:c r="D680" s="0">
        <ns0:f>IFERROR(MID(B680,FIND(".",B680)+1,FIND(".",B680,FIND(".",B680)+1)-FIND(".",B680)-1),"")</ns0:f>
      </ns0:c>
      <ns0:c r="E680" s="0">
        <ns0:f>IFERROR(MID(B680,FIND(".",B680,FIND(".",B680)+1)+1,99),"")</ns0:f>
        <ns0:v>99</ns0:v>
      </ns0:c>
      <ns0:c r="F680" s="0">
        <ns0:f>IFERROR(IF(FIND(".",B680)=5,--C680,--E680),0)</ns0:f>
        <ns0:v>0</ns0:v>
      </ns0:c>
      <ns0:c r="G680" s="0">
        <ns0:f>IFERROR(--D680,0)</ns0:f>
        <ns0:v>0</ns0:v>
      </ns0:c>
      <ns0:c r="H680" s="0">
        <ns0:f>IFERROR(IF(FIND(".",B680)=5,--E680,--C680),0)</ns0:f>
        <ns0:v>0</ns0:v>
      </ns0:c>
      <ns0:c r="I680" s="0">
        <ns0:f>IFERROR(IF(AND(F680&gt;=2000,F680&lt;=2100,G680&gt;=1,G680&lt;=12,H680&gt;=1,H680&lt;=31),DATE(F680,G680,H680),0),0)</ns0:f>
        <ns0:v>0</ns0:v>
      </ns0:c>
      <ns0:c r="J680" s="0">
        <ns0:f>IFERROR(IF(ISNUMBER(Bookings!B680),IF(AND(Bookings!B680=INT(Bookings!B680),Bookings!B680&gt;=DATE(2000,1,1),Bookings!B680&lt;=DATE(2100,12,31)),Bookings!B680,0),IF(AND(A680&lt;&gt;"",LEN("x"&amp;B680)-LEN(SUBSTITUTE("x"&amp;B680,".",""))=2,OR(1&gt;LEN(B680),MID(B680,1,1)=".",ISNUMBER(FIND("x"&amp;MID(B680,1,1),"x0x1x2x3x4x5x6x7x8x9"))),OR(2&gt;LEN(B680),MID(B680,2,1)=".",ISNUMBER(FIND("x"&amp;MID(B680,2,1),"x0x1x2x3x4x5x6x7x8x9"))),OR(3&gt;LEN(B680),MID(B680,3,1)=".",ISNUMBER(FIND("x"&amp;MID(B680,3,1),"x0x1x2x3x4x5x6x7x8x9"))),OR(4&gt;LEN(B680),MID(B680,4,1)=".",ISNUMBER(FIND("x"&amp;MID(B680,4,1),"x0x1x2x3x4x5x6x7x8x9"))),OR(5&gt;LEN(B680),MID(B680,5,1)=".",ISNUMBER(FIND("x"&amp;MID(B680,5,1),"x0x1x2x3x4x5x6x7x8x9"))),OR(6&gt;LEN(B680),MID(B680,6,1)=".",ISNUMBER(FIND("x"&amp;MID(B680,6,1),"x0x1x2x3x4x5x6x7x8x9"))),OR(7&gt;LEN(B680),MID(B680,7,1)=".",ISNUMBER(FIND("x"&amp;MID(B680,7,1),"x0x1x2x3x4x5x6x7x8x9"))),OR(8&gt;LEN(B680),MID(B680,8,1)=".",ISNUMBER(FIND("x"&amp;MID(B680,8,1),"x0x1x2x3x4x5x6x7x8x9"))),OR(9&gt;LEN(B680),MID(B680,9,1)=".",ISNUMBER(FIND("x"&amp;MID(B680,9,1),"x0x1x2x3x4x5x6x7x8x9"))),OR(10&gt;LEN(B680),MID(B680,10,1)=".",ISNUMBER(FIND("x"&amp;MID(B680,10,1),"x0x1x2x3x4x5x6x7x8x9"))),OR(AND(FIND(".",B680)=5,LEN(B680)-FIND(".",B680,FIND(".",B680)+1)&gt;=1,LEN(B680)-FIND(".",B680,FIND(".",B680)+1)&lt;=2),AND(LEN(B680)-FIND(".",B680,FIND(".",B680)+1)=4,FIND(".",B680)&gt;=2,FIND(".",B680)&lt;=3)),FIND(".",B680,FIND(".",B680)+1)-FIND(".",B680)&gt;=2,FIND(".",B680,FIND(".",B680)+1)-FIND(".",B680)&lt;=3,F680&gt;=2000,F680&lt;=2100,YEAR(I680)=F680,MONTH(I680)=G680,DAY(I680)=H680),I680,0)),0)</ns0:f>
        <ns0:v>0</ns0:v>
      </ns0:c>
      <ns0:c r="K680" s="0">
        <ns0:f>IFERROR(IF(ISNUMBER(Bookings!D680),"",TRIM(Bookings!D680&amp;"")),"")</ns0:f>
      </ns0:c>
      <ns0:c r="L680" s="0">
        <ns0:f>IFERROR(SUBSTITUTE(SUBSTITUTE(K680,"/","."),"-","."),"")</ns0:f>
      </ns0:c>
      <ns0:c r="M680" s="0">
        <ns0:f>IFERROR(LEFT(L680,FIND(".",L680)-1),"")</ns0:f>
      </ns0:c>
      <ns0:c r="N680" s="0">
        <ns0:f>IFERROR(MID(L680,FIND(".",L680)+1,FIND(".",L680,FIND(".",L680)+1)-FIND(".",L680)-1),"")</ns0:f>
      </ns0:c>
      <ns0:c r="O680" s="0">
        <ns0:f>IFERROR(MID(L680,FIND(".",L680,FIND(".",L680)+1)+1,99),"")</ns0:f>
        <ns0:v>99</ns0:v>
      </ns0:c>
      <ns0:c r="P680" s="0">
        <ns0:f>IFERROR(IF(FIND(".",L680)=5,--M680,--O680),0)</ns0:f>
        <ns0:v>0</ns0:v>
      </ns0:c>
      <ns0:c r="Q680" s="0">
        <ns0:f>IFERROR(--N680,0)</ns0:f>
        <ns0:v>0</ns0:v>
      </ns0:c>
      <ns0:c r="R680" s="0">
        <ns0:f>IFERROR(IF(FIND(".",L680)=5,--O680,--M680),0)</ns0:f>
        <ns0:v>0</ns0:v>
      </ns0:c>
      <ns0:c r="S680" s="0">
        <ns0:f>IFERROR(IF(AND(P680&gt;=2000,P680&lt;=2100,Q680&gt;=1,Q680&lt;=12,R680&gt;=1,R680&lt;=31),DATE(P680,Q680,R680),0),0)</ns0:f>
        <ns0:v>0</ns0:v>
      </ns0:c>
      <ns0:c r="T680" s="0">
        <ns0:f>IFERROR(IF(ISNUMBER(Bookings!D680),IF(AND(Bookings!D680=INT(Bookings!D680),Bookings!D680&gt;=DATE(2000,1,1),Bookings!D680&lt;=DATE(2100,12,31)),Bookings!D680,0),IF(AND(K680&lt;&gt;"",LEN("x"&amp;L680)-LEN(SUBSTITUTE("x"&amp;L680,".",""))=2,OR(1&gt;LEN(L680),MID(L680,1,1)=".",ISNUMBER(FIND("x"&amp;MID(L680,1,1),"x0x1x2x3x4x5x6x7x8x9"))),OR(2&gt;LEN(L680),MID(L680,2,1)=".",ISNUMBER(FIND("x"&amp;MID(L680,2,1),"x0x1x2x3x4x5x6x7x8x9"))),OR(3&gt;LEN(L680),MID(L680,3,1)=".",ISNUMBER(FIND("x"&amp;MID(L680,3,1),"x0x1x2x3x4x5x6x7x8x9"))),OR(4&gt;LEN(L680),MID(L680,4,1)=".",ISNUMBER(FIND("x"&amp;MID(L680,4,1),"x0x1x2x3x4x5x6x7x8x9"))),OR(5&gt;LEN(L680),MID(L680,5,1)=".",ISNUMBER(FIND("x"&amp;MID(L680,5,1),"x0x1x2x3x4x5x6x7x8x9"))),OR(6&gt;LEN(L680),MID(L680,6,1)=".",ISNUMBER(FIND("x"&amp;MID(L680,6,1),"x0x1x2x3x4x5x6x7x8x9"))),OR(7&gt;LEN(L680),MID(L680,7,1)=".",ISNUMBER(FIND("x"&amp;MID(L680,7,1),"x0x1x2x3x4x5x6x7x8x9"))),OR(8&gt;LEN(L680),MID(L680,8,1)=".",ISNUMBER(FIND("x"&amp;MID(L680,8,1),"x0x1x2x3x4x5x6x7x8x9"))),OR(9&gt;LEN(L680),MID(L680,9,1)=".",ISNUMBER(FIND("x"&amp;MID(L680,9,1),"x0x1x2x3x4x5x6x7x8x9"))),OR(10&gt;LEN(L680),MID(L680,10,1)=".",ISNUMBER(FIND("x"&amp;MID(L680,10,1),"x0x1x2x3x4x5x6x7x8x9"))),OR(AND(FIND(".",L680)=5,LEN(L680)-FIND(".",L680,FIND(".",L680)+1)&gt;=1,LEN(L680)-FIND(".",L680,FIND(".",L680)+1)&lt;=2),AND(LEN(L680)-FIND(".",L680,FIND(".",L680)+1)=4,FIND(".",L680)&gt;=2,FIND(".",L680)&lt;=3)),FIND(".",L680,FIND(".",L680)+1)-FIND(".",L680)&gt;=2,FIND(".",L680,FIND(".",L680)+1)-FIND(".",L680)&lt;=3,P680&gt;=2000,P680&lt;=2100,YEAR(S680)=P680,MONTH(S680)=Q680,DAY(S680)=R680),S680,0)),0)</ns0:f>
        <ns0:v>0</ns0:v>
      </ns0:c>
      <ns0:c r="U680" s="0" t="str">
        <ns0:f>IF(Bookings!C680="","Full day",Bookings!C680)</ns0:f>
        <ns0:v>Full day</ns0:v>
      </ns0:c>
      <ns0:c r="V680" s="0" t="str">
        <ns0:f>IF(Bookings!E680="","Full day",Bookings!E680)</ns0:f>
        <ns0:v>Full day</ns0:v>
      </ns0:c>
      <ns0:c r="W680" s="0">
        <ns0:f>IF(J680=0,0,J680+IF(U680="PM",1,0))</ns0:f>
        <ns0:v>0</ns0:v>
      </ns0:c>
      <ns0:c r="X680" s="0">
        <ns0:f>IF(T680=0,0,T680-IF(V680="PM",1,0))</ns0:f>
        <ns0:v>0</ns0:v>
      </ns0:c>
      <ns0:c r="Y680" s="0">
        <ns0:f>IF(J680=0,0,J680+IF(U680="AM",1,0))</ns0:f>
        <ns0:v>0</ns0:v>
      </ns0:c>
      <ns0:c r="Z680" s="0">
        <ns0:f>IF(T680=0,0,T680-IF(V680="AM",1,0))</ns0:f>
        <ns0:v>0</ns0:v>
      </ns0:c>
      <ns0:c r="AA680" s="0">
        <ns0:f>IFERROR(IF(AND(J680&gt;0,'_Engine'!C680&gt;0,MID('_Engine'!W680,WEEKDAY(J680,2),1)="W",COUNTIF(Settings!$F$18:$F$67,J680)=0),1,0),0)</ns0:f>
        <ns0:v>0</ns0:v>
      </ns0:c>
      <ns0:c r="AB680" s="0">
        <ns0:f>IFERROR(IF(AND(T680&gt;0,'_Engine'!C680&gt;0,MID('_Engine'!W680,WEEKDAY(T680,2),1)="W",COUNTIF(Settings!$F$18:$F$67,T680)=0),1,0),0)</ns0:f>
        <ns0:v>0</ns0:v>
      </ns0:c>
      <ns0:c r="AC680" s="0">
        <ns0:f>IF(AND(J680&gt;0,T680&gt;0,W680&lt;=X680),1,0)</ns0:f>
        <ns0:v>0</ns0:v>
      </ns0:c>
      <ns0:c r="AD680" s="0">
        <ns0:f>IF(AND(J680&gt;0,T680&gt;0,Y680&lt;=Z680),1,0)</ns0:f>
        <ns0:v>0</ns0:v>
      </ns0:c>
    </ns0:row>
    <ns0:row r="681">
      <ns0:c r="A681" s="0">
        <ns0:f>IFERROR(IF(ISNUMBER(Bookings!B681),"",TRIM(Bookings!B681&amp;"")),"")</ns0:f>
      </ns0:c>
      <ns0:c r="B681" s="0">
        <ns0:f>IFERROR(SUBSTITUTE(SUBSTITUTE(A681,"/","."),"-","."),"")</ns0:f>
      </ns0:c>
      <ns0:c r="C681" s="0">
        <ns0:f>IFERROR(LEFT(B681,FIND(".",B681)-1),"")</ns0:f>
      </ns0:c>
      <ns0:c r="D681" s="0">
        <ns0:f>IFERROR(MID(B681,FIND(".",B681)+1,FIND(".",B681,FIND(".",B681)+1)-FIND(".",B681)-1),"")</ns0:f>
      </ns0:c>
      <ns0:c r="E681" s="0">
        <ns0:f>IFERROR(MID(B681,FIND(".",B681,FIND(".",B681)+1)+1,99),"")</ns0:f>
        <ns0:v>99</ns0:v>
      </ns0:c>
      <ns0:c r="F681" s="0">
        <ns0:f>IFERROR(IF(FIND(".",B681)=5,--C681,--E681),0)</ns0:f>
        <ns0:v>0</ns0:v>
      </ns0:c>
      <ns0:c r="G681" s="0">
        <ns0:f>IFERROR(--D681,0)</ns0:f>
        <ns0:v>0</ns0:v>
      </ns0:c>
      <ns0:c r="H681" s="0">
        <ns0:f>IFERROR(IF(FIND(".",B681)=5,--E681,--C681),0)</ns0:f>
        <ns0:v>0</ns0:v>
      </ns0:c>
      <ns0:c r="I681" s="0">
        <ns0:f>IFERROR(IF(AND(F681&gt;=2000,F681&lt;=2100,G681&gt;=1,G681&lt;=12,H681&gt;=1,H681&lt;=31),DATE(F681,G681,H681),0),0)</ns0:f>
        <ns0:v>0</ns0:v>
      </ns0:c>
      <ns0:c r="J681" s="0">
        <ns0:f>IFERROR(IF(ISNUMBER(Bookings!B681),IF(AND(Bookings!B681=INT(Bookings!B681),Bookings!B681&gt;=DATE(2000,1,1),Bookings!B681&lt;=DATE(2100,12,31)),Bookings!B681,0),IF(AND(A681&lt;&gt;"",LEN("x"&amp;B681)-LEN(SUBSTITUTE("x"&amp;B681,".",""))=2,OR(1&gt;LEN(B681),MID(B681,1,1)=".",ISNUMBER(FIND("x"&amp;MID(B681,1,1),"x0x1x2x3x4x5x6x7x8x9"))),OR(2&gt;LEN(B681),MID(B681,2,1)=".",ISNUMBER(FIND("x"&amp;MID(B681,2,1),"x0x1x2x3x4x5x6x7x8x9"))),OR(3&gt;LEN(B681),MID(B681,3,1)=".",ISNUMBER(FIND("x"&amp;MID(B681,3,1),"x0x1x2x3x4x5x6x7x8x9"))),OR(4&gt;LEN(B681),MID(B681,4,1)=".",ISNUMBER(FIND("x"&amp;MID(B681,4,1),"x0x1x2x3x4x5x6x7x8x9"))),OR(5&gt;LEN(B681),MID(B681,5,1)=".",ISNUMBER(FIND("x"&amp;MID(B681,5,1),"x0x1x2x3x4x5x6x7x8x9"))),OR(6&gt;LEN(B681),MID(B681,6,1)=".",ISNUMBER(FIND("x"&amp;MID(B681,6,1),"x0x1x2x3x4x5x6x7x8x9"))),OR(7&gt;LEN(B681),MID(B681,7,1)=".",ISNUMBER(FIND("x"&amp;MID(B681,7,1),"x0x1x2x3x4x5x6x7x8x9"))),OR(8&gt;LEN(B681),MID(B681,8,1)=".",ISNUMBER(FIND("x"&amp;MID(B681,8,1),"x0x1x2x3x4x5x6x7x8x9"))),OR(9&gt;LEN(B681),MID(B681,9,1)=".",ISNUMBER(FIND("x"&amp;MID(B681,9,1),"x0x1x2x3x4x5x6x7x8x9"))),OR(10&gt;LEN(B681),MID(B681,10,1)=".",ISNUMBER(FIND("x"&amp;MID(B681,10,1),"x0x1x2x3x4x5x6x7x8x9"))),OR(AND(FIND(".",B681)=5,LEN(B681)-FIND(".",B681,FIND(".",B681)+1)&gt;=1,LEN(B681)-FIND(".",B681,FIND(".",B681)+1)&lt;=2),AND(LEN(B681)-FIND(".",B681,FIND(".",B681)+1)=4,FIND(".",B681)&gt;=2,FIND(".",B681)&lt;=3)),FIND(".",B681,FIND(".",B681)+1)-FIND(".",B681)&gt;=2,FIND(".",B681,FIND(".",B681)+1)-FIND(".",B681)&lt;=3,F681&gt;=2000,F681&lt;=2100,YEAR(I681)=F681,MONTH(I681)=G681,DAY(I681)=H681),I681,0)),0)</ns0:f>
        <ns0:v>0</ns0:v>
      </ns0:c>
      <ns0:c r="K681" s="0">
        <ns0:f>IFERROR(IF(ISNUMBER(Bookings!D681),"",TRIM(Bookings!D681&amp;"")),"")</ns0:f>
      </ns0:c>
      <ns0:c r="L681" s="0">
        <ns0:f>IFERROR(SUBSTITUTE(SUBSTITUTE(K681,"/","."),"-","."),"")</ns0:f>
      </ns0:c>
      <ns0:c r="M681" s="0">
        <ns0:f>IFERROR(LEFT(L681,FIND(".",L681)-1),"")</ns0:f>
      </ns0:c>
      <ns0:c r="N681" s="0">
        <ns0:f>IFERROR(MID(L681,FIND(".",L681)+1,FIND(".",L681,FIND(".",L681)+1)-FIND(".",L681)-1),"")</ns0:f>
      </ns0:c>
      <ns0:c r="O681" s="0">
        <ns0:f>IFERROR(MID(L681,FIND(".",L681,FIND(".",L681)+1)+1,99),"")</ns0:f>
        <ns0:v>99</ns0:v>
      </ns0:c>
      <ns0:c r="P681" s="0">
        <ns0:f>IFERROR(IF(FIND(".",L681)=5,--M681,--O681),0)</ns0:f>
        <ns0:v>0</ns0:v>
      </ns0:c>
      <ns0:c r="Q681" s="0">
        <ns0:f>IFERROR(--N681,0)</ns0:f>
        <ns0:v>0</ns0:v>
      </ns0:c>
      <ns0:c r="R681" s="0">
        <ns0:f>IFERROR(IF(FIND(".",L681)=5,--O681,--M681),0)</ns0:f>
        <ns0:v>0</ns0:v>
      </ns0:c>
      <ns0:c r="S681" s="0">
        <ns0:f>IFERROR(IF(AND(P681&gt;=2000,P681&lt;=2100,Q681&gt;=1,Q681&lt;=12,R681&gt;=1,R681&lt;=31),DATE(P681,Q681,R681),0),0)</ns0:f>
        <ns0:v>0</ns0:v>
      </ns0:c>
      <ns0:c r="T681" s="0">
        <ns0:f>IFERROR(IF(ISNUMBER(Bookings!D681),IF(AND(Bookings!D681=INT(Bookings!D681),Bookings!D681&gt;=DATE(2000,1,1),Bookings!D681&lt;=DATE(2100,12,31)),Bookings!D681,0),IF(AND(K681&lt;&gt;"",LEN("x"&amp;L681)-LEN(SUBSTITUTE("x"&amp;L681,".",""))=2,OR(1&gt;LEN(L681),MID(L681,1,1)=".",ISNUMBER(FIND("x"&amp;MID(L681,1,1),"x0x1x2x3x4x5x6x7x8x9"))),OR(2&gt;LEN(L681),MID(L681,2,1)=".",ISNUMBER(FIND("x"&amp;MID(L681,2,1),"x0x1x2x3x4x5x6x7x8x9"))),OR(3&gt;LEN(L681),MID(L681,3,1)=".",ISNUMBER(FIND("x"&amp;MID(L681,3,1),"x0x1x2x3x4x5x6x7x8x9"))),OR(4&gt;LEN(L681),MID(L681,4,1)=".",ISNUMBER(FIND("x"&amp;MID(L681,4,1),"x0x1x2x3x4x5x6x7x8x9"))),OR(5&gt;LEN(L681),MID(L681,5,1)=".",ISNUMBER(FIND("x"&amp;MID(L681,5,1),"x0x1x2x3x4x5x6x7x8x9"))),OR(6&gt;LEN(L681),MID(L681,6,1)=".",ISNUMBER(FIND("x"&amp;MID(L681,6,1),"x0x1x2x3x4x5x6x7x8x9"))),OR(7&gt;LEN(L681),MID(L681,7,1)=".",ISNUMBER(FIND("x"&amp;MID(L681,7,1),"x0x1x2x3x4x5x6x7x8x9"))),OR(8&gt;LEN(L681),MID(L681,8,1)=".",ISNUMBER(FIND("x"&amp;MID(L681,8,1),"x0x1x2x3x4x5x6x7x8x9"))),OR(9&gt;LEN(L681),MID(L681,9,1)=".",ISNUMBER(FIND("x"&amp;MID(L681,9,1),"x0x1x2x3x4x5x6x7x8x9"))),OR(10&gt;LEN(L681),MID(L681,10,1)=".",ISNUMBER(FIND("x"&amp;MID(L681,10,1),"x0x1x2x3x4x5x6x7x8x9"))),OR(AND(FIND(".",L681)=5,LEN(L681)-FIND(".",L681,FIND(".",L681)+1)&gt;=1,LEN(L681)-FIND(".",L681,FIND(".",L681)+1)&lt;=2),AND(LEN(L681)-FIND(".",L681,FIND(".",L681)+1)=4,FIND(".",L681)&gt;=2,FIND(".",L681)&lt;=3)),FIND(".",L681,FIND(".",L681)+1)-FIND(".",L681)&gt;=2,FIND(".",L681,FIND(".",L681)+1)-FIND(".",L681)&lt;=3,P681&gt;=2000,P681&lt;=2100,YEAR(S681)=P681,MONTH(S681)=Q681,DAY(S681)=R681),S681,0)),0)</ns0:f>
        <ns0:v>0</ns0:v>
      </ns0:c>
      <ns0:c r="U681" s="0" t="str">
        <ns0:f>IF(Bookings!C681="","Full day",Bookings!C681)</ns0:f>
        <ns0:v>Full day</ns0:v>
      </ns0:c>
      <ns0:c r="V681" s="0" t="str">
        <ns0:f>IF(Bookings!E681="","Full day",Bookings!E681)</ns0:f>
        <ns0:v>Full day</ns0:v>
      </ns0:c>
      <ns0:c r="W681" s="0">
        <ns0:f>IF(J681=0,0,J681+IF(U681="PM",1,0))</ns0:f>
        <ns0:v>0</ns0:v>
      </ns0:c>
      <ns0:c r="X681" s="0">
        <ns0:f>IF(T681=0,0,T681-IF(V681="PM",1,0))</ns0:f>
        <ns0:v>0</ns0:v>
      </ns0:c>
      <ns0:c r="Y681" s="0">
        <ns0:f>IF(J681=0,0,J681+IF(U681="AM",1,0))</ns0:f>
        <ns0:v>0</ns0:v>
      </ns0:c>
      <ns0:c r="Z681" s="0">
        <ns0:f>IF(T681=0,0,T681-IF(V681="AM",1,0))</ns0:f>
        <ns0:v>0</ns0:v>
      </ns0:c>
      <ns0:c r="AA681" s="0">
        <ns0:f>IFERROR(IF(AND(J681&gt;0,'_Engine'!C681&gt;0,MID('_Engine'!W681,WEEKDAY(J681,2),1)="W",COUNTIF(Settings!$F$18:$F$67,J681)=0),1,0),0)</ns0:f>
        <ns0:v>0</ns0:v>
      </ns0:c>
      <ns0:c r="AB681" s="0">
        <ns0:f>IFERROR(IF(AND(T681&gt;0,'_Engine'!C681&gt;0,MID('_Engine'!W681,WEEKDAY(T681,2),1)="W",COUNTIF(Settings!$F$18:$F$67,T681)=0),1,0),0)</ns0:f>
        <ns0:v>0</ns0:v>
      </ns0:c>
      <ns0:c r="AC681" s="0">
        <ns0:f>IF(AND(J681&gt;0,T681&gt;0,W681&lt;=X681),1,0)</ns0:f>
        <ns0:v>0</ns0:v>
      </ns0:c>
      <ns0:c r="AD681" s="0">
        <ns0:f>IF(AND(J681&gt;0,T681&gt;0,Y681&lt;=Z681),1,0)</ns0:f>
        <ns0:v>0</ns0:v>
      </ns0:c>
    </ns0:row>
    <ns0:row r="682">
      <ns0:c r="A682" s="0">
        <ns0:f>IFERROR(IF(ISNUMBER(Bookings!B682),"",TRIM(Bookings!B682&amp;"")),"")</ns0:f>
      </ns0:c>
      <ns0:c r="B682" s="0">
        <ns0:f>IFERROR(SUBSTITUTE(SUBSTITUTE(A682,"/","."),"-","."),"")</ns0:f>
      </ns0:c>
      <ns0:c r="C682" s="0">
        <ns0:f>IFERROR(LEFT(B682,FIND(".",B682)-1),"")</ns0:f>
      </ns0:c>
      <ns0:c r="D682" s="0">
        <ns0:f>IFERROR(MID(B682,FIND(".",B682)+1,FIND(".",B682,FIND(".",B682)+1)-FIND(".",B682)-1),"")</ns0:f>
      </ns0:c>
      <ns0:c r="E682" s="0">
        <ns0:f>IFERROR(MID(B682,FIND(".",B682,FIND(".",B682)+1)+1,99),"")</ns0:f>
        <ns0:v>99</ns0:v>
      </ns0:c>
      <ns0:c r="F682" s="0">
        <ns0:f>IFERROR(IF(FIND(".",B682)=5,--C682,--E682),0)</ns0:f>
        <ns0:v>0</ns0:v>
      </ns0:c>
      <ns0:c r="G682" s="0">
        <ns0:f>IFERROR(--D682,0)</ns0:f>
        <ns0:v>0</ns0:v>
      </ns0:c>
      <ns0:c r="H682" s="0">
        <ns0:f>IFERROR(IF(FIND(".",B682)=5,--E682,--C682),0)</ns0:f>
        <ns0:v>0</ns0:v>
      </ns0:c>
      <ns0:c r="I682" s="0">
        <ns0:f>IFERROR(IF(AND(F682&gt;=2000,F682&lt;=2100,G682&gt;=1,G682&lt;=12,H682&gt;=1,H682&lt;=31),DATE(F682,G682,H682),0),0)</ns0:f>
        <ns0:v>0</ns0:v>
      </ns0:c>
      <ns0:c r="J682" s="0">
        <ns0:f>IFERROR(IF(ISNUMBER(Bookings!B682),IF(AND(Bookings!B682=INT(Bookings!B682),Bookings!B682&gt;=DATE(2000,1,1),Bookings!B682&lt;=DATE(2100,12,31)),Bookings!B682,0),IF(AND(A682&lt;&gt;"",LEN("x"&amp;B682)-LEN(SUBSTITUTE("x"&amp;B682,".",""))=2,OR(1&gt;LEN(B682),MID(B682,1,1)=".",ISNUMBER(FIND("x"&amp;MID(B682,1,1),"x0x1x2x3x4x5x6x7x8x9"))),OR(2&gt;LEN(B682),MID(B682,2,1)=".",ISNUMBER(FIND("x"&amp;MID(B682,2,1),"x0x1x2x3x4x5x6x7x8x9"))),OR(3&gt;LEN(B682),MID(B682,3,1)=".",ISNUMBER(FIND("x"&amp;MID(B682,3,1),"x0x1x2x3x4x5x6x7x8x9"))),OR(4&gt;LEN(B682),MID(B682,4,1)=".",ISNUMBER(FIND("x"&amp;MID(B682,4,1),"x0x1x2x3x4x5x6x7x8x9"))),OR(5&gt;LEN(B682),MID(B682,5,1)=".",ISNUMBER(FIND("x"&amp;MID(B682,5,1),"x0x1x2x3x4x5x6x7x8x9"))),OR(6&gt;LEN(B682),MID(B682,6,1)=".",ISNUMBER(FIND("x"&amp;MID(B682,6,1),"x0x1x2x3x4x5x6x7x8x9"))),OR(7&gt;LEN(B682),MID(B682,7,1)=".",ISNUMBER(FIND("x"&amp;MID(B682,7,1),"x0x1x2x3x4x5x6x7x8x9"))),OR(8&gt;LEN(B682),MID(B682,8,1)=".",ISNUMBER(FIND("x"&amp;MID(B682,8,1),"x0x1x2x3x4x5x6x7x8x9"))),OR(9&gt;LEN(B682),MID(B682,9,1)=".",ISNUMBER(FIND("x"&amp;MID(B682,9,1),"x0x1x2x3x4x5x6x7x8x9"))),OR(10&gt;LEN(B682),MID(B682,10,1)=".",ISNUMBER(FIND("x"&amp;MID(B682,10,1),"x0x1x2x3x4x5x6x7x8x9"))),OR(AND(FIND(".",B682)=5,LEN(B682)-FIND(".",B682,FIND(".",B682)+1)&gt;=1,LEN(B682)-FIND(".",B682,FIND(".",B682)+1)&lt;=2),AND(LEN(B682)-FIND(".",B682,FIND(".",B682)+1)=4,FIND(".",B682)&gt;=2,FIND(".",B682)&lt;=3)),FIND(".",B682,FIND(".",B682)+1)-FIND(".",B682)&gt;=2,FIND(".",B682,FIND(".",B682)+1)-FIND(".",B682)&lt;=3,F682&gt;=2000,F682&lt;=2100,YEAR(I682)=F682,MONTH(I682)=G682,DAY(I682)=H682),I682,0)),0)</ns0:f>
        <ns0:v>0</ns0:v>
      </ns0:c>
      <ns0:c r="K682" s="0">
        <ns0:f>IFERROR(IF(ISNUMBER(Bookings!D682),"",TRIM(Bookings!D682&amp;"")),"")</ns0:f>
      </ns0:c>
      <ns0:c r="L682" s="0">
        <ns0:f>IFERROR(SUBSTITUTE(SUBSTITUTE(K682,"/","."),"-","."),"")</ns0:f>
      </ns0:c>
      <ns0:c r="M682" s="0">
        <ns0:f>IFERROR(LEFT(L682,FIND(".",L682)-1),"")</ns0:f>
      </ns0:c>
      <ns0:c r="N682" s="0">
        <ns0:f>IFERROR(MID(L682,FIND(".",L682)+1,FIND(".",L682,FIND(".",L682)+1)-FIND(".",L682)-1),"")</ns0:f>
      </ns0:c>
      <ns0:c r="O682" s="0">
        <ns0:f>IFERROR(MID(L682,FIND(".",L682,FIND(".",L682)+1)+1,99),"")</ns0:f>
        <ns0:v>99</ns0:v>
      </ns0:c>
      <ns0:c r="P682" s="0">
        <ns0:f>IFERROR(IF(FIND(".",L682)=5,--M682,--O682),0)</ns0:f>
        <ns0:v>0</ns0:v>
      </ns0:c>
      <ns0:c r="Q682" s="0">
        <ns0:f>IFERROR(--N682,0)</ns0:f>
        <ns0:v>0</ns0:v>
      </ns0:c>
      <ns0:c r="R682" s="0">
        <ns0:f>IFERROR(IF(FIND(".",L682)=5,--O682,--M682),0)</ns0:f>
        <ns0:v>0</ns0:v>
      </ns0:c>
      <ns0:c r="S682" s="0">
        <ns0:f>IFERROR(IF(AND(P682&gt;=2000,P682&lt;=2100,Q682&gt;=1,Q682&lt;=12,R682&gt;=1,R682&lt;=31),DATE(P682,Q682,R682),0),0)</ns0:f>
        <ns0:v>0</ns0:v>
      </ns0:c>
      <ns0:c r="T682" s="0">
        <ns0:f>IFERROR(IF(ISNUMBER(Bookings!D682),IF(AND(Bookings!D682=INT(Bookings!D682),Bookings!D682&gt;=DATE(2000,1,1),Bookings!D682&lt;=DATE(2100,12,31)),Bookings!D682,0),IF(AND(K682&lt;&gt;"",LEN("x"&amp;L682)-LEN(SUBSTITUTE("x"&amp;L682,".",""))=2,OR(1&gt;LEN(L682),MID(L682,1,1)=".",ISNUMBER(FIND("x"&amp;MID(L682,1,1),"x0x1x2x3x4x5x6x7x8x9"))),OR(2&gt;LEN(L682),MID(L682,2,1)=".",ISNUMBER(FIND("x"&amp;MID(L682,2,1),"x0x1x2x3x4x5x6x7x8x9"))),OR(3&gt;LEN(L682),MID(L682,3,1)=".",ISNUMBER(FIND("x"&amp;MID(L682,3,1),"x0x1x2x3x4x5x6x7x8x9"))),OR(4&gt;LEN(L682),MID(L682,4,1)=".",ISNUMBER(FIND("x"&amp;MID(L682,4,1),"x0x1x2x3x4x5x6x7x8x9"))),OR(5&gt;LEN(L682),MID(L682,5,1)=".",ISNUMBER(FIND("x"&amp;MID(L682,5,1),"x0x1x2x3x4x5x6x7x8x9"))),OR(6&gt;LEN(L682),MID(L682,6,1)=".",ISNUMBER(FIND("x"&amp;MID(L682,6,1),"x0x1x2x3x4x5x6x7x8x9"))),OR(7&gt;LEN(L682),MID(L682,7,1)=".",ISNUMBER(FIND("x"&amp;MID(L682,7,1),"x0x1x2x3x4x5x6x7x8x9"))),OR(8&gt;LEN(L682),MID(L682,8,1)=".",ISNUMBER(FIND("x"&amp;MID(L682,8,1),"x0x1x2x3x4x5x6x7x8x9"))),OR(9&gt;LEN(L682),MID(L682,9,1)=".",ISNUMBER(FIND("x"&amp;MID(L682,9,1),"x0x1x2x3x4x5x6x7x8x9"))),OR(10&gt;LEN(L682),MID(L682,10,1)=".",ISNUMBER(FIND("x"&amp;MID(L682,10,1),"x0x1x2x3x4x5x6x7x8x9"))),OR(AND(FIND(".",L682)=5,LEN(L682)-FIND(".",L682,FIND(".",L682)+1)&gt;=1,LEN(L682)-FIND(".",L682,FIND(".",L682)+1)&lt;=2),AND(LEN(L682)-FIND(".",L682,FIND(".",L682)+1)=4,FIND(".",L682)&gt;=2,FIND(".",L682)&lt;=3)),FIND(".",L682,FIND(".",L682)+1)-FIND(".",L682)&gt;=2,FIND(".",L682,FIND(".",L682)+1)-FIND(".",L682)&lt;=3,P682&gt;=2000,P682&lt;=2100,YEAR(S682)=P682,MONTH(S682)=Q682,DAY(S682)=R682),S682,0)),0)</ns0:f>
        <ns0:v>0</ns0:v>
      </ns0:c>
      <ns0:c r="U682" s="0" t="str">
        <ns0:f>IF(Bookings!C682="","Full day",Bookings!C682)</ns0:f>
        <ns0:v>Full day</ns0:v>
      </ns0:c>
      <ns0:c r="V682" s="0" t="str">
        <ns0:f>IF(Bookings!E682="","Full day",Bookings!E682)</ns0:f>
        <ns0:v>Full day</ns0:v>
      </ns0:c>
      <ns0:c r="W682" s="0">
        <ns0:f>IF(J682=0,0,J682+IF(U682="PM",1,0))</ns0:f>
        <ns0:v>0</ns0:v>
      </ns0:c>
      <ns0:c r="X682" s="0">
        <ns0:f>IF(T682=0,0,T682-IF(V682="PM",1,0))</ns0:f>
        <ns0:v>0</ns0:v>
      </ns0:c>
      <ns0:c r="Y682" s="0">
        <ns0:f>IF(J682=0,0,J682+IF(U682="AM",1,0))</ns0:f>
        <ns0:v>0</ns0:v>
      </ns0:c>
      <ns0:c r="Z682" s="0">
        <ns0:f>IF(T682=0,0,T682-IF(V682="AM",1,0))</ns0:f>
        <ns0:v>0</ns0:v>
      </ns0:c>
      <ns0:c r="AA682" s="0">
        <ns0:f>IFERROR(IF(AND(J682&gt;0,'_Engine'!C682&gt;0,MID('_Engine'!W682,WEEKDAY(J682,2),1)="W",COUNTIF(Settings!$F$18:$F$67,J682)=0),1,0),0)</ns0:f>
        <ns0:v>0</ns0:v>
      </ns0:c>
      <ns0:c r="AB682" s="0">
        <ns0:f>IFERROR(IF(AND(T682&gt;0,'_Engine'!C682&gt;0,MID('_Engine'!W682,WEEKDAY(T682,2),1)="W",COUNTIF(Settings!$F$18:$F$67,T682)=0),1,0),0)</ns0:f>
        <ns0:v>0</ns0:v>
      </ns0:c>
      <ns0:c r="AC682" s="0">
        <ns0:f>IF(AND(J682&gt;0,T682&gt;0,W682&lt;=X682),1,0)</ns0:f>
        <ns0:v>0</ns0:v>
      </ns0:c>
      <ns0:c r="AD682" s="0">
        <ns0:f>IF(AND(J682&gt;0,T682&gt;0,Y682&lt;=Z682),1,0)</ns0:f>
        <ns0:v>0</ns0:v>
      </ns0:c>
    </ns0:row>
    <ns0:row r="683">
      <ns0:c r="A683" s="0">
        <ns0:f>IFERROR(IF(ISNUMBER(Bookings!B683),"",TRIM(Bookings!B683&amp;"")),"")</ns0:f>
      </ns0:c>
      <ns0:c r="B683" s="0">
        <ns0:f>IFERROR(SUBSTITUTE(SUBSTITUTE(A683,"/","."),"-","."),"")</ns0:f>
      </ns0:c>
      <ns0:c r="C683" s="0">
        <ns0:f>IFERROR(LEFT(B683,FIND(".",B683)-1),"")</ns0:f>
      </ns0:c>
      <ns0:c r="D683" s="0">
        <ns0:f>IFERROR(MID(B683,FIND(".",B683)+1,FIND(".",B683,FIND(".",B683)+1)-FIND(".",B683)-1),"")</ns0:f>
      </ns0:c>
      <ns0:c r="E683" s="0">
        <ns0:f>IFERROR(MID(B683,FIND(".",B683,FIND(".",B683)+1)+1,99),"")</ns0:f>
        <ns0:v>99</ns0:v>
      </ns0:c>
      <ns0:c r="F683" s="0">
        <ns0:f>IFERROR(IF(FIND(".",B683)=5,--C683,--E683),0)</ns0:f>
        <ns0:v>0</ns0:v>
      </ns0:c>
      <ns0:c r="G683" s="0">
        <ns0:f>IFERROR(--D683,0)</ns0:f>
        <ns0:v>0</ns0:v>
      </ns0:c>
      <ns0:c r="H683" s="0">
        <ns0:f>IFERROR(IF(FIND(".",B683)=5,--E683,--C683),0)</ns0:f>
        <ns0:v>0</ns0:v>
      </ns0:c>
      <ns0:c r="I683" s="0">
        <ns0:f>IFERROR(IF(AND(F683&gt;=2000,F683&lt;=2100,G683&gt;=1,G683&lt;=12,H683&gt;=1,H683&lt;=31),DATE(F683,G683,H683),0),0)</ns0:f>
        <ns0:v>0</ns0:v>
      </ns0:c>
      <ns0:c r="J683" s="0">
        <ns0:f>IFERROR(IF(ISNUMBER(Bookings!B683),IF(AND(Bookings!B683=INT(Bookings!B683),Bookings!B683&gt;=DATE(2000,1,1),Bookings!B683&lt;=DATE(2100,12,31)),Bookings!B683,0),IF(AND(A683&lt;&gt;"",LEN("x"&amp;B683)-LEN(SUBSTITUTE("x"&amp;B683,".",""))=2,OR(1&gt;LEN(B683),MID(B683,1,1)=".",ISNUMBER(FIND("x"&amp;MID(B683,1,1),"x0x1x2x3x4x5x6x7x8x9"))),OR(2&gt;LEN(B683),MID(B683,2,1)=".",ISNUMBER(FIND("x"&amp;MID(B683,2,1),"x0x1x2x3x4x5x6x7x8x9"))),OR(3&gt;LEN(B683),MID(B683,3,1)=".",ISNUMBER(FIND("x"&amp;MID(B683,3,1),"x0x1x2x3x4x5x6x7x8x9"))),OR(4&gt;LEN(B683),MID(B683,4,1)=".",ISNUMBER(FIND("x"&amp;MID(B683,4,1),"x0x1x2x3x4x5x6x7x8x9"))),OR(5&gt;LEN(B683),MID(B683,5,1)=".",ISNUMBER(FIND("x"&amp;MID(B683,5,1),"x0x1x2x3x4x5x6x7x8x9"))),OR(6&gt;LEN(B683),MID(B683,6,1)=".",ISNUMBER(FIND("x"&amp;MID(B683,6,1),"x0x1x2x3x4x5x6x7x8x9"))),OR(7&gt;LEN(B683),MID(B683,7,1)=".",ISNUMBER(FIND("x"&amp;MID(B683,7,1),"x0x1x2x3x4x5x6x7x8x9"))),OR(8&gt;LEN(B683),MID(B683,8,1)=".",ISNUMBER(FIND("x"&amp;MID(B683,8,1),"x0x1x2x3x4x5x6x7x8x9"))),OR(9&gt;LEN(B683),MID(B683,9,1)=".",ISNUMBER(FIND("x"&amp;MID(B683,9,1),"x0x1x2x3x4x5x6x7x8x9"))),OR(10&gt;LEN(B683),MID(B683,10,1)=".",ISNUMBER(FIND("x"&amp;MID(B683,10,1),"x0x1x2x3x4x5x6x7x8x9"))),OR(AND(FIND(".",B683)=5,LEN(B683)-FIND(".",B683,FIND(".",B683)+1)&gt;=1,LEN(B683)-FIND(".",B683,FIND(".",B683)+1)&lt;=2),AND(LEN(B683)-FIND(".",B683,FIND(".",B683)+1)=4,FIND(".",B683)&gt;=2,FIND(".",B683)&lt;=3)),FIND(".",B683,FIND(".",B683)+1)-FIND(".",B683)&gt;=2,FIND(".",B683,FIND(".",B683)+1)-FIND(".",B683)&lt;=3,F683&gt;=2000,F683&lt;=2100,YEAR(I683)=F683,MONTH(I683)=G683,DAY(I683)=H683),I683,0)),0)</ns0:f>
        <ns0:v>0</ns0:v>
      </ns0:c>
      <ns0:c r="K683" s="0">
        <ns0:f>IFERROR(IF(ISNUMBER(Bookings!D683),"",TRIM(Bookings!D683&amp;"")),"")</ns0:f>
      </ns0:c>
      <ns0:c r="L683" s="0">
        <ns0:f>IFERROR(SUBSTITUTE(SUBSTITUTE(K683,"/","."),"-","."),"")</ns0:f>
      </ns0:c>
      <ns0:c r="M683" s="0">
        <ns0:f>IFERROR(LEFT(L683,FIND(".",L683)-1),"")</ns0:f>
      </ns0:c>
      <ns0:c r="N683" s="0">
        <ns0:f>IFERROR(MID(L683,FIND(".",L683)+1,FIND(".",L683,FIND(".",L683)+1)-FIND(".",L683)-1),"")</ns0:f>
      </ns0:c>
      <ns0:c r="O683" s="0">
        <ns0:f>IFERROR(MID(L683,FIND(".",L683,FIND(".",L683)+1)+1,99),"")</ns0:f>
        <ns0:v>99</ns0:v>
      </ns0:c>
      <ns0:c r="P683" s="0">
        <ns0:f>IFERROR(IF(FIND(".",L683)=5,--M683,--O683),0)</ns0:f>
        <ns0:v>0</ns0:v>
      </ns0:c>
      <ns0:c r="Q683" s="0">
        <ns0:f>IFERROR(--N683,0)</ns0:f>
        <ns0:v>0</ns0:v>
      </ns0:c>
      <ns0:c r="R683" s="0">
        <ns0:f>IFERROR(IF(FIND(".",L683)=5,--O683,--M683),0)</ns0:f>
        <ns0:v>0</ns0:v>
      </ns0:c>
      <ns0:c r="S683" s="0">
        <ns0:f>IFERROR(IF(AND(P683&gt;=2000,P683&lt;=2100,Q683&gt;=1,Q683&lt;=12,R683&gt;=1,R683&lt;=31),DATE(P683,Q683,R683),0),0)</ns0:f>
        <ns0:v>0</ns0:v>
      </ns0:c>
      <ns0:c r="T683" s="0">
        <ns0:f>IFERROR(IF(ISNUMBER(Bookings!D683),IF(AND(Bookings!D683=INT(Bookings!D683),Bookings!D683&gt;=DATE(2000,1,1),Bookings!D683&lt;=DATE(2100,12,31)),Bookings!D683,0),IF(AND(K683&lt;&gt;"",LEN("x"&amp;L683)-LEN(SUBSTITUTE("x"&amp;L683,".",""))=2,OR(1&gt;LEN(L683),MID(L683,1,1)=".",ISNUMBER(FIND("x"&amp;MID(L683,1,1),"x0x1x2x3x4x5x6x7x8x9"))),OR(2&gt;LEN(L683),MID(L683,2,1)=".",ISNUMBER(FIND("x"&amp;MID(L683,2,1),"x0x1x2x3x4x5x6x7x8x9"))),OR(3&gt;LEN(L683),MID(L683,3,1)=".",ISNUMBER(FIND("x"&amp;MID(L683,3,1),"x0x1x2x3x4x5x6x7x8x9"))),OR(4&gt;LEN(L683),MID(L683,4,1)=".",ISNUMBER(FIND("x"&amp;MID(L683,4,1),"x0x1x2x3x4x5x6x7x8x9"))),OR(5&gt;LEN(L683),MID(L683,5,1)=".",ISNUMBER(FIND("x"&amp;MID(L683,5,1),"x0x1x2x3x4x5x6x7x8x9"))),OR(6&gt;LEN(L683),MID(L683,6,1)=".",ISNUMBER(FIND("x"&amp;MID(L683,6,1),"x0x1x2x3x4x5x6x7x8x9"))),OR(7&gt;LEN(L683),MID(L683,7,1)=".",ISNUMBER(FIND("x"&amp;MID(L683,7,1),"x0x1x2x3x4x5x6x7x8x9"))),OR(8&gt;LEN(L683),MID(L683,8,1)=".",ISNUMBER(FIND("x"&amp;MID(L683,8,1),"x0x1x2x3x4x5x6x7x8x9"))),OR(9&gt;LEN(L683),MID(L683,9,1)=".",ISNUMBER(FIND("x"&amp;MID(L683,9,1),"x0x1x2x3x4x5x6x7x8x9"))),OR(10&gt;LEN(L683),MID(L683,10,1)=".",ISNUMBER(FIND("x"&amp;MID(L683,10,1),"x0x1x2x3x4x5x6x7x8x9"))),OR(AND(FIND(".",L683)=5,LEN(L683)-FIND(".",L683,FIND(".",L683)+1)&gt;=1,LEN(L683)-FIND(".",L683,FIND(".",L683)+1)&lt;=2),AND(LEN(L683)-FIND(".",L683,FIND(".",L683)+1)=4,FIND(".",L683)&gt;=2,FIND(".",L683)&lt;=3)),FIND(".",L683,FIND(".",L683)+1)-FIND(".",L683)&gt;=2,FIND(".",L683,FIND(".",L683)+1)-FIND(".",L683)&lt;=3,P683&gt;=2000,P683&lt;=2100,YEAR(S683)=P683,MONTH(S683)=Q683,DAY(S683)=R683),S683,0)),0)</ns0:f>
        <ns0:v>0</ns0:v>
      </ns0:c>
      <ns0:c r="U683" s="0" t="str">
        <ns0:f>IF(Bookings!C683="","Full day",Bookings!C683)</ns0:f>
        <ns0:v>Full day</ns0:v>
      </ns0:c>
      <ns0:c r="V683" s="0" t="str">
        <ns0:f>IF(Bookings!E683="","Full day",Bookings!E683)</ns0:f>
        <ns0:v>Full day</ns0:v>
      </ns0:c>
      <ns0:c r="W683" s="0">
        <ns0:f>IF(J683=0,0,J683+IF(U683="PM",1,0))</ns0:f>
        <ns0:v>0</ns0:v>
      </ns0:c>
      <ns0:c r="X683" s="0">
        <ns0:f>IF(T683=0,0,T683-IF(V683="PM",1,0))</ns0:f>
        <ns0:v>0</ns0:v>
      </ns0:c>
      <ns0:c r="Y683" s="0">
        <ns0:f>IF(J683=0,0,J683+IF(U683="AM",1,0))</ns0:f>
        <ns0:v>0</ns0:v>
      </ns0:c>
      <ns0:c r="Z683" s="0">
        <ns0:f>IF(T683=0,0,T683-IF(V683="AM",1,0))</ns0:f>
        <ns0:v>0</ns0:v>
      </ns0:c>
      <ns0:c r="AA683" s="0">
        <ns0:f>IFERROR(IF(AND(J683&gt;0,'_Engine'!C683&gt;0,MID('_Engine'!W683,WEEKDAY(J683,2),1)="W",COUNTIF(Settings!$F$18:$F$67,J683)=0),1,0),0)</ns0:f>
        <ns0:v>0</ns0:v>
      </ns0:c>
      <ns0:c r="AB683" s="0">
        <ns0:f>IFERROR(IF(AND(T683&gt;0,'_Engine'!C683&gt;0,MID('_Engine'!W683,WEEKDAY(T683,2),1)="W",COUNTIF(Settings!$F$18:$F$67,T683)=0),1,0),0)</ns0:f>
        <ns0:v>0</ns0:v>
      </ns0:c>
      <ns0:c r="AC683" s="0">
        <ns0:f>IF(AND(J683&gt;0,T683&gt;0,W683&lt;=X683),1,0)</ns0:f>
        <ns0:v>0</ns0:v>
      </ns0:c>
      <ns0:c r="AD683" s="0">
        <ns0:f>IF(AND(J683&gt;0,T683&gt;0,Y683&lt;=Z683),1,0)</ns0:f>
        <ns0:v>0</ns0:v>
      </ns0:c>
    </ns0:row>
    <ns0:row r="684">
      <ns0:c r="A684" s="0">
        <ns0:f>IFERROR(IF(ISNUMBER(Bookings!B684),"",TRIM(Bookings!B684&amp;"")),"")</ns0:f>
      </ns0:c>
      <ns0:c r="B684" s="0">
        <ns0:f>IFERROR(SUBSTITUTE(SUBSTITUTE(A684,"/","."),"-","."),"")</ns0:f>
      </ns0:c>
      <ns0:c r="C684" s="0">
        <ns0:f>IFERROR(LEFT(B684,FIND(".",B684)-1),"")</ns0:f>
      </ns0:c>
      <ns0:c r="D684" s="0">
        <ns0:f>IFERROR(MID(B684,FIND(".",B684)+1,FIND(".",B684,FIND(".",B684)+1)-FIND(".",B684)-1),"")</ns0:f>
      </ns0:c>
      <ns0:c r="E684" s="0">
        <ns0:f>IFERROR(MID(B684,FIND(".",B684,FIND(".",B684)+1)+1,99),"")</ns0:f>
        <ns0:v>99</ns0:v>
      </ns0:c>
      <ns0:c r="F684" s="0">
        <ns0:f>IFERROR(IF(FIND(".",B684)=5,--C684,--E684),0)</ns0:f>
        <ns0:v>0</ns0:v>
      </ns0:c>
      <ns0:c r="G684" s="0">
        <ns0:f>IFERROR(--D684,0)</ns0:f>
        <ns0:v>0</ns0:v>
      </ns0:c>
      <ns0:c r="H684" s="0">
        <ns0:f>IFERROR(IF(FIND(".",B684)=5,--E684,--C684),0)</ns0:f>
        <ns0:v>0</ns0:v>
      </ns0:c>
      <ns0:c r="I684" s="0">
        <ns0:f>IFERROR(IF(AND(F684&gt;=2000,F684&lt;=2100,G684&gt;=1,G684&lt;=12,H684&gt;=1,H684&lt;=31),DATE(F684,G684,H684),0),0)</ns0:f>
        <ns0:v>0</ns0:v>
      </ns0:c>
      <ns0:c r="J684" s="0">
        <ns0:f>IFERROR(IF(ISNUMBER(Bookings!B684),IF(AND(Bookings!B684=INT(Bookings!B684),Bookings!B684&gt;=DATE(2000,1,1),Bookings!B684&lt;=DATE(2100,12,31)),Bookings!B684,0),IF(AND(A684&lt;&gt;"",LEN("x"&amp;B684)-LEN(SUBSTITUTE("x"&amp;B684,".",""))=2,OR(1&gt;LEN(B684),MID(B684,1,1)=".",ISNUMBER(FIND("x"&amp;MID(B684,1,1),"x0x1x2x3x4x5x6x7x8x9"))),OR(2&gt;LEN(B684),MID(B684,2,1)=".",ISNUMBER(FIND("x"&amp;MID(B684,2,1),"x0x1x2x3x4x5x6x7x8x9"))),OR(3&gt;LEN(B684),MID(B684,3,1)=".",ISNUMBER(FIND("x"&amp;MID(B684,3,1),"x0x1x2x3x4x5x6x7x8x9"))),OR(4&gt;LEN(B684),MID(B684,4,1)=".",ISNUMBER(FIND("x"&amp;MID(B684,4,1),"x0x1x2x3x4x5x6x7x8x9"))),OR(5&gt;LEN(B684),MID(B684,5,1)=".",ISNUMBER(FIND("x"&amp;MID(B684,5,1),"x0x1x2x3x4x5x6x7x8x9"))),OR(6&gt;LEN(B684),MID(B684,6,1)=".",ISNUMBER(FIND("x"&amp;MID(B684,6,1),"x0x1x2x3x4x5x6x7x8x9"))),OR(7&gt;LEN(B684),MID(B684,7,1)=".",ISNUMBER(FIND("x"&amp;MID(B684,7,1),"x0x1x2x3x4x5x6x7x8x9"))),OR(8&gt;LEN(B684),MID(B684,8,1)=".",ISNUMBER(FIND("x"&amp;MID(B684,8,1),"x0x1x2x3x4x5x6x7x8x9"))),OR(9&gt;LEN(B684),MID(B684,9,1)=".",ISNUMBER(FIND("x"&amp;MID(B684,9,1),"x0x1x2x3x4x5x6x7x8x9"))),OR(10&gt;LEN(B684),MID(B684,10,1)=".",ISNUMBER(FIND("x"&amp;MID(B684,10,1),"x0x1x2x3x4x5x6x7x8x9"))),OR(AND(FIND(".",B684)=5,LEN(B684)-FIND(".",B684,FIND(".",B684)+1)&gt;=1,LEN(B684)-FIND(".",B684,FIND(".",B684)+1)&lt;=2),AND(LEN(B684)-FIND(".",B684,FIND(".",B684)+1)=4,FIND(".",B684)&gt;=2,FIND(".",B684)&lt;=3)),FIND(".",B684,FIND(".",B684)+1)-FIND(".",B684)&gt;=2,FIND(".",B684,FIND(".",B684)+1)-FIND(".",B684)&lt;=3,F684&gt;=2000,F684&lt;=2100,YEAR(I684)=F684,MONTH(I684)=G684,DAY(I684)=H684),I684,0)),0)</ns0:f>
        <ns0:v>0</ns0:v>
      </ns0:c>
      <ns0:c r="K684" s="0">
        <ns0:f>IFERROR(IF(ISNUMBER(Bookings!D684),"",TRIM(Bookings!D684&amp;"")),"")</ns0:f>
      </ns0:c>
      <ns0:c r="L684" s="0">
        <ns0:f>IFERROR(SUBSTITUTE(SUBSTITUTE(K684,"/","."),"-","."),"")</ns0:f>
      </ns0:c>
      <ns0:c r="M684" s="0">
        <ns0:f>IFERROR(LEFT(L684,FIND(".",L684)-1),"")</ns0:f>
      </ns0:c>
      <ns0:c r="N684" s="0">
        <ns0:f>IFERROR(MID(L684,FIND(".",L684)+1,FIND(".",L684,FIND(".",L684)+1)-FIND(".",L684)-1),"")</ns0:f>
      </ns0:c>
      <ns0:c r="O684" s="0">
        <ns0:f>IFERROR(MID(L684,FIND(".",L684,FIND(".",L684)+1)+1,99),"")</ns0:f>
        <ns0:v>99</ns0:v>
      </ns0:c>
      <ns0:c r="P684" s="0">
        <ns0:f>IFERROR(IF(FIND(".",L684)=5,--M684,--O684),0)</ns0:f>
        <ns0:v>0</ns0:v>
      </ns0:c>
      <ns0:c r="Q684" s="0">
        <ns0:f>IFERROR(--N684,0)</ns0:f>
        <ns0:v>0</ns0:v>
      </ns0:c>
      <ns0:c r="R684" s="0">
        <ns0:f>IFERROR(IF(FIND(".",L684)=5,--O684,--M684),0)</ns0:f>
        <ns0:v>0</ns0:v>
      </ns0:c>
      <ns0:c r="S684" s="0">
        <ns0:f>IFERROR(IF(AND(P684&gt;=2000,P684&lt;=2100,Q684&gt;=1,Q684&lt;=12,R684&gt;=1,R684&lt;=31),DATE(P684,Q684,R684),0),0)</ns0:f>
        <ns0:v>0</ns0:v>
      </ns0:c>
      <ns0:c r="T684" s="0">
        <ns0:f>IFERROR(IF(ISNUMBER(Bookings!D684),IF(AND(Bookings!D684=INT(Bookings!D684),Bookings!D684&gt;=DATE(2000,1,1),Bookings!D684&lt;=DATE(2100,12,31)),Bookings!D684,0),IF(AND(K684&lt;&gt;"",LEN("x"&amp;L684)-LEN(SUBSTITUTE("x"&amp;L684,".",""))=2,OR(1&gt;LEN(L684),MID(L684,1,1)=".",ISNUMBER(FIND("x"&amp;MID(L684,1,1),"x0x1x2x3x4x5x6x7x8x9"))),OR(2&gt;LEN(L684),MID(L684,2,1)=".",ISNUMBER(FIND("x"&amp;MID(L684,2,1),"x0x1x2x3x4x5x6x7x8x9"))),OR(3&gt;LEN(L684),MID(L684,3,1)=".",ISNUMBER(FIND("x"&amp;MID(L684,3,1),"x0x1x2x3x4x5x6x7x8x9"))),OR(4&gt;LEN(L684),MID(L684,4,1)=".",ISNUMBER(FIND("x"&amp;MID(L684,4,1),"x0x1x2x3x4x5x6x7x8x9"))),OR(5&gt;LEN(L684),MID(L684,5,1)=".",ISNUMBER(FIND("x"&amp;MID(L684,5,1),"x0x1x2x3x4x5x6x7x8x9"))),OR(6&gt;LEN(L684),MID(L684,6,1)=".",ISNUMBER(FIND("x"&amp;MID(L684,6,1),"x0x1x2x3x4x5x6x7x8x9"))),OR(7&gt;LEN(L684),MID(L684,7,1)=".",ISNUMBER(FIND("x"&amp;MID(L684,7,1),"x0x1x2x3x4x5x6x7x8x9"))),OR(8&gt;LEN(L684),MID(L684,8,1)=".",ISNUMBER(FIND("x"&amp;MID(L684,8,1),"x0x1x2x3x4x5x6x7x8x9"))),OR(9&gt;LEN(L684),MID(L684,9,1)=".",ISNUMBER(FIND("x"&amp;MID(L684,9,1),"x0x1x2x3x4x5x6x7x8x9"))),OR(10&gt;LEN(L684),MID(L684,10,1)=".",ISNUMBER(FIND("x"&amp;MID(L684,10,1),"x0x1x2x3x4x5x6x7x8x9"))),OR(AND(FIND(".",L684)=5,LEN(L684)-FIND(".",L684,FIND(".",L684)+1)&gt;=1,LEN(L684)-FIND(".",L684,FIND(".",L684)+1)&lt;=2),AND(LEN(L684)-FIND(".",L684,FIND(".",L684)+1)=4,FIND(".",L684)&gt;=2,FIND(".",L684)&lt;=3)),FIND(".",L684,FIND(".",L684)+1)-FIND(".",L684)&gt;=2,FIND(".",L684,FIND(".",L684)+1)-FIND(".",L684)&lt;=3,P684&gt;=2000,P684&lt;=2100,YEAR(S684)=P684,MONTH(S684)=Q684,DAY(S684)=R684),S684,0)),0)</ns0:f>
        <ns0:v>0</ns0:v>
      </ns0:c>
      <ns0:c r="U684" s="0" t="str">
        <ns0:f>IF(Bookings!C684="","Full day",Bookings!C684)</ns0:f>
        <ns0:v>Full day</ns0:v>
      </ns0:c>
      <ns0:c r="V684" s="0" t="str">
        <ns0:f>IF(Bookings!E684="","Full day",Bookings!E684)</ns0:f>
        <ns0:v>Full day</ns0:v>
      </ns0:c>
      <ns0:c r="W684" s="0">
        <ns0:f>IF(J684=0,0,J684+IF(U684="PM",1,0))</ns0:f>
        <ns0:v>0</ns0:v>
      </ns0:c>
      <ns0:c r="X684" s="0">
        <ns0:f>IF(T684=0,0,T684-IF(V684="PM",1,0))</ns0:f>
        <ns0:v>0</ns0:v>
      </ns0:c>
      <ns0:c r="Y684" s="0">
        <ns0:f>IF(J684=0,0,J684+IF(U684="AM",1,0))</ns0:f>
        <ns0:v>0</ns0:v>
      </ns0:c>
      <ns0:c r="Z684" s="0">
        <ns0:f>IF(T684=0,0,T684-IF(V684="AM",1,0))</ns0:f>
        <ns0:v>0</ns0:v>
      </ns0:c>
      <ns0:c r="AA684" s="0">
        <ns0:f>IFERROR(IF(AND(J684&gt;0,'_Engine'!C684&gt;0,MID('_Engine'!W684,WEEKDAY(J684,2),1)="W",COUNTIF(Settings!$F$18:$F$67,J684)=0),1,0),0)</ns0:f>
        <ns0:v>0</ns0:v>
      </ns0:c>
      <ns0:c r="AB684" s="0">
        <ns0:f>IFERROR(IF(AND(T684&gt;0,'_Engine'!C684&gt;0,MID('_Engine'!W684,WEEKDAY(T684,2),1)="W",COUNTIF(Settings!$F$18:$F$67,T684)=0),1,0),0)</ns0:f>
        <ns0:v>0</ns0:v>
      </ns0:c>
      <ns0:c r="AC684" s="0">
        <ns0:f>IF(AND(J684&gt;0,T684&gt;0,W684&lt;=X684),1,0)</ns0:f>
        <ns0:v>0</ns0:v>
      </ns0:c>
      <ns0:c r="AD684" s="0">
        <ns0:f>IF(AND(J684&gt;0,T684&gt;0,Y684&lt;=Z684),1,0)</ns0:f>
        <ns0:v>0</ns0:v>
      </ns0:c>
    </ns0:row>
    <ns0:row r="685">
      <ns0:c r="A685" s="0">
        <ns0:f>IFERROR(IF(ISNUMBER(Bookings!B685),"",TRIM(Bookings!B685&amp;"")),"")</ns0:f>
      </ns0:c>
      <ns0:c r="B685" s="0">
        <ns0:f>IFERROR(SUBSTITUTE(SUBSTITUTE(A685,"/","."),"-","."),"")</ns0:f>
      </ns0:c>
      <ns0:c r="C685" s="0">
        <ns0:f>IFERROR(LEFT(B685,FIND(".",B685)-1),"")</ns0:f>
      </ns0:c>
      <ns0:c r="D685" s="0">
        <ns0:f>IFERROR(MID(B685,FIND(".",B685)+1,FIND(".",B685,FIND(".",B685)+1)-FIND(".",B685)-1),"")</ns0:f>
      </ns0:c>
      <ns0:c r="E685" s="0">
        <ns0:f>IFERROR(MID(B685,FIND(".",B685,FIND(".",B685)+1)+1,99),"")</ns0:f>
        <ns0:v>99</ns0:v>
      </ns0:c>
      <ns0:c r="F685" s="0">
        <ns0:f>IFERROR(IF(FIND(".",B685)=5,--C685,--E685),0)</ns0:f>
        <ns0:v>0</ns0:v>
      </ns0:c>
      <ns0:c r="G685" s="0">
        <ns0:f>IFERROR(--D685,0)</ns0:f>
        <ns0:v>0</ns0:v>
      </ns0:c>
      <ns0:c r="H685" s="0">
        <ns0:f>IFERROR(IF(FIND(".",B685)=5,--E685,--C685),0)</ns0:f>
        <ns0:v>0</ns0:v>
      </ns0:c>
      <ns0:c r="I685" s="0">
        <ns0:f>IFERROR(IF(AND(F685&gt;=2000,F685&lt;=2100,G685&gt;=1,G685&lt;=12,H685&gt;=1,H685&lt;=31),DATE(F685,G685,H685),0),0)</ns0:f>
        <ns0:v>0</ns0:v>
      </ns0:c>
      <ns0:c r="J685" s="0">
        <ns0:f>IFERROR(IF(ISNUMBER(Bookings!B685),IF(AND(Bookings!B685=INT(Bookings!B685),Bookings!B685&gt;=DATE(2000,1,1),Bookings!B685&lt;=DATE(2100,12,31)),Bookings!B685,0),IF(AND(A685&lt;&gt;"",LEN("x"&amp;B685)-LEN(SUBSTITUTE("x"&amp;B685,".",""))=2,OR(1&gt;LEN(B685),MID(B685,1,1)=".",ISNUMBER(FIND("x"&amp;MID(B685,1,1),"x0x1x2x3x4x5x6x7x8x9"))),OR(2&gt;LEN(B685),MID(B685,2,1)=".",ISNUMBER(FIND("x"&amp;MID(B685,2,1),"x0x1x2x3x4x5x6x7x8x9"))),OR(3&gt;LEN(B685),MID(B685,3,1)=".",ISNUMBER(FIND("x"&amp;MID(B685,3,1),"x0x1x2x3x4x5x6x7x8x9"))),OR(4&gt;LEN(B685),MID(B685,4,1)=".",ISNUMBER(FIND("x"&amp;MID(B685,4,1),"x0x1x2x3x4x5x6x7x8x9"))),OR(5&gt;LEN(B685),MID(B685,5,1)=".",ISNUMBER(FIND("x"&amp;MID(B685,5,1),"x0x1x2x3x4x5x6x7x8x9"))),OR(6&gt;LEN(B685),MID(B685,6,1)=".",ISNUMBER(FIND("x"&amp;MID(B685,6,1),"x0x1x2x3x4x5x6x7x8x9"))),OR(7&gt;LEN(B685),MID(B685,7,1)=".",ISNUMBER(FIND("x"&amp;MID(B685,7,1),"x0x1x2x3x4x5x6x7x8x9"))),OR(8&gt;LEN(B685),MID(B685,8,1)=".",ISNUMBER(FIND("x"&amp;MID(B685,8,1),"x0x1x2x3x4x5x6x7x8x9"))),OR(9&gt;LEN(B685),MID(B685,9,1)=".",ISNUMBER(FIND("x"&amp;MID(B685,9,1),"x0x1x2x3x4x5x6x7x8x9"))),OR(10&gt;LEN(B685),MID(B685,10,1)=".",ISNUMBER(FIND("x"&amp;MID(B685,10,1),"x0x1x2x3x4x5x6x7x8x9"))),OR(AND(FIND(".",B685)=5,LEN(B685)-FIND(".",B685,FIND(".",B685)+1)&gt;=1,LEN(B685)-FIND(".",B685,FIND(".",B685)+1)&lt;=2),AND(LEN(B685)-FIND(".",B685,FIND(".",B685)+1)=4,FIND(".",B685)&gt;=2,FIND(".",B685)&lt;=3)),FIND(".",B685,FIND(".",B685)+1)-FIND(".",B685)&gt;=2,FIND(".",B685,FIND(".",B685)+1)-FIND(".",B685)&lt;=3,F685&gt;=2000,F685&lt;=2100,YEAR(I685)=F685,MONTH(I685)=G685,DAY(I685)=H685),I685,0)),0)</ns0:f>
        <ns0:v>0</ns0:v>
      </ns0:c>
      <ns0:c r="K685" s="0">
        <ns0:f>IFERROR(IF(ISNUMBER(Bookings!D685),"",TRIM(Bookings!D685&amp;"")),"")</ns0:f>
      </ns0:c>
      <ns0:c r="L685" s="0">
        <ns0:f>IFERROR(SUBSTITUTE(SUBSTITUTE(K685,"/","."),"-","."),"")</ns0:f>
      </ns0:c>
      <ns0:c r="M685" s="0">
        <ns0:f>IFERROR(LEFT(L685,FIND(".",L685)-1),"")</ns0:f>
      </ns0:c>
      <ns0:c r="N685" s="0">
        <ns0:f>IFERROR(MID(L685,FIND(".",L685)+1,FIND(".",L685,FIND(".",L685)+1)-FIND(".",L685)-1),"")</ns0:f>
      </ns0:c>
      <ns0:c r="O685" s="0">
        <ns0:f>IFERROR(MID(L685,FIND(".",L685,FIND(".",L685)+1)+1,99),"")</ns0:f>
        <ns0:v>99</ns0:v>
      </ns0:c>
      <ns0:c r="P685" s="0">
        <ns0:f>IFERROR(IF(FIND(".",L685)=5,--M685,--O685),0)</ns0:f>
        <ns0:v>0</ns0:v>
      </ns0:c>
      <ns0:c r="Q685" s="0">
        <ns0:f>IFERROR(--N685,0)</ns0:f>
        <ns0:v>0</ns0:v>
      </ns0:c>
      <ns0:c r="R685" s="0">
        <ns0:f>IFERROR(IF(FIND(".",L685)=5,--O685,--M685),0)</ns0:f>
        <ns0:v>0</ns0:v>
      </ns0:c>
      <ns0:c r="S685" s="0">
        <ns0:f>IFERROR(IF(AND(P685&gt;=2000,P685&lt;=2100,Q685&gt;=1,Q685&lt;=12,R685&gt;=1,R685&lt;=31),DATE(P685,Q685,R685),0),0)</ns0:f>
        <ns0:v>0</ns0:v>
      </ns0:c>
      <ns0:c r="T685" s="0">
        <ns0:f>IFERROR(IF(ISNUMBER(Bookings!D685),IF(AND(Bookings!D685=INT(Bookings!D685),Bookings!D685&gt;=DATE(2000,1,1),Bookings!D685&lt;=DATE(2100,12,31)),Bookings!D685,0),IF(AND(K685&lt;&gt;"",LEN("x"&amp;L685)-LEN(SUBSTITUTE("x"&amp;L685,".",""))=2,OR(1&gt;LEN(L685),MID(L685,1,1)=".",ISNUMBER(FIND("x"&amp;MID(L685,1,1),"x0x1x2x3x4x5x6x7x8x9"))),OR(2&gt;LEN(L685),MID(L685,2,1)=".",ISNUMBER(FIND("x"&amp;MID(L685,2,1),"x0x1x2x3x4x5x6x7x8x9"))),OR(3&gt;LEN(L685),MID(L685,3,1)=".",ISNUMBER(FIND("x"&amp;MID(L685,3,1),"x0x1x2x3x4x5x6x7x8x9"))),OR(4&gt;LEN(L685),MID(L685,4,1)=".",ISNUMBER(FIND("x"&amp;MID(L685,4,1),"x0x1x2x3x4x5x6x7x8x9"))),OR(5&gt;LEN(L685),MID(L685,5,1)=".",ISNUMBER(FIND("x"&amp;MID(L685,5,1),"x0x1x2x3x4x5x6x7x8x9"))),OR(6&gt;LEN(L685),MID(L685,6,1)=".",ISNUMBER(FIND("x"&amp;MID(L685,6,1),"x0x1x2x3x4x5x6x7x8x9"))),OR(7&gt;LEN(L685),MID(L685,7,1)=".",ISNUMBER(FIND("x"&amp;MID(L685,7,1),"x0x1x2x3x4x5x6x7x8x9"))),OR(8&gt;LEN(L685),MID(L685,8,1)=".",ISNUMBER(FIND("x"&amp;MID(L685,8,1),"x0x1x2x3x4x5x6x7x8x9"))),OR(9&gt;LEN(L685),MID(L685,9,1)=".",ISNUMBER(FIND("x"&amp;MID(L685,9,1),"x0x1x2x3x4x5x6x7x8x9"))),OR(10&gt;LEN(L685),MID(L685,10,1)=".",ISNUMBER(FIND("x"&amp;MID(L685,10,1),"x0x1x2x3x4x5x6x7x8x9"))),OR(AND(FIND(".",L685)=5,LEN(L685)-FIND(".",L685,FIND(".",L685)+1)&gt;=1,LEN(L685)-FIND(".",L685,FIND(".",L685)+1)&lt;=2),AND(LEN(L685)-FIND(".",L685,FIND(".",L685)+1)=4,FIND(".",L685)&gt;=2,FIND(".",L685)&lt;=3)),FIND(".",L685,FIND(".",L685)+1)-FIND(".",L685)&gt;=2,FIND(".",L685,FIND(".",L685)+1)-FIND(".",L685)&lt;=3,P685&gt;=2000,P685&lt;=2100,YEAR(S685)=P685,MONTH(S685)=Q685,DAY(S685)=R685),S685,0)),0)</ns0:f>
        <ns0:v>0</ns0:v>
      </ns0:c>
      <ns0:c r="U685" s="0" t="str">
        <ns0:f>IF(Bookings!C685="","Full day",Bookings!C685)</ns0:f>
        <ns0:v>Full day</ns0:v>
      </ns0:c>
      <ns0:c r="V685" s="0" t="str">
        <ns0:f>IF(Bookings!E685="","Full day",Bookings!E685)</ns0:f>
        <ns0:v>Full day</ns0:v>
      </ns0:c>
      <ns0:c r="W685" s="0">
        <ns0:f>IF(J685=0,0,J685+IF(U685="PM",1,0))</ns0:f>
        <ns0:v>0</ns0:v>
      </ns0:c>
      <ns0:c r="X685" s="0">
        <ns0:f>IF(T685=0,0,T685-IF(V685="PM",1,0))</ns0:f>
        <ns0:v>0</ns0:v>
      </ns0:c>
      <ns0:c r="Y685" s="0">
        <ns0:f>IF(J685=0,0,J685+IF(U685="AM",1,0))</ns0:f>
        <ns0:v>0</ns0:v>
      </ns0:c>
      <ns0:c r="Z685" s="0">
        <ns0:f>IF(T685=0,0,T685-IF(V685="AM",1,0))</ns0:f>
        <ns0:v>0</ns0:v>
      </ns0:c>
      <ns0:c r="AA685" s="0">
        <ns0:f>IFERROR(IF(AND(J685&gt;0,'_Engine'!C685&gt;0,MID('_Engine'!W685,WEEKDAY(J685,2),1)="W",COUNTIF(Settings!$F$18:$F$67,J685)=0),1,0),0)</ns0:f>
        <ns0:v>0</ns0:v>
      </ns0:c>
      <ns0:c r="AB685" s="0">
        <ns0:f>IFERROR(IF(AND(T685&gt;0,'_Engine'!C685&gt;0,MID('_Engine'!W685,WEEKDAY(T685,2),1)="W",COUNTIF(Settings!$F$18:$F$67,T685)=0),1,0),0)</ns0:f>
        <ns0:v>0</ns0:v>
      </ns0:c>
      <ns0:c r="AC685" s="0">
        <ns0:f>IF(AND(J685&gt;0,T685&gt;0,W685&lt;=X685),1,0)</ns0:f>
        <ns0:v>0</ns0:v>
      </ns0:c>
      <ns0:c r="AD685" s="0">
        <ns0:f>IF(AND(J685&gt;0,T685&gt;0,Y685&lt;=Z685),1,0)</ns0:f>
        <ns0:v>0</ns0:v>
      </ns0:c>
    </ns0:row>
    <ns0:row r="686">
      <ns0:c r="A686" s="0">
        <ns0:f>IFERROR(IF(ISNUMBER(Bookings!B686),"",TRIM(Bookings!B686&amp;"")),"")</ns0:f>
      </ns0:c>
      <ns0:c r="B686" s="0">
        <ns0:f>IFERROR(SUBSTITUTE(SUBSTITUTE(A686,"/","."),"-","."),"")</ns0:f>
      </ns0:c>
      <ns0:c r="C686" s="0">
        <ns0:f>IFERROR(LEFT(B686,FIND(".",B686)-1),"")</ns0:f>
      </ns0:c>
      <ns0:c r="D686" s="0">
        <ns0:f>IFERROR(MID(B686,FIND(".",B686)+1,FIND(".",B686,FIND(".",B686)+1)-FIND(".",B686)-1),"")</ns0:f>
      </ns0:c>
      <ns0:c r="E686" s="0">
        <ns0:f>IFERROR(MID(B686,FIND(".",B686,FIND(".",B686)+1)+1,99),"")</ns0:f>
        <ns0:v>99</ns0:v>
      </ns0:c>
      <ns0:c r="F686" s="0">
        <ns0:f>IFERROR(IF(FIND(".",B686)=5,--C686,--E686),0)</ns0:f>
        <ns0:v>0</ns0:v>
      </ns0:c>
      <ns0:c r="G686" s="0">
        <ns0:f>IFERROR(--D686,0)</ns0:f>
        <ns0:v>0</ns0:v>
      </ns0:c>
      <ns0:c r="H686" s="0">
        <ns0:f>IFERROR(IF(FIND(".",B686)=5,--E686,--C686),0)</ns0:f>
        <ns0:v>0</ns0:v>
      </ns0:c>
      <ns0:c r="I686" s="0">
        <ns0:f>IFERROR(IF(AND(F686&gt;=2000,F686&lt;=2100,G686&gt;=1,G686&lt;=12,H686&gt;=1,H686&lt;=31),DATE(F686,G686,H686),0),0)</ns0:f>
        <ns0:v>0</ns0:v>
      </ns0:c>
      <ns0:c r="J686" s="0">
        <ns0:f>IFERROR(IF(ISNUMBER(Bookings!B686),IF(AND(Bookings!B686=INT(Bookings!B686),Bookings!B686&gt;=DATE(2000,1,1),Bookings!B686&lt;=DATE(2100,12,31)),Bookings!B686,0),IF(AND(A686&lt;&gt;"",LEN("x"&amp;B686)-LEN(SUBSTITUTE("x"&amp;B686,".",""))=2,OR(1&gt;LEN(B686),MID(B686,1,1)=".",ISNUMBER(FIND("x"&amp;MID(B686,1,1),"x0x1x2x3x4x5x6x7x8x9"))),OR(2&gt;LEN(B686),MID(B686,2,1)=".",ISNUMBER(FIND("x"&amp;MID(B686,2,1),"x0x1x2x3x4x5x6x7x8x9"))),OR(3&gt;LEN(B686),MID(B686,3,1)=".",ISNUMBER(FIND("x"&amp;MID(B686,3,1),"x0x1x2x3x4x5x6x7x8x9"))),OR(4&gt;LEN(B686),MID(B686,4,1)=".",ISNUMBER(FIND("x"&amp;MID(B686,4,1),"x0x1x2x3x4x5x6x7x8x9"))),OR(5&gt;LEN(B686),MID(B686,5,1)=".",ISNUMBER(FIND("x"&amp;MID(B686,5,1),"x0x1x2x3x4x5x6x7x8x9"))),OR(6&gt;LEN(B686),MID(B686,6,1)=".",ISNUMBER(FIND("x"&amp;MID(B686,6,1),"x0x1x2x3x4x5x6x7x8x9"))),OR(7&gt;LEN(B686),MID(B686,7,1)=".",ISNUMBER(FIND("x"&amp;MID(B686,7,1),"x0x1x2x3x4x5x6x7x8x9"))),OR(8&gt;LEN(B686),MID(B686,8,1)=".",ISNUMBER(FIND("x"&amp;MID(B686,8,1),"x0x1x2x3x4x5x6x7x8x9"))),OR(9&gt;LEN(B686),MID(B686,9,1)=".",ISNUMBER(FIND("x"&amp;MID(B686,9,1),"x0x1x2x3x4x5x6x7x8x9"))),OR(10&gt;LEN(B686),MID(B686,10,1)=".",ISNUMBER(FIND("x"&amp;MID(B686,10,1),"x0x1x2x3x4x5x6x7x8x9"))),OR(AND(FIND(".",B686)=5,LEN(B686)-FIND(".",B686,FIND(".",B686)+1)&gt;=1,LEN(B686)-FIND(".",B686,FIND(".",B686)+1)&lt;=2),AND(LEN(B686)-FIND(".",B686,FIND(".",B686)+1)=4,FIND(".",B686)&gt;=2,FIND(".",B686)&lt;=3)),FIND(".",B686,FIND(".",B686)+1)-FIND(".",B686)&gt;=2,FIND(".",B686,FIND(".",B686)+1)-FIND(".",B686)&lt;=3,F686&gt;=2000,F686&lt;=2100,YEAR(I686)=F686,MONTH(I686)=G686,DAY(I686)=H686),I686,0)),0)</ns0:f>
        <ns0:v>0</ns0:v>
      </ns0:c>
      <ns0:c r="K686" s="0">
        <ns0:f>IFERROR(IF(ISNUMBER(Bookings!D686),"",TRIM(Bookings!D686&amp;"")),"")</ns0:f>
      </ns0:c>
      <ns0:c r="L686" s="0">
        <ns0:f>IFERROR(SUBSTITUTE(SUBSTITUTE(K686,"/","."),"-","."),"")</ns0:f>
      </ns0:c>
      <ns0:c r="M686" s="0">
        <ns0:f>IFERROR(LEFT(L686,FIND(".",L686)-1),"")</ns0:f>
      </ns0:c>
      <ns0:c r="N686" s="0">
        <ns0:f>IFERROR(MID(L686,FIND(".",L686)+1,FIND(".",L686,FIND(".",L686)+1)-FIND(".",L686)-1),"")</ns0:f>
      </ns0:c>
      <ns0:c r="O686" s="0">
        <ns0:f>IFERROR(MID(L686,FIND(".",L686,FIND(".",L686)+1)+1,99),"")</ns0:f>
        <ns0:v>99</ns0:v>
      </ns0:c>
      <ns0:c r="P686" s="0">
        <ns0:f>IFERROR(IF(FIND(".",L686)=5,--M686,--O686),0)</ns0:f>
        <ns0:v>0</ns0:v>
      </ns0:c>
      <ns0:c r="Q686" s="0">
        <ns0:f>IFERROR(--N686,0)</ns0:f>
        <ns0:v>0</ns0:v>
      </ns0:c>
      <ns0:c r="R686" s="0">
        <ns0:f>IFERROR(IF(FIND(".",L686)=5,--O686,--M686),0)</ns0:f>
        <ns0:v>0</ns0:v>
      </ns0:c>
      <ns0:c r="S686" s="0">
        <ns0:f>IFERROR(IF(AND(P686&gt;=2000,P686&lt;=2100,Q686&gt;=1,Q686&lt;=12,R686&gt;=1,R686&lt;=31),DATE(P686,Q686,R686),0),0)</ns0:f>
        <ns0:v>0</ns0:v>
      </ns0:c>
      <ns0:c r="T686" s="0">
        <ns0:f>IFERROR(IF(ISNUMBER(Bookings!D686),IF(AND(Bookings!D686=INT(Bookings!D686),Bookings!D686&gt;=DATE(2000,1,1),Bookings!D686&lt;=DATE(2100,12,31)),Bookings!D686,0),IF(AND(K686&lt;&gt;"",LEN("x"&amp;L686)-LEN(SUBSTITUTE("x"&amp;L686,".",""))=2,OR(1&gt;LEN(L686),MID(L686,1,1)=".",ISNUMBER(FIND("x"&amp;MID(L686,1,1),"x0x1x2x3x4x5x6x7x8x9"))),OR(2&gt;LEN(L686),MID(L686,2,1)=".",ISNUMBER(FIND("x"&amp;MID(L686,2,1),"x0x1x2x3x4x5x6x7x8x9"))),OR(3&gt;LEN(L686),MID(L686,3,1)=".",ISNUMBER(FIND("x"&amp;MID(L686,3,1),"x0x1x2x3x4x5x6x7x8x9"))),OR(4&gt;LEN(L686),MID(L686,4,1)=".",ISNUMBER(FIND("x"&amp;MID(L686,4,1),"x0x1x2x3x4x5x6x7x8x9"))),OR(5&gt;LEN(L686),MID(L686,5,1)=".",ISNUMBER(FIND("x"&amp;MID(L686,5,1),"x0x1x2x3x4x5x6x7x8x9"))),OR(6&gt;LEN(L686),MID(L686,6,1)=".",ISNUMBER(FIND("x"&amp;MID(L686,6,1),"x0x1x2x3x4x5x6x7x8x9"))),OR(7&gt;LEN(L686),MID(L686,7,1)=".",ISNUMBER(FIND("x"&amp;MID(L686,7,1),"x0x1x2x3x4x5x6x7x8x9"))),OR(8&gt;LEN(L686),MID(L686,8,1)=".",ISNUMBER(FIND("x"&amp;MID(L686,8,1),"x0x1x2x3x4x5x6x7x8x9"))),OR(9&gt;LEN(L686),MID(L686,9,1)=".",ISNUMBER(FIND("x"&amp;MID(L686,9,1),"x0x1x2x3x4x5x6x7x8x9"))),OR(10&gt;LEN(L686),MID(L686,10,1)=".",ISNUMBER(FIND("x"&amp;MID(L686,10,1),"x0x1x2x3x4x5x6x7x8x9"))),OR(AND(FIND(".",L686)=5,LEN(L686)-FIND(".",L686,FIND(".",L686)+1)&gt;=1,LEN(L686)-FIND(".",L686,FIND(".",L686)+1)&lt;=2),AND(LEN(L686)-FIND(".",L686,FIND(".",L686)+1)=4,FIND(".",L686)&gt;=2,FIND(".",L686)&lt;=3)),FIND(".",L686,FIND(".",L686)+1)-FIND(".",L686)&gt;=2,FIND(".",L686,FIND(".",L686)+1)-FIND(".",L686)&lt;=3,P686&gt;=2000,P686&lt;=2100,YEAR(S686)=P686,MONTH(S686)=Q686,DAY(S686)=R686),S686,0)),0)</ns0:f>
        <ns0:v>0</ns0:v>
      </ns0:c>
      <ns0:c r="U686" s="0" t="str">
        <ns0:f>IF(Bookings!C686="","Full day",Bookings!C686)</ns0:f>
        <ns0:v>Full day</ns0:v>
      </ns0:c>
      <ns0:c r="V686" s="0" t="str">
        <ns0:f>IF(Bookings!E686="","Full day",Bookings!E686)</ns0:f>
        <ns0:v>Full day</ns0:v>
      </ns0:c>
      <ns0:c r="W686" s="0">
        <ns0:f>IF(J686=0,0,J686+IF(U686="PM",1,0))</ns0:f>
        <ns0:v>0</ns0:v>
      </ns0:c>
      <ns0:c r="X686" s="0">
        <ns0:f>IF(T686=0,0,T686-IF(V686="PM",1,0))</ns0:f>
        <ns0:v>0</ns0:v>
      </ns0:c>
      <ns0:c r="Y686" s="0">
        <ns0:f>IF(J686=0,0,J686+IF(U686="AM",1,0))</ns0:f>
        <ns0:v>0</ns0:v>
      </ns0:c>
      <ns0:c r="Z686" s="0">
        <ns0:f>IF(T686=0,0,T686-IF(V686="AM",1,0))</ns0:f>
        <ns0:v>0</ns0:v>
      </ns0:c>
      <ns0:c r="AA686" s="0">
        <ns0:f>IFERROR(IF(AND(J686&gt;0,'_Engine'!C686&gt;0,MID('_Engine'!W686,WEEKDAY(J686,2),1)="W",COUNTIF(Settings!$F$18:$F$67,J686)=0),1,0),0)</ns0:f>
        <ns0:v>0</ns0:v>
      </ns0:c>
      <ns0:c r="AB686" s="0">
        <ns0:f>IFERROR(IF(AND(T686&gt;0,'_Engine'!C686&gt;0,MID('_Engine'!W686,WEEKDAY(T686,2),1)="W",COUNTIF(Settings!$F$18:$F$67,T686)=0),1,0),0)</ns0:f>
        <ns0:v>0</ns0:v>
      </ns0:c>
      <ns0:c r="AC686" s="0">
        <ns0:f>IF(AND(J686&gt;0,T686&gt;0,W686&lt;=X686),1,0)</ns0:f>
        <ns0:v>0</ns0:v>
      </ns0:c>
      <ns0:c r="AD686" s="0">
        <ns0:f>IF(AND(J686&gt;0,T686&gt;0,Y686&lt;=Z686),1,0)</ns0:f>
        <ns0:v>0</ns0:v>
      </ns0:c>
    </ns0:row>
    <ns0:row r="687">
      <ns0:c r="A687" s="0">
        <ns0:f>IFERROR(IF(ISNUMBER(Bookings!B687),"",TRIM(Bookings!B687&amp;"")),"")</ns0:f>
      </ns0:c>
      <ns0:c r="B687" s="0">
        <ns0:f>IFERROR(SUBSTITUTE(SUBSTITUTE(A687,"/","."),"-","."),"")</ns0:f>
      </ns0:c>
      <ns0:c r="C687" s="0">
        <ns0:f>IFERROR(LEFT(B687,FIND(".",B687)-1),"")</ns0:f>
      </ns0:c>
      <ns0:c r="D687" s="0">
        <ns0:f>IFERROR(MID(B687,FIND(".",B687)+1,FIND(".",B687,FIND(".",B687)+1)-FIND(".",B687)-1),"")</ns0:f>
      </ns0:c>
      <ns0:c r="E687" s="0">
        <ns0:f>IFERROR(MID(B687,FIND(".",B687,FIND(".",B687)+1)+1,99),"")</ns0:f>
        <ns0:v>99</ns0:v>
      </ns0:c>
      <ns0:c r="F687" s="0">
        <ns0:f>IFERROR(IF(FIND(".",B687)=5,--C687,--E687),0)</ns0:f>
        <ns0:v>0</ns0:v>
      </ns0:c>
      <ns0:c r="G687" s="0">
        <ns0:f>IFERROR(--D687,0)</ns0:f>
        <ns0:v>0</ns0:v>
      </ns0:c>
      <ns0:c r="H687" s="0">
        <ns0:f>IFERROR(IF(FIND(".",B687)=5,--E687,--C687),0)</ns0:f>
        <ns0:v>0</ns0:v>
      </ns0:c>
      <ns0:c r="I687" s="0">
        <ns0:f>IFERROR(IF(AND(F687&gt;=2000,F687&lt;=2100,G687&gt;=1,G687&lt;=12,H687&gt;=1,H687&lt;=31),DATE(F687,G687,H687),0),0)</ns0:f>
        <ns0:v>0</ns0:v>
      </ns0:c>
      <ns0:c r="J687" s="0">
        <ns0:f>IFERROR(IF(ISNUMBER(Bookings!B687),IF(AND(Bookings!B687=INT(Bookings!B687),Bookings!B687&gt;=DATE(2000,1,1),Bookings!B687&lt;=DATE(2100,12,31)),Bookings!B687,0),IF(AND(A687&lt;&gt;"",LEN("x"&amp;B687)-LEN(SUBSTITUTE("x"&amp;B687,".",""))=2,OR(1&gt;LEN(B687),MID(B687,1,1)=".",ISNUMBER(FIND("x"&amp;MID(B687,1,1),"x0x1x2x3x4x5x6x7x8x9"))),OR(2&gt;LEN(B687),MID(B687,2,1)=".",ISNUMBER(FIND("x"&amp;MID(B687,2,1),"x0x1x2x3x4x5x6x7x8x9"))),OR(3&gt;LEN(B687),MID(B687,3,1)=".",ISNUMBER(FIND("x"&amp;MID(B687,3,1),"x0x1x2x3x4x5x6x7x8x9"))),OR(4&gt;LEN(B687),MID(B687,4,1)=".",ISNUMBER(FIND("x"&amp;MID(B687,4,1),"x0x1x2x3x4x5x6x7x8x9"))),OR(5&gt;LEN(B687),MID(B687,5,1)=".",ISNUMBER(FIND("x"&amp;MID(B687,5,1),"x0x1x2x3x4x5x6x7x8x9"))),OR(6&gt;LEN(B687),MID(B687,6,1)=".",ISNUMBER(FIND("x"&amp;MID(B687,6,1),"x0x1x2x3x4x5x6x7x8x9"))),OR(7&gt;LEN(B687),MID(B687,7,1)=".",ISNUMBER(FIND("x"&amp;MID(B687,7,1),"x0x1x2x3x4x5x6x7x8x9"))),OR(8&gt;LEN(B687),MID(B687,8,1)=".",ISNUMBER(FIND("x"&amp;MID(B687,8,1),"x0x1x2x3x4x5x6x7x8x9"))),OR(9&gt;LEN(B687),MID(B687,9,1)=".",ISNUMBER(FIND("x"&amp;MID(B687,9,1),"x0x1x2x3x4x5x6x7x8x9"))),OR(10&gt;LEN(B687),MID(B687,10,1)=".",ISNUMBER(FIND("x"&amp;MID(B687,10,1),"x0x1x2x3x4x5x6x7x8x9"))),OR(AND(FIND(".",B687)=5,LEN(B687)-FIND(".",B687,FIND(".",B687)+1)&gt;=1,LEN(B687)-FIND(".",B687,FIND(".",B687)+1)&lt;=2),AND(LEN(B687)-FIND(".",B687,FIND(".",B687)+1)=4,FIND(".",B687)&gt;=2,FIND(".",B687)&lt;=3)),FIND(".",B687,FIND(".",B687)+1)-FIND(".",B687)&gt;=2,FIND(".",B687,FIND(".",B687)+1)-FIND(".",B687)&lt;=3,F687&gt;=2000,F687&lt;=2100,YEAR(I687)=F687,MONTH(I687)=G687,DAY(I687)=H687),I687,0)),0)</ns0:f>
        <ns0:v>0</ns0:v>
      </ns0:c>
      <ns0:c r="K687" s="0">
        <ns0:f>IFERROR(IF(ISNUMBER(Bookings!D687),"",TRIM(Bookings!D687&amp;"")),"")</ns0:f>
      </ns0:c>
      <ns0:c r="L687" s="0">
        <ns0:f>IFERROR(SUBSTITUTE(SUBSTITUTE(K687,"/","."),"-","."),"")</ns0:f>
      </ns0:c>
      <ns0:c r="M687" s="0">
        <ns0:f>IFERROR(LEFT(L687,FIND(".",L687)-1),"")</ns0:f>
      </ns0:c>
      <ns0:c r="N687" s="0">
        <ns0:f>IFERROR(MID(L687,FIND(".",L687)+1,FIND(".",L687,FIND(".",L687)+1)-FIND(".",L687)-1),"")</ns0:f>
      </ns0:c>
      <ns0:c r="O687" s="0">
        <ns0:f>IFERROR(MID(L687,FIND(".",L687,FIND(".",L687)+1)+1,99),"")</ns0:f>
        <ns0:v>99</ns0:v>
      </ns0:c>
      <ns0:c r="P687" s="0">
        <ns0:f>IFERROR(IF(FIND(".",L687)=5,--M687,--O687),0)</ns0:f>
        <ns0:v>0</ns0:v>
      </ns0:c>
      <ns0:c r="Q687" s="0">
        <ns0:f>IFERROR(--N687,0)</ns0:f>
        <ns0:v>0</ns0:v>
      </ns0:c>
      <ns0:c r="R687" s="0">
        <ns0:f>IFERROR(IF(FIND(".",L687)=5,--O687,--M687),0)</ns0:f>
        <ns0:v>0</ns0:v>
      </ns0:c>
      <ns0:c r="S687" s="0">
        <ns0:f>IFERROR(IF(AND(P687&gt;=2000,P687&lt;=2100,Q687&gt;=1,Q687&lt;=12,R687&gt;=1,R687&lt;=31),DATE(P687,Q687,R687),0),0)</ns0:f>
        <ns0:v>0</ns0:v>
      </ns0:c>
      <ns0:c r="T687" s="0">
        <ns0:f>IFERROR(IF(ISNUMBER(Bookings!D687),IF(AND(Bookings!D687=INT(Bookings!D687),Bookings!D687&gt;=DATE(2000,1,1),Bookings!D687&lt;=DATE(2100,12,31)),Bookings!D687,0),IF(AND(K687&lt;&gt;"",LEN("x"&amp;L687)-LEN(SUBSTITUTE("x"&amp;L687,".",""))=2,OR(1&gt;LEN(L687),MID(L687,1,1)=".",ISNUMBER(FIND("x"&amp;MID(L687,1,1),"x0x1x2x3x4x5x6x7x8x9"))),OR(2&gt;LEN(L687),MID(L687,2,1)=".",ISNUMBER(FIND("x"&amp;MID(L687,2,1),"x0x1x2x3x4x5x6x7x8x9"))),OR(3&gt;LEN(L687),MID(L687,3,1)=".",ISNUMBER(FIND("x"&amp;MID(L687,3,1),"x0x1x2x3x4x5x6x7x8x9"))),OR(4&gt;LEN(L687),MID(L687,4,1)=".",ISNUMBER(FIND("x"&amp;MID(L687,4,1),"x0x1x2x3x4x5x6x7x8x9"))),OR(5&gt;LEN(L687),MID(L687,5,1)=".",ISNUMBER(FIND("x"&amp;MID(L687,5,1),"x0x1x2x3x4x5x6x7x8x9"))),OR(6&gt;LEN(L687),MID(L687,6,1)=".",ISNUMBER(FIND("x"&amp;MID(L687,6,1),"x0x1x2x3x4x5x6x7x8x9"))),OR(7&gt;LEN(L687),MID(L687,7,1)=".",ISNUMBER(FIND("x"&amp;MID(L687,7,1),"x0x1x2x3x4x5x6x7x8x9"))),OR(8&gt;LEN(L687),MID(L687,8,1)=".",ISNUMBER(FIND("x"&amp;MID(L687,8,1),"x0x1x2x3x4x5x6x7x8x9"))),OR(9&gt;LEN(L687),MID(L687,9,1)=".",ISNUMBER(FIND("x"&amp;MID(L687,9,1),"x0x1x2x3x4x5x6x7x8x9"))),OR(10&gt;LEN(L687),MID(L687,10,1)=".",ISNUMBER(FIND("x"&amp;MID(L687,10,1),"x0x1x2x3x4x5x6x7x8x9"))),OR(AND(FIND(".",L687)=5,LEN(L687)-FIND(".",L687,FIND(".",L687)+1)&gt;=1,LEN(L687)-FIND(".",L687,FIND(".",L687)+1)&lt;=2),AND(LEN(L687)-FIND(".",L687,FIND(".",L687)+1)=4,FIND(".",L687)&gt;=2,FIND(".",L687)&lt;=3)),FIND(".",L687,FIND(".",L687)+1)-FIND(".",L687)&gt;=2,FIND(".",L687,FIND(".",L687)+1)-FIND(".",L687)&lt;=3,P687&gt;=2000,P687&lt;=2100,YEAR(S687)=P687,MONTH(S687)=Q687,DAY(S687)=R687),S687,0)),0)</ns0:f>
        <ns0:v>0</ns0:v>
      </ns0:c>
      <ns0:c r="U687" s="0" t="str">
        <ns0:f>IF(Bookings!C687="","Full day",Bookings!C687)</ns0:f>
        <ns0:v>Full day</ns0:v>
      </ns0:c>
      <ns0:c r="V687" s="0" t="str">
        <ns0:f>IF(Bookings!E687="","Full day",Bookings!E687)</ns0:f>
        <ns0:v>Full day</ns0:v>
      </ns0:c>
      <ns0:c r="W687" s="0">
        <ns0:f>IF(J687=0,0,J687+IF(U687="PM",1,0))</ns0:f>
        <ns0:v>0</ns0:v>
      </ns0:c>
      <ns0:c r="X687" s="0">
        <ns0:f>IF(T687=0,0,T687-IF(V687="PM",1,0))</ns0:f>
        <ns0:v>0</ns0:v>
      </ns0:c>
      <ns0:c r="Y687" s="0">
        <ns0:f>IF(J687=0,0,J687+IF(U687="AM",1,0))</ns0:f>
        <ns0:v>0</ns0:v>
      </ns0:c>
      <ns0:c r="Z687" s="0">
        <ns0:f>IF(T687=0,0,T687-IF(V687="AM",1,0))</ns0:f>
        <ns0:v>0</ns0:v>
      </ns0:c>
      <ns0:c r="AA687" s="0">
        <ns0:f>IFERROR(IF(AND(J687&gt;0,'_Engine'!C687&gt;0,MID('_Engine'!W687,WEEKDAY(J687,2),1)="W",COUNTIF(Settings!$F$18:$F$67,J687)=0),1,0),0)</ns0:f>
        <ns0:v>0</ns0:v>
      </ns0:c>
      <ns0:c r="AB687" s="0">
        <ns0:f>IFERROR(IF(AND(T687&gt;0,'_Engine'!C687&gt;0,MID('_Engine'!W687,WEEKDAY(T687,2),1)="W",COUNTIF(Settings!$F$18:$F$67,T687)=0),1,0),0)</ns0:f>
        <ns0:v>0</ns0:v>
      </ns0:c>
      <ns0:c r="AC687" s="0">
        <ns0:f>IF(AND(J687&gt;0,T687&gt;0,W687&lt;=X687),1,0)</ns0:f>
        <ns0:v>0</ns0:v>
      </ns0:c>
      <ns0:c r="AD687" s="0">
        <ns0:f>IF(AND(J687&gt;0,T687&gt;0,Y687&lt;=Z687),1,0)</ns0:f>
        <ns0:v>0</ns0:v>
      </ns0:c>
    </ns0:row>
    <ns0:row r="688">
      <ns0:c r="A688" s="0">
        <ns0:f>IFERROR(IF(ISNUMBER(Bookings!B688),"",TRIM(Bookings!B688&amp;"")),"")</ns0:f>
      </ns0:c>
      <ns0:c r="B688" s="0">
        <ns0:f>IFERROR(SUBSTITUTE(SUBSTITUTE(A688,"/","."),"-","."),"")</ns0:f>
      </ns0:c>
      <ns0:c r="C688" s="0">
        <ns0:f>IFERROR(LEFT(B688,FIND(".",B688)-1),"")</ns0:f>
      </ns0:c>
      <ns0:c r="D688" s="0">
        <ns0:f>IFERROR(MID(B688,FIND(".",B688)+1,FIND(".",B688,FIND(".",B688)+1)-FIND(".",B688)-1),"")</ns0:f>
      </ns0:c>
      <ns0:c r="E688" s="0">
        <ns0:f>IFERROR(MID(B688,FIND(".",B688,FIND(".",B688)+1)+1,99),"")</ns0:f>
        <ns0:v>99</ns0:v>
      </ns0:c>
      <ns0:c r="F688" s="0">
        <ns0:f>IFERROR(IF(FIND(".",B688)=5,--C688,--E688),0)</ns0:f>
        <ns0:v>0</ns0:v>
      </ns0:c>
      <ns0:c r="G688" s="0">
        <ns0:f>IFERROR(--D688,0)</ns0:f>
        <ns0:v>0</ns0:v>
      </ns0:c>
      <ns0:c r="H688" s="0">
        <ns0:f>IFERROR(IF(FIND(".",B688)=5,--E688,--C688),0)</ns0:f>
        <ns0:v>0</ns0:v>
      </ns0:c>
      <ns0:c r="I688" s="0">
        <ns0:f>IFERROR(IF(AND(F688&gt;=2000,F688&lt;=2100,G688&gt;=1,G688&lt;=12,H688&gt;=1,H688&lt;=31),DATE(F688,G688,H688),0),0)</ns0:f>
        <ns0:v>0</ns0:v>
      </ns0:c>
      <ns0:c r="J688" s="0">
        <ns0:f>IFERROR(IF(ISNUMBER(Bookings!B688),IF(AND(Bookings!B688=INT(Bookings!B688),Bookings!B688&gt;=DATE(2000,1,1),Bookings!B688&lt;=DATE(2100,12,31)),Bookings!B688,0),IF(AND(A688&lt;&gt;"",LEN("x"&amp;B688)-LEN(SUBSTITUTE("x"&amp;B688,".",""))=2,OR(1&gt;LEN(B688),MID(B688,1,1)=".",ISNUMBER(FIND("x"&amp;MID(B688,1,1),"x0x1x2x3x4x5x6x7x8x9"))),OR(2&gt;LEN(B688),MID(B688,2,1)=".",ISNUMBER(FIND("x"&amp;MID(B688,2,1),"x0x1x2x3x4x5x6x7x8x9"))),OR(3&gt;LEN(B688),MID(B688,3,1)=".",ISNUMBER(FIND("x"&amp;MID(B688,3,1),"x0x1x2x3x4x5x6x7x8x9"))),OR(4&gt;LEN(B688),MID(B688,4,1)=".",ISNUMBER(FIND("x"&amp;MID(B688,4,1),"x0x1x2x3x4x5x6x7x8x9"))),OR(5&gt;LEN(B688),MID(B688,5,1)=".",ISNUMBER(FIND("x"&amp;MID(B688,5,1),"x0x1x2x3x4x5x6x7x8x9"))),OR(6&gt;LEN(B688),MID(B688,6,1)=".",ISNUMBER(FIND("x"&amp;MID(B688,6,1),"x0x1x2x3x4x5x6x7x8x9"))),OR(7&gt;LEN(B688),MID(B688,7,1)=".",ISNUMBER(FIND("x"&amp;MID(B688,7,1),"x0x1x2x3x4x5x6x7x8x9"))),OR(8&gt;LEN(B688),MID(B688,8,1)=".",ISNUMBER(FIND("x"&amp;MID(B688,8,1),"x0x1x2x3x4x5x6x7x8x9"))),OR(9&gt;LEN(B688),MID(B688,9,1)=".",ISNUMBER(FIND("x"&amp;MID(B688,9,1),"x0x1x2x3x4x5x6x7x8x9"))),OR(10&gt;LEN(B688),MID(B688,10,1)=".",ISNUMBER(FIND("x"&amp;MID(B688,10,1),"x0x1x2x3x4x5x6x7x8x9"))),OR(AND(FIND(".",B688)=5,LEN(B688)-FIND(".",B688,FIND(".",B688)+1)&gt;=1,LEN(B688)-FIND(".",B688,FIND(".",B688)+1)&lt;=2),AND(LEN(B688)-FIND(".",B688,FIND(".",B688)+1)=4,FIND(".",B688)&gt;=2,FIND(".",B688)&lt;=3)),FIND(".",B688,FIND(".",B688)+1)-FIND(".",B688)&gt;=2,FIND(".",B688,FIND(".",B688)+1)-FIND(".",B688)&lt;=3,F688&gt;=2000,F688&lt;=2100,YEAR(I688)=F688,MONTH(I688)=G688,DAY(I688)=H688),I688,0)),0)</ns0:f>
        <ns0:v>0</ns0:v>
      </ns0:c>
      <ns0:c r="K688" s="0">
        <ns0:f>IFERROR(IF(ISNUMBER(Bookings!D688),"",TRIM(Bookings!D688&amp;"")),"")</ns0:f>
      </ns0:c>
      <ns0:c r="L688" s="0">
        <ns0:f>IFERROR(SUBSTITUTE(SUBSTITUTE(K688,"/","."),"-","."),"")</ns0:f>
      </ns0:c>
      <ns0:c r="M688" s="0">
        <ns0:f>IFERROR(LEFT(L688,FIND(".",L688)-1),"")</ns0:f>
      </ns0:c>
      <ns0:c r="N688" s="0">
        <ns0:f>IFERROR(MID(L688,FIND(".",L688)+1,FIND(".",L688,FIND(".",L688)+1)-FIND(".",L688)-1),"")</ns0:f>
      </ns0:c>
      <ns0:c r="O688" s="0">
        <ns0:f>IFERROR(MID(L688,FIND(".",L688,FIND(".",L688)+1)+1,99),"")</ns0:f>
        <ns0:v>99</ns0:v>
      </ns0:c>
      <ns0:c r="P688" s="0">
        <ns0:f>IFERROR(IF(FIND(".",L688)=5,--M688,--O688),0)</ns0:f>
        <ns0:v>0</ns0:v>
      </ns0:c>
      <ns0:c r="Q688" s="0">
        <ns0:f>IFERROR(--N688,0)</ns0:f>
        <ns0:v>0</ns0:v>
      </ns0:c>
      <ns0:c r="R688" s="0">
        <ns0:f>IFERROR(IF(FIND(".",L688)=5,--O688,--M688),0)</ns0:f>
        <ns0:v>0</ns0:v>
      </ns0:c>
      <ns0:c r="S688" s="0">
        <ns0:f>IFERROR(IF(AND(P688&gt;=2000,P688&lt;=2100,Q688&gt;=1,Q688&lt;=12,R688&gt;=1,R688&lt;=31),DATE(P688,Q688,R688),0),0)</ns0:f>
        <ns0:v>0</ns0:v>
      </ns0:c>
      <ns0:c r="T688" s="0">
        <ns0:f>IFERROR(IF(ISNUMBER(Bookings!D688),IF(AND(Bookings!D688=INT(Bookings!D688),Bookings!D688&gt;=DATE(2000,1,1),Bookings!D688&lt;=DATE(2100,12,31)),Bookings!D688,0),IF(AND(K688&lt;&gt;"",LEN("x"&amp;L688)-LEN(SUBSTITUTE("x"&amp;L688,".",""))=2,OR(1&gt;LEN(L688),MID(L688,1,1)=".",ISNUMBER(FIND("x"&amp;MID(L688,1,1),"x0x1x2x3x4x5x6x7x8x9"))),OR(2&gt;LEN(L688),MID(L688,2,1)=".",ISNUMBER(FIND("x"&amp;MID(L688,2,1),"x0x1x2x3x4x5x6x7x8x9"))),OR(3&gt;LEN(L688),MID(L688,3,1)=".",ISNUMBER(FIND("x"&amp;MID(L688,3,1),"x0x1x2x3x4x5x6x7x8x9"))),OR(4&gt;LEN(L688),MID(L688,4,1)=".",ISNUMBER(FIND("x"&amp;MID(L688,4,1),"x0x1x2x3x4x5x6x7x8x9"))),OR(5&gt;LEN(L688),MID(L688,5,1)=".",ISNUMBER(FIND("x"&amp;MID(L688,5,1),"x0x1x2x3x4x5x6x7x8x9"))),OR(6&gt;LEN(L688),MID(L688,6,1)=".",ISNUMBER(FIND("x"&amp;MID(L688,6,1),"x0x1x2x3x4x5x6x7x8x9"))),OR(7&gt;LEN(L688),MID(L688,7,1)=".",ISNUMBER(FIND("x"&amp;MID(L688,7,1),"x0x1x2x3x4x5x6x7x8x9"))),OR(8&gt;LEN(L688),MID(L688,8,1)=".",ISNUMBER(FIND("x"&amp;MID(L688,8,1),"x0x1x2x3x4x5x6x7x8x9"))),OR(9&gt;LEN(L688),MID(L688,9,1)=".",ISNUMBER(FIND("x"&amp;MID(L688,9,1),"x0x1x2x3x4x5x6x7x8x9"))),OR(10&gt;LEN(L688),MID(L688,10,1)=".",ISNUMBER(FIND("x"&amp;MID(L688,10,1),"x0x1x2x3x4x5x6x7x8x9"))),OR(AND(FIND(".",L688)=5,LEN(L688)-FIND(".",L688,FIND(".",L688)+1)&gt;=1,LEN(L688)-FIND(".",L688,FIND(".",L688)+1)&lt;=2),AND(LEN(L688)-FIND(".",L688,FIND(".",L688)+1)=4,FIND(".",L688)&gt;=2,FIND(".",L688)&lt;=3)),FIND(".",L688,FIND(".",L688)+1)-FIND(".",L688)&gt;=2,FIND(".",L688,FIND(".",L688)+1)-FIND(".",L688)&lt;=3,P688&gt;=2000,P688&lt;=2100,YEAR(S688)=P688,MONTH(S688)=Q688,DAY(S688)=R688),S688,0)),0)</ns0:f>
        <ns0:v>0</ns0:v>
      </ns0:c>
      <ns0:c r="U688" s="0" t="str">
        <ns0:f>IF(Bookings!C688="","Full day",Bookings!C688)</ns0:f>
        <ns0:v>Full day</ns0:v>
      </ns0:c>
      <ns0:c r="V688" s="0" t="str">
        <ns0:f>IF(Bookings!E688="","Full day",Bookings!E688)</ns0:f>
        <ns0:v>Full day</ns0:v>
      </ns0:c>
      <ns0:c r="W688" s="0">
        <ns0:f>IF(J688=0,0,J688+IF(U688="PM",1,0))</ns0:f>
        <ns0:v>0</ns0:v>
      </ns0:c>
      <ns0:c r="X688" s="0">
        <ns0:f>IF(T688=0,0,T688-IF(V688="PM",1,0))</ns0:f>
        <ns0:v>0</ns0:v>
      </ns0:c>
      <ns0:c r="Y688" s="0">
        <ns0:f>IF(J688=0,0,J688+IF(U688="AM",1,0))</ns0:f>
        <ns0:v>0</ns0:v>
      </ns0:c>
      <ns0:c r="Z688" s="0">
        <ns0:f>IF(T688=0,0,T688-IF(V688="AM",1,0))</ns0:f>
        <ns0:v>0</ns0:v>
      </ns0:c>
      <ns0:c r="AA688" s="0">
        <ns0:f>IFERROR(IF(AND(J688&gt;0,'_Engine'!C688&gt;0,MID('_Engine'!W688,WEEKDAY(J688,2),1)="W",COUNTIF(Settings!$F$18:$F$67,J688)=0),1,0),0)</ns0:f>
        <ns0:v>0</ns0:v>
      </ns0:c>
      <ns0:c r="AB688" s="0">
        <ns0:f>IFERROR(IF(AND(T688&gt;0,'_Engine'!C688&gt;0,MID('_Engine'!W688,WEEKDAY(T688,2),1)="W",COUNTIF(Settings!$F$18:$F$67,T688)=0),1,0),0)</ns0:f>
        <ns0:v>0</ns0:v>
      </ns0:c>
      <ns0:c r="AC688" s="0">
        <ns0:f>IF(AND(J688&gt;0,T688&gt;0,W688&lt;=X688),1,0)</ns0:f>
        <ns0:v>0</ns0:v>
      </ns0:c>
      <ns0:c r="AD688" s="0">
        <ns0:f>IF(AND(J688&gt;0,T688&gt;0,Y688&lt;=Z688),1,0)</ns0:f>
        <ns0:v>0</ns0:v>
      </ns0:c>
    </ns0:row>
    <ns0:row r="689">
      <ns0:c r="A689" s="0">
        <ns0:f>IFERROR(IF(ISNUMBER(Bookings!B689),"",TRIM(Bookings!B689&amp;"")),"")</ns0:f>
      </ns0:c>
      <ns0:c r="B689" s="0">
        <ns0:f>IFERROR(SUBSTITUTE(SUBSTITUTE(A689,"/","."),"-","."),"")</ns0:f>
      </ns0:c>
      <ns0:c r="C689" s="0">
        <ns0:f>IFERROR(LEFT(B689,FIND(".",B689)-1),"")</ns0:f>
      </ns0:c>
      <ns0:c r="D689" s="0">
        <ns0:f>IFERROR(MID(B689,FIND(".",B689)+1,FIND(".",B689,FIND(".",B689)+1)-FIND(".",B689)-1),"")</ns0:f>
      </ns0:c>
      <ns0:c r="E689" s="0">
        <ns0:f>IFERROR(MID(B689,FIND(".",B689,FIND(".",B689)+1)+1,99),"")</ns0:f>
        <ns0:v>99</ns0:v>
      </ns0:c>
      <ns0:c r="F689" s="0">
        <ns0:f>IFERROR(IF(FIND(".",B689)=5,--C689,--E689),0)</ns0:f>
        <ns0:v>0</ns0:v>
      </ns0:c>
      <ns0:c r="G689" s="0">
        <ns0:f>IFERROR(--D689,0)</ns0:f>
        <ns0:v>0</ns0:v>
      </ns0:c>
      <ns0:c r="H689" s="0">
        <ns0:f>IFERROR(IF(FIND(".",B689)=5,--E689,--C689),0)</ns0:f>
        <ns0:v>0</ns0:v>
      </ns0:c>
      <ns0:c r="I689" s="0">
        <ns0:f>IFERROR(IF(AND(F689&gt;=2000,F689&lt;=2100,G689&gt;=1,G689&lt;=12,H689&gt;=1,H689&lt;=31),DATE(F689,G689,H689),0),0)</ns0:f>
        <ns0:v>0</ns0:v>
      </ns0:c>
      <ns0:c r="J689" s="0">
        <ns0:f>IFERROR(IF(ISNUMBER(Bookings!B689),IF(AND(Bookings!B689=INT(Bookings!B689),Bookings!B689&gt;=DATE(2000,1,1),Bookings!B689&lt;=DATE(2100,12,31)),Bookings!B689,0),IF(AND(A689&lt;&gt;"",LEN("x"&amp;B689)-LEN(SUBSTITUTE("x"&amp;B689,".",""))=2,OR(1&gt;LEN(B689),MID(B689,1,1)=".",ISNUMBER(FIND("x"&amp;MID(B689,1,1),"x0x1x2x3x4x5x6x7x8x9"))),OR(2&gt;LEN(B689),MID(B689,2,1)=".",ISNUMBER(FIND("x"&amp;MID(B689,2,1),"x0x1x2x3x4x5x6x7x8x9"))),OR(3&gt;LEN(B689),MID(B689,3,1)=".",ISNUMBER(FIND("x"&amp;MID(B689,3,1),"x0x1x2x3x4x5x6x7x8x9"))),OR(4&gt;LEN(B689),MID(B689,4,1)=".",ISNUMBER(FIND("x"&amp;MID(B689,4,1),"x0x1x2x3x4x5x6x7x8x9"))),OR(5&gt;LEN(B689),MID(B689,5,1)=".",ISNUMBER(FIND("x"&amp;MID(B689,5,1),"x0x1x2x3x4x5x6x7x8x9"))),OR(6&gt;LEN(B689),MID(B689,6,1)=".",ISNUMBER(FIND("x"&amp;MID(B689,6,1),"x0x1x2x3x4x5x6x7x8x9"))),OR(7&gt;LEN(B689),MID(B689,7,1)=".",ISNUMBER(FIND("x"&amp;MID(B689,7,1),"x0x1x2x3x4x5x6x7x8x9"))),OR(8&gt;LEN(B689),MID(B689,8,1)=".",ISNUMBER(FIND("x"&amp;MID(B689,8,1),"x0x1x2x3x4x5x6x7x8x9"))),OR(9&gt;LEN(B689),MID(B689,9,1)=".",ISNUMBER(FIND("x"&amp;MID(B689,9,1),"x0x1x2x3x4x5x6x7x8x9"))),OR(10&gt;LEN(B689),MID(B689,10,1)=".",ISNUMBER(FIND("x"&amp;MID(B689,10,1),"x0x1x2x3x4x5x6x7x8x9"))),OR(AND(FIND(".",B689)=5,LEN(B689)-FIND(".",B689,FIND(".",B689)+1)&gt;=1,LEN(B689)-FIND(".",B689,FIND(".",B689)+1)&lt;=2),AND(LEN(B689)-FIND(".",B689,FIND(".",B689)+1)=4,FIND(".",B689)&gt;=2,FIND(".",B689)&lt;=3)),FIND(".",B689,FIND(".",B689)+1)-FIND(".",B689)&gt;=2,FIND(".",B689,FIND(".",B689)+1)-FIND(".",B689)&lt;=3,F689&gt;=2000,F689&lt;=2100,YEAR(I689)=F689,MONTH(I689)=G689,DAY(I689)=H689),I689,0)),0)</ns0:f>
        <ns0:v>0</ns0:v>
      </ns0:c>
      <ns0:c r="K689" s="0">
        <ns0:f>IFERROR(IF(ISNUMBER(Bookings!D689),"",TRIM(Bookings!D689&amp;"")),"")</ns0:f>
      </ns0:c>
      <ns0:c r="L689" s="0">
        <ns0:f>IFERROR(SUBSTITUTE(SUBSTITUTE(K689,"/","."),"-","."),"")</ns0:f>
      </ns0:c>
      <ns0:c r="M689" s="0">
        <ns0:f>IFERROR(LEFT(L689,FIND(".",L689)-1),"")</ns0:f>
      </ns0:c>
      <ns0:c r="N689" s="0">
        <ns0:f>IFERROR(MID(L689,FIND(".",L689)+1,FIND(".",L689,FIND(".",L689)+1)-FIND(".",L689)-1),"")</ns0:f>
      </ns0:c>
      <ns0:c r="O689" s="0">
        <ns0:f>IFERROR(MID(L689,FIND(".",L689,FIND(".",L689)+1)+1,99),"")</ns0:f>
        <ns0:v>99</ns0:v>
      </ns0:c>
      <ns0:c r="P689" s="0">
        <ns0:f>IFERROR(IF(FIND(".",L689)=5,--M689,--O689),0)</ns0:f>
        <ns0:v>0</ns0:v>
      </ns0:c>
      <ns0:c r="Q689" s="0">
        <ns0:f>IFERROR(--N689,0)</ns0:f>
        <ns0:v>0</ns0:v>
      </ns0:c>
      <ns0:c r="R689" s="0">
        <ns0:f>IFERROR(IF(FIND(".",L689)=5,--O689,--M689),0)</ns0:f>
        <ns0:v>0</ns0:v>
      </ns0:c>
      <ns0:c r="S689" s="0">
        <ns0:f>IFERROR(IF(AND(P689&gt;=2000,P689&lt;=2100,Q689&gt;=1,Q689&lt;=12,R689&gt;=1,R689&lt;=31),DATE(P689,Q689,R689),0),0)</ns0:f>
        <ns0:v>0</ns0:v>
      </ns0:c>
      <ns0:c r="T689" s="0">
        <ns0:f>IFERROR(IF(ISNUMBER(Bookings!D689),IF(AND(Bookings!D689=INT(Bookings!D689),Bookings!D689&gt;=DATE(2000,1,1),Bookings!D689&lt;=DATE(2100,12,31)),Bookings!D689,0),IF(AND(K689&lt;&gt;"",LEN("x"&amp;L689)-LEN(SUBSTITUTE("x"&amp;L689,".",""))=2,OR(1&gt;LEN(L689),MID(L689,1,1)=".",ISNUMBER(FIND("x"&amp;MID(L689,1,1),"x0x1x2x3x4x5x6x7x8x9"))),OR(2&gt;LEN(L689),MID(L689,2,1)=".",ISNUMBER(FIND("x"&amp;MID(L689,2,1),"x0x1x2x3x4x5x6x7x8x9"))),OR(3&gt;LEN(L689),MID(L689,3,1)=".",ISNUMBER(FIND("x"&amp;MID(L689,3,1),"x0x1x2x3x4x5x6x7x8x9"))),OR(4&gt;LEN(L689),MID(L689,4,1)=".",ISNUMBER(FIND("x"&amp;MID(L689,4,1),"x0x1x2x3x4x5x6x7x8x9"))),OR(5&gt;LEN(L689),MID(L689,5,1)=".",ISNUMBER(FIND("x"&amp;MID(L689,5,1),"x0x1x2x3x4x5x6x7x8x9"))),OR(6&gt;LEN(L689),MID(L689,6,1)=".",ISNUMBER(FIND("x"&amp;MID(L689,6,1),"x0x1x2x3x4x5x6x7x8x9"))),OR(7&gt;LEN(L689),MID(L689,7,1)=".",ISNUMBER(FIND("x"&amp;MID(L689,7,1),"x0x1x2x3x4x5x6x7x8x9"))),OR(8&gt;LEN(L689),MID(L689,8,1)=".",ISNUMBER(FIND("x"&amp;MID(L689,8,1),"x0x1x2x3x4x5x6x7x8x9"))),OR(9&gt;LEN(L689),MID(L689,9,1)=".",ISNUMBER(FIND("x"&amp;MID(L689,9,1),"x0x1x2x3x4x5x6x7x8x9"))),OR(10&gt;LEN(L689),MID(L689,10,1)=".",ISNUMBER(FIND("x"&amp;MID(L689,10,1),"x0x1x2x3x4x5x6x7x8x9"))),OR(AND(FIND(".",L689)=5,LEN(L689)-FIND(".",L689,FIND(".",L689)+1)&gt;=1,LEN(L689)-FIND(".",L689,FIND(".",L689)+1)&lt;=2),AND(LEN(L689)-FIND(".",L689,FIND(".",L689)+1)=4,FIND(".",L689)&gt;=2,FIND(".",L689)&lt;=3)),FIND(".",L689,FIND(".",L689)+1)-FIND(".",L689)&gt;=2,FIND(".",L689,FIND(".",L689)+1)-FIND(".",L689)&lt;=3,P689&gt;=2000,P689&lt;=2100,YEAR(S689)=P689,MONTH(S689)=Q689,DAY(S689)=R689),S689,0)),0)</ns0:f>
        <ns0:v>0</ns0:v>
      </ns0:c>
      <ns0:c r="U689" s="0" t="str">
        <ns0:f>IF(Bookings!C689="","Full day",Bookings!C689)</ns0:f>
        <ns0:v>Full day</ns0:v>
      </ns0:c>
      <ns0:c r="V689" s="0" t="str">
        <ns0:f>IF(Bookings!E689="","Full day",Bookings!E689)</ns0:f>
        <ns0:v>Full day</ns0:v>
      </ns0:c>
      <ns0:c r="W689" s="0">
        <ns0:f>IF(J689=0,0,J689+IF(U689="PM",1,0))</ns0:f>
        <ns0:v>0</ns0:v>
      </ns0:c>
      <ns0:c r="X689" s="0">
        <ns0:f>IF(T689=0,0,T689-IF(V689="PM",1,0))</ns0:f>
        <ns0:v>0</ns0:v>
      </ns0:c>
      <ns0:c r="Y689" s="0">
        <ns0:f>IF(J689=0,0,J689+IF(U689="AM",1,0))</ns0:f>
        <ns0:v>0</ns0:v>
      </ns0:c>
      <ns0:c r="Z689" s="0">
        <ns0:f>IF(T689=0,0,T689-IF(V689="AM",1,0))</ns0:f>
        <ns0:v>0</ns0:v>
      </ns0:c>
      <ns0:c r="AA689" s="0">
        <ns0:f>IFERROR(IF(AND(J689&gt;0,'_Engine'!C689&gt;0,MID('_Engine'!W689,WEEKDAY(J689,2),1)="W",COUNTIF(Settings!$F$18:$F$67,J689)=0),1,0),0)</ns0:f>
        <ns0:v>0</ns0:v>
      </ns0:c>
      <ns0:c r="AB689" s="0">
        <ns0:f>IFERROR(IF(AND(T689&gt;0,'_Engine'!C689&gt;0,MID('_Engine'!W689,WEEKDAY(T689,2),1)="W",COUNTIF(Settings!$F$18:$F$67,T689)=0),1,0),0)</ns0:f>
        <ns0:v>0</ns0:v>
      </ns0:c>
      <ns0:c r="AC689" s="0">
        <ns0:f>IF(AND(J689&gt;0,T689&gt;0,W689&lt;=X689),1,0)</ns0:f>
        <ns0:v>0</ns0:v>
      </ns0:c>
      <ns0:c r="AD689" s="0">
        <ns0:f>IF(AND(J689&gt;0,T689&gt;0,Y689&lt;=Z689),1,0)</ns0:f>
        <ns0:v>0</ns0:v>
      </ns0:c>
    </ns0:row>
    <ns0:row r="690">
      <ns0:c r="A690" s="0">
        <ns0:f>IFERROR(IF(ISNUMBER(Bookings!B690),"",TRIM(Bookings!B690&amp;"")),"")</ns0:f>
      </ns0:c>
      <ns0:c r="B690" s="0">
        <ns0:f>IFERROR(SUBSTITUTE(SUBSTITUTE(A690,"/","."),"-","."),"")</ns0:f>
      </ns0:c>
      <ns0:c r="C690" s="0">
        <ns0:f>IFERROR(LEFT(B690,FIND(".",B690)-1),"")</ns0:f>
      </ns0:c>
      <ns0:c r="D690" s="0">
        <ns0:f>IFERROR(MID(B690,FIND(".",B690)+1,FIND(".",B690,FIND(".",B690)+1)-FIND(".",B690)-1),"")</ns0:f>
      </ns0:c>
      <ns0:c r="E690" s="0">
        <ns0:f>IFERROR(MID(B690,FIND(".",B690,FIND(".",B690)+1)+1,99),"")</ns0:f>
        <ns0:v>99</ns0:v>
      </ns0:c>
      <ns0:c r="F690" s="0">
        <ns0:f>IFERROR(IF(FIND(".",B690)=5,--C690,--E690),0)</ns0:f>
        <ns0:v>0</ns0:v>
      </ns0:c>
      <ns0:c r="G690" s="0">
        <ns0:f>IFERROR(--D690,0)</ns0:f>
        <ns0:v>0</ns0:v>
      </ns0:c>
      <ns0:c r="H690" s="0">
        <ns0:f>IFERROR(IF(FIND(".",B690)=5,--E690,--C690),0)</ns0:f>
        <ns0:v>0</ns0:v>
      </ns0:c>
      <ns0:c r="I690" s="0">
        <ns0:f>IFERROR(IF(AND(F690&gt;=2000,F690&lt;=2100,G690&gt;=1,G690&lt;=12,H690&gt;=1,H690&lt;=31),DATE(F690,G690,H690),0),0)</ns0:f>
        <ns0:v>0</ns0:v>
      </ns0:c>
      <ns0:c r="J690" s="0">
        <ns0:f>IFERROR(IF(ISNUMBER(Bookings!B690),IF(AND(Bookings!B690=INT(Bookings!B690),Bookings!B690&gt;=DATE(2000,1,1),Bookings!B690&lt;=DATE(2100,12,31)),Bookings!B690,0),IF(AND(A690&lt;&gt;"",LEN("x"&amp;B690)-LEN(SUBSTITUTE("x"&amp;B690,".",""))=2,OR(1&gt;LEN(B690),MID(B690,1,1)=".",ISNUMBER(FIND("x"&amp;MID(B690,1,1),"x0x1x2x3x4x5x6x7x8x9"))),OR(2&gt;LEN(B690),MID(B690,2,1)=".",ISNUMBER(FIND("x"&amp;MID(B690,2,1),"x0x1x2x3x4x5x6x7x8x9"))),OR(3&gt;LEN(B690),MID(B690,3,1)=".",ISNUMBER(FIND("x"&amp;MID(B690,3,1),"x0x1x2x3x4x5x6x7x8x9"))),OR(4&gt;LEN(B690),MID(B690,4,1)=".",ISNUMBER(FIND("x"&amp;MID(B690,4,1),"x0x1x2x3x4x5x6x7x8x9"))),OR(5&gt;LEN(B690),MID(B690,5,1)=".",ISNUMBER(FIND("x"&amp;MID(B690,5,1),"x0x1x2x3x4x5x6x7x8x9"))),OR(6&gt;LEN(B690),MID(B690,6,1)=".",ISNUMBER(FIND("x"&amp;MID(B690,6,1),"x0x1x2x3x4x5x6x7x8x9"))),OR(7&gt;LEN(B690),MID(B690,7,1)=".",ISNUMBER(FIND("x"&amp;MID(B690,7,1),"x0x1x2x3x4x5x6x7x8x9"))),OR(8&gt;LEN(B690),MID(B690,8,1)=".",ISNUMBER(FIND("x"&amp;MID(B690,8,1),"x0x1x2x3x4x5x6x7x8x9"))),OR(9&gt;LEN(B690),MID(B690,9,1)=".",ISNUMBER(FIND("x"&amp;MID(B690,9,1),"x0x1x2x3x4x5x6x7x8x9"))),OR(10&gt;LEN(B690),MID(B690,10,1)=".",ISNUMBER(FIND("x"&amp;MID(B690,10,1),"x0x1x2x3x4x5x6x7x8x9"))),OR(AND(FIND(".",B690)=5,LEN(B690)-FIND(".",B690,FIND(".",B690)+1)&gt;=1,LEN(B690)-FIND(".",B690,FIND(".",B690)+1)&lt;=2),AND(LEN(B690)-FIND(".",B690,FIND(".",B690)+1)=4,FIND(".",B690)&gt;=2,FIND(".",B690)&lt;=3)),FIND(".",B690,FIND(".",B690)+1)-FIND(".",B690)&gt;=2,FIND(".",B690,FIND(".",B690)+1)-FIND(".",B690)&lt;=3,F690&gt;=2000,F690&lt;=2100,YEAR(I690)=F690,MONTH(I690)=G690,DAY(I690)=H690),I690,0)),0)</ns0:f>
        <ns0:v>0</ns0:v>
      </ns0:c>
      <ns0:c r="K690" s="0">
        <ns0:f>IFERROR(IF(ISNUMBER(Bookings!D690),"",TRIM(Bookings!D690&amp;"")),"")</ns0:f>
      </ns0:c>
      <ns0:c r="L690" s="0">
        <ns0:f>IFERROR(SUBSTITUTE(SUBSTITUTE(K690,"/","."),"-","."),"")</ns0:f>
      </ns0:c>
      <ns0:c r="M690" s="0">
        <ns0:f>IFERROR(LEFT(L690,FIND(".",L690)-1),"")</ns0:f>
      </ns0:c>
      <ns0:c r="N690" s="0">
        <ns0:f>IFERROR(MID(L690,FIND(".",L690)+1,FIND(".",L690,FIND(".",L690)+1)-FIND(".",L690)-1),"")</ns0:f>
      </ns0:c>
      <ns0:c r="O690" s="0">
        <ns0:f>IFERROR(MID(L690,FIND(".",L690,FIND(".",L690)+1)+1,99),"")</ns0:f>
        <ns0:v>99</ns0:v>
      </ns0:c>
      <ns0:c r="P690" s="0">
        <ns0:f>IFERROR(IF(FIND(".",L690)=5,--M690,--O690),0)</ns0:f>
        <ns0:v>0</ns0:v>
      </ns0:c>
      <ns0:c r="Q690" s="0">
        <ns0:f>IFERROR(--N690,0)</ns0:f>
        <ns0:v>0</ns0:v>
      </ns0:c>
      <ns0:c r="R690" s="0">
        <ns0:f>IFERROR(IF(FIND(".",L690)=5,--O690,--M690),0)</ns0:f>
        <ns0:v>0</ns0:v>
      </ns0:c>
      <ns0:c r="S690" s="0">
        <ns0:f>IFERROR(IF(AND(P690&gt;=2000,P690&lt;=2100,Q690&gt;=1,Q690&lt;=12,R690&gt;=1,R690&lt;=31),DATE(P690,Q690,R690),0),0)</ns0:f>
        <ns0:v>0</ns0:v>
      </ns0:c>
      <ns0:c r="T690" s="0">
        <ns0:f>IFERROR(IF(ISNUMBER(Bookings!D690),IF(AND(Bookings!D690=INT(Bookings!D690),Bookings!D690&gt;=DATE(2000,1,1),Bookings!D690&lt;=DATE(2100,12,31)),Bookings!D690,0),IF(AND(K690&lt;&gt;"",LEN("x"&amp;L690)-LEN(SUBSTITUTE("x"&amp;L690,".",""))=2,OR(1&gt;LEN(L690),MID(L690,1,1)=".",ISNUMBER(FIND("x"&amp;MID(L690,1,1),"x0x1x2x3x4x5x6x7x8x9"))),OR(2&gt;LEN(L690),MID(L690,2,1)=".",ISNUMBER(FIND("x"&amp;MID(L690,2,1),"x0x1x2x3x4x5x6x7x8x9"))),OR(3&gt;LEN(L690),MID(L690,3,1)=".",ISNUMBER(FIND("x"&amp;MID(L690,3,1),"x0x1x2x3x4x5x6x7x8x9"))),OR(4&gt;LEN(L690),MID(L690,4,1)=".",ISNUMBER(FIND("x"&amp;MID(L690,4,1),"x0x1x2x3x4x5x6x7x8x9"))),OR(5&gt;LEN(L690),MID(L690,5,1)=".",ISNUMBER(FIND("x"&amp;MID(L690,5,1),"x0x1x2x3x4x5x6x7x8x9"))),OR(6&gt;LEN(L690),MID(L690,6,1)=".",ISNUMBER(FIND("x"&amp;MID(L690,6,1),"x0x1x2x3x4x5x6x7x8x9"))),OR(7&gt;LEN(L690),MID(L690,7,1)=".",ISNUMBER(FIND("x"&amp;MID(L690,7,1),"x0x1x2x3x4x5x6x7x8x9"))),OR(8&gt;LEN(L690),MID(L690,8,1)=".",ISNUMBER(FIND("x"&amp;MID(L690,8,1),"x0x1x2x3x4x5x6x7x8x9"))),OR(9&gt;LEN(L690),MID(L690,9,1)=".",ISNUMBER(FIND("x"&amp;MID(L690,9,1),"x0x1x2x3x4x5x6x7x8x9"))),OR(10&gt;LEN(L690),MID(L690,10,1)=".",ISNUMBER(FIND("x"&amp;MID(L690,10,1),"x0x1x2x3x4x5x6x7x8x9"))),OR(AND(FIND(".",L690)=5,LEN(L690)-FIND(".",L690,FIND(".",L690)+1)&gt;=1,LEN(L690)-FIND(".",L690,FIND(".",L690)+1)&lt;=2),AND(LEN(L690)-FIND(".",L690,FIND(".",L690)+1)=4,FIND(".",L690)&gt;=2,FIND(".",L690)&lt;=3)),FIND(".",L690,FIND(".",L690)+1)-FIND(".",L690)&gt;=2,FIND(".",L690,FIND(".",L690)+1)-FIND(".",L690)&lt;=3,P690&gt;=2000,P690&lt;=2100,YEAR(S690)=P690,MONTH(S690)=Q690,DAY(S690)=R690),S690,0)),0)</ns0:f>
        <ns0:v>0</ns0:v>
      </ns0:c>
      <ns0:c r="U690" s="0" t="str">
        <ns0:f>IF(Bookings!C690="","Full day",Bookings!C690)</ns0:f>
        <ns0:v>Full day</ns0:v>
      </ns0:c>
      <ns0:c r="V690" s="0" t="str">
        <ns0:f>IF(Bookings!E690="","Full day",Bookings!E690)</ns0:f>
        <ns0:v>Full day</ns0:v>
      </ns0:c>
      <ns0:c r="W690" s="0">
        <ns0:f>IF(J690=0,0,J690+IF(U690="PM",1,0))</ns0:f>
        <ns0:v>0</ns0:v>
      </ns0:c>
      <ns0:c r="X690" s="0">
        <ns0:f>IF(T690=0,0,T690-IF(V690="PM",1,0))</ns0:f>
        <ns0:v>0</ns0:v>
      </ns0:c>
      <ns0:c r="Y690" s="0">
        <ns0:f>IF(J690=0,0,J690+IF(U690="AM",1,0))</ns0:f>
        <ns0:v>0</ns0:v>
      </ns0:c>
      <ns0:c r="Z690" s="0">
        <ns0:f>IF(T690=0,0,T690-IF(V690="AM",1,0))</ns0:f>
        <ns0:v>0</ns0:v>
      </ns0:c>
      <ns0:c r="AA690" s="0">
        <ns0:f>IFERROR(IF(AND(J690&gt;0,'_Engine'!C690&gt;0,MID('_Engine'!W690,WEEKDAY(J690,2),1)="W",COUNTIF(Settings!$F$18:$F$67,J690)=0),1,0),0)</ns0:f>
        <ns0:v>0</ns0:v>
      </ns0:c>
      <ns0:c r="AB690" s="0">
        <ns0:f>IFERROR(IF(AND(T690&gt;0,'_Engine'!C690&gt;0,MID('_Engine'!W690,WEEKDAY(T690,2),1)="W",COUNTIF(Settings!$F$18:$F$67,T690)=0),1,0),0)</ns0:f>
        <ns0:v>0</ns0:v>
      </ns0:c>
      <ns0:c r="AC690" s="0">
        <ns0:f>IF(AND(J690&gt;0,T690&gt;0,W690&lt;=X690),1,0)</ns0:f>
        <ns0:v>0</ns0:v>
      </ns0:c>
      <ns0:c r="AD690" s="0">
        <ns0:f>IF(AND(J690&gt;0,T690&gt;0,Y690&lt;=Z690),1,0)</ns0:f>
        <ns0:v>0</ns0:v>
      </ns0:c>
    </ns0:row>
    <ns0:row r="691">
      <ns0:c r="A691" s="0">
        <ns0:f>IFERROR(IF(ISNUMBER(Bookings!B691),"",TRIM(Bookings!B691&amp;"")),"")</ns0:f>
      </ns0:c>
      <ns0:c r="B691" s="0">
        <ns0:f>IFERROR(SUBSTITUTE(SUBSTITUTE(A691,"/","."),"-","."),"")</ns0:f>
      </ns0:c>
      <ns0:c r="C691" s="0">
        <ns0:f>IFERROR(LEFT(B691,FIND(".",B691)-1),"")</ns0:f>
      </ns0:c>
      <ns0:c r="D691" s="0">
        <ns0:f>IFERROR(MID(B691,FIND(".",B691)+1,FIND(".",B691,FIND(".",B691)+1)-FIND(".",B691)-1),"")</ns0:f>
      </ns0:c>
      <ns0:c r="E691" s="0">
        <ns0:f>IFERROR(MID(B691,FIND(".",B691,FIND(".",B691)+1)+1,99),"")</ns0:f>
        <ns0:v>99</ns0:v>
      </ns0:c>
      <ns0:c r="F691" s="0">
        <ns0:f>IFERROR(IF(FIND(".",B691)=5,--C691,--E691),0)</ns0:f>
        <ns0:v>0</ns0:v>
      </ns0:c>
      <ns0:c r="G691" s="0">
        <ns0:f>IFERROR(--D691,0)</ns0:f>
        <ns0:v>0</ns0:v>
      </ns0:c>
      <ns0:c r="H691" s="0">
        <ns0:f>IFERROR(IF(FIND(".",B691)=5,--E691,--C691),0)</ns0:f>
        <ns0:v>0</ns0:v>
      </ns0:c>
      <ns0:c r="I691" s="0">
        <ns0:f>IFERROR(IF(AND(F691&gt;=2000,F691&lt;=2100,G691&gt;=1,G691&lt;=12,H691&gt;=1,H691&lt;=31),DATE(F691,G691,H691),0),0)</ns0:f>
        <ns0:v>0</ns0:v>
      </ns0:c>
      <ns0:c r="J691" s="0">
        <ns0:f>IFERROR(IF(ISNUMBER(Bookings!B691),IF(AND(Bookings!B691=INT(Bookings!B691),Bookings!B691&gt;=DATE(2000,1,1),Bookings!B691&lt;=DATE(2100,12,31)),Bookings!B691,0),IF(AND(A691&lt;&gt;"",LEN("x"&amp;B691)-LEN(SUBSTITUTE("x"&amp;B691,".",""))=2,OR(1&gt;LEN(B691),MID(B691,1,1)=".",ISNUMBER(FIND("x"&amp;MID(B691,1,1),"x0x1x2x3x4x5x6x7x8x9"))),OR(2&gt;LEN(B691),MID(B691,2,1)=".",ISNUMBER(FIND("x"&amp;MID(B691,2,1),"x0x1x2x3x4x5x6x7x8x9"))),OR(3&gt;LEN(B691),MID(B691,3,1)=".",ISNUMBER(FIND("x"&amp;MID(B691,3,1),"x0x1x2x3x4x5x6x7x8x9"))),OR(4&gt;LEN(B691),MID(B691,4,1)=".",ISNUMBER(FIND("x"&amp;MID(B691,4,1),"x0x1x2x3x4x5x6x7x8x9"))),OR(5&gt;LEN(B691),MID(B691,5,1)=".",ISNUMBER(FIND("x"&amp;MID(B691,5,1),"x0x1x2x3x4x5x6x7x8x9"))),OR(6&gt;LEN(B691),MID(B691,6,1)=".",ISNUMBER(FIND("x"&amp;MID(B691,6,1),"x0x1x2x3x4x5x6x7x8x9"))),OR(7&gt;LEN(B691),MID(B691,7,1)=".",ISNUMBER(FIND("x"&amp;MID(B691,7,1),"x0x1x2x3x4x5x6x7x8x9"))),OR(8&gt;LEN(B691),MID(B691,8,1)=".",ISNUMBER(FIND("x"&amp;MID(B691,8,1),"x0x1x2x3x4x5x6x7x8x9"))),OR(9&gt;LEN(B691),MID(B691,9,1)=".",ISNUMBER(FIND("x"&amp;MID(B691,9,1),"x0x1x2x3x4x5x6x7x8x9"))),OR(10&gt;LEN(B691),MID(B691,10,1)=".",ISNUMBER(FIND("x"&amp;MID(B691,10,1),"x0x1x2x3x4x5x6x7x8x9"))),OR(AND(FIND(".",B691)=5,LEN(B691)-FIND(".",B691,FIND(".",B691)+1)&gt;=1,LEN(B691)-FIND(".",B691,FIND(".",B691)+1)&lt;=2),AND(LEN(B691)-FIND(".",B691,FIND(".",B691)+1)=4,FIND(".",B691)&gt;=2,FIND(".",B691)&lt;=3)),FIND(".",B691,FIND(".",B691)+1)-FIND(".",B691)&gt;=2,FIND(".",B691,FIND(".",B691)+1)-FIND(".",B691)&lt;=3,F691&gt;=2000,F691&lt;=2100,YEAR(I691)=F691,MONTH(I691)=G691,DAY(I691)=H691),I691,0)),0)</ns0:f>
        <ns0:v>0</ns0:v>
      </ns0:c>
      <ns0:c r="K691" s="0">
        <ns0:f>IFERROR(IF(ISNUMBER(Bookings!D691),"",TRIM(Bookings!D691&amp;"")),"")</ns0:f>
      </ns0:c>
      <ns0:c r="L691" s="0">
        <ns0:f>IFERROR(SUBSTITUTE(SUBSTITUTE(K691,"/","."),"-","."),"")</ns0:f>
      </ns0:c>
      <ns0:c r="M691" s="0">
        <ns0:f>IFERROR(LEFT(L691,FIND(".",L691)-1),"")</ns0:f>
      </ns0:c>
      <ns0:c r="N691" s="0">
        <ns0:f>IFERROR(MID(L691,FIND(".",L691)+1,FIND(".",L691,FIND(".",L691)+1)-FIND(".",L691)-1),"")</ns0:f>
      </ns0:c>
      <ns0:c r="O691" s="0">
        <ns0:f>IFERROR(MID(L691,FIND(".",L691,FIND(".",L691)+1)+1,99),"")</ns0:f>
        <ns0:v>99</ns0:v>
      </ns0:c>
      <ns0:c r="P691" s="0">
        <ns0:f>IFERROR(IF(FIND(".",L691)=5,--M691,--O691),0)</ns0:f>
        <ns0:v>0</ns0:v>
      </ns0:c>
      <ns0:c r="Q691" s="0">
        <ns0:f>IFERROR(--N691,0)</ns0:f>
        <ns0:v>0</ns0:v>
      </ns0:c>
      <ns0:c r="R691" s="0">
        <ns0:f>IFERROR(IF(FIND(".",L691)=5,--O691,--M691),0)</ns0:f>
        <ns0:v>0</ns0:v>
      </ns0:c>
      <ns0:c r="S691" s="0">
        <ns0:f>IFERROR(IF(AND(P691&gt;=2000,P691&lt;=2100,Q691&gt;=1,Q691&lt;=12,R691&gt;=1,R691&lt;=31),DATE(P691,Q691,R691),0),0)</ns0:f>
        <ns0:v>0</ns0:v>
      </ns0:c>
      <ns0:c r="T691" s="0">
        <ns0:f>IFERROR(IF(ISNUMBER(Bookings!D691),IF(AND(Bookings!D691=INT(Bookings!D691),Bookings!D691&gt;=DATE(2000,1,1),Bookings!D691&lt;=DATE(2100,12,31)),Bookings!D691,0),IF(AND(K691&lt;&gt;"",LEN("x"&amp;L691)-LEN(SUBSTITUTE("x"&amp;L691,".",""))=2,OR(1&gt;LEN(L691),MID(L691,1,1)=".",ISNUMBER(FIND("x"&amp;MID(L691,1,1),"x0x1x2x3x4x5x6x7x8x9"))),OR(2&gt;LEN(L691),MID(L691,2,1)=".",ISNUMBER(FIND("x"&amp;MID(L691,2,1),"x0x1x2x3x4x5x6x7x8x9"))),OR(3&gt;LEN(L691),MID(L691,3,1)=".",ISNUMBER(FIND("x"&amp;MID(L691,3,1),"x0x1x2x3x4x5x6x7x8x9"))),OR(4&gt;LEN(L691),MID(L691,4,1)=".",ISNUMBER(FIND("x"&amp;MID(L691,4,1),"x0x1x2x3x4x5x6x7x8x9"))),OR(5&gt;LEN(L691),MID(L691,5,1)=".",ISNUMBER(FIND("x"&amp;MID(L691,5,1),"x0x1x2x3x4x5x6x7x8x9"))),OR(6&gt;LEN(L691),MID(L691,6,1)=".",ISNUMBER(FIND("x"&amp;MID(L691,6,1),"x0x1x2x3x4x5x6x7x8x9"))),OR(7&gt;LEN(L691),MID(L691,7,1)=".",ISNUMBER(FIND("x"&amp;MID(L691,7,1),"x0x1x2x3x4x5x6x7x8x9"))),OR(8&gt;LEN(L691),MID(L691,8,1)=".",ISNUMBER(FIND("x"&amp;MID(L691,8,1),"x0x1x2x3x4x5x6x7x8x9"))),OR(9&gt;LEN(L691),MID(L691,9,1)=".",ISNUMBER(FIND("x"&amp;MID(L691,9,1),"x0x1x2x3x4x5x6x7x8x9"))),OR(10&gt;LEN(L691),MID(L691,10,1)=".",ISNUMBER(FIND("x"&amp;MID(L691,10,1),"x0x1x2x3x4x5x6x7x8x9"))),OR(AND(FIND(".",L691)=5,LEN(L691)-FIND(".",L691,FIND(".",L691)+1)&gt;=1,LEN(L691)-FIND(".",L691,FIND(".",L691)+1)&lt;=2),AND(LEN(L691)-FIND(".",L691,FIND(".",L691)+1)=4,FIND(".",L691)&gt;=2,FIND(".",L691)&lt;=3)),FIND(".",L691,FIND(".",L691)+1)-FIND(".",L691)&gt;=2,FIND(".",L691,FIND(".",L691)+1)-FIND(".",L691)&lt;=3,P691&gt;=2000,P691&lt;=2100,YEAR(S691)=P691,MONTH(S691)=Q691,DAY(S691)=R691),S691,0)),0)</ns0:f>
        <ns0:v>0</ns0:v>
      </ns0:c>
      <ns0:c r="U691" s="0" t="str">
        <ns0:f>IF(Bookings!C691="","Full day",Bookings!C691)</ns0:f>
        <ns0:v>Full day</ns0:v>
      </ns0:c>
      <ns0:c r="V691" s="0" t="str">
        <ns0:f>IF(Bookings!E691="","Full day",Bookings!E691)</ns0:f>
        <ns0:v>Full day</ns0:v>
      </ns0:c>
      <ns0:c r="W691" s="0">
        <ns0:f>IF(J691=0,0,J691+IF(U691="PM",1,0))</ns0:f>
        <ns0:v>0</ns0:v>
      </ns0:c>
      <ns0:c r="X691" s="0">
        <ns0:f>IF(T691=0,0,T691-IF(V691="PM",1,0))</ns0:f>
        <ns0:v>0</ns0:v>
      </ns0:c>
      <ns0:c r="Y691" s="0">
        <ns0:f>IF(J691=0,0,J691+IF(U691="AM",1,0))</ns0:f>
        <ns0:v>0</ns0:v>
      </ns0:c>
      <ns0:c r="Z691" s="0">
        <ns0:f>IF(T691=0,0,T691-IF(V691="AM",1,0))</ns0:f>
        <ns0:v>0</ns0:v>
      </ns0:c>
      <ns0:c r="AA691" s="0">
        <ns0:f>IFERROR(IF(AND(J691&gt;0,'_Engine'!C691&gt;0,MID('_Engine'!W691,WEEKDAY(J691,2),1)="W",COUNTIF(Settings!$F$18:$F$67,J691)=0),1,0),0)</ns0:f>
        <ns0:v>0</ns0:v>
      </ns0:c>
      <ns0:c r="AB691" s="0">
        <ns0:f>IFERROR(IF(AND(T691&gt;0,'_Engine'!C691&gt;0,MID('_Engine'!W691,WEEKDAY(T691,2),1)="W",COUNTIF(Settings!$F$18:$F$67,T691)=0),1,0),0)</ns0:f>
        <ns0:v>0</ns0:v>
      </ns0:c>
      <ns0:c r="AC691" s="0">
        <ns0:f>IF(AND(J691&gt;0,T691&gt;0,W691&lt;=X691),1,0)</ns0:f>
        <ns0:v>0</ns0:v>
      </ns0:c>
      <ns0:c r="AD691" s="0">
        <ns0:f>IF(AND(J691&gt;0,T691&gt;0,Y691&lt;=Z691),1,0)</ns0:f>
        <ns0:v>0</ns0:v>
      </ns0:c>
    </ns0:row>
    <ns0:row r="692">
      <ns0:c r="A692" s="0">
        <ns0:f>IFERROR(IF(ISNUMBER(Bookings!B692),"",TRIM(Bookings!B692&amp;"")),"")</ns0:f>
      </ns0:c>
      <ns0:c r="B692" s="0">
        <ns0:f>IFERROR(SUBSTITUTE(SUBSTITUTE(A692,"/","."),"-","."),"")</ns0:f>
      </ns0:c>
      <ns0:c r="C692" s="0">
        <ns0:f>IFERROR(LEFT(B692,FIND(".",B692)-1),"")</ns0:f>
      </ns0:c>
      <ns0:c r="D692" s="0">
        <ns0:f>IFERROR(MID(B692,FIND(".",B692)+1,FIND(".",B692,FIND(".",B692)+1)-FIND(".",B692)-1),"")</ns0:f>
      </ns0:c>
      <ns0:c r="E692" s="0">
        <ns0:f>IFERROR(MID(B692,FIND(".",B692,FIND(".",B692)+1)+1,99),"")</ns0:f>
        <ns0:v>99</ns0:v>
      </ns0:c>
      <ns0:c r="F692" s="0">
        <ns0:f>IFERROR(IF(FIND(".",B692)=5,--C692,--E692),0)</ns0:f>
        <ns0:v>0</ns0:v>
      </ns0:c>
      <ns0:c r="G692" s="0">
        <ns0:f>IFERROR(--D692,0)</ns0:f>
        <ns0:v>0</ns0:v>
      </ns0:c>
      <ns0:c r="H692" s="0">
        <ns0:f>IFERROR(IF(FIND(".",B692)=5,--E692,--C692),0)</ns0:f>
        <ns0:v>0</ns0:v>
      </ns0:c>
      <ns0:c r="I692" s="0">
        <ns0:f>IFERROR(IF(AND(F692&gt;=2000,F692&lt;=2100,G692&gt;=1,G692&lt;=12,H692&gt;=1,H692&lt;=31),DATE(F692,G692,H692),0),0)</ns0:f>
        <ns0:v>0</ns0:v>
      </ns0:c>
      <ns0:c r="J692" s="0">
        <ns0:f>IFERROR(IF(ISNUMBER(Bookings!B692),IF(AND(Bookings!B692=INT(Bookings!B692),Bookings!B692&gt;=DATE(2000,1,1),Bookings!B692&lt;=DATE(2100,12,31)),Bookings!B692,0),IF(AND(A692&lt;&gt;"",LEN("x"&amp;B692)-LEN(SUBSTITUTE("x"&amp;B692,".",""))=2,OR(1&gt;LEN(B692),MID(B692,1,1)=".",ISNUMBER(FIND("x"&amp;MID(B692,1,1),"x0x1x2x3x4x5x6x7x8x9"))),OR(2&gt;LEN(B692),MID(B692,2,1)=".",ISNUMBER(FIND("x"&amp;MID(B692,2,1),"x0x1x2x3x4x5x6x7x8x9"))),OR(3&gt;LEN(B692),MID(B692,3,1)=".",ISNUMBER(FIND("x"&amp;MID(B692,3,1),"x0x1x2x3x4x5x6x7x8x9"))),OR(4&gt;LEN(B692),MID(B692,4,1)=".",ISNUMBER(FIND("x"&amp;MID(B692,4,1),"x0x1x2x3x4x5x6x7x8x9"))),OR(5&gt;LEN(B692),MID(B692,5,1)=".",ISNUMBER(FIND("x"&amp;MID(B692,5,1),"x0x1x2x3x4x5x6x7x8x9"))),OR(6&gt;LEN(B692),MID(B692,6,1)=".",ISNUMBER(FIND("x"&amp;MID(B692,6,1),"x0x1x2x3x4x5x6x7x8x9"))),OR(7&gt;LEN(B692),MID(B692,7,1)=".",ISNUMBER(FIND("x"&amp;MID(B692,7,1),"x0x1x2x3x4x5x6x7x8x9"))),OR(8&gt;LEN(B692),MID(B692,8,1)=".",ISNUMBER(FIND("x"&amp;MID(B692,8,1),"x0x1x2x3x4x5x6x7x8x9"))),OR(9&gt;LEN(B692),MID(B692,9,1)=".",ISNUMBER(FIND("x"&amp;MID(B692,9,1),"x0x1x2x3x4x5x6x7x8x9"))),OR(10&gt;LEN(B692),MID(B692,10,1)=".",ISNUMBER(FIND("x"&amp;MID(B692,10,1),"x0x1x2x3x4x5x6x7x8x9"))),OR(AND(FIND(".",B692)=5,LEN(B692)-FIND(".",B692,FIND(".",B692)+1)&gt;=1,LEN(B692)-FIND(".",B692,FIND(".",B692)+1)&lt;=2),AND(LEN(B692)-FIND(".",B692,FIND(".",B692)+1)=4,FIND(".",B692)&gt;=2,FIND(".",B692)&lt;=3)),FIND(".",B692,FIND(".",B692)+1)-FIND(".",B692)&gt;=2,FIND(".",B692,FIND(".",B692)+1)-FIND(".",B692)&lt;=3,F692&gt;=2000,F692&lt;=2100,YEAR(I692)=F692,MONTH(I692)=G692,DAY(I692)=H692),I692,0)),0)</ns0:f>
        <ns0:v>0</ns0:v>
      </ns0:c>
      <ns0:c r="K692" s="0">
        <ns0:f>IFERROR(IF(ISNUMBER(Bookings!D692),"",TRIM(Bookings!D692&amp;"")),"")</ns0:f>
      </ns0:c>
      <ns0:c r="L692" s="0">
        <ns0:f>IFERROR(SUBSTITUTE(SUBSTITUTE(K692,"/","."),"-","."),"")</ns0:f>
      </ns0:c>
      <ns0:c r="M692" s="0">
        <ns0:f>IFERROR(LEFT(L692,FIND(".",L692)-1),"")</ns0:f>
      </ns0:c>
      <ns0:c r="N692" s="0">
        <ns0:f>IFERROR(MID(L692,FIND(".",L692)+1,FIND(".",L692,FIND(".",L692)+1)-FIND(".",L692)-1),"")</ns0:f>
      </ns0:c>
      <ns0:c r="O692" s="0">
        <ns0:f>IFERROR(MID(L692,FIND(".",L692,FIND(".",L692)+1)+1,99),"")</ns0:f>
        <ns0:v>99</ns0:v>
      </ns0:c>
      <ns0:c r="P692" s="0">
        <ns0:f>IFERROR(IF(FIND(".",L692)=5,--M692,--O692),0)</ns0:f>
        <ns0:v>0</ns0:v>
      </ns0:c>
      <ns0:c r="Q692" s="0">
        <ns0:f>IFERROR(--N692,0)</ns0:f>
        <ns0:v>0</ns0:v>
      </ns0:c>
      <ns0:c r="R692" s="0">
        <ns0:f>IFERROR(IF(FIND(".",L692)=5,--O692,--M692),0)</ns0:f>
        <ns0:v>0</ns0:v>
      </ns0:c>
      <ns0:c r="S692" s="0">
        <ns0:f>IFERROR(IF(AND(P692&gt;=2000,P692&lt;=2100,Q692&gt;=1,Q692&lt;=12,R692&gt;=1,R692&lt;=31),DATE(P692,Q692,R692),0),0)</ns0:f>
        <ns0:v>0</ns0:v>
      </ns0:c>
      <ns0:c r="T692" s="0">
        <ns0:f>IFERROR(IF(ISNUMBER(Bookings!D692),IF(AND(Bookings!D692=INT(Bookings!D692),Bookings!D692&gt;=DATE(2000,1,1),Bookings!D692&lt;=DATE(2100,12,31)),Bookings!D692,0),IF(AND(K692&lt;&gt;"",LEN("x"&amp;L692)-LEN(SUBSTITUTE("x"&amp;L692,".",""))=2,OR(1&gt;LEN(L692),MID(L692,1,1)=".",ISNUMBER(FIND("x"&amp;MID(L692,1,1),"x0x1x2x3x4x5x6x7x8x9"))),OR(2&gt;LEN(L692),MID(L692,2,1)=".",ISNUMBER(FIND("x"&amp;MID(L692,2,1),"x0x1x2x3x4x5x6x7x8x9"))),OR(3&gt;LEN(L692),MID(L692,3,1)=".",ISNUMBER(FIND("x"&amp;MID(L692,3,1),"x0x1x2x3x4x5x6x7x8x9"))),OR(4&gt;LEN(L692),MID(L692,4,1)=".",ISNUMBER(FIND("x"&amp;MID(L692,4,1),"x0x1x2x3x4x5x6x7x8x9"))),OR(5&gt;LEN(L692),MID(L692,5,1)=".",ISNUMBER(FIND("x"&amp;MID(L692,5,1),"x0x1x2x3x4x5x6x7x8x9"))),OR(6&gt;LEN(L692),MID(L692,6,1)=".",ISNUMBER(FIND("x"&amp;MID(L692,6,1),"x0x1x2x3x4x5x6x7x8x9"))),OR(7&gt;LEN(L692),MID(L692,7,1)=".",ISNUMBER(FIND("x"&amp;MID(L692,7,1),"x0x1x2x3x4x5x6x7x8x9"))),OR(8&gt;LEN(L692),MID(L692,8,1)=".",ISNUMBER(FIND("x"&amp;MID(L692,8,1),"x0x1x2x3x4x5x6x7x8x9"))),OR(9&gt;LEN(L692),MID(L692,9,1)=".",ISNUMBER(FIND("x"&amp;MID(L692,9,1),"x0x1x2x3x4x5x6x7x8x9"))),OR(10&gt;LEN(L692),MID(L692,10,1)=".",ISNUMBER(FIND("x"&amp;MID(L692,10,1),"x0x1x2x3x4x5x6x7x8x9"))),OR(AND(FIND(".",L692)=5,LEN(L692)-FIND(".",L692,FIND(".",L692)+1)&gt;=1,LEN(L692)-FIND(".",L692,FIND(".",L692)+1)&lt;=2),AND(LEN(L692)-FIND(".",L692,FIND(".",L692)+1)=4,FIND(".",L692)&gt;=2,FIND(".",L692)&lt;=3)),FIND(".",L692,FIND(".",L692)+1)-FIND(".",L692)&gt;=2,FIND(".",L692,FIND(".",L692)+1)-FIND(".",L692)&lt;=3,P692&gt;=2000,P692&lt;=2100,YEAR(S692)=P692,MONTH(S692)=Q692,DAY(S692)=R692),S692,0)),0)</ns0:f>
        <ns0:v>0</ns0:v>
      </ns0:c>
      <ns0:c r="U692" s="0" t="str">
        <ns0:f>IF(Bookings!C692="","Full day",Bookings!C692)</ns0:f>
        <ns0:v>Full day</ns0:v>
      </ns0:c>
      <ns0:c r="V692" s="0" t="str">
        <ns0:f>IF(Bookings!E692="","Full day",Bookings!E692)</ns0:f>
        <ns0:v>Full day</ns0:v>
      </ns0:c>
      <ns0:c r="W692" s="0">
        <ns0:f>IF(J692=0,0,J692+IF(U692="PM",1,0))</ns0:f>
        <ns0:v>0</ns0:v>
      </ns0:c>
      <ns0:c r="X692" s="0">
        <ns0:f>IF(T692=0,0,T692-IF(V692="PM",1,0))</ns0:f>
        <ns0:v>0</ns0:v>
      </ns0:c>
      <ns0:c r="Y692" s="0">
        <ns0:f>IF(J692=0,0,J692+IF(U692="AM",1,0))</ns0:f>
        <ns0:v>0</ns0:v>
      </ns0:c>
      <ns0:c r="Z692" s="0">
        <ns0:f>IF(T692=0,0,T692-IF(V692="AM",1,0))</ns0:f>
        <ns0:v>0</ns0:v>
      </ns0:c>
      <ns0:c r="AA692" s="0">
        <ns0:f>IFERROR(IF(AND(J692&gt;0,'_Engine'!C692&gt;0,MID('_Engine'!W692,WEEKDAY(J692,2),1)="W",COUNTIF(Settings!$F$18:$F$67,J692)=0),1,0),0)</ns0:f>
        <ns0:v>0</ns0:v>
      </ns0:c>
      <ns0:c r="AB692" s="0">
        <ns0:f>IFERROR(IF(AND(T692&gt;0,'_Engine'!C692&gt;0,MID('_Engine'!W692,WEEKDAY(T692,2),1)="W",COUNTIF(Settings!$F$18:$F$67,T692)=0),1,0),0)</ns0:f>
        <ns0:v>0</ns0:v>
      </ns0:c>
      <ns0:c r="AC692" s="0">
        <ns0:f>IF(AND(J692&gt;0,T692&gt;0,W692&lt;=X692),1,0)</ns0:f>
        <ns0:v>0</ns0:v>
      </ns0:c>
      <ns0:c r="AD692" s="0">
        <ns0:f>IF(AND(J692&gt;0,T692&gt;0,Y692&lt;=Z692),1,0)</ns0:f>
        <ns0:v>0</ns0:v>
      </ns0:c>
    </ns0:row>
    <ns0:row r="693">
      <ns0:c r="A693" s="0">
        <ns0:f>IFERROR(IF(ISNUMBER(Bookings!B693),"",TRIM(Bookings!B693&amp;"")),"")</ns0:f>
      </ns0:c>
      <ns0:c r="B693" s="0">
        <ns0:f>IFERROR(SUBSTITUTE(SUBSTITUTE(A693,"/","."),"-","."),"")</ns0:f>
      </ns0:c>
      <ns0:c r="C693" s="0">
        <ns0:f>IFERROR(LEFT(B693,FIND(".",B693)-1),"")</ns0:f>
      </ns0:c>
      <ns0:c r="D693" s="0">
        <ns0:f>IFERROR(MID(B693,FIND(".",B693)+1,FIND(".",B693,FIND(".",B693)+1)-FIND(".",B693)-1),"")</ns0:f>
      </ns0:c>
      <ns0:c r="E693" s="0">
        <ns0:f>IFERROR(MID(B693,FIND(".",B693,FIND(".",B693)+1)+1,99),"")</ns0:f>
        <ns0:v>99</ns0:v>
      </ns0:c>
      <ns0:c r="F693" s="0">
        <ns0:f>IFERROR(IF(FIND(".",B693)=5,--C693,--E693),0)</ns0:f>
        <ns0:v>0</ns0:v>
      </ns0:c>
      <ns0:c r="G693" s="0">
        <ns0:f>IFERROR(--D693,0)</ns0:f>
        <ns0:v>0</ns0:v>
      </ns0:c>
      <ns0:c r="H693" s="0">
        <ns0:f>IFERROR(IF(FIND(".",B693)=5,--E693,--C693),0)</ns0:f>
        <ns0:v>0</ns0:v>
      </ns0:c>
      <ns0:c r="I693" s="0">
        <ns0:f>IFERROR(IF(AND(F693&gt;=2000,F693&lt;=2100,G693&gt;=1,G693&lt;=12,H693&gt;=1,H693&lt;=31),DATE(F693,G693,H693),0),0)</ns0:f>
        <ns0:v>0</ns0:v>
      </ns0:c>
      <ns0:c r="J693" s="0">
        <ns0:f>IFERROR(IF(ISNUMBER(Bookings!B693),IF(AND(Bookings!B693=INT(Bookings!B693),Bookings!B693&gt;=DATE(2000,1,1),Bookings!B693&lt;=DATE(2100,12,31)),Bookings!B693,0),IF(AND(A693&lt;&gt;"",LEN("x"&amp;B693)-LEN(SUBSTITUTE("x"&amp;B693,".",""))=2,OR(1&gt;LEN(B693),MID(B693,1,1)=".",ISNUMBER(FIND("x"&amp;MID(B693,1,1),"x0x1x2x3x4x5x6x7x8x9"))),OR(2&gt;LEN(B693),MID(B693,2,1)=".",ISNUMBER(FIND("x"&amp;MID(B693,2,1),"x0x1x2x3x4x5x6x7x8x9"))),OR(3&gt;LEN(B693),MID(B693,3,1)=".",ISNUMBER(FIND("x"&amp;MID(B693,3,1),"x0x1x2x3x4x5x6x7x8x9"))),OR(4&gt;LEN(B693),MID(B693,4,1)=".",ISNUMBER(FIND("x"&amp;MID(B693,4,1),"x0x1x2x3x4x5x6x7x8x9"))),OR(5&gt;LEN(B693),MID(B693,5,1)=".",ISNUMBER(FIND("x"&amp;MID(B693,5,1),"x0x1x2x3x4x5x6x7x8x9"))),OR(6&gt;LEN(B693),MID(B693,6,1)=".",ISNUMBER(FIND("x"&amp;MID(B693,6,1),"x0x1x2x3x4x5x6x7x8x9"))),OR(7&gt;LEN(B693),MID(B693,7,1)=".",ISNUMBER(FIND("x"&amp;MID(B693,7,1),"x0x1x2x3x4x5x6x7x8x9"))),OR(8&gt;LEN(B693),MID(B693,8,1)=".",ISNUMBER(FIND("x"&amp;MID(B693,8,1),"x0x1x2x3x4x5x6x7x8x9"))),OR(9&gt;LEN(B693),MID(B693,9,1)=".",ISNUMBER(FIND("x"&amp;MID(B693,9,1),"x0x1x2x3x4x5x6x7x8x9"))),OR(10&gt;LEN(B693),MID(B693,10,1)=".",ISNUMBER(FIND("x"&amp;MID(B693,10,1),"x0x1x2x3x4x5x6x7x8x9"))),OR(AND(FIND(".",B693)=5,LEN(B693)-FIND(".",B693,FIND(".",B693)+1)&gt;=1,LEN(B693)-FIND(".",B693,FIND(".",B693)+1)&lt;=2),AND(LEN(B693)-FIND(".",B693,FIND(".",B693)+1)=4,FIND(".",B693)&gt;=2,FIND(".",B693)&lt;=3)),FIND(".",B693,FIND(".",B693)+1)-FIND(".",B693)&gt;=2,FIND(".",B693,FIND(".",B693)+1)-FIND(".",B693)&lt;=3,F693&gt;=2000,F693&lt;=2100,YEAR(I693)=F693,MONTH(I693)=G693,DAY(I693)=H693),I693,0)),0)</ns0:f>
        <ns0:v>0</ns0:v>
      </ns0:c>
      <ns0:c r="K693" s="0">
        <ns0:f>IFERROR(IF(ISNUMBER(Bookings!D693),"",TRIM(Bookings!D693&amp;"")),"")</ns0:f>
      </ns0:c>
      <ns0:c r="L693" s="0">
        <ns0:f>IFERROR(SUBSTITUTE(SUBSTITUTE(K693,"/","."),"-","."),"")</ns0:f>
      </ns0:c>
      <ns0:c r="M693" s="0">
        <ns0:f>IFERROR(LEFT(L693,FIND(".",L693)-1),"")</ns0:f>
      </ns0:c>
      <ns0:c r="N693" s="0">
        <ns0:f>IFERROR(MID(L693,FIND(".",L693)+1,FIND(".",L693,FIND(".",L693)+1)-FIND(".",L693)-1),"")</ns0:f>
      </ns0:c>
      <ns0:c r="O693" s="0">
        <ns0:f>IFERROR(MID(L693,FIND(".",L693,FIND(".",L693)+1)+1,99),"")</ns0:f>
        <ns0:v>99</ns0:v>
      </ns0:c>
      <ns0:c r="P693" s="0">
        <ns0:f>IFERROR(IF(FIND(".",L693)=5,--M693,--O693),0)</ns0:f>
        <ns0:v>0</ns0:v>
      </ns0:c>
      <ns0:c r="Q693" s="0">
        <ns0:f>IFERROR(--N693,0)</ns0:f>
        <ns0:v>0</ns0:v>
      </ns0:c>
      <ns0:c r="R693" s="0">
        <ns0:f>IFERROR(IF(FIND(".",L693)=5,--O693,--M693),0)</ns0:f>
        <ns0:v>0</ns0:v>
      </ns0:c>
      <ns0:c r="S693" s="0">
        <ns0:f>IFERROR(IF(AND(P693&gt;=2000,P693&lt;=2100,Q693&gt;=1,Q693&lt;=12,R693&gt;=1,R693&lt;=31),DATE(P693,Q693,R693),0),0)</ns0:f>
        <ns0:v>0</ns0:v>
      </ns0:c>
      <ns0:c r="T693" s="0">
        <ns0:f>IFERROR(IF(ISNUMBER(Bookings!D693),IF(AND(Bookings!D693=INT(Bookings!D693),Bookings!D693&gt;=DATE(2000,1,1),Bookings!D693&lt;=DATE(2100,12,31)),Bookings!D693,0),IF(AND(K693&lt;&gt;"",LEN("x"&amp;L693)-LEN(SUBSTITUTE("x"&amp;L693,".",""))=2,OR(1&gt;LEN(L693),MID(L693,1,1)=".",ISNUMBER(FIND("x"&amp;MID(L693,1,1),"x0x1x2x3x4x5x6x7x8x9"))),OR(2&gt;LEN(L693),MID(L693,2,1)=".",ISNUMBER(FIND("x"&amp;MID(L693,2,1),"x0x1x2x3x4x5x6x7x8x9"))),OR(3&gt;LEN(L693),MID(L693,3,1)=".",ISNUMBER(FIND("x"&amp;MID(L693,3,1),"x0x1x2x3x4x5x6x7x8x9"))),OR(4&gt;LEN(L693),MID(L693,4,1)=".",ISNUMBER(FIND("x"&amp;MID(L693,4,1),"x0x1x2x3x4x5x6x7x8x9"))),OR(5&gt;LEN(L693),MID(L693,5,1)=".",ISNUMBER(FIND("x"&amp;MID(L693,5,1),"x0x1x2x3x4x5x6x7x8x9"))),OR(6&gt;LEN(L693),MID(L693,6,1)=".",ISNUMBER(FIND("x"&amp;MID(L693,6,1),"x0x1x2x3x4x5x6x7x8x9"))),OR(7&gt;LEN(L693),MID(L693,7,1)=".",ISNUMBER(FIND("x"&amp;MID(L693,7,1),"x0x1x2x3x4x5x6x7x8x9"))),OR(8&gt;LEN(L693),MID(L693,8,1)=".",ISNUMBER(FIND("x"&amp;MID(L693,8,1),"x0x1x2x3x4x5x6x7x8x9"))),OR(9&gt;LEN(L693),MID(L693,9,1)=".",ISNUMBER(FIND("x"&amp;MID(L693,9,1),"x0x1x2x3x4x5x6x7x8x9"))),OR(10&gt;LEN(L693),MID(L693,10,1)=".",ISNUMBER(FIND("x"&amp;MID(L693,10,1),"x0x1x2x3x4x5x6x7x8x9"))),OR(AND(FIND(".",L693)=5,LEN(L693)-FIND(".",L693,FIND(".",L693)+1)&gt;=1,LEN(L693)-FIND(".",L693,FIND(".",L693)+1)&lt;=2),AND(LEN(L693)-FIND(".",L693,FIND(".",L693)+1)=4,FIND(".",L693)&gt;=2,FIND(".",L693)&lt;=3)),FIND(".",L693,FIND(".",L693)+1)-FIND(".",L693)&gt;=2,FIND(".",L693,FIND(".",L693)+1)-FIND(".",L693)&lt;=3,P693&gt;=2000,P693&lt;=2100,YEAR(S693)=P693,MONTH(S693)=Q693,DAY(S693)=R693),S693,0)),0)</ns0:f>
        <ns0:v>0</ns0:v>
      </ns0:c>
      <ns0:c r="U693" s="0" t="str">
        <ns0:f>IF(Bookings!C693="","Full day",Bookings!C693)</ns0:f>
        <ns0:v>Full day</ns0:v>
      </ns0:c>
      <ns0:c r="V693" s="0" t="str">
        <ns0:f>IF(Bookings!E693="","Full day",Bookings!E693)</ns0:f>
        <ns0:v>Full day</ns0:v>
      </ns0:c>
      <ns0:c r="W693" s="0">
        <ns0:f>IF(J693=0,0,J693+IF(U693="PM",1,0))</ns0:f>
        <ns0:v>0</ns0:v>
      </ns0:c>
      <ns0:c r="X693" s="0">
        <ns0:f>IF(T693=0,0,T693-IF(V693="PM",1,0))</ns0:f>
        <ns0:v>0</ns0:v>
      </ns0:c>
      <ns0:c r="Y693" s="0">
        <ns0:f>IF(J693=0,0,J693+IF(U693="AM",1,0))</ns0:f>
        <ns0:v>0</ns0:v>
      </ns0:c>
      <ns0:c r="Z693" s="0">
        <ns0:f>IF(T693=0,0,T693-IF(V693="AM",1,0))</ns0:f>
        <ns0:v>0</ns0:v>
      </ns0:c>
      <ns0:c r="AA693" s="0">
        <ns0:f>IFERROR(IF(AND(J693&gt;0,'_Engine'!C693&gt;0,MID('_Engine'!W693,WEEKDAY(J693,2),1)="W",COUNTIF(Settings!$F$18:$F$67,J693)=0),1,0),0)</ns0:f>
        <ns0:v>0</ns0:v>
      </ns0:c>
      <ns0:c r="AB693" s="0">
        <ns0:f>IFERROR(IF(AND(T693&gt;0,'_Engine'!C693&gt;0,MID('_Engine'!W693,WEEKDAY(T693,2),1)="W",COUNTIF(Settings!$F$18:$F$67,T693)=0),1,0),0)</ns0:f>
        <ns0:v>0</ns0:v>
      </ns0:c>
      <ns0:c r="AC693" s="0">
        <ns0:f>IF(AND(J693&gt;0,T693&gt;0,W693&lt;=X693),1,0)</ns0:f>
        <ns0:v>0</ns0:v>
      </ns0:c>
      <ns0:c r="AD693" s="0">
        <ns0:f>IF(AND(J693&gt;0,T693&gt;0,Y693&lt;=Z693),1,0)</ns0:f>
        <ns0:v>0</ns0:v>
      </ns0:c>
    </ns0:row>
    <ns0:row r="694">
      <ns0:c r="A694" s="0">
        <ns0:f>IFERROR(IF(ISNUMBER(Bookings!B694),"",TRIM(Bookings!B694&amp;"")),"")</ns0:f>
      </ns0:c>
      <ns0:c r="B694" s="0">
        <ns0:f>IFERROR(SUBSTITUTE(SUBSTITUTE(A694,"/","."),"-","."),"")</ns0:f>
      </ns0:c>
      <ns0:c r="C694" s="0">
        <ns0:f>IFERROR(LEFT(B694,FIND(".",B694)-1),"")</ns0:f>
      </ns0:c>
      <ns0:c r="D694" s="0">
        <ns0:f>IFERROR(MID(B694,FIND(".",B694)+1,FIND(".",B694,FIND(".",B694)+1)-FIND(".",B694)-1),"")</ns0:f>
      </ns0:c>
      <ns0:c r="E694" s="0">
        <ns0:f>IFERROR(MID(B694,FIND(".",B694,FIND(".",B694)+1)+1,99),"")</ns0:f>
        <ns0:v>99</ns0:v>
      </ns0:c>
      <ns0:c r="F694" s="0">
        <ns0:f>IFERROR(IF(FIND(".",B694)=5,--C694,--E694),0)</ns0:f>
        <ns0:v>0</ns0:v>
      </ns0:c>
      <ns0:c r="G694" s="0">
        <ns0:f>IFERROR(--D694,0)</ns0:f>
        <ns0:v>0</ns0:v>
      </ns0:c>
      <ns0:c r="H694" s="0">
        <ns0:f>IFERROR(IF(FIND(".",B694)=5,--E694,--C694),0)</ns0:f>
        <ns0:v>0</ns0:v>
      </ns0:c>
      <ns0:c r="I694" s="0">
        <ns0:f>IFERROR(IF(AND(F694&gt;=2000,F694&lt;=2100,G694&gt;=1,G694&lt;=12,H694&gt;=1,H694&lt;=31),DATE(F694,G694,H694),0),0)</ns0:f>
        <ns0:v>0</ns0:v>
      </ns0:c>
      <ns0:c r="J694" s="0">
        <ns0:f>IFERROR(IF(ISNUMBER(Bookings!B694),IF(AND(Bookings!B694=INT(Bookings!B694),Bookings!B694&gt;=DATE(2000,1,1),Bookings!B694&lt;=DATE(2100,12,31)),Bookings!B694,0),IF(AND(A694&lt;&gt;"",LEN("x"&amp;B694)-LEN(SUBSTITUTE("x"&amp;B694,".",""))=2,OR(1&gt;LEN(B694),MID(B694,1,1)=".",ISNUMBER(FIND("x"&amp;MID(B694,1,1),"x0x1x2x3x4x5x6x7x8x9"))),OR(2&gt;LEN(B694),MID(B694,2,1)=".",ISNUMBER(FIND("x"&amp;MID(B694,2,1),"x0x1x2x3x4x5x6x7x8x9"))),OR(3&gt;LEN(B694),MID(B694,3,1)=".",ISNUMBER(FIND("x"&amp;MID(B694,3,1),"x0x1x2x3x4x5x6x7x8x9"))),OR(4&gt;LEN(B694),MID(B694,4,1)=".",ISNUMBER(FIND("x"&amp;MID(B694,4,1),"x0x1x2x3x4x5x6x7x8x9"))),OR(5&gt;LEN(B694),MID(B694,5,1)=".",ISNUMBER(FIND("x"&amp;MID(B694,5,1),"x0x1x2x3x4x5x6x7x8x9"))),OR(6&gt;LEN(B694),MID(B694,6,1)=".",ISNUMBER(FIND("x"&amp;MID(B694,6,1),"x0x1x2x3x4x5x6x7x8x9"))),OR(7&gt;LEN(B694),MID(B694,7,1)=".",ISNUMBER(FIND("x"&amp;MID(B694,7,1),"x0x1x2x3x4x5x6x7x8x9"))),OR(8&gt;LEN(B694),MID(B694,8,1)=".",ISNUMBER(FIND("x"&amp;MID(B694,8,1),"x0x1x2x3x4x5x6x7x8x9"))),OR(9&gt;LEN(B694),MID(B694,9,1)=".",ISNUMBER(FIND("x"&amp;MID(B694,9,1),"x0x1x2x3x4x5x6x7x8x9"))),OR(10&gt;LEN(B694),MID(B694,10,1)=".",ISNUMBER(FIND("x"&amp;MID(B694,10,1),"x0x1x2x3x4x5x6x7x8x9"))),OR(AND(FIND(".",B694)=5,LEN(B694)-FIND(".",B694,FIND(".",B694)+1)&gt;=1,LEN(B694)-FIND(".",B694,FIND(".",B694)+1)&lt;=2),AND(LEN(B694)-FIND(".",B694,FIND(".",B694)+1)=4,FIND(".",B694)&gt;=2,FIND(".",B694)&lt;=3)),FIND(".",B694,FIND(".",B694)+1)-FIND(".",B694)&gt;=2,FIND(".",B694,FIND(".",B694)+1)-FIND(".",B694)&lt;=3,F694&gt;=2000,F694&lt;=2100,YEAR(I694)=F694,MONTH(I694)=G694,DAY(I694)=H694),I694,0)),0)</ns0:f>
        <ns0:v>0</ns0:v>
      </ns0:c>
      <ns0:c r="K694" s="0">
        <ns0:f>IFERROR(IF(ISNUMBER(Bookings!D694),"",TRIM(Bookings!D694&amp;"")),"")</ns0:f>
      </ns0:c>
      <ns0:c r="L694" s="0">
        <ns0:f>IFERROR(SUBSTITUTE(SUBSTITUTE(K694,"/","."),"-","."),"")</ns0:f>
      </ns0:c>
      <ns0:c r="M694" s="0">
        <ns0:f>IFERROR(LEFT(L694,FIND(".",L694)-1),"")</ns0:f>
      </ns0:c>
      <ns0:c r="N694" s="0">
        <ns0:f>IFERROR(MID(L694,FIND(".",L694)+1,FIND(".",L694,FIND(".",L694)+1)-FIND(".",L694)-1),"")</ns0:f>
      </ns0:c>
      <ns0:c r="O694" s="0">
        <ns0:f>IFERROR(MID(L694,FIND(".",L694,FIND(".",L694)+1)+1,99),"")</ns0:f>
        <ns0:v>99</ns0:v>
      </ns0:c>
      <ns0:c r="P694" s="0">
        <ns0:f>IFERROR(IF(FIND(".",L694)=5,--M694,--O694),0)</ns0:f>
        <ns0:v>0</ns0:v>
      </ns0:c>
      <ns0:c r="Q694" s="0">
        <ns0:f>IFERROR(--N694,0)</ns0:f>
        <ns0:v>0</ns0:v>
      </ns0:c>
      <ns0:c r="R694" s="0">
        <ns0:f>IFERROR(IF(FIND(".",L694)=5,--O694,--M694),0)</ns0:f>
        <ns0:v>0</ns0:v>
      </ns0:c>
      <ns0:c r="S694" s="0">
        <ns0:f>IFERROR(IF(AND(P694&gt;=2000,P694&lt;=2100,Q694&gt;=1,Q694&lt;=12,R694&gt;=1,R694&lt;=31),DATE(P694,Q694,R694),0),0)</ns0:f>
        <ns0:v>0</ns0:v>
      </ns0:c>
      <ns0:c r="T694" s="0">
        <ns0:f>IFERROR(IF(ISNUMBER(Bookings!D694),IF(AND(Bookings!D694=INT(Bookings!D694),Bookings!D694&gt;=DATE(2000,1,1),Bookings!D694&lt;=DATE(2100,12,31)),Bookings!D694,0),IF(AND(K694&lt;&gt;"",LEN("x"&amp;L694)-LEN(SUBSTITUTE("x"&amp;L694,".",""))=2,OR(1&gt;LEN(L694),MID(L694,1,1)=".",ISNUMBER(FIND("x"&amp;MID(L694,1,1),"x0x1x2x3x4x5x6x7x8x9"))),OR(2&gt;LEN(L694),MID(L694,2,1)=".",ISNUMBER(FIND("x"&amp;MID(L694,2,1),"x0x1x2x3x4x5x6x7x8x9"))),OR(3&gt;LEN(L694),MID(L694,3,1)=".",ISNUMBER(FIND("x"&amp;MID(L694,3,1),"x0x1x2x3x4x5x6x7x8x9"))),OR(4&gt;LEN(L694),MID(L694,4,1)=".",ISNUMBER(FIND("x"&amp;MID(L694,4,1),"x0x1x2x3x4x5x6x7x8x9"))),OR(5&gt;LEN(L694),MID(L694,5,1)=".",ISNUMBER(FIND("x"&amp;MID(L694,5,1),"x0x1x2x3x4x5x6x7x8x9"))),OR(6&gt;LEN(L694),MID(L694,6,1)=".",ISNUMBER(FIND("x"&amp;MID(L694,6,1),"x0x1x2x3x4x5x6x7x8x9"))),OR(7&gt;LEN(L694),MID(L694,7,1)=".",ISNUMBER(FIND("x"&amp;MID(L694,7,1),"x0x1x2x3x4x5x6x7x8x9"))),OR(8&gt;LEN(L694),MID(L694,8,1)=".",ISNUMBER(FIND("x"&amp;MID(L694,8,1),"x0x1x2x3x4x5x6x7x8x9"))),OR(9&gt;LEN(L694),MID(L694,9,1)=".",ISNUMBER(FIND("x"&amp;MID(L694,9,1),"x0x1x2x3x4x5x6x7x8x9"))),OR(10&gt;LEN(L694),MID(L694,10,1)=".",ISNUMBER(FIND("x"&amp;MID(L694,10,1),"x0x1x2x3x4x5x6x7x8x9"))),OR(AND(FIND(".",L694)=5,LEN(L694)-FIND(".",L694,FIND(".",L694)+1)&gt;=1,LEN(L694)-FIND(".",L694,FIND(".",L694)+1)&lt;=2),AND(LEN(L694)-FIND(".",L694,FIND(".",L694)+1)=4,FIND(".",L694)&gt;=2,FIND(".",L694)&lt;=3)),FIND(".",L694,FIND(".",L694)+1)-FIND(".",L694)&gt;=2,FIND(".",L694,FIND(".",L694)+1)-FIND(".",L694)&lt;=3,P694&gt;=2000,P694&lt;=2100,YEAR(S694)=P694,MONTH(S694)=Q694,DAY(S694)=R694),S694,0)),0)</ns0:f>
        <ns0:v>0</ns0:v>
      </ns0:c>
      <ns0:c r="U694" s="0" t="str">
        <ns0:f>IF(Bookings!C694="","Full day",Bookings!C694)</ns0:f>
        <ns0:v>Full day</ns0:v>
      </ns0:c>
      <ns0:c r="V694" s="0" t="str">
        <ns0:f>IF(Bookings!E694="","Full day",Bookings!E694)</ns0:f>
        <ns0:v>Full day</ns0:v>
      </ns0:c>
      <ns0:c r="W694" s="0">
        <ns0:f>IF(J694=0,0,J694+IF(U694="PM",1,0))</ns0:f>
        <ns0:v>0</ns0:v>
      </ns0:c>
      <ns0:c r="X694" s="0">
        <ns0:f>IF(T694=0,0,T694-IF(V694="PM",1,0))</ns0:f>
        <ns0:v>0</ns0:v>
      </ns0:c>
      <ns0:c r="Y694" s="0">
        <ns0:f>IF(J694=0,0,J694+IF(U694="AM",1,0))</ns0:f>
        <ns0:v>0</ns0:v>
      </ns0:c>
      <ns0:c r="Z694" s="0">
        <ns0:f>IF(T694=0,0,T694-IF(V694="AM",1,0))</ns0:f>
        <ns0:v>0</ns0:v>
      </ns0:c>
      <ns0:c r="AA694" s="0">
        <ns0:f>IFERROR(IF(AND(J694&gt;0,'_Engine'!C694&gt;0,MID('_Engine'!W694,WEEKDAY(J694,2),1)="W",COUNTIF(Settings!$F$18:$F$67,J694)=0),1,0),0)</ns0:f>
        <ns0:v>0</ns0:v>
      </ns0:c>
      <ns0:c r="AB694" s="0">
        <ns0:f>IFERROR(IF(AND(T694&gt;0,'_Engine'!C694&gt;0,MID('_Engine'!W694,WEEKDAY(T694,2),1)="W",COUNTIF(Settings!$F$18:$F$67,T694)=0),1,0),0)</ns0:f>
        <ns0:v>0</ns0:v>
      </ns0:c>
      <ns0:c r="AC694" s="0">
        <ns0:f>IF(AND(J694&gt;0,T694&gt;0,W694&lt;=X694),1,0)</ns0:f>
        <ns0:v>0</ns0:v>
      </ns0:c>
      <ns0:c r="AD694" s="0">
        <ns0:f>IF(AND(J694&gt;0,T694&gt;0,Y694&lt;=Z694),1,0)</ns0:f>
        <ns0:v>0</ns0:v>
      </ns0:c>
    </ns0:row>
    <ns0:row r="695">
      <ns0:c r="A695" s="0">
        <ns0:f>IFERROR(IF(ISNUMBER(Bookings!B695),"",TRIM(Bookings!B695&amp;"")),"")</ns0:f>
      </ns0:c>
      <ns0:c r="B695" s="0">
        <ns0:f>IFERROR(SUBSTITUTE(SUBSTITUTE(A695,"/","."),"-","."),"")</ns0:f>
      </ns0:c>
      <ns0:c r="C695" s="0">
        <ns0:f>IFERROR(LEFT(B695,FIND(".",B695)-1),"")</ns0:f>
      </ns0:c>
      <ns0:c r="D695" s="0">
        <ns0:f>IFERROR(MID(B695,FIND(".",B695)+1,FIND(".",B695,FIND(".",B695)+1)-FIND(".",B695)-1),"")</ns0:f>
      </ns0:c>
      <ns0:c r="E695" s="0">
        <ns0:f>IFERROR(MID(B695,FIND(".",B695,FIND(".",B695)+1)+1,99),"")</ns0:f>
        <ns0:v>99</ns0:v>
      </ns0:c>
      <ns0:c r="F695" s="0">
        <ns0:f>IFERROR(IF(FIND(".",B695)=5,--C695,--E695),0)</ns0:f>
        <ns0:v>0</ns0:v>
      </ns0:c>
      <ns0:c r="G695" s="0">
        <ns0:f>IFERROR(--D695,0)</ns0:f>
        <ns0:v>0</ns0:v>
      </ns0:c>
      <ns0:c r="H695" s="0">
        <ns0:f>IFERROR(IF(FIND(".",B695)=5,--E695,--C695),0)</ns0:f>
        <ns0:v>0</ns0:v>
      </ns0:c>
      <ns0:c r="I695" s="0">
        <ns0:f>IFERROR(IF(AND(F695&gt;=2000,F695&lt;=2100,G695&gt;=1,G695&lt;=12,H695&gt;=1,H695&lt;=31),DATE(F695,G695,H695),0),0)</ns0:f>
        <ns0:v>0</ns0:v>
      </ns0:c>
      <ns0:c r="J695" s="0">
        <ns0:f>IFERROR(IF(ISNUMBER(Bookings!B695),IF(AND(Bookings!B695=INT(Bookings!B695),Bookings!B695&gt;=DATE(2000,1,1),Bookings!B695&lt;=DATE(2100,12,31)),Bookings!B695,0),IF(AND(A695&lt;&gt;"",LEN("x"&amp;B695)-LEN(SUBSTITUTE("x"&amp;B695,".",""))=2,OR(1&gt;LEN(B695),MID(B695,1,1)=".",ISNUMBER(FIND("x"&amp;MID(B695,1,1),"x0x1x2x3x4x5x6x7x8x9"))),OR(2&gt;LEN(B695),MID(B695,2,1)=".",ISNUMBER(FIND("x"&amp;MID(B695,2,1),"x0x1x2x3x4x5x6x7x8x9"))),OR(3&gt;LEN(B695),MID(B695,3,1)=".",ISNUMBER(FIND("x"&amp;MID(B695,3,1),"x0x1x2x3x4x5x6x7x8x9"))),OR(4&gt;LEN(B695),MID(B695,4,1)=".",ISNUMBER(FIND("x"&amp;MID(B695,4,1),"x0x1x2x3x4x5x6x7x8x9"))),OR(5&gt;LEN(B695),MID(B695,5,1)=".",ISNUMBER(FIND("x"&amp;MID(B695,5,1),"x0x1x2x3x4x5x6x7x8x9"))),OR(6&gt;LEN(B695),MID(B695,6,1)=".",ISNUMBER(FIND("x"&amp;MID(B695,6,1),"x0x1x2x3x4x5x6x7x8x9"))),OR(7&gt;LEN(B695),MID(B695,7,1)=".",ISNUMBER(FIND("x"&amp;MID(B695,7,1),"x0x1x2x3x4x5x6x7x8x9"))),OR(8&gt;LEN(B695),MID(B695,8,1)=".",ISNUMBER(FIND("x"&amp;MID(B695,8,1),"x0x1x2x3x4x5x6x7x8x9"))),OR(9&gt;LEN(B695),MID(B695,9,1)=".",ISNUMBER(FIND("x"&amp;MID(B695,9,1),"x0x1x2x3x4x5x6x7x8x9"))),OR(10&gt;LEN(B695),MID(B695,10,1)=".",ISNUMBER(FIND("x"&amp;MID(B695,10,1),"x0x1x2x3x4x5x6x7x8x9"))),OR(AND(FIND(".",B695)=5,LEN(B695)-FIND(".",B695,FIND(".",B695)+1)&gt;=1,LEN(B695)-FIND(".",B695,FIND(".",B695)+1)&lt;=2),AND(LEN(B695)-FIND(".",B695,FIND(".",B695)+1)=4,FIND(".",B695)&gt;=2,FIND(".",B695)&lt;=3)),FIND(".",B695,FIND(".",B695)+1)-FIND(".",B695)&gt;=2,FIND(".",B695,FIND(".",B695)+1)-FIND(".",B695)&lt;=3,F695&gt;=2000,F695&lt;=2100,YEAR(I695)=F695,MONTH(I695)=G695,DAY(I695)=H695),I695,0)),0)</ns0:f>
        <ns0:v>0</ns0:v>
      </ns0:c>
      <ns0:c r="K695" s="0">
        <ns0:f>IFERROR(IF(ISNUMBER(Bookings!D695),"",TRIM(Bookings!D695&amp;"")),"")</ns0:f>
      </ns0:c>
      <ns0:c r="L695" s="0">
        <ns0:f>IFERROR(SUBSTITUTE(SUBSTITUTE(K695,"/","."),"-","."),"")</ns0:f>
      </ns0:c>
      <ns0:c r="M695" s="0">
        <ns0:f>IFERROR(LEFT(L695,FIND(".",L695)-1),"")</ns0:f>
      </ns0:c>
      <ns0:c r="N695" s="0">
        <ns0:f>IFERROR(MID(L695,FIND(".",L695)+1,FIND(".",L695,FIND(".",L695)+1)-FIND(".",L695)-1),"")</ns0:f>
      </ns0:c>
      <ns0:c r="O695" s="0">
        <ns0:f>IFERROR(MID(L695,FIND(".",L695,FIND(".",L695)+1)+1,99),"")</ns0:f>
        <ns0:v>99</ns0:v>
      </ns0:c>
      <ns0:c r="P695" s="0">
        <ns0:f>IFERROR(IF(FIND(".",L695)=5,--M695,--O695),0)</ns0:f>
        <ns0:v>0</ns0:v>
      </ns0:c>
      <ns0:c r="Q695" s="0">
        <ns0:f>IFERROR(--N695,0)</ns0:f>
        <ns0:v>0</ns0:v>
      </ns0:c>
      <ns0:c r="R695" s="0">
        <ns0:f>IFERROR(IF(FIND(".",L695)=5,--O695,--M695),0)</ns0:f>
        <ns0:v>0</ns0:v>
      </ns0:c>
      <ns0:c r="S695" s="0">
        <ns0:f>IFERROR(IF(AND(P695&gt;=2000,P695&lt;=2100,Q695&gt;=1,Q695&lt;=12,R695&gt;=1,R695&lt;=31),DATE(P695,Q695,R695),0),0)</ns0:f>
        <ns0:v>0</ns0:v>
      </ns0:c>
      <ns0:c r="T695" s="0">
        <ns0:f>IFERROR(IF(ISNUMBER(Bookings!D695),IF(AND(Bookings!D695=INT(Bookings!D695),Bookings!D695&gt;=DATE(2000,1,1),Bookings!D695&lt;=DATE(2100,12,31)),Bookings!D695,0),IF(AND(K695&lt;&gt;"",LEN("x"&amp;L695)-LEN(SUBSTITUTE("x"&amp;L695,".",""))=2,OR(1&gt;LEN(L695),MID(L695,1,1)=".",ISNUMBER(FIND("x"&amp;MID(L695,1,1),"x0x1x2x3x4x5x6x7x8x9"))),OR(2&gt;LEN(L695),MID(L695,2,1)=".",ISNUMBER(FIND("x"&amp;MID(L695,2,1),"x0x1x2x3x4x5x6x7x8x9"))),OR(3&gt;LEN(L695),MID(L695,3,1)=".",ISNUMBER(FIND("x"&amp;MID(L695,3,1),"x0x1x2x3x4x5x6x7x8x9"))),OR(4&gt;LEN(L695),MID(L695,4,1)=".",ISNUMBER(FIND("x"&amp;MID(L695,4,1),"x0x1x2x3x4x5x6x7x8x9"))),OR(5&gt;LEN(L695),MID(L695,5,1)=".",ISNUMBER(FIND("x"&amp;MID(L695,5,1),"x0x1x2x3x4x5x6x7x8x9"))),OR(6&gt;LEN(L695),MID(L695,6,1)=".",ISNUMBER(FIND("x"&amp;MID(L695,6,1),"x0x1x2x3x4x5x6x7x8x9"))),OR(7&gt;LEN(L695),MID(L695,7,1)=".",ISNUMBER(FIND("x"&amp;MID(L695,7,1),"x0x1x2x3x4x5x6x7x8x9"))),OR(8&gt;LEN(L695),MID(L695,8,1)=".",ISNUMBER(FIND("x"&amp;MID(L695,8,1),"x0x1x2x3x4x5x6x7x8x9"))),OR(9&gt;LEN(L695),MID(L695,9,1)=".",ISNUMBER(FIND("x"&amp;MID(L695,9,1),"x0x1x2x3x4x5x6x7x8x9"))),OR(10&gt;LEN(L695),MID(L695,10,1)=".",ISNUMBER(FIND("x"&amp;MID(L695,10,1),"x0x1x2x3x4x5x6x7x8x9"))),OR(AND(FIND(".",L695)=5,LEN(L695)-FIND(".",L695,FIND(".",L695)+1)&gt;=1,LEN(L695)-FIND(".",L695,FIND(".",L695)+1)&lt;=2),AND(LEN(L695)-FIND(".",L695,FIND(".",L695)+1)=4,FIND(".",L695)&gt;=2,FIND(".",L695)&lt;=3)),FIND(".",L695,FIND(".",L695)+1)-FIND(".",L695)&gt;=2,FIND(".",L695,FIND(".",L695)+1)-FIND(".",L695)&lt;=3,P695&gt;=2000,P695&lt;=2100,YEAR(S695)=P695,MONTH(S695)=Q695,DAY(S695)=R695),S695,0)),0)</ns0:f>
        <ns0:v>0</ns0:v>
      </ns0:c>
      <ns0:c r="U695" s="0" t="str">
        <ns0:f>IF(Bookings!C695="","Full day",Bookings!C695)</ns0:f>
        <ns0:v>Full day</ns0:v>
      </ns0:c>
      <ns0:c r="V695" s="0" t="str">
        <ns0:f>IF(Bookings!E695="","Full day",Bookings!E695)</ns0:f>
        <ns0:v>Full day</ns0:v>
      </ns0:c>
      <ns0:c r="W695" s="0">
        <ns0:f>IF(J695=0,0,J695+IF(U695="PM",1,0))</ns0:f>
        <ns0:v>0</ns0:v>
      </ns0:c>
      <ns0:c r="X695" s="0">
        <ns0:f>IF(T695=0,0,T695-IF(V695="PM",1,0))</ns0:f>
        <ns0:v>0</ns0:v>
      </ns0:c>
      <ns0:c r="Y695" s="0">
        <ns0:f>IF(J695=0,0,J695+IF(U695="AM",1,0))</ns0:f>
        <ns0:v>0</ns0:v>
      </ns0:c>
      <ns0:c r="Z695" s="0">
        <ns0:f>IF(T695=0,0,T695-IF(V695="AM",1,0))</ns0:f>
        <ns0:v>0</ns0:v>
      </ns0:c>
      <ns0:c r="AA695" s="0">
        <ns0:f>IFERROR(IF(AND(J695&gt;0,'_Engine'!C695&gt;0,MID('_Engine'!W695,WEEKDAY(J695,2),1)="W",COUNTIF(Settings!$F$18:$F$67,J695)=0),1,0),0)</ns0:f>
        <ns0:v>0</ns0:v>
      </ns0:c>
      <ns0:c r="AB695" s="0">
        <ns0:f>IFERROR(IF(AND(T695&gt;0,'_Engine'!C695&gt;0,MID('_Engine'!W695,WEEKDAY(T695,2),1)="W",COUNTIF(Settings!$F$18:$F$67,T695)=0),1,0),0)</ns0:f>
        <ns0:v>0</ns0:v>
      </ns0:c>
      <ns0:c r="AC695" s="0">
        <ns0:f>IF(AND(J695&gt;0,T695&gt;0,W695&lt;=X695),1,0)</ns0:f>
        <ns0:v>0</ns0:v>
      </ns0:c>
      <ns0:c r="AD695" s="0">
        <ns0:f>IF(AND(J695&gt;0,T695&gt;0,Y695&lt;=Z695),1,0)</ns0:f>
        <ns0:v>0</ns0:v>
      </ns0:c>
    </ns0:row>
    <ns0:row r="696">
      <ns0:c r="A696" s="0">
        <ns0:f>IFERROR(IF(ISNUMBER(Bookings!B696),"",TRIM(Bookings!B696&amp;"")),"")</ns0:f>
      </ns0:c>
      <ns0:c r="B696" s="0">
        <ns0:f>IFERROR(SUBSTITUTE(SUBSTITUTE(A696,"/","."),"-","."),"")</ns0:f>
      </ns0:c>
      <ns0:c r="C696" s="0">
        <ns0:f>IFERROR(LEFT(B696,FIND(".",B696)-1),"")</ns0:f>
      </ns0:c>
      <ns0:c r="D696" s="0">
        <ns0:f>IFERROR(MID(B696,FIND(".",B696)+1,FIND(".",B696,FIND(".",B696)+1)-FIND(".",B696)-1),"")</ns0:f>
      </ns0:c>
      <ns0:c r="E696" s="0">
        <ns0:f>IFERROR(MID(B696,FIND(".",B696,FIND(".",B696)+1)+1,99),"")</ns0:f>
        <ns0:v>99</ns0:v>
      </ns0:c>
      <ns0:c r="F696" s="0">
        <ns0:f>IFERROR(IF(FIND(".",B696)=5,--C696,--E696),0)</ns0:f>
        <ns0:v>0</ns0:v>
      </ns0:c>
      <ns0:c r="G696" s="0">
        <ns0:f>IFERROR(--D696,0)</ns0:f>
        <ns0:v>0</ns0:v>
      </ns0:c>
      <ns0:c r="H696" s="0">
        <ns0:f>IFERROR(IF(FIND(".",B696)=5,--E696,--C696),0)</ns0:f>
        <ns0:v>0</ns0:v>
      </ns0:c>
      <ns0:c r="I696" s="0">
        <ns0:f>IFERROR(IF(AND(F696&gt;=2000,F696&lt;=2100,G696&gt;=1,G696&lt;=12,H696&gt;=1,H696&lt;=31),DATE(F696,G696,H696),0),0)</ns0:f>
        <ns0:v>0</ns0:v>
      </ns0:c>
      <ns0:c r="J696" s="0">
        <ns0:f>IFERROR(IF(ISNUMBER(Bookings!B696),IF(AND(Bookings!B696=INT(Bookings!B696),Bookings!B696&gt;=DATE(2000,1,1),Bookings!B696&lt;=DATE(2100,12,31)),Bookings!B696,0),IF(AND(A696&lt;&gt;"",LEN("x"&amp;B696)-LEN(SUBSTITUTE("x"&amp;B696,".",""))=2,OR(1&gt;LEN(B696),MID(B696,1,1)=".",ISNUMBER(FIND("x"&amp;MID(B696,1,1),"x0x1x2x3x4x5x6x7x8x9"))),OR(2&gt;LEN(B696),MID(B696,2,1)=".",ISNUMBER(FIND("x"&amp;MID(B696,2,1),"x0x1x2x3x4x5x6x7x8x9"))),OR(3&gt;LEN(B696),MID(B696,3,1)=".",ISNUMBER(FIND("x"&amp;MID(B696,3,1),"x0x1x2x3x4x5x6x7x8x9"))),OR(4&gt;LEN(B696),MID(B696,4,1)=".",ISNUMBER(FIND("x"&amp;MID(B696,4,1),"x0x1x2x3x4x5x6x7x8x9"))),OR(5&gt;LEN(B696),MID(B696,5,1)=".",ISNUMBER(FIND("x"&amp;MID(B696,5,1),"x0x1x2x3x4x5x6x7x8x9"))),OR(6&gt;LEN(B696),MID(B696,6,1)=".",ISNUMBER(FIND("x"&amp;MID(B696,6,1),"x0x1x2x3x4x5x6x7x8x9"))),OR(7&gt;LEN(B696),MID(B696,7,1)=".",ISNUMBER(FIND("x"&amp;MID(B696,7,1),"x0x1x2x3x4x5x6x7x8x9"))),OR(8&gt;LEN(B696),MID(B696,8,1)=".",ISNUMBER(FIND("x"&amp;MID(B696,8,1),"x0x1x2x3x4x5x6x7x8x9"))),OR(9&gt;LEN(B696),MID(B696,9,1)=".",ISNUMBER(FIND("x"&amp;MID(B696,9,1),"x0x1x2x3x4x5x6x7x8x9"))),OR(10&gt;LEN(B696),MID(B696,10,1)=".",ISNUMBER(FIND("x"&amp;MID(B696,10,1),"x0x1x2x3x4x5x6x7x8x9"))),OR(AND(FIND(".",B696)=5,LEN(B696)-FIND(".",B696,FIND(".",B696)+1)&gt;=1,LEN(B696)-FIND(".",B696,FIND(".",B696)+1)&lt;=2),AND(LEN(B696)-FIND(".",B696,FIND(".",B696)+1)=4,FIND(".",B696)&gt;=2,FIND(".",B696)&lt;=3)),FIND(".",B696,FIND(".",B696)+1)-FIND(".",B696)&gt;=2,FIND(".",B696,FIND(".",B696)+1)-FIND(".",B696)&lt;=3,F696&gt;=2000,F696&lt;=2100,YEAR(I696)=F696,MONTH(I696)=G696,DAY(I696)=H696),I696,0)),0)</ns0:f>
        <ns0:v>0</ns0:v>
      </ns0:c>
      <ns0:c r="K696" s="0">
        <ns0:f>IFERROR(IF(ISNUMBER(Bookings!D696),"",TRIM(Bookings!D696&amp;"")),"")</ns0:f>
      </ns0:c>
      <ns0:c r="L696" s="0">
        <ns0:f>IFERROR(SUBSTITUTE(SUBSTITUTE(K696,"/","."),"-","."),"")</ns0:f>
      </ns0:c>
      <ns0:c r="M696" s="0">
        <ns0:f>IFERROR(LEFT(L696,FIND(".",L696)-1),"")</ns0:f>
      </ns0:c>
      <ns0:c r="N696" s="0">
        <ns0:f>IFERROR(MID(L696,FIND(".",L696)+1,FIND(".",L696,FIND(".",L696)+1)-FIND(".",L696)-1),"")</ns0:f>
      </ns0:c>
      <ns0:c r="O696" s="0">
        <ns0:f>IFERROR(MID(L696,FIND(".",L696,FIND(".",L696)+1)+1,99),"")</ns0:f>
        <ns0:v>99</ns0:v>
      </ns0:c>
      <ns0:c r="P696" s="0">
        <ns0:f>IFERROR(IF(FIND(".",L696)=5,--M696,--O696),0)</ns0:f>
        <ns0:v>0</ns0:v>
      </ns0:c>
      <ns0:c r="Q696" s="0">
        <ns0:f>IFERROR(--N696,0)</ns0:f>
        <ns0:v>0</ns0:v>
      </ns0:c>
      <ns0:c r="R696" s="0">
        <ns0:f>IFERROR(IF(FIND(".",L696)=5,--O696,--M696),0)</ns0:f>
        <ns0:v>0</ns0:v>
      </ns0:c>
      <ns0:c r="S696" s="0">
        <ns0:f>IFERROR(IF(AND(P696&gt;=2000,P696&lt;=2100,Q696&gt;=1,Q696&lt;=12,R696&gt;=1,R696&lt;=31),DATE(P696,Q696,R696),0),0)</ns0:f>
        <ns0:v>0</ns0:v>
      </ns0:c>
      <ns0:c r="T696" s="0">
        <ns0:f>IFERROR(IF(ISNUMBER(Bookings!D696),IF(AND(Bookings!D696=INT(Bookings!D696),Bookings!D696&gt;=DATE(2000,1,1),Bookings!D696&lt;=DATE(2100,12,31)),Bookings!D696,0),IF(AND(K696&lt;&gt;"",LEN("x"&amp;L696)-LEN(SUBSTITUTE("x"&amp;L696,".",""))=2,OR(1&gt;LEN(L696),MID(L696,1,1)=".",ISNUMBER(FIND("x"&amp;MID(L696,1,1),"x0x1x2x3x4x5x6x7x8x9"))),OR(2&gt;LEN(L696),MID(L696,2,1)=".",ISNUMBER(FIND("x"&amp;MID(L696,2,1),"x0x1x2x3x4x5x6x7x8x9"))),OR(3&gt;LEN(L696),MID(L696,3,1)=".",ISNUMBER(FIND("x"&amp;MID(L696,3,1),"x0x1x2x3x4x5x6x7x8x9"))),OR(4&gt;LEN(L696),MID(L696,4,1)=".",ISNUMBER(FIND("x"&amp;MID(L696,4,1),"x0x1x2x3x4x5x6x7x8x9"))),OR(5&gt;LEN(L696),MID(L696,5,1)=".",ISNUMBER(FIND("x"&amp;MID(L696,5,1),"x0x1x2x3x4x5x6x7x8x9"))),OR(6&gt;LEN(L696),MID(L696,6,1)=".",ISNUMBER(FIND("x"&amp;MID(L696,6,1),"x0x1x2x3x4x5x6x7x8x9"))),OR(7&gt;LEN(L696),MID(L696,7,1)=".",ISNUMBER(FIND("x"&amp;MID(L696,7,1),"x0x1x2x3x4x5x6x7x8x9"))),OR(8&gt;LEN(L696),MID(L696,8,1)=".",ISNUMBER(FIND("x"&amp;MID(L696,8,1),"x0x1x2x3x4x5x6x7x8x9"))),OR(9&gt;LEN(L696),MID(L696,9,1)=".",ISNUMBER(FIND("x"&amp;MID(L696,9,1),"x0x1x2x3x4x5x6x7x8x9"))),OR(10&gt;LEN(L696),MID(L696,10,1)=".",ISNUMBER(FIND("x"&amp;MID(L696,10,1),"x0x1x2x3x4x5x6x7x8x9"))),OR(AND(FIND(".",L696)=5,LEN(L696)-FIND(".",L696,FIND(".",L696)+1)&gt;=1,LEN(L696)-FIND(".",L696,FIND(".",L696)+1)&lt;=2),AND(LEN(L696)-FIND(".",L696,FIND(".",L696)+1)=4,FIND(".",L696)&gt;=2,FIND(".",L696)&lt;=3)),FIND(".",L696,FIND(".",L696)+1)-FIND(".",L696)&gt;=2,FIND(".",L696,FIND(".",L696)+1)-FIND(".",L696)&lt;=3,P696&gt;=2000,P696&lt;=2100,YEAR(S696)=P696,MONTH(S696)=Q696,DAY(S696)=R696),S696,0)),0)</ns0:f>
        <ns0:v>0</ns0:v>
      </ns0:c>
      <ns0:c r="U696" s="0" t="str">
        <ns0:f>IF(Bookings!C696="","Full day",Bookings!C696)</ns0:f>
        <ns0:v>Full day</ns0:v>
      </ns0:c>
      <ns0:c r="V696" s="0" t="str">
        <ns0:f>IF(Bookings!E696="","Full day",Bookings!E696)</ns0:f>
        <ns0:v>Full day</ns0:v>
      </ns0:c>
      <ns0:c r="W696" s="0">
        <ns0:f>IF(J696=0,0,J696+IF(U696="PM",1,0))</ns0:f>
        <ns0:v>0</ns0:v>
      </ns0:c>
      <ns0:c r="X696" s="0">
        <ns0:f>IF(T696=0,0,T696-IF(V696="PM",1,0))</ns0:f>
        <ns0:v>0</ns0:v>
      </ns0:c>
      <ns0:c r="Y696" s="0">
        <ns0:f>IF(J696=0,0,J696+IF(U696="AM",1,0))</ns0:f>
        <ns0:v>0</ns0:v>
      </ns0:c>
      <ns0:c r="Z696" s="0">
        <ns0:f>IF(T696=0,0,T696-IF(V696="AM",1,0))</ns0:f>
        <ns0:v>0</ns0:v>
      </ns0:c>
      <ns0:c r="AA696" s="0">
        <ns0:f>IFERROR(IF(AND(J696&gt;0,'_Engine'!C696&gt;0,MID('_Engine'!W696,WEEKDAY(J696,2),1)="W",COUNTIF(Settings!$F$18:$F$67,J696)=0),1,0),0)</ns0:f>
        <ns0:v>0</ns0:v>
      </ns0:c>
      <ns0:c r="AB696" s="0">
        <ns0:f>IFERROR(IF(AND(T696&gt;0,'_Engine'!C696&gt;0,MID('_Engine'!W696,WEEKDAY(T696,2),1)="W",COUNTIF(Settings!$F$18:$F$67,T696)=0),1,0),0)</ns0:f>
        <ns0:v>0</ns0:v>
      </ns0:c>
      <ns0:c r="AC696" s="0">
        <ns0:f>IF(AND(J696&gt;0,T696&gt;0,W696&lt;=X696),1,0)</ns0:f>
        <ns0:v>0</ns0:v>
      </ns0:c>
      <ns0:c r="AD696" s="0">
        <ns0:f>IF(AND(J696&gt;0,T696&gt;0,Y696&lt;=Z696),1,0)</ns0:f>
        <ns0:v>0</ns0:v>
      </ns0:c>
    </ns0:row>
    <ns0:row r="697">
      <ns0:c r="A697" s="0">
        <ns0:f>IFERROR(IF(ISNUMBER(Bookings!B697),"",TRIM(Bookings!B697&amp;"")),"")</ns0:f>
      </ns0:c>
      <ns0:c r="B697" s="0">
        <ns0:f>IFERROR(SUBSTITUTE(SUBSTITUTE(A697,"/","."),"-","."),"")</ns0:f>
      </ns0:c>
      <ns0:c r="C697" s="0">
        <ns0:f>IFERROR(LEFT(B697,FIND(".",B697)-1),"")</ns0:f>
      </ns0:c>
      <ns0:c r="D697" s="0">
        <ns0:f>IFERROR(MID(B697,FIND(".",B697)+1,FIND(".",B697,FIND(".",B697)+1)-FIND(".",B697)-1),"")</ns0:f>
      </ns0:c>
      <ns0:c r="E697" s="0">
        <ns0:f>IFERROR(MID(B697,FIND(".",B697,FIND(".",B697)+1)+1,99),"")</ns0:f>
        <ns0:v>99</ns0:v>
      </ns0:c>
      <ns0:c r="F697" s="0">
        <ns0:f>IFERROR(IF(FIND(".",B697)=5,--C697,--E697),0)</ns0:f>
        <ns0:v>0</ns0:v>
      </ns0:c>
      <ns0:c r="G697" s="0">
        <ns0:f>IFERROR(--D697,0)</ns0:f>
        <ns0:v>0</ns0:v>
      </ns0:c>
      <ns0:c r="H697" s="0">
        <ns0:f>IFERROR(IF(FIND(".",B697)=5,--E697,--C697),0)</ns0:f>
        <ns0:v>0</ns0:v>
      </ns0:c>
      <ns0:c r="I697" s="0">
        <ns0:f>IFERROR(IF(AND(F697&gt;=2000,F697&lt;=2100,G697&gt;=1,G697&lt;=12,H697&gt;=1,H697&lt;=31),DATE(F697,G697,H697),0),0)</ns0:f>
        <ns0:v>0</ns0:v>
      </ns0:c>
      <ns0:c r="J697" s="0">
        <ns0:f>IFERROR(IF(ISNUMBER(Bookings!B697),IF(AND(Bookings!B697=INT(Bookings!B697),Bookings!B697&gt;=DATE(2000,1,1),Bookings!B697&lt;=DATE(2100,12,31)),Bookings!B697,0),IF(AND(A697&lt;&gt;"",LEN("x"&amp;B697)-LEN(SUBSTITUTE("x"&amp;B697,".",""))=2,OR(1&gt;LEN(B697),MID(B697,1,1)=".",ISNUMBER(FIND("x"&amp;MID(B697,1,1),"x0x1x2x3x4x5x6x7x8x9"))),OR(2&gt;LEN(B697),MID(B697,2,1)=".",ISNUMBER(FIND("x"&amp;MID(B697,2,1),"x0x1x2x3x4x5x6x7x8x9"))),OR(3&gt;LEN(B697),MID(B697,3,1)=".",ISNUMBER(FIND("x"&amp;MID(B697,3,1),"x0x1x2x3x4x5x6x7x8x9"))),OR(4&gt;LEN(B697),MID(B697,4,1)=".",ISNUMBER(FIND("x"&amp;MID(B697,4,1),"x0x1x2x3x4x5x6x7x8x9"))),OR(5&gt;LEN(B697),MID(B697,5,1)=".",ISNUMBER(FIND("x"&amp;MID(B697,5,1),"x0x1x2x3x4x5x6x7x8x9"))),OR(6&gt;LEN(B697),MID(B697,6,1)=".",ISNUMBER(FIND("x"&amp;MID(B697,6,1),"x0x1x2x3x4x5x6x7x8x9"))),OR(7&gt;LEN(B697),MID(B697,7,1)=".",ISNUMBER(FIND("x"&amp;MID(B697,7,1),"x0x1x2x3x4x5x6x7x8x9"))),OR(8&gt;LEN(B697),MID(B697,8,1)=".",ISNUMBER(FIND("x"&amp;MID(B697,8,1),"x0x1x2x3x4x5x6x7x8x9"))),OR(9&gt;LEN(B697),MID(B697,9,1)=".",ISNUMBER(FIND("x"&amp;MID(B697,9,1),"x0x1x2x3x4x5x6x7x8x9"))),OR(10&gt;LEN(B697),MID(B697,10,1)=".",ISNUMBER(FIND("x"&amp;MID(B697,10,1),"x0x1x2x3x4x5x6x7x8x9"))),OR(AND(FIND(".",B697)=5,LEN(B697)-FIND(".",B697,FIND(".",B697)+1)&gt;=1,LEN(B697)-FIND(".",B697,FIND(".",B697)+1)&lt;=2),AND(LEN(B697)-FIND(".",B697,FIND(".",B697)+1)=4,FIND(".",B697)&gt;=2,FIND(".",B697)&lt;=3)),FIND(".",B697,FIND(".",B697)+1)-FIND(".",B697)&gt;=2,FIND(".",B697,FIND(".",B697)+1)-FIND(".",B697)&lt;=3,F697&gt;=2000,F697&lt;=2100,YEAR(I697)=F697,MONTH(I697)=G697,DAY(I697)=H697),I697,0)),0)</ns0:f>
        <ns0:v>0</ns0:v>
      </ns0:c>
      <ns0:c r="K697" s="0">
        <ns0:f>IFERROR(IF(ISNUMBER(Bookings!D697),"",TRIM(Bookings!D697&amp;"")),"")</ns0:f>
      </ns0:c>
      <ns0:c r="L697" s="0">
        <ns0:f>IFERROR(SUBSTITUTE(SUBSTITUTE(K697,"/","."),"-","."),"")</ns0:f>
      </ns0:c>
      <ns0:c r="M697" s="0">
        <ns0:f>IFERROR(LEFT(L697,FIND(".",L697)-1),"")</ns0:f>
      </ns0:c>
      <ns0:c r="N697" s="0">
        <ns0:f>IFERROR(MID(L697,FIND(".",L697)+1,FIND(".",L697,FIND(".",L697)+1)-FIND(".",L697)-1),"")</ns0:f>
      </ns0:c>
      <ns0:c r="O697" s="0">
        <ns0:f>IFERROR(MID(L697,FIND(".",L697,FIND(".",L697)+1)+1,99),"")</ns0:f>
        <ns0:v>99</ns0:v>
      </ns0:c>
      <ns0:c r="P697" s="0">
        <ns0:f>IFERROR(IF(FIND(".",L697)=5,--M697,--O697),0)</ns0:f>
        <ns0:v>0</ns0:v>
      </ns0:c>
      <ns0:c r="Q697" s="0">
        <ns0:f>IFERROR(--N697,0)</ns0:f>
        <ns0:v>0</ns0:v>
      </ns0:c>
      <ns0:c r="R697" s="0">
        <ns0:f>IFERROR(IF(FIND(".",L697)=5,--O697,--M697),0)</ns0:f>
        <ns0:v>0</ns0:v>
      </ns0:c>
      <ns0:c r="S697" s="0">
        <ns0:f>IFERROR(IF(AND(P697&gt;=2000,P697&lt;=2100,Q697&gt;=1,Q697&lt;=12,R697&gt;=1,R697&lt;=31),DATE(P697,Q697,R697),0),0)</ns0:f>
        <ns0:v>0</ns0:v>
      </ns0:c>
      <ns0:c r="T697" s="0">
        <ns0:f>IFERROR(IF(ISNUMBER(Bookings!D697),IF(AND(Bookings!D697=INT(Bookings!D697),Bookings!D697&gt;=DATE(2000,1,1),Bookings!D697&lt;=DATE(2100,12,31)),Bookings!D697,0),IF(AND(K697&lt;&gt;"",LEN("x"&amp;L697)-LEN(SUBSTITUTE("x"&amp;L697,".",""))=2,OR(1&gt;LEN(L697),MID(L697,1,1)=".",ISNUMBER(FIND("x"&amp;MID(L697,1,1),"x0x1x2x3x4x5x6x7x8x9"))),OR(2&gt;LEN(L697),MID(L697,2,1)=".",ISNUMBER(FIND("x"&amp;MID(L697,2,1),"x0x1x2x3x4x5x6x7x8x9"))),OR(3&gt;LEN(L697),MID(L697,3,1)=".",ISNUMBER(FIND("x"&amp;MID(L697,3,1),"x0x1x2x3x4x5x6x7x8x9"))),OR(4&gt;LEN(L697),MID(L697,4,1)=".",ISNUMBER(FIND("x"&amp;MID(L697,4,1),"x0x1x2x3x4x5x6x7x8x9"))),OR(5&gt;LEN(L697),MID(L697,5,1)=".",ISNUMBER(FIND("x"&amp;MID(L697,5,1),"x0x1x2x3x4x5x6x7x8x9"))),OR(6&gt;LEN(L697),MID(L697,6,1)=".",ISNUMBER(FIND("x"&amp;MID(L697,6,1),"x0x1x2x3x4x5x6x7x8x9"))),OR(7&gt;LEN(L697),MID(L697,7,1)=".",ISNUMBER(FIND("x"&amp;MID(L697,7,1),"x0x1x2x3x4x5x6x7x8x9"))),OR(8&gt;LEN(L697),MID(L697,8,1)=".",ISNUMBER(FIND("x"&amp;MID(L697,8,1),"x0x1x2x3x4x5x6x7x8x9"))),OR(9&gt;LEN(L697),MID(L697,9,1)=".",ISNUMBER(FIND("x"&amp;MID(L697,9,1),"x0x1x2x3x4x5x6x7x8x9"))),OR(10&gt;LEN(L697),MID(L697,10,1)=".",ISNUMBER(FIND("x"&amp;MID(L697,10,1),"x0x1x2x3x4x5x6x7x8x9"))),OR(AND(FIND(".",L697)=5,LEN(L697)-FIND(".",L697,FIND(".",L697)+1)&gt;=1,LEN(L697)-FIND(".",L697,FIND(".",L697)+1)&lt;=2),AND(LEN(L697)-FIND(".",L697,FIND(".",L697)+1)=4,FIND(".",L697)&gt;=2,FIND(".",L697)&lt;=3)),FIND(".",L697,FIND(".",L697)+1)-FIND(".",L697)&gt;=2,FIND(".",L697,FIND(".",L697)+1)-FIND(".",L697)&lt;=3,P697&gt;=2000,P697&lt;=2100,YEAR(S697)=P697,MONTH(S697)=Q697,DAY(S697)=R697),S697,0)),0)</ns0:f>
        <ns0:v>0</ns0:v>
      </ns0:c>
      <ns0:c r="U697" s="0" t="str">
        <ns0:f>IF(Bookings!C697="","Full day",Bookings!C697)</ns0:f>
        <ns0:v>Full day</ns0:v>
      </ns0:c>
      <ns0:c r="V697" s="0" t="str">
        <ns0:f>IF(Bookings!E697="","Full day",Bookings!E697)</ns0:f>
        <ns0:v>Full day</ns0:v>
      </ns0:c>
      <ns0:c r="W697" s="0">
        <ns0:f>IF(J697=0,0,J697+IF(U697="PM",1,0))</ns0:f>
        <ns0:v>0</ns0:v>
      </ns0:c>
      <ns0:c r="X697" s="0">
        <ns0:f>IF(T697=0,0,T697-IF(V697="PM",1,0))</ns0:f>
        <ns0:v>0</ns0:v>
      </ns0:c>
      <ns0:c r="Y697" s="0">
        <ns0:f>IF(J697=0,0,J697+IF(U697="AM",1,0))</ns0:f>
        <ns0:v>0</ns0:v>
      </ns0:c>
      <ns0:c r="Z697" s="0">
        <ns0:f>IF(T697=0,0,T697-IF(V697="AM",1,0))</ns0:f>
        <ns0:v>0</ns0:v>
      </ns0:c>
      <ns0:c r="AA697" s="0">
        <ns0:f>IFERROR(IF(AND(J697&gt;0,'_Engine'!C697&gt;0,MID('_Engine'!W697,WEEKDAY(J697,2),1)="W",COUNTIF(Settings!$F$18:$F$67,J697)=0),1,0),0)</ns0:f>
        <ns0:v>0</ns0:v>
      </ns0:c>
      <ns0:c r="AB697" s="0">
        <ns0:f>IFERROR(IF(AND(T697&gt;0,'_Engine'!C697&gt;0,MID('_Engine'!W697,WEEKDAY(T697,2),1)="W",COUNTIF(Settings!$F$18:$F$67,T697)=0),1,0),0)</ns0:f>
        <ns0:v>0</ns0:v>
      </ns0:c>
      <ns0:c r="AC697" s="0">
        <ns0:f>IF(AND(J697&gt;0,T697&gt;0,W697&lt;=X697),1,0)</ns0:f>
        <ns0:v>0</ns0:v>
      </ns0:c>
      <ns0:c r="AD697" s="0">
        <ns0:f>IF(AND(J697&gt;0,T697&gt;0,Y697&lt;=Z697),1,0)</ns0:f>
        <ns0:v>0</ns0:v>
      </ns0:c>
    </ns0:row>
    <ns0:row r="698">
      <ns0:c r="A698" s="0">
        <ns0:f>IFERROR(IF(ISNUMBER(Bookings!B698),"",TRIM(Bookings!B698&amp;"")),"")</ns0:f>
      </ns0:c>
      <ns0:c r="B698" s="0">
        <ns0:f>IFERROR(SUBSTITUTE(SUBSTITUTE(A698,"/","."),"-","."),"")</ns0:f>
      </ns0:c>
      <ns0:c r="C698" s="0">
        <ns0:f>IFERROR(LEFT(B698,FIND(".",B698)-1),"")</ns0:f>
      </ns0:c>
      <ns0:c r="D698" s="0">
        <ns0:f>IFERROR(MID(B698,FIND(".",B698)+1,FIND(".",B698,FIND(".",B698)+1)-FIND(".",B698)-1),"")</ns0:f>
      </ns0:c>
      <ns0:c r="E698" s="0">
        <ns0:f>IFERROR(MID(B698,FIND(".",B698,FIND(".",B698)+1)+1,99),"")</ns0:f>
        <ns0:v>99</ns0:v>
      </ns0:c>
      <ns0:c r="F698" s="0">
        <ns0:f>IFERROR(IF(FIND(".",B698)=5,--C698,--E698),0)</ns0:f>
        <ns0:v>0</ns0:v>
      </ns0:c>
      <ns0:c r="G698" s="0">
        <ns0:f>IFERROR(--D698,0)</ns0:f>
        <ns0:v>0</ns0:v>
      </ns0:c>
      <ns0:c r="H698" s="0">
        <ns0:f>IFERROR(IF(FIND(".",B698)=5,--E698,--C698),0)</ns0:f>
        <ns0:v>0</ns0:v>
      </ns0:c>
      <ns0:c r="I698" s="0">
        <ns0:f>IFERROR(IF(AND(F698&gt;=2000,F698&lt;=2100,G698&gt;=1,G698&lt;=12,H698&gt;=1,H698&lt;=31),DATE(F698,G698,H698),0),0)</ns0:f>
        <ns0:v>0</ns0:v>
      </ns0:c>
      <ns0:c r="J698" s="0">
        <ns0:f>IFERROR(IF(ISNUMBER(Bookings!B698),IF(AND(Bookings!B698=INT(Bookings!B698),Bookings!B698&gt;=DATE(2000,1,1),Bookings!B698&lt;=DATE(2100,12,31)),Bookings!B698,0),IF(AND(A698&lt;&gt;"",LEN("x"&amp;B698)-LEN(SUBSTITUTE("x"&amp;B698,".",""))=2,OR(1&gt;LEN(B698),MID(B698,1,1)=".",ISNUMBER(FIND("x"&amp;MID(B698,1,1),"x0x1x2x3x4x5x6x7x8x9"))),OR(2&gt;LEN(B698),MID(B698,2,1)=".",ISNUMBER(FIND("x"&amp;MID(B698,2,1),"x0x1x2x3x4x5x6x7x8x9"))),OR(3&gt;LEN(B698),MID(B698,3,1)=".",ISNUMBER(FIND("x"&amp;MID(B698,3,1),"x0x1x2x3x4x5x6x7x8x9"))),OR(4&gt;LEN(B698),MID(B698,4,1)=".",ISNUMBER(FIND("x"&amp;MID(B698,4,1),"x0x1x2x3x4x5x6x7x8x9"))),OR(5&gt;LEN(B698),MID(B698,5,1)=".",ISNUMBER(FIND("x"&amp;MID(B698,5,1),"x0x1x2x3x4x5x6x7x8x9"))),OR(6&gt;LEN(B698),MID(B698,6,1)=".",ISNUMBER(FIND("x"&amp;MID(B698,6,1),"x0x1x2x3x4x5x6x7x8x9"))),OR(7&gt;LEN(B698),MID(B698,7,1)=".",ISNUMBER(FIND("x"&amp;MID(B698,7,1),"x0x1x2x3x4x5x6x7x8x9"))),OR(8&gt;LEN(B698),MID(B698,8,1)=".",ISNUMBER(FIND("x"&amp;MID(B698,8,1),"x0x1x2x3x4x5x6x7x8x9"))),OR(9&gt;LEN(B698),MID(B698,9,1)=".",ISNUMBER(FIND("x"&amp;MID(B698,9,1),"x0x1x2x3x4x5x6x7x8x9"))),OR(10&gt;LEN(B698),MID(B698,10,1)=".",ISNUMBER(FIND("x"&amp;MID(B698,10,1),"x0x1x2x3x4x5x6x7x8x9"))),OR(AND(FIND(".",B698)=5,LEN(B698)-FIND(".",B698,FIND(".",B698)+1)&gt;=1,LEN(B698)-FIND(".",B698,FIND(".",B698)+1)&lt;=2),AND(LEN(B698)-FIND(".",B698,FIND(".",B698)+1)=4,FIND(".",B698)&gt;=2,FIND(".",B698)&lt;=3)),FIND(".",B698,FIND(".",B698)+1)-FIND(".",B698)&gt;=2,FIND(".",B698,FIND(".",B698)+1)-FIND(".",B698)&lt;=3,F698&gt;=2000,F698&lt;=2100,YEAR(I698)=F698,MONTH(I698)=G698,DAY(I698)=H698),I698,0)),0)</ns0:f>
        <ns0:v>0</ns0:v>
      </ns0:c>
      <ns0:c r="K698" s="0">
        <ns0:f>IFERROR(IF(ISNUMBER(Bookings!D698),"",TRIM(Bookings!D698&amp;"")),"")</ns0:f>
      </ns0:c>
      <ns0:c r="L698" s="0">
        <ns0:f>IFERROR(SUBSTITUTE(SUBSTITUTE(K698,"/","."),"-","."),"")</ns0:f>
      </ns0:c>
      <ns0:c r="M698" s="0">
        <ns0:f>IFERROR(LEFT(L698,FIND(".",L698)-1),"")</ns0:f>
      </ns0:c>
      <ns0:c r="N698" s="0">
        <ns0:f>IFERROR(MID(L698,FIND(".",L698)+1,FIND(".",L698,FIND(".",L698)+1)-FIND(".",L698)-1),"")</ns0:f>
      </ns0:c>
      <ns0:c r="O698" s="0">
        <ns0:f>IFERROR(MID(L698,FIND(".",L698,FIND(".",L698)+1)+1,99),"")</ns0:f>
        <ns0:v>99</ns0:v>
      </ns0:c>
      <ns0:c r="P698" s="0">
        <ns0:f>IFERROR(IF(FIND(".",L698)=5,--M698,--O698),0)</ns0:f>
        <ns0:v>0</ns0:v>
      </ns0:c>
      <ns0:c r="Q698" s="0">
        <ns0:f>IFERROR(--N698,0)</ns0:f>
        <ns0:v>0</ns0:v>
      </ns0:c>
      <ns0:c r="R698" s="0">
        <ns0:f>IFERROR(IF(FIND(".",L698)=5,--O698,--M698),0)</ns0:f>
        <ns0:v>0</ns0:v>
      </ns0:c>
      <ns0:c r="S698" s="0">
        <ns0:f>IFERROR(IF(AND(P698&gt;=2000,P698&lt;=2100,Q698&gt;=1,Q698&lt;=12,R698&gt;=1,R698&lt;=31),DATE(P698,Q698,R698),0),0)</ns0:f>
        <ns0:v>0</ns0:v>
      </ns0:c>
      <ns0:c r="T698" s="0">
        <ns0:f>IFERROR(IF(ISNUMBER(Bookings!D698),IF(AND(Bookings!D698=INT(Bookings!D698),Bookings!D698&gt;=DATE(2000,1,1),Bookings!D698&lt;=DATE(2100,12,31)),Bookings!D698,0),IF(AND(K698&lt;&gt;"",LEN("x"&amp;L698)-LEN(SUBSTITUTE("x"&amp;L698,".",""))=2,OR(1&gt;LEN(L698),MID(L698,1,1)=".",ISNUMBER(FIND("x"&amp;MID(L698,1,1),"x0x1x2x3x4x5x6x7x8x9"))),OR(2&gt;LEN(L698),MID(L698,2,1)=".",ISNUMBER(FIND("x"&amp;MID(L698,2,1),"x0x1x2x3x4x5x6x7x8x9"))),OR(3&gt;LEN(L698),MID(L698,3,1)=".",ISNUMBER(FIND("x"&amp;MID(L698,3,1),"x0x1x2x3x4x5x6x7x8x9"))),OR(4&gt;LEN(L698),MID(L698,4,1)=".",ISNUMBER(FIND("x"&amp;MID(L698,4,1),"x0x1x2x3x4x5x6x7x8x9"))),OR(5&gt;LEN(L698),MID(L698,5,1)=".",ISNUMBER(FIND("x"&amp;MID(L698,5,1),"x0x1x2x3x4x5x6x7x8x9"))),OR(6&gt;LEN(L698),MID(L698,6,1)=".",ISNUMBER(FIND("x"&amp;MID(L698,6,1),"x0x1x2x3x4x5x6x7x8x9"))),OR(7&gt;LEN(L698),MID(L698,7,1)=".",ISNUMBER(FIND("x"&amp;MID(L698,7,1),"x0x1x2x3x4x5x6x7x8x9"))),OR(8&gt;LEN(L698),MID(L698,8,1)=".",ISNUMBER(FIND("x"&amp;MID(L698,8,1),"x0x1x2x3x4x5x6x7x8x9"))),OR(9&gt;LEN(L698),MID(L698,9,1)=".",ISNUMBER(FIND("x"&amp;MID(L698,9,1),"x0x1x2x3x4x5x6x7x8x9"))),OR(10&gt;LEN(L698),MID(L698,10,1)=".",ISNUMBER(FIND("x"&amp;MID(L698,10,1),"x0x1x2x3x4x5x6x7x8x9"))),OR(AND(FIND(".",L698)=5,LEN(L698)-FIND(".",L698,FIND(".",L698)+1)&gt;=1,LEN(L698)-FIND(".",L698,FIND(".",L698)+1)&lt;=2),AND(LEN(L698)-FIND(".",L698,FIND(".",L698)+1)=4,FIND(".",L698)&gt;=2,FIND(".",L698)&lt;=3)),FIND(".",L698,FIND(".",L698)+1)-FIND(".",L698)&gt;=2,FIND(".",L698,FIND(".",L698)+1)-FIND(".",L698)&lt;=3,P698&gt;=2000,P698&lt;=2100,YEAR(S698)=P698,MONTH(S698)=Q698,DAY(S698)=R698),S698,0)),0)</ns0:f>
        <ns0:v>0</ns0:v>
      </ns0:c>
      <ns0:c r="U698" s="0" t="str">
        <ns0:f>IF(Bookings!C698="","Full day",Bookings!C698)</ns0:f>
        <ns0:v>Full day</ns0:v>
      </ns0:c>
      <ns0:c r="V698" s="0" t="str">
        <ns0:f>IF(Bookings!E698="","Full day",Bookings!E698)</ns0:f>
        <ns0:v>Full day</ns0:v>
      </ns0:c>
      <ns0:c r="W698" s="0">
        <ns0:f>IF(J698=0,0,J698+IF(U698="PM",1,0))</ns0:f>
        <ns0:v>0</ns0:v>
      </ns0:c>
      <ns0:c r="X698" s="0">
        <ns0:f>IF(T698=0,0,T698-IF(V698="PM",1,0))</ns0:f>
        <ns0:v>0</ns0:v>
      </ns0:c>
      <ns0:c r="Y698" s="0">
        <ns0:f>IF(J698=0,0,J698+IF(U698="AM",1,0))</ns0:f>
        <ns0:v>0</ns0:v>
      </ns0:c>
      <ns0:c r="Z698" s="0">
        <ns0:f>IF(T698=0,0,T698-IF(V698="AM",1,0))</ns0:f>
        <ns0:v>0</ns0:v>
      </ns0:c>
      <ns0:c r="AA698" s="0">
        <ns0:f>IFERROR(IF(AND(J698&gt;0,'_Engine'!C698&gt;0,MID('_Engine'!W698,WEEKDAY(J698,2),1)="W",COUNTIF(Settings!$F$18:$F$67,J698)=0),1,0),0)</ns0:f>
        <ns0:v>0</ns0:v>
      </ns0:c>
      <ns0:c r="AB698" s="0">
        <ns0:f>IFERROR(IF(AND(T698&gt;0,'_Engine'!C698&gt;0,MID('_Engine'!W698,WEEKDAY(T698,2),1)="W",COUNTIF(Settings!$F$18:$F$67,T698)=0),1,0),0)</ns0:f>
        <ns0:v>0</ns0:v>
      </ns0:c>
      <ns0:c r="AC698" s="0">
        <ns0:f>IF(AND(J698&gt;0,T698&gt;0,W698&lt;=X698),1,0)</ns0:f>
        <ns0:v>0</ns0:v>
      </ns0:c>
      <ns0:c r="AD698" s="0">
        <ns0:f>IF(AND(J698&gt;0,T698&gt;0,Y698&lt;=Z698),1,0)</ns0:f>
        <ns0:v>0</ns0:v>
      </ns0:c>
    </ns0:row>
    <ns0:row r="699">
      <ns0:c r="A699" s="0">
        <ns0:f>IFERROR(IF(ISNUMBER(Bookings!B699),"",TRIM(Bookings!B699&amp;"")),"")</ns0:f>
      </ns0:c>
      <ns0:c r="B699" s="0">
        <ns0:f>IFERROR(SUBSTITUTE(SUBSTITUTE(A699,"/","."),"-","."),"")</ns0:f>
      </ns0:c>
      <ns0:c r="C699" s="0">
        <ns0:f>IFERROR(LEFT(B699,FIND(".",B699)-1),"")</ns0:f>
      </ns0:c>
      <ns0:c r="D699" s="0">
        <ns0:f>IFERROR(MID(B699,FIND(".",B699)+1,FIND(".",B699,FIND(".",B699)+1)-FIND(".",B699)-1),"")</ns0:f>
      </ns0:c>
      <ns0:c r="E699" s="0">
        <ns0:f>IFERROR(MID(B699,FIND(".",B699,FIND(".",B699)+1)+1,99),"")</ns0:f>
        <ns0:v>99</ns0:v>
      </ns0:c>
      <ns0:c r="F699" s="0">
        <ns0:f>IFERROR(IF(FIND(".",B699)=5,--C699,--E699),0)</ns0:f>
        <ns0:v>0</ns0:v>
      </ns0:c>
      <ns0:c r="G699" s="0">
        <ns0:f>IFERROR(--D699,0)</ns0:f>
        <ns0:v>0</ns0:v>
      </ns0:c>
      <ns0:c r="H699" s="0">
        <ns0:f>IFERROR(IF(FIND(".",B699)=5,--E699,--C699),0)</ns0:f>
        <ns0:v>0</ns0:v>
      </ns0:c>
      <ns0:c r="I699" s="0">
        <ns0:f>IFERROR(IF(AND(F699&gt;=2000,F699&lt;=2100,G699&gt;=1,G699&lt;=12,H699&gt;=1,H699&lt;=31),DATE(F699,G699,H699),0),0)</ns0:f>
        <ns0:v>0</ns0:v>
      </ns0:c>
      <ns0:c r="J699" s="0">
        <ns0:f>IFERROR(IF(ISNUMBER(Bookings!B699),IF(AND(Bookings!B699=INT(Bookings!B699),Bookings!B699&gt;=DATE(2000,1,1),Bookings!B699&lt;=DATE(2100,12,31)),Bookings!B699,0),IF(AND(A699&lt;&gt;"",LEN("x"&amp;B699)-LEN(SUBSTITUTE("x"&amp;B699,".",""))=2,OR(1&gt;LEN(B699),MID(B699,1,1)=".",ISNUMBER(FIND("x"&amp;MID(B699,1,1),"x0x1x2x3x4x5x6x7x8x9"))),OR(2&gt;LEN(B699),MID(B699,2,1)=".",ISNUMBER(FIND("x"&amp;MID(B699,2,1),"x0x1x2x3x4x5x6x7x8x9"))),OR(3&gt;LEN(B699),MID(B699,3,1)=".",ISNUMBER(FIND("x"&amp;MID(B699,3,1),"x0x1x2x3x4x5x6x7x8x9"))),OR(4&gt;LEN(B699),MID(B699,4,1)=".",ISNUMBER(FIND("x"&amp;MID(B699,4,1),"x0x1x2x3x4x5x6x7x8x9"))),OR(5&gt;LEN(B699),MID(B699,5,1)=".",ISNUMBER(FIND("x"&amp;MID(B699,5,1),"x0x1x2x3x4x5x6x7x8x9"))),OR(6&gt;LEN(B699),MID(B699,6,1)=".",ISNUMBER(FIND("x"&amp;MID(B699,6,1),"x0x1x2x3x4x5x6x7x8x9"))),OR(7&gt;LEN(B699),MID(B699,7,1)=".",ISNUMBER(FIND("x"&amp;MID(B699,7,1),"x0x1x2x3x4x5x6x7x8x9"))),OR(8&gt;LEN(B699),MID(B699,8,1)=".",ISNUMBER(FIND("x"&amp;MID(B699,8,1),"x0x1x2x3x4x5x6x7x8x9"))),OR(9&gt;LEN(B699),MID(B699,9,1)=".",ISNUMBER(FIND("x"&amp;MID(B699,9,1),"x0x1x2x3x4x5x6x7x8x9"))),OR(10&gt;LEN(B699),MID(B699,10,1)=".",ISNUMBER(FIND("x"&amp;MID(B699,10,1),"x0x1x2x3x4x5x6x7x8x9"))),OR(AND(FIND(".",B699)=5,LEN(B699)-FIND(".",B699,FIND(".",B699)+1)&gt;=1,LEN(B699)-FIND(".",B699,FIND(".",B699)+1)&lt;=2),AND(LEN(B699)-FIND(".",B699,FIND(".",B699)+1)=4,FIND(".",B699)&gt;=2,FIND(".",B699)&lt;=3)),FIND(".",B699,FIND(".",B699)+1)-FIND(".",B699)&gt;=2,FIND(".",B699,FIND(".",B699)+1)-FIND(".",B699)&lt;=3,F699&gt;=2000,F699&lt;=2100,YEAR(I699)=F699,MONTH(I699)=G699,DAY(I699)=H699),I699,0)),0)</ns0:f>
        <ns0:v>0</ns0:v>
      </ns0:c>
      <ns0:c r="K699" s="0">
        <ns0:f>IFERROR(IF(ISNUMBER(Bookings!D699),"",TRIM(Bookings!D699&amp;"")),"")</ns0:f>
      </ns0:c>
      <ns0:c r="L699" s="0">
        <ns0:f>IFERROR(SUBSTITUTE(SUBSTITUTE(K699,"/","."),"-","."),"")</ns0:f>
      </ns0:c>
      <ns0:c r="M699" s="0">
        <ns0:f>IFERROR(LEFT(L699,FIND(".",L699)-1),"")</ns0:f>
      </ns0:c>
      <ns0:c r="N699" s="0">
        <ns0:f>IFERROR(MID(L699,FIND(".",L699)+1,FIND(".",L699,FIND(".",L699)+1)-FIND(".",L699)-1),"")</ns0:f>
      </ns0:c>
      <ns0:c r="O699" s="0">
        <ns0:f>IFERROR(MID(L699,FIND(".",L699,FIND(".",L699)+1)+1,99),"")</ns0:f>
        <ns0:v>99</ns0:v>
      </ns0:c>
      <ns0:c r="P699" s="0">
        <ns0:f>IFERROR(IF(FIND(".",L699)=5,--M699,--O699),0)</ns0:f>
        <ns0:v>0</ns0:v>
      </ns0:c>
      <ns0:c r="Q699" s="0">
        <ns0:f>IFERROR(--N699,0)</ns0:f>
        <ns0:v>0</ns0:v>
      </ns0:c>
      <ns0:c r="R699" s="0">
        <ns0:f>IFERROR(IF(FIND(".",L699)=5,--O699,--M699),0)</ns0:f>
        <ns0:v>0</ns0:v>
      </ns0:c>
      <ns0:c r="S699" s="0">
        <ns0:f>IFERROR(IF(AND(P699&gt;=2000,P699&lt;=2100,Q699&gt;=1,Q699&lt;=12,R699&gt;=1,R699&lt;=31),DATE(P699,Q699,R699),0),0)</ns0:f>
        <ns0:v>0</ns0:v>
      </ns0:c>
      <ns0:c r="T699" s="0">
        <ns0:f>IFERROR(IF(ISNUMBER(Bookings!D699),IF(AND(Bookings!D699=INT(Bookings!D699),Bookings!D699&gt;=DATE(2000,1,1),Bookings!D699&lt;=DATE(2100,12,31)),Bookings!D699,0),IF(AND(K699&lt;&gt;"",LEN("x"&amp;L699)-LEN(SUBSTITUTE("x"&amp;L699,".",""))=2,OR(1&gt;LEN(L699),MID(L699,1,1)=".",ISNUMBER(FIND("x"&amp;MID(L699,1,1),"x0x1x2x3x4x5x6x7x8x9"))),OR(2&gt;LEN(L699),MID(L699,2,1)=".",ISNUMBER(FIND("x"&amp;MID(L699,2,1),"x0x1x2x3x4x5x6x7x8x9"))),OR(3&gt;LEN(L699),MID(L699,3,1)=".",ISNUMBER(FIND("x"&amp;MID(L699,3,1),"x0x1x2x3x4x5x6x7x8x9"))),OR(4&gt;LEN(L699),MID(L699,4,1)=".",ISNUMBER(FIND("x"&amp;MID(L699,4,1),"x0x1x2x3x4x5x6x7x8x9"))),OR(5&gt;LEN(L699),MID(L699,5,1)=".",ISNUMBER(FIND("x"&amp;MID(L699,5,1),"x0x1x2x3x4x5x6x7x8x9"))),OR(6&gt;LEN(L699),MID(L699,6,1)=".",ISNUMBER(FIND("x"&amp;MID(L699,6,1),"x0x1x2x3x4x5x6x7x8x9"))),OR(7&gt;LEN(L699),MID(L699,7,1)=".",ISNUMBER(FIND("x"&amp;MID(L699,7,1),"x0x1x2x3x4x5x6x7x8x9"))),OR(8&gt;LEN(L699),MID(L699,8,1)=".",ISNUMBER(FIND("x"&amp;MID(L699,8,1),"x0x1x2x3x4x5x6x7x8x9"))),OR(9&gt;LEN(L699),MID(L699,9,1)=".",ISNUMBER(FIND("x"&amp;MID(L699,9,1),"x0x1x2x3x4x5x6x7x8x9"))),OR(10&gt;LEN(L699),MID(L699,10,1)=".",ISNUMBER(FIND("x"&amp;MID(L699,10,1),"x0x1x2x3x4x5x6x7x8x9"))),OR(AND(FIND(".",L699)=5,LEN(L699)-FIND(".",L699,FIND(".",L699)+1)&gt;=1,LEN(L699)-FIND(".",L699,FIND(".",L699)+1)&lt;=2),AND(LEN(L699)-FIND(".",L699,FIND(".",L699)+1)=4,FIND(".",L699)&gt;=2,FIND(".",L699)&lt;=3)),FIND(".",L699,FIND(".",L699)+1)-FIND(".",L699)&gt;=2,FIND(".",L699,FIND(".",L699)+1)-FIND(".",L699)&lt;=3,P699&gt;=2000,P699&lt;=2100,YEAR(S699)=P699,MONTH(S699)=Q699,DAY(S699)=R699),S699,0)),0)</ns0:f>
        <ns0:v>0</ns0:v>
      </ns0:c>
      <ns0:c r="U699" s="0" t="str">
        <ns0:f>IF(Bookings!C699="","Full day",Bookings!C699)</ns0:f>
        <ns0:v>Full day</ns0:v>
      </ns0:c>
      <ns0:c r="V699" s="0" t="str">
        <ns0:f>IF(Bookings!E699="","Full day",Bookings!E699)</ns0:f>
        <ns0:v>Full day</ns0:v>
      </ns0:c>
      <ns0:c r="W699" s="0">
        <ns0:f>IF(J699=0,0,J699+IF(U699="PM",1,0))</ns0:f>
        <ns0:v>0</ns0:v>
      </ns0:c>
      <ns0:c r="X699" s="0">
        <ns0:f>IF(T699=0,0,T699-IF(V699="PM",1,0))</ns0:f>
        <ns0:v>0</ns0:v>
      </ns0:c>
      <ns0:c r="Y699" s="0">
        <ns0:f>IF(J699=0,0,J699+IF(U699="AM",1,0))</ns0:f>
        <ns0:v>0</ns0:v>
      </ns0:c>
      <ns0:c r="Z699" s="0">
        <ns0:f>IF(T699=0,0,T699-IF(V699="AM",1,0))</ns0:f>
        <ns0:v>0</ns0:v>
      </ns0:c>
      <ns0:c r="AA699" s="0">
        <ns0:f>IFERROR(IF(AND(J699&gt;0,'_Engine'!C699&gt;0,MID('_Engine'!W699,WEEKDAY(J699,2),1)="W",COUNTIF(Settings!$F$18:$F$67,J699)=0),1,0),0)</ns0:f>
        <ns0:v>0</ns0:v>
      </ns0:c>
      <ns0:c r="AB699" s="0">
        <ns0:f>IFERROR(IF(AND(T699&gt;0,'_Engine'!C699&gt;0,MID('_Engine'!W699,WEEKDAY(T699,2),1)="W",COUNTIF(Settings!$F$18:$F$67,T699)=0),1,0),0)</ns0:f>
        <ns0:v>0</ns0:v>
      </ns0:c>
      <ns0:c r="AC699" s="0">
        <ns0:f>IF(AND(J699&gt;0,T699&gt;0,W699&lt;=X699),1,0)</ns0:f>
        <ns0:v>0</ns0:v>
      </ns0:c>
      <ns0:c r="AD699" s="0">
        <ns0:f>IF(AND(J699&gt;0,T699&gt;0,Y699&lt;=Z699),1,0)</ns0:f>
        <ns0:v>0</ns0:v>
      </ns0:c>
    </ns0:row>
    <ns0:row r="700">
      <ns0:c r="A700" s="0">
        <ns0:f>IFERROR(IF(ISNUMBER(Bookings!B700),"",TRIM(Bookings!B700&amp;"")),"")</ns0:f>
      </ns0:c>
      <ns0:c r="B700" s="0">
        <ns0:f>IFERROR(SUBSTITUTE(SUBSTITUTE(A700,"/","."),"-","."),"")</ns0:f>
      </ns0:c>
      <ns0:c r="C700" s="0">
        <ns0:f>IFERROR(LEFT(B700,FIND(".",B700)-1),"")</ns0:f>
      </ns0:c>
      <ns0:c r="D700" s="0">
        <ns0:f>IFERROR(MID(B700,FIND(".",B700)+1,FIND(".",B700,FIND(".",B700)+1)-FIND(".",B700)-1),"")</ns0:f>
      </ns0:c>
      <ns0:c r="E700" s="0">
        <ns0:f>IFERROR(MID(B700,FIND(".",B700,FIND(".",B700)+1)+1,99),"")</ns0:f>
        <ns0:v>99</ns0:v>
      </ns0:c>
      <ns0:c r="F700" s="0">
        <ns0:f>IFERROR(IF(FIND(".",B700)=5,--C700,--E700),0)</ns0:f>
        <ns0:v>0</ns0:v>
      </ns0:c>
      <ns0:c r="G700" s="0">
        <ns0:f>IFERROR(--D700,0)</ns0:f>
        <ns0:v>0</ns0:v>
      </ns0:c>
      <ns0:c r="H700" s="0">
        <ns0:f>IFERROR(IF(FIND(".",B700)=5,--E700,--C700),0)</ns0:f>
        <ns0:v>0</ns0:v>
      </ns0:c>
      <ns0:c r="I700" s="0">
        <ns0:f>IFERROR(IF(AND(F700&gt;=2000,F700&lt;=2100,G700&gt;=1,G700&lt;=12,H700&gt;=1,H700&lt;=31),DATE(F700,G700,H700),0),0)</ns0:f>
        <ns0:v>0</ns0:v>
      </ns0:c>
      <ns0:c r="J700" s="0">
        <ns0:f>IFERROR(IF(ISNUMBER(Bookings!B700),IF(AND(Bookings!B700=INT(Bookings!B700),Bookings!B700&gt;=DATE(2000,1,1),Bookings!B700&lt;=DATE(2100,12,31)),Bookings!B700,0),IF(AND(A700&lt;&gt;"",LEN("x"&amp;B700)-LEN(SUBSTITUTE("x"&amp;B700,".",""))=2,OR(1&gt;LEN(B700),MID(B700,1,1)=".",ISNUMBER(FIND("x"&amp;MID(B700,1,1),"x0x1x2x3x4x5x6x7x8x9"))),OR(2&gt;LEN(B700),MID(B700,2,1)=".",ISNUMBER(FIND("x"&amp;MID(B700,2,1),"x0x1x2x3x4x5x6x7x8x9"))),OR(3&gt;LEN(B700),MID(B700,3,1)=".",ISNUMBER(FIND("x"&amp;MID(B700,3,1),"x0x1x2x3x4x5x6x7x8x9"))),OR(4&gt;LEN(B700),MID(B700,4,1)=".",ISNUMBER(FIND("x"&amp;MID(B700,4,1),"x0x1x2x3x4x5x6x7x8x9"))),OR(5&gt;LEN(B700),MID(B700,5,1)=".",ISNUMBER(FIND("x"&amp;MID(B700,5,1),"x0x1x2x3x4x5x6x7x8x9"))),OR(6&gt;LEN(B700),MID(B700,6,1)=".",ISNUMBER(FIND("x"&amp;MID(B700,6,1),"x0x1x2x3x4x5x6x7x8x9"))),OR(7&gt;LEN(B700),MID(B700,7,1)=".",ISNUMBER(FIND("x"&amp;MID(B700,7,1),"x0x1x2x3x4x5x6x7x8x9"))),OR(8&gt;LEN(B700),MID(B700,8,1)=".",ISNUMBER(FIND("x"&amp;MID(B700,8,1),"x0x1x2x3x4x5x6x7x8x9"))),OR(9&gt;LEN(B700),MID(B700,9,1)=".",ISNUMBER(FIND("x"&amp;MID(B700,9,1),"x0x1x2x3x4x5x6x7x8x9"))),OR(10&gt;LEN(B700),MID(B700,10,1)=".",ISNUMBER(FIND("x"&amp;MID(B700,10,1),"x0x1x2x3x4x5x6x7x8x9"))),OR(AND(FIND(".",B700)=5,LEN(B700)-FIND(".",B700,FIND(".",B700)+1)&gt;=1,LEN(B700)-FIND(".",B700,FIND(".",B700)+1)&lt;=2),AND(LEN(B700)-FIND(".",B700,FIND(".",B700)+1)=4,FIND(".",B700)&gt;=2,FIND(".",B700)&lt;=3)),FIND(".",B700,FIND(".",B700)+1)-FIND(".",B700)&gt;=2,FIND(".",B700,FIND(".",B700)+1)-FIND(".",B700)&lt;=3,F700&gt;=2000,F700&lt;=2100,YEAR(I700)=F700,MONTH(I700)=G700,DAY(I700)=H700),I700,0)),0)</ns0:f>
        <ns0:v>0</ns0:v>
      </ns0:c>
      <ns0:c r="K700" s="0">
        <ns0:f>IFERROR(IF(ISNUMBER(Bookings!D700),"",TRIM(Bookings!D700&amp;"")),"")</ns0:f>
      </ns0:c>
      <ns0:c r="L700" s="0">
        <ns0:f>IFERROR(SUBSTITUTE(SUBSTITUTE(K700,"/","."),"-","."),"")</ns0:f>
      </ns0:c>
      <ns0:c r="M700" s="0">
        <ns0:f>IFERROR(LEFT(L700,FIND(".",L700)-1),"")</ns0:f>
      </ns0:c>
      <ns0:c r="N700" s="0">
        <ns0:f>IFERROR(MID(L700,FIND(".",L700)+1,FIND(".",L700,FIND(".",L700)+1)-FIND(".",L700)-1),"")</ns0:f>
      </ns0:c>
      <ns0:c r="O700" s="0">
        <ns0:f>IFERROR(MID(L700,FIND(".",L700,FIND(".",L700)+1)+1,99),"")</ns0:f>
        <ns0:v>99</ns0:v>
      </ns0:c>
      <ns0:c r="P700" s="0">
        <ns0:f>IFERROR(IF(FIND(".",L700)=5,--M700,--O700),0)</ns0:f>
        <ns0:v>0</ns0:v>
      </ns0:c>
      <ns0:c r="Q700" s="0">
        <ns0:f>IFERROR(--N700,0)</ns0:f>
        <ns0:v>0</ns0:v>
      </ns0:c>
      <ns0:c r="R700" s="0">
        <ns0:f>IFERROR(IF(FIND(".",L700)=5,--O700,--M700),0)</ns0:f>
        <ns0:v>0</ns0:v>
      </ns0:c>
      <ns0:c r="S700" s="0">
        <ns0:f>IFERROR(IF(AND(P700&gt;=2000,P700&lt;=2100,Q700&gt;=1,Q700&lt;=12,R700&gt;=1,R700&lt;=31),DATE(P700,Q700,R700),0),0)</ns0:f>
        <ns0:v>0</ns0:v>
      </ns0:c>
      <ns0:c r="T700" s="0">
        <ns0:f>IFERROR(IF(ISNUMBER(Bookings!D700),IF(AND(Bookings!D700=INT(Bookings!D700),Bookings!D700&gt;=DATE(2000,1,1),Bookings!D700&lt;=DATE(2100,12,31)),Bookings!D700,0),IF(AND(K700&lt;&gt;"",LEN("x"&amp;L700)-LEN(SUBSTITUTE("x"&amp;L700,".",""))=2,OR(1&gt;LEN(L700),MID(L700,1,1)=".",ISNUMBER(FIND("x"&amp;MID(L700,1,1),"x0x1x2x3x4x5x6x7x8x9"))),OR(2&gt;LEN(L700),MID(L700,2,1)=".",ISNUMBER(FIND("x"&amp;MID(L700,2,1),"x0x1x2x3x4x5x6x7x8x9"))),OR(3&gt;LEN(L700),MID(L700,3,1)=".",ISNUMBER(FIND("x"&amp;MID(L700,3,1),"x0x1x2x3x4x5x6x7x8x9"))),OR(4&gt;LEN(L700),MID(L700,4,1)=".",ISNUMBER(FIND("x"&amp;MID(L700,4,1),"x0x1x2x3x4x5x6x7x8x9"))),OR(5&gt;LEN(L700),MID(L700,5,1)=".",ISNUMBER(FIND("x"&amp;MID(L700,5,1),"x0x1x2x3x4x5x6x7x8x9"))),OR(6&gt;LEN(L700),MID(L700,6,1)=".",ISNUMBER(FIND("x"&amp;MID(L700,6,1),"x0x1x2x3x4x5x6x7x8x9"))),OR(7&gt;LEN(L700),MID(L700,7,1)=".",ISNUMBER(FIND("x"&amp;MID(L700,7,1),"x0x1x2x3x4x5x6x7x8x9"))),OR(8&gt;LEN(L700),MID(L700,8,1)=".",ISNUMBER(FIND("x"&amp;MID(L700,8,1),"x0x1x2x3x4x5x6x7x8x9"))),OR(9&gt;LEN(L700),MID(L700,9,1)=".",ISNUMBER(FIND("x"&amp;MID(L700,9,1),"x0x1x2x3x4x5x6x7x8x9"))),OR(10&gt;LEN(L700),MID(L700,10,1)=".",ISNUMBER(FIND("x"&amp;MID(L700,10,1),"x0x1x2x3x4x5x6x7x8x9"))),OR(AND(FIND(".",L700)=5,LEN(L700)-FIND(".",L700,FIND(".",L700)+1)&gt;=1,LEN(L700)-FIND(".",L700,FIND(".",L700)+1)&lt;=2),AND(LEN(L700)-FIND(".",L700,FIND(".",L700)+1)=4,FIND(".",L700)&gt;=2,FIND(".",L700)&lt;=3)),FIND(".",L700,FIND(".",L700)+1)-FIND(".",L700)&gt;=2,FIND(".",L700,FIND(".",L700)+1)-FIND(".",L700)&lt;=3,P700&gt;=2000,P700&lt;=2100,YEAR(S700)=P700,MONTH(S700)=Q700,DAY(S700)=R700),S700,0)),0)</ns0:f>
        <ns0:v>0</ns0:v>
      </ns0:c>
      <ns0:c r="U700" s="0" t="str">
        <ns0:f>IF(Bookings!C700="","Full day",Bookings!C700)</ns0:f>
        <ns0:v>Full day</ns0:v>
      </ns0:c>
      <ns0:c r="V700" s="0" t="str">
        <ns0:f>IF(Bookings!E700="","Full day",Bookings!E700)</ns0:f>
        <ns0:v>Full day</ns0:v>
      </ns0:c>
      <ns0:c r="W700" s="0">
        <ns0:f>IF(J700=0,0,J700+IF(U700="PM",1,0))</ns0:f>
        <ns0:v>0</ns0:v>
      </ns0:c>
      <ns0:c r="X700" s="0">
        <ns0:f>IF(T700=0,0,T700-IF(V700="PM",1,0))</ns0:f>
        <ns0:v>0</ns0:v>
      </ns0:c>
      <ns0:c r="Y700" s="0">
        <ns0:f>IF(J700=0,0,J700+IF(U700="AM",1,0))</ns0:f>
        <ns0:v>0</ns0:v>
      </ns0:c>
      <ns0:c r="Z700" s="0">
        <ns0:f>IF(T700=0,0,T700-IF(V700="AM",1,0))</ns0:f>
        <ns0:v>0</ns0:v>
      </ns0:c>
      <ns0:c r="AA700" s="0">
        <ns0:f>IFERROR(IF(AND(J700&gt;0,'_Engine'!C700&gt;0,MID('_Engine'!W700,WEEKDAY(J700,2),1)="W",COUNTIF(Settings!$F$18:$F$67,J700)=0),1,0),0)</ns0:f>
        <ns0:v>0</ns0:v>
      </ns0:c>
      <ns0:c r="AB700" s="0">
        <ns0:f>IFERROR(IF(AND(T700&gt;0,'_Engine'!C700&gt;0,MID('_Engine'!W700,WEEKDAY(T700,2),1)="W",COUNTIF(Settings!$F$18:$F$67,T700)=0),1,0),0)</ns0:f>
        <ns0:v>0</ns0:v>
      </ns0:c>
      <ns0:c r="AC700" s="0">
        <ns0:f>IF(AND(J700&gt;0,T700&gt;0,W700&lt;=X700),1,0)</ns0:f>
        <ns0:v>0</ns0:v>
      </ns0:c>
      <ns0:c r="AD700" s="0">
        <ns0:f>IF(AND(J700&gt;0,T700&gt;0,Y700&lt;=Z700),1,0)</ns0:f>
        <ns0:v>0</ns0:v>
      </ns0:c>
    </ns0:row>
    <ns0:row r="701">
      <ns0:c r="A701" s="0">
        <ns0:f>IFERROR(IF(ISNUMBER(Bookings!B701),"",TRIM(Bookings!B701&amp;"")),"")</ns0:f>
      </ns0:c>
      <ns0:c r="B701" s="0">
        <ns0:f>IFERROR(SUBSTITUTE(SUBSTITUTE(A701,"/","."),"-","."),"")</ns0:f>
      </ns0:c>
      <ns0:c r="C701" s="0">
        <ns0:f>IFERROR(LEFT(B701,FIND(".",B701)-1),"")</ns0:f>
      </ns0:c>
      <ns0:c r="D701" s="0">
        <ns0:f>IFERROR(MID(B701,FIND(".",B701)+1,FIND(".",B701,FIND(".",B701)+1)-FIND(".",B701)-1),"")</ns0:f>
      </ns0:c>
      <ns0:c r="E701" s="0">
        <ns0:f>IFERROR(MID(B701,FIND(".",B701,FIND(".",B701)+1)+1,99),"")</ns0:f>
        <ns0:v>99</ns0:v>
      </ns0:c>
      <ns0:c r="F701" s="0">
        <ns0:f>IFERROR(IF(FIND(".",B701)=5,--C701,--E701),0)</ns0:f>
        <ns0:v>0</ns0:v>
      </ns0:c>
      <ns0:c r="G701" s="0">
        <ns0:f>IFERROR(--D701,0)</ns0:f>
        <ns0:v>0</ns0:v>
      </ns0:c>
      <ns0:c r="H701" s="0">
        <ns0:f>IFERROR(IF(FIND(".",B701)=5,--E701,--C701),0)</ns0:f>
        <ns0:v>0</ns0:v>
      </ns0:c>
      <ns0:c r="I701" s="0">
        <ns0:f>IFERROR(IF(AND(F701&gt;=2000,F701&lt;=2100,G701&gt;=1,G701&lt;=12,H701&gt;=1,H701&lt;=31),DATE(F701,G701,H701),0),0)</ns0:f>
        <ns0:v>0</ns0:v>
      </ns0:c>
      <ns0:c r="J701" s="0">
        <ns0:f>IFERROR(IF(ISNUMBER(Bookings!B701),IF(AND(Bookings!B701=INT(Bookings!B701),Bookings!B701&gt;=DATE(2000,1,1),Bookings!B701&lt;=DATE(2100,12,31)),Bookings!B701,0),IF(AND(A701&lt;&gt;"",LEN("x"&amp;B701)-LEN(SUBSTITUTE("x"&amp;B701,".",""))=2,OR(1&gt;LEN(B701),MID(B701,1,1)=".",ISNUMBER(FIND("x"&amp;MID(B701,1,1),"x0x1x2x3x4x5x6x7x8x9"))),OR(2&gt;LEN(B701),MID(B701,2,1)=".",ISNUMBER(FIND("x"&amp;MID(B701,2,1),"x0x1x2x3x4x5x6x7x8x9"))),OR(3&gt;LEN(B701),MID(B701,3,1)=".",ISNUMBER(FIND("x"&amp;MID(B701,3,1),"x0x1x2x3x4x5x6x7x8x9"))),OR(4&gt;LEN(B701),MID(B701,4,1)=".",ISNUMBER(FIND("x"&amp;MID(B701,4,1),"x0x1x2x3x4x5x6x7x8x9"))),OR(5&gt;LEN(B701),MID(B701,5,1)=".",ISNUMBER(FIND("x"&amp;MID(B701,5,1),"x0x1x2x3x4x5x6x7x8x9"))),OR(6&gt;LEN(B701),MID(B701,6,1)=".",ISNUMBER(FIND("x"&amp;MID(B701,6,1),"x0x1x2x3x4x5x6x7x8x9"))),OR(7&gt;LEN(B701),MID(B701,7,1)=".",ISNUMBER(FIND("x"&amp;MID(B701,7,1),"x0x1x2x3x4x5x6x7x8x9"))),OR(8&gt;LEN(B701),MID(B701,8,1)=".",ISNUMBER(FIND("x"&amp;MID(B701,8,1),"x0x1x2x3x4x5x6x7x8x9"))),OR(9&gt;LEN(B701),MID(B701,9,1)=".",ISNUMBER(FIND("x"&amp;MID(B701,9,1),"x0x1x2x3x4x5x6x7x8x9"))),OR(10&gt;LEN(B701),MID(B701,10,1)=".",ISNUMBER(FIND("x"&amp;MID(B701,10,1),"x0x1x2x3x4x5x6x7x8x9"))),OR(AND(FIND(".",B701)=5,LEN(B701)-FIND(".",B701,FIND(".",B701)+1)&gt;=1,LEN(B701)-FIND(".",B701,FIND(".",B701)+1)&lt;=2),AND(LEN(B701)-FIND(".",B701,FIND(".",B701)+1)=4,FIND(".",B701)&gt;=2,FIND(".",B701)&lt;=3)),FIND(".",B701,FIND(".",B701)+1)-FIND(".",B701)&gt;=2,FIND(".",B701,FIND(".",B701)+1)-FIND(".",B701)&lt;=3,F701&gt;=2000,F701&lt;=2100,YEAR(I701)=F701,MONTH(I701)=G701,DAY(I701)=H701),I701,0)),0)</ns0:f>
        <ns0:v>0</ns0:v>
      </ns0:c>
      <ns0:c r="K701" s="0">
        <ns0:f>IFERROR(IF(ISNUMBER(Bookings!D701),"",TRIM(Bookings!D701&amp;"")),"")</ns0:f>
      </ns0:c>
      <ns0:c r="L701" s="0">
        <ns0:f>IFERROR(SUBSTITUTE(SUBSTITUTE(K701,"/","."),"-","."),"")</ns0:f>
      </ns0:c>
      <ns0:c r="M701" s="0">
        <ns0:f>IFERROR(LEFT(L701,FIND(".",L701)-1),"")</ns0:f>
      </ns0:c>
      <ns0:c r="N701" s="0">
        <ns0:f>IFERROR(MID(L701,FIND(".",L701)+1,FIND(".",L701,FIND(".",L701)+1)-FIND(".",L701)-1),"")</ns0:f>
      </ns0:c>
      <ns0:c r="O701" s="0">
        <ns0:f>IFERROR(MID(L701,FIND(".",L701,FIND(".",L701)+1)+1,99),"")</ns0:f>
        <ns0:v>99</ns0:v>
      </ns0:c>
      <ns0:c r="P701" s="0">
        <ns0:f>IFERROR(IF(FIND(".",L701)=5,--M701,--O701),0)</ns0:f>
        <ns0:v>0</ns0:v>
      </ns0:c>
      <ns0:c r="Q701" s="0">
        <ns0:f>IFERROR(--N701,0)</ns0:f>
        <ns0:v>0</ns0:v>
      </ns0:c>
      <ns0:c r="R701" s="0">
        <ns0:f>IFERROR(IF(FIND(".",L701)=5,--O701,--M701),0)</ns0:f>
        <ns0:v>0</ns0:v>
      </ns0:c>
      <ns0:c r="S701" s="0">
        <ns0:f>IFERROR(IF(AND(P701&gt;=2000,P701&lt;=2100,Q701&gt;=1,Q701&lt;=12,R701&gt;=1,R701&lt;=31),DATE(P701,Q701,R701),0),0)</ns0:f>
        <ns0:v>0</ns0:v>
      </ns0:c>
      <ns0:c r="T701" s="0">
        <ns0:f>IFERROR(IF(ISNUMBER(Bookings!D701),IF(AND(Bookings!D701=INT(Bookings!D701),Bookings!D701&gt;=DATE(2000,1,1),Bookings!D701&lt;=DATE(2100,12,31)),Bookings!D701,0),IF(AND(K701&lt;&gt;"",LEN("x"&amp;L701)-LEN(SUBSTITUTE("x"&amp;L701,".",""))=2,OR(1&gt;LEN(L701),MID(L701,1,1)=".",ISNUMBER(FIND("x"&amp;MID(L701,1,1),"x0x1x2x3x4x5x6x7x8x9"))),OR(2&gt;LEN(L701),MID(L701,2,1)=".",ISNUMBER(FIND("x"&amp;MID(L701,2,1),"x0x1x2x3x4x5x6x7x8x9"))),OR(3&gt;LEN(L701),MID(L701,3,1)=".",ISNUMBER(FIND("x"&amp;MID(L701,3,1),"x0x1x2x3x4x5x6x7x8x9"))),OR(4&gt;LEN(L701),MID(L701,4,1)=".",ISNUMBER(FIND("x"&amp;MID(L701,4,1),"x0x1x2x3x4x5x6x7x8x9"))),OR(5&gt;LEN(L701),MID(L701,5,1)=".",ISNUMBER(FIND("x"&amp;MID(L701,5,1),"x0x1x2x3x4x5x6x7x8x9"))),OR(6&gt;LEN(L701),MID(L701,6,1)=".",ISNUMBER(FIND("x"&amp;MID(L701,6,1),"x0x1x2x3x4x5x6x7x8x9"))),OR(7&gt;LEN(L701),MID(L701,7,1)=".",ISNUMBER(FIND("x"&amp;MID(L701,7,1),"x0x1x2x3x4x5x6x7x8x9"))),OR(8&gt;LEN(L701),MID(L701,8,1)=".",ISNUMBER(FIND("x"&amp;MID(L701,8,1),"x0x1x2x3x4x5x6x7x8x9"))),OR(9&gt;LEN(L701),MID(L701,9,1)=".",ISNUMBER(FIND("x"&amp;MID(L701,9,1),"x0x1x2x3x4x5x6x7x8x9"))),OR(10&gt;LEN(L701),MID(L701,10,1)=".",ISNUMBER(FIND("x"&amp;MID(L701,10,1),"x0x1x2x3x4x5x6x7x8x9"))),OR(AND(FIND(".",L701)=5,LEN(L701)-FIND(".",L701,FIND(".",L701)+1)&gt;=1,LEN(L701)-FIND(".",L701,FIND(".",L701)+1)&lt;=2),AND(LEN(L701)-FIND(".",L701,FIND(".",L701)+1)=4,FIND(".",L701)&gt;=2,FIND(".",L701)&lt;=3)),FIND(".",L701,FIND(".",L701)+1)-FIND(".",L701)&gt;=2,FIND(".",L701,FIND(".",L701)+1)-FIND(".",L701)&lt;=3,P701&gt;=2000,P701&lt;=2100,YEAR(S701)=P701,MONTH(S701)=Q701,DAY(S701)=R701),S701,0)),0)</ns0:f>
        <ns0:v>0</ns0:v>
      </ns0:c>
      <ns0:c r="U701" s="0" t="str">
        <ns0:f>IF(Bookings!C701="","Full day",Bookings!C701)</ns0:f>
        <ns0:v>Full day</ns0:v>
      </ns0:c>
      <ns0:c r="V701" s="0" t="str">
        <ns0:f>IF(Bookings!E701="","Full day",Bookings!E701)</ns0:f>
        <ns0:v>Full day</ns0:v>
      </ns0:c>
      <ns0:c r="W701" s="0">
        <ns0:f>IF(J701=0,0,J701+IF(U701="PM",1,0))</ns0:f>
        <ns0:v>0</ns0:v>
      </ns0:c>
      <ns0:c r="X701" s="0">
        <ns0:f>IF(T701=0,0,T701-IF(V701="PM",1,0))</ns0:f>
        <ns0:v>0</ns0:v>
      </ns0:c>
      <ns0:c r="Y701" s="0">
        <ns0:f>IF(J701=0,0,J701+IF(U701="AM",1,0))</ns0:f>
        <ns0:v>0</ns0:v>
      </ns0:c>
      <ns0:c r="Z701" s="0">
        <ns0:f>IF(T701=0,0,T701-IF(V701="AM",1,0))</ns0:f>
        <ns0:v>0</ns0:v>
      </ns0:c>
      <ns0:c r="AA701" s="0">
        <ns0:f>IFERROR(IF(AND(J701&gt;0,'_Engine'!C701&gt;0,MID('_Engine'!W701,WEEKDAY(J701,2),1)="W",COUNTIF(Settings!$F$18:$F$67,J701)=0),1,0),0)</ns0:f>
        <ns0:v>0</ns0:v>
      </ns0:c>
      <ns0:c r="AB701" s="0">
        <ns0:f>IFERROR(IF(AND(T701&gt;0,'_Engine'!C701&gt;0,MID('_Engine'!W701,WEEKDAY(T701,2),1)="W",COUNTIF(Settings!$F$18:$F$67,T701)=0),1,0),0)</ns0:f>
        <ns0:v>0</ns0:v>
      </ns0:c>
      <ns0:c r="AC701" s="0">
        <ns0:f>IF(AND(J701&gt;0,T701&gt;0,W701&lt;=X701),1,0)</ns0:f>
        <ns0:v>0</ns0:v>
      </ns0:c>
      <ns0:c r="AD701" s="0">
        <ns0:f>IF(AND(J701&gt;0,T701&gt;0,Y701&lt;=Z701),1,0)</ns0:f>
        <ns0:v>0</ns0:v>
      </ns0:c>
    </ns0:row>
    <ns0:row r="702">
      <ns0:c r="A702" s="0">
        <ns0:f>IFERROR(IF(ISNUMBER(Bookings!B702),"",TRIM(Bookings!B702&amp;"")),"")</ns0:f>
      </ns0:c>
      <ns0:c r="B702" s="0">
        <ns0:f>IFERROR(SUBSTITUTE(SUBSTITUTE(A702,"/","."),"-","."),"")</ns0:f>
      </ns0:c>
      <ns0:c r="C702" s="0">
        <ns0:f>IFERROR(LEFT(B702,FIND(".",B702)-1),"")</ns0:f>
      </ns0:c>
      <ns0:c r="D702" s="0">
        <ns0:f>IFERROR(MID(B702,FIND(".",B702)+1,FIND(".",B702,FIND(".",B702)+1)-FIND(".",B702)-1),"")</ns0:f>
      </ns0:c>
      <ns0:c r="E702" s="0">
        <ns0:f>IFERROR(MID(B702,FIND(".",B702,FIND(".",B702)+1)+1,99),"")</ns0:f>
        <ns0:v>99</ns0:v>
      </ns0:c>
      <ns0:c r="F702" s="0">
        <ns0:f>IFERROR(IF(FIND(".",B702)=5,--C702,--E702),0)</ns0:f>
        <ns0:v>0</ns0:v>
      </ns0:c>
      <ns0:c r="G702" s="0">
        <ns0:f>IFERROR(--D702,0)</ns0:f>
        <ns0:v>0</ns0:v>
      </ns0:c>
      <ns0:c r="H702" s="0">
        <ns0:f>IFERROR(IF(FIND(".",B702)=5,--E702,--C702),0)</ns0:f>
        <ns0:v>0</ns0:v>
      </ns0:c>
      <ns0:c r="I702" s="0">
        <ns0:f>IFERROR(IF(AND(F702&gt;=2000,F702&lt;=2100,G702&gt;=1,G702&lt;=12,H702&gt;=1,H702&lt;=31),DATE(F702,G702,H702),0),0)</ns0:f>
        <ns0:v>0</ns0:v>
      </ns0:c>
      <ns0:c r="J702" s="0">
        <ns0:f>IFERROR(IF(ISNUMBER(Bookings!B702),IF(AND(Bookings!B702=INT(Bookings!B702),Bookings!B702&gt;=DATE(2000,1,1),Bookings!B702&lt;=DATE(2100,12,31)),Bookings!B702,0),IF(AND(A702&lt;&gt;"",LEN("x"&amp;B702)-LEN(SUBSTITUTE("x"&amp;B702,".",""))=2,OR(1&gt;LEN(B702),MID(B702,1,1)=".",ISNUMBER(FIND("x"&amp;MID(B702,1,1),"x0x1x2x3x4x5x6x7x8x9"))),OR(2&gt;LEN(B702),MID(B702,2,1)=".",ISNUMBER(FIND("x"&amp;MID(B702,2,1),"x0x1x2x3x4x5x6x7x8x9"))),OR(3&gt;LEN(B702),MID(B702,3,1)=".",ISNUMBER(FIND("x"&amp;MID(B702,3,1),"x0x1x2x3x4x5x6x7x8x9"))),OR(4&gt;LEN(B702),MID(B702,4,1)=".",ISNUMBER(FIND("x"&amp;MID(B702,4,1),"x0x1x2x3x4x5x6x7x8x9"))),OR(5&gt;LEN(B702),MID(B702,5,1)=".",ISNUMBER(FIND("x"&amp;MID(B702,5,1),"x0x1x2x3x4x5x6x7x8x9"))),OR(6&gt;LEN(B702),MID(B702,6,1)=".",ISNUMBER(FIND("x"&amp;MID(B702,6,1),"x0x1x2x3x4x5x6x7x8x9"))),OR(7&gt;LEN(B702),MID(B702,7,1)=".",ISNUMBER(FIND("x"&amp;MID(B702,7,1),"x0x1x2x3x4x5x6x7x8x9"))),OR(8&gt;LEN(B702),MID(B702,8,1)=".",ISNUMBER(FIND("x"&amp;MID(B702,8,1),"x0x1x2x3x4x5x6x7x8x9"))),OR(9&gt;LEN(B702),MID(B702,9,1)=".",ISNUMBER(FIND("x"&amp;MID(B702,9,1),"x0x1x2x3x4x5x6x7x8x9"))),OR(10&gt;LEN(B702),MID(B702,10,1)=".",ISNUMBER(FIND("x"&amp;MID(B702,10,1),"x0x1x2x3x4x5x6x7x8x9"))),OR(AND(FIND(".",B702)=5,LEN(B702)-FIND(".",B702,FIND(".",B702)+1)&gt;=1,LEN(B702)-FIND(".",B702,FIND(".",B702)+1)&lt;=2),AND(LEN(B702)-FIND(".",B702,FIND(".",B702)+1)=4,FIND(".",B702)&gt;=2,FIND(".",B702)&lt;=3)),FIND(".",B702,FIND(".",B702)+1)-FIND(".",B702)&gt;=2,FIND(".",B702,FIND(".",B702)+1)-FIND(".",B702)&lt;=3,F702&gt;=2000,F702&lt;=2100,YEAR(I702)=F702,MONTH(I702)=G702,DAY(I702)=H702),I702,0)),0)</ns0:f>
        <ns0:v>0</ns0:v>
      </ns0:c>
      <ns0:c r="K702" s="0">
        <ns0:f>IFERROR(IF(ISNUMBER(Bookings!D702),"",TRIM(Bookings!D702&amp;"")),"")</ns0:f>
      </ns0:c>
      <ns0:c r="L702" s="0">
        <ns0:f>IFERROR(SUBSTITUTE(SUBSTITUTE(K702,"/","."),"-","."),"")</ns0:f>
      </ns0:c>
      <ns0:c r="M702" s="0">
        <ns0:f>IFERROR(LEFT(L702,FIND(".",L702)-1),"")</ns0:f>
      </ns0:c>
      <ns0:c r="N702" s="0">
        <ns0:f>IFERROR(MID(L702,FIND(".",L702)+1,FIND(".",L702,FIND(".",L702)+1)-FIND(".",L702)-1),"")</ns0:f>
      </ns0:c>
      <ns0:c r="O702" s="0">
        <ns0:f>IFERROR(MID(L702,FIND(".",L702,FIND(".",L702)+1)+1,99),"")</ns0:f>
        <ns0:v>99</ns0:v>
      </ns0:c>
      <ns0:c r="P702" s="0">
        <ns0:f>IFERROR(IF(FIND(".",L702)=5,--M702,--O702),0)</ns0:f>
        <ns0:v>0</ns0:v>
      </ns0:c>
      <ns0:c r="Q702" s="0">
        <ns0:f>IFERROR(--N702,0)</ns0:f>
        <ns0:v>0</ns0:v>
      </ns0:c>
      <ns0:c r="R702" s="0">
        <ns0:f>IFERROR(IF(FIND(".",L702)=5,--O702,--M702),0)</ns0:f>
        <ns0:v>0</ns0:v>
      </ns0:c>
      <ns0:c r="S702" s="0">
        <ns0:f>IFERROR(IF(AND(P702&gt;=2000,P702&lt;=2100,Q702&gt;=1,Q702&lt;=12,R702&gt;=1,R702&lt;=31),DATE(P702,Q702,R702),0),0)</ns0:f>
        <ns0:v>0</ns0:v>
      </ns0:c>
      <ns0:c r="T702" s="0">
        <ns0:f>IFERROR(IF(ISNUMBER(Bookings!D702),IF(AND(Bookings!D702=INT(Bookings!D702),Bookings!D702&gt;=DATE(2000,1,1),Bookings!D702&lt;=DATE(2100,12,31)),Bookings!D702,0),IF(AND(K702&lt;&gt;"",LEN("x"&amp;L702)-LEN(SUBSTITUTE("x"&amp;L702,".",""))=2,OR(1&gt;LEN(L702),MID(L702,1,1)=".",ISNUMBER(FIND("x"&amp;MID(L702,1,1),"x0x1x2x3x4x5x6x7x8x9"))),OR(2&gt;LEN(L702),MID(L702,2,1)=".",ISNUMBER(FIND("x"&amp;MID(L702,2,1),"x0x1x2x3x4x5x6x7x8x9"))),OR(3&gt;LEN(L702),MID(L702,3,1)=".",ISNUMBER(FIND("x"&amp;MID(L702,3,1),"x0x1x2x3x4x5x6x7x8x9"))),OR(4&gt;LEN(L702),MID(L702,4,1)=".",ISNUMBER(FIND("x"&amp;MID(L702,4,1),"x0x1x2x3x4x5x6x7x8x9"))),OR(5&gt;LEN(L702),MID(L702,5,1)=".",ISNUMBER(FIND("x"&amp;MID(L702,5,1),"x0x1x2x3x4x5x6x7x8x9"))),OR(6&gt;LEN(L702),MID(L702,6,1)=".",ISNUMBER(FIND("x"&amp;MID(L702,6,1),"x0x1x2x3x4x5x6x7x8x9"))),OR(7&gt;LEN(L702),MID(L702,7,1)=".",ISNUMBER(FIND("x"&amp;MID(L702,7,1),"x0x1x2x3x4x5x6x7x8x9"))),OR(8&gt;LEN(L702),MID(L702,8,1)=".",ISNUMBER(FIND("x"&amp;MID(L702,8,1),"x0x1x2x3x4x5x6x7x8x9"))),OR(9&gt;LEN(L702),MID(L702,9,1)=".",ISNUMBER(FIND("x"&amp;MID(L702,9,1),"x0x1x2x3x4x5x6x7x8x9"))),OR(10&gt;LEN(L702),MID(L702,10,1)=".",ISNUMBER(FIND("x"&amp;MID(L702,10,1),"x0x1x2x3x4x5x6x7x8x9"))),OR(AND(FIND(".",L702)=5,LEN(L702)-FIND(".",L702,FIND(".",L702)+1)&gt;=1,LEN(L702)-FIND(".",L702,FIND(".",L702)+1)&lt;=2),AND(LEN(L702)-FIND(".",L702,FIND(".",L702)+1)=4,FIND(".",L702)&gt;=2,FIND(".",L702)&lt;=3)),FIND(".",L702,FIND(".",L702)+1)-FIND(".",L702)&gt;=2,FIND(".",L702,FIND(".",L702)+1)-FIND(".",L702)&lt;=3,P702&gt;=2000,P702&lt;=2100,YEAR(S702)=P702,MONTH(S702)=Q702,DAY(S702)=R702),S702,0)),0)</ns0:f>
        <ns0:v>0</ns0:v>
      </ns0:c>
      <ns0:c r="U702" s="0" t="str">
        <ns0:f>IF(Bookings!C702="","Full day",Bookings!C702)</ns0:f>
        <ns0:v>Full day</ns0:v>
      </ns0:c>
      <ns0:c r="V702" s="0" t="str">
        <ns0:f>IF(Bookings!E702="","Full day",Bookings!E702)</ns0:f>
        <ns0:v>Full day</ns0:v>
      </ns0:c>
      <ns0:c r="W702" s="0">
        <ns0:f>IF(J702=0,0,J702+IF(U702="PM",1,0))</ns0:f>
        <ns0:v>0</ns0:v>
      </ns0:c>
      <ns0:c r="X702" s="0">
        <ns0:f>IF(T702=0,0,T702-IF(V702="PM",1,0))</ns0:f>
        <ns0:v>0</ns0:v>
      </ns0:c>
      <ns0:c r="Y702" s="0">
        <ns0:f>IF(J702=0,0,J702+IF(U702="AM",1,0))</ns0:f>
        <ns0:v>0</ns0:v>
      </ns0:c>
      <ns0:c r="Z702" s="0">
        <ns0:f>IF(T702=0,0,T702-IF(V702="AM",1,0))</ns0:f>
        <ns0:v>0</ns0:v>
      </ns0:c>
      <ns0:c r="AA702" s="0">
        <ns0:f>IFERROR(IF(AND(J702&gt;0,'_Engine'!C702&gt;0,MID('_Engine'!W702,WEEKDAY(J702,2),1)="W",COUNTIF(Settings!$F$18:$F$67,J702)=0),1,0),0)</ns0:f>
        <ns0:v>0</ns0:v>
      </ns0:c>
      <ns0:c r="AB702" s="0">
        <ns0:f>IFERROR(IF(AND(T702&gt;0,'_Engine'!C702&gt;0,MID('_Engine'!W702,WEEKDAY(T702,2),1)="W",COUNTIF(Settings!$F$18:$F$67,T702)=0),1,0),0)</ns0:f>
        <ns0:v>0</ns0:v>
      </ns0:c>
      <ns0:c r="AC702" s="0">
        <ns0:f>IF(AND(J702&gt;0,T702&gt;0,W702&lt;=X702),1,0)</ns0:f>
        <ns0:v>0</ns0:v>
      </ns0:c>
      <ns0:c r="AD702" s="0">
        <ns0:f>IF(AND(J702&gt;0,T702&gt;0,Y702&lt;=Z702),1,0)</ns0:f>
        <ns0:v>0</ns0:v>
      </ns0:c>
    </ns0:row>
    <ns0:row r="703">
      <ns0:c r="A703" s="0">
        <ns0:f>IFERROR(IF(ISNUMBER(Bookings!B703),"",TRIM(Bookings!B703&amp;"")),"")</ns0:f>
      </ns0:c>
      <ns0:c r="B703" s="0">
        <ns0:f>IFERROR(SUBSTITUTE(SUBSTITUTE(A703,"/","."),"-","."),"")</ns0:f>
      </ns0:c>
      <ns0:c r="C703" s="0">
        <ns0:f>IFERROR(LEFT(B703,FIND(".",B703)-1),"")</ns0:f>
      </ns0:c>
      <ns0:c r="D703" s="0">
        <ns0:f>IFERROR(MID(B703,FIND(".",B703)+1,FIND(".",B703,FIND(".",B703)+1)-FIND(".",B703)-1),"")</ns0:f>
      </ns0:c>
      <ns0:c r="E703" s="0">
        <ns0:f>IFERROR(MID(B703,FIND(".",B703,FIND(".",B703)+1)+1,99),"")</ns0:f>
        <ns0:v>99</ns0:v>
      </ns0:c>
      <ns0:c r="F703" s="0">
        <ns0:f>IFERROR(IF(FIND(".",B703)=5,--C703,--E703),0)</ns0:f>
        <ns0:v>0</ns0:v>
      </ns0:c>
      <ns0:c r="G703" s="0">
        <ns0:f>IFERROR(--D703,0)</ns0:f>
        <ns0:v>0</ns0:v>
      </ns0:c>
      <ns0:c r="H703" s="0">
        <ns0:f>IFERROR(IF(FIND(".",B703)=5,--E703,--C703),0)</ns0:f>
        <ns0:v>0</ns0:v>
      </ns0:c>
      <ns0:c r="I703" s="0">
        <ns0:f>IFERROR(IF(AND(F703&gt;=2000,F703&lt;=2100,G703&gt;=1,G703&lt;=12,H703&gt;=1,H703&lt;=31),DATE(F703,G703,H703),0),0)</ns0:f>
        <ns0:v>0</ns0:v>
      </ns0:c>
      <ns0:c r="J703" s="0">
        <ns0:f>IFERROR(IF(ISNUMBER(Bookings!B703),IF(AND(Bookings!B703=INT(Bookings!B703),Bookings!B703&gt;=DATE(2000,1,1),Bookings!B703&lt;=DATE(2100,12,31)),Bookings!B703,0),IF(AND(A703&lt;&gt;"",LEN("x"&amp;B703)-LEN(SUBSTITUTE("x"&amp;B703,".",""))=2,OR(1&gt;LEN(B703),MID(B703,1,1)=".",ISNUMBER(FIND("x"&amp;MID(B703,1,1),"x0x1x2x3x4x5x6x7x8x9"))),OR(2&gt;LEN(B703),MID(B703,2,1)=".",ISNUMBER(FIND("x"&amp;MID(B703,2,1),"x0x1x2x3x4x5x6x7x8x9"))),OR(3&gt;LEN(B703),MID(B703,3,1)=".",ISNUMBER(FIND("x"&amp;MID(B703,3,1),"x0x1x2x3x4x5x6x7x8x9"))),OR(4&gt;LEN(B703),MID(B703,4,1)=".",ISNUMBER(FIND("x"&amp;MID(B703,4,1),"x0x1x2x3x4x5x6x7x8x9"))),OR(5&gt;LEN(B703),MID(B703,5,1)=".",ISNUMBER(FIND("x"&amp;MID(B703,5,1),"x0x1x2x3x4x5x6x7x8x9"))),OR(6&gt;LEN(B703),MID(B703,6,1)=".",ISNUMBER(FIND("x"&amp;MID(B703,6,1),"x0x1x2x3x4x5x6x7x8x9"))),OR(7&gt;LEN(B703),MID(B703,7,1)=".",ISNUMBER(FIND("x"&amp;MID(B703,7,1),"x0x1x2x3x4x5x6x7x8x9"))),OR(8&gt;LEN(B703),MID(B703,8,1)=".",ISNUMBER(FIND("x"&amp;MID(B703,8,1),"x0x1x2x3x4x5x6x7x8x9"))),OR(9&gt;LEN(B703),MID(B703,9,1)=".",ISNUMBER(FIND("x"&amp;MID(B703,9,1),"x0x1x2x3x4x5x6x7x8x9"))),OR(10&gt;LEN(B703),MID(B703,10,1)=".",ISNUMBER(FIND("x"&amp;MID(B703,10,1),"x0x1x2x3x4x5x6x7x8x9"))),OR(AND(FIND(".",B703)=5,LEN(B703)-FIND(".",B703,FIND(".",B703)+1)&gt;=1,LEN(B703)-FIND(".",B703,FIND(".",B703)+1)&lt;=2),AND(LEN(B703)-FIND(".",B703,FIND(".",B703)+1)=4,FIND(".",B703)&gt;=2,FIND(".",B703)&lt;=3)),FIND(".",B703,FIND(".",B703)+1)-FIND(".",B703)&gt;=2,FIND(".",B703,FIND(".",B703)+1)-FIND(".",B703)&lt;=3,F703&gt;=2000,F703&lt;=2100,YEAR(I703)=F703,MONTH(I703)=G703,DAY(I703)=H703),I703,0)),0)</ns0:f>
        <ns0:v>0</ns0:v>
      </ns0:c>
      <ns0:c r="K703" s="0">
        <ns0:f>IFERROR(IF(ISNUMBER(Bookings!D703),"",TRIM(Bookings!D703&amp;"")),"")</ns0:f>
      </ns0:c>
      <ns0:c r="L703" s="0">
        <ns0:f>IFERROR(SUBSTITUTE(SUBSTITUTE(K703,"/","."),"-","."),"")</ns0:f>
      </ns0:c>
      <ns0:c r="M703" s="0">
        <ns0:f>IFERROR(LEFT(L703,FIND(".",L703)-1),"")</ns0:f>
      </ns0:c>
      <ns0:c r="N703" s="0">
        <ns0:f>IFERROR(MID(L703,FIND(".",L703)+1,FIND(".",L703,FIND(".",L703)+1)-FIND(".",L703)-1),"")</ns0:f>
      </ns0:c>
      <ns0:c r="O703" s="0">
        <ns0:f>IFERROR(MID(L703,FIND(".",L703,FIND(".",L703)+1)+1,99),"")</ns0:f>
        <ns0:v>99</ns0:v>
      </ns0:c>
      <ns0:c r="P703" s="0">
        <ns0:f>IFERROR(IF(FIND(".",L703)=5,--M703,--O703),0)</ns0:f>
        <ns0:v>0</ns0:v>
      </ns0:c>
      <ns0:c r="Q703" s="0">
        <ns0:f>IFERROR(--N703,0)</ns0:f>
        <ns0:v>0</ns0:v>
      </ns0:c>
      <ns0:c r="R703" s="0">
        <ns0:f>IFERROR(IF(FIND(".",L703)=5,--O703,--M703),0)</ns0:f>
        <ns0:v>0</ns0:v>
      </ns0:c>
      <ns0:c r="S703" s="0">
        <ns0:f>IFERROR(IF(AND(P703&gt;=2000,P703&lt;=2100,Q703&gt;=1,Q703&lt;=12,R703&gt;=1,R703&lt;=31),DATE(P703,Q703,R703),0),0)</ns0:f>
        <ns0:v>0</ns0:v>
      </ns0:c>
      <ns0:c r="T703" s="0">
        <ns0:f>IFERROR(IF(ISNUMBER(Bookings!D703),IF(AND(Bookings!D703=INT(Bookings!D703),Bookings!D703&gt;=DATE(2000,1,1),Bookings!D703&lt;=DATE(2100,12,31)),Bookings!D703,0),IF(AND(K703&lt;&gt;"",LEN("x"&amp;L703)-LEN(SUBSTITUTE("x"&amp;L703,".",""))=2,OR(1&gt;LEN(L703),MID(L703,1,1)=".",ISNUMBER(FIND("x"&amp;MID(L703,1,1),"x0x1x2x3x4x5x6x7x8x9"))),OR(2&gt;LEN(L703),MID(L703,2,1)=".",ISNUMBER(FIND("x"&amp;MID(L703,2,1),"x0x1x2x3x4x5x6x7x8x9"))),OR(3&gt;LEN(L703),MID(L703,3,1)=".",ISNUMBER(FIND("x"&amp;MID(L703,3,1),"x0x1x2x3x4x5x6x7x8x9"))),OR(4&gt;LEN(L703),MID(L703,4,1)=".",ISNUMBER(FIND("x"&amp;MID(L703,4,1),"x0x1x2x3x4x5x6x7x8x9"))),OR(5&gt;LEN(L703),MID(L703,5,1)=".",ISNUMBER(FIND("x"&amp;MID(L703,5,1),"x0x1x2x3x4x5x6x7x8x9"))),OR(6&gt;LEN(L703),MID(L703,6,1)=".",ISNUMBER(FIND("x"&amp;MID(L703,6,1),"x0x1x2x3x4x5x6x7x8x9"))),OR(7&gt;LEN(L703),MID(L703,7,1)=".",ISNUMBER(FIND("x"&amp;MID(L703,7,1),"x0x1x2x3x4x5x6x7x8x9"))),OR(8&gt;LEN(L703),MID(L703,8,1)=".",ISNUMBER(FIND("x"&amp;MID(L703,8,1),"x0x1x2x3x4x5x6x7x8x9"))),OR(9&gt;LEN(L703),MID(L703,9,1)=".",ISNUMBER(FIND("x"&amp;MID(L703,9,1),"x0x1x2x3x4x5x6x7x8x9"))),OR(10&gt;LEN(L703),MID(L703,10,1)=".",ISNUMBER(FIND("x"&amp;MID(L703,10,1),"x0x1x2x3x4x5x6x7x8x9"))),OR(AND(FIND(".",L703)=5,LEN(L703)-FIND(".",L703,FIND(".",L703)+1)&gt;=1,LEN(L703)-FIND(".",L703,FIND(".",L703)+1)&lt;=2),AND(LEN(L703)-FIND(".",L703,FIND(".",L703)+1)=4,FIND(".",L703)&gt;=2,FIND(".",L703)&lt;=3)),FIND(".",L703,FIND(".",L703)+1)-FIND(".",L703)&gt;=2,FIND(".",L703,FIND(".",L703)+1)-FIND(".",L703)&lt;=3,P703&gt;=2000,P703&lt;=2100,YEAR(S703)=P703,MONTH(S703)=Q703,DAY(S703)=R703),S703,0)),0)</ns0:f>
        <ns0:v>0</ns0:v>
      </ns0:c>
      <ns0:c r="U703" s="0" t="str">
        <ns0:f>IF(Bookings!C703="","Full day",Bookings!C703)</ns0:f>
        <ns0:v>Full day</ns0:v>
      </ns0:c>
      <ns0:c r="V703" s="0" t="str">
        <ns0:f>IF(Bookings!E703="","Full day",Bookings!E703)</ns0:f>
        <ns0:v>Full day</ns0:v>
      </ns0:c>
      <ns0:c r="W703" s="0">
        <ns0:f>IF(J703=0,0,J703+IF(U703="PM",1,0))</ns0:f>
        <ns0:v>0</ns0:v>
      </ns0:c>
      <ns0:c r="X703" s="0">
        <ns0:f>IF(T703=0,0,T703-IF(V703="PM",1,0))</ns0:f>
        <ns0:v>0</ns0:v>
      </ns0:c>
      <ns0:c r="Y703" s="0">
        <ns0:f>IF(J703=0,0,J703+IF(U703="AM",1,0))</ns0:f>
        <ns0:v>0</ns0:v>
      </ns0:c>
      <ns0:c r="Z703" s="0">
        <ns0:f>IF(T703=0,0,T703-IF(V703="AM",1,0))</ns0:f>
        <ns0:v>0</ns0:v>
      </ns0:c>
      <ns0:c r="AA703" s="0">
        <ns0:f>IFERROR(IF(AND(J703&gt;0,'_Engine'!C703&gt;0,MID('_Engine'!W703,WEEKDAY(J703,2),1)="W",COUNTIF(Settings!$F$18:$F$67,J703)=0),1,0),0)</ns0:f>
        <ns0:v>0</ns0:v>
      </ns0:c>
      <ns0:c r="AB703" s="0">
        <ns0:f>IFERROR(IF(AND(T703&gt;0,'_Engine'!C703&gt;0,MID('_Engine'!W703,WEEKDAY(T703,2),1)="W",COUNTIF(Settings!$F$18:$F$67,T703)=0),1,0),0)</ns0:f>
        <ns0:v>0</ns0:v>
      </ns0:c>
      <ns0:c r="AC703" s="0">
        <ns0:f>IF(AND(J703&gt;0,T703&gt;0,W703&lt;=X703),1,0)</ns0:f>
        <ns0:v>0</ns0:v>
      </ns0:c>
      <ns0:c r="AD703" s="0">
        <ns0:f>IF(AND(J703&gt;0,T703&gt;0,Y703&lt;=Z703),1,0)</ns0:f>
        <ns0:v>0</ns0:v>
      </ns0:c>
    </ns0:row>
    <ns0:row r="704">
      <ns0:c r="A704" s="0">
        <ns0:f>IFERROR(IF(ISNUMBER(Bookings!B704),"",TRIM(Bookings!B704&amp;"")),"")</ns0:f>
      </ns0:c>
      <ns0:c r="B704" s="0">
        <ns0:f>IFERROR(SUBSTITUTE(SUBSTITUTE(A704,"/","."),"-","."),"")</ns0:f>
      </ns0:c>
      <ns0:c r="C704" s="0">
        <ns0:f>IFERROR(LEFT(B704,FIND(".",B704)-1),"")</ns0:f>
      </ns0:c>
      <ns0:c r="D704" s="0">
        <ns0:f>IFERROR(MID(B704,FIND(".",B704)+1,FIND(".",B704,FIND(".",B704)+1)-FIND(".",B704)-1),"")</ns0:f>
      </ns0:c>
      <ns0:c r="E704" s="0">
        <ns0:f>IFERROR(MID(B704,FIND(".",B704,FIND(".",B704)+1)+1,99),"")</ns0:f>
        <ns0:v>99</ns0:v>
      </ns0:c>
      <ns0:c r="F704" s="0">
        <ns0:f>IFERROR(IF(FIND(".",B704)=5,--C704,--E704),0)</ns0:f>
        <ns0:v>0</ns0:v>
      </ns0:c>
      <ns0:c r="G704" s="0">
        <ns0:f>IFERROR(--D704,0)</ns0:f>
        <ns0:v>0</ns0:v>
      </ns0:c>
      <ns0:c r="H704" s="0">
        <ns0:f>IFERROR(IF(FIND(".",B704)=5,--E704,--C704),0)</ns0:f>
        <ns0:v>0</ns0:v>
      </ns0:c>
      <ns0:c r="I704" s="0">
        <ns0:f>IFERROR(IF(AND(F704&gt;=2000,F704&lt;=2100,G704&gt;=1,G704&lt;=12,H704&gt;=1,H704&lt;=31),DATE(F704,G704,H704),0),0)</ns0:f>
        <ns0:v>0</ns0:v>
      </ns0:c>
      <ns0:c r="J704" s="0">
        <ns0:f>IFERROR(IF(ISNUMBER(Bookings!B704),IF(AND(Bookings!B704=INT(Bookings!B704),Bookings!B704&gt;=DATE(2000,1,1),Bookings!B704&lt;=DATE(2100,12,31)),Bookings!B704,0),IF(AND(A704&lt;&gt;"",LEN("x"&amp;B704)-LEN(SUBSTITUTE("x"&amp;B704,".",""))=2,OR(1&gt;LEN(B704),MID(B704,1,1)=".",ISNUMBER(FIND("x"&amp;MID(B704,1,1),"x0x1x2x3x4x5x6x7x8x9"))),OR(2&gt;LEN(B704),MID(B704,2,1)=".",ISNUMBER(FIND("x"&amp;MID(B704,2,1),"x0x1x2x3x4x5x6x7x8x9"))),OR(3&gt;LEN(B704),MID(B704,3,1)=".",ISNUMBER(FIND("x"&amp;MID(B704,3,1),"x0x1x2x3x4x5x6x7x8x9"))),OR(4&gt;LEN(B704),MID(B704,4,1)=".",ISNUMBER(FIND("x"&amp;MID(B704,4,1),"x0x1x2x3x4x5x6x7x8x9"))),OR(5&gt;LEN(B704),MID(B704,5,1)=".",ISNUMBER(FIND("x"&amp;MID(B704,5,1),"x0x1x2x3x4x5x6x7x8x9"))),OR(6&gt;LEN(B704),MID(B704,6,1)=".",ISNUMBER(FIND("x"&amp;MID(B704,6,1),"x0x1x2x3x4x5x6x7x8x9"))),OR(7&gt;LEN(B704),MID(B704,7,1)=".",ISNUMBER(FIND("x"&amp;MID(B704,7,1),"x0x1x2x3x4x5x6x7x8x9"))),OR(8&gt;LEN(B704),MID(B704,8,1)=".",ISNUMBER(FIND("x"&amp;MID(B704,8,1),"x0x1x2x3x4x5x6x7x8x9"))),OR(9&gt;LEN(B704),MID(B704,9,1)=".",ISNUMBER(FIND("x"&amp;MID(B704,9,1),"x0x1x2x3x4x5x6x7x8x9"))),OR(10&gt;LEN(B704),MID(B704,10,1)=".",ISNUMBER(FIND("x"&amp;MID(B704,10,1),"x0x1x2x3x4x5x6x7x8x9"))),OR(AND(FIND(".",B704)=5,LEN(B704)-FIND(".",B704,FIND(".",B704)+1)&gt;=1,LEN(B704)-FIND(".",B704,FIND(".",B704)+1)&lt;=2),AND(LEN(B704)-FIND(".",B704,FIND(".",B704)+1)=4,FIND(".",B704)&gt;=2,FIND(".",B704)&lt;=3)),FIND(".",B704,FIND(".",B704)+1)-FIND(".",B704)&gt;=2,FIND(".",B704,FIND(".",B704)+1)-FIND(".",B704)&lt;=3,F704&gt;=2000,F704&lt;=2100,YEAR(I704)=F704,MONTH(I704)=G704,DAY(I704)=H704),I704,0)),0)</ns0:f>
        <ns0:v>0</ns0:v>
      </ns0:c>
      <ns0:c r="K704" s="0">
        <ns0:f>IFERROR(IF(ISNUMBER(Bookings!D704),"",TRIM(Bookings!D704&amp;"")),"")</ns0:f>
      </ns0:c>
      <ns0:c r="L704" s="0">
        <ns0:f>IFERROR(SUBSTITUTE(SUBSTITUTE(K704,"/","."),"-","."),"")</ns0:f>
      </ns0:c>
      <ns0:c r="M704" s="0">
        <ns0:f>IFERROR(LEFT(L704,FIND(".",L704)-1),"")</ns0:f>
      </ns0:c>
      <ns0:c r="N704" s="0">
        <ns0:f>IFERROR(MID(L704,FIND(".",L704)+1,FIND(".",L704,FIND(".",L704)+1)-FIND(".",L704)-1),"")</ns0:f>
      </ns0:c>
      <ns0:c r="O704" s="0">
        <ns0:f>IFERROR(MID(L704,FIND(".",L704,FIND(".",L704)+1)+1,99),"")</ns0:f>
        <ns0:v>99</ns0:v>
      </ns0:c>
      <ns0:c r="P704" s="0">
        <ns0:f>IFERROR(IF(FIND(".",L704)=5,--M704,--O704),0)</ns0:f>
        <ns0:v>0</ns0:v>
      </ns0:c>
      <ns0:c r="Q704" s="0">
        <ns0:f>IFERROR(--N704,0)</ns0:f>
        <ns0:v>0</ns0:v>
      </ns0:c>
      <ns0:c r="R704" s="0">
        <ns0:f>IFERROR(IF(FIND(".",L704)=5,--O704,--M704),0)</ns0:f>
        <ns0:v>0</ns0:v>
      </ns0:c>
      <ns0:c r="S704" s="0">
        <ns0:f>IFERROR(IF(AND(P704&gt;=2000,P704&lt;=2100,Q704&gt;=1,Q704&lt;=12,R704&gt;=1,R704&lt;=31),DATE(P704,Q704,R704),0),0)</ns0:f>
        <ns0:v>0</ns0:v>
      </ns0:c>
      <ns0:c r="T704" s="0">
        <ns0:f>IFERROR(IF(ISNUMBER(Bookings!D704),IF(AND(Bookings!D704=INT(Bookings!D704),Bookings!D704&gt;=DATE(2000,1,1),Bookings!D704&lt;=DATE(2100,12,31)),Bookings!D704,0),IF(AND(K704&lt;&gt;"",LEN("x"&amp;L704)-LEN(SUBSTITUTE("x"&amp;L704,".",""))=2,OR(1&gt;LEN(L704),MID(L704,1,1)=".",ISNUMBER(FIND("x"&amp;MID(L704,1,1),"x0x1x2x3x4x5x6x7x8x9"))),OR(2&gt;LEN(L704),MID(L704,2,1)=".",ISNUMBER(FIND("x"&amp;MID(L704,2,1),"x0x1x2x3x4x5x6x7x8x9"))),OR(3&gt;LEN(L704),MID(L704,3,1)=".",ISNUMBER(FIND("x"&amp;MID(L704,3,1),"x0x1x2x3x4x5x6x7x8x9"))),OR(4&gt;LEN(L704),MID(L704,4,1)=".",ISNUMBER(FIND("x"&amp;MID(L704,4,1),"x0x1x2x3x4x5x6x7x8x9"))),OR(5&gt;LEN(L704),MID(L704,5,1)=".",ISNUMBER(FIND("x"&amp;MID(L704,5,1),"x0x1x2x3x4x5x6x7x8x9"))),OR(6&gt;LEN(L704),MID(L704,6,1)=".",ISNUMBER(FIND("x"&amp;MID(L704,6,1),"x0x1x2x3x4x5x6x7x8x9"))),OR(7&gt;LEN(L704),MID(L704,7,1)=".",ISNUMBER(FIND("x"&amp;MID(L704,7,1),"x0x1x2x3x4x5x6x7x8x9"))),OR(8&gt;LEN(L704),MID(L704,8,1)=".",ISNUMBER(FIND("x"&amp;MID(L704,8,1),"x0x1x2x3x4x5x6x7x8x9"))),OR(9&gt;LEN(L704),MID(L704,9,1)=".",ISNUMBER(FIND("x"&amp;MID(L704,9,1),"x0x1x2x3x4x5x6x7x8x9"))),OR(10&gt;LEN(L704),MID(L704,10,1)=".",ISNUMBER(FIND("x"&amp;MID(L704,10,1),"x0x1x2x3x4x5x6x7x8x9"))),OR(AND(FIND(".",L704)=5,LEN(L704)-FIND(".",L704,FIND(".",L704)+1)&gt;=1,LEN(L704)-FIND(".",L704,FIND(".",L704)+1)&lt;=2),AND(LEN(L704)-FIND(".",L704,FIND(".",L704)+1)=4,FIND(".",L704)&gt;=2,FIND(".",L704)&lt;=3)),FIND(".",L704,FIND(".",L704)+1)-FIND(".",L704)&gt;=2,FIND(".",L704,FIND(".",L704)+1)-FIND(".",L704)&lt;=3,P704&gt;=2000,P704&lt;=2100,YEAR(S704)=P704,MONTH(S704)=Q704,DAY(S704)=R704),S704,0)),0)</ns0:f>
        <ns0:v>0</ns0:v>
      </ns0:c>
      <ns0:c r="U704" s="0" t="str">
        <ns0:f>IF(Bookings!C704="","Full day",Bookings!C704)</ns0:f>
        <ns0:v>Full day</ns0:v>
      </ns0:c>
      <ns0:c r="V704" s="0" t="str">
        <ns0:f>IF(Bookings!E704="","Full day",Bookings!E704)</ns0:f>
        <ns0:v>Full day</ns0:v>
      </ns0:c>
      <ns0:c r="W704" s="0">
        <ns0:f>IF(J704=0,0,J704+IF(U704="PM",1,0))</ns0:f>
        <ns0:v>0</ns0:v>
      </ns0:c>
      <ns0:c r="X704" s="0">
        <ns0:f>IF(T704=0,0,T704-IF(V704="PM",1,0))</ns0:f>
        <ns0:v>0</ns0:v>
      </ns0:c>
      <ns0:c r="Y704" s="0">
        <ns0:f>IF(J704=0,0,J704+IF(U704="AM",1,0))</ns0:f>
        <ns0:v>0</ns0:v>
      </ns0:c>
      <ns0:c r="Z704" s="0">
        <ns0:f>IF(T704=0,0,T704-IF(V704="AM",1,0))</ns0:f>
        <ns0:v>0</ns0:v>
      </ns0:c>
      <ns0:c r="AA704" s="0">
        <ns0:f>IFERROR(IF(AND(J704&gt;0,'_Engine'!C704&gt;0,MID('_Engine'!W704,WEEKDAY(J704,2),1)="W",COUNTIF(Settings!$F$18:$F$67,J704)=0),1,0),0)</ns0:f>
        <ns0:v>0</ns0:v>
      </ns0:c>
      <ns0:c r="AB704" s="0">
        <ns0:f>IFERROR(IF(AND(T704&gt;0,'_Engine'!C704&gt;0,MID('_Engine'!W704,WEEKDAY(T704,2),1)="W",COUNTIF(Settings!$F$18:$F$67,T704)=0),1,0),0)</ns0:f>
        <ns0:v>0</ns0:v>
      </ns0:c>
      <ns0:c r="AC704" s="0">
        <ns0:f>IF(AND(J704&gt;0,T704&gt;0,W704&lt;=X704),1,0)</ns0:f>
        <ns0:v>0</ns0:v>
      </ns0:c>
      <ns0:c r="AD704" s="0">
        <ns0:f>IF(AND(J704&gt;0,T704&gt;0,Y704&lt;=Z704),1,0)</ns0:f>
        <ns0:v>0</ns0:v>
      </ns0:c>
    </ns0:row>
    <ns0:row r="705">
      <ns0:c r="A705" s="0">
        <ns0:f>IFERROR(IF(ISNUMBER(Bookings!B705),"",TRIM(Bookings!B705&amp;"")),"")</ns0:f>
      </ns0:c>
      <ns0:c r="B705" s="0">
        <ns0:f>IFERROR(SUBSTITUTE(SUBSTITUTE(A705,"/","."),"-","."),"")</ns0:f>
      </ns0:c>
      <ns0:c r="C705" s="0">
        <ns0:f>IFERROR(LEFT(B705,FIND(".",B705)-1),"")</ns0:f>
      </ns0:c>
      <ns0:c r="D705" s="0">
        <ns0:f>IFERROR(MID(B705,FIND(".",B705)+1,FIND(".",B705,FIND(".",B705)+1)-FIND(".",B705)-1),"")</ns0:f>
      </ns0:c>
      <ns0:c r="E705" s="0">
        <ns0:f>IFERROR(MID(B705,FIND(".",B705,FIND(".",B705)+1)+1,99),"")</ns0:f>
        <ns0:v>99</ns0:v>
      </ns0:c>
      <ns0:c r="F705" s="0">
        <ns0:f>IFERROR(IF(FIND(".",B705)=5,--C705,--E705),0)</ns0:f>
        <ns0:v>0</ns0:v>
      </ns0:c>
      <ns0:c r="G705" s="0">
        <ns0:f>IFERROR(--D705,0)</ns0:f>
        <ns0:v>0</ns0:v>
      </ns0:c>
      <ns0:c r="H705" s="0">
        <ns0:f>IFERROR(IF(FIND(".",B705)=5,--E705,--C705),0)</ns0:f>
        <ns0:v>0</ns0:v>
      </ns0:c>
      <ns0:c r="I705" s="0">
        <ns0:f>IFERROR(IF(AND(F705&gt;=2000,F705&lt;=2100,G705&gt;=1,G705&lt;=12,H705&gt;=1,H705&lt;=31),DATE(F705,G705,H705),0),0)</ns0:f>
        <ns0:v>0</ns0:v>
      </ns0:c>
      <ns0:c r="J705" s="0">
        <ns0:f>IFERROR(IF(ISNUMBER(Bookings!B705),IF(AND(Bookings!B705=INT(Bookings!B705),Bookings!B705&gt;=DATE(2000,1,1),Bookings!B705&lt;=DATE(2100,12,31)),Bookings!B705,0),IF(AND(A705&lt;&gt;"",LEN("x"&amp;B705)-LEN(SUBSTITUTE("x"&amp;B705,".",""))=2,OR(1&gt;LEN(B705),MID(B705,1,1)=".",ISNUMBER(FIND("x"&amp;MID(B705,1,1),"x0x1x2x3x4x5x6x7x8x9"))),OR(2&gt;LEN(B705),MID(B705,2,1)=".",ISNUMBER(FIND("x"&amp;MID(B705,2,1),"x0x1x2x3x4x5x6x7x8x9"))),OR(3&gt;LEN(B705),MID(B705,3,1)=".",ISNUMBER(FIND("x"&amp;MID(B705,3,1),"x0x1x2x3x4x5x6x7x8x9"))),OR(4&gt;LEN(B705),MID(B705,4,1)=".",ISNUMBER(FIND("x"&amp;MID(B705,4,1),"x0x1x2x3x4x5x6x7x8x9"))),OR(5&gt;LEN(B705),MID(B705,5,1)=".",ISNUMBER(FIND("x"&amp;MID(B705,5,1),"x0x1x2x3x4x5x6x7x8x9"))),OR(6&gt;LEN(B705),MID(B705,6,1)=".",ISNUMBER(FIND("x"&amp;MID(B705,6,1),"x0x1x2x3x4x5x6x7x8x9"))),OR(7&gt;LEN(B705),MID(B705,7,1)=".",ISNUMBER(FIND("x"&amp;MID(B705,7,1),"x0x1x2x3x4x5x6x7x8x9"))),OR(8&gt;LEN(B705),MID(B705,8,1)=".",ISNUMBER(FIND("x"&amp;MID(B705,8,1),"x0x1x2x3x4x5x6x7x8x9"))),OR(9&gt;LEN(B705),MID(B705,9,1)=".",ISNUMBER(FIND("x"&amp;MID(B705,9,1),"x0x1x2x3x4x5x6x7x8x9"))),OR(10&gt;LEN(B705),MID(B705,10,1)=".",ISNUMBER(FIND("x"&amp;MID(B705,10,1),"x0x1x2x3x4x5x6x7x8x9"))),OR(AND(FIND(".",B705)=5,LEN(B705)-FIND(".",B705,FIND(".",B705)+1)&gt;=1,LEN(B705)-FIND(".",B705,FIND(".",B705)+1)&lt;=2),AND(LEN(B705)-FIND(".",B705,FIND(".",B705)+1)=4,FIND(".",B705)&gt;=2,FIND(".",B705)&lt;=3)),FIND(".",B705,FIND(".",B705)+1)-FIND(".",B705)&gt;=2,FIND(".",B705,FIND(".",B705)+1)-FIND(".",B705)&lt;=3,F705&gt;=2000,F705&lt;=2100,YEAR(I705)=F705,MONTH(I705)=G705,DAY(I705)=H705),I705,0)),0)</ns0:f>
        <ns0:v>0</ns0:v>
      </ns0:c>
      <ns0:c r="K705" s="0">
        <ns0:f>IFERROR(IF(ISNUMBER(Bookings!D705),"",TRIM(Bookings!D705&amp;"")),"")</ns0:f>
      </ns0:c>
      <ns0:c r="L705" s="0">
        <ns0:f>IFERROR(SUBSTITUTE(SUBSTITUTE(K705,"/","."),"-","."),"")</ns0:f>
      </ns0:c>
      <ns0:c r="M705" s="0">
        <ns0:f>IFERROR(LEFT(L705,FIND(".",L705)-1),"")</ns0:f>
      </ns0:c>
      <ns0:c r="N705" s="0">
        <ns0:f>IFERROR(MID(L705,FIND(".",L705)+1,FIND(".",L705,FIND(".",L705)+1)-FIND(".",L705)-1),"")</ns0:f>
      </ns0:c>
      <ns0:c r="O705" s="0">
        <ns0:f>IFERROR(MID(L705,FIND(".",L705,FIND(".",L705)+1)+1,99),"")</ns0:f>
        <ns0:v>99</ns0:v>
      </ns0:c>
      <ns0:c r="P705" s="0">
        <ns0:f>IFERROR(IF(FIND(".",L705)=5,--M705,--O705),0)</ns0:f>
        <ns0:v>0</ns0:v>
      </ns0:c>
      <ns0:c r="Q705" s="0">
        <ns0:f>IFERROR(--N705,0)</ns0:f>
        <ns0:v>0</ns0:v>
      </ns0:c>
      <ns0:c r="R705" s="0">
        <ns0:f>IFERROR(IF(FIND(".",L705)=5,--O705,--M705),0)</ns0:f>
        <ns0:v>0</ns0:v>
      </ns0:c>
      <ns0:c r="S705" s="0">
        <ns0:f>IFERROR(IF(AND(P705&gt;=2000,P705&lt;=2100,Q705&gt;=1,Q705&lt;=12,R705&gt;=1,R705&lt;=31),DATE(P705,Q705,R705),0),0)</ns0:f>
        <ns0:v>0</ns0:v>
      </ns0:c>
      <ns0:c r="T705" s="0">
        <ns0:f>IFERROR(IF(ISNUMBER(Bookings!D705),IF(AND(Bookings!D705=INT(Bookings!D705),Bookings!D705&gt;=DATE(2000,1,1),Bookings!D705&lt;=DATE(2100,12,31)),Bookings!D705,0),IF(AND(K705&lt;&gt;"",LEN("x"&amp;L705)-LEN(SUBSTITUTE("x"&amp;L705,".",""))=2,OR(1&gt;LEN(L705),MID(L705,1,1)=".",ISNUMBER(FIND("x"&amp;MID(L705,1,1),"x0x1x2x3x4x5x6x7x8x9"))),OR(2&gt;LEN(L705),MID(L705,2,1)=".",ISNUMBER(FIND("x"&amp;MID(L705,2,1),"x0x1x2x3x4x5x6x7x8x9"))),OR(3&gt;LEN(L705),MID(L705,3,1)=".",ISNUMBER(FIND("x"&amp;MID(L705,3,1),"x0x1x2x3x4x5x6x7x8x9"))),OR(4&gt;LEN(L705),MID(L705,4,1)=".",ISNUMBER(FIND("x"&amp;MID(L705,4,1),"x0x1x2x3x4x5x6x7x8x9"))),OR(5&gt;LEN(L705),MID(L705,5,1)=".",ISNUMBER(FIND("x"&amp;MID(L705,5,1),"x0x1x2x3x4x5x6x7x8x9"))),OR(6&gt;LEN(L705),MID(L705,6,1)=".",ISNUMBER(FIND("x"&amp;MID(L705,6,1),"x0x1x2x3x4x5x6x7x8x9"))),OR(7&gt;LEN(L705),MID(L705,7,1)=".",ISNUMBER(FIND("x"&amp;MID(L705,7,1),"x0x1x2x3x4x5x6x7x8x9"))),OR(8&gt;LEN(L705),MID(L705,8,1)=".",ISNUMBER(FIND("x"&amp;MID(L705,8,1),"x0x1x2x3x4x5x6x7x8x9"))),OR(9&gt;LEN(L705),MID(L705,9,1)=".",ISNUMBER(FIND("x"&amp;MID(L705,9,1),"x0x1x2x3x4x5x6x7x8x9"))),OR(10&gt;LEN(L705),MID(L705,10,1)=".",ISNUMBER(FIND("x"&amp;MID(L705,10,1),"x0x1x2x3x4x5x6x7x8x9"))),OR(AND(FIND(".",L705)=5,LEN(L705)-FIND(".",L705,FIND(".",L705)+1)&gt;=1,LEN(L705)-FIND(".",L705,FIND(".",L705)+1)&lt;=2),AND(LEN(L705)-FIND(".",L705,FIND(".",L705)+1)=4,FIND(".",L705)&gt;=2,FIND(".",L705)&lt;=3)),FIND(".",L705,FIND(".",L705)+1)-FIND(".",L705)&gt;=2,FIND(".",L705,FIND(".",L705)+1)-FIND(".",L705)&lt;=3,P705&gt;=2000,P705&lt;=2100,YEAR(S705)=P705,MONTH(S705)=Q705,DAY(S705)=R705),S705,0)),0)</ns0:f>
        <ns0:v>0</ns0:v>
      </ns0:c>
      <ns0:c r="U705" s="0" t="str">
        <ns0:f>IF(Bookings!C705="","Full day",Bookings!C705)</ns0:f>
        <ns0:v>Full day</ns0:v>
      </ns0:c>
      <ns0:c r="V705" s="0" t="str">
        <ns0:f>IF(Bookings!E705="","Full day",Bookings!E705)</ns0:f>
        <ns0:v>Full day</ns0:v>
      </ns0:c>
      <ns0:c r="W705" s="0">
        <ns0:f>IF(J705=0,0,J705+IF(U705="PM",1,0))</ns0:f>
        <ns0:v>0</ns0:v>
      </ns0:c>
      <ns0:c r="X705" s="0">
        <ns0:f>IF(T705=0,0,T705-IF(V705="PM",1,0))</ns0:f>
        <ns0:v>0</ns0:v>
      </ns0:c>
      <ns0:c r="Y705" s="0">
        <ns0:f>IF(J705=0,0,J705+IF(U705="AM",1,0))</ns0:f>
        <ns0:v>0</ns0:v>
      </ns0:c>
      <ns0:c r="Z705" s="0">
        <ns0:f>IF(T705=0,0,T705-IF(V705="AM",1,0))</ns0:f>
        <ns0:v>0</ns0:v>
      </ns0:c>
      <ns0:c r="AA705" s="0">
        <ns0:f>IFERROR(IF(AND(J705&gt;0,'_Engine'!C705&gt;0,MID('_Engine'!W705,WEEKDAY(J705,2),1)="W",COUNTIF(Settings!$F$18:$F$67,J705)=0),1,0),0)</ns0:f>
        <ns0:v>0</ns0:v>
      </ns0:c>
      <ns0:c r="AB705" s="0">
        <ns0:f>IFERROR(IF(AND(T705&gt;0,'_Engine'!C705&gt;0,MID('_Engine'!W705,WEEKDAY(T705,2),1)="W",COUNTIF(Settings!$F$18:$F$67,T705)=0),1,0),0)</ns0:f>
        <ns0:v>0</ns0:v>
      </ns0:c>
      <ns0:c r="AC705" s="0">
        <ns0:f>IF(AND(J705&gt;0,T705&gt;0,W705&lt;=X705),1,0)</ns0:f>
        <ns0:v>0</ns0:v>
      </ns0:c>
      <ns0:c r="AD705" s="0">
        <ns0:f>IF(AND(J705&gt;0,T705&gt;0,Y705&lt;=Z705),1,0)</ns0:f>
        <ns0:v>0</ns0:v>
      </ns0:c>
    </ns0:row>
    <ns0:row r="706">
      <ns0:c r="A706" s="0">
        <ns0:f>IFERROR(IF(ISNUMBER(Bookings!B706),"",TRIM(Bookings!B706&amp;"")),"")</ns0:f>
      </ns0:c>
      <ns0:c r="B706" s="0">
        <ns0:f>IFERROR(SUBSTITUTE(SUBSTITUTE(A706,"/","."),"-","."),"")</ns0:f>
      </ns0:c>
      <ns0:c r="C706" s="0">
        <ns0:f>IFERROR(LEFT(B706,FIND(".",B706)-1),"")</ns0:f>
      </ns0:c>
      <ns0:c r="D706" s="0">
        <ns0:f>IFERROR(MID(B706,FIND(".",B706)+1,FIND(".",B706,FIND(".",B706)+1)-FIND(".",B706)-1),"")</ns0:f>
      </ns0:c>
      <ns0:c r="E706" s="0">
        <ns0:f>IFERROR(MID(B706,FIND(".",B706,FIND(".",B706)+1)+1,99),"")</ns0:f>
        <ns0:v>99</ns0:v>
      </ns0:c>
      <ns0:c r="F706" s="0">
        <ns0:f>IFERROR(IF(FIND(".",B706)=5,--C706,--E706),0)</ns0:f>
        <ns0:v>0</ns0:v>
      </ns0:c>
      <ns0:c r="G706" s="0">
        <ns0:f>IFERROR(--D706,0)</ns0:f>
        <ns0:v>0</ns0:v>
      </ns0:c>
      <ns0:c r="H706" s="0">
        <ns0:f>IFERROR(IF(FIND(".",B706)=5,--E706,--C706),0)</ns0:f>
        <ns0:v>0</ns0:v>
      </ns0:c>
      <ns0:c r="I706" s="0">
        <ns0:f>IFERROR(IF(AND(F706&gt;=2000,F706&lt;=2100,G706&gt;=1,G706&lt;=12,H706&gt;=1,H706&lt;=31),DATE(F706,G706,H706),0),0)</ns0:f>
        <ns0:v>0</ns0:v>
      </ns0:c>
      <ns0:c r="J706" s="0">
        <ns0:f>IFERROR(IF(ISNUMBER(Bookings!B706),IF(AND(Bookings!B706=INT(Bookings!B706),Bookings!B706&gt;=DATE(2000,1,1),Bookings!B706&lt;=DATE(2100,12,31)),Bookings!B706,0),IF(AND(A706&lt;&gt;"",LEN("x"&amp;B706)-LEN(SUBSTITUTE("x"&amp;B706,".",""))=2,OR(1&gt;LEN(B706),MID(B706,1,1)=".",ISNUMBER(FIND("x"&amp;MID(B706,1,1),"x0x1x2x3x4x5x6x7x8x9"))),OR(2&gt;LEN(B706),MID(B706,2,1)=".",ISNUMBER(FIND("x"&amp;MID(B706,2,1),"x0x1x2x3x4x5x6x7x8x9"))),OR(3&gt;LEN(B706),MID(B706,3,1)=".",ISNUMBER(FIND("x"&amp;MID(B706,3,1),"x0x1x2x3x4x5x6x7x8x9"))),OR(4&gt;LEN(B706),MID(B706,4,1)=".",ISNUMBER(FIND("x"&amp;MID(B706,4,1),"x0x1x2x3x4x5x6x7x8x9"))),OR(5&gt;LEN(B706),MID(B706,5,1)=".",ISNUMBER(FIND("x"&amp;MID(B706,5,1),"x0x1x2x3x4x5x6x7x8x9"))),OR(6&gt;LEN(B706),MID(B706,6,1)=".",ISNUMBER(FIND("x"&amp;MID(B706,6,1),"x0x1x2x3x4x5x6x7x8x9"))),OR(7&gt;LEN(B706),MID(B706,7,1)=".",ISNUMBER(FIND("x"&amp;MID(B706,7,1),"x0x1x2x3x4x5x6x7x8x9"))),OR(8&gt;LEN(B706),MID(B706,8,1)=".",ISNUMBER(FIND("x"&amp;MID(B706,8,1),"x0x1x2x3x4x5x6x7x8x9"))),OR(9&gt;LEN(B706),MID(B706,9,1)=".",ISNUMBER(FIND("x"&amp;MID(B706,9,1),"x0x1x2x3x4x5x6x7x8x9"))),OR(10&gt;LEN(B706),MID(B706,10,1)=".",ISNUMBER(FIND("x"&amp;MID(B706,10,1),"x0x1x2x3x4x5x6x7x8x9"))),OR(AND(FIND(".",B706)=5,LEN(B706)-FIND(".",B706,FIND(".",B706)+1)&gt;=1,LEN(B706)-FIND(".",B706,FIND(".",B706)+1)&lt;=2),AND(LEN(B706)-FIND(".",B706,FIND(".",B706)+1)=4,FIND(".",B706)&gt;=2,FIND(".",B706)&lt;=3)),FIND(".",B706,FIND(".",B706)+1)-FIND(".",B706)&gt;=2,FIND(".",B706,FIND(".",B706)+1)-FIND(".",B706)&lt;=3,F706&gt;=2000,F706&lt;=2100,YEAR(I706)=F706,MONTH(I706)=G706,DAY(I706)=H706),I706,0)),0)</ns0:f>
        <ns0:v>0</ns0:v>
      </ns0:c>
      <ns0:c r="K706" s="0">
        <ns0:f>IFERROR(IF(ISNUMBER(Bookings!D706),"",TRIM(Bookings!D706&amp;"")),"")</ns0:f>
      </ns0:c>
      <ns0:c r="L706" s="0">
        <ns0:f>IFERROR(SUBSTITUTE(SUBSTITUTE(K706,"/","."),"-","."),"")</ns0:f>
      </ns0:c>
      <ns0:c r="M706" s="0">
        <ns0:f>IFERROR(LEFT(L706,FIND(".",L706)-1),"")</ns0:f>
      </ns0:c>
      <ns0:c r="N706" s="0">
        <ns0:f>IFERROR(MID(L706,FIND(".",L706)+1,FIND(".",L706,FIND(".",L706)+1)-FIND(".",L706)-1),"")</ns0:f>
      </ns0:c>
      <ns0:c r="O706" s="0">
        <ns0:f>IFERROR(MID(L706,FIND(".",L706,FIND(".",L706)+1)+1,99),"")</ns0:f>
        <ns0:v>99</ns0:v>
      </ns0:c>
      <ns0:c r="P706" s="0">
        <ns0:f>IFERROR(IF(FIND(".",L706)=5,--M706,--O706),0)</ns0:f>
        <ns0:v>0</ns0:v>
      </ns0:c>
      <ns0:c r="Q706" s="0">
        <ns0:f>IFERROR(--N706,0)</ns0:f>
        <ns0:v>0</ns0:v>
      </ns0:c>
      <ns0:c r="R706" s="0">
        <ns0:f>IFERROR(IF(FIND(".",L706)=5,--O706,--M706),0)</ns0:f>
        <ns0:v>0</ns0:v>
      </ns0:c>
      <ns0:c r="S706" s="0">
        <ns0:f>IFERROR(IF(AND(P706&gt;=2000,P706&lt;=2100,Q706&gt;=1,Q706&lt;=12,R706&gt;=1,R706&lt;=31),DATE(P706,Q706,R706),0),0)</ns0:f>
        <ns0:v>0</ns0:v>
      </ns0:c>
      <ns0:c r="T706" s="0">
        <ns0:f>IFERROR(IF(ISNUMBER(Bookings!D706),IF(AND(Bookings!D706=INT(Bookings!D706),Bookings!D706&gt;=DATE(2000,1,1),Bookings!D706&lt;=DATE(2100,12,31)),Bookings!D706,0),IF(AND(K706&lt;&gt;"",LEN("x"&amp;L706)-LEN(SUBSTITUTE("x"&amp;L706,".",""))=2,OR(1&gt;LEN(L706),MID(L706,1,1)=".",ISNUMBER(FIND("x"&amp;MID(L706,1,1),"x0x1x2x3x4x5x6x7x8x9"))),OR(2&gt;LEN(L706),MID(L706,2,1)=".",ISNUMBER(FIND("x"&amp;MID(L706,2,1),"x0x1x2x3x4x5x6x7x8x9"))),OR(3&gt;LEN(L706),MID(L706,3,1)=".",ISNUMBER(FIND("x"&amp;MID(L706,3,1),"x0x1x2x3x4x5x6x7x8x9"))),OR(4&gt;LEN(L706),MID(L706,4,1)=".",ISNUMBER(FIND("x"&amp;MID(L706,4,1),"x0x1x2x3x4x5x6x7x8x9"))),OR(5&gt;LEN(L706),MID(L706,5,1)=".",ISNUMBER(FIND("x"&amp;MID(L706,5,1),"x0x1x2x3x4x5x6x7x8x9"))),OR(6&gt;LEN(L706),MID(L706,6,1)=".",ISNUMBER(FIND("x"&amp;MID(L706,6,1),"x0x1x2x3x4x5x6x7x8x9"))),OR(7&gt;LEN(L706),MID(L706,7,1)=".",ISNUMBER(FIND("x"&amp;MID(L706,7,1),"x0x1x2x3x4x5x6x7x8x9"))),OR(8&gt;LEN(L706),MID(L706,8,1)=".",ISNUMBER(FIND("x"&amp;MID(L706,8,1),"x0x1x2x3x4x5x6x7x8x9"))),OR(9&gt;LEN(L706),MID(L706,9,1)=".",ISNUMBER(FIND("x"&amp;MID(L706,9,1),"x0x1x2x3x4x5x6x7x8x9"))),OR(10&gt;LEN(L706),MID(L706,10,1)=".",ISNUMBER(FIND("x"&amp;MID(L706,10,1),"x0x1x2x3x4x5x6x7x8x9"))),OR(AND(FIND(".",L706)=5,LEN(L706)-FIND(".",L706,FIND(".",L706)+1)&gt;=1,LEN(L706)-FIND(".",L706,FIND(".",L706)+1)&lt;=2),AND(LEN(L706)-FIND(".",L706,FIND(".",L706)+1)=4,FIND(".",L706)&gt;=2,FIND(".",L706)&lt;=3)),FIND(".",L706,FIND(".",L706)+1)-FIND(".",L706)&gt;=2,FIND(".",L706,FIND(".",L706)+1)-FIND(".",L706)&lt;=3,P706&gt;=2000,P706&lt;=2100,YEAR(S706)=P706,MONTH(S706)=Q706,DAY(S706)=R706),S706,0)),0)</ns0:f>
        <ns0:v>0</ns0:v>
      </ns0:c>
      <ns0:c r="U706" s="0" t="str">
        <ns0:f>IF(Bookings!C706="","Full day",Bookings!C706)</ns0:f>
        <ns0:v>Full day</ns0:v>
      </ns0:c>
      <ns0:c r="V706" s="0" t="str">
        <ns0:f>IF(Bookings!E706="","Full day",Bookings!E706)</ns0:f>
        <ns0:v>Full day</ns0:v>
      </ns0:c>
      <ns0:c r="W706" s="0">
        <ns0:f>IF(J706=0,0,J706+IF(U706="PM",1,0))</ns0:f>
        <ns0:v>0</ns0:v>
      </ns0:c>
      <ns0:c r="X706" s="0">
        <ns0:f>IF(T706=0,0,T706-IF(V706="PM",1,0))</ns0:f>
        <ns0:v>0</ns0:v>
      </ns0:c>
      <ns0:c r="Y706" s="0">
        <ns0:f>IF(J706=0,0,J706+IF(U706="AM",1,0))</ns0:f>
        <ns0:v>0</ns0:v>
      </ns0:c>
      <ns0:c r="Z706" s="0">
        <ns0:f>IF(T706=0,0,T706-IF(V706="AM",1,0))</ns0:f>
        <ns0:v>0</ns0:v>
      </ns0:c>
      <ns0:c r="AA706" s="0">
        <ns0:f>IFERROR(IF(AND(J706&gt;0,'_Engine'!C706&gt;0,MID('_Engine'!W706,WEEKDAY(J706,2),1)="W",COUNTIF(Settings!$F$18:$F$67,J706)=0),1,0),0)</ns0:f>
        <ns0:v>0</ns0:v>
      </ns0:c>
      <ns0:c r="AB706" s="0">
        <ns0:f>IFERROR(IF(AND(T706&gt;0,'_Engine'!C706&gt;0,MID('_Engine'!W706,WEEKDAY(T706,2),1)="W",COUNTIF(Settings!$F$18:$F$67,T706)=0),1,0),0)</ns0:f>
        <ns0:v>0</ns0:v>
      </ns0:c>
      <ns0:c r="AC706" s="0">
        <ns0:f>IF(AND(J706&gt;0,T706&gt;0,W706&lt;=X706),1,0)</ns0:f>
        <ns0:v>0</ns0:v>
      </ns0:c>
      <ns0:c r="AD706" s="0">
        <ns0:f>IF(AND(J706&gt;0,T706&gt;0,Y706&lt;=Z706),1,0)</ns0:f>
        <ns0:v>0</ns0:v>
      </ns0:c>
    </ns0:row>
    <ns0:row r="707">
      <ns0:c r="A707" s="0">
        <ns0:f>IFERROR(IF(ISNUMBER(Bookings!B707),"",TRIM(Bookings!B707&amp;"")),"")</ns0:f>
      </ns0:c>
      <ns0:c r="B707" s="0">
        <ns0:f>IFERROR(SUBSTITUTE(SUBSTITUTE(A707,"/","."),"-","."),"")</ns0:f>
      </ns0:c>
      <ns0:c r="C707" s="0">
        <ns0:f>IFERROR(LEFT(B707,FIND(".",B707)-1),"")</ns0:f>
      </ns0:c>
      <ns0:c r="D707" s="0">
        <ns0:f>IFERROR(MID(B707,FIND(".",B707)+1,FIND(".",B707,FIND(".",B707)+1)-FIND(".",B707)-1),"")</ns0:f>
      </ns0:c>
      <ns0:c r="E707" s="0">
        <ns0:f>IFERROR(MID(B707,FIND(".",B707,FIND(".",B707)+1)+1,99),"")</ns0:f>
        <ns0:v>99</ns0:v>
      </ns0:c>
      <ns0:c r="F707" s="0">
        <ns0:f>IFERROR(IF(FIND(".",B707)=5,--C707,--E707),0)</ns0:f>
        <ns0:v>0</ns0:v>
      </ns0:c>
      <ns0:c r="G707" s="0">
        <ns0:f>IFERROR(--D707,0)</ns0:f>
        <ns0:v>0</ns0:v>
      </ns0:c>
      <ns0:c r="H707" s="0">
        <ns0:f>IFERROR(IF(FIND(".",B707)=5,--E707,--C707),0)</ns0:f>
        <ns0:v>0</ns0:v>
      </ns0:c>
      <ns0:c r="I707" s="0">
        <ns0:f>IFERROR(IF(AND(F707&gt;=2000,F707&lt;=2100,G707&gt;=1,G707&lt;=12,H707&gt;=1,H707&lt;=31),DATE(F707,G707,H707),0),0)</ns0:f>
        <ns0:v>0</ns0:v>
      </ns0:c>
      <ns0:c r="J707" s="0">
        <ns0:f>IFERROR(IF(ISNUMBER(Bookings!B707),IF(AND(Bookings!B707=INT(Bookings!B707),Bookings!B707&gt;=DATE(2000,1,1),Bookings!B707&lt;=DATE(2100,12,31)),Bookings!B707,0),IF(AND(A707&lt;&gt;"",LEN("x"&amp;B707)-LEN(SUBSTITUTE("x"&amp;B707,".",""))=2,OR(1&gt;LEN(B707),MID(B707,1,1)=".",ISNUMBER(FIND("x"&amp;MID(B707,1,1),"x0x1x2x3x4x5x6x7x8x9"))),OR(2&gt;LEN(B707),MID(B707,2,1)=".",ISNUMBER(FIND("x"&amp;MID(B707,2,1),"x0x1x2x3x4x5x6x7x8x9"))),OR(3&gt;LEN(B707),MID(B707,3,1)=".",ISNUMBER(FIND("x"&amp;MID(B707,3,1),"x0x1x2x3x4x5x6x7x8x9"))),OR(4&gt;LEN(B707),MID(B707,4,1)=".",ISNUMBER(FIND("x"&amp;MID(B707,4,1),"x0x1x2x3x4x5x6x7x8x9"))),OR(5&gt;LEN(B707),MID(B707,5,1)=".",ISNUMBER(FIND("x"&amp;MID(B707,5,1),"x0x1x2x3x4x5x6x7x8x9"))),OR(6&gt;LEN(B707),MID(B707,6,1)=".",ISNUMBER(FIND("x"&amp;MID(B707,6,1),"x0x1x2x3x4x5x6x7x8x9"))),OR(7&gt;LEN(B707),MID(B707,7,1)=".",ISNUMBER(FIND("x"&amp;MID(B707,7,1),"x0x1x2x3x4x5x6x7x8x9"))),OR(8&gt;LEN(B707),MID(B707,8,1)=".",ISNUMBER(FIND("x"&amp;MID(B707,8,1),"x0x1x2x3x4x5x6x7x8x9"))),OR(9&gt;LEN(B707),MID(B707,9,1)=".",ISNUMBER(FIND("x"&amp;MID(B707,9,1),"x0x1x2x3x4x5x6x7x8x9"))),OR(10&gt;LEN(B707),MID(B707,10,1)=".",ISNUMBER(FIND("x"&amp;MID(B707,10,1),"x0x1x2x3x4x5x6x7x8x9"))),OR(AND(FIND(".",B707)=5,LEN(B707)-FIND(".",B707,FIND(".",B707)+1)&gt;=1,LEN(B707)-FIND(".",B707,FIND(".",B707)+1)&lt;=2),AND(LEN(B707)-FIND(".",B707,FIND(".",B707)+1)=4,FIND(".",B707)&gt;=2,FIND(".",B707)&lt;=3)),FIND(".",B707,FIND(".",B707)+1)-FIND(".",B707)&gt;=2,FIND(".",B707,FIND(".",B707)+1)-FIND(".",B707)&lt;=3,F707&gt;=2000,F707&lt;=2100,YEAR(I707)=F707,MONTH(I707)=G707,DAY(I707)=H707),I707,0)),0)</ns0:f>
        <ns0:v>0</ns0:v>
      </ns0:c>
      <ns0:c r="K707" s="0">
        <ns0:f>IFERROR(IF(ISNUMBER(Bookings!D707),"",TRIM(Bookings!D707&amp;"")),"")</ns0:f>
      </ns0:c>
      <ns0:c r="L707" s="0">
        <ns0:f>IFERROR(SUBSTITUTE(SUBSTITUTE(K707,"/","."),"-","."),"")</ns0:f>
      </ns0:c>
      <ns0:c r="M707" s="0">
        <ns0:f>IFERROR(LEFT(L707,FIND(".",L707)-1),"")</ns0:f>
      </ns0:c>
      <ns0:c r="N707" s="0">
        <ns0:f>IFERROR(MID(L707,FIND(".",L707)+1,FIND(".",L707,FIND(".",L707)+1)-FIND(".",L707)-1),"")</ns0:f>
      </ns0:c>
      <ns0:c r="O707" s="0">
        <ns0:f>IFERROR(MID(L707,FIND(".",L707,FIND(".",L707)+1)+1,99),"")</ns0:f>
        <ns0:v>99</ns0:v>
      </ns0:c>
      <ns0:c r="P707" s="0">
        <ns0:f>IFERROR(IF(FIND(".",L707)=5,--M707,--O707),0)</ns0:f>
        <ns0:v>0</ns0:v>
      </ns0:c>
      <ns0:c r="Q707" s="0">
        <ns0:f>IFERROR(--N707,0)</ns0:f>
        <ns0:v>0</ns0:v>
      </ns0:c>
      <ns0:c r="R707" s="0">
        <ns0:f>IFERROR(IF(FIND(".",L707)=5,--O707,--M707),0)</ns0:f>
        <ns0:v>0</ns0:v>
      </ns0:c>
      <ns0:c r="S707" s="0">
        <ns0:f>IFERROR(IF(AND(P707&gt;=2000,P707&lt;=2100,Q707&gt;=1,Q707&lt;=12,R707&gt;=1,R707&lt;=31),DATE(P707,Q707,R707),0),0)</ns0:f>
        <ns0:v>0</ns0:v>
      </ns0:c>
      <ns0:c r="T707" s="0">
        <ns0:f>IFERROR(IF(ISNUMBER(Bookings!D707),IF(AND(Bookings!D707=INT(Bookings!D707),Bookings!D707&gt;=DATE(2000,1,1),Bookings!D707&lt;=DATE(2100,12,31)),Bookings!D707,0),IF(AND(K707&lt;&gt;"",LEN("x"&amp;L707)-LEN(SUBSTITUTE("x"&amp;L707,".",""))=2,OR(1&gt;LEN(L707),MID(L707,1,1)=".",ISNUMBER(FIND("x"&amp;MID(L707,1,1),"x0x1x2x3x4x5x6x7x8x9"))),OR(2&gt;LEN(L707),MID(L707,2,1)=".",ISNUMBER(FIND("x"&amp;MID(L707,2,1),"x0x1x2x3x4x5x6x7x8x9"))),OR(3&gt;LEN(L707),MID(L707,3,1)=".",ISNUMBER(FIND("x"&amp;MID(L707,3,1),"x0x1x2x3x4x5x6x7x8x9"))),OR(4&gt;LEN(L707),MID(L707,4,1)=".",ISNUMBER(FIND("x"&amp;MID(L707,4,1),"x0x1x2x3x4x5x6x7x8x9"))),OR(5&gt;LEN(L707),MID(L707,5,1)=".",ISNUMBER(FIND("x"&amp;MID(L707,5,1),"x0x1x2x3x4x5x6x7x8x9"))),OR(6&gt;LEN(L707),MID(L707,6,1)=".",ISNUMBER(FIND("x"&amp;MID(L707,6,1),"x0x1x2x3x4x5x6x7x8x9"))),OR(7&gt;LEN(L707),MID(L707,7,1)=".",ISNUMBER(FIND("x"&amp;MID(L707,7,1),"x0x1x2x3x4x5x6x7x8x9"))),OR(8&gt;LEN(L707),MID(L707,8,1)=".",ISNUMBER(FIND("x"&amp;MID(L707,8,1),"x0x1x2x3x4x5x6x7x8x9"))),OR(9&gt;LEN(L707),MID(L707,9,1)=".",ISNUMBER(FIND("x"&amp;MID(L707,9,1),"x0x1x2x3x4x5x6x7x8x9"))),OR(10&gt;LEN(L707),MID(L707,10,1)=".",ISNUMBER(FIND("x"&amp;MID(L707,10,1),"x0x1x2x3x4x5x6x7x8x9"))),OR(AND(FIND(".",L707)=5,LEN(L707)-FIND(".",L707,FIND(".",L707)+1)&gt;=1,LEN(L707)-FIND(".",L707,FIND(".",L707)+1)&lt;=2),AND(LEN(L707)-FIND(".",L707,FIND(".",L707)+1)=4,FIND(".",L707)&gt;=2,FIND(".",L707)&lt;=3)),FIND(".",L707,FIND(".",L707)+1)-FIND(".",L707)&gt;=2,FIND(".",L707,FIND(".",L707)+1)-FIND(".",L707)&lt;=3,P707&gt;=2000,P707&lt;=2100,YEAR(S707)=P707,MONTH(S707)=Q707,DAY(S707)=R707),S707,0)),0)</ns0:f>
        <ns0:v>0</ns0:v>
      </ns0:c>
      <ns0:c r="U707" s="0" t="str">
        <ns0:f>IF(Bookings!C707="","Full day",Bookings!C707)</ns0:f>
        <ns0:v>Full day</ns0:v>
      </ns0:c>
      <ns0:c r="V707" s="0" t="str">
        <ns0:f>IF(Bookings!E707="","Full day",Bookings!E707)</ns0:f>
        <ns0:v>Full day</ns0:v>
      </ns0:c>
      <ns0:c r="W707" s="0">
        <ns0:f>IF(J707=0,0,J707+IF(U707="PM",1,0))</ns0:f>
        <ns0:v>0</ns0:v>
      </ns0:c>
      <ns0:c r="X707" s="0">
        <ns0:f>IF(T707=0,0,T707-IF(V707="PM",1,0))</ns0:f>
        <ns0:v>0</ns0:v>
      </ns0:c>
      <ns0:c r="Y707" s="0">
        <ns0:f>IF(J707=0,0,J707+IF(U707="AM",1,0))</ns0:f>
        <ns0:v>0</ns0:v>
      </ns0:c>
      <ns0:c r="Z707" s="0">
        <ns0:f>IF(T707=0,0,T707-IF(V707="AM",1,0))</ns0:f>
        <ns0:v>0</ns0:v>
      </ns0:c>
      <ns0:c r="AA707" s="0">
        <ns0:f>IFERROR(IF(AND(J707&gt;0,'_Engine'!C707&gt;0,MID('_Engine'!W707,WEEKDAY(J707,2),1)="W",COUNTIF(Settings!$F$18:$F$67,J707)=0),1,0),0)</ns0:f>
        <ns0:v>0</ns0:v>
      </ns0:c>
      <ns0:c r="AB707" s="0">
        <ns0:f>IFERROR(IF(AND(T707&gt;0,'_Engine'!C707&gt;0,MID('_Engine'!W707,WEEKDAY(T707,2),1)="W",COUNTIF(Settings!$F$18:$F$67,T707)=0),1,0),0)</ns0:f>
        <ns0:v>0</ns0:v>
      </ns0:c>
      <ns0:c r="AC707" s="0">
        <ns0:f>IF(AND(J707&gt;0,T707&gt;0,W707&lt;=X707),1,0)</ns0:f>
        <ns0:v>0</ns0:v>
      </ns0:c>
      <ns0:c r="AD707" s="0">
        <ns0:f>IF(AND(J707&gt;0,T707&gt;0,Y707&lt;=Z707),1,0)</ns0:f>
        <ns0:v>0</ns0:v>
      </ns0:c>
    </ns0:row>
    <ns0:row r="708">
      <ns0:c r="A708" s="0">
        <ns0:f>IFERROR(IF(ISNUMBER(Bookings!B708),"",TRIM(Bookings!B708&amp;"")),"")</ns0:f>
      </ns0:c>
      <ns0:c r="B708" s="0">
        <ns0:f>IFERROR(SUBSTITUTE(SUBSTITUTE(A708,"/","."),"-","."),"")</ns0:f>
      </ns0:c>
      <ns0:c r="C708" s="0">
        <ns0:f>IFERROR(LEFT(B708,FIND(".",B708)-1),"")</ns0:f>
      </ns0:c>
      <ns0:c r="D708" s="0">
        <ns0:f>IFERROR(MID(B708,FIND(".",B708)+1,FIND(".",B708,FIND(".",B708)+1)-FIND(".",B708)-1),"")</ns0:f>
      </ns0:c>
      <ns0:c r="E708" s="0">
        <ns0:f>IFERROR(MID(B708,FIND(".",B708,FIND(".",B708)+1)+1,99),"")</ns0:f>
        <ns0:v>99</ns0:v>
      </ns0:c>
      <ns0:c r="F708" s="0">
        <ns0:f>IFERROR(IF(FIND(".",B708)=5,--C708,--E708),0)</ns0:f>
        <ns0:v>0</ns0:v>
      </ns0:c>
      <ns0:c r="G708" s="0">
        <ns0:f>IFERROR(--D708,0)</ns0:f>
        <ns0:v>0</ns0:v>
      </ns0:c>
      <ns0:c r="H708" s="0">
        <ns0:f>IFERROR(IF(FIND(".",B708)=5,--E708,--C708),0)</ns0:f>
        <ns0:v>0</ns0:v>
      </ns0:c>
      <ns0:c r="I708" s="0">
        <ns0:f>IFERROR(IF(AND(F708&gt;=2000,F708&lt;=2100,G708&gt;=1,G708&lt;=12,H708&gt;=1,H708&lt;=31),DATE(F708,G708,H708),0),0)</ns0:f>
        <ns0:v>0</ns0:v>
      </ns0:c>
      <ns0:c r="J708" s="0">
        <ns0:f>IFERROR(IF(ISNUMBER(Bookings!B708),IF(AND(Bookings!B708=INT(Bookings!B708),Bookings!B708&gt;=DATE(2000,1,1),Bookings!B708&lt;=DATE(2100,12,31)),Bookings!B708,0),IF(AND(A708&lt;&gt;"",LEN("x"&amp;B708)-LEN(SUBSTITUTE("x"&amp;B708,".",""))=2,OR(1&gt;LEN(B708),MID(B708,1,1)=".",ISNUMBER(FIND("x"&amp;MID(B708,1,1),"x0x1x2x3x4x5x6x7x8x9"))),OR(2&gt;LEN(B708),MID(B708,2,1)=".",ISNUMBER(FIND("x"&amp;MID(B708,2,1),"x0x1x2x3x4x5x6x7x8x9"))),OR(3&gt;LEN(B708),MID(B708,3,1)=".",ISNUMBER(FIND("x"&amp;MID(B708,3,1),"x0x1x2x3x4x5x6x7x8x9"))),OR(4&gt;LEN(B708),MID(B708,4,1)=".",ISNUMBER(FIND("x"&amp;MID(B708,4,1),"x0x1x2x3x4x5x6x7x8x9"))),OR(5&gt;LEN(B708),MID(B708,5,1)=".",ISNUMBER(FIND("x"&amp;MID(B708,5,1),"x0x1x2x3x4x5x6x7x8x9"))),OR(6&gt;LEN(B708),MID(B708,6,1)=".",ISNUMBER(FIND("x"&amp;MID(B708,6,1),"x0x1x2x3x4x5x6x7x8x9"))),OR(7&gt;LEN(B708),MID(B708,7,1)=".",ISNUMBER(FIND("x"&amp;MID(B708,7,1),"x0x1x2x3x4x5x6x7x8x9"))),OR(8&gt;LEN(B708),MID(B708,8,1)=".",ISNUMBER(FIND("x"&amp;MID(B708,8,1),"x0x1x2x3x4x5x6x7x8x9"))),OR(9&gt;LEN(B708),MID(B708,9,1)=".",ISNUMBER(FIND("x"&amp;MID(B708,9,1),"x0x1x2x3x4x5x6x7x8x9"))),OR(10&gt;LEN(B708),MID(B708,10,1)=".",ISNUMBER(FIND("x"&amp;MID(B708,10,1),"x0x1x2x3x4x5x6x7x8x9"))),OR(AND(FIND(".",B708)=5,LEN(B708)-FIND(".",B708,FIND(".",B708)+1)&gt;=1,LEN(B708)-FIND(".",B708,FIND(".",B708)+1)&lt;=2),AND(LEN(B708)-FIND(".",B708,FIND(".",B708)+1)=4,FIND(".",B708)&gt;=2,FIND(".",B708)&lt;=3)),FIND(".",B708,FIND(".",B708)+1)-FIND(".",B708)&gt;=2,FIND(".",B708,FIND(".",B708)+1)-FIND(".",B708)&lt;=3,F708&gt;=2000,F708&lt;=2100,YEAR(I708)=F708,MONTH(I708)=G708,DAY(I708)=H708),I708,0)),0)</ns0:f>
        <ns0:v>0</ns0:v>
      </ns0:c>
      <ns0:c r="K708" s="0">
        <ns0:f>IFERROR(IF(ISNUMBER(Bookings!D708),"",TRIM(Bookings!D708&amp;"")),"")</ns0:f>
      </ns0:c>
      <ns0:c r="L708" s="0">
        <ns0:f>IFERROR(SUBSTITUTE(SUBSTITUTE(K708,"/","."),"-","."),"")</ns0:f>
      </ns0:c>
      <ns0:c r="M708" s="0">
        <ns0:f>IFERROR(LEFT(L708,FIND(".",L708)-1),"")</ns0:f>
      </ns0:c>
      <ns0:c r="N708" s="0">
        <ns0:f>IFERROR(MID(L708,FIND(".",L708)+1,FIND(".",L708,FIND(".",L708)+1)-FIND(".",L708)-1),"")</ns0:f>
      </ns0:c>
      <ns0:c r="O708" s="0">
        <ns0:f>IFERROR(MID(L708,FIND(".",L708,FIND(".",L708)+1)+1,99),"")</ns0:f>
        <ns0:v>99</ns0:v>
      </ns0:c>
      <ns0:c r="P708" s="0">
        <ns0:f>IFERROR(IF(FIND(".",L708)=5,--M708,--O708),0)</ns0:f>
        <ns0:v>0</ns0:v>
      </ns0:c>
      <ns0:c r="Q708" s="0">
        <ns0:f>IFERROR(--N708,0)</ns0:f>
        <ns0:v>0</ns0:v>
      </ns0:c>
      <ns0:c r="R708" s="0">
        <ns0:f>IFERROR(IF(FIND(".",L708)=5,--O708,--M708),0)</ns0:f>
        <ns0:v>0</ns0:v>
      </ns0:c>
      <ns0:c r="S708" s="0">
        <ns0:f>IFERROR(IF(AND(P708&gt;=2000,P708&lt;=2100,Q708&gt;=1,Q708&lt;=12,R708&gt;=1,R708&lt;=31),DATE(P708,Q708,R708),0),0)</ns0:f>
        <ns0:v>0</ns0:v>
      </ns0:c>
      <ns0:c r="T708" s="0">
        <ns0:f>IFERROR(IF(ISNUMBER(Bookings!D708),IF(AND(Bookings!D708=INT(Bookings!D708),Bookings!D708&gt;=DATE(2000,1,1),Bookings!D708&lt;=DATE(2100,12,31)),Bookings!D708,0),IF(AND(K708&lt;&gt;"",LEN("x"&amp;L708)-LEN(SUBSTITUTE("x"&amp;L708,".",""))=2,OR(1&gt;LEN(L708),MID(L708,1,1)=".",ISNUMBER(FIND("x"&amp;MID(L708,1,1),"x0x1x2x3x4x5x6x7x8x9"))),OR(2&gt;LEN(L708),MID(L708,2,1)=".",ISNUMBER(FIND("x"&amp;MID(L708,2,1),"x0x1x2x3x4x5x6x7x8x9"))),OR(3&gt;LEN(L708),MID(L708,3,1)=".",ISNUMBER(FIND("x"&amp;MID(L708,3,1),"x0x1x2x3x4x5x6x7x8x9"))),OR(4&gt;LEN(L708),MID(L708,4,1)=".",ISNUMBER(FIND("x"&amp;MID(L708,4,1),"x0x1x2x3x4x5x6x7x8x9"))),OR(5&gt;LEN(L708),MID(L708,5,1)=".",ISNUMBER(FIND("x"&amp;MID(L708,5,1),"x0x1x2x3x4x5x6x7x8x9"))),OR(6&gt;LEN(L708),MID(L708,6,1)=".",ISNUMBER(FIND("x"&amp;MID(L708,6,1),"x0x1x2x3x4x5x6x7x8x9"))),OR(7&gt;LEN(L708),MID(L708,7,1)=".",ISNUMBER(FIND("x"&amp;MID(L708,7,1),"x0x1x2x3x4x5x6x7x8x9"))),OR(8&gt;LEN(L708),MID(L708,8,1)=".",ISNUMBER(FIND("x"&amp;MID(L708,8,1),"x0x1x2x3x4x5x6x7x8x9"))),OR(9&gt;LEN(L708),MID(L708,9,1)=".",ISNUMBER(FIND("x"&amp;MID(L708,9,1),"x0x1x2x3x4x5x6x7x8x9"))),OR(10&gt;LEN(L708),MID(L708,10,1)=".",ISNUMBER(FIND("x"&amp;MID(L708,10,1),"x0x1x2x3x4x5x6x7x8x9"))),OR(AND(FIND(".",L708)=5,LEN(L708)-FIND(".",L708,FIND(".",L708)+1)&gt;=1,LEN(L708)-FIND(".",L708,FIND(".",L708)+1)&lt;=2),AND(LEN(L708)-FIND(".",L708,FIND(".",L708)+1)=4,FIND(".",L708)&gt;=2,FIND(".",L708)&lt;=3)),FIND(".",L708,FIND(".",L708)+1)-FIND(".",L708)&gt;=2,FIND(".",L708,FIND(".",L708)+1)-FIND(".",L708)&lt;=3,P708&gt;=2000,P708&lt;=2100,YEAR(S708)=P708,MONTH(S708)=Q708,DAY(S708)=R708),S708,0)),0)</ns0:f>
        <ns0:v>0</ns0:v>
      </ns0:c>
      <ns0:c r="U708" s="0" t="str">
        <ns0:f>IF(Bookings!C708="","Full day",Bookings!C708)</ns0:f>
        <ns0:v>Full day</ns0:v>
      </ns0:c>
      <ns0:c r="V708" s="0" t="str">
        <ns0:f>IF(Bookings!E708="","Full day",Bookings!E708)</ns0:f>
        <ns0:v>Full day</ns0:v>
      </ns0:c>
      <ns0:c r="W708" s="0">
        <ns0:f>IF(J708=0,0,J708+IF(U708="PM",1,0))</ns0:f>
        <ns0:v>0</ns0:v>
      </ns0:c>
      <ns0:c r="X708" s="0">
        <ns0:f>IF(T708=0,0,T708-IF(V708="PM",1,0))</ns0:f>
        <ns0:v>0</ns0:v>
      </ns0:c>
      <ns0:c r="Y708" s="0">
        <ns0:f>IF(J708=0,0,J708+IF(U708="AM",1,0))</ns0:f>
        <ns0:v>0</ns0:v>
      </ns0:c>
      <ns0:c r="Z708" s="0">
        <ns0:f>IF(T708=0,0,T708-IF(V708="AM",1,0))</ns0:f>
        <ns0:v>0</ns0:v>
      </ns0:c>
      <ns0:c r="AA708" s="0">
        <ns0:f>IFERROR(IF(AND(J708&gt;0,'_Engine'!C708&gt;0,MID('_Engine'!W708,WEEKDAY(J708,2),1)="W",COUNTIF(Settings!$F$18:$F$67,J708)=0),1,0),0)</ns0:f>
        <ns0:v>0</ns0:v>
      </ns0:c>
      <ns0:c r="AB708" s="0">
        <ns0:f>IFERROR(IF(AND(T708&gt;0,'_Engine'!C708&gt;0,MID('_Engine'!W708,WEEKDAY(T708,2),1)="W",COUNTIF(Settings!$F$18:$F$67,T708)=0),1,0),0)</ns0:f>
        <ns0:v>0</ns0:v>
      </ns0:c>
      <ns0:c r="AC708" s="0">
        <ns0:f>IF(AND(J708&gt;0,T708&gt;0,W708&lt;=X708),1,0)</ns0:f>
        <ns0:v>0</ns0:v>
      </ns0:c>
      <ns0:c r="AD708" s="0">
        <ns0:f>IF(AND(J708&gt;0,T708&gt;0,Y708&lt;=Z708),1,0)</ns0:f>
        <ns0:v>0</ns0:v>
      </ns0:c>
    </ns0:row>
    <ns0:row r="709">
      <ns0:c r="A709" s="0">
        <ns0:f>IFERROR(IF(ISNUMBER(Bookings!B709),"",TRIM(Bookings!B709&amp;"")),"")</ns0:f>
      </ns0:c>
      <ns0:c r="B709" s="0">
        <ns0:f>IFERROR(SUBSTITUTE(SUBSTITUTE(A709,"/","."),"-","."),"")</ns0:f>
      </ns0:c>
      <ns0:c r="C709" s="0">
        <ns0:f>IFERROR(LEFT(B709,FIND(".",B709)-1),"")</ns0:f>
      </ns0:c>
      <ns0:c r="D709" s="0">
        <ns0:f>IFERROR(MID(B709,FIND(".",B709)+1,FIND(".",B709,FIND(".",B709)+1)-FIND(".",B709)-1),"")</ns0:f>
      </ns0:c>
      <ns0:c r="E709" s="0">
        <ns0:f>IFERROR(MID(B709,FIND(".",B709,FIND(".",B709)+1)+1,99),"")</ns0:f>
        <ns0:v>99</ns0:v>
      </ns0:c>
      <ns0:c r="F709" s="0">
        <ns0:f>IFERROR(IF(FIND(".",B709)=5,--C709,--E709),0)</ns0:f>
        <ns0:v>0</ns0:v>
      </ns0:c>
      <ns0:c r="G709" s="0">
        <ns0:f>IFERROR(--D709,0)</ns0:f>
        <ns0:v>0</ns0:v>
      </ns0:c>
      <ns0:c r="H709" s="0">
        <ns0:f>IFERROR(IF(FIND(".",B709)=5,--E709,--C709),0)</ns0:f>
        <ns0:v>0</ns0:v>
      </ns0:c>
      <ns0:c r="I709" s="0">
        <ns0:f>IFERROR(IF(AND(F709&gt;=2000,F709&lt;=2100,G709&gt;=1,G709&lt;=12,H709&gt;=1,H709&lt;=31),DATE(F709,G709,H709),0),0)</ns0:f>
        <ns0:v>0</ns0:v>
      </ns0:c>
      <ns0:c r="J709" s="0">
        <ns0:f>IFERROR(IF(ISNUMBER(Bookings!B709),IF(AND(Bookings!B709=INT(Bookings!B709),Bookings!B709&gt;=DATE(2000,1,1),Bookings!B709&lt;=DATE(2100,12,31)),Bookings!B709,0),IF(AND(A709&lt;&gt;"",LEN("x"&amp;B709)-LEN(SUBSTITUTE("x"&amp;B709,".",""))=2,OR(1&gt;LEN(B709),MID(B709,1,1)=".",ISNUMBER(FIND("x"&amp;MID(B709,1,1),"x0x1x2x3x4x5x6x7x8x9"))),OR(2&gt;LEN(B709),MID(B709,2,1)=".",ISNUMBER(FIND("x"&amp;MID(B709,2,1),"x0x1x2x3x4x5x6x7x8x9"))),OR(3&gt;LEN(B709),MID(B709,3,1)=".",ISNUMBER(FIND("x"&amp;MID(B709,3,1),"x0x1x2x3x4x5x6x7x8x9"))),OR(4&gt;LEN(B709),MID(B709,4,1)=".",ISNUMBER(FIND("x"&amp;MID(B709,4,1),"x0x1x2x3x4x5x6x7x8x9"))),OR(5&gt;LEN(B709),MID(B709,5,1)=".",ISNUMBER(FIND("x"&amp;MID(B709,5,1),"x0x1x2x3x4x5x6x7x8x9"))),OR(6&gt;LEN(B709),MID(B709,6,1)=".",ISNUMBER(FIND("x"&amp;MID(B709,6,1),"x0x1x2x3x4x5x6x7x8x9"))),OR(7&gt;LEN(B709),MID(B709,7,1)=".",ISNUMBER(FIND("x"&amp;MID(B709,7,1),"x0x1x2x3x4x5x6x7x8x9"))),OR(8&gt;LEN(B709),MID(B709,8,1)=".",ISNUMBER(FIND("x"&amp;MID(B709,8,1),"x0x1x2x3x4x5x6x7x8x9"))),OR(9&gt;LEN(B709),MID(B709,9,1)=".",ISNUMBER(FIND("x"&amp;MID(B709,9,1),"x0x1x2x3x4x5x6x7x8x9"))),OR(10&gt;LEN(B709),MID(B709,10,1)=".",ISNUMBER(FIND("x"&amp;MID(B709,10,1),"x0x1x2x3x4x5x6x7x8x9"))),OR(AND(FIND(".",B709)=5,LEN(B709)-FIND(".",B709,FIND(".",B709)+1)&gt;=1,LEN(B709)-FIND(".",B709,FIND(".",B709)+1)&lt;=2),AND(LEN(B709)-FIND(".",B709,FIND(".",B709)+1)=4,FIND(".",B709)&gt;=2,FIND(".",B709)&lt;=3)),FIND(".",B709,FIND(".",B709)+1)-FIND(".",B709)&gt;=2,FIND(".",B709,FIND(".",B709)+1)-FIND(".",B709)&lt;=3,F709&gt;=2000,F709&lt;=2100,YEAR(I709)=F709,MONTH(I709)=G709,DAY(I709)=H709),I709,0)),0)</ns0:f>
        <ns0:v>0</ns0:v>
      </ns0:c>
      <ns0:c r="K709" s="0">
        <ns0:f>IFERROR(IF(ISNUMBER(Bookings!D709),"",TRIM(Bookings!D709&amp;"")),"")</ns0:f>
      </ns0:c>
      <ns0:c r="L709" s="0">
        <ns0:f>IFERROR(SUBSTITUTE(SUBSTITUTE(K709,"/","."),"-","."),"")</ns0:f>
      </ns0:c>
      <ns0:c r="M709" s="0">
        <ns0:f>IFERROR(LEFT(L709,FIND(".",L709)-1),"")</ns0:f>
      </ns0:c>
      <ns0:c r="N709" s="0">
        <ns0:f>IFERROR(MID(L709,FIND(".",L709)+1,FIND(".",L709,FIND(".",L709)+1)-FIND(".",L709)-1),"")</ns0:f>
      </ns0:c>
      <ns0:c r="O709" s="0">
        <ns0:f>IFERROR(MID(L709,FIND(".",L709,FIND(".",L709)+1)+1,99),"")</ns0:f>
        <ns0:v>99</ns0:v>
      </ns0:c>
      <ns0:c r="P709" s="0">
        <ns0:f>IFERROR(IF(FIND(".",L709)=5,--M709,--O709),0)</ns0:f>
        <ns0:v>0</ns0:v>
      </ns0:c>
      <ns0:c r="Q709" s="0">
        <ns0:f>IFERROR(--N709,0)</ns0:f>
        <ns0:v>0</ns0:v>
      </ns0:c>
      <ns0:c r="R709" s="0">
        <ns0:f>IFERROR(IF(FIND(".",L709)=5,--O709,--M709),0)</ns0:f>
        <ns0:v>0</ns0:v>
      </ns0:c>
      <ns0:c r="S709" s="0">
        <ns0:f>IFERROR(IF(AND(P709&gt;=2000,P709&lt;=2100,Q709&gt;=1,Q709&lt;=12,R709&gt;=1,R709&lt;=31),DATE(P709,Q709,R709),0),0)</ns0:f>
        <ns0:v>0</ns0:v>
      </ns0:c>
      <ns0:c r="T709" s="0">
        <ns0:f>IFERROR(IF(ISNUMBER(Bookings!D709),IF(AND(Bookings!D709=INT(Bookings!D709),Bookings!D709&gt;=DATE(2000,1,1),Bookings!D709&lt;=DATE(2100,12,31)),Bookings!D709,0),IF(AND(K709&lt;&gt;"",LEN("x"&amp;L709)-LEN(SUBSTITUTE("x"&amp;L709,".",""))=2,OR(1&gt;LEN(L709),MID(L709,1,1)=".",ISNUMBER(FIND("x"&amp;MID(L709,1,1),"x0x1x2x3x4x5x6x7x8x9"))),OR(2&gt;LEN(L709),MID(L709,2,1)=".",ISNUMBER(FIND("x"&amp;MID(L709,2,1),"x0x1x2x3x4x5x6x7x8x9"))),OR(3&gt;LEN(L709),MID(L709,3,1)=".",ISNUMBER(FIND("x"&amp;MID(L709,3,1),"x0x1x2x3x4x5x6x7x8x9"))),OR(4&gt;LEN(L709),MID(L709,4,1)=".",ISNUMBER(FIND("x"&amp;MID(L709,4,1),"x0x1x2x3x4x5x6x7x8x9"))),OR(5&gt;LEN(L709),MID(L709,5,1)=".",ISNUMBER(FIND("x"&amp;MID(L709,5,1),"x0x1x2x3x4x5x6x7x8x9"))),OR(6&gt;LEN(L709),MID(L709,6,1)=".",ISNUMBER(FIND("x"&amp;MID(L709,6,1),"x0x1x2x3x4x5x6x7x8x9"))),OR(7&gt;LEN(L709),MID(L709,7,1)=".",ISNUMBER(FIND("x"&amp;MID(L709,7,1),"x0x1x2x3x4x5x6x7x8x9"))),OR(8&gt;LEN(L709),MID(L709,8,1)=".",ISNUMBER(FIND("x"&amp;MID(L709,8,1),"x0x1x2x3x4x5x6x7x8x9"))),OR(9&gt;LEN(L709),MID(L709,9,1)=".",ISNUMBER(FIND("x"&amp;MID(L709,9,1),"x0x1x2x3x4x5x6x7x8x9"))),OR(10&gt;LEN(L709),MID(L709,10,1)=".",ISNUMBER(FIND("x"&amp;MID(L709,10,1),"x0x1x2x3x4x5x6x7x8x9"))),OR(AND(FIND(".",L709)=5,LEN(L709)-FIND(".",L709,FIND(".",L709)+1)&gt;=1,LEN(L709)-FIND(".",L709,FIND(".",L709)+1)&lt;=2),AND(LEN(L709)-FIND(".",L709,FIND(".",L709)+1)=4,FIND(".",L709)&gt;=2,FIND(".",L709)&lt;=3)),FIND(".",L709,FIND(".",L709)+1)-FIND(".",L709)&gt;=2,FIND(".",L709,FIND(".",L709)+1)-FIND(".",L709)&lt;=3,P709&gt;=2000,P709&lt;=2100,YEAR(S709)=P709,MONTH(S709)=Q709,DAY(S709)=R709),S709,0)),0)</ns0:f>
        <ns0:v>0</ns0:v>
      </ns0:c>
      <ns0:c r="U709" s="0" t="str">
        <ns0:f>IF(Bookings!C709="","Full day",Bookings!C709)</ns0:f>
        <ns0:v>Full day</ns0:v>
      </ns0:c>
      <ns0:c r="V709" s="0" t="str">
        <ns0:f>IF(Bookings!E709="","Full day",Bookings!E709)</ns0:f>
        <ns0:v>Full day</ns0:v>
      </ns0:c>
      <ns0:c r="W709" s="0">
        <ns0:f>IF(J709=0,0,J709+IF(U709="PM",1,0))</ns0:f>
        <ns0:v>0</ns0:v>
      </ns0:c>
      <ns0:c r="X709" s="0">
        <ns0:f>IF(T709=0,0,T709-IF(V709="PM",1,0))</ns0:f>
        <ns0:v>0</ns0:v>
      </ns0:c>
      <ns0:c r="Y709" s="0">
        <ns0:f>IF(J709=0,0,J709+IF(U709="AM",1,0))</ns0:f>
        <ns0:v>0</ns0:v>
      </ns0:c>
      <ns0:c r="Z709" s="0">
        <ns0:f>IF(T709=0,0,T709-IF(V709="AM",1,0))</ns0:f>
        <ns0:v>0</ns0:v>
      </ns0:c>
      <ns0:c r="AA709" s="0">
        <ns0:f>IFERROR(IF(AND(J709&gt;0,'_Engine'!C709&gt;0,MID('_Engine'!W709,WEEKDAY(J709,2),1)="W",COUNTIF(Settings!$F$18:$F$67,J709)=0),1,0),0)</ns0:f>
        <ns0:v>0</ns0:v>
      </ns0:c>
      <ns0:c r="AB709" s="0">
        <ns0:f>IFERROR(IF(AND(T709&gt;0,'_Engine'!C709&gt;0,MID('_Engine'!W709,WEEKDAY(T709,2),1)="W",COUNTIF(Settings!$F$18:$F$67,T709)=0),1,0),0)</ns0:f>
        <ns0:v>0</ns0:v>
      </ns0:c>
      <ns0:c r="AC709" s="0">
        <ns0:f>IF(AND(J709&gt;0,T709&gt;0,W709&lt;=X709),1,0)</ns0:f>
        <ns0:v>0</ns0:v>
      </ns0:c>
      <ns0:c r="AD709" s="0">
        <ns0:f>IF(AND(J709&gt;0,T709&gt;0,Y709&lt;=Z709),1,0)</ns0:f>
        <ns0:v>0</ns0:v>
      </ns0:c>
    </ns0:row>
    <ns0:row r="710">
      <ns0:c r="A710" s="0">
        <ns0:f>IFERROR(IF(ISNUMBER(Bookings!B710),"",TRIM(Bookings!B710&amp;"")),"")</ns0:f>
      </ns0:c>
      <ns0:c r="B710" s="0">
        <ns0:f>IFERROR(SUBSTITUTE(SUBSTITUTE(A710,"/","."),"-","."),"")</ns0:f>
      </ns0:c>
      <ns0:c r="C710" s="0">
        <ns0:f>IFERROR(LEFT(B710,FIND(".",B710)-1),"")</ns0:f>
      </ns0:c>
      <ns0:c r="D710" s="0">
        <ns0:f>IFERROR(MID(B710,FIND(".",B710)+1,FIND(".",B710,FIND(".",B710)+1)-FIND(".",B710)-1),"")</ns0:f>
      </ns0:c>
      <ns0:c r="E710" s="0">
        <ns0:f>IFERROR(MID(B710,FIND(".",B710,FIND(".",B710)+1)+1,99),"")</ns0:f>
        <ns0:v>99</ns0:v>
      </ns0:c>
      <ns0:c r="F710" s="0">
        <ns0:f>IFERROR(IF(FIND(".",B710)=5,--C710,--E710),0)</ns0:f>
        <ns0:v>0</ns0:v>
      </ns0:c>
      <ns0:c r="G710" s="0">
        <ns0:f>IFERROR(--D710,0)</ns0:f>
        <ns0:v>0</ns0:v>
      </ns0:c>
      <ns0:c r="H710" s="0">
        <ns0:f>IFERROR(IF(FIND(".",B710)=5,--E710,--C710),0)</ns0:f>
        <ns0:v>0</ns0:v>
      </ns0:c>
      <ns0:c r="I710" s="0">
        <ns0:f>IFERROR(IF(AND(F710&gt;=2000,F710&lt;=2100,G710&gt;=1,G710&lt;=12,H710&gt;=1,H710&lt;=31),DATE(F710,G710,H710),0),0)</ns0:f>
        <ns0:v>0</ns0:v>
      </ns0:c>
      <ns0:c r="J710" s="0">
        <ns0:f>IFERROR(IF(ISNUMBER(Bookings!B710),IF(AND(Bookings!B710=INT(Bookings!B710),Bookings!B710&gt;=DATE(2000,1,1),Bookings!B710&lt;=DATE(2100,12,31)),Bookings!B710,0),IF(AND(A710&lt;&gt;"",LEN("x"&amp;B710)-LEN(SUBSTITUTE("x"&amp;B710,".",""))=2,OR(1&gt;LEN(B710),MID(B710,1,1)=".",ISNUMBER(FIND("x"&amp;MID(B710,1,1),"x0x1x2x3x4x5x6x7x8x9"))),OR(2&gt;LEN(B710),MID(B710,2,1)=".",ISNUMBER(FIND("x"&amp;MID(B710,2,1),"x0x1x2x3x4x5x6x7x8x9"))),OR(3&gt;LEN(B710),MID(B710,3,1)=".",ISNUMBER(FIND("x"&amp;MID(B710,3,1),"x0x1x2x3x4x5x6x7x8x9"))),OR(4&gt;LEN(B710),MID(B710,4,1)=".",ISNUMBER(FIND("x"&amp;MID(B710,4,1),"x0x1x2x3x4x5x6x7x8x9"))),OR(5&gt;LEN(B710),MID(B710,5,1)=".",ISNUMBER(FIND("x"&amp;MID(B710,5,1),"x0x1x2x3x4x5x6x7x8x9"))),OR(6&gt;LEN(B710),MID(B710,6,1)=".",ISNUMBER(FIND("x"&amp;MID(B710,6,1),"x0x1x2x3x4x5x6x7x8x9"))),OR(7&gt;LEN(B710),MID(B710,7,1)=".",ISNUMBER(FIND("x"&amp;MID(B710,7,1),"x0x1x2x3x4x5x6x7x8x9"))),OR(8&gt;LEN(B710),MID(B710,8,1)=".",ISNUMBER(FIND("x"&amp;MID(B710,8,1),"x0x1x2x3x4x5x6x7x8x9"))),OR(9&gt;LEN(B710),MID(B710,9,1)=".",ISNUMBER(FIND("x"&amp;MID(B710,9,1),"x0x1x2x3x4x5x6x7x8x9"))),OR(10&gt;LEN(B710),MID(B710,10,1)=".",ISNUMBER(FIND("x"&amp;MID(B710,10,1),"x0x1x2x3x4x5x6x7x8x9"))),OR(AND(FIND(".",B710)=5,LEN(B710)-FIND(".",B710,FIND(".",B710)+1)&gt;=1,LEN(B710)-FIND(".",B710,FIND(".",B710)+1)&lt;=2),AND(LEN(B710)-FIND(".",B710,FIND(".",B710)+1)=4,FIND(".",B710)&gt;=2,FIND(".",B710)&lt;=3)),FIND(".",B710,FIND(".",B710)+1)-FIND(".",B710)&gt;=2,FIND(".",B710,FIND(".",B710)+1)-FIND(".",B710)&lt;=3,F710&gt;=2000,F710&lt;=2100,YEAR(I710)=F710,MONTH(I710)=G710,DAY(I710)=H710),I710,0)),0)</ns0:f>
        <ns0:v>0</ns0:v>
      </ns0:c>
      <ns0:c r="K710" s="0">
        <ns0:f>IFERROR(IF(ISNUMBER(Bookings!D710),"",TRIM(Bookings!D710&amp;"")),"")</ns0:f>
      </ns0:c>
      <ns0:c r="L710" s="0">
        <ns0:f>IFERROR(SUBSTITUTE(SUBSTITUTE(K710,"/","."),"-","."),"")</ns0:f>
      </ns0:c>
      <ns0:c r="M710" s="0">
        <ns0:f>IFERROR(LEFT(L710,FIND(".",L710)-1),"")</ns0:f>
      </ns0:c>
      <ns0:c r="N710" s="0">
        <ns0:f>IFERROR(MID(L710,FIND(".",L710)+1,FIND(".",L710,FIND(".",L710)+1)-FIND(".",L710)-1),"")</ns0:f>
      </ns0:c>
      <ns0:c r="O710" s="0">
        <ns0:f>IFERROR(MID(L710,FIND(".",L710,FIND(".",L710)+1)+1,99),"")</ns0:f>
        <ns0:v>99</ns0:v>
      </ns0:c>
      <ns0:c r="P710" s="0">
        <ns0:f>IFERROR(IF(FIND(".",L710)=5,--M710,--O710),0)</ns0:f>
        <ns0:v>0</ns0:v>
      </ns0:c>
      <ns0:c r="Q710" s="0">
        <ns0:f>IFERROR(--N710,0)</ns0:f>
        <ns0:v>0</ns0:v>
      </ns0:c>
      <ns0:c r="R710" s="0">
        <ns0:f>IFERROR(IF(FIND(".",L710)=5,--O710,--M710),0)</ns0:f>
        <ns0:v>0</ns0:v>
      </ns0:c>
      <ns0:c r="S710" s="0">
        <ns0:f>IFERROR(IF(AND(P710&gt;=2000,P710&lt;=2100,Q710&gt;=1,Q710&lt;=12,R710&gt;=1,R710&lt;=31),DATE(P710,Q710,R710),0),0)</ns0:f>
        <ns0:v>0</ns0:v>
      </ns0:c>
      <ns0:c r="T710" s="0">
        <ns0:f>IFERROR(IF(ISNUMBER(Bookings!D710),IF(AND(Bookings!D710=INT(Bookings!D710),Bookings!D710&gt;=DATE(2000,1,1),Bookings!D710&lt;=DATE(2100,12,31)),Bookings!D710,0),IF(AND(K710&lt;&gt;"",LEN("x"&amp;L710)-LEN(SUBSTITUTE("x"&amp;L710,".",""))=2,OR(1&gt;LEN(L710),MID(L710,1,1)=".",ISNUMBER(FIND("x"&amp;MID(L710,1,1),"x0x1x2x3x4x5x6x7x8x9"))),OR(2&gt;LEN(L710),MID(L710,2,1)=".",ISNUMBER(FIND("x"&amp;MID(L710,2,1),"x0x1x2x3x4x5x6x7x8x9"))),OR(3&gt;LEN(L710),MID(L710,3,1)=".",ISNUMBER(FIND("x"&amp;MID(L710,3,1),"x0x1x2x3x4x5x6x7x8x9"))),OR(4&gt;LEN(L710),MID(L710,4,1)=".",ISNUMBER(FIND("x"&amp;MID(L710,4,1),"x0x1x2x3x4x5x6x7x8x9"))),OR(5&gt;LEN(L710),MID(L710,5,1)=".",ISNUMBER(FIND("x"&amp;MID(L710,5,1),"x0x1x2x3x4x5x6x7x8x9"))),OR(6&gt;LEN(L710),MID(L710,6,1)=".",ISNUMBER(FIND("x"&amp;MID(L710,6,1),"x0x1x2x3x4x5x6x7x8x9"))),OR(7&gt;LEN(L710),MID(L710,7,1)=".",ISNUMBER(FIND("x"&amp;MID(L710,7,1),"x0x1x2x3x4x5x6x7x8x9"))),OR(8&gt;LEN(L710),MID(L710,8,1)=".",ISNUMBER(FIND("x"&amp;MID(L710,8,1),"x0x1x2x3x4x5x6x7x8x9"))),OR(9&gt;LEN(L710),MID(L710,9,1)=".",ISNUMBER(FIND("x"&amp;MID(L710,9,1),"x0x1x2x3x4x5x6x7x8x9"))),OR(10&gt;LEN(L710),MID(L710,10,1)=".",ISNUMBER(FIND("x"&amp;MID(L710,10,1),"x0x1x2x3x4x5x6x7x8x9"))),OR(AND(FIND(".",L710)=5,LEN(L710)-FIND(".",L710,FIND(".",L710)+1)&gt;=1,LEN(L710)-FIND(".",L710,FIND(".",L710)+1)&lt;=2),AND(LEN(L710)-FIND(".",L710,FIND(".",L710)+1)=4,FIND(".",L710)&gt;=2,FIND(".",L710)&lt;=3)),FIND(".",L710,FIND(".",L710)+1)-FIND(".",L710)&gt;=2,FIND(".",L710,FIND(".",L710)+1)-FIND(".",L710)&lt;=3,P710&gt;=2000,P710&lt;=2100,YEAR(S710)=P710,MONTH(S710)=Q710,DAY(S710)=R710),S710,0)),0)</ns0:f>
        <ns0:v>0</ns0:v>
      </ns0:c>
      <ns0:c r="U710" s="0" t="str">
        <ns0:f>IF(Bookings!C710="","Full day",Bookings!C710)</ns0:f>
        <ns0:v>Full day</ns0:v>
      </ns0:c>
      <ns0:c r="V710" s="0" t="str">
        <ns0:f>IF(Bookings!E710="","Full day",Bookings!E710)</ns0:f>
        <ns0:v>Full day</ns0:v>
      </ns0:c>
      <ns0:c r="W710" s="0">
        <ns0:f>IF(J710=0,0,J710+IF(U710="PM",1,0))</ns0:f>
        <ns0:v>0</ns0:v>
      </ns0:c>
      <ns0:c r="X710" s="0">
        <ns0:f>IF(T710=0,0,T710-IF(V710="PM",1,0))</ns0:f>
        <ns0:v>0</ns0:v>
      </ns0:c>
      <ns0:c r="Y710" s="0">
        <ns0:f>IF(J710=0,0,J710+IF(U710="AM",1,0))</ns0:f>
        <ns0:v>0</ns0:v>
      </ns0:c>
      <ns0:c r="Z710" s="0">
        <ns0:f>IF(T710=0,0,T710-IF(V710="AM",1,0))</ns0:f>
        <ns0:v>0</ns0:v>
      </ns0:c>
      <ns0:c r="AA710" s="0">
        <ns0:f>IFERROR(IF(AND(J710&gt;0,'_Engine'!C710&gt;0,MID('_Engine'!W710,WEEKDAY(J710,2),1)="W",COUNTIF(Settings!$F$18:$F$67,J710)=0),1,0),0)</ns0:f>
        <ns0:v>0</ns0:v>
      </ns0:c>
      <ns0:c r="AB710" s="0">
        <ns0:f>IFERROR(IF(AND(T710&gt;0,'_Engine'!C710&gt;0,MID('_Engine'!W710,WEEKDAY(T710,2),1)="W",COUNTIF(Settings!$F$18:$F$67,T710)=0),1,0),0)</ns0:f>
        <ns0:v>0</ns0:v>
      </ns0:c>
      <ns0:c r="AC710" s="0">
        <ns0:f>IF(AND(J710&gt;0,T710&gt;0,W710&lt;=X710),1,0)</ns0:f>
        <ns0:v>0</ns0:v>
      </ns0:c>
      <ns0:c r="AD710" s="0">
        <ns0:f>IF(AND(J710&gt;0,T710&gt;0,Y710&lt;=Z710),1,0)</ns0:f>
        <ns0:v>0</ns0:v>
      </ns0:c>
    </ns0:row>
    <ns0:row r="711">
      <ns0:c r="A711" s="0">
        <ns0:f>IFERROR(IF(ISNUMBER(Bookings!B711),"",TRIM(Bookings!B711&amp;"")),"")</ns0:f>
      </ns0:c>
      <ns0:c r="B711" s="0">
        <ns0:f>IFERROR(SUBSTITUTE(SUBSTITUTE(A711,"/","."),"-","."),"")</ns0:f>
      </ns0:c>
      <ns0:c r="C711" s="0">
        <ns0:f>IFERROR(LEFT(B711,FIND(".",B711)-1),"")</ns0:f>
      </ns0:c>
      <ns0:c r="D711" s="0">
        <ns0:f>IFERROR(MID(B711,FIND(".",B711)+1,FIND(".",B711,FIND(".",B711)+1)-FIND(".",B711)-1),"")</ns0:f>
      </ns0:c>
      <ns0:c r="E711" s="0">
        <ns0:f>IFERROR(MID(B711,FIND(".",B711,FIND(".",B711)+1)+1,99),"")</ns0:f>
        <ns0:v>99</ns0:v>
      </ns0:c>
      <ns0:c r="F711" s="0">
        <ns0:f>IFERROR(IF(FIND(".",B711)=5,--C711,--E711),0)</ns0:f>
        <ns0:v>0</ns0:v>
      </ns0:c>
      <ns0:c r="G711" s="0">
        <ns0:f>IFERROR(--D711,0)</ns0:f>
        <ns0:v>0</ns0:v>
      </ns0:c>
      <ns0:c r="H711" s="0">
        <ns0:f>IFERROR(IF(FIND(".",B711)=5,--E711,--C711),0)</ns0:f>
        <ns0:v>0</ns0:v>
      </ns0:c>
      <ns0:c r="I711" s="0">
        <ns0:f>IFERROR(IF(AND(F711&gt;=2000,F711&lt;=2100,G711&gt;=1,G711&lt;=12,H711&gt;=1,H711&lt;=31),DATE(F711,G711,H711),0),0)</ns0:f>
        <ns0:v>0</ns0:v>
      </ns0:c>
      <ns0:c r="J711" s="0">
        <ns0:f>IFERROR(IF(ISNUMBER(Bookings!B711),IF(AND(Bookings!B711=INT(Bookings!B711),Bookings!B711&gt;=DATE(2000,1,1),Bookings!B711&lt;=DATE(2100,12,31)),Bookings!B711,0),IF(AND(A711&lt;&gt;"",LEN("x"&amp;B711)-LEN(SUBSTITUTE("x"&amp;B711,".",""))=2,OR(1&gt;LEN(B711),MID(B711,1,1)=".",ISNUMBER(FIND("x"&amp;MID(B711,1,1),"x0x1x2x3x4x5x6x7x8x9"))),OR(2&gt;LEN(B711),MID(B711,2,1)=".",ISNUMBER(FIND("x"&amp;MID(B711,2,1),"x0x1x2x3x4x5x6x7x8x9"))),OR(3&gt;LEN(B711),MID(B711,3,1)=".",ISNUMBER(FIND("x"&amp;MID(B711,3,1),"x0x1x2x3x4x5x6x7x8x9"))),OR(4&gt;LEN(B711),MID(B711,4,1)=".",ISNUMBER(FIND("x"&amp;MID(B711,4,1),"x0x1x2x3x4x5x6x7x8x9"))),OR(5&gt;LEN(B711),MID(B711,5,1)=".",ISNUMBER(FIND("x"&amp;MID(B711,5,1),"x0x1x2x3x4x5x6x7x8x9"))),OR(6&gt;LEN(B711),MID(B711,6,1)=".",ISNUMBER(FIND("x"&amp;MID(B711,6,1),"x0x1x2x3x4x5x6x7x8x9"))),OR(7&gt;LEN(B711),MID(B711,7,1)=".",ISNUMBER(FIND("x"&amp;MID(B711,7,1),"x0x1x2x3x4x5x6x7x8x9"))),OR(8&gt;LEN(B711),MID(B711,8,1)=".",ISNUMBER(FIND("x"&amp;MID(B711,8,1),"x0x1x2x3x4x5x6x7x8x9"))),OR(9&gt;LEN(B711),MID(B711,9,1)=".",ISNUMBER(FIND("x"&amp;MID(B711,9,1),"x0x1x2x3x4x5x6x7x8x9"))),OR(10&gt;LEN(B711),MID(B711,10,1)=".",ISNUMBER(FIND("x"&amp;MID(B711,10,1),"x0x1x2x3x4x5x6x7x8x9"))),OR(AND(FIND(".",B711)=5,LEN(B711)-FIND(".",B711,FIND(".",B711)+1)&gt;=1,LEN(B711)-FIND(".",B711,FIND(".",B711)+1)&lt;=2),AND(LEN(B711)-FIND(".",B711,FIND(".",B711)+1)=4,FIND(".",B711)&gt;=2,FIND(".",B711)&lt;=3)),FIND(".",B711,FIND(".",B711)+1)-FIND(".",B711)&gt;=2,FIND(".",B711,FIND(".",B711)+1)-FIND(".",B711)&lt;=3,F711&gt;=2000,F711&lt;=2100,YEAR(I711)=F711,MONTH(I711)=G711,DAY(I711)=H711),I711,0)),0)</ns0:f>
        <ns0:v>0</ns0:v>
      </ns0:c>
      <ns0:c r="K711" s="0">
        <ns0:f>IFERROR(IF(ISNUMBER(Bookings!D711),"",TRIM(Bookings!D711&amp;"")),"")</ns0:f>
      </ns0:c>
      <ns0:c r="L711" s="0">
        <ns0:f>IFERROR(SUBSTITUTE(SUBSTITUTE(K711,"/","."),"-","."),"")</ns0:f>
      </ns0:c>
      <ns0:c r="M711" s="0">
        <ns0:f>IFERROR(LEFT(L711,FIND(".",L711)-1),"")</ns0:f>
      </ns0:c>
      <ns0:c r="N711" s="0">
        <ns0:f>IFERROR(MID(L711,FIND(".",L711)+1,FIND(".",L711,FIND(".",L711)+1)-FIND(".",L711)-1),"")</ns0:f>
      </ns0:c>
      <ns0:c r="O711" s="0">
        <ns0:f>IFERROR(MID(L711,FIND(".",L711,FIND(".",L711)+1)+1,99),"")</ns0:f>
        <ns0:v>99</ns0:v>
      </ns0:c>
      <ns0:c r="P711" s="0">
        <ns0:f>IFERROR(IF(FIND(".",L711)=5,--M711,--O711),0)</ns0:f>
        <ns0:v>0</ns0:v>
      </ns0:c>
      <ns0:c r="Q711" s="0">
        <ns0:f>IFERROR(--N711,0)</ns0:f>
        <ns0:v>0</ns0:v>
      </ns0:c>
      <ns0:c r="R711" s="0">
        <ns0:f>IFERROR(IF(FIND(".",L711)=5,--O711,--M711),0)</ns0:f>
        <ns0:v>0</ns0:v>
      </ns0:c>
      <ns0:c r="S711" s="0">
        <ns0:f>IFERROR(IF(AND(P711&gt;=2000,P711&lt;=2100,Q711&gt;=1,Q711&lt;=12,R711&gt;=1,R711&lt;=31),DATE(P711,Q711,R711),0),0)</ns0:f>
        <ns0:v>0</ns0:v>
      </ns0:c>
      <ns0:c r="T711" s="0">
        <ns0:f>IFERROR(IF(ISNUMBER(Bookings!D711),IF(AND(Bookings!D711=INT(Bookings!D711),Bookings!D711&gt;=DATE(2000,1,1),Bookings!D711&lt;=DATE(2100,12,31)),Bookings!D711,0),IF(AND(K711&lt;&gt;"",LEN("x"&amp;L711)-LEN(SUBSTITUTE("x"&amp;L711,".",""))=2,OR(1&gt;LEN(L711),MID(L711,1,1)=".",ISNUMBER(FIND("x"&amp;MID(L711,1,1),"x0x1x2x3x4x5x6x7x8x9"))),OR(2&gt;LEN(L711),MID(L711,2,1)=".",ISNUMBER(FIND("x"&amp;MID(L711,2,1),"x0x1x2x3x4x5x6x7x8x9"))),OR(3&gt;LEN(L711),MID(L711,3,1)=".",ISNUMBER(FIND("x"&amp;MID(L711,3,1),"x0x1x2x3x4x5x6x7x8x9"))),OR(4&gt;LEN(L711),MID(L711,4,1)=".",ISNUMBER(FIND("x"&amp;MID(L711,4,1),"x0x1x2x3x4x5x6x7x8x9"))),OR(5&gt;LEN(L711),MID(L711,5,1)=".",ISNUMBER(FIND("x"&amp;MID(L711,5,1),"x0x1x2x3x4x5x6x7x8x9"))),OR(6&gt;LEN(L711),MID(L711,6,1)=".",ISNUMBER(FIND("x"&amp;MID(L711,6,1),"x0x1x2x3x4x5x6x7x8x9"))),OR(7&gt;LEN(L711),MID(L711,7,1)=".",ISNUMBER(FIND("x"&amp;MID(L711,7,1),"x0x1x2x3x4x5x6x7x8x9"))),OR(8&gt;LEN(L711),MID(L711,8,1)=".",ISNUMBER(FIND("x"&amp;MID(L711,8,1),"x0x1x2x3x4x5x6x7x8x9"))),OR(9&gt;LEN(L711),MID(L711,9,1)=".",ISNUMBER(FIND("x"&amp;MID(L711,9,1),"x0x1x2x3x4x5x6x7x8x9"))),OR(10&gt;LEN(L711),MID(L711,10,1)=".",ISNUMBER(FIND("x"&amp;MID(L711,10,1),"x0x1x2x3x4x5x6x7x8x9"))),OR(AND(FIND(".",L711)=5,LEN(L711)-FIND(".",L711,FIND(".",L711)+1)&gt;=1,LEN(L711)-FIND(".",L711,FIND(".",L711)+1)&lt;=2),AND(LEN(L711)-FIND(".",L711,FIND(".",L711)+1)=4,FIND(".",L711)&gt;=2,FIND(".",L711)&lt;=3)),FIND(".",L711,FIND(".",L711)+1)-FIND(".",L711)&gt;=2,FIND(".",L711,FIND(".",L711)+1)-FIND(".",L711)&lt;=3,P711&gt;=2000,P711&lt;=2100,YEAR(S711)=P711,MONTH(S711)=Q711,DAY(S711)=R711),S711,0)),0)</ns0:f>
        <ns0:v>0</ns0:v>
      </ns0:c>
      <ns0:c r="U711" s="0" t="str">
        <ns0:f>IF(Bookings!C711="","Full day",Bookings!C711)</ns0:f>
        <ns0:v>Full day</ns0:v>
      </ns0:c>
      <ns0:c r="V711" s="0" t="str">
        <ns0:f>IF(Bookings!E711="","Full day",Bookings!E711)</ns0:f>
        <ns0:v>Full day</ns0:v>
      </ns0:c>
      <ns0:c r="W711" s="0">
        <ns0:f>IF(J711=0,0,J711+IF(U711="PM",1,0))</ns0:f>
        <ns0:v>0</ns0:v>
      </ns0:c>
      <ns0:c r="X711" s="0">
        <ns0:f>IF(T711=0,0,T711-IF(V711="PM",1,0))</ns0:f>
        <ns0:v>0</ns0:v>
      </ns0:c>
      <ns0:c r="Y711" s="0">
        <ns0:f>IF(J711=0,0,J711+IF(U711="AM",1,0))</ns0:f>
        <ns0:v>0</ns0:v>
      </ns0:c>
      <ns0:c r="Z711" s="0">
        <ns0:f>IF(T711=0,0,T711-IF(V711="AM",1,0))</ns0:f>
        <ns0:v>0</ns0:v>
      </ns0:c>
      <ns0:c r="AA711" s="0">
        <ns0:f>IFERROR(IF(AND(J711&gt;0,'_Engine'!C711&gt;0,MID('_Engine'!W711,WEEKDAY(J711,2),1)="W",COUNTIF(Settings!$F$18:$F$67,J711)=0),1,0),0)</ns0:f>
        <ns0:v>0</ns0:v>
      </ns0:c>
      <ns0:c r="AB711" s="0">
        <ns0:f>IFERROR(IF(AND(T711&gt;0,'_Engine'!C711&gt;0,MID('_Engine'!W711,WEEKDAY(T711,2),1)="W",COUNTIF(Settings!$F$18:$F$67,T711)=0),1,0),0)</ns0:f>
        <ns0:v>0</ns0:v>
      </ns0:c>
      <ns0:c r="AC711" s="0">
        <ns0:f>IF(AND(J711&gt;0,T711&gt;0,W711&lt;=X711),1,0)</ns0:f>
        <ns0:v>0</ns0:v>
      </ns0:c>
      <ns0:c r="AD711" s="0">
        <ns0:f>IF(AND(J711&gt;0,T711&gt;0,Y711&lt;=Z711),1,0)</ns0:f>
        <ns0:v>0</ns0:v>
      </ns0:c>
    </ns0:row>
    <ns0:row r="712">
      <ns0:c r="A712" s="0">
        <ns0:f>IFERROR(IF(ISNUMBER(Bookings!B712),"",TRIM(Bookings!B712&amp;"")),"")</ns0:f>
      </ns0:c>
      <ns0:c r="B712" s="0">
        <ns0:f>IFERROR(SUBSTITUTE(SUBSTITUTE(A712,"/","."),"-","."),"")</ns0:f>
      </ns0:c>
      <ns0:c r="C712" s="0">
        <ns0:f>IFERROR(LEFT(B712,FIND(".",B712)-1),"")</ns0:f>
      </ns0:c>
      <ns0:c r="D712" s="0">
        <ns0:f>IFERROR(MID(B712,FIND(".",B712)+1,FIND(".",B712,FIND(".",B712)+1)-FIND(".",B712)-1),"")</ns0:f>
      </ns0:c>
      <ns0:c r="E712" s="0">
        <ns0:f>IFERROR(MID(B712,FIND(".",B712,FIND(".",B712)+1)+1,99),"")</ns0:f>
        <ns0:v>99</ns0:v>
      </ns0:c>
      <ns0:c r="F712" s="0">
        <ns0:f>IFERROR(IF(FIND(".",B712)=5,--C712,--E712),0)</ns0:f>
        <ns0:v>0</ns0:v>
      </ns0:c>
      <ns0:c r="G712" s="0">
        <ns0:f>IFERROR(--D712,0)</ns0:f>
        <ns0:v>0</ns0:v>
      </ns0:c>
      <ns0:c r="H712" s="0">
        <ns0:f>IFERROR(IF(FIND(".",B712)=5,--E712,--C712),0)</ns0:f>
        <ns0:v>0</ns0:v>
      </ns0:c>
      <ns0:c r="I712" s="0">
        <ns0:f>IFERROR(IF(AND(F712&gt;=2000,F712&lt;=2100,G712&gt;=1,G712&lt;=12,H712&gt;=1,H712&lt;=31),DATE(F712,G712,H712),0),0)</ns0:f>
        <ns0:v>0</ns0:v>
      </ns0:c>
      <ns0:c r="J712" s="0">
        <ns0:f>IFERROR(IF(ISNUMBER(Bookings!B712),IF(AND(Bookings!B712=INT(Bookings!B712),Bookings!B712&gt;=DATE(2000,1,1),Bookings!B712&lt;=DATE(2100,12,31)),Bookings!B712,0),IF(AND(A712&lt;&gt;"",LEN("x"&amp;B712)-LEN(SUBSTITUTE("x"&amp;B712,".",""))=2,OR(1&gt;LEN(B712),MID(B712,1,1)=".",ISNUMBER(FIND("x"&amp;MID(B712,1,1),"x0x1x2x3x4x5x6x7x8x9"))),OR(2&gt;LEN(B712),MID(B712,2,1)=".",ISNUMBER(FIND("x"&amp;MID(B712,2,1),"x0x1x2x3x4x5x6x7x8x9"))),OR(3&gt;LEN(B712),MID(B712,3,1)=".",ISNUMBER(FIND("x"&amp;MID(B712,3,1),"x0x1x2x3x4x5x6x7x8x9"))),OR(4&gt;LEN(B712),MID(B712,4,1)=".",ISNUMBER(FIND("x"&amp;MID(B712,4,1),"x0x1x2x3x4x5x6x7x8x9"))),OR(5&gt;LEN(B712),MID(B712,5,1)=".",ISNUMBER(FIND("x"&amp;MID(B712,5,1),"x0x1x2x3x4x5x6x7x8x9"))),OR(6&gt;LEN(B712),MID(B712,6,1)=".",ISNUMBER(FIND("x"&amp;MID(B712,6,1),"x0x1x2x3x4x5x6x7x8x9"))),OR(7&gt;LEN(B712),MID(B712,7,1)=".",ISNUMBER(FIND("x"&amp;MID(B712,7,1),"x0x1x2x3x4x5x6x7x8x9"))),OR(8&gt;LEN(B712),MID(B712,8,1)=".",ISNUMBER(FIND("x"&amp;MID(B712,8,1),"x0x1x2x3x4x5x6x7x8x9"))),OR(9&gt;LEN(B712),MID(B712,9,1)=".",ISNUMBER(FIND("x"&amp;MID(B712,9,1),"x0x1x2x3x4x5x6x7x8x9"))),OR(10&gt;LEN(B712),MID(B712,10,1)=".",ISNUMBER(FIND("x"&amp;MID(B712,10,1),"x0x1x2x3x4x5x6x7x8x9"))),OR(AND(FIND(".",B712)=5,LEN(B712)-FIND(".",B712,FIND(".",B712)+1)&gt;=1,LEN(B712)-FIND(".",B712,FIND(".",B712)+1)&lt;=2),AND(LEN(B712)-FIND(".",B712,FIND(".",B712)+1)=4,FIND(".",B712)&gt;=2,FIND(".",B712)&lt;=3)),FIND(".",B712,FIND(".",B712)+1)-FIND(".",B712)&gt;=2,FIND(".",B712,FIND(".",B712)+1)-FIND(".",B712)&lt;=3,F712&gt;=2000,F712&lt;=2100,YEAR(I712)=F712,MONTH(I712)=G712,DAY(I712)=H712),I712,0)),0)</ns0:f>
        <ns0:v>0</ns0:v>
      </ns0:c>
      <ns0:c r="K712" s="0">
        <ns0:f>IFERROR(IF(ISNUMBER(Bookings!D712),"",TRIM(Bookings!D712&amp;"")),"")</ns0:f>
      </ns0:c>
      <ns0:c r="L712" s="0">
        <ns0:f>IFERROR(SUBSTITUTE(SUBSTITUTE(K712,"/","."),"-","."),"")</ns0:f>
      </ns0:c>
      <ns0:c r="M712" s="0">
        <ns0:f>IFERROR(LEFT(L712,FIND(".",L712)-1),"")</ns0:f>
      </ns0:c>
      <ns0:c r="N712" s="0">
        <ns0:f>IFERROR(MID(L712,FIND(".",L712)+1,FIND(".",L712,FIND(".",L712)+1)-FIND(".",L712)-1),"")</ns0:f>
      </ns0:c>
      <ns0:c r="O712" s="0">
        <ns0:f>IFERROR(MID(L712,FIND(".",L712,FIND(".",L712)+1)+1,99),"")</ns0:f>
        <ns0:v>99</ns0:v>
      </ns0:c>
      <ns0:c r="P712" s="0">
        <ns0:f>IFERROR(IF(FIND(".",L712)=5,--M712,--O712),0)</ns0:f>
        <ns0:v>0</ns0:v>
      </ns0:c>
      <ns0:c r="Q712" s="0">
        <ns0:f>IFERROR(--N712,0)</ns0:f>
        <ns0:v>0</ns0:v>
      </ns0:c>
      <ns0:c r="R712" s="0">
        <ns0:f>IFERROR(IF(FIND(".",L712)=5,--O712,--M712),0)</ns0:f>
        <ns0:v>0</ns0:v>
      </ns0:c>
      <ns0:c r="S712" s="0">
        <ns0:f>IFERROR(IF(AND(P712&gt;=2000,P712&lt;=2100,Q712&gt;=1,Q712&lt;=12,R712&gt;=1,R712&lt;=31),DATE(P712,Q712,R712),0),0)</ns0:f>
        <ns0:v>0</ns0:v>
      </ns0:c>
      <ns0:c r="T712" s="0">
        <ns0:f>IFERROR(IF(ISNUMBER(Bookings!D712),IF(AND(Bookings!D712=INT(Bookings!D712),Bookings!D712&gt;=DATE(2000,1,1),Bookings!D712&lt;=DATE(2100,12,31)),Bookings!D712,0),IF(AND(K712&lt;&gt;"",LEN("x"&amp;L712)-LEN(SUBSTITUTE("x"&amp;L712,".",""))=2,OR(1&gt;LEN(L712),MID(L712,1,1)=".",ISNUMBER(FIND("x"&amp;MID(L712,1,1),"x0x1x2x3x4x5x6x7x8x9"))),OR(2&gt;LEN(L712),MID(L712,2,1)=".",ISNUMBER(FIND("x"&amp;MID(L712,2,1),"x0x1x2x3x4x5x6x7x8x9"))),OR(3&gt;LEN(L712),MID(L712,3,1)=".",ISNUMBER(FIND("x"&amp;MID(L712,3,1),"x0x1x2x3x4x5x6x7x8x9"))),OR(4&gt;LEN(L712),MID(L712,4,1)=".",ISNUMBER(FIND("x"&amp;MID(L712,4,1),"x0x1x2x3x4x5x6x7x8x9"))),OR(5&gt;LEN(L712),MID(L712,5,1)=".",ISNUMBER(FIND("x"&amp;MID(L712,5,1),"x0x1x2x3x4x5x6x7x8x9"))),OR(6&gt;LEN(L712),MID(L712,6,1)=".",ISNUMBER(FIND("x"&amp;MID(L712,6,1),"x0x1x2x3x4x5x6x7x8x9"))),OR(7&gt;LEN(L712),MID(L712,7,1)=".",ISNUMBER(FIND("x"&amp;MID(L712,7,1),"x0x1x2x3x4x5x6x7x8x9"))),OR(8&gt;LEN(L712),MID(L712,8,1)=".",ISNUMBER(FIND("x"&amp;MID(L712,8,1),"x0x1x2x3x4x5x6x7x8x9"))),OR(9&gt;LEN(L712),MID(L712,9,1)=".",ISNUMBER(FIND("x"&amp;MID(L712,9,1),"x0x1x2x3x4x5x6x7x8x9"))),OR(10&gt;LEN(L712),MID(L712,10,1)=".",ISNUMBER(FIND("x"&amp;MID(L712,10,1),"x0x1x2x3x4x5x6x7x8x9"))),OR(AND(FIND(".",L712)=5,LEN(L712)-FIND(".",L712,FIND(".",L712)+1)&gt;=1,LEN(L712)-FIND(".",L712,FIND(".",L712)+1)&lt;=2),AND(LEN(L712)-FIND(".",L712,FIND(".",L712)+1)=4,FIND(".",L712)&gt;=2,FIND(".",L712)&lt;=3)),FIND(".",L712,FIND(".",L712)+1)-FIND(".",L712)&gt;=2,FIND(".",L712,FIND(".",L712)+1)-FIND(".",L712)&lt;=3,P712&gt;=2000,P712&lt;=2100,YEAR(S712)=P712,MONTH(S712)=Q712,DAY(S712)=R712),S712,0)),0)</ns0:f>
        <ns0:v>0</ns0:v>
      </ns0:c>
      <ns0:c r="U712" s="0" t="str">
        <ns0:f>IF(Bookings!C712="","Full day",Bookings!C712)</ns0:f>
        <ns0:v>Full day</ns0:v>
      </ns0:c>
      <ns0:c r="V712" s="0" t="str">
        <ns0:f>IF(Bookings!E712="","Full day",Bookings!E712)</ns0:f>
        <ns0:v>Full day</ns0:v>
      </ns0:c>
      <ns0:c r="W712" s="0">
        <ns0:f>IF(J712=0,0,J712+IF(U712="PM",1,0))</ns0:f>
        <ns0:v>0</ns0:v>
      </ns0:c>
      <ns0:c r="X712" s="0">
        <ns0:f>IF(T712=0,0,T712-IF(V712="PM",1,0))</ns0:f>
        <ns0:v>0</ns0:v>
      </ns0:c>
      <ns0:c r="Y712" s="0">
        <ns0:f>IF(J712=0,0,J712+IF(U712="AM",1,0))</ns0:f>
        <ns0:v>0</ns0:v>
      </ns0:c>
      <ns0:c r="Z712" s="0">
        <ns0:f>IF(T712=0,0,T712-IF(V712="AM",1,0))</ns0:f>
        <ns0:v>0</ns0:v>
      </ns0:c>
      <ns0:c r="AA712" s="0">
        <ns0:f>IFERROR(IF(AND(J712&gt;0,'_Engine'!C712&gt;0,MID('_Engine'!W712,WEEKDAY(J712,2),1)="W",COUNTIF(Settings!$F$18:$F$67,J712)=0),1,0),0)</ns0:f>
        <ns0:v>0</ns0:v>
      </ns0:c>
      <ns0:c r="AB712" s="0">
        <ns0:f>IFERROR(IF(AND(T712&gt;0,'_Engine'!C712&gt;0,MID('_Engine'!W712,WEEKDAY(T712,2),1)="W",COUNTIF(Settings!$F$18:$F$67,T712)=0),1,0),0)</ns0:f>
        <ns0:v>0</ns0:v>
      </ns0:c>
      <ns0:c r="AC712" s="0">
        <ns0:f>IF(AND(J712&gt;0,T712&gt;0,W712&lt;=X712),1,0)</ns0:f>
        <ns0:v>0</ns0:v>
      </ns0:c>
      <ns0:c r="AD712" s="0">
        <ns0:f>IF(AND(J712&gt;0,T712&gt;0,Y712&lt;=Z712),1,0)</ns0:f>
        <ns0:v>0</ns0:v>
      </ns0:c>
    </ns0:row>
    <ns0:row r="713">
      <ns0:c r="A713" s="0">
        <ns0:f>IFERROR(IF(ISNUMBER(Bookings!B713),"",TRIM(Bookings!B713&amp;"")),"")</ns0:f>
      </ns0:c>
      <ns0:c r="B713" s="0">
        <ns0:f>IFERROR(SUBSTITUTE(SUBSTITUTE(A713,"/","."),"-","."),"")</ns0:f>
      </ns0:c>
      <ns0:c r="C713" s="0">
        <ns0:f>IFERROR(LEFT(B713,FIND(".",B713)-1),"")</ns0:f>
      </ns0:c>
      <ns0:c r="D713" s="0">
        <ns0:f>IFERROR(MID(B713,FIND(".",B713)+1,FIND(".",B713,FIND(".",B713)+1)-FIND(".",B713)-1),"")</ns0:f>
      </ns0:c>
      <ns0:c r="E713" s="0">
        <ns0:f>IFERROR(MID(B713,FIND(".",B713,FIND(".",B713)+1)+1,99),"")</ns0:f>
        <ns0:v>99</ns0:v>
      </ns0:c>
      <ns0:c r="F713" s="0">
        <ns0:f>IFERROR(IF(FIND(".",B713)=5,--C713,--E713),0)</ns0:f>
        <ns0:v>0</ns0:v>
      </ns0:c>
      <ns0:c r="G713" s="0">
        <ns0:f>IFERROR(--D713,0)</ns0:f>
        <ns0:v>0</ns0:v>
      </ns0:c>
      <ns0:c r="H713" s="0">
        <ns0:f>IFERROR(IF(FIND(".",B713)=5,--E713,--C713),0)</ns0:f>
        <ns0:v>0</ns0:v>
      </ns0:c>
      <ns0:c r="I713" s="0">
        <ns0:f>IFERROR(IF(AND(F713&gt;=2000,F713&lt;=2100,G713&gt;=1,G713&lt;=12,H713&gt;=1,H713&lt;=31),DATE(F713,G713,H713),0),0)</ns0:f>
        <ns0:v>0</ns0:v>
      </ns0:c>
      <ns0:c r="J713" s="0">
        <ns0:f>IFERROR(IF(ISNUMBER(Bookings!B713),IF(AND(Bookings!B713=INT(Bookings!B713),Bookings!B713&gt;=DATE(2000,1,1),Bookings!B713&lt;=DATE(2100,12,31)),Bookings!B713,0),IF(AND(A713&lt;&gt;"",LEN("x"&amp;B713)-LEN(SUBSTITUTE("x"&amp;B713,".",""))=2,OR(1&gt;LEN(B713),MID(B713,1,1)=".",ISNUMBER(FIND("x"&amp;MID(B713,1,1),"x0x1x2x3x4x5x6x7x8x9"))),OR(2&gt;LEN(B713),MID(B713,2,1)=".",ISNUMBER(FIND("x"&amp;MID(B713,2,1),"x0x1x2x3x4x5x6x7x8x9"))),OR(3&gt;LEN(B713),MID(B713,3,1)=".",ISNUMBER(FIND("x"&amp;MID(B713,3,1),"x0x1x2x3x4x5x6x7x8x9"))),OR(4&gt;LEN(B713),MID(B713,4,1)=".",ISNUMBER(FIND("x"&amp;MID(B713,4,1),"x0x1x2x3x4x5x6x7x8x9"))),OR(5&gt;LEN(B713),MID(B713,5,1)=".",ISNUMBER(FIND("x"&amp;MID(B713,5,1),"x0x1x2x3x4x5x6x7x8x9"))),OR(6&gt;LEN(B713),MID(B713,6,1)=".",ISNUMBER(FIND("x"&amp;MID(B713,6,1),"x0x1x2x3x4x5x6x7x8x9"))),OR(7&gt;LEN(B713),MID(B713,7,1)=".",ISNUMBER(FIND("x"&amp;MID(B713,7,1),"x0x1x2x3x4x5x6x7x8x9"))),OR(8&gt;LEN(B713),MID(B713,8,1)=".",ISNUMBER(FIND("x"&amp;MID(B713,8,1),"x0x1x2x3x4x5x6x7x8x9"))),OR(9&gt;LEN(B713),MID(B713,9,1)=".",ISNUMBER(FIND("x"&amp;MID(B713,9,1),"x0x1x2x3x4x5x6x7x8x9"))),OR(10&gt;LEN(B713),MID(B713,10,1)=".",ISNUMBER(FIND("x"&amp;MID(B713,10,1),"x0x1x2x3x4x5x6x7x8x9"))),OR(AND(FIND(".",B713)=5,LEN(B713)-FIND(".",B713,FIND(".",B713)+1)&gt;=1,LEN(B713)-FIND(".",B713,FIND(".",B713)+1)&lt;=2),AND(LEN(B713)-FIND(".",B713,FIND(".",B713)+1)=4,FIND(".",B713)&gt;=2,FIND(".",B713)&lt;=3)),FIND(".",B713,FIND(".",B713)+1)-FIND(".",B713)&gt;=2,FIND(".",B713,FIND(".",B713)+1)-FIND(".",B713)&lt;=3,F713&gt;=2000,F713&lt;=2100,YEAR(I713)=F713,MONTH(I713)=G713,DAY(I713)=H713),I713,0)),0)</ns0:f>
        <ns0:v>0</ns0:v>
      </ns0:c>
      <ns0:c r="K713" s="0">
        <ns0:f>IFERROR(IF(ISNUMBER(Bookings!D713),"",TRIM(Bookings!D713&amp;"")),"")</ns0:f>
      </ns0:c>
      <ns0:c r="L713" s="0">
        <ns0:f>IFERROR(SUBSTITUTE(SUBSTITUTE(K713,"/","."),"-","."),"")</ns0:f>
      </ns0:c>
      <ns0:c r="M713" s="0">
        <ns0:f>IFERROR(LEFT(L713,FIND(".",L713)-1),"")</ns0:f>
      </ns0:c>
      <ns0:c r="N713" s="0">
        <ns0:f>IFERROR(MID(L713,FIND(".",L713)+1,FIND(".",L713,FIND(".",L713)+1)-FIND(".",L713)-1),"")</ns0:f>
      </ns0:c>
      <ns0:c r="O713" s="0">
        <ns0:f>IFERROR(MID(L713,FIND(".",L713,FIND(".",L713)+1)+1,99),"")</ns0:f>
        <ns0:v>99</ns0:v>
      </ns0:c>
      <ns0:c r="P713" s="0">
        <ns0:f>IFERROR(IF(FIND(".",L713)=5,--M713,--O713),0)</ns0:f>
        <ns0:v>0</ns0:v>
      </ns0:c>
      <ns0:c r="Q713" s="0">
        <ns0:f>IFERROR(--N713,0)</ns0:f>
        <ns0:v>0</ns0:v>
      </ns0:c>
      <ns0:c r="R713" s="0">
        <ns0:f>IFERROR(IF(FIND(".",L713)=5,--O713,--M713),0)</ns0:f>
        <ns0:v>0</ns0:v>
      </ns0:c>
      <ns0:c r="S713" s="0">
        <ns0:f>IFERROR(IF(AND(P713&gt;=2000,P713&lt;=2100,Q713&gt;=1,Q713&lt;=12,R713&gt;=1,R713&lt;=31),DATE(P713,Q713,R713),0),0)</ns0:f>
        <ns0:v>0</ns0:v>
      </ns0:c>
      <ns0:c r="T713" s="0">
        <ns0:f>IFERROR(IF(ISNUMBER(Bookings!D713),IF(AND(Bookings!D713=INT(Bookings!D713),Bookings!D713&gt;=DATE(2000,1,1),Bookings!D713&lt;=DATE(2100,12,31)),Bookings!D713,0),IF(AND(K713&lt;&gt;"",LEN("x"&amp;L713)-LEN(SUBSTITUTE("x"&amp;L713,".",""))=2,OR(1&gt;LEN(L713),MID(L713,1,1)=".",ISNUMBER(FIND("x"&amp;MID(L713,1,1),"x0x1x2x3x4x5x6x7x8x9"))),OR(2&gt;LEN(L713),MID(L713,2,1)=".",ISNUMBER(FIND("x"&amp;MID(L713,2,1),"x0x1x2x3x4x5x6x7x8x9"))),OR(3&gt;LEN(L713),MID(L713,3,1)=".",ISNUMBER(FIND("x"&amp;MID(L713,3,1),"x0x1x2x3x4x5x6x7x8x9"))),OR(4&gt;LEN(L713),MID(L713,4,1)=".",ISNUMBER(FIND("x"&amp;MID(L713,4,1),"x0x1x2x3x4x5x6x7x8x9"))),OR(5&gt;LEN(L713),MID(L713,5,1)=".",ISNUMBER(FIND("x"&amp;MID(L713,5,1),"x0x1x2x3x4x5x6x7x8x9"))),OR(6&gt;LEN(L713),MID(L713,6,1)=".",ISNUMBER(FIND("x"&amp;MID(L713,6,1),"x0x1x2x3x4x5x6x7x8x9"))),OR(7&gt;LEN(L713),MID(L713,7,1)=".",ISNUMBER(FIND("x"&amp;MID(L713,7,1),"x0x1x2x3x4x5x6x7x8x9"))),OR(8&gt;LEN(L713),MID(L713,8,1)=".",ISNUMBER(FIND("x"&amp;MID(L713,8,1),"x0x1x2x3x4x5x6x7x8x9"))),OR(9&gt;LEN(L713),MID(L713,9,1)=".",ISNUMBER(FIND("x"&amp;MID(L713,9,1),"x0x1x2x3x4x5x6x7x8x9"))),OR(10&gt;LEN(L713),MID(L713,10,1)=".",ISNUMBER(FIND("x"&amp;MID(L713,10,1),"x0x1x2x3x4x5x6x7x8x9"))),OR(AND(FIND(".",L713)=5,LEN(L713)-FIND(".",L713,FIND(".",L713)+1)&gt;=1,LEN(L713)-FIND(".",L713,FIND(".",L713)+1)&lt;=2),AND(LEN(L713)-FIND(".",L713,FIND(".",L713)+1)=4,FIND(".",L713)&gt;=2,FIND(".",L713)&lt;=3)),FIND(".",L713,FIND(".",L713)+1)-FIND(".",L713)&gt;=2,FIND(".",L713,FIND(".",L713)+1)-FIND(".",L713)&lt;=3,P713&gt;=2000,P713&lt;=2100,YEAR(S713)=P713,MONTH(S713)=Q713,DAY(S713)=R713),S713,0)),0)</ns0:f>
        <ns0:v>0</ns0:v>
      </ns0:c>
      <ns0:c r="U713" s="0" t="str">
        <ns0:f>IF(Bookings!C713="","Full day",Bookings!C713)</ns0:f>
        <ns0:v>Full day</ns0:v>
      </ns0:c>
      <ns0:c r="V713" s="0" t="str">
        <ns0:f>IF(Bookings!E713="","Full day",Bookings!E713)</ns0:f>
        <ns0:v>Full day</ns0:v>
      </ns0:c>
      <ns0:c r="W713" s="0">
        <ns0:f>IF(J713=0,0,J713+IF(U713="PM",1,0))</ns0:f>
        <ns0:v>0</ns0:v>
      </ns0:c>
      <ns0:c r="X713" s="0">
        <ns0:f>IF(T713=0,0,T713-IF(V713="PM",1,0))</ns0:f>
        <ns0:v>0</ns0:v>
      </ns0:c>
      <ns0:c r="Y713" s="0">
        <ns0:f>IF(J713=0,0,J713+IF(U713="AM",1,0))</ns0:f>
        <ns0:v>0</ns0:v>
      </ns0:c>
      <ns0:c r="Z713" s="0">
        <ns0:f>IF(T713=0,0,T713-IF(V713="AM",1,0))</ns0:f>
        <ns0:v>0</ns0:v>
      </ns0:c>
      <ns0:c r="AA713" s="0">
        <ns0:f>IFERROR(IF(AND(J713&gt;0,'_Engine'!C713&gt;0,MID('_Engine'!W713,WEEKDAY(J713,2),1)="W",COUNTIF(Settings!$F$18:$F$67,J713)=0),1,0),0)</ns0:f>
        <ns0:v>0</ns0:v>
      </ns0:c>
      <ns0:c r="AB713" s="0">
        <ns0:f>IFERROR(IF(AND(T713&gt;0,'_Engine'!C713&gt;0,MID('_Engine'!W713,WEEKDAY(T713,2),1)="W",COUNTIF(Settings!$F$18:$F$67,T713)=0),1,0),0)</ns0:f>
        <ns0:v>0</ns0:v>
      </ns0:c>
      <ns0:c r="AC713" s="0">
        <ns0:f>IF(AND(J713&gt;0,T713&gt;0,W713&lt;=X713),1,0)</ns0:f>
        <ns0:v>0</ns0:v>
      </ns0:c>
      <ns0:c r="AD713" s="0">
        <ns0:f>IF(AND(J713&gt;0,T713&gt;0,Y713&lt;=Z713),1,0)</ns0:f>
        <ns0:v>0</ns0:v>
      </ns0:c>
    </ns0:row>
    <ns0:row r="714">
      <ns0:c r="A714" s="0">
        <ns0:f>IFERROR(IF(ISNUMBER(Bookings!B714),"",TRIM(Bookings!B714&amp;"")),"")</ns0:f>
      </ns0:c>
      <ns0:c r="B714" s="0">
        <ns0:f>IFERROR(SUBSTITUTE(SUBSTITUTE(A714,"/","."),"-","."),"")</ns0:f>
      </ns0:c>
      <ns0:c r="C714" s="0">
        <ns0:f>IFERROR(LEFT(B714,FIND(".",B714)-1),"")</ns0:f>
      </ns0:c>
      <ns0:c r="D714" s="0">
        <ns0:f>IFERROR(MID(B714,FIND(".",B714)+1,FIND(".",B714,FIND(".",B714)+1)-FIND(".",B714)-1),"")</ns0:f>
      </ns0:c>
      <ns0:c r="E714" s="0">
        <ns0:f>IFERROR(MID(B714,FIND(".",B714,FIND(".",B714)+1)+1,99),"")</ns0:f>
        <ns0:v>99</ns0:v>
      </ns0:c>
      <ns0:c r="F714" s="0">
        <ns0:f>IFERROR(IF(FIND(".",B714)=5,--C714,--E714),0)</ns0:f>
        <ns0:v>0</ns0:v>
      </ns0:c>
      <ns0:c r="G714" s="0">
        <ns0:f>IFERROR(--D714,0)</ns0:f>
        <ns0:v>0</ns0:v>
      </ns0:c>
      <ns0:c r="H714" s="0">
        <ns0:f>IFERROR(IF(FIND(".",B714)=5,--E714,--C714),0)</ns0:f>
        <ns0:v>0</ns0:v>
      </ns0:c>
      <ns0:c r="I714" s="0">
        <ns0:f>IFERROR(IF(AND(F714&gt;=2000,F714&lt;=2100,G714&gt;=1,G714&lt;=12,H714&gt;=1,H714&lt;=31),DATE(F714,G714,H714),0),0)</ns0:f>
        <ns0:v>0</ns0:v>
      </ns0:c>
      <ns0:c r="J714" s="0">
        <ns0:f>IFERROR(IF(ISNUMBER(Bookings!B714),IF(AND(Bookings!B714=INT(Bookings!B714),Bookings!B714&gt;=DATE(2000,1,1),Bookings!B714&lt;=DATE(2100,12,31)),Bookings!B714,0),IF(AND(A714&lt;&gt;"",LEN("x"&amp;B714)-LEN(SUBSTITUTE("x"&amp;B714,".",""))=2,OR(1&gt;LEN(B714),MID(B714,1,1)=".",ISNUMBER(FIND("x"&amp;MID(B714,1,1),"x0x1x2x3x4x5x6x7x8x9"))),OR(2&gt;LEN(B714),MID(B714,2,1)=".",ISNUMBER(FIND("x"&amp;MID(B714,2,1),"x0x1x2x3x4x5x6x7x8x9"))),OR(3&gt;LEN(B714),MID(B714,3,1)=".",ISNUMBER(FIND("x"&amp;MID(B714,3,1),"x0x1x2x3x4x5x6x7x8x9"))),OR(4&gt;LEN(B714),MID(B714,4,1)=".",ISNUMBER(FIND("x"&amp;MID(B714,4,1),"x0x1x2x3x4x5x6x7x8x9"))),OR(5&gt;LEN(B714),MID(B714,5,1)=".",ISNUMBER(FIND("x"&amp;MID(B714,5,1),"x0x1x2x3x4x5x6x7x8x9"))),OR(6&gt;LEN(B714),MID(B714,6,1)=".",ISNUMBER(FIND("x"&amp;MID(B714,6,1),"x0x1x2x3x4x5x6x7x8x9"))),OR(7&gt;LEN(B714),MID(B714,7,1)=".",ISNUMBER(FIND("x"&amp;MID(B714,7,1),"x0x1x2x3x4x5x6x7x8x9"))),OR(8&gt;LEN(B714),MID(B714,8,1)=".",ISNUMBER(FIND("x"&amp;MID(B714,8,1),"x0x1x2x3x4x5x6x7x8x9"))),OR(9&gt;LEN(B714),MID(B714,9,1)=".",ISNUMBER(FIND("x"&amp;MID(B714,9,1),"x0x1x2x3x4x5x6x7x8x9"))),OR(10&gt;LEN(B714),MID(B714,10,1)=".",ISNUMBER(FIND("x"&amp;MID(B714,10,1),"x0x1x2x3x4x5x6x7x8x9"))),OR(AND(FIND(".",B714)=5,LEN(B714)-FIND(".",B714,FIND(".",B714)+1)&gt;=1,LEN(B714)-FIND(".",B714,FIND(".",B714)+1)&lt;=2),AND(LEN(B714)-FIND(".",B714,FIND(".",B714)+1)=4,FIND(".",B714)&gt;=2,FIND(".",B714)&lt;=3)),FIND(".",B714,FIND(".",B714)+1)-FIND(".",B714)&gt;=2,FIND(".",B714,FIND(".",B714)+1)-FIND(".",B714)&lt;=3,F714&gt;=2000,F714&lt;=2100,YEAR(I714)=F714,MONTH(I714)=G714,DAY(I714)=H714),I714,0)),0)</ns0:f>
        <ns0:v>0</ns0:v>
      </ns0:c>
      <ns0:c r="K714" s="0">
        <ns0:f>IFERROR(IF(ISNUMBER(Bookings!D714),"",TRIM(Bookings!D714&amp;"")),"")</ns0:f>
      </ns0:c>
      <ns0:c r="L714" s="0">
        <ns0:f>IFERROR(SUBSTITUTE(SUBSTITUTE(K714,"/","."),"-","."),"")</ns0:f>
      </ns0:c>
      <ns0:c r="M714" s="0">
        <ns0:f>IFERROR(LEFT(L714,FIND(".",L714)-1),"")</ns0:f>
      </ns0:c>
      <ns0:c r="N714" s="0">
        <ns0:f>IFERROR(MID(L714,FIND(".",L714)+1,FIND(".",L714,FIND(".",L714)+1)-FIND(".",L714)-1),"")</ns0:f>
      </ns0:c>
      <ns0:c r="O714" s="0">
        <ns0:f>IFERROR(MID(L714,FIND(".",L714,FIND(".",L714)+1)+1,99),"")</ns0:f>
        <ns0:v>99</ns0:v>
      </ns0:c>
      <ns0:c r="P714" s="0">
        <ns0:f>IFERROR(IF(FIND(".",L714)=5,--M714,--O714),0)</ns0:f>
        <ns0:v>0</ns0:v>
      </ns0:c>
      <ns0:c r="Q714" s="0">
        <ns0:f>IFERROR(--N714,0)</ns0:f>
        <ns0:v>0</ns0:v>
      </ns0:c>
      <ns0:c r="R714" s="0">
        <ns0:f>IFERROR(IF(FIND(".",L714)=5,--O714,--M714),0)</ns0:f>
        <ns0:v>0</ns0:v>
      </ns0:c>
      <ns0:c r="S714" s="0">
        <ns0:f>IFERROR(IF(AND(P714&gt;=2000,P714&lt;=2100,Q714&gt;=1,Q714&lt;=12,R714&gt;=1,R714&lt;=31),DATE(P714,Q714,R714),0),0)</ns0:f>
        <ns0:v>0</ns0:v>
      </ns0:c>
      <ns0:c r="T714" s="0">
        <ns0:f>IFERROR(IF(ISNUMBER(Bookings!D714),IF(AND(Bookings!D714=INT(Bookings!D714),Bookings!D714&gt;=DATE(2000,1,1),Bookings!D714&lt;=DATE(2100,12,31)),Bookings!D714,0),IF(AND(K714&lt;&gt;"",LEN("x"&amp;L714)-LEN(SUBSTITUTE("x"&amp;L714,".",""))=2,OR(1&gt;LEN(L714),MID(L714,1,1)=".",ISNUMBER(FIND("x"&amp;MID(L714,1,1),"x0x1x2x3x4x5x6x7x8x9"))),OR(2&gt;LEN(L714),MID(L714,2,1)=".",ISNUMBER(FIND("x"&amp;MID(L714,2,1),"x0x1x2x3x4x5x6x7x8x9"))),OR(3&gt;LEN(L714),MID(L714,3,1)=".",ISNUMBER(FIND("x"&amp;MID(L714,3,1),"x0x1x2x3x4x5x6x7x8x9"))),OR(4&gt;LEN(L714),MID(L714,4,1)=".",ISNUMBER(FIND("x"&amp;MID(L714,4,1),"x0x1x2x3x4x5x6x7x8x9"))),OR(5&gt;LEN(L714),MID(L714,5,1)=".",ISNUMBER(FIND("x"&amp;MID(L714,5,1),"x0x1x2x3x4x5x6x7x8x9"))),OR(6&gt;LEN(L714),MID(L714,6,1)=".",ISNUMBER(FIND("x"&amp;MID(L714,6,1),"x0x1x2x3x4x5x6x7x8x9"))),OR(7&gt;LEN(L714),MID(L714,7,1)=".",ISNUMBER(FIND("x"&amp;MID(L714,7,1),"x0x1x2x3x4x5x6x7x8x9"))),OR(8&gt;LEN(L714),MID(L714,8,1)=".",ISNUMBER(FIND("x"&amp;MID(L714,8,1),"x0x1x2x3x4x5x6x7x8x9"))),OR(9&gt;LEN(L714),MID(L714,9,1)=".",ISNUMBER(FIND("x"&amp;MID(L714,9,1),"x0x1x2x3x4x5x6x7x8x9"))),OR(10&gt;LEN(L714),MID(L714,10,1)=".",ISNUMBER(FIND("x"&amp;MID(L714,10,1),"x0x1x2x3x4x5x6x7x8x9"))),OR(AND(FIND(".",L714)=5,LEN(L714)-FIND(".",L714,FIND(".",L714)+1)&gt;=1,LEN(L714)-FIND(".",L714,FIND(".",L714)+1)&lt;=2),AND(LEN(L714)-FIND(".",L714,FIND(".",L714)+1)=4,FIND(".",L714)&gt;=2,FIND(".",L714)&lt;=3)),FIND(".",L714,FIND(".",L714)+1)-FIND(".",L714)&gt;=2,FIND(".",L714,FIND(".",L714)+1)-FIND(".",L714)&lt;=3,P714&gt;=2000,P714&lt;=2100,YEAR(S714)=P714,MONTH(S714)=Q714,DAY(S714)=R714),S714,0)),0)</ns0:f>
        <ns0:v>0</ns0:v>
      </ns0:c>
      <ns0:c r="U714" s="0" t="str">
        <ns0:f>IF(Bookings!C714="","Full day",Bookings!C714)</ns0:f>
        <ns0:v>Full day</ns0:v>
      </ns0:c>
      <ns0:c r="V714" s="0" t="str">
        <ns0:f>IF(Bookings!E714="","Full day",Bookings!E714)</ns0:f>
        <ns0:v>Full day</ns0:v>
      </ns0:c>
      <ns0:c r="W714" s="0">
        <ns0:f>IF(J714=0,0,J714+IF(U714="PM",1,0))</ns0:f>
        <ns0:v>0</ns0:v>
      </ns0:c>
      <ns0:c r="X714" s="0">
        <ns0:f>IF(T714=0,0,T714-IF(V714="PM",1,0))</ns0:f>
        <ns0:v>0</ns0:v>
      </ns0:c>
      <ns0:c r="Y714" s="0">
        <ns0:f>IF(J714=0,0,J714+IF(U714="AM",1,0))</ns0:f>
        <ns0:v>0</ns0:v>
      </ns0:c>
      <ns0:c r="Z714" s="0">
        <ns0:f>IF(T714=0,0,T714-IF(V714="AM",1,0))</ns0:f>
        <ns0:v>0</ns0:v>
      </ns0:c>
      <ns0:c r="AA714" s="0">
        <ns0:f>IFERROR(IF(AND(J714&gt;0,'_Engine'!C714&gt;0,MID('_Engine'!W714,WEEKDAY(J714,2),1)="W",COUNTIF(Settings!$F$18:$F$67,J714)=0),1,0),0)</ns0:f>
        <ns0:v>0</ns0:v>
      </ns0:c>
      <ns0:c r="AB714" s="0">
        <ns0:f>IFERROR(IF(AND(T714&gt;0,'_Engine'!C714&gt;0,MID('_Engine'!W714,WEEKDAY(T714,2),1)="W",COUNTIF(Settings!$F$18:$F$67,T714)=0),1,0),0)</ns0:f>
        <ns0:v>0</ns0:v>
      </ns0:c>
      <ns0:c r="AC714" s="0">
        <ns0:f>IF(AND(J714&gt;0,T714&gt;0,W714&lt;=X714),1,0)</ns0:f>
        <ns0:v>0</ns0:v>
      </ns0:c>
      <ns0:c r="AD714" s="0">
        <ns0:f>IF(AND(J714&gt;0,T714&gt;0,Y714&lt;=Z714),1,0)</ns0:f>
        <ns0:v>0</ns0:v>
      </ns0:c>
    </ns0:row>
    <ns0:row r="715">
      <ns0:c r="A715" s="0">
        <ns0:f>IFERROR(IF(ISNUMBER(Bookings!B715),"",TRIM(Bookings!B715&amp;"")),"")</ns0:f>
      </ns0:c>
      <ns0:c r="B715" s="0">
        <ns0:f>IFERROR(SUBSTITUTE(SUBSTITUTE(A715,"/","."),"-","."),"")</ns0:f>
      </ns0:c>
      <ns0:c r="C715" s="0">
        <ns0:f>IFERROR(LEFT(B715,FIND(".",B715)-1),"")</ns0:f>
      </ns0:c>
      <ns0:c r="D715" s="0">
        <ns0:f>IFERROR(MID(B715,FIND(".",B715)+1,FIND(".",B715,FIND(".",B715)+1)-FIND(".",B715)-1),"")</ns0:f>
      </ns0:c>
      <ns0:c r="E715" s="0">
        <ns0:f>IFERROR(MID(B715,FIND(".",B715,FIND(".",B715)+1)+1,99),"")</ns0:f>
        <ns0:v>99</ns0:v>
      </ns0:c>
      <ns0:c r="F715" s="0">
        <ns0:f>IFERROR(IF(FIND(".",B715)=5,--C715,--E715),0)</ns0:f>
        <ns0:v>0</ns0:v>
      </ns0:c>
      <ns0:c r="G715" s="0">
        <ns0:f>IFERROR(--D715,0)</ns0:f>
        <ns0:v>0</ns0:v>
      </ns0:c>
      <ns0:c r="H715" s="0">
        <ns0:f>IFERROR(IF(FIND(".",B715)=5,--E715,--C715),0)</ns0:f>
        <ns0:v>0</ns0:v>
      </ns0:c>
      <ns0:c r="I715" s="0">
        <ns0:f>IFERROR(IF(AND(F715&gt;=2000,F715&lt;=2100,G715&gt;=1,G715&lt;=12,H715&gt;=1,H715&lt;=31),DATE(F715,G715,H715),0),0)</ns0:f>
        <ns0:v>0</ns0:v>
      </ns0:c>
      <ns0:c r="J715" s="0">
        <ns0:f>IFERROR(IF(ISNUMBER(Bookings!B715),IF(AND(Bookings!B715=INT(Bookings!B715),Bookings!B715&gt;=DATE(2000,1,1),Bookings!B715&lt;=DATE(2100,12,31)),Bookings!B715,0),IF(AND(A715&lt;&gt;"",LEN("x"&amp;B715)-LEN(SUBSTITUTE("x"&amp;B715,".",""))=2,OR(1&gt;LEN(B715),MID(B715,1,1)=".",ISNUMBER(FIND("x"&amp;MID(B715,1,1),"x0x1x2x3x4x5x6x7x8x9"))),OR(2&gt;LEN(B715),MID(B715,2,1)=".",ISNUMBER(FIND("x"&amp;MID(B715,2,1),"x0x1x2x3x4x5x6x7x8x9"))),OR(3&gt;LEN(B715),MID(B715,3,1)=".",ISNUMBER(FIND("x"&amp;MID(B715,3,1),"x0x1x2x3x4x5x6x7x8x9"))),OR(4&gt;LEN(B715),MID(B715,4,1)=".",ISNUMBER(FIND("x"&amp;MID(B715,4,1),"x0x1x2x3x4x5x6x7x8x9"))),OR(5&gt;LEN(B715),MID(B715,5,1)=".",ISNUMBER(FIND("x"&amp;MID(B715,5,1),"x0x1x2x3x4x5x6x7x8x9"))),OR(6&gt;LEN(B715),MID(B715,6,1)=".",ISNUMBER(FIND("x"&amp;MID(B715,6,1),"x0x1x2x3x4x5x6x7x8x9"))),OR(7&gt;LEN(B715),MID(B715,7,1)=".",ISNUMBER(FIND("x"&amp;MID(B715,7,1),"x0x1x2x3x4x5x6x7x8x9"))),OR(8&gt;LEN(B715),MID(B715,8,1)=".",ISNUMBER(FIND("x"&amp;MID(B715,8,1),"x0x1x2x3x4x5x6x7x8x9"))),OR(9&gt;LEN(B715),MID(B715,9,1)=".",ISNUMBER(FIND("x"&amp;MID(B715,9,1),"x0x1x2x3x4x5x6x7x8x9"))),OR(10&gt;LEN(B715),MID(B715,10,1)=".",ISNUMBER(FIND("x"&amp;MID(B715,10,1),"x0x1x2x3x4x5x6x7x8x9"))),OR(AND(FIND(".",B715)=5,LEN(B715)-FIND(".",B715,FIND(".",B715)+1)&gt;=1,LEN(B715)-FIND(".",B715,FIND(".",B715)+1)&lt;=2),AND(LEN(B715)-FIND(".",B715,FIND(".",B715)+1)=4,FIND(".",B715)&gt;=2,FIND(".",B715)&lt;=3)),FIND(".",B715,FIND(".",B715)+1)-FIND(".",B715)&gt;=2,FIND(".",B715,FIND(".",B715)+1)-FIND(".",B715)&lt;=3,F715&gt;=2000,F715&lt;=2100,YEAR(I715)=F715,MONTH(I715)=G715,DAY(I715)=H715),I715,0)),0)</ns0:f>
        <ns0:v>0</ns0:v>
      </ns0:c>
      <ns0:c r="K715" s="0">
        <ns0:f>IFERROR(IF(ISNUMBER(Bookings!D715),"",TRIM(Bookings!D715&amp;"")),"")</ns0:f>
      </ns0:c>
      <ns0:c r="L715" s="0">
        <ns0:f>IFERROR(SUBSTITUTE(SUBSTITUTE(K715,"/","."),"-","."),"")</ns0:f>
      </ns0:c>
      <ns0:c r="M715" s="0">
        <ns0:f>IFERROR(LEFT(L715,FIND(".",L715)-1),"")</ns0:f>
      </ns0:c>
      <ns0:c r="N715" s="0">
        <ns0:f>IFERROR(MID(L715,FIND(".",L715)+1,FIND(".",L715,FIND(".",L715)+1)-FIND(".",L715)-1),"")</ns0:f>
      </ns0:c>
      <ns0:c r="O715" s="0">
        <ns0:f>IFERROR(MID(L715,FIND(".",L715,FIND(".",L715)+1)+1,99),"")</ns0:f>
        <ns0:v>99</ns0:v>
      </ns0:c>
      <ns0:c r="P715" s="0">
        <ns0:f>IFERROR(IF(FIND(".",L715)=5,--M715,--O715),0)</ns0:f>
        <ns0:v>0</ns0:v>
      </ns0:c>
      <ns0:c r="Q715" s="0">
        <ns0:f>IFERROR(--N715,0)</ns0:f>
        <ns0:v>0</ns0:v>
      </ns0:c>
      <ns0:c r="R715" s="0">
        <ns0:f>IFERROR(IF(FIND(".",L715)=5,--O715,--M715),0)</ns0:f>
        <ns0:v>0</ns0:v>
      </ns0:c>
      <ns0:c r="S715" s="0">
        <ns0:f>IFERROR(IF(AND(P715&gt;=2000,P715&lt;=2100,Q715&gt;=1,Q715&lt;=12,R715&gt;=1,R715&lt;=31),DATE(P715,Q715,R715),0),0)</ns0:f>
        <ns0:v>0</ns0:v>
      </ns0:c>
      <ns0:c r="T715" s="0">
        <ns0:f>IFERROR(IF(ISNUMBER(Bookings!D715),IF(AND(Bookings!D715=INT(Bookings!D715),Bookings!D715&gt;=DATE(2000,1,1),Bookings!D715&lt;=DATE(2100,12,31)),Bookings!D715,0),IF(AND(K715&lt;&gt;"",LEN("x"&amp;L715)-LEN(SUBSTITUTE("x"&amp;L715,".",""))=2,OR(1&gt;LEN(L715),MID(L715,1,1)=".",ISNUMBER(FIND("x"&amp;MID(L715,1,1),"x0x1x2x3x4x5x6x7x8x9"))),OR(2&gt;LEN(L715),MID(L715,2,1)=".",ISNUMBER(FIND("x"&amp;MID(L715,2,1),"x0x1x2x3x4x5x6x7x8x9"))),OR(3&gt;LEN(L715),MID(L715,3,1)=".",ISNUMBER(FIND("x"&amp;MID(L715,3,1),"x0x1x2x3x4x5x6x7x8x9"))),OR(4&gt;LEN(L715),MID(L715,4,1)=".",ISNUMBER(FIND("x"&amp;MID(L715,4,1),"x0x1x2x3x4x5x6x7x8x9"))),OR(5&gt;LEN(L715),MID(L715,5,1)=".",ISNUMBER(FIND("x"&amp;MID(L715,5,1),"x0x1x2x3x4x5x6x7x8x9"))),OR(6&gt;LEN(L715),MID(L715,6,1)=".",ISNUMBER(FIND("x"&amp;MID(L715,6,1),"x0x1x2x3x4x5x6x7x8x9"))),OR(7&gt;LEN(L715),MID(L715,7,1)=".",ISNUMBER(FIND("x"&amp;MID(L715,7,1),"x0x1x2x3x4x5x6x7x8x9"))),OR(8&gt;LEN(L715),MID(L715,8,1)=".",ISNUMBER(FIND("x"&amp;MID(L715,8,1),"x0x1x2x3x4x5x6x7x8x9"))),OR(9&gt;LEN(L715),MID(L715,9,1)=".",ISNUMBER(FIND("x"&amp;MID(L715,9,1),"x0x1x2x3x4x5x6x7x8x9"))),OR(10&gt;LEN(L715),MID(L715,10,1)=".",ISNUMBER(FIND("x"&amp;MID(L715,10,1),"x0x1x2x3x4x5x6x7x8x9"))),OR(AND(FIND(".",L715)=5,LEN(L715)-FIND(".",L715,FIND(".",L715)+1)&gt;=1,LEN(L715)-FIND(".",L715,FIND(".",L715)+1)&lt;=2),AND(LEN(L715)-FIND(".",L715,FIND(".",L715)+1)=4,FIND(".",L715)&gt;=2,FIND(".",L715)&lt;=3)),FIND(".",L715,FIND(".",L715)+1)-FIND(".",L715)&gt;=2,FIND(".",L715,FIND(".",L715)+1)-FIND(".",L715)&lt;=3,P715&gt;=2000,P715&lt;=2100,YEAR(S715)=P715,MONTH(S715)=Q715,DAY(S715)=R715),S715,0)),0)</ns0:f>
        <ns0:v>0</ns0:v>
      </ns0:c>
      <ns0:c r="U715" s="0" t="str">
        <ns0:f>IF(Bookings!C715="","Full day",Bookings!C715)</ns0:f>
        <ns0:v>Full day</ns0:v>
      </ns0:c>
      <ns0:c r="V715" s="0" t="str">
        <ns0:f>IF(Bookings!E715="","Full day",Bookings!E715)</ns0:f>
        <ns0:v>Full day</ns0:v>
      </ns0:c>
      <ns0:c r="W715" s="0">
        <ns0:f>IF(J715=0,0,J715+IF(U715="PM",1,0))</ns0:f>
        <ns0:v>0</ns0:v>
      </ns0:c>
      <ns0:c r="X715" s="0">
        <ns0:f>IF(T715=0,0,T715-IF(V715="PM",1,0))</ns0:f>
        <ns0:v>0</ns0:v>
      </ns0:c>
      <ns0:c r="Y715" s="0">
        <ns0:f>IF(J715=0,0,J715+IF(U715="AM",1,0))</ns0:f>
        <ns0:v>0</ns0:v>
      </ns0:c>
      <ns0:c r="Z715" s="0">
        <ns0:f>IF(T715=0,0,T715-IF(V715="AM",1,0))</ns0:f>
        <ns0:v>0</ns0:v>
      </ns0:c>
      <ns0:c r="AA715" s="0">
        <ns0:f>IFERROR(IF(AND(J715&gt;0,'_Engine'!C715&gt;0,MID('_Engine'!W715,WEEKDAY(J715,2),1)="W",COUNTIF(Settings!$F$18:$F$67,J715)=0),1,0),0)</ns0:f>
        <ns0:v>0</ns0:v>
      </ns0:c>
      <ns0:c r="AB715" s="0">
        <ns0:f>IFERROR(IF(AND(T715&gt;0,'_Engine'!C715&gt;0,MID('_Engine'!W715,WEEKDAY(T715,2),1)="W",COUNTIF(Settings!$F$18:$F$67,T715)=0),1,0),0)</ns0:f>
        <ns0:v>0</ns0:v>
      </ns0:c>
      <ns0:c r="AC715" s="0">
        <ns0:f>IF(AND(J715&gt;0,T715&gt;0,W715&lt;=X715),1,0)</ns0:f>
        <ns0:v>0</ns0:v>
      </ns0:c>
      <ns0:c r="AD715" s="0">
        <ns0:f>IF(AND(J715&gt;0,T715&gt;0,Y715&lt;=Z715),1,0)</ns0:f>
        <ns0:v>0</ns0:v>
      </ns0:c>
    </ns0:row>
    <ns0:row r="716">
      <ns0:c r="A716" s="0">
        <ns0:f>IFERROR(IF(ISNUMBER(Bookings!B716),"",TRIM(Bookings!B716&amp;"")),"")</ns0:f>
      </ns0:c>
      <ns0:c r="B716" s="0">
        <ns0:f>IFERROR(SUBSTITUTE(SUBSTITUTE(A716,"/","."),"-","."),"")</ns0:f>
      </ns0:c>
      <ns0:c r="C716" s="0">
        <ns0:f>IFERROR(LEFT(B716,FIND(".",B716)-1),"")</ns0:f>
      </ns0:c>
      <ns0:c r="D716" s="0">
        <ns0:f>IFERROR(MID(B716,FIND(".",B716)+1,FIND(".",B716,FIND(".",B716)+1)-FIND(".",B716)-1),"")</ns0:f>
      </ns0:c>
      <ns0:c r="E716" s="0">
        <ns0:f>IFERROR(MID(B716,FIND(".",B716,FIND(".",B716)+1)+1,99),"")</ns0:f>
        <ns0:v>99</ns0:v>
      </ns0:c>
      <ns0:c r="F716" s="0">
        <ns0:f>IFERROR(IF(FIND(".",B716)=5,--C716,--E716),0)</ns0:f>
        <ns0:v>0</ns0:v>
      </ns0:c>
      <ns0:c r="G716" s="0">
        <ns0:f>IFERROR(--D716,0)</ns0:f>
        <ns0:v>0</ns0:v>
      </ns0:c>
      <ns0:c r="H716" s="0">
        <ns0:f>IFERROR(IF(FIND(".",B716)=5,--E716,--C716),0)</ns0:f>
        <ns0:v>0</ns0:v>
      </ns0:c>
      <ns0:c r="I716" s="0">
        <ns0:f>IFERROR(IF(AND(F716&gt;=2000,F716&lt;=2100,G716&gt;=1,G716&lt;=12,H716&gt;=1,H716&lt;=31),DATE(F716,G716,H716),0),0)</ns0:f>
        <ns0:v>0</ns0:v>
      </ns0:c>
      <ns0:c r="J716" s="0">
        <ns0:f>IFERROR(IF(ISNUMBER(Bookings!B716),IF(AND(Bookings!B716=INT(Bookings!B716),Bookings!B716&gt;=DATE(2000,1,1),Bookings!B716&lt;=DATE(2100,12,31)),Bookings!B716,0),IF(AND(A716&lt;&gt;"",LEN("x"&amp;B716)-LEN(SUBSTITUTE("x"&amp;B716,".",""))=2,OR(1&gt;LEN(B716),MID(B716,1,1)=".",ISNUMBER(FIND("x"&amp;MID(B716,1,1),"x0x1x2x3x4x5x6x7x8x9"))),OR(2&gt;LEN(B716),MID(B716,2,1)=".",ISNUMBER(FIND("x"&amp;MID(B716,2,1),"x0x1x2x3x4x5x6x7x8x9"))),OR(3&gt;LEN(B716),MID(B716,3,1)=".",ISNUMBER(FIND("x"&amp;MID(B716,3,1),"x0x1x2x3x4x5x6x7x8x9"))),OR(4&gt;LEN(B716),MID(B716,4,1)=".",ISNUMBER(FIND("x"&amp;MID(B716,4,1),"x0x1x2x3x4x5x6x7x8x9"))),OR(5&gt;LEN(B716),MID(B716,5,1)=".",ISNUMBER(FIND("x"&amp;MID(B716,5,1),"x0x1x2x3x4x5x6x7x8x9"))),OR(6&gt;LEN(B716),MID(B716,6,1)=".",ISNUMBER(FIND("x"&amp;MID(B716,6,1),"x0x1x2x3x4x5x6x7x8x9"))),OR(7&gt;LEN(B716),MID(B716,7,1)=".",ISNUMBER(FIND("x"&amp;MID(B716,7,1),"x0x1x2x3x4x5x6x7x8x9"))),OR(8&gt;LEN(B716),MID(B716,8,1)=".",ISNUMBER(FIND("x"&amp;MID(B716,8,1),"x0x1x2x3x4x5x6x7x8x9"))),OR(9&gt;LEN(B716),MID(B716,9,1)=".",ISNUMBER(FIND("x"&amp;MID(B716,9,1),"x0x1x2x3x4x5x6x7x8x9"))),OR(10&gt;LEN(B716),MID(B716,10,1)=".",ISNUMBER(FIND("x"&amp;MID(B716,10,1),"x0x1x2x3x4x5x6x7x8x9"))),OR(AND(FIND(".",B716)=5,LEN(B716)-FIND(".",B716,FIND(".",B716)+1)&gt;=1,LEN(B716)-FIND(".",B716,FIND(".",B716)+1)&lt;=2),AND(LEN(B716)-FIND(".",B716,FIND(".",B716)+1)=4,FIND(".",B716)&gt;=2,FIND(".",B716)&lt;=3)),FIND(".",B716,FIND(".",B716)+1)-FIND(".",B716)&gt;=2,FIND(".",B716,FIND(".",B716)+1)-FIND(".",B716)&lt;=3,F716&gt;=2000,F716&lt;=2100,YEAR(I716)=F716,MONTH(I716)=G716,DAY(I716)=H716),I716,0)),0)</ns0:f>
        <ns0:v>0</ns0:v>
      </ns0:c>
      <ns0:c r="K716" s="0">
        <ns0:f>IFERROR(IF(ISNUMBER(Bookings!D716),"",TRIM(Bookings!D716&amp;"")),"")</ns0:f>
      </ns0:c>
      <ns0:c r="L716" s="0">
        <ns0:f>IFERROR(SUBSTITUTE(SUBSTITUTE(K716,"/","."),"-","."),"")</ns0:f>
      </ns0:c>
      <ns0:c r="M716" s="0">
        <ns0:f>IFERROR(LEFT(L716,FIND(".",L716)-1),"")</ns0:f>
      </ns0:c>
      <ns0:c r="N716" s="0">
        <ns0:f>IFERROR(MID(L716,FIND(".",L716)+1,FIND(".",L716,FIND(".",L716)+1)-FIND(".",L716)-1),"")</ns0:f>
      </ns0:c>
      <ns0:c r="O716" s="0">
        <ns0:f>IFERROR(MID(L716,FIND(".",L716,FIND(".",L716)+1)+1,99),"")</ns0:f>
        <ns0:v>99</ns0:v>
      </ns0:c>
      <ns0:c r="P716" s="0">
        <ns0:f>IFERROR(IF(FIND(".",L716)=5,--M716,--O716),0)</ns0:f>
        <ns0:v>0</ns0:v>
      </ns0:c>
      <ns0:c r="Q716" s="0">
        <ns0:f>IFERROR(--N716,0)</ns0:f>
        <ns0:v>0</ns0:v>
      </ns0:c>
      <ns0:c r="R716" s="0">
        <ns0:f>IFERROR(IF(FIND(".",L716)=5,--O716,--M716),0)</ns0:f>
        <ns0:v>0</ns0:v>
      </ns0:c>
      <ns0:c r="S716" s="0">
        <ns0:f>IFERROR(IF(AND(P716&gt;=2000,P716&lt;=2100,Q716&gt;=1,Q716&lt;=12,R716&gt;=1,R716&lt;=31),DATE(P716,Q716,R716),0),0)</ns0:f>
        <ns0:v>0</ns0:v>
      </ns0:c>
      <ns0:c r="T716" s="0">
        <ns0:f>IFERROR(IF(ISNUMBER(Bookings!D716),IF(AND(Bookings!D716=INT(Bookings!D716),Bookings!D716&gt;=DATE(2000,1,1),Bookings!D716&lt;=DATE(2100,12,31)),Bookings!D716,0),IF(AND(K716&lt;&gt;"",LEN("x"&amp;L716)-LEN(SUBSTITUTE("x"&amp;L716,".",""))=2,OR(1&gt;LEN(L716),MID(L716,1,1)=".",ISNUMBER(FIND("x"&amp;MID(L716,1,1),"x0x1x2x3x4x5x6x7x8x9"))),OR(2&gt;LEN(L716),MID(L716,2,1)=".",ISNUMBER(FIND("x"&amp;MID(L716,2,1),"x0x1x2x3x4x5x6x7x8x9"))),OR(3&gt;LEN(L716),MID(L716,3,1)=".",ISNUMBER(FIND("x"&amp;MID(L716,3,1),"x0x1x2x3x4x5x6x7x8x9"))),OR(4&gt;LEN(L716),MID(L716,4,1)=".",ISNUMBER(FIND("x"&amp;MID(L716,4,1),"x0x1x2x3x4x5x6x7x8x9"))),OR(5&gt;LEN(L716),MID(L716,5,1)=".",ISNUMBER(FIND("x"&amp;MID(L716,5,1),"x0x1x2x3x4x5x6x7x8x9"))),OR(6&gt;LEN(L716),MID(L716,6,1)=".",ISNUMBER(FIND("x"&amp;MID(L716,6,1),"x0x1x2x3x4x5x6x7x8x9"))),OR(7&gt;LEN(L716),MID(L716,7,1)=".",ISNUMBER(FIND("x"&amp;MID(L716,7,1),"x0x1x2x3x4x5x6x7x8x9"))),OR(8&gt;LEN(L716),MID(L716,8,1)=".",ISNUMBER(FIND("x"&amp;MID(L716,8,1),"x0x1x2x3x4x5x6x7x8x9"))),OR(9&gt;LEN(L716),MID(L716,9,1)=".",ISNUMBER(FIND("x"&amp;MID(L716,9,1),"x0x1x2x3x4x5x6x7x8x9"))),OR(10&gt;LEN(L716),MID(L716,10,1)=".",ISNUMBER(FIND("x"&amp;MID(L716,10,1),"x0x1x2x3x4x5x6x7x8x9"))),OR(AND(FIND(".",L716)=5,LEN(L716)-FIND(".",L716,FIND(".",L716)+1)&gt;=1,LEN(L716)-FIND(".",L716,FIND(".",L716)+1)&lt;=2),AND(LEN(L716)-FIND(".",L716,FIND(".",L716)+1)=4,FIND(".",L716)&gt;=2,FIND(".",L716)&lt;=3)),FIND(".",L716,FIND(".",L716)+1)-FIND(".",L716)&gt;=2,FIND(".",L716,FIND(".",L716)+1)-FIND(".",L716)&lt;=3,P716&gt;=2000,P716&lt;=2100,YEAR(S716)=P716,MONTH(S716)=Q716,DAY(S716)=R716),S716,0)),0)</ns0:f>
        <ns0:v>0</ns0:v>
      </ns0:c>
      <ns0:c r="U716" s="0" t="str">
        <ns0:f>IF(Bookings!C716="","Full day",Bookings!C716)</ns0:f>
        <ns0:v>Full day</ns0:v>
      </ns0:c>
      <ns0:c r="V716" s="0" t="str">
        <ns0:f>IF(Bookings!E716="","Full day",Bookings!E716)</ns0:f>
        <ns0:v>Full day</ns0:v>
      </ns0:c>
      <ns0:c r="W716" s="0">
        <ns0:f>IF(J716=0,0,J716+IF(U716="PM",1,0))</ns0:f>
        <ns0:v>0</ns0:v>
      </ns0:c>
      <ns0:c r="X716" s="0">
        <ns0:f>IF(T716=0,0,T716-IF(V716="PM",1,0))</ns0:f>
        <ns0:v>0</ns0:v>
      </ns0:c>
      <ns0:c r="Y716" s="0">
        <ns0:f>IF(J716=0,0,J716+IF(U716="AM",1,0))</ns0:f>
        <ns0:v>0</ns0:v>
      </ns0:c>
      <ns0:c r="Z716" s="0">
        <ns0:f>IF(T716=0,0,T716-IF(V716="AM",1,0))</ns0:f>
        <ns0:v>0</ns0:v>
      </ns0:c>
      <ns0:c r="AA716" s="0">
        <ns0:f>IFERROR(IF(AND(J716&gt;0,'_Engine'!C716&gt;0,MID('_Engine'!W716,WEEKDAY(J716,2),1)="W",COUNTIF(Settings!$F$18:$F$67,J716)=0),1,0),0)</ns0:f>
        <ns0:v>0</ns0:v>
      </ns0:c>
      <ns0:c r="AB716" s="0">
        <ns0:f>IFERROR(IF(AND(T716&gt;0,'_Engine'!C716&gt;0,MID('_Engine'!W716,WEEKDAY(T716,2),1)="W",COUNTIF(Settings!$F$18:$F$67,T716)=0),1,0),0)</ns0:f>
        <ns0:v>0</ns0:v>
      </ns0:c>
      <ns0:c r="AC716" s="0">
        <ns0:f>IF(AND(J716&gt;0,T716&gt;0,W716&lt;=X716),1,0)</ns0:f>
        <ns0:v>0</ns0:v>
      </ns0:c>
      <ns0:c r="AD716" s="0">
        <ns0:f>IF(AND(J716&gt;0,T716&gt;0,Y716&lt;=Z716),1,0)</ns0:f>
        <ns0:v>0</ns0:v>
      </ns0:c>
    </ns0:row>
    <ns0:row r="717">
      <ns0:c r="A717" s="0">
        <ns0:f>IFERROR(IF(ISNUMBER(Bookings!B717),"",TRIM(Bookings!B717&amp;"")),"")</ns0:f>
      </ns0:c>
      <ns0:c r="B717" s="0">
        <ns0:f>IFERROR(SUBSTITUTE(SUBSTITUTE(A717,"/","."),"-","."),"")</ns0:f>
      </ns0:c>
      <ns0:c r="C717" s="0">
        <ns0:f>IFERROR(LEFT(B717,FIND(".",B717)-1),"")</ns0:f>
      </ns0:c>
      <ns0:c r="D717" s="0">
        <ns0:f>IFERROR(MID(B717,FIND(".",B717)+1,FIND(".",B717,FIND(".",B717)+1)-FIND(".",B717)-1),"")</ns0:f>
      </ns0:c>
      <ns0:c r="E717" s="0">
        <ns0:f>IFERROR(MID(B717,FIND(".",B717,FIND(".",B717)+1)+1,99),"")</ns0:f>
        <ns0:v>99</ns0:v>
      </ns0:c>
      <ns0:c r="F717" s="0">
        <ns0:f>IFERROR(IF(FIND(".",B717)=5,--C717,--E717),0)</ns0:f>
        <ns0:v>0</ns0:v>
      </ns0:c>
      <ns0:c r="G717" s="0">
        <ns0:f>IFERROR(--D717,0)</ns0:f>
        <ns0:v>0</ns0:v>
      </ns0:c>
      <ns0:c r="H717" s="0">
        <ns0:f>IFERROR(IF(FIND(".",B717)=5,--E717,--C717),0)</ns0:f>
        <ns0:v>0</ns0:v>
      </ns0:c>
      <ns0:c r="I717" s="0">
        <ns0:f>IFERROR(IF(AND(F717&gt;=2000,F717&lt;=2100,G717&gt;=1,G717&lt;=12,H717&gt;=1,H717&lt;=31),DATE(F717,G717,H717),0),0)</ns0:f>
        <ns0:v>0</ns0:v>
      </ns0:c>
      <ns0:c r="J717" s="0">
        <ns0:f>IFERROR(IF(ISNUMBER(Bookings!B717),IF(AND(Bookings!B717=INT(Bookings!B717),Bookings!B717&gt;=DATE(2000,1,1),Bookings!B717&lt;=DATE(2100,12,31)),Bookings!B717,0),IF(AND(A717&lt;&gt;"",LEN("x"&amp;B717)-LEN(SUBSTITUTE("x"&amp;B717,".",""))=2,OR(1&gt;LEN(B717),MID(B717,1,1)=".",ISNUMBER(FIND("x"&amp;MID(B717,1,1),"x0x1x2x3x4x5x6x7x8x9"))),OR(2&gt;LEN(B717),MID(B717,2,1)=".",ISNUMBER(FIND("x"&amp;MID(B717,2,1),"x0x1x2x3x4x5x6x7x8x9"))),OR(3&gt;LEN(B717),MID(B717,3,1)=".",ISNUMBER(FIND("x"&amp;MID(B717,3,1),"x0x1x2x3x4x5x6x7x8x9"))),OR(4&gt;LEN(B717),MID(B717,4,1)=".",ISNUMBER(FIND("x"&amp;MID(B717,4,1),"x0x1x2x3x4x5x6x7x8x9"))),OR(5&gt;LEN(B717),MID(B717,5,1)=".",ISNUMBER(FIND("x"&amp;MID(B717,5,1),"x0x1x2x3x4x5x6x7x8x9"))),OR(6&gt;LEN(B717),MID(B717,6,1)=".",ISNUMBER(FIND("x"&amp;MID(B717,6,1),"x0x1x2x3x4x5x6x7x8x9"))),OR(7&gt;LEN(B717),MID(B717,7,1)=".",ISNUMBER(FIND("x"&amp;MID(B717,7,1),"x0x1x2x3x4x5x6x7x8x9"))),OR(8&gt;LEN(B717),MID(B717,8,1)=".",ISNUMBER(FIND("x"&amp;MID(B717,8,1),"x0x1x2x3x4x5x6x7x8x9"))),OR(9&gt;LEN(B717),MID(B717,9,1)=".",ISNUMBER(FIND("x"&amp;MID(B717,9,1),"x0x1x2x3x4x5x6x7x8x9"))),OR(10&gt;LEN(B717),MID(B717,10,1)=".",ISNUMBER(FIND("x"&amp;MID(B717,10,1),"x0x1x2x3x4x5x6x7x8x9"))),OR(AND(FIND(".",B717)=5,LEN(B717)-FIND(".",B717,FIND(".",B717)+1)&gt;=1,LEN(B717)-FIND(".",B717,FIND(".",B717)+1)&lt;=2),AND(LEN(B717)-FIND(".",B717,FIND(".",B717)+1)=4,FIND(".",B717)&gt;=2,FIND(".",B717)&lt;=3)),FIND(".",B717,FIND(".",B717)+1)-FIND(".",B717)&gt;=2,FIND(".",B717,FIND(".",B717)+1)-FIND(".",B717)&lt;=3,F717&gt;=2000,F717&lt;=2100,YEAR(I717)=F717,MONTH(I717)=G717,DAY(I717)=H717),I717,0)),0)</ns0:f>
        <ns0:v>0</ns0:v>
      </ns0:c>
      <ns0:c r="K717" s="0">
        <ns0:f>IFERROR(IF(ISNUMBER(Bookings!D717),"",TRIM(Bookings!D717&amp;"")),"")</ns0:f>
      </ns0:c>
      <ns0:c r="L717" s="0">
        <ns0:f>IFERROR(SUBSTITUTE(SUBSTITUTE(K717,"/","."),"-","."),"")</ns0:f>
      </ns0:c>
      <ns0:c r="M717" s="0">
        <ns0:f>IFERROR(LEFT(L717,FIND(".",L717)-1),"")</ns0:f>
      </ns0:c>
      <ns0:c r="N717" s="0">
        <ns0:f>IFERROR(MID(L717,FIND(".",L717)+1,FIND(".",L717,FIND(".",L717)+1)-FIND(".",L717)-1),"")</ns0:f>
      </ns0:c>
      <ns0:c r="O717" s="0">
        <ns0:f>IFERROR(MID(L717,FIND(".",L717,FIND(".",L717)+1)+1,99),"")</ns0:f>
        <ns0:v>99</ns0:v>
      </ns0:c>
      <ns0:c r="P717" s="0">
        <ns0:f>IFERROR(IF(FIND(".",L717)=5,--M717,--O717),0)</ns0:f>
        <ns0:v>0</ns0:v>
      </ns0:c>
      <ns0:c r="Q717" s="0">
        <ns0:f>IFERROR(--N717,0)</ns0:f>
        <ns0:v>0</ns0:v>
      </ns0:c>
      <ns0:c r="R717" s="0">
        <ns0:f>IFERROR(IF(FIND(".",L717)=5,--O717,--M717),0)</ns0:f>
        <ns0:v>0</ns0:v>
      </ns0:c>
      <ns0:c r="S717" s="0">
        <ns0:f>IFERROR(IF(AND(P717&gt;=2000,P717&lt;=2100,Q717&gt;=1,Q717&lt;=12,R717&gt;=1,R717&lt;=31),DATE(P717,Q717,R717),0),0)</ns0:f>
        <ns0:v>0</ns0:v>
      </ns0:c>
      <ns0:c r="T717" s="0">
        <ns0:f>IFERROR(IF(ISNUMBER(Bookings!D717),IF(AND(Bookings!D717=INT(Bookings!D717),Bookings!D717&gt;=DATE(2000,1,1),Bookings!D717&lt;=DATE(2100,12,31)),Bookings!D717,0),IF(AND(K717&lt;&gt;"",LEN("x"&amp;L717)-LEN(SUBSTITUTE("x"&amp;L717,".",""))=2,OR(1&gt;LEN(L717),MID(L717,1,1)=".",ISNUMBER(FIND("x"&amp;MID(L717,1,1),"x0x1x2x3x4x5x6x7x8x9"))),OR(2&gt;LEN(L717),MID(L717,2,1)=".",ISNUMBER(FIND("x"&amp;MID(L717,2,1),"x0x1x2x3x4x5x6x7x8x9"))),OR(3&gt;LEN(L717),MID(L717,3,1)=".",ISNUMBER(FIND("x"&amp;MID(L717,3,1),"x0x1x2x3x4x5x6x7x8x9"))),OR(4&gt;LEN(L717),MID(L717,4,1)=".",ISNUMBER(FIND("x"&amp;MID(L717,4,1),"x0x1x2x3x4x5x6x7x8x9"))),OR(5&gt;LEN(L717),MID(L717,5,1)=".",ISNUMBER(FIND("x"&amp;MID(L717,5,1),"x0x1x2x3x4x5x6x7x8x9"))),OR(6&gt;LEN(L717),MID(L717,6,1)=".",ISNUMBER(FIND("x"&amp;MID(L717,6,1),"x0x1x2x3x4x5x6x7x8x9"))),OR(7&gt;LEN(L717),MID(L717,7,1)=".",ISNUMBER(FIND("x"&amp;MID(L717,7,1),"x0x1x2x3x4x5x6x7x8x9"))),OR(8&gt;LEN(L717),MID(L717,8,1)=".",ISNUMBER(FIND("x"&amp;MID(L717,8,1),"x0x1x2x3x4x5x6x7x8x9"))),OR(9&gt;LEN(L717),MID(L717,9,1)=".",ISNUMBER(FIND("x"&amp;MID(L717,9,1),"x0x1x2x3x4x5x6x7x8x9"))),OR(10&gt;LEN(L717),MID(L717,10,1)=".",ISNUMBER(FIND("x"&amp;MID(L717,10,1),"x0x1x2x3x4x5x6x7x8x9"))),OR(AND(FIND(".",L717)=5,LEN(L717)-FIND(".",L717,FIND(".",L717)+1)&gt;=1,LEN(L717)-FIND(".",L717,FIND(".",L717)+1)&lt;=2),AND(LEN(L717)-FIND(".",L717,FIND(".",L717)+1)=4,FIND(".",L717)&gt;=2,FIND(".",L717)&lt;=3)),FIND(".",L717,FIND(".",L717)+1)-FIND(".",L717)&gt;=2,FIND(".",L717,FIND(".",L717)+1)-FIND(".",L717)&lt;=3,P717&gt;=2000,P717&lt;=2100,YEAR(S717)=P717,MONTH(S717)=Q717,DAY(S717)=R717),S717,0)),0)</ns0:f>
        <ns0:v>0</ns0:v>
      </ns0:c>
      <ns0:c r="U717" s="0" t="str">
        <ns0:f>IF(Bookings!C717="","Full day",Bookings!C717)</ns0:f>
        <ns0:v>Full day</ns0:v>
      </ns0:c>
      <ns0:c r="V717" s="0" t="str">
        <ns0:f>IF(Bookings!E717="","Full day",Bookings!E717)</ns0:f>
        <ns0:v>Full day</ns0:v>
      </ns0:c>
      <ns0:c r="W717" s="0">
        <ns0:f>IF(J717=0,0,J717+IF(U717="PM",1,0))</ns0:f>
        <ns0:v>0</ns0:v>
      </ns0:c>
      <ns0:c r="X717" s="0">
        <ns0:f>IF(T717=0,0,T717-IF(V717="PM",1,0))</ns0:f>
        <ns0:v>0</ns0:v>
      </ns0:c>
      <ns0:c r="Y717" s="0">
        <ns0:f>IF(J717=0,0,J717+IF(U717="AM",1,0))</ns0:f>
        <ns0:v>0</ns0:v>
      </ns0:c>
      <ns0:c r="Z717" s="0">
        <ns0:f>IF(T717=0,0,T717-IF(V717="AM",1,0))</ns0:f>
        <ns0:v>0</ns0:v>
      </ns0:c>
      <ns0:c r="AA717" s="0">
        <ns0:f>IFERROR(IF(AND(J717&gt;0,'_Engine'!C717&gt;0,MID('_Engine'!W717,WEEKDAY(J717,2),1)="W",COUNTIF(Settings!$F$18:$F$67,J717)=0),1,0),0)</ns0:f>
        <ns0:v>0</ns0:v>
      </ns0:c>
      <ns0:c r="AB717" s="0">
        <ns0:f>IFERROR(IF(AND(T717&gt;0,'_Engine'!C717&gt;0,MID('_Engine'!W717,WEEKDAY(T717,2),1)="W",COUNTIF(Settings!$F$18:$F$67,T717)=0),1,0),0)</ns0:f>
        <ns0:v>0</ns0:v>
      </ns0:c>
      <ns0:c r="AC717" s="0">
        <ns0:f>IF(AND(J717&gt;0,T717&gt;0,W717&lt;=X717),1,0)</ns0:f>
        <ns0:v>0</ns0:v>
      </ns0:c>
      <ns0:c r="AD717" s="0">
        <ns0:f>IF(AND(J717&gt;0,T717&gt;0,Y717&lt;=Z717),1,0)</ns0:f>
        <ns0:v>0</ns0:v>
      </ns0:c>
    </ns0:row>
    <ns0:row r="718">
      <ns0:c r="A718" s="0">
        <ns0:f>IFERROR(IF(ISNUMBER(Bookings!B718),"",TRIM(Bookings!B718&amp;"")),"")</ns0:f>
      </ns0:c>
      <ns0:c r="B718" s="0">
        <ns0:f>IFERROR(SUBSTITUTE(SUBSTITUTE(A718,"/","."),"-","."),"")</ns0:f>
      </ns0:c>
      <ns0:c r="C718" s="0">
        <ns0:f>IFERROR(LEFT(B718,FIND(".",B718)-1),"")</ns0:f>
      </ns0:c>
      <ns0:c r="D718" s="0">
        <ns0:f>IFERROR(MID(B718,FIND(".",B718)+1,FIND(".",B718,FIND(".",B718)+1)-FIND(".",B718)-1),"")</ns0:f>
      </ns0:c>
      <ns0:c r="E718" s="0">
        <ns0:f>IFERROR(MID(B718,FIND(".",B718,FIND(".",B718)+1)+1,99),"")</ns0:f>
        <ns0:v>99</ns0:v>
      </ns0:c>
      <ns0:c r="F718" s="0">
        <ns0:f>IFERROR(IF(FIND(".",B718)=5,--C718,--E718),0)</ns0:f>
        <ns0:v>0</ns0:v>
      </ns0:c>
      <ns0:c r="G718" s="0">
        <ns0:f>IFERROR(--D718,0)</ns0:f>
        <ns0:v>0</ns0:v>
      </ns0:c>
      <ns0:c r="H718" s="0">
        <ns0:f>IFERROR(IF(FIND(".",B718)=5,--E718,--C718),0)</ns0:f>
        <ns0:v>0</ns0:v>
      </ns0:c>
      <ns0:c r="I718" s="0">
        <ns0:f>IFERROR(IF(AND(F718&gt;=2000,F718&lt;=2100,G718&gt;=1,G718&lt;=12,H718&gt;=1,H718&lt;=31),DATE(F718,G718,H718),0),0)</ns0:f>
        <ns0:v>0</ns0:v>
      </ns0:c>
      <ns0:c r="J718" s="0">
        <ns0:f>IFERROR(IF(ISNUMBER(Bookings!B718),IF(AND(Bookings!B718=INT(Bookings!B718),Bookings!B718&gt;=DATE(2000,1,1),Bookings!B718&lt;=DATE(2100,12,31)),Bookings!B718,0),IF(AND(A718&lt;&gt;"",LEN("x"&amp;B718)-LEN(SUBSTITUTE("x"&amp;B718,".",""))=2,OR(1&gt;LEN(B718),MID(B718,1,1)=".",ISNUMBER(FIND("x"&amp;MID(B718,1,1),"x0x1x2x3x4x5x6x7x8x9"))),OR(2&gt;LEN(B718),MID(B718,2,1)=".",ISNUMBER(FIND("x"&amp;MID(B718,2,1),"x0x1x2x3x4x5x6x7x8x9"))),OR(3&gt;LEN(B718),MID(B718,3,1)=".",ISNUMBER(FIND("x"&amp;MID(B718,3,1),"x0x1x2x3x4x5x6x7x8x9"))),OR(4&gt;LEN(B718),MID(B718,4,1)=".",ISNUMBER(FIND("x"&amp;MID(B718,4,1),"x0x1x2x3x4x5x6x7x8x9"))),OR(5&gt;LEN(B718),MID(B718,5,1)=".",ISNUMBER(FIND("x"&amp;MID(B718,5,1),"x0x1x2x3x4x5x6x7x8x9"))),OR(6&gt;LEN(B718),MID(B718,6,1)=".",ISNUMBER(FIND("x"&amp;MID(B718,6,1),"x0x1x2x3x4x5x6x7x8x9"))),OR(7&gt;LEN(B718),MID(B718,7,1)=".",ISNUMBER(FIND("x"&amp;MID(B718,7,1),"x0x1x2x3x4x5x6x7x8x9"))),OR(8&gt;LEN(B718),MID(B718,8,1)=".",ISNUMBER(FIND("x"&amp;MID(B718,8,1),"x0x1x2x3x4x5x6x7x8x9"))),OR(9&gt;LEN(B718),MID(B718,9,1)=".",ISNUMBER(FIND("x"&amp;MID(B718,9,1),"x0x1x2x3x4x5x6x7x8x9"))),OR(10&gt;LEN(B718),MID(B718,10,1)=".",ISNUMBER(FIND("x"&amp;MID(B718,10,1),"x0x1x2x3x4x5x6x7x8x9"))),OR(AND(FIND(".",B718)=5,LEN(B718)-FIND(".",B718,FIND(".",B718)+1)&gt;=1,LEN(B718)-FIND(".",B718,FIND(".",B718)+1)&lt;=2),AND(LEN(B718)-FIND(".",B718,FIND(".",B718)+1)=4,FIND(".",B718)&gt;=2,FIND(".",B718)&lt;=3)),FIND(".",B718,FIND(".",B718)+1)-FIND(".",B718)&gt;=2,FIND(".",B718,FIND(".",B718)+1)-FIND(".",B718)&lt;=3,F718&gt;=2000,F718&lt;=2100,YEAR(I718)=F718,MONTH(I718)=G718,DAY(I718)=H718),I718,0)),0)</ns0:f>
        <ns0:v>0</ns0:v>
      </ns0:c>
      <ns0:c r="K718" s="0">
        <ns0:f>IFERROR(IF(ISNUMBER(Bookings!D718),"",TRIM(Bookings!D718&amp;"")),"")</ns0:f>
      </ns0:c>
      <ns0:c r="L718" s="0">
        <ns0:f>IFERROR(SUBSTITUTE(SUBSTITUTE(K718,"/","."),"-","."),"")</ns0:f>
      </ns0:c>
      <ns0:c r="M718" s="0">
        <ns0:f>IFERROR(LEFT(L718,FIND(".",L718)-1),"")</ns0:f>
      </ns0:c>
      <ns0:c r="N718" s="0">
        <ns0:f>IFERROR(MID(L718,FIND(".",L718)+1,FIND(".",L718,FIND(".",L718)+1)-FIND(".",L718)-1),"")</ns0:f>
      </ns0:c>
      <ns0:c r="O718" s="0">
        <ns0:f>IFERROR(MID(L718,FIND(".",L718,FIND(".",L718)+1)+1,99),"")</ns0:f>
        <ns0:v>99</ns0:v>
      </ns0:c>
      <ns0:c r="P718" s="0">
        <ns0:f>IFERROR(IF(FIND(".",L718)=5,--M718,--O718),0)</ns0:f>
        <ns0:v>0</ns0:v>
      </ns0:c>
      <ns0:c r="Q718" s="0">
        <ns0:f>IFERROR(--N718,0)</ns0:f>
        <ns0:v>0</ns0:v>
      </ns0:c>
      <ns0:c r="R718" s="0">
        <ns0:f>IFERROR(IF(FIND(".",L718)=5,--O718,--M718),0)</ns0:f>
        <ns0:v>0</ns0:v>
      </ns0:c>
      <ns0:c r="S718" s="0">
        <ns0:f>IFERROR(IF(AND(P718&gt;=2000,P718&lt;=2100,Q718&gt;=1,Q718&lt;=12,R718&gt;=1,R718&lt;=31),DATE(P718,Q718,R718),0),0)</ns0:f>
        <ns0:v>0</ns0:v>
      </ns0:c>
      <ns0:c r="T718" s="0">
        <ns0:f>IFERROR(IF(ISNUMBER(Bookings!D718),IF(AND(Bookings!D718=INT(Bookings!D718),Bookings!D718&gt;=DATE(2000,1,1),Bookings!D718&lt;=DATE(2100,12,31)),Bookings!D718,0),IF(AND(K718&lt;&gt;"",LEN("x"&amp;L718)-LEN(SUBSTITUTE("x"&amp;L718,".",""))=2,OR(1&gt;LEN(L718),MID(L718,1,1)=".",ISNUMBER(FIND("x"&amp;MID(L718,1,1),"x0x1x2x3x4x5x6x7x8x9"))),OR(2&gt;LEN(L718),MID(L718,2,1)=".",ISNUMBER(FIND("x"&amp;MID(L718,2,1),"x0x1x2x3x4x5x6x7x8x9"))),OR(3&gt;LEN(L718),MID(L718,3,1)=".",ISNUMBER(FIND("x"&amp;MID(L718,3,1),"x0x1x2x3x4x5x6x7x8x9"))),OR(4&gt;LEN(L718),MID(L718,4,1)=".",ISNUMBER(FIND("x"&amp;MID(L718,4,1),"x0x1x2x3x4x5x6x7x8x9"))),OR(5&gt;LEN(L718),MID(L718,5,1)=".",ISNUMBER(FIND("x"&amp;MID(L718,5,1),"x0x1x2x3x4x5x6x7x8x9"))),OR(6&gt;LEN(L718),MID(L718,6,1)=".",ISNUMBER(FIND("x"&amp;MID(L718,6,1),"x0x1x2x3x4x5x6x7x8x9"))),OR(7&gt;LEN(L718),MID(L718,7,1)=".",ISNUMBER(FIND("x"&amp;MID(L718,7,1),"x0x1x2x3x4x5x6x7x8x9"))),OR(8&gt;LEN(L718),MID(L718,8,1)=".",ISNUMBER(FIND("x"&amp;MID(L718,8,1),"x0x1x2x3x4x5x6x7x8x9"))),OR(9&gt;LEN(L718),MID(L718,9,1)=".",ISNUMBER(FIND("x"&amp;MID(L718,9,1),"x0x1x2x3x4x5x6x7x8x9"))),OR(10&gt;LEN(L718),MID(L718,10,1)=".",ISNUMBER(FIND("x"&amp;MID(L718,10,1),"x0x1x2x3x4x5x6x7x8x9"))),OR(AND(FIND(".",L718)=5,LEN(L718)-FIND(".",L718,FIND(".",L718)+1)&gt;=1,LEN(L718)-FIND(".",L718,FIND(".",L718)+1)&lt;=2),AND(LEN(L718)-FIND(".",L718,FIND(".",L718)+1)=4,FIND(".",L718)&gt;=2,FIND(".",L718)&lt;=3)),FIND(".",L718,FIND(".",L718)+1)-FIND(".",L718)&gt;=2,FIND(".",L718,FIND(".",L718)+1)-FIND(".",L718)&lt;=3,P718&gt;=2000,P718&lt;=2100,YEAR(S718)=P718,MONTH(S718)=Q718,DAY(S718)=R718),S718,0)),0)</ns0:f>
        <ns0:v>0</ns0:v>
      </ns0:c>
      <ns0:c r="U718" s="0" t="str">
        <ns0:f>IF(Bookings!C718="","Full day",Bookings!C718)</ns0:f>
        <ns0:v>Full day</ns0:v>
      </ns0:c>
      <ns0:c r="V718" s="0" t="str">
        <ns0:f>IF(Bookings!E718="","Full day",Bookings!E718)</ns0:f>
        <ns0:v>Full day</ns0:v>
      </ns0:c>
      <ns0:c r="W718" s="0">
        <ns0:f>IF(J718=0,0,J718+IF(U718="PM",1,0))</ns0:f>
        <ns0:v>0</ns0:v>
      </ns0:c>
      <ns0:c r="X718" s="0">
        <ns0:f>IF(T718=0,0,T718-IF(V718="PM",1,0))</ns0:f>
        <ns0:v>0</ns0:v>
      </ns0:c>
      <ns0:c r="Y718" s="0">
        <ns0:f>IF(J718=0,0,J718+IF(U718="AM",1,0))</ns0:f>
        <ns0:v>0</ns0:v>
      </ns0:c>
      <ns0:c r="Z718" s="0">
        <ns0:f>IF(T718=0,0,T718-IF(V718="AM",1,0))</ns0:f>
        <ns0:v>0</ns0:v>
      </ns0:c>
      <ns0:c r="AA718" s="0">
        <ns0:f>IFERROR(IF(AND(J718&gt;0,'_Engine'!C718&gt;0,MID('_Engine'!W718,WEEKDAY(J718,2),1)="W",COUNTIF(Settings!$F$18:$F$67,J718)=0),1,0),0)</ns0:f>
        <ns0:v>0</ns0:v>
      </ns0:c>
      <ns0:c r="AB718" s="0">
        <ns0:f>IFERROR(IF(AND(T718&gt;0,'_Engine'!C718&gt;0,MID('_Engine'!W718,WEEKDAY(T718,2),1)="W",COUNTIF(Settings!$F$18:$F$67,T718)=0),1,0),0)</ns0:f>
        <ns0:v>0</ns0:v>
      </ns0:c>
      <ns0:c r="AC718" s="0">
        <ns0:f>IF(AND(J718&gt;0,T718&gt;0,W718&lt;=X718),1,0)</ns0:f>
        <ns0:v>0</ns0:v>
      </ns0:c>
      <ns0:c r="AD718" s="0">
        <ns0:f>IF(AND(J718&gt;0,T718&gt;0,Y718&lt;=Z718),1,0)</ns0:f>
        <ns0:v>0</ns0:v>
      </ns0:c>
    </ns0:row>
    <ns0:row r="719">
      <ns0:c r="A719" s="0">
        <ns0:f>IFERROR(IF(ISNUMBER(Bookings!B719),"",TRIM(Bookings!B719&amp;"")),"")</ns0:f>
      </ns0:c>
      <ns0:c r="B719" s="0">
        <ns0:f>IFERROR(SUBSTITUTE(SUBSTITUTE(A719,"/","."),"-","."),"")</ns0:f>
      </ns0:c>
      <ns0:c r="C719" s="0">
        <ns0:f>IFERROR(LEFT(B719,FIND(".",B719)-1),"")</ns0:f>
      </ns0:c>
      <ns0:c r="D719" s="0">
        <ns0:f>IFERROR(MID(B719,FIND(".",B719)+1,FIND(".",B719,FIND(".",B719)+1)-FIND(".",B719)-1),"")</ns0:f>
      </ns0:c>
      <ns0:c r="E719" s="0">
        <ns0:f>IFERROR(MID(B719,FIND(".",B719,FIND(".",B719)+1)+1,99),"")</ns0:f>
        <ns0:v>99</ns0:v>
      </ns0:c>
      <ns0:c r="F719" s="0">
        <ns0:f>IFERROR(IF(FIND(".",B719)=5,--C719,--E719),0)</ns0:f>
        <ns0:v>0</ns0:v>
      </ns0:c>
      <ns0:c r="G719" s="0">
        <ns0:f>IFERROR(--D719,0)</ns0:f>
        <ns0:v>0</ns0:v>
      </ns0:c>
      <ns0:c r="H719" s="0">
        <ns0:f>IFERROR(IF(FIND(".",B719)=5,--E719,--C719),0)</ns0:f>
        <ns0:v>0</ns0:v>
      </ns0:c>
      <ns0:c r="I719" s="0">
        <ns0:f>IFERROR(IF(AND(F719&gt;=2000,F719&lt;=2100,G719&gt;=1,G719&lt;=12,H719&gt;=1,H719&lt;=31),DATE(F719,G719,H719),0),0)</ns0:f>
        <ns0:v>0</ns0:v>
      </ns0:c>
      <ns0:c r="J719" s="0">
        <ns0:f>IFERROR(IF(ISNUMBER(Bookings!B719),IF(AND(Bookings!B719=INT(Bookings!B719),Bookings!B719&gt;=DATE(2000,1,1),Bookings!B719&lt;=DATE(2100,12,31)),Bookings!B719,0),IF(AND(A719&lt;&gt;"",LEN("x"&amp;B719)-LEN(SUBSTITUTE("x"&amp;B719,".",""))=2,OR(1&gt;LEN(B719),MID(B719,1,1)=".",ISNUMBER(FIND("x"&amp;MID(B719,1,1),"x0x1x2x3x4x5x6x7x8x9"))),OR(2&gt;LEN(B719),MID(B719,2,1)=".",ISNUMBER(FIND("x"&amp;MID(B719,2,1),"x0x1x2x3x4x5x6x7x8x9"))),OR(3&gt;LEN(B719),MID(B719,3,1)=".",ISNUMBER(FIND("x"&amp;MID(B719,3,1),"x0x1x2x3x4x5x6x7x8x9"))),OR(4&gt;LEN(B719),MID(B719,4,1)=".",ISNUMBER(FIND("x"&amp;MID(B719,4,1),"x0x1x2x3x4x5x6x7x8x9"))),OR(5&gt;LEN(B719),MID(B719,5,1)=".",ISNUMBER(FIND("x"&amp;MID(B719,5,1),"x0x1x2x3x4x5x6x7x8x9"))),OR(6&gt;LEN(B719),MID(B719,6,1)=".",ISNUMBER(FIND("x"&amp;MID(B719,6,1),"x0x1x2x3x4x5x6x7x8x9"))),OR(7&gt;LEN(B719),MID(B719,7,1)=".",ISNUMBER(FIND("x"&amp;MID(B719,7,1),"x0x1x2x3x4x5x6x7x8x9"))),OR(8&gt;LEN(B719),MID(B719,8,1)=".",ISNUMBER(FIND("x"&amp;MID(B719,8,1),"x0x1x2x3x4x5x6x7x8x9"))),OR(9&gt;LEN(B719),MID(B719,9,1)=".",ISNUMBER(FIND("x"&amp;MID(B719,9,1),"x0x1x2x3x4x5x6x7x8x9"))),OR(10&gt;LEN(B719),MID(B719,10,1)=".",ISNUMBER(FIND("x"&amp;MID(B719,10,1),"x0x1x2x3x4x5x6x7x8x9"))),OR(AND(FIND(".",B719)=5,LEN(B719)-FIND(".",B719,FIND(".",B719)+1)&gt;=1,LEN(B719)-FIND(".",B719,FIND(".",B719)+1)&lt;=2),AND(LEN(B719)-FIND(".",B719,FIND(".",B719)+1)=4,FIND(".",B719)&gt;=2,FIND(".",B719)&lt;=3)),FIND(".",B719,FIND(".",B719)+1)-FIND(".",B719)&gt;=2,FIND(".",B719,FIND(".",B719)+1)-FIND(".",B719)&lt;=3,F719&gt;=2000,F719&lt;=2100,YEAR(I719)=F719,MONTH(I719)=G719,DAY(I719)=H719),I719,0)),0)</ns0:f>
        <ns0:v>0</ns0:v>
      </ns0:c>
      <ns0:c r="K719" s="0">
        <ns0:f>IFERROR(IF(ISNUMBER(Bookings!D719),"",TRIM(Bookings!D719&amp;"")),"")</ns0:f>
      </ns0:c>
      <ns0:c r="L719" s="0">
        <ns0:f>IFERROR(SUBSTITUTE(SUBSTITUTE(K719,"/","."),"-","."),"")</ns0:f>
      </ns0:c>
      <ns0:c r="M719" s="0">
        <ns0:f>IFERROR(LEFT(L719,FIND(".",L719)-1),"")</ns0:f>
      </ns0:c>
      <ns0:c r="N719" s="0">
        <ns0:f>IFERROR(MID(L719,FIND(".",L719)+1,FIND(".",L719,FIND(".",L719)+1)-FIND(".",L719)-1),"")</ns0:f>
      </ns0:c>
      <ns0:c r="O719" s="0">
        <ns0:f>IFERROR(MID(L719,FIND(".",L719,FIND(".",L719)+1)+1,99),"")</ns0:f>
        <ns0:v>99</ns0:v>
      </ns0:c>
      <ns0:c r="P719" s="0">
        <ns0:f>IFERROR(IF(FIND(".",L719)=5,--M719,--O719),0)</ns0:f>
        <ns0:v>0</ns0:v>
      </ns0:c>
      <ns0:c r="Q719" s="0">
        <ns0:f>IFERROR(--N719,0)</ns0:f>
        <ns0:v>0</ns0:v>
      </ns0:c>
      <ns0:c r="R719" s="0">
        <ns0:f>IFERROR(IF(FIND(".",L719)=5,--O719,--M719),0)</ns0:f>
        <ns0:v>0</ns0:v>
      </ns0:c>
      <ns0:c r="S719" s="0">
        <ns0:f>IFERROR(IF(AND(P719&gt;=2000,P719&lt;=2100,Q719&gt;=1,Q719&lt;=12,R719&gt;=1,R719&lt;=31),DATE(P719,Q719,R719),0),0)</ns0:f>
        <ns0:v>0</ns0:v>
      </ns0:c>
      <ns0:c r="T719" s="0">
        <ns0:f>IFERROR(IF(ISNUMBER(Bookings!D719),IF(AND(Bookings!D719=INT(Bookings!D719),Bookings!D719&gt;=DATE(2000,1,1),Bookings!D719&lt;=DATE(2100,12,31)),Bookings!D719,0),IF(AND(K719&lt;&gt;"",LEN("x"&amp;L719)-LEN(SUBSTITUTE("x"&amp;L719,".",""))=2,OR(1&gt;LEN(L719),MID(L719,1,1)=".",ISNUMBER(FIND("x"&amp;MID(L719,1,1),"x0x1x2x3x4x5x6x7x8x9"))),OR(2&gt;LEN(L719),MID(L719,2,1)=".",ISNUMBER(FIND("x"&amp;MID(L719,2,1),"x0x1x2x3x4x5x6x7x8x9"))),OR(3&gt;LEN(L719),MID(L719,3,1)=".",ISNUMBER(FIND("x"&amp;MID(L719,3,1),"x0x1x2x3x4x5x6x7x8x9"))),OR(4&gt;LEN(L719),MID(L719,4,1)=".",ISNUMBER(FIND("x"&amp;MID(L719,4,1),"x0x1x2x3x4x5x6x7x8x9"))),OR(5&gt;LEN(L719),MID(L719,5,1)=".",ISNUMBER(FIND("x"&amp;MID(L719,5,1),"x0x1x2x3x4x5x6x7x8x9"))),OR(6&gt;LEN(L719),MID(L719,6,1)=".",ISNUMBER(FIND("x"&amp;MID(L719,6,1),"x0x1x2x3x4x5x6x7x8x9"))),OR(7&gt;LEN(L719),MID(L719,7,1)=".",ISNUMBER(FIND("x"&amp;MID(L719,7,1),"x0x1x2x3x4x5x6x7x8x9"))),OR(8&gt;LEN(L719),MID(L719,8,1)=".",ISNUMBER(FIND("x"&amp;MID(L719,8,1),"x0x1x2x3x4x5x6x7x8x9"))),OR(9&gt;LEN(L719),MID(L719,9,1)=".",ISNUMBER(FIND("x"&amp;MID(L719,9,1),"x0x1x2x3x4x5x6x7x8x9"))),OR(10&gt;LEN(L719),MID(L719,10,1)=".",ISNUMBER(FIND("x"&amp;MID(L719,10,1),"x0x1x2x3x4x5x6x7x8x9"))),OR(AND(FIND(".",L719)=5,LEN(L719)-FIND(".",L719,FIND(".",L719)+1)&gt;=1,LEN(L719)-FIND(".",L719,FIND(".",L719)+1)&lt;=2),AND(LEN(L719)-FIND(".",L719,FIND(".",L719)+1)=4,FIND(".",L719)&gt;=2,FIND(".",L719)&lt;=3)),FIND(".",L719,FIND(".",L719)+1)-FIND(".",L719)&gt;=2,FIND(".",L719,FIND(".",L719)+1)-FIND(".",L719)&lt;=3,P719&gt;=2000,P719&lt;=2100,YEAR(S719)=P719,MONTH(S719)=Q719,DAY(S719)=R719),S719,0)),0)</ns0:f>
        <ns0:v>0</ns0:v>
      </ns0:c>
      <ns0:c r="U719" s="0" t="str">
        <ns0:f>IF(Bookings!C719="","Full day",Bookings!C719)</ns0:f>
        <ns0:v>Full day</ns0:v>
      </ns0:c>
      <ns0:c r="V719" s="0" t="str">
        <ns0:f>IF(Bookings!E719="","Full day",Bookings!E719)</ns0:f>
        <ns0:v>Full day</ns0:v>
      </ns0:c>
      <ns0:c r="W719" s="0">
        <ns0:f>IF(J719=0,0,J719+IF(U719="PM",1,0))</ns0:f>
        <ns0:v>0</ns0:v>
      </ns0:c>
      <ns0:c r="X719" s="0">
        <ns0:f>IF(T719=0,0,T719-IF(V719="PM",1,0))</ns0:f>
        <ns0:v>0</ns0:v>
      </ns0:c>
      <ns0:c r="Y719" s="0">
        <ns0:f>IF(J719=0,0,J719+IF(U719="AM",1,0))</ns0:f>
        <ns0:v>0</ns0:v>
      </ns0:c>
      <ns0:c r="Z719" s="0">
        <ns0:f>IF(T719=0,0,T719-IF(V719="AM",1,0))</ns0:f>
        <ns0:v>0</ns0:v>
      </ns0:c>
      <ns0:c r="AA719" s="0">
        <ns0:f>IFERROR(IF(AND(J719&gt;0,'_Engine'!C719&gt;0,MID('_Engine'!W719,WEEKDAY(J719,2),1)="W",COUNTIF(Settings!$F$18:$F$67,J719)=0),1,0),0)</ns0:f>
        <ns0:v>0</ns0:v>
      </ns0:c>
      <ns0:c r="AB719" s="0">
        <ns0:f>IFERROR(IF(AND(T719&gt;0,'_Engine'!C719&gt;0,MID('_Engine'!W719,WEEKDAY(T719,2),1)="W",COUNTIF(Settings!$F$18:$F$67,T719)=0),1,0),0)</ns0:f>
        <ns0:v>0</ns0:v>
      </ns0:c>
      <ns0:c r="AC719" s="0">
        <ns0:f>IF(AND(J719&gt;0,T719&gt;0,W719&lt;=X719),1,0)</ns0:f>
        <ns0:v>0</ns0:v>
      </ns0:c>
      <ns0:c r="AD719" s="0">
        <ns0:f>IF(AND(J719&gt;0,T719&gt;0,Y719&lt;=Z719),1,0)</ns0:f>
        <ns0:v>0</ns0:v>
      </ns0:c>
    </ns0:row>
    <ns0:row r="720">
      <ns0:c r="A720" s="0">
        <ns0:f>IFERROR(IF(ISNUMBER(Bookings!B720),"",TRIM(Bookings!B720&amp;"")),"")</ns0:f>
      </ns0:c>
      <ns0:c r="B720" s="0">
        <ns0:f>IFERROR(SUBSTITUTE(SUBSTITUTE(A720,"/","."),"-","."),"")</ns0:f>
      </ns0:c>
      <ns0:c r="C720" s="0">
        <ns0:f>IFERROR(LEFT(B720,FIND(".",B720)-1),"")</ns0:f>
      </ns0:c>
      <ns0:c r="D720" s="0">
        <ns0:f>IFERROR(MID(B720,FIND(".",B720)+1,FIND(".",B720,FIND(".",B720)+1)-FIND(".",B720)-1),"")</ns0:f>
      </ns0:c>
      <ns0:c r="E720" s="0">
        <ns0:f>IFERROR(MID(B720,FIND(".",B720,FIND(".",B720)+1)+1,99),"")</ns0:f>
        <ns0:v>99</ns0:v>
      </ns0:c>
      <ns0:c r="F720" s="0">
        <ns0:f>IFERROR(IF(FIND(".",B720)=5,--C720,--E720),0)</ns0:f>
        <ns0:v>0</ns0:v>
      </ns0:c>
      <ns0:c r="G720" s="0">
        <ns0:f>IFERROR(--D720,0)</ns0:f>
        <ns0:v>0</ns0:v>
      </ns0:c>
      <ns0:c r="H720" s="0">
        <ns0:f>IFERROR(IF(FIND(".",B720)=5,--E720,--C720),0)</ns0:f>
        <ns0:v>0</ns0:v>
      </ns0:c>
      <ns0:c r="I720" s="0">
        <ns0:f>IFERROR(IF(AND(F720&gt;=2000,F720&lt;=2100,G720&gt;=1,G720&lt;=12,H720&gt;=1,H720&lt;=31),DATE(F720,G720,H720),0),0)</ns0:f>
        <ns0:v>0</ns0:v>
      </ns0:c>
      <ns0:c r="J720" s="0">
        <ns0:f>IFERROR(IF(ISNUMBER(Bookings!B720),IF(AND(Bookings!B720=INT(Bookings!B720),Bookings!B720&gt;=DATE(2000,1,1),Bookings!B720&lt;=DATE(2100,12,31)),Bookings!B720,0),IF(AND(A720&lt;&gt;"",LEN("x"&amp;B720)-LEN(SUBSTITUTE("x"&amp;B720,".",""))=2,OR(1&gt;LEN(B720),MID(B720,1,1)=".",ISNUMBER(FIND("x"&amp;MID(B720,1,1),"x0x1x2x3x4x5x6x7x8x9"))),OR(2&gt;LEN(B720),MID(B720,2,1)=".",ISNUMBER(FIND("x"&amp;MID(B720,2,1),"x0x1x2x3x4x5x6x7x8x9"))),OR(3&gt;LEN(B720),MID(B720,3,1)=".",ISNUMBER(FIND("x"&amp;MID(B720,3,1),"x0x1x2x3x4x5x6x7x8x9"))),OR(4&gt;LEN(B720),MID(B720,4,1)=".",ISNUMBER(FIND("x"&amp;MID(B720,4,1),"x0x1x2x3x4x5x6x7x8x9"))),OR(5&gt;LEN(B720),MID(B720,5,1)=".",ISNUMBER(FIND("x"&amp;MID(B720,5,1),"x0x1x2x3x4x5x6x7x8x9"))),OR(6&gt;LEN(B720),MID(B720,6,1)=".",ISNUMBER(FIND("x"&amp;MID(B720,6,1),"x0x1x2x3x4x5x6x7x8x9"))),OR(7&gt;LEN(B720),MID(B720,7,1)=".",ISNUMBER(FIND("x"&amp;MID(B720,7,1),"x0x1x2x3x4x5x6x7x8x9"))),OR(8&gt;LEN(B720),MID(B720,8,1)=".",ISNUMBER(FIND("x"&amp;MID(B720,8,1),"x0x1x2x3x4x5x6x7x8x9"))),OR(9&gt;LEN(B720),MID(B720,9,1)=".",ISNUMBER(FIND("x"&amp;MID(B720,9,1),"x0x1x2x3x4x5x6x7x8x9"))),OR(10&gt;LEN(B720),MID(B720,10,1)=".",ISNUMBER(FIND("x"&amp;MID(B720,10,1),"x0x1x2x3x4x5x6x7x8x9"))),OR(AND(FIND(".",B720)=5,LEN(B720)-FIND(".",B720,FIND(".",B720)+1)&gt;=1,LEN(B720)-FIND(".",B720,FIND(".",B720)+1)&lt;=2),AND(LEN(B720)-FIND(".",B720,FIND(".",B720)+1)=4,FIND(".",B720)&gt;=2,FIND(".",B720)&lt;=3)),FIND(".",B720,FIND(".",B720)+1)-FIND(".",B720)&gt;=2,FIND(".",B720,FIND(".",B720)+1)-FIND(".",B720)&lt;=3,F720&gt;=2000,F720&lt;=2100,YEAR(I720)=F720,MONTH(I720)=G720,DAY(I720)=H720),I720,0)),0)</ns0:f>
        <ns0:v>0</ns0:v>
      </ns0:c>
      <ns0:c r="K720" s="0">
        <ns0:f>IFERROR(IF(ISNUMBER(Bookings!D720),"",TRIM(Bookings!D720&amp;"")),"")</ns0:f>
      </ns0:c>
      <ns0:c r="L720" s="0">
        <ns0:f>IFERROR(SUBSTITUTE(SUBSTITUTE(K720,"/","."),"-","."),"")</ns0:f>
      </ns0:c>
      <ns0:c r="M720" s="0">
        <ns0:f>IFERROR(LEFT(L720,FIND(".",L720)-1),"")</ns0:f>
      </ns0:c>
      <ns0:c r="N720" s="0">
        <ns0:f>IFERROR(MID(L720,FIND(".",L720)+1,FIND(".",L720,FIND(".",L720)+1)-FIND(".",L720)-1),"")</ns0:f>
      </ns0:c>
      <ns0:c r="O720" s="0">
        <ns0:f>IFERROR(MID(L720,FIND(".",L720,FIND(".",L720)+1)+1,99),"")</ns0:f>
        <ns0:v>99</ns0:v>
      </ns0:c>
      <ns0:c r="P720" s="0">
        <ns0:f>IFERROR(IF(FIND(".",L720)=5,--M720,--O720),0)</ns0:f>
        <ns0:v>0</ns0:v>
      </ns0:c>
      <ns0:c r="Q720" s="0">
        <ns0:f>IFERROR(--N720,0)</ns0:f>
        <ns0:v>0</ns0:v>
      </ns0:c>
      <ns0:c r="R720" s="0">
        <ns0:f>IFERROR(IF(FIND(".",L720)=5,--O720,--M720),0)</ns0:f>
        <ns0:v>0</ns0:v>
      </ns0:c>
      <ns0:c r="S720" s="0">
        <ns0:f>IFERROR(IF(AND(P720&gt;=2000,P720&lt;=2100,Q720&gt;=1,Q720&lt;=12,R720&gt;=1,R720&lt;=31),DATE(P720,Q720,R720),0),0)</ns0:f>
        <ns0:v>0</ns0:v>
      </ns0:c>
      <ns0:c r="T720" s="0">
        <ns0:f>IFERROR(IF(ISNUMBER(Bookings!D720),IF(AND(Bookings!D720=INT(Bookings!D720),Bookings!D720&gt;=DATE(2000,1,1),Bookings!D720&lt;=DATE(2100,12,31)),Bookings!D720,0),IF(AND(K720&lt;&gt;"",LEN("x"&amp;L720)-LEN(SUBSTITUTE("x"&amp;L720,".",""))=2,OR(1&gt;LEN(L720),MID(L720,1,1)=".",ISNUMBER(FIND("x"&amp;MID(L720,1,1),"x0x1x2x3x4x5x6x7x8x9"))),OR(2&gt;LEN(L720),MID(L720,2,1)=".",ISNUMBER(FIND("x"&amp;MID(L720,2,1),"x0x1x2x3x4x5x6x7x8x9"))),OR(3&gt;LEN(L720),MID(L720,3,1)=".",ISNUMBER(FIND("x"&amp;MID(L720,3,1),"x0x1x2x3x4x5x6x7x8x9"))),OR(4&gt;LEN(L720),MID(L720,4,1)=".",ISNUMBER(FIND("x"&amp;MID(L720,4,1),"x0x1x2x3x4x5x6x7x8x9"))),OR(5&gt;LEN(L720),MID(L720,5,1)=".",ISNUMBER(FIND("x"&amp;MID(L720,5,1),"x0x1x2x3x4x5x6x7x8x9"))),OR(6&gt;LEN(L720),MID(L720,6,1)=".",ISNUMBER(FIND("x"&amp;MID(L720,6,1),"x0x1x2x3x4x5x6x7x8x9"))),OR(7&gt;LEN(L720),MID(L720,7,1)=".",ISNUMBER(FIND("x"&amp;MID(L720,7,1),"x0x1x2x3x4x5x6x7x8x9"))),OR(8&gt;LEN(L720),MID(L720,8,1)=".",ISNUMBER(FIND("x"&amp;MID(L720,8,1),"x0x1x2x3x4x5x6x7x8x9"))),OR(9&gt;LEN(L720),MID(L720,9,1)=".",ISNUMBER(FIND("x"&amp;MID(L720,9,1),"x0x1x2x3x4x5x6x7x8x9"))),OR(10&gt;LEN(L720),MID(L720,10,1)=".",ISNUMBER(FIND("x"&amp;MID(L720,10,1),"x0x1x2x3x4x5x6x7x8x9"))),OR(AND(FIND(".",L720)=5,LEN(L720)-FIND(".",L720,FIND(".",L720)+1)&gt;=1,LEN(L720)-FIND(".",L720,FIND(".",L720)+1)&lt;=2),AND(LEN(L720)-FIND(".",L720,FIND(".",L720)+1)=4,FIND(".",L720)&gt;=2,FIND(".",L720)&lt;=3)),FIND(".",L720,FIND(".",L720)+1)-FIND(".",L720)&gt;=2,FIND(".",L720,FIND(".",L720)+1)-FIND(".",L720)&lt;=3,P720&gt;=2000,P720&lt;=2100,YEAR(S720)=P720,MONTH(S720)=Q720,DAY(S720)=R720),S720,0)),0)</ns0:f>
        <ns0:v>0</ns0:v>
      </ns0:c>
      <ns0:c r="U720" s="0" t="str">
        <ns0:f>IF(Bookings!C720="","Full day",Bookings!C720)</ns0:f>
        <ns0:v>Full day</ns0:v>
      </ns0:c>
      <ns0:c r="V720" s="0" t="str">
        <ns0:f>IF(Bookings!E720="","Full day",Bookings!E720)</ns0:f>
        <ns0:v>Full day</ns0:v>
      </ns0:c>
      <ns0:c r="W720" s="0">
        <ns0:f>IF(J720=0,0,J720+IF(U720="PM",1,0))</ns0:f>
        <ns0:v>0</ns0:v>
      </ns0:c>
      <ns0:c r="X720" s="0">
        <ns0:f>IF(T720=0,0,T720-IF(V720="PM",1,0))</ns0:f>
        <ns0:v>0</ns0:v>
      </ns0:c>
      <ns0:c r="Y720" s="0">
        <ns0:f>IF(J720=0,0,J720+IF(U720="AM",1,0))</ns0:f>
        <ns0:v>0</ns0:v>
      </ns0:c>
      <ns0:c r="Z720" s="0">
        <ns0:f>IF(T720=0,0,T720-IF(V720="AM",1,0))</ns0:f>
        <ns0:v>0</ns0:v>
      </ns0:c>
      <ns0:c r="AA720" s="0">
        <ns0:f>IFERROR(IF(AND(J720&gt;0,'_Engine'!C720&gt;0,MID('_Engine'!W720,WEEKDAY(J720,2),1)="W",COUNTIF(Settings!$F$18:$F$67,J720)=0),1,0),0)</ns0:f>
        <ns0:v>0</ns0:v>
      </ns0:c>
      <ns0:c r="AB720" s="0">
        <ns0:f>IFERROR(IF(AND(T720&gt;0,'_Engine'!C720&gt;0,MID('_Engine'!W720,WEEKDAY(T720,2),1)="W",COUNTIF(Settings!$F$18:$F$67,T720)=0),1,0),0)</ns0:f>
        <ns0:v>0</ns0:v>
      </ns0:c>
      <ns0:c r="AC720" s="0">
        <ns0:f>IF(AND(J720&gt;0,T720&gt;0,W720&lt;=X720),1,0)</ns0:f>
        <ns0:v>0</ns0:v>
      </ns0:c>
      <ns0:c r="AD720" s="0">
        <ns0:f>IF(AND(J720&gt;0,T720&gt;0,Y720&lt;=Z720),1,0)</ns0:f>
        <ns0:v>0</ns0:v>
      </ns0:c>
    </ns0:row>
    <ns0:row r="721">
      <ns0:c r="A721" s="0">
        <ns0:f>IFERROR(IF(ISNUMBER(Bookings!B721),"",TRIM(Bookings!B721&amp;"")),"")</ns0:f>
      </ns0:c>
      <ns0:c r="B721" s="0">
        <ns0:f>IFERROR(SUBSTITUTE(SUBSTITUTE(A721,"/","."),"-","."),"")</ns0:f>
      </ns0:c>
      <ns0:c r="C721" s="0">
        <ns0:f>IFERROR(LEFT(B721,FIND(".",B721)-1),"")</ns0:f>
      </ns0:c>
      <ns0:c r="D721" s="0">
        <ns0:f>IFERROR(MID(B721,FIND(".",B721)+1,FIND(".",B721,FIND(".",B721)+1)-FIND(".",B721)-1),"")</ns0:f>
      </ns0:c>
      <ns0:c r="E721" s="0">
        <ns0:f>IFERROR(MID(B721,FIND(".",B721,FIND(".",B721)+1)+1,99),"")</ns0:f>
        <ns0:v>99</ns0:v>
      </ns0:c>
      <ns0:c r="F721" s="0">
        <ns0:f>IFERROR(IF(FIND(".",B721)=5,--C721,--E721),0)</ns0:f>
        <ns0:v>0</ns0:v>
      </ns0:c>
      <ns0:c r="G721" s="0">
        <ns0:f>IFERROR(--D721,0)</ns0:f>
        <ns0:v>0</ns0:v>
      </ns0:c>
      <ns0:c r="H721" s="0">
        <ns0:f>IFERROR(IF(FIND(".",B721)=5,--E721,--C721),0)</ns0:f>
        <ns0:v>0</ns0:v>
      </ns0:c>
      <ns0:c r="I721" s="0">
        <ns0:f>IFERROR(IF(AND(F721&gt;=2000,F721&lt;=2100,G721&gt;=1,G721&lt;=12,H721&gt;=1,H721&lt;=31),DATE(F721,G721,H721),0),0)</ns0:f>
        <ns0:v>0</ns0:v>
      </ns0:c>
      <ns0:c r="J721" s="0">
        <ns0:f>IFERROR(IF(ISNUMBER(Bookings!B721),IF(AND(Bookings!B721=INT(Bookings!B721),Bookings!B721&gt;=DATE(2000,1,1),Bookings!B721&lt;=DATE(2100,12,31)),Bookings!B721,0),IF(AND(A721&lt;&gt;"",LEN("x"&amp;B721)-LEN(SUBSTITUTE("x"&amp;B721,".",""))=2,OR(1&gt;LEN(B721),MID(B721,1,1)=".",ISNUMBER(FIND("x"&amp;MID(B721,1,1),"x0x1x2x3x4x5x6x7x8x9"))),OR(2&gt;LEN(B721),MID(B721,2,1)=".",ISNUMBER(FIND("x"&amp;MID(B721,2,1),"x0x1x2x3x4x5x6x7x8x9"))),OR(3&gt;LEN(B721),MID(B721,3,1)=".",ISNUMBER(FIND("x"&amp;MID(B721,3,1),"x0x1x2x3x4x5x6x7x8x9"))),OR(4&gt;LEN(B721),MID(B721,4,1)=".",ISNUMBER(FIND("x"&amp;MID(B721,4,1),"x0x1x2x3x4x5x6x7x8x9"))),OR(5&gt;LEN(B721),MID(B721,5,1)=".",ISNUMBER(FIND("x"&amp;MID(B721,5,1),"x0x1x2x3x4x5x6x7x8x9"))),OR(6&gt;LEN(B721),MID(B721,6,1)=".",ISNUMBER(FIND("x"&amp;MID(B721,6,1),"x0x1x2x3x4x5x6x7x8x9"))),OR(7&gt;LEN(B721),MID(B721,7,1)=".",ISNUMBER(FIND("x"&amp;MID(B721,7,1),"x0x1x2x3x4x5x6x7x8x9"))),OR(8&gt;LEN(B721),MID(B721,8,1)=".",ISNUMBER(FIND("x"&amp;MID(B721,8,1),"x0x1x2x3x4x5x6x7x8x9"))),OR(9&gt;LEN(B721),MID(B721,9,1)=".",ISNUMBER(FIND("x"&amp;MID(B721,9,1),"x0x1x2x3x4x5x6x7x8x9"))),OR(10&gt;LEN(B721),MID(B721,10,1)=".",ISNUMBER(FIND("x"&amp;MID(B721,10,1),"x0x1x2x3x4x5x6x7x8x9"))),OR(AND(FIND(".",B721)=5,LEN(B721)-FIND(".",B721,FIND(".",B721)+1)&gt;=1,LEN(B721)-FIND(".",B721,FIND(".",B721)+1)&lt;=2),AND(LEN(B721)-FIND(".",B721,FIND(".",B721)+1)=4,FIND(".",B721)&gt;=2,FIND(".",B721)&lt;=3)),FIND(".",B721,FIND(".",B721)+1)-FIND(".",B721)&gt;=2,FIND(".",B721,FIND(".",B721)+1)-FIND(".",B721)&lt;=3,F721&gt;=2000,F721&lt;=2100,YEAR(I721)=F721,MONTH(I721)=G721,DAY(I721)=H721),I721,0)),0)</ns0:f>
        <ns0:v>0</ns0:v>
      </ns0:c>
      <ns0:c r="K721" s="0">
        <ns0:f>IFERROR(IF(ISNUMBER(Bookings!D721),"",TRIM(Bookings!D721&amp;"")),"")</ns0:f>
      </ns0:c>
      <ns0:c r="L721" s="0">
        <ns0:f>IFERROR(SUBSTITUTE(SUBSTITUTE(K721,"/","."),"-","."),"")</ns0:f>
      </ns0:c>
      <ns0:c r="M721" s="0">
        <ns0:f>IFERROR(LEFT(L721,FIND(".",L721)-1),"")</ns0:f>
      </ns0:c>
      <ns0:c r="N721" s="0">
        <ns0:f>IFERROR(MID(L721,FIND(".",L721)+1,FIND(".",L721,FIND(".",L721)+1)-FIND(".",L721)-1),"")</ns0:f>
      </ns0:c>
      <ns0:c r="O721" s="0">
        <ns0:f>IFERROR(MID(L721,FIND(".",L721,FIND(".",L721)+1)+1,99),"")</ns0:f>
        <ns0:v>99</ns0:v>
      </ns0:c>
      <ns0:c r="P721" s="0">
        <ns0:f>IFERROR(IF(FIND(".",L721)=5,--M721,--O721),0)</ns0:f>
        <ns0:v>0</ns0:v>
      </ns0:c>
      <ns0:c r="Q721" s="0">
        <ns0:f>IFERROR(--N721,0)</ns0:f>
        <ns0:v>0</ns0:v>
      </ns0:c>
      <ns0:c r="R721" s="0">
        <ns0:f>IFERROR(IF(FIND(".",L721)=5,--O721,--M721),0)</ns0:f>
        <ns0:v>0</ns0:v>
      </ns0:c>
      <ns0:c r="S721" s="0">
        <ns0:f>IFERROR(IF(AND(P721&gt;=2000,P721&lt;=2100,Q721&gt;=1,Q721&lt;=12,R721&gt;=1,R721&lt;=31),DATE(P721,Q721,R721),0),0)</ns0:f>
        <ns0:v>0</ns0:v>
      </ns0:c>
      <ns0:c r="T721" s="0">
        <ns0:f>IFERROR(IF(ISNUMBER(Bookings!D721),IF(AND(Bookings!D721=INT(Bookings!D721),Bookings!D721&gt;=DATE(2000,1,1),Bookings!D721&lt;=DATE(2100,12,31)),Bookings!D721,0),IF(AND(K721&lt;&gt;"",LEN("x"&amp;L721)-LEN(SUBSTITUTE("x"&amp;L721,".",""))=2,OR(1&gt;LEN(L721),MID(L721,1,1)=".",ISNUMBER(FIND("x"&amp;MID(L721,1,1),"x0x1x2x3x4x5x6x7x8x9"))),OR(2&gt;LEN(L721),MID(L721,2,1)=".",ISNUMBER(FIND("x"&amp;MID(L721,2,1),"x0x1x2x3x4x5x6x7x8x9"))),OR(3&gt;LEN(L721),MID(L721,3,1)=".",ISNUMBER(FIND("x"&amp;MID(L721,3,1),"x0x1x2x3x4x5x6x7x8x9"))),OR(4&gt;LEN(L721),MID(L721,4,1)=".",ISNUMBER(FIND("x"&amp;MID(L721,4,1),"x0x1x2x3x4x5x6x7x8x9"))),OR(5&gt;LEN(L721),MID(L721,5,1)=".",ISNUMBER(FIND("x"&amp;MID(L721,5,1),"x0x1x2x3x4x5x6x7x8x9"))),OR(6&gt;LEN(L721),MID(L721,6,1)=".",ISNUMBER(FIND("x"&amp;MID(L721,6,1),"x0x1x2x3x4x5x6x7x8x9"))),OR(7&gt;LEN(L721),MID(L721,7,1)=".",ISNUMBER(FIND("x"&amp;MID(L721,7,1),"x0x1x2x3x4x5x6x7x8x9"))),OR(8&gt;LEN(L721),MID(L721,8,1)=".",ISNUMBER(FIND("x"&amp;MID(L721,8,1),"x0x1x2x3x4x5x6x7x8x9"))),OR(9&gt;LEN(L721),MID(L721,9,1)=".",ISNUMBER(FIND("x"&amp;MID(L721,9,1),"x0x1x2x3x4x5x6x7x8x9"))),OR(10&gt;LEN(L721),MID(L721,10,1)=".",ISNUMBER(FIND("x"&amp;MID(L721,10,1),"x0x1x2x3x4x5x6x7x8x9"))),OR(AND(FIND(".",L721)=5,LEN(L721)-FIND(".",L721,FIND(".",L721)+1)&gt;=1,LEN(L721)-FIND(".",L721,FIND(".",L721)+1)&lt;=2),AND(LEN(L721)-FIND(".",L721,FIND(".",L721)+1)=4,FIND(".",L721)&gt;=2,FIND(".",L721)&lt;=3)),FIND(".",L721,FIND(".",L721)+1)-FIND(".",L721)&gt;=2,FIND(".",L721,FIND(".",L721)+1)-FIND(".",L721)&lt;=3,P721&gt;=2000,P721&lt;=2100,YEAR(S721)=P721,MONTH(S721)=Q721,DAY(S721)=R721),S721,0)),0)</ns0:f>
        <ns0:v>0</ns0:v>
      </ns0:c>
      <ns0:c r="U721" s="0" t="str">
        <ns0:f>IF(Bookings!C721="","Full day",Bookings!C721)</ns0:f>
        <ns0:v>Full day</ns0:v>
      </ns0:c>
      <ns0:c r="V721" s="0" t="str">
        <ns0:f>IF(Bookings!E721="","Full day",Bookings!E721)</ns0:f>
        <ns0:v>Full day</ns0:v>
      </ns0:c>
      <ns0:c r="W721" s="0">
        <ns0:f>IF(J721=0,0,J721+IF(U721="PM",1,0))</ns0:f>
        <ns0:v>0</ns0:v>
      </ns0:c>
      <ns0:c r="X721" s="0">
        <ns0:f>IF(T721=0,0,T721-IF(V721="PM",1,0))</ns0:f>
        <ns0:v>0</ns0:v>
      </ns0:c>
      <ns0:c r="Y721" s="0">
        <ns0:f>IF(J721=0,0,J721+IF(U721="AM",1,0))</ns0:f>
        <ns0:v>0</ns0:v>
      </ns0:c>
      <ns0:c r="Z721" s="0">
        <ns0:f>IF(T721=0,0,T721-IF(V721="AM",1,0))</ns0:f>
        <ns0:v>0</ns0:v>
      </ns0:c>
      <ns0:c r="AA721" s="0">
        <ns0:f>IFERROR(IF(AND(J721&gt;0,'_Engine'!C721&gt;0,MID('_Engine'!W721,WEEKDAY(J721,2),1)="W",COUNTIF(Settings!$F$18:$F$67,J721)=0),1,0),0)</ns0:f>
        <ns0:v>0</ns0:v>
      </ns0:c>
      <ns0:c r="AB721" s="0">
        <ns0:f>IFERROR(IF(AND(T721&gt;0,'_Engine'!C721&gt;0,MID('_Engine'!W721,WEEKDAY(T721,2),1)="W",COUNTIF(Settings!$F$18:$F$67,T721)=0),1,0),0)</ns0:f>
        <ns0:v>0</ns0:v>
      </ns0:c>
      <ns0:c r="AC721" s="0">
        <ns0:f>IF(AND(J721&gt;0,T721&gt;0,W721&lt;=X721),1,0)</ns0:f>
        <ns0:v>0</ns0:v>
      </ns0:c>
      <ns0:c r="AD721" s="0">
        <ns0:f>IF(AND(J721&gt;0,T721&gt;0,Y721&lt;=Z721),1,0)</ns0:f>
        <ns0:v>0</ns0:v>
      </ns0:c>
    </ns0:row>
    <ns0:row r="722">
      <ns0:c r="A722" s="0">
        <ns0:f>IFERROR(IF(ISNUMBER(Bookings!B722),"",TRIM(Bookings!B722&amp;"")),"")</ns0:f>
      </ns0:c>
      <ns0:c r="B722" s="0">
        <ns0:f>IFERROR(SUBSTITUTE(SUBSTITUTE(A722,"/","."),"-","."),"")</ns0:f>
      </ns0:c>
      <ns0:c r="C722" s="0">
        <ns0:f>IFERROR(LEFT(B722,FIND(".",B722)-1),"")</ns0:f>
      </ns0:c>
      <ns0:c r="D722" s="0">
        <ns0:f>IFERROR(MID(B722,FIND(".",B722)+1,FIND(".",B722,FIND(".",B722)+1)-FIND(".",B722)-1),"")</ns0:f>
      </ns0:c>
      <ns0:c r="E722" s="0">
        <ns0:f>IFERROR(MID(B722,FIND(".",B722,FIND(".",B722)+1)+1,99),"")</ns0:f>
        <ns0:v>99</ns0:v>
      </ns0:c>
      <ns0:c r="F722" s="0">
        <ns0:f>IFERROR(IF(FIND(".",B722)=5,--C722,--E722),0)</ns0:f>
        <ns0:v>0</ns0:v>
      </ns0:c>
      <ns0:c r="G722" s="0">
        <ns0:f>IFERROR(--D722,0)</ns0:f>
        <ns0:v>0</ns0:v>
      </ns0:c>
      <ns0:c r="H722" s="0">
        <ns0:f>IFERROR(IF(FIND(".",B722)=5,--E722,--C722),0)</ns0:f>
        <ns0:v>0</ns0:v>
      </ns0:c>
      <ns0:c r="I722" s="0">
        <ns0:f>IFERROR(IF(AND(F722&gt;=2000,F722&lt;=2100,G722&gt;=1,G722&lt;=12,H722&gt;=1,H722&lt;=31),DATE(F722,G722,H722),0),0)</ns0:f>
        <ns0:v>0</ns0:v>
      </ns0:c>
      <ns0:c r="J722" s="0">
        <ns0:f>IFERROR(IF(ISNUMBER(Bookings!B722),IF(AND(Bookings!B722=INT(Bookings!B722),Bookings!B722&gt;=DATE(2000,1,1),Bookings!B722&lt;=DATE(2100,12,31)),Bookings!B722,0),IF(AND(A722&lt;&gt;"",LEN("x"&amp;B722)-LEN(SUBSTITUTE("x"&amp;B722,".",""))=2,OR(1&gt;LEN(B722),MID(B722,1,1)=".",ISNUMBER(FIND("x"&amp;MID(B722,1,1),"x0x1x2x3x4x5x6x7x8x9"))),OR(2&gt;LEN(B722),MID(B722,2,1)=".",ISNUMBER(FIND("x"&amp;MID(B722,2,1),"x0x1x2x3x4x5x6x7x8x9"))),OR(3&gt;LEN(B722),MID(B722,3,1)=".",ISNUMBER(FIND("x"&amp;MID(B722,3,1),"x0x1x2x3x4x5x6x7x8x9"))),OR(4&gt;LEN(B722),MID(B722,4,1)=".",ISNUMBER(FIND("x"&amp;MID(B722,4,1),"x0x1x2x3x4x5x6x7x8x9"))),OR(5&gt;LEN(B722),MID(B722,5,1)=".",ISNUMBER(FIND("x"&amp;MID(B722,5,1),"x0x1x2x3x4x5x6x7x8x9"))),OR(6&gt;LEN(B722),MID(B722,6,1)=".",ISNUMBER(FIND("x"&amp;MID(B722,6,1),"x0x1x2x3x4x5x6x7x8x9"))),OR(7&gt;LEN(B722),MID(B722,7,1)=".",ISNUMBER(FIND("x"&amp;MID(B722,7,1),"x0x1x2x3x4x5x6x7x8x9"))),OR(8&gt;LEN(B722),MID(B722,8,1)=".",ISNUMBER(FIND("x"&amp;MID(B722,8,1),"x0x1x2x3x4x5x6x7x8x9"))),OR(9&gt;LEN(B722),MID(B722,9,1)=".",ISNUMBER(FIND("x"&amp;MID(B722,9,1),"x0x1x2x3x4x5x6x7x8x9"))),OR(10&gt;LEN(B722),MID(B722,10,1)=".",ISNUMBER(FIND("x"&amp;MID(B722,10,1),"x0x1x2x3x4x5x6x7x8x9"))),OR(AND(FIND(".",B722)=5,LEN(B722)-FIND(".",B722,FIND(".",B722)+1)&gt;=1,LEN(B722)-FIND(".",B722,FIND(".",B722)+1)&lt;=2),AND(LEN(B722)-FIND(".",B722,FIND(".",B722)+1)=4,FIND(".",B722)&gt;=2,FIND(".",B722)&lt;=3)),FIND(".",B722,FIND(".",B722)+1)-FIND(".",B722)&gt;=2,FIND(".",B722,FIND(".",B722)+1)-FIND(".",B722)&lt;=3,F722&gt;=2000,F722&lt;=2100,YEAR(I722)=F722,MONTH(I722)=G722,DAY(I722)=H722),I722,0)),0)</ns0:f>
        <ns0:v>0</ns0:v>
      </ns0:c>
      <ns0:c r="K722" s="0">
        <ns0:f>IFERROR(IF(ISNUMBER(Bookings!D722),"",TRIM(Bookings!D722&amp;"")),"")</ns0:f>
      </ns0:c>
      <ns0:c r="L722" s="0">
        <ns0:f>IFERROR(SUBSTITUTE(SUBSTITUTE(K722,"/","."),"-","."),"")</ns0:f>
      </ns0:c>
      <ns0:c r="M722" s="0">
        <ns0:f>IFERROR(LEFT(L722,FIND(".",L722)-1),"")</ns0:f>
      </ns0:c>
      <ns0:c r="N722" s="0">
        <ns0:f>IFERROR(MID(L722,FIND(".",L722)+1,FIND(".",L722,FIND(".",L722)+1)-FIND(".",L722)-1),"")</ns0:f>
      </ns0:c>
      <ns0:c r="O722" s="0">
        <ns0:f>IFERROR(MID(L722,FIND(".",L722,FIND(".",L722)+1)+1,99),"")</ns0:f>
        <ns0:v>99</ns0:v>
      </ns0:c>
      <ns0:c r="P722" s="0">
        <ns0:f>IFERROR(IF(FIND(".",L722)=5,--M722,--O722),0)</ns0:f>
        <ns0:v>0</ns0:v>
      </ns0:c>
      <ns0:c r="Q722" s="0">
        <ns0:f>IFERROR(--N722,0)</ns0:f>
        <ns0:v>0</ns0:v>
      </ns0:c>
      <ns0:c r="R722" s="0">
        <ns0:f>IFERROR(IF(FIND(".",L722)=5,--O722,--M722),0)</ns0:f>
        <ns0:v>0</ns0:v>
      </ns0:c>
      <ns0:c r="S722" s="0">
        <ns0:f>IFERROR(IF(AND(P722&gt;=2000,P722&lt;=2100,Q722&gt;=1,Q722&lt;=12,R722&gt;=1,R722&lt;=31),DATE(P722,Q722,R722),0),0)</ns0:f>
        <ns0:v>0</ns0:v>
      </ns0:c>
      <ns0:c r="T722" s="0">
        <ns0:f>IFERROR(IF(ISNUMBER(Bookings!D722),IF(AND(Bookings!D722=INT(Bookings!D722),Bookings!D722&gt;=DATE(2000,1,1),Bookings!D722&lt;=DATE(2100,12,31)),Bookings!D722,0),IF(AND(K722&lt;&gt;"",LEN("x"&amp;L722)-LEN(SUBSTITUTE("x"&amp;L722,".",""))=2,OR(1&gt;LEN(L722),MID(L722,1,1)=".",ISNUMBER(FIND("x"&amp;MID(L722,1,1),"x0x1x2x3x4x5x6x7x8x9"))),OR(2&gt;LEN(L722),MID(L722,2,1)=".",ISNUMBER(FIND("x"&amp;MID(L722,2,1),"x0x1x2x3x4x5x6x7x8x9"))),OR(3&gt;LEN(L722),MID(L722,3,1)=".",ISNUMBER(FIND("x"&amp;MID(L722,3,1),"x0x1x2x3x4x5x6x7x8x9"))),OR(4&gt;LEN(L722),MID(L722,4,1)=".",ISNUMBER(FIND("x"&amp;MID(L722,4,1),"x0x1x2x3x4x5x6x7x8x9"))),OR(5&gt;LEN(L722),MID(L722,5,1)=".",ISNUMBER(FIND("x"&amp;MID(L722,5,1),"x0x1x2x3x4x5x6x7x8x9"))),OR(6&gt;LEN(L722),MID(L722,6,1)=".",ISNUMBER(FIND("x"&amp;MID(L722,6,1),"x0x1x2x3x4x5x6x7x8x9"))),OR(7&gt;LEN(L722),MID(L722,7,1)=".",ISNUMBER(FIND("x"&amp;MID(L722,7,1),"x0x1x2x3x4x5x6x7x8x9"))),OR(8&gt;LEN(L722),MID(L722,8,1)=".",ISNUMBER(FIND("x"&amp;MID(L722,8,1),"x0x1x2x3x4x5x6x7x8x9"))),OR(9&gt;LEN(L722),MID(L722,9,1)=".",ISNUMBER(FIND("x"&amp;MID(L722,9,1),"x0x1x2x3x4x5x6x7x8x9"))),OR(10&gt;LEN(L722),MID(L722,10,1)=".",ISNUMBER(FIND("x"&amp;MID(L722,10,1),"x0x1x2x3x4x5x6x7x8x9"))),OR(AND(FIND(".",L722)=5,LEN(L722)-FIND(".",L722,FIND(".",L722)+1)&gt;=1,LEN(L722)-FIND(".",L722,FIND(".",L722)+1)&lt;=2),AND(LEN(L722)-FIND(".",L722,FIND(".",L722)+1)=4,FIND(".",L722)&gt;=2,FIND(".",L722)&lt;=3)),FIND(".",L722,FIND(".",L722)+1)-FIND(".",L722)&gt;=2,FIND(".",L722,FIND(".",L722)+1)-FIND(".",L722)&lt;=3,P722&gt;=2000,P722&lt;=2100,YEAR(S722)=P722,MONTH(S722)=Q722,DAY(S722)=R722),S722,0)),0)</ns0:f>
        <ns0:v>0</ns0:v>
      </ns0:c>
      <ns0:c r="U722" s="0" t="str">
        <ns0:f>IF(Bookings!C722="","Full day",Bookings!C722)</ns0:f>
        <ns0:v>Full day</ns0:v>
      </ns0:c>
      <ns0:c r="V722" s="0" t="str">
        <ns0:f>IF(Bookings!E722="","Full day",Bookings!E722)</ns0:f>
        <ns0:v>Full day</ns0:v>
      </ns0:c>
      <ns0:c r="W722" s="0">
        <ns0:f>IF(J722=0,0,J722+IF(U722="PM",1,0))</ns0:f>
        <ns0:v>0</ns0:v>
      </ns0:c>
      <ns0:c r="X722" s="0">
        <ns0:f>IF(T722=0,0,T722-IF(V722="PM",1,0))</ns0:f>
        <ns0:v>0</ns0:v>
      </ns0:c>
      <ns0:c r="Y722" s="0">
        <ns0:f>IF(J722=0,0,J722+IF(U722="AM",1,0))</ns0:f>
        <ns0:v>0</ns0:v>
      </ns0:c>
      <ns0:c r="Z722" s="0">
        <ns0:f>IF(T722=0,0,T722-IF(V722="AM",1,0))</ns0:f>
        <ns0:v>0</ns0:v>
      </ns0:c>
      <ns0:c r="AA722" s="0">
        <ns0:f>IFERROR(IF(AND(J722&gt;0,'_Engine'!C722&gt;0,MID('_Engine'!W722,WEEKDAY(J722,2),1)="W",COUNTIF(Settings!$F$18:$F$67,J722)=0),1,0),0)</ns0:f>
        <ns0:v>0</ns0:v>
      </ns0:c>
      <ns0:c r="AB722" s="0">
        <ns0:f>IFERROR(IF(AND(T722&gt;0,'_Engine'!C722&gt;0,MID('_Engine'!W722,WEEKDAY(T722,2),1)="W",COUNTIF(Settings!$F$18:$F$67,T722)=0),1,0),0)</ns0:f>
        <ns0:v>0</ns0:v>
      </ns0:c>
      <ns0:c r="AC722" s="0">
        <ns0:f>IF(AND(J722&gt;0,T722&gt;0,W722&lt;=X722),1,0)</ns0:f>
        <ns0:v>0</ns0:v>
      </ns0:c>
      <ns0:c r="AD722" s="0">
        <ns0:f>IF(AND(J722&gt;0,T722&gt;0,Y722&lt;=Z722),1,0)</ns0:f>
        <ns0:v>0</ns0:v>
      </ns0:c>
    </ns0:row>
    <ns0:row r="723">
      <ns0:c r="A723" s="0">
        <ns0:f>IFERROR(IF(ISNUMBER(Bookings!B723),"",TRIM(Bookings!B723&amp;"")),"")</ns0:f>
      </ns0:c>
      <ns0:c r="B723" s="0">
        <ns0:f>IFERROR(SUBSTITUTE(SUBSTITUTE(A723,"/","."),"-","."),"")</ns0:f>
      </ns0:c>
      <ns0:c r="C723" s="0">
        <ns0:f>IFERROR(LEFT(B723,FIND(".",B723)-1),"")</ns0:f>
      </ns0:c>
      <ns0:c r="D723" s="0">
        <ns0:f>IFERROR(MID(B723,FIND(".",B723)+1,FIND(".",B723,FIND(".",B723)+1)-FIND(".",B723)-1),"")</ns0:f>
      </ns0:c>
      <ns0:c r="E723" s="0">
        <ns0:f>IFERROR(MID(B723,FIND(".",B723,FIND(".",B723)+1)+1,99),"")</ns0:f>
        <ns0:v>99</ns0:v>
      </ns0:c>
      <ns0:c r="F723" s="0">
        <ns0:f>IFERROR(IF(FIND(".",B723)=5,--C723,--E723),0)</ns0:f>
        <ns0:v>0</ns0:v>
      </ns0:c>
      <ns0:c r="G723" s="0">
        <ns0:f>IFERROR(--D723,0)</ns0:f>
        <ns0:v>0</ns0:v>
      </ns0:c>
      <ns0:c r="H723" s="0">
        <ns0:f>IFERROR(IF(FIND(".",B723)=5,--E723,--C723),0)</ns0:f>
        <ns0:v>0</ns0:v>
      </ns0:c>
      <ns0:c r="I723" s="0">
        <ns0:f>IFERROR(IF(AND(F723&gt;=2000,F723&lt;=2100,G723&gt;=1,G723&lt;=12,H723&gt;=1,H723&lt;=31),DATE(F723,G723,H723),0),0)</ns0:f>
        <ns0:v>0</ns0:v>
      </ns0:c>
      <ns0:c r="J723" s="0">
        <ns0:f>IFERROR(IF(ISNUMBER(Bookings!B723),IF(AND(Bookings!B723=INT(Bookings!B723),Bookings!B723&gt;=DATE(2000,1,1),Bookings!B723&lt;=DATE(2100,12,31)),Bookings!B723,0),IF(AND(A723&lt;&gt;"",LEN("x"&amp;B723)-LEN(SUBSTITUTE("x"&amp;B723,".",""))=2,OR(1&gt;LEN(B723),MID(B723,1,1)=".",ISNUMBER(FIND("x"&amp;MID(B723,1,1),"x0x1x2x3x4x5x6x7x8x9"))),OR(2&gt;LEN(B723),MID(B723,2,1)=".",ISNUMBER(FIND("x"&amp;MID(B723,2,1),"x0x1x2x3x4x5x6x7x8x9"))),OR(3&gt;LEN(B723),MID(B723,3,1)=".",ISNUMBER(FIND("x"&amp;MID(B723,3,1),"x0x1x2x3x4x5x6x7x8x9"))),OR(4&gt;LEN(B723),MID(B723,4,1)=".",ISNUMBER(FIND("x"&amp;MID(B723,4,1),"x0x1x2x3x4x5x6x7x8x9"))),OR(5&gt;LEN(B723),MID(B723,5,1)=".",ISNUMBER(FIND("x"&amp;MID(B723,5,1),"x0x1x2x3x4x5x6x7x8x9"))),OR(6&gt;LEN(B723),MID(B723,6,1)=".",ISNUMBER(FIND("x"&amp;MID(B723,6,1),"x0x1x2x3x4x5x6x7x8x9"))),OR(7&gt;LEN(B723),MID(B723,7,1)=".",ISNUMBER(FIND("x"&amp;MID(B723,7,1),"x0x1x2x3x4x5x6x7x8x9"))),OR(8&gt;LEN(B723),MID(B723,8,1)=".",ISNUMBER(FIND("x"&amp;MID(B723,8,1),"x0x1x2x3x4x5x6x7x8x9"))),OR(9&gt;LEN(B723),MID(B723,9,1)=".",ISNUMBER(FIND("x"&amp;MID(B723,9,1),"x0x1x2x3x4x5x6x7x8x9"))),OR(10&gt;LEN(B723),MID(B723,10,1)=".",ISNUMBER(FIND("x"&amp;MID(B723,10,1),"x0x1x2x3x4x5x6x7x8x9"))),OR(AND(FIND(".",B723)=5,LEN(B723)-FIND(".",B723,FIND(".",B723)+1)&gt;=1,LEN(B723)-FIND(".",B723,FIND(".",B723)+1)&lt;=2),AND(LEN(B723)-FIND(".",B723,FIND(".",B723)+1)=4,FIND(".",B723)&gt;=2,FIND(".",B723)&lt;=3)),FIND(".",B723,FIND(".",B723)+1)-FIND(".",B723)&gt;=2,FIND(".",B723,FIND(".",B723)+1)-FIND(".",B723)&lt;=3,F723&gt;=2000,F723&lt;=2100,YEAR(I723)=F723,MONTH(I723)=G723,DAY(I723)=H723),I723,0)),0)</ns0:f>
        <ns0:v>0</ns0:v>
      </ns0:c>
      <ns0:c r="K723" s="0">
        <ns0:f>IFERROR(IF(ISNUMBER(Bookings!D723),"",TRIM(Bookings!D723&amp;"")),"")</ns0:f>
      </ns0:c>
      <ns0:c r="L723" s="0">
        <ns0:f>IFERROR(SUBSTITUTE(SUBSTITUTE(K723,"/","."),"-","."),"")</ns0:f>
      </ns0:c>
      <ns0:c r="M723" s="0">
        <ns0:f>IFERROR(LEFT(L723,FIND(".",L723)-1),"")</ns0:f>
      </ns0:c>
      <ns0:c r="N723" s="0">
        <ns0:f>IFERROR(MID(L723,FIND(".",L723)+1,FIND(".",L723,FIND(".",L723)+1)-FIND(".",L723)-1),"")</ns0:f>
      </ns0:c>
      <ns0:c r="O723" s="0">
        <ns0:f>IFERROR(MID(L723,FIND(".",L723,FIND(".",L723)+1)+1,99),"")</ns0:f>
        <ns0:v>99</ns0:v>
      </ns0:c>
      <ns0:c r="P723" s="0">
        <ns0:f>IFERROR(IF(FIND(".",L723)=5,--M723,--O723),0)</ns0:f>
        <ns0:v>0</ns0:v>
      </ns0:c>
      <ns0:c r="Q723" s="0">
        <ns0:f>IFERROR(--N723,0)</ns0:f>
        <ns0:v>0</ns0:v>
      </ns0:c>
      <ns0:c r="R723" s="0">
        <ns0:f>IFERROR(IF(FIND(".",L723)=5,--O723,--M723),0)</ns0:f>
        <ns0:v>0</ns0:v>
      </ns0:c>
      <ns0:c r="S723" s="0">
        <ns0:f>IFERROR(IF(AND(P723&gt;=2000,P723&lt;=2100,Q723&gt;=1,Q723&lt;=12,R723&gt;=1,R723&lt;=31),DATE(P723,Q723,R723),0),0)</ns0:f>
        <ns0:v>0</ns0:v>
      </ns0:c>
      <ns0:c r="T723" s="0">
        <ns0:f>IFERROR(IF(ISNUMBER(Bookings!D723),IF(AND(Bookings!D723=INT(Bookings!D723),Bookings!D723&gt;=DATE(2000,1,1),Bookings!D723&lt;=DATE(2100,12,31)),Bookings!D723,0),IF(AND(K723&lt;&gt;"",LEN("x"&amp;L723)-LEN(SUBSTITUTE("x"&amp;L723,".",""))=2,OR(1&gt;LEN(L723),MID(L723,1,1)=".",ISNUMBER(FIND("x"&amp;MID(L723,1,1),"x0x1x2x3x4x5x6x7x8x9"))),OR(2&gt;LEN(L723),MID(L723,2,1)=".",ISNUMBER(FIND("x"&amp;MID(L723,2,1),"x0x1x2x3x4x5x6x7x8x9"))),OR(3&gt;LEN(L723),MID(L723,3,1)=".",ISNUMBER(FIND("x"&amp;MID(L723,3,1),"x0x1x2x3x4x5x6x7x8x9"))),OR(4&gt;LEN(L723),MID(L723,4,1)=".",ISNUMBER(FIND("x"&amp;MID(L723,4,1),"x0x1x2x3x4x5x6x7x8x9"))),OR(5&gt;LEN(L723),MID(L723,5,1)=".",ISNUMBER(FIND("x"&amp;MID(L723,5,1),"x0x1x2x3x4x5x6x7x8x9"))),OR(6&gt;LEN(L723),MID(L723,6,1)=".",ISNUMBER(FIND("x"&amp;MID(L723,6,1),"x0x1x2x3x4x5x6x7x8x9"))),OR(7&gt;LEN(L723),MID(L723,7,1)=".",ISNUMBER(FIND("x"&amp;MID(L723,7,1),"x0x1x2x3x4x5x6x7x8x9"))),OR(8&gt;LEN(L723),MID(L723,8,1)=".",ISNUMBER(FIND("x"&amp;MID(L723,8,1),"x0x1x2x3x4x5x6x7x8x9"))),OR(9&gt;LEN(L723),MID(L723,9,1)=".",ISNUMBER(FIND("x"&amp;MID(L723,9,1),"x0x1x2x3x4x5x6x7x8x9"))),OR(10&gt;LEN(L723),MID(L723,10,1)=".",ISNUMBER(FIND("x"&amp;MID(L723,10,1),"x0x1x2x3x4x5x6x7x8x9"))),OR(AND(FIND(".",L723)=5,LEN(L723)-FIND(".",L723,FIND(".",L723)+1)&gt;=1,LEN(L723)-FIND(".",L723,FIND(".",L723)+1)&lt;=2),AND(LEN(L723)-FIND(".",L723,FIND(".",L723)+1)=4,FIND(".",L723)&gt;=2,FIND(".",L723)&lt;=3)),FIND(".",L723,FIND(".",L723)+1)-FIND(".",L723)&gt;=2,FIND(".",L723,FIND(".",L723)+1)-FIND(".",L723)&lt;=3,P723&gt;=2000,P723&lt;=2100,YEAR(S723)=P723,MONTH(S723)=Q723,DAY(S723)=R723),S723,0)),0)</ns0:f>
        <ns0:v>0</ns0:v>
      </ns0:c>
      <ns0:c r="U723" s="0" t="str">
        <ns0:f>IF(Bookings!C723="","Full day",Bookings!C723)</ns0:f>
        <ns0:v>Full day</ns0:v>
      </ns0:c>
      <ns0:c r="V723" s="0" t="str">
        <ns0:f>IF(Bookings!E723="","Full day",Bookings!E723)</ns0:f>
        <ns0:v>Full day</ns0:v>
      </ns0:c>
      <ns0:c r="W723" s="0">
        <ns0:f>IF(J723=0,0,J723+IF(U723="PM",1,0))</ns0:f>
        <ns0:v>0</ns0:v>
      </ns0:c>
      <ns0:c r="X723" s="0">
        <ns0:f>IF(T723=0,0,T723-IF(V723="PM",1,0))</ns0:f>
        <ns0:v>0</ns0:v>
      </ns0:c>
      <ns0:c r="Y723" s="0">
        <ns0:f>IF(J723=0,0,J723+IF(U723="AM",1,0))</ns0:f>
        <ns0:v>0</ns0:v>
      </ns0:c>
      <ns0:c r="Z723" s="0">
        <ns0:f>IF(T723=0,0,T723-IF(V723="AM",1,0))</ns0:f>
        <ns0:v>0</ns0:v>
      </ns0:c>
      <ns0:c r="AA723" s="0">
        <ns0:f>IFERROR(IF(AND(J723&gt;0,'_Engine'!C723&gt;0,MID('_Engine'!W723,WEEKDAY(J723,2),1)="W",COUNTIF(Settings!$F$18:$F$67,J723)=0),1,0),0)</ns0:f>
        <ns0:v>0</ns0:v>
      </ns0:c>
      <ns0:c r="AB723" s="0">
        <ns0:f>IFERROR(IF(AND(T723&gt;0,'_Engine'!C723&gt;0,MID('_Engine'!W723,WEEKDAY(T723,2),1)="W",COUNTIF(Settings!$F$18:$F$67,T723)=0),1,0),0)</ns0:f>
        <ns0:v>0</ns0:v>
      </ns0:c>
      <ns0:c r="AC723" s="0">
        <ns0:f>IF(AND(J723&gt;0,T723&gt;0,W723&lt;=X723),1,0)</ns0:f>
        <ns0:v>0</ns0:v>
      </ns0:c>
      <ns0:c r="AD723" s="0">
        <ns0:f>IF(AND(J723&gt;0,T723&gt;0,Y723&lt;=Z723),1,0)</ns0:f>
        <ns0:v>0</ns0:v>
      </ns0:c>
    </ns0:row>
    <ns0:row r="724">
      <ns0:c r="A724" s="0">
        <ns0:f>IFERROR(IF(ISNUMBER(Bookings!B724),"",TRIM(Bookings!B724&amp;"")),"")</ns0:f>
      </ns0:c>
      <ns0:c r="B724" s="0">
        <ns0:f>IFERROR(SUBSTITUTE(SUBSTITUTE(A724,"/","."),"-","."),"")</ns0:f>
      </ns0:c>
      <ns0:c r="C724" s="0">
        <ns0:f>IFERROR(LEFT(B724,FIND(".",B724)-1),"")</ns0:f>
      </ns0:c>
      <ns0:c r="D724" s="0">
        <ns0:f>IFERROR(MID(B724,FIND(".",B724)+1,FIND(".",B724,FIND(".",B724)+1)-FIND(".",B724)-1),"")</ns0:f>
      </ns0:c>
      <ns0:c r="E724" s="0">
        <ns0:f>IFERROR(MID(B724,FIND(".",B724,FIND(".",B724)+1)+1,99),"")</ns0:f>
        <ns0:v>99</ns0:v>
      </ns0:c>
      <ns0:c r="F724" s="0">
        <ns0:f>IFERROR(IF(FIND(".",B724)=5,--C724,--E724),0)</ns0:f>
        <ns0:v>0</ns0:v>
      </ns0:c>
      <ns0:c r="G724" s="0">
        <ns0:f>IFERROR(--D724,0)</ns0:f>
        <ns0:v>0</ns0:v>
      </ns0:c>
      <ns0:c r="H724" s="0">
        <ns0:f>IFERROR(IF(FIND(".",B724)=5,--E724,--C724),0)</ns0:f>
        <ns0:v>0</ns0:v>
      </ns0:c>
      <ns0:c r="I724" s="0">
        <ns0:f>IFERROR(IF(AND(F724&gt;=2000,F724&lt;=2100,G724&gt;=1,G724&lt;=12,H724&gt;=1,H724&lt;=31),DATE(F724,G724,H724),0),0)</ns0:f>
        <ns0:v>0</ns0:v>
      </ns0:c>
      <ns0:c r="J724" s="0">
        <ns0:f>IFERROR(IF(ISNUMBER(Bookings!B724),IF(AND(Bookings!B724=INT(Bookings!B724),Bookings!B724&gt;=DATE(2000,1,1),Bookings!B724&lt;=DATE(2100,12,31)),Bookings!B724,0),IF(AND(A724&lt;&gt;"",LEN("x"&amp;B724)-LEN(SUBSTITUTE("x"&amp;B724,".",""))=2,OR(1&gt;LEN(B724),MID(B724,1,1)=".",ISNUMBER(FIND("x"&amp;MID(B724,1,1),"x0x1x2x3x4x5x6x7x8x9"))),OR(2&gt;LEN(B724),MID(B724,2,1)=".",ISNUMBER(FIND("x"&amp;MID(B724,2,1),"x0x1x2x3x4x5x6x7x8x9"))),OR(3&gt;LEN(B724),MID(B724,3,1)=".",ISNUMBER(FIND("x"&amp;MID(B724,3,1),"x0x1x2x3x4x5x6x7x8x9"))),OR(4&gt;LEN(B724),MID(B724,4,1)=".",ISNUMBER(FIND("x"&amp;MID(B724,4,1),"x0x1x2x3x4x5x6x7x8x9"))),OR(5&gt;LEN(B724),MID(B724,5,1)=".",ISNUMBER(FIND("x"&amp;MID(B724,5,1),"x0x1x2x3x4x5x6x7x8x9"))),OR(6&gt;LEN(B724),MID(B724,6,1)=".",ISNUMBER(FIND("x"&amp;MID(B724,6,1),"x0x1x2x3x4x5x6x7x8x9"))),OR(7&gt;LEN(B724),MID(B724,7,1)=".",ISNUMBER(FIND("x"&amp;MID(B724,7,1),"x0x1x2x3x4x5x6x7x8x9"))),OR(8&gt;LEN(B724),MID(B724,8,1)=".",ISNUMBER(FIND("x"&amp;MID(B724,8,1),"x0x1x2x3x4x5x6x7x8x9"))),OR(9&gt;LEN(B724),MID(B724,9,1)=".",ISNUMBER(FIND("x"&amp;MID(B724,9,1),"x0x1x2x3x4x5x6x7x8x9"))),OR(10&gt;LEN(B724),MID(B724,10,1)=".",ISNUMBER(FIND("x"&amp;MID(B724,10,1),"x0x1x2x3x4x5x6x7x8x9"))),OR(AND(FIND(".",B724)=5,LEN(B724)-FIND(".",B724,FIND(".",B724)+1)&gt;=1,LEN(B724)-FIND(".",B724,FIND(".",B724)+1)&lt;=2),AND(LEN(B724)-FIND(".",B724,FIND(".",B724)+1)=4,FIND(".",B724)&gt;=2,FIND(".",B724)&lt;=3)),FIND(".",B724,FIND(".",B724)+1)-FIND(".",B724)&gt;=2,FIND(".",B724,FIND(".",B724)+1)-FIND(".",B724)&lt;=3,F724&gt;=2000,F724&lt;=2100,YEAR(I724)=F724,MONTH(I724)=G724,DAY(I724)=H724),I724,0)),0)</ns0:f>
        <ns0:v>0</ns0:v>
      </ns0:c>
      <ns0:c r="K724" s="0">
        <ns0:f>IFERROR(IF(ISNUMBER(Bookings!D724),"",TRIM(Bookings!D724&amp;"")),"")</ns0:f>
      </ns0:c>
      <ns0:c r="L724" s="0">
        <ns0:f>IFERROR(SUBSTITUTE(SUBSTITUTE(K724,"/","."),"-","."),"")</ns0:f>
      </ns0:c>
      <ns0:c r="M724" s="0">
        <ns0:f>IFERROR(LEFT(L724,FIND(".",L724)-1),"")</ns0:f>
      </ns0:c>
      <ns0:c r="N724" s="0">
        <ns0:f>IFERROR(MID(L724,FIND(".",L724)+1,FIND(".",L724,FIND(".",L724)+1)-FIND(".",L724)-1),"")</ns0:f>
      </ns0:c>
      <ns0:c r="O724" s="0">
        <ns0:f>IFERROR(MID(L724,FIND(".",L724,FIND(".",L724)+1)+1,99),"")</ns0:f>
        <ns0:v>99</ns0:v>
      </ns0:c>
      <ns0:c r="P724" s="0">
        <ns0:f>IFERROR(IF(FIND(".",L724)=5,--M724,--O724),0)</ns0:f>
        <ns0:v>0</ns0:v>
      </ns0:c>
      <ns0:c r="Q724" s="0">
        <ns0:f>IFERROR(--N724,0)</ns0:f>
        <ns0:v>0</ns0:v>
      </ns0:c>
      <ns0:c r="R724" s="0">
        <ns0:f>IFERROR(IF(FIND(".",L724)=5,--O724,--M724),0)</ns0:f>
        <ns0:v>0</ns0:v>
      </ns0:c>
      <ns0:c r="S724" s="0">
        <ns0:f>IFERROR(IF(AND(P724&gt;=2000,P724&lt;=2100,Q724&gt;=1,Q724&lt;=12,R724&gt;=1,R724&lt;=31),DATE(P724,Q724,R724),0),0)</ns0:f>
        <ns0:v>0</ns0:v>
      </ns0:c>
      <ns0:c r="T724" s="0">
        <ns0:f>IFERROR(IF(ISNUMBER(Bookings!D724),IF(AND(Bookings!D724=INT(Bookings!D724),Bookings!D724&gt;=DATE(2000,1,1),Bookings!D724&lt;=DATE(2100,12,31)),Bookings!D724,0),IF(AND(K724&lt;&gt;"",LEN("x"&amp;L724)-LEN(SUBSTITUTE("x"&amp;L724,".",""))=2,OR(1&gt;LEN(L724),MID(L724,1,1)=".",ISNUMBER(FIND("x"&amp;MID(L724,1,1),"x0x1x2x3x4x5x6x7x8x9"))),OR(2&gt;LEN(L724),MID(L724,2,1)=".",ISNUMBER(FIND("x"&amp;MID(L724,2,1),"x0x1x2x3x4x5x6x7x8x9"))),OR(3&gt;LEN(L724),MID(L724,3,1)=".",ISNUMBER(FIND("x"&amp;MID(L724,3,1),"x0x1x2x3x4x5x6x7x8x9"))),OR(4&gt;LEN(L724),MID(L724,4,1)=".",ISNUMBER(FIND("x"&amp;MID(L724,4,1),"x0x1x2x3x4x5x6x7x8x9"))),OR(5&gt;LEN(L724),MID(L724,5,1)=".",ISNUMBER(FIND("x"&amp;MID(L724,5,1),"x0x1x2x3x4x5x6x7x8x9"))),OR(6&gt;LEN(L724),MID(L724,6,1)=".",ISNUMBER(FIND("x"&amp;MID(L724,6,1),"x0x1x2x3x4x5x6x7x8x9"))),OR(7&gt;LEN(L724),MID(L724,7,1)=".",ISNUMBER(FIND("x"&amp;MID(L724,7,1),"x0x1x2x3x4x5x6x7x8x9"))),OR(8&gt;LEN(L724),MID(L724,8,1)=".",ISNUMBER(FIND("x"&amp;MID(L724,8,1),"x0x1x2x3x4x5x6x7x8x9"))),OR(9&gt;LEN(L724),MID(L724,9,1)=".",ISNUMBER(FIND("x"&amp;MID(L724,9,1),"x0x1x2x3x4x5x6x7x8x9"))),OR(10&gt;LEN(L724),MID(L724,10,1)=".",ISNUMBER(FIND("x"&amp;MID(L724,10,1),"x0x1x2x3x4x5x6x7x8x9"))),OR(AND(FIND(".",L724)=5,LEN(L724)-FIND(".",L724,FIND(".",L724)+1)&gt;=1,LEN(L724)-FIND(".",L724,FIND(".",L724)+1)&lt;=2),AND(LEN(L724)-FIND(".",L724,FIND(".",L724)+1)=4,FIND(".",L724)&gt;=2,FIND(".",L724)&lt;=3)),FIND(".",L724,FIND(".",L724)+1)-FIND(".",L724)&gt;=2,FIND(".",L724,FIND(".",L724)+1)-FIND(".",L724)&lt;=3,P724&gt;=2000,P724&lt;=2100,YEAR(S724)=P724,MONTH(S724)=Q724,DAY(S724)=R724),S724,0)),0)</ns0:f>
        <ns0:v>0</ns0:v>
      </ns0:c>
      <ns0:c r="U724" s="0" t="str">
        <ns0:f>IF(Bookings!C724="","Full day",Bookings!C724)</ns0:f>
        <ns0:v>Full day</ns0:v>
      </ns0:c>
      <ns0:c r="V724" s="0" t="str">
        <ns0:f>IF(Bookings!E724="","Full day",Bookings!E724)</ns0:f>
        <ns0:v>Full day</ns0:v>
      </ns0:c>
      <ns0:c r="W724" s="0">
        <ns0:f>IF(J724=0,0,J724+IF(U724="PM",1,0))</ns0:f>
        <ns0:v>0</ns0:v>
      </ns0:c>
      <ns0:c r="X724" s="0">
        <ns0:f>IF(T724=0,0,T724-IF(V724="PM",1,0))</ns0:f>
        <ns0:v>0</ns0:v>
      </ns0:c>
      <ns0:c r="Y724" s="0">
        <ns0:f>IF(J724=0,0,J724+IF(U724="AM",1,0))</ns0:f>
        <ns0:v>0</ns0:v>
      </ns0:c>
      <ns0:c r="Z724" s="0">
        <ns0:f>IF(T724=0,0,T724-IF(V724="AM",1,0))</ns0:f>
        <ns0:v>0</ns0:v>
      </ns0:c>
      <ns0:c r="AA724" s="0">
        <ns0:f>IFERROR(IF(AND(J724&gt;0,'_Engine'!C724&gt;0,MID('_Engine'!W724,WEEKDAY(J724,2),1)="W",COUNTIF(Settings!$F$18:$F$67,J724)=0),1,0),0)</ns0:f>
        <ns0:v>0</ns0:v>
      </ns0:c>
      <ns0:c r="AB724" s="0">
        <ns0:f>IFERROR(IF(AND(T724&gt;0,'_Engine'!C724&gt;0,MID('_Engine'!W724,WEEKDAY(T724,2),1)="W",COUNTIF(Settings!$F$18:$F$67,T724)=0),1,0),0)</ns0:f>
        <ns0:v>0</ns0:v>
      </ns0:c>
      <ns0:c r="AC724" s="0">
        <ns0:f>IF(AND(J724&gt;0,T724&gt;0,W724&lt;=X724),1,0)</ns0:f>
        <ns0:v>0</ns0:v>
      </ns0:c>
      <ns0:c r="AD724" s="0">
        <ns0:f>IF(AND(J724&gt;0,T724&gt;0,Y724&lt;=Z724),1,0)</ns0:f>
        <ns0:v>0</ns0:v>
      </ns0:c>
    </ns0:row>
    <ns0:row r="725">
      <ns0:c r="A725" s="0">
        <ns0:f>IFERROR(IF(ISNUMBER(Bookings!B725),"",TRIM(Bookings!B725&amp;"")),"")</ns0:f>
      </ns0:c>
      <ns0:c r="B725" s="0">
        <ns0:f>IFERROR(SUBSTITUTE(SUBSTITUTE(A725,"/","."),"-","."),"")</ns0:f>
      </ns0:c>
      <ns0:c r="C725" s="0">
        <ns0:f>IFERROR(LEFT(B725,FIND(".",B725)-1),"")</ns0:f>
      </ns0:c>
      <ns0:c r="D725" s="0">
        <ns0:f>IFERROR(MID(B725,FIND(".",B725)+1,FIND(".",B725,FIND(".",B725)+1)-FIND(".",B725)-1),"")</ns0:f>
      </ns0:c>
      <ns0:c r="E725" s="0">
        <ns0:f>IFERROR(MID(B725,FIND(".",B725,FIND(".",B725)+1)+1,99),"")</ns0:f>
        <ns0:v>99</ns0:v>
      </ns0:c>
      <ns0:c r="F725" s="0">
        <ns0:f>IFERROR(IF(FIND(".",B725)=5,--C725,--E725),0)</ns0:f>
        <ns0:v>0</ns0:v>
      </ns0:c>
      <ns0:c r="G725" s="0">
        <ns0:f>IFERROR(--D725,0)</ns0:f>
        <ns0:v>0</ns0:v>
      </ns0:c>
      <ns0:c r="H725" s="0">
        <ns0:f>IFERROR(IF(FIND(".",B725)=5,--E725,--C725),0)</ns0:f>
        <ns0:v>0</ns0:v>
      </ns0:c>
      <ns0:c r="I725" s="0">
        <ns0:f>IFERROR(IF(AND(F725&gt;=2000,F725&lt;=2100,G725&gt;=1,G725&lt;=12,H725&gt;=1,H725&lt;=31),DATE(F725,G725,H725),0),0)</ns0:f>
        <ns0:v>0</ns0:v>
      </ns0:c>
      <ns0:c r="J725" s="0">
        <ns0:f>IFERROR(IF(ISNUMBER(Bookings!B725),IF(AND(Bookings!B725=INT(Bookings!B725),Bookings!B725&gt;=DATE(2000,1,1),Bookings!B725&lt;=DATE(2100,12,31)),Bookings!B725,0),IF(AND(A725&lt;&gt;"",LEN("x"&amp;B725)-LEN(SUBSTITUTE("x"&amp;B725,".",""))=2,OR(1&gt;LEN(B725),MID(B725,1,1)=".",ISNUMBER(FIND("x"&amp;MID(B725,1,1),"x0x1x2x3x4x5x6x7x8x9"))),OR(2&gt;LEN(B725),MID(B725,2,1)=".",ISNUMBER(FIND("x"&amp;MID(B725,2,1),"x0x1x2x3x4x5x6x7x8x9"))),OR(3&gt;LEN(B725),MID(B725,3,1)=".",ISNUMBER(FIND("x"&amp;MID(B725,3,1),"x0x1x2x3x4x5x6x7x8x9"))),OR(4&gt;LEN(B725),MID(B725,4,1)=".",ISNUMBER(FIND("x"&amp;MID(B725,4,1),"x0x1x2x3x4x5x6x7x8x9"))),OR(5&gt;LEN(B725),MID(B725,5,1)=".",ISNUMBER(FIND("x"&amp;MID(B725,5,1),"x0x1x2x3x4x5x6x7x8x9"))),OR(6&gt;LEN(B725),MID(B725,6,1)=".",ISNUMBER(FIND("x"&amp;MID(B725,6,1),"x0x1x2x3x4x5x6x7x8x9"))),OR(7&gt;LEN(B725),MID(B725,7,1)=".",ISNUMBER(FIND("x"&amp;MID(B725,7,1),"x0x1x2x3x4x5x6x7x8x9"))),OR(8&gt;LEN(B725),MID(B725,8,1)=".",ISNUMBER(FIND("x"&amp;MID(B725,8,1),"x0x1x2x3x4x5x6x7x8x9"))),OR(9&gt;LEN(B725),MID(B725,9,1)=".",ISNUMBER(FIND("x"&amp;MID(B725,9,1),"x0x1x2x3x4x5x6x7x8x9"))),OR(10&gt;LEN(B725),MID(B725,10,1)=".",ISNUMBER(FIND("x"&amp;MID(B725,10,1),"x0x1x2x3x4x5x6x7x8x9"))),OR(AND(FIND(".",B725)=5,LEN(B725)-FIND(".",B725,FIND(".",B725)+1)&gt;=1,LEN(B725)-FIND(".",B725,FIND(".",B725)+1)&lt;=2),AND(LEN(B725)-FIND(".",B725,FIND(".",B725)+1)=4,FIND(".",B725)&gt;=2,FIND(".",B725)&lt;=3)),FIND(".",B725,FIND(".",B725)+1)-FIND(".",B725)&gt;=2,FIND(".",B725,FIND(".",B725)+1)-FIND(".",B725)&lt;=3,F725&gt;=2000,F725&lt;=2100,YEAR(I725)=F725,MONTH(I725)=G725,DAY(I725)=H725),I725,0)),0)</ns0:f>
        <ns0:v>0</ns0:v>
      </ns0:c>
      <ns0:c r="K725" s="0">
        <ns0:f>IFERROR(IF(ISNUMBER(Bookings!D725),"",TRIM(Bookings!D725&amp;"")),"")</ns0:f>
      </ns0:c>
      <ns0:c r="L725" s="0">
        <ns0:f>IFERROR(SUBSTITUTE(SUBSTITUTE(K725,"/","."),"-","."),"")</ns0:f>
      </ns0:c>
      <ns0:c r="M725" s="0">
        <ns0:f>IFERROR(LEFT(L725,FIND(".",L725)-1),"")</ns0:f>
      </ns0:c>
      <ns0:c r="N725" s="0">
        <ns0:f>IFERROR(MID(L725,FIND(".",L725)+1,FIND(".",L725,FIND(".",L725)+1)-FIND(".",L725)-1),"")</ns0:f>
      </ns0:c>
      <ns0:c r="O725" s="0">
        <ns0:f>IFERROR(MID(L725,FIND(".",L725,FIND(".",L725)+1)+1,99),"")</ns0:f>
        <ns0:v>99</ns0:v>
      </ns0:c>
      <ns0:c r="P725" s="0">
        <ns0:f>IFERROR(IF(FIND(".",L725)=5,--M725,--O725),0)</ns0:f>
        <ns0:v>0</ns0:v>
      </ns0:c>
      <ns0:c r="Q725" s="0">
        <ns0:f>IFERROR(--N725,0)</ns0:f>
        <ns0:v>0</ns0:v>
      </ns0:c>
      <ns0:c r="R725" s="0">
        <ns0:f>IFERROR(IF(FIND(".",L725)=5,--O725,--M725),0)</ns0:f>
        <ns0:v>0</ns0:v>
      </ns0:c>
      <ns0:c r="S725" s="0">
        <ns0:f>IFERROR(IF(AND(P725&gt;=2000,P725&lt;=2100,Q725&gt;=1,Q725&lt;=12,R725&gt;=1,R725&lt;=31),DATE(P725,Q725,R725),0),0)</ns0:f>
        <ns0:v>0</ns0:v>
      </ns0:c>
      <ns0:c r="T725" s="0">
        <ns0:f>IFERROR(IF(ISNUMBER(Bookings!D725),IF(AND(Bookings!D725=INT(Bookings!D725),Bookings!D725&gt;=DATE(2000,1,1),Bookings!D725&lt;=DATE(2100,12,31)),Bookings!D725,0),IF(AND(K725&lt;&gt;"",LEN("x"&amp;L725)-LEN(SUBSTITUTE("x"&amp;L725,".",""))=2,OR(1&gt;LEN(L725),MID(L725,1,1)=".",ISNUMBER(FIND("x"&amp;MID(L725,1,1),"x0x1x2x3x4x5x6x7x8x9"))),OR(2&gt;LEN(L725),MID(L725,2,1)=".",ISNUMBER(FIND("x"&amp;MID(L725,2,1),"x0x1x2x3x4x5x6x7x8x9"))),OR(3&gt;LEN(L725),MID(L725,3,1)=".",ISNUMBER(FIND("x"&amp;MID(L725,3,1),"x0x1x2x3x4x5x6x7x8x9"))),OR(4&gt;LEN(L725),MID(L725,4,1)=".",ISNUMBER(FIND("x"&amp;MID(L725,4,1),"x0x1x2x3x4x5x6x7x8x9"))),OR(5&gt;LEN(L725),MID(L725,5,1)=".",ISNUMBER(FIND("x"&amp;MID(L725,5,1),"x0x1x2x3x4x5x6x7x8x9"))),OR(6&gt;LEN(L725),MID(L725,6,1)=".",ISNUMBER(FIND("x"&amp;MID(L725,6,1),"x0x1x2x3x4x5x6x7x8x9"))),OR(7&gt;LEN(L725),MID(L725,7,1)=".",ISNUMBER(FIND("x"&amp;MID(L725,7,1),"x0x1x2x3x4x5x6x7x8x9"))),OR(8&gt;LEN(L725),MID(L725,8,1)=".",ISNUMBER(FIND("x"&amp;MID(L725,8,1),"x0x1x2x3x4x5x6x7x8x9"))),OR(9&gt;LEN(L725),MID(L725,9,1)=".",ISNUMBER(FIND("x"&amp;MID(L725,9,1),"x0x1x2x3x4x5x6x7x8x9"))),OR(10&gt;LEN(L725),MID(L725,10,1)=".",ISNUMBER(FIND("x"&amp;MID(L725,10,1),"x0x1x2x3x4x5x6x7x8x9"))),OR(AND(FIND(".",L725)=5,LEN(L725)-FIND(".",L725,FIND(".",L725)+1)&gt;=1,LEN(L725)-FIND(".",L725,FIND(".",L725)+1)&lt;=2),AND(LEN(L725)-FIND(".",L725,FIND(".",L725)+1)=4,FIND(".",L725)&gt;=2,FIND(".",L725)&lt;=3)),FIND(".",L725,FIND(".",L725)+1)-FIND(".",L725)&gt;=2,FIND(".",L725,FIND(".",L725)+1)-FIND(".",L725)&lt;=3,P725&gt;=2000,P725&lt;=2100,YEAR(S725)=P725,MONTH(S725)=Q725,DAY(S725)=R725),S725,0)),0)</ns0:f>
        <ns0:v>0</ns0:v>
      </ns0:c>
      <ns0:c r="U725" s="0" t="str">
        <ns0:f>IF(Bookings!C725="","Full day",Bookings!C725)</ns0:f>
        <ns0:v>Full day</ns0:v>
      </ns0:c>
      <ns0:c r="V725" s="0" t="str">
        <ns0:f>IF(Bookings!E725="","Full day",Bookings!E725)</ns0:f>
        <ns0:v>Full day</ns0:v>
      </ns0:c>
      <ns0:c r="W725" s="0">
        <ns0:f>IF(J725=0,0,J725+IF(U725="PM",1,0))</ns0:f>
        <ns0:v>0</ns0:v>
      </ns0:c>
      <ns0:c r="X725" s="0">
        <ns0:f>IF(T725=0,0,T725-IF(V725="PM",1,0))</ns0:f>
        <ns0:v>0</ns0:v>
      </ns0:c>
      <ns0:c r="Y725" s="0">
        <ns0:f>IF(J725=0,0,J725+IF(U725="AM",1,0))</ns0:f>
        <ns0:v>0</ns0:v>
      </ns0:c>
      <ns0:c r="Z725" s="0">
        <ns0:f>IF(T725=0,0,T725-IF(V725="AM",1,0))</ns0:f>
        <ns0:v>0</ns0:v>
      </ns0:c>
      <ns0:c r="AA725" s="0">
        <ns0:f>IFERROR(IF(AND(J725&gt;0,'_Engine'!C725&gt;0,MID('_Engine'!W725,WEEKDAY(J725,2),1)="W",COUNTIF(Settings!$F$18:$F$67,J725)=0),1,0),0)</ns0:f>
        <ns0:v>0</ns0:v>
      </ns0:c>
      <ns0:c r="AB725" s="0">
        <ns0:f>IFERROR(IF(AND(T725&gt;0,'_Engine'!C725&gt;0,MID('_Engine'!W725,WEEKDAY(T725,2),1)="W",COUNTIF(Settings!$F$18:$F$67,T725)=0),1,0),0)</ns0:f>
        <ns0:v>0</ns0:v>
      </ns0:c>
      <ns0:c r="AC725" s="0">
        <ns0:f>IF(AND(J725&gt;0,T725&gt;0,W725&lt;=X725),1,0)</ns0:f>
        <ns0:v>0</ns0:v>
      </ns0:c>
      <ns0:c r="AD725" s="0">
        <ns0:f>IF(AND(J725&gt;0,T725&gt;0,Y725&lt;=Z725),1,0)</ns0:f>
        <ns0:v>0</ns0:v>
      </ns0:c>
    </ns0:row>
    <ns0:row r="726">
      <ns0:c r="A726" s="0">
        <ns0:f>IFERROR(IF(ISNUMBER(Bookings!B726),"",TRIM(Bookings!B726&amp;"")),"")</ns0:f>
      </ns0:c>
      <ns0:c r="B726" s="0">
        <ns0:f>IFERROR(SUBSTITUTE(SUBSTITUTE(A726,"/","."),"-","."),"")</ns0:f>
      </ns0:c>
      <ns0:c r="C726" s="0">
        <ns0:f>IFERROR(LEFT(B726,FIND(".",B726)-1),"")</ns0:f>
      </ns0:c>
      <ns0:c r="D726" s="0">
        <ns0:f>IFERROR(MID(B726,FIND(".",B726)+1,FIND(".",B726,FIND(".",B726)+1)-FIND(".",B726)-1),"")</ns0:f>
      </ns0:c>
      <ns0:c r="E726" s="0">
        <ns0:f>IFERROR(MID(B726,FIND(".",B726,FIND(".",B726)+1)+1,99),"")</ns0:f>
        <ns0:v>99</ns0:v>
      </ns0:c>
      <ns0:c r="F726" s="0">
        <ns0:f>IFERROR(IF(FIND(".",B726)=5,--C726,--E726),0)</ns0:f>
        <ns0:v>0</ns0:v>
      </ns0:c>
      <ns0:c r="G726" s="0">
        <ns0:f>IFERROR(--D726,0)</ns0:f>
        <ns0:v>0</ns0:v>
      </ns0:c>
      <ns0:c r="H726" s="0">
        <ns0:f>IFERROR(IF(FIND(".",B726)=5,--E726,--C726),0)</ns0:f>
        <ns0:v>0</ns0:v>
      </ns0:c>
      <ns0:c r="I726" s="0">
        <ns0:f>IFERROR(IF(AND(F726&gt;=2000,F726&lt;=2100,G726&gt;=1,G726&lt;=12,H726&gt;=1,H726&lt;=31),DATE(F726,G726,H726),0),0)</ns0:f>
        <ns0:v>0</ns0:v>
      </ns0:c>
      <ns0:c r="J726" s="0">
        <ns0:f>IFERROR(IF(ISNUMBER(Bookings!B726),IF(AND(Bookings!B726=INT(Bookings!B726),Bookings!B726&gt;=DATE(2000,1,1),Bookings!B726&lt;=DATE(2100,12,31)),Bookings!B726,0),IF(AND(A726&lt;&gt;"",LEN("x"&amp;B726)-LEN(SUBSTITUTE("x"&amp;B726,".",""))=2,OR(1&gt;LEN(B726),MID(B726,1,1)=".",ISNUMBER(FIND("x"&amp;MID(B726,1,1),"x0x1x2x3x4x5x6x7x8x9"))),OR(2&gt;LEN(B726),MID(B726,2,1)=".",ISNUMBER(FIND("x"&amp;MID(B726,2,1),"x0x1x2x3x4x5x6x7x8x9"))),OR(3&gt;LEN(B726),MID(B726,3,1)=".",ISNUMBER(FIND("x"&amp;MID(B726,3,1),"x0x1x2x3x4x5x6x7x8x9"))),OR(4&gt;LEN(B726),MID(B726,4,1)=".",ISNUMBER(FIND("x"&amp;MID(B726,4,1),"x0x1x2x3x4x5x6x7x8x9"))),OR(5&gt;LEN(B726),MID(B726,5,1)=".",ISNUMBER(FIND("x"&amp;MID(B726,5,1),"x0x1x2x3x4x5x6x7x8x9"))),OR(6&gt;LEN(B726),MID(B726,6,1)=".",ISNUMBER(FIND("x"&amp;MID(B726,6,1),"x0x1x2x3x4x5x6x7x8x9"))),OR(7&gt;LEN(B726),MID(B726,7,1)=".",ISNUMBER(FIND("x"&amp;MID(B726,7,1),"x0x1x2x3x4x5x6x7x8x9"))),OR(8&gt;LEN(B726),MID(B726,8,1)=".",ISNUMBER(FIND("x"&amp;MID(B726,8,1),"x0x1x2x3x4x5x6x7x8x9"))),OR(9&gt;LEN(B726),MID(B726,9,1)=".",ISNUMBER(FIND("x"&amp;MID(B726,9,1),"x0x1x2x3x4x5x6x7x8x9"))),OR(10&gt;LEN(B726),MID(B726,10,1)=".",ISNUMBER(FIND("x"&amp;MID(B726,10,1),"x0x1x2x3x4x5x6x7x8x9"))),OR(AND(FIND(".",B726)=5,LEN(B726)-FIND(".",B726,FIND(".",B726)+1)&gt;=1,LEN(B726)-FIND(".",B726,FIND(".",B726)+1)&lt;=2),AND(LEN(B726)-FIND(".",B726,FIND(".",B726)+1)=4,FIND(".",B726)&gt;=2,FIND(".",B726)&lt;=3)),FIND(".",B726,FIND(".",B726)+1)-FIND(".",B726)&gt;=2,FIND(".",B726,FIND(".",B726)+1)-FIND(".",B726)&lt;=3,F726&gt;=2000,F726&lt;=2100,YEAR(I726)=F726,MONTH(I726)=G726,DAY(I726)=H726),I726,0)),0)</ns0:f>
        <ns0:v>0</ns0:v>
      </ns0:c>
      <ns0:c r="K726" s="0">
        <ns0:f>IFERROR(IF(ISNUMBER(Bookings!D726),"",TRIM(Bookings!D726&amp;"")),"")</ns0:f>
      </ns0:c>
      <ns0:c r="L726" s="0">
        <ns0:f>IFERROR(SUBSTITUTE(SUBSTITUTE(K726,"/","."),"-","."),"")</ns0:f>
      </ns0:c>
      <ns0:c r="M726" s="0">
        <ns0:f>IFERROR(LEFT(L726,FIND(".",L726)-1),"")</ns0:f>
      </ns0:c>
      <ns0:c r="N726" s="0">
        <ns0:f>IFERROR(MID(L726,FIND(".",L726)+1,FIND(".",L726,FIND(".",L726)+1)-FIND(".",L726)-1),"")</ns0:f>
      </ns0:c>
      <ns0:c r="O726" s="0">
        <ns0:f>IFERROR(MID(L726,FIND(".",L726,FIND(".",L726)+1)+1,99),"")</ns0:f>
        <ns0:v>99</ns0:v>
      </ns0:c>
      <ns0:c r="P726" s="0">
        <ns0:f>IFERROR(IF(FIND(".",L726)=5,--M726,--O726),0)</ns0:f>
        <ns0:v>0</ns0:v>
      </ns0:c>
      <ns0:c r="Q726" s="0">
        <ns0:f>IFERROR(--N726,0)</ns0:f>
        <ns0:v>0</ns0:v>
      </ns0:c>
      <ns0:c r="R726" s="0">
        <ns0:f>IFERROR(IF(FIND(".",L726)=5,--O726,--M726),0)</ns0:f>
        <ns0:v>0</ns0:v>
      </ns0:c>
      <ns0:c r="S726" s="0">
        <ns0:f>IFERROR(IF(AND(P726&gt;=2000,P726&lt;=2100,Q726&gt;=1,Q726&lt;=12,R726&gt;=1,R726&lt;=31),DATE(P726,Q726,R726),0),0)</ns0:f>
        <ns0:v>0</ns0:v>
      </ns0:c>
      <ns0:c r="T726" s="0">
        <ns0:f>IFERROR(IF(ISNUMBER(Bookings!D726),IF(AND(Bookings!D726=INT(Bookings!D726),Bookings!D726&gt;=DATE(2000,1,1),Bookings!D726&lt;=DATE(2100,12,31)),Bookings!D726,0),IF(AND(K726&lt;&gt;"",LEN("x"&amp;L726)-LEN(SUBSTITUTE("x"&amp;L726,".",""))=2,OR(1&gt;LEN(L726),MID(L726,1,1)=".",ISNUMBER(FIND("x"&amp;MID(L726,1,1),"x0x1x2x3x4x5x6x7x8x9"))),OR(2&gt;LEN(L726),MID(L726,2,1)=".",ISNUMBER(FIND("x"&amp;MID(L726,2,1),"x0x1x2x3x4x5x6x7x8x9"))),OR(3&gt;LEN(L726),MID(L726,3,1)=".",ISNUMBER(FIND("x"&amp;MID(L726,3,1),"x0x1x2x3x4x5x6x7x8x9"))),OR(4&gt;LEN(L726),MID(L726,4,1)=".",ISNUMBER(FIND("x"&amp;MID(L726,4,1),"x0x1x2x3x4x5x6x7x8x9"))),OR(5&gt;LEN(L726),MID(L726,5,1)=".",ISNUMBER(FIND("x"&amp;MID(L726,5,1),"x0x1x2x3x4x5x6x7x8x9"))),OR(6&gt;LEN(L726),MID(L726,6,1)=".",ISNUMBER(FIND("x"&amp;MID(L726,6,1),"x0x1x2x3x4x5x6x7x8x9"))),OR(7&gt;LEN(L726),MID(L726,7,1)=".",ISNUMBER(FIND("x"&amp;MID(L726,7,1),"x0x1x2x3x4x5x6x7x8x9"))),OR(8&gt;LEN(L726),MID(L726,8,1)=".",ISNUMBER(FIND("x"&amp;MID(L726,8,1),"x0x1x2x3x4x5x6x7x8x9"))),OR(9&gt;LEN(L726),MID(L726,9,1)=".",ISNUMBER(FIND("x"&amp;MID(L726,9,1),"x0x1x2x3x4x5x6x7x8x9"))),OR(10&gt;LEN(L726),MID(L726,10,1)=".",ISNUMBER(FIND("x"&amp;MID(L726,10,1),"x0x1x2x3x4x5x6x7x8x9"))),OR(AND(FIND(".",L726)=5,LEN(L726)-FIND(".",L726,FIND(".",L726)+1)&gt;=1,LEN(L726)-FIND(".",L726,FIND(".",L726)+1)&lt;=2),AND(LEN(L726)-FIND(".",L726,FIND(".",L726)+1)=4,FIND(".",L726)&gt;=2,FIND(".",L726)&lt;=3)),FIND(".",L726,FIND(".",L726)+1)-FIND(".",L726)&gt;=2,FIND(".",L726,FIND(".",L726)+1)-FIND(".",L726)&lt;=3,P726&gt;=2000,P726&lt;=2100,YEAR(S726)=P726,MONTH(S726)=Q726,DAY(S726)=R726),S726,0)),0)</ns0:f>
        <ns0:v>0</ns0:v>
      </ns0:c>
      <ns0:c r="U726" s="0" t="str">
        <ns0:f>IF(Bookings!C726="","Full day",Bookings!C726)</ns0:f>
        <ns0:v>Full day</ns0:v>
      </ns0:c>
      <ns0:c r="V726" s="0" t="str">
        <ns0:f>IF(Bookings!E726="","Full day",Bookings!E726)</ns0:f>
        <ns0:v>Full day</ns0:v>
      </ns0:c>
      <ns0:c r="W726" s="0">
        <ns0:f>IF(J726=0,0,J726+IF(U726="PM",1,0))</ns0:f>
        <ns0:v>0</ns0:v>
      </ns0:c>
      <ns0:c r="X726" s="0">
        <ns0:f>IF(T726=0,0,T726-IF(V726="PM",1,0))</ns0:f>
        <ns0:v>0</ns0:v>
      </ns0:c>
      <ns0:c r="Y726" s="0">
        <ns0:f>IF(J726=0,0,J726+IF(U726="AM",1,0))</ns0:f>
        <ns0:v>0</ns0:v>
      </ns0:c>
      <ns0:c r="Z726" s="0">
        <ns0:f>IF(T726=0,0,T726-IF(V726="AM",1,0))</ns0:f>
        <ns0:v>0</ns0:v>
      </ns0:c>
      <ns0:c r="AA726" s="0">
        <ns0:f>IFERROR(IF(AND(J726&gt;0,'_Engine'!C726&gt;0,MID('_Engine'!W726,WEEKDAY(J726,2),1)="W",COUNTIF(Settings!$F$18:$F$67,J726)=0),1,0),0)</ns0:f>
        <ns0:v>0</ns0:v>
      </ns0:c>
      <ns0:c r="AB726" s="0">
        <ns0:f>IFERROR(IF(AND(T726&gt;0,'_Engine'!C726&gt;0,MID('_Engine'!W726,WEEKDAY(T726,2),1)="W",COUNTIF(Settings!$F$18:$F$67,T726)=0),1,0),0)</ns0:f>
        <ns0:v>0</ns0:v>
      </ns0:c>
      <ns0:c r="AC726" s="0">
        <ns0:f>IF(AND(J726&gt;0,T726&gt;0,W726&lt;=X726),1,0)</ns0:f>
        <ns0:v>0</ns0:v>
      </ns0:c>
      <ns0:c r="AD726" s="0">
        <ns0:f>IF(AND(J726&gt;0,T726&gt;0,Y726&lt;=Z726),1,0)</ns0:f>
        <ns0:v>0</ns0:v>
      </ns0:c>
    </ns0:row>
    <ns0:row r="727">
      <ns0:c r="A727" s="0">
        <ns0:f>IFERROR(IF(ISNUMBER(Bookings!B727),"",TRIM(Bookings!B727&amp;"")),"")</ns0:f>
      </ns0:c>
      <ns0:c r="B727" s="0">
        <ns0:f>IFERROR(SUBSTITUTE(SUBSTITUTE(A727,"/","."),"-","."),"")</ns0:f>
      </ns0:c>
      <ns0:c r="C727" s="0">
        <ns0:f>IFERROR(LEFT(B727,FIND(".",B727)-1),"")</ns0:f>
      </ns0:c>
      <ns0:c r="D727" s="0">
        <ns0:f>IFERROR(MID(B727,FIND(".",B727)+1,FIND(".",B727,FIND(".",B727)+1)-FIND(".",B727)-1),"")</ns0:f>
      </ns0:c>
      <ns0:c r="E727" s="0">
        <ns0:f>IFERROR(MID(B727,FIND(".",B727,FIND(".",B727)+1)+1,99),"")</ns0:f>
        <ns0:v>99</ns0:v>
      </ns0:c>
      <ns0:c r="F727" s="0">
        <ns0:f>IFERROR(IF(FIND(".",B727)=5,--C727,--E727),0)</ns0:f>
        <ns0:v>0</ns0:v>
      </ns0:c>
      <ns0:c r="G727" s="0">
        <ns0:f>IFERROR(--D727,0)</ns0:f>
        <ns0:v>0</ns0:v>
      </ns0:c>
      <ns0:c r="H727" s="0">
        <ns0:f>IFERROR(IF(FIND(".",B727)=5,--E727,--C727),0)</ns0:f>
        <ns0:v>0</ns0:v>
      </ns0:c>
      <ns0:c r="I727" s="0">
        <ns0:f>IFERROR(IF(AND(F727&gt;=2000,F727&lt;=2100,G727&gt;=1,G727&lt;=12,H727&gt;=1,H727&lt;=31),DATE(F727,G727,H727),0),0)</ns0:f>
        <ns0:v>0</ns0:v>
      </ns0:c>
      <ns0:c r="J727" s="0">
        <ns0:f>IFERROR(IF(ISNUMBER(Bookings!B727),IF(AND(Bookings!B727=INT(Bookings!B727),Bookings!B727&gt;=DATE(2000,1,1),Bookings!B727&lt;=DATE(2100,12,31)),Bookings!B727,0),IF(AND(A727&lt;&gt;"",LEN("x"&amp;B727)-LEN(SUBSTITUTE("x"&amp;B727,".",""))=2,OR(1&gt;LEN(B727),MID(B727,1,1)=".",ISNUMBER(FIND("x"&amp;MID(B727,1,1),"x0x1x2x3x4x5x6x7x8x9"))),OR(2&gt;LEN(B727),MID(B727,2,1)=".",ISNUMBER(FIND("x"&amp;MID(B727,2,1),"x0x1x2x3x4x5x6x7x8x9"))),OR(3&gt;LEN(B727),MID(B727,3,1)=".",ISNUMBER(FIND("x"&amp;MID(B727,3,1),"x0x1x2x3x4x5x6x7x8x9"))),OR(4&gt;LEN(B727),MID(B727,4,1)=".",ISNUMBER(FIND("x"&amp;MID(B727,4,1),"x0x1x2x3x4x5x6x7x8x9"))),OR(5&gt;LEN(B727),MID(B727,5,1)=".",ISNUMBER(FIND("x"&amp;MID(B727,5,1),"x0x1x2x3x4x5x6x7x8x9"))),OR(6&gt;LEN(B727),MID(B727,6,1)=".",ISNUMBER(FIND("x"&amp;MID(B727,6,1),"x0x1x2x3x4x5x6x7x8x9"))),OR(7&gt;LEN(B727),MID(B727,7,1)=".",ISNUMBER(FIND("x"&amp;MID(B727,7,1),"x0x1x2x3x4x5x6x7x8x9"))),OR(8&gt;LEN(B727),MID(B727,8,1)=".",ISNUMBER(FIND("x"&amp;MID(B727,8,1),"x0x1x2x3x4x5x6x7x8x9"))),OR(9&gt;LEN(B727),MID(B727,9,1)=".",ISNUMBER(FIND("x"&amp;MID(B727,9,1),"x0x1x2x3x4x5x6x7x8x9"))),OR(10&gt;LEN(B727),MID(B727,10,1)=".",ISNUMBER(FIND("x"&amp;MID(B727,10,1),"x0x1x2x3x4x5x6x7x8x9"))),OR(AND(FIND(".",B727)=5,LEN(B727)-FIND(".",B727,FIND(".",B727)+1)&gt;=1,LEN(B727)-FIND(".",B727,FIND(".",B727)+1)&lt;=2),AND(LEN(B727)-FIND(".",B727,FIND(".",B727)+1)=4,FIND(".",B727)&gt;=2,FIND(".",B727)&lt;=3)),FIND(".",B727,FIND(".",B727)+1)-FIND(".",B727)&gt;=2,FIND(".",B727,FIND(".",B727)+1)-FIND(".",B727)&lt;=3,F727&gt;=2000,F727&lt;=2100,YEAR(I727)=F727,MONTH(I727)=G727,DAY(I727)=H727),I727,0)),0)</ns0:f>
        <ns0:v>0</ns0:v>
      </ns0:c>
      <ns0:c r="K727" s="0">
        <ns0:f>IFERROR(IF(ISNUMBER(Bookings!D727),"",TRIM(Bookings!D727&amp;"")),"")</ns0:f>
      </ns0:c>
      <ns0:c r="L727" s="0">
        <ns0:f>IFERROR(SUBSTITUTE(SUBSTITUTE(K727,"/","."),"-","."),"")</ns0:f>
      </ns0:c>
      <ns0:c r="M727" s="0">
        <ns0:f>IFERROR(LEFT(L727,FIND(".",L727)-1),"")</ns0:f>
      </ns0:c>
      <ns0:c r="N727" s="0">
        <ns0:f>IFERROR(MID(L727,FIND(".",L727)+1,FIND(".",L727,FIND(".",L727)+1)-FIND(".",L727)-1),"")</ns0:f>
      </ns0:c>
      <ns0:c r="O727" s="0">
        <ns0:f>IFERROR(MID(L727,FIND(".",L727,FIND(".",L727)+1)+1,99),"")</ns0:f>
        <ns0:v>99</ns0:v>
      </ns0:c>
      <ns0:c r="P727" s="0">
        <ns0:f>IFERROR(IF(FIND(".",L727)=5,--M727,--O727),0)</ns0:f>
        <ns0:v>0</ns0:v>
      </ns0:c>
      <ns0:c r="Q727" s="0">
        <ns0:f>IFERROR(--N727,0)</ns0:f>
        <ns0:v>0</ns0:v>
      </ns0:c>
      <ns0:c r="R727" s="0">
        <ns0:f>IFERROR(IF(FIND(".",L727)=5,--O727,--M727),0)</ns0:f>
        <ns0:v>0</ns0:v>
      </ns0:c>
      <ns0:c r="S727" s="0">
        <ns0:f>IFERROR(IF(AND(P727&gt;=2000,P727&lt;=2100,Q727&gt;=1,Q727&lt;=12,R727&gt;=1,R727&lt;=31),DATE(P727,Q727,R727),0),0)</ns0:f>
        <ns0:v>0</ns0:v>
      </ns0:c>
      <ns0:c r="T727" s="0">
        <ns0:f>IFERROR(IF(ISNUMBER(Bookings!D727),IF(AND(Bookings!D727=INT(Bookings!D727),Bookings!D727&gt;=DATE(2000,1,1),Bookings!D727&lt;=DATE(2100,12,31)),Bookings!D727,0),IF(AND(K727&lt;&gt;"",LEN("x"&amp;L727)-LEN(SUBSTITUTE("x"&amp;L727,".",""))=2,OR(1&gt;LEN(L727),MID(L727,1,1)=".",ISNUMBER(FIND("x"&amp;MID(L727,1,1),"x0x1x2x3x4x5x6x7x8x9"))),OR(2&gt;LEN(L727),MID(L727,2,1)=".",ISNUMBER(FIND("x"&amp;MID(L727,2,1),"x0x1x2x3x4x5x6x7x8x9"))),OR(3&gt;LEN(L727),MID(L727,3,1)=".",ISNUMBER(FIND("x"&amp;MID(L727,3,1),"x0x1x2x3x4x5x6x7x8x9"))),OR(4&gt;LEN(L727),MID(L727,4,1)=".",ISNUMBER(FIND("x"&amp;MID(L727,4,1),"x0x1x2x3x4x5x6x7x8x9"))),OR(5&gt;LEN(L727),MID(L727,5,1)=".",ISNUMBER(FIND("x"&amp;MID(L727,5,1),"x0x1x2x3x4x5x6x7x8x9"))),OR(6&gt;LEN(L727),MID(L727,6,1)=".",ISNUMBER(FIND("x"&amp;MID(L727,6,1),"x0x1x2x3x4x5x6x7x8x9"))),OR(7&gt;LEN(L727),MID(L727,7,1)=".",ISNUMBER(FIND("x"&amp;MID(L727,7,1),"x0x1x2x3x4x5x6x7x8x9"))),OR(8&gt;LEN(L727),MID(L727,8,1)=".",ISNUMBER(FIND("x"&amp;MID(L727,8,1),"x0x1x2x3x4x5x6x7x8x9"))),OR(9&gt;LEN(L727),MID(L727,9,1)=".",ISNUMBER(FIND("x"&amp;MID(L727,9,1),"x0x1x2x3x4x5x6x7x8x9"))),OR(10&gt;LEN(L727),MID(L727,10,1)=".",ISNUMBER(FIND("x"&amp;MID(L727,10,1),"x0x1x2x3x4x5x6x7x8x9"))),OR(AND(FIND(".",L727)=5,LEN(L727)-FIND(".",L727,FIND(".",L727)+1)&gt;=1,LEN(L727)-FIND(".",L727,FIND(".",L727)+1)&lt;=2),AND(LEN(L727)-FIND(".",L727,FIND(".",L727)+1)=4,FIND(".",L727)&gt;=2,FIND(".",L727)&lt;=3)),FIND(".",L727,FIND(".",L727)+1)-FIND(".",L727)&gt;=2,FIND(".",L727,FIND(".",L727)+1)-FIND(".",L727)&lt;=3,P727&gt;=2000,P727&lt;=2100,YEAR(S727)=P727,MONTH(S727)=Q727,DAY(S727)=R727),S727,0)),0)</ns0:f>
        <ns0:v>0</ns0:v>
      </ns0:c>
      <ns0:c r="U727" s="0" t="str">
        <ns0:f>IF(Bookings!C727="","Full day",Bookings!C727)</ns0:f>
        <ns0:v>Full day</ns0:v>
      </ns0:c>
      <ns0:c r="V727" s="0" t="str">
        <ns0:f>IF(Bookings!E727="","Full day",Bookings!E727)</ns0:f>
        <ns0:v>Full day</ns0:v>
      </ns0:c>
      <ns0:c r="W727" s="0">
        <ns0:f>IF(J727=0,0,J727+IF(U727="PM",1,0))</ns0:f>
        <ns0:v>0</ns0:v>
      </ns0:c>
      <ns0:c r="X727" s="0">
        <ns0:f>IF(T727=0,0,T727-IF(V727="PM",1,0))</ns0:f>
        <ns0:v>0</ns0:v>
      </ns0:c>
      <ns0:c r="Y727" s="0">
        <ns0:f>IF(J727=0,0,J727+IF(U727="AM",1,0))</ns0:f>
        <ns0:v>0</ns0:v>
      </ns0:c>
      <ns0:c r="Z727" s="0">
        <ns0:f>IF(T727=0,0,T727-IF(V727="AM",1,0))</ns0:f>
        <ns0:v>0</ns0:v>
      </ns0:c>
      <ns0:c r="AA727" s="0">
        <ns0:f>IFERROR(IF(AND(J727&gt;0,'_Engine'!C727&gt;0,MID('_Engine'!W727,WEEKDAY(J727,2),1)="W",COUNTIF(Settings!$F$18:$F$67,J727)=0),1,0),0)</ns0:f>
        <ns0:v>0</ns0:v>
      </ns0:c>
      <ns0:c r="AB727" s="0">
        <ns0:f>IFERROR(IF(AND(T727&gt;0,'_Engine'!C727&gt;0,MID('_Engine'!W727,WEEKDAY(T727,2),1)="W",COUNTIF(Settings!$F$18:$F$67,T727)=0),1,0),0)</ns0:f>
        <ns0:v>0</ns0:v>
      </ns0:c>
      <ns0:c r="AC727" s="0">
        <ns0:f>IF(AND(J727&gt;0,T727&gt;0,W727&lt;=X727),1,0)</ns0:f>
        <ns0:v>0</ns0:v>
      </ns0:c>
      <ns0:c r="AD727" s="0">
        <ns0:f>IF(AND(J727&gt;0,T727&gt;0,Y727&lt;=Z727),1,0)</ns0:f>
        <ns0:v>0</ns0:v>
      </ns0:c>
    </ns0:row>
    <ns0:row r="728">
      <ns0:c r="A728" s="0">
        <ns0:f>IFERROR(IF(ISNUMBER(Bookings!B728),"",TRIM(Bookings!B728&amp;"")),"")</ns0:f>
      </ns0:c>
      <ns0:c r="B728" s="0">
        <ns0:f>IFERROR(SUBSTITUTE(SUBSTITUTE(A728,"/","."),"-","."),"")</ns0:f>
      </ns0:c>
      <ns0:c r="C728" s="0">
        <ns0:f>IFERROR(LEFT(B728,FIND(".",B728)-1),"")</ns0:f>
      </ns0:c>
      <ns0:c r="D728" s="0">
        <ns0:f>IFERROR(MID(B728,FIND(".",B728)+1,FIND(".",B728,FIND(".",B728)+1)-FIND(".",B728)-1),"")</ns0:f>
      </ns0:c>
      <ns0:c r="E728" s="0">
        <ns0:f>IFERROR(MID(B728,FIND(".",B728,FIND(".",B728)+1)+1,99),"")</ns0:f>
        <ns0:v>99</ns0:v>
      </ns0:c>
      <ns0:c r="F728" s="0">
        <ns0:f>IFERROR(IF(FIND(".",B728)=5,--C728,--E728),0)</ns0:f>
        <ns0:v>0</ns0:v>
      </ns0:c>
      <ns0:c r="G728" s="0">
        <ns0:f>IFERROR(--D728,0)</ns0:f>
        <ns0:v>0</ns0:v>
      </ns0:c>
      <ns0:c r="H728" s="0">
        <ns0:f>IFERROR(IF(FIND(".",B728)=5,--E728,--C728),0)</ns0:f>
        <ns0:v>0</ns0:v>
      </ns0:c>
      <ns0:c r="I728" s="0">
        <ns0:f>IFERROR(IF(AND(F728&gt;=2000,F728&lt;=2100,G728&gt;=1,G728&lt;=12,H728&gt;=1,H728&lt;=31),DATE(F728,G728,H728),0),0)</ns0:f>
        <ns0:v>0</ns0:v>
      </ns0:c>
      <ns0:c r="J728" s="0">
        <ns0:f>IFERROR(IF(ISNUMBER(Bookings!B728),IF(AND(Bookings!B728=INT(Bookings!B728),Bookings!B728&gt;=DATE(2000,1,1),Bookings!B728&lt;=DATE(2100,12,31)),Bookings!B728,0),IF(AND(A728&lt;&gt;"",LEN("x"&amp;B728)-LEN(SUBSTITUTE("x"&amp;B728,".",""))=2,OR(1&gt;LEN(B728),MID(B728,1,1)=".",ISNUMBER(FIND("x"&amp;MID(B728,1,1),"x0x1x2x3x4x5x6x7x8x9"))),OR(2&gt;LEN(B728),MID(B728,2,1)=".",ISNUMBER(FIND("x"&amp;MID(B728,2,1),"x0x1x2x3x4x5x6x7x8x9"))),OR(3&gt;LEN(B728),MID(B728,3,1)=".",ISNUMBER(FIND("x"&amp;MID(B728,3,1),"x0x1x2x3x4x5x6x7x8x9"))),OR(4&gt;LEN(B728),MID(B728,4,1)=".",ISNUMBER(FIND("x"&amp;MID(B728,4,1),"x0x1x2x3x4x5x6x7x8x9"))),OR(5&gt;LEN(B728),MID(B728,5,1)=".",ISNUMBER(FIND("x"&amp;MID(B728,5,1),"x0x1x2x3x4x5x6x7x8x9"))),OR(6&gt;LEN(B728),MID(B728,6,1)=".",ISNUMBER(FIND("x"&amp;MID(B728,6,1),"x0x1x2x3x4x5x6x7x8x9"))),OR(7&gt;LEN(B728),MID(B728,7,1)=".",ISNUMBER(FIND("x"&amp;MID(B728,7,1),"x0x1x2x3x4x5x6x7x8x9"))),OR(8&gt;LEN(B728),MID(B728,8,1)=".",ISNUMBER(FIND("x"&amp;MID(B728,8,1),"x0x1x2x3x4x5x6x7x8x9"))),OR(9&gt;LEN(B728),MID(B728,9,1)=".",ISNUMBER(FIND("x"&amp;MID(B728,9,1),"x0x1x2x3x4x5x6x7x8x9"))),OR(10&gt;LEN(B728),MID(B728,10,1)=".",ISNUMBER(FIND("x"&amp;MID(B728,10,1),"x0x1x2x3x4x5x6x7x8x9"))),OR(AND(FIND(".",B728)=5,LEN(B728)-FIND(".",B728,FIND(".",B728)+1)&gt;=1,LEN(B728)-FIND(".",B728,FIND(".",B728)+1)&lt;=2),AND(LEN(B728)-FIND(".",B728,FIND(".",B728)+1)=4,FIND(".",B728)&gt;=2,FIND(".",B728)&lt;=3)),FIND(".",B728,FIND(".",B728)+1)-FIND(".",B728)&gt;=2,FIND(".",B728,FIND(".",B728)+1)-FIND(".",B728)&lt;=3,F728&gt;=2000,F728&lt;=2100,YEAR(I728)=F728,MONTH(I728)=G728,DAY(I728)=H728),I728,0)),0)</ns0:f>
        <ns0:v>0</ns0:v>
      </ns0:c>
      <ns0:c r="K728" s="0">
        <ns0:f>IFERROR(IF(ISNUMBER(Bookings!D728),"",TRIM(Bookings!D728&amp;"")),"")</ns0:f>
      </ns0:c>
      <ns0:c r="L728" s="0">
        <ns0:f>IFERROR(SUBSTITUTE(SUBSTITUTE(K728,"/","."),"-","."),"")</ns0:f>
      </ns0:c>
      <ns0:c r="M728" s="0">
        <ns0:f>IFERROR(LEFT(L728,FIND(".",L728)-1),"")</ns0:f>
      </ns0:c>
      <ns0:c r="N728" s="0">
        <ns0:f>IFERROR(MID(L728,FIND(".",L728)+1,FIND(".",L728,FIND(".",L728)+1)-FIND(".",L728)-1),"")</ns0:f>
      </ns0:c>
      <ns0:c r="O728" s="0">
        <ns0:f>IFERROR(MID(L728,FIND(".",L728,FIND(".",L728)+1)+1,99),"")</ns0:f>
        <ns0:v>99</ns0:v>
      </ns0:c>
      <ns0:c r="P728" s="0">
        <ns0:f>IFERROR(IF(FIND(".",L728)=5,--M728,--O728),0)</ns0:f>
        <ns0:v>0</ns0:v>
      </ns0:c>
      <ns0:c r="Q728" s="0">
        <ns0:f>IFERROR(--N728,0)</ns0:f>
        <ns0:v>0</ns0:v>
      </ns0:c>
      <ns0:c r="R728" s="0">
        <ns0:f>IFERROR(IF(FIND(".",L728)=5,--O728,--M728),0)</ns0:f>
        <ns0:v>0</ns0:v>
      </ns0:c>
      <ns0:c r="S728" s="0">
        <ns0:f>IFERROR(IF(AND(P728&gt;=2000,P728&lt;=2100,Q728&gt;=1,Q728&lt;=12,R728&gt;=1,R728&lt;=31),DATE(P728,Q728,R728),0),0)</ns0:f>
        <ns0:v>0</ns0:v>
      </ns0:c>
      <ns0:c r="T728" s="0">
        <ns0:f>IFERROR(IF(ISNUMBER(Bookings!D728),IF(AND(Bookings!D728=INT(Bookings!D728),Bookings!D728&gt;=DATE(2000,1,1),Bookings!D728&lt;=DATE(2100,12,31)),Bookings!D728,0),IF(AND(K728&lt;&gt;"",LEN("x"&amp;L728)-LEN(SUBSTITUTE("x"&amp;L728,".",""))=2,OR(1&gt;LEN(L728),MID(L728,1,1)=".",ISNUMBER(FIND("x"&amp;MID(L728,1,1),"x0x1x2x3x4x5x6x7x8x9"))),OR(2&gt;LEN(L728),MID(L728,2,1)=".",ISNUMBER(FIND("x"&amp;MID(L728,2,1),"x0x1x2x3x4x5x6x7x8x9"))),OR(3&gt;LEN(L728),MID(L728,3,1)=".",ISNUMBER(FIND("x"&amp;MID(L728,3,1),"x0x1x2x3x4x5x6x7x8x9"))),OR(4&gt;LEN(L728),MID(L728,4,1)=".",ISNUMBER(FIND("x"&amp;MID(L728,4,1),"x0x1x2x3x4x5x6x7x8x9"))),OR(5&gt;LEN(L728),MID(L728,5,1)=".",ISNUMBER(FIND("x"&amp;MID(L728,5,1),"x0x1x2x3x4x5x6x7x8x9"))),OR(6&gt;LEN(L728),MID(L728,6,1)=".",ISNUMBER(FIND("x"&amp;MID(L728,6,1),"x0x1x2x3x4x5x6x7x8x9"))),OR(7&gt;LEN(L728),MID(L728,7,1)=".",ISNUMBER(FIND("x"&amp;MID(L728,7,1),"x0x1x2x3x4x5x6x7x8x9"))),OR(8&gt;LEN(L728),MID(L728,8,1)=".",ISNUMBER(FIND("x"&amp;MID(L728,8,1),"x0x1x2x3x4x5x6x7x8x9"))),OR(9&gt;LEN(L728),MID(L728,9,1)=".",ISNUMBER(FIND("x"&amp;MID(L728,9,1),"x0x1x2x3x4x5x6x7x8x9"))),OR(10&gt;LEN(L728),MID(L728,10,1)=".",ISNUMBER(FIND("x"&amp;MID(L728,10,1),"x0x1x2x3x4x5x6x7x8x9"))),OR(AND(FIND(".",L728)=5,LEN(L728)-FIND(".",L728,FIND(".",L728)+1)&gt;=1,LEN(L728)-FIND(".",L728,FIND(".",L728)+1)&lt;=2),AND(LEN(L728)-FIND(".",L728,FIND(".",L728)+1)=4,FIND(".",L728)&gt;=2,FIND(".",L728)&lt;=3)),FIND(".",L728,FIND(".",L728)+1)-FIND(".",L728)&gt;=2,FIND(".",L728,FIND(".",L728)+1)-FIND(".",L728)&lt;=3,P728&gt;=2000,P728&lt;=2100,YEAR(S728)=P728,MONTH(S728)=Q728,DAY(S728)=R728),S728,0)),0)</ns0:f>
        <ns0:v>0</ns0:v>
      </ns0:c>
      <ns0:c r="U728" s="0" t="str">
        <ns0:f>IF(Bookings!C728="","Full day",Bookings!C728)</ns0:f>
        <ns0:v>Full day</ns0:v>
      </ns0:c>
      <ns0:c r="V728" s="0" t="str">
        <ns0:f>IF(Bookings!E728="","Full day",Bookings!E728)</ns0:f>
        <ns0:v>Full day</ns0:v>
      </ns0:c>
      <ns0:c r="W728" s="0">
        <ns0:f>IF(J728=0,0,J728+IF(U728="PM",1,0))</ns0:f>
        <ns0:v>0</ns0:v>
      </ns0:c>
      <ns0:c r="X728" s="0">
        <ns0:f>IF(T728=0,0,T728-IF(V728="PM",1,0))</ns0:f>
        <ns0:v>0</ns0:v>
      </ns0:c>
      <ns0:c r="Y728" s="0">
        <ns0:f>IF(J728=0,0,J728+IF(U728="AM",1,0))</ns0:f>
        <ns0:v>0</ns0:v>
      </ns0:c>
      <ns0:c r="Z728" s="0">
        <ns0:f>IF(T728=0,0,T728-IF(V728="AM",1,0))</ns0:f>
        <ns0:v>0</ns0:v>
      </ns0:c>
      <ns0:c r="AA728" s="0">
        <ns0:f>IFERROR(IF(AND(J728&gt;0,'_Engine'!C728&gt;0,MID('_Engine'!W728,WEEKDAY(J728,2),1)="W",COUNTIF(Settings!$F$18:$F$67,J728)=0),1,0),0)</ns0:f>
        <ns0:v>0</ns0:v>
      </ns0:c>
      <ns0:c r="AB728" s="0">
        <ns0:f>IFERROR(IF(AND(T728&gt;0,'_Engine'!C728&gt;0,MID('_Engine'!W728,WEEKDAY(T728,2),1)="W",COUNTIF(Settings!$F$18:$F$67,T728)=0),1,0),0)</ns0:f>
        <ns0:v>0</ns0:v>
      </ns0:c>
      <ns0:c r="AC728" s="0">
        <ns0:f>IF(AND(J728&gt;0,T728&gt;0,W728&lt;=X728),1,0)</ns0:f>
        <ns0:v>0</ns0:v>
      </ns0:c>
      <ns0:c r="AD728" s="0">
        <ns0:f>IF(AND(J728&gt;0,T728&gt;0,Y728&lt;=Z728),1,0)</ns0:f>
        <ns0:v>0</ns0:v>
      </ns0:c>
    </ns0:row>
    <ns0:row r="729">
      <ns0:c r="A729" s="0">
        <ns0:f>IFERROR(IF(ISNUMBER(Bookings!B729),"",TRIM(Bookings!B729&amp;"")),"")</ns0:f>
      </ns0:c>
      <ns0:c r="B729" s="0">
        <ns0:f>IFERROR(SUBSTITUTE(SUBSTITUTE(A729,"/","."),"-","."),"")</ns0:f>
      </ns0:c>
      <ns0:c r="C729" s="0">
        <ns0:f>IFERROR(LEFT(B729,FIND(".",B729)-1),"")</ns0:f>
      </ns0:c>
      <ns0:c r="D729" s="0">
        <ns0:f>IFERROR(MID(B729,FIND(".",B729)+1,FIND(".",B729,FIND(".",B729)+1)-FIND(".",B729)-1),"")</ns0:f>
      </ns0:c>
      <ns0:c r="E729" s="0">
        <ns0:f>IFERROR(MID(B729,FIND(".",B729,FIND(".",B729)+1)+1,99),"")</ns0:f>
        <ns0:v>99</ns0:v>
      </ns0:c>
      <ns0:c r="F729" s="0">
        <ns0:f>IFERROR(IF(FIND(".",B729)=5,--C729,--E729),0)</ns0:f>
        <ns0:v>0</ns0:v>
      </ns0:c>
      <ns0:c r="G729" s="0">
        <ns0:f>IFERROR(--D729,0)</ns0:f>
        <ns0:v>0</ns0:v>
      </ns0:c>
      <ns0:c r="H729" s="0">
        <ns0:f>IFERROR(IF(FIND(".",B729)=5,--E729,--C729),0)</ns0:f>
        <ns0:v>0</ns0:v>
      </ns0:c>
      <ns0:c r="I729" s="0">
        <ns0:f>IFERROR(IF(AND(F729&gt;=2000,F729&lt;=2100,G729&gt;=1,G729&lt;=12,H729&gt;=1,H729&lt;=31),DATE(F729,G729,H729),0),0)</ns0:f>
        <ns0:v>0</ns0:v>
      </ns0:c>
      <ns0:c r="J729" s="0">
        <ns0:f>IFERROR(IF(ISNUMBER(Bookings!B729),IF(AND(Bookings!B729=INT(Bookings!B729),Bookings!B729&gt;=DATE(2000,1,1),Bookings!B729&lt;=DATE(2100,12,31)),Bookings!B729,0),IF(AND(A729&lt;&gt;"",LEN("x"&amp;B729)-LEN(SUBSTITUTE("x"&amp;B729,".",""))=2,OR(1&gt;LEN(B729),MID(B729,1,1)=".",ISNUMBER(FIND("x"&amp;MID(B729,1,1),"x0x1x2x3x4x5x6x7x8x9"))),OR(2&gt;LEN(B729),MID(B729,2,1)=".",ISNUMBER(FIND("x"&amp;MID(B729,2,1),"x0x1x2x3x4x5x6x7x8x9"))),OR(3&gt;LEN(B729),MID(B729,3,1)=".",ISNUMBER(FIND("x"&amp;MID(B729,3,1),"x0x1x2x3x4x5x6x7x8x9"))),OR(4&gt;LEN(B729),MID(B729,4,1)=".",ISNUMBER(FIND("x"&amp;MID(B729,4,1),"x0x1x2x3x4x5x6x7x8x9"))),OR(5&gt;LEN(B729),MID(B729,5,1)=".",ISNUMBER(FIND("x"&amp;MID(B729,5,1),"x0x1x2x3x4x5x6x7x8x9"))),OR(6&gt;LEN(B729),MID(B729,6,1)=".",ISNUMBER(FIND("x"&amp;MID(B729,6,1),"x0x1x2x3x4x5x6x7x8x9"))),OR(7&gt;LEN(B729),MID(B729,7,1)=".",ISNUMBER(FIND("x"&amp;MID(B729,7,1),"x0x1x2x3x4x5x6x7x8x9"))),OR(8&gt;LEN(B729),MID(B729,8,1)=".",ISNUMBER(FIND("x"&amp;MID(B729,8,1),"x0x1x2x3x4x5x6x7x8x9"))),OR(9&gt;LEN(B729),MID(B729,9,1)=".",ISNUMBER(FIND("x"&amp;MID(B729,9,1),"x0x1x2x3x4x5x6x7x8x9"))),OR(10&gt;LEN(B729),MID(B729,10,1)=".",ISNUMBER(FIND("x"&amp;MID(B729,10,1),"x0x1x2x3x4x5x6x7x8x9"))),OR(AND(FIND(".",B729)=5,LEN(B729)-FIND(".",B729,FIND(".",B729)+1)&gt;=1,LEN(B729)-FIND(".",B729,FIND(".",B729)+1)&lt;=2),AND(LEN(B729)-FIND(".",B729,FIND(".",B729)+1)=4,FIND(".",B729)&gt;=2,FIND(".",B729)&lt;=3)),FIND(".",B729,FIND(".",B729)+1)-FIND(".",B729)&gt;=2,FIND(".",B729,FIND(".",B729)+1)-FIND(".",B729)&lt;=3,F729&gt;=2000,F729&lt;=2100,YEAR(I729)=F729,MONTH(I729)=G729,DAY(I729)=H729),I729,0)),0)</ns0:f>
        <ns0:v>0</ns0:v>
      </ns0:c>
      <ns0:c r="K729" s="0">
        <ns0:f>IFERROR(IF(ISNUMBER(Bookings!D729),"",TRIM(Bookings!D729&amp;"")),"")</ns0:f>
      </ns0:c>
      <ns0:c r="L729" s="0">
        <ns0:f>IFERROR(SUBSTITUTE(SUBSTITUTE(K729,"/","."),"-","."),"")</ns0:f>
      </ns0:c>
      <ns0:c r="M729" s="0">
        <ns0:f>IFERROR(LEFT(L729,FIND(".",L729)-1),"")</ns0:f>
      </ns0:c>
      <ns0:c r="N729" s="0">
        <ns0:f>IFERROR(MID(L729,FIND(".",L729)+1,FIND(".",L729,FIND(".",L729)+1)-FIND(".",L729)-1),"")</ns0:f>
      </ns0:c>
      <ns0:c r="O729" s="0">
        <ns0:f>IFERROR(MID(L729,FIND(".",L729,FIND(".",L729)+1)+1,99),"")</ns0:f>
        <ns0:v>99</ns0:v>
      </ns0:c>
      <ns0:c r="P729" s="0">
        <ns0:f>IFERROR(IF(FIND(".",L729)=5,--M729,--O729),0)</ns0:f>
        <ns0:v>0</ns0:v>
      </ns0:c>
      <ns0:c r="Q729" s="0">
        <ns0:f>IFERROR(--N729,0)</ns0:f>
        <ns0:v>0</ns0:v>
      </ns0:c>
      <ns0:c r="R729" s="0">
        <ns0:f>IFERROR(IF(FIND(".",L729)=5,--O729,--M729),0)</ns0:f>
        <ns0:v>0</ns0:v>
      </ns0:c>
      <ns0:c r="S729" s="0">
        <ns0:f>IFERROR(IF(AND(P729&gt;=2000,P729&lt;=2100,Q729&gt;=1,Q729&lt;=12,R729&gt;=1,R729&lt;=31),DATE(P729,Q729,R729),0),0)</ns0:f>
        <ns0:v>0</ns0:v>
      </ns0:c>
      <ns0:c r="T729" s="0">
        <ns0:f>IFERROR(IF(ISNUMBER(Bookings!D729),IF(AND(Bookings!D729=INT(Bookings!D729),Bookings!D729&gt;=DATE(2000,1,1),Bookings!D729&lt;=DATE(2100,12,31)),Bookings!D729,0),IF(AND(K729&lt;&gt;"",LEN("x"&amp;L729)-LEN(SUBSTITUTE("x"&amp;L729,".",""))=2,OR(1&gt;LEN(L729),MID(L729,1,1)=".",ISNUMBER(FIND("x"&amp;MID(L729,1,1),"x0x1x2x3x4x5x6x7x8x9"))),OR(2&gt;LEN(L729),MID(L729,2,1)=".",ISNUMBER(FIND("x"&amp;MID(L729,2,1),"x0x1x2x3x4x5x6x7x8x9"))),OR(3&gt;LEN(L729),MID(L729,3,1)=".",ISNUMBER(FIND("x"&amp;MID(L729,3,1),"x0x1x2x3x4x5x6x7x8x9"))),OR(4&gt;LEN(L729),MID(L729,4,1)=".",ISNUMBER(FIND("x"&amp;MID(L729,4,1),"x0x1x2x3x4x5x6x7x8x9"))),OR(5&gt;LEN(L729),MID(L729,5,1)=".",ISNUMBER(FIND("x"&amp;MID(L729,5,1),"x0x1x2x3x4x5x6x7x8x9"))),OR(6&gt;LEN(L729),MID(L729,6,1)=".",ISNUMBER(FIND("x"&amp;MID(L729,6,1),"x0x1x2x3x4x5x6x7x8x9"))),OR(7&gt;LEN(L729),MID(L729,7,1)=".",ISNUMBER(FIND("x"&amp;MID(L729,7,1),"x0x1x2x3x4x5x6x7x8x9"))),OR(8&gt;LEN(L729),MID(L729,8,1)=".",ISNUMBER(FIND("x"&amp;MID(L729,8,1),"x0x1x2x3x4x5x6x7x8x9"))),OR(9&gt;LEN(L729),MID(L729,9,1)=".",ISNUMBER(FIND("x"&amp;MID(L729,9,1),"x0x1x2x3x4x5x6x7x8x9"))),OR(10&gt;LEN(L729),MID(L729,10,1)=".",ISNUMBER(FIND("x"&amp;MID(L729,10,1),"x0x1x2x3x4x5x6x7x8x9"))),OR(AND(FIND(".",L729)=5,LEN(L729)-FIND(".",L729,FIND(".",L729)+1)&gt;=1,LEN(L729)-FIND(".",L729,FIND(".",L729)+1)&lt;=2),AND(LEN(L729)-FIND(".",L729,FIND(".",L729)+1)=4,FIND(".",L729)&gt;=2,FIND(".",L729)&lt;=3)),FIND(".",L729,FIND(".",L729)+1)-FIND(".",L729)&gt;=2,FIND(".",L729,FIND(".",L729)+1)-FIND(".",L729)&lt;=3,P729&gt;=2000,P729&lt;=2100,YEAR(S729)=P729,MONTH(S729)=Q729,DAY(S729)=R729),S729,0)),0)</ns0:f>
        <ns0:v>0</ns0:v>
      </ns0:c>
      <ns0:c r="U729" s="0" t="str">
        <ns0:f>IF(Bookings!C729="","Full day",Bookings!C729)</ns0:f>
        <ns0:v>Full day</ns0:v>
      </ns0:c>
      <ns0:c r="V729" s="0" t="str">
        <ns0:f>IF(Bookings!E729="","Full day",Bookings!E729)</ns0:f>
        <ns0:v>Full day</ns0:v>
      </ns0:c>
      <ns0:c r="W729" s="0">
        <ns0:f>IF(J729=0,0,J729+IF(U729="PM",1,0))</ns0:f>
        <ns0:v>0</ns0:v>
      </ns0:c>
      <ns0:c r="X729" s="0">
        <ns0:f>IF(T729=0,0,T729-IF(V729="PM",1,0))</ns0:f>
        <ns0:v>0</ns0:v>
      </ns0:c>
      <ns0:c r="Y729" s="0">
        <ns0:f>IF(J729=0,0,J729+IF(U729="AM",1,0))</ns0:f>
        <ns0:v>0</ns0:v>
      </ns0:c>
      <ns0:c r="Z729" s="0">
        <ns0:f>IF(T729=0,0,T729-IF(V729="AM",1,0))</ns0:f>
        <ns0:v>0</ns0:v>
      </ns0:c>
      <ns0:c r="AA729" s="0">
        <ns0:f>IFERROR(IF(AND(J729&gt;0,'_Engine'!C729&gt;0,MID('_Engine'!W729,WEEKDAY(J729,2),1)="W",COUNTIF(Settings!$F$18:$F$67,J729)=0),1,0),0)</ns0:f>
        <ns0:v>0</ns0:v>
      </ns0:c>
      <ns0:c r="AB729" s="0">
        <ns0:f>IFERROR(IF(AND(T729&gt;0,'_Engine'!C729&gt;0,MID('_Engine'!W729,WEEKDAY(T729,2),1)="W",COUNTIF(Settings!$F$18:$F$67,T729)=0),1,0),0)</ns0:f>
        <ns0:v>0</ns0:v>
      </ns0:c>
      <ns0:c r="AC729" s="0">
        <ns0:f>IF(AND(J729&gt;0,T729&gt;0,W729&lt;=X729),1,0)</ns0:f>
        <ns0:v>0</ns0:v>
      </ns0:c>
      <ns0:c r="AD729" s="0">
        <ns0:f>IF(AND(J729&gt;0,T729&gt;0,Y729&lt;=Z729),1,0)</ns0:f>
        <ns0:v>0</ns0:v>
      </ns0:c>
    </ns0:row>
    <ns0:row r="730">
      <ns0:c r="A730" s="0">
        <ns0:f>IFERROR(IF(ISNUMBER(Bookings!B730),"",TRIM(Bookings!B730&amp;"")),"")</ns0:f>
      </ns0:c>
      <ns0:c r="B730" s="0">
        <ns0:f>IFERROR(SUBSTITUTE(SUBSTITUTE(A730,"/","."),"-","."),"")</ns0:f>
      </ns0:c>
      <ns0:c r="C730" s="0">
        <ns0:f>IFERROR(LEFT(B730,FIND(".",B730)-1),"")</ns0:f>
      </ns0:c>
      <ns0:c r="D730" s="0">
        <ns0:f>IFERROR(MID(B730,FIND(".",B730)+1,FIND(".",B730,FIND(".",B730)+1)-FIND(".",B730)-1),"")</ns0:f>
      </ns0:c>
      <ns0:c r="E730" s="0">
        <ns0:f>IFERROR(MID(B730,FIND(".",B730,FIND(".",B730)+1)+1,99),"")</ns0:f>
        <ns0:v>99</ns0:v>
      </ns0:c>
      <ns0:c r="F730" s="0">
        <ns0:f>IFERROR(IF(FIND(".",B730)=5,--C730,--E730),0)</ns0:f>
        <ns0:v>0</ns0:v>
      </ns0:c>
      <ns0:c r="G730" s="0">
        <ns0:f>IFERROR(--D730,0)</ns0:f>
        <ns0:v>0</ns0:v>
      </ns0:c>
      <ns0:c r="H730" s="0">
        <ns0:f>IFERROR(IF(FIND(".",B730)=5,--E730,--C730),0)</ns0:f>
        <ns0:v>0</ns0:v>
      </ns0:c>
      <ns0:c r="I730" s="0">
        <ns0:f>IFERROR(IF(AND(F730&gt;=2000,F730&lt;=2100,G730&gt;=1,G730&lt;=12,H730&gt;=1,H730&lt;=31),DATE(F730,G730,H730),0),0)</ns0:f>
        <ns0:v>0</ns0:v>
      </ns0:c>
      <ns0:c r="J730" s="0">
        <ns0:f>IFERROR(IF(ISNUMBER(Bookings!B730),IF(AND(Bookings!B730=INT(Bookings!B730),Bookings!B730&gt;=DATE(2000,1,1),Bookings!B730&lt;=DATE(2100,12,31)),Bookings!B730,0),IF(AND(A730&lt;&gt;"",LEN("x"&amp;B730)-LEN(SUBSTITUTE("x"&amp;B730,".",""))=2,OR(1&gt;LEN(B730),MID(B730,1,1)=".",ISNUMBER(FIND("x"&amp;MID(B730,1,1),"x0x1x2x3x4x5x6x7x8x9"))),OR(2&gt;LEN(B730),MID(B730,2,1)=".",ISNUMBER(FIND("x"&amp;MID(B730,2,1),"x0x1x2x3x4x5x6x7x8x9"))),OR(3&gt;LEN(B730),MID(B730,3,1)=".",ISNUMBER(FIND("x"&amp;MID(B730,3,1),"x0x1x2x3x4x5x6x7x8x9"))),OR(4&gt;LEN(B730),MID(B730,4,1)=".",ISNUMBER(FIND("x"&amp;MID(B730,4,1),"x0x1x2x3x4x5x6x7x8x9"))),OR(5&gt;LEN(B730),MID(B730,5,1)=".",ISNUMBER(FIND("x"&amp;MID(B730,5,1),"x0x1x2x3x4x5x6x7x8x9"))),OR(6&gt;LEN(B730),MID(B730,6,1)=".",ISNUMBER(FIND("x"&amp;MID(B730,6,1),"x0x1x2x3x4x5x6x7x8x9"))),OR(7&gt;LEN(B730),MID(B730,7,1)=".",ISNUMBER(FIND("x"&amp;MID(B730,7,1),"x0x1x2x3x4x5x6x7x8x9"))),OR(8&gt;LEN(B730),MID(B730,8,1)=".",ISNUMBER(FIND("x"&amp;MID(B730,8,1),"x0x1x2x3x4x5x6x7x8x9"))),OR(9&gt;LEN(B730),MID(B730,9,1)=".",ISNUMBER(FIND("x"&amp;MID(B730,9,1),"x0x1x2x3x4x5x6x7x8x9"))),OR(10&gt;LEN(B730),MID(B730,10,1)=".",ISNUMBER(FIND("x"&amp;MID(B730,10,1),"x0x1x2x3x4x5x6x7x8x9"))),OR(AND(FIND(".",B730)=5,LEN(B730)-FIND(".",B730,FIND(".",B730)+1)&gt;=1,LEN(B730)-FIND(".",B730,FIND(".",B730)+1)&lt;=2),AND(LEN(B730)-FIND(".",B730,FIND(".",B730)+1)=4,FIND(".",B730)&gt;=2,FIND(".",B730)&lt;=3)),FIND(".",B730,FIND(".",B730)+1)-FIND(".",B730)&gt;=2,FIND(".",B730,FIND(".",B730)+1)-FIND(".",B730)&lt;=3,F730&gt;=2000,F730&lt;=2100,YEAR(I730)=F730,MONTH(I730)=G730,DAY(I730)=H730),I730,0)),0)</ns0:f>
        <ns0:v>0</ns0:v>
      </ns0:c>
      <ns0:c r="K730" s="0">
        <ns0:f>IFERROR(IF(ISNUMBER(Bookings!D730),"",TRIM(Bookings!D730&amp;"")),"")</ns0:f>
      </ns0:c>
      <ns0:c r="L730" s="0">
        <ns0:f>IFERROR(SUBSTITUTE(SUBSTITUTE(K730,"/","."),"-","."),"")</ns0:f>
      </ns0:c>
      <ns0:c r="M730" s="0">
        <ns0:f>IFERROR(LEFT(L730,FIND(".",L730)-1),"")</ns0:f>
      </ns0:c>
      <ns0:c r="N730" s="0">
        <ns0:f>IFERROR(MID(L730,FIND(".",L730)+1,FIND(".",L730,FIND(".",L730)+1)-FIND(".",L730)-1),"")</ns0:f>
      </ns0:c>
      <ns0:c r="O730" s="0">
        <ns0:f>IFERROR(MID(L730,FIND(".",L730,FIND(".",L730)+1)+1,99),"")</ns0:f>
        <ns0:v>99</ns0:v>
      </ns0:c>
      <ns0:c r="P730" s="0">
        <ns0:f>IFERROR(IF(FIND(".",L730)=5,--M730,--O730),0)</ns0:f>
        <ns0:v>0</ns0:v>
      </ns0:c>
      <ns0:c r="Q730" s="0">
        <ns0:f>IFERROR(--N730,0)</ns0:f>
        <ns0:v>0</ns0:v>
      </ns0:c>
      <ns0:c r="R730" s="0">
        <ns0:f>IFERROR(IF(FIND(".",L730)=5,--O730,--M730),0)</ns0:f>
        <ns0:v>0</ns0:v>
      </ns0:c>
      <ns0:c r="S730" s="0">
        <ns0:f>IFERROR(IF(AND(P730&gt;=2000,P730&lt;=2100,Q730&gt;=1,Q730&lt;=12,R730&gt;=1,R730&lt;=31),DATE(P730,Q730,R730),0),0)</ns0:f>
        <ns0:v>0</ns0:v>
      </ns0:c>
      <ns0:c r="T730" s="0">
        <ns0:f>IFERROR(IF(ISNUMBER(Bookings!D730),IF(AND(Bookings!D730=INT(Bookings!D730),Bookings!D730&gt;=DATE(2000,1,1),Bookings!D730&lt;=DATE(2100,12,31)),Bookings!D730,0),IF(AND(K730&lt;&gt;"",LEN("x"&amp;L730)-LEN(SUBSTITUTE("x"&amp;L730,".",""))=2,OR(1&gt;LEN(L730),MID(L730,1,1)=".",ISNUMBER(FIND("x"&amp;MID(L730,1,1),"x0x1x2x3x4x5x6x7x8x9"))),OR(2&gt;LEN(L730),MID(L730,2,1)=".",ISNUMBER(FIND("x"&amp;MID(L730,2,1),"x0x1x2x3x4x5x6x7x8x9"))),OR(3&gt;LEN(L730),MID(L730,3,1)=".",ISNUMBER(FIND("x"&amp;MID(L730,3,1),"x0x1x2x3x4x5x6x7x8x9"))),OR(4&gt;LEN(L730),MID(L730,4,1)=".",ISNUMBER(FIND("x"&amp;MID(L730,4,1),"x0x1x2x3x4x5x6x7x8x9"))),OR(5&gt;LEN(L730),MID(L730,5,1)=".",ISNUMBER(FIND("x"&amp;MID(L730,5,1),"x0x1x2x3x4x5x6x7x8x9"))),OR(6&gt;LEN(L730),MID(L730,6,1)=".",ISNUMBER(FIND("x"&amp;MID(L730,6,1),"x0x1x2x3x4x5x6x7x8x9"))),OR(7&gt;LEN(L730),MID(L730,7,1)=".",ISNUMBER(FIND("x"&amp;MID(L730,7,1),"x0x1x2x3x4x5x6x7x8x9"))),OR(8&gt;LEN(L730),MID(L730,8,1)=".",ISNUMBER(FIND("x"&amp;MID(L730,8,1),"x0x1x2x3x4x5x6x7x8x9"))),OR(9&gt;LEN(L730),MID(L730,9,1)=".",ISNUMBER(FIND("x"&amp;MID(L730,9,1),"x0x1x2x3x4x5x6x7x8x9"))),OR(10&gt;LEN(L730),MID(L730,10,1)=".",ISNUMBER(FIND("x"&amp;MID(L730,10,1),"x0x1x2x3x4x5x6x7x8x9"))),OR(AND(FIND(".",L730)=5,LEN(L730)-FIND(".",L730,FIND(".",L730)+1)&gt;=1,LEN(L730)-FIND(".",L730,FIND(".",L730)+1)&lt;=2),AND(LEN(L730)-FIND(".",L730,FIND(".",L730)+1)=4,FIND(".",L730)&gt;=2,FIND(".",L730)&lt;=3)),FIND(".",L730,FIND(".",L730)+1)-FIND(".",L730)&gt;=2,FIND(".",L730,FIND(".",L730)+1)-FIND(".",L730)&lt;=3,P730&gt;=2000,P730&lt;=2100,YEAR(S730)=P730,MONTH(S730)=Q730,DAY(S730)=R730),S730,0)),0)</ns0:f>
        <ns0:v>0</ns0:v>
      </ns0:c>
      <ns0:c r="U730" s="0" t="str">
        <ns0:f>IF(Bookings!C730="","Full day",Bookings!C730)</ns0:f>
        <ns0:v>Full day</ns0:v>
      </ns0:c>
      <ns0:c r="V730" s="0" t="str">
        <ns0:f>IF(Bookings!E730="","Full day",Bookings!E730)</ns0:f>
        <ns0:v>Full day</ns0:v>
      </ns0:c>
      <ns0:c r="W730" s="0">
        <ns0:f>IF(J730=0,0,J730+IF(U730="PM",1,0))</ns0:f>
        <ns0:v>0</ns0:v>
      </ns0:c>
      <ns0:c r="X730" s="0">
        <ns0:f>IF(T730=0,0,T730-IF(V730="PM",1,0))</ns0:f>
        <ns0:v>0</ns0:v>
      </ns0:c>
      <ns0:c r="Y730" s="0">
        <ns0:f>IF(J730=0,0,J730+IF(U730="AM",1,0))</ns0:f>
        <ns0:v>0</ns0:v>
      </ns0:c>
      <ns0:c r="Z730" s="0">
        <ns0:f>IF(T730=0,0,T730-IF(V730="AM",1,0))</ns0:f>
        <ns0:v>0</ns0:v>
      </ns0:c>
      <ns0:c r="AA730" s="0">
        <ns0:f>IFERROR(IF(AND(J730&gt;0,'_Engine'!C730&gt;0,MID('_Engine'!W730,WEEKDAY(J730,2),1)="W",COUNTIF(Settings!$F$18:$F$67,J730)=0),1,0),0)</ns0:f>
        <ns0:v>0</ns0:v>
      </ns0:c>
      <ns0:c r="AB730" s="0">
        <ns0:f>IFERROR(IF(AND(T730&gt;0,'_Engine'!C730&gt;0,MID('_Engine'!W730,WEEKDAY(T730,2),1)="W",COUNTIF(Settings!$F$18:$F$67,T730)=0),1,0),0)</ns0:f>
        <ns0:v>0</ns0:v>
      </ns0:c>
      <ns0:c r="AC730" s="0">
        <ns0:f>IF(AND(J730&gt;0,T730&gt;0,W730&lt;=X730),1,0)</ns0:f>
        <ns0:v>0</ns0:v>
      </ns0:c>
      <ns0:c r="AD730" s="0">
        <ns0:f>IF(AND(J730&gt;0,T730&gt;0,Y730&lt;=Z730),1,0)</ns0:f>
        <ns0:v>0</ns0:v>
      </ns0:c>
    </ns0:row>
    <ns0:row r="731">
      <ns0:c r="A731" s="0">
        <ns0:f>IFERROR(IF(ISNUMBER(Bookings!B731),"",TRIM(Bookings!B731&amp;"")),"")</ns0:f>
      </ns0:c>
      <ns0:c r="B731" s="0">
        <ns0:f>IFERROR(SUBSTITUTE(SUBSTITUTE(A731,"/","."),"-","."),"")</ns0:f>
      </ns0:c>
      <ns0:c r="C731" s="0">
        <ns0:f>IFERROR(LEFT(B731,FIND(".",B731)-1),"")</ns0:f>
      </ns0:c>
      <ns0:c r="D731" s="0">
        <ns0:f>IFERROR(MID(B731,FIND(".",B731)+1,FIND(".",B731,FIND(".",B731)+1)-FIND(".",B731)-1),"")</ns0:f>
      </ns0:c>
      <ns0:c r="E731" s="0">
        <ns0:f>IFERROR(MID(B731,FIND(".",B731,FIND(".",B731)+1)+1,99),"")</ns0:f>
        <ns0:v>99</ns0:v>
      </ns0:c>
      <ns0:c r="F731" s="0">
        <ns0:f>IFERROR(IF(FIND(".",B731)=5,--C731,--E731),0)</ns0:f>
        <ns0:v>0</ns0:v>
      </ns0:c>
      <ns0:c r="G731" s="0">
        <ns0:f>IFERROR(--D731,0)</ns0:f>
        <ns0:v>0</ns0:v>
      </ns0:c>
      <ns0:c r="H731" s="0">
        <ns0:f>IFERROR(IF(FIND(".",B731)=5,--E731,--C731),0)</ns0:f>
        <ns0:v>0</ns0:v>
      </ns0:c>
      <ns0:c r="I731" s="0">
        <ns0:f>IFERROR(IF(AND(F731&gt;=2000,F731&lt;=2100,G731&gt;=1,G731&lt;=12,H731&gt;=1,H731&lt;=31),DATE(F731,G731,H731),0),0)</ns0:f>
        <ns0:v>0</ns0:v>
      </ns0:c>
      <ns0:c r="J731" s="0">
        <ns0:f>IFERROR(IF(ISNUMBER(Bookings!B731),IF(AND(Bookings!B731=INT(Bookings!B731),Bookings!B731&gt;=DATE(2000,1,1),Bookings!B731&lt;=DATE(2100,12,31)),Bookings!B731,0),IF(AND(A731&lt;&gt;"",LEN("x"&amp;B731)-LEN(SUBSTITUTE("x"&amp;B731,".",""))=2,OR(1&gt;LEN(B731),MID(B731,1,1)=".",ISNUMBER(FIND("x"&amp;MID(B731,1,1),"x0x1x2x3x4x5x6x7x8x9"))),OR(2&gt;LEN(B731),MID(B731,2,1)=".",ISNUMBER(FIND("x"&amp;MID(B731,2,1),"x0x1x2x3x4x5x6x7x8x9"))),OR(3&gt;LEN(B731),MID(B731,3,1)=".",ISNUMBER(FIND("x"&amp;MID(B731,3,1),"x0x1x2x3x4x5x6x7x8x9"))),OR(4&gt;LEN(B731),MID(B731,4,1)=".",ISNUMBER(FIND("x"&amp;MID(B731,4,1),"x0x1x2x3x4x5x6x7x8x9"))),OR(5&gt;LEN(B731),MID(B731,5,1)=".",ISNUMBER(FIND("x"&amp;MID(B731,5,1),"x0x1x2x3x4x5x6x7x8x9"))),OR(6&gt;LEN(B731),MID(B731,6,1)=".",ISNUMBER(FIND("x"&amp;MID(B731,6,1),"x0x1x2x3x4x5x6x7x8x9"))),OR(7&gt;LEN(B731),MID(B731,7,1)=".",ISNUMBER(FIND("x"&amp;MID(B731,7,1),"x0x1x2x3x4x5x6x7x8x9"))),OR(8&gt;LEN(B731),MID(B731,8,1)=".",ISNUMBER(FIND("x"&amp;MID(B731,8,1),"x0x1x2x3x4x5x6x7x8x9"))),OR(9&gt;LEN(B731),MID(B731,9,1)=".",ISNUMBER(FIND("x"&amp;MID(B731,9,1),"x0x1x2x3x4x5x6x7x8x9"))),OR(10&gt;LEN(B731),MID(B731,10,1)=".",ISNUMBER(FIND("x"&amp;MID(B731,10,1),"x0x1x2x3x4x5x6x7x8x9"))),OR(AND(FIND(".",B731)=5,LEN(B731)-FIND(".",B731,FIND(".",B731)+1)&gt;=1,LEN(B731)-FIND(".",B731,FIND(".",B731)+1)&lt;=2),AND(LEN(B731)-FIND(".",B731,FIND(".",B731)+1)=4,FIND(".",B731)&gt;=2,FIND(".",B731)&lt;=3)),FIND(".",B731,FIND(".",B731)+1)-FIND(".",B731)&gt;=2,FIND(".",B731,FIND(".",B731)+1)-FIND(".",B731)&lt;=3,F731&gt;=2000,F731&lt;=2100,YEAR(I731)=F731,MONTH(I731)=G731,DAY(I731)=H731),I731,0)),0)</ns0:f>
        <ns0:v>0</ns0:v>
      </ns0:c>
      <ns0:c r="K731" s="0">
        <ns0:f>IFERROR(IF(ISNUMBER(Bookings!D731),"",TRIM(Bookings!D731&amp;"")),"")</ns0:f>
      </ns0:c>
      <ns0:c r="L731" s="0">
        <ns0:f>IFERROR(SUBSTITUTE(SUBSTITUTE(K731,"/","."),"-","."),"")</ns0:f>
      </ns0:c>
      <ns0:c r="M731" s="0">
        <ns0:f>IFERROR(LEFT(L731,FIND(".",L731)-1),"")</ns0:f>
      </ns0:c>
      <ns0:c r="N731" s="0">
        <ns0:f>IFERROR(MID(L731,FIND(".",L731)+1,FIND(".",L731,FIND(".",L731)+1)-FIND(".",L731)-1),"")</ns0:f>
      </ns0:c>
      <ns0:c r="O731" s="0">
        <ns0:f>IFERROR(MID(L731,FIND(".",L731,FIND(".",L731)+1)+1,99),"")</ns0:f>
        <ns0:v>99</ns0:v>
      </ns0:c>
      <ns0:c r="P731" s="0">
        <ns0:f>IFERROR(IF(FIND(".",L731)=5,--M731,--O731),0)</ns0:f>
        <ns0:v>0</ns0:v>
      </ns0:c>
      <ns0:c r="Q731" s="0">
        <ns0:f>IFERROR(--N731,0)</ns0:f>
        <ns0:v>0</ns0:v>
      </ns0:c>
      <ns0:c r="R731" s="0">
        <ns0:f>IFERROR(IF(FIND(".",L731)=5,--O731,--M731),0)</ns0:f>
        <ns0:v>0</ns0:v>
      </ns0:c>
      <ns0:c r="S731" s="0">
        <ns0:f>IFERROR(IF(AND(P731&gt;=2000,P731&lt;=2100,Q731&gt;=1,Q731&lt;=12,R731&gt;=1,R731&lt;=31),DATE(P731,Q731,R731),0),0)</ns0:f>
        <ns0:v>0</ns0:v>
      </ns0:c>
      <ns0:c r="T731" s="0">
        <ns0:f>IFERROR(IF(ISNUMBER(Bookings!D731),IF(AND(Bookings!D731=INT(Bookings!D731),Bookings!D731&gt;=DATE(2000,1,1),Bookings!D731&lt;=DATE(2100,12,31)),Bookings!D731,0),IF(AND(K731&lt;&gt;"",LEN("x"&amp;L731)-LEN(SUBSTITUTE("x"&amp;L731,".",""))=2,OR(1&gt;LEN(L731),MID(L731,1,1)=".",ISNUMBER(FIND("x"&amp;MID(L731,1,1),"x0x1x2x3x4x5x6x7x8x9"))),OR(2&gt;LEN(L731),MID(L731,2,1)=".",ISNUMBER(FIND("x"&amp;MID(L731,2,1),"x0x1x2x3x4x5x6x7x8x9"))),OR(3&gt;LEN(L731),MID(L731,3,1)=".",ISNUMBER(FIND("x"&amp;MID(L731,3,1),"x0x1x2x3x4x5x6x7x8x9"))),OR(4&gt;LEN(L731),MID(L731,4,1)=".",ISNUMBER(FIND("x"&amp;MID(L731,4,1),"x0x1x2x3x4x5x6x7x8x9"))),OR(5&gt;LEN(L731),MID(L731,5,1)=".",ISNUMBER(FIND("x"&amp;MID(L731,5,1),"x0x1x2x3x4x5x6x7x8x9"))),OR(6&gt;LEN(L731),MID(L731,6,1)=".",ISNUMBER(FIND("x"&amp;MID(L731,6,1),"x0x1x2x3x4x5x6x7x8x9"))),OR(7&gt;LEN(L731),MID(L731,7,1)=".",ISNUMBER(FIND("x"&amp;MID(L731,7,1),"x0x1x2x3x4x5x6x7x8x9"))),OR(8&gt;LEN(L731),MID(L731,8,1)=".",ISNUMBER(FIND("x"&amp;MID(L731,8,1),"x0x1x2x3x4x5x6x7x8x9"))),OR(9&gt;LEN(L731),MID(L731,9,1)=".",ISNUMBER(FIND("x"&amp;MID(L731,9,1),"x0x1x2x3x4x5x6x7x8x9"))),OR(10&gt;LEN(L731),MID(L731,10,1)=".",ISNUMBER(FIND("x"&amp;MID(L731,10,1),"x0x1x2x3x4x5x6x7x8x9"))),OR(AND(FIND(".",L731)=5,LEN(L731)-FIND(".",L731,FIND(".",L731)+1)&gt;=1,LEN(L731)-FIND(".",L731,FIND(".",L731)+1)&lt;=2),AND(LEN(L731)-FIND(".",L731,FIND(".",L731)+1)=4,FIND(".",L731)&gt;=2,FIND(".",L731)&lt;=3)),FIND(".",L731,FIND(".",L731)+1)-FIND(".",L731)&gt;=2,FIND(".",L731,FIND(".",L731)+1)-FIND(".",L731)&lt;=3,P731&gt;=2000,P731&lt;=2100,YEAR(S731)=P731,MONTH(S731)=Q731,DAY(S731)=R731),S731,0)),0)</ns0:f>
        <ns0:v>0</ns0:v>
      </ns0:c>
      <ns0:c r="U731" s="0" t="str">
        <ns0:f>IF(Bookings!C731="","Full day",Bookings!C731)</ns0:f>
        <ns0:v>Full day</ns0:v>
      </ns0:c>
      <ns0:c r="V731" s="0" t="str">
        <ns0:f>IF(Bookings!E731="","Full day",Bookings!E731)</ns0:f>
        <ns0:v>Full day</ns0:v>
      </ns0:c>
      <ns0:c r="W731" s="0">
        <ns0:f>IF(J731=0,0,J731+IF(U731="PM",1,0))</ns0:f>
        <ns0:v>0</ns0:v>
      </ns0:c>
      <ns0:c r="X731" s="0">
        <ns0:f>IF(T731=0,0,T731-IF(V731="PM",1,0))</ns0:f>
        <ns0:v>0</ns0:v>
      </ns0:c>
      <ns0:c r="Y731" s="0">
        <ns0:f>IF(J731=0,0,J731+IF(U731="AM",1,0))</ns0:f>
        <ns0:v>0</ns0:v>
      </ns0:c>
      <ns0:c r="Z731" s="0">
        <ns0:f>IF(T731=0,0,T731-IF(V731="AM",1,0))</ns0:f>
        <ns0:v>0</ns0:v>
      </ns0:c>
      <ns0:c r="AA731" s="0">
        <ns0:f>IFERROR(IF(AND(J731&gt;0,'_Engine'!C731&gt;0,MID('_Engine'!W731,WEEKDAY(J731,2),1)="W",COUNTIF(Settings!$F$18:$F$67,J731)=0),1,0),0)</ns0:f>
        <ns0:v>0</ns0:v>
      </ns0:c>
      <ns0:c r="AB731" s="0">
        <ns0:f>IFERROR(IF(AND(T731&gt;0,'_Engine'!C731&gt;0,MID('_Engine'!W731,WEEKDAY(T731,2),1)="W",COUNTIF(Settings!$F$18:$F$67,T731)=0),1,0),0)</ns0:f>
        <ns0:v>0</ns0:v>
      </ns0:c>
      <ns0:c r="AC731" s="0">
        <ns0:f>IF(AND(J731&gt;0,T731&gt;0,W731&lt;=X731),1,0)</ns0:f>
        <ns0:v>0</ns0:v>
      </ns0:c>
      <ns0:c r="AD731" s="0">
        <ns0:f>IF(AND(J731&gt;0,T731&gt;0,Y731&lt;=Z731),1,0)</ns0:f>
        <ns0:v>0</ns0:v>
      </ns0:c>
    </ns0:row>
    <ns0:row r="732">
      <ns0:c r="A732" s="0">
        <ns0:f>IFERROR(IF(ISNUMBER(Bookings!B732),"",TRIM(Bookings!B732&amp;"")),"")</ns0:f>
      </ns0:c>
      <ns0:c r="B732" s="0">
        <ns0:f>IFERROR(SUBSTITUTE(SUBSTITUTE(A732,"/","."),"-","."),"")</ns0:f>
      </ns0:c>
      <ns0:c r="C732" s="0">
        <ns0:f>IFERROR(LEFT(B732,FIND(".",B732)-1),"")</ns0:f>
      </ns0:c>
      <ns0:c r="D732" s="0">
        <ns0:f>IFERROR(MID(B732,FIND(".",B732)+1,FIND(".",B732,FIND(".",B732)+1)-FIND(".",B732)-1),"")</ns0:f>
      </ns0:c>
      <ns0:c r="E732" s="0">
        <ns0:f>IFERROR(MID(B732,FIND(".",B732,FIND(".",B732)+1)+1,99),"")</ns0:f>
        <ns0:v>99</ns0:v>
      </ns0:c>
      <ns0:c r="F732" s="0">
        <ns0:f>IFERROR(IF(FIND(".",B732)=5,--C732,--E732),0)</ns0:f>
        <ns0:v>0</ns0:v>
      </ns0:c>
      <ns0:c r="G732" s="0">
        <ns0:f>IFERROR(--D732,0)</ns0:f>
        <ns0:v>0</ns0:v>
      </ns0:c>
      <ns0:c r="H732" s="0">
        <ns0:f>IFERROR(IF(FIND(".",B732)=5,--E732,--C732),0)</ns0:f>
        <ns0:v>0</ns0:v>
      </ns0:c>
      <ns0:c r="I732" s="0">
        <ns0:f>IFERROR(IF(AND(F732&gt;=2000,F732&lt;=2100,G732&gt;=1,G732&lt;=12,H732&gt;=1,H732&lt;=31),DATE(F732,G732,H732),0),0)</ns0:f>
        <ns0:v>0</ns0:v>
      </ns0:c>
      <ns0:c r="J732" s="0">
        <ns0:f>IFERROR(IF(ISNUMBER(Bookings!B732),IF(AND(Bookings!B732=INT(Bookings!B732),Bookings!B732&gt;=DATE(2000,1,1),Bookings!B732&lt;=DATE(2100,12,31)),Bookings!B732,0),IF(AND(A732&lt;&gt;"",LEN("x"&amp;B732)-LEN(SUBSTITUTE("x"&amp;B732,".",""))=2,OR(1&gt;LEN(B732),MID(B732,1,1)=".",ISNUMBER(FIND("x"&amp;MID(B732,1,1),"x0x1x2x3x4x5x6x7x8x9"))),OR(2&gt;LEN(B732),MID(B732,2,1)=".",ISNUMBER(FIND("x"&amp;MID(B732,2,1),"x0x1x2x3x4x5x6x7x8x9"))),OR(3&gt;LEN(B732),MID(B732,3,1)=".",ISNUMBER(FIND("x"&amp;MID(B732,3,1),"x0x1x2x3x4x5x6x7x8x9"))),OR(4&gt;LEN(B732),MID(B732,4,1)=".",ISNUMBER(FIND("x"&amp;MID(B732,4,1),"x0x1x2x3x4x5x6x7x8x9"))),OR(5&gt;LEN(B732),MID(B732,5,1)=".",ISNUMBER(FIND("x"&amp;MID(B732,5,1),"x0x1x2x3x4x5x6x7x8x9"))),OR(6&gt;LEN(B732),MID(B732,6,1)=".",ISNUMBER(FIND("x"&amp;MID(B732,6,1),"x0x1x2x3x4x5x6x7x8x9"))),OR(7&gt;LEN(B732),MID(B732,7,1)=".",ISNUMBER(FIND("x"&amp;MID(B732,7,1),"x0x1x2x3x4x5x6x7x8x9"))),OR(8&gt;LEN(B732),MID(B732,8,1)=".",ISNUMBER(FIND("x"&amp;MID(B732,8,1),"x0x1x2x3x4x5x6x7x8x9"))),OR(9&gt;LEN(B732),MID(B732,9,1)=".",ISNUMBER(FIND("x"&amp;MID(B732,9,1),"x0x1x2x3x4x5x6x7x8x9"))),OR(10&gt;LEN(B732),MID(B732,10,1)=".",ISNUMBER(FIND("x"&amp;MID(B732,10,1),"x0x1x2x3x4x5x6x7x8x9"))),OR(AND(FIND(".",B732)=5,LEN(B732)-FIND(".",B732,FIND(".",B732)+1)&gt;=1,LEN(B732)-FIND(".",B732,FIND(".",B732)+1)&lt;=2),AND(LEN(B732)-FIND(".",B732,FIND(".",B732)+1)=4,FIND(".",B732)&gt;=2,FIND(".",B732)&lt;=3)),FIND(".",B732,FIND(".",B732)+1)-FIND(".",B732)&gt;=2,FIND(".",B732,FIND(".",B732)+1)-FIND(".",B732)&lt;=3,F732&gt;=2000,F732&lt;=2100,YEAR(I732)=F732,MONTH(I732)=G732,DAY(I732)=H732),I732,0)),0)</ns0:f>
        <ns0:v>0</ns0:v>
      </ns0:c>
      <ns0:c r="K732" s="0">
        <ns0:f>IFERROR(IF(ISNUMBER(Bookings!D732),"",TRIM(Bookings!D732&amp;"")),"")</ns0:f>
      </ns0:c>
      <ns0:c r="L732" s="0">
        <ns0:f>IFERROR(SUBSTITUTE(SUBSTITUTE(K732,"/","."),"-","."),"")</ns0:f>
      </ns0:c>
      <ns0:c r="M732" s="0">
        <ns0:f>IFERROR(LEFT(L732,FIND(".",L732)-1),"")</ns0:f>
      </ns0:c>
      <ns0:c r="N732" s="0">
        <ns0:f>IFERROR(MID(L732,FIND(".",L732)+1,FIND(".",L732,FIND(".",L732)+1)-FIND(".",L732)-1),"")</ns0:f>
      </ns0:c>
      <ns0:c r="O732" s="0">
        <ns0:f>IFERROR(MID(L732,FIND(".",L732,FIND(".",L732)+1)+1,99),"")</ns0:f>
        <ns0:v>99</ns0:v>
      </ns0:c>
      <ns0:c r="P732" s="0">
        <ns0:f>IFERROR(IF(FIND(".",L732)=5,--M732,--O732),0)</ns0:f>
        <ns0:v>0</ns0:v>
      </ns0:c>
      <ns0:c r="Q732" s="0">
        <ns0:f>IFERROR(--N732,0)</ns0:f>
        <ns0:v>0</ns0:v>
      </ns0:c>
      <ns0:c r="R732" s="0">
        <ns0:f>IFERROR(IF(FIND(".",L732)=5,--O732,--M732),0)</ns0:f>
        <ns0:v>0</ns0:v>
      </ns0:c>
      <ns0:c r="S732" s="0">
        <ns0:f>IFERROR(IF(AND(P732&gt;=2000,P732&lt;=2100,Q732&gt;=1,Q732&lt;=12,R732&gt;=1,R732&lt;=31),DATE(P732,Q732,R732),0),0)</ns0:f>
        <ns0:v>0</ns0:v>
      </ns0:c>
      <ns0:c r="T732" s="0">
        <ns0:f>IFERROR(IF(ISNUMBER(Bookings!D732),IF(AND(Bookings!D732=INT(Bookings!D732),Bookings!D732&gt;=DATE(2000,1,1),Bookings!D732&lt;=DATE(2100,12,31)),Bookings!D732,0),IF(AND(K732&lt;&gt;"",LEN("x"&amp;L732)-LEN(SUBSTITUTE("x"&amp;L732,".",""))=2,OR(1&gt;LEN(L732),MID(L732,1,1)=".",ISNUMBER(FIND("x"&amp;MID(L732,1,1),"x0x1x2x3x4x5x6x7x8x9"))),OR(2&gt;LEN(L732),MID(L732,2,1)=".",ISNUMBER(FIND("x"&amp;MID(L732,2,1),"x0x1x2x3x4x5x6x7x8x9"))),OR(3&gt;LEN(L732),MID(L732,3,1)=".",ISNUMBER(FIND("x"&amp;MID(L732,3,1),"x0x1x2x3x4x5x6x7x8x9"))),OR(4&gt;LEN(L732),MID(L732,4,1)=".",ISNUMBER(FIND("x"&amp;MID(L732,4,1),"x0x1x2x3x4x5x6x7x8x9"))),OR(5&gt;LEN(L732),MID(L732,5,1)=".",ISNUMBER(FIND("x"&amp;MID(L732,5,1),"x0x1x2x3x4x5x6x7x8x9"))),OR(6&gt;LEN(L732),MID(L732,6,1)=".",ISNUMBER(FIND("x"&amp;MID(L732,6,1),"x0x1x2x3x4x5x6x7x8x9"))),OR(7&gt;LEN(L732),MID(L732,7,1)=".",ISNUMBER(FIND("x"&amp;MID(L732,7,1),"x0x1x2x3x4x5x6x7x8x9"))),OR(8&gt;LEN(L732),MID(L732,8,1)=".",ISNUMBER(FIND("x"&amp;MID(L732,8,1),"x0x1x2x3x4x5x6x7x8x9"))),OR(9&gt;LEN(L732),MID(L732,9,1)=".",ISNUMBER(FIND("x"&amp;MID(L732,9,1),"x0x1x2x3x4x5x6x7x8x9"))),OR(10&gt;LEN(L732),MID(L732,10,1)=".",ISNUMBER(FIND("x"&amp;MID(L732,10,1),"x0x1x2x3x4x5x6x7x8x9"))),OR(AND(FIND(".",L732)=5,LEN(L732)-FIND(".",L732,FIND(".",L732)+1)&gt;=1,LEN(L732)-FIND(".",L732,FIND(".",L732)+1)&lt;=2),AND(LEN(L732)-FIND(".",L732,FIND(".",L732)+1)=4,FIND(".",L732)&gt;=2,FIND(".",L732)&lt;=3)),FIND(".",L732,FIND(".",L732)+1)-FIND(".",L732)&gt;=2,FIND(".",L732,FIND(".",L732)+1)-FIND(".",L732)&lt;=3,P732&gt;=2000,P732&lt;=2100,YEAR(S732)=P732,MONTH(S732)=Q732,DAY(S732)=R732),S732,0)),0)</ns0:f>
        <ns0:v>0</ns0:v>
      </ns0:c>
      <ns0:c r="U732" s="0" t="str">
        <ns0:f>IF(Bookings!C732="","Full day",Bookings!C732)</ns0:f>
        <ns0:v>Full day</ns0:v>
      </ns0:c>
      <ns0:c r="V732" s="0" t="str">
        <ns0:f>IF(Bookings!E732="","Full day",Bookings!E732)</ns0:f>
        <ns0:v>Full day</ns0:v>
      </ns0:c>
      <ns0:c r="W732" s="0">
        <ns0:f>IF(J732=0,0,J732+IF(U732="PM",1,0))</ns0:f>
        <ns0:v>0</ns0:v>
      </ns0:c>
      <ns0:c r="X732" s="0">
        <ns0:f>IF(T732=0,0,T732-IF(V732="PM",1,0))</ns0:f>
        <ns0:v>0</ns0:v>
      </ns0:c>
      <ns0:c r="Y732" s="0">
        <ns0:f>IF(J732=0,0,J732+IF(U732="AM",1,0))</ns0:f>
        <ns0:v>0</ns0:v>
      </ns0:c>
      <ns0:c r="Z732" s="0">
        <ns0:f>IF(T732=0,0,T732-IF(V732="AM",1,0))</ns0:f>
        <ns0:v>0</ns0:v>
      </ns0:c>
      <ns0:c r="AA732" s="0">
        <ns0:f>IFERROR(IF(AND(J732&gt;0,'_Engine'!C732&gt;0,MID('_Engine'!W732,WEEKDAY(J732,2),1)="W",COUNTIF(Settings!$F$18:$F$67,J732)=0),1,0),0)</ns0:f>
        <ns0:v>0</ns0:v>
      </ns0:c>
      <ns0:c r="AB732" s="0">
        <ns0:f>IFERROR(IF(AND(T732&gt;0,'_Engine'!C732&gt;0,MID('_Engine'!W732,WEEKDAY(T732,2),1)="W",COUNTIF(Settings!$F$18:$F$67,T732)=0),1,0),0)</ns0:f>
        <ns0:v>0</ns0:v>
      </ns0:c>
      <ns0:c r="AC732" s="0">
        <ns0:f>IF(AND(J732&gt;0,T732&gt;0,W732&lt;=X732),1,0)</ns0:f>
        <ns0:v>0</ns0:v>
      </ns0:c>
      <ns0:c r="AD732" s="0">
        <ns0:f>IF(AND(J732&gt;0,T732&gt;0,Y732&lt;=Z732),1,0)</ns0:f>
        <ns0:v>0</ns0:v>
      </ns0:c>
    </ns0:row>
    <ns0:row r="733">
      <ns0:c r="A733" s="0">
        <ns0:f>IFERROR(IF(ISNUMBER(Bookings!B733),"",TRIM(Bookings!B733&amp;"")),"")</ns0:f>
      </ns0:c>
      <ns0:c r="B733" s="0">
        <ns0:f>IFERROR(SUBSTITUTE(SUBSTITUTE(A733,"/","."),"-","."),"")</ns0:f>
      </ns0:c>
      <ns0:c r="C733" s="0">
        <ns0:f>IFERROR(LEFT(B733,FIND(".",B733)-1),"")</ns0:f>
      </ns0:c>
      <ns0:c r="D733" s="0">
        <ns0:f>IFERROR(MID(B733,FIND(".",B733)+1,FIND(".",B733,FIND(".",B733)+1)-FIND(".",B733)-1),"")</ns0:f>
      </ns0:c>
      <ns0:c r="E733" s="0">
        <ns0:f>IFERROR(MID(B733,FIND(".",B733,FIND(".",B733)+1)+1,99),"")</ns0:f>
        <ns0:v>99</ns0:v>
      </ns0:c>
      <ns0:c r="F733" s="0">
        <ns0:f>IFERROR(IF(FIND(".",B733)=5,--C733,--E733),0)</ns0:f>
        <ns0:v>0</ns0:v>
      </ns0:c>
      <ns0:c r="G733" s="0">
        <ns0:f>IFERROR(--D733,0)</ns0:f>
        <ns0:v>0</ns0:v>
      </ns0:c>
      <ns0:c r="H733" s="0">
        <ns0:f>IFERROR(IF(FIND(".",B733)=5,--E733,--C733),0)</ns0:f>
        <ns0:v>0</ns0:v>
      </ns0:c>
      <ns0:c r="I733" s="0">
        <ns0:f>IFERROR(IF(AND(F733&gt;=2000,F733&lt;=2100,G733&gt;=1,G733&lt;=12,H733&gt;=1,H733&lt;=31),DATE(F733,G733,H733),0),0)</ns0:f>
        <ns0:v>0</ns0:v>
      </ns0:c>
      <ns0:c r="J733" s="0">
        <ns0:f>IFERROR(IF(ISNUMBER(Bookings!B733),IF(AND(Bookings!B733=INT(Bookings!B733),Bookings!B733&gt;=DATE(2000,1,1),Bookings!B733&lt;=DATE(2100,12,31)),Bookings!B733,0),IF(AND(A733&lt;&gt;"",LEN("x"&amp;B733)-LEN(SUBSTITUTE("x"&amp;B733,".",""))=2,OR(1&gt;LEN(B733),MID(B733,1,1)=".",ISNUMBER(FIND("x"&amp;MID(B733,1,1),"x0x1x2x3x4x5x6x7x8x9"))),OR(2&gt;LEN(B733),MID(B733,2,1)=".",ISNUMBER(FIND("x"&amp;MID(B733,2,1),"x0x1x2x3x4x5x6x7x8x9"))),OR(3&gt;LEN(B733),MID(B733,3,1)=".",ISNUMBER(FIND("x"&amp;MID(B733,3,1),"x0x1x2x3x4x5x6x7x8x9"))),OR(4&gt;LEN(B733),MID(B733,4,1)=".",ISNUMBER(FIND("x"&amp;MID(B733,4,1),"x0x1x2x3x4x5x6x7x8x9"))),OR(5&gt;LEN(B733),MID(B733,5,1)=".",ISNUMBER(FIND("x"&amp;MID(B733,5,1),"x0x1x2x3x4x5x6x7x8x9"))),OR(6&gt;LEN(B733),MID(B733,6,1)=".",ISNUMBER(FIND("x"&amp;MID(B733,6,1),"x0x1x2x3x4x5x6x7x8x9"))),OR(7&gt;LEN(B733),MID(B733,7,1)=".",ISNUMBER(FIND("x"&amp;MID(B733,7,1),"x0x1x2x3x4x5x6x7x8x9"))),OR(8&gt;LEN(B733),MID(B733,8,1)=".",ISNUMBER(FIND("x"&amp;MID(B733,8,1),"x0x1x2x3x4x5x6x7x8x9"))),OR(9&gt;LEN(B733),MID(B733,9,1)=".",ISNUMBER(FIND("x"&amp;MID(B733,9,1),"x0x1x2x3x4x5x6x7x8x9"))),OR(10&gt;LEN(B733),MID(B733,10,1)=".",ISNUMBER(FIND("x"&amp;MID(B733,10,1),"x0x1x2x3x4x5x6x7x8x9"))),OR(AND(FIND(".",B733)=5,LEN(B733)-FIND(".",B733,FIND(".",B733)+1)&gt;=1,LEN(B733)-FIND(".",B733,FIND(".",B733)+1)&lt;=2),AND(LEN(B733)-FIND(".",B733,FIND(".",B733)+1)=4,FIND(".",B733)&gt;=2,FIND(".",B733)&lt;=3)),FIND(".",B733,FIND(".",B733)+1)-FIND(".",B733)&gt;=2,FIND(".",B733,FIND(".",B733)+1)-FIND(".",B733)&lt;=3,F733&gt;=2000,F733&lt;=2100,YEAR(I733)=F733,MONTH(I733)=G733,DAY(I733)=H733),I733,0)),0)</ns0:f>
        <ns0:v>0</ns0:v>
      </ns0:c>
      <ns0:c r="K733" s="0">
        <ns0:f>IFERROR(IF(ISNUMBER(Bookings!D733),"",TRIM(Bookings!D733&amp;"")),"")</ns0:f>
      </ns0:c>
      <ns0:c r="L733" s="0">
        <ns0:f>IFERROR(SUBSTITUTE(SUBSTITUTE(K733,"/","."),"-","."),"")</ns0:f>
      </ns0:c>
      <ns0:c r="M733" s="0">
        <ns0:f>IFERROR(LEFT(L733,FIND(".",L733)-1),"")</ns0:f>
      </ns0:c>
      <ns0:c r="N733" s="0">
        <ns0:f>IFERROR(MID(L733,FIND(".",L733)+1,FIND(".",L733,FIND(".",L733)+1)-FIND(".",L733)-1),"")</ns0:f>
      </ns0:c>
      <ns0:c r="O733" s="0">
        <ns0:f>IFERROR(MID(L733,FIND(".",L733,FIND(".",L733)+1)+1,99),"")</ns0:f>
        <ns0:v>99</ns0:v>
      </ns0:c>
      <ns0:c r="P733" s="0">
        <ns0:f>IFERROR(IF(FIND(".",L733)=5,--M733,--O733),0)</ns0:f>
        <ns0:v>0</ns0:v>
      </ns0:c>
      <ns0:c r="Q733" s="0">
        <ns0:f>IFERROR(--N733,0)</ns0:f>
        <ns0:v>0</ns0:v>
      </ns0:c>
      <ns0:c r="R733" s="0">
        <ns0:f>IFERROR(IF(FIND(".",L733)=5,--O733,--M733),0)</ns0:f>
        <ns0:v>0</ns0:v>
      </ns0:c>
      <ns0:c r="S733" s="0">
        <ns0:f>IFERROR(IF(AND(P733&gt;=2000,P733&lt;=2100,Q733&gt;=1,Q733&lt;=12,R733&gt;=1,R733&lt;=31),DATE(P733,Q733,R733),0),0)</ns0:f>
        <ns0:v>0</ns0:v>
      </ns0:c>
      <ns0:c r="T733" s="0">
        <ns0:f>IFERROR(IF(ISNUMBER(Bookings!D733),IF(AND(Bookings!D733=INT(Bookings!D733),Bookings!D733&gt;=DATE(2000,1,1),Bookings!D733&lt;=DATE(2100,12,31)),Bookings!D733,0),IF(AND(K733&lt;&gt;"",LEN("x"&amp;L733)-LEN(SUBSTITUTE("x"&amp;L733,".",""))=2,OR(1&gt;LEN(L733),MID(L733,1,1)=".",ISNUMBER(FIND("x"&amp;MID(L733,1,1),"x0x1x2x3x4x5x6x7x8x9"))),OR(2&gt;LEN(L733),MID(L733,2,1)=".",ISNUMBER(FIND("x"&amp;MID(L733,2,1),"x0x1x2x3x4x5x6x7x8x9"))),OR(3&gt;LEN(L733),MID(L733,3,1)=".",ISNUMBER(FIND("x"&amp;MID(L733,3,1),"x0x1x2x3x4x5x6x7x8x9"))),OR(4&gt;LEN(L733),MID(L733,4,1)=".",ISNUMBER(FIND("x"&amp;MID(L733,4,1),"x0x1x2x3x4x5x6x7x8x9"))),OR(5&gt;LEN(L733),MID(L733,5,1)=".",ISNUMBER(FIND("x"&amp;MID(L733,5,1),"x0x1x2x3x4x5x6x7x8x9"))),OR(6&gt;LEN(L733),MID(L733,6,1)=".",ISNUMBER(FIND("x"&amp;MID(L733,6,1),"x0x1x2x3x4x5x6x7x8x9"))),OR(7&gt;LEN(L733),MID(L733,7,1)=".",ISNUMBER(FIND("x"&amp;MID(L733,7,1),"x0x1x2x3x4x5x6x7x8x9"))),OR(8&gt;LEN(L733),MID(L733,8,1)=".",ISNUMBER(FIND("x"&amp;MID(L733,8,1),"x0x1x2x3x4x5x6x7x8x9"))),OR(9&gt;LEN(L733),MID(L733,9,1)=".",ISNUMBER(FIND("x"&amp;MID(L733,9,1),"x0x1x2x3x4x5x6x7x8x9"))),OR(10&gt;LEN(L733),MID(L733,10,1)=".",ISNUMBER(FIND("x"&amp;MID(L733,10,1),"x0x1x2x3x4x5x6x7x8x9"))),OR(AND(FIND(".",L733)=5,LEN(L733)-FIND(".",L733,FIND(".",L733)+1)&gt;=1,LEN(L733)-FIND(".",L733,FIND(".",L733)+1)&lt;=2),AND(LEN(L733)-FIND(".",L733,FIND(".",L733)+1)=4,FIND(".",L733)&gt;=2,FIND(".",L733)&lt;=3)),FIND(".",L733,FIND(".",L733)+1)-FIND(".",L733)&gt;=2,FIND(".",L733,FIND(".",L733)+1)-FIND(".",L733)&lt;=3,P733&gt;=2000,P733&lt;=2100,YEAR(S733)=P733,MONTH(S733)=Q733,DAY(S733)=R733),S733,0)),0)</ns0:f>
        <ns0:v>0</ns0:v>
      </ns0:c>
      <ns0:c r="U733" s="0" t="str">
        <ns0:f>IF(Bookings!C733="","Full day",Bookings!C733)</ns0:f>
        <ns0:v>Full day</ns0:v>
      </ns0:c>
      <ns0:c r="V733" s="0" t="str">
        <ns0:f>IF(Bookings!E733="","Full day",Bookings!E733)</ns0:f>
        <ns0:v>Full day</ns0:v>
      </ns0:c>
      <ns0:c r="W733" s="0">
        <ns0:f>IF(J733=0,0,J733+IF(U733="PM",1,0))</ns0:f>
        <ns0:v>0</ns0:v>
      </ns0:c>
      <ns0:c r="X733" s="0">
        <ns0:f>IF(T733=0,0,T733-IF(V733="PM",1,0))</ns0:f>
        <ns0:v>0</ns0:v>
      </ns0:c>
      <ns0:c r="Y733" s="0">
        <ns0:f>IF(J733=0,0,J733+IF(U733="AM",1,0))</ns0:f>
        <ns0:v>0</ns0:v>
      </ns0:c>
      <ns0:c r="Z733" s="0">
        <ns0:f>IF(T733=0,0,T733-IF(V733="AM",1,0))</ns0:f>
        <ns0:v>0</ns0:v>
      </ns0:c>
      <ns0:c r="AA733" s="0">
        <ns0:f>IFERROR(IF(AND(J733&gt;0,'_Engine'!C733&gt;0,MID('_Engine'!W733,WEEKDAY(J733,2),1)="W",COUNTIF(Settings!$F$18:$F$67,J733)=0),1,0),0)</ns0:f>
        <ns0:v>0</ns0:v>
      </ns0:c>
      <ns0:c r="AB733" s="0">
        <ns0:f>IFERROR(IF(AND(T733&gt;0,'_Engine'!C733&gt;0,MID('_Engine'!W733,WEEKDAY(T733,2),1)="W",COUNTIF(Settings!$F$18:$F$67,T733)=0),1,0),0)</ns0:f>
        <ns0:v>0</ns0:v>
      </ns0:c>
      <ns0:c r="AC733" s="0">
        <ns0:f>IF(AND(J733&gt;0,T733&gt;0,W733&lt;=X733),1,0)</ns0:f>
        <ns0:v>0</ns0:v>
      </ns0:c>
      <ns0:c r="AD733" s="0">
        <ns0:f>IF(AND(J733&gt;0,T733&gt;0,Y733&lt;=Z733),1,0)</ns0:f>
        <ns0:v>0</ns0:v>
      </ns0:c>
    </ns0:row>
    <ns0:row r="734">
      <ns0:c r="A734" s="0">
        <ns0:f>IFERROR(IF(ISNUMBER(Bookings!B734),"",TRIM(Bookings!B734&amp;"")),"")</ns0:f>
      </ns0:c>
      <ns0:c r="B734" s="0">
        <ns0:f>IFERROR(SUBSTITUTE(SUBSTITUTE(A734,"/","."),"-","."),"")</ns0:f>
      </ns0:c>
      <ns0:c r="C734" s="0">
        <ns0:f>IFERROR(LEFT(B734,FIND(".",B734)-1),"")</ns0:f>
      </ns0:c>
      <ns0:c r="D734" s="0">
        <ns0:f>IFERROR(MID(B734,FIND(".",B734)+1,FIND(".",B734,FIND(".",B734)+1)-FIND(".",B734)-1),"")</ns0:f>
      </ns0:c>
      <ns0:c r="E734" s="0">
        <ns0:f>IFERROR(MID(B734,FIND(".",B734,FIND(".",B734)+1)+1,99),"")</ns0:f>
        <ns0:v>99</ns0:v>
      </ns0:c>
      <ns0:c r="F734" s="0">
        <ns0:f>IFERROR(IF(FIND(".",B734)=5,--C734,--E734),0)</ns0:f>
        <ns0:v>0</ns0:v>
      </ns0:c>
      <ns0:c r="G734" s="0">
        <ns0:f>IFERROR(--D734,0)</ns0:f>
        <ns0:v>0</ns0:v>
      </ns0:c>
      <ns0:c r="H734" s="0">
        <ns0:f>IFERROR(IF(FIND(".",B734)=5,--E734,--C734),0)</ns0:f>
        <ns0:v>0</ns0:v>
      </ns0:c>
      <ns0:c r="I734" s="0">
        <ns0:f>IFERROR(IF(AND(F734&gt;=2000,F734&lt;=2100,G734&gt;=1,G734&lt;=12,H734&gt;=1,H734&lt;=31),DATE(F734,G734,H734),0),0)</ns0:f>
        <ns0:v>0</ns0:v>
      </ns0:c>
      <ns0:c r="J734" s="0">
        <ns0:f>IFERROR(IF(ISNUMBER(Bookings!B734),IF(AND(Bookings!B734=INT(Bookings!B734),Bookings!B734&gt;=DATE(2000,1,1),Bookings!B734&lt;=DATE(2100,12,31)),Bookings!B734,0),IF(AND(A734&lt;&gt;"",LEN("x"&amp;B734)-LEN(SUBSTITUTE("x"&amp;B734,".",""))=2,OR(1&gt;LEN(B734),MID(B734,1,1)=".",ISNUMBER(FIND("x"&amp;MID(B734,1,1),"x0x1x2x3x4x5x6x7x8x9"))),OR(2&gt;LEN(B734),MID(B734,2,1)=".",ISNUMBER(FIND("x"&amp;MID(B734,2,1),"x0x1x2x3x4x5x6x7x8x9"))),OR(3&gt;LEN(B734),MID(B734,3,1)=".",ISNUMBER(FIND("x"&amp;MID(B734,3,1),"x0x1x2x3x4x5x6x7x8x9"))),OR(4&gt;LEN(B734),MID(B734,4,1)=".",ISNUMBER(FIND("x"&amp;MID(B734,4,1),"x0x1x2x3x4x5x6x7x8x9"))),OR(5&gt;LEN(B734),MID(B734,5,1)=".",ISNUMBER(FIND("x"&amp;MID(B734,5,1),"x0x1x2x3x4x5x6x7x8x9"))),OR(6&gt;LEN(B734),MID(B734,6,1)=".",ISNUMBER(FIND("x"&amp;MID(B734,6,1),"x0x1x2x3x4x5x6x7x8x9"))),OR(7&gt;LEN(B734),MID(B734,7,1)=".",ISNUMBER(FIND("x"&amp;MID(B734,7,1),"x0x1x2x3x4x5x6x7x8x9"))),OR(8&gt;LEN(B734),MID(B734,8,1)=".",ISNUMBER(FIND("x"&amp;MID(B734,8,1),"x0x1x2x3x4x5x6x7x8x9"))),OR(9&gt;LEN(B734),MID(B734,9,1)=".",ISNUMBER(FIND("x"&amp;MID(B734,9,1),"x0x1x2x3x4x5x6x7x8x9"))),OR(10&gt;LEN(B734),MID(B734,10,1)=".",ISNUMBER(FIND("x"&amp;MID(B734,10,1),"x0x1x2x3x4x5x6x7x8x9"))),OR(AND(FIND(".",B734)=5,LEN(B734)-FIND(".",B734,FIND(".",B734)+1)&gt;=1,LEN(B734)-FIND(".",B734,FIND(".",B734)+1)&lt;=2),AND(LEN(B734)-FIND(".",B734,FIND(".",B734)+1)=4,FIND(".",B734)&gt;=2,FIND(".",B734)&lt;=3)),FIND(".",B734,FIND(".",B734)+1)-FIND(".",B734)&gt;=2,FIND(".",B734,FIND(".",B734)+1)-FIND(".",B734)&lt;=3,F734&gt;=2000,F734&lt;=2100,YEAR(I734)=F734,MONTH(I734)=G734,DAY(I734)=H734),I734,0)),0)</ns0:f>
        <ns0:v>0</ns0:v>
      </ns0:c>
      <ns0:c r="K734" s="0">
        <ns0:f>IFERROR(IF(ISNUMBER(Bookings!D734),"",TRIM(Bookings!D734&amp;"")),"")</ns0:f>
      </ns0:c>
      <ns0:c r="L734" s="0">
        <ns0:f>IFERROR(SUBSTITUTE(SUBSTITUTE(K734,"/","."),"-","."),"")</ns0:f>
      </ns0:c>
      <ns0:c r="M734" s="0">
        <ns0:f>IFERROR(LEFT(L734,FIND(".",L734)-1),"")</ns0:f>
      </ns0:c>
      <ns0:c r="N734" s="0">
        <ns0:f>IFERROR(MID(L734,FIND(".",L734)+1,FIND(".",L734,FIND(".",L734)+1)-FIND(".",L734)-1),"")</ns0:f>
      </ns0:c>
      <ns0:c r="O734" s="0">
        <ns0:f>IFERROR(MID(L734,FIND(".",L734,FIND(".",L734)+1)+1,99),"")</ns0:f>
        <ns0:v>99</ns0:v>
      </ns0:c>
      <ns0:c r="P734" s="0">
        <ns0:f>IFERROR(IF(FIND(".",L734)=5,--M734,--O734),0)</ns0:f>
        <ns0:v>0</ns0:v>
      </ns0:c>
      <ns0:c r="Q734" s="0">
        <ns0:f>IFERROR(--N734,0)</ns0:f>
        <ns0:v>0</ns0:v>
      </ns0:c>
      <ns0:c r="R734" s="0">
        <ns0:f>IFERROR(IF(FIND(".",L734)=5,--O734,--M734),0)</ns0:f>
        <ns0:v>0</ns0:v>
      </ns0:c>
      <ns0:c r="S734" s="0">
        <ns0:f>IFERROR(IF(AND(P734&gt;=2000,P734&lt;=2100,Q734&gt;=1,Q734&lt;=12,R734&gt;=1,R734&lt;=31),DATE(P734,Q734,R734),0),0)</ns0:f>
        <ns0:v>0</ns0:v>
      </ns0:c>
      <ns0:c r="T734" s="0">
        <ns0:f>IFERROR(IF(ISNUMBER(Bookings!D734),IF(AND(Bookings!D734=INT(Bookings!D734),Bookings!D734&gt;=DATE(2000,1,1),Bookings!D734&lt;=DATE(2100,12,31)),Bookings!D734,0),IF(AND(K734&lt;&gt;"",LEN("x"&amp;L734)-LEN(SUBSTITUTE("x"&amp;L734,".",""))=2,OR(1&gt;LEN(L734),MID(L734,1,1)=".",ISNUMBER(FIND("x"&amp;MID(L734,1,1),"x0x1x2x3x4x5x6x7x8x9"))),OR(2&gt;LEN(L734),MID(L734,2,1)=".",ISNUMBER(FIND("x"&amp;MID(L734,2,1),"x0x1x2x3x4x5x6x7x8x9"))),OR(3&gt;LEN(L734),MID(L734,3,1)=".",ISNUMBER(FIND("x"&amp;MID(L734,3,1),"x0x1x2x3x4x5x6x7x8x9"))),OR(4&gt;LEN(L734),MID(L734,4,1)=".",ISNUMBER(FIND("x"&amp;MID(L734,4,1),"x0x1x2x3x4x5x6x7x8x9"))),OR(5&gt;LEN(L734),MID(L734,5,1)=".",ISNUMBER(FIND("x"&amp;MID(L734,5,1),"x0x1x2x3x4x5x6x7x8x9"))),OR(6&gt;LEN(L734),MID(L734,6,1)=".",ISNUMBER(FIND("x"&amp;MID(L734,6,1),"x0x1x2x3x4x5x6x7x8x9"))),OR(7&gt;LEN(L734),MID(L734,7,1)=".",ISNUMBER(FIND("x"&amp;MID(L734,7,1),"x0x1x2x3x4x5x6x7x8x9"))),OR(8&gt;LEN(L734),MID(L734,8,1)=".",ISNUMBER(FIND("x"&amp;MID(L734,8,1),"x0x1x2x3x4x5x6x7x8x9"))),OR(9&gt;LEN(L734),MID(L734,9,1)=".",ISNUMBER(FIND("x"&amp;MID(L734,9,1),"x0x1x2x3x4x5x6x7x8x9"))),OR(10&gt;LEN(L734),MID(L734,10,1)=".",ISNUMBER(FIND("x"&amp;MID(L734,10,1),"x0x1x2x3x4x5x6x7x8x9"))),OR(AND(FIND(".",L734)=5,LEN(L734)-FIND(".",L734,FIND(".",L734)+1)&gt;=1,LEN(L734)-FIND(".",L734,FIND(".",L734)+1)&lt;=2),AND(LEN(L734)-FIND(".",L734,FIND(".",L734)+1)=4,FIND(".",L734)&gt;=2,FIND(".",L734)&lt;=3)),FIND(".",L734,FIND(".",L734)+1)-FIND(".",L734)&gt;=2,FIND(".",L734,FIND(".",L734)+1)-FIND(".",L734)&lt;=3,P734&gt;=2000,P734&lt;=2100,YEAR(S734)=P734,MONTH(S734)=Q734,DAY(S734)=R734),S734,0)),0)</ns0:f>
        <ns0:v>0</ns0:v>
      </ns0:c>
      <ns0:c r="U734" s="0" t="str">
        <ns0:f>IF(Bookings!C734="","Full day",Bookings!C734)</ns0:f>
        <ns0:v>Full day</ns0:v>
      </ns0:c>
      <ns0:c r="V734" s="0" t="str">
        <ns0:f>IF(Bookings!E734="","Full day",Bookings!E734)</ns0:f>
        <ns0:v>Full day</ns0:v>
      </ns0:c>
      <ns0:c r="W734" s="0">
        <ns0:f>IF(J734=0,0,J734+IF(U734="PM",1,0))</ns0:f>
        <ns0:v>0</ns0:v>
      </ns0:c>
      <ns0:c r="X734" s="0">
        <ns0:f>IF(T734=0,0,T734-IF(V734="PM",1,0))</ns0:f>
        <ns0:v>0</ns0:v>
      </ns0:c>
      <ns0:c r="Y734" s="0">
        <ns0:f>IF(J734=0,0,J734+IF(U734="AM",1,0))</ns0:f>
        <ns0:v>0</ns0:v>
      </ns0:c>
      <ns0:c r="Z734" s="0">
        <ns0:f>IF(T734=0,0,T734-IF(V734="AM",1,0))</ns0:f>
        <ns0:v>0</ns0:v>
      </ns0:c>
      <ns0:c r="AA734" s="0">
        <ns0:f>IFERROR(IF(AND(J734&gt;0,'_Engine'!C734&gt;0,MID('_Engine'!W734,WEEKDAY(J734,2),1)="W",COUNTIF(Settings!$F$18:$F$67,J734)=0),1,0),0)</ns0:f>
        <ns0:v>0</ns0:v>
      </ns0:c>
      <ns0:c r="AB734" s="0">
        <ns0:f>IFERROR(IF(AND(T734&gt;0,'_Engine'!C734&gt;0,MID('_Engine'!W734,WEEKDAY(T734,2),1)="W",COUNTIF(Settings!$F$18:$F$67,T734)=0),1,0),0)</ns0:f>
        <ns0:v>0</ns0:v>
      </ns0:c>
      <ns0:c r="AC734" s="0">
        <ns0:f>IF(AND(J734&gt;0,T734&gt;0,W734&lt;=X734),1,0)</ns0:f>
        <ns0:v>0</ns0:v>
      </ns0:c>
      <ns0:c r="AD734" s="0">
        <ns0:f>IF(AND(J734&gt;0,T734&gt;0,Y734&lt;=Z734),1,0)</ns0:f>
        <ns0:v>0</ns0:v>
      </ns0:c>
    </ns0:row>
    <ns0:row r="735">
      <ns0:c r="A735" s="0">
        <ns0:f>IFERROR(IF(ISNUMBER(Bookings!B735),"",TRIM(Bookings!B735&amp;"")),"")</ns0:f>
      </ns0:c>
      <ns0:c r="B735" s="0">
        <ns0:f>IFERROR(SUBSTITUTE(SUBSTITUTE(A735,"/","."),"-","."),"")</ns0:f>
      </ns0:c>
      <ns0:c r="C735" s="0">
        <ns0:f>IFERROR(LEFT(B735,FIND(".",B735)-1),"")</ns0:f>
      </ns0:c>
      <ns0:c r="D735" s="0">
        <ns0:f>IFERROR(MID(B735,FIND(".",B735)+1,FIND(".",B735,FIND(".",B735)+1)-FIND(".",B735)-1),"")</ns0:f>
      </ns0:c>
      <ns0:c r="E735" s="0">
        <ns0:f>IFERROR(MID(B735,FIND(".",B735,FIND(".",B735)+1)+1,99),"")</ns0:f>
        <ns0:v>99</ns0:v>
      </ns0:c>
      <ns0:c r="F735" s="0">
        <ns0:f>IFERROR(IF(FIND(".",B735)=5,--C735,--E735),0)</ns0:f>
        <ns0:v>0</ns0:v>
      </ns0:c>
      <ns0:c r="G735" s="0">
        <ns0:f>IFERROR(--D735,0)</ns0:f>
        <ns0:v>0</ns0:v>
      </ns0:c>
      <ns0:c r="H735" s="0">
        <ns0:f>IFERROR(IF(FIND(".",B735)=5,--E735,--C735),0)</ns0:f>
        <ns0:v>0</ns0:v>
      </ns0:c>
      <ns0:c r="I735" s="0">
        <ns0:f>IFERROR(IF(AND(F735&gt;=2000,F735&lt;=2100,G735&gt;=1,G735&lt;=12,H735&gt;=1,H735&lt;=31),DATE(F735,G735,H735),0),0)</ns0:f>
        <ns0:v>0</ns0:v>
      </ns0:c>
      <ns0:c r="J735" s="0">
        <ns0:f>IFERROR(IF(ISNUMBER(Bookings!B735),IF(AND(Bookings!B735=INT(Bookings!B735),Bookings!B735&gt;=DATE(2000,1,1),Bookings!B735&lt;=DATE(2100,12,31)),Bookings!B735,0),IF(AND(A735&lt;&gt;"",LEN("x"&amp;B735)-LEN(SUBSTITUTE("x"&amp;B735,".",""))=2,OR(1&gt;LEN(B735),MID(B735,1,1)=".",ISNUMBER(FIND("x"&amp;MID(B735,1,1),"x0x1x2x3x4x5x6x7x8x9"))),OR(2&gt;LEN(B735),MID(B735,2,1)=".",ISNUMBER(FIND("x"&amp;MID(B735,2,1),"x0x1x2x3x4x5x6x7x8x9"))),OR(3&gt;LEN(B735),MID(B735,3,1)=".",ISNUMBER(FIND("x"&amp;MID(B735,3,1),"x0x1x2x3x4x5x6x7x8x9"))),OR(4&gt;LEN(B735),MID(B735,4,1)=".",ISNUMBER(FIND("x"&amp;MID(B735,4,1),"x0x1x2x3x4x5x6x7x8x9"))),OR(5&gt;LEN(B735),MID(B735,5,1)=".",ISNUMBER(FIND("x"&amp;MID(B735,5,1),"x0x1x2x3x4x5x6x7x8x9"))),OR(6&gt;LEN(B735),MID(B735,6,1)=".",ISNUMBER(FIND("x"&amp;MID(B735,6,1),"x0x1x2x3x4x5x6x7x8x9"))),OR(7&gt;LEN(B735),MID(B735,7,1)=".",ISNUMBER(FIND("x"&amp;MID(B735,7,1),"x0x1x2x3x4x5x6x7x8x9"))),OR(8&gt;LEN(B735),MID(B735,8,1)=".",ISNUMBER(FIND("x"&amp;MID(B735,8,1),"x0x1x2x3x4x5x6x7x8x9"))),OR(9&gt;LEN(B735),MID(B735,9,1)=".",ISNUMBER(FIND("x"&amp;MID(B735,9,1),"x0x1x2x3x4x5x6x7x8x9"))),OR(10&gt;LEN(B735),MID(B735,10,1)=".",ISNUMBER(FIND("x"&amp;MID(B735,10,1),"x0x1x2x3x4x5x6x7x8x9"))),OR(AND(FIND(".",B735)=5,LEN(B735)-FIND(".",B735,FIND(".",B735)+1)&gt;=1,LEN(B735)-FIND(".",B735,FIND(".",B735)+1)&lt;=2),AND(LEN(B735)-FIND(".",B735,FIND(".",B735)+1)=4,FIND(".",B735)&gt;=2,FIND(".",B735)&lt;=3)),FIND(".",B735,FIND(".",B735)+1)-FIND(".",B735)&gt;=2,FIND(".",B735,FIND(".",B735)+1)-FIND(".",B735)&lt;=3,F735&gt;=2000,F735&lt;=2100,YEAR(I735)=F735,MONTH(I735)=G735,DAY(I735)=H735),I735,0)),0)</ns0:f>
        <ns0:v>0</ns0:v>
      </ns0:c>
      <ns0:c r="K735" s="0">
        <ns0:f>IFERROR(IF(ISNUMBER(Bookings!D735),"",TRIM(Bookings!D735&amp;"")),"")</ns0:f>
      </ns0:c>
      <ns0:c r="L735" s="0">
        <ns0:f>IFERROR(SUBSTITUTE(SUBSTITUTE(K735,"/","."),"-","."),"")</ns0:f>
      </ns0:c>
      <ns0:c r="M735" s="0">
        <ns0:f>IFERROR(LEFT(L735,FIND(".",L735)-1),"")</ns0:f>
      </ns0:c>
      <ns0:c r="N735" s="0">
        <ns0:f>IFERROR(MID(L735,FIND(".",L735)+1,FIND(".",L735,FIND(".",L735)+1)-FIND(".",L735)-1),"")</ns0:f>
      </ns0:c>
      <ns0:c r="O735" s="0">
        <ns0:f>IFERROR(MID(L735,FIND(".",L735,FIND(".",L735)+1)+1,99),"")</ns0:f>
        <ns0:v>99</ns0:v>
      </ns0:c>
      <ns0:c r="P735" s="0">
        <ns0:f>IFERROR(IF(FIND(".",L735)=5,--M735,--O735),0)</ns0:f>
        <ns0:v>0</ns0:v>
      </ns0:c>
      <ns0:c r="Q735" s="0">
        <ns0:f>IFERROR(--N735,0)</ns0:f>
        <ns0:v>0</ns0:v>
      </ns0:c>
      <ns0:c r="R735" s="0">
        <ns0:f>IFERROR(IF(FIND(".",L735)=5,--O735,--M735),0)</ns0:f>
        <ns0:v>0</ns0:v>
      </ns0:c>
      <ns0:c r="S735" s="0">
        <ns0:f>IFERROR(IF(AND(P735&gt;=2000,P735&lt;=2100,Q735&gt;=1,Q735&lt;=12,R735&gt;=1,R735&lt;=31),DATE(P735,Q735,R735),0),0)</ns0:f>
        <ns0:v>0</ns0:v>
      </ns0:c>
      <ns0:c r="T735" s="0">
        <ns0:f>IFERROR(IF(ISNUMBER(Bookings!D735),IF(AND(Bookings!D735=INT(Bookings!D735),Bookings!D735&gt;=DATE(2000,1,1),Bookings!D735&lt;=DATE(2100,12,31)),Bookings!D735,0),IF(AND(K735&lt;&gt;"",LEN("x"&amp;L735)-LEN(SUBSTITUTE("x"&amp;L735,".",""))=2,OR(1&gt;LEN(L735),MID(L735,1,1)=".",ISNUMBER(FIND("x"&amp;MID(L735,1,1),"x0x1x2x3x4x5x6x7x8x9"))),OR(2&gt;LEN(L735),MID(L735,2,1)=".",ISNUMBER(FIND("x"&amp;MID(L735,2,1),"x0x1x2x3x4x5x6x7x8x9"))),OR(3&gt;LEN(L735),MID(L735,3,1)=".",ISNUMBER(FIND("x"&amp;MID(L735,3,1),"x0x1x2x3x4x5x6x7x8x9"))),OR(4&gt;LEN(L735),MID(L735,4,1)=".",ISNUMBER(FIND("x"&amp;MID(L735,4,1),"x0x1x2x3x4x5x6x7x8x9"))),OR(5&gt;LEN(L735),MID(L735,5,1)=".",ISNUMBER(FIND("x"&amp;MID(L735,5,1),"x0x1x2x3x4x5x6x7x8x9"))),OR(6&gt;LEN(L735),MID(L735,6,1)=".",ISNUMBER(FIND("x"&amp;MID(L735,6,1),"x0x1x2x3x4x5x6x7x8x9"))),OR(7&gt;LEN(L735),MID(L735,7,1)=".",ISNUMBER(FIND("x"&amp;MID(L735,7,1),"x0x1x2x3x4x5x6x7x8x9"))),OR(8&gt;LEN(L735),MID(L735,8,1)=".",ISNUMBER(FIND("x"&amp;MID(L735,8,1),"x0x1x2x3x4x5x6x7x8x9"))),OR(9&gt;LEN(L735),MID(L735,9,1)=".",ISNUMBER(FIND("x"&amp;MID(L735,9,1),"x0x1x2x3x4x5x6x7x8x9"))),OR(10&gt;LEN(L735),MID(L735,10,1)=".",ISNUMBER(FIND("x"&amp;MID(L735,10,1),"x0x1x2x3x4x5x6x7x8x9"))),OR(AND(FIND(".",L735)=5,LEN(L735)-FIND(".",L735,FIND(".",L735)+1)&gt;=1,LEN(L735)-FIND(".",L735,FIND(".",L735)+1)&lt;=2),AND(LEN(L735)-FIND(".",L735,FIND(".",L735)+1)=4,FIND(".",L735)&gt;=2,FIND(".",L735)&lt;=3)),FIND(".",L735,FIND(".",L735)+1)-FIND(".",L735)&gt;=2,FIND(".",L735,FIND(".",L735)+1)-FIND(".",L735)&lt;=3,P735&gt;=2000,P735&lt;=2100,YEAR(S735)=P735,MONTH(S735)=Q735,DAY(S735)=R735),S735,0)),0)</ns0:f>
        <ns0:v>0</ns0:v>
      </ns0:c>
      <ns0:c r="U735" s="0" t="str">
        <ns0:f>IF(Bookings!C735="","Full day",Bookings!C735)</ns0:f>
        <ns0:v>Full day</ns0:v>
      </ns0:c>
      <ns0:c r="V735" s="0" t="str">
        <ns0:f>IF(Bookings!E735="","Full day",Bookings!E735)</ns0:f>
        <ns0:v>Full day</ns0:v>
      </ns0:c>
      <ns0:c r="W735" s="0">
        <ns0:f>IF(J735=0,0,J735+IF(U735="PM",1,0))</ns0:f>
        <ns0:v>0</ns0:v>
      </ns0:c>
      <ns0:c r="X735" s="0">
        <ns0:f>IF(T735=0,0,T735-IF(V735="PM",1,0))</ns0:f>
        <ns0:v>0</ns0:v>
      </ns0:c>
      <ns0:c r="Y735" s="0">
        <ns0:f>IF(J735=0,0,J735+IF(U735="AM",1,0))</ns0:f>
        <ns0:v>0</ns0:v>
      </ns0:c>
      <ns0:c r="Z735" s="0">
        <ns0:f>IF(T735=0,0,T735-IF(V735="AM",1,0))</ns0:f>
        <ns0:v>0</ns0:v>
      </ns0:c>
      <ns0:c r="AA735" s="0">
        <ns0:f>IFERROR(IF(AND(J735&gt;0,'_Engine'!C735&gt;0,MID('_Engine'!W735,WEEKDAY(J735,2),1)="W",COUNTIF(Settings!$F$18:$F$67,J735)=0),1,0),0)</ns0:f>
        <ns0:v>0</ns0:v>
      </ns0:c>
      <ns0:c r="AB735" s="0">
        <ns0:f>IFERROR(IF(AND(T735&gt;0,'_Engine'!C735&gt;0,MID('_Engine'!W735,WEEKDAY(T735,2),1)="W",COUNTIF(Settings!$F$18:$F$67,T735)=0),1,0),0)</ns0:f>
        <ns0:v>0</ns0:v>
      </ns0:c>
      <ns0:c r="AC735" s="0">
        <ns0:f>IF(AND(J735&gt;0,T735&gt;0,W735&lt;=X735),1,0)</ns0:f>
        <ns0:v>0</ns0:v>
      </ns0:c>
      <ns0:c r="AD735" s="0">
        <ns0:f>IF(AND(J735&gt;0,T735&gt;0,Y735&lt;=Z735),1,0)</ns0:f>
        <ns0:v>0</ns0:v>
      </ns0:c>
    </ns0:row>
    <ns0:row r="736">
      <ns0:c r="A736" s="0">
        <ns0:f>IFERROR(IF(ISNUMBER(Bookings!B736),"",TRIM(Bookings!B736&amp;"")),"")</ns0:f>
      </ns0:c>
      <ns0:c r="B736" s="0">
        <ns0:f>IFERROR(SUBSTITUTE(SUBSTITUTE(A736,"/","."),"-","."),"")</ns0:f>
      </ns0:c>
      <ns0:c r="C736" s="0">
        <ns0:f>IFERROR(LEFT(B736,FIND(".",B736)-1),"")</ns0:f>
      </ns0:c>
      <ns0:c r="D736" s="0">
        <ns0:f>IFERROR(MID(B736,FIND(".",B736)+1,FIND(".",B736,FIND(".",B736)+1)-FIND(".",B736)-1),"")</ns0:f>
      </ns0:c>
      <ns0:c r="E736" s="0">
        <ns0:f>IFERROR(MID(B736,FIND(".",B736,FIND(".",B736)+1)+1,99),"")</ns0:f>
        <ns0:v>99</ns0:v>
      </ns0:c>
      <ns0:c r="F736" s="0">
        <ns0:f>IFERROR(IF(FIND(".",B736)=5,--C736,--E736),0)</ns0:f>
        <ns0:v>0</ns0:v>
      </ns0:c>
      <ns0:c r="G736" s="0">
        <ns0:f>IFERROR(--D736,0)</ns0:f>
        <ns0:v>0</ns0:v>
      </ns0:c>
      <ns0:c r="H736" s="0">
        <ns0:f>IFERROR(IF(FIND(".",B736)=5,--E736,--C736),0)</ns0:f>
        <ns0:v>0</ns0:v>
      </ns0:c>
      <ns0:c r="I736" s="0">
        <ns0:f>IFERROR(IF(AND(F736&gt;=2000,F736&lt;=2100,G736&gt;=1,G736&lt;=12,H736&gt;=1,H736&lt;=31),DATE(F736,G736,H736),0),0)</ns0:f>
        <ns0:v>0</ns0:v>
      </ns0:c>
      <ns0:c r="J736" s="0">
        <ns0:f>IFERROR(IF(ISNUMBER(Bookings!B736),IF(AND(Bookings!B736=INT(Bookings!B736),Bookings!B736&gt;=DATE(2000,1,1),Bookings!B736&lt;=DATE(2100,12,31)),Bookings!B736,0),IF(AND(A736&lt;&gt;"",LEN("x"&amp;B736)-LEN(SUBSTITUTE("x"&amp;B736,".",""))=2,OR(1&gt;LEN(B736),MID(B736,1,1)=".",ISNUMBER(FIND("x"&amp;MID(B736,1,1),"x0x1x2x3x4x5x6x7x8x9"))),OR(2&gt;LEN(B736),MID(B736,2,1)=".",ISNUMBER(FIND("x"&amp;MID(B736,2,1),"x0x1x2x3x4x5x6x7x8x9"))),OR(3&gt;LEN(B736),MID(B736,3,1)=".",ISNUMBER(FIND("x"&amp;MID(B736,3,1),"x0x1x2x3x4x5x6x7x8x9"))),OR(4&gt;LEN(B736),MID(B736,4,1)=".",ISNUMBER(FIND("x"&amp;MID(B736,4,1),"x0x1x2x3x4x5x6x7x8x9"))),OR(5&gt;LEN(B736),MID(B736,5,1)=".",ISNUMBER(FIND("x"&amp;MID(B736,5,1),"x0x1x2x3x4x5x6x7x8x9"))),OR(6&gt;LEN(B736),MID(B736,6,1)=".",ISNUMBER(FIND("x"&amp;MID(B736,6,1),"x0x1x2x3x4x5x6x7x8x9"))),OR(7&gt;LEN(B736),MID(B736,7,1)=".",ISNUMBER(FIND("x"&amp;MID(B736,7,1),"x0x1x2x3x4x5x6x7x8x9"))),OR(8&gt;LEN(B736),MID(B736,8,1)=".",ISNUMBER(FIND("x"&amp;MID(B736,8,1),"x0x1x2x3x4x5x6x7x8x9"))),OR(9&gt;LEN(B736),MID(B736,9,1)=".",ISNUMBER(FIND("x"&amp;MID(B736,9,1),"x0x1x2x3x4x5x6x7x8x9"))),OR(10&gt;LEN(B736),MID(B736,10,1)=".",ISNUMBER(FIND("x"&amp;MID(B736,10,1),"x0x1x2x3x4x5x6x7x8x9"))),OR(AND(FIND(".",B736)=5,LEN(B736)-FIND(".",B736,FIND(".",B736)+1)&gt;=1,LEN(B736)-FIND(".",B736,FIND(".",B736)+1)&lt;=2),AND(LEN(B736)-FIND(".",B736,FIND(".",B736)+1)=4,FIND(".",B736)&gt;=2,FIND(".",B736)&lt;=3)),FIND(".",B736,FIND(".",B736)+1)-FIND(".",B736)&gt;=2,FIND(".",B736,FIND(".",B736)+1)-FIND(".",B736)&lt;=3,F736&gt;=2000,F736&lt;=2100,YEAR(I736)=F736,MONTH(I736)=G736,DAY(I736)=H736),I736,0)),0)</ns0:f>
        <ns0:v>0</ns0:v>
      </ns0:c>
      <ns0:c r="K736" s="0">
        <ns0:f>IFERROR(IF(ISNUMBER(Bookings!D736),"",TRIM(Bookings!D736&amp;"")),"")</ns0:f>
      </ns0:c>
      <ns0:c r="L736" s="0">
        <ns0:f>IFERROR(SUBSTITUTE(SUBSTITUTE(K736,"/","."),"-","."),"")</ns0:f>
      </ns0:c>
      <ns0:c r="M736" s="0">
        <ns0:f>IFERROR(LEFT(L736,FIND(".",L736)-1),"")</ns0:f>
      </ns0:c>
      <ns0:c r="N736" s="0">
        <ns0:f>IFERROR(MID(L736,FIND(".",L736)+1,FIND(".",L736,FIND(".",L736)+1)-FIND(".",L736)-1),"")</ns0:f>
      </ns0:c>
      <ns0:c r="O736" s="0">
        <ns0:f>IFERROR(MID(L736,FIND(".",L736,FIND(".",L736)+1)+1,99),"")</ns0:f>
        <ns0:v>99</ns0:v>
      </ns0:c>
      <ns0:c r="P736" s="0">
        <ns0:f>IFERROR(IF(FIND(".",L736)=5,--M736,--O736),0)</ns0:f>
        <ns0:v>0</ns0:v>
      </ns0:c>
      <ns0:c r="Q736" s="0">
        <ns0:f>IFERROR(--N736,0)</ns0:f>
        <ns0:v>0</ns0:v>
      </ns0:c>
      <ns0:c r="R736" s="0">
        <ns0:f>IFERROR(IF(FIND(".",L736)=5,--O736,--M736),0)</ns0:f>
        <ns0:v>0</ns0:v>
      </ns0:c>
      <ns0:c r="S736" s="0">
        <ns0:f>IFERROR(IF(AND(P736&gt;=2000,P736&lt;=2100,Q736&gt;=1,Q736&lt;=12,R736&gt;=1,R736&lt;=31),DATE(P736,Q736,R736),0),0)</ns0:f>
        <ns0:v>0</ns0:v>
      </ns0:c>
      <ns0:c r="T736" s="0">
        <ns0:f>IFERROR(IF(ISNUMBER(Bookings!D736),IF(AND(Bookings!D736=INT(Bookings!D736),Bookings!D736&gt;=DATE(2000,1,1),Bookings!D736&lt;=DATE(2100,12,31)),Bookings!D736,0),IF(AND(K736&lt;&gt;"",LEN("x"&amp;L736)-LEN(SUBSTITUTE("x"&amp;L736,".",""))=2,OR(1&gt;LEN(L736),MID(L736,1,1)=".",ISNUMBER(FIND("x"&amp;MID(L736,1,1),"x0x1x2x3x4x5x6x7x8x9"))),OR(2&gt;LEN(L736),MID(L736,2,1)=".",ISNUMBER(FIND("x"&amp;MID(L736,2,1),"x0x1x2x3x4x5x6x7x8x9"))),OR(3&gt;LEN(L736),MID(L736,3,1)=".",ISNUMBER(FIND("x"&amp;MID(L736,3,1),"x0x1x2x3x4x5x6x7x8x9"))),OR(4&gt;LEN(L736),MID(L736,4,1)=".",ISNUMBER(FIND("x"&amp;MID(L736,4,1),"x0x1x2x3x4x5x6x7x8x9"))),OR(5&gt;LEN(L736),MID(L736,5,1)=".",ISNUMBER(FIND("x"&amp;MID(L736,5,1),"x0x1x2x3x4x5x6x7x8x9"))),OR(6&gt;LEN(L736),MID(L736,6,1)=".",ISNUMBER(FIND("x"&amp;MID(L736,6,1),"x0x1x2x3x4x5x6x7x8x9"))),OR(7&gt;LEN(L736),MID(L736,7,1)=".",ISNUMBER(FIND("x"&amp;MID(L736,7,1),"x0x1x2x3x4x5x6x7x8x9"))),OR(8&gt;LEN(L736),MID(L736,8,1)=".",ISNUMBER(FIND("x"&amp;MID(L736,8,1),"x0x1x2x3x4x5x6x7x8x9"))),OR(9&gt;LEN(L736),MID(L736,9,1)=".",ISNUMBER(FIND("x"&amp;MID(L736,9,1),"x0x1x2x3x4x5x6x7x8x9"))),OR(10&gt;LEN(L736),MID(L736,10,1)=".",ISNUMBER(FIND("x"&amp;MID(L736,10,1),"x0x1x2x3x4x5x6x7x8x9"))),OR(AND(FIND(".",L736)=5,LEN(L736)-FIND(".",L736,FIND(".",L736)+1)&gt;=1,LEN(L736)-FIND(".",L736,FIND(".",L736)+1)&lt;=2),AND(LEN(L736)-FIND(".",L736,FIND(".",L736)+1)=4,FIND(".",L736)&gt;=2,FIND(".",L736)&lt;=3)),FIND(".",L736,FIND(".",L736)+1)-FIND(".",L736)&gt;=2,FIND(".",L736,FIND(".",L736)+1)-FIND(".",L736)&lt;=3,P736&gt;=2000,P736&lt;=2100,YEAR(S736)=P736,MONTH(S736)=Q736,DAY(S736)=R736),S736,0)),0)</ns0:f>
        <ns0:v>0</ns0:v>
      </ns0:c>
      <ns0:c r="U736" s="0" t="str">
        <ns0:f>IF(Bookings!C736="","Full day",Bookings!C736)</ns0:f>
        <ns0:v>Full day</ns0:v>
      </ns0:c>
      <ns0:c r="V736" s="0" t="str">
        <ns0:f>IF(Bookings!E736="","Full day",Bookings!E736)</ns0:f>
        <ns0:v>Full day</ns0:v>
      </ns0:c>
      <ns0:c r="W736" s="0">
        <ns0:f>IF(J736=0,0,J736+IF(U736="PM",1,0))</ns0:f>
        <ns0:v>0</ns0:v>
      </ns0:c>
      <ns0:c r="X736" s="0">
        <ns0:f>IF(T736=0,0,T736-IF(V736="PM",1,0))</ns0:f>
        <ns0:v>0</ns0:v>
      </ns0:c>
      <ns0:c r="Y736" s="0">
        <ns0:f>IF(J736=0,0,J736+IF(U736="AM",1,0))</ns0:f>
        <ns0:v>0</ns0:v>
      </ns0:c>
      <ns0:c r="Z736" s="0">
        <ns0:f>IF(T736=0,0,T736-IF(V736="AM",1,0))</ns0:f>
        <ns0:v>0</ns0:v>
      </ns0:c>
      <ns0:c r="AA736" s="0">
        <ns0:f>IFERROR(IF(AND(J736&gt;0,'_Engine'!C736&gt;0,MID('_Engine'!W736,WEEKDAY(J736,2),1)="W",COUNTIF(Settings!$F$18:$F$67,J736)=0),1,0),0)</ns0:f>
        <ns0:v>0</ns0:v>
      </ns0:c>
      <ns0:c r="AB736" s="0">
        <ns0:f>IFERROR(IF(AND(T736&gt;0,'_Engine'!C736&gt;0,MID('_Engine'!W736,WEEKDAY(T736,2),1)="W",COUNTIF(Settings!$F$18:$F$67,T736)=0),1,0),0)</ns0:f>
        <ns0:v>0</ns0:v>
      </ns0:c>
      <ns0:c r="AC736" s="0">
        <ns0:f>IF(AND(J736&gt;0,T736&gt;0,W736&lt;=X736),1,0)</ns0:f>
        <ns0:v>0</ns0:v>
      </ns0:c>
      <ns0:c r="AD736" s="0">
        <ns0:f>IF(AND(J736&gt;0,T736&gt;0,Y736&lt;=Z736),1,0)</ns0:f>
        <ns0:v>0</ns0:v>
      </ns0:c>
    </ns0:row>
    <ns0:row r="737">
      <ns0:c r="A737" s="0">
        <ns0:f>IFERROR(IF(ISNUMBER(Bookings!B737),"",TRIM(Bookings!B737&amp;"")),"")</ns0:f>
      </ns0:c>
      <ns0:c r="B737" s="0">
        <ns0:f>IFERROR(SUBSTITUTE(SUBSTITUTE(A737,"/","."),"-","."),"")</ns0:f>
      </ns0:c>
      <ns0:c r="C737" s="0">
        <ns0:f>IFERROR(LEFT(B737,FIND(".",B737)-1),"")</ns0:f>
      </ns0:c>
      <ns0:c r="D737" s="0">
        <ns0:f>IFERROR(MID(B737,FIND(".",B737)+1,FIND(".",B737,FIND(".",B737)+1)-FIND(".",B737)-1),"")</ns0:f>
      </ns0:c>
      <ns0:c r="E737" s="0">
        <ns0:f>IFERROR(MID(B737,FIND(".",B737,FIND(".",B737)+1)+1,99),"")</ns0:f>
        <ns0:v>99</ns0:v>
      </ns0:c>
      <ns0:c r="F737" s="0">
        <ns0:f>IFERROR(IF(FIND(".",B737)=5,--C737,--E737),0)</ns0:f>
        <ns0:v>0</ns0:v>
      </ns0:c>
      <ns0:c r="G737" s="0">
        <ns0:f>IFERROR(--D737,0)</ns0:f>
        <ns0:v>0</ns0:v>
      </ns0:c>
      <ns0:c r="H737" s="0">
        <ns0:f>IFERROR(IF(FIND(".",B737)=5,--E737,--C737),0)</ns0:f>
        <ns0:v>0</ns0:v>
      </ns0:c>
      <ns0:c r="I737" s="0">
        <ns0:f>IFERROR(IF(AND(F737&gt;=2000,F737&lt;=2100,G737&gt;=1,G737&lt;=12,H737&gt;=1,H737&lt;=31),DATE(F737,G737,H737),0),0)</ns0:f>
        <ns0:v>0</ns0:v>
      </ns0:c>
      <ns0:c r="J737" s="0">
        <ns0:f>IFERROR(IF(ISNUMBER(Bookings!B737),IF(AND(Bookings!B737=INT(Bookings!B737),Bookings!B737&gt;=DATE(2000,1,1),Bookings!B737&lt;=DATE(2100,12,31)),Bookings!B737,0),IF(AND(A737&lt;&gt;"",LEN("x"&amp;B737)-LEN(SUBSTITUTE("x"&amp;B737,".",""))=2,OR(1&gt;LEN(B737),MID(B737,1,1)=".",ISNUMBER(FIND("x"&amp;MID(B737,1,1),"x0x1x2x3x4x5x6x7x8x9"))),OR(2&gt;LEN(B737),MID(B737,2,1)=".",ISNUMBER(FIND("x"&amp;MID(B737,2,1),"x0x1x2x3x4x5x6x7x8x9"))),OR(3&gt;LEN(B737),MID(B737,3,1)=".",ISNUMBER(FIND("x"&amp;MID(B737,3,1),"x0x1x2x3x4x5x6x7x8x9"))),OR(4&gt;LEN(B737),MID(B737,4,1)=".",ISNUMBER(FIND("x"&amp;MID(B737,4,1),"x0x1x2x3x4x5x6x7x8x9"))),OR(5&gt;LEN(B737),MID(B737,5,1)=".",ISNUMBER(FIND("x"&amp;MID(B737,5,1),"x0x1x2x3x4x5x6x7x8x9"))),OR(6&gt;LEN(B737),MID(B737,6,1)=".",ISNUMBER(FIND("x"&amp;MID(B737,6,1),"x0x1x2x3x4x5x6x7x8x9"))),OR(7&gt;LEN(B737),MID(B737,7,1)=".",ISNUMBER(FIND("x"&amp;MID(B737,7,1),"x0x1x2x3x4x5x6x7x8x9"))),OR(8&gt;LEN(B737),MID(B737,8,1)=".",ISNUMBER(FIND("x"&amp;MID(B737,8,1),"x0x1x2x3x4x5x6x7x8x9"))),OR(9&gt;LEN(B737),MID(B737,9,1)=".",ISNUMBER(FIND("x"&amp;MID(B737,9,1),"x0x1x2x3x4x5x6x7x8x9"))),OR(10&gt;LEN(B737),MID(B737,10,1)=".",ISNUMBER(FIND("x"&amp;MID(B737,10,1),"x0x1x2x3x4x5x6x7x8x9"))),OR(AND(FIND(".",B737)=5,LEN(B737)-FIND(".",B737,FIND(".",B737)+1)&gt;=1,LEN(B737)-FIND(".",B737,FIND(".",B737)+1)&lt;=2),AND(LEN(B737)-FIND(".",B737,FIND(".",B737)+1)=4,FIND(".",B737)&gt;=2,FIND(".",B737)&lt;=3)),FIND(".",B737,FIND(".",B737)+1)-FIND(".",B737)&gt;=2,FIND(".",B737,FIND(".",B737)+1)-FIND(".",B737)&lt;=3,F737&gt;=2000,F737&lt;=2100,YEAR(I737)=F737,MONTH(I737)=G737,DAY(I737)=H737),I737,0)),0)</ns0:f>
        <ns0:v>0</ns0:v>
      </ns0:c>
      <ns0:c r="K737" s="0">
        <ns0:f>IFERROR(IF(ISNUMBER(Bookings!D737),"",TRIM(Bookings!D737&amp;"")),"")</ns0:f>
      </ns0:c>
      <ns0:c r="L737" s="0">
        <ns0:f>IFERROR(SUBSTITUTE(SUBSTITUTE(K737,"/","."),"-","."),"")</ns0:f>
      </ns0:c>
      <ns0:c r="M737" s="0">
        <ns0:f>IFERROR(LEFT(L737,FIND(".",L737)-1),"")</ns0:f>
      </ns0:c>
      <ns0:c r="N737" s="0">
        <ns0:f>IFERROR(MID(L737,FIND(".",L737)+1,FIND(".",L737,FIND(".",L737)+1)-FIND(".",L737)-1),"")</ns0:f>
      </ns0:c>
      <ns0:c r="O737" s="0">
        <ns0:f>IFERROR(MID(L737,FIND(".",L737,FIND(".",L737)+1)+1,99),"")</ns0:f>
        <ns0:v>99</ns0:v>
      </ns0:c>
      <ns0:c r="P737" s="0">
        <ns0:f>IFERROR(IF(FIND(".",L737)=5,--M737,--O737),0)</ns0:f>
        <ns0:v>0</ns0:v>
      </ns0:c>
      <ns0:c r="Q737" s="0">
        <ns0:f>IFERROR(--N737,0)</ns0:f>
        <ns0:v>0</ns0:v>
      </ns0:c>
      <ns0:c r="R737" s="0">
        <ns0:f>IFERROR(IF(FIND(".",L737)=5,--O737,--M737),0)</ns0:f>
        <ns0:v>0</ns0:v>
      </ns0:c>
      <ns0:c r="S737" s="0">
        <ns0:f>IFERROR(IF(AND(P737&gt;=2000,P737&lt;=2100,Q737&gt;=1,Q737&lt;=12,R737&gt;=1,R737&lt;=31),DATE(P737,Q737,R737),0),0)</ns0:f>
        <ns0:v>0</ns0:v>
      </ns0:c>
      <ns0:c r="T737" s="0">
        <ns0:f>IFERROR(IF(ISNUMBER(Bookings!D737),IF(AND(Bookings!D737=INT(Bookings!D737),Bookings!D737&gt;=DATE(2000,1,1),Bookings!D737&lt;=DATE(2100,12,31)),Bookings!D737,0),IF(AND(K737&lt;&gt;"",LEN("x"&amp;L737)-LEN(SUBSTITUTE("x"&amp;L737,".",""))=2,OR(1&gt;LEN(L737),MID(L737,1,1)=".",ISNUMBER(FIND("x"&amp;MID(L737,1,1),"x0x1x2x3x4x5x6x7x8x9"))),OR(2&gt;LEN(L737),MID(L737,2,1)=".",ISNUMBER(FIND("x"&amp;MID(L737,2,1),"x0x1x2x3x4x5x6x7x8x9"))),OR(3&gt;LEN(L737),MID(L737,3,1)=".",ISNUMBER(FIND("x"&amp;MID(L737,3,1),"x0x1x2x3x4x5x6x7x8x9"))),OR(4&gt;LEN(L737),MID(L737,4,1)=".",ISNUMBER(FIND("x"&amp;MID(L737,4,1),"x0x1x2x3x4x5x6x7x8x9"))),OR(5&gt;LEN(L737),MID(L737,5,1)=".",ISNUMBER(FIND("x"&amp;MID(L737,5,1),"x0x1x2x3x4x5x6x7x8x9"))),OR(6&gt;LEN(L737),MID(L737,6,1)=".",ISNUMBER(FIND("x"&amp;MID(L737,6,1),"x0x1x2x3x4x5x6x7x8x9"))),OR(7&gt;LEN(L737),MID(L737,7,1)=".",ISNUMBER(FIND("x"&amp;MID(L737,7,1),"x0x1x2x3x4x5x6x7x8x9"))),OR(8&gt;LEN(L737),MID(L737,8,1)=".",ISNUMBER(FIND("x"&amp;MID(L737,8,1),"x0x1x2x3x4x5x6x7x8x9"))),OR(9&gt;LEN(L737),MID(L737,9,1)=".",ISNUMBER(FIND("x"&amp;MID(L737,9,1),"x0x1x2x3x4x5x6x7x8x9"))),OR(10&gt;LEN(L737),MID(L737,10,1)=".",ISNUMBER(FIND("x"&amp;MID(L737,10,1),"x0x1x2x3x4x5x6x7x8x9"))),OR(AND(FIND(".",L737)=5,LEN(L737)-FIND(".",L737,FIND(".",L737)+1)&gt;=1,LEN(L737)-FIND(".",L737,FIND(".",L737)+1)&lt;=2),AND(LEN(L737)-FIND(".",L737,FIND(".",L737)+1)=4,FIND(".",L737)&gt;=2,FIND(".",L737)&lt;=3)),FIND(".",L737,FIND(".",L737)+1)-FIND(".",L737)&gt;=2,FIND(".",L737,FIND(".",L737)+1)-FIND(".",L737)&lt;=3,P737&gt;=2000,P737&lt;=2100,YEAR(S737)=P737,MONTH(S737)=Q737,DAY(S737)=R737),S737,0)),0)</ns0:f>
        <ns0:v>0</ns0:v>
      </ns0:c>
      <ns0:c r="U737" s="0" t="str">
        <ns0:f>IF(Bookings!C737="","Full day",Bookings!C737)</ns0:f>
        <ns0:v>Full day</ns0:v>
      </ns0:c>
      <ns0:c r="V737" s="0" t="str">
        <ns0:f>IF(Bookings!E737="","Full day",Bookings!E737)</ns0:f>
        <ns0:v>Full day</ns0:v>
      </ns0:c>
      <ns0:c r="W737" s="0">
        <ns0:f>IF(J737=0,0,J737+IF(U737="PM",1,0))</ns0:f>
        <ns0:v>0</ns0:v>
      </ns0:c>
      <ns0:c r="X737" s="0">
        <ns0:f>IF(T737=0,0,T737-IF(V737="PM",1,0))</ns0:f>
        <ns0:v>0</ns0:v>
      </ns0:c>
      <ns0:c r="Y737" s="0">
        <ns0:f>IF(J737=0,0,J737+IF(U737="AM",1,0))</ns0:f>
        <ns0:v>0</ns0:v>
      </ns0:c>
      <ns0:c r="Z737" s="0">
        <ns0:f>IF(T737=0,0,T737-IF(V737="AM",1,0))</ns0:f>
        <ns0:v>0</ns0:v>
      </ns0:c>
      <ns0:c r="AA737" s="0">
        <ns0:f>IFERROR(IF(AND(J737&gt;0,'_Engine'!C737&gt;0,MID('_Engine'!W737,WEEKDAY(J737,2),1)="W",COUNTIF(Settings!$F$18:$F$67,J737)=0),1,0),0)</ns0:f>
        <ns0:v>0</ns0:v>
      </ns0:c>
      <ns0:c r="AB737" s="0">
        <ns0:f>IFERROR(IF(AND(T737&gt;0,'_Engine'!C737&gt;0,MID('_Engine'!W737,WEEKDAY(T737,2),1)="W",COUNTIF(Settings!$F$18:$F$67,T737)=0),1,0),0)</ns0:f>
        <ns0:v>0</ns0:v>
      </ns0:c>
      <ns0:c r="AC737" s="0">
        <ns0:f>IF(AND(J737&gt;0,T737&gt;0,W737&lt;=X737),1,0)</ns0:f>
        <ns0:v>0</ns0:v>
      </ns0:c>
      <ns0:c r="AD737" s="0">
        <ns0:f>IF(AND(J737&gt;0,T737&gt;0,Y737&lt;=Z737),1,0)</ns0:f>
        <ns0:v>0</ns0:v>
      </ns0:c>
    </ns0:row>
    <ns0:row r="738">
      <ns0:c r="A738" s="0">
        <ns0:f>IFERROR(IF(ISNUMBER(Bookings!B738),"",TRIM(Bookings!B738&amp;"")),"")</ns0:f>
      </ns0:c>
      <ns0:c r="B738" s="0">
        <ns0:f>IFERROR(SUBSTITUTE(SUBSTITUTE(A738,"/","."),"-","."),"")</ns0:f>
      </ns0:c>
      <ns0:c r="C738" s="0">
        <ns0:f>IFERROR(LEFT(B738,FIND(".",B738)-1),"")</ns0:f>
      </ns0:c>
      <ns0:c r="D738" s="0">
        <ns0:f>IFERROR(MID(B738,FIND(".",B738)+1,FIND(".",B738,FIND(".",B738)+1)-FIND(".",B738)-1),"")</ns0:f>
      </ns0:c>
      <ns0:c r="E738" s="0">
        <ns0:f>IFERROR(MID(B738,FIND(".",B738,FIND(".",B738)+1)+1,99),"")</ns0:f>
        <ns0:v>99</ns0:v>
      </ns0:c>
      <ns0:c r="F738" s="0">
        <ns0:f>IFERROR(IF(FIND(".",B738)=5,--C738,--E738),0)</ns0:f>
        <ns0:v>0</ns0:v>
      </ns0:c>
      <ns0:c r="G738" s="0">
        <ns0:f>IFERROR(--D738,0)</ns0:f>
        <ns0:v>0</ns0:v>
      </ns0:c>
      <ns0:c r="H738" s="0">
        <ns0:f>IFERROR(IF(FIND(".",B738)=5,--E738,--C738),0)</ns0:f>
        <ns0:v>0</ns0:v>
      </ns0:c>
      <ns0:c r="I738" s="0">
        <ns0:f>IFERROR(IF(AND(F738&gt;=2000,F738&lt;=2100,G738&gt;=1,G738&lt;=12,H738&gt;=1,H738&lt;=31),DATE(F738,G738,H738),0),0)</ns0:f>
        <ns0:v>0</ns0:v>
      </ns0:c>
      <ns0:c r="J738" s="0">
        <ns0:f>IFERROR(IF(ISNUMBER(Bookings!B738),IF(AND(Bookings!B738=INT(Bookings!B738),Bookings!B738&gt;=DATE(2000,1,1),Bookings!B738&lt;=DATE(2100,12,31)),Bookings!B738,0),IF(AND(A738&lt;&gt;"",LEN("x"&amp;B738)-LEN(SUBSTITUTE("x"&amp;B738,".",""))=2,OR(1&gt;LEN(B738),MID(B738,1,1)=".",ISNUMBER(FIND("x"&amp;MID(B738,1,1),"x0x1x2x3x4x5x6x7x8x9"))),OR(2&gt;LEN(B738),MID(B738,2,1)=".",ISNUMBER(FIND("x"&amp;MID(B738,2,1),"x0x1x2x3x4x5x6x7x8x9"))),OR(3&gt;LEN(B738),MID(B738,3,1)=".",ISNUMBER(FIND("x"&amp;MID(B738,3,1),"x0x1x2x3x4x5x6x7x8x9"))),OR(4&gt;LEN(B738),MID(B738,4,1)=".",ISNUMBER(FIND("x"&amp;MID(B738,4,1),"x0x1x2x3x4x5x6x7x8x9"))),OR(5&gt;LEN(B738),MID(B738,5,1)=".",ISNUMBER(FIND("x"&amp;MID(B738,5,1),"x0x1x2x3x4x5x6x7x8x9"))),OR(6&gt;LEN(B738),MID(B738,6,1)=".",ISNUMBER(FIND("x"&amp;MID(B738,6,1),"x0x1x2x3x4x5x6x7x8x9"))),OR(7&gt;LEN(B738),MID(B738,7,1)=".",ISNUMBER(FIND("x"&amp;MID(B738,7,1),"x0x1x2x3x4x5x6x7x8x9"))),OR(8&gt;LEN(B738),MID(B738,8,1)=".",ISNUMBER(FIND("x"&amp;MID(B738,8,1),"x0x1x2x3x4x5x6x7x8x9"))),OR(9&gt;LEN(B738),MID(B738,9,1)=".",ISNUMBER(FIND("x"&amp;MID(B738,9,1),"x0x1x2x3x4x5x6x7x8x9"))),OR(10&gt;LEN(B738),MID(B738,10,1)=".",ISNUMBER(FIND("x"&amp;MID(B738,10,1),"x0x1x2x3x4x5x6x7x8x9"))),OR(AND(FIND(".",B738)=5,LEN(B738)-FIND(".",B738,FIND(".",B738)+1)&gt;=1,LEN(B738)-FIND(".",B738,FIND(".",B738)+1)&lt;=2),AND(LEN(B738)-FIND(".",B738,FIND(".",B738)+1)=4,FIND(".",B738)&gt;=2,FIND(".",B738)&lt;=3)),FIND(".",B738,FIND(".",B738)+1)-FIND(".",B738)&gt;=2,FIND(".",B738,FIND(".",B738)+1)-FIND(".",B738)&lt;=3,F738&gt;=2000,F738&lt;=2100,YEAR(I738)=F738,MONTH(I738)=G738,DAY(I738)=H738),I738,0)),0)</ns0:f>
        <ns0:v>0</ns0:v>
      </ns0:c>
      <ns0:c r="K738" s="0">
        <ns0:f>IFERROR(IF(ISNUMBER(Bookings!D738),"",TRIM(Bookings!D738&amp;"")),"")</ns0:f>
      </ns0:c>
      <ns0:c r="L738" s="0">
        <ns0:f>IFERROR(SUBSTITUTE(SUBSTITUTE(K738,"/","."),"-","."),"")</ns0:f>
      </ns0:c>
      <ns0:c r="M738" s="0">
        <ns0:f>IFERROR(LEFT(L738,FIND(".",L738)-1),"")</ns0:f>
      </ns0:c>
      <ns0:c r="N738" s="0">
        <ns0:f>IFERROR(MID(L738,FIND(".",L738)+1,FIND(".",L738,FIND(".",L738)+1)-FIND(".",L738)-1),"")</ns0:f>
      </ns0:c>
      <ns0:c r="O738" s="0">
        <ns0:f>IFERROR(MID(L738,FIND(".",L738,FIND(".",L738)+1)+1,99),"")</ns0:f>
        <ns0:v>99</ns0:v>
      </ns0:c>
      <ns0:c r="P738" s="0">
        <ns0:f>IFERROR(IF(FIND(".",L738)=5,--M738,--O738),0)</ns0:f>
        <ns0:v>0</ns0:v>
      </ns0:c>
      <ns0:c r="Q738" s="0">
        <ns0:f>IFERROR(--N738,0)</ns0:f>
        <ns0:v>0</ns0:v>
      </ns0:c>
      <ns0:c r="R738" s="0">
        <ns0:f>IFERROR(IF(FIND(".",L738)=5,--O738,--M738),0)</ns0:f>
        <ns0:v>0</ns0:v>
      </ns0:c>
      <ns0:c r="S738" s="0">
        <ns0:f>IFERROR(IF(AND(P738&gt;=2000,P738&lt;=2100,Q738&gt;=1,Q738&lt;=12,R738&gt;=1,R738&lt;=31),DATE(P738,Q738,R738),0),0)</ns0:f>
        <ns0:v>0</ns0:v>
      </ns0:c>
      <ns0:c r="T738" s="0">
        <ns0:f>IFERROR(IF(ISNUMBER(Bookings!D738),IF(AND(Bookings!D738=INT(Bookings!D738),Bookings!D738&gt;=DATE(2000,1,1),Bookings!D738&lt;=DATE(2100,12,31)),Bookings!D738,0),IF(AND(K738&lt;&gt;"",LEN("x"&amp;L738)-LEN(SUBSTITUTE("x"&amp;L738,".",""))=2,OR(1&gt;LEN(L738),MID(L738,1,1)=".",ISNUMBER(FIND("x"&amp;MID(L738,1,1),"x0x1x2x3x4x5x6x7x8x9"))),OR(2&gt;LEN(L738),MID(L738,2,1)=".",ISNUMBER(FIND("x"&amp;MID(L738,2,1),"x0x1x2x3x4x5x6x7x8x9"))),OR(3&gt;LEN(L738),MID(L738,3,1)=".",ISNUMBER(FIND("x"&amp;MID(L738,3,1),"x0x1x2x3x4x5x6x7x8x9"))),OR(4&gt;LEN(L738),MID(L738,4,1)=".",ISNUMBER(FIND("x"&amp;MID(L738,4,1),"x0x1x2x3x4x5x6x7x8x9"))),OR(5&gt;LEN(L738),MID(L738,5,1)=".",ISNUMBER(FIND("x"&amp;MID(L738,5,1),"x0x1x2x3x4x5x6x7x8x9"))),OR(6&gt;LEN(L738),MID(L738,6,1)=".",ISNUMBER(FIND("x"&amp;MID(L738,6,1),"x0x1x2x3x4x5x6x7x8x9"))),OR(7&gt;LEN(L738),MID(L738,7,1)=".",ISNUMBER(FIND("x"&amp;MID(L738,7,1),"x0x1x2x3x4x5x6x7x8x9"))),OR(8&gt;LEN(L738),MID(L738,8,1)=".",ISNUMBER(FIND("x"&amp;MID(L738,8,1),"x0x1x2x3x4x5x6x7x8x9"))),OR(9&gt;LEN(L738),MID(L738,9,1)=".",ISNUMBER(FIND("x"&amp;MID(L738,9,1),"x0x1x2x3x4x5x6x7x8x9"))),OR(10&gt;LEN(L738),MID(L738,10,1)=".",ISNUMBER(FIND("x"&amp;MID(L738,10,1),"x0x1x2x3x4x5x6x7x8x9"))),OR(AND(FIND(".",L738)=5,LEN(L738)-FIND(".",L738,FIND(".",L738)+1)&gt;=1,LEN(L738)-FIND(".",L738,FIND(".",L738)+1)&lt;=2),AND(LEN(L738)-FIND(".",L738,FIND(".",L738)+1)=4,FIND(".",L738)&gt;=2,FIND(".",L738)&lt;=3)),FIND(".",L738,FIND(".",L738)+1)-FIND(".",L738)&gt;=2,FIND(".",L738,FIND(".",L738)+1)-FIND(".",L738)&lt;=3,P738&gt;=2000,P738&lt;=2100,YEAR(S738)=P738,MONTH(S738)=Q738,DAY(S738)=R738),S738,0)),0)</ns0:f>
        <ns0:v>0</ns0:v>
      </ns0:c>
      <ns0:c r="U738" s="0" t="str">
        <ns0:f>IF(Bookings!C738="","Full day",Bookings!C738)</ns0:f>
        <ns0:v>Full day</ns0:v>
      </ns0:c>
      <ns0:c r="V738" s="0" t="str">
        <ns0:f>IF(Bookings!E738="","Full day",Bookings!E738)</ns0:f>
        <ns0:v>Full day</ns0:v>
      </ns0:c>
      <ns0:c r="W738" s="0">
        <ns0:f>IF(J738=0,0,J738+IF(U738="PM",1,0))</ns0:f>
        <ns0:v>0</ns0:v>
      </ns0:c>
      <ns0:c r="X738" s="0">
        <ns0:f>IF(T738=0,0,T738-IF(V738="PM",1,0))</ns0:f>
        <ns0:v>0</ns0:v>
      </ns0:c>
      <ns0:c r="Y738" s="0">
        <ns0:f>IF(J738=0,0,J738+IF(U738="AM",1,0))</ns0:f>
        <ns0:v>0</ns0:v>
      </ns0:c>
      <ns0:c r="Z738" s="0">
        <ns0:f>IF(T738=0,0,T738-IF(V738="AM",1,0))</ns0:f>
        <ns0:v>0</ns0:v>
      </ns0:c>
      <ns0:c r="AA738" s="0">
        <ns0:f>IFERROR(IF(AND(J738&gt;0,'_Engine'!C738&gt;0,MID('_Engine'!W738,WEEKDAY(J738,2),1)="W",COUNTIF(Settings!$F$18:$F$67,J738)=0),1,0),0)</ns0:f>
        <ns0:v>0</ns0:v>
      </ns0:c>
      <ns0:c r="AB738" s="0">
        <ns0:f>IFERROR(IF(AND(T738&gt;0,'_Engine'!C738&gt;0,MID('_Engine'!W738,WEEKDAY(T738,2),1)="W",COUNTIF(Settings!$F$18:$F$67,T738)=0),1,0),0)</ns0:f>
        <ns0:v>0</ns0:v>
      </ns0:c>
      <ns0:c r="AC738" s="0">
        <ns0:f>IF(AND(J738&gt;0,T738&gt;0,W738&lt;=X738),1,0)</ns0:f>
        <ns0:v>0</ns0:v>
      </ns0:c>
      <ns0:c r="AD738" s="0">
        <ns0:f>IF(AND(J738&gt;0,T738&gt;0,Y738&lt;=Z738),1,0)</ns0:f>
        <ns0:v>0</ns0:v>
      </ns0:c>
    </ns0:row>
    <ns0:row r="739">
      <ns0:c r="A739" s="0">
        <ns0:f>IFERROR(IF(ISNUMBER(Bookings!B739),"",TRIM(Bookings!B739&amp;"")),"")</ns0:f>
      </ns0:c>
      <ns0:c r="B739" s="0">
        <ns0:f>IFERROR(SUBSTITUTE(SUBSTITUTE(A739,"/","."),"-","."),"")</ns0:f>
      </ns0:c>
      <ns0:c r="C739" s="0">
        <ns0:f>IFERROR(LEFT(B739,FIND(".",B739)-1),"")</ns0:f>
      </ns0:c>
      <ns0:c r="D739" s="0">
        <ns0:f>IFERROR(MID(B739,FIND(".",B739)+1,FIND(".",B739,FIND(".",B739)+1)-FIND(".",B739)-1),"")</ns0:f>
      </ns0:c>
      <ns0:c r="E739" s="0">
        <ns0:f>IFERROR(MID(B739,FIND(".",B739,FIND(".",B739)+1)+1,99),"")</ns0:f>
        <ns0:v>99</ns0:v>
      </ns0:c>
      <ns0:c r="F739" s="0">
        <ns0:f>IFERROR(IF(FIND(".",B739)=5,--C739,--E739),0)</ns0:f>
        <ns0:v>0</ns0:v>
      </ns0:c>
      <ns0:c r="G739" s="0">
        <ns0:f>IFERROR(--D739,0)</ns0:f>
        <ns0:v>0</ns0:v>
      </ns0:c>
      <ns0:c r="H739" s="0">
        <ns0:f>IFERROR(IF(FIND(".",B739)=5,--E739,--C739),0)</ns0:f>
        <ns0:v>0</ns0:v>
      </ns0:c>
      <ns0:c r="I739" s="0">
        <ns0:f>IFERROR(IF(AND(F739&gt;=2000,F739&lt;=2100,G739&gt;=1,G739&lt;=12,H739&gt;=1,H739&lt;=31),DATE(F739,G739,H739),0),0)</ns0:f>
        <ns0:v>0</ns0:v>
      </ns0:c>
      <ns0:c r="J739" s="0">
        <ns0:f>IFERROR(IF(ISNUMBER(Bookings!B739),IF(AND(Bookings!B739=INT(Bookings!B739),Bookings!B739&gt;=DATE(2000,1,1),Bookings!B739&lt;=DATE(2100,12,31)),Bookings!B739,0),IF(AND(A739&lt;&gt;"",LEN("x"&amp;B739)-LEN(SUBSTITUTE("x"&amp;B739,".",""))=2,OR(1&gt;LEN(B739),MID(B739,1,1)=".",ISNUMBER(FIND("x"&amp;MID(B739,1,1),"x0x1x2x3x4x5x6x7x8x9"))),OR(2&gt;LEN(B739),MID(B739,2,1)=".",ISNUMBER(FIND("x"&amp;MID(B739,2,1),"x0x1x2x3x4x5x6x7x8x9"))),OR(3&gt;LEN(B739),MID(B739,3,1)=".",ISNUMBER(FIND("x"&amp;MID(B739,3,1),"x0x1x2x3x4x5x6x7x8x9"))),OR(4&gt;LEN(B739),MID(B739,4,1)=".",ISNUMBER(FIND("x"&amp;MID(B739,4,1),"x0x1x2x3x4x5x6x7x8x9"))),OR(5&gt;LEN(B739),MID(B739,5,1)=".",ISNUMBER(FIND("x"&amp;MID(B739,5,1),"x0x1x2x3x4x5x6x7x8x9"))),OR(6&gt;LEN(B739),MID(B739,6,1)=".",ISNUMBER(FIND("x"&amp;MID(B739,6,1),"x0x1x2x3x4x5x6x7x8x9"))),OR(7&gt;LEN(B739),MID(B739,7,1)=".",ISNUMBER(FIND("x"&amp;MID(B739,7,1),"x0x1x2x3x4x5x6x7x8x9"))),OR(8&gt;LEN(B739),MID(B739,8,1)=".",ISNUMBER(FIND("x"&amp;MID(B739,8,1),"x0x1x2x3x4x5x6x7x8x9"))),OR(9&gt;LEN(B739),MID(B739,9,1)=".",ISNUMBER(FIND("x"&amp;MID(B739,9,1),"x0x1x2x3x4x5x6x7x8x9"))),OR(10&gt;LEN(B739),MID(B739,10,1)=".",ISNUMBER(FIND("x"&amp;MID(B739,10,1),"x0x1x2x3x4x5x6x7x8x9"))),OR(AND(FIND(".",B739)=5,LEN(B739)-FIND(".",B739,FIND(".",B739)+1)&gt;=1,LEN(B739)-FIND(".",B739,FIND(".",B739)+1)&lt;=2),AND(LEN(B739)-FIND(".",B739,FIND(".",B739)+1)=4,FIND(".",B739)&gt;=2,FIND(".",B739)&lt;=3)),FIND(".",B739,FIND(".",B739)+1)-FIND(".",B739)&gt;=2,FIND(".",B739,FIND(".",B739)+1)-FIND(".",B739)&lt;=3,F739&gt;=2000,F739&lt;=2100,YEAR(I739)=F739,MONTH(I739)=G739,DAY(I739)=H739),I739,0)),0)</ns0:f>
        <ns0:v>0</ns0:v>
      </ns0:c>
      <ns0:c r="K739" s="0">
        <ns0:f>IFERROR(IF(ISNUMBER(Bookings!D739),"",TRIM(Bookings!D739&amp;"")),"")</ns0:f>
      </ns0:c>
      <ns0:c r="L739" s="0">
        <ns0:f>IFERROR(SUBSTITUTE(SUBSTITUTE(K739,"/","."),"-","."),"")</ns0:f>
      </ns0:c>
      <ns0:c r="M739" s="0">
        <ns0:f>IFERROR(LEFT(L739,FIND(".",L739)-1),"")</ns0:f>
      </ns0:c>
      <ns0:c r="N739" s="0">
        <ns0:f>IFERROR(MID(L739,FIND(".",L739)+1,FIND(".",L739,FIND(".",L739)+1)-FIND(".",L739)-1),"")</ns0:f>
      </ns0:c>
      <ns0:c r="O739" s="0">
        <ns0:f>IFERROR(MID(L739,FIND(".",L739,FIND(".",L739)+1)+1,99),"")</ns0:f>
        <ns0:v>99</ns0:v>
      </ns0:c>
      <ns0:c r="P739" s="0">
        <ns0:f>IFERROR(IF(FIND(".",L739)=5,--M739,--O739),0)</ns0:f>
        <ns0:v>0</ns0:v>
      </ns0:c>
      <ns0:c r="Q739" s="0">
        <ns0:f>IFERROR(--N739,0)</ns0:f>
        <ns0:v>0</ns0:v>
      </ns0:c>
      <ns0:c r="R739" s="0">
        <ns0:f>IFERROR(IF(FIND(".",L739)=5,--O739,--M739),0)</ns0:f>
        <ns0:v>0</ns0:v>
      </ns0:c>
      <ns0:c r="S739" s="0">
        <ns0:f>IFERROR(IF(AND(P739&gt;=2000,P739&lt;=2100,Q739&gt;=1,Q739&lt;=12,R739&gt;=1,R739&lt;=31),DATE(P739,Q739,R739),0),0)</ns0:f>
        <ns0:v>0</ns0:v>
      </ns0:c>
      <ns0:c r="T739" s="0">
        <ns0:f>IFERROR(IF(ISNUMBER(Bookings!D739),IF(AND(Bookings!D739=INT(Bookings!D739),Bookings!D739&gt;=DATE(2000,1,1),Bookings!D739&lt;=DATE(2100,12,31)),Bookings!D739,0),IF(AND(K739&lt;&gt;"",LEN("x"&amp;L739)-LEN(SUBSTITUTE("x"&amp;L739,".",""))=2,OR(1&gt;LEN(L739),MID(L739,1,1)=".",ISNUMBER(FIND("x"&amp;MID(L739,1,1),"x0x1x2x3x4x5x6x7x8x9"))),OR(2&gt;LEN(L739),MID(L739,2,1)=".",ISNUMBER(FIND("x"&amp;MID(L739,2,1),"x0x1x2x3x4x5x6x7x8x9"))),OR(3&gt;LEN(L739),MID(L739,3,1)=".",ISNUMBER(FIND("x"&amp;MID(L739,3,1),"x0x1x2x3x4x5x6x7x8x9"))),OR(4&gt;LEN(L739),MID(L739,4,1)=".",ISNUMBER(FIND("x"&amp;MID(L739,4,1),"x0x1x2x3x4x5x6x7x8x9"))),OR(5&gt;LEN(L739),MID(L739,5,1)=".",ISNUMBER(FIND("x"&amp;MID(L739,5,1),"x0x1x2x3x4x5x6x7x8x9"))),OR(6&gt;LEN(L739),MID(L739,6,1)=".",ISNUMBER(FIND("x"&amp;MID(L739,6,1),"x0x1x2x3x4x5x6x7x8x9"))),OR(7&gt;LEN(L739),MID(L739,7,1)=".",ISNUMBER(FIND("x"&amp;MID(L739,7,1),"x0x1x2x3x4x5x6x7x8x9"))),OR(8&gt;LEN(L739),MID(L739,8,1)=".",ISNUMBER(FIND("x"&amp;MID(L739,8,1),"x0x1x2x3x4x5x6x7x8x9"))),OR(9&gt;LEN(L739),MID(L739,9,1)=".",ISNUMBER(FIND("x"&amp;MID(L739,9,1),"x0x1x2x3x4x5x6x7x8x9"))),OR(10&gt;LEN(L739),MID(L739,10,1)=".",ISNUMBER(FIND("x"&amp;MID(L739,10,1),"x0x1x2x3x4x5x6x7x8x9"))),OR(AND(FIND(".",L739)=5,LEN(L739)-FIND(".",L739,FIND(".",L739)+1)&gt;=1,LEN(L739)-FIND(".",L739,FIND(".",L739)+1)&lt;=2),AND(LEN(L739)-FIND(".",L739,FIND(".",L739)+1)=4,FIND(".",L739)&gt;=2,FIND(".",L739)&lt;=3)),FIND(".",L739,FIND(".",L739)+1)-FIND(".",L739)&gt;=2,FIND(".",L739,FIND(".",L739)+1)-FIND(".",L739)&lt;=3,P739&gt;=2000,P739&lt;=2100,YEAR(S739)=P739,MONTH(S739)=Q739,DAY(S739)=R739),S739,0)),0)</ns0:f>
        <ns0:v>0</ns0:v>
      </ns0:c>
      <ns0:c r="U739" s="0" t="str">
        <ns0:f>IF(Bookings!C739="","Full day",Bookings!C739)</ns0:f>
        <ns0:v>Full day</ns0:v>
      </ns0:c>
      <ns0:c r="V739" s="0" t="str">
        <ns0:f>IF(Bookings!E739="","Full day",Bookings!E739)</ns0:f>
        <ns0:v>Full day</ns0:v>
      </ns0:c>
      <ns0:c r="W739" s="0">
        <ns0:f>IF(J739=0,0,J739+IF(U739="PM",1,0))</ns0:f>
        <ns0:v>0</ns0:v>
      </ns0:c>
      <ns0:c r="X739" s="0">
        <ns0:f>IF(T739=0,0,T739-IF(V739="PM",1,0))</ns0:f>
        <ns0:v>0</ns0:v>
      </ns0:c>
      <ns0:c r="Y739" s="0">
        <ns0:f>IF(J739=0,0,J739+IF(U739="AM",1,0))</ns0:f>
        <ns0:v>0</ns0:v>
      </ns0:c>
      <ns0:c r="Z739" s="0">
        <ns0:f>IF(T739=0,0,T739-IF(V739="AM",1,0))</ns0:f>
        <ns0:v>0</ns0:v>
      </ns0:c>
      <ns0:c r="AA739" s="0">
        <ns0:f>IFERROR(IF(AND(J739&gt;0,'_Engine'!C739&gt;0,MID('_Engine'!W739,WEEKDAY(J739,2),1)="W",COUNTIF(Settings!$F$18:$F$67,J739)=0),1,0),0)</ns0:f>
        <ns0:v>0</ns0:v>
      </ns0:c>
      <ns0:c r="AB739" s="0">
        <ns0:f>IFERROR(IF(AND(T739&gt;0,'_Engine'!C739&gt;0,MID('_Engine'!W739,WEEKDAY(T739,2),1)="W",COUNTIF(Settings!$F$18:$F$67,T739)=0),1,0),0)</ns0:f>
        <ns0:v>0</ns0:v>
      </ns0:c>
      <ns0:c r="AC739" s="0">
        <ns0:f>IF(AND(J739&gt;0,T739&gt;0,W739&lt;=X739),1,0)</ns0:f>
        <ns0:v>0</ns0:v>
      </ns0:c>
      <ns0:c r="AD739" s="0">
        <ns0:f>IF(AND(J739&gt;0,T739&gt;0,Y739&lt;=Z739),1,0)</ns0:f>
        <ns0:v>0</ns0:v>
      </ns0:c>
    </ns0:row>
    <ns0:row r="740">
      <ns0:c r="A740" s="0">
        <ns0:f>IFERROR(IF(ISNUMBER(Bookings!B740),"",TRIM(Bookings!B740&amp;"")),"")</ns0:f>
      </ns0:c>
      <ns0:c r="B740" s="0">
        <ns0:f>IFERROR(SUBSTITUTE(SUBSTITUTE(A740,"/","."),"-","."),"")</ns0:f>
      </ns0:c>
      <ns0:c r="C740" s="0">
        <ns0:f>IFERROR(LEFT(B740,FIND(".",B740)-1),"")</ns0:f>
      </ns0:c>
      <ns0:c r="D740" s="0">
        <ns0:f>IFERROR(MID(B740,FIND(".",B740)+1,FIND(".",B740,FIND(".",B740)+1)-FIND(".",B740)-1),"")</ns0:f>
      </ns0:c>
      <ns0:c r="E740" s="0">
        <ns0:f>IFERROR(MID(B740,FIND(".",B740,FIND(".",B740)+1)+1,99),"")</ns0:f>
        <ns0:v>99</ns0:v>
      </ns0:c>
      <ns0:c r="F740" s="0">
        <ns0:f>IFERROR(IF(FIND(".",B740)=5,--C740,--E740),0)</ns0:f>
        <ns0:v>0</ns0:v>
      </ns0:c>
      <ns0:c r="G740" s="0">
        <ns0:f>IFERROR(--D740,0)</ns0:f>
        <ns0:v>0</ns0:v>
      </ns0:c>
      <ns0:c r="H740" s="0">
        <ns0:f>IFERROR(IF(FIND(".",B740)=5,--E740,--C740),0)</ns0:f>
        <ns0:v>0</ns0:v>
      </ns0:c>
      <ns0:c r="I740" s="0">
        <ns0:f>IFERROR(IF(AND(F740&gt;=2000,F740&lt;=2100,G740&gt;=1,G740&lt;=12,H740&gt;=1,H740&lt;=31),DATE(F740,G740,H740),0),0)</ns0:f>
        <ns0:v>0</ns0:v>
      </ns0:c>
      <ns0:c r="J740" s="0">
        <ns0:f>IFERROR(IF(ISNUMBER(Bookings!B740),IF(AND(Bookings!B740=INT(Bookings!B740),Bookings!B740&gt;=DATE(2000,1,1),Bookings!B740&lt;=DATE(2100,12,31)),Bookings!B740,0),IF(AND(A740&lt;&gt;"",LEN("x"&amp;B740)-LEN(SUBSTITUTE("x"&amp;B740,".",""))=2,OR(1&gt;LEN(B740),MID(B740,1,1)=".",ISNUMBER(FIND("x"&amp;MID(B740,1,1),"x0x1x2x3x4x5x6x7x8x9"))),OR(2&gt;LEN(B740),MID(B740,2,1)=".",ISNUMBER(FIND("x"&amp;MID(B740,2,1),"x0x1x2x3x4x5x6x7x8x9"))),OR(3&gt;LEN(B740),MID(B740,3,1)=".",ISNUMBER(FIND("x"&amp;MID(B740,3,1),"x0x1x2x3x4x5x6x7x8x9"))),OR(4&gt;LEN(B740),MID(B740,4,1)=".",ISNUMBER(FIND("x"&amp;MID(B740,4,1),"x0x1x2x3x4x5x6x7x8x9"))),OR(5&gt;LEN(B740),MID(B740,5,1)=".",ISNUMBER(FIND("x"&amp;MID(B740,5,1),"x0x1x2x3x4x5x6x7x8x9"))),OR(6&gt;LEN(B740),MID(B740,6,1)=".",ISNUMBER(FIND("x"&amp;MID(B740,6,1),"x0x1x2x3x4x5x6x7x8x9"))),OR(7&gt;LEN(B740),MID(B740,7,1)=".",ISNUMBER(FIND("x"&amp;MID(B740,7,1),"x0x1x2x3x4x5x6x7x8x9"))),OR(8&gt;LEN(B740),MID(B740,8,1)=".",ISNUMBER(FIND("x"&amp;MID(B740,8,1),"x0x1x2x3x4x5x6x7x8x9"))),OR(9&gt;LEN(B740),MID(B740,9,1)=".",ISNUMBER(FIND("x"&amp;MID(B740,9,1),"x0x1x2x3x4x5x6x7x8x9"))),OR(10&gt;LEN(B740),MID(B740,10,1)=".",ISNUMBER(FIND("x"&amp;MID(B740,10,1),"x0x1x2x3x4x5x6x7x8x9"))),OR(AND(FIND(".",B740)=5,LEN(B740)-FIND(".",B740,FIND(".",B740)+1)&gt;=1,LEN(B740)-FIND(".",B740,FIND(".",B740)+1)&lt;=2),AND(LEN(B740)-FIND(".",B740,FIND(".",B740)+1)=4,FIND(".",B740)&gt;=2,FIND(".",B740)&lt;=3)),FIND(".",B740,FIND(".",B740)+1)-FIND(".",B740)&gt;=2,FIND(".",B740,FIND(".",B740)+1)-FIND(".",B740)&lt;=3,F740&gt;=2000,F740&lt;=2100,YEAR(I740)=F740,MONTH(I740)=G740,DAY(I740)=H740),I740,0)),0)</ns0:f>
        <ns0:v>0</ns0:v>
      </ns0:c>
      <ns0:c r="K740" s="0">
        <ns0:f>IFERROR(IF(ISNUMBER(Bookings!D740),"",TRIM(Bookings!D740&amp;"")),"")</ns0:f>
      </ns0:c>
      <ns0:c r="L740" s="0">
        <ns0:f>IFERROR(SUBSTITUTE(SUBSTITUTE(K740,"/","."),"-","."),"")</ns0:f>
      </ns0:c>
      <ns0:c r="M740" s="0">
        <ns0:f>IFERROR(LEFT(L740,FIND(".",L740)-1),"")</ns0:f>
      </ns0:c>
      <ns0:c r="N740" s="0">
        <ns0:f>IFERROR(MID(L740,FIND(".",L740)+1,FIND(".",L740,FIND(".",L740)+1)-FIND(".",L740)-1),"")</ns0:f>
      </ns0:c>
      <ns0:c r="O740" s="0">
        <ns0:f>IFERROR(MID(L740,FIND(".",L740,FIND(".",L740)+1)+1,99),"")</ns0:f>
        <ns0:v>99</ns0:v>
      </ns0:c>
      <ns0:c r="P740" s="0">
        <ns0:f>IFERROR(IF(FIND(".",L740)=5,--M740,--O740),0)</ns0:f>
        <ns0:v>0</ns0:v>
      </ns0:c>
      <ns0:c r="Q740" s="0">
        <ns0:f>IFERROR(--N740,0)</ns0:f>
        <ns0:v>0</ns0:v>
      </ns0:c>
      <ns0:c r="R740" s="0">
        <ns0:f>IFERROR(IF(FIND(".",L740)=5,--O740,--M740),0)</ns0:f>
        <ns0:v>0</ns0:v>
      </ns0:c>
      <ns0:c r="S740" s="0">
        <ns0:f>IFERROR(IF(AND(P740&gt;=2000,P740&lt;=2100,Q740&gt;=1,Q740&lt;=12,R740&gt;=1,R740&lt;=31),DATE(P740,Q740,R740),0),0)</ns0:f>
        <ns0:v>0</ns0:v>
      </ns0:c>
      <ns0:c r="T740" s="0">
        <ns0:f>IFERROR(IF(ISNUMBER(Bookings!D740),IF(AND(Bookings!D740=INT(Bookings!D740),Bookings!D740&gt;=DATE(2000,1,1),Bookings!D740&lt;=DATE(2100,12,31)),Bookings!D740,0),IF(AND(K740&lt;&gt;"",LEN("x"&amp;L740)-LEN(SUBSTITUTE("x"&amp;L740,".",""))=2,OR(1&gt;LEN(L740),MID(L740,1,1)=".",ISNUMBER(FIND("x"&amp;MID(L740,1,1),"x0x1x2x3x4x5x6x7x8x9"))),OR(2&gt;LEN(L740),MID(L740,2,1)=".",ISNUMBER(FIND("x"&amp;MID(L740,2,1),"x0x1x2x3x4x5x6x7x8x9"))),OR(3&gt;LEN(L740),MID(L740,3,1)=".",ISNUMBER(FIND("x"&amp;MID(L740,3,1),"x0x1x2x3x4x5x6x7x8x9"))),OR(4&gt;LEN(L740),MID(L740,4,1)=".",ISNUMBER(FIND("x"&amp;MID(L740,4,1),"x0x1x2x3x4x5x6x7x8x9"))),OR(5&gt;LEN(L740),MID(L740,5,1)=".",ISNUMBER(FIND("x"&amp;MID(L740,5,1),"x0x1x2x3x4x5x6x7x8x9"))),OR(6&gt;LEN(L740),MID(L740,6,1)=".",ISNUMBER(FIND("x"&amp;MID(L740,6,1),"x0x1x2x3x4x5x6x7x8x9"))),OR(7&gt;LEN(L740),MID(L740,7,1)=".",ISNUMBER(FIND("x"&amp;MID(L740,7,1),"x0x1x2x3x4x5x6x7x8x9"))),OR(8&gt;LEN(L740),MID(L740,8,1)=".",ISNUMBER(FIND("x"&amp;MID(L740,8,1),"x0x1x2x3x4x5x6x7x8x9"))),OR(9&gt;LEN(L740),MID(L740,9,1)=".",ISNUMBER(FIND("x"&amp;MID(L740,9,1),"x0x1x2x3x4x5x6x7x8x9"))),OR(10&gt;LEN(L740),MID(L740,10,1)=".",ISNUMBER(FIND("x"&amp;MID(L740,10,1),"x0x1x2x3x4x5x6x7x8x9"))),OR(AND(FIND(".",L740)=5,LEN(L740)-FIND(".",L740,FIND(".",L740)+1)&gt;=1,LEN(L740)-FIND(".",L740,FIND(".",L740)+1)&lt;=2),AND(LEN(L740)-FIND(".",L740,FIND(".",L740)+1)=4,FIND(".",L740)&gt;=2,FIND(".",L740)&lt;=3)),FIND(".",L740,FIND(".",L740)+1)-FIND(".",L740)&gt;=2,FIND(".",L740,FIND(".",L740)+1)-FIND(".",L740)&lt;=3,P740&gt;=2000,P740&lt;=2100,YEAR(S740)=P740,MONTH(S740)=Q740,DAY(S740)=R740),S740,0)),0)</ns0:f>
        <ns0:v>0</ns0:v>
      </ns0:c>
      <ns0:c r="U740" s="0" t="str">
        <ns0:f>IF(Bookings!C740="","Full day",Bookings!C740)</ns0:f>
        <ns0:v>Full day</ns0:v>
      </ns0:c>
      <ns0:c r="V740" s="0" t="str">
        <ns0:f>IF(Bookings!E740="","Full day",Bookings!E740)</ns0:f>
        <ns0:v>Full day</ns0:v>
      </ns0:c>
      <ns0:c r="W740" s="0">
        <ns0:f>IF(J740=0,0,J740+IF(U740="PM",1,0))</ns0:f>
        <ns0:v>0</ns0:v>
      </ns0:c>
      <ns0:c r="X740" s="0">
        <ns0:f>IF(T740=0,0,T740-IF(V740="PM",1,0))</ns0:f>
        <ns0:v>0</ns0:v>
      </ns0:c>
      <ns0:c r="Y740" s="0">
        <ns0:f>IF(J740=0,0,J740+IF(U740="AM",1,0))</ns0:f>
        <ns0:v>0</ns0:v>
      </ns0:c>
      <ns0:c r="Z740" s="0">
        <ns0:f>IF(T740=0,0,T740-IF(V740="AM",1,0))</ns0:f>
        <ns0:v>0</ns0:v>
      </ns0:c>
      <ns0:c r="AA740" s="0">
        <ns0:f>IFERROR(IF(AND(J740&gt;0,'_Engine'!C740&gt;0,MID('_Engine'!W740,WEEKDAY(J740,2),1)="W",COUNTIF(Settings!$F$18:$F$67,J740)=0),1,0),0)</ns0:f>
        <ns0:v>0</ns0:v>
      </ns0:c>
      <ns0:c r="AB740" s="0">
        <ns0:f>IFERROR(IF(AND(T740&gt;0,'_Engine'!C740&gt;0,MID('_Engine'!W740,WEEKDAY(T740,2),1)="W",COUNTIF(Settings!$F$18:$F$67,T740)=0),1,0),0)</ns0:f>
        <ns0:v>0</ns0:v>
      </ns0:c>
      <ns0:c r="AC740" s="0">
        <ns0:f>IF(AND(J740&gt;0,T740&gt;0,W740&lt;=X740),1,0)</ns0:f>
        <ns0:v>0</ns0:v>
      </ns0:c>
      <ns0:c r="AD740" s="0">
        <ns0:f>IF(AND(J740&gt;0,T740&gt;0,Y740&lt;=Z740),1,0)</ns0:f>
        <ns0:v>0</ns0:v>
      </ns0:c>
    </ns0:row>
    <ns0:row r="741">
      <ns0:c r="A741" s="0">
        <ns0:f>IFERROR(IF(ISNUMBER(Bookings!B741),"",TRIM(Bookings!B741&amp;"")),"")</ns0:f>
      </ns0:c>
      <ns0:c r="B741" s="0">
        <ns0:f>IFERROR(SUBSTITUTE(SUBSTITUTE(A741,"/","."),"-","."),"")</ns0:f>
      </ns0:c>
      <ns0:c r="C741" s="0">
        <ns0:f>IFERROR(LEFT(B741,FIND(".",B741)-1),"")</ns0:f>
      </ns0:c>
      <ns0:c r="D741" s="0">
        <ns0:f>IFERROR(MID(B741,FIND(".",B741)+1,FIND(".",B741,FIND(".",B741)+1)-FIND(".",B741)-1),"")</ns0:f>
      </ns0:c>
      <ns0:c r="E741" s="0">
        <ns0:f>IFERROR(MID(B741,FIND(".",B741,FIND(".",B741)+1)+1,99),"")</ns0:f>
        <ns0:v>99</ns0:v>
      </ns0:c>
      <ns0:c r="F741" s="0">
        <ns0:f>IFERROR(IF(FIND(".",B741)=5,--C741,--E741),0)</ns0:f>
        <ns0:v>0</ns0:v>
      </ns0:c>
      <ns0:c r="G741" s="0">
        <ns0:f>IFERROR(--D741,0)</ns0:f>
        <ns0:v>0</ns0:v>
      </ns0:c>
      <ns0:c r="H741" s="0">
        <ns0:f>IFERROR(IF(FIND(".",B741)=5,--E741,--C741),0)</ns0:f>
        <ns0:v>0</ns0:v>
      </ns0:c>
      <ns0:c r="I741" s="0">
        <ns0:f>IFERROR(IF(AND(F741&gt;=2000,F741&lt;=2100,G741&gt;=1,G741&lt;=12,H741&gt;=1,H741&lt;=31),DATE(F741,G741,H741),0),0)</ns0:f>
        <ns0:v>0</ns0:v>
      </ns0:c>
      <ns0:c r="J741" s="0">
        <ns0:f>IFERROR(IF(ISNUMBER(Bookings!B741),IF(AND(Bookings!B741=INT(Bookings!B741),Bookings!B741&gt;=DATE(2000,1,1),Bookings!B741&lt;=DATE(2100,12,31)),Bookings!B741,0),IF(AND(A741&lt;&gt;"",LEN("x"&amp;B741)-LEN(SUBSTITUTE("x"&amp;B741,".",""))=2,OR(1&gt;LEN(B741),MID(B741,1,1)=".",ISNUMBER(FIND("x"&amp;MID(B741,1,1),"x0x1x2x3x4x5x6x7x8x9"))),OR(2&gt;LEN(B741),MID(B741,2,1)=".",ISNUMBER(FIND("x"&amp;MID(B741,2,1),"x0x1x2x3x4x5x6x7x8x9"))),OR(3&gt;LEN(B741),MID(B741,3,1)=".",ISNUMBER(FIND("x"&amp;MID(B741,3,1),"x0x1x2x3x4x5x6x7x8x9"))),OR(4&gt;LEN(B741),MID(B741,4,1)=".",ISNUMBER(FIND("x"&amp;MID(B741,4,1),"x0x1x2x3x4x5x6x7x8x9"))),OR(5&gt;LEN(B741),MID(B741,5,1)=".",ISNUMBER(FIND("x"&amp;MID(B741,5,1),"x0x1x2x3x4x5x6x7x8x9"))),OR(6&gt;LEN(B741),MID(B741,6,1)=".",ISNUMBER(FIND("x"&amp;MID(B741,6,1),"x0x1x2x3x4x5x6x7x8x9"))),OR(7&gt;LEN(B741),MID(B741,7,1)=".",ISNUMBER(FIND("x"&amp;MID(B741,7,1),"x0x1x2x3x4x5x6x7x8x9"))),OR(8&gt;LEN(B741),MID(B741,8,1)=".",ISNUMBER(FIND("x"&amp;MID(B741,8,1),"x0x1x2x3x4x5x6x7x8x9"))),OR(9&gt;LEN(B741),MID(B741,9,1)=".",ISNUMBER(FIND("x"&amp;MID(B741,9,1),"x0x1x2x3x4x5x6x7x8x9"))),OR(10&gt;LEN(B741),MID(B741,10,1)=".",ISNUMBER(FIND("x"&amp;MID(B741,10,1),"x0x1x2x3x4x5x6x7x8x9"))),OR(AND(FIND(".",B741)=5,LEN(B741)-FIND(".",B741,FIND(".",B741)+1)&gt;=1,LEN(B741)-FIND(".",B741,FIND(".",B741)+1)&lt;=2),AND(LEN(B741)-FIND(".",B741,FIND(".",B741)+1)=4,FIND(".",B741)&gt;=2,FIND(".",B741)&lt;=3)),FIND(".",B741,FIND(".",B741)+1)-FIND(".",B741)&gt;=2,FIND(".",B741,FIND(".",B741)+1)-FIND(".",B741)&lt;=3,F741&gt;=2000,F741&lt;=2100,YEAR(I741)=F741,MONTH(I741)=G741,DAY(I741)=H741),I741,0)),0)</ns0:f>
        <ns0:v>0</ns0:v>
      </ns0:c>
      <ns0:c r="K741" s="0">
        <ns0:f>IFERROR(IF(ISNUMBER(Bookings!D741),"",TRIM(Bookings!D741&amp;"")),"")</ns0:f>
      </ns0:c>
      <ns0:c r="L741" s="0">
        <ns0:f>IFERROR(SUBSTITUTE(SUBSTITUTE(K741,"/","."),"-","."),"")</ns0:f>
      </ns0:c>
      <ns0:c r="M741" s="0">
        <ns0:f>IFERROR(LEFT(L741,FIND(".",L741)-1),"")</ns0:f>
      </ns0:c>
      <ns0:c r="N741" s="0">
        <ns0:f>IFERROR(MID(L741,FIND(".",L741)+1,FIND(".",L741,FIND(".",L741)+1)-FIND(".",L741)-1),"")</ns0:f>
      </ns0:c>
      <ns0:c r="O741" s="0">
        <ns0:f>IFERROR(MID(L741,FIND(".",L741,FIND(".",L741)+1)+1,99),"")</ns0:f>
        <ns0:v>99</ns0:v>
      </ns0:c>
      <ns0:c r="P741" s="0">
        <ns0:f>IFERROR(IF(FIND(".",L741)=5,--M741,--O741),0)</ns0:f>
        <ns0:v>0</ns0:v>
      </ns0:c>
      <ns0:c r="Q741" s="0">
        <ns0:f>IFERROR(--N741,0)</ns0:f>
        <ns0:v>0</ns0:v>
      </ns0:c>
      <ns0:c r="R741" s="0">
        <ns0:f>IFERROR(IF(FIND(".",L741)=5,--O741,--M741),0)</ns0:f>
        <ns0:v>0</ns0:v>
      </ns0:c>
      <ns0:c r="S741" s="0">
        <ns0:f>IFERROR(IF(AND(P741&gt;=2000,P741&lt;=2100,Q741&gt;=1,Q741&lt;=12,R741&gt;=1,R741&lt;=31),DATE(P741,Q741,R741),0),0)</ns0:f>
        <ns0:v>0</ns0:v>
      </ns0:c>
      <ns0:c r="T741" s="0">
        <ns0:f>IFERROR(IF(ISNUMBER(Bookings!D741),IF(AND(Bookings!D741=INT(Bookings!D741),Bookings!D741&gt;=DATE(2000,1,1),Bookings!D741&lt;=DATE(2100,12,31)),Bookings!D741,0),IF(AND(K741&lt;&gt;"",LEN("x"&amp;L741)-LEN(SUBSTITUTE("x"&amp;L741,".",""))=2,OR(1&gt;LEN(L741),MID(L741,1,1)=".",ISNUMBER(FIND("x"&amp;MID(L741,1,1),"x0x1x2x3x4x5x6x7x8x9"))),OR(2&gt;LEN(L741),MID(L741,2,1)=".",ISNUMBER(FIND("x"&amp;MID(L741,2,1),"x0x1x2x3x4x5x6x7x8x9"))),OR(3&gt;LEN(L741),MID(L741,3,1)=".",ISNUMBER(FIND("x"&amp;MID(L741,3,1),"x0x1x2x3x4x5x6x7x8x9"))),OR(4&gt;LEN(L741),MID(L741,4,1)=".",ISNUMBER(FIND("x"&amp;MID(L741,4,1),"x0x1x2x3x4x5x6x7x8x9"))),OR(5&gt;LEN(L741),MID(L741,5,1)=".",ISNUMBER(FIND("x"&amp;MID(L741,5,1),"x0x1x2x3x4x5x6x7x8x9"))),OR(6&gt;LEN(L741),MID(L741,6,1)=".",ISNUMBER(FIND("x"&amp;MID(L741,6,1),"x0x1x2x3x4x5x6x7x8x9"))),OR(7&gt;LEN(L741),MID(L741,7,1)=".",ISNUMBER(FIND("x"&amp;MID(L741,7,1),"x0x1x2x3x4x5x6x7x8x9"))),OR(8&gt;LEN(L741),MID(L741,8,1)=".",ISNUMBER(FIND("x"&amp;MID(L741,8,1),"x0x1x2x3x4x5x6x7x8x9"))),OR(9&gt;LEN(L741),MID(L741,9,1)=".",ISNUMBER(FIND("x"&amp;MID(L741,9,1),"x0x1x2x3x4x5x6x7x8x9"))),OR(10&gt;LEN(L741),MID(L741,10,1)=".",ISNUMBER(FIND("x"&amp;MID(L741,10,1),"x0x1x2x3x4x5x6x7x8x9"))),OR(AND(FIND(".",L741)=5,LEN(L741)-FIND(".",L741,FIND(".",L741)+1)&gt;=1,LEN(L741)-FIND(".",L741,FIND(".",L741)+1)&lt;=2),AND(LEN(L741)-FIND(".",L741,FIND(".",L741)+1)=4,FIND(".",L741)&gt;=2,FIND(".",L741)&lt;=3)),FIND(".",L741,FIND(".",L741)+1)-FIND(".",L741)&gt;=2,FIND(".",L741,FIND(".",L741)+1)-FIND(".",L741)&lt;=3,P741&gt;=2000,P741&lt;=2100,YEAR(S741)=P741,MONTH(S741)=Q741,DAY(S741)=R741),S741,0)),0)</ns0:f>
        <ns0:v>0</ns0:v>
      </ns0:c>
      <ns0:c r="U741" s="0" t="str">
        <ns0:f>IF(Bookings!C741="","Full day",Bookings!C741)</ns0:f>
        <ns0:v>Full day</ns0:v>
      </ns0:c>
      <ns0:c r="V741" s="0" t="str">
        <ns0:f>IF(Bookings!E741="","Full day",Bookings!E741)</ns0:f>
        <ns0:v>Full day</ns0:v>
      </ns0:c>
      <ns0:c r="W741" s="0">
        <ns0:f>IF(J741=0,0,J741+IF(U741="PM",1,0))</ns0:f>
        <ns0:v>0</ns0:v>
      </ns0:c>
      <ns0:c r="X741" s="0">
        <ns0:f>IF(T741=0,0,T741-IF(V741="PM",1,0))</ns0:f>
        <ns0:v>0</ns0:v>
      </ns0:c>
      <ns0:c r="Y741" s="0">
        <ns0:f>IF(J741=0,0,J741+IF(U741="AM",1,0))</ns0:f>
        <ns0:v>0</ns0:v>
      </ns0:c>
      <ns0:c r="Z741" s="0">
        <ns0:f>IF(T741=0,0,T741-IF(V741="AM",1,0))</ns0:f>
        <ns0:v>0</ns0:v>
      </ns0:c>
      <ns0:c r="AA741" s="0">
        <ns0:f>IFERROR(IF(AND(J741&gt;0,'_Engine'!C741&gt;0,MID('_Engine'!W741,WEEKDAY(J741,2),1)="W",COUNTIF(Settings!$F$18:$F$67,J741)=0),1,0),0)</ns0:f>
        <ns0:v>0</ns0:v>
      </ns0:c>
      <ns0:c r="AB741" s="0">
        <ns0:f>IFERROR(IF(AND(T741&gt;0,'_Engine'!C741&gt;0,MID('_Engine'!W741,WEEKDAY(T741,2),1)="W",COUNTIF(Settings!$F$18:$F$67,T741)=0),1,0),0)</ns0:f>
        <ns0:v>0</ns0:v>
      </ns0:c>
      <ns0:c r="AC741" s="0">
        <ns0:f>IF(AND(J741&gt;0,T741&gt;0,W741&lt;=X741),1,0)</ns0:f>
        <ns0:v>0</ns0:v>
      </ns0:c>
      <ns0:c r="AD741" s="0">
        <ns0:f>IF(AND(J741&gt;0,T741&gt;0,Y741&lt;=Z741),1,0)</ns0:f>
        <ns0:v>0</ns0:v>
      </ns0:c>
    </ns0:row>
    <ns0:row r="742">
      <ns0:c r="A742" s="0">
        <ns0:f>IFERROR(IF(ISNUMBER(Bookings!B742),"",TRIM(Bookings!B742&amp;"")),"")</ns0:f>
      </ns0:c>
      <ns0:c r="B742" s="0">
        <ns0:f>IFERROR(SUBSTITUTE(SUBSTITUTE(A742,"/","."),"-","."),"")</ns0:f>
      </ns0:c>
      <ns0:c r="C742" s="0">
        <ns0:f>IFERROR(LEFT(B742,FIND(".",B742)-1),"")</ns0:f>
      </ns0:c>
      <ns0:c r="D742" s="0">
        <ns0:f>IFERROR(MID(B742,FIND(".",B742)+1,FIND(".",B742,FIND(".",B742)+1)-FIND(".",B742)-1),"")</ns0:f>
      </ns0:c>
      <ns0:c r="E742" s="0">
        <ns0:f>IFERROR(MID(B742,FIND(".",B742,FIND(".",B742)+1)+1,99),"")</ns0:f>
        <ns0:v>99</ns0:v>
      </ns0:c>
      <ns0:c r="F742" s="0">
        <ns0:f>IFERROR(IF(FIND(".",B742)=5,--C742,--E742),0)</ns0:f>
        <ns0:v>0</ns0:v>
      </ns0:c>
      <ns0:c r="G742" s="0">
        <ns0:f>IFERROR(--D742,0)</ns0:f>
        <ns0:v>0</ns0:v>
      </ns0:c>
      <ns0:c r="H742" s="0">
        <ns0:f>IFERROR(IF(FIND(".",B742)=5,--E742,--C742),0)</ns0:f>
        <ns0:v>0</ns0:v>
      </ns0:c>
      <ns0:c r="I742" s="0">
        <ns0:f>IFERROR(IF(AND(F742&gt;=2000,F742&lt;=2100,G742&gt;=1,G742&lt;=12,H742&gt;=1,H742&lt;=31),DATE(F742,G742,H742),0),0)</ns0:f>
        <ns0:v>0</ns0:v>
      </ns0:c>
      <ns0:c r="J742" s="0">
        <ns0:f>IFERROR(IF(ISNUMBER(Bookings!B742),IF(AND(Bookings!B742=INT(Bookings!B742),Bookings!B742&gt;=DATE(2000,1,1),Bookings!B742&lt;=DATE(2100,12,31)),Bookings!B742,0),IF(AND(A742&lt;&gt;"",LEN("x"&amp;B742)-LEN(SUBSTITUTE("x"&amp;B742,".",""))=2,OR(1&gt;LEN(B742),MID(B742,1,1)=".",ISNUMBER(FIND("x"&amp;MID(B742,1,1),"x0x1x2x3x4x5x6x7x8x9"))),OR(2&gt;LEN(B742),MID(B742,2,1)=".",ISNUMBER(FIND("x"&amp;MID(B742,2,1),"x0x1x2x3x4x5x6x7x8x9"))),OR(3&gt;LEN(B742),MID(B742,3,1)=".",ISNUMBER(FIND("x"&amp;MID(B742,3,1),"x0x1x2x3x4x5x6x7x8x9"))),OR(4&gt;LEN(B742),MID(B742,4,1)=".",ISNUMBER(FIND("x"&amp;MID(B742,4,1),"x0x1x2x3x4x5x6x7x8x9"))),OR(5&gt;LEN(B742),MID(B742,5,1)=".",ISNUMBER(FIND("x"&amp;MID(B742,5,1),"x0x1x2x3x4x5x6x7x8x9"))),OR(6&gt;LEN(B742),MID(B742,6,1)=".",ISNUMBER(FIND("x"&amp;MID(B742,6,1),"x0x1x2x3x4x5x6x7x8x9"))),OR(7&gt;LEN(B742),MID(B742,7,1)=".",ISNUMBER(FIND("x"&amp;MID(B742,7,1),"x0x1x2x3x4x5x6x7x8x9"))),OR(8&gt;LEN(B742),MID(B742,8,1)=".",ISNUMBER(FIND("x"&amp;MID(B742,8,1),"x0x1x2x3x4x5x6x7x8x9"))),OR(9&gt;LEN(B742),MID(B742,9,1)=".",ISNUMBER(FIND("x"&amp;MID(B742,9,1),"x0x1x2x3x4x5x6x7x8x9"))),OR(10&gt;LEN(B742),MID(B742,10,1)=".",ISNUMBER(FIND("x"&amp;MID(B742,10,1),"x0x1x2x3x4x5x6x7x8x9"))),OR(AND(FIND(".",B742)=5,LEN(B742)-FIND(".",B742,FIND(".",B742)+1)&gt;=1,LEN(B742)-FIND(".",B742,FIND(".",B742)+1)&lt;=2),AND(LEN(B742)-FIND(".",B742,FIND(".",B742)+1)=4,FIND(".",B742)&gt;=2,FIND(".",B742)&lt;=3)),FIND(".",B742,FIND(".",B742)+1)-FIND(".",B742)&gt;=2,FIND(".",B742,FIND(".",B742)+1)-FIND(".",B742)&lt;=3,F742&gt;=2000,F742&lt;=2100,YEAR(I742)=F742,MONTH(I742)=G742,DAY(I742)=H742),I742,0)),0)</ns0:f>
        <ns0:v>0</ns0:v>
      </ns0:c>
      <ns0:c r="K742" s="0">
        <ns0:f>IFERROR(IF(ISNUMBER(Bookings!D742),"",TRIM(Bookings!D742&amp;"")),"")</ns0:f>
      </ns0:c>
      <ns0:c r="L742" s="0">
        <ns0:f>IFERROR(SUBSTITUTE(SUBSTITUTE(K742,"/","."),"-","."),"")</ns0:f>
      </ns0:c>
      <ns0:c r="M742" s="0">
        <ns0:f>IFERROR(LEFT(L742,FIND(".",L742)-1),"")</ns0:f>
      </ns0:c>
      <ns0:c r="N742" s="0">
        <ns0:f>IFERROR(MID(L742,FIND(".",L742)+1,FIND(".",L742,FIND(".",L742)+1)-FIND(".",L742)-1),"")</ns0:f>
      </ns0:c>
      <ns0:c r="O742" s="0">
        <ns0:f>IFERROR(MID(L742,FIND(".",L742,FIND(".",L742)+1)+1,99),"")</ns0:f>
        <ns0:v>99</ns0:v>
      </ns0:c>
      <ns0:c r="P742" s="0">
        <ns0:f>IFERROR(IF(FIND(".",L742)=5,--M742,--O742),0)</ns0:f>
        <ns0:v>0</ns0:v>
      </ns0:c>
      <ns0:c r="Q742" s="0">
        <ns0:f>IFERROR(--N742,0)</ns0:f>
        <ns0:v>0</ns0:v>
      </ns0:c>
      <ns0:c r="R742" s="0">
        <ns0:f>IFERROR(IF(FIND(".",L742)=5,--O742,--M742),0)</ns0:f>
        <ns0:v>0</ns0:v>
      </ns0:c>
      <ns0:c r="S742" s="0">
        <ns0:f>IFERROR(IF(AND(P742&gt;=2000,P742&lt;=2100,Q742&gt;=1,Q742&lt;=12,R742&gt;=1,R742&lt;=31),DATE(P742,Q742,R742),0),0)</ns0:f>
        <ns0:v>0</ns0:v>
      </ns0:c>
      <ns0:c r="T742" s="0">
        <ns0:f>IFERROR(IF(ISNUMBER(Bookings!D742),IF(AND(Bookings!D742=INT(Bookings!D742),Bookings!D742&gt;=DATE(2000,1,1),Bookings!D742&lt;=DATE(2100,12,31)),Bookings!D742,0),IF(AND(K742&lt;&gt;"",LEN("x"&amp;L742)-LEN(SUBSTITUTE("x"&amp;L742,".",""))=2,OR(1&gt;LEN(L742),MID(L742,1,1)=".",ISNUMBER(FIND("x"&amp;MID(L742,1,1),"x0x1x2x3x4x5x6x7x8x9"))),OR(2&gt;LEN(L742),MID(L742,2,1)=".",ISNUMBER(FIND("x"&amp;MID(L742,2,1),"x0x1x2x3x4x5x6x7x8x9"))),OR(3&gt;LEN(L742),MID(L742,3,1)=".",ISNUMBER(FIND("x"&amp;MID(L742,3,1),"x0x1x2x3x4x5x6x7x8x9"))),OR(4&gt;LEN(L742),MID(L742,4,1)=".",ISNUMBER(FIND("x"&amp;MID(L742,4,1),"x0x1x2x3x4x5x6x7x8x9"))),OR(5&gt;LEN(L742),MID(L742,5,1)=".",ISNUMBER(FIND("x"&amp;MID(L742,5,1),"x0x1x2x3x4x5x6x7x8x9"))),OR(6&gt;LEN(L742),MID(L742,6,1)=".",ISNUMBER(FIND("x"&amp;MID(L742,6,1),"x0x1x2x3x4x5x6x7x8x9"))),OR(7&gt;LEN(L742),MID(L742,7,1)=".",ISNUMBER(FIND("x"&amp;MID(L742,7,1),"x0x1x2x3x4x5x6x7x8x9"))),OR(8&gt;LEN(L742),MID(L742,8,1)=".",ISNUMBER(FIND("x"&amp;MID(L742,8,1),"x0x1x2x3x4x5x6x7x8x9"))),OR(9&gt;LEN(L742),MID(L742,9,1)=".",ISNUMBER(FIND("x"&amp;MID(L742,9,1),"x0x1x2x3x4x5x6x7x8x9"))),OR(10&gt;LEN(L742),MID(L742,10,1)=".",ISNUMBER(FIND("x"&amp;MID(L742,10,1),"x0x1x2x3x4x5x6x7x8x9"))),OR(AND(FIND(".",L742)=5,LEN(L742)-FIND(".",L742,FIND(".",L742)+1)&gt;=1,LEN(L742)-FIND(".",L742,FIND(".",L742)+1)&lt;=2),AND(LEN(L742)-FIND(".",L742,FIND(".",L742)+1)=4,FIND(".",L742)&gt;=2,FIND(".",L742)&lt;=3)),FIND(".",L742,FIND(".",L742)+1)-FIND(".",L742)&gt;=2,FIND(".",L742,FIND(".",L742)+1)-FIND(".",L742)&lt;=3,P742&gt;=2000,P742&lt;=2100,YEAR(S742)=P742,MONTH(S742)=Q742,DAY(S742)=R742),S742,0)),0)</ns0:f>
        <ns0:v>0</ns0:v>
      </ns0:c>
      <ns0:c r="U742" s="0" t="str">
        <ns0:f>IF(Bookings!C742="","Full day",Bookings!C742)</ns0:f>
        <ns0:v>Full day</ns0:v>
      </ns0:c>
      <ns0:c r="V742" s="0" t="str">
        <ns0:f>IF(Bookings!E742="","Full day",Bookings!E742)</ns0:f>
        <ns0:v>Full day</ns0:v>
      </ns0:c>
      <ns0:c r="W742" s="0">
        <ns0:f>IF(J742=0,0,J742+IF(U742="PM",1,0))</ns0:f>
        <ns0:v>0</ns0:v>
      </ns0:c>
      <ns0:c r="X742" s="0">
        <ns0:f>IF(T742=0,0,T742-IF(V742="PM",1,0))</ns0:f>
        <ns0:v>0</ns0:v>
      </ns0:c>
      <ns0:c r="Y742" s="0">
        <ns0:f>IF(J742=0,0,J742+IF(U742="AM",1,0))</ns0:f>
        <ns0:v>0</ns0:v>
      </ns0:c>
      <ns0:c r="Z742" s="0">
        <ns0:f>IF(T742=0,0,T742-IF(V742="AM",1,0))</ns0:f>
        <ns0:v>0</ns0:v>
      </ns0:c>
      <ns0:c r="AA742" s="0">
        <ns0:f>IFERROR(IF(AND(J742&gt;0,'_Engine'!C742&gt;0,MID('_Engine'!W742,WEEKDAY(J742,2),1)="W",COUNTIF(Settings!$F$18:$F$67,J742)=0),1,0),0)</ns0:f>
        <ns0:v>0</ns0:v>
      </ns0:c>
      <ns0:c r="AB742" s="0">
        <ns0:f>IFERROR(IF(AND(T742&gt;0,'_Engine'!C742&gt;0,MID('_Engine'!W742,WEEKDAY(T742,2),1)="W",COUNTIF(Settings!$F$18:$F$67,T742)=0),1,0),0)</ns0:f>
        <ns0:v>0</ns0:v>
      </ns0:c>
      <ns0:c r="AC742" s="0">
        <ns0:f>IF(AND(J742&gt;0,T742&gt;0,W742&lt;=X742),1,0)</ns0:f>
        <ns0:v>0</ns0:v>
      </ns0:c>
      <ns0:c r="AD742" s="0">
        <ns0:f>IF(AND(J742&gt;0,T742&gt;0,Y742&lt;=Z742),1,0)</ns0:f>
        <ns0:v>0</ns0:v>
      </ns0:c>
    </ns0:row>
    <ns0:row r="743">
      <ns0:c r="A743" s="0">
        <ns0:f>IFERROR(IF(ISNUMBER(Bookings!B743),"",TRIM(Bookings!B743&amp;"")),"")</ns0:f>
      </ns0:c>
      <ns0:c r="B743" s="0">
        <ns0:f>IFERROR(SUBSTITUTE(SUBSTITUTE(A743,"/","."),"-","."),"")</ns0:f>
      </ns0:c>
      <ns0:c r="C743" s="0">
        <ns0:f>IFERROR(LEFT(B743,FIND(".",B743)-1),"")</ns0:f>
      </ns0:c>
      <ns0:c r="D743" s="0">
        <ns0:f>IFERROR(MID(B743,FIND(".",B743)+1,FIND(".",B743,FIND(".",B743)+1)-FIND(".",B743)-1),"")</ns0:f>
      </ns0:c>
      <ns0:c r="E743" s="0">
        <ns0:f>IFERROR(MID(B743,FIND(".",B743,FIND(".",B743)+1)+1,99),"")</ns0:f>
        <ns0:v>99</ns0:v>
      </ns0:c>
      <ns0:c r="F743" s="0">
        <ns0:f>IFERROR(IF(FIND(".",B743)=5,--C743,--E743),0)</ns0:f>
        <ns0:v>0</ns0:v>
      </ns0:c>
      <ns0:c r="G743" s="0">
        <ns0:f>IFERROR(--D743,0)</ns0:f>
        <ns0:v>0</ns0:v>
      </ns0:c>
      <ns0:c r="H743" s="0">
        <ns0:f>IFERROR(IF(FIND(".",B743)=5,--E743,--C743),0)</ns0:f>
        <ns0:v>0</ns0:v>
      </ns0:c>
      <ns0:c r="I743" s="0">
        <ns0:f>IFERROR(IF(AND(F743&gt;=2000,F743&lt;=2100,G743&gt;=1,G743&lt;=12,H743&gt;=1,H743&lt;=31),DATE(F743,G743,H743),0),0)</ns0:f>
        <ns0:v>0</ns0:v>
      </ns0:c>
      <ns0:c r="J743" s="0">
        <ns0:f>IFERROR(IF(ISNUMBER(Bookings!B743),IF(AND(Bookings!B743=INT(Bookings!B743),Bookings!B743&gt;=DATE(2000,1,1),Bookings!B743&lt;=DATE(2100,12,31)),Bookings!B743,0),IF(AND(A743&lt;&gt;"",LEN("x"&amp;B743)-LEN(SUBSTITUTE("x"&amp;B743,".",""))=2,OR(1&gt;LEN(B743),MID(B743,1,1)=".",ISNUMBER(FIND("x"&amp;MID(B743,1,1),"x0x1x2x3x4x5x6x7x8x9"))),OR(2&gt;LEN(B743),MID(B743,2,1)=".",ISNUMBER(FIND("x"&amp;MID(B743,2,1),"x0x1x2x3x4x5x6x7x8x9"))),OR(3&gt;LEN(B743),MID(B743,3,1)=".",ISNUMBER(FIND("x"&amp;MID(B743,3,1),"x0x1x2x3x4x5x6x7x8x9"))),OR(4&gt;LEN(B743),MID(B743,4,1)=".",ISNUMBER(FIND("x"&amp;MID(B743,4,1),"x0x1x2x3x4x5x6x7x8x9"))),OR(5&gt;LEN(B743),MID(B743,5,1)=".",ISNUMBER(FIND("x"&amp;MID(B743,5,1),"x0x1x2x3x4x5x6x7x8x9"))),OR(6&gt;LEN(B743),MID(B743,6,1)=".",ISNUMBER(FIND("x"&amp;MID(B743,6,1),"x0x1x2x3x4x5x6x7x8x9"))),OR(7&gt;LEN(B743),MID(B743,7,1)=".",ISNUMBER(FIND("x"&amp;MID(B743,7,1),"x0x1x2x3x4x5x6x7x8x9"))),OR(8&gt;LEN(B743),MID(B743,8,1)=".",ISNUMBER(FIND("x"&amp;MID(B743,8,1),"x0x1x2x3x4x5x6x7x8x9"))),OR(9&gt;LEN(B743),MID(B743,9,1)=".",ISNUMBER(FIND("x"&amp;MID(B743,9,1),"x0x1x2x3x4x5x6x7x8x9"))),OR(10&gt;LEN(B743),MID(B743,10,1)=".",ISNUMBER(FIND("x"&amp;MID(B743,10,1),"x0x1x2x3x4x5x6x7x8x9"))),OR(AND(FIND(".",B743)=5,LEN(B743)-FIND(".",B743,FIND(".",B743)+1)&gt;=1,LEN(B743)-FIND(".",B743,FIND(".",B743)+1)&lt;=2),AND(LEN(B743)-FIND(".",B743,FIND(".",B743)+1)=4,FIND(".",B743)&gt;=2,FIND(".",B743)&lt;=3)),FIND(".",B743,FIND(".",B743)+1)-FIND(".",B743)&gt;=2,FIND(".",B743,FIND(".",B743)+1)-FIND(".",B743)&lt;=3,F743&gt;=2000,F743&lt;=2100,YEAR(I743)=F743,MONTH(I743)=G743,DAY(I743)=H743),I743,0)),0)</ns0:f>
        <ns0:v>0</ns0:v>
      </ns0:c>
      <ns0:c r="K743" s="0">
        <ns0:f>IFERROR(IF(ISNUMBER(Bookings!D743),"",TRIM(Bookings!D743&amp;"")),"")</ns0:f>
      </ns0:c>
      <ns0:c r="L743" s="0">
        <ns0:f>IFERROR(SUBSTITUTE(SUBSTITUTE(K743,"/","."),"-","."),"")</ns0:f>
      </ns0:c>
      <ns0:c r="M743" s="0">
        <ns0:f>IFERROR(LEFT(L743,FIND(".",L743)-1),"")</ns0:f>
      </ns0:c>
      <ns0:c r="N743" s="0">
        <ns0:f>IFERROR(MID(L743,FIND(".",L743)+1,FIND(".",L743,FIND(".",L743)+1)-FIND(".",L743)-1),"")</ns0:f>
      </ns0:c>
      <ns0:c r="O743" s="0">
        <ns0:f>IFERROR(MID(L743,FIND(".",L743,FIND(".",L743)+1)+1,99),"")</ns0:f>
        <ns0:v>99</ns0:v>
      </ns0:c>
      <ns0:c r="P743" s="0">
        <ns0:f>IFERROR(IF(FIND(".",L743)=5,--M743,--O743),0)</ns0:f>
        <ns0:v>0</ns0:v>
      </ns0:c>
      <ns0:c r="Q743" s="0">
        <ns0:f>IFERROR(--N743,0)</ns0:f>
        <ns0:v>0</ns0:v>
      </ns0:c>
      <ns0:c r="R743" s="0">
        <ns0:f>IFERROR(IF(FIND(".",L743)=5,--O743,--M743),0)</ns0:f>
        <ns0:v>0</ns0:v>
      </ns0:c>
      <ns0:c r="S743" s="0">
        <ns0:f>IFERROR(IF(AND(P743&gt;=2000,P743&lt;=2100,Q743&gt;=1,Q743&lt;=12,R743&gt;=1,R743&lt;=31),DATE(P743,Q743,R743),0),0)</ns0:f>
        <ns0:v>0</ns0:v>
      </ns0:c>
      <ns0:c r="T743" s="0">
        <ns0:f>IFERROR(IF(ISNUMBER(Bookings!D743),IF(AND(Bookings!D743=INT(Bookings!D743),Bookings!D743&gt;=DATE(2000,1,1),Bookings!D743&lt;=DATE(2100,12,31)),Bookings!D743,0),IF(AND(K743&lt;&gt;"",LEN("x"&amp;L743)-LEN(SUBSTITUTE("x"&amp;L743,".",""))=2,OR(1&gt;LEN(L743),MID(L743,1,1)=".",ISNUMBER(FIND("x"&amp;MID(L743,1,1),"x0x1x2x3x4x5x6x7x8x9"))),OR(2&gt;LEN(L743),MID(L743,2,1)=".",ISNUMBER(FIND("x"&amp;MID(L743,2,1),"x0x1x2x3x4x5x6x7x8x9"))),OR(3&gt;LEN(L743),MID(L743,3,1)=".",ISNUMBER(FIND("x"&amp;MID(L743,3,1),"x0x1x2x3x4x5x6x7x8x9"))),OR(4&gt;LEN(L743),MID(L743,4,1)=".",ISNUMBER(FIND("x"&amp;MID(L743,4,1),"x0x1x2x3x4x5x6x7x8x9"))),OR(5&gt;LEN(L743),MID(L743,5,1)=".",ISNUMBER(FIND("x"&amp;MID(L743,5,1),"x0x1x2x3x4x5x6x7x8x9"))),OR(6&gt;LEN(L743),MID(L743,6,1)=".",ISNUMBER(FIND("x"&amp;MID(L743,6,1),"x0x1x2x3x4x5x6x7x8x9"))),OR(7&gt;LEN(L743),MID(L743,7,1)=".",ISNUMBER(FIND("x"&amp;MID(L743,7,1),"x0x1x2x3x4x5x6x7x8x9"))),OR(8&gt;LEN(L743),MID(L743,8,1)=".",ISNUMBER(FIND("x"&amp;MID(L743,8,1),"x0x1x2x3x4x5x6x7x8x9"))),OR(9&gt;LEN(L743),MID(L743,9,1)=".",ISNUMBER(FIND("x"&amp;MID(L743,9,1),"x0x1x2x3x4x5x6x7x8x9"))),OR(10&gt;LEN(L743),MID(L743,10,1)=".",ISNUMBER(FIND("x"&amp;MID(L743,10,1),"x0x1x2x3x4x5x6x7x8x9"))),OR(AND(FIND(".",L743)=5,LEN(L743)-FIND(".",L743,FIND(".",L743)+1)&gt;=1,LEN(L743)-FIND(".",L743,FIND(".",L743)+1)&lt;=2),AND(LEN(L743)-FIND(".",L743,FIND(".",L743)+1)=4,FIND(".",L743)&gt;=2,FIND(".",L743)&lt;=3)),FIND(".",L743,FIND(".",L743)+1)-FIND(".",L743)&gt;=2,FIND(".",L743,FIND(".",L743)+1)-FIND(".",L743)&lt;=3,P743&gt;=2000,P743&lt;=2100,YEAR(S743)=P743,MONTH(S743)=Q743,DAY(S743)=R743),S743,0)),0)</ns0:f>
        <ns0:v>0</ns0:v>
      </ns0:c>
      <ns0:c r="U743" s="0" t="str">
        <ns0:f>IF(Bookings!C743="","Full day",Bookings!C743)</ns0:f>
        <ns0:v>Full day</ns0:v>
      </ns0:c>
      <ns0:c r="V743" s="0" t="str">
        <ns0:f>IF(Bookings!E743="","Full day",Bookings!E743)</ns0:f>
        <ns0:v>Full day</ns0:v>
      </ns0:c>
      <ns0:c r="W743" s="0">
        <ns0:f>IF(J743=0,0,J743+IF(U743="PM",1,0))</ns0:f>
        <ns0:v>0</ns0:v>
      </ns0:c>
      <ns0:c r="X743" s="0">
        <ns0:f>IF(T743=0,0,T743-IF(V743="PM",1,0))</ns0:f>
        <ns0:v>0</ns0:v>
      </ns0:c>
      <ns0:c r="Y743" s="0">
        <ns0:f>IF(J743=0,0,J743+IF(U743="AM",1,0))</ns0:f>
        <ns0:v>0</ns0:v>
      </ns0:c>
      <ns0:c r="Z743" s="0">
        <ns0:f>IF(T743=0,0,T743-IF(V743="AM",1,0))</ns0:f>
        <ns0:v>0</ns0:v>
      </ns0:c>
      <ns0:c r="AA743" s="0">
        <ns0:f>IFERROR(IF(AND(J743&gt;0,'_Engine'!C743&gt;0,MID('_Engine'!W743,WEEKDAY(J743,2),1)="W",COUNTIF(Settings!$F$18:$F$67,J743)=0),1,0),0)</ns0:f>
        <ns0:v>0</ns0:v>
      </ns0:c>
      <ns0:c r="AB743" s="0">
        <ns0:f>IFERROR(IF(AND(T743&gt;0,'_Engine'!C743&gt;0,MID('_Engine'!W743,WEEKDAY(T743,2),1)="W",COUNTIF(Settings!$F$18:$F$67,T743)=0),1,0),0)</ns0:f>
        <ns0:v>0</ns0:v>
      </ns0:c>
      <ns0:c r="AC743" s="0">
        <ns0:f>IF(AND(J743&gt;0,T743&gt;0,W743&lt;=X743),1,0)</ns0:f>
        <ns0:v>0</ns0:v>
      </ns0:c>
      <ns0:c r="AD743" s="0">
        <ns0:f>IF(AND(J743&gt;0,T743&gt;0,Y743&lt;=Z743),1,0)</ns0:f>
        <ns0:v>0</ns0:v>
      </ns0:c>
    </ns0:row>
    <ns0:row r="744">
      <ns0:c r="A744" s="0">
        <ns0:f>IFERROR(IF(ISNUMBER(Bookings!B744),"",TRIM(Bookings!B744&amp;"")),"")</ns0:f>
      </ns0:c>
      <ns0:c r="B744" s="0">
        <ns0:f>IFERROR(SUBSTITUTE(SUBSTITUTE(A744,"/","."),"-","."),"")</ns0:f>
      </ns0:c>
      <ns0:c r="C744" s="0">
        <ns0:f>IFERROR(LEFT(B744,FIND(".",B744)-1),"")</ns0:f>
      </ns0:c>
      <ns0:c r="D744" s="0">
        <ns0:f>IFERROR(MID(B744,FIND(".",B744)+1,FIND(".",B744,FIND(".",B744)+1)-FIND(".",B744)-1),"")</ns0:f>
      </ns0:c>
      <ns0:c r="E744" s="0">
        <ns0:f>IFERROR(MID(B744,FIND(".",B744,FIND(".",B744)+1)+1,99),"")</ns0:f>
        <ns0:v>99</ns0:v>
      </ns0:c>
      <ns0:c r="F744" s="0">
        <ns0:f>IFERROR(IF(FIND(".",B744)=5,--C744,--E744),0)</ns0:f>
        <ns0:v>0</ns0:v>
      </ns0:c>
      <ns0:c r="G744" s="0">
        <ns0:f>IFERROR(--D744,0)</ns0:f>
        <ns0:v>0</ns0:v>
      </ns0:c>
      <ns0:c r="H744" s="0">
        <ns0:f>IFERROR(IF(FIND(".",B744)=5,--E744,--C744),0)</ns0:f>
        <ns0:v>0</ns0:v>
      </ns0:c>
      <ns0:c r="I744" s="0">
        <ns0:f>IFERROR(IF(AND(F744&gt;=2000,F744&lt;=2100,G744&gt;=1,G744&lt;=12,H744&gt;=1,H744&lt;=31),DATE(F744,G744,H744),0),0)</ns0:f>
        <ns0:v>0</ns0:v>
      </ns0:c>
      <ns0:c r="J744" s="0">
        <ns0:f>IFERROR(IF(ISNUMBER(Bookings!B744),IF(AND(Bookings!B744=INT(Bookings!B744),Bookings!B744&gt;=DATE(2000,1,1),Bookings!B744&lt;=DATE(2100,12,31)),Bookings!B744,0),IF(AND(A744&lt;&gt;"",LEN("x"&amp;B744)-LEN(SUBSTITUTE("x"&amp;B744,".",""))=2,OR(1&gt;LEN(B744),MID(B744,1,1)=".",ISNUMBER(FIND("x"&amp;MID(B744,1,1),"x0x1x2x3x4x5x6x7x8x9"))),OR(2&gt;LEN(B744),MID(B744,2,1)=".",ISNUMBER(FIND("x"&amp;MID(B744,2,1),"x0x1x2x3x4x5x6x7x8x9"))),OR(3&gt;LEN(B744),MID(B744,3,1)=".",ISNUMBER(FIND("x"&amp;MID(B744,3,1),"x0x1x2x3x4x5x6x7x8x9"))),OR(4&gt;LEN(B744),MID(B744,4,1)=".",ISNUMBER(FIND("x"&amp;MID(B744,4,1),"x0x1x2x3x4x5x6x7x8x9"))),OR(5&gt;LEN(B744),MID(B744,5,1)=".",ISNUMBER(FIND("x"&amp;MID(B744,5,1),"x0x1x2x3x4x5x6x7x8x9"))),OR(6&gt;LEN(B744),MID(B744,6,1)=".",ISNUMBER(FIND("x"&amp;MID(B744,6,1),"x0x1x2x3x4x5x6x7x8x9"))),OR(7&gt;LEN(B744),MID(B744,7,1)=".",ISNUMBER(FIND("x"&amp;MID(B744,7,1),"x0x1x2x3x4x5x6x7x8x9"))),OR(8&gt;LEN(B744),MID(B744,8,1)=".",ISNUMBER(FIND("x"&amp;MID(B744,8,1),"x0x1x2x3x4x5x6x7x8x9"))),OR(9&gt;LEN(B744),MID(B744,9,1)=".",ISNUMBER(FIND("x"&amp;MID(B744,9,1),"x0x1x2x3x4x5x6x7x8x9"))),OR(10&gt;LEN(B744),MID(B744,10,1)=".",ISNUMBER(FIND("x"&amp;MID(B744,10,1),"x0x1x2x3x4x5x6x7x8x9"))),OR(AND(FIND(".",B744)=5,LEN(B744)-FIND(".",B744,FIND(".",B744)+1)&gt;=1,LEN(B744)-FIND(".",B744,FIND(".",B744)+1)&lt;=2),AND(LEN(B744)-FIND(".",B744,FIND(".",B744)+1)=4,FIND(".",B744)&gt;=2,FIND(".",B744)&lt;=3)),FIND(".",B744,FIND(".",B744)+1)-FIND(".",B744)&gt;=2,FIND(".",B744,FIND(".",B744)+1)-FIND(".",B744)&lt;=3,F744&gt;=2000,F744&lt;=2100,YEAR(I744)=F744,MONTH(I744)=G744,DAY(I744)=H744),I744,0)),0)</ns0:f>
        <ns0:v>0</ns0:v>
      </ns0:c>
      <ns0:c r="K744" s="0">
        <ns0:f>IFERROR(IF(ISNUMBER(Bookings!D744),"",TRIM(Bookings!D744&amp;"")),"")</ns0:f>
      </ns0:c>
      <ns0:c r="L744" s="0">
        <ns0:f>IFERROR(SUBSTITUTE(SUBSTITUTE(K744,"/","."),"-","."),"")</ns0:f>
      </ns0:c>
      <ns0:c r="M744" s="0">
        <ns0:f>IFERROR(LEFT(L744,FIND(".",L744)-1),"")</ns0:f>
      </ns0:c>
      <ns0:c r="N744" s="0">
        <ns0:f>IFERROR(MID(L744,FIND(".",L744)+1,FIND(".",L744,FIND(".",L744)+1)-FIND(".",L744)-1),"")</ns0:f>
      </ns0:c>
      <ns0:c r="O744" s="0">
        <ns0:f>IFERROR(MID(L744,FIND(".",L744,FIND(".",L744)+1)+1,99),"")</ns0:f>
        <ns0:v>99</ns0:v>
      </ns0:c>
      <ns0:c r="P744" s="0">
        <ns0:f>IFERROR(IF(FIND(".",L744)=5,--M744,--O744),0)</ns0:f>
        <ns0:v>0</ns0:v>
      </ns0:c>
      <ns0:c r="Q744" s="0">
        <ns0:f>IFERROR(--N744,0)</ns0:f>
        <ns0:v>0</ns0:v>
      </ns0:c>
      <ns0:c r="R744" s="0">
        <ns0:f>IFERROR(IF(FIND(".",L744)=5,--O744,--M744),0)</ns0:f>
        <ns0:v>0</ns0:v>
      </ns0:c>
      <ns0:c r="S744" s="0">
        <ns0:f>IFERROR(IF(AND(P744&gt;=2000,P744&lt;=2100,Q744&gt;=1,Q744&lt;=12,R744&gt;=1,R744&lt;=31),DATE(P744,Q744,R744),0),0)</ns0:f>
        <ns0:v>0</ns0:v>
      </ns0:c>
      <ns0:c r="T744" s="0">
        <ns0:f>IFERROR(IF(ISNUMBER(Bookings!D744),IF(AND(Bookings!D744=INT(Bookings!D744),Bookings!D744&gt;=DATE(2000,1,1),Bookings!D744&lt;=DATE(2100,12,31)),Bookings!D744,0),IF(AND(K744&lt;&gt;"",LEN("x"&amp;L744)-LEN(SUBSTITUTE("x"&amp;L744,".",""))=2,OR(1&gt;LEN(L744),MID(L744,1,1)=".",ISNUMBER(FIND("x"&amp;MID(L744,1,1),"x0x1x2x3x4x5x6x7x8x9"))),OR(2&gt;LEN(L744),MID(L744,2,1)=".",ISNUMBER(FIND("x"&amp;MID(L744,2,1),"x0x1x2x3x4x5x6x7x8x9"))),OR(3&gt;LEN(L744),MID(L744,3,1)=".",ISNUMBER(FIND("x"&amp;MID(L744,3,1),"x0x1x2x3x4x5x6x7x8x9"))),OR(4&gt;LEN(L744),MID(L744,4,1)=".",ISNUMBER(FIND("x"&amp;MID(L744,4,1),"x0x1x2x3x4x5x6x7x8x9"))),OR(5&gt;LEN(L744),MID(L744,5,1)=".",ISNUMBER(FIND("x"&amp;MID(L744,5,1),"x0x1x2x3x4x5x6x7x8x9"))),OR(6&gt;LEN(L744),MID(L744,6,1)=".",ISNUMBER(FIND("x"&amp;MID(L744,6,1),"x0x1x2x3x4x5x6x7x8x9"))),OR(7&gt;LEN(L744),MID(L744,7,1)=".",ISNUMBER(FIND("x"&amp;MID(L744,7,1),"x0x1x2x3x4x5x6x7x8x9"))),OR(8&gt;LEN(L744),MID(L744,8,1)=".",ISNUMBER(FIND("x"&amp;MID(L744,8,1),"x0x1x2x3x4x5x6x7x8x9"))),OR(9&gt;LEN(L744),MID(L744,9,1)=".",ISNUMBER(FIND("x"&amp;MID(L744,9,1),"x0x1x2x3x4x5x6x7x8x9"))),OR(10&gt;LEN(L744),MID(L744,10,1)=".",ISNUMBER(FIND("x"&amp;MID(L744,10,1),"x0x1x2x3x4x5x6x7x8x9"))),OR(AND(FIND(".",L744)=5,LEN(L744)-FIND(".",L744,FIND(".",L744)+1)&gt;=1,LEN(L744)-FIND(".",L744,FIND(".",L744)+1)&lt;=2),AND(LEN(L744)-FIND(".",L744,FIND(".",L744)+1)=4,FIND(".",L744)&gt;=2,FIND(".",L744)&lt;=3)),FIND(".",L744,FIND(".",L744)+1)-FIND(".",L744)&gt;=2,FIND(".",L744,FIND(".",L744)+1)-FIND(".",L744)&lt;=3,P744&gt;=2000,P744&lt;=2100,YEAR(S744)=P744,MONTH(S744)=Q744,DAY(S744)=R744),S744,0)),0)</ns0:f>
        <ns0:v>0</ns0:v>
      </ns0:c>
      <ns0:c r="U744" s="0" t="str">
        <ns0:f>IF(Bookings!C744="","Full day",Bookings!C744)</ns0:f>
        <ns0:v>Full day</ns0:v>
      </ns0:c>
      <ns0:c r="V744" s="0" t="str">
        <ns0:f>IF(Bookings!E744="","Full day",Bookings!E744)</ns0:f>
        <ns0:v>Full day</ns0:v>
      </ns0:c>
      <ns0:c r="W744" s="0">
        <ns0:f>IF(J744=0,0,J744+IF(U744="PM",1,0))</ns0:f>
        <ns0:v>0</ns0:v>
      </ns0:c>
      <ns0:c r="X744" s="0">
        <ns0:f>IF(T744=0,0,T744-IF(V744="PM",1,0))</ns0:f>
        <ns0:v>0</ns0:v>
      </ns0:c>
      <ns0:c r="Y744" s="0">
        <ns0:f>IF(J744=0,0,J744+IF(U744="AM",1,0))</ns0:f>
        <ns0:v>0</ns0:v>
      </ns0:c>
      <ns0:c r="Z744" s="0">
        <ns0:f>IF(T744=0,0,T744-IF(V744="AM",1,0))</ns0:f>
        <ns0:v>0</ns0:v>
      </ns0:c>
      <ns0:c r="AA744" s="0">
        <ns0:f>IFERROR(IF(AND(J744&gt;0,'_Engine'!C744&gt;0,MID('_Engine'!W744,WEEKDAY(J744,2),1)="W",COUNTIF(Settings!$F$18:$F$67,J744)=0),1,0),0)</ns0:f>
        <ns0:v>0</ns0:v>
      </ns0:c>
      <ns0:c r="AB744" s="0">
        <ns0:f>IFERROR(IF(AND(T744&gt;0,'_Engine'!C744&gt;0,MID('_Engine'!W744,WEEKDAY(T744,2),1)="W",COUNTIF(Settings!$F$18:$F$67,T744)=0),1,0),0)</ns0:f>
        <ns0:v>0</ns0:v>
      </ns0:c>
      <ns0:c r="AC744" s="0">
        <ns0:f>IF(AND(J744&gt;0,T744&gt;0,W744&lt;=X744),1,0)</ns0:f>
        <ns0:v>0</ns0:v>
      </ns0:c>
      <ns0:c r="AD744" s="0">
        <ns0:f>IF(AND(J744&gt;0,T744&gt;0,Y744&lt;=Z744),1,0)</ns0:f>
        <ns0:v>0</ns0:v>
      </ns0:c>
    </ns0:row>
    <ns0:row r="745">
      <ns0:c r="A745" s="0">
        <ns0:f>IFERROR(IF(ISNUMBER(Bookings!B745),"",TRIM(Bookings!B745&amp;"")),"")</ns0:f>
      </ns0:c>
      <ns0:c r="B745" s="0">
        <ns0:f>IFERROR(SUBSTITUTE(SUBSTITUTE(A745,"/","."),"-","."),"")</ns0:f>
      </ns0:c>
      <ns0:c r="C745" s="0">
        <ns0:f>IFERROR(LEFT(B745,FIND(".",B745)-1),"")</ns0:f>
      </ns0:c>
      <ns0:c r="D745" s="0">
        <ns0:f>IFERROR(MID(B745,FIND(".",B745)+1,FIND(".",B745,FIND(".",B745)+1)-FIND(".",B745)-1),"")</ns0:f>
      </ns0:c>
      <ns0:c r="E745" s="0">
        <ns0:f>IFERROR(MID(B745,FIND(".",B745,FIND(".",B745)+1)+1,99),"")</ns0:f>
        <ns0:v>99</ns0:v>
      </ns0:c>
      <ns0:c r="F745" s="0">
        <ns0:f>IFERROR(IF(FIND(".",B745)=5,--C745,--E745),0)</ns0:f>
        <ns0:v>0</ns0:v>
      </ns0:c>
      <ns0:c r="G745" s="0">
        <ns0:f>IFERROR(--D745,0)</ns0:f>
        <ns0:v>0</ns0:v>
      </ns0:c>
      <ns0:c r="H745" s="0">
        <ns0:f>IFERROR(IF(FIND(".",B745)=5,--E745,--C745),0)</ns0:f>
        <ns0:v>0</ns0:v>
      </ns0:c>
      <ns0:c r="I745" s="0">
        <ns0:f>IFERROR(IF(AND(F745&gt;=2000,F745&lt;=2100,G745&gt;=1,G745&lt;=12,H745&gt;=1,H745&lt;=31),DATE(F745,G745,H745),0),0)</ns0:f>
        <ns0:v>0</ns0:v>
      </ns0:c>
      <ns0:c r="J745" s="0">
        <ns0:f>IFERROR(IF(ISNUMBER(Bookings!B745),IF(AND(Bookings!B745=INT(Bookings!B745),Bookings!B745&gt;=DATE(2000,1,1),Bookings!B745&lt;=DATE(2100,12,31)),Bookings!B745,0),IF(AND(A745&lt;&gt;"",LEN("x"&amp;B745)-LEN(SUBSTITUTE("x"&amp;B745,".",""))=2,OR(1&gt;LEN(B745),MID(B745,1,1)=".",ISNUMBER(FIND("x"&amp;MID(B745,1,1),"x0x1x2x3x4x5x6x7x8x9"))),OR(2&gt;LEN(B745),MID(B745,2,1)=".",ISNUMBER(FIND("x"&amp;MID(B745,2,1),"x0x1x2x3x4x5x6x7x8x9"))),OR(3&gt;LEN(B745),MID(B745,3,1)=".",ISNUMBER(FIND("x"&amp;MID(B745,3,1),"x0x1x2x3x4x5x6x7x8x9"))),OR(4&gt;LEN(B745),MID(B745,4,1)=".",ISNUMBER(FIND("x"&amp;MID(B745,4,1),"x0x1x2x3x4x5x6x7x8x9"))),OR(5&gt;LEN(B745),MID(B745,5,1)=".",ISNUMBER(FIND("x"&amp;MID(B745,5,1),"x0x1x2x3x4x5x6x7x8x9"))),OR(6&gt;LEN(B745),MID(B745,6,1)=".",ISNUMBER(FIND("x"&amp;MID(B745,6,1),"x0x1x2x3x4x5x6x7x8x9"))),OR(7&gt;LEN(B745),MID(B745,7,1)=".",ISNUMBER(FIND("x"&amp;MID(B745,7,1),"x0x1x2x3x4x5x6x7x8x9"))),OR(8&gt;LEN(B745),MID(B745,8,1)=".",ISNUMBER(FIND("x"&amp;MID(B745,8,1),"x0x1x2x3x4x5x6x7x8x9"))),OR(9&gt;LEN(B745),MID(B745,9,1)=".",ISNUMBER(FIND("x"&amp;MID(B745,9,1),"x0x1x2x3x4x5x6x7x8x9"))),OR(10&gt;LEN(B745),MID(B745,10,1)=".",ISNUMBER(FIND("x"&amp;MID(B745,10,1),"x0x1x2x3x4x5x6x7x8x9"))),OR(AND(FIND(".",B745)=5,LEN(B745)-FIND(".",B745,FIND(".",B745)+1)&gt;=1,LEN(B745)-FIND(".",B745,FIND(".",B745)+1)&lt;=2),AND(LEN(B745)-FIND(".",B745,FIND(".",B745)+1)=4,FIND(".",B745)&gt;=2,FIND(".",B745)&lt;=3)),FIND(".",B745,FIND(".",B745)+1)-FIND(".",B745)&gt;=2,FIND(".",B745,FIND(".",B745)+1)-FIND(".",B745)&lt;=3,F745&gt;=2000,F745&lt;=2100,YEAR(I745)=F745,MONTH(I745)=G745,DAY(I745)=H745),I745,0)),0)</ns0:f>
        <ns0:v>0</ns0:v>
      </ns0:c>
      <ns0:c r="K745" s="0">
        <ns0:f>IFERROR(IF(ISNUMBER(Bookings!D745),"",TRIM(Bookings!D745&amp;"")),"")</ns0:f>
      </ns0:c>
      <ns0:c r="L745" s="0">
        <ns0:f>IFERROR(SUBSTITUTE(SUBSTITUTE(K745,"/","."),"-","."),"")</ns0:f>
      </ns0:c>
      <ns0:c r="M745" s="0">
        <ns0:f>IFERROR(LEFT(L745,FIND(".",L745)-1),"")</ns0:f>
      </ns0:c>
      <ns0:c r="N745" s="0">
        <ns0:f>IFERROR(MID(L745,FIND(".",L745)+1,FIND(".",L745,FIND(".",L745)+1)-FIND(".",L745)-1),"")</ns0:f>
      </ns0:c>
      <ns0:c r="O745" s="0">
        <ns0:f>IFERROR(MID(L745,FIND(".",L745,FIND(".",L745)+1)+1,99),"")</ns0:f>
        <ns0:v>99</ns0:v>
      </ns0:c>
      <ns0:c r="P745" s="0">
        <ns0:f>IFERROR(IF(FIND(".",L745)=5,--M745,--O745),0)</ns0:f>
        <ns0:v>0</ns0:v>
      </ns0:c>
      <ns0:c r="Q745" s="0">
        <ns0:f>IFERROR(--N745,0)</ns0:f>
        <ns0:v>0</ns0:v>
      </ns0:c>
      <ns0:c r="R745" s="0">
        <ns0:f>IFERROR(IF(FIND(".",L745)=5,--O745,--M745),0)</ns0:f>
        <ns0:v>0</ns0:v>
      </ns0:c>
      <ns0:c r="S745" s="0">
        <ns0:f>IFERROR(IF(AND(P745&gt;=2000,P745&lt;=2100,Q745&gt;=1,Q745&lt;=12,R745&gt;=1,R745&lt;=31),DATE(P745,Q745,R745),0),0)</ns0:f>
        <ns0:v>0</ns0:v>
      </ns0:c>
      <ns0:c r="T745" s="0">
        <ns0:f>IFERROR(IF(ISNUMBER(Bookings!D745),IF(AND(Bookings!D745=INT(Bookings!D745),Bookings!D745&gt;=DATE(2000,1,1),Bookings!D745&lt;=DATE(2100,12,31)),Bookings!D745,0),IF(AND(K745&lt;&gt;"",LEN("x"&amp;L745)-LEN(SUBSTITUTE("x"&amp;L745,".",""))=2,OR(1&gt;LEN(L745),MID(L745,1,1)=".",ISNUMBER(FIND("x"&amp;MID(L745,1,1),"x0x1x2x3x4x5x6x7x8x9"))),OR(2&gt;LEN(L745),MID(L745,2,1)=".",ISNUMBER(FIND("x"&amp;MID(L745,2,1),"x0x1x2x3x4x5x6x7x8x9"))),OR(3&gt;LEN(L745),MID(L745,3,1)=".",ISNUMBER(FIND("x"&amp;MID(L745,3,1),"x0x1x2x3x4x5x6x7x8x9"))),OR(4&gt;LEN(L745),MID(L745,4,1)=".",ISNUMBER(FIND("x"&amp;MID(L745,4,1),"x0x1x2x3x4x5x6x7x8x9"))),OR(5&gt;LEN(L745),MID(L745,5,1)=".",ISNUMBER(FIND("x"&amp;MID(L745,5,1),"x0x1x2x3x4x5x6x7x8x9"))),OR(6&gt;LEN(L745),MID(L745,6,1)=".",ISNUMBER(FIND("x"&amp;MID(L745,6,1),"x0x1x2x3x4x5x6x7x8x9"))),OR(7&gt;LEN(L745),MID(L745,7,1)=".",ISNUMBER(FIND("x"&amp;MID(L745,7,1),"x0x1x2x3x4x5x6x7x8x9"))),OR(8&gt;LEN(L745),MID(L745,8,1)=".",ISNUMBER(FIND("x"&amp;MID(L745,8,1),"x0x1x2x3x4x5x6x7x8x9"))),OR(9&gt;LEN(L745),MID(L745,9,1)=".",ISNUMBER(FIND("x"&amp;MID(L745,9,1),"x0x1x2x3x4x5x6x7x8x9"))),OR(10&gt;LEN(L745),MID(L745,10,1)=".",ISNUMBER(FIND("x"&amp;MID(L745,10,1),"x0x1x2x3x4x5x6x7x8x9"))),OR(AND(FIND(".",L745)=5,LEN(L745)-FIND(".",L745,FIND(".",L745)+1)&gt;=1,LEN(L745)-FIND(".",L745,FIND(".",L745)+1)&lt;=2),AND(LEN(L745)-FIND(".",L745,FIND(".",L745)+1)=4,FIND(".",L745)&gt;=2,FIND(".",L745)&lt;=3)),FIND(".",L745,FIND(".",L745)+1)-FIND(".",L745)&gt;=2,FIND(".",L745,FIND(".",L745)+1)-FIND(".",L745)&lt;=3,P745&gt;=2000,P745&lt;=2100,YEAR(S745)=P745,MONTH(S745)=Q745,DAY(S745)=R745),S745,0)),0)</ns0:f>
        <ns0:v>0</ns0:v>
      </ns0:c>
      <ns0:c r="U745" s="0" t="str">
        <ns0:f>IF(Bookings!C745="","Full day",Bookings!C745)</ns0:f>
        <ns0:v>Full day</ns0:v>
      </ns0:c>
      <ns0:c r="V745" s="0" t="str">
        <ns0:f>IF(Bookings!E745="","Full day",Bookings!E745)</ns0:f>
        <ns0:v>Full day</ns0:v>
      </ns0:c>
      <ns0:c r="W745" s="0">
        <ns0:f>IF(J745=0,0,J745+IF(U745="PM",1,0))</ns0:f>
        <ns0:v>0</ns0:v>
      </ns0:c>
      <ns0:c r="X745" s="0">
        <ns0:f>IF(T745=0,0,T745-IF(V745="PM",1,0))</ns0:f>
        <ns0:v>0</ns0:v>
      </ns0:c>
      <ns0:c r="Y745" s="0">
        <ns0:f>IF(J745=0,0,J745+IF(U745="AM",1,0))</ns0:f>
        <ns0:v>0</ns0:v>
      </ns0:c>
      <ns0:c r="Z745" s="0">
        <ns0:f>IF(T745=0,0,T745-IF(V745="AM",1,0))</ns0:f>
        <ns0:v>0</ns0:v>
      </ns0:c>
      <ns0:c r="AA745" s="0">
        <ns0:f>IFERROR(IF(AND(J745&gt;0,'_Engine'!C745&gt;0,MID('_Engine'!W745,WEEKDAY(J745,2),1)="W",COUNTIF(Settings!$F$18:$F$67,J745)=0),1,0),0)</ns0:f>
        <ns0:v>0</ns0:v>
      </ns0:c>
      <ns0:c r="AB745" s="0">
        <ns0:f>IFERROR(IF(AND(T745&gt;0,'_Engine'!C745&gt;0,MID('_Engine'!W745,WEEKDAY(T745,2),1)="W",COUNTIF(Settings!$F$18:$F$67,T745)=0),1,0),0)</ns0:f>
        <ns0:v>0</ns0:v>
      </ns0:c>
      <ns0:c r="AC745" s="0">
        <ns0:f>IF(AND(J745&gt;0,T745&gt;0,W745&lt;=X745),1,0)</ns0:f>
        <ns0:v>0</ns0:v>
      </ns0:c>
      <ns0:c r="AD745" s="0">
        <ns0:f>IF(AND(J745&gt;0,T745&gt;0,Y745&lt;=Z745),1,0)</ns0:f>
        <ns0:v>0</ns0:v>
      </ns0:c>
    </ns0:row>
    <ns0:row r="746">
      <ns0:c r="A746" s="0">
        <ns0:f>IFERROR(IF(ISNUMBER(Bookings!B746),"",TRIM(Bookings!B746&amp;"")),"")</ns0:f>
      </ns0:c>
      <ns0:c r="B746" s="0">
        <ns0:f>IFERROR(SUBSTITUTE(SUBSTITUTE(A746,"/","."),"-","."),"")</ns0:f>
      </ns0:c>
      <ns0:c r="C746" s="0">
        <ns0:f>IFERROR(LEFT(B746,FIND(".",B746)-1),"")</ns0:f>
      </ns0:c>
      <ns0:c r="D746" s="0">
        <ns0:f>IFERROR(MID(B746,FIND(".",B746)+1,FIND(".",B746,FIND(".",B746)+1)-FIND(".",B746)-1),"")</ns0:f>
      </ns0:c>
      <ns0:c r="E746" s="0">
        <ns0:f>IFERROR(MID(B746,FIND(".",B746,FIND(".",B746)+1)+1,99),"")</ns0:f>
        <ns0:v>99</ns0:v>
      </ns0:c>
      <ns0:c r="F746" s="0">
        <ns0:f>IFERROR(IF(FIND(".",B746)=5,--C746,--E746),0)</ns0:f>
        <ns0:v>0</ns0:v>
      </ns0:c>
      <ns0:c r="G746" s="0">
        <ns0:f>IFERROR(--D746,0)</ns0:f>
        <ns0:v>0</ns0:v>
      </ns0:c>
      <ns0:c r="H746" s="0">
        <ns0:f>IFERROR(IF(FIND(".",B746)=5,--E746,--C746),0)</ns0:f>
        <ns0:v>0</ns0:v>
      </ns0:c>
      <ns0:c r="I746" s="0">
        <ns0:f>IFERROR(IF(AND(F746&gt;=2000,F746&lt;=2100,G746&gt;=1,G746&lt;=12,H746&gt;=1,H746&lt;=31),DATE(F746,G746,H746),0),0)</ns0:f>
        <ns0:v>0</ns0:v>
      </ns0:c>
      <ns0:c r="J746" s="0">
        <ns0:f>IFERROR(IF(ISNUMBER(Bookings!B746),IF(AND(Bookings!B746=INT(Bookings!B746),Bookings!B746&gt;=DATE(2000,1,1),Bookings!B746&lt;=DATE(2100,12,31)),Bookings!B746,0),IF(AND(A746&lt;&gt;"",LEN("x"&amp;B746)-LEN(SUBSTITUTE("x"&amp;B746,".",""))=2,OR(1&gt;LEN(B746),MID(B746,1,1)=".",ISNUMBER(FIND("x"&amp;MID(B746,1,1),"x0x1x2x3x4x5x6x7x8x9"))),OR(2&gt;LEN(B746),MID(B746,2,1)=".",ISNUMBER(FIND("x"&amp;MID(B746,2,1),"x0x1x2x3x4x5x6x7x8x9"))),OR(3&gt;LEN(B746),MID(B746,3,1)=".",ISNUMBER(FIND("x"&amp;MID(B746,3,1),"x0x1x2x3x4x5x6x7x8x9"))),OR(4&gt;LEN(B746),MID(B746,4,1)=".",ISNUMBER(FIND("x"&amp;MID(B746,4,1),"x0x1x2x3x4x5x6x7x8x9"))),OR(5&gt;LEN(B746),MID(B746,5,1)=".",ISNUMBER(FIND("x"&amp;MID(B746,5,1),"x0x1x2x3x4x5x6x7x8x9"))),OR(6&gt;LEN(B746),MID(B746,6,1)=".",ISNUMBER(FIND("x"&amp;MID(B746,6,1),"x0x1x2x3x4x5x6x7x8x9"))),OR(7&gt;LEN(B746),MID(B746,7,1)=".",ISNUMBER(FIND("x"&amp;MID(B746,7,1),"x0x1x2x3x4x5x6x7x8x9"))),OR(8&gt;LEN(B746),MID(B746,8,1)=".",ISNUMBER(FIND("x"&amp;MID(B746,8,1),"x0x1x2x3x4x5x6x7x8x9"))),OR(9&gt;LEN(B746),MID(B746,9,1)=".",ISNUMBER(FIND("x"&amp;MID(B746,9,1),"x0x1x2x3x4x5x6x7x8x9"))),OR(10&gt;LEN(B746),MID(B746,10,1)=".",ISNUMBER(FIND("x"&amp;MID(B746,10,1),"x0x1x2x3x4x5x6x7x8x9"))),OR(AND(FIND(".",B746)=5,LEN(B746)-FIND(".",B746,FIND(".",B746)+1)&gt;=1,LEN(B746)-FIND(".",B746,FIND(".",B746)+1)&lt;=2),AND(LEN(B746)-FIND(".",B746,FIND(".",B746)+1)=4,FIND(".",B746)&gt;=2,FIND(".",B746)&lt;=3)),FIND(".",B746,FIND(".",B746)+1)-FIND(".",B746)&gt;=2,FIND(".",B746,FIND(".",B746)+1)-FIND(".",B746)&lt;=3,F746&gt;=2000,F746&lt;=2100,YEAR(I746)=F746,MONTH(I746)=G746,DAY(I746)=H746),I746,0)),0)</ns0:f>
        <ns0:v>0</ns0:v>
      </ns0:c>
      <ns0:c r="K746" s="0">
        <ns0:f>IFERROR(IF(ISNUMBER(Bookings!D746),"",TRIM(Bookings!D746&amp;"")),"")</ns0:f>
      </ns0:c>
      <ns0:c r="L746" s="0">
        <ns0:f>IFERROR(SUBSTITUTE(SUBSTITUTE(K746,"/","."),"-","."),"")</ns0:f>
      </ns0:c>
      <ns0:c r="M746" s="0">
        <ns0:f>IFERROR(LEFT(L746,FIND(".",L746)-1),"")</ns0:f>
      </ns0:c>
      <ns0:c r="N746" s="0">
        <ns0:f>IFERROR(MID(L746,FIND(".",L746)+1,FIND(".",L746,FIND(".",L746)+1)-FIND(".",L746)-1),"")</ns0:f>
      </ns0:c>
      <ns0:c r="O746" s="0">
        <ns0:f>IFERROR(MID(L746,FIND(".",L746,FIND(".",L746)+1)+1,99),"")</ns0:f>
        <ns0:v>99</ns0:v>
      </ns0:c>
      <ns0:c r="P746" s="0">
        <ns0:f>IFERROR(IF(FIND(".",L746)=5,--M746,--O746),0)</ns0:f>
        <ns0:v>0</ns0:v>
      </ns0:c>
      <ns0:c r="Q746" s="0">
        <ns0:f>IFERROR(--N746,0)</ns0:f>
        <ns0:v>0</ns0:v>
      </ns0:c>
      <ns0:c r="R746" s="0">
        <ns0:f>IFERROR(IF(FIND(".",L746)=5,--O746,--M746),0)</ns0:f>
        <ns0:v>0</ns0:v>
      </ns0:c>
      <ns0:c r="S746" s="0">
        <ns0:f>IFERROR(IF(AND(P746&gt;=2000,P746&lt;=2100,Q746&gt;=1,Q746&lt;=12,R746&gt;=1,R746&lt;=31),DATE(P746,Q746,R746),0),0)</ns0:f>
        <ns0:v>0</ns0:v>
      </ns0:c>
      <ns0:c r="T746" s="0">
        <ns0:f>IFERROR(IF(ISNUMBER(Bookings!D746),IF(AND(Bookings!D746=INT(Bookings!D746),Bookings!D746&gt;=DATE(2000,1,1),Bookings!D746&lt;=DATE(2100,12,31)),Bookings!D746,0),IF(AND(K746&lt;&gt;"",LEN("x"&amp;L746)-LEN(SUBSTITUTE("x"&amp;L746,".",""))=2,OR(1&gt;LEN(L746),MID(L746,1,1)=".",ISNUMBER(FIND("x"&amp;MID(L746,1,1),"x0x1x2x3x4x5x6x7x8x9"))),OR(2&gt;LEN(L746),MID(L746,2,1)=".",ISNUMBER(FIND("x"&amp;MID(L746,2,1),"x0x1x2x3x4x5x6x7x8x9"))),OR(3&gt;LEN(L746),MID(L746,3,1)=".",ISNUMBER(FIND("x"&amp;MID(L746,3,1),"x0x1x2x3x4x5x6x7x8x9"))),OR(4&gt;LEN(L746),MID(L746,4,1)=".",ISNUMBER(FIND("x"&amp;MID(L746,4,1),"x0x1x2x3x4x5x6x7x8x9"))),OR(5&gt;LEN(L746),MID(L746,5,1)=".",ISNUMBER(FIND("x"&amp;MID(L746,5,1),"x0x1x2x3x4x5x6x7x8x9"))),OR(6&gt;LEN(L746),MID(L746,6,1)=".",ISNUMBER(FIND("x"&amp;MID(L746,6,1),"x0x1x2x3x4x5x6x7x8x9"))),OR(7&gt;LEN(L746),MID(L746,7,1)=".",ISNUMBER(FIND("x"&amp;MID(L746,7,1),"x0x1x2x3x4x5x6x7x8x9"))),OR(8&gt;LEN(L746),MID(L746,8,1)=".",ISNUMBER(FIND("x"&amp;MID(L746,8,1),"x0x1x2x3x4x5x6x7x8x9"))),OR(9&gt;LEN(L746),MID(L746,9,1)=".",ISNUMBER(FIND("x"&amp;MID(L746,9,1),"x0x1x2x3x4x5x6x7x8x9"))),OR(10&gt;LEN(L746),MID(L746,10,1)=".",ISNUMBER(FIND("x"&amp;MID(L746,10,1),"x0x1x2x3x4x5x6x7x8x9"))),OR(AND(FIND(".",L746)=5,LEN(L746)-FIND(".",L746,FIND(".",L746)+1)&gt;=1,LEN(L746)-FIND(".",L746,FIND(".",L746)+1)&lt;=2),AND(LEN(L746)-FIND(".",L746,FIND(".",L746)+1)=4,FIND(".",L746)&gt;=2,FIND(".",L746)&lt;=3)),FIND(".",L746,FIND(".",L746)+1)-FIND(".",L746)&gt;=2,FIND(".",L746,FIND(".",L746)+1)-FIND(".",L746)&lt;=3,P746&gt;=2000,P746&lt;=2100,YEAR(S746)=P746,MONTH(S746)=Q746,DAY(S746)=R746),S746,0)),0)</ns0:f>
        <ns0:v>0</ns0:v>
      </ns0:c>
      <ns0:c r="U746" s="0" t="str">
        <ns0:f>IF(Bookings!C746="","Full day",Bookings!C746)</ns0:f>
        <ns0:v>Full day</ns0:v>
      </ns0:c>
      <ns0:c r="V746" s="0" t="str">
        <ns0:f>IF(Bookings!E746="","Full day",Bookings!E746)</ns0:f>
        <ns0:v>Full day</ns0:v>
      </ns0:c>
      <ns0:c r="W746" s="0">
        <ns0:f>IF(J746=0,0,J746+IF(U746="PM",1,0))</ns0:f>
        <ns0:v>0</ns0:v>
      </ns0:c>
      <ns0:c r="X746" s="0">
        <ns0:f>IF(T746=0,0,T746-IF(V746="PM",1,0))</ns0:f>
        <ns0:v>0</ns0:v>
      </ns0:c>
      <ns0:c r="Y746" s="0">
        <ns0:f>IF(J746=0,0,J746+IF(U746="AM",1,0))</ns0:f>
        <ns0:v>0</ns0:v>
      </ns0:c>
      <ns0:c r="Z746" s="0">
        <ns0:f>IF(T746=0,0,T746-IF(V746="AM",1,0))</ns0:f>
        <ns0:v>0</ns0:v>
      </ns0:c>
      <ns0:c r="AA746" s="0">
        <ns0:f>IFERROR(IF(AND(J746&gt;0,'_Engine'!C746&gt;0,MID('_Engine'!W746,WEEKDAY(J746,2),1)="W",COUNTIF(Settings!$F$18:$F$67,J746)=0),1,0),0)</ns0:f>
        <ns0:v>0</ns0:v>
      </ns0:c>
      <ns0:c r="AB746" s="0">
        <ns0:f>IFERROR(IF(AND(T746&gt;0,'_Engine'!C746&gt;0,MID('_Engine'!W746,WEEKDAY(T746,2),1)="W",COUNTIF(Settings!$F$18:$F$67,T746)=0),1,0),0)</ns0:f>
        <ns0:v>0</ns0:v>
      </ns0:c>
      <ns0:c r="AC746" s="0">
        <ns0:f>IF(AND(J746&gt;0,T746&gt;0,W746&lt;=X746),1,0)</ns0:f>
        <ns0:v>0</ns0:v>
      </ns0:c>
      <ns0:c r="AD746" s="0">
        <ns0:f>IF(AND(J746&gt;0,T746&gt;0,Y746&lt;=Z746),1,0)</ns0:f>
        <ns0:v>0</ns0:v>
      </ns0:c>
    </ns0:row>
    <ns0:row r="747">
      <ns0:c r="A747" s="0">
        <ns0:f>IFERROR(IF(ISNUMBER(Bookings!B747),"",TRIM(Bookings!B747&amp;"")),"")</ns0:f>
      </ns0:c>
      <ns0:c r="B747" s="0">
        <ns0:f>IFERROR(SUBSTITUTE(SUBSTITUTE(A747,"/","."),"-","."),"")</ns0:f>
      </ns0:c>
      <ns0:c r="C747" s="0">
        <ns0:f>IFERROR(LEFT(B747,FIND(".",B747)-1),"")</ns0:f>
      </ns0:c>
      <ns0:c r="D747" s="0">
        <ns0:f>IFERROR(MID(B747,FIND(".",B747)+1,FIND(".",B747,FIND(".",B747)+1)-FIND(".",B747)-1),"")</ns0:f>
      </ns0:c>
      <ns0:c r="E747" s="0">
        <ns0:f>IFERROR(MID(B747,FIND(".",B747,FIND(".",B747)+1)+1,99),"")</ns0:f>
        <ns0:v>99</ns0:v>
      </ns0:c>
      <ns0:c r="F747" s="0">
        <ns0:f>IFERROR(IF(FIND(".",B747)=5,--C747,--E747),0)</ns0:f>
        <ns0:v>0</ns0:v>
      </ns0:c>
      <ns0:c r="G747" s="0">
        <ns0:f>IFERROR(--D747,0)</ns0:f>
        <ns0:v>0</ns0:v>
      </ns0:c>
      <ns0:c r="H747" s="0">
        <ns0:f>IFERROR(IF(FIND(".",B747)=5,--E747,--C747),0)</ns0:f>
        <ns0:v>0</ns0:v>
      </ns0:c>
      <ns0:c r="I747" s="0">
        <ns0:f>IFERROR(IF(AND(F747&gt;=2000,F747&lt;=2100,G747&gt;=1,G747&lt;=12,H747&gt;=1,H747&lt;=31),DATE(F747,G747,H747),0),0)</ns0:f>
        <ns0:v>0</ns0:v>
      </ns0:c>
      <ns0:c r="J747" s="0">
        <ns0:f>IFERROR(IF(ISNUMBER(Bookings!B747),IF(AND(Bookings!B747=INT(Bookings!B747),Bookings!B747&gt;=DATE(2000,1,1),Bookings!B747&lt;=DATE(2100,12,31)),Bookings!B747,0),IF(AND(A747&lt;&gt;"",LEN("x"&amp;B747)-LEN(SUBSTITUTE("x"&amp;B747,".",""))=2,OR(1&gt;LEN(B747),MID(B747,1,1)=".",ISNUMBER(FIND("x"&amp;MID(B747,1,1),"x0x1x2x3x4x5x6x7x8x9"))),OR(2&gt;LEN(B747),MID(B747,2,1)=".",ISNUMBER(FIND("x"&amp;MID(B747,2,1),"x0x1x2x3x4x5x6x7x8x9"))),OR(3&gt;LEN(B747),MID(B747,3,1)=".",ISNUMBER(FIND("x"&amp;MID(B747,3,1),"x0x1x2x3x4x5x6x7x8x9"))),OR(4&gt;LEN(B747),MID(B747,4,1)=".",ISNUMBER(FIND("x"&amp;MID(B747,4,1),"x0x1x2x3x4x5x6x7x8x9"))),OR(5&gt;LEN(B747),MID(B747,5,1)=".",ISNUMBER(FIND("x"&amp;MID(B747,5,1),"x0x1x2x3x4x5x6x7x8x9"))),OR(6&gt;LEN(B747),MID(B747,6,1)=".",ISNUMBER(FIND("x"&amp;MID(B747,6,1),"x0x1x2x3x4x5x6x7x8x9"))),OR(7&gt;LEN(B747),MID(B747,7,1)=".",ISNUMBER(FIND("x"&amp;MID(B747,7,1),"x0x1x2x3x4x5x6x7x8x9"))),OR(8&gt;LEN(B747),MID(B747,8,1)=".",ISNUMBER(FIND("x"&amp;MID(B747,8,1),"x0x1x2x3x4x5x6x7x8x9"))),OR(9&gt;LEN(B747),MID(B747,9,1)=".",ISNUMBER(FIND("x"&amp;MID(B747,9,1),"x0x1x2x3x4x5x6x7x8x9"))),OR(10&gt;LEN(B747),MID(B747,10,1)=".",ISNUMBER(FIND("x"&amp;MID(B747,10,1),"x0x1x2x3x4x5x6x7x8x9"))),OR(AND(FIND(".",B747)=5,LEN(B747)-FIND(".",B747,FIND(".",B747)+1)&gt;=1,LEN(B747)-FIND(".",B747,FIND(".",B747)+1)&lt;=2),AND(LEN(B747)-FIND(".",B747,FIND(".",B747)+1)=4,FIND(".",B747)&gt;=2,FIND(".",B747)&lt;=3)),FIND(".",B747,FIND(".",B747)+1)-FIND(".",B747)&gt;=2,FIND(".",B747,FIND(".",B747)+1)-FIND(".",B747)&lt;=3,F747&gt;=2000,F747&lt;=2100,YEAR(I747)=F747,MONTH(I747)=G747,DAY(I747)=H747),I747,0)),0)</ns0:f>
        <ns0:v>0</ns0:v>
      </ns0:c>
      <ns0:c r="K747" s="0">
        <ns0:f>IFERROR(IF(ISNUMBER(Bookings!D747),"",TRIM(Bookings!D747&amp;"")),"")</ns0:f>
      </ns0:c>
      <ns0:c r="L747" s="0">
        <ns0:f>IFERROR(SUBSTITUTE(SUBSTITUTE(K747,"/","."),"-","."),"")</ns0:f>
      </ns0:c>
      <ns0:c r="M747" s="0">
        <ns0:f>IFERROR(LEFT(L747,FIND(".",L747)-1),"")</ns0:f>
      </ns0:c>
      <ns0:c r="N747" s="0">
        <ns0:f>IFERROR(MID(L747,FIND(".",L747)+1,FIND(".",L747,FIND(".",L747)+1)-FIND(".",L747)-1),"")</ns0:f>
      </ns0:c>
      <ns0:c r="O747" s="0">
        <ns0:f>IFERROR(MID(L747,FIND(".",L747,FIND(".",L747)+1)+1,99),"")</ns0:f>
        <ns0:v>99</ns0:v>
      </ns0:c>
      <ns0:c r="P747" s="0">
        <ns0:f>IFERROR(IF(FIND(".",L747)=5,--M747,--O747),0)</ns0:f>
        <ns0:v>0</ns0:v>
      </ns0:c>
      <ns0:c r="Q747" s="0">
        <ns0:f>IFERROR(--N747,0)</ns0:f>
        <ns0:v>0</ns0:v>
      </ns0:c>
      <ns0:c r="R747" s="0">
        <ns0:f>IFERROR(IF(FIND(".",L747)=5,--O747,--M747),0)</ns0:f>
        <ns0:v>0</ns0:v>
      </ns0:c>
      <ns0:c r="S747" s="0">
        <ns0:f>IFERROR(IF(AND(P747&gt;=2000,P747&lt;=2100,Q747&gt;=1,Q747&lt;=12,R747&gt;=1,R747&lt;=31),DATE(P747,Q747,R747),0),0)</ns0:f>
        <ns0:v>0</ns0:v>
      </ns0:c>
      <ns0:c r="T747" s="0">
        <ns0:f>IFERROR(IF(ISNUMBER(Bookings!D747),IF(AND(Bookings!D747=INT(Bookings!D747),Bookings!D747&gt;=DATE(2000,1,1),Bookings!D747&lt;=DATE(2100,12,31)),Bookings!D747,0),IF(AND(K747&lt;&gt;"",LEN("x"&amp;L747)-LEN(SUBSTITUTE("x"&amp;L747,".",""))=2,OR(1&gt;LEN(L747),MID(L747,1,1)=".",ISNUMBER(FIND("x"&amp;MID(L747,1,1),"x0x1x2x3x4x5x6x7x8x9"))),OR(2&gt;LEN(L747),MID(L747,2,1)=".",ISNUMBER(FIND("x"&amp;MID(L747,2,1),"x0x1x2x3x4x5x6x7x8x9"))),OR(3&gt;LEN(L747),MID(L747,3,1)=".",ISNUMBER(FIND("x"&amp;MID(L747,3,1),"x0x1x2x3x4x5x6x7x8x9"))),OR(4&gt;LEN(L747),MID(L747,4,1)=".",ISNUMBER(FIND("x"&amp;MID(L747,4,1),"x0x1x2x3x4x5x6x7x8x9"))),OR(5&gt;LEN(L747),MID(L747,5,1)=".",ISNUMBER(FIND("x"&amp;MID(L747,5,1),"x0x1x2x3x4x5x6x7x8x9"))),OR(6&gt;LEN(L747),MID(L747,6,1)=".",ISNUMBER(FIND("x"&amp;MID(L747,6,1),"x0x1x2x3x4x5x6x7x8x9"))),OR(7&gt;LEN(L747),MID(L747,7,1)=".",ISNUMBER(FIND("x"&amp;MID(L747,7,1),"x0x1x2x3x4x5x6x7x8x9"))),OR(8&gt;LEN(L747),MID(L747,8,1)=".",ISNUMBER(FIND("x"&amp;MID(L747,8,1),"x0x1x2x3x4x5x6x7x8x9"))),OR(9&gt;LEN(L747),MID(L747,9,1)=".",ISNUMBER(FIND("x"&amp;MID(L747,9,1),"x0x1x2x3x4x5x6x7x8x9"))),OR(10&gt;LEN(L747),MID(L747,10,1)=".",ISNUMBER(FIND("x"&amp;MID(L747,10,1),"x0x1x2x3x4x5x6x7x8x9"))),OR(AND(FIND(".",L747)=5,LEN(L747)-FIND(".",L747,FIND(".",L747)+1)&gt;=1,LEN(L747)-FIND(".",L747,FIND(".",L747)+1)&lt;=2),AND(LEN(L747)-FIND(".",L747,FIND(".",L747)+1)=4,FIND(".",L747)&gt;=2,FIND(".",L747)&lt;=3)),FIND(".",L747,FIND(".",L747)+1)-FIND(".",L747)&gt;=2,FIND(".",L747,FIND(".",L747)+1)-FIND(".",L747)&lt;=3,P747&gt;=2000,P747&lt;=2100,YEAR(S747)=P747,MONTH(S747)=Q747,DAY(S747)=R747),S747,0)),0)</ns0:f>
        <ns0:v>0</ns0:v>
      </ns0:c>
      <ns0:c r="U747" s="0" t="str">
        <ns0:f>IF(Bookings!C747="","Full day",Bookings!C747)</ns0:f>
        <ns0:v>Full day</ns0:v>
      </ns0:c>
      <ns0:c r="V747" s="0" t="str">
        <ns0:f>IF(Bookings!E747="","Full day",Bookings!E747)</ns0:f>
        <ns0:v>Full day</ns0:v>
      </ns0:c>
      <ns0:c r="W747" s="0">
        <ns0:f>IF(J747=0,0,J747+IF(U747="PM",1,0))</ns0:f>
        <ns0:v>0</ns0:v>
      </ns0:c>
      <ns0:c r="X747" s="0">
        <ns0:f>IF(T747=0,0,T747-IF(V747="PM",1,0))</ns0:f>
        <ns0:v>0</ns0:v>
      </ns0:c>
      <ns0:c r="Y747" s="0">
        <ns0:f>IF(J747=0,0,J747+IF(U747="AM",1,0))</ns0:f>
        <ns0:v>0</ns0:v>
      </ns0:c>
      <ns0:c r="Z747" s="0">
        <ns0:f>IF(T747=0,0,T747-IF(V747="AM",1,0))</ns0:f>
        <ns0:v>0</ns0:v>
      </ns0:c>
      <ns0:c r="AA747" s="0">
        <ns0:f>IFERROR(IF(AND(J747&gt;0,'_Engine'!C747&gt;0,MID('_Engine'!W747,WEEKDAY(J747,2),1)="W",COUNTIF(Settings!$F$18:$F$67,J747)=0),1,0),0)</ns0:f>
        <ns0:v>0</ns0:v>
      </ns0:c>
      <ns0:c r="AB747" s="0">
        <ns0:f>IFERROR(IF(AND(T747&gt;0,'_Engine'!C747&gt;0,MID('_Engine'!W747,WEEKDAY(T747,2),1)="W",COUNTIF(Settings!$F$18:$F$67,T747)=0),1,0),0)</ns0:f>
        <ns0:v>0</ns0:v>
      </ns0:c>
      <ns0:c r="AC747" s="0">
        <ns0:f>IF(AND(J747&gt;0,T747&gt;0,W747&lt;=X747),1,0)</ns0:f>
        <ns0:v>0</ns0:v>
      </ns0:c>
      <ns0:c r="AD747" s="0">
        <ns0:f>IF(AND(J747&gt;0,T747&gt;0,Y747&lt;=Z747),1,0)</ns0:f>
        <ns0:v>0</ns0:v>
      </ns0:c>
    </ns0:row>
    <ns0:row r="748">
      <ns0:c r="A748" s="0">
        <ns0:f>IFERROR(IF(ISNUMBER(Bookings!B748),"",TRIM(Bookings!B748&amp;"")),"")</ns0:f>
      </ns0:c>
      <ns0:c r="B748" s="0">
        <ns0:f>IFERROR(SUBSTITUTE(SUBSTITUTE(A748,"/","."),"-","."),"")</ns0:f>
      </ns0:c>
      <ns0:c r="C748" s="0">
        <ns0:f>IFERROR(LEFT(B748,FIND(".",B748)-1),"")</ns0:f>
      </ns0:c>
      <ns0:c r="D748" s="0">
        <ns0:f>IFERROR(MID(B748,FIND(".",B748)+1,FIND(".",B748,FIND(".",B748)+1)-FIND(".",B748)-1),"")</ns0:f>
      </ns0:c>
      <ns0:c r="E748" s="0">
        <ns0:f>IFERROR(MID(B748,FIND(".",B748,FIND(".",B748)+1)+1,99),"")</ns0:f>
        <ns0:v>99</ns0:v>
      </ns0:c>
      <ns0:c r="F748" s="0">
        <ns0:f>IFERROR(IF(FIND(".",B748)=5,--C748,--E748),0)</ns0:f>
        <ns0:v>0</ns0:v>
      </ns0:c>
      <ns0:c r="G748" s="0">
        <ns0:f>IFERROR(--D748,0)</ns0:f>
        <ns0:v>0</ns0:v>
      </ns0:c>
      <ns0:c r="H748" s="0">
        <ns0:f>IFERROR(IF(FIND(".",B748)=5,--E748,--C748),0)</ns0:f>
        <ns0:v>0</ns0:v>
      </ns0:c>
      <ns0:c r="I748" s="0">
        <ns0:f>IFERROR(IF(AND(F748&gt;=2000,F748&lt;=2100,G748&gt;=1,G748&lt;=12,H748&gt;=1,H748&lt;=31),DATE(F748,G748,H748),0),0)</ns0:f>
        <ns0:v>0</ns0:v>
      </ns0:c>
      <ns0:c r="J748" s="0">
        <ns0:f>IFERROR(IF(ISNUMBER(Bookings!B748),IF(AND(Bookings!B748=INT(Bookings!B748),Bookings!B748&gt;=DATE(2000,1,1),Bookings!B748&lt;=DATE(2100,12,31)),Bookings!B748,0),IF(AND(A748&lt;&gt;"",LEN("x"&amp;B748)-LEN(SUBSTITUTE("x"&amp;B748,".",""))=2,OR(1&gt;LEN(B748),MID(B748,1,1)=".",ISNUMBER(FIND("x"&amp;MID(B748,1,1),"x0x1x2x3x4x5x6x7x8x9"))),OR(2&gt;LEN(B748),MID(B748,2,1)=".",ISNUMBER(FIND("x"&amp;MID(B748,2,1),"x0x1x2x3x4x5x6x7x8x9"))),OR(3&gt;LEN(B748),MID(B748,3,1)=".",ISNUMBER(FIND("x"&amp;MID(B748,3,1),"x0x1x2x3x4x5x6x7x8x9"))),OR(4&gt;LEN(B748),MID(B748,4,1)=".",ISNUMBER(FIND("x"&amp;MID(B748,4,1),"x0x1x2x3x4x5x6x7x8x9"))),OR(5&gt;LEN(B748),MID(B748,5,1)=".",ISNUMBER(FIND("x"&amp;MID(B748,5,1),"x0x1x2x3x4x5x6x7x8x9"))),OR(6&gt;LEN(B748),MID(B748,6,1)=".",ISNUMBER(FIND("x"&amp;MID(B748,6,1),"x0x1x2x3x4x5x6x7x8x9"))),OR(7&gt;LEN(B748),MID(B748,7,1)=".",ISNUMBER(FIND("x"&amp;MID(B748,7,1),"x0x1x2x3x4x5x6x7x8x9"))),OR(8&gt;LEN(B748),MID(B748,8,1)=".",ISNUMBER(FIND("x"&amp;MID(B748,8,1),"x0x1x2x3x4x5x6x7x8x9"))),OR(9&gt;LEN(B748),MID(B748,9,1)=".",ISNUMBER(FIND("x"&amp;MID(B748,9,1),"x0x1x2x3x4x5x6x7x8x9"))),OR(10&gt;LEN(B748),MID(B748,10,1)=".",ISNUMBER(FIND("x"&amp;MID(B748,10,1),"x0x1x2x3x4x5x6x7x8x9"))),OR(AND(FIND(".",B748)=5,LEN(B748)-FIND(".",B748,FIND(".",B748)+1)&gt;=1,LEN(B748)-FIND(".",B748,FIND(".",B748)+1)&lt;=2),AND(LEN(B748)-FIND(".",B748,FIND(".",B748)+1)=4,FIND(".",B748)&gt;=2,FIND(".",B748)&lt;=3)),FIND(".",B748,FIND(".",B748)+1)-FIND(".",B748)&gt;=2,FIND(".",B748,FIND(".",B748)+1)-FIND(".",B748)&lt;=3,F748&gt;=2000,F748&lt;=2100,YEAR(I748)=F748,MONTH(I748)=G748,DAY(I748)=H748),I748,0)),0)</ns0:f>
        <ns0:v>0</ns0:v>
      </ns0:c>
      <ns0:c r="K748" s="0">
        <ns0:f>IFERROR(IF(ISNUMBER(Bookings!D748),"",TRIM(Bookings!D748&amp;"")),"")</ns0:f>
      </ns0:c>
      <ns0:c r="L748" s="0">
        <ns0:f>IFERROR(SUBSTITUTE(SUBSTITUTE(K748,"/","."),"-","."),"")</ns0:f>
      </ns0:c>
      <ns0:c r="M748" s="0">
        <ns0:f>IFERROR(LEFT(L748,FIND(".",L748)-1),"")</ns0:f>
      </ns0:c>
      <ns0:c r="N748" s="0">
        <ns0:f>IFERROR(MID(L748,FIND(".",L748)+1,FIND(".",L748,FIND(".",L748)+1)-FIND(".",L748)-1),"")</ns0:f>
      </ns0:c>
      <ns0:c r="O748" s="0">
        <ns0:f>IFERROR(MID(L748,FIND(".",L748,FIND(".",L748)+1)+1,99),"")</ns0:f>
        <ns0:v>99</ns0:v>
      </ns0:c>
      <ns0:c r="P748" s="0">
        <ns0:f>IFERROR(IF(FIND(".",L748)=5,--M748,--O748),0)</ns0:f>
        <ns0:v>0</ns0:v>
      </ns0:c>
      <ns0:c r="Q748" s="0">
        <ns0:f>IFERROR(--N748,0)</ns0:f>
        <ns0:v>0</ns0:v>
      </ns0:c>
      <ns0:c r="R748" s="0">
        <ns0:f>IFERROR(IF(FIND(".",L748)=5,--O748,--M748),0)</ns0:f>
        <ns0:v>0</ns0:v>
      </ns0:c>
      <ns0:c r="S748" s="0">
        <ns0:f>IFERROR(IF(AND(P748&gt;=2000,P748&lt;=2100,Q748&gt;=1,Q748&lt;=12,R748&gt;=1,R748&lt;=31),DATE(P748,Q748,R748),0),0)</ns0:f>
        <ns0:v>0</ns0:v>
      </ns0:c>
      <ns0:c r="T748" s="0">
        <ns0:f>IFERROR(IF(ISNUMBER(Bookings!D748),IF(AND(Bookings!D748=INT(Bookings!D748),Bookings!D748&gt;=DATE(2000,1,1),Bookings!D748&lt;=DATE(2100,12,31)),Bookings!D748,0),IF(AND(K748&lt;&gt;"",LEN("x"&amp;L748)-LEN(SUBSTITUTE("x"&amp;L748,".",""))=2,OR(1&gt;LEN(L748),MID(L748,1,1)=".",ISNUMBER(FIND("x"&amp;MID(L748,1,1),"x0x1x2x3x4x5x6x7x8x9"))),OR(2&gt;LEN(L748),MID(L748,2,1)=".",ISNUMBER(FIND("x"&amp;MID(L748,2,1),"x0x1x2x3x4x5x6x7x8x9"))),OR(3&gt;LEN(L748),MID(L748,3,1)=".",ISNUMBER(FIND("x"&amp;MID(L748,3,1),"x0x1x2x3x4x5x6x7x8x9"))),OR(4&gt;LEN(L748),MID(L748,4,1)=".",ISNUMBER(FIND("x"&amp;MID(L748,4,1),"x0x1x2x3x4x5x6x7x8x9"))),OR(5&gt;LEN(L748),MID(L748,5,1)=".",ISNUMBER(FIND("x"&amp;MID(L748,5,1),"x0x1x2x3x4x5x6x7x8x9"))),OR(6&gt;LEN(L748),MID(L748,6,1)=".",ISNUMBER(FIND("x"&amp;MID(L748,6,1),"x0x1x2x3x4x5x6x7x8x9"))),OR(7&gt;LEN(L748),MID(L748,7,1)=".",ISNUMBER(FIND("x"&amp;MID(L748,7,1),"x0x1x2x3x4x5x6x7x8x9"))),OR(8&gt;LEN(L748),MID(L748,8,1)=".",ISNUMBER(FIND("x"&amp;MID(L748,8,1),"x0x1x2x3x4x5x6x7x8x9"))),OR(9&gt;LEN(L748),MID(L748,9,1)=".",ISNUMBER(FIND("x"&amp;MID(L748,9,1),"x0x1x2x3x4x5x6x7x8x9"))),OR(10&gt;LEN(L748),MID(L748,10,1)=".",ISNUMBER(FIND("x"&amp;MID(L748,10,1),"x0x1x2x3x4x5x6x7x8x9"))),OR(AND(FIND(".",L748)=5,LEN(L748)-FIND(".",L748,FIND(".",L748)+1)&gt;=1,LEN(L748)-FIND(".",L748,FIND(".",L748)+1)&lt;=2),AND(LEN(L748)-FIND(".",L748,FIND(".",L748)+1)=4,FIND(".",L748)&gt;=2,FIND(".",L748)&lt;=3)),FIND(".",L748,FIND(".",L748)+1)-FIND(".",L748)&gt;=2,FIND(".",L748,FIND(".",L748)+1)-FIND(".",L748)&lt;=3,P748&gt;=2000,P748&lt;=2100,YEAR(S748)=P748,MONTH(S748)=Q748,DAY(S748)=R748),S748,0)),0)</ns0:f>
        <ns0:v>0</ns0:v>
      </ns0:c>
      <ns0:c r="U748" s="0" t="str">
        <ns0:f>IF(Bookings!C748="","Full day",Bookings!C748)</ns0:f>
        <ns0:v>Full day</ns0:v>
      </ns0:c>
      <ns0:c r="V748" s="0" t="str">
        <ns0:f>IF(Bookings!E748="","Full day",Bookings!E748)</ns0:f>
        <ns0:v>Full day</ns0:v>
      </ns0:c>
      <ns0:c r="W748" s="0">
        <ns0:f>IF(J748=0,0,J748+IF(U748="PM",1,0))</ns0:f>
        <ns0:v>0</ns0:v>
      </ns0:c>
      <ns0:c r="X748" s="0">
        <ns0:f>IF(T748=0,0,T748-IF(V748="PM",1,0))</ns0:f>
        <ns0:v>0</ns0:v>
      </ns0:c>
      <ns0:c r="Y748" s="0">
        <ns0:f>IF(J748=0,0,J748+IF(U748="AM",1,0))</ns0:f>
        <ns0:v>0</ns0:v>
      </ns0:c>
      <ns0:c r="Z748" s="0">
        <ns0:f>IF(T748=0,0,T748-IF(V748="AM",1,0))</ns0:f>
        <ns0:v>0</ns0:v>
      </ns0:c>
      <ns0:c r="AA748" s="0">
        <ns0:f>IFERROR(IF(AND(J748&gt;0,'_Engine'!C748&gt;0,MID('_Engine'!W748,WEEKDAY(J748,2),1)="W",COUNTIF(Settings!$F$18:$F$67,J748)=0),1,0),0)</ns0:f>
        <ns0:v>0</ns0:v>
      </ns0:c>
      <ns0:c r="AB748" s="0">
        <ns0:f>IFERROR(IF(AND(T748&gt;0,'_Engine'!C748&gt;0,MID('_Engine'!W748,WEEKDAY(T748,2),1)="W",COUNTIF(Settings!$F$18:$F$67,T748)=0),1,0),0)</ns0:f>
        <ns0:v>0</ns0:v>
      </ns0:c>
      <ns0:c r="AC748" s="0">
        <ns0:f>IF(AND(J748&gt;0,T748&gt;0,W748&lt;=X748),1,0)</ns0:f>
        <ns0:v>0</ns0:v>
      </ns0:c>
      <ns0:c r="AD748" s="0">
        <ns0:f>IF(AND(J748&gt;0,T748&gt;0,Y748&lt;=Z748),1,0)</ns0:f>
        <ns0:v>0</ns0:v>
      </ns0:c>
    </ns0:row>
    <ns0:row r="749">
      <ns0:c r="A749" s="0">
        <ns0:f>IFERROR(IF(ISNUMBER(Bookings!B749),"",TRIM(Bookings!B749&amp;"")),"")</ns0:f>
      </ns0:c>
      <ns0:c r="B749" s="0">
        <ns0:f>IFERROR(SUBSTITUTE(SUBSTITUTE(A749,"/","."),"-","."),"")</ns0:f>
      </ns0:c>
      <ns0:c r="C749" s="0">
        <ns0:f>IFERROR(LEFT(B749,FIND(".",B749)-1),"")</ns0:f>
      </ns0:c>
      <ns0:c r="D749" s="0">
        <ns0:f>IFERROR(MID(B749,FIND(".",B749)+1,FIND(".",B749,FIND(".",B749)+1)-FIND(".",B749)-1),"")</ns0:f>
      </ns0:c>
      <ns0:c r="E749" s="0">
        <ns0:f>IFERROR(MID(B749,FIND(".",B749,FIND(".",B749)+1)+1,99),"")</ns0:f>
        <ns0:v>99</ns0:v>
      </ns0:c>
      <ns0:c r="F749" s="0">
        <ns0:f>IFERROR(IF(FIND(".",B749)=5,--C749,--E749),0)</ns0:f>
        <ns0:v>0</ns0:v>
      </ns0:c>
      <ns0:c r="G749" s="0">
        <ns0:f>IFERROR(--D749,0)</ns0:f>
        <ns0:v>0</ns0:v>
      </ns0:c>
      <ns0:c r="H749" s="0">
        <ns0:f>IFERROR(IF(FIND(".",B749)=5,--E749,--C749),0)</ns0:f>
        <ns0:v>0</ns0:v>
      </ns0:c>
      <ns0:c r="I749" s="0">
        <ns0:f>IFERROR(IF(AND(F749&gt;=2000,F749&lt;=2100,G749&gt;=1,G749&lt;=12,H749&gt;=1,H749&lt;=31),DATE(F749,G749,H749),0),0)</ns0:f>
        <ns0:v>0</ns0:v>
      </ns0:c>
      <ns0:c r="J749" s="0">
        <ns0:f>IFERROR(IF(ISNUMBER(Bookings!B749),IF(AND(Bookings!B749=INT(Bookings!B749),Bookings!B749&gt;=DATE(2000,1,1),Bookings!B749&lt;=DATE(2100,12,31)),Bookings!B749,0),IF(AND(A749&lt;&gt;"",LEN("x"&amp;B749)-LEN(SUBSTITUTE("x"&amp;B749,".",""))=2,OR(1&gt;LEN(B749),MID(B749,1,1)=".",ISNUMBER(FIND("x"&amp;MID(B749,1,1),"x0x1x2x3x4x5x6x7x8x9"))),OR(2&gt;LEN(B749),MID(B749,2,1)=".",ISNUMBER(FIND("x"&amp;MID(B749,2,1),"x0x1x2x3x4x5x6x7x8x9"))),OR(3&gt;LEN(B749),MID(B749,3,1)=".",ISNUMBER(FIND("x"&amp;MID(B749,3,1),"x0x1x2x3x4x5x6x7x8x9"))),OR(4&gt;LEN(B749),MID(B749,4,1)=".",ISNUMBER(FIND("x"&amp;MID(B749,4,1),"x0x1x2x3x4x5x6x7x8x9"))),OR(5&gt;LEN(B749),MID(B749,5,1)=".",ISNUMBER(FIND("x"&amp;MID(B749,5,1),"x0x1x2x3x4x5x6x7x8x9"))),OR(6&gt;LEN(B749),MID(B749,6,1)=".",ISNUMBER(FIND("x"&amp;MID(B749,6,1),"x0x1x2x3x4x5x6x7x8x9"))),OR(7&gt;LEN(B749),MID(B749,7,1)=".",ISNUMBER(FIND("x"&amp;MID(B749,7,1),"x0x1x2x3x4x5x6x7x8x9"))),OR(8&gt;LEN(B749),MID(B749,8,1)=".",ISNUMBER(FIND("x"&amp;MID(B749,8,1),"x0x1x2x3x4x5x6x7x8x9"))),OR(9&gt;LEN(B749),MID(B749,9,1)=".",ISNUMBER(FIND("x"&amp;MID(B749,9,1),"x0x1x2x3x4x5x6x7x8x9"))),OR(10&gt;LEN(B749),MID(B749,10,1)=".",ISNUMBER(FIND("x"&amp;MID(B749,10,1),"x0x1x2x3x4x5x6x7x8x9"))),OR(AND(FIND(".",B749)=5,LEN(B749)-FIND(".",B749,FIND(".",B749)+1)&gt;=1,LEN(B749)-FIND(".",B749,FIND(".",B749)+1)&lt;=2),AND(LEN(B749)-FIND(".",B749,FIND(".",B749)+1)=4,FIND(".",B749)&gt;=2,FIND(".",B749)&lt;=3)),FIND(".",B749,FIND(".",B749)+1)-FIND(".",B749)&gt;=2,FIND(".",B749,FIND(".",B749)+1)-FIND(".",B749)&lt;=3,F749&gt;=2000,F749&lt;=2100,YEAR(I749)=F749,MONTH(I749)=G749,DAY(I749)=H749),I749,0)),0)</ns0:f>
        <ns0:v>0</ns0:v>
      </ns0:c>
      <ns0:c r="K749" s="0">
        <ns0:f>IFERROR(IF(ISNUMBER(Bookings!D749),"",TRIM(Bookings!D749&amp;"")),"")</ns0:f>
      </ns0:c>
      <ns0:c r="L749" s="0">
        <ns0:f>IFERROR(SUBSTITUTE(SUBSTITUTE(K749,"/","."),"-","."),"")</ns0:f>
      </ns0:c>
      <ns0:c r="M749" s="0">
        <ns0:f>IFERROR(LEFT(L749,FIND(".",L749)-1),"")</ns0:f>
      </ns0:c>
      <ns0:c r="N749" s="0">
        <ns0:f>IFERROR(MID(L749,FIND(".",L749)+1,FIND(".",L749,FIND(".",L749)+1)-FIND(".",L749)-1),"")</ns0:f>
      </ns0:c>
      <ns0:c r="O749" s="0">
        <ns0:f>IFERROR(MID(L749,FIND(".",L749,FIND(".",L749)+1)+1,99),"")</ns0:f>
        <ns0:v>99</ns0:v>
      </ns0:c>
      <ns0:c r="P749" s="0">
        <ns0:f>IFERROR(IF(FIND(".",L749)=5,--M749,--O749),0)</ns0:f>
        <ns0:v>0</ns0:v>
      </ns0:c>
      <ns0:c r="Q749" s="0">
        <ns0:f>IFERROR(--N749,0)</ns0:f>
        <ns0:v>0</ns0:v>
      </ns0:c>
      <ns0:c r="R749" s="0">
        <ns0:f>IFERROR(IF(FIND(".",L749)=5,--O749,--M749),0)</ns0:f>
        <ns0:v>0</ns0:v>
      </ns0:c>
      <ns0:c r="S749" s="0">
        <ns0:f>IFERROR(IF(AND(P749&gt;=2000,P749&lt;=2100,Q749&gt;=1,Q749&lt;=12,R749&gt;=1,R749&lt;=31),DATE(P749,Q749,R749),0),0)</ns0:f>
        <ns0:v>0</ns0:v>
      </ns0:c>
      <ns0:c r="T749" s="0">
        <ns0:f>IFERROR(IF(ISNUMBER(Bookings!D749),IF(AND(Bookings!D749=INT(Bookings!D749),Bookings!D749&gt;=DATE(2000,1,1),Bookings!D749&lt;=DATE(2100,12,31)),Bookings!D749,0),IF(AND(K749&lt;&gt;"",LEN("x"&amp;L749)-LEN(SUBSTITUTE("x"&amp;L749,".",""))=2,OR(1&gt;LEN(L749),MID(L749,1,1)=".",ISNUMBER(FIND("x"&amp;MID(L749,1,1),"x0x1x2x3x4x5x6x7x8x9"))),OR(2&gt;LEN(L749),MID(L749,2,1)=".",ISNUMBER(FIND("x"&amp;MID(L749,2,1),"x0x1x2x3x4x5x6x7x8x9"))),OR(3&gt;LEN(L749),MID(L749,3,1)=".",ISNUMBER(FIND("x"&amp;MID(L749,3,1),"x0x1x2x3x4x5x6x7x8x9"))),OR(4&gt;LEN(L749),MID(L749,4,1)=".",ISNUMBER(FIND("x"&amp;MID(L749,4,1),"x0x1x2x3x4x5x6x7x8x9"))),OR(5&gt;LEN(L749),MID(L749,5,1)=".",ISNUMBER(FIND("x"&amp;MID(L749,5,1),"x0x1x2x3x4x5x6x7x8x9"))),OR(6&gt;LEN(L749),MID(L749,6,1)=".",ISNUMBER(FIND("x"&amp;MID(L749,6,1),"x0x1x2x3x4x5x6x7x8x9"))),OR(7&gt;LEN(L749),MID(L749,7,1)=".",ISNUMBER(FIND("x"&amp;MID(L749,7,1),"x0x1x2x3x4x5x6x7x8x9"))),OR(8&gt;LEN(L749),MID(L749,8,1)=".",ISNUMBER(FIND("x"&amp;MID(L749,8,1),"x0x1x2x3x4x5x6x7x8x9"))),OR(9&gt;LEN(L749),MID(L749,9,1)=".",ISNUMBER(FIND("x"&amp;MID(L749,9,1),"x0x1x2x3x4x5x6x7x8x9"))),OR(10&gt;LEN(L749),MID(L749,10,1)=".",ISNUMBER(FIND("x"&amp;MID(L749,10,1),"x0x1x2x3x4x5x6x7x8x9"))),OR(AND(FIND(".",L749)=5,LEN(L749)-FIND(".",L749,FIND(".",L749)+1)&gt;=1,LEN(L749)-FIND(".",L749,FIND(".",L749)+1)&lt;=2),AND(LEN(L749)-FIND(".",L749,FIND(".",L749)+1)=4,FIND(".",L749)&gt;=2,FIND(".",L749)&lt;=3)),FIND(".",L749,FIND(".",L749)+1)-FIND(".",L749)&gt;=2,FIND(".",L749,FIND(".",L749)+1)-FIND(".",L749)&lt;=3,P749&gt;=2000,P749&lt;=2100,YEAR(S749)=P749,MONTH(S749)=Q749,DAY(S749)=R749),S749,0)),0)</ns0:f>
        <ns0:v>0</ns0:v>
      </ns0:c>
      <ns0:c r="U749" s="0" t="str">
        <ns0:f>IF(Bookings!C749="","Full day",Bookings!C749)</ns0:f>
        <ns0:v>Full day</ns0:v>
      </ns0:c>
      <ns0:c r="V749" s="0" t="str">
        <ns0:f>IF(Bookings!E749="","Full day",Bookings!E749)</ns0:f>
        <ns0:v>Full day</ns0:v>
      </ns0:c>
      <ns0:c r="W749" s="0">
        <ns0:f>IF(J749=0,0,J749+IF(U749="PM",1,0))</ns0:f>
        <ns0:v>0</ns0:v>
      </ns0:c>
      <ns0:c r="X749" s="0">
        <ns0:f>IF(T749=0,0,T749-IF(V749="PM",1,0))</ns0:f>
        <ns0:v>0</ns0:v>
      </ns0:c>
      <ns0:c r="Y749" s="0">
        <ns0:f>IF(J749=0,0,J749+IF(U749="AM",1,0))</ns0:f>
        <ns0:v>0</ns0:v>
      </ns0:c>
      <ns0:c r="Z749" s="0">
        <ns0:f>IF(T749=0,0,T749-IF(V749="AM",1,0))</ns0:f>
        <ns0:v>0</ns0:v>
      </ns0:c>
      <ns0:c r="AA749" s="0">
        <ns0:f>IFERROR(IF(AND(J749&gt;0,'_Engine'!C749&gt;0,MID('_Engine'!W749,WEEKDAY(J749,2),1)="W",COUNTIF(Settings!$F$18:$F$67,J749)=0),1,0),0)</ns0:f>
        <ns0:v>0</ns0:v>
      </ns0:c>
      <ns0:c r="AB749" s="0">
        <ns0:f>IFERROR(IF(AND(T749&gt;0,'_Engine'!C749&gt;0,MID('_Engine'!W749,WEEKDAY(T749,2),1)="W",COUNTIF(Settings!$F$18:$F$67,T749)=0),1,0),0)</ns0:f>
        <ns0:v>0</ns0:v>
      </ns0:c>
      <ns0:c r="AC749" s="0">
        <ns0:f>IF(AND(J749&gt;0,T749&gt;0,W749&lt;=X749),1,0)</ns0:f>
        <ns0:v>0</ns0:v>
      </ns0:c>
      <ns0:c r="AD749" s="0">
        <ns0:f>IF(AND(J749&gt;0,T749&gt;0,Y749&lt;=Z749),1,0)</ns0:f>
        <ns0:v>0</ns0:v>
      </ns0:c>
    </ns0:row>
    <ns0:row r="750">
      <ns0:c r="A750" s="0">
        <ns0:f>IFERROR(IF(ISNUMBER(Bookings!B750),"",TRIM(Bookings!B750&amp;"")),"")</ns0:f>
      </ns0:c>
      <ns0:c r="B750" s="0">
        <ns0:f>IFERROR(SUBSTITUTE(SUBSTITUTE(A750,"/","."),"-","."),"")</ns0:f>
      </ns0:c>
      <ns0:c r="C750" s="0">
        <ns0:f>IFERROR(LEFT(B750,FIND(".",B750)-1),"")</ns0:f>
      </ns0:c>
      <ns0:c r="D750" s="0">
        <ns0:f>IFERROR(MID(B750,FIND(".",B750)+1,FIND(".",B750,FIND(".",B750)+1)-FIND(".",B750)-1),"")</ns0:f>
      </ns0:c>
      <ns0:c r="E750" s="0">
        <ns0:f>IFERROR(MID(B750,FIND(".",B750,FIND(".",B750)+1)+1,99),"")</ns0:f>
        <ns0:v>99</ns0:v>
      </ns0:c>
      <ns0:c r="F750" s="0">
        <ns0:f>IFERROR(IF(FIND(".",B750)=5,--C750,--E750),0)</ns0:f>
        <ns0:v>0</ns0:v>
      </ns0:c>
      <ns0:c r="G750" s="0">
        <ns0:f>IFERROR(--D750,0)</ns0:f>
        <ns0:v>0</ns0:v>
      </ns0:c>
      <ns0:c r="H750" s="0">
        <ns0:f>IFERROR(IF(FIND(".",B750)=5,--E750,--C750),0)</ns0:f>
        <ns0:v>0</ns0:v>
      </ns0:c>
      <ns0:c r="I750" s="0">
        <ns0:f>IFERROR(IF(AND(F750&gt;=2000,F750&lt;=2100,G750&gt;=1,G750&lt;=12,H750&gt;=1,H750&lt;=31),DATE(F750,G750,H750),0),0)</ns0:f>
        <ns0:v>0</ns0:v>
      </ns0:c>
      <ns0:c r="J750" s="0">
        <ns0:f>IFERROR(IF(ISNUMBER(Bookings!B750),IF(AND(Bookings!B750=INT(Bookings!B750),Bookings!B750&gt;=DATE(2000,1,1),Bookings!B750&lt;=DATE(2100,12,31)),Bookings!B750,0),IF(AND(A750&lt;&gt;"",LEN("x"&amp;B750)-LEN(SUBSTITUTE("x"&amp;B750,".",""))=2,OR(1&gt;LEN(B750),MID(B750,1,1)=".",ISNUMBER(FIND("x"&amp;MID(B750,1,1),"x0x1x2x3x4x5x6x7x8x9"))),OR(2&gt;LEN(B750),MID(B750,2,1)=".",ISNUMBER(FIND("x"&amp;MID(B750,2,1),"x0x1x2x3x4x5x6x7x8x9"))),OR(3&gt;LEN(B750),MID(B750,3,1)=".",ISNUMBER(FIND("x"&amp;MID(B750,3,1),"x0x1x2x3x4x5x6x7x8x9"))),OR(4&gt;LEN(B750),MID(B750,4,1)=".",ISNUMBER(FIND("x"&amp;MID(B750,4,1),"x0x1x2x3x4x5x6x7x8x9"))),OR(5&gt;LEN(B750),MID(B750,5,1)=".",ISNUMBER(FIND("x"&amp;MID(B750,5,1),"x0x1x2x3x4x5x6x7x8x9"))),OR(6&gt;LEN(B750),MID(B750,6,1)=".",ISNUMBER(FIND("x"&amp;MID(B750,6,1),"x0x1x2x3x4x5x6x7x8x9"))),OR(7&gt;LEN(B750),MID(B750,7,1)=".",ISNUMBER(FIND("x"&amp;MID(B750,7,1),"x0x1x2x3x4x5x6x7x8x9"))),OR(8&gt;LEN(B750),MID(B750,8,1)=".",ISNUMBER(FIND("x"&amp;MID(B750,8,1),"x0x1x2x3x4x5x6x7x8x9"))),OR(9&gt;LEN(B750),MID(B750,9,1)=".",ISNUMBER(FIND("x"&amp;MID(B750,9,1),"x0x1x2x3x4x5x6x7x8x9"))),OR(10&gt;LEN(B750),MID(B750,10,1)=".",ISNUMBER(FIND("x"&amp;MID(B750,10,1),"x0x1x2x3x4x5x6x7x8x9"))),OR(AND(FIND(".",B750)=5,LEN(B750)-FIND(".",B750,FIND(".",B750)+1)&gt;=1,LEN(B750)-FIND(".",B750,FIND(".",B750)+1)&lt;=2),AND(LEN(B750)-FIND(".",B750,FIND(".",B750)+1)=4,FIND(".",B750)&gt;=2,FIND(".",B750)&lt;=3)),FIND(".",B750,FIND(".",B750)+1)-FIND(".",B750)&gt;=2,FIND(".",B750,FIND(".",B750)+1)-FIND(".",B750)&lt;=3,F750&gt;=2000,F750&lt;=2100,YEAR(I750)=F750,MONTH(I750)=G750,DAY(I750)=H750),I750,0)),0)</ns0:f>
        <ns0:v>0</ns0:v>
      </ns0:c>
      <ns0:c r="K750" s="0">
        <ns0:f>IFERROR(IF(ISNUMBER(Bookings!D750),"",TRIM(Bookings!D750&amp;"")),"")</ns0:f>
      </ns0:c>
      <ns0:c r="L750" s="0">
        <ns0:f>IFERROR(SUBSTITUTE(SUBSTITUTE(K750,"/","."),"-","."),"")</ns0:f>
      </ns0:c>
      <ns0:c r="M750" s="0">
        <ns0:f>IFERROR(LEFT(L750,FIND(".",L750)-1),"")</ns0:f>
      </ns0:c>
      <ns0:c r="N750" s="0">
        <ns0:f>IFERROR(MID(L750,FIND(".",L750)+1,FIND(".",L750,FIND(".",L750)+1)-FIND(".",L750)-1),"")</ns0:f>
      </ns0:c>
      <ns0:c r="O750" s="0">
        <ns0:f>IFERROR(MID(L750,FIND(".",L750,FIND(".",L750)+1)+1,99),"")</ns0:f>
        <ns0:v>99</ns0:v>
      </ns0:c>
      <ns0:c r="P750" s="0">
        <ns0:f>IFERROR(IF(FIND(".",L750)=5,--M750,--O750),0)</ns0:f>
        <ns0:v>0</ns0:v>
      </ns0:c>
      <ns0:c r="Q750" s="0">
        <ns0:f>IFERROR(--N750,0)</ns0:f>
        <ns0:v>0</ns0:v>
      </ns0:c>
      <ns0:c r="R750" s="0">
        <ns0:f>IFERROR(IF(FIND(".",L750)=5,--O750,--M750),0)</ns0:f>
        <ns0:v>0</ns0:v>
      </ns0:c>
      <ns0:c r="S750" s="0">
        <ns0:f>IFERROR(IF(AND(P750&gt;=2000,P750&lt;=2100,Q750&gt;=1,Q750&lt;=12,R750&gt;=1,R750&lt;=31),DATE(P750,Q750,R750),0),0)</ns0:f>
        <ns0:v>0</ns0:v>
      </ns0:c>
      <ns0:c r="T750" s="0">
        <ns0:f>IFERROR(IF(ISNUMBER(Bookings!D750),IF(AND(Bookings!D750=INT(Bookings!D750),Bookings!D750&gt;=DATE(2000,1,1),Bookings!D750&lt;=DATE(2100,12,31)),Bookings!D750,0),IF(AND(K750&lt;&gt;"",LEN("x"&amp;L750)-LEN(SUBSTITUTE("x"&amp;L750,".",""))=2,OR(1&gt;LEN(L750),MID(L750,1,1)=".",ISNUMBER(FIND("x"&amp;MID(L750,1,1),"x0x1x2x3x4x5x6x7x8x9"))),OR(2&gt;LEN(L750),MID(L750,2,1)=".",ISNUMBER(FIND("x"&amp;MID(L750,2,1),"x0x1x2x3x4x5x6x7x8x9"))),OR(3&gt;LEN(L750),MID(L750,3,1)=".",ISNUMBER(FIND("x"&amp;MID(L750,3,1),"x0x1x2x3x4x5x6x7x8x9"))),OR(4&gt;LEN(L750),MID(L750,4,1)=".",ISNUMBER(FIND("x"&amp;MID(L750,4,1),"x0x1x2x3x4x5x6x7x8x9"))),OR(5&gt;LEN(L750),MID(L750,5,1)=".",ISNUMBER(FIND("x"&amp;MID(L750,5,1),"x0x1x2x3x4x5x6x7x8x9"))),OR(6&gt;LEN(L750),MID(L750,6,1)=".",ISNUMBER(FIND("x"&amp;MID(L750,6,1),"x0x1x2x3x4x5x6x7x8x9"))),OR(7&gt;LEN(L750),MID(L750,7,1)=".",ISNUMBER(FIND("x"&amp;MID(L750,7,1),"x0x1x2x3x4x5x6x7x8x9"))),OR(8&gt;LEN(L750),MID(L750,8,1)=".",ISNUMBER(FIND("x"&amp;MID(L750,8,1),"x0x1x2x3x4x5x6x7x8x9"))),OR(9&gt;LEN(L750),MID(L750,9,1)=".",ISNUMBER(FIND("x"&amp;MID(L750,9,1),"x0x1x2x3x4x5x6x7x8x9"))),OR(10&gt;LEN(L750),MID(L750,10,1)=".",ISNUMBER(FIND("x"&amp;MID(L750,10,1),"x0x1x2x3x4x5x6x7x8x9"))),OR(AND(FIND(".",L750)=5,LEN(L750)-FIND(".",L750,FIND(".",L750)+1)&gt;=1,LEN(L750)-FIND(".",L750,FIND(".",L750)+1)&lt;=2),AND(LEN(L750)-FIND(".",L750,FIND(".",L750)+1)=4,FIND(".",L750)&gt;=2,FIND(".",L750)&lt;=3)),FIND(".",L750,FIND(".",L750)+1)-FIND(".",L750)&gt;=2,FIND(".",L750,FIND(".",L750)+1)-FIND(".",L750)&lt;=3,P750&gt;=2000,P750&lt;=2100,YEAR(S750)=P750,MONTH(S750)=Q750,DAY(S750)=R750),S750,0)),0)</ns0:f>
        <ns0:v>0</ns0:v>
      </ns0:c>
      <ns0:c r="U750" s="0" t="str">
        <ns0:f>IF(Bookings!C750="","Full day",Bookings!C750)</ns0:f>
        <ns0:v>Full day</ns0:v>
      </ns0:c>
      <ns0:c r="V750" s="0" t="str">
        <ns0:f>IF(Bookings!E750="","Full day",Bookings!E750)</ns0:f>
        <ns0:v>Full day</ns0:v>
      </ns0:c>
      <ns0:c r="W750" s="0">
        <ns0:f>IF(J750=0,0,J750+IF(U750="PM",1,0))</ns0:f>
        <ns0:v>0</ns0:v>
      </ns0:c>
      <ns0:c r="X750" s="0">
        <ns0:f>IF(T750=0,0,T750-IF(V750="PM",1,0))</ns0:f>
        <ns0:v>0</ns0:v>
      </ns0:c>
      <ns0:c r="Y750" s="0">
        <ns0:f>IF(J750=0,0,J750+IF(U750="AM",1,0))</ns0:f>
        <ns0:v>0</ns0:v>
      </ns0:c>
      <ns0:c r="Z750" s="0">
        <ns0:f>IF(T750=0,0,T750-IF(V750="AM",1,0))</ns0:f>
        <ns0:v>0</ns0:v>
      </ns0:c>
      <ns0:c r="AA750" s="0">
        <ns0:f>IFERROR(IF(AND(J750&gt;0,'_Engine'!C750&gt;0,MID('_Engine'!W750,WEEKDAY(J750,2),1)="W",COUNTIF(Settings!$F$18:$F$67,J750)=0),1,0),0)</ns0:f>
        <ns0:v>0</ns0:v>
      </ns0:c>
      <ns0:c r="AB750" s="0">
        <ns0:f>IFERROR(IF(AND(T750&gt;0,'_Engine'!C750&gt;0,MID('_Engine'!W750,WEEKDAY(T750,2),1)="W",COUNTIF(Settings!$F$18:$F$67,T750)=0),1,0),0)</ns0:f>
        <ns0:v>0</ns0:v>
      </ns0:c>
      <ns0:c r="AC750" s="0">
        <ns0:f>IF(AND(J750&gt;0,T750&gt;0,W750&lt;=X750),1,0)</ns0:f>
        <ns0:v>0</ns0:v>
      </ns0:c>
      <ns0:c r="AD750" s="0">
        <ns0:f>IF(AND(J750&gt;0,T750&gt;0,Y750&lt;=Z750),1,0)</ns0:f>
        <ns0:v>0</ns0:v>
      </ns0:c>
    </ns0:row>
    <ns0:row r="751">
      <ns0:c r="A751" s="0">
        <ns0:f>IFERROR(IF(ISNUMBER(Bookings!B751),"",TRIM(Bookings!B751&amp;"")),"")</ns0:f>
      </ns0:c>
      <ns0:c r="B751" s="0">
        <ns0:f>IFERROR(SUBSTITUTE(SUBSTITUTE(A751,"/","."),"-","."),"")</ns0:f>
      </ns0:c>
      <ns0:c r="C751" s="0">
        <ns0:f>IFERROR(LEFT(B751,FIND(".",B751)-1),"")</ns0:f>
      </ns0:c>
      <ns0:c r="D751" s="0">
        <ns0:f>IFERROR(MID(B751,FIND(".",B751)+1,FIND(".",B751,FIND(".",B751)+1)-FIND(".",B751)-1),"")</ns0:f>
      </ns0:c>
      <ns0:c r="E751" s="0">
        <ns0:f>IFERROR(MID(B751,FIND(".",B751,FIND(".",B751)+1)+1,99),"")</ns0:f>
        <ns0:v>99</ns0:v>
      </ns0:c>
      <ns0:c r="F751" s="0">
        <ns0:f>IFERROR(IF(FIND(".",B751)=5,--C751,--E751),0)</ns0:f>
        <ns0:v>0</ns0:v>
      </ns0:c>
      <ns0:c r="G751" s="0">
        <ns0:f>IFERROR(--D751,0)</ns0:f>
        <ns0:v>0</ns0:v>
      </ns0:c>
      <ns0:c r="H751" s="0">
        <ns0:f>IFERROR(IF(FIND(".",B751)=5,--E751,--C751),0)</ns0:f>
        <ns0:v>0</ns0:v>
      </ns0:c>
      <ns0:c r="I751" s="0">
        <ns0:f>IFERROR(IF(AND(F751&gt;=2000,F751&lt;=2100,G751&gt;=1,G751&lt;=12,H751&gt;=1,H751&lt;=31),DATE(F751,G751,H751),0),0)</ns0:f>
        <ns0:v>0</ns0:v>
      </ns0:c>
      <ns0:c r="J751" s="0">
        <ns0:f>IFERROR(IF(ISNUMBER(Bookings!B751),IF(AND(Bookings!B751=INT(Bookings!B751),Bookings!B751&gt;=DATE(2000,1,1),Bookings!B751&lt;=DATE(2100,12,31)),Bookings!B751,0),IF(AND(A751&lt;&gt;"",LEN("x"&amp;B751)-LEN(SUBSTITUTE("x"&amp;B751,".",""))=2,OR(1&gt;LEN(B751),MID(B751,1,1)=".",ISNUMBER(FIND("x"&amp;MID(B751,1,1),"x0x1x2x3x4x5x6x7x8x9"))),OR(2&gt;LEN(B751),MID(B751,2,1)=".",ISNUMBER(FIND("x"&amp;MID(B751,2,1),"x0x1x2x3x4x5x6x7x8x9"))),OR(3&gt;LEN(B751),MID(B751,3,1)=".",ISNUMBER(FIND("x"&amp;MID(B751,3,1),"x0x1x2x3x4x5x6x7x8x9"))),OR(4&gt;LEN(B751),MID(B751,4,1)=".",ISNUMBER(FIND("x"&amp;MID(B751,4,1),"x0x1x2x3x4x5x6x7x8x9"))),OR(5&gt;LEN(B751),MID(B751,5,1)=".",ISNUMBER(FIND("x"&amp;MID(B751,5,1),"x0x1x2x3x4x5x6x7x8x9"))),OR(6&gt;LEN(B751),MID(B751,6,1)=".",ISNUMBER(FIND("x"&amp;MID(B751,6,1),"x0x1x2x3x4x5x6x7x8x9"))),OR(7&gt;LEN(B751),MID(B751,7,1)=".",ISNUMBER(FIND("x"&amp;MID(B751,7,1),"x0x1x2x3x4x5x6x7x8x9"))),OR(8&gt;LEN(B751),MID(B751,8,1)=".",ISNUMBER(FIND("x"&amp;MID(B751,8,1),"x0x1x2x3x4x5x6x7x8x9"))),OR(9&gt;LEN(B751),MID(B751,9,1)=".",ISNUMBER(FIND("x"&amp;MID(B751,9,1),"x0x1x2x3x4x5x6x7x8x9"))),OR(10&gt;LEN(B751),MID(B751,10,1)=".",ISNUMBER(FIND("x"&amp;MID(B751,10,1),"x0x1x2x3x4x5x6x7x8x9"))),OR(AND(FIND(".",B751)=5,LEN(B751)-FIND(".",B751,FIND(".",B751)+1)&gt;=1,LEN(B751)-FIND(".",B751,FIND(".",B751)+1)&lt;=2),AND(LEN(B751)-FIND(".",B751,FIND(".",B751)+1)=4,FIND(".",B751)&gt;=2,FIND(".",B751)&lt;=3)),FIND(".",B751,FIND(".",B751)+1)-FIND(".",B751)&gt;=2,FIND(".",B751,FIND(".",B751)+1)-FIND(".",B751)&lt;=3,F751&gt;=2000,F751&lt;=2100,YEAR(I751)=F751,MONTH(I751)=G751,DAY(I751)=H751),I751,0)),0)</ns0:f>
        <ns0:v>0</ns0:v>
      </ns0:c>
      <ns0:c r="K751" s="0">
        <ns0:f>IFERROR(IF(ISNUMBER(Bookings!D751),"",TRIM(Bookings!D751&amp;"")),"")</ns0:f>
      </ns0:c>
      <ns0:c r="L751" s="0">
        <ns0:f>IFERROR(SUBSTITUTE(SUBSTITUTE(K751,"/","."),"-","."),"")</ns0:f>
      </ns0:c>
      <ns0:c r="M751" s="0">
        <ns0:f>IFERROR(LEFT(L751,FIND(".",L751)-1),"")</ns0:f>
      </ns0:c>
      <ns0:c r="N751" s="0">
        <ns0:f>IFERROR(MID(L751,FIND(".",L751)+1,FIND(".",L751,FIND(".",L751)+1)-FIND(".",L751)-1),"")</ns0:f>
      </ns0:c>
      <ns0:c r="O751" s="0">
        <ns0:f>IFERROR(MID(L751,FIND(".",L751,FIND(".",L751)+1)+1,99),"")</ns0:f>
        <ns0:v>99</ns0:v>
      </ns0:c>
      <ns0:c r="P751" s="0">
        <ns0:f>IFERROR(IF(FIND(".",L751)=5,--M751,--O751),0)</ns0:f>
        <ns0:v>0</ns0:v>
      </ns0:c>
      <ns0:c r="Q751" s="0">
        <ns0:f>IFERROR(--N751,0)</ns0:f>
        <ns0:v>0</ns0:v>
      </ns0:c>
      <ns0:c r="R751" s="0">
        <ns0:f>IFERROR(IF(FIND(".",L751)=5,--O751,--M751),0)</ns0:f>
        <ns0:v>0</ns0:v>
      </ns0:c>
      <ns0:c r="S751" s="0">
        <ns0:f>IFERROR(IF(AND(P751&gt;=2000,P751&lt;=2100,Q751&gt;=1,Q751&lt;=12,R751&gt;=1,R751&lt;=31),DATE(P751,Q751,R751),0),0)</ns0:f>
        <ns0:v>0</ns0:v>
      </ns0:c>
      <ns0:c r="T751" s="0">
        <ns0:f>IFERROR(IF(ISNUMBER(Bookings!D751),IF(AND(Bookings!D751=INT(Bookings!D751),Bookings!D751&gt;=DATE(2000,1,1),Bookings!D751&lt;=DATE(2100,12,31)),Bookings!D751,0),IF(AND(K751&lt;&gt;"",LEN("x"&amp;L751)-LEN(SUBSTITUTE("x"&amp;L751,".",""))=2,OR(1&gt;LEN(L751),MID(L751,1,1)=".",ISNUMBER(FIND("x"&amp;MID(L751,1,1),"x0x1x2x3x4x5x6x7x8x9"))),OR(2&gt;LEN(L751),MID(L751,2,1)=".",ISNUMBER(FIND("x"&amp;MID(L751,2,1),"x0x1x2x3x4x5x6x7x8x9"))),OR(3&gt;LEN(L751),MID(L751,3,1)=".",ISNUMBER(FIND("x"&amp;MID(L751,3,1),"x0x1x2x3x4x5x6x7x8x9"))),OR(4&gt;LEN(L751),MID(L751,4,1)=".",ISNUMBER(FIND("x"&amp;MID(L751,4,1),"x0x1x2x3x4x5x6x7x8x9"))),OR(5&gt;LEN(L751),MID(L751,5,1)=".",ISNUMBER(FIND("x"&amp;MID(L751,5,1),"x0x1x2x3x4x5x6x7x8x9"))),OR(6&gt;LEN(L751),MID(L751,6,1)=".",ISNUMBER(FIND("x"&amp;MID(L751,6,1),"x0x1x2x3x4x5x6x7x8x9"))),OR(7&gt;LEN(L751),MID(L751,7,1)=".",ISNUMBER(FIND("x"&amp;MID(L751,7,1),"x0x1x2x3x4x5x6x7x8x9"))),OR(8&gt;LEN(L751),MID(L751,8,1)=".",ISNUMBER(FIND("x"&amp;MID(L751,8,1),"x0x1x2x3x4x5x6x7x8x9"))),OR(9&gt;LEN(L751),MID(L751,9,1)=".",ISNUMBER(FIND("x"&amp;MID(L751,9,1),"x0x1x2x3x4x5x6x7x8x9"))),OR(10&gt;LEN(L751),MID(L751,10,1)=".",ISNUMBER(FIND("x"&amp;MID(L751,10,1),"x0x1x2x3x4x5x6x7x8x9"))),OR(AND(FIND(".",L751)=5,LEN(L751)-FIND(".",L751,FIND(".",L751)+1)&gt;=1,LEN(L751)-FIND(".",L751,FIND(".",L751)+1)&lt;=2),AND(LEN(L751)-FIND(".",L751,FIND(".",L751)+1)=4,FIND(".",L751)&gt;=2,FIND(".",L751)&lt;=3)),FIND(".",L751,FIND(".",L751)+1)-FIND(".",L751)&gt;=2,FIND(".",L751,FIND(".",L751)+1)-FIND(".",L751)&lt;=3,P751&gt;=2000,P751&lt;=2100,YEAR(S751)=P751,MONTH(S751)=Q751,DAY(S751)=R751),S751,0)),0)</ns0:f>
        <ns0:v>0</ns0:v>
      </ns0:c>
      <ns0:c r="U751" s="0" t="str">
        <ns0:f>IF(Bookings!C751="","Full day",Bookings!C751)</ns0:f>
        <ns0:v>Full day</ns0:v>
      </ns0:c>
      <ns0:c r="V751" s="0" t="str">
        <ns0:f>IF(Bookings!E751="","Full day",Bookings!E751)</ns0:f>
        <ns0:v>Full day</ns0:v>
      </ns0:c>
      <ns0:c r="W751" s="0">
        <ns0:f>IF(J751=0,0,J751+IF(U751="PM",1,0))</ns0:f>
        <ns0:v>0</ns0:v>
      </ns0:c>
      <ns0:c r="X751" s="0">
        <ns0:f>IF(T751=0,0,T751-IF(V751="PM",1,0))</ns0:f>
        <ns0:v>0</ns0:v>
      </ns0:c>
      <ns0:c r="Y751" s="0">
        <ns0:f>IF(J751=0,0,J751+IF(U751="AM",1,0))</ns0:f>
        <ns0:v>0</ns0:v>
      </ns0:c>
      <ns0:c r="Z751" s="0">
        <ns0:f>IF(T751=0,0,T751-IF(V751="AM",1,0))</ns0:f>
        <ns0:v>0</ns0:v>
      </ns0:c>
      <ns0:c r="AA751" s="0">
        <ns0:f>IFERROR(IF(AND(J751&gt;0,'_Engine'!C751&gt;0,MID('_Engine'!W751,WEEKDAY(J751,2),1)="W",COUNTIF(Settings!$F$18:$F$67,J751)=0),1,0),0)</ns0:f>
        <ns0:v>0</ns0:v>
      </ns0:c>
      <ns0:c r="AB751" s="0">
        <ns0:f>IFERROR(IF(AND(T751&gt;0,'_Engine'!C751&gt;0,MID('_Engine'!W751,WEEKDAY(T751,2),1)="W",COUNTIF(Settings!$F$18:$F$67,T751)=0),1,0),0)</ns0:f>
        <ns0:v>0</ns0:v>
      </ns0:c>
      <ns0:c r="AC751" s="0">
        <ns0:f>IF(AND(J751&gt;0,T751&gt;0,W751&lt;=X751),1,0)</ns0:f>
        <ns0:v>0</ns0:v>
      </ns0:c>
      <ns0:c r="AD751" s="0">
        <ns0:f>IF(AND(J751&gt;0,T751&gt;0,Y751&lt;=Z751),1,0)</ns0:f>
        <ns0:v>0</ns0:v>
      </ns0:c>
    </ns0:row>
    <ns0:row r="752">
      <ns0:c r="A752" s="0">
        <ns0:f>IFERROR(IF(ISNUMBER(Bookings!B752),"",TRIM(Bookings!B752&amp;"")),"")</ns0:f>
      </ns0:c>
      <ns0:c r="B752" s="0">
        <ns0:f>IFERROR(SUBSTITUTE(SUBSTITUTE(A752,"/","."),"-","."),"")</ns0:f>
      </ns0:c>
      <ns0:c r="C752" s="0">
        <ns0:f>IFERROR(LEFT(B752,FIND(".",B752)-1),"")</ns0:f>
      </ns0:c>
      <ns0:c r="D752" s="0">
        <ns0:f>IFERROR(MID(B752,FIND(".",B752)+1,FIND(".",B752,FIND(".",B752)+1)-FIND(".",B752)-1),"")</ns0:f>
      </ns0:c>
      <ns0:c r="E752" s="0">
        <ns0:f>IFERROR(MID(B752,FIND(".",B752,FIND(".",B752)+1)+1,99),"")</ns0:f>
        <ns0:v>99</ns0:v>
      </ns0:c>
      <ns0:c r="F752" s="0">
        <ns0:f>IFERROR(IF(FIND(".",B752)=5,--C752,--E752),0)</ns0:f>
        <ns0:v>0</ns0:v>
      </ns0:c>
      <ns0:c r="G752" s="0">
        <ns0:f>IFERROR(--D752,0)</ns0:f>
        <ns0:v>0</ns0:v>
      </ns0:c>
      <ns0:c r="H752" s="0">
        <ns0:f>IFERROR(IF(FIND(".",B752)=5,--E752,--C752),0)</ns0:f>
        <ns0:v>0</ns0:v>
      </ns0:c>
      <ns0:c r="I752" s="0">
        <ns0:f>IFERROR(IF(AND(F752&gt;=2000,F752&lt;=2100,G752&gt;=1,G752&lt;=12,H752&gt;=1,H752&lt;=31),DATE(F752,G752,H752),0),0)</ns0:f>
        <ns0:v>0</ns0:v>
      </ns0:c>
      <ns0:c r="J752" s="0">
        <ns0:f>IFERROR(IF(ISNUMBER(Bookings!B752),IF(AND(Bookings!B752=INT(Bookings!B752),Bookings!B752&gt;=DATE(2000,1,1),Bookings!B752&lt;=DATE(2100,12,31)),Bookings!B752,0),IF(AND(A752&lt;&gt;"",LEN("x"&amp;B752)-LEN(SUBSTITUTE("x"&amp;B752,".",""))=2,OR(1&gt;LEN(B752),MID(B752,1,1)=".",ISNUMBER(FIND("x"&amp;MID(B752,1,1),"x0x1x2x3x4x5x6x7x8x9"))),OR(2&gt;LEN(B752),MID(B752,2,1)=".",ISNUMBER(FIND("x"&amp;MID(B752,2,1),"x0x1x2x3x4x5x6x7x8x9"))),OR(3&gt;LEN(B752),MID(B752,3,1)=".",ISNUMBER(FIND("x"&amp;MID(B752,3,1),"x0x1x2x3x4x5x6x7x8x9"))),OR(4&gt;LEN(B752),MID(B752,4,1)=".",ISNUMBER(FIND("x"&amp;MID(B752,4,1),"x0x1x2x3x4x5x6x7x8x9"))),OR(5&gt;LEN(B752),MID(B752,5,1)=".",ISNUMBER(FIND("x"&amp;MID(B752,5,1),"x0x1x2x3x4x5x6x7x8x9"))),OR(6&gt;LEN(B752),MID(B752,6,1)=".",ISNUMBER(FIND("x"&amp;MID(B752,6,1),"x0x1x2x3x4x5x6x7x8x9"))),OR(7&gt;LEN(B752),MID(B752,7,1)=".",ISNUMBER(FIND("x"&amp;MID(B752,7,1),"x0x1x2x3x4x5x6x7x8x9"))),OR(8&gt;LEN(B752),MID(B752,8,1)=".",ISNUMBER(FIND("x"&amp;MID(B752,8,1),"x0x1x2x3x4x5x6x7x8x9"))),OR(9&gt;LEN(B752),MID(B752,9,1)=".",ISNUMBER(FIND("x"&amp;MID(B752,9,1),"x0x1x2x3x4x5x6x7x8x9"))),OR(10&gt;LEN(B752),MID(B752,10,1)=".",ISNUMBER(FIND("x"&amp;MID(B752,10,1),"x0x1x2x3x4x5x6x7x8x9"))),OR(AND(FIND(".",B752)=5,LEN(B752)-FIND(".",B752,FIND(".",B752)+1)&gt;=1,LEN(B752)-FIND(".",B752,FIND(".",B752)+1)&lt;=2),AND(LEN(B752)-FIND(".",B752,FIND(".",B752)+1)=4,FIND(".",B752)&gt;=2,FIND(".",B752)&lt;=3)),FIND(".",B752,FIND(".",B752)+1)-FIND(".",B752)&gt;=2,FIND(".",B752,FIND(".",B752)+1)-FIND(".",B752)&lt;=3,F752&gt;=2000,F752&lt;=2100,YEAR(I752)=F752,MONTH(I752)=G752,DAY(I752)=H752),I752,0)),0)</ns0:f>
        <ns0:v>0</ns0:v>
      </ns0:c>
      <ns0:c r="K752" s="0">
        <ns0:f>IFERROR(IF(ISNUMBER(Bookings!D752),"",TRIM(Bookings!D752&amp;"")),"")</ns0:f>
      </ns0:c>
      <ns0:c r="L752" s="0">
        <ns0:f>IFERROR(SUBSTITUTE(SUBSTITUTE(K752,"/","."),"-","."),"")</ns0:f>
      </ns0:c>
      <ns0:c r="M752" s="0">
        <ns0:f>IFERROR(LEFT(L752,FIND(".",L752)-1),"")</ns0:f>
      </ns0:c>
      <ns0:c r="N752" s="0">
        <ns0:f>IFERROR(MID(L752,FIND(".",L752)+1,FIND(".",L752,FIND(".",L752)+1)-FIND(".",L752)-1),"")</ns0:f>
      </ns0:c>
      <ns0:c r="O752" s="0">
        <ns0:f>IFERROR(MID(L752,FIND(".",L752,FIND(".",L752)+1)+1,99),"")</ns0:f>
        <ns0:v>99</ns0:v>
      </ns0:c>
      <ns0:c r="P752" s="0">
        <ns0:f>IFERROR(IF(FIND(".",L752)=5,--M752,--O752),0)</ns0:f>
        <ns0:v>0</ns0:v>
      </ns0:c>
      <ns0:c r="Q752" s="0">
        <ns0:f>IFERROR(--N752,0)</ns0:f>
        <ns0:v>0</ns0:v>
      </ns0:c>
      <ns0:c r="R752" s="0">
        <ns0:f>IFERROR(IF(FIND(".",L752)=5,--O752,--M752),0)</ns0:f>
        <ns0:v>0</ns0:v>
      </ns0:c>
      <ns0:c r="S752" s="0">
        <ns0:f>IFERROR(IF(AND(P752&gt;=2000,P752&lt;=2100,Q752&gt;=1,Q752&lt;=12,R752&gt;=1,R752&lt;=31),DATE(P752,Q752,R752),0),0)</ns0:f>
        <ns0:v>0</ns0:v>
      </ns0:c>
      <ns0:c r="T752" s="0">
        <ns0:f>IFERROR(IF(ISNUMBER(Bookings!D752),IF(AND(Bookings!D752=INT(Bookings!D752),Bookings!D752&gt;=DATE(2000,1,1),Bookings!D752&lt;=DATE(2100,12,31)),Bookings!D752,0),IF(AND(K752&lt;&gt;"",LEN("x"&amp;L752)-LEN(SUBSTITUTE("x"&amp;L752,".",""))=2,OR(1&gt;LEN(L752),MID(L752,1,1)=".",ISNUMBER(FIND("x"&amp;MID(L752,1,1),"x0x1x2x3x4x5x6x7x8x9"))),OR(2&gt;LEN(L752),MID(L752,2,1)=".",ISNUMBER(FIND("x"&amp;MID(L752,2,1),"x0x1x2x3x4x5x6x7x8x9"))),OR(3&gt;LEN(L752),MID(L752,3,1)=".",ISNUMBER(FIND("x"&amp;MID(L752,3,1),"x0x1x2x3x4x5x6x7x8x9"))),OR(4&gt;LEN(L752),MID(L752,4,1)=".",ISNUMBER(FIND("x"&amp;MID(L752,4,1),"x0x1x2x3x4x5x6x7x8x9"))),OR(5&gt;LEN(L752),MID(L752,5,1)=".",ISNUMBER(FIND("x"&amp;MID(L752,5,1),"x0x1x2x3x4x5x6x7x8x9"))),OR(6&gt;LEN(L752),MID(L752,6,1)=".",ISNUMBER(FIND("x"&amp;MID(L752,6,1),"x0x1x2x3x4x5x6x7x8x9"))),OR(7&gt;LEN(L752),MID(L752,7,1)=".",ISNUMBER(FIND("x"&amp;MID(L752,7,1),"x0x1x2x3x4x5x6x7x8x9"))),OR(8&gt;LEN(L752),MID(L752,8,1)=".",ISNUMBER(FIND("x"&amp;MID(L752,8,1),"x0x1x2x3x4x5x6x7x8x9"))),OR(9&gt;LEN(L752),MID(L752,9,1)=".",ISNUMBER(FIND("x"&amp;MID(L752,9,1),"x0x1x2x3x4x5x6x7x8x9"))),OR(10&gt;LEN(L752),MID(L752,10,1)=".",ISNUMBER(FIND("x"&amp;MID(L752,10,1),"x0x1x2x3x4x5x6x7x8x9"))),OR(AND(FIND(".",L752)=5,LEN(L752)-FIND(".",L752,FIND(".",L752)+1)&gt;=1,LEN(L752)-FIND(".",L752,FIND(".",L752)+1)&lt;=2),AND(LEN(L752)-FIND(".",L752,FIND(".",L752)+1)=4,FIND(".",L752)&gt;=2,FIND(".",L752)&lt;=3)),FIND(".",L752,FIND(".",L752)+1)-FIND(".",L752)&gt;=2,FIND(".",L752,FIND(".",L752)+1)-FIND(".",L752)&lt;=3,P752&gt;=2000,P752&lt;=2100,YEAR(S752)=P752,MONTH(S752)=Q752,DAY(S752)=R752),S752,0)),0)</ns0:f>
        <ns0:v>0</ns0:v>
      </ns0:c>
      <ns0:c r="U752" s="0" t="str">
        <ns0:f>IF(Bookings!C752="","Full day",Bookings!C752)</ns0:f>
        <ns0:v>Full day</ns0:v>
      </ns0:c>
      <ns0:c r="V752" s="0" t="str">
        <ns0:f>IF(Bookings!E752="","Full day",Bookings!E752)</ns0:f>
        <ns0:v>Full day</ns0:v>
      </ns0:c>
      <ns0:c r="W752" s="0">
        <ns0:f>IF(J752=0,0,J752+IF(U752="PM",1,0))</ns0:f>
        <ns0:v>0</ns0:v>
      </ns0:c>
      <ns0:c r="X752" s="0">
        <ns0:f>IF(T752=0,0,T752-IF(V752="PM",1,0))</ns0:f>
        <ns0:v>0</ns0:v>
      </ns0:c>
      <ns0:c r="Y752" s="0">
        <ns0:f>IF(J752=0,0,J752+IF(U752="AM",1,0))</ns0:f>
        <ns0:v>0</ns0:v>
      </ns0:c>
      <ns0:c r="Z752" s="0">
        <ns0:f>IF(T752=0,0,T752-IF(V752="AM",1,0))</ns0:f>
        <ns0:v>0</ns0:v>
      </ns0:c>
      <ns0:c r="AA752" s="0">
        <ns0:f>IFERROR(IF(AND(J752&gt;0,'_Engine'!C752&gt;0,MID('_Engine'!W752,WEEKDAY(J752,2),1)="W",COUNTIF(Settings!$F$18:$F$67,J752)=0),1,0),0)</ns0:f>
        <ns0:v>0</ns0:v>
      </ns0:c>
      <ns0:c r="AB752" s="0">
        <ns0:f>IFERROR(IF(AND(T752&gt;0,'_Engine'!C752&gt;0,MID('_Engine'!W752,WEEKDAY(T752,2),1)="W",COUNTIF(Settings!$F$18:$F$67,T752)=0),1,0),0)</ns0:f>
        <ns0:v>0</ns0:v>
      </ns0:c>
      <ns0:c r="AC752" s="0">
        <ns0:f>IF(AND(J752&gt;0,T752&gt;0,W752&lt;=X752),1,0)</ns0:f>
        <ns0:v>0</ns0:v>
      </ns0:c>
      <ns0:c r="AD752" s="0">
        <ns0:f>IF(AND(J752&gt;0,T752&gt;0,Y752&lt;=Z752),1,0)</ns0:f>
        <ns0:v>0</ns0:v>
      </ns0:c>
    </ns0:row>
    <ns0:row r="753">
      <ns0:c r="A753" s="0">
        <ns0:f>IFERROR(IF(ISNUMBER(Bookings!B753),"",TRIM(Bookings!B753&amp;"")),"")</ns0:f>
      </ns0:c>
      <ns0:c r="B753" s="0">
        <ns0:f>IFERROR(SUBSTITUTE(SUBSTITUTE(A753,"/","."),"-","."),"")</ns0:f>
      </ns0:c>
      <ns0:c r="C753" s="0">
        <ns0:f>IFERROR(LEFT(B753,FIND(".",B753)-1),"")</ns0:f>
      </ns0:c>
      <ns0:c r="D753" s="0">
        <ns0:f>IFERROR(MID(B753,FIND(".",B753)+1,FIND(".",B753,FIND(".",B753)+1)-FIND(".",B753)-1),"")</ns0:f>
      </ns0:c>
      <ns0:c r="E753" s="0">
        <ns0:f>IFERROR(MID(B753,FIND(".",B753,FIND(".",B753)+1)+1,99),"")</ns0:f>
        <ns0:v>99</ns0:v>
      </ns0:c>
      <ns0:c r="F753" s="0">
        <ns0:f>IFERROR(IF(FIND(".",B753)=5,--C753,--E753),0)</ns0:f>
        <ns0:v>0</ns0:v>
      </ns0:c>
      <ns0:c r="G753" s="0">
        <ns0:f>IFERROR(--D753,0)</ns0:f>
        <ns0:v>0</ns0:v>
      </ns0:c>
      <ns0:c r="H753" s="0">
        <ns0:f>IFERROR(IF(FIND(".",B753)=5,--E753,--C753),0)</ns0:f>
        <ns0:v>0</ns0:v>
      </ns0:c>
      <ns0:c r="I753" s="0">
        <ns0:f>IFERROR(IF(AND(F753&gt;=2000,F753&lt;=2100,G753&gt;=1,G753&lt;=12,H753&gt;=1,H753&lt;=31),DATE(F753,G753,H753),0),0)</ns0:f>
        <ns0:v>0</ns0:v>
      </ns0:c>
      <ns0:c r="J753" s="0">
        <ns0:f>IFERROR(IF(ISNUMBER(Bookings!B753),IF(AND(Bookings!B753=INT(Bookings!B753),Bookings!B753&gt;=DATE(2000,1,1),Bookings!B753&lt;=DATE(2100,12,31)),Bookings!B753,0),IF(AND(A753&lt;&gt;"",LEN("x"&amp;B753)-LEN(SUBSTITUTE("x"&amp;B753,".",""))=2,OR(1&gt;LEN(B753),MID(B753,1,1)=".",ISNUMBER(FIND("x"&amp;MID(B753,1,1),"x0x1x2x3x4x5x6x7x8x9"))),OR(2&gt;LEN(B753),MID(B753,2,1)=".",ISNUMBER(FIND("x"&amp;MID(B753,2,1),"x0x1x2x3x4x5x6x7x8x9"))),OR(3&gt;LEN(B753),MID(B753,3,1)=".",ISNUMBER(FIND("x"&amp;MID(B753,3,1),"x0x1x2x3x4x5x6x7x8x9"))),OR(4&gt;LEN(B753),MID(B753,4,1)=".",ISNUMBER(FIND("x"&amp;MID(B753,4,1),"x0x1x2x3x4x5x6x7x8x9"))),OR(5&gt;LEN(B753),MID(B753,5,1)=".",ISNUMBER(FIND("x"&amp;MID(B753,5,1),"x0x1x2x3x4x5x6x7x8x9"))),OR(6&gt;LEN(B753),MID(B753,6,1)=".",ISNUMBER(FIND("x"&amp;MID(B753,6,1),"x0x1x2x3x4x5x6x7x8x9"))),OR(7&gt;LEN(B753),MID(B753,7,1)=".",ISNUMBER(FIND("x"&amp;MID(B753,7,1),"x0x1x2x3x4x5x6x7x8x9"))),OR(8&gt;LEN(B753),MID(B753,8,1)=".",ISNUMBER(FIND("x"&amp;MID(B753,8,1),"x0x1x2x3x4x5x6x7x8x9"))),OR(9&gt;LEN(B753),MID(B753,9,1)=".",ISNUMBER(FIND("x"&amp;MID(B753,9,1),"x0x1x2x3x4x5x6x7x8x9"))),OR(10&gt;LEN(B753),MID(B753,10,1)=".",ISNUMBER(FIND("x"&amp;MID(B753,10,1),"x0x1x2x3x4x5x6x7x8x9"))),OR(AND(FIND(".",B753)=5,LEN(B753)-FIND(".",B753,FIND(".",B753)+1)&gt;=1,LEN(B753)-FIND(".",B753,FIND(".",B753)+1)&lt;=2),AND(LEN(B753)-FIND(".",B753,FIND(".",B753)+1)=4,FIND(".",B753)&gt;=2,FIND(".",B753)&lt;=3)),FIND(".",B753,FIND(".",B753)+1)-FIND(".",B753)&gt;=2,FIND(".",B753,FIND(".",B753)+1)-FIND(".",B753)&lt;=3,F753&gt;=2000,F753&lt;=2100,YEAR(I753)=F753,MONTH(I753)=G753,DAY(I753)=H753),I753,0)),0)</ns0:f>
        <ns0:v>0</ns0:v>
      </ns0:c>
      <ns0:c r="K753" s="0">
        <ns0:f>IFERROR(IF(ISNUMBER(Bookings!D753),"",TRIM(Bookings!D753&amp;"")),"")</ns0:f>
      </ns0:c>
      <ns0:c r="L753" s="0">
        <ns0:f>IFERROR(SUBSTITUTE(SUBSTITUTE(K753,"/","."),"-","."),"")</ns0:f>
      </ns0:c>
      <ns0:c r="M753" s="0">
        <ns0:f>IFERROR(LEFT(L753,FIND(".",L753)-1),"")</ns0:f>
      </ns0:c>
      <ns0:c r="N753" s="0">
        <ns0:f>IFERROR(MID(L753,FIND(".",L753)+1,FIND(".",L753,FIND(".",L753)+1)-FIND(".",L753)-1),"")</ns0:f>
      </ns0:c>
      <ns0:c r="O753" s="0">
        <ns0:f>IFERROR(MID(L753,FIND(".",L753,FIND(".",L753)+1)+1,99),"")</ns0:f>
        <ns0:v>99</ns0:v>
      </ns0:c>
      <ns0:c r="P753" s="0">
        <ns0:f>IFERROR(IF(FIND(".",L753)=5,--M753,--O753),0)</ns0:f>
        <ns0:v>0</ns0:v>
      </ns0:c>
      <ns0:c r="Q753" s="0">
        <ns0:f>IFERROR(--N753,0)</ns0:f>
        <ns0:v>0</ns0:v>
      </ns0:c>
      <ns0:c r="R753" s="0">
        <ns0:f>IFERROR(IF(FIND(".",L753)=5,--O753,--M753),0)</ns0:f>
        <ns0:v>0</ns0:v>
      </ns0:c>
      <ns0:c r="S753" s="0">
        <ns0:f>IFERROR(IF(AND(P753&gt;=2000,P753&lt;=2100,Q753&gt;=1,Q753&lt;=12,R753&gt;=1,R753&lt;=31),DATE(P753,Q753,R753),0),0)</ns0:f>
        <ns0:v>0</ns0:v>
      </ns0:c>
      <ns0:c r="T753" s="0">
        <ns0:f>IFERROR(IF(ISNUMBER(Bookings!D753),IF(AND(Bookings!D753=INT(Bookings!D753),Bookings!D753&gt;=DATE(2000,1,1),Bookings!D753&lt;=DATE(2100,12,31)),Bookings!D753,0),IF(AND(K753&lt;&gt;"",LEN("x"&amp;L753)-LEN(SUBSTITUTE("x"&amp;L753,".",""))=2,OR(1&gt;LEN(L753),MID(L753,1,1)=".",ISNUMBER(FIND("x"&amp;MID(L753,1,1),"x0x1x2x3x4x5x6x7x8x9"))),OR(2&gt;LEN(L753),MID(L753,2,1)=".",ISNUMBER(FIND("x"&amp;MID(L753,2,1),"x0x1x2x3x4x5x6x7x8x9"))),OR(3&gt;LEN(L753),MID(L753,3,1)=".",ISNUMBER(FIND("x"&amp;MID(L753,3,1),"x0x1x2x3x4x5x6x7x8x9"))),OR(4&gt;LEN(L753),MID(L753,4,1)=".",ISNUMBER(FIND("x"&amp;MID(L753,4,1),"x0x1x2x3x4x5x6x7x8x9"))),OR(5&gt;LEN(L753),MID(L753,5,1)=".",ISNUMBER(FIND("x"&amp;MID(L753,5,1),"x0x1x2x3x4x5x6x7x8x9"))),OR(6&gt;LEN(L753),MID(L753,6,1)=".",ISNUMBER(FIND("x"&amp;MID(L753,6,1),"x0x1x2x3x4x5x6x7x8x9"))),OR(7&gt;LEN(L753),MID(L753,7,1)=".",ISNUMBER(FIND("x"&amp;MID(L753,7,1),"x0x1x2x3x4x5x6x7x8x9"))),OR(8&gt;LEN(L753),MID(L753,8,1)=".",ISNUMBER(FIND("x"&amp;MID(L753,8,1),"x0x1x2x3x4x5x6x7x8x9"))),OR(9&gt;LEN(L753),MID(L753,9,1)=".",ISNUMBER(FIND("x"&amp;MID(L753,9,1),"x0x1x2x3x4x5x6x7x8x9"))),OR(10&gt;LEN(L753),MID(L753,10,1)=".",ISNUMBER(FIND("x"&amp;MID(L753,10,1),"x0x1x2x3x4x5x6x7x8x9"))),OR(AND(FIND(".",L753)=5,LEN(L753)-FIND(".",L753,FIND(".",L753)+1)&gt;=1,LEN(L753)-FIND(".",L753,FIND(".",L753)+1)&lt;=2),AND(LEN(L753)-FIND(".",L753,FIND(".",L753)+1)=4,FIND(".",L753)&gt;=2,FIND(".",L753)&lt;=3)),FIND(".",L753,FIND(".",L753)+1)-FIND(".",L753)&gt;=2,FIND(".",L753,FIND(".",L753)+1)-FIND(".",L753)&lt;=3,P753&gt;=2000,P753&lt;=2100,YEAR(S753)=P753,MONTH(S753)=Q753,DAY(S753)=R753),S753,0)),0)</ns0:f>
        <ns0:v>0</ns0:v>
      </ns0:c>
      <ns0:c r="U753" s="0" t="str">
        <ns0:f>IF(Bookings!C753="","Full day",Bookings!C753)</ns0:f>
        <ns0:v>Full day</ns0:v>
      </ns0:c>
      <ns0:c r="V753" s="0" t="str">
        <ns0:f>IF(Bookings!E753="","Full day",Bookings!E753)</ns0:f>
        <ns0:v>Full day</ns0:v>
      </ns0:c>
      <ns0:c r="W753" s="0">
        <ns0:f>IF(J753=0,0,J753+IF(U753="PM",1,0))</ns0:f>
        <ns0:v>0</ns0:v>
      </ns0:c>
      <ns0:c r="X753" s="0">
        <ns0:f>IF(T753=0,0,T753-IF(V753="PM",1,0))</ns0:f>
        <ns0:v>0</ns0:v>
      </ns0:c>
      <ns0:c r="Y753" s="0">
        <ns0:f>IF(J753=0,0,J753+IF(U753="AM",1,0))</ns0:f>
        <ns0:v>0</ns0:v>
      </ns0:c>
      <ns0:c r="Z753" s="0">
        <ns0:f>IF(T753=0,0,T753-IF(V753="AM",1,0))</ns0:f>
        <ns0:v>0</ns0:v>
      </ns0:c>
      <ns0:c r="AA753" s="0">
        <ns0:f>IFERROR(IF(AND(J753&gt;0,'_Engine'!C753&gt;0,MID('_Engine'!W753,WEEKDAY(J753,2),1)="W",COUNTIF(Settings!$F$18:$F$67,J753)=0),1,0),0)</ns0:f>
        <ns0:v>0</ns0:v>
      </ns0:c>
      <ns0:c r="AB753" s="0">
        <ns0:f>IFERROR(IF(AND(T753&gt;0,'_Engine'!C753&gt;0,MID('_Engine'!W753,WEEKDAY(T753,2),1)="W",COUNTIF(Settings!$F$18:$F$67,T753)=0),1,0),0)</ns0:f>
        <ns0:v>0</ns0:v>
      </ns0:c>
      <ns0:c r="AC753" s="0">
        <ns0:f>IF(AND(J753&gt;0,T753&gt;0,W753&lt;=X753),1,0)</ns0:f>
        <ns0:v>0</ns0:v>
      </ns0:c>
      <ns0:c r="AD753" s="0">
        <ns0:f>IF(AND(J753&gt;0,T753&gt;0,Y753&lt;=Z753),1,0)</ns0:f>
        <ns0:v>0</ns0:v>
      </ns0:c>
    </ns0:row>
    <ns0:row r="754">
      <ns0:c r="A754" s="0">
        <ns0:f>IFERROR(IF(ISNUMBER(Bookings!B754),"",TRIM(Bookings!B754&amp;"")),"")</ns0:f>
      </ns0:c>
      <ns0:c r="B754" s="0">
        <ns0:f>IFERROR(SUBSTITUTE(SUBSTITUTE(A754,"/","."),"-","."),"")</ns0:f>
      </ns0:c>
      <ns0:c r="C754" s="0">
        <ns0:f>IFERROR(LEFT(B754,FIND(".",B754)-1),"")</ns0:f>
      </ns0:c>
      <ns0:c r="D754" s="0">
        <ns0:f>IFERROR(MID(B754,FIND(".",B754)+1,FIND(".",B754,FIND(".",B754)+1)-FIND(".",B754)-1),"")</ns0:f>
      </ns0:c>
      <ns0:c r="E754" s="0">
        <ns0:f>IFERROR(MID(B754,FIND(".",B754,FIND(".",B754)+1)+1,99),"")</ns0:f>
        <ns0:v>99</ns0:v>
      </ns0:c>
      <ns0:c r="F754" s="0">
        <ns0:f>IFERROR(IF(FIND(".",B754)=5,--C754,--E754),0)</ns0:f>
        <ns0:v>0</ns0:v>
      </ns0:c>
      <ns0:c r="G754" s="0">
        <ns0:f>IFERROR(--D754,0)</ns0:f>
        <ns0:v>0</ns0:v>
      </ns0:c>
      <ns0:c r="H754" s="0">
        <ns0:f>IFERROR(IF(FIND(".",B754)=5,--E754,--C754),0)</ns0:f>
        <ns0:v>0</ns0:v>
      </ns0:c>
      <ns0:c r="I754" s="0">
        <ns0:f>IFERROR(IF(AND(F754&gt;=2000,F754&lt;=2100,G754&gt;=1,G754&lt;=12,H754&gt;=1,H754&lt;=31),DATE(F754,G754,H754),0),0)</ns0:f>
        <ns0:v>0</ns0:v>
      </ns0:c>
      <ns0:c r="J754" s="0">
        <ns0:f>IFERROR(IF(ISNUMBER(Bookings!B754),IF(AND(Bookings!B754=INT(Bookings!B754),Bookings!B754&gt;=DATE(2000,1,1),Bookings!B754&lt;=DATE(2100,12,31)),Bookings!B754,0),IF(AND(A754&lt;&gt;"",LEN("x"&amp;B754)-LEN(SUBSTITUTE("x"&amp;B754,".",""))=2,OR(1&gt;LEN(B754),MID(B754,1,1)=".",ISNUMBER(FIND("x"&amp;MID(B754,1,1),"x0x1x2x3x4x5x6x7x8x9"))),OR(2&gt;LEN(B754),MID(B754,2,1)=".",ISNUMBER(FIND("x"&amp;MID(B754,2,1),"x0x1x2x3x4x5x6x7x8x9"))),OR(3&gt;LEN(B754),MID(B754,3,1)=".",ISNUMBER(FIND("x"&amp;MID(B754,3,1),"x0x1x2x3x4x5x6x7x8x9"))),OR(4&gt;LEN(B754),MID(B754,4,1)=".",ISNUMBER(FIND("x"&amp;MID(B754,4,1),"x0x1x2x3x4x5x6x7x8x9"))),OR(5&gt;LEN(B754),MID(B754,5,1)=".",ISNUMBER(FIND("x"&amp;MID(B754,5,1),"x0x1x2x3x4x5x6x7x8x9"))),OR(6&gt;LEN(B754),MID(B754,6,1)=".",ISNUMBER(FIND("x"&amp;MID(B754,6,1),"x0x1x2x3x4x5x6x7x8x9"))),OR(7&gt;LEN(B754),MID(B754,7,1)=".",ISNUMBER(FIND("x"&amp;MID(B754,7,1),"x0x1x2x3x4x5x6x7x8x9"))),OR(8&gt;LEN(B754),MID(B754,8,1)=".",ISNUMBER(FIND("x"&amp;MID(B754,8,1),"x0x1x2x3x4x5x6x7x8x9"))),OR(9&gt;LEN(B754),MID(B754,9,1)=".",ISNUMBER(FIND("x"&amp;MID(B754,9,1),"x0x1x2x3x4x5x6x7x8x9"))),OR(10&gt;LEN(B754),MID(B754,10,1)=".",ISNUMBER(FIND("x"&amp;MID(B754,10,1),"x0x1x2x3x4x5x6x7x8x9"))),OR(AND(FIND(".",B754)=5,LEN(B754)-FIND(".",B754,FIND(".",B754)+1)&gt;=1,LEN(B754)-FIND(".",B754,FIND(".",B754)+1)&lt;=2),AND(LEN(B754)-FIND(".",B754,FIND(".",B754)+1)=4,FIND(".",B754)&gt;=2,FIND(".",B754)&lt;=3)),FIND(".",B754,FIND(".",B754)+1)-FIND(".",B754)&gt;=2,FIND(".",B754,FIND(".",B754)+1)-FIND(".",B754)&lt;=3,F754&gt;=2000,F754&lt;=2100,YEAR(I754)=F754,MONTH(I754)=G754,DAY(I754)=H754),I754,0)),0)</ns0:f>
        <ns0:v>0</ns0:v>
      </ns0:c>
      <ns0:c r="K754" s="0">
        <ns0:f>IFERROR(IF(ISNUMBER(Bookings!D754),"",TRIM(Bookings!D754&amp;"")),"")</ns0:f>
      </ns0:c>
      <ns0:c r="L754" s="0">
        <ns0:f>IFERROR(SUBSTITUTE(SUBSTITUTE(K754,"/","."),"-","."),"")</ns0:f>
      </ns0:c>
      <ns0:c r="M754" s="0">
        <ns0:f>IFERROR(LEFT(L754,FIND(".",L754)-1),"")</ns0:f>
      </ns0:c>
      <ns0:c r="N754" s="0">
        <ns0:f>IFERROR(MID(L754,FIND(".",L754)+1,FIND(".",L754,FIND(".",L754)+1)-FIND(".",L754)-1),"")</ns0:f>
      </ns0:c>
      <ns0:c r="O754" s="0">
        <ns0:f>IFERROR(MID(L754,FIND(".",L754,FIND(".",L754)+1)+1,99),"")</ns0:f>
        <ns0:v>99</ns0:v>
      </ns0:c>
      <ns0:c r="P754" s="0">
        <ns0:f>IFERROR(IF(FIND(".",L754)=5,--M754,--O754),0)</ns0:f>
        <ns0:v>0</ns0:v>
      </ns0:c>
      <ns0:c r="Q754" s="0">
        <ns0:f>IFERROR(--N754,0)</ns0:f>
        <ns0:v>0</ns0:v>
      </ns0:c>
      <ns0:c r="R754" s="0">
        <ns0:f>IFERROR(IF(FIND(".",L754)=5,--O754,--M754),0)</ns0:f>
        <ns0:v>0</ns0:v>
      </ns0:c>
      <ns0:c r="S754" s="0">
        <ns0:f>IFERROR(IF(AND(P754&gt;=2000,P754&lt;=2100,Q754&gt;=1,Q754&lt;=12,R754&gt;=1,R754&lt;=31),DATE(P754,Q754,R754),0),0)</ns0:f>
        <ns0:v>0</ns0:v>
      </ns0:c>
      <ns0:c r="T754" s="0">
        <ns0:f>IFERROR(IF(ISNUMBER(Bookings!D754),IF(AND(Bookings!D754=INT(Bookings!D754),Bookings!D754&gt;=DATE(2000,1,1),Bookings!D754&lt;=DATE(2100,12,31)),Bookings!D754,0),IF(AND(K754&lt;&gt;"",LEN("x"&amp;L754)-LEN(SUBSTITUTE("x"&amp;L754,".",""))=2,OR(1&gt;LEN(L754),MID(L754,1,1)=".",ISNUMBER(FIND("x"&amp;MID(L754,1,1),"x0x1x2x3x4x5x6x7x8x9"))),OR(2&gt;LEN(L754),MID(L754,2,1)=".",ISNUMBER(FIND("x"&amp;MID(L754,2,1),"x0x1x2x3x4x5x6x7x8x9"))),OR(3&gt;LEN(L754),MID(L754,3,1)=".",ISNUMBER(FIND("x"&amp;MID(L754,3,1),"x0x1x2x3x4x5x6x7x8x9"))),OR(4&gt;LEN(L754),MID(L754,4,1)=".",ISNUMBER(FIND("x"&amp;MID(L754,4,1),"x0x1x2x3x4x5x6x7x8x9"))),OR(5&gt;LEN(L754),MID(L754,5,1)=".",ISNUMBER(FIND("x"&amp;MID(L754,5,1),"x0x1x2x3x4x5x6x7x8x9"))),OR(6&gt;LEN(L754),MID(L754,6,1)=".",ISNUMBER(FIND("x"&amp;MID(L754,6,1),"x0x1x2x3x4x5x6x7x8x9"))),OR(7&gt;LEN(L754),MID(L754,7,1)=".",ISNUMBER(FIND("x"&amp;MID(L754,7,1),"x0x1x2x3x4x5x6x7x8x9"))),OR(8&gt;LEN(L754),MID(L754,8,1)=".",ISNUMBER(FIND("x"&amp;MID(L754,8,1),"x0x1x2x3x4x5x6x7x8x9"))),OR(9&gt;LEN(L754),MID(L754,9,1)=".",ISNUMBER(FIND("x"&amp;MID(L754,9,1),"x0x1x2x3x4x5x6x7x8x9"))),OR(10&gt;LEN(L754),MID(L754,10,1)=".",ISNUMBER(FIND("x"&amp;MID(L754,10,1),"x0x1x2x3x4x5x6x7x8x9"))),OR(AND(FIND(".",L754)=5,LEN(L754)-FIND(".",L754,FIND(".",L754)+1)&gt;=1,LEN(L754)-FIND(".",L754,FIND(".",L754)+1)&lt;=2),AND(LEN(L754)-FIND(".",L754,FIND(".",L754)+1)=4,FIND(".",L754)&gt;=2,FIND(".",L754)&lt;=3)),FIND(".",L754,FIND(".",L754)+1)-FIND(".",L754)&gt;=2,FIND(".",L754,FIND(".",L754)+1)-FIND(".",L754)&lt;=3,P754&gt;=2000,P754&lt;=2100,YEAR(S754)=P754,MONTH(S754)=Q754,DAY(S754)=R754),S754,0)),0)</ns0:f>
        <ns0:v>0</ns0:v>
      </ns0:c>
      <ns0:c r="U754" s="0" t="str">
        <ns0:f>IF(Bookings!C754="","Full day",Bookings!C754)</ns0:f>
        <ns0:v>Full day</ns0:v>
      </ns0:c>
      <ns0:c r="V754" s="0" t="str">
        <ns0:f>IF(Bookings!E754="","Full day",Bookings!E754)</ns0:f>
        <ns0:v>Full day</ns0:v>
      </ns0:c>
      <ns0:c r="W754" s="0">
        <ns0:f>IF(J754=0,0,J754+IF(U754="PM",1,0))</ns0:f>
        <ns0:v>0</ns0:v>
      </ns0:c>
      <ns0:c r="X754" s="0">
        <ns0:f>IF(T754=0,0,T754-IF(V754="PM",1,0))</ns0:f>
        <ns0:v>0</ns0:v>
      </ns0:c>
      <ns0:c r="Y754" s="0">
        <ns0:f>IF(J754=0,0,J754+IF(U754="AM",1,0))</ns0:f>
        <ns0:v>0</ns0:v>
      </ns0:c>
      <ns0:c r="Z754" s="0">
        <ns0:f>IF(T754=0,0,T754-IF(V754="AM",1,0))</ns0:f>
        <ns0:v>0</ns0:v>
      </ns0:c>
      <ns0:c r="AA754" s="0">
        <ns0:f>IFERROR(IF(AND(J754&gt;0,'_Engine'!C754&gt;0,MID('_Engine'!W754,WEEKDAY(J754,2),1)="W",COUNTIF(Settings!$F$18:$F$67,J754)=0),1,0),0)</ns0:f>
        <ns0:v>0</ns0:v>
      </ns0:c>
      <ns0:c r="AB754" s="0">
        <ns0:f>IFERROR(IF(AND(T754&gt;0,'_Engine'!C754&gt;0,MID('_Engine'!W754,WEEKDAY(T754,2),1)="W",COUNTIF(Settings!$F$18:$F$67,T754)=0),1,0),0)</ns0:f>
        <ns0:v>0</ns0:v>
      </ns0:c>
      <ns0:c r="AC754" s="0">
        <ns0:f>IF(AND(J754&gt;0,T754&gt;0,W754&lt;=X754),1,0)</ns0:f>
        <ns0:v>0</ns0:v>
      </ns0:c>
      <ns0:c r="AD754" s="0">
        <ns0:f>IF(AND(J754&gt;0,T754&gt;0,Y754&lt;=Z754),1,0)</ns0:f>
        <ns0:v>0</ns0:v>
      </ns0:c>
    </ns0:row>
    <ns0:row r="755">
      <ns0:c r="A755" s="0">
        <ns0:f>IFERROR(IF(ISNUMBER(Bookings!B755),"",TRIM(Bookings!B755&amp;"")),"")</ns0:f>
      </ns0:c>
      <ns0:c r="B755" s="0">
        <ns0:f>IFERROR(SUBSTITUTE(SUBSTITUTE(A755,"/","."),"-","."),"")</ns0:f>
      </ns0:c>
      <ns0:c r="C755" s="0">
        <ns0:f>IFERROR(LEFT(B755,FIND(".",B755)-1),"")</ns0:f>
      </ns0:c>
      <ns0:c r="D755" s="0">
        <ns0:f>IFERROR(MID(B755,FIND(".",B755)+1,FIND(".",B755,FIND(".",B755)+1)-FIND(".",B755)-1),"")</ns0:f>
      </ns0:c>
      <ns0:c r="E755" s="0">
        <ns0:f>IFERROR(MID(B755,FIND(".",B755,FIND(".",B755)+1)+1,99),"")</ns0:f>
        <ns0:v>99</ns0:v>
      </ns0:c>
      <ns0:c r="F755" s="0">
        <ns0:f>IFERROR(IF(FIND(".",B755)=5,--C755,--E755),0)</ns0:f>
        <ns0:v>0</ns0:v>
      </ns0:c>
      <ns0:c r="G755" s="0">
        <ns0:f>IFERROR(--D755,0)</ns0:f>
        <ns0:v>0</ns0:v>
      </ns0:c>
      <ns0:c r="H755" s="0">
        <ns0:f>IFERROR(IF(FIND(".",B755)=5,--E755,--C755),0)</ns0:f>
        <ns0:v>0</ns0:v>
      </ns0:c>
      <ns0:c r="I755" s="0">
        <ns0:f>IFERROR(IF(AND(F755&gt;=2000,F755&lt;=2100,G755&gt;=1,G755&lt;=12,H755&gt;=1,H755&lt;=31),DATE(F755,G755,H755),0),0)</ns0:f>
        <ns0:v>0</ns0:v>
      </ns0:c>
      <ns0:c r="J755" s="0">
        <ns0:f>IFERROR(IF(ISNUMBER(Bookings!B755),IF(AND(Bookings!B755=INT(Bookings!B755),Bookings!B755&gt;=DATE(2000,1,1),Bookings!B755&lt;=DATE(2100,12,31)),Bookings!B755,0),IF(AND(A755&lt;&gt;"",LEN("x"&amp;B755)-LEN(SUBSTITUTE("x"&amp;B755,".",""))=2,OR(1&gt;LEN(B755),MID(B755,1,1)=".",ISNUMBER(FIND("x"&amp;MID(B755,1,1),"x0x1x2x3x4x5x6x7x8x9"))),OR(2&gt;LEN(B755),MID(B755,2,1)=".",ISNUMBER(FIND("x"&amp;MID(B755,2,1),"x0x1x2x3x4x5x6x7x8x9"))),OR(3&gt;LEN(B755),MID(B755,3,1)=".",ISNUMBER(FIND("x"&amp;MID(B755,3,1),"x0x1x2x3x4x5x6x7x8x9"))),OR(4&gt;LEN(B755),MID(B755,4,1)=".",ISNUMBER(FIND("x"&amp;MID(B755,4,1),"x0x1x2x3x4x5x6x7x8x9"))),OR(5&gt;LEN(B755),MID(B755,5,1)=".",ISNUMBER(FIND("x"&amp;MID(B755,5,1),"x0x1x2x3x4x5x6x7x8x9"))),OR(6&gt;LEN(B755),MID(B755,6,1)=".",ISNUMBER(FIND("x"&amp;MID(B755,6,1),"x0x1x2x3x4x5x6x7x8x9"))),OR(7&gt;LEN(B755),MID(B755,7,1)=".",ISNUMBER(FIND("x"&amp;MID(B755,7,1),"x0x1x2x3x4x5x6x7x8x9"))),OR(8&gt;LEN(B755),MID(B755,8,1)=".",ISNUMBER(FIND("x"&amp;MID(B755,8,1),"x0x1x2x3x4x5x6x7x8x9"))),OR(9&gt;LEN(B755),MID(B755,9,1)=".",ISNUMBER(FIND("x"&amp;MID(B755,9,1),"x0x1x2x3x4x5x6x7x8x9"))),OR(10&gt;LEN(B755),MID(B755,10,1)=".",ISNUMBER(FIND("x"&amp;MID(B755,10,1),"x0x1x2x3x4x5x6x7x8x9"))),OR(AND(FIND(".",B755)=5,LEN(B755)-FIND(".",B755,FIND(".",B755)+1)&gt;=1,LEN(B755)-FIND(".",B755,FIND(".",B755)+1)&lt;=2),AND(LEN(B755)-FIND(".",B755,FIND(".",B755)+1)=4,FIND(".",B755)&gt;=2,FIND(".",B755)&lt;=3)),FIND(".",B755,FIND(".",B755)+1)-FIND(".",B755)&gt;=2,FIND(".",B755,FIND(".",B755)+1)-FIND(".",B755)&lt;=3,F755&gt;=2000,F755&lt;=2100,YEAR(I755)=F755,MONTH(I755)=G755,DAY(I755)=H755),I755,0)),0)</ns0:f>
        <ns0:v>0</ns0:v>
      </ns0:c>
      <ns0:c r="K755" s="0">
        <ns0:f>IFERROR(IF(ISNUMBER(Bookings!D755),"",TRIM(Bookings!D755&amp;"")),"")</ns0:f>
      </ns0:c>
      <ns0:c r="L755" s="0">
        <ns0:f>IFERROR(SUBSTITUTE(SUBSTITUTE(K755,"/","."),"-","."),"")</ns0:f>
      </ns0:c>
      <ns0:c r="M755" s="0">
        <ns0:f>IFERROR(LEFT(L755,FIND(".",L755)-1),"")</ns0:f>
      </ns0:c>
      <ns0:c r="N755" s="0">
        <ns0:f>IFERROR(MID(L755,FIND(".",L755)+1,FIND(".",L755,FIND(".",L755)+1)-FIND(".",L755)-1),"")</ns0:f>
      </ns0:c>
      <ns0:c r="O755" s="0">
        <ns0:f>IFERROR(MID(L755,FIND(".",L755,FIND(".",L755)+1)+1,99),"")</ns0:f>
        <ns0:v>99</ns0:v>
      </ns0:c>
      <ns0:c r="P755" s="0">
        <ns0:f>IFERROR(IF(FIND(".",L755)=5,--M755,--O755),0)</ns0:f>
        <ns0:v>0</ns0:v>
      </ns0:c>
      <ns0:c r="Q755" s="0">
        <ns0:f>IFERROR(--N755,0)</ns0:f>
        <ns0:v>0</ns0:v>
      </ns0:c>
      <ns0:c r="R755" s="0">
        <ns0:f>IFERROR(IF(FIND(".",L755)=5,--O755,--M755),0)</ns0:f>
        <ns0:v>0</ns0:v>
      </ns0:c>
      <ns0:c r="S755" s="0">
        <ns0:f>IFERROR(IF(AND(P755&gt;=2000,P755&lt;=2100,Q755&gt;=1,Q755&lt;=12,R755&gt;=1,R755&lt;=31),DATE(P755,Q755,R755),0),0)</ns0:f>
        <ns0:v>0</ns0:v>
      </ns0:c>
      <ns0:c r="T755" s="0">
        <ns0:f>IFERROR(IF(ISNUMBER(Bookings!D755),IF(AND(Bookings!D755=INT(Bookings!D755),Bookings!D755&gt;=DATE(2000,1,1),Bookings!D755&lt;=DATE(2100,12,31)),Bookings!D755,0),IF(AND(K755&lt;&gt;"",LEN("x"&amp;L755)-LEN(SUBSTITUTE("x"&amp;L755,".",""))=2,OR(1&gt;LEN(L755),MID(L755,1,1)=".",ISNUMBER(FIND("x"&amp;MID(L755,1,1),"x0x1x2x3x4x5x6x7x8x9"))),OR(2&gt;LEN(L755),MID(L755,2,1)=".",ISNUMBER(FIND("x"&amp;MID(L755,2,1),"x0x1x2x3x4x5x6x7x8x9"))),OR(3&gt;LEN(L755),MID(L755,3,1)=".",ISNUMBER(FIND("x"&amp;MID(L755,3,1),"x0x1x2x3x4x5x6x7x8x9"))),OR(4&gt;LEN(L755),MID(L755,4,1)=".",ISNUMBER(FIND("x"&amp;MID(L755,4,1),"x0x1x2x3x4x5x6x7x8x9"))),OR(5&gt;LEN(L755),MID(L755,5,1)=".",ISNUMBER(FIND("x"&amp;MID(L755,5,1),"x0x1x2x3x4x5x6x7x8x9"))),OR(6&gt;LEN(L755),MID(L755,6,1)=".",ISNUMBER(FIND("x"&amp;MID(L755,6,1),"x0x1x2x3x4x5x6x7x8x9"))),OR(7&gt;LEN(L755),MID(L755,7,1)=".",ISNUMBER(FIND("x"&amp;MID(L755,7,1),"x0x1x2x3x4x5x6x7x8x9"))),OR(8&gt;LEN(L755),MID(L755,8,1)=".",ISNUMBER(FIND("x"&amp;MID(L755,8,1),"x0x1x2x3x4x5x6x7x8x9"))),OR(9&gt;LEN(L755),MID(L755,9,1)=".",ISNUMBER(FIND("x"&amp;MID(L755,9,1),"x0x1x2x3x4x5x6x7x8x9"))),OR(10&gt;LEN(L755),MID(L755,10,1)=".",ISNUMBER(FIND("x"&amp;MID(L755,10,1),"x0x1x2x3x4x5x6x7x8x9"))),OR(AND(FIND(".",L755)=5,LEN(L755)-FIND(".",L755,FIND(".",L755)+1)&gt;=1,LEN(L755)-FIND(".",L755,FIND(".",L755)+1)&lt;=2),AND(LEN(L755)-FIND(".",L755,FIND(".",L755)+1)=4,FIND(".",L755)&gt;=2,FIND(".",L755)&lt;=3)),FIND(".",L755,FIND(".",L755)+1)-FIND(".",L755)&gt;=2,FIND(".",L755,FIND(".",L755)+1)-FIND(".",L755)&lt;=3,P755&gt;=2000,P755&lt;=2100,YEAR(S755)=P755,MONTH(S755)=Q755,DAY(S755)=R755),S755,0)),0)</ns0:f>
        <ns0:v>0</ns0:v>
      </ns0:c>
      <ns0:c r="U755" s="0" t="str">
        <ns0:f>IF(Bookings!C755="","Full day",Bookings!C755)</ns0:f>
        <ns0:v>Full day</ns0:v>
      </ns0:c>
      <ns0:c r="V755" s="0" t="str">
        <ns0:f>IF(Bookings!E755="","Full day",Bookings!E755)</ns0:f>
        <ns0:v>Full day</ns0:v>
      </ns0:c>
      <ns0:c r="W755" s="0">
        <ns0:f>IF(J755=0,0,J755+IF(U755="PM",1,0))</ns0:f>
        <ns0:v>0</ns0:v>
      </ns0:c>
      <ns0:c r="X755" s="0">
        <ns0:f>IF(T755=0,0,T755-IF(V755="PM",1,0))</ns0:f>
        <ns0:v>0</ns0:v>
      </ns0:c>
      <ns0:c r="Y755" s="0">
        <ns0:f>IF(J755=0,0,J755+IF(U755="AM",1,0))</ns0:f>
        <ns0:v>0</ns0:v>
      </ns0:c>
      <ns0:c r="Z755" s="0">
        <ns0:f>IF(T755=0,0,T755-IF(V755="AM",1,0))</ns0:f>
        <ns0:v>0</ns0:v>
      </ns0:c>
      <ns0:c r="AA755" s="0">
        <ns0:f>IFERROR(IF(AND(J755&gt;0,'_Engine'!C755&gt;0,MID('_Engine'!W755,WEEKDAY(J755,2),1)="W",COUNTIF(Settings!$F$18:$F$67,J755)=0),1,0),0)</ns0:f>
        <ns0:v>0</ns0:v>
      </ns0:c>
      <ns0:c r="AB755" s="0">
        <ns0:f>IFERROR(IF(AND(T755&gt;0,'_Engine'!C755&gt;0,MID('_Engine'!W755,WEEKDAY(T755,2),1)="W",COUNTIF(Settings!$F$18:$F$67,T755)=0),1,0),0)</ns0:f>
        <ns0:v>0</ns0:v>
      </ns0:c>
      <ns0:c r="AC755" s="0">
        <ns0:f>IF(AND(J755&gt;0,T755&gt;0,W755&lt;=X755),1,0)</ns0:f>
        <ns0:v>0</ns0:v>
      </ns0:c>
      <ns0:c r="AD755" s="0">
        <ns0:f>IF(AND(J755&gt;0,T755&gt;0,Y755&lt;=Z755),1,0)</ns0:f>
        <ns0:v>0</ns0:v>
      </ns0:c>
    </ns0:row>
    <ns0:row r="756">
      <ns0:c r="A756" s="0">
        <ns0:f>IFERROR(IF(ISNUMBER(Bookings!B756),"",TRIM(Bookings!B756&amp;"")),"")</ns0:f>
      </ns0:c>
      <ns0:c r="B756" s="0">
        <ns0:f>IFERROR(SUBSTITUTE(SUBSTITUTE(A756,"/","."),"-","."),"")</ns0:f>
      </ns0:c>
      <ns0:c r="C756" s="0">
        <ns0:f>IFERROR(LEFT(B756,FIND(".",B756)-1),"")</ns0:f>
      </ns0:c>
      <ns0:c r="D756" s="0">
        <ns0:f>IFERROR(MID(B756,FIND(".",B756)+1,FIND(".",B756,FIND(".",B756)+1)-FIND(".",B756)-1),"")</ns0:f>
      </ns0:c>
      <ns0:c r="E756" s="0">
        <ns0:f>IFERROR(MID(B756,FIND(".",B756,FIND(".",B756)+1)+1,99),"")</ns0:f>
        <ns0:v>99</ns0:v>
      </ns0:c>
      <ns0:c r="F756" s="0">
        <ns0:f>IFERROR(IF(FIND(".",B756)=5,--C756,--E756),0)</ns0:f>
        <ns0:v>0</ns0:v>
      </ns0:c>
      <ns0:c r="G756" s="0">
        <ns0:f>IFERROR(--D756,0)</ns0:f>
        <ns0:v>0</ns0:v>
      </ns0:c>
      <ns0:c r="H756" s="0">
        <ns0:f>IFERROR(IF(FIND(".",B756)=5,--E756,--C756),0)</ns0:f>
        <ns0:v>0</ns0:v>
      </ns0:c>
      <ns0:c r="I756" s="0">
        <ns0:f>IFERROR(IF(AND(F756&gt;=2000,F756&lt;=2100,G756&gt;=1,G756&lt;=12,H756&gt;=1,H756&lt;=31),DATE(F756,G756,H756),0),0)</ns0:f>
        <ns0:v>0</ns0:v>
      </ns0:c>
      <ns0:c r="J756" s="0">
        <ns0:f>IFERROR(IF(ISNUMBER(Bookings!B756),IF(AND(Bookings!B756=INT(Bookings!B756),Bookings!B756&gt;=DATE(2000,1,1),Bookings!B756&lt;=DATE(2100,12,31)),Bookings!B756,0),IF(AND(A756&lt;&gt;"",LEN("x"&amp;B756)-LEN(SUBSTITUTE("x"&amp;B756,".",""))=2,OR(1&gt;LEN(B756),MID(B756,1,1)=".",ISNUMBER(FIND("x"&amp;MID(B756,1,1),"x0x1x2x3x4x5x6x7x8x9"))),OR(2&gt;LEN(B756),MID(B756,2,1)=".",ISNUMBER(FIND("x"&amp;MID(B756,2,1),"x0x1x2x3x4x5x6x7x8x9"))),OR(3&gt;LEN(B756),MID(B756,3,1)=".",ISNUMBER(FIND("x"&amp;MID(B756,3,1),"x0x1x2x3x4x5x6x7x8x9"))),OR(4&gt;LEN(B756),MID(B756,4,1)=".",ISNUMBER(FIND("x"&amp;MID(B756,4,1),"x0x1x2x3x4x5x6x7x8x9"))),OR(5&gt;LEN(B756),MID(B756,5,1)=".",ISNUMBER(FIND("x"&amp;MID(B756,5,1),"x0x1x2x3x4x5x6x7x8x9"))),OR(6&gt;LEN(B756),MID(B756,6,1)=".",ISNUMBER(FIND("x"&amp;MID(B756,6,1),"x0x1x2x3x4x5x6x7x8x9"))),OR(7&gt;LEN(B756),MID(B756,7,1)=".",ISNUMBER(FIND("x"&amp;MID(B756,7,1),"x0x1x2x3x4x5x6x7x8x9"))),OR(8&gt;LEN(B756),MID(B756,8,1)=".",ISNUMBER(FIND("x"&amp;MID(B756,8,1),"x0x1x2x3x4x5x6x7x8x9"))),OR(9&gt;LEN(B756),MID(B756,9,1)=".",ISNUMBER(FIND("x"&amp;MID(B756,9,1),"x0x1x2x3x4x5x6x7x8x9"))),OR(10&gt;LEN(B756),MID(B756,10,1)=".",ISNUMBER(FIND("x"&amp;MID(B756,10,1),"x0x1x2x3x4x5x6x7x8x9"))),OR(AND(FIND(".",B756)=5,LEN(B756)-FIND(".",B756,FIND(".",B756)+1)&gt;=1,LEN(B756)-FIND(".",B756,FIND(".",B756)+1)&lt;=2),AND(LEN(B756)-FIND(".",B756,FIND(".",B756)+1)=4,FIND(".",B756)&gt;=2,FIND(".",B756)&lt;=3)),FIND(".",B756,FIND(".",B756)+1)-FIND(".",B756)&gt;=2,FIND(".",B756,FIND(".",B756)+1)-FIND(".",B756)&lt;=3,F756&gt;=2000,F756&lt;=2100,YEAR(I756)=F756,MONTH(I756)=G756,DAY(I756)=H756),I756,0)),0)</ns0:f>
        <ns0:v>0</ns0:v>
      </ns0:c>
      <ns0:c r="K756" s="0">
        <ns0:f>IFERROR(IF(ISNUMBER(Bookings!D756),"",TRIM(Bookings!D756&amp;"")),"")</ns0:f>
      </ns0:c>
      <ns0:c r="L756" s="0">
        <ns0:f>IFERROR(SUBSTITUTE(SUBSTITUTE(K756,"/","."),"-","."),"")</ns0:f>
      </ns0:c>
      <ns0:c r="M756" s="0">
        <ns0:f>IFERROR(LEFT(L756,FIND(".",L756)-1),"")</ns0:f>
      </ns0:c>
      <ns0:c r="N756" s="0">
        <ns0:f>IFERROR(MID(L756,FIND(".",L756)+1,FIND(".",L756,FIND(".",L756)+1)-FIND(".",L756)-1),"")</ns0:f>
      </ns0:c>
      <ns0:c r="O756" s="0">
        <ns0:f>IFERROR(MID(L756,FIND(".",L756,FIND(".",L756)+1)+1,99),"")</ns0:f>
        <ns0:v>99</ns0:v>
      </ns0:c>
      <ns0:c r="P756" s="0">
        <ns0:f>IFERROR(IF(FIND(".",L756)=5,--M756,--O756),0)</ns0:f>
        <ns0:v>0</ns0:v>
      </ns0:c>
      <ns0:c r="Q756" s="0">
        <ns0:f>IFERROR(--N756,0)</ns0:f>
        <ns0:v>0</ns0:v>
      </ns0:c>
      <ns0:c r="R756" s="0">
        <ns0:f>IFERROR(IF(FIND(".",L756)=5,--O756,--M756),0)</ns0:f>
        <ns0:v>0</ns0:v>
      </ns0:c>
      <ns0:c r="S756" s="0">
        <ns0:f>IFERROR(IF(AND(P756&gt;=2000,P756&lt;=2100,Q756&gt;=1,Q756&lt;=12,R756&gt;=1,R756&lt;=31),DATE(P756,Q756,R756),0),0)</ns0:f>
        <ns0:v>0</ns0:v>
      </ns0:c>
      <ns0:c r="T756" s="0">
        <ns0:f>IFERROR(IF(ISNUMBER(Bookings!D756),IF(AND(Bookings!D756=INT(Bookings!D756),Bookings!D756&gt;=DATE(2000,1,1),Bookings!D756&lt;=DATE(2100,12,31)),Bookings!D756,0),IF(AND(K756&lt;&gt;"",LEN("x"&amp;L756)-LEN(SUBSTITUTE("x"&amp;L756,".",""))=2,OR(1&gt;LEN(L756),MID(L756,1,1)=".",ISNUMBER(FIND("x"&amp;MID(L756,1,1),"x0x1x2x3x4x5x6x7x8x9"))),OR(2&gt;LEN(L756),MID(L756,2,1)=".",ISNUMBER(FIND("x"&amp;MID(L756,2,1),"x0x1x2x3x4x5x6x7x8x9"))),OR(3&gt;LEN(L756),MID(L756,3,1)=".",ISNUMBER(FIND("x"&amp;MID(L756,3,1),"x0x1x2x3x4x5x6x7x8x9"))),OR(4&gt;LEN(L756),MID(L756,4,1)=".",ISNUMBER(FIND("x"&amp;MID(L756,4,1),"x0x1x2x3x4x5x6x7x8x9"))),OR(5&gt;LEN(L756),MID(L756,5,1)=".",ISNUMBER(FIND("x"&amp;MID(L756,5,1),"x0x1x2x3x4x5x6x7x8x9"))),OR(6&gt;LEN(L756),MID(L756,6,1)=".",ISNUMBER(FIND("x"&amp;MID(L756,6,1),"x0x1x2x3x4x5x6x7x8x9"))),OR(7&gt;LEN(L756),MID(L756,7,1)=".",ISNUMBER(FIND("x"&amp;MID(L756,7,1),"x0x1x2x3x4x5x6x7x8x9"))),OR(8&gt;LEN(L756),MID(L756,8,1)=".",ISNUMBER(FIND("x"&amp;MID(L756,8,1),"x0x1x2x3x4x5x6x7x8x9"))),OR(9&gt;LEN(L756),MID(L756,9,1)=".",ISNUMBER(FIND("x"&amp;MID(L756,9,1),"x0x1x2x3x4x5x6x7x8x9"))),OR(10&gt;LEN(L756),MID(L756,10,1)=".",ISNUMBER(FIND("x"&amp;MID(L756,10,1),"x0x1x2x3x4x5x6x7x8x9"))),OR(AND(FIND(".",L756)=5,LEN(L756)-FIND(".",L756,FIND(".",L756)+1)&gt;=1,LEN(L756)-FIND(".",L756,FIND(".",L756)+1)&lt;=2),AND(LEN(L756)-FIND(".",L756,FIND(".",L756)+1)=4,FIND(".",L756)&gt;=2,FIND(".",L756)&lt;=3)),FIND(".",L756,FIND(".",L756)+1)-FIND(".",L756)&gt;=2,FIND(".",L756,FIND(".",L756)+1)-FIND(".",L756)&lt;=3,P756&gt;=2000,P756&lt;=2100,YEAR(S756)=P756,MONTH(S756)=Q756,DAY(S756)=R756),S756,0)),0)</ns0:f>
        <ns0:v>0</ns0:v>
      </ns0:c>
      <ns0:c r="U756" s="0" t="str">
        <ns0:f>IF(Bookings!C756="","Full day",Bookings!C756)</ns0:f>
        <ns0:v>Full day</ns0:v>
      </ns0:c>
      <ns0:c r="V756" s="0" t="str">
        <ns0:f>IF(Bookings!E756="","Full day",Bookings!E756)</ns0:f>
        <ns0:v>Full day</ns0:v>
      </ns0:c>
      <ns0:c r="W756" s="0">
        <ns0:f>IF(J756=0,0,J756+IF(U756="PM",1,0))</ns0:f>
        <ns0:v>0</ns0:v>
      </ns0:c>
      <ns0:c r="X756" s="0">
        <ns0:f>IF(T756=0,0,T756-IF(V756="PM",1,0))</ns0:f>
        <ns0:v>0</ns0:v>
      </ns0:c>
      <ns0:c r="Y756" s="0">
        <ns0:f>IF(J756=0,0,J756+IF(U756="AM",1,0))</ns0:f>
        <ns0:v>0</ns0:v>
      </ns0:c>
      <ns0:c r="Z756" s="0">
        <ns0:f>IF(T756=0,0,T756-IF(V756="AM",1,0))</ns0:f>
        <ns0:v>0</ns0:v>
      </ns0:c>
      <ns0:c r="AA756" s="0">
        <ns0:f>IFERROR(IF(AND(J756&gt;0,'_Engine'!C756&gt;0,MID('_Engine'!W756,WEEKDAY(J756,2),1)="W",COUNTIF(Settings!$F$18:$F$67,J756)=0),1,0),0)</ns0:f>
        <ns0:v>0</ns0:v>
      </ns0:c>
      <ns0:c r="AB756" s="0">
        <ns0:f>IFERROR(IF(AND(T756&gt;0,'_Engine'!C756&gt;0,MID('_Engine'!W756,WEEKDAY(T756,2),1)="W",COUNTIF(Settings!$F$18:$F$67,T756)=0),1,0),0)</ns0:f>
        <ns0:v>0</ns0:v>
      </ns0:c>
      <ns0:c r="AC756" s="0">
        <ns0:f>IF(AND(J756&gt;0,T756&gt;0,W756&lt;=X756),1,0)</ns0:f>
        <ns0:v>0</ns0:v>
      </ns0:c>
      <ns0:c r="AD756" s="0">
        <ns0:f>IF(AND(J756&gt;0,T756&gt;0,Y756&lt;=Z756),1,0)</ns0:f>
        <ns0:v>0</ns0:v>
      </ns0:c>
    </ns0:row>
    <ns0:row r="757">
      <ns0:c r="A757" s="0">
        <ns0:f>IFERROR(IF(ISNUMBER(Bookings!B757),"",TRIM(Bookings!B757&amp;"")),"")</ns0:f>
      </ns0:c>
      <ns0:c r="B757" s="0">
        <ns0:f>IFERROR(SUBSTITUTE(SUBSTITUTE(A757,"/","."),"-","."),"")</ns0:f>
      </ns0:c>
      <ns0:c r="C757" s="0">
        <ns0:f>IFERROR(LEFT(B757,FIND(".",B757)-1),"")</ns0:f>
      </ns0:c>
      <ns0:c r="D757" s="0">
        <ns0:f>IFERROR(MID(B757,FIND(".",B757)+1,FIND(".",B757,FIND(".",B757)+1)-FIND(".",B757)-1),"")</ns0:f>
      </ns0:c>
      <ns0:c r="E757" s="0">
        <ns0:f>IFERROR(MID(B757,FIND(".",B757,FIND(".",B757)+1)+1,99),"")</ns0:f>
        <ns0:v>99</ns0:v>
      </ns0:c>
      <ns0:c r="F757" s="0">
        <ns0:f>IFERROR(IF(FIND(".",B757)=5,--C757,--E757),0)</ns0:f>
        <ns0:v>0</ns0:v>
      </ns0:c>
      <ns0:c r="G757" s="0">
        <ns0:f>IFERROR(--D757,0)</ns0:f>
        <ns0:v>0</ns0:v>
      </ns0:c>
      <ns0:c r="H757" s="0">
        <ns0:f>IFERROR(IF(FIND(".",B757)=5,--E757,--C757),0)</ns0:f>
        <ns0:v>0</ns0:v>
      </ns0:c>
      <ns0:c r="I757" s="0">
        <ns0:f>IFERROR(IF(AND(F757&gt;=2000,F757&lt;=2100,G757&gt;=1,G757&lt;=12,H757&gt;=1,H757&lt;=31),DATE(F757,G757,H757),0),0)</ns0:f>
        <ns0:v>0</ns0:v>
      </ns0:c>
      <ns0:c r="J757" s="0">
        <ns0:f>IFERROR(IF(ISNUMBER(Bookings!B757),IF(AND(Bookings!B757=INT(Bookings!B757),Bookings!B757&gt;=DATE(2000,1,1),Bookings!B757&lt;=DATE(2100,12,31)),Bookings!B757,0),IF(AND(A757&lt;&gt;"",LEN("x"&amp;B757)-LEN(SUBSTITUTE("x"&amp;B757,".",""))=2,OR(1&gt;LEN(B757),MID(B757,1,1)=".",ISNUMBER(FIND("x"&amp;MID(B757,1,1),"x0x1x2x3x4x5x6x7x8x9"))),OR(2&gt;LEN(B757),MID(B757,2,1)=".",ISNUMBER(FIND("x"&amp;MID(B757,2,1),"x0x1x2x3x4x5x6x7x8x9"))),OR(3&gt;LEN(B757),MID(B757,3,1)=".",ISNUMBER(FIND("x"&amp;MID(B757,3,1),"x0x1x2x3x4x5x6x7x8x9"))),OR(4&gt;LEN(B757),MID(B757,4,1)=".",ISNUMBER(FIND("x"&amp;MID(B757,4,1),"x0x1x2x3x4x5x6x7x8x9"))),OR(5&gt;LEN(B757),MID(B757,5,1)=".",ISNUMBER(FIND("x"&amp;MID(B757,5,1),"x0x1x2x3x4x5x6x7x8x9"))),OR(6&gt;LEN(B757),MID(B757,6,1)=".",ISNUMBER(FIND("x"&amp;MID(B757,6,1),"x0x1x2x3x4x5x6x7x8x9"))),OR(7&gt;LEN(B757),MID(B757,7,1)=".",ISNUMBER(FIND("x"&amp;MID(B757,7,1),"x0x1x2x3x4x5x6x7x8x9"))),OR(8&gt;LEN(B757),MID(B757,8,1)=".",ISNUMBER(FIND("x"&amp;MID(B757,8,1),"x0x1x2x3x4x5x6x7x8x9"))),OR(9&gt;LEN(B757),MID(B757,9,1)=".",ISNUMBER(FIND("x"&amp;MID(B757,9,1),"x0x1x2x3x4x5x6x7x8x9"))),OR(10&gt;LEN(B757),MID(B757,10,1)=".",ISNUMBER(FIND("x"&amp;MID(B757,10,1),"x0x1x2x3x4x5x6x7x8x9"))),OR(AND(FIND(".",B757)=5,LEN(B757)-FIND(".",B757,FIND(".",B757)+1)&gt;=1,LEN(B757)-FIND(".",B757,FIND(".",B757)+1)&lt;=2),AND(LEN(B757)-FIND(".",B757,FIND(".",B757)+1)=4,FIND(".",B757)&gt;=2,FIND(".",B757)&lt;=3)),FIND(".",B757,FIND(".",B757)+1)-FIND(".",B757)&gt;=2,FIND(".",B757,FIND(".",B757)+1)-FIND(".",B757)&lt;=3,F757&gt;=2000,F757&lt;=2100,YEAR(I757)=F757,MONTH(I757)=G757,DAY(I757)=H757),I757,0)),0)</ns0:f>
        <ns0:v>0</ns0:v>
      </ns0:c>
      <ns0:c r="K757" s="0">
        <ns0:f>IFERROR(IF(ISNUMBER(Bookings!D757),"",TRIM(Bookings!D757&amp;"")),"")</ns0:f>
      </ns0:c>
      <ns0:c r="L757" s="0">
        <ns0:f>IFERROR(SUBSTITUTE(SUBSTITUTE(K757,"/","."),"-","."),"")</ns0:f>
      </ns0:c>
      <ns0:c r="M757" s="0">
        <ns0:f>IFERROR(LEFT(L757,FIND(".",L757)-1),"")</ns0:f>
      </ns0:c>
      <ns0:c r="N757" s="0">
        <ns0:f>IFERROR(MID(L757,FIND(".",L757)+1,FIND(".",L757,FIND(".",L757)+1)-FIND(".",L757)-1),"")</ns0:f>
      </ns0:c>
      <ns0:c r="O757" s="0">
        <ns0:f>IFERROR(MID(L757,FIND(".",L757,FIND(".",L757)+1)+1,99),"")</ns0:f>
        <ns0:v>99</ns0:v>
      </ns0:c>
      <ns0:c r="P757" s="0">
        <ns0:f>IFERROR(IF(FIND(".",L757)=5,--M757,--O757),0)</ns0:f>
        <ns0:v>0</ns0:v>
      </ns0:c>
      <ns0:c r="Q757" s="0">
        <ns0:f>IFERROR(--N757,0)</ns0:f>
        <ns0:v>0</ns0:v>
      </ns0:c>
      <ns0:c r="R757" s="0">
        <ns0:f>IFERROR(IF(FIND(".",L757)=5,--O757,--M757),0)</ns0:f>
        <ns0:v>0</ns0:v>
      </ns0:c>
      <ns0:c r="S757" s="0">
        <ns0:f>IFERROR(IF(AND(P757&gt;=2000,P757&lt;=2100,Q757&gt;=1,Q757&lt;=12,R757&gt;=1,R757&lt;=31),DATE(P757,Q757,R757),0),0)</ns0:f>
        <ns0:v>0</ns0:v>
      </ns0:c>
      <ns0:c r="T757" s="0">
        <ns0:f>IFERROR(IF(ISNUMBER(Bookings!D757),IF(AND(Bookings!D757=INT(Bookings!D757),Bookings!D757&gt;=DATE(2000,1,1),Bookings!D757&lt;=DATE(2100,12,31)),Bookings!D757,0),IF(AND(K757&lt;&gt;"",LEN("x"&amp;L757)-LEN(SUBSTITUTE("x"&amp;L757,".",""))=2,OR(1&gt;LEN(L757),MID(L757,1,1)=".",ISNUMBER(FIND("x"&amp;MID(L757,1,1),"x0x1x2x3x4x5x6x7x8x9"))),OR(2&gt;LEN(L757),MID(L757,2,1)=".",ISNUMBER(FIND("x"&amp;MID(L757,2,1),"x0x1x2x3x4x5x6x7x8x9"))),OR(3&gt;LEN(L757),MID(L757,3,1)=".",ISNUMBER(FIND("x"&amp;MID(L757,3,1),"x0x1x2x3x4x5x6x7x8x9"))),OR(4&gt;LEN(L757),MID(L757,4,1)=".",ISNUMBER(FIND("x"&amp;MID(L757,4,1),"x0x1x2x3x4x5x6x7x8x9"))),OR(5&gt;LEN(L757),MID(L757,5,1)=".",ISNUMBER(FIND("x"&amp;MID(L757,5,1),"x0x1x2x3x4x5x6x7x8x9"))),OR(6&gt;LEN(L757),MID(L757,6,1)=".",ISNUMBER(FIND("x"&amp;MID(L757,6,1),"x0x1x2x3x4x5x6x7x8x9"))),OR(7&gt;LEN(L757),MID(L757,7,1)=".",ISNUMBER(FIND("x"&amp;MID(L757,7,1),"x0x1x2x3x4x5x6x7x8x9"))),OR(8&gt;LEN(L757),MID(L757,8,1)=".",ISNUMBER(FIND("x"&amp;MID(L757,8,1),"x0x1x2x3x4x5x6x7x8x9"))),OR(9&gt;LEN(L757),MID(L757,9,1)=".",ISNUMBER(FIND("x"&amp;MID(L757,9,1),"x0x1x2x3x4x5x6x7x8x9"))),OR(10&gt;LEN(L757),MID(L757,10,1)=".",ISNUMBER(FIND("x"&amp;MID(L757,10,1),"x0x1x2x3x4x5x6x7x8x9"))),OR(AND(FIND(".",L757)=5,LEN(L757)-FIND(".",L757,FIND(".",L757)+1)&gt;=1,LEN(L757)-FIND(".",L757,FIND(".",L757)+1)&lt;=2),AND(LEN(L757)-FIND(".",L757,FIND(".",L757)+1)=4,FIND(".",L757)&gt;=2,FIND(".",L757)&lt;=3)),FIND(".",L757,FIND(".",L757)+1)-FIND(".",L757)&gt;=2,FIND(".",L757,FIND(".",L757)+1)-FIND(".",L757)&lt;=3,P757&gt;=2000,P757&lt;=2100,YEAR(S757)=P757,MONTH(S757)=Q757,DAY(S757)=R757),S757,0)),0)</ns0:f>
        <ns0:v>0</ns0:v>
      </ns0:c>
      <ns0:c r="U757" s="0" t="str">
        <ns0:f>IF(Bookings!C757="","Full day",Bookings!C757)</ns0:f>
        <ns0:v>Full day</ns0:v>
      </ns0:c>
      <ns0:c r="V757" s="0" t="str">
        <ns0:f>IF(Bookings!E757="","Full day",Bookings!E757)</ns0:f>
        <ns0:v>Full day</ns0:v>
      </ns0:c>
      <ns0:c r="W757" s="0">
        <ns0:f>IF(J757=0,0,J757+IF(U757="PM",1,0))</ns0:f>
        <ns0:v>0</ns0:v>
      </ns0:c>
      <ns0:c r="X757" s="0">
        <ns0:f>IF(T757=0,0,T757-IF(V757="PM",1,0))</ns0:f>
        <ns0:v>0</ns0:v>
      </ns0:c>
      <ns0:c r="Y757" s="0">
        <ns0:f>IF(J757=0,0,J757+IF(U757="AM",1,0))</ns0:f>
        <ns0:v>0</ns0:v>
      </ns0:c>
      <ns0:c r="Z757" s="0">
        <ns0:f>IF(T757=0,0,T757-IF(V757="AM",1,0))</ns0:f>
        <ns0:v>0</ns0:v>
      </ns0:c>
      <ns0:c r="AA757" s="0">
        <ns0:f>IFERROR(IF(AND(J757&gt;0,'_Engine'!C757&gt;0,MID('_Engine'!W757,WEEKDAY(J757,2),1)="W",COUNTIF(Settings!$F$18:$F$67,J757)=0),1,0),0)</ns0:f>
        <ns0:v>0</ns0:v>
      </ns0:c>
      <ns0:c r="AB757" s="0">
        <ns0:f>IFERROR(IF(AND(T757&gt;0,'_Engine'!C757&gt;0,MID('_Engine'!W757,WEEKDAY(T757,2),1)="W",COUNTIF(Settings!$F$18:$F$67,T757)=0),1,0),0)</ns0:f>
        <ns0:v>0</ns0:v>
      </ns0:c>
      <ns0:c r="AC757" s="0">
        <ns0:f>IF(AND(J757&gt;0,T757&gt;0,W757&lt;=X757),1,0)</ns0:f>
        <ns0:v>0</ns0:v>
      </ns0:c>
      <ns0:c r="AD757" s="0">
        <ns0:f>IF(AND(J757&gt;0,T757&gt;0,Y757&lt;=Z757),1,0)</ns0:f>
        <ns0:v>0</ns0:v>
      </ns0:c>
    </ns0:row>
    <ns0:row r="758">
      <ns0:c r="A758" s="0">
        <ns0:f>IFERROR(IF(ISNUMBER(Bookings!B758),"",TRIM(Bookings!B758&amp;"")),"")</ns0:f>
      </ns0:c>
      <ns0:c r="B758" s="0">
        <ns0:f>IFERROR(SUBSTITUTE(SUBSTITUTE(A758,"/","."),"-","."),"")</ns0:f>
      </ns0:c>
      <ns0:c r="C758" s="0">
        <ns0:f>IFERROR(LEFT(B758,FIND(".",B758)-1),"")</ns0:f>
      </ns0:c>
      <ns0:c r="D758" s="0">
        <ns0:f>IFERROR(MID(B758,FIND(".",B758)+1,FIND(".",B758,FIND(".",B758)+1)-FIND(".",B758)-1),"")</ns0:f>
      </ns0:c>
      <ns0:c r="E758" s="0">
        <ns0:f>IFERROR(MID(B758,FIND(".",B758,FIND(".",B758)+1)+1,99),"")</ns0:f>
        <ns0:v>99</ns0:v>
      </ns0:c>
      <ns0:c r="F758" s="0">
        <ns0:f>IFERROR(IF(FIND(".",B758)=5,--C758,--E758),0)</ns0:f>
        <ns0:v>0</ns0:v>
      </ns0:c>
      <ns0:c r="G758" s="0">
        <ns0:f>IFERROR(--D758,0)</ns0:f>
        <ns0:v>0</ns0:v>
      </ns0:c>
      <ns0:c r="H758" s="0">
        <ns0:f>IFERROR(IF(FIND(".",B758)=5,--E758,--C758),0)</ns0:f>
        <ns0:v>0</ns0:v>
      </ns0:c>
      <ns0:c r="I758" s="0">
        <ns0:f>IFERROR(IF(AND(F758&gt;=2000,F758&lt;=2100,G758&gt;=1,G758&lt;=12,H758&gt;=1,H758&lt;=31),DATE(F758,G758,H758),0),0)</ns0:f>
        <ns0:v>0</ns0:v>
      </ns0:c>
      <ns0:c r="J758" s="0">
        <ns0:f>IFERROR(IF(ISNUMBER(Bookings!B758),IF(AND(Bookings!B758=INT(Bookings!B758),Bookings!B758&gt;=DATE(2000,1,1),Bookings!B758&lt;=DATE(2100,12,31)),Bookings!B758,0),IF(AND(A758&lt;&gt;"",LEN("x"&amp;B758)-LEN(SUBSTITUTE("x"&amp;B758,".",""))=2,OR(1&gt;LEN(B758),MID(B758,1,1)=".",ISNUMBER(FIND("x"&amp;MID(B758,1,1),"x0x1x2x3x4x5x6x7x8x9"))),OR(2&gt;LEN(B758),MID(B758,2,1)=".",ISNUMBER(FIND("x"&amp;MID(B758,2,1),"x0x1x2x3x4x5x6x7x8x9"))),OR(3&gt;LEN(B758),MID(B758,3,1)=".",ISNUMBER(FIND("x"&amp;MID(B758,3,1),"x0x1x2x3x4x5x6x7x8x9"))),OR(4&gt;LEN(B758),MID(B758,4,1)=".",ISNUMBER(FIND("x"&amp;MID(B758,4,1),"x0x1x2x3x4x5x6x7x8x9"))),OR(5&gt;LEN(B758),MID(B758,5,1)=".",ISNUMBER(FIND("x"&amp;MID(B758,5,1),"x0x1x2x3x4x5x6x7x8x9"))),OR(6&gt;LEN(B758),MID(B758,6,1)=".",ISNUMBER(FIND("x"&amp;MID(B758,6,1),"x0x1x2x3x4x5x6x7x8x9"))),OR(7&gt;LEN(B758),MID(B758,7,1)=".",ISNUMBER(FIND("x"&amp;MID(B758,7,1),"x0x1x2x3x4x5x6x7x8x9"))),OR(8&gt;LEN(B758),MID(B758,8,1)=".",ISNUMBER(FIND("x"&amp;MID(B758,8,1),"x0x1x2x3x4x5x6x7x8x9"))),OR(9&gt;LEN(B758),MID(B758,9,1)=".",ISNUMBER(FIND("x"&amp;MID(B758,9,1),"x0x1x2x3x4x5x6x7x8x9"))),OR(10&gt;LEN(B758),MID(B758,10,1)=".",ISNUMBER(FIND("x"&amp;MID(B758,10,1),"x0x1x2x3x4x5x6x7x8x9"))),OR(AND(FIND(".",B758)=5,LEN(B758)-FIND(".",B758,FIND(".",B758)+1)&gt;=1,LEN(B758)-FIND(".",B758,FIND(".",B758)+1)&lt;=2),AND(LEN(B758)-FIND(".",B758,FIND(".",B758)+1)=4,FIND(".",B758)&gt;=2,FIND(".",B758)&lt;=3)),FIND(".",B758,FIND(".",B758)+1)-FIND(".",B758)&gt;=2,FIND(".",B758,FIND(".",B758)+1)-FIND(".",B758)&lt;=3,F758&gt;=2000,F758&lt;=2100,YEAR(I758)=F758,MONTH(I758)=G758,DAY(I758)=H758),I758,0)),0)</ns0:f>
        <ns0:v>0</ns0:v>
      </ns0:c>
      <ns0:c r="K758" s="0">
        <ns0:f>IFERROR(IF(ISNUMBER(Bookings!D758),"",TRIM(Bookings!D758&amp;"")),"")</ns0:f>
      </ns0:c>
      <ns0:c r="L758" s="0">
        <ns0:f>IFERROR(SUBSTITUTE(SUBSTITUTE(K758,"/","."),"-","."),"")</ns0:f>
      </ns0:c>
      <ns0:c r="M758" s="0">
        <ns0:f>IFERROR(LEFT(L758,FIND(".",L758)-1),"")</ns0:f>
      </ns0:c>
      <ns0:c r="N758" s="0">
        <ns0:f>IFERROR(MID(L758,FIND(".",L758)+1,FIND(".",L758,FIND(".",L758)+1)-FIND(".",L758)-1),"")</ns0:f>
      </ns0:c>
      <ns0:c r="O758" s="0">
        <ns0:f>IFERROR(MID(L758,FIND(".",L758,FIND(".",L758)+1)+1,99),"")</ns0:f>
        <ns0:v>99</ns0:v>
      </ns0:c>
      <ns0:c r="P758" s="0">
        <ns0:f>IFERROR(IF(FIND(".",L758)=5,--M758,--O758),0)</ns0:f>
        <ns0:v>0</ns0:v>
      </ns0:c>
      <ns0:c r="Q758" s="0">
        <ns0:f>IFERROR(--N758,0)</ns0:f>
        <ns0:v>0</ns0:v>
      </ns0:c>
      <ns0:c r="R758" s="0">
        <ns0:f>IFERROR(IF(FIND(".",L758)=5,--O758,--M758),0)</ns0:f>
        <ns0:v>0</ns0:v>
      </ns0:c>
      <ns0:c r="S758" s="0">
        <ns0:f>IFERROR(IF(AND(P758&gt;=2000,P758&lt;=2100,Q758&gt;=1,Q758&lt;=12,R758&gt;=1,R758&lt;=31),DATE(P758,Q758,R758),0),0)</ns0:f>
        <ns0:v>0</ns0:v>
      </ns0:c>
      <ns0:c r="T758" s="0">
        <ns0:f>IFERROR(IF(ISNUMBER(Bookings!D758),IF(AND(Bookings!D758=INT(Bookings!D758),Bookings!D758&gt;=DATE(2000,1,1),Bookings!D758&lt;=DATE(2100,12,31)),Bookings!D758,0),IF(AND(K758&lt;&gt;"",LEN("x"&amp;L758)-LEN(SUBSTITUTE("x"&amp;L758,".",""))=2,OR(1&gt;LEN(L758),MID(L758,1,1)=".",ISNUMBER(FIND("x"&amp;MID(L758,1,1),"x0x1x2x3x4x5x6x7x8x9"))),OR(2&gt;LEN(L758),MID(L758,2,1)=".",ISNUMBER(FIND("x"&amp;MID(L758,2,1),"x0x1x2x3x4x5x6x7x8x9"))),OR(3&gt;LEN(L758),MID(L758,3,1)=".",ISNUMBER(FIND("x"&amp;MID(L758,3,1),"x0x1x2x3x4x5x6x7x8x9"))),OR(4&gt;LEN(L758),MID(L758,4,1)=".",ISNUMBER(FIND("x"&amp;MID(L758,4,1),"x0x1x2x3x4x5x6x7x8x9"))),OR(5&gt;LEN(L758),MID(L758,5,1)=".",ISNUMBER(FIND("x"&amp;MID(L758,5,1),"x0x1x2x3x4x5x6x7x8x9"))),OR(6&gt;LEN(L758),MID(L758,6,1)=".",ISNUMBER(FIND("x"&amp;MID(L758,6,1),"x0x1x2x3x4x5x6x7x8x9"))),OR(7&gt;LEN(L758),MID(L758,7,1)=".",ISNUMBER(FIND("x"&amp;MID(L758,7,1),"x0x1x2x3x4x5x6x7x8x9"))),OR(8&gt;LEN(L758),MID(L758,8,1)=".",ISNUMBER(FIND("x"&amp;MID(L758,8,1),"x0x1x2x3x4x5x6x7x8x9"))),OR(9&gt;LEN(L758),MID(L758,9,1)=".",ISNUMBER(FIND("x"&amp;MID(L758,9,1),"x0x1x2x3x4x5x6x7x8x9"))),OR(10&gt;LEN(L758),MID(L758,10,1)=".",ISNUMBER(FIND("x"&amp;MID(L758,10,1),"x0x1x2x3x4x5x6x7x8x9"))),OR(AND(FIND(".",L758)=5,LEN(L758)-FIND(".",L758,FIND(".",L758)+1)&gt;=1,LEN(L758)-FIND(".",L758,FIND(".",L758)+1)&lt;=2),AND(LEN(L758)-FIND(".",L758,FIND(".",L758)+1)=4,FIND(".",L758)&gt;=2,FIND(".",L758)&lt;=3)),FIND(".",L758,FIND(".",L758)+1)-FIND(".",L758)&gt;=2,FIND(".",L758,FIND(".",L758)+1)-FIND(".",L758)&lt;=3,P758&gt;=2000,P758&lt;=2100,YEAR(S758)=P758,MONTH(S758)=Q758,DAY(S758)=R758),S758,0)),0)</ns0:f>
        <ns0:v>0</ns0:v>
      </ns0:c>
      <ns0:c r="U758" s="0" t="str">
        <ns0:f>IF(Bookings!C758="","Full day",Bookings!C758)</ns0:f>
        <ns0:v>Full day</ns0:v>
      </ns0:c>
      <ns0:c r="V758" s="0" t="str">
        <ns0:f>IF(Bookings!E758="","Full day",Bookings!E758)</ns0:f>
        <ns0:v>Full day</ns0:v>
      </ns0:c>
      <ns0:c r="W758" s="0">
        <ns0:f>IF(J758=0,0,J758+IF(U758="PM",1,0))</ns0:f>
        <ns0:v>0</ns0:v>
      </ns0:c>
      <ns0:c r="X758" s="0">
        <ns0:f>IF(T758=0,0,T758-IF(V758="PM",1,0))</ns0:f>
        <ns0:v>0</ns0:v>
      </ns0:c>
      <ns0:c r="Y758" s="0">
        <ns0:f>IF(J758=0,0,J758+IF(U758="AM",1,0))</ns0:f>
        <ns0:v>0</ns0:v>
      </ns0:c>
      <ns0:c r="Z758" s="0">
        <ns0:f>IF(T758=0,0,T758-IF(V758="AM",1,0))</ns0:f>
        <ns0:v>0</ns0:v>
      </ns0:c>
      <ns0:c r="AA758" s="0">
        <ns0:f>IFERROR(IF(AND(J758&gt;0,'_Engine'!C758&gt;0,MID('_Engine'!W758,WEEKDAY(J758,2),1)="W",COUNTIF(Settings!$F$18:$F$67,J758)=0),1,0),0)</ns0:f>
        <ns0:v>0</ns0:v>
      </ns0:c>
      <ns0:c r="AB758" s="0">
        <ns0:f>IFERROR(IF(AND(T758&gt;0,'_Engine'!C758&gt;0,MID('_Engine'!W758,WEEKDAY(T758,2),1)="W",COUNTIF(Settings!$F$18:$F$67,T758)=0),1,0),0)</ns0:f>
        <ns0:v>0</ns0:v>
      </ns0:c>
      <ns0:c r="AC758" s="0">
        <ns0:f>IF(AND(J758&gt;0,T758&gt;0,W758&lt;=X758),1,0)</ns0:f>
        <ns0:v>0</ns0:v>
      </ns0:c>
      <ns0:c r="AD758" s="0">
        <ns0:f>IF(AND(J758&gt;0,T758&gt;0,Y758&lt;=Z758),1,0)</ns0:f>
        <ns0:v>0</ns0:v>
      </ns0:c>
    </ns0:row>
    <ns0:row r="759">
      <ns0:c r="A759" s="0">
        <ns0:f>IFERROR(IF(ISNUMBER(Bookings!B759),"",TRIM(Bookings!B759&amp;"")),"")</ns0:f>
      </ns0:c>
      <ns0:c r="B759" s="0">
        <ns0:f>IFERROR(SUBSTITUTE(SUBSTITUTE(A759,"/","."),"-","."),"")</ns0:f>
      </ns0:c>
      <ns0:c r="C759" s="0">
        <ns0:f>IFERROR(LEFT(B759,FIND(".",B759)-1),"")</ns0:f>
      </ns0:c>
      <ns0:c r="D759" s="0">
        <ns0:f>IFERROR(MID(B759,FIND(".",B759)+1,FIND(".",B759,FIND(".",B759)+1)-FIND(".",B759)-1),"")</ns0:f>
      </ns0:c>
      <ns0:c r="E759" s="0">
        <ns0:f>IFERROR(MID(B759,FIND(".",B759,FIND(".",B759)+1)+1,99),"")</ns0:f>
        <ns0:v>99</ns0:v>
      </ns0:c>
      <ns0:c r="F759" s="0">
        <ns0:f>IFERROR(IF(FIND(".",B759)=5,--C759,--E759),0)</ns0:f>
        <ns0:v>0</ns0:v>
      </ns0:c>
      <ns0:c r="G759" s="0">
        <ns0:f>IFERROR(--D759,0)</ns0:f>
        <ns0:v>0</ns0:v>
      </ns0:c>
      <ns0:c r="H759" s="0">
        <ns0:f>IFERROR(IF(FIND(".",B759)=5,--E759,--C759),0)</ns0:f>
        <ns0:v>0</ns0:v>
      </ns0:c>
      <ns0:c r="I759" s="0">
        <ns0:f>IFERROR(IF(AND(F759&gt;=2000,F759&lt;=2100,G759&gt;=1,G759&lt;=12,H759&gt;=1,H759&lt;=31),DATE(F759,G759,H759),0),0)</ns0:f>
        <ns0:v>0</ns0:v>
      </ns0:c>
      <ns0:c r="J759" s="0">
        <ns0:f>IFERROR(IF(ISNUMBER(Bookings!B759),IF(AND(Bookings!B759=INT(Bookings!B759),Bookings!B759&gt;=DATE(2000,1,1),Bookings!B759&lt;=DATE(2100,12,31)),Bookings!B759,0),IF(AND(A759&lt;&gt;"",LEN("x"&amp;B759)-LEN(SUBSTITUTE("x"&amp;B759,".",""))=2,OR(1&gt;LEN(B759),MID(B759,1,1)=".",ISNUMBER(FIND("x"&amp;MID(B759,1,1),"x0x1x2x3x4x5x6x7x8x9"))),OR(2&gt;LEN(B759),MID(B759,2,1)=".",ISNUMBER(FIND("x"&amp;MID(B759,2,1),"x0x1x2x3x4x5x6x7x8x9"))),OR(3&gt;LEN(B759),MID(B759,3,1)=".",ISNUMBER(FIND("x"&amp;MID(B759,3,1),"x0x1x2x3x4x5x6x7x8x9"))),OR(4&gt;LEN(B759),MID(B759,4,1)=".",ISNUMBER(FIND("x"&amp;MID(B759,4,1),"x0x1x2x3x4x5x6x7x8x9"))),OR(5&gt;LEN(B759),MID(B759,5,1)=".",ISNUMBER(FIND("x"&amp;MID(B759,5,1),"x0x1x2x3x4x5x6x7x8x9"))),OR(6&gt;LEN(B759),MID(B759,6,1)=".",ISNUMBER(FIND("x"&amp;MID(B759,6,1),"x0x1x2x3x4x5x6x7x8x9"))),OR(7&gt;LEN(B759),MID(B759,7,1)=".",ISNUMBER(FIND("x"&amp;MID(B759,7,1),"x0x1x2x3x4x5x6x7x8x9"))),OR(8&gt;LEN(B759),MID(B759,8,1)=".",ISNUMBER(FIND("x"&amp;MID(B759,8,1),"x0x1x2x3x4x5x6x7x8x9"))),OR(9&gt;LEN(B759),MID(B759,9,1)=".",ISNUMBER(FIND("x"&amp;MID(B759,9,1),"x0x1x2x3x4x5x6x7x8x9"))),OR(10&gt;LEN(B759),MID(B759,10,1)=".",ISNUMBER(FIND("x"&amp;MID(B759,10,1),"x0x1x2x3x4x5x6x7x8x9"))),OR(AND(FIND(".",B759)=5,LEN(B759)-FIND(".",B759,FIND(".",B759)+1)&gt;=1,LEN(B759)-FIND(".",B759,FIND(".",B759)+1)&lt;=2),AND(LEN(B759)-FIND(".",B759,FIND(".",B759)+1)=4,FIND(".",B759)&gt;=2,FIND(".",B759)&lt;=3)),FIND(".",B759,FIND(".",B759)+1)-FIND(".",B759)&gt;=2,FIND(".",B759,FIND(".",B759)+1)-FIND(".",B759)&lt;=3,F759&gt;=2000,F759&lt;=2100,YEAR(I759)=F759,MONTH(I759)=G759,DAY(I759)=H759),I759,0)),0)</ns0:f>
        <ns0:v>0</ns0:v>
      </ns0:c>
      <ns0:c r="K759" s="0">
        <ns0:f>IFERROR(IF(ISNUMBER(Bookings!D759),"",TRIM(Bookings!D759&amp;"")),"")</ns0:f>
      </ns0:c>
      <ns0:c r="L759" s="0">
        <ns0:f>IFERROR(SUBSTITUTE(SUBSTITUTE(K759,"/","."),"-","."),"")</ns0:f>
      </ns0:c>
      <ns0:c r="M759" s="0">
        <ns0:f>IFERROR(LEFT(L759,FIND(".",L759)-1),"")</ns0:f>
      </ns0:c>
      <ns0:c r="N759" s="0">
        <ns0:f>IFERROR(MID(L759,FIND(".",L759)+1,FIND(".",L759,FIND(".",L759)+1)-FIND(".",L759)-1),"")</ns0:f>
      </ns0:c>
      <ns0:c r="O759" s="0">
        <ns0:f>IFERROR(MID(L759,FIND(".",L759,FIND(".",L759)+1)+1,99),"")</ns0:f>
        <ns0:v>99</ns0:v>
      </ns0:c>
      <ns0:c r="P759" s="0">
        <ns0:f>IFERROR(IF(FIND(".",L759)=5,--M759,--O759),0)</ns0:f>
        <ns0:v>0</ns0:v>
      </ns0:c>
      <ns0:c r="Q759" s="0">
        <ns0:f>IFERROR(--N759,0)</ns0:f>
        <ns0:v>0</ns0:v>
      </ns0:c>
      <ns0:c r="R759" s="0">
        <ns0:f>IFERROR(IF(FIND(".",L759)=5,--O759,--M759),0)</ns0:f>
        <ns0:v>0</ns0:v>
      </ns0:c>
      <ns0:c r="S759" s="0">
        <ns0:f>IFERROR(IF(AND(P759&gt;=2000,P759&lt;=2100,Q759&gt;=1,Q759&lt;=12,R759&gt;=1,R759&lt;=31),DATE(P759,Q759,R759),0),0)</ns0:f>
        <ns0:v>0</ns0:v>
      </ns0:c>
      <ns0:c r="T759" s="0">
        <ns0:f>IFERROR(IF(ISNUMBER(Bookings!D759),IF(AND(Bookings!D759=INT(Bookings!D759),Bookings!D759&gt;=DATE(2000,1,1),Bookings!D759&lt;=DATE(2100,12,31)),Bookings!D759,0),IF(AND(K759&lt;&gt;"",LEN("x"&amp;L759)-LEN(SUBSTITUTE("x"&amp;L759,".",""))=2,OR(1&gt;LEN(L759),MID(L759,1,1)=".",ISNUMBER(FIND("x"&amp;MID(L759,1,1),"x0x1x2x3x4x5x6x7x8x9"))),OR(2&gt;LEN(L759),MID(L759,2,1)=".",ISNUMBER(FIND("x"&amp;MID(L759,2,1),"x0x1x2x3x4x5x6x7x8x9"))),OR(3&gt;LEN(L759),MID(L759,3,1)=".",ISNUMBER(FIND("x"&amp;MID(L759,3,1),"x0x1x2x3x4x5x6x7x8x9"))),OR(4&gt;LEN(L759),MID(L759,4,1)=".",ISNUMBER(FIND("x"&amp;MID(L759,4,1),"x0x1x2x3x4x5x6x7x8x9"))),OR(5&gt;LEN(L759),MID(L759,5,1)=".",ISNUMBER(FIND("x"&amp;MID(L759,5,1),"x0x1x2x3x4x5x6x7x8x9"))),OR(6&gt;LEN(L759),MID(L759,6,1)=".",ISNUMBER(FIND("x"&amp;MID(L759,6,1),"x0x1x2x3x4x5x6x7x8x9"))),OR(7&gt;LEN(L759),MID(L759,7,1)=".",ISNUMBER(FIND("x"&amp;MID(L759,7,1),"x0x1x2x3x4x5x6x7x8x9"))),OR(8&gt;LEN(L759),MID(L759,8,1)=".",ISNUMBER(FIND("x"&amp;MID(L759,8,1),"x0x1x2x3x4x5x6x7x8x9"))),OR(9&gt;LEN(L759),MID(L759,9,1)=".",ISNUMBER(FIND("x"&amp;MID(L759,9,1),"x0x1x2x3x4x5x6x7x8x9"))),OR(10&gt;LEN(L759),MID(L759,10,1)=".",ISNUMBER(FIND("x"&amp;MID(L759,10,1),"x0x1x2x3x4x5x6x7x8x9"))),OR(AND(FIND(".",L759)=5,LEN(L759)-FIND(".",L759,FIND(".",L759)+1)&gt;=1,LEN(L759)-FIND(".",L759,FIND(".",L759)+1)&lt;=2),AND(LEN(L759)-FIND(".",L759,FIND(".",L759)+1)=4,FIND(".",L759)&gt;=2,FIND(".",L759)&lt;=3)),FIND(".",L759,FIND(".",L759)+1)-FIND(".",L759)&gt;=2,FIND(".",L759,FIND(".",L759)+1)-FIND(".",L759)&lt;=3,P759&gt;=2000,P759&lt;=2100,YEAR(S759)=P759,MONTH(S759)=Q759,DAY(S759)=R759),S759,0)),0)</ns0:f>
        <ns0:v>0</ns0:v>
      </ns0:c>
      <ns0:c r="U759" s="0" t="str">
        <ns0:f>IF(Bookings!C759="","Full day",Bookings!C759)</ns0:f>
        <ns0:v>Full day</ns0:v>
      </ns0:c>
      <ns0:c r="V759" s="0" t="str">
        <ns0:f>IF(Bookings!E759="","Full day",Bookings!E759)</ns0:f>
        <ns0:v>Full day</ns0:v>
      </ns0:c>
      <ns0:c r="W759" s="0">
        <ns0:f>IF(J759=0,0,J759+IF(U759="PM",1,0))</ns0:f>
        <ns0:v>0</ns0:v>
      </ns0:c>
      <ns0:c r="X759" s="0">
        <ns0:f>IF(T759=0,0,T759-IF(V759="PM",1,0))</ns0:f>
        <ns0:v>0</ns0:v>
      </ns0:c>
      <ns0:c r="Y759" s="0">
        <ns0:f>IF(J759=0,0,J759+IF(U759="AM",1,0))</ns0:f>
        <ns0:v>0</ns0:v>
      </ns0:c>
      <ns0:c r="Z759" s="0">
        <ns0:f>IF(T759=0,0,T759-IF(V759="AM",1,0))</ns0:f>
        <ns0:v>0</ns0:v>
      </ns0:c>
      <ns0:c r="AA759" s="0">
        <ns0:f>IFERROR(IF(AND(J759&gt;0,'_Engine'!C759&gt;0,MID('_Engine'!W759,WEEKDAY(J759,2),1)="W",COUNTIF(Settings!$F$18:$F$67,J759)=0),1,0),0)</ns0:f>
        <ns0:v>0</ns0:v>
      </ns0:c>
      <ns0:c r="AB759" s="0">
        <ns0:f>IFERROR(IF(AND(T759&gt;0,'_Engine'!C759&gt;0,MID('_Engine'!W759,WEEKDAY(T759,2),1)="W",COUNTIF(Settings!$F$18:$F$67,T759)=0),1,0),0)</ns0:f>
        <ns0:v>0</ns0:v>
      </ns0:c>
      <ns0:c r="AC759" s="0">
        <ns0:f>IF(AND(J759&gt;0,T759&gt;0,W759&lt;=X759),1,0)</ns0:f>
        <ns0:v>0</ns0:v>
      </ns0:c>
      <ns0:c r="AD759" s="0">
        <ns0:f>IF(AND(J759&gt;0,T759&gt;0,Y759&lt;=Z759),1,0)</ns0:f>
        <ns0:v>0</ns0:v>
      </ns0:c>
    </ns0:row>
    <ns0:row r="760">
      <ns0:c r="A760" s="0">
        <ns0:f>IFERROR(IF(ISNUMBER(Bookings!B760),"",TRIM(Bookings!B760&amp;"")),"")</ns0:f>
      </ns0:c>
      <ns0:c r="B760" s="0">
        <ns0:f>IFERROR(SUBSTITUTE(SUBSTITUTE(A760,"/","."),"-","."),"")</ns0:f>
      </ns0:c>
      <ns0:c r="C760" s="0">
        <ns0:f>IFERROR(LEFT(B760,FIND(".",B760)-1),"")</ns0:f>
      </ns0:c>
      <ns0:c r="D760" s="0">
        <ns0:f>IFERROR(MID(B760,FIND(".",B760)+1,FIND(".",B760,FIND(".",B760)+1)-FIND(".",B760)-1),"")</ns0:f>
      </ns0:c>
      <ns0:c r="E760" s="0">
        <ns0:f>IFERROR(MID(B760,FIND(".",B760,FIND(".",B760)+1)+1,99),"")</ns0:f>
        <ns0:v>99</ns0:v>
      </ns0:c>
      <ns0:c r="F760" s="0">
        <ns0:f>IFERROR(IF(FIND(".",B760)=5,--C760,--E760),0)</ns0:f>
        <ns0:v>0</ns0:v>
      </ns0:c>
      <ns0:c r="G760" s="0">
        <ns0:f>IFERROR(--D760,0)</ns0:f>
        <ns0:v>0</ns0:v>
      </ns0:c>
      <ns0:c r="H760" s="0">
        <ns0:f>IFERROR(IF(FIND(".",B760)=5,--E760,--C760),0)</ns0:f>
        <ns0:v>0</ns0:v>
      </ns0:c>
      <ns0:c r="I760" s="0">
        <ns0:f>IFERROR(IF(AND(F760&gt;=2000,F760&lt;=2100,G760&gt;=1,G760&lt;=12,H760&gt;=1,H760&lt;=31),DATE(F760,G760,H760),0),0)</ns0:f>
        <ns0:v>0</ns0:v>
      </ns0:c>
      <ns0:c r="J760" s="0">
        <ns0:f>IFERROR(IF(ISNUMBER(Bookings!B760),IF(AND(Bookings!B760=INT(Bookings!B760),Bookings!B760&gt;=DATE(2000,1,1),Bookings!B760&lt;=DATE(2100,12,31)),Bookings!B760,0),IF(AND(A760&lt;&gt;"",LEN("x"&amp;B760)-LEN(SUBSTITUTE("x"&amp;B760,".",""))=2,OR(1&gt;LEN(B760),MID(B760,1,1)=".",ISNUMBER(FIND("x"&amp;MID(B760,1,1),"x0x1x2x3x4x5x6x7x8x9"))),OR(2&gt;LEN(B760),MID(B760,2,1)=".",ISNUMBER(FIND("x"&amp;MID(B760,2,1),"x0x1x2x3x4x5x6x7x8x9"))),OR(3&gt;LEN(B760),MID(B760,3,1)=".",ISNUMBER(FIND("x"&amp;MID(B760,3,1),"x0x1x2x3x4x5x6x7x8x9"))),OR(4&gt;LEN(B760),MID(B760,4,1)=".",ISNUMBER(FIND("x"&amp;MID(B760,4,1),"x0x1x2x3x4x5x6x7x8x9"))),OR(5&gt;LEN(B760),MID(B760,5,1)=".",ISNUMBER(FIND("x"&amp;MID(B760,5,1),"x0x1x2x3x4x5x6x7x8x9"))),OR(6&gt;LEN(B760),MID(B760,6,1)=".",ISNUMBER(FIND("x"&amp;MID(B760,6,1),"x0x1x2x3x4x5x6x7x8x9"))),OR(7&gt;LEN(B760),MID(B760,7,1)=".",ISNUMBER(FIND("x"&amp;MID(B760,7,1),"x0x1x2x3x4x5x6x7x8x9"))),OR(8&gt;LEN(B760),MID(B760,8,1)=".",ISNUMBER(FIND("x"&amp;MID(B760,8,1),"x0x1x2x3x4x5x6x7x8x9"))),OR(9&gt;LEN(B760),MID(B760,9,1)=".",ISNUMBER(FIND("x"&amp;MID(B760,9,1),"x0x1x2x3x4x5x6x7x8x9"))),OR(10&gt;LEN(B760),MID(B760,10,1)=".",ISNUMBER(FIND("x"&amp;MID(B760,10,1),"x0x1x2x3x4x5x6x7x8x9"))),OR(AND(FIND(".",B760)=5,LEN(B760)-FIND(".",B760,FIND(".",B760)+1)&gt;=1,LEN(B760)-FIND(".",B760,FIND(".",B760)+1)&lt;=2),AND(LEN(B760)-FIND(".",B760,FIND(".",B760)+1)=4,FIND(".",B760)&gt;=2,FIND(".",B760)&lt;=3)),FIND(".",B760,FIND(".",B760)+1)-FIND(".",B760)&gt;=2,FIND(".",B760,FIND(".",B760)+1)-FIND(".",B760)&lt;=3,F760&gt;=2000,F760&lt;=2100,YEAR(I760)=F760,MONTH(I760)=G760,DAY(I760)=H760),I760,0)),0)</ns0:f>
        <ns0:v>0</ns0:v>
      </ns0:c>
      <ns0:c r="K760" s="0">
        <ns0:f>IFERROR(IF(ISNUMBER(Bookings!D760),"",TRIM(Bookings!D760&amp;"")),"")</ns0:f>
      </ns0:c>
      <ns0:c r="L760" s="0">
        <ns0:f>IFERROR(SUBSTITUTE(SUBSTITUTE(K760,"/","."),"-","."),"")</ns0:f>
      </ns0:c>
      <ns0:c r="M760" s="0">
        <ns0:f>IFERROR(LEFT(L760,FIND(".",L760)-1),"")</ns0:f>
      </ns0:c>
      <ns0:c r="N760" s="0">
        <ns0:f>IFERROR(MID(L760,FIND(".",L760)+1,FIND(".",L760,FIND(".",L760)+1)-FIND(".",L760)-1),"")</ns0:f>
      </ns0:c>
      <ns0:c r="O760" s="0">
        <ns0:f>IFERROR(MID(L760,FIND(".",L760,FIND(".",L760)+1)+1,99),"")</ns0:f>
        <ns0:v>99</ns0:v>
      </ns0:c>
      <ns0:c r="P760" s="0">
        <ns0:f>IFERROR(IF(FIND(".",L760)=5,--M760,--O760),0)</ns0:f>
        <ns0:v>0</ns0:v>
      </ns0:c>
      <ns0:c r="Q760" s="0">
        <ns0:f>IFERROR(--N760,0)</ns0:f>
        <ns0:v>0</ns0:v>
      </ns0:c>
      <ns0:c r="R760" s="0">
        <ns0:f>IFERROR(IF(FIND(".",L760)=5,--O760,--M760),0)</ns0:f>
        <ns0:v>0</ns0:v>
      </ns0:c>
      <ns0:c r="S760" s="0">
        <ns0:f>IFERROR(IF(AND(P760&gt;=2000,P760&lt;=2100,Q760&gt;=1,Q760&lt;=12,R760&gt;=1,R760&lt;=31),DATE(P760,Q760,R760),0),0)</ns0:f>
        <ns0:v>0</ns0:v>
      </ns0:c>
      <ns0:c r="T760" s="0">
        <ns0:f>IFERROR(IF(ISNUMBER(Bookings!D760),IF(AND(Bookings!D760=INT(Bookings!D760),Bookings!D760&gt;=DATE(2000,1,1),Bookings!D760&lt;=DATE(2100,12,31)),Bookings!D760,0),IF(AND(K760&lt;&gt;"",LEN("x"&amp;L760)-LEN(SUBSTITUTE("x"&amp;L760,".",""))=2,OR(1&gt;LEN(L760),MID(L760,1,1)=".",ISNUMBER(FIND("x"&amp;MID(L760,1,1),"x0x1x2x3x4x5x6x7x8x9"))),OR(2&gt;LEN(L760),MID(L760,2,1)=".",ISNUMBER(FIND("x"&amp;MID(L760,2,1),"x0x1x2x3x4x5x6x7x8x9"))),OR(3&gt;LEN(L760),MID(L760,3,1)=".",ISNUMBER(FIND("x"&amp;MID(L760,3,1),"x0x1x2x3x4x5x6x7x8x9"))),OR(4&gt;LEN(L760),MID(L760,4,1)=".",ISNUMBER(FIND("x"&amp;MID(L760,4,1),"x0x1x2x3x4x5x6x7x8x9"))),OR(5&gt;LEN(L760),MID(L760,5,1)=".",ISNUMBER(FIND("x"&amp;MID(L760,5,1),"x0x1x2x3x4x5x6x7x8x9"))),OR(6&gt;LEN(L760),MID(L760,6,1)=".",ISNUMBER(FIND("x"&amp;MID(L760,6,1),"x0x1x2x3x4x5x6x7x8x9"))),OR(7&gt;LEN(L760),MID(L760,7,1)=".",ISNUMBER(FIND("x"&amp;MID(L760,7,1),"x0x1x2x3x4x5x6x7x8x9"))),OR(8&gt;LEN(L760),MID(L760,8,1)=".",ISNUMBER(FIND("x"&amp;MID(L760,8,1),"x0x1x2x3x4x5x6x7x8x9"))),OR(9&gt;LEN(L760),MID(L760,9,1)=".",ISNUMBER(FIND("x"&amp;MID(L760,9,1),"x0x1x2x3x4x5x6x7x8x9"))),OR(10&gt;LEN(L760),MID(L760,10,1)=".",ISNUMBER(FIND("x"&amp;MID(L760,10,1),"x0x1x2x3x4x5x6x7x8x9"))),OR(AND(FIND(".",L760)=5,LEN(L760)-FIND(".",L760,FIND(".",L760)+1)&gt;=1,LEN(L760)-FIND(".",L760,FIND(".",L760)+1)&lt;=2),AND(LEN(L760)-FIND(".",L760,FIND(".",L760)+1)=4,FIND(".",L760)&gt;=2,FIND(".",L760)&lt;=3)),FIND(".",L760,FIND(".",L760)+1)-FIND(".",L760)&gt;=2,FIND(".",L760,FIND(".",L760)+1)-FIND(".",L760)&lt;=3,P760&gt;=2000,P760&lt;=2100,YEAR(S760)=P760,MONTH(S760)=Q760,DAY(S760)=R760),S760,0)),0)</ns0:f>
        <ns0:v>0</ns0:v>
      </ns0:c>
      <ns0:c r="U760" s="0" t="str">
        <ns0:f>IF(Bookings!C760="","Full day",Bookings!C760)</ns0:f>
        <ns0:v>Full day</ns0:v>
      </ns0:c>
      <ns0:c r="V760" s="0" t="str">
        <ns0:f>IF(Bookings!E760="","Full day",Bookings!E760)</ns0:f>
        <ns0:v>Full day</ns0:v>
      </ns0:c>
      <ns0:c r="W760" s="0">
        <ns0:f>IF(J760=0,0,J760+IF(U760="PM",1,0))</ns0:f>
        <ns0:v>0</ns0:v>
      </ns0:c>
      <ns0:c r="X760" s="0">
        <ns0:f>IF(T760=0,0,T760-IF(V760="PM",1,0))</ns0:f>
        <ns0:v>0</ns0:v>
      </ns0:c>
      <ns0:c r="Y760" s="0">
        <ns0:f>IF(J760=0,0,J760+IF(U760="AM",1,0))</ns0:f>
        <ns0:v>0</ns0:v>
      </ns0:c>
      <ns0:c r="Z760" s="0">
        <ns0:f>IF(T760=0,0,T760-IF(V760="AM",1,0))</ns0:f>
        <ns0:v>0</ns0:v>
      </ns0:c>
      <ns0:c r="AA760" s="0">
        <ns0:f>IFERROR(IF(AND(J760&gt;0,'_Engine'!C760&gt;0,MID('_Engine'!W760,WEEKDAY(J760,2),1)="W",COUNTIF(Settings!$F$18:$F$67,J760)=0),1,0),0)</ns0:f>
        <ns0:v>0</ns0:v>
      </ns0:c>
      <ns0:c r="AB760" s="0">
        <ns0:f>IFERROR(IF(AND(T760&gt;0,'_Engine'!C760&gt;0,MID('_Engine'!W760,WEEKDAY(T760,2),1)="W",COUNTIF(Settings!$F$18:$F$67,T760)=0),1,0),0)</ns0:f>
        <ns0:v>0</ns0:v>
      </ns0:c>
      <ns0:c r="AC760" s="0">
        <ns0:f>IF(AND(J760&gt;0,T760&gt;0,W760&lt;=X760),1,0)</ns0:f>
        <ns0:v>0</ns0:v>
      </ns0:c>
      <ns0:c r="AD760" s="0">
        <ns0:f>IF(AND(J760&gt;0,T760&gt;0,Y760&lt;=Z760),1,0)</ns0:f>
        <ns0:v>0</ns0:v>
      </ns0:c>
    </ns0:row>
    <ns0:row r="761">
      <ns0:c r="A761" s="0">
        <ns0:f>IFERROR(IF(ISNUMBER(Bookings!B761),"",TRIM(Bookings!B761&amp;"")),"")</ns0:f>
      </ns0:c>
      <ns0:c r="B761" s="0">
        <ns0:f>IFERROR(SUBSTITUTE(SUBSTITUTE(A761,"/","."),"-","."),"")</ns0:f>
      </ns0:c>
      <ns0:c r="C761" s="0">
        <ns0:f>IFERROR(LEFT(B761,FIND(".",B761)-1),"")</ns0:f>
      </ns0:c>
      <ns0:c r="D761" s="0">
        <ns0:f>IFERROR(MID(B761,FIND(".",B761)+1,FIND(".",B761,FIND(".",B761)+1)-FIND(".",B761)-1),"")</ns0:f>
      </ns0:c>
      <ns0:c r="E761" s="0">
        <ns0:f>IFERROR(MID(B761,FIND(".",B761,FIND(".",B761)+1)+1,99),"")</ns0:f>
        <ns0:v>99</ns0:v>
      </ns0:c>
      <ns0:c r="F761" s="0">
        <ns0:f>IFERROR(IF(FIND(".",B761)=5,--C761,--E761),0)</ns0:f>
        <ns0:v>0</ns0:v>
      </ns0:c>
      <ns0:c r="G761" s="0">
        <ns0:f>IFERROR(--D761,0)</ns0:f>
        <ns0:v>0</ns0:v>
      </ns0:c>
      <ns0:c r="H761" s="0">
        <ns0:f>IFERROR(IF(FIND(".",B761)=5,--E761,--C761),0)</ns0:f>
        <ns0:v>0</ns0:v>
      </ns0:c>
      <ns0:c r="I761" s="0">
        <ns0:f>IFERROR(IF(AND(F761&gt;=2000,F761&lt;=2100,G761&gt;=1,G761&lt;=12,H761&gt;=1,H761&lt;=31),DATE(F761,G761,H761),0),0)</ns0:f>
        <ns0:v>0</ns0:v>
      </ns0:c>
      <ns0:c r="J761" s="0">
        <ns0:f>IFERROR(IF(ISNUMBER(Bookings!B761),IF(AND(Bookings!B761=INT(Bookings!B761),Bookings!B761&gt;=DATE(2000,1,1),Bookings!B761&lt;=DATE(2100,12,31)),Bookings!B761,0),IF(AND(A761&lt;&gt;"",LEN("x"&amp;B761)-LEN(SUBSTITUTE("x"&amp;B761,".",""))=2,OR(1&gt;LEN(B761),MID(B761,1,1)=".",ISNUMBER(FIND("x"&amp;MID(B761,1,1),"x0x1x2x3x4x5x6x7x8x9"))),OR(2&gt;LEN(B761),MID(B761,2,1)=".",ISNUMBER(FIND("x"&amp;MID(B761,2,1),"x0x1x2x3x4x5x6x7x8x9"))),OR(3&gt;LEN(B761),MID(B761,3,1)=".",ISNUMBER(FIND("x"&amp;MID(B761,3,1),"x0x1x2x3x4x5x6x7x8x9"))),OR(4&gt;LEN(B761),MID(B761,4,1)=".",ISNUMBER(FIND("x"&amp;MID(B761,4,1),"x0x1x2x3x4x5x6x7x8x9"))),OR(5&gt;LEN(B761),MID(B761,5,1)=".",ISNUMBER(FIND("x"&amp;MID(B761,5,1),"x0x1x2x3x4x5x6x7x8x9"))),OR(6&gt;LEN(B761),MID(B761,6,1)=".",ISNUMBER(FIND("x"&amp;MID(B761,6,1),"x0x1x2x3x4x5x6x7x8x9"))),OR(7&gt;LEN(B761),MID(B761,7,1)=".",ISNUMBER(FIND("x"&amp;MID(B761,7,1),"x0x1x2x3x4x5x6x7x8x9"))),OR(8&gt;LEN(B761),MID(B761,8,1)=".",ISNUMBER(FIND("x"&amp;MID(B761,8,1),"x0x1x2x3x4x5x6x7x8x9"))),OR(9&gt;LEN(B761),MID(B761,9,1)=".",ISNUMBER(FIND("x"&amp;MID(B761,9,1),"x0x1x2x3x4x5x6x7x8x9"))),OR(10&gt;LEN(B761),MID(B761,10,1)=".",ISNUMBER(FIND("x"&amp;MID(B761,10,1),"x0x1x2x3x4x5x6x7x8x9"))),OR(AND(FIND(".",B761)=5,LEN(B761)-FIND(".",B761,FIND(".",B761)+1)&gt;=1,LEN(B761)-FIND(".",B761,FIND(".",B761)+1)&lt;=2),AND(LEN(B761)-FIND(".",B761,FIND(".",B761)+1)=4,FIND(".",B761)&gt;=2,FIND(".",B761)&lt;=3)),FIND(".",B761,FIND(".",B761)+1)-FIND(".",B761)&gt;=2,FIND(".",B761,FIND(".",B761)+1)-FIND(".",B761)&lt;=3,F761&gt;=2000,F761&lt;=2100,YEAR(I761)=F761,MONTH(I761)=G761,DAY(I761)=H761),I761,0)),0)</ns0:f>
        <ns0:v>0</ns0:v>
      </ns0:c>
      <ns0:c r="K761" s="0">
        <ns0:f>IFERROR(IF(ISNUMBER(Bookings!D761),"",TRIM(Bookings!D761&amp;"")),"")</ns0:f>
      </ns0:c>
      <ns0:c r="L761" s="0">
        <ns0:f>IFERROR(SUBSTITUTE(SUBSTITUTE(K761,"/","."),"-","."),"")</ns0:f>
      </ns0:c>
      <ns0:c r="M761" s="0">
        <ns0:f>IFERROR(LEFT(L761,FIND(".",L761)-1),"")</ns0:f>
      </ns0:c>
      <ns0:c r="N761" s="0">
        <ns0:f>IFERROR(MID(L761,FIND(".",L761)+1,FIND(".",L761,FIND(".",L761)+1)-FIND(".",L761)-1),"")</ns0:f>
      </ns0:c>
      <ns0:c r="O761" s="0">
        <ns0:f>IFERROR(MID(L761,FIND(".",L761,FIND(".",L761)+1)+1,99),"")</ns0:f>
        <ns0:v>99</ns0:v>
      </ns0:c>
      <ns0:c r="P761" s="0">
        <ns0:f>IFERROR(IF(FIND(".",L761)=5,--M761,--O761),0)</ns0:f>
        <ns0:v>0</ns0:v>
      </ns0:c>
      <ns0:c r="Q761" s="0">
        <ns0:f>IFERROR(--N761,0)</ns0:f>
        <ns0:v>0</ns0:v>
      </ns0:c>
      <ns0:c r="R761" s="0">
        <ns0:f>IFERROR(IF(FIND(".",L761)=5,--O761,--M761),0)</ns0:f>
        <ns0:v>0</ns0:v>
      </ns0:c>
      <ns0:c r="S761" s="0">
        <ns0:f>IFERROR(IF(AND(P761&gt;=2000,P761&lt;=2100,Q761&gt;=1,Q761&lt;=12,R761&gt;=1,R761&lt;=31),DATE(P761,Q761,R761),0),0)</ns0:f>
        <ns0:v>0</ns0:v>
      </ns0:c>
      <ns0:c r="T761" s="0">
        <ns0:f>IFERROR(IF(ISNUMBER(Bookings!D761),IF(AND(Bookings!D761=INT(Bookings!D761),Bookings!D761&gt;=DATE(2000,1,1),Bookings!D761&lt;=DATE(2100,12,31)),Bookings!D761,0),IF(AND(K761&lt;&gt;"",LEN("x"&amp;L761)-LEN(SUBSTITUTE("x"&amp;L761,".",""))=2,OR(1&gt;LEN(L761),MID(L761,1,1)=".",ISNUMBER(FIND("x"&amp;MID(L761,1,1),"x0x1x2x3x4x5x6x7x8x9"))),OR(2&gt;LEN(L761),MID(L761,2,1)=".",ISNUMBER(FIND("x"&amp;MID(L761,2,1),"x0x1x2x3x4x5x6x7x8x9"))),OR(3&gt;LEN(L761),MID(L761,3,1)=".",ISNUMBER(FIND("x"&amp;MID(L761,3,1),"x0x1x2x3x4x5x6x7x8x9"))),OR(4&gt;LEN(L761),MID(L761,4,1)=".",ISNUMBER(FIND("x"&amp;MID(L761,4,1),"x0x1x2x3x4x5x6x7x8x9"))),OR(5&gt;LEN(L761),MID(L761,5,1)=".",ISNUMBER(FIND("x"&amp;MID(L761,5,1),"x0x1x2x3x4x5x6x7x8x9"))),OR(6&gt;LEN(L761),MID(L761,6,1)=".",ISNUMBER(FIND("x"&amp;MID(L761,6,1),"x0x1x2x3x4x5x6x7x8x9"))),OR(7&gt;LEN(L761),MID(L761,7,1)=".",ISNUMBER(FIND("x"&amp;MID(L761,7,1),"x0x1x2x3x4x5x6x7x8x9"))),OR(8&gt;LEN(L761),MID(L761,8,1)=".",ISNUMBER(FIND("x"&amp;MID(L761,8,1),"x0x1x2x3x4x5x6x7x8x9"))),OR(9&gt;LEN(L761),MID(L761,9,1)=".",ISNUMBER(FIND("x"&amp;MID(L761,9,1),"x0x1x2x3x4x5x6x7x8x9"))),OR(10&gt;LEN(L761),MID(L761,10,1)=".",ISNUMBER(FIND("x"&amp;MID(L761,10,1),"x0x1x2x3x4x5x6x7x8x9"))),OR(AND(FIND(".",L761)=5,LEN(L761)-FIND(".",L761,FIND(".",L761)+1)&gt;=1,LEN(L761)-FIND(".",L761,FIND(".",L761)+1)&lt;=2),AND(LEN(L761)-FIND(".",L761,FIND(".",L761)+1)=4,FIND(".",L761)&gt;=2,FIND(".",L761)&lt;=3)),FIND(".",L761,FIND(".",L761)+1)-FIND(".",L761)&gt;=2,FIND(".",L761,FIND(".",L761)+1)-FIND(".",L761)&lt;=3,P761&gt;=2000,P761&lt;=2100,YEAR(S761)=P761,MONTH(S761)=Q761,DAY(S761)=R761),S761,0)),0)</ns0:f>
        <ns0:v>0</ns0:v>
      </ns0:c>
      <ns0:c r="U761" s="0" t="str">
        <ns0:f>IF(Bookings!C761="","Full day",Bookings!C761)</ns0:f>
        <ns0:v>Full day</ns0:v>
      </ns0:c>
      <ns0:c r="V761" s="0" t="str">
        <ns0:f>IF(Bookings!E761="","Full day",Bookings!E761)</ns0:f>
        <ns0:v>Full day</ns0:v>
      </ns0:c>
      <ns0:c r="W761" s="0">
        <ns0:f>IF(J761=0,0,J761+IF(U761="PM",1,0))</ns0:f>
        <ns0:v>0</ns0:v>
      </ns0:c>
      <ns0:c r="X761" s="0">
        <ns0:f>IF(T761=0,0,T761-IF(V761="PM",1,0))</ns0:f>
        <ns0:v>0</ns0:v>
      </ns0:c>
      <ns0:c r="Y761" s="0">
        <ns0:f>IF(J761=0,0,J761+IF(U761="AM",1,0))</ns0:f>
        <ns0:v>0</ns0:v>
      </ns0:c>
      <ns0:c r="Z761" s="0">
        <ns0:f>IF(T761=0,0,T761-IF(V761="AM",1,0))</ns0:f>
        <ns0:v>0</ns0:v>
      </ns0:c>
      <ns0:c r="AA761" s="0">
        <ns0:f>IFERROR(IF(AND(J761&gt;0,'_Engine'!C761&gt;0,MID('_Engine'!W761,WEEKDAY(J761,2),1)="W",COUNTIF(Settings!$F$18:$F$67,J761)=0),1,0),0)</ns0:f>
        <ns0:v>0</ns0:v>
      </ns0:c>
      <ns0:c r="AB761" s="0">
        <ns0:f>IFERROR(IF(AND(T761&gt;0,'_Engine'!C761&gt;0,MID('_Engine'!W761,WEEKDAY(T761,2),1)="W",COUNTIF(Settings!$F$18:$F$67,T761)=0),1,0),0)</ns0:f>
        <ns0:v>0</ns0:v>
      </ns0:c>
      <ns0:c r="AC761" s="0">
        <ns0:f>IF(AND(J761&gt;0,T761&gt;0,W761&lt;=X761),1,0)</ns0:f>
        <ns0:v>0</ns0:v>
      </ns0:c>
      <ns0:c r="AD761" s="0">
        <ns0:f>IF(AND(J761&gt;0,T761&gt;0,Y761&lt;=Z761),1,0)</ns0:f>
        <ns0:v>0</ns0:v>
      </ns0:c>
    </ns0:row>
    <ns0:row r="762">
      <ns0:c r="A762" s="0">
        <ns0:f>IFERROR(IF(ISNUMBER(Bookings!B762),"",TRIM(Bookings!B762&amp;"")),"")</ns0:f>
      </ns0:c>
      <ns0:c r="B762" s="0">
        <ns0:f>IFERROR(SUBSTITUTE(SUBSTITUTE(A762,"/","."),"-","."),"")</ns0:f>
      </ns0:c>
      <ns0:c r="C762" s="0">
        <ns0:f>IFERROR(LEFT(B762,FIND(".",B762)-1),"")</ns0:f>
      </ns0:c>
      <ns0:c r="D762" s="0">
        <ns0:f>IFERROR(MID(B762,FIND(".",B762)+1,FIND(".",B762,FIND(".",B762)+1)-FIND(".",B762)-1),"")</ns0:f>
      </ns0:c>
      <ns0:c r="E762" s="0">
        <ns0:f>IFERROR(MID(B762,FIND(".",B762,FIND(".",B762)+1)+1,99),"")</ns0:f>
        <ns0:v>99</ns0:v>
      </ns0:c>
      <ns0:c r="F762" s="0">
        <ns0:f>IFERROR(IF(FIND(".",B762)=5,--C762,--E762),0)</ns0:f>
        <ns0:v>0</ns0:v>
      </ns0:c>
      <ns0:c r="G762" s="0">
        <ns0:f>IFERROR(--D762,0)</ns0:f>
        <ns0:v>0</ns0:v>
      </ns0:c>
      <ns0:c r="H762" s="0">
        <ns0:f>IFERROR(IF(FIND(".",B762)=5,--E762,--C762),0)</ns0:f>
        <ns0:v>0</ns0:v>
      </ns0:c>
      <ns0:c r="I762" s="0">
        <ns0:f>IFERROR(IF(AND(F762&gt;=2000,F762&lt;=2100,G762&gt;=1,G762&lt;=12,H762&gt;=1,H762&lt;=31),DATE(F762,G762,H762),0),0)</ns0:f>
        <ns0:v>0</ns0:v>
      </ns0:c>
      <ns0:c r="J762" s="0">
        <ns0:f>IFERROR(IF(ISNUMBER(Bookings!B762),IF(AND(Bookings!B762=INT(Bookings!B762),Bookings!B762&gt;=DATE(2000,1,1),Bookings!B762&lt;=DATE(2100,12,31)),Bookings!B762,0),IF(AND(A762&lt;&gt;"",LEN("x"&amp;B762)-LEN(SUBSTITUTE("x"&amp;B762,".",""))=2,OR(1&gt;LEN(B762),MID(B762,1,1)=".",ISNUMBER(FIND("x"&amp;MID(B762,1,1),"x0x1x2x3x4x5x6x7x8x9"))),OR(2&gt;LEN(B762),MID(B762,2,1)=".",ISNUMBER(FIND("x"&amp;MID(B762,2,1),"x0x1x2x3x4x5x6x7x8x9"))),OR(3&gt;LEN(B762),MID(B762,3,1)=".",ISNUMBER(FIND("x"&amp;MID(B762,3,1),"x0x1x2x3x4x5x6x7x8x9"))),OR(4&gt;LEN(B762),MID(B762,4,1)=".",ISNUMBER(FIND("x"&amp;MID(B762,4,1),"x0x1x2x3x4x5x6x7x8x9"))),OR(5&gt;LEN(B762),MID(B762,5,1)=".",ISNUMBER(FIND("x"&amp;MID(B762,5,1),"x0x1x2x3x4x5x6x7x8x9"))),OR(6&gt;LEN(B762),MID(B762,6,1)=".",ISNUMBER(FIND("x"&amp;MID(B762,6,1),"x0x1x2x3x4x5x6x7x8x9"))),OR(7&gt;LEN(B762),MID(B762,7,1)=".",ISNUMBER(FIND("x"&amp;MID(B762,7,1),"x0x1x2x3x4x5x6x7x8x9"))),OR(8&gt;LEN(B762),MID(B762,8,1)=".",ISNUMBER(FIND("x"&amp;MID(B762,8,1),"x0x1x2x3x4x5x6x7x8x9"))),OR(9&gt;LEN(B762),MID(B762,9,1)=".",ISNUMBER(FIND("x"&amp;MID(B762,9,1),"x0x1x2x3x4x5x6x7x8x9"))),OR(10&gt;LEN(B762),MID(B762,10,1)=".",ISNUMBER(FIND("x"&amp;MID(B762,10,1),"x0x1x2x3x4x5x6x7x8x9"))),OR(AND(FIND(".",B762)=5,LEN(B762)-FIND(".",B762,FIND(".",B762)+1)&gt;=1,LEN(B762)-FIND(".",B762,FIND(".",B762)+1)&lt;=2),AND(LEN(B762)-FIND(".",B762,FIND(".",B762)+1)=4,FIND(".",B762)&gt;=2,FIND(".",B762)&lt;=3)),FIND(".",B762,FIND(".",B762)+1)-FIND(".",B762)&gt;=2,FIND(".",B762,FIND(".",B762)+1)-FIND(".",B762)&lt;=3,F762&gt;=2000,F762&lt;=2100,YEAR(I762)=F762,MONTH(I762)=G762,DAY(I762)=H762),I762,0)),0)</ns0:f>
        <ns0:v>0</ns0:v>
      </ns0:c>
      <ns0:c r="K762" s="0">
        <ns0:f>IFERROR(IF(ISNUMBER(Bookings!D762),"",TRIM(Bookings!D762&amp;"")),"")</ns0:f>
      </ns0:c>
      <ns0:c r="L762" s="0">
        <ns0:f>IFERROR(SUBSTITUTE(SUBSTITUTE(K762,"/","."),"-","."),"")</ns0:f>
      </ns0:c>
      <ns0:c r="M762" s="0">
        <ns0:f>IFERROR(LEFT(L762,FIND(".",L762)-1),"")</ns0:f>
      </ns0:c>
      <ns0:c r="N762" s="0">
        <ns0:f>IFERROR(MID(L762,FIND(".",L762)+1,FIND(".",L762,FIND(".",L762)+1)-FIND(".",L762)-1),"")</ns0:f>
      </ns0:c>
      <ns0:c r="O762" s="0">
        <ns0:f>IFERROR(MID(L762,FIND(".",L762,FIND(".",L762)+1)+1,99),"")</ns0:f>
        <ns0:v>99</ns0:v>
      </ns0:c>
      <ns0:c r="P762" s="0">
        <ns0:f>IFERROR(IF(FIND(".",L762)=5,--M762,--O762),0)</ns0:f>
        <ns0:v>0</ns0:v>
      </ns0:c>
      <ns0:c r="Q762" s="0">
        <ns0:f>IFERROR(--N762,0)</ns0:f>
        <ns0:v>0</ns0:v>
      </ns0:c>
      <ns0:c r="R762" s="0">
        <ns0:f>IFERROR(IF(FIND(".",L762)=5,--O762,--M762),0)</ns0:f>
        <ns0:v>0</ns0:v>
      </ns0:c>
      <ns0:c r="S762" s="0">
        <ns0:f>IFERROR(IF(AND(P762&gt;=2000,P762&lt;=2100,Q762&gt;=1,Q762&lt;=12,R762&gt;=1,R762&lt;=31),DATE(P762,Q762,R762),0),0)</ns0:f>
        <ns0:v>0</ns0:v>
      </ns0:c>
      <ns0:c r="T762" s="0">
        <ns0:f>IFERROR(IF(ISNUMBER(Bookings!D762),IF(AND(Bookings!D762=INT(Bookings!D762),Bookings!D762&gt;=DATE(2000,1,1),Bookings!D762&lt;=DATE(2100,12,31)),Bookings!D762,0),IF(AND(K762&lt;&gt;"",LEN("x"&amp;L762)-LEN(SUBSTITUTE("x"&amp;L762,".",""))=2,OR(1&gt;LEN(L762),MID(L762,1,1)=".",ISNUMBER(FIND("x"&amp;MID(L762,1,1),"x0x1x2x3x4x5x6x7x8x9"))),OR(2&gt;LEN(L762),MID(L762,2,1)=".",ISNUMBER(FIND("x"&amp;MID(L762,2,1),"x0x1x2x3x4x5x6x7x8x9"))),OR(3&gt;LEN(L762),MID(L762,3,1)=".",ISNUMBER(FIND("x"&amp;MID(L762,3,1),"x0x1x2x3x4x5x6x7x8x9"))),OR(4&gt;LEN(L762),MID(L762,4,1)=".",ISNUMBER(FIND("x"&amp;MID(L762,4,1),"x0x1x2x3x4x5x6x7x8x9"))),OR(5&gt;LEN(L762),MID(L762,5,1)=".",ISNUMBER(FIND("x"&amp;MID(L762,5,1),"x0x1x2x3x4x5x6x7x8x9"))),OR(6&gt;LEN(L762),MID(L762,6,1)=".",ISNUMBER(FIND("x"&amp;MID(L762,6,1),"x0x1x2x3x4x5x6x7x8x9"))),OR(7&gt;LEN(L762),MID(L762,7,1)=".",ISNUMBER(FIND("x"&amp;MID(L762,7,1),"x0x1x2x3x4x5x6x7x8x9"))),OR(8&gt;LEN(L762),MID(L762,8,1)=".",ISNUMBER(FIND("x"&amp;MID(L762,8,1),"x0x1x2x3x4x5x6x7x8x9"))),OR(9&gt;LEN(L762),MID(L762,9,1)=".",ISNUMBER(FIND("x"&amp;MID(L762,9,1),"x0x1x2x3x4x5x6x7x8x9"))),OR(10&gt;LEN(L762),MID(L762,10,1)=".",ISNUMBER(FIND("x"&amp;MID(L762,10,1),"x0x1x2x3x4x5x6x7x8x9"))),OR(AND(FIND(".",L762)=5,LEN(L762)-FIND(".",L762,FIND(".",L762)+1)&gt;=1,LEN(L762)-FIND(".",L762,FIND(".",L762)+1)&lt;=2),AND(LEN(L762)-FIND(".",L762,FIND(".",L762)+1)=4,FIND(".",L762)&gt;=2,FIND(".",L762)&lt;=3)),FIND(".",L762,FIND(".",L762)+1)-FIND(".",L762)&gt;=2,FIND(".",L762,FIND(".",L762)+1)-FIND(".",L762)&lt;=3,P762&gt;=2000,P762&lt;=2100,YEAR(S762)=P762,MONTH(S762)=Q762,DAY(S762)=R762),S762,0)),0)</ns0:f>
        <ns0:v>0</ns0:v>
      </ns0:c>
      <ns0:c r="U762" s="0" t="str">
        <ns0:f>IF(Bookings!C762="","Full day",Bookings!C762)</ns0:f>
        <ns0:v>Full day</ns0:v>
      </ns0:c>
      <ns0:c r="V762" s="0" t="str">
        <ns0:f>IF(Bookings!E762="","Full day",Bookings!E762)</ns0:f>
        <ns0:v>Full day</ns0:v>
      </ns0:c>
      <ns0:c r="W762" s="0">
        <ns0:f>IF(J762=0,0,J762+IF(U762="PM",1,0))</ns0:f>
        <ns0:v>0</ns0:v>
      </ns0:c>
      <ns0:c r="X762" s="0">
        <ns0:f>IF(T762=0,0,T762-IF(V762="PM",1,0))</ns0:f>
        <ns0:v>0</ns0:v>
      </ns0:c>
      <ns0:c r="Y762" s="0">
        <ns0:f>IF(J762=0,0,J762+IF(U762="AM",1,0))</ns0:f>
        <ns0:v>0</ns0:v>
      </ns0:c>
      <ns0:c r="Z762" s="0">
        <ns0:f>IF(T762=0,0,T762-IF(V762="AM",1,0))</ns0:f>
        <ns0:v>0</ns0:v>
      </ns0:c>
      <ns0:c r="AA762" s="0">
        <ns0:f>IFERROR(IF(AND(J762&gt;0,'_Engine'!C762&gt;0,MID('_Engine'!W762,WEEKDAY(J762,2),1)="W",COUNTIF(Settings!$F$18:$F$67,J762)=0),1,0),0)</ns0:f>
        <ns0:v>0</ns0:v>
      </ns0:c>
      <ns0:c r="AB762" s="0">
        <ns0:f>IFERROR(IF(AND(T762&gt;0,'_Engine'!C762&gt;0,MID('_Engine'!W762,WEEKDAY(T762,2),1)="W",COUNTIF(Settings!$F$18:$F$67,T762)=0),1,0),0)</ns0:f>
        <ns0:v>0</ns0:v>
      </ns0:c>
      <ns0:c r="AC762" s="0">
        <ns0:f>IF(AND(J762&gt;0,T762&gt;0,W762&lt;=X762),1,0)</ns0:f>
        <ns0:v>0</ns0:v>
      </ns0:c>
      <ns0:c r="AD762" s="0">
        <ns0:f>IF(AND(J762&gt;0,T762&gt;0,Y762&lt;=Z762),1,0)</ns0:f>
        <ns0:v>0</ns0:v>
      </ns0:c>
    </ns0:row>
    <ns0:row r="763">
      <ns0:c r="A763" s="0">
        <ns0:f>IFERROR(IF(ISNUMBER(Bookings!B763),"",TRIM(Bookings!B763&amp;"")),"")</ns0:f>
      </ns0:c>
      <ns0:c r="B763" s="0">
        <ns0:f>IFERROR(SUBSTITUTE(SUBSTITUTE(A763,"/","."),"-","."),"")</ns0:f>
      </ns0:c>
      <ns0:c r="C763" s="0">
        <ns0:f>IFERROR(LEFT(B763,FIND(".",B763)-1),"")</ns0:f>
      </ns0:c>
      <ns0:c r="D763" s="0">
        <ns0:f>IFERROR(MID(B763,FIND(".",B763)+1,FIND(".",B763,FIND(".",B763)+1)-FIND(".",B763)-1),"")</ns0:f>
      </ns0:c>
      <ns0:c r="E763" s="0">
        <ns0:f>IFERROR(MID(B763,FIND(".",B763,FIND(".",B763)+1)+1,99),"")</ns0:f>
        <ns0:v>99</ns0:v>
      </ns0:c>
      <ns0:c r="F763" s="0">
        <ns0:f>IFERROR(IF(FIND(".",B763)=5,--C763,--E763),0)</ns0:f>
        <ns0:v>0</ns0:v>
      </ns0:c>
      <ns0:c r="G763" s="0">
        <ns0:f>IFERROR(--D763,0)</ns0:f>
        <ns0:v>0</ns0:v>
      </ns0:c>
      <ns0:c r="H763" s="0">
        <ns0:f>IFERROR(IF(FIND(".",B763)=5,--E763,--C763),0)</ns0:f>
        <ns0:v>0</ns0:v>
      </ns0:c>
      <ns0:c r="I763" s="0">
        <ns0:f>IFERROR(IF(AND(F763&gt;=2000,F763&lt;=2100,G763&gt;=1,G763&lt;=12,H763&gt;=1,H763&lt;=31),DATE(F763,G763,H763),0),0)</ns0:f>
        <ns0:v>0</ns0:v>
      </ns0:c>
      <ns0:c r="J763" s="0">
        <ns0:f>IFERROR(IF(ISNUMBER(Bookings!B763),IF(AND(Bookings!B763=INT(Bookings!B763),Bookings!B763&gt;=DATE(2000,1,1),Bookings!B763&lt;=DATE(2100,12,31)),Bookings!B763,0),IF(AND(A763&lt;&gt;"",LEN("x"&amp;B763)-LEN(SUBSTITUTE("x"&amp;B763,".",""))=2,OR(1&gt;LEN(B763),MID(B763,1,1)=".",ISNUMBER(FIND("x"&amp;MID(B763,1,1),"x0x1x2x3x4x5x6x7x8x9"))),OR(2&gt;LEN(B763),MID(B763,2,1)=".",ISNUMBER(FIND("x"&amp;MID(B763,2,1),"x0x1x2x3x4x5x6x7x8x9"))),OR(3&gt;LEN(B763),MID(B763,3,1)=".",ISNUMBER(FIND("x"&amp;MID(B763,3,1),"x0x1x2x3x4x5x6x7x8x9"))),OR(4&gt;LEN(B763),MID(B763,4,1)=".",ISNUMBER(FIND("x"&amp;MID(B763,4,1),"x0x1x2x3x4x5x6x7x8x9"))),OR(5&gt;LEN(B763),MID(B763,5,1)=".",ISNUMBER(FIND("x"&amp;MID(B763,5,1),"x0x1x2x3x4x5x6x7x8x9"))),OR(6&gt;LEN(B763),MID(B763,6,1)=".",ISNUMBER(FIND("x"&amp;MID(B763,6,1),"x0x1x2x3x4x5x6x7x8x9"))),OR(7&gt;LEN(B763),MID(B763,7,1)=".",ISNUMBER(FIND("x"&amp;MID(B763,7,1),"x0x1x2x3x4x5x6x7x8x9"))),OR(8&gt;LEN(B763),MID(B763,8,1)=".",ISNUMBER(FIND("x"&amp;MID(B763,8,1),"x0x1x2x3x4x5x6x7x8x9"))),OR(9&gt;LEN(B763),MID(B763,9,1)=".",ISNUMBER(FIND("x"&amp;MID(B763,9,1),"x0x1x2x3x4x5x6x7x8x9"))),OR(10&gt;LEN(B763),MID(B763,10,1)=".",ISNUMBER(FIND("x"&amp;MID(B763,10,1),"x0x1x2x3x4x5x6x7x8x9"))),OR(AND(FIND(".",B763)=5,LEN(B763)-FIND(".",B763,FIND(".",B763)+1)&gt;=1,LEN(B763)-FIND(".",B763,FIND(".",B763)+1)&lt;=2),AND(LEN(B763)-FIND(".",B763,FIND(".",B763)+1)=4,FIND(".",B763)&gt;=2,FIND(".",B763)&lt;=3)),FIND(".",B763,FIND(".",B763)+1)-FIND(".",B763)&gt;=2,FIND(".",B763,FIND(".",B763)+1)-FIND(".",B763)&lt;=3,F763&gt;=2000,F763&lt;=2100,YEAR(I763)=F763,MONTH(I763)=G763,DAY(I763)=H763),I763,0)),0)</ns0:f>
        <ns0:v>0</ns0:v>
      </ns0:c>
      <ns0:c r="K763" s="0">
        <ns0:f>IFERROR(IF(ISNUMBER(Bookings!D763),"",TRIM(Bookings!D763&amp;"")),"")</ns0:f>
      </ns0:c>
      <ns0:c r="L763" s="0">
        <ns0:f>IFERROR(SUBSTITUTE(SUBSTITUTE(K763,"/","."),"-","."),"")</ns0:f>
      </ns0:c>
      <ns0:c r="M763" s="0">
        <ns0:f>IFERROR(LEFT(L763,FIND(".",L763)-1),"")</ns0:f>
      </ns0:c>
      <ns0:c r="N763" s="0">
        <ns0:f>IFERROR(MID(L763,FIND(".",L763)+1,FIND(".",L763,FIND(".",L763)+1)-FIND(".",L763)-1),"")</ns0:f>
      </ns0:c>
      <ns0:c r="O763" s="0">
        <ns0:f>IFERROR(MID(L763,FIND(".",L763,FIND(".",L763)+1)+1,99),"")</ns0:f>
        <ns0:v>99</ns0:v>
      </ns0:c>
      <ns0:c r="P763" s="0">
        <ns0:f>IFERROR(IF(FIND(".",L763)=5,--M763,--O763),0)</ns0:f>
        <ns0:v>0</ns0:v>
      </ns0:c>
      <ns0:c r="Q763" s="0">
        <ns0:f>IFERROR(--N763,0)</ns0:f>
        <ns0:v>0</ns0:v>
      </ns0:c>
      <ns0:c r="R763" s="0">
        <ns0:f>IFERROR(IF(FIND(".",L763)=5,--O763,--M763),0)</ns0:f>
        <ns0:v>0</ns0:v>
      </ns0:c>
      <ns0:c r="S763" s="0">
        <ns0:f>IFERROR(IF(AND(P763&gt;=2000,P763&lt;=2100,Q763&gt;=1,Q763&lt;=12,R763&gt;=1,R763&lt;=31),DATE(P763,Q763,R763),0),0)</ns0:f>
        <ns0:v>0</ns0:v>
      </ns0:c>
      <ns0:c r="T763" s="0">
        <ns0:f>IFERROR(IF(ISNUMBER(Bookings!D763),IF(AND(Bookings!D763=INT(Bookings!D763),Bookings!D763&gt;=DATE(2000,1,1),Bookings!D763&lt;=DATE(2100,12,31)),Bookings!D763,0),IF(AND(K763&lt;&gt;"",LEN("x"&amp;L763)-LEN(SUBSTITUTE("x"&amp;L763,".",""))=2,OR(1&gt;LEN(L763),MID(L763,1,1)=".",ISNUMBER(FIND("x"&amp;MID(L763,1,1),"x0x1x2x3x4x5x6x7x8x9"))),OR(2&gt;LEN(L763),MID(L763,2,1)=".",ISNUMBER(FIND("x"&amp;MID(L763,2,1),"x0x1x2x3x4x5x6x7x8x9"))),OR(3&gt;LEN(L763),MID(L763,3,1)=".",ISNUMBER(FIND("x"&amp;MID(L763,3,1),"x0x1x2x3x4x5x6x7x8x9"))),OR(4&gt;LEN(L763),MID(L763,4,1)=".",ISNUMBER(FIND("x"&amp;MID(L763,4,1),"x0x1x2x3x4x5x6x7x8x9"))),OR(5&gt;LEN(L763),MID(L763,5,1)=".",ISNUMBER(FIND("x"&amp;MID(L763,5,1),"x0x1x2x3x4x5x6x7x8x9"))),OR(6&gt;LEN(L763),MID(L763,6,1)=".",ISNUMBER(FIND("x"&amp;MID(L763,6,1),"x0x1x2x3x4x5x6x7x8x9"))),OR(7&gt;LEN(L763),MID(L763,7,1)=".",ISNUMBER(FIND("x"&amp;MID(L763,7,1),"x0x1x2x3x4x5x6x7x8x9"))),OR(8&gt;LEN(L763),MID(L763,8,1)=".",ISNUMBER(FIND("x"&amp;MID(L763,8,1),"x0x1x2x3x4x5x6x7x8x9"))),OR(9&gt;LEN(L763),MID(L763,9,1)=".",ISNUMBER(FIND("x"&amp;MID(L763,9,1),"x0x1x2x3x4x5x6x7x8x9"))),OR(10&gt;LEN(L763),MID(L763,10,1)=".",ISNUMBER(FIND("x"&amp;MID(L763,10,1),"x0x1x2x3x4x5x6x7x8x9"))),OR(AND(FIND(".",L763)=5,LEN(L763)-FIND(".",L763,FIND(".",L763)+1)&gt;=1,LEN(L763)-FIND(".",L763,FIND(".",L763)+1)&lt;=2),AND(LEN(L763)-FIND(".",L763,FIND(".",L763)+1)=4,FIND(".",L763)&gt;=2,FIND(".",L763)&lt;=3)),FIND(".",L763,FIND(".",L763)+1)-FIND(".",L763)&gt;=2,FIND(".",L763,FIND(".",L763)+1)-FIND(".",L763)&lt;=3,P763&gt;=2000,P763&lt;=2100,YEAR(S763)=P763,MONTH(S763)=Q763,DAY(S763)=R763),S763,0)),0)</ns0:f>
        <ns0:v>0</ns0:v>
      </ns0:c>
      <ns0:c r="U763" s="0" t="str">
        <ns0:f>IF(Bookings!C763="","Full day",Bookings!C763)</ns0:f>
        <ns0:v>Full day</ns0:v>
      </ns0:c>
      <ns0:c r="V763" s="0" t="str">
        <ns0:f>IF(Bookings!E763="","Full day",Bookings!E763)</ns0:f>
        <ns0:v>Full day</ns0:v>
      </ns0:c>
      <ns0:c r="W763" s="0">
        <ns0:f>IF(J763=0,0,J763+IF(U763="PM",1,0))</ns0:f>
        <ns0:v>0</ns0:v>
      </ns0:c>
      <ns0:c r="X763" s="0">
        <ns0:f>IF(T763=0,0,T763-IF(V763="PM",1,0))</ns0:f>
        <ns0:v>0</ns0:v>
      </ns0:c>
      <ns0:c r="Y763" s="0">
        <ns0:f>IF(J763=0,0,J763+IF(U763="AM",1,0))</ns0:f>
        <ns0:v>0</ns0:v>
      </ns0:c>
      <ns0:c r="Z763" s="0">
        <ns0:f>IF(T763=0,0,T763-IF(V763="AM",1,0))</ns0:f>
        <ns0:v>0</ns0:v>
      </ns0:c>
      <ns0:c r="AA763" s="0">
        <ns0:f>IFERROR(IF(AND(J763&gt;0,'_Engine'!C763&gt;0,MID('_Engine'!W763,WEEKDAY(J763,2),1)="W",COUNTIF(Settings!$F$18:$F$67,J763)=0),1,0),0)</ns0:f>
        <ns0:v>0</ns0:v>
      </ns0:c>
      <ns0:c r="AB763" s="0">
        <ns0:f>IFERROR(IF(AND(T763&gt;0,'_Engine'!C763&gt;0,MID('_Engine'!W763,WEEKDAY(T763,2),1)="W",COUNTIF(Settings!$F$18:$F$67,T763)=0),1,0),0)</ns0:f>
        <ns0:v>0</ns0:v>
      </ns0:c>
      <ns0:c r="AC763" s="0">
        <ns0:f>IF(AND(J763&gt;0,T763&gt;0,W763&lt;=X763),1,0)</ns0:f>
        <ns0:v>0</ns0:v>
      </ns0:c>
      <ns0:c r="AD763" s="0">
        <ns0:f>IF(AND(J763&gt;0,T763&gt;0,Y763&lt;=Z763),1,0)</ns0:f>
        <ns0:v>0</ns0:v>
      </ns0:c>
    </ns0:row>
    <ns0:row r="764">
      <ns0:c r="A764" s="0">
        <ns0:f>IFERROR(IF(ISNUMBER(Bookings!B764),"",TRIM(Bookings!B764&amp;"")),"")</ns0:f>
      </ns0:c>
      <ns0:c r="B764" s="0">
        <ns0:f>IFERROR(SUBSTITUTE(SUBSTITUTE(A764,"/","."),"-","."),"")</ns0:f>
      </ns0:c>
      <ns0:c r="C764" s="0">
        <ns0:f>IFERROR(LEFT(B764,FIND(".",B764)-1),"")</ns0:f>
      </ns0:c>
      <ns0:c r="D764" s="0">
        <ns0:f>IFERROR(MID(B764,FIND(".",B764)+1,FIND(".",B764,FIND(".",B764)+1)-FIND(".",B764)-1),"")</ns0:f>
      </ns0:c>
      <ns0:c r="E764" s="0">
        <ns0:f>IFERROR(MID(B764,FIND(".",B764,FIND(".",B764)+1)+1,99),"")</ns0:f>
        <ns0:v>99</ns0:v>
      </ns0:c>
      <ns0:c r="F764" s="0">
        <ns0:f>IFERROR(IF(FIND(".",B764)=5,--C764,--E764),0)</ns0:f>
        <ns0:v>0</ns0:v>
      </ns0:c>
      <ns0:c r="G764" s="0">
        <ns0:f>IFERROR(--D764,0)</ns0:f>
        <ns0:v>0</ns0:v>
      </ns0:c>
      <ns0:c r="H764" s="0">
        <ns0:f>IFERROR(IF(FIND(".",B764)=5,--E764,--C764),0)</ns0:f>
        <ns0:v>0</ns0:v>
      </ns0:c>
      <ns0:c r="I764" s="0">
        <ns0:f>IFERROR(IF(AND(F764&gt;=2000,F764&lt;=2100,G764&gt;=1,G764&lt;=12,H764&gt;=1,H764&lt;=31),DATE(F764,G764,H764),0),0)</ns0:f>
        <ns0:v>0</ns0:v>
      </ns0:c>
      <ns0:c r="J764" s="0">
        <ns0:f>IFERROR(IF(ISNUMBER(Bookings!B764),IF(AND(Bookings!B764=INT(Bookings!B764),Bookings!B764&gt;=DATE(2000,1,1),Bookings!B764&lt;=DATE(2100,12,31)),Bookings!B764,0),IF(AND(A764&lt;&gt;"",LEN("x"&amp;B764)-LEN(SUBSTITUTE("x"&amp;B764,".",""))=2,OR(1&gt;LEN(B764),MID(B764,1,1)=".",ISNUMBER(FIND("x"&amp;MID(B764,1,1),"x0x1x2x3x4x5x6x7x8x9"))),OR(2&gt;LEN(B764),MID(B764,2,1)=".",ISNUMBER(FIND("x"&amp;MID(B764,2,1),"x0x1x2x3x4x5x6x7x8x9"))),OR(3&gt;LEN(B764),MID(B764,3,1)=".",ISNUMBER(FIND("x"&amp;MID(B764,3,1),"x0x1x2x3x4x5x6x7x8x9"))),OR(4&gt;LEN(B764),MID(B764,4,1)=".",ISNUMBER(FIND("x"&amp;MID(B764,4,1),"x0x1x2x3x4x5x6x7x8x9"))),OR(5&gt;LEN(B764),MID(B764,5,1)=".",ISNUMBER(FIND("x"&amp;MID(B764,5,1),"x0x1x2x3x4x5x6x7x8x9"))),OR(6&gt;LEN(B764),MID(B764,6,1)=".",ISNUMBER(FIND("x"&amp;MID(B764,6,1),"x0x1x2x3x4x5x6x7x8x9"))),OR(7&gt;LEN(B764),MID(B764,7,1)=".",ISNUMBER(FIND("x"&amp;MID(B764,7,1),"x0x1x2x3x4x5x6x7x8x9"))),OR(8&gt;LEN(B764),MID(B764,8,1)=".",ISNUMBER(FIND("x"&amp;MID(B764,8,1),"x0x1x2x3x4x5x6x7x8x9"))),OR(9&gt;LEN(B764),MID(B764,9,1)=".",ISNUMBER(FIND("x"&amp;MID(B764,9,1),"x0x1x2x3x4x5x6x7x8x9"))),OR(10&gt;LEN(B764),MID(B764,10,1)=".",ISNUMBER(FIND("x"&amp;MID(B764,10,1),"x0x1x2x3x4x5x6x7x8x9"))),OR(AND(FIND(".",B764)=5,LEN(B764)-FIND(".",B764,FIND(".",B764)+1)&gt;=1,LEN(B764)-FIND(".",B764,FIND(".",B764)+1)&lt;=2),AND(LEN(B764)-FIND(".",B764,FIND(".",B764)+1)=4,FIND(".",B764)&gt;=2,FIND(".",B764)&lt;=3)),FIND(".",B764,FIND(".",B764)+1)-FIND(".",B764)&gt;=2,FIND(".",B764,FIND(".",B764)+1)-FIND(".",B764)&lt;=3,F764&gt;=2000,F764&lt;=2100,YEAR(I764)=F764,MONTH(I764)=G764,DAY(I764)=H764),I764,0)),0)</ns0:f>
        <ns0:v>0</ns0:v>
      </ns0:c>
      <ns0:c r="K764" s="0">
        <ns0:f>IFERROR(IF(ISNUMBER(Bookings!D764),"",TRIM(Bookings!D764&amp;"")),"")</ns0:f>
      </ns0:c>
      <ns0:c r="L764" s="0">
        <ns0:f>IFERROR(SUBSTITUTE(SUBSTITUTE(K764,"/","."),"-","."),"")</ns0:f>
      </ns0:c>
      <ns0:c r="M764" s="0">
        <ns0:f>IFERROR(LEFT(L764,FIND(".",L764)-1),"")</ns0:f>
      </ns0:c>
      <ns0:c r="N764" s="0">
        <ns0:f>IFERROR(MID(L764,FIND(".",L764)+1,FIND(".",L764,FIND(".",L764)+1)-FIND(".",L764)-1),"")</ns0:f>
      </ns0:c>
      <ns0:c r="O764" s="0">
        <ns0:f>IFERROR(MID(L764,FIND(".",L764,FIND(".",L764)+1)+1,99),"")</ns0:f>
        <ns0:v>99</ns0:v>
      </ns0:c>
      <ns0:c r="P764" s="0">
        <ns0:f>IFERROR(IF(FIND(".",L764)=5,--M764,--O764),0)</ns0:f>
        <ns0:v>0</ns0:v>
      </ns0:c>
      <ns0:c r="Q764" s="0">
        <ns0:f>IFERROR(--N764,0)</ns0:f>
        <ns0:v>0</ns0:v>
      </ns0:c>
      <ns0:c r="R764" s="0">
        <ns0:f>IFERROR(IF(FIND(".",L764)=5,--O764,--M764),0)</ns0:f>
        <ns0:v>0</ns0:v>
      </ns0:c>
      <ns0:c r="S764" s="0">
        <ns0:f>IFERROR(IF(AND(P764&gt;=2000,P764&lt;=2100,Q764&gt;=1,Q764&lt;=12,R764&gt;=1,R764&lt;=31),DATE(P764,Q764,R764),0),0)</ns0:f>
        <ns0:v>0</ns0:v>
      </ns0:c>
      <ns0:c r="T764" s="0">
        <ns0:f>IFERROR(IF(ISNUMBER(Bookings!D764),IF(AND(Bookings!D764=INT(Bookings!D764),Bookings!D764&gt;=DATE(2000,1,1),Bookings!D764&lt;=DATE(2100,12,31)),Bookings!D764,0),IF(AND(K764&lt;&gt;"",LEN("x"&amp;L764)-LEN(SUBSTITUTE("x"&amp;L764,".",""))=2,OR(1&gt;LEN(L764),MID(L764,1,1)=".",ISNUMBER(FIND("x"&amp;MID(L764,1,1),"x0x1x2x3x4x5x6x7x8x9"))),OR(2&gt;LEN(L764),MID(L764,2,1)=".",ISNUMBER(FIND("x"&amp;MID(L764,2,1),"x0x1x2x3x4x5x6x7x8x9"))),OR(3&gt;LEN(L764),MID(L764,3,1)=".",ISNUMBER(FIND("x"&amp;MID(L764,3,1),"x0x1x2x3x4x5x6x7x8x9"))),OR(4&gt;LEN(L764),MID(L764,4,1)=".",ISNUMBER(FIND("x"&amp;MID(L764,4,1),"x0x1x2x3x4x5x6x7x8x9"))),OR(5&gt;LEN(L764),MID(L764,5,1)=".",ISNUMBER(FIND("x"&amp;MID(L764,5,1),"x0x1x2x3x4x5x6x7x8x9"))),OR(6&gt;LEN(L764),MID(L764,6,1)=".",ISNUMBER(FIND("x"&amp;MID(L764,6,1),"x0x1x2x3x4x5x6x7x8x9"))),OR(7&gt;LEN(L764),MID(L764,7,1)=".",ISNUMBER(FIND("x"&amp;MID(L764,7,1),"x0x1x2x3x4x5x6x7x8x9"))),OR(8&gt;LEN(L764),MID(L764,8,1)=".",ISNUMBER(FIND("x"&amp;MID(L764,8,1),"x0x1x2x3x4x5x6x7x8x9"))),OR(9&gt;LEN(L764),MID(L764,9,1)=".",ISNUMBER(FIND("x"&amp;MID(L764,9,1),"x0x1x2x3x4x5x6x7x8x9"))),OR(10&gt;LEN(L764),MID(L764,10,1)=".",ISNUMBER(FIND("x"&amp;MID(L764,10,1),"x0x1x2x3x4x5x6x7x8x9"))),OR(AND(FIND(".",L764)=5,LEN(L764)-FIND(".",L764,FIND(".",L764)+1)&gt;=1,LEN(L764)-FIND(".",L764,FIND(".",L764)+1)&lt;=2),AND(LEN(L764)-FIND(".",L764,FIND(".",L764)+1)=4,FIND(".",L764)&gt;=2,FIND(".",L764)&lt;=3)),FIND(".",L764,FIND(".",L764)+1)-FIND(".",L764)&gt;=2,FIND(".",L764,FIND(".",L764)+1)-FIND(".",L764)&lt;=3,P764&gt;=2000,P764&lt;=2100,YEAR(S764)=P764,MONTH(S764)=Q764,DAY(S764)=R764),S764,0)),0)</ns0:f>
        <ns0:v>0</ns0:v>
      </ns0:c>
      <ns0:c r="U764" s="0" t="str">
        <ns0:f>IF(Bookings!C764="","Full day",Bookings!C764)</ns0:f>
        <ns0:v>Full day</ns0:v>
      </ns0:c>
      <ns0:c r="V764" s="0" t="str">
        <ns0:f>IF(Bookings!E764="","Full day",Bookings!E764)</ns0:f>
        <ns0:v>Full day</ns0:v>
      </ns0:c>
      <ns0:c r="W764" s="0">
        <ns0:f>IF(J764=0,0,J764+IF(U764="PM",1,0))</ns0:f>
        <ns0:v>0</ns0:v>
      </ns0:c>
      <ns0:c r="X764" s="0">
        <ns0:f>IF(T764=0,0,T764-IF(V764="PM",1,0))</ns0:f>
        <ns0:v>0</ns0:v>
      </ns0:c>
      <ns0:c r="Y764" s="0">
        <ns0:f>IF(J764=0,0,J764+IF(U764="AM",1,0))</ns0:f>
        <ns0:v>0</ns0:v>
      </ns0:c>
      <ns0:c r="Z764" s="0">
        <ns0:f>IF(T764=0,0,T764-IF(V764="AM",1,0))</ns0:f>
        <ns0:v>0</ns0:v>
      </ns0:c>
      <ns0:c r="AA764" s="0">
        <ns0:f>IFERROR(IF(AND(J764&gt;0,'_Engine'!C764&gt;0,MID('_Engine'!W764,WEEKDAY(J764,2),1)="W",COUNTIF(Settings!$F$18:$F$67,J764)=0),1,0),0)</ns0:f>
        <ns0:v>0</ns0:v>
      </ns0:c>
      <ns0:c r="AB764" s="0">
        <ns0:f>IFERROR(IF(AND(T764&gt;0,'_Engine'!C764&gt;0,MID('_Engine'!W764,WEEKDAY(T764,2),1)="W",COUNTIF(Settings!$F$18:$F$67,T764)=0),1,0),0)</ns0:f>
        <ns0:v>0</ns0:v>
      </ns0:c>
      <ns0:c r="AC764" s="0">
        <ns0:f>IF(AND(J764&gt;0,T764&gt;0,W764&lt;=X764),1,0)</ns0:f>
        <ns0:v>0</ns0:v>
      </ns0:c>
      <ns0:c r="AD764" s="0">
        <ns0:f>IF(AND(J764&gt;0,T764&gt;0,Y764&lt;=Z764),1,0)</ns0:f>
        <ns0:v>0</ns0:v>
      </ns0:c>
    </ns0:row>
    <ns0:row r="765">
      <ns0:c r="A765" s="0">
        <ns0:f>IFERROR(IF(ISNUMBER(Bookings!B765),"",TRIM(Bookings!B765&amp;"")),"")</ns0:f>
      </ns0:c>
      <ns0:c r="B765" s="0">
        <ns0:f>IFERROR(SUBSTITUTE(SUBSTITUTE(A765,"/","."),"-","."),"")</ns0:f>
      </ns0:c>
      <ns0:c r="C765" s="0">
        <ns0:f>IFERROR(LEFT(B765,FIND(".",B765)-1),"")</ns0:f>
      </ns0:c>
      <ns0:c r="D765" s="0">
        <ns0:f>IFERROR(MID(B765,FIND(".",B765)+1,FIND(".",B765,FIND(".",B765)+1)-FIND(".",B765)-1),"")</ns0:f>
      </ns0:c>
      <ns0:c r="E765" s="0">
        <ns0:f>IFERROR(MID(B765,FIND(".",B765,FIND(".",B765)+1)+1,99),"")</ns0:f>
        <ns0:v>99</ns0:v>
      </ns0:c>
      <ns0:c r="F765" s="0">
        <ns0:f>IFERROR(IF(FIND(".",B765)=5,--C765,--E765),0)</ns0:f>
        <ns0:v>0</ns0:v>
      </ns0:c>
      <ns0:c r="G765" s="0">
        <ns0:f>IFERROR(--D765,0)</ns0:f>
        <ns0:v>0</ns0:v>
      </ns0:c>
      <ns0:c r="H765" s="0">
        <ns0:f>IFERROR(IF(FIND(".",B765)=5,--E765,--C765),0)</ns0:f>
        <ns0:v>0</ns0:v>
      </ns0:c>
      <ns0:c r="I765" s="0">
        <ns0:f>IFERROR(IF(AND(F765&gt;=2000,F765&lt;=2100,G765&gt;=1,G765&lt;=12,H765&gt;=1,H765&lt;=31),DATE(F765,G765,H765),0),0)</ns0:f>
        <ns0:v>0</ns0:v>
      </ns0:c>
      <ns0:c r="J765" s="0">
        <ns0:f>IFERROR(IF(ISNUMBER(Bookings!B765),IF(AND(Bookings!B765=INT(Bookings!B765),Bookings!B765&gt;=DATE(2000,1,1),Bookings!B765&lt;=DATE(2100,12,31)),Bookings!B765,0),IF(AND(A765&lt;&gt;"",LEN("x"&amp;B765)-LEN(SUBSTITUTE("x"&amp;B765,".",""))=2,OR(1&gt;LEN(B765),MID(B765,1,1)=".",ISNUMBER(FIND("x"&amp;MID(B765,1,1),"x0x1x2x3x4x5x6x7x8x9"))),OR(2&gt;LEN(B765),MID(B765,2,1)=".",ISNUMBER(FIND("x"&amp;MID(B765,2,1),"x0x1x2x3x4x5x6x7x8x9"))),OR(3&gt;LEN(B765),MID(B765,3,1)=".",ISNUMBER(FIND("x"&amp;MID(B765,3,1),"x0x1x2x3x4x5x6x7x8x9"))),OR(4&gt;LEN(B765),MID(B765,4,1)=".",ISNUMBER(FIND("x"&amp;MID(B765,4,1),"x0x1x2x3x4x5x6x7x8x9"))),OR(5&gt;LEN(B765),MID(B765,5,1)=".",ISNUMBER(FIND("x"&amp;MID(B765,5,1),"x0x1x2x3x4x5x6x7x8x9"))),OR(6&gt;LEN(B765),MID(B765,6,1)=".",ISNUMBER(FIND("x"&amp;MID(B765,6,1),"x0x1x2x3x4x5x6x7x8x9"))),OR(7&gt;LEN(B765),MID(B765,7,1)=".",ISNUMBER(FIND("x"&amp;MID(B765,7,1),"x0x1x2x3x4x5x6x7x8x9"))),OR(8&gt;LEN(B765),MID(B765,8,1)=".",ISNUMBER(FIND("x"&amp;MID(B765,8,1),"x0x1x2x3x4x5x6x7x8x9"))),OR(9&gt;LEN(B765),MID(B765,9,1)=".",ISNUMBER(FIND("x"&amp;MID(B765,9,1),"x0x1x2x3x4x5x6x7x8x9"))),OR(10&gt;LEN(B765),MID(B765,10,1)=".",ISNUMBER(FIND("x"&amp;MID(B765,10,1),"x0x1x2x3x4x5x6x7x8x9"))),OR(AND(FIND(".",B765)=5,LEN(B765)-FIND(".",B765,FIND(".",B765)+1)&gt;=1,LEN(B765)-FIND(".",B765,FIND(".",B765)+1)&lt;=2),AND(LEN(B765)-FIND(".",B765,FIND(".",B765)+1)=4,FIND(".",B765)&gt;=2,FIND(".",B765)&lt;=3)),FIND(".",B765,FIND(".",B765)+1)-FIND(".",B765)&gt;=2,FIND(".",B765,FIND(".",B765)+1)-FIND(".",B765)&lt;=3,F765&gt;=2000,F765&lt;=2100,YEAR(I765)=F765,MONTH(I765)=G765,DAY(I765)=H765),I765,0)),0)</ns0:f>
        <ns0:v>0</ns0:v>
      </ns0:c>
      <ns0:c r="K765" s="0">
        <ns0:f>IFERROR(IF(ISNUMBER(Bookings!D765),"",TRIM(Bookings!D765&amp;"")),"")</ns0:f>
      </ns0:c>
      <ns0:c r="L765" s="0">
        <ns0:f>IFERROR(SUBSTITUTE(SUBSTITUTE(K765,"/","."),"-","."),"")</ns0:f>
      </ns0:c>
      <ns0:c r="M765" s="0">
        <ns0:f>IFERROR(LEFT(L765,FIND(".",L765)-1),"")</ns0:f>
      </ns0:c>
      <ns0:c r="N765" s="0">
        <ns0:f>IFERROR(MID(L765,FIND(".",L765)+1,FIND(".",L765,FIND(".",L765)+1)-FIND(".",L765)-1),"")</ns0:f>
      </ns0:c>
      <ns0:c r="O765" s="0">
        <ns0:f>IFERROR(MID(L765,FIND(".",L765,FIND(".",L765)+1)+1,99),"")</ns0:f>
        <ns0:v>99</ns0:v>
      </ns0:c>
      <ns0:c r="P765" s="0">
        <ns0:f>IFERROR(IF(FIND(".",L765)=5,--M765,--O765),0)</ns0:f>
        <ns0:v>0</ns0:v>
      </ns0:c>
      <ns0:c r="Q765" s="0">
        <ns0:f>IFERROR(--N765,0)</ns0:f>
        <ns0:v>0</ns0:v>
      </ns0:c>
      <ns0:c r="R765" s="0">
        <ns0:f>IFERROR(IF(FIND(".",L765)=5,--O765,--M765),0)</ns0:f>
        <ns0:v>0</ns0:v>
      </ns0:c>
      <ns0:c r="S765" s="0">
        <ns0:f>IFERROR(IF(AND(P765&gt;=2000,P765&lt;=2100,Q765&gt;=1,Q765&lt;=12,R765&gt;=1,R765&lt;=31),DATE(P765,Q765,R765),0),0)</ns0:f>
        <ns0:v>0</ns0:v>
      </ns0:c>
      <ns0:c r="T765" s="0">
        <ns0:f>IFERROR(IF(ISNUMBER(Bookings!D765),IF(AND(Bookings!D765=INT(Bookings!D765),Bookings!D765&gt;=DATE(2000,1,1),Bookings!D765&lt;=DATE(2100,12,31)),Bookings!D765,0),IF(AND(K765&lt;&gt;"",LEN("x"&amp;L765)-LEN(SUBSTITUTE("x"&amp;L765,".",""))=2,OR(1&gt;LEN(L765),MID(L765,1,1)=".",ISNUMBER(FIND("x"&amp;MID(L765,1,1),"x0x1x2x3x4x5x6x7x8x9"))),OR(2&gt;LEN(L765),MID(L765,2,1)=".",ISNUMBER(FIND("x"&amp;MID(L765,2,1),"x0x1x2x3x4x5x6x7x8x9"))),OR(3&gt;LEN(L765),MID(L765,3,1)=".",ISNUMBER(FIND("x"&amp;MID(L765,3,1),"x0x1x2x3x4x5x6x7x8x9"))),OR(4&gt;LEN(L765),MID(L765,4,1)=".",ISNUMBER(FIND("x"&amp;MID(L765,4,1),"x0x1x2x3x4x5x6x7x8x9"))),OR(5&gt;LEN(L765),MID(L765,5,1)=".",ISNUMBER(FIND("x"&amp;MID(L765,5,1),"x0x1x2x3x4x5x6x7x8x9"))),OR(6&gt;LEN(L765),MID(L765,6,1)=".",ISNUMBER(FIND("x"&amp;MID(L765,6,1),"x0x1x2x3x4x5x6x7x8x9"))),OR(7&gt;LEN(L765),MID(L765,7,1)=".",ISNUMBER(FIND("x"&amp;MID(L765,7,1),"x0x1x2x3x4x5x6x7x8x9"))),OR(8&gt;LEN(L765),MID(L765,8,1)=".",ISNUMBER(FIND("x"&amp;MID(L765,8,1),"x0x1x2x3x4x5x6x7x8x9"))),OR(9&gt;LEN(L765),MID(L765,9,1)=".",ISNUMBER(FIND("x"&amp;MID(L765,9,1),"x0x1x2x3x4x5x6x7x8x9"))),OR(10&gt;LEN(L765),MID(L765,10,1)=".",ISNUMBER(FIND("x"&amp;MID(L765,10,1),"x0x1x2x3x4x5x6x7x8x9"))),OR(AND(FIND(".",L765)=5,LEN(L765)-FIND(".",L765,FIND(".",L765)+1)&gt;=1,LEN(L765)-FIND(".",L765,FIND(".",L765)+1)&lt;=2),AND(LEN(L765)-FIND(".",L765,FIND(".",L765)+1)=4,FIND(".",L765)&gt;=2,FIND(".",L765)&lt;=3)),FIND(".",L765,FIND(".",L765)+1)-FIND(".",L765)&gt;=2,FIND(".",L765,FIND(".",L765)+1)-FIND(".",L765)&lt;=3,P765&gt;=2000,P765&lt;=2100,YEAR(S765)=P765,MONTH(S765)=Q765,DAY(S765)=R765),S765,0)),0)</ns0:f>
        <ns0:v>0</ns0:v>
      </ns0:c>
      <ns0:c r="U765" s="0" t="str">
        <ns0:f>IF(Bookings!C765="","Full day",Bookings!C765)</ns0:f>
        <ns0:v>Full day</ns0:v>
      </ns0:c>
      <ns0:c r="V765" s="0" t="str">
        <ns0:f>IF(Bookings!E765="","Full day",Bookings!E765)</ns0:f>
        <ns0:v>Full day</ns0:v>
      </ns0:c>
      <ns0:c r="W765" s="0">
        <ns0:f>IF(J765=0,0,J765+IF(U765="PM",1,0))</ns0:f>
        <ns0:v>0</ns0:v>
      </ns0:c>
      <ns0:c r="X765" s="0">
        <ns0:f>IF(T765=0,0,T765-IF(V765="PM",1,0))</ns0:f>
        <ns0:v>0</ns0:v>
      </ns0:c>
      <ns0:c r="Y765" s="0">
        <ns0:f>IF(J765=0,0,J765+IF(U765="AM",1,0))</ns0:f>
        <ns0:v>0</ns0:v>
      </ns0:c>
      <ns0:c r="Z765" s="0">
        <ns0:f>IF(T765=0,0,T765-IF(V765="AM",1,0))</ns0:f>
        <ns0:v>0</ns0:v>
      </ns0:c>
      <ns0:c r="AA765" s="0">
        <ns0:f>IFERROR(IF(AND(J765&gt;0,'_Engine'!C765&gt;0,MID('_Engine'!W765,WEEKDAY(J765,2),1)="W",COUNTIF(Settings!$F$18:$F$67,J765)=0),1,0),0)</ns0:f>
        <ns0:v>0</ns0:v>
      </ns0:c>
      <ns0:c r="AB765" s="0">
        <ns0:f>IFERROR(IF(AND(T765&gt;0,'_Engine'!C765&gt;0,MID('_Engine'!W765,WEEKDAY(T765,2),1)="W",COUNTIF(Settings!$F$18:$F$67,T765)=0),1,0),0)</ns0:f>
        <ns0:v>0</ns0:v>
      </ns0:c>
      <ns0:c r="AC765" s="0">
        <ns0:f>IF(AND(J765&gt;0,T765&gt;0,W765&lt;=X765),1,0)</ns0:f>
        <ns0:v>0</ns0:v>
      </ns0:c>
      <ns0:c r="AD765" s="0">
        <ns0:f>IF(AND(J765&gt;0,T765&gt;0,Y765&lt;=Z765),1,0)</ns0:f>
        <ns0:v>0</ns0:v>
      </ns0:c>
    </ns0:row>
    <ns0:row r="766">
      <ns0:c r="A766" s="0">
        <ns0:f>IFERROR(IF(ISNUMBER(Bookings!B766),"",TRIM(Bookings!B766&amp;"")),"")</ns0:f>
      </ns0:c>
      <ns0:c r="B766" s="0">
        <ns0:f>IFERROR(SUBSTITUTE(SUBSTITUTE(A766,"/","."),"-","."),"")</ns0:f>
      </ns0:c>
      <ns0:c r="C766" s="0">
        <ns0:f>IFERROR(LEFT(B766,FIND(".",B766)-1),"")</ns0:f>
      </ns0:c>
      <ns0:c r="D766" s="0">
        <ns0:f>IFERROR(MID(B766,FIND(".",B766)+1,FIND(".",B766,FIND(".",B766)+1)-FIND(".",B766)-1),"")</ns0:f>
      </ns0:c>
      <ns0:c r="E766" s="0">
        <ns0:f>IFERROR(MID(B766,FIND(".",B766,FIND(".",B766)+1)+1,99),"")</ns0:f>
        <ns0:v>99</ns0:v>
      </ns0:c>
      <ns0:c r="F766" s="0">
        <ns0:f>IFERROR(IF(FIND(".",B766)=5,--C766,--E766),0)</ns0:f>
        <ns0:v>0</ns0:v>
      </ns0:c>
      <ns0:c r="G766" s="0">
        <ns0:f>IFERROR(--D766,0)</ns0:f>
        <ns0:v>0</ns0:v>
      </ns0:c>
      <ns0:c r="H766" s="0">
        <ns0:f>IFERROR(IF(FIND(".",B766)=5,--E766,--C766),0)</ns0:f>
        <ns0:v>0</ns0:v>
      </ns0:c>
      <ns0:c r="I766" s="0">
        <ns0:f>IFERROR(IF(AND(F766&gt;=2000,F766&lt;=2100,G766&gt;=1,G766&lt;=12,H766&gt;=1,H766&lt;=31),DATE(F766,G766,H766),0),0)</ns0:f>
        <ns0:v>0</ns0:v>
      </ns0:c>
      <ns0:c r="J766" s="0">
        <ns0:f>IFERROR(IF(ISNUMBER(Bookings!B766),IF(AND(Bookings!B766=INT(Bookings!B766),Bookings!B766&gt;=DATE(2000,1,1),Bookings!B766&lt;=DATE(2100,12,31)),Bookings!B766,0),IF(AND(A766&lt;&gt;"",LEN("x"&amp;B766)-LEN(SUBSTITUTE("x"&amp;B766,".",""))=2,OR(1&gt;LEN(B766),MID(B766,1,1)=".",ISNUMBER(FIND("x"&amp;MID(B766,1,1),"x0x1x2x3x4x5x6x7x8x9"))),OR(2&gt;LEN(B766),MID(B766,2,1)=".",ISNUMBER(FIND("x"&amp;MID(B766,2,1),"x0x1x2x3x4x5x6x7x8x9"))),OR(3&gt;LEN(B766),MID(B766,3,1)=".",ISNUMBER(FIND("x"&amp;MID(B766,3,1),"x0x1x2x3x4x5x6x7x8x9"))),OR(4&gt;LEN(B766),MID(B766,4,1)=".",ISNUMBER(FIND("x"&amp;MID(B766,4,1),"x0x1x2x3x4x5x6x7x8x9"))),OR(5&gt;LEN(B766),MID(B766,5,1)=".",ISNUMBER(FIND("x"&amp;MID(B766,5,1),"x0x1x2x3x4x5x6x7x8x9"))),OR(6&gt;LEN(B766),MID(B766,6,1)=".",ISNUMBER(FIND("x"&amp;MID(B766,6,1),"x0x1x2x3x4x5x6x7x8x9"))),OR(7&gt;LEN(B766),MID(B766,7,1)=".",ISNUMBER(FIND("x"&amp;MID(B766,7,1),"x0x1x2x3x4x5x6x7x8x9"))),OR(8&gt;LEN(B766),MID(B766,8,1)=".",ISNUMBER(FIND("x"&amp;MID(B766,8,1),"x0x1x2x3x4x5x6x7x8x9"))),OR(9&gt;LEN(B766),MID(B766,9,1)=".",ISNUMBER(FIND("x"&amp;MID(B766,9,1),"x0x1x2x3x4x5x6x7x8x9"))),OR(10&gt;LEN(B766),MID(B766,10,1)=".",ISNUMBER(FIND("x"&amp;MID(B766,10,1),"x0x1x2x3x4x5x6x7x8x9"))),OR(AND(FIND(".",B766)=5,LEN(B766)-FIND(".",B766,FIND(".",B766)+1)&gt;=1,LEN(B766)-FIND(".",B766,FIND(".",B766)+1)&lt;=2),AND(LEN(B766)-FIND(".",B766,FIND(".",B766)+1)=4,FIND(".",B766)&gt;=2,FIND(".",B766)&lt;=3)),FIND(".",B766,FIND(".",B766)+1)-FIND(".",B766)&gt;=2,FIND(".",B766,FIND(".",B766)+1)-FIND(".",B766)&lt;=3,F766&gt;=2000,F766&lt;=2100,YEAR(I766)=F766,MONTH(I766)=G766,DAY(I766)=H766),I766,0)),0)</ns0:f>
        <ns0:v>0</ns0:v>
      </ns0:c>
      <ns0:c r="K766" s="0">
        <ns0:f>IFERROR(IF(ISNUMBER(Bookings!D766),"",TRIM(Bookings!D766&amp;"")),"")</ns0:f>
      </ns0:c>
      <ns0:c r="L766" s="0">
        <ns0:f>IFERROR(SUBSTITUTE(SUBSTITUTE(K766,"/","."),"-","."),"")</ns0:f>
      </ns0:c>
      <ns0:c r="M766" s="0">
        <ns0:f>IFERROR(LEFT(L766,FIND(".",L766)-1),"")</ns0:f>
      </ns0:c>
      <ns0:c r="N766" s="0">
        <ns0:f>IFERROR(MID(L766,FIND(".",L766)+1,FIND(".",L766,FIND(".",L766)+1)-FIND(".",L766)-1),"")</ns0:f>
      </ns0:c>
      <ns0:c r="O766" s="0">
        <ns0:f>IFERROR(MID(L766,FIND(".",L766,FIND(".",L766)+1)+1,99),"")</ns0:f>
        <ns0:v>99</ns0:v>
      </ns0:c>
      <ns0:c r="P766" s="0">
        <ns0:f>IFERROR(IF(FIND(".",L766)=5,--M766,--O766),0)</ns0:f>
        <ns0:v>0</ns0:v>
      </ns0:c>
      <ns0:c r="Q766" s="0">
        <ns0:f>IFERROR(--N766,0)</ns0:f>
        <ns0:v>0</ns0:v>
      </ns0:c>
      <ns0:c r="R766" s="0">
        <ns0:f>IFERROR(IF(FIND(".",L766)=5,--O766,--M766),0)</ns0:f>
        <ns0:v>0</ns0:v>
      </ns0:c>
      <ns0:c r="S766" s="0">
        <ns0:f>IFERROR(IF(AND(P766&gt;=2000,P766&lt;=2100,Q766&gt;=1,Q766&lt;=12,R766&gt;=1,R766&lt;=31),DATE(P766,Q766,R766),0),0)</ns0:f>
        <ns0:v>0</ns0:v>
      </ns0:c>
      <ns0:c r="T766" s="0">
        <ns0:f>IFERROR(IF(ISNUMBER(Bookings!D766),IF(AND(Bookings!D766=INT(Bookings!D766),Bookings!D766&gt;=DATE(2000,1,1),Bookings!D766&lt;=DATE(2100,12,31)),Bookings!D766,0),IF(AND(K766&lt;&gt;"",LEN("x"&amp;L766)-LEN(SUBSTITUTE("x"&amp;L766,".",""))=2,OR(1&gt;LEN(L766),MID(L766,1,1)=".",ISNUMBER(FIND("x"&amp;MID(L766,1,1),"x0x1x2x3x4x5x6x7x8x9"))),OR(2&gt;LEN(L766),MID(L766,2,1)=".",ISNUMBER(FIND("x"&amp;MID(L766,2,1),"x0x1x2x3x4x5x6x7x8x9"))),OR(3&gt;LEN(L766),MID(L766,3,1)=".",ISNUMBER(FIND("x"&amp;MID(L766,3,1),"x0x1x2x3x4x5x6x7x8x9"))),OR(4&gt;LEN(L766),MID(L766,4,1)=".",ISNUMBER(FIND("x"&amp;MID(L766,4,1),"x0x1x2x3x4x5x6x7x8x9"))),OR(5&gt;LEN(L766),MID(L766,5,1)=".",ISNUMBER(FIND("x"&amp;MID(L766,5,1),"x0x1x2x3x4x5x6x7x8x9"))),OR(6&gt;LEN(L766),MID(L766,6,1)=".",ISNUMBER(FIND("x"&amp;MID(L766,6,1),"x0x1x2x3x4x5x6x7x8x9"))),OR(7&gt;LEN(L766),MID(L766,7,1)=".",ISNUMBER(FIND("x"&amp;MID(L766,7,1),"x0x1x2x3x4x5x6x7x8x9"))),OR(8&gt;LEN(L766),MID(L766,8,1)=".",ISNUMBER(FIND("x"&amp;MID(L766,8,1),"x0x1x2x3x4x5x6x7x8x9"))),OR(9&gt;LEN(L766),MID(L766,9,1)=".",ISNUMBER(FIND("x"&amp;MID(L766,9,1),"x0x1x2x3x4x5x6x7x8x9"))),OR(10&gt;LEN(L766),MID(L766,10,1)=".",ISNUMBER(FIND("x"&amp;MID(L766,10,1),"x0x1x2x3x4x5x6x7x8x9"))),OR(AND(FIND(".",L766)=5,LEN(L766)-FIND(".",L766,FIND(".",L766)+1)&gt;=1,LEN(L766)-FIND(".",L766,FIND(".",L766)+1)&lt;=2),AND(LEN(L766)-FIND(".",L766,FIND(".",L766)+1)=4,FIND(".",L766)&gt;=2,FIND(".",L766)&lt;=3)),FIND(".",L766,FIND(".",L766)+1)-FIND(".",L766)&gt;=2,FIND(".",L766,FIND(".",L766)+1)-FIND(".",L766)&lt;=3,P766&gt;=2000,P766&lt;=2100,YEAR(S766)=P766,MONTH(S766)=Q766,DAY(S766)=R766),S766,0)),0)</ns0:f>
        <ns0:v>0</ns0:v>
      </ns0:c>
      <ns0:c r="U766" s="0" t="str">
        <ns0:f>IF(Bookings!C766="","Full day",Bookings!C766)</ns0:f>
        <ns0:v>Full day</ns0:v>
      </ns0:c>
      <ns0:c r="V766" s="0" t="str">
        <ns0:f>IF(Bookings!E766="","Full day",Bookings!E766)</ns0:f>
        <ns0:v>Full day</ns0:v>
      </ns0:c>
      <ns0:c r="W766" s="0">
        <ns0:f>IF(J766=0,0,J766+IF(U766="PM",1,0))</ns0:f>
        <ns0:v>0</ns0:v>
      </ns0:c>
      <ns0:c r="X766" s="0">
        <ns0:f>IF(T766=0,0,T766-IF(V766="PM",1,0))</ns0:f>
        <ns0:v>0</ns0:v>
      </ns0:c>
      <ns0:c r="Y766" s="0">
        <ns0:f>IF(J766=0,0,J766+IF(U766="AM",1,0))</ns0:f>
        <ns0:v>0</ns0:v>
      </ns0:c>
      <ns0:c r="Z766" s="0">
        <ns0:f>IF(T766=0,0,T766-IF(V766="AM",1,0))</ns0:f>
        <ns0:v>0</ns0:v>
      </ns0:c>
      <ns0:c r="AA766" s="0">
        <ns0:f>IFERROR(IF(AND(J766&gt;0,'_Engine'!C766&gt;0,MID('_Engine'!W766,WEEKDAY(J766,2),1)="W",COUNTIF(Settings!$F$18:$F$67,J766)=0),1,0),0)</ns0:f>
        <ns0:v>0</ns0:v>
      </ns0:c>
      <ns0:c r="AB766" s="0">
        <ns0:f>IFERROR(IF(AND(T766&gt;0,'_Engine'!C766&gt;0,MID('_Engine'!W766,WEEKDAY(T766,2),1)="W",COUNTIF(Settings!$F$18:$F$67,T766)=0),1,0),0)</ns0:f>
        <ns0:v>0</ns0:v>
      </ns0:c>
      <ns0:c r="AC766" s="0">
        <ns0:f>IF(AND(J766&gt;0,T766&gt;0,W766&lt;=X766),1,0)</ns0:f>
        <ns0:v>0</ns0:v>
      </ns0:c>
      <ns0:c r="AD766" s="0">
        <ns0:f>IF(AND(J766&gt;0,T766&gt;0,Y766&lt;=Z766),1,0)</ns0:f>
        <ns0:v>0</ns0:v>
      </ns0:c>
    </ns0:row>
    <ns0:row r="767">
      <ns0:c r="A767" s="0">
        <ns0:f>IFERROR(IF(ISNUMBER(Bookings!B767),"",TRIM(Bookings!B767&amp;"")),"")</ns0:f>
      </ns0:c>
      <ns0:c r="B767" s="0">
        <ns0:f>IFERROR(SUBSTITUTE(SUBSTITUTE(A767,"/","."),"-","."),"")</ns0:f>
      </ns0:c>
      <ns0:c r="C767" s="0">
        <ns0:f>IFERROR(LEFT(B767,FIND(".",B767)-1),"")</ns0:f>
      </ns0:c>
      <ns0:c r="D767" s="0">
        <ns0:f>IFERROR(MID(B767,FIND(".",B767)+1,FIND(".",B767,FIND(".",B767)+1)-FIND(".",B767)-1),"")</ns0:f>
      </ns0:c>
      <ns0:c r="E767" s="0">
        <ns0:f>IFERROR(MID(B767,FIND(".",B767,FIND(".",B767)+1)+1,99),"")</ns0:f>
        <ns0:v>99</ns0:v>
      </ns0:c>
      <ns0:c r="F767" s="0">
        <ns0:f>IFERROR(IF(FIND(".",B767)=5,--C767,--E767),0)</ns0:f>
        <ns0:v>0</ns0:v>
      </ns0:c>
      <ns0:c r="G767" s="0">
        <ns0:f>IFERROR(--D767,0)</ns0:f>
        <ns0:v>0</ns0:v>
      </ns0:c>
      <ns0:c r="H767" s="0">
        <ns0:f>IFERROR(IF(FIND(".",B767)=5,--E767,--C767),0)</ns0:f>
        <ns0:v>0</ns0:v>
      </ns0:c>
      <ns0:c r="I767" s="0">
        <ns0:f>IFERROR(IF(AND(F767&gt;=2000,F767&lt;=2100,G767&gt;=1,G767&lt;=12,H767&gt;=1,H767&lt;=31),DATE(F767,G767,H767),0),0)</ns0:f>
        <ns0:v>0</ns0:v>
      </ns0:c>
      <ns0:c r="J767" s="0">
        <ns0:f>IFERROR(IF(ISNUMBER(Bookings!B767),IF(AND(Bookings!B767=INT(Bookings!B767),Bookings!B767&gt;=DATE(2000,1,1),Bookings!B767&lt;=DATE(2100,12,31)),Bookings!B767,0),IF(AND(A767&lt;&gt;"",LEN("x"&amp;B767)-LEN(SUBSTITUTE("x"&amp;B767,".",""))=2,OR(1&gt;LEN(B767),MID(B767,1,1)=".",ISNUMBER(FIND("x"&amp;MID(B767,1,1),"x0x1x2x3x4x5x6x7x8x9"))),OR(2&gt;LEN(B767),MID(B767,2,1)=".",ISNUMBER(FIND("x"&amp;MID(B767,2,1),"x0x1x2x3x4x5x6x7x8x9"))),OR(3&gt;LEN(B767),MID(B767,3,1)=".",ISNUMBER(FIND("x"&amp;MID(B767,3,1),"x0x1x2x3x4x5x6x7x8x9"))),OR(4&gt;LEN(B767),MID(B767,4,1)=".",ISNUMBER(FIND("x"&amp;MID(B767,4,1),"x0x1x2x3x4x5x6x7x8x9"))),OR(5&gt;LEN(B767),MID(B767,5,1)=".",ISNUMBER(FIND("x"&amp;MID(B767,5,1),"x0x1x2x3x4x5x6x7x8x9"))),OR(6&gt;LEN(B767),MID(B767,6,1)=".",ISNUMBER(FIND("x"&amp;MID(B767,6,1),"x0x1x2x3x4x5x6x7x8x9"))),OR(7&gt;LEN(B767),MID(B767,7,1)=".",ISNUMBER(FIND("x"&amp;MID(B767,7,1),"x0x1x2x3x4x5x6x7x8x9"))),OR(8&gt;LEN(B767),MID(B767,8,1)=".",ISNUMBER(FIND("x"&amp;MID(B767,8,1),"x0x1x2x3x4x5x6x7x8x9"))),OR(9&gt;LEN(B767),MID(B767,9,1)=".",ISNUMBER(FIND("x"&amp;MID(B767,9,1),"x0x1x2x3x4x5x6x7x8x9"))),OR(10&gt;LEN(B767),MID(B767,10,1)=".",ISNUMBER(FIND("x"&amp;MID(B767,10,1),"x0x1x2x3x4x5x6x7x8x9"))),OR(AND(FIND(".",B767)=5,LEN(B767)-FIND(".",B767,FIND(".",B767)+1)&gt;=1,LEN(B767)-FIND(".",B767,FIND(".",B767)+1)&lt;=2),AND(LEN(B767)-FIND(".",B767,FIND(".",B767)+1)=4,FIND(".",B767)&gt;=2,FIND(".",B767)&lt;=3)),FIND(".",B767,FIND(".",B767)+1)-FIND(".",B767)&gt;=2,FIND(".",B767,FIND(".",B767)+1)-FIND(".",B767)&lt;=3,F767&gt;=2000,F767&lt;=2100,YEAR(I767)=F767,MONTH(I767)=G767,DAY(I767)=H767),I767,0)),0)</ns0:f>
        <ns0:v>0</ns0:v>
      </ns0:c>
      <ns0:c r="K767" s="0">
        <ns0:f>IFERROR(IF(ISNUMBER(Bookings!D767),"",TRIM(Bookings!D767&amp;"")),"")</ns0:f>
      </ns0:c>
      <ns0:c r="L767" s="0">
        <ns0:f>IFERROR(SUBSTITUTE(SUBSTITUTE(K767,"/","."),"-","."),"")</ns0:f>
      </ns0:c>
      <ns0:c r="M767" s="0">
        <ns0:f>IFERROR(LEFT(L767,FIND(".",L767)-1),"")</ns0:f>
      </ns0:c>
      <ns0:c r="N767" s="0">
        <ns0:f>IFERROR(MID(L767,FIND(".",L767)+1,FIND(".",L767,FIND(".",L767)+1)-FIND(".",L767)-1),"")</ns0:f>
      </ns0:c>
      <ns0:c r="O767" s="0">
        <ns0:f>IFERROR(MID(L767,FIND(".",L767,FIND(".",L767)+1)+1,99),"")</ns0:f>
        <ns0:v>99</ns0:v>
      </ns0:c>
      <ns0:c r="P767" s="0">
        <ns0:f>IFERROR(IF(FIND(".",L767)=5,--M767,--O767),0)</ns0:f>
        <ns0:v>0</ns0:v>
      </ns0:c>
      <ns0:c r="Q767" s="0">
        <ns0:f>IFERROR(--N767,0)</ns0:f>
        <ns0:v>0</ns0:v>
      </ns0:c>
      <ns0:c r="R767" s="0">
        <ns0:f>IFERROR(IF(FIND(".",L767)=5,--O767,--M767),0)</ns0:f>
        <ns0:v>0</ns0:v>
      </ns0:c>
      <ns0:c r="S767" s="0">
        <ns0:f>IFERROR(IF(AND(P767&gt;=2000,P767&lt;=2100,Q767&gt;=1,Q767&lt;=12,R767&gt;=1,R767&lt;=31),DATE(P767,Q767,R767),0),0)</ns0:f>
        <ns0:v>0</ns0:v>
      </ns0:c>
      <ns0:c r="T767" s="0">
        <ns0:f>IFERROR(IF(ISNUMBER(Bookings!D767),IF(AND(Bookings!D767=INT(Bookings!D767),Bookings!D767&gt;=DATE(2000,1,1),Bookings!D767&lt;=DATE(2100,12,31)),Bookings!D767,0),IF(AND(K767&lt;&gt;"",LEN("x"&amp;L767)-LEN(SUBSTITUTE("x"&amp;L767,".",""))=2,OR(1&gt;LEN(L767),MID(L767,1,1)=".",ISNUMBER(FIND("x"&amp;MID(L767,1,1),"x0x1x2x3x4x5x6x7x8x9"))),OR(2&gt;LEN(L767),MID(L767,2,1)=".",ISNUMBER(FIND("x"&amp;MID(L767,2,1),"x0x1x2x3x4x5x6x7x8x9"))),OR(3&gt;LEN(L767),MID(L767,3,1)=".",ISNUMBER(FIND("x"&amp;MID(L767,3,1),"x0x1x2x3x4x5x6x7x8x9"))),OR(4&gt;LEN(L767),MID(L767,4,1)=".",ISNUMBER(FIND("x"&amp;MID(L767,4,1),"x0x1x2x3x4x5x6x7x8x9"))),OR(5&gt;LEN(L767),MID(L767,5,1)=".",ISNUMBER(FIND("x"&amp;MID(L767,5,1),"x0x1x2x3x4x5x6x7x8x9"))),OR(6&gt;LEN(L767),MID(L767,6,1)=".",ISNUMBER(FIND("x"&amp;MID(L767,6,1),"x0x1x2x3x4x5x6x7x8x9"))),OR(7&gt;LEN(L767),MID(L767,7,1)=".",ISNUMBER(FIND("x"&amp;MID(L767,7,1),"x0x1x2x3x4x5x6x7x8x9"))),OR(8&gt;LEN(L767),MID(L767,8,1)=".",ISNUMBER(FIND("x"&amp;MID(L767,8,1),"x0x1x2x3x4x5x6x7x8x9"))),OR(9&gt;LEN(L767),MID(L767,9,1)=".",ISNUMBER(FIND("x"&amp;MID(L767,9,1),"x0x1x2x3x4x5x6x7x8x9"))),OR(10&gt;LEN(L767),MID(L767,10,1)=".",ISNUMBER(FIND("x"&amp;MID(L767,10,1),"x0x1x2x3x4x5x6x7x8x9"))),OR(AND(FIND(".",L767)=5,LEN(L767)-FIND(".",L767,FIND(".",L767)+1)&gt;=1,LEN(L767)-FIND(".",L767,FIND(".",L767)+1)&lt;=2),AND(LEN(L767)-FIND(".",L767,FIND(".",L767)+1)=4,FIND(".",L767)&gt;=2,FIND(".",L767)&lt;=3)),FIND(".",L767,FIND(".",L767)+1)-FIND(".",L767)&gt;=2,FIND(".",L767,FIND(".",L767)+1)-FIND(".",L767)&lt;=3,P767&gt;=2000,P767&lt;=2100,YEAR(S767)=P767,MONTH(S767)=Q767,DAY(S767)=R767),S767,0)),0)</ns0:f>
        <ns0:v>0</ns0:v>
      </ns0:c>
      <ns0:c r="U767" s="0" t="str">
        <ns0:f>IF(Bookings!C767="","Full day",Bookings!C767)</ns0:f>
        <ns0:v>Full day</ns0:v>
      </ns0:c>
      <ns0:c r="V767" s="0" t="str">
        <ns0:f>IF(Bookings!E767="","Full day",Bookings!E767)</ns0:f>
        <ns0:v>Full day</ns0:v>
      </ns0:c>
      <ns0:c r="W767" s="0">
        <ns0:f>IF(J767=0,0,J767+IF(U767="PM",1,0))</ns0:f>
        <ns0:v>0</ns0:v>
      </ns0:c>
      <ns0:c r="X767" s="0">
        <ns0:f>IF(T767=0,0,T767-IF(V767="PM",1,0))</ns0:f>
        <ns0:v>0</ns0:v>
      </ns0:c>
      <ns0:c r="Y767" s="0">
        <ns0:f>IF(J767=0,0,J767+IF(U767="AM",1,0))</ns0:f>
        <ns0:v>0</ns0:v>
      </ns0:c>
      <ns0:c r="Z767" s="0">
        <ns0:f>IF(T767=0,0,T767-IF(V767="AM",1,0))</ns0:f>
        <ns0:v>0</ns0:v>
      </ns0:c>
      <ns0:c r="AA767" s="0">
        <ns0:f>IFERROR(IF(AND(J767&gt;0,'_Engine'!C767&gt;0,MID('_Engine'!W767,WEEKDAY(J767,2),1)="W",COUNTIF(Settings!$F$18:$F$67,J767)=0),1,0),0)</ns0:f>
        <ns0:v>0</ns0:v>
      </ns0:c>
      <ns0:c r="AB767" s="0">
        <ns0:f>IFERROR(IF(AND(T767&gt;0,'_Engine'!C767&gt;0,MID('_Engine'!W767,WEEKDAY(T767,2),1)="W",COUNTIF(Settings!$F$18:$F$67,T767)=0),1,0),0)</ns0:f>
        <ns0:v>0</ns0:v>
      </ns0:c>
      <ns0:c r="AC767" s="0">
        <ns0:f>IF(AND(J767&gt;0,T767&gt;0,W767&lt;=X767),1,0)</ns0:f>
        <ns0:v>0</ns0:v>
      </ns0:c>
      <ns0:c r="AD767" s="0">
        <ns0:f>IF(AND(J767&gt;0,T767&gt;0,Y767&lt;=Z767),1,0)</ns0:f>
        <ns0:v>0</ns0:v>
      </ns0:c>
    </ns0:row>
    <ns0:row r="768">
      <ns0:c r="A768" s="0">
        <ns0:f>IFERROR(IF(ISNUMBER(Bookings!B768),"",TRIM(Bookings!B768&amp;"")),"")</ns0:f>
      </ns0:c>
      <ns0:c r="B768" s="0">
        <ns0:f>IFERROR(SUBSTITUTE(SUBSTITUTE(A768,"/","."),"-","."),"")</ns0:f>
      </ns0:c>
      <ns0:c r="C768" s="0">
        <ns0:f>IFERROR(LEFT(B768,FIND(".",B768)-1),"")</ns0:f>
      </ns0:c>
      <ns0:c r="D768" s="0">
        <ns0:f>IFERROR(MID(B768,FIND(".",B768)+1,FIND(".",B768,FIND(".",B768)+1)-FIND(".",B768)-1),"")</ns0:f>
      </ns0:c>
      <ns0:c r="E768" s="0">
        <ns0:f>IFERROR(MID(B768,FIND(".",B768,FIND(".",B768)+1)+1,99),"")</ns0:f>
        <ns0:v>99</ns0:v>
      </ns0:c>
      <ns0:c r="F768" s="0">
        <ns0:f>IFERROR(IF(FIND(".",B768)=5,--C768,--E768),0)</ns0:f>
        <ns0:v>0</ns0:v>
      </ns0:c>
      <ns0:c r="G768" s="0">
        <ns0:f>IFERROR(--D768,0)</ns0:f>
        <ns0:v>0</ns0:v>
      </ns0:c>
      <ns0:c r="H768" s="0">
        <ns0:f>IFERROR(IF(FIND(".",B768)=5,--E768,--C768),0)</ns0:f>
        <ns0:v>0</ns0:v>
      </ns0:c>
      <ns0:c r="I768" s="0">
        <ns0:f>IFERROR(IF(AND(F768&gt;=2000,F768&lt;=2100,G768&gt;=1,G768&lt;=12,H768&gt;=1,H768&lt;=31),DATE(F768,G768,H768),0),0)</ns0:f>
        <ns0:v>0</ns0:v>
      </ns0:c>
      <ns0:c r="J768" s="0">
        <ns0:f>IFERROR(IF(ISNUMBER(Bookings!B768),IF(AND(Bookings!B768=INT(Bookings!B768),Bookings!B768&gt;=DATE(2000,1,1),Bookings!B768&lt;=DATE(2100,12,31)),Bookings!B768,0),IF(AND(A768&lt;&gt;"",LEN("x"&amp;B768)-LEN(SUBSTITUTE("x"&amp;B768,".",""))=2,OR(1&gt;LEN(B768),MID(B768,1,1)=".",ISNUMBER(FIND("x"&amp;MID(B768,1,1),"x0x1x2x3x4x5x6x7x8x9"))),OR(2&gt;LEN(B768),MID(B768,2,1)=".",ISNUMBER(FIND("x"&amp;MID(B768,2,1),"x0x1x2x3x4x5x6x7x8x9"))),OR(3&gt;LEN(B768),MID(B768,3,1)=".",ISNUMBER(FIND("x"&amp;MID(B768,3,1),"x0x1x2x3x4x5x6x7x8x9"))),OR(4&gt;LEN(B768),MID(B768,4,1)=".",ISNUMBER(FIND("x"&amp;MID(B768,4,1),"x0x1x2x3x4x5x6x7x8x9"))),OR(5&gt;LEN(B768),MID(B768,5,1)=".",ISNUMBER(FIND("x"&amp;MID(B768,5,1),"x0x1x2x3x4x5x6x7x8x9"))),OR(6&gt;LEN(B768),MID(B768,6,1)=".",ISNUMBER(FIND("x"&amp;MID(B768,6,1),"x0x1x2x3x4x5x6x7x8x9"))),OR(7&gt;LEN(B768),MID(B768,7,1)=".",ISNUMBER(FIND("x"&amp;MID(B768,7,1),"x0x1x2x3x4x5x6x7x8x9"))),OR(8&gt;LEN(B768),MID(B768,8,1)=".",ISNUMBER(FIND("x"&amp;MID(B768,8,1),"x0x1x2x3x4x5x6x7x8x9"))),OR(9&gt;LEN(B768),MID(B768,9,1)=".",ISNUMBER(FIND("x"&amp;MID(B768,9,1),"x0x1x2x3x4x5x6x7x8x9"))),OR(10&gt;LEN(B768),MID(B768,10,1)=".",ISNUMBER(FIND("x"&amp;MID(B768,10,1),"x0x1x2x3x4x5x6x7x8x9"))),OR(AND(FIND(".",B768)=5,LEN(B768)-FIND(".",B768,FIND(".",B768)+1)&gt;=1,LEN(B768)-FIND(".",B768,FIND(".",B768)+1)&lt;=2),AND(LEN(B768)-FIND(".",B768,FIND(".",B768)+1)=4,FIND(".",B768)&gt;=2,FIND(".",B768)&lt;=3)),FIND(".",B768,FIND(".",B768)+1)-FIND(".",B768)&gt;=2,FIND(".",B768,FIND(".",B768)+1)-FIND(".",B768)&lt;=3,F768&gt;=2000,F768&lt;=2100,YEAR(I768)=F768,MONTH(I768)=G768,DAY(I768)=H768),I768,0)),0)</ns0:f>
        <ns0:v>0</ns0:v>
      </ns0:c>
      <ns0:c r="K768" s="0">
        <ns0:f>IFERROR(IF(ISNUMBER(Bookings!D768),"",TRIM(Bookings!D768&amp;"")),"")</ns0:f>
      </ns0:c>
      <ns0:c r="L768" s="0">
        <ns0:f>IFERROR(SUBSTITUTE(SUBSTITUTE(K768,"/","."),"-","."),"")</ns0:f>
      </ns0:c>
      <ns0:c r="M768" s="0">
        <ns0:f>IFERROR(LEFT(L768,FIND(".",L768)-1),"")</ns0:f>
      </ns0:c>
      <ns0:c r="N768" s="0">
        <ns0:f>IFERROR(MID(L768,FIND(".",L768)+1,FIND(".",L768,FIND(".",L768)+1)-FIND(".",L768)-1),"")</ns0:f>
      </ns0:c>
      <ns0:c r="O768" s="0">
        <ns0:f>IFERROR(MID(L768,FIND(".",L768,FIND(".",L768)+1)+1,99),"")</ns0:f>
        <ns0:v>99</ns0:v>
      </ns0:c>
      <ns0:c r="P768" s="0">
        <ns0:f>IFERROR(IF(FIND(".",L768)=5,--M768,--O768),0)</ns0:f>
        <ns0:v>0</ns0:v>
      </ns0:c>
      <ns0:c r="Q768" s="0">
        <ns0:f>IFERROR(--N768,0)</ns0:f>
        <ns0:v>0</ns0:v>
      </ns0:c>
      <ns0:c r="R768" s="0">
        <ns0:f>IFERROR(IF(FIND(".",L768)=5,--O768,--M768),0)</ns0:f>
        <ns0:v>0</ns0:v>
      </ns0:c>
      <ns0:c r="S768" s="0">
        <ns0:f>IFERROR(IF(AND(P768&gt;=2000,P768&lt;=2100,Q768&gt;=1,Q768&lt;=12,R768&gt;=1,R768&lt;=31),DATE(P768,Q768,R768),0),0)</ns0:f>
        <ns0:v>0</ns0:v>
      </ns0:c>
      <ns0:c r="T768" s="0">
        <ns0:f>IFERROR(IF(ISNUMBER(Bookings!D768),IF(AND(Bookings!D768=INT(Bookings!D768),Bookings!D768&gt;=DATE(2000,1,1),Bookings!D768&lt;=DATE(2100,12,31)),Bookings!D768,0),IF(AND(K768&lt;&gt;"",LEN("x"&amp;L768)-LEN(SUBSTITUTE("x"&amp;L768,".",""))=2,OR(1&gt;LEN(L768),MID(L768,1,1)=".",ISNUMBER(FIND("x"&amp;MID(L768,1,1),"x0x1x2x3x4x5x6x7x8x9"))),OR(2&gt;LEN(L768),MID(L768,2,1)=".",ISNUMBER(FIND("x"&amp;MID(L768,2,1),"x0x1x2x3x4x5x6x7x8x9"))),OR(3&gt;LEN(L768),MID(L768,3,1)=".",ISNUMBER(FIND("x"&amp;MID(L768,3,1),"x0x1x2x3x4x5x6x7x8x9"))),OR(4&gt;LEN(L768),MID(L768,4,1)=".",ISNUMBER(FIND("x"&amp;MID(L768,4,1),"x0x1x2x3x4x5x6x7x8x9"))),OR(5&gt;LEN(L768),MID(L768,5,1)=".",ISNUMBER(FIND("x"&amp;MID(L768,5,1),"x0x1x2x3x4x5x6x7x8x9"))),OR(6&gt;LEN(L768),MID(L768,6,1)=".",ISNUMBER(FIND("x"&amp;MID(L768,6,1),"x0x1x2x3x4x5x6x7x8x9"))),OR(7&gt;LEN(L768),MID(L768,7,1)=".",ISNUMBER(FIND("x"&amp;MID(L768,7,1),"x0x1x2x3x4x5x6x7x8x9"))),OR(8&gt;LEN(L768),MID(L768,8,1)=".",ISNUMBER(FIND("x"&amp;MID(L768,8,1),"x0x1x2x3x4x5x6x7x8x9"))),OR(9&gt;LEN(L768),MID(L768,9,1)=".",ISNUMBER(FIND("x"&amp;MID(L768,9,1),"x0x1x2x3x4x5x6x7x8x9"))),OR(10&gt;LEN(L768),MID(L768,10,1)=".",ISNUMBER(FIND("x"&amp;MID(L768,10,1),"x0x1x2x3x4x5x6x7x8x9"))),OR(AND(FIND(".",L768)=5,LEN(L768)-FIND(".",L768,FIND(".",L768)+1)&gt;=1,LEN(L768)-FIND(".",L768,FIND(".",L768)+1)&lt;=2),AND(LEN(L768)-FIND(".",L768,FIND(".",L768)+1)=4,FIND(".",L768)&gt;=2,FIND(".",L768)&lt;=3)),FIND(".",L768,FIND(".",L768)+1)-FIND(".",L768)&gt;=2,FIND(".",L768,FIND(".",L768)+1)-FIND(".",L768)&lt;=3,P768&gt;=2000,P768&lt;=2100,YEAR(S768)=P768,MONTH(S768)=Q768,DAY(S768)=R768),S768,0)),0)</ns0:f>
        <ns0:v>0</ns0:v>
      </ns0:c>
      <ns0:c r="U768" s="0" t="str">
        <ns0:f>IF(Bookings!C768="","Full day",Bookings!C768)</ns0:f>
        <ns0:v>Full day</ns0:v>
      </ns0:c>
      <ns0:c r="V768" s="0" t="str">
        <ns0:f>IF(Bookings!E768="","Full day",Bookings!E768)</ns0:f>
        <ns0:v>Full day</ns0:v>
      </ns0:c>
      <ns0:c r="W768" s="0">
        <ns0:f>IF(J768=0,0,J768+IF(U768="PM",1,0))</ns0:f>
        <ns0:v>0</ns0:v>
      </ns0:c>
      <ns0:c r="X768" s="0">
        <ns0:f>IF(T768=0,0,T768-IF(V768="PM",1,0))</ns0:f>
        <ns0:v>0</ns0:v>
      </ns0:c>
      <ns0:c r="Y768" s="0">
        <ns0:f>IF(J768=0,0,J768+IF(U768="AM",1,0))</ns0:f>
        <ns0:v>0</ns0:v>
      </ns0:c>
      <ns0:c r="Z768" s="0">
        <ns0:f>IF(T768=0,0,T768-IF(V768="AM",1,0))</ns0:f>
        <ns0:v>0</ns0:v>
      </ns0:c>
      <ns0:c r="AA768" s="0">
        <ns0:f>IFERROR(IF(AND(J768&gt;0,'_Engine'!C768&gt;0,MID('_Engine'!W768,WEEKDAY(J768,2),1)="W",COUNTIF(Settings!$F$18:$F$67,J768)=0),1,0),0)</ns0:f>
        <ns0:v>0</ns0:v>
      </ns0:c>
      <ns0:c r="AB768" s="0">
        <ns0:f>IFERROR(IF(AND(T768&gt;0,'_Engine'!C768&gt;0,MID('_Engine'!W768,WEEKDAY(T768,2),1)="W",COUNTIF(Settings!$F$18:$F$67,T768)=0),1,0),0)</ns0:f>
        <ns0:v>0</ns0:v>
      </ns0:c>
      <ns0:c r="AC768" s="0">
        <ns0:f>IF(AND(J768&gt;0,T768&gt;0,W768&lt;=X768),1,0)</ns0:f>
        <ns0:v>0</ns0:v>
      </ns0:c>
      <ns0:c r="AD768" s="0">
        <ns0:f>IF(AND(J768&gt;0,T768&gt;0,Y768&lt;=Z768),1,0)</ns0:f>
        <ns0:v>0</ns0:v>
      </ns0:c>
    </ns0:row>
    <ns0:row r="769">
      <ns0:c r="A769" s="0">
        <ns0:f>IFERROR(IF(ISNUMBER(Bookings!B769),"",TRIM(Bookings!B769&amp;"")),"")</ns0:f>
      </ns0:c>
      <ns0:c r="B769" s="0">
        <ns0:f>IFERROR(SUBSTITUTE(SUBSTITUTE(A769,"/","."),"-","."),"")</ns0:f>
      </ns0:c>
      <ns0:c r="C769" s="0">
        <ns0:f>IFERROR(LEFT(B769,FIND(".",B769)-1),"")</ns0:f>
      </ns0:c>
      <ns0:c r="D769" s="0">
        <ns0:f>IFERROR(MID(B769,FIND(".",B769)+1,FIND(".",B769,FIND(".",B769)+1)-FIND(".",B769)-1),"")</ns0:f>
      </ns0:c>
      <ns0:c r="E769" s="0">
        <ns0:f>IFERROR(MID(B769,FIND(".",B769,FIND(".",B769)+1)+1,99),"")</ns0:f>
        <ns0:v>99</ns0:v>
      </ns0:c>
      <ns0:c r="F769" s="0">
        <ns0:f>IFERROR(IF(FIND(".",B769)=5,--C769,--E769),0)</ns0:f>
        <ns0:v>0</ns0:v>
      </ns0:c>
      <ns0:c r="G769" s="0">
        <ns0:f>IFERROR(--D769,0)</ns0:f>
        <ns0:v>0</ns0:v>
      </ns0:c>
      <ns0:c r="H769" s="0">
        <ns0:f>IFERROR(IF(FIND(".",B769)=5,--E769,--C769),0)</ns0:f>
        <ns0:v>0</ns0:v>
      </ns0:c>
      <ns0:c r="I769" s="0">
        <ns0:f>IFERROR(IF(AND(F769&gt;=2000,F769&lt;=2100,G769&gt;=1,G769&lt;=12,H769&gt;=1,H769&lt;=31),DATE(F769,G769,H769),0),0)</ns0:f>
        <ns0:v>0</ns0:v>
      </ns0:c>
      <ns0:c r="J769" s="0">
        <ns0:f>IFERROR(IF(ISNUMBER(Bookings!B769),IF(AND(Bookings!B769=INT(Bookings!B769),Bookings!B769&gt;=DATE(2000,1,1),Bookings!B769&lt;=DATE(2100,12,31)),Bookings!B769,0),IF(AND(A769&lt;&gt;"",LEN("x"&amp;B769)-LEN(SUBSTITUTE("x"&amp;B769,".",""))=2,OR(1&gt;LEN(B769),MID(B769,1,1)=".",ISNUMBER(FIND("x"&amp;MID(B769,1,1),"x0x1x2x3x4x5x6x7x8x9"))),OR(2&gt;LEN(B769),MID(B769,2,1)=".",ISNUMBER(FIND("x"&amp;MID(B769,2,1),"x0x1x2x3x4x5x6x7x8x9"))),OR(3&gt;LEN(B769),MID(B769,3,1)=".",ISNUMBER(FIND("x"&amp;MID(B769,3,1),"x0x1x2x3x4x5x6x7x8x9"))),OR(4&gt;LEN(B769),MID(B769,4,1)=".",ISNUMBER(FIND("x"&amp;MID(B769,4,1),"x0x1x2x3x4x5x6x7x8x9"))),OR(5&gt;LEN(B769),MID(B769,5,1)=".",ISNUMBER(FIND("x"&amp;MID(B769,5,1),"x0x1x2x3x4x5x6x7x8x9"))),OR(6&gt;LEN(B769),MID(B769,6,1)=".",ISNUMBER(FIND("x"&amp;MID(B769,6,1),"x0x1x2x3x4x5x6x7x8x9"))),OR(7&gt;LEN(B769),MID(B769,7,1)=".",ISNUMBER(FIND("x"&amp;MID(B769,7,1),"x0x1x2x3x4x5x6x7x8x9"))),OR(8&gt;LEN(B769),MID(B769,8,1)=".",ISNUMBER(FIND("x"&amp;MID(B769,8,1),"x0x1x2x3x4x5x6x7x8x9"))),OR(9&gt;LEN(B769),MID(B769,9,1)=".",ISNUMBER(FIND("x"&amp;MID(B769,9,1),"x0x1x2x3x4x5x6x7x8x9"))),OR(10&gt;LEN(B769),MID(B769,10,1)=".",ISNUMBER(FIND("x"&amp;MID(B769,10,1),"x0x1x2x3x4x5x6x7x8x9"))),OR(AND(FIND(".",B769)=5,LEN(B769)-FIND(".",B769,FIND(".",B769)+1)&gt;=1,LEN(B769)-FIND(".",B769,FIND(".",B769)+1)&lt;=2),AND(LEN(B769)-FIND(".",B769,FIND(".",B769)+1)=4,FIND(".",B769)&gt;=2,FIND(".",B769)&lt;=3)),FIND(".",B769,FIND(".",B769)+1)-FIND(".",B769)&gt;=2,FIND(".",B769,FIND(".",B769)+1)-FIND(".",B769)&lt;=3,F769&gt;=2000,F769&lt;=2100,YEAR(I769)=F769,MONTH(I769)=G769,DAY(I769)=H769),I769,0)),0)</ns0:f>
        <ns0:v>0</ns0:v>
      </ns0:c>
      <ns0:c r="K769" s="0">
        <ns0:f>IFERROR(IF(ISNUMBER(Bookings!D769),"",TRIM(Bookings!D769&amp;"")),"")</ns0:f>
      </ns0:c>
      <ns0:c r="L769" s="0">
        <ns0:f>IFERROR(SUBSTITUTE(SUBSTITUTE(K769,"/","."),"-","."),"")</ns0:f>
      </ns0:c>
      <ns0:c r="M769" s="0">
        <ns0:f>IFERROR(LEFT(L769,FIND(".",L769)-1),"")</ns0:f>
      </ns0:c>
      <ns0:c r="N769" s="0">
        <ns0:f>IFERROR(MID(L769,FIND(".",L769)+1,FIND(".",L769,FIND(".",L769)+1)-FIND(".",L769)-1),"")</ns0:f>
      </ns0:c>
      <ns0:c r="O769" s="0">
        <ns0:f>IFERROR(MID(L769,FIND(".",L769,FIND(".",L769)+1)+1,99),"")</ns0:f>
        <ns0:v>99</ns0:v>
      </ns0:c>
      <ns0:c r="P769" s="0">
        <ns0:f>IFERROR(IF(FIND(".",L769)=5,--M769,--O769),0)</ns0:f>
        <ns0:v>0</ns0:v>
      </ns0:c>
      <ns0:c r="Q769" s="0">
        <ns0:f>IFERROR(--N769,0)</ns0:f>
        <ns0:v>0</ns0:v>
      </ns0:c>
      <ns0:c r="R769" s="0">
        <ns0:f>IFERROR(IF(FIND(".",L769)=5,--O769,--M769),0)</ns0:f>
        <ns0:v>0</ns0:v>
      </ns0:c>
      <ns0:c r="S769" s="0">
        <ns0:f>IFERROR(IF(AND(P769&gt;=2000,P769&lt;=2100,Q769&gt;=1,Q769&lt;=12,R769&gt;=1,R769&lt;=31),DATE(P769,Q769,R769),0),0)</ns0:f>
        <ns0:v>0</ns0:v>
      </ns0:c>
      <ns0:c r="T769" s="0">
        <ns0:f>IFERROR(IF(ISNUMBER(Bookings!D769),IF(AND(Bookings!D769=INT(Bookings!D769),Bookings!D769&gt;=DATE(2000,1,1),Bookings!D769&lt;=DATE(2100,12,31)),Bookings!D769,0),IF(AND(K769&lt;&gt;"",LEN("x"&amp;L769)-LEN(SUBSTITUTE("x"&amp;L769,".",""))=2,OR(1&gt;LEN(L769),MID(L769,1,1)=".",ISNUMBER(FIND("x"&amp;MID(L769,1,1),"x0x1x2x3x4x5x6x7x8x9"))),OR(2&gt;LEN(L769),MID(L769,2,1)=".",ISNUMBER(FIND("x"&amp;MID(L769,2,1),"x0x1x2x3x4x5x6x7x8x9"))),OR(3&gt;LEN(L769),MID(L769,3,1)=".",ISNUMBER(FIND("x"&amp;MID(L769,3,1),"x0x1x2x3x4x5x6x7x8x9"))),OR(4&gt;LEN(L769),MID(L769,4,1)=".",ISNUMBER(FIND("x"&amp;MID(L769,4,1),"x0x1x2x3x4x5x6x7x8x9"))),OR(5&gt;LEN(L769),MID(L769,5,1)=".",ISNUMBER(FIND("x"&amp;MID(L769,5,1),"x0x1x2x3x4x5x6x7x8x9"))),OR(6&gt;LEN(L769),MID(L769,6,1)=".",ISNUMBER(FIND("x"&amp;MID(L769,6,1),"x0x1x2x3x4x5x6x7x8x9"))),OR(7&gt;LEN(L769),MID(L769,7,1)=".",ISNUMBER(FIND("x"&amp;MID(L769,7,1),"x0x1x2x3x4x5x6x7x8x9"))),OR(8&gt;LEN(L769),MID(L769,8,1)=".",ISNUMBER(FIND("x"&amp;MID(L769,8,1),"x0x1x2x3x4x5x6x7x8x9"))),OR(9&gt;LEN(L769),MID(L769,9,1)=".",ISNUMBER(FIND("x"&amp;MID(L769,9,1),"x0x1x2x3x4x5x6x7x8x9"))),OR(10&gt;LEN(L769),MID(L769,10,1)=".",ISNUMBER(FIND("x"&amp;MID(L769,10,1),"x0x1x2x3x4x5x6x7x8x9"))),OR(AND(FIND(".",L769)=5,LEN(L769)-FIND(".",L769,FIND(".",L769)+1)&gt;=1,LEN(L769)-FIND(".",L769,FIND(".",L769)+1)&lt;=2),AND(LEN(L769)-FIND(".",L769,FIND(".",L769)+1)=4,FIND(".",L769)&gt;=2,FIND(".",L769)&lt;=3)),FIND(".",L769,FIND(".",L769)+1)-FIND(".",L769)&gt;=2,FIND(".",L769,FIND(".",L769)+1)-FIND(".",L769)&lt;=3,P769&gt;=2000,P769&lt;=2100,YEAR(S769)=P769,MONTH(S769)=Q769,DAY(S769)=R769),S769,0)),0)</ns0:f>
        <ns0:v>0</ns0:v>
      </ns0:c>
      <ns0:c r="U769" s="0" t="str">
        <ns0:f>IF(Bookings!C769="","Full day",Bookings!C769)</ns0:f>
        <ns0:v>Full day</ns0:v>
      </ns0:c>
      <ns0:c r="V769" s="0" t="str">
        <ns0:f>IF(Bookings!E769="","Full day",Bookings!E769)</ns0:f>
        <ns0:v>Full day</ns0:v>
      </ns0:c>
      <ns0:c r="W769" s="0">
        <ns0:f>IF(J769=0,0,J769+IF(U769="PM",1,0))</ns0:f>
        <ns0:v>0</ns0:v>
      </ns0:c>
      <ns0:c r="X769" s="0">
        <ns0:f>IF(T769=0,0,T769-IF(V769="PM",1,0))</ns0:f>
        <ns0:v>0</ns0:v>
      </ns0:c>
      <ns0:c r="Y769" s="0">
        <ns0:f>IF(J769=0,0,J769+IF(U769="AM",1,0))</ns0:f>
        <ns0:v>0</ns0:v>
      </ns0:c>
      <ns0:c r="Z769" s="0">
        <ns0:f>IF(T769=0,0,T769-IF(V769="AM",1,0))</ns0:f>
        <ns0:v>0</ns0:v>
      </ns0:c>
      <ns0:c r="AA769" s="0">
        <ns0:f>IFERROR(IF(AND(J769&gt;0,'_Engine'!C769&gt;0,MID('_Engine'!W769,WEEKDAY(J769,2),1)="W",COUNTIF(Settings!$F$18:$F$67,J769)=0),1,0),0)</ns0:f>
        <ns0:v>0</ns0:v>
      </ns0:c>
      <ns0:c r="AB769" s="0">
        <ns0:f>IFERROR(IF(AND(T769&gt;0,'_Engine'!C769&gt;0,MID('_Engine'!W769,WEEKDAY(T769,2),1)="W",COUNTIF(Settings!$F$18:$F$67,T769)=0),1,0),0)</ns0:f>
        <ns0:v>0</ns0:v>
      </ns0:c>
      <ns0:c r="AC769" s="0">
        <ns0:f>IF(AND(J769&gt;0,T769&gt;0,W769&lt;=X769),1,0)</ns0:f>
        <ns0:v>0</ns0:v>
      </ns0:c>
      <ns0:c r="AD769" s="0">
        <ns0:f>IF(AND(J769&gt;0,T769&gt;0,Y769&lt;=Z769),1,0)</ns0:f>
        <ns0:v>0</ns0:v>
      </ns0:c>
    </ns0:row>
    <ns0:row r="770">
      <ns0:c r="A770" s="0">
        <ns0:f>IFERROR(IF(ISNUMBER(Bookings!B770),"",TRIM(Bookings!B770&amp;"")),"")</ns0:f>
      </ns0:c>
      <ns0:c r="B770" s="0">
        <ns0:f>IFERROR(SUBSTITUTE(SUBSTITUTE(A770,"/","."),"-","."),"")</ns0:f>
      </ns0:c>
      <ns0:c r="C770" s="0">
        <ns0:f>IFERROR(LEFT(B770,FIND(".",B770)-1),"")</ns0:f>
      </ns0:c>
      <ns0:c r="D770" s="0">
        <ns0:f>IFERROR(MID(B770,FIND(".",B770)+1,FIND(".",B770,FIND(".",B770)+1)-FIND(".",B770)-1),"")</ns0:f>
      </ns0:c>
      <ns0:c r="E770" s="0">
        <ns0:f>IFERROR(MID(B770,FIND(".",B770,FIND(".",B770)+1)+1,99),"")</ns0:f>
        <ns0:v>99</ns0:v>
      </ns0:c>
      <ns0:c r="F770" s="0">
        <ns0:f>IFERROR(IF(FIND(".",B770)=5,--C770,--E770),0)</ns0:f>
        <ns0:v>0</ns0:v>
      </ns0:c>
      <ns0:c r="G770" s="0">
        <ns0:f>IFERROR(--D770,0)</ns0:f>
        <ns0:v>0</ns0:v>
      </ns0:c>
      <ns0:c r="H770" s="0">
        <ns0:f>IFERROR(IF(FIND(".",B770)=5,--E770,--C770),0)</ns0:f>
        <ns0:v>0</ns0:v>
      </ns0:c>
      <ns0:c r="I770" s="0">
        <ns0:f>IFERROR(IF(AND(F770&gt;=2000,F770&lt;=2100,G770&gt;=1,G770&lt;=12,H770&gt;=1,H770&lt;=31),DATE(F770,G770,H770),0),0)</ns0:f>
        <ns0:v>0</ns0:v>
      </ns0:c>
      <ns0:c r="J770" s="0">
        <ns0:f>IFERROR(IF(ISNUMBER(Bookings!B770),IF(AND(Bookings!B770=INT(Bookings!B770),Bookings!B770&gt;=DATE(2000,1,1),Bookings!B770&lt;=DATE(2100,12,31)),Bookings!B770,0),IF(AND(A770&lt;&gt;"",LEN("x"&amp;B770)-LEN(SUBSTITUTE("x"&amp;B770,".",""))=2,OR(1&gt;LEN(B770),MID(B770,1,1)=".",ISNUMBER(FIND("x"&amp;MID(B770,1,1),"x0x1x2x3x4x5x6x7x8x9"))),OR(2&gt;LEN(B770),MID(B770,2,1)=".",ISNUMBER(FIND("x"&amp;MID(B770,2,1),"x0x1x2x3x4x5x6x7x8x9"))),OR(3&gt;LEN(B770),MID(B770,3,1)=".",ISNUMBER(FIND("x"&amp;MID(B770,3,1),"x0x1x2x3x4x5x6x7x8x9"))),OR(4&gt;LEN(B770),MID(B770,4,1)=".",ISNUMBER(FIND("x"&amp;MID(B770,4,1),"x0x1x2x3x4x5x6x7x8x9"))),OR(5&gt;LEN(B770),MID(B770,5,1)=".",ISNUMBER(FIND("x"&amp;MID(B770,5,1),"x0x1x2x3x4x5x6x7x8x9"))),OR(6&gt;LEN(B770),MID(B770,6,1)=".",ISNUMBER(FIND("x"&amp;MID(B770,6,1),"x0x1x2x3x4x5x6x7x8x9"))),OR(7&gt;LEN(B770),MID(B770,7,1)=".",ISNUMBER(FIND("x"&amp;MID(B770,7,1),"x0x1x2x3x4x5x6x7x8x9"))),OR(8&gt;LEN(B770),MID(B770,8,1)=".",ISNUMBER(FIND("x"&amp;MID(B770,8,1),"x0x1x2x3x4x5x6x7x8x9"))),OR(9&gt;LEN(B770),MID(B770,9,1)=".",ISNUMBER(FIND("x"&amp;MID(B770,9,1),"x0x1x2x3x4x5x6x7x8x9"))),OR(10&gt;LEN(B770),MID(B770,10,1)=".",ISNUMBER(FIND("x"&amp;MID(B770,10,1),"x0x1x2x3x4x5x6x7x8x9"))),OR(AND(FIND(".",B770)=5,LEN(B770)-FIND(".",B770,FIND(".",B770)+1)&gt;=1,LEN(B770)-FIND(".",B770,FIND(".",B770)+1)&lt;=2),AND(LEN(B770)-FIND(".",B770,FIND(".",B770)+1)=4,FIND(".",B770)&gt;=2,FIND(".",B770)&lt;=3)),FIND(".",B770,FIND(".",B770)+1)-FIND(".",B770)&gt;=2,FIND(".",B770,FIND(".",B770)+1)-FIND(".",B770)&lt;=3,F770&gt;=2000,F770&lt;=2100,YEAR(I770)=F770,MONTH(I770)=G770,DAY(I770)=H770),I770,0)),0)</ns0:f>
        <ns0:v>0</ns0:v>
      </ns0:c>
      <ns0:c r="K770" s="0">
        <ns0:f>IFERROR(IF(ISNUMBER(Bookings!D770),"",TRIM(Bookings!D770&amp;"")),"")</ns0:f>
      </ns0:c>
      <ns0:c r="L770" s="0">
        <ns0:f>IFERROR(SUBSTITUTE(SUBSTITUTE(K770,"/","."),"-","."),"")</ns0:f>
      </ns0:c>
      <ns0:c r="M770" s="0">
        <ns0:f>IFERROR(LEFT(L770,FIND(".",L770)-1),"")</ns0:f>
      </ns0:c>
      <ns0:c r="N770" s="0">
        <ns0:f>IFERROR(MID(L770,FIND(".",L770)+1,FIND(".",L770,FIND(".",L770)+1)-FIND(".",L770)-1),"")</ns0:f>
      </ns0:c>
      <ns0:c r="O770" s="0">
        <ns0:f>IFERROR(MID(L770,FIND(".",L770,FIND(".",L770)+1)+1,99),"")</ns0:f>
        <ns0:v>99</ns0:v>
      </ns0:c>
      <ns0:c r="P770" s="0">
        <ns0:f>IFERROR(IF(FIND(".",L770)=5,--M770,--O770),0)</ns0:f>
        <ns0:v>0</ns0:v>
      </ns0:c>
      <ns0:c r="Q770" s="0">
        <ns0:f>IFERROR(--N770,0)</ns0:f>
        <ns0:v>0</ns0:v>
      </ns0:c>
      <ns0:c r="R770" s="0">
        <ns0:f>IFERROR(IF(FIND(".",L770)=5,--O770,--M770),0)</ns0:f>
        <ns0:v>0</ns0:v>
      </ns0:c>
      <ns0:c r="S770" s="0">
        <ns0:f>IFERROR(IF(AND(P770&gt;=2000,P770&lt;=2100,Q770&gt;=1,Q770&lt;=12,R770&gt;=1,R770&lt;=31),DATE(P770,Q770,R770),0),0)</ns0:f>
        <ns0:v>0</ns0:v>
      </ns0:c>
      <ns0:c r="T770" s="0">
        <ns0:f>IFERROR(IF(ISNUMBER(Bookings!D770),IF(AND(Bookings!D770=INT(Bookings!D770),Bookings!D770&gt;=DATE(2000,1,1),Bookings!D770&lt;=DATE(2100,12,31)),Bookings!D770,0),IF(AND(K770&lt;&gt;"",LEN("x"&amp;L770)-LEN(SUBSTITUTE("x"&amp;L770,".",""))=2,OR(1&gt;LEN(L770),MID(L770,1,1)=".",ISNUMBER(FIND("x"&amp;MID(L770,1,1),"x0x1x2x3x4x5x6x7x8x9"))),OR(2&gt;LEN(L770),MID(L770,2,1)=".",ISNUMBER(FIND("x"&amp;MID(L770,2,1),"x0x1x2x3x4x5x6x7x8x9"))),OR(3&gt;LEN(L770),MID(L770,3,1)=".",ISNUMBER(FIND("x"&amp;MID(L770,3,1),"x0x1x2x3x4x5x6x7x8x9"))),OR(4&gt;LEN(L770),MID(L770,4,1)=".",ISNUMBER(FIND("x"&amp;MID(L770,4,1),"x0x1x2x3x4x5x6x7x8x9"))),OR(5&gt;LEN(L770),MID(L770,5,1)=".",ISNUMBER(FIND("x"&amp;MID(L770,5,1),"x0x1x2x3x4x5x6x7x8x9"))),OR(6&gt;LEN(L770),MID(L770,6,1)=".",ISNUMBER(FIND("x"&amp;MID(L770,6,1),"x0x1x2x3x4x5x6x7x8x9"))),OR(7&gt;LEN(L770),MID(L770,7,1)=".",ISNUMBER(FIND("x"&amp;MID(L770,7,1),"x0x1x2x3x4x5x6x7x8x9"))),OR(8&gt;LEN(L770),MID(L770,8,1)=".",ISNUMBER(FIND("x"&amp;MID(L770,8,1),"x0x1x2x3x4x5x6x7x8x9"))),OR(9&gt;LEN(L770),MID(L770,9,1)=".",ISNUMBER(FIND("x"&amp;MID(L770,9,1),"x0x1x2x3x4x5x6x7x8x9"))),OR(10&gt;LEN(L770),MID(L770,10,1)=".",ISNUMBER(FIND("x"&amp;MID(L770,10,1),"x0x1x2x3x4x5x6x7x8x9"))),OR(AND(FIND(".",L770)=5,LEN(L770)-FIND(".",L770,FIND(".",L770)+1)&gt;=1,LEN(L770)-FIND(".",L770,FIND(".",L770)+1)&lt;=2),AND(LEN(L770)-FIND(".",L770,FIND(".",L770)+1)=4,FIND(".",L770)&gt;=2,FIND(".",L770)&lt;=3)),FIND(".",L770,FIND(".",L770)+1)-FIND(".",L770)&gt;=2,FIND(".",L770,FIND(".",L770)+1)-FIND(".",L770)&lt;=3,P770&gt;=2000,P770&lt;=2100,YEAR(S770)=P770,MONTH(S770)=Q770,DAY(S770)=R770),S770,0)),0)</ns0:f>
        <ns0:v>0</ns0:v>
      </ns0:c>
      <ns0:c r="U770" s="0" t="str">
        <ns0:f>IF(Bookings!C770="","Full day",Bookings!C770)</ns0:f>
        <ns0:v>Full day</ns0:v>
      </ns0:c>
      <ns0:c r="V770" s="0" t="str">
        <ns0:f>IF(Bookings!E770="","Full day",Bookings!E770)</ns0:f>
        <ns0:v>Full day</ns0:v>
      </ns0:c>
      <ns0:c r="W770" s="0">
        <ns0:f>IF(J770=0,0,J770+IF(U770="PM",1,0))</ns0:f>
        <ns0:v>0</ns0:v>
      </ns0:c>
      <ns0:c r="X770" s="0">
        <ns0:f>IF(T770=0,0,T770-IF(V770="PM",1,0))</ns0:f>
        <ns0:v>0</ns0:v>
      </ns0:c>
      <ns0:c r="Y770" s="0">
        <ns0:f>IF(J770=0,0,J770+IF(U770="AM",1,0))</ns0:f>
        <ns0:v>0</ns0:v>
      </ns0:c>
      <ns0:c r="Z770" s="0">
        <ns0:f>IF(T770=0,0,T770-IF(V770="AM",1,0))</ns0:f>
        <ns0:v>0</ns0:v>
      </ns0:c>
      <ns0:c r="AA770" s="0">
        <ns0:f>IFERROR(IF(AND(J770&gt;0,'_Engine'!C770&gt;0,MID('_Engine'!W770,WEEKDAY(J770,2),1)="W",COUNTIF(Settings!$F$18:$F$67,J770)=0),1,0),0)</ns0:f>
        <ns0:v>0</ns0:v>
      </ns0:c>
      <ns0:c r="AB770" s="0">
        <ns0:f>IFERROR(IF(AND(T770&gt;0,'_Engine'!C770&gt;0,MID('_Engine'!W770,WEEKDAY(T770,2),1)="W",COUNTIF(Settings!$F$18:$F$67,T770)=0),1,0),0)</ns0:f>
        <ns0:v>0</ns0:v>
      </ns0:c>
      <ns0:c r="AC770" s="0">
        <ns0:f>IF(AND(J770&gt;0,T770&gt;0,W770&lt;=X770),1,0)</ns0:f>
        <ns0:v>0</ns0:v>
      </ns0:c>
      <ns0:c r="AD770" s="0">
        <ns0:f>IF(AND(J770&gt;0,T770&gt;0,Y770&lt;=Z770),1,0)</ns0:f>
        <ns0:v>0</ns0:v>
      </ns0:c>
    </ns0:row>
    <ns0:row r="771">
      <ns0:c r="A771" s="0">
        <ns0:f>IFERROR(IF(ISNUMBER(Bookings!B771),"",TRIM(Bookings!B771&amp;"")),"")</ns0:f>
      </ns0:c>
      <ns0:c r="B771" s="0">
        <ns0:f>IFERROR(SUBSTITUTE(SUBSTITUTE(A771,"/","."),"-","."),"")</ns0:f>
      </ns0:c>
      <ns0:c r="C771" s="0">
        <ns0:f>IFERROR(LEFT(B771,FIND(".",B771)-1),"")</ns0:f>
      </ns0:c>
      <ns0:c r="D771" s="0">
        <ns0:f>IFERROR(MID(B771,FIND(".",B771)+1,FIND(".",B771,FIND(".",B771)+1)-FIND(".",B771)-1),"")</ns0:f>
      </ns0:c>
      <ns0:c r="E771" s="0">
        <ns0:f>IFERROR(MID(B771,FIND(".",B771,FIND(".",B771)+1)+1,99),"")</ns0:f>
        <ns0:v>99</ns0:v>
      </ns0:c>
      <ns0:c r="F771" s="0">
        <ns0:f>IFERROR(IF(FIND(".",B771)=5,--C771,--E771),0)</ns0:f>
        <ns0:v>0</ns0:v>
      </ns0:c>
      <ns0:c r="G771" s="0">
        <ns0:f>IFERROR(--D771,0)</ns0:f>
        <ns0:v>0</ns0:v>
      </ns0:c>
      <ns0:c r="H771" s="0">
        <ns0:f>IFERROR(IF(FIND(".",B771)=5,--E771,--C771),0)</ns0:f>
        <ns0:v>0</ns0:v>
      </ns0:c>
      <ns0:c r="I771" s="0">
        <ns0:f>IFERROR(IF(AND(F771&gt;=2000,F771&lt;=2100,G771&gt;=1,G771&lt;=12,H771&gt;=1,H771&lt;=31),DATE(F771,G771,H771),0),0)</ns0:f>
        <ns0:v>0</ns0:v>
      </ns0:c>
      <ns0:c r="J771" s="0">
        <ns0:f>IFERROR(IF(ISNUMBER(Bookings!B771),IF(AND(Bookings!B771=INT(Bookings!B771),Bookings!B771&gt;=DATE(2000,1,1),Bookings!B771&lt;=DATE(2100,12,31)),Bookings!B771,0),IF(AND(A771&lt;&gt;"",LEN("x"&amp;B771)-LEN(SUBSTITUTE("x"&amp;B771,".",""))=2,OR(1&gt;LEN(B771),MID(B771,1,1)=".",ISNUMBER(FIND("x"&amp;MID(B771,1,1),"x0x1x2x3x4x5x6x7x8x9"))),OR(2&gt;LEN(B771),MID(B771,2,1)=".",ISNUMBER(FIND("x"&amp;MID(B771,2,1),"x0x1x2x3x4x5x6x7x8x9"))),OR(3&gt;LEN(B771),MID(B771,3,1)=".",ISNUMBER(FIND("x"&amp;MID(B771,3,1),"x0x1x2x3x4x5x6x7x8x9"))),OR(4&gt;LEN(B771),MID(B771,4,1)=".",ISNUMBER(FIND("x"&amp;MID(B771,4,1),"x0x1x2x3x4x5x6x7x8x9"))),OR(5&gt;LEN(B771),MID(B771,5,1)=".",ISNUMBER(FIND("x"&amp;MID(B771,5,1),"x0x1x2x3x4x5x6x7x8x9"))),OR(6&gt;LEN(B771),MID(B771,6,1)=".",ISNUMBER(FIND("x"&amp;MID(B771,6,1),"x0x1x2x3x4x5x6x7x8x9"))),OR(7&gt;LEN(B771),MID(B771,7,1)=".",ISNUMBER(FIND("x"&amp;MID(B771,7,1),"x0x1x2x3x4x5x6x7x8x9"))),OR(8&gt;LEN(B771),MID(B771,8,1)=".",ISNUMBER(FIND("x"&amp;MID(B771,8,1),"x0x1x2x3x4x5x6x7x8x9"))),OR(9&gt;LEN(B771),MID(B771,9,1)=".",ISNUMBER(FIND("x"&amp;MID(B771,9,1),"x0x1x2x3x4x5x6x7x8x9"))),OR(10&gt;LEN(B771),MID(B771,10,1)=".",ISNUMBER(FIND("x"&amp;MID(B771,10,1),"x0x1x2x3x4x5x6x7x8x9"))),OR(AND(FIND(".",B771)=5,LEN(B771)-FIND(".",B771,FIND(".",B771)+1)&gt;=1,LEN(B771)-FIND(".",B771,FIND(".",B771)+1)&lt;=2),AND(LEN(B771)-FIND(".",B771,FIND(".",B771)+1)=4,FIND(".",B771)&gt;=2,FIND(".",B771)&lt;=3)),FIND(".",B771,FIND(".",B771)+1)-FIND(".",B771)&gt;=2,FIND(".",B771,FIND(".",B771)+1)-FIND(".",B771)&lt;=3,F771&gt;=2000,F771&lt;=2100,YEAR(I771)=F771,MONTH(I771)=G771,DAY(I771)=H771),I771,0)),0)</ns0:f>
        <ns0:v>0</ns0:v>
      </ns0:c>
      <ns0:c r="K771" s="0">
        <ns0:f>IFERROR(IF(ISNUMBER(Bookings!D771),"",TRIM(Bookings!D771&amp;"")),"")</ns0:f>
      </ns0:c>
      <ns0:c r="L771" s="0">
        <ns0:f>IFERROR(SUBSTITUTE(SUBSTITUTE(K771,"/","."),"-","."),"")</ns0:f>
      </ns0:c>
      <ns0:c r="M771" s="0">
        <ns0:f>IFERROR(LEFT(L771,FIND(".",L771)-1),"")</ns0:f>
      </ns0:c>
      <ns0:c r="N771" s="0">
        <ns0:f>IFERROR(MID(L771,FIND(".",L771)+1,FIND(".",L771,FIND(".",L771)+1)-FIND(".",L771)-1),"")</ns0:f>
      </ns0:c>
      <ns0:c r="O771" s="0">
        <ns0:f>IFERROR(MID(L771,FIND(".",L771,FIND(".",L771)+1)+1,99),"")</ns0:f>
        <ns0:v>99</ns0:v>
      </ns0:c>
      <ns0:c r="P771" s="0">
        <ns0:f>IFERROR(IF(FIND(".",L771)=5,--M771,--O771),0)</ns0:f>
        <ns0:v>0</ns0:v>
      </ns0:c>
      <ns0:c r="Q771" s="0">
        <ns0:f>IFERROR(--N771,0)</ns0:f>
        <ns0:v>0</ns0:v>
      </ns0:c>
      <ns0:c r="R771" s="0">
        <ns0:f>IFERROR(IF(FIND(".",L771)=5,--O771,--M771),0)</ns0:f>
        <ns0:v>0</ns0:v>
      </ns0:c>
      <ns0:c r="S771" s="0">
        <ns0:f>IFERROR(IF(AND(P771&gt;=2000,P771&lt;=2100,Q771&gt;=1,Q771&lt;=12,R771&gt;=1,R771&lt;=31),DATE(P771,Q771,R771),0),0)</ns0:f>
        <ns0:v>0</ns0:v>
      </ns0:c>
      <ns0:c r="T771" s="0">
        <ns0:f>IFERROR(IF(ISNUMBER(Bookings!D771),IF(AND(Bookings!D771=INT(Bookings!D771),Bookings!D771&gt;=DATE(2000,1,1),Bookings!D771&lt;=DATE(2100,12,31)),Bookings!D771,0),IF(AND(K771&lt;&gt;"",LEN("x"&amp;L771)-LEN(SUBSTITUTE("x"&amp;L771,".",""))=2,OR(1&gt;LEN(L771),MID(L771,1,1)=".",ISNUMBER(FIND("x"&amp;MID(L771,1,1),"x0x1x2x3x4x5x6x7x8x9"))),OR(2&gt;LEN(L771),MID(L771,2,1)=".",ISNUMBER(FIND("x"&amp;MID(L771,2,1),"x0x1x2x3x4x5x6x7x8x9"))),OR(3&gt;LEN(L771),MID(L771,3,1)=".",ISNUMBER(FIND("x"&amp;MID(L771,3,1),"x0x1x2x3x4x5x6x7x8x9"))),OR(4&gt;LEN(L771),MID(L771,4,1)=".",ISNUMBER(FIND("x"&amp;MID(L771,4,1),"x0x1x2x3x4x5x6x7x8x9"))),OR(5&gt;LEN(L771),MID(L771,5,1)=".",ISNUMBER(FIND("x"&amp;MID(L771,5,1),"x0x1x2x3x4x5x6x7x8x9"))),OR(6&gt;LEN(L771),MID(L771,6,1)=".",ISNUMBER(FIND("x"&amp;MID(L771,6,1),"x0x1x2x3x4x5x6x7x8x9"))),OR(7&gt;LEN(L771),MID(L771,7,1)=".",ISNUMBER(FIND("x"&amp;MID(L771,7,1),"x0x1x2x3x4x5x6x7x8x9"))),OR(8&gt;LEN(L771),MID(L771,8,1)=".",ISNUMBER(FIND("x"&amp;MID(L771,8,1),"x0x1x2x3x4x5x6x7x8x9"))),OR(9&gt;LEN(L771),MID(L771,9,1)=".",ISNUMBER(FIND("x"&amp;MID(L771,9,1),"x0x1x2x3x4x5x6x7x8x9"))),OR(10&gt;LEN(L771),MID(L771,10,1)=".",ISNUMBER(FIND("x"&amp;MID(L771,10,1),"x0x1x2x3x4x5x6x7x8x9"))),OR(AND(FIND(".",L771)=5,LEN(L771)-FIND(".",L771,FIND(".",L771)+1)&gt;=1,LEN(L771)-FIND(".",L771,FIND(".",L771)+1)&lt;=2),AND(LEN(L771)-FIND(".",L771,FIND(".",L771)+1)=4,FIND(".",L771)&gt;=2,FIND(".",L771)&lt;=3)),FIND(".",L771,FIND(".",L771)+1)-FIND(".",L771)&gt;=2,FIND(".",L771,FIND(".",L771)+1)-FIND(".",L771)&lt;=3,P771&gt;=2000,P771&lt;=2100,YEAR(S771)=P771,MONTH(S771)=Q771,DAY(S771)=R771),S771,0)),0)</ns0:f>
        <ns0:v>0</ns0:v>
      </ns0:c>
      <ns0:c r="U771" s="0" t="str">
        <ns0:f>IF(Bookings!C771="","Full day",Bookings!C771)</ns0:f>
        <ns0:v>Full day</ns0:v>
      </ns0:c>
      <ns0:c r="V771" s="0" t="str">
        <ns0:f>IF(Bookings!E771="","Full day",Bookings!E771)</ns0:f>
        <ns0:v>Full day</ns0:v>
      </ns0:c>
      <ns0:c r="W771" s="0">
        <ns0:f>IF(J771=0,0,J771+IF(U771="PM",1,0))</ns0:f>
        <ns0:v>0</ns0:v>
      </ns0:c>
      <ns0:c r="X771" s="0">
        <ns0:f>IF(T771=0,0,T771-IF(V771="PM",1,0))</ns0:f>
        <ns0:v>0</ns0:v>
      </ns0:c>
      <ns0:c r="Y771" s="0">
        <ns0:f>IF(J771=0,0,J771+IF(U771="AM",1,0))</ns0:f>
        <ns0:v>0</ns0:v>
      </ns0:c>
      <ns0:c r="Z771" s="0">
        <ns0:f>IF(T771=0,0,T771-IF(V771="AM",1,0))</ns0:f>
        <ns0:v>0</ns0:v>
      </ns0:c>
      <ns0:c r="AA771" s="0">
        <ns0:f>IFERROR(IF(AND(J771&gt;0,'_Engine'!C771&gt;0,MID('_Engine'!W771,WEEKDAY(J771,2),1)="W",COUNTIF(Settings!$F$18:$F$67,J771)=0),1,0),0)</ns0:f>
        <ns0:v>0</ns0:v>
      </ns0:c>
      <ns0:c r="AB771" s="0">
        <ns0:f>IFERROR(IF(AND(T771&gt;0,'_Engine'!C771&gt;0,MID('_Engine'!W771,WEEKDAY(T771,2),1)="W",COUNTIF(Settings!$F$18:$F$67,T771)=0),1,0),0)</ns0:f>
        <ns0:v>0</ns0:v>
      </ns0:c>
      <ns0:c r="AC771" s="0">
        <ns0:f>IF(AND(J771&gt;0,T771&gt;0,W771&lt;=X771),1,0)</ns0:f>
        <ns0:v>0</ns0:v>
      </ns0:c>
      <ns0:c r="AD771" s="0">
        <ns0:f>IF(AND(J771&gt;0,T771&gt;0,Y771&lt;=Z771),1,0)</ns0:f>
        <ns0:v>0</ns0:v>
      </ns0:c>
    </ns0:row>
    <ns0:row r="772">
      <ns0:c r="A772" s="0">
        <ns0:f>IFERROR(IF(ISNUMBER(Bookings!B772),"",TRIM(Bookings!B772&amp;"")),"")</ns0:f>
      </ns0:c>
      <ns0:c r="B772" s="0">
        <ns0:f>IFERROR(SUBSTITUTE(SUBSTITUTE(A772,"/","."),"-","."),"")</ns0:f>
      </ns0:c>
      <ns0:c r="C772" s="0">
        <ns0:f>IFERROR(LEFT(B772,FIND(".",B772)-1),"")</ns0:f>
      </ns0:c>
      <ns0:c r="D772" s="0">
        <ns0:f>IFERROR(MID(B772,FIND(".",B772)+1,FIND(".",B772,FIND(".",B772)+1)-FIND(".",B772)-1),"")</ns0:f>
      </ns0:c>
      <ns0:c r="E772" s="0">
        <ns0:f>IFERROR(MID(B772,FIND(".",B772,FIND(".",B772)+1)+1,99),"")</ns0:f>
        <ns0:v>99</ns0:v>
      </ns0:c>
      <ns0:c r="F772" s="0">
        <ns0:f>IFERROR(IF(FIND(".",B772)=5,--C772,--E772),0)</ns0:f>
        <ns0:v>0</ns0:v>
      </ns0:c>
      <ns0:c r="G772" s="0">
        <ns0:f>IFERROR(--D772,0)</ns0:f>
        <ns0:v>0</ns0:v>
      </ns0:c>
      <ns0:c r="H772" s="0">
        <ns0:f>IFERROR(IF(FIND(".",B772)=5,--E772,--C772),0)</ns0:f>
        <ns0:v>0</ns0:v>
      </ns0:c>
      <ns0:c r="I772" s="0">
        <ns0:f>IFERROR(IF(AND(F772&gt;=2000,F772&lt;=2100,G772&gt;=1,G772&lt;=12,H772&gt;=1,H772&lt;=31),DATE(F772,G772,H772),0),0)</ns0:f>
        <ns0:v>0</ns0:v>
      </ns0:c>
      <ns0:c r="J772" s="0">
        <ns0:f>IFERROR(IF(ISNUMBER(Bookings!B772),IF(AND(Bookings!B772=INT(Bookings!B772),Bookings!B772&gt;=DATE(2000,1,1),Bookings!B772&lt;=DATE(2100,12,31)),Bookings!B772,0),IF(AND(A772&lt;&gt;"",LEN("x"&amp;B772)-LEN(SUBSTITUTE("x"&amp;B772,".",""))=2,OR(1&gt;LEN(B772),MID(B772,1,1)=".",ISNUMBER(FIND("x"&amp;MID(B772,1,1),"x0x1x2x3x4x5x6x7x8x9"))),OR(2&gt;LEN(B772),MID(B772,2,1)=".",ISNUMBER(FIND("x"&amp;MID(B772,2,1),"x0x1x2x3x4x5x6x7x8x9"))),OR(3&gt;LEN(B772),MID(B772,3,1)=".",ISNUMBER(FIND("x"&amp;MID(B772,3,1),"x0x1x2x3x4x5x6x7x8x9"))),OR(4&gt;LEN(B772),MID(B772,4,1)=".",ISNUMBER(FIND("x"&amp;MID(B772,4,1),"x0x1x2x3x4x5x6x7x8x9"))),OR(5&gt;LEN(B772),MID(B772,5,1)=".",ISNUMBER(FIND("x"&amp;MID(B772,5,1),"x0x1x2x3x4x5x6x7x8x9"))),OR(6&gt;LEN(B772),MID(B772,6,1)=".",ISNUMBER(FIND("x"&amp;MID(B772,6,1),"x0x1x2x3x4x5x6x7x8x9"))),OR(7&gt;LEN(B772),MID(B772,7,1)=".",ISNUMBER(FIND("x"&amp;MID(B772,7,1),"x0x1x2x3x4x5x6x7x8x9"))),OR(8&gt;LEN(B772),MID(B772,8,1)=".",ISNUMBER(FIND("x"&amp;MID(B772,8,1),"x0x1x2x3x4x5x6x7x8x9"))),OR(9&gt;LEN(B772),MID(B772,9,1)=".",ISNUMBER(FIND("x"&amp;MID(B772,9,1),"x0x1x2x3x4x5x6x7x8x9"))),OR(10&gt;LEN(B772),MID(B772,10,1)=".",ISNUMBER(FIND("x"&amp;MID(B772,10,1),"x0x1x2x3x4x5x6x7x8x9"))),OR(AND(FIND(".",B772)=5,LEN(B772)-FIND(".",B772,FIND(".",B772)+1)&gt;=1,LEN(B772)-FIND(".",B772,FIND(".",B772)+1)&lt;=2),AND(LEN(B772)-FIND(".",B772,FIND(".",B772)+1)=4,FIND(".",B772)&gt;=2,FIND(".",B772)&lt;=3)),FIND(".",B772,FIND(".",B772)+1)-FIND(".",B772)&gt;=2,FIND(".",B772,FIND(".",B772)+1)-FIND(".",B772)&lt;=3,F772&gt;=2000,F772&lt;=2100,YEAR(I772)=F772,MONTH(I772)=G772,DAY(I772)=H772),I772,0)),0)</ns0:f>
        <ns0:v>0</ns0:v>
      </ns0:c>
      <ns0:c r="K772" s="0">
        <ns0:f>IFERROR(IF(ISNUMBER(Bookings!D772),"",TRIM(Bookings!D772&amp;"")),"")</ns0:f>
      </ns0:c>
      <ns0:c r="L772" s="0">
        <ns0:f>IFERROR(SUBSTITUTE(SUBSTITUTE(K772,"/","."),"-","."),"")</ns0:f>
      </ns0:c>
      <ns0:c r="M772" s="0">
        <ns0:f>IFERROR(LEFT(L772,FIND(".",L772)-1),"")</ns0:f>
      </ns0:c>
      <ns0:c r="N772" s="0">
        <ns0:f>IFERROR(MID(L772,FIND(".",L772)+1,FIND(".",L772,FIND(".",L772)+1)-FIND(".",L772)-1),"")</ns0:f>
      </ns0:c>
      <ns0:c r="O772" s="0">
        <ns0:f>IFERROR(MID(L772,FIND(".",L772,FIND(".",L772)+1)+1,99),"")</ns0:f>
        <ns0:v>99</ns0:v>
      </ns0:c>
      <ns0:c r="P772" s="0">
        <ns0:f>IFERROR(IF(FIND(".",L772)=5,--M772,--O772),0)</ns0:f>
        <ns0:v>0</ns0:v>
      </ns0:c>
      <ns0:c r="Q772" s="0">
        <ns0:f>IFERROR(--N772,0)</ns0:f>
        <ns0:v>0</ns0:v>
      </ns0:c>
      <ns0:c r="R772" s="0">
        <ns0:f>IFERROR(IF(FIND(".",L772)=5,--O772,--M772),0)</ns0:f>
        <ns0:v>0</ns0:v>
      </ns0:c>
      <ns0:c r="S772" s="0">
        <ns0:f>IFERROR(IF(AND(P772&gt;=2000,P772&lt;=2100,Q772&gt;=1,Q772&lt;=12,R772&gt;=1,R772&lt;=31),DATE(P772,Q772,R772),0),0)</ns0:f>
        <ns0:v>0</ns0:v>
      </ns0:c>
      <ns0:c r="T772" s="0">
        <ns0:f>IFERROR(IF(ISNUMBER(Bookings!D772),IF(AND(Bookings!D772=INT(Bookings!D772),Bookings!D772&gt;=DATE(2000,1,1),Bookings!D772&lt;=DATE(2100,12,31)),Bookings!D772,0),IF(AND(K772&lt;&gt;"",LEN("x"&amp;L772)-LEN(SUBSTITUTE("x"&amp;L772,".",""))=2,OR(1&gt;LEN(L772),MID(L772,1,1)=".",ISNUMBER(FIND("x"&amp;MID(L772,1,1),"x0x1x2x3x4x5x6x7x8x9"))),OR(2&gt;LEN(L772),MID(L772,2,1)=".",ISNUMBER(FIND("x"&amp;MID(L772,2,1),"x0x1x2x3x4x5x6x7x8x9"))),OR(3&gt;LEN(L772),MID(L772,3,1)=".",ISNUMBER(FIND("x"&amp;MID(L772,3,1),"x0x1x2x3x4x5x6x7x8x9"))),OR(4&gt;LEN(L772),MID(L772,4,1)=".",ISNUMBER(FIND("x"&amp;MID(L772,4,1),"x0x1x2x3x4x5x6x7x8x9"))),OR(5&gt;LEN(L772),MID(L772,5,1)=".",ISNUMBER(FIND("x"&amp;MID(L772,5,1),"x0x1x2x3x4x5x6x7x8x9"))),OR(6&gt;LEN(L772),MID(L772,6,1)=".",ISNUMBER(FIND("x"&amp;MID(L772,6,1),"x0x1x2x3x4x5x6x7x8x9"))),OR(7&gt;LEN(L772),MID(L772,7,1)=".",ISNUMBER(FIND("x"&amp;MID(L772,7,1),"x0x1x2x3x4x5x6x7x8x9"))),OR(8&gt;LEN(L772),MID(L772,8,1)=".",ISNUMBER(FIND("x"&amp;MID(L772,8,1),"x0x1x2x3x4x5x6x7x8x9"))),OR(9&gt;LEN(L772),MID(L772,9,1)=".",ISNUMBER(FIND("x"&amp;MID(L772,9,1),"x0x1x2x3x4x5x6x7x8x9"))),OR(10&gt;LEN(L772),MID(L772,10,1)=".",ISNUMBER(FIND("x"&amp;MID(L772,10,1),"x0x1x2x3x4x5x6x7x8x9"))),OR(AND(FIND(".",L772)=5,LEN(L772)-FIND(".",L772,FIND(".",L772)+1)&gt;=1,LEN(L772)-FIND(".",L772,FIND(".",L772)+1)&lt;=2),AND(LEN(L772)-FIND(".",L772,FIND(".",L772)+1)=4,FIND(".",L772)&gt;=2,FIND(".",L772)&lt;=3)),FIND(".",L772,FIND(".",L772)+1)-FIND(".",L772)&gt;=2,FIND(".",L772,FIND(".",L772)+1)-FIND(".",L772)&lt;=3,P772&gt;=2000,P772&lt;=2100,YEAR(S772)=P772,MONTH(S772)=Q772,DAY(S772)=R772),S772,0)),0)</ns0:f>
        <ns0:v>0</ns0:v>
      </ns0:c>
      <ns0:c r="U772" s="0" t="str">
        <ns0:f>IF(Bookings!C772="","Full day",Bookings!C772)</ns0:f>
        <ns0:v>Full day</ns0:v>
      </ns0:c>
      <ns0:c r="V772" s="0" t="str">
        <ns0:f>IF(Bookings!E772="","Full day",Bookings!E772)</ns0:f>
        <ns0:v>Full day</ns0:v>
      </ns0:c>
      <ns0:c r="W772" s="0">
        <ns0:f>IF(J772=0,0,J772+IF(U772="PM",1,0))</ns0:f>
        <ns0:v>0</ns0:v>
      </ns0:c>
      <ns0:c r="X772" s="0">
        <ns0:f>IF(T772=0,0,T772-IF(V772="PM",1,0))</ns0:f>
        <ns0:v>0</ns0:v>
      </ns0:c>
      <ns0:c r="Y772" s="0">
        <ns0:f>IF(J772=0,0,J772+IF(U772="AM",1,0))</ns0:f>
        <ns0:v>0</ns0:v>
      </ns0:c>
      <ns0:c r="Z772" s="0">
        <ns0:f>IF(T772=0,0,T772-IF(V772="AM",1,0))</ns0:f>
        <ns0:v>0</ns0:v>
      </ns0:c>
      <ns0:c r="AA772" s="0">
        <ns0:f>IFERROR(IF(AND(J772&gt;0,'_Engine'!C772&gt;0,MID('_Engine'!W772,WEEKDAY(J772,2),1)="W",COUNTIF(Settings!$F$18:$F$67,J772)=0),1,0),0)</ns0:f>
        <ns0:v>0</ns0:v>
      </ns0:c>
      <ns0:c r="AB772" s="0">
        <ns0:f>IFERROR(IF(AND(T772&gt;0,'_Engine'!C772&gt;0,MID('_Engine'!W772,WEEKDAY(T772,2),1)="W",COUNTIF(Settings!$F$18:$F$67,T772)=0),1,0),0)</ns0:f>
        <ns0:v>0</ns0:v>
      </ns0:c>
      <ns0:c r="AC772" s="0">
        <ns0:f>IF(AND(J772&gt;0,T772&gt;0,W772&lt;=X772),1,0)</ns0:f>
        <ns0:v>0</ns0:v>
      </ns0:c>
      <ns0:c r="AD772" s="0">
        <ns0:f>IF(AND(J772&gt;0,T772&gt;0,Y772&lt;=Z772),1,0)</ns0:f>
        <ns0:v>0</ns0:v>
      </ns0:c>
    </ns0:row>
    <ns0:row r="773">
      <ns0:c r="A773" s="0">
        <ns0:f>IFERROR(IF(ISNUMBER(Bookings!B773),"",TRIM(Bookings!B773&amp;"")),"")</ns0:f>
      </ns0:c>
      <ns0:c r="B773" s="0">
        <ns0:f>IFERROR(SUBSTITUTE(SUBSTITUTE(A773,"/","."),"-","."),"")</ns0:f>
      </ns0:c>
      <ns0:c r="C773" s="0">
        <ns0:f>IFERROR(LEFT(B773,FIND(".",B773)-1),"")</ns0:f>
      </ns0:c>
      <ns0:c r="D773" s="0">
        <ns0:f>IFERROR(MID(B773,FIND(".",B773)+1,FIND(".",B773,FIND(".",B773)+1)-FIND(".",B773)-1),"")</ns0:f>
      </ns0:c>
      <ns0:c r="E773" s="0">
        <ns0:f>IFERROR(MID(B773,FIND(".",B773,FIND(".",B773)+1)+1,99),"")</ns0:f>
        <ns0:v>99</ns0:v>
      </ns0:c>
      <ns0:c r="F773" s="0">
        <ns0:f>IFERROR(IF(FIND(".",B773)=5,--C773,--E773),0)</ns0:f>
        <ns0:v>0</ns0:v>
      </ns0:c>
      <ns0:c r="G773" s="0">
        <ns0:f>IFERROR(--D773,0)</ns0:f>
        <ns0:v>0</ns0:v>
      </ns0:c>
      <ns0:c r="H773" s="0">
        <ns0:f>IFERROR(IF(FIND(".",B773)=5,--E773,--C773),0)</ns0:f>
        <ns0:v>0</ns0:v>
      </ns0:c>
      <ns0:c r="I773" s="0">
        <ns0:f>IFERROR(IF(AND(F773&gt;=2000,F773&lt;=2100,G773&gt;=1,G773&lt;=12,H773&gt;=1,H773&lt;=31),DATE(F773,G773,H773),0),0)</ns0:f>
        <ns0:v>0</ns0:v>
      </ns0:c>
      <ns0:c r="J773" s="0">
        <ns0:f>IFERROR(IF(ISNUMBER(Bookings!B773),IF(AND(Bookings!B773=INT(Bookings!B773),Bookings!B773&gt;=DATE(2000,1,1),Bookings!B773&lt;=DATE(2100,12,31)),Bookings!B773,0),IF(AND(A773&lt;&gt;"",LEN("x"&amp;B773)-LEN(SUBSTITUTE("x"&amp;B773,".",""))=2,OR(1&gt;LEN(B773),MID(B773,1,1)=".",ISNUMBER(FIND("x"&amp;MID(B773,1,1),"x0x1x2x3x4x5x6x7x8x9"))),OR(2&gt;LEN(B773),MID(B773,2,1)=".",ISNUMBER(FIND("x"&amp;MID(B773,2,1),"x0x1x2x3x4x5x6x7x8x9"))),OR(3&gt;LEN(B773),MID(B773,3,1)=".",ISNUMBER(FIND("x"&amp;MID(B773,3,1),"x0x1x2x3x4x5x6x7x8x9"))),OR(4&gt;LEN(B773),MID(B773,4,1)=".",ISNUMBER(FIND("x"&amp;MID(B773,4,1),"x0x1x2x3x4x5x6x7x8x9"))),OR(5&gt;LEN(B773),MID(B773,5,1)=".",ISNUMBER(FIND("x"&amp;MID(B773,5,1),"x0x1x2x3x4x5x6x7x8x9"))),OR(6&gt;LEN(B773),MID(B773,6,1)=".",ISNUMBER(FIND("x"&amp;MID(B773,6,1),"x0x1x2x3x4x5x6x7x8x9"))),OR(7&gt;LEN(B773),MID(B773,7,1)=".",ISNUMBER(FIND("x"&amp;MID(B773,7,1),"x0x1x2x3x4x5x6x7x8x9"))),OR(8&gt;LEN(B773),MID(B773,8,1)=".",ISNUMBER(FIND("x"&amp;MID(B773,8,1),"x0x1x2x3x4x5x6x7x8x9"))),OR(9&gt;LEN(B773),MID(B773,9,1)=".",ISNUMBER(FIND("x"&amp;MID(B773,9,1),"x0x1x2x3x4x5x6x7x8x9"))),OR(10&gt;LEN(B773),MID(B773,10,1)=".",ISNUMBER(FIND("x"&amp;MID(B773,10,1),"x0x1x2x3x4x5x6x7x8x9"))),OR(AND(FIND(".",B773)=5,LEN(B773)-FIND(".",B773,FIND(".",B773)+1)&gt;=1,LEN(B773)-FIND(".",B773,FIND(".",B773)+1)&lt;=2),AND(LEN(B773)-FIND(".",B773,FIND(".",B773)+1)=4,FIND(".",B773)&gt;=2,FIND(".",B773)&lt;=3)),FIND(".",B773,FIND(".",B773)+1)-FIND(".",B773)&gt;=2,FIND(".",B773,FIND(".",B773)+1)-FIND(".",B773)&lt;=3,F773&gt;=2000,F773&lt;=2100,YEAR(I773)=F773,MONTH(I773)=G773,DAY(I773)=H773),I773,0)),0)</ns0:f>
        <ns0:v>0</ns0:v>
      </ns0:c>
      <ns0:c r="K773" s="0">
        <ns0:f>IFERROR(IF(ISNUMBER(Bookings!D773),"",TRIM(Bookings!D773&amp;"")),"")</ns0:f>
      </ns0:c>
      <ns0:c r="L773" s="0">
        <ns0:f>IFERROR(SUBSTITUTE(SUBSTITUTE(K773,"/","."),"-","."),"")</ns0:f>
      </ns0:c>
      <ns0:c r="M773" s="0">
        <ns0:f>IFERROR(LEFT(L773,FIND(".",L773)-1),"")</ns0:f>
      </ns0:c>
      <ns0:c r="N773" s="0">
        <ns0:f>IFERROR(MID(L773,FIND(".",L773)+1,FIND(".",L773,FIND(".",L773)+1)-FIND(".",L773)-1),"")</ns0:f>
      </ns0:c>
      <ns0:c r="O773" s="0">
        <ns0:f>IFERROR(MID(L773,FIND(".",L773,FIND(".",L773)+1)+1,99),"")</ns0:f>
        <ns0:v>99</ns0:v>
      </ns0:c>
      <ns0:c r="P773" s="0">
        <ns0:f>IFERROR(IF(FIND(".",L773)=5,--M773,--O773),0)</ns0:f>
        <ns0:v>0</ns0:v>
      </ns0:c>
      <ns0:c r="Q773" s="0">
        <ns0:f>IFERROR(--N773,0)</ns0:f>
        <ns0:v>0</ns0:v>
      </ns0:c>
      <ns0:c r="R773" s="0">
        <ns0:f>IFERROR(IF(FIND(".",L773)=5,--O773,--M773),0)</ns0:f>
        <ns0:v>0</ns0:v>
      </ns0:c>
      <ns0:c r="S773" s="0">
        <ns0:f>IFERROR(IF(AND(P773&gt;=2000,P773&lt;=2100,Q773&gt;=1,Q773&lt;=12,R773&gt;=1,R773&lt;=31),DATE(P773,Q773,R773),0),0)</ns0:f>
        <ns0:v>0</ns0:v>
      </ns0:c>
      <ns0:c r="T773" s="0">
        <ns0:f>IFERROR(IF(ISNUMBER(Bookings!D773),IF(AND(Bookings!D773=INT(Bookings!D773),Bookings!D773&gt;=DATE(2000,1,1),Bookings!D773&lt;=DATE(2100,12,31)),Bookings!D773,0),IF(AND(K773&lt;&gt;"",LEN("x"&amp;L773)-LEN(SUBSTITUTE("x"&amp;L773,".",""))=2,OR(1&gt;LEN(L773),MID(L773,1,1)=".",ISNUMBER(FIND("x"&amp;MID(L773,1,1),"x0x1x2x3x4x5x6x7x8x9"))),OR(2&gt;LEN(L773),MID(L773,2,1)=".",ISNUMBER(FIND("x"&amp;MID(L773,2,1),"x0x1x2x3x4x5x6x7x8x9"))),OR(3&gt;LEN(L773),MID(L773,3,1)=".",ISNUMBER(FIND("x"&amp;MID(L773,3,1),"x0x1x2x3x4x5x6x7x8x9"))),OR(4&gt;LEN(L773),MID(L773,4,1)=".",ISNUMBER(FIND("x"&amp;MID(L773,4,1),"x0x1x2x3x4x5x6x7x8x9"))),OR(5&gt;LEN(L773),MID(L773,5,1)=".",ISNUMBER(FIND("x"&amp;MID(L773,5,1),"x0x1x2x3x4x5x6x7x8x9"))),OR(6&gt;LEN(L773),MID(L773,6,1)=".",ISNUMBER(FIND("x"&amp;MID(L773,6,1),"x0x1x2x3x4x5x6x7x8x9"))),OR(7&gt;LEN(L773),MID(L773,7,1)=".",ISNUMBER(FIND("x"&amp;MID(L773,7,1),"x0x1x2x3x4x5x6x7x8x9"))),OR(8&gt;LEN(L773),MID(L773,8,1)=".",ISNUMBER(FIND("x"&amp;MID(L773,8,1),"x0x1x2x3x4x5x6x7x8x9"))),OR(9&gt;LEN(L773),MID(L773,9,1)=".",ISNUMBER(FIND("x"&amp;MID(L773,9,1),"x0x1x2x3x4x5x6x7x8x9"))),OR(10&gt;LEN(L773),MID(L773,10,1)=".",ISNUMBER(FIND("x"&amp;MID(L773,10,1),"x0x1x2x3x4x5x6x7x8x9"))),OR(AND(FIND(".",L773)=5,LEN(L773)-FIND(".",L773,FIND(".",L773)+1)&gt;=1,LEN(L773)-FIND(".",L773,FIND(".",L773)+1)&lt;=2),AND(LEN(L773)-FIND(".",L773,FIND(".",L773)+1)=4,FIND(".",L773)&gt;=2,FIND(".",L773)&lt;=3)),FIND(".",L773,FIND(".",L773)+1)-FIND(".",L773)&gt;=2,FIND(".",L773,FIND(".",L773)+1)-FIND(".",L773)&lt;=3,P773&gt;=2000,P773&lt;=2100,YEAR(S773)=P773,MONTH(S773)=Q773,DAY(S773)=R773),S773,0)),0)</ns0:f>
        <ns0:v>0</ns0:v>
      </ns0:c>
      <ns0:c r="U773" s="0" t="str">
        <ns0:f>IF(Bookings!C773="","Full day",Bookings!C773)</ns0:f>
        <ns0:v>Full day</ns0:v>
      </ns0:c>
      <ns0:c r="V773" s="0" t="str">
        <ns0:f>IF(Bookings!E773="","Full day",Bookings!E773)</ns0:f>
        <ns0:v>Full day</ns0:v>
      </ns0:c>
      <ns0:c r="W773" s="0">
        <ns0:f>IF(J773=0,0,J773+IF(U773="PM",1,0))</ns0:f>
        <ns0:v>0</ns0:v>
      </ns0:c>
      <ns0:c r="X773" s="0">
        <ns0:f>IF(T773=0,0,T773-IF(V773="PM",1,0))</ns0:f>
        <ns0:v>0</ns0:v>
      </ns0:c>
      <ns0:c r="Y773" s="0">
        <ns0:f>IF(J773=0,0,J773+IF(U773="AM",1,0))</ns0:f>
        <ns0:v>0</ns0:v>
      </ns0:c>
      <ns0:c r="Z773" s="0">
        <ns0:f>IF(T773=0,0,T773-IF(V773="AM",1,0))</ns0:f>
        <ns0:v>0</ns0:v>
      </ns0:c>
      <ns0:c r="AA773" s="0">
        <ns0:f>IFERROR(IF(AND(J773&gt;0,'_Engine'!C773&gt;0,MID('_Engine'!W773,WEEKDAY(J773,2),1)="W",COUNTIF(Settings!$F$18:$F$67,J773)=0),1,0),0)</ns0:f>
        <ns0:v>0</ns0:v>
      </ns0:c>
      <ns0:c r="AB773" s="0">
        <ns0:f>IFERROR(IF(AND(T773&gt;0,'_Engine'!C773&gt;0,MID('_Engine'!W773,WEEKDAY(T773,2),1)="W",COUNTIF(Settings!$F$18:$F$67,T773)=0),1,0),0)</ns0:f>
        <ns0:v>0</ns0:v>
      </ns0:c>
      <ns0:c r="AC773" s="0">
        <ns0:f>IF(AND(J773&gt;0,T773&gt;0,W773&lt;=X773),1,0)</ns0:f>
        <ns0:v>0</ns0:v>
      </ns0:c>
      <ns0:c r="AD773" s="0">
        <ns0:f>IF(AND(J773&gt;0,T773&gt;0,Y773&lt;=Z773),1,0)</ns0:f>
        <ns0:v>0</ns0:v>
      </ns0:c>
    </ns0:row>
    <ns0:row r="774">
      <ns0:c r="A774" s="0">
        <ns0:f>IFERROR(IF(ISNUMBER(Bookings!B774),"",TRIM(Bookings!B774&amp;"")),"")</ns0:f>
      </ns0:c>
      <ns0:c r="B774" s="0">
        <ns0:f>IFERROR(SUBSTITUTE(SUBSTITUTE(A774,"/","."),"-","."),"")</ns0:f>
      </ns0:c>
      <ns0:c r="C774" s="0">
        <ns0:f>IFERROR(LEFT(B774,FIND(".",B774)-1),"")</ns0:f>
      </ns0:c>
      <ns0:c r="D774" s="0">
        <ns0:f>IFERROR(MID(B774,FIND(".",B774)+1,FIND(".",B774,FIND(".",B774)+1)-FIND(".",B774)-1),"")</ns0:f>
      </ns0:c>
      <ns0:c r="E774" s="0">
        <ns0:f>IFERROR(MID(B774,FIND(".",B774,FIND(".",B774)+1)+1,99),"")</ns0:f>
        <ns0:v>99</ns0:v>
      </ns0:c>
      <ns0:c r="F774" s="0">
        <ns0:f>IFERROR(IF(FIND(".",B774)=5,--C774,--E774),0)</ns0:f>
        <ns0:v>0</ns0:v>
      </ns0:c>
      <ns0:c r="G774" s="0">
        <ns0:f>IFERROR(--D774,0)</ns0:f>
        <ns0:v>0</ns0:v>
      </ns0:c>
      <ns0:c r="H774" s="0">
        <ns0:f>IFERROR(IF(FIND(".",B774)=5,--E774,--C774),0)</ns0:f>
        <ns0:v>0</ns0:v>
      </ns0:c>
      <ns0:c r="I774" s="0">
        <ns0:f>IFERROR(IF(AND(F774&gt;=2000,F774&lt;=2100,G774&gt;=1,G774&lt;=12,H774&gt;=1,H774&lt;=31),DATE(F774,G774,H774),0),0)</ns0:f>
        <ns0:v>0</ns0:v>
      </ns0:c>
      <ns0:c r="J774" s="0">
        <ns0:f>IFERROR(IF(ISNUMBER(Bookings!B774),IF(AND(Bookings!B774=INT(Bookings!B774),Bookings!B774&gt;=DATE(2000,1,1),Bookings!B774&lt;=DATE(2100,12,31)),Bookings!B774,0),IF(AND(A774&lt;&gt;"",LEN("x"&amp;B774)-LEN(SUBSTITUTE("x"&amp;B774,".",""))=2,OR(1&gt;LEN(B774),MID(B774,1,1)=".",ISNUMBER(FIND("x"&amp;MID(B774,1,1),"x0x1x2x3x4x5x6x7x8x9"))),OR(2&gt;LEN(B774),MID(B774,2,1)=".",ISNUMBER(FIND("x"&amp;MID(B774,2,1),"x0x1x2x3x4x5x6x7x8x9"))),OR(3&gt;LEN(B774),MID(B774,3,1)=".",ISNUMBER(FIND("x"&amp;MID(B774,3,1),"x0x1x2x3x4x5x6x7x8x9"))),OR(4&gt;LEN(B774),MID(B774,4,1)=".",ISNUMBER(FIND("x"&amp;MID(B774,4,1),"x0x1x2x3x4x5x6x7x8x9"))),OR(5&gt;LEN(B774),MID(B774,5,1)=".",ISNUMBER(FIND("x"&amp;MID(B774,5,1),"x0x1x2x3x4x5x6x7x8x9"))),OR(6&gt;LEN(B774),MID(B774,6,1)=".",ISNUMBER(FIND("x"&amp;MID(B774,6,1),"x0x1x2x3x4x5x6x7x8x9"))),OR(7&gt;LEN(B774),MID(B774,7,1)=".",ISNUMBER(FIND("x"&amp;MID(B774,7,1),"x0x1x2x3x4x5x6x7x8x9"))),OR(8&gt;LEN(B774),MID(B774,8,1)=".",ISNUMBER(FIND("x"&amp;MID(B774,8,1),"x0x1x2x3x4x5x6x7x8x9"))),OR(9&gt;LEN(B774),MID(B774,9,1)=".",ISNUMBER(FIND("x"&amp;MID(B774,9,1),"x0x1x2x3x4x5x6x7x8x9"))),OR(10&gt;LEN(B774),MID(B774,10,1)=".",ISNUMBER(FIND("x"&amp;MID(B774,10,1),"x0x1x2x3x4x5x6x7x8x9"))),OR(AND(FIND(".",B774)=5,LEN(B774)-FIND(".",B774,FIND(".",B774)+1)&gt;=1,LEN(B774)-FIND(".",B774,FIND(".",B774)+1)&lt;=2),AND(LEN(B774)-FIND(".",B774,FIND(".",B774)+1)=4,FIND(".",B774)&gt;=2,FIND(".",B774)&lt;=3)),FIND(".",B774,FIND(".",B774)+1)-FIND(".",B774)&gt;=2,FIND(".",B774,FIND(".",B774)+1)-FIND(".",B774)&lt;=3,F774&gt;=2000,F774&lt;=2100,YEAR(I774)=F774,MONTH(I774)=G774,DAY(I774)=H774),I774,0)),0)</ns0:f>
        <ns0:v>0</ns0:v>
      </ns0:c>
      <ns0:c r="K774" s="0">
        <ns0:f>IFERROR(IF(ISNUMBER(Bookings!D774),"",TRIM(Bookings!D774&amp;"")),"")</ns0:f>
      </ns0:c>
      <ns0:c r="L774" s="0">
        <ns0:f>IFERROR(SUBSTITUTE(SUBSTITUTE(K774,"/","."),"-","."),"")</ns0:f>
      </ns0:c>
      <ns0:c r="M774" s="0">
        <ns0:f>IFERROR(LEFT(L774,FIND(".",L774)-1),"")</ns0:f>
      </ns0:c>
      <ns0:c r="N774" s="0">
        <ns0:f>IFERROR(MID(L774,FIND(".",L774)+1,FIND(".",L774,FIND(".",L774)+1)-FIND(".",L774)-1),"")</ns0:f>
      </ns0:c>
      <ns0:c r="O774" s="0">
        <ns0:f>IFERROR(MID(L774,FIND(".",L774,FIND(".",L774)+1)+1,99),"")</ns0:f>
        <ns0:v>99</ns0:v>
      </ns0:c>
      <ns0:c r="P774" s="0">
        <ns0:f>IFERROR(IF(FIND(".",L774)=5,--M774,--O774),0)</ns0:f>
        <ns0:v>0</ns0:v>
      </ns0:c>
      <ns0:c r="Q774" s="0">
        <ns0:f>IFERROR(--N774,0)</ns0:f>
        <ns0:v>0</ns0:v>
      </ns0:c>
      <ns0:c r="R774" s="0">
        <ns0:f>IFERROR(IF(FIND(".",L774)=5,--O774,--M774),0)</ns0:f>
        <ns0:v>0</ns0:v>
      </ns0:c>
      <ns0:c r="S774" s="0">
        <ns0:f>IFERROR(IF(AND(P774&gt;=2000,P774&lt;=2100,Q774&gt;=1,Q774&lt;=12,R774&gt;=1,R774&lt;=31),DATE(P774,Q774,R774),0),0)</ns0:f>
        <ns0:v>0</ns0:v>
      </ns0:c>
      <ns0:c r="T774" s="0">
        <ns0:f>IFERROR(IF(ISNUMBER(Bookings!D774),IF(AND(Bookings!D774=INT(Bookings!D774),Bookings!D774&gt;=DATE(2000,1,1),Bookings!D774&lt;=DATE(2100,12,31)),Bookings!D774,0),IF(AND(K774&lt;&gt;"",LEN("x"&amp;L774)-LEN(SUBSTITUTE("x"&amp;L774,".",""))=2,OR(1&gt;LEN(L774),MID(L774,1,1)=".",ISNUMBER(FIND("x"&amp;MID(L774,1,1),"x0x1x2x3x4x5x6x7x8x9"))),OR(2&gt;LEN(L774),MID(L774,2,1)=".",ISNUMBER(FIND("x"&amp;MID(L774,2,1),"x0x1x2x3x4x5x6x7x8x9"))),OR(3&gt;LEN(L774),MID(L774,3,1)=".",ISNUMBER(FIND("x"&amp;MID(L774,3,1),"x0x1x2x3x4x5x6x7x8x9"))),OR(4&gt;LEN(L774),MID(L774,4,1)=".",ISNUMBER(FIND("x"&amp;MID(L774,4,1),"x0x1x2x3x4x5x6x7x8x9"))),OR(5&gt;LEN(L774),MID(L774,5,1)=".",ISNUMBER(FIND("x"&amp;MID(L774,5,1),"x0x1x2x3x4x5x6x7x8x9"))),OR(6&gt;LEN(L774),MID(L774,6,1)=".",ISNUMBER(FIND("x"&amp;MID(L774,6,1),"x0x1x2x3x4x5x6x7x8x9"))),OR(7&gt;LEN(L774),MID(L774,7,1)=".",ISNUMBER(FIND("x"&amp;MID(L774,7,1),"x0x1x2x3x4x5x6x7x8x9"))),OR(8&gt;LEN(L774),MID(L774,8,1)=".",ISNUMBER(FIND("x"&amp;MID(L774,8,1),"x0x1x2x3x4x5x6x7x8x9"))),OR(9&gt;LEN(L774),MID(L774,9,1)=".",ISNUMBER(FIND("x"&amp;MID(L774,9,1),"x0x1x2x3x4x5x6x7x8x9"))),OR(10&gt;LEN(L774),MID(L774,10,1)=".",ISNUMBER(FIND("x"&amp;MID(L774,10,1),"x0x1x2x3x4x5x6x7x8x9"))),OR(AND(FIND(".",L774)=5,LEN(L774)-FIND(".",L774,FIND(".",L774)+1)&gt;=1,LEN(L774)-FIND(".",L774,FIND(".",L774)+1)&lt;=2),AND(LEN(L774)-FIND(".",L774,FIND(".",L774)+1)=4,FIND(".",L774)&gt;=2,FIND(".",L774)&lt;=3)),FIND(".",L774,FIND(".",L774)+1)-FIND(".",L774)&gt;=2,FIND(".",L774,FIND(".",L774)+1)-FIND(".",L774)&lt;=3,P774&gt;=2000,P774&lt;=2100,YEAR(S774)=P774,MONTH(S774)=Q774,DAY(S774)=R774),S774,0)),0)</ns0:f>
        <ns0:v>0</ns0:v>
      </ns0:c>
      <ns0:c r="U774" s="0" t="str">
        <ns0:f>IF(Bookings!C774="","Full day",Bookings!C774)</ns0:f>
        <ns0:v>Full day</ns0:v>
      </ns0:c>
      <ns0:c r="V774" s="0" t="str">
        <ns0:f>IF(Bookings!E774="","Full day",Bookings!E774)</ns0:f>
        <ns0:v>Full day</ns0:v>
      </ns0:c>
      <ns0:c r="W774" s="0">
        <ns0:f>IF(J774=0,0,J774+IF(U774="PM",1,0))</ns0:f>
        <ns0:v>0</ns0:v>
      </ns0:c>
      <ns0:c r="X774" s="0">
        <ns0:f>IF(T774=0,0,T774-IF(V774="PM",1,0))</ns0:f>
        <ns0:v>0</ns0:v>
      </ns0:c>
      <ns0:c r="Y774" s="0">
        <ns0:f>IF(J774=0,0,J774+IF(U774="AM",1,0))</ns0:f>
        <ns0:v>0</ns0:v>
      </ns0:c>
      <ns0:c r="Z774" s="0">
        <ns0:f>IF(T774=0,0,T774-IF(V774="AM",1,0))</ns0:f>
        <ns0:v>0</ns0:v>
      </ns0:c>
      <ns0:c r="AA774" s="0">
        <ns0:f>IFERROR(IF(AND(J774&gt;0,'_Engine'!C774&gt;0,MID('_Engine'!W774,WEEKDAY(J774,2),1)="W",COUNTIF(Settings!$F$18:$F$67,J774)=0),1,0),0)</ns0:f>
        <ns0:v>0</ns0:v>
      </ns0:c>
      <ns0:c r="AB774" s="0">
        <ns0:f>IFERROR(IF(AND(T774&gt;0,'_Engine'!C774&gt;0,MID('_Engine'!W774,WEEKDAY(T774,2),1)="W",COUNTIF(Settings!$F$18:$F$67,T774)=0),1,0),0)</ns0:f>
        <ns0:v>0</ns0:v>
      </ns0:c>
      <ns0:c r="AC774" s="0">
        <ns0:f>IF(AND(J774&gt;0,T774&gt;0,W774&lt;=X774),1,0)</ns0:f>
        <ns0:v>0</ns0:v>
      </ns0:c>
      <ns0:c r="AD774" s="0">
        <ns0:f>IF(AND(J774&gt;0,T774&gt;0,Y774&lt;=Z774),1,0)</ns0:f>
        <ns0:v>0</ns0:v>
      </ns0:c>
    </ns0:row>
    <ns0:row r="775">
      <ns0:c r="A775" s="0">
        <ns0:f>IFERROR(IF(ISNUMBER(Bookings!B775),"",TRIM(Bookings!B775&amp;"")),"")</ns0:f>
      </ns0:c>
      <ns0:c r="B775" s="0">
        <ns0:f>IFERROR(SUBSTITUTE(SUBSTITUTE(A775,"/","."),"-","."),"")</ns0:f>
      </ns0:c>
      <ns0:c r="C775" s="0">
        <ns0:f>IFERROR(LEFT(B775,FIND(".",B775)-1),"")</ns0:f>
      </ns0:c>
      <ns0:c r="D775" s="0">
        <ns0:f>IFERROR(MID(B775,FIND(".",B775)+1,FIND(".",B775,FIND(".",B775)+1)-FIND(".",B775)-1),"")</ns0:f>
      </ns0:c>
      <ns0:c r="E775" s="0">
        <ns0:f>IFERROR(MID(B775,FIND(".",B775,FIND(".",B775)+1)+1,99),"")</ns0:f>
        <ns0:v>99</ns0:v>
      </ns0:c>
      <ns0:c r="F775" s="0">
        <ns0:f>IFERROR(IF(FIND(".",B775)=5,--C775,--E775),0)</ns0:f>
        <ns0:v>0</ns0:v>
      </ns0:c>
      <ns0:c r="G775" s="0">
        <ns0:f>IFERROR(--D775,0)</ns0:f>
        <ns0:v>0</ns0:v>
      </ns0:c>
      <ns0:c r="H775" s="0">
        <ns0:f>IFERROR(IF(FIND(".",B775)=5,--E775,--C775),0)</ns0:f>
        <ns0:v>0</ns0:v>
      </ns0:c>
      <ns0:c r="I775" s="0">
        <ns0:f>IFERROR(IF(AND(F775&gt;=2000,F775&lt;=2100,G775&gt;=1,G775&lt;=12,H775&gt;=1,H775&lt;=31),DATE(F775,G775,H775),0),0)</ns0:f>
        <ns0:v>0</ns0:v>
      </ns0:c>
      <ns0:c r="J775" s="0">
        <ns0:f>IFERROR(IF(ISNUMBER(Bookings!B775),IF(AND(Bookings!B775=INT(Bookings!B775),Bookings!B775&gt;=DATE(2000,1,1),Bookings!B775&lt;=DATE(2100,12,31)),Bookings!B775,0),IF(AND(A775&lt;&gt;"",LEN("x"&amp;B775)-LEN(SUBSTITUTE("x"&amp;B775,".",""))=2,OR(1&gt;LEN(B775),MID(B775,1,1)=".",ISNUMBER(FIND("x"&amp;MID(B775,1,1),"x0x1x2x3x4x5x6x7x8x9"))),OR(2&gt;LEN(B775),MID(B775,2,1)=".",ISNUMBER(FIND("x"&amp;MID(B775,2,1),"x0x1x2x3x4x5x6x7x8x9"))),OR(3&gt;LEN(B775),MID(B775,3,1)=".",ISNUMBER(FIND("x"&amp;MID(B775,3,1),"x0x1x2x3x4x5x6x7x8x9"))),OR(4&gt;LEN(B775),MID(B775,4,1)=".",ISNUMBER(FIND("x"&amp;MID(B775,4,1),"x0x1x2x3x4x5x6x7x8x9"))),OR(5&gt;LEN(B775),MID(B775,5,1)=".",ISNUMBER(FIND("x"&amp;MID(B775,5,1),"x0x1x2x3x4x5x6x7x8x9"))),OR(6&gt;LEN(B775),MID(B775,6,1)=".",ISNUMBER(FIND("x"&amp;MID(B775,6,1),"x0x1x2x3x4x5x6x7x8x9"))),OR(7&gt;LEN(B775),MID(B775,7,1)=".",ISNUMBER(FIND("x"&amp;MID(B775,7,1),"x0x1x2x3x4x5x6x7x8x9"))),OR(8&gt;LEN(B775),MID(B775,8,1)=".",ISNUMBER(FIND("x"&amp;MID(B775,8,1),"x0x1x2x3x4x5x6x7x8x9"))),OR(9&gt;LEN(B775),MID(B775,9,1)=".",ISNUMBER(FIND("x"&amp;MID(B775,9,1),"x0x1x2x3x4x5x6x7x8x9"))),OR(10&gt;LEN(B775),MID(B775,10,1)=".",ISNUMBER(FIND("x"&amp;MID(B775,10,1),"x0x1x2x3x4x5x6x7x8x9"))),OR(AND(FIND(".",B775)=5,LEN(B775)-FIND(".",B775,FIND(".",B775)+1)&gt;=1,LEN(B775)-FIND(".",B775,FIND(".",B775)+1)&lt;=2),AND(LEN(B775)-FIND(".",B775,FIND(".",B775)+1)=4,FIND(".",B775)&gt;=2,FIND(".",B775)&lt;=3)),FIND(".",B775,FIND(".",B775)+1)-FIND(".",B775)&gt;=2,FIND(".",B775,FIND(".",B775)+1)-FIND(".",B775)&lt;=3,F775&gt;=2000,F775&lt;=2100,YEAR(I775)=F775,MONTH(I775)=G775,DAY(I775)=H775),I775,0)),0)</ns0:f>
        <ns0:v>0</ns0:v>
      </ns0:c>
      <ns0:c r="K775" s="0">
        <ns0:f>IFERROR(IF(ISNUMBER(Bookings!D775),"",TRIM(Bookings!D775&amp;"")),"")</ns0:f>
      </ns0:c>
      <ns0:c r="L775" s="0">
        <ns0:f>IFERROR(SUBSTITUTE(SUBSTITUTE(K775,"/","."),"-","."),"")</ns0:f>
      </ns0:c>
      <ns0:c r="M775" s="0">
        <ns0:f>IFERROR(LEFT(L775,FIND(".",L775)-1),"")</ns0:f>
      </ns0:c>
      <ns0:c r="N775" s="0">
        <ns0:f>IFERROR(MID(L775,FIND(".",L775)+1,FIND(".",L775,FIND(".",L775)+1)-FIND(".",L775)-1),"")</ns0:f>
      </ns0:c>
      <ns0:c r="O775" s="0">
        <ns0:f>IFERROR(MID(L775,FIND(".",L775,FIND(".",L775)+1)+1,99),"")</ns0:f>
        <ns0:v>99</ns0:v>
      </ns0:c>
      <ns0:c r="P775" s="0">
        <ns0:f>IFERROR(IF(FIND(".",L775)=5,--M775,--O775),0)</ns0:f>
        <ns0:v>0</ns0:v>
      </ns0:c>
      <ns0:c r="Q775" s="0">
        <ns0:f>IFERROR(--N775,0)</ns0:f>
        <ns0:v>0</ns0:v>
      </ns0:c>
      <ns0:c r="R775" s="0">
        <ns0:f>IFERROR(IF(FIND(".",L775)=5,--O775,--M775),0)</ns0:f>
        <ns0:v>0</ns0:v>
      </ns0:c>
      <ns0:c r="S775" s="0">
        <ns0:f>IFERROR(IF(AND(P775&gt;=2000,P775&lt;=2100,Q775&gt;=1,Q775&lt;=12,R775&gt;=1,R775&lt;=31),DATE(P775,Q775,R775),0),0)</ns0:f>
        <ns0:v>0</ns0:v>
      </ns0:c>
      <ns0:c r="T775" s="0">
        <ns0:f>IFERROR(IF(ISNUMBER(Bookings!D775),IF(AND(Bookings!D775=INT(Bookings!D775),Bookings!D775&gt;=DATE(2000,1,1),Bookings!D775&lt;=DATE(2100,12,31)),Bookings!D775,0),IF(AND(K775&lt;&gt;"",LEN("x"&amp;L775)-LEN(SUBSTITUTE("x"&amp;L775,".",""))=2,OR(1&gt;LEN(L775),MID(L775,1,1)=".",ISNUMBER(FIND("x"&amp;MID(L775,1,1),"x0x1x2x3x4x5x6x7x8x9"))),OR(2&gt;LEN(L775),MID(L775,2,1)=".",ISNUMBER(FIND("x"&amp;MID(L775,2,1),"x0x1x2x3x4x5x6x7x8x9"))),OR(3&gt;LEN(L775),MID(L775,3,1)=".",ISNUMBER(FIND("x"&amp;MID(L775,3,1),"x0x1x2x3x4x5x6x7x8x9"))),OR(4&gt;LEN(L775),MID(L775,4,1)=".",ISNUMBER(FIND("x"&amp;MID(L775,4,1),"x0x1x2x3x4x5x6x7x8x9"))),OR(5&gt;LEN(L775),MID(L775,5,1)=".",ISNUMBER(FIND("x"&amp;MID(L775,5,1),"x0x1x2x3x4x5x6x7x8x9"))),OR(6&gt;LEN(L775),MID(L775,6,1)=".",ISNUMBER(FIND("x"&amp;MID(L775,6,1),"x0x1x2x3x4x5x6x7x8x9"))),OR(7&gt;LEN(L775),MID(L775,7,1)=".",ISNUMBER(FIND("x"&amp;MID(L775,7,1),"x0x1x2x3x4x5x6x7x8x9"))),OR(8&gt;LEN(L775),MID(L775,8,1)=".",ISNUMBER(FIND("x"&amp;MID(L775,8,1),"x0x1x2x3x4x5x6x7x8x9"))),OR(9&gt;LEN(L775),MID(L775,9,1)=".",ISNUMBER(FIND("x"&amp;MID(L775,9,1),"x0x1x2x3x4x5x6x7x8x9"))),OR(10&gt;LEN(L775),MID(L775,10,1)=".",ISNUMBER(FIND("x"&amp;MID(L775,10,1),"x0x1x2x3x4x5x6x7x8x9"))),OR(AND(FIND(".",L775)=5,LEN(L775)-FIND(".",L775,FIND(".",L775)+1)&gt;=1,LEN(L775)-FIND(".",L775,FIND(".",L775)+1)&lt;=2),AND(LEN(L775)-FIND(".",L775,FIND(".",L775)+1)=4,FIND(".",L775)&gt;=2,FIND(".",L775)&lt;=3)),FIND(".",L775,FIND(".",L775)+1)-FIND(".",L775)&gt;=2,FIND(".",L775,FIND(".",L775)+1)-FIND(".",L775)&lt;=3,P775&gt;=2000,P775&lt;=2100,YEAR(S775)=P775,MONTH(S775)=Q775,DAY(S775)=R775),S775,0)),0)</ns0:f>
        <ns0:v>0</ns0:v>
      </ns0:c>
      <ns0:c r="U775" s="0" t="str">
        <ns0:f>IF(Bookings!C775="","Full day",Bookings!C775)</ns0:f>
        <ns0:v>Full day</ns0:v>
      </ns0:c>
      <ns0:c r="V775" s="0" t="str">
        <ns0:f>IF(Bookings!E775="","Full day",Bookings!E775)</ns0:f>
        <ns0:v>Full day</ns0:v>
      </ns0:c>
      <ns0:c r="W775" s="0">
        <ns0:f>IF(J775=0,0,J775+IF(U775="PM",1,0))</ns0:f>
        <ns0:v>0</ns0:v>
      </ns0:c>
      <ns0:c r="X775" s="0">
        <ns0:f>IF(T775=0,0,T775-IF(V775="PM",1,0))</ns0:f>
        <ns0:v>0</ns0:v>
      </ns0:c>
      <ns0:c r="Y775" s="0">
        <ns0:f>IF(J775=0,0,J775+IF(U775="AM",1,0))</ns0:f>
        <ns0:v>0</ns0:v>
      </ns0:c>
      <ns0:c r="Z775" s="0">
        <ns0:f>IF(T775=0,0,T775-IF(V775="AM",1,0))</ns0:f>
        <ns0:v>0</ns0:v>
      </ns0:c>
      <ns0:c r="AA775" s="0">
        <ns0:f>IFERROR(IF(AND(J775&gt;0,'_Engine'!C775&gt;0,MID('_Engine'!W775,WEEKDAY(J775,2),1)="W",COUNTIF(Settings!$F$18:$F$67,J775)=0),1,0),0)</ns0:f>
        <ns0:v>0</ns0:v>
      </ns0:c>
      <ns0:c r="AB775" s="0">
        <ns0:f>IFERROR(IF(AND(T775&gt;0,'_Engine'!C775&gt;0,MID('_Engine'!W775,WEEKDAY(T775,2),1)="W",COUNTIF(Settings!$F$18:$F$67,T775)=0),1,0),0)</ns0:f>
        <ns0:v>0</ns0:v>
      </ns0:c>
      <ns0:c r="AC775" s="0">
        <ns0:f>IF(AND(J775&gt;0,T775&gt;0,W775&lt;=X775),1,0)</ns0:f>
        <ns0:v>0</ns0:v>
      </ns0:c>
      <ns0:c r="AD775" s="0">
        <ns0:f>IF(AND(J775&gt;0,T775&gt;0,Y775&lt;=Z775),1,0)</ns0:f>
        <ns0:v>0</ns0:v>
      </ns0:c>
    </ns0:row>
    <ns0:row r="776">
      <ns0:c r="A776" s="0">
        <ns0:f>IFERROR(IF(ISNUMBER(Bookings!B776),"",TRIM(Bookings!B776&amp;"")),"")</ns0:f>
      </ns0:c>
      <ns0:c r="B776" s="0">
        <ns0:f>IFERROR(SUBSTITUTE(SUBSTITUTE(A776,"/","."),"-","."),"")</ns0:f>
      </ns0:c>
      <ns0:c r="C776" s="0">
        <ns0:f>IFERROR(LEFT(B776,FIND(".",B776)-1),"")</ns0:f>
      </ns0:c>
      <ns0:c r="D776" s="0">
        <ns0:f>IFERROR(MID(B776,FIND(".",B776)+1,FIND(".",B776,FIND(".",B776)+1)-FIND(".",B776)-1),"")</ns0:f>
      </ns0:c>
      <ns0:c r="E776" s="0">
        <ns0:f>IFERROR(MID(B776,FIND(".",B776,FIND(".",B776)+1)+1,99),"")</ns0:f>
        <ns0:v>99</ns0:v>
      </ns0:c>
      <ns0:c r="F776" s="0">
        <ns0:f>IFERROR(IF(FIND(".",B776)=5,--C776,--E776),0)</ns0:f>
        <ns0:v>0</ns0:v>
      </ns0:c>
      <ns0:c r="G776" s="0">
        <ns0:f>IFERROR(--D776,0)</ns0:f>
        <ns0:v>0</ns0:v>
      </ns0:c>
      <ns0:c r="H776" s="0">
        <ns0:f>IFERROR(IF(FIND(".",B776)=5,--E776,--C776),0)</ns0:f>
        <ns0:v>0</ns0:v>
      </ns0:c>
      <ns0:c r="I776" s="0">
        <ns0:f>IFERROR(IF(AND(F776&gt;=2000,F776&lt;=2100,G776&gt;=1,G776&lt;=12,H776&gt;=1,H776&lt;=31),DATE(F776,G776,H776),0),0)</ns0:f>
        <ns0:v>0</ns0:v>
      </ns0:c>
      <ns0:c r="J776" s="0">
        <ns0:f>IFERROR(IF(ISNUMBER(Bookings!B776),IF(AND(Bookings!B776=INT(Bookings!B776),Bookings!B776&gt;=DATE(2000,1,1),Bookings!B776&lt;=DATE(2100,12,31)),Bookings!B776,0),IF(AND(A776&lt;&gt;"",LEN("x"&amp;B776)-LEN(SUBSTITUTE("x"&amp;B776,".",""))=2,OR(1&gt;LEN(B776),MID(B776,1,1)=".",ISNUMBER(FIND("x"&amp;MID(B776,1,1),"x0x1x2x3x4x5x6x7x8x9"))),OR(2&gt;LEN(B776),MID(B776,2,1)=".",ISNUMBER(FIND("x"&amp;MID(B776,2,1),"x0x1x2x3x4x5x6x7x8x9"))),OR(3&gt;LEN(B776),MID(B776,3,1)=".",ISNUMBER(FIND("x"&amp;MID(B776,3,1),"x0x1x2x3x4x5x6x7x8x9"))),OR(4&gt;LEN(B776),MID(B776,4,1)=".",ISNUMBER(FIND("x"&amp;MID(B776,4,1),"x0x1x2x3x4x5x6x7x8x9"))),OR(5&gt;LEN(B776),MID(B776,5,1)=".",ISNUMBER(FIND("x"&amp;MID(B776,5,1),"x0x1x2x3x4x5x6x7x8x9"))),OR(6&gt;LEN(B776),MID(B776,6,1)=".",ISNUMBER(FIND("x"&amp;MID(B776,6,1),"x0x1x2x3x4x5x6x7x8x9"))),OR(7&gt;LEN(B776),MID(B776,7,1)=".",ISNUMBER(FIND("x"&amp;MID(B776,7,1),"x0x1x2x3x4x5x6x7x8x9"))),OR(8&gt;LEN(B776),MID(B776,8,1)=".",ISNUMBER(FIND("x"&amp;MID(B776,8,1),"x0x1x2x3x4x5x6x7x8x9"))),OR(9&gt;LEN(B776),MID(B776,9,1)=".",ISNUMBER(FIND("x"&amp;MID(B776,9,1),"x0x1x2x3x4x5x6x7x8x9"))),OR(10&gt;LEN(B776),MID(B776,10,1)=".",ISNUMBER(FIND("x"&amp;MID(B776,10,1),"x0x1x2x3x4x5x6x7x8x9"))),OR(AND(FIND(".",B776)=5,LEN(B776)-FIND(".",B776,FIND(".",B776)+1)&gt;=1,LEN(B776)-FIND(".",B776,FIND(".",B776)+1)&lt;=2),AND(LEN(B776)-FIND(".",B776,FIND(".",B776)+1)=4,FIND(".",B776)&gt;=2,FIND(".",B776)&lt;=3)),FIND(".",B776,FIND(".",B776)+1)-FIND(".",B776)&gt;=2,FIND(".",B776,FIND(".",B776)+1)-FIND(".",B776)&lt;=3,F776&gt;=2000,F776&lt;=2100,YEAR(I776)=F776,MONTH(I776)=G776,DAY(I776)=H776),I776,0)),0)</ns0:f>
        <ns0:v>0</ns0:v>
      </ns0:c>
      <ns0:c r="K776" s="0">
        <ns0:f>IFERROR(IF(ISNUMBER(Bookings!D776),"",TRIM(Bookings!D776&amp;"")),"")</ns0:f>
      </ns0:c>
      <ns0:c r="L776" s="0">
        <ns0:f>IFERROR(SUBSTITUTE(SUBSTITUTE(K776,"/","."),"-","."),"")</ns0:f>
      </ns0:c>
      <ns0:c r="M776" s="0">
        <ns0:f>IFERROR(LEFT(L776,FIND(".",L776)-1),"")</ns0:f>
      </ns0:c>
      <ns0:c r="N776" s="0">
        <ns0:f>IFERROR(MID(L776,FIND(".",L776)+1,FIND(".",L776,FIND(".",L776)+1)-FIND(".",L776)-1),"")</ns0:f>
      </ns0:c>
      <ns0:c r="O776" s="0">
        <ns0:f>IFERROR(MID(L776,FIND(".",L776,FIND(".",L776)+1)+1,99),"")</ns0:f>
        <ns0:v>99</ns0:v>
      </ns0:c>
      <ns0:c r="P776" s="0">
        <ns0:f>IFERROR(IF(FIND(".",L776)=5,--M776,--O776),0)</ns0:f>
        <ns0:v>0</ns0:v>
      </ns0:c>
      <ns0:c r="Q776" s="0">
        <ns0:f>IFERROR(--N776,0)</ns0:f>
        <ns0:v>0</ns0:v>
      </ns0:c>
      <ns0:c r="R776" s="0">
        <ns0:f>IFERROR(IF(FIND(".",L776)=5,--O776,--M776),0)</ns0:f>
        <ns0:v>0</ns0:v>
      </ns0:c>
      <ns0:c r="S776" s="0">
        <ns0:f>IFERROR(IF(AND(P776&gt;=2000,P776&lt;=2100,Q776&gt;=1,Q776&lt;=12,R776&gt;=1,R776&lt;=31),DATE(P776,Q776,R776),0),0)</ns0:f>
        <ns0:v>0</ns0:v>
      </ns0:c>
      <ns0:c r="T776" s="0">
        <ns0:f>IFERROR(IF(ISNUMBER(Bookings!D776),IF(AND(Bookings!D776=INT(Bookings!D776),Bookings!D776&gt;=DATE(2000,1,1),Bookings!D776&lt;=DATE(2100,12,31)),Bookings!D776,0),IF(AND(K776&lt;&gt;"",LEN("x"&amp;L776)-LEN(SUBSTITUTE("x"&amp;L776,".",""))=2,OR(1&gt;LEN(L776),MID(L776,1,1)=".",ISNUMBER(FIND("x"&amp;MID(L776,1,1),"x0x1x2x3x4x5x6x7x8x9"))),OR(2&gt;LEN(L776),MID(L776,2,1)=".",ISNUMBER(FIND("x"&amp;MID(L776,2,1),"x0x1x2x3x4x5x6x7x8x9"))),OR(3&gt;LEN(L776),MID(L776,3,1)=".",ISNUMBER(FIND("x"&amp;MID(L776,3,1),"x0x1x2x3x4x5x6x7x8x9"))),OR(4&gt;LEN(L776),MID(L776,4,1)=".",ISNUMBER(FIND("x"&amp;MID(L776,4,1),"x0x1x2x3x4x5x6x7x8x9"))),OR(5&gt;LEN(L776),MID(L776,5,1)=".",ISNUMBER(FIND("x"&amp;MID(L776,5,1),"x0x1x2x3x4x5x6x7x8x9"))),OR(6&gt;LEN(L776),MID(L776,6,1)=".",ISNUMBER(FIND("x"&amp;MID(L776,6,1),"x0x1x2x3x4x5x6x7x8x9"))),OR(7&gt;LEN(L776),MID(L776,7,1)=".",ISNUMBER(FIND("x"&amp;MID(L776,7,1),"x0x1x2x3x4x5x6x7x8x9"))),OR(8&gt;LEN(L776),MID(L776,8,1)=".",ISNUMBER(FIND("x"&amp;MID(L776,8,1),"x0x1x2x3x4x5x6x7x8x9"))),OR(9&gt;LEN(L776),MID(L776,9,1)=".",ISNUMBER(FIND("x"&amp;MID(L776,9,1),"x0x1x2x3x4x5x6x7x8x9"))),OR(10&gt;LEN(L776),MID(L776,10,1)=".",ISNUMBER(FIND("x"&amp;MID(L776,10,1),"x0x1x2x3x4x5x6x7x8x9"))),OR(AND(FIND(".",L776)=5,LEN(L776)-FIND(".",L776,FIND(".",L776)+1)&gt;=1,LEN(L776)-FIND(".",L776,FIND(".",L776)+1)&lt;=2),AND(LEN(L776)-FIND(".",L776,FIND(".",L776)+1)=4,FIND(".",L776)&gt;=2,FIND(".",L776)&lt;=3)),FIND(".",L776,FIND(".",L776)+1)-FIND(".",L776)&gt;=2,FIND(".",L776,FIND(".",L776)+1)-FIND(".",L776)&lt;=3,P776&gt;=2000,P776&lt;=2100,YEAR(S776)=P776,MONTH(S776)=Q776,DAY(S776)=R776),S776,0)),0)</ns0:f>
        <ns0:v>0</ns0:v>
      </ns0:c>
      <ns0:c r="U776" s="0" t="str">
        <ns0:f>IF(Bookings!C776="","Full day",Bookings!C776)</ns0:f>
        <ns0:v>Full day</ns0:v>
      </ns0:c>
      <ns0:c r="V776" s="0" t="str">
        <ns0:f>IF(Bookings!E776="","Full day",Bookings!E776)</ns0:f>
        <ns0:v>Full day</ns0:v>
      </ns0:c>
      <ns0:c r="W776" s="0">
        <ns0:f>IF(J776=0,0,J776+IF(U776="PM",1,0))</ns0:f>
        <ns0:v>0</ns0:v>
      </ns0:c>
      <ns0:c r="X776" s="0">
        <ns0:f>IF(T776=0,0,T776-IF(V776="PM",1,0))</ns0:f>
        <ns0:v>0</ns0:v>
      </ns0:c>
      <ns0:c r="Y776" s="0">
        <ns0:f>IF(J776=0,0,J776+IF(U776="AM",1,0))</ns0:f>
        <ns0:v>0</ns0:v>
      </ns0:c>
      <ns0:c r="Z776" s="0">
        <ns0:f>IF(T776=0,0,T776-IF(V776="AM",1,0))</ns0:f>
        <ns0:v>0</ns0:v>
      </ns0:c>
      <ns0:c r="AA776" s="0">
        <ns0:f>IFERROR(IF(AND(J776&gt;0,'_Engine'!C776&gt;0,MID('_Engine'!W776,WEEKDAY(J776,2),1)="W",COUNTIF(Settings!$F$18:$F$67,J776)=0),1,0),0)</ns0:f>
        <ns0:v>0</ns0:v>
      </ns0:c>
      <ns0:c r="AB776" s="0">
        <ns0:f>IFERROR(IF(AND(T776&gt;0,'_Engine'!C776&gt;0,MID('_Engine'!W776,WEEKDAY(T776,2),1)="W",COUNTIF(Settings!$F$18:$F$67,T776)=0),1,0),0)</ns0:f>
        <ns0:v>0</ns0:v>
      </ns0:c>
      <ns0:c r="AC776" s="0">
        <ns0:f>IF(AND(J776&gt;0,T776&gt;0,W776&lt;=X776),1,0)</ns0:f>
        <ns0:v>0</ns0:v>
      </ns0:c>
      <ns0:c r="AD776" s="0">
        <ns0:f>IF(AND(J776&gt;0,T776&gt;0,Y776&lt;=Z776),1,0)</ns0:f>
        <ns0:v>0</ns0:v>
      </ns0:c>
    </ns0:row>
    <ns0:row r="777">
      <ns0:c r="A777" s="0">
        <ns0:f>IFERROR(IF(ISNUMBER(Bookings!B777),"",TRIM(Bookings!B777&amp;"")),"")</ns0:f>
      </ns0:c>
      <ns0:c r="B777" s="0">
        <ns0:f>IFERROR(SUBSTITUTE(SUBSTITUTE(A777,"/","."),"-","."),"")</ns0:f>
      </ns0:c>
      <ns0:c r="C777" s="0">
        <ns0:f>IFERROR(LEFT(B777,FIND(".",B777)-1),"")</ns0:f>
      </ns0:c>
      <ns0:c r="D777" s="0">
        <ns0:f>IFERROR(MID(B777,FIND(".",B777)+1,FIND(".",B777,FIND(".",B777)+1)-FIND(".",B777)-1),"")</ns0:f>
      </ns0:c>
      <ns0:c r="E777" s="0">
        <ns0:f>IFERROR(MID(B777,FIND(".",B777,FIND(".",B777)+1)+1,99),"")</ns0:f>
        <ns0:v>99</ns0:v>
      </ns0:c>
      <ns0:c r="F777" s="0">
        <ns0:f>IFERROR(IF(FIND(".",B777)=5,--C777,--E777),0)</ns0:f>
        <ns0:v>0</ns0:v>
      </ns0:c>
      <ns0:c r="G777" s="0">
        <ns0:f>IFERROR(--D777,0)</ns0:f>
        <ns0:v>0</ns0:v>
      </ns0:c>
      <ns0:c r="H777" s="0">
        <ns0:f>IFERROR(IF(FIND(".",B777)=5,--E777,--C777),0)</ns0:f>
        <ns0:v>0</ns0:v>
      </ns0:c>
      <ns0:c r="I777" s="0">
        <ns0:f>IFERROR(IF(AND(F777&gt;=2000,F777&lt;=2100,G777&gt;=1,G777&lt;=12,H777&gt;=1,H777&lt;=31),DATE(F777,G777,H777),0),0)</ns0:f>
        <ns0:v>0</ns0:v>
      </ns0:c>
      <ns0:c r="J777" s="0">
        <ns0:f>IFERROR(IF(ISNUMBER(Bookings!B777),IF(AND(Bookings!B777=INT(Bookings!B777),Bookings!B777&gt;=DATE(2000,1,1),Bookings!B777&lt;=DATE(2100,12,31)),Bookings!B777,0),IF(AND(A777&lt;&gt;"",LEN("x"&amp;B777)-LEN(SUBSTITUTE("x"&amp;B777,".",""))=2,OR(1&gt;LEN(B777),MID(B777,1,1)=".",ISNUMBER(FIND("x"&amp;MID(B777,1,1),"x0x1x2x3x4x5x6x7x8x9"))),OR(2&gt;LEN(B777),MID(B777,2,1)=".",ISNUMBER(FIND("x"&amp;MID(B777,2,1),"x0x1x2x3x4x5x6x7x8x9"))),OR(3&gt;LEN(B777),MID(B777,3,1)=".",ISNUMBER(FIND("x"&amp;MID(B777,3,1),"x0x1x2x3x4x5x6x7x8x9"))),OR(4&gt;LEN(B777),MID(B777,4,1)=".",ISNUMBER(FIND("x"&amp;MID(B777,4,1),"x0x1x2x3x4x5x6x7x8x9"))),OR(5&gt;LEN(B777),MID(B777,5,1)=".",ISNUMBER(FIND("x"&amp;MID(B777,5,1),"x0x1x2x3x4x5x6x7x8x9"))),OR(6&gt;LEN(B777),MID(B777,6,1)=".",ISNUMBER(FIND("x"&amp;MID(B777,6,1),"x0x1x2x3x4x5x6x7x8x9"))),OR(7&gt;LEN(B777),MID(B777,7,1)=".",ISNUMBER(FIND("x"&amp;MID(B777,7,1),"x0x1x2x3x4x5x6x7x8x9"))),OR(8&gt;LEN(B777),MID(B777,8,1)=".",ISNUMBER(FIND("x"&amp;MID(B777,8,1),"x0x1x2x3x4x5x6x7x8x9"))),OR(9&gt;LEN(B777),MID(B777,9,1)=".",ISNUMBER(FIND("x"&amp;MID(B777,9,1),"x0x1x2x3x4x5x6x7x8x9"))),OR(10&gt;LEN(B777),MID(B777,10,1)=".",ISNUMBER(FIND("x"&amp;MID(B777,10,1),"x0x1x2x3x4x5x6x7x8x9"))),OR(AND(FIND(".",B777)=5,LEN(B777)-FIND(".",B777,FIND(".",B777)+1)&gt;=1,LEN(B777)-FIND(".",B777,FIND(".",B777)+1)&lt;=2),AND(LEN(B777)-FIND(".",B777,FIND(".",B777)+1)=4,FIND(".",B777)&gt;=2,FIND(".",B777)&lt;=3)),FIND(".",B777,FIND(".",B777)+1)-FIND(".",B777)&gt;=2,FIND(".",B777,FIND(".",B777)+1)-FIND(".",B777)&lt;=3,F777&gt;=2000,F777&lt;=2100,YEAR(I777)=F777,MONTH(I777)=G777,DAY(I777)=H777),I777,0)),0)</ns0:f>
        <ns0:v>0</ns0:v>
      </ns0:c>
      <ns0:c r="K777" s="0">
        <ns0:f>IFERROR(IF(ISNUMBER(Bookings!D777),"",TRIM(Bookings!D777&amp;"")),"")</ns0:f>
      </ns0:c>
      <ns0:c r="L777" s="0">
        <ns0:f>IFERROR(SUBSTITUTE(SUBSTITUTE(K777,"/","."),"-","."),"")</ns0:f>
      </ns0:c>
      <ns0:c r="M777" s="0">
        <ns0:f>IFERROR(LEFT(L777,FIND(".",L777)-1),"")</ns0:f>
      </ns0:c>
      <ns0:c r="N777" s="0">
        <ns0:f>IFERROR(MID(L777,FIND(".",L777)+1,FIND(".",L777,FIND(".",L777)+1)-FIND(".",L777)-1),"")</ns0:f>
      </ns0:c>
      <ns0:c r="O777" s="0">
        <ns0:f>IFERROR(MID(L777,FIND(".",L777,FIND(".",L777)+1)+1,99),"")</ns0:f>
        <ns0:v>99</ns0:v>
      </ns0:c>
      <ns0:c r="P777" s="0">
        <ns0:f>IFERROR(IF(FIND(".",L777)=5,--M777,--O777),0)</ns0:f>
        <ns0:v>0</ns0:v>
      </ns0:c>
      <ns0:c r="Q777" s="0">
        <ns0:f>IFERROR(--N777,0)</ns0:f>
        <ns0:v>0</ns0:v>
      </ns0:c>
      <ns0:c r="R777" s="0">
        <ns0:f>IFERROR(IF(FIND(".",L777)=5,--O777,--M777),0)</ns0:f>
        <ns0:v>0</ns0:v>
      </ns0:c>
      <ns0:c r="S777" s="0">
        <ns0:f>IFERROR(IF(AND(P777&gt;=2000,P777&lt;=2100,Q777&gt;=1,Q777&lt;=12,R777&gt;=1,R777&lt;=31),DATE(P777,Q777,R777),0),0)</ns0:f>
        <ns0:v>0</ns0:v>
      </ns0:c>
      <ns0:c r="T777" s="0">
        <ns0:f>IFERROR(IF(ISNUMBER(Bookings!D777),IF(AND(Bookings!D777=INT(Bookings!D777),Bookings!D777&gt;=DATE(2000,1,1),Bookings!D777&lt;=DATE(2100,12,31)),Bookings!D777,0),IF(AND(K777&lt;&gt;"",LEN("x"&amp;L777)-LEN(SUBSTITUTE("x"&amp;L777,".",""))=2,OR(1&gt;LEN(L777),MID(L777,1,1)=".",ISNUMBER(FIND("x"&amp;MID(L777,1,1),"x0x1x2x3x4x5x6x7x8x9"))),OR(2&gt;LEN(L777),MID(L777,2,1)=".",ISNUMBER(FIND("x"&amp;MID(L777,2,1),"x0x1x2x3x4x5x6x7x8x9"))),OR(3&gt;LEN(L777),MID(L777,3,1)=".",ISNUMBER(FIND("x"&amp;MID(L777,3,1),"x0x1x2x3x4x5x6x7x8x9"))),OR(4&gt;LEN(L777),MID(L777,4,1)=".",ISNUMBER(FIND("x"&amp;MID(L777,4,1),"x0x1x2x3x4x5x6x7x8x9"))),OR(5&gt;LEN(L777),MID(L777,5,1)=".",ISNUMBER(FIND("x"&amp;MID(L777,5,1),"x0x1x2x3x4x5x6x7x8x9"))),OR(6&gt;LEN(L777),MID(L777,6,1)=".",ISNUMBER(FIND("x"&amp;MID(L777,6,1),"x0x1x2x3x4x5x6x7x8x9"))),OR(7&gt;LEN(L777),MID(L777,7,1)=".",ISNUMBER(FIND("x"&amp;MID(L777,7,1),"x0x1x2x3x4x5x6x7x8x9"))),OR(8&gt;LEN(L777),MID(L777,8,1)=".",ISNUMBER(FIND("x"&amp;MID(L777,8,1),"x0x1x2x3x4x5x6x7x8x9"))),OR(9&gt;LEN(L777),MID(L777,9,1)=".",ISNUMBER(FIND("x"&amp;MID(L777,9,1),"x0x1x2x3x4x5x6x7x8x9"))),OR(10&gt;LEN(L777),MID(L777,10,1)=".",ISNUMBER(FIND("x"&amp;MID(L777,10,1),"x0x1x2x3x4x5x6x7x8x9"))),OR(AND(FIND(".",L777)=5,LEN(L777)-FIND(".",L777,FIND(".",L777)+1)&gt;=1,LEN(L777)-FIND(".",L777,FIND(".",L777)+1)&lt;=2),AND(LEN(L777)-FIND(".",L777,FIND(".",L777)+1)=4,FIND(".",L777)&gt;=2,FIND(".",L777)&lt;=3)),FIND(".",L777,FIND(".",L777)+1)-FIND(".",L777)&gt;=2,FIND(".",L777,FIND(".",L777)+1)-FIND(".",L777)&lt;=3,P777&gt;=2000,P777&lt;=2100,YEAR(S777)=P777,MONTH(S777)=Q777,DAY(S777)=R777),S777,0)),0)</ns0:f>
        <ns0:v>0</ns0:v>
      </ns0:c>
      <ns0:c r="U777" s="0" t="str">
        <ns0:f>IF(Bookings!C777="","Full day",Bookings!C777)</ns0:f>
        <ns0:v>Full day</ns0:v>
      </ns0:c>
      <ns0:c r="V777" s="0" t="str">
        <ns0:f>IF(Bookings!E777="","Full day",Bookings!E777)</ns0:f>
        <ns0:v>Full day</ns0:v>
      </ns0:c>
      <ns0:c r="W777" s="0">
        <ns0:f>IF(J777=0,0,J777+IF(U777="PM",1,0))</ns0:f>
        <ns0:v>0</ns0:v>
      </ns0:c>
      <ns0:c r="X777" s="0">
        <ns0:f>IF(T777=0,0,T777-IF(V777="PM",1,0))</ns0:f>
        <ns0:v>0</ns0:v>
      </ns0:c>
      <ns0:c r="Y777" s="0">
        <ns0:f>IF(J777=0,0,J777+IF(U777="AM",1,0))</ns0:f>
        <ns0:v>0</ns0:v>
      </ns0:c>
      <ns0:c r="Z777" s="0">
        <ns0:f>IF(T777=0,0,T777-IF(V777="AM",1,0))</ns0:f>
        <ns0:v>0</ns0:v>
      </ns0:c>
      <ns0:c r="AA777" s="0">
        <ns0:f>IFERROR(IF(AND(J777&gt;0,'_Engine'!C777&gt;0,MID('_Engine'!W777,WEEKDAY(J777,2),1)="W",COUNTIF(Settings!$F$18:$F$67,J777)=0),1,0),0)</ns0:f>
        <ns0:v>0</ns0:v>
      </ns0:c>
      <ns0:c r="AB777" s="0">
        <ns0:f>IFERROR(IF(AND(T777&gt;0,'_Engine'!C777&gt;0,MID('_Engine'!W777,WEEKDAY(T777,2),1)="W",COUNTIF(Settings!$F$18:$F$67,T777)=0),1,0),0)</ns0:f>
        <ns0:v>0</ns0:v>
      </ns0:c>
      <ns0:c r="AC777" s="0">
        <ns0:f>IF(AND(J777&gt;0,T777&gt;0,W777&lt;=X777),1,0)</ns0:f>
        <ns0:v>0</ns0:v>
      </ns0:c>
      <ns0:c r="AD777" s="0">
        <ns0:f>IF(AND(J777&gt;0,T777&gt;0,Y777&lt;=Z777),1,0)</ns0:f>
        <ns0:v>0</ns0:v>
      </ns0:c>
    </ns0:row>
    <ns0:row r="778">
      <ns0:c r="A778" s="0">
        <ns0:f>IFERROR(IF(ISNUMBER(Bookings!B778),"",TRIM(Bookings!B778&amp;"")),"")</ns0:f>
      </ns0:c>
      <ns0:c r="B778" s="0">
        <ns0:f>IFERROR(SUBSTITUTE(SUBSTITUTE(A778,"/","."),"-","."),"")</ns0:f>
      </ns0:c>
      <ns0:c r="C778" s="0">
        <ns0:f>IFERROR(LEFT(B778,FIND(".",B778)-1),"")</ns0:f>
      </ns0:c>
      <ns0:c r="D778" s="0">
        <ns0:f>IFERROR(MID(B778,FIND(".",B778)+1,FIND(".",B778,FIND(".",B778)+1)-FIND(".",B778)-1),"")</ns0:f>
      </ns0:c>
      <ns0:c r="E778" s="0">
        <ns0:f>IFERROR(MID(B778,FIND(".",B778,FIND(".",B778)+1)+1,99),"")</ns0:f>
        <ns0:v>99</ns0:v>
      </ns0:c>
      <ns0:c r="F778" s="0">
        <ns0:f>IFERROR(IF(FIND(".",B778)=5,--C778,--E778),0)</ns0:f>
        <ns0:v>0</ns0:v>
      </ns0:c>
      <ns0:c r="G778" s="0">
        <ns0:f>IFERROR(--D778,0)</ns0:f>
        <ns0:v>0</ns0:v>
      </ns0:c>
      <ns0:c r="H778" s="0">
        <ns0:f>IFERROR(IF(FIND(".",B778)=5,--E778,--C778),0)</ns0:f>
        <ns0:v>0</ns0:v>
      </ns0:c>
      <ns0:c r="I778" s="0">
        <ns0:f>IFERROR(IF(AND(F778&gt;=2000,F778&lt;=2100,G778&gt;=1,G778&lt;=12,H778&gt;=1,H778&lt;=31),DATE(F778,G778,H778),0),0)</ns0:f>
        <ns0:v>0</ns0:v>
      </ns0:c>
      <ns0:c r="J778" s="0">
        <ns0:f>IFERROR(IF(ISNUMBER(Bookings!B778),IF(AND(Bookings!B778=INT(Bookings!B778),Bookings!B778&gt;=DATE(2000,1,1),Bookings!B778&lt;=DATE(2100,12,31)),Bookings!B778,0),IF(AND(A778&lt;&gt;"",LEN("x"&amp;B778)-LEN(SUBSTITUTE("x"&amp;B778,".",""))=2,OR(1&gt;LEN(B778),MID(B778,1,1)=".",ISNUMBER(FIND("x"&amp;MID(B778,1,1),"x0x1x2x3x4x5x6x7x8x9"))),OR(2&gt;LEN(B778),MID(B778,2,1)=".",ISNUMBER(FIND("x"&amp;MID(B778,2,1),"x0x1x2x3x4x5x6x7x8x9"))),OR(3&gt;LEN(B778),MID(B778,3,1)=".",ISNUMBER(FIND("x"&amp;MID(B778,3,1),"x0x1x2x3x4x5x6x7x8x9"))),OR(4&gt;LEN(B778),MID(B778,4,1)=".",ISNUMBER(FIND("x"&amp;MID(B778,4,1),"x0x1x2x3x4x5x6x7x8x9"))),OR(5&gt;LEN(B778),MID(B778,5,1)=".",ISNUMBER(FIND("x"&amp;MID(B778,5,1),"x0x1x2x3x4x5x6x7x8x9"))),OR(6&gt;LEN(B778),MID(B778,6,1)=".",ISNUMBER(FIND("x"&amp;MID(B778,6,1),"x0x1x2x3x4x5x6x7x8x9"))),OR(7&gt;LEN(B778),MID(B778,7,1)=".",ISNUMBER(FIND("x"&amp;MID(B778,7,1),"x0x1x2x3x4x5x6x7x8x9"))),OR(8&gt;LEN(B778),MID(B778,8,1)=".",ISNUMBER(FIND("x"&amp;MID(B778,8,1),"x0x1x2x3x4x5x6x7x8x9"))),OR(9&gt;LEN(B778),MID(B778,9,1)=".",ISNUMBER(FIND("x"&amp;MID(B778,9,1),"x0x1x2x3x4x5x6x7x8x9"))),OR(10&gt;LEN(B778),MID(B778,10,1)=".",ISNUMBER(FIND("x"&amp;MID(B778,10,1),"x0x1x2x3x4x5x6x7x8x9"))),OR(AND(FIND(".",B778)=5,LEN(B778)-FIND(".",B778,FIND(".",B778)+1)&gt;=1,LEN(B778)-FIND(".",B778,FIND(".",B778)+1)&lt;=2),AND(LEN(B778)-FIND(".",B778,FIND(".",B778)+1)=4,FIND(".",B778)&gt;=2,FIND(".",B778)&lt;=3)),FIND(".",B778,FIND(".",B778)+1)-FIND(".",B778)&gt;=2,FIND(".",B778,FIND(".",B778)+1)-FIND(".",B778)&lt;=3,F778&gt;=2000,F778&lt;=2100,YEAR(I778)=F778,MONTH(I778)=G778,DAY(I778)=H778),I778,0)),0)</ns0:f>
        <ns0:v>0</ns0:v>
      </ns0:c>
      <ns0:c r="K778" s="0">
        <ns0:f>IFERROR(IF(ISNUMBER(Bookings!D778),"",TRIM(Bookings!D778&amp;"")),"")</ns0:f>
      </ns0:c>
      <ns0:c r="L778" s="0">
        <ns0:f>IFERROR(SUBSTITUTE(SUBSTITUTE(K778,"/","."),"-","."),"")</ns0:f>
      </ns0:c>
      <ns0:c r="M778" s="0">
        <ns0:f>IFERROR(LEFT(L778,FIND(".",L778)-1),"")</ns0:f>
      </ns0:c>
      <ns0:c r="N778" s="0">
        <ns0:f>IFERROR(MID(L778,FIND(".",L778)+1,FIND(".",L778,FIND(".",L778)+1)-FIND(".",L778)-1),"")</ns0:f>
      </ns0:c>
      <ns0:c r="O778" s="0">
        <ns0:f>IFERROR(MID(L778,FIND(".",L778,FIND(".",L778)+1)+1,99),"")</ns0:f>
        <ns0:v>99</ns0:v>
      </ns0:c>
      <ns0:c r="P778" s="0">
        <ns0:f>IFERROR(IF(FIND(".",L778)=5,--M778,--O778),0)</ns0:f>
        <ns0:v>0</ns0:v>
      </ns0:c>
      <ns0:c r="Q778" s="0">
        <ns0:f>IFERROR(--N778,0)</ns0:f>
        <ns0:v>0</ns0:v>
      </ns0:c>
      <ns0:c r="R778" s="0">
        <ns0:f>IFERROR(IF(FIND(".",L778)=5,--O778,--M778),0)</ns0:f>
        <ns0:v>0</ns0:v>
      </ns0:c>
      <ns0:c r="S778" s="0">
        <ns0:f>IFERROR(IF(AND(P778&gt;=2000,P778&lt;=2100,Q778&gt;=1,Q778&lt;=12,R778&gt;=1,R778&lt;=31),DATE(P778,Q778,R778),0),0)</ns0:f>
        <ns0:v>0</ns0:v>
      </ns0:c>
      <ns0:c r="T778" s="0">
        <ns0:f>IFERROR(IF(ISNUMBER(Bookings!D778),IF(AND(Bookings!D778=INT(Bookings!D778),Bookings!D778&gt;=DATE(2000,1,1),Bookings!D778&lt;=DATE(2100,12,31)),Bookings!D778,0),IF(AND(K778&lt;&gt;"",LEN("x"&amp;L778)-LEN(SUBSTITUTE("x"&amp;L778,".",""))=2,OR(1&gt;LEN(L778),MID(L778,1,1)=".",ISNUMBER(FIND("x"&amp;MID(L778,1,1),"x0x1x2x3x4x5x6x7x8x9"))),OR(2&gt;LEN(L778),MID(L778,2,1)=".",ISNUMBER(FIND("x"&amp;MID(L778,2,1),"x0x1x2x3x4x5x6x7x8x9"))),OR(3&gt;LEN(L778),MID(L778,3,1)=".",ISNUMBER(FIND("x"&amp;MID(L778,3,1),"x0x1x2x3x4x5x6x7x8x9"))),OR(4&gt;LEN(L778),MID(L778,4,1)=".",ISNUMBER(FIND("x"&amp;MID(L778,4,1),"x0x1x2x3x4x5x6x7x8x9"))),OR(5&gt;LEN(L778),MID(L778,5,1)=".",ISNUMBER(FIND("x"&amp;MID(L778,5,1),"x0x1x2x3x4x5x6x7x8x9"))),OR(6&gt;LEN(L778),MID(L778,6,1)=".",ISNUMBER(FIND("x"&amp;MID(L778,6,1),"x0x1x2x3x4x5x6x7x8x9"))),OR(7&gt;LEN(L778),MID(L778,7,1)=".",ISNUMBER(FIND("x"&amp;MID(L778,7,1),"x0x1x2x3x4x5x6x7x8x9"))),OR(8&gt;LEN(L778),MID(L778,8,1)=".",ISNUMBER(FIND("x"&amp;MID(L778,8,1),"x0x1x2x3x4x5x6x7x8x9"))),OR(9&gt;LEN(L778),MID(L778,9,1)=".",ISNUMBER(FIND("x"&amp;MID(L778,9,1),"x0x1x2x3x4x5x6x7x8x9"))),OR(10&gt;LEN(L778),MID(L778,10,1)=".",ISNUMBER(FIND("x"&amp;MID(L778,10,1),"x0x1x2x3x4x5x6x7x8x9"))),OR(AND(FIND(".",L778)=5,LEN(L778)-FIND(".",L778,FIND(".",L778)+1)&gt;=1,LEN(L778)-FIND(".",L778,FIND(".",L778)+1)&lt;=2),AND(LEN(L778)-FIND(".",L778,FIND(".",L778)+1)=4,FIND(".",L778)&gt;=2,FIND(".",L778)&lt;=3)),FIND(".",L778,FIND(".",L778)+1)-FIND(".",L778)&gt;=2,FIND(".",L778,FIND(".",L778)+1)-FIND(".",L778)&lt;=3,P778&gt;=2000,P778&lt;=2100,YEAR(S778)=P778,MONTH(S778)=Q778,DAY(S778)=R778),S778,0)),0)</ns0:f>
        <ns0:v>0</ns0:v>
      </ns0:c>
      <ns0:c r="U778" s="0" t="str">
        <ns0:f>IF(Bookings!C778="","Full day",Bookings!C778)</ns0:f>
        <ns0:v>Full day</ns0:v>
      </ns0:c>
      <ns0:c r="V778" s="0" t="str">
        <ns0:f>IF(Bookings!E778="","Full day",Bookings!E778)</ns0:f>
        <ns0:v>Full day</ns0:v>
      </ns0:c>
      <ns0:c r="W778" s="0">
        <ns0:f>IF(J778=0,0,J778+IF(U778="PM",1,0))</ns0:f>
        <ns0:v>0</ns0:v>
      </ns0:c>
      <ns0:c r="X778" s="0">
        <ns0:f>IF(T778=0,0,T778-IF(V778="PM",1,0))</ns0:f>
        <ns0:v>0</ns0:v>
      </ns0:c>
      <ns0:c r="Y778" s="0">
        <ns0:f>IF(J778=0,0,J778+IF(U778="AM",1,0))</ns0:f>
        <ns0:v>0</ns0:v>
      </ns0:c>
      <ns0:c r="Z778" s="0">
        <ns0:f>IF(T778=0,0,T778-IF(V778="AM",1,0))</ns0:f>
        <ns0:v>0</ns0:v>
      </ns0:c>
      <ns0:c r="AA778" s="0">
        <ns0:f>IFERROR(IF(AND(J778&gt;0,'_Engine'!C778&gt;0,MID('_Engine'!W778,WEEKDAY(J778,2),1)="W",COUNTIF(Settings!$F$18:$F$67,J778)=0),1,0),0)</ns0:f>
        <ns0:v>0</ns0:v>
      </ns0:c>
      <ns0:c r="AB778" s="0">
        <ns0:f>IFERROR(IF(AND(T778&gt;0,'_Engine'!C778&gt;0,MID('_Engine'!W778,WEEKDAY(T778,2),1)="W",COUNTIF(Settings!$F$18:$F$67,T778)=0),1,0),0)</ns0:f>
        <ns0:v>0</ns0:v>
      </ns0:c>
      <ns0:c r="AC778" s="0">
        <ns0:f>IF(AND(J778&gt;0,T778&gt;0,W778&lt;=X778),1,0)</ns0:f>
        <ns0:v>0</ns0:v>
      </ns0:c>
      <ns0:c r="AD778" s="0">
        <ns0:f>IF(AND(J778&gt;0,T778&gt;0,Y778&lt;=Z778),1,0)</ns0:f>
        <ns0:v>0</ns0:v>
      </ns0:c>
    </ns0:row>
    <ns0:row r="779">
      <ns0:c r="A779" s="0">
        <ns0:f>IFERROR(IF(ISNUMBER(Bookings!B779),"",TRIM(Bookings!B779&amp;"")),"")</ns0:f>
      </ns0:c>
      <ns0:c r="B779" s="0">
        <ns0:f>IFERROR(SUBSTITUTE(SUBSTITUTE(A779,"/","."),"-","."),"")</ns0:f>
      </ns0:c>
      <ns0:c r="C779" s="0">
        <ns0:f>IFERROR(LEFT(B779,FIND(".",B779)-1),"")</ns0:f>
      </ns0:c>
      <ns0:c r="D779" s="0">
        <ns0:f>IFERROR(MID(B779,FIND(".",B779)+1,FIND(".",B779,FIND(".",B779)+1)-FIND(".",B779)-1),"")</ns0:f>
      </ns0:c>
      <ns0:c r="E779" s="0">
        <ns0:f>IFERROR(MID(B779,FIND(".",B779,FIND(".",B779)+1)+1,99),"")</ns0:f>
        <ns0:v>99</ns0:v>
      </ns0:c>
      <ns0:c r="F779" s="0">
        <ns0:f>IFERROR(IF(FIND(".",B779)=5,--C779,--E779),0)</ns0:f>
        <ns0:v>0</ns0:v>
      </ns0:c>
      <ns0:c r="G779" s="0">
        <ns0:f>IFERROR(--D779,0)</ns0:f>
        <ns0:v>0</ns0:v>
      </ns0:c>
      <ns0:c r="H779" s="0">
        <ns0:f>IFERROR(IF(FIND(".",B779)=5,--E779,--C779),0)</ns0:f>
        <ns0:v>0</ns0:v>
      </ns0:c>
      <ns0:c r="I779" s="0">
        <ns0:f>IFERROR(IF(AND(F779&gt;=2000,F779&lt;=2100,G779&gt;=1,G779&lt;=12,H779&gt;=1,H779&lt;=31),DATE(F779,G779,H779),0),0)</ns0:f>
        <ns0:v>0</ns0:v>
      </ns0:c>
      <ns0:c r="J779" s="0">
        <ns0:f>IFERROR(IF(ISNUMBER(Bookings!B779),IF(AND(Bookings!B779=INT(Bookings!B779),Bookings!B779&gt;=DATE(2000,1,1),Bookings!B779&lt;=DATE(2100,12,31)),Bookings!B779,0),IF(AND(A779&lt;&gt;"",LEN("x"&amp;B779)-LEN(SUBSTITUTE("x"&amp;B779,".",""))=2,OR(1&gt;LEN(B779),MID(B779,1,1)=".",ISNUMBER(FIND("x"&amp;MID(B779,1,1),"x0x1x2x3x4x5x6x7x8x9"))),OR(2&gt;LEN(B779),MID(B779,2,1)=".",ISNUMBER(FIND("x"&amp;MID(B779,2,1),"x0x1x2x3x4x5x6x7x8x9"))),OR(3&gt;LEN(B779),MID(B779,3,1)=".",ISNUMBER(FIND("x"&amp;MID(B779,3,1),"x0x1x2x3x4x5x6x7x8x9"))),OR(4&gt;LEN(B779),MID(B779,4,1)=".",ISNUMBER(FIND("x"&amp;MID(B779,4,1),"x0x1x2x3x4x5x6x7x8x9"))),OR(5&gt;LEN(B779),MID(B779,5,1)=".",ISNUMBER(FIND("x"&amp;MID(B779,5,1),"x0x1x2x3x4x5x6x7x8x9"))),OR(6&gt;LEN(B779),MID(B779,6,1)=".",ISNUMBER(FIND("x"&amp;MID(B779,6,1),"x0x1x2x3x4x5x6x7x8x9"))),OR(7&gt;LEN(B779),MID(B779,7,1)=".",ISNUMBER(FIND("x"&amp;MID(B779,7,1),"x0x1x2x3x4x5x6x7x8x9"))),OR(8&gt;LEN(B779),MID(B779,8,1)=".",ISNUMBER(FIND("x"&amp;MID(B779,8,1),"x0x1x2x3x4x5x6x7x8x9"))),OR(9&gt;LEN(B779),MID(B779,9,1)=".",ISNUMBER(FIND("x"&amp;MID(B779,9,1),"x0x1x2x3x4x5x6x7x8x9"))),OR(10&gt;LEN(B779),MID(B779,10,1)=".",ISNUMBER(FIND("x"&amp;MID(B779,10,1),"x0x1x2x3x4x5x6x7x8x9"))),OR(AND(FIND(".",B779)=5,LEN(B779)-FIND(".",B779,FIND(".",B779)+1)&gt;=1,LEN(B779)-FIND(".",B779,FIND(".",B779)+1)&lt;=2),AND(LEN(B779)-FIND(".",B779,FIND(".",B779)+1)=4,FIND(".",B779)&gt;=2,FIND(".",B779)&lt;=3)),FIND(".",B779,FIND(".",B779)+1)-FIND(".",B779)&gt;=2,FIND(".",B779,FIND(".",B779)+1)-FIND(".",B779)&lt;=3,F779&gt;=2000,F779&lt;=2100,YEAR(I779)=F779,MONTH(I779)=G779,DAY(I779)=H779),I779,0)),0)</ns0:f>
        <ns0:v>0</ns0:v>
      </ns0:c>
      <ns0:c r="K779" s="0">
        <ns0:f>IFERROR(IF(ISNUMBER(Bookings!D779),"",TRIM(Bookings!D779&amp;"")),"")</ns0:f>
      </ns0:c>
      <ns0:c r="L779" s="0">
        <ns0:f>IFERROR(SUBSTITUTE(SUBSTITUTE(K779,"/","."),"-","."),"")</ns0:f>
      </ns0:c>
      <ns0:c r="M779" s="0">
        <ns0:f>IFERROR(LEFT(L779,FIND(".",L779)-1),"")</ns0:f>
      </ns0:c>
      <ns0:c r="N779" s="0">
        <ns0:f>IFERROR(MID(L779,FIND(".",L779)+1,FIND(".",L779,FIND(".",L779)+1)-FIND(".",L779)-1),"")</ns0:f>
      </ns0:c>
      <ns0:c r="O779" s="0">
        <ns0:f>IFERROR(MID(L779,FIND(".",L779,FIND(".",L779)+1)+1,99),"")</ns0:f>
        <ns0:v>99</ns0:v>
      </ns0:c>
      <ns0:c r="P779" s="0">
        <ns0:f>IFERROR(IF(FIND(".",L779)=5,--M779,--O779),0)</ns0:f>
        <ns0:v>0</ns0:v>
      </ns0:c>
      <ns0:c r="Q779" s="0">
        <ns0:f>IFERROR(--N779,0)</ns0:f>
        <ns0:v>0</ns0:v>
      </ns0:c>
      <ns0:c r="R779" s="0">
        <ns0:f>IFERROR(IF(FIND(".",L779)=5,--O779,--M779),0)</ns0:f>
        <ns0:v>0</ns0:v>
      </ns0:c>
      <ns0:c r="S779" s="0">
        <ns0:f>IFERROR(IF(AND(P779&gt;=2000,P779&lt;=2100,Q779&gt;=1,Q779&lt;=12,R779&gt;=1,R779&lt;=31),DATE(P779,Q779,R779),0),0)</ns0:f>
        <ns0:v>0</ns0:v>
      </ns0:c>
      <ns0:c r="T779" s="0">
        <ns0:f>IFERROR(IF(ISNUMBER(Bookings!D779),IF(AND(Bookings!D779=INT(Bookings!D779),Bookings!D779&gt;=DATE(2000,1,1),Bookings!D779&lt;=DATE(2100,12,31)),Bookings!D779,0),IF(AND(K779&lt;&gt;"",LEN("x"&amp;L779)-LEN(SUBSTITUTE("x"&amp;L779,".",""))=2,OR(1&gt;LEN(L779),MID(L779,1,1)=".",ISNUMBER(FIND("x"&amp;MID(L779,1,1),"x0x1x2x3x4x5x6x7x8x9"))),OR(2&gt;LEN(L779),MID(L779,2,1)=".",ISNUMBER(FIND("x"&amp;MID(L779,2,1),"x0x1x2x3x4x5x6x7x8x9"))),OR(3&gt;LEN(L779),MID(L779,3,1)=".",ISNUMBER(FIND("x"&amp;MID(L779,3,1),"x0x1x2x3x4x5x6x7x8x9"))),OR(4&gt;LEN(L779),MID(L779,4,1)=".",ISNUMBER(FIND("x"&amp;MID(L779,4,1),"x0x1x2x3x4x5x6x7x8x9"))),OR(5&gt;LEN(L779),MID(L779,5,1)=".",ISNUMBER(FIND("x"&amp;MID(L779,5,1),"x0x1x2x3x4x5x6x7x8x9"))),OR(6&gt;LEN(L779),MID(L779,6,1)=".",ISNUMBER(FIND("x"&amp;MID(L779,6,1),"x0x1x2x3x4x5x6x7x8x9"))),OR(7&gt;LEN(L779),MID(L779,7,1)=".",ISNUMBER(FIND("x"&amp;MID(L779,7,1),"x0x1x2x3x4x5x6x7x8x9"))),OR(8&gt;LEN(L779),MID(L779,8,1)=".",ISNUMBER(FIND("x"&amp;MID(L779,8,1),"x0x1x2x3x4x5x6x7x8x9"))),OR(9&gt;LEN(L779),MID(L779,9,1)=".",ISNUMBER(FIND("x"&amp;MID(L779,9,1),"x0x1x2x3x4x5x6x7x8x9"))),OR(10&gt;LEN(L779),MID(L779,10,1)=".",ISNUMBER(FIND("x"&amp;MID(L779,10,1),"x0x1x2x3x4x5x6x7x8x9"))),OR(AND(FIND(".",L779)=5,LEN(L779)-FIND(".",L779,FIND(".",L779)+1)&gt;=1,LEN(L779)-FIND(".",L779,FIND(".",L779)+1)&lt;=2),AND(LEN(L779)-FIND(".",L779,FIND(".",L779)+1)=4,FIND(".",L779)&gt;=2,FIND(".",L779)&lt;=3)),FIND(".",L779,FIND(".",L779)+1)-FIND(".",L779)&gt;=2,FIND(".",L779,FIND(".",L779)+1)-FIND(".",L779)&lt;=3,P779&gt;=2000,P779&lt;=2100,YEAR(S779)=P779,MONTH(S779)=Q779,DAY(S779)=R779),S779,0)),0)</ns0:f>
        <ns0:v>0</ns0:v>
      </ns0:c>
      <ns0:c r="U779" s="0" t="str">
        <ns0:f>IF(Bookings!C779="","Full day",Bookings!C779)</ns0:f>
        <ns0:v>Full day</ns0:v>
      </ns0:c>
      <ns0:c r="V779" s="0" t="str">
        <ns0:f>IF(Bookings!E779="","Full day",Bookings!E779)</ns0:f>
        <ns0:v>Full day</ns0:v>
      </ns0:c>
      <ns0:c r="W779" s="0">
        <ns0:f>IF(J779=0,0,J779+IF(U779="PM",1,0))</ns0:f>
        <ns0:v>0</ns0:v>
      </ns0:c>
      <ns0:c r="X779" s="0">
        <ns0:f>IF(T779=0,0,T779-IF(V779="PM",1,0))</ns0:f>
        <ns0:v>0</ns0:v>
      </ns0:c>
      <ns0:c r="Y779" s="0">
        <ns0:f>IF(J779=0,0,J779+IF(U779="AM",1,0))</ns0:f>
        <ns0:v>0</ns0:v>
      </ns0:c>
      <ns0:c r="Z779" s="0">
        <ns0:f>IF(T779=0,0,T779-IF(V779="AM",1,0))</ns0:f>
        <ns0:v>0</ns0:v>
      </ns0:c>
      <ns0:c r="AA779" s="0">
        <ns0:f>IFERROR(IF(AND(J779&gt;0,'_Engine'!C779&gt;0,MID('_Engine'!W779,WEEKDAY(J779,2),1)="W",COUNTIF(Settings!$F$18:$F$67,J779)=0),1,0),0)</ns0:f>
        <ns0:v>0</ns0:v>
      </ns0:c>
      <ns0:c r="AB779" s="0">
        <ns0:f>IFERROR(IF(AND(T779&gt;0,'_Engine'!C779&gt;0,MID('_Engine'!W779,WEEKDAY(T779,2),1)="W",COUNTIF(Settings!$F$18:$F$67,T779)=0),1,0),0)</ns0:f>
        <ns0:v>0</ns0:v>
      </ns0:c>
      <ns0:c r="AC779" s="0">
        <ns0:f>IF(AND(J779&gt;0,T779&gt;0,W779&lt;=X779),1,0)</ns0:f>
        <ns0:v>0</ns0:v>
      </ns0:c>
      <ns0:c r="AD779" s="0">
        <ns0:f>IF(AND(J779&gt;0,T779&gt;0,Y779&lt;=Z779),1,0)</ns0:f>
        <ns0:v>0</ns0:v>
      </ns0:c>
    </ns0:row>
    <ns0:row r="780">
      <ns0:c r="A780" s="0">
        <ns0:f>IFERROR(IF(ISNUMBER(Bookings!B780),"",TRIM(Bookings!B780&amp;"")),"")</ns0:f>
      </ns0:c>
      <ns0:c r="B780" s="0">
        <ns0:f>IFERROR(SUBSTITUTE(SUBSTITUTE(A780,"/","."),"-","."),"")</ns0:f>
      </ns0:c>
      <ns0:c r="C780" s="0">
        <ns0:f>IFERROR(LEFT(B780,FIND(".",B780)-1),"")</ns0:f>
      </ns0:c>
      <ns0:c r="D780" s="0">
        <ns0:f>IFERROR(MID(B780,FIND(".",B780)+1,FIND(".",B780,FIND(".",B780)+1)-FIND(".",B780)-1),"")</ns0:f>
      </ns0:c>
      <ns0:c r="E780" s="0">
        <ns0:f>IFERROR(MID(B780,FIND(".",B780,FIND(".",B780)+1)+1,99),"")</ns0:f>
        <ns0:v>99</ns0:v>
      </ns0:c>
      <ns0:c r="F780" s="0">
        <ns0:f>IFERROR(IF(FIND(".",B780)=5,--C780,--E780),0)</ns0:f>
        <ns0:v>0</ns0:v>
      </ns0:c>
      <ns0:c r="G780" s="0">
        <ns0:f>IFERROR(--D780,0)</ns0:f>
        <ns0:v>0</ns0:v>
      </ns0:c>
      <ns0:c r="H780" s="0">
        <ns0:f>IFERROR(IF(FIND(".",B780)=5,--E780,--C780),0)</ns0:f>
        <ns0:v>0</ns0:v>
      </ns0:c>
      <ns0:c r="I780" s="0">
        <ns0:f>IFERROR(IF(AND(F780&gt;=2000,F780&lt;=2100,G780&gt;=1,G780&lt;=12,H780&gt;=1,H780&lt;=31),DATE(F780,G780,H780),0),0)</ns0:f>
        <ns0:v>0</ns0:v>
      </ns0:c>
      <ns0:c r="J780" s="0">
        <ns0:f>IFERROR(IF(ISNUMBER(Bookings!B780),IF(AND(Bookings!B780=INT(Bookings!B780),Bookings!B780&gt;=DATE(2000,1,1),Bookings!B780&lt;=DATE(2100,12,31)),Bookings!B780,0),IF(AND(A780&lt;&gt;"",LEN("x"&amp;B780)-LEN(SUBSTITUTE("x"&amp;B780,".",""))=2,OR(1&gt;LEN(B780),MID(B780,1,1)=".",ISNUMBER(FIND("x"&amp;MID(B780,1,1),"x0x1x2x3x4x5x6x7x8x9"))),OR(2&gt;LEN(B780),MID(B780,2,1)=".",ISNUMBER(FIND("x"&amp;MID(B780,2,1),"x0x1x2x3x4x5x6x7x8x9"))),OR(3&gt;LEN(B780),MID(B780,3,1)=".",ISNUMBER(FIND("x"&amp;MID(B780,3,1),"x0x1x2x3x4x5x6x7x8x9"))),OR(4&gt;LEN(B780),MID(B780,4,1)=".",ISNUMBER(FIND("x"&amp;MID(B780,4,1),"x0x1x2x3x4x5x6x7x8x9"))),OR(5&gt;LEN(B780),MID(B780,5,1)=".",ISNUMBER(FIND("x"&amp;MID(B780,5,1),"x0x1x2x3x4x5x6x7x8x9"))),OR(6&gt;LEN(B780),MID(B780,6,1)=".",ISNUMBER(FIND("x"&amp;MID(B780,6,1),"x0x1x2x3x4x5x6x7x8x9"))),OR(7&gt;LEN(B780),MID(B780,7,1)=".",ISNUMBER(FIND("x"&amp;MID(B780,7,1),"x0x1x2x3x4x5x6x7x8x9"))),OR(8&gt;LEN(B780),MID(B780,8,1)=".",ISNUMBER(FIND("x"&amp;MID(B780,8,1),"x0x1x2x3x4x5x6x7x8x9"))),OR(9&gt;LEN(B780),MID(B780,9,1)=".",ISNUMBER(FIND("x"&amp;MID(B780,9,1),"x0x1x2x3x4x5x6x7x8x9"))),OR(10&gt;LEN(B780),MID(B780,10,1)=".",ISNUMBER(FIND("x"&amp;MID(B780,10,1),"x0x1x2x3x4x5x6x7x8x9"))),OR(AND(FIND(".",B780)=5,LEN(B780)-FIND(".",B780,FIND(".",B780)+1)&gt;=1,LEN(B780)-FIND(".",B780,FIND(".",B780)+1)&lt;=2),AND(LEN(B780)-FIND(".",B780,FIND(".",B780)+1)=4,FIND(".",B780)&gt;=2,FIND(".",B780)&lt;=3)),FIND(".",B780,FIND(".",B780)+1)-FIND(".",B780)&gt;=2,FIND(".",B780,FIND(".",B780)+1)-FIND(".",B780)&lt;=3,F780&gt;=2000,F780&lt;=2100,YEAR(I780)=F780,MONTH(I780)=G780,DAY(I780)=H780),I780,0)),0)</ns0:f>
        <ns0:v>0</ns0:v>
      </ns0:c>
      <ns0:c r="K780" s="0">
        <ns0:f>IFERROR(IF(ISNUMBER(Bookings!D780),"",TRIM(Bookings!D780&amp;"")),"")</ns0:f>
      </ns0:c>
      <ns0:c r="L780" s="0">
        <ns0:f>IFERROR(SUBSTITUTE(SUBSTITUTE(K780,"/","."),"-","."),"")</ns0:f>
      </ns0:c>
      <ns0:c r="M780" s="0">
        <ns0:f>IFERROR(LEFT(L780,FIND(".",L780)-1),"")</ns0:f>
      </ns0:c>
      <ns0:c r="N780" s="0">
        <ns0:f>IFERROR(MID(L780,FIND(".",L780)+1,FIND(".",L780,FIND(".",L780)+1)-FIND(".",L780)-1),"")</ns0:f>
      </ns0:c>
      <ns0:c r="O780" s="0">
        <ns0:f>IFERROR(MID(L780,FIND(".",L780,FIND(".",L780)+1)+1,99),"")</ns0:f>
        <ns0:v>99</ns0:v>
      </ns0:c>
      <ns0:c r="P780" s="0">
        <ns0:f>IFERROR(IF(FIND(".",L780)=5,--M780,--O780),0)</ns0:f>
        <ns0:v>0</ns0:v>
      </ns0:c>
      <ns0:c r="Q780" s="0">
        <ns0:f>IFERROR(--N780,0)</ns0:f>
        <ns0:v>0</ns0:v>
      </ns0:c>
      <ns0:c r="R780" s="0">
        <ns0:f>IFERROR(IF(FIND(".",L780)=5,--O780,--M780),0)</ns0:f>
        <ns0:v>0</ns0:v>
      </ns0:c>
      <ns0:c r="S780" s="0">
        <ns0:f>IFERROR(IF(AND(P780&gt;=2000,P780&lt;=2100,Q780&gt;=1,Q780&lt;=12,R780&gt;=1,R780&lt;=31),DATE(P780,Q780,R780),0),0)</ns0:f>
        <ns0:v>0</ns0:v>
      </ns0:c>
      <ns0:c r="T780" s="0">
        <ns0:f>IFERROR(IF(ISNUMBER(Bookings!D780),IF(AND(Bookings!D780=INT(Bookings!D780),Bookings!D780&gt;=DATE(2000,1,1),Bookings!D780&lt;=DATE(2100,12,31)),Bookings!D780,0),IF(AND(K780&lt;&gt;"",LEN("x"&amp;L780)-LEN(SUBSTITUTE("x"&amp;L780,".",""))=2,OR(1&gt;LEN(L780),MID(L780,1,1)=".",ISNUMBER(FIND("x"&amp;MID(L780,1,1),"x0x1x2x3x4x5x6x7x8x9"))),OR(2&gt;LEN(L780),MID(L780,2,1)=".",ISNUMBER(FIND("x"&amp;MID(L780,2,1),"x0x1x2x3x4x5x6x7x8x9"))),OR(3&gt;LEN(L780),MID(L780,3,1)=".",ISNUMBER(FIND("x"&amp;MID(L780,3,1),"x0x1x2x3x4x5x6x7x8x9"))),OR(4&gt;LEN(L780),MID(L780,4,1)=".",ISNUMBER(FIND("x"&amp;MID(L780,4,1),"x0x1x2x3x4x5x6x7x8x9"))),OR(5&gt;LEN(L780),MID(L780,5,1)=".",ISNUMBER(FIND("x"&amp;MID(L780,5,1),"x0x1x2x3x4x5x6x7x8x9"))),OR(6&gt;LEN(L780),MID(L780,6,1)=".",ISNUMBER(FIND("x"&amp;MID(L780,6,1),"x0x1x2x3x4x5x6x7x8x9"))),OR(7&gt;LEN(L780),MID(L780,7,1)=".",ISNUMBER(FIND("x"&amp;MID(L780,7,1),"x0x1x2x3x4x5x6x7x8x9"))),OR(8&gt;LEN(L780),MID(L780,8,1)=".",ISNUMBER(FIND("x"&amp;MID(L780,8,1),"x0x1x2x3x4x5x6x7x8x9"))),OR(9&gt;LEN(L780),MID(L780,9,1)=".",ISNUMBER(FIND("x"&amp;MID(L780,9,1),"x0x1x2x3x4x5x6x7x8x9"))),OR(10&gt;LEN(L780),MID(L780,10,1)=".",ISNUMBER(FIND("x"&amp;MID(L780,10,1),"x0x1x2x3x4x5x6x7x8x9"))),OR(AND(FIND(".",L780)=5,LEN(L780)-FIND(".",L780,FIND(".",L780)+1)&gt;=1,LEN(L780)-FIND(".",L780,FIND(".",L780)+1)&lt;=2),AND(LEN(L780)-FIND(".",L780,FIND(".",L780)+1)=4,FIND(".",L780)&gt;=2,FIND(".",L780)&lt;=3)),FIND(".",L780,FIND(".",L780)+1)-FIND(".",L780)&gt;=2,FIND(".",L780,FIND(".",L780)+1)-FIND(".",L780)&lt;=3,P780&gt;=2000,P780&lt;=2100,YEAR(S780)=P780,MONTH(S780)=Q780,DAY(S780)=R780),S780,0)),0)</ns0:f>
        <ns0:v>0</ns0:v>
      </ns0:c>
      <ns0:c r="U780" s="0" t="str">
        <ns0:f>IF(Bookings!C780="","Full day",Bookings!C780)</ns0:f>
        <ns0:v>Full day</ns0:v>
      </ns0:c>
      <ns0:c r="V780" s="0" t="str">
        <ns0:f>IF(Bookings!E780="","Full day",Bookings!E780)</ns0:f>
        <ns0:v>Full day</ns0:v>
      </ns0:c>
      <ns0:c r="W780" s="0">
        <ns0:f>IF(J780=0,0,J780+IF(U780="PM",1,0))</ns0:f>
        <ns0:v>0</ns0:v>
      </ns0:c>
      <ns0:c r="X780" s="0">
        <ns0:f>IF(T780=0,0,T780-IF(V780="PM",1,0))</ns0:f>
        <ns0:v>0</ns0:v>
      </ns0:c>
      <ns0:c r="Y780" s="0">
        <ns0:f>IF(J780=0,0,J780+IF(U780="AM",1,0))</ns0:f>
        <ns0:v>0</ns0:v>
      </ns0:c>
      <ns0:c r="Z780" s="0">
        <ns0:f>IF(T780=0,0,T780-IF(V780="AM",1,0))</ns0:f>
        <ns0:v>0</ns0:v>
      </ns0:c>
      <ns0:c r="AA780" s="0">
        <ns0:f>IFERROR(IF(AND(J780&gt;0,'_Engine'!C780&gt;0,MID('_Engine'!W780,WEEKDAY(J780,2),1)="W",COUNTIF(Settings!$F$18:$F$67,J780)=0),1,0),0)</ns0:f>
        <ns0:v>0</ns0:v>
      </ns0:c>
      <ns0:c r="AB780" s="0">
        <ns0:f>IFERROR(IF(AND(T780&gt;0,'_Engine'!C780&gt;0,MID('_Engine'!W780,WEEKDAY(T780,2),1)="W",COUNTIF(Settings!$F$18:$F$67,T780)=0),1,0),0)</ns0:f>
        <ns0:v>0</ns0:v>
      </ns0:c>
      <ns0:c r="AC780" s="0">
        <ns0:f>IF(AND(J780&gt;0,T780&gt;0,W780&lt;=X780),1,0)</ns0:f>
        <ns0:v>0</ns0:v>
      </ns0:c>
      <ns0:c r="AD780" s="0">
        <ns0:f>IF(AND(J780&gt;0,T780&gt;0,Y780&lt;=Z780),1,0)</ns0:f>
        <ns0:v>0</ns0:v>
      </ns0:c>
    </ns0:row>
    <ns0:row r="781">
      <ns0:c r="A781" s="0">
        <ns0:f>IFERROR(IF(ISNUMBER(Bookings!B781),"",TRIM(Bookings!B781&amp;"")),"")</ns0:f>
      </ns0:c>
      <ns0:c r="B781" s="0">
        <ns0:f>IFERROR(SUBSTITUTE(SUBSTITUTE(A781,"/","."),"-","."),"")</ns0:f>
      </ns0:c>
      <ns0:c r="C781" s="0">
        <ns0:f>IFERROR(LEFT(B781,FIND(".",B781)-1),"")</ns0:f>
      </ns0:c>
      <ns0:c r="D781" s="0">
        <ns0:f>IFERROR(MID(B781,FIND(".",B781)+1,FIND(".",B781,FIND(".",B781)+1)-FIND(".",B781)-1),"")</ns0:f>
      </ns0:c>
      <ns0:c r="E781" s="0">
        <ns0:f>IFERROR(MID(B781,FIND(".",B781,FIND(".",B781)+1)+1,99),"")</ns0:f>
        <ns0:v>99</ns0:v>
      </ns0:c>
      <ns0:c r="F781" s="0">
        <ns0:f>IFERROR(IF(FIND(".",B781)=5,--C781,--E781),0)</ns0:f>
        <ns0:v>0</ns0:v>
      </ns0:c>
      <ns0:c r="G781" s="0">
        <ns0:f>IFERROR(--D781,0)</ns0:f>
        <ns0:v>0</ns0:v>
      </ns0:c>
      <ns0:c r="H781" s="0">
        <ns0:f>IFERROR(IF(FIND(".",B781)=5,--E781,--C781),0)</ns0:f>
        <ns0:v>0</ns0:v>
      </ns0:c>
      <ns0:c r="I781" s="0">
        <ns0:f>IFERROR(IF(AND(F781&gt;=2000,F781&lt;=2100,G781&gt;=1,G781&lt;=12,H781&gt;=1,H781&lt;=31),DATE(F781,G781,H781),0),0)</ns0:f>
        <ns0:v>0</ns0:v>
      </ns0:c>
      <ns0:c r="J781" s="0">
        <ns0:f>IFERROR(IF(ISNUMBER(Bookings!B781),IF(AND(Bookings!B781=INT(Bookings!B781),Bookings!B781&gt;=DATE(2000,1,1),Bookings!B781&lt;=DATE(2100,12,31)),Bookings!B781,0),IF(AND(A781&lt;&gt;"",LEN("x"&amp;B781)-LEN(SUBSTITUTE("x"&amp;B781,".",""))=2,OR(1&gt;LEN(B781),MID(B781,1,1)=".",ISNUMBER(FIND("x"&amp;MID(B781,1,1),"x0x1x2x3x4x5x6x7x8x9"))),OR(2&gt;LEN(B781),MID(B781,2,1)=".",ISNUMBER(FIND("x"&amp;MID(B781,2,1),"x0x1x2x3x4x5x6x7x8x9"))),OR(3&gt;LEN(B781),MID(B781,3,1)=".",ISNUMBER(FIND("x"&amp;MID(B781,3,1),"x0x1x2x3x4x5x6x7x8x9"))),OR(4&gt;LEN(B781),MID(B781,4,1)=".",ISNUMBER(FIND("x"&amp;MID(B781,4,1),"x0x1x2x3x4x5x6x7x8x9"))),OR(5&gt;LEN(B781),MID(B781,5,1)=".",ISNUMBER(FIND("x"&amp;MID(B781,5,1),"x0x1x2x3x4x5x6x7x8x9"))),OR(6&gt;LEN(B781),MID(B781,6,1)=".",ISNUMBER(FIND("x"&amp;MID(B781,6,1),"x0x1x2x3x4x5x6x7x8x9"))),OR(7&gt;LEN(B781),MID(B781,7,1)=".",ISNUMBER(FIND("x"&amp;MID(B781,7,1),"x0x1x2x3x4x5x6x7x8x9"))),OR(8&gt;LEN(B781),MID(B781,8,1)=".",ISNUMBER(FIND("x"&amp;MID(B781,8,1),"x0x1x2x3x4x5x6x7x8x9"))),OR(9&gt;LEN(B781),MID(B781,9,1)=".",ISNUMBER(FIND("x"&amp;MID(B781,9,1),"x0x1x2x3x4x5x6x7x8x9"))),OR(10&gt;LEN(B781),MID(B781,10,1)=".",ISNUMBER(FIND("x"&amp;MID(B781,10,1),"x0x1x2x3x4x5x6x7x8x9"))),OR(AND(FIND(".",B781)=5,LEN(B781)-FIND(".",B781,FIND(".",B781)+1)&gt;=1,LEN(B781)-FIND(".",B781,FIND(".",B781)+1)&lt;=2),AND(LEN(B781)-FIND(".",B781,FIND(".",B781)+1)=4,FIND(".",B781)&gt;=2,FIND(".",B781)&lt;=3)),FIND(".",B781,FIND(".",B781)+1)-FIND(".",B781)&gt;=2,FIND(".",B781,FIND(".",B781)+1)-FIND(".",B781)&lt;=3,F781&gt;=2000,F781&lt;=2100,YEAR(I781)=F781,MONTH(I781)=G781,DAY(I781)=H781),I781,0)),0)</ns0:f>
        <ns0:v>0</ns0:v>
      </ns0:c>
      <ns0:c r="K781" s="0">
        <ns0:f>IFERROR(IF(ISNUMBER(Bookings!D781),"",TRIM(Bookings!D781&amp;"")),"")</ns0:f>
      </ns0:c>
      <ns0:c r="L781" s="0">
        <ns0:f>IFERROR(SUBSTITUTE(SUBSTITUTE(K781,"/","."),"-","."),"")</ns0:f>
      </ns0:c>
      <ns0:c r="M781" s="0">
        <ns0:f>IFERROR(LEFT(L781,FIND(".",L781)-1),"")</ns0:f>
      </ns0:c>
      <ns0:c r="N781" s="0">
        <ns0:f>IFERROR(MID(L781,FIND(".",L781)+1,FIND(".",L781,FIND(".",L781)+1)-FIND(".",L781)-1),"")</ns0:f>
      </ns0:c>
      <ns0:c r="O781" s="0">
        <ns0:f>IFERROR(MID(L781,FIND(".",L781,FIND(".",L781)+1)+1,99),"")</ns0:f>
        <ns0:v>99</ns0:v>
      </ns0:c>
      <ns0:c r="P781" s="0">
        <ns0:f>IFERROR(IF(FIND(".",L781)=5,--M781,--O781),0)</ns0:f>
        <ns0:v>0</ns0:v>
      </ns0:c>
      <ns0:c r="Q781" s="0">
        <ns0:f>IFERROR(--N781,0)</ns0:f>
        <ns0:v>0</ns0:v>
      </ns0:c>
      <ns0:c r="R781" s="0">
        <ns0:f>IFERROR(IF(FIND(".",L781)=5,--O781,--M781),0)</ns0:f>
        <ns0:v>0</ns0:v>
      </ns0:c>
      <ns0:c r="S781" s="0">
        <ns0:f>IFERROR(IF(AND(P781&gt;=2000,P781&lt;=2100,Q781&gt;=1,Q781&lt;=12,R781&gt;=1,R781&lt;=31),DATE(P781,Q781,R781),0),0)</ns0:f>
        <ns0:v>0</ns0:v>
      </ns0:c>
      <ns0:c r="T781" s="0">
        <ns0:f>IFERROR(IF(ISNUMBER(Bookings!D781),IF(AND(Bookings!D781=INT(Bookings!D781),Bookings!D781&gt;=DATE(2000,1,1),Bookings!D781&lt;=DATE(2100,12,31)),Bookings!D781,0),IF(AND(K781&lt;&gt;"",LEN("x"&amp;L781)-LEN(SUBSTITUTE("x"&amp;L781,".",""))=2,OR(1&gt;LEN(L781),MID(L781,1,1)=".",ISNUMBER(FIND("x"&amp;MID(L781,1,1),"x0x1x2x3x4x5x6x7x8x9"))),OR(2&gt;LEN(L781),MID(L781,2,1)=".",ISNUMBER(FIND("x"&amp;MID(L781,2,1),"x0x1x2x3x4x5x6x7x8x9"))),OR(3&gt;LEN(L781),MID(L781,3,1)=".",ISNUMBER(FIND("x"&amp;MID(L781,3,1),"x0x1x2x3x4x5x6x7x8x9"))),OR(4&gt;LEN(L781),MID(L781,4,1)=".",ISNUMBER(FIND("x"&amp;MID(L781,4,1),"x0x1x2x3x4x5x6x7x8x9"))),OR(5&gt;LEN(L781),MID(L781,5,1)=".",ISNUMBER(FIND("x"&amp;MID(L781,5,1),"x0x1x2x3x4x5x6x7x8x9"))),OR(6&gt;LEN(L781),MID(L781,6,1)=".",ISNUMBER(FIND("x"&amp;MID(L781,6,1),"x0x1x2x3x4x5x6x7x8x9"))),OR(7&gt;LEN(L781),MID(L781,7,1)=".",ISNUMBER(FIND("x"&amp;MID(L781,7,1),"x0x1x2x3x4x5x6x7x8x9"))),OR(8&gt;LEN(L781),MID(L781,8,1)=".",ISNUMBER(FIND("x"&amp;MID(L781,8,1),"x0x1x2x3x4x5x6x7x8x9"))),OR(9&gt;LEN(L781),MID(L781,9,1)=".",ISNUMBER(FIND("x"&amp;MID(L781,9,1),"x0x1x2x3x4x5x6x7x8x9"))),OR(10&gt;LEN(L781),MID(L781,10,1)=".",ISNUMBER(FIND("x"&amp;MID(L781,10,1),"x0x1x2x3x4x5x6x7x8x9"))),OR(AND(FIND(".",L781)=5,LEN(L781)-FIND(".",L781,FIND(".",L781)+1)&gt;=1,LEN(L781)-FIND(".",L781,FIND(".",L781)+1)&lt;=2),AND(LEN(L781)-FIND(".",L781,FIND(".",L781)+1)=4,FIND(".",L781)&gt;=2,FIND(".",L781)&lt;=3)),FIND(".",L781,FIND(".",L781)+1)-FIND(".",L781)&gt;=2,FIND(".",L781,FIND(".",L781)+1)-FIND(".",L781)&lt;=3,P781&gt;=2000,P781&lt;=2100,YEAR(S781)=P781,MONTH(S781)=Q781,DAY(S781)=R781),S781,0)),0)</ns0:f>
        <ns0:v>0</ns0:v>
      </ns0:c>
      <ns0:c r="U781" s="0" t="str">
        <ns0:f>IF(Bookings!C781="","Full day",Bookings!C781)</ns0:f>
        <ns0:v>Full day</ns0:v>
      </ns0:c>
      <ns0:c r="V781" s="0" t="str">
        <ns0:f>IF(Bookings!E781="","Full day",Bookings!E781)</ns0:f>
        <ns0:v>Full day</ns0:v>
      </ns0:c>
      <ns0:c r="W781" s="0">
        <ns0:f>IF(J781=0,0,J781+IF(U781="PM",1,0))</ns0:f>
        <ns0:v>0</ns0:v>
      </ns0:c>
      <ns0:c r="X781" s="0">
        <ns0:f>IF(T781=0,0,T781-IF(V781="PM",1,0))</ns0:f>
        <ns0:v>0</ns0:v>
      </ns0:c>
      <ns0:c r="Y781" s="0">
        <ns0:f>IF(J781=0,0,J781+IF(U781="AM",1,0))</ns0:f>
        <ns0:v>0</ns0:v>
      </ns0:c>
      <ns0:c r="Z781" s="0">
        <ns0:f>IF(T781=0,0,T781-IF(V781="AM",1,0))</ns0:f>
        <ns0:v>0</ns0:v>
      </ns0:c>
      <ns0:c r="AA781" s="0">
        <ns0:f>IFERROR(IF(AND(J781&gt;0,'_Engine'!C781&gt;0,MID('_Engine'!W781,WEEKDAY(J781,2),1)="W",COUNTIF(Settings!$F$18:$F$67,J781)=0),1,0),0)</ns0:f>
        <ns0:v>0</ns0:v>
      </ns0:c>
      <ns0:c r="AB781" s="0">
        <ns0:f>IFERROR(IF(AND(T781&gt;0,'_Engine'!C781&gt;0,MID('_Engine'!W781,WEEKDAY(T781,2),1)="W",COUNTIF(Settings!$F$18:$F$67,T781)=0),1,0),0)</ns0:f>
        <ns0:v>0</ns0:v>
      </ns0:c>
      <ns0:c r="AC781" s="0">
        <ns0:f>IF(AND(J781&gt;0,T781&gt;0,W781&lt;=X781),1,0)</ns0:f>
        <ns0:v>0</ns0:v>
      </ns0:c>
      <ns0:c r="AD781" s="0">
        <ns0:f>IF(AND(J781&gt;0,T781&gt;0,Y781&lt;=Z781),1,0)</ns0:f>
        <ns0:v>0</ns0:v>
      </ns0:c>
    </ns0:row>
    <ns0:row r="782">
      <ns0:c r="A782" s="0">
        <ns0:f>IFERROR(IF(ISNUMBER(Bookings!B782),"",TRIM(Bookings!B782&amp;"")),"")</ns0:f>
      </ns0:c>
      <ns0:c r="B782" s="0">
        <ns0:f>IFERROR(SUBSTITUTE(SUBSTITUTE(A782,"/","."),"-","."),"")</ns0:f>
      </ns0:c>
      <ns0:c r="C782" s="0">
        <ns0:f>IFERROR(LEFT(B782,FIND(".",B782)-1),"")</ns0:f>
      </ns0:c>
      <ns0:c r="D782" s="0">
        <ns0:f>IFERROR(MID(B782,FIND(".",B782)+1,FIND(".",B782,FIND(".",B782)+1)-FIND(".",B782)-1),"")</ns0:f>
      </ns0:c>
      <ns0:c r="E782" s="0">
        <ns0:f>IFERROR(MID(B782,FIND(".",B782,FIND(".",B782)+1)+1,99),"")</ns0:f>
        <ns0:v>99</ns0:v>
      </ns0:c>
      <ns0:c r="F782" s="0">
        <ns0:f>IFERROR(IF(FIND(".",B782)=5,--C782,--E782),0)</ns0:f>
        <ns0:v>0</ns0:v>
      </ns0:c>
      <ns0:c r="G782" s="0">
        <ns0:f>IFERROR(--D782,0)</ns0:f>
        <ns0:v>0</ns0:v>
      </ns0:c>
      <ns0:c r="H782" s="0">
        <ns0:f>IFERROR(IF(FIND(".",B782)=5,--E782,--C782),0)</ns0:f>
        <ns0:v>0</ns0:v>
      </ns0:c>
      <ns0:c r="I782" s="0">
        <ns0:f>IFERROR(IF(AND(F782&gt;=2000,F782&lt;=2100,G782&gt;=1,G782&lt;=12,H782&gt;=1,H782&lt;=31),DATE(F782,G782,H782),0),0)</ns0:f>
        <ns0:v>0</ns0:v>
      </ns0:c>
      <ns0:c r="J782" s="0">
        <ns0:f>IFERROR(IF(ISNUMBER(Bookings!B782),IF(AND(Bookings!B782=INT(Bookings!B782),Bookings!B782&gt;=DATE(2000,1,1),Bookings!B782&lt;=DATE(2100,12,31)),Bookings!B782,0),IF(AND(A782&lt;&gt;"",LEN("x"&amp;B782)-LEN(SUBSTITUTE("x"&amp;B782,".",""))=2,OR(1&gt;LEN(B782),MID(B782,1,1)=".",ISNUMBER(FIND("x"&amp;MID(B782,1,1),"x0x1x2x3x4x5x6x7x8x9"))),OR(2&gt;LEN(B782),MID(B782,2,1)=".",ISNUMBER(FIND("x"&amp;MID(B782,2,1),"x0x1x2x3x4x5x6x7x8x9"))),OR(3&gt;LEN(B782),MID(B782,3,1)=".",ISNUMBER(FIND("x"&amp;MID(B782,3,1),"x0x1x2x3x4x5x6x7x8x9"))),OR(4&gt;LEN(B782),MID(B782,4,1)=".",ISNUMBER(FIND("x"&amp;MID(B782,4,1),"x0x1x2x3x4x5x6x7x8x9"))),OR(5&gt;LEN(B782),MID(B782,5,1)=".",ISNUMBER(FIND("x"&amp;MID(B782,5,1),"x0x1x2x3x4x5x6x7x8x9"))),OR(6&gt;LEN(B782),MID(B782,6,1)=".",ISNUMBER(FIND("x"&amp;MID(B782,6,1),"x0x1x2x3x4x5x6x7x8x9"))),OR(7&gt;LEN(B782),MID(B782,7,1)=".",ISNUMBER(FIND("x"&amp;MID(B782,7,1),"x0x1x2x3x4x5x6x7x8x9"))),OR(8&gt;LEN(B782),MID(B782,8,1)=".",ISNUMBER(FIND("x"&amp;MID(B782,8,1),"x0x1x2x3x4x5x6x7x8x9"))),OR(9&gt;LEN(B782),MID(B782,9,1)=".",ISNUMBER(FIND("x"&amp;MID(B782,9,1),"x0x1x2x3x4x5x6x7x8x9"))),OR(10&gt;LEN(B782),MID(B782,10,1)=".",ISNUMBER(FIND("x"&amp;MID(B782,10,1),"x0x1x2x3x4x5x6x7x8x9"))),OR(AND(FIND(".",B782)=5,LEN(B782)-FIND(".",B782,FIND(".",B782)+1)&gt;=1,LEN(B782)-FIND(".",B782,FIND(".",B782)+1)&lt;=2),AND(LEN(B782)-FIND(".",B782,FIND(".",B782)+1)=4,FIND(".",B782)&gt;=2,FIND(".",B782)&lt;=3)),FIND(".",B782,FIND(".",B782)+1)-FIND(".",B782)&gt;=2,FIND(".",B782,FIND(".",B782)+1)-FIND(".",B782)&lt;=3,F782&gt;=2000,F782&lt;=2100,YEAR(I782)=F782,MONTH(I782)=G782,DAY(I782)=H782),I782,0)),0)</ns0:f>
        <ns0:v>0</ns0:v>
      </ns0:c>
      <ns0:c r="K782" s="0">
        <ns0:f>IFERROR(IF(ISNUMBER(Bookings!D782),"",TRIM(Bookings!D782&amp;"")),"")</ns0:f>
      </ns0:c>
      <ns0:c r="L782" s="0">
        <ns0:f>IFERROR(SUBSTITUTE(SUBSTITUTE(K782,"/","."),"-","."),"")</ns0:f>
      </ns0:c>
      <ns0:c r="M782" s="0">
        <ns0:f>IFERROR(LEFT(L782,FIND(".",L782)-1),"")</ns0:f>
      </ns0:c>
      <ns0:c r="N782" s="0">
        <ns0:f>IFERROR(MID(L782,FIND(".",L782)+1,FIND(".",L782,FIND(".",L782)+1)-FIND(".",L782)-1),"")</ns0:f>
      </ns0:c>
      <ns0:c r="O782" s="0">
        <ns0:f>IFERROR(MID(L782,FIND(".",L782,FIND(".",L782)+1)+1,99),"")</ns0:f>
        <ns0:v>99</ns0:v>
      </ns0:c>
      <ns0:c r="P782" s="0">
        <ns0:f>IFERROR(IF(FIND(".",L782)=5,--M782,--O782),0)</ns0:f>
        <ns0:v>0</ns0:v>
      </ns0:c>
      <ns0:c r="Q782" s="0">
        <ns0:f>IFERROR(--N782,0)</ns0:f>
        <ns0:v>0</ns0:v>
      </ns0:c>
      <ns0:c r="R782" s="0">
        <ns0:f>IFERROR(IF(FIND(".",L782)=5,--O782,--M782),0)</ns0:f>
        <ns0:v>0</ns0:v>
      </ns0:c>
      <ns0:c r="S782" s="0">
        <ns0:f>IFERROR(IF(AND(P782&gt;=2000,P782&lt;=2100,Q782&gt;=1,Q782&lt;=12,R782&gt;=1,R782&lt;=31),DATE(P782,Q782,R782),0),0)</ns0:f>
        <ns0:v>0</ns0:v>
      </ns0:c>
      <ns0:c r="T782" s="0">
        <ns0:f>IFERROR(IF(ISNUMBER(Bookings!D782),IF(AND(Bookings!D782=INT(Bookings!D782),Bookings!D782&gt;=DATE(2000,1,1),Bookings!D782&lt;=DATE(2100,12,31)),Bookings!D782,0),IF(AND(K782&lt;&gt;"",LEN("x"&amp;L782)-LEN(SUBSTITUTE("x"&amp;L782,".",""))=2,OR(1&gt;LEN(L782),MID(L782,1,1)=".",ISNUMBER(FIND("x"&amp;MID(L782,1,1),"x0x1x2x3x4x5x6x7x8x9"))),OR(2&gt;LEN(L782),MID(L782,2,1)=".",ISNUMBER(FIND("x"&amp;MID(L782,2,1),"x0x1x2x3x4x5x6x7x8x9"))),OR(3&gt;LEN(L782),MID(L782,3,1)=".",ISNUMBER(FIND("x"&amp;MID(L782,3,1),"x0x1x2x3x4x5x6x7x8x9"))),OR(4&gt;LEN(L782),MID(L782,4,1)=".",ISNUMBER(FIND("x"&amp;MID(L782,4,1),"x0x1x2x3x4x5x6x7x8x9"))),OR(5&gt;LEN(L782),MID(L782,5,1)=".",ISNUMBER(FIND("x"&amp;MID(L782,5,1),"x0x1x2x3x4x5x6x7x8x9"))),OR(6&gt;LEN(L782),MID(L782,6,1)=".",ISNUMBER(FIND("x"&amp;MID(L782,6,1),"x0x1x2x3x4x5x6x7x8x9"))),OR(7&gt;LEN(L782),MID(L782,7,1)=".",ISNUMBER(FIND("x"&amp;MID(L782,7,1),"x0x1x2x3x4x5x6x7x8x9"))),OR(8&gt;LEN(L782),MID(L782,8,1)=".",ISNUMBER(FIND("x"&amp;MID(L782,8,1),"x0x1x2x3x4x5x6x7x8x9"))),OR(9&gt;LEN(L782),MID(L782,9,1)=".",ISNUMBER(FIND("x"&amp;MID(L782,9,1),"x0x1x2x3x4x5x6x7x8x9"))),OR(10&gt;LEN(L782),MID(L782,10,1)=".",ISNUMBER(FIND("x"&amp;MID(L782,10,1),"x0x1x2x3x4x5x6x7x8x9"))),OR(AND(FIND(".",L782)=5,LEN(L782)-FIND(".",L782,FIND(".",L782)+1)&gt;=1,LEN(L782)-FIND(".",L782,FIND(".",L782)+1)&lt;=2),AND(LEN(L782)-FIND(".",L782,FIND(".",L782)+1)=4,FIND(".",L782)&gt;=2,FIND(".",L782)&lt;=3)),FIND(".",L782,FIND(".",L782)+1)-FIND(".",L782)&gt;=2,FIND(".",L782,FIND(".",L782)+1)-FIND(".",L782)&lt;=3,P782&gt;=2000,P782&lt;=2100,YEAR(S782)=P782,MONTH(S782)=Q782,DAY(S782)=R782),S782,0)),0)</ns0:f>
        <ns0:v>0</ns0:v>
      </ns0:c>
      <ns0:c r="U782" s="0" t="str">
        <ns0:f>IF(Bookings!C782="","Full day",Bookings!C782)</ns0:f>
        <ns0:v>Full day</ns0:v>
      </ns0:c>
      <ns0:c r="V782" s="0" t="str">
        <ns0:f>IF(Bookings!E782="","Full day",Bookings!E782)</ns0:f>
        <ns0:v>Full day</ns0:v>
      </ns0:c>
      <ns0:c r="W782" s="0">
        <ns0:f>IF(J782=0,0,J782+IF(U782="PM",1,0))</ns0:f>
        <ns0:v>0</ns0:v>
      </ns0:c>
      <ns0:c r="X782" s="0">
        <ns0:f>IF(T782=0,0,T782-IF(V782="PM",1,0))</ns0:f>
        <ns0:v>0</ns0:v>
      </ns0:c>
      <ns0:c r="Y782" s="0">
        <ns0:f>IF(J782=0,0,J782+IF(U782="AM",1,0))</ns0:f>
        <ns0:v>0</ns0:v>
      </ns0:c>
      <ns0:c r="Z782" s="0">
        <ns0:f>IF(T782=0,0,T782-IF(V782="AM",1,0))</ns0:f>
        <ns0:v>0</ns0:v>
      </ns0:c>
      <ns0:c r="AA782" s="0">
        <ns0:f>IFERROR(IF(AND(J782&gt;0,'_Engine'!C782&gt;0,MID('_Engine'!W782,WEEKDAY(J782,2),1)="W",COUNTIF(Settings!$F$18:$F$67,J782)=0),1,0),0)</ns0:f>
        <ns0:v>0</ns0:v>
      </ns0:c>
      <ns0:c r="AB782" s="0">
        <ns0:f>IFERROR(IF(AND(T782&gt;0,'_Engine'!C782&gt;0,MID('_Engine'!W782,WEEKDAY(T782,2),1)="W",COUNTIF(Settings!$F$18:$F$67,T782)=0),1,0),0)</ns0:f>
        <ns0:v>0</ns0:v>
      </ns0:c>
      <ns0:c r="AC782" s="0">
        <ns0:f>IF(AND(J782&gt;0,T782&gt;0,W782&lt;=X782),1,0)</ns0:f>
        <ns0:v>0</ns0:v>
      </ns0:c>
      <ns0:c r="AD782" s="0">
        <ns0:f>IF(AND(J782&gt;0,T782&gt;0,Y782&lt;=Z782),1,0)</ns0:f>
        <ns0:v>0</ns0:v>
      </ns0:c>
    </ns0:row>
    <ns0:row r="783">
      <ns0:c r="A783" s="0">
        <ns0:f>IFERROR(IF(ISNUMBER(Bookings!B783),"",TRIM(Bookings!B783&amp;"")),"")</ns0:f>
      </ns0:c>
      <ns0:c r="B783" s="0">
        <ns0:f>IFERROR(SUBSTITUTE(SUBSTITUTE(A783,"/","."),"-","."),"")</ns0:f>
      </ns0:c>
      <ns0:c r="C783" s="0">
        <ns0:f>IFERROR(LEFT(B783,FIND(".",B783)-1),"")</ns0:f>
      </ns0:c>
      <ns0:c r="D783" s="0">
        <ns0:f>IFERROR(MID(B783,FIND(".",B783)+1,FIND(".",B783,FIND(".",B783)+1)-FIND(".",B783)-1),"")</ns0:f>
      </ns0:c>
      <ns0:c r="E783" s="0">
        <ns0:f>IFERROR(MID(B783,FIND(".",B783,FIND(".",B783)+1)+1,99),"")</ns0:f>
        <ns0:v>99</ns0:v>
      </ns0:c>
      <ns0:c r="F783" s="0">
        <ns0:f>IFERROR(IF(FIND(".",B783)=5,--C783,--E783),0)</ns0:f>
        <ns0:v>0</ns0:v>
      </ns0:c>
      <ns0:c r="G783" s="0">
        <ns0:f>IFERROR(--D783,0)</ns0:f>
        <ns0:v>0</ns0:v>
      </ns0:c>
      <ns0:c r="H783" s="0">
        <ns0:f>IFERROR(IF(FIND(".",B783)=5,--E783,--C783),0)</ns0:f>
        <ns0:v>0</ns0:v>
      </ns0:c>
      <ns0:c r="I783" s="0">
        <ns0:f>IFERROR(IF(AND(F783&gt;=2000,F783&lt;=2100,G783&gt;=1,G783&lt;=12,H783&gt;=1,H783&lt;=31),DATE(F783,G783,H783),0),0)</ns0:f>
        <ns0:v>0</ns0:v>
      </ns0:c>
      <ns0:c r="J783" s="0">
        <ns0:f>IFERROR(IF(ISNUMBER(Bookings!B783),IF(AND(Bookings!B783=INT(Bookings!B783),Bookings!B783&gt;=DATE(2000,1,1),Bookings!B783&lt;=DATE(2100,12,31)),Bookings!B783,0),IF(AND(A783&lt;&gt;"",LEN("x"&amp;B783)-LEN(SUBSTITUTE("x"&amp;B783,".",""))=2,OR(1&gt;LEN(B783),MID(B783,1,1)=".",ISNUMBER(FIND("x"&amp;MID(B783,1,1),"x0x1x2x3x4x5x6x7x8x9"))),OR(2&gt;LEN(B783),MID(B783,2,1)=".",ISNUMBER(FIND("x"&amp;MID(B783,2,1),"x0x1x2x3x4x5x6x7x8x9"))),OR(3&gt;LEN(B783),MID(B783,3,1)=".",ISNUMBER(FIND("x"&amp;MID(B783,3,1),"x0x1x2x3x4x5x6x7x8x9"))),OR(4&gt;LEN(B783),MID(B783,4,1)=".",ISNUMBER(FIND("x"&amp;MID(B783,4,1),"x0x1x2x3x4x5x6x7x8x9"))),OR(5&gt;LEN(B783),MID(B783,5,1)=".",ISNUMBER(FIND("x"&amp;MID(B783,5,1),"x0x1x2x3x4x5x6x7x8x9"))),OR(6&gt;LEN(B783),MID(B783,6,1)=".",ISNUMBER(FIND("x"&amp;MID(B783,6,1),"x0x1x2x3x4x5x6x7x8x9"))),OR(7&gt;LEN(B783),MID(B783,7,1)=".",ISNUMBER(FIND("x"&amp;MID(B783,7,1),"x0x1x2x3x4x5x6x7x8x9"))),OR(8&gt;LEN(B783),MID(B783,8,1)=".",ISNUMBER(FIND("x"&amp;MID(B783,8,1),"x0x1x2x3x4x5x6x7x8x9"))),OR(9&gt;LEN(B783),MID(B783,9,1)=".",ISNUMBER(FIND("x"&amp;MID(B783,9,1),"x0x1x2x3x4x5x6x7x8x9"))),OR(10&gt;LEN(B783),MID(B783,10,1)=".",ISNUMBER(FIND("x"&amp;MID(B783,10,1),"x0x1x2x3x4x5x6x7x8x9"))),OR(AND(FIND(".",B783)=5,LEN(B783)-FIND(".",B783,FIND(".",B783)+1)&gt;=1,LEN(B783)-FIND(".",B783,FIND(".",B783)+1)&lt;=2),AND(LEN(B783)-FIND(".",B783,FIND(".",B783)+1)=4,FIND(".",B783)&gt;=2,FIND(".",B783)&lt;=3)),FIND(".",B783,FIND(".",B783)+1)-FIND(".",B783)&gt;=2,FIND(".",B783,FIND(".",B783)+1)-FIND(".",B783)&lt;=3,F783&gt;=2000,F783&lt;=2100,YEAR(I783)=F783,MONTH(I783)=G783,DAY(I783)=H783),I783,0)),0)</ns0:f>
        <ns0:v>0</ns0:v>
      </ns0:c>
      <ns0:c r="K783" s="0">
        <ns0:f>IFERROR(IF(ISNUMBER(Bookings!D783),"",TRIM(Bookings!D783&amp;"")),"")</ns0:f>
      </ns0:c>
      <ns0:c r="L783" s="0">
        <ns0:f>IFERROR(SUBSTITUTE(SUBSTITUTE(K783,"/","."),"-","."),"")</ns0:f>
      </ns0:c>
      <ns0:c r="M783" s="0">
        <ns0:f>IFERROR(LEFT(L783,FIND(".",L783)-1),"")</ns0:f>
      </ns0:c>
      <ns0:c r="N783" s="0">
        <ns0:f>IFERROR(MID(L783,FIND(".",L783)+1,FIND(".",L783,FIND(".",L783)+1)-FIND(".",L783)-1),"")</ns0:f>
      </ns0:c>
      <ns0:c r="O783" s="0">
        <ns0:f>IFERROR(MID(L783,FIND(".",L783,FIND(".",L783)+1)+1,99),"")</ns0:f>
        <ns0:v>99</ns0:v>
      </ns0:c>
      <ns0:c r="P783" s="0">
        <ns0:f>IFERROR(IF(FIND(".",L783)=5,--M783,--O783),0)</ns0:f>
        <ns0:v>0</ns0:v>
      </ns0:c>
      <ns0:c r="Q783" s="0">
        <ns0:f>IFERROR(--N783,0)</ns0:f>
        <ns0:v>0</ns0:v>
      </ns0:c>
      <ns0:c r="R783" s="0">
        <ns0:f>IFERROR(IF(FIND(".",L783)=5,--O783,--M783),0)</ns0:f>
        <ns0:v>0</ns0:v>
      </ns0:c>
      <ns0:c r="S783" s="0">
        <ns0:f>IFERROR(IF(AND(P783&gt;=2000,P783&lt;=2100,Q783&gt;=1,Q783&lt;=12,R783&gt;=1,R783&lt;=31),DATE(P783,Q783,R783),0),0)</ns0:f>
        <ns0:v>0</ns0:v>
      </ns0:c>
      <ns0:c r="T783" s="0">
        <ns0:f>IFERROR(IF(ISNUMBER(Bookings!D783),IF(AND(Bookings!D783=INT(Bookings!D783),Bookings!D783&gt;=DATE(2000,1,1),Bookings!D783&lt;=DATE(2100,12,31)),Bookings!D783,0),IF(AND(K783&lt;&gt;"",LEN("x"&amp;L783)-LEN(SUBSTITUTE("x"&amp;L783,".",""))=2,OR(1&gt;LEN(L783),MID(L783,1,1)=".",ISNUMBER(FIND("x"&amp;MID(L783,1,1),"x0x1x2x3x4x5x6x7x8x9"))),OR(2&gt;LEN(L783),MID(L783,2,1)=".",ISNUMBER(FIND("x"&amp;MID(L783,2,1),"x0x1x2x3x4x5x6x7x8x9"))),OR(3&gt;LEN(L783),MID(L783,3,1)=".",ISNUMBER(FIND("x"&amp;MID(L783,3,1),"x0x1x2x3x4x5x6x7x8x9"))),OR(4&gt;LEN(L783),MID(L783,4,1)=".",ISNUMBER(FIND("x"&amp;MID(L783,4,1),"x0x1x2x3x4x5x6x7x8x9"))),OR(5&gt;LEN(L783),MID(L783,5,1)=".",ISNUMBER(FIND("x"&amp;MID(L783,5,1),"x0x1x2x3x4x5x6x7x8x9"))),OR(6&gt;LEN(L783),MID(L783,6,1)=".",ISNUMBER(FIND("x"&amp;MID(L783,6,1),"x0x1x2x3x4x5x6x7x8x9"))),OR(7&gt;LEN(L783),MID(L783,7,1)=".",ISNUMBER(FIND("x"&amp;MID(L783,7,1),"x0x1x2x3x4x5x6x7x8x9"))),OR(8&gt;LEN(L783),MID(L783,8,1)=".",ISNUMBER(FIND("x"&amp;MID(L783,8,1),"x0x1x2x3x4x5x6x7x8x9"))),OR(9&gt;LEN(L783),MID(L783,9,1)=".",ISNUMBER(FIND("x"&amp;MID(L783,9,1),"x0x1x2x3x4x5x6x7x8x9"))),OR(10&gt;LEN(L783),MID(L783,10,1)=".",ISNUMBER(FIND("x"&amp;MID(L783,10,1),"x0x1x2x3x4x5x6x7x8x9"))),OR(AND(FIND(".",L783)=5,LEN(L783)-FIND(".",L783,FIND(".",L783)+1)&gt;=1,LEN(L783)-FIND(".",L783,FIND(".",L783)+1)&lt;=2),AND(LEN(L783)-FIND(".",L783,FIND(".",L783)+1)=4,FIND(".",L783)&gt;=2,FIND(".",L783)&lt;=3)),FIND(".",L783,FIND(".",L783)+1)-FIND(".",L783)&gt;=2,FIND(".",L783,FIND(".",L783)+1)-FIND(".",L783)&lt;=3,P783&gt;=2000,P783&lt;=2100,YEAR(S783)=P783,MONTH(S783)=Q783,DAY(S783)=R783),S783,0)),0)</ns0:f>
        <ns0:v>0</ns0:v>
      </ns0:c>
      <ns0:c r="U783" s="0" t="str">
        <ns0:f>IF(Bookings!C783="","Full day",Bookings!C783)</ns0:f>
        <ns0:v>Full day</ns0:v>
      </ns0:c>
      <ns0:c r="V783" s="0" t="str">
        <ns0:f>IF(Bookings!E783="","Full day",Bookings!E783)</ns0:f>
        <ns0:v>Full day</ns0:v>
      </ns0:c>
      <ns0:c r="W783" s="0">
        <ns0:f>IF(J783=0,0,J783+IF(U783="PM",1,0))</ns0:f>
        <ns0:v>0</ns0:v>
      </ns0:c>
      <ns0:c r="X783" s="0">
        <ns0:f>IF(T783=0,0,T783-IF(V783="PM",1,0))</ns0:f>
        <ns0:v>0</ns0:v>
      </ns0:c>
      <ns0:c r="Y783" s="0">
        <ns0:f>IF(J783=0,0,J783+IF(U783="AM",1,0))</ns0:f>
        <ns0:v>0</ns0:v>
      </ns0:c>
      <ns0:c r="Z783" s="0">
        <ns0:f>IF(T783=0,0,T783-IF(V783="AM",1,0))</ns0:f>
        <ns0:v>0</ns0:v>
      </ns0:c>
      <ns0:c r="AA783" s="0">
        <ns0:f>IFERROR(IF(AND(J783&gt;0,'_Engine'!C783&gt;0,MID('_Engine'!W783,WEEKDAY(J783,2),1)="W",COUNTIF(Settings!$F$18:$F$67,J783)=0),1,0),0)</ns0:f>
        <ns0:v>0</ns0:v>
      </ns0:c>
      <ns0:c r="AB783" s="0">
        <ns0:f>IFERROR(IF(AND(T783&gt;0,'_Engine'!C783&gt;0,MID('_Engine'!W783,WEEKDAY(T783,2),1)="W",COUNTIF(Settings!$F$18:$F$67,T783)=0),1,0),0)</ns0:f>
        <ns0:v>0</ns0:v>
      </ns0:c>
      <ns0:c r="AC783" s="0">
        <ns0:f>IF(AND(J783&gt;0,T783&gt;0,W783&lt;=X783),1,0)</ns0:f>
        <ns0:v>0</ns0:v>
      </ns0:c>
      <ns0:c r="AD783" s="0">
        <ns0:f>IF(AND(J783&gt;0,T783&gt;0,Y783&lt;=Z783),1,0)</ns0:f>
        <ns0:v>0</ns0:v>
      </ns0:c>
    </ns0:row>
    <ns0:row r="784">
      <ns0:c r="A784" s="0">
        <ns0:f>IFERROR(IF(ISNUMBER(Bookings!B784),"",TRIM(Bookings!B784&amp;"")),"")</ns0:f>
      </ns0:c>
      <ns0:c r="B784" s="0">
        <ns0:f>IFERROR(SUBSTITUTE(SUBSTITUTE(A784,"/","."),"-","."),"")</ns0:f>
      </ns0:c>
      <ns0:c r="C784" s="0">
        <ns0:f>IFERROR(LEFT(B784,FIND(".",B784)-1),"")</ns0:f>
      </ns0:c>
      <ns0:c r="D784" s="0">
        <ns0:f>IFERROR(MID(B784,FIND(".",B784)+1,FIND(".",B784,FIND(".",B784)+1)-FIND(".",B784)-1),"")</ns0:f>
      </ns0:c>
      <ns0:c r="E784" s="0">
        <ns0:f>IFERROR(MID(B784,FIND(".",B784,FIND(".",B784)+1)+1,99),"")</ns0:f>
        <ns0:v>99</ns0:v>
      </ns0:c>
      <ns0:c r="F784" s="0">
        <ns0:f>IFERROR(IF(FIND(".",B784)=5,--C784,--E784),0)</ns0:f>
        <ns0:v>0</ns0:v>
      </ns0:c>
      <ns0:c r="G784" s="0">
        <ns0:f>IFERROR(--D784,0)</ns0:f>
        <ns0:v>0</ns0:v>
      </ns0:c>
      <ns0:c r="H784" s="0">
        <ns0:f>IFERROR(IF(FIND(".",B784)=5,--E784,--C784),0)</ns0:f>
        <ns0:v>0</ns0:v>
      </ns0:c>
      <ns0:c r="I784" s="0">
        <ns0:f>IFERROR(IF(AND(F784&gt;=2000,F784&lt;=2100,G784&gt;=1,G784&lt;=12,H784&gt;=1,H784&lt;=31),DATE(F784,G784,H784),0),0)</ns0:f>
        <ns0:v>0</ns0:v>
      </ns0:c>
      <ns0:c r="J784" s="0">
        <ns0:f>IFERROR(IF(ISNUMBER(Bookings!B784),IF(AND(Bookings!B784=INT(Bookings!B784),Bookings!B784&gt;=DATE(2000,1,1),Bookings!B784&lt;=DATE(2100,12,31)),Bookings!B784,0),IF(AND(A784&lt;&gt;"",LEN("x"&amp;B784)-LEN(SUBSTITUTE("x"&amp;B784,".",""))=2,OR(1&gt;LEN(B784),MID(B784,1,1)=".",ISNUMBER(FIND("x"&amp;MID(B784,1,1),"x0x1x2x3x4x5x6x7x8x9"))),OR(2&gt;LEN(B784),MID(B784,2,1)=".",ISNUMBER(FIND("x"&amp;MID(B784,2,1),"x0x1x2x3x4x5x6x7x8x9"))),OR(3&gt;LEN(B784),MID(B784,3,1)=".",ISNUMBER(FIND("x"&amp;MID(B784,3,1),"x0x1x2x3x4x5x6x7x8x9"))),OR(4&gt;LEN(B784),MID(B784,4,1)=".",ISNUMBER(FIND("x"&amp;MID(B784,4,1),"x0x1x2x3x4x5x6x7x8x9"))),OR(5&gt;LEN(B784),MID(B784,5,1)=".",ISNUMBER(FIND("x"&amp;MID(B784,5,1),"x0x1x2x3x4x5x6x7x8x9"))),OR(6&gt;LEN(B784),MID(B784,6,1)=".",ISNUMBER(FIND("x"&amp;MID(B784,6,1),"x0x1x2x3x4x5x6x7x8x9"))),OR(7&gt;LEN(B784),MID(B784,7,1)=".",ISNUMBER(FIND("x"&amp;MID(B784,7,1),"x0x1x2x3x4x5x6x7x8x9"))),OR(8&gt;LEN(B784),MID(B784,8,1)=".",ISNUMBER(FIND("x"&amp;MID(B784,8,1),"x0x1x2x3x4x5x6x7x8x9"))),OR(9&gt;LEN(B784),MID(B784,9,1)=".",ISNUMBER(FIND("x"&amp;MID(B784,9,1),"x0x1x2x3x4x5x6x7x8x9"))),OR(10&gt;LEN(B784),MID(B784,10,1)=".",ISNUMBER(FIND("x"&amp;MID(B784,10,1),"x0x1x2x3x4x5x6x7x8x9"))),OR(AND(FIND(".",B784)=5,LEN(B784)-FIND(".",B784,FIND(".",B784)+1)&gt;=1,LEN(B784)-FIND(".",B784,FIND(".",B784)+1)&lt;=2),AND(LEN(B784)-FIND(".",B784,FIND(".",B784)+1)=4,FIND(".",B784)&gt;=2,FIND(".",B784)&lt;=3)),FIND(".",B784,FIND(".",B784)+1)-FIND(".",B784)&gt;=2,FIND(".",B784,FIND(".",B784)+1)-FIND(".",B784)&lt;=3,F784&gt;=2000,F784&lt;=2100,YEAR(I784)=F784,MONTH(I784)=G784,DAY(I784)=H784),I784,0)),0)</ns0:f>
        <ns0:v>0</ns0:v>
      </ns0:c>
      <ns0:c r="K784" s="0">
        <ns0:f>IFERROR(IF(ISNUMBER(Bookings!D784),"",TRIM(Bookings!D784&amp;"")),"")</ns0:f>
      </ns0:c>
      <ns0:c r="L784" s="0">
        <ns0:f>IFERROR(SUBSTITUTE(SUBSTITUTE(K784,"/","."),"-","."),"")</ns0:f>
      </ns0:c>
      <ns0:c r="M784" s="0">
        <ns0:f>IFERROR(LEFT(L784,FIND(".",L784)-1),"")</ns0:f>
      </ns0:c>
      <ns0:c r="N784" s="0">
        <ns0:f>IFERROR(MID(L784,FIND(".",L784)+1,FIND(".",L784,FIND(".",L784)+1)-FIND(".",L784)-1),"")</ns0:f>
      </ns0:c>
      <ns0:c r="O784" s="0">
        <ns0:f>IFERROR(MID(L784,FIND(".",L784,FIND(".",L784)+1)+1,99),"")</ns0:f>
        <ns0:v>99</ns0:v>
      </ns0:c>
      <ns0:c r="P784" s="0">
        <ns0:f>IFERROR(IF(FIND(".",L784)=5,--M784,--O784),0)</ns0:f>
        <ns0:v>0</ns0:v>
      </ns0:c>
      <ns0:c r="Q784" s="0">
        <ns0:f>IFERROR(--N784,0)</ns0:f>
        <ns0:v>0</ns0:v>
      </ns0:c>
      <ns0:c r="R784" s="0">
        <ns0:f>IFERROR(IF(FIND(".",L784)=5,--O784,--M784),0)</ns0:f>
        <ns0:v>0</ns0:v>
      </ns0:c>
      <ns0:c r="S784" s="0">
        <ns0:f>IFERROR(IF(AND(P784&gt;=2000,P784&lt;=2100,Q784&gt;=1,Q784&lt;=12,R784&gt;=1,R784&lt;=31),DATE(P784,Q784,R784),0),0)</ns0:f>
        <ns0:v>0</ns0:v>
      </ns0:c>
      <ns0:c r="T784" s="0">
        <ns0:f>IFERROR(IF(ISNUMBER(Bookings!D784),IF(AND(Bookings!D784=INT(Bookings!D784),Bookings!D784&gt;=DATE(2000,1,1),Bookings!D784&lt;=DATE(2100,12,31)),Bookings!D784,0),IF(AND(K784&lt;&gt;"",LEN("x"&amp;L784)-LEN(SUBSTITUTE("x"&amp;L784,".",""))=2,OR(1&gt;LEN(L784),MID(L784,1,1)=".",ISNUMBER(FIND("x"&amp;MID(L784,1,1),"x0x1x2x3x4x5x6x7x8x9"))),OR(2&gt;LEN(L784),MID(L784,2,1)=".",ISNUMBER(FIND("x"&amp;MID(L784,2,1),"x0x1x2x3x4x5x6x7x8x9"))),OR(3&gt;LEN(L784),MID(L784,3,1)=".",ISNUMBER(FIND("x"&amp;MID(L784,3,1),"x0x1x2x3x4x5x6x7x8x9"))),OR(4&gt;LEN(L784),MID(L784,4,1)=".",ISNUMBER(FIND("x"&amp;MID(L784,4,1),"x0x1x2x3x4x5x6x7x8x9"))),OR(5&gt;LEN(L784),MID(L784,5,1)=".",ISNUMBER(FIND("x"&amp;MID(L784,5,1),"x0x1x2x3x4x5x6x7x8x9"))),OR(6&gt;LEN(L784),MID(L784,6,1)=".",ISNUMBER(FIND("x"&amp;MID(L784,6,1),"x0x1x2x3x4x5x6x7x8x9"))),OR(7&gt;LEN(L784),MID(L784,7,1)=".",ISNUMBER(FIND("x"&amp;MID(L784,7,1),"x0x1x2x3x4x5x6x7x8x9"))),OR(8&gt;LEN(L784),MID(L784,8,1)=".",ISNUMBER(FIND("x"&amp;MID(L784,8,1),"x0x1x2x3x4x5x6x7x8x9"))),OR(9&gt;LEN(L784),MID(L784,9,1)=".",ISNUMBER(FIND("x"&amp;MID(L784,9,1),"x0x1x2x3x4x5x6x7x8x9"))),OR(10&gt;LEN(L784),MID(L784,10,1)=".",ISNUMBER(FIND("x"&amp;MID(L784,10,1),"x0x1x2x3x4x5x6x7x8x9"))),OR(AND(FIND(".",L784)=5,LEN(L784)-FIND(".",L784,FIND(".",L784)+1)&gt;=1,LEN(L784)-FIND(".",L784,FIND(".",L784)+1)&lt;=2),AND(LEN(L784)-FIND(".",L784,FIND(".",L784)+1)=4,FIND(".",L784)&gt;=2,FIND(".",L784)&lt;=3)),FIND(".",L784,FIND(".",L784)+1)-FIND(".",L784)&gt;=2,FIND(".",L784,FIND(".",L784)+1)-FIND(".",L784)&lt;=3,P784&gt;=2000,P784&lt;=2100,YEAR(S784)=P784,MONTH(S784)=Q784,DAY(S784)=R784),S784,0)),0)</ns0:f>
        <ns0:v>0</ns0:v>
      </ns0:c>
      <ns0:c r="U784" s="0" t="str">
        <ns0:f>IF(Bookings!C784="","Full day",Bookings!C784)</ns0:f>
        <ns0:v>Full day</ns0:v>
      </ns0:c>
      <ns0:c r="V784" s="0" t="str">
        <ns0:f>IF(Bookings!E784="","Full day",Bookings!E784)</ns0:f>
        <ns0:v>Full day</ns0:v>
      </ns0:c>
      <ns0:c r="W784" s="0">
        <ns0:f>IF(J784=0,0,J784+IF(U784="PM",1,0))</ns0:f>
        <ns0:v>0</ns0:v>
      </ns0:c>
      <ns0:c r="X784" s="0">
        <ns0:f>IF(T784=0,0,T784-IF(V784="PM",1,0))</ns0:f>
        <ns0:v>0</ns0:v>
      </ns0:c>
      <ns0:c r="Y784" s="0">
        <ns0:f>IF(J784=0,0,J784+IF(U784="AM",1,0))</ns0:f>
        <ns0:v>0</ns0:v>
      </ns0:c>
      <ns0:c r="Z784" s="0">
        <ns0:f>IF(T784=0,0,T784-IF(V784="AM",1,0))</ns0:f>
        <ns0:v>0</ns0:v>
      </ns0:c>
      <ns0:c r="AA784" s="0">
        <ns0:f>IFERROR(IF(AND(J784&gt;0,'_Engine'!C784&gt;0,MID('_Engine'!W784,WEEKDAY(J784,2),1)="W",COUNTIF(Settings!$F$18:$F$67,J784)=0),1,0),0)</ns0:f>
        <ns0:v>0</ns0:v>
      </ns0:c>
      <ns0:c r="AB784" s="0">
        <ns0:f>IFERROR(IF(AND(T784&gt;0,'_Engine'!C784&gt;0,MID('_Engine'!W784,WEEKDAY(T784,2),1)="W",COUNTIF(Settings!$F$18:$F$67,T784)=0),1,0),0)</ns0:f>
        <ns0:v>0</ns0:v>
      </ns0:c>
      <ns0:c r="AC784" s="0">
        <ns0:f>IF(AND(J784&gt;0,T784&gt;0,W784&lt;=X784),1,0)</ns0:f>
        <ns0:v>0</ns0:v>
      </ns0:c>
      <ns0:c r="AD784" s="0">
        <ns0:f>IF(AND(J784&gt;0,T784&gt;0,Y784&lt;=Z784),1,0)</ns0:f>
        <ns0:v>0</ns0:v>
      </ns0:c>
    </ns0:row>
    <ns0:row r="785">
      <ns0:c r="A785" s="0">
        <ns0:f>IFERROR(IF(ISNUMBER(Bookings!B785),"",TRIM(Bookings!B785&amp;"")),"")</ns0:f>
      </ns0:c>
      <ns0:c r="B785" s="0">
        <ns0:f>IFERROR(SUBSTITUTE(SUBSTITUTE(A785,"/","."),"-","."),"")</ns0:f>
      </ns0:c>
      <ns0:c r="C785" s="0">
        <ns0:f>IFERROR(LEFT(B785,FIND(".",B785)-1),"")</ns0:f>
      </ns0:c>
      <ns0:c r="D785" s="0">
        <ns0:f>IFERROR(MID(B785,FIND(".",B785)+1,FIND(".",B785,FIND(".",B785)+1)-FIND(".",B785)-1),"")</ns0:f>
      </ns0:c>
      <ns0:c r="E785" s="0">
        <ns0:f>IFERROR(MID(B785,FIND(".",B785,FIND(".",B785)+1)+1,99),"")</ns0:f>
        <ns0:v>99</ns0:v>
      </ns0:c>
      <ns0:c r="F785" s="0">
        <ns0:f>IFERROR(IF(FIND(".",B785)=5,--C785,--E785),0)</ns0:f>
        <ns0:v>0</ns0:v>
      </ns0:c>
      <ns0:c r="G785" s="0">
        <ns0:f>IFERROR(--D785,0)</ns0:f>
        <ns0:v>0</ns0:v>
      </ns0:c>
      <ns0:c r="H785" s="0">
        <ns0:f>IFERROR(IF(FIND(".",B785)=5,--E785,--C785),0)</ns0:f>
        <ns0:v>0</ns0:v>
      </ns0:c>
      <ns0:c r="I785" s="0">
        <ns0:f>IFERROR(IF(AND(F785&gt;=2000,F785&lt;=2100,G785&gt;=1,G785&lt;=12,H785&gt;=1,H785&lt;=31),DATE(F785,G785,H785),0),0)</ns0:f>
        <ns0:v>0</ns0:v>
      </ns0:c>
      <ns0:c r="J785" s="0">
        <ns0:f>IFERROR(IF(ISNUMBER(Bookings!B785),IF(AND(Bookings!B785=INT(Bookings!B785),Bookings!B785&gt;=DATE(2000,1,1),Bookings!B785&lt;=DATE(2100,12,31)),Bookings!B785,0),IF(AND(A785&lt;&gt;"",LEN("x"&amp;B785)-LEN(SUBSTITUTE("x"&amp;B785,".",""))=2,OR(1&gt;LEN(B785),MID(B785,1,1)=".",ISNUMBER(FIND("x"&amp;MID(B785,1,1),"x0x1x2x3x4x5x6x7x8x9"))),OR(2&gt;LEN(B785),MID(B785,2,1)=".",ISNUMBER(FIND("x"&amp;MID(B785,2,1),"x0x1x2x3x4x5x6x7x8x9"))),OR(3&gt;LEN(B785),MID(B785,3,1)=".",ISNUMBER(FIND("x"&amp;MID(B785,3,1),"x0x1x2x3x4x5x6x7x8x9"))),OR(4&gt;LEN(B785),MID(B785,4,1)=".",ISNUMBER(FIND("x"&amp;MID(B785,4,1),"x0x1x2x3x4x5x6x7x8x9"))),OR(5&gt;LEN(B785),MID(B785,5,1)=".",ISNUMBER(FIND("x"&amp;MID(B785,5,1),"x0x1x2x3x4x5x6x7x8x9"))),OR(6&gt;LEN(B785),MID(B785,6,1)=".",ISNUMBER(FIND("x"&amp;MID(B785,6,1),"x0x1x2x3x4x5x6x7x8x9"))),OR(7&gt;LEN(B785),MID(B785,7,1)=".",ISNUMBER(FIND("x"&amp;MID(B785,7,1),"x0x1x2x3x4x5x6x7x8x9"))),OR(8&gt;LEN(B785),MID(B785,8,1)=".",ISNUMBER(FIND("x"&amp;MID(B785,8,1),"x0x1x2x3x4x5x6x7x8x9"))),OR(9&gt;LEN(B785),MID(B785,9,1)=".",ISNUMBER(FIND("x"&amp;MID(B785,9,1),"x0x1x2x3x4x5x6x7x8x9"))),OR(10&gt;LEN(B785),MID(B785,10,1)=".",ISNUMBER(FIND("x"&amp;MID(B785,10,1),"x0x1x2x3x4x5x6x7x8x9"))),OR(AND(FIND(".",B785)=5,LEN(B785)-FIND(".",B785,FIND(".",B785)+1)&gt;=1,LEN(B785)-FIND(".",B785,FIND(".",B785)+1)&lt;=2),AND(LEN(B785)-FIND(".",B785,FIND(".",B785)+1)=4,FIND(".",B785)&gt;=2,FIND(".",B785)&lt;=3)),FIND(".",B785,FIND(".",B785)+1)-FIND(".",B785)&gt;=2,FIND(".",B785,FIND(".",B785)+1)-FIND(".",B785)&lt;=3,F785&gt;=2000,F785&lt;=2100,YEAR(I785)=F785,MONTH(I785)=G785,DAY(I785)=H785),I785,0)),0)</ns0:f>
        <ns0:v>0</ns0:v>
      </ns0:c>
      <ns0:c r="K785" s="0">
        <ns0:f>IFERROR(IF(ISNUMBER(Bookings!D785),"",TRIM(Bookings!D785&amp;"")),"")</ns0:f>
      </ns0:c>
      <ns0:c r="L785" s="0">
        <ns0:f>IFERROR(SUBSTITUTE(SUBSTITUTE(K785,"/","."),"-","."),"")</ns0:f>
      </ns0:c>
      <ns0:c r="M785" s="0">
        <ns0:f>IFERROR(LEFT(L785,FIND(".",L785)-1),"")</ns0:f>
      </ns0:c>
      <ns0:c r="N785" s="0">
        <ns0:f>IFERROR(MID(L785,FIND(".",L785)+1,FIND(".",L785,FIND(".",L785)+1)-FIND(".",L785)-1),"")</ns0:f>
      </ns0:c>
      <ns0:c r="O785" s="0">
        <ns0:f>IFERROR(MID(L785,FIND(".",L785,FIND(".",L785)+1)+1,99),"")</ns0:f>
        <ns0:v>99</ns0:v>
      </ns0:c>
      <ns0:c r="P785" s="0">
        <ns0:f>IFERROR(IF(FIND(".",L785)=5,--M785,--O785),0)</ns0:f>
        <ns0:v>0</ns0:v>
      </ns0:c>
      <ns0:c r="Q785" s="0">
        <ns0:f>IFERROR(--N785,0)</ns0:f>
        <ns0:v>0</ns0:v>
      </ns0:c>
      <ns0:c r="R785" s="0">
        <ns0:f>IFERROR(IF(FIND(".",L785)=5,--O785,--M785),0)</ns0:f>
        <ns0:v>0</ns0:v>
      </ns0:c>
      <ns0:c r="S785" s="0">
        <ns0:f>IFERROR(IF(AND(P785&gt;=2000,P785&lt;=2100,Q785&gt;=1,Q785&lt;=12,R785&gt;=1,R785&lt;=31),DATE(P785,Q785,R785),0),0)</ns0:f>
        <ns0:v>0</ns0:v>
      </ns0:c>
      <ns0:c r="T785" s="0">
        <ns0:f>IFERROR(IF(ISNUMBER(Bookings!D785),IF(AND(Bookings!D785=INT(Bookings!D785),Bookings!D785&gt;=DATE(2000,1,1),Bookings!D785&lt;=DATE(2100,12,31)),Bookings!D785,0),IF(AND(K785&lt;&gt;"",LEN("x"&amp;L785)-LEN(SUBSTITUTE("x"&amp;L785,".",""))=2,OR(1&gt;LEN(L785),MID(L785,1,1)=".",ISNUMBER(FIND("x"&amp;MID(L785,1,1),"x0x1x2x3x4x5x6x7x8x9"))),OR(2&gt;LEN(L785),MID(L785,2,1)=".",ISNUMBER(FIND("x"&amp;MID(L785,2,1),"x0x1x2x3x4x5x6x7x8x9"))),OR(3&gt;LEN(L785),MID(L785,3,1)=".",ISNUMBER(FIND("x"&amp;MID(L785,3,1),"x0x1x2x3x4x5x6x7x8x9"))),OR(4&gt;LEN(L785),MID(L785,4,1)=".",ISNUMBER(FIND("x"&amp;MID(L785,4,1),"x0x1x2x3x4x5x6x7x8x9"))),OR(5&gt;LEN(L785),MID(L785,5,1)=".",ISNUMBER(FIND("x"&amp;MID(L785,5,1),"x0x1x2x3x4x5x6x7x8x9"))),OR(6&gt;LEN(L785),MID(L785,6,1)=".",ISNUMBER(FIND("x"&amp;MID(L785,6,1),"x0x1x2x3x4x5x6x7x8x9"))),OR(7&gt;LEN(L785),MID(L785,7,1)=".",ISNUMBER(FIND("x"&amp;MID(L785,7,1),"x0x1x2x3x4x5x6x7x8x9"))),OR(8&gt;LEN(L785),MID(L785,8,1)=".",ISNUMBER(FIND("x"&amp;MID(L785,8,1),"x0x1x2x3x4x5x6x7x8x9"))),OR(9&gt;LEN(L785),MID(L785,9,1)=".",ISNUMBER(FIND("x"&amp;MID(L785,9,1),"x0x1x2x3x4x5x6x7x8x9"))),OR(10&gt;LEN(L785),MID(L785,10,1)=".",ISNUMBER(FIND("x"&amp;MID(L785,10,1),"x0x1x2x3x4x5x6x7x8x9"))),OR(AND(FIND(".",L785)=5,LEN(L785)-FIND(".",L785,FIND(".",L785)+1)&gt;=1,LEN(L785)-FIND(".",L785,FIND(".",L785)+1)&lt;=2),AND(LEN(L785)-FIND(".",L785,FIND(".",L785)+1)=4,FIND(".",L785)&gt;=2,FIND(".",L785)&lt;=3)),FIND(".",L785,FIND(".",L785)+1)-FIND(".",L785)&gt;=2,FIND(".",L785,FIND(".",L785)+1)-FIND(".",L785)&lt;=3,P785&gt;=2000,P785&lt;=2100,YEAR(S785)=P785,MONTH(S785)=Q785,DAY(S785)=R785),S785,0)),0)</ns0:f>
        <ns0:v>0</ns0:v>
      </ns0:c>
      <ns0:c r="U785" s="0" t="str">
        <ns0:f>IF(Bookings!C785="","Full day",Bookings!C785)</ns0:f>
        <ns0:v>Full day</ns0:v>
      </ns0:c>
      <ns0:c r="V785" s="0" t="str">
        <ns0:f>IF(Bookings!E785="","Full day",Bookings!E785)</ns0:f>
        <ns0:v>Full day</ns0:v>
      </ns0:c>
      <ns0:c r="W785" s="0">
        <ns0:f>IF(J785=0,0,J785+IF(U785="PM",1,0))</ns0:f>
        <ns0:v>0</ns0:v>
      </ns0:c>
      <ns0:c r="X785" s="0">
        <ns0:f>IF(T785=0,0,T785-IF(V785="PM",1,0))</ns0:f>
        <ns0:v>0</ns0:v>
      </ns0:c>
      <ns0:c r="Y785" s="0">
        <ns0:f>IF(J785=0,0,J785+IF(U785="AM",1,0))</ns0:f>
        <ns0:v>0</ns0:v>
      </ns0:c>
      <ns0:c r="Z785" s="0">
        <ns0:f>IF(T785=0,0,T785-IF(V785="AM",1,0))</ns0:f>
        <ns0:v>0</ns0:v>
      </ns0:c>
      <ns0:c r="AA785" s="0">
        <ns0:f>IFERROR(IF(AND(J785&gt;0,'_Engine'!C785&gt;0,MID('_Engine'!W785,WEEKDAY(J785,2),1)="W",COUNTIF(Settings!$F$18:$F$67,J785)=0),1,0),0)</ns0:f>
        <ns0:v>0</ns0:v>
      </ns0:c>
      <ns0:c r="AB785" s="0">
        <ns0:f>IFERROR(IF(AND(T785&gt;0,'_Engine'!C785&gt;0,MID('_Engine'!W785,WEEKDAY(T785,2),1)="W",COUNTIF(Settings!$F$18:$F$67,T785)=0),1,0),0)</ns0:f>
        <ns0:v>0</ns0:v>
      </ns0:c>
      <ns0:c r="AC785" s="0">
        <ns0:f>IF(AND(J785&gt;0,T785&gt;0,W785&lt;=X785),1,0)</ns0:f>
        <ns0:v>0</ns0:v>
      </ns0:c>
      <ns0:c r="AD785" s="0">
        <ns0:f>IF(AND(J785&gt;0,T785&gt;0,Y785&lt;=Z785),1,0)</ns0:f>
        <ns0:v>0</ns0:v>
      </ns0:c>
    </ns0:row>
    <ns0:row r="786">
      <ns0:c r="A786" s="0">
        <ns0:f>IFERROR(IF(ISNUMBER(Bookings!B786),"",TRIM(Bookings!B786&amp;"")),"")</ns0:f>
      </ns0:c>
      <ns0:c r="B786" s="0">
        <ns0:f>IFERROR(SUBSTITUTE(SUBSTITUTE(A786,"/","."),"-","."),"")</ns0:f>
      </ns0:c>
      <ns0:c r="C786" s="0">
        <ns0:f>IFERROR(LEFT(B786,FIND(".",B786)-1),"")</ns0:f>
      </ns0:c>
      <ns0:c r="D786" s="0">
        <ns0:f>IFERROR(MID(B786,FIND(".",B786)+1,FIND(".",B786,FIND(".",B786)+1)-FIND(".",B786)-1),"")</ns0:f>
      </ns0:c>
      <ns0:c r="E786" s="0">
        <ns0:f>IFERROR(MID(B786,FIND(".",B786,FIND(".",B786)+1)+1,99),"")</ns0:f>
        <ns0:v>99</ns0:v>
      </ns0:c>
      <ns0:c r="F786" s="0">
        <ns0:f>IFERROR(IF(FIND(".",B786)=5,--C786,--E786),0)</ns0:f>
        <ns0:v>0</ns0:v>
      </ns0:c>
      <ns0:c r="G786" s="0">
        <ns0:f>IFERROR(--D786,0)</ns0:f>
        <ns0:v>0</ns0:v>
      </ns0:c>
      <ns0:c r="H786" s="0">
        <ns0:f>IFERROR(IF(FIND(".",B786)=5,--E786,--C786),0)</ns0:f>
        <ns0:v>0</ns0:v>
      </ns0:c>
      <ns0:c r="I786" s="0">
        <ns0:f>IFERROR(IF(AND(F786&gt;=2000,F786&lt;=2100,G786&gt;=1,G786&lt;=12,H786&gt;=1,H786&lt;=31),DATE(F786,G786,H786),0),0)</ns0:f>
        <ns0:v>0</ns0:v>
      </ns0:c>
      <ns0:c r="J786" s="0">
        <ns0:f>IFERROR(IF(ISNUMBER(Bookings!B786),IF(AND(Bookings!B786=INT(Bookings!B786),Bookings!B786&gt;=DATE(2000,1,1),Bookings!B786&lt;=DATE(2100,12,31)),Bookings!B786,0),IF(AND(A786&lt;&gt;"",LEN("x"&amp;B786)-LEN(SUBSTITUTE("x"&amp;B786,".",""))=2,OR(1&gt;LEN(B786),MID(B786,1,1)=".",ISNUMBER(FIND("x"&amp;MID(B786,1,1),"x0x1x2x3x4x5x6x7x8x9"))),OR(2&gt;LEN(B786),MID(B786,2,1)=".",ISNUMBER(FIND("x"&amp;MID(B786,2,1),"x0x1x2x3x4x5x6x7x8x9"))),OR(3&gt;LEN(B786),MID(B786,3,1)=".",ISNUMBER(FIND("x"&amp;MID(B786,3,1),"x0x1x2x3x4x5x6x7x8x9"))),OR(4&gt;LEN(B786),MID(B786,4,1)=".",ISNUMBER(FIND("x"&amp;MID(B786,4,1),"x0x1x2x3x4x5x6x7x8x9"))),OR(5&gt;LEN(B786),MID(B786,5,1)=".",ISNUMBER(FIND("x"&amp;MID(B786,5,1),"x0x1x2x3x4x5x6x7x8x9"))),OR(6&gt;LEN(B786),MID(B786,6,1)=".",ISNUMBER(FIND("x"&amp;MID(B786,6,1),"x0x1x2x3x4x5x6x7x8x9"))),OR(7&gt;LEN(B786),MID(B786,7,1)=".",ISNUMBER(FIND("x"&amp;MID(B786,7,1),"x0x1x2x3x4x5x6x7x8x9"))),OR(8&gt;LEN(B786),MID(B786,8,1)=".",ISNUMBER(FIND("x"&amp;MID(B786,8,1),"x0x1x2x3x4x5x6x7x8x9"))),OR(9&gt;LEN(B786),MID(B786,9,1)=".",ISNUMBER(FIND("x"&amp;MID(B786,9,1),"x0x1x2x3x4x5x6x7x8x9"))),OR(10&gt;LEN(B786),MID(B786,10,1)=".",ISNUMBER(FIND("x"&amp;MID(B786,10,1),"x0x1x2x3x4x5x6x7x8x9"))),OR(AND(FIND(".",B786)=5,LEN(B786)-FIND(".",B786,FIND(".",B786)+1)&gt;=1,LEN(B786)-FIND(".",B786,FIND(".",B786)+1)&lt;=2),AND(LEN(B786)-FIND(".",B786,FIND(".",B786)+1)=4,FIND(".",B786)&gt;=2,FIND(".",B786)&lt;=3)),FIND(".",B786,FIND(".",B786)+1)-FIND(".",B786)&gt;=2,FIND(".",B786,FIND(".",B786)+1)-FIND(".",B786)&lt;=3,F786&gt;=2000,F786&lt;=2100,YEAR(I786)=F786,MONTH(I786)=G786,DAY(I786)=H786),I786,0)),0)</ns0:f>
        <ns0:v>0</ns0:v>
      </ns0:c>
      <ns0:c r="K786" s="0">
        <ns0:f>IFERROR(IF(ISNUMBER(Bookings!D786),"",TRIM(Bookings!D786&amp;"")),"")</ns0:f>
      </ns0:c>
      <ns0:c r="L786" s="0">
        <ns0:f>IFERROR(SUBSTITUTE(SUBSTITUTE(K786,"/","."),"-","."),"")</ns0:f>
      </ns0:c>
      <ns0:c r="M786" s="0">
        <ns0:f>IFERROR(LEFT(L786,FIND(".",L786)-1),"")</ns0:f>
      </ns0:c>
      <ns0:c r="N786" s="0">
        <ns0:f>IFERROR(MID(L786,FIND(".",L786)+1,FIND(".",L786,FIND(".",L786)+1)-FIND(".",L786)-1),"")</ns0:f>
      </ns0:c>
      <ns0:c r="O786" s="0">
        <ns0:f>IFERROR(MID(L786,FIND(".",L786,FIND(".",L786)+1)+1,99),"")</ns0:f>
        <ns0:v>99</ns0:v>
      </ns0:c>
      <ns0:c r="P786" s="0">
        <ns0:f>IFERROR(IF(FIND(".",L786)=5,--M786,--O786),0)</ns0:f>
        <ns0:v>0</ns0:v>
      </ns0:c>
      <ns0:c r="Q786" s="0">
        <ns0:f>IFERROR(--N786,0)</ns0:f>
        <ns0:v>0</ns0:v>
      </ns0:c>
      <ns0:c r="R786" s="0">
        <ns0:f>IFERROR(IF(FIND(".",L786)=5,--O786,--M786),0)</ns0:f>
        <ns0:v>0</ns0:v>
      </ns0:c>
      <ns0:c r="S786" s="0">
        <ns0:f>IFERROR(IF(AND(P786&gt;=2000,P786&lt;=2100,Q786&gt;=1,Q786&lt;=12,R786&gt;=1,R786&lt;=31),DATE(P786,Q786,R786),0),0)</ns0:f>
        <ns0:v>0</ns0:v>
      </ns0:c>
      <ns0:c r="T786" s="0">
        <ns0:f>IFERROR(IF(ISNUMBER(Bookings!D786),IF(AND(Bookings!D786=INT(Bookings!D786),Bookings!D786&gt;=DATE(2000,1,1),Bookings!D786&lt;=DATE(2100,12,31)),Bookings!D786,0),IF(AND(K786&lt;&gt;"",LEN("x"&amp;L786)-LEN(SUBSTITUTE("x"&amp;L786,".",""))=2,OR(1&gt;LEN(L786),MID(L786,1,1)=".",ISNUMBER(FIND("x"&amp;MID(L786,1,1),"x0x1x2x3x4x5x6x7x8x9"))),OR(2&gt;LEN(L786),MID(L786,2,1)=".",ISNUMBER(FIND("x"&amp;MID(L786,2,1),"x0x1x2x3x4x5x6x7x8x9"))),OR(3&gt;LEN(L786),MID(L786,3,1)=".",ISNUMBER(FIND("x"&amp;MID(L786,3,1),"x0x1x2x3x4x5x6x7x8x9"))),OR(4&gt;LEN(L786),MID(L786,4,1)=".",ISNUMBER(FIND("x"&amp;MID(L786,4,1),"x0x1x2x3x4x5x6x7x8x9"))),OR(5&gt;LEN(L786),MID(L786,5,1)=".",ISNUMBER(FIND("x"&amp;MID(L786,5,1),"x0x1x2x3x4x5x6x7x8x9"))),OR(6&gt;LEN(L786),MID(L786,6,1)=".",ISNUMBER(FIND("x"&amp;MID(L786,6,1),"x0x1x2x3x4x5x6x7x8x9"))),OR(7&gt;LEN(L786),MID(L786,7,1)=".",ISNUMBER(FIND("x"&amp;MID(L786,7,1),"x0x1x2x3x4x5x6x7x8x9"))),OR(8&gt;LEN(L786),MID(L786,8,1)=".",ISNUMBER(FIND("x"&amp;MID(L786,8,1),"x0x1x2x3x4x5x6x7x8x9"))),OR(9&gt;LEN(L786),MID(L786,9,1)=".",ISNUMBER(FIND("x"&amp;MID(L786,9,1),"x0x1x2x3x4x5x6x7x8x9"))),OR(10&gt;LEN(L786),MID(L786,10,1)=".",ISNUMBER(FIND("x"&amp;MID(L786,10,1),"x0x1x2x3x4x5x6x7x8x9"))),OR(AND(FIND(".",L786)=5,LEN(L786)-FIND(".",L786,FIND(".",L786)+1)&gt;=1,LEN(L786)-FIND(".",L786,FIND(".",L786)+1)&lt;=2),AND(LEN(L786)-FIND(".",L786,FIND(".",L786)+1)=4,FIND(".",L786)&gt;=2,FIND(".",L786)&lt;=3)),FIND(".",L786,FIND(".",L786)+1)-FIND(".",L786)&gt;=2,FIND(".",L786,FIND(".",L786)+1)-FIND(".",L786)&lt;=3,P786&gt;=2000,P786&lt;=2100,YEAR(S786)=P786,MONTH(S786)=Q786,DAY(S786)=R786),S786,0)),0)</ns0:f>
        <ns0:v>0</ns0:v>
      </ns0:c>
      <ns0:c r="U786" s="0" t="str">
        <ns0:f>IF(Bookings!C786="","Full day",Bookings!C786)</ns0:f>
        <ns0:v>Full day</ns0:v>
      </ns0:c>
      <ns0:c r="V786" s="0" t="str">
        <ns0:f>IF(Bookings!E786="","Full day",Bookings!E786)</ns0:f>
        <ns0:v>Full day</ns0:v>
      </ns0:c>
      <ns0:c r="W786" s="0">
        <ns0:f>IF(J786=0,0,J786+IF(U786="PM",1,0))</ns0:f>
        <ns0:v>0</ns0:v>
      </ns0:c>
      <ns0:c r="X786" s="0">
        <ns0:f>IF(T786=0,0,T786-IF(V786="PM",1,0))</ns0:f>
        <ns0:v>0</ns0:v>
      </ns0:c>
      <ns0:c r="Y786" s="0">
        <ns0:f>IF(J786=0,0,J786+IF(U786="AM",1,0))</ns0:f>
        <ns0:v>0</ns0:v>
      </ns0:c>
      <ns0:c r="Z786" s="0">
        <ns0:f>IF(T786=0,0,T786-IF(V786="AM",1,0))</ns0:f>
        <ns0:v>0</ns0:v>
      </ns0:c>
      <ns0:c r="AA786" s="0">
        <ns0:f>IFERROR(IF(AND(J786&gt;0,'_Engine'!C786&gt;0,MID('_Engine'!W786,WEEKDAY(J786,2),1)="W",COUNTIF(Settings!$F$18:$F$67,J786)=0),1,0),0)</ns0:f>
        <ns0:v>0</ns0:v>
      </ns0:c>
      <ns0:c r="AB786" s="0">
        <ns0:f>IFERROR(IF(AND(T786&gt;0,'_Engine'!C786&gt;0,MID('_Engine'!W786,WEEKDAY(T786,2),1)="W",COUNTIF(Settings!$F$18:$F$67,T786)=0),1,0),0)</ns0:f>
        <ns0:v>0</ns0:v>
      </ns0:c>
      <ns0:c r="AC786" s="0">
        <ns0:f>IF(AND(J786&gt;0,T786&gt;0,W786&lt;=X786),1,0)</ns0:f>
        <ns0:v>0</ns0:v>
      </ns0:c>
      <ns0:c r="AD786" s="0">
        <ns0:f>IF(AND(J786&gt;0,T786&gt;0,Y786&lt;=Z786),1,0)</ns0:f>
        <ns0:v>0</ns0:v>
      </ns0:c>
    </ns0:row>
    <ns0:row r="787">
      <ns0:c r="A787" s="0">
        <ns0:f>IFERROR(IF(ISNUMBER(Bookings!B787),"",TRIM(Bookings!B787&amp;"")),"")</ns0:f>
      </ns0:c>
      <ns0:c r="B787" s="0">
        <ns0:f>IFERROR(SUBSTITUTE(SUBSTITUTE(A787,"/","."),"-","."),"")</ns0:f>
      </ns0:c>
      <ns0:c r="C787" s="0">
        <ns0:f>IFERROR(LEFT(B787,FIND(".",B787)-1),"")</ns0:f>
      </ns0:c>
      <ns0:c r="D787" s="0">
        <ns0:f>IFERROR(MID(B787,FIND(".",B787)+1,FIND(".",B787,FIND(".",B787)+1)-FIND(".",B787)-1),"")</ns0:f>
      </ns0:c>
      <ns0:c r="E787" s="0">
        <ns0:f>IFERROR(MID(B787,FIND(".",B787,FIND(".",B787)+1)+1,99),"")</ns0:f>
        <ns0:v>99</ns0:v>
      </ns0:c>
      <ns0:c r="F787" s="0">
        <ns0:f>IFERROR(IF(FIND(".",B787)=5,--C787,--E787),0)</ns0:f>
        <ns0:v>0</ns0:v>
      </ns0:c>
      <ns0:c r="G787" s="0">
        <ns0:f>IFERROR(--D787,0)</ns0:f>
        <ns0:v>0</ns0:v>
      </ns0:c>
      <ns0:c r="H787" s="0">
        <ns0:f>IFERROR(IF(FIND(".",B787)=5,--E787,--C787),0)</ns0:f>
        <ns0:v>0</ns0:v>
      </ns0:c>
      <ns0:c r="I787" s="0">
        <ns0:f>IFERROR(IF(AND(F787&gt;=2000,F787&lt;=2100,G787&gt;=1,G787&lt;=12,H787&gt;=1,H787&lt;=31),DATE(F787,G787,H787),0),0)</ns0:f>
        <ns0:v>0</ns0:v>
      </ns0:c>
      <ns0:c r="J787" s="0">
        <ns0:f>IFERROR(IF(ISNUMBER(Bookings!B787),IF(AND(Bookings!B787=INT(Bookings!B787),Bookings!B787&gt;=DATE(2000,1,1),Bookings!B787&lt;=DATE(2100,12,31)),Bookings!B787,0),IF(AND(A787&lt;&gt;"",LEN("x"&amp;B787)-LEN(SUBSTITUTE("x"&amp;B787,".",""))=2,OR(1&gt;LEN(B787),MID(B787,1,1)=".",ISNUMBER(FIND("x"&amp;MID(B787,1,1),"x0x1x2x3x4x5x6x7x8x9"))),OR(2&gt;LEN(B787),MID(B787,2,1)=".",ISNUMBER(FIND("x"&amp;MID(B787,2,1),"x0x1x2x3x4x5x6x7x8x9"))),OR(3&gt;LEN(B787),MID(B787,3,1)=".",ISNUMBER(FIND("x"&amp;MID(B787,3,1),"x0x1x2x3x4x5x6x7x8x9"))),OR(4&gt;LEN(B787),MID(B787,4,1)=".",ISNUMBER(FIND("x"&amp;MID(B787,4,1),"x0x1x2x3x4x5x6x7x8x9"))),OR(5&gt;LEN(B787),MID(B787,5,1)=".",ISNUMBER(FIND("x"&amp;MID(B787,5,1),"x0x1x2x3x4x5x6x7x8x9"))),OR(6&gt;LEN(B787),MID(B787,6,1)=".",ISNUMBER(FIND("x"&amp;MID(B787,6,1),"x0x1x2x3x4x5x6x7x8x9"))),OR(7&gt;LEN(B787),MID(B787,7,1)=".",ISNUMBER(FIND("x"&amp;MID(B787,7,1),"x0x1x2x3x4x5x6x7x8x9"))),OR(8&gt;LEN(B787),MID(B787,8,1)=".",ISNUMBER(FIND("x"&amp;MID(B787,8,1),"x0x1x2x3x4x5x6x7x8x9"))),OR(9&gt;LEN(B787),MID(B787,9,1)=".",ISNUMBER(FIND("x"&amp;MID(B787,9,1),"x0x1x2x3x4x5x6x7x8x9"))),OR(10&gt;LEN(B787),MID(B787,10,1)=".",ISNUMBER(FIND("x"&amp;MID(B787,10,1),"x0x1x2x3x4x5x6x7x8x9"))),OR(AND(FIND(".",B787)=5,LEN(B787)-FIND(".",B787,FIND(".",B787)+1)&gt;=1,LEN(B787)-FIND(".",B787,FIND(".",B787)+1)&lt;=2),AND(LEN(B787)-FIND(".",B787,FIND(".",B787)+1)=4,FIND(".",B787)&gt;=2,FIND(".",B787)&lt;=3)),FIND(".",B787,FIND(".",B787)+1)-FIND(".",B787)&gt;=2,FIND(".",B787,FIND(".",B787)+1)-FIND(".",B787)&lt;=3,F787&gt;=2000,F787&lt;=2100,YEAR(I787)=F787,MONTH(I787)=G787,DAY(I787)=H787),I787,0)),0)</ns0:f>
        <ns0:v>0</ns0:v>
      </ns0:c>
      <ns0:c r="K787" s="0">
        <ns0:f>IFERROR(IF(ISNUMBER(Bookings!D787),"",TRIM(Bookings!D787&amp;"")),"")</ns0:f>
      </ns0:c>
      <ns0:c r="L787" s="0">
        <ns0:f>IFERROR(SUBSTITUTE(SUBSTITUTE(K787,"/","."),"-","."),"")</ns0:f>
      </ns0:c>
      <ns0:c r="M787" s="0">
        <ns0:f>IFERROR(LEFT(L787,FIND(".",L787)-1),"")</ns0:f>
      </ns0:c>
      <ns0:c r="N787" s="0">
        <ns0:f>IFERROR(MID(L787,FIND(".",L787)+1,FIND(".",L787,FIND(".",L787)+1)-FIND(".",L787)-1),"")</ns0:f>
      </ns0:c>
      <ns0:c r="O787" s="0">
        <ns0:f>IFERROR(MID(L787,FIND(".",L787,FIND(".",L787)+1)+1,99),"")</ns0:f>
        <ns0:v>99</ns0:v>
      </ns0:c>
      <ns0:c r="P787" s="0">
        <ns0:f>IFERROR(IF(FIND(".",L787)=5,--M787,--O787),0)</ns0:f>
        <ns0:v>0</ns0:v>
      </ns0:c>
      <ns0:c r="Q787" s="0">
        <ns0:f>IFERROR(--N787,0)</ns0:f>
        <ns0:v>0</ns0:v>
      </ns0:c>
      <ns0:c r="R787" s="0">
        <ns0:f>IFERROR(IF(FIND(".",L787)=5,--O787,--M787),0)</ns0:f>
        <ns0:v>0</ns0:v>
      </ns0:c>
      <ns0:c r="S787" s="0">
        <ns0:f>IFERROR(IF(AND(P787&gt;=2000,P787&lt;=2100,Q787&gt;=1,Q787&lt;=12,R787&gt;=1,R787&lt;=31),DATE(P787,Q787,R787),0),0)</ns0:f>
        <ns0:v>0</ns0:v>
      </ns0:c>
      <ns0:c r="T787" s="0">
        <ns0:f>IFERROR(IF(ISNUMBER(Bookings!D787),IF(AND(Bookings!D787=INT(Bookings!D787),Bookings!D787&gt;=DATE(2000,1,1),Bookings!D787&lt;=DATE(2100,12,31)),Bookings!D787,0),IF(AND(K787&lt;&gt;"",LEN("x"&amp;L787)-LEN(SUBSTITUTE("x"&amp;L787,".",""))=2,OR(1&gt;LEN(L787),MID(L787,1,1)=".",ISNUMBER(FIND("x"&amp;MID(L787,1,1),"x0x1x2x3x4x5x6x7x8x9"))),OR(2&gt;LEN(L787),MID(L787,2,1)=".",ISNUMBER(FIND("x"&amp;MID(L787,2,1),"x0x1x2x3x4x5x6x7x8x9"))),OR(3&gt;LEN(L787),MID(L787,3,1)=".",ISNUMBER(FIND("x"&amp;MID(L787,3,1),"x0x1x2x3x4x5x6x7x8x9"))),OR(4&gt;LEN(L787),MID(L787,4,1)=".",ISNUMBER(FIND("x"&amp;MID(L787,4,1),"x0x1x2x3x4x5x6x7x8x9"))),OR(5&gt;LEN(L787),MID(L787,5,1)=".",ISNUMBER(FIND("x"&amp;MID(L787,5,1),"x0x1x2x3x4x5x6x7x8x9"))),OR(6&gt;LEN(L787),MID(L787,6,1)=".",ISNUMBER(FIND("x"&amp;MID(L787,6,1),"x0x1x2x3x4x5x6x7x8x9"))),OR(7&gt;LEN(L787),MID(L787,7,1)=".",ISNUMBER(FIND("x"&amp;MID(L787,7,1),"x0x1x2x3x4x5x6x7x8x9"))),OR(8&gt;LEN(L787),MID(L787,8,1)=".",ISNUMBER(FIND("x"&amp;MID(L787,8,1),"x0x1x2x3x4x5x6x7x8x9"))),OR(9&gt;LEN(L787),MID(L787,9,1)=".",ISNUMBER(FIND("x"&amp;MID(L787,9,1),"x0x1x2x3x4x5x6x7x8x9"))),OR(10&gt;LEN(L787),MID(L787,10,1)=".",ISNUMBER(FIND("x"&amp;MID(L787,10,1),"x0x1x2x3x4x5x6x7x8x9"))),OR(AND(FIND(".",L787)=5,LEN(L787)-FIND(".",L787,FIND(".",L787)+1)&gt;=1,LEN(L787)-FIND(".",L787,FIND(".",L787)+1)&lt;=2),AND(LEN(L787)-FIND(".",L787,FIND(".",L787)+1)=4,FIND(".",L787)&gt;=2,FIND(".",L787)&lt;=3)),FIND(".",L787,FIND(".",L787)+1)-FIND(".",L787)&gt;=2,FIND(".",L787,FIND(".",L787)+1)-FIND(".",L787)&lt;=3,P787&gt;=2000,P787&lt;=2100,YEAR(S787)=P787,MONTH(S787)=Q787,DAY(S787)=R787),S787,0)),0)</ns0:f>
        <ns0:v>0</ns0:v>
      </ns0:c>
      <ns0:c r="U787" s="0" t="str">
        <ns0:f>IF(Bookings!C787="","Full day",Bookings!C787)</ns0:f>
        <ns0:v>Full day</ns0:v>
      </ns0:c>
      <ns0:c r="V787" s="0" t="str">
        <ns0:f>IF(Bookings!E787="","Full day",Bookings!E787)</ns0:f>
        <ns0:v>Full day</ns0:v>
      </ns0:c>
      <ns0:c r="W787" s="0">
        <ns0:f>IF(J787=0,0,J787+IF(U787="PM",1,0))</ns0:f>
        <ns0:v>0</ns0:v>
      </ns0:c>
      <ns0:c r="X787" s="0">
        <ns0:f>IF(T787=0,0,T787-IF(V787="PM",1,0))</ns0:f>
        <ns0:v>0</ns0:v>
      </ns0:c>
      <ns0:c r="Y787" s="0">
        <ns0:f>IF(J787=0,0,J787+IF(U787="AM",1,0))</ns0:f>
        <ns0:v>0</ns0:v>
      </ns0:c>
      <ns0:c r="Z787" s="0">
        <ns0:f>IF(T787=0,0,T787-IF(V787="AM",1,0))</ns0:f>
        <ns0:v>0</ns0:v>
      </ns0:c>
      <ns0:c r="AA787" s="0">
        <ns0:f>IFERROR(IF(AND(J787&gt;0,'_Engine'!C787&gt;0,MID('_Engine'!W787,WEEKDAY(J787,2),1)="W",COUNTIF(Settings!$F$18:$F$67,J787)=0),1,0),0)</ns0:f>
        <ns0:v>0</ns0:v>
      </ns0:c>
      <ns0:c r="AB787" s="0">
        <ns0:f>IFERROR(IF(AND(T787&gt;0,'_Engine'!C787&gt;0,MID('_Engine'!W787,WEEKDAY(T787,2),1)="W",COUNTIF(Settings!$F$18:$F$67,T787)=0),1,0),0)</ns0:f>
        <ns0:v>0</ns0:v>
      </ns0:c>
      <ns0:c r="AC787" s="0">
        <ns0:f>IF(AND(J787&gt;0,T787&gt;0,W787&lt;=X787),1,0)</ns0:f>
        <ns0:v>0</ns0:v>
      </ns0:c>
      <ns0:c r="AD787" s="0">
        <ns0:f>IF(AND(J787&gt;0,T787&gt;0,Y787&lt;=Z787),1,0)</ns0:f>
        <ns0:v>0</ns0:v>
      </ns0:c>
    </ns0:row>
    <ns0:row r="788">
      <ns0:c r="A788" s="0">
        <ns0:f>IFERROR(IF(ISNUMBER(Bookings!B788),"",TRIM(Bookings!B788&amp;"")),"")</ns0:f>
      </ns0:c>
      <ns0:c r="B788" s="0">
        <ns0:f>IFERROR(SUBSTITUTE(SUBSTITUTE(A788,"/","."),"-","."),"")</ns0:f>
      </ns0:c>
      <ns0:c r="C788" s="0">
        <ns0:f>IFERROR(LEFT(B788,FIND(".",B788)-1),"")</ns0:f>
      </ns0:c>
      <ns0:c r="D788" s="0">
        <ns0:f>IFERROR(MID(B788,FIND(".",B788)+1,FIND(".",B788,FIND(".",B788)+1)-FIND(".",B788)-1),"")</ns0:f>
      </ns0:c>
      <ns0:c r="E788" s="0">
        <ns0:f>IFERROR(MID(B788,FIND(".",B788,FIND(".",B788)+1)+1,99),"")</ns0:f>
        <ns0:v>99</ns0:v>
      </ns0:c>
      <ns0:c r="F788" s="0">
        <ns0:f>IFERROR(IF(FIND(".",B788)=5,--C788,--E788),0)</ns0:f>
        <ns0:v>0</ns0:v>
      </ns0:c>
      <ns0:c r="G788" s="0">
        <ns0:f>IFERROR(--D788,0)</ns0:f>
        <ns0:v>0</ns0:v>
      </ns0:c>
      <ns0:c r="H788" s="0">
        <ns0:f>IFERROR(IF(FIND(".",B788)=5,--E788,--C788),0)</ns0:f>
        <ns0:v>0</ns0:v>
      </ns0:c>
      <ns0:c r="I788" s="0">
        <ns0:f>IFERROR(IF(AND(F788&gt;=2000,F788&lt;=2100,G788&gt;=1,G788&lt;=12,H788&gt;=1,H788&lt;=31),DATE(F788,G788,H788),0),0)</ns0:f>
        <ns0:v>0</ns0:v>
      </ns0:c>
      <ns0:c r="J788" s="0">
        <ns0:f>IFERROR(IF(ISNUMBER(Bookings!B788),IF(AND(Bookings!B788=INT(Bookings!B788),Bookings!B788&gt;=DATE(2000,1,1),Bookings!B788&lt;=DATE(2100,12,31)),Bookings!B788,0),IF(AND(A788&lt;&gt;"",LEN("x"&amp;B788)-LEN(SUBSTITUTE("x"&amp;B788,".",""))=2,OR(1&gt;LEN(B788),MID(B788,1,1)=".",ISNUMBER(FIND("x"&amp;MID(B788,1,1),"x0x1x2x3x4x5x6x7x8x9"))),OR(2&gt;LEN(B788),MID(B788,2,1)=".",ISNUMBER(FIND("x"&amp;MID(B788,2,1),"x0x1x2x3x4x5x6x7x8x9"))),OR(3&gt;LEN(B788),MID(B788,3,1)=".",ISNUMBER(FIND("x"&amp;MID(B788,3,1),"x0x1x2x3x4x5x6x7x8x9"))),OR(4&gt;LEN(B788),MID(B788,4,1)=".",ISNUMBER(FIND("x"&amp;MID(B788,4,1),"x0x1x2x3x4x5x6x7x8x9"))),OR(5&gt;LEN(B788),MID(B788,5,1)=".",ISNUMBER(FIND("x"&amp;MID(B788,5,1),"x0x1x2x3x4x5x6x7x8x9"))),OR(6&gt;LEN(B788),MID(B788,6,1)=".",ISNUMBER(FIND("x"&amp;MID(B788,6,1),"x0x1x2x3x4x5x6x7x8x9"))),OR(7&gt;LEN(B788),MID(B788,7,1)=".",ISNUMBER(FIND("x"&amp;MID(B788,7,1),"x0x1x2x3x4x5x6x7x8x9"))),OR(8&gt;LEN(B788),MID(B788,8,1)=".",ISNUMBER(FIND("x"&amp;MID(B788,8,1),"x0x1x2x3x4x5x6x7x8x9"))),OR(9&gt;LEN(B788),MID(B788,9,1)=".",ISNUMBER(FIND("x"&amp;MID(B788,9,1),"x0x1x2x3x4x5x6x7x8x9"))),OR(10&gt;LEN(B788),MID(B788,10,1)=".",ISNUMBER(FIND("x"&amp;MID(B788,10,1),"x0x1x2x3x4x5x6x7x8x9"))),OR(AND(FIND(".",B788)=5,LEN(B788)-FIND(".",B788,FIND(".",B788)+1)&gt;=1,LEN(B788)-FIND(".",B788,FIND(".",B788)+1)&lt;=2),AND(LEN(B788)-FIND(".",B788,FIND(".",B788)+1)=4,FIND(".",B788)&gt;=2,FIND(".",B788)&lt;=3)),FIND(".",B788,FIND(".",B788)+1)-FIND(".",B788)&gt;=2,FIND(".",B788,FIND(".",B788)+1)-FIND(".",B788)&lt;=3,F788&gt;=2000,F788&lt;=2100,YEAR(I788)=F788,MONTH(I788)=G788,DAY(I788)=H788),I788,0)),0)</ns0:f>
        <ns0:v>0</ns0:v>
      </ns0:c>
      <ns0:c r="K788" s="0">
        <ns0:f>IFERROR(IF(ISNUMBER(Bookings!D788),"",TRIM(Bookings!D788&amp;"")),"")</ns0:f>
      </ns0:c>
      <ns0:c r="L788" s="0">
        <ns0:f>IFERROR(SUBSTITUTE(SUBSTITUTE(K788,"/","."),"-","."),"")</ns0:f>
      </ns0:c>
      <ns0:c r="M788" s="0">
        <ns0:f>IFERROR(LEFT(L788,FIND(".",L788)-1),"")</ns0:f>
      </ns0:c>
      <ns0:c r="N788" s="0">
        <ns0:f>IFERROR(MID(L788,FIND(".",L788)+1,FIND(".",L788,FIND(".",L788)+1)-FIND(".",L788)-1),"")</ns0:f>
      </ns0:c>
      <ns0:c r="O788" s="0">
        <ns0:f>IFERROR(MID(L788,FIND(".",L788,FIND(".",L788)+1)+1,99),"")</ns0:f>
        <ns0:v>99</ns0:v>
      </ns0:c>
      <ns0:c r="P788" s="0">
        <ns0:f>IFERROR(IF(FIND(".",L788)=5,--M788,--O788),0)</ns0:f>
        <ns0:v>0</ns0:v>
      </ns0:c>
      <ns0:c r="Q788" s="0">
        <ns0:f>IFERROR(--N788,0)</ns0:f>
        <ns0:v>0</ns0:v>
      </ns0:c>
      <ns0:c r="R788" s="0">
        <ns0:f>IFERROR(IF(FIND(".",L788)=5,--O788,--M788),0)</ns0:f>
        <ns0:v>0</ns0:v>
      </ns0:c>
      <ns0:c r="S788" s="0">
        <ns0:f>IFERROR(IF(AND(P788&gt;=2000,P788&lt;=2100,Q788&gt;=1,Q788&lt;=12,R788&gt;=1,R788&lt;=31),DATE(P788,Q788,R788),0),0)</ns0:f>
        <ns0:v>0</ns0:v>
      </ns0:c>
      <ns0:c r="T788" s="0">
        <ns0:f>IFERROR(IF(ISNUMBER(Bookings!D788),IF(AND(Bookings!D788=INT(Bookings!D788),Bookings!D788&gt;=DATE(2000,1,1),Bookings!D788&lt;=DATE(2100,12,31)),Bookings!D788,0),IF(AND(K788&lt;&gt;"",LEN("x"&amp;L788)-LEN(SUBSTITUTE("x"&amp;L788,".",""))=2,OR(1&gt;LEN(L788),MID(L788,1,1)=".",ISNUMBER(FIND("x"&amp;MID(L788,1,1),"x0x1x2x3x4x5x6x7x8x9"))),OR(2&gt;LEN(L788),MID(L788,2,1)=".",ISNUMBER(FIND("x"&amp;MID(L788,2,1),"x0x1x2x3x4x5x6x7x8x9"))),OR(3&gt;LEN(L788),MID(L788,3,1)=".",ISNUMBER(FIND("x"&amp;MID(L788,3,1),"x0x1x2x3x4x5x6x7x8x9"))),OR(4&gt;LEN(L788),MID(L788,4,1)=".",ISNUMBER(FIND("x"&amp;MID(L788,4,1),"x0x1x2x3x4x5x6x7x8x9"))),OR(5&gt;LEN(L788),MID(L788,5,1)=".",ISNUMBER(FIND("x"&amp;MID(L788,5,1),"x0x1x2x3x4x5x6x7x8x9"))),OR(6&gt;LEN(L788),MID(L788,6,1)=".",ISNUMBER(FIND("x"&amp;MID(L788,6,1),"x0x1x2x3x4x5x6x7x8x9"))),OR(7&gt;LEN(L788),MID(L788,7,1)=".",ISNUMBER(FIND("x"&amp;MID(L788,7,1),"x0x1x2x3x4x5x6x7x8x9"))),OR(8&gt;LEN(L788),MID(L788,8,1)=".",ISNUMBER(FIND("x"&amp;MID(L788,8,1),"x0x1x2x3x4x5x6x7x8x9"))),OR(9&gt;LEN(L788),MID(L788,9,1)=".",ISNUMBER(FIND("x"&amp;MID(L788,9,1),"x0x1x2x3x4x5x6x7x8x9"))),OR(10&gt;LEN(L788),MID(L788,10,1)=".",ISNUMBER(FIND("x"&amp;MID(L788,10,1),"x0x1x2x3x4x5x6x7x8x9"))),OR(AND(FIND(".",L788)=5,LEN(L788)-FIND(".",L788,FIND(".",L788)+1)&gt;=1,LEN(L788)-FIND(".",L788,FIND(".",L788)+1)&lt;=2),AND(LEN(L788)-FIND(".",L788,FIND(".",L788)+1)=4,FIND(".",L788)&gt;=2,FIND(".",L788)&lt;=3)),FIND(".",L788,FIND(".",L788)+1)-FIND(".",L788)&gt;=2,FIND(".",L788,FIND(".",L788)+1)-FIND(".",L788)&lt;=3,P788&gt;=2000,P788&lt;=2100,YEAR(S788)=P788,MONTH(S788)=Q788,DAY(S788)=R788),S788,0)),0)</ns0:f>
        <ns0:v>0</ns0:v>
      </ns0:c>
      <ns0:c r="U788" s="0" t="str">
        <ns0:f>IF(Bookings!C788="","Full day",Bookings!C788)</ns0:f>
        <ns0:v>Full day</ns0:v>
      </ns0:c>
      <ns0:c r="V788" s="0" t="str">
        <ns0:f>IF(Bookings!E788="","Full day",Bookings!E788)</ns0:f>
        <ns0:v>Full day</ns0:v>
      </ns0:c>
      <ns0:c r="W788" s="0">
        <ns0:f>IF(J788=0,0,J788+IF(U788="PM",1,0))</ns0:f>
        <ns0:v>0</ns0:v>
      </ns0:c>
      <ns0:c r="X788" s="0">
        <ns0:f>IF(T788=0,0,T788-IF(V788="PM",1,0))</ns0:f>
        <ns0:v>0</ns0:v>
      </ns0:c>
      <ns0:c r="Y788" s="0">
        <ns0:f>IF(J788=0,0,J788+IF(U788="AM",1,0))</ns0:f>
        <ns0:v>0</ns0:v>
      </ns0:c>
      <ns0:c r="Z788" s="0">
        <ns0:f>IF(T788=0,0,T788-IF(V788="AM",1,0))</ns0:f>
        <ns0:v>0</ns0:v>
      </ns0:c>
      <ns0:c r="AA788" s="0">
        <ns0:f>IFERROR(IF(AND(J788&gt;0,'_Engine'!C788&gt;0,MID('_Engine'!W788,WEEKDAY(J788,2),1)="W",COUNTIF(Settings!$F$18:$F$67,J788)=0),1,0),0)</ns0:f>
        <ns0:v>0</ns0:v>
      </ns0:c>
      <ns0:c r="AB788" s="0">
        <ns0:f>IFERROR(IF(AND(T788&gt;0,'_Engine'!C788&gt;0,MID('_Engine'!W788,WEEKDAY(T788,2),1)="W",COUNTIF(Settings!$F$18:$F$67,T788)=0),1,0),0)</ns0:f>
        <ns0:v>0</ns0:v>
      </ns0:c>
      <ns0:c r="AC788" s="0">
        <ns0:f>IF(AND(J788&gt;0,T788&gt;0,W788&lt;=X788),1,0)</ns0:f>
        <ns0:v>0</ns0:v>
      </ns0:c>
      <ns0:c r="AD788" s="0">
        <ns0:f>IF(AND(J788&gt;0,T788&gt;0,Y788&lt;=Z788),1,0)</ns0:f>
        <ns0:v>0</ns0:v>
      </ns0:c>
    </ns0:row>
    <ns0:row r="789">
      <ns0:c r="A789" s="0">
        <ns0:f>IFERROR(IF(ISNUMBER(Bookings!B789),"",TRIM(Bookings!B789&amp;"")),"")</ns0:f>
      </ns0:c>
      <ns0:c r="B789" s="0">
        <ns0:f>IFERROR(SUBSTITUTE(SUBSTITUTE(A789,"/","."),"-","."),"")</ns0:f>
      </ns0:c>
      <ns0:c r="C789" s="0">
        <ns0:f>IFERROR(LEFT(B789,FIND(".",B789)-1),"")</ns0:f>
      </ns0:c>
      <ns0:c r="D789" s="0">
        <ns0:f>IFERROR(MID(B789,FIND(".",B789)+1,FIND(".",B789,FIND(".",B789)+1)-FIND(".",B789)-1),"")</ns0:f>
      </ns0:c>
      <ns0:c r="E789" s="0">
        <ns0:f>IFERROR(MID(B789,FIND(".",B789,FIND(".",B789)+1)+1,99),"")</ns0:f>
        <ns0:v>99</ns0:v>
      </ns0:c>
      <ns0:c r="F789" s="0">
        <ns0:f>IFERROR(IF(FIND(".",B789)=5,--C789,--E789),0)</ns0:f>
        <ns0:v>0</ns0:v>
      </ns0:c>
      <ns0:c r="G789" s="0">
        <ns0:f>IFERROR(--D789,0)</ns0:f>
        <ns0:v>0</ns0:v>
      </ns0:c>
      <ns0:c r="H789" s="0">
        <ns0:f>IFERROR(IF(FIND(".",B789)=5,--E789,--C789),0)</ns0:f>
        <ns0:v>0</ns0:v>
      </ns0:c>
      <ns0:c r="I789" s="0">
        <ns0:f>IFERROR(IF(AND(F789&gt;=2000,F789&lt;=2100,G789&gt;=1,G789&lt;=12,H789&gt;=1,H789&lt;=31),DATE(F789,G789,H789),0),0)</ns0:f>
        <ns0:v>0</ns0:v>
      </ns0:c>
      <ns0:c r="J789" s="0">
        <ns0:f>IFERROR(IF(ISNUMBER(Bookings!B789),IF(AND(Bookings!B789=INT(Bookings!B789),Bookings!B789&gt;=DATE(2000,1,1),Bookings!B789&lt;=DATE(2100,12,31)),Bookings!B789,0),IF(AND(A789&lt;&gt;"",LEN("x"&amp;B789)-LEN(SUBSTITUTE("x"&amp;B789,".",""))=2,OR(1&gt;LEN(B789),MID(B789,1,1)=".",ISNUMBER(FIND("x"&amp;MID(B789,1,1),"x0x1x2x3x4x5x6x7x8x9"))),OR(2&gt;LEN(B789),MID(B789,2,1)=".",ISNUMBER(FIND("x"&amp;MID(B789,2,1),"x0x1x2x3x4x5x6x7x8x9"))),OR(3&gt;LEN(B789),MID(B789,3,1)=".",ISNUMBER(FIND("x"&amp;MID(B789,3,1),"x0x1x2x3x4x5x6x7x8x9"))),OR(4&gt;LEN(B789),MID(B789,4,1)=".",ISNUMBER(FIND("x"&amp;MID(B789,4,1),"x0x1x2x3x4x5x6x7x8x9"))),OR(5&gt;LEN(B789),MID(B789,5,1)=".",ISNUMBER(FIND("x"&amp;MID(B789,5,1),"x0x1x2x3x4x5x6x7x8x9"))),OR(6&gt;LEN(B789),MID(B789,6,1)=".",ISNUMBER(FIND("x"&amp;MID(B789,6,1),"x0x1x2x3x4x5x6x7x8x9"))),OR(7&gt;LEN(B789),MID(B789,7,1)=".",ISNUMBER(FIND("x"&amp;MID(B789,7,1),"x0x1x2x3x4x5x6x7x8x9"))),OR(8&gt;LEN(B789),MID(B789,8,1)=".",ISNUMBER(FIND("x"&amp;MID(B789,8,1),"x0x1x2x3x4x5x6x7x8x9"))),OR(9&gt;LEN(B789),MID(B789,9,1)=".",ISNUMBER(FIND("x"&amp;MID(B789,9,1),"x0x1x2x3x4x5x6x7x8x9"))),OR(10&gt;LEN(B789),MID(B789,10,1)=".",ISNUMBER(FIND("x"&amp;MID(B789,10,1),"x0x1x2x3x4x5x6x7x8x9"))),OR(AND(FIND(".",B789)=5,LEN(B789)-FIND(".",B789,FIND(".",B789)+1)&gt;=1,LEN(B789)-FIND(".",B789,FIND(".",B789)+1)&lt;=2),AND(LEN(B789)-FIND(".",B789,FIND(".",B789)+1)=4,FIND(".",B789)&gt;=2,FIND(".",B789)&lt;=3)),FIND(".",B789,FIND(".",B789)+1)-FIND(".",B789)&gt;=2,FIND(".",B789,FIND(".",B789)+1)-FIND(".",B789)&lt;=3,F789&gt;=2000,F789&lt;=2100,YEAR(I789)=F789,MONTH(I789)=G789,DAY(I789)=H789),I789,0)),0)</ns0:f>
        <ns0:v>0</ns0:v>
      </ns0:c>
      <ns0:c r="K789" s="0">
        <ns0:f>IFERROR(IF(ISNUMBER(Bookings!D789),"",TRIM(Bookings!D789&amp;"")),"")</ns0:f>
      </ns0:c>
      <ns0:c r="L789" s="0">
        <ns0:f>IFERROR(SUBSTITUTE(SUBSTITUTE(K789,"/","."),"-","."),"")</ns0:f>
      </ns0:c>
      <ns0:c r="M789" s="0">
        <ns0:f>IFERROR(LEFT(L789,FIND(".",L789)-1),"")</ns0:f>
      </ns0:c>
      <ns0:c r="N789" s="0">
        <ns0:f>IFERROR(MID(L789,FIND(".",L789)+1,FIND(".",L789,FIND(".",L789)+1)-FIND(".",L789)-1),"")</ns0:f>
      </ns0:c>
      <ns0:c r="O789" s="0">
        <ns0:f>IFERROR(MID(L789,FIND(".",L789,FIND(".",L789)+1)+1,99),"")</ns0:f>
        <ns0:v>99</ns0:v>
      </ns0:c>
      <ns0:c r="P789" s="0">
        <ns0:f>IFERROR(IF(FIND(".",L789)=5,--M789,--O789),0)</ns0:f>
        <ns0:v>0</ns0:v>
      </ns0:c>
      <ns0:c r="Q789" s="0">
        <ns0:f>IFERROR(--N789,0)</ns0:f>
        <ns0:v>0</ns0:v>
      </ns0:c>
      <ns0:c r="R789" s="0">
        <ns0:f>IFERROR(IF(FIND(".",L789)=5,--O789,--M789),0)</ns0:f>
        <ns0:v>0</ns0:v>
      </ns0:c>
      <ns0:c r="S789" s="0">
        <ns0:f>IFERROR(IF(AND(P789&gt;=2000,P789&lt;=2100,Q789&gt;=1,Q789&lt;=12,R789&gt;=1,R789&lt;=31),DATE(P789,Q789,R789),0),0)</ns0:f>
        <ns0:v>0</ns0:v>
      </ns0:c>
      <ns0:c r="T789" s="0">
        <ns0:f>IFERROR(IF(ISNUMBER(Bookings!D789),IF(AND(Bookings!D789=INT(Bookings!D789),Bookings!D789&gt;=DATE(2000,1,1),Bookings!D789&lt;=DATE(2100,12,31)),Bookings!D789,0),IF(AND(K789&lt;&gt;"",LEN("x"&amp;L789)-LEN(SUBSTITUTE("x"&amp;L789,".",""))=2,OR(1&gt;LEN(L789),MID(L789,1,1)=".",ISNUMBER(FIND("x"&amp;MID(L789,1,1),"x0x1x2x3x4x5x6x7x8x9"))),OR(2&gt;LEN(L789),MID(L789,2,1)=".",ISNUMBER(FIND("x"&amp;MID(L789,2,1),"x0x1x2x3x4x5x6x7x8x9"))),OR(3&gt;LEN(L789),MID(L789,3,1)=".",ISNUMBER(FIND("x"&amp;MID(L789,3,1),"x0x1x2x3x4x5x6x7x8x9"))),OR(4&gt;LEN(L789),MID(L789,4,1)=".",ISNUMBER(FIND("x"&amp;MID(L789,4,1),"x0x1x2x3x4x5x6x7x8x9"))),OR(5&gt;LEN(L789),MID(L789,5,1)=".",ISNUMBER(FIND("x"&amp;MID(L789,5,1),"x0x1x2x3x4x5x6x7x8x9"))),OR(6&gt;LEN(L789),MID(L789,6,1)=".",ISNUMBER(FIND("x"&amp;MID(L789,6,1),"x0x1x2x3x4x5x6x7x8x9"))),OR(7&gt;LEN(L789),MID(L789,7,1)=".",ISNUMBER(FIND("x"&amp;MID(L789,7,1),"x0x1x2x3x4x5x6x7x8x9"))),OR(8&gt;LEN(L789),MID(L789,8,1)=".",ISNUMBER(FIND("x"&amp;MID(L789,8,1),"x0x1x2x3x4x5x6x7x8x9"))),OR(9&gt;LEN(L789),MID(L789,9,1)=".",ISNUMBER(FIND("x"&amp;MID(L789,9,1),"x0x1x2x3x4x5x6x7x8x9"))),OR(10&gt;LEN(L789),MID(L789,10,1)=".",ISNUMBER(FIND("x"&amp;MID(L789,10,1),"x0x1x2x3x4x5x6x7x8x9"))),OR(AND(FIND(".",L789)=5,LEN(L789)-FIND(".",L789,FIND(".",L789)+1)&gt;=1,LEN(L789)-FIND(".",L789,FIND(".",L789)+1)&lt;=2),AND(LEN(L789)-FIND(".",L789,FIND(".",L789)+1)=4,FIND(".",L789)&gt;=2,FIND(".",L789)&lt;=3)),FIND(".",L789,FIND(".",L789)+1)-FIND(".",L789)&gt;=2,FIND(".",L789,FIND(".",L789)+1)-FIND(".",L789)&lt;=3,P789&gt;=2000,P789&lt;=2100,YEAR(S789)=P789,MONTH(S789)=Q789,DAY(S789)=R789),S789,0)),0)</ns0:f>
        <ns0:v>0</ns0:v>
      </ns0:c>
      <ns0:c r="U789" s="0" t="str">
        <ns0:f>IF(Bookings!C789="","Full day",Bookings!C789)</ns0:f>
        <ns0:v>Full day</ns0:v>
      </ns0:c>
      <ns0:c r="V789" s="0" t="str">
        <ns0:f>IF(Bookings!E789="","Full day",Bookings!E789)</ns0:f>
        <ns0:v>Full day</ns0:v>
      </ns0:c>
      <ns0:c r="W789" s="0">
        <ns0:f>IF(J789=0,0,J789+IF(U789="PM",1,0))</ns0:f>
        <ns0:v>0</ns0:v>
      </ns0:c>
      <ns0:c r="X789" s="0">
        <ns0:f>IF(T789=0,0,T789-IF(V789="PM",1,0))</ns0:f>
        <ns0:v>0</ns0:v>
      </ns0:c>
      <ns0:c r="Y789" s="0">
        <ns0:f>IF(J789=0,0,J789+IF(U789="AM",1,0))</ns0:f>
        <ns0:v>0</ns0:v>
      </ns0:c>
      <ns0:c r="Z789" s="0">
        <ns0:f>IF(T789=0,0,T789-IF(V789="AM",1,0))</ns0:f>
        <ns0:v>0</ns0:v>
      </ns0:c>
      <ns0:c r="AA789" s="0">
        <ns0:f>IFERROR(IF(AND(J789&gt;0,'_Engine'!C789&gt;0,MID('_Engine'!W789,WEEKDAY(J789,2),1)="W",COUNTIF(Settings!$F$18:$F$67,J789)=0),1,0),0)</ns0:f>
        <ns0:v>0</ns0:v>
      </ns0:c>
      <ns0:c r="AB789" s="0">
        <ns0:f>IFERROR(IF(AND(T789&gt;0,'_Engine'!C789&gt;0,MID('_Engine'!W789,WEEKDAY(T789,2),1)="W",COUNTIF(Settings!$F$18:$F$67,T789)=0),1,0),0)</ns0:f>
        <ns0:v>0</ns0:v>
      </ns0:c>
      <ns0:c r="AC789" s="0">
        <ns0:f>IF(AND(J789&gt;0,T789&gt;0,W789&lt;=X789),1,0)</ns0:f>
        <ns0:v>0</ns0:v>
      </ns0:c>
      <ns0:c r="AD789" s="0">
        <ns0:f>IF(AND(J789&gt;0,T789&gt;0,Y789&lt;=Z789),1,0)</ns0:f>
        <ns0:v>0</ns0:v>
      </ns0:c>
    </ns0:row>
    <ns0:row r="790">
      <ns0:c r="A790" s="0">
        <ns0:f>IFERROR(IF(ISNUMBER(Bookings!B790),"",TRIM(Bookings!B790&amp;"")),"")</ns0:f>
      </ns0:c>
      <ns0:c r="B790" s="0">
        <ns0:f>IFERROR(SUBSTITUTE(SUBSTITUTE(A790,"/","."),"-","."),"")</ns0:f>
      </ns0:c>
      <ns0:c r="C790" s="0">
        <ns0:f>IFERROR(LEFT(B790,FIND(".",B790)-1),"")</ns0:f>
      </ns0:c>
      <ns0:c r="D790" s="0">
        <ns0:f>IFERROR(MID(B790,FIND(".",B790)+1,FIND(".",B790,FIND(".",B790)+1)-FIND(".",B790)-1),"")</ns0:f>
      </ns0:c>
      <ns0:c r="E790" s="0">
        <ns0:f>IFERROR(MID(B790,FIND(".",B790,FIND(".",B790)+1)+1,99),"")</ns0:f>
        <ns0:v>99</ns0:v>
      </ns0:c>
      <ns0:c r="F790" s="0">
        <ns0:f>IFERROR(IF(FIND(".",B790)=5,--C790,--E790),0)</ns0:f>
        <ns0:v>0</ns0:v>
      </ns0:c>
      <ns0:c r="G790" s="0">
        <ns0:f>IFERROR(--D790,0)</ns0:f>
        <ns0:v>0</ns0:v>
      </ns0:c>
      <ns0:c r="H790" s="0">
        <ns0:f>IFERROR(IF(FIND(".",B790)=5,--E790,--C790),0)</ns0:f>
        <ns0:v>0</ns0:v>
      </ns0:c>
      <ns0:c r="I790" s="0">
        <ns0:f>IFERROR(IF(AND(F790&gt;=2000,F790&lt;=2100,G790&gt;=1,G790&lt;=12,H790&gt;=1,H790&lt;=31),DATE(F790,G790,H790),0),0)</ns0:f>
        <ns0:v>0</ns0:v>
      </ns0:c>
      <ns0:c r="J790" s="0">
        <ns0:f>IFERROR(IF(ISNUMBER(Bookings!B790),IF(AND(Bookings!B790=INT(Bookings!B790),Bookings!B790&gt;=DATE(2000,1,1),Bookings!B790&lt;=DATE(2100,12,31)),Bookings!B790,0),IF(AND(A790&lt;&gt;"",LEN("x"&amp;B790)-LEN(SUBSTITUTE("x"&amp;B790,".",""))=2,OR(1&gt;LEN(B790),MID(B790,1,1)=".",ISNUMBER(FIND("x"&amp;MID(B790,1,1),"x0x1x2x3x4x5x6x7x8x9"))),OR(2&gt;LEN(B790),MID(B790,2,1)=".",ISNUMBER(FIND("x"&amp;MID(B790,2,1),"x0x1x2x3x4x5x6x7x8x9"))),OR(3&gt;LEN(B790),MID(B790,3,1)=".",ISNUMBER(FIND("x"&amp;MID(B790,3,1),"x0x1x2x3x4x5x6x7x8x9"))),OR(4&gt;LEN(B790),MID(B790,4,1)=".",ISNUMBER(FIND("x"&amp;MID(B790,4,1),"x0x1x2x3x4x5x6x7x8x9"))),OR(5&gt;LEN(B790),MID(B790,5,1)=".",ISNUMBER(FIND("x"&amp;MID(B790,5,1),"x0x1x2x3x4x5x6x7x8x9"))),OR(6&gt;LEN(B790),MID(B790,6,1)=".",ISNUMBER(FIND("x"&amp;MID(B790,6,1),"x0x1x2x3x4x5x6x7x8x9"))),OR(7&gt;LEN(B790),MID(B790,7,1)=".",ISNUMBER(FIND("x"&amp;MID(B790,7,1),"x0x1x2x3x4x5x6x7x8x9"))),OR(8&gt;LEN(B790),MID(B790,8,1)=".",ISNUMBER(FIND("x"&amp;MID(B790,8,1),"x0x1x2x3x4x5x6x7x8x9"))),OR(9&gt;LEN(B790),MID(B790,9,1)=".",ISNUMBER(FIND("x"&amp;MID(B790,9,1),"x0x1x2x3x4x5x6x7x8x9"))),OR(10&gt;LEN(B790),MID(B790,10,1)=".",ISNUMBER(FIND("x"&amp;MID(B790,10,1),"x0x1x2x3x4x5x6x7x8x9"))),OR(AND(FIND(".",B790)=5,LEN(B790)-FIND(".",B790,FIND(".",B790)+1)&gt;=1,LEN(B790)-FIND(".",B790,FIND(".",B790)+1)&lt;=2),AND(LEN(B790)-FIND(".",B790,FIND(".",B790)+1)=4,FIND(".",B790)&gt;=2,FIND(".",B790)&lt;=3)),FIND(".",B790,FIND(".",B790)+1)-FIND(".",B790)&gt;=2,FIND(".",B790,FIND(".",B790)+1)-FIND(".",B790)&lt;=3,F790&gt;=2000,F790&lt;=2100,YEAR(I790)=F790,MONTH(I790)=G790,DAY(I790)=H790),I790,0)),0)</ns0:f>
        <ns0:v>0</ns0:v>
      </ns0:c>
      <ns0:c r="K790" s="0">
        <ns0:f>IFERROR(IF(ISNUMBER(Bookings!D790),"",TRIM(Bookings!D790&amp;"")),"")</ns0:f>
      </ns0:c>
      <ns0:c r="L790" s="0">
        <ns0:f>IFERROR(SUBSTITUTE(SUBSTITUTE(K790,"/","."),"-","."),"")</ns0:f>
      </ns0:c>
      <ns0:c r="M790" s="0">
        <ns0:f>IFERROR(LEFT(L790,FIND(".",L790)-1),"")</ns0:f>
      </ns0:c>
      <ns0:c r="N790" s="0">
        <ns0:f>IFERROR(MID(L790,FIND(".",L790)+1,FIND(".",L790,FIND(".",L790)+1)-FIND(".",L790)-1),"")</ns0:f>
      </ns0:c>
      <ns0:c r="O790" s="0">
        <ns0:f>IFERROR(MID(L790,FIND(".",L790,FIND(".",L790)+1)+1,99),"")</ns0:f>
        <ns0:v>99</ns0:v>
      </ns0:c>
      <ns0:c r="P790" s="0">
        <ns0:f>IFERROR(IF(FIND(".",L790)=5,--M790,--O790),0)</ns0:f>
        <ns0:v>0</ns0:v>
      </ns0:c>
      <ns0:c r="Q790" s="0">
        <ns0:f>IFERROR(--N790,0)</ns0:f>
        <ns0:v>0</ns0:v>
      </ns0:c>
      <ns0:c r="R790" s="0">
        <ns0:f>IFERROR(IF(FIND(".",L790)=5,--O790,--M790),0)</ns0:f>
        <ns0:v>0</ns0:v>
      </ns0:c>
      <ns0:c r="S790" s="0">
        <ns0:f>IFERROR(IF(AND(P790&gt;=2000,P790&lt;=2100,Q790&gt;=1,Q790&lt;=12,R790&gt;=1,R790&lt;=31),DATE(P790,Q790,R790),0),0)</ns0:f>
        <ns0:v>0</ns0:v>
      </ns0:c>
      <ns0:c r="T790" s="0">
        <ns0:f>IFERROR(IF(ISNUMBER(Bookings!D790),IF(AND(Bookings!D790=INT(Bookings!D790),Bookings!D790&gt;=DATE(2000,1,1),Bookings!D790&lt;=DATE(2100,12,31)),Bookings!D790,0),IF(AND(K790&lt;&gt;"",LEN("x"&amp;L790)-LEN(SUBSTITUTE("x"&amp;L790,".",""))=2,OR(1&gt;LEN(L790),MID(L790,1,1)=".",ISNUMBER(FIND("x"&amp;MID(L790,1,1),"x0x1x2x3x4x5x6x7x8x9"))),OR(2&gt;LEN(L790),MID(L790,2,1)=".",ISNUMBER(FIND("x"&amp;MID(L790,2,1),"x0x1x2x3x4x5x6x7x8x9"))),OR(3&gt;LEN(L790),MID(L790,3,1)=".",ISNUMBER(FIND("x"&amp;MID(L790,3,1),"x0x1x2x3x4x5x6x7x8x9"))),OR(4&gt;LEN(L790),MID(L790,4,1)=".",ISNUMBER(FIND("x"&amp;MID(L790,4,1),"x0x1x2x3x4x5x6x7x8x9"))),OR(5&gt;LEN(L790),MID(L790,5,1)=".",ISNUMBER(FIND("x"&amp;MID(L790,5,1),"x0x1x2x3x4x5x6x7x8x9"))),OR(6&gt;LEN(L790),MID(L790,6,1)=".",ISNUMBER(FIND("x"&amp;MID(L790,6,1),"x0x1x2x3x4x5x6x7x8x9"))),OR(7&gt;LEN(L790),MID(L790,7,1)=".",ISNUMBER(FIND("x"&amp;MID(L790,7,1),"x0x1x2x3x4x5x6x7x8x9"))),OR(8&gt;LEN(L790),MID(L790,8,1)=".",ISNUMBER(FIND("x"&amp;MID(L790,8,1),"x0x1x2x3x4x5x6x7x8x9"))),OR(9&gt;LEN(L790),MID(L790,9,1)=".",ISNUMBER(FIND("x"&amp;MID(L790,9,1),"x0x1x2x3x4x5x6x7x8x9"))),OR(10&gt;LEN(L790),MID(L790,10,1)=".",ISNUMBER(FIND("x"&amp;MID(L790,10,1),"x0x1x2x3x4x5x6x7x8x9"))),OR(AND(FIND(".",L790)=5,LEN(L790)-FIND(".",L790,FIND(".",L790)+1)&gt;=1,LEN(L790)-FIND(".",L790,FIND(".",L790)+1)&lt;=2),AND(LEN(L790)-FIND(".",L790,FIND(".",L790)+1)=4,FIND(".",L790)&gt;=2,FIND(".",L790)&lt;=3)),FIND(".",L790,FIND(".",L790)+1)-FIND(".",L790)&gt;=2,FIND(".",L790,FIND(".",L790)+1)-FIND(".",L790)&lt;=3,P790&gt;=2000,P790&lt;=2100,YEAR(S790)=P790,MONTH(S790)=Q790,DAY(S790)=R790),S790,0)),0)</ns0:f>
        <ns0:v>0</ns0:v>
      </ns0:c>
      <ns0:c r="U790" s="0" t="str">
        <ns0:f>IF(Bookings!C790="","Full day",Bookings!C790)</ns0:f>
        <ns0:v>Full day</ns0:v>
      </ns0:c>
      <ns0:c r="V790" s="0" t="str">
        <ns0:f>IF(Bookings!E790="","Full day",Bookings!E790)</ns0:f>
        <ns0:v>Full day</ns0:v>
      </ns0:c>
      <ns0:c r="W790" s="0">
        <ns0:f>IF(J790=0,0,J790+IF(U790="PM",1,0))</ns0:f>
        <ns0:v>0</ns0:v>
      </ns0:c>
      <ns0:c r="X790" s="0">
        <ns0:f>IF(T790=0,0,T790-IF(V790="PM",1,0))</ns0:f>
        <ns0:v>0</ns0:v>
      </ns0:c>
      <ns0:c r="Y790" s="0">
        <ns0:f>IF(J790=0,0,J790+IF(U790="AM",1,0))</ns0:f>
        <ns0:v>0</ns0:v>
      </ns0:c>
      <ns0:c r="Z790" s="0">
        <ns0:f>IF(T790=0,0,T790-IF(V790="AM",1,0))</ns0:f>
        <ns0:v>0</ns0:v>
      </ns0:c>
      <ns0:c r="AA790" s="0">
        <ns0:f>IFERROR(IF(AND(J790&gt;0,'_Engine'!C790&gt;0,MID('_Engine'!W790,WEEKDAY(J790,2),1)="W",COUNTIF(Settings!$F$18:$F$67,J790)=0),1,0),0)</ns0:f>
        <ns0:v>0</ns0:v>
      </ns0:c>
      <ns0:c r="AB790" s="0">
        <ns0:f>IFERROR(IF(AND(T790&gt;0,'_Engine'!C790&gt;0,MID('_Engine'!W790,WEEKDAY(T790,2),1)="W",COUNTIF(Settings!$F$18:$F$67,T790)=0),1,0),0)</ns0:f>
        <ns0:v>0</ns0:v>
      </ns0:c>
      <ns0:c r="AC790" s="0">
        <ns0:f>IF(AND(J790&gt;0,T790&gt;0,W790&lt;=X790),1,0)</ns0:f>
        <ns0:v>0</ns0:v>
      </ns0:c>
      <ns0:c r="AD790" s="0">
        <ns0:f>IF(AND(J790&gt;0,T790&gt;0,Y790&lt;=Z790),1,0)</ns0:f>
        <ns0:v>0</ns0:v>
      </ns0:c>
    </ns0:row>
    <ns0:row r="791">
      <ns0:c r="A791" s="0">
        <ns0:f>IFERROR(IF(ISNUMBER(Bookings!B791),"",TRIM(Bookings!B791&amp;"")),"")</ns0:f>
      </ns0:c>
      <ns0:c r="B791" s="0">
        <ns0:f>IFERROR(SUBSTITUTE(SUBSTITUTE(A791,"/","."),"-","."),"")</ns0:f>
      </ns0:c>
      <ns0:c r="C791" s="0">
        <ns0:f>IFERROR(LEFT(B791,FIND(".",B791)-1),"")</ns0:f>
      </ns0:c>
      <ns0:c r="D791" s="0">
        <ns0:f>IFERROR(MID(B791,FIND(".",B791)+1,FIND(".",B791,FIND(".",B791)+1)-FIND(".",B791)-1),"")</ns0:f>
      </ns0:c>
      <ns0:c r="E791" s="0">
        <ns0:f>IFERROR(MID(B791,FIND(".",B791,FIND(".",B791)+1)+1,99),"")</ns0:f>
        <ns0:v>99</ns0:v>
      </ns0:c>
      <ns0:c r="F791" s="0">
        <ns0:f>IFERROR(IF(FIND(".",B791)=5,--C791,--E791),0)</ns0:f>
        <ns0:v>0</ns0:v>
      </ns0:c>
      <ns0:c r="G791" s="0">
        <ns0:f>IFERROR(--D791,0)</ns0:f>
        <ns0:v>0</ns0:v>
      </ns0:c>
      <ns0:c r="H791" s="0">
        <ns0:f>IFERROR(IF(FIND(".",B791)=5,--E791,--C791),0)</ns0:f>
        <ns0:v>0</ns0:v>
      </ns0:c>
      <ns0:c r="I791" s="0">
        <ns0:f>IFERROR(IF(AND(F791&gt;=2000,F791&lt;=2100,G791&gt;=1,G791&lt;=12,H791&gt;=1,H791&lt;=31),DATE(F791,G791,H791),0),0)</ns0:f>
        <ns0:v>0</ns0:v>
      </ns0:c>
      <ns0:c r="J791" s="0">
        <ns0:f>IFERROR(IF(ISNUMBER(Bookings!B791),IF(AND(Bookings!B791=INT(Bookings!B791),Bookings!B791&gt;=DATE(2000,1,1),Bookings!B791&lt;=DATE(2100,12,31)),Bookings!B791,0),IF(AND(A791&lt;&gt;"",LEN("x"&amp;B791)-LEN(SUBSTITUTE("x"&amp;B791,".",""))=2,OR(1&gt;LEN(B791),MID(B791,1,1)=".",ISNUMBER(FIND("x"&amp;MID(B791,1,1),"x0x1x2x3x4x5x6x7x8x9"))),OR(2&gt;LEN(B791),MID(B791,2,1)=".",ISNUMBER(FIND("x"&amp;MID(B791,2,1),"x0x1x2x3x4x5x6x7x8x9"))),OR(3&gt;LEN(B791),MID(B791,3,1)=".",ISNUMBER(FIND("x"&amp;MID(B791,3,1),"x0x1x2x3x4x5x6x7x8x9"))),OR(4&gt;LEN(B791),MID(B791,4,1)=".",ISNUMBER(FIND("x"&amp;MID(B791,4,1),"x0x1x2x3x4x5x6x7x8x9"))),OR(5&gt;LEN(B791),MID(B791,5,1)=".",ISNUMBER(FIND("x"&amp;MID(B791,5,1),"x0x1x2x3x4x5x6x7x8x9"))),OR(6&gt;LEN(B791),MID(B791,6,1)=".",ISNUMBER(FIND("x"&amp;MID(B791,6,1),"x0x1x2x3x4x5x6x7x8x9"))),OR(7&gt;LEN(B791),MID(B791,7,1)=".",ISNUMBER(FIND("x"&amp;MID(B791,7,1),"x0x1x2x3x4x5x6x7x8x9"))),OR(8&gt;LEN(B791),MID(B791,8,1)=".",ISNUMBER(FIND("x"&amp;MID(B791,8,1),"x0x1x2x3x4x5x6x7x8x9"))),OR(9&gt;LEN(B791),MID(B791,9,1)=".",ISNUMBER(FIND("x"&amp;MID(B791,9,1),"x0x1x2x3x4x5x6x7x8x9"))),OR(10&gt;LEN(B791),MID(B791,10,1)=".",ISNUMBER(FIND("x"&amp;MID(B791,10,1),"x0x1x2x3x4x5x6x7x8x9"))),OR(AND(FIND(".",B791)=5,LEN(B791)-FIND(".",B791,FIND(".",B791)+1)&gt;=1,LEN(B791)-FIND(".",B791,FIND(".",B791)+1)&lt;=2),AND(LEN(B791)-FIND(".",B791,FIND(".",B791)+1)=4,FIND(".",B791)&gt;=2,FIND(".",B791)&lt;=3)),FIND(".",B791,FIND(".",B791)+1)-FIND(".",B791)&gt;=2,FIND(".",B791,FIND(".",B791)+1)-FIND(".",B791)&lt;=3,F791&gt;=2000,F791&lt;=2100,YEAR(I791)=F791,MONTH(I791)=G791,DAY(I791)=H791),I791,0)),0)</ns0:f>
        <ns0:v>0</ns0:v>
      </ns0:c>
      <ns0:c r="K791" s="0">
        <ns0:f>IFERROR(IF(ISNUMBER(Bookings!D791),"",TRIM(Bookings!D791&amp;"")),"")</ns0:f>
      </ns0:c>
      <ns0:c r="L791" s="0">
        <ns0:f>IFERROR(SUBSTITUTE(SUBSTITUTE(K791,"/","."),"-","."),"")</ns0:f>
      </ns0:c>
      <ns0:c r="M791" s="0">
        <ns0:f>IFERROR(LEFT(L791,FIND(".",L791)-1),"")</ns0:f>
      </ns0:c>
      <ns0:c r="N791" s="0">
        <ns0:f>IFERROR(MID(L791,FIND(".",L791)+1,FIND(".",L791,FIND(".",L791)+1)-FIND(".",L791)-1),"")</ns0:f>
      </ns0:c>
      <ns0:c r="O791" s="0">
        <ns0:f>IFERROR(MID(L791,FIND(".",L791,FIND(".",L791)+1)+1,99),"")</ns0:f>
        <ns0:v>99</ns0:v>
      </ns0:c>
      <ns0:c r="P791" s="0">
        <ns0:f>IFERROR(IF(FIND(".",L791)=5,--M791,--O791),0)</ns0:f>
        <ns0:v>0</ns0:v>
      </ns0:c>
      <ns0:c r="Q791" s="0">
        <ns0:f>IFERROR(--N791,0)</ns0:f>
        <ns0:v>0</ns0:v>
      </ns0:c>
      <ns0:c r="R791" s="0">
        <ns0:f>IFERROR(IF(FIND(".",L791)=5,--O791,--M791),0)</ns0:f>
        <ns0:v>0</ns0:v>
      </ns0:c>
      <ns0:c r="S791" s="0">
        <ns0:f>IFERROR(IF(AND(P791&gt;=2000,P791&lt;=2100,Q791&gt;=1,Q791&lt;=12,R791&gt;=1,R791&lt;=31),DATE(P791,Q791,R791),0),0)</ns0:f>
        <ns0:v>0</ns0:v>
      </ns0:c>
      <ns0:c r="T791" s="0">
        <ns0:f>IFERROR(IF(ISNUMBER(Bookings!D791),IF(AND(Bookings!D791=INT(Bookings!D791),Bookings!D791&gt;=DATE(2000,1,1),Bookings!D791&lt;=DATE(2100,12,31)),Bookings!D791,0),IF(AND(K791&lt;&gt;"",LEN("x"&amp;L791)-LEN(SUBSTITUTE("x"&amp;L791,".",""))=2,OR(1&gt;LEN(L791),MID(L791,1,1)=".",ISNUMBER(FIND("x"&amp;MID(L791,1,1),"x0x1x2x3x4x5x6x7x8x9"))),OR(2&gt;LEN(L791),MID(L791,2,1)=".",ISNUMBER(FIND("x"&amp;MID(L791,2,1),"x0x1x2x3x4x5x6x7x8x9"))),OR(3&gt;LEN(L791),MID(L791,3,1)=".",ISNUMBER(FIND("x"&amp;MID(L791,3,1),"x0x1x2x3x4x5x6x7x8x9"))),OR(4&gt;LEN(L791),MID(L791,4,1)=".",ISNUMBER(FIND("x"&amp;MID(L791,4,1),"x0x1x2x3x4x5x6x7x8x9"))),OR(5&gt;LEN(L791),MID(L791,5,1)=".",ISNUMBER(FIND("x"&amp;MID(L791,5,1),"x0x1x2x3x4x5x6x7x8x9"))),OR(6&gt;LEN(L791),MID(L791,6,1)=".",ISNUMBER(FIND("x"&amp;MID(L791,6,1),"x0x1x2x3x4x5x6x7x8x9"))),OR(7&gt;LEN(L791),MID(L791,7,1)=".",ISNUMBER(FIND("x"&amp;MID(L791,7,1),"x0x1x2x3x4x5x6x7x8x9"))),OR(8&gt;LEN(L791),MID(L791,8,1)=".",ISNUMBER(FIND("x"&amp;MID(L791,8,1),"x0x1x2x3x4x5x6x7x8x9"))),OR(9&gt;LEN(L791),MID(L791,9,1)=".",ISNUMBER(FIND("x"&amp;MID(L791,9,1),"x0x1x2x3x4x5x6x7x8x9"))),OR(10&gt;LEN(L791),MID(L791,10,1)=".",ISNUMBER(FIND("x"&amp;MID(L791,10,1),"x0x1x2x3x4x5x6x7x8x9"))),OR(AND(FIND(".",L791)=5,LEN(L791)-FIND(".",L791,FIND(".",L791)+1)&gt;=1,LEN(L791)-FIND(".",L791,FIND(".",L791)+1)&lt;=2),AND(LEN(L791)-FIND(".",L791,FIND(".",L791)+1)=4,FIND(".",L791)&gt;=2,FIND(".",L791)&lt;=3)),FIND(".",L791,FIND(".",L791)+1)-FIND(".",L791)&gt;=2,FIND(".",L791,FIND(".",L791)+1)-FIND(".",L791)&lt;=3,P791&gt;=2000,P791&lt;=2100,YEAR(S791)=P791,MONTH(S791)=Q791,DAY(S791)=R791),S791,0)),0)</ns0:f>
        <ns0:v>0</ns0:v>
      </ns0:c>
      <ns0:c r="U791" s="0" t="str">
        <ns0:f>IF(Bookings!C791="","Full day",Bookings!C791)</ns0:f>
        <ns0:v>Full day</ns0:v>
      </ns0:c>
      <ns0:c r="V791" s="0" t="str">
        <ns0:f>IF(Bookings!E791="","Full day",Bookings!E791)</ns0:f>
        <ns0:v>Full day</ns0:v>
      </ns0:c>
      <ns0:c r="W791" s="0">
        <ns0:f>IF(J791=0,0,J791+IF(U791="PM",1,0))</ns0:f>
        <ns0:v>0</ns0:v>
      </ns0:c>
      <ns0:c r="X791" s="0">
        <ns0:f>IF(T791=0,0,T791-IF(V791="PM",1,0))</ns0:f>
        <ns0:v>0</ns0:v>
      </ns0:c>
      <ns0:c r="Y791" s="0">
        <ns0:f>IF(J791=0,0,J791+IF(U791="AM",1,0))</ns0:f>
        <ns0:v>0</ns0:v>
      </ns0:c>
      <ns0:c r="Z791" s="0">
        <ns0:f>IF(T791=0,0,T791-IF(V791="AM",1,0))</ns0:f>
        <ns0:v>0</ns0:v>
      </ns0:c>
      <ns0:c r="AA791" s="0">
        <ns0:f>IFERROR(IF(AND(J791&gt;0,'_Engine'!C791&gt;0,MID('_Engine'!W791,WEEKDAY(J791,2),1)="W",COUNTIF(Settings!$F$18:$F$67,J791)=0),1,0),0)</ns0:f>
        <ns0:v>0</ns0:v>
      </ns0:c>
      <ns0:c r="AB791" s="0">
        <ns0:f>IFERROR(IF(AND(T791&gt;0,'_Engine'!C791&gt;0,MID('_Engine'!W791,WEEKDAY(T791,2),1)="W",COUNTIF(Settings!$F$18:$F$67,T791)=0),1,0),0)</ns0:f>
        <ns0:v>0</ns0:v>
      </ns0:c>
      <ns0:c r="AC791" s="0">
        <ns0:f>IF(AND(J791&gt;0,T791&gt;0,W791&lt;=X791),1,0)</ns0:f>
        <ns0:v>0</ns0:v>
      </ns0:c>
      <ns0:c r="AD791" s="0">
        <ns0:f>IF(AND(J791&gt;0,T791&gt;0,Y791&lt;=Z791),1,0)</ns0:f>
        <ns0:v>0</ns0:v>
      </ns0:c>
    </ns0:row>
    <ns0:row r="792">
      <ns0:c r="A792" s="0">
        <ns0:f>IFERROR(IF(ISNUMBER(Bookings!B792),"",TRIM(Bookings!B792&amp;"")),"")</ns0:f>
      </ns0:c>
      <ns0:c r="B792" s="0">
        <ns0:f>IFERROR(SUBSTITUTE(SUBSTITUTE(A792,"/","."),"-","."),"")</ns0:f>
      </ns0:c>
      <ns0:c r="C792" s="0">
        <ns0:f>IFERROR(LEFT(B792,FIND(".",B792)-1),"")</ns0:f>
      </ns0:c>
      <ns0:c r="D792" s="0">
        <ns0:f>IFERROR(MID(B792,FIND(".",B792)+1,FIND(".",B792,FIND(".",B792)+1)-FIND(".",B792)-1),"")</ns0:f>
      </ns0:c>
      <ns0:c r="E792" s="0">
        <ns0:f>IFERROR(MID(B792,FIND(".",B792,FIND(".",B792)+1)+1,99),"")</ns0:f>
        <ns0:v>99</ns0:v>
      </ns0:c>
      <ns0:c r="F792" s="0">
        <ns0:f>IFERROR(IF(FIND(".",B792)=5,--C792,--E792),0)</ns0:f>
        <ns0:v>0</ns0:v>
      </ns0:c>
      <ns0:c r="G792" s="0">
        <ns0:f>IFERROR(--D792,0)</ns0:f>
        <ns0:v>0</ns0:v>
      </ns0:c>
      <ns0:c r="H792" s="0">
        <ns0:f>IFERROR(IF(FIND(".",B792)=5,--E792,--C792),0)</ns0:f>
        <ns0:v>0</ns0:v>
      </ns0:c>
      <ns0:c r="I792" s="0">
        <ns0:f>IFERROR(IF(AND(F792&gt;=2000,F792&lt;=2100,G792&gt;=1,G792&lt;=12,H792&gt;=1,H792&lt;=31),DATE(F792,G792,H792),0),0)</ns0:f>
        <ns0:v>0</ns0:v>
      </ns0:c>
      <ns0:c r="J792" s="0">
        <ns0:f>IFERROR(IF(ISNUMBER(Bookings!B792),IF(AND(Bookings!B792=INT(Bookings!B792),Bookings!B792&gt;=DATE(2000,1,1),Bookings!B792&lt;=DATE(2100,12,31)),Bookings!B792,0),IF(AND(A792&lt;&gt;"",LEN("x"&amp;B792)-LEN(SUBSTITUTE("x"&amp;B792,".",""))=2,OR(1&gt;LEN(B792),MID(B792,1,1)=".",ISNUMBER(FIND("x"&amp;MID(B792,1,1),"x0x1x2x3x4x5x6x7x8x9"))),OR(2&gt;LEN(B792),MID(B792,2,1)=".",ISNUMBER(FIND("x"&amp;MID(B792,2,1),"x0x1x2x3x4x5x6x7x8x9"))),OR(3&gt;LEN(B792),MID(B792,3,1)=".",ISNUMBER(FIND("x"&amp;MID(B792,3,1),"x0x1x2x3x4x5x6x7x8x9"))),OR(4&gt;LEN(B792),MID(B792,4,1)=".",ISNUMBER(FIND("x"&amp;MID(B792,4,1),"x0x1x2x3x4x5x6x7x8x9"))),OR(5&gt;LEN(B792),MID(B792,5,1)=".",ISNUMBER(FIND("x"&amp;MID(B792,5,1),"x0x1x2x3x4x5x6x7x8x9"))),OR(6&gt;LEN(B792),MID(B792,6,1)=".",ISNUMBER(FIND("x"&amp;MID(B792,6,1),"x0x1x2x3x4x5x6x7x8x9"))),OR(7&gt;LEN(B792),MID(B792,7,1)=".",ISNUMBER(FIND("x"&amp;MID(B792,7,1),"x0x1x2x3x4x5x6x7x8x9"))),OR(8&gt;LEN(B792),MID(B792,8,1)=".",ISNUMBER(FIND("x"&amp;MID(B792,8,1),"x0x1x2x3x4x5x6x7x8x9"))),OR(9&gt;LEN(B792),MID(B792,9,1)=".",ISNUMBER(FIND("x"&amp;MID(B792,9,1),"x0x1x2x3x4x5x6x7x8x9"))),OR(10&gt;LEN(B792),MID(B792,10,1)=".",ISNUMBER(FIND("x"&amp;MID(B792,10,1),"x0x1x2x3x4x5x6x7x8x9"))),OR(AND(FIND(".",B792)=5,LEN(B792)-FIND(".",B792,FIND(".",B792)+1)&gt;=1,LEN(B792)-FIND(".",B792,FIND(".",B792)+1)&lt;=2),AND(LEN(B792)-FIND(".",B792,FIND(".",B792)+1)=4,FIND(".",B792)&gt;=2,FIND(".",B792)&lt;=3)),FIND(".",B792,FIND(".",B792)+1)-FIND(".",B792)&gt;=2,FIND(".",B792,FIND(".",B792)+1)-FIND(".",B792)&lt;=3,F792&gt;=2000,F792&lt;=2100,YEAR(I792)=F792,MONTH(I792)=G792,DAY(I792)=H792),I792,0)),0)</ns0:f>
        <ns0:v>0</ns0:v>
      </ns0:c>
      <ns0:c r="K792" s="0">
        <ns0:f>IFERROR(IF(ISNUMBER(Bookings!D792),"",TRIM(Bookings!D792&amp;"")),"")</ns0:f>
      </ns0:c>
      <ns0:c r="L792" s="0">
        <ns0:f>IFERROR(SUBSTITUTE(SUBSTITUTE(K792,"/","."),"-","."),"")</ns0:f>
      </ns0:c>
      <ns0:c r="M792" s="0">
        <ns0:f>IFERROR(LEFT(L792,FIND(".",L792)-1),"")</ns0:f>
      </ns0:c>
      <ns0:c r="N792" s="0">
        <ns0:f>IFERROR(MID(L792,FIND(".",L792)+1,FIND(".",L792,FIND(".",L792)+1)-FIND(".",L792)-1),"")</ns0:f>
      </ns0:c>
      <ns0:c r="O792" s="0">
        <ns0:f>IFERROR(MID(L792,FIND(".",L792,FIND(".",L792)+1)+1,99),"")</ns0:f>
        <ns0:v>99</ns0:v>
      </ns0:c>
      <ns0:c r="P792" s="0">
        <ns0:f>IFERROR(IF(FIND(".",L792)=5,--M792,--O792),0)</ns0:f>
        <ns0:v>0</ns0:v>
      </ns0:c>
      <ns0:c r="Q792" s="0">
        <ns0:f>IFERROR(--N792,0)</ns0:f>
        <ns0:v>0</ns0:v>
      </ns0:c>
      <ns0:c r="R792" s="0">
        <ns0:f>IFERROR(IF(FIND(".",L792)=5,--O792,--M792),0)</ns0:f>
        <ns0:v>0</ns0:v>
      </ns0:c>
      <ns0:c r="S792" s="0">
        <ns0:f>IFERROR(IF(AND(P792&gt;=2000,P792&lt;=2100,Q792&gt;=1,Q792&lt;=12,R792&gt;=1,R792&lt;=31),DATE(P792,Q792,R792),0),0)</ns0:f>
        <ns0:v>0</ns0:v>
      </ns0:c>
      <ns0:c r="T792" s="0">
        <ns0:f>IFERROR(IF(ISNUMBER(Bookings!D792),IF(AND(Bookings!D792=INT(Bookings!D792),Bookings!D792&gt;=DATE(2000,1,1),Bookings!D792&lt;=DATE(2100,12,31)),Bookings!D792,0),IF(AND(K792&lt;&gt;"",LEN("x"&amp;L792)-LEN(SUBSTITUTE("x"&amp;L792,".",""))=2,OR(1&gt;LEN(L792),MID(L792,1,1)=".",ISNUMBER(FIND("x"&amp;MID(L792,1,1),"x0x1x2x3x4x5x6x7x8x9"))),OR(2&gt;LEN(L792),MID(L792,2,1)=".",ISNUMBER(FIND("x"&amp;MID(L792,2,1),"x0x1x2x3x4x5x6x7x8x9"))),OR(3&gt;LEN(L792),MID(L792,3,1)=".",ISNUMBER(FIND("x"&amp;MID(L792,3,1),"x0x1x2x3x4x5x6x7x8x9"))),OR(4&gt;LEN(L792),MID(L792,4,1)=".",ISNUMBER(FIND("x"&amp;MID(L792,4,1),"x0x1x2x3x4x5x6x7x8x9"))),OR(5&gt;LEN(L792),MID(L792,5,1)=".",ISNUMBER(FIND("x"&amp;MID(L792,5,1),"x0x1x2x3x4x5x6x7x8x9"))),OR(6&gt;LEN(L792),MID(L792,6,1)=".",ISNUMBER(FIND("x"&amp;MID(L792,6,1),"x0x1x2x3x4x5x6x7x8x9"))),OR(7&gt;LEN(L792),MID(L792,7,1)=".",ISNUMBER(FIND("x"&amp;MID(L792,7,1),"x0x1x2x3x4x5x6x7x8x9"))),OR(8&gt;LEN(L792),MID(L792,8,1)=".",ISNUMBER(FIND("x"&amp;MID(L792,8,1),"x0x1x2x3x4x5x6x7x8x9"))),OR(9&gt;LEN(L792),MID(L792,9,1)=".",ISNUMBER(FIND("x"&amp;MID(L792,9,1),"x0x1x2x3x4x5x6x7x8x9"))),OR(10&gt;LEN(L792),MID(L792,10,1)=".",ISNUMBER(FIND("x"&amp;MID(L792,10,1),"x0x1x2x3x4x5x6x7x8x9"))),OR(AND(FIND(".",L792)=5,LEN(L792)-FIND(".",L792,FIND(".",L792)+1)&gt;=1,LEN(L792)-FIND(".",L792,FIND(".",L792)+1)&lt;=2),AND(LEN(L792)-FIND(".",L792,FIND(".",L792)+1)=4,FIND(".",L792)&gt;=2,FIND(".",L792)&lt;=3)),FIND(".",L792,FIND(".",L792)+1)-FIND(".",L792)&gt;=2,FIND(".",L792,FIND(".",L792)+1)-FIND(".",L792)&lt;=3,P792&gt;=2000,P792&lt;=2100,YEAR(S792)=P792,MONTH(S792)=Q792,DAY(S792)=R792),S792,0)),0)</ns0:f>
        <ns0:v>0</ns0:v>
      </ns0:c>
      <ns0:c r="U792" s="0" t="str">
        <ns0:f>IF(Bookings!C792="","Full day",Bookings!C792)</ns0:f>
        <ns0:v>Full day</ns0:v>
      </ns0:c>
      <ns0:c r="V792" s="0" t="str">
        <ns0:f>IF(Bookings!E792="","Full day",Bookings!E792)</ns0:f>
        <ns0:v>Full day</ns0:v>
      </ns0:c>
      <ns0:c r="W792" s="0">
        <ns0:f>IF(J792=0,0,J792+IF(U792="PM",1,0))</ns0:f>
        <ns0:v>0</ns0:v>
      </ns0:c>
      <ns0:c r="X792" s="0">
        <ns0:f>IF(T792=0,0,T792-IF(V792="PM",1,0))</ns0:f>
        <ns0:v>0</ns0:v>
      </ns0:c>
      <ns0:c r="Y792" s="0">
        <ns0:f>IF(J792=0,0,J792+IF(U792="AM",1,0))</ns0:f>
        <ns0:v>0</ns0:v>
      </ns0:c>
      <ns0:c r="Z792" s="0">
        <ns0:f>IF(T792=0,0,T792-IF(V792="AM",1,0))</ns0:f>
        <ns0:v>0</ns0:v>
      </ns0:c>
      <ns0:c r="AA792" s="0">
        <ns0:f>IFERROR(IF(AND(J792&gt;0,'_Engine'!C792&gt;0,MID('_Engine'!W792,WEEKDAY(J792,2),1)="W",COUNTIF(Settings!$F$18:$F$67,J792)=0),1,0),0)</ns0:f>
        <ns0:v>0</ns0:v>
      </ns0:c>
      <ns0:c r="AB792" s="0">
        <ns0:f>IFERROR(IF(AND(T792&gt;0,'_Engine'!C792&gt;0,MID('_Engine'!W792,WEEKDAY(T792,2),1)="W",COUNTIF(Settings!$F$18:$F$67,T792)=0),1,0),0)</ns0:f>
        <ns0:v>0</ns0:v>
      </ns0:c>
      <ns0:c r="AC792" s="0">
        <ns0:f>IF(AND(J792&gt;0,T792&gt;0,W792&lt;=X792),1,0)</ns0:f>
        <ns0:v>0</ns0:v>
      </ns0:c>
      <ns0:c r="AD792" s="0">
        <ns0:f>IF(AND(J792&gt;0,T792&gt;0,Y792&lt;=Z792),1,0)</ns0:f>
        <ns0:v>0</ns0:v>
      </ns0:c>
    </ns0:row>
    <ns0:row r="793">
      <ns0:c r="A793" s="0">
        <ns0:f>IFERROR(IF(ISNUMBER(Bookings!B793),"",TRIM(Bookings!B793&amp;"")),"")</ns0:f>
      </ns0:c>
      <ns0:c r="B793" s="0">
        <ns0:f>IFERROR(SUBSTITUTE(SUBSTITUTE(A793,"/","."),"-","."),"")</ns0:f>
      </ns0:c>
      <ns0:c r="C793" s="0">
        <ns0:f>IFERROR(LEFT(B793,FIND(".",B793)-1),"")</ns0:f>
      </ns0:c>
      <ns0:c r="D793" s="0">
        <ns0:f>IFERROR(MID(B793,FIND(".",B793)+1,FIND(".",B793,FIND(".",B793)+1)-FIND(".",B793)-1),"")</ns0:f>
      </ns0:c>
      <ns0:c r="E793" s="0">
        <ns0:f>IFERROR(MID(B793,FIND(".",B793,FIND(".",B793)+1)+1,99),"")</ns0:f>
        <ns0:v>99</ns0:v>
      </ns0:c>
      <ns0:c r="F793" s="0">
        <ns0:f>IFERROR(IF(FIND(".",B793)=5,--C793,--E793),0)</ns0:f>
        <ns0:v>0</ns0:v>
      </ns0:c>
      <ns0:c r="G793" s="0">
        <ns0:f>IFERROR(--D793,0)</ns0:f>
        <ns0:v>0</ns0:v>
      </ns0:c>
      <ns0:c r="H793" s="0">
        <ns0:f>IFERROR(IF(FIND(".",B793)=5,--E793,--C793),0)</ns0:f>
        <ns0:v>0</ns0:v>
      </ns0:c>
      <ns0:c r="I793" s="0">
        <ns0:f>IFERROR(IF(AND(F793&gt;=2000,F793&lt;=2100,G793&gt;=1,G793&lt;=12,H793&gt;=1,H793&lt;=31),DATE(F793,G793,H793),0),0)</ns0:f>
        <ns0:v>0</ns0:v>
      </ns0:c>
      <ns0:c r="J793" s="0">
        <ns0:f>IFERROR(IF(ISNUMBER(Bookings!B793),IF(AND(Bookings!B793=INT(Bookings!B793),Bookings!B793&gt;=DATE(2000,1,1),Bookings!B793&lt;=DATE(2100,12,31)),Bookings!B793,0),IF(AND(A793&lt;&gt;"",LEN("x"&amp;B793)-LEN(SUBSTITUTE("x"&amp;B793,".",""))=2,OR(1&gt;LEN(B793),MID(B793,1,1)=".",ISNUMBER(FIND("x"&amp;MID(B793,1,1),"x0x1x2x3x4x5x6x7x8x9"))),OR(2&gt;LEN(B793),MID(B793,2,1)=".",ISNUMBER(FIND("x"&amp;MID(B793,2,1),"x0x1x2x3x4x5x6x7x8x9"))),OR(3&gt;LEN(B793),MID(B793,3,1)=".",ISNUMBER(FIND("x"&amp;MID(B793,3,1),"x0x1x2x3x4x5x6x7x8x9"))),OR(4&gt;LEN(B793),MID(B793,4,1)=".",ISNUMBER(FIND("x"&amp;MID(B793,4,1),"x0x1x2x3x4x5x6x7x8x9"))),OR(5&gt;LEN(B793),MID(B793,5,1)=".",ISNUMBER(FIND("x"&amp;MID(B793,5,1),"x0x1x2x3x4x5x6x7x8x9"))),OR(6&gt;LEN(B793),MID(B793,6,1)=".",ISNUMBER(FIND("x"&amp;MID(B793,6,1),"x0x1x2x3x4x5x6x7x8x9"))),OR(7&gt;LEN(B793),MID(B793,7,1)=".",ISNUMBER(FIND("x"&amp;MID(B793,7,1),"x0x1x2x3x4x5x6x7x8x9"))),OR(8&gt;LEN(B793),MID(B793,8,1)=".",ISNUMBER(FIND("x"&amp;MID(B793,8,1),"x0x1x2x3x4x5x6x7x8x9"))),OR(9&gt;LEN(B793),MID(B793,9,1)=".",ISNUMBER(FIND("x"&amp;MID(B793,9,1),"x0x1x2x3x4x5x6x7x8x9"))),OR(10&gt;LEN(B793),MID(B793,10,1)=".",ISNUMBER(FIND("x"&amp;MID(B793,10,1),"x0x1x2x3x4x5x6x7x8x9"))),OR(AND(FIND(".",B793)=5,LEN(B793)-FIND(".",B793,FIND(".",B793)+1)&gt;=1,LEN(B793)-FIND(".",B793,FIND(".",B793)+1)&lt;=2),AND(LEN(B793)-FIND(".",B793,FIND(".",B793)+1)=4,FIND(".",B793)&gt;=2,FIND(".",B793)&lt;=3)),FIND(".",B793,FIND(".",B793)+1)-FIND(".",B793)&gt;=2,FIND(".",B793,FIND(".",B793)+1)-FIND(".",B793)&lt;=3,F793&gt;=2000,F793&lt;=2100,YEAR(I793)=F793,MONTH(I793)=G793,DAY(I793)=H793),I793,0)),0)</ns0:f>
        <ns0:v>0</ns0:v>
      </ns0:c>
      <ns0:c r="K793" s="0">
        <ns0:f>IFERROR(IF(ISNUMBER(Bookings!D793),"",TRIM(Bookings!D793&amp;"")),"")</ns0:f>
      </ns0:c>
      <ns0:c r="L793" s="0">
        <ns0:f>IFERROR(SUBSTITUTE(SUBSTITUTE(K793,"/","."),"-","."),"")</ns0:f>
      </ns0:c>
      <ns0:c r="M793" s="0">
        <ns0:f>IFERROR(LEFT(L793,FIND(".",L793)-1),"")</ns0:f>
      </ns0:c>
      <ns0:c r="N793" s="0">
        <ns0:f>IFERROR(MID(L793,FIND(".",L793)+1,FIND(".",L793,FIND(".",L793)+1)-FIND(".",L793)-1),"")</ns0:f>
      </ns0:c>
      <ns0:c r="O793" s="0">
        <ns0:f>IFERROR(MID(L793,FIND(".",L793,FIND(".",L793)+1)+1,99),"")</ns0:f>
        <ns0:v>99</ns0:v>
      </ns0:c>
      <ns0:c r="P793" s="0">
        <ns0:f>IFERROR(IF(FIND(".",L793)=5,--M793,--O793),0)</ns0:f>
        <ns0:v>0</ns0:v>
      </ns0:c>
      <ns0:c r="Q793" s="0">
        <ns0:f>IFERROR(--N793,0)</ns0:f>
        <ns0:v>0</ns0:v>
      </ns0:c>
      <ns0:c r="R793" s="0">
        <ns0:f>IFERROR(IF(FIND(".",L793)=5,--O793,--M793),0)</ns0:f>
        <ns0:v>0</ns0:v>
      </ns0:c>
      <ns0:c r="S793" s="0">
        <ns0:f>IFERROR(IF(AND(P793&gt;=2000,P793&lt;=2100,Q793&gt;=1,Q793&lt;=12,R793&gt;=1,R793&lt;=31),DATE(P793,Q793,R793),0),0)</ns0:f>
        <ns0:v>0</ns0:v>
      </ns0:c>
      <ns0:c r="T793" s="0">
        <ns0:f>IFERROR(IF(ISNUMBER(Bookings!D793),IF(AND(Bookings!D793=INT(Bookings!D793),Bookings!D793&gt;=DATE(2000,1,1),Bookings!D793&lt;=DATE(2100,12,31)),Bookings!D793,0),IF(AND(K793&lt;&gt;"",LEN("x"&amp;L793)-LEN(SUBSTITUTE("x"&amp;L793,".",""))=2,OR(1&gt;LEN(L793),MID(L793,1,1)=".",ISNUMBER(FIND("x"&amp;MID(L793,1,1),"x0x1x2x3x4x5x6x7x8x9"))),OR(2&gt;LEN(L793),MID(L793,2,1)=".",ISNUMBER(FIND("x"&amp;MID(L793,2,1),"x0x1x2x3x4x5x6x7x8x9"))),OR(3&gt;LEN(L793),MID(L793,3,1)=".",ISNUMBER(FIND("x"&amp;MID(L793,3,1),"x0x1x2x3x4x5x6x7x8x9"))),OR(4&gt;LEN(L793),MID(L793,4,1)=".",ISNUMBER(FIND("x"&amp;MID(L793,4,1),"x0x1x2x3x4x5x6x7x8x9"))),OR(5&gt;LEN(L793),MID(L793,5,1)=".",ISNUMBER(FIND("x"&amp;MID(L793,5,1),"x0x1x2x3x4x5x6x7x8x9"))),OR(6&gt;LEN(L793),MID(L793,6,1)=".",ISNUMBER(FIND("x"&amp;MID(L793,6,1),"x0x1x2x3x4x5x6x7x8x9"))),OR(7&gt;LEN(L793),MID(L793,7,1)=".",ISNUMBER(FIND("x"&amp;MID(L793,7,1),"x0x1x2x3x4x5x6x7x8x9"))),OR(8&gt;LEN(L793),MID(L793,8,1)=".",ISNUMBER(FIND("x"&amp;MID(L793,8,1),"x0x1x2x3x4x5x6x7x8x9"))),OR(9&gt;LEN(L793),MID(L793,9,1)=".",ISNUMBER(FIND("x"&amp;MID(L793,9,1),"x0x1x2x3x4x5x6x7x8x9"))),OR(10&gt;LEN(L793),MID(L793,10,1)=".",ISNUMBER(FIND("x"&amp;MID(L793,10,1),"x0x1x2x3x4x5x6x7x8x9"))),OR(AND(FIND(".",L793)=5,LEN(L793)-FIND(".",L793,FIND(".",L793)+1)&gt;=1,LEN(L793)-FIND(".",L793,FIND(".",L793)+1)&lt;=2),AND(LEN(L793)-FIND(".",L793,FIND(".",L793)+1)=4,FIND(".",L793)&gt;=2,FIND(".",L793)&lt;=3)),FIND(".",L793,FIND(".",L793)+1)-FIND(".",L793)&gt;=2,FIND(".",L793,FIND(".",L793)+1)-FIND(".",L793)&lt;=3,P793&gt;=2000,P793&lt;=2100,YEAR(S793)=P793,MONTH(S793)=Q793,DAY(S793)=R793),S793,0)),0)</ns0:f>
        <ns0:v>0</ns0:v>
      </ns0:c>
      <ns0:c r="U793" s="0" t="str">
        <ns0:f>IF(Bookings!C793="","Full day",Bookings!C793)</ns0:f>
        <ns0:v>Full day</ns0:v>
      </ns0:c>
      <ns0:c r="V793" s="0" t="str">
        <ns0:f>IF(Bookings!E793="","Full day",Bookings!E793)</ns0:f>
        <ns0:v>Full day</ns0:v>
      </ns0:c>
      <ns0:c r="W793" s="0">
        <ns0:f>IF(J793=0,0,J793+IF(U793="PM",1,0))</ns0:f>
        <ns0:v>0</ns0:v>
      </ns0:c>
      <ns0:c r="X793" s="0">
        <ns0:f>IF(T793=0,0,T793-IF(V793="PM",1,0))</ns0:f>
        <ns0:v>0</ns0:v>
      </ns0:c>
      <ns0:c r="Y793" s="0">
        <ns0:f>IF(J793=0,0,J793+IF(U793="AM",1,0))</ns0:f>
        <ns0:v>0</ns0:v>
      </ns0:c>
      <ns0:c r="Z793" s="0">
        <ns0:f>IF(T793=0,0,T793-IF(V793="AM",1,0))</ns0:f>
        <ns0:v>0</ns0:v>
      </ns0:c>
      <ns0:c r="AA793" s="0">
        <ns0:f>IFERROR(IF(AND(J793&gt;0,'_Engine'!C793&gt;0,MID('_Engine'!W793,WEEKDAY(J793,2),1)="W",COUNTIF(Settings!$F$18:$F$67,J793)=0),1,0),0)</ns0:f>
        <ns0:v>0</ns0:v>
      </ns0:c>
      <ns0:c r="AB793" s="0">
        <ns0:f>IFERROR(IF(AND(T793&gt;0,'_Engine'!C793&gt;0,MID('_Engine'!W793,WEEKDAY(T793,2),1)="W",COUNTIF(Settings!$F$18:$F$67,T793)=0),1,0),0)</ns0:f>
        <ns0:v>0</ns0:v>
      </ns0:c>
      <ns0:c r="AC793" s="0">
        <ns0:f>IF(AND(J793&gt;0,T793&gt;0,W793&lt;=X793),1,0)</ns0:f>
        <ns0:v>0</ns0:v>
      </ns0:c>
      <ns0:c r="AD793" s="0">
        <ns0:f>IF(AND(J793&gt;0,T793&gt;0,Y793&lt;=Z793),1,0)</ns0:f>
        <ns0:v>0</ns0:v>
      </ns0:c>
    </ns0:row>
    <ns0:row r="794">
      <ns0:c r="A794" s="0">
        <ns0:f>IFERROR(IF(ISNUMBER(Bookings!B794),"",TRIM(Bookings!B794&amp;"")),"")</ns0:f>
      </ns0:c>
      <ns0:c r="B794" s="0">
        <ns0:f>IFERROR(SUBSTITUTE(SUBSTITUTE(A794,"/","."),"-","."),"")</ns0:f>
      </ns0:c>
      <ns0:c r="C794" s="0">
        <ns0:f>IFERROR(LEFT(B794,FIND(".",B794)-1),"")</ns0:f>
      </ns0:c>
      <ns0:c r="D794" s="0">
        <ns0:f>IFERROR(MID(B794,FIND(".",B794)+1,FIND(".",B794,FIND(".",B794)+1)-FIND(".",B794)-1),"")</ns0:f>
      </ns0:c>
      <ns0:c r="E794" s="0">
        <ns0:f>IFERROR(MID(B794,FIND(".",B794,FIND(".",B794)+1)+1,99),"")</ns0:f>
        <ns0:v>99</ns0:v>
      </ns0:c>
      <ns0:c r="F794" s="0">
        <ns0:f>IFERROR(IF(FIND(".",B794)=5,--C794,--E794),0)</ns0:f>
        <ns0:v>0</ns0:v>
      </ns0:c>
      <ns0:c r="G794" s="0">
        <ns0:f>IFERROR(--D794,0)</ns0:f>
        <ns0:v>0</ns0:v>
      </ns0:c>
      <ns0:c r="H794" s="0">
        <ns0:f>IFERROR(IF(FIND(".",B794)=5,--E794,--C794),0)</ns0:f>
        <ns0:v>0</ns0:v>
      </ns0:c>
      <ns0:c r="I794" s="0">
        <ns0:f>IFERROR(IF(AND(F794&gt;=2000,F794&lt;=2100,G794&gt;=1,G794&lt;=12,H794&gt;=1,H794&lt;=31),DATE(F794,G794,H794),0),0)</ns0:f>
        <ns0:v>0</ns0:v>
      </ns0:c>
      <ns0:c r="J794" s="0">
        <ns0:f>IFERROR(IF(ISNUMBER(Bookings!B794),IF(AND(Bookings!B794=INT(Bookings!B794),Bookings!B794&gt;=DATE(2000,1,1),Bookings!B794&lt;=DATE(2100,12,31)),Bookings!B794,0),IF(AND(A794&lt;&gt;"",LEN("x"&amp;B794)-LEN(SUBSTITUTE("x"&amp;B794,".",""))=2,OR(1&gt;LEN(B794),MID(B794,1,1)=".",ISNUMBER(FIND("x"&amp;MID(B794,1,1),"x0x1x2x3x4x5x6x7x8x9"))),OR(2&gt;LEN(B794),MID(B794,2,1)=".",ISNUMBER(FIND("x"&amp;MID(B794,2,1),"x0x1x2x3x4x5x6x7x8x9"))),OR(3&gt;LEN(B794),MID(B794,3,1)=".",ISNUMBER(FIND("x"&amp;MID(B794,3,1),"x0x1x2x3x4x5x6x7x8x9"))),OR(4&gt;LEN(B794),MID(B794,4,1)=".",ISNUMBER(FIND("x"&amp;MID(B794,4,1),"x0x1x2x3x4x5x6x7x8x9"))),OR(5&gt;LEN(B794),MID(B794,5,1)=".",ISNUMBER(FIND("x"&amp;MID(B794,5,1),"x0x1x2x3x4x5x6x7x8x9"))),OR(6&gt;LEN(B794),MID(B794,6,1)=".",ISNUMBER(FIND("x"&amp;MID(B794,6,1),"x0x1x2x3x4x5x6x7x8x9"))),OR(7&gt;LEN(B794),MID(B794,7,1)=".",ISNUMBER(FIND("x"&amp;MID(B794,7,1),"x0x1x2x3x4x5x6x7x8x9"))),OR(8&gt;LEN(B794),MID(B794,8,1)=".",ISNUMBER(FIND("x"&amp;MID(B794,8,1),"x0x1x2x3x4x5x6x7x8x9"))),OR(9&gt;LEN(B794),MID(B794,9,1)=".",ISNUMBER(FIND("x"&amp;MID(B794,9,1),"x0x1x2x3x4x5x6x7x8x9"))),OR(10&gt;LEN(B794),MID(B794,10,1)=".",ISNUMBER(FIND("x"&amp;MID(B794,10,1),"x0x1x2x3x4x5x6x7x8x9"))),OR(AND(FIND(".",B794)=5,LEN(B794)-FIND(".",B794,FIND(".",B794)+1)&gt;=1,LEN(B794)-FIND(".",B794,FIND(".",B794)+1)&lt;=2),AND(LEN(B794)-FIND(".",B794,FIND(".",B794)+1)=4,FIND(".",B794)&gt;=2,FIND(".",B794)&lt;=3)),FIND(".",B794,FIND(".",B794)+1)-FIND(".",B794)&gt;=2,FIND(".",B794,FIND(".",B794)+1)-FIND(".",B794)&lt;=3,F794&gt;=2000,F794&lt;=2100,YEAR(I794)=F794,MONTH(I794)=G794,DAY(I794)=H794),I794,0)),0)</ns0:f>
        <ns0:v>0</ns0:v>
      </ns0:c>
      <ns0:c r="K794" s="0">
        <ns0:f>IFERROR(IF(ISNUMBER(Bookings!D794),"",TRIM(Bookings!D794&amp;"")),"")</ns0:f>
      </ns0:c>
      <ns0:c r="L794" s="0">
        <ns0:f>IFERROR(SUBSTITUTE(SUBSTITUTE(K794,"/","."),"-","."),"")</ns0:f>
      </ns0:c>
      <ns0:c r="M794" s="0">
        <ns0:f>IFERROR(LEFT(L794,FIND(".",L794)-1),"")</ns0:f>
      </ns0:c>
      <ns0:c r="N794" s="0">
        <ns0:f>IFERROR(MID(L794,FIND(".",L794)+1,FIND(".",L794,FIND(".",L794)+1)-FIND(".",L794)-1),"")</ns0:f>
      </ns0:c>
      <ns0:c r="O794" s="0">
        <ns0:f>IFERROR(MID(L794,FIND(".",L794,FIND(".",L794)+1)+1,99),"")</ns0:f>
        <ns0:v>99</ns0:v>
      </ns0:c>
      <ns0:c r="P794" s="0">
        <ns0:f>IFERROR(IF(FIND(".",L794)=5,--M794,--O794),0)</ns0:f>
        <ns0:v>0</ns0:v>
      </ns0:c>
      <ns0:c r="Q794" s="0">
        <ns0:f>IFERROR(--N794,0)</ns0:f>
        <ns0:v>0</ns0:v>
      </ns0:c>
      <ns0:c r="R794" s="0">
        <ns0:f>IFERROR(IF(FIND(".",L794)=5,--O794,--M794),0)</ns0:f>
        <ns0:v>0</ns0:v>
      </ns0:c>
      <ns0:c r="S794" s="0">
        <ns0:f>IFERROR(IF(AND(P794&gt;=2000,P794&lt;=2100,Q794&gt;=1,Q794&lt;=12,R794&gt;=1,R794&lt;=31),DATE(P794,Q794,R794),0),0)</ns0:f>
        <ns0:v>0</ns0:v>
      </ns0:c>
      <ns0:c r="T794" s="0">
        <ns0:f>IFERROR(IF(ISNUMBER(Bookings!D794),IF(AND(Bookings!D794=INT(Bookings!D794),Bookings!D794&gt;=DATE(2000,1,1),Bookings!D794&lt;=DATE(2100,12,31)),Bookings!D794,0),IF(AND(K794&lt;&gt;"",LEN("x"&amp;L794)-LEN(SUBSTITUTE("x"&amp;L794,".",""))=2,OR(1&gt;LEN(L794),MID(L794,1,1)=".",ISNUMBER(FIND("x"&amp;MID(L794,1,1),"x0x1x2x3x4x5x6x7x8x9"))),OR(2&gt;LEN(L794),MID(L794,2,1)=".",ISNUMBER(FIND("x"&amp;MID(L794,2,1),"x0x1x2x3x4x5x6x7x8x9"))),OR(3&gt;LEN(L794),MID(L794,3,1)=".",ISNUMBER(FIND("x"&amp;MID(L794,3,1),"x0x1x2x3x4x5x6x7x8x9"))),OR(4&gt;LEN(L794),MID(L794,4,1)=".",ISNUMBER(FIND("x"&amp;MID(L794,4,1),"x0x1x2x3x4x5x6x7x8x9"))),OR(5&gt;LEN(L794),MID(L794,5,1)=".",ISNUMBER(FIND("x"&amp;MID(L794,5,1),"x0x1x2x3x4x5x6x7x8x9"))),OR(6&gt;LEN(L794),MID(L794,6,1)=".",ISNUMBER(FIND("x"&amp;MID(L794,6,1),"x0x1x2x3x4x5x6x7x8x9"))),OR(7&gt;LEN(L794),MID(L794,7,1)=".",ISNUMBER(FIND("x"&amp;MID(L794,7,1),"x0x1x2x3x4x5x6x7x8x9"))),OR(8&gt;LEN(L794),MID(L794,8,1)=".",ISNUMBER(FIND("x"&amp;MID(L794,8,1),"x0x1x2x3x4x5x6x7x8x9"))),OR(9&gt;LEN(L794),MID(L794,9,1)=".",ISNUMBER(FIND("x"&amp;MID(L794,9,1),"x0x1x2x3x4x5x6x7x8x9"))),OR(10&gt;LEN(L794),MID(L794,10,1)=".",ISNUMBER(FIND("x"&amp;MID(L794,10,1),"x0x1x2x3x4x5x6x7x8x9"))),OR(AND(FIND(".",L794)=5,LEN(L794)-FIND(".",L794,FIND(".",L794)+1)&gt;=1,LEN(L794)-FIND(".",L794,FIND(".",L794)+1)&lt;=2),AND(LEN(L794)-FIND(".",L794,FIND(".",L794)+1)=4,FIND(".",L794)&gt;=2,FIND(".",L794)&lt;=3)),FIND(".",L794,FIND(".",L794)+1)-FIND(".",L794)&gt;=2,FIND(".",L794,FIND(".",L794)+1)-FIND(".",L794)&lt;=3,P794&gt;=2000,P794&lt;=2100,YEAR(S794)=P794,MONTH(S794)=Q794,DAY(S794)=R794),S794,0)),0)</ns0:f>
        <ns0:v>0</ns0:v>
      </ns0:c>
      <ns0:c r="U794" s="0" t="str">
        <ns0:f>IF(Bookings!C794="","Full day",Bookings!C794)</ns0:f>
        <ns0:v>Full day</ns0:v>
      </ns0:c>
      <ns0:c r="V794" s="0" t="str">
        <ns0:f>IF(Bookings!E794="","Full day",Bookings!E794)</ns0:f>
        <ns0:v>Full day</ns0:v>
      </ns0:c>
      <ns0:c r="W794" s="0">
        <ns0:f>IF(J794=0,0,J794+IF(U794="PM",1,0))</ns0:f>
        <ns0:v>0</ns0:v>
      </ns0:c>
      <ns0:c r="X794" s="0">
        <ns0:f>IF(T794=0,0,T794-IF(V794="PM",1,0))</ns0:f>
        <ns0:v>0</ns0:v>
      </ns0:c>
      <ns0:c r="Y794" s="0">
        <ns0:f>IF(J794=0,0,J794+IF(U794="AM",1,0))</ns0:f>
        <ns0:v>0</ns0:v>
      </ns0:c>
      <ns0:c r="Z794" s="0">
        <ns0:f>IF(T794=0,0,T794-IF(V794="AM",1,0))</ns0:f>
        <ns0:v>0</ns0:v>
      </ns0:c>
      <ns0:c r="AA794" s="0">
        <ns0:f>IFERROR(IF(AND(J794&gt;0,'_Engine'!C794&gt;0,MID('_Engine'!W794,WEEKDAY(J794,2),1)="W",COUNTIF(Settings!$F$18:$F$67,J794)=0),1,0),0)</ns0:f>
        <ns0:v>0</ns0:v>
      </ns0:c>
      <ns0:c r="AB794" s="0">
        <ns0:f>IFERROR(IF(AND(T794&gt;0,'_Engine'!C794&gt;0,MID('_Engine'!W794,WEEKDAY(T794,2),1)="W",COUNTIF(Settings!$F$18:$F$67,T794)=0),1,0),0)</ns0:f>
        <ns0:v>0</ns0:v>
      </ns0:c>
      <ns0:c r="AC794" s="0">
        <ns0:f>IF(AND(J794&gt;0,T794&gt;0,W794&lt;=X794),1,0)</ns0:f>
        <ns0:v>0</ns0:v>
      </ns0:c>
      <ns0:c r="AD794" s="0">
        <ns0:f>IF(AND(J794&gt;0,T794&gt;0,Y794&lt;=Z794),1,0)</ns0:f>
        <ns0:v>0</ns0:v>
      </ns0:c>
    </ns0:row>
    <ns0:row r="795">
      <ns0:c r="A795" s="0">
        <ns0:f>IFERROR(IF(ISNUMBER(Bookings!B795),"",TRIM(Bookings!B795&amp;"")),"")</ns0:f>
      </ns0:c>
      <ns0:c r="B795" s="0">
        <ns0:f>IFERROR(SUBSTITUTE(SUBSTITUTE(A795,"/","."),"-","."),"")</ns0:f>
      </ns0:c>
      <ns0:c r="C795" s="0">
        <ns0:f>IFERROR(LEFT(B795,FIND(".",B795)-1),"")</ns0:f>
      </ns0:c>
      <ns0:c r="D795" s="0">
        <ns0:f>IFERROR(MID(B795,FIND(".",B795)+1,FIND(".",B795,FIND(".",B795)+1)-FIND(".",B795)-1),"")</ns0:f>
      </ns0:c>
      <ns0:c r="E795" s="0">
        <ns0:f>IFERROR(MID(B795,FIND(".",B795,FIND(".",B795)+1)+1,99),"")</ns0:f>
        <ns0:v>99</ns0:v>
      </ns0:c>
      <ns0:c r="F795" s="0">
        <ns0:f>IFERROR(IF(FIND(".",B795)=5,--C795,--E795),0)</ns0:f>
        <ns0:v>0</ns0:v>
      </ns0:c>
      <ns0:c r="G795" s="0">
        <ns0:f>IFERROR(--D795,0)</ns0:f>
        <ns0:v>0</ns0:v>
      </ns0:c>
      <ns0:c r="H795" s="0">
        <ns0:f>IFERROR(IF(FIND(".",B795)=5,--E795,--C795),0)</ns0:f>
        <ns0:v>0</ns0:v>
      </ns0:c>
      <ns0:c r="I795" s="0">
        <ns0:f>IFERROR(IF(AND(F795&gt;=2000,F795&lt;=2100,G795&gt;=1,G795&lt;=12,H795&gt;=1,H795&lt;=31),DATE(F795,G795,H795),0),0)</ns0:f>
        <ns0:v>0</ns0:v>
      </ns0:c>
      <ns0:c r="J795" s="0">
        <ns0:f>IFERROR(IF(ISNUMBER(Bookings!B795),IF(AND(Bookings!B795=INT(Bookings!B795),Bookings!B795&gt;=DATE(2000,1,1),Bookings!B795&lt;=DATE(2100,12,31)),Bookings!B795,0),IF(AND(A795&lt;&gt;"",LEN("x"&amp;B795)-LEN(SUBSTITUTE("x"&amp;B795,".",""))=2,OR(1&gt;LEN(B795),MID(B795,1,1)=".",ISNUMBER(FIND("x"&amp;MID(B795,1,1),"x0x1x2x3x4x5x6x7x8x9"))),OR(2&gt;LEN(B795),MID(B795,2,1)=".",ISNUMBER(FIND("x"&amp;MID(B795,2,1),"x0x1x2x3x4x5x6x7x8x9"))),OR(3&gt;LEN(B795),MID(B795,3,1)=".",ISNUMBER(FIND("x"&amp;MID(B795,3,1),"x0x1x2x3x4x5x6x7x8x9"))),OR(4&gt;LEN(B795),MID(B795,4,1)=".",ISNUMBER(FIND("x"&amp;MID(B795,4,1),"x0x1x2x3x4x5x6x7x8x9"))),OR(5&gt;LEN(B795),MID(B795,5,1)=".",ISNUMBER(FIND("x"&amp;MID(B795,5,1),"x0x1x2x3x4x5x6x7x8x9"))),OR(6&gt;LEN(B795),MID(B795,6,1)=".",ISNUMBER(FIND("x"&amp;MID(B795,6,1),"x0x1x2x3x4x5x6x7x8x9"))),OR(7&gt;LEN(B795),MID(B795,7,1)=".",ISNUMBER(FIND("x"&amp;MID(B795,7,1),"x0x1x2x3x4x5x6x7x8x9"))),OR(8&gt;LEN(B795),MID(B795,8,1)=".",ISNUMBER(FIND("x"&amp;MID(B795,8,1),"x0x1x2x3x4x5x6x7x8x9"))),OR(9&gt;LEN(B795),MID(B795,9,1)=".",ISNUMBER(FIND("x"&amp;MID(B795,9,1),"x0x1x2x3x4x5x6x7x8x9"))),OR(10&gt;LEN(B795),MID(B795,10,1)=".",ISNUMBER(FIND("x"&amp;MID(B795,10,1),"x0x1x2x3x4x5x6x7x8x9"))),OR(AND(FIND(".",B795)=5,LEN(B795)-FIND(".",B795,FIND(".",B795)+1)&gt;=1,LEN(B795)-FIND(".",B795,FIND(".",B795)+1)&lt;=2),AND(LEN(B795)-FIND(".",B795,FIND(".",B795)+1)=4,FIND(".",B795)&gt;=2,FIND(".",B795)&lt;=3)),FIND(".",B795,FIND(".",B795)+1)-FIND(".",B795)&gt;=2,FIND(".",B795,FIND(".",B795)+1)-FIND(".",B795)&lt;=3,F795&gt;=2000,F795&lt;=2100,YEAR(I795)=F795,MONTH(I795)=G795,DAY(I795)=H795),I795,0)),0)</ns0:f>
        <ns0:v>0</ns0:v>
      </ns0:c>
      <ns0:c r="K795" s="0">
        <ns0:f>IFERROR(IF(ISNUMBER(Bookings!D795),"",TRIM(Bookings!D795&amp;"")),"")</ns0:f>
      </ns0:c>
      <ns0:c r="L795" s="0">
        <ns0:f>IFERROR(SUBSTITUTE(SUBSTITUTE(K795,"/","."),"-","."),"")</ns0:f>
      </ns0:c>
      <ns0:c r="M795" s="0">
        <ns0:f>IFERROR(LEFT(L795,FIND(".",L795)-1),"")</ns0:f>
      </ns0:c>
      <ns0:c r="N795" s="0">
        <ns0:f>IFERROR(MID(L795,FIND(".",L795)+1,FIND(".",L795,FIND(".",L795)+1)-FIND(".",L795)-1),"")</ns0:f>
      </ns0:c>
      <ns0:c r="O795" s="0">
        <ns0:f>IFERROR(MID(L795,FIND(".",L795,FIND(".",L795)+1)+1,99),"")</ns0:f>
        <ns0:v>99</ns0:v>
      </ns0:c>
      <ns0:c r="P795" s="0">
        <ns0:f>IFERROR(IF(FIND(".",L795)=5,--M795,--O795),0)</ns0:f>
        <ns0:v>0</ns0:v>
      </ns0:c>
      <ns0:c r="Q795" s="0">
        <ns0:f>IFERROR(--N795,0)</ns0:f>
        <ns0:v>0</ns0:v>
      </ns0:c>
      <ns0:c r="R795" s="0">
        <ns0:f>IFERROR(IF(FIND(".",L795)=5,--O795,--M795),0)</ns0:f>
        <ns0:v>0</ns0:v>
      </ns0:c>
      <ns0:c r="S795" s="0">
        <ns0:f>IFERROR(IF(AND(P795&gt;=2000,P795&lt;=2100,Q795&gt;=1,Q795&lt;=12,R795&gt;=1,R795&lt;=31),DATE(P795,Q795,R795),0),0)</ns0:f>
        <ns0:v>0</ns0:v>
      </ns0:c>
      <ns0:c r="T795" s="0">
        <ns0:f>IFERROR(IF(ISNUMBER(Bookings!D795),IF(AND(Bookings!D795=INT(Bookings!D795),Bookings!D795&gt;=DATE(2000,1,1),Bookings!D795&lt;=DATE(2100,12,31)),Bookings!D795,0),IF(AND(K795&lt;&gt;"",LEN("x"&amp;L795)-LEN(SUBSTITUTE("x"&amp;L795,".",""))=2,OR(1&gt;LEN(L795),MID(L795,1,1)=".",ISNUMBER(FIND("x"&amp;MID(L795,1,1),"x0x1x2x3x4x5x6x7x8x9"))),OR(2&gt;LEN(L795),MID(L795,2,1)=".",ISNUMBER(FIND("x"&amp;MID(L795,2,1),"x0x1x2x3x4x5x6x7x8x9"))),OR(3&gt;LEN(L795),MID(L795,3,1)=".",ISNUMBER(FIND("x"&amp;MID(L795,3,1),"x0x1x2x3x4x5x6x7x8x9"))),OR(4&gt;LEN(L795),MID(L795,4,1)=".",ISNUMBER(FIND("x"&amp;MID(L795,4,1),"x0x1x2x3x4x5x6x7x8x9"))),OR(5&gt;LEN(L795),MID(L795,5,1)=".",ISNUMBER(FIND("x"&amp;MID(L795,5,1),"x0x1x2x3x4x5x6x7x8x9"))),OR(6&gt;LEN(L795),MID(L795,6,1)=".",ISNUMBER(FIND("x"&amp;MID(L795,6,1),"x0x1x2x3x4x5x6x7x8x9"))),OR(7&gt;LEN(L795),MID(L795,7,1)=".",ISNUMBER(FIND("x"&amp;MID(L795,7,1),"x0x1x2x3x4x5x6x7x8x9"))),OR(8&gt;LEN(L795),MID(L795,8,1)=".",ISNUMBER(FIND("x"&amp;MID(L795,8,1),"x0x1x2x3x4x5x6x7x8x9"))),OR(9&gt;LEN(L795),MID(L795,9,1)=".",ISNUMBER(FIND("x"&amp;MID(L795,9,1),"x0x1x2x3x4x5x6x7x8x9"))),OR(10&gt;LEN(L795),MID(L795,10,1)=".",ISNUMBER(FIND("x"&amp;MID(L795,10,1),"x0x1x2x3x4x5x6x7x8x9"))),OR(AND(FIND(".",L795)=5,LEN(L795)-FIND(".",L795,FIND(".",L795)+1)&gt;=1,LEN(L795)-FIND(".",L795,FIND(".",L795)+1)&lt;=2),AND(LEN(L795)-FIND(".",L795,FIND(".",L795)+1)=4,FIND(".",L795)&gt;=2,FIND(".",L795)&lt;=3)),FIND(".",L795,FIND(".",L795)+1)-FIND(".",L795)&gt;=2,FIND(".",L795,FIND(".",L795)+1)-FIND(".",L795)&lt;=3,P795&gt;=2000,P795&lt;=2100,YEAR(S795)=P795,MONTH(S795)=Q795,DAY(S795)=R795),S795,0)),0)</ns0:f>
        <ns0:v>0</ns0:v>
      </ns0:c>
      <ns0:c r="U795" s="0" t="str">
        <ns0:f>IF(Bookings!C795="","Full day",Bookings!C795)</ns0:f>
        <ns0:v>Full day</ns0:v>
      </ns0:c>
      <ns0:c r="V795" s="0" t="str">
        <ns0:f>IF(Bookings!E795="","Full day",Bookings!E795)</ns0:f>
        <ns0:v>Full day</ns0:v>
      </ns0:c>
      <ns0:c r="W795" s="0">
        <ns0:f>IF(J795=0,0,J795+IF(U795="PM",1,0))</ns0:f>
        <ns0:v>0</ns0:v>
      </ns0:c>
      <ns0:c r="X795" s="0">
        <ns0:f>IF(T795=0,0,T795-IF(V795="PM",1,0))</ns0:f>
        <ns0:v>0</ns0:v>
      </ns0:c>
      <ns0:c r="Y795" s="0">
        <ns0:f>IF(J795=0,0,J795+IF(U795="AM",1,0))</ns0:f>
        <ns0:v>0</ns0:v>
      </ns0:c>
      <ns0:c r="Z795" s="0">
        <ns0:f>IF(T795=0,0,T795-IF(V795="AM",1,0))</ns0:f>
        <ns0:v>0</ns0:v>
      </ns0:c>
      <ns0:c r="AA795" s="0">
        <ns0:f>IFERROR(IF(AND(J795&gt;0,'_Engine'!C795&gt;0,MID('_Engine'!W795,WEEKDAY(J795,2),1)="W",COUNTIF(Settings!$F$18:$F$67,J795)=0),1,0),0)</ns0:f>
        <ns0:v>0</ns0:v>
      </ns0:c>
      <ns0:c r="AB795" s="0">
        <ns0:f>IFERROR(IF(AND(T795&gt;0,'_Engine'!C795&gt;0,MID('_Engine'!W795,WEEKDAY(T795,2),1)="W",COUNTIF(Settings!$F$18:$F$67,T795)=0),1,0),0)</ns0:f>
        <ns0:v>0</ns0:v>
      </ns0:c>
      <ns0:c r="AC795" s="0">
        <ns0:f>IF(AND(J795&gt;0,T795&gt;0,W795&lt;=X795),1,0)</ns0:f>
        <ns0:v>0</ns0:v>
      </ns0:c>
      <ns0:c r="AD795" s="0">
        <ns0:f>IF(AND(J795&gt;0,T795&gt;0,Y795&lt;=Z795),1,0)</ns0:f>
        <ns0:v>0</ns0:v>
      </ns0:c>
    </ns0:row>
    <ns0:row r="796">
      <ns0:c r="A796" s="0">
        <ns0:f>IFERROR(IF(ISNUMBER(Bookings!B796),"",TRIM(Bookings!B796&amp;"")),"")</ns0:f>
      </ns0:c>
      <ns0:c r="B796" s="0">
        <ns0:f>IFERROR(SUBSTITUTE(SUBSTITUTE(A796,"/","."),"-","."),"")</ns0:f>
      </ns0:c>
      <ns0:c r="C796" s="0">
        <ns0:f>IFERROR(LEFT(B796,FIND(".",B796)-1),"")</ns0:f>
      </ns0:c>
      <ns0:c r="D796" s="0">
        <ns0:f>IFERROR(MID(B796,FIND(".",B796)+1,FIND(".",B796,FIND(".",B796)+1)-FIND(".",B796)-1),"")</ns0:f>
      </ns0:c>
      <ns0:c r="E796" s="0">
        <ns0:f>IFERROR(MID(B796,FIND(".",B796,FIND(".",B796)+1)+1,99),"")</ns0:f>
        <ns0:v>99</ns0:v>
      </ns0:c>
      <ns0:c r="F796" s="0">
        <ns0:f>IFERROR(IF(FIND(".",B796)=5,--C796,--E796),0)</ns0:f>
        <ns0:v>0</ns0:v>
      </ns0:c>
      <ns0:c r="G796" s="0">
        <ns0:f>IFERROR(--D796,0)</ns0:f>
        <ns0:v>0</ns0:v>
      </ns0:c>
      <ns0:c r="H796" s="0">
        <ns0:f>IFERROR(IF(FIND(".",B796)=5,--E796,--C796),0)</ns0:f>
        <ns0:v>0</ns0:v>
      </ns0:c>
      <ns0:c r="I796" s="0">
        <ns0:f>IFERROR(IF(AND(F796&gt;=2000,F796&lt;=2100,G796&gt;=1,G796&lt;=12,H796&gt;=1,H796&lt;=31),DATE(F796,G796,H796),0),0)</ns0:f>
        <ns0:v>0</ns0:v>
      </ns0:c>
      <ns0:c r="J796" s="0">
        <ns0:f>IFERROR(IF(ISNUMBER(Bookings!B796),IF(AND(Bookings!B796=INT(Bookings!B796),Bookings!B796&gt;=DATE(2000,1,1),Bookings!B796&lt;=DATE(2100,12,31)),Bookings!B796,0),IF(AND(A796&lt;&gt;"",LEN("x"&amp;B796)-LEN(SUBSTITUTE("x"&amp;B796,".",""))=2,OR(1&gt;LEN(B796),MID(B796,1,1)=".",ISNUMBER(FIND("x"&amp;MID(B796,1,1),"x0x1x2x3x4x5x6x7x8x9"))),OR(2&gt;LEN(B796),MID(B796,2,1)=".",ISNUMBER(FIND("x"&amp;MID(B796,2,1),"x0x1x2x3x4x5x6x7x8x9"))),OR(3&gt;LEN(B796),MID(B796,3,1)=".",ISNUMBER(FIND("x"&amp;MID(B796,3,1),"x0x1x2x3x4x5x6x7x8x9"))),OR(4&gt;LEN(B796),MID(B796,4,1)=".",ISNUMBER(FIND("x"&amp;MID(B796,4,1),"x0x1x2x3x4x5x6x7x8x9"))),OR(5&gt;LEN(B796),MID(B796,5,1)=".",ISNUMBER(FIND("x"&amp;MID(B796,5,1),"x0x1x2x3x4x5x6x7x8x9"))),OR(6&gt;LEN(B796),MID(B796,6,1)=".",ISNUMBER(FIND("x"&amp;MID(B796,6,1),"x0x1x2x3x4x5x6x7x8x9"))),OR(7&gt;LEN(B796),MID(B796,7,1)=".",ISNUMBER(FIND("x"&amp;MID(B796,7,1),"x0x1x2x3x4x5x6x7x8x9"))),OR(8&gt;LEN(B796),MID(B796,8,1)=".",ISNUMBER(FIND("x"&amp;MID(B796,8,1),"x0x1x2x3x4x5x6x7x8x9"))),OR(9&gt;LEN(B796),MID(B796,9,1)=".",ISNUMBER(FIND("x"&amp;MID(B796,9,1),"x0x1x2x3x4x5x6x7x8x9"))),OR(10&gt;LEN(B796),MID(B796,10,1)=".",ISNUMBER(FIND("x"&amp;MID(B796,10,1),"x0x1x2x3x4x5x6x7x8x9"))),OR(AND(FIND(".",B796)=5,LEN(B796)-FIND(".",B796,FIND(".",B796)+1)&gt;=1,LEN(B796)-FIND(".",B796,FIND(".",B796)+1)&lt;=2),AND(LEN(B796)-FIND(".",B796,FIND(".",B796)+1)=4,FIND(".",B796)&gt;=2,FIND(".",B796)&lt;=3)),FIND(".",B796,FIND(".",B796)+1)-FIND(".",B796)&gt;=2,FIND(".",B796,FIND(".",B796)+1)-FIND(".",B796)&lt;=3,F796&gt;=2000,F796&lt;=2100,YEAR(I796)=F796,MONTH(I796)=G796,DAY(I796)=H796),I796,0)),0)</ns0:f>
        <ns0:v>0</ns0:v>
      </ns0:c>
      <ns0:c r="K796" s="0">
        <ns0:f>IFERROR(IF(ISNUMBER(Bookings!D796),"",TRIM(Bookings!D796&amp;"")),"")</ns0:f>
      </ns0:c>
      <ns0:c r="L796" s="0">
        <ns0:f>IFERROR(SUBSTITUTE(SUBSTITUTE(K796,"/","."),"-","."),"")</ns0:f>
      </ns0:c>
      <ns0:c r="M796" s="0">
        <ns0:f>IFERROR(LEFT(L796,FIND(".",L796)-1),"")</ns0:f>
      </ns0:c>
      <ns0:c r="N796" s="0">
        <ns0:f>IFERROR(MID(L796,FIND(".",L796)+1,FIND(".",L796,FIND(".",L796)+1)-FIND(".",L796)-1),"")</ns0:f>
      </ns0:c>
      <ns0:c r="O796" s="0">
        <ns0:f>IFERROR(MID(L796,FIND(".",L796,FIND(".",L796)+1)+1,99),"")</ns0:f>
        <ns0:v>99</ns0:v>
      </ns0:c>
      <ns0:c r="P796" s="0">
        <ns0:f>IFERROR(IF(FIND(".",L796)=5,--M796,--O796),0)</ns0:f>
        <ns0:v>0</ns0:v>
      </ns0:c>
      <ns0:c r="Q796" s="0">
        <ns0:f>IFERROR(--N796,0)</ns0:f>
        <ns0:v>0</ns0:v>
      </ns0:c>
      <ns0:c r="R796" s="0">
        <ns0:f>IFERROR(IF(FIND(".",L796)=5,--O796,--M796),0)</ns0:f>
        <ns0:v>0</ns0:v>
      </ns0:c>
      <ns0:c r="S796" s="0">
        <ns0:f>IFERROR(IF(AND(P796&gt;=2000,P796&lt;=2100,Q796&gt;=1,Q796&lt;=12,R796&gt;=1,R796&lt;=31),DATE(P796,Q796,R796),0),0)</ns0:f>
        <ns0:v>0</ns0:v>
      </ns0:c>
      <ns0:c r="T796" s="0">
        <ns0:f>IFERROR(IF(ISNUMBER(Bookings!D796),IF(AND(Bookings!D796=INT(Bookings!D796),Bookings!D796&gt;=DATE(2000,1,1),Bookings!D796&lt;=DATE(2100,12,31)),Bookings!D796,0),IF(AND(K796&lt;&gt;"",LEN("x"&amp;L796)-LEN(SUBSTITUTE("x"&amp;L796,".",""))=2,OR(1&gt;LEN(L796),MID(L796,1,1)=".",ISNUMBER(FIND("x"&amp;MID(L796,1,1),"x0x1x2x3x4x5x6x7x8x9"))),OR(2&gt;LEN(L796),MID(L796,2,1)=".",ISNUMBER(FIND("x"&amp;MID(L796,2,1),"x0x1x2x3x4x5x6x7x8x9"))),OR(3&gt;LEN(L796),MID(L796,3,1)=".",ISNUMBER(FIND("x"&amp;MID(L796,3,1),"x0x1x2x3x4x5x6x7x8x9"))),OR(4&gt;LEN(L796),MID(L796,4,1)=".",ISNUMBER(FIND("x"&amp;MID(L796,4,1),"x0x1x2x3x4x5x6x7x8x9"))),OR(5&gt;LEN(L796),MID(L796,5,1)=".",ISNUMBER(FIND("x"&amp;MID(L796,5,1),"x0x1x2x3x4x5x6x7x8x9"))),OR(6&gt;LEN(L796),MID(L796,6,1)=".",ISNUMBER(FIND("x"&amp;MID(L796,6,1),"x0x1x2x3x4x5x6x7x8x9"))),OR(7&gt;LEN(L796),MID(L796,7,1)=".",ISNUMBER(FIND("x"&amp;MID(L796,7,1),"x0x1x2x3x4x5x6x7x8x9"))),OR(8&gt;LEN(L796),MID(L796,8,1)=".",ISNUMBER(FIND("x"&amp;MID(L796,8,1),"x0x1x2x3x4x5x6x7x8x9"))),OR(9&gt;LEN(L796),MID(L796,9,1)=".",ISNUMBER(FIND("x"&amp;MID(L796,9,1),"x0x1x2x3x4x5x6x7x8x9"))),OR(10&gt;LEN(L796),MID(L796,10,1)=".",ISNUMBER(FIND("x"&amp;MID(L796,10,1),"x0x1x2x3x4x5x6x7x8x9"))),OR(AND(FIND(".",L796)=5,LEN(L796)-FIND(".",L796,FIND(".",L796)+1)&gt;=1,LEN(L796)-FIND(".",L796,FIND(".",L796)+1)&lt;=2),AND(LEN(L796)-FIND(".",L796,FIND(".",L796)+1)=4,FIND(".",L796)&gt;=2,FIND(".",L796)&lt;=3)),FIND(".",L796,FIND(".",L796)+1)-FIND(".",L796)&gt;=2,FIND(".",L796,FIND(".",L796)+1)-FIND(".",L796)&lt;=3,P796&gt;=2000,P796&lt;=2100,YEAR(S796)=P796,MONTH(S796)=Q796,DAY(S796)=R796),S796,0)),0)</ns0:f>
        <ns0:v>0</ns0:v>
      </ns0:c>
      <ns0:c r="U796" s="0" t="str">
        <ns0:f>IF(Bookings!C796="","Full day",Bookings!C796)</ns0:f>
        <ns0:v>Full day</ns0:v>
      </ns0:c>
      <ns0:c r="V796" s="0" t="str">
        <ns0:f>IF(Bookings!E796="","Full day",Bookings!E796)</ns0:f>
        <ns0:v>Full day</ns0:v>
      </ns0:c>
      <ns0:c r="W796" s="0">
        <ns0:f>IF(J796=0,0,J796+IF(U796="PM",1,0))</ns0:f>
        <ns0:v>0</ns0:v>
      </ns0:c>
      <ns0:c r="X796" s="0">
        <ns0:f>IF(T796=0,0,T796-IF(V796="PM",1,0))</ns0:f>
        <ns0:v>0</ns0:v>
      </ns0:c>
      <ns0:c r="Y796" s="0">
        <ns0:f>IF(J796=0,0,J796+IF(U796="AM",1,0))</ns0:f>
        <ns0:v>0</ns0:v>
      </ns0:c>
      <ns0:c r="Z796" s="0">
        <ns0:f>IF(T796=0,0,T796-IF(V796="AM",1,0))</ns0:f>
        <ns0:v>0</ns0:v>
      </ns0:c>
      <ns0:c r="AA796" s="0">
        <ns0:f>IFERROR(IF(AND(J796&gt;0,'_Engine'!C796&gt;0,MID('_Engine'!W796,WEEKDAY(J796,2),1)="W",COUNTIF(Settings!$F$18:$F$67,J796)=0),1,0),0)</ns0:f>
        <ns0:v>0</ns0:v>
      </ns0:c>
      <ns0:c r="AB796" s="0">
        <ns0:f>IFERROR(IF(AND(T796&gt;0,'_Engine'!C796&gt;0,MID('_Engine'!W796,WEEKDAY(T796,2),1)="W",COUNTIF(Settings!$F$18:$F$67,T796)=0),1,0),0)</ns0:f>
        <ns0:v>0</ns0:v>
      </ns0:c>
      <ns0:c r="AC796" s="0">
        <ns0:f>IF(AND(J796&gt;0,T796&gt;0,W796&lt;=X796),1,0)</ns0:f>
        <ns0:v>0</ns0:v>
      </ns0:c>
      <ns0:c r="AD796" s="0">
        <ns0:f>IF(AND(J796&gt;0,T796&gt;0,Y796&lt;=Z796),1,0)</ns0:f>
        <ns0:v>0</ns0:v>
      </ns0:c>
    </ns0:row>
    <ns0:row r="797">
      <ns0:c r="A797" s="0">
        <ns0:f>IFERROR(IF(ISNUMBER(Bookings!B797),"",TRIM(Bookings!B797&amp;"")),"")</ns0:f>
      </ns0:c>
      <ns0:c r="B797" s="0">
        <ns0:f>IFERROR(SUBSTITUTE(SUBSTITUTE(A797,"/","."),"-","."),"")</ns0:f>
      </ns0:c>
      <ns0:c r="C797" s="0">
        <ns0:f>IFERROR(LEFT(B797,FIND(".",B797)-1),"")</ns0:f>
      </ns0:c>
      <ns0:c r="D797" s="0">
        <ns0:f>IFERROR(MID(B797,FIND(".",B797)+1,FIND(".",B797,FIND(".",B797)+1)-FIND(".",B797)-1),"")</ns0:f>
      </ns0:c>
      <ns0:c r="E797" s="0">
        <ns0:f>IFERROR(MID(B797,FIND(".",B797,FIND(".",B797)+1)+1,99),"")</ns0:f>
        <ns0:v>99</ns0:v>
      </ns0:c>
      <ns0:c r="F797" s="0">
        <ns0:f>IFERROR(IF(FIND(".",B797)=5,--C797,--E797),0)</ns0:f>
        <ns0:v>0</ns0:v>
      </ns0:c>
      <ns0:c r="G797" s="0">
        <ns0:f>IFERROR(--D797,0)</ns0:f>
        <ns0:v>0</ns0:v>
      </ns0:c>
      <ns0:c r="H797" s="0">
        <ns0:f>IFERROR(IF(FIND(".",B797)=5,--E797,--C797),0)</ns0:f>
        <ns0:v>0</ns0:v>
      </ns0:c>
      <ns0:c r="I797" s="0">
        <ns0:f>IFERROR(IF(AND(F797&gt;=2000,F797&lt;=2100,G797&gt;=1,G797&lt;=12,H797&gt;=1,H797&lt;=31),DATE(F797,G797,H797),0),0)</ns0:f>
        <ns0:v>0</ns0:v>
      </ns0:c>
      <ns0:c r="J797" s="0">
        <ns0:f>IFERROR(IF(ISNUMBER(Bookings!B797),IF(AND(Bookings!B797=INT(Bookings!B797),Bookings!B797&gt;=DATE(2000,1,1),Bookings!B797&lt;=DATE(2100,12,31)),Bookings!B797,0),IF(AND(A797&lt;&gt;"",LEN("x"&amp;B797)-LEN(SUBSTITUTE("x"&amp;B797,".",""))=2,OR(1&gt;LEN(B797),MID(B797,1,1)=".",ISNUMBER(FIND("x"&amp;MID(B797,1,1),"x0x1x2x3x4x5x6x7x8x9"))),OR(2&gt;LEN(B797),MID(B797,2,1)=".",ISNUMBER(FIND("x"&amp;MID(B797,2,1),"x0x1x2x3x4x5x6x7x8x9"))),OR(3&gt;LEN(B797),MID(B797,3,1)=".",ISNUMBER(FIND("x"&amp;MID(B797,3,1),"x0x1x2x3x4x5x6x7x8x9"))),OR(4&gt;LEN(B797),MID(B797,4,1)=".",ISNUMBER(FIND("x"&amp;MID(B797,4,1),"x0x1x2x3x4x5x6x7x8x9"))),OR(5&gt;LEN(B797),MID(B797,5,1)=".",ISNUMBER(FIND("x"&amp;MID(B797,5,1),"x0x1x2x3x4x5x6x7x8x9"))),OR(6&gt;LEN(B797),MID(B797,6,1)=".",ISNUMBER(FIND("x"&amp;MID(B797,6,1),"x0x1x2x3x4x5x6x7x8x9"))),OR(7&gt;LEN(B797),MID(B797,7,1)=".",ISNUMBER(FIND("x"&amp;MID(B797,7,1),"x0x1x2x3x4x5x6x7x8x9"))),OR(8&gt;LEN(B797),MID(B797,8,1)=".",ISNUMBER(FIND("x"&amp;MID(B797,8,1),"x0x1x2x3x4x5x6x7x8x9"))),OR(9&gt;LEN(B797),MID(B797,9,1)=".",ISNUMBER(FIND("x"&amp;MID(B797,9,1),"x0x1x2x3x4x5x6x7x8x9"))),OR(10&gt;LEN(B797),MID(B797,10,1)=".",ISNUMBER(FIND("x"&amp;MID(B797,10,1),"x0x1x2x3x4x5x6x7x8x9"))),OR(AND(FIND(".",B797)=5,LEN(B797)-FIND(".",B797,FIND(".",B797)+1)&gt;=1,LEN(B797)-FIND(".",B797,FIND(".",B797)+1)&lt;=2),AND(LEN(B797)-FIND(".",B797,FIND(".",B797)+1)=4,FIND(".",B797)&gt;=2,FIND(".",B797)&lt;=3)),FIND(".",B797,FIND(".",B797)+1)-FIND(".",B797)&gt;=2,FIND(".",B797,FIND(".",B797)+1)-FIND(".",B797)&lt;=3,F797&gt;=2000,F797&lt;=2100,YEAR(I797)=F797,MONTH(I797)=G797,DAY(I797)=H797),I797,0)),0)</ns0:f>
        <ns0:v>0</ns0:v>
      </ns0:c>
      <ns0:c r="K797" s="0">
        <ns0:f>IFERROR(IF(ISNUMBER(Bookings!D797),"",TRIM(Bookings!D797&amp;"")),"")</ns0:f>
      </ns0:c>
      <ns0:c r="L797" s="0">
        <ns0:f>IFERROR(SUBSTITUTE(SUBSTITUTE(K797,"/","."),"-","."),"")</ns0:f>
      </ns0:c>
      <ns0:c r="M797" s="0">
        <ns0:f>IFERROR(LEFT(L797,FIND(".",L797)-1),"")</ns0:f>
      </ns0:c>
      <ns0:c r="N797" s="0">
        <ns0:f>IFERROR(MID(L797,FIND(".",L797)+1,FIND(".",L797,FIND(".",L797)+1)-FIND(".",L797)-1),"")</ns0:f>
      </ns0:c>
      <ns0:c r="O797" s="0">
        <ns0:f>IFERROR(MID(L797,FIND(".",L797,FIND(".",L797)+1)+1,99),"")</ns0:f>
        <ns0:v>99</ns0:v>
      </ns0:c>
      <ns0:c r="P797" s="0">
        <ns0:f>IFERROR(IF(FIND(".",L797)=5,--M797,--O797),0)</ns0:f>
        <ns0:v>0</ns0:v>
      </ns0:c>
      <ns0:c r="Q797" s="0">
        <ns0:f>IFERROR(--N797,0)</ns0:f>
        <ns0:v>0</ns0:v>
      </ns0:c>
      <ns0:c r="R797" s="0">
        <ns0:f>IFERROR(IF(FIND(".",L797)=5,--O797,--M797),0)</ns0:f>
        <ns0:v>0</ns0:v>
      </ns0:c>
      <ns0:c r="S797" s="0">
        <ns0:f>IFERROR(IF(AND(P797&gt;=2000,P797&lt;=2100,Q797&gt;=1,Q797&lt;=12,R797&gt;=1,R797&lt;=31),DATE(P797,Q797,R797),0),0)</ns0:f>
        <ns0:v>0</ns0:v>
      </ns0:c>
      <ns0:c r="T797" s="0">
        <ns0:f>IFERROR(IF(ISNUMBER(Bookings!D797),IF(AND(Bookings!D797=INT(Bookings!D797),Bookings!D797&gt;=DATE(2000,1,1),Bookings!D797&lt;=DATE(2100,12,31)),Bookings!D797,0),IF(AND(K797&lt;&gt;"",LEN("x"&amp;L797)-LEN(SUBSTITUTE("x"&amp;L797,".",""))=2,OR(1&gt;LEN(L797),MID(L797,1,1)=".",ISNUMBER(FIND("x"&amp;MID(L797,1,1),"x0x1x2x3x4x5x6x7x8x9"))),OR(2&gt;LEN(L797),MID(L797,2,1)=".",ISNUMBER(FIND("x"&amp;MID(L797,2,1),"x0x1x2x3x4x5x6x7x8x9"))),OR(3&gt;LEN(L797),MID(L797,3,1)=".",ISNUMBER(FIND("x"&amp;MID(L797,3,1),"x0x1x2x3x4x5x6x7x8x9"))),OR(4&gt;LEN(L797),MID(L797,4,1)=".",ISNUMBER(FIND("x"&amp;MID(L797,4,1),"x0x1x2x3x4x5x6x7x8x9"))),OR(5&gt;LEN(L797),MID(L797,5,1)=".",ISNUMBER(FIND("x"&amp;MID(L797,5,1),"x0x1x2x3x4x5x6x7x8x9"))),OR(6&gt;LEN(L797),MID(L797,6,1)=".",ISNUMBER(FIND("x"&amp;MID(L797,6,1),"x0x1x2x3x4x5x6x7x8x9"))),OR(7&gt;LEN(L797),MID(L797,7,1)=".",ISNUMBER(FIND("x"&amp;MID(L797,7,1),"x0x1x2x3x4x5x6x7x8x9"))),OR(8&gt;LEN(L797),MID(L797,8,1)=".",ISNUMBER(FIND("x"&amp;MID(L797,8,1),"x0x1x2x3x4x5x6x7x8x9"))),OR(9&gt;LEN(L797),MID(L797,9,1)=".",ISNUMBER(FIND("x"&amp;MID(L797,9,1),"x0x1x2x3x4x5x6x7x8x9"))),OR(10&gt;LEN(L797),MID(L797,10,1)=".",ISNUMBER(FIND("x"&amp;MID(L797,10,1),"x0x1x2x3x4x5x6x7x8x9"))),OR(AND(FIND(".",L797)=5,LEN(L797)-FIND(".",L797,FIND(".",L797)+1)&gt;=1,LEN(L797)-FIND(".",L797,FIND(".",L797)+1)&lt;=2),AND(LEN(L797)-FIND(".",L797,FIND(".",L797)+1)=4,FIND(".",L797)&gt;=2,FIND(".",L797)&lt;=3)),FIND(".",L797,FIND(".",L797)+1)-FIND(".",L797)&gt;=2,FIND(".",L797,FIND(".",L797)+1)-FIND(".",L797)&lt;=3,P797&gt;=2000,P797&lt;=2100,YEAR(S797)=P797,MONTH(S797)=Q797,DAY(S797)=R797),S797,0)),0)</ns0:f>
        <ns0:v>0</ns0:v>
      </ns0:c>
      <ns0:c r="U797" s="0" t="str">
        <ns0:f>IF(Bookings!C797="","Full day",Bookings!C797)</ns0:f>
        <ns0:v>Full day</ns0:v>
      </ns0:c>
      <ns0:c r="V797" s="0" t="str">
        <ns0:f>IF(Bookings!E797="","Full day",Bookings!E797)</ns0:f>
        <ns0:v>Full day</ns0:v>
      </ns0:c>
      <ns0:c r="W797" s="0">
        <ns0:f>IF(J797=0,0,J797+IF(U797="PM",1,0))</ns0:f>
        <ns0:v>0</ns0:v>
      </ns0:c>
      <ns0:c r="X797" s="0">
        <ns0:f>IF(T797=0,0,T797-IF(V797="PM",1,0))</ns0:f>
        <ns0:v>0</ns0:v>
      </ns0:c>
      <ns0:c r="Y797" s="0">
        <ns0:f>IF(J797=0,0,J797+IF(U797="AM",1,0))</ns0:f>
        <ns0:v>0</ns0:v>
      </ns0:c>
      <ns0:c r="Z797" s="0">
        <ns0:f>IF(T797=0,0,T797-IF(V797="AM",1,0))</ns0:f>
        <ns0:v>0</ns0:v>
      </ns0:c>
      <ns0:c r="AA797" s="0">
        <ns0:f>IFERROR(IF(AND(J797&gt;0,'_Engine'!C797&gt;0,MID('_Engine'!W797,WEEKDAY(J797,2),1)="W",COUNTIF(Settings!$F$18:$F$67,J797)=0),1,0),0)</ns0:f>
        <ns0:v>0</ns0:v>
      </ns0:c>
      <ns0:c r="AB797" s="0">
        <ns0:f>IFERROR(IF(AND(T797&gt;0,'_Engine'!C797&gt;0,MID('_Engine'!W797,WEEKDAY(T797,2),1)="W",COUNTIF(Settings!$F$18:$F$67,T797)=0),1,0),0)</ns0:f>
        <ns0:v>0</ns0:v>
      </ns0:c>
      <ns0:c r="AC797" s="0">
        <ns0:f>IF(AND(J797&gt;0,T797&gt;0,W797&lt;=X797),1,0)</ns0:f>
        <ns0:v>0</ns0:v>
      </ns0:c>
      <ns0:c r="AD797" s="0">
        <ns0:f>IF(AND(J797&gt;0,T797&gt;0,Y797&lt;=Z797),1,0)</ns0:f>
        <ns0:v>0</ns0:v>
      </ns0:c>
    </ns0:row>
    <ns0:row r="798">
      <ns0:c r="A798" s="0">
        <ns0:f>IFERROR(IF(ISNUMBER(Bookings!B798),"",TRIM(Bookings!B798&amp;"")),"")</ns0:f>
      </ns0:c>
      <ns0:c r="B798" s="0">
        <ns0:f>IFERROR(SUBSTITUTE(SUBSTITUTE(A798,"/","."),"-","."),"")</ns0:f>
      </ns0:c>
      <ns0:c r="C798" s="0">
        <ns0:f>IFERROR(LEFT(B798,FIND(".",B798)-1),"")</ns0:f>
      </ns0:c>
      <ns0:c r="D798" s="0">
        <ns0:f>IFERROR(MID(B798,FIND(".",B798)+1,FIND(".",B798,FIND(".",B798)+1)-FIND(".",B798)-1),"")</ns0:f>
      </ns0:c>
      <ns0:c r="E798" s="0">
        <ns0:f>IFERROR(MID(B798,FIND(".",B798,FIND(".",B798)+1)+1,99),"")</ns0:f>
        <ns0:v>99</ns0:v>
      </ns0:c>
      <ns0:c r="F798" s="0">
        <ns0:f>IFERROR(IF(FIND(".",B798)=5,--C798,--E798),0)</ns0:f>
        <ns0:v>0</ns0:v>
      </ns0:c>
      <ns0:c r="G798" s="0">
        <ns0:f>IFERROR(--D798,0)</ns0:f>
        <ns0:v>0</ns0:v>
      </ns0:c>
      <ns0:c r="H798" s="0">
        <ns0:f>IFERROR(IF(FIND(".",B798)=5,--E798,--C798),0)</ns0:f>
        <ns0:v>0</ns0:v>
      </ns0:c>
      <ns0:c r="I798" s="0">
        <ns0:f>IFERROR(IF(AND(F798&gt;=2000,F798&lt;=2100,G798&gt;=1,G798&lt;=12,H798&gt;=1,H798&lt;=31),DATE(F798,G798,H798),0),0)</ns0:f>
        <ns0:v>0</ns0:v>
      </ns0:c>
      <ns0:c r="J798" s="0">
        <ns0:f>IFERROR(IF(ISNUMBER(Bookings!B798),IF(AND(Bookings!B798=INT(Bookings!B798),Bookings!B798&gt;=DATE(2000,1,1),Bookings!B798&lt;=DATE(2100,12,31)),Bookings!B798,0),IF(AND(A798&lt;&gt;"",LEN("x"&amp;B798)-LEN(SUBSTITUTE("x"&amp;B798,".",""))=2,OR(1&gt;LEN(B798),MID(B798,1,1)=".",ISNUMBER(FIND("x"&amp;MID(B798,1,1),"x0x1x2x3x4x5x6x7x8x9"))),OR(2&gt;LEN(B798),MID(B798,2,1)=".",ISNUMBER(FIND("x"&amp;MID(B798,2,1),"x0x1x2x3x4x5x6x7x8x9"))),OR(3&gt;LEN(B798),MID(B798,3,1)=".",ISNUMBER(FIND("x"&amp;MID(B798,3,1),"x0x1x2x3x4x5x6x7x8x9"))),OR(4&gt;LEN(B798),MID(B798,4,1)=".",ISNUMBER(FIND("x"&amp;MID(B798,4,1),"x0x1x2x3x4x5x6x7x8x9"))),OR(5&gt;LEN(B798),MID(B798,5,1)=".",ISNUMBER(FIND("x"&amp;MID(B798,5,1),"x0x1x2x3x4x5x6x7x8x9"))),OR(6&gt;LEN(B798),MID(B798,6,1)=".",ISNUMBER(FIND("x"&amp;MID(B798,6,1),"x0x1x2x3x4x5x6x7x8x9"))),OR(7&gt;LEN(B798),MID(B798,7,1)=".",ISNUMBER(FIND("x"&amp;MID(B798,7,1),"x0x1x2x3x4x5x6x7x8x9"))),OR(8&gt;LEN(B798),MID(B798,8,1)=".",ISNUMBER(FIND("x"&amp;MID(B798,8,1),"x0x1x2x3x4x5x6x7x8x9"))),OR(9&gt;LEN(B798),MID(B798,9,1)=".",ISNUMBER(FIND("x"&amp;MID(B798,9,1),"x0x1x2x3x4x5x6x7x8x9"))),OR(10&gt;LEN(B798),MID(B798,10,1)=".",ISNUMBER(FIND("x"&amp;MID(B798,10,1),"x0x1x2x3x4x5x6x7x8x9"))),OR(AND(FIND(".",B798)=5,LEN(B798)-FIND(".",B798,FIND(".",B798)+1)&gt;=1,LEN(B798)-FIND(".",B798,FIND(".",B798)+1)&lt;=2),AND(LEN(B798)-FIND(".",B798,FIND(".",B798)+1)=4,FIND(".",B798)&gt;=2,FIND(".",B798)&lt;=3)),FIND(".",B798,FIND(".",B798)+1)-FIND(".",B798)&gt;=2,FIND(".",B798,FIND(".",B798)+1)-FIND(".",B798)&lt;=3,F798&gt;=2000,F798&lt;=2100,YEAR(I798)=F798,MONTH(I798)=G798,DAY(I798)=H798),I798,0)),0)</ns0:f>
        <ns0:v>0</ns0:v>
      </ns0:c>
      <ns0:c r="K798" s="0">
        <ns0:f>IFERROR(IF(ISNUMBER(Bookings!D798),"",TRIM(Bookings!D798&amp;"")),"")</ns0:f>
      </ns0:c>
      <ns0:c r="L798" s="0">
        <ns0:f>IFERROR(SUBSTITUTE(SUBSTITUTE(K798,"/","."),"-","."),"")</ns0:f>
      </ns0:c>
      <ns0:c r="M798" s="0">
        <ns0:f>IFERROR(LEFT(L798,FIND(".",L798)-1),"")</ns0:f>
      </ns0:c>
      <ns0:c r="N798" s="0">
        <ns0:f>IFERROR(MID(L798,FIND(".",L798)+1,FIND(".",L798,FIND(".",L798)+1)-FIND(".",L798)-1),"")</ns0:f>
      </ns0:c>
      <ns0:c r="O798" s="0">
        <ns0:f>IFERROR(MID(L798,FIND(".",L798,FIND(".",L798)+1)+1,99),"")</ns0:f>
        <ns0:v>99</ns0:v>
      </ns0:c>
      <ns0:c r="P798" s="0">
        <ns0:f>IFERROR(IF(FIND(".",L798)=5,--M798,--O798),0)</ns0:f>
        <ns0:v>0</ns0:v>
      </ns0:c>
      <ns0:c r="Q798" s="0">
        <ns0:f>IFERROR(--N798,0)</ns0:f>
        <ns0:v>0</ns0:v>
      </ns0:c>
      <ns0:c r="R798" s="0">
        <ns0:f>IFERROR(IF(FIND(".",L798)=5,--O798,--M798),0)</ns0:f>
        <ns0:v>0</ns0:v>
      </ns0:c>
      <ns0:c r="S798" s="0">
        <ns0:f>IFERROR(IF(AND(P798&gt;=2000,P798&lt;=2100,Q798&gt;=1,Q798&lt;=12,R798&gt;=1,R798&lt;=31),DATE(P798,Q798,R798),0),0)</ns0:f>
        <ns0:v>0</ns0:v>
      </ns0:c>
      <ns0:c r="T798" s="0">
        <ns0:f>IFERROR(IF(ISNUMBER(Bookings!D798),IF(AND(Bookings!D798=INT(Bookings!D798),Bookings!D798&gt;=DATE(2000,1,1),Bookings!D798&lt;=DATE(2100,12,31)),Bookings!D798,0),IF(AND(K798&lt;&gt;"",LEN("x"&amp;L798)-LEN(SUBSTITUTE("x"&amp;L798,".",""))=2,OR(1&gt;LEN(L798),MID(L798,1,1)=".",ISNUMBER(FIND("x"&amp;MID(L798,1,1),"x0x1x2x3x4x5x6x7x8x9"))),OR(2&gt;LEN(L798),MID(L798,2,1)=".",ISNUMBER(FIND("x"&amp;MID(L798,2,1),"x0x1x2x3x4x5x6x7x8x9"))),OR(3&gt;LEN(L798),MID(L798,3,1)=".",ISNUMBER(FIND("x"&amp;MID(L798,3,1),"x0x1x2x3x4x5x6x7x8x9"))),OR(4&gt;LEN(L798),MID(L798,4,1)=".",ISNUMBER(FIND("x"&amp;MID(L798,4,1),"x0x1x2x3x4x5x6x7x8x9"))),OR(5&gt;LEN(L798),MID(L798,5,1)=".",ISNUMBER(FIND("x"&amp;MID(L798,5,1),"x0x1x2x3x4x5x6x7x8x9"))),OR(6&gt;LEN(L798),MID(L798,6,1)=".",ISNUMBER(FIND("x"&amp;MID(L798,6,1),"x0x1x2x3x4x5x6x7x8x9"))),OR(7&gt;LEN(L798),MID(L798,7,1)=".",ISNUMBER(FIND("x"&amp;MID(L798,7,1),"x0x1x2x3x4x5x6x7x8x9"))),OR(8&gt;LEN(L798),MID(L798,8,1)=".",ISNUMBER(FIND("x"&amp;MID(L798,8,1),"x0x1x2x3x4x5x6x7x8x9"))),OR(9&gt;LEN(L798),MID(L798,9,1)=".",ISNUMBER(FIND("x"&amp;MID(L798,9,1),"x0x1x2x3x4x5x6x7x8x9"))),OR(10&gt;LEN(L798),MID(L798,10,1)=".",ISNUMBER(FIND("x"&amp;MID(L798,10,1),"x0x1x2x3x4x5x6x7x8x9"))),OR(AND(FIND(".",L798)=5,LEN(L798)-FIND(".",L798,FIND(".",L798)+1)&gt;=1,LEN(L798)-FIND(".",L798,FIND(".",L798)+1)&lt;=2),AND(LEN(L798)-FIND(".",L798,FIND(".",L798)+1)=4,FIND(".",L798)&gt;=2,FIND(".",L798)&lt;=3)),FIND(".",L798,FIND(".",L798)+1)-FIND(".",L798)&gt;=2,FIND(".",L798,FIND(".",L798)+1)-FIND(".",L798)&lt;=3,P798&gt;=2000,P798&lt;=2100,YEAR(S798)=P798,MONTH(S798)=Q798,DAY(S798)=R798),S798,0)),0)</ns0:f>
        <ns0:v>0</ns0:v>
      </ns0:c>
      <ns0:c r="U798" s="0" t="str">
        <ns0:f>IF(Bookings!C798="","Full day",Bookings!C798)</ns0:f>
        <ns0:v>Full day</ns0:v>
      </ns0:c>
      <ns0:c r="V798" s="0" t="str">
        <ns0:f>IF(Bookings!E798="","Full day",Bookings!E798)</ns0:f>
        <ns0:v>Full day</ns0:v>
      </ns0:c>
      <ns0:c r="W798" s="0">
        <ns0:f>IF(J798=0,0,J798+IF(U798="PM",1,0))</ns0:f>
        <ns0:v>0</ns0:v>
      </ns0:c>
      <ns0:c r="X798" s="0">
        <ns0:f>IF(T798=0,0,T798-IF(V798="PM",1,0))</ns0:f>
        <ns0:v>0</ns0:v>
      </ns0:c>
      <ns0:c r="Y798" s="0">
        <ns0:f>IF(J798=0,0,J798+IF(U798="AM",1,0))</ns0:f>
        <ns0:v>0</ns0:v>
      </ns0:c>
      <ns0:c r="Z798" s="0">
        <ns0:f>IF(T798=0,0,T798-IF(V798="AM",1,0))</ns0:f>
        <ns0:v>0</ns0:v>
      </ns0:c>
      <ns0:c r="AA798" s="0">
        <ns0:f>IFERROR(IF(AND(J798&gt;0,'_Engine'!C798&gt;0,MID('_Engine'!W798,WEEKDAY(J798,2),1)="W",COUNTIF(Settings!$F$18:$F$67,J798)=0),1,0),0)</ns0:f>
        <ns0:v>0</ns0:v>
      </ns0:c>
      <ns0:c r="AB798" s="0">
        <ns0:f>IFERROR(IF(AND(T798&gt;0,'_Engine'!C798&gt;0,MID('_Engine'!W798,WEEKDAY(T798,2),1)="W",COUNTIF(Settings!$F$18:$F$67,T798)=0),1,0),0)</ns0:f>
        <ns0:v>0</ns0:v>
      </ns0:c>
      <ns0:c r="AC798" s="0">
        <ns0:f>IF(AND(J798&gt;0,T798&gt;0,W798&lt;=X798),1,0)</ns0:f>
        <ns0:v>0</ns0:v>
      </ns0:c>
      <ns0:c r="AD798" s="0">
        <ns0:f>IF(AND(J798&gt;0,T798&gt;0,Y798&lt;=Z798),1,0)</ns0:f>
        <ns0:v>0</ns0:v>
      </ns0:c>
    </ns0:row>
    <ns0:row r="799">
      <ns0:c r="A799" s="0">
        <ns0:f>IFERROR(IF(ISNUMBER(Bookings!B799),"",TRIM(Bookings!B799&amp;"")),"")</ns0:f>
      </ns0:c>
      <ns0:c r="B799" s="0">
        <ns0:f>IFERROR(SUBSTITUTE(SUBSTITUTE(A799,"/","."),"-","."),"")</ns0:f>
      </ns0:c>
      <ns0:c r="C799" s="0">
        <ns0:f>IFERROR(LEFT(B799,FIND(".",B799)-1),"")</ns0:f>
      </ns0:c>
      <ns0:c r="D799" s="0">
        <ns0:f>IFERROR(MID(B799,FIND(".",B799)+1,FIND(".",B799,FIND(".",B799)+1)-FIND(".",B799)-1),"")</ns0:f>
      </ns0:c>
      <ns0:c r="E799" s="0">
        <ns0:f>IFERROR(MID(B799,FIND(".",B799,FIND(".",B799)+1)+1,99),"")</ns0:f>
        <ns0:v>99</ns0:v>
      </ns0:c>
      <ns0:c r="F799" s="0">
        <ns0:f>IFERROR(IF(FIND(".",B799)=5,--C799,--E799),0)</ns0:f>
        <ns0:v>0</ns0:v>
      </ns0:c>
      <ns0:c r="G799" s="0">
        <ns0:f>IFERROR(--D799,0)</ns0:f>
        <ns0:v>0</ns0:v>
      </ns0:c>
      <ns0:c r="H799" s="0">
        <ns0:f>IFERROR(IF(FIND(".",B799)=5,--E799,--C799),0)</ns0:f>
        <ns0:v>0</ns0:v>
      </ns0:c>
      <ns0:c r="I799" s="0">
        <ns0:f>IFERROR(IF(AND(F799&gt;=2000,F799&lt;=2100,G799&gt;=1,G799&lt;=12,H799&gt;=1,H799&lt;=31),DATE(F799,G799,H799),0),0)</ns0:f>
        <ns0:v>0</ns0:v>
      </ns0:c>
      <ns0:c r="J799" s="0">
        <ns0:f>IFERROR(IF(ISNUMBER(Bookings!B799),IF(AND(Bookings!B799=INT(Bookings!B799),Bookings!B799&gt;=DATE(2000,1,1),Bookings!B799&lt;=DATE(2100,12,31)),Bookings!B799,0),IF(AND(A799&lt;&gt;"",LEN("x"&amp;B799)-LEN(SUBSTITUTE("x"&amp;B799,".",""))=2,OR(1&gt;LEN(B799),MID(B799,1,1)=".",ISNUMBER(FIND("x"&amp;MID(B799,1,1),"x0x1x2x3x4x5x6x7x8x9"))),OR(2&gt;LEN(B799),MID(B799,2,1)=".",ISNUMBER(FIND("x"&amp;MID(B799,2,1),"x0x1x2x3x4x5x6x7x8x9"))),OR(3&gt;LEN(B799),MID(B799,3,1)=".",ISNUMBER(FIND("x"&amp;MID(B799,3,1),"x0x1x2x3x4x5x6x7x8x9"))),OR(4&gt;LEN(B799),MID(B799,4,1)=".",ISNUMBER(FIND("x"&amp;MID(B799,4,1),"x0x1x2x3x4x5x6x7x8x9"))),OR(5&gt;LEN(B799),MID(B799,5,1)=".",ISNUMBER(FIND("x"&amp;MID(B799,5,1),"x0x1x2x3x4x5x6x7x8x9"))),OR(6&gt;LEN(B799),MID(B799,6,1)=".",ISNUMBER(FIND("x"&amp;MID(B799,6,1),"x0x1x2x3x4x5x6x7x8x9"))),OR(7&gt;LEN(B799),MID(B799,7,1)=".",ISNUMBER(FIND("x"&amp;MID(B799,7,1),"x0x1x2x3x4x5x6x7x8x9"))),OR(8&gt;LEN(B799),MID(B799,8,1)=".",ISNUMBER(FIND("x"&amp;MID(B799,8,1),"x0x1x2x3x4x5x6x7x8x9"))),OR(9&gt;LEN(B799),MID(B799,9,1)=".",ISNUMBER(FIND("x"&amp;MID(B799,9,1),"x0x1x2x3x4x5x6x7x8x9"))),OR(10&gt;LEN(B799),MID(B799,10,1)=".",ISNUMBER(FIND("x"&amp;MID(B799,10,1),"x0x1x2x3x4x5x6x7x8x9"))),OR(AND(FIND(".",B799)=5,LEN(B799)-FIND(".",B799,FIND(".",B799)+1)&gt;=1,LEN(B799)-FIND(".",B799,FIND(".",B799)+1)&lt;=2),AND(LEN(B799)-FIND(".",B799,FIND(".",B799)+1)=4,FIND(".",B799)&gt;=2,FIND(".",B799)&lt;=3)),FIND(".",B799,FIND(".",B799)+1)-FIND(".",B799)&gt;=2,FIND(".",B799,FIND(".",B799)+1)-FIND(".",B799)&lt;=3,F799&gt;=2000,F799&lt;=2100,YEAR(I799)=F799,MONTH(I799)=G799,DAY(I799)=H799),I799,0)),0)</ns0:f>
        <ns0:v>0</ns0:v>
      </ns0:c>
      <ns0:c r="K799" s="0">
        <ns0:f>IFERROR(IF(ISNUMBER(Bookings!D799),"",TRIM(Bookings!D799&amp;"")),"")</ns0:f>
      </ns0:c>
      <ns0:c r="L799" s="0">
        <ns0:f>IFERROR(SUBSTITUTE(SUBSTITUTE(K799,"/","."),"-","."),"")</ns0:f>
      </ns0:c>
      <ns0:c r="M799" s="0">
        <ns0:f>IFERROR(LEFT(L799,FIND(".",L799)-1),"")</ns0:f>
      </ns0:c>
      <ns0:c r="N799" s="0">
        <ns0:f>IFERROR(MID(L799,FIND(".",L799)+1,FIND(".",L799,FIND(".",L799)+1)-FIND(".",L799)-1),"")</ns0:f>
      </ns0:c>
      <ns0:c r="O799" s="0">
        <ns0:f>IFERROR(MID(L799,FIND(".",L799,FIND(".",L799)+1)+1,99),"")</ns0:f>
        <ns0:v>99</ns0:v>
      </ns0:c>
      <ns0:c r="P799" s="0">
        <ns0:f>IFERROR(IF(FIND(".",L799)=5,--M799,--O799),0)</ns0:f>
        <ns0:v>0</ns0:v>
      </ns0:c>
      <ns0:c r="Q799" s="0">
        <ns0:f>IFERROR(--N799,0)</ns0:f>
        <ns0:v>0</ns0:v>
      </ns0:c>
      <ns0:c r="R799" s="0">
        <ns0:f>IFERROR(IF(FIND(".",L799)=5,--O799,--M799),0)</ns0:f>
        <ns0:v>0</ns0:v>
      </ns0:c>
      <ns0:c r="S799" s="0">
        <ns0:f>IFERROR(IF(AND(P799&gt;=2000,P799&lt;=2100,Q799&gt;=1,Q799&lt;=12,R799&gt;=1,R799&lt;=31),DATE(P799,Q799,R799),0),0)</ns0:f>
        <ns0:v>0</ns0:v>
      </ns0:c>
      <ns0:c r="T799" s="0">
        <ns0:f>IFERROR(IF(ISNUMBER(Bookings!D799),IF(AND(Bookings!D799=INT(Bookings!D799),Bookings!D799&gt;=DATE(2000,1,1),Bookings!D799&lt;=DATE(2100,12,31)),Bookings!D799,0),IF(AND(K799&lt;&gt;"",LEN("x"&amp;L799)-LEN(SUBSTITUTE("x"&amp;L799,".",""))=2,OR(1&gt;LEN(L799),MID(L799,1,1)=".",ISNUMBER(FIND("x"&amp;MID(L799,1,1),"x0x1x2x3x4x5x6x7x8x9"))),OR(2&gt;LEN(L799),MID(L799,2,1)=".",ISNUMBER(FIND("x"&amp;MID(L799,2,1),"x0x1x2x3x4x5x6x7x8x9"))),OR(3&gt;LEN(L799),MID(L799,3,1)=".",ISNUMBER(FIND("x"&amp;MID(L799,3,1),"x0x1x2x3x4x5x6x7x8x9"))),OR(4&gt;LEN(L799),MID(L799,4,1)=".",ISNUMBER(FIND("x"&amp;MID(L799,4,1),"x0x1x2x3x4x5x6x7x8x9"))),OR(5&gt;LEN(L799),MID(L799,5,1)=".",ISNUMBER(FIND("x"&amp;MID(L799,5,1),"x0x1x2x3x4x5x6x7x8x9"))),OR(6&gt;LEN(L799),MID(L799,6,1)=".",ISNUMBER(FIND("x"&amp;MID(L799,6,1),"x0x1x2x3x4x5x6x7x8x9"))),OR(7&gt;LEN(L799),MID(L799,7,1)=".",ISNUMBER(FIND("x"&amp;MID(L799,7,1),"x0x1x2x3x4x5x6x7x8x9"))),OR(8&gt;LEN(L799),MID(L799,8,1)=".",ISNUMBER(FIND("x"&amp;MID(L799,8,1),"x0x1x2x3x4x5x6x7x8x9"))),OR(9&gt;LEN(L799),MID(L799,9,1)=".",ISNUMBER(FIND("x"&amp;MID(L799,9,1),"x0x1x2x3x4x5x6x7x8x9"))),OR(10&gt;LEN(L799),MID(L799,10,1)=".",ISNUMBER(FIND("x"&amp;MID(L799,10,1),"x0x1x2x3x4x5x6x7x8x9"))),OR(AND(FIND(".",L799)=5,LEN(L799)-FIND(".",L799,FIND(".",L799)+1)&gt;=1,LEN(L799)-FIND(".",L799,FIND(".",L799)+1)&lt;=2),AND(LEN(L799)-FIND(".",L799,FIND(".",L799)+1)=4,FIND(".",L799)&gt;=2,FIND(".",L799)&lt;=3)),FIND(".",L799,FIND(".",L799)+1)-FIND(".",L799)&gt;=2,FIND(".",L799,FIND(".",L799)+1)-FIND(".",L799)&lt;=3,P799&gt;=2000,P799&lt;=2100,YEAR(S799)=P799,MONTH(S799)=Q799,DAY(S799)=R799),S799,0)),0)</ns0:f>
        <ns0:v>0</ns0:v>
      </ns0:c>
      <ns0:c r="U799" s="0" t="str">
        <ns0:f>IF(Bookings!C799="","Full day",Bookings!C799)</ns0:f>
        <ns0:v>Full day</ns0:v>
      </ns0:c>
      <ns0:c r="V799" s="0" t="str">
        <ns0:f>IF(Bookings!E799="","Full day",Bookings!E799)</ns0:f>
        <ns0:v>Full day</ns0:v>
      </ns0:c>
      <ns0:c r="W799" s="0">
        <ns0:f>IF(J799=0,0,J799+IF(U799="PM",1,0))</ns0:f>
        <ns0:v>0</ns0:v>
      </ns0:c>
      <ns0:c r="X799" s="0">
        <ns0:f>IF(T799=0,0,T799-IF(V799="PM",1,0))</ns0:f>
        <ns0:v>0</ns0:v>
      </ns0:c>
      <ns0:c r="Y799" s="0">
        <ns0:f>IF(J799=0,0,J799+IF(U799="AM",1,0))</ns0:f>
        <ns0:v>0</ns0:v>
      </ns0:c>
      <ns0:c r="Z799" s="0">
        <ns0:f>IF(T799=0,0,T799-IF(V799="AM",1,0))</ns0:f>
        <ns0:v>0</ns0:v>
      </ns0:c>
      <ns0:c r="AA799" s="0">
        <ns0:f>IFERROR(IF(AND(J799&gt;0,'_Engine'!C799&gt;0,MID('_Engine'!W799,WEEKDAY(J799,2),1)="W",COUNTIF(Settings!$F$18:$F$67,J799)=0),1,0),0)</ns0:f>
        <ns0:v>0</ns0:v>
      </ns0:c>
      <ns0:c r="AB799" s="0">
        <ns0:f>IFERROR(IF(AND(T799&gt;0,'_Engine'!C799&gt;0,MID('_Engine'!W799,WEEKDAY(T799,2),1)="W",COUNTIF(Settings!$F$18:$F$67,T799)=0),1,0),0)</ns0:f>
        <ns0:v>0</ns0:v>
      </ns0:c>
      <ns0:c r="AC799" s="0">
        <ns0:f>IF(AND(J799&gt;0,T799&gt;0,W799&lt;=X799),1,0)</ns0:f>
        <ns0:v>0</ns0:v>
      </ns0:c>
      <ns0:c r="AD799" s="0">
        <ns0:f>IF(AND(J799&gt;0,T799&gt;0,Y799&lt;=Z799),1,0)</ns0:f>
        <ns0:v>0</ns0:v>
      </ns0:c>
    </ns0:row>
    <ns0:row r="800">
      <ns0:c r="A800" s="0">
        <ns0:f>IFERROR(IF(ISNUMBER(Bookings!B800),"",TRIM(Bookings!B800&amp;"")),"")</ns0:f>
      </ns0:c>
      <ns0:c r="B800" s="0">
        <ns0:f>IFERROR(SUBSTITUTE(SUBSTITUTE(A800,"/","."),"-","."),"")</ns0:f>
      </ns0:c>
      <ns0:c r="C800" s="0">
        <ns0:f>IFERROR(LEFT(B800,FIND(".",B800)-1),"")</ns0:f>
      </ns0:c>
      <ns0:c r="D800" s="0">
        <ns0:f>IFERROR(MID(B800,FIND(".",B800)+1,FIND(".",B800,FIND(".",B800)+1)-FIND(".",B800)-1),"")</ns0:f>
      </ns0:c>
      <ns0:c r="E800" s="0">
        <ns0:f>IFERROR(MID(B800,FIND(".",B800,FIND(".",B800)+1)+1,99),"")</ns0:f>
        <ns0:v>99</ns0:v>
      </ns0:c>
      <ns0:c r="F800" s="0">
        <ns0:f>IFERROR(IF(FIND(".",B800)=5,--C800,--E800),0)</ns0:f>
        <ns0:v>0</ns0:v>
      </ns0:c>
      <ns0:c r="G800" s="0">
        <ns0:f>IFERROR(--D800,0)</ns0:f>
        <ns0:v>0</ns0:v>
      </ns0:c>
      <ns0:c r="H800" s="0">
        <ns0:f>IFERROR(IF(FIND(".",B800)=5,--E800,--C800),0)</ns0:f>
        <ns0:v>0</ns0:v>
      </ns0:c>
      <ns0:c r="I800" s="0">
        <ns0:f>IFERROR(IF(AND(F800&gt;=2000,F800&lt;=2100,G800&gt;=1,G800&lt;=12,H800&gt;=1,H800&lt;=31),DATE(F800,G800,H800),0),0)</ns0:f>
        <ns0:v>0</ns0:v>
      </ns0:c>
      <ns0:c r="J800" s="0">
        <ns0:f>IFERROR(IF(ISNUMBER(Bookings!B800),IF(AND(Bookings!B800=INT(Bookings!B800),Bookings!B800&gt;=DATE(2000,1,1),Bookings!B800&lt;=DATE(2100,12,31)),Bookings!B800,0),IF(AND(A800&lt;&gt;"",LEN("x"&amp;B800)-LEN(SUBSTITUTE("x"&amp;B800,".",""))=2,OR(1&gt;LEN(B800),MID(B800,1,1)=".",ISNUMBER(FIND("x"&amp;MID(B800,1,1),"x0x1x2x3x4x5x6x7x8x9"))),OR(2&gt;LEN(B800),MID(B800,2,1)=".",ISNUMBER(FIND("x"&amp;MID(B800,2,1),"x0x1x2x3x4x5x6x7x8x9"))),OR(3&gt;LEN(B800),MID(B800,3,1)=".",ISNUMBER(FIND("x"&amp;MID(B800,3,1),"x0x1x2x3x4x5x6x7x8x9"))),OR(4&gt;LEN(B800),MID(B800,4,1)=".",ISNUMBER(FIND("x"&amp;MID(B800,4,1),"x0x1x2x3x4x5x6x7x8x9"))),OR(5&gt;LEN(B800),MID(B800,5,1)=".",ISNUMBER(FIND("x"&amp;MID(B800,5,1),"x0x1x2x3x4x5x6x7x8x9"))),OR(6&gt;LEN(B800),MID(B800,6,1)=".",ISNUMBER(FIND("x"&amp;MID(B800,6,1),"x0x1x2x3x4x5x6x7x8x9"))),OR(7&gt;LEN(B800),MID(B800,7,1)=".",ISNUMBER(FIND("x"&amp;MID(B800,7,1),"x0x1x2x3x4x5x6x7x8x9"))),OR(8&gt;LEN(B800),MID(B800,8,1)=".",ISNUMBER(FIND("x"&amp;MID(B800,8,1),"x0x1x2x3x4x5x6x7x8x9"))),OR(9&gt;LEN(B800),MID(B800,9,1)=".",ISNUMBER(FIND("x"&amp;MID(B800,9,1),"x0x1x2x3x4x5x6x7x8x9"))),OR(10&gt;LEN(B800),MID(B800,10,1)=".",ISNUMBER(FIND("x"&amp;MID(B800,10,1),"x0x1x2x3x4x5x6x7x8x9"))),OR(AND(FIND(".",B800)=5,LEN(B800)-FIND(".",B800,FIND(".",B800)+1)&gt;=1,LEN(B800)-FIND(".",B800,FIND(".",B800)+1)&lt;=2),AND(LEN(B800)-FIND(".",B800,FIND(".",B800)+1)=4,FIND(".",B800)&gt;=2,FIND(".",B800)&lt;=3)),FIND(".",B800,FIND(".",B800)+1)-FIND(".",B800)&gt;=2,FIND(".",B800,FIND(".",B800)+1)-FIND(".",B800)&lt;=3,F800&gt;=2000,F800&lt;=2100,YEAR(I800)=F800,MONTH(I800)=G800,DAY(I800)=H800),I800,0)),0)</ns0:f>
        <ns0:v>0</ns0:v>
      </ns0:c>
      <ns0:c r="K800" s="0">
        <ns0:f>IFERROR(IF(ISNUMBER(Bookings!D800),"",TRIM(Bookings!D800&amp;"")),"")</ns0:f>
      </ns0:c>
      <ns0:c r="L800" s="0">
        <ns0:f>IFERROR(SUBSTITUTE(SUBSTITUTE(K800,"/","."),"-","."),"")</ns0:f>
      </ns0:c>
      <ns0:c r="M800" s="0">
        <ns0:f>IFERROR(LEFT(L800,FIND(".",L800)-1),"")</ns0:f>
      </ns0:c>
      <ns0:c r="N800" s="0">
        <ns0:f>IFERROR(MID(L800,FIND(".",L800)+1,FIND(".",L800,FIND(".",L800)+1)-FIND(".",L800)-1),"")</ns0:f>
      </ns0:c>
      <ns0:c r="O800" s="0">
        <ns0:f>IFERROR(MID(L800,FIND(".",L800,FIND(".",L800)+1)+1,99),"")</ns0:f>
        <ns0:v>99</ns0:v>
      </ns0:c>
      <ns0:c r="P800" s="0">
        <ns0:f>IFERROR(IF(FIND(".",L800)=5,--M800,--O800),0)</ns0:f>
        <ns0:v>0</ns0:v>
      </ns0:c>
      <ns0:c r="Q800" s="0">
        <ns0:f>IFERROR(--N800,0)</ns0:f>
        <ns0:v>0</ns0:v>
      </ns0:c>
      <ns0:c r="R800" s="0">
        <ns0:f>IFERROR(IF(FIND(".",L800)=5,--O800,--M800),0)</ns0:f>
        <ns0:v>0</ns0:v>
      </ns0:c>
      <ns0:c r="S800" s="0">
        <ns0:f>IFERROR(IF(AND(P800&gt;=2000,P800&lt;=2100,Q800&gt;=1,Q800&lt;=12,R800&gt;=1,R800&lt;=31),DATE(P800,Q800,R800),0),0)</ns0:f>
        <ns0:v>0</ns0:v>
      </ns0:c>
      <ns0:c r="T800" s="0">
        <ns0:f>IFERROR(IF(ISNUMBER(Bookings!D800),IF(AND(Bookings!D800=INT(Bookings!D800),Bookings!D800&gt;=DATE(2000,1,1),Bookings!D800&lt;=DATE(2100,12,31)),Bookings!D800,0),IF(AND(K800&lt;&gt;"",LEN("x"&amp;L800)-LEN(SUBSTITUTE("x"&amp;L800,".",""))=2,OR(1&gt;LEN(L800),MID(L800,1,1)=".",ISNUMBER(FIND("x"&amp;MID(L800,1,1),"x0x1x2x3x4x5x6x7x8x9"))),OR(2&gt;LEN(L800),MID(L800,2,1)=".",ISNUMBER(FIND("x"&amp;MID(L800,2,1),"x0x1x2x3x4x5x6x7x8x9"))),OR(3&gt;LEN(L800),MID(L800,3,1)=".",ISNUMBER(FIND("x"&amp;MID(L800,3,1),"x0x1x2x3x4x5x6x7x8x9"))),OR(4&gt;LEN(L800),MID(L800,4,1)=".",ISNUMBER(FIND("x"&amp;MID(L800,4,1),"x0x1x2x3x4x5x6x7x8x9"))),OR(5&gt;LEN(L800),MID(L800,5,1)=".",ISNUMBER(FIND("x"&amp;MID(L800,5,1),"x0x1x2x3x4x5x6x7x8x9"))),OR(6&gt;LEN(L800),MID(L800,6,1)=".",ISNUMBER(FIND("x"&amp;MID(L800,6,1),"x0x1x2x3x4x5x6x7x8x9"))),OR(7&gt;LEN(L800),MID(L800,7,1)=".",ISNUMBER(FIND("x"&amp;MID(L800,7,1),"x0x1x2x3x4x5x6x7x8x9"))),OR(8&gt;LEN(L800),MID(L800,8,1)=".",ISNUMBER(FIND("x"&amp;MID(L800,8,1),"x0x1x2x3x4x5x6x7x8x9"))),OR(9&gt;LEN(L800),MID(L800,9,1)=".",ISNUMBER(FIND("x"&amp;MID(L800,9,1),"x0x1x2x3x4x5x6x7x8x9"))),OR(10&gt;LEN(L800),MID(L800,10,1)=".",ISNUMBER(FIND("x"&amp;MID(L800,10,1),"x0x1x2x3x4x5x6x7x8x9"))),OR(AND(FIND(".",L800)=5,LEN(L800)-FIND(".",L800,FIND(".",L800)+1)&gt;=1,LEN(L800)-FIND(".",L800,FIND(".",L800)+1)&lt;=2),AND(LEN(L800)-FIND(".",L800,FIND(".",L800)+1)=4,FIND(".",L800)&gt;=2,FIND(".",L800)&lt;=3)),FIND(".",L800,FIND(".",L800)+1)-FIND(".",L800)&gt;=2,FIND(".",L800,FIND(".",L800)+1)-FIND(".",L800)&lt;=3,P800&gt;=2000,P800&lt;=2100,YEAR(S800)=P800,MONTH(S800)=Q800,DAY(S800)=R800),S800,0)),0)</ns0:f>
        <ns0:v>0</ns0:v>
      </ns0:c>
      <ns0:c r="U800" s="0" t="str">
        <ns0:f>IF(Bookings!C800="","Full day",Bookings!C800)</ns0:f>
        <ns0:v>Full day</ns0:v>
      </ns0:c>
      <ns0:c r="V800" s="0" t="str">
        <ns0:f>IF(Bookings!E800="","Full day",Bookings!E800)</ns0:f>
        <ns0:v>Full day</ns0:v>
      </ns0:c>
      <ns0:c r="W800" s="0">
        <ns0:f>IF(J800=0,0,J800+IF(U800="PM",1,0))</ns0:f>
        <ns0:v>0</ns0:v>
      </ns0:c>
      <ns0:c r="X800" s="0">
        <ns0:f>IF(T800=0,0,T800-IF(V800="PM",1,0))</ns0:f>
        <ns0:v>0</ns0:v>
      </ns0:c>
      <ns0:c r="Y800" s="0">
        <ns0:f>IF(J800=0,0,J800+IF(U800="AM",1,0))</ns0:f>
        <ns0:v>0</ns0:v>
      </ns0:c>
      <ns0:c r="Z800" s="0">
        <ns0:f>IF(T800=0,0,T800-IF(V800="AM",1,0))</ns0:f>
        <ns0:v>0</ns0:v>
      </ns0:c>
      <ns0:c r="AA800" s="0">
        <ns0:f>IFERROR(IF(AND(J800&gt;0,'_Engine'!C800&gt;0,MID('_Engine'!W800,WEEKDAY(J800,2),1)="W",COUNTIF(Settings!$F$18:$F$67,J800)=0),1,0),0)</ns0:f>
        <ns0:v>0</ns0:v>
      </ns0:c>
      <ns0:c r="AB800" s="0">
        <ns0:f>IFERROR(IF(AND(T800&gt;0,'_Engine'!C800&gt;0,MID('_Engine'!W800,WEEKDAY(T800,2),1)="W",COUNTIF(Settings!$F$18:$F$67,T800)=0),1,0),0)</ns0:f>
        <ns0:v>0</ns0:v>
      </ns0:c>
      <ns0:c r="AC800" s="0">
        <ns0:f>IF(AND(J800&gt;0,T800&gt;0,W800&lt;=X800),1,0)</ns0:f>
        <ns0:v>0</ns0:v>
      </ns0:c>
      <ns0:c r="AD800" s="0">
        <ns0:f>IF(AND(J800&gt;0,T800&gt;0,Y800&lt;=Z800),1,0)</ns0:f>
        <ns0:v>0</ns0:v>
      </ns0:c>
    </ns0:row>
    <ns0:row r="801">
      <ns0:c r="A801" s="0">
        <ns0:f>IFERROR(IF(ISNUMBER(Bookings!B801),"",TRIM(Bookings!B801&amp;"")),"")</ns0:f>
      </ns0:c>
      <ns0:c r="B801" s="0">
        <ns0:f>IFERROR(SUBSTITUTE(SUBSTITUTE(A801,"/","."),"-","."),"")</ns0:f>
      </ns0:c>
      <ns0:c r="C801" s="0">
        <ns0:f>IFERROR(LEFT(B801,FIND(".",B801)-1),"")</ns0:f>
      </ns0:c>
      <ns0:c r="D801" s="0">
        <ns0:f>IFERROR(MID(B801,FIND(".",B801)+1,FIND(".",B801,FIND(".",B801)+1)-FIND(".",B801)-1),"")</ns0:f>
      </ns0:c>
      <ns0:c r="E801" s="0">
        <ns0:f>IFERROR(MID(B801,FIND(".",B801,FIND(".",B801)+1)+1,99),"")</ns0:f>
        <ns0:v>99</ns0:v>
      </ns0:c>
      <ns0:c r="F801" s="0">
        <ns0:f>IFERROR(IF(FIND(".",B801)=5,--C801,--E801),0)</ns0:f>
        <ns0:v>0</ns0:v>
      </ns0:c>
      <ns0:c r="G801" s="0">
        <ns0:f>IFERROR(--D801,0)</ns0:f>
        <ns0:v>0</ns0:v>
      </ns0:c>
      <ns0:c r="H801" s="0">
        <ns0:f>IFERROR(IF(FIND(".",B801)=5,--E801,--C801),0)</ns0:f>
        <ns0:v>0</ns0:v>
      </ns0:c>
      <ns0:c r="I801" s="0">
        <ns0:f>IFERROR(IF(AND(F801&gt;=2000,F801&lt;=2100,G801&gt;=1,G801&lt;=12,H801&gt;=1,H801&lt;=31),DATE(F801,G801,H801),0),0)</ns0:f>
        <ns0:v>0</ns0:v>
      </ns0:c>
      <ns0:c r="J801" s="0">
        <ns0:f>IFERROR(IF(ISNUMBER(Bookings!B801),IF(AND(Bookings!B801=INT(Bookings!B801),Bookings!B801&gt;=DATE(2000,1,1),Bookings!B801&lt;=DATE(2100,12,31)),Bookings!B801,0),IF(AND(A801&lt;&gt;"",LEN("x"&amp;B801)-LEN(SUBSTITUTE("x"&amp;B801,".",""))=2,OR(1&gt;LEN(B801),MID(B801,1,1)=".",ISNUMBER(FIND("x"&amp;MID(B801,1,1),"x0x1x2x3x4x5x6x7x8x9"))),OR(2&gt;LEN(B801),MID(B801,2,1)=".",ISNUMBER(FIND("x"&amp;MID(B801,2,1),"x0x1x2x3x4x5x6x7x8x9"))),OR(3&gt;LEN(B801),MID(B801,3,1)=".",ISNUMBER(FIND("x"&amp;MID(B801,3,1),"x0x1x2x3x4x5x6x7x8x9"))),OR(4&gt;LEN(B801),MID(B801,4,1)=".",ISNUMBER(FIND("x"&amp;MID(B801,4,1),"x0x1x2x3x4x5x6x7x8x9"))),OR(5&gt;LEN(B801),MID(B801,5,1)=".",ISNUMBER(FIND("x"&amp;MID(B801,5,1),"x0x1x2x3x4x5x6x7x8x9"))),OR(6&gt;LEN(B801),MID(B801,6,1)=".",ISNUMBER(FIND("x"&amp;MID(B801,6,1),"x0x1x2x3x4x5x6x7x8x9"))),OR(7&gt;LEN(B801),MID(B801,7,1)=".",ISNUMBER(FIND("x"&amp;MID(B801,7,1),"x0x1x2x3x4x5x6x7x8x9"))),OR(8&gt;LEN(B801),MID(B801,8,1)=".",ISNUMBER(FIND("x"&amp;MID(B801,8,1),"x0x1x2x3x4x5x6x7x8x9"))),OR(9&gt;LEN(B801),MID(B801,9,1)=".",ISNUMBER(FIND("x"&amp;MID(B801,9,1),"x0x1x2x3x4x5x6x7x8x9"))),OR(10&gt;LEN(B801),MID(B801,10,1)=".",ISNUMBER(FIND("x"&amp;MID(B801,10,1),"x0x1x2x3x4x5x6x7x8x9"))),OR(AND(FIND(".",B801)=5,LEN(B801)-FIND(".",B801,FIND(".",B801)+1)&gt;=1,LEN(B801)-FIND(".",B801,FIND(".",B801)+1)&lt;=2),AND(LEN(B801)-FIND(".",B801,FIND(".",B801)+1)=4,FIND(".",B801)&gt;=2,FIND(".",B801)&lt;=3)),FIND(".",B801,FIND(".",B801)+1)-FIND(".",B801)&gt;=2,FIND(".",B801,FIND(".",B801)+1)-FIND(".",B801)&lt;=3,F801&gt;=2000,F801&lt;=2100,YEAR(I801)=F801,MONTH(I801)=G801,DAY(I801)=H801),I801,0)),0)</ns0:f>
        <ns0:v>0</ns0:v>
      </ns0:c>
      <ns0:c r="K801" s="0">
        <ns0:f>IFERROR(IF(ISNUMBER(Bookings!D801),"",TRIM(Bookings!D801&amp;"")),"")</ns0:f>
      </ns0:c>
      <ns0:c r="L801" s="0">
        <ns0:f>IFERROR(SUBSTITUTE(SUBSTITUTE(K801,"/","."),"-","."),"")</ns0:f>
      </ns0:c>
      <ns0:c r="M801" s="0">
        <ns0:f>IFERROR(LEFT(L801,FIND(".",L801)-1),"")</ns0:f>
      </ns0:c>
      <ns0:c r="N801" s="0">
        <ns0:f>IFERROR(MID(L801,FIND(".",L801)+1,FIND(".",L801,FIND(".",L801)+1)-FIND(".",L801)-1),"")</ns0:f>
      </ns0:c>
      <ns0:c r="O801" s="0">
        <ns0:f>IFERROR(MID(L801,FIND(".",L801,FIND(".",L801)+1)+1,99),"")</ns0:f>
        <ns0:v>99</ns0:v>
      </ns0:c>
      <ns0:c r="P801" s="0">
        <ns0:f>IFERROR(IF(FIND(".",L801)=5,--M801,--O801),0)</ns0:f>
        <ns0:v>0</ns0:v>
      </ns0:c>
      <ns0:c r="Q801" s="0">
        <ns0:f>IFERROR(--N801,0)</ns0:f>
        <ns0:v>0</ns0:v>
      </ns0:c>
      <ns0:c r="R801" s="0">
        <ns0:f>IFERROR(IF(FIND(".",L801)=5,--O801,--M801),0)</ns0:f>
        <ns0:v>0</ns0:v>
      </ns0:c>
      <ns0:c r="S801" s="0">
        <ns0:f>IFERROR(IF(AND(P801&gt;=2000,P801&lt;=2100,Q801&gt;=1,Q801&lt;=12,R801&gt;=1,R801&lt;=31),DATE(P801,Q801,R801),0),0)</ns0:f>
        <ns0:v>0</ns0:v>
      </ns0:c>
      <ns0:c r="T801" s="0">
        <ns0:f>IFERROR(IF(ISNUMBER(Bookings!D801),IF(AND(Bookings!D801=INT(Bookings!D801),Bookings!D801&gt;=DATE(2000,1,1),Bookings!D801&lt;=DATE(2100,12,31)),Bookings!D801,0),IF(AND(K801&lt;&gt;"",LEN("x"&amp;L801)-LEN(SUBSTITUTE("x"&amp;L801,".",""))=2,OR(1&gt;LEN(L801),MID(L801,1,1)=".",ISNUMBER(FIND("x"&amp;MID(L801,1,1),"x0x1x2x3x4x5x6x7x8x9"))),OR(2&gt;LEN(L801),MID(L801,2,1)=".",ISNUMBER(FIND("x"&amp;MID(L801,2,1),"x0x1x2x3x4x5x6x7x8x9"))),OR(3&gt;LEN(L801),MID(L801,3,1)=".",ISNUMBER(FIND("x"&amp;MID(L801,3,1),"x0x1x2x3x4x5x6x7x8x9"))),OR(4&gt;LEN(L801),MID(L801,4,1)=".",ISNUMBER(FIND("x"&amp;MID(L801,4,1),"x0x1x2x3x4x5x6x7x8x9"))),OR(5&gt;LEN(L801),MID(L801,5,1)=".",ISNUMBER(FIND("x"&amp;MID(L801,5,1),"x0x1x2x3x4x5x6x7x8x9"))),OR(6&gt;LEN(L801),MID(L801,6,1)=".",ISNUMBER(FIND("x"&amp;MID(L801,6,1),"x0x1x2x3x4x5x6x7x8x9"))),OR(7&gt;LEN(L801),MID(L801,7,1)=".",ISNUMBER(FIND("x"&amp;MID(L801,7,1),"x0x1x2x3x4x5x6x7x8x9"))),OR(8&gt;LEN(L801),MID(L801,8,1)=".",ISNUMBER(FIND("x"&amp;MID(L801,8,1),"x0x1x2x3x4x5x6x7x8x9"))),OR(9&gt;LEN(L801),MID(L801,9,1)=".",ISNUMBER(FIND("x"&amp;MID(L801,9,1),"x0x1x2x3x4x5x6x7x8x9"))),OR(10&gt;LEN(L801),MID(L801,10,1)=".",ISNUMBER(FIND("x"&amp;MID(L801,10,1),"x0x1x2x3x4x5x6x7x8x9"))),OR(AND(FIND(".",L801)=5,LEN(L801)-FIND(".",L801,FIND(".",L801)+1)&gt;=1,LEN(L801)-FIND(".",L801,FIND(".",L801)+1)&lt;=2),AND(LEN(L801)-FIND(".",L801,FIND(".",L801)+1)=4,FIND(".",L801)&gt;=2,FIND(".",L801)&lt;=3)),FIND(".",L801,FIND(".",L801)+1)-FIND(".",L801)&gt;=2,FIND(".",L801,FIND(".",L801)+1)-FIND(".",L801)&lt;=3,P801&gt;=2000,P801&lt;=2100,YEAR(S801)=P801,MONTH(S801)=Q801,DAY(S801)=R801),S801,0)),0)</ns0:f>
        <ns0:v>0</ns0:v>
      </ns0:c>
      <ns0:c r="U801" s="0" t="str">
        <ns0:f>IF(Bookings!C801="","Full day",Bookings!C801)</ns0:f>
        <ns0:v>Full day</ns0:v>
      </ns0:c>
      <ns0:c r="V801" s="0" t="str">
        <ns0:f>IF(Bookings!E801="","Full day",Bookings!E801)</ns0:f>
        <ns0:v>Full day</ns0:v>
      </ns0:c>
      <ns0:c r="W801" s="0">
        <ns0:f>IF(J801=0,0,J801+IF(U801="PM",1,0))</ns0:f>
        <ns0:v>0</ns0:v>
      </ns0:c>
      <ns0:c r="X801" s="0">
        <ns0:f>IF(T801=0,0,T801-IF(V801="PM",1,0))</ns0:f>
        <ns0:v>0</ns0:v>
      </ns0:c>
      <ns0:c r="Y801" s="0">
        <ns0:f>IF(J801=0,0,J801+IF(U801="AM",1,0))</ns0:f>
        <ns0:v>0</ns0:v>
      </ns0:c>
      <ns0:c r="Z801" s="0">
        <ns0:f>IF(T801=0,0,T801-IF(V801="AM",1,0))</ns0:f>
        <ns0:v>0</ns0:v>
      </ns0:c>
      <ns0:c r="AA801" s="0">
        <ns0:f>IFERROR(IF(AND(J801&gt;0,'_Engine'!C801&gt;0,MID('_Engine'!W801,WEEKDAY(J801,2),1)="W",COUNTIF(Settings!$F$18:$F$67,J801)=0),1,0),0)</ns0:f>
        <ns0:v>0</ns0:v>
      </ns0:c>
      <ns0:c r="AB801" s="0">
        <ns0:f>IFERROR(IF(AND(T801&gt;0,'_Engine'!C801&gt;0,MID('_Engine'!W801,WEEKDAY(T801,2),1)="W",COUNTIF(Settings!$F$18:$F$67,T801)=0),1,0),0)</ns0:f>
        <ns0:v>0</ns0:v>
      </ns0:c>
      <ns0:c r="AC801" s="0">
        <ns0:f>IF(AND(J801&gt;0,T801&gt;0,W801&lt;=X801),1,0)</ns0:f>
        <ns0:v>0</ns0:v>
      </ns0:c>
      <ns0:c r="AD801" s="0">
        <ns0:f>IF(AND(J801&gt;0,T801&gt;0,Y801&lt;=Z801),1,0)</ns0:f>
        <ns0:v>0</ns0:v>
      </ns0:c>
    </ns0:row>
    <ns0:row r="802">
      <ns0:c r="A802" s="0">
        <ns0:f>IFERROR(IF(ISNUMBER(Bookings!B802),"",TRIM(Bookings!B802&amp;"")),"")</ns0:f>
      </ns0:c>
      <ns0:c r="B802" s="0">
        <ns0:f>IFERROR(SUBSTITUTE(SUBSTITUTE(A802,"/","."),"-","."),"")</ns0:f>
      </ns0:c>
      <ns0:c r="C802" s="0">
        <ns0:f>IFERROR(LEFT(B802,FIND(".",B802)-1),"")</ns0:f>
      </ns0:c>
      <ns0:c r="D802" s="0">
        <ns0:f>IFERROR(MID(B802,FIND(".",B802)+1,FIND(".",B802,FIND(".",B802)+1)-FIND(".",B802)-1),"")</ns0:f>
      </ns0:c>
      <ns0:c r="E802" s="0">
        <ns0:f>IFERROR(MID(B802,FIND(".",B802,FIND(".",B802)+1)+1,99),"")</ns0:f>
        <ns0:v>99</ns0:v>
      </ns0:c>
      <ns0:c r="F802" s="0">
        <ns0:f>IFERROR(IF(FIND(".",B802)=5,--C802,--E802),0)</ns0:f>
        <ns0:v>0</ns0:v>
      </ns0:c>
      <ns0:c r="G802" s="0">
        <ns0:f>IFERROR(--D802,0)</ns0:f>
        <ns0:v>0</ns0:v>
      </ns0:c>
      <ns0:c r="H802" s="0">
        <ns0:f>IFERROR(IF(FIND(".",B802)=5,--E802,--C802),0)</ns0:f>
        <ns0:v>0</ns0:v>
      </ns0:c>
      <ns0:c r="I802" s="0">
        <ns0:f>IFERROR(IF(AND(F802&gt;=2000,F802&lt;=2100,G802&gt;=1,G802&lt;=12,H802&gt;=1,H802&lt;=31),DATE(F802,G802,H802),0),0)</ns0:f>
        <ns0:v>0</ns0:v>
      </ns0:c>
      <ns0:c r="J802" s="0">
        <ns0:f>IFERROR(IF(ISNUMBER(Bookings!B802),IF(AND(Bookings!B802=INT(Bookings!B802),Bookings!B802&gt;=DATE(2000,1,1),Bookings!B802&lt;=DATE(2100,12,31)),Bookings!B802,0),IF(AND(A802&lt;&gt;"",LEN("x"&amp;B802)-LEN(SUBSTITUTE("x"&amp;B802,".",""))=2,OR(1&gt;LEN(B802),MID(B802,1,1)=".",ISNUMBER(FIND("x"&amp;MID(B802,1,1),"x0x1x2x3x4x5x6x7x8x9"))),OR(2&gt;LEN(B802),MID(B802,2,1)=".",ISNUMBER(FIND("x"&amp;MID(B802,2,1),"x0x1x2x3x4x5x6x7x8x9"))),OR(3&gt;LEN(B802),MID(B802,3,1)=".",ISNUMBER(FIND("x"&amp;MID(B802,3,1),"x0x1x2x3x4x5x6x7x8x9"))),OR(4&gt;LEN(B802),MID(B802,4,1)=".",ISNUMBER(FIND("x"&amp;MID(B802,4,1),"x0x1x2x3x4x5x6x7x8x9"))),OR(5&gt;LEN(B802),MID(B802,5,1)=".",ISNUMBER(FIND("x"&amp;MID(B802,5,1),"x0x1x2x3x4x5x6x7x8x9"))),OR(6&gt;LEN(B802),MID(B802,6,1)=".",ISNUMBER(FIND("x"&amp;MID(B802,6,1),"x0x1x2x3x4x5x6x7x8x9"))),OR(7&gt;LEN(B802),MID(B802,7,1)=".",ISNUMBER(FIND("x"&amp;MID(B802,7,1),"x0x1x2x3x4x5x6x7x8x9"))),OR(8&gt;LEN(B802),MID(B802,8,1)=".",ISNUMBER(FIND("x"&amp;MID(B802,8,1),"x0x1x2x3x4x5x6x7x8x9"))),OR(9&gt;LEN(B802),MID(B802,9,1)=".",ISNUMBER(FIND("x"&amp;MID(B802,9,1),"x0x1x2x3x4x5x6x7x8x9"))),OR(10&gt;LEN(B802),MID(B802,10,1)=".",ISNUMBER(FIND("x"&amp;MID(B802,10,1),"x0x1x2x3x4x5x6x7x8x9"))),OR(AND(FIND(".",B802)=5,LEN(B802)-FIND(".",B802,FIND(".",B802)+1)&gt;=1,LEN(B802)-FIND(".",B802,FIND(".",B802)+1)&lt;=2),AND(LEN(B802)-FIND(".",B802,FIND(".",B802)+1)=4,FIND(".",B802)&gt;=2,FIND(".",B802)&lt;=3)),FIND(".",B802,FIND(".",B802)+1)-FIND(".",B802)&gt;=2,FIND(".",B802,FIND(".",B802)+1)-FIND(".",B802)&lt;=3,F802&gt;=2000,F802&lt;=2100,YEAR(I802)=F802,MONTH(I802)=G802,DAY(I802)=H802),I802,0)),0)</ns0:f>
        <ns0:v>0</ns0:v>
      </ns0:c>
      <ns0:c r="K802" s="0">
        <ns0:f>IFERROR(IF(ISNUMBER(Bookings!D802),"",TRIM(Bookings!D802&amp;"")),"")</ns0:f>
      </ns0:c>
      <ns0:c r="L802" s="0">
        <ns0:f>IFERROR(SUBSTITUTE(SUBSTITUTE(K802,"/","."),"-","."),"")</ns0:f>
      </ns0:c>
      <ns0:c r="M802" s="0">
        <ns0:f>IFERROR(LEFT(L802,FIND(".",L802)-1),"")</ns0:f>
      </ns0:c>
      <ns0:c r="N802" s="0">
        <ns0:f>IFERROR(MID(L802,FIND(".",L802)+1,FIND(".",L802,FIND(".",L802)+1)-FIND(".",L802)-1),"")</ns0:f>
      </ns0:c>
      <ns0:c r="O802" s="0">
        <ns0:f>IFERROR(MID(L802,FIND(".",L802,FIND(".",L802)+1)+1,99),"")</ns0:f>
        <ns0:v>99</ns0:v>
      </ns0:c>
      <ns0:c r="P802" s="0">
        <ns0:f>IFERROR(IF(FIND(".",L802)=5,--M802,--O802),0)</ns0:f>
        <ns0:v>0</ns0:v>
      </ns0:c>
      <ns0:c r="Q802" s="0">
        <ns0:f>IFERROR(--N802,0)</ns0:f>
        <ns0:v>0</ns0:v>
      </ns0:c>
      <ns0:c r="R802" s="0">
        <ns0:f>IFERROR(IF(FIND(".",L802)=5,--O802,--M802),0)</ns0:f>
        <ns0:v>0</ns0:v>
      </ns0:c>
      <ns0:c r="S802" s="0">
        <ns0:f>IFERROR(IF(AND(P802&gt;=2000,P802&lt;=2100,Q802&gt;=1,Q802&lt;=12,R802&gt;=1,R802&lt;=31),DATE(P802,Q802,R802),0),0)</ns0:f>
        <ns0:v>0</ns0:v>
      </ns0:c>
      <ns0:c r="T802" s="0">
        <ns0:f>IFERROR(IF(ISNUMBER(Bookings!D802),IF(AND(Bookings!D802=INT(Bookings!D802),Bookings!D802&gt;=DATE(2000,1,1),Bookings!D802&lt;=DATE(2100,12,31)),Bookings!D802,0),IF(AND(K802&lt;&gt;"",LEN("x"&amp;L802)-LEN(SUBSTITUTE("x"&amp;L802,".",""))=2,OR(1&gt;LEN(L802),MID(L802,1,1)=".",ISNUMBER(FIND("x"&amp;MID(L802,1,1),"x0x1x2x3x4x5x6x7x8x9"))),OR(2&gt;LEN(L802),MID(L802,2,1)=".",ISNUMBER(FIND("x"&amp;MID(L802,2,1),"x0x1x2x3x4x5x6x7x8x9"))),OR(3&gt;LEN(L802),MID(L802,3,1)=".",ISNUMBER(FIND("x"&amp;MID(L802,3,1),"x0x1x2x3x4x5x6x7x8x9"))),OR(4&gt;LEN(L802),MID(L802,4,1)=".",ISNUMBER(FIND("x"&amp;MID(L802,4,1),"x0x1x2x3x4x5x6x7x8x9"))),OR(5&gt;LEN(L802),MID(L802,5,1)=".",ISNUMBER(FIND("x"&amp;MID(L802,5,1),"x0x1x2x3x4x5x6x7x8x9"))),OR(6&gt;LEN(L802),MID(L802,6,1)=".",ISNUMBER(FIND("x"&amp;MID(L802,6,1),"x0x1x2x3x4x5x6x7x8x9"))),OR(7&gt;LEN(L802),MID(L802,7,1)=".",ISNUMBER(FIND("x"&amp;MID(L802,7,1),"x0x1x2x3x4x5x6x7x8x9"))),OR(8&gt;LEN(L802),MID(L802,8,1)=".",ISNUMBER(FIND("x"&amp;MID(L802,8,1),"x0x1x2x3x4x5x6x7x8x9"))),OR(9&gt;LEN(L802),MID(L802,9,1)=".",ISNUMBER(FIND("x"&amp;MID(L802,9,1),"x0x1x2x3x4x5x6x7x8x9"))),OR(10&gt;LEN(L802),MID(L802,10,1)=".",ISNUMBER(FIND("x"&amp;MID(L802,10,1),"x0x1x2x3x4x5x6x7x8x9"))),OR(AND(FIND(".",L802)=5,LEN(L802)-FIND(".",L802,FIND(".",L802)+1)&gt;=1,LEN(L802)-FIND(".",L802,FIND(".",L802)+1)&lt;=2),AND(LEN(L802)-FIND(".",L802,FIND(".",L802)+1)=4,FIND(".",L802)&gt;=2,FIND(".",L802)&lt;=3)),FIND(".",L802,FIND(".",L802)+1)-FIND(".",L802)&gt;=2,FIND(".",L802,FIND(".",L802)+1)-FIND(".",L802)&lt;=3,P802&gt;=2000,P802&lt;=2100,YEAR(S802)=P802,MONTH(S802)=Q802,DAY(S802)=R802),S802,0)),0)</ns0:f>
        <ns0:v>0</ns0:v>
      </ns0:c>
      <ns0:c r="U802" s="0" t="str">
        <ns0:f>IF(Bookings!C802="","Full day",Bookings!C802)</ns0:f>
        <ns0:v>Full day</ns0:v>
      </ns0:c>
      <ns0:c r="V802" s="0" t="str">
        <ns0:f>IF(Bookings!E802="","Full day",Bookings!E802)</ns0:f>
        <ns0:v>Full day</ns0:v>
      </ns0:c>
      <ns0:c r="W802" s="0">
        <ns0:f>IF(J802=0,0,J802+IF(U802="PM",1,0))</ns0:f>
        <ns0:v>0</ns0:v>
      </ns0:c>
      <ns0:c r="X802" s="0">
        <ns0:f>IF(T802=0,0,T802-IF(V802="PM",1,0))</ns0:f>
        <ns0:v>0</ns0:v>
      </ns0:c>
      <ns0:c r="Y802" s="0">
        <ns0:f>IF(J802=0,0,J802+IF(U802="AM",1,0))</ns0:f>
        <ns0:v>0</ns0:v>
      </ns0:c>
      <ns0:c r="Z802" s="0">
        <ns0:f>IF(T802=0,0,T802-IF(V802="AM",1,0))</ns0:f>
        <ns0:v>0</ns0:v>
      </ns0:c>
      <ns0:c r="AA802" s="0">
        <ns0:f>IFERROR(IF(AND(J802&gt;0,'_Engine'!C802&gt;0,MID('_Engine'!W802,WEEKDAY(J802,2),1)="W",COUNTIF(Settings!$F$18:$F$67,J802)=0),1,0),0)</ns0:f>
        <ns0:v>0</ns0:v>
      </ns0:c>
      <ns0:c r="AB802" s="0">
        <ns0:f>IFERROR(IF(AND(T802&gt;0,'_Engine'!C802&gt;0,MID('_Engine'!W802,WEEKDAY(T802,2),1)="W",COUNTIF(Settings!$F$18:$F$67,T802)=0),1,0),0)</ns0:f>
        <ns0:v>0</ns0:v>
      </ns0:c>
      <ns0:c r="AC802" s="0">
        <ns0:f>IF(AND(J802&gt;0,T802&gt;0,W802&lt;=X802),1,0)</ns0:f>
        <ns0:v>0</ns0:v>
      </ns0:c>
      <ns0:c r="AD802" s="0">
        <ns0:f>IF(AND(J802&gt;0,T802&gt;0,Y802&lt;=Z802),1,0)</ns0:f>
        <ns0:v>0</ns0:v>
      </ns0:c>
    </ns0:row>
    <ns0:row r="803">
      <ns0:c r="A803" s="0">
        <ns0:f>IFERROR(IF(ISNUMBER(Bookings!B803),"",TRIM(Bookings!B803&amp;"")),"")</ns0:f>
      </ns0:c>
      <ns0:c r="B803" s="0">
        <ns0:f>IFERROR(SUBSTITUTE(SUBSTITUTE(A803,"/","."),"-","."),"")</ns0:f>
      </ns0:c>
      <ns0:c r="C803" s="0">
        <ns0:f>IFERROR(LEFT(B803,FIND(".",B803)-1),"")</ns0:f>
      </ns0:c>
      <ns0:c r="D803" s="0">
        <ns0:f>IFERROR(MID(B803,FIND(".",B803)+1,FIND(".",B803,FIND(".",B803)+1)-FIND(".",B803)-1),"")</ns0:f>
      </ns0:c>
      <ns0:c r="E803" s="0">
        <ns0:f>IFERROR(MID(B803,FIND(".",B803,FIND(".",B803)+1)+1,99),"")</ns0:f>
        <ns0:v>99</ns0:v>
      </ns0:c>
      <ns0:c r="F803" s="0">
        <ns0:f>IFERROR(IF(FIND(".",B803)=5,--C803,--E803),0)</ns0:f>
        <ns0:v>0</ns0:v>
      </ns0:c>
      <ns0:c r="G803" s="0">
        <ns0:f>IFERROR(--D803,0)</ns0:f>
        <ns0:v>0</ns0:v>
      </ns0:c>
      <ns0:c r="H803" s="0">
        <ns0:f>IFERROR(IF(FIND(".",B803)=5,--E803,--C803),0)</ns0:f>
        <ns0:v>0</ns0:v>
      </ns0:c>
      <ns0:c r="I803" s="0">
        <ns0:f>IFERROR(IF(AND(F803&gt;=2000,F803&lt;=2100,G803&gt;=1,G803&lt;=12,H803&gt;=1,H803&lt;=31),DATE(F803,G803,H803),0),0)</ns0:f>
        <ns0:v>0</ns0:v>
      </ns0:c>
      <ns0:c r="J803" s="0">
        <ns0:f>IFERROR(IF(ISNUMBER(Bookings!B803),IF(AND(Bookings!B803=INT(Bookings!B803),Bookings!B803&gt;=DATE(2000,1,1),Bookings!B803&lt;=DATE(2100,12,31)),Bookings!B803,0),IF(AND(A803&lt;&gt;"",LEN("x"&amp;B803)-LEN(SUBSTITUTE("x"&amp;B803,".",""))=2,OR(1&gt;LEN(B803),MID(B803,1,1)=".",ISNUMBER(FIND("x"&amp;MID(B803,1,1),"x0x1x2x3x4x5x6x7x8x9"))),OR(2&gt;LEN(B803),MID(B803,2,1)=".",ISNUMBER(FIND("x"&amp;MID(B803,2,1),"x0x1x2x3x4x5x6x7x8x9"))),OR(3&gt;LEN(B803),MID(B803,3,1)=".",ISNUMBER(FIND("x"&amp;MID(B803,3,1),"x0x1x2x3x4x5x6x7x8x9"))),OR(4&gt;LEN(B803),MID(B803,4,1)=".",ISNUMBER(FIND("x"&amp;MID(B803,4,1),"x0x1x2x3x4x5x6x7x8x9"))),OR(5&gt;LEN(B803),MID(B803,5,1)=".",ISNUMBER(FIND("x"&amp;MID(B803,5,1),"x0x1x2x3x4x5x6x7x8x9"))),OR(6&gt;LEN(B803),MID(B803,6,1)=".",ISNUMBER(FIND("x"&amp;MID(B803,6,1),"x0x1x2x3x4x5x6x7x8x9"))),OR(7&gt;LEN(B803),MID(B803,7,1)=".",ISNUMBER(FIND("x"&amp;MID(B803,7,1),"x0x1x2x3x4x5x6x7x8x9"))),OR(8&gt;LEN(B803),MID(B803,8,1)=".",ISNUMBER(FIND("x"&amp;MID(B803,8,1),"x0x1x2x3x4x5x6x7x8x9"))),OR(9&gt;LEN(B803),MID(B803,9,1)=".",ISNUMBER(FIND("x"&amp;MID(B803,9,1),"x0x1x2x3x4x5x6x7x8x9"))),OR(10&gt;LEN(B803),MID(B803,10,1)=".",ISNUMBER(FIND("x"&amp;MID(B803,10,1),"x0x1x2x3x4x5x6x7x8x9"))),OR(AND(FIND(".",B803)=5,LEN(B803)-FIND(".",B803,FIND(".",B803)+1)&gt;=1,LEN(B803)-FIND(".",B803,FIND(".",B803)+1)&lt;=2),AND(LEN(B803)-FIND(".",B803,FIND(".",B803)+1)=4,FIND(".",B803)&gt;=2,FIND(".",B803)&lt;=3)),FIND(".",B803,FIND(".",B803)+1)-FIND(".",B803)&gt;=2,FIND(".",B803,FIND(".",B803)+1)-FIND(".",B803)&lt;=3,F803&gt;=2000,F803&lt;=2100,YEAR(I803)=F803,MONTH(I803)=G803,DAY(I803)=H803),I803,0)),0)</ns0:f>
        <ns0:v>0</ns0:v>
      </ns0:c>
      <ns0:c r="K803" s="0">
        <ns0:f>IFERROR(IF(ISNUMBER(Bookings!D803),"",TRIM(Bookings!D803&amp;"")),"")</ns0:f>
      </ns0:c>
      <ns0:c r="L803" s="0">
        <ns0:f>IFERROR(SUBSTITUTE(SUBSTITUTE(K803,"/","."),"-","."),"")</ns0:f>
      </ns0:c>
      <ns0:c r="M803" s="0">
        <ns0:f>IFERROR(LEFT(L803,FIND(".",L803)-1),"")</ns0:f>
      </ns0:c>
      <ns0:c r="N803" s="0">
        <ns0:f>IFERROR(MID(L803,FIND(".",L803)+1,FIND(".",L803,FIND(".",L803)+1)-FIND(".",L803)-1),"")</ns0:f>
      </ns0:c>
      <ns0:c r="O803" s="0">
        <ns0:f>IFERROR(MID(L803,FIND(".",L803,FIND(".",L803)+1)+1,99),"")</ns0:f>
        <ns0:v>99</ns0:v>
      </ns0:c>
      <ns0:c r="P803" s="0">
        <ns0:f>IFERROR(IF(FIND(".",L803)=5,--M803,--O803),0)</ns0:f>
        <ns0:v>0</ns0:v>
      </ns0:c>
      <ns0:c r="Q803" s="0">
        <ns0:f>IFERROR(--N803,0)</ns0:f>
        <ns0:v>0</ns0:v>
      </ns0:c>
      <ns0:c r="R803" s="0">
        <ns0:f>IFERROR(IF(FIND(".",L803)=5,--O803,--M803),0)</ns0:f>
        <ns0:v>0</ns0:v>
      </ns0:c>
      <ns0:c r="S803" s="0">
        <ns0:f>IFERROR(IF(AND(P803&gt;=2000,P803&lt;=2100,Q803&gt;=1,Q803&lt;=12,R803&gt;=1,R803&lt;=31),DATE(P803,Q803,R803),0),0)</ns0:f>
        <ns0:v>0</ns0:v>
      </ns0:c>
      <ns0:c r="T803" s="0">
        <ns0:f>IFERROR(IF(ISNUMBER(Bookings!D803),IF(AND(Bookings!D803=INT(Bookings!D803),Bookings!D803&gt;=DATE(2000,1,1),Bookings!D803&lt;=DATE(2100,12,31)),Bookings!D803,0),IF(AND(K803&lt;&gt;"",LEN("x"&amp;L803)-LEN(SUBSTITUTE("x"&amp;L803,".",""))=2,OR(1&gt;LEN(L803),MID(L803,1,1)=".",ISNUMBER(FIND("x"&amp;MID(L803,1,1),"x0x1x2x3x4x5x6x7x8x9"))),OR(2&gt;LEN(L803),MID(L803,2,1)=".",ISNUMBER(FIND("x"&amp;MID(L803,2,1),"x0x1x2x3x4x5x6x7x8x9"))),OR(3&gt;LEN(L803),MID(L803,3,1)=".",ISNUMBER(FIND("x"&amp;MID(L803,3,1),"x0x1x2x3x4x5x6x7x8x9"))),OR(4&gt;LEN(L803),MID(L803,4,1)=".",ISNUMBER(FIND("x"&amp;MID(L803,4,1),"x0x1x2x3x4x5x6x7x8x9"))),OR(5&gt;LEN(L803),MID(L803,5,1)=".",ISNUMBER(FIND("x"&amp;MID(L803,5,1),"x0x1x2x3x4x5x6x7x8x9"))),OR(6&gt;LEN(L803),MID(L803,6,1)=".",ISNUMBER(FIND("x"&amp;MID(L803,6,1),"x0x1x2x3x4x5x6x7x8x9"))),OR(7&gt;LEN(L803),MID(L803,7,1)=".",ISNUMBER(FIND("x"&amp;MID(L803,7,1),"x0x1x2x3x4x5x6x7x8x9"))),OR(8&gt;LEN(L803),MID(L803,8,1)=".",ISNUMBER(FIND("x"&amp;MID(L803,8,1),"x0x1x2x3x4x5x6x7x8x9"))),OR(9&gt;LEN(L803),MID(L803,9,1)=".",ISNUMBER(FIND("x"&amp;MID(L803,9,1),"x0x1x2x3x4x5x6x7x8x9"))),OR(10&gt;LEN(L803),MID(L803,10,1)=".",ISNUMBER(FIND("x"&amp;MID(L803,10,1),"x0x1x2x3x4x5x6x7x8x9"))),OR(AND(FIND(".",L803)=5,LEN(L803)-FIND(".",L803,FIND(".",L803)+1)&gt;=1,LEN(L803)-FIND(".",L803,FIND(".",L803)+1)&lt;=2),AND(LEN(L803)-FIND(".",L803,FIND(".",L803)+1)=4,FIND(".",L803)&gt;=2,FIND(".",L803)&lt;=3)),FIND(".",L803,FIND(".",L803)+1)-FIND(".",L803)&gt;=2,FIND(".",L803,FIND(".",L803)+1)-FIND(".",L803)&lt;=3,P803&gt;=2000,P803&lt;=2100,YEAR(S803)=P803,MONTH(S803)=Q803,DAY(S803)=R803),S803,0)),0)</ns0:f>
        <ns0:v>0</ns0:v>
      </ns0:c>
      <ns0:c r="U803" s="0" t="str">
        <ns0:f>IF(Bookings!C803="","Full day",Bookings!C803)</ns0:f>
        <ns0:v>Full day</ns0:v>
      </ns0:c>
      <ns0:c r="V803" s="0" t="str">
        <ns0:f>IF(Bookings!E803="","Full day",Bookings!E803)</ns0:f>
        <ns0:v>Full day</ns0:v>
      </ns0:c>
      <ns0:c r="W803" s="0">
        <ns0:f>IF(J803=0,0,J803+IF(U803="PM",1,0))</ns0:f>
        <ns0:v>0</ns0:v>
      </ns0:c>
      <ns0:c r="X803" s="0">
        <ns0:f>IF(T803=0,0,T803-IF(V803="PM",1,0))</ns0:f>
        <ns0:v>0</ns0:v>
      </ns0:c>
      <ns0:c r="Y803" s="0">
        <ns0:f>IF(J803=0,0,J803+IF(U803="AM",1,0))</ns0:f>
        <ns0:v>0</ns0:v>
      </ns0:c>
      <ns0:c r="Z803" s="0">
        <ns0:f>IF(T803=0,0,T803-IF(V803="AM",1,0))</ns0:f>
        <ns0:v>0</ns0:v>
      </ns0:c>
      <ns0:c r="AA803" s="0">
        <ns0:f>IFERROR(IF(AND(J803&gt;0,'_Engine'!C803&gt;0,MID('_Engine'!W803,WEEKDAY(J803,2),1)="W",COUNTIF(Settings!$F$18:$F$67,J803)=0),1,0),0)</ns0:f>
        <ns0:v>0</ns0:v>
      </ns0:c>
      <ns0:c r="AB803" s="0">
        <ns0:f>IFERROR(IF(AND(T803&gt;0,'_Engine'!C803&gt;0,MID('_Engine'!W803,WEEKDAY(T803,2),1)="W",COUNTIF(Settings!$F$18:$F$67,T803)=0),1,0),0)</ns0:f>
        <ns0:v>0</ns0:v>
      </ns0:c>
      <ns0:c r="AC803" s="0">
        <ns0:f>IF(AND(J803&gt;0,T803&gt;0,W803&lt;=X803),1,0)</ns0:f>
        <ns0:v>0</ns0:v>
      </ns0:c>
      <ns0:c r="AD803" s="0">
        <ns0:f>IF(AND(J803&gt;0,T803&gt;0,Y803&lt;=Z803),1,0)</ns0:f>
        <ns0:v>0</ns0:v>
      </ns0:c>
    </ns0:row>
    <ns0:row r="804">
      <ns0:c r="A804" s="0">
        <ns0:f>IFERROR(IF(ISNUMBER(Bookings!B804),"",TRIM(Bookings!B804&amp;"")),"")</ns0:f>
      </ns0:c>
      <ns0:c r="B804" s="0">
        <ns0:f>IFERROR(SUBSTITUTE(SUBSTITUTE(A804,"/","."),"-","."),"")</ns0:f>
      </ns0:c>
      <ns0:c r="C804" s="0">
        <ns0:f>IFERROR(LEFT(B804,FIND(".",B804)-1),"")</ns0:f>
      </ns0:c>
      <ns0:c r="D804" s="0">
        <ns0:f>IFERROR(MID(B804,FIND(".",B804)+1,FIND(".",B804,FIND(".",B804)+1)-FIND(".",B804)-1),"")</ns0:f>
      </ns0:c>
      <ns0:c r="E804" s="0">
        <ns0:f>IFERROR(MID(B804,FIND(".",B804,FIND(".",B804)+1)+1,99),"")</ns0:f>
        <ns0:v>99</ns0:v>
      </ns0:c>
      <ns0:c r="F804" s="0">
        <ns0:f>IFERROR(IF(FIND(".",B804)=5,--C804,--E804),0)</ns0:f>
        <ns0:v>0</ns0:v>
      </ns0:c>
      <ns0:c r="G804" s="0">
        <ns0:f>IFERROR(--D804,0)</ns0:f>
        <ns0:v>0</ns0:v>
      </ns0:c>
      <ns0:c r="H804" s="0">
        <ns0:f>IFERROR(IF(FIND(".",B804)=5,--E804,--C804),0)</ns0:f>
        <ns0:v>0</ns0:v>
      </ns0:c>
      <ns0:c r="I804" s="0">
        <ns0:f>IFERROR(IF(AND(F804&gt;=2000,F804&lt;=2100,G804&gt;=1,G804&lt;=12,H804&gt;=1,H804&lt;=31),DATE(F804,G804,H804),0),0)</ns0:f>
        <ns0:v>0</ns0:v>
      </ns0:c>
      <ns0:c r="J804" s="0">
        <ns0:f>IFERROR(IF(ISNUMBER(Bookings!B804),IF(AND(Bookings!B804=INT(Bookings!B804),Bookings!B804&gt;=DATE(2000,1,1),Bookings!B804&lt;=DATE(2100,12,31)),Bookings!B804,0),IF(AND(A804&lt;&gt;"",LEN("x"&amp;B804)-LEN(SUBSTITUTE("x"&amp;B804,".",""))=2,OR(1&gt;LEN(B804),MID(B804,1,1)=".",ISNUMBER(FIND("x"&amp;MID(B804,1,1),"x0x1x2x3x4x5x6x7x8x9"))),OR(2&gt;LEN(B804),MID(B804,2,1)=".",ISNUMBER(FIND("x"&amp;MID(B804,2,1),"x0x1x2x3x4x5x6x7x8x9"))),OR(3&gt;LEN(B804),MID(B804,3,1)=".",ISNUMBER(FIND("x"&amp;MID(B804,3,1),"x0x1x2x3x4x5x6x7x8x9"))),OR(4&gt;LEN(B804),MID(B804,4,1)=".",ISNUMBER(FIND("x"&amp;MID(B804,4,1),"x0x1x2x3x4x5x6x7x8x9"))),OR(5&gt;LEN(B804),MID(B804,5,1)=".",ISNUMBER(FIND("x"&amp;MID(B804,5,1),"x0x1x2x3x4x5x6x7x8x9"))),OR(6&gt;LEN(B804),MID(B804,6,1)=".",ISNUMBER(FIND("x"&amp;MID(B804,6,1),"x0x1x2x3x4x5x6x7x8x9"))),OR(7&gt;LEN(B804),MID(B804,7,1)=".",ISNUMBER(FIND("x"&amp;MID(B804,7,1),"x0x1x2x3x4x5x6x7x8x9"))),OR(8&gt;LEN(B804),MID(B804,8,1)=".",ISNUMBER(FIND("x"&amp;MID(B804,8,1),"x0x1x2x3x4x5x6x7x8x9"))),OR(9&gt;LEN(B804),MID(B804,9,1)=".",ISNUMBER(FIND("x"&amp;MID(B804,9,1),"x0x1x2x3x4x5x6x7x8x9"))),OR(10&gt;LEN(B804),MID(B804,10,1)=".",ISNUMBER(FIND("x"&amp;MID(B804,10,1),"x0x1x2x3x4x5x6x7x8x9"))),OR(AND(FIND(".",B804)=5,LEN(B804)-FIND(".",B804,FIND(".",B804)+1)&gt;=1,LEN(B804)-FIND(".",B804,FIND(".",B804)+1)&lt;=2),AND(LEN(B804)-FIND(".",B804,FIND(".",B804)+1)=4,FIND(".",B804)&gt;=2,FIND(".",B804)&lt;=3)),FIND(".",B804,FIND(".",B804)+1)-FIND(".",B804)&gt;=2,FIND(".",B804,FIND(".",B804)+1)-FIND(".",B804)&lt;=3,F804&gt;=2000,F804&lt;=2100,YEAR(I804)=F804,MONTH(I804)=G804,DAY(I804)=H804),I804,0)),0)</ns0:f>
        <ns0:v>0</ns0:v>
      </ns0:c>
      <ns0:c r="K804" s="0">
        <ns0:f>IFERROR(IF(ISNUMBER(Bookings!D804),"",TRIM(Bookings!D804&amp;"")),"")</ns0:f>
      </ns0:c>
      <ns0:c r="L804" s="0">
        <ns0:f>IFERROR(SUBSTITUTE(SUBSTITUTE(K804,"/","."),"-","."),"")</ns0:f>
      </ns0:c>
      <ns0:c r="M804" s="0">
        <ns0:f>IFERROR(LEFT(L804,FIND(".",L804)-1),"")</ns0:f>
      </ns0:c>
      <ns0:c r="N804" s="0">
        <ns0:f>IFERROR(MID(L804,FIND(".",L804)+1,FIND(".",L804,FIND(".",L804)+1)-FIND(".",L804)-1),"")</ns0:f>
      </ns0:c>
      <ns0:c r="O804" s="0">
        <ns0:f>IFERROR(MID(L804,FIND(".",L804,FIND(".",L804)+1)+1,99),"")</ns0:f>
        <ns0:v>99</ns0:v>
      </ns0:c>
      <ns0:c r="P804" s="0">
        <ns0:f>IFERROR(IF(FIND(".",L804)=5,--M804,--O804),0)</ns0:f>
        <ns0:v>0</ns0:v>
      </ns0:c>
      <ns0:c r="Q804" s="0">
        <ns0:f>IFERROR(--N804,0)</ns0:f>
        <ns0:v>0</ns0:v>
      </ns0:c>
      <ns0:c r="R804" s="0">
        <ns0:f>IFERROR(IF(FIND(".",L804)=5,--O804,--M804),0)</ns0:f>
        <ns0:v>0</ns0:v>
      </ns0:c>
      <ns0:c r="S804" s="0">
        <ns0:f>IFERROR(IF(AND(P804&gt;=2000,P804&lt;=2100,Q804&gt;=1,Q804&lt;=12,R804&gt;=1,R804&lt;=31),DATE(P804,Q804,R804),0),0)</ns0:f>
        <ns0:v>0</ns0:v>
      </ns0:c>
      <ns0:c r="T804" s="0">
        <ns0:f>IFERROR(IF(ISNUMBER(Bookings!D804),IF(AND(Bookings!D804=INT(Bookings!D804),Bookings!D804&gt;=DATE(2000,1,1),Bookings!D804&lt;=DATE(2100,12,31)),Bookings!D804,0),IF(AND(K804&lt;&gt;"",LEN("x"&amp;L804)-LEN(SUBSTITUTE("x"&amp;L804,".",""))=2,OR(1&gt;LEN(L804),MID(L804,1,1)=".",ISNUMBER(FIND("x"&amp;MID(L804,1,1),"x0x1x2x3x4x5x6x7x8x9"))),OR(2&gt;LEN(L804),MID(L804,2,1)=".",ISNUMBER(FIND("x"&amp;MID(L804,2,1),"x0x1x2x3x4x5x6x7x8x9"))),OR(3&gt;LEN(L804),MID(L804,3,1)=".",ISNUMBER(FIND("x"&amp;MID(L804,3,1),"x0x1x2x3x4x5x6x7x8x9"))),OR(4&gt;LEN(L804),MID(L804,4,1)=".",ISNUMBER(FIND("x"&amp;MID(L804,4,1),"x0x1x2x3x4x5x6x7x8x9"))),OR(5&gt;LEN(L804),MID(L804,5,1)=".",ISNUMBER(FIND("x"&amp;MID(L804,5,1),"x0x1x2x3x4x5x6x7x8x9"))),OR(6&gt;LEN(L804),MID(L804,6,1)=".",ISNUMBER(FIND("x"&amp;MID(L804,6,1),"x0x1x2x3x4x5x6x7x8x9"))),OR(7&gt;LEN(L804),MID(L804,7,1)=".",ISNUMBER(FIND("x"&amp;MID(L804,7,1),"x0x1x2x3x4x5x6x7x8x9"))),OR(8&gt;LEN(L804),MID(L804,8,1)=".",ISNUMBER(FIND("x"&amp;MID(L804,8,1),"x0x1x2x3x4x5x6x7x8x9"))),OR(9&gt;LEN(L804),MID(L804,9,1)=".",ISNUMBER(FIND("x"&amp;MID(L804,9,1),"x0x1x2x3x4x5x6x7x8x9"))),OR(10&gt;LEN(L804),MID(L804,10,1)=".",ISNUMBER(FIND("x"&amp;MID(L804,10,1),"x0x1x2x3x4x5x6x7x8x9"))),OR(AND(FIND(".",L804)=5,LEN(L804)-FIND(".",L804,FIND(".",L804)+1)&gt;=1,LEN(L804)-FIND(".",L804,FIND(".",L804)+1)&lt;=2),AND(LEN(L804)-FIND(".",L804,FIND(".",L804)+1)=4,FIND(".",L804)&gt;=2,FIND(".",L804)&lt;=3)),FIND(".",L804,FIND(".",L804)+1)-FIND(".",L804)&gt;=2,FIND(".",L804,FIND(".",L804)+1)-FIND(".",L804)&lt;=3,P804&gt;=2000,P804&lt;=2100,YEAR(S804)=P804,MONTH(S804)=Q804,DAY(S804)=R804),S804,0)),0)</ns0:f>
        <ns0:v>0</ns0:v>
      </ns0:c>
      <ns0:c r="U804" s="0" t="str">
        <ns0:f>IF(Bookings!C804="","Full day",Bookings!C804)</ns0:f>
        <ns0:v>Full day</ns0:v>
      </ns0:c>
      <ns0:c r="V804" s="0" t="str">
        <ns0:f>IF(Bookings!E804="","Full day",Bookings!E804)</ns0:f>
        <ns0:v>Full day</ns0:v>
      </ns0:c>
      <ns0:c r="W804" s="0">
        <ns0:f>IF(J804=0,0,J804+IF(U804="PM",1,0))</ns0:f>
        <ns0:v>0</ns0:v>
      </ns0:c>
      <ns0:c r="X804" s="0">
        <ns0:f>IF(T804=0,0,T804-IF(V804="PM",1,0))</ns0:f>
        <ns0:v>0</ns0:v>
      </ns0:c>
      <ns0:c r="Y804" s="0">
        <ns0:f>IF(J804=0,0,J804+IF(U804="AM",1,0))</ns0:f>
        <ns0:v>0</ns0:v>
      </ns0:c>
      <ns0:c r="Z804" s="0">
        <ns0:f>IF(T804=0,0,T804-IF(V804="AM",1,0))</ns0:f>
        <ns0:v>0</ns0:v>
      </ns0:c>
      <ns0:c r="AA804" s="0">
        <ns0:f>IFERROR(IF(AND(J804&gt;0,'_Engine'!C804&gt;0,MID('_Engine'!W804,WEEKDAY(J804,2),1)="W",COUNTIF(Settings!$F$18:$F$67,J804)=0),1,0),0)</ns0:f>
        <ns0:v>0</ns0:v>
      </ns0:c>
      <ns0:c r="AB804" s="0">
        <ns0:f>IFERROR(IF(AND(T804&gt;0,'_Engine'!C804&gt;0,MID('_Engine'!W804,WEEKDAY(T804,2),1)="W",COUNTIF(Settings!$F$18:$F$67,T804)=0),1,0),0)</ns0:f>
        <ns0:v>0</ns0:v>
      </ns0:c>
      <ns0:c r="AC804" s="0">
        <ns0:f>IF(AND(J804&gt;0,T804&gt;0,W804&lt;=X804),1,0)</ns0:f>
        <ns0:v>0</ns0:v>
      </ns0:c>
      <ns0:c r="AD804" s="0">
        <ns0:f>IF(AND(J804&gt;0,T804&gt;0,Y804&lt;=Z804),1,0)</ns0:f>
        <ns0:v>0</ns0:v>
      </ns0:c>
    </ns0:row>
    <ns0:row r="805">
      <ns0:c r="A805" s="0">
        <ns0:f>IFERROR(IF(ISNUMBER(Bookings!B805),"",TRIM(Bookings!B805&amp;"")),"")</ns0:f>
      </ns0:c>
      <ns0:c r="B805" s="0">
        <ns0:f>IFERROR(SUBSTITUTE(SUBSTITUTE(A805,"/","."),"-","."),"")</ns0:f>
      </ns0:c>
      <ns0:c r="C805" s="0">
        <ns0:f>IFERROR(LEFT(B805,FIND(".",B805)-1),"")</ns0:f>
      </ns0:c>
      <ns0:c r="D805" s="0">
        <ns0:f>IFERROR(MID(B805,FIND(".",B805)+1,FIND(".",B805,FIND(".",B805)+1)-FIND(".",B805)-1),"")</ns0:f>
      </ns0:c>
      <ns0:c r="E805" s="0">
        <ns0:f>IFERROR(MID(B805,FIND(".",B805,FIND(".",B805)+1)+1,99),"")</ns0:f>
        <ns0:v>99</ns0:v>
      </ns0:c>
      <ns0:c r="F805" s="0">
        <ns0:f>IFERROR(IF(FIND(".",B805)=5,--C805,--E805),0)</ns0:f>
        <ns0:v>0</ns0:v>
      </ns0:c>
      <ns0:c r="G805" s="0">
        <ns0:f>IFERROR(--D805,0)</ns0:f>
        <ns0:v>0</ns0:v>
      </ns0:c>
      <ns0:c r="H805" s="0">
        <ns0:f>IFERROR(IF(FIND(".",B805)=5,--E805,--C805),0)</ns0:f>
        <ns0:v>0</ns0:v>
      </ns0:c>
      <ns0:c r="I805" s="0">
        <ns0:f>IFERROR(IF(AND(F805&gt;=2000,F805&lt;=2100,G805&gt;=1,G805&lt;=12,H805&gt;=1,H805&lt;=31),DATE(F805,G805,H805),0),0)</ns0:f>
        <ns0:v>0</ns0:v>
      </ns0:c>
      <ns0:c r="J805" s="0">
        <ns0:f>IFERROR(IF(ISNUMBER(Bookings!B805),IF(AND(Bookings!B805=INT(Bookings!B805),Bookings!B805&gt;=DATE(2000,1,1),Bookings!B805&lt;=DATE(2100,12,31)),Bookings!B805,0),IF(AND(A805&lt;&gt;"",LEN("x"&amp;B805)-LEN(SUBSTITUTE("x"&amp;B805,".",""))=2,OR(1&gt;LEN(B805),MID(B805,1,1)=".",ISNUMBER(FIND("x"&amp;MID(B805,1,1),"x0x1x2x3x4x5x6x7x8x9"))),OR(2&gt;LEN(B805),MID(B805,2,1)=".",ISNUMBER(FIND("x"&amp;MID(B805,2,1),"x0x1x2x3x4x5x6x7x8x9"))),OR(3&gt;LEN(B805),MID(B805,3,1)=".",ISNUMBER(FIND("x"&amp;MID(B805,3,1),"x0x1x2x3x4x5x6x7x8x9"))),OR(4&gt;LEN(B805),MID(B805,4,1)=".",ISNUMBER(FIND("x"&amp;MID(B805,4,1),"x0x1x2x3x4x5x6x7x8x9"))),OR(5&gt;LEN(B805),MID(B805,5,1)=".",ISNUMBER(FIND("x"&amp;MID(B805,5,1),"x0x1x2x3x4x5x6x7x8x9"))),OR(6&gt;LEN(B805),MID(B805,6,1)=".",ISNUMBER(FIND("x"&amp;MID(B805,6,1),"x0x1x2x3x4x5x6x7x8x9"))),OR(7&gt;LEN(B805),MID(B805,7,1)=".",ISNUMBER(FIND("x"&amp;MID(B805,7,1),"x0x1x2x3x4x5x6x7x8x9"))),OR(8&gt;LEN(B805),MID(B805,8,1)=".",ISNUMBER(FIND("x"&amp;MID(B805,8,1),"x0x1x2x3x4x5x6x7x8x9"))),OR(9&gt;LEN(B805),MID(B805,9,1)=".",ISNUMBER(FIND("x"&amp;MID(B805,9,1),"x0x1x2x3x4x5x6x7x8x9"))),OR(10&gt;LEN(B805),MID(B805,10,1)=".",ISNUMBER(FIND("x"&amp;MID(B805,10,1),"x0x1x2x3x4x5x6x7x8x9"))),OR(AND(FIND(".",B805)=5,LEN(B805)-FIND(".",B805,FIND(".",B805)+1)&gt;=1,LEN(B805)-FIND(".",B805,FIND(".",B805)+1)&lt;=2),AND(LEN(B805)-FIND(".",B805,FIND(".",B805)+1)=4,FIND(".",B805)&gt;=2,FIND(".",B805)&lt;=3)),FIND(".",B805,FIND(".",B805)+1)-FIND(".",B805)&gt;=2,FIND(".",B805,FIND(".",B805)+1)-FIND(".",B805)&lt;=3,F805&gt;=2000,F805&lt;=2100,YEAR(I805)=F805,MONTH(I805)=G805,DAY(I805)=H805),I805,0)),0)</ns0:f>
        <ns0:v>0</ns0:v>
      </ns0:c>
      <ns0:c r="K805" s="0">
        <ns0:f>IFERROR(IF(ISNUMBER(Bookings!D805),"",TRIM(Bookings!D805&amp;"")),"")</ns0:f>
      </ns0:c>
      <ns0:c r="L805" s="0">
        <ns0:f>IFERROR(SUBSTITUTE(SUBSTITUTE(K805,"/","."),"-","."),"")</ns0:f>
      </ns0:c>
      <ns0:c r="M805" s="0">
        <ns0:f>IFERROR(LEFT(L805,FIND(".",L805)-1),"")</ns0:f>
      </ns0:c>
      <ns0:c r="N805" s="0">
        <ns0:f>IFERROR(MID(L805,FIND(".",L805)+1,FIND(".",L805,FIND(".",L805)+1)-FIND(".",L805)-1),"")</ns0:f>
      </ns0:c>
      <ns0:c r="O805" s="0">
        <ns0:f>IFERROR(MID(L805,FIND(".",L805,FIND(".",L805)+1)+1,99),"")</ns0:f>
        <ns0:v>99</ns0:v>
      </ns0:c>
      <ns0:c r="P805" s="0">
        <ns0:f>IFERROR(IF(FIND(".",L805)=5,--M805,--O805),0)</ns0:f>
        <ns0:v>0</ns0:v>
      </ns0:c>
      <ns0:c r="Q805" s="0">
        <ns0:f>IFERROR(--N805,0)</ns0:f>
        <ns0:v>0</ns0:v>
      </ns0:c>
      <ns0:c r="R805" s="0">
        <ns0:f>IFERROR(IF(FIND(".",L805)=5,--O805,--M805),0)</ns0:f>
        <ns0:v>0</ns0:v>
      </ns0:c>
      <ns0:c r="S805" s="0">
        <ns0:f>IFERROR(IF(AND(P805&gt;=2000,P805&lt;=2100,Q805&gt;=1,Q805&lt;=12,R805&gt;=1,R805&lt;=31),DATE(P805,Q805,R805),0),0)</ns0:f>
        <ns0:v>0</ns0:v>
      </ns0:c>
      <ns0:c r="T805" s="0">
        <ns0:f>IFERROR(IF(ISNUMBER(Bookings!D805),IF(AND(Bookings!D805=INT(Bookings!D805),Bookings!D805&gt;=DATE(2000,1,1),Bookings!D805&lt;=DATE(2100,12,31)),Bookings!D805,0),IF(AND(K805&lt;&gt;"",LEN("x"&amp;L805)-LEN(SUBSTITUTE("x"&amp;L805,".",""))=2,OR(1&gt;LEN(L805),MID(L805,1,1)=".",ISNUMBER(FIND("x"&amp;MID(L805,1,1),"x0x1x2x3x4x5x6x7x8x9"))),OR(2&gt;LEN(L805),MID(L805,2,1)=".",ISNUMBER(FIND("x"&amp;MID(L805,2,1),"x0x1x2x3x4x5x6x7x8x9"))),OR(3&gt;LEN(L805),MID(L805,3,1)=".",ISNUMBER(FIND("x"&amp;MID(L805,3,1),"x0x1x2x3x4x5x6x7x8x9"))),OR(4&gt;LEN(L805),MID(L805,4,1)=".",ISNUMBER(FIND("x"&amp;MID(L805,4,1),"x0x1x2x3x4x5x6x7x8x9"))),OR(5&gt;LEN(L805),MID(L805,5,1)=".",ISNUMBER(FIND("x"&amp;MID(L805,5,1),"x0x1x2x3x4x5x6x7x8x9"))),OR(6&gt;LEN(L805),MID(L805,6,1)=".",ISNUMBER(FIND("x"&amp;MID(L805,6,1),"x0x1x2x3x4x5x6x7x8x9"))),OR(7&gt;LEN(L805),MID(L805,7,1)=".",ISNUMBER(FIND("x"&amp;MID(L805,7,1),"x0x1x2x3x4x5x6x7x8x9"))),OR(8&gt;LEN(L805),MID(L805,8,1)=".",ISNUMBER(FIND("x"&amp;MID(L805,8,1),"x0x1x2x3x4x5x6x7x8x9"))),OR(9&gt;LEN(L805),MID(L805,9,1)=".",ISNUMBER(FIND("x"&amp;MID(L805,9,1),"x0x1x2x3x4x5x6x7x8x9"))),OR(10&gt;LEN(L805),MID(L805,10,1)=".",ISNUMBER(FIND("x"&amp;MID(L805,10,1),"x0x1x2x3x4x5x6x7x8x9"))),OR(AND(FIND(".",L805)=5,LEN(L805)-FIND(".",L805,FIND(".",L805)+1)&gt;=1,LEN(L805)-FIND(".",L805,FIND(".",L805)+1)&lt;=2),AND(LEN(L805)-FIND(".",L805,FIND(".",L805)+1)=4,FIND(".",L805)&gt;=2,FIND(".",L805)&lt;=3)),FIND(".",L805,FIND(".",L805)+1)-FIND(".",L805)&gt;=2,FIND(".",L805,FIND(".",L805)+1)-FIND(".",L805)&lt;=3,P805&gt;=2000,P805&lt;=2100,YEAR(S805)=P805,MONTH(S805)=Q805,DAY(S805)=R805),S805,0)),0)</ns0:f>
        <ns0:v>0</ns0:v>
      </ns0:c>
      <ns0:c r="U805" s="0" t="str">
        <ns0:f>IF(Bookings!C805="","Full day",Bookings!C805)</ns0:f>
        <ns0:v>Full day</ns0:v>
      </ns0:c>
      <ns0:c r="V805" s="0" t="str">
        <ns0:f>IF(Bookings!E805="","Full day",Bookings!E805)</ns0:f>
        <ns0:v>Full day</ns0:v>
      </ns0:c>
      <ns0:c r="W805" s="0">
        <ns0:f>IF(J805=0,0,J805+IF(U805="PM",1,0))</ns0:f>
        <ns0:v>0</ns0:v>
      </ns0:c>
      <ns0:c r="X805" s="0">
        <ns0:f>IF(T805=0,0,T805-IF(V805="PM",1,0))</ns0:f>
        <ns0:v>0</ns0:v>
      </ns0:c>
      <ns0:c r="Y805" s="0">
        <ns0:f>IF(J805=0,0,J805+IF(U805="AM",1,0))</ns0:f>
        <ns0:v>0</ns0:v>
      </ns0:c>
      <ns0:c r="Z805" s="0">
        <ns0:f>IF(T805=0,0,T805-IF(V805="AM",1,0))</ns0:f>
        <ns0:v>0</ns0:v>
      </ns0:c>
      <ns0:c r="AA805" s="0">
        <ns0:f>IFERROR(IF(AND(J805&gt;0,'_Engine'!C805&gt;0,MID('_Engine'!W805,WEEKDAY(J805,2),1)="W",COUNTIF(Settings!$F$18:$F$67,J805)=0),1,0),0)</ns0:f>
        <ns0:v>0</ns0:v>
      </ns0:c>
      <ns0:c r="AB805" s="0">
        <ns0:f>IFERROR(IF(AND(T805&gt;0,'_Engine'!C805&gt;0,MID('_Engine'!W805,WEEKDAY(T805,2),1)="W",COUNTIF(Settings!$F$18:$F$67,T805)=0),1,0),0)</ns0:f>
        <ns0:v>0</ns0:v>
      </ns0:c>
      <ns0:c r="AC805" s="0">
        <ns0:f>IF(AND(J805&gt;0,T805&gt;0,W805&lt;=X805),1,0)</ns0:f>
        <ns0:v>0</ns0:v>
      </ns0:c>
      <ns0:c r="AD805" s="0">
        <ns0:f>IF(AND(J805&gt;0,T805&gt;0,Y805&lt;=Z805),1,0)</ns0:f>
        <ns0:v>0</ns0:v>
      </ns0:c>
    </ns0:row>
    <ns0:row r="806">
      <ns0:c r="A806" s="0">
        <ns0:f>IFERROR(IF(ISNUMBER(Bookings!B806),"",TRIM(Bookings!B806&amp;"")),"")</ns0:f>
      </ns0:c>
      <ns0:c r="B806" s="0">
        <ns0:f>IFERROR(SUBSTITUTE(SUBSTITUTE(A806,"/","."),"-","."),"")</ns0:f>
      </ns0:c>
      <ns0:c r="C806" s="0">
        <ns0:f>IFERROR(LEFT(B806,FIND(".",B806)-1),"")</ns0:f>
      </ns0:c>
      <ns0:c r="D806" s="0">
        <ns0:f>IFERROR(MID(B806,FIND(".",B806)+1,FIND(".",B806,FIND(".",B806)+1)-FIND(".",B806)-1),"")</ns0:f>
      </ns0:c>
      <ns0:c r="E806" s="0">
        <ns0:f>IFERROR(MID(B806,FIND(".",B806,FIND(".",B806)+1)+1,99),"")</ns0:f>
        <ns0:v>99</ns0:v>
      </ns0:c>
      <ns0:c r="F806" s="0">
        <ns0:f>IFERROR(IF(FIND(".",B806)=5,--C806,--E806),0)</ns0:f>
        <ns0:v>0</ns0:v>
      </ns0:c>
      <ns0:c r="G806" s="0">
        <ns0:f>IFERROR(--D806,0)</ns0:f>
        <ns0:v>0</ns0:v>
      </ns0:c>
      <ns0:c r="H806" s="0">
        <ns0:f>IFERROR(IF(FIND(".",B806)=5,--E806,--C806),0)</ns0:f>
        <ns0:v>0</ns0:v>
      </ns0:c>
      <ns0:c r="I806" s="0">
        <ns0:f>IFERROR(IF(AND(F806&gt;=2000,F806&lt;=2100,G806&gt;=1,G806&lt;=12,H806&gt;=1,H806&lt;=31),DATE(F806,G806,H806),0),0)</ns0:f>
        <ns0:v>0</ns0:v>
      </ns0:c>
      <ns0:c r="J806" s="0">
        <ns0:f>IFERROR(IF(ISNUMBER(Bookings!B806),IF(AND(Bookings!B806=INT(Bookings!B806),Bookings!B806&gt;=DATE(2000,1,1),Bookings!B806&lt;=DATE(2100,12,31)),Bookings!B806,0),IF(AND(A806&lt;&gt;"",LEN("x"&amp;B806)-LEN(SUBSTITUTE("x"&amp;B806,".",""))=2,OR(1&gt;LEN(B806),MID(B806,1,1)=".",ISNUMBER(FIND("x"&amp;MID(B806,1,1),"x0x1x2x3x4x5x6x7x8x9"))),OR(2&gt;LEN(B806),MID(B806,2,1)=".",ISNUMBER(FIND("x"&amp;MID(B806,2,1),"x0x1x2x3x4x5x6x7x8x9"))),OR(3&gt;LEN(B806),MID(B806,3,1)=".",ISNUMBER(FIND("x"&amp;MID(B806,3,1),"x0x1x2x3x4x5x6x7x8x9"))),OR(4&gt;LEN(B806),MID(B806,4,1)=".",ISNUMBER(FIND("x"&amp;MID(B806,4,1),"x0x1x2x3x4x5x6x7x8x9"))),OR(5&gt;LEN(B806),MID(B806,5,1)=".",ISNUMBER(FIND("x"&amp;MID(B806,5,1),"x0x1x2x3x4x5x6x7x8x9"))),OR(6&gt;LEN(B806),MID(B806,6,1)=".",ISNUMBER(FIND("x"&amp;MID(B806,6,1),"x0x1x2x3x4x5x6x7x8x9"))),OR(7&gt;LEN(B806),MID(B806,7,1)=".",ISNUMBER(FIND("x"&amp;MID(B806,7,1),"x0x1x2x3x4x5x6x7x8x9"))),OR(8&gt;LEN(B806),MID(B806,8,1)=".",ISNUMBER(FIND("x"&amp;MID(B806,8,1),"x0x1x2x3x4x5x6x7x8x9"))),OR(9&gt;LEN(B806),MID(B806,9,1)=".",ISNUMBER(FIND("x"&amp;MID(B806,9,1),"x0x1x2x3x4x5x6x7x8x9"))),OR(10&gt;LEN(B806),MID(B806,10,1)=".",ISNUMBER(FIND("x"&amp;MID(B806,10,1),"x0x1x2x3x4x5x6x7x8x9"))),OR(AND(FIND(".",B806)=5,LEN(B806)-FIND(".",B806,FIND(".",B806)+1)&gt;=1,LEN(B806)-FIND(".",B806,FIND(".",B806)+1)&lt;=2),AND(LEN(B806)-FIND(".",B806,FIND(".",B806)+1)=4,FIND(".",B806)&gt;=2,FIND(".",B806)&lt;=3)),FIND(".",B806,FIND(".",B806)+1)-FIND(".",B806)&gt;=2,FIND(".",B806,FIND(".",B806)+1)-FIND(".",B806)&lt;=3,F806&gt;=2000,F806&lt;=2100,YEAR(I806)=F806,MONTH(I806)=G806,DAY(I806)=H806),I806,0)),0)</ns0:f>
        <ns0:v>0</ns0:v>
      </ns0:c>
      <ns0:c r="K806" s="0">
        <ns0:f>IFERROR(IF(ISNUMBER(Bookings!D806),"",TRIM(Bookings!D806&amp;"")),"")</ns0:f>
      </ns0:c>
      <ns0:c r="L806" s="0">
        <ns0:f>IFERROR(SUBSTITUTE(SUBSTITUTE(K806,"/","."),"-","."),"")</ns0:f>
      </ns0:c>
      <ns0:c r="M806" s="0">
        <ns0:f>IFERROR(LEFT(L806,FIND(".",L806)-1),"")</ns0:f>
      </ns0:c>
      <ns0:c r="N806" s="0">
        <ns0:f>IFERROR(MID(L806,FIND(".",L806)+1,FIND(".",L806,FIND(".",L806)+1)-FIND(".",L806)-1),"")</ns0:f>
      </ns0:c>
      <ns0:c r="O806" s="0">
        <ns0:f>IFERROR(MID(L806,FIND(".",L806,FIND(".",L806)+1)+1,99),"")</ns0:f>
        <ns0:v>99</ns0:v>
      </ns0:c>
      <ns0:c r="P806" s="0">
        <ns0:f>IFERROR(IF(FIND(".",L806)=5,--M806,--O806),0)</ns0:f>
        <ns0:v>0</ns0:v>
      </ns0:c>
      <ns0:c r="Q806" s="0">
        <ns0:f>IFERROR(--N806,0)</ns0:f>
        <ns0:v>0</ns0:v>
      </ns0:c>
      <ns0:c r="R806" s="0">
        <ns0:f>IFERROR(IF(FIND(".",L806)=5,--O806,--M806),0)</ns0:f>
        <ns0:v>0</ns0:v>
      </ns0:c>
      <ns0:c r="S806" s="0">
        <ns0:f>IFERROR(IF(AND(P806&gt;=2000,P806&lt;=2100,Q806&gt;=1,Q806&lt;=12,R806&gt;=1,R806&lt;=31),DATE(P806,Q806,R806),0),0)</ns0:f>
        <ns0:v>0</ns0:v>
      </ns0:c>
      <ns0:c r="T806" s="0">
        <ns0:f>IFERROR(IF(ISNUMBER(Bookings!D806),IF(AND(Bookings!D806=INT(Bookings!D806),Bookings!D806&gt;=DATE(2000,1,1),Bookings!D806&lt;=DATE(2100,12,31)),Bookings!D806,0),IF(AND(K806&lt;&gt;"",LEN("x"&amp;L806)-LEN(SUBSTITUTE("x"&amp;L806,".",""))=2,OR(1&gt;LEN(L806),MID(L806,1,1)=".",ISNUMBER(FIND("x"&amp;MID(L806,1,1),"x0x1x2x3x4x5x6x7x8x9"))),OR(2&gt;LEN(L806),MID(L806,2,1)=".",ISNUMBER(FIND("x"&amp;MID(L806,2,1),"x0x1x2x3x4x5x6x7x8x9"))),OR(3&gt;LEN(L806),MID(L806,3,1)=".",ISNUMBER(FIND("x"&amp;MID(L806,3,1),"x0x1x2x3x4x5x6x7x8x9"))),OR(4&gt;LEN(L806),MID(L806,4,1)=".",ISNUMBER(FIND("x"&amp;MID(L806,4,1),"x0x1x2x3x4x5x6x7x8x9"))),OR(5&gt;LEN(L806),MID(L806,5,1)=".",ISNUMBER(FIND("x"&amp;MID(L806,5,1),"x0x1x2x3x4x5x6x7x8x9"))),OR(6&gt;LEN(L806),MID(L806,6,1)=".",ISNUMBER(FIND("x"&amp;MID(L806,6,1),"x0x1x2x3x4x5x6x7x8x9"))),OR(7&gt;LEN(L806),MID(L806,7,1)=".",ISNUMBER(FIND("x"&amp;MID(L806,7,1),"x0x1x2x3x4x5x6x7x8x9"))),OR(8&gt;LEN(L806),MID(L806,8,1)=".",ISNUMBER(FIND("x"&amp;MID(L806,8,1),"x0x1x2x3x4x5x6x7x8x9"))),OR(9&gt;LEN(L806),MID(L806,9,1)=".",ISNUMBER(FIND("x"&amp;MID(L806,9,1),"x0x1x2x3x4x5x6x7x8x9"))),OR(10&gt;LEN(L806),MID(L806,10,1)=".",ISNUMBER(FIND("x"&amp;MID(L806,10,1),"x0x1x2x3x4x5x6x7x8x9"))),OR(AND(FIND(".",L806)=5,LEN(L806)-FIND(".",L806,FIND(".",L806)+1)&gt;=1,LEN(L806)-FIND(".",L806,FIND(".",L806)+1)&lt;=2),AND(LEN(L806)-FIND(".",L806,FIND(".",L806)+1)=4,FIND(".",L806)&gt;=2,FIND(".",L806)&lt;=3)),FIND(".",L806,FIND(".",L806)+1)-FIND(".",L806)&gt;=2,FIND(".",L806,FIND(".",L806)+1)-FIND(".",L806)&lt;=3,P806&gt;=2000,P806&lt;=2100,YEAR(S806)=P806,MONTH(S806)=Q806,DAY(S806)=R806),S806,0)),0)</ns0:f>
        <ns0:v>0</ns0:v>
      </ns0:c>
      <ns0:c r="U806" s="0" t="str">
        <ns0:f>IF(Bookings!C806="","Full day",Bookings!C806)</ns0:f>
        <ns0:v>Full day</ns0:v>
      </ns0:c>
      <ns0:c r="V806" s="0" t="str">
        <ns0:f>IF(Bookings!E806="","Full day",Bookings!E806)</ns0:f>
        <ns0:v>Full day</ns0:v>
      </ns0:c>
      <ns0:c r="W806" s="0">
        <ns0:f>IF(J806=0,0,J806+IF(U806="PM",1,0))</ns0:f>
        <ns0:v>0</ns0:v>
      </ns0:c>
      <ns0:c r="X806" s="0">
        <ns0:f>IF(T806=0,0,T806-IF(V806="PM",1,0))</ns0:f>
        <ns0:v>0</ns0:v>
      </ns0:c>
      <ns0:c r="Y806" s="0">
        <ns0:f>IF(J806=0,0,J806+IF(U806="AM",1,0))</ns0:f>
        <ns0:v>0</ns0:v>
      </ns0:c>
      <ns0:c r="Z806" s="0">
        <ns0:f>IF(T806=0,0,T806-IF(V806="AM",1,0))</ns0:f>
        <ns0:v>0</ns0:v>
      </ns0:c>
      <ns0:c r="AA806" s="0">
        <ns0:f>IFERROR(IF(AND(J806&gt;0,'_Engine'!C806&gt;0,MID('_Engine'!W806,WEEKDAY(J806,2),1)="W",COUNTIF(Settings!$F$18:$F$67,J806)=0),1,0),0)</ns0:f>
        <ns0:v>0</ns0:v>
      </ns0:c>
      <ns0:c r="AB806" s="0">
        <ns0:f>IFERROR(IF(AND(T806&gt;0,'_Engine'!C806&gt;0,MID('_Engine'!W806,WEEKDAY(T806,2),1)="W",COUNTIF(Settings!$F$18:$F$67,T806)=0),1,0),0)</ns0:f>
        <ns0:v>0</ns0:v>
      </ns0:c>
      <ns0:c r="AC806" s="0">
        <ns0:f>IF(AND(J806&gt;0,T806&gt;0,W806&lt;=X806),1,0)</ns0:f>
        <ns0:v>0</ns0:v>
      </ns0:c>
      <ns0:c r="AD806" s="0">
        <ns0:f>IF(AND(J806&gt;0,T806&gt;0,Y806&lt;=Z806),1,0)</ns0:f>
        <ns0:v>0</ns0:v>
      </ns0:c>
    </ns0:row>
    <ns0:row r="807">
      <ns0:c r="A807" s="0">
        <ns0:f>IFERROR(IF(ISNUMBER(Bookings!B807),"",TRIM(Bookings!B807&amp;"")),"")</ns0:f>
      </ns0:c>
      <ns0:c r="B807" s="0">
        <ns0:f>IFERROR(SUBSTITUTE(SUBSTITUTE(A807,"/","."),"-","."),"")</ns0:f>
      </ns0:c>
      <ns0:c r="C807" s="0">
        <ns0:f>IFERROR(LEFT(B807,FIND(".",B807)-1),"")</ns0:f>
      </ns0:c>
      <ns0:c r="D807" s="0">
        <ns0:f>IFERROR(MID(B807,FIND(".",B807)+1,FIND(".",B807,FIND(".",B807)+1)-FIND(".",B807)-1),"")</ns0:f>
      </ns0:c>
      <ns0:c r="E807" s="0">
        <ns0:f>IFERROR(MID(B807,FIND(".",B807,FIND(".",B807)+1)+1,99),"")</ns0:f>
        <ns0:v>99</ns0:v>
      </ns0:c>
      <ns0:c r="F807" s="0">
        <ns0:f>IFERROR(IF(FIND(".",B807)=5,--C807,--E807),0)</ns0:f>
        <ns0:v>0</ns0:v>
      </ns0:c>
      <ns0:c r="G807" s="0">
        <ns0:f>IFERROR(--D807,0)</ns0:f>
        <ns0:v>0</ns0:v>
      </ns0:c>
      <ns0:c r="H807" s="0">
        <ns0:f>IFERROR(IF(FIND(".",B807)=5,--E807,--C807),0)</ns0:f>
        <ns0:v>0</ns0:v>
      </ns0:c>
      <ns0:c r="I807" s="0">
        <ns0:f>IFERROR(IF(AND(F807&gt;=2000,F807&lt;=2100,G807&gt;=1,G807&lt;=12,H807&gt;=1,H807&lt;=31),DATE(F807,G807,H807),0),0)</ns0:f>
        <ns0:v>0</ns0:v>
      </ns0:c>
      <ns0:c r="J807" s="0">
        <ns0:f>IFERROR(IF(ISNUMBER(Bookings!B807),IF(AND(Bookings!B807=INT(Bookings!B807),Bookings!B807&gt;=DATE(2000,1,1),Bookings!B807&lt;=DATE(2100,12,31)),Bookings!B807,0),IF(AND(A807&lt;&gt;"",LEN("x"&amp;B807)-LEN(SUBSTITUTE("x"&amp;B807,".",""))=2,OR(1&gt;LEN(B807),MID(B807,1,1)=".",ISNUMBER(FIND("x"&amp;MID(B807,1,1),"x0x1x2x3x4x5x6x7x8x9"))),OR(2&gt;LEN(B807),MID(B807,2,1)=".",ISNUMBER(FIND("x"&amp;MID(B807,2,1),"x0x1x2x3x4x5x6x7x8x9"))),OR(3&gt;LEN(B807),MID(B807,3,1)=".",ISNUMBER(FIND("x"&amp;MID(B807,3,1),"x0x1x2x3x4x5x6x7x8x9"))),OR(4&gt;LEN(B807),MID(B807,4,1)=".",ISNUMBER(FIND("x"&amp;MID(B807,4,1),"x0x1x2x3x4x5x6x7x8x9"))),OR(5&gt;LEN(B807),MID(B807,5,1)=".",ISNUMBER(FIND("x"&amp;MID(B807,5,1),"x0x1x2x3x4x5x6x7x8x9"))),OR(6&gt;LEN(B807),MID(B807,6,1)=".",ISNUMBER(FIND("x"&amp;MID(B807,6,1),"x0x1x2x3x4x5x6x7x8x9"))),OR(7&gt;LEN(B807),MID(B807,7,1)=".",ISNUMBER(FIND("x"&amp;MID(B807,7,1),"x0x1x2x3x4x5x6x7x8x9"))),OR(8&gt;LEN(B807),MID(B807,8,1)=".",ISNUMBER(FIND("x"&amp;MID(B807,8,1),"x0x1x2x3x4x5x6x7x8x9"))),OR(9&gt;LEN(B807),MID(B807,9,1)=".",ISNUMBER(FIND("x"&amp;MID(B807,9,1),"x0x1x2x3x4x5x6x7x8x9"))),OR(10&gt;LEN(B807),MID(B807,10,1)=".",ISNUMBER(FIND("x"&amp;MID(B807,10,1),"x0x1x2x3x4x5x6x7x8x9"))),OR(AND(FIND(".",B807)=5,LEN(B807)-FIND(".",B807,FIND(".",B807)+1)&gt;=1,LEN(B807)-FIND(".",B807,FIND(".",B807)+1)&lt;=2),AND(LEN(B807)-FIND(".",B807,FIND(".",B807)+1)=4,FIND(".",B807)&gt;=2,FIND(".",B807)&lt;=3)),FIND(".",B807,FIND(".",B807)+1)-FIND(".",B807)&gt;=2,FIND(".",B807,FIND(".",B807)+1)-FIND(".",B807)&lt;=3,F807&gt;=2000,F807&lt;=2100,YEAR(I807)=F807,MONTH(I807)=G807,DAY(I807)=H807),I807,0)),0)</ns0:f>
        <ns0:v>0</ns0:v>
      </ns0:c>
      <ns0:c r="K807" s="0">
        <ns0:f>IFERROR(IF(ISNUMBER(Bookings!D807),"",TRIM(Bookings!D807&amp;"")),"")</ns0:f>
      </ns0:c>
      <ns0:c r="L807" s="0">
        <ns0:f>IFERROR(SUBSTITUTE(SUBSTITUTE(K807,"/","."),"-","."),"")</ns0:f>
      </ns0:c>
      <ns0:c r="M807" s="0">
        <ns0:f>IFERROR(LEFT(L807,FIND(".",L807)-1),"")</ns0:f>
      </ns0:c>
      <ns0:c r="N807" s="0">
        <ns0:f>IFERROR(MID(L807,FIND(".",L807)+1,FIND(".",L807,FIND(".",L807)+1)-FIND(".",L807)-1),"")</ns0:f>
      </ns0:c>
      <ns0:c r="O807" s="0">
        <ns0:f>IFERROR(MID(L807,FIND(".",L807,FIND(".",L807)+1)+1,99),"")</ns0:f>
        <ns0:v>99</ns0:v>
      </ns0:c>
      <ns0:c r="P807" s="0">
        <ns0:f>IFERROR(IF(FIND(".",L807)=5,--M807,--O807),0)</ns0:f>
        <ns0:v>0</ns0:v>
      </ns0:c>
      <ns0:c r="Q807" s="0">
        <ns0:f>IFERROR(--N807,0)</ns0:f>
        <ns0:v>0</ns0:v>
      </ns0:c>
      <ns0:c r="R807" s="0">
        <ns0:f>IFERROR(IF(FIND(".",L807)=5,--O807,--M807),0)</ns0:f>
        <ns0:v>0</ns0:v>
      </ns0:c>
      <ns0:c r="S807" s="0">
        <ns0:f>IFERROR(IF(AND(P807&gt;=2000,P807&lt;=2100,Q807&gt;=1,Q807&lt;=12,R807&gt;=1,R807&lt;=31),DATE(P807,Q807,R807),0),0)</ns0:f>
        <ns0:v>0</ns0:v>
      </ns0:c>
      <ns0:c r="T807" s="0">
        <ns0:f>IFERROR(IF(ISNUMBER(Bookings!D807),IF(AND(Bookings!D807=INT(Bookings!D807),Bookings!D807&gt;=DATE(2000,1,1),Bookings!D807&lt;=DATE(2100,12,31)),Bookings!D807,0),IF(AND(K807&lt;&gt;"",LEN("x"&amp;L807)-LEN(SUBSTITUTE("x"&amp;L807,".",""))=2,OR(1&gt;LEN(L807),MID(L807,1,1)=".",ISNUMBER(FIND("x"&amp;MID(L807,1,1),"x0x1x2x3x4x5x6x7x8x9"))),OR(2&gt;LEN(L807),MID(L807,2,1)=".",ISNUMBER(FIND("x"&amp;MID(L807,2,1),"x0x1x2x3x4x5x6x7x8x9"))),OR(3&gt;LEN(L807),MID(L807,3,1)=".",ISNUMBER(FIND("x"&amp;MID(L807,3,1),"x0x1x2x3x4x5x6x7x8x9"))),OR(4&gt;LEN(L807),MID(L807,4,1)=".",ISNUMBER(FIND("x"&amp;MID(L807,4,1),"x0x1x2x3x4x5x6x7x8x9"))),OR(5&gt;LEN(L807),MID(L807,5,1)=".",ISNUMBER(FIND("x"&amp;MID(L807,5,1),"x0x1x2x3x4x5x6x7x8x9"))),OR(6&gt;LEN(L807),MID(L807,6,1)=".",ISNUMBER(FIND("x"&amp;MID(L807,6,1),"x0x1x2x3x4x5x6x7x8x9"))),OR(7&gt;LEN(L807),MID(L807,7,1)=".",ISNUMBER(FIND("x"&amp;MID(L807,7,1),"x0x1x2x3x4x5x6x7x8x9"))),OR(8&gt;LEN(L807),MID(L807,8,1)=".",ISNUMBER(FIND("x"&amp;MID(L807,8,1),"x0x1x2x3x4x5x6x7x8x9"))),OR(9&gt;LEN(L807),MID(L807,9,1)=".",ISNUMBER(FIND("x"&amp;MID(L807,9,1),"x0x1x2x3x4x5x6x7x8x9"))),OR(10&gt;LEN(L807),MID(L807,10,1)=".",ISNUMBER(FIND("x"&amp;MID(L807,10,1),"x0x1x2x3x4x5x6x7x8x9"))),OR(AND(FIND(".",L807)=5,LEN(L807)-FIND(".",L807,FIND(".",L807)+1)&gt;=1,LEN(L807)-FIND(".",L807,FIND(".",L807)+1)&lt;=2),AND(LEN(L807)-FIND(".",L807,FIND(".",L807)+1)=4,FIND(".",L807)&gt;=2,FIND(".",L807)&lt;=3)),FIND(".",L807,FIND(".",L807)+1)-FIND(".",L807)&gt;=2,FIND(".",L807,FIND(".",L807)+1)-FIND(".",L807)&lt;=3,P807&gt;=2000,P807&lt;=2100,YEAR(S807)=P807,MONTH(S807)=Q807,DAY(S807)=R807),S807,0)),0)</ns0:f>
        <ns0:v>0</ns0:v>
      </ns0:c>
      <ns0:c r="U807" s="0" t="str">
        <ns0:f>IF(Bookings!C807="","Full day",Bookings!C807)</ns0:f>
        <ns0:v>Full day</ns0:v>
      </ns0:c>
      <ns0:c r="V807" s="0" t="str">
        <ns0:f>IF(Bookings!E807="","Full day",Bookings!E807)</ns0:f>
        <ns0:v>Full day</ns0:v>
      </ns0:c>
      <ns0:c r="W807" s="0">
        <ns0:f>IF(J807=0,0,J807+IF(U807="PM",1,0))</ns0:f>
        <ns0:v>0</ns0:v>
      </ns0:c>
      <ns0:c r="X807" s="0">
        <ns0:f>IF(T807=0,0,T807-IF(V807="PM",1,0))</ns0:f>
        <ns0:v>0</ns0:v>
      </ns0:c>
      <ns0:c r="Y807" s="0">
        <ns0:f>IF(J807=0,0,J807+IF(U807="AM",1,0))</ns0:f>
        <ns0:v>0</ns0:v>
      </ns0:c>
      <ns0:c r="Z807" s="0">
        <ns0:f>IF(T807=0,0,T807-IF(V807="AM",1,0))</ns0:f>
        <ns0:v>0</ns0:v>
      </ns0:c>
      <ns0:c r="AA807" s="0">
        <ns0:f>IFERROR(IF(AND(J807&gt;0,'_Engine'!C807&gt;0,MID('_Engine'!W807,WEEKDAY(J807,2),1)="W",COUNTIF(Settings!$F$18:$F$67,J807)=0),1,0),0)</ns0:f>
        <ns0:v>0</ns0:v>
      </ns0:c>
      <ns0:c r="AB807" s="0">
        <ns0:f>IFERROR(IF(AND(T807&gt;0,'_Engine'!C807&gt;0,MID('_Engine'!W807,WEEKDAY(T807,2),1)="W",COUNTIF(Settings!$F$18:$F$67,T807)=0),1,0),0)</ns0:f>
        <ns0:v>0</ns0:v>
      </ns0:c>
      <ns0:c r="AC807" s="0">
        <ns0:f>IF(AND(J807&gt;0,T807&gt;0,W807&lt;=X807),1,0)</ns0:f>
        <ns0:v>0</ns0:v>
      </ns0:c>
      <ns0:c r="AD807" s="0">
        <ns0:f>IF(AND(J807&gt;0,T807&gt;0,Y807&lt;=Z807),1,0)</ns0:f>
        <ns0:v>0</ns0:v>
      </ns0:c>
    </ns0:row>
    <ns0:row r="808">
      <ns0:c r="A808" s="0">
        <ns0:f>IFERROR(IF(ISNUMBER(Bookings!B808),"",TRIM(Bookings!B808&amp;"")),"")</ns0:f>
      </ns0:c>
      <ns0:c r="B808" s="0">
        <ns0:f>IFERROR(SUBSTITUTE(SUBSTITUTE(A808,"/","."),"-","."),"")</ns0:f>
      </ns0:c>
      <ns0:c r="C808" s="0">
        <ns0:f>IFERROR(LEFT(B808,FIND(".",B808)-1),"")</ns0:f>
      </ns0:c>
      <ns0:c r="D808" s="0">
        <ns0:f>IFERROR(MID(B808,FIND(".",B808)+1,FIND(".",B808,FIND(".",B808)+1)-FIND(".",B808)-1),"")</ns0:f>
      </ns0:c>
      <ns0:c r="E808" s="0">
        <ns0:f>IFERROR(MID(B808,FIND(".",B808,FIND(".",B808)+1)+1,99),"")</ns0:f>
        <ns0:v>99</ns0:v>
      </ns0:c>
      <ns0:c r="F808" s="0">
        <ns0:f>IFERROR(IF(FIND(".",B808)=5,--C808,--E808),0)</ns0:f>
        <ns0:v>0</ns0:v>
      </ns0:c>
      <ns0:c r="G808" s="0">
        <ns0:f>IFERROR(--D808,0)</ns0:f>
        <ns0:v>0</ns0:v>
      </ns0:c>
      <ns0:c r="H808" s="0">
        <ns0:f>IFERROR(IF(FIND(".",B808)=5,--E808,--C808),0)</ns0:f>
        <ns0:v>0</ns0:v>
      </ns0:c>
      <ns0:c r="I808" s="0">
        <ns0:f>IFERROR(IF(AND(F808&gt;=2000,F808&lt;=2100,G808&gt;=1,G808&lt;=12,H808&gt;=1,H808&lt;=31),DATE(F808,G808,H808),0),0)</ns0:f>
        <ns0:v>0</ns0:v>
      </ns0:c>
      <ns0:c r="J808" s="0">
        <ns0:f>IFERROR(IF(ISNUMBER(Bookings!B808),IF(AND(Bookings!B808=INT(Bookings!B808),Bookings!B808&gt;=DATE(2000,1,1),Bookings!B808&lt;=DATE(2100,12,31)),Bookings!B808,0),IF(AND(A808&lt;&gt;"",LEN("x"&amp;B808)-LEN(SUBSTITUTE("x"&amp;B808,".",""))=2,OR(1&gt;LEN(B808),MID(B808,1,1)=".",ISNUMBER(FIND("x"&amp;MID(B808,1,1),"x0x1x2x3x4x5x6x7x8x9"))),OR(2&gt;LEN(B808),MID(B808,2,1)=".",ISNUMBER(FIND("x"&amp;MID(B808,2,1),"x0x1x2x3x4x5x6x7x8x9"))),OR(3&gt;LEN(B808),MID(B808,3,1)=".",ISNUMBER(FIND("x"&amp;MID(B808,3,1),"x0x1x2x3x4x5x6x7x8x9"))),OR(4&gt;LEN(B808),MID(B808,4,1)=".",ISNUMBER(FIND("x"&amp;MID(B808,4,1),"x0x1x2x3x4x5x6x7x8x9"))),OR(5&gt;LEN(B808),MID(B808,5,1)=".",ISNUMBER(FIND("x"&amp;MID(B808,5,1),"x0x1x2x3x4x5x6x7x8x9"))),OR(6&gt;LEN(B808),MID(B808,6,1)=".",ISNUMBER(FIND("x"&amp;MID(B808,6,1),"x0x1x2x3x4x5x6x7x8x9"))),OR(7&gt;LEN(B808),MID(B808,7,1)=".",ISNUMBER(FIND("x"&amp;MID(B808,7,1),"x0x1x2x3x4x5x6x7x8x9"))),OR(8&gt;LEN(B808),MID(B808,8,1)=".",ISNUMBER(FIND("x"&amp;MID(B808,8,1),"x0x1x2x3x4x5x6x7x8x9"))),OR(9&gt;LEN(B808),MID(B808,9,1)=".",ISNUMBER(FIND("x"&amp;MID(B808,9,1),"x0x1x2x3x4x5x6x7x8x9"))),OR(10&gt;LEN(B808),MID(B808,10,1)=".",ISNUMBER(FIND("x"&amp;MID(B808,10,1),"x0x1x2x3x4x5x6x7x8x9"))),OR(AND(FIND(".",B808)=5,LEN(B808)-FIND(".",B808,FIND(".",B808)+1)&gt;=1,LEN(B808)-FIND(".",B808,FIND(".",B808)+1)&lt;=2),AND(LEN(B808)-FIND(".",B808,FIND(".",B808)+1)=4,FIND(".",B808)&gt;=2,FIND(".",B808)&lt;=3)),FIND(".",B808,FIND(".",B808)+1)-FIND(".",B808)&gt;=2,FIND(".",B808,FIND(".",B808)+1)-FIND(".",B808)&lt;=3,F808&gt;=2000,F808&lt;=2100,YEAR(I808)=F808,MONTH(I808)=G808,DAY(I808)=H808),I808,0)),0)</ns0:f>
        <ns0:v>0</ns0:v>
      </ns0:c>
      <ns0:c r="K808" s="0">
        <ns0:f>IFERROR(IF(ISNUMBER(Bookings!D808),"",TRIM(Bookings!D808&amp;"")),"")</ns0:f>
      </ns0:c>
      <ns0:c r="L808" s="0">
        <ns0:f>IFERROR(SUBSTITUTE(SUBSTITUTE(K808,"/","."),"-","."),"")</ns0:f>
      </ns0:c>
      <ns0:c r="M808" s="0">
        <ns0:f>IFERROR(LEFT(L808,FIND(".",L808)-1),"")</ns0:f>
      </ns0:c>
      <ns0:c r="N808" s="0">
        <ns0:f>IFERROR(MID(L808,FIND(".",L808)+1,FIND(".",L808,FIND(".",L808)+1)-FIND(".",L808)-1),"")</ns0:f>
      </ns0:c>
      <ns0:c r="O808" s="0">
        <ns0:f>IFERROR(MID(L808,FIND(".",L808,FIND(".",L808)+1)+1,99),"")</ns0:f>
        <ns0:v>99</ns0:v>
      </ns0:c>
      <ns0:c r="P808" s="0">
        <ns0:f>IFERROR(IF(FIND(".",L808)=5,--M808,--O808),0)</ns0:f>
        <ns0:v>0</ns0:v>
      </ns0:c>
      <ns0:c r="Q808" s="0">
        <ns0:f>IFERROR(--N808,0)</ns0:f>
        <ns0:v>0</ns0:v>
      </ns0:c>
      <ns0:c r="R808" s="0">
        <ns0:f>IFERROR(IF(FIND(".",L808)=5,--O808,--M808),0)</ns0:f>
        <ns0:v>0</ns0:v>
      </ns0:c>
      <ns0:c r="S808" s="0">
        <ns0:f>IFERROR(IF(AND(P808&gt;=2000,P808&lt;=2100,Q808&gt;=1,Q808&lt;=12,R808&gt;=1,R808&lt;=31),DATE(P808,Q808,R808),0),0)</ns0:f>
        <ns0:v>0</ns0:v>
      </ns0:c>
      <ns0:c r="T808" s="0">
        <ns0:f>IFERROR(IF(ISNUMBER(Bookings!D808),IF(AND(Bookings!D808=INT(Bookings!D808),Bookings!D808&gt;=DATE(2000,1,1),Bookings!D808&lt;=DATE(2100,12,31)),Bookings!D808,0),IF(AND(K808&lt;&gt;"",LEN("x"&amp;L808)-LEN(SUBSTITUTE("x"&amp;L808,".",""))=2,OR(1&gt;LEN(L808),MID(L808,1,1)=".",ISNUMBER(FIND("x"&amp;MID(L808,1,1),"x0x1x2x3x4x5x6x7x8x9"))),OR(2&gt;LEN(L808),MID(L808,2,1)=".",ISNUMBER(FIND("x"&amp;MID(L808,2,1),"x0x1x2x3x4x5x6x7x8x9"))),OR(3&gt;LEN(L808),MID(L808,3,1)=".",ISNUMBER(FIND("x"&amp;MID(L808,3,1),"x0x1x2x3x4x5x6x7x8x9"))),OR(4&gt;LEN(L808),MID(L808,4,1)=".",ISNUMBER(FIND("x"&amp;MID(L808,4,1),"x0x1x2x3x4x5x6x7x8x9"))),OR(5&gt;LEN(L808),MID(L808,5,1)=".",ISNUMBER(FIND("x"&amp;MID(L808,5,1),"x0x1x2x3x4x5x6x7x8x9"))),OR(6&gt;LEN(L808),MID(L808,6,1)=".",ISNUMBER(FIND("x"&amp;MID(L808,6,1),"x0x1x2x3x4x5x6x7x8x9"))),OR(7&gt;LEN(L808),MID(L808,7,1)=".",ISNUMBER(FIND("x"&amp;MID(L808,7,1),"x0x1x2x3x4x5x6x7x8x9"))),OR(8&gt;LEN(L808),MID(L808,8,1)=".",ISNUMBER(FIND("x"&amp;MID(L808,8,1),"x0x1x2x3x4x5x6x7x8x9"))),OR(9&gt;LEN(L808),MID(L808,9,1)=".",ISNUMBER(FIND("x"&amp;MID(L808,9,1),"x0x1x2x3x4x5x6x7x8x9"))),OR(10&gt;LEN(L808),MID(L808,10,1)=".",ISNUMBER(FIND("x"&amp;MID(L808,10,1),"x0x1x2x3x4x5x6x7x8x9"))),OR(AND(FIND(".",L808)=5,LEN(L808)-FIND(".",L808,FIND(".",L808)+1)&gt;=1,LEN(L808)-FIND(".",L808,FIND(".",L808)+1)&lt;=2),AND(LEN(L808)-FIND(".",L808,FIND(".",L808)+1)=4,FIND(".",L808)&gt;=2,FIND(".",L808)&lt;=3)),FIND(".",L808,FIND(".",L808)+1)-FIND(".",L808)&gt;=2,FIND(".",L808,FIND(".",L808)+1)-FIND(".",L808)&lt;=3,P808&gt;=2000,P808&lt;=2100,YEAR(S808)=P808,MONTH(S808)=Q808,DAY(S808)=R808),S808,0)),0)</ns0:f>
        <ns0:v>0</ns0:v>
      </ns0:c>
      <ns0:c r="U808" s="0" t="str">
        <ns0:f>IF(Bookings!C808="","Full day",Bookings!C808)</ns0:f>
        <ns0:v>Full day</ns0:v>
      </ns0:c>
      <ns0:c r="V808" s="0" t="str">
        <ns0:f>IF(Bookings!E808="","Full day",Bookings!E808)</ns0:f>
        <ns0:v>Full day</ns0:v>
      </ns0:c>
      <ns0:c r="W808" s="0">
        <ns0:f>IF(J808=0,0,J808+IF(U808="PM",1,0))</ns0:f>
        <ns0:v>0</ns0:v>
      </ns0:c>
      <ns0:c r="X808" s="0">
        <ns0:f>IF(T808=0,0,T808-IF(V808="PM",1,0))</ns0:f>
        <ns0:v>0</ns0:v>
      </ns0:c>
      <ns0:c r="Y808" s="0">
        <ns0:f>IF(J808=0,0,J808+IF(U808="AM",1,0))</ns0:f>
        <ns0:v>0</ns0:v>
      </ns0:c>
      <ns0:c r="Z808" s="0">
        <ns0:f>IF(T808=0,0,T808-IF(V808="AM",1,0))</ns0:f>
        <ns0:v>0</ns0:v>
      </ns0:c>
      <ns0:c r="AA808" s="0">
        <ns0:f>IFERROR(IF(AND(J808&gt;0,'_Engine'!C808&gt;0,MID('_Engine'!W808,WEEKDAY(J808,2),1)="W",COUNTIF(Settings!$F$18:$F$67,J808)=0),1,0),0)</ns0:f>
        <ns0:v>0</ns0:v>
      </ns0:c>
      <ns0:c r="AB808" s="0">
        <ns0:f>IFERROR(IF(AND(T808&gt;0,'_Engine'!C808&gt;0,MID('_Engine'!W808,WEEKDAY(T808,2),1)="W",COUNTIF(Settings!$F$18:$F$67,T808)=0),1,0),0)</ns0:f>
        <ns0:v>0</ns0:v>
      </ns0:c>
      <ns0:c r="AC808" s="0">
        <ns0:f>IF(AND(J808&gt;0,T808&gt;0,W808&lt;=X808),1,0)</ns0:f>
        <ns0:v>0</ns0:v>
      </ns0:c>
      <ns0:c r="AD808" s="0">
        <ns0:f>IF(AND(J808&gt;0,T808&gt;0,Y808&lt;=Z808),1,0)</ns0:f>
        <ns0:v>0</ns0:v>
      </ns0:c>
    </ns0:row>
    <ns0:row r="809">
      <ns0:c r="A809" s="0">
        <ns0:f>IFERROR(IF(ISNUMBER(Bookings!B809),"",TRIM(Bookings!B809&amp;"")),"")</ns0:f>
      </ns0:c>
      <ns0:c r="B809" s="0">
        <ns0:f>IFERROR(SUBSTITUTE(SUBSTITUTE(A809,"/","."),"-","."),"")</ns0:f>
      </ns0:c>
      <ns0:c r="C809" s="0">
        <ns0:f>IFERROR(LEFT(B809,FIND(".",B809)-1),"")</ns0:f>
      </ns0:c>
      <ns0:c r="D809" s="0">
        <ns0:f>IFERROR(MID(B809,FIND(".",B809)+1,FIND(".",B809,FIND(".",B809)+1)-FIND(".",B809)-1),"")</ns0:f>
      </ns0:c>
      <ns0:c r="E809" s="0">
        <ns0:f>IFERROR(MID(B809,FIND(".",B809,FIND(".",B809)+1)+1,99),"")</ns0:f>
        <ns0:v>99</ns0:v>
      </ns0:c>
      <ns0:c r="F809" s="0">
        <ns0:f>IFERROR(IF(FIND(".",B809)=5,--C809,--E809),0)</ns0:f>
        <ns0:v>0</ns0:v>
      </ns0:c>
      <ns0:c r="G809" s="0">
        <ns0:f>IFERROR(--D809,0)</ns0:f>
        <ns0:v>0</ns0:v>
      </ns0:c>
      <ns0:c r="H809" s="0">
        <ns0:f>IFERROR(IF(FIND(".",B809)=5,--E809,--C809),0)</ns0:f>
        <ns0:v>0</ns0:v>
      </ns0:c>
      <ns0:c r="I809" s="0">
        <ns0:f>IFERROR(IF(AND(F809&gt;=2000,F809&lt;=2100,G809&gt;=1,G809&lt;=12,H809&gt;=1,H809&lt;=31),DATE(F809,G809,H809),0),0)</ns0:f>
        <ns0:v>0</ns0:v>
      </ns0:c>
      <ns0:c r="J809" s="0">
        <ns0:f>IFERROR(IF(ISNUMBER(Bookings!B809),IF(AND(Bookings!B809=INT(Bookings!B809),Bookings!B809&gt;=DATE(2000,1,1),Bookings!B809&lt;=DATE(2100,12,31)),Bookings!B809,0),IF(AND(A809&lt;&gt;"",LEN("x"&amp;B809)-LEN(SUBSTITUTE("x"&amp;B809,".",""))=2,OR(1&gt;LEN(B809),MID(B809,1,1)=".",ISNUMBER(FIND("x"&amp;MID(B809,1,1),"x0x1x2x3x4x5x6x7x8x9"))),OR(2&gt;LEN(B809),MID(B809,2,1)=".",ISNUMBER(FIND("x"&amp;MID(B809,2,1),"x0x1x2x3x4x5x6x7x8x9"))),OR(3&gt;LEN(B809),MID(B809,3,1)=".",ISNUMBER(FIND("x"&amp;MID(B809,3,1),"x0x1x2x3x4x5x6x7x8x9"))),OR(4&gt;LEN(B809),MID(B809,4,1)=".",ISNUMBER(FIND("x"&amp;MID(B809,4,1),"x0x1x2x3x4x5x6x7x8x9"))),OR(5&gt;LEN(B809),MID(B809,5,1)=".",ISNUMBER(FIND("x"&amp;MID(B809,5,1),"x0x1x2x3x4x5x6x7x8x9"))),OR(6&gt;LEN(B809),MID(B809,6,1)=".",ISNUMBER(FIND("x"&amp;MID(B809,6,1),"x0x1x2x3x4x5x6x7x8x9"))),OR(7&gt;LEN(B809),MID(B809,7,1)=".",ISNUMBER(FIND("x"&amp;MID(B809,7,1),"x0x1x2x3x4x5x6x7x8x9"))),OR(8&gt;LEN(B809),MID(B809,8,1)=".",ISNUMBER(FIND("x"&amp;MID(B809,8,1),"x0x1x2x3x4x5x6x7x8x9"))),OR(9&gt;LEN(B809),MID(B809,9,1)=".",ISNUMBER(FIND("x"&amp;MID(B809,9,1),"x0x1x2x3x4x5x6x7x8x9"))),OR(10&gt;LEN(B809),MID(B809,10,1)=".",ISNUMBER(FIND("x"&amp;MID(B809,10,1),"x0x1x2x3x4x5x6x7x8x9"))),OR(AND(FIND(".",B809)=5,LEN(B809)-FIND(".",B809,FIND(".",B809)+1)&gt;=1,LEN(B809)-FIND(".",B809,FIND(".",B809)+1)&lt;=2),AND(LEN(B809)-FIND(".",B809,FIND(".",B809)+1)=4,FIND(".",B809)&gt;=2,FIND(".",B809)&lt;=3)),FIND(".",B809,FIND(".",B809)+1)-FIND(".",B809)&gt;=2,FIND(".",B809,FIND(".",B809)+1)-FIND(".",B809)&lt;=3,F809&gt;=2000,F809&lt;=2100,YEAR(I809)=F809,MONTH(I809)=G809,DAY(I809)=H809),I809,0)),0)</ns0:f>
        <ns0:v>0</ns0:v>
      </ns0:c>
      <ns0:c r="K809" s="0">
        <ns0:f>IFERROR(IF(ISNUMBER(Bookings!D809),"",TRIM(Bookings!D809&amp;"")),"")</ns0:f>
      </ns0:c>
      <ns0:c r="L809" s="0">
        <ns0:f>IFERROR(SUBSTITUTE(SUBSTITUTE(K809,"/","."),"-","."),"")</ns0:f>
      </ns0:c>
      <ns0:c r="M809" s="0">
        <ns0:f>IFERROR(LEFT(L809,FIND(".",L809)-1),"")</ns0:f>
      </ns0:c>
      <ns0:c r="N809" s="0">
        <ns0:f>IFERROR(MID(L809,FIND(".",L809)+1,FIND(".",L809,FIND(".",L809)+1)-FIND(".",L809)-1),"")</ns0:f>
      </ns0:c>
      <ns0:c r="O809" s="0">
        <ns0:f>IFERROR(MID(L809,FIND(".",L809,FIND(".",L809)+1)+1,99),"")</ns0:f>
        <ns0:v>99</ns0:v>
      </ns0:c>
      <ns0:c r="P809" s="0">
        <ns0:f>IFERROR(IF(FIND(".",L809)=5,--M809,--O809),0)</ns0:f>
        <ns0:v>0</ns0:v>
      </ns0:c>
      <ns0:c r="Q809" s="0">
        <ns0:f>IFERROR(--N809,0)</ns0:f>
        <ns0:v>0</ns0:v>
      </ns0:c>
      <ns0:c r="R809" s="0">
        <ns0:f>IFERROR(IF(FIND(".",L809)=5,--O809,--M809),0)</ns0:f>
        <ns0:v>0</ns0:v>
      </ns0:c>
      <ns0:c r="S809" s="0">
        <ns0:f>IFERROR(IF(AND(P809&gt;=2000,P809&lt;=2100,Q809&gt;=1,Q809&lt;=12,R809&gt;=1,R809&lt;=31),DATE(P809,Q809,R809),0),0)</ns0:f>
        <ns0:v>0</ns0:v>
      </ns0:c>
      <ns0:c r="T809" s="0">
        <ns0:f>IFERROR(IF(ISNUMBER(Bookings!D809),IF(AND(Bookings!D809=INT(Bookings!D809),Bookings!D809&gt;=DATE(2000,1,1),Bookings!D809&lt;=DATE(2100,12,31)),Bookings!D809,0),IF(AND(K809&lt;&gt;"",LEN("x"&amp;L809)-LEN(SUBSTITUTE("x"&amp;L809,".",""))=2,OR(1&gt;LEN(L809),MID(L809,1,1)=".",ISNUMBER(FIND("x"&amp;MID(L809,1,1),"x0x1x2x3x4x5x6x7x8x9"))),OR(2&gt;LEN(L809),MID(L809,2,1)=".",ISNUMBER(FIND("x"&amp;MID(L809,2,1),"x0x1x2x3x4x5x6x7x8x9"))),OR(3&gt;LEN(L809),MID(L809,3,1)=".",ISNUMBER(FIND("x"&amp;MID(L809,3,1),"x0x1x2x3x4x5x6x7x8x9"))),OR(4&gt;LEN(L809),MID(L809,4,1)=".",ISNUMBER(FIND("x"&amp;MID(L809,4,1),"x0x1x2x3x4x5x6x7x8x9"))),OR(5&gt;LEN(L809),MID(L809,5,1)=".",ISNUMBER(FIND("x"&amp;MID(L809,5,1),"x0x1x2x3x4x5x6x7x8x9"))),OR(6&gt;LEN(L809),MID(L809,6,1)=".",ISNUMBER(FIND("x"&amp;MID(L809,6,1),"x0x1x2x3x4x5x6x7x8x9"))),OR(7&gt;LEN(L809),MID(L809,7,1)=".",ISNUMBER(FIND("x"&amp;MID(L809,7,1),"x0x1x2x3x4x5x6x7x8x9"))),OR(8&gt;LEN(L809),MID(L809,8,1)=".",ISNUMBER(FIND("x"&amp;MID(L809,8,1),"x0x1x2x3x4x5x6x7x8x9"))),OR(9&gt;LEN(L809),MID(L809,9,1)=".",ISNUMBER(FIND("x"&amp;MID(L809,9,1),"x0x1x2x3x4x5x6x7x8x9"))),OR(10&gt;LEN(L809),MID(L809,10,1)=".",ISNUMBER(FIND("x"&amp;MID(L809,10,1),"x0x1x2x3x4x5x6x7x8x9"))),OR(AND(FIND(".",L809)=5,LEN(L809)-FIND(".",L809,FIND(".",L809)+1)&gt;=1,LEN(L809)-FIND(".",L809,FIND(".",L809)+1)&lt;=2),AND(LEN(L809)-FIND(".",L809,FIND(".",L809)+1)=4,FIND(".",L809)&gt;=2,FIND(".",L809)&lt;=3)),FIND(".",L809,FIND(".",L809)+1)-FIND(".",L809)&gt;=2,FIND(".",L809,FIND(".",L809)+1)-FIND(".",L809)&lt;=3,P809&gt;=2000,P809&lt;=2100,YEAR(S809)=P809,MONTH(S809)=Q809,DAY(S809)=R809),S809,0)),0)</ns0:f>
        <ns0:v>0</ns0:v>
      </ns0:c>
      <ns0:c r="U809" s="0" t="str">
        <ns0:f>IF(Bookings!C809="","Full day",Bookings!C809)</ns0:f>
        <ns0:v>Full day</ns0:v>
      </ns0:c>
      <ns0:c r="V809" s="0" t="str">
        <ns0:f>IF(Bookings!E809="","Full day",Bookings!E809)</ns0:f>
        <ns0:v>Full day</ns0:v>
      </ns0:c>
      <ns0:c r="W809" s="0">
        <ns0:f>IF(J809=0,0,J809+IF(U809="PM",1,0))</ns0:f>
        <ns0:v>0</ns0:v>
      </ns0:c>
      <ns0:c r="X809" s="0">
        <ns0:f>IF(T809=0,0,T809-IF(V809="PM",1,0))</ns0:f>
        <ns0:v>0</ns0:v>
      </ns0:c>
      <ns0:c r="Y809" s="0">
        <ns0:f>IF(J809=0,0,J809+IF(U809="AM",1,0))</ns0:f>
        <ns0:v>0</ns0:v>
      </ns0:c>
      <ns0:c r="Z809" s="0">
        <ns0:f>IF(T809=0,0,T809-IF(V809="AM",1,0))</ns0:f>
        <ns0:v>0</ns0:v>
      </ns0:c>
      <ns0:c r="AA809" s="0">
        <ns0:f>IFERROR(IF(AND(J809&gt;0,'_Engine'!C809&gt;0,MID('_Engine'!W809,WEEKDAY(J809,2),1)="W",COUNTIF(Settings!$F$18:$F$67,J809)=0),1,0),0)</ns0:f>
        <ns0:v>0</ns0:v>
      </ns0:c>
      <ns0:c r="AB809" s="0">
        <ns0:f>IFERROR(IF(AND(T809&gt;0,'_Engine'!C809&gt;0,MID('_Engine'!W809,WEEKDAY(T809,2),1)="W",COUNTIF(Settings!$F$18:$F$67,T809)=0),1,0),0)</ns0:f>
        <ns0:v>0</ns0:v>
      </ns0:c>
      <ns0:c r="AC809" s="0">
        <ns0:f>IF(AND(J809&gt;0,T809&gt;0,W809&lt;=X809),1,0)</ns0:f>
        <ns0:v>0</ns0:v>
      </ns0:c>
      <ns0:c r="AD809" s="0">
        <ns0:f>IF(AND(J809&gt;0,T809&gt;0,Y809&lt;=Z809),1,0)</ns0:f>
        <ns0:v>0</ns0:v>
      </ns0:c>
    </ns0:row>
    <ns0:row r="810">
      <ns0:c r="A810" s="0">
        <ns0:f>IFERROR(IF(ISNUMBER(Bookings!B810),"",TRIM(Bookings!B810&amp;"")),"")</ns0:f>
      </ns0:c>
      <ns0:c r="B810" s="0">
        <ns0:f>IFERROR(SUBSTITUTE(SUBSTITUTE(A810,"/","."),"-","."),"")</ns0:f>
      </ns0:c>
      <ns0:c r="C810" s="0">
        <ns0:f>IFERROR(LEFT(B810,FIND(".",B810)-1),"")</ns0:f>
      </ns0:c>
      <ns0:c r="D810" s="0">
        <ns0:f>IFERROR(MID(B810,FIND(".",B810)+1,FIND(".",B810,FIND(".",B810)+1)-FIND(".",B810)-1),"")</ns0:f>
      </ns0:c>
      <ns0:c r="E810" s="0">
        <ns0:f>IFERROR(MID(B810,FIND(".",B810,FIND(".",B810)+1)+1,99),"")</ns0:f>
        <ns0:v>99</ns0:v>
      </ns0:c>
      <ns0:c r="F810" s="0">
        <ns0:f>IFERROR(IF(FIND(".",B810)=5,--C810,--E810),0)</ns0:f>
        <ns0:v>0</ns0:v>
      </ns0:c>
      <ns0:c r="G810" s="0">
        <ns0:f>IFERROR(--D810,0)</ns0:f>
        <ns0:v>0</ns0:v>
      </ns0:c>
      <ns0:c r="H810" s="0">
        <ns0:f>IFERROR(IF(FIND(".",B810)=5,--E810,--C810),0)</ns0:f>
        <ns0:v>0</ns0:v>
      </ns0:c>
      <ns0:c r="I810" s="0">
        <ns0:f>IFERROR(IF(AND(F810&gt;=2000,F810&lt;=2100,G810&gt;=1,G810&lt;=12,H810&gt;=1,H810&lt;=31),DATE(F810,G810,H810),0),0)</ns0:f>
        <ns0:v>0</ns0:v>
      </ns0:c>
      <ns0:c r="J810" s="0">
        <ns0:f>IFERROR(IF(ISNUMBER(Bookings!B810),IF(AND(Bookings!B810=INT(Bookings!B810),Bookings!B810&gt;=DATE(2000,1,1),Bookings!B810&lt;=DATE(2100,12,31)),Bookings!B810,0),IF(AND(A810&lt;&gt;"",LEN("x"&amp;B810)-LEN(SUBSTITUTE("x"&amp;B810,".",""))=2,OR(1&gt;LEN(B810),MID(B810,1,1)=".",ISNUMBER(FIND("x"&amp;MID(B810,1,1),"x0x1x2x3x4x5x6x7x8x9"))),OR(2&gt;LEN(B810),MID(B810,2,1)=".",ISNUMBER(FIND("x"&amp;MID(B810,2,1),"x0x1x2x3x4x5x6x7x8x9"))),OR(3&gt;LEN(B810),MID(B810,3,1)=".",ISNUMBER(FIND("x"&amp;MID(B810,3,1),"x0x1x2x3x4x5x6x7x8x9"))),OR(4&gt;LEN(B810),MID(B810,4,1)=".",ISNUMBER(FIND("x"&amp;MID(B810,4,1),"x0x1x2x3x4x5x6x7x8x9"))),OR(5&gt;LEN(B810),MID(B810,5,1)=".",ISNUMBER(FIND("x"&amp;MID(B810,5,1),"x0x1x2x3x4x5x6x7x8x9"))),OR(6&gt;LEN(B810),MID(B810,6,1)=".",ISNUMBER(FIND("x"&amp;MID(B810,6,1),"x0x1x2x3x4x5x6x7x8x9"))),OR(7&gt;LEN(B810),MID(B810,7,1)=".",ISNUMBER(FIND("x"&amp;MID(B810,7,1),"x0x1x2x3x4x5x6x7x8x9"))),OR(8&gt;LEN(B810),MID(B810,8,1)=".",ISNUMBER(FIND("x"&amp;MID(B810,8,1),"x0x1x2x3x4x5x6x7x8x9"))),OR(9&gt;LEN(B810),MID(B810,9,1)=".",ISNUMBER(FIND("x"&amp;MID(B810,9,1),"x0x1x2x3x4x5x6x7x8x9"))),OR(10&gt;LEN(B810),MID(B810,10,1)=".",ISNUMBER(FIND("x"&amp;MID(B810,10,1),"x0x1x2x3x4x5x6x7x8x9"))),OR(AND(FIND(".",B810)=5,LEN(B810)-FIND(".",B810,FIND(".",B810)+1)&gt;=1,LEN(B810)-FIND(".",B810,FIND(".",B810)+1)&lt;=2),AND(LEN(B810)-FIND(".",B810,FIND(".",B810)+1)=4,FIND(".",B810)&gt;=2,FIND(".",B810)&lt;=3)),FIND(".",B810,FIND(".",B810)+1)-FIND(".",B810)&gt;=2,FIND(".",B810,FIND(".",B810)+1)-FIND(".",B810)&lt;=3,F810&gt;=2000,F810&lt;=2100,YEAR(I810)=F810,MONTH(I810)=G810,DAY(I810)=H810),I810,0)),0)</ns0:f>
        <ns0:v>0</ns0:v>
      </ns0:c>
      <ns0:c r="K810" s="0">
        <ns0:f>IFERROR(IF(ISNUMBER(Bookings!D810),"",TRIM(Bookings!D810&amp;"")),"")</ns0:f>
      </ns0:c>
      <ns0:c r="L810" s="0">
        <ns0:f>IFERROR(SUBSTITUTE(SUBSTITUTE(K810,"/","."),"-","."),"")</ns0:f>
      </ns0:c>
      <ns0:c r="M810" s="0">
        <ns0:f>IFERROR(LEFT(L810,FIND(".",L810)-1),"")</ns0:f>
      </ns0:c>
      <ns0:c r="N810" s="0">
        <ns0:f>IFERROR(MID(L810,FIND(".",L810)+1,FIND(".",L810,FIND(".",L810)+1)-FIND(".",L810)-1),"")</ns0:f>
      </ns0:c>
      <ns0:c r="O810" s="0">
        <ns0:f>IFERROR(MID(L810,FIND(".",L810,FIND(".",L810)+1)+1,99),"")</ns0:f>
        <ns0:v>99</ns0:v>
      </ns0:c>
      <ns0:c r="P810" s="0">
        <ns0:f>IFERROR(IF(FIND(".",L810)=5,--M810,--O810),0)</ns0:f>
        <ns0:v>0</ns0:v>
      </ns0:c>
      <ns0:c r="Q810" s="0">
        <ns0:f>IFERROR(--N810,0)</ns0:f>
        <ns0:v>0</ns0:v>
      </ns0:c>
      <ns0:c r="R810" s="0">
        <ns0:f>IFERROR(IF(FIND(".",L810)=5,--O810,--M810),0)</ns0:f>
        <ns0:v>0</ns0:v>
      </ns0:c>
      <ns0:c r="S810" s="0">
        <ns0:f>IFERROR(IF(AND(P810&gt;=2000,P810&lt;=2100,Q810&gt;=1,Q810&lt;=12,R810&gt;=1,R810&lt;=31),DATE(P810,Q810,R810),0),0)</ns0:f>
        <ns0:v>0</ns0:v>
      </ns0:c>
      <ns0:c r="T810" s="0">
        <ns0:f>IFERROR(IF(ISNUMBER(Bookings!D810),IF(AND(Bookings!D810=INT(Bookings!D810),Bookings!D810&gt;=DATE(2000,1,1),Bookings!D810&lt;=DATE(2100,12,31)),Bookings!D810,0),IF(AND(K810&lt;&gt;"",LEN("x"&amp;L810)-LEN(SUBSTITUTE("x"&amp;L810,".",""))=2,OR(1&gt;LEN(L810),MID(L810,1,1)=".",ISNUMBER(FIND("x"&amp;MID(L810,1,1),"x0x1x2x3x4x5x6x7x8x9"))),OR(2&gt;LEN(L810),MID(L810,2,1)=".",ISNUMBER(FIND("x"&amp;MID(L810,2,1),"x0x1x2x3x4x5x6x7x8x9"))),OR(3&gt;LEN(L810),MID(L810,3,1)=".",ISNUMBER(FIND("x"&amp;MID(L810,3,1),"x0x1x2x3x4x5x6x7x8x9"))),OR(4&gt;LEN(L810),MID(L810,4,1)=".",ISNUMBER(FIND("x"&amp;MID(L810,4,1),"x0x1x2x3x4x5x6x7x8x9"))),OR(5&gt;LEN(L810),MID(L810,5,1)=".",ISNUMBER(FIND("x"&amp;MID(L810,5,1),"x0x1x2x3x4x5x6x7x8x9"))),OR(6&gt;LEN(L810),MID(L810,6,1)=".",ISNUMBER(FIND("x"&amp;MID(L810,6,1),"x0x1x2x3x4x5x6x7x8x9"))),OR(7&gt;LEN(L810),MID(L810,7,1)=".",ISNUMBER(FIND("x"&amp;MID(L810,7,1),"x0x1x2x3x4x5x6x7x8x9"))),OR(8&gt;LEN(L810),MID(L810,8,1)=".",ISNUMBER(FIND("x"&amp;MID(L810,8,1),"x0x1x2x3x4x5x6x7x8x9"))),OR(9&gt;LEN(L810),MID(L810,9,1)=".",ISNUMBER(FIND("x"&amp;MID(L810,9,1),"x0x1x2x3x4x5x6x7x8x9"))),OR(10&gt;LEN(L810),MID(L810,10,1)=".",ISNUMBER(FIND("x"&amp;MID(L810,10,1),"x0x1x2x3x4x5x6x7x8x9"))),OR(AND(FIND(".",L810)=5,LEN(L810)-FIND(".",L810,FIND(".",L810)+1)&gt;=1,LEN(L810)-FIND(".",L810,FIND(".",L810)+1)&lt;=2),AND(LEN(L810)-FIND(".",L810,FIND(".",L810)+1)=4,FIND(".",L810)&gt;=2,FIND(".",L810)&lt;=3)),FIND(".",L810,FIND(".",L810)+1)-FIND(".",L810)&gt;=2,FIND(".",L810,FIND(".",L810)+1)-FIND(".",L810)&lt;=3,P810&gt;=2000,P810&lt;=2100,YEAR(S810)=P810,MONTH(S810)=Q810,DAY(S810)=R810),S810,0)),0)</ns0:f>
        <ns0:v>0</ns0:v>
      </ns0:c>
      <ns0:c r="U810" s="0" t="str">
        <ns0:f>IF(Bookings!C810="","Full day",Bookings!C810)</ns0:f>
        <ns0:v>Full day</ns0:v>
      </ns0:c>
      <ns0:c r="V810" s="0" t="str">
        <ns0:f>IF(Bookings!E810="","Full day",Bookings!E810)</ns0:f>
        <ns0:v>Full day</ns0:v>
      </ns0:c>
      <ns0:c r="W810" s="0">
        <ns0:f>IF(J810=0,0,J810+IF(U810="PM",1,0))</ns0:f>
        <ns0:v>0</ns0:v>
      </ns0:c>
      <ns0:c r="X810" s="0">
        <ns0:f>IF(T810=0,0,T810-IF(V810="PM",1,0))</ns0:f>
        <ns0:v>0</ns0:v>
      </ns0:c>
      <ns0:c r="Y810" s="0">
        <ns0:f>IF(J810=0,0,J810+IF(U810="AM",1,0))</ns0:f>
        <ns0:v>0</ns0:v>
      </ns0:c>
      <ns0:c r="Z810" s="0">
        <ns0:f>IF(T810=0,0,T810-IF(V810="AM",1,0))</ns0:f>
        <ns0:v>0</ns0:v>
      </ns0:c>
      <ns0:c r="AA810" s="0">
        <ns0:f>IFERROR(IF(AND(J810&gt;0,'_Engine'!C810&gt;0,MID('_Engine'!W810,WEEKDAY(J810,2),1)="W",COUNTIF(Settings!$F$18:$F$67,J810)=0),1,0),0)</ns0:f>
        <ns0:v>0</ns0:v>
      </ns0:c>
      <ns0:c r="AB810" s="0">
        <ns0:f>IFERROR(IF(AND(T810&gt;0,'_Engine'!C810&gt;0,MID('_Engine'!W810,WEEKDAY(T810,2),1)="W",COUNTIF(Settings!$F$18:$F$67,T810)=0),1,0),0)</ns0:f>
        <ns0:v>0</ns0:v>
      </ns0:c>
      <ns0:c r="AC810" s="0">
        <ns0:f>IF(AND(J810&gt;0,T810&gt;0,W810&lt;=X810),1,0)</ns0:f>
        <ns0:v>0</ns0:v>
      </ns0:c>
      <ns0:c r="AD810" s="0">
        <ns0:f>IF(AND(J810&gt;0,T810&gt;0,Y810&lt;=Z810),1,0)</ns0:f>
        <ns0:v>0</ns0:v>
      </ns0:c>
    </ns0:row>
    <ns0:row r="811">
      <ns0:c r="A811" s="0">
        <ns0:f>IFERROR(IF(ISNUMBER(Bookings!B811),"",TRIM(Bookings!B811&amp;"")),"")</ns0:f>
      </ns0:c>
      <ns0:c r="B811" s="0">
        <ns0:f>IFERROR(SUBSTITUTE(SUBSTITUTE(A811,"/","."),"-","."),"")</ns0:f>
      </ns0:c>
      <ns0:c r="C811" s="0">
        <ns0:f>IFERROR(LEFT(B811,FIND(".",B811)-1),"")</ns0:f>
      </ns0:c>
      <ns0:c r="D811" s="0">
        <ns0:f>IFERROR(MID(B811,FIND(".",B811)+1,FIND(".",B811,FIND(".",B811)+1)-FIND(".",B811)-1),"")</ns0:f>
      </ns0:c>
      <ns0:c r="E811" s="0">
        <ns0:f>IFERROR(MID(B811,FIND(".",B811,FIND(".",B811)+1)+1,99),"")</ns0:f>
        <ns0:v>99</ns0:v>
      </ns0:c>
      <ns0:c r="F811" s="0">
        <ns0:f>IFERROR(IF(FIND(".",B811)=5,--C811,--E811),0)</ns0:f>
        <ns0:v>0</ns0:v>
      </ns0:c>
      <ns0:c r="G811" s="0">
        <ns0:f>IFERROR(--D811,0)</ns0:f>
        <ns0:v>0</ns0:v>
      </ns0:c>
      <ns0:c r="H811" s="0">
        <ns0:f>IFERROR(IF(FIND(".",B811)=5,--E811,--C811),0)</ns0:f>
        <ns0:v>0</ns0:v>
      </ns0:c>
      <ns0:c r="I811" s="0">
        <ns0:f>IFERROR(IF(AND(F811&gt;=2000,F811&lt;=2100,G811&gt;=1,G811&lt;=12,H811&gt;=1,H811&lt;=31),DATE(F811,G811,H811),0),0)</ns0:f>
        <ns0:v>0</ns0:v>
      </ns0:c>
      <ns0:c r="J811" s="0">
        <ns0:f>IFERROR(IF(ISNUMBER(Bookings!B811),IF(AND(Bookings!B811=INT(Bookings!B811),Bookings!B811&gt;=DATE(2000,1,1),Bookings!B811&lt;=DATE(2100,12,31)),Bookings!B811,0),IF(AND(A811&lt;&gt;"",LEN("x"&amp;B811)-LEN(SUBSTITUTE("x"&amp;B811,".",""))=2,OR(1&gt;LEN(B811),MID(B811,1,1)=".",ISNUMBER(FIND("x"&amp;MID(B811,1,1),"x0x1x2x3x4x5x6x7x8x9"))),OR(2&gt;LEN(B811),MID(B811,2,1)=".",ISNUMBER(FIND("x"&amp;MID(B811,2,1),"x0x1x2x3x4x5x6x7x8x9"))),OR(3&gt;LEN(B811),MID(B811,3,1)=".",ISNUMBER(FIND("x"&amp;MID(B811,3,1),"x0x1x2x3x4x5x6x7x8x9"))),OR(4&gt;LEN(B811),MID(B811,4,1)=".",ISNUMBER(FIND("x"&amp;MID(B811,4,1),"x0x1x2x3x4x5x6x7x8x9"))),OR(5&gt;LEN(B811),MID(B811,5,1)=".",ISNUMBER(FIND("x"&amp;MID(B811,5,1),"x0x1x2x3x4x5x6x7x8x9"))),OR(6&gt;LEN(B811),MID(B811,6,1)=".",ISNUMBER(FIND("x"&amp;MID(B811,6,1),"x0x1x2x3x4x5x6x7x8x9"))),OR(7&gt;LEN(B811),MID(B811,7,1)=".",ISNUMBER(FIND("x"&amp;MID(B811,7,1),"x0x1x2x3x4x5x6x7x8x9"))),OR(8&gt;LEN(B811),MID(B811,8,1)=".",ISNUMBER(FIND("x"&amp;MID(B811,8,1),"x0x1x2x3x4x5x6x7x8x9"))),OR(9&gt;LEN(B811),MID(B811,9,1)=".",ISNUMBER(FIND("x"&amp;MID(B811,9,1),"x0x1x2x3x4x5x6x7x8x9"))),OR(10&gt;LEN(B811),MID(B811,10,1)=".",ISNUMBER(FIND("x"&amp;MID(B811,10,1),"x0x1x2x3x4x5x6x7x8x9"))),OR(AND(FIND(".",B811)=5,LEN(B811)-FIND(".",B811,FIND(".",B811)+1)&gt;=1,LEN(B811)-FIND(".",B811,FIND(".",B811)+1)&lt;=2),AND(LEN(B811)-FIND(".",B811,FIND(".",B811)+1)=4,FIND(".",B811)&gt;=2,FIND(".",B811)&lt;=3)),FIND(".",B811,FIND(".",B811)+1)-FIND(".",B811)&gt;=2,FIND(".",B811,FIND(".",B811)+1)-FIND(".",B811)&lt;=3,F811&gt;=2000,F811&lt;=2100,YEAR(I811)=F811,MONTH(I811)=G811,DAY(I811)=H811),I811,0)),0)</ns0:f>
        <ns0:v>0</ns0:v>
      </ns0:c>
      <ns0:c r="K811" s="0">
        <ns0:f>IFERROR(IF(ISNUMBER(Bookings!D811),"",TRIM(Bookings!D811&amp;"")),"")</ns0:f>
      </ns0:c>
      <ns0:c r="L811" s="0">
        <ns0:f>IFERROR(SUBSTITUTE(SUBSTITUTE(K811,"/","."),"-","."),"")</ns0:f>
      </ns0:c>
      <ns0:c r="M811" s="0">
        <ns0:f>IFERROR(LEFT(L811,FIND(".",L811)-1),"")</ns0:f>
      </ns0:c>
      <ns0:c r="N811" s="0">
        <ns0:f>IFERROR(MID(L811,FIND(".",L811)+1,FIND(".",L811,FIND(".",L811)+1)-FIND(".",L811)-1),"")</ns0:f>
      </ns0:c>
      <ns0:c r="O811" s="0">
        <ns0:f>IFERROR(MID(L811,FIND(".",L811,FIND(".",L811)+1)+1,99),"")</ns0:f>
        <ns0:v>99</ns0:v>
      </ns0:c>
      <ns0:c r="P811" s="0">
        <ns0:f>IFERROR(IF(FIND(".",L811)=5,--M811,--O811),0)</ns0:f>
        <ns0:v>0</ns0:v>
      </ns0:c>
      <ns0:c r="Q811" s="0">
        <ns0:f>IFERROR(--N811,0)</ns0:f>
        <ns0:v>0</ns0:v>
      </ns0:c>
      <ns0:c r="R811" s="0">
        <ns0:f>IFERROR(IF(FIND(".",L811)=5,--O811,--M811),0)</ns0:f>
        <ns0:v>0</ns0:v>
      </ns0:c>
      <ns0:c r="S811" s="0">
        <ns0:f>IFERROR(IF(AND(P811&gt;=2000,P811&lt;=2100,Q811&gt;=1,Q811&lt;=12,R811&gt;=1,R811&lt;=31),DATE(P811,Q811,R811),0),0)</ns0:f>
        <ns0:v>0</ns0:v>
      </ns0:c>
      <ns0:c r="T811" s="0">
        <ns0:f>IFERROR(IF(ISNUMBER(Bookings!D811),IF(AND(Bookings!D811=INT(Bookings!D811),Bookings!D811&gt;=DATE(2000,1,1),Bookings!D811&lt;=DATE(2100,12,31)),Bookings!D811,0),IF(AND(K811&lt;&gt;"",LEN("x"&amp;L811)-LEN(SUBSTITUTE("x"&amp;L811,".",""))=2,OR(1&gt;LEN(L811),MID(L811,1,1)=".",ISNUMBER(FIND("x"&amp;MID(L811,1,1),"x0x1x2x3x4x5x6x7x8x9"))),OR(2&gt;LEN(L811),MID(L811,2,1)=".",ISNUMBER(FIND("x"&amp;MID(L811,2,1),"x0x1x2x3x4x5x6x7x8x9"))),OR(3&gt;LEN(L811),MID(L811,3,1)=".",ISNUMBER(FIND("x"&amp;MID(L811,3,1),"x0x1x2x3x4x5x6x7x8x9"))),OR(4&gt;LEN(L811),MID(L811,4,1)=".",ISNUMBER(FIND("x"&amp;MID(L811,4,1),"x0x1x2x3x4x5x6x7x8x9"))),OR(5&gt;LEN(L811),MID(L811,5,1)=".",ISNUMBER(FIND("x"&amp;MID(L811,5,1),"x0x1x2x3x4x5x6x7x8x9"))),OR(6&gt;LEN(L811),MID(L811,6,1)=".",ISNUMBER(FIND("x"&amp;MID(L811,6,1),"x0x1x2x3x4x5x6x7x8x9"))),OR(7&gt;LEN(L811),MID(L811,7,1)=".",ISNUMBER(FIND("x"&amp;MID(L811,7,1),"x0x1x2x3x4x5x6x7x8x9"))),OR(8&gt;LEN(L811),MID(L811,8,1)=".",ISNUMBER(FIND("x"&amp;MID(L811,8,1),"x0x1x2x3x4x5x6x7x8x9"))),OR(9&gt;LEN(L811),MID(L811,9,1)=".",ISNUMBER(FIND("x"&amp;MID(L811,9,1),"x0x1x2x3x4x5x6x7x8x9"))),OR(10&gt;LEN(L811),MID(L811,10,1)=".",ISNUMBER(FIND("x"&amp;MID(L811,10,1),"x0x1x2x3x4x5x6x7x8x9"))),OR(AND(FIND(".",L811)=5,LEN(L811)-FIND(".",L811,FIND(".",L811)+1)&gt;=1,LEN(L811)-FIND(".",L811,FIND(".",L811)+1)&lt;=2),AND(LEN(L811)-FIND(".",L811,FIND(".",L811)+1)=4,FIND(".",L811)&gt;=2,FIND(".",L811)&lt;=3)),FIND(".",L811,FIND(".",L811)+1)-FIND(".",L811)&gt;=2,FIND(".",L811,FIND(".",L811)+1)-FIND(".",L811)&lt;=3,P811&gt;=2000,P811&lt;=2100,YEAR(S811)=P811,MONTH(S811)=Q811,DAY(S811)=R811),S811,0)),0)</ns0:f>
        <ns0:v>0</ns0:v>
      </ns0:c>
      <ns0:c r="U811" s="0" t="str">
        <ns0:f>IF(Bookings!C811="","Full day",Bookings!C811)</ns0:f>
        <ns0:v>Full day</ns0:v>
      </ns0:c>
      <ns0:c r="V811" s="0" t="str">
        <ns0:f>IF(Bookings!E811="","Full day",Bookings!E811)</ns0:f>
        <ns0:v>Full day</ns0:v>
      </ns0:c>
      <ns0:c r="W811" s="0">
        <ns0:f>IF(J811=0,0,J811+IF(U811="PM",1,0))</ns0:f>
        <ns0:v>0</ns0:v>
      </ns0:c>
      <ns0:c r="X811" s="0">
        <ns0:f>IF(T811=0,0,T811-IF(V811="PM",1,0))</ns0:f>
        <ns0:v>0</ns0:v>
      </ns0:c>
      <ns0:c r="Y811" s="0">
        <ns0:f>IF(J811=0,0,J811+IF(U811="AM",1,0))</ns0:f>
        <ns0:v>0</ns0:v>
      </ns0:c>
      <ns0:c r="Z811" s="0">
        <ns0:f>IF(T811=0,0,T811-IF(V811="AM",1,0))</ns0:f>
        <ns0:v>0</ns0:v>
      </ns0:c>
      <ns0:c r="AA811" s="0">
        <ns0:f>IFERROR(IF(AND(J811&gt;0,'_Engine'!C811&gt;0,MID('_Engine'!W811,WEEKDAY(J811,2),1)="W",COUNTIF(Settings!$F$18:$F$67,J811)=0),1,0),0)</ns0:f>
        <ns0:v>0</ns0:v>
      </ns0:c>
      <ns0:c r="AB811" s="0">
        <ns0:f>IFERROR(IF(AND(T811&gt;0,'_Engine'!C811&gt;0,MID('_Engine'!W811,WEEKDAY(T811,2),1)="W",COUNTIF(Settings!$F$18:$F$67,T811)=0),1,0),0)</ns0:f>
        <ns0:v>0</ns0:v>
      </ns0:c>
      <ns0:c r="AC811" s="0">
        <ns0:f>IF(AND(J811&gt;0,T811&gt;0,W811&lt;=X811),1,0)</ns0:f>
        <ns0:v>0</ns0:v>
      </ns0:c>
      <ns0:c r="AD811" s="0">
        <ns0:f>IF(AND(J811&gt;0,T811&gt;0,Y811&lt;=Z811),1,0)</ns0:f>
        <ns0:v>0</ns0:v>
      </ns0:c>
    </ns0:row>
    <ns0:row r="812">
      <ns0:c r="A812" s="0">
        <ns0:f>IFERROR(IF(ISNUMBER(Bookings!B812),"",TRIM(Bookings!B812&amp;"")),"")</ns0:f>
      </ns0:c>
      <ns0:c r="B812" s="0">
        <ns0:f>IFERROR(SUBSTITUTE(SUBSTITUTE(A812,"/","."),"-","."),"")</ns0:f>
      </ns0:c>
      <ns0:c r="C812" s="0">
        <ns0:f>IFERROR(LEFT(B812,FIND(".",B812)-1),"")</ns0:f>
      </ns0:c>
      <ns0:c r="D812" s="0">
        <ns0:f>IFERROR(MID(B812,FIND(".",B812)+1,FIND(".",B812,FIND(".",B812)+1)-FIND(".",B812)-1),"")</ns0:f>
      </ns0:c>
      <ns0:c r="E812" s="0">
        <ns0:f>IFERROR(MID(B812,FIND(".",B812,FIND(".",B812)+1)+1,99),"")</ns0:f>
        <ns0:v>99</ns0:v>
      </ns0:c>
      <ns0:c r="F812" s="0">
        <ns0:f>IFERROR(IF(FIND(".",B812)=5,--C812,--E812),0)</ns0:f>
        <ns0:v>0</ns0:v>
      </ns0:c>
      <ns0:c r="G812" s="0">
        <ns0:f>IFERROR(--D812,0)</ns0:f>
        <ns0:v>0</ns0:v>
      </ns0:c>
      <ns0:c r="H812" s="0">
        <ns0:f>IFERROR(IF(FIND(".",B812)=5,--E812,--C812),0)</ns0:f>
        <ns0:v>0</ns0:v>
      </ns0:c>
      <ns0:c r="I812" s="0">
        <ns0:f>IFERROR(IF(AND(F812&gt;=2000,F812&lt;=2100,G812&gt;=1,G812&lt;=12,H812&gt;=1,H812&lt;=31),DATE(F812,G812,H812),0),0)</ns0:f>
        <ns0:v>0</ns0:v>
      </ns0:c>
      <ns0:c r="J812" s="0">
        <ns0:f>IFERROR(IF(ISNUMBER(Bookings!B812),IF(AND(Bookings!B812=INT(Bookings!B812),Bookings!B812&gt;=DATE(2000,1,1),Bookings!B812&lt;=DATE(2100,12,31)),Bookings!B812,0),IF(AND(A812&lt;&gt;"",LEN("x"&amp;B812)-LEN(SUBSTITUTE("x"&amp;B812,".",""))=2,OR(1&gt;LEN(B812),MID(B812,1,1)=".",ISNUMBER(FIND("x"&amp;MID(B812,1,1),"x0x1x2x3x4x5x6x7x8x9"))),OR(2&gt;LEN(B812),MID(B812,2,1)=".",ISNUMBER(FIND("x"&amp;MID(B812,2,1),"x0x1x2x3x4x5x6x7x8x9"))),OR(3&gt;LEN(B812),MID(B812,3,1)=".",ISNUMBER(FIND("x"&amp;MID(B812,3,1),"x0x1x2x3x4x5x6x7x8x9"))),OR(4&gt;LEN(B812),MID(B812,4,1)=".",ISNUMBER(FIND("x"&amp;MID(B812,4,1),"x0x1x2x3x4x5x6x7x8x9"))),OR(5&gt;LEN(B812),MID(B812,5,1)=".",ISNUMBER(FIND("x"&amp;MID(B812,5,1),"x0x1x2x3x4x5x6x7x8x9"))),OR(6&gt;LEN(B812),MID(B812,6,1)=".",ISNUMBER(FIND("x"&amp;MID(B812,6,1),"x0x1x2x3x4x5x6x7x8x9"))),OR(7&gt;LEN(B812),MID(B812,7,1)=".",ISNUMBER(FIND("x"&amp;MID(B812,7,1),"x0x1x2x3x4x5x6x7x8x9"))),OR(8&gt;LEN(B812),MID(B812,8,1)=".",ISNUMBER(FIND("x"&amp;MID(B812,8,1),"x0x1x2x3x4x5x6x7x8x9"))),OR(9&gt;LEN(B812),MID(B812,9,1)=".",ISNUMBER(FIND("x"&amp;MID(B812,9,1),"x0x1x2x3x4x5x6x7x8x9"))),OR(10&gt;LEN(B812),MID(B812,10,1)=".",ISNUMBER(FIND("x"&amp;MID(B812,10,1),"x0x1x2x3x4x5x6x7x8x9"))),OR(AND(FIND(".",B812)=5,LEN(B812)-FIND(".",B812,FIND(".",B812)+1)&gt;=1,LEN(B812)-FIND(".",B812,FIND(".",B812)+1)&lt;=2),AND(LEN(B812)-FIND(".",B812,FIND(".",B812)+1)=4,FIND(".",B812)&gt;=2,FIND(".",B812)&lt;=3)),FIND(".",B812,FIND(".",B812)+1)-FIND(".",B812)&gt;=2,FIND(".",B812,FIND(".",B812)+1)-FIND(".",B812)&lt;=3,F812&gt;=2000,F812&lt;=2100,YEAR(I812)=F812,MONTH(I812)=G812,DAY(I812)=H812),I812,0)),0)</ns0:f>
        <ns0:v>0</ns0:v>
      </ns0:c>
      <ns0:c r="K812" s="0">
        <ns0:f>IFERROR(IF(ISNUMBER(Bookings!D812),"",TRIM(Bookings!D812&amp;"")),"")</ns0:f>
      </ns0:c>
      <ns0:c r="L812" s="0">
        <ns0:f>IFERROR(SUBSTITUTE(SUBSTITUTE(K812,"/","."),"-","."),"")</ns0:f>
      </ns0:c>
      <ns0:c r="M812" s="0">
        <ns0:f>IFERROR(LEFT(L812,FIND(".",L812)-1),"")</ns0:f>
      </ns0:c>
      <ns0:c r="N812" s="0">
        <ns0:f>IFERROR(MID(L812,FIND(".",L812)+1,FIND(".",L812,FIND(".",L812)+1)-FIND(".",L812)-1),"")</ns0:f>
      </ns0:c>
      <ns0:c r="O812" s="0">
        <ns0:f>IFERROR(MID(L812,FIND(".",L812,FIND(".",L812)+1)+1,99),"")</ns0:f>
        <ns0:v>99</ns0:v>
      </ns0:c>
      <ns0:c r="P812" s="0">
        <ns0:f>IFERROR(IF(FIND(".",L812)=5,--M812,--O812),0)</ns0:f>
        <ns0:v>0</ns0:v>
      </ns0:c>
      <ns0:c r="Q812" s="0">
        <ns0:f>IFERROR(--N812,0)</ns0:f>
        <ns0:v>0</ns0:v>
      </ns0:c>
      <ns0:c r="R812" s="0">
        <ns0:f>IFERROR(IF(FIND(".",L812)=5,--O812,--M812),0)</ns0:f>
        <ns0:v>0</ns0:v>
      </ns0:c>
      <ns0:c r="S812" s="0">
        <ns0:f>IFERROR(IF(AND(P812&gt;=2000,P812&lt;=2100,Q812&gt;=1,Q812&lt;=12,R812&gt;=1,R812&lt;=31),DATE(P812,Q812,R812),0),0)</ns0:f>
        <ns0:v>0</ns0:v>
      </ns0:c>
      <ns0:c r="T812" s="0">
        <ns0:f>IFERROR(IF(ISNUMBER(Bookings!D812),IF(AND(Bookings!D812=INT(Bookings!D812),Bookings!D812&gt;=DATE(2000,1,1),Bookings!D812&lt;=DATE(2100,12,31)),Bookings!D812,0),IF(AND(K812&lt;&gt;"",LEN("x"&amp;L812)-LEN(SUBSTITUTE("x"&amp;L812,".",""))=2,OR(1&gt;LEN(L812),MID(L812,1,1)=".",ISNUMBER(FIND("x"&amp;MID(L812,1,1),"x0x1x2x3x4x5x6x7x8x9"))),OR(2&gt;LEN(L812),MID(L812,2,1)=".",ISNUMBER(FIND("x"&amp;MID(L812,2,1),"x0x1x2x3x4x5x6x7x8x9"))),OR(3&gt;LEN(L812),MID(L812,3,1)=".",ISNUMBER(FIND("x"&amp;MID(L812,3,1),"x0x1x2x3x4x5x6x7x8x9"))),OR(4&gt;LEN(L812),MID(L812,4,1)=".",ISNUMBER(FIND("x"&amp;MID(L812,4,1),"x0x1x2x3x4x5x6x7x8x9"))),OR(5&gt;LEN(L812),MID(L812,5,1)=".",ISNUMBER(FIND("x"&amp;MID(L812,5,1),"x0x1x2x3x4x5x6x7x8x9"))),OR(6&gt;LEN(L812),MID(L812,6,1)=".",ISNUMBER(FIND("x"&amp;MID(L812,6,1),"x0x1x2x3x4x5x6x7x8x9"))),OR(7&gt;LEN(L812),MID(L812,7,1)=".",ISNUMBER(FIND("x"&amp;MID(L812,7,1),"x0x1x2x3x4x5x6x7x8x9"))),OR(8&gt;LEN(L812),MID(L812,8,1)=".",ISNUMBER(FIND("x"&amp;MID(L812,8,1),"x0x1x2x3x4x5x6x7x8x9"))),OR(9&gt;LEN(L812),MID(L812,9,1)=".",ISNUMBER(FIND("x"&amp;MID(L812,9,1),"x0x1x2x3x4x5x6x7x8x9"))),OR(10&gt;LEN(L812),MID(L812,10,1)=".",ISNUMBER(FIND("x"&amp;MID(L812,10,1),"x0x1x2x3x4x5x6x7x8x9"))),OR(AND(FIND(".",L812)=5,LEN(L812)-FIND(".",L812,FIND(".",L812)+1)&gt;=1,LEN(L812)-FIND(".",L812,FIND(".",L812)+1)&lt;=2),AND(LEN(L812)-FIND(".",L812,FIND(".",L812)+1)=4,FIND(".",L812)&gt;=2,FIND(".",L812)&lt;=3)),FIND(".",L812,FIND(".",L812)+1)-FIND(".",L812)&gt;=2,FIND(".",L812,FIND(".",L812)+1)-FIND(".",L812)&lt;=3,P812&gt;=2000,P812&lt;=2100,YEAR(S812)=P812,MONTH(S812)=Q812,DAY(S812)=R812),S812,0)),0)</ns0:f>
        <ns0:v>0</ns0:v>
      </ns0:c>
      <ns0:c r="U812" s="0" t="str">
        <ns0:f>IF(Bookings!C812="","Full day",Bookings!C812)</ns0:f>
        <ns0:v>Full day</ns0:v>
      </ns0:c>
      <ns0:c r="V812" s="0" t="str">
        <ns0:f>IF(Bookings!E812="","Full day",Bookings!E812)</ns0:f>
        <ns0:v>Full day</ns0:v>
      </ns0:c>
      <ns0:c r="W812" s="0">
        <ns0:f>IF(J812=0,0,J812+IF(U812="PM",1,0))</ns0:f>
        <ns0:v>0</ns0:v>
      </ns0:c>
      <ns0:c r="X812" s="0">
        <ns0:f>IF(T812=0,0,T812-IF(V812="PM",1,0))</ns0:f>
        <ns0:v>0</ns0:v>
      </ns0:c>
      <ns0:c r="Y812" s="0">
        <ns0:f>IF(J812=0,0,J812+IF(U812="AM",1,0))</ns0:f>
        <ns0:v>0</ns0:v>
      </ns0:c>
      <ns0:c r="Z812" s="0">
        <ns0:f>IF(T812=0,0,T812-IF(V812="AM",1,0))</ns0:f>
        <ns0:v>0</ns0:v>
      </ns0:c>
      <ns0:c r="AA812" s="0">
        <ns0:f>IFERROR(IF(AND(J812&gt;0,'_Engine'!C812&gt;0,MID('_Engine'!W812,WEEKDAY(J812,2),1)="W",COUNTIF(Settings!$F$18:$F$67,J812)=0),1,0),0)</ns0:f>
        <ns0:v>0</ns0:v>
      </ns0:c>
      <ns0:c r="AB812" s="0">
        <ns0:f>IFERROR(IF(AND(T812&gt;0,'_Engine'!C812&gt;0,MID('_Engine'!W812,WEEKDAY(T812,2),1)="W",COUNTIF(Settings!$F$18:$F$67,T812)=0),1,0),0)</ns0:f>
        <ns0:v>0</ns0:v>
      </ns0:c>
      <ns0:c r="AC812" s="0">
        <ns0:f>IF(AND(J812&gt;0,T812&gt;0,W812&lt;=X812),1,0)</ns0:f>
        <ns0:v>0</ns0:v>
      </ns0:c>
      <ns0:c r="AD812" s="0">
        <ns0:f>IF(AND(J812&gt;0,T812&gt;0,Y812&lt;=Z812),1,0)</ns0:f>
        <ns0:v>0</ns0:v>
      </ns0:c>
    </ns0:row>
    <ns0:row r="813">
      <ns0:c r="A813" s="0">
        <ns0:f>IFERROR(IF(ISNUMBER(Bookings!B813),"",TRIM(Bookings!B813&amp;"")),"")</ns0:f>
      </ns0:c>
      <ns0:c r="B813" s="0">
        <ns0:f>IFERROR(SUBSTITUTE(SUBSTITUTE(A813,"/","."),"-","."),"")</ns0:f>
      </ns0:c>
      <ns0:c r="C813" s="0">
        <ns0:f>IFERROR(LEFT(B813,FIND(".",B813)-1),"")</ns0:f>
      </ns0:c>
      <ns0:c r="D813" s="0">
        <ns0:f>IFERROR(MID(B813,FIND(".",B813)+1,FIND(".",B813,FIND(".",B813)+1)-FIND(".",B813)-1),"")</ns0:f>
      </ns0:c>
      <ns0:c r="E813" s="0">
        <ns0:f>IFERROR(MID(B813,FIND(".",B813,FIND(".",B813)+1)+1,99),"")</ns0:f>
        <ns0:v>99</ns0:v>
      </ns0:c>
      <ns0:c r="F813" s="0">
        <ns0:f>IFERROR(IF(FIND(".",B813)=5,--C813,--E813),0)</ns0:f>
        <ns0:v>0</ns0:v>
      </ns0:c>
      <ns0:c r="G813" s="0">
        <ns0:f>IFERROR(--D813,0)</ns0:f>
        <ns0:v>0</ns0:v>
      </ns0:c>
      <ns0:c r="H813" s="0">
        <ns0:f>IFERROR(IF(FIND(".",B813)=5,--E813,--C813),0)</ns0:f>
        <ns0:v>0</ns0:v>
      </ns0:c>
      <ns0:c r="I813" s="0">
        <ns0:f>IFERROR(IF(AND(F813&gt;=2000,F813&lt;=2100,G813&gt;=1,G813&lt;=12,H813&gt;=1,H813&lt;=31),DATE(F813,G813,H813),0),0)</ns0:f>
        <ns0:v>0</ns0:v>
      </ns0:c>
      <ns0:c r="J813" s="0">
        <ns0:f>IFERROR(IF(ISNUMBER(Bookings!B813),IF(AND(Bookings!B813=INT(Bookings!B813),Bookings!B813&gt;=DATE(2000,1,1),Bookings!B813&lt;=DATE(2100,12,31)),Bookings!B813,0),IF(AND(A813&lt;&gt;"",LEN("x"&amp;B813)-LEN(SUBSTITUTE("x"&amp;B813,".",""))=2,OR(1&gt;LEN(B813),MID(B813,1,1)=".",ISNUMBER(FIND("x"&amp;MID(B813,1,1),"x0x1x2x3x4x5x6x7x8x9"))),OR(2&gt;LEN(B813),MID(B813,2,1)=".",ISNUMBER(FIND("x"&amp;MID(B813,2,1),"x0x1x2x3x4x5x6x7x8x9"))),OR(3&gt;LEN(B813),MID(B813,3,1)=".",ISNUMBER(FIND("x"&amp;MID(B813,3,1),"x0x1x2x3x4x5x6x7x8x9"))),OR(4&gt;LEN(B813),MID(B813,4,1)=".",ISNUMBER(FIND("x"&amp;MID(B813,4,1),"x0x1x2x3x4x5x6x7x8x9"))),OR(5&gt;LEN(B813),MID(B813,5,1)=".",ISNUMBER(FIND("x"&amp;MID(B813,5,1),"x0x1x2x3x4x5x6x7x8x9"))),OR(6&gt;LEN(B813),MID(B813,6,1)=".",ISNUMBER(FIND("x"&amp;MID(B813,6,1),"x0x1x2x3x4x5x6x7x8x9"))),OR(7&gt;LEN(B813),MID(B813,7,1)=".",ISNUMBER(FIND("x"&amp;MID(B813,7,1),"x0x1x2x3x4x5x6x7x8x9"))),OR(8&gt;LEN(B813),MID(B813,8,1)=".",ISNUMBER(FIND("x"&amp;MID(B813,8,1),"x0x1x2x3x4x5x6x7x8x9"))),OR(9&gt;LEN(B813),MID(B813,9,1)=".",ISNUMBER(FIND("x"&amp;MID(B813,9,1),"x0x1x2x3x4x5x6x7x8x9"))),OR(10&gt;LEN(B813),MID(B813,10,1)=".",ISNUMBER(FIND("x"&amp;MID(B813,10,1),"x0x1x2x3x4x5x6x7x8x9"))),OR(AND(FIND(".",B813)=5,LEN(B813)-FIND(".",B813,FIND(".",B813)+1)&gt;=1,LEN(B813)-FIND(".",B813,FIND(".",B813)+1)&lt;=2),AND(LEN(B813)-FIND(".",B813,FIND(".",B813)+1)=4,FIND(".",B813)&gt;=2,FIND(".",B813)&lt;=3)),FIND(".",B813,FIND(".",B813)+1)-FIND(".",B813)&gt;=2,FIND(".",B813,FIND(".",B813)+1)-FIND(".",B813)&lt;=3,F813&gt;=2000,F813&lt;=2100,YEAR(I813)=F813,MONTH(I813)=G813,DAY(I813)=H813),I813,0)),0)</ns0:f>
        <ns0:v>0</ns0:v>
      </ns0:c>
      <ns0:c r="K813" s="0">
        <ns0:f>IFERROR(IF(ISNUMBER(Bookings!D813),"",TRIM(Bookings!D813&amp;"")),"")</ns0:f>
      </ns0:c>
      <ns0:c r="L813" s="0">
        <ns0:f>IFERROR(SUBSTITUTE(SUBSTITUTE(K813,"/","."),"-","."),"")</ns0:f>
      </ns0:c>
      <ns0:c r="M813" s="0">
        <ns0:f>IFERROR(LEFT(L813,FIND(".",L813)-1),"")</ns0:f>
      </ns0:c>
      <ns0:c r="N813" s="0">
        <ns0:f>IFERROR(MID(L813,FIND(".",L813)+1,FIND(".",L813,FIND(".",L813)+1)-FIND(".",L813)-1),"")</ns0:f>
      </ns0:c>
      <ns0:c r="O813" s="0">
        <ns0:f>IFERROR(MID(L813,FIND(".",L813,FIND(".",L813)+1)+1,99),"")</ns0:f>
        <ns0:v>99</ns0:v>
      </ns0:c>
      <ns0:c r="P813" s="0">
        <ns0:f>IFERROR(IF(FIND(".",L813)=5,--M813,--O813),0)</ns0:f>
        <ns0:v>0</ns0:v>
      </ns0:c>
      <ns0:c r="Q813" s="0">
        <ns0:f>IFERROR(--N813,0)</ns0:f>
        <ns0:v>0</ns0:v>
      </ns0:c>
      <ns0:c r="R813" s="0">
        <ns0:f>IFERROR(IF(FIND(".",L813)=5,--O813,--M813),0)</ns0:f>
        <ns0:v>0</ns0:v>
      </ns0:c>
      <ns0:c r="S813" s="0">
        <ns0:f>IFERROR(IF(AND(P813&gt;=2000,P813&lt;=2100,Q813&gt;=1,Q813&lt;=12,R813&gt;=1,R813&lt;=31),DATE(P813,Q813,R813),0),0)</ns0:f>
        <ns0:v>0</ns0:v>
      </ns0:c>
      <ns0:c r="T813" s="0">
        <ns0:f>IFERROR(IF(ISNUMBER(Bookings!D813),IF(AND(Bookings!D813=INT(Bookings!D813),Bookings!D813&gt;=DATE(2000,1,1),Bookings!D813&lt;=DATE(2100,12,31)),Bookings!D813,0),IF(AND(K813&lt;&gt;"",LEN("x"&amp;L813)-LEN(SUBSTITUTE("x"&amp;L813,".",""))=2,OR(1&gt;LEN(L813),MID(L813,1,1)=".",ISNUMBER(FIND("x"&amp;MID(L813,1,1),"x0x1x2x3x4x5x6x7x8x9"))),OR(2&gt;LEN(L813),MID(L813,2,1)=".",ISNUMBER(FIND("x"&amp;MID(L813,2,1),"x0x1x2x3x4x5x6x7x8x9"))),OR(3&gt;LEN(L813),MID(L813,3,1)=".",ISNUMBER(FIND("x"&amp;MID(L813,3,1),"x0x1x2x3x4x5x6x7x8x9"))),OR(4&gt;LEN(L813),MID(L813,4,1)=".",ISNUMBER(FIND("x"&amp;MID(L813,4,1),"x0x1x2x3x4x5x6x7x8x9"))),OR(5&gt;LEN(L813),MID(L813,5,1)=".",ISNUMBER(FIND("x"&amp;MID(L813,5,1),"x0x1x2x3x4x5x6x7x8x9"))),OR(6&gt;LEN(L813),MID(L813,6,1)=".",ISNUMBER(FIND("x"&amp;MID(L813,6,1),"x0x1x2x3x4x5x6x7x8x9"))),OR(7&gt;LEN(L813),MID(L813,7,1)=".",ISNUMBER(FIND("x"&amp;MID(L813,7,1),"x0x1x2x3x4x5x6x7x8x9"))),OR(8&gt;LEN(L813),MID(L813,8,1)=".",ISNUMBER(FIND("x"&amp;MID(L813,8,1),"x0x1x2x3x4x5x6x7x8x9"))),OR(9&gt;LEN(L813),MID(L813,9,1)=".",ISNUMBER(FIND("x"&amp;MID(L813,9,1),"x0x1x2x3x4x5x6x7x8x9"))),OR(10&gt;LEN(L813),MID(L813,10,1)=".",ISNUMBER(FIND("x"&amp;MID(L813,10,1),"x0x1x2x3x4x5x6x7x8x9"))),OR(AND(FIND(".",L813)=5,LEN(L813)-FIND(".",L813,FIND(".",L813)+1)&gt;=1,LEN(L813)-FIND(".",L813,FIND(".",L813)+1)&lt;=2),AND(LEN(L813)-FIND(".",L813,FIND(".",L813)+1)=4,FIND(".",L813)&gt;=2,FIND(".",L813)&lt;=3)),FIND(".",L813,FIND(".",L813)+1)-FIND(".",L813)&gt;=2,FIND(".",L813,FIND(".",L813)+1)-FIND(".",L813)&lt;=3,P813&gt;=2000,P813&lt;=2100,YEAR(S813)=P813,MONTH(S813)=Q813,DAY(S813)=R813),S813,0)),0)</ns0:f>
        <ns0:v>0</ns0:v>
      </ns0:c>
      <ns0:c r="U813" s="0" t="str">
        <ns0:f>IF(Bookings!C813="","Full day",Bookings!C813)</ns0:f>
        <ns0:v>Full day</ns0:v>
      </ns0:c>
      <ns0:c r="V813" s="0" t="str">
        <ns0:f>IF(Bookings!E813="","Full day",Bookings!E813)</ns0:f>
        <ns0:v>Full day</ns0:v>
      </ns0:c>
      <ns0:c r="W813" s="0">
        <ns0:f>IF(J813=0,0,J813+IF(U813="PM",1,0))</ns0:f>
        <ns0:v>0</ns0:v>
      </ns0:c>
      <ns0:c r="X813" s="0">
        <ns0:f>IF(T813=0,0,T813-IF(V813="PM",1,0))</ns0:f>
        <ns0:v>0</ns0:v>
      </ns0:c>
      <ns0:c r="Y813" s="0">
        <ns0:f>IF(J813=0,0,J813+IF(U813="AM",1,0))</ns0:f>
        <ns0:v>0</ns0:v>
      </ns0:c>
      <ns0:c r="Z813" s="0">
        <ns0:f>IF(T813=0,0,T813-IF(V813="AM",1,0))</ns0:f>
        <ns0:v>0</ns0:v>
      </ns0:c>
      <ns0:c r="AA813" s="0">
        <ns0:f>IFERROR(IF(AND(J813&gt;0,'_Engine'!C813&gt;0,MID('_Engine'!W813,WEEKDAY(J813,2),1)="W",COUNTIF(Settings!$F$18:$F$67,J813)=0),1,0),0)</ns0:f>
        <ns0:v>0</ns0:v>
      </ns0:c>
      <ns0:c r="AB813" s="0">
        <ns0:f>IFERROR(IF(AND(T813&gt;0,'_Engine'!C813&gt;0,MID('_Engine'!W813,WEEKDAY(T813,2),1)="W",COUNTIF(Settings!$F$18:$F$67,T813)=0),1,0),0)</ns0:f>
        <ns0:v>0</ns0:v>
      </ns0:c>
      <ns0:c r="AC813" s="0">
        <ns0:f>IF(AND(J813&gt;0,T813&gt;0,W813&lt;=X813),1,0)</ns0:f>
        <ns0:v>0</ns0:v>
      </ns0:c>
      <ns0:c r="AD813" s="0">
        <ns0:f>IF(AND(J813&gt;0,T813&gt;0,Y813&lt;=Z813),1,0)</ns0:f>
        <ns0:v>0</ns0:v>
      </ns0:c>
    </ns0:row>
    <ns0:row r="814">
      <ns0:c r="A814" s="0">
        <ns0:f>IFERROR(IF(ISNUMBER(Bookings!B814),"",TRIM(Bookings!B814&amp;"")),"")</ns0:f>
      </ns0:c>
      <ns0:c r="B814" s="0">
        <ns0:f>IFERROR(SUBSTITUTE(SUBSTITUTE(A814,"/","."),"-","."),"")</ns0:f>
      </ns0:c>
      <ns0:c r="C814" s="0">
        <ns0:f>IFERROR(LEFT(B814,FIND(".",B814)-1),"")</ns0:f>
      </ns0:c>
      <ns0:c r="D814" s="0">
        <ns0:f>IFERROR(MID(B814,FIND(".",B814)+1,FIND(".",B814,FIND(".",B814)+1)-FIND(".",B814)-1),"")</ns0:f>
      </ns0:c>
      <ns0:c r="E814" s="0">
        <ns0:f>IFERROR(MID(B814,FIND(".",B814,FIND(".",B814)+1)+1,99),"")</ns0:f>
        <ns0:v>99</ns0:v>
      </ns0:c>
      <ns0:c r="F814" s="0">
        <ns0:f>IFERROR(IF(FIND(".",B814)=5,--C814,--E814),0)</ns0:f>
        <ns0:v>0</ns0:v>
      </ns0:c>
      <ns0:c r="G814" s="0">
        <ns0:f>IFERROR(--D814,0)</ns0:f>
        <ns0:v>0</ns0:v>
      </ns0:c>
      <ns0:c r="H814" s="0">
        <ns0:f>IFERROR(IF(FIND(".",B814)=5,--E814,--C814),0)</ns0:f>
        <ns0:v>0</ns0:v>
      </ns0:c>
      <ns0:c r="I814" s="0">
        <ns0:f>IFERROR(IF(AND(F814&gt;=2000,F814&lt;=2100,G814&gt;=1,G814&lt;=12,H814&gt;=1,H814&lt;=31),DATE(F814,G814,H814),0),0)</ns0:f>
        <ns0:v>0</ns0:v>
      </ns0:c>
      <ns0:c r="J814" s="0">
        <ns0:f>IFERROR(IF(ISNUMBER(Bookings!B814),IF(AND(Bookings!B814=INT(Bookings!B814),Bookings!B814&gt;=DATE(2000,1,1),Bookings!B814&lt;=DATE(2100,12,31)),Bookings!B814,0),IF(AND(A814&lt;&gt;"",LEN("x"&amp;B814)-LEN(SUBSTITUTE("x"&amp;B814,".",""))=2,OR(1&gt;LEN(B814),MID(B814,1,1)=".",ISNUMBER(FIND("x"&amp;MID(B814,1,1),"x0x1x2x3x4x5x6x7x8x9"))),OR(2&gt;LEN(B814),MID(B814,2,1)=".",ISNUMBER(FIND("x"&amp;MID(B814,2,1),"x0x1x2x3x4x5x6x7x8x9"))),OR(3&gt;LEN(B814),MID(B814,3,1)=".",ISNUMBER(FIND("x"&amp;MID(B814,3,1),"x0x1x2x3x4x5x6x7x8x9"))),OR(4&gt;LEN(B814),MID(B814,4,1)=".",ISNUMBER(FIND("x"&amp;MID(B814,4,1),"x0x1x2x3x4x5x6x7x8x9"))),OR(5&gt;LEN(B814),MID(B814,5,1)=".",ISNUMBER(FIND("x"&amp;MID(B814,5,1),"x0x1x2x3x4x5x6x7x8x9"))),OR(6&gt;LEN(B814),MID(B814,6,1)=".",ISNUMBER(FIND("x"&amp;MID(B814,6,1),"x0x1x2x3x4x5x6x7x8x9"))),OR(7&gt;LEN(B814),MID(B814,7,1)=".",ISNUMBER(FIND("x"&amp;MID(B814,7,1),"x0x1x2x3x4x5x6x7x8x9"))),OR(8&gt;LEN(B814),MID(B814,8,1)=".",ISNUMBER(FIND("x"&amp;MID(B814,8,1),"x0x1x2x3x4x5x6x7x8x9"))),OR(9&gt;LEN(B814),MID(B814,9,1)=".",ISNUMBER(FIND("x"&amp;MID(B814,9,1),"x0x1x2x3x4x5x6x7x8x9"))),OR(10&gt;LEN(B814),MID(B814,10,1)=".",ISNUMBER(FIND("x"&amp;MID(B814,10,1),"x0x1x2x3x4x5x6x7x8x9"))),OR(AND(FIND(".",B814)=5,LEN(B814)-FIND(".",B814,FIND(".",B814)+1)&gt;=1,LEN(B814)-FIND(".",B814,FIND(".",B814)+1)&lt;=2),AND(LEN(B814)-FIND(".",B814,FIND(".",B814)+1)=4,FIND(".",B814)&gt;=2,FIND(".",B814)&lt;=3)),FIND(".",B814,FIND(".",B814)+1)-FIND(".",B814)&gt;=2,FIND(".",B814,FIND(".",B814)+1)-FIND(".",B814)&lt;=3,F814&gt;=2000,F814&lt;=2100,YEAR(I814)=F814,MONTH(I814)=G814,DAY(I814)=H814),I814,0)),0)</ns0:f>
        <ns0:v>0</ns0:v>
      </ns0:c>
      <ns0:c r="K814" s="0">
        <ns0:f>IFERROR(IF(ISNUMBER(Bookings!D814),"",TRIM(Bookings!D814&amp;"")),"")</ns0:f>
      </ns0:c>
      <ns0:c r="L814" s="0">
        <ns0:f>IFERROR(SUBSTITUTE(SUBSTITUTE(K814,"/","."),"-","."),"")</ns0:f>
      </ns0:c>
      <ns0:c r="M814" s="0">
        <ns0:f>IFERROR(LEFT(L814,FIND(".",L814)-1),"")</ns0:f>
      </ns0:c>
      <ns0:c r="N814" s="0">
        <ns0:f>IFERROR(MID(L814,FIND(".",L814)+1,FIND(".",L814,FIND(".",L814)+1)-FIND(".",L814)-1),"")</ns0:f>
      </ns0:c>
      <ns0:c r="O814" s="0">
        <ns0:f>IFERROR(MID(L814,FIND(".",L814,FIND(".",L814)+1)+1,99),"")</ns0:f>
        <ns0:v>99</ns0:v>
      </ns0:c>
      <ns0:c r="P814" s="0">
        <ns0:f>IFERROR(IF(FIND(".",L814)=5,--M814,--O814),0)</ns0:f>
        <ns0:v>0</ns0:v>
      </ns0:c>
      <ns0:c r="Q814" s="0">
        <ns0:f>IFERROR(--N814,0)</ns0:f>
        <ns0:v>0</ns0:v>
      </ns0:c>
      <ns0:c r="R814" s="0">
        <ns0:f>IFERROR(IF(FIND(".",L814)=5,--O814,--M814),0)</ns0:f>
        <ns0:v>0</ns0:v>
      </ns0:c>
      <ns0:c r="S814" s="0">
        <ns0:f>IFERROR(IF(AND(P814&gt;=2000,P814&lt;=2100,Q814&gt;=1,Q814&lt;=12,R814&gt;=1,R814&lt;=31),DATE(P814,Q814,R814),0),0)</ns0:f>
        <ns0:v>0</ns0:v>
      </ns0:c>
      <ns0:c r="T814" s="0">
        <ns0:f>IFERROR(IF(ISNUMBER(Bookings!D814),IF(AND(Bookings!D814=INT(Bookings!D814),Bookings!D814&gt;=DATE(2000,1,1),Bookings!D814&lt;=DATE(2100,12,31)),Bookings!D814,0),IF(AND(K814&lt;&gt;"",LEN("x"&amp;L814)-LEN(SUBSTITUTE("x"&amp;L814,".",""))=2,OR(1&gt;LEN(L814),MID(L814,1,1)=".",ISNUMBER(FIND("x"&amp;MID(L814,1,1),"x0x1x2x3x4x5x6x7x8x9"))),OR(2&gt;LEN(L814),MID(L814,2,1)=".",ISNUMBER(FIND("x"&amp;MID(L814,2,1),"x0x1x2x3x4x5x6x7x8x9"))),OR(3&gt;LEN(L814),MID(L814,3,1)=".",ISNUMBER(FIND("x"&amp;MID(L814,3,1),"x0x1x2x3x4x5x6x7x8x9"))),OR(4&gt;LEN(L814),MID(L814,4,1)=".",ISNUMBER(FIND("x"&amp;MID(L814,4,1),"x0x1x2x3x4x5x6x7x8x9"))),OR(5&gt;LEN(L814),MID(L814,5,1)=".",ISNUMBER(FIND("x"&amp;MID(L814,5,1),"x0x1x2x3x4x5x6x7x8x9"))),OR(6&gt;LEN(L814),MID(L814,6,1)=".",ISNUMBER(FIND("x"&amp;MID(L814,6,1),"x0x1x2x3x4x5x6x7x8x9"))),OR(7&gt;LEN(L814),MID(L814,7,1)=".",ISNUMBER(FIND("x"&amp;MID(L814,7,1),"x0x1x2x3x4x5x6x7x8x9"))),OR(8&gt;LEN(L814),MID(L814,8,1)=".",ISNUMBER(FIND("x"&amp;MID(L814,8,1),"x0x1x2x3x4x5x6x7x8x9"))),OR(9&gt;LEN(L814),MID(L814,9,1)=".",ISNUMBER(FIND("x"&amp;MID(L814,9,1),"x0x1x2x3x4x5x6x7x8x9"))),OR(10&gt;LEN(L814),MID(L814,10,1)=".",ISNUMBER(FIND("x"&amp;MID(L814,10,1),"x0x1x2x3x4x5x6x7x8x9"))),OR(AND(FIND(".",L814)=5,LEN(L814)-FIND(".",L814,FIND(".",L814)+1)&gt;=1,LEN(L814)-FIND(".",L814,FIND(".",L814)+1)&lt;=2),AND(LEN(L814)-FIND(".",L814,FIND(".",L814)+1)=4,FIND(".",L814)&gt;=2,FIND(".",L814)&lt;=3)),FIND(".",L814,FIND(".",L814)+1)-FIND(".",L814)&gt;=2,FIND(".",L814,FIND(".",L814)+1)-FIND(".",L814)&lt;=3,P814&gt;=2000,P814&lt;=2100,YEAR(S814)=P814,MONTH(S814)=Q814,DAY(S814)=R814),S814,0)),0)</ns0:f>
        <ns0:v>0</ns0:v>
      </ns0:c>
      <ns0:c r="U814" s="0" t="str">
        <ns0:f>IF(Bookings!C814="","Full day",Bookings!C814)</ns0:f>
        <ns0:v>Full day</ns0:v>
      </ns0:c>
      <ns0:c r="V814" s="0" t="str">
        <ns0:f>IF(Bookings!E814="","Full day",Bookings!E814)</ns0:f>
        <ns0:v>Full day</ns0:v>
      </ns0:c>
      <ns0:c r="W814" s="0">
        <ns0:f>IF(J814=0,0,J814+IF(U814="PM",1,0))</ns0:f>
        <ns0:v>0</ns0:v>
      </ns0:c>
      <ns0:c r="X814" s="0">
        <ns0:f>IF(T814=0,0,T814-IF(V814="PM",1,0))</ns0:f>
        <ns0:v>0</ns0:v>
      </ns0:c>
      <ns0:c r="Y814" s="0">
        <ns0:f>IF(J814=0,0,J814+IF(U814="AM",1,0))</ns0:f>
        <ns0:v>0</ns0:v>
      </ns0:c>
      <ns0:c r="Z814" s="0">
        <ns0:f>IF(T814=0,0,T814-IF(V814="AM",1,0))</ns0:f>
        <ns0:v>0</ns0:v>
      </ns0:c>
      <ns0:c r="AA814" s="0">
        <ns0:f>IFERROR(IF(AND(J814&gt;0,'_Engine'!C814&gt;0,MID('_Engine'!W814,WEEKDAY(J814,2),1)="W",COUNTIF(Settings!$F$18:$F$67,J814)=0),1,0),0)</ns0:f>
        <ns0:v>0</ns0:v>
      </ns0:c>
      <ns0:c r="AB814" s="0">
        <ns0:f>IFERROR(IF(AND(T814&gt;0,'_Engine'!C814&gt;0,MID('_Engine'!W814,WEEKDAY(T814,2),1)="W",COUNTIF(Settings!$F$18:$F$67,T814)=0),1,0),0)</ns0:f>
        <ns0:v>0</ns0:v>
      </ns0:c>
      <ns0:c r="AC814" s="0">
        <ns0:f>IF(AND(J814&gt;0,T814&gt;0,W814&lt;=X814),1,0)</ns0:f>
        <ns0:v>0</ns0:v>
      </ns0:c>
      <ns0:c r="AD814" s="0">
        <ns0:f>IF(AND(J814&gt;0,T814&gt;0,Y814&lt;=Z814),1,0)</ns0:f>
        <ns0:v>0</ns0:v>
      </ns0:c>
    </ns0:row>
    <ns0:row r="815">
      <ns0:c r="A815" s="0">
        <ns0:f>IFERROR(IF(ISNUMBER(Bookings!B815),"",TRIM(Bookings!B815&amp;"")),"")</ns0:f>
      </ns0:c>
      <ns0:c r="B815" s="0">
        <ns0:f>IFERROR(SUBSTITUTE(SUBSTITUTE(A815,"/","."),"-","."),"")</ns0:f>
      </ns0:c>
      <ns0:c r="C815" s="0">
        <ns0:f>IFERROR(LEFT(B815,FIND(".",B815)-1),"")</ns0:f>
      </ns0:c>
      <ns0:c r="D815" s="0">
        <ns0:f>IFERROR(MID(B815,FIND(".",B815)+1,FIND(".",B815,FIND(".",B815)+1)-FIND(".",B815)-1),"")</ns0:f>
      </ns0:c>
      <ns0:c r="E815" s="0">
        <ns0:f>IFERROR(MID(B815,FIND(".",B815,FIND(".",B815)+1)+1,99),"")</ns0:f>
        <ns0:v>99</ns0:v>
      </ns0:c>
      <ns0:c r="F815" s="0">
        <ns0:f>IFERROR(IF(FIND(".",B815)=5,--C815,--E815),0)</ns0:f>
        <ns0:v>0</ns0:v>
      </ns0:c>
      <ns0:c r="G815" s="0">
        <ns0:f>IFERROR(--D815,0)</ns0:f>
        <ns0:v>0</ns0:v>
      </ns0:c>
      <ns0:c r="H815" s="0">
        <ns0:f>IFERROR(IF(FIND(".",B815)=5,--E815,--C815),0)</ns0:f>
        <ns0:v>0</ns0:v>
      </ns0:c>
      <ns0:c r="I815" s="0">
        <ns0:f>IFERROR(IF(AND(F815&gt;=2000,F815&lt;=2100,G815&gt;=1,G815&lt;=12,H815&gt;=1,H815&lt;=31),DATE(F815,G815,H815),0),0)</ns0:f>
        <ns0:v>0</ns0:v>
      </ns0:c>
      <ns0:c r="J815" s="0">
        <ns0:f>IFERROR(IF(ISNUMBER(Bookings!B815),IF(AND(Bookings!B815=INT(Bookings!B815),Bookings!B815&gt;=DATE(2000,1,1),Bookings!B815&lt;=DATE(2100,12,31)),Bookings!B815,0),IF(AND(A815&lt;&gt;"",LEN("x"&amp;B815)-LEN(SUBSTITUTE("x"&amp;B815,".",""))=2,OR(1&gt;LEN(B815),MID(B815,1,1)=".",ISNUMBER(FIND("x"&amp;MID(B815,1,1),"x0x1x2x3x4x5x6x7x8x9"))),OR(2&gt;LEN(B815),MID(B815,2,1)=".",ISNUMBER(FIND("x"&amp;MID(B815,2,1),"x0x1x2x3x4x5x6x7x8x9"))),OR(3&gt;LEN(B815),MID(B815,3,1)=".",ISNUMBER(FIND("x"&amp;MID(B815,3,1),"x0x1x2x3x4x5x6x7x8x9"))),OR(4&gt;LEN(B815),MID(B815,4,1)=".",ISNUMBER(FIND("x"&amp;MID(B815,4,1),"x0x1x2x3x4x5x6x7x8x9"))),OR(5&gt;LEN(B815),MID(B815,5,1)=".",ISNUMBER(FIND("x"&amp;MID(B815,5,1),"x0x1x2x3x4x5x6x7x8x9"))),OR(6&gt;LEN(B815),MID(B815,6,1)=".",ISNUMBER(FIND("x"&amp;MID(B815,6,1),"x0x1x2x3x4x5x6x7x8x9"))),OR(7&gt;LEN(B815),MID(B815,7,1)=".",ISNUMBER(FIND("x"&amp;MID(B815,7,1),"x0x1x2x3x4x5x6x7x8x9"))),OR(8&gt;LEN(B815),MID(B815,8,1)=".",ISNUMBER(FIND("x"&amp;MID(B815,8,1),"x0x1x2x3x4x5x6x7x8x9"))),OR(9&gt;LEN(B815),MID(B815,9,1)=".",ISNUMBER(FIND("x"&amp;MID(B815,9,1),"x0x1x2x3x4x5x6x7x8x9"))),OR(10&gt;LEN(B815),MID(B815,10,1)=".",ISNUMBER(FIND("x"&amp;MID(B815,10,1),"x0x1x2x3x4x5x6x7x8x9"))),OR(AND(FIND(".",B815)=5,LEN(B815)-FIND(".",B815,FIND(".",B815)+1)&gt;=1,LEN(B815)-FIND(".",B815,FIND(".",B815)+1)&lt;=2),AND(LEN(B815)-FIND(".",B815,FIND(".",B815)+1)=4,FIND(".",B815)&gt;=2,FIND(".",B815)&lt;=3)),FIND(".",B815,FIND(".",B815)+1)-FIND(".",B815)&gt;=2,FIND(".",B815,FIND(".",B815)+1)-FIND(".",B815)&lt;=3,F815&gt;=2000,F815&lt;=2100,YEAR(I815)=F815,MONTH(I815)=G815,DAY(I815)=H815),I815,0)),0)</ns0:f>
        <ns0:v>0</ns0:v>
      </ns0:c>
      <ns0:c r="K815" s="0">
        <ns0:f>IFERROR(IF(ISNUMBER(Bookings!D815),"",TRIM(Bookings!D815&amp;"")),"")</ns0:f>
      </ns0:c>
      <ns0:c r="L815" s="0">
        <ns0:f>IFERROR(SUBSTITUTE(SUBSTITUTE(K815,"/","."),"-","."),"")</ns0:f>
      </ns0:c>
      <ns0:c r="M815" s="0">
        <ns0:f>IFERROR(LEFT(L815,FIND(".",L815)-1),"")</ns0:f>
      </ns0:c>
      <ns0:c r="N815" s="0">
        <ns0:f>IFERROR(MID(L815,FIND(".",L815)+1,FIND(".",L815,FIND(".",L815)+1)-FIND(".",L815)-1),"")</ns0:f>
      </ns0:c>
      <ns0:c r="O815" s="0">
        <ns0:f>IFERROR(MID(L815,FIND(".",L815,FIND(".",L815)+1)+1,99),"")</ns0:f>
        <ns0:v>99</ns0:v>
      </ns0:c>
      <ns0:c r="P815" s="0">
        <ns0:f>IFERROR(IF(FIND(".",L815)=5,--M815,--O815),0)</ns0:f>
        <ns0:v>0</ns0:v>
      </ns0:c>
      <ns0:c r="Q815" s="0">
        <ns0:f>IFERROR(--N815,0)</ns0:f>
        <ns0:v>0</ns0:v>
      </ns0:c>
      <ns0:c r="R815" s="0">
        <ns0:f>IFERROR(IF(FIND(".",L815)=5,--O815,--M815),0)</ns0:f>
        <ns0:v>0</ns0:v>
      </ns0:c>
      <ns0:c r="S815" s="0">
        <ns0:f>IFERROR(IF(AND(P815&gt;=2000,P815&lt;=2100,Q815&gt;=1,Q815&lt;=12,R815&gt;=1,R815&lt;=31),DATE(P815,Q815,R815),0),0)</ns0:f>
        <ns0:v>0</ns0:v>
      </ns0:c>
      <ns0:c r="T815" s="0">
        <ns0:f>IFERROR(IF(ISNUMBER(Bookings!D815),IF(AND(Bookings!D815=INT(Bookings!D815),Bookings!D815&gt;=DATE(2000,1,1),Bookings!D815&lt;=DATE(2100,12,31)),Bookings!D815,0),IF(AND(K815&lt;&gt;"",LEN("x"&amp;L815)-LEN(SUBSTITUTE("x"&amp;L815,".",""))=2,OR(1&gt;LEN(L815),MID(L815,1,1)=".",ISNUMBER(FIND("x"&amp;MID(L815,1,1),"x0x1x2x3x4x5x6x7x8x9"))),OR(2&gt;LEN(L815),MID(L815,2,1)=".",ISNUMBER(FIND("x"&amp;MID(L815,2,1),"x0x1x2x3x4x5x6x7x8x9"))),OR(3&gt;LEN(L815),MID(L815,3,1)=".",ISNUMBER(FIND("x"&amp;MID(L815,3,1),"x0x1x2x3x4x5x6x7x8x9"))),OR(4&gt;LEN(L815),MID(L815,4,1)=".",ISNUMBER(FIND("x"&amp;MID(L815,4,1),"x0x1x2x3x4x5x6x7x8x9"))),OR(5&gt;LEN(L815),MID(L815,5,1)=".",ISNUMBER(FIND("x"&amp;MID(L815,5,1),"x0x1x2x3x4x5x6x7x8x9"))),OR(6&gt;LEN(L815),MID(L815,6,1)=".",ISNUMBER(FIND("x"&amp;MID(L815,6,1),"x0x1x2x3x4x5x6x7x8x9"))),OR(7&gt;LEN(L815),MID(L815,7,1)=".",ISNUMBER(FIND("x"&amp;MID(L815,7,1),"x0x1x2x3x4x5x6x7x8x9"))),OR(8&gt;LEN(L815),MID(L815,8,1)=".",ISNUMBER(FIND("x"&amp;MID(L815,8,1),"x0x1x2x3x4x5x6x7x8x9"))),OR(9&gt;LEN(L815),MID(L815,9,1)=".",ISNUMBER(FIND("x"&amp;MID(L815,9,1),"x0x1x2x3x4x5x6x7x8x9"))),OR(10&gt;LEN(L815),MID(L815,10,1)=".",ISNUMBER(FIND("x"&amp;MID(L815,10,1),"x0x1x2x3x4x5x6x7x8x9"))),OR(AND(FIND(".",L815)=5,LEN(L815)-FIND(".",L815,FIND(".",L815)+1)&gt;=1,LEN(L815)-FIND(".",L815,FIND(".",L815)+1)&lt;=2),AND(LEN(L815)-FIND(".",L815,FIND(".",L815)+1)=4,FIND(".",L815)&gt;=2,FIND(".",L815)&lt;=3)),FIND(".",L815,FIND(".",L815)+1)-FIND(".",L815)&gt;=2,FIND(".",L815,FIND(".",L815)+1)-FIND(".",L815)&lt;=3,P815&gt;=2000,P815&lt;=2100,YEAR(S815)=P815,MONTH(S815)=Q815,DAY(S815)=R815),S815,0)),0)</ns0:f>
        <ns0:v>0</ns0:v>
      </ns0:c>
      <ns0:c r="U815" s="0" t="str">
        <ns0:f>IF(Bookings!C815="","Full day",Bookings!C815)</ns0:f>
        <ns0:v>Full day</ns0:v>
      </ns0:c>
      <ns0:c r="V815" s="0" t="str">
        <ns0:f>IF(Bookings!E815="","Full day",Bookings!E815)</ns0:f>
        <ns0:v>Full day</ns0:v>
      </ns0:c>
      <ns0:c r="W815" s="0">
        <ns0:f>IF(J815=0,0,J815+IF(U815="PM",1,0))</ns0:f>
        <ns0:v>0</ns0:v>
      </ns0:c>
      <ns0:c r="X815" s="0">
        <ns0:f>IF(T815=0,0,T815-IF(V815="PM",1,0))</ns0:f>
        <ns0:v>0</ns0:v>
      </ns0:c>
      <ns0:c r="Y815" s="0">
        <ns0:f>IF(J815=0,0,J815+IF(U815="AM",1,0))</ns0:f>
        <ns0:v>0</ns0:v>
      </ns0:c>
      <ns0:c r="Z815" s="0">
        <ns0:f>IF(T815=0,0,T815-IF(V815="AM",1,0))</ns0:f>
        <ns0:v>0</ns0:v>
      </ns0:c>
      <ns0:c r="AA815" s="0">
        <ns0:f>IFERROR(IF(AND(J815&gt;0,'_Engine'!C815&gt;0,MID('_Engine'!W815,WEEKDAY(J815,2),1)="W",COUNTIF(Settings!$F$18:$F$67,J815)=0),1,0),0)</ns0:f>
        <ns0:v>0</ns0:v>
      </ns0:c>
      <ns0:c r="AB815" s="0">
        <ns0:f>IFERROR(IF(AND(T815&gt;0,'_Engine'!C815&gt;0,MID('_Engine'!W815,WEEKDAY(T815,2),1)="W",COUNTIF(Settings!$F$18:$F$67,T815)=0),1,0),0)</ns0:f>
        <ns0:v>0</ns0:v>
      </ns0:c>
      <ns0:c r="AC815" s="0">
        <ns0:f>IF(AND(J815&gt;0,T815&gt;0,W815&lt;=X815),1,0)</ns0:f>
        <ns0:v>0</ns0:v>
      </ns0:c>
      <ns0:c r="AD815" s="0">
        <ns0:f>IF(AND(J815&gt;0,T815&gt;0,Y815&lt;=Z815),1,0)</ns0:f>
        <ns0:v>0</ns0:v>
      </ns0:c>
    </ns0:row>
    <ns0:row r="816">
      <ns0:c r="A816" s="0">
        <ns0:f>IFERROR(IF(ISNUMBER(Bookings!B816),"",TRIM(Bookings!B816&amp;"")),"")</ns0:f>
      </ns0:c>
      <ns0:c r="B816" s="0">
        <ns0:f>IFERROR(SUBSTITUTE(SUBSTITUTE(A816,"/","."),"-","."),"")</ns0:f>
      </ns0:c>
      <ns0:c r="C816" s="0">
        <ns0:f>IFERROR(LEFT(B816,FIND(".",B816)-1),"")</ns0:f>
      </ns0:c>
      <ns0:c r="D816" s="0">
        <ns0:f>IFERROR(MID(B816,FIND(".",B816)+1,FIND(".",B816,FIND(".",B816)+1)-FIND(".",B816)-1),"")</ns0:f>
      </ns0:c>
      <ns0:c r="E816" s="0">
        <ns0:f>IFERROR(MID(B816,FIND(".",B816,FIND(".",B816)+1)+1,99),"")</ns0:f>
        <ns0:v>99</ns0:v>
      </ns0:c>
      <ns0:c r="F816" s="0">
        <ns0:f>IFERROR(IF(FIND(".",B816)=5,--C816,--E816),0)</ns0:f>
        <ns0:v>0</ns0:v>
      </ns0:c>
      <ns0:c r="G816" s="0">
        <ns0:f>IFERROR(--D816,0)</ns0:f>
        <ns0:v>0</ns0:v>
      </ns0:c>
      <ns0:c r="H816" s="0">
        <ns0:f>IFERROR(IF(FIND(".",B816)=5,--E816,--C816),0)</ns0:f>
        <ns0:v>0</ns0:v>
      </ns0:c>
      <ns0:c r="I816" s="0">
        <ns0:f>IFERROR(IF(AND(F816&gt;=2000,F816&lt;=2100,G816&gt;=1,G816&lt;=12,H816&gt;=1,H816&lt;=31),DATE(F816,G816,H816),0),0)</ns0:f>
        <ns0:v>0</ns0:v>
      </ns0:c>
      <ns0:c r="J816" s="0">
        <ns0:f>IFERROR(IF(ISNUMBER(Bookings!B816),IF(AND(Bookings!B816=INT(Bookings!B816),Bookings!B816&gt;=DATE(2000,1,1),Bookings!B816&lt;=DATE(2100,12,31)),Bookings!B816,0),IF(AND(A816&lt;&gt;"",LEN("x"&amp;B816)-LEN(SUBSTITUTE("x"&amp;B816,".",""))=2,OR(1&gt;LEN(B816),MID(B816,1,1)=".",ISNUMBER(FIND("x"&amp;MID(B816,1,1),"x0x1x2x3x4x5x6x7x8x9"))),OR(2&gt;LEN(B816),MID(B816,2,1)=".",ISNUMBER(FIND("x"&amp;MID(B816,2,1),"x0x1x2x3x4x5x6x7x8x9"))),OR(3&gt;LEN(B816),MID(B816,3,1)=".",ISNUMBER(FIND("x"&amp;MID(B816,3,1),"x0x1x2x3x4x5x6x7x8x9"))),OR(4&gt;LEN(B816),MID(B816,4,1)=".",ISNUMBER(FIND("x"&amp;MID(B816,4,1),"x0x1x2x3x4x5x6x7x8x9"))),OR(5&gt;LEN(B816),MID(B816,5,1)=".",ISNUMBER(FIND("x"&amp;MID(B816,5,1),"x0x1x2x3x4x5x6x7x8x9"))),OR(6&gt;LEN(B816),MID(B816,6,1)=".",ISNUMBER(FIND("x"&amp;MID(B816,6,1),"x0x1x2x3x4x5x6x7x8x9"))),OR(7&gt;LEN(B816),MID(B816,7,1)=".",ISNUMBER(FIND("x"&amp;MID(B816,7,1),"x0x1x2x3x4x5x6x7x8x9"))),OR(8&gt;LEN(B816),MID(B816,8,1)=".",ISNUMBER(FIND("x"&amp;MID(B816,8,1),"x0x1x2x3x4x5x6x7x8x9"))),OR(9&gt;LEN(B816),MID(B816,9,1)=".",ISNUMBER(FIND("x"&amp;MID(B816,9,1),"x0x1x2x3x4x5x6x7x8x9"))),OR(10&gt;LEN(B816),MID(B816,10,1)=".",ISNUMBER(FIND("x"&amp;MID(B816,10,1),"x0x1x2x3x4x5x6x7x8x9"))),OR(AND(FIND(".",B816)=5,LEN(B816)-FIND(".",B816,FIND(".",B816)+1)&gt;=1,LEN(B816)-FIND(".",B816,FIND(".",B816)+1)&lt;=2),AND(LEN(B816)-FIND(".",B816,FIND(".",B816)+1)=4,FIND(".",B816)&gt;=2,FIND(".",B816)&lt;=3)),FIND(".",B816,FIND(".",B816)+1)-FIND(".",B816)&gt;=2,FIND(".",B816,FIND(".",B816)+1)-FIND(".",B816)&lt;=3,F816&gt;=2000,F816&lt;=2100,YEAR(I816)=F816,MONTH(I816)=G816,DAY(I816)=H816),I816,0)),0)</ns0:f>
        <ns0:v>0</ns0:v>
      </ns0:c>
      <ns0:c r="K816" s="0">
        <ns0:f>IFERROR(IF(ISNUMBER(Bookings!D816),"",TRIM(Bookings!D816&amp;"")),"")</ns0:f>
      </ns0:c>
      <ns0:c r="L816" s="0">
        <ns0:f>IFERROR(SUBSTITUTE(SUBSTITUTE(K816,"/","."),"-","."),"")</ns0:f>
      </ns0:c>
      <ns0:c r="M816" s="0">
        <ns0:f>IFERROR(LEFT(L816,FIND(".",L816)-1),"")</ns0:f>
      </ns0:c>
      <ns0:c r="N816" s="0">
        <ns0:f>IFERROR(MID(L816,FIND(".",L816)+1,FIND(".",L816,FIND(".",L816)+1)-FIND(".",L816)-1),"")</ns0:f>
      </ns0:c>
      <ns0:c r="O816" s="0">
        <ns0:f>IFERROR(MID(L816,FIND(".",L816,FIND(".",L816)+1)+1,99),"")</ns0:f>
        <ns0:v>99</ns0:v>
      </ns0:c>
      <ns0:c r="P816" s="0">
        <ns0:f>IFERROR(IF(FIND(".",L816)=5,--M816,--O816),0)</ns0:f>
        <ns0:v>0</ns0:v>
      </ns0:c>
      <ns0:c r="Q816" s="0">
        <ns0:f>IFERROR(--N816,0)</ns0:f>
        <ns0:v>0</ns0:v>
      </ns0:c>
      <ns0:c r="R816" s="0">
        <ns0:f>IFERROR(IF(FIND(".",L816)=5,--O816,--M816),0)</ns0:f>
        <ns0:v>0</ns0:v>
      </ns0:c>
      <ns0:c r="S816" s="0">
        <ns0:f>IFERROR(IF(AND(P816&gt;=2000,P816&lt;=2100,Q816&gt;=1,Q816&lt;=12,R816&gt;=1,R816&lt;=31),DATE(P816,Q816,R816),0),0)</ns0:f>
        <ns0:v>0</ns0:v>
      </ns0:c>
      <ns0:c r="T816" s="0">
        <ns0:f>IFERROR(IF(ISNUMBER(Bookings!D816),IF(AND(Bookings!D816=INT(Bookings!D816),Bookings!D816&gt;=DATE(2000,1,1),Bookings!D816&lt;=DATE(2100,12,31)),Bookings!D816,0),IF(AND(K816&lt;&gt;"",LEN("x"&amp;L816)-LEN(SUBSTITUTE("x"&amp;L816,".",""))=2,OR(1&gt;LEN(L816),MID(L816,1,1)=".",ISNUMBER(FIND("x"&amp;MID(L816,1,1),"x0x1x2x3x4x5x6x7x8x9"))),OR(2&gt;LEN(L816),MID(L816,2,1)=".",ISNUMBER(FIND("x"&amp;MID(L816,2,1),"x0x1x2x3x4x5x6x7x8x9"))),OR(3&gt;LEN(L816),MID(L816,3,1)=".",ISNUMBER(FIND("x"&amp;MID(L816,3,1),"x0x1x2x3x4x5x6x7x8x9"))),OR(4&gt;LEN(L816),MID(L816,4,1)=".",ISNUMBER(FIND("x"&amp;MID(L816,4,1),"x0x1x2x3x4x5x6x7x8x9"))),OR(5&gt;LEN(L816),MID(L816,5,1)=".",ISNUMBER(FIND("x"&amp;MID(L816,5,1),"x0x1x2x3x4x5x6x7x8x9"))),OR(6&gt;LEN(L816),MID(L816,6,1)=".",ISNUMBER(FIND("x"&amp;MID(L816,6,1),"x0x1x2x3x4x5x6x7x8x9"))),OR(7&gt;LEN(L816),MID(L816,7,1)=".",ISNUMBER(FIND("x"&amp;MID(L816,7,1),"x0x1x2x3x4x5x6x7x8x9"))),OR(8&gt;LEN(L816),MID(L816,8,1)=".",ISNUMBER(FIND("x"&amp;MID(L816,8,1),"x0x1x2x3x4x5x6x7x8x9"))),OR(9&gt;LEN(L816),MID(L816,9,1)=".",ISNUMBER(FIND("x"&amp;MID(L816,9,1),"x0x1x2x3x4x5x6x7x8x9"))),OR(10&gt;LEN(L816),MID(L816,10,1)=".",ISNUMBER(FIND("x"&amp;MID(L816,10,1),"x0x1x2x3x4x5x6x7x8x9"))),OR(AND(FIND(".",L816)=5,LEN(L816)-FIND(".",L816,FIND(".",L816)+1)&gt;=1,LEN(L816)-FIND(".",L816,FIND(".",L816)+1)&lt;=2),AND(LEN(L816)-FIND(".",L816,FIND(".",L816)+1)=4,FIND(".",L816)&gt;=2,FIND(".",L816)&lt;=3)),FIND(".",L816,FIND(".",L816)+1)-FIND(".",L816)&gt;=2,FIND(".",L816,FIND(".",L816)+1)-FIND(".",L816)&lt;=3,P816&gt;=2000,P816&lt;=2100,YEAR(S816)=P816,MONTH(S816)=Q816,DAY(S816)=R816),S816,0)),0)</ns0:f>
        <ns0:v>0</ns0:v>
      </ns0:c>
      <ns0:c r="U816" s="0" t="str">
        <ns0:f>IF(Bookings!C816="","Full day",Bookings!C816)</ns0:f>
        <ns0:v>Full day</ns0:v>
      </ns0:c>
      <ns0:c r="V816" s="0" t="str">
        <ns0:f>IF(Bookings!E816="","Full day",Bookings!E816)</ns0:f>
        <ns0:v>Full day</ns0:v>
      </ns0:c>
      <ns0:c r="W816" s="0">
        <ns0:f>IF(J816=0,0,J816+IF(U816="PM",1,0))</ns0:f>
        <ns0:v>0</ns0:v>
      </ns0:c>
      <ns0:c r="X816" s="0">
        <ns0:f>IF(T816=0,0,T816-IF(V816="PM",1,0))</ns0:f>
        <ns0:v>0</ns0:v>
      </ns0:c>
      <ns0:c r="Y816" s="0">
        <ns0:f>IF(J816=0,0,J816+IF(U816="AM",1,0))</ns0:f>
        <ns0:v>0</ns0:v>
      </ns0:c>
      <ns0:c r="Z816" s="0">
        <ns0:f>IF(T816=0,0,T816-IF(V816="AM",1,0))</ns0:f>
        <ns0:v>0</ns0:v>
      </ns0:c>
      <ns0:c r="AA816" s="0">
        <ns0:f>IFERROR(IF(AND(J816&gt;0,'_Engine'!C816&gt;0,MID('_Engine'!W816,WEEKDAY(J816,2),1)="W",COUNTIF(Settings!$F$18:$F$67,J816)=0),1,0),0)</ns0:f>
        <ns0:v>0</ns0:v>
      </ns0:c>
      <ns0:c r="AB816" s="0">
        <ns0:f>IFERROR(IF(AND(T816&gt;0,'_Engine'!C816&gt;0,MID('_Engine'!W816,WEEKDAY(T816,2),1)="W",COUNTIF(Settings!$F$18:$F$67,T816)=0),1,0),0)</ns0:f>
        <ns0:v>0</ns0:v>
      </ns0:c>
      <ns0:c r="AC816" s="0">
        <ns0:f>IF(AND(J816&gt;0,T816&gt;0,W816&lt;=X816),1,0)</ns0:f>
        <ns0:v>0</ns0:v>
      </ns0:c>
      <ns0:c r="AD816" s="0">
        <ns0:f>IF(AND(J816&gt;0,T816&gt;0,Y816&lt;=Z816),1,0)</ns0:f>
        <ns0:v>0</ns0:v>
      </ns0:c>
    </ns0:row>
    <ns0:row r="817">
      <ns0:c r="A817" s="0">
        <ns0:f>IFERROR(IF(ISNUMBER(Bookings!B817),"",TRIM(Bookings!B817&amp;"")),"")</ns0:f>
      </ns0:c>
      <ns0:c r="B817" s="0">
        <ns0:f>IFERROR(SUBSTITUTE(SUBSTITUTE(A817,"/","."),"-","."),"")</ns0:f>
      </ns0:c>
      <ns0:c r="C817" s="0">
        <ns0:f>IFERROR(LEFT(B817,FIND(".",B817)-1),"")</ns0:f>
      </ns0:c>
      <ns0:c r="D817" s="0">
        <ns0:f>IFERROR(MID(B817,FIND(".",B817)+1,FIND(".",B817,FIND(".",B817)+1)-FIND(".",B817)-1),"")</ns0:f>
      </ns0:c>
      <ns0:c r="E817" s="0">
        <ns0:f>IFERROR(MID(B817,FIND(".",B817,FIND(".",B817)+1)+1,99),"")</ns0:f>
        <ns0:v>99</ns0:v>
      </ns0:c>
      <ns0:c r="F817" s="0">
        <ns0:f>IFERROR(IF(FIND(".",B817)=5,--C817,--E817),0)</ns0:f>
        <ns0:v>0</ns0:v>
      </ns0:c>
      <ns0:c r="G817" s="0">
        <ns0:f>IFERROR(--D817,0)</ns0:f>
        <ns0:v>0</ns0:v>
      </ns0:c>
      <ns0:c r="H817" s="0">
        <ns0:f>IFERROR(IF(FIND(".",B817)=5,--E817,--C817),0)</ns0:f>
        <ns0:v>0</ns0:v>
      </ns0:c>
      <ns0:c r="I817" s="0">
        <ns0:f>IFERROR(IF(AND(F817&gt;=2000,F817&lt;=2100,G817&gt;=1,G817&lt;=12,H817&gt;=1,H817&lt;=31),DATE(F817,G817,H817),0),0)</ns0:f>
        <ns0:v>0</ns0:v>
      </ns0:c>
      <ns0:c r="J817" s="0">
        <ns0:f>IFERROR(IF(ISNUMBER(Bookings!B817),IF(AND(Bookings!B817=INT(Bookings!B817),Bookings!B817&gt;=DATE(2000,1,1),Bookings!B817&lt;=DATE(2100,12,31)),Bookings!B817,0),IF(AND(A817&lt;&gt;"",LEN("x"&amp;B817)-LEN(SUBSTITUTE("x"&amp;B817,".",""))=2,OR(1&gt;LEN(B817),MID(B817,1,1)=".",ISNUMBER(FIND("x"&amp;MID(B817,1,1),"x0x1x2x3x4x5x6x7x8x9"))),OR(2&gt;LEN(B817),MID(B817,2,1)=".",ISNUMBER(FIND("x"&amp;MID(B817,2,1),"x0x1x2x3x4x5x6x7x8x9"))),OR(3&gt;LEN(B817),MID(B817,3,1)=".",ISNUMBER(FIND("x"&amp;MID(B817,3,1),"x0x1x2x3x4x5x6x7x8x9"))),OR(4&gt;LEN(B817),MID(B817,4,1)=".",ISNUMBER(FIND("x"&amp;MID(B817,4,1),"x0x1x2x3x4x5x6x7x8x9"))),OR(5&gt;LEN(B817),MID(B817,5,1)=".",ISNUMBER(FIND("x"&amp;MID(B817,5,1),"x0x1x2x3x4x5x6x7x8x9"))),OR(6&gt;LEN(B817),MID(B817,6,1)=".",ISNUMBER(FIND("x"&amp;MID(B817,6,1),"x0x1x2x3x4x5x6x7x8x9"))),OR(7&gt;LEN(B817),MID(B817,7,1)=".",ISNUMBER(FIND("x"&amp;MID(B817,7,1),"x0x1x2x3x4x5x6x7x8x9"))),OR(8&gt;LEN(B817),MID(B817,8,1)=".",ISNUMBER(FIND("x"&amp;MID(B817,8,1),"x0x1x2x3x4x5x6x7x8x9"))),OR(9&gt;LEN(B817),MID(B817,9,1)=".",ISNUMBER(FIND("x"&amp;MID(B817,9,1),"x0x1x2x3x4x5x6x7x8x9"))),OR(10&gt;LEN(B817),MID(B817,10,1)=".",ISNUMBER(FIND("x"&amp;MID(B817,10,1),"x0x1x2x3x4x5x6x7x8x9"))),OR(AND(FIND(".",B817)=5,LEN(B817)-FIND(".",B817,FIND(".",B817)+1)&gt;=1,LEN(B817)-FIND(".",B817,FIND(".",B817)+1)&lt;=2),AND(LEN(B817)-FIND(".",B817,FIND(".",B817)+1)=4,FIND(".",B817)&gt;=2,FIND(".",B817)&lt;=3)),FIND(".",B817,FIND(".",B817)+1)-FIND(".",B817)&gt;=2,FIND(".",B817,FIND(".",B817)+1)-FIND(".",B817)&lt;=3,F817&gt;=2000,F817&lt;=2100,YEAR(I817)=F817,MONTH(I817)=G817,DAY(I817)=H817),I817,0)),0)</ns0:f>
        <ns0:v>0</ns0:v>
      </ns0:c>
      <ns0:c r="K817" s="0">
        <ns0:f>IFERROR(IF(ISNUMBER(Bookings!D817),"",TRIM(Bookings!D817&amp;"")),"")</ns0:f>
      </ns0:c>
      <ns0:c r="L817" s="0">
        <ns0:f>IFERROR(SUBSTITUTE(SUBSTITUTE(K817,"/","."),"-","."),"")</ns0:f>
      </ns0:c>
      <ns0:c r="M817" s="0">
        <ns0:f>IFERROR(LEFT(L817,FIND(".",L817)-1),"")</ns0:f>
      </ns0:c>
      <ns0:c r="N817" s="0">
        <ns0:f>IFERROR(MID(L817,FIND(".",L817)+1,FIND(".",L817,FIND(".",L817)+1)-FIND(".",L817)-1),"")</ns0:f>
      </ns0:c>
      <ns0:c r="O817" s="0">
        <ns0:f>IFERROR(MID(L817,FIND(".",L817,FIND(".",L817)+1)+1,99),"")</ns0:f>
        <ns0:v>99</ns0:v>
      </ns0:c>
      <ns0:c r="P817" s="0">
        <ns0:f>IFERROR(IF(FIND(".",L817)=5,--M817,--O817),0)</ns0:f>
        <ns0:v>0</ns0:v>
      </ns0:c>
      <ns0:c r="Q817" s="0">
        <ns0:f>IFERROR(--N817,0)</ns0:f>
        <ns0:v>0</ns0:v>
      </ns0:c>
      <ns0:c r="R817" s="0">
        <ns0:f>IFERROR(IF(FIND(".",L817)=5,--O817,--M817),0)</ns0:f>
        <ns0:v>0</ns0:v>
      </ns0:c>
      <ns0:c r="S817" s="0">
        <ns0:f>IFERROR(IF(AND(P817&gt;=2000,P817&lt;=2100,Q817&gt;=1,Q817&lt;=12,R817&gt;=1,R817&lt;=31),DATE(P817,Q817,R817),0),0)</ns0:f>
        <ns0:v>0</ns0:v>
      </ns0:c>
      <ns0:c r="T817" s="0">
        <ns0:f>IFERROR(IF(ISNUMBER(Bookings!D817),IF(AND(Bookings!D817=INT(Bookings!D817),Bookings!D817&gt;=DATE(2000,1,1),Bookings!D817&lt;=DATE(2100,12,31)),Bookings!D817,0),IF(AND(K817&lt;&gt;"",LEN("x"&amp;L817)-LEN(SUBSTITUTE("x"&amp;L817,".",""))=2,OR(1&gt;LEN(L817),MID(L817,1,1)=".",ISNUMBER(FIND("x"&amp;MID(L817,1,1),"x0x1x2x3x4x5x6x7x8x9"))),OR(2&gt;LEN(L817),MID(L817,2,1)=".",ISNUMBER(FIND("x"&amp;MID(L817,2,1),"x0x1x2x3x4x5x6x7x8x9"))),OR(3&gt;LEN(L817),MID(L817,3,1)=".",ISNUMBER(FIND("x"&amp;MID(L817,3,1),"x0x1x2x3x4x5x6x7x8x9"))),OR(4&gt;LEN(L817),MID(L817,4,1)=".",ISNUMBER(FIND("x"&amp;MID(L817,4,1),"x0x1x2x3x4x5x6x7x8x9"))),OR(5&gt;LEN(L817),MID(L817,5,1)=".",ISNUMBER(FIND("x"&amp;MID(L817,5,1),"x0x1x2x3x4x5x6x7x8x9"))),OR(6&gt;LEN(L817),MID(L817,6,1)=".",ISNUMBER(FIND("x"&amp;MID(L817,6,1),"x0x1x2x3x4x5x6x7x8x9"))),OR(7&gt;LEN(L817),MID(L817,7,1)=".",ISNUMBER(FIND("x"&amp;MID(L817,7,1),"x0x1x2x3x4x5x6x7x8x9"))),OR(8&gt;LEN(L817),MID(L817,8,1)=".",ISNUMBER(FIND("x"&amp;MID(L817,8,1),"x0x1x2x3x4x5x6x7x8x9"))),OR(9&gt;LEN(L817),MID(L817,9,1)=".",ISNUMBER(FIND("x"&amp;MID(L817,9,1),"x0x1x2x3x4x5x6x7x8x9"))),OR(10&gt;LEN(L817),MID(L817,10,1)=".",ISNUMBER(FIND("x"&amp;MID(L817,10,1),"x0x1x2x3x4x5x6x7x8x9"))),OR(AND(FIND(".",L817)=5,LEN(L817)-FIND(".",L817,FIND(".",L817)+1)&gt;=1,LEN(L817)-FIND(".",L817,FIND(".",L817)+1)&lt;=2),AND(LEN(L817)-FIND(".",L817,FIND(".",L817)+1)=4,FIND(".",L817)&gt;=2,FIND(".",L817)&lt;=3)),FIND(".",L817,FIND(".",L817)+1)-FIND(".",L817)&gt;=2,FIND(".",L817,FIND(".",L817)+1)-FIND(".",L817)&lt;=3,P817&gt;=2000,P817&lt;=2100,YEAR(S817)=P817,MONTH(S817)=Q817,DAY(S817)=R817),S817,0)),0)</ns0:f>
        <ns0:v>0</ns0:v>
      </ns0:c>
      <ns0:c r="U817" s="0" t="str">
        <ns0:f>IF(Bookings!C817="","Full day",Bookings!C817)</ns0:f>
        <ns0:v>Full day</ns0:v>
      </ns0:c>
      <ns0:c r="V817" s="0" t="str">
        <ns0:f>IF(Bookings!E817="","Full day",Bookings!E817)</ns0:f>
        <ns0:v>Full day</ns0:v>
      </ns0:c>
      <ns0:c r="W817" s="0">
        <ns0:f>IF(J817=0,0,J817+IF(U817="PM",1,0))</ns0:f>
        <ns0:v>0</ns0:v>
      </ns0:c>
      <ns0:c r="X817" s="0">
        <ns0:f>IF(T817=0,0,T817-IF(V817="PM",1,0))</ns0:f>
        <ns0:v>0</ns0:v>
      </ns0:c>
      <ns0:c r="Y817" s="0">
        <ns0:f>IF(J817=0,0,J817+IF(U817="AM",1,0))</ns0:f>
        <ns0:v>0</ns0:v>
      </ns0:c>
      <ns0:c r="Z817" s="0">
        <ns0:f>IF(T817=0,0,T817-IF(V817="AM",1,0))</ns0:f>
        <ns0:v>0</ns0:v>
      </ns0:c>
      <ns0:c r="AA817" s="0">
        <ns0:f>IFERROR(IF(AND(J817&gt;0,'_Engine'!C817&gt;0,MID('_Engine'!W817,WEEKDAY(J817,2),1)="W",COUNTIF(Settings!$F$18:$F$67,J817)=0),1,0),0)</ns0:f>
        <ns0:v>0</ns0:v>
      </ns0:c>
      <ns0:c r="AB817" s="0">
        <ns0:f>IFERROR(IF(AND(T817&gt;0,'_Engine'!C817&gt;0,MID('_Engine'!W817,WEEKDAY(T817,2),1)="W",COUNTIF(Settings!$F$18:$F$67,T817)=0),1,0),0)</ns0:f>
        <ns0:v>0</ns0:v>
      </ns0:c>
      <ns0:c r="AC817" s="0">
        <ns0:f>IF(AND(J817&gt;0,T817&gt;0,W817&lt;=X817),1,0)</ns0:f>
        <ns0:v>0</ns0:v>
      </ns0:c>
      <ns0:c r="AD817" s="0">
        <ns0:f>IF(AND(J817&gt;0,T817&gt;0,Y817&lt;=Z817),1,0)</ns0:f>
        <ns0:v>0</ns0:v>
      </ns0:c>
    </ns0:row>
    <ns0:row r="818">
      <ns0:c r="A818" s="0">
        <ns0:f>IFERROR(IF(ISNUMBER(Bookings!B818),"",TRIM(Bookings!B818&amp;"")),"")</ns0:f>
      </ns0:c>
      <ns0:c r="B818" s="0">
        <ns0:f>IFERROR(SUBSTITUTE(SUBSTITUTE(A818,"/","."),"-","."),"")</ns0:f>
      </ns0:c>
      <ns0:c r="C818" s="0">
        <ns0:f>IFERROR(LEFT(B818,FIND(".",B818)-1),"")</ns0:f>
      </ns0:c>
      <ns0:c r="D818" s="0">
        <ns0:f>IFERROR(MID(B818,FIND(".",B818)+1,FIND(".",B818,FIND(".",B818)+1)-FIND(".",B818)-1),"")</ns0:f>
      </ns0:c>
      <ns0:c r="E818" s="0">
        <ns0:f>IFERROR(MID(B818,FIND(".",B818,FIND(".",B818)+1)+1,99),"")</ns0:f>
        <ns0:v>99</ns0:v>
      </ns0:c>
      <ns0:c r="F818" s="0">
        <ns0:f>IFERROR(IF(FIND(".",B818)=5,--C818,--E818),0)</ns0:f>
        <ns0:v>0</ns0:v>
      </ns0:c>
      <ns0:c r="G818" s="0">
        <ns0:f>IFERROR(--D818,0)</ns0:f>
        <ns0:v>0</ns0:v>
      </ns0:c>
      <ns0:c r="H818" s="0">
        <ns0:f>IFERROR(IF(FIND(".",B818)=5,--E818,--C818),0)</ns0:f>
        <ns0:v>0</ns0:v>
      </ns0:c>
      <ns0:c r="I818" s="0">
        <ns0:f>IFERROR(IF(AND(F818&gt;=2000,F818&lt;=2100,G818&gt;=1,G818&lt;=12,H818&gt;=1,H818&lt;=31),DATE(F818,G818,H818),0),0)</ns0:f>
        <ns0:v>0</ns0:v>
      </ns0:c>
      <ns0:c r="J818" s="0">
        <ns0:f>IFERROR(IF(ISNUMBER(Bookings!B818),IF(AND(Bookings!B818=INT(Bookings!B818),Bookings!B818&gt;=DATE(2000,1,1),Bookings!B818&lt;=DATE(2100,12,31)),Bookings!B818,0),IF(AND(A818&lt;&gt;"",LEN("x"&amp;B818)-LEN(SUBSTITUTE("x"&amp;B818,".",""))=2,OR(1&gt;LEN(B818),MID(B818,1,1)=".",ISNUMBER(FIND("x"&amp;MID(B818,1,1),"x0x1x2x3x4x5x6x7x8x9"))),OR(2&gt;LEN(B818),MID(B818,2,1)=".",ISNUMBER(FIND("x"&amp;MID(B818,2,1),"x0x1x2x3x4x5x6x7x8x9"))),OR(3&gt;LEN(B818),MID(B818,3,1)=".",ISNUMBER(FIND("x"&amp;MID(B818,3,1),"x0x1x2x3x4x5x6x7x8x9"))),OR(4&gt;LEN(B818),MID(B818,4,1)=".",ISNUMBER(FIND("x"&amp;MID(B818,4,1),"x0x1x2x3x4x5x6x7x8x9"))),OR(5&gt;LEN(B818),MID(B818,5,1)=".",ISNUMBER(FIND("x"&amp;MID(B818,5,1),"x0x1x2x3x4x5x6x7x8x9"))),OR(6&gt;LEN(B818),MID(B818,6,1)=".",ISNUMBER(FIND("x"&amp;MID(B818,6,1),"x0x1x2x3x4x5x6x7x8x9"))),OR(7&gt;LEN(B818),MID(B818,7,1)=".",ISNUMBER(FIND("x"&amp;MID(B818,7,1),"x0x1x2x3x4x5x6x7x8x9"))),OR(8&gt;LEN(B818),MID(B818,8,1)=".",ISNUMBER(FIND("x"&amp;MID(B818,8,1),"x0x1x2x3x4x5x6x7x8x9"))),OR(9&gt;LEN(B818),MID(B818,9,1)=".",ISNUMBER(FIND("x"&amp;MID(B818,9,1),"x0x1x2x3x4x5x6x7x8x9"))),OR(10&gt;LEN(B818),MID(B818,10,1)=".",ISNUMBER(FIND("x"&amp;MID(B818,10,1),"x0x1x2x3x4x5x6x7x8x9"))),OR(AND(FIND(".",B818)=5,LEN(B818)-FIND(".",B818,FIND(".",B818)+1)&gt;=1,LEN(B818)-FIND(".",B818,FIND(".",B818)+1)&lt;=2),AND(LEN(B818)-FIND(".",B818,FIND(".",B818)+1)=4,FIND(".",B818)&gt;=2,FIND(".",B818)&lt;=3)),FIND(".",B818,FIND(".",B818)+1)-FIND(".",B818)&gt;=2,FIND(".",B818,FIND(".",B818)+1)-FIND(".",B818)&lt;=3,F818&gt;=2000,F818&lt;=2100,YEAR(I818)=F818,MONTH(I818)=G818,DAY(I818)=H818),I818,0)),0)</ns0:f>
        <ns0:v>0</ns0:v>
      </ns0:c>
      <ns0:c r="K818" s="0">
        <ns0:f>IFERROR(IF(ISNUMBER(Bookings!D818),"",TRIM(Bookings!D818&amp;"")),"")</ns0:f>
      </ns0:c>
      <ns0:c r="L818" s="0">
        <ns0:f>IFERROR(SUBSTITUTE(SUBSTITUTE(K818,"/","."),"-","."),"")</ns0:f>
      </ns0:c>
      <ns0:c r="M818" s="0">
        <ns0:f>IFERROR(LEFT(L818,FIND(".",L818)-1),"")</ns0:f>
      </ns0:c>
      <ns0:c r="N818" s="0">
        <ns0:f>IFERROR(MID(L818,FIND(".",L818)+1,FIND(".",L818,FIND(".",L818)+1)-FIND(".",L818)-1),"")</ns0:f>
      </ns0:c>
      <ns0:c r="O818" s="0">
        <ns0:f>IFERROR(MID(L818,FIND(".",L818,FIND(".",L818)+1)+1,99),"")</ns0:f>
        <ns0:v>99</ns0:v>
      </ns0:c>
      <ns0:c r="P818" s="0">
        <ns0:f>IFERROR(IF(FIND(".",L818)=5,--M818,--O818),0)</ns0:f>
        <ns0:v>0</ns0:v>
      </ns0:c>
      <ns0:c r="Q818" s="0">
        <ns0:f>IFERROR(--N818,0)</ns0:f>
        <ns0:v>0</ns0:v>
      </ns0:c>
      <ns0:c r="R818" s="0">
        <ns0:f>IFERROR(IF(FIND(".",L818)=5,--O818,--M818),0)</ns0:f>
        <ns0:v>0</ns0:v>
      </ns0:c>
      <ns0:c r="S818" s="0">
        <ns0:f>IFERROR(IF(AND(P818&gt;=2000,P818&lt;=2100,Q818&gt;=1,Q818&lt;=12,R818&gt;=1,R818&lt;=31),DATE(P818,Q818,R818),0),0)</ns0:f>
        <ns0:v>0</ns0:v>
      </ns0:c>
      <ns0:c r="T818" s="0">
        <ns0:f>IFERROR(IF(ISNUMBER(Bookings!D818),IF(AND(Bookings!D818=INT(Bookings!D818),Bookings!D818&gt;=DATE(2000,1,1),Bookings!D818&lt;=DATE(2100,12,31)),Bookings!D818,0),IF(AND(K818&lt;&gt;"",LEN("x"&amp;L818)-LEN(SUBSTITUTE("x"&amp;L818,".",""))=2,OR(1&gt;LEN(L818),MID(L818,1,1)=".",ISNUMBER(FIND("x"&amp;MID(L818,1,1),"x0x1x2x3x4x5x6x7x8x9"))),OR(2&gt;LEN(L818),MID(L818,2,1)=".",ISNUMBER(FIND("x"&amp;MID(L818,2,1),"x0x1x2x3x4x5x6x7x8x9"))),OR(3&gt;LEN(L818),MID(L818,3,1)=".",ISNUMBER(FIND("x"&amp;MID(L818,3,1),"x0x1x2x3x4x5x6x7x8x9"))),OR(4&gt;LEN(L818),MID(L818,4,1)=".",ISNUMBER(FIND("x"&amp;MID(L818,4,1),"x0x1x2x3x4x5x6x7x8x9"))),OR(5&gt;LEN(L818),MID(L818,5,1)=".",ISNUMBER(FIND("x"&amp;MID(L818,5,1),"x0x1x2x3x4x5x6x7x8x9"))),OR(6&gt;LEN(L818),MID(L818,6,1)=".",ISNUMBER(FIND("x"&amp;MID(L818,6,1),"x0x1x2x3x4x5x6x7x8x9"))),OR(7&gt;LEN(L818),MID(L818,7,1)=".",ISNUMBER(FIND("x"&amp;MID(L818,7,1),"x0x1x2x3x4x5x6x7x8x9"))),OR(8&gt;LEN(L818),MID(L818,8,1)=".",ISNUMBER(FIND("x"&amp;MID(L818,8,1),"x0x1x2x3x4x5x6x7x8x9"))),OR(9&gt;LEN(L818),MID(L818,9,1)=".",ISNUMBER(FIND("x"&amp;MID(L818,9,1),"x0x1x2x3x4x5x6x7x8x9"))),OR(10&gt;LEN(L818),MID(L818,10,1)=".",ISNUMBER(FIND("x"&amp;MID(L818,10,1),"x0x1x2x3x4x5x6x7x8x9"))),OR(AND(FIND(".",L818)=5,LEN(L818)-FIND(".",L818,FIND(".",L818)+1)&gt;=1,LEN(L818)-FIND(".",L818,FIND(".",L818)+1)&lt;=2),AND(LEN(L818)-FIND(".",L818,FIND(".",L818)+1)=4,FIND(".",L818)&gt;=2,FIND(".",L818)&lt;=3)),FIND(".",L818,FIND(".",L818)+1)-FIND(".",L818)&gt;=2,FIND(".",L818,FIND(".",L818)+1)-FIND(".",L818)&lt;=3,P818&gt;=2000,P818&lt;=2100,YEAR(S818)=P818,MONTH(S818)=Q818,DAY(S818)=R818),S818,0)),0)</ns0:f>
        <ns0:v>0</ns0:v>
      </ns0:c>
      <ns0:c r="U818" s="0" t="str">
        <ns0:f>IF(Bookings!C818="","Full day",Bookings!C818)</ns0:f>
        <ns0:v>Full day</ns0:v>
      </ns0:c>
      <ns0:c r="V818" s="0" t="str">
        <ns0:f>IF(Bookings!E818="","Full day",Bookings!E818)</ns0:f>
        <ns0:v>Full day</ns0:v>
      </ns0:c>
      <ns0:c r="W818" s="0">
        <ns0:f>IF(J818=0,0,J818+IF(U818="PM",1,0))</ns0:f>
        <ns0:v>0</ns0:v>
      </ns0:c>
      <ns0:c r="X818" s="0">
        <ns0:f>IF(T818=0,0,T818-IF(V818="PM",1,0))</ns0:f>
        <ns0:v>0</ns0:v>
      </ns0:c>
      <ns0:c r="Y818" s="0">
        <ns0:f>IF(J818=0,0,J818+IF(U818="AM",1,0))</ns0:f>
        <ns0:v>0</ns0:v>
      </ns0:c>
      <ns0:c r="Z818" s="0">
        <ns0:f>IF(T818=0,0,T818-IF(V818="AM",1,0))</ns0:f>
        <ns0:v>0</ns0:v>
      </ns0:c>
      <ns0:c r="AA818" s="0">
        <ns0:f>IFERROR(IF(AND(J818&gt;0,'_Engine'!C818&gt;0,MID('_Engine'!W818,WEEKDAY(J818,2),1)="W",COUNTIF(Settings!$F$18:$F$67,J818)=0),1,0),0)</ns0:f>
        <ns0:v>0</ns0:v>
      </ns0:c>
      <ns0:c r="AB818" s="0">
        <ns0:f>IFERROR(IF(AND(T818&gt;0,'_Engine'!C818&gt;0,MID('_Engine'!W818,WEEKDAY(T818,2),1)="W",COUNTIF(Settings!$F$18:$F$67,T818)=0),1,0),0)</ns0:f>
        <ns0:v>0</ns0:v>
      </ns0:c>
      <ns0:c r="AC818" s="0">
        <ns0:f>IF(AND(J818&gt;0,T818&gt;0,W818&lt;=X818),1,0)</ns0:f>
        <ns0:v>0</ns0:v>
      </ns0:c>
      <ns0:c r="AD818" s="0">
        <ns0:f>IF(AND(J818&gt;0,T818&gt;0,Y818&lt;=Z818),1,0)</ns0:f>
        <ns0:v>0</ns0:v>
      </ns0:c>
    </ns0:row>
    <ns0:row r="819">
      <ns0:c r="A819" s="0">
        <ns0:f>IFERROR(IF(ISNUMBER(Bookings!B819),"",TRIM(Bookings!B819&amp;"")),"")</ns0:f>
      </ns0:c>
      <ns0:c r="B819" s="0">
        <ns0:f>IFERROR(SUBSTITUTE(SUBSTITUTE(A819,"/","."),"-","."),"")</ns0:f>
      </ns0:c>
      <ns0:c r="C819" s="0">
        <ns0:f>IFERROR(LEFT(B819,FIND(".",B819)-1),"")</ns0:f>
      </ns0:c>
      <ns0:c r="D819" s="0">
        <ns0:f>IFERROR(MID(B819,FIND(".",B819)+1,FIND(".",B819,FIND(".",B819)+1)-FIND(".",B819)-1),"")</ns0:f>
      </ns0:c>
      <ns0:c r="E819" s="0">
        <ns0:f>IFERROR(MID(B819,FIND(".",B819,FIND(".",B819)+1)+1,99),"")</ns0:f>
        <ns0:v>99</ns0:v>
      </ns0:c>
      <ns0:c r="F819" s="0">
        <ns0:f>IFERROR(IF(FIND(".",B819)=5,--C819,--E819),0)</ns0:f>
        <ns0:v>0</ns0:v>
      </ns0:c>
      <ns0:c r="G819" s="0">
        <ns0:f>IFERROR(--D819,0)</ns0:f>
        <ns0:v>0</ns0:v>
      </ns0:c>
      <ns0:c r="H819" s="0">
        <ns0:f>IFERROR(IF(FIND(".",B819)=5,--E819,--C819),0)</ns0:f>
        <ns0:v>0</ns0:v>
      </ns0:c>
      <ns0:c r="I819" s="0">
        <ns0:f>IFERROR(IF(AND(F819&gt;=2000,F819&lt;=2100,G819&gt;=1,G819&lt;=12,H819&gt;=1,H819&lt;=31),DATE(F819,G819,H819),0),0)</ns0:f>
        <ns0:v>0</ns0:v>
      </ns0:c>
      <ns0:c r="J819" s="0">
        <ns0:f>IFERROR(IF(ISNUMBER(Bookings!B819),IF(AND(Bookings!B819=INT(Bookings!B819),Bookings!B819&gt;=DATE(2000,1,1),Bookings!B819&lt;=DATE(2100,12,31)),Bookings!B819,0),IF(AND(A819&lt;&gt;"",LEN("x"&amp;B819)-LEN(SUBSTITUTE("x"&amp;B819,".",""))=2,OR(1&gt;LEN(B819),MID(B819,1,1)=".",ISNUMBER(FIND("x"&amp;MID(B819,1,1),"x0x1x2x3x4x5x6x7x8x9"))),OR(2&gt;LEN(B819),MID(B819,2,1)=".",ISNUMBER(FIND("x"&amp;MID(B819,2,1),"x0x1x2x3x4x5x6x7x8x9"))),OR(3&gt;LEN(B819),MID(B819,3,1)=".",ISNUMBER(FIND("x"&amp;MID(B819,3,1),"x0x1x2x3x4x5x6x7x8x9"))),OR(4&gt;LEN(B819),MID(B819,4,1)=".",ISNUMBER(FIND("x"&amp;MID(B819,4,1),"x0x1x2x3x4x5x6x7x8x9"))),OR(5&gt;LEN(B819),MID(B819,5,1)=".",ISNUMBER(FIND("x"&amp;MID(B819,5,1),"x0x1x2x3x4x5x6x7x8x9"))),OR(6&gt;LEN(B819),MID(B819,6,1)=".",ISNUMBER(FIND("x"&amp;MID(B819,6,1),"x0x1x2x3x4x5x6x7x8x9"))),OR(7&gt;LEN(B819),MID(B819,7,1)=".",ISNUMBER(FIND("x"&amp;MID(B819,7,1),"x0x1x2x3x4x5x6x7x8x9"))),OR(8&gt;LEN(B819),MID(B819,8,1)=".",ISNUMBER(FIND("x"&amp;MID(B819,8,1),"x0x1x2x3x4x5x6x7x8x9"))),OR(9&gt;LEN(B819),MID(B819,9,1)=".",ISNUMBER(FIND("x"&amp;MID(B819,9,1),"x0x1x2x3x4x5x6x7x8x9"))),OR(10&gt;LEN(B819),MID(B819,10,1)=".",ISNUMBER(FIND("x"&amp;MID(B819,10,1),"x0x1x2x3x4x5x6x7x8x9"))),OR(AND(FIND(".",B819)=5,LEN(B819)-FIND(".",B819,FIND(".",B819)+1)&gt;=1,LEN(B819)-FIND(".",B819,FIND(".",B819)+1)&lt;=2),AND(LEN(B819)-FIND(".",B819,FIND(".",B819)+1)=4,FIND(".",B819)&gt;=2,FIND(".",B819)&lt;=3)),FIND(".",B819,FIND(".",B819)+1)-FIND(".",B819)&gt;=2,FIND(".",B819,FIND(".",B819)+1)-FIND(".",B819)&lt;=3,F819&gt;=2000,F819&lt;=2100,YEAR(I819)=F819,MONTH(I819)=G819,DAY(I819)=H819),I819,0)),0)</ns0:f>
        <ns0:v>0</ns0:v>
      </ns0:c>
      <ns0:c r="K819" s="0">
        <ns0:f>IFERROR(IF(ISNUMBER(Bookings!D819),"",TRIM(Bookings!D819&amp;"")),"")</ns0:f>
      </ns0:c>
      <ns0:c r="L819" s="0">
        <ns0:f>IFERROR(SUBSTITUTE(SUBSTITUTE(K819,"/","."),"-","."),"")</ns0:f>
      </ns0:c>
      <ns0:c r="M819" s="0">
        <ns0:f>IFERROR(LEFT(L819,FIND(".",L819)-1),"")</ns0:f>
      </ns0:c>
      <ns0:c r="N819" s="0">
        <ns0:f>IFERROR(MID(L819,FIND(".",L819)+1,FIND(".",L819,FIND(".",L819)+1)-FIND(".",L819)-1),"")</ns0:f>
      </ns0:c>
      <ns0:c r="O819" s="0">
        <ns0:f>IFERROR(MID(L819,FIND(".",L819,FIND(".",L819)+1)+1,99),"")</ns0:f>
        <ns0:v>99</ns0:v>
      </ns0:c>
      <ns0:c r="P819" s="0">
        <ns0:f>IFERROR(IF(FIND(".",L819)=5,--M819,--O819),0)</ns0:f>
        <ns0:v>0</ns0:v>
      </ns0:c>
      <ns0:c r="Q819" s="0">
        <ns0:f>IFERROR(--N819,0)</ns0:f>
        <ns0:v>0</ns0:v>
      </ns0:c>
      <ns0:c r="R819" s="0">
        <ns0:f>IFERROR(IF(FIND(".",L819)=5,--O819,--M819),0)</ns0:f>
        <ns0:v>0</ns0:v>
      </ns0:c>
      <ns0:c r="S819" s="0">
        <ns0:f>IFERROR(IF(AND(P819&gt;=2000,P819&lt;=2100,Q819&gt;=1,Q819&lt;=12,R819&gt;=1,R819&lt;=31),DATE(P819,Q819,R819),0),0)</ns0:f>
        <ns0:v>0</ns0:v>
      </ns0:c>
      <ns0:c r="T819" s="0">
        <ns0:f>IFERROR(IF(ISNUMBER(Bookings!D819),IF(AND(Bookings!D819=INT(Bookings!D819),Bookings!D819&gt;=DATE(2000,1,1),Bookings!D819&lt;=DATE(2100,12,31)),Bookings!D819,0),IF(AND(K819&lt;&gt;"",LEN("x"&amp;L819)-LEN(SUBSTITUTE("x"&amp;L819,".",""))=2,OR(1&gt;LEN(L819),MID(L819,1,1)=".",ISNUMBER(FIND("x"&amp;MID(L819,1,1),"x0x1x2x3x4x5x6x7x8x9"))),OR(2&gt;LEN(L819),MID(L819,2,1)=".",ISNUMBER(FIND("x"&amp;MID(L819,2,1),"x0x1x2x3x4x5x6x7x8x9"))),OR(3&gt;LEN(L819),MID(L819,3,1)=".",ISNUMBER(FIND("x"&amp;MID(L819,3,1),"x0x1x2x3x4x5x6x7x8x9"))),OR(4&gt;LEN(L819),MID(L819,4,1)=".",ISNUMBER(FIND("x"&amp;MID(L819,4,1),"x0x1x2x3x4x5x6x7x8x9"))),OR(5&gt;LEN(L819),MID(L819,5,1)=".",ISNUMBER(FIND("x"&amp;MID(L819,5,1),"x0x1x2x3x4x5x6x7x8x9"))),OR(6&gt;LEN(L819),MID(L819,6,1)=".",ISNUMBER(FIND("x"&amp;MID(L819,6,1),"x0x1x2x3x4x5x6x7x8x9"))),OR(7&gt;LEN(L819),MID(L819,7,1)=".",ISNUMBER(FIND("x"&amp;MID(L819,7,1),"x0x1x2x3x4x5x6x7x8x9"))),OR(8&gt;LEN(L819),MID(L819,8,1)=".",ISNUMBER(FIND("x"&amp;MID(L819,8,1),"x0x1x2x3x4x5x6x7x8x9"))),OR(9&gt;LEN(L819),MID(L819,9,1)=".",ISNUMBER(FIND("x"&amp;MID(L819,9,1),"x0x1x2x3x4x5x6x7x8x9"))),OR(10&gt;LEN(L819),MID(L819,10,1)=".",ISNUMBER(FIND("x"&amp;MID(L819,10,1),"x0x1x2x3x4x5x6x7x8x9"))),OR(AND(FIND(".",L819)=5,LEN(L819)-FIND(".",L819,FIND(".",L819)+1)&gt;=1,LEN(L819)-FIND(".",L819,FIND(".",L819)+1)&lt;=2),AND(LEN(L819)-FIND(".",L819,FIND(".",L819)+1)=4,FIND(".",L819)&gt;=2,FIND(".",L819)&lt;=3)),FIND(".",L819,FIND(".",L819)+1)-FIND(".",L819)&gt;=2,FIND(".",L819,FIND(".",L819)+1)-FIND(".",L819)&lt;=3,P819&gt;=2000,P819&lt;=2100,YEAR(S819)=P819,MONTH(S819)=Q819,DAY(S819)=R819),S819,0)),0)</ns0:f>
        <ns0:v>0</ns0:v>
      </ns0:c>
      <ns0:c r="U819" s="0" t="str">
        <ns0:f>IF(Bookings!C819="","Full day",Bookings!C819)</ns0:f>
        <ns0:v>Full day</ns0:v>
      </ns0:c>
      <ns0:c r="V819" s="0" t="str">
        <ns0:f>IF(Bookings!E819="","Full day",Bookings!E819)</ns0:f>
        <ns0:v>Full day</ns0:v>
      </ns0:c>
      <ns0:c r="W819" s="0">
        <ns0:f>IF(J819=0,0,J819+IF(U819="PM",1,0))</ns0:f>
        <ns0:v>0</ns0:v>
      </ns0:c>
      <ns0:c r="X819" s="0">
        <ns0:f>IF(T819=0,0,T819-IF(V819="PM",1,0))</ns0:f>
        <ns0:v>0</ns0:v>
      </ns0:c>
      <ns0:c r="Y819" s="0">
        <ns0:f>IF(J819=0,0,J819+IF(U819="AM",1,0))</ns0:f>
        <ns0:v>0</ns0:v>
      </ns0:c>
      <ns0:c r="Z819" s="0">
        <ns0:f>IF(T819=0,0,T819-IF(V819="AM",1,0))</ns0:f>
        <ns0:v>0</ns0:v>
      </ns0:c>
      <ns0:c r="AA819" s="0">
        <ns0:f>IFERROR(IF(AND(J819&gt;0,'_Engine'!C819&gt;0,MID('_Engine'!W819,WEEKDAY(J819,2),1)="W",COUNTIF(Settings!$F$18:$F$67,J819)=0),1,0),0)</ns0:f>
        <ns0:v>0</ns0:v>
      </ns0:c>
      <ns0:c r="AB819" s="0">
        <ns0:f>IFERROR(IF(AND(T819&gt;0,'_Engine'!C819&gt;0,MID('_Engine'!W819,WEEKDAY(T819,2),1)="W",COUNTIF(Settings!$F$18:$F$67,T819)=0),1,0),0)</ns0:f>
        <ns0:v>0</ns0:v>
      </ns0:c>
      <ns0:c r="AC819" s="0">
        <ns0:f>IF(AND(J819&gt;0,T819&gt;0,W819&lt;=X819),1,0)</ns0:f>
        <ns0:v>0</ns0:v>
      </ns0:c>
      <ns0:c r="AD819" s="0">
        <ns0:f>IF(AND(J819&gt;0,T819&gt;0,Y819&lt;=Z819),1,0)</ns0:f>
        <ns0:v>0</ns0:v>
      </ns0:c>
    </ns0:row>
    <ns0:row r="820">
      <ns0:c r="A820" s="0">
        <ns0:f>IFERROR(IF(ISNUMBER(Bookings!B820),"",TRIM(Bookings!B820&amp;"")),"")</ns0:f>
      </ns0:c>
      <ns0:c r="B820" s="0">
        <ns0:f>IFERROR(SUBSTITUTE(SUBSTITUTE(A820,"/","."),"-","."),"")</ns0:f>
      </ns0:c>
      <ns0:c r="C820" s="0">
        <ns0:f>IFERROR(LEFT(B820,FIND(".",B820)-1),"")</ns0:f>
      </ns0:c>
      <ns0:c r="D820" s="0">
        <ns0:f>IFERROR(MID(B820,FIND(".",B820)+1,FIND(".",B820,FIND(".",B820)+1)-FIND(".",B820)-1),"")</ns0:f>
      </ns0:c>
      <ns0:c r="E820" s="0">
        <ns0:f>IFERROR(MID(B820,FIND(".",B820,FIND(".",B820)+1)+1,99),"")</ns0:f>
        <ns0:v>99</ns0:v>
      </ns0:c>
      <ns0:c r="F820" s="0">
        <ns0:f>IFERROR(IF(FIND(".",B820)=5,--C820,--E820),0)</ns0:f>
        <ns0:v>0</ns0:v>
      </ns0:c>
      <ns0:c r="G820" s="0">
        <ns0:f>IFERROR(--D820,0)</ns0:f>
        <ns0:v>0</ns0:v>
      </ns0:c>
      <ns0:c r="H820" s="0">
        <ns0:f>IFERROR(IF(FIND(".",B820)=5,--E820,--C820),0)</ns0:f>
        <ns0:v>0</ns0:v>
      </ns0:c>
      <ns0:c r="I820" s="0">
        <ns0:f>IFERROR(IF(AND(F820&gt;=2000,F820&lt;=2100,G820&gt;=1,G820&lt;=12,H820&gt;=1,H820&lt;=31),DATE(F820,G820,H820),0),0)</ns0:f>
        <ns0:v>0</ns0:v>
      </ns0:c>
      <ns0:c r="J820" s="0">
        <ns0:f>IFERROR(IF(ISNUMBER(Bookings!B820),IF(AND(Bookings!B820=INT(Bookings!B820),Bookings!B820&gt;=DATE(2000,1,1),Bookings!B820&lt;=DATE(2100,12,31)),Bookings!B820,0),IF(AND(A820&lt;&gt;"",LEN("x"&amp;B820)-LEN(SUBSTITUTE("x"&amp;B820,".",""))=2,OR(1&gt;LEN(B820),MID(B820,1,1)=".",ISNUMBER(FIND("x"&amp;MID(B820,1,1),"x0x1x2x3x4x5x6x7x8x9"))),OR(2&gt;LEN(B820),MID(B820,2,1)=".",ISNUMBER(FIND("x"&amp;MID(B820,2,1),"x0x1x2x3x4x5x6x7x8x9"))),OR(3&gt;LEN(B820),MID(B820,3,1)=".",ISNUMBER(FIND("x"&amp;MID(B820,3,1),"x0x1x2x3x4x5x6x7x8x9"))),OR(4&gt;LEN(B820),MID(B820,4,1)=".",ISNUMBER(FIND("x"&amp;MID(B820,4,1),"x0x1x2x3x4x5x6x7x8x9"))),OR(5&gt;LEN(B820),MID(B820,5,1)=".",ISNUMBER(FIND("x"&amp;MID(B820,5,1),"x0x1x2x3x4x5x6x7x8x9"))),OR(6&gt;LEN(B820),MID(B820,6,1)=".",ISNUMBER(FIND("x"&amp;MID(B820,6,1),"x0x1x2x3x4x5x6x7x8x9"))),OR(7&gt;LEN(B820),MID(B820,7,1)=".",ISNUMBER(FIND("x"&amp;MID(B820,7,1),"x0x1x2x3x4x5x6x7x8x9"))),OR(8&gt;LEN(B820),MID(B820,8,1)=".",ISNUMBER(FIND("x"&amp;MID(B820,8,1),"x0x1x2x3x4x5x6x7x8x9"))),OR(9&gt;LEN(B820),MID(B820,9,1)=".",ISNUMBER(FIND("x"&amp;MID(B820,9,1),"x0x1x2x3x4x5x6x7x8x9"))),OR(10&gt;LEN(B820),MID(B820,10,1)=".",ISNUMBER(FIND("x"&amp;MID(B820,10,1),"x0x1x2x3x4x5x6x7x8x9"))),OR(AND(FIND(".",B820)=5,LEN(B820)-FIND(".",B820,FIND(".",B820)+1)&gt;=1,LEN(B820)-FIND(".",B820,FIND(".",B820)+1)&lt;=2),AND(LEN(B820)-FIND(".",B820,FIND(".",B820)+1)=4,FIND(".",B820)&gt;=2,FIND(".",B820)&lt;=3)),FIND(".",B820,FIND(".",B820)+1)-FIND(".",B820)&gt;=2,FIND(".",B820,FIND(".",B820)+1)-FIND(".",B820)&lt;=3,F820&gt;=2000,F820&lt;=2100,YEAR(I820)=F820,MONTH(I820)=G820,DAY(I820)=H820),I820,0)),0)</ns0:f>
        <ns0:v>0</ns0:v>
      </ns0:c>
      <ns0:c r="K820" s="0">
        <ns0:f>IFERROR(IF(ISNUMBER(Bookings!D820),"",TRIM(Bookings!D820&amp;"")),"")</ns0:f>
      </ns0:c>
      <ns0:c r="L820" s="0">
        <ns0:f>IFERROR(SUBSTITUTE(SUBSTITUTE(K820,"/","."),"-","."),"")</ns0:f>
      </ns0:c>
      <ns0:c r="M820" s="0">
        <ns0:f>IFERROR(LEFT(L820,FIND(".",L820)-1),"")</ns0:f>
      </ns0:c>
      <ns0:c r="N820" s="0">
        <ns0:f>IFERROR(MID(L820,FIND(".",L820)+1,FIND(".",L820,FIND(".",L820)+1)-FIND(".",L820)-1),"")</ns0:f>
      </ns0:c>
      <ns0:c r="O820" s="0">
        <ns0:f>IFERROR(MID(L820,FIND(".",L820,FIND(".",L820)+1)+1,99),"")</ns0:f>
        <ns0:v>99</ns0:v>
      </ns0:c>
      <ns0:c r="P820" s="0">
        <ns0:f>IFERROR(IF(FIND(".",L820)=5,--M820,--O820),0)</ns0:f>
        <ns0:v>0</ns0:v>
      </ns0:c>
      <ns0:c r="Q820" s="0">
        <ns0:f>IFERROR(--N820,0)</ns0:f>
        <ns0:v>0</ns0:v>
      </ns0:c>
      <ns0:c r="R820" s="0">
        <ns0:f>IFERROR(IF(FIND(".",L820)=5,--O820,--M820),0)</ns0:f>
        <ns0:v>0</ns0:v>
      </ns0:c>
      <ns0:c r="S820" s="0">
        <ns0:f>IFERROR(IF(AND(P820&gt;=2000,P820&lt;=2100,Q820&gt;=1,Q820&lt;=12,R820&gt;=1,R820&lt;=31),DATE(P820,Q820,R820),0),0)</ns0:f>
        <ns0:v>0</ns0:v>
      </ns0:c>
      <ns0:c r="T820" s="0">
        <ns0:f>IFERROR(IF(ISNUMBER(Bookings!D820),IF(AND(Bookings!D820=INT(Bookings!D820),Bookings!D820&gt;=DATE(2000,1,1),Bookings!D820&lt;=DATE(2100,12,31)),Bookings!D820,0),IF(AND(K820&lt;&gt;"",LEN("x"&amp;L820)-LEN(SUBSTITUTE("x"&amp;L820,".",""))=2,OR(1&gt;LEN(L820),MID(L820,1,1)=".",ISNUMBER(FIND("x"&amp;MID(L820,1,1),"x0x1x2x3x4x5x6x7x8x9"))),OR(2&gt;LEN(L820),MID(L820,2,1)=".",ISNUMBER(FIND("x"&amp;MID(L820,2,1),"x0x1x2x3x4x5x6x7x8x9"))),OR(3&gt;LEN(L820),MID(L820,3,1)=".",ISNUMBER(FIND("x"&amp;MID(L820,3,1),"x0x1x2x3x4x5x6x7x8x9"))),OR(4&gt;LEN(L820),MID(L820,4,1)=".",ISNUMBER(FIND("x"&amp;MID(L820,4,1),"x0x1x2x3x4x5x6x7x8x9"))),OR(5&gt;LEN(L820),MID(L820,5,1)=".",ISNUMBER(FIND("x"&amp;MID(L820,5,1),"x0x1x2x3x4x5x6x7x8x9"))),OR(6&gt;LEN(L820),MID(L820,6,1)=".",ISNUMBER(FIND("x"&amp;MID(L820,6,1),"x0x1x2x3x4x5x6x7x8x9"))),OR(7&gt;LEN(L820),MID(L820,7,1)=".",ISNUMBER(FIND("x"&amp;MID(L820,7,1),"x0x1x2x3x4x5x6x7x8x9"))),OR(8&gt;LEN(L820),MID(L820,8,1)=".",ISNUMBER(FIND("x"&amp;MID(L820,8,1),"x0x1x2x3x4x5x6x7x8x9"))),OR(9&gt;LEN(L820),MID(L820,9,1)=".",ISNUMBER(FIND("x"&amp;MID(L820,9,1),"x0x1x2x3x4x5x6x7x8x9"))),OR(10&gt;LEN(L820),MID(L820,10,1)=".",ISNUMBER(FIND("x"&amp;MID(L820,10,1),"x0x1x2x3x4x5x6x7x8x9"))),OR(AND(FIND(".",L820)=5,LEN(L820)-FIND(".",L820,FIND(".",L820)+1)&gt;=1,LEN(L820)-FIND(".",L820,FIND(".",L820)+1)&lt;=2),AND(LEN(L820)-FIND(".",L820,FIND(".",L820)+1)=4,FIND(".",L820)&gt;=2,FIND(".",L820)&lt;=3)),FIND(".",L820,FIND(".",L820)+1)-FIND(".",L820)&gt;=2,FIND(".",L820,FIND(".",L820)+1)-FIND(".",L820)&lt;=3,P820&gt;=2000,P820&lt;=2100,YEAR(S820)=P820,MONTH(S820)=Q820,DAY(S820)=R820),S820,0)),0)</ns0:f>
        <ns0:v>0</ns0:v>
      </ns0:c>
      <ns0:c r="U820" s="0" t="str">
        <ns0:f>IF(Bookings!C820="","Full day",Bookings!C820)</ns0:f>
        <ns0:v>Full day</ns0:v>
      </ns0:c>
      <ns0:c r="V820" s="0" t="str">
        <ns0:f>IF(Bookings!E820="","Full day",Bookings!E820)</ns0:f>
        <ns0:v>Full day</ns0:v>
      </ns0:c>
      <ns0:c r="W820" s="0">
        <ns0:f>IF(J820=0,0,J820+IF(U820="PM",1,0))</ns0:f>
        <ns0:v>0</ns0:v>
      </ns0:c>
      <ns0:c r="X820" s="0">
        <ns0:f>IF(T820=0,0,T820-IF(V820="PM",1,0))</ns0:f>
        <ns0:v>0</ns0:v>
      </ns0:c>
      <ns0:c r="Y820" s="0">
        <ns0:f>IF(J820=0,0,J820+IF(U820="AM",1,0))</ns0:f>
        <ns0:v>0</ns0:v>
      </ns0:c>
      <ns0:c r="Z820" s="0">
        <ns0:f>IF(T820=0,0,T820-IF(V820="AM",1,0))</ns0:f>
        <ns0:v>0</ns0:v>
      </ns0:c>
      <ns0:c r="AA820" s="0">
        <ns0:f>IFERROR(IF(AND(J820&gt;0,'_Engine'!C820&gt;0,MID('_Engine'!W820,WEEKDAY(J820,2),1)="W",COUNTIF(Settings!$F$18:$F$67,J820)=0),1,0),0)</ns0:f>
        <ns0:v>0</ns0:v>
      </ns0:c>
      <ns0:c r="AB820" s="0">
        <ns0:f>IFERROR(IF(AND(T820&gt;0,'_Engine'!C820&gt;0,MID('_Engine'!W820,WEEKDAY(T820,2),1)="W",COUNTIF(Settings!$F$18:$F$67,T820)=0),1,0),0)</ns0:f>
        <ns0:v>0</ns0:v>
      </ns0:c>
      <ns0:c r="AC820" s="0">
        <ns0:f>IF(AND(J820&gt;0,T820&gt;0,W820&lt;=X820),1,0)</ns0:f>
        <ns0:v>0</ns0:v>
      </ns0:c>
      <ns0:c r="AD820" s="0">
        <ns0:f>IF(AND(J820&gt;0,T820&gt;0,Y820&lt;=Z820),1,0)</ns0:f>
        <ns0:v>0</ns0:v>
      </ns0:c>
    </ns0:row>
    <ns0:row r="821">
      <ns0:c r="A821" s="0">
        <ns0:f>IFERROR(IF(ISNUMBER(Bookings!B821),"",TRIM(Bookings!B821&amp;"")),"")</ns0:f>
      </ns0:c>
      <ns0:c r="B821" s="0">
        <ns0:f>IFERROR(SUBSTITUTE(SUBSTITUTE(A821,"/","."),"-","."),"")</ns0:f>
      </ns0:c>
      <ns0:c r="C821" s="0">
        <ns0:f>IFERROR(LEFT(B821,FIND(".",B821)-1),"")</ns0:f>
      </ns0:c>
      <ns0:c r="D821" s="0">
        <ns0:f>IFERROR(MID(B821,FIND(".",B821)+1,FIND(".",B821,FIND(".",B821)+1)-FIND(".",B821)-1),"")</ns0:f>
      </ns0:c>
      <ns0:c r="E821" s="0">
        <ns0:f>IFERROR(MID(B821,FIND(".",B821,FIND(".",B821)+1)+1,99),"")</ns0:f>
        <ns0:v>99</ns0:v>
      </ns0:c>
      <ns0:c r="F821" s="0">
        <ns0:f>IFERROR(IF(FIND(".",B821)=5,--C821,--E821),0)</ns0:f>
        <ns0:v>0</ns0:v>
      </ns0:c>
      <ns0:c r="G821" s="0">
        <ns0:f>IFERROR(--D821,0)</ns0:f>
        <ns0:v>0</ns0:v>
      </ns0:c>
      <ns0:c r="H821" s="0">
        <ns0:f>IFERROR(IF(FIND(".",B821)=5,--E821,--C821),0)</ns0:f>
        <ns0:v>0</ns0:v>
      </ns0:c>
      <ns0:c r="I821" s="0">
        <ns0:f>IFERROR(IF(AND(F821&gt;=2000,F821&lt;=2100,G821&gt;=1,G821&lt;=12,H821&gt;=1,H821&lt;=31),DATE(F821,G821,H821),0),0)</ns0:f>
        <ns0:v>0</ns0:v>
      </ns0:c>
      <ns0:c r="J821" s="0">
        <ns0:f>IFERROR(IF(ISNUMBER(Bookings!B821),IF(AND(Bookings!B821=INT(Bookings!B821),Bookings!B821&gt;=DATE(2000,1,1),Bookings!B821&lt;=DATE(2100,12,31)),Bookings!B821,0),IF(AND(A821&lt;&gt;"",LEN("x"&amp;B821)-LEN(SUBSTITUTE("x"&amp;B821,".",""))=2,OR(1&gt;LEN(B821),MID(B821,1,1)=".",ISNUMBER(FIND("x"&amp;MID(B821,1,1),"x0x1x2x3x4x5x6x7x8x9"))),OR(2&gt;LEN(B821),MID(B821,2,1)=".",ISNUMBER(FIND("x"&amp;MID(B821,2,1),"x0x1x2x3x4x5x6x7x8x9"))),OR(3&gt;LEN(B821),MID(B821,3,1)=".",ISNUMBER(FIND("x"&amp;MID(B821,3,1),"x0x1x2x3x4x5x6x7x8x9"))),OR(4&gt;LEN(B821),MID(B821,4,1)=".",ISNUMBER(FIND("x"&amp;MID(B821,4,1),"x0x1x2x3x4x5x6x7x8x9"))),OR(5&gt;LEN(B821),MID(B821,5,1)=".",ISNUMBER(FIND("x"&amp;MID(B821,5,1),"x0x1x2x3x4x5x6x7x8x9"))),OR(6&gt;LEN(B821),MID(B821,6,1)=".",ISNUMBER(FIND("x"&amp;MID(B821,6,1),"x0x1x2x3x4x5x6x7x8x9"))),OR(7&gt;LEN(B821),MID(B821,7,1)=".",ISNUMBER(FIND("x"&amp;MID(B821,7,1),"x0x1x2x3x4x5x6x7x8x9"))),OR(8&gt;LEN(B821),MID(B821,8,1)=".",ISNUMBER(FIND("x"&amp;MID(B821,8,1),"x0x1x2x3x4x5x6x7x8x9"))),OR(9&gt;LEN(B821),MID(B821,9,1)=".",ISNUMBER(FIND("x"&amp;MID(B821,9,1),"x0x1x2x3x4x5x6x7x8x9"))),OR(10&gt;LEN(B821),MID(B821,10,1)=".",ISNUMBER(FIND("x"&amp;MID(B821,10,1),"x0x1x2x3x4x5x6x7x8x9"))),OR(AND(FIND(".",B821)=5,LEN(B821)-FIND(".",B821,FIND(".",B821)+1)&gt;=1,LEN(B821)-FIND(".",B821,FIND(".",B821)+1)&lt;=2),AND(LEN(B821)-FIND(".",B821,FIND(".",B821)+1)=4,FIND(".",B821)&gt;=2,FIND(".",B821)&lt;=3)),FIND(".",B821,FIND(".",B821)+1)-FIND(".",B821)&gt;=2,FIND(".",B821,FIND(".",B821)+1)-FIND(".",B821)&lt;=3,F821&gt;=2000,F821&lt;=2100,YEAR(I821)=F821,MONTH(I821)=G821,DAY(I821)=H821),I821,0)),0)</ns0:f>
        <ns0:v>0</ns0:v>
      </ns0:c>
      <ns0:c r="K821" s="0">
        <ns0:f>IFERROR(IF(ISNUMBER(Bookings!D821),"",TRIM(Bookings!D821&amp;"")),"")</ns0:f>
      </ns0:c>
      <ns0:c r="L821" s="0">
        <ns0:f>IFERROR(SUBSTITUTE(SUBSTITUTE(K821,"/","."),"-","."),"")</ns0:f>
      </ns0:c>
      <ns0:c r="M821" s="0">
        <ns0:f>IFERROR(LEFT(L821,FIND(".",L821)-1),"")</ns0:f>
      </ns0:c>
      <ns0:c r="N821" s="0">
        <ns0:f>IFERROR(MID(L821,FIND(".",L821)+1,FIND(".",L821,FIND(".",L821)+1)-FIND(".",L821)-1),"")</ns0:f>
      </ns0:c>
      <ns0:c r="O821" s="0">
        <ns0:f>IFERROR(MID(L821,FIND(".",L821,FIND(".",L821)+1)+1,99),"")</ns0:f>
        <ns0:v>99</ns0:v>
      </ns0:c>
      <ns0:c r="P821" s="0">
        <ns0:f>IFERROR(IF(FIND(".",L821)=5,--M821,--O821),0)</ns0:f>
        <ns0:v>0</ns0:v>
      </ns0:c>
      <ns0:c r="Q821" s="0">
        <ns0:f>IFERROR(--N821,0)</ns0:f>
        <ns0:v>0</ns0:v>
      </ns0:c>
      <ns0:c r="R821" s="0">
        <ns0:f>IFERROR(IF(FIND(".",L821)=5,--O821,--M821),0)</ns0:f>
        <ns0:v>0</ns0:v>
      </ns0:c>
      <ns0:c r="S821" s="0">
        <ns0:f>IFERROR(IF(AND(P821&gt;=2000,P821&lt;=2100,Q821&gt;=1,Q821&lt;=12,R821&gt;=1,R821&lt;=31),DATE(P821,Q821,R821),0),0)</ns0:f>
        <ns0:v>0</ns0:v>
      </ns0:c>
      <ns0:c r="T821" s="0">
        <ns0:f>IFERROR(IF(ISNUMBER(Bookings!D821),IF(AND(Bookings!D821=INT(Bookings!D821),Bookings!D821&gt;=DATE(2000,1,1),Bookings!D821&lt;=DATE(2100,12,31)),Bookings!D821,0),IF(AND(K821&lt;&gt;"",LEN("x"&amp;L821)-LEN(SUBSTITUTE("x"&amp;L821,".",""))=2,OR(1&gt;LEN(L821),MID(L821,1,1)=".",ISNUMBER(FIND("x"&amp;MID(L821,1,1),"x0x1x2x3x4x5x6x7x8x9"))),OR(2&gt;LEN(L821),MID(L821,2,1)=".",ISNUMBER(FIND("x"&amp;MID(L821,2,1),"x0x1x2x3x4x5x6x7x8x9"))),OR(3&gt;LEN(L821),MID(L821,3,1)=".",ISNUMBER(FIND("x"&amp;MID(L821,3,1),"x0x1x2x3x4x5x6x7x8x9"))),OR(4&gt;LEN(L821),MID(L821,4,1)=".",ISNUMBER(FIND("x"&amp;MID(L821,4,1),"x0x1x2x3x4x5x6x7x8x9"))),OR(5&gt;LEN(L821),MID(L821,5,1)=".",ISNUMBER(FIND("x"&amp;MID(L821,5,1),"x0x1x2x3x4x5x6x7x8x9"))),OR(6&gt;LEN(L821),MID(L821,6,1)=".",ISNUMBER(FIND("x"&amp;MID(L821,6,1),"x0x1x2x3x4x5x6x7x8x9"))),OR(7&gt;LEN(L821),MID(L821,7,1)=".",ISNUMBER(FIND("x"&amp;MID(L821,7,1),"x0x1x2x3x4x5x6x7x8x9"))),OR(8&gt;LEN(L821),MID(L821,8,1)=".",ISNUMBER(FIND("x"&amp;MID(L821,8,1),"x0x1x2x3x4x5x6x7x8x9"))),OR(9&gt;LEN(L821),MID(L821,9,1)=".",ISNUMBER(FIND("x"&amp;MID(L821,9,1),"x0x1x2x3x4x5x6x7x8x9"))),OR(10&gt;LEN(L821),MID(L821,10,1)=".",ISNUMBER(FIND("x"&amp;MID(L821,10,1),"x0x1x2x3x4x5x6x7x8x9"))),OR(AND(FIND(".",L821)=5,LEN(L821)-FIND(".",L821,FIND(".",L821)+1)&gt;=1,LEN(L821)-FIND(".",L821,FIND(".",L821)+1)&lt;=2),AND(LEN(L821)-FIND(".",L821,FIND(".",L821)+1)=4,FIND(".",L821)&gt;=2,FIND(".",L821)&lt;=3)),FIND(".",L821,FIND(".",L821)+1)-FIND(".",L821)&gt;=2,FIND(".",L821,FIND(".",L821)+1)-FIND(".",L821)&lt;=3,P821&gt;=2000,P821&lt;=2100,YEAR(S821)=P821,MONTH(S821)=Q821,DAY(S821)=R821),S821,0)),0)</ns0:f>
        <ns0:v>0</ns0:v>
      </ns0:c>
      <ns0:c r="U821" s="0" t="str">
        <ns0:f>IF(Bookings!C821="","Full day",Bookings!C821)</ns0:f>
        <ns0:v>Full day</ns0:v>
      </ns0:c>
      <ns0:c r="V821" s="0" t="str">
        <ns0:f>IF(Bookings!E821="","Full day",Bookings!E821)</ns0:f>
        <ns0:v>Full day</ns0:v>
      </ns0:c>
      <ns0:c r="W821" s="0">
        <ns0:f>IF(J821=0,0,J821+IF(U821="PM",1,0))</ns0:f>
        <ns0:v>0</ns0:v>
      </ns0:c>
      <ns0:c r="X821" s="0">
        <ns0:f>IF(T821=0,0,T821-IF(V821="PM",1,0))</ns0:f>
        <ns0:v>0</ns0:v>
      </ns0:c>
      <ns0:c r="Y821" s="0">
        <ns0:f>IF(J821=0,0,J821+IF(U821="AM",1,0))</ns0:f>
        <ns0:v>0</ns0:v>
      </ns0:c>
      <ns0:c r="Z821" s="0">
        <ns0:f>IF(T821=0,0,T821-IF(V821="AM",1,0))</ns0:f>
        <ns0:v>0</ns0:v>
      </ns0:c>
      <ns0:c r="AA821" s="0">
        <ns0:f>IFERROR(IF(AND(J821&gt;0,'_Engine'!C821&gt;0,MID('_Engine'!W821,WEEKDAY(J821,2),1)="W",COUNTIF(Settings!$F$18:$F$67,J821)=0),1,0),0)</ns0:f>
        <ns0:v>0</ns0:v>
      </ns0:c>
      <ns0:c r="AB821" s="0">
        <ns0:f>IFERROR(IF(AND(T821&gt;0,'_Engine'!C821&gt;0,MID('_Engine'!W821,WEEKDAY(T821,2),1)="W",COUNTIF(Settings!$F$18:$F$67,T821)=0),1,0),0)</ns0:f>
        <ns0:v>0</ns0:v>
      </ns0:c>
      <ns0:c r="AC821" s="0">
        <ns0:f>IF(AND(J821&gt;0,T821&gt;0,W821&lt;=X821),1,0)</ns0:f>
        <ns0:v>0</ns0:v>
      </ns0:c>
      <ns0:c r="AD821" s="0">
        <ns0:f>IF(AND(J821&gt;0,T821&gt;0,Y821&lt;=Z821),1,0)</ns0:f>
        <ns0:v>0</ns0:v>
      </ns0:c>
    </ns0:row>
    <ns0:row r="822">
      <ns0:c r="A822" s="0">
        <ns0:f>IFERROR(IF(ISNUMBER(Bookings!B822),"",TRIM(Bookings!B822&amp;"")),"")</ns0:f>
      </ns0:c>
      <ns0:c r="B822" s="0">
        <ns0:f>IFERROR(SUBSTITUTE(SUBSTITUTE(A822,"/","."),"-","."),"")</ns0:f>
      </ns0:c>
      <ns0:c r="C822" s="0">
        <ns0:f>IFERROR(LEFT(B822,FIND(".",B822)-1),"")</ns0:f>
      </ns0:c>
      <ns0:c r="D822" s="0">
        <ns0:f>IFERROR(MID(B822,FIND(".",B822)+1,FIND(".",B822,FIND(".",B822)+1)-FIND(".",B822)-1),"")</ns0:f>
      </ns0:c>
      <ns0:c r="E822" s="0">
        <ns0:f>IFERROR(MID(B822,FIND(".",B822,FIND(".",B822)+1)+1,99),"")</ns0:f>
        <ns0:v>99</ns0:v>
      </ns0:c>
      <ns0:c r="F822" s="0">
        <ns0:f>IFERROR(IF(FIND(".",B822)=5,--C822,--E822),0)</ns0:f>
        <ns0:v>0</ns0:v>
      </ns0:c>
      <ns0:c r="G822" s="0">
        <ns0:f>IFERROR(--D822,0)</ns0:f>
        <ns0:v>0</ns0:v>
      </ns0:c>
      <ns0:c r="H822" s="0">
        <ns0:f>IFERROR(IF(FIND(".",B822)=5,--E822,--C822),0)</ns0:f>
        <ns0:v>0</ns0:v>
      </ns0:c>
      <ns0:c r="I822" s="0">
        <ns0:f>IFERROR(IF(AND(F822&gt;=2000,F822&lt;=2100,G822&gt;=1,G822&lt;=12,H822&gt;=1,H822&lt;=31),DATE(F822,G822,H822),0),0)</ns0:f>
        <ns0:v>0</ns0:v>
      </ns0:c>
      <ns0:c r="J822" s="0">
        <ns0:f>IFERROR(IF(ISNUMBER(Bookings!B822),IF(AND(Bookings!B822=INT(Bookings!B822),Bookings!B822&gt;=DATE(2000,1,1),Bookings!B822&lt;=DATE(2100,12,31)),Bookings!B822,0),IF(AND(A822&lt;&gt;"",LEN("x"&amp;B822)-LEN(SUBSTITUTE("x"&amp;B822,".",""))=2,OR(1&gt;LEN(B822),MID(B822,1,1)=".",ISNUMBER(FIND("x"&amp;MID(B822,1,1),"x0x1x2x3x4x5x6x7x8x9"))),OR(2&gt;LEN(B822),MID(B822,2,1)=".",ISNUMBER(FIND("x"&amp;MID(B822,2,1),"x0x1x2x3x4x5x6x7x8x9"))),OR(3&gt;LEN(B822),MID(B822,3,1)=".",ISNUMBER(FIND("x"&amp;MID(B822,3,1),"x0x1x2x3x4x5x6x7x8x9"))),OR(4&gt;LEN(B822),MID(B822,4,1)=".",ISNUMBER(FIND("x"&amp;MID(B822,4,1),"x0x1x2x3x4x5x6x7x8x9"))),OR(5&gt;LEN(B822),MID(B822,5,1)=".",ISNUMBER(FIND("x"&amp;MID(B822,5,1),"x0x1x2x3x4x5x6x7x8x9"))),OR(6&gt;LEN(B822),MID(B822,6,1)=".",ISNUMBER(FIND("x"&amp;MID(B822,6,1),"x0x1x2x3x4x5x6x7x8x9"))),OR(7&gt;LEN(B822),MID(B822,7,1)=".",ISNUMBER(FIND("x"&amp;MID(B822,7,1),"x0x1x2x3x4x5x6x7x8x9"))),OR(8&gt;LEN(B822),MID(B822,8,1)=".",ISNUMBER(FIND("x"&amp;MID(B822,8,1),"x0x1x2x3x4x5x6x7x8x9"))),OR(9&gt;LEN(B822),MID(B822,9,1)=".",ISNUMBER(FIND("x"&amp;MID(B822,9,1),"x0x1x2x3x4x5x6x7x8x9"))),OR(10&gt;LEN(B822),MID(B822,10,1)=".",ISNUMBER(FIND("x"&amp;MID(B822,10,1),"x0x1x2x3x4x5x6x7x8x9"))),OR(AND(FIND(".",B822)=5,LEN(B822)-FIND(".",B822,FIND(".",B822)+1)&gt;=1,LEN(B822)-FIND(".",B822,FIND(".",B822)+1)&lt;=2),AND(LEN(B822)-FIND(".",B822,FIND(".",B822)+1)=4,FIND(".",B822)&gt;=2,FIND(".",B822)&lt;=3)),FIND(".",B822,FIND(".",B822)+1)-FIND(".",B822)&gt;=2,FIND(".",B822,FIND(".",B822)+1)-FIND(".",B822)&lt;=3,F822&gt;=2000,F822&lt;=2100,YEAR(I822)=F822,MONTH(I822)=G822,DAY(I822)=H822),I822,0)),0)</ns0:f>
        <ns0:v>0</ns0:v>
      </ns0:c>
      <ns0:c r="K822" s="0">
        <ns0:f>IFERROR(IF(ISNUMBER(Bookings!D822),"",TRIM(Bookings!D822&amp;"")),"")</ns0:f>
      </ns0:c>
      <ns0:c r="L822" s="0">
        <ns0:f>IFERROR(SUBSTITUTE(SUBSTITUTE(K822,"/","."),"-","."),"")</ns0:f>
      </ns0:c>
      <ns0:c r="M822" s="0">
        <ns0:f>IFERROR(LEFT(L822,FIND(".",L822)-1),"")</ns0:f>
      </ns0:c>
      <ns0:c r="N822" s="0">
        <ns0:f>IFERROR(MID(L822,FIND(".",L822)+1,FIND(".",L822,FIND(".",L822)+1)-FIND(".",L822)-1),"")</ns0:f>
      </ns0:c>
      <ns0:c r="O822" s="0">
        <ns0:f>IFERROR(MID(L822,FIND(".",L822,FIND(".",L822)+1)+1,99),"")</ns0:f>
        <ns0:v>99</ns0:v>
      </ns0:c>
      <ns0:c r="P822" s="0">
        <ns0:f>IFERROR(IF(FIND(".",L822)=5,--M822,--O822),0)</ns0:f>
        <ns0:v>0</ns0:v>
      </ns0:c>
      <ns0:c r="Q822" s="0">
        <ns0:f>IFERROR(--N822,0)</ns0:f>
        <ns0:v>0</ns0:v>
      </ns0:c>
      <ns0:c r="R822" s="0">
        <ns0:f>IFERROR(IF(FIND(".",L822)=5,--O822,--M822),0)</ns0:f>
        <ns0:v>0</ns0:v>
      </ns0:c>
      <ns0:c r="S822" s="0">
        <ns0:f>IFERROR(IF(AND(P822&gt;=2000,P822&lt;=2100,Q822&gt;=1,Q822&lt;=12,R822&gt;=1,R822&lt;=31),DATE(P822,Q822,R822),0),0)</ns0:f>
        <ns0:v>0</ns0:v>
      </ns0:c>
      <ns0:c r="T822" s="0">
        <ns0:f>IFERROR(IF(ISNUMBER(Bookings!D822),IF(AND(Bookings!D822=INT(Bookings!D822),Bookings!D822&gt;=DATE(2000,1,1),Bookings!D822&lt;=DATE(2100,12,31)),Bookings!D822,0),IF(AND(K822&lt;&gt;"",LEN("x"&amp;L822)-LEN(SUBSTITUTE("x"&amp;L822,".",""))=2,OR(1&gt;LEN(L822),MID(L822,1,1)=".",ISNUMBER(FIND("x"&amp;MID(L822,1,1),"x0x1x2x3x4x5x6x7x8x9"))),OR(2&gt;LEN(L822),MID(L822,2,1)=".",ISNUMBER(FIND("x"&amp;MID(L822,2,1),"x0x1x2x3x4x5x6x7x8x9"))),OR(3&gt;LEN(L822),MID(L822,3,1)=".",ISNUMBER(FIND("x"&amp;MID(L822,3,1),"x0x1x2x3x4x5x6x7x8x9"))),OR(4&gt;LEN(L822),MID(L822,4,1)=".",ISNUMBER(FIND("x"&amp;MID(L822,4,1),"x0x1x2x3x4x5x6x7x8x9"))),OR(5&gt;LEN(L822),MID(L822,5,1)=".",ISNUMBER(FIND("x"&amp;MID(L822,5,1),"x0x1x2x3x4x5x6x7x8x9"))),OR(6&gt;LEN(L822),MID(L822,6,1)=".",ISNUMBER(FIND("x"&amp;MID(L822,6,1),"x0x1x2x3x4x5x6x7x8x9"))),OR(7&gt;LEN(L822),MID(L822,7,1)=".",ISNUMBER(FIND("x"&amp;MID(L822,7,1),"x0x1x2x3x4x5x6x7x8x9"))),OR(8&gt;LEN(L822),MID(L822,8,1)=".",ISNUMBER(FIND("x"&amp;MID(L822,8,1),"x0x1x2x3x4x5x6x7x8x9"))),OR(9&gt;LEN(L822),MID(L822,9,1)=".",ISNUMBER(FIND("x"&amp;MID(L822,9,1),"x0x1x2x3x4x5x6x7x8x9"))),OR(10&gt;LEN(L822),MID(L822,10,1)=".",ISNUMBER(FIND("x"&amp;MID(L822,10,1),"x0x1x2x3x4x5x6x7x8x9"))),OR(AND(FIND(".",L822)=5,LEN(L822)-FIND(".",L822,FIND(".",L822)+1)&gt;=1,LEN(L822)-FIND(".",L822,FIND(".",L822)+1)&lt;=2),AND(LEN(L822)-FIND(".",L822,FIND(".",L822)+1)=4,FIND(".",L822)&gt;=2,FIND(".",L822)&lt;=3)),FIND(".",L822,FIND(".",L822)+1)-FIND(".",L822)&gt;=2,FIND(".",L822,FIND(".",L822)+1)-FIND(".",L822)&lt;=3,P822&gt;=2000,P822&lt;=2100,YEAR(S822)=P822,MONTH(S822)=Q822,DAY(S822)=R822),S822,0)),0)</ns0:f>
        <ns0:v>0</ns0:v>
      </ns0:c>
      <ns0:c r="U822" s="0" t="str">
        <ns0:f>IF(Bookings!C822="","Full day",Bookings!C822)</ns0:f>
        <ns0:v>Full day</ns0:v>
      </ns0:c>
      <ns0:c r="V822" s="0" t="str">
        <ns0:f>IF(Bookings!E822="","Full day",Bookings!E822)</ns0:f>
        <ns0:v>Full day</ns0:v>
      </ns0:c>
      <ns0:c r="W822" s="0">
        <ns0:f>IF(J822=0,0,J822+IF(U822="PM",1,0))</ns0:f>
        <ns0:v>0</ns0:v>
      </ns0:c>
      <ns0:c r="X822" s="0">
        <ns0:f>IF(T822=0,0,T822-IF(V822="PM",1,0))</ns0:f>
        <ns0:v>0</ns0:v>
      </ns0:c>
      <ns0:c r="Y822" s="0">
        <ns0:f>IF(J822=0,0,J822+IF(U822="AM",1,0))</ns0:f>
        <ns0:v>0</ns0:v>
      </ns0:c>
      <ns0:c r="Z822" s="0">
        <ns0:f>IF(T822=0,0,T822-IF(V822="AM",1,0))</ns0:f>
        <ns0:v>0</ns0:v>
      </ns0:c>
      <ns0:c r="AA822" s="0">
        <ns0:f>IFERROR(IF(AND(J822&gt;0,'_Engine'!C822&gt;0,MID('_Engine'!W822,WEEKDAY(J822,2),1)="W",COUNTIF(Settings!$F$18:$F$67,J822)=0),1,0),0)</ns0:f>
        <ns0:v>0</ns0:v>
      </ns0:c>
      <ns0:c r="AB822" s="0">
        <ns0:f>IFERROR(IF(AND(T822&gt;0,'_Engine'!C822&gt;0,MID('_Engine'!W822,WEEKDAY(T822,2),1)="W",COUNTIF(Settings!$F$18:$F$67,T822)=0),1,0),0)</ns0:f>
        <ns0:v>0</ns0:v>
      </ns0:c>
      <ns0:c r="AC822" s="0">
        <ns0:f>IF(AND(J822&gt;0,T822&gt;0,W822&lt;=X822),1,0)</ns0:f>
        <ns0:v>0</ns0:v>
      </ns0:c>
      <ns0:c r="AD822" s="0">
        <ns0:f>IF(AND(J822&gt;0,T822&gt;0,Y822&lt;=Z822),1,0)</ns0:f>
        <ns0:v>0</ns0:v>
      </ns0:c>
    </ns0:row>
    <ns0:row r="823">
      <ns0:c r="A823" s="0">
        <ns0:f>IFERROR(IF(ISNUMBER(Bookings!B823),"",TRIM(Bookings!B823&amp;"")),"")</ns0:f>
      </ns0:c>
      <ns0:c r="B823" s="0">
        <ns0:f>IFERROR(SUBSTITUTE(SUBSTITUTE(A823,"/","."),"-","."),"")</ns0:f>
      </ns0:c>
      <ns0:c r="C823" s="0">
        <ns0:f>IFERROR(LEFT(B823,FIND(".",B823)-1),"")</ns0:f>
      </ns0:c>
      <ns0:c r="D823" s="0">
        <ns0:f>IFERROR(MID(B823,FIND(".",B823)+1,FIND(".",B823,FIND(".",B823)+1)-FIND(".",B823)-1),"")</ns0:f>
      </ns0:c>
      <ns0:c r="E823" s="0">
        <ns0:f>IFERROR(MID(B823,FIND(".",B823,FIND(".",B823)+1)+1,99),"")</ns0:f>
        <ns0:v>99</ns0:v>
      </ns0:c>
      <ns0:c r="F823" s="0">
        <ns0:f>IFERROR(IF(FIND(".",B823)=5,--C823,--E823),0)</ns0:f>
        <ns0:v>0</ns0:v>
      </ns0:c>
      <ns0:c r="G823" s="0">
        <ns0:f>IFERROR(--D823,0)</ns0:f>
        <ns0:v>0</ns0:v>
      </ns0:c>
      <ns0:c r="H823" s="0">
        <ns0:f>IFERROR(IF(FIND(".",B823)=5,--E823,--C823),0)</ns0:f>
        <ns0:v>0</ns0:v>
      </ns0:c>
      <ns0:c r="I823" s="0">
        <ns0:f>IFERROR(IF(AND(F823&gt;=2000,F823&lt;=2100,G823&gt;=1,G823&lt;=12,H823&gt;=1,H823&lt;=31),DATE(F823,G823,H823),0),0)</ns0:f>
        <ns0:v>0</ns0:v>
      </ns0:c>
      <ns0:c r="J823" s="0">
        <ns0:f>IFERROR(IF(ISNUMBER(Bookings!B823),IF(AND(Bookings!B823=INT(Bookings!B823),Bookings!B823&gt;=DATE(2000,1,1),Bookings!B823&lt;=DATE(2100,12,31)),Bookings!B823,0),IF(AND(A823&lt;&gt;"",LEN("x"&amp;B823)-LEN(SUBSTITUTE("x"&amp;B823,".",""))=2,OR(1&gt;LEN(B823),MID(B823,1,1)=".",ISNUMBER(FIND("x"&amp;MID(B823,1,1),"x0x1x2x3x4x5x6x7x8x9"))),OR(2&gt;LEN(B823),MID(B823,2,1)=".",ISNUMBER(FIND("x"&amp;MID(B823,2,1),"x0x1x2x3x4x5x6x7x8x9"))),OR(3&gt;LEN(B823),MID(B823,3,1)=".",ISNUMBER(FIND("x"&amp;MID(B823,3,1),"x0x1x2x3x4x5x6x7x8x9"))),OR(4&gt;LEN(B823),MID(B823,4,1)=".",ISNUMBER(FIND("x"&amp;MID(B823,4,1),"x0x1x2x3x4x5x6x7x8x9"))),OR(5&gt;LEN(B823),MID(B823,5,1)=".",ISNUMBER(FIND("x"&amp;MID(B823,5,1),"x0x1x2x3x4x5x6x7x8x9"))),OR(6&gt;LEN(B823),MID(B823,6,1)=".",ISNUMBER(FIND("x"&amp;MID(B823,6,1),"x0x1x2x3x4x5x6x7x8x9"))),OR(7&gt;LEN(B823),MID(B823,7,1)=".",ISNUMBER(FIND("x"&amp;MID(B823,7,1),"x0x1x2x3x4x5x6x7x8x9"))),OR(8&gt;LEN(B823),MID(B823,8,1)=".",ISNUMBER(FIND("x"&amp;MID(B823,8,1),"x0x1x2x3x4x5x6x7x8x9"))),OR(9&gt;LEN(B823),MID(B823,9,1)=".",ISNUMBER(FIND("x"&amp;MID(B823,9,1),"x0x1x2x3x4x5x6x7x8x9"))),OR(10&gt;LEN(B823),MID(B823,10,1)=".",ISNUMBER(FIND("x"&amp;MID(B823,10,1),"x0x1x2x3x4x5x6x7x8x9"))),OR(AND(FIND(".",B823)=5,LEN(B823)-FIND(".",B823,FIND(".",B823)+1)&gt;=1,LEN(B823)-FIND(".",B823,FIND(".",B823)+1)&lt;=2),AND(LEN(B823)-FIND(".",B823,FIND(".",B823)+1)=4,FIND(".",B823)&gt;=2,FIND(".",B823)&lt;=3)),FIND(".",B823,FIND(".",B823)+1)-FIND(".",B823)&gt;=2,FIND(".",B823,FIND(".",B823)+1)-FIND(".",B823)&lt;=3,F823&gt;=2000,F823&lt;=2100,YEAR(I823)=F823,MONTH(I823)=G823,DAY(I823)=H823),I823,0)),0)</ns0:f>
        <ns0:v>0</ns0:v>
      </ns0:c>
      <ns0:c r="K823" s="0">
        <ns0:f>IFERROR(IF(ISNUMBER(Bookings!D823),"",TRIM(Bookings!D823&amp;"")),"")</ns0:f>
      </ns0:c>
      <ns0:c r="L823" s="0">
        <ns0:f>IFERROR(SUBSTITUTE(SUBSTITUTE(K823,"/","."),"-","."),"")</ns0:f>
      </ns0:c>
      <ns0:c r="M823" s="0">
        <ns0:f>IFERROR(LEFT(L823,FIND(".",L823)-1),"")</ns0:f>
      </ns0:c>
      <ns0:c r="N823" s="0">
        <ns0:f>IFERROR(MID(L823,FIND(".",L823)+1,FIND(".",L823,FIND(".",L823)+1)-FIND(".",L823)-1),"")</ns0:f>
      </ns0:c>
      <ns0:c r="O823" s="0">
        <ns0:f>IFERROR(MID(L823,FIND(".",L823,FIND(".",L823)+1)+1,99),"")</ns0:f>
        <ns0:v>99</ns0:v>
      </ns0:c>
      <ns0:c r="P823" s="0">
        <ns0:f>IFERROR(IF(FIND(".",L823)=5,--M823,--O823),0)</ns0:f>
        <ns0:v>0</ns0:v>
      </ns0:c>
      <ns0:c r="Q823" s="0">
        <ns0:f>IFERROR(--N823,0)</ns0:f>
        <ns0:v>0</ns0:v>
      </ns0:c>
      <ns0:c r="R823" s="0">
        <ns0:f>IFERROR(IF(FIND(".",L823)=5,--O823,--M823),0)</ns0:f>
        <ns0:v>0</ns0:v>
      </ns0:c>
      <ns0:c r="S823" s="0">
        <ns0:f>IFERROR(IF(AND(P823&gt;=2000,P823&lt;=2100,Q823&gt;=1,Q823&lt;=12,R823&gt;=1,R823&lt;=31),DATE(P823,Q823,R823),0),0)</ns0:f>
        <ns0:v>0</ns0:v>
      </ns0:c>
      <ns0:c r="T823" s="0">
        <ns0:f>IFERROR(IF(ISNUMBER(Bookings!D823),IF(AND(Bookings!D823=INT(Bookings!D823),Bookings!D823&gt;=DATE(2000,1,1),Bookings!D823&lt;=DATE(2100,12,31)),Bookings!D823,0),IF(AND(K823&lt;&gt;"",LEN("x"&amp;L823)-LEN(SUBSTITUTE("x"&amp;L823,".",""))=2,OR(1&gt;LEN(L823),MID(L823,1,1)=".",ISNUMBER(FIND("x"&amp;MID(L823,1,1),"x0x1x2x3x4x5x6x7x8x9"))),OR(2&gt;LEN(L823),MID(L823,2,1)=".",ISNUMBER(FIND("x"&amp;MID(L823,2,1),"x0x1x2x3x4x5x6x7x8x9"))),OR(3&gt;LEN(L823),MID(L823,3,1)=".",ISNUMBER(FIND("x"&amp;MID(L823,3,1),"x0x1x2x3x4x5x6x7x8x9"))),OR(4&gt;LEN(L823),MID(L823,4,1)=".",ISNUMBER(FIND("x"&amp;MID(L823,4,1),"x0x1x2x3x4x5x6x7x8x9"))),OR(5&gt;LEN(L823),MID(L823,5,1)=".",ISNUMBER(FIND("x"&amp;MID(L823,5,1),"x0x1x2x3x4x5x6x7x8x9"))),OR(6&gt;LEN(L823),MID(L823,6,1)=".",ISNUMBER(FIND("x"&amp;MID(L823,6,1),"x0x1x2x3x4x5x6x7x8x9"))),OR(7&gt;LEN(L823),MID(L823,7,1)=".",ISNUMBER(FIND("x"&amp;MID(L823,7,1),"x0x1x2x3x4x5x6x7x8x9"))),OR(8&gt;LEN(L823),MID(L823,8,1)=".",ISNUMBER(FIND("x"&amp;MID(L823,8,1),"x0x1x2x3x4x5x6x7x8x9"))),OR(9&gt;LEN(L823),MID(L823,9,1)=".",ISNUMBER(FIND("x"&amp;MID(L823,9,1),"x0x1x2x3x4x5x6x7x8x9"))),OR(10&gt;LEN(L823),MID(L823,10,1)=".",ISNUMBER(FIND("x"&amp;MID(L823,10,1),"x0x1x2x3x4x5x6x7x8x9"))),OR(AND(FIND(".",L823)=5,LEN(L823)-FIND(".",L823,FIND(".",L823)+1)&gt;=1,LEN(L823)-FIND(".",L823,FIND(".",L823)+1)&lt;=2),AND(LEN(L823)-FIND(".",L823,FIND(".",L823)+1)=4,FIND(".",L823)&gt;=2,FIND(".",L823)&lt;=3)),FIND(".",L823,FIND(".",L823)+1)-FIND(".",L823)&gt;=2,FIND(".",L823,FIND(".",L823)+1)-FIND(".",L823)&lt;=3,P823&gt;=2000,P823&lt;=2100,YEAR(S823)=P823,MONTH(S823)=Q823,DAY(S823)=R823),S823,0)),0)</ns0:f>
        <ns0:v>0</ns0:v>
      </ns0:c>
      <ns0:c r="U823" s="0" t="str">
        <ns0:f>IF(Bookings!C823="","Full day",Bookings!C823)</ns0:f>
        <ns0:v>Full day</ns0:v>
      </ns0:c>
      <ns0:c r="V823" s="0" t="str">
        <ns0:f>IF(Bookings!E823="","Full day",Bookings!E823)</ns0:f>
        <ns0:v>Full day</ns0:v>
      </ns0:c>
      <ns0:c r="W823" s="0">
        <ns0:f>IF(J823=0,0,J823+IF(U823="PM",1,0))</ns0:f>
        <ns0:v>0</ns0:v>
      </ns0:c>
      <ns0:c r="X823" s="0">
        <ns0:f>IF(T823=0,0,T823-IF(V823="PM",1,0))</ns0:f>
        <ns0:v>0</ns0:v>
      </ns0:c>
      <ns0:c r="Y823" s="0">
        <ns0:f>IF(J823=0,0,J823+IF(U823="AM",1,0))</ns0:f>
        <ns0:v>0</ns0:v>
      </ns0:c>
      <ns0:c r="Z823" s="0">
        <ns0:f>IF(T823=0,0,T823-IF(V823="AM",1,0))</ns0:f>
        <ns0:v>0</ns0:v>
      </ns0:c>
      <ns0:c r="AA823" s="0">
        <ns0:f>IFERROR(IF(AND(J823&gt;0,'_Engine'!C823&gt;0,MID('_Engine'!W823,WEEKDAY(J823,2),1)="W",COUNTIF(Settings!$F$18:$F$67,J823)=0),1,0),0)</ns0:f>
        <ns0:v>0</ns0:v>
      </ns0:c>
      <ns0:c r="AB823" s="0">
        <ns0:f>IFERROR(IF(AND(T823&gt;0,'_Engine'!C823&gt;0,MID('_Engine'!W823,WEEKDAY(T823,2),1)="W",COUNTIF(Settings!$F$18:$F$67,T823)=0),1,0),0)</ns0:f>
        <ns0:v>0</ns0:v>
      </ns0:c>
      <ns0:c r="AC823" s="0">
        <ns0:f>IF(AND(J823&gt;0,T823&gt;0,W823&lt;=X823),1,0)</ns0:f>
        <ns0:v>0</ns0:v>
      </ns0:c>
      <ns0:c r="AD823" s="0">
        <ns0:f>IF(AND(J823&gt;0,T823&gt;0,Y823&lt;=Z823),1,0)</ns0:f>
        <ns0:v>0</ns0:v>
      </ns0:c>
    </ns0:row>
    <ns0:row r="824">
      <ns0:c r="A824" s="0">
        <ns0:f>IFERROR(IF(ISNUMBER(Bookings!B824),"",TRIM(Bookings!B824&amp;"")),"")</ns0:f>
      </ns0:c>
      <ns0:c r="B824" s="0">
        <ns0:f>IFERROR(SUBSTITUTE(SUBSTITUTE(A824,"/","."),"-","."),"")</ns0:f>
      </ns0:c>
      <ns0:c r="C824" s="0">
        <ns0:f>IFERROR(LEFT(B824,FIND(".",B824)-1),"")</ns0:f>
      </ns0:c>
      <ns0:c r="D824" s="0">
        <ns0:f>IFERROR(MID(B824,FIND(".",B824)+1,FIND(".",B824,FIND(".",B824)+1)-FIND(".",B824)-1),"")</ns0:f>
      </ns0:c>
      <ns0:c r="E824" s="0">
        <ns0:f>IFERROR(MID(B824,FIND(".",B824,FIND(".",B824)+1)+1,99),"")</ns0:f>
        <ns0:v>99</ns0:v>
      </ns0:c>
      <ns0:c r="F824" s="0">
        <ns0:f>IFERROR(IF(FIND(".",B824)=5,--C824,--E824),0)</ns0:f>
        <ns0:v>0</ns0:v>
      </ns0:c>
      <ns0:c r="G824" s="0">
        <ns0:f>IFERROR(--D824,0)</ns0:f>
        <ns0:v>0</ns0:v>
      </ns0:c>
      <ns0:c r="H824" s="0">
        <ns0:f>IFERROR(IF(FIND(".",B824)=5,--E824,--C824),0)</ns0:f>
        <ns0:v>0</ns0:v>
      </ns0:c>
      <ns0:c r="I824" s="0">
        <ns0:f>IFERROR(IF(AND(F824&gt;=2000,F824&lt;=2100,G824&gt;=1,G824&lt;=12,H824&gt;=1,H824&lt;=31),DATE(F824,G824,H824),0),0)</ns0:f>
        <ns0:v>0</ns0:v>
      </ns0:c>
      <ns0:c r="J824" s="0">
        <ns0:f>IFERROR(IF(ISNUMBER(Bookings!B824),IF(AND(Bookings!B824=INT(Bookings!B824),Bookings!B824&gt;=DATE(2000,1,1),Bookings!B824&lt;=DATE(2100,12,31)),Bookings!B824,0),IF(AND(A824&lt;&gt;"",LEN("x"&amp;B824)-LEN(SUBSTITUTE("x"&amp;B824,".",""))=2,OR(1&gt;LEN(B824),MID(B824,1,1)=".",ISNUMBER(FIND("x"&amp;MID(B824,1,1),"x0x1x2x3x4x5x6x7x8x9"))),OR(2&gt;LEN(B824),MID(B824,2,1)=".",ISNUMBER(FIND("x"&amp;MID(B824,2,1),"x0x1x2x3x4x5x6x7x8x9"))),OR(3&gt;LEN(B824),MID(B824,3,1)=".",ISNUMBER(FIND("x"&amp;MID(B824,3,1),"x0x1x2x3x4x5x6x7x8x9"))),OR(4&gt;LEN(B824),MID(B824,4,1)=".",ISNUMBER(FIND("x"&amp;MID(B824,4,1),"x0x1x2x3x4x5x6x7x8x9"))),OR(5&gt;LEN(B824),MID(B824,5,1)=".",ISNUMBER(FIND("x"&amp;MID(B824,5,1),"x0x1x2x3x4x5x6x7x8x9"))),OR(6&gt;LEN(B824),MID(B824,6,1)=".",ISNUMBER(FIND("x"&amp;MID(B824,6,1),"x0x1x2x3x4x5x6x7x8x9"))),OR(7&gt;LEN(B824),MID(B824,7,1)=".",ISNUMBER(FIND("x"&amp;MID(B824,7,1),"x0x1x2x3x4x5x6x7x8x9"))),OR(8&gt;LEN(B824),MID(B824,8,1)=".",ISNUMBER(FIND("x"&amp;MID(B824,8,1),"x0x1x2x3x4x5x6x7x8x9"))),OR(9&gt;LEN(B824),MID(B824,9,1)=".",ISNUMBER(FIND("x"&amp;MID(B824,9,1),"x0x1x2x3x4x5x6x7x8x9"))),OR(10&gt;LEN(B824),MID(B824,10,1)=".",ISNUMBER(FIND("x"&amp;MID(B824,10,1),"x0x1x2x3x4x5x6x7x8x9"))),OR(AND(FIND(".",B824)=5,LEN(B824)-FIND(".",B824,FIND(".",B824)+1)&gt;=1,LEN(B824)-FIND(".",B824,FIND(".",B824)+1)&lt;=2),AND(LEN(B824)-FIND(".",B824,FIND(".",B824)+1)=4,FIND(".",B824)&gt;=2,FIND(".",B824)&lt;=3)),FIND(".",B824,FIND(".",B824)+1)-FIND(".",B824)&gt;=2,FIND(".",B824,FIND(".",B824)+1)-FIND(".",B824)&lt;=3,F824&gt;=2000,F824&lt;=2100,YEAR(I824)=F824,MONTH(I824)=G824,DAY(I824)=H824),I824,0)),0)</ns0:f>
        <ns0:v>0</ns0:v>
      </ns0:c>
      <ns0:c r="K824" s="0">
        <ns0:f>IFERROR(IF(ISNUMBER(Bookings!D824),"",TRIM(Bookings!D824&amp;"")),"")</ns0:f>
      </ns0:c>
      <ns0:c r="L824" s="0">
        <ns0:f>IFERROR(SUBSTITUTE(SUBSTITUTE(K824,"/","."),"-","."),"")</ns0:f>
      </ns0:c>
      <ns0:c r="M824" s="0">
        <ns0:f>IFERROR(LEFT(L824,FIND(".",L824)-1),"")</ns0:f>
      </ns0:c>
      <ns0:c r="N824" s="0">
        <ns0:f>IFERROR(MID(L824,FIND(".",L824)+1,FIND(".",L824,FIND(".",L824)+1)-FIND(".",L824)-1),"")</ns0:f>
      </ns0:c>
      <ns0:c r="O824" s="0">
        <ns0:f>IFERROR(MID(L824,FIND(".",L824,FIND(".",L824)+1)+1,99),"")</ns0:f>
        <ns0:v>99</ns0:v>
      </ns0:c>
      <ns0:c r="P824" s="0">
        <ns0:f>IFERROR(IF(FIND(".",L824)=5,--M824,--O824),0)</ns0:f>
        <ns0:v>0</ns0:v>
      </ns0:c>
      <ns0:c r="Q824" s="0">
        <ns0:f>IFERROR(--N824,0)</ns0:f>
        <ns0:v>0</ns0:v>
      </ns0:c>
      <ns0:c r="R824" s="0">
        <ns0:f>IFERROR(IF(FIND(".",L824)=5,--O824,--M824),0)</ns0:f>
        <ns0:v>0</ns0:v>
      </ns0:c>
      <ns0:c r="S824" s="0">
        <ns0:f>IFERROR(IF(AND(P824&gt;=2000,P824&lt;=2100,Q824&gt;=1,Q824&lt;=12,R824&gt;=1,R824&lt;=31),DATE(P824,Q824,R824),0),0)</ns0:f>
        <ns0:v>0</ns0:v>
      </ns0:c>
      <ns0:c r="T824" s="0">
        <ns0:f>IFERROR(IF(ISNUMBER(Bookings!D824),IF(AND(Bookings!D824=INT(Bookings!D824),Bookings!D824&gt;=DATE(2000,1,1),Bookings!D824&lt;=DATE(2100,12,31)),Bookings!D824,0),IF(AND(K824&lt;&gt;"",LEN("x"&amp;L824)-LEN(SUBSTITUTE("x"&amp;L824,".",""))=2,OR(1&gt;LEN(L824),MID(L824,1,1)=".",ISNUMBER(FIND("x"&amp;MID(L824,1,1),"x0x1x2x3x4x5x6x7x8x9"))),OR(2&gt;LEN(L824),MID(L824,2,1)=".",ISNUMBER(FIND("x"&amp;MID(L824,2,1),"x0x1x2x3x4x5x6x7x8x9"))),OR(3&gt;LEN(L824),MID(L824,3,1)=".",ISNUMBER(FIND("x"&amp;MID(L824,3,1),"x0x1x2x3x4x5x6x7x8x9"))),OR(4&gt;LEN(L824),MID(L824,4,1)=".",ISNUMBER(FIND("x"&amp;MID(L824,4,1),"x0x1x2x3x4x5x6x7x8x9"))),OR(5&gt;LEN(L824),MID(L824,5,1)=".",ISNUMBER(FIND("x"&amp;MID(L824,5,1),"x0x1x2x3x4x5x6x7x8x9"))),OR(6&gt;LEN(L824),MID(L824,6,1)=".",ISNUMBER(FIND("x"&amp;MID(L824,6,1),"x0x1x2x3x4x5x6x7x8x9"))),OR(7&gt;LEN(L824),MID(L824,7,1)=".",ISNUMBER(FIND("x"&amp;MID(L824,7,1),"x0x1x2x3x4x5x6x7x8x9"))),OR(8&gt;LEN(L824),MID(L824,8,1)=".",ISNUMBER(FIND("x"&amp;MID(L824,8,1),"x0x1x2x3x4x5x6x7x8x9"))),OR(9&gt;LEN(L824),MID(L824,9,1)=".",ISNUMBER(FIND("x"&amp;MID(L824,9,1),"x0x1x2x3x4x5x6x7x8x9"))),OR(10&gt;LEN(L824),MID(L824,10,1)=".",ISNUMBER(FIND("x"&amp;MID(L824,10,1),"x0x1x2x3x4x5x6x7x8x9"))),OR(AND(FIND(".",L824)=5,LEN(L824)-FIND(".",L824,FIND(".",L824)+1)&gt;=1,LEN(L824)-FIND(".",L824,FIND(".",L824)+1)&lt;=2),AND(LEN(L824)-FIND(".",L824,FIND(".",L824)+1)=4,FIND(".",L824)&gt;=2,FIND(".",L824)&lt;=3)),FIND(".",L824,FIND(".",L824)+1)-FIND(".",L824)&gt;=2,FIND(".",L824,FIND(".",L824)+1)-FIND(".",L824)&lt;=3,P824&gt;=2000,P824&lt;=2100,YEAR(S824)=P824,MONTH(S824)=Q824,DAY(S824)=R824),S824,0)),0)</ns0:f>
        <ns0:v>0</ns0:v>
      </ns0:c>
      <ns0:c r="U824" s="0" t="str">
        <ns0:f>IF(Bookings!C824="","Full day",Bookings!C824)</ns0:f>
        <ns0:v>Full day</ns0:v>
      </ns0:c>
      <ns0:c r="V824" s="0" t="str">
        <ns0:f>IF(Bookings!E824="","Full day",Bookings!E824)</ns0:f>
        <ns0:v>Full day</ns0:v>
      </ns0:c>
      <ns0:c r="W824" s="0">
        <ns0:f>IF(J824=0,0,J824+IF(U824="PM",1,0))</ns0:f>
        <ns0:v>0</ns0:v>
      </ns0:c>
      <ns0:c r="X824" s="0">
        <ns0:f>IF(T824=0,0,T824-IF(V824="PM",1,0))</ns0:f>
        <ns0:v>0</ns0:v>
      </ns0:c>
      <ns0:c r="Y824" s="0">
        <ns0:f>IF(J824=0,0,J824+IF(U824="AM",1,0))</ns0:f>
        <ns0:v>0</ns0:v>
      </ns0:c>
      <ns0:c r="Z824" s="0">
        <ns0:f>IF(T824=0,0,T824-IF(V824="AM",1,0))</ns0:f>
        <ns0:v>0</ns0:v>
      </ns0:c>
      <ns0:c r="AA824" s="0">
        <ns0:f>IFERROR(IF(AND(J824&gt;0,'_Engine'!C824&gt;0,MID('_Engine'!W824,WEEKDAY(J824,2),1)="W",COUNTIF(Settings!$F$18:$F$67,J824)=0),1,0),0)</ns0:f>
        <ns0:v>0</ns0:v>
      </ns0:c>
      <ns0:c r="AB824" s="0">
        <ns0:f>IFERROR(IF(AND(T824&gt;0,'_Engine'!C824&gt;0,MID('_Engine'!W824,WEEKDAY(T824,2),1)="W",COUNTIF(Settings!$F$18:$F$67,T824)=0),1,0),0)</ns0:f>
        <ns0:v>0</ns0:v>
      </ns0:c>
      <ns0:c r="AC824" s="0">
        <ns0:f>IF(AND(J824&gt;0,T824&gt;0,W824&lt;=X824),1,0)</ns0:f>
        <ns0:v>0</ns0:v>
      </ns0:c>
      <ns0:c r="AD824" s="0">
        <ns0:f>IF(AND(J824&gt;0,T824&gt;0,Y824&lt;=Z824),1,0)</ns0:f>
        <ns0:v>0</ns0:v>
      </ns0:c>
    </ns0:row>
    <ns0:row r="825">
      <ns0:c r="A825" s="0">
        <ns0:f>IFERROR(IF(ISNUMBER(Bookings!B825),"",TRIM(Bookings!B825&amp;"")),"")</ns0:f>
      </ns0:c>
      <ns0:c r="B825" s="0">
        <ns0:f>IFERROR(SUBSTITUTE(SUBSTITUTE(A825,"/","."),"-","."),"")</ns0:f>
      </ns0:c>
      <ns0:c r="C825" s="0">
        <ns0:f>IFERROR(LEFT(B825,FIND(".",B825)-1),"")</ns0:f>
      </ns0:c>
      <ns0:c r="D825" s="0">
        <ns0:f>IFERROR(MID(B825,FIND(".",B825)+1,FIND(".",B825,FIND(".",B825)+1)-FIND(".",B825)-1),"")</ns0:f>
      </ns0:c>
      <ns0:c r="E825" s="0">
        <ns0:f>IFERROR(MID(B825,FIND(".",B825,FIND(".",B825)+1)+1,99),"")</ns0:f>
        <ns0:v>99</ns0:v>
      </ns0:c>
      <ns0:c r="F825" s="0">
        <ns0:f>IFERROR(IF(FIND(".",B825)=5,--C825,--E825),0)</ns0:f>
        <ns0:v>0</ns0:v>
      </ns0:c>
      <ns0:c r="G825" s="0">
        <ns0:f>IFERROR(--D825,0)</ns0:f>
        <ns0:v>0</ns0:v>
      </ns0:c>
      <ns0:c r="H825" s="0">
        <ns0:f>IFERROR(IF(FIND(".",B825)=5,--E825,--C825),0)</ns0:f>
        <ns0:v>0</ns0:v>
      </ns0:c>
      <ns0:c r="I825" s="0">
        <ns0:f>IFERROR(IF(AND(F825&gt;=2000,F825&lt;=2100,G825&gt;=1,G825&lt;=12,H825&gt;=1,H825&lt;=31),DATE(F825,G825,H825),0),0)</ns0:f>
        <ns0:v>0</ns0:v>
      </ns0:c>
      <ns0:c r="J825" s="0">
        <ns0:f>IFERROR(IF(ISNUMBER(Bookings!B825),IF(AND(Bookings!B825=INT(Bookings!B825),Bookings!B825&gt;=DATE(2000,1,1),Bookings!B825&lt;=DATE(2100,12,31)),Bookings!B825,0),IF(AND(A825&lt;&gt;"",LEN("x"&amp;B825)-LEN(SUBSTITUTE("x"&amp;B825,".",""))=2,OR(1&gt;LEN(B825),MID(B825,1,1)=".",ISNUMBER(FIND("x"&amp;MID(B825,1,1),"x0x1x2x3x4x5x6x7x8x9"))),OR(2&gt;LEN(B825),MID(B825,2,1)=".",ISNUMBER(FIND("x"&amp;MID(B825,2,1),"x0x1x2x3x4x5x6x7x8x9"))),OR(3&gt;LEN(B825),MID(B825,3,1)=".",ISNUMBER(FIND("x"&amp;MID(B825,3,1),"x0x1x2x3x4x5x6x7x8x9"))),OR(4&gt;LEN(B825),MID(B825,4,1)=".",ISNUMBER(FIND("x"&amp;MID(B825,4,1),"x0x1x2x3x4x5x6x7x8x9"))),OR(5&gt;LEN(B825),MID(B825,5,1)=".",ISNUMBER(FIND("x"&amp;MID(B825,5,1),"x0x1x2x3x4x5x6x7x8x9"))),OR(6&gt;LEN(B825),MID(B825,6,1)=".",ISNUMBER(FIND("x"&amp;MID(B825,6,1),"x0x1x2x3x4x5x6x7x8x9"))),OR(7&gt;LEN(B825),MID(B825,7,1)=".",ISNUMBER(FIND("x"&amp;MID(B825,7,1),"x0x1x2x3x4x5x6x7x8x9"))),OR(8&gt;LEN(B825),MID(B825,8,1)=".",ISNUMBER(FIND("x"&amp;MID(B825,8,1),"x0x1x2x3x4x5x6x7x8x9"))),OR(9&gt;LEN(B825),MID(B825,9,1)=".",ISNUMBER(FIND("x"&amp;MID(B825,9,1),"x0x1x2x3x4x5x6x7x8x9"))),OR(10&gt;LEN(B825),MID(B825,10,1)=".",ISNUMBER(FIND("x"&amp;MID(B825,10,1),"x0x1x2x3x4x5x6x7x8x9"))),OR(AND(FIND(".",B825)=5,LEN(B825)-FIND(".",B825,FIND(".",B825)+1)&gt;=1,LEN(B825)-FIND(".",B825,FIND(".",B825)+1)&lt;=2),AND(LEN(B825)-FIND(".",B825,FIND(".",B825)+1)=4,FIND(".",B825)&gt;=2,FIND(".",B825)&lt;=3)),FIND(".",B825,FIND(".",B825)+1)-FIND(".",B825)&gt;=2,FIND(".",B825,FIND(".",B825)+1)-FIND(".",B825)&lt;=3,F825&gt;=2000,F825&lt;=2100,YEAR(I825)=F825,MONTH(I825)=G825,DAY(I825)=H825),I825,0)),0)</ns0:f>
        <ns0:v>0</ns0:v>
      </ns0:c>
      <ns0:c r="K825" s="0">
        <ns0:f>IFERROR(IF(ISNUMBER(Bookings!D825),"",TRIM(Bookings!D825&amp;"")),"")</ns0:f>
      </ns0:c>
      <ns0:c r="L825" s="0">
        <ns0:f>IFERROR(SUBSTITUTE(SUBSTITUTE(K825,"/","."),"-","."),"")</ns0:f>
      </ns0:c>
      <ns0:c r="M825" s="0">
        <ns0:f>IFERROR(LEFT(L825,FIND(".",L825)-1),"")</ns0:f>
      </ns0:c>
      <ns0:c r="N825" s="0">
        <ns0:f>IFERROR(MID(L825,FIND(".",L825)+1,FIND(".",L825,FIND(".",L825)+1)-FIND(".",L825)-1),"")</ns0:f>
      </ns0:c>
      <ns0:c r="O825" s="0">
        <ns0:f>IFERROR(MID(L825,FIND(".",L825,FIND(".",L825)+1)+1,99),"")</ns0:f>
        <ns0:v>99</ns0:v>
      </ns0:c>
      <ns0:c r="P825" s="0">
        <ns0:f>IFERROR(IF(FIND(".",L825)=5,--M825,--O825),0)</ns0:f>
        <ns0:v>0</ns0:v>
      </ns0:c>
      <ns0:c r="Q825" s="0">
        <ns0:f>IFERROR(--N825,0)</ns0:f>
        <ns0:v>0</ns0:v>
      </ns0:c>
      <ns0:c r="R825" s="0">
        <ns0:f>IFERROR(IF(FIND(".",L825)=5,--O825,--M825),0)</ns0:f>
        <ns0:v>0</ns0:v>
      </ns0:c>
      <ns0:c r="S825" s="0">
        <ns0:f>IFERROR(IF(AND(P825&gt;=2000,P825&lt;=2100,Q825&gt;=1,Q825&lt;=12,R825&gt;=1,R825&lt;=31),DATE(P825,Q825,R825),0),0)</ns0:f>
        <ns0:v>0</ns0:v>
      </ns0:c>
      <ns0:c r="T825" s="0">
        <ns0:f>IFERROR(IF(ISNUMBER(Bookings!D825),IF(AND(Bookings!D825=INT(Bookings!D825),Bookings!D825&gt;=DATE(2000,1,1),Bookings!D825&lt;=DATE(2100,12,31)),Bookings!D825,0),IF(AND(K825&lt;&gt;"",LEN("x"&amp;L825)-LEN(SUBSTITUTE("x"&amp;L825,".",""))=2,OR(1&gt;LEN(L825),MID(L825,1,1)=".",ISNUMBER(FIND("x"&amp;MID(L825,1,1),"x0x1x2x3x4x5x6x7x8x9"))),OR(2&gt;LEN(L825),MID(L825,2,1)=".",ISNUMBER(FIND("x"&amp;MID(L825,2,1),"x0x1x2x3x4x5x6x7x8x9"))),OR(3&gt;LEN(L825),MID(L825,3,1)=".",ISNUMBER(FIND("x"&amp;MID(L825,3,1),"x0x1x2x3x4x5x6x7x8x9"))),OR(4&gt;LEN(L825),MID(L825,4,1)=".",ISNUMBER(FIND("x"&amp;MID(L825,4,1),"x0x1x2x3x4x5x6x7x8x9"))),OR(5&gt;LEN(L825),MID(L825,5,1)=".",ISNUMBER(FIND("x"&amp;MID(L825,5,1),"x0x1x2x3x4x5x6x7x8x9"))),OR(6&gt;LEN(L825),MID(L825,6,1)=".",ISNUMBER(FIND("x"&amp;MID(L825,6,1),"x0x1x2x3x4x5x6x7x8x9"))),OR(7&gt;LEN(L825),MID(L825,7,1)=".",ISNUMBER(FIND("x"&amp;MID(L825,7,1),"x0x1x2x3x4x5x6x7x8x9"))),OR(8&gt;LEN(L825),MID(L825,8,1)=".",ISNUMBER(FIND("x"&amp;MID(L825,8,1),"x0x1x2x3x4x5x6x7x8x9"))),OR(9&gt;LEN(L825),MID(L825,9,1)=".",ISNUMBER(FIND("x"&amp;MID(L825,9,1),"x0x1x2x3x4x5x6x7x8x9"))),OR(10&gt;LEN(L825),MID(L825,10,1)=".",ISNUMBER(FIND("x"&amp;MID(L825,10,1),"x0x1x2x3x4x5x6x7x8x9"))),OR(AND(FIND(".",L825)=5,LEN(L825)-FIND(".",L825,FIND(".",L825)+1)&gt;=1,LEN(L825)-FIND(".",L825,FIND(".",L825)+1)&lt;=2),AND(LEN(L825)-FIND(".",L825,FIND(".",L825)+1)=4,FIND(".",L825)&gt;=2,FIND(".",L825)&lt;=3)),FIND(".",L825,FIND(".",L825)+1)-FIND(".",L825)&gt;=2,FIND(".",L825,FIND(".",L825)+1)-FIND(".",L825)&lt;=3,P825&gt;=2000,P825&lt;=2100,YEAR(S825)=P825,MONTH(S825)=Q825,DAY(S825)=R825),S825,0)),0)</ns0:f>
        <ns0:v>0</ns0:v>
      </ns0:c>
      <ns0:c r="U825" s="0" t="str">
        <ns0:f>IF(Bookings!C825="","Full day",Bookings!C825)</ns0:f>
        <ns0:v>Full day</ns0:v>
      </ns0:c>
      <ns0:c r="V825" s="0" t="str">
        <ns0:f>IF(Bookings!E825="","Full day",Bookings!E825)</ns0:f>
        <ns0:v>Full day</ns0:v>
      </ns0:c>
      <ns0:c r="W825" s="0">
        <ns0:f>IF(J825=0,0,J825+IF(U825="PM",1,0))</ns0:f>
        <ns0:v>0</ns0:v>
      </ns0:c>
      <ns0:c r="X825" s="0">
        <ns0:f>IF(T825=0,0,T825-IF(V825="PM",1,0))</ns0:f>
        <ns0:v>0</ns0:v>
      </ns0:c>
      <ns0:c r="Y825" s="0">
        <ns0:f>IF(J825=0,0,J825+IF(U825="AM",1,0))</ns0:f>
        <ns0:v>0</ns0:v>
      </ns0:c>
      <ns0:c r="Z825" s="0">
        <ns0:f>IF(T825=0,0,T825-IF(V825="AM",1,0))</ns0:f>
        <ns0:v>0</ns0:v>
      </ns0:c>
      <ns0:c r="AA825" s="0">
        <ns0:f>IFERROR(IF(AND(J825&gt;0,'_Engine'!C825&gt;0,MID('_Engine'!W825,WEEKDAY(J825,2),1)="W",COUNTIF(Settings!$F$18:$F$67,J825)=0),1,0),0)</ns0:f>
        <ns0:v>0</ns0:v>
      </ns0:c>
      <ns0:c r="AB825" s="0">
        <ns0:f>IFERROR(IF(AND(T825&gt;0,'_Engine'!C825&gt;0,MID('_Engine'!W825,WEEKDAY(T825,2),1)="W",COUNTIF(Settings!$F$18:$F$67,T825)=0),1,0),0)</ns0:f>
        <ns0:v>0</ns0:v>
      </ns0:c>
      <ns0:c r="AC825" s="0">
        <ns0:f>IF(AND(J825&gt;0,T825&gt;0,W825&lt;=X825),1,0)</ns0:f>
        <ns0:v>0</ns0:v>
      </ns0:c>
      <ns0:c r="AD825" s="0">
        <ns0:f>IF(AND(J825&gt;0,T825&gt;0,Y825&lt;=Z825),1,0)</ns0:f>
        <ns0:v>0</ns0:v>
      </ns0:c>
    </ns0:row>
    <ns0:row r="826">
      <ns0:c r="A826" s="0">
        <ns0:f>IFERROR(IF(ISNUMBER(Bookings!B826),"",TRIM(Bookings!B826&amp;"")),"")</ns0:f>
      </ns0:c>
      <ns0:c r="B826" s="0">
        <ns0:f>IFERROR(SUBSTITUTE(SUBSTITUTE(A826,"/","."),"-","."),"")</ns0:f>
      </ns0:c>
      <ns0:c r="C826" s="0">
        <ns0:f>IFERROR(LEFT(B826,FIND(".",B826)-1),"")</ns0:f>
      </ns0:c>
      <ns0:c r="D826" s="0">
        <ns0:f>IFERROR(MID(B826,FIND(".",B826)+1,FIND(".",B826,FIND(".",B826)+1)-FIND(".",B826)-1),"")</ns0:f>
      </ns0:c>
      <ns0:c r="E826" s="0">
        <ns0:f>IFERROR(MID(B826,FIND(".",B826,FIND(".",B826)+1)+1,99),"")</ns0:f>
        <ns0:v>99</ns0:v>
      </ns0:c>
      <ns0:c r="F826" s="0">
        <ns0:f>IFERROR(IF(FIND(".",B826)=5,--C826,--E826),0)</ns0:f>
        <ns0:v>0</ns0:v>
      </ns0:c>
      <ns0:c r="G826" s="0">
        <ns0:f>IFERROR(--D826,0)</ns0:f>
        <ns0:v>0</ns0:v>
      </ns0:c>
      <ns0:c r="H826" s="0">
        <ns0:f>IFERROR(IF(FIND(".",B826)=5,--E826,--C826),0)</ns0:f>
        <ns0:v>0</ns0:v>
      </ns0:c>
      <ns0:c r="I826" s="0">
        <ns0:f>IFERROR(IF(AND(F826&gt;=2000,F826&lt;=2100,G826&gt;=1,G826&lt;=12,H826&gt;=1,H826&lt;=31),DATE(F826,G826,H826),0),0)</ns0:f>
        <ns0:v>0</ns0:v>
      </ns0:c>
      <ns0:c r="J826" s="0">
        <ns0:f>IFERROR(IF(ISNUMBER(Bookings!B826),IF(AND(Bookings!B826=INT(Bookings!B826),Bookings!B826&gt;=DATE(2000,1,1),Bookings!B826&lt;=DATE(2100,12,31)),Bookings!B826,0),IF(AND(A826&lt;&gt;"",LEN("x"&amp;B826)-LEN(SUBSTITUTE("x"&amp;B826,".",""))=2,OR(1&gt;LEN(B826),MID(B826,1,1)=".",ISNUMBER(FIND("x"&amp;MID(B826,1,1),"x0x1x2x3x4x5x6x7x8x9"))),OR(2&gt;LEN(B826),MID(B826,2,1)=".",ISNUMBER(FIND("x"&amp;MID(B826,2,1),"x0x1x2x3x4x5x6x7x8x9"))),OR(3&gt;LEN(B826),MID(B826,3,1)=".",ISNUMBER(FIND("x"&amp;MID(B826,3,1),"x0x1x2x3x4x5x6x7x8x9"))),OR(4&gt;LEN(B826),MID(B826,4,1)=".",ISNUMBER(FIND("x"&amp;MID(B826,4,1),"x0x1x2x3x4x5x6x7x8x9"))),OR(5&gt;LEN(B826),MID(B826,5,1)=".",ISNUMBER(FIND("x"&amp;MID(B826,5,1),"x0x1x2x3x4x5x6x7x8x9"))),OR(6&gt;LEN(B826),MID(B826,6,1)=".",ISNUMBER(FIND("x"&amp;MID(B826,6,1),"x0x1x2x3x4x5x6x7x8x9"))),OR(7&gt;LEN(B826),MID(B826,7,1)=".",ISNUMBER(FIND("x"&amp;MID(B826,7,1),"x0x1x2x3x4x5x6x7x8x9"))),OR(8&gt;LEN(B826),MID(B826,8,1)=".",ISNUMBER(FIND("x"&amp;MID(B826,8,1),"x0x1x2x3x4x5x6x7x8x9"))),OR(9&gt;LEN(B826),MID(B826,9,1)=".",ISNUMBER(FIND("x"&amp;MID(B826,9,1),"x0x1x2x3x4x5x6x7x8x9"))),OR(10&gt;LEN(B826),MID(B826,10,1)=".",ISNUMBER(FIND("x"&amp;MID(B826,10,1),"x0x1x2x3x4x5x6x7x8x9"))),OR(AND(FIND(".",B826)=5,LEN(B826)-FIND(".",B826,FIND(".",B826)+1)&gt;=1,LEN(B826)-FIND(".",B826,FIND(".",B826)+1)&lt;=2),AND(LEN(B826)-FIND(".",B826,FIND(".",B826)+1)=4,FIND(".",B826)&gt;=2,FIND(".",B826)&lt;=3)),FIND(".",B826,FIND(".",B826)+1)-FIND(".",B826)&gt;=2,FIND(".",B826,FIND(".",B826)+1)-FIND(".",B826)&lt;=3,F826&gt;=2000,F826&lt;=2100,YEAR(I826)=F826,MONTH(I826)=G826,DAY(I826)=H826),I826,0)),0)</ns0:f>
        <ns0:v>0</ns0:v>
      </ns0:c>
      <ns0:c r="K826" s="0">
        <ns0:f>IFERROR(IF(ISNUMBER(Bookings!D826),"",TRIM(Bookings!D826&amp;"")),"")</ns0:f>
      </ns0:c>
      <ns0:c r="L826" s="0">
        <ns0:f>IFERROR(SUBSTITUTE(SUBSTITUTE(K826,"/","."),"-","."),"")</ns0:f>
      </ns0:c>
      <ns0:c r="M826" s="0">
        <ns0:f>IFERROR(LEFT(L826,FIND(".",L826)-1),"")</ns0:f>
      </ns0:c>
      <ns0:c r="N826" s="0">
        <ns0:f>IFERROR(MID(L826,FIND(".",L826)+1,FIND(".",L826,FIND(".",L826)+1)-FIND(".",L826)-1),"")</ns0:f>
      </ns0:c>
      <ns0:c r="O826" s="0">
        <ns0:f>IFERROR(MID(L826,FIND(".",L826,FIND(".",L826)+1)+1,99),"")</ns0:f>
        <ns0:v>99</ns0:v>
      </ns0:c>
      <ns0:c r="P826" s="0">
        <ns0:f>IFERROR(IF(FIND(".",L826)=5,--M826,--O826),0)</ns0:f>
        <ns0:v>0</ns0:v>
      </ns0:c>
      <ns0:c r="Q826" s="0">
        <ns0:f>IFERROR(--N826,0)</ns0:f>
        <ns0:v>0</ns0:v>
      </ns0:c>
      <ns0:c r="R826" s="0">
        <ns0:f>IFERROR(IF(FIND(".",L826)=5,--O826,--M826),0)</ns0:f>
        <ns0:v>0</ns0:v>
      </ns0:c>
      <ns0:c r="S826" s="0">
        <ns0:f>IFERROR(IF(AND(P826&gt;=2000,P826&lt;=2100,Q826&gt;=1,Q826&lt;=12,R826&gt;=1,R826&lt;=31),DATE(P826,Q826,R826),0),0)</ns0:f>
        <ns0:v>0</ns0:v>
      </ns0:c>
      <ns0:c r="T826" s="0">
        <ns0:f>IFERROR(IF(ISNUMBER(Bookings!D826),IF(AND(Bookings!D826=INT(Bookings!D826),Bookings!D826&gt;=DATE(2000,1,1),Bookings!D826&lt;=DATE(2100,12,31)),Bookings!D826,0),IF(AND(K826&lt;&gt;"",LEN("x"&amp;L826)-LEN(SUBSTITUTE("x"&amp;L826,".",""))=2,OR(1&gt;LEN(L826),MID(L826,1,1)=".",ISNUMBER(FIND("x"&amp;MID(L826,1,1),"x0x1x2x3x4x5x6x7x8x9"))),OR(2&gt;LEN(L826),MID(L826,2,1)=".",ISNUMBER(FIND("x"&amp;MID(L826,2,1),"x0x1x2x3x4x5x6x7x8x9"))),OR(3&gt;LEN(L826),MID(L826,3,1)=".",ISNUMBER(FIND("x"&amp;MID(L826,3,1),"x0x1x2x3x4x5x6x7x8x9"))),OR(4&gt;LEN(L826),MID(L826,4,1)=".",ISNUMBER(FIND("x"&amp;MID(L826,4,1),"x0x1x2x3x4x5x6x7x8x9"))),OR(5&gt;LEN(L826),MID(L826,5,1)=".",ISNUMBER(FIND("x"&amp;MID(L826,5,1),"x0x1x2x3x4x5x6x7x8x9"))),OR(6&gt;LEN(L826),MID(L826,6,1)=".",ISNUMBER(FIND("x"&amp;MID(L826,6,1),"x0x1x2x3x4x5x6x7x8x9"))),OR(7&gt;LEN(L826),MID(L826,7,1)=".",ISNUMBER(FIND("x"&amp;MID(L826,7,1),"x0x1x2x3x4x5x6x7x8x9"))),OR(8&gt;LEN(L826),MID(L826,8,1)=".",ISNUMBER(FIND("x"&amp;MID(L826,8,1),"x0x1x2x3x4x5x6x7x8x9"))),OR(9&gt;LEN(L826),MID(L826,9,1)=".",ISNUMBER(FIND("x"&amp;MID(L826,9,1),"x0x1x2x3x4x5x6x7x8x9"))),OR(10&gt;LEN(L826),MID(L826,10,1)=".",ISNUMBER(FIND("x"&amp;MID(L826,10,1),"x0x1x2x3x4x5x6x7x8x9"))),OR(AND(FIND(".",L826)=5,LEN(L826)-FIND(".",L826,FIND(".",L826)+1)&gt;=1,LEN(L826)-FIND(".",L826,FIND(".",L826)+1)&lt;=2),AND(LEN(L826)-FIND(".",L826,FIND(".",L826)+1)=4,FIND(".",L826)&gt;=2,FIND(".",L826)&lt;=3)),FIND(".",L826,FIND(".",L826)+1)-FIND(".",L826)&gt;=2,FIND(".",L826,FIND(".",L826)+1)-FIND(".",L826)&lt;=3,P826&gt;=2000,P826&lt;=2100,YEAR(S826)=P826,MONTH(S826)=Q826,DAY(S826)=R826),S826,0)),0)</ns0:f>
        <ns0:v>0</ns0:v>
      </ns0:c>
      <ns0:c r="U826" s="0" t="str">
        <ns0:f>IF(Bookings!C826="","Full day",Bookings!C826)</ns0:f>
        <ns0:v>Full day</ns0:v>
      </ns0:c>
      <ns0:c r="V826" s="0" t="str">
        <ns0:f>IF(Bookings!E826="","Full day",Bookings!E826)</ns0:f>
        <ns0:v>Full day</ns0:v>
      </ns0:c>
      <ns0:c r="W826" s="0">
        <ns0:f>IF(J826=0,0,J826+IF(U826="PM",1,0))</ns0:f>
        <ns0:v>0</ns0:v>
      </ns0:c>
      <ns0:c r="X826" s="0">
        <ns0:f>IF(T826=0,0,T826-IF(V826="PM",1,0))</ns0:f>
        <ns0:v>0</ns0:v>
      </ns0:c>
      <ns0:c r="Y826" s="0">
        <ns0:f>IF(J826=0,0,J826+IF(U826="AM",1,0))</ns0:f>
        <ns0:v>0</ns0:v>
      </ns0:c>
      <ns0:c r="Z826" s="0">
        <ns0:f>IF(T826=0,0,T826-IF(V826="AM",1,0))</ns0:f>
        <ns0:v>0</ns0:v>
      </ns0:c>
      <ns0:c r="AA826" s="0">
        <ns0:f>IFERROR(IF(AND(J826&gt;0,'_Engine'!C826&gt;0,MID('_Engine'!W826,WEEKDAY(J826,2),1)="W",COUNTIF(Settings!$F$18:$F$67,J826)=0),1,0),0)</ns0:f>
        <ns0:v>0</ns0:v>
      </ns0:c>
      <ns0:c r="AB826" s="0">
        <ns0:f>IFERROR(IF(AND(T826&gt;0,'_Engine'!C826&gt;0,MID('_Engine'!W826,WEEKDAY(T826,2),1)="W",COUNTIF(Settings!$F$18:$F$67,T826)=0),1,0),0)</ns0:f>
        <ns0:v>0</ns0:v>
      </ns0:c>
      <ns0:c r="AC826" s="0">
        <ns0:f>IF(AND(J826&gt;0,T826&gt;0,W826&lt;=X826),1,0)</ns0:f>
        <ns0:v>0</ns0:v>
      </ns0:c>
      <ns0:c r="AD826" s="0">
        <ns0:f>IF(AND(J826&gt;0,T826&gt;0,Y826&lt;=Z826),1,0)</ns0:f>
        <ns0:v>0</ns0:v>
      </ns0:c>
    </ns0:row>
    <ns0:row r="827">
      <ns0:c r="A827" s="0">
        <ns0:f>IFERROR(IF(ISNUMBER(Bookings!B827),"",TRIM(Bookings!B827&amp;"")),"")</ns0:f>
      </ns0:c>
      <ns0:c r="B827" s="0">
        <ns0:f>IFERROR(SUBSTITUTE(SUBSTITUTE(A827,"/","."),"-","."),"")</ns0:f>
      </ns0:c>
      <ns0:c r="C827" s="0">
        <ns0:f>IFERROR(LEFT(B827,FIND(".",B827)-1),"")</ns0:f>
      </ns0:c>
      <ns0:c r="D827" s="0">
        <ns0:f>IFERROR(MID(B827,FIND(".",B827)+1,FIND(".",B827,FIND(".",B827)+1)-FIND(".",B827)-1),"")</ns0:f>
      </ns0:c>
      <ns0:c r="E827" s="0">
        <ns0:f>IFERROR(MID(B827,FIND(".",B827,FIND(".",B827)+1)+1,99),"")</ns0:f>
        <ns0:v>99</ns0:v>
      </ns0:c>
      <ns0:c r="F827" s="0">
        <ns0:f>IFERROR(IF(FIND(".",B827)=5,--C827,--E827),0)</ns0:f>
        <ns0:v>0</ns0:v>
      </ns0:c>
      <ns0:c r="G827" s="0">
        <ns0:f>IFERROR(--D827,0)</ns0:f>
        <ns0:v>0</ns0:v>
      </ns0:c>
      <ns0:c r="H827" s="0">
        <ns0:f>IFERROR(IF(FIND(".",B827)=5,--E827,--C827),0)</ns0:f>
        <ns0:v>0</ns0:v>
      </ns0:c>
      <ns0:c r="I827" s="0">
        <ns0:f>IFERROR(IF(AND(F827&gt;=2000,F827&lt;=2100,G827&gt;=1,G827&lt;=12,H827&gt;=1,H827&lt;=31),DATE(F827,G827,H827),0),0)</ns0:f>
        <ns0:v>0</ns0:v>
      </ns0:c>
      <ns0:c r="J827" s="0">
        <ns0:f>IFERROR(IF(ISNUMBER(Bookings!B827),IF(AND(Bookings!B827=INT(Bookings!B827),Bookings!B827&gt;=DATE(2000,1,1),Bookings!B827&lt;=DATE(2100,12,31)),Bookings!B827,0),IF(AND(A827&lt;&gt;"",LEN("x"&amp;B827)-LEN(SUBSTITUTE("x"&amp;B827,".",""))=2,OR(1&gt;LEN(B827),MID(B827,1,1)=".",ISNUMBER(FIND("x"&amp;MID(B827,1,1),"x0x1x2x3x4x5x6x7x8x9"))),OR(2&gt;LEN(B827),MID(B827,2,1)=".",ISNUMBER(FIND("x"&amp;MID(B827,2,1),"x0x1x2x3x4x5x6x7x8x9"))),OR(3&gt;LEN(B827),MID(B827,3,1)=".",ISNUMBER(FIND("x"&amp;MID(B827,3,1),"x0x1x2x3x4x5x6x7x8x9"))),OR(4&gt;LEN(B827),MID(B827,4,1)=".",ISNUMBER(FIND("x"&amp;MID(B827,4,1),"x0x1x2x3x4x5x6x7x8x9"))),OR(5&gt;LEN(B827),MID(B827,5,1)=".",ISNUMBER(FIND("x"&amp;MID(B827,5,1),"x0x1x2x3x4x5x6x7x8x9"))),OR(6&gt;LEN(B827),MID(B827,6,1)=".",ISNUMBER(FIND("x"&amp;MID(B827,6,1),"x0x1x2x3x4x5x6x7x8x9"))),OR(7&gt;LEN(B827),MID(B827,7,1)=".",ISNUMBER(FIND("x"&amp;MID(B827,7,1),"x0x1x2x3x4x5x6x7x8x9"))),OR(8&gt;LEN(B827),MID(B827,8,1)=".",ISNUMBER(FIND("x"&amp;MID(B827,8,1),"x0x1x2x3x4x5x6x7x8x9"))),OR(9&gt;LEN(B827),MID(B827,9,1)=".",ISNUMBER(FIND("x"&amp;MID(B827,9,1),"x0x1x2x3x4x5x6x7x8x9"))),OR(10&gt;LEN(B827),MID(B827,10,1)=".",ISNUMBER(FIND("x"&amp;MID(B827,10,1),"x0x1x2x3x4x5x6x7x8x9"))),OR(AND(FIND(".",B827)=5,LEN(B827)-FIND(".",B827,FIND(".",B827)+1)&gt;=1,LEN(B827)-FIND(".",B827,FIND(".",B827)+1)&lt;=2),AND(LEN(B827)-FIND(".",B827,FIND(".",B827)+1)=4,FIND(".",B827)&gt;=2,FIND(".",B827)&lt;=3)),FIND(".",B827,FIND(".",B827)+1)-FIND(".",B827)&gt;=2,FIND(".",B827,FIND(".",B827)+1)-FIND(".",B827)&lt;=3,F827&gt;=2000,F827&lt;=2100,YEAR(I827)=F827,MONTH(I827)=G827,DAY(I827)=H827),I827,0)),0)</ns0:f>
        <ns0:v>0</ns0:v>
      </ns0:c>
      <ns0:c r="K827" s="0">
        <ns0:f>IFERROR(IF(ISNUMBER(Bookings!D827),"",TRIM(Bookings!D827&amp;"")),"")</ns0:f>
      </ns0:c>
      <ns0:c r="L827" s="0">
        <ns0:f>IFERROR(SUBSTITUTE(SUBSTITUTE(K827,"/","."),"-","."),"")</ns0:f>
      </ns0:c>
      <ns0:c r="M827" s="0">
        <ns0:f>IFERROR(LEFT(L827,FIND(".",L827)-1),"")</ns0:f>
      </ns0:c>
      <ns0:c r="N827" s="0">
        <ns0:f>IFERROR(MID(L827,FIND(".",L827)+1,FIND(".",L827,FIND(".",L827)+1)-FIND(".",L827)-1),"")</ns0:f>
      </ns0:c>
      <ns0:c r="O827" s="0">
        <ns0:f>IFERROR(MID(L827,FIND(".",L827,FIND(".",L827)+1)+1,99),"")</ns0:f>
        <ns0:v>99</ns0:v>
      </ns0:c>
      <ns0:c r="P827" s="0">
        <ns0:f>IFERROR(IF(FIND(".",L827)=5,--M827,--O827),0)</ns0:f>
        <ns0:v>0</ns0:v>
      </ns0:c>
      <ns0:c r="Q827" s="0">
        <ns0:f>IFERROR(--N827,0)</ns0:f>
        <ns0:v>0</ns0:v>
      </ns0:c>
      <ns0:c r="R827" s="0">
        <ns0:f>IFERROR(IF(FIND(".",L827)=5,--O827,--M827),0)</ns0:f>
        <ns0:v>0</ns0:v>
      </ns0:c>
      <ns0:c r="S827" s="0">
        <ns0:f>IFERROR(IF(AND(P827&gt;=2000,P827&lt;=2100,Q827&gt;=1,Q827&lt;=12,R827&gt;=1,R827&lt;=31),DATE(P827,Q827,R827),0),0)</ns0:f>
        <ns0:v>0</ns0:v>
      </ns0:c>
      <ns0:c r="T827" s="0">
        <ns0:f>IFERROR(IF(ISNUMBER(Bookings!D827),IF(AND(Bookings!D827=INT(Bookings!D827),Bookings!D827&gt;=DATE(2000,1,1),Bookings!D827&lt;=DATE(2100,12,31)),Bookings!D827,0),IF(AND(K827&lt;&gt;"",LEN("x"&amp;L827)-LEN(SUBSTITUTE("x"&amp;L827,".",""))=2,OR(1&gt;LEN(L827),MID(L827,1,1)=".",ISNUMBER(FIND("x"&amp;MID(L827,1,1),"x0x1x2x3x4x5x6x7x8x9"))),OR(2&gt;LEN(L827),MID(L827,2,1)=".",ISNUMBER(FIND("x"&amp;MID(L827,2,1),"x0x1x2x3x4x5x6x7x8x9"))),OR(3&gt;LEN(L827),MID(L827,3,1)=".",ISNUMBER(FIND("x"&amp;MID(L827,3,1),"x0x1x2x3x4x5x6x7x8x9"))),OR(4&gt;LEN(L827),MID(L827,4,1)=".",ISNUMBER(FIND("x"&amp;MID(L827,4,1),"x0x1x2x3x4x5x6x7x8x9"))),OR(5&gt;LEN(L827),MID(L827,5,1)=".",ISNUMBER(FIND("x"&amp;MID(L827,5,1),"x0x1x2x3x4x5x6x7x8x9"))),OR(6&gt;LEN(L827),MID(L827,6,1)=".",ISNUMBER(FIND("x"&amp;MID(L827,6,1),"x0x1x2x3x4x5x6x7x8x9"))),OR(7&gt;LEN(L827),MID(L827,7,1)=".",ISNUMBER(FIND("x"&amp;MID(L827,7,1),"x0x1x2x3x4x5x6x7x8x9"))),OR(8&gt;LEN(L827),MID(L827,8,1)=".",ISNUMBER(FIND("x"&amp;MID(L827,8,1),"x0x1x2x3x4x5x6x7x8x9"))),OR(9&gt;LEN(L827),MID(L827,9,1)=".",ISNUMBER(FIND("x"&amp;MID(L827,9,1),"x0x1x2x3x4x5x6x7x8x9"))),OR(10&gt;LEN(L827),MID(L827,10,1)=".",ISNUMBER(FIND("x"&amp;MID(L827,10,1),"x0x1x2x3x4x5x6x7x8x9"))),OR(AND(FIND(".",L827)=5,LEN(L827)-FIND(".",L827,FIND(".",L827)+1)&gt;=1,LEN(L827)-FIND(".",L827,FIND(".",L827)+1)&lt;=2),AND(LEN(L827)-FIND(".",L827,FIND(".",L827)+1)=4,FIND(".",L827)&gt;=2,FIND(".",L827)&lt;=3)),FIND(".",L827,FIND(".",L827)+1)-FIND(".",L827)&gt;=2,FIND(".",L827,FIND(".",L827)+1)-FIND(".",L827)&lt;=3,P827&gt;=2000,P827&lt;=2100,YEAR(S827)=P827,MONTH(S827)=Q827,DAY(S827)=R827),S827,0)),0)</ns0:f>
        <ns0:v>0</ns0:v>
      </ns0:c>
      <ns0:c r="U827" s="0" t="str">
        <ns0:f>IF(Bookings!C827="","Full day",Bookings!C827)</ns0:f>
        <ns0:v>Full day</ns0:v>
      </ns0:c>
      <ns0:c r="V827" s="0" t="str">
        <ns0:f>IF(Bookings!E827="","Full day",Bookings!E827)</ns0:f>
        <ns0:v>Full day</ns0:v>
      </ns0:c>
      <ns0:c r="W827" s="0">
        <ns0:f>IF(J827=0,0,J827+IF(U827="PM",1,0))</ns0:f>
        <ns0:v>0</ns0:v>
      </ns0:c>
      <ns0:c r="X827" s="0">
        <ns0:f>IF(T827=0,0,T827-IF(V827="PM",1,0))</ns0:f>
        <ns0:v>0</ns0:v>
      </ns0:c>
      <ns0:c r="Y827" s="0">
        <ns0:f>IF(J827=0,0,J827+IF(U827="AM",1,0))</ns0:f>
        <ns0:v>0</ns0:v>
      </ns0:c>
      <ns0:c r="Z827" s="0">
        <ns0:f>IF(T827=0,0,T827-IF(V827="AM",1,0))</ns0:f>
        <ns0:v>0</ns0:v>
      </ns0:c>
      <ns0:c r="AA827" s="0">
        <ns0:f>IFERROR(IF(AND(J827&gt;0,'_Engine'!C827&gt;0,MID('_Engine'!W827,WEEKDAY(J827,2),1)="W",COUNTIF(Settings!$F$18:$F$67,J827)=0),1,0),0)</ns0:f>
        <ns0:v>0</ns0:v>
      </ns0:c>
      <ns0:c r="AB827" s="0">
        <ns0:f>IFERROR(IF(AND(T827&gt;0,'_Engine'!C827&gt;0,MID('_Engine'!W827,WEEKDAY(T827,2),1)="W",COUNTIF(Settings!$F$18:$F$67,T827)=0),1,0),0)</ns0:f>
        <ns0:v>0</ns0:v>
      </ns0:c>
      <ns0:c r="AC827" s="0">
        <ns0:f>IF(AND(J827&gt;0,T827&gt;0,W827&lt;=X827),1,0)</ns0:f>
        <ns0:v>0</ns0:v>
      </ns0:c>
      <ns0:c r="AD827" s="0">
        <ns0:f>IF(AND(J827&gt;0,T827&gt;0,Y827&lt;=Z827),1,0)</ns0:f>
        <ns0:v>0</ns0:v>
      </ns0:c>
    </ns0:row>
    <ns0:row r="828">
      <ns0:c r="A828" s="0">
        <ns0:f>IFERROR(IF(ISNUMBER(Bookings!B828),"",TRIM(Bookings!B828&amp;"")),"")</ns0:f>
      </ns0:c>
      <ns0:c r="B828" s="0">
        <ns0:f>IFERROR(SUBSTITUTE(SUBSTITUTE(A828,"/","."),"-","."),"")</ns0:f>
      </ns0:c>
      <ns0:c r="C828" s="0">
        <ns0:f>IFERROR(LEFT(B828,FIND(".",B828)-1),"")</ns0:f>
      </ns0:c>
      <ns0:c r="D828" s="0">
        <ns0:f>IFERROR(MID(B828,FIND(".",B828)+1,FIND(".",B828,FIND(".",B828)+1)-FIND(".",B828)-1),"")</ns0:f>
      </ns0:c>
      <ns0:c r="E828" s="0">
        <ns0:f>IFERROR(MID(B828,FIND(".",B828,FIND(".",B828)+1)+1,99),"")</ns0:f>
        <ns0:v>99</ns0:v>
      </ns0:c>
      <ns0:c r="F828" s="0">
        <ns0:f>IFERROR(IF(FIND(".",B828)=5,--C828,--E828),0)</ns0:f>
        <ns0:v>0</ns0:v>
      </ns0:c>
      <ns0:c r="G828" s="0">
        <ns0:f>IFERROR(--D828,0)</ns0:f>
        <ns0:v>0</ns0:v>
      </ns0:c>
      <ns0:c r="H828" s="0">
        <ns0:f>IFERROR(IF(FIND(".",B828)=5,--E828,--C828),0)</ns0:f>
        <ns0:v>0</ns0:v>
      </ns0:c>
      <ns0:c r="I828" s="0">
        <ns0:f>IFERROR(IF(AND(F828&gt;=2000,F828&lt;=2100,G828&gt;=1,G828&lt;=12,H828&gt;=1,H828&lt;=31),DATE(F828,G828,H828),0),0)</ns0:f>
        <ns0:v>0</ns0:v>
      </ns0:c>
      <ns0:c r="J828" s="0">
        <ns0:f>IFERROR(IF(ISNUMBER(Bookings!B828),IF(AND(Bookings!B828=INT(Bookings!B828),Bookings!B828&gt;=DATE(2000,1,1),Bookings!B828&lt;=DATE(2100,12,31)),Bookings!B828,0),IF(AND(A828&lt;&gt;"",LEN("x"&amp;B828)-LEN(SUBSTITUTE("x"&amp;B828,".",""))=2,OR(1&gt;LEN(B828),MID(B828,1,1)=".",ISNUMBER(FIND("x"&amp;MID(B828,1,1),"x0x1x2x3x4x5x6x7x8x9"))),OR(2&gt;LEN(B828),MID(B828,2,1)=".",ISNUMBER(FIND("x"&amp;MID(B828,2,1),"x0x1x2x3x4x5x6x7x8x9"))),OR(3&gt;LEN(B828),MID(B828,3,1)=".",ISNUMBER(FIND("x"&amp;MID(B828,3,1),"x0x1x2x3x4x5x6x7x8x9"))),OR(4&gt;LEN(B828),MID(B828,4,1)=".",ISNUMBER(FIND("x"&amp;MID(B828,4,1),"x0x1x2x3x4x5x6x7x8x9"))),OR(5&gt;LEN(B828),MID(B828,5,1)=".",ISNUMBER(FIND("x"&amp;MID(B828,5,1),"x0x1x2x3x4x5x6x7x8x9"))),OR(6&gt;LEN(B828),MID(B828,6,1)=".",ISNUMBER(FIND("x"&amp;MID(B828,6,1),"x0x1x2x3x4x5x6x7x8x9"))),OR(7&gt;LEN(B828),MID(B828,7,1)=".",ISNUMBER(FIND("x"&amp;MID(B828,7,1),"x0x1x2x3x4x5x6x7x8x9"))),OR(8&gt;LEN(B828),MID(B828,8,1)=".",ISNUMBER(FIND("x"&amp;MID(B828,8,1),"x0x1x2x3x4x5x6x7x8x9"))),OR(9&gt;LEN(B828),MID(B828,9,1)=".",ISNUMBER(FIND("x"&amp;MID(B828,9,1),"x0x1x2x3x4x5x6x7x8x9"))),OR(10&gt;LEN(B828),MID(B828,10,1)=".",ISNUMBER(FIND("x"&amp;MID(B828,10,1),"x0x1x2x3x4x5x6x7x8x9"))),OR(AND(FIND(".",B828)=5,LEN(B828)-FIND(".",B828,FIND(".",B828)+1)&gt;=1,LEN(B828)-FIND(".",B828,FIND(".",B828)+1)&lt;=2),AND(LEN(B828)-FIND(".",B828,FIND(".",B828)+1)=4,FIND(".",B828)&gt;=2,FIND(".",B828)&lt;=3)),FIND(".",B828,FIND(".",B828)+1)-FIND(".",B828)&gt;=2,FIND(".",B828,FIND(".",B828)+1)-FIND(".",B828)&lt;=3,F828&gt;=2000,F828&lt;=2100,YEAR(I828)=F828,MONTH(I828)=G828,DAY(I828)=H828),I828,0)),0)</ns0:f>
        <ns0:v>0</ns0:v>
      </ns0:c>
      <ns0:c r="K828" s="0">
        <ns0:f>IFERROR(IF(ISNUMBER(Bookings!D828),"",TRIM(Bookings!D828&amp;"")),"")</ns0:f>
      </ns0:c>
      <ns0:c r="L828" s="0">
        <ns0:f>IFERROR(SUBSTITUTE(SUBSTITUTE(K828,"/","."),"-","."),"")</ns0:f>
      </ns0:c>
      <ns0:c r="M828" s="0">
        <ns0:f>IFERROR(LEFT(L828,FIND(".",L828)-1),"")</ns0:f>
      </ns0:c>
      <ns0:c r="N828" s="0">
        <ns0:f>IFERROR(MID(L828,FIND(".",L828)+1,FIND(".",L828,FIND(".",L828)+1)-FIND(".",L828)-1),"")</ns0:f>
      </ns0:c>
      <ns0:c r="O828" s="0">
        <ns0:f>IFERROR(MID(L828,FIND(".",L828,FIND(".",L828)+1)+1,99),"")</ns0:f>
        <ns0:v>99</ns0:v>
      </ns0:c>
      <ns0:c r="P828" s="0">
        <ns0:f>IFERROR(IF(FIND(".",L828)=5,--M828,--O828),0)</ns0:f>
        <ns0:v>0</ns0:v>
      </ns0:c>
      <ns0:c r="Q828" s="0">
        <ns0:f>IFERROR(--N828,0)</ns0:f>
        <ns0:v>0</ns0:v>
      </ns0:c>
      <ns0:c r="R828" s="0">
        <ns0:f>IFERROR(IF(FIND(".",L828)=5,--O828,--M828),0)</ns0:f>
        <ns0:v>0</ns0:v>
      </ns0:c>
      <ns0:c r="S828" s="0">
        <ns0:f>IFERROR(IF(AND(P828&gt;=2000,P828&lt;=2100,Q828&gt;=1,Q828&lt;=12,R828&gt;=1,R828&lt;=31),DATE(P828,Q828,R828),0),0)</ns0:f>
        <ns0:v>0</ns0:v>
      </ns0:c>
      <ns0:c r="T828" s="0">
        <ns0:f>IFERROR(IF(ISNUMBER(Bookings!D828),IF(AND(Bookings!D828=INT(Bookings!D828),Bookings!D828&gt;=DATE(2000,1,1),Bookings!D828&lt;=DATE(2100,12,31)),Bookings!D828,0),IF(AND(K828&lt;&gt;"",LEN("x"&amp;L828)-LEN(SUBSTITUTE("x"&amp;L828,".",""))=2,OR(1&gt;LEN(L828),MID(L828,1,1)=".",ISNUMBER(FIND("x"&amp;MID(L828,1,1),"x0x1x2x3x4x5x6x7x8x9"))),OR(2&gt;LEN(L828),MID(L828,2,1)=".",ISNUMBER(FIND("x"&amp;MID(L828,2,1),"x0x1x2x3x4x5x6x7x8x9"))),OR(3&gt;LEN(L828),MID(L828,3,1)=".",ISNUMBER(FIND("x"&amp;MID(L828,3,1),"x0x1x2x3x4x5x6x7x8x9"))),OR(4&gt;LEN(L828),MID(L828,4,1)=".",ISNUMBER(FIND("x"&amp;MID(L828,4,1),"x0x1x2x3x4x5x6x7x8x9"))),OR(5&gt;LEN(L828),MID(L828,5,1)=".",ISNUMBER(FIND("x"&amp;MID(L828,5,1),"x0x1x2x3x4x5x6x7x8x9"))),OR(6&gt;LEN(L828),MID(L828,6,1)=".",ISNUMBER(FIND("x"&amp;MID(L828,6,1),"x0x1x2x3x4x5x6x7x8x9"))),OR(7&gt;LEN(L828),MID(L828,7,1)=".",ISNUMBER(FIND("x"&amp;MID(L828,7,1),"x0x1x2x3x4x5x6x7x8x9"))),OR(8&gt;LEN(L828),MID(L828,8,1)=".",ISNUMBER(FIND("x"&amp;MID(L828,8,1),"x0x1x2x3x4x5x6x7x8x9"))),OR(9&gt;LEN(L828),MID(L828,9,1)=".",ISNUMBER(FIND("x"&amp;MID(L828,9,1),"x0x1x2x3x4x5x6x7x8x9"))),OR(10&gt;LEN(L828),MID(L828,10,1)=".",ISNUMBER(FIND("x"&amp;MID(L828,10,1),"x0x1x2x3x4x5x6x7x8x9"))),OR(AND(FIND(".",L828)=5,LEN(L828)-FIND(".",L828,FIND(".",L828)+1)&gt;=1,LEN(L828)-FIND(".",L828,FIND(".",L828)+1)&lt;=2),AND(LEN(L828)-FIND(".",L828,FIND(".",L828)+1)=4,FIND(".",L828)&gt;=2,FIND(".",L828)&lt;=3)),FIND(".",L828,FIND(".",L828)+1)-FIND(".",L828)&gt;=2,FIND(".",L828,FIND(".",L828)+1)-FIND(".",L828)&lt;=3,P828&gt;=2000,P828&lt;=2100,YEAR(S828)=P828,MONTH(S828)=Q828,DAY(S828)=R828),S828,0)),0)</ns0:f>
        <ns0:v>0</ns0:v>
      </ns0:c>
      <ns0:c r="U828" s="0" t="str">
        <ns0:f>IF(Bookings!C828="","Full day",Bookings!C828)</ns0:f>
        <ns0:v>Full day</ns0:v>
      </ns0:c>
      <ns0:c r="V828" s="0" t="str">
        <ns0:f>IF(Bookings!E828="","Full day",Bookings!E828)</ns0:f>
        <ns0:v>Full day</ns0:v>
      </ns0:c>
      <ns0:c r="W828" s="0">
        <ns0:f>IF(J828=0,0,J828+IF(U828="PM",1,0))</ns0:f>
        <ns0:v>0</ns0:v>
      </ns0:c>
      <ns0:c r="X828" s="0">
        <ns0:f>IF(T828=0,0,T828-IF(V828="PM",1,0))</ns0:f>
        <ns0:v>0</ns0:v>
      </ns0:c>
      <ns0:c r="Y828" s="0">
        <ns0:f>IF(J828=0,0,J828+IF(U828="AM",1,0))</ns0:f>
        <ns0:v>0</ns0:v>
      </ns0:c>
      <ns0:c r="Z828" s="0">
        <ns0:f>IF(T828=0,0,T828-IF(V828="AM",1,0))</ns0:f>
        <ns0:v>0</ns0:v>
      </ns0:c>
      <ns0:c r="AA828" s="0">
        <ns0:f>IFERROR(IF(AND(J828&gt;0,'_Engine'!C828&gt;0,MID('_Engine'!W828,WEEKDAY(J828,2),1)="W",COUNTIF(Settings!$F$18:$F$67,J828)=0),1,0),0)</ns0:f>
        <ns0:v>0</ns0:v>
      </ns0:c>
      <ns0:c r="AB828" s="0">
        <ns0:f>IFERROR(IF(AND(T828&gt;0,'_Engine'!C828&gt;0,MID('_Engine'!W828,WEEKDAY(T828,2),1)="W",COUNTIF(Settings!$F$18:$F$67,T828)=0),1,0),0)</ns0:f>
        <ns0:v>0</ns0:v>
      </ns0:c>
      <ns0:c r="AC828" s="0">
        <ns0:f>IF(AND(J828&gt;0,T828&gt;0,W828&lt;=X828),1,0)</ns0:f>
        <ns0:v>0</ns0:v>
      </ns0:c>
      <ns0:c r="AD828" s="0">
        <ns0:f>IF(AND(J828&gt;0,T828&gt;0,Y828&lt;=Z828),1,0)</ns0:f>
        <ns0:v>0</ns0:v>
      </ns0:c>
    </ns0:row>
    <ns0:row r="829">
      <ns0:c r="A829" s="0">
        <ns0:f>IFERROR(IF(ISNUMBER(Bookings!B829),"",TRIM(Bookings!B829&amp;"")),"")</ns0:f>
      </ns0:c>
      <ns0:c r="B829" s="0">
        <ns0:f>IFERROR(SUBSTITUTE(SUBSTITUTE(A829,"/","."),"-","."),"")</ns0:f>
      </ns0:c>
      <ns0:c r="C829" s="0">
        <ns0:f>IFERROR(LEFT(B829,FIND(".",B829)-1),"")</ns0:f>
      </ns0:c>
      <ns0:c r="D829" s="0">
        <ns0:f>IFERROR(MID(B829,FIND(".",B829)+1,FIND(".",B829,FIND(".",B829)+1)-FIND(".",B829)-1),"")</ns0:f>
      </ns0:c>
      <ns0:c r="E829" s="0">
        <ns0:f>IFERROR(MID(B829,FIND(".",B829,FIND(".",B829)+1)+1,99),"")</ns0:f>
        <ns0:v>99</ns0:v>
      </ns0:c>
      <ns0:c r="F829" s="0">
        <ns0:f>IFERROR(IF(FIND(".",B829)=5,--C829,--E829),0)</ns0:f>
        <ns0:v>0</ns0:v>
      </ns0:c>
      <ns0:c r="G829" s="0">
        <ns0:f>IFERROR(--D829,0)</ns0:f>
        <ns0:v>0</ns0:v>
      </ns0:c>
      <ns0:c r="H829" s="0">
        <ns0:f>IFERROR(IF(FIND(".",B829)=5,--E829,--C829),0)</ns0:f>
        <ns0:v>0</ns0:v>
      </ns0:c>
      <ns0:c r="I829" s="0">
        <ns0:f>IFERROR(IF(AND(F829&gt;=2000,F829&lt;=2100,G829&gt;=1,G829&lt;=12,H829&gt;=1,H829&lt;=31),DATE(F829,G829,H829),0),0)</ns0:f>
        <ns0:v>0</ns0:v>
      </ns0:c>
      <ns0:c r="J829" s="0">
        <ns0:f>IFERROR(IF(ISNUMBER(Bookings!B829),IF(AND(Bookings!B829=INT(Bookings!B829),Bookings!B829&gt;=DATE(2000,1,1),Bookings!B829&lt;=DATE(2100,12,31)),Bookings!B829,0),IF(AND(A829&lt;&gt;"",LEN("x"&amp;B829)-LEN(SUBSTITUTE("x"&amp;B829,".",""))=2,OR(1&gt;LEN(B829),MID(B829,1,1)=".",ISNUMBER(FIND("x"&amp;MID(B829,1,1),"x0x1x2x3x4x5x6x7x8x9"))),OR(2&gt;LEN(B829),MID(B829,2,1)=".",ISNUMBER(FIND("x"&amp;MID(B829,2,1),"x0x1x2x3x4x5x6x7x8x9"))),OR(3&gt;LEN(B829),MID(B829,3,1)=".",ISNUMBER(FIND("x"&amp;MID(B829,3,1),"x0x1x2x3x4x5x6x7x8x9"))),OR(4&gt;LEN(B829),MID(B829,4,1)=".",ISNUMBER(FIND("x"&amp;MID(B829,4,1),"x0x1x2x3x4x5x6x7x8x9"))),OR(5&gt;LEN(B829),MID(B829,5,1)=".",ISNUMBER(FIND("x"&amp;MID(B829,5,1),"x0x1x2x3x4x5x6x7x8x9"))),OR(6&gt;LEN(B829),MID(B829,6,1)=".",ISNUMBER(FIND("x"&amp;MID(B829,6,1),"x0x1x2x3x4x5x6x7x8x9"))),OR(7&gt;LEN(B829),MID(B829,7,1)=".",ISNUMBER(FIND("x"&amp;MID(B829,7,1),"x0x1x2x3x4x5x6x7x8x9"))),OR(8&gt;LEN(B829),MID(B829,8,1)=".",ISNUMBER(FIND("x"&amp;MID(B829,8,1),"x0x1x2x3x4x5x6x7x8x9"))),OR(9&gt;LEN(B829),MID(B829,9,1)=".",ISNUMBER(FIND("x"&amp;MID(B829,9,1),"x0x1x2x3x4x5x6x7x8x9"))),OR(10&gt;LEN(B829),MID(B829,10,1)=".",ISNUMBER(FIND("x"&amp;MID(B829,10,1),"x0x1x2x3x4x5x6x7x8x9"))),OR(AND(FIND(".",B829)=5,LEN(B829)-FIND(".",B829,FIND(".",B829)+1)&gt;=1,LEN(B829)-FIND(".",B829,FIND(".",B829)+1)&lt;=2),AND(LEN(B829)-FIND(".",B829,FIND(".",B829)+1)=4,FIND(".",B829)&gt;=2,FIND(".",B829)&lt;=3)),FIND(".",B829,FIND(".",B829)+1)-FIND(".",B829)&gt;=2,FIND(".",B829,FIND(".",B829)+1)-FIND(".",B829)&lt;=3,F829&gt;=2000,F829&lt;=2100,YEAR(I829)=F829,MONTH(I829)=G829,DAY(I829)=H829),I829,0)),0)</ns0:f>
        <ns0:v>0</ns0:v>
      </ns0:c>
      <ns0:c r="K829" s="0">
        <ns0:f>IFERROR(IF(ISNUMBER(Bookings!D829),"",TRIM(Bookings!D829&amp;"")),"")</ns0:f>
      </ns0:c>
      <ns0:c r="L829" s="0">
        <ns0:f>IFERROR(SUBSTITUTE(SUBSTITUTE(K829,"/","."),"-","."),"")</ns0:f>
      </ns0:c>
      <ns0:c r="M829" s="0">
        <ns0:f>IFERROR(LEFT(L829,FIND(".",L829)-1),"")</ns0:f>
      </ns0:c>
      <ns0:c r="N829" s="0">
        <ns0:f>IFERROR(MID(L829,FIND(".",L829)+1,FIND(".",L829,FIND(".",L829)+1)-FIND(".",L829)-1),"")</ns0:f>
      </ns0:c>
      <ns0:c r="O829" s="0">
        <ns0:f>IFERROR(MID(L829,FIND(".",L829,FIND(".",L829)+1)+1,99),"")</ns0:f>
        <ns0:v>99</ns0:v>
      </ns0:c>
      <ns0:c r="P829" s="0">
        <ns0:f>IFERROR(IF(FIND(".",L829)=5,--M829,--O829),0)</ns0:f>
        <ns0:v>0</ns0:v>
      </ns0:c>
      <ns0:c r="Q829" s="0">
        <ns0:f>IFERROR(--N829,0)</ns0:f>
        <ns0:v>0</ns0:v>
      </ns0:c>
      <ns0:c r="R829" s="0">
        <ns0:f>IFERROR(IF(FIND(".",L829)=5,--O829,--M829),0)</ns0:f>
        <ns0:v>0</ns0:v>
      </ns0:c>
      <ns0:c r="S829" s="0">
        <ns0:f>IFERROR(IF(AND(P829&gt;=2000,P829&lt;=2100,Q829&gt;=1,Q829&lt;=12,R829&gt;=1,R829&lt;=31),DATE(P829,Q829,R829),0),0)</ns0:f>
        <ns0:v>0</ns0:v>
      </ns0:c>
      <ns0:c r="T829" s="0">
        <ns0:f>IFERROR(IF(ISNUMBER(Bookings!D829),IF(AND(Bookings!D829=INT(Bookings!D829),Bookings!D829&gt;=DATE(2000,1,1),Bookings!D829&lt;=DATE(2100,12,31)),Bookings!D829,0),IF(AND(K829&lt;&gt;"",LEN("x"&amp;L829)-LEN(SUBSTITUTE("x"&amp;L829,".",""))=2,OR(1&gt;LEN(L829),MID(L829,1,1)=".",ISNUMBER(FIND("x"&amp;MID(L829,1,1),"x0x1x2x3x4x5x6x7x8x9"))),OR(2&gt;LEN(L829),MID(L829,2,1)=".",ISNUMBER(FIND("x"&amp;MID(L829,2,1),"x0x1x2x3x4x5x6x7x8x9"))),OR(3&gt;LEN(L829),MID(L829,3,1)=".",ISNUMBER(FIND("x"&amp;MID(L829,3,1),"x0x1x2x3x4x5x6x7x8x9"))),OR(4&gt;LEN(L829),MID(L829,4,1)=".",ISNUMBER(FIND("x"&amp;MID(L829,4,1),"x0x1x2x3x4x5x6x7x8x9"))),OR(5&gt;LEN(L829),MID(L829,5,1)=".",ISNUMBER(FIND("x"&amp;MID(L829,5,1),"x0x1x2x3x4x5x6x7x8x9"))),OR(6&gt;LEN(L829),MID(L829,6,1)=".",ISNUMBER(FIND("x"&amp;MID(L829,6,1),"x0x1x2x3x4x5x6x7x8x9"))),OR(7&gt;LEN(L829),MID(L829,7,1)=".",ISNUMBER(FIND("x"&amp;MID(L829,7,1),"x0x1x2x3x4x5x6x7x8x9"))),OR(8&gt;LEN(L829),MID(L829,8,1)=".",ISNUMBER(FIND("x"&amp;MID(L829,8,1),"x0x1x2x3x4x5x6x7x8x9"))),OR(9&gt;LEN(L829),MID(L829,9,1)=".",ISNUMBER(FIND("x"&amp;MID(L829,9,1),"x0x1x2x3x4x5x6x7x8x9"))),OR(10&gt;LEN(L829),MID(L829,10,1)=".",ISNUMBER(FIND("x"&amp;MID(L829,10,1),"x0x1x2x3x4x5x6x7x8x9"))),OR(AND(FIND(".",L829)=5,LEN(L829)-FIND(".",L829,FIND(".",L829)+1)&gt;=1,LEN(L829)-FIND(".",L829,FIND(".",L829)+1)&lt;=2),AND(LEN(L829)-FIND(".",L829,FIND(".",L829)+1)=4,FIND(".",L829)&gt;=2,FIND(".",L829)&lt;=3)),FIND(".",L829,FIND(".",L829)+1)-FIND(".",L829)&gt;=2,FIND(".",L829,FIND(".",L829)+1)-FIND(".",L829)&lt;=3,P829&gt;=2000,P829&lt;=2100,YEAR(S829)=P829,MONTH(S829)=Q829,DAY(S829)=R829),S829,0)),0)</ns0:f>
        <ns0:v>0</ns0:v>
      </ns0:c>
      <ns0:c r="U829" s="0" t="str">
        <ns0:f>IF(Bookings!C829="","Full day",Bookings!C829)</ns0:f>
        <ns0:v>Full day</ns0:v>
      </ns0:c>
      <ns0:c r="V829" s="0" t="str">
        <ns0:f>IF(Bookings!E829="","Full day",Bookings!E829)</ns0:f>
        <ns0:v>Full day</ns0:v>
      </ns0:c>
      <ns0:c r="W829" s="0">
        <ns0:f>IF(J829=0,0,J829+IF(U829="PM",1,0))</ns0:f>
        <ns0:v>0</ns0:v>
      </ns0:c>
      <ns0:c r="X829" s="0">
        <ns0:f>IF(T829=0,0,T829-IF(V829="PM",1,0))</ns0:f>
        <ns0:v>0</ns0:v>
      </ns0:c>
      <ns0:c r="Y829" s="0">
        <ns0:f>IF(J829=0,0,J829+IF(U829="AM",1,0))</ns0:f>
        <ns0:v>0</ns0:v>
      </ns0:c>
      <ns0:c r="Z829" s="0">
        <ns0:f>IF(T829=0,0,T829-IF(V829="AM",1,0))</ns0:f>
        <ns0:v>0</ns0:v>
      </ns0:c>
      <ns0:c r="AA829" s="0">
        <ns0:f>IFERROR(IF(AND(J829&gt;0,'_Engine'!C829&gt;0,MID('_Engine'!W829,WEEKDAY(J829,2),1)="W",COUNTIF(Settings!$F$18:$F$67,J829)=0),1,0),0)</ns0:f>
        <ns0:v>0</ns0:v>
      </ns0:c>
      <ns0:c r="AB829" s="0">
        <ns0:f>IFERROR(IF(AND(T829&gt;0,'_Engine'!C829&gt;0,MID('_Engine'!W829,WEEKDAY(T829,2),1)="W",COUNTIF(Settings!$F$18:$F$67,T829)=0),1,0),0)</ns0:f>
        <ns0:v>0</ns0:v>
      </ns0:c>
      <ns0:c r="AC829" s="0">
        <ns0:f>IF(AND(J829&gt;0,T829&gt;0,W829&lt;=X829),1,0)</ns0:f>
        <ns0:v>0</ns0:v>
      </ns0:c>
      <ns0:c r="AD829" s="0">
        <ns0:f>IF(AND(J829&gt;0,T829&gt;0,Y829&lt;=Z829),1,0)</ns0:f>
        <ns0:v>0</ns0:v>
      </ns0:c>
    </ns0:row>
    <ns0:row r="830">
      <ns0:c r="A830" s="0">
        <ns0:f>IFERROR(IF(ISNUMBER(Bookings!B830),"",TRIM(Bookings!B830&amp;"")),"")</ns0:f>
      </ns0:c>
      <ns0:c r="B830" s="0">
        <ns0:f>IFERROR(SUBSTITUTE(SUBSTITUTE(A830,"/","."),"-","."),"")</ns0:f>
      </ns0:c>
      <ns0:c r="C830" s="0">
        <ns0:f>IFERROR(LEFT(B830,FIND(".",B830)-1),"")</ns0:f>
      </ns0:c>
      <ns0:c r="D830" s="0">
        <ns0:f>IFERROR(MID(B830,FIND(".",B830)+1,FIND(".",B830,FIND(".",B830)+1)-FIND(".",B830)-1),"")</ns0:f>
      </ns0:c>
      <ns0:c r="E830" s="0">
        <ns0:f>IFERROR(MID(B830,FIND(".",B830,FIND(".",B830)+1)+1,99),"")</ns0:f>
        <ns0:v>99</ns0:v>
      </ns0:c>
      <ns0:c r="F830" s="0">
        <ns0:f>IFERROR(IF(FIND(".",B830)=5,--C830,--E830),0)</ns0:f>
        <ns0:v>0</ns0:v>
      </ns0:c>
      <ns0:c r="G830" s="0">
        <ns0:f>IFERROR(--D830,0)</ns0:f>
        <ns0:v>0</ns0:v>
      </ns0:c>
      <ns0:c r="H830" s="0">
        <ns0:f>IFERROR(IF(FIND(".",B830)=5,--E830,--C830),0)</ns0:f>
        <ns0:v>0</ns0:v>
      </ns0:c>
      <ns0:c r="I830" s="0">
        <ns0:f>IFERROR(IF(AND(F830&gt;=2000,F830&lt;=2100,G830&gt;=1,G830&lt;=12,H830&gt;=1,H830&lt;=31),DATE(F830,G830,H830),0),0)</ns0:f>
        <ns0:v>0</ns0:v>
      </ns0:c>
      <ns0:c r="J830" s="0">
        <ns0:f>IFERROR(IF(ISNUMBER(Bookings!B830),IF(AND(Bookings!B830=INT(Bookings!B830),Bookings!B830&gt;=DATE(2000,1,1),Bookings!B830&lt;=DATE(2100,12,31)),Bookings!B830,0),IF(AND(A830&lt;&gt;"",LEN("x"&amp;B830)-LEN(SUBSTITUTE("x"&amp;B830,".",""))=2,OR(1&gt;LEN(B830),MID(B830,1,1)=".",ISNUMBER(FIND("x"&amp;MID(B830,1,1),"x0x1x2x3x4x5x6x7x8x9"))),OR(2&gt;LEN(B830),MID(B830,2,1)=".",ISNUMBER(FIND("x"&amp;MID(B830,2,1),"x0x1x2x3x4x5x6x7x8x9"))),OR(3&gt;LEN(B830),MID(B830,3,1)=".",ISNUMBER(FIND("x"&amp;MID(B830,3,1),"x0x1x2x3x4x5x6x7x8x9"))),OR(4&gt;LEN(B830),MID(B830,4,1)=".",ISNUMBER(FIND("x"&amp;MID(B830,4,1),"x0x1x2x3x4x5x6x7x8x9"))),OR(5&gt;LEN(B830),MID(B830,5,1)=".",ISNUMBER(FIND("x"&amp;MID(B830,5,1),"x0x1x2x3x4x5x6x7x8x9"))),OR(6&gt;LEN(B830),MID(B830,6,1)=".",ISNUMBER(FIND("x"&amp;MID(B830,6,1),"x0x1x2x3x4x5x6x7x8x9"))),OR(7&gt;LEN(B830),MID(B830,7,1)=".",ISNUMBER(FIND("x"&amp;MID(B830,7,1),"x0x1x2x3x4x5x6x7x8x9"))),OR(8&gt;LEN(B830),MID(B830,8,1)=".",ISNUMBER(FIND("x"&amp;MID(B830,8,1),"x0x1x2x3x4x5x6x7x8x9"))),OR(9&gt;LEN(B830),MID(B830,9,1)=".",ISNUMBER(FIND("x"&amp;MID(B830,9,1),"x0x1x2x3x4x5x6x7x8x9"))),OR(10&gt;LEN(B830),MID(B830,10,1)=".",ISNUMBER(FIND("x"&amp;MID(B830,10,1),"x0x1x2x3x4x5x6x7x8x9"))),OR(AND(FIND(".",B830)=5,LEN(B830)-FIND(".",B830,FIND(".",B830)+1)&gt;=1,LEN(B830)-FIND(".",B830,FIND(".",B830)+1)&lt;=2),AND(LEN(B830)-FIND(".",B830,FIND(".",B830)+1)=4,FIND(".",B830)&gt;=2,FIND(".",B830)&lt;=3)),FIND(".",B830,FIND(".",B830)+1)-FIND(".",B830)&gt;=2,FIND(".",B830,FIND(".",B830)+1)-FIND(".",B830)&lt;=3,F830&gt;=2000,F830&lt;=2100,YEAR(I830)=F830,MONTH(I830)=G830,DAY(I830)=H830),I830,0)),0)</ns0:f>
        <ns0:v>0</ns0:v>
      </ns0:c>
      <ns0:c r="K830" s="0">
        <ns0:f>IFERROR(IF(ISNUMBER(Bookings!D830),"",TRIM(Bookings!D830&amp;"")),"")</ns0:f>
      </ns0:c>
      <ns0:c r="L830" s="0">
        <ns0:f>IFERROR(SUBSTITUTE(SUBSTITUTE(K830,"/","."),"-","."),"")</ns0:f>
      </ns0:c>
      <ns0:c r="M830" s="0">
        <ns0:f>IFERROR(LEFT(L830,FIND(".",L830)-1),"")</ns0:f>
      </ns0:c>
      <ns0:c r="N830" s="0">
        <ns0:f>IFERROR(MID(L830,FIND(".",L830)+1,FIND(".",L830,FIND(".",L830)+1)-FIND(".",L830)-1),"")</ns0:f>
      </ns0:c>
      <ns0:c r="O830" s="0">
        <ns0:f>IFERROR(MID(L830,FIND(".",L830,FIND(".",L830)+1)+1,99),"")</ns0:f>
        <ns0:v>99</ns0:v>
      </ns0:c>
      <ns0:c r="P830" s="0">
        <ns0:f>IFERROR(IF(FIND(".",L830)=5,--M830,--O830),0)</ns0:f>
        <ns0:v>0</ns0:v>
      </ns0:c>
      <ns0:c r="Q830" s="0">
        <ns0:f>IFERROR(--N830,0)</ns0:f>
        <ns0:v>0</ns0:v>
      </ns0:c>
      <ns0:c r="R830" s="0">
        <ns0:f>IFERROR(IF(FIND(".",L830)=5,--O830,--M830),0)</ns0:f>
        <ns0:v>0</ns0:v>
      </ns0:c>
      <ns0:c r="S830" s="0">
        <ns0:f>IFERROR(IF(AND(P830&gt;=2000,P830&lt;=2100,Q830&gt;=1,Q830&lt;=12,R830&gt;=1,R830&lt;=31),DATE(P830,Q830,R830),0),0)</ns0:f>
        <ns0:v>0</ns0:v>
      </ns0:c>
      <ns0:c r="T830" s="0">
        <ns0:f>IFERROR(IF(ISNUMBER(Bookings!D830),IF(AND(Bookings!D830=INT(Bookings!D830),Bookings!D830&gt;=DATE(2000,1,1),Bookings!D830&lt;=DATE(2100,12,31)),Bookings!D830,0),IF(AND(K830&lt;&gt;"",LEN("x"&amp;L830)-LEN(SUBSTITUTE("x"&amp;L830,".",""))=2,OR(1&gt;LEN(L830),MID(L830,1,1)=".",ISNUMBER(FIND("x"&amp;MID(L830,1,1),"x0x1x2x3x4x5x6x7x8x9"))),OR(2&gt;LEN(L830),MID(L830,2,1)=".",ISNUMBER(FIND("x"&amp;MID(L830,2,1),"x0x1x2x3x4x5x6x7x8x9"))),OR(3&gt;LEN(L830),MID(L830,3,1)=".",ISNUMBER(FIND("x"&amp;MID(L830,3,1),"x0x1x2x3x4x5x6x7x8x9"))),OR(4&gt;LEN(L830),MID(L830,4,1)=".",ISNUMBER(FIND("x"&amp;MID(L830,4,1),"x0x1x2x3x4x5x6x7x8x9"))),OR(5&gt;LEN(L830),MID(L830,5,1)=".",ISNUMBER(FIND("x"&amp;MID(L830,5,1),"x0x1x2x3x4x5x6x7x8x9"))),OR(6&gt;LEN(L830),MID(L830,6,1)=".",ISNUMBER(FIND("x"&amp;MID(L830,6,1),"x0x1x2x3x4x5x6x7x8x9"))),OR(7&gt;LEN(L830),MID(L830,7,1)=".",ISNUMBER(FIND("x"&amp;MID(L830,7,1),"x0x1x2x3x4x5x6x7x8x9"))),OR(8&gt;LEN(L830),MID(L830,8,1)=".",ISNUMBER(FIND("x"&amp;MID(L830,8,1),"x0x1x2x3x4x5x6x7x8x9"))),OR(9&gt;LEN(L830),MID(L830,9,1)=".",ISNUMBER(FIND("x"&amp;MID(L830,9,1),"x0x1x2x3x4x5x6x7x8x9"))),OR(10&gt;LEN(L830),MID(L830,10,1)=".",ISNUMBER(FIND("x"&amp;MID(L830,10,1),"x0x1x2x3x4x5x6x7x8x9"))),OR(AND(FIND(".",L830)=5,LEN(L830)-FIND(".",L830,FIND(".",L830)+1)&gt;=1,LEN(L830)-FIND(".",L830,FIND(".",L830)+1)&lt;=2),AND(LEN(L830)-FIND(".",L830,FIND(".",L830)+1)=4,FIND(".",L830)&gt;=2,FIND(".",L830)&lt;=3)),FIND(".",L830,FIND(".",L830)+1)-FIND(".",L830)&gt;=2,FIND(".",L830,FIND(".",L830)+1)-FIND(".",L830)&lt;=3,P830&gt;=2000,P830&lt;=2100,YEAR(S830)=P830,MONTH(S830)=Q830,DAY(S830)=R830),S830,0)),0)</ns0:f>
        <ns0:v>0</ns0:v>
      </ns0:c>
      <ns0:c r="U830" s="0" t="str">
        <ns0:f>IF(Bookings!C830="","Full day",Bookings!C830)</ns0:f>
        <ns0:v>Full day</ns0:v>
      </ns0:c>
      <ns0:c r="V830" s="0" t="str">
        <ns0:f>IF(Bookings!E830="","Full day",Bookings!E830)</ns0:f>
        <ns0:v>Full day</ns0:v>
      </ns0:c>
      <ns0:c r="W830" s="0">
        <ns0:f>IF(J830=0,0,J830+IF(U830="PM",1,0))</ns0:f>
        <ns0:v>0</ns0:v>
      </ns0:c>
      <ns0:c r="X830" s="0">
        <ns0:f>IF(T830=0,0,T830-IF(V830="PM",1,0))</ns0:f>
        <ns0:v>0</ns0:v>
      </ns0:c>
      <ns0:c r="Y830" s="0">
        <ns0:f>IF(J830=0,0,J830+IF(U830="AM",1,0))</ns0:f>
        <ns0:v>0</ns0:v>
      </ns0:c>
      <ns0:c r="Z830" s="0">
        <ns0:f>IF(T830=0,0,T830-IF(V830="AM",1,0))</ns0:f>
        <ns0:v>0</ns0:v>
      </ns0:c>
      <ns0:c r="AA830" s="0">
        <ns0:f>IFERROR(IF(AND(J830&gt;0,'_Engine'!C830&gt;0,MID('_Engine'!W830,WEEKDAY(J830,2),1)="W",COUNTIF(Settings!$F$18:$F$67,J830)=0),1,0),0)</ns0:f>
        <ns0:v>0</ns0:v>
      </ns0:c>
      <ns0:c r="AB830" s="0">
        <ns0:f>IFERROR(IF(AND(T830&gt;0,'_Engine'!C830&gt;0,MID('_Engine'!W830,WEEKDAY(T830,2),1)="W",COUNTIF(Settings!$F$18:$F$67,T830)=0),1,0),0)</ns0:f>
        <ns0:v>0</ns0:v>
      </ns0:c>
      <ns0:c r="AC830" s="0">
        <ns0:f>IF(AND(J830&gt;0,T830&gt;0,W830&lt;=X830),1,0)</ns0:f>
        <ns0:v>0</ns0:v>
      </ns0:c>
      <ns0:c r="AD830" s="0">
        <ns0:f>IF(AND(J830&gt;0,T830&gt;0,Y830&lt;=Z830),1,0)</ns0:f>
        <ns0:v>0</ns0:v>
      </ns0:c>
    </ns0:row>
    <ns0:row r="831">
      <ns0:c r="A831" s="0">
        <ns0:f>IFERROR(IF(ISNUMBER(Bookings!B831),"",TRIM(Bookings!B831&amp;"")),"")</ns0:f>
      </ns0:c>
      <ns0:c r="B831" s="0">
        <ns0:f>IFERROR(SUBSTITUTE(SUBSTITUTE(A831,"/","."),"-","."),"")</ns0:f>
      </ns0:c>
      <ns0:c r="C831" s="0">
        <ns0:f>IFERROR(LEFT(B831,FIND(".",B831)-1),"")</ns0:f>
      </ns0:c>
      <ns0:c r="D831" s="0">
        <ns0:f>IFERROR(MID(B831,FIND(".",B831)+1,FIND(".",B831,FIND(".",B831)+1)-FIND(".",B831)-1),"")</ns0:f>
      </ns0:c>
      <ns0:c r="E831" s="0">
        <ns0:f>IFERROR(MID(B831,FIND(".",B831,FIND(".",B831)+1)+1,99),"")</ns0:f>
        <ns0:v>99</ns0:v>
      </ns0:c>
      <ns0:c r="F831" s="0">
        <ns0:f>IFERROR(IF(FIND(".",B831)=5,--C831,--E831),0)</ns0:f>
        <ns0:v>0</ns0:v>
      </ns0:c>
      <ns0:c r="G831" s="0">
        <ns0:f>IFERROR(--D831,0)</ns0:f>
        <ns0:v>0</ns0:v>
      </ns0:c>
      <ns0:c r="H831" s="0">
        <ns0:f>IFERROR(IF(FIND(".",B831)=5,--E831,--C831),0)</ns0:f>
        <ns0:v>0</ns0:v>
      </ns0:c>
      <ns0:c r="I831" s="0">
        <ns0:f>IFERROR(IF(AND(F831&gt;=2000,F831&lt;=2100,G831&gt;=1,G831&lt;=12,H831&gt;=1,H831&lt;=31),DATE(F831,G831,H831),0),0)</ns0:f>
        <ns0:v>0</ns0:v>
      </ns0:c>
      <ns0:c r="J831" s="0">
        <ns0:f>IFERROR(IF(ISNUMBER(Bookings!B831),IF(AND(Bookings!B831=INT(Bookings!B831),Bookings!B831&gt;=DATE(2000,1,1),Bookings!B831&lt;=DATE(2100,12,31)),Bookings!B831,0),IF(AND(A831&lt;&gt;"",LEN("x"&amp;B831)-LEN(SUBSTITUTE("x"&amp;B831,".",""))=2,OR(1&gt;LEN(B831),MID(B831,1,1)=".",ISNUMBER(FIND("x"&amp;MID(B831,1,1),"x0x1x2x3x4x5x6x7x8x9"))),OR(2&gt;LEN(B831),MID(B831,2,1)=".",ISNUMBER(FIND("x"&amp;MID(B831,2,1),"x0x1x2x3x4x5x6x7x8x9"))),OR(3&gt;LEN(B831),MID(B831,3,1)=".",ISNUMBER(FIND("x"&amp;MID(B831,3,1),"x0x1x2x3x4x5x6x7x8x9"))),OR(4&gt;LEN(B831),MID(B831,4,1)=".",ISNUMBER(FIND("x"&amp;MID(B831,4,1),"x0x1x2x3x4x5x6x7x8x9"))),OR(5&gt;LEN(B831),MID(B831,5,1)=".",ISNUMBER(FIND("x"&amp;MID(B831,5,1),"x0x1x2x3x4x5x6x7x8x9"))),OR(6&gt;LEN(B831),MID(B831,6,1)=".",ISNUMBER(FIND("x"&amp;MID(B831,6,1),"x0x1x2x3x4x5x6x7x8x9"))),OR(7&gt;LEN(B831),MID(B831,7,1)=".",ISNUMBER(FIND("x"&amp;MID(B831,7,1),"x0x1x2x3x4x5x6x7x8x9"))),OR(8&gt;LEN(B831),MID(B831,8,1)=".",ISNUMBER(FIND("x"&amp;MID(B831,8,1),"x0x1x2x3x4x5x6x7x8x9"))),OR(9&gt;LEN(B831),MID(B831,9,1)=".",ISNUMBER(FIND("x"&amp;MID(B831,9,1),"x0x1x2x3x4x5x6x7x8x9"))),OR(10&gt;LEN(B831),MID(B831,10,1)=".",ISNUMBER(FIND("x"&amp;MID(B831,10,1),"x0x1x2x3x4x5x6x7x8x9"))),OR(AND(FIND(".",B831)=5,LEN(B831)-FIND(".",B831,FIND(".",B831)+1)&gt;=1,LEN(B831)-FIND(".",B831,FIND(".",B831)+1)&lt;=2),AND(LEN(B831)-FIND(".",B831,FIND(".",B831)+1)=4,FIND(".",B831)&gt;=2,FIND(".",B831)&lt;=3)),FIND(".",B831,FIND(".",B831)+1)-FIND(".",B831)&gt;=2,FIND(".",B831,FIND(".",B831)+1)-FIND(".",B831)&lt;=3,F831&gt;=2000,F831&lt;=2100,YEAR(I831)=F831,MONTH(I831)=G831,DAY(I831)=H831),I831,0)),0)</ns0:f>
        <ns0:v>0</ns0:v>
      </ns0:c>
      <ns0:c r="K831" s="0">
        <ns0:f>IFERROR(IF(ISNUMBER(Bookings!D831),"",TRIM(Bookings!D831&amp;"")),"")</ns0:f>
      </ns0:c>
      <ns0:c r="L831" s="0">
        <ns0:f>IFERROR(SUBSTITUTE(SUBSTITUTE(K831,"/","."),"-","."),"")</ns0:f>
      </ns0:c>
      <ns0:c r="M831" s="0">
        <ns0:f>IFERROR(LEFT(L831,FIND(".",L831)-1),"")</ns0:f>
      </ns0:c>
      <ns0:c r="N831" s="0">
        <ns0:f>IFERROR(MID(L831,FIND(".",L831)+1,FIND(".",L831,FIND(".",L831)+1)-FIND(".",L831)-1),"")</ns0:f>
      </ns0:c>
      <ns0:c r="O831" s="0">
        <ns0:f>IFERROR(MID(L831,FIND(".",L831,FIND(".",L831)+1)+1,99),"")</ns0:f>
        <ns0:v>99</ns0:v>
      </ns0:c>
      <ns0:c r="P831" s="0">
        <ns0:f>IFERROR(IF(FIND(".",L831)=5,--M831,--O831),0)</ns0:f>
        <ns0:v>0</ns0:v>
      </ns0:c>
      <ns0:c r="Q831" s="0">
        <ns0:f>IFERROR(--N831,0)</ns0:f>
        <ns0:v>0</ns0:v>
      </ns0:c>
      <ns0:c r="R831" s="0">
        <ns0:f>IFERROR(IF(FIND(".",L831)=5,--O831,--M831),0)</ns0:f>
        <ns0:v>0</ns0:v>
      </ns0:c>
      <ns0:c r="S831" s="0">
        <ns0:f>IFERROR(IF(AND(P831&gt;=2000,P831&lt;=2100,Q831&gt;=1,Q831&lt;=12,R831&gt;=1,R831&lt;=31),DATE(P831,Q831,R831),0),0)</ns0:f>
        <ns0:v>0</ns0:v>
      </ns0:c>
      <ns0:c r="T831" s="0">
        <ns0:f>IFERROR(IF(ISNUMBER(Bookings!D831),IF(AND(Bookings!D831=INT(Bookings!D831),Bookings!D831&gt;=DATE(2000,1,1),Bookings!D831&lt;=DATE(2100,12,31)),Bookings!D831,0),IF(AND(K831&lt;&gt;"",LEN("x"&amp;L831)-LEN(SUBSTITUTE("x"&amp;L831,".",""))=2,OR(1&gt;LEN(L831),MID(L831,1,1)=".",ISNUMBER(FIND("x"&amp;MID(L831,1,1),"x0x1x2x3x4x5x6x7x8x9"))),OR(2&gt;LEN(L831),MID(L831,2,1)=".",ISNUMBER(FIND("x"&amp;MID(L831,2,1),"x0x1x2x3x4x5x6x7x8x9"))),OR(3&gt;LEN(L831),MID(L831,3,1)=".",ISNUMBER(FIND("x"&amp;MID(L831,3,1),"x0x1x2x3x4x5x6x7x8x9"))),OR(4&gt;LEN(L831),MID(L831,4,1)=".",ISNUMBER(FIND("x"&amp;MID(L831,4,1),"x0x1x2x3x4x5x6x7x8x9"))),OR(5&gt;LEN(L831),MID(L831,5,1)=".",ISNUMBER(FIND("x"&amp;MID(L831,5,1),"x0x1x2x3x4x5x6x7x8x9"))),OR(6&gt;LEN(L831),MID(L831,6,1)=".",ISNUMBER(FIND("x"&amp;MID(L831,6,1),"x0x1x2x3x4x5x6x7x8x9"))),OR(7&gt;LEN(L831),MID(L831,7,1)=".",ISNUMBER(FIND("x"&amp;MID(L831,7,1),"x0x1x2x3x4x5x6x7x8x9"))),OR(8&gt;LEN(L831),MID(L831,8,1)=".",ISNUMBER(FIND("x"&amp;MID(L831,8,1),"x0x1x2x3x4x5x6x7x8x9"))),OR(9&gt;LEN(L831),MID(L831,9,1)=".",ISNUMBER(FIND("x"&amp;MID(L831,9,1),"x0x1x2x3x4x5x6x7x8x9"))),OR(10&gt;LEN(L831),MID(L831,10,1)=".",ISNUMBER(FIND("x"&amp;MID(L831,10,1),"x0x1x2x3x4x5x6x7x8x9"))),OR(AND(FIND(".",L831)=5,LEN(L831)-FIND(".",L831,FIND(".",L831)+1)&gt;=1,LEN(L831)-FIND(".",L831,FIND(".",L831)+1)&lt;=2),AND(LEN(L831)-FIND(".",L831,FIND(".",L831)+1)=4,FIND(".",L831)&gt;=2,FIND(".",L831)&lt;=3)),FIND(".",L831,FIND(".",L831)+1)-FIND(".",L831)&gt;=2,FIND(".",L831,FIND(".",L831)+1)-FIND(".",L831)&lt;=3,P831&gt;=2000,P831&lt;=2100,YEAR(S831)=P831,MONTH(S831)=Q831,DAY(S831)=R831),S831,0)),0)</ns0:f>
        <ns0:v>0</ns0:v>
      </ns0:c>
      <ns0:c r="U831" s="0" t="str">
        <ns0:f>IF(Bookings!C831="","Full day",Bookings!C831)</ns0:f>
        <ns0:v>Full day</ns0:v>
      </ns0:c>
      <ns0:c r="V831" s="0" t="str">
        <ns0:f>IF(Bookings!E831="","Full day",Bookings!E831)</ns0:f>
        <ns0:v>Full day</ns0:v>
      </ns0:c>
      <ns0:c r="W831" s="0">
        <ns0:f>IF(J831=0,0,J831+IF(U831="PM",1,0))</ns0:f>
        <ns0:v>0</ns0:v>
      </ns0:c>
      <ns0:c r="X831" s="0">
        <ns0:f>IF(T831=0,0,T831-IF(V831="PM",1,0))</ns0:f>
        <ns0:v>0</ns0:v>
      </ns0:c>
      <ns0:c r="Y831" s="0">
        <ns0:f>IF(J831=0,0,J831+IF(U831="AM",1,0))</ns0:f>
        <ns0:v>0</ns0:v>
      </ns0:c>
      <ns0:c r="Z831" s="0">
        <ns0:f>IF(T831=0,0,T831-IF(V831="AM",1,0))</ns0:f>
        <ns0:v>0</ns0:v>
      </ns0:c>
      <ns0:c r="AA831" s="0">
        <ns0:f>IFERROR(IF(AND(J831&gt;0,'_Engine'!C831&gt;0,MID('_Engine'!W831,WEEKDAY(J831,2),1)="W",COUNTIF(Settings!$F$18:$F$67,J831)=0),1,0),0)</ns0:f>
        <ns0:v>0</ns0:v>
      </ns0:c>
      <ns0:c r="AB831" s="0">
        <ns0:f>IFERROR(IF(AND(T831&gt;0,'_Engine'!C831&gt;0,MID('_Engine'!W831,WEEKDAY(T831,2),1)="W",COUNTIF(Settings!$F$18:$F$67,T831)=0),1,0),0)</ns0:f>
        <ns0:v>0</ns0:v>
      </ns0:c>
      <ns0:c r="AC831" s="0">
        <ns0:f>IF(AND(J831&gt;0,T831&gt;0,W831&lt;=X831),1,0)</ns0:f>
        <ns0:v>0</ns0:v>
      </ns0:c>
      <ns0:c r="AD831" s="0">
        <ns0:f>IF(AND(J831&gt;0,T831&gt;0,Y831&lt;=Z831),1,0)</ns0:f>
        <ns0:v>0</ns0:v>
      </ns0:c>
    </ns0:row>
    <ns0:row r="832">
      <ns0:c r="A832" s="0">
        <ns0:f>IFERROR(IF(ISNUMBER(Bookings!B832),"",TRIM(Bookings!B832&amp;"")),"")</ns0:f>
      </ns0:c>
      <ns0:c r="B832" s="0">
        <ns0:f>IFERROR(SUBSTITUTE(SUBSTITUTE(A832,"/","."),"-","."),"")</ns0:f>
      </ns0:c>
      <ns0:c r="C832" s="0">
        <ns0:f>IFERROR(LEFT(B832,FIND(".",B832)-1),"")</ns0:f>
      </ns0:c>
      <ns0:c r="D832" s="0">
        <ns0:f>IFERROR(MID(B832,FIND(".",B832)+1,FIND(".",B832,FIND(".",B832)+1)-FIND(".",B832)-1),"")</ns0:f>
      </ns0:c>
      <ns0:c r="E832" s="0">
        <ns0:f>IFERROR(MID(B832,FIND(".",B832,FIND(".",B832)+1)+1,99),"")</ns0:f>
        <ns0:v>99</ns0:v>
      </ns0:c>
      <ns0:c r="F832" s="0">
        <ns0:f>IFERROR(IF(FIND(".",B832)=5,--C832,--E832),0)</ns0:f>
        <ns0:v>0</ns0:v>
      </ns0:c>
      <ns0:c r="G832" s="0">
        <ns0:f>IFERROR(--D832,0)</ns0:f>
        <ns0:v>0</ns0:v>
      </ns0:c>
      <ns0:c r="H832" s="0">
        <ns0:f>IFERROR(IF(FIND(".",B832)=5,--E832,--C832),0)</ns0:f>
        <ns0:v>0</ns0:v>
      </ns0:c>
      <ns0:c r="I832" s="0">
        <ns0:f>IFERROR(IF(AND(F832&gt;=2000,F832&lt;=2100,G832&gt;=1,G832&lt;=12,H832&gt;=1,H832&lt;=31),DATE(F832,G832,H832),0),0)</ns0:f>
        <ns0:v>0</ns0:v>
      </ns0:c>
      <ns0:c r="J832" s="0">
        <ns0:f>IFERROR(IF(ISNUMBER(Bookings!B832),IF(AND(Bookings!B832=INT(Bookings!B832),Bookings!B832&gt;=DATE(2000,1,1),Bookings!B832&lt;=DATE(2100,12,31)),Bookings!B832,0),IF(AND(A832&lt;&gt;"",LEN("x"&amp;B832)-LEN(SUBSTITUTE("x"&amp;B832,".",""))=2,OR(1&gt;LEN(B832),MID(B832,1,1)=".",ISNUMBER(FIND("x"&amp;MID(B832,1,1),"x0x1x2x3x4x5x6x7x8x9"))),OR(2&gt;LEN(B832),MID(B832,2,1)=".",ISNUMBER(FIND("x"&amp;MID(B832,2,1),"x0x1x2x3x4x5x6x7x8x9"))),OR(3&gt;LEN(B832),MID(B832,3,1)=".",ISNUMBER(FIND("x"&amp;MID(B832,3,1),"x0x1x2x3x4x5x6x7x8x9"))),OR(4&gt;LEN(B832),MID(B832,4,1)=".",ISNUMBER(FIND("x"&amp;MID(B832,4,1),"x0x1x2x3x4x5x6x7x8x9"))),OR(5&gt;LEN(B832),MID(B832,5,1)=".",ISNUMBER(FIND("x"&amp;MID(B832,5,1),"x0x1x2x3x4x5x6x7x8x9"))),OR(6&gt;LEN(B832),MID(B832,6,1)=".",ISNUMBER(FIND("x"&amp;MID(B832,6,1),"x0x1x2x3x4x5x6x7x8x9"))),OR(7&gt;LEN(B832),MID(B832,7,1)=".",ISNUMBER(FIND("x"&amp;MID(B832,7,1),"x0x1x2x3x4x5x6x7x8x9"))),OR(8&gt;LEN(B832),MID(B832,8,1)=".",ISNUMBER(FIND("x"&amp;MID(B832,8,1),"x0x1x2x3x4x5x6x7x8x9"))),OR(9&gt;LEN(B832),MID(B832,9,1)=".",ISNUMBER(FIND("x"&amp;MID(B832,9,1),"x0x1x2x3x4x5x6x7x8x9"))),OR(10&gt;LEN(B832),MID(B832,10,1)=".",ISNUMBER(FIND("x"&amp;MID(B832,10,1),"x0x1x2x3x4x5x6x7x8x9"))),OR(AND(FIND(".",B832)=5,LEN(B832)-FIND(".",B832,FIND(".",B832)+1)&gt;=1,LEN(B832)-FIND(".",B832,FIND(".",B832)+1)&lt;=2),AND(LEN(B832)-FIND(".",B832,FIND(".",B832)+1)=4,FIND(".",B832)&gt;=2,FIND(".",B832)&lt;=3)),FIND(".",B832,FIND(".",B832)+1)-FIND(".",B832)&gt;=2,FIND(".",B832,FIND(".",B832)+1)-FIND(".",B832)&lt;=3,F832&gt;=2000,F832&lt;=2100,YEAR(I832)=F832,MONTH(I832)=G832,DAY(I832)=H832),I832,0)),0)</ns0:f>
        <ns0:v>0</ns0:v>
      </ns0:c>
      <ns0:c r="K832" s="0">
        <ns0:f>IFERROR(IF(ISNUMBER(Bookings!D832),"",TRIM(Bookings!D832&amp;"")),"")</ns0:f>
      </ns0:c>
      <ns0:c r="L832" s="0">
        <ns0:f>IFERROR(SUBSTITUTE(SUBSTITUTE(K832,"/","."),"-","."),"")</ns0:f>
      </ns0:c>
      <ns0:c r="M832" s="0">
        <ns0:f>IFERROR(LEFT(L832,FIND(".",L832)-1),"")</ns0:f>
      </ns0:c>
      <ns0:c r="N832" s="0">
        <ns0:f>IFERROR(MID(L832,FIND(".",L832)+1,FIND(".",L832,FIND(".",L832)+1)-FIND(".",L832)-1),"")</ns0:f>
      </ns0:c>
      <ns0:c r="O832" s="0">
        <ns0:f>IFERROR(MID(L832,FIND(".",L832,FIND(".",L832)+1)+1,99),"")</ns0:f>
        <ns0:v>99</ns0:v>
      </ns0:c>
      <ns0:c r="P832" s="0">
        <ns0:f>IFERROR(IF(FIND(".",L832)=5,--M832,--O832),0)</ns0:f>
        <ns0:v>0</ns0:v>
      </ns0:c>
      <ns0:c r="Q832" s="0">
        <ns0:f>IFERROR(--N832,0)</ns0:f>
        <ns0:v>0</ns0:v>
      </ns0:c>
      <ns0:c r="R832" s="0">
        <ns0:f>IFERROR(IF(FIND(".",L832)=5,--O832,--M832),0)</ns0:f>
        <ns0:v>0</ns0:v>
      </ns0:c>
      <ns0:c r="S832" s="0">
        <ns0:f>IFERROR(IF(AND(P832&gt;=2000,P832&lt;=2100,Q832&gt;=1,Q832&lt;=12,R832&gt;=1,R832&lt;=31),DATE(P832,Q832,R832),0),0)</ns0:f>
        <ns0:v>0</ns0:v>
      </ns0:c>
      <ns0:c r="T832" s="0">
        <ns0:f>IFERROR(IF(ISNUMBER(Bookings!D832),IF(AND(Bookings!D832=INT(Bookings!D832),Bookings!D832&gt;=DATE(2000,1,1),Bookings!D832&lt;=DATE(2100,12,31)),Bookings!D832,0),IF(AND(K832&lt;&gt;"",LEN("x"&amp;L832)-LEN(SUBSTITUTE("x"&amp;L832,".",""))=2,OR(1&gt;LEN(L832),MID(L832,1,1)=".",ISNUMBER(FIND("x"&amp;MID(L832,1,1),"x0x1x2x3x4x5x6x7x8x9"))),OR(2&gt;LEN(L832),MID(L832,2,1)=".",ISNUMBER(FIND("x"&amp;MID(L832,2,1),"x0x1x2x3x4x5x6x7x8x9"))),OR(3&gt;LEN(L832),MID(L832,3,1)=".",ISNUMBER(FIND("x"&amp;MID(L832,3,1),"x0x1x2x3x4x5x6x7x8x9"))),OR(4&gt;LEN(L832),MID(L832,4,1)=".",ISNUMBER(FIND("x"&amp;MID(L832,4,1),"x0x1x2x3x4x5x6x7x8x9"))),OR(5&gt;LEN(L832),MID(L832,5,1)=".",ISNUMBER(FIND("x"&amp;MID(L832,5,1),"x0x1x2x3x4x5x6x7x8x9"))),OR(6&gt;LEN(L832),MID(L832,6,1)=".",ISNUMBER(FIND("x"&amp;MID(L832,6,1),"x0x1x2x3x4x5x6x7x8x9"))),OR(7&gt;LEN(L832),MID(L832,7,1)=".",ISNUMBER(FIND("x"&amp;MID(L832,7,1),"x0x1x2x3x4x5x6x7x8x9"))),OR(8&gt;LEN(L832),MID(L832,8,1)=".",ISNUMBER(FIND("x"&amp;MID(L832,8,1),"x0x1x2x3x4x5x6x7x8x9"))),OR(9&gt;LEN(L832),MID(L832,9,1)=".",ISNUMBER(FIND("x"&amp;MID(L832,9,1),"x0x1x2x3x4x5x6x7x8x9"))),OR(10&gt;LEN(L832),MID(L832,10,1)=".",ISNUMBER(FIND("x"&amp;MID(L832,10,1),"x0x1x2x3x4x5x6x7x8x9"))),OR(AND(FIND(".",L832)=5,LEN(L832)-FIND(".",L832,FIND(".",L832)+1)&gt;=1,LEN(L832)-FIND(".",L832,FIND(".",L832)+1)&lt;=2),AND(LEN(L832)-FIND(".",L832,FIND(".",L832)+1)=4,FIND(".",L832)&gt;=2,FIND(".",L832)&lt;=3)),FIND(".",L832,FIND(".",L832)+1)-FIND(".",L832)&gt;=2,FIND(".",L832,FIND(".",L832)+1)-FIND(".",L832)&lt;=3,P832&gt;=2000,P832&lt;=2100,YEAR(S832)=P832,MONTH(S832)=Q832,DAY(S832)=R832),S832,0)),0)</ns0:f>
        <ns0:v>0</ns0:v>
      </ns0:c>
      <ns0:c r="U832" s="0" t="str">
        <ns0:f>IF(Bookings!C832="","Full day",Bookings!C832)</ns0:f>
        <ns0:v>Full day</ns0:v>
      </ns0:c>
      <ns0:c r="V832" s="0" t="str">
        <ns0:f>IF(Bookings!E832="","Full day",Bookings!E832)</ns0:f>
        <ns0:v>Full day</ns0:v>
      </ns0:c>
      <ns0:c r="W832" s="0">
        <ns0:f>IF(J832=0,0,J832+IF(U832="PM",1,0))</ns0:f>
        <ns0:v>0</ns0:v>
      </ns0:c>
      <ns0:c r="X832" s="0">
        <ns0:f>IF(T832=0,0,T832-IF(V832="PM",1,0))</ns0:f>
        <ns0:v>0</ns0:v>
      </ns0:c>
      <ns0:c r="Y832" s="0">
        <ns0:f>IF(J832=0,0,J832+IF(U832="AM",1,0))</ns0:f>
        <ns0:v>0</ns0:v>
      </ns0:c>
      <ns0:c r="Z832" s="0">
        <ns0:f>IF(T832=0,0,T832-IF(V832="AM",1,0))</ns0:f>
        <ns0:v>0</ns0:v>
      </ns0:c>
      <ns0:c r="AA832" s="0">
        <ns0:f>IFERROR(IF(AND(J832&gt;0,'_Engine'!C832&gt;0,MID('_Engine'!W832,WEEKDAY(J832,2),1)="W",COUNTIF(Settings!$F$18:$F$67,J832)=0),1,0),0)</ns0:f>
        <ns0:v>0</ns0:v>
      </ns0:c>
      <ns0:c r="AB832" s="0">
        <ns0:f>IFERROR(IF(AND(T832&gt;0,'_Engine'!C832&gt;0,MID('_Engine'!W832,WEEKDAY(T832,2),1)="W",COUNTIF(Settings!$F$18:$F$67,T832)=0),1,0),0)</ns0:f>
        <ns0:v>0</ns0:v>
      </ns0:c>
      <ns0:c r="AC832" s="0">
        <ns0:f>IF(AND(J832&gt;0,T832&gt;0,W832&lt;=X832),1,0)</ns0:f>
        <ns0:v>0</ns0:v>
      </ns0:c>
      <ns0:c r="AD832" s="0">
        <ns0:f>IF(AND(J832&gt;0,T832&gt;0,Y832&lt;=Z832),1,0)</ns0:f>
        <ns0:v>0</ns0:v>
      </ns0:c>
    </ns0:row>
    <ns0:row r="833">
      <ns0:c r="A833" s="0">
        <ns0:f>IFERROR(IF(ISNUMBER(Bookings!B833),"",TRIM(Bookings!B833&amp;"")),"")</ns0:f>
      </ns0:c>
      <ns0:c r="B833" s="0">
        <ns0:f>IFERROR(SUBSTITUTE(SUBSTITUTE(A833,"/","."),"-","."),"")</ns0:f>
      </ns0:c>
      <ns0:c r="C833" s="0">
        <ns0:f>IFERROR(LEFT(B833,FIND(".",B833)-1),"")</ns0:f>
      </ns0:c>
      <ns0:c r="D833" s="0">
        <ns0:f>IFERROR(MID(B833,FIND(".",B833)+1,FIND(".",B833,FIND(".",B833)+1)-FIND(".",B833)-1),"")</ns0:f>
      </ns0:c>
      <ns0:c r="E833" s="0">
        <ns0:f>IFERROR(MID(B833,FIND(".",B833,FIND(".",B833)+1)+1,99),"")</ns0:f>
        <ns0:v>99</ns0:v>
      </ns0:c>
      <ns0:c r="F833" s="0">
        <ns0:f>IFERROR(IF(FIND(".",B833)=5,--C833,--E833),0)</ns0:f>
        <ns0:v>0</ns0:v>
      </ns0:c>
      <ns0:c r="G833" s="0">
        <ns0:f>IFERROR(--D833,0)</ns0:f>
        <ns0:v>0</ns0:v>
      </ns0:c>
      <ns0:c r="H833" s="0">
        <ns0:f>IFERROR(IF(FIND(".",B833)=5,--E833,--C833),0)</ns0:f>
        <ns0:v>0</ns0:v>
      </ns0:c>
      <ns0:c r="I833" s="0">
        <ns0:f>IFERROR(IF(AND(F833&gt;=2000,F833&lt;=2100,G833&gt;=1,G833&lt;=12,H833&gt;=1,H833&lt;=31),DATE(F833,G833,H833),0),0)</ns0:f>
        <ns0:v>0</ns0:v>
      </ns0:c>
      <ns0:c r="J833" s="0">
        <ns0:f>IFERROR(IF(ISNUMBER(Bookings!B833),IF(AND(Bookings!B833=INT(Bookings!B833),Bookings!B833&gt;=DATE(2000,1,1),Bookings!B833&lt;=DATE(2100,12,31)),Bookings!B833,0),IF(AND(A833&lt;&gt;"",LEN("x"&amp;B833)-LEN(SUBSTITUTE("x"&amp;B833,".",""))=2,OR(1&gt;LEN(B833),MID(B833,1,1)=".",ISNUMBER(FIND("x"&amp;MID(B833,1,1),"x0x1x2x3x4x5x6x7x8x9"))),OR(2&gt;LEN(B833),MID(B833,2,1)=".",ISNUMBER(FIND("x"&amp;MID(B833,2,1),"x0x1x2x3x4x5x6x7x8x9"))),OR(3&gt;LEN(B833),MID(B833,3,1)=".",ISNUMBER(FIND("x"&amp;MID(B833,3,1),"x0x1x2x3x4x5x6x7x8x9"))),OR(4&gt;LEN(B833),MID(B833,4,1)=".",ISNUMBER(FIND("x"&amp;MID(B833,4,1),"x0x1x2x3x4x5x6x7x8x9"))),OR(5&gt;LEN(B833),MID(B833,5,1)=".",ISNUMBER(FIND("x"&amp;MID(B833,5,1),"x0x1x2x3x4x5x6x7x8x9"))),OR(6&gt;LEN(B833),MID(B833,6,1)=".",ISNUMBER(FIND("x"&amp;MID(B833,6,1),"x0x1x2x3x4x5x6x7x8x9"))),OR(7&gt;LEN(B833),MID(B833,7,1)=".",ISNUMBER(FIND("x"&amp;MID(B833,7,1),"x0x1x2x3x4x5x6x7x8x9"))),OR(8&gt;LEN(B833),MID(B833,8,1)=".",ISNUMBER(FIND("x"&amp;MID(B833,8,1),"x0x1x2x3x4x5x6x7x8x9"))),OR(9&gt;LEN(B833),MID(B833,9,1)=".",ISNUMBER(FIND("x"&amp;MID(B833,9,1),"x0x1x2x3x4x5x6x7x8x9"))),OR(10&gt;LEN(B833),MID(B833,10,1)=".",ISNUMBER(FIND("x"&amp;MID(B833,10,1),"x0x1x2x3x4x5x6x7x8x9"))),OR(AND(FIND(".",B833)=5,LEN(B833)-FIND(".",B833,FIND(".",B833)+1)&gt;=1,LEN(B833)-FIND(".",B833,FIND(".",B833)+1)&lt;=2),AND(LEN(B833)-FIND(".",B833,FIND(".",B833)+1)=4,FIND(".",B833)&gt;=2,FIND(".",B833)&lt;=3)),FIND(".",B833,FIND(".",B833)+1)-FIND(".",B833)&gt;=2,FIND(".",B833,FIND(".",B833)+1)-FIND(".",B833)&lt;=3,F833&gt;=2000,F833&lt;=2100,YEAR(I833)=F833,MONTH(I833)=G833,DAY(I833)=H833),I833,0)),0)</ns0:f>
        <ns0:v>0</ns0:v>
      </ns0:c>
      <ns0:c r="K833" s="0">
        <ns0:f>IFERROR(IF(ISNUMBER(Bookings!D833),"",TRIM(Bookings!D833&amp;"")),"")</ns0:f>
      </ns0:c>
      <ns0:c r="L833" s="0">
        <ns0:f>IFERROR(SUBSTITUTE(SUBSTITUTE(K833,"/","."),"-","."),"")</ns0:f>
      </ns0:c>
      <ns0:c r="M833" s="0">
        <ns0:f>IFERROR(LEFT(L833,FIND(".",L833)-1),"")</ns0:f>
      </ns0:c>
      <ns0:c r="N833" s="0">
        <ns0:f>IFERROR(MID(L833,FIND(".",L833)+1,FIND(".",L833,FIND(".",L833)+1)-FIND(".",L833)-1),"")</ns0:f>
      </ns0:c>
      <ns0:c r="O833" s="0">
        <ns0:f>IFERROR(MID(L833,FIND(".",L833,FIND(".",L833)+1)+1,99),"")</ns0:f>
        <ns0:v>99</ns0:v>
      </ns0:c>
      <ns0:c r="P833" s="0">
        <ns0:f>IFERROR(IF(FIND(".",L833)=5,--M833,--O833),0)</ns0:f>
        <ns0:v>0</ns0:v>
      </ns0:c>
      <ns0:c r="Q833" s="0">
        <ns0:f>IFERROR(--N833,0)</ns0:f>
        <ns0:v>0</ns0:v>
      </ns0:c>
      <ns0:c r="R833" s="0">
        <ns0:f>IFERROR(IF(FIND(".",L833)=5,--O833,--M833),0)</ns0:f>
        <ns0:v>0</ns0:v>
      </ns0:c>
      <ns0:c r="S833" s="0">
        <ns0:f>IFERROR(IF(AND(P833&gt;=2000,P833&lt;=2100,Q833&gt;=1,Q833&lt;=12,R833&gt;=1,R833&lt;=31),DATE(P833,Q833,R833),0),0)</ns0:f>
        <ns0:v>0</ns0:v>
      </ns0:c>
      <ns0:c r="T833" s="0">
        <ns0:f>IFERROR(IF(ISNUMBER(Bookings!D833),IF(AND(Bookings!D833=INT(Bookings!D833),Bookings!D833&gt;=DATE(2000,1,1),Bookings!D833&lt;=DATE(2100,12,31)),Bookings!D833,0),IF(AND(K833&lt;&gt;"",LEN("x"&amp;L833)-LEN(SUBSTITUTE("x"&amp;L833,".",""))=2,OR(1&gt;LEN(L833),MID(L833,1,1)=".",ISNUMBER(FIND("x"&amp;MID(L833,1,1),"x0x1x2x3x4x5x6x7x8x9"))),OR(2&gt;LEN(L833),MID(L833,2,1)=".",ISNUMBER(FIND("x"&amp;MID(L833,2,1),"x0x1x2x3x4x5x6x7x8x9"))),OR(3&gt;LEN(L833),MID(L833,3,1)=".",ISNUMBER(FIND("x"&amp;MID(L833,3,1),"x0x1x2x3x4x5x6x7x8x9"))),OR(4&gt;LEN(L833),MID(L833,4,1)=".",ISNUMBER(FIND("x"&amp;MID(L833,4,1),"x0x1x2x3x4x5x6x7x8x9"))),OR(5&gt;LEN(L833),MID(L833,5,1)=".",ISNUMBER(FIND("x"&amp;MID(L833,5,1),"x0x1x2x3x4x5x6x7x8x9"))),OR(6&gt;LEN(L833),MID(L833,6,1)=".",ISNUMBER(FIND("x"&amp;MID(L833,6,1),"x0x1x2x3x4x5x6x7x8x9"))),OR(7&gt;LEN(L833),MID(L833,7,1)=".",ISNUMBER(FIND("x"&amp;MID(L833,7,1),"x0x1x2x3x4x5x6x7x8x9"))),OR(8&gt;LEN(L833),MID(L833,8,1)=".",ISNUMBER(FIND("x"&amp;MID(L833,8,1),"x0x1x2x3x4x5x6x7x8x9"))),OR(9&gt;LEN(L833),MID(L833,9,1)=".",ISNUMBER(FIND("x"&amp;MID(L833,9,1),"x0x1x2x3x4x5x6x7x8x9"))),OR(10&gt;LEN(L833),MID(L833,10,1)=".",ISNUMBER(FIND("x"&amp;MID(L833,10,1),"x0x1x2x3x4x5x6x7x8x9"))),OR(AND(FIND(".",L833)=5,LEN(L833)-FIND(".",L833,FIND(".",L833)+1)&gt;=1,LEN(L833)-FIND(".",L833,FIND(".",L833)+1)&lt;=2),AND(LEN(L833)-FIND(".",L833,FIND(".",L833)+1)=4,FIND(".",L833)&gt;=2,FIND(".",L833)&lt;=3)),FIND(".",L833,FIND(".",L833)+1)-FIND(".",L833)&gt;=2,FIND(".",L833,FIND(".",L833)+1)-FIND(".",L833)&lt;=3,P833&gt;=2000,P833&lt;=2100,YEAR(S833)=P833,MONTH(S833)=Q833,DAY(S833)=R833),S833,0)),0)</ns0:f>
        <ns0:v>0</ns0:v>
      </ns0:c>
      <ns0:c r="U833" s="0" t="str">
        <ns0:f>IF(Bookings!C833="","Full day",Bookings!C833)</ns0:f>
        <ns0:v>Full day</ns0:v>
      </ns0:c>
      <ns0:c r="V833" s="0" t="str">
        <ns0:f>IF(Bookings!E833="","Full day",Bookings!E833)</ns0:f>
        <ns0:v>Full day</ns0:v>
      </ns0:c>
      <ns0:c r="W833" s="0">
        <ns0:f>IF(J833=0,0,J833+IF(U833="PM",1,0))</ns0:f>
        <ns0:v>0</ns0:v>
      </ns0:c>
      <ns0:c r="X833" s="0">
        <ns0:f>IF(T833=0,0,T833-IF(V833="PM",1,0))</ns0:f>
        <ns0:v>0</ns0:v>
      </ns0:c>
      <ns0:c r="Y833" s="0">
        <ns0:f>IF(J833=0,0,J833+IF(U833="AM",1,0))</ns0:f>
        <ns0:v>0</ns0:v>
      </ns0:c>
      <ns0:c r="Z833" s="0">
        <ns0:f>IF(T833=0,0,T833-IF(V833="AM",1,0))</ns0:f>
        <ns0:v>0</ns0:v>
      </ns0:c>
      <ns0:c r="AA833" s="0">
        <ns0:f>IFERROR(IF(AND(J833&gt;0,'_Engine'!C833&gt;0,MID('_Engine'!W833,WEEKDAY(J833,2),1)="W",COUNTIF(Settings!$F$18:$F$67,J833)=0),1,0),0)</ns0:f>
        <ns0:v>0</ns0:v>
      </ns0:c>
      <ns0:c r="AB833" s="0">
        <ns0:f>IFERROR(IF(AND(T833&gt;0,'_Engine'!C833&gt;0,MID('_Engine'!W833,WEEKDAY(T833,2),1)="W",COUNTIF(Settings!$F$18:$F$67,T833)=0),1,0),0)</ns0:f>
        <ns0:v>0</ns0:v>
      </ns0:c>
      <ns0:c r="AC833" s="0">
        <ns0:f>IF(AND(J833&gt;0,T833&gt;0,W833&lt;=X833),1,0)</ns0:f>
        <ns0:v>0</ns0:v>
      </ns0:c>
      <ns0:c r="AD833" s="0">
        <ns0:f>IF(AND(J833&gt;0,T833&gt;0,Y833&lt;=Z833),1,0)</ns0:f>
        <ns0:v>0</ns0:v>
      </ns0:c>
    </ns0:row>
    <ns0:row r="834">
      <ns0:c r="A834" s="0">
        <ns0:f>IFERROR(IF(ISNUMBER(Bookings!B834),"",TRIM(Bookings!B834&amp;"")),"")</ns0:f>
      </ns0:c>
      <ns0:c r="B834" s="0">
        <ns0:f>IFERROR(SUBSTITUTE(SUBSTITUTE(A834,"/","."),"-","."),"")</ns0:f>
      </ns0:c>
      <ns0:c r="C834" s="0">
        <ns0:f>IFERROR(LEFT(B834,FIND(".",B834)-1),"")</ns0:f>
      </ns0:c>
      <ns0:c r="D834" s="0">
        <ns0:f>IFERROR(MID(B834,FIND(".",B834)+1,FIND(".",B834,FIND(".",B834)+1)-FIND(".",B834)-1),"")</ns0:f>
      </ns0:c>
      <ns0:c r="E834" s="0">
        <ns0:f>IFERROR(MID(B834,FIND(".",B834,FIND(".",B834)+1)+1,99),"")</ns0:f>
        <ns0:v>99</ns0:v>
      </ns0:c>
      <ns0:c r="F834" s="0">
        <ns0:f>IFERROR(IF(FIND(".",B834)=5,--C834,--E834),0)</ns0:f>
        <ns0:v>0</ns0:v>
      </ns0:c>
      <ns0:c r="G834" s="0">
        <ns0:f>IFERROR(--D834,0)</ns0:f>
        <ns0:v>0</ns0:v>
      </ns0:c>
      <ns0:c r="H834" s="0">
        <ns0:f>IFERROR(IF(FIND(".",B834)=5,--E834,--C834),0)</ns0:f>
        <ns0:v>0</ns0:v>
      </ns0:c>
      <ns0:c r="I834" s="0">
        <ns0:f>IFERROR(IF(AND(F834&gt;=2000,F834&lt;=2100,G834&gt;=1,G834&lt;=12,H834&gt;=1,H834&lt;=31),DATE(F834,G834,H834),0),0)</ns0:f>
        <ns0:v>0</ns0:v>
      </ns0:c>
      <ns0:c r="J834" s="0">
        <ns0:f>IFERROR(IF(ISNUMBER(Bookings!B834),IF(AND(Bookings!B834=INT(Bookings!B834),Bookings!B834&gt;=DATE(2000,1,1),Bookings!B834&lt;=DATE(2100,12,31)),Bookings!B834,0),IF(AND(A834&lt;&gt;"",LEN("x"&amp;B834)-LEN(SUBSTITUTE("x"&amp;B834,".",""))=2,OR(1&gt;LEN(B834),MID(B834,1,1)=".",ISNUMBER(FIND("x"&amp;MID(B834,1,1),"x0x1x2x3x4x5x6x7x8x9"))),OR(2&gt;LEN(B834),MID(B834,2,1)=".",ISNUMBER(FIND("x"&amp;MID(B834,2,1),"x0x1x2x3x4x5x6x7x8x9"))),OR(3&gt;LEN(B834),MID(B834,3,1)=".",ISNUMBER(FIND("x"&amp;MID(B834,3,1),"x0x1x2x3x4x5x6x7x8x9"))),OR(4&gt;LEN(B834),MID(B834,4,1)=".",ISNUMBER(FIND("x"&amp;MID(B834,4,1),"x0x1x2x3x4x5x6x7x8x9"))),OR(5&gt;LEN(B834),MID(B834,5,1)=".",ISNUMBER(FIND("x"&amp;MID(B834,5,1),"x0x1x2x3x4x5x6x7x8x9"))),OR(6&gt;LEN(B834),MID(B834,6,1)=".",ISNUMBER(FIND("x"&amp;MID(B834,6,1),"x0x1x2x3x4x5x6x7x8x9"))),OR(7&gt;LEN(B834),MID(B834,7,1)=".",ISNUMBER(FIND("x"&amp;MID(B834,7,1),"x0x1x2x3x4x5x6x7x8x9"))),OR(8&gt;LEN(B834),MID(B834,8,1)=".",ISNUMBER(FIND("x"&amp;MID(B834,8,1),"x0x1x2x3x4x5x6x7x8x9"))),OR(9&gt;LEN(B834),MID(B834,9,1)=".",ISNUMBER(FIND("x"&amp;MID(B834,9,1),"x0x1x2x3x4x5x6x7x8x9"))),OR(10&gt;LEN(B834),MID(B834,10,1)=".",ISNUMBER(FIND("x"&amp;MID(B834,10,1),"x0x1x2x3x4x5x6x7x8x9"))),OR(AND(FIND(".",B834)=5,LEN(B834)-FIND(".",B834,FIND(".",B834)+1)&gt;=1,LEN(B834)-FIND(".",B834,FIND(".",B834)+1)&lt;=2),AND(LEN(B834)-FIND(".",B834,FIND(".",B834)+1)=4,FIND(".",B834)&gt;=2,FIND(".",B834)&lt;=3)),FIND(".",B834,FIND(".",B834)+1)-FIND(".",B834)&gt;=2,FIND(".",B834,FIND(".",B834)+1)-FIND(".",B834)&lt;=3,F834&gt;=2000,F834&lt;=2100,YEAR(I834)=F834,MONTH(I834)=G834,DAY(I834)=H834),I834,0)),0)</ns0:f>
        <ns0:v>0</ns0:v>
      </ns0:c>
      <ns0:c r="K834" s="0">
        <ns0:f>IFERROR(IF(ISNUMBER(Bookings!D834),"",TRIM(Bookings!D834&amp;"")),"")</ns0:f>
      </ns0:c>
      <ns0:c r="L834" s="0">
        <ns0:f>IFERROR(SUBSTITUTE(SUBSTITUTE(K834,"/","."),"-","."),"")</ns0:f>
      </ns0:c>
      <ns0:c r="M834" s="0">
        <ns0:f>IFERROR(LEFT(L834,FIND(".",L834)-1),"")</ns0:f>
      </ns0:c>
      <ns0:c r="N834" s="0">
        <ns0:f>IFERROR(MID(L834,FIND(".",L834)+1,FIND(".",L834,FIND(".",L834)+1)-FIND(".",L834)-1),"")</ns0:f>
      </ns0:c>
      <ns0:c r="O834" s="0">
        <ns0:f>IFERROR(MID(L834,FIND(".",L834,FIND(".",L834)+1)+1,99),"")</ns0:f>
        <ns0:v>99</ns0:v>
      </ns0:c>
      <ns0:c r="P834" s="0">
        <ns0:f>IFERROR(IF(FIND(".",L834)=5,--M834,--O834),0)</ns0:f>
        <ns0:v>0</ns0:v>
      </ns0:c>
      <ns0:c r="Q834" s="0">
        <ns0:f>IFERROR(--N834,0)</ns0:f>
        <ns0:v>0</ns0:v>
      </ns0:c>
      <ns0:c r="R834" s="0">
        <ns0:f>IFERROR(IF(FIND(".",L834)=5,--O834,--M834),0)</ns0:f>
        <ns0:v>0</ns0:v>
      </ns0:c>
      <ns0:c r="S834" s="0">
        <ns0:f>IFERROR(IF(AND(P834&gt;=2000,P834&lt;=2100,Q834&gt;=1,Q834&lt;=12,R834&gt;=1,R834&lt;=31),DATE(P834,Q834,R834),0),0)</ns0:f>
        <ns0:v>0</ns0:v>
      </ns0:c>
      <ns0:c r="T834" s="0">
        <ns0:f>IFERROR(IF(ISNUMBER(Bookings!D834),IF(AND(Bookings!D834=INT(Bookings!D834),Bookings!D834&gt;=DATE(2000,1,1),Bookings!D834&lt;=DATE(2100,12,31)),Bookings!D834,0),IF(AND(K834&lt;&gt;"",LEN("x"&amp;L834)-LEN(SUBSTITUTE("x"&amp;L834,".",""))=2,OR(1&gt;LEN(L834),MID(L834,1,1)=".",ISNUMBER(FIND("x"&amp;MID(L834,1,1),"x0x1x2x3x4x5x6x7x8x9"))),OR(2&gt;LEN(L834),MID(L834,2,1)=".",ISNUMBER(FIND("x"&amp;MID(L834,2,1),"x0x1x2x3x4x5x6x7x8x9"))),OR(3&gt;LEN(L834),MID(L834,3,1)=".",ISNUMBER(FIND("x"&amp;MID(L834,3,1),"x0x1x2x3x4x5x6x7x8x9"))),OR(4&gt;LEN(L834),MID(L834,4,1)=".",ISNUMBER(FIND("x"&amp;MID(L834,4,1),"x0x1x2x3x4x5x6x7x8x9"))),OR(5&gt;LEN(L834),MID(L834,5,1)=".",ISNUMBER(FIND("x"&amp;MID(L834,5,1),"x0x1x2x3x4x5x6x7x8x9"))),OR(6&gt;LEN(L834),MID(L834,6,1)=".",ISNUMBER(FIND("x"&amp;MID(L834,6,1),"x0x1x2x3x4x5x6x7x8x9"))),OR(7&gt;LEN(L834),MID(L834,7,1)=".",ISNUMBER(FIND("x"&amp;MID(L834,7,1),"x0x1x2x3x4x5x6x7x8x9"))),OR(8&gt;LEN(L834),MID(L834,8,1)=".",ISNUMBER(FIND("x"&amp;MID(L834,8,1),"x0x1x2x3x4x5x6x7x8x9"))),OR(9&gt;LEN(L834),MID(L834,9,1)=".",ISNUMBER(FIND("x"&amp;MID(L834,9,1),"x0x1x2x3x4x5x6x7x8x9"))),OR(10&gt;LEN(L834),MID(L834,10,1)=".",ISNUMBER(FIND("x"&amp;MID(L834,10,1),"x0x1x2x3x4x5x6x7x8x9"))),OR(AND(FIND(".",L834)=5,LEN(L834)-FIND(".",L834,FIND(".",L834)+1)&gt;=1,LEN(L834)-FIND(".",L834,FIND(".",L834)+1)&lt;=2),AND(LEN(L834)-FIND(".",L834,FIND(".",L834)+1)=4,FIND(".",L834)&gt;=2,FIND(".",L834)&lt;=3)),FIND(".",L834,FIND(".",L834)+1)-FIND(".",L834)&gt;=2,FIND(".",L834,FIND(".",L834)+1)-FIND(".",L834)&lt;=3,P834&gt;=2000,P834&lt;=2100,YEAR(S834)=P834,MONTH(S834)=Q834,DAY(S834)=R834),S834,0)),0)</ns0:f>
        <ns0:v>0</ns0:v>
      </ns0:c>
      <ns0:c r="U834" s="0" t="str">
        <ns0:f>IF(Bookings!C834="","Full day",Bookings!C834)</ns0:f>
        <ns0:v>Full day</ns0:v>
      </ns0:c>
      <ns0:c r="V834" s="0" t="str">
        <ns0:f>IF(Bookings!E834="","Full day",Bookings!E834)</ns0:f>
        <ns0:v>Full day</ns0:v>
      </ns0:c>
      <ns0:c r="W834" s="0">
        <ns0:f>IF(J834=0,0,J834+IF(U834="PM",1,0))</ns0:f>
        <ns0:v>0</ns0:v>
      </ns0:c>
      <ns0:c r="X834" s="0">
        <ns0:f>IF(T834=0,0,T834-IF(V834="PM",1,0))</ns0:f>
        <ns0:v>0</ns0:v>
      </ns0:c>
      <ns0:c r="Y834" s="0">
        <ns0:f>IF(J834=0,0,J834+IF(U834="AM",1,0))</ns0:f>
        <ns0:v>0</ns0:v>
      </ns0:c>
      <ns0:c r="Z834" s="0">
        <ns0:f>IF(T834=0,0,T834-IF(V834="AM",1,0))</ns0:f>
        <ns0:v>0</ns0:v>
      </ns0:c>
      <ns0:c r="AA834" s="0">
        <ns0:f>IFERROR(IF(AND(J834&gt;0,'_Engine'!C834&gt;0,MID('_Engine'!W834,WEEKDAY(J834,2),1)="W",COUNTIF(Settings!$F$18:$F$67,J834)=0),1,0),0)</ns0:f>
        <ns0:v>0</ns0:v>
      </ns0:c>
      <ns0:c r="AB834" s="0">
        <ns0:f>IFERROR(IF(AND(T834&gt;0,'_Engine'!C834&gt;0,MID('_Engine'!W834,WEEKDAY(T834,2),1)="W",COUNTIF(Settings!$F$18:$F$67,T834)=0),1,0),0)</ns0:f>
        <ns0:v>0</ns0:v>
      </ns0:c>
      <ns0:c r="AC834" s="0">
        <ns0:f>IF(AND(J834&gt;0,T834&gt;0,W834&lt;=X834),1,0)</ns0:f>
        <ns0:v>0</ns0:v>
      </ns0:c>
      <ns0:c r="AD834" s="0">
        <ns0:f>IF(AND(J834&gt;0,T834&gt;0,Y834&lt;=Z834),1,0)</ns0:f>
        <ns0:v>0</ns0:v>
      </ns0:c>
    </ns0:row>
    <ns0:row r="835">
      <ns0:c r="A835" s="0">
        <ns0:f>IFERROR(IF(ISNUMBER(Bookings!B835),"",TRIM(Bookings!B835&amp;"")),"")</ns0:f>
      </ns0:c>
      <ns0:c r="B835" s="0">
        <ns0:f>IFERROR(SUBSTITUTE(SUBSTITUTE(A835,"/","."),"-","."),"")</ns0:f>
      </ns0:c>
      <ns0:c r="C835" s="0">
        <ns0:f>IFERROR(LEFT(B835,FIND(".",B835)-1),"")</ns0:f>
      </ns0:c>
      <ns0:c r="D835" s="0">
        <ns0:f>IFERROR(MID(B835,FIND(".",B835)+1,FIND(".",B835,FIND(".",B835)+1)-FIND(".",B835)-1),"")</ns0:f>
      </ns0:c>
      <ns0:c r="E835" s="0">
        <ns0:f>IFERROR(MID(B835,FIND(".",B835,FIND(".",B835)+1)+1,99),"")</ns0:f>
        <ns0:v>99</ns0:v>
      </ns0:c>
      <ns0:c r="F835" s="0">
        <ns0:f>IFERROR(IF(FIND(".",B835)=5,--C835,--E835),0)</ns0:f>
        <ns0:v>0</ns0:v>
      </ns0:c>
      <ns0:c r="G835" s="0">
        <ns0:f>IFERROR(--D835,0)</ns0:f>
        <ns0:v>0</ns0:v>
      </ns0:c>
      <ns0:c r="H835" s="0">
        <ns0:f>IFERROR(IF(FIND(".",B835)=5,--E835,--C835),0)</ns0:f>
        <ns0:v>0</ns0:v>
      </ns0:c>
      <ns0:c r="I835" s="0">
        <ns0:f>IFERROR(IF(AND(F835&gt;=2000,F835&lt;=2100,G835&gt;=1,G835&lt;=12,H835&gt;=1,H835&lt;=31),DATE(F835,G835,H835),0),0)</ns0:f>
        <ns0:v>0</ns0:v>
      </ns0:c>
      <ns0:c r="J835" s="0">
        <ns0:f>IFERROR(IF(ISNUMBER(Bookings!B835),IF(AND(Bookings!B835=INT(Bookings!B835),Bookings!B835&gt;=DATE(2000,1,1),Bookings!B835&lt;=DATE(2100,12,31)),Bookings!B835,0),IF(AND(A835&lt;&gt;"",LEN("x"&amp;B835)-LEN(SUBSTITUTE("x"&amp;B835,".",""))=2,OR(1&gt;LEN(B835),MID(B835,1,1)=".",ISNUMBER(FIND("x"&amp;MID(B835,1,1),"x0x1x2x3x4x5x6x7x8x9"))),OR(2&gt;LEN(B835),MID(B835,2,1)=".",ISNUMBER(FIND("x"&amp;MID(B835,2,1),"x0x1x2x3x4x5x6x7x8x9"))),OR(3&gt;LEN(B835),MID(B835,3,1)=".",ISNUMBER(FIND("x"&amp;MID(B835,3,1),"x0x1x2x3x4x5x6x7x8x9"))),OR(4&gt;LEN(B835),MID(B835,4,1)=".",ISNUMBER(FIND("x"&amp;MID(B835,4,1),"x0x1x2x3x4x5x6x7x8x9"))),OR(5&gt;LEN(B835),MID(B835,5,1)=".",ISNUMBER(FIND("x"&amp;MID(B835,5,1),"x0x1x2x3x4x5x6x7x8x9"))),OR(6&gt;LEN(B835),MID(B835,6,1)=".",ISNUMBER(FIND("x"&amp;MID(B835,6,1),"x0x1x2x3x4x5x6x7x8x9"))),OR(7&gt;LEN(B835),MID(B835,7,1)=".",ISNUMBER(FIND("x"&amp;MID(B835,7,1),"x0x1x2x3x4x5x6x7x8x9"))),OR(8&gt;LEN(B835),MID(B835,8,1)=".",ISNUMBER(FIND("x"&amp;MID(B835,8,1),"x0x1x2x3x4x5x6x7x8x9"))),OR(9&gt;LEN(B835),MID(B835,9,1)=".",ISNUMBER(FIND("x"&amp;MID(B835,9,1),"x0x1x2x3x4x5x6x7x8x9"))),OR(10&gt;LEN(B835),MID(B835,10,1)=".",ISNUMBER(FIND("x"&amp;MID(B835,10,1),"x0x1x2x3x4x5x6x7x8x9"))),OR(AND(FIND(".",B835)=5,LEN(B835)-FIND(".",B835,FIND(".",B835)+1)&gt;=1,LEN(B835)-FIND(".",B835,FIND(".",B835)+1)&lt;=2),AND(LEN(B835)-FIND(".",B835,FIND(".",B835)+1)=4,FIND(".",B835)&gt;=2,FIND(".",B835)&lt;=3)),FIND(".",B835,FIND(".",B835)+1)-FIND(".",B835)&gt;=2,FIND(".",B835,FIND(".",B835)+1)-FIND(".",B835)&lt;=3,F835&gt;=2000,F835&lt;=2100,YEAR(I835)=F835,MONTH(I835)=G835,DAY(I835)=H835),I835,0)),0)</ns0:f>
        <ns0:v>0</ns0:v>
      </ns0:c>
      <ns0:c r="K835" s="0">
        <ns0:f>IFERROR(IF(ISNUMBER(Bookings!D835),"",TRIM(Bookings!D835&amp;"")),"")</ns0:f>
      </ns0:c>
      <ns0:c r="L835" s="0">
        <ns0:f>IFERROR(SUBSTITUTE(SUBSTITUTE(K835,"/","."),"-","."),"")</ns0:f>
      </ns0:c>
      <ns0:c r="M835" s="0">
        <ns0:f>IFERROR(LEFT(L835,FIND(".",L835)-1),"")</ns0:f>
      </ns0:c>
      <ns0:c r="N835" s="0">
        <ns0:f>IFERROR(MID(L835,FIND(".",L835)+1,FIND(".",L835,FIND(".",L835)+1)-FIND(".",L835)-1),"")</ns0:f>
      </ns0:c>
      <ns0:c r="O835" s="0">
        <ns0:f>IFERROR(MID(L835,FIND(".",L835,FIND(".",L835)+1)+1,99),"")</ns0:f>
        <ns0:v>99</ns0:v>
      </ns0:c>
      <ns0:c r="P835" s="0">
        <ns0:f>IFERROR(IF(FIND(".",L835)=5,--M835,--O835),0)</ns0:f>
        <ns0:v>0</ns0:v>
      </ns0:c>
      <ns0:c r="Q835" s="0">
        <ns0:f>IFERROR(--N835,0)</ns0:f>
        <ns0:v>0</ns0:v>
      </ns0:c>
      <ns0:c r="R835" s="0">
        <ns0:f>IFERROR(IF(FIND(".",L835)=5,--O835,--M835),0)</ns0:f>
        <ns0:v>0</ns0:v>
      </ns0:c>
      <ns0:c r="S835" s="0">
        <ns0:f>IFERROR(IF(AND(P835&gt;=2000,P835&lt;=2100,Q835&gt;=1,Q835&lt;=12,R835&gt;=1,R835&lt;=31),DATE(P835,Q835,R835),0),0)</ns0:f>
        <ns0:v>0</ns0:v>
      </ns0:c>
      <ns0:c r="T835" s="0">
        <ns0:f>IFERROR(IF(ISNUMBER(Bookings!D835),IF(AND(Bookings!D835=INT(Bookings!D835),Bookings!D835&gt;=DATE(2000,1,1),Bookings!D835&lt;=DATE(2100,12,31)),Bookings!D835,0),IF(AND(K835&lt;&gt;"",LEN("x"&amp;L835)-LEN(SUBSTITUTE("x"&amp;L835,".",""))=2,OR(1&gt;LEN(L835),MID(L835,1,1)=".",ISNUMBER(FIND("x"&amp;MID(L835,1,1),"x0x1x2x3x4x5x6x7x8x9"))),OR(2&gt;LEN(L835),MID(L835,2,1)=".",ISNUMBER(FIND("x"&amp;MID(L835,2,1),"x0x1x2x3x4x5x6x7x8x9"))),OR(3&gt;LEN(L835),MID(L835,3,1)=".",ISNUMBER(FIND("x"&amp;MID(L835,3,1),"x0x1x2x3x4x5x6x7x8x9"))),OR(4&gt;LEN(L835),MID(L835,4,1)=".",ISNUMBER(FIND("x"&amp;MID(L835,4,1),"x0x1x2x3x4x5x6x7x8x9"))),OR(5&gt;LEN(L835),MID(L835,5,1)=".",ISNUMBER(FIND("x"&amp;MID(L835,5,1),"x0x1x2x3x4x5x6x7x8x9"))),OR(6&gt;LEN(L835),MID(L835,6,1)=".",ISNUMBER(FIND("x"&amp;MID(L835,6,1),"x0x1x2x3x4x5x6x7x8x9"))),OR(7&gt;LEN(L835),MID(L835,7,1)=".",ISNUMBER(FIND("x"&amp;MID(L835,7,1),"x0x1x2x3x4x5x6x7x8x9"))),OR(8&gt;LEN(L835),MID(L835,8,1)=".",ISNUMBER(FIND("x"&amp;MID(L835,8,1),"x0x1x2x3x4x5x6x7x8x9"))),OR(9&gt;LEN(L835),MID(L835,9,1)=".",ISNUMBER(FIND("x"&amp;MID(L835,9,1),"x0x1x2x3x4x5x6x7x8x9"))),OR(10&gt;LEN(L835),MID(L835,10,1)=".",ISNUMBER(FIND("x"&amp;MID(L835,10,1),"x0x1x2x3x4x5x6x7x8x9"))),OR(AND(FIND(".",L835)=5,LEN(L835)-FIND(".",L835,FIND(".",L835)+1)&gt;=1,LEN(L835)-FIND(".",L835,FIND(".",L835)+1)&lt;=2),AND(LEN(L835)-FIND(".",L835,FIND(".",L835)+1)=4,FIND(".",L835)&gt;=2,FIND(".",L835)&lt;=3)),FIND(".",L835,FIND(".",L835)+1)-FIND(".",L835)&gt;=2,FIND(".",L835,FIND(".",L835)+1)-FIND(".",L835)&lt;=3,P835&gt;=2000,P835&lt;=2100,YEAR(S835)=P835,MONTH(S835)=Q835,DAY(S835)=R835),S835,0)),0)</ns0:f>
        <ns0:v>0</ns0:v>
      </ns0:c>
      <ns0:c r="U835" s="0" t="str">
        <ns0:f>IF(Bookings!C835="","Full day",Bookings!C835)</ns0:f>
        <ns0:v>Full day</ns0:v>
      </ns0:c>
      <ns0:c r="V835" s="0" t="str">
        <ns0:f>IF(Bookings!E835="","Full day",Bookings!E835)</ns0:f>
        <ns0:v>Full day</ns0:v>
      </ns0:c>
      <ns0:c r="W835" s="0">
        <ns0:f>IF(J835=0,0,J835+IF(U835="PM",1,0))</ns0:f>
        <ns0:v>0</ns0:v>
      </ns0:c>
      <ns0:c r="X835" s="0">
        <ns0:f>IF(T835=0,0,T835-IF(V835="PM",1,0))</ns0:f>
        <ns0:v>0</ns0:v>
      </ns0:c>
      <ns0:c r="Y835" s="0">
        <ns0:f>IF(J835=0,0,J835+IF(U835="AM",1,0))</ns0:f>
        <ns0:v>0</ns0:v>
      </ns0:c>
      <ns0:c r="Z835" s="0">
        <ns0:f>IF(T835=0,0,T835-IF(V835="AM",1,0))</ns0:f>
        <ns0:v>0</ns0:v>
      </ns0:c>
      <ns0:c r="AA835" s="0">
        <ns0:f>IFERROR(IF(AND(J835&gt;0,'_Engine'!C835&gt;0,MID('_Engine'!W835,WEEKDAY(J835,2),1)="W",COUNTIF(Settings!$F$18:$F$67,J835)=0),1,0),0)</ns0:f>
        <ns0:v>0</ns0:v>
      </ns0:c>
      <ns0:c r="AB835" s="0">
        <ns0:f>IFERROR(IF(AND(T835&gt;0,'_Engine'!C835&gt;0,MID('_Engine'!W835,WEEKDAY(T835,2),1)="W",COUNTIF(Settings!$F$18:$F$67,T835)=0),1,0),0)</ns0:f>
        <ns0:v>0</ns0:v>
      </ns0:c>
      <ns0:c r="AC835" s="0">
        <ns0:f>IF(AND(J835&gt;0,T835&gt;0,W835&lt;=X835),1,0)</ns0:f>
        <ns0:v>0</ns0:v>
      </ns0:c>
      <ns0:c r="AD835" s="0">
        <ns0:f>IF(AND(J835&gt;0,T835&gt;0,Y835&lt;=Z835),1,0)</ns0:f>
        <ns0:v>0</ns0:v>
      </ns0:c>
    </ns0:row>
    <ns0:row r="836">
      <ns0:c r="A836" s="0">
        <ns0:f>IFERROR(IF(ISNUMBER(Bookings!B836),"",TRIM(Bookings!B836&amp;"")),"")</ns0:f>
      </ns0:c>
      <ns0:c r="B836" s="0">
        <ns0:f>IFERROR(SUBSTITUTE(SUBSTITUTE(A836,"/","."),"-","."),"")</ns0:f>
      </ns0:c>
      <ns0:c r="C836" s="0">
        <ns0:f>IFERROR(LEFT(B836,FIND(".",B836)-1),"")</ns0:f>
      </ns0:c>
      <ns0:c r="D836" s="0">
        <ns0:f>IFERROR(MID(B836,FIND(".",B836)+1,FIND(".",B836,FIND(".",B836)+1)-FIND(".",B836)-1),"")</ns0:f>
      </ns0:c>
      <ns0:c r="E836" s="0">
        <ns0:f>IFERROR(MID(B836,FIND(".",B836,FIND(".",B836)+1)+1,99),"")</ns0:f>
        <ns0:v>99</ns0:v>
      </ns0:c>
      <ns0:c r="F836" s="0">
        <ns0:f>IFERROR(IF(FIND(".",B836)=5,--C836,--E836),0)</ns0:f>
        <ns0:v>0</ns0:v>
      </ns0:c>
      <ns0:c r="G836" s="0">
        <ns0:f>IFERROR(--D836,0)</ns0:f>
        <ns0:v>0</ns0:v>
      </ns0:c>
      <ns0:c r="H836" s="0">
        <ns0:f>IFERROR(IF(FIND(".",B836)=5,--E836,--C836),0)</ns0:f>
        <ns0:v>0</ns0:v>
      </ns0:c>
      <ns0:c r="I836" s="0">
        <ns0:f>IFERROR(IF(AND(F836&gt;=2000,F836&lt;=2100,G836&gt;=1,G836&lt;=12,H836&gt;=1,H836&lt;=31),DATE(F836,G836,H836),0),0)</ns0:f>
        <ns0:v>0</ns0:v>
      </ns0:c>
      <ns0:c r="J836" s="0">
        <ns0:f>IFERROR(IF(ISNUMBER(Bookings!B836),IF(AND(Bookings!B836=INT(Bookings!B836),Bookings!B836&gt;=DATE(2000,1,1),Bookings!B836&lt;=DATE(2100,12,31)),Bookings!B836,0),IF(AND(A836&lt;&gt;"",LEN("x"&amp;B836)-LEN(SUBSTITUTE("x"&amp;B836,".",""))=2,OR(1&gt;LEN(B836),MID(B836,1,1)=".",ISNUMBER(FIND("x"&amp;MID(B836,1,1),"x0x1x2x3x4x5x6x7x8x9"))),OR(2&gt;LEN(B836),MID(B836,2,1)=".",ISNUMBER(FIND("x"&amp;MID(B836,2,1),"x0x1x2x3x4x5x6x7x8x9"))),OR(3&gt;LEN(B836),MID(B836,3,1)=".",ISNUMBER(FIND("x"&amp;MID(B836,3,1),"x0x1x2x3x4x5x6x7x8x9"))),OR(4&gt;LEN(B836),MID(B836,4,1)=".",ISNUMBER(FIND("x"&amp;MID(B836,4,1),"x0x1x2x3x4x5x6x7x8x9"))),OR(5&gt;LEN(B836),MID(B836,5,1)=".",ISNUMBER(FIND("x"&amp;MID(B836,5,1),"x0x1x2x3x4x5x6x7x8x9"))),OR(6&gt;LEN(B836),MID(B836,6,1)=".",ISNUMBER(FIND("x"&amp;MID(B836,6,1),"x0x1x2x3x4x5x6x7x8x9"))),OR(7&gt;LEN(B836),MID(B836,7,1)=".",ISNUMBER(FIND("x"&amp;MID(B836,7,1),"x0x1x2x3x4x5x6x7x8x9"))),OR(8&gt;LEN(B836),MID(B836,8,1)=".",ISNUMBER(FIND("x"&amp;MID(B836,8,1),"x0x1x2x3x4x5x6x7x8x9"))),OR(9&gt;LEN(B836),MID(B836,9,1)=".",ISNUMBER(FIND("x"&amp;MID(B836,9,1),"x0x1x2x3x4x5x6x7x8x9"))),OR(10&gt;LEN(B836),MID(B836,10,1)=".",ISNUMBER(FIND("x"&amp;MID(B836,10,1),"x0x1x2x3x4x5x6x7x8x9"))),OR(AND(FIND(".",B836)=5,LEN(B836)-FIND(".",B836,FIND(".",B836)+1)&gt;=1,LEN(B836)-FIND(".",B836,FIND(".",B836)+1)&lt;=2),AND(LEN(B836)-FIND(".",B836,FIND(".",B836)+1)=4,FIND(".",B836)&gt;=2,FIND(".",B836)&lt;=3)),FIND(".",B836,FIND(".",B836)+1)-FIND(".",B836)&gt;=2,FIND(".",B836,FIND(".",B836)+1)-FIND(".",B836)&lt;=3,F836&gt;=2000,F836&lt;=2100,YEAR(I836)=F836,MONTH(I836)=G836,DAY(I836)=H836),I836,0)),0)</ns0:f>
        <ns0:v>0</ns0:v>
      </ns0:c>
      <ns0:c r="K836" s="0">
        <ns0:f>IFERROR(IF(ISNUMBER(Bookings!D836),"",TRIM(Bookings!D836&amp;"")),"")</ns0:f>
      </ns0:c>
      <ns0:c r="L836" s="0">
        <ns0:f>IFERROR(SUBSTITUTE(SUBSTITUTE(K836,"/","."),"-","."),"")</ns0:f>
      </ns0:c>
      <ns0:c r="M836" s="0">
        <ns0:f>IFERROR(LEFT(L836,FIND(".",L836)-1),"")</ns0:f>
      </ns0:c>
      <ns0:c r="N836" s="0">
        <ns0:f>IFERROR(MID(L836,FIND(".",L836)+1,FIND(".",L836,FIND(".",L836)+1)-FIND(".",L836)-1),"")</ns0:f>
      </ns0:c>
      <ns0:c r="O836" s="0">
        <ns0:f>IFERROR(MID(L836,FIND(".",L836,FIND(".",L836)+1)+1,99),"")</ns0:f>
        <ns0:v>99</ns0:v>
      </ns0:c>
      <ns0:c r="P836" s="0">
        <ns0:f>IFERROR(IF(FIND(".",L836)=5,--M836,--O836),0)</ns0:f>
        <ns0:v>0</ns0:v>
      </ns0:c>
      <ns0:c r="Q836" s="0">
        <ns0:f>IFERROR(--N836,0)</ns0:f>
        <ns0:v>0</ns0:v>
      </ns0:c>
      <ns0:c r="R836" s="0">
        <ns0:f>IFERROR(IF(FIND(".",L836)=5,--O836,--M836),0)</ns0:f>
        <ns0:v>0</ns0:v>
      </ns0:c>
      <ns0:c r="S836" s="0">
        <ns0:f>IFERROR(IF(AND(P836&gt;=2000,P836&lt;=2100,Q836&gt;=1,Q836&lt;=12,R836&gt;=1,R836&lt;=31),DATE(P836,Q836,R836),0),0)</ns0:f>
        <ns0:v>0</ns0:v>
      </ns0:c>
      <ns0:c r="T836" s="0">
        <ns0:f>IFERROR(IF(ISNUMBER(Bookings!D836),IF(AND(Bookings!D836=INT(Bookings!D836),Bookings!D836&gt;=DATE(2000,1,1),Bookings!D836&lt;=DATE(2100,12,31)),Bookings!D836,0),IF(AND(K836&lt;&gt;"",LEN("x"&amp;L836)-LEN(SUBSTITUTE("x"&amp;L836,".",""))=2,OR(1&gt;LEN(L836),MID(L836,1,1)=".",ISNUMBER(FIND("x"&amp;MID(L836,1,1),"x0x1x2x3x4x5x6x7x8x9"))),OR(2&gt;LEN(L836),MID(L836,2,1)=".",ISNUMBER(FIND("x"&amp;MID(L836,2,1),"x0x1x2x3x4x5x6x7x8x9"))),OR(3&gt;LEN(L836),MID(L836,3,1)=".",ISNUMBER(FIND("x"&amp;MID(L836,3,1),"x0x1x2x3x4x5x6x7x8x9"))),OR(4&gt;LEN(L836),MID(L836,4,1)=".",ISNUMBER(FIND("x"&amp;MID(L836,4,1),"x0x1x2x3x4x5x6x7x8x9"))),OR(5&gt;LEN(L836),MID(L836,5,1)=".",ISNUMBER(FIND("x"&amp;MID(L836,5,1),"x0x1x2x3x4x5x6x7x8x9"))),OR(6&gt;LEN(L836),MID(L836,6,1)=".",ISNUMBER(FIND("x"&amp;MID(L836,6,1),"x0x1x2x3x4x5x6x7x8x9"))),OR(7&gt;LEN(L836),MID(L836,7,1)=".",ISNUMBER(FIND("x"&amp;MID(L836,7,1),"x0x1x2x3x4x5x6x7x8x9"))),OR(8&gt;LEN(L836),MID(L836,8,1)=".",ISNUMBER(FIND("x"&amp;MID(L836,8,1),"x0x1x2x3x4x5x6x7x8x9"))),OR(9&gt;LEN(L836),MID(L836,9,1)=".",ISNUMBER(FIND("x"&amp;MID(L836,9,1),"x0x1x2x3x4x5x6x7x8x9"))),OR(10&gt;LEN(L836),MID(L836,10,1)=".",ISNUMBER(FIND("x"&amp;MID(L836,10,1),"x0x1x2x3x4x5x6x7x8x9"))),OR(AND(FIND(".",L836)=5,LEN(L836)-FIND(".",L836,FIND(".",L836)+1)&gt;=1,LEN(L836)-FIND(".",L836,FIND(".",L836)+1)&lt;=2),AND(LEN(L836)-FIND(".",L836,FIND(".",L836)+1)=4,FIND(".",L836)&gt;=2,FIND(".",L836)&lt;=3)),FIND(".",L836,FIND(".",L836)+1)-FIND(".",L836)&gt;=2,FIND(".",L836,FIND(".",L836)+1)-FIND(".",L836)&lt;=3,P836&gt;=2000,P836&lt;=2100,YEAR(S836)=P836,MONTH(S836)=Q836,DAY(S836)=R836),S836,0)),0)</ns0:f>
        <ns0:v>0</ns0:v>
      </ns0:c>
      <ns0:c r="U836" s="0" t="str">
        <ns0:f>IF(Bookings!C836="","Full day",Bookings!C836)</ns0:f>
        <ns0:v>Full day</ns0:v>
      </ns0:c>
      <ns0:c r="V836" s="0" t="str">
        <ns0:f>IF(Bookings!E836="","Full day",Bookings!E836)</ns0:f>
        <ns0:v>Full day</ns0:v>
      </ns0:c>
      <ns0:c r="W836" s="0">
        <ns0:f>IF(J836=0,0,J836+IF(U836="PM",1,0))</ns0:f>
        <ns0:v>0</ns0:v>
      </ns0:c>
      <ns0:c r="X836" s="0">
        <ns0:f>IF(T836=0,0,T836-IF(V836="PM",1,0))</ns0:f>
        <ns0:v>0</ns0:v>
      </ns0:c>
      <ns0:c r="Y836" s="0">
        <ns0:f>IF(J836=0,0,J836+IF(U836="AM",1,0))</ns0:f>
        <ns0:v>0</ns0:v>
      </ns0:c>
      <ns0:c r="Z836" s="0">
        <ns0:f>IF(T836=0,0,T836-IF(V836="AM",1,0))</ns0:f>
        <ns0:v>0</ns0:v>
      </ns0:c>
      <ns0:c r="AA836" s="0">
        <ns0:f>IFERROR(IF(AND(J836&gt;0,'_Engine'!C836&gt;0,MID('_Engine'!W836,WEEKDAY(J836,2),1)="W",COUNTIF(Settings!$F$18:$F$67,J836)=0),1,0),0)</ns0:f>
        <ns0:v>0</ns0:v>
      </ns0:c>
      <ns0:c r="AB836" s="0">
        <ns0:f>IFERROR(IF(AND(T836&gt;0,'_Engine'!C836&gt;0,MID('_Engine'!W836,WEEKDAY(T836,2),1)="W",COUNTIF(Settings!$F$18:$F$67,T836)=0),1,0),0)</ns0:f>
        <ns0:v>0</ns0:v>
      </ns0:c>
      <ns0:c r="AC836" s="0">
        <ns0:f>IF(AND(J836&gt;0,T836&gt;0,W836&lt;=X836),1,0)</ns0:f>
        <ns0:v>0</ns0:v>
      </ns0:c>
      <ns0:c r="AD836" s="0">
        <ns0:f>IF(AND(J836&gt;0,T836&gt;0,Y836&lt;=Z836),1,0)</ns0:f>
        <ns0:v>0</ns0:v>
      </ns0:c>
    </ns0:row>
    <ns0:row r="837">
      <ns0:c r="A837" s="0">
        <ns0:f>IFERROR(IF(ISNUMBER(Bookings!B837),"",TRIM(Bookings!B837&amp;"")),"")</ns0:f>
      </ns0:c>
      <ns0:c r="B837" s="0">
        <ns0:f>IFERROR(SUBSTITUTE(SUBSTITUTE(A837,"/","."),"-","."),"")</ns0:f>
      </ns0:c>
      <ns0:c r="C837" s="0">
        <ns0:f>IFERROR(LEFT(B837,FIND(".",B837)-1),"")</ns0:f>
      </ns0:c>
      <ns0:c r="D837" s="0">
        <ns0:f>IFERROR(MID(B837,FIND(".",B837)+1,FIND(".",B837,FIND(".",B837)+1)-FIND(".",B837)-1),"")</ns0:f>
      </ns0:c>
      <ns0:c r="E837" s="0">
        <ns0:f>IFERROR(MID(B837,FIND(".",B837,FIND(".",B837)+1)+1,99),"")</ns0:f>
        <ns0:v>99</ns0:v>
      </ns0:c>
      <ns0:c r="F837" s="0">
        <ns0:f>IFERROR(IF(FIND(".",B837)=5,--C837,--E837),0)</ns0:f>
        <ns0:v>0</ns0:v>
      </ns0:c>
      <ns0:c r="G837" s="0">
        <ns0:f>IFERROR(--D837,0)</ns0:f>
        <ns0:v>0</ns0:v>
      </ns0:c>
      <ns0:c r="H837" s="0">
        <ns0:f>IFERROR(IF(FIND(".",B837)=5,--E837,--C837),0)</ns0:f>
        <ns0:v>0</ns0:v>
      </ns0:c>
      <ns0:c r="I837" s="0">
        <ns0:f>IFERROR(IF(AND(F837&gt;=2000,F837&lt;=2100,G837&gt;=1,G837&lt;=12,H837&gt;=1,H837&lt;=31),DATE(F837,G837,H837),0),0)</ns0:f>
        <ns0:v>0</ns0:v>
      </ns0:c>
      <ns0:c r="J837" s="0">
        <ns0:f>IFERROR(IF(ISNUMBER(Bookings!B837),IF(AND(Bookings!B837=INT(Bookings!B837),Bookings!B837&gt;=DATE(2000,1,1),Bookings!B837&lt;=DATE(2100,12,31)),Bookings!B837,0),IF(AND(A837&lt;&gt;"",LEN("x"&amp;B837)-LEN(SUBSTITUTE("x"&amp;B837,".",""))=2,OR(1&gt;LEN(B837),MID(B837,1,1)=".",ISNUMBER(FIND("x"&amp;MID(B837,1,1),"x0x1x2x3x4x5x6x7x8x9"))),OR(2&gt;LEN(B837),MID(B837,2,1)=".",ISNUMBER(FIND("x"&amp;MID(B837,2,1),"x0x1x2x3x4x5x6x7x8x9"))),OR(3&gt;LEN(B837),MID(B837,3,1)=".",ISNUMBER(FIND("x"&amp;MID(B837,3,1),"x0x1x2x3x4x5x6x7x8x9"))),OR(4&gt;LEN(B837),MID(B837,4,1)=".",ISNUMBER(FIND("x"&amp;MID(B837,4,1),"x0x1x2x3x4x5x6x7x8x9"))),OR(5&gt;LEN(B837),MID(B837,5,1)=".",ISNUMBER(FIND("x"&amp;MID(B837,5,1),"x0x1x2x3x4x5x6x7x8x9"))),OR(6&gt;LEN(B837),MID(B837,6,1)=".",ISNUMBER(FIND("x"&amp;MID(B837,6,1),"x0x1x2x3x4x5x6x7x8x9"))),OR(7&gt;LEN(B837),MID(B837,7,1)=".",ISNUMBER(FIND("x"&amp;MID(B837,7,1),"x0x1x2x3x4x5x6x7x8x9"))),OR(8&gt;LEN(B837),MID(B837,8,1)=".",ISNUMBER(FIND("x"&amp;MID(B837,8,1),"x0x1x2x3x4x5x6x7x8x9"))),OR(9&gt;LEN(B837),MID(B837,9,1)=".",ISNUMBER(FIND("x"&amp;MID(B837,9,1),"x0x1x2x3x4x5x6x7x8x9"))),OR(10&gt;LEN(B837),MID(B837,10,1)=".",ISNUMBER(FIND("x"&amp;MID(B837,10,1),"x0x1x2x3x4x5x6x7x8x9"))),OR(AND(FIND(".",B837)=5,LEN(B837)-FIND(".",B837,FIND(".",B837)+1)&gt;=1,LEN(B837)-FIND(".",B837,FIND(".",B837)+1)&lt;=2),AND(LEN(B837)-FIND(".",B837,FIND(".",B837)+1)=4,FIND(".",B837)&gt;=2,FIND(".",B837)&lt;=3)),FIND(".",B837,FIND(".",B837)+1)-FIND(".",B837)&gt;=2,FIND(".",B837,FIND(".",B837)+1)-FIND(".",B837)&lt;=3,F837&gt;=2000,F837&lt;=2100,YEAR(I837)=F837,MONTH(I837)=G837,DAY(I837)=H837),I837,0)),0)</ns0:f>
        <ns0:v>0</ns0:v>
      </ns0:c>
      <ns0:c r="K837" s="0">
        <ns0:f>IFERROR(IF(ISNUMBER(Bookings!D837),"",TRIM(Bookings!D837&amp;"")),"")</ns0:f>
      </ns0:c>
      <ns0:c r="L837" s="0">
        <ns0:f>IFERROR(SUBSTITUTE(SUBSTITUTE(K837,"/","."),"-","."),"")</ns0:f>
      </ns0:c>
      <ns0:c r="M837" s="0">
        <ns0:f>IFERROR(LEFT(L837,FIND(".",L837)-1),"")</ns0:f>
      </ns0:c>
      <ns0:c r="N837" s="0">
        <ns0:f>IFERROR(MID(L837,FIND(".",L837)+1,FIND(".",L837,FIND(".",L837)+1)-FIND(".",L837)-1),"")</ns0:f>
      </ns0:c>
      <ns0:c r="O837" s="0">
        <ns0:f>IFERROR(MID(L837,FIND(".",L837,FIND(".",L837)+1)+1,99),"")</ns0:f>
        <ns0:v>99</ns0:v>
      </ns0:c>
      <ns0:c r="P837" s="0">
        <ns0:f>IFERROR(IF(FIND(".",L837)=5,--M837,--O837),0)</ns0:f>
        <ns0:v>0</ns0:v>
      </ns0:c>
      <ns0:c r="Q837" s="0">
        <ns0:f>IFERROR(--N837,0)</ns0:f>
        <ns0:v>0</ns0:v>
      </ns0:c>
      <ns0:c r="R837" s="0">
        <ns0:f>IFERROR(IF(FIND(".",L837)=5,--O837,--M837),0)</ns0:f>
        <ns0:v>0</ns0:v>
      </ns0:c>
      <ns0:c r="S837" s="0">
        <ns0:f>IFERROR(IF(AND(P837&gt;=2000,P837&lt;=2100,Q837&gt;=1,Q837&lt;=12,R837&gt;=1,R837&lt;=31),DATE(P837,Q837,R837),0),0)</ns0:f>
        <ns0:v>0</ns0:v>
      </ns0:c>
      <ns0:c r="T837" s="0">
        <ns0:f>IFERROR(IF(ISNUMBER(Bookings!D837),IF(AND(Bookings!D837=INT(Bookings!D837),Bookings!D837&gt;=DATE(2000,1,1),Bookings!D837&lt;=DATE(2100,12,31)),Bookings!D837,0),IF(AND(K837&lt;&gt;"",LEN("x"&amp;L837)-LEN(SUBSTITUTE("x"&amp;L837,".",""))=2,OR(1&gt;LEN(L837),MID(L837,1,1)=".",ISNUMBER(FIND("x"&amp;MID(L837,1,1),"x0x1x2x3x4x5x6x7x8x9"))),OR(2&gt;LEN(L837),MID(L837,2,1)=".",ISNUMBER(FIND("x"&amp;MID(L837,2,1),"x0x1x2x3x4x5x6x7x8x9"))),OR(3&gt;LEN(L837),MID(L837,3,1)=".",ISNUMBER(FIND("x"&amp;MID(L837,3,1),"x0x1x2x3x4x5x6x7x8x9"))),OR(4&gt;LEN(L837),MID(L837,4,1)=".",ISNUMBER(FIND("x"&amp;MID(L837,4,1),"x0x1x2x3x4x5x6x7x8x9"))),OR(5&gt;LEN(L837),MID(L837,5,1)=".",ISNUMBER(FIND("x"&amp;MID(L837,5,1),"x0x1x2x3x4x5x6x7x8x9"))),OR(6&gt;LEN(L837),MID(L837,6,1)=".",ISNUMBER(FIND("x"&amp;MID(L837,6,1),"x0x1x2x3x4x5x6x7x8x9"))),OR(7&gt;LEN(L837),MID(L837,7,1)=".",ISNUMBER(FIND("x"&amp;MID(L837,7,1),"x0x1x2x3x4x5x6x7x8x9"))),OR(8&gt;LEN(L837),MID(L837,8,1)=".",ISNUMBER(FIND("x"&amp;MID(L837,8,1),"x0x1x2x3x4x5x6x7x8x9"))),OR(9&gt;LEN(L837),MID(L837,9,1)=".",ISNUMBER(FIND("x"&amp;MID(L837,9,1),"x0x1x2x3x4x5x6x7x8x9"))),OR(10&gt;LEN(L837),MID(L837,10,1)=".",ISNUMBER(FIND("x"&amp;MID(L837,10,1),"x0x1x2x3x4x5x6x7x8x9"))),OR(AND(FIND(".",L837)=5,LEN(L837)-FIND(".",L837,FIND(".",L837)+1)&gt;=1,LEN(L837)-FIND(".",L837,FIND(".",L837)+1)&lt;=2),AND(LEN(L837)-FIND(".",L837,FIND(".",L837)+1)=4,FIND(".",L837)&gt;=2,FIND(".",L837)&lt;=3)),FIND(".",L837,FIND(".",L837)+1)-FIND(".",L837)&gt;=2,FIND(".",L837,FIND(".",L837)+1)-FIND(".",L837)&lt;=3,P837&gt;=2000,P837&lt;=2100,YEAR(S837)=P837,MONTH(S837)=Q837,DAY(S837)=R837),S837,0)),0)</ns0:f>
        <ns0:v>0</ns0:v>
      </ns0:c>
      <ns0:c r="U837" s="0" t="str">
        <ns0:f>IF(Bookings!C837="","Full day",Bookings!C837)</ns0:f>
        <ns0:v>Full day</ns0:v>
      </ns0:c>
      <ns0:c r="V837" s="0" t="str">
        <ns0:f>IF(Bookings!E837="","Full day",Bookings!E837)</ns0:f>
        <ns0:v>Full day</ns0:v>
      </ns0:c>
      <ns0:c r="W837" s="0">
        <ns0:f>IF(J837=0,0,J837+IF(U837="PM",1,0))</ns0:f>
        <ns0:v>0</ns0:v>
      </ns0:c>
      <ns0:c r="X837" s="0">
        <ns0:f>IF(T837=0,0,T837-IF(V837="PM",1,0))</ns0:f>
        <ns0:v>0</ns0:v>
      </ns0:c>
      <ns0:c r="Y837" s="0">
        <ns0:f>IF(J837=0,0,J837+IF(U837="AM",1,0))</ns0:f>
        <ns0:v>0</ns0:v>
      </ns0:c>
      <ns0:c r="Z837" s="0">
        <ns0:f>IF(T837=0,0,T837-IF(V837="AM",1,0))</ns0:f>
        <ns0:v>0</ns0:v>
      </ns0:c>
      <ns0:c r="AA837" s="0">
        <ns0:f>IFERROR(IF(AND(J837&gt;0,'_Engine'!C837&gt;0,MID('_Engine'!W837,WEEKDAY(J837,2),1)="W",COUNTIF(Settings!$F$18:$F$67,J837)=0),1,0),0)</ns0:f>
        <ns0:v>0</ns0:v>
      </ns0:c>
      <ns0:c r="AB837" s="0">
        <ns0:f>IFERROR(IF(AND(T837&gt;0,'_Engine'!C837&gt;0,MID('_Engine'!W837,WEEKDAY(T837,2),1)="W",COUNTIF(Settings!$F$18:$F$67,T837)=0),1,0),0)</ns0:f>
        <ns0:v>0</ns0:v>
      </ns0:c>
      <ns0:c r="AC837" s="0">
        <ns0:f>IF(AND(J837&gt;0,T837&gt;0,W837&lt;=X837),1,0)</ns0:f>
        <ns0:v>0</ns0:v>
      </ns0:c>
      <ns0:c r="AD837" s="0">
        <ns0:f>IF(AND(J837&gt;0,T837&gt;0,Y837&lt;=Z837),1,0)</ns0:f>
        <ns0:v>0</ns0:v>
      </ns0:c>
    </ns0:row>
    <ns0:row r="838">
      <ns0:c r="A838" s="0">
        <ns0:f>IFERROR(IF(ISNUMBER(Bookings!B838),"",TRIM(Bookings!B838&amp;"")),"")</ns0:f>
      </ns0:c>
      <ns0:c r="B838" s="0">
        <ns0:f>IFERROR(SUBSTITUTE(SUBSTITUTE(A838,"/","."),"-","."),"")</ns0:f>
      </ns0:c>
      <ns0:c r="C838" s="0">
        <ns0:f>IFERROR(LEFT(B838,FIND(".",B838)-1),"")</ns0:f>
      </ns0:c>
      <ns0:c r="D838" s="0">
        <ns0:f>IFERROR(MID(B838,FIND(".",B838)+1,FIND(".",B838,FIND(".",B838)+1)-FIND(".",B838)-1),"")</ns0:f>
      </ns0:c>
      <ns0:c r="E838" s="0">
        <ns0:f>IFERROR(MID(B838,FIND(".",B838,FIND(".",B838)+1)+1,99),"")</ns0:f>
        <ns0:v>99</ns0:v>
      </ns0:c>
      <ns0:c r="F838" s="0">
        <ns0:f>IFERROR(IF(FIND(".",B838)=5,--C838,--E838),0)</ns0:f>
        <ns0:v>0</ns0:v>
      </ns0:c>
      <ns0:c r="G838" s="0">
        <ns0:f>IFERROR(--D838,0)</ns0:f>
        <ns0:v>0</ns0:v>
      </ns0:c>
      <ns0:c r="H838" s="0">
        <ns0:f>IFERROR(IF(FIND(".",B838)=5,--E838,--C838),0)</ns0:f>
        <ns0:v>0</ns0:v>
      </ns0:c>
      <ns0:c r="I838" s="0">
        <ns0:f>IFERROR(IF(AND(F838&gt;=2000,F838&lt;=2100,G838&gt;=1,G838&lt;=12,H838&gt;=1,H838&lt;=31),DATE(F838,G838,H838),0),0)</ns0:f>
        <ns0:v>0</ns0:v>
      </ns0:c>
      <ns0:c r="J838" s="0">
        <ns0:f>IFERROR(IF(ISNUMBER(Bookings!B838),IF(AND(Bookings!B838=INT(Bookings!B838),Bookings!B838&gt;=DATE(2000,1,1),Bookings!B838&lt;=DATE(2100,12,31)),Bookings!B838,0),IF(AND(A838&lt;&gt;"",LEN("x"&amp;B838)-LEN(SUBSTITUTE("x"&amp;B838,".",""))=2,OR(1&gt;LEN(B838),MID(B838,1,1)=".",ISNUMBER(FIND("x"&amp;MID(B838,1,1),"x0x1x2x3x4x5x6x7x8x9"))),OR(2&gt;LEN(B838),MID(B838,2,1)=".",ISNUMBER(FIND("x"&amp;MID(B838,2,1),"x0x1x2x3x4x5x6x7x8x9"))),OR(3&gt;LEN(B838),MID(B838,3,1)=".",ISNUMBER(FIND("x"&amp;MID(B838,3,1),"x0x1x2x3x4x5x6x7x8x9"))),OR(4&gt;LEN(B838),MID(B838,4,1)=".",ISNUMBER(FIND("x"&amp;MID(B838,4,1),"x0x1x2x3x4x5x6x7x8x9"))),OR(5&gt;LEN(B838),MID(B838,5,1)=".",ISNUMBER(FIND("x"&amp;MID(B838,5,1),"x0x1x2x3x4x5x6x7x8x9"))),OR(6&gt;LEN(B838),MID(B838,6,1)=".",ISNUMBER(FIND("x"&amp;MID(B838,6,1),"x0x1x2x3x4x5x6x7x8x9"))),OR(7&gt;LEN(B838),MID(B838,7,1)=".",ISNUMBER(FIND("x"&amp;MID(B838,7,1),"x0x1x2x3x4x5x6x7x8x9"))),OR(8&gt;LEN(B838),MID(B838,8,1)=".",ISNUMBER(FIND("x"&amp;MID(B838,8,1),"x0x1x2x3x4x5x6x7x8x9"))),OR(9&gt;LEN(B838),MID(B838,9,1)=".",ISNUMBER(FIND("x"&amp;MID(B838,9,1),"x0x1x2x3x4x5x6x7x8x9"))),OR(10&gt;LEN(B838),MID(B838,10,1)=".",ISNUMBER(FIND("x"&amp;MID(B838,10,1),"x0x1x2x3x4x5x6x7x8x9"))),OR(AND(FIND(".",B838)=5,LEN(B838)-FIND(".",B838,FIND(".",B838)+1)&gt;=1,LEN(B838)-FIND(".",B838,FIND(".",B838)+1)&lt;=2),AND(LEN(B838)-FIND(".",B838,FIND(".",B838)+1)=4,FIND(".",B838)&gt;=2,FIND(".",B838)&lt;=3)),FIND(".",B838,FIND(".",B838)+1)-FIND(".",B838)&gt;=2,FIND(".",B838,FIND(".",B838)+1)-FIND(".",B838)&lt;=3,F838&gt;=2000,F838&lt;=2100,YEAR(I838)=F838,MONTH(I838)=G838,DAY(I838)=H838),I838,0)),0)</ns0:f>
        <ns0:v>0</ns0:v>
      </ns0:c>
      <ns0:c r="K838" s="0">
        <ns0:f>IFERROR(IF(ISNUMBER(Bookings!D838),"",TRIM(Bookings!D838&amp;"")),"")</ns0:f>
      </ns0:c>
      <ns0:c r="L838" s="0">
        <ns0:f>IFERROR(SUBSTITUTE(SUBSTITUTE(K838,"/","."),"-","."),"")</ns0:f>
      </ns0:c>
      <ns0:c r="M838" s="0">
        <ns0:f>IFERROR(LEFT(L838,FIND(".",L838)-1),"")</ns0:f>
      </ns0:c>
      <ns0:c r="N838" s="0">
        <ns0:f>IFERROR(MID(L838,FIND(".",L838)+1,FIND(".",L838,FIND(".",L838)+1)-FIND(".",L838)-1),"")</ns0:f>
      </ns0:c>
      <ns0:c r="O838" s="0">
        <ns0:f>IFERROR(MID(L838,FIND(".",L838,FIND(".",L838)+1)+1,99),"")</ns0:f>
        <ns0:v>99</ns0:v>
      </ns0:c>
      <ns0:c r="P838" s="0">
        <ns0:f>IFERROR(IF(FIND(".",L838)=5,--M838,--O838),0)</ns0:f>
        <ns0:v>0</ns0:v>
      </ns0:c>
      <ns0:c r="Q838" s="0">
        <ns0:f>IFERROR(--N838,0)</ns0:f>
        <ns0:v>0</ns0:v>
      </ns0:c>
      <ns0:c r="R838" s="0">
        <ns0:f>IFERROR(IF(FIND(".",L838)=5,--O838,--M838),0)</ns0:f>
        <ns0:v>0</ns0:v>
      </ns0:c>
      <ns0:c r="S838" s="0">
        <ns0:f>IFERROR(IF(AND(P838&gt;=2000,P838&lt;=2100,Q838&gt;=1,Q838&lt;=12,R838&gt;=1,R838&lt;=31),DATE(P838,Q838,R838),0),0)</ns0:f>
        <ns0:v>0</ns0:v>
      </ns0:c>
      <ns0:c r="T838" s="0">
        <ns0:f>IFERROR(IF(ISNUMBER(Bookings!D838),IF(AND(Bookings!D838=INT(Bookings!D838),Bookings!D838&gt;=DATE(2000,1,1),Bookings!D838&lt;=DATE(2100,12,31)),Bookings!D838,0),IF(AND(K838&lt;&gt;"",LEN("x"&amp;L838)-LEN(SUBSTITUTE("x"&amp;L838,".",""))=2,OR(1&gt;LEN(L838),MID(L838,1,1)=".",ISNUMBER(FIND("x"&amp;MID(L838,1,1),"x0x1x2x3x4x5x6x7x8x9"))),OR(2&gt;LEN(L838),MID(L838,2,1)=".",ISNUMBER(FIND("x"&amp;MID(L838,2,1),"x0x1x2x3x4x5x6x7x8x9"))),OR(3&gt;LEN(L838),MID(L838,3,1)=".",ISNUMBER(FIND("x"&amp;MID(L838,3,1),"x0x1x2x3x4x5x6x7x8x9"))),OR(4&gt;LEN(L838),MID(L838,4,1)=".",ISNUMBER(FIND("x"&amp;MID(L838,4,1),"x0x1x2x3x4x5x6x7x8x9"))),OR(5&gt;LEN(L838),MID(L838,5,1)=".",ISNUMBER(FIND("x"&amp;MID(L838,5,1),"x0x1x2x3x4x5x6x7x8x9"))),OR(6&gt;LEN(L838),MID(L838,6,1)=".",ISNUMBER(FIND("x"&amp;MID(L838,6,1),"x0x1x2x3x4x5x6x7x8x9"))),OR(7&gt;LEN(L838),MID(L838,7,1)=".",ISNUMBER(FIND("x"&amp;MID(L838,7,1),"x0x1x2x3x4x5x6x7x8x9"))),OR(8&gt;LEN(L838),MID(L838,8,1)=".",ISNUMBER(FIND("x"&amp;MID(L838,8,1),"x0x1x2x3x4x5x6x7x8x9"))),OR(9&gt;LEN(L838),MID(L838,9,1)=".",ISNUMBER(FIND("x"&amp;MID(L838,9,1),"x0x1x2x3x4x5x6x7x8x9"))),OR(10&gt;LEN(L838),MID(L838,10,1)=".",ISNUMBER(FIND("x"&amp;MID(L838,10,1),"x0x1x2x3x4x5x6x7x8x9"))),OR(AND(FIND(".",L838)=5,LEN(L838)-FIND(".",L838,FIND(".",L838)+1)&gt;=1,LEN(L838)-FIND(".",L838,FIND(".",L838)+1)&lt;=2),AND(LEN(L838)-FIND(".",L838,FIND(".",L838)+1)=4,FIND(".",L838)&gt;=2,FIND(".",L838)&lt;=3)),FIND(".",L838,FIND(".",L838)+1)-FIND(".",L838)&gt;=2,FIND(".",L838,FIND(".",L838)+1)-FIND(".",L838)&lt;=3,P838&gt;=2000,P838&lt;=2100,YEAR(S838)=P838,MONTH(S838)=Q838,DAY(S838)=R838),S838,0)),0)</ns0:f>
        <ns0:v>0</ns0:v>
      </ns0:c>
      <ns0:c r="U838" s="0" t="str">
        <ns0:f>IF(Bookings!C838="","Full day",Bookings!C838)</ns0:f>
        <ns0:v>Full day</ns0:v>
      </ns0:c>
      <ns0:c r="V838" s="0" t="str">
        <ns0:f>IF(Bookings!E838="","Full day",Bookings!E838)</ns0:f>
        <ns0:v>Full day</ns0:v>
      </ns0:c>
      <ns0:c r="W838" s="0">
        <ns0:f>IF(J838=0,0,J838+IF(U838="PM",1,0))</ns0:f>
        <ns0:v>0</ns0:v>
      </ns0:c>
      <ns0:c r="X838" s="0">
        <ns0:f>IF(T838=0,0,T838-IF(V838="PM",1,0))</ns0:f>
        <ns0:v>0</ns0:v>
      </ns0:c>
      <ns0:c r="Y838" s="0">
        <ns0:f>IF(J838=0,0,J838+IF(U838="AM",1,0))</ns0:f>
        <ns0:v>0</ns0:v>
      </ns0:c>
      <ns0:c r="Z838" s="0">
        <ns0:f>IF(T838=0,0,T838-IF(V838="AM",1,0))</ns0:f>
        <ns0:v>0</ns0:v>
      </ns0:c>
      <ns0:c r="AA838" s="0">
        <ns0:f>IFERROR(IF(AND(J838&gt;0,'_Engine'!C838&gt;0,MID('_Engine'!W838,WEEKDAY(J838,2),1)="W",COUNTIF(Settings!$F$18:$F$67,J838)=0),1,0),0)</ns0:f>
        <ns0:v>0</ns0:v>
      </ns0:c>
      <ns0:c r="AB838" s="0">
        <ns0:f>IFERROR(IF(AND(T838&gt;0,'_Engine'!C838&gt;0,MID('_Engine'!W838,WEEKDAY(T838,2),1)="W",COUNTIF(Settings!$F$18:$F$67,T838)=0),1,0),0)</ns0:f>
        <ns0:v>0</ns0:v>
      </ns0:c>
      <ns0:c r="AC838" s="0">
        <ns0:f>IF(AND(J838&gt;0,T838&gt;0,W838&lt;=X838),1,0)</ns0:f>
        <ns0:v>0</ns0:v>
      </ns0:c>
      <ns0:c r="AD838" s="0">
        <ns0:f>IF(AND(J838&gt;0,T838&gt;0,Y838&lt;=Z838),1,0)</ns0:f>
        <ns0:v>0</ns0:v>
      </ns0:c>
    </ns0:row>
    <ns0:row r="839">
      <ns0:c r="A839" s="0">
        <ns0:f>IFERROR(IF(ISNUMBER(Bookings!B839),"",TRIM(Bookings!B839&amp;"")),"")</ns0:f>
      </ns0:c>
      <ns0:c r="B839" s="0">
        <ns0:f>IFERROR(SUBSTITUTE(SUBSTITUTE(A839,"/","."),"-","."),"")</ns0:f>
      </ns0:c>
      <ns0:c r="C839" s="0">
        <ns0:f>IFERROR(LEFT(B839,FIND(".",B839)-1),"")</ns0:f>
      </ns0:c>
      <ns0:c r="D839" s="0">
        <ns0:f>IFERROR(MID(B839,FIND(".",B839)+1,FIND(".",B839,FIND(".",B839)+1)-FIND(".",B839)-1),"")</ns0:f>
      </ns0:c>
      <ns0:c r="E839" s="0">
        <ns0:f>IFERROR(MID(B839,FIND(".",B839,FIND(".",B839)+1)+1,99),"")</ns0:f>
        <ns0:v>99</ns0:v>
      </ns0:c>
      <ns0:c r="F839" s="0">
        <ns0:f>IFERROR(IF(FIND(".",B839)=5,--C839,--E839),0)</ns0:f>
        <ns0:v>0</ns0:v>
      </ns0:c>
      <ns0:c r="G839" s="0">
        <ns0:f>IFERROR(--D839,0)</ns0:f>
        <ns0:v>0</ns0:v>
      </ns0:c>
      <ns0:c r="H839" s="0">
        <ns0:f>IFERROR(IF(FIND(".",B839)=5,--E839,--C839),0)</ns0:f>
        <ns0:v>0</ns0:v>
      </ns0:c>
      <ns0:c r="I839" s="0">
        <ns0:f>IFERROR(IF(AND(F839&gt;=2000,F839&lt;=2100,G839&gt;=1,G839&lt;=12,H839&gt;=1,H839&lt;=31),DATE(F839,G839,H839),0),0)</ns0:f>
        <ns0:v>0</ns0:v>
      </ns0:c>
      <ns0:c r="J839" s="0">
        <ns0:f>IFERROR(IF(ISNUMBER(Bookings!B839),IF(AND(Bookings!B839=INT(Bookings!B839),Bookings!B839&gt;=DATE(2000,1,1),Bookings!B839&lt;=DATE(2100,12,31)),Bookings!B839,0),IF(AND(A839&lt;&gt;"",LEN("x"&amp;B839)-LEN(SUBSTITUTE("x"&amp;B839,".",""))=2,OR(1&gt;LEN(B839),MID(B839,1,1)=".",ISNUMBER(FIND("x"&amp;MID(B839,1,1),"x0x1x2x3x4x5x6x7x8x9"))),OR(2&gt;LEN(B839),MID(B839,2,1)=".",ISNUMBER(FIND("x"&amp;MID(B839,2,1),"x0x1x2x3x4x5x6x7x8x9"))),OR(3&gt;LEN(B839),MID(B839,3,1)=".",ISNUMBER(FIND("x"&amp;MID(B839,3,1),"x0x1x2x3x4x5x6x7x8x9"))),OR(4&gt;LEN(B839),MID(B839,4,1)=".",ISNUMBER(FIND("x"&amp;MID(B839,4,1),"x0x1x2x3x4x5x6x7x8x9"))),OR(5&gt;LEN(B839),MID(B839,5,1)=".",ISNUMBER(FIND("x"&amp;MID(B839,5,1),"x0x1x2x3x4x5x6x7x8x9"))),OR(6&gt;LEN(B839),MID(B839,6,1)=".",ISNUMBER(FIND("x"&amp;MID(B839,6,1),"x0x1x2x3x4x5x6x7x8x9"))),OR(7&gt;LEN(B839),MID(B839,7,1)=".",ISNUMBER(FIND("x"&amp;MID(B839,7,1),"x0x1x2x3x4x5x6x7x8x9"))),OR(8&gt;LEN(B839),MID(B839,8,1)=".",ISNUMBER(FIND("x"&amp;MID(B839,8,1),"x0x1x2x3x4x5x6x7x8x9"))),OR(9&gt;LEN(B839),MID(B839,9,1)=".",ISNUMBER(FIND("x"&amp;MID(B839,9,1),"x0x1x2x3x4x5x6x7x8x9"))),OR(10&gt;LEN(B839),MID(B839,10,1)=".",ISNUMBER(FIND("x"&amp;MID(B839,10,1),"x0x1x2x3x4x5x6x7x8x9"))),OR(AND(FIND(".",B839)=5,LEN(B839)-FIND(".",B839,FIND(".",B839)+1)&gt;=1,LEN(B839)-FIND(".",B839,FIND(".",B839)+1)&lt;=2),AND(LEN(B839)-FIND(".",B839,FIND(".",B839)+1)=4,FIND(".",B839)&gt;=2,FIND(".",B839)&lt;=3)),FIND(".",B839,FIND(".",B839)+1)-FIND(".",B839)&gt;=2,FIND(".",B839,FIND(".",B839)+1)-FIND(".",B839)&lt;=3,F839&gt;=2000,F839&lt;=2100,YEAR(I839)=F839,MONTH(I839)=G839,DAY(I839)=H839),I839,0)),0)</ns0:f>
        <ns0:v>0</ns0:v>
      </ns0:c>
      <ns0:c r="K839" s="0">
        <ns0:f>IFERROR(IF(ISNUMBER(Bookings!D839),"",TRIM(Bookings!D839&amp;"")),"")</ns0:f>
      </ns0:c>
      <ns0:c r="L839" s="0">
        <ns0:f>IFERROR(SUBSTITUTE(SUBSTITUTE(K839,"/","."),"-","."),"")</ns0:f>
      </ns0:c>
      <ns0:c r="M839" s="0">
        <ns0:f>IFERROR(LEFT(L839,FIND(".",L839)-1),"")</ns0:f>
      </ns0:c>
      <ns0:c r="N839" s="0">
        <ns0:f>IFERROR(MID(L839,FIND(".",L839)+1,FIND(".",L839,FIND(".",L839)+1)-FIND(".",L839)-1),"")</ns0:f>
      </ns0:c>
      <ns0:c r="O839" s="0">
        <ns0:f>IFERROR(MID(L839,FIND(".",L839,FIND(".",L839)+1)+1,99),"")</ns0:f>
        <ns0:v>99</ns0:v>
      </ns0:c>
      <ns0:c r="P839" s="0">
        <ns0:f>IFERROR(IF(FIND(".",L839)=5,--M839,--O839),0)</ns0:f>
        <ns0:v>0</ns0:v>
      </ns0:c>
      <ns0:c r="Q839" s="0">
        <ns0:f>IFERROR(--N839,0)</ns0:f>
        <ns0:v>0</ns0:v>
      </ns0:c>
      <ns0:c r="R839" s="0">
        <ns0:f>IFERROR(IF(FIND(".",L839)=5,--O839,--M839),0)</ns0:f>
        <ns0:v>0</ns0:v>
      </ns0:c>
      <ns0:c r="S839" s="0">
        <ns0:f>IFERROR(IF(AND(P839&gt;=2000,P839&lt;=2100,Q839&gt;=1,Q839&lt;=12,R839&gt;=1,R839&lt;=31),DATE(P839,Q839,R839),0),0)</ns0:f>
        <ns0:v>0</ns0:v>
      </ns0:c>
      <ns0:c r="T839" s="0">
        <ns0:f>IFERROR(IF(ISNUMBER(Bookings!D839),IF(AND(Bookings!D839=INT(Bookings!D839),Bookings!D839&gt;=DATE(2000,1,1),Bookings!D839&lt;=DATE(2100,12,31)),Bookings!D839,0),IF(AND(K839&lt;&gt;"",LEN("x"&amp;L839)-LEN(SUBSTITUTE("x"&amp;L839,".",""))=2,OR(1&gt;LEN(L839),MID(L839,1,1)=".",ISNUMBER(FIND("x"&amp;MID(L839,1,1),"x0x1x2x3x4x5x6x7x8x9"))),OR(2&gt;LEN(L839),MID(L839,2,1)=".",ISNUMBER(FIND("x"&amp;MID(L839,2,1),"x0x1x2x3x4x5x6x7x8x9"))),OR(3&gt;LEN(L839),MID(L839,3,1)=".",ISNUMBER(FIND("x"&amp;MID(L839,3,1),"x0x1x2x3x4x5x6x7x8x9"))),OR(4&gt;LEN(L839),MID(L839,4,1)=".",ISNUMBER(FIND("x"&amp;MID(L839,4,1),"x0x1x2x3x4x5x6x7x8x9"))),OR(5&gt;LEN(L839),MID(L839,5,1)=".",ISNUMBER(FIND("x"&amp;MID(L839,5,1),"x0x1x2x3x4x5x6x7x8x9"))),OR(6&gt;LEN(L839),MID(L839,6,1)=".",ISNUMBER(FIND("x"&amp;MID(L839,6,1),"x0x1x2x3x4x5x6x7x8x9"))),OR(7&gt;LEN(L839),MID(L839,7,1)=".",ISNUMBER(FIND("x"&amp;MID(L839,7,1),"x0x1x2x3x4x5x6x7x8x9"))),OR(8&gt;LEN(L839),MID(L839,8,1)=".",ISNUMBER(FIND("x"&amp;MID(L839,8,1),"x0x1x2x3x4x5x6x7x8x9"))),OR(9&gt;LEN(L839),MID(L839,9,1)=".",ISNUMBER(FIND("x"&amp;MID(L839,9,1),"x0x1x2x3x4x5x6x7x8x9"))),OR(10&gt;LEN(L839),MID(L839,10,1)=".",ISNUMBER(FIND("x"&amp;MID(L839,10,1),"x0x1x2x3x4x5x6x7x8x9"))),OR(AND(FIND(".",L839)=5,LEN(L839)-FIND(".",L839,FIND(".",L839)+1)&gt;=1,LEN(L839)-FIND(".",L839,FIND(".",L839)+1)&lt;=2),AND(LEN(L839)-FIND(".",L839,FIND(".",L839)+1)=4,FIND(".",L839)&gt;=2,FIND(".",L839)&lt;=3)),FIND(".",L839,FIND(".",L839)+1)-FIND(".",L839)&gt;=2,FIND(".",L839,FIND(".",L839)+1)-FIND(".",L839)&lt;=3,P839&gt;=2000,P839&lt;=2100,YEAR(S839)=P839,MONTH(S839)=Q839,DAY(S839)=R839),S839,0)),0)</ns0:f>
        <ns0:v>0</ns0:v>
      </ns0:c>
      <ns0:c r="U839" s="0" t="str">
        <ns0:f>IF(Bookings!C839="","Full day",Bookings!C839)</ns0:f>
        <ns0:v>Full day</ns0:v>
      </ns0:c>
      <ns0:c r="V839" s="0" t="str">
        <ns0:f>IF(Bookings!E839="","Full day",Bookings!E839)</ns0:f>
        <ns0:v>Full day</ns0:v>
      </ns0:c>
      <ns0:c r="W839" s="0">
        <ns0:f>IF(J839=0,0,J839+IF(U839="PM",1,0))</ns0:f>
        <ns0:v>0</ns0:v>
      </ns0:c>
      <ns0:c r="X839" s="0">
        <ns0:f>IF(T839=0,0,T839-IF(V839="PM",1,0))</ns0:f>
        <ns0:v>0</ns0:v>
      </ns0:c>
      <ns0:c r="Y839" s="0">
        <ns0:f>IF(J839=0,0,J839+IF(U839="AM",1,0))</ns0:f>
        <ns0:v>0</ns0:v>
      </ns0:c>
      <ns0:c r="Z839" s="0">
        <ns0:f>IF(T839=0,0,T839-IF(V839="AM",1,0))</ns0:f>
        <ns0:v>0</ns0:v>
      </ns0:c>
      <ns0:c r="AA839" s="0">
        <ns0:f>IFERROR(IF(AND(J839&gt;0,'_Engine'!C839&gt;0,MID('_Engine'!W839,WEEKDAY(J839,2),1)="W",COUNTIF(Settings!$F$18:$F$67,J839)=0),1,0),0)</ns0:f>
        <ns0:v>0</ns0:v>
      </ns0:c>
      <ns0:c r="AB839" s="0">
        <ns0:f>IFERROR(IF(AND(T839&gt;0,'_Engine'!C839&gt;0,MID('_Engine'!W839,WEEKDAY(T839,2),1)="W",COUNTIF(Settings!$F$18:$F$67,T839)=0),1,0),0)</ns0:f>
        <ns0:v>0</ns0:v>
      </ns0:c>
      <ns0:c r="AC839" s="0">
        <ns0:f>IF(AND(J839&gt;0,T839&gt;0,W839&lt;=X839),1,0)</ns0:f>
        <ns0:v>0</ns0:v>
      </ns0:c>
      <ns0:c r="AD839" s="0">
        <ns0:f>IF(AND(J839&gt;0,T839&gt;0,Y839&lt;=Z839),1,0)</ns0:f>
        <ns0:v>0</ns0:v>
      </ns0:c>
    </ns0:row>
    <ns0:row r="840">
      <ns0:c r="A840" s="0">
        <ns0:f>IFERROR(IF(ISNUMBER(Bookings!B840),"",TRIM(Bookings!B840&amp;"")),"")</ns0:f>
      </ns0:c>
      <ns0:c r="B840" s="0">
        <ns0:f>IFERROR(SUBSTITUTE(SUBSTITUTE(A840,"/","."),"-","."),"")</ns0:f>
      </ns0:c>
      <ns0:c r="C840" s="0">
        <ns0:f>IFERROR(LEFT(B840,FIND(".",B840)-1),"")</ns0:f>
      </ns0:c>
      <ns0:c r="D840" s="0">
        <ns0:f>IFERROR(MID(B840,FIND(".",B840)+1,FIND(".",B840,FIND(".",B840)+1)-FIND(".",B840)-1),"")</ns0:f>
      </ns0:c>
      <ns0:c r="E840" s="0">
        <ns0:f>IFERROR(MID(B840,FIND(".",B840,FIND(".",B840)+1)+1,99),"")</ns0:f>
        <ns0:v>99</ns0:v>
      </ns0:c>
      <ns0:c r="F840" s="0">
        <ns0:f>IFERROR(IF(FIND(".",B840)=5,--C840,--E840),0)</ns0:f>
        <ns0:v>0</ns0:v>
      </ns0:c>
      <ns0:c r="G840" s="0">
        <ns0:f>IFERROR(--D840,0)</ns0:f>
        <ns0:v>0</ns0:v>
      </ns0:c>
      <ns0:c r="H840" s="0">
        <ns0:f>IFERROR(IF(FIND(".",B840)=5,--E840,--C840),0)</ns0:f>
        <ns0:v>0</ns0:v>
      </ns0:c>
      <ns0:c r="I840" s="0">
        <ns0:f>IFERROR(IF(AND(F840&gt;=2000,F840&lt;=2100,G840&gt;=1,G840&lt;=12,H840&gt;=1,H840&lt;=31),DATE(F840,G840,H840),0),0)</ns0:f>
        <ns0:v>0</ns0:v>
      </ns0:c>
      <ns0:c r="J840" s="0">
        <ns0:f>IFERROR(IF(ISNUMBER(Bookings!B840),IF(AND(Bookings!B840=INT(Bookings!B840),Bookings!B840&gt;=DATE(2000,1,1),Bookings!B840&lt;=DATE(2100,12,31)),Bookings!B840,0),IF(AND(A840&lt;&gt;"",LEN("x"&amp;B840)-LEN(SUBSTITUTE("x"&amp;B840,".",""))=2,OR(1&gt;LEN(B840),MID(B840,1,1)=".",ISNUMBER(FIND("x"&amp;MID(B840,1,1),"x0x1x2x3x4x5x6x7x8x9"))),OR(2&gt;LEN(B840),MID(B840,2,1)=".",ISNUMBER(FIND("x"&amp;MID(B840,2,1),"x0x1x2x3x4x5x6x7x8x9"))),OR(3&gt;LEN(B840),MID(B840,3,1)=".",ISNUMBER(FIND("x"&amp;MID(B840,3,1),"x0x1x2x3x4x5x6x7x8x9"))),OR(4&gt;LEN(B840),MID(B840,4,1)=".",ISNUMBER(FIND("x"&amp;MID(B840,4,1),"x0x1x2x3x4x5x6x7x8x9"))),OR(5&gt;LEN(B840),MID(B840,5,1)=".",ISNUMBER(FIND("x"&amp;MID(B840,5,1),"x0x1x2x3x4x5x6x7x8x9"))),OR(6&gt;LEN(B840),MID(B840,6,1)=".",ISNUMBER(FIND("x"&amp;MID(B840,6,1),"x0x1x2x3x4x5x6x7x8x9"))),OR(7&gt;LEN(B840),MID(B840,7,1)=".",ISNUMBER(FIND("x"&amp;MID(B840,7,1),"x0x1x2x3x4x5x6x7x8x9"))),OR(8&gt;LEN(B840),MID(B840,8,1)=".",ISNUMBER(FIND("x"&amp;MID(B840,8,1),"x0x1x2x3x4x5x6x7x8x9"))),OR(9&gt;LEN(B840),MID(B840,9,1)=".",ISNUMBER(FIND("x"&amp;MID(B840,9,1),"x0x1x2x3x4x5x6x7x8x9"))),OR(10&gt;LEN(B840),MID(B840,10,1)=".",ISNUMBER(FIND("x"&amp;MID(B840,10,1),"x0x1x2x3x4x5x6x7x8x9"))),OR(AND(FIND(".",B840)=5,LEN(B840)-FIND(".",B840,FIND(".",B840)+1)&gt;=1,LEN(B840)-FIND(".",B840,FIND(".",B840)+1)&lt;=2),AND(LEN(B840)-FIND(".",B840,FIND(".",B840)+1)=4,FIND(".",B840)&gt;=2,FIND(".",B840)&lt;=3)),FIND(".",B840,FIND(".",B840)+1)-FIND(".",B840)&gt;=2,FIND(".",B840,FIND(".",B840)+1)-FIND(".",B840)&lt;=3,F840&gt;=2000,F840&lt;=2100,YEAR(I840)=F840,MONTH(I840)=G840,DAY(I840)=H840),I840,0)),0)</ns0:f>
        <ns0:v>0</ns0:v>
      </ns0:c>
      <ns0:c r="K840" s="0">
        <ns0:f>IFERROR(IF(ISNUMBER(Bookings!D840),"",TRIM(Bookings!D840&amp;"")),"")</ns0:f>
      </ns0:c>
      <ns0:c r="L840" s="0">
        <ns0:f>IFERROR(SUBSTITUTE(SUBSTITUTE(K840,"/","."),"-","."),"")</ns0:f>
      </ns0:c>
      <ns0:c r="M840" s="0">
        <ns0:f>IFERROR(LEFT(L840,FIND(".",L840)-1),"")</ns0:f>
      </ns0:c>
      <ns0:c r="N840" s="0">
        <ns0:f>IFERROR(MID(L840,FIND(".",L840)+1,FIND(".",L840,FIND(".",L840)+1)-FIND(".",L840)-1),"")</ns0:f>
      </ns0:c>
      <ns0:c r="O840" s="0">
        <ns0:f>IFERROR(MID(L840,FIND(".",L840,FIND(".",L840)+1)+1,99),"")</ns0:f>
        <ns0:v>99</ns0:v>
      </ns0:c>
      <ns0:c r="P840" s="0">
        <ns0:f>IFERROR(IF(FIND(".",L840)=5,--M840,--O840),0)</ns0:f>
        <ns0:v>0</ns0:v>
      </ns0:c>
      <ns0:c r="Q840" s="0">
        <ns0:f>IFERROR(--N840,0)</ns0:f>
        <ns0:v>0</ns0:v>
      </ns0:c>
      <ns0:c r="R840" s="0">
        <ns0:f>IFERROR(IF(FIND(".",L840)=5,--O840,--M840),0)</ns0:f>
        <ns0:v>0</ns0:v>
      </ns0:c>
      <ns0:c r="S840" s="0">
        <ns0:f>IFERROR(IF(AND(P840&gt;=2000,P840&lt;=2100,Q840&gt;=1,Q840&lt;=12,R840&gt;=1,R840&lt;=31),DATE(P840,Q840,R840),0),0)</ns0:f>
        <ns0:v>0</ns0:v>
      </ns0:c>
      <ns0:c r="T840" s="0">
        <ns0:f>IFERROR(IF(ISNUMBER(Bookings!D840),IF(AND(Bookings!D840=INT(Bookings!D840),Bookings!D840&gt;=DATE(2000,1,1),Bookings!D840&lt;=DATE(2100,12,31)),Bookings!D840,0),IF(AND(K840&lt;&gt;"",LEN("x"&amp;L840)-LEN(SUBSTITUTE("x"&amp;L840,".",""))=2,OR(1&gt;LEN(L840),MID(L840,1,1)=".",ISNUMBER(FIND("x"&amp;MID(L840,1,1),"x0x1x2x3x4x5x6x7x8x9"))),OR(2&gt;LEN(L840),MID(L840,2,1)=".",ISNUMBER(FIND("x"&amp;MID(L840,2,1),"x0x1x2x3x4x5x6x7x8x9"))),OR(3&gt;LEN(L840),MID(L840,3,1)=".",ISNUMBER(FIND("x"&amp;MID(L840,3,1),"x0x1x2x3x4x5x6x7x8x9"))),OR(4&gt;LEN(L840),MID(L840,4,1)=".",ISNUMBER(FIND("x"&amp;MID(L840,4,1),"x0x1x2x3x4x5x6x7x8x9"))),OR(5&gt;LEN(L840),MID(L840,5,1)=".",ISNUMBER(FIND("x"&amp;MID(L840,5,1),"x0x1x2x3x4x5x6x7x8x9"))),OR(6&gt;LEN(L840),MID(L840,6,1)=".",ISNUMBER(FIND("x"&amp;MID(L840,6,1),"x0x1x2x3x4x5x6x7x8x9"))),OR(7&gt;LEN(L840),MID(L840,7,1)=".",ISNUMBER(FIND("x"&amp;MID(L840,7,1),"x0x1x2x3x4x5x6x7x8x9"))),OR(8&gt;LEN(L840),MID(L840,8,1)=".",ISNUMBER(FIND("x"&amp;MID(L840,8,1),"x0x1x2x3x4x5x6x7x8x9"))),OR(9&gt;LEN(L840),MID(L840,9,1)=".",ISNUMBER(FIND("x"&amp;MID(L840,9,1),"x0x1x2x3x4x5x6x7x8x9"))),OR(10&gt;LEN(L840),MID(L840,10,1)=".",ISNUMBER(FIND("x"&amp;MID(L840,10,1),"x0x1x2x3x4x5x6x7x8x9"))),OR(AND(FIND(".",L840)=5,LEN(L840)-FIND(".",L840,FIND(".",L840)+1)&gt;=1,LEN(L840)-FIND(".",L840,FIND(".",L840)+1)&lt;=2),AND(LEN(L840)-FIND(".",L840,FIND(".",L840)+1)=4,FIND(".",L840)&gt;=2,FIND(".",L840)&lt;=3)),FIND(".",L840,FIND(".",L840)+1)-FIND(".",L840)&gt;=2,FIND(".",L840,FIND(".",L840)+1)-FIND(".",L840)&lt;=3,P840&gt;=2000,P840&lt;=2100,YEAR(S840)=P840,MONTH(S840)=Q840,DAY(S840)=R840),S840,0)),0)</ns0:f>
        <ns0:v>0</ns0:v>
      </ns0:c>
      <ns0:c r="U840" s="0" t="str">
        <ns0:f>IF(Bookings!C840="","Full day",Bookings!C840)</ns0:f>
        <ns0:v>Full day</ns0:v>
      </ns0:c>
      <ns0:c r="V840" s="0" t="str">
        <ns0:f>IF(Bookings!E840="","Full day",Bookings!E840)</ns0:f>
        <ns0:v>Full day</ns0:v>
      </ns0:c>
      <ns0:c r="W840" s="0">
        <ns0:f>IF(J840=0,0,J840+IF(U840="PM",1,0))</ns0:f>
        <ns0:v>0</ns0:v>
      </ns0:c>
      <ns0:c r="X840" s="0">
        <ns0:f>IF(T840=0,0,T840-IF(V840="PM",1,0))</ns0:f>
        <ns0:v>0</ns0:v>
      </ns0:c>
      <ns0:c r="Y840" s="0">
        <ns0:f>IF(J840=0,0,J840+IF(U840="AM",1,0))</ns0:f>
        <ns0:v>0</ns0:v>
      </ns0:c>
      <ns0:c r="Z840" s="0">
        <ns0:f>IF(T840=0,0,T840-IF(V840="AM",1,0))</ns0:f>
        <ns0:v>0</ns0:v>
      </ns0:c>
      <ns0:c r="AA840" s="0">
        <ns0:f>IFERROR(IF(AND(J840&gt;0,'_Engine'!C840&gt;0,MID('_Engine'!W840,WEEKDAY(J840,2),1)="W",COUNTIF(Settings!$F$18:$F$67,J840)=0),1,0),0)</ns0:f>
        <ns0:v>0</ns0:v>
      </ns0:c>
      <ns0:c r="AB840" s="0">
        <ns0:f>IFERROR(IF(AND(T840&gt;0,'_Engine'!C840&gt;0,MID('_Engine'!W840,WEEKDAY(T840,2),1)="W",COUNTIF(Settings!$F$18:$F$67,T840)=0),1,0),0)</ns0:f>
        <ns0:v>0</ns0:v>
      </ns0:c>
      <ns0:c r="AC840" s="0">
        <ns0:f>IF(AND(J840&gt;0,T840&gt;0,W840&lt;=X840),1,0)</ns0:f>
        <ns0:v>0</ns0:v>
      </ns0:c>
      <ns0:c r="AD840" s="0">
        <ns0:f>IF(AND(J840&gt;0,T840&gt;0,Y840&lt;=Z840),1,0)</ns0:f>
        <ns0:v>0</ns0:v>
      </ns0:c>
    </ns0:row>
    <ns0:row r="841">
      <ns0:c r="A841" s="0">
        <ns0:f>IFERROR(IF(ISNUMBER(Bookings!B841),"",TRIM(Bookings!B841&amp;"")),"")</ns0:f>
      </ns0:c>
      <ns0:c r="B841" s="0">
        <ns0:f>IFERROR(SUBSTITUTE(SUBSTITUTE(A841,"/","."),"-","."),"")</ns0:f>
      </ns0:c>
      <ns0:c r="C841" s="0">
        <ns0:f>IFERROR(LEFT(B841,FIND(".",B841)-1),"")</ns0:f>
      </ns0:c>
      <ns0:c r="D841" s="0">
        <ns0:f>IFERROR(MID(B841,FIND(".",B841)+1,FIND(".",B841,FIND(".",B841)+1)-FIND(".",B841)-1),"")</ns0:f>
      </ns0:c>
      <ns0:c r="E841" s="0">
        <ns0:f>IFERROR(MID(B841,FIND(".",B841,FIND(".",B841)+1)+1,99),"")</ns0:f>
        <ns0:v>99</ns0:v>
      </ns0:c>
      <ns0:c r="F841" s="0">
        <ns0:f>IFERROR(IF(FIND(".",B841)=5,--C841,--E841),0)</ns0:f>
        <ns0:v>0</ns0:v>
      </ns0:c>
      <ns0:c r="G841" s="0">
        <ns0:f>IFERROR(--D841,0)</ns0:f>
        <ns0:v>0</ns0:v>
      </ns0:c>
      <ns0:c r="H841" s="0">
        <ns0:f>IFERROR(IF(FIND(".",B841)=5,--E841,--C841),0)</ns0:f>
        <ns0:v>0</ns0:v>
      </ns0:c>
      <ns0:c r="I841" s="0">
        <ns0:f>IFERROR(IF(AND(F841&gt;=2000,F841&lt;=2100,G841&gt;=1,G841&lt;=12,H841&gt;=1,H841&lt;=31),DATE(F841,G841,H841),0),0)</ns0:f>
        <ns0:v>0</ns0:v>
      </ns0:c>
      <ns0:c r="J841" s="0">
        <ns0:f>IFERROR(IF(ISNUMBER(Bookings!B841),IF(AND(Bookings!B841=INT(Bookings!B841),Bookings!B841&gt;=DATE(2000,1,1),Bookings!B841&lt;=DATE(2100,12,31)),Bookings!B841,0),IF(AND(A841&lt;&gt;"",LEN("x"&amp;B841)-LEN(SUBSTITUTE("x"&amp;B841,".",""))=2,OR(1&gt;LEN(B841),MID(B841,1,1)=".",ISNUMBER(FIND("x"&amp;MID(B841,1,1),"x0x1x2x3x4x5x6x7x8x9"))),OR(2&gt;LEN(B841),MID(B841,2,1)=".",ISNUMBER(FIND("x"&amp;MID(B841,2,1),"x0x1x2x3x4x5x6x7x8x9"))),OR(3&gt;LEN(B841),MID(B841,3,1)=".",ISNUMBER(FIND("x"&amp;MID(B841,3,1),"x0x1x2x3x4x5x6x7x8x9"))),OR(4&gt;LEN(B841),MID(B841,4,1)=".",ISNUMBER(FIND("x"&amp;MID(B841,4,1),"x0x1x2x3x4x5x6x7x8x9"))),OR(5&gt;LEN(B841),MID(B841,5,1)=".",ISNUMBER(FIND("x"&amp;MID(B841,5,1),"x0x1x2x3x4x5x6x7x8x9"))),OR(6&gt;LEN(B841),MID(B841,6,1)=".",ISNUMBER(FIND("x"&amp;MID(B841,6,1),"x0x1x2x3x4x5x6x7x8x9"))),OR(7&gt;LEN(B841),MID(B841,7,1)=".",ISNUMBER(FIND("x"&amp;MID(B841,7,1),"x0x1x2x3x4x5x6x7x8x9"))),OR(8&gt;LEN(B841),MID(B841,8,1)=".",ISNUMBER(FIND("x"&amp;MID(B841,8,1),"x0x1x2x3x4x5x6x7x8x9"))),OR(9&gt;LEN(B841),MID(B841,9,1)=".",ISNUMBER(FIND("x"&amp;MID(B841,9,1),"x0x1x2x3x4x5x6x7x8x9"))),OR(10&gt;LEN(B841),MID(B841,10,1)=".",ISNUMBER(FIND("x"&amp;MID(B841,10,1),"x0x1x2x3x4x5x6x7x8x9"))),OR(AND(FIND(".",B841)=5,LEN(B841)-FIND(".",B841,FIND(".",B841)+1)&gt;=1,LEN(B841)-FIND(".",B841,FIND(".",B841)+1)&lt;=2),AND(LEN(B841)-FIND(".",B841,FIND(".",B841)+1)=4,FIND(".",B841)&gt;=2,FIND(".",B841)&lt;=3)),FIND(".",B841,FIND(".",B841)+1)-FIND(".",B841)&gt;=2,FIND(".",B841,FIND(".",B841)+1)-FIND(".",B841)&lt;=3,F841&gt;=2000,F841&lt;=2100,YEAR(I841)=F841,MONTH(I841)=G841,DAY(I841)=H841),I841,0)),0)</ns0:f>
        <ns0:v>0</ns0:v>
      </ns0:c>
      <ns0:c r="K841" s="0">
        <ns0:f>IFERROR(IF(ISNUMBER(Bookings!D841),"",TRIM(Bookings!D841&amp;"")),"")</ns0:f>
      </ns0:c>
      <ns0:c r="L841" s="0">
        <ns0:f>IFERROR(SUBSTITUTE(SUBSTITUTE(K841,"/","."),"-","."),"")</ns0:f>
      </ns0:c>
      <ns0:c r="M841" s="0">
        <ns0:f>IFERROR(LEFT(L841,FIND(".",L841)-1),"")</ns0:f>
      </ns0:c>
      <ns0:c r="N841" s="0">
        <ns0:f>IFERROR(MID(L841,FIND(".",L841)+1,FIND(".",L841,FIND(".",L841)+1)-FIND(".",L841)-1),"")</ns0:f>
      </ns0:c>
      <ns0:c r="O841" s="0">
        <ns0:f>IFERROR(MID(L841,FIND(".",L841,FIND(".",L841)+1)+1,99),"")</ns0:f>
        <ns0:v>99</ns0:v>
      </ns0:c>
      <ns0:c r="P841" s="0">
        <ns0:f>IFERROR(IF(FIND(".",L841)=5,--M841,--O841),0)</ns0:f>
        <ns0:v>0</ns0:v>
      </ns0:c>
      <ns0:c r="Q841" s="0">
        <ns0:f>IFERROR(--N841,0)</ns0:f>
        <ns0:v>0</ns0:v>
      </ns0:c>
      <ns0:c r="R841" s="0">
        <ns0:f>IFERROR(IF(FIND(".",L841)=5,--O841,--M841),0)</ns0:f>
        <ns0:v>0</ns0:v>
      </ns0:c>
      <ns0:c r="S841" s="0">
        <ns0:f>IFERROR(IF(AND(P841&gt;=2000,P841&lt;=2100,Q841&gt;=1,Q841&lt;=12,R841&gt;=1,R841&lt;=31),DATE(P841,Q841,R841),0),0)</ns0:f>
        <ns0:v>0</ns0:v>
      </ns0:c>
      <ns0:c r="T841" s="0">
        <ns0:f>IFERROR(IF(ISNUMBER(Bookings!D841),IF(AND(Bookings!D841=INT(Bookings!D841),Bookings!D841&gt;=DATE(2000,1,1),Bookings!D841&lt;=DATE(2100,12,31)),Bookings!D841,0),IF(AND(K841&lt;&gt;"",LEN("x"&amp;L841)-LEN(SUBSTITUTE("x"&amp;L841,".",""))=2,OR(1&gt;LEN(L841),MID(L841,1,1)=".",ISNUMBER(FIND("x"&amp;MID(L841,1,1),"x0x1x2x3x4x5x6x7x8x9"))),OR(2&gt;LEN(L841),MID(L841,2,1)=".",ISNUMBER(FIND("x"&amp;MID(L841,2,1),"x0x1x2x3x4x5x6x7x8x9"))),OR(3&gt;LEN(L841),MID(L841,3,1)=".",ISNUMBER(FIND("x"&amp;MID(L841,3,1),"x0x1x2x3x4x5x6x7x8x9"))),OR(4&gt;LEN(L841),MID(L841,4,1)=".",ISNUMBER(FIND("x"&amp;MID(L841,4,1),"x0x1x2x3x4x5x6x7x8x9"))),OR(5&gt;LEN(L841),MID(L841,5,1)=".",ISNUMBER(FIND("x"&amp;MID(L841,5,1),"x0x1x2x3x4x5x6x7x8x9"))),OR(6&gt;LEN(L841),MID(L841,6,1)=".",ISNUMBER(FIND("x"&amp;MID(L841,6,1),"x0x1x2x3x4x5x6x7x8x9"))),OR(7&gt;LEN(L841),MID(L841,7,1)=".",ISNUMBER(FIND("x"&amp;MID(L841,7,1),"x0x1x2x3x4x5x6x7x8x9"))),OR(8&gt;LEN(L841),MID(L841,8,1)=".",ISNUMBER(FIND("x"&amp;MID(L841,8,1),"x0x1x2x3x4x5x6x7x8x9"))),OR(9&gt;LEN(L841),MID(L841,9,1)=".",ISNUMBER(FIND("x"&amp;MID(L841,9,1),"x0x1x2x3x4x5x6x7x8x9"))),OR(10&gt;LEN(L841),MID(L841,10,1)=".",ISNUMBER(FIND("x"&amp;MID(L841,10,1),"x0x1x2x3x4x5x6x7x8x9"))),OR(AND(FIND(".",L841)=5,LEN(L841)-FIND(".",L841,FIND(".",L841)+1)&gt;=1,LEN(L841)-FIND(".",L841,FIND(".",L841)+1)&lt;=2),AND(LEN(L841)-FIND(".",L841,FIND(".",L841)+1)=4,FIND(".",L841)&gt;=2,FIND(".",L841)&lt;=3)),FIND(".",L841,FIND(".",L841)+1)-FIND(".",L841)&gt;=2,FIND(".",L841,FIND(".",L841)+1)-FIND(".",L841)&lt;=3,P841&gt;=2000,P841&lt;=2100,YEAR(S841)=P841,MONTH(S841)=Q841,DAY(S841)=R841),S841,0)),0)</ns0:f>
        <ns0:v>0</ns0:v>
      </ns0:c>
      <ns0:c r="U841" s="0" t="str">
        <ns0:f>IF(Bookings!C841="","Full day",Bookings!C841)</ns0:f>
        <ns0:v>Full day</ns0:v>
      </ns0:c>
      <ns0:c r="V841" s="0" t="str">
        <ns0:f>IF(Bookings!E841="","Full day",Bookings!E841)</ns0:f>
        <ns0:v>Full day</ns0:v>
      </ns0:c>
      <ns0:c r="W841" s="0">
        <ns0:f>IF(J841=0,0,J841+IF(U841="PM",1,0))</ns0:f>
        <ns0:v>0</ns0:v>
      </ns0:c>
      <ns0:c r="X841" s="0">
        <ns0:f>IF(T841=0,0,T841-IF(V841="PM",1,0))</ns0:f>
        <ns0:v>0</ns0:v>
      </ns0:c>
      <ns0:c r="Y841" s="0">
        <ns0:f>IF(J841=0,0,J841+IF(U841="AM",1,0))</ns0:f>
        <ns0:v>0</ns0:v>
      </ns0:c>
      <ns0:c r="Z841" s="0">
        <ns0:f>IF(T841=0,0,T841-IF(V841="AM",1,0))</ns0:f>
        <ns0:v>0</ns0:v>
      </ns0:c>
      <ns0:c r="AA841" s="0">
        <ns0:f>IFERROR(IF(AND(J841&gt;0,'_Engine'!C841&gt;0,MID('_Engine'!W841,WEEKDAY(J841,2),1)="W",COUNTIF(Settings!$F$18:$F$67,J841)=0),1,0),0)</ns0:f>
        <ns0:v>0</ns0:v>
      </ns0:c>
      <ns0:c r="AB841" s="0">
        <ns0:f>IFERROR(IF(AND(T841&gt;0,'_Engine'!C841&gt;0,MID('_Engine'!W841,WEEKDAY(T841,2),1)="W",COUNTIF(Settings!$F$18:$F$67,T841)=0),1,0),0)</ns0:f>
        <ns0:v>0</ns0:v>
      </ns0:c>
      <ns0:c r="AC841" s="0">
        <ns0:f>IF(AND(J841&gt;0,T841&gt;0,W841&lt;=X841),1,0)</ns0:f>
        <ns0:v>0</ns0:v>
      </ns0:c>
      <ns0:c r="AD841" s="0">
        <ns0:f>IF(AND(J841&gt;0,T841&gt;0,Y841&lt;=Z841),1,0)</ns0:f>
        <ns0:v>0</ns0:v>
      </ns0:c>
    </ns0:row>
    <ns0:row r="842">
      <ns0:c r="A842" s="0">
        <ns0:f>IFERROR(IF(ISNUMBER(Bookings!B842),"",TRIM(Bookings!B842&amp;"")),"")</ns0:f>
      </ns0:c>
      <ns0:c r="B842" s="0">
        <ns0:f>IFERROR(SUBSTITUTE(SUBSTITUTE(A842,"/","."),"-","."),"")</ns0:f>
      </ns0:c>
      <ns0:c r="C842" s="0">
        <ns0:f>IFERROR(LEFT(B842,FIND(".",B842)-1),"")</ns0:f>
      </ns0:c>
      <ns0:c r="D842" s="0">
        <ns0:f>IFERROR(MID(B842,FIND(".",B842)+1,FIND(".",B842,FIND(".",B842)+1)-FIND(".",B842)-1),"")</ns0:f>
      </ns0:c>
      <ns0:c r="E842" s="0">
        <ns0:f>IFERROR(MID(B842,FIND(".",B842,FIND(".",B842)+1)+1,99),"")</ns0:f>
        <ns0:v>99</ns0:v>
      </ns0:c>
      <ns0:c r="F842" s="0">
        <ns0:f>IFERROR(IF(FIND(".",B842)=5,--C842,--E842),0)</ns0:f>
        <ns0:v>0</ns0:v>
      </ns0:c>
      <ns0:c r="G842" s="0">
        <ns0:f>IFERROR(--D842,0)</ns0:f>
        <ns0:v>0</ns0:v>
      </ns0:c>
      <ns0:c r="H842" s="0">
        <ns0:f>IFERROR(IF(FIND(".",B842)=5,--E842,--C842),0)</ns0:f>
        <ns0:v>0</ns0:v>
      </ns0:c>
      <ns0:c r="I842" s="0">
        <ns0:f>IFERROR(IF(AND(F842&gt;=2000,F842&lt;=2100,G842&gt;=1,G842&lt;=12,H842&gt;=1,H842&lt;=31),DATE(F842,G842,H842),0),0)</ns0:f>
        <ns0:v>0</ns0:v>
      </ns0:c>
      <ns0:c r="J842" s="0">
        <ns0:f>IFERROR(IF(ISNUMBER(Bookings!B842),IF(AND(Bookings!B842=INT(Bookings!B842),Bookings!B842&gt;=DATE(2000,1,1),Bookings!B842&lt;=DATE(2100,12,31)),Bookings!B842,0),IF(AND(A842&lt;&gt;"",LEN("x"&amp;B842)-LEN(SUBSTITUTE("x"&amp;B842,".",""))=2,OR(1&gt;LEN(B842),MID(B842,1,1)=".",ISNUMBER(FIND("x"&amp;MID(B842,1,1),"x0x1x2x3x4x5x6x7x8x9"))),OR(2&gt;LEN(B842),MID(B842,2,1)=".",ISNUMBER(FIND("x"&amp;MID(B842,2,1),"x0x1x2x3x4x5x6x7x8x9"))),OR(3&gt;LEN(B842),MID(B842,3,1)=".",ISNUMBER(FIND("x"&amp;MID(B842,3,1),"x0x1x2x3x4x5x6x7x8x9"))),OR(4&gt;LEN(B842),MID(B842,4,1)=".",ISNUMBER(FIND("x"&amp;MID(B842,4,1),"x0x1x2x3x4x5x6x7x8x9"))),OR(5&gt;LEN(B842),MID(B842,5,1)=".",ISNUMBER(FIND("x"&amp;MID(B842,5,1),"x0x1x2x3x4x5x6x7x8x9"))),OR(6&gt;LEN(B842),MID(B842,6,1)=".",ISNUMBER(FIND("x"&amp;MID(B842,6,1),"x0x1x2x3x4x5x6x7x8x9"))),OR(7&gt;LEN(B842),MID(B842,7,1)=".",ISNUMBER(FIND("x"&amp;MID(B842,7,1),"x0x1x2x3x4x5x6x7x8x9"))),OR(8&gt;LEN(B842),MID(B842,8,1)=".",ISNUMBER(FIND("x"&amp;MID(B842,8,1),"x0x1x2x3x4x5x6x7x8x9"))),OR(9&gt;LEN(B842),MID(B842,9,1)=".",ISNUMBER(FIND("x"&amp;MID(B842,9,1),"x0x1x2x3x4x5x6x7x8x9"))),OR(10&gt;LEN(B842),MID(B842,10,1)=".",ISNUMBER(FIND("x"&amp;MID(B842,10,1),"x0x1x2x3x4x5x6x7x8x9"))),OR(AND(FIND(".",B842)=5,LEN(B842)-FIND(".",B842,FIND(".",B842)+1)&gt;=1,LEN(B842)-FIND(".",B842,FIND(".",B842)+1)&lt;=2),AND(LEN(B842)-FIND(".",B842,FIND(".",B842)+1)=4,FIND(".",B842)&gt;=2,FIND(".",B842)&lt;=3)),FIND(".",B842,FIND(".",B842)+1)-FIND(".",B842)&gt;=2,FIND(".",B842,FIND(".",B842)+1)-FIND(".",B842)&lt;=3,F842&gt;=2000,F842&lt;=2100,YEAR(I842)=F842,MONTH(I842)=G842,DAY(I842)=H842),I842,0)),0)</ns0:f>
        <ns0:v>0</ns0:v>
      </ns0:c>
      <ns0:c r="K842" s="0">
        <ns0:f>IFERROR(IF(ISNUMBER(Bookings!D842),"",TRIM(Bookings!D842&amp;"")),"")</ns0:f>
      </ns0:c>
      <ns0:c r="L842" s="0">
        <ns0:f>IFERROR(SUBSTITUTE(SUBSTITUTE(K842,"/","."),"-","."),"")</ns0:f>
      </ns0:c>
      <ns0:c r="M842" s="0">
        <ns0:f>IFERROR(LEFT(L842,FIND(".",L842)-1),"")</ns0:f>
      </ns0:c>
      <ns0:c r="N842" s="0">
        <ns0:f>IFERROR(MID(L842,FIND(".",L842)+1,FIND(".",L842,FIND(".",L842)+1)-FIND(".",L842)-1),"")</ns0:f>
      </ns0:c>
      <ns0:c r="O842" s="0">
        <ns0:f>IFERROR(MID(L842,FIND(".",L842,FIND(".",L842)+1)+1,99),"")</ns0:f>
        <ns0:v>99</ns0:v>
      </ns0:c>
      <ns0:c r="P842" s="0">
        <ns0:f>IFERROR(IF(FIND(".",L842)=5,--M842,--O842),0)</ns0:f>
        <ns0:v>0</ns0:v>
      </ns0:c>
      <ns0:c r="Q842" s="0">
        <ns0:f>IFERROR(--N842,0)</ns0:f>
        <ns0:v>0</ns0:v>
      </ns0:c>
      <ns0:c r="R842" s="0">
        <ns0:f>IFERROR(IF(FIND(".",L842)=5,--O842,--M842),0)</ns0:f>
        <ns0:v>0</ns0:v>
      </ns0:c>
      <ns0:c r="S842" s="0">
        <ns0:f>IFERROR(IF(AND(P842&gt;=2000,P842&lt;=2100,Q842&gt;=1,Q842&lt;=12,R842&gt;=1,R842&lt;=31),DATE(P842,Q842,R842),0),0)</ns0:f>
        <ns0:v>0</ns0:v>
      </ns0:c>
      <ns0:c r="T842" s="0">
        <ns0:f>IFERROR(IF(ISNUMBER(Bookings!D842),IF(AND(Bookings!D842=INT(Bookings!D842),Bookings!D842&gt;=DATE(2000,1,1),Bookings!D842&lt;=DATE(2100,12,31)),Bookings!D842,0),IF(AND(K842&lt;&gt;"",LEN("x"&amp;L842)-LEN(SUBSTITUTE("x"&amp;L842,".",""))=2,OR(1&gt;LEN(L842),MID(L842,1,1)=".",ISNUMBER(FIND("x"&amp;MID(L842,1,1),"x0x1x2x3x4x5x6x7x8x9"))),OR(2&gt;LEN(L842),MID(L842,2,1)=".",ISNUMBER(FIND("x"&amp;MID(L842,2,1),"x0x1x2x3x4x5x6x7x8x9"))),OR(3&gt;LEN(L842),MID(L842,3,1)=".",ISNUMBER(FIND("x"&amp;MID(L842,3,1),"x0x1x2x3x4x5x6x7x8x9"))),OR(4&gt;LEN(L842),MID(L842,4,1)=".",ISNUMBER(FIND("x"&amp;MID(L842,4,1),"x0x1x2x3x4x5x6x7x8x9"))),OR(5&gt;LEN(L842),MID(L842,5,1)=".",ISNUMBER(FIND("x"&amp;MID(L842,5,1),"x0x1x2x3x4x5x6x7x8x9"))),OR(6&gt;LEN(L842),MID(L842,6,1)=".",ISNUMBER(FIND("x"&amp;MID(L842,6,1),"x0x1x2x3x4x5x6x7x8x9"))),OR(7&gt;LEN(L842),MID(L842,7,1)=".",ISNUMBER(FIND("x"&amp;MID(L842,7,1),"x0x1x2x3x4x5x6x7x8x9"))),OR(8&gt;LEN(L842),MID(L842,8,1)=".",ISNUMBER(FIND("x"&amp;MID(L842,8,1),"x0x1x2x3x4x5x6x7x8x9"))),OR(9&gt;LEN(L842),MID(L842,9,1)=".",ISNUMBER(FIND("x"&amp;MID(L842,9,1),"x0x1x2x3x4x5x6x7x8x9"))),OR(10&gt;LEN(L842),MID(L842,10,1)=".",ISNUMBER(FIND("x"&amp;MID(L842,10,1),"x0x1x2x3x4x5x6x7x8x9"))),OR(AND(FIND(".",L842)=5,LEN(L842)-FIND(".",L842,FIND(".",L842)+1)&gt;=1,LEN(L842)-FIND(".",L842,FIND(".",L842)+1)&lt;=2),AND(LEN(L842)-FIND(".",L842,FIND(".",L842)+1)=4,FIND(".",L842)&gt;=2,FIND(".",L842)&lt;=3)),FIND(".",L842,FIND(".",L842)+1)-FIND(".",L842)&gt;=2,FIND(".",L842,FIND(".",L842)+1)-FIND(".",L842)&lt;=3,P842&gt;=2000,P842&lt;=2100,YEAR(S842)=P842,MONTH(S842)=Q842,DAY(S842)=R842),S842,0)),0)</ns0:f>
        <ns0:v>0</ns0:v>
      </ns0:c>
      <ns0:c r="U842" s="0" t="str">
        <ns0:f>IF(Bookings!C842="","Full day",Bookings!C842)</ns0:f>
        <ns0:v>Full day</ns0:v>
      </ns0:c>
      <ns0:c r="V842" s="0" t="str">
        <ns0:f>IF(Bookings!E842="","Full day",Bookings!E842)</ns0:f>
        <ns0:v>Full day</ns0:v>
      </ns0:c>
      <ns0:c r="W842" s="0">
        <ns0:f>IF(J842=0,0,J842+IF(U842="PM",1,0))</ns0:f>
        <ns0:v>0</ns0:v>
      </ns0:c>
      <ns0:c r="X842" s="0">
        <ns0:f>IF(T842=0,0,T842-IF(V842="PM",1,0))</ns0:f>
        <ns0:v>0</ns0:v>
      </ns0:c>
      <ns0:c r="Y842" s="0">
        <ns0:f>IF(J842=0,0,J842+IF(U842="AM",1,0))</ns0:f>
        <ns0:v>0</ns0:v>
      </ns0:c>
      <ns0:c r="Z842" s="0">
        <ns0:f>IF(T842=0,0,T842-IF(V842="AM",1,0))</ns0:f>
        <ns0:v>0</ns0:v>
      </ns0:c>
      <ns0:c r="AA842" s="0">
        <ns0:f>IFERROR(IF(AND(J842&gt;0,'_Engine'!C842&gt;0,MID('_Engine'!W842,WEEKDAY(J842,2),1)="W",COUNTIF(Settings!$F$18:$F$67,J842)=0),1,0),0)</ns0:f>
        <ns0:v>0</ns0:v>
      </ns0:c>
      <ns0:c r="AB842" s="0">
        <ns0:f>IFERROR(IF(AND(T842&gt;0,'_Engine'!C842&gt;0,MID('_Engine'!W842,WEEKDAY(T842,2),1)="W",COUNTIF(Settings!$F$18:$F$67,T842)=0),1,0),0)</ns0:f>
        <ns0:v>0</ns0:v>
      </ns0:c>
      <ns0:c r="AC842" s="0">
        <ns0:f>IF(AND(J842&gt;0,T842&gt;0,W842&lt;=X842),1,0)</ns0:f>
        <ns0:v>0</ns0:v>
      </ns0:c>
      <ns0:c r="AD842" s="0">
        <ns0:f>IF(AND(J842&gt;0,T842&gt;0,Y842&lt;=Z842),1,0)</ns0:f>
        <ns0:v>0</ns0:v>
      </ns0:c>
    </ns0:row>
    <ns0:row r="843">
      <ns0:c r="A843" s="0">
        <ns0:f>IFERROR(IF(ISNUMBER(Bookings!B843),"",TRIM(Bookings!B843&amp;"")),"")</ns0:f>
      </ns0:c>
      <ns0:c r="B843" s="0">
        <ns0:f>IFERROR(SUBSTITUTE(SUBSTITUTE(A843,"/","."),"-","."),"")</ns0:f>
      </ns0:c>
      <ns0:c r="C843" s="0">
        <ns0:f>IFERROR(LEFT(B843,FIND(".",B843)-1),"")</ns0:f>
      </ns0:c>
      <ns0:c r="D843" s="0">
        <ns0:f>IFERROR(MID(B843,FIND(".",B843)+1,FIND(".",B843,FIND(".",B843)+1)-FIND(".",B843)-1),"")</ns0:f>
      </ns0:c>
      <ns0:c r="E843" s="0">
        <ns0:f>IFERROR(MID(B843,FIND(".",B843,FIND(".",B843)+1)+1,99),"")</ns0:f>
        <ns0:v>99</ns0:v>
      </ns0:c>
      <ns0:c r="F843" s="0">
        <ns0:f>IFERROR(IF(FIND(".",B843)=5,--C843,--E843),0)</ns0:f>
        <ns0:v>0</ns0:v>
      </ns0:c>
      <ns0:c r="G843" s="0">
        <ns0:f>IFERROR(--D843,0)</ns0:f>
        <ns0:v>0</ns0:v>
      </ns0:c>
      <ns0:c r="H843" s="0">
        <ns0:f>IFERROR(IF(FIND(".",B843)=5,--E843,--C843),0)</ns0:f>
        <ns0:v>0</ns0:v>
      </ns0:c>
      <ns0:c r="I843" s="0">
        <ns0:f>IFERROR(IF(AND(F843&gt;=2000,F843&lt;=2100,G843&gt;=1,G843&lt;=12,H843&gt;=1,H843&lt;=31),DATE(F843,G843,H843),0),0)</ns0:f>
        <ns0:v>0</ns0:v>
      </ns0:c>
      <ns0:c r="J843" s="0">
        <ns0:f>IFERROR(IF(ISNUMBER(Bookings!B843),IF(AND(Bookings!B843=INT(Bookings!B843),Bookings!B843&gt;=DATE(2000,1,1),Bookings!B843&lt;=DATE(2100,12,31)),Bookings!B843,0),IF(AND(A843&lt;&gt;"",LEN("x"&amp;B843)-LEN(SUBSTITUTE("x"&amp;B843,".",""))=2,OR(1&gt;LEN(B843),MID(B843,1,1)=".",ISNUMBER(FIND("x"&amp;MID(B843,1,1),"x0x1x2x3x4x5x6x7x8x9"))),OR(2&gt;LEN(B843),MID(B843,2,1)=".",ISNUMBER(FIND("x"&amp;MID(B843,2,1),"x0x1x2x3x4x5x6x7x8x9"))),OR(3&gt;LEN(B843),MID(B843,3,1)=".",ISNUMBER(FIND("x"&amp;MID(B843,3,1),"x0x1x2x3x4x5x6x7x8x9"))),OR(4&gt;LEN(B843),MID(B843,4,1)=".",ISNUMBER(FIND("x"&amp;MID(B843,4,1),"x0x1x2x3x4x5x6x7x8x9"))),OR(5&gt;LEN(B843),MID(B843,5,1)=".",ISNUMBER(FIND("x"&amp;MID(B843,5,1),"x0x1x2x3x4x5x6x7x8x9"))),OR(6&gt;LEN(B843),MID(B843,6,1)=".",ISNUMBER(FIND("x"&amp;MID(B843,6,1),"x0x1x2x3x4x5x6x7x8x9"))),OR(7&gt;LEN(B843),MID(B843,7,1)=".",ISNUMBER(FIND("x"&amp;MID(B843,7,1),"x0x1x2x3x4x5x6x7x8x9"))),OR(8&gt;LEN(B843),MID(B843,8,1)=".",ISNUMBER(FIND("x"&amp;MID(B843,8,1),"x0x1x2x3x4x5x6x7x8x9"))),OR(9&gt;LEN(B843),MID(B843,9,1)=".",ISNUMBER(FIND("x"&amp;MID(B843,9,1),"x0x1x2x3x4x5x6x7x8x9"))),OR(10&gt;LEN(B843),MID(B843,10,1)=".",ISNUMBER(FIND("x"&amp;MID(B843,10,1),"x0x1x2x3x4x5x6x7x8x9"))),OR(AND(FIND(".",B843)=5,LEN(B843)-FIND(".",B843,FIND(".",B843)+1)&gt;=1,LEN(B843)-FIND(".",B843,FIND(".",B843)+1)&lt;=2),AND(LEN(B843)-FIND(".",B843,FIND(".",B843)+1)=4,FIND(".",B843)&gt;=2,FIND(".",B843)&lt;=3)),FIND(".",B843,FIND(".",B843)+1)-FIND(".",B843)&gt;=2,FIND(".",B843,FIND(".",B843)+1)-FIND(".",B843)&lt;=3,F843&gt;=2000,F843&lt;=2100,YEAR(I843)=F843,MONTH(I843)=G843,DAY(I843)=H843),I843,0)),0)</ns0:f>
        <ns0:v>0</ns0:v>
      </ns0:c>
      <ns0:c r="K843" s="0">
        <ns0:f>IFERROR(IF(ISNUMBER(Bookings!D843),"",TRIM(Bookings!D843&amp;"")),"")</ns0:f>
      </ns0:c>
      <ns0:c r="L843" s="0">
        <ns0:f>IFERROR(SUBSTITUTE(SUBSTITUTE(K843,"/","."),"-","."),"")</ns0:f>
      </ns0:c>
      <ns0:c r="M843" s="0">
        <ns0:f>IFERROR(LEFT(L843,FIND(".",L843)-1),"")</ns0:f>
      </ns0:c>
      <ns0:c r="N843" s="0">
        <ns0:f>IFERROR(MID(L843,FIND(".",L843)+1,FIND(".",L843,FIND(".",L843)+1)-FIND(".",L843)-1),"")</ns0:f>
      </ns0:c>
      <ns0:c r="O843" s="0">
        <ns0:f>IFERROR(MID(L843,FIND(".",L843,FIND(".",L843)+1)+1,99),"")</ns0:f>
        <ns0:v>99</ns0:v>
      </ns0:c>
      <ns0:c r="P843" s="0">
        <ns0:f>IFERROR(IF(FIND(".",L843)=5,--M843,--O843),0)</ns0:f>
        <ns0:v>0</ns0:v>
      </ns0:c>
      <ns0:c r="Q843" s="0">
        <ns0:f>IFERROR(--N843,0)</ns0:f>
        <ns0:v>0</ns0:v>
      </ns0:c>
      <ns0:c r="R843" s="0">
        <ns0:f>IFERROR(IF(FIND(".",L843)=5,--O843,--M843),0)</ns0:f>
        <ns0:v>0</ns0:v>
      </ns0:c>
      <ns0:c r="S843" s="0">
        <ns0:f>IFERROR(IF(AND(P843&gt;=2000,P843&lt;=2100,Q843&gt;=1,Q843&lt;=12,R843&gt;=1,R843&lt;=31),DATE(P843,Q843,R843),0),0)</ns0:f>
        <ns0:v>0</ns0:v>
      </ns0:c>
      <ns0:c r="T843" s="0">
        <ns0:f>IFERROR(IF(ISNUMBER(Bookings!D843),IF(AND(Bookings!D843=INT(Bookings!D843),Bookings!D843&gt;=DATE(2000,1,1),Bookings!D843&lt;=DATE(2100,12,31)),Bookings!D843,0),IF(AND(K843&lt;&gt;"",LEN("x"&amp;L843)-LEN(SUBSTITUTE("x"&amp;L843,".",""))=2,OR(1&gt;LEN(L843),MID(L843,1,1)=".",ISNUMBER(FIND("x"&amp;MID(L843,1,1),"x0x1x2x3x4x5x6x7x8x9"))),OR(2&gt;LEN(L843),MID(L843,2,1)=".",ISNUMBER(FIND("x"&amp;MID(L843,2,1),"x0x1x2x3x4x5x6x7x8x9"))),OR(3&gt;LEN(L843),MID(L843,3,1)=".",ISNUMBER(FIND("x"&amp;MID(L843,3,1),"x0x1x2x3x4x5x6x7x8x9"))),OR(4&gt;LEN(L843),MID(L843,4,1)=".",ISNUMBER(FIND("x"&amp;MID(L843,4,1),"x0x1x2x3x4x5x6x7x8x9"))),OR(5&gt;LEN(L843),MID(L843,5,1)=".",ISNUMBER(FIND("x"&amp;MID(L843,5,1),"x0x1x2x3x4x5x6x7x8x9"))),OR(6&gt;LEN(L843),MID(L843,6,1)=".",ISNUMBER(FIND("x"&amp;MID(L843,6,1),"x0x1x2x3x4x5x6x7x8x9"))),OR(7&gt;LEN(L843),MID(L843,7,1)=".",ISNUMBER(FIND("x"&amp;MID(L843,7,1),"x0x1x2x3x4x5x6x7x8x9"))),OR(8&gt;LEN(L843),MID(L843,8,1)=".",ISNUMBER(FIND("x"&amp;MID(L843,8,1),"x0x1x2x3x4x5x6x7x8x9"))),OR(9&gt;LEN(L843),MID(L843,9,1)=".",ISNUMBER(FIND("x"&amp;MID(L843,9,1),"x0x1x2x3x4x5x6x7x8x9"))),OR(10&gt;LEN(L843),MID(L843,10,1)=".",ISNUMBER(FIND("x"&amp;MID(L843,10,1),"x0x1x2x3x4x5x6x7x8x9"))),OR(AND(FIND(".",L843)=5,LEN(L843)-FIND(".",L843,FIND(".",L843)+1)&gt;=1,LEN(L843)-FIND(".",L843,FIND(".",L843)+1)&lt;=2),AND(LEN(L843)-FIND(".",L843,FIND(".",L843)+1)=4,FIND(".",L843)&gt;=2,FIND(".",L843)&lt;=3)),FIND(".",L843,FIND(".",L843)+1)-FIND(".",L843)&gt;=2,FIND(".",L843,FIND(".",L843)+1)-FIND(".",L843)&lt;=3,P843&gt;=2000,P843&lt;=2100,YEAR(S843)=P843,MONTH(S843)=Q843,DAY(S843)=R843),S843,0)),0)</ns0:f>
        <ns0:v>0</ns0:v>
      </ns0:c>
      <ns0:c r="U843" s="0" t="str">
        <ns0:f>IF(Bookings!C843="","Full day",Bookings!C843)</ns0:f>
        <ns0:v>Full day</ns0:v>
      </ns0:c>
      <ns0:c r="V843" s="0" t="str">
        <ns0:f>IF(Bookings!E843="","Full day",Bookings!E843)</ns0:f>
        <ns0:v>Full day</ns0:v>
      </ns0:c>
      <ns0:c r="W843" s="0">
        <ns0:f>IF(J843=0,0,J843+IF(U843="PM",1,0))</ns0:f>
        <ns0:v>0</ns0:v>
      </ns0:c>
      <ns0:c r="X843" s="0">
        <ns0:f>IF(T843=0,0,T843-IF(V843="PM",1,0))</ns0:f>
        <ns0:v>0</ns0:v>
      </ns0:c>
      <ns0:c r="Y843" s="0">
        <ns0:f>IF(J843=0,0,J843+IF(U843="AM",1,0))</ns0:f>
        <ns0:v>0</ns0:v>
      </ns0:c>
      <ns0:c r="Z843" s="0">
        <ns0:f>IF(T843=0,0,T843-IF(V843="AM",1,0))</ns0:f>
        <ns0:v>0</ns0:v>
      </ns0:c>
      <ns0:c r="AA843" s="0">
        <ns0:f>IFERROR(IF(AND(J843&gt;0,'_Engine'!C843&gt;0,MID('_Engine'!W843,WEEKDAY(J843,2),1)="W",COUNTIF(Settings!$F$18:$F$67,J843)=0),1,0),0)</ns0:f>
        <ns0:v>0</ns0:v>
      </ns0:c>
      <ns0:c r="AB843" s="0">
        <ns0:f>IFERROR(IF(AND(T843&gt;0,'_Engine'!C843&gt;0,MID('_Engine'!W843,WEEKDAY(T843,2),1)="W",COUNTIF(Settings!$F$18:$F$67,T843)=0),1,0),0)</ns0:f>
        <ns0:v>0</ns0:v>
      </ns0:c>
      <ns0:c r="AC843" s="0">
        <ns0:f>IF(AND(J843&gt;0,T843&gt;0,W843&lt;=X843),1,0)</ns0:f>
        <ns0:v>0</ns0:v>
      </ns0:c>
      <ns0:c r="AD843" s="0">
        <ns0:f>IF(AND(J843&gt;0,T843&gt;0,Y843&lt;=Z843),1,0)</ns0:f>
        <ns0:v>0</ns0:v>
      </ns0:c>
    </ns0:row>
    <ns0:row r="844">
      <ns0:c r="A844" s="0">
        <ns0:f>IFERROR(IF(ISNUMBER(Bookings!B844),"",TRIM(Bookings!B844&amp;"")),"")</ns0:f>
      </ns0:c>
      <ns0:c r="B844" s="0">
        <ns0:f>IFERROR(SUBSTITUTE(SUBSTITUTE(A844,"/","."),"-","."),"")</ns0:f>
      </ns0:c>
      <ns0:c r="C844" s="0">
        <ns0:f>IFERROR(LEFT(B844,FIND(".",B844)-1),"")</ns0:f>
      </ns0:c>
      <ns0:c r="D844" s="0">
        <ns0:f>IFERROR(MID(B844,FIND(".",B844)+1,FIND(".",B844,FIND(".",B844)+1)-FIND(".",B844)-1),"")</ns0:f>
      </ns0:c>
      <ns0:c r="E844" s="0">
        <ns0:f>IFERROR(MID(B844,FIND(".",B844,FIND(".",B844)+1)+1,99),"")</ns0:f>
        <ns0:v>99</ns0:v>
      </ns0:c>
      <ns0:c r="F844" s="0">
        <ns0:f>IFERROR(IF(FIND(".",B844)=5,--C844,--E844),0)</ns0:f>
        <ns0:v>0</ns0:v>
      </ns0:c>
      <ns0:c r="G844" s="0">
        <ns0:f>IFERROR(--D844,0)</ns0:f>
        <ns0:v>0</ns0:v>
      </ns0:c>
      <ns0:c r="H844" s="0">
        <ns0:f>IFERROR(IF(FIND(".",B844)=5,--E844,--C844),0)</ns0:f>
        <ns0:v>0</ns0:v>
      </ns0:c>
      <ns0:c r="I844" s="0">
        <ns0:f>IFERROR(IF(AND(F844&gt;=2000,F844&lt;=2100,G844&gt;=1,G844&lt;=12,H844&gt;=1,H844&lt;=31),DATE(F844,G844,H844),0),0)</ns0:f>
        <ns0:v>0</ns0:v>
      </ns0:c>
      <ns0:c r="J844" s="0">
        <ns0:f>IFERROR(IF(ISNUMBER(Bookings!B844),IF(AND(Bookings!B844=INT(Bookings!B844),Bookings!B844&gt;=DATE(2000,1,1),Bookings!B844&lt;=DATE(2100,12,31)),Bookings!B844,0),IF(AND(A844&lt;&gt;"",LEN("x"&amp;B844)-LEN(SUBSTITUTE("x"&amp;B844,".",""))=2,OR(1&gt;LEN(B844),MID(B844,1,1)=".",ISNUMBER(FIND("x"&amp;MID(B844,1,1),"x0x1x2x3x4x5x6x7x8x9"))),OR(2&gt;LEN(B844),MID(B844,2,1)=".",ISNUMBER(FIND("x"&amp;MID(B844,2,1),"x0x1x2x3x4x5x6x7x8x9"))),OR(3&gt;LEN(B844),MID(B844,3,1)=".",ISNUMBER(FIND("x"&amp;MID(B844,3,1),"x0x1x2x3x4x5x6x7x8x9"))),OR(4&gt;LEN(B844),MID(B844,4,1)=".",ISNUMBER(FIND("x"&amp;MID(B844,4,1),"x0x1x2x3x4x5x6x7x8x9"))),OR(5&gt;LEN(B844),MID(B844,5,1)=".",ISNUMBER(FIND("x"&amp;MID(B844,5,1),"x0x1x2x3x4x5x6x7x8x9"))),OR(6&gt;LEN(B844),MID(B844,6,1)=".",ISNUMBER(FIND("x"&amp;MID(B844,6,1),"x0x1x2x3x4x5x6x7x8x9"))),OR(7&gt;LEN(B844),MID(B844,7,1)=".",ISNUMBER(FIND("x"&amp;MID(B844,7,1),"x0x1x2x3x4x5x6x7x8x9"))),OR(8&gt;LEN(B844),MID(B844,8,1)=".",ISNUMBER(FIND("x"&amp;MID(B844,8,1),"x0x1x2x3x4x5x6x7x8x9"))),OR(9&gt;LEN(B844),MID(B844,9,1)=".",ISNUMBER(FIND("x"&amp;MID(B844,9,1),"x0x1x2x3x4x5x6x7x8x9"))),OR(10&gt;LEN(B844),MID(B844,10,1)=".",ISNUMBER(FIND("x"&amp;MID(B844,10,1),"x0x1x2x3x4x5x6x7x8x9"))),OR(AND(FIND(".",B844)=5,LEN(B844)-FIND(".",B844,FIND(".",B844)+1)&gt;=1,LEN(B844)-FIND(".",B844,FIND(".",B844)+1)&lt;=2),AND(LEN(B844)-FIND(".",B844,FIND(".",B844)+1)=4,FIND(".",B844)&gt;=2,FIND(".",B844)&lt;=3)),FIND(".",B844,FIND(".",B844)+1)-FIND(".",B844)&gt;=2,FIND(".",B844,FIND(".",B844)+1)-FIND(".",B844)&lt;=3,F844&gt;=2000,F844&lt;=2100,YEAR(I844)=F844,MONTH(I844)=G844,DAY(I844)=H844),I844,0)),0)</ns0:f>
        <ns0:v>0</ns0:v>
      </ns0:c>
      <ns0:c r="K844" s="0">
        <ns0:f>IFERROR(IF(ISNUMBER(Bookings!D844),"",TRIM(Bookings!D844&amp;"")),"")</ns0:f>
      </ns0:c>
      <ns0:c r="L844" s="0">
        <ns0:f>IFERROR(SUBSTITUTE(SUBSTITUTE(K844,"/","."),"-","."),"")</ns0:f>
      </ns0:c>
      <ns0:c r="M844" s="0">
        <ns0:f>IFERROR(LEFT(L844,FIND(".",L844)-1),"")</ns0:f>
      </ns0:c>
      <ns0:c r="N844" s="0">
        <ns0:f>IFERROR(MID(L844,FIND(".",L844)+1,FIND(".",L844,FIND(".",L844)+1)-FIND(".",L844)-1),"")</ns0:f>
      </ns0:c>
      <ns0:c r="O844" s="0">
        <ns0:f>IFERROR(MID(L844,FIND(".",L844,FIND(".",L844)+1)+1,99),"")</ns0:f>
        <ns0:v>99</ns0:v>
      </ns0:c>
      <ns0:c r="P844" s="0">
        <ns0:f>IFERROR(IF(FIND(".",L844)=5,--M844,--O844),0)</ns0:f>
        <ns0:v>0</ns0:v>
      </ns0:c>
      <ns0:c r="Q844" s="0">
        <ns0:f>IFERROR(--N844,0)</ns0:f>
        <ns0:v>0</ns0:v>
      </ns0:c>
      <ns0:c r="R844" s="0">
        <ns0:f>IFERROR(IF(FIND(".",L844)=5,--O844,--M844),0)</ns0:f>
        <ns0:v>0</ns0:v>
      </ns0:c>
      <ns0:c r="S844" s="0">
        <ns0:f>IFERROR(IF(AND(P844&gt;=2000,P844&lt;=2100,Q844&gt;=1,Q844&lt;=12,R844&gt;=1,R844&lt;=31),DATE(P844,Q844,R844),0),0)</ns0:f>
        <ns0:v>0</ns0:v>
      </ns0:c>
      <ns0:c r="T844" s="0">
        <ns0:f>IFERROR(IF(ISNUMBER(Bookings!D844),IF(AND(Bookings!D844=INT(Bookings!D844),Bookings!D844&gt;=DATE(2000,1,1),Bookings!D844&lt;=DATE(2100,12,31)),Bookings!D844,0),IF(AND(K844&lt;&gt;"",LEN("x"&amp;L844)-LEN(SUBSTITUTE("x"&amp;L844,".",""))=2,OR(1&gt;LEN(L844),MID(L844,1,1)=".",ISNUMBER(FIND("x"&amp;MID(L844,1,1),"x0x1x2x3x4x5x6x7x8x9"))),OR(2&gt;LEN(L844),MID(L844,2,1)=".",ISNUMBER(FIND("x"&amp;MID(L844,2,1),"x0x1x2x3x4x5x6x7x8x9"))),OR(3&gt;LEN(L844),MID(L844,3,1)=".",ISNUMBER(FIND("x"&amp;MID(L844,3,1),"x0x1x2x3x4x5x6x7x8x9"))),OR(4&gt;LEN(L844),MID(L844,4,1)=".",ISNUMBER(FIND("x"&amp;MID(L844,4,1),"x0x1x2x3x4x5x6x7x8x9"))),OR(5&gt;LEN(L844),MID(L844,5,1)=".",ISNUMBER(FIND("x"&amp;MID(L844,5,1),"x0x1x2x3x4x5x6x7x8x9"))),OR(6&gt;LEN(L844),MID(L844,6,1)=".",ISNUMBER(FIND("x"&amp;MID(L844,6,1),"x0x1x2x3x4x5x6x7x8x9"))),OR(7&gt;LEN(L844),MID(L844,7,1)=".",ISNUMBER(FIND("x"&amp;MID(L844,7,1),"x0x1x2x3x4x5x6x7x8x9"))),OR(8&gt;LEN(L844),MID(L844,8,1)=".",ISNUMBER(FIND("x"&amp;MID(L844,8,1),"x0x1x2x3x4x5x6x7x8x9"))),OR(9&gt;LEN(L844),MID(L844,9,1)=".",ISNUMBER(FIND("x"&amp;MID(L844,9,1),"x0x1x2x3x4x5x6x7x8x9"))),OR(10&gt;LEN(L844),MID(L844,10,1)=".",ISNUMBER(FIND("x"&amp;MID(L844,10,1),"x0x1x2x3x4x5x6x7x8x9"))),OR(AND(FIND(".",L844)=5,LEN(L844)-FIND(".",L844,FIND(".",L844)+1)&gt;=1,LEN(L844)-FIND(".",L844,FIND(".",L844)+1)&lt;=2),AND(LEN(L844)-FIND(".",L844,FIND(".",L844)+1)=4,FIND(".",L844)&gt;=2,FIND(".",L844)&lt;=3)),FIND(".",L844,FIND(".",L844)+1)-FIND(".",L844)&gt;=2,FIND(".",L844,FIND(".",L844)+1)-FIND(".",L844)&lt;=3,P844&gt;=2000,P844&lt;=2100,YEAR(S844)=P844,MONTH(S844)=Q844,DAY(S844)=R844),S844,0)),0)</ns0:f>
        <ns0:v>0</ns0:v>
      </ns0:c>
      <ns0:c r="U844" s="0" t="str">
        <ns0:f>IF(Bookings!C844="","Full day",Bookings!C844)</ns0:f>
        <ns0:v>Full day</ns0:v>
      </ns0:c>
      <ns0:c r="V844" s="0" t="str">
        <ns0:f>IF(Bookings!E844="","Full day",Bookings!E844)</ns0:f>
        <ns0:v>Full day</ns0:v>
      </ns0:c>
      <ns0:c r="W844" s="0">
        <ns0:f>IF(J844=0,0,J844+IF(U844="PM",1,0))</ns0:f>
        <ns0:v>0</ns0:v>
      </ns0:c>
      <ns0:c r="X844" s="0">
        <ns0:f>IF(T844=0,0,T844-IF(V844="PM",1,0))</ns0:f>
        <ns0:v>0</ns0:v>
      </ns0:c>
      <ns0:c r="Y844" s="0">
        <ns0:f>IF(J844=0,0,J844+IF(U844="AM",1,0))</ns0:f>
        <ns0:v>0</ns0:v>
      </ns0:c>
      <ns0:c r="Z844" s="0">
        <ns0:f>IF(T844=0,0,T844-IF(V844="AM",1,0))</ns0:f>
        <ns0:v>0</ns0:v>
      </ns0:c>
      <ns0:c r="AA844" s="0">
        <ns0:f>IFERROR(IF(AND(J844&gt;0,'_Engine'!C844&gt;0,MID('_Engine'!W844,WEEKDAY(J844,2),1)="W",COUNTIF(Settings!$F$18:$F$67,J844)=0),1,0),0)</ns0:f>
        <ns0:v>0</ns0:v>
      </ns0:c>
      <ns0:c r="AB844" s="0">
        <ns0:f>IFERROR(IF(AND(T844&gt;0,'_Engine'!C844&gt;0,MID('_Engine'!W844,WEEKDAY(T844,2),1)="W",COUNTIF(Settings!$F$18:$F$67,T844)=0),1,0),0)</ns0:f>
        <ns0:v>0</ns0:v>
      </ns0:c>
      <ns0:c r="AC844" s="0">
        <ns0:f>IF(AND(J844&gt;0,T844&gt;0,W844&lt;=X844),1,0)</ns0:f>
        <ns0:v>0</ns0:v>
      </ns0:c>
      <ns0:c r="AD844" s="0">
        <ns0:f>IF(AND(J844&gt;0,T844&gt;0,Y844&lt;=Z844),1,0)</ns0:f>
        <ns0:v>0</ns0:v>
      </ns0:c>
    </ns0:row>
    <ns0:row r="845">
      <ns0:c r="A845" s="0">
        <ns0:f>IFERROR(IF(ISNUMBER(Bookings!B845),"",TRIM(Bookings!B845&amp;"")),"")</ns0:f>
      </ns0:c>
      <ns0:c r="B845" s="0">
        <ns0:f>IFERROR(SUBSTITUTE(SUBSTITUTE(A845,"/","."),"-","."),"")</ns0:f>
      </ns0:c>
      <ns0:c r="C845" s="0">
        <ns0:f>IFERROR(LEFT(B845,FIND(".",B845)-1),"")</ns0:f>
      </ns0:c>
      <ns0:c r="D845" s="0">
        <ns0:f>IFERROR(MID(B845,FIND(".",B845)+1,FIND(".",B845,FIND(".",B845)+1)-FIND(".",B845)-1),"")</ns0:f>
      </ns0:c>
      <ns0:c r="E845" s="0">
        <ns0:f>IFERROR(MID(B845,FIND(".",B845,FIND(".",B845)+1)+1,99),"")</ns0:f>
        <ns0:v>99</ns0:v>
      </ns0:c>
      <ns0:c r="F845" s="0">
        <ns0:f>IFERROR(IF(FIND(".",B845)=5,--C845,--E845),0)</ns0:f>
        <ns0:v>0</ns0:v>
      </ns0:c>
      <ns0:c r="G845" s="0">
        <ns0:f>IFERROR(--D845,0)</ns0:f>
        <ns0:v>0</ns0:v>
      </ns0:c>
      <ns0:c r="H845" s="0">
        <ns0:f>IFERROR(IF(FIND(".",B845)=5,--E845,--C845),0)</ns0:f>
        <ns0:v>0</ns0:v>
      </ns0:c>
      <ns0:c r="I845" s="0">
        <ns0:f>IFERROR(IF(AND(F845&gt;=2000,F845&lt;=2100,G845&gt;=1,G845&lt;=12,H845&gt;=1,H845&lt;=31),DATE(F845,G845,H845),0),0)</ns0:f>
        <ns0:v>0</ns0:v>
      </ns0:c>
      <ns0:c r="J845" s="0">
        <ns0:f>IFERROR(IF(ISNUMBER(Bookings!B845),IF(AND(Bookings!B845=INT(Bookings!B845),Bookings!B845&gt;=DATE(2000,1,1),Bookings!B845&lt;=DATE(2100,12,31)),Bookings!B845,0),IF(AND(A845&lt;&gt;"",LEN("x"&amp;B845)-LEN(SUBSTITUTE("x"&amp;B845,".",""))=2,OR(1&gt;LEN(B845),MID(B845,1,1)=".",ISNUMBER(FIND("x"&amp;MID(B845,1,1),"x0x1x2x3x4x5x6x7x8x9"))),OR(2&gt;LEN(B845),MID(B845,2,1)=".",ISNUMBER(FIND("x"&amp;MID(B845,2,1),"x0x1x2x3x4x5x6x7x8x9"))),OR(3&gt;LEN(B845),MID(B845,3,1)=".",ISNUMBER(FIND("x"&amp;MID(B845,3,1),"x0x1x2x3x4x5x6x7x8x9"))),OR(4&gt;LEN(B845),MID(B845,4,1)=".",ISNUMBER(FIND("x"&amp;MID(B845,4,1),"x0x1x2x3x4x5x6x7x8x9"))),OR(5&gt;LEN(B845),MID(B845,5,1)=".",ISNUMBER(FIND("x"&amp;MID(B845,5,1),"x0x1x2x3x4x5x6x7x8x9"))),OR(6&gt;LEN(B845),MID(B845,6,1)=".",ISNUMBER(FIND("x"&amp;MID(B845,6,1),"x0x1x2x3x4x5x6x7x8x9"))),OR(7&gt;LEN(B845),MID(B845,7,1)=".",ISNUMBER(FIND("x"&amp;MID(B845,7,1),"x0x1x2x3x4x5x6x7x8x9"))),OR(8&gt;LEN(B845),MID(B845,8,1)=".",ISNUMBER(FIND("x"&amp;MID(B845,8,1),"x0x1x2x3x4x5x6x7x8x9"))),OR(9&gt;LEN(B845),MID(B845,9,1)=".",ISNUMBER(FIND("x"&amp;MID(B845,9,1),"x0x1x2x3x4x5x6x7x8x9"))),OR(10&gt;LEN(B845),MID(B845,10,1)=".",ISNUMBER(FIND("x"&amp;MID(B845,10,1),"x0x1x2x3x4x5x6x7x8x9"))),OR(AND(FIND(".",B845)=5,LEN(B845)-FIND(".",B845,FIND(".",B845)+1)&gt;=1,LEN(B845)-FIND(".",B845,FIND(".",B845)+1)&lt;=2),AND(LEN(B845)-FIND(".",B845,FIND(".",B845)+1)=4,FIND(".",B845)&gt;=2,FIND(".",B845)&lt;=3)),FIND(".",B845,FIND(".",B845)+1)-FIND(".",B845)&gt;=2,FIND(".",B845,FIND(".",B845)+1)-FIND(".",B845)&lt;=3,F845&gt;=2000,F845&lt;=2100,YEAR(I845)=F845,MONTH(I845)=G845,DAY(I845)=H845),I845,0)),0)</ns0:f>
        <ns0:v>0</ns0:v>
      </ns0:c>
      <ns0:c r="K845" s="0">
        <ns0:f>IFERROR(IF(ISNUMBER(Bookings!D845),"",TRIM(Bookings!D845&amp;"")),"")</ns0:f>
      </ns0:c>
      <ns0:c r="L845" s="0">
        <ns0:f>IFERROR(SUBSTITUTE(SUBSTITUTE(K845,"/","."),"-","."),"")</ns0:f>
      </ns0:c>
      <ns0:c r="M845" s="0">
        <ns0:f>IFERROR(LEFT(L845,FIND(".",L845)-1),"")</ns0:f>
      </ns0:c>
      <ns0:c r="N845" s="0">
        <ns0:f>IFERROR(MID(L845,FIND(".",L845)+1,FIND(".",L845,FIND(".",L845)+1)-FIND(".",L845)-1),"")</ns0:f>
      </ns0:c>
      <ns0:c r="O845" s="0">
        <ns0:f>IFERROR(MID(L845,FIND(".",L845,FIND(".",L845)+1)+1,99),"")</ns0:f>
        <ns0:v>99</ns0:v>
      </ns0:c>
      <ns0:c r="P845" s="0">
        <ns0:f>IFERROR(IF(FIND(".",L845)=5,--M845,--O845),0)</ns0:f>
        <ns0:v>0</ns0:v>
      </ns0:c>
      <ns0:c r="Q845" s="0">
        <ns0:f>IFERROR(--N845,0)</ns0:f>
        <ns0:v>0</ns0:v>
      </ns0:c>
      <ns0:c r="R845" s="0">
        <ns0:f>IFERROR(IF(FIND(".",L845)=5,--O845,--M845),0)</ns0:f>
        <ns0:v>0</ns0:v>
      </ns0:c>
      <ns0:c r="S845" s="0">
        <ns0:f>IFERROR(IF(AND(P845&gt;=2000,P845&lt;=2100,Q845&gt;=1,Q845&lt;=12,R845&gt;=1,R845&lt;=31),DATE(P845,Q845,R845),0),0)</ns0:f>
        <ns0:v>0</ns0:v>
      </ns0:c>
      <ns0:c r="T845" s="0">
        <ns0:f>IFERROR(IF(ISNUMBER(Bookings!D845),IF(AND(Bookings!D845=INT(Bookings!D845),Bookings!D845&gt;=DATE(2000,1,1),Bookings!D845&lt;=DATE(2100,12,31)),Bookings!D845,0),IF(AND(K845&lt;&gt;"",LEN("x"&amp;L845)-LEN(SUBSTITUTE("x"&amp;L845,".",""))=2,OR(1&gt;LEN(L845),MID(L845,1,1)=".",ISNUMBER(FIND("x"&amp;MID(L845,1,1),"x0x1x2x3x4x5x6x7x8x9"))),OR(2&gt;LEN(L845),MID(L845,2,1)=".",ISNUMBER(FIND("x"&amp;MID(L845,2,1),"x0x1x2x3x4x5x6x7x8x9"))),OR(3&gt;LEN(L845),MID(L845,3,1)=".",ISNUMBER(FIND("x"&amp;MID(L845,3,1),"x0x1x2x3x4x5x6x7x8x9"))),OR(4&gt;LEN(L845),MID(L845,4,1)=".",ISNUMBER(FIND("x"&amp;MID(L845,4,1),"x0x1x2x3x4x5x6x7x8x9"))),OR(5&gt;LEN(L845),MID(L845,5,1)=".",ISNUMBER(FIND("x"&amp;MID(L845,5,1),"x0x1x2x3x4x5x6x7x8x9"))),OR(6&gt;LEN(L845),MID(L845,6,1)=".",ISNUMBER(FIND("x"&amp;MID(L845,6,1),"x0x1x2x3x4x5x6x7x8x9"))),OR(7&gt;LEN(L845),MID(L845,7,1)=".",ISNUMBER(FIND("x"&amp;MID(L845,7,1),"x0x1x2x3x4x5x6x7x8x9"))),OR(8&gt;LEN(L845),MID(L845,8,1)=".",ISNUMBER(FIND("x"&amp;MID(L845,8,1),"x0x1x2x3x4x5x6x7x8x9"))),OR(9&gt;LEN(L845),MID(L845,9,1)=".",ISNUMBER(FIND("x"&amp;MID(L845,9,1),"x0x1x2x3x4x5x6x7x8x9"))),OR(10&gt;LEN(L845),MID(L845,10,1)=".",ISNUMBER(FIND("x"&amp;MID(L845,10,1),"x0x1x2x3x4x5x6x7x8x9"))),OR(AND(FIND(".",L845)=5,LEN(L845)-FIND(".",L845,FIND(".",L845)+1)&gt;=1,LEN(L845)-FIND(".",L845,FIND(".",L845)+1)&lt;=2),AND(LEN(L845)-FIND(".",L845,FIND(".",L845)+1)=4,FIND(".",L845)&gt;=2,FIND(".",L845)&lt;=3)),FIND(".",L845,FIND(".",L845)+1)-FIND(".",L845)&gt;=2,FIND(".",L845,FIND(".",L845)+1)-FIND(".",L845)&lt;=3,P845&gt;=2000,P845&lt;=2100,YEAR(S845)=P845,MONTH(S845)=Q845,DAY(S845)=R845),S845,0)),0)</ns0:f>
        <ns0:v>0</ns0:v>
      </ns0:c>
      <ns0:c r="U845" s="0" t="str">
        <ns0:f>IF(Bookings!C845="","Full day",Bookings!C845)</ns0:f>
        <ns0:v>Full day</ns0:v>
      </ns0:c>
      <ns0:c r="V845" s="0" t="str">
        <ns0:f>IF(Bookings!E845="","Full day",Bookings!E845)</ns0:f>
        <ns0:v>Full day</ns0:v>
      </ns0:c>
      <ns0:c r="W845" s="0">
        <ns0:f>IF(J845=0,0,J845+IF(U845="PM",1,0))</ns0:f>
        <ns0:v>0</ns0:v>
      </ns0:c>
      <ns0:c r="X845" s="0">
        <ns0:f>IF(T845=0,0,T845-IF(V845="PM",1,0))</ns0:f>
        <ns0:v>0</ns0:v>
      </ns0:c>
      <ns0:c r="Y845" s="0">
        <ns0:f>IF(J845=0,0,J845+IF(U845="AM",1,0))</ns0:f>
        <ns0:v>0</ns0:v>
      </ns0:c>
      <ns0:c r="Z845" s="0">
        <ns0:f>IF(T845=0,0,T845-IF(V845="AM",1,0))</ns0:f>
        <ns0:v>0</ns0:v>
      </ns0:c>
      <ns0:c r="AA845" s="0">
        <ns0:f>IFERROR(IF(AND(J845&gt;0,'_Engine'!C845&gt;0,MID('_Engine'!W845,WEEKDAY(J845,2),1)="W",COUNTIF(Settings!$F$18:$F$67,J845)=0),1,0),0)</ns0:f>
        <ns0:v>0</ns0:v>
      </ns0:c>
      <ns0:c r="AB845" s="0">
        <ns0:f>IFERROR(IF(AND(T845&gt;0,'_Engine'!C845&gt;0,MID('_Engine'!W845,WEEKDAY(T845,2),1)="W",COUNTIF(Settings!$F$18:$F$67,T845)=0),1,0),0)</ns0:f>
        <ns0:v>0</ns0:v>
      </ns0:c>
      <ns0:c r="AC845" s="0">
        <ns0:f>IF(AND(J845&gt;0,T845&gt;0,W845&lt;=X845),1,0)</ns0:f>
        <ns0:v>0</ns0:v>
      </ns0:c>
      <ns0:c r="AD845" s="0">
        <ns0:f>IF(AND(J845&gt;0,T845&gt;0,Y845&lt;=Z845),1,0)</ns0:f>
        <ns0:v>0</ns0:v>
      </ns0:c>
    </ns0:row>
    <ns0:row r="846">
      <ns0:c r="A846" s="0">
        <ns0:f>IFERROR(IF(ISNUMBER(Bookings!B846),"",TRIM(Bookings!B846&amp;"")),"")</ns0:f>
      </ns0:c>
      <ns0:c r="B846" s="0">
        <ns0:f>IFERROR(SUBSTITUTE(SUBSTITUTE(A846,"/","."),"-","."),"")</ns0:f>
      </ns0:c>
      <ns0:c r="C846" s="0">
        <ns0:f>IFERROR(LEFT(B846,FIND(".",B846)-1),"")</ns0:f>
      </ns0:c>
      <ns0:c r="D846" s="0">
        <ns0:f>IFERROR(MID(B846,FIND(".",B846)+1,FIND(".",B846,FIND(".",B846)+1)-FIND(".",B846)-1),"")</ns0:f>
      </ns0:c>
      <ns0:c r="E846" s="0">
        <ns0:f>IFERROR(MID(B846,FIND(".",B846,FIND(".",B846)+1)+1,99),"")</ns0:f>
        <ns0:v>99</ns0:v>
      </ns0:c>
      <ns0:c r="F846" s="0">
        <ns0:f>IFERROR(IF(FIND(".",B846)=5,--C846,--E846),0)</ns0:f>
        <ns0:v>0</ns0:v>
      </ns0:c>
      <ns0:c r="G846" s="0">
        <ns0:f>IFERROR(--D846,0)</ns0:f>
        <ns0:v>0</ns0:v>
      </ns0:c>
      <ns0:c r="H846" s="0">
        <ns0:f>IFERROR(IF(FIND(".",B846)=5,--E846,--C846),0)</ns0:f>
        <ns0:v>0</ns0:v>
      </ns0:c>
      <ns0:c r="I846" s="0">
        <ns0:f>IFERROR(IF(AND(F846&gt;=2000,F846&lt;=2100,G846&gt;=1,G846&lt;=12,H846&gt;=1,H846&lt;=31),DATE(F846,G846,H846),0),0)</ns0:f>
        <ns0:v>0</ns0:v>
      </ns0:c>
      <ns0:c r="J846" s="0">
        <ns0:f>IFERROR(IF(ISNUMBER(Bookings!B846),IF(AND(Bookings!B846=INT(Bookings!B846),Bookings!B846&gt;=DATE(2000,1,1),Bookings!B846&lt;=DATE(2100,12,31)),Bookings!B846,0),IF(AND(A846&lt;&gt;"",LEN("x"&amp;B846)-LEN(SUBSTITUTE("x"&amp;B846,".",""))=2,OR(1&gt;LEN(B846),MID(B846,1,1)=".",ISNUMBER(FIND("x"&amp;MID(B846,1,1),"x0x1x2x3x4x5x6x7x8x9"))),OR(2&gt;LEN(B846),MID(B846,2,1)=".",ISNUMBER(FIND("x"&amp;MID(B846,2,1),"x0x1x2x3x4x5x6x7x8x9"))),OR(3&gt;LEN(B846),MID(B846,3,1)=".",ISNUMBER(FIND("x"&amp;MID(B846,3,1),"x0x1x2x3x4x5x6x7x8x9"))),OR(4&gt;LEN(B846),MID(B846,4,1)=".",ISNUMBER(FIND("x"&amp;MID(B846,4,1),"x0x1x2x3x4x5x6x7x8x9"))),OR(5&gt;LEN(B846),MID(B846,5,1)=".",ISNUMBER(FIND("x"&amp;MID(B846,5,1),"x0x1x2x3x4x5x6x7x8x9"))),OR(6&gt;LEN(B846),MID(B846,6,1)=".",ISNUMBER(FIND("x"&amp;MID(B846,6,1),"x0x1x2x3x4x5x6x7x8x9"))),OR(7&gt;LEN(B846),MID(B846,7,1)=".",ISNUMBER(FIND("x"&amp;MID(B846,7,1),"x0x1x2x3x4x5x6x7x8x9"))),OR(8&gt;LEN(B846),MID(B846,8,1)=".",ISNUMBER(FIND("x"&amp;MID(B846,8,1),"x0x1x2x3x4x5x6x7x8x9"))),OR(9&gt;LEN(B846),MID(B846,9,1)=".",ISNUMBER(FIND("x"&amp;MID(B846,9,1),"x0x1x2x3x4x5x6x7x8x9"))),OR(10&gt;LEN(B846),MID(B846,10,1)=".",ISNUMBER(FIND("x"&amp;MID(B846,10,1),"x0x1x2x3x4x5x6x7x8x9"))),OR(AND(FIND(".",B846)=5,LEN(B846)-FIND(".",B846,FIND(".",B846)+1)&gt;=1,LEN(B846)-FIND(".",B846,FIND(".",B846)+1)&lt;=2),AND(LEN(B846)-FIND(".",B846,FIND(".",B846)+1)=4,FIND(".",B846)&gt;=2,FIND(".",B846)&lt;=3)),FIND(".",B846,FIND(".",B846)+1)-FIND(".",B846)&gt;=2,FIND(".",B846,FIND(".",B846)+1)-FIND(".",B846)&lt;=3,F846&gt;=2000,F846&lt;=2100,YEAR(I846)=F846,MONTH(I846)=G846,DAY(I846)=H846),I846,0)),0)</ns0:f>
        <ns0:v>0</ns0:v>
      </ns0:c>
      <ns0:c r="K846" s="0">
        <ns0:f>IFERROR(IF(ISNUMBER(Bookings!D846),"",TRIM(Bookings!D846&amp;"")),"")</ns0:f>
      </ns0:c>
      <ns0:c r="L846" s="0">
        <ns0:f>IFERROR(SUBSTITUTE(SUBSTITUTE(K846,"/","."),"-","."),"")</ns0:f>
      </ns0:c>
      <ns0:c r="M846" s="0">
        <ns0:f>IFERROR(LEFT(L846,FIND(".",L846)-1),"")</ns0:f>
      </ns0:c>
      <ns0:c r="N846" s="0">
        <ns0:f>IFERROR(MID(L846,FIND(".",L846)+1,FIND(".",L846,FIND(".",L846)+1)-FIND(".",L846)-1),"")</ns0:f>
      </ns0:c>
      <ns0:c r="O846" s="0">
        <ns0:f>IFERROR(MID(L846,FIND(".",L846,FIND(".",L846)+1)+1,99),"")</ns0:f>
        <ns0:v>99</ns0:v>
      </ns0:c>
      <ns0:c r="P846" s="0">
        <ns0:f>IFERROR(IF(FIND(".",L846)=5,--M846,--O846),0)</ns0:f>
        <ns0:v>0</ns0:v>
      </ns0:c>
      <ns0:c r="Q846" s="0">
        <ns0:f>IFERROR(--N846,0)</ns0:f>
        <ns0:v>0</ns0:v>
      </ns0:c>
      <ns0:c r="R846" s="0">
        <ns0:f>IFERROR(IF(FIND(".",L846)=5,--O846,--M846),0)</ns0:f>
        <ns0:v>0</ns0:v>
      </ns0:c>
      <ns0:c r="S846" s="0">
        <ns0:f>IFERROR(IF(AND(P846&gt;=2000,P846&lt;=2100,Q846&gt;=1,Q846&lt;=12,R846&gt;=1,R846&lt;=31),DATE(P846,Q846,R846),0),0)</ns0:f>
        <ns0:v>0</ns0:v>
      </ns0:c>
      <ns0:c r="T846" s="0">
        <ns0:f>IFERROR(IF(ISNUMBER(Bookings!D846),IF(AND(Bookings!D846=INT(Bookings!D846),Bookings!D846&gt;=DATE(2000,1,1),Bookings!D846&lt;=DATE(2100,12,31)),Bookings!D846,0),IF(AND(K846&lt;&gt;"",LEN("x"&amp;L846)-LEN(SUBSTITUTE("x"&amp;L846,".",""))=2,OR(1&gt;LEN(L846),MID(L846,1,1)=".",ISNUMBER(FIND("x"&amp;MID(L846,1,1),"x0x1x2x3x4x5x6x7x8x9"))),OR(2&gt;LEN(L846),MID(L846,2,1)=".",ISNUMBER(FIND("x"&amp;MID(L846,2,1),"x0x1x2x3x4x5x6x7x8x9"))),OR(3&gt;LEN(L846),MID(L846,3,1)=".",ISNUMBER(FIND("x"&amp;MID(L846,3,1),"x0x1x2x3x4x5x6x7x8x9"))),OR(4&gt;LEN(L846),MID(L846,4,1)=".",ISNUMBER(FIND("x"&amp;MID(L846,4,1),"x0x1x2x3x4x5x6x7x8x9"))),OR(5&gt;LEN(L846),MID(L846,5,1)=".",ISNUMBER(FIND("x"&amp;MID(L846,5,1),"x0x1x2x3x4x5x6x7x8x9"))),OR(6&gt;LEN(L846),MID(L846,6,1)=".",ISNUMBER(FIND("x"&amp;MID(L846,6,1),"x0x1x2x3x4x5x6x7x8x9"))),OR(7&gt;LEN(L846),MID(L846,7,1)=".",ISNUMBER(FIND("x"&amp;MID(L846,7,1),"x0x1x2x3x4x5x6x7x8x9"))),OR(8&gt;LEN(L846),MID(L846,8,1)=".",ISNUMBER(FIND("x"&amp;MID(L846,8,1),"x0x1x2x3x4x5x6x7x8x9"))),OR(9&gt;LEN(L846),MID(L846,9,1)=".",ISNUMBER(FIND("x"&amp;MID(L846,9,1),"x0x1x2x3x4x5x6x7x8x9"))),OR(10&gt;LEN(L846),MID(L846,10,1)=".",ISNUMBER(FIND("x"&amp;MID(L846,10,1),"x0x1x2x3x4x5x6x7x8x9"))),OR(AND(FIND(".",L846)=5,LEN(L846)-FIND(".",L846,FIND(".",L846)+1)&gt;=1,LEN(L846)-FIND(".",L846,FIND(".",L846)+1)&lt;=2),AND(LEN(L846)-FIND(".",L846,FIND(".",L846)+1)=4,FIND(".",L846)&gt;=2,FIND(".",L846)&lt;=3)),FIND(".",L846,FIND(".",L846)+1)-FIND(".",L846)&gt;=2,FIND(".",L846,FIND(".",L846)+1)-FIND(".",L846)&lt;=3,P846&gt;=2000,P846&lt;=2100,YEAR(S846)=P846,MONTH(S846)=Q846,DAY(S846)=R846),S846,0)),0)</ns0:f>
        <ns0:v>0</ns0:v>
      </ns0:c>
      <ns0:c r="U846" s="0" t="str">
        <ns0:f>IF(Bookings!C846="","Full day",Bookings!C846)</ns0:f>
        <ns0:v>Full day</ns0:v>
      </ns0:c>
      <ns0:c r="V846" s="0" t="str">
        <ns0:f>IF(Bookings!E846="","Full day",Bookings!E846)</ns0:f>
        <ns0:v>Full day</ns0:v>
      </ns0:c>
      <ns0:c r="W846" s="0">
        <ns0:f>IF(J846=0,0,J846+IF(U846="PM",1,0))</ns0:f>
        <ns0:v>0</ns0:v>
      </ns0:c>
      <ns0:c r="X846" s="0">
        <ns0:f>IF(T846=0,0,T846-IF(V846="PM",1,0))</ns0:f>
        <ns0:v>0</ns0:v>
      </ns0:c>
      <ns0:c r="Y846" s="0">
        <ns0:f>IF(J846=0,0,J846+IF(U846="AM",1,0))</ns0:f>
        <ns0:v>0</ns0:v>
      </ns0:c>
      <ns0:c r="Z846" s="0">
        <ns0:f>IF(T846=0,0,T846-IF(V846="AM",1,0))</ns0:f>
        <ns0:v>0</ns0:v>
      </ns0:c>
      <ns0:c r="AA846" s="0">
        <ns0:f>IFERROR(IF(AND(J846&gt;0,'_Engine'!C846&gt;0,MID('_Engine'!W846,WEEKDAY(J846,2),1)="W",COUNTIF(Settings!$F$18:$F$67,J846)=0),1,0),0)</ns0:f>
        <ns0:v>0</ns0:v>
      </ns0:c>
      <ns0:c r="AB846" s="0">
        <ns0:f>IFERROR(IF(AND(T846&gt;0,'_Engine'!C846&gt;0,MID('_Engine'!W846,WEEKDAY(T846,2),1)="W",COUNTIF(Settings!$F$18:$F$67,T846)=0),1,0),0)</ns0:f>
        <ns0:v>0</ns0:v>
      </ns0:c>
      <ns0:c r="AC846" s="0">
        <ns0:f>IF(AND(J846&gt;0,T846&gt;0,W846&lt;=X846),1,0)</ns0:f>
        <ns0:v>0</ns0:v>
      </ns0:c>
      <ns0:c r="AD846" s="0">
        <ns0:f>IF(AND(J846&gt;0,T846&gt;0,Y846&lt;=Z846),1,0)</ns0:f>
        <ns0:v>0</ns0:v>
      </ns0:c>
    </ns0:row>
    <ns0:row r="847">
      <ns0:c r="A847" s="0">
        <ns0:f>IFERROR(IF(ISNUMBER(Bookings!B847),"",TRIM(Bookings!B847&amp;"")),"")</ns0:f>
      </ns0:c>
      <ns0:c r="B847" s="0">
        <ns0:f>IFERROR(SUBSTITUTE(SUBSTITUTE(A847,"/","."),"-","."),"")</ns0:f>
      </ns0:c>
      <ns0:c r="C847" s="0">
        <ns0:f>IFERROR(LEFT(B847,FIND(".",B847)-1),"")</ns0:f>
      </ns0:c>
      <ns0:c r="D847" s="0">
        <ns0:f>IFERROR(MID(B847,FIND(".",B847)+1,FIND(".",B847,FIND(".",B847)+1)-FIND(".",B847)-1),"")</ns0:f>
      </ns0:c>
      <ns0:c r="E847" s="0">
        <ns0:f>IFERROR(MID(B847,FIND(".",B847,FIND(".",B847)+1)+1,99),"")</ns0:f>
        <ns0:v>99</ns0:v>
      </ns0:c>
      <ns0:c r="F847" s="0">
        <ns0:f>IFERROR(IF(FIND(".",B847)=5,--C847,--E847),0)</ns0:f>
        <ns0:v>0</ns0:v>
      </ns0:c>
      <ns0:c r="G847" s="0">
        <ns0:f>IFERROR(--D847,0)</ns0:f>
        <ns0:v>0</ns0:v>
      </ns0:c>
      <ns0:c r="H847" s="0">
        <ns0:f>IFERROR(IF(FIND(".",B847)=5,--E847,--C847),0)</ns0:f>
        <ns0:v>0</ns0:v>
      </ns0:c>
      <ns0:c r="I847" s="0">
        <ns0:f>IFERROR(IF(AND(F847&gt;=2000,F847&lt;=2100,G847&gt;=1,G847&lt;=12,H847&gt;=1,H847&lt;=31),DATE(F847,G847,H847),0),0)</ns0:f>
        <ns0:v>0</ns0:v>
      </ns0:c>
      <ns0:c r="J847" s="0">
        <ns0:f>IFERROR(IF(ISNUMBER(Bookings!B847),IF(AND(Bookings!B847=INT(Bookings!B847),Bookings!B847&gt;=DATE(2000,1,1),Bookings!B847&lt;=DATE(2100,12,31)),Bookings!B847,0),IF(AND(A847&lt;&gt;"",LEN("x"&amp;B847)-LEN(SUBSTITUTE("x"&amp;B847,".",""))=2,OR(1&gt;LEN(B847),MID(B847,1,1)=".",ISNUMBER(FIND("x"&amp;MID(B847,1,1),"x0x1x2x3x4x5x6x7x8x9"))),OR(2&gt;LEN(B847),MID(B847,2,1)=".",ISNUMBER(FIND("x"&amp;MID(B847,2,1),"x0x1x2x3x4x5x6x7x8x9"))),OR(3&gt;LEN(B847),MID(B847,3,1)=".",ISNUMBER(FIND("x"&amp;MID(B847,3,1),"x0x1x2x3x4x5x6x7x8x9"))),OR(4&gt;LEN(B847),MID(B847,4,1)=".",ISNUMBER(FIND("x"&amp;MID(B847,4,1),"x0x1x2x3x4x5x6x7x8x9"))),OR(5&gt;LEN(B847),MID(B847,5,1)=".",ISNUMBER(FIND("x"&amp;MID(B847,5,1),"x0x1x2x3x4x5x6x7x8x9"))),OR(6&gt;LEN(B847),MID(B847,6,1)=".",ISNUMBER(FIND("x"&amp;MID(B847,6,1),"x0x1x2x3x4x5x6x7x8x9"))),OR(7&gt;LEN(B847),MID(B847,7,1)=".",ISNUMBER(FIND("x"&amp;MID(B847,7,1),"x0x1x2x3x4x5x6x7x8x9"))),OR(8&gt;LEN(B847),MID(B847,8,1)=".",ISNUMBER(FIND("x"&amp;MID(B847,8,1),"x0x1x2x3x4x5x6x7x8x9"))),OR(9&gt;LEN(B847),MID(B847,9,1)=".",ISNUMBER(FIND("x"&amp;MID(B847,9,1),"x0x1x2x3x4x5x6x7x8x9"))),OR(10&gt;LEN(B847),MID(B847,10,1)=".",ISNUMBER(FIND("x"&amp;MID(B847,10,1),"x0x1x2x3x4x5x6x7x8x9"))),OR(AND(FIND(".",B847)=5,LEN(B847)-FIND(".",B847,FIND(".",B847)+1)&gt;=1,LEN(B847)-FIND(".",B847,FIND(".",B847)+1)&lt;=2),AND(LEN(B847)-FIND(".",B847,FIND(".",B847)+1)=4,FIND(".",B847)&gt;=2,FIND(".",B847)&lt;=3)),FIND(".",B847,FIND(".",B847)+1)-FIND(".",B847)&gt;=2,FIND(".",B847,FIND(".",B847)+1)-FIND(".",B847)&lt;=3,F847&gt;=2000,F847&lt;=2100,YEAR(I847)=F847,MONTH(I847)=G847,DAY(I847)=H847),I847,0)),0)</ns0:f>
        <ns0:v>0</ns0:v>
      </ns0:c>
      <ns0:c r="K847" s="0">
        <ns0:f>IFERROR(IF(ISNUMBER(Bookings!D847),"",TRIM(Bookings!D847&amp;"")),"")</ns0:f>
      </ns0:c>
      <ns0:c r="L847" s="0">
        <ns0:f>IFERROR(SUBSTITUTE(SUBSTITUTE(K847,"/","."),"-","."),"")</ns0:f>
      </ns0:c>
      <ns0:c r="M847" s="0">
        <ns0:f>IFERROR(LEFT(L847,FIND(".",L847)-1),"")</ns0:f>
      </ns0:c>
      <ns0:c r="N847" s="0">
        <ns0:f>IFERROR(MID(L847,FIND(".",L847)+1,FIND(".",L847,FIND(".",L847)+1)-FIND(".",L847)-1),"")</ns0:f>
      </ns0:c>
      <ns0:c r="O847" s="0">
        <ns0:f>IFERROR(MID(L847,FIND(".",L847,FIND(".",L847)+1)+1,99),"")</ns0:f>
        <ns0:v>99</ns0:v>
      </ns0:c>
      <ns0:c r="P847" s="0">
        <ns0:f>IFERROR(IF(FIND(".",L847)=5,--M847,--O847),0)</ns0:f>
        <ns0:v>0</ns0:v>
      </ns0:c>
      <ns0:c r="Q847" s="0">
        <ns0:f>IFERROR(--N847,0)</ns0:f>
        <ns0:v>0</ns0:v>
      </ns0:c>
      <ns0:c r="R847" s="0">
        <ns0:f>IFERROR(IF(FIND(".",L847)=5,--O847,--M847),0)</ns0:f>
        <ns0:v>0</ns0:v>
      </ns0:c>
      <ns0:c r="S847" s="0">
        <ns0:f>IFERROR(IF(AND(P847&gt;=2000,P847&lt;=2100,Q847&gt;=1,Q847&lt;=12,R847&gt;=1,R847&lt;=31),DATE(P847,Q847,R847),0),0)</ns0:f>
        <ns0:v>0</ns0:v>
      </ns0:c>
      <ns0:c r="T847" s="0">
        <ns0:f>IFERROR(IF(ISNUMBER(Bookings!D847),IF(AND(Bookings!D847=INT(Bookings!D847),Bookings!D847&gt;=DATE(2000,1,1),Bookings!D847&lt;=DATE(2100,12,31)),Bookings!D847,0),IF(AND(K847&lt;&gt;"",LEN("x"&amp;L847)-LEN(SUBSTITUTE("x"&amp;L847,".",""))=2,OR(1&gt;LEN(L847),MID(L847,1,1)=".",ISNUMBER(FIND("x"&amp;MID(L847,1,1),"x0x1x2x3x4x5x6x7x8x9"))),OR(2&gt;LEN(L847),MID(L847,2,1)=".",ISNUMBER(FIND("x"&amp;MID(L847,2,1),"x0x1x2x3x4x5x6x7x8x9"))),OR(3&gt;LEN(L847),MID(L847,3,1)=".",ISNUMBER(FIND("x"&amp;MID(L847,3,1),"x0x1x2x3x4x5x6x7x8x9"))),OR(4&gt;LEN(L847),MID(L847,4,1)=".",ISNUMBER(FIND("x"&amp;MID(L847,4,1),"x0x1x2x3x4x5x6x7x8x9"))),OR(5&gt;LEN(L847),MID(L847,5,1)=".",ISNUMBER(FIND("x"&amp;MID(L847,5,1),"x0x1x2x3x4x5x6x7x8x9"))),OR(6&gt;LEN(L847),MID(L847,6,1)=".",ISNUMBER(FIND("x"&amp;MID(L847,6,1),"x0x1x2x3x4x5x6x7x8x9"))),OR(7&gt;LEN(L847),MID(L847,7,1)=".",ISNUMBER(FIND("x"&amp;MID(L847,7,1),"x0x1x2x3x4x5x6x7x8x9"))),OR(8&gt;LEN(L847),MID(L847,8,1)=".",ISNUMBER(FIND("x"&amp;MID(L847,8,1),"x0x1x2x3x4x5x6x7x8x9"))),OR(9&gt;LEN(L847),MID(L847,9,1)=".",ISNUMBER(FIND("x"&amp;MID(L847,9,1),"x0x1x2x3x4x5x6x7x8x9"))),OR(10&gt;LEN(L847),MID(L847,10,1)=".",ISNUMBER(FIND("x"&amp;MID(L847,10,1),"x0x1x2x3x4x5x6x7x8x9"))),OR(AND(FIND(".",L847)=5,LEN(L847)-FIND(".",L847,FIND(".",L847)+1)&gt;=1,LEN(L847)-FIND(".",L847,FIND(".",L847)+1)&lt;=2),AND(LEN(L847)-FIND(".",L847,FIND(".",L847)+1)=4,FIND(".",L847)&gt;=2,FIND(".",L847)&lt;=3)),FIND(".",L847,FIND(".",L847)+1)-FIND(".",L847)&gt;=2,FIND(".",L847,FIND(".",L847)+1)-FIND(".",L847)&lt;=3,P847&gt;=2000,P847&lt;=2100,YEAR(S847)=P847,MONTH(S847)=Q847,DAY(S847)=R847),S847,0)),0)</ns0:f>
        <ns0:v>0</ns0:v>
      </ns0:c>
      <ns0:c r="U847" s="0" t="str">
        <ns0:f>IF(Bookings!C847="","Full day",Bookings!C847)</ns0:f>
        <ns0:v>Full day</ns0:v>
      </ns0:c>
      <ns0:c r="V847" s="0" t="str">
        <ns0:f>IF(Bookings!E847="","Full day",Bookings!E847)</ns0:f>
        <ns0:v>Full day</ns0:v>
      </ns0:c>
      <ns0:c r="W847" s="0">
        <ns0:f>IF(J847=0,0,J847+IF(U847="PM",1,0))</ns0:f>
        <ns0:v>0</ns0:v>
      </ns0:c>
      <ns0:c r="X847" s="0">
        <ns0:f>IF(T847=0,0,T847-IF(V847="PM",1,0))</ns0:f>
        <ns0:v>0</ns0:v>
      </ns0:c>
      <ns0:c r="Y847" s="0">
        <ns0:f>IF(J847=0,0,J847+IF(U847="AM",1,0))</ns0:f>
        <ns0:v>0</ns0:v>
      </ns0:c>
      <ns0:c r="Z847" s="0">
        <ns0:f>IF(T847=0,0,T847-IF(V847="AM",1,0))</ns0:f>
        <ns0:v>0</ns0:v>
      </ns0:c>
      <ns0:c r="AA847" s="0">
        <ns0:f>IFERROR(IF(AND(J847&gt;0,'_Engine'!C847&gt;0,MID('_Engine'!W847,WEEKDAY(J847,2),1)="W",COUNTIF(Settings!$F$18:$F$67,J847)=0),1,0),0)</ns0:f>
        <ns0:v>0</ns0:v>
      </ns0:c>
      <ns0:c r="AB847" s="0">
        <ns0:f>IFERROR(IF(AND(T847&gt;0,'_Engine'!C847&gt;0,MID('_Engine'!W847,WEEKDAY(T847,2),1)="W",COUNTIF(Settings!$F$18:$F$67,T847)=0),1,0),0)</ns0:f>
        <ns0:v>0</ns0:v>
      </ns0:c>
      <ns0:c r="AC847" s="0">
        <ns0:f>IF(AND(J847&gt;0,T847&gt;0,W847&lt;=X847),1,0)</ns0:f>
        <ns0:v>0</ns0:v>
      </ns0:c>
      <ns0:c r="AD847" s="0">
        <ns0:f>IF(AND(J847&gt;0,T847&gt;0,Y847&lt;=Z847),1,0)</ns0:f>
        <ns0:v>0</ns0:v>
      </ns0:c>
    </ns0:row>
    <ns0:row r="848">
      <ns0:c r="A848" s="0">
        <ns0:f>IFERROR(IF(ISNUMBER(Bookings!B848),"",TRIM(Bookings!B848&amp;"")),"")</ns0:f>
      </ns0:c>
      <ns0:c r="B848" s="0">
        <ns0:f>IFERROR(SUBSTITUTE(SUBSTITUTE(A848,"/","."),"-","."),"")</ns0:f>
      </ns0:c>
      <ns0:c r="C848" s="0">
        <ns0:f>IFERROR(LEFT(B848,FIND(".",B848)-1),"")</ns0:f>
      </ns0:c>
      <ns0:c r="D848" s="0">
        <ns0:f>IFERROR(MID(B848,FIND(".",B848)+1,FIND(".",B848,FIND(".",B848)+1)-FIND(".",B848)-1),"")</ns0:f>
      </ns0:c>
      <ns0:c r="E848" s="0">
        <ns0:f>IFERROR(MID(B848,FIND(".",B848,FIND(".",B848)+1)+1,99),"")</ns0:f>
        <ns0:v>99</ns0:v>
      </ns0:c>
      <ns0:c r="F848" s="0">
        <ns0:f>IFERROR(IF(FIND(".",B848)=5,--C848,--E848),0)</ns0:f>
        <ns0:v>0</ns0:v>
      </ns0:c>
      <ns0:c r="G848" s="0">
        <ns0:f>IFERROR(--D848,0)</ns0:f>
        <ns0:v>0</ns0:v>
      </ns0:c>
      <ns0:c r="H848" s="0">
        <ns0:f>IFERROR(IF(FIND(".",B848)=5,--E848,--C848),0)</ns0:f>
        <ns0:v>0</ns0:v>
      </ns0:c>
      <ns0:c r="I848" s="0">
        <ns0:f>IFERROR(IF(AND(F848&gt;=2000,F848&lt;=2100,G848&gt;=1,G848&lt;=12,H848&gt;=1,H848&lt;=31),DATE(F848,G848,H848),0),0)</ns0:f>
        <ns0:v>0</ns0:v>
      </ns0:c>
      <ns0:c r="J848" s="0">
        <ns0:f>IFERROR(IF(ISNUMBER(Bookings!B848),IF(AND(Bookings!B848=INT(Bookings!B848),Bookings!B848&gt;=DATE(2000,1,1),Bookings!B848&lt;=DATE(2100,12,31)),Bookings!B848,0),IF(AND(A848&lt;&gt;"",LEN("x"&amp;B848)-LEN(SUBSTITUTE("x"&amp;B848,".",""))=2,OR(1&gt;LEN(B848),MID(B848,1,1)=".",ISNUMBER(FIND("x"&amp;MID(B848,1,1),"x0x1x2x3x4x5x6x7x8x9"))),OR(2&gt;LEN(B848),MID(B848,2,1)=".",ISNUMBER(FIND("x"&amp;MID(B848,2,1),"x0x1x2x3x4x5x6x7x8x9"))),OR(3&gt;LEN(B848),MID(B848,3,1)=".",ISNUMBER(FIND("x"&amp;MID(B848,3,1),"x0x1x2x3x4x5x6x7x8x9"))),OR(4&gt;LEN(B848),MID(B848,4,1)=".",ISNUMBER(FIND("x"&amp;MID(B848,4,1),"x0x1x2x3x4x5x6x7x8x9"))),OR(5&gt;LEN(B848),MID(B848,5,1)=".",ISNUMBER(FIND("x"&amp;MID(B848,5,1),"x0x1x2x3x4x5x6x7x8x9"))),OR(6&gt;LEN(B848),MID(B848,6,1)=".",ISNUMBER(FIND("x"&amp;MID(B848,6,1),"x0x1x2x3x4x5x6x7x8x9"))),OR(7&gt;LEN(B848),MID(B848,7,1)=".",ISNUMBER(FIND("x"&amp;MID(B848,7,1),"x0x1x2x3x4x5x6x7x8x9"))),OR(8&gt;LEN(B848),MID(B848,8,1)=".",ISNUMBER(FIND("x"&amp;MID(B848,8,1),"x0x1x2x3x4x5x6x7x8x9"))),OR(9&gt;LEN(B848),MID(B848,9,1)=".",ISNUMBER(FIND("x"&amp;MID(B848,9,1),"x0x1x2x3x4x5x6x7x8x9"))),OR(10&gt;LEN(B848),MID(B848,10,1)=".",ISNUMBER(FIND("x"&amp;MID(B848,10,1),"x0x1x2x3x4x5x6x7x8x9"))),OR(AND(FIND(".",B848)=5,LEN(B848)-FIND(".",B848,FIND(".",B848)+1)&gt;=1,LEN(B848)-FIND(".",B848,FIND(".",B848)+1)&lt;=2),AND(LEN(B848)-FIND(".",B848,FIND(".",B848)+1)=4,FIND(".",B848)&gt;=2,FIND(".",B848)&lt;=3)),FIND(".",B848,FIND(".",B848)+1)-FIND(".",B848)&gt;=2,FIND(".",B848,FIND(".",B848)+1)-FIND(".",B848)&lt;=3,F848&gt;=2000,F848&lt;=2100,YEAR(I848)=F848,MONTH(I848)=G848,DAY(I848)=H848),I848,0)),0)</ns0:f>
        <ns0:v>0</ns0:v>
      </ns0:c>
      <ns0:c r="K848" s="0">
        <ns0:f>IFERROR(IF(ISNUMBER(Bookings!D848),"",TRIM(Bookings!D848&amp;"")),"")</ns0:f>
      </ns0:c>
      <ns0:c r="L848" s="0">
        <ns0:f>IFERROR(SUBSTITUTE(SUBSTITUTE(K848,"/","."),"-","."),"")</ns0:f>
      </ns0:c>
      <ns0:c r="M848" s="0">
        <ns0:f>IFERROR(LEFT(L848,FIND(".",L848)-1),"")</ns0:f>
      </ns0:c>
      <ns0:c r="N848" s="0">
        <ns0:f>IFERROR(MID(L848,FIND(".",L848)+1,FIND(".",L848,FIND(".",L848)+1)-FIND(".",L848)-1),"")</ns0:f>
      </ns0:c>
      <ns0:c r="O848" s="0">
        <ns0:f>IFERROR(MID(L848,FIND(".",L848,FIND(".",L848)+1)+1,99),"")</ns0:f>
        <ns0:v>99</ns0:v>
      </ns0:c>
      <ns0:c r="P848" s="0">
        <ns0:f>IFERROR(IF(FIND(".",L848)=5,--M848,--O848),0)</ns0:f>
        <ns0:v>0</ns0:v>
      </ns0:c>
      <ns0:c r="Q848" s="0">
        <ns0:f>IFERROR(--N848,0)</ns0:f>
        <ns0:v>0</ns0:v>
      </ns0:c>
      <ns0:c r="R848" s="0">
        <ns0:f>IFERROR(IF(FIND(".",L848)=5,--O848,--M848),0)</ns0:f>
        <ns0:v>0</ns0:v>
      </ns0:c>
      <ns0:c r="S848" s="0">
        <ns0:f>IFERROR(IF(AND(P848&gt;=2000,P848&lt;=2100,Q848&gt;=1,Q848&lt;=12,R848&gt;=1,R848&lt;=31),DATE(P848,Q848,R848),0),0)</ns0:f>
        <ns0:v>0</ns0:v>
      </ns0:c>
      <ns0:c r="T848" s="0">
        <ns0:f>IFERROR(IF(ISNUMBER(Bookings!D848),IF(AND(Bookings!D848=INT(Bookings!D848),Bookings!D848&gt;=DATE(2000,1,1),Bookings!D848&lt;=DATE(2100,12,31)),Bookings!D848,0),IF(AND(K848&lt;&gt;"",LEN("x"&amp;L848)-LEN(SUBSTITUTE("x"&amp;L848,".",""))=2,OR(1&gt;LEN(L848),MID(L848,1,1)=".",ISNUMBER(FIND("x"&amp;MID(L848,1,1),"x0x1x2x3x4x5x6x7x8x9"))),OR(2&gt;LEN(L848),MID(L848,2,1)=".",ISNUMBER(FIND("x"&amp;MID(L848,2,1),"x0x1x2x3x4x5x6x7x8x9"))),OR(3&gt;LEN(L848),MID(L848,3,1)=".",ISNUMBER(FIND("x"&amp;MID(L848,3,1),"x0x1x2x3x4x5x6x7x8x9"))),OR(4&gt;LEN(L848),MID(L848,4,1)=".",ISNUMBER(FIND("x"&amp;MID(L848,4,1),"x0x1x2x3x4x5x6x7x8x9"))),OR(5&gt;LEN(L848),MID(L848,5,1)=".",ISNUMBER(FIND("x"&amp;MID(L848,5,1),"x0x1x2x3x4x5x6x7x8x9"))),OR(6&gt;LEN(L848),MID(L848,6,1)=".",ISNUMBER(FIND("x"&amp;MID(L848,6,1),"x0x1x2x3x4x5x6x7x8x9"))),OR(7&gt;LEN(L848),MID(L848,7,1)=".",ISNUMBER(FIND("x"&amp;MID(L848,7,1),"x0x1x2x3x4x5x6x7x8x9"))),OR(8&gt;LEN(L848),MID(L848,8,1)=".",ISNUMBER(FIND("x"&amp;MID(L848,8,1),"x0x1x2x3x4x5x6x7x8x9"))),OR(9&gt;LEN(L848),MID(L848,9,1)=".",ISNUMBER(FIND("x"&amp;MID(L848,9,1),"x0x1x2x3x4x5x6x7x8x9"))),OR(10&gt;LEN(L848),MID(L848,10,1)=".",ISNUMBER(FIND("x"&amp;MID(L848,10,1),"x0x1x2x3x4x5x6x7x8x9"))),OR(AND(FIND(".",L848)=5,LEN(L848)-FIND(".",L848,FIND(".",L848)+1)&gt;=1,LEN(L848)-FIND(".",L848,FIND(".",L848)+1)&lt;=2),AND(LEN(L848)-FIND(".",L848,FIND(".",L848)+1)=4,FIND(".",L848)&gt;=2,FIND(".",L848)&lt;=3)),FIND(".",L848,FIND(".",L848)+1)-FIND(".",L848)&gt;=2,FIND(".",L848,FIND(".",L848)+1)-FIND(".",L848)&lt;=3,P848&gt;=2000,P848&lt;=2100,YEAR(S848)=P848,MONTH(S848)=Q848,DAY(S848)=R848),S848,0)),0)</ns0:f>
        <ns0:v>0</ns0:v>
      </ns0:c>
      <ns0:c r="U848" s="0" t="str">
        <ns0:f>IF(Bookings!C848="","Full day",Bookings!C848)</ns0:f>
        <ns0:v>Full day</ns0:v>
      </ns0:c>
      <ns0:c r="V848" s="0" t="str">
        <ns0:f>IF(Bookings!E848="","Full day",Bookings!E848)</ns0:f>
        <ns0:v>Full day</ns0:v>
      </ns0:c>
      <ns0:c r="W848" s="0">
        <ns0:f>IF(J848=0,0,J848+IF(U848="PM",1,0))</ns0:f>
        <ns0:v>0</ns0:v>
      </ns0:c>
      <ns0:c r="X848" s="0">
        <ns0:f>IF(T848=0,0,T848-IF(V848="PM",1,0))</ns0:f>
        <ns0:v>0</ns0:v>
      </ns0:c>
      <ns0:c r="Y848" s="0">
        <ns0:f>IF(J848=0,0,J848+IF(U848="AM",1,0))</ns0:f>
        <ns0:v>0</ns0:v>
      </ns0:c>
      <ns0:c r="Z848" s="0">
        <ns0:f>IF(T848=0,0,T848-IF(V848="AM",1,0))</ns0:f>
        <ns0:v>0</ns0:v>
      </ns0:c>
      <ns0:c r="AA848" s="0">
        <ns0:f>IFERROR(IF(AND(J848&gt;0,'_Engine'!C848&gt;0,MID('_Engine'!W848,WEEKDAY(J848,2),1)="W",COUNTIF(Settings!$F$18:$F$67,J848)=0),1,0),0)</ns0:f>
        <ns0:v>0</ns0:v>
      </ns0:c>
      <ns0:c r="AB848" s="0">
        <ns0:f>IFERROR(IF(AND(T848&gt;0,'_Engine'!C848&gt;0,MID('_Engine'!W848,WEEKDAY(T848,2),1)="W",COUNTIF(Settings!$F$18:$F$67,T848)=0),1,0),0)</ns0:f>
        <ns0:v>0</ns0:v>
      </ns0:c>
      <ns0:c r="AC848" s="0">
        <ns0:f>IF(AND(J848&gt;0,T848&gt;0,W848&lt;=X848),1,0)</ns0:f>
        <ns0:v>0</ns0:v>
      </ns0:c>
      <ns0:c r="AD848" s="0">
        <ns0:f>IF(AND(J848&gt;0,T848&gt;0,Y848&lt;=Z848),1,0)</ns0:f>
        <ns0:v>0</ns0:v>
      </ns0:c>
    </ns0:row>
    <ns0:row r="849">
      <ns0:c r="A849" s="0">
        <ns0:f>IFERROR(IF(ISNUMBER(Bookings!B849),"",TRIM(Bookings!B849&amp;"")),"")</ns0:f>
      </ns0:c>
      <ns0:c r="B849" s="0">
        <ns0:f>IFERROR(SUBSTITUTE(SUBSTITUTE(A849,"/","."),"-","."),"")</ns0:f>
      </ns0:c>
      <ns0:c r="C849" s="0">
        <ns0:f>IFERROR(LEFT(B849,FIND(".",B849)-1),"")</ns0:f>
      </ns0:c>
      <ns0:c r="D849" s="0">
        <ns0:f>IFERROR(MID(B849,FIND(".",B849)+1,FIND(".",B849,FIND(".",B849)+1)-FIND(".",B849)-1),"")</ns0:f>
      </ns0:c>
      <ns0:c r="E849" s="0">
        <ns0:f>IFERROR(MID(B849,FIND(".",B849,FIND(".",B849)+1)+1,99),"")</ns0:f>
        <ns0:v>99</ns0:v>
      </ns0:c>
      <ns0:c r="F849" s="0">
        <ns0:f>IFERROR(IF(FIND(".",B849)=5,--C849,--E849),0)</ns0:f>
        <ns0:v>0</ns0:v>
      </ns0:c>
      <ns0:c r="G849" s="0">
        <ns0:f>IFERROR(--D849,0)</ns0:f>
        <ns0:v>0</ns0:v>
      </ns0:c>
      <ns0:c r="H849" s="0">
        <ns0:f>IFERROR(IF(FIND(".",B849)=5,--E849,--C849),0)</ns0:f>
        <ns0:v>0</ns0:v>
      </ns0:c>
      <ns0:c r="I849" s="0">
        <ns0:f>IFERROR(IF(AND(F849&gt;=2000,F849&lt;=2100,G849&gt;=1,G849&lt;=12,H849&gt;=1,H849&lt;=31),DATE(F849,G849,H849),0),0)</ns0:f>
        <ns0:v>0</ns0:v>
      </ns0:c>
      <ns0:c r="J849" s="0">
        <ns0:f>IFERROR(IF(ISNUMBER(Bookings!B849),IF(AND(Bookings!B849=INT(Bookings!B849),Bookings!B849&gt;=DATE(2000,1,1),Bookings!B849&lt;=DATE(2100,12,31)),Bookings!B849,0),IF(AND(A849&lt;&gt;"",LEN("x"&amp;B849)-LEN(SUBSTITUTE("x"&amp;B849,".",""))=2,OR(1&gt;LEN(B849),MID(B849,1,1)=".",ISNUMBER(FIND("x"&amp;MID(B849,1,1),"x0x1x2x3x4x5x6x7x8x9"))),OR(2&gt;LEN(B849),MID(B849,2,1)=".",ISNUMBER(FIND("x"&amp;MID(B849,2,1),"x0x1x2x3x4x5x6x7x8x9"))),OR(3&gt;LEN(B849),MID(B849,3,1)=".",ISNUMBER(FIND("x"&amp;MID(B849,3,1),"x0x1x2x3x4x5x6x7x8x9"))),OR(4&gt;LEN(B849),MID(B849,4,1)=".",ISNUMBER(FIND("x"&amp;MID(B849,4,1),"x0x1x2x3x4x5x6x7x8x9"))),OR(5&gt;LEN(B849),MID(B849,5,1)=".",ISNUMBER(FIND("x"&amp;MID(B849,5,1),"x0x1x2x3x4x5x6x7x8x9"))),OR(6&gt;LEN(B849),MID(B849,6,1)=".",ISNUMBER(FIND("x"&amp;MID(B849,6,1),"x0x1x2x3x4x5x6x7x8x9"))),OR(7&gt;LEN(B849),MID(B849,7,1)=".",ISNUMBER(FIND("x"&amp;MID(B849,7,1),"x0x1x2x3x4x5x6x7x8x9"))),OR(8&gt;LEN(B849),MID(B849,8,1)=".",ISNUMBER(FIND("x"&amp;MID(B849,8,1),"x0x1x2x3x4x5x6x7x8x9"))),OR(9&gt;LEN(B849),MID(B849,9,1)=".",ISNUMBER(FIND("x"&amp;MID(B849,9,1),"x0x1x2x3x4x5x6x7x8x9"))),OR(10&gt;LEN(B849),MID(B849,10,1)=".",ISNUMBER(FIND("x"&amp;MID(B849,10,1),"x0x1x2x3x4x5x6x7x8x9"))),OR(AND(FIND(".",B849)=5,LEN(B849)-FIND(".",B849,FIND(".",B849)+1)&gt;=1,LEN(B849)-FIND(".",B849,FIND(".",B849)+1)&lt;=2),AND(LEN(B849)-FIND(".",B849,FIND(".",B849)+1)=4,FIND(".",B849)&gt;=2,FIND(".",B849)&lt;=3)),FIND(".",B849,FIND(".",B849)+1)-FIND(".",B849)&gt;=2,FIND(".",B849,FIND(".",B849)+1)-FIND(".",B849)&lt;=3,F849&gt;=2000,F849&lt;=2100,YEAR(I849)=F849,MONTH(I849)=G849,DAY(I849)=H849),I849,0)),0)</ns0:f>
        <ns0:v>0</ns0:v>
      </ns0:c>
      <ns0:c r="K849" s="0">
        <ns0:f>IFERROR(IF(ISNUMBER(Bookings!D849),"",TRIM(Bookings!D849&amp;"")),"")</ns0:f>
      </ns0:c>
      <ns0:c r="L849" s="0">
        <ns0:f>IFERROR(SUBSTITUTE(SUBSTITUTE(K849,"/","."),"-","."),"")</ns0:f>
      </ns0:c>
      <ns0:c r="M849" s="0">
        <ns0:f>IFERROR(LEFT(L849,FIND(".",L849)-1),"")</ns0:f>
      </ns0:c>
      <ns0:c r="N849" s="0">
        <ns0:f>IFERROR(MID(L849,FIND(".",L849)+1,FIND(".",L849,FIND(".",L849)+1)-FIND(".",L849)-1),"")</ns0:f>
      </ns0:c>
      <ns0:c r="O849" s="0">
        <ns0:f>IFERROR(MID(L849,FIND(".",L849,FIND(".",L849)+1)+1,99),"")</ns0:f>
        <ns0:v>99</ns0:v>
      </ns0:c>
      <ns0:c r="P849" s="0">
        <ns0:f>IFERROR(IF(FIND(".",L849)=5,--M849,--O849),0)</ns0:f>
        <ns0:v>0</ns0:v>
      </ns0:c>
      <ns0:c r="Q849" s="0">
        <ns0:f>IFERROR(--N849,0)</ns0:f>
        <ns0:v>0</ns0:v>
      </ns0:c>
      <ns0:c r="R849" s="0">
        <ns0:f>IFERROR(IF(FIND(".",L849)=5,--O849,--M849),0)</ns0:f>
        <ns0:v>0</ns0:v>
      </ns0:c>
      <ns0:c r="S849" s="0">
        <ns0:f>IFERROR(IF(AND(P849&gt;=2000,P849&lt;=2100,Q849&gt;=1,Q849&lt;=12,R849&gt;=1,R849&lt;=31),DATE(P849,Q849,R849),0),0)</ns0:f>
        <ns0:v>0</ns0:v>
      </ns0:c>
      <ns0:c r="T849" s="0">
        <ns0:f>IFERROR(IF(ISNUMBER(Bookings!D849),IF(AND(Bookings!D849=INT(Bookings!D849),Bookings!D849&gt;=DATE(2000,1,1),Bookings!D849&lt;=DATE(2100,12,31)),Bookings!D849,0),IF(AND(K849&lt;&gt;"",LEN("x"&amp;L849)-LEN(SUBSTITUTE("x"&amp;L849,".",""))=2,OR(1&gt;LEN(L849),MID(L849,1,1)=".",ISNUMBER(FIND("x"&amp;MID(L849,1,1),"x0x1x2x3x4x5x6x7x8x9"))),OR(2&gt;LEN(L849),MID(L849,2,1)=".",ISNUMBER(FIND("x"&amp;MID(L849,2,1),"x0x1x2x3x4x5x6x7x8x9"))),OR(3&gt;LEN(L849),MID(L849,3,1)=".",ISNUMBER(FIND("x"&amp;MID(L849,3,1),"x0x1x2x3x4x5x6x7x8x9"))),OR(4&gt;LEN(L849),MID(L849,4,1)=".",ISNUMBER(FIND("x"&amp;MID(L849,4,1),"x0x1x2x3x4x5x6x7x8x9"))),OR(5&gt;LEN(L849),MID(L849,5,1)=".",ISNUMBER(FIND("x"&amp;MID(L849,5,1),"x0x1x2x3x4x5x6x7x8x9"))),OR(6&gt;LEN(L849),MID(L849,6,1)=".",ISNUMBER(FIND("x"&amp;MID(L849,6,1),"x0x1x2x3x4x5x6x7x8x9"))),OR(7&gt;LEN(L849),MID(L849,7,1)=".",ISNUMBER(FIND("x"&amp;MID(L849,7,1),"x0x1x2x3x4x5x6x7x8x9"))),OR(8&gt;LEN(L849),MID(L849,8,1)=".",ISNUMBER(FIND("x"&amp;MID(L849,8,1),"x0x1x2x3x4x5x6x7x8x9"))),OR(9&gt;LEN(L849),MID(L849,9,1)=".",ISNUMBER(FIND("x"&amp;MID(L849,9,1),"x0x1x2x3x4x5x6x7x8x9"))),OR(10&gt;LEN(L849),MID(L849,10,1)=".",ISNUMBER(FIND("x"&amp;MID(L849,10,1),"x0x1x2x3x4x5x6x7x8x9"))),OR(AND(FIND(".",L849)=5,LEN(L849)-FIND(".",L849,FIND(".",L849)+1)&gt;=1,LEN(L849)-FIND(".",L849,FIND(".",L849)+1)&lt;=2),AND(LEN(L849)-FIND(".",L849,FIND(".",L849)+1)=4,FIND(".",L849)&gt;=2,FIND(".",L849)&lt;=3)),FIND(".",L849,FIND(".",L849)+1)-FIND(".",L849)&gt;=2,FIND(".",L849,FIND(".",L849)+1)-FIND(".",L849)&lt;=3,P849&gt;=2000,P849&lt;=2100,YEAR(S849)=P849,MONTH(S849)=Q849,DAY(S849)=R849),S849,0)),0)</ns0:f>
        <ns0:v>0</ns0:v>
      </ns0:c>
      <ns0:c r="U849" s="0" t="str">
        <ns0:f>IF(Bookings!C849="","Full day",Bookings!C849)</ns0:f>
        <ns0:v>Full day</ns0:v>
      </ns0:c>
      <ns0:c r="V849" s="0" t="str">
        <ns0:f>IF(Bookings!E849="","Full day",Bookings!E849)</ns0:f>
        <ns0:v>Full day</ns0:v>
      </ns0:c>
      <ns0:c r="W849" s="0">
        <ns0:f>IF(J849=0,0,J849+IF(U849="PM",1,0))</ns0:f>
        <ns0:v>0</ns0:v>
      </ns0:c>
      <ns0:c r="X849" s="0">
        <ns0:f>IF(T849=0,0,T849-IF(V849="PM",1,0))</ns0:f>
        <ns0:v>0</ns0:v>
      </ns0:c>
      <ns0:c r="Y849" s="0">
        <ns0:f>IF(J849=0,0,J849+IF(U849="AM",1,0))</ns0:f>
        <ns0:v>0</ns0:v>
      </ns0:c>
      <ns0:c r="Z849" s="0">
        <ns0:f>IF(T849=0,0,T849-IF(V849="AM",1,0))</ns0:f>
        <ns0:v>0</ns0:v>
      </ns0:c>
      <ns0:c r="AA849" s="0">
        <ns0:f>IFERROR(IF(AND(J849&gt;0,'_Engine'!C849&gt;0,MID('_Engine'!W849,WEEKDAY(J849,2),1)="W",COUNTIF(Settings!$F$18:$F$67,J849)=0),1,0),0)</ns0:f>
        <ns0:v>0</ns0:v>
      </ns0:c>
      <ns0:c r="AB849" s="0">
        <ns0:f>IFERROR(IF(AND(T849&gt;0,'_Engine'!C849&gt;0,MID('_Engine'!W849,WEEKDAY(T849,2),1)="W",COUNTIF(Settings!$F$18:$F$67,T849)=0),1,0),0)</ns0:f>
        <ns0:v>0</ns0:v>
      </ns0:c>
      <ns0:c r="AC849" s="0">
        <ns0:f>IF(AND(J849&gt;0,T849&gt;0,W849&lt;=X849),1,0)</ns0:f>
        <ns0:v>0</ns0:v>
      </ns0:c>
      <ns0:c r="AD849" s="0">
        <ns0:f>IF(AND(J849&gt;0,T849&gt;0,Y849&lt;=Z849),1,0)</ns0:f>
        <ns0:v>0</ns0:v>
      </ns0:c>
    </ns0:row>
    <ns0:row r="850">
      <ns0:c r="A850" s="0">
        <ns0:f>IFERROR(IF(ISNUMBER(Bookings!B850),"",TRIM(Bookings!B850&amp;"")),"")</ns0:f>
      </ns0:c>
      <ns0:c r="B850" s="0">
        <ns0:f>IFERROR(SUBSTITUTE(SUBSTITUTE(A850,"/","."),"-","."),"")</ns0:f>
      </ns0:c>
      <ns0:c r="C850" s="0">
        <ns0:f>IFERROR(LEFT(B850,FIND(".",B850)-1),"")</ns0:f>
      </ns0:c>
      <ns0:c r="D850" s="0">
        <ns0:f>IFERROR(MID(B850,FIND(".",B850)+1,FIND(".",B850,FIND(".",B850)+1)-FIND(".",B850)-1),"")</ns0:f>
      </ns0:c>
      <ns0:c r="E850" s="0">
        <ns0:f>IFERROR(MID(B850,FIND(".",B850,FIND(".",B850)+1)+1,99),"")</ns0:f>
        <ns0:v>99</ns0:v>
      </ns0:c>
      <ns0:c r="F850" s="0">
        <ns0:f>IFERROR(IF(FIND(".",B850)=5,--C850,--E850),0)</ns0:f>
        <ns0:v>0</ns0:v>
      </ns0:c>
      <ns0:c r="G850" s="0">
        <ns0:f>IFERROR(--D850,0)</ns0:f>
        <ns0:v>0</ns0:v>
      </ns0:c>
      <ns0:c r="H850" s="0">
        <ns0:f>IFERROR(IF(FIND(".",B850)=5,--E850,--C850),0)</ns0:f>
        <ns0:v>0</ns0:v>
      </ns0:c>
      <ns0:c r="I850" s="0">
        <ns0:f>IFERROR(IF(AND(F850&gt;=2000,F850&lt;=2100,G850&gt;=1,G850&lt;=12,H850&gt;=1,H850&lt;=31),DATE(F850,G850,H850),0),0)</ns0:f>
        <ns0:v>0</ns0:v>
      </ns0:c>
      <ns0:c r="J850" s="0">
        <ns0:f>IFERROR(IF(ISNUMBER(Bookings!B850),IF(AND(Bookings!B850=INT(Bookings!B850),Bookings!B850&gt;=DATE(2000,1,1),Bookings!B850&lt;=DATE(2100,12,31)),Bookings!B850,0),IF(AND(A850&lt;&gt;"",LEN("x"&amp;B850)-LEN(SUBSTITUTE("x"&amp;B850,".",""))=2,OR(1&gt;LEN(B850),MID(B850,1,1)=".",ISNUMBER(FIND("x"&amp;MID(B850,1,1),"x0x1x2x3x4x5x6x7x8x9"))),OR(2&gt;LEN(B850),MID(B850,2,1)=".",ISNUMBER(FIND("x"&amp;MID(B850,2,1),"x0x1x2x3x4x5x6x7x8x9"))),OR(3&gt;LEN(B850),MID(B850,3,1)=".",ISNUMBER(FIND("x"&amp;MID(B850,3,1),"x0x1x2x3x4x5x6x7x8x9"))),OR(4&gt;LEN(B850),MID(B850,4,1)=".",ISNUMBER(FIND("x"&amp;MID(B850,4,1),"x0x1x2x3x4x5x6x7x8x9"))),OR(5&gt;LEN(B850),MID(B850,5,1)=".",ISNUMBER(FIND("x"&amp;MID(B850,5,1),"x0x1x2x3x4x5x6x7x8x9"))),OR(6&gt;LEN(B850),MID(B850,6,1)=".",ISNUMBER(FIND("x"&amp;MID(B850,6,1),"x0x1x2x3x4x5x6x7x8x9"))),OR(7&gt;LEN(B850),MID(B850,7,1)=".",ISNUMBER(FIND("x"&amp;MID(B850,7,1),"x0x1x2x3x4x5x6x7x8x9"))),OR(8&gt;LEN(B850),MID(B850,8,1)=".",ISNUMBER(FIND("x"&amp;MID(B850,8,1),"x0x1x2x3x4x5x6x7x8x9"))),OR(9&gt;LEN(B850),MID(B850,9,1)=".",ISNUMBER(FIND("x"&amp;MID(B850,9,1),"x0x1x2x3x4x5x6x7x8x9"))),OR(10&gt;LEN(B850),MID(B850,10,1)=".",ISNUMBER(FIND("x"&amp;MID(B850,10,1),"x0x1x2x3x4x5x6x7x8x9"))),OR(AND(FIND(".",B850)=5,LEN(B850)-FIND(".",B850,FIND(".",B850)+1)&gt;=1,LEN(B850)-FIND(".",B850,FIND(".",B850)+1)&lt;=2),AND(LEN(B850)-FIND(".",B850,FIND(".",B850)+1)=4,FIND(".",B850)&gt;=2,FIND(".",B850)&lt;=3)),FIND(".",B850,FIND(".",B850)+1)-FIND(".",B850)&gt;=2,FIND(".",B850,FIND(".",B850)+1)-FIND(".",B850)&lt;=3,F850&gt;=2000,F850&lt;=2100,YEAR(I850)=F850,MONTH(I850)=G850,DAY(I850)=H850),I850,0)),0)</ns0:f>
        <ns0:v>0</ns0:v>
      </ns0:c>
      <ns0:c r="K850" s="0">
        <ns0:f>IFERROR(IF(ISNUMBER(Bookings!D850),"",TRIM(Bookings!D850&amp;"")),"")</ns0:f>
      </ns0:c>
      <ns0:c r="L850" s="0">
        <ns0:f>IFERROR(SUBSTITUTE(SUBSTITUTE(K850,"/","."),"-","."),"")</ns0:f>
      </ns0:c>
      <ns0:c r="M850" s="0">
        <ns0:f>IFERROR(LEFT(L850,FIND(".",L850)-1),"")</ns0:f>
      </ns0:c>
      <ns0:c r="N850" s="0">
        <ns0:f>IFERROR(MID(L850,FIND(".",L850)+1,FIND(".",L850,FIND(".",L850)+1)-FIND(".",L850)-1),"")</ns0:f>
      </ns0:c>
      <ns0:c r="O850" s="0">
        <ns0:f>IFERROR(MID(L850,FIND(".",L850,FIND(".",L850)+1)+1,99),"")</ns0:f>
        <ns0:v>99</ns0:v>
      </ns0:c>
      <ns0:c r="P850" s="0">
        <ns0:f>IFERROR(IF(FIND(".",L850)=5,--M850,--O850),0)</ns0:f>
        <ns0:v>0</ns0:v>
      </ns0:c>
      <ns0:c r="Q850" s="0">
        <ns0:f>IFERROR(--N850,0)</ns0:f>
        <ns0:v>0</ns0:v>
      </ns0:c>
      <ns0:c r="R850" s="0">
        <ns0:f>IFERROR(IF(FIND(".",L850)=5,--O850,--M850),0)</ns0:f>
        <ns0:v>0</ns0:v>
      </ns0:c>
      <ns0:c r="S850" s="0">
        <ns0:f>IFERROR(IF(AND(P850&gt;=2000,P850&lt;=2100,Q850&gt;=1,Q850&lt;=12,R850&gt;=1,R850&lt;=31),DATE(P850,Q850,R850),0),0)</ns0:f>
        <ns0:v>0</ns0:v>
      </ns0:c>
      <ns0:c r="T850" s="0">
        <ns0:f>IFERROR(IF(ISNUMBER(Bookings!D850),IF(AND(Bookings!D850=INT(Bookings!D850),Bookings!D850&gt;=DATE(2000,1,1),Bookings!D850&lt;=DATE(2100,12,31)),Bookings!D850,0),IF(AND(K850&lt;&gt;"",LEN("x"&amp;L850)-LEN(SUBSTITUTE("x"&amp;L850,".",""))=2,OR(1&gt;LEN(L850),MID(L850,1,1)=".",ISNUMBER(FIND("x"&amp;MID(L850,1,1),"x0x1x2x3x4x5x6x7x8x9"))),OR(2&gt;LEN(L850),MID(L850,2,1)=".",ISNUMBER(FIND("x"&amp;MID(L850,2,1),"x0x1x2x3x4x5x6x7x8x9"))),OR(3&gt;LEN(L850),MID(L850,3,1)=".",ISNUMBER(FIND("x"&amp;MID(L850,3,1),"x0x1x2x3x4x5x6x7x8x9"))),OR(4&gt;LEN(L850),MID(L850,4,1)=".",ISNUMBER(FIND("x"&amp;MID(L850,4,1),"x0x1x2x3x4x5x6x7x8x9"))),OR(5&gt;LEN(L850),MID(L850,5,1)=".",ISNUMBER(FIND("x"&amp;MID(L850,5,1),"x0x1x2x3x4x5x6x7x8x9"))),OR(6&gt;LEN(L850),MID(L850,6,1)=".",ISNUMBER(FIND("x"&amp;MID(L850,6,1),"x0x1x2x3x4x5x6x7x8x9"))),OR(7&gt;LEN(L850),MID(L850,7,1)=".",ISNUMBER(FIND("x"&amp;MID(L850,7,1),"x0x1x2x3x4x5x6x7x8x9"))),OR(8&gt;LEN(L850),MID(L850,8,1)=".",ISNUMBER(FIND("x"&amp;MID(L850,8,1),"x0x1x2x3x4x5x6x7x8x9"))),OR(9&gt;LEN(L850),MID(L850,9,1)=".",ISNUMBER(FIND("x"&amp;MID(L850,9,1),"x0x1x2x3x4x5x6x7x8x9"))),OR(10&gt;LEN(L850),MID(L850,10,1)=".",ISNUMBER(FIND("x"&amp;MID(L850,10,1),"x0x1x2x3x4x5x6x7x8x9"))),OR(AND(FIND(".",L850)=5,LEN(L850)-FIND(".",L850,FIND(".",L850)+1)&gt;=1,LEN(L850)-FIND(".",L850,FIND(".",L850)+1)&lt;=2),AND(LEN(L850)-FIND(".",L850,FIND(".",L850)+1)=4,FIND(".",L850)&gt;=2,FIND(".",L850)&lt;=3)),FIND(".",L850,FIND(".",L850)+1)-FIND(".",L850)&gt;=2,FIND(".",L850,FIND(".",L850)+1)-FIND(".",L850)&lt;=3,P850&gt;=2000,P850&lt;=2100,YEAR(S850)=P850,MONTH(S850)=Q850,DAY(S850)=R850),S850,0)),0)</ns0:f>
        <ns0:v>0</ns0:v>
      </ns0:c>
      <ns0:c r="U850" s="0" t="str">
        <ns0:f>IF(Bookings!C850="","Full day",Bookings!C850)</ns0:f>
        <ns0:v>Full day</ns0:v>
      </ns0:c>
      <ns0:c r="V850" s="0" t="str">
        <ns0:f>IF(Bookings!E850="","Full day",Bookings!E850)</ns0:f>
        <ns0:v>Full day</ns0:v>
      </ns0:c>
      <ns0:c r="W850" s="0">
        <ns0:f>IF(J850=0,0,J850+IF(U850="PM",1,0))</ns0:f>
        <ns0:v>0</ns0:v>
      </ns0:c>
      <ns0:c r="X850" s="0">
        <ns0:f>IF(T850=0,0,T850-IF(V850="PM",1,0))</ns0:f>
        <ns0:v>0</ns0:v>
      </ns0:c>
      <ns0:c r="Y850" s="0">
        <ns0:f>IF(J850=0,0,J850+IF(U850="AM",1,0))</ns0:f>
        <ns0:v>0</ns0:v>
      </ns0:c>
      <ns0:c r="Z850" s="0">
        <ns0:f>IF(T850=0,0,T850-IF(V850="AM",1,0))</ns0:f>
        <ns0:v>0</ns0:v>
      </ns0:c>
      <ns0:c r="AA850" s="0">
        <ns0:f>IFERROR(IF(AND(J850&gt;0,'_Engine'!C850&gt;0,MID('_Engine'!W850,WEEKDAY(J850,2),1)="W",COUNTIF(Settings!$F$18:$F$67,J850)=0),1,0),0)</ns0:f>
        <ns0:v>0</ns0:v>
      </ns0:c>
      <ns0:c r="AB850" s="0">
        <ns0:f>IFERROR(IF(AND(T850&gt;0,'_Engine'!C850&gt;0,MID('_Engine'!W850,WEEKDAY(T850,2),1)="W",COUNTIF(Settings!$F$18:$F$67,T850)=0),1,0),0)</ns0:f>
        <ns0:v>0</ns0:v>
      </ns0:c>
      <ns0:c r="AC850" s="0">
        <ns0:f>IF(AND(J850&gt;0,T850&gt;0,W850&lt;=X850),1,0)</ns0:f>
        <ns0:v>0</ns0:v>
      </ns0:c>
      <ns0:c r="AD850" s="0">
        <ns0:f>IF(AND(J850&gt;0,T850&gt;0,Y850&lt;=Z850),1,0)</ns0:f>
        <ns0:v>0</ns0:v>
      </ns0:c>
    </ns0:row>
    <ns0:row r="851">
      <ns0:c r="A851" s="0">
        <ns0:f>IFERROR(IF(ISNUMBER(Bookings!B851),"",TRIM(Bookings!B851&amp;"")),"")</ns0:f>
      </ns0:c>
      <ns0:c r="B851" s="0">
        <ns0:f>IFERROR(SUBSTITUTE(SUBSTITUTE(A851,"/","."),"-","."),"")</ns0:f>
      </ns0:c>
      <ns0:c r="C851" s="0">
        <ns0:f>IFERROR(LEFT(B851,FIND(".",B851)-1),"")</ns0:f>
      </ns0:c>
      <ns0:c r="D851" s="0">
        <ns0:f>IFERROR(MID(B851,FIND(".",B851)+1,FIND(".",B851,FIND(".",B851)+1)-FIND(".",B851)-1),"")</ns0:f>
      </ns0:c>
      <ns0:c r="E851" s="0">
        <ns0:f>IFERROR(MID(B851,FIND(".",B851,FIND(".",B851)+1)+1,99),"")</ns0:f>
        <ns0:v>99</ns0:v>
      </ns0:c>
      <ns0:c r="F851" s="0">
        <ns0:f>IFERROR(IF(FIND(".",B851)=5,--C851,--E851),0)</ns0:f>
        <ns0:v>0</ns0:v>
      </ns0:c>
      <ns0:c r="G851" s="0">
        <ns0:f>IFERROR(--D851,0)</ns0:f>
        <ns0:v>0</ns0:v>
      </ns0:c>
      <ns0:c r="H851" s="0">
        <ns0:f>IFERROR(IF(FIND(".",B851)=5,--E851,--C851),0)</ns0:f>
        <ns0:v>0</ns0:v>
      </ns0:c>
      <ns0:c r="I851" s="0">
        <ns0:f>IFERROR(IF(AND(F851&gt;=2000,F851&lt;=2100,G851&gt;=1,G851&lt;=12,H851&gt;=1,H851&lt;=31),DATE(F851,G851,H851),0),0)</ns0:f>
        <ns0:v>0</ns0:v>
      </ns0:c>
      <ns0:c r="J851" s="0">
        <ns0:f>IFERROR(IF(ISNUMBER(Bookings!B851),IF(AND(Bookings!B851=INT(Bookings!B851),Bookings!B851&gt;=DATE(2000,1,1),Bookings!B851&lt;=DATE(2100,12,31)),Bookings!B851,0),IF(AND(A851&lt;&gt;"",LEN("x"&amp;B851)-LEN(SUBSTITUTE("x"&amp;B851,".",""))=2,OR(1&gt;LEN(B851),MID(B851,1,1)=".",ISNUMBER(FIND("x"&amp;MID(B851,1,1),"x0x1x2x3x4x5x6x7x8x9"))),OR(2&gt;LEN(B851),MID(B851,2,1)=".",ISNUMBER(FIND("x"&amp;MID(B851,2,1),"x0x1x2x3x4x5x6x7x8x9"))),OR(3&gt;LEN(B851),MID(B851,3,1)=".",ISNUMBER(FIND("x"&amp;MID(B851,3,1),"x0x1x2x3x4x5x6x7x8x9"))),OR(4&gt;LEN(B851),MID(B851,4,1)=".",ISNUMBER(FIND("x"&amp;MID(B851,4,1),"x0x1x2x3x4x5x6x7x8x9"))),OR(5&gt;LEN(B851),MID(B851,5,1)=".",ISNUMBER(FIND("x"&amp;MID(B851,5,1),"x0x1x2x3x4x5x6x7x8x9"))),OR(6&gt;LEN(B851),MID(B851,6,1)=".",ISNUMBER(FIND("x"&amp;MID(B851,6,1),"x0x1x2x3x4x5x6x7x8x9"))),OR(7&gt;LEN(B851),MID(B851,7,1)=".",ISNUMBER(FIND("x"&amp;MID(B851,7,1),"x0x1x2x3x4x5x6x7x8x9"))),OR(8&gt;LEN(B851),MID(B851,8,1)=".",ISNUMBER(FIND("x"&amp;MID(B851,8,1),"x0x1x2x3x4x5x6x7x8x9"))),OR(9&gt;LEN(B851),MID(B851,9,1)=".",ISNUMBER(FIND("x"&amp;MID(B851,9,1),"x0x1x2x3x4x5x6x7x8x9"))),OR(10&gt;LEN(B851),MID(B851,10,1)=".",ISNUMBER(FIND("x"&amp;MID(B851,10,1),"x0x1x2x3x4x5x6x7x8x9"))),OR(AND(FIND(".",B851)=5,LEN(B851)-FIND(".",B851,FIND(".",B851)+1)&gt;=1,LEN(B851)-FIND(".",B851,FIND(".",B851)+1)&lt;=2),AND(LEN(B851)-FIND(".",B851,FIND(".",B851)+1)=4,FIND(".",B851)&gt;=2,FIND(".",B851)&lt;=3)),FIND(".",B851,FIND(".",B851)+1)-FIND(".",B851)&gt;=2,FIND(".",B851,FIND(".",B851)+1)-FIND(".",B851)&lt;=3,F851&gt;=2000,F851&lt;=2100,YEAR(I851)=F851,MONTH(I851)=G851,DAY(I851)=H851),I851,0)),0)</ns0:f>
        <ns0:v>0</ns0:v>
      </ns0:c>
      <ns0:c r="K851" s="0">
        <ns0:f>IFERROR(IF(ISNUMBER(Bookings!D851),"",TRIM(Bookings!D851&amp;"")),"")</ns0:f>
      </ns0:c>
      <ns0:c r="L851" s="0">
        <ns0:f>IFERROR(SUBSTITUTE(SUBSTITUTE(K851,"/","."),"-","."),"")</ns0:f>
      </ns0:c>
      <ns0:c r="M851" s="0">
        <ns0:f>IFERROR(LEFT(L851,FIND(".",L851)-1),"")</ns0:f>
      </ns0:c>
      <ns0:c r="N851" s="0">
        <ns0:f>IFERROR(MID(L851,FIND(".",L851)+1,FIND(".",L851,FIND(".",L851)+1)-FIND(".",L851)-1),"")</ns0:f>
      </ns0:c>
      <ns0:c r="O851" s="0">
        <ns0:f>IFERROR(MID(L851,FIND(".",L851,FIND(".",L851)+1)+1,99),"")</ns0:f>
        <ns0:v>99</ns0:v>
      </ns0:c>
      <ns0:c r="P851" s="0">
        <ns0:f>IFERROR(IF(FIND(".",L851)=5,--M851,--O851),0)</ns0:f>
        <ns0:v>0</ns0:v>
      </ns0:c>
      <ns0:c r="Q851" s="0">
        <ns0:f>IFERROR(--N851,0)</ns0:f>
        <ns0:v>0</ns0:v>
      </ns0:c>
      <ns0:c r="R851" s="0">
        <ns0:f>IFERROR(IF(FIND(".",L851)=5,--O851,--M851),0)</ns0:f>
        <ns0:v>0</ns0:v>
      </ns0:c>
      <ns0:c r="S851" s="0">
        <ns0:f>IFERROR(IF(AND(P851&gt;=2000,P851&lt;=2100,Q851&gt;=1,Q851&lt;=12,R851&gt;=1,R851&lt;=31),DATE(P851,Q851,R851),0),0)</ns0:f>
        <ns0:v>0</ns0:v>
      </ns0:c>
      <ns0:c r="T851" s="0">
        <ns0:f>IFERROR(IF(ISNUMBER(Bookings!D851),IF(AND(Bookings!D851=INT(Bookings!D851),Bookings!D851&gt;=DATE(2000,1,1),Bookings!D851&lt;=DATE(2100,12,31)),Bookings!D851,0),IF(AND(K851&lt;&gt;"",LEN("x"&amp;L851)-LEN(SUBSTITUTE("x"&amp;L851,".",""))=2,OR(1&gt;LEN(L851),MID(L851,1,1)=".",ISNUMBER(FIND("x"&amp;MID(L851,1,1),"x0x1x2x3x4x5x6x7x8x9"))),OR(2&gt;LEN(L851),MID(L851,2,1)=".",ISNUMBER(FIND("x"&amp;MID(L851,2,1),"x0x1x2x3x4x5x6x7x8x9"))),OR(3&gt;LEN(L851),MID(L851,3,1)=".",ISNUMBER(FIND("x"&amp;MID(L851,3,1),"x0x1x2x3x4x5x6x7x8x9"))),OR(4&gt;LEN(L851),MID(L851,4,1)=".",ISNUMBER(FIND("x"&amp;MID(L851,4,1),"x0x1x2x3x4x5x6x7x8x9"))),OR(5&gt;LEN(L851),MID(L851,5,1)=".",ISNUMBER(FIND("x"&amp;MID(L851,5,1),"x0x1x2x3x4x5x6x7x8x9"))),OR(6&gt;LEN(L851),MID(L851,6,1)=".",ISNUMBER(FIND("x"&amp;MID(L851,6,1),"x0x1x2x3x4x5x6x7x8x9"))),OR(7&gt;LEN(L851),MID(L851,7,1)=".",ISNUMBER(FIND("x"&amp;MID(L851,7,1),"x0x1x2x3x4x5x6x7x8x9"))),OR(8&gt;LEN(L851),MID(L851,8,1)=".",ISNUMBER(FIND("x"&amp;MID(L851,8,1),"x0x1x2x3x4x5x6x7x8x9"))),OR(9&gt;LEN(L851),MID(L851,9,1)=".",ISNUMBER(FIND("x"&amp;MID(L851,9,1),"x0x1x2x3x4x5x6x7x8x9"))),OR(10&gt;LEN(L851),MID(L851,10,1)=".",ISNUMBER(FIND("x"&amp;MID(L851,10,1),"x0x1x2x3x4x5x6x7x8x9"))),OR(AND(FIND(".",L851)=5,LEN(L851)-FIND(".",L851,FIND(".",L851)+1)&gt;=1,LEN(L851)-FIND(".",L851,FIND(".",L851)+1)&lt;=2),AND(LEN(L851)-FIND(".",L851,FIND(".",L851)+1)=4,FIND(".",L851)&gt;=2,FIND(".",L851)&lt;=3)),FIND(".",L851,FIND(".",L851)+1)-FIND(".",L851)&gt;=2,FIND(".",L851,FIND(".",L851)+1)-FIND(".",L851)&lt;=3,P851&gt;=2000,P851&lt;=2100,YEAR(S851)=P851,MONTH(S851)=Q851,DAY(S851)=R851),S851,0)),0)</ns0:f>
        <ns0:v>0</ns0:v>
      </ns0:c>
      <ns0:c r="U851" s="0" t="str">
        <ns0:f>IF(Bookings!C851="","Full day",Bookings!C851)</ns0:f>
        <ns0:v>Full day</ns0:v>
      </ns0:c>
      <ns0:c r="V851" s="0" t="str">
        <ns0:f>IF(Bookings!E851="","Full day",Bookings!E851)</ns0:f>
        <ns0:v>Full day</ns0:v>
      </ns0:c>
      <ns0:c r="W851" s="0">
        <ns0:f>IF(J851=0,0,J851+IF(U851="PM",1,0))</ns0:f>
        <ns0:v>0</ns0:v>
      </ns0:c>
      <ns0:c r="X851" s="0">
        <ns0:f>IF(T851=0,0,T851-IF(V851="PM",1,0))</ns0:f>
        <ns0:v>0</ns0:v>
      </ns0:c>
      <ns0:c r="Y851" s="0">
        <ns0:f>IF(J851=0,0,J851+IF(U851="AM",1,0))</ns0:f>
        <ns0:v>0</ns0:v>
      </ns0:c>
      <ns0:c r="Z851" s="0">
        <ns0:f>IF(T851=0,0,T851-IF(V851="AM",1,0))</ns0:f>
        <ns0:v>0</ns0:v>
      </ns0:c>
      <ns0:c r="AA851" s="0">
        <ns0:f>IFERROR(IF(AND(J851&gt;0,'_Engine'!C851&gt;0,MID('_Engine'!W851,WEEKDAY(J851,2),1)="W",COUNTIF(Settings!$F$18:$F$67,J851)=0),1,0),0)</ns0:f>
        <ns0:v>0</ns0:v>
      </ns0:c>
      <ns0:c r="AB851" s="0">
        <ns0:f>IFERROR(IF(AND(T851&gt;0,'_Engine'!C851&gt;0,MID('_Engine'!W851,WEEKDAY(T851,2),1)="W",COUNTIF(Settings!$F$18:$F$67,T851)=0),1,0),0)</ns0:f>
        <ns0:v>0</ns0:v>
      </ns0:c>
      <ns0:c r="AC851" s="0">
        <ns0:f>IF(AND(J851&gt;0,T851&gt;0,W851&lt;=X851),1,0)</ns0:f>
        <ns0:v>0</ns0:v>
      </ns0:c>
      <ns0:c r="AD851" s="0">
        <ns0:f>IF(AND(J851&gt;0,T851&gt;0,Y851&lt;=Z851),1,0)</ns0:f>
        <ns0:v>0</ns0:v>
      </ns0:c>
    </ns0:row>
    <ns0:row r="852">
      <ns0:c r="A852" s="0">
        <ns0:f>IFERROR(IF(ISNUMBER(Bookings!B852),"",TRIM(Bookings!B852&amp;"")),"")</ns0:f>
      </ns0:c>
      <ns0:c r="B852" s="0">
        <ns0:f>IFERROR(SUBSTITUTE(SUBSTITUTE(A852,"/","."),"-","."),"")</ns0:f>
      </ns0:c>
      <ns0:c r="C852" s="0">
        <ns0:f>IFERROR(LEFT(B852,FIND(".",B852)-1),"")</ns0:f>
      </ns0:c>
      <ns0:c r="D852" s="0">
        <ns0:f>IFERROR(MID(B852,FIND(".",B852)+1,FIND(".",B852,FIND(".",B852)+1)-FIND(".",B852)-1),"")</ns0:f>
      </ns0:c>
      <ns0:c r="E852" s="0">
        <ns0:f>IFERROR(MID(B852,FIND(".",B852,FIND(".",B852)+1)+1,99),"")</ns0:f>
        <ns0:v>99</ns0:v>
      </ns0:c>
      <ns0:c r="F852" s="0">
        <ns0:f>IFERROR(IF(FIND(".",B852)=5,--C852,--E852),0)</ns0:f>
        <ns0:v>0</ns0:v>
      </ns0:c>
      <ns0:c r="G852" s="0">
        <ns0:f>IFERROR(--D852,0)</ns0:f>
        <ns0:v>0</ns0:v>
      </ns0:c>
      <ns0:c r="H852" s="0">
        <ns0:f>IFERROR(IF(FIND(".",B852)=5,--E852,--C852),0)</ns0:f>
        <ns0:v>0</ns0:v>
      </ns0:c>
      <ns0:c r="I852" s="0">
        <ns0:f>IFERROR(IF(AND(F852&gt;=2000,F852&lt;=2100,G852&gt;=1,G852&lt;=12,H852&gt;=1,H852&lt;=31),DATE(F852,G852,H852),0),0)</ns0:f>
        <ns0:v>0</ns0:v>
      </ns0:c>
      <ns0:c r="J852" s="0">
        <ns0:f>IFERROR(IF(ISNUMBER(Bookings!B852),IF(AND(Bookings!B852=INT(Bookings!B852),Bookings!B852&gt;=DATE(2000,1,1),Bookings!B852&lt;=DATE(2100,12,31)),Bookings!B852,0),IF(AND(A852&lt;&gt;"",LEN("x"&amp;B852)-LEN(SUBSTITUTE("x"&amp;B852,".",""))=2,OR(1&gt;LEN(B852),MID(B852,1,1)=".",ISNUMBER(FIND("x"&amp;MID(B852,1,1),"x0x1x2x3x4x5x6x7x8x9"))),OR(2&gt;LEN(B852),MID(B852,2,1)=".",ISNUMBER(FIND("x"&amp;MID(B852,2,1),"x0x1x2x3x4x5x6x7x8x9"))),OR(3&gt;LEN(B852),MID(B852,3,1)=".",ISNUMBER(FIND("x"&amp;MID(B852,3,1),"x0x1x2x3x4x5x6x7x8x9"))),OR(4&gt;LEN(B852),MID(B852,4,1)=".",ISNUMBER(FIND("x"&amp;MID(B852,4,1),"x0x1x2x3x4x5x6x7x8x9"))),OR(5&gt;LEN(B852),MID(B852,5,1)=".",ISNUMBER(FIND("x"&amp;MID(B852,5,1),"x0x1x2x3x4x5x6x7x8x9"))),OR(6&gt;LEN(B852),MID(B852,6,1)=".",ISNUMBER(FIND("x"&amp;MID(B852,6,1),"x0x1x2x3x4x5x6x7x8x9"))),OR(7&gt;LEN(B852),MID(B852,7,1)=".",ISNUMBER(FIND("x"&amp;MID(B852,7,1),"x0x1x2x3x4x5x6x7x8x9"))),OR(8&gt;LEN(B852),MID(B852,8,1)=".",ISNUMBER(FIND("x"&amp;MID(B852,8,1),"x0x1x2x3x4x5x6x7x8x9"))),OR(9&gt;LEN(B852),MID(B852,9,1)=".",ISNUMBER(FIND("x"&amp;MID(B852,9,1),"x0x1x2x3x4x5x6x7x8x9"))),OR(10&gt;LEN(B852),MID(B852,10,1)=".",ISNUMBER(FIND("x"&amp;MID(B852,10,1),"x0x1x2x3x4x5x6x7x8x9"))),OR(AND(FIND(".",B852)=5,LEN(B852)-FIND(".",B852,FIND(".",B852)+1)&gt;=1,LEN(B852)-FIND(".",B852,FIND(".",B852)+1)&lt;=2),AND(LEN(B852)-FIND(".",B852,FIND(".",B852)+1)=4,FIND(".",B852)&gt;=2,FIND(".",B852)&lt;=3)),FIND(".",B852,FIND(".",B852)+1)-FIND(".",B852)&gt;=2,FIND(".",B852,FIND(".",B852)+1)-FIND(".",B852)&lt;=3,F852&gt;=2000,F852&lt;=2100,YEAR(I852)=F852,MONTH(I852)=G852,DAY(I852)=H852),I852,0)),0)</ns0:f>
        <ns0:v>0</ns0:v>
      </ns0:c>
      <ns0:c r="K852" s="0">
        <ns0:f>IFERROR(IF(ISNUMBER(Bookings!D852),"",TRIM(Bookings!D852&amp;"")),"")</ns0:f>
      </ns0:c>
      <ns0:c r="L852" s="0">
        <ns0:f>IFERROR(SUBSTITUTE(SUBSTITUTE(K852,"/","."),"-","."),"")</ns0:f>
      </ns0:c>
      <ns0:c r="M852" s="0">
        <ns0:f>IFERROR(LEFT(L852,FIND(".",L852)-1),"")</ns0:f>
      </ns0:c>
      <ns0:c r="N852" s="0">
        <ns0:f>IFERROR(MID(L852,FIND(".",L852)+1,FIND(".",L852,FIND(".",L852)+1)-FIND(".",L852)-1),"")</ns0:f>
      </ns0:c>
      <ns0:c r="O852" s="0">
        <ns0:f>IFERROR(MID(L852,FIND(".",L852,FIND(".",L852)+1)+1,99),"")</ns0:f>
        <ns0:v>99</ns0:v>
      </ns0:c>
      <ns0:c r="P852" s="0">
        <ns0:f>IFERROR(IF(FIND(".",L852)=5,--M852,--O852),0)</ns0:f>
        <ns0:v>0</ns0:v>
      </ns0:c>
      <ns0:c r="Q852" s="0">
        <ns0:f>IFERROR(--N852,0)</ns0:f>
        <ns0:v>0</ns0:v>
      </ns0:c>
      <ns0:c r="R852" s="0">
        <ns0:f>IFERROR(IF(FIND(".",L852)=5,--O852,--M852),0)</ns0:f>
        <ns0:v>0</ns0:v>
      </ns0:c>
      <ns0:c r="S852" s="0">
        <ns0:f>IFERROR(IF(AND(P852&gt;=2000,P852&lt;=2100,Q852&gt;=1,Q852&lt;=12,R852&gt;=1,R852&lt;=31),DATE(P852,Q852,R852),0),0)</ns0:f>
        <ns0:v>0</ns0:v>
      </ns0:c>
      <ns0:c r="T852" s="0">
        <ns0:f>IFERROR(IF(ISNUMBER(Bookings!D852),IF(AND(Bookings!D852=INT(Bookings!D852),Bookings!D852&gt;=DATE(2000,1,1),Bookings!D852&lt;=DATE(2100,12,31)),Bookings!D852,0),IF(AND(K852&lt;&gt;"",LEN("x"&amp;L852)-LEN(SUBSTITUTE("x"&amp;L852,".",""))=2,OR(1&gt;LEN(L852),MID(L852,1,1)=".",ISNUMBER(FIND("x"&amp;MID(L852,1,1),"x0x1x2x3x4x5x6x7x8x9"))),OR(2&gt;LEN(L852),MID(L852,2,1)=".",ISNUMBER(FIND("x"&amp;MID(L852,2,1),"x0x1x2x3x4x5x6x7x8x9"))),OR(3&gt;LEN(L852),MID(L852,3,1)=".",ISNUMBER(FIND("x"&amp;MID(L852,3,1),"x0x1x2x3x4x5x6x7x8x9"))),OR(4&gt;LEN(L852),MID(L852,4,1)=".",ISNUMBER(FIND("x"&amp;MID(L852,4,1),"x0x1x2x3x4x5x6x7x8x9"))),OR(5&gt;LEN(L852),MID(L852,5,1)=".",ISNUMBER(FIND("x"&amp;MID(L852,5,1),"x0x1x2x3x4x5x6x7x8x9"))),OR(6&gt;LEN(L852),MID(L852,6,1)=".",ISNUMBER(FIND("x"&amp;MID(L852,6,1),"x0x1x2x3x4x5x6x7x8x9"))),OR(7&gt;LEN(L852),MID(L852,7,1)=".",ISNUMBER(FIND("x"&amp;MID(L852,7,1),"x0x1x2x3x4x5x6x7x8x9"))),OR(8&gt;LEN(L852),MID(L852,8,1)=".",ISNUMBER(FIND("x"&amp;MID(L852,8,1),"x0x1x2x3x4x5x6x7x8x9"))),OR(9&gt;LEN(L852),MID(L852,9,1)=".",ISNUMBER(FIND("x"&amp;MID(L852,9,1),"x0x1x2x3x4x5x6x7x8x9"))),OR(10&gt;LEN(L852),MID(L852,10,1)=".",ISNUMBER(FIND("x"&amp;MID(L852,10,1),"x0x1x2x3x4x5x6x7x8x9"))),OR(AND(FIND(".",L852)=5,LEN(L852)-FIND(".",L852,FIND(".",L852)+1)&gt;=1,LEN(L852)-FIND(".",L852,FIND(".",L852)+1)&lt;=2),AND(LEN(L852)-FIND(".",L852,FIND(".",L852)+1)=4,FIND(".",L852)&gt;=2,FIND(".",L852)&lt;=3)),FIND(".",L852,FIND(".",L852)+1)-FIND(".",L852)&gt;=2,FIND(".",L852,FIND(".",L852)+1)-FIND(".",L852)&lt;=3,P852&gt;=2000,P852&lt;=2100,YEAR(S852)=P852,MONTH(S852)=Q852,DAY(S852)=R852),S852,0)),0)</ns0:f>
        <ns0:v>0</ns0:v>
      </ns0:c>
      <ns0:c r="U852" s="0" t="str">
        <ns0:f>IF(Bookings!C852="","Full day",Bookings!C852)</ns0:f>
        <ns0:v>Full day</ns0:v>
      </ns0:c>
      <ns0:c r="V852" s="0" t="str">
        <ns0:f>IF(Bookings!E852="","Full day",Bookings!E852)</ns0:f>
        <ns0:v>Full day</ns0:v>
      </ns0:c>
      <ns0:c r="W852" s="0">
        <ns0:f>IF(J852=0,0,J852+IF(U852="PM",1,0))</ns0:f>
        <ns0:v>0</ns0:v>
      </ns0:c>
      <ns0:c r="X852" s="0">
        <ns0:f>IF(T852=0,0,T852-IF(V852="PM",1,0))</ns0:f>
        <ns0:v>0</ns0:v>
      </ns0:c>
      <ns0:c r="Y852" s="0">
        <ns0:f>IF(J852=0,0,J852+IF(U852="AM",1,0))</ns0:f>
        <ns0:v>0</ns0:v>
      </ns0:c>
      <ns0:c r="Z852" s="0">
        <ns0:f>IF(T852=0,0,T852-IF(V852="AM",1,0))</ns0:f>
        <ns0:v>0</ns0:v>
      </ns0:c>
      <ns0:c r="AA852" s="0">
        <ns0:f>IFERROR(IF(AND(J852&gt;0,'_Engine'!C852&gt;0,MID('_Engine'!W852,WEEKDAY(J852,2),1)="W",COUNTIF(Settings!$F$18:$F$67,J852)=0),1,0),0)</ns0:f>
        <ns0:v>0</ns0:v>
      </ns0:c>
      <ns0:c r="AB852" s="0">
        <ns0:f>IFERROR(IF(AND(T852&gt;0,'_Engine'!C852&gt;0,MID('_Engine'!W852,WEEKDAY(T852,2),1)="W",COUNTIF(Settings!$F$18:$F$67,T852)=0),1,0),0)</ns0:f>
        <ns0:v>0</ns0:v>
      </ns0:c>
      <ns0:c r="AC852" s="0">
        <ns0:f>IF(AND(J852&gt;0,T852&gt;0,W852&lt;=X852),1,0)</ns0:f>
        <ns0:v>0</ns0:v>
      </ns0:c>
      <ns0:c r="AD852" s="0">
        <ns0:f>IF(AND(J852&gt;0,T852&gt;0,Y852&lt;=Z852),1,0)</ns0:f>
        <ns0:v>0</ns0:v>
      </ns0:c>
    </ns0:row>
    <ns0:row r="853">
      <ns0:c r="A853" s="0">
        <ns0:f>IFERROR(IF(ISNUMBER(Bookings!B853),"",TRIM(Bookings!B853&amp;"")),"")</ns0:f>
      </ns0:c>
      <ns0:c r="B853" s="0">
        <ns0:f>IFERROR(SUBSTITUTE(SUBSTITUTE(A853,"/","."),"-","."),"")</ns0:f>
      </ns0:c>
      <ns0:c r="C853" s="0">
        <ns0:f>IFERROR(LEFT(B853,FIND(".",B853)-1),"")</ns0:f>
      </ns0:c>
      <ns0:c r="D853" s="0">
        <ns0:f>IFERROR(MID(B853,FIND(".",B853)+1,FIND(".",B853,FIND(".",B853)+1)-FIND(".",B853)-1),"")</ns0:f>
      </ns0:c>
      <ns0:c r="E853" s="0">
        <ns0:f>IFERROR(MID(B853,FIND(".",B853,FIND(".",B853)+1)+1,99),"")</ns0:f>
        <ns0:v>99</ns0:v>
      </ns0:c>
      <ns0:c r="F853" s="0">
        <ns0:f>IFERROR(IF(FIND(".",B853)=5,--C853,--E853),0)</ns0:f>
        <ns0:v>0</ns0:v>
      </ns0:c>
      <ns0:c r="G853" s="0">
        <ns0:f>IFERROR(--D853,0)</ns0:f>
        <ns0:v>0</ns0:v>
      </ns0:c>
      <ns0:c r="H853" s="0">
        <ns0:f>IFERROR(IF(FIND(".",B853)=5,--E853,--C853),0)</ns0:f>
        <ns0:v>0</ns0:v>
      </ns0:c>
      <ns0:c r="I853" s="0">
        <ns0:f>IFERROR(IF(AND(F853&gt;=2000,F853&lt;=2100,G853&gt;=1,G853&lt;=12,H853&gt;=1,H853&lt;=31),DATE(F853,G853,H853),0),0)</ns0:f>
        <ns0:v>0</ns0:v>
      </ns0:c>
      <ns0:c r="J853" s="0">
        <ns0:f>IFERROR(IF(ISNUMBER(Bookings!B853),IF(AND(Bookings!B853=INT(Bookings!B853),Bookings!B853&gt;=DATE(2000,1,1),Bookings!B853&lt;=DATE(2100,12,31)),Bookings!B853,0),IF(AND(A853&lt;&gt;"",LEN("x"&amp;B853)-LEN(SUBSTITUTE("x"&amp;B853,".",""))=2,OR(1&gt;LEN(B853),MID(B853,1,1)=".",ISNUMBER(FIND("x"&amp;MID(B853,1,1),"x0x1x2x3x4x5x6x7x8x9"))),OR(2&gt;LEN(B853),MID(B853,2,1)=".",ISNUMBER(FIND("x"&amp;MID(B853,2,1),"x0x1x2x3x4x5x6x7x8x9"))),OR(3&gt;LEN(B853),MID(B853,3,1)=".",ISNUMBER(FIND("x"&amp;MID(B853,3,1),"x0x1x2x3x4x5x6x7x8x9"))),OR(4&gt;LEN(B853),MID(B853,4,1)=".",ISNUMBER(FIND("x"&amp;MID(B853,4,1),"x0x1x2x3x4x5x6x7x8x9"))),OR(5&gt;LEN(B853),MID(B853,5,1)=".",ISNUMBER(FIND("x"&amp;MID(B853,5,1),"x0x1x2x3x4x5x6x7x8x9"))),OR(6&gt;LEN(B853),MID(B853,6,1)=".",ISNUMBER(FIND("x"&amp;MID(B853,6,1),"x0x1x2x3x4x5x6x7x8x9"))),OR(7&gt;LEN(B853),MID(B853,7,1)=".",ISNUMBER(FIND("x"&amp;MID(B853,7,1),"x0x1x2x3x4x5x6x7x8x9"))),OR(8&gt;LEN(B853),MID(B853,8,1)=".",ISNUMBER(FIND("x"&amp;MID(B853,8,1),"x0x1x2x3x4x5x6x7x8x9"))),OR(9&gt;LEN(B853),MID(B853,9,1)=".",ISNUMBER(FIND("x"&amp;MID(B853,9,1),"x0x1x2x3x4x5x6x7x8x9"))),OR(10&gt;LEN(B853),MID(B853,10,1)=".",ISNUMBER(FIND("x"&amp;MID(B853,10,1),"x0x1x2x3x4x5x6x7x8x9"))),OR(AND(FIND(".",B853)=5,LEN(B853)-FIND(".",B853,FIND(".",B853)+1)&gt;=1,LEN(B853)-FIND(".",B853,FIND(".",B853)+1)&lt;=2),AND(LEN(B853)-FIND(".",B853,FIND(".",B853)+1)=4,FIND(".",B853)&gt;=2,FIND(".",B853)&lt;=3)),FIND(".",B853,FIND(".",B853)+1)-FIND(".",B853)&gt;=2,FIND(".",B853,FIND(".",B853)+1)-FIND(".",B853)&lt;=3,F853&gt;=2000,F853&lt;=2100,YEAR(I853)=F853,MONTH(I853)=G853,DAY(I853)=H853),I853,0)),0)</ns0:f>
        <ns0:v>0</ns0:v>
      </ns0:c>
      <ns0:c r="K853" s="0">
        <ns0:f>IFERROR(IF(ISNUMBER(Bookings!D853),"",TRIM(Bookings!D853&amp;"")),"")</ns0:f>
      </ns0:c>
      <ns0:c r="L853" s="0">
        <ns0:f>IFERROR(SUBSTITUTE(SUBSTITUTE(K853,"/","."),"-","."),"")</ns0:f>
      </ns0:c>
      <ns0:c r="M853" s="0">
        <ns0:f>IFERROR(LEFT(L853,FIND(".",L853)-1),"")</ns0:f>
      </ns0:c>
      <ns0:c r="N853" s="0">
        <ns0:f>IFERROR(MID(L853,FIND(".",L853)+1,FIND(".",L853,FIND(".",L853)+1)-FIND(".",L853)-1),"")</ns0:f>
      </ns0:c>
      <ns0:c r="O853" s="0">
        <ns0:f>IFERROR(MID(L853,FIND(".",L853,FIND(".",L853)+1)+1,99),"")</ns0:f>
        <ns0:v>99</ns0:v>
      </ns0:c>
      <ns0:c r="P853" s="0">
        <ns0:f>IFERROR(IF(FIND(".",L853)=5,--M853,--O853),0)</ns0:f>
        <ns0:v>0</ns0:v>
      </ns0:c>
      <ns0:c r="Q853" s="0">
        <ns0:f>IFERROR(--N853,0)</ns0:f>
        <ns0:v>0</ns0:v>
      </ns0:c>
      <ns0:c r="R853" s="0">
        <ns0:f>IFERROR(IF(FIND(".",L853)=5,--O853,--M853),0)</ns0:f>
        <ns0:v>0</ns0:v>
      </ns0:c>
      <ns0:c r="S853" s="0">
        <ns0:f>IFERROR(IF(AND(P853&gt;=2000,P853&lt;=2100,Q853&gt;=1,Q853&lt;=12,R853&gt;=1,R853&lt;=31),DATE(P853,Q853,R853),0),0)</ns0:f>
        <ns0:v>0</ns0:v>
      </ns0:c>
      <ns0:c r="T853" s="0">
        <ns0:f>IFERROR(IF(ISNUMBER(Bookings!D853),IF(AND(Bookings!D853=INT(Bookings!D853),Bookings!D853&gt;=DATE(2000,1,1),Bookings!D853&lt;=DATE(2100,12,31)),Bookings!D853,0),IF(AND(K853&lt;&gt;"",LEN("x"&amp;L853)-LEN(SUBSTITUTE("x"&amp;L853,".",""))=2,OR(1&gt;LEN(L853),MID(L853,1,1)=".",ISNUMBER(FIND("x"&amp;MID(L853,1,1),"x0x1x2x3x4x5x6x7x8x9"))),OR(2&gt;LEN(L853),MID(L853,2,1)=".",ISNUMBER(FIND("x"&amp;MID(L853,2,1),"x0x1x2x3x4x5x6x7x8x9"))),OR(3&gt;LEN(L853),MID(L853,3,1)=".",ISNUMBER(FIND("x"&amp;MID(L853,3,1),"x0x1x2x3x4x5x6x7x8x9"))),OR(4&gt;LEN(L853),MID(L853,4,1)=".",ISNUMBER(FIND("x"&amp;MID(L853,4,1),"x0x1x2x3x4x5x6x7x8x9"))),OR(5&gt;LEN(L853),MID(L853,5,1)=".",ISNUMBER(FIND("x"&amp;MID(L853,5,1),"x0x1x2x3x4x5x6x7x8x9"))),OR(6&gt;LEN(L853),MID(L853,6,1)=".",ISNUMBER(FIND("x"&amp;MID(L853,6,1),"x0x1x2x3x4x5x6x7x8x9"))),OR(7&gt;LEN(L853),MID(L853,7,1)=".",ISNUMBER(FIND("x"&amp;MID(L853,7,1),"x0x1x2x3x4x5x6x7x8x9"))),OR(8&gt;LEN(L853),MID(L853,8,1)=".",ISNUMBER(FIND("x"&amp;MID(L853,8,1),"x0x1x2x3x4x5x6x7x8x9"))),OR(9&gt;LEN(L853),MID(L853,9,1)=".",ISNUMBER(FIND("x"&amp;MID(L853,9,1),"x0x1x2x3x4x5x6x7x8x9"))),OR(10&gt;LEN(L853),MID(L853,10,1)=".",ISNUMBER(FIND("x"&amp;MID(L853,10,1),"x0x1x2x3x4x5x6x7x8x9"))),OR(AND(FIND(".",L853)=5,LEN(L853)-FIND(".",L853,FIND(".",L853)+1)&gt;=1,LEN(L853)-FIND(".",L853,FIND(".",L853)+1)&lt;=2),AND(LEN(L853)-FIND(".",L853,FIND(".",L853)+1)=4,FIND(".",L853)&gt;=2,FIND(".",L853)&lt;=3)),FIND(".",L853,FIND(".",L853)+1)-FIND(".",L853)&gt;=2,FIND(".",L853,FIND(".",L853)+1)-FIND(".",L853)&lt;=3,P853&gt;=2000,P853&lt;=2100,YEAR(S853)=P853,MONTH(S853)=Q853,DAY(S853)=R853),S853,0)),0)</ns0:f>
        <ns0:v>0</ns0:v>
      </ns0:c>
      <ns0:c r="U853" s="0" t="str">
        <ns0:f>IF(Bookings!C853="","Full day",Bookings!C853)</ns0:f>
        <ns0:v>Full day</ns0:v>
      </ns0:c>
      <ns0:c r="V853" s="0" t="str">
        <ns0:f>IF(Bookings!E853="","Full day",Bookings!E853)</ns0:f>
        <ns0:v>Full day</ns0:v>
      </ns0:c>
      <ns0:c r="W853" s="0">
        <ns0:f>IF(J853=0,0,J853+IF(U853="PM",1,0))</ns0:f>
        <ns0:v>0</ns0:v>
      </ns0:c>
      <ns0:c r="X853" s="0">
        <ns0:f>IF(T853=0,0,T853-IF(V853="PM",1,0))</ns0:f>
        <ns0:v>0</ns0:v>
      </ns0:c>
      <ns0:c r="Y853" s="0">
        <ns0:f>IF(J853=0,0,J853+IF(U853="AM",1,0))</ns0:f>
        <ns0:v>0</ns0:v>
      </ns0:c>
      <ns0:c r="Z853" s="0">
        <ns0:f>IF(T853=0,0,T853-IF(V853="AM",1,0))</ns0:f>
        <ns0:v>0</ns0:v>
      </ns0:c>
      <ns0:c r="AA853" s="0">
        <ns0:f>IFERROR(IF(AND(J853&gt;0,'_Engine'!C853&gt;0,MID('_Engine'!W853,WEEKDAY(J853,2),1)="W",COUNTIF(Settings!$F$18:$F$67,J853)=0),1,0),0)</ns0:f>
        <ns0:v>0</ns0:v>
      </ns0:c>
      <ns0:c r="AB853" s="0">
        <ns0:f>IFERROR(IF(AND(T853&gt;0,'_Engine'!C853&gt;0,MID('_Engine'!W853,WEEKDAY(T853,2),1)="W",COUNTIF(Settings!$F$18:$F$67,T853)=0),1,0),0)</ns0:f>
        <ns0:v>0</ns0:v>
      </ns0:c>
      <ns0:c r="AC853" s="0">
        <ns0:f>IF(AND(J853&gt;0,T853&gt;0,W853&lt;=X853),1,0)</ns0:f>
        <ns0:v>0</ns0:v>
      </ns0:c>
      <ns0:c r="AD853" s="0">
        <ns0:f>IF(AND(J853&gt;0,T853&gt;0,Y853&lt;=Z853),1,0)</ns0:f>
        <ns0:v>0</ns0:v>
      </ns0:c>
    </ns0:row>
    <ns0:row r="854">
      <ns0:c r="A854" s="0">
        <ns0:f>IFERROR(IF(ISNUMBER(Bookings!B854),"",TRIM(Bookings!B854&amp;"")),"")</ns0:f>
      </ns0:c>
      <ns0:c r="B854" s="0">
        <ns0:f>IFERROR(SUBSTITUTE(SUBSTITUTE(A854,"/","."),"-","."),"")</ns0:f>
      </ns0:c>
      <ns0:c r="C854" s="0">
        <ns0:f>IFERROR(LEFT(B854,FIND(".",B854)-1),"")</ns0:f>
      </ns0:c>
      <ns0:c r="D854" s="0">
        <ns0:f>IFERROR(MID(B854,FIND(".",B854)+1,FIND(".",B854,FIND(".",B854)+1)-FIND(".",B854)-1),"")</ns0:f>
      </ns0:c>
      <ns0:c r="E854" s="0">
        <ns0:f>IFERROR(MID(B854,FIND(".",B854,FIND(".",B854)+1)+1,99),"")</ns0:f>
        <ns0:v>99</ns0:v>
      </ns0:c>
      <ns0:c r="F854" s="0">
        <ns0:f>IFERROR(IF(FIND(".",B854)=5,--C854,--E854),0)</ns0:f>
        <ns0:v>0</ns0:v>
      </ns0:c>
      <ns0:c r="G854" s="0">
        <ns0:f>IFERROR(--D854,0)</ns0:f>
        <ns0:v>0</ns0:v>
      </ns0:c>
      <ns0:c r="H854" s="0">
        <ns0:f>IFERROR(IF(FIND(".",B854)=5,--E854,--C854),0)</ns0:f>
        <ns0:v>0</ns0:v>
      </ns0:c>
      <ns0:c r="I854" s="0">
        <ns0:f>IFERROR(IF(AND(F854&gt;=2000,F854&lt;=2100,G854&gt;=1,G854&lt;=12,H854&gt;=1,H854&lt;=31),DATE(F854,G854,H854),0),0)</ns0:f>
        <ns0:v>0</ns0:v>
      </ns0:c>
      <ns0:c r="J854" s="0">
        <ns0:f>IFERROR(IF(ISNUMBER(Bookings!B854),IF(AND(Bookings!B854=INT(Bookings!B854),Bookings!B854&gt;=DATE(2000,1,1),Bookings!B854&lt;=DATE(2100,12,31)),Bookings!B854,0),IF(AND(A854&lt;&gt;"",LEN("x"&amp;B854)-LEN(SUBSTITUTE("x"&amp;B854,".",""))=2,OR(1&gt;LEN(B854),MID(B854,1,1)=".",ISNUMBER(FIND("x"&amp;MID(B854,1,1),"x0x1x2x3x4x5x6x7x8x9"))),OR(2&gt;LEN(B854),MID(B854,2,1)=".",ISNUMBER(FIND("x"&amp;MID(B854,2,1),"x0x1x2x3x4x5x6x7x8x9"))),OR(3&gt;LEN(B854),MID(B854,3,1)=".",ISNUMBER(FIND("x"&amp;MID(B854,3,1),"x0x1x2x3x4x5x6x7x8x9"))),OR(4&gt;LEN(B854),MID(B854,4,1)=".",ISNUMBER(FIND("x"&amp;MID(B854,4,1),"x0x1x2x3x4x5x6x7x8x9"))),OR(5&gt;LEN(B854),MID(B854,5,1)=".",ISNUMBER(FIND("x"&amp;MID(B854,5,1),"x0x1x2x3x4x5x6x7x8x9"))),OR(6&gt;LEN(B854),MID(B854,6,1)=".",ISNUMBER(FIND("x"&amp;MID(B854,6,1),"x0x1x2x3x4x5x6x7x8x9"))),OR(7&gt;LEN(B854),MID(B854,7,1)=".",ISNUMBER(FIND("x"&amp;MID(B854,7,1),"x0x1x2x3x4x5x6x7x8x9"))),OR(8&gt;LEN(B854),MID(B854,8,1)=".",ISNUMBER(FIND("x"&amp;MID(B854,8,1),"x0x1x2x3x4x5x6x7x8x9"))),OR(9&gt;LEN(B854),MID(B854,9,1)=".",ISNUMBER(FIND("x"&amp;MID(B854,9,1),"x0x1x2x3x4x5x6x7x8x9"))),OR(10&gt;LEN(B854),MID(B854,10,1)=".",ISNUMBER(FIND("x"&amp;MID(B854,10,1),"x0x1x2x3x4x5x6x7x8x9"))),OR(AND(FIND(".",B854)=5,LEN(B854)-FIND(".",B854,FIND(".",B854)+1)&gt;=1,LEN(B854)-FIND(".",B854,FIND(".",B854)+1)&lt;=2),AND(LEN(B854)-FIND(".",B854,FIND(".",B854)+1)=4,FIND(".",B854)&gt;=2,FIND(".",B854)&lt;=3)),FIND(".",B854,FIND(".",B854)+1)-FIND(".",B854)&gt;=2,FIND(".",B854,FIND(".",B854)+1)-FIND(".",B854)&lt;=3,F854&gt;=2000,F854&lt;=2100,YEAR(I854)=F854,MONTH(I854)=G854,DAY(I854)=H854),I854,0)),0)</ns0:f>
        <ns0:v>0</ns0:v>
      </ns0:c>
      <ns0:c r="K854" s="0">
        <ns0:f>IFERROR(IF(ISNUMBER(Bookings!D854),"",TRIM(Bookings!D854&amp;"")),"")</ns0:f>
      </ns0:c>
      <ns0:c r="L854" s="0">
        <ns0:f>IFERROR(SUBSTITUTE(SUBSTITUTE(K854,"/","."),"-","."),"")</ns0:f>
      </ns0:c>
      <ns0:c r="M854" s="0">
        <ns0:f>IFERROR(LEFT(L854,FIND(".",L854)-1),"")</ns0:f>
      </ns0:c>
      <ns0:c r="N854" s="0">
        <ns0:f>IFERROR(MID(L854,FIND(".",L854)+1,FIND(".",L854,FIND(".",L854)+1)-FIND(".",L854)-1),"")</ns0:f>
      </ns0:c>
      <ns0:c r="O854" s="0">
        <ns0:f>IFERROR(MID(L854,FIND(".",L854,FIND(".",L854)+1)+1,99),"")</ns0:f>
        <ns0:v>99</ns0:v>
      </ns0:c>
      <ns0:c r="P854" s="0">
        <ns0:f>IFERROR(IF(FIND(".",L854)=5,--M854,--O854),0)</ns0:f>
        <ns0:v>0</ns0:v>
      </ns0:c>
      <ns0:c r="Q854" s="0">
        <ns0:f>IFERROR(--N854,0)</ns0:f>
        <ns0:v>0</ns0:v>
      </ns0:c>
      <ns0:c r="R854" s="0">
        <ns0:f>IFERROR(IF(FIND(".",L854)=5,--O854,--M854),0)</ns0:f>
        <ns0:v>0</ns0:v>
      </ns0:c>
      <ns0:c r="S854" s="0">
        <ns0:f>IFERROR(IF(AND(P854&gt;=2000,P854&lt;=2100,Q854&gt;=1,Q854&lt;=12,R854&gt;=1,R854&lt;=31),DATE(P854,Q854,R854),0),0)</ns0:f>
        <ns0:v>0</ns0:v>
      </ns0:c>
      <ns0:c r="T854" s="0">
        <ns0:f>IFERROR(IF(ISNUMBER(Bookings!D854),IF(AND(Bookings!D854=INT(Bookings!D854),Bookings!D854&gt;=DATE(2000,1,1),Bookings!D854&lt;=DATE(2100,12,31)),Bookings!D854,0),IF(AND(K854&lt;&gt;"",LEN("x"&amp;L854)-LEN(SUBSTITUTE("x"&amp;L854,".",""))=2,OR(1&gt;LEN(L854),MID(L854,1,1)=".",ISNUMBER(FIND("x"&amp;MID(L854,1,1),"x0x1x2x3x4x5x6x7x8x9"))),OR(2&gt;LEN(L854),MID(L854,2,1)=".",ISNUMBER(FIND("x"&amp;MID(L854,2,1),"x0x1x2x3x4x5x6x7x8x9"))),OR(3&gt;LEN(L854),MID(L854,3,1)=".",ISNUMBER(FIND("x"&amp;MID(L854,3,1),"x0x1x2x3x4x5x6x7x8x9"))),OR(4&gt;LEN(L854),MID(L854,4,1)=".",ISNUMBER(FIND("x"&amp;MID(L854,4,1),"x0x1x2x3x4x5x6x7x8x9"))),OR(5&gt;LEN(L854),MID(L854,5,1)=".",ISNUMBER(FIND("x"&amp;MID(L854,5,1),"x0x1x2x3x4x5x6x7x8x9"))),OR(6&gt;LEN(L854),MID(L854,6,1)=".",ISNUMBER(FIND("x"&amp;MID(L854,6,1),"x0x1x2x3x4x5x6x7x8x9"))),OR(7&gt;LEN(L854),MID(L854,7,1)=".",ISNUMBER(FIND("x"&amp;MID(L854,7,1),"x0x1x2x3x4x5x6x7x8x9"))),OR(8&gt;LEN(L854),MID(L854,8,1)=".",ISNUMBER(FIND("x"&amp;MID(L854,8,1),"x0x1x2x3x4x5x6x7x8x9"))),OR(9&gt;LEN(L854),MID(L854,9,1)=".",ISNUMBER(FIND("x"&amp;MID(L854,9,1),"x0x1x2x3x4x5x6x7x8x9"))),OR(10&gt;LEN(L854),MID(L854,10,1)=".",ISNUMBER(FIND("x"&amp;MID(L854,10,1),"x0x1x2x3x4x5x6x7x8x9"))),OR(AND(FIND(".",L854)=5,LEN(L854)-FIND(".",L854,FIND(".",L854)+1)&gt;=1,LEN(L854)-FIND(".",L854,FIND(".",L854)+1)&lt;=2),AND(LEN(L854)-FIND(".",L854,FIND(".",L854)+1)=4,FIND(".",L854)&gt;=2,FIND(".",L854)&lt;=3)),FIND(".",L854,FIND(".",L854)+1)-FIND(".",L854)&gt;=2,FIND(".",L854,FIND(".",L854)+1)-FIND(".",L854)&lt;=3,P854&gt;=2000,P854&lt;=2100,YEAR(S854)=P854,MONTH(S854)=Q854,DAY(S854)=R854),S854,0)),0)</ns0:f>
        <ns0:v>0</ns0:v>
      </ns0:c>
      <ns0:c r="U854" s="0" t="str">
        <ns0:f>IF(Bookings!C854="","Full day",Bookings!C854)</ns0:f>
        <ns0:v>Full day</ns0:v>
      </ns0:c>
      <ns0:c r="V854" s="0" t="str">
        <ns0:f>IF(Bookings!E854="","Full day",Bookings!E854)</ns0:f>
        <ns0:v>Full day</ns0:v>
      </ns0:c>
      <ns0:c r="W854" s="0">
        <ns0:f>IF(J854=0,0,J854+IF(U854="PM",1,0))</ns0:f>
        <ns0:v>0</ns0:v>
      </ns0:c>
      <ns0:c r="X854" s="0">
        <ns0:f>IF(T854=0,0,T854-IF(V854="PM",1,0))</ns0:f>
        <ns0:v>0</ns0:v>
      </ns0:c>
      <ns0:c r="Y854" s="0">
        <ns0:f>IF(J854=0,0,J854+IF(U854="AM",1,0))</ns0:f>
        <ns0:v>0</ns0:v>
      </ns0:c>
      <ns0:c r="Z854" s="0">
        <ns0:f>IF(T854=0,0,T854-IF(V854="AM",1,0))</ns0:f>
        <ns0:v>0</ns0:v>
      </ns0:c>
      <ns0:c r="AA854" s="0">
        <ns0:f>IFERROR(IF(AND(J854&gt;0,'_Engine'!C854&gt;0,MID('_Engine'!W854,WEEKDAY(J854,2),1)="W",COUNTIF(Settings!$F$18:$F$67,J854)=0),1,0),0)</ns0:f>
        <ns0:v>0</ns0:v>
      </ns0:c>
      <ns0:c r="AB854" s="0">
        <ns0:f>IFERROR(IF(AND(T854&gt;0,'_Engine'!C854&gt;0,MID('_Engine'!W854,WEEKDAY(T854,2),1)="W",COUNTIF(Settings!$F$18:$F$67,T854)=0),1,0),0)</ns0:f>
        <ns0:v>0</ns0:v>
      </ns0:c>
      <ns0:c r="AC854" s="0">
        <ns0:f>IF(AND(J854&gt;0,T854&gt;0,W854&lt;=X854),1,0)</ns0:f>
        <ns0:v>0</ns0:v>
      </ns0:c>
      <ns0:c r="AD854" s="0">
        <ns0:f>IF(AND(J854&gt;0,T854&gt;0,Y854&lt;=Z854),1,0)</ns0:f>
        <ns0:v>0</ns0:v>
      </ns0:c>
    </ns0:row>
    <ns0:row r="855">
      <ns0:c r="A855" s="0">
        <ns0:f>IFERROR(IF(ISNUMBER(Bookings!B855),"",TRIM(Bookings!B855&amp;"")),"")</ns0:f>
      </ns0:c>
      <ns0:c r="B855" s="0">
        <ns0:f>IFERROR(SUBSTITUTE(SUBSTITUTE(A855,"/","."),"-","."),"")</ns0:f>
      </ns0:c>
      <ns0:c r="C855" s="0">
        <ns0:f>IFERROR(LEFT(B855,FIND(".",B855)-1),"")</ns0:f>
      </ns0:c>
      <ns0:c r="D855" s="0">
        <ns0:f>IFERROR(MID(B855,FIND(".",B855)+1,FIND(".",B855,FIND(".",B855)+1)-FIND(".",B855)-1),"")</ns0:f>
      </ns0:c>
      <ns0:c r="E855" s="0">
        <ns0:f>IFERROR(MID(B855,FIND(".",B855,FIND(".",B855)+1)+1,99),"")</ns0:f>
        <ns0:v>99</ns0:v>
      </ns0:c>
      <ns0:c r="F855" s="0">
        <ns0:f>IFERROR(IF(FIND(".",B855)=5,--C855,--E855),0)</ns0:f>
        <ns0:v>0</ns0:v>
      </ns0:c>
      <ns0:c r="G855" s="0">
        <ns0:f>IFERROR(--D855,0)</ns0:f>
        <ns0:v>0</ns0:v>
      </ns0:c>
      <ns0:c r="H855" s="0">
        <ns0:f>IFERROR(IF(FIND(".",B855)=5,--E855,--C855),0)</ns0:f>
        <ns0:v>0</ns0:v>
      </ns0:c>
      <ns0:c r="I855" s="0">
        <ns0:f>IFERROR(IF(AND(F855&gt;=2000,F855&lt;=2100,G855&gt;=1,G855&lt;=12,H855&gt;=1,H855&lt;=31),DATE(F855,G855,H855),0),0)</ns0:f>
        <ns0:v>0</ns0:v>
      </ns0:c>
      <ns0:c r="J855" s="0">
        <ns0:f>IFERROR(IF(ISNUMBER(Bookings!B855),IF(AND(Bookings!B855=INT(Bookings!B855),Bookings!B855&gt;=DATE(2000,1,1),Bookings!B855&lt;=DATE(2100,12,31)),Bookings!B855,0),IF(AND(A855&lt;&gt;"",LEN("x"&amp;B855)-LEN(SUBSTITUTE("x"&amp;B855,".",""))=2,OR(1&gt;LEN(B855),MID(B855,1,1)=".",ISNUMBER(FIND("x"&amp;MID(B855,1,1),"x0x1x2x3x4x5x6x7x8x9"))),OR(2&gt;LEN(B855),MID(B855,2,1)=".",ISNUMBER(FIND("x"&amp;MID(B855,2,1),"x0x1x2x3x4x5x6x7x8x9"))),OR(3&gt;LEN(B855),MID(B855,3,1)=".",ISNUMBER(FIND("x"&amp;MID(B855,3,1),"x0x1x2x3x4x5x6x7x8x9"))),OR(4&gt;LEN(B855),MID(B855,4,1)=".",ISNUMBER(FIND("x"&amp;MID(B855,4,1),"x0x1x2x3x4x5x6x7x8x9"))),OR(5&gt;LEN(B855),MID(B855,5,1)=".",ISNUMBER(FIND("x"&amp;MID(B855,5,1),"x0x1x2x3x4x5x6x7x8x9"))),OR(6&gt;LEN(B855),MID(B855,6,1)=".",ISNUMBER(FIND("x"&amp;MID(B855,6,1),"x0x1x2x3x4x5x6x7x8x9"))),OR(7&gt;LEN(B855),MID(B855,7,1)=".",ISNUMBER(FIND("x"&amp;MID(B855,7,1),"x0x1x2x3x4x5x6x7x8x9"))),OR(8&gt;LEN(B855),MID(B855,8,1)=".",ISNUMBER(FIND("x"&amp;MID(B855,8,1),"x0x1x2x3x4x5x6x7x8x9"))),OR(9&gt;LEN(B855),MID(B855,9,1)=".",ISNUMBER(FIND("x"&amp;MID(B855,9,1),"x0x1x2x3x4x5x6x7x8x9"))),OR(10&gt;LEN(B855),MID(B855,10,1)=".",ISNUMBER(FIND("x"&amp;MID(B855,10,1),"x0x1x2x3x4x5x6x7x8x9"))),OR(AND(FIND(".",B855)=5,LEN(B855)-FIND(".",B855,FIND(".",B855)+1)&gt;=1,LEN(B855)-FIND(".",B855,FIND(".",B855)+1)&lt;=2),AND(LEN(B855)-FIND(".",B855,FIND(".",B855)+1)=4,FIND(".",B855)&gt;=2,FIND(".",B855)&lt;=3)),FIND(".",B855,FIND(".",B855)+1)-FIND(".",B855)&gt;=2,FIND(".",B855,FIND(".",B855)+1)-FIND(".",B855)&lt;=3,F855&gt;=2000,F855&lt;=2100,YEAR(I855)=F855,MONTH(I855)=G855,DAY(I855)=H855),I855,0)),0)</ns0:f>
        <ns0:v>0</ns0:v>
      </ns0:c>
      <ns0:c r="K855" s="0">
        <ns0:f>IFERROR(IF(ISNUMBER(Bookings!D855),"",TRIM(Bookings!D855&amp;"")),"")</ns0:f>
      </ns0:c>
      <ns0:c r="L855" s="0">
        <ns0:f>IFERROR(SUBSTITUTE(SUBSTITUTE(K855,"/","."),"-","."),"")</ns0:f>
      </ns0:c>
      <ns0:c r="M855" s="0">
        <ns0:f>IFERROR(LEFT(L855,FIND(".",L855)-1),"")</ns0:f>
      </ns0:c>
      <ns0:c r="N855" s="0">
        <ns0:f>IFERROR(MID(L855,FIND(".",L855)+1,FIND(".",L855,FIND(".",L855)+1)-FIND(".",L855)-1),"")</ns0:f>
      </ns0:c>
      <ns0:c r="O855" s="0">
        <ns0:f>IFERROR(MID(L855,FIND(".",L855,FIND(".",L855)+1)+1,99),"")</ns0:f>
        <ns0:v>99</ns0:v>
      </ns0:c>
      <ns0:c r="P855" s="0">
        <ns0:f>IFERROR(IF(FIND(".",L855)=5,--M855,--O855),0)</ns0:f>
        <ns0:v>0</ns0:v>
      </ns0:c>
      <ns0:c r="Q855" s="0">
        <ns0:f>IFERROR(--N855,0)</ns0:f>
        <ns0:v>0</ns0:v>
      </ns0:c>
      <ns0:c r="R855" s="0">
        <ns0:f>IFERROR(IF(FIND(".",L855)=5,--O855,--M855),0)</ns0:f>
        <ns0:v>0</ns0:v>
      </ns0:c>
      <ns0:c r="S855" s="0">
        <ns0:f>IFERROR(IF(AND(P855&gt;=2000,P855&lt;=2100,Q855&gt;=1,Q855&lt;=12,R855&gt;=1,R855&lt;=31),DATE(P855,Q855,R855),0),0)</ns0:f>
        <ns0:v>0</ns0:v>
      </ns0:c>
      <ns0:c r="T855" s="0">
        <ns0:f>IFERROR(IF(ISNUMBER(Bookings!D855),IF(AND(Bookings!D855=INT(Bookings!D855),Bookings!D855&gt;=DATE(2000,1,1),Bookings!D855&lt;=DATE(2100,12,31)),Bookings!D855,0),IF(AND(K855&lt;&gt;"",LEN("x"&amp;L855)-LEN(SUBSTITUTE("x"&amp;L855,".",""))=2,OR(1&gt;LEN(L855),MID(L855,1,1)=".",ISNUMBER(FIND("x"&amp;MID(L855,1,1),"x0x1x2x3x4x5x6x7x8x9"))),OR(2&gt;LEN(L855),MID(L855,2,1)=".",ISNUMBER(FIND("x"&amp;MID(L855,2,1),"x0x1x2x3x4x5x6x7x8x9"))),OR(3&gt;LEN(L855),MID(L855,3,1)=".",ISNUMBER(FIND("x"&amp;MID(L855,3,1),"x0x1x2x3x4x5x6x7x8x9"))),OR(4&gt;LEN(L855),MID(L855,4,1)=".",ISNUMBER(FIND("x"&amp;MID(L855,4,1),"x0x1x2x3x4x5x6x7x8x9"))),OR(5&gt;LEN(L855),MID(L855,5,1)=".",ISNUMBER(FIND("x"&amp;MID(L855,5,1),"x0x1x2x3x4x5x6x7x8x9"))),OR(6&gt;LEN(L855),MID(L855,6,1)=".",ISNUMBER(FIND("x"&amp;MID(L855,6,1),"x0x1x2x3x4x5x6x7x8x9"))),OR(7&gt;LEN(L855),MID(L855,7,1)=".",ISNUMBER(FIND("x"&amp;MID(L855,7,1),"x0x1x2x3x4x5x6x7x8x9"))),OR(8&gt;LEN(L855),MID(L855,8,1)=".",ISNUMBER(FIND("x"&amp;MID(L855,8,1),"x0x1x2x3x4x5x6x7x8x9"))),OR(9&gt;LEN(L855),MID(L855,9,1)=".",ISNUMBER(FIND("x"&amp;MID(L855,9,1),"x0x1x2x3x4x5x6x7x8x9"))),OR(10&gt;LEN(L855),MID(L855,10,1)=".",ISNUMBER(FIND("x"&amp;MID(L855,10,1),"x0x1x2x3x4x5x6x7x8x9"))),OR(AND(FIND(".",L855)=5,LEN(L855)-FIND(".",L855,FIND(".",L855)+1)&gt;=1,LEN(L855)-FIND(".",L855,FIND(".",L855)+1)&lt;=2),AND(LEN(L855)-FIND(".",L855,FIND(".",L855)+1)=4,FIND(".",L855)&gt;=2,FIND(".",L855)&lt;=3)),FIND(".",L855,FIND(".",L855)+1)-FIND(".",L855)&gt;=2,FIND(".",L855,FIND(".",L855)+1)-FIND(".",L855)&lt;=3,P855&gt;=2000,P855&lt;=2100,YEAR(S855)=P855,MONTH(S855)=Q855,DAY(S855)=R855),S855,0)),0)</ns0:f>
        <ns0:v>0</ns0:v>
      </ns0:c>
      <ns0:c r="U855" s="0" t="str">
        <ns0:f>IF(Bookings!C855="","Full day",Bookings!C855)</ns0:f>
        <ns0:v>Full day</ns0:v>
      </ns0:c>
      <ns0:c r="V855" s="0" t="str">
        <ns0:f>IF(Bookings!E855="","Full day",Bookings!E855)</ns0:f>
        <ns0:v>Full day</ns0:v>
      </ns0:c>
      <ns0:c r="W855" s="0">
        <ns0:f>IF(J855=0,0,J855+IF(U855="PM",1,0))</ns0:f>
        <ns0:v>0</ns0:v>
      </ns0:c>
      <ns0:c r="X855" s="0">
        <ns0:f>IF(T855=0,0,T855-IF(V855="PM",1,0))</ns0:f>
        <ns0:v>0</ns0:v>
      </ns0:c>
      <ns0:c r="Y855" s="0">
        <ns0:f>IF(J855=0,0,J855+IF(U855="AM",1,0))</ns0:f>
        <ns0:v>0</ns0:v>
      </ns0:c>
      <ns0:c r="Z855" s="0">
        <ns0:f>IF(T855=0,0,T855-IF(V855="AM",1,0))</ns0:f>
        <ns0:v>0</ns0:v>
      </ns0:c>
      <ns0:c r="AA855" s="0">
        <ns0:f>IFERROR(IF(AND(J855&gt;0,'_Engine'!C855&gt;0,MID('_Engine'!W855,WEEKDAY(J855,2),1)="W",COUNTIF(Settings!$F$18:$F$67,J855)=0),1,0),0)</ns0:f>
        <ns0:v>0</ns0:v>
      </ns0:c>
      <ns0:c r="AB855" s="0">
        <ns0:f>IFERROR(IF(AND(T855&gt;0,'_Engine'!C855&gt;0,MID('_Engine'!W855,WEEKDAY(T855,2),1)="W",COUNTIF(Settings!$F$18:$F$67,T855)=0),1,0),0)</ns0:f>
        <ns0:v>0</ns0:v>
      </ns0:c>
      <ns0:c r="AC855" s="0">
        <ns0:f>IF(AND(J855&gt;0,T855&gt;0,W855&lt;=X855),1,0)</ns0:f>
        <ns0:v>0</ns0:v>
      </ns0:c>
      <ns0:c r="AD855" s="0">
        <ns0:f>IF(AND(J855&gt;0,T855&gt;0,Y855&lt;=Z855),1,0)</ns0:f>
        <ns0:v>0</ns0:v>
      </ns0:c>
    </ns0:row>
    <ns0:row r="856">
      <ns0:c r="A856" s="0">
        <ns0:f>IFERROR(IF(ISNUMBER(Bookings!B856),"",TRIM(Bookings!B856&amp;"")),"")</ns0:f>
      </ns0:c>
      <ns0:c r="B856" s="0">
        <ns0:f>IFERROR(SUBSTITUTE(SUBSTITUTE(A856,"/","."),"-","."),"")</ns0:f>
      </ns0:c>
      <ns0:c r="C856" s="0">
        <ns0:f>IFERROR(LEFT(B856,FIND(".",B856)-1),"")</ns0:f>
      </ns0:c>
      <ns0:c r="D856" s="0">
        <ns0:f>IFERROR(MID(B856,FIND(".",B856)+1,FIND(".",B856,FIND(".",B856)+1)-FIND(".",B856)-1),"")</ns0:f>
      </ns0:c>
      <ns0:c r="E856" s="0">
        <ns0:f>IFERROR(MID(B856,FIND(".",B856,FIND(".",B856)+1)+1,99),"")</ns0:f>
        <ns0:v>99</ns0:v>
      </ns0:c>
      <ns0:c r="F856" s="0">
        <ns0:f>IFERROR(IF(FIND(".",B856)=5,--C856,--E856),0)</ns0:f>
        <ns0:v>0</ns0:v>
      </ns0:c>
      <ns0:c r="G856" s="0">
        <ns0:f>IFERROR(--D856,0)</ns0:f>
        <ns0:v>0</ns0:v>
      </ns0:c>
      <ns0:c r="H856" s="0">
        <ns0:f>IFERROR(IF(FIND(".",B856)=5,--E856,--C856),0)</ns0:f>
        <ns0:v>0</ns0:v>
      </ns0:c>
      <ns0:c r="I856" s="0">
        <ns0:f>IFERROR(IF(AND(F856&gt;=2000,F856&lt;=2100,G856&gt;=1,G856&lt;=12,H856&gt;=1,H856&lt;=31),DATE(F856,G856,H856),0),0)</ns0:f>
        <ns0:v>0</ns0:v>
      </ns0:c>
      <ns0:c r="J856" s="0">
        <ns0:f>IFERROR(IF(ISNUMBER(Bookings!B856),IF(AND(Bookings!B856=INT(Bookings!B856),Bookings!B856&gt;=DATE(2000,1,1),Bookings!B856&lt;=DATE(2100,12,31)),Bookings!B856,0),IF(AND(A856&lt;&gt;"",LEN("x"&amp;B856)-LEN(SUBSTITUTE("x"&amp;B856,".",""))=2,OR(1&gt;LEN(B856),MID(B856,1,1)=".",ISNUMBER(FIND("x"&amp;MID(B856,1,1),"x0x1x2x3x4x5x6x7x8x9"))),OR(2&gt;LEN(B856),MID(B856,2,1)=".",ISNUMBER(FIND("x"&amp;MID(B856,2,1),"x0x1x2x3x4x5x6x7x8x9"))),OR(3&gt;LEN(B856),MID(B856,3,1)=".",ISNUMBER(FIND("x"&amp;MID(B856,3,1),"x0x1x2x3x4x5x6x7x8x9"))),OR(4&gt;LEN(B856),MID(B856,4,1)=".",ISNUMBER(FIND("x"&amp;MID(B856,4,1),"x0x1x2x3x4x5x6x7x8x9"))),OR(5&gt;LEN(B856),MID(B856,5,1)=".",ISNUMBER(FIND("x"&amp;MID(B856,5,1),"x0x1x2x3x4x5x6x7x8x9"))),OR(6&gt;LEN(B856),MID(B856,6,1)=".",ISNUMBER(FIND("x"&amp;MID(B856,6,1),"x0x1x2x3x4x5x6x7x8x9"))),OR(7&gt;LEN(B856),MID(B856,7,1)=".",ISNUMBER(FIND("x"&amp;MID(B856,7,1),"x0x1x2x3x4x5x6x7x8x9"))),OR(8&gt;LEN(B856),MID(B856,8,1)=".",ISNUMBER(FIND("x"&amp;MID(B856,8,1),"x0x1x2x3x4x5x6x7x8x9"))),OR(9&gt;LEN(B856),MID(B856,9,1)=".",ISNUMBER(FIND("x"&amp;MID(B856,9,1),"x0x1x2x3x4x5x6x7x8x9"))),OR(10&gt;LEN(B856),MID(B856,10,1)=".",ISNUMBER(FIND("x"&amp;MID(B856,10,1),"x0x1x2x3x4x5x6x7x8x9"))),OR(AND(FIND(".",B856)=5,LEN(B856)-FIND(".",B856,FIND(".",B856)+1)&gt;=1,LEN(B856)-FIND(".",B856,FIND(".",B856)+1)&lt;=2),AND(LEN(B856)-FIND(".",B856,FIND(".",B856)+1)=4,FIND(".",B856)&gt;=2,FIND(".",B856)&lt;=3)),FIND(".",B856,FIND(".",B856)+1)-FIND(".",B856)&gt;=2,FIND(".",B856,FIND(".",B856)+1)-FIND(".",B856)&lt;=3,F856&gt;=2000,F856&lt;=2100,YEAR(I856)=F856,MONTH(I856)=G856,DAY(I856)=H856),I856,0)),0)</ns0:f>
        <ns0:v>0</ns0:v>
      </ns0:c>
      <ns0:c r="K856" s="0">
        <ns0:f>IFERROR(IF(ISNUMBER(Bookings!D856),"",TRIM(Bookings!D856&amp;"")),"")</ns0:f>
      </ns0:c>
      <ns0:c r="L856" s="0">
        <ns0:f>IFERROR(SUBSTITUTE(SUBSTITUTE(K856,"/","."),"-","."),"")</ns0:f>
      </ns0:c>
      <ns0:c r="M856" s="0">
        <ns0:f>IFERROR(LEFT(L856,FIND(".",L856)-1),"")</ns0:f>
      </ns0:c>
      <ns0:c r="N856" s="0">
        <ns0:f>IFERROR(MID(L856,FIND(".",L856)+1,FIND(".",L856,FIND(".",L856)+1)-FIND(".",L856)-1),"")</ns0:f>
      </ns0:c>
      <ns0:c r="O856" s="0">
        <ns0:f>IFERROR(MID(L856,FIND(".",L856,FIND(".",L856)+1)+1,99),"")</ns0:f>
        <ns0:v>99</ns0:v>
      </ns0:c>
      <ns0:c r="P856" s="0">
        <ns0:f>IFERROR(IF(FIND(".",L856)=5,--M856,--O856),0)</ns0:f>
        <ns0:v>0</ns0:v>
      </ns0:c>
      <ns0:c r="Q856" s="0">
        <ns0:f>IFERROR(--N856,0)</ns0:f>
        <ns0:v>0</ns0:v>
      </ns0:c>
      <ns0:c r="R856" s="0">
        <ns0:f>IFERROR(IF(FIND(".",L856)=5,--O856,--M856),0)</ns0:f>
        <ns0:v>0</ns0:v>
      </ns0:c>
      <ns0:c r="S856" s="0">
        <ns0:f>IFERROR(IF(AND(P856&gt;=2000,P856&lt;=2100,Q856&gt;=1,Q856&lt;=12,R856&gt;=1,R856&lt;=31),DATE(P856,Q856,R856),0),0)</ns0:f>
        <ns0:v>0</ns0:v>
      </ns0:c>
      <ns0:c r="T856" s="0">
        <ns0:f>IFERROR(IF(ISNUMBER(Bookings!D856),IF(AND(Bookings!D856=INT(Bookings!D856),Bookings!D856&gt;=DATE(2000,1,1),Bookings!D856&lt;=DATE(2100,12,31)),Bookings!D856,0),IF(AND(K856&lt;&gt;"",LEN("x"&amp;L856)-LEN(SUBSTITUTE("x"&amp;L856,".",""))=2,OR(1&gt;LEN(L856),MID(L856,1,1)=".",ISNUMBER(FIND("x"&amp;MID(L856,1,1),"x0x1x2x3x4x5x6x7x8x9"))),OR(2&gt;LEN(L856),MID(L856,2,1)=".",ISNUMBER(FIND("x"&amp;MID(L856,2,1),"x0x1x2x3x4x5x6x7x8x9"))),OR(3&gt;LEN(L856),MID(L856,3,1)=".",ISNUMBER(FIND("x"&amp;MID(L856,3,1),"x0x1x2x3x4x5x6x7x8x9"))),OR(4&gt;LEN(L856),MID(L856,4,1)=".",ISNUMBER(FIND("x"&amp;MID(L856,4,1),"x0x1x2x3x4x5x6x7x8x9"))),OR(5&gt;LEN(L856),MID(L856,5,1)=".",ISNUMBER(FIND("x"&amp;MID(L856,5,1),"x0x1x2x3x4x5x6x7x8x9"))),OR(6&gt;LEN(L856),MID(L856,6,1)=".",ISNUMBER(FIND("x"&amp;MID(L856,6,1),"x0x1x2x3x4x5x6x7x8x9"))),OR(7&gt;LEN(L856),MID(L856,7,1)=".",ISNUMBER(FIND("x"&amp;MID(L856,7,1),"x0x1x2x3x4x5x6x7x8x9"))),OR(8&gt;LEN(L856),MID(L856,8,1)=".",ISNUMBER(FIND("x"&amp;MID(L856,8,1),"x0x1x2x3x4x5x6x7x8x9"))),OR(9&gt;LEN(L856),MID(L856,9,1)=".",ISNUMBER(FIND("x"&amp;MID(L856,9,1),"x0x1x2x3x4x5x6x7x8x9"))),OR(10&gt;LEN(L856),MID(L856,10,1)=".",ISNUMBER(FIND("x"&amp;MID(L856,10,1),"x0x1x2x3x4x5x6x7x8x9"))),OR(AND(FIND(".",L856)=5,LEN(L856)-FIND(".",L856,FIND(".",L856)+1)&gt;=1,LEN(L856)-FIND(".",L856,FIND(".",L856)+1)&lt;=2),AND(LEN(L856)-FIND(".",L856,FIND(".",L856)+1)=4,FIND(".",L856)&gt;=2,FIND(".",L856)&lt;=3)),FIND(".",L856,FIND(".",L856)+1)-FIND(".",L856)&gt;=2,FIND(".",L856,FIND(".",L856)+1)-FIND(".",L856)&lt;=3,P856&gt;=2000,P856&lt;=2100,YEAR(S856)=P856,MONTH(S856)=Q856,DAY(S856)=R856),S856,0)),0)</ns0:f>
        <ns0:v>0</ns0:v>
      </ns0:c>
      <ns0:c r="U856" s="0" t="str">
        <ns0:f>IF(Bookings!C856="","Full day",Bookings!C856)</ns0:f>
        <ns0:v>Full day</ns0:v>
      </ns0:c>
      <ns0:c r="V856" s="0" t="str">
        <ns0:f>IF(Bookings!E856="","Full day",Bookings!E856)</ns0:f>
        <ns0:v>Full day</ns0:v>
      </ns0:c>
      <ns0:c r="W856" s="0">
        <ns0:f>IF(J856=0,0,J856+IF(U856="PM",1,0))</ns0:f>
        <ns0:v>0</ns0:v>
      </ns0:c>
      <ns0:c r="X856" s="0">
        <ns0:f>IF(T856=0,0,T856-IF(V856="PM",1,0))</ns0:f>
        <ns0:v>0</ns0:v>
      </ns0:c>
      <ns0:c r="Y856" s="0">
        <ns0:f>IF(J856=0,0,J856+IF(U856="AM",1,0))</ns0:f>
        <ns0:v>0</ns0:v>
      </ns0:c>
      <ns0:c r="Z856" s="0">
        <ns0:f>IF(T856=0,0,T856-IF(V856="AM",1,0))</ns0:f>
        <ns0:v>0</ns0:v>
      </ns0:c>
      <ns0:c r="AA856" s="0">
        <ns0:f>IFERROR(IF(AND(J856&gt;0,'_Engine'!C856&gt;0,MID('_Engine'!W856,WEEKDAY(J856,2),1)="W",COUNTIF(Settings!$F$18:$F$67,J856)=0),1,0),0)</ns0:f>
        <ns0:v>0</ns0:v>
      </ns0:c>
      <ns0:c r="AB856" s="0">
        <ns0:f>IFERROR(IF(AND(T856&gt;0,'_Engine'!C856&gt;0,MID('_Engine'!W856,WEEKDAY(T856,2),1)="W",COUNTIF(Settings!$F$18:$F$67,T856)=0),1,0),0)</ns0:f>
        <ns0:v>0</ns0:v>
      </ns0:c>
      <ns0:c r="AC856" s="0">
        <ns0:f>IF(AND(J856&gt;0,T856&gt;0,W856&lt;=X856),1,0)</ns0:f>
        <ns0:v>0</ns0:v>
      </ns0:c>
      <ns0:c r="AD856" s="0">
        <ns0:f>IF(AND(J856&gt;0,T856&gt;0,Y856&lt;=Z856),1,0)</ns0:f>
        <ns0:v>0</ns0:v>
      </ns0:c>
    </ns0:row>
    <ns0:row r="857">
      <ns0:c r="A857" s="0">
        <ns0:f>IFERROR(IF(ISNUMBER(Bookings!B857),"",TRIM(Bookings!B857&amp;"")),"")</ns0:f>
      </ns0:c>
      <ns0:c r="B857" s="0">
        <ns0:f>IFERROR(SUBSTITUTE(SUBSTITUTE(A857,"/","."),"-","."),"")</ns0:f>
      </ns0:c>
      <ns0:c r="C857" s="0">
        <ns0:f>IFERROR(LEFT(B857,FIND(".",B857)-1),"")</ns0:f>
      </ns0:c>
      <ns0:c r="D857" s="0">
        <ns0:f>IFERROR(MID(B857,FIND(".",B857)+1,FIND(".",B857,FIND(".",B857)+1)-FIND(".",B857)-1),"")</ns0:f>
      </ns0:c>
      <ns0:c r="E857" s="0">
        <ns0:f>IFERROR(MID(B857,FIND(".",B857,FIND(".",B857)+1)+1,99),"")</ns0:f>
        <ns0:v>99</ns0:v>
      </ns0:c>
      <ns0:c r="F857" s="0">
        <ns0:f>IFERROR(IF(FIND(".",B857)=5,--C857,--E857),0)</ns0:f>
        <ns0:v>0</ns0:v>
      </ns0:c>
      <ns0:c r="G857" s="0">
        <ns0:f>IFERROR(--D857,0)</ns0:f>
        <ns0:v>0</ns0:v>
      </ns0:c>
      <ns0:c r="H857" s="0">
        <ns0:f>IFERROR(IF(FIND(".",B857)=5,--E857,--C857),0)</ns0:f>
        <ns0:v>0</ns0:v>
      </ns0:c>
      <ns0:c r="I857" s="0">
        <ns0:f>IFERROR(IF(AND(F857&gt;=2000,F857&lt;=2100,G857&gt;=1,G857&lt;=12,H857&gt;=1,H857&lt;=31),DATE(F857,G857,H857),0),0)</ns0:f>
        <ns0:v>0</ns0:v>
      </ns0:c>
      <ns0:c r="J857" s="0">
        <ns0:f>IFERROR(IF(ISNUMBER(Bookings!B857),IF(AND(Bookings!B857=INT(Bookings!B857),Bookings!B857&gt;=DATE(2000,1,1),Bookings!B857&lt;=DATE(2100,12,31)),Bookings!B857,0),IF(AND(A857&lt;&gt;"",LEN("x"&amp;B857)-LEN(SUBSTITUTE("x"&amp;B857,".",""))=2,OR(1&gt;LEN(B857),MID(B857,1,1)=".",ISNUMBER(FIND("x"&amp;MID(B857,1,1),"x0x1x2x3x4x5x6x7x8x9"))),OR(2&gt;LEN(B857),MID(B857,2,1)=".",ISNUMBER(FIND("x"&amp;MID(B857,2,1),"x0x1x2x3x4x5x6x7x8x9"))),OR(3&gt;LEN(B857),MID(B857,3,1)=".",ISNUMBER(FIND("x"&amp;MID(B857,3,1),"x0x1x2x3x4x5x6x7x8x9"))),OR(4&gt;LEN(B857),MID(B857,4,1)=".",ISNUMBER(FIND("x"&amp;MID(B857,4,1),"x0x1x2x3x4x5x6x7x8x9"))),OR(5&gt;LEN(B857),MID(B857,5,1)=".",ISNUMBER(FIND("x"&amp;MID(B857,5,1),"x0x1x2x3x4x5x6x7x8x9"))),OR(6&gt;LEN(B857),MID(B857,6,1)=".",ISNUMBER(FIND("x"&amp;MID(B857,6,1),"x0x1x2x3x4x5x6x7x8x9"))),OR(7&gt;LEN(B857),MID(B857,7,1)=".",ISNUMBER(FIND("x"&amp;MID(B857,7,1),"x0x1x2x3x4x5x6x7x8x9"))),OR(8&gt;LEN(B857),MID(B857,8,1)=".",ISNUMBER(FIND("x"&amp;MID(B857,8,1),"x0x1x2x3x4x5x6x7x8x9"))),OR(9&gt;LEN(B857),MID(B857,9,1)=".",ISNUMBER(FIND("x"&amp;MID(B857,9,1),"x0x1x2x3x4x5x6x7x8x9"))),OR(10&gt;LEN(B857),MID(B857,10,1)=".",ISNUMBER(FIND("x"&amp;MID(B857,10,1),"x0x1x2x3x4x5x6x7x8x9"))),OR(AND(FIND(".",B857)=5,LEN(B857)-FIND(".",B857,FIND(".",B857)+1)&gt;=1,LEN(B857)-FIND(".",B857,FIND(".",B857)+1)&lt;=2),AND(LEN(B857)-FIND(".",B857,FIND(".",B857)+1)=4,FIND(".",B857)&gt;=2,FIND(".",B857)&lt;=3)),FIND(".",B857,FIND(".",B857)+1)-FIND(".",B857)&gt;=2,FIND(".",B857,FIND(".",B857)+1)-FIND(".",B857)&lt;=3,F857&gt;=2000,F857&lt;=2100,YEAR(I857)=F857,MONTH(I857)=G857,DAY(I857)=H857),I857,0)),0)</ns0:f>
        <ns0:v>0</ns0:v>
      </ns0:c>
      <ns0:c r="K857" s="0">
        <ns0:f>IFERROR(IF(ISNUMBER(Bookings!D857),"",TRIM(Bookings!D857&amp;"")),"")</ns0:f>
      </ns0:c>
      <ns0:c r="L857" s="0">
        <ns0:f>IFERROR(SUBSTITUTE(SUBSTITUTE(K857,"/","."),"-","."),"")</ns0:f>
      </ns0:c>
      <ns0:c r="M857" s="0">
        <ns0:f>IFERROR(LEFT(L857,FIND(".",L857)-1),"")</ns0:f>
      </ns0:c>
      <ns0:c r="N857" s="0">
        <ns0:f>IFERROR(MID(L857,FIND(".",L857)+1,FIND(".",L857,FIND(".",L857)+1)-FIND(".",L857)-1),"")</ns0:f>
      </ns0:c>
      <ns0:c r="O857" s="0">
        <ns0:f>IFERROR(MID(L857,FIND(".",L857,FIND(".",L857)+1)+1,99),"")</ns0:f>
        <ns0:v>99</ns0:v>
      </ns0:c>
      <ns0:c r="P857" s="0">
        <ns0:f>IFERROR(IF(FIND(".",L857)=5,--M857,--O857),0)</ns0:f>
        <ns0:v>0</ns0:v>
      </ns0:c>
      <ns0:c r="Q857" s="0">
        <ns0:f>IFERROR(--N857,0)</ns0:f>
        <ns0:v>0</ns0:v>
      </ns0:c>
      <ns0:c r="R857" s="0">
        <ns0:f>IFERROR(IF(FIND(".",L857)=5,--O857,--M857),0)</ns0:f>
        <ns0:v>0</ns0:v>
      </ns0:c>
      <ns0:c r="S857" s="0">
        <ns0:f>IFERROR(IF(AND(P857&gt;=2000,P857&lt;=2100,Q857&gt;=1,Q857&lt;=12,R857&gt;=1,R857&lt;=31),DATE(P857,Q857,R857),0),0)</ns0:f>
        <ns0:v>0</ns0:v>
      </ns0:c>
      <ns0:c r="T857" s="0">
        <ns0:f>IFERROR(IF(ISNUMBER(Bookings!D857),IF(AND(Bookings!D857=INT(Bookings!D857),Bookings!D857&gt;=DATE(2000,1,1),Bookings!D857&lt;=DATE(2100,12,31)),Bookings!D857,0),IF(AND(K857&lt;&gt;"",LEN("x"&amp;L857)-LEN(SUBSTITUTE("x"&amp;L857,".",""))=2,OR(1&gt;LEN(L857),MID(L857,1,1)=".",ISNUMBER(FIND("x"&amp;MID(L857,1,1),"x0x1x2x3x4x5x6x7x8x9"))),OR(2&gt;LEN(L857),MID(L857,2,1)=".",ISNUMBER(FIND("x"&amp;MID(L857,2,1),"x0x1x2x3x4x5x6x7x8x9"))),OR(3&gt;LEN(L857),MID(L857,3,1)=".",ISNUMBER(FIND("x"&amp;MID(L857,3,1),"x0x1x2x3x4x5x6x7x8x9"))),OR(4&gt;LEN(L857),MID(L857,4,1)=".",ISNUMBER(FIND("x"&amp;MID(L857,4,1),"x0x1x2x3x4x5x6x7x8x9"))),OR(5&gt;LEN(L857),MID(L857,5,1)=".",ISNUMBER(FIND("x"&amp;MID(L857,5,1),"x0x1x2x3x4x5x6x7x8x9"))),OR(6&gt;LEN(L857),MID(L857,6,1)=".",ISNUMBER(FIND("x"&amp;MID(L857,6,1),"x0x1x2x3x4x5x6x7x8x9"))),OR(7&gt;LEN(L857),MID(L857,7,1)=".",ISNUMBER(FIND("x"&amp;MID(L857,7,1),"x0x1x2x3x4x5x6x7x8x9"))),OR(8&gt;LEN(L857),MID(L857,8,1)=".",ISNUMBER(FIND("x"&amp;MID(L857,8,1),"x0x1x2x3x4x5x6x7x8x9"))),OR(9&gt;LEN(L857),MID(L857,9,1)=".",ISNUMBER(FIND("x"&amp;MID(L857,9,1),"x0x1x2x3x4x5x6x7x8x9"))),OR(10&gt;LEN(L857),MID(L857,10,1)=".",ISNUMBER(FIND("x"&amp;MID(L857,10,1),"x0x1x2x3x4x5x6x7x8x9"))),OR(AND(FIND(".",L857)=5,LEN(L857)-FIND(".",L857,FIND(".",L857)+1)&gt;=1,LEN(L857)-FIND(".",L857,FIND(".",L857)+1)&lt;=2),AND(LEN(L857)-FIND(".",L857,FIND(".",L857)+1)=4,FIND(".",L857)&gt;=2,FIND(".",L857)&lt;=3)),FIND(".",L857,FIND(".",L857)+1)-FIND(".",L857)&gt;=2,FIND(".",L857,FIND(".",L857)+1)-FIND(".",L857)&lt;=3,P857&gt;=2000,P857&lt;=2100,YEAR(S857)=P857,MONTH(S857)=Q857,DAY(S857)=R857),S857,0)),0)</ns0:f>
        <ns0:v>0</ns0:v>
      </ns0:c>
      <ns0:c r="U857" s="0" t="str">
        <ns0:f>IF(Bookings!C857="","Full day",Bookings!C857)</ns0:f>
        <ns0:v>Full day</ns0:v>
      </ns0:c>
      <ns0:c r="V857" s="0" t="str">
        <ns0:f>IF(Bookings!E857="","Full day",Bookings!E857)</ns0:f>
        <ns0:v>Full day</ns0:v>
      </ns0:c>
      <ns0:c r="W857" s="0">
        <ns0:f>IF(J857=0,0,J857+IF(U857="PM",1,0))</ns0:f>
        <ns0:v>0</ns0:v>
      </ns0:c>
      <ns0:c r="X857" s="0">
        <ns0:f>IF(T857=0,0,T857-IF(V857="PM",1,0))</ns0:f>
        <ns0:v>0</ns0:v>
      </ns0:c>
      <ns0:c r="Y857" s="0">
        <ns0:f>IF(J857=0,0,J857+IF(U857="AM",1,0))</ns0:f>
        <ns0:v>0</ns0:v>
      </ns0:c>
      <ns0:c r="Z857" s="0">
        <ns0:f>IF(T857=0,0,T857-IF(V857="AM",1,0))</ns0:f>
        <ns0:v>0</ns0:v>
      </ns0:c>
      <ns0:c r="AA857" s="0">
        <ns0:f>IFERROR(IF(AND(J857&gt;0,'_Engine'!C857&gt;0,MID('_Engine'!W857,WEEKDAY(J857,2),1)="W",COUNTIF(Settings!$F$18:$F$67,J857)=0),1,0),0)</ns0:f>
        <ns0:v>0</ns0:v>
      </ns0:c>
      <ns0:c r="AB857" s="0">
        <ns0:f>IFERROR(IF(AND(T857&gt;0,'_Engine'!C857&gt;0,MID('_Engine'!W857,WEEKDAY(T857,2),1)="W",COUNTIF(Settings!$F$18:$F$67,T857)=0),1,0),0)</ns0:f>
        <ns0:v>0</ns0:v>
      </ns0:c>
      <ns0:c r="AC857" s="0">
        <ns0:f>IF(AND(J857&gt;0,T857&gt;0,W857&lt;=X857),1,0)</ns0:f>
        <ns0:v>0</ns0:v>
      </ns0:c>
      <ns0:c r="AD857" s="0">
        <ns0:f>IF(AND(J857&gt;0,T857&gt;0,Y857&lt;=Z857),1,0)</ns0:f>
        <ns0:v>0</ns0:v>
      </ns0:c>
    </ns0:row>
    <ns0:row r="858">
      <ns0:c r="A858" s="0">
        <ns0:f>IFERROR(IF(ISNUMBER(Bookings!B858),"",TRIM(Bookings!B858&amp;"")),"")</ns0:f>
      </ns0:c>
      <ns0:c r="B858" s="0">
        <ns0:f>IFERROR(SUBSTITUTE(SUBSTITUTE(A858,"/","."),"-","."),"")</ns0:f>
      </ns0:c>
      <ns0:c r="C858" s="0">
        <ns0:f>IFERROR(LEFT(B858,FIND(".",B858)-1),"")</ns0:f>
      </ns0:c>
      <ns0:c r="D858" s="0">
        <ns0:f>IFERROR(MID(B858,FIND(".",B858)+1,FIND(".",B858,FIND(".",B858)+1)-FIND(".",B858)-1),"")</ns0:f>
      </ns0:c>
      <ns0:c r="E858" s="0">
        <ns0:f>IFERROR(MID(B858,FIND(".",B858,FIND(".",B858)+1)+1,99),"")</ns0:f>
        <ns0:v>99</ns0:v>
      </ns0:c>
      <ns0:c r="F858" s="0">
        <ns0:f>IFERROR(IF(FIND(".",B858)=5,--C858,--E858),0)</ns0:f>
        <ns0:v>0</ns0:v>
      </ns0:c>
      <ns0:c r="G858" s="0">
        <ns0:f>IFERROR(--D858,0)</ns0:f>
        <ns0:v>0</ns0:v>
      </ns0:c>
      <ns0:c r="H858" s="0">
        <ns0:f>IFERROR(IF(FIND(".",B858)=5,--E858,--C858),0)</ns0:f>
        <ns0:v>0</ns0:v>
      </ns0:c>
      <ns0:c r="I858" s="0">
        <ns0:f>IFERROR(IF(AND(F858&gt;=2000,F858&lt;=2100,G858&gt;=1,G858&lt;=12,H858&gt;=1,H858&lt;=31),DATE(F858,G858,H858),0),0)</ns0:f>
        <ns0:v>0</ns0:v>
      </ns0:c>
      <ns0:c r="J858" s="0">
        <ns0:f>IFERROR(IF(ISNUMBER(Bookings!B858),IF(AND(Bookings!B858=INT(Bookings!B858),Bookings!B858&gt;=DATE(2000,1,1),Bookings!B858&lt;=DATE(2100,12,31)),Bookings!B858,0),IF(AND(A858&lt;&gt;"",LEN("x"&amp;B858)-LEN(SUBSTITUTE("x"&amp;B858,".",""))=2,OR(1&gt;LEN(B858),MID(B858,1,1)=".",ISNUMBER(FIND("x"&amp;MID(B858,1,1),"x0x1x2x3x4x5x6x7x8x9"))),OR(2&gt;LEN(B858),MID(B858,2,1)=".",ISNUMBER(FIND("x"&amp;MID(B858,2,1),"x0x1x2x3x4x5x6x7x8x9"))),OR(3&gt;LEN(B858),MID(B858,3,1)=".",ISNUMBER(FIND("x"&amp;MID(B858,3,1),"x0x1x2x3x4x5x6x7x8x9"))),OR(4&gt;LEN(B858),MID(B858,4,1)=".",ISNUMBER(FIND("x"&amp;MID(B858,4,1),"x0x1x2x3x4x5x6x7x8x9"))),OR(5&gt;LEN(B858),MID(B858,5,1)=".",ISNUMBER(FIND("x"&amp;MID(B858,5,1),"x0x1x2x3x4x5x6x7x8x9"))),OR(6&gt;LEN(B858),MID(B858,6,1)=".",ISNUMBER(FIND("x"&amp;MID(B858,6,1),"x0x1x2x3x4x5x6x7x8x9"))),OR(7&gt;LEN(B858),MID(B858,7,1)=".",ISNUMBER(FIND("x"&amp;MID(B858,7,1),"x0x1x2x3x4x5x6x7x8x9"))),OR(8&gt;LEN(B858),MID(B858,8,1)=".",ISNUMBER(FIND("x"&amp;MID(B858,8,1),"x0x1x2x3x4x5x6x7x8x9"))),OR(9&gt;LEN(B858),MID(B858,9,1)=".",ISNUMBER(FIND("x"&amp;MID(B858,9,1),"x0x1x2x3x4x5x6x7x8x9"))),OR(10&gt;LEN(B858),MID(B858,10,1)=".",ISNUMBER(FIND("x"&amp;MID(B858,10,1),"x0x1x2x3x4x5x6x7x8x9"))),OR(AND(FIND(".",B858)=5,LEN(B858)-FIND(".",B858,FIND(".",B858)+1)&gt;=1,LEN(B858)-FIND(".",B858,FIND(".",B858)+1)&lt;=2),AND(LEN(B858)-FIND(".",B858,FIND(".",B858)+1)=4,FIND(".",B858)&gt;=2,FIND(".",B858)&lt;=3)),FIND(".",B858,FIND(".",B858)+1)-FIND(".",B858)&gt;=2,FIND(".",B858,FIND(".",B858)+1)-FIND(".",B858)&lt;=3,F858&gt;=2000,F858&lt;=2100,YEAR(I858)=F858,MONTH(I858)=G858,DAY(I858)=H858),I858,0)),0)</ns0:f>
        <ns0:v>0</ns0:v>
      </ns0:c>
      <ns0:c r="K858" s="0">
        <ns0:f>IFERROR(IF(ISNUMBER(Bookings!D858),"",TRIM(Bookings!D858&amp;"")),"")</ns0:f>
      </ns0:c>
      <ns0:c r="L858" s="0">
        <ns0:f>IFERROR(SUBSTITUTE(SUBSTITUTE(K858,"/","."),"-","."),"")</ns0:f>
      </ns0:c>
      <ns0:c r="M858" s="0">
        <ns0:f>IFERROR(LEFT(L858,FIND(".",L858)-1),"")</ns0:f>
      </ns0:c>
      <ns0:c r="N858" s="0">
        <ns0:f>IFERROR(MID(L858,FIND(".",L858)+1,FIND(".",L858,FIND(".",L858)+1)-FIND(".",L858)-1),"")</ns0:f>
      </ns0:c>
      <ns0:c r="O858" s="0">
        <ns0:f>IFERROR(MID(L858,FIND(".",L858,FIND(".",L858)+1)+1,99),"")</ns0:f>
        <ns0:v>99</ns0:v>
      </ns0:c>
      <ns0:c r="P858" s="0">
        <ns0:f>IFERROR(IF(FIND(".",L858)=5,--M858,--O858),0)</ns0:f>
        <ns0:v>0</ns0:v>
      </ns0:c>
      <ns0:c r="Q858" s="0">
        <ns0:f>IFERROR(--N858,0)</ns0:f>
        <ns0:v>0</ns0:v>
      </ns0:c>
      <ns0:c r="R858" s="0">
        <ns0:f>IFERROR(IF(FIND(".",L858)=5,--O858,--M858),0)</ns0:f>
        <ns0:v>0</ns0:v>
      </ns0:c>
      <ns0:c r="S858" s="0">
        <ns0:f>IFERROR(IF(AND(P858&gt;=2000,P858&lt;=2100,Q858&gt;=1,Q858&lt;=12,R858&gt;=1,R858&lt;=31),DATE(P858,Q858,R858),0),0)</ns0:f>
        <ns0:v>0</ns0:v>
      </ns0:c>
      <ns0:c r="T858" s="0">
        <ns0:f>IFERROR(IF(ISNUMBER(Bookings!D858),IF(AND(Bookings!D858=INT(Bookings!D858),Bookings!D858&gt;=DATE(2000,1,1),Bookings!D858&lt;=DATE(2100,12,31)),Bookings!D858,0),IF(AND(K858&lt;&gt;"",LEN("x"&amp;L858)-LEN(SUBSTITUTE("x"&amp;L858,".",""))=2,OR(1&gt;LEN(L858),MID(L858,1,1)=".",ISNUMBER(FIND("x"&amp;MID(L858,1,1),"x0x1x2x3x4x5x6x7x8x9"))),OR(2&gt;LEN(L858),MID(L858,2,1)=".",ISNUMBER(FIND("x"&amp;MID(L858,2,1),"x0x1x2x3x4x5x6x7x8x9"))),OR(3&gt;LEN(L858),MID(L858,3,1)=".",ISNUMBER(FIND("x"&amp;MID(L858,3,1),"x0x1x2x3x4x5x6x7x8x9"))),OR(4&gt;LEN(L858),MID(L858,4,1)=".",ISNUMBER(FIND("x"&amp;MID(L858,4,1),"x0x1x2x3x4x5x6x7x8x9"))),OR(5&gt;LEN(L858),MID(L858,5,1)=".",ISNUMBER(FIND("x"&amp;MID(L858,5,1),"x0x1x2x3x4x5x6x7x8x9"))),OR(6&gt;LEN(L858),MID(L858,6,1)=".",ISNUMBER(FIND("x"&amp;MID(L858,6,1),"x0x1x2x3x4x5x6x7x8x9"))),OR(7&gt;LEN(L858),MID(L858,7,1)=".",ISNUMBER(FIND("x"&amp;MID(L858,7,1),"x0x1x2x3x4x5x6x7x8x9"))),OR(8&gt;LEN(L858),MID(L858,8,1)=".",ISNUMBER(FIND("x"&amp;MID(L858,8,1),"x0x1x2x3x4x5x6x7x8x9"))),OR(9&gt;LEN(L858),MID(L858,9,1)=".",ISNUMBER(FIND("x"&amp;MID(L858,9,1),"x0x1x2x3x4x5x6x7x8x9"))),OR(10&gt;LEN(L858),MID(L858,10,1)=".",ISNUMBER(FIND("x"&amp;MID(L858,10,1),"x0x1x2x3x4x5x6x7x8x9"))),OR(AND(FIND(".",L858)=5,LEN(L858)-FIND(".",L858,FIND(".",L858)+1)&gt;=1,LEN(L858)-FIND(".",L858,FIND(".",L858)+1)&lt;=2),AND(LEN(L858)-FIND(".",L858,FIND(".",L858)+1)=4,FIND(".",L858)&gt;=2,FIND(".",L858)&lt;=3)),FIND(".",L858,FIND(".",L858)+1)-FIND(".",L858)&gt;=2,FIND(".",L858,FIND(".",L858)+1)-FIND(".",L858)&lt;=3,P858&gt;=2000,P858&lt;=2100,YEAR(S858)=P858,MONTH(S858)=Q858,DAY(S858)=R858),S858,0)),0)</ns0:f>
        <ns0:v>0</ns0:v>
      </ns0:c>
      <ns0:c r="U858" s="0" t="str">
        <ns0:f>IF(Bookings!C858="","Full day",Bookings!C858)</ns0:f>
        <ns0:v>Full day</ns0:v>
      </ns0:c>
      <ns0:c r="V858" s="0" t="str">
        <ns0:f>IF(Bookings!E858="","Full day",Bookings!E858)</ns0:f>
        <ns0:v>Full day</ns0:v>
      </ns0:c>
      <ns0:c r="W858" s="0">
        <ns0:f>IF(J858=0,0,J858+IF(U858="PM",1,0))</ns0:f>
        <ns0:v>0</ns0:v>
      </ns0:c>
      <ns0:c r="X858" s="0">
        <ns0:f>IF(T858=0,0,T858-IF(V858="PM",1,0))</ns0:f>
        <ns0:v>0</ns0:v>
      </ns0:c>
      <ns0:c r="Y858" s="0">
        <ns0:f>IF(J858=0,0,J858+IF(U858="AM",1,0))</ns0:f>
        <ns0:v>0</ns0:v>
      </ns0:c>
      <ns0:c r="Z858" s="0">
        <ns0:f>IF(T858=0,0,T858-IF(V858="AM",1,0))</ns0:f>
        <ns0:v>0</ns0:v>
      </ns0:c>
      <ns0:c r="AA858" s="0">
        <ns0:f>IFERROR(IF(AND(J858&gt;0,'_Engine'!C858&gt;0,MID('_Engine'!W858,WEEKDAY(J858,2),1)="W",COUNTIF(Settings!$F$18:$F$67,J858)=0),1,0),0)</ns0:f>
        <ns0:v>0</ns0:v>
      </ns0:c>
      <ns0:c r="AB858" s="0">
        <ns0:f>IFERROR(IF(AND(T858&gt;0,'_Engine'!C858&gt;0,MID('_Engine'!W858,WEEKDAY(T858,2),1)="W",COUNTIF(Settings!$F$18:$F$67,T858)=0),1,0),0)</ns0:f>
        <ns0:v>0</ns0:v>
      </ns0:c>
      <ns0:c r="AC858" s="0">
        <ns0:f>IF(AND(J858&gt;0,T858&gt;0,W858&lt;=X858),1,0)</ns0:f>
        <ns0:v>0</ns0:v>
      </ns0:c>
      <ns0:c r="AD858" s="0">
        <ns0:f>IF(AND(J858&gt;0,T858&gt;0,Y858&lt;=Z858),1,0)</ns0:f>
        <ns0:v>0</ns0:v>
      </ns0:c>
    </ns0:row>
    <ns0:row r="859">
      <ns0:c r="A859" s="0">
        <ns0:f>IFERROR(IF(ISNUMBER(Bookings!B859),"",TRIM(Bookings!B859&amp;"")),"")</ns0:f>
      </ns0:c>
      <ns0:c r="B859" s="0">
        <ns0:f>IFERROR(SUBSTITUTE(SUBSTITUTE(A859,"/","."),"-","."),"")</ns0:f>
      </ns0:c>
      <ns0:c r="C859" s="0">
        <ns0:f>IFERROR(LEFT(B859,FIND(".",B859)-1),"")</ns0:f>
      </ns0:c>
      <ns0:c r="D859" s="0">
        <ns0:f>IFERROR(MID(B859,FIND(".",B859)+1,FIND(".",B859,FIND(".",B859)+1)-FIND(".",B859)-1),"")</ns0:f>
      </ns0:c>
      <ns0:c r="E859" s="0">
        <ns0:f>IFERROR(MID(B859,FIND(".",B859,FIND(".",B859)+1)+1,99),"")</ns0:f>
        <ns0:v>99</ns0:v>
      </ns0:c>
      <ns0:c r="F859" s="0">
        <ns0:f>IFERROR(IF(FIND(".",B859)=5,--C859,--E859),0)</ns0:f>
        <ns0:v>0</ns0:v>
      </ns0:c>
      <ns0:c r="G859" s="0">
        <ns0:f>IFERROR(--D859,0)</ns0:f>
        <ns0:v>0</ns0:v>
      </ns0:c>
      <ns0:c r="H859" s="0">
        <ns0:f>IFERROR(IF(FIND(".",B859)=5,--E859,--C859),0)</ns0:f>
        <ns0:v>0</ns0:v>
      </ns0:c>
      <ns0:c r="I859" s="0">
        <ns0:f>IFERROR(IF(AND(F859&gt;=2000,F859&lt;=2100,G859&gt;=1,G859&lt;=12,H859&gt;=1,H859&lt;=31),DATE(F859,G859,H859),0),0)</ns0:f>
        <ns0:v>0</ns0:v>
      </ns0:c>
      <ns0:c r="J859" s="0">
        <ns0:f>IFERROR(IF(ISNUMBER(Bookings!B859),IF(AND(Bookings!B859=INT(Bookings!B859),Bookings!B859&gt;=DATE(2000,1,1),Bookings!B859&lt;=DATE(2100,12,31)),Bookings!B859,0),IF(AND(A859&lt;&gt;"",LEN("x"&amp;B859)-LEN(SUBSTITUTE("x"&amp;B859,".",""))=2,OR(1&gt;LEN(B859),MID(B859,1,1)=".",ISNUMBER(FIND("x"&amp;MID(B859,1,1),"x0x1x2x3x4x5x6x7x8x9"))),OR(2&gt;LEN(B859),MID(B859,2,1)=".",ISNUMBER(FIND("x"&amp;MID(B859,2,1),"x0x1x2x3x4x5x6x7x8x9"))),OR(3&gt;LEN(B859),MID(B859,3,1)=".",ISNUMBER(FIND("x"&amp;MID(B859,3,1),"x0x1x2x3x4x5x6x7x8x9"))),OR(4&gt;LEN(B859),MID(B859,4,1)=".",ISNUMBER(FIND("x"&amp;MID(B859,4,1),"x0x1x2x3x4x5x6x7x8x9"))),OR(5&gt;LEN(B859),MID(B859,5,1)=".",ISNUMBER(FIND("x"&amp;MID(B859,5,1),"x0x1x2x3x4x5x6x7x8x9"))),OR(6&gt;LEN(B859),MID(B859,6,1)=".",ISNUMBER(FIND("x"&amp;MID(B859,6,1),"x0x1x2x3x4x5x6x7x8x9"))),OR(7&gt;LEN(B859),MID(B859,7,1)=".",ISNUMBER(FIND("x"&amp;MID(B859,7,1),"x0x1x2x3x4x5x6x7x8x9"))),OR(8&gt;LEN(B859),MID(B859,8,1)=".",ISNUMBER(FIND("x"&amp;MID(B859,8,1),"x0x1x2x3x4x5x6x7x8x9"))),OR(9&gt;LEN(B859),MID(B859,9,1)=".",ISNUMBER(FIND("x"&amp;MID(B859,9,1),"x0x1x2x3x4x5x6x7x8x9"))),OR(10&gt;LEN(B859),MID(B859,10,1)=".",ISNUMBER(FIND("x"&amp;MID(B859,10,1),"x0x1x2x3x4x5x6x7x8x9"))),OR(AND(FIND(".",B859)=5,LEN(B859)-FIND(".",B859,FIND(".",B859)+1)&gt;=1,LEN(B859)-FIND(".",B859,FIND(".",B859)+1)&lt;=2),AND(LEN(B859)-FIND(".",B859,FIND(".",B859)+1)=4,FIND(".",B859)&gt;=2,FIND(".",B859)&lt;=3)),FIND(".",B859,FIND(".",B859)+1)-FIND(".",B859)&gt;=2,FIND(".",B859,FIND(".",B859)+1)-FIND(".",B859)&lt;=3,F859&gt;=2000,F859&lt;=2100,YEAR(I859)=F859,MONTH(I859)=G859,DAY(I859)=H859),I859,0)),0)</ns0:f>
        <ns0:v>0</ns0:v>
      </ns0:c>
      <ns0:c r="K859" s="0">
        <ns0:f>IFERROR(IF(ISNUMBER(Bookings!D859),"",TRIM(Bookings!D859&amp;"")),"")</ns0:f>
      </ns0:c>
      <ns0:c r="L859" s="0">
        <ns0:f>IFERROR(SUBSTITUTE(SUBSTITUTE(K859,"/","."),"-","."),"")</ns0:f>
      </ns0:c>
      <ns0:c r="M859" s="0">
        <ns0:f>IFERROR(LEFT(L859,FIND(".",L859)-1),"")</ns0:f>
      </ns0:c>
      <ns0:c r="N859" s="0">
        <ns0:f>IFERROR(MID(L859,FIND(".",L859)+1,FIND(".",L859,FIND(".",L859)+1)-FIND(".",L859)-1),"")</ns0:f>
      </ns0:c>
      <ns0:c r="O859" s="0">
        <ns0:f>IFERROR(MID(L859,FIND(".",L859,FIND(".",L859)+1)+1,99),"")</ns0:f>
        <ns0:v>99</ns0:v>
      </ns0:c>
      <ns0:c r="P859" s="0">
        <ns0:f>IFERROR(IF(FIND(".",L859)=5,--M859,--O859),0)</ns0:f>
        <ns0:v>0</ns0:v>
      </ns0:c>
      <ns0:c r="Q859" s="0">
        <ns0:f>IFERROR(--N859,0)</ns0:f>
        <ns0:v>0</ns0:v>
      </ns0:c>
      <ns0:c r="R859" s="0">
        <ns0:f>IFERROR(IF(FIND(".",L859)=5,--O859,--M859),0)</ns0:f>
        <ns0:v>0</ns0:v>
      </ns0:c>
      <ns0:c r="S859" s="0">
        <ns0:f>IFERROR(IF(AND(P859&gt;=2000,P859&lt;=2100,Q859&gt;=1,Q859&lt;=12,R859&gt;=1,R859&lt;=31),DATE(P859,Q859,R859),0),0)</ns0:f>
        <ns0:v>0</ns0:v>
      </ns0:c>
      <ns0:c r="T859" s="0">
        <ns0:f>IFERROR(IF(ISNUMBER(Bookings!D859),IF(AND(Bookings!D859=INT(Bookings!D859),Bookings!D859&gt;=DATE(2000,1,1),Bookings!D859&lt;=DATE(2100,12,31)),Bookings!D859,0),IF(AND(K859&lt;&gt;"",LEN("x"&amp;L859)-LEN(SUBSTITUTE("x"&amp;L859,".",""))=2,OR(1&gt;LEN(L859),MID(L859,1,1)=".",ISNUMBER(FIND("x"&amp;MID(L859,1,1),"x0x1x2x3x4x5x6x7x8x9"))),OR(2&gt;LEN(L859),MID(L859,2,1)=".",ISNUMBER(FIND("x"&amp;MID(L859,2,1),"x0x1x2x3x4x5x6x7x8x9"))),OR(3&gt;LEN(L859),MID(L859,3,1)=".",ISNUMBER(FIND("x"&amp;MID(L859,3,1),"x0x1x2x3x4x5x6x7x8x9"))),OR(4&gt;LEN(L859),MID(L859,4,1)=".",ISNUMBER(FIND("x"&amp;MID(L859,4,1),"x0x1x2x3x4x5x6x7x8x9"))),OR(5&gt;LEN(L859),MID(L859,5,1)=".",ISNUMBER(FIND("x"&amp;MID(L859,5,1),"x0x1x2x3x4x5x6x7x8x9"))),OR(6&gt;LEN(L859),MID(L859,6,1)=".",ISNUMBER(FIND("x"&amp;MID(L859,6,1),"x0x1x2x3x4x5x6x7x8x9"))),OR(7&gt;LEN(L859),MID(L859,7,1)=".",ISNUMBER(FIND("x"&amp;MID(L859,7,1),"x0x1x2x3x4x5x6x7x8x9"))),OR(8&gt;LEN(L859),MID(L859,8,1)=".",ISNUMBER(FIND("x"&amp;MID(L859,8,1),"x0x1x2x3x4x5x6x7x8x9"))),OR(9&gt;LEN(L859),MID(L859,9,1)=".",ISNUMBER(FIND("x"&amp;MID(L859,9,1),"x0x1x2x3x4x5x6x7x8x9"))),OR(10&gt;LEN(L859),MID(L859,10,1)=".",ISNUMBER(FIND("x"&amp;MID(L859,10,1),"x0x1x2x3x4x5x6x7x8x9"))),OR(AND(FIND(".",L859)=5,LEN(L859)-FIND(".",L859,FIND(".",L859)+1)&gt;=1,LEN(L859)-FIND(".",L859,FIND(".",L859)+1)&lt;=2),AND(LEN(L859)-FIND(".",L859,FIND(".",L859)+1)=4,FIND(".",L859)&gt;=2,FIND(".",L859)&lt;=3)),FIND(".",L859,FIND(".",L859)+1)-FIND(".",L859)&gt;=2,FIND(".",L859,FIND(".",L859)+1)-FIND(".",L859)&lt;=3,P859&gt;=2000,P859&lt;=2100,YEAR(S859)=P859,MONTH(S859)=Q859,DAY(S859)=R859),S859,0)),0)</ns0:f>
        <ns0:v>0</ns0:v>
      </ns0:c>
      <ns0:c r="U859" s="0" t="str">
        <ns0:f>IF(Bookings!C859="","Full day",Bookings!C859)</ns0:f>
        <ns0:v>Full day</ns0:v>
      </ns0:c>
      <ns0:c r="V859" s="0" t="str">
        <ns0:f>IF(Bookings!E859="","Full day",Bookings!E859)</ns0:f>
        <ns0:v>Full day</ns0:v>
      </ns0:c>
      <ns0:c r="W859" s="0">
        <ns0:f>IF(J859=0,0,J859+IF(U859="PM",1,0))</ns0:f>
        <ns0:v>0</ns0:v>
      </ns0:c>
      <ns0:c r="X859" s="0">
        <ns0:f>IF(T859=0,0,T859-IF(V859="PM",1,0))</ns0:f>
        <ns0:v>0</ns0:v>
      </ns0:c>
      <ns0:c r="Y859" s="0">
        <ns0:f>IF(J859=0,0,J859+IF(U859="AM",1,0))</ns0:f>
        <ns0:v>0</ns0:v>
      </ns0:c>
      <ns0:c r="Z859" s="0">
        <ns0:f>IF(T859=0,0,T859-IF(V859="AM",1,0))</ns0:f>
        <ns0:v>0</ns0:v>
      </ns0:c>
      <ns0:c r="AA859" s="0">
        <ns0:f>IFERROR(IF(AND(J859&gt;0,'_Engine'!C859&gt;0,MID('_Engine'!W859,WEEKDAY(J859,2),1)="W",COUNTIF(Settings!$F$18:$F$67,J859)=0),1,0),0)</ns0:f>
        <ns0:v>0</ns0:v>
      </ns0:c>
      <ns0:c r="AB859" s="0">
        <ns0:f>IFERROR(IF(AND(T859&gt;0,'_Engine'!C859&gt;0,MID('_Engine'!W859,WEEKDAY(T859,2),1)="W",COUNTIF(Settings!$F$18:$F$67,T859)=0),1,0),0)</ns0:f>
        <ns0:v>0</ns0:v>
      </ns0:c>
      <ns0:c r="AC859" s="0">
        <ns0:f>IF(AND(J859&gt;0,T859&gt;0,W859&lt;=X859),1,0)</ns0:f>
        <ns0:v>0</ns0:v>
      </ns0:c>
      <ns0:c r="AD859" s="0">
        <ns0:f>IF(AND(J859&gt;0,T859&gt;0,Y859&lt;=Z859),1,0)</ns0:f>
        <ns0:v>0</ns0:v>
      </ns0:c>
    </ns0:row>
    <ns0:row r="860">
      <ns0:c r="A860" s="0">
        <ns0:f>IFERROR(IF(ISNUMBER(Bookings!B860),"",TRIM(Bookings!B860&amp;"")),"")</ns0:f>
      </ns0:c>
      <ns0:c r="B860" s="0">
        <ns0:f>IFERROR(SUBSTITUTE(SUBSTITUTE(A860,"/","."),"-","."),"")</ns0:f>
      </ns0:c>
      <ns0:c r="C860" s="0">
        <ns0:f>IFERROR(LEFT(B860,FIND(".",B860)-1),"")</ns0:f>
      </ns0:c>
      <ns0:c r="D860" s="0">
        <ns0:f>IFERROR(MID(B860,FIND(".",B860)+1,FIND(".",B860,FIND(".",B860)+1)-FIND(".",B860)-1),"")</ns0:f>
      </ns0:c>
      <ns0:c r="E860" s="0">
        <ns0:f>IFERROR(MID(B860,FIND(".",B860,FIND(".",B860)+1)+1,99),"")</ns0:f>
        <ns0:v>99</ns0:v>
      </ns0:c>
      <ns0:c r="F860" s="0">
        <ns0:f>IFERROR(IF(FIND(".",B860)=5,--C860,--E860),0)</ns0:f>
        <ns0:v>0</ns0:v>
      </ns0:c>
      <ns0:c r="G860" s="0">
        <ns0:f>IFERROR(--D860,0)</ns0:f>
        <ns0:v>0</ns0:v>
      </ns0:c>
      <ns0:c r="H860" s="0">
        <ns0:f>IFERROR(IF(FIND(".",B860)=5,--E860,--C860),0)</ns0:f>
        <ns0:v>0</ns0:v>
      </ns0:c>
      <ns0:c r="I860" s="0">
        <ns0:f>IFERROR(IF(AND(F860&gt;=2000,F860&lt;=2100,G860&gt;=1,G860&lt;=12,H860&gt;=1,H860&lt;=31),DATE(F860,G860,H860),0),0)</ns0:f>
        <ns0:v>0</ns0:v>
      </ns0:c>
      <ns0:c r="J860" s="0">
        <ns0:f>IFERROR(IF(ISNUMBER(Bookings!B860),IF(AND(Bookings!B860=INT(Bookings!B860),Bookings!B860&gt;=DATE(2000,1,1),Bookings!B860&lt;=DATE(2100,12,31)),Bookings!B860,0),IF(AND(A860&lt;&gt;"",LEN("x"&amp;B860)-LEN(SUBSTITUTE("x"&amp;B860,".",""))=2,OR(1&gt;LEN(B860),MID(B860,1,1)=".",ISNUMBER(FIND("x"&amp;MID(B860,1,1),"x0x1x2x3x4x5x6x7x8x9"))),OR(2&gt;LEN(B860),MID(B860,2,1)=".",ISNUMBER(FIND("x"&amp;MID(B860,2,1),"x0x1x2x3x4x5x6x7x8x9"))),OR(3&gt;LEN(B860),MID(B860,3,1)=".",ISNUMBER(FIND("x"&amp;MID(B860,3,1),"x0x1x2x3x4x5x6x7x8x9"))),OR(4&gt;LEN(B860),MID(B860,4,1)=".",ISNUMBER(FIND("x"&amp;MID(B860,4,1),"x0x1x2x3x4x5x6x7x8x9"))),OR(5&gt;LEN(B860),MID(B860,5,1)=".",ISNUMBER(FIND("x"&amp;MID(B860,5,1),"x0x1x2x3x4x5x6x7x8x9"))),OR(6&gt;LEN(B860),MID(B860,6,1)=".",ISNUMBER(FIND("x"&amp;MID(B860,6,1),"x0x1x2x3x4x5x6x7x8x9"))),OR(7&gt;LEN(B860),MID(B860,7,1)=".",ISNUMBER(FIND("x"&amp;MID(B860,7,1),"x0x1x2x3x4x5x6x7x8x9"))),OR(8&gt;LEN(B860),MID(B860,8,1)=".",ISNUMBER(FIND("x"&amp;MID(B860,8,1),"x0x1x2x3x4x5x6x7x8x9"))),OR(9&gt;LEN(B860),MID(B860,9,1)=".",ISNUMBER(FIND("x"&amp;MID(B860,9,1),"x0x1x2x3x4x5x6x7x8x9"))),OR(10&gt;LEN(B860),MID(B860,10,1)=".",ISNUMBER(FIND("x"&amp;MID(B860,10,1),"x0x1x2x3x4x5x6x7x8x9"))),OR(AND(FIND(".",B860)=5,LEN(B860)-FIND(".",B860,FIND(".",B860)+1)&gt;=1,LEN(B860)-FIND(".",B860,FIND(".",B860)+1)&lt;=2),AND(LEN(B860)-FIND(".",B860,FIND(".",B860)+1)=4,FIND(".",B860)&gt;=2,FIND(".",B860)&lt;=3)),FIND(".",B860,FIND(".",B860)+1)-FIND(".",B860)&gt;=2,FIND(".",B860,FIND(".",B860)+1)-FIND(".",B860)&lt;=3,F860&gt;=2000,F860&lt;=2100,YEAR(I860)=F860,MONTH(I860)=G860,DAY(I860)=H860),I860,0)),0)</ns0:f>
        <ns0:v>0</ns0:v>
      </ns0:c>
      <ns0:c r="K860" s="0">
        <ns0:f>IFERROR(IF(ISNUMBER(Bookings!D860),"",TRIM(Bookings!D860&amp;"")),"")</ns0:f>
      </ns0:c>
      <ns0:c r="L860" s="0">
        <ns0:f>IFERROR(SUBSTITUTE(SUBSTITUTE(K860,"/","."),"-","."),"")</ns0:f>
      </ns0:c>
      <ns0:c r="M860" s="0">
        <ns0:f>IFERROR(LEFT(L860,FIND(".",L860)-1),"")</ns0:f>
      </ns0:c>
      <ns0:c r="N860" s="0">
        <ns0:f>IFERROR(MID(L860,FIND(".",L860)+1,FIND(".",L860,FIND(".",L860)+1)-FIND(".",L860)-1),"")</ns0:f>
      </ns0:c>
      <ns0:c r="O860" s="0">
        <ns0:f>IFERROR(MID(L860,FIND(".",L860,FIND(".",L860)+1)+1,99),"")</ns0:f>
        <ns0:v>99</ns0:v>
      </ns0:c>
      <ns0:c r="P860" s="0">
        <ns0:f>IFERROR(IF(FIND(".",L860)=5,--M860,--O860),0)</ns0:f>
        <ns0:v>0</ns0:v>
      </ns0:c>
      <ns0:c r="Q860" s="0">
        <ns0:f>IFERROR(--N860,0)</ns0:f>
        <ns0:v>0</ns0:v>
      </ns0:c>
      <ns0:c r="R860" s="0">
        <ns0:f>IFERROR(IF(FIND(".",L860)=5,--O860,--M860),0)</ns0:f>
        <ns0:v>0</ns0:v>
      </ns0:c>
      <ns0:c r="S860" s="0">
        <ns0:f>IFERROR(IF(AND(P860&gt;=2000,P860&lt;=2100,Q860&gt;=1,Q860&lt;=12,R860&gt;=1,R860&lt;=31),DATE(P860,Q860,R860),0),0)</ns0:f>
        <ns0:v>0</ns0:v>
      </ns0:c>
      <ns0:c r="T860" s="0">
        <ns0:f>IFERROR(IF(ISNUMBER(Bookings!D860),IF(AND(Bookings!D860=INT(Bookings!D860),Bookings!D860&gt;=DATE(2000,1,1),Bookings!D860&lt;=DATE(2100,12,31)),Bookings!D860,0),IF(AND(K860&lt;&gt;"",LEN("x"&amp;L860)-LEN(SUBSTITUTE("x"&amp;L860,".",""))=2,OR(1&gt;LEN(L860),MID(L860,1,1)=".",ISNUMBER(FIND("x"&amp;MID(L860,1,1),"x0x1x2x3x4x5x6x7x8x9"))),OR(2&gt;LEN(L860),MID(L860,2,1)=".",ISNUMBER(FIND("x"&amp;MID(L860,2,1),"x0x1x2x3x4x5x6x7x8x9"))),OR(3&gt;LEN(L860),MID(L860,3,1)=".",ISNUMBER(FIND("x"&amp;MID(L860,3,1),"x0x1x2x3x4x5x6x7x8x9"))),OR(4&gt;LEN(L860),MID(L860,4,1)=".",ISNUMBER(FIND("x"&amp;MID(L860,4,1),"x0x1x2x3x4x5x6x7x8x9"))),OR(5&gt;LEN(L860),MID(L860,5,1)=".",ISNUMBER(FIND("x"&amp;MID(L860,5,1),"x0x1x2x3x4x5x6x7x8x9"))),OR(6&gt;LEN(L860),MID(L860,6,1)=".",ISNUMBER(FIND("x"&amp;MID(L860,6,1),"x0x1x2x3x4x5x6x7x8x9"))),OR(7&gt;LEN(L860),MID(L860,7,1)=".",ISNUMBER(FIND("x"&amp;MID(L860,7,1),"x0x1x2x3x4x5x6x7x8x9"))),OR(8&gt;LEN(L860),MID(L860,8,1)=".",ISNUMBER(FIND("x"&amp;MID(L860,8,1),"x0x1x2x3x4x5x6x7x8x9"))),OR(9&gt;LEN(L860),MID(L860,9,1)=".",ISNUMBER(FIND("x"&amp;MID(L860,9,1),"x0x1x2x3x4x5x6x7x8x9"))),OR(10&gt;LEN(L860),MID(L860,10,1)=".",ISNUMBER(FIND("x"&amp;MID(L860,10,1),"x0x1x2x3x4x5x6x7x8x9"))),OR(AND(FIND(".",L860)=5,LEN(L860)-FIND(".",L860,FIND(".",L860)+1)&gt;=1,LEN(L860)-FIND(".",L860,FIND(".",L860)+1)&lt;=2),AND(LEN(L860)-FIND(".",L860,FIND(".",L860)+1)=4,FIND(".",L860)&gt;=2,FIND(".",L860)&lt;=3)),FIND(".",L860,FIND(".",L860)+1)-FIND(".",L860)&gt;=2,FIND(".",L860,FIND(".",L860)+1)-FIND(".",L860)&lt;=3,P860&gt;=2000,P860&lt;=2100,YEAR(S860)=P860,MONTH(S860)=Q860,DAY(S860)=R860),S860,0)),0)</ns0:f>
        <ns0:v>0</ns0:v>
      </ns0:c>
      <ns0:c r="U860" s="0" t="str">
        <ns0:f>IF(Bookings!C860="","Full day",Bookings!C860)</ns0:f>
        <ns0:v>Full day</ns0:v>
      </ns0:c>
      <ns0:c r="V860" s="0" t="str">
        <ns0:f>IF(Bookings!E860="","Full day",Bookings!E860)</ns0:f>
        <ns0:v>Full day</ns0:v>
      </ns0:c>
      <ns0:c r="W860" s="0">
        <ns0:f>IF(J860=0,0,J860+IF(U860="PM",1,0))</ns0:f>
        <ns0:v>0</ns0:v>
      </ns0:c>
      <ns0:c r="X860" s="0">
        <ns0:f>IF(T860=0,0,T860-IF(V860="PM",1,0))</ns0:f>
        <ns0:v>0</ns0:v>
      </ns0:c>
      <ns0:c r="Y860" s="0">
        <ns0:f>IF(J860=0,0,J860+IF(U860="AM",1,0))</ns0:f>
        <ns0:v>0</ns0:v>
      </ns0:c>
      <ns0:c r="Z860" s="0">
        <ns0:f>IF(T860=0,0,T860-IF(V860="AM",1,0))</ns0:f>
        <ns0:v>0</ns0:v>
      </ns0:c>
      <ns0:c r="AA860" s="0">
        <ns0:f>IFERROR(IF(AND(J860&gt;0,'_Engine'!C860&gt;0,MID('_Engine'!W860,WEEKDAY(J860,2),1)="W",COUNTIF(Settings!$F$18:$F$67,J860)=0),1,0),0)</ns0:f>
        <ns0:v>0</ns0:v>
      </ns0:c>
      <ns0:c r="AB860" s="0">
        <ns0:f>IFERROR(IF(AND(T860&gt;0,'_Engine'!C860&gt;0,MID('_Engine'!W860,WEEKDAY(T860,2),1)="W",COUNTIF(Settings!$F$18:$F$67,T860)=0),1,0),0)</ns0:f>
        <ns0:v>0</ns0:v>
      </ns0:c>
      <ns0:c r="AC860" s="0">
        <ns0:f>IF(AND(J860&gt;0,T860&gt;0,W860&lt;=X860),1,0)</ns0:f>
        <ns0:v>0</ns0:v>
      </ns0:c>
      <ns0:c r="AD860" s="0">
        <ns0:f>IF(AND(J860&gt;0,T860&gt;0,Y860&lt;=Z860),1,0)</ns0:f>
        <ns0:v>0</ns0:v>
      </ns0:c>
    </ns0:row>
    <ns0:row r="861">
      <ns0:c r="A861" s="0">
        <ns0:f>IFERROR(IF(ISNUMBER(Bookings!B861),"",TRIM(Bookings!B861&amp;"")),"")</ns0:f>
      </ns0:c>
      <ns0:c r="B861" s="0">
        <ns0:f>IFERROR(SUBSTITUTE(SUBSTITUTE(A861,"/","."),"-","."),"")</ns0:f>
      </ns0:c>
      <ns0:c r="C861" s="0">
        <ns0:f>IFERROR(LEFT(B861,FIND(".",B861)-1),"")</ns0:f>
      </ns0:c>
      <ns0:c r="D861" s="0">
        <ns0:f>IFERROR(MID(B861,FIND(".",B861)+1,FIND(".",B861,FIND(".",B861)+1)-FIND(".",B861)-1),"")</ns0:f>
      </ns0:c>
      <ns0:c r="E861" s="0">
        <ns0:f>IFERROR(MID(B861,FIND(".",B861,FIND(".",B861)+1)+1,99),"")</ns0:f>
        <ns0:v>99</ns0:v>
      </ns0:c>
      <ns0:c r="F861" s="0">
        <ns0:f>IFERROR(IF(FIND(".",B861)=5,--C861,--E861),0)</ns0:f>
        <ns0:v>0</ns0:v>
      </ns0:c>
      <ns0:c r="G861" s="0">
        <ns0:f>IFERROR(--D861,0)</ns0:f>
        <ns0:v>0</ns0:v>
      </ns0:c>
      <ns0:c r="H861" s="0">
        <ns0:f>IFERROR(IF(FIND(".",B861)=5,--E861,--C861),0)</ns0:f>
        <ns0:v>0</ns0:v>
      </ns0:c>
      <ns0:c r="I861" s="0">
        <ns0:f>IFERROR(IF(AND(F861&gt;=2000,F861&lt;=2100,G861&gt;=1,G861&lt;=12,H861&gt;=1,H861&lt;=31),DATE(F861,G861,H861),0),0)</ns0:f>
        <ns0:v>0</ns0:v>
      </ns0:c>
      <ns0:c r="J861" s="0">
        <ns0:f>IFERROR(IF(ISNUMBER(Bookings!B861),IF(AND(Bookings!B861=INT(Bookings!B861),Bookings!B861&gt;=DATE(2000,1,1),Bookings!B861&lt;=DATE(2100,12,31)),Bookings!B861,0),IF(AND(A861&lt;&gt;"",LEN("x"&amp;B861)-LEN(SUBSTITUTE("x"&amp;B861,".",""))=2,OR(1&gt;LEN(B861),MID(B861,1,1)=".",ISNUMBER(FIND("x"&amp;MID(B861,1,1),"x0x1x2x3x4x5x6x7x8x9"))),OR(2&gt;LEN(B861),MID(B861,2,1)=".",ISNUMBER(FIND("x"&amp;MID(B861,2,1),"x0x1x2x3x4x5x6x7x8x9"))),OR(3&gt;LEN(B861),MID(B861,3,1)=".",ISNUMBER(FIND("x"&amp;MID(B861,3,1),"x0x1x2x3x4x5x6x7x8x9"))),OR(4&gt;LEN(B861),MID(B861,4,1)=".",ISNUMBER(FIND("x"&amp;MID(B861,4,1),"x0x1x2x3x4x5x6x7x8x9"))),OR(5&gt;LEN(B861),MID(B861,5,1)=".",ISNUMBER(FIND("x"&amp;MID(B861,5,1),"x0x1x2x3x4x5x6x7x8x9"))),OR(6&gt;LEN(B861),MID(B861,6,1)=".",ISNUMBER(FIND("x"&amp;MID(B861,6,1),"x0x1x2x3x4x5x6x7x8x9"))),OR(7&gt;LEN(B861),MID(B861,7,1)=".",ISNUMBER(FIND("x"&amp;MID(B861,7,1),"x0x1x2x3x4x5x6x7x8x9"))),OR(8&gt;LEN(B861),MID(B861,8,1)=".",ISNUMBER(FIND("x"&amp;MID(B861,8,1),"x0x1x2x3x4x5x6x7x8x9"))),OR(9&gt;LEN(B861),MID(B861,9,1)=".",ISNUMBER(FIND("x"&amp;MID(B861,9,1),"x0x1x2x3x4x5x6x7x8x9"))),OR(10&gt;LEN(B861),MID(B861,10,1)=".",ISNUMBER(FIND("x"&amp;MID(B861,10,1),"x0x1x2x3x4x5x6x7x8x9"))),OR(AND(FIND(".",B861)=5,LEN(B861)-FIND(".",B861,FIND(".",B861)+1)&gt;=1,LEN(B861)-FIND(".",B861,FIND(".",B861)+1)&lt;=2),AND(LEN(B861)-FIND(".",B861,FIND(".",B861)+1)=4,FIND(".",B861)&gt;=2,FIND(".",B861)&lt;=3)),FIND(".",B861,FIND(".",B861)+1)-FIND(".",B861)&gt;=2,FIND(".",B861,FIND(".",B861)+1)-FIND(".",B861)&lt;=3,F861&gt;=2000,F861&lt;=2100,YEAR(I861)=F861,MONTH(I861)=G861,DAY(I861)=H861),I861,0)),0)</ns0:f>
        <ns0:v>0</ns0:v>
      </ns0:c>
      <ns0:c r="K861" s="0">
        <ns0:f>IFERROR(IF(ISNUMBER(Bookings!D861),"",TRIM(Bookings!D861&amp;"")),"")</ns0:f>
      </ns0:c>
      <ns0:c r="L861" s="0">
        <ns0:f>IFERROR(SUBSTITUTE(SUBSTITUTE(K861,"/","."),"-","."),"")</ns0:f>
      </ns0:c>
      <ns0:c r="M861" s="0">
        <ns0:f>IFERROR(LEFT(L861,FIND(".",L861)-1),"")</ns0:f>
      </ns0:c>
      <ns0:c r="N861" s="0">
        <ns0:f>IFERROR(MID(L861,FIND(".",L861)+1,FIND(".",L861,FIND(".",L861)+1)-FIND(".",L861)-1),"")</ns0:f>
      </ns0:c>
      <ns0:c r="O861" s="0">
        <ns0:f>IFERROR(MID(L861,FIND(".",L861,FIND(".",L861)+1)+1,99),"")</ns0:f>
        <ns0:v>99</ns0:v>
      </ns0:c>
      <ns0:c r="P861" s="0">
        <ns0:f>IFERROR(IF(FIND(".",L861)=5,--M861,--O861),0)</ns0:f>
        <ns0:v>0</ns0:v>
      </ns0:c>
      <ns0:c r="Q861" s="0">
        <ns0:f>IFERROR(--N861,0)</ns0:f>
        <ns0:v>0</ns0:v>
      </ns0:c>
      <ns0:c r="R861" s="0">
        <ns0:f>IFERROR(IF(FIND(".",L861)=5,--O861,--M861),0)</ns0:f>
        <ns0:v>0</ns0:v>
      </ns0:c>
      <ns0:c r="S861" s="0">
        <ns0:f>IFERROR(IF(AND(P861&gt;=2000,P861&lt;=2100,Q861&gt;=1,Q861&lt;=12,R861&gt;=1,R861&lt;=31),DATE(P861,Q861,R861),0),0)</ns0:f>
        <ns0:v>0</ns0:v>
      </ns0:c>
      <ns0:c r="T861" s="0">
        <ns0:f>IFERROR(IF(ISNUMBER(Bookings!D861),IF(AND(Bookings!D861=INT(Bookings!D861),Bookings!D861&gt;=DATE(2000,1,1),Bookings!D861&lt;=DATE(2100,12,31)),Bookings!D861,0),IF(AND(K861&lt;&gt;"",LEN("x"&amp;L861)-LEN(SUBSTITUTE("x"&amp;L861,".",""))=2,OR(1&gt;LEN(L861),MID(L861,1,1)=".",ISNUMBER(FIND("x"&amp;MID(L861,1,1),"x0x1x2x3x4x5x6x7x8x9"))),OR(2&gt;LEN(L861),MID(L861,2,1)=".",ISNUMBER(FIND("x"&amp;MID(L861,2,1),"x0x1x2x3x4x5x6x7x8x9"))),OR(3&gt;LEN(L861),MID(L861,3,1)=".",ISNUMBER(FIND("x"&amp;MID(L861,3,1),"x0x1x2x3x4x5x6x7x8x9"))),OR(4&gt;LEN(L861),MID(L861,4,1)=".",ISNUMBER(FIND("x"&amp;MID(L861,4,1),"x0x1x2x3x4x5x6x7x8x9"))),OR(5&gt;LEN(L861),MID(L861,5,1)=".",ISNUMBER(FIND("x"&amp;MID(L861,5,1),"x0x1x2x3x4x5x6x7x8x9"))),OR(6&gt;LEN(L861),MID(L861,6,1)=".",ISNUMBER(FIND("x"&amp;MID(L861,6,1),"x0x1x2x3x4x5x6x7x8x9"))),OR(7&gt;LEN(L861),MID(L861,7,1)=".",ISNUMBER(FIND("x"&amp;MID(L861,7,1),"x0x1x2x3x4x5x6x7x8x9"))),OR(8&gt;LEN(L861),MID(L861,8,1)=".",ISNUMBER(FIND("x"&amp;MID(L861,8,1),"x0x1x2x3x4x5x6x7x8x9"))),OR(9&gt;LEN(L861),MID(L861,9,1)=".",ISNUMBER(FIND("x"&amp;MID(L861,9,1),"x0x1x2x3x4x5x6x7x8x9"))),OR(10&gt;LEN(L861),MID(L861,10,1)=".",ISNUMBER(FIND("x"&amp;MID(L861,10,1),"x0x1x2x3x4x5x6x7x8x9"))),OR(AND(FIND(".",L861)=5,LEN(L861)-FIND(".",L861,FIND(".",L861)+1)&gt;=1,LEN(L861)-FIND(".",L861,FIND(".",L861)+1)&lt;=2),AND(LEN(L861)-FIND(".",L861,FIND(".",L861)+1)=4,FIND(".",L861)&gt;=2,FIND(".",L861)&lt;=3)),FIND(".",L861,FIND(".",L861)+1)-FIND(".",L861)&gt;=2,FIND(".",L861,FIND(".",L861)+1)-FIND(".",L861)&lt;=3,P861&gt;=2000,P861&lt;=2100,YEAR(S861)=P861,MONTH(S861)=Q861,DAY(S861)=R861),S861,0)),0)</ns0:f>
        <ns0:v>0</ns0:v>
      </ns0:c>
      <ns0:c r="U861" s="0" t="str">
        <ns0:f>IF(Bookings!C861="","Full day",Bookings!C861)</ns0:f>
        <ns0:v>Full day</ns0:v>
      </ns0:c>
      <ns0:c r="V861" s="0" t="str">
        <ns0:f>IF(Bookings!E861="","Full day",Bookings!E861)</ns0:f>
        <ns0:v>Full day</ns0:v>
      </ns0:c>
      <ns0:c r="W861" s="0">
        <ns0:f>IF(J861=0,0,J861+IF(U861="PM",1,0))</ns0:f>
        <ns0:v>0</ns0:v>
      </ns0:c>
      <ns0:c r="X861" s="0">
        <ns0:f>IF(T861=0,0,T861-IF(V861="PM",1,0))</ns0:f>
        <ns0:v>0</ns0:v>
      </ns0:c>
      <ns0:c r="Y861" s="0">
        <ns0:f>IF(J861=0,0,J861+IF(U861="AM",1,0))</ns0:f>
        <ns0:v>0</ns0:v>
      </ns0:c>
      <ns0:c r="Z861" s="0">
        <ns0:f>IF(T861=0,0,T861-IF(V861="AM",1,0))</ns0:f>
        <ns0:v>0</ns0:v>
      </ns0:c>
      <ns0:c r="AA861" s="0">
        <ns0:f>IFERROR(IF(AND(J861&gt;0,'_Engine'!C861&gt;0,MID('_Engine'!W861,WEEKDAY(J861,2),1)="W",COUNTIF(Settings!$F$18:$F$67,J861)=0),1,0),0)</ns0:f>
        <ns0:v>0</ns0:v>
      </ns0:c>
      <ns0:c r="AB861" s="0">
        <ns0:f>IFERROR(IF(AND(T861&gt;0,'_Engine'!C861&gt;0,MID('_Engine'!W861,WEEKDAY(T861,2),1)="W",COUNTIF(Settings!$F$18:$F$67,T861)=0),1,0),0)</ns0:f>
        <ns0:v>0</ns0:v>
      </ns0:c>
      <ns0:c r="AC861" s="0">
        <ns0:f>IF(AND(J861&gt;0,T861&gt;0,W861&lt;=X861),1,0)</ns0:f>
        <ns0:v>0</ns0:v>
      </ns0:c>
      <ns0:c r="AD861" s="0">
        <ns0:f>IF(AND(J861&gt;0,T861&gt;0,Y861&lt;=Z861),1,0)</ns0:f>
        <ns0:v>0</ns0:v>
      </ns0:c>
    </ns0:row>
    <ns0:row r="862">
      <ns0:c r="A862" s="0">
        <ns0:f>IFERROR(IF(ISNUMBER(Bookings!B862),"",TRIM(Bookings!B862&amp;"")),"")</ns0:f>
      </ns0:c>
      <ns0:c r="B862" s="0">
        <ns0:f>IFERROR(SUBSTITUTE(SUBSTITUTE(A862,"/","."),"-","."),"")</ns0:f>
      </ns0:c>
      <ns0:c r="C862" s="0">
        <ns0:f>IFERROR(LEFT(B862,FIND(".",B862)-1),"")</ns0:f>
      </ns0:c>
      <ns0:c r="D862" s="0">
        <ns0:f>IFERROR(MID(B862,FIND(".",B862)+1,FIND(".",B862,FIND(".",B862)+1)-FIND(".",B862)-1),"")</ns0:f>
      </ns0:c>
      <ns0:c r="E862" s="0">
        <ns0:f>IFERROR(MID(B862,FIND(".",B862,FIND(".",B862)+1)+1,99),"")</ns0:f>
        <ns0:v>99</ns0:v>
      </ns0:c>
      <ns0:c r="F862" s="0">
        <ns0:f>IFERROR(IF(FIND(".",B862)=5,--C862,--E862),0)</ns0:f>
        <ns0:v>0</ns0:v>
      </ns0:c>
      <ns0:c r="G862" s="0">
        <ns0:f>IFERROR(--D862,0)</ns0:f>
        <ns0:v>0</ns0:v>
      </ns0:c>
      <ns0:c r="H862" s="0">
        <ns0:f>IFERROR(IF(FIND(".",B862)=5,--E862,--C862),0)</ns0:f>
        <ns0:v>0</ns0:v>
      </ns0:c>
      <ns0:c r="I862" s="0">
        <ns0:f>IFERROR(IF(AND(F862&gt;=2000,F862&lt;=2100,G862&gt;=1,G862&lt;=12,H862&gt;=1,H862&lt;=31),DATE(F862,G862,H862),0),0)</ns0:f>
        <ns0:v>0</ns0:v>
      </ns0:c>
      <ns0:c r="J862" s="0">
        <ns0:f>IFERROR(IF(ISNUMBER(Bookings!B862),IF(AND(Bookings!B862=INT(Bookings!B862),Bookings!B862&gt;=DATE(2000,1,1),Bookings!B862&lt;=DATE(2100,12,31)),Bookings!B862,0),IF(AND(A862&lt;&gt;"",LEN("x"&amp;B862)-LEN(SUBSTITUTE("x"&amp;B862,".",""))=2,OR(1&gt;LEN(B862),MID(B862,1,1)=".",ISNUMBER(FIND("x"&amp;MID(B862,1,1),"x0x1x2x3x4x5x6x7x8x9"))),OR(2&gt;LEN(B862),MID(B862,2,1)=".",ISNUMBER(FIND("x"&amp;MID(B862,2,1),"x0x1x2x3x4x5x6x7x8x9"))),OR(3&gt;LEN(B862),MID(B862,3,1)=".",ISNUMBER(FIND("x"&amp;MID(B862,3,1),"x0x1x2x3x4x5x6x7x8x9"))),OR(4&gt;LEN(B862),MID(B862,4,1)=".",ISNUMBER(FIND("x"&amp;MID(B862,4,1),"x0x1x2x3x4x5x6x7x8x9"))),OR(5&gt;LEN(B862),MID(B862,5,1)=".",ISNUMBER(FIND("x"&amp;MID(B862,5,1),"x0x1x2x3x4x5x6x7x8x9"))),OR(6&gt;LEN(B862),MID(B862,6,1)=".",ISNUMBER(FIND("x"&amp;MID(B862,6,1),"x0x1x2x3x4x5x6x7x8x9"))),OR(7&gt;LEN(B862),MID(B862,7,1)=".",ISNUMBER(FIND("x"&amp;MID(B862,7,1),"x0x1x2x3x4x5x6x7x8x9"))),OR(8&gt;LEN(B862),MID(B862,8,1)=".",ISNUMBER(FIND("x"&amp;MID(B862,8,1),"x0x1x2x3x4x5x6x7x8x9"))),OR(9&gt;LEN(B862),MID(B862,9,1)=".",ISNUMBER(FIND("x"&amp;MID(B862,9,1),"x0x1x2x3x4x5x6x7x8x9"))),OR(10&gt;LEN(B862),MID(B862,10,1)=".",ISNUMBER(FIND("x"&amp;MID(B862,10,1),"x0x1x2x3x4x5x6x7x8x9"))),OR(AND(FIND(".",B862)=5,LEN(B862)-FIND(".",B862,FIND(".",B862)+1)&gt;=1,LEN(B862)-FIND(".",B862,FIND(".",B862)+1)&lt;=2),AND(LEN(B862)-FIND(".",B862,FIND(".",B862)+1)=4,FIND(".",B862)&gt;=2,FIND(".",B862)&lt;=3)),FIND(".",B862,FIND(".",B862)+1)-FIND(".",B862)&gt;=2,FIND(".",B862,FIND(".",B862)+1)-FIND(".",B862)&lt;=3,F862&gt;=2000,F862&lt;=2100,YEAR(I862)=F862,MONTH(I862)=G862,DAY(I862)=H862),I862,0)),0)</ns0:f>
        <ns0:v>0</ns0:v>
      </ns0:c>
      <ns0:c r="K862" s="0">
        <ns0:f>IFERROR(IF(ISNUMBER(Bookings!D862),"",TRIM(Bookings!D862&amp;"")),"")</ns0:f>
      </ns0:c>
      <ns0:c r="L862" s="0">
        <ns0:f>IFERROR(SUBSTITUTE(SUBSTITUTE(K862,"/","."),"-","."),"")</ns0:f>
      </ns0:c>
      <ns0:c r="M862" s="0">
        <ns0:f>IFERROR(LEFT(L862,FIND(".",L862)-1),"")</ns0:f>
      </ns0:c>
      <ns0:c r="N862" s="0">
        <ns0:f>IFERROR(MID(L862,FIND(".",L862)+1,FIND(".",L862,FIND(".",L862)+1)-FIND(".",L862)-1),"")</ns0:f>
      </ns0:c>
      <ns0:c r="O862" s="0">
        <ns0:f>IFERROR(MID(L862,FIND(".",L862,FIND(".",L862)+1)+1,99),"")</ns0:f>
        <ns0:v>99</ns0:v>
      </ns0:c>
      <ns0:c r="P862" s="0">
        <ns0:f>IFERROR(IF(FIND(".",L862)=5,--M862,--O862),0)</ns0:f>
        <ns0:v>0</ns0:v>
      </ns0:c>
      <ns0:c r="Q862" s="0">
        <ns0:f>IFERROR(--N862,0)</ns0:f>
        <ns0:v>0</ns0:v>
      </ns0:c>
      <ns0:c r="R862" s="0">
        <ns0:f>IFERROR(IF(FIND(".",L862)=5,--O862,--M862),0)</ns0:f>
        <ns0:v>0</ns0:v>
      </ns0:c>
      <ns0:c r="S862" s="0">
        <ns0:f>IFERROR(IF(AND(P862&gt;=2000,P862&lt;=2100,Q862&gt;=1,Q862&lt;=12,R862&gt;=1,R862&lt;=31),DATE(P862,Q862,R862),0),0)</ns0:f>
        <ns0:v>0</ns0:v>
      </ns0:c>
      <ns0:c r="T862" s="0">
        <ns0:f>IFERROR(IF(ISNUMBER(Bookings!D862),IF(AND(Bookings!D862=INT(Bookings!D862),Bookings!D862&gt;=DATE(2000,1,1),Bookings!D862&lt;=DATE(2100,12,31)),Bookings!D862,0),IF(AND(K862&lt;&gt;"",LEN("x"&amp;L862)-LEN(SUBSTITUTE("x"&amp;L862,".",""))=2,OR(1&gt;LEN(L862),MID(L862,1,1)=".",ISNUMBER(FIND("x"&amp;MID(L862,1,1),"x0x1x2x3x4x5x6x7x8x9"))),OR(2&gt;LEN(L862),MID(L862,2,1)=".",ISNUMBER(FIND("x"&amp;MID(L862,2,1),"x0x1x2x3x4x5x6x7x8x9"))),OR(3&gt;LEN(L862),MID(L862,3,1)=".",ISNUMBER(FIND("x"&amp;MID(L862,3,1),"x0x1x2x3x4x5x6x7x8x9"))),OR(4&gt;LEN(L862),MID(L862,4,1)=".",ISNUMBER(FIND("x"&amp;MID(L862,4,1),"x0x1x2x3x4x5x6x7x8x9"))),OR(5&gt;LEN(L862),MID(L862,5,1)=".",ISNUMBER(FIND("x"&amp;MID(L862,5,1),"x0x1x2x3x4x5x6x7x8x9"))),OR(6&gt;LEN(L862),MID(L862,6,1)=".",ISNUMBER(FIND("x"&amp;MID(L862,6,1),"x0x1x2x3x4x5x6x7x8x9"))),OR(7&gt;LEN(L862),MID(L862,7,1)=".",ISNUMBER(FIND("x"&amp;MID(L862,7,1),"x0x1x2x3x4x5x6x7x8x9"))),OR(8&gt;LEN(L862),MID(L862,8,1)=".",ISNUMBER(FIND("x"&amp;MID(L862,8,1),"x0x1x2x3x4x5x6x7x8x9"))),OR(9&gt;LEN(L862),MID(L862,9,1)=".",ISNUMBER(FIND("x"&amp;MID(L862,9,1),"x0x1x2x3x4x5x6x7x8x9"))),OR(10&gt;LEN(L862),MID(L862,10,1)=".",ISNUMBER(FIND("x"&amp;MID(L862,10,1),"x0x1x2x3x4x5x6x7x8x9"))),OR(AND(FIND(".",L862)=5,LEN(L862)-FIND(".",L862,FIND(".",L862)+1)&gt;=1,LEN(L862)-FIND(".",L862,FIND(".",L862)+1)&lt;=2),AND(LEN(L862)-FIND(".",L862,FIND(".",L862)+1)=4,FIND(".",L862)&gt;=2,FIND(".",L862)&lt;=3)),FIND(".",L862,FIND(".",L862)+1)-FIND(".",L862)&gt;=2,FIND(".",L862,FIND(".",L862)+1)-FIND(".",L862)&lt;=3,P862&gt;=2000,P862&lt;=2100,YEAR(S862)=P862,MONTH(S862)=Q862,DAY(S862)=R862),S862,0)),0)</ns0:f>
        <ns0:v>0</ns0:v>
      </ns0:c>
      <ns0:c r="U862" s="0" t="str">
        <ns0:f>IF(Bookings!C862="","Full day",Bookings!C862)</ns0:f>
        <ns0:v>Full day</ns0:v>
      </ns0:c>
      <ns0:c r="V862" s="0" t="str">
        <ns0:f>IF(Bookings!E862="","Full day",Bookings!E862)</ns0:f>
        <ns0:v>Full day</ns0:v>
      </ns0:c>
      <ns0:c r="W862" s="0">
        <ns0:f>IF(J862=0,0,J862+IF(U862="PM",1,0))</ns0:f>
        <ns0:v>0</ns0:v>
      </ns0:c>
      <ns0:c r="X862" s="0">
        <ns0:f>IF(T862=0,0,T862-IF(V862="PM",1,0))</ns0:f>
        <ns0:v>0</ns0:v>
      </ns0:c>
      <ns0:c r="Y862" s="0">
        <ns0:f>IF(J862=0,0,J862+IF(U862="AM",1,0))</ns0:f>
        <ns0:v>0</ns0:v>
      </ns0:c>
      <ns0:c r="Z862" s="0">
        <ns0:f>IF(T862=0,0,T862-IF(V862="AM",1,0))</ns0:f>
        <ns0:v>0</ns0:v>
      </ns0:c>
      <ns0:c r="AA862" s="0">
        <ns0:f>IFERROR(IF(AND(J862&gt;0,'_Engine'!C862&gt;0,MID('_Engine'!W862,WEEKDAY(J862,2),1)="W",COUNTIF(Settings!$F$18:$F$67,J862)=0),1,0),0)</ns0:f>
        <ns0:v>0</ns0:v>
      </ns0:c>
      <ns0:c r="AB862" s="0">
        <ns0:f>IFERROR(IF(AND(T862&gt;0,'_Engine'!C862&gt;0,MID('_Engine'!W862,WEEKDAY(T862,2),1)="W",COUNTIF(Settings!$F$18:$F$67,T862)=0),1,0),0)</ns0:f>
        <ns0:v>0</ns0:v>
      </ns0:c>
      <ns0:c r="AC862" s="0">
        <ns0:f>IF(AND(J862&gt;0,T862&gt;0,W862&lt;=X862),1,0)</ns0:f>
        <ns0:v>0</ns0:v>
      </ns0:c>
      <ns0:c r="AD862" s="0">
        <ns0:f>IF(AND(J862&gt;0,T862&gt;0,Y862&lt;=Z862),1,0)</ns0:f>
        <ns0:v>0</ns0:v>
      </ns0:c>
    </ns0:row>
    <ns0:row r="863">
      <ns0:c r="A863" s="0">
        <ns0:f>IFERROR(IF(ISNUMBER(Bookings!B863),"",TRIM(Bookings!B863&amp;"")),"")</ns0:f>
      </ns0:c>
      <ns0:c r="B863" s="0">
        <ns0:f>IFERROR(SUBSTITUTE(SUBSTITUTE(A863,"/","."),"-","."),"")</ns0:f>
      </ns0:c>
      <ns0:c r="C863" s="0">
        <ns0:f>IFERROR(LEFT(B863,FIND(".",B863)-1),"")</ns0:f>
      </ns0:c>
      <ns0:c r="D863" s="0">
        <ns0:f>IFERROR(MID(B863,FIND(".",B863)+1,FIND(".",B863,FIND(".",B863)+1)-FIND(".",B863)-1),"")</ns0:f>
      </ns0:c>
      <ns0:c r="E863" s="0">
        <ns0:f>IFERROR(MID(B863,FIND(".",B863,FIND(".",B863)+1)+1,99),"")</ns0:f>
        <ns0:v>99</ns0:v>
      </ns0:c>
      <ns0:c r="F863" s="0">
        <ns0:f>IFERROR(IF(FIND(".",B863)=5,--C863,--E863),0)</ns0:f>
        <ns0:v>0</ns0:v>
      </ns0:c>
      <ns0:c r="G863" s="0">
        <ns0:f>IFERROR(--D863,0)</ns0:f>
        <ns0:v>0</ns0:v>
      </ns0:c>
      <ns0:c r="H863" s="0">
        <ns0:f>IFERROR(IF(FIND(".",B863)=5,--E863,--C863),0)</ns0:f>
        <ns0:v>0</ns0:v>
      </ns0:c>
      <ns0:c r="I863" s="0">
        <ns0:f>IFERROR(IF(AND(F863&gt;=2000,F863&lt;=2100,G863&gt;=1,G863&lt;=12,H863&gt;=1,H863&lt;=31),DATE(F863,G863,H863),0),0)</ns0:f>
        <ns0:v>0</ns0:v>
      </ns0:c>
      <ns0:c r="J863" s="0">
        <ns0:f>IFERROR(IF(ISNUMBER(Bookings!B863),IF(AND(Bookings!B863=INT(Bookings!B863),Bookings!B863&gt;=DATE(2000,1,1),Bookings!B863&lt;=DATE(2100,12,31)),Bookings!B863,0),IF(AND(A863&lt;&gt;"",LEN("x"&amp;B863)-LEN(SUBSTITUTE("x"&amp;B863,".",""))=2,OR(1&gt;LEN(B863),MID(B863,1,1)=".",ISNUMBER(FIND("x"&amp;MID(B863,1,1),"x0x1x2x3x4x5x6x7x8x9"))),OR(2&gt;LEN(B863),MID(B863,2,1)=".",ISNUMBER(FIND("x"&amp;MID(B863,2,1),"x0x1x2x3x4x5x6x7x8x9"))),OR(3&gt;LEN(B863),MID(B863,3,1)=".",ISNUMBER(FIND("x"&amp;MID(B863,3,1),"x0x1x2x3x4x5x6x7x8x9"))),OR(4&gt;LEN(B863),MID(B863,4,1)=".",ISNUMBER(FIND("x"&amp;MID(B863,4,1),"x0x1x2x3x4x5x6x7x8x9"))),OR(5&gt;LEN(B863),MID(B863,5,1)=".",ISNUMBER(FIND("x"&amp;MID(B863,5,1),"x0x1x2x3x4x5x6x7x8x9"))),OR(6&gt;LEN(B863),MID(B863,6,1)=".",ISNUMBER(FIND("x"&amp;MID(B863,6,1),"x0x1x2x3x4x5x6x7x8x9"))),OR(7&gt;LEN(B863),MID(B863,7,1)=".",ISNUMBER(FIND("x"&amp;MID(B863,7,1),"x0x1x2x3x4x5x6x7x8x9"))),OR(8&gt;LEN(B863),MID(B863,8,1)=".",ISNUMBER(FIND("x"&amp;MID(B863,8,1),"x0x1x2x3x4x5x6x7x8x9"))),OR(9&gt;LEN(B863),MID(B863,9,1)=".",ISNUMBER(FIND("x"&amp;MID(B863,9,1),"x0x1x2x3x4x5x6x7x8x9"))),OR(10&gt;LEN(B863),MID(B863,10,1)=".",ISNUMBER(FIND("x"&amp;MID(B863,10,1),"x0x1x2x3x4x5x6x7x8x9"))),OR(AND(FIND(".",B863)=5,LEN(B863)-FIND(".",B863,FIND(".",B863)+1)&gt;=1,LEN(B863)-FIND(".",B863,FIND(".",B863)+1)&lt;=2),AND(LEN(B863)-FIND(".",B863,FIND(".",B863)+1)=4,FIND(".",B863)&gt;=2,FIND(".",B863)&lt;=3)),FIND(".",B863,FIND(".",B863)+1)-FIND(".",B863)&gt;=2,FIND(".",B863,FIND(".",B863)+1)-FIND(".",B863)&lt;=3,F863&gt;=2000,F863&lt;=2100,YEAR(I863)=F863,MONTH(I863)=G863,DAY(I863)=H863),I863,0)),0)</ns0:f>
        <ns0:v>0</ns0:v>
      </ns0:c>
      <ns0:c r="K863" s="0">
        <ns0:f>IFERROR(IF(ISNUMBER(Bookings!D863),"",TRIM(Bookings!D863&amp;"")),"")</ns0:f>
      </ns0:c>
      <ns0:c r="L863" s="0">
        <ns0:f>IFERROR(SUBSTITUTE(SUBSTITUTE(K863,"/","."),"-","."),"")</ns0:f>
      </ns0:c>
      <ns0:c r="M863" s="0">
        <ns0:f>IFERROR(LEFT(L863,FIND(".",L863)-1),"")</ns0:f>
      </ns0:c>
      <ns0:c r="N863" s="0">
        <ns0:f>IFERROR(MID(L863,FIND(".",L863)+1,FIND(".",L863,FIND(".",L863)+1)-FIND(".",L863)-1),"")</ns0:f>
      </ns0:c>
      <ns0:c r="O863" s="0">
        <ns0:f>IFERROR(MID(L863,FIND(".",L863,FIND(".",L863)+1)+1,99),"")</ns0:f>
        <ns0:v>99</ns0:v>
      </ns0:c>
      <ns0:c r="P863" s="0">
        <ns0:f>IFERROR(IF(FIND(".",L863)=5,--M863,--O863),0)</ns0:f>
        <ns0:v>0</ns0:v>
      </ns0:c>
      <ns0:c r="Q863" s="0">
        <ns0:f>IFERROR(--N863,0)</ns0:f>
        <ns0:v>0</ns0:v>
      </ns0:c>
      <ns0:c r="R863" s="0">
        <ns0:f>IFERROR(IF(FIND(".",L863)=5,--O863,--M863),0)</ns0:f>
        <ns0:v>0</ns0:v>
      </ns0:c>
      <ns0:c r="S863" s="0">
        <ns0:f>IFERROR(IF(AND(P863&gt;=2000,P863&lt;=2100,Q863&gt;=1,Q863&lt;=12,R863&gt;=1,R863&lt;=31),DATE(P863,Q863,R863),0),0)</ns0:f>
        <ns0:v>0</ns0:v>
      </ns0:c>
      <ns0:c r="T863" s="0">
        <ns0:f>IFERROR(IF(ISNUMBER(Bookings!D863),IF(AND(Bookings!D863=INT(Bookings!D863),Bookings!D863&gt;=DATE(2000,1,1),Bookings!D863&lt;=DATE(2100,12,31)),Bookings!D863,0),IF(AND(K863&lt;&gt;"",LEN("x"&amp;L863)-LEN(SUBSTITUTE("x"&amp;L863,".",""))=2,OR(1&gt;LEN(L863),MID(L863,1,1)=".",ISNUMBER(FIND("x"&amp;MID(L863,1,1),"x0x1x2x3x4x5x6x7x8x9"))),OR(2&gt;LEN(L863),MID(L863,2,1)=".",ISNUMBER(FIND("x"&amp;MID(L863,2,1),"x0x1x2x3x4x5x6x7x8x9"))),OR(3&gt;LEN(L863),MID(L863,3,1)=".",ISNUMBER(FIND("x"&amp;MID(L863,3,1),"x0x1x2x3x4x5x6x7x8x9"))),OR(4&gt;LEN(L863),MID(L863,4,1)=".",ISNUMBER(FIND("x"&amp;MID(L863,4,1),"x0x1x2x3x4x5x6x7x8x9"))),OR(5&gt;LEN(L863),MID(L863,5,1)=".",ISNUMBER(FIND("x"&amp;MID(L863,5,1),"x0x1x2x3x4x5x6x7x8x9"))),OR(6&gt;LEN(L863),MID(L863,6,1)=".",ISNUMBER(FIND("x"&amp;MID(L863,6,1),"x0x1x2x3x4x5x6x7x8x9"))),OR(7&gt;LEN(L863),MID(L863,7,1)=".",ISNUMBER(FIND("x"&amp;MID(L863,7,1),"x0x1x2x3x4x5x6x7x8x9"))),OR(8&gt;LEN(L863),MID(L863,8,1)=".",ISNUMBER(FIND("x"&amp;MID(L863,8,1),"x0x1x2x3x4x5x6x7x8x9"))),OR(9&gt;LEN(L863),MID(L863,9,1)=".",ISNUMBER(FIND("x"&amp;MID(L863,9,1),"x0x1x2x3x4x5x6x7x8x9"))),OR(10&gt;LEN(L863),MID(L863,10,1)=".",ISNUMBER(FIND("x"&amp;MID(L863,10,1),"x0x1x2x3x4x5x6x7x8x9"))),OR(AND(FIND(".",L863)=5,LEN(L863)-FIND(".",L863,FIND(".",L863)+1)&gt;=1,LEN(L863)-FIND(".",L863,FIND(".",L863)+1)&lt;=2),AND(LEN(L863)-FIND(".",L863,FIND(".",L863)+1)=4,FIND(".",L863)&gt;=2,FIND(".",L863)&lt;=3)),FIND(".",L863,FIND(".",L863)+1)-FIND(".",L863)&gt;=2,FIND(".",L863,FIND(".",L863)+1)-FIND(".",L863)&lt;=3,P863&gt;=2000,P863&lt;=2100,YEAR(S863)=P863,MONTH(S863)=Q863,DAY(S863)=R863),S863,0)),0)</ns0:f>
        <ns0:v>0</ns0:v>
      </ns0:c>
      <ns0:c r="U863" s="0" t="str">
        <ns0:f>IF(Bookings!C863="","Full day",Bookings!C863)</ns0:f>
        <ns0:v>Full day</ns0:v>
      </ns0:c>
      <ns0:c r="V863" s="0" t="str">
        <ns0:f>IF(Bookings!E863="","Full day",Bookings!E863)</ns0:f>
        <ns0:v>Full day</ns0:v>
      </ns0:c>
      <ns0:c r="W863" s="0">
        <ns0:f>IF(J863=0,0,J863+IF(U863="PM",1,0))</ns0:f>
        <ns0:v>0</ns0:v>
      </ns0:c>
      <ns0:c r="X863" s="0">
        <ns0:f>IF(T863=0,0,T863-IF(V863="PM",1,0))</ns0:f>
        <ns0:v>0</ns0:v>
      </ns0:c>
      <ns0:c r="Y863" s="0">
        <ns0:f>IF(J863=0,0,J863+IF(U863="AM",1,0))</ns0:f>
        <ns0:v>0</ns0:v>
      </ns0:c>
      <ns0:c r="Z863" s="0">
        <ns0:f>IF(T863=0,0,T863-IF(V863="AM",1,0))</ns0:f>
        <ns0:v>0</ns0:v>
      </ns0:c>
      <ns0:c r="AA863" s="0">
        <ns0:f>IFERROR(IF(AND(J863&gt;0,'_Engine'!C863&gt;0,MID('_Engine'!W863,WEEKDAY(J863,2),1)="W",COUNTIF(Settings!$F$18:$F$67,J863)=0),1,0),0)</ns0:f>
        <ns0:v>0</ns0:v>
      </ns0:c>
      <ns0:c r="AB863" s="0">
        <ns0:f>IFERROR(IF(AND(T863&gt;0,'_Engine'!C863&gt;0,MID('_Engine'!W863,WEEKDAY(T863,2),1)="W",COUNTIF(Settings!$F$18:$F$67,T863)=0),1,0),0)</ns0:f>
        <ns0:v>0</ns0:v>
      </ns0:c>
      <ns0:c r="AC863" s="0">
        <ns0:f>IF(AND(J863&gt;0,T863&gt;0,W863&lt;=X863),1,0)</ns0:f>
        <ns0:v>0</ns0:v>
      </ns0:c>
      <ns0:c r="AD863" s="0">
        <ns0:f>IF(AND(J863&gt;0,T863&gt;0,Y863&lt;=Z863),1,0)</ns0:f>
        <ns0:v>0</ns0:v>
      </ns0:c>
    </ns0:row>
    <ns0:row r="864">
      <ns0:c r="A864" s="0">
        <ns0:f>IFERROR(IF(ISNUMBER(Bookings!B864),"",TRIM(Bookings!B864&amp;"")),"")</ns0:f>
      </ns0:c>
      <ns0:c r="B864" s="0">
        <ns0:f>IFERROR(SUBSTITUTE(SUBSTITUTE(A864,"/","."),"-","."),"")</ns0:f>
      </ns0:c>
      <ns0:c r="C864" s="0">
        <ns0:f>IFERROR(LEFT(B864,FIND(".",B864)-1),"")</ns0:f>
      </ns0:c>
      <ns0:c r="D864" s="0">
        <ns0:f>IFERROR(MID(B864,FIND(".",B864)+1,FIND(".",B864,FIND(".",B864)+1)-FIND(".",B864)-1),"")</ns0:f>
      </ns0:c>
      <ns0:c r="E864" s="0">
        <ns0:f>IFERROR(MID(B864,FIND(".",B864,FIND(".",B864)+1)+1,99),"")</ns0:f>
        <ns0:v>99</ns0:v>
      </ns0:c>
      <ns0:c r="F864" s="0">
        <ns0:f>IFERROR(IF(FIND(".",B864)=5,--C864,--E864),0)</ns0:f>
        <ns0:v>0</ns0:v>
      </ns0:c>
      <ns0:c r="G864" s="0">
        <ns0:f>IFERROR(--D864,0)</ns0:f>
        <ns0:v>0</ns0:v>
      </ns0:c>
      <ns0:c r="H864" s="0">
        <ns0:f>IFERROR(IF(FIND(".",B864)=5,--E864,--C864),0)</ns0:f>
        <ns0:v>0</ns0:v>
      </ns0:c>
      <ns0:c r="I864" s="0">
        <ns0:f>IFERROR(IF(AND(F864&gt;=2000,F864&lt;=2100,G864&gt;=1,G864&lt;=12,H864&gt;=1,H864&lt;=31),DATE(F864,G864,H864),0),0)</ns0:f>
        <ns0:v>0</ns0:v>
      </ns0:c>
      <ns0:c r="J864" s="0">
        <ns0:f>IFERROR(IF(ISNUMBER(Bookings!B864),IF(AND(Bookings!B864=INT(Bookings!B864),Bookings!B864&gt;=DATE(2000,1,1),Bookings!B864&lt;=DATE(2100,12,31)),Bookings!B864,0),IF(AND(A864&lt;&gt;"",LEN("x"&amp;B864)-LEN(SUBSTITUTE("x"&amp;B864,".",""))=2,OR(1&gt;LEN(B864),MID(B864,1,1)=".",ISNUMBER(FIND("x"&amp;MID(B864,1,1),"x0x1x2x3x4x5x6x7x8x9"))),OR(2&gt;LEN(B864),MID(B864,2,1)=".",ISNUMBER(FIND("x"&amp;MID(B864,2,1),"x0x1x2x3x4x5x6x7x8x9"))),OR(3&gt;LEN(B864),MID(B864,3,1)=".",ISNUMBER(FIND("x"&amp;MID(B864,3,1),"x0x1x2x3x4x5x6x7x8x9"))),OR(4&gt;LEN(B864),MID(B864,4,1)=".",ISNUMBER(FIND("x"&amp;MID(B864,4,1),"x0x1x2x3x4x5x6x7x8x9"))),OR(5&gt;LEN(B864),MID(B864,5,1)=".",ISNUMBER(FIND("x"&amp;MID(B864,5,1),"x0x1x2x3x4x5x6x7x8x9"))),OR(6&gt;LEN(B864),MID(B864,6,1)=".",ISNUMBER(FIND("x"&amp;MID(B864,6,1),"x0x1x2x3x4x5x6x7x8x9"))),OR(7&gt;LEN(B864),MID(B864,7,1)=".",ISNUMBER(FIND("x"&amp;MID(B864,7,1),"x0x1x2x3x4x5x6x7x8x9"))),OR(8&gt;LEN(B864),MID(B864,8,1)=".",ISNUMBER(FIND("x"&amp;MID(B864,8,1),"x0x1x2x3x4x5x6x7x8x9"))),OR(9&gt;LEN(B864),MID(B864,9,1)=".",ISNUMBER(FIND("x"&amp;MID(B864,9,1),"x0x1x2x3x4x5x6x7x8x9"))),OR(10&gt;LEN(B864),MID(B864,10,1)=".",ISNUMBER(FIND("x"&amp;MID(B864,10,1),"x0x1x2x3x4x5x6x7x8x9"))),OR(AND(FIND(".",B864)=5,LEN(B864)-FIND(".",B864,FIND(".",B864)+1)&gt;=1,LEN(B864)-FIND(".",B864,FIND(".",B864)+1)&lt;=2),AND(LEN(B864)-FIND(".",B864,FIND(".",B864)+1)=4,FIND(".",B864)&gt;=2,FIND(".",B864)&lt;=3)),FIND(".",B864,FIND(".",B864)+1)-FIND(".",B864)&gt;=2,FIND(".",B864,FIND(".",B864)+1)-FIND(".",B864)&lt;=3,F864&gt;=2000,F864&lt;=2100,YEAR(I864)=F864,MONTH(I864)=G864,DAY(I864)=H864),I864,0)),0)</ns0:f>
        <ns0:v>0</ns0:v>
      </ns0:c>
      <ns0:c r="K864" s="0">
        <ns0:f>IFERROR(IF(ISNUMBER(Bookings!D864),"",TRIM(Bookings!D864&amp;"")),"")</ns0:f>
      </ns0:c>
      <ns0:c r="L864" s="0">
        <ns0:f>IFERROR(SUBSTITUTE(SUBSTITUTE(K864,"/","."),"-","."),"")</ns0:f>
      </ns0:c>
      <ns0:c r="M864" s="0">
        <ns0:f>IFERROR(LEFT(L864,FIND(".",L864)-1),"")</ns0:f>
      </ns0:c>
      <ns0:c r="N864" s="0">
        <ns0:f>IFERROR(MID(L864,FIND(".",L864)+1,FIND(".",L864,FIND(".",L864)+1)-FIND(".",L864)-1),"")</ns0:f>
      </ns0:c>
      <ns0:c r="O864" s="0">
        <ns0:f>IFERROR(MID(L864,FIND(".",L864,FIND(".",L864)+1)+1,99),"")</ns0:f>
        <ns0:v>99</ns0:v>
      </ns0:c>
      <ns0:c r="P864" s="0">
        <ns0:f>IFERROR(IF(FIND(".",L864)=5,--M864,--O864),0)</ns0:f>
        <ns0:v>0</ns0:v>
      </ns0:c>
      <ns0:c r="Q864" s="0">
        <ns0:f>IFERROR(--N864,0)</ns0:f>
        <ns0:v>0</ns0:v>
      </ns0:c>
      <ns0:c r="R864" s="0">
        <ns0:f>IFERROR(IF(FIND(".",L864)=5,--O864,--M864),0)</ns0:f>
        <ns0:v>0</ns0:v>
      </ns0:c>
      <ns0:c r="S864" s="0">
        <ns0:f>IFERROR(IF(AND(P864&gt;=2000,P864&lt;=2100,Q864&gt;=1,Q864&lt;=12,R864&gt;=1,R864&lt;=31),DATE(P864,Q864,R864),0),0)</ns0:f>
        <ns0:v>0</ns0:v>
      </ns0:c>
      <ns0:c r="T864" s="0">
        <ns0:f>IFERROR(IF(ISNUMBER(Bookings!D864),IF(AND(Bookings!D864=INT(Bookings!D864),Bookings!D864&gt;=DATE(2000,1,1),Bookings!D864&lt;=DATE(2100,12,31)),Bookings!D864,0),IF(AND(K864&lt;&gt;"",LEN("x"&amp;L864)-LEN(SUBSTITUTE("x"&amp;L864,".",""))=2,OR(1&gt;LEN(L864),MID(L864,1,1)=".",ISNUMBER(FIND("x"&amp;MID(L864,1,1),"x0x1x2x3x4x5x6x7x8x9"))),OR(2&gt;LEN(L864),MID(L864,2,1)=".",ISNUMBER(FIND("x"&amp;MID(L864,2,1),"x0x1x2x3x4x5x6x7x8x9"))),OR(3&gt;LEN(L864),MID(L864,3,1)=".",ISNUMBER(FIND("x"&amp;MID(L864,3,1),"x0x1x2x3x4x5x6x7x8x9"))),OR(4&gt;LEN(L864),MID(L864,4,1)=".",ISNUMBER(FIND("x"&amp;MID(L864,4,1),"x0x1x2x3x4x5x6x7x8x9"))),OR(5&gt;LEN(L864),MID(L864,5,1)=".",ISNUMBER(FIND("x"&amp;MID(L864,5,1),"x0x1x2x3x4x5x6x7x8x9"))),OR(6&gt;LEN(L864),MID(L864,6,1)=".",ISNUMBER(FIND("x"&amp;MID(L864,6,1),"x0x1x2x3x4x5x6x7x8x9"))),OR(7&gt;LEN(L864),MID(L864,7,1)=".",ISNUMBER(FIND("x"&amp;MID(L864,7,1),"x0x1x2x3x4x5x6x7x8x9"))),OR(8&gt;LEN(L864),MID(L864,8,1)=".",ISNUMBER(FIND("x"&amp;MID(L864,8,1),"x0x1x2x3x4x5x6x7x8x9"))),OR(9&gt;LEN(L864),MID(L864,9,1)=".",ISNUMBER(FIND("x"&amp;MID(L864,9,1),"x0x1x2x3x4x5x6x7x8x9"))),OR(10&gt;LEN(L864),MID(L864,10,1)=".",ISNUMBER(FIND("x"&amp;MID(L864,10,1),"x0x1x2x3x4x5x6x7x8x9"))),OR(AND(FIND(".",L864)=5,LEN(L864)-FIND(".",L864,FIND(".",L864)+1)&gt;=1,LEN(L864)-FIND(".",L864,FIND(".",L864)+1)&lt;=2),AND(LEN(L864)-FIND(".",L864,FIND(".",L864)+1)=4,FIND(".",L864)&gt;=2,FIND(".",L864)&lt;=3)),FIND(".",L864,FIND(".",L864)+1)-FIND(".",L864)&gt;=2,FIND(".",L864,FIND(".",L864)+1)-FIND(".",L864)&lt;=3,P864&gt;=2000,P864&lt;=2100,YEAR(S864)=P864,MONTH(S864)=Q864,DAY(S864)=R864),S864,0)),0)</ns0:f>
        <ns0:v>0</ns0:v>
      </ns0:c>
      <ns0:c r="U864" s="0" t="str">
        <ns0:f>IF(Bookings!C864="","Full day",Bookings!C864)</ns0:f>
        <ns0:v>Full day</ns0:v>
      </ns0:c>
      <ns0:c r="V864" s="0" t="str">
        <ns0:f>IF(Bookings!E864="","Full day",Bookings!E864)</ns0:f>
        <ns0:v>Full day</ns0:v>
      </ns0:c>
      <ns0:c r="W864" s="0">
        <ns0:f>IF(J864=0,0,J864+IF(U864="PM",1,0))</ns0:f>
        <ns0:v>0</ns0:v>
      </ns0:c>
      <ns0:c r="X864" s="0">
        <ns0:f>IF(T864=0,0,T864-IF(V864="PM",1,0))</ns0:f>
        <ns0:v>0</ns0:v>
      </ns0:c>
      <ns0:c r="Y864" s="0">
        <ns0:f>IF(J864=0,0,J864+IF(U864="AM",1,0))</ns0:f>
        <ns0:v>0</ns0:v>
      </ns0:c>
      <ns0:c r="Z864" s="0">
        <ns0:f>IF(T864=0,0,T864-IF(V864="AM",1,0))</ns0:f>
        <ns0:v>0</ns0:v>
      </ns0:c>
      <ns0:c r="AA864" s="0">
        <ns0:f>IFERROR(IF(AND(J864&gt;0,'_Engine'!C864&gt;0,MID('_Engine'!W864,WEEKDAY(J864,2),1)="W",COUNTIF(Settings!$F$18:$F$67,J864)=0),1,0),0)</ns0:f>
        <ns0:v>0</ns0:v>
      </ns0:c>
      <ns0:c r="AB864" s="0">
        <ns0:f>IFERROR(IF(AND(T864&gt;0,'_Engine'!C864&gt;0,MID('_Engine'!W864,WEEKDAY(T864,2),1)="W",COUNTIF(Settings!$F$18:$F$67,T864)=0),1,0),0)</ns0:f>
        <ns0:v>0</ns0:v>
      </ns0:c>
      <ns0:c r="AC864" s="0">
        <ns0:f>IF(AND(J864&gt;0,T864&gt;0,W864&lt;=X864),1,0)</ns0:f>
        <ns0:v>0</ns0:v>
      </ns0:c>
      <ns0:c r="AD864" s="0">
        <ns0:f>IF(AND(J864&gt;0,T864&gt;0,Y864&lt;=Z864),1,0)</ns0:f>
        <ns0:v>0</ns0:v>
      </ns0:c>
    </ns0:row>
    <ns0:row r="865">
      <ns0:c r="A865" s="0">
        <ns0:f>IFERROR(IF(ISNUMBER(Bookings!B865),"",TRIM(Bookings!B865&amp;"")),"")</ns0:f>
      </ns0:c>
      <ns0:c r="B865" s="0">
        <ns0:f>IFERROR(SUBSTITUTE(SUBSTITUTE(A865,"/","."),"-","."),"")</ns0:f>
      </ns0:c>
      <ns0:c r="C865" s="0">
        <ns0:f>IFERROR(LEFT(B865,FIND(".",B865)-1),"")</ns0:f>
      </ns0:c>
      <ns0:c r="D865" s="0">
        <ns0:f>IFERROR(MID(B865,FIND(".",B865)+1,FIND(".",B865,FIND(".",B865)+1)-FIND(".",B865)-1),"")</ns0:f>
      </ns0:c>
      <ns0:c r="E865" s="0">
        <ns0:f>IFERROR(MID(B865,FIND(".",B865,FIND(".",B865)+1)+1,99),"")</ns0:f>
        <ns0:v>99</ns0:v>
      </ns0:c>
      <ns0:c r="F865" s="0">
        <ns0:f>IFERROR(IF(FIND(".",B865)=5,--C865,--E865),0)</ns0:f>
        <ns0:v>0</ns0:v>
      </ns0:c>
      <ns0:c r="G865" s="0">
        <ns0:f>IFERROR(--D865,0)</ns0:f>
        <ns0:v>0</ns0:v>
      </ns0:c>
      <ns0:c r="H865" s="0">
        <ns0:f>IFERROR(IF(FIND(".",B865)=5,--E865,--C865),0)</ns0:f>
        <ns0:v>0</ns0:v>
      </ns0:c>
      <ns0:c r="I865" s="0">
        <ns0:f>IFERROR(IF(AND(F865&gt;=2000,F865&lt;=2100,G865&gt;=1,G865&lt;=12,H865&gt;=1,H865&lt;=31),DATE(F865,G865,H865),0),0)</ns0:f>
        <ns0:v>0</ns0:v>
      </ns0:c>
      <ns0:c r="J865" s="0">
        <ns0:f>IFERROR(IF(ISNUMBER(Bookings!B865),IF(AND(Bookings!B865=INT(Bookings!B865),Bookings!B865&gt;=DATE(2000,1,1),Bookings!B865&lt;=DATE(2100,12,31)),Bookings!B865,0),IF(AND(A865&lt;&gt;"",LEN("x"&amp;B865)-LEN(SUBSTITUTE("x"&amp;B865,".",""))=2,OR(1&gt;LEN(B865),MID(B865,1,1)=".",ISNUMBER(FIND("x"&amp;MID(B865,1,1),"x0x1x2x3x4x5x6x7x8x9"))),OR(2&gt;LEN(B865),MID(B865,2,1)=".",ISNUMBER(FIND("x"&amp;MID(B865,2,1),"x0x1x2x3x4x5x6x7x8x9"))),OR(3&gt;LEN(B865),MID(B865,3,1)=".",ISNUMBER(FIND("x"&amp;MID(B865,3,1),"x0x1x2x3x4x5x6x7x8x9"))),OR(4&gt;LEN(B865),MID(B865,4,1)=".",ISNUMBER(FIND("x"&amp;MID(B865,4,1),"x0x1x2x3x4x5x6x7x8x9"))),OR(5&gt;LEN(B865),MID(B865,5,1)=".",ISNUMBER(FIND("x"&amp;MID(B865,5,1),"x0x1x2x3x4x5x6x7x8x9"))),OR(6&gt;LEN(B865),MID(B865,6,1)=".",ISNUMBER(FIND("x"&amp;MID(B865,6,1),"x0x1x2x3x4x5x6x7x8x9"))),OR(7&gt;LEN(B865),MID(B865,7,1)=".",ISNUMBER(FIND("x"&amp;MID(B865,7,1),"x0x1x2x3x4x5x6x7x8x9"))),OR(8&gt;LEN(B865),MID(B865,8,1)=".",ISNUMBER(FIND("x"&amp;MID(B865,8,1),"x0x1x2x3x4x5x6x7x8x9"))),OR(9&gt;LEN(B865),MID(B865,9,1)=".",ISNUMBER(FIND("x"&amp;MID(B865,9,1),"x0x1x2x3x4x5x6x7x8x9"))),OR(10&gt;LEN(B865),MID(B865,10,1)=".",ISNUMBER(FIND("x"&amp;MID(B865,10,1),"x0x1x2x3x4x5x6x7x8x9"))),OR(AND(FIND(".",B865)=5,LEN(B865)-FIND(".",B865,FIND(".",B865)+1)&gt;=1,LEN(B865)-FIND(".",B865,FIND(".",B865)+1)&lt;=2),AND(LEN(B865)-FIND(".",B865,FIND(".",B865)+1)=4,FIND(".",B865)&gt;=2,FIND(".",B865)&lt;=3)),FIND(".",B865,FIND(".",B865)+1)-FIND(".",B865)&gt;=2,FIND(".",B865,FIND(".",B865)+1)-FIND(".",B865)&lt;=3,F865&gt;=2000,F865&lt;=2100,YEAR(I865)=F865,MONTH(I865)=G865,DAY(I865)=H865),I865,0)),0)</ns0:f>
        <ns0:v>0</ns0:v>
      </ns0:c>
      <ns0:c r="K865" s="0">
        <ns0:f>IFERROR(IF(ISNUMBER(Bookings!D865),"",TRIM(Bookings!D865&amp;"")),"")</ns0:f>
      </ns0:c>
      <ns0:c r="L865" s="0">
        <ns0:f>IFERROR(SUBSTITUTE(SUBSTITUTE(K865,"/","."),"-","."),"")</ns0:f>
      </ns0:c>
      <ns0:c r="M865" s="0">
        <ns0:f>IFERROR(LEFT(L865,FIND(".",L865)-1),"")</ns0:f>
      </ns0:c>
      <ns0:c r="N865" s="0">
        <ns0:f>IFERROR(MID(L865,FIND(".",L865)+1,FIND(".",L865,FIND(".",L865)+1)-FIND(".",L865)-1),"")</ns0:f>
      </ns0:c>
      <ns0:c r="O865" s="0">
        <ns0:f>IFERROR(MID(L865,FIND(".",L865,FIND(".",L865)+1)+1,99),"")</ns0:f>
        <ns0:v>99</ns0:v>
      </ns0:c>
      <ns0:c r="P865" s="0">
        <ns0:f>IFERROR(IF(FIND(".",L865)=5,--M865,--O865),0)</ns0:f>
        <ns0:v>0</ns0:v>
      </ns0:c>
      <ns0:c r="Q865" s="0">
        <ns0:f>IFERROR(--N865,0)</ns0:f>
        <ns0:v>0</ns0:v>
      </ns0:c>
      <ns0:c r="R865" s="0">
        <ns0:f>IFERROR(IF(FIND(".",L865)=5,--O865,--M865),0)</ns0:f>
        <ns0:v>0</ns0:v>
      </ns0:c>
      <ns0:c r="S865" s="0">
        <ns0:f>IFERROR(IF(AND(P865&gt;=2000,P865&lt;=2100,Q865&gt;=1,Q865&lt;=12,R865&gt;=1,R865&lt;=31),DATE(P865,Q865,R865),0),0)</ns0:f>
        <ns0:v>0</ns0:v>
      </ns0:c>
      <ns0:c r="T865" s="0">
        <ns0:f>IFERROR(IF(ISNUMBER(Bookings!D865),IF(AND(Bookings!D865=INT(Bookings!D865),Bookings!D865&gt;=DATE(2000,1,1),Bookings!D865&lt;=DATE(2100,12,31)),Bookings!D865,0),IF(AND(K865&lt;&gt;"",LEN("x"&amp;L865)-LEN(SUBSTITUTE("x"&amp;L865,".",""))=2,OR(1&gt;LEN(L865),MID(L865,1,1)=".",ISNUMBER(FIND("x"&amp;MID(L865,1,1),"x0x1x2x3x4x5x6x7x8x9"))),OR(2&gt;LEN(L865),MID(L865,2,1)=".",ISNUMBER(FIND("x"&amp;MID(L865,2,1),"x0x1x2x3x4x5x6x7x8x9"))),OR(3&gt;LEN(L865),MID(L865,3,1)=".",ISNUMBER(FIND("x"&amp;MID(L865,3,1),"x0x1x2x3x4x5x6x7x8x9"))),OR(4&gt;LEN(L865),MID(L865,4,1)=".",ISNUMBER(FIND("x"&amp;MID(L865,4,1),"x0x1x2x3x4x5x6x7x8x9"))),OR(5&gt;LEN(L865),MID(L865,5,1)=".",ISNUMBER(FIND("x"&amp;MID(L865,5,1),"x0x1x2x3x4x5x6x7x8x9"))),OR(6&gt;LEN(L865),MID(L865,6,1)=".",ISNUMBER(FIND("x"&amp;MID(L865,6,1),"x0x1x2x3x4x5x6x7x8x9"))),OR(7&gt;LEN(L865),MID(L865,7,1)=".",ISNUMBER(FIND("x"&amp;MID(L865,7,1),"x0x1x2x3x4x5x6x7x8x9"))),OR(8&gt;LEN(L865),MID(L865,8,1)=".",ISNUMBER(FIND("x"&amp;MID(L865,8,1),"x0x1x2x3x4x5x6x7x8x9"))),OR(9&gt;LEN(L865),MID(L865,9,1)=".",ISNUMBER(FIND("x"&amp;MID(L865,9,1),"x0x1x2x3x4x5x6x7x8x9"))),OR(10&gt;LEN(L865),MID(L865,10,1)=".",ISNUMBER(FIND("x"&amp;MID(L865,10,1),"x0x1x2x3x4x5x6x7x8x9"))),OR(AND(FIND(".",L865)=5,LEN(L865)-FIND(".",L865,FIND(".",L865)+1)&gt;=1,LEN(L865)-FIND(".",L865,FIND(".",L865)+1)&lt;=2),AND(LEN(L865)-FIND(".",L865,FIND(".",L865)+1)=4,FIND(".",L865)&gt;=2,FIND(".",L865)&lt;=3)),FIND(".",L865,FIND(".",L865)+1)-FIND(".",L865)&gt;=2,FIND(".",L865,FIND(".",L865)+1)-FIND(".",L865)&lt;=3,P865&gt;=2000,P865&lt;=2100,YEAR(S865)=P865,MONTH(S865)=Q865,DAY(S865)=R865),S865,0)),0)</ns0:f>
        <ns0:v>0</ns0:v>
      </ns0:c>
      <ns0:c r="U865" s="0" t="str">
        <ns0:f>IF(Bookings!C865="","Full day",Bookings!C865)</ns0:f>
        <ns0:v>Full day</ns0:v>
      </ns0:c>
      <ns0:c r="V865" s="0" t="str">
        <ns0:f>IF(Bookings!E865="","Full day",Bookings!E865)</ns0:f>
        <ns0:v>Full day</ns0:v>
      </ns0:c>
      <ns0:c r="W865" s="0">
        <ns0:f>IF(J865=0,0,J865+IF(U865="PM",1,0))</ns0:f>
        <ns0:v>0</ns0:v>
      </ns0:c>
      <ns0:c r="X865" s="0">
        <ns0:f>IF(T865=0,0,T865-IF(V865="PM",1,0))</ns0:f>
        <ns0:v>0</ns0:v>
      </ns0:c>
      <ns0:c r="Y865" s="0">
        <ns0:f>IF(J865=0,0,J865+IF(U865="AM",1,0))</ns0:f>
        <ns0:v>0</ns0:v>
      </ns0:c>
      <ns0:c r="Z865" s="0">
        <ns0:f>IF(T865=0,0,T865-IF(V865="AM",1,0))</ns0:f>
        <ns0:v>0</ns0:v>
      </ns0:c>
      <ns0:c r="AA865" s="0">
        <ns0:f>IFERROR(IF(AND(J865&gt;0,'_Engine'!C865&gt;0,MID('_Engine'!W865,WEEKDAY(J865,2),1)="W",COUNTIF(Settings!$F$18:$F$67,J865)=0),1,0),0)</ns0:f>
        <ns0:v>0</ns0:v>
      </ns0:c>
      <ns0:c r="AB865" s="0">
        <ns0:f>IFERROR(IF(AND(T865&gt;0,'_Engine'!C865&gt;0,MID('_Engine'!W865,WEEKDAY(T865,2),1)="W",COUNTIF(Settings!$F$18:$F$67,T865)=0),1,0),0)</ns0:f>
        <ns0:v>0</ns0:v>
      </ns0:c>
      <ns0:c r="AC865" s="0">
        <ns0:f>IF(AND(J865&gt;0,T865&gt;0,W865&lt;=X865),1,0)</ns0:f>
        <ns0:v>0</ns0:v>
      </ns0:c>
      <ns0:c r="AD865" s="0">
        <ns0:f>IF(AND(J865&gt;0,T865&gt;0,Y865&lt;=Z865),1,0)</ns0:f>
        <ns0:v>0</ns0:v>
      </ns0:c>
    </ns0:row>
    <ns0:row r="866">
      <ns0:c r="A866" s="0">
        <ns0:f>IFERROR(IF(ISNUMBER(Bookings!B866),"",TRIM(Bookings!B866&amp;"")),"")</ns0:f>
      </ns0:c>
      <ns0:c r="B866" s="0">
        <ns0:f>IFERROR(SUBSTITUTE(SUBSTITUTE(A866,"/","."),"-","."),"")</ns0:f>
      </ns0:c>
      <ns0:c r="C866" s="0">
        <ns0:f>IFERROR(LEFT(B866,FIND(".",B866)-1),"")</ns0:f>
      </ns0:c>
      <ns0:c r="D866" s="0">
        <ns0:f>IFERROR(MID(B866,FIND(".",B866)+1,FIND(".",B866,FIND(".",B866)+1)-FIND(".",B866)-1),"")</ns0:f>
      </ns0:c>
      <ns0:c r="E866" s="0">
        <ns0:f>IFERROR(MID(B866,FIND(".",B866,FIND(".",B866)+1)+1,99),"")</ns0:f>
        <ns0:v>99</ns0:v>
      </ns0:c>
      <ns0:c r="F866" s="0">
        <ns0:f>IFERROR(IF(FIND(".",B866)=5,--C866,--E866),0)</ns0:f>
        <ns0:v>0</ns0:v>
      </ns0:c>
      <ns0:c r="G866" s="0">
        <ns0:f>IFERROR(--D866,0)</ns0:f>
        <ns0:v>0</ns0:v>
      </ns0:c>
      <ns0:c r="H866" s="0">
        <ns0:f>IFERROR(IF(FIND(".",B866)=5,--E866,--C866),0)</ns0:f>
        <ns0:v>0</ns0:v>
      </ns0:c>
      <ns0:c r="I866" s="0">
        <ns0:f>IFERROR(IF(AND(F866&gt;=2000,F866&lt;=2100,G866&gt;=1,G866&lt;=12,H866&gt;=1,H866&lt;=31),DATE(F866,G866,H866),0),0)</ns0:f>
        <ns0:v>0</ns0:v>
      </ns0:c>
      <ns0:c r="J866" s="0">
        <ns0:f>IFERROR(IF(ISNUMBER(Bookings!B866),IF(AND(Bookings!B866=INT(Bookings!B866),Bookings!B866&gt;=DATE(2000,1,1),Bookings!B866&lt;=DATE(2100,12,31)),Bookings!B866,0),IF(AND(A866&lt;&gt;"",LEN("x"&amp;B866)-LEN(SUBSTITUTE("x"&amp;B866,".",""))=2,OR(1&gt;LEN(B866),MID(B866,1,1)=".",ISNUMBER(FIND("x"&amp;MID(B866,1,1),"x0x1x2x3x4x5x6x7x8x9"))),OR(2&gt;LEN(B866),MID(B866,2,1)=".",ISNUMBER(FIND("x"&amp;MID(B866,2,1),"x0x1x2x3x4x5x6x7x8x9"))),OR(3&gt;LEN(B866),MID(B866,3,1)=".",ISNUMBER(FIND("x"&amp;MID(B866,3,1),"x0x1x2x3x4x5x6x7x8x9"))),OR(4&gt;LEN(B866),MID(B866,4,1)=".",ISNUMBER(FIND("x"&amp;MID(B866,4,1),"x0x1x2x3x4x5x6x7x8x9"))),OR(5&gt;LEN(B866),MID(B866,5,1)=".",ISNUMBER(FIND("x"&amp;MID(B866,5,1),"x0x1x2x3x4x5x6x7x8x9"))),OR(6&gt;LEN(B866),MID(B866,6,1)=".",ISNUMBER(FIND("x"&amp;MID(B866,6,1),"x0x1x2x3x4x5x6x7x8x9"))),OR(7&gt;LEN(B866),MID(B866,7,1)=".",ISNUMBER(FIND("x"&amp;MID(B866,7,1),"x0x1x2x3x4x5x6x7x8x9"))),OR(8&gt;LEN(B866),MID(B866,8,1)=".",ISNUMBER(FIND("x"&amp;MID(B866,8,1),"x0x1x2x3x4x5x6x7x8x9"))),OR(9&gt;LEN(B866),MID(B866,9,1)=".",ISNUMBER(FIND("x"&amp;MID(B866,9,1),"x0x1x2x3x4x5x6x7x8x9"))),OR(10&gt;LEN(B866),MID(B866,10,1)=".",ISNUMBER(FIND("x"&amp;MID(B866,10,1),"x0x1x2x3x4x5x6x7x8x9"))),OR(AND(FIND(".",B866)=5,LEN(B866)-FIND(".",B866,FIND(".",B866)+1)&gt;=1,LEN(B866)-FIND(".",B866,FIND(".",B866)+1)&lt;=2),AND(LEN(B866)-FIND(".",B866,FIND(".",B866)+1)=4,FIND(".",B866)&gt;=2,FIND(".",B866)&lt;=3)),FIND(".",B866,FIND(".",B866)+1)-FIND(".",B866)&gt;=2,FIND(".",B866,FIND(".",B866)+1)-FIND(".",B866)&lt;=3,F866&gt;=2000,F866&lt;=2100,YEAR(I866)=F866,MONTH(I866)=G866,DAY(I866)=H866),I866,0)),0)</ns0:f>
        <ns0:v>0</ns0:v>
      </ns0:c>
      <ns0:c r="K866" s="0">
        <ns0:f>IFERROR(IF(ISNUMBER(Bookings!D866),"",TRIM(Bookings!D866&amp;"")),"")</ns0:f>
      </ns0:c>
      <ns0:c r="L866" s="0">
        <ns0:f>IFERROR(SUBSTITUTE(SUBSTITUTE(K866,"/","."),"-","."),"")</ns0:f>
      </ns0:c>
      <ns0:c r="M866" s="0">
        <ns0:f>IFERROR(LEFT(L866,FIND(".",L866)-1),"")</ns0:f>
      </ns0:c>
      <ns0:c r="N866" s="0">
        <ns0:f>IFERROR(MID(L866,FIND(".",L866)+1,FIND(".",L866,FIND(".",L866)+1)-FIND(".",L866)-1),"")</ns0:f>
      </ns0:c>
      <ns0:c r="O866" s="0">
        <ns0:f>IFERROR(MID(L866,FIND(".",L866,FIND(".",L866)+1)+1,99),"")</ns0:f>
        <ns0:v>99</ns0:v>
      </ns0:c>
      <ns0:c r="P866" s="0">
        <ns0:f>IFERROR(IF(FIND(".",L866)=5,--M866,--O866),0)</ns0:f>
        <ns0:v>0</ns0:v>
      </ns0:c>
      <ns0:c r="Q866" s="0">
        <ns0:f>IFERROR(--N866,0)</ns0:f>
        <ns0:v>0</ns0:v>
      </ns0:c>
      <ns0:c r="R866" s="0">
        <ns0:f>IFERROR(IF(FIND(".",L866)=5,--O866,--M866),0)</ns0:f>
        <ns0:v>0</ns0:v>
      </ns0:c>
      <ns0:c r="S866" s="0">
        <ns0:f>IFERROR(IF(AND(P866&gt;=2000,P866&lt;=2100,Q866&gt;=1,Q866&lt;=12,R866&gt;=1,R866&lt;=31),DATE(P866,Q866,R866),0),0)</ns0:f>
        <ns0:v>0</ns0:v>
      </ns0:c>
      <ns0:c r="T866" s="0">
        <ns0:f>IFERROR(IF(ISNUMBER(Bookings!D866),IF(AND(Bookings!D866=INT(Bookings!D866),Bookings!D866&gt;=DATE(2000,1,1),Bookings!D866&lt;=DATE(2100,12,31)),Bookings!D866,0),IF(AND(K866&lt;&gt;"",LEN("x"&amp;L866)-LEN(SUBSTITUTE("x"&amp;L866,".",""))=2,OR(1&gt;LEN(L866),MID(L866,1,1)=".",ISNUMBER(FIND("x"&amp;MID(L866,1,1),"x0x1x2x3x4x5x6x7x8x9"))),OR(2&gt;LEN(L866),MID(L866,2,1)=".",ISNUMBER(FIND("x"&amp;MID(L866,2,1),"x0x1x2x3x4x5x6x7x8x9"))),OR(3&gt;LEN(L866),MID(L866,3,1)=".",ISNUMBER(FIND("x"&amp;MID(L866,3,1),"x0x1x2x3x4x5x6x7x8x9"))),OR(4&gt;LEN(L866),MID(L866,4,1)=".",ISNUMBER(FIND("x"&amp;MID(L866,4,1),"x0x1x2x3x4x5x6x7x8x9"))),OR(5&gt;LEN(L866),MID(L866,5,1)=".",ISNUMBER(FIND("x"&amp;MID(L866,5,1),"x0x1x2x3x4x5x6x7x8x9"))),OR(6&gt;LEN(L866),MID(L866,6,1)=".",ISNUMBER(FIND("x"&amp;MID(L866,6,1),"x0x1x2x3x4x5x6x7x8x9"))),OR(7&gt;LEN(L866),MID(L866,7,1)=".",ISNUMBER(FIND("x"&amp;MID(L866,7,1),"x0x1x2x3x4x5x6x7x8x9"))),OR(8&gt;LEN(L866),MID(L866,8,1)=".",ISNUMBER(FIND("x"&amp;MID(L866,8,1),"x0x1x2x3x4x5x6x7x8x9"))),OR(9&gt;LEN(L866),MID(L866,9,1)=".",ISNUMBER(FIND("x"&amp;MID(L866,9,1),"x0x1x2x3x4x5x6x7x8x9"))),OR(10&gt;LEN(L866),MID(L866,10,1)=".",ISNUMBER(FIND("x"&amp;MID(L866,10,1),"x0x1x2x3x4x5x6x7x8x9"))),OR(AND(FIND(".",L866)=5,LEN(L866)-FIND(".",L866,FIND(".",L866)+1)&gt;=1,LEN(L866)-FIND(".",L866,FIND(".",L866)+1)&lt;=2),AND(LEN(L866)-FIND(".",L866,FIND(".",L866)+1)=4,FIND(".",L866)&gt;=2,FIND(".",L866)&lt;=3)),FIND(".",L866,FIND(".",L866)+1)-FIND(".",L866)&gt;=2,FIND(".",L866,FIND(".",L866)+1)-FIND(".",L866)&lt;=3,P866&gt;=2000,P866&lt;=2100,YEAR(S866)=P866,MONTH(S866)=Q866,DAY(S866)=R866),S866,0)),0)</ns0:f>
        <ns0:v>0</ns0:v>
      </ns0:c>
      <ns0:c r="U866" s="0" t="str">
        <ns0:f>IF(Bookings!C866="","Full day",Bookings!C866)</ns0:f>
        <ns0:v>Full day</ns0:v>
      </ns0:c>
      <ns0:c r="V866" s="0" t="str">
        <ns0:f>IF(Bookings!E866="","Full day",Bookings!E866)</ns0:f>
        <ns0:v>Full day</ns0:v>
      </ns0:c>
      <ns0:c r="W866" s="0">
        <ns0:f>IF(J866=0,0,J866+IF(U866="PM",1,0))</ns0:f>
        <ns0:v>0</ns0:v>
      </ns0:c>
      <ns0:c r="X866" s="0">
        <ns0:f>IF(T866=0,0,T866-IF(V866="PM",1,0))</ns0:f>
        <ns0:v>0</ns0:v>
      </ns0:c>
      <ns0:c r="Y866" s="0">
        <ns0:f>IF(J866=0,0,J866+IF(U866="AM",1,0))</ns0:f>
        <ns0:v>0</ns0:v>
      </ns0:c>
      <ns0:c r="Z866" s="0">
        <ns0:f>IF(T866=0,0,T866-IF(V866="AM",1,0))</ns0:f>
        <ns0:v>0</ns0:v>
      </ns0:c>
      <ns0:c r="AA866" s="0">
        <ns0:f>IFERROR(IF(AND(J866&gt;0,'_Engine'!C866&gt;0,MID('_Engine'!W866,WEEKDAY(J866,2),1)="W",COUNTIF(Settings!$F$18:$F$67,J866)=0),1,0),0)</ns0:f>
        <ns0:v>0</ns0:v>
      </ns0:c>
      <ns0:c r="AB866" s="0">
        <ns0:f>IFERROR(IF(AND(T866&gt;0,'_Engine'!C866&gt;0,MID('_Engine'!W866,WEEKDAY(T866,2),1)="W",COUNTIF(Settings!$F$18:$F$67,T866)=0),1,0),0)</ns0:f>
        <ns0:v>0</ns0:v>
      </ns0:c>
      <ns0:c r="AC866" s="0">
        <ns0:f>IF(AND(J866&gt;0,T866&gt;0,W866&lt;=X866),1,0)</ns0:f>
        <ns0:v>0</ns0:v>
      </ns0:c>
      <ns0:c r="AD866" s="0">
        <ns0:f>IF(AND(J866&gt;0,T866&gt;0,Y866&lt;=Z866),1,0)</ns0:f>
        <ns0:v>0</ns0:v>
      </ns0:c>
    </ns0:row>
    <ns0:row r="867">
      <ns0:c r="A867" s="0">
        <ns0:f>IFERROR(IF(ISNUMBER(Bookings!B867),"",TRIM(Bookings!B867&amp;"")),"")</ns0:f>
      </ns0:c>
      <ns0:c r="B867" s="0">
        <ns0:f>IFERROR(SUBSTITUTE(SUBSTITUTE(A867,"/","."),"-","."),"")</ns0:f>
      </ns0:c>
      <ns0:c r="C867" s="0">
        <ns0:f>IFERROR(LEFT(B867,FIND(".",B867)-1),"")</ns0:f>
      </ns0:c>
      <ns0:c r="D867" s="0">
        <ns0:f>IFERROR(MID(B867,FIND(".",B867)+1,FIND(".",B867,FIND(".",B867)+1)-FIND(".",B867)-1),"")</ns0:f>
      </ns0:c>
      <ns0:c r="E867" s="0">
        <ns0:f>IFERROR(MID(B867,FIND(".",B867,FIND(".",B867)+1)+1,99),"")</ns0:f>
        <ns0:v>99</ns0:v>
      </ns0:c>
      <ns0:c r="F867" s="0">
        <ns0:f>IFERROR(IF(FIND(".",B867)=5,--C867,--E867),0)</ns0:f>
        <ns0:v>0</ns0:v>
      </ns0:c>
      <ns0:c r="G867" s="0">
        <ns0:f>IFERROR(--D867,0)</ns0:f>
        <ns0:v>0</ns0:v>
      </ns0:c>
      <ns0:c r="H867" s="0">
        <ns0:f>IFERROR(IF(FIND(".",B867)=5,--E867,--C867),0)</ns0:f>
        <ns0:v>0</ns0:v>
      </ns0:c>
      <ns0:c r="I867" s="0">
        <ns0:f>IFERROR(IF(AND(F867&gt;=2000,F867&lt;=2100,G867&gt;=1,G867&lt;=12,H867&gt;=1,H867&lt;=31),DATE(F867,G867,H867),0),0)</ns0:f>
        <ns0:v>0</ns0:v>
      </ns0:c>
      <ns0:c r="J867" s="0">
        <ns0:f>IFERROR(IF(ISNUMBER(Bookings!B867),IF(AND(Bookings!B867=INT(Bookings!B867),Bookings!B867&gt;=DATE(2000,1,1),Bookings!B867&lt;=DATE(2100,12,31)),Bookings!B867,0),IF(AND(A867&lt;&gt;"",LEN("x"&amp;B867)-LEN(SUBSTITUTE("x"&amp;B867,".",""))=2,OR(1&gt;LEN(B867),MID(B867,1,1)=".",ISNUMBER(FIND("x"&amp;MID(B867,1,1),"x0x1x2x3x4x5x6x7x8x9"))),OR(2&gt;LEN(B867),MID(B867,2,1)=".",ISNUMBER(FIND("x"&amp;MID(B867,2,1),"x0x1x2x3x4x5x6x7x8x9"))),OR(3&gt;LEN(B867),MID(B867,3,1)=".",ISNUMBER(FIND("x"&amp;MID(B867,3,1),"x0x1x2x3x4x5x6x7x8x9"))),OR(4&gt;LEN(B867),MID(B867,4,1)=".",ISNUMBER(FIND("x"&amp;MID(B867,4,1),"x0x1x2x3x4x5x6x7x8x9"))),OR(5&gt;LEN(B867),MID(B867,5,1)=".",ISNUMBER(FIND("x"&amp;MID(B867,5,1),"x0x1x2x3x4x5x6x7x8x9"))),OR(6&gt;LEN(B867),MID(B867,6,1)=".",ISNUMBER(FIND("x"&amp;MID(B867,6,1),"x0x1x2x3x4x5x6x7x8x9"))),OR(7&gt;LEN(B867),MID(B867,7,1)=".",ISNUMBER(FIND("x"&amp;MID(B867,7,1),"x0x1x2x3x4x5x6x7x8x9"))),OR(8&gt;LEN(B867),MID(B867,8,1)=".",ISNUMBER(FIND("x"&amp;MID(B867,8,1),"x0x1x2x3x4x5x6x7x8x9"))),OR(9&gt;LEN(B867),MID(B867,9,1)=".",ISNUMBER(FIND("x"&amp;MID(B867,9,1),"x0x1x2x3x4x5x6x7x8x9"))),OR(10&gt;LEN(B867),MID(B867,10,1)=".",ISNUMBER(FIND("x"&amp;MID(B867,10,1),"x0x1x2x3x4x5x6x7x8x9"))),OR(AND(FIND(".",B867)=5,LEN(B867)-FIND(".",B867,FIND(".",B867)+1)&gt;=1,LEN(B867)-FIND(".",B867,FIND(".",B867)+1)&lt;=2),AND(LEN(B867)-FIND(".",B867,FIND(".",B867)+1)=4,FIND(".",B867)&gt;=2,FIND(".",B867)&lt;=3)),FIND(".",B867,FIND(".",B867)+1)-FIND(".",B867)&gt;=2,FIND(".",B867,FIND(".",B867)+1)-FIND(".",B867)&lt;=3,F867&gt;=2000,F867&lt;=2100,YEAR(I867)=F867,MONTH(I867)=G867,DAY(I867)=H867),I867,0)),0)</ns0:f>
        <ns0:v>0</ns0:v>
      </ns0:c>
      <ns0:c r="K867" s="0">
        <ns0:f>IFERROR(IF(ISNUMBER(Bookings!D867),"",TRIM(Bookings!D867&amp;"")),"")</ns0:f>
      </ns0:c>
      <ns0:c r="L867" s="0">
        <ns0:f>IFERROR(SUBSTITUTE(SUBSTITUTE(K867,"/","."),"-","."),"")</ns0:f>
      </ns0:c>
      <ns0:c r="M867" s="0">
        <ns0:f>IFERROR(LEFT(L867,FIND(".",L867)-1),"")</ns0:f>
      </ns0:c>
      <ns0:c r="N867" s="0">
        <ns0:f>IFERROR(MID(L867,FIND(".",L867)+1,FIND(".",L867,FIND(".",L867)+1)-FIND(".",L867)-1),"")</ns0:f>
      </ns0:c>
      <ns0:c r="O867" s="0">
        <ns0:f>IFERROR(MID(L867,FIND(".",L867,FIND(".",L867)+1)+1,99),"")</ns0:f>
        <ns0:v>99</ns0:v>
      </ns0:c>
      <ns0:c r="P867" s="0">
        <ns0:f>IFERROR(IF(FIND(".",L867)=5,--M867,--O867),0)</ns0:f>
        <ns0:v>0</ns0:v>
      </ns0:c>
      <ns0:c r="Q867" s="0">
        <ns0:f>IFERROR(--N867,0)</ns0:f>
        <ns0:v>0</ns0:v>
      </ns0:c>
      <ns0:c r="R867" s="0">
        <ns0:f>IFERROR(IF(FIND(".",L867)=5,--O867,--M867),0)</ns0:f>
        <ns0:v>0</ns0:v>
      </ns0:c>
      <ns0:c r="S867" s="0">
        <ns0:f>IFERROR(IF(AND(P867&gt;=2000,P867&lt;=2100,Q867&gt;=1,Q867&lt;=12,R867&gt;=1,R867&lt;=31),DATE(P867,Q867,R867),0),0)</ns0:f>
        <ns0:v>0</ns0:v>
      </ns0:c>
      <ns0:c r="T867" s="0">
        <ns0:f>IFERROR(IF(ISNUMBER(Bookings!D867),IF(AND(Bookings!D867=INT(Bookings!D867),Bookings!D867&gt;=DATE(2000,1,1),Bookings!D867&lt;=DATE(2100,12,31)),Bookings!D867,0),IF(AND(K867&lt;&gt;"",LEN("x"&amp;L867)-LEN(SUBSTITUTE("x"&amp;L867,".",""))=2,OR(1&gt;LEN(L867),MID(L867,1,1)=".",ISNUMBER(FIND("x"&amp;MID(L867,1,1),"x0x1x2x3x4x5x6x7x8x9"))),OR(2&gt;LEN(L867),MID(L867,2,1)=".",ISNUMBER(FIND("x"&amp;MID(L867,2,1),"x0x1x2x3x4x5x6x7x8x9"))),OR(3&gt;LEN(L867),MID(L867,3,1)=".",ISNUMBER(FIND("x"&amp;MID(L867,3,1),"x0x1x2x3x4x5x6x7x8x9"))),OR(4&gt;LEN(L867),MID(L867,4,1)=".",ISNUMBER(FIND("x"&amp;MID(L867,4,1),"x0x1x2x3x4x5x6x7x8x9"))),OR(5&gt;LEN(L867),MID(L867,5,1)=".",ISNUMBER(FIND("x"&amp;MID(L867,5,1),"x0x1x2x3x4x5x6x7x8x9"))),OR(6&gt;LEN(L867),MID(L867,6,1)=".",ISNUMBER(FIND("x"&amp;MID(L867,6,1),"x0x1x2x3x4x5x6x7x8x9"))),OR(7&gt;LEN(L867),MID(L867,7,1)=".",ISNUMBER(FIND("x"&amp;MID(L867,7,1),"x0x1x2x3x4x5x6x7x8x9"))),OR(8&gt;LEN(L867),MID(L867,8,1)=".",ISNUMBER(FIND("x"&amp;MID(L867,8,1),"x0x1x2x3x4x5x6x7x8x9"))),OR(9&gt;LEN(L867),MID(L867,9,1)=".",ISNUMBER(FIND("x"&amp;MID(L867,9,1),"x0x1x2x3x4x5x6x7x8x9"))),OR(10&gt;LEN(L867),MID(L867,10,1)=".",ISNUMBER(FIND("x"&amp;MID(L867,10,1),"x0x1x2x3x4x5x6x7x8x9"))),OR(AND(FIND(".",L867)=5,LEN(L867)-FIND(".",L867,FIND(".",L867)+1)&gt;=1,LEN(L867)-FIND(".",L867,FIND(".",L867)+1)&lt;=2),AND(LEN(L867)-FIND(".",L867,FIND(".",L867)+1)=4,FIND(".",L867)&gt;=2,FIND(".",L867)&lt;=3)),FIND(".",L867,FIND(".",L867)+1)-FIND(".",L867)&gt;=2,FIND(".",L867,FIND(".",L867)+1)-FIND(".",L867)&lt;=3,P867&gt;=2000,P867&lt;=2100,YEAR(S867)=P867,MONTH(S867)=Q867,DAY(S867)=R867),S867,0)),0)</ns0:f>
        <ns0:v>0</ns0:v>
      </ns0:c>
      <ns0:c r="U867" s="0" t="str">
        <ns0:f>IF(Bookings!C867="","Full day",Bookings!C867)</ns0:f>
        <ns0:v>Full day</ns0:v>
      </ns0:c>
      <ns0:c r="V867" s="0" t="str">
        <ns0:f>IF(Bookings!E867="","Full day",Bookings!E867)</ns0:f>
        <ns0:v>Full day</ns0:v>
      </ns0:c>
      <ns0:c r="W867" s="0">
        <ns0:f>IF(J867=0,0,J867+IF(U867="PM",1,0))</ns0:f>
        <ns0:v>0</ns0:v>
      </ns0:c>
      <ns0:c r="X867" s="0">
        <ns0:f>IF(T867=0,0,T867-IF(V867="PM",1,0))</ns0:f>
        <ns0:v>0</ns0:v>
      </ns0:c>
      <ns0:c r="Y867" s="0">
        <ns0:f>IF(J867=0,0,J867+IF(U867="AM",1,0))</ns0:f>
        <ns0:v>0</ns0:v>
      </ns0:c>
      <ns0:c r="Z867" s="0">
        <ns0:f>IF(T867=0,0,T867-IF(V867="AM",1,0))</ns0:f>
        <ns0:v>0</ns0:v>
      </ns0:c>
      <ns0:c r="AA867" s="0">
        <ns0:f>IFERROR(IF(AND(J867&gt;0,'_Engine'!C867&gt;0,MID('_Engine'!W867,WEEKDAY(J867,2),1)="W",COUNTIF(Settings!$F$18:$F$67,J867)=0),1,0),0)</ns0:f>
        <ns0:v>0</ns0:v>
      </ns0:c>
      <ns0:c r="AB867" s="0">
        <ns0:f>IFERROR(IF(AND(T867&gt;0,'_Engine'!C867&gt;0,MID('_Engine'!W867,WEEKDAY(T867,2),1)="W",COUNTIF(Settings!$F$18:$F$67,T867)=0),1,0),0)</ns0:f>
        <ns0:v>0</ns0:v>
      </ns0:c>
      <ns0:c r="AC867" s="0">
        <ns0:f>IF(AND(J867&gt;0,T867&gt;0,W867&lt;=X867),1,0)</ns0:f>
        <ns0:v>0</ns0:v>
      </ns0:c>
      <ns0:c r="AD867" s="0">
        <ns0:f>IF(AND(J867&gt;0,T867&gt;0,Y867&lt;=Z867),1,0)</ns0:f>
        <ns0:v>0</ns0:v>
      </ns0:c>
    </ns0:row>
    <ns0:row r="868">
      <ns0:c r="A868" s="0">
        <ns0:f>IFERROR(IF(ISNUMBER(Bookings!B868),"",TRIM(Bookings!B868&amp;"")),"")</ns0:f>
      </ns0:c>
      <ns0:c r="B868" s="0">
        <ns0:f>IFERROR(SUBSTITUTE(SUBSTITUTE(A868,"/","."),"-","."),"")</ns0:f>
      </ns0:c>
      <ns0:c r="C868" s="0">
        <ns0:f>IFERROR(LEFT(B868,FIND(".",B868)-1),"")</ns0:f>
      </ns0:c>
      <ns0:c r="D868" s="0">
        <ns0:f>IFERROR(MID(B868,FIND(".",B868)+1,FIND(".",B868,FIND(".",B868)+1)-FIND(".",B868)-1),"")</ns0:f>
      </ns0:c>
      <ns0:c r="E868" s="0">
        <ns0:f>IFERROR(MID(B868,FIND(".",B868,FIND(".",B868)+1)+1,99),"")</ns0:f>
        <ns0:v>99</ns0:v>
      </ns0:c>
      <ns0:c r="F868" s="0">
        <ns0:f>IFERROR(IF(FIND(".",B868)=5,--C868,--E868),0)</ns0:f>
        <ns0:v>0</ns0:v>
      </ns0:c>
      <ns0:c r="G868" s="0">
        <ns0:f>IFERROR(--D868,0)</ns0:f>
        <ns0:v>0</ns0:v>
      </ns0:c>
      <ns0:c r="H868" s="0">
        <ns0:f>IFERROR(IF(FIND(".",B868)=5,--E868,--C868),0)</ns0:f>
        <ns0:v>0</ns0:v>
      </ns0:c>
      <ns0:c r="I868" s="0">
        <ns0:f>IFERROR(IF(AND(F868&gt;=2000,F868&lt;=2100,G868&gt;=1,G868&lt;=12,H868&gt;=1,H868&lt;=31),DATE(F868,G868,H868),0),0)</ns0:f>
        <ns0:v>0</ns0:v>
      </ns0:c>
      <ns0:c r="J868" s="0">
        <ns0:f>IFERROR(IF(ISNUMBER(Bookings!B868),IF(AND(Bookings!B868=INT(Bookings!B868),Bookings!B868&gt;=DATE(2000,1,1),Bookings!B868&lt;=DATE(2100,12,31)),Bookings!B868,0),IF(AND(A868&lt;&gt;"",LEN("x"&amp;B868)-LEN(SUBSTITUTE("x"&amp;B868,".",""))=2,OR(1&gt;LEN(B868),MID(B868,1,1)=".",ISNUMBER(FIND("x"&amp;MID(B868,1,1),"x0x1x2x3x4x5x6x7x8x9"))),OR(2&gt;LEN(B868),MID(B868,2,1)=".",ISNUMBER(FIND("x"&amp;MID(B868,2,1),"x0x1x2x3x4x5x6x7x8x9"))),OR(3&gt;LEN(B868),MID(B868,3,1)=".",ISNUMBER(FIND("x"&amp;MID(B868,3,1),"x0x1x2x3x4x5x6x7x8x9"))),OR(4&gt;LEN(B868),MID(B868,4,1)=".",ISNUMBER(FIND("x"&amp;MID(B868,4,1),"x0x1x2x3x4x5x6x7x8x9"))),OR(5&gt;LEN(B868),MID(B868,5,1)=".",ISNUMBER(FIND("x"&amp;MID(B868,5,1),"x0x1x2x3x4x5x6x7x8x9"))),OR(6&gt;LEN(B868),MID(B868,6,1)=".",ISNUMBER(FIND("x"&amp;MID(B868,6,1),"x0x1x2x3x4x5x6x7x8x9"))),OR(7&gt;LEN(B868),MID(B868,7,1)=".",ISNUMBER(FIND("x"&amp;MID(B868,7,1),"x0x1x2x3x4x5x6x7x8x9"))),OR(8&gt;LEN(B868),MID(B868,8,1)=".",ISNUMBER(FIND("x"&amp;MID(B868,8,1),"x0x1x2x3x4x5x6x7x8x9"))),OR(9&gt;LEN(B868),MID(B868,9,1)=".",ISNUMBER(FIND("x"&amp;MID(B868,9,1),"x0x1x2x3x4x5x6x7x8x9"))),OR(10&gt;LEN(B868),MID(B868,10,1)=".",ISNUMBER(FIND("x"&amp;MID(B868,10,1),"x0x1x2x3x4x5x6x7x8x9"))),OR(AND(FIND(".",B868)=5,LEN(B868)-FIND(".",B868,FIND(".",B868)+1)&gt;=1,LEN(B868)-FIND(".",B868,FIND(".",B868)+1)&lt;=2),AND(LEN(B868)-FIND(".",B868,FIND(".",B868)+1)=4,FIND(".",B868)&gt;=2,FIND(".",B868)&lt;=3)),FIND(".",B868,FIND(".",B868)+1)-FIND(".",B868)&gt;=2,FIND(".",B868,FIND(".",B868)+1)-FIND(".",B868)&lt;=3,F868&gt;=2000,F868&lt;=2100,YEAR(I868)=F868,MONTH(I868)=G868,DAY(I868)=H868),I868,0)),0)</ns0:f>
        <ns0:v>0</ns0:v>
      </ns0:c>
      <ns0:c r="K868" s="0">
        <ns0:f>IFERROR(IF(ISNUMBER(Bookings!D868),"",TRIM(Bookings!D868&amp;"")),"")</ns0:f>
      </ns0:c>
      <ns0:c r="L868" s="0">
        <ns0:f>IFERROR(SUBSTITUTE(SUBSTITUTE(K868,"/","."),"-","."),"")</ns0:f>
      </ns0:c>
      <ns0:c r="M868" s="0">
        <ns0:f>IFERROR(LEFT(L868,FIND(".",L868)-1),"")</ns0:f>
      </ns0:c>
      <ns0:c r="N868" s="0">
        <ns0:f>IFERROR(MID(L868,FIND(".",L868)+1,FIND(".",L868,FIND(".",L868)+1)-FIND(".",L868)-1),"")</ns0:f>
      </ns0:c>
      <ns0:c r="O868" s="0">
        <ns0:f>IFERROR(MID(L868,FIND(".",L868,FIND(".",L868)+1)+1,99),"")</ns0:f>
        <ns0:v>99</ns0:v>
      </ns0:c>
      <ns0:c r="P868" s="0">
        <ns0:f>IFERROR(IF(FIND(".",L868)=5,--M868,--O868),0)</ns0:f>
        <ns0:v>0</ns0:v>
      </ns0:c>
      <ns0:c r="Q868" s="0">
        <ns0:f>IFERROR(--N868,0)</ns0:f>
        <ns0:v>0</ns0:v>
      </ns0:c>
      <ns0:c r="R868" s="0">
        <ns0:f>IFERROR(IF(FIND(".",L868)=5,--O868,--M868),0)</ns0:f>
        <ns0:v>0</ns0:v>
      </ns0:c>
      <ns0:c r="S868" s="0">
        <ns0:f>IFERROR(IF(AND(P868&gt;=2000,P868&lt;=2100,Q868&gt;=1,Q868&lt;=12,R868&gt;=1,R868&lt;=31),DATE(P868,Q868,R868),0),0)</ns0:f>
        <ns0:v>0</ns0:v>
      </ns0:c>
      <ns0:c r="T868" s="0">
        <ns0:f>IFERROR(IF(ISNUMBER(Bookings!D868),IF(AND(Bookings!D868=INT(Bookings!D868),Bookings!D868&gt;=DATE(2000,1,1),Bookings!D868&lt;=DATE(2100,12,31)),Bookings!D868,0),IF(AND(K868&lt;&gt;"",LEN("x"&amp;L868)-LEN(SUBSTITUTE("x"&amp;L868,".",""))=2,OR(1&gt;LEN(L868),MID(L868,1,1)=".",ISNUMBER(FIND("x"&amp;MID(L868,1,1),"x0x1x2x3x4x5x6x7x8x9"))),OR(2&gt;LEN(L868),MID(L868,2,1)=".",ISNUMBER(FIND("x"&amp;MID(L868,2,1),"x0x1x2x3x4x5x6x7x8x9"))),OR(3&gt;LEN(L868),MID(L868,3,1)=".",ISNUMBER(FIND("x"&amp;MID(L868,3,1),"x0x1x2x3x4x5x6x7x8x9"))),OR(4&gt;LEN(L868),MID(L868,4,1)=".",ISNUMBER(FIND("x"&amp;MID(L868,4,1),"x0x1x2x3x4x5x6x7x8x9"))),OR(5&gt;LEN(L868),MID(L868,5,1)=".",ISNUMBER(FIND("x"&amp;MID(L868,5,1),"x0x1x2x3x4x5x6x7x8x9"))),OR(6&gt;LEN(L868),MID(L868,6,1)=".",ISNUMBER(FIND("x"&amp;MID(L868,6,1),"x0x1x2x3x4x5x6x7x8x9"))),OR(7&gt;LEN(L868),MID(L868,7,1)=".",ISNUMBER(FIND("x"&amp;MID(L868,7,1),"x0x1x2x3x4x5x6x7x8x9"))),OR(8&gt;LEN(L868),MID(L868,8,1)=".",ISNUMBER(FIND("x"&amp;MID(L868,8,1),"x0x1x2x3x4x5x6x7x8x9"))),OR(9&gt;LEN(L868),MID(L868,9,1)=".",ISNUMBER(FIND("x"&amp;MID(L868,9,1),"x0x1x2x3x4x5x6x7x8x9"))),OR(10&gt;LEN(L868),MID(L868,10,1)=".",ISNUMBER(FIND("x"&amp;MID(L868,10,1),"x0x1x2x3x4x5x6x7x8x9"))),OR(AND(FIND(".",L868)=5,LEN(L868)-FIND(".",L868,FIND(".",L868)+1)&gt;=1,LEN(L868)-FIND(".",L868,FIND(".",L868)+1)&lt;=2),AND(LEN(L868)-FIND(".",L868,FIND(".",L868)+1)=4,FIND(".",L868)&gt;=2,FIND(".",L868)&lt;=3)),FIND(".",L868,FIND(".",L868)+1)-FIND(".",L868)&gt;=2,FIND(".",L868,FIND(".",L868)+1)-FIND(".",L868)&lt;=3,P868&gt;=2000,P868&lt;=2100,YEAR(S868)=P868,MONTH(S868)=Q868,DAY(S868)=R868),S868,0)),0)</ns0:f>
        <ns0:v>0</ns0:v>
      </ns0:c>
      <ns0:c r="U868" s="0" t="str">
        <ns0:f>IF(Bookings!C868="","Full day",Bookings!C868)</ns0:f>
        <ns0:v>Full day</ns0:v>
      </ns0:c>
      <ns0:c r="V868" s="0" t="str">
        <ns0:f>IF(Bookings!E868="","Full day",Bookings!E868)</ns0:f>
        <ns0:v>Full day</ns0:v>
      </ns0:c>
      <ns0:c r="W868" s="0">
        <ns0:f>IF(J868=0,0,J868+IF(U868="PM",1,0))</ns0:f>
        <ns0:v>0</ns0:v>
      </ns0:c>
      <ns0:c r="X868" s="0">
        <ns0:f>IF(T868=0,0,T868-IF(V868="PM",1,0))</ns0:f>
        <ns0:v>0</ns0:v>
      </ns0:c>
      <ns0:c r="Y868" s="0">
        <ns0:f>IF(J868=0,0,J868+IF(U868="AM",1,0))</ns0:f>
        <ns0:v>0</ns0:v>
      </ns0:c>
      <ns0:c r="Z868" s="0">
        <ns0:f>IF(T868=0,0,T868-IF(V868="AM",1,0))</ns0:f>
        <ns0:v>0</ns0:v>
      </ns0:c>
      <ns0:c r="AA868" s="0">
        <ns0:f>IFERROR(IF(AND(J868&gt;0,'_Engine'!C868&gt;0,MID('_Engine'!W868,WEEKDAY(J868,2),1)="W",COUNTIF(Settings!$F$18:$F$67,J868)=0),1,0),0)</ns0:f>
        <ns0:v>0</ns0:v>
      </ns0:c>
      <ns0:c r="AB868" s="0">
        <ns0:f>IFERROR(IF(AND(T868&gt;0,'_Engine'!C868&gt;0,MID('_Engine'!W868,WEEKDAY(T868,2),1)="W",COUNTIF(Settings!$F$18:$F$67,T868)=0),1,0),0)</ns0:f>
        <ns0:v>0</ns0:v>
      </ns0:c>
      <ns0:c r="AC868" s="0">
        <ns0:f>IF(AND(J868&gt;0,T868&gt;0,W868&lt;=X868),1,0)</ns0:f>
        <ns0:v>0</ns0:v>
      </ns0:c>
      <ns0:c r="AD868" s="0">
        <ns0:f>IF(AND(J868&gt;0,T868&gt;0,Y868&lt;=Z868),1,0)</ns0:f>
        <ns0:v>0</ns0:v>
      </ns0:c>
    </ns0:row>
    <ns0:row r="869">
      <ns0:c r="A869" s="0">
        <ns0:f>IFERROR(IF(ISNUMBER(Bookings!B869),"",TRIM(Bookings!B869&amp;"")),"")</ns0:f>
      </ns0:c>
      <ns0:c r="B869" s="0">
        <ns0:f>IFERROR(SUBSTITUTE(SUBSTITUTE(A869,"/","."),"-","."),"")</ns0:f>
      </ns0:c>
      <ns0:c r="C869" s="0">
        <ns0:f>IFERROR(LEFT(B869,FIND(".",B869)-1),"")</ns0:f>
      </ns0:c>
      <ns0:c r="D869" s="0">
        <ns0:f>IFERROR(MID(B869,FIND(".",B869)+1,FIND(".",B869,FIND(".",B869)+1)-FIND(".",B869)-1),"")</ns0:f>
      </ns0:c>
      <ns0:c r="E869" s="0">
        <ns0:f>IFERROR(MID(B869,FIND(".",B869,FIND(".",B869)+1)+1,99),"")</ns0:f>
        <ns0:v>99</ns0:v>
      </ns0:c>
      <ns0:c r="F869" s="0">
        <ns0:f>IFERROR(IF(FIND(".",B869)=5,--C869,--E869),0)</ns0:f>
        <ns0:v>0</ns0:v>
      </ns0:c>
      <ns0:c r="G869" s="0">
        <ns0:f>IFERROR(--D869,0)</ns0:f>
        <ns0:v>0</ns0:v>
      </ns0:c>
      <ns0:c r="H869" s="0">
        <ns0:f>IFERROR(IF(FIND(".",B869)=5,--E869,--C869),0)</ns0:f>
        <ns0:v>0</ns0:v>
      </ns0:c>
      <ns0:c r="I869" s="0">
        <ns0:f>IFERROR(IF(AND(F869&gt;=2000,F869&lt;=2100,G869&gt;=1,G869&lt;=12,H869&gt;=1,H869&lt;=31),DATE(F869,G869,H869),0),0)</ns0:f>
        <ns0:v>0</ns0:v>
      </ns0:c>
      <ns0:c r="J869" s="0">
        <ns0:f>IFERROR(IF(ISNUMBER(Bookings!B869),IF(AND(Bookings!B869=INT(Bookings!B869),Bookings!B869&gt;=DATE(2000,1,1),Bookings!B869&lt;=DATE(2100,12,31)),Bookings!B869,0),IF(AND(A869&lt;&gt;"",LEN("x"&amp;B869)-LEN(SUBSTITUTE("x"&amp;B869,".",""))=2,OR(1&gt;LEN(B869),MID(B869,1,1)=".",ISNUMBER(FIND("x"&amp;MID(B869,1,1),"x0x1x2x3x4x5x6x7x8x9"))),OR(2&gt;LEN(B869),MID(B869,2,1)=".",ISNUMBER(FIND("x"&amp;MID(B869,2,1),"x0x1x2x3x4x5x6x7x8x9"))),OR(3&gt;LEN(B869),MID(B869,3,1)=".",ISNUMBER(FIND("x"&amp;MID(B869,3,1),"x0x1x2x3x4x5x6x7x8x9"))),OR(4&gt;LEN(B869),MID(B869,4,1)=".",ISNUMBER(FIND("x"&amp;MID(B869,4,1),"x0x1x2x3x4x5x6x7x8x9"))),OR(5&gt;LEN(B869),MID(B869,5,1)=".",ISNUMBER(FIND("x"&amp;MID(B869,5,1),"x0x1x2x3x4x5x6x7x8x9"))),OR(6&gt;LEN(B869),MID(B869,6,1)=".",ISNUMBER(FIND("x"&amp;MID(B869,6,1),"x0x1x2x3x4x5x6x7x8x9"))),OR(7&gt;LEN(B869),MID(B869,7,1)=".",ISNUMBER(FIND("x"&amp;MID(B869,7,1),"x0x1x2x3x4x5x6x7x8x9"))),OR(8&gt;LEN(B869),MID(B869,8,1)=".",ISNUMBER(FIND("x"&amp;MID(B869,8,1),"x0x1x2x3x4x5x6x7x8x9"))),OR(9&gt;LEN(B869),MID(B869,9,1)=".",ISNUMBER(FIND("x"&amp;MID(B869,9,1),"x0x1x2x3x4x5x6x7x8x9"))),OR(10&gt;LEN(B869),MID(B869,10,1)=".",ISNUMBER(FIND("x"&amp;MID(B869,10,1),"x0x1x2x3x4x5x6x7x8x9"))),OR(AND(FIND(".",B869)=5,LEN(B869)-FIND(".",B869,FIND(".",B869)+1)&gt;=1,LEN(B869)-FIND(".",B869,FIND(".",B869)+1)&lt;=2),AND(LEN(B869)-FIND(".",B869,FIND(".",B869)+1)=4,FIND(".",B869)&gt;=2,FIND(".",B869)&lt;=3)),FIND(".",B869,FIND(".",B869)+1)-FIND(".",B869)&gt;=2,FIND(".",B869,FIND(".",B869)+1)-FIND(".",B869)&lt;=3,F869&gt;=2000,F869&lt;=2100,YEAR(I869)=F869,MONTH(I869)=G869,DAY(I869)=H869),I869,0)),0)</ns0:f>
        <ns0:v>0</ns0:v>
      </ns0:c>
      <ns0:c r="K869" s="0">
        <ns0:f>IFERROR(IF(ISNUMBER(Bookings!D869),"",TRIM(Bookings!D869&amp;"")),"")</ns0:f>
      </ns0:c>
      <ns0:c r="L869" s="0">
        <ns0:f>IFERROR(SUBSTITUTE(SUBSTITUTE(K869,"/","."),"-","."),"")</ns0:f>
      </ns0:c>
      <ns0:c r="M869" s="0">
        <ns0:f>IFERROR(LEFT(L869,FIND(".",L869)-1),"")</ns0:f>
      </ns0:c>
      <ns0:c r="N869" s="0">
        <ns0:f>IFERROR(MID(L869,FIND(".",L869)+1,FIND(".",L869,FIND(".",L869)+1)-FIND(".",L869)-1),"")</ns0:f>
      </ns0:c>
      <ns0:c r="O869" s="0">
        <ns0:f>IFERROR(MID(L869,FIND(".",L869,FIND(".",L869)+1)+1,99),"")</ns0:f>
        <ns0:v>99</ns0:v>
      </ns0:c>
      <ns0:c r="P869" s="0">
        <ns0:f>IFERROR(IF(FIND(".",L869)=5,--M869,--O869),0)</ns0:f>
        <ns0:v>0</ns0:v>
      </ns0:c>
      <ns0:c r="Q869" s="0">
        <ns0:f>IFERROR(--N869,0)</ns0:f>
        <ns0:v>0</ns0:v>
      </ns0:c>
      <ns0:c r="R869" s="0">
        <ns0:f>IFERROR(IF(FIND(".",L869)=5,--O869,--M869),0)</ns0:f>
        <ns0:v>0</ns0:v>
      </ns0:c>
      <ns0:c r="S869" s="0">
        <ns0:f>IFERROR(IF(AND(P869&gt;=2000,P869&lt;=2100,Q869&gt;=1,Q869&lt;=12,R869&gt;=1,R869&lt;=31),DATE(P869,Q869,R869),0),0)</ns0:f>
        <ns0:v>0</ns0:v>
      </ns0:c>
      <ns0:c r="T869" s="0">
        <ns0:f>IFERROR(IF(ISNUMBER(Bookings!D869),IF(AND(Bookings!D869=INT(Bookings!D869),Bookings!D869&gt;=DATE(2000,1,1),Bookings!D869&lt;=DATE(2100,12,31)),Bookings!D869,0),IF(AND(K869&lt;&gt;"",LEN("x"&amp;L869)-LEN(SUBSTITUTE("x"&amp;L869,".",""))=2,OR(1&gt;LEN(L869),MID(L869,1,1)=".",ISNUMBER(FIND("x"&amp;MID(L869,1,1),"x0x1x2x3x4x5x6x7x8x9"))),OR(2&gt;LEN(L869),MID(L869,2,1)=".",ISNUMBER(FIND("x"&amp;MID(L869,2,1),"x0x1x2x3x4x5x6x7x8x9"))),OR(3&gt;LEN(L869),MID(L869,3,1)=".",ISNUMBER(FIND("x"&amp;MID(L869,3,1),"x0x1x2x3x4x5x6x7x8x9"))),OR(4&gt;LEN(L869),MID(L869,4,1)=".",ISNUMBER(FIND("x"&amp;MID(L869,4,1),"x0x1x2x3x4x5x6x7x8x9"))),OR(5&gt;LEN(L869),MID(L869,5,1)=".",ISNUMBER(FIND("x"&amp;MID(L869,5,1),"x0x1x2x3x4x5x6x7x8x9"))),OR(6&gt;LEN(L869),MID(L869,6,1)=".",ISNUMBER(FIND("x"&amp;MID(L869,6,1),"x0x1x2x3x4x5x6x7x8x9"))),OR(7&gt;LEN(L869),MID(L869,7,1)=".",ISNUMBER(FIND("x"&amp;MID(L869,7,1),"x0x1x2x3x4x5x6x7x8x9"))),OR(8&gt;LEN(L869),MID(L869,8,1)=".",ISNUMBER(FIND("x"&amp;MID(L869,8,1),"x0x1x2x3x4x5x6x7x8x9"))),OR(9&gt;LEN(L869),MID(L869,9,1)=".",ISNUMBER(FIND("x"&amp;MID(L869,9,1),"x0x1x2x3x4x5x6x7x8x9"))),OR(10&gt;LEN(L869),MID(L869,10,1)=".",ISNUMBER(FIND("x"&amp;MID(L869,10,1),"x0x1x2x3x4x5x6x7x8x9"))),OR(AND(FIND(".",L869)=5,LEN(L869)-FIND(".",L869,FIND(".",L869)+1)&gt;=1,LEN(L869)-FIND(".",L869,FIND(".",L869)+1)&lt;=2),AND(LEN(L869)-FIND(".",L869,FIND(".",L869)+1)=4,FIND(".",L869)&gt;=2,FIND(".",L869)&lt;=3)),FIND(".",L869,FIND(".",L869)+1)-FIND(".",L869)&gt;=2,FIND(".",L869,FIND(".",L869)+1)-FIND(".",L869)&lt;=3,P869&gt;=2000,P869&lt;=2100,YEAR(S869)=P869,MONTH(S869)=Q869,DAY(S869)=R869),S869,0)),0)</ns0:f>
        <ns0:v>0</ns0:v>
      </ns0:c>
      <ns0:c r="U869" s="0" t="str">
        <ns0:f>IF(Bookings!C869="","Full day",Bookings!C869)</ns0:f>
        <ns0:v>Full day</ns0:v>
      </ns0:c>
      <ns0:c r="V869" s="0" t="str">
        <ns0:f>IF(Bookings!E869="","Full day",Bookings!E869)</ns0:f>
        <ns0:v>Full day</ns0:v>
      </ns0:c>
      <ns0:c r="W869" s="0">
        <ns0:f>IF(J869=0,0,J869+IF(U869="PM",1,0))</ns0:f>
        <ns0:v>0</ns0:v>
      </ns0:c>
      <ns0:c r="X869" s="0">
        <ns0:f>IF(T869=0,0,T869-IF(V869="PM",1,0))</ns0:f>
        <ns0:v>0</ns0:v>
      </ns0:c>
      <ns0:c r="Y869" s="0">
        <ns0:f>IF(J869=0,0,J869+IF(U869="AM",1,0))</ns0:f>
        <ns0:v>0</ns0:v>
      </ns0:c>
      <ns0:c r="Z869" s="0">
        <ns0:f>IF(T869=0,0,T869-IF(V869="AM",1,0))</ns0:f>
        <ns0:v>0</ns0:v>
      </ns0:c>
      <ns0:c r="AA869" s="0">
        <ns0:f>IFERROR(IF(AND(J869&gt;0,'_Engine'!C869&gt;0,MID('_Engine'!W869,WEEKDAY(J869,2),1)="W",COUNTIF(Settings!$F$18:$F$67,J869)=0),1,0),0)</ns0:f>
        <ns0:v>0</ns0:v>
      </ns0:c>
      <ns0:c r="AB869" s="0">
        <ns0:f>IFERROR(IF(AND(T869&gt;0,'_Engine'!C869&gt;0,MID('_Engine'!W869,WEEKDAY(T869,2),1)="W",COUNTIF(Settings!$F$18:$F$67,T869)=0),1,0),0)</ns0:f>
        <ns0:v>0</ns0:v>
      </ns0:c>
      <ns0:c r="AC869" s="0">
        <ns0:f>IF(AND(J869&gt;0,T869&gt;0,W869&lt;=X869),1,0)</ns0:f>
        <ns0:v>0</ns0:v>
      </ns0:c>
      <ns0:c r="AD869" s="0">
        <ns0:f>IF(AND(J869&gt;0,T869&gt;0,Y869&lt;=Z869),1,0)</ns0:f>
        <ns0:v>0</ns0:v>
      </ns0:c>
    </ns0:row>
    <ns0:row r="870">
      <ns0:c r="A870" s="0">
        <ns0:f>IFERROR(IF(ISNUMBER(Bookings!B870),"",TRIM(Bookings!B870&amp;"")),"")</ns0:f>
      </ns0:c>
      <ns0:c r="B870" s="0">
        <ns0:f>IFERROR(SUBSTITUTE(SUBSTITUTE(A870,"/","."),"-","."),"")</ns0:f>
      </ns0:c>
      <ns0:c r="C870" s="0">
        <ns0:f>IFERROR(LEFT(B870,FIND(".",B870)-1),"")</ns0:f>
      </ns0:c>
      <ns0:c r="D870" s="0">
        <ns0:f>IFERROR(MID(B870,FIND(".",B870)+1,FIND(".",B870,FIND(".",B870)+1)-FIND(".",B870)-1),"")</ns0:f>
      </ns0:c>
      <ns0:c r="E870" s="0">
        <ns0:f>IFERROR(MID(B870,FIND(".",B870,FIND(".",B870)+1)+1,99),"")</ns0:f>
        <ns0:v>99</ns0:v>
      </ns0:c>
      <ns0:c r="F870" s="0">
        <ns0:f>IFERROR(IF(FIND(".",B870)=5,--C870,--E870),0)</ns0:f>
        <ns0:v>0</ns0:v>
      </ns0:c>
      <ns0:c r="G870" s="0">
        <ns0:f>IFERROR(--D870,0)</ns0:f>
        <ns0:v>0</ns0:v>
      </ns0:c>
      <ns0:c r="H870" s="0">
        <ns0:f>IFERROR(IF(FIND(".",B870)=5,--E870,--C870),0)</ns0:f>
        <ns0:v>0</ns0:v>
      </ns0:c>
      <ns0:c r="I870" s="0">
        <ns0:f>IFERROR(IF(AND(F870&gt;=2000,F870&lt;=2100,G870&gt;=1,G870&lt;=12,H870&gt;=1,H870&lt;=31),DATE(F870,G870,H870),0),0)</ns0:f>
        <ns0:v>0</ns0:v>
      </ns0:c>
      <ns0:c r="J870" s="0">
        <ns0:f>IFERROR(IF(ISNUMBER(Bookings!B870),IF(AND(Bookings!B870=INT(Bookings!B870),Bookings!B870&gt;=DATE(2000,1,1),Bookings!B870&lt;=DATE(2100,12,31)),Bookings!B870,0),IF(AND(A870&lt;&gt;"",LEN("x"&amp;B870)-LEN(SUBSTITUTE("x"&amp;B870,".",""))=2,OR(1&gt;LEN(B870),MID(B870,1,1)=".",ISNUMBER(FIND("x"&amp;MID(B870,1,1),"x0x1x2x3x4x5x6x7x8x9"))),OR(2&gt;LEN(B870),MID(B870,2,1)=".",ISNUMBER(FIND("x"&amp;MID(B870,2,1),"x0x1x2x3x4x5x6x7x8x9"))),OR(3&gt;LEN(B870),MID(B870,3,1)=".",ISNUMBER(FIND("x"&amp;MID(B870,3,1),"x0x1x2x3x4x5x6x7x8x9"))),OR(4&gt;LEN(B870),MID(B870,4,1)=".",ISNUMBER(FIND("x"&amp;MID(B870,4,1),"x0x1x2x3x4x5x6x7x8x9"))),OR(5&gt;LEN(B870),MID(B870,5,1)=".",ISNUMBER(FIND("x"&amp;MID(B870,5,1),"x0x1x2x3x4x5x6x7x8x9"))),OR(6&gt;LEN(B870),MID(B870,6,1)=".",ISNUMBER(FIND("x"&amp;MID(B870,6,1),"x0x1x2x3x4x5x6x7x8x9"))),OR(7&gt;LEN(B870),MID(B870,7,1)=".",ISNUMBER(FIND("x"&amp;MID(B870,7,1),"x0x1x2x3x4x5x6x7x8x9"))),OR(8&gt;LEN(B870),MID(B870,8,1)=".",ISNUMBER(FIND("x"&amp;MID(B870,8,1),"x0x1x2x3x4x5x6x7x8x9"))),OR(9&gt;LEN(B870),MID(B870,9,1)=".",ISNUMBER(FIND("x"&amp;MID(B870,9,1),"x0x1x2x3x4x5x6x7x8x9"))),OR(10&gt;LEN(B870),MID(B870,10,1)=".",ISNUMBER(FIND("x"&amp;MID(B870,10,1),"x0x1x2x3x4x5x6x7x8x9"))),OR(AND(FIND(".",B870)=5,LEN(B870)-FIND(".",B870,FIND(".",B870)+1)&gt;=1,LEN(B870)-FIND(".",B870,FIND(".",B870)+1)&lt;=2),AND(LEN(B870)-FIND(".",B870,FIND(".",B870)+1)=4,FIND(".",B870)&gt;=2,FIND(".",B870)&lt;=3)),FIND(".",B870,FIND(".",B870)+1)-FIND(".",B870)&gt;=2,FIND(".",B870,FIND(".",B870)+1)-FIND(".",B870)&lt;=3,F870&gt;=2000,F870&lt;=2100,YEAR(I870)=F870,MONTH(I870)=G870,DAY(I870)=H870),I870,0)),0)</ns0:f>
        <ns0:v>0</ns0:v>
      </ns0:c>
      <ns0:c r="K870" s="0">
        <ns0:f>IFERROR(IF(ISNUMBER(Bookings!D870),"",TRIM(Bookings!D870&amp;"")),"")</ns0:f>
      </ns0:c>
      <ns0:c r="L870" s="0">
        <ns0:f>IFERROR(SUBSTITUTE(SUBSTITUTE(K870,"/","."),"-","."),"")</ns0:f>
      </ns0:c>
      <ns0:c r="M870" s="0">
        <ns0:f>IFERROR(LEFT(L870,FIND(".",L870)-1),"")</ns0:f>
      </ns0:c>
      <ns0:c r="N870" s="0">
        <ns0:f>IFERROR(MID(L870,FIND(".",L870)+1,FIND(".",L870,FIND(".",L870)+1)-FIND(".",L870)-1),"")</ns0:f>
      </ns0:c>
      <ns0:c r="O870" s="0">
        <ns0:f>IFERROR(MID(L870,FIND(".",L870,FIND(".",L870)+1)+1,99),"")</ns0:f>
        <ns0:v>99</ns0:v>
      </ns0:c>
      <ns0:c r="P870" s="0">
        <ns0:f>IFERROR(IF(FIND(".",L870)=5,--M870,--O870),0)</ns0:f>
        <ns0:v>0</ns0:v>
      </ns0:c>
      <ns0:c r="Q870" s="0">
        <ns0:f>IFERROR(--N870,0)</ns0:f>
        <ns0:v>0</ns0:v>
      </ns0:c>
      <ns0:c r="R870" s="0">
        <ns0:f>IFERROR(IF(FIND(".",L870)=5,--O870,--M870),0)</ns0:f>
        <ns0:v>0</ns0:v>
      </ns0:c>
      <ns0:c r="S870" s="0">
        <ns0:f>IFERROR(IF(AND(P870&gt;=2000,P870&lt;=2100,Q870&gt;=1,Q870&lt;=12,R870&gt;=1,R870&lt;=31),DATE(P870,Q870,R870),0),0)</ns0:f>
        <ns0:v>0</ns0:v>
      </ns0:c>
      <ns0:c r="T870" s="0">
        <ns0:f>IFERROR(IF(ISNUMBER(Bookings!D870),IF(AND(Bookings!D870=INT(Bookings!D870),Bookings!D870&gt;=DATE(2000,1,1),Bookings!D870&lt;=DATE(2100,12,31)),Bookings!D870,0),IF(AND(K870&lt;&gt;"",LEN("x"&amp;L870)-LEN(SUBSTITUTE("x"&amp;L870,".",""))=2,OR(1&gt;LEN(L870),MID(L870,1,1)=".",ISNUMBER(FIND("x"&amp;MID(L870,1,1),"x0x1x2x3x4x5x6x7x8x9"))),OR(2&gt;LEN(L870),MID(L870,2,1)=".",ISNUMBER(FIND("x"&amp;MID(L870,2,1),"x0x1x2x3x4x5x6x7x8x9"))),OR(3&gt;LEN(L870),MID(L870,3,1)=".",ISNUMBER(FIND("x"&amp;MID(L870,3,1),"x0x1x2x3x4x5x6x7x8x9"))),OR(4&gt;LEN(L870),MID(L870,4,1)=".",ISNUMBER(FIND("x"&amp;MID(L870,4,1),"x0x1x2x3x4x5x6x7x8x9"))),OR(5&gt;LEN(L870),MID(L870,5,1)=".",ISNUMBER(FIND("x"&amp;MID(L870,5,1),"x0x1x2x3x4x5x6x7x8x9"))),OR(6&gt;LEN(L870),MID(L870,6,1)=".",ISNUMBER(FIND("x"&amp;MID(L870,6,1),"x0x1x2x3x4x5x6x7x8x9"))),OR(7&gt;LEN(L870),MID(L870,7,1)=".",ISNUMBER(FIND("x"&amp;MID(L870,7,1),"x0x1x2x3x4x5x6x7x8x9"))),OR(8&gt;LEN(L870),MID(L870,8,1)=".",ISNUMBER(FIND("x"&amp;MID(L870,8,1),"x0x1x2x3x4x5x6x7x8x9"))),OR(9&gt;LEN(L870),MID(L870,9,1)=".",ISNUMBER(FIND("x"&amp;MID(L870,9,1),"x0x1x2x3x4x5x6x7x8x9"))),OR(10&gt;LEN(L870),MID(L870,10,1)=".",ISNUMBER(FIND("x"&amp;MID(L870,10,1),"x0x1x2x3x4x5x6x7x8x9"))),OR(AND(FIND(".",L870)=5,LEN(L870)-FIND(".",L870,FIND(".",L870)+1)&gt;=1,LEN(L870)-FIND(".",L870,FIND(".",L870)+1)&lt;=2),AND(LEN(L870)-FIND(".",L870,FIND(".",L870)+1)=4,FIND(".",L870)&gt;=2,FIND(".",L870)&lt;=3)),FIND(".",L870,FIND(".",L870)+1)-FIND(".",L870)&gt;=2,FIND(".",L870,FIND(".",L870)+1)-FIND(".",L870)&lt;=3,P870&gt;=2000,P870&lt;=2100,YEAR(S870)=P870,MONTH(S870)=Q870,DAY(S870)=R870),S870,0)),0)</ns0:f>
        <ns0:v>0</ns0:v>
      </ns0:c>
      <ns0:c r="U870" s="0" t="str">
        <ns0:f>IF(Bookings!C870="","Full day",Bookings!C870)</ns0:f>
        <ns0:v>Full day</ns0:v>
      </ns0:c>
      <ns0:c r="V870" s="0" t="str">
        <ns0:f>IF(Bookings!E870="","Full day",Bookings!E870)</ns0:f>
        <ns0:v>Full day</ns0:v>
      </ns0:c>
      <ns0:c r="W870" s="0">
        <ns0:f>IF(J870=0,0,J870+IF(U870="PM",1,0))</ns0:f>
        <ns0:v>0</ns0:v>
      </ns0:c>
      <ns0:c r="X870" s="0">
        <ns0:f>IF(T870=0,0,T870-IF(V870="PM",1,0))</ns0:f>
        <ns0:v>0</ns0:v>
      </ns0:c>
      <ns0:c r="Y870" s="0">
        <ns0:f>IF(J870=0,0,J870+IF(U870="AM",1,0))</ns0:f>
        <ns0:v>0</ns0:v>
      </ns0:c>
      <ns0:c r="Z870" s="0">
        <ns0:f>IF(T870=0,0,T870-IF(V870="AM",1,0))</ns0:f>
        <ns0:v>0</ns0:v>
      </ns0:c>
      <ns0:c r="AA870" s="0">
        <ns0:f>IFERROR(IF(AND(J870&gt;0,'_Engine'!C870&gt;0,MID('_Engine'!W870,WEEKDAY(J870,2),1)="W",COUNTIF(Settings!$F$18:$F$67,J870)=0),1,0),0)</ns0:f>
        <ns0:v>0</ns0:v>
      </ns0:c>
      <ns0:c r="AB870" s="0">
        <ns0:f>IFERROR(IF(AND(T870&gt;0,'_Engine'!C870&gt;0,MID('_Engine'!W870,WEEKDAY(T870,2),1)="W",COUNTIF(Settings!$F$18:$F$67,T870)=0),1,0),0)</ns0:f>
        <ns0:v>0</ns0:v>
      </ns0:c>
      <ns0:c r="AC870" s="0">
        <ns0:f>IF(AND(J870&gt;0,T870&gt;0,W870&lt;=X870),1,0)</ns0:f>
        <ns0:v>0</ns0:v>
      </ns0:c>
      <ns0:c r="AD870" s="0">
        <ns0:f>IF(AND(J870&gt;0,T870&gt;0,Y870&lt;=Z870),1,0)</ns0:f>
        <ns0:v>0</ns0:v>
      </ns0:c>
    </ns0:row>
    <ns0:row r="871">
      <ns0:c r="A871" s="0">
        <ns0:f>IFERROR(IF(ISNUMBER(Bookings!B871),"",TRIM(Bookings!B871&amp;"")),"")</ns0:f>
      </ns0:c>
      <ns0:c r="B871" s="0">
        <ns0:f>IFERROR(SUBSTITUTE(SUBSTITUTE(A871,"/","."),"-","."),"")</ns0:f>
      </ns0:c>
      <ns0:c r="C871" s="0">
        <ns0:f>IFERROR(LEFT(B871,FIND(".",B871)-1),"")</ns0:f>
      </ns0:c>
      <ns0:c r="D871" s="0">
        <ns0:f>IFERROR(MID(B871,FIND(".",B871)+1,FIND(".",B871,FIND(".",B871)+1)-FIND(".",B871)-1),"")</ns0:f>
      </ns0:c>
      <ns0:c r="E871" s="0">
        <ns0:f>IFERROR(MID(B871,FIND(".",B871,FIND(".",B871)+1)+1,99),"")</ns0:f>
        <ns0:v>99</ns0:v>
      </ns0:c>
      <ns0:c r="F871" s="0">
        <ns0:f>IFERROR(IF(FIND(".",B871)=5,--C871,--E871),0)</ns0:f>
        <ns0:v>0</ns0:v>
      </ns0:c>
      <ns0:c r="G871" s="0">
        <ns0:f>IFERROR(--D871,0)</ns0:f>
        <ns0:v>0</ns0:v>
      </ns0:c>
      <ns0:c r="H871" s="0">
        <ns0:f>IFERROR(IF(FIND(".",B871)=5,--E871,--C871),0)</ns0:f>
        <ns0:v>0</ns0:v>
      </ns0:c>
      <ns0:c r="I871" s="0">
        <ns0:f>IFERROR(IF(AND(F871&gt;=2000,F871&lt;=2100,G871&gt;=1,G871&lt;=12,H871&gt;=1,H871&lt;=31),DATE(F871,G871,H871),0),0)</ns0:f>
        <ns0:v>0</ns0:v>
      </ns0:c>
      <ns0:c r="J871" s="0">
        <ns0:f>IFERROR(IF(ISNUMBER(Bookings!B871),IF(AND(Bookings!B871=INT(Bookings!B871),Bookings!B871&gt;=DATE(2000,1,1),Bookings!B871&lt;=DATE(2100,12,31)),Bookings!B871,0),IF(AND(A871&lt;&gt;"",LEN("x"&amp;B871)-LEN(SUBSTITUTE("x"&amp;B871,".",""))=2,OR(1&gt;LEN(B871),MID(B871,1,1)=".",ISNUMBER(FIND("x"&amp;MID(B871,1,1),"x0x1x2x3x4x5x6x7x8x9"))),OR(2&gt;LEN(B871),MID(B871,2,1)=".",ISNUMBER(FIND("x"&amp;MID(B871,2,1),"x0x1x2x3x4x5x6x7x8x9"))),OR(3&gt;LEN(B871),MID(B871,3,1)=".",ISNUMBER(FIND("x"&amp;MID(B871,3,1),"x0x1x2x3x4x5x6x7x8x9"))),OR(4&gt;LEN(B871),MID(B871,4,1)=".",ISNUMBER(FIND("x"&amp;MID(B871,4,1),"x0x1x2x3x4x5x6x7x8x9"))),OR(5&gt;LEN(B871),MID(B871,5,1)=".",ISNUMBER(FIND("x"&amp;MID(B871,5,1),"x0x1x2x3x4x5x6x7x8x9"))),OR(6&gt;LEN(B871),MID(B871,6,1)=".",ISNUMBER(FIND("x"&amp;MID(B871,6,1),"x0x1x2x3x4x5x6x7x8x9"))),OR(7&gt;LEN(B871),MID(B871,7,1)=".",ISNUMBER(FIND("x"&amp;MID(B871,7,1),"x0x1x2x3x4x5x6x7x8x9"))),OR(8&gt;LEN(B871),MID(B871,8,1)=".",ISNUMBER(FIND("x"&amp;MID(B871,8,1),"x0x1x2x3x4x5x6x7x8x9"))),OR(9&gt;LEN(B871),MID(B871,9,1)=".",ISNUMBER(FIND("x"&amp;MID(B871,9,1),"x0x1x2x3x4x5x6x7x8x9"))),OR(10&gt;LEN(B871),MID(B871,10,1)=".",ISNUMBER(FIND("x"&amp;MID(B871,10,1),"x0x1x2x3x4x5x6x7x8x9"))),OR(AND(FIND(".",B871)=5,LEN(B871)-FIND(".",B871,FIND(".",B871)+1)&gt;=1,LEN(B871)-FIND(".",B871,FIND(".",B871)+1)&lt;=2),AND(LEN(B871)-FIND(".",B871,FIND(".",B871)+1)=4,FIND(".",B871)&gt;=2,FIND(".",B871)&lt;=3)),FIND(".",B871,FIND(".",B871)+1)-FIND(".",B871)&gt;=2,FIND(".",B871,FIND(".",B871)+1)-FIND(".",B871)&lt;=3,F871&gt;=2000,F871&lt;=2100,YEAR(I871)=F871,MONTH(I871)=G871,DAY(I871)=H871),I871,0)),0)</ns0:f>
        <ns0:v>0</ns0:v>
      </ns0:c>
      <ns0:c r="K871" s="0">
        <ns0:f>IFERROR(IF(ISNUMBER(Bookings!D871),"",TRIM(Bookings!D871&amp;"")),"")</ns0:f>
      </ns0:c>
      <ns0:c r="L871" s="0">
        <ns0:f>IFERROR(SUBSTITUTE(SUBSTITUTE(K871,"/","."),"-","."),"")</ns0:f>
      </ns0:c>
      <ns0:c r="M871" s="0">
        <ns0:f>IFERROR(LEFT(L871,FIND(".",L871)-1),"")</ns0:f>
      </ns0:c>
      <ns0:c r="N871" s="0">
        <ns0:f>IFERROR(MID(L871,FIND(".",L871)+1,FIND(".",L871,FIND(".",L871)+1)-FIND(".",L871)-1),"")</ns0:f>
      </ns0:c>
      <ns0:c r="O871" s="0">
        <ns0:f>IFERROR(MID(L871,FIND(".",L871,FIND(".",L871)+1)+1,99),"")</ns0:f>
        <ns0:v>99</ns0:v>
      </ns0:c>
      <ns0:c r="P871" s="0">
        <ns0:f>IFERROR(IF(FIND(".",L871)=5,--M871,--O871),0)</ns0:f>
        <ns0:v>0</ns0:v>
      </ns0:c>
      <ns0:c r="Q871" s="0">
        <ns0:f>IFERROR(--N871,0)</ns0:f>
        <ns0:v>0</ns0:v>
      </ns0:c>
      <ns0:c r="R871" s="0">
        <ns0:f>IFERROR(IF(FIND(".",L871)=5,--O871,--M871),0)</ns0:f>
        <ns0:v>0</ns0:v>
      </ns0:c>
      <ns0:c r="S871" s="0">
        <ns0:f>IFERROR(IF(AND(P871&gt;=2000,P871&lt;=2100,Q871&gt;=1,Q871&lt;=12,R871&gt;=1,R871&lt;=31),DATE(P871,Q871,R871),0),0)</ns0:f>
        <ns0:v>0</ns0:v>
      </ns0:c>
      <ns0:c r="T871" s="0">
        <ns0:f>IFERROR(IF(ISNUMBER(Bookings!D871),IF(AND(Bookings!D871=INT(Bookings!D871),Bookings!D871&gt;=DATE(2000,1,1),Bookings!D871&lt;=DATE(2100,12,31)),Bookings!D871,0),IF(AND(K871&lt;&gt;"",LEN("x"&amp;L871)-LEN(SUBSTITUTE("x"&amp;L871,".",""))=2,OR(1&gt;LEN(L871),MID(L871,1,1)=".",ISNUMBER(FIND("x"&amp;MID(L871,1,1),"x0x1x2x3x4x5x6x7x8x9"))),OR(2&gt;LEN(L871),MID(L871,2,1)=".",ISNUMBER(FIND("x"&amp;MID(L871,2,1),"x0x1x2x3x4x5x6x7x8x9"))),OR(3&gt;LEN(L871),MID(L871,3,1)=".",ISNUMBER(FIND("x"&amp;MID(L871,3,1),"x0x1x2x3x4x5x6x7x8x9"))),OR(4&gt;LEN(L871),MID(L871,4,1)=".",ISNUMBER(FIND("x"&amp;MID(L871,4,1),"x0x1x2x3x4x5x6x7x8x9"))),OR(5&gt;LEN(L871),MID(L871,5,1)=".",ISNUMBER(FIND("x"&amp;MID(L871,5,1),"x0x1x2x3x4x5x6x7x8x9"))),OR(6&gt;LEN(L871),MID(L871,6,1)=".",ISNUMBER(FIND("x"&amp;MID(L871,6,1),"x0x1x2x3x4x5x6x7x8x9"))),OR(7&gt;LEN(L871),MID(L871,7,1)=".",ISNUMBER(FIND("x"&amp;MID(L871,7,1),"x0x1x2x3x4x5x6x7x8x9"))),OR(8&gt;LEN(L871),MID(L871,8,1)=".",ISNUMBER(FIND("x"&amp;MID(L871,8,1),"x0x1x2x3x4x5x6x7x8x9"))),OR(9&gt;LEN(L871),MID(L871,9,1)=".",ISNUMBER(FIND("x"&amp;MID(L871,9,1),"x0x1x2x3x4x5x6x7x8x9"))),OR(10&gt;LEN(L871),MID(L871,10,1)=".",ISNUMBER(FIND("x"&amp;MID(L871,10,1),"x0x1x2x3x4x5x6x7x8x9"))),OR(AND(FIND(".",L871)=5,LEN(L871)-FIND(".",L871,FIND(".",L871)+1)&gt;=1,LEN(L871)-FIND(".",L871,FIND(".",L871)+1)&lt;=2),AND(LEN(L871)-FIND(".",L871,FIND(".",L871)+1)=4,FIND(".",L871)&gt;=2,FIND(".",L871)&lt;=3)),FIND(".",L871,FIND(".",L871)+1)-FIND(".",L871)&gt;=2,FIND(".",L871,FIND(".",L871)+1)-FIND(".",L871)&lt;=3,P871&gt;=2000,P871&lt;=2100,YEAR(S871)=P871,MONTH(S871)=Q871,DAY(S871)=R871),S871,0)),0)</ns0:f>
        <ns0:v>0</ns0:v>
      </ns0:c>
      <ns0:c r="U871" s="0" t="str">
        <ns0:f>IF(Bookings!C871="","Full day",Bookings!C871)</ns0:f>
        <ns0:v>Full day</ns0:v>
      </ns0:c>
      <ns0:c r="V871" s="0" t="str">
        <ns0:f>IF(Bookings!E871="","Full day",Bookings!E871)</ns0:f>
        <ns0:v>Full day</ns0:v>
      </ns0:c>
      <ns0:c r="W871" s="0">
        <ns0:f>IF(J871=0,0,J871+IF(U871="PM",1,0))</ns0:f>
        <ns0:v>0</ns0:v>
      </ns0:c>
      <ns0:c r="X871" s="0">
        <ns0:f>IF(T871=0,0,T871-IF(V871="PM",1,0))</ns0:f>
        <ns0:v>0</ns0:v>
      </ns0:c>
      <ns0:c r="Y871" s="0">
        <ns0:f>IF(J871=0,0,J871+IF(U871="AM",1,0))</ns0:f>
        <ns0:v>0</ns0:v>
      </ns0:c>
      <ns0:c r="Z871" s="0">
        <ns0:f>IF(T871=0,0,T871-IF(V871="AM",1,0))</ns0:f>
        <ns0:v>0</ns0:v>
      </ns0:c>
      <ns0:c r="AA871" s="0">
        <ns0:f>IFERROR(IF(AND(J871&gt;0,'_Engine'!C871&gt;0,MID('_Engine'!W871,WEEKDAY(J871,2),1)="W",COUNTIF(Settings!$F$18:$F$67,J871)=0),1,0),0)</ns0:f>
        <ns0:v>0</ns0:v>
      </ns0:c>
      <ns0:c r="AB871" s="0">
        <ns0:f>IFERROR(IF(AND(T871&gt;0,'_Engine'!C871&gt;0,MID('_Engine'!W871,WEEKDAY(T871,2),1)="W",COUNTIF(Settings!$F$18:$F$67,T871)=0),1,0),0)</ns0:f>
        <ns0:v>0</ns0:v>
      </ns0:c>
      <ns0:c r="AC871" s="0">
        <ns0:f>IF(AND(J871&gt;0,T871&gt;0,W871&lt;=X871),1,0)</ns0:f>
        <ns0:v>0</ns0:v>
      </ns0:c>
      <ns0:c r="AD871" s="0">
        <ns0:f>IF(AND(J871&gt;0,T871&gt;0,Y871&lt;=Z871),1,0)</ns0:f>
        <ns0:v>0</ns0:v>
      </ns0:c>
    </ns0:row>
    <ns0:row r="872">
      <ns0:c r="A872" s="0">
        <ns0:f>IFERROR(IF(ISNUMBER(Bookings!B872),"",TRIM(Bookings!B872&amp;"")),"")</ns0:f>
      </ns0:c>
      <ns0:c r="B872" s="0">
        <ns0:f>IFERROR(SUBSTITUTE(SUBSTITUTE(A872,"/","."),"-","."),"")</ns0:f>
      </ns0:c>
      <ns0:c r="C872" s="0">
        <ns0:f>IFERROR(LEFT(B872,FIND(".",B872)-1),"")</ns0:f>
      </ns0:c>
      <ns0:c r="D872" s="0">
        <ns0:f>IFERROR(MID(B872,FIND(".",B872)+1,FIND(".",B872,FIND(".",B872)+1)-FIND(".",B872)-1),"")</ns0:f>
      </ns0:c>
      <ns0:c r="E872" s="0">
        <ns0:f>IFERROR(MID(B872,FIND(".",B872,FIND(".",B872)+1)+1,99),"")</ns0:f>
        <ns0:v>99</ns0:v>
      </ns0:c>
      <ns0:c r="F872" s="0">
        <ns0:f>IFERROR(IF(FIND(".",B872)=5,--C872,--E872),0)</ns0:f>
        <ns0:v>0</ns0:v>
      </ns0:c>
      <ns0:c r="G872" s="0">
        <ns0:f>IFERROR(--D872,0)</ns0:f>
        <ns0:v>0</ns0:v>
      </ns0:c>
      <ns0:c r="H872" s="0">
        <ns0:f>IFERROR(IF(FIND(".",B872)=5,--E872,--C872),0)</ns0:f>
        <ns0:v>0</ns0:v>
      </ns0:c>
      <ns0:c r="I872" s="0">
        <ns0:f>IFERROR(IF(AND(F872&gt;=2000,F872&lt;=2100,G872&gt;=1,G872&lt;=12,H872&gt;=1,H872&lt;=31),DATE(F872,G872,H872),0),0)</ns0:f>
        <ns0:v>0</ns0:v>
      </ns0:c>
      <ns0:c r="J872" s="0">
        <ns0:f>IFERROR(IF(ISNUMBER(Bookings!B872),IF(AND(Bookings!B872=INT(Bookings!B872),Bookings!B872&gt;=DATE(2000,1,1),Bookings!B872&lt;=DATE(2100,12,31)),Bookings!B872,0),IF(AND(A872&lt;&gt;"",LEN("x"&amp;B872)-LEN(SUBSTITUTE("x"&amp;B872,".",""))=2,OR(1&gt;LEN(B872),MID(B872,1,1)=".",ISNUMBER(FIND("x"&amp;MID(B872,1,1),"x0x1x2x3x4x5x6x7x8x9"))),OR(2&gt;LEN(B872),MID(B872,2,1)=".",ISNUMBER(FIND("x"&amp;MID(B872,2,1),"x0x1x2x3x4x5x6x7x8x9"))),OR(3&gt;LEN(B872),MID(B872,3,1)=".",ISNUMBER(FIND("x"&amp;MID(B872,3,1),"x0x1x2x3x4x5x6x7x8x9"))),OR(4&gt;LEN(B872),MID(B872,4,1)=".",ISNUMBER(FIND("x"&amp;MID(B872,4,1),"x0x1x2x3x4x5x6x7x8x9"))),OR(5&gt;LEN(B872),MID(B872,5,1)=".",ISNUMBER(FIND("x"&amp;MID(B872,5,1),"x0x1x2x3x4x5x6x7x8x9"))),OR(6&gt;LEN(B872),MID(B872,6,1)=".",ISNUMBER(FIND("x"&amp;MID(B872,6,1),"x0x1x2x3x4x5x6x7x8x9"))),OR(7&gt;LEN(B872),MID(B872,7,1)=".",ISNUMBER(FIND("x"&amp;MID(B872,7,1),"x0x1x2x3x4x5x6x7x8x9"))),OR(8&gt;LEN(B872),MID(B872,8,1)=".",ISNUMBER(FIND("x"&amp;MID(B872,8,1),"x0x1x2x3x4x5x6x7x8x9"))),OR(9&gt;LEN(B872),MID(B872,9,1)=".",ISNUMBER(FIND("x"&amp;MID(B872,9,1),"x0x1x2x3x4x5x6x7x8x9"))),OR(10&gt;LEN(B872),MID(B872,10,1)=".",ISNUMBER(FIND("x"&amp;MID(B872,10,1),"x0x1x2x3x4x5x6x7x8x9"))),OR(AND(FIND(".",B872)=5,LEN(B872)-FIND(".",B872,FIND(".",B872)+1)&gt;=1,LEN(B872)-FIND(".",B872,FIND(".",B872)+1)&lt;=2),AND(LEN(B872)-FIND(".",B872,FIND(".",B872)+1)=4,FIND(".",B872)&gt;=2,FIND(".",B872)&lt;=3)),FIND(".",B872,FIND(".",B872)+1)-FIND(".",B872)&gt;=2,FIND(".",B872,FIND(".",B872)+1)-FIND(".",B872)&lt;=3,F872&gt;=2000,F872&lt;=2100,YEAR(I872)=F872,MONTH(I872)=G872,DAY(I872)=H872),I872,0)),0)</ns0:f>
        <ns0:v>0</ns0:v>
      </ns0:c>
      <ns0:c r="K872" s="0">
        <ns0:f>IFERROR(IF(ISNUMBER(Bookings!D872),"",TRIM(Bookings!D872&amp;"")),"")</ns0:f>
      </ns0:c>
      <ns0:c r="L872" s="0">
        <ns0:f>IFERROR(SUBSTITUTE(SUBSTITUTE(K872,"/","."),"-","."),"")</ns0:f>
      </ns0:c>
      <ns0:c r="M872" s="0">
        <ns0:f>IFERROR(LEFT(L872,FIND(".",L872)-1),"")</ns0:f>
      </ns0:c>
      <ns0:c r="N872" s="0">
        <ns0:f>IFERROR(MID(L872,FIND(".",L872)+1,FIND(".",L872,FIND(".",L872)+1)-FIND(".",L872)-1),"")</ns0:f>
      </ns0:c>
      <ns0:c r="O872" s="0">
        <ns0:f>IFERROR(MID(L872,FIND(".",L872,FIND(".",L872)+1)+1,99),"")</ns0:f>
        <ns0:v>99</ns0:v>
      </ns0:c>
      <ns0:c r="P872" s="0">
        <ns0:f>IFERROR(IF(FIND(".",L872)=5,--M872,--O872),0)</ns0:f>
        <ns0:v>0</ns0:v>
      </ns0:c>
      <ns0:c r="Q872" s="0">
        <ns0:f>IFERROR(--N872,0)</ns0:f>
        <ns0:v>0</ns0:v>
      </ns0:c>
      <ns0:c r="R872" s="0">
        <ns0:f>IFERROR(IF(FIND(".",L872)=5,--O872,--M872),0)</ns0:f>
        <ns0:v>0</ns0:v>
      </ns0:c>
      <ns0:c r="S872" s="0">
        <ns0:f>IFERROR(IF(AND(P872&gt;=2000,P872&lt;=2100,Q872&gt;=1,Q872&lt;=12,R872&gt;=1,R872&lt;=31),DATE(P872,Q872,R872),0),0)</ns0:f>
        <ns0:v>0</ns0:v>
      </ns0:c>
      <ns0:c r="T872" s="0">
        <ns0:f>IFERROR(IF(ISNUMBER(Bookings!D872),IF(AND(Bookings!D872=INT(Bookings!D872),Bookings!D872&gt;=DATE(2000,1,1),Bookings!D872&lt;=DATE(2100,12,31)),Bookings!D872,0),IF(AND(K872&lt;&gt;"",LEN("x"&amp;L872)-LEN(SUBSTITUTE("x"&amp;L872,".",""))=2,OR(1&gt;LEN(L872),MID(L872,1,1)=".",ISNUMBER(FIND("x"&amp;MID(L872,1,1),"x0x1x2x3x4x5x6x7x8x9"))),OR(2&gt;LEN(L872),MID(L872,2,1)=".",ISNUMBER(FIND("x"&amp;MID(L872,2,1),"x0x1x2x3x4x5x6x7x8x9"))),OR(3&gt;LEN(L872),MID(L872,3,1)=".",ISNUMBER(FIND("x"&amp;MID(L872,3,1),"x0x1x2x3x4x5x6x7x8x9"))),OR(4&gt;LEN(L872),MID(L872,4,1)=".",ISNUMBER(FIND("x"&amp;MID(L872,4,1),"x0x1x2x3x4x5x6x7x8x9"))),OR(5&gt;LEN(L872),MID(L872,5,1)=".",ISNUMBER(FIND("x"&amp;MID(L872,5,1),"x0x1x2x3x4x5x6x7x8x9"))),OR(6&gt;LEN(L872),MID(L872,6,1)=".",ISNUMBER(FIND("x"&amp;MID(L872,6,1),"x0x1x2x3x4x5x6x7x8x9"))),OR(7&gt;LEN(L872),MID(L872,7,1)=".",ISNUMBER(FIND("x"&amp;MID(L872,7,1),"x0x1x2x3x4x5x6x7x8x9"))),OR(8&gt;LEN(L872),MID(L872,8,1)=".",ISNUMBER(FIND("x"&amp;MID(L872,8,1),"x0x1x2x3x4x5x6x7x8x9"))),OR(9&gt;LEN(L872),MID(L872,9,1)=".",ISNUMBER(FIND("x"&amp;MID(L872,9,1),"x0x1x2x3x4x5x6x7x8x9"))),OR(10&gt;LEN(L872),MID(L872,10,1)=".",ISNUMBER(FIND("x"&amp;MID(L872,10,1),"x0x1x2x3x4x5x6x7x8x9"))),OR(AND(FIND(".",L872)=5,LEN(L872)-FIND(".",L872,FIND(".",L872)+1)&gt;=1,LEN(L872)-FIND(".",L872,FIND(".",L872)+1)&lt;=2),AND(LEN(L872)-FIND(".",L872,FIND(".",L872)+1)=4,FIND(".",L872)&gt;=2,FIND(".",L872)&lt;=3)),FIND(".",L872,FIND(".",L872)+1)-FIND(".",L872)&gt;=2,FIND(".",L872,FIND(".",L872)+1)-FIND(".",L872)&lt;=3,P872&gt;=2000,P872&lt;=2100,YEAR(S872)=P872,MONTH(S872)=Q872,DAY(S872)=R872),S872,0)),0)</ns0:f>
        <ns0:v>0</ns0:v>
      </ns0:c>
      <ns0:c r="U872" s="0" t="str">
        <ns0:f>IF(Bookings!C872="","Full day",Bookings!C872)</ns0:f>
        <ns0:v>Full day</ns0:v>
      </ns0:c>
      <ns0:c r="V872" s="0" t="str">
        <ns0:f>IF(Bookings!E872="","Full day",Bookings!E872)</ns0:f>
        <ns0:v>Full day</ns0:v>
      </ns0:c>
      <ns0:c r="W872" s="0">
        <ns0:f>IF(J872=0,0,J872+IF(U872="PM",1,0))</ns0:f>
        <ns0:v>0</ns0:v>
      </ns0:c>
      <ns0:c r="X872" s="0">
        <ns0:f>IF(T872=0,0,T872-IF(V872="PM",1,0))</ns0:f>
        <ns0:v>0</ns0:v>
      </ns0:c>
      <ns0:c r="Y872" s="0">
        <ns0:f>IF(J872=0,0,J872+IF(U872="AM",1,0))</ns0:f>
        <ns0:v>0</ns0:v>
      </ns0:c>
      <ns0:c r="Z872" s="0">
        <ns0:f>IF(T872=0,0,T872-IF(V872="AM",1,0))</ns0:f>
        <ns0:v>0</ns0:v>
      </ns0:c>
      <ns0:c r="AA872" s="0">
        <ns0:f>IFERROR(IF(AND(J872&gt;0,'_Engine'!C872&gt;0,MID('_Engine'!W872,WEEKDAY(J872,2),1)="W",COUNTIF(Settings!$F$18:$F$67,J872)=0),1,0),0)</ns0:f>
        <ns0:v>0</ns0:v>
      </ns0:c>
      <ns0:c r="AB872" s="0">
        <ns0:f>IFERROR(IF(AND(T872&gt;0,'_Engine'!C872&gt;0,MID('_Engine'!W872,WEEKDAY(T872,2),1)="W",COUNTIF(Settings!$F$18:$F$67,T872)=0),1,0),0)</ns0:f>
        <ns0:v>0</ns0:v>
      </ns0:c>
      <ns0:c r="AC872" s="0">
        <ns0:f>IF(AND(J872&gt;0,T872&gt;0,W872&lt;=X872),1,0)</ns0:f>
        <ns0:v>0</ns0:v>
      </ns0:c>
      <ns0:c r="AD872" s="0">
        <ns0:f>IF(AND(J872&gt;0,T872&gt;0,Y872&lt;=Z872),1,0)</ns0:f>
        <ns0:v>0</ns0:v>
      </ns0:c>
    </ns0:row>
    <ns0:row r="873">
      <ns0:c r="A873" s="0">
        <ns0:f>IFERROR(IF(ISNUMBER(Bookings!B873),"",TRIM(Bookings!B873&amp;"")),"")</ns0:f>
      </ns0:c>
      <ns0:c r="B873" s="0">
        <ns0:f>IFERROR(SUBSTITUTE(SUBSTITUTE(A873,"/","."),"-","."),"")</ns0:f>
      </ns0:c>
      <ns0:c r="C873" s="0">
        <ns0:f>IFERROR(LEFT(B873,FIND(".",B873)-1),"")</ns0:f>
      </ns0:c>
      <ns0:c r="D873" s="0">
        <ns0:f>IFERROR(MID(B873,FIND(".",B873)+1,FIND(".",B873,FIND(".",B873)+1)-FIND(".",B873)-1),"")</ns0:f>
      </ns0:c>
      <ns0:c r="E873" s="0">
        <ns0:f>IFERROR(MID(B873,FIND(".",B873,FIND(".",B873)+1)+1,99),"")</ns0:f>
        <ns0:v>99</ns0:v>
      </ns0:c>
      <ns0:c r="F873" s="0">
        <ns0:f>IFERROR(IF(FIND(".",B873)=5,--C873,--E873),0)</ns0:f>
        <ns0:v>0</ns0:v>
      </ns0:c>
      <ns0:c r="G873" s="0">
        <ns0:f>IFERROR(--D873,0)</ns0:f>
        <ns0:v>0</ns0:v>
      </ns0:c>
      <ns0:c r="H873" s="0">
        <ns0:f>IFERROR(IF(FIND(".",B873)=5,--E873,--C873),0)</ns0:f>
        <ns0:v>0</ns0:v>
      </ns0:c>
      <ns0:c r="I873" s="0">
        <ns0:f>IFERROR(IF(AND(F873&gt;=2000,F873&lt;=2100,G873&gt;=1,G873&lt;=12,H873&gt;=1,H873&lt;=31),DATE(F873,G873,H873),0),0)</ns0:f>
        <ns0:v>0</ns0:v>
      </ns0:c>
      <ns0:c r="J873" s="0">
        <ns0:f>IFERROR(IF(ISNUMBER(Bookings!B873),IF(AND(Bookings!B873=INT(Bookings!B873),Bookings!B873&gt;=DATE(2000,1,1),Bookings!B873&lt;=DATE(2100,12,31)),Bookings!B873,0),IF(AND(A873&lt;&gt;"",LEN("x"&amp;B873)-LEN(SUBSTITUTE("x"&amp;B873,".",""))=2,OR(1&gt;LEN(B873),MID(B873,1,1)=".",ISNUMBER(FIND("x"&amp;MID(B873,1,1),"x0x1x2x3x4x5x6x7x8x9"))),OR(2&gt;LEN(B873),MID(B873,2,1)=".",ISNUMBER(FIND("x"&amp;MID(B873,2,1),"x0x1x2x3x4x5x6x7x8x9"))),OR(3&gt;LEN(B873),MID(B873,3,1)=".",ISNUMBER(FIND("x"&amp;MID(B873,3,1),"x0x1x2x3x4x5x6x7x8x9"))),OR(4&gt;LEN(B873),MID(B873,4,1)=".",ISNUMBER(FIND("x"&amp;MID(B873,4,1),"x0x1x2x3x4x5x6x7x8x9"))),OR(5&gt;LEN(B873),MID(B873,5,1)=".",ISNUMBER(FIND("x"&amp;MID(B873,5,1),"x0x1x2x3x4x5x6x7x8x9"))),OR(6&gt;LEN(B873),MID(B873,6,1)=".",ISNUMBER(FIND("x"&amp;MID(B873,6,1),"x0x1x2x3x4x5x6x7x8x9"))),OR(7&gt;LEN(B873),MID(B873,7,1)=".",ISNUMBER(FIND("x"&amp;MID(B873,7,1),"x0x1x2x3x4x5x6x7x8x9"))),OR(8&gt;LEN(B873),MID(B873,8,1)=".",ISNUMBER(FIND("x"&amp;MID(B873,8,1),"x0x1x2x3x4x5x6x7x8x9"))),OR(9&gt;LEN(B873),MID(B873,9,1)=".",ISNUMBER(FIND("x"&amp;MID(B873,9,1),"x0x1x2x3x4x5x6x7x8x9"))),OR(10&gt;LEN(B873),MID(B873,10,1)=".",ISNUMBER(FIND("x"&amp;MID(B873,10,1),"x0x1x2x3x4x5x6x7x8x9"))),OR(AND(FIND(".",B873)=5,LEN(B873)-FIND(".",B873,FIND(".",B873)+1)&gt;=1,LEN(B873)-FIND(".",B873,FIND(".",B873)+1)&lt;=2),AND(LEN(B873)-FIND(".",B873,FIND(".",B873)+1)=4,FIND(".",B873)&gt;=2,FIND(".",B873)&lt;=3)),FIND(".",B873,FIND(".",B873)+1)-FIND(".",B873)&gt;=2,FIND(".",B873,FIND(".",B873)+1)-FIND(".",B873)&lt;=3,F873&gt;=2000,F873&lt;=2100,YEAR(I873)=F873,MONTH(I873)=G873,DAY(I873)=H873),I873,0)),0)</ns0:f>
        <ns0:v>0</ns0:v>
      </ns0:c>
      <ns0:c r="K873" s="0">
        <ns0:f>IFERROR(IF(ISNUMBER(Bookings!D873),"",TRIM(Bookings!D873&amp;"")),"")</ns0:f>
      </ns0:c>
      <ns0:c r="L873" s="0">
        <ns0:f>IFERROR(SUBSTITUTE(SUBSTITUTE(K873,"/","."),"-","."),"")</ns0:f>
      </ns0:c>
      <ns0:c r="M873" s="0">
        <ns0:f>IFERROR(LEFT(L873,FIND(".",L873)-1),"")</ns0:f>
      </ns0:c>
      <ns0:c r="N873" s="0">
        <ns0:f>IFERROR(MID(L873,FIND(".",L873)+1,FIND(".",L873,FIND(".",L873)+1)-FIND(".",L873)-1),"")</ns0:f>
      </ns0:c>
      <ns0:c r="O873" s="0">
        <ns0:f>IFERROR(MID(L873,FIND(".",L873,FIND(".",L873)+1)+1,99),"")</ns0:f>
        <ns0:v>99</ns0:v>
      </ns0:c>
      <ns0:c r="P873" s="0">
        <ns0:f>IFERROR(IF(FIND(".",L873)=5,--M873,--O873),0)</ns0:f>
        <ns0:v>0</ns0:v>
      </ns0:c>
      <ns0:c r="Q873" s="0">
        <ns0:f>IFERROR(--N873,0)</ns0:f>
        <ns0:v>0</ns0:v>
      </ns0:c>
      <ns0:c r="R873" s="0">
        <ns0:f>IFERROR(IF(FIND(".",L873)=5,--O873,--M873),0)</ns0:f>
        <ns0:v>0</ns0:v>
      </ns0:c>
      <ns0:c r="S873" s="0">
        <ns0:f>IFERROR(IF(AND(P873&gt;=2000,P873&lt;=2100,Q873&gt;=1,Q873&lt;=12,R873&gt;=1,R873&lt;=31),DATE(P873,Q873,R873),0),0)</ns0:f>
        <ns0:v>0</ns0:v>
      </ns0:c>
      <ns0:c r="T873" s="0">
        <ns0:f>IFERROR(IF(ISNUMBER(Bookings!D873),IF(AND(Bookings!D873=INT(Bookings!D873),Bookings!D873&gt;=DATE(2000,1,1),Bookings!D873&lt;=DATE(2100,12,31)),Bookings!D873,0),IF(AND(K873&lt;&gt;"",LEN("x"&amp;L873)-LEN(SUBSTITUTE("x"&amp;L873,".",""))=2,OR(1&gt;LEN(L873),MID(L873,1,1)=".",ISNUMBER(FIND("x"&amp;MID(L873,1,1),"x0x1x2x3x4x5x6x7x8x9"))),OR(2&gt;LEN(L873),MID(L873,2,1)=".",ISNUMBER(FIND("x"&amp;MID(L873,2,1),"x0x1x2x3x4x5x6x7x8x9"))),OR(3&gt;LEN(L873),MID(L873,3,1)=".",ISNUMBER(FIND("x"&amp;MID(L873,3,1),"x0x1x2x3x4x5x6x7x8x9"))),OR(4&gt;LEN(L873),MID(L873,4,1)=".",ISNUMBER(FIND("x"&amp;MID(L873,4,1),"x0x1x2x3x4x5x6x7x8x9"))),OR(5&gt;LEN(L873),MID(L873,5,1)=".",ISNUMBER(FIND("x"&amp;MID(L873,5,1),"x0x1x2x3x4x5x6x7x8x9"))),OR(6&gt;LEN(L873),MID(L873,6,1)=".",ISNUMBER(FIND("x"&amp;MID(L873,6,1),"x0x1x2x3x4x5x6x7x8x9"))),OR(7&gt;LEN(L873),MID(L873,7,1)=".",ISNUMBER(FIND("x"&amp;MID(L873,7,1),"x0x1x2x3x4x5x6x7x8x9"))),OR(8&gt;LEN(L873),MID(L873,8,1)=".",ISNUMBER(FIND("x"&amp;MID(L873,8,1),"x0x1x2x3x4x5x6x7x8x9"))),OR(9&gt;LEN(L873),MID(L873,9,1)=".",ISNUMBER(FIND("x"&amp;MID(L873,9,1),"x0x1x2x3x4x5x6x7x8x9"))),OR(10&gt;LEN(L873),MID(L873,10,1)=".",ISNUMBER(FIND("x"&amp;MID(L873,10,1),"x0x1x2x3x4x5x6x7x8x9"))),OR(AND(FIND(".",L873)=5,LEN(L873)-FIND(".",L873,FIND(".",L873)+1)&gt;=1,LEN(L873)-FIND(".",L873,FIND(".",L873)+1)&lt;=2),AND(LEN(L873)-FIND(".",L873,FIND(".",L873)+1)=4,FIND(".",L873)&gt;=2,FIND(".",L873)&lt;=3)),FIND(".",L873,FIND(".",L873)+1)-FIND(".",L873)&gt;=2,FIND(".",L873,FIND(".",L873)+1)-FIND(".",L873)&lt;=3,P873&gt;=2000,P873&lt;=2100,YEAR(S873)=P873,MONTH(S873)=Q873,DAY(S873)=R873),S873,0)),0)</ns0:f>
        <ns0:v>0</ns0:v>
      </ns0:c>
      <ns0:c r="U873" s="0" t="str">
        <ns0:f>IF(Bookings!C873="","Full day",Bookings!C873)</ns0:f>
        <ns0:v>Full day</ns0:v>
      </ns0:c>
      <ns0:c r="V873" s="0" t="str">
        <ns0:f>IF(Bookings!E873="","Full day",Bookings!E873)</ns0:f>
        <ns0:v>Full day</ns0:v>
      </ns0:c>
      <ns0:c r="W873" s="0">
        <ns0:f>IF(J873=0,0,J873+IF(U873="PM",1,0))</ns0:f>
        <ns0:v>0</ns0:v>
      </ns0:c>
      <ns0:c r="X873" s="0">
        <ns0:f>IF(T873=0,0,T873-IF(V873="PM",1,0))</ns0:f>
        <ns0:v>0</ns0:v>
      </ns0:c>
      <ns0:c r="Y873" s="0">
        <ns0:f>IF(J873=0,0,J873+IF(U873="AM",1,0))</ns0:f>
        <ns0:v>0</ns0:v>
      </ns0:c>
      <ns0:c r="Z873" s="0">
        <ns0:f>IF(T873=0,0,T873-IF(V873="AM",1,0))</ns0:f>
        <ns0:v>0</ns0:v>
      </ns0:c>
      <ns0:c r="AA873" s="0">
        <ns0:f>IFERROR(IF(AND(J873&gt;0,'_Engine'!C873&gt;0,MID('_Engine'!W873,WEEKDAY(J873,2),1)="W",COUNTIF(Settings!$F$18:$F$67,J873)=0),1,0),0)</ns0:f>
        <ns0:v>0</ns0:v>
      </ns0:c>
      <ns0:c r="AB873" s="0">
        <ns0:f>IFERROR(IF(AND(T873&gt;0,'_Engine'!C873&gt;0,MID('_Engine'!W873,WEEKDAY(T873,2),1)="W",COUNTIF(Settings!$F$18:$F$67,T873)=0),1,0),0)</ns0:f>
        <ns0:v>0</ns0:v>
      </ns0:c>
      <ns0:c r="AC873" s="0">
        <ns0:f>IF(AND(J873&gt;0,T873&gt;0,W873&lt;=X873),1,0)</ns0:f>
        <ns0:v>0</ns0:v>
      </ns0:c>
      <ns0:c r="AD873" s="0">
        <ns0:f>IF(AND(J873&gt;0,T873&gt;0,Y873&lt;=Z873),1,0)</ns0:f>
        <ns0:v>0</ns0:v>
      </ns0:c>
    </ns0:row>
    <ns0:row r="874">
      <ns0:c r="A874" s="0">
        <ns0:f>IFERROR(IF(ISNUMBER(Bookings!B874),"",TRIM(Bookings!B874&amp;"")),"")</ns0:f>
      </ns0:c>
      <ns0:c r="B874" s="0">
        <ns0:f>IFERROR(SUBSTITUTE(SUBSTITUTE(A874,"/","."),"-","."),"")</ns0:f>
      </ns0:c>
      <ns0:c r="C874" s="0">
        <ns0:f>IFERROR(LEFT(B874,FIND(".",B874)-1),"")</ns0:f>
      </ns0:c>
      <ns0:c r="D874" s="0">
        <ns0:f>IFERROR(MID(B874,FIND(".",B874)+1,FIND(".",B874,FIND(".",B874)+1)-FIND(".",B874)-1),"")</ns0:f>
      </ns0:c>
      <ns0:c r="E874" s="0">
        <ns0:f>IFERROR(MID(B874,FIND(".",B874,FIND(".",B874)+1)+1,99),"")</ns0:f>
        <ns0:v>99</ns0:v>
      </ns0:c>
      <ns0:c r="F874" s="0">
        <ns0:f>IFERROR(IF(FIND(".",B874)=5,--C874,--E874),0)</ns0:f>
        <ns0:v>0</ns0:v>
      </ns0:c>
      <ns0:c r="G874" s="0">
        <ns0:f>IFERROR(--D874,0)</ns0:f>
        <ns0:v>0</ns0:v>
      </ns0:c>
      <ns0:c r="H874" s="0">
        <ns0:f>IFERROR(IF(FIND(".",B874)=5,--E874,--C874),0)</ns0:f>
        <ns0:v>0</ns0:v>
      </ns0:c>
      <ns0:c r="I874" s="0">
        <ns0:f>IFERROR(IF(AND(F874&gt;=2000,F874&lt;=2100,G874&gt;=1,G874&lt;=12,H874&gt;=1,H874&lt;=31),DATE(F874,G874,H874),0),0)</ns0:f>
        <ns0:v>0</ns0:v>
      </ns0:c>
      <ns0:c r="J874" s="0">
        <ns0:f>IFERROR(IF(ISNUMBER(Bookings!B874),IF(AND(Bookings!B874=INT(Bookings!B874),Bookings!B874&gt;=DATE(2000,1,1),Bookings!B874&lt;=DATE(2100,12,31)),Bookings!B874,0),IF(AND(A874&lt;&gt;"",LEN("x"&amp;B874)-LEN(SUBSTITUTE("x"&amp;B874,".",""))=2,OR(1&gt;LEN(B874),MID(B874,1,1)=".",ISNUMBER(FIND("x"&amp;MID(B874,1,1),"x0x1x2x3x4x5x6x7x8x9"))),OR(2&gt;LEN(B874),MID(B874,2,1)=".",ISNUMBER(FIND("x"&amp;MID(B874,2,1),"x0x1x2x3x4x5x6x7x8x9"))),OR(3&gt;LEN(B874),MID(B874,3,1)=".",ISNUMBER(FIND("x"&amp;MID(B874,3,1),"x0x1x2x3x4x5x6x7x8x9"))),OR(4&gt;LEN(B874),MID(B874,4,1)=".",ISNUMBER(FIND("x"&amp;MID(B874,4,1),"x0x1x2x3x4x5x6x7x8x9"))),OR(5&gt;LEN(B874),MID(B874,5,1)=".",ISNUMBER(FIND("x"&amp;MID(B874,5,1),"x0x1x2x3x4x5x6x7x8x9"))),OR(6&gt;LEN(B874),MID(B874,6,1)=".",ISNUMBER(FIND("x"&amp;MID(B874,6,1),"x0x1x2x3x4x5x6x7x8x9"))),OR(7&gt;LEN(B874),MID(B874,7,1)=".",ISNUMBER(FIND("x"&amp;MID(B874,7,1),"x0x1x2x3x4x5x6x7x8x9"))),OR(8&gt;LEN(B874),MID(B874,8,1)=".",ISNUMBER(FIND("x"&amp;MID(B874,8,1),"x0x1x2x3x4x5x6x7x8x9"))),OR(9&gt;LEN(B874),MID(B874,9,1)=".",ISNUMBER(FIND("x"&amp;MID(B874,9,1),"x0x1x2x3x4x5x6x7x8x9"))),OR(10&gt;LEN(B874),MID(B874,10,1)=".",ISNUMBER(FIND("x"&amp;MID(B874,10,1),"x0x1x2x3x4x5x6x7x8x9"))),OR(AND(FIND(".",B874)=5,LEN(B874)-FIND(".",B874,FIND(".",B874)+1)&gt;=1,LEN(B874)-FIND(".",B874,FIND(".",B874)+1)&lt;=2),AND(LEN(B874)-FIND(".",B874,FIND(".",B874)+1)=4,FIND(".",B874)&gt;=2,FIND(".",B874)&lt;=3)),FIND(".",B874,FIND(".",B874)+1)-FIND(".",B874)&gt;=2,FIND(".",B874,FIND(".",B874)+1)-FIND(".",B874)&lt;=3,F874&gt;=2000,F874&lt;=2100,YEAR(I874)=F874,MONTH(I874)=G874,DAY(I874)=H874),I874,0)),0)</ns0:f>
        <ns0:v>0</ns0:v>
      </ns0:c>
      <ns0:c r="K874" s="0">
        <ns0:f>IFERROR(IF(ISNUMBER(Bookings!D874),"",TRIM(Bookings!D874&amp;"")),"")</ns0:f>
      </ns0:c>
      <ns0:c r="L874" s="0">
        <ns0:f>IFERROR(SUBSTITUTE(SUBSTITUTE(K874,"/","."),"-","."),"")</ns0:f>
      </ns0:c>
      <ns0:c r="M874" s="0">
        <ns0:f>IFERROR(LEFT(L874,FIND(".",L874)-1),"")</ns0:f>
      </ns0:c>
      <ns0:c r="N874" s="0">
        <ns0:f>IFERROR(MID(L874,FIND(".",L874)+1,FIND(".",L874,FIND(".",L874)+1)-FIND(".",L874)-1),"")</ns0:f>
      </ns0:c>
      <ns0:c r="O874" s="0">
        <ns0:f>IFERROR(MID(L874,FIND(".",L874,FIND(".",L874)+1)+1,99),"")</ns0:f>
        <ns0:v>99</ns0:v>
      </ns0:c>
      <ns0:c r="P874" s="0">
        <ns0:f>IFERROR(IF(FIND(".",L874)=5,--M874,--O874),0)</ns0:f>
        <ns0:v>0</ns0:v>
      </ns0:c>
      <ns0:c r="Q874" s="0">
        <ns0:f>IFERROR(--N874,0)</ns0:f>
        <ns0:v>0</ns0:v>
      </ns0:c>
      <ns0:c r="R874" s="0">
        <ns0:f>IFERROR(IF(FIND(".",L874)=5,--O874,--M874),0)</ns0:f>
        <ns0:v>0</ns0:v>
      </ns0:c>
      <ns0:c r="S874" s="0">
        <ns0:f>IFERROR(IF(AND(P874&gt;=2000,P874&lt;=2100,Q874&gt;=1,Q874&lt;=12,R874&gt;=1,R874&lt;=31),DATE(P874,Q874,R874),0),0)</ns0:f>
        <ns0:v>0</ns0:v>
      </ns0:c>
      <ns0:c r="T874" s="0">
        <ns0:f>IFERROR(IF(ISNUMBER(Bookings!D874),IF(AND(Bookings!D874=INT(Bookings!D874),Bookings!D874&gt;=DATE(2000,1,1),Bookings!D874&lt;=DATE(2100,12,31)),Bookings!D874,0),IF(AND(K874&lt;&gt;"",LEN("x"&amp;L874)-LEN(SUBSTITUTE("x"&amp;L874,".",""))=2,OR(1&gt;LEN(L874),MID(L874,1,1)=".",ISNUMBER(FIND("x"&amp;MID(L874,1,1),"x0x1x2x3x4x5x6x7x8x9"))),OR(2&gt;LEN(L874),MID(L874,2,1)=".",ISNUMBER(FIND("x"&amp;MID(L874,2,1),"x0x1x2x3x4x5x6x7x8x9"))),OR(3&gt;LEN(L874),MID(L874,3,1)=".",ISNUMBER(FIND("x"&amp;MID(L874,3,1),"x0x1x2x3x4x5x6x7x8x9"))),OR(4&gt;LEN(L874),MID(L874,4,1)=".",ISNUMBER(FIND("x"&amp;MID(L874,4,1),"x0x1x2x3x4x5x6x7x8x9"))),OR(5&gt;LEN(L874),MID(L874,5,1)=".",ISNUMBER(FIND("x"&amp;MID(L874,5,1),"x0x1x2x3x4x5x6x7x8x9"))),OR(6&gt;LEN(L874),MID(L874,6,1)=".",ISNUMBER(FIND("x"&amp;MID(L874,6,1),"x0x1x2x3x4x5x6x7x8x9"))),OR(7&gt;LEN(L874),MID(L874,7,1)=".",ISNUMBER(FIND("x"&amp;MID(L874,7,1),"x0x1x2x3x4x5x6x7x8x9"))),OR(8&gt;LEN(L874),MID(L874,8,1)=".",ISNUMBER(FIND("x"&amp;MID(L874,8,1),"x0x1x2x3x4x5x6x7x8x9"))),OR(9&gt;LEN(L874),MID(L874,9,1)=".",ISNUMBER(FIND("x"&amp;MID(L874,9,1),"x0x1x2x3x4x5x6x7x8x9"))),OR(10&gt;LEN(L874),MID(L874,10,1)=".",ISNUMBER(FIND("x"&amp;MID(L874,10,1),"x0x1x2x3x4x5x6x7x8x9"))),OR(AND(FIND(".",L874)=5,LEN(L874)-FIND(".",L874,FIND(".",L874)+1)&gt;=1,LEN(L874)-FIND(".",L874,FIND(".",L874)+1)&lt;=2),AND(LEN(L874)-FIND(".",L874,FIND(".",L874)+1)=4,FIND(".",L874)&gt;=2,FIND(".",L874)&lt;=3)),FIND(".",L874,FIND(".",L874)+1)-FIND(".",L874)&gt;=2,FIND(".",L874,FIND(".",L874)+1)-FIND(".",L874)&lt;=3,P874&gt;=2000,P874&lt;=2100,YEAR(S874)=P874,MONTH(S874)=Q874,DAY(S874)=R874),S874,0)),0)</ns0:f>
        <ns0:v>0</ns0:v>
      </ns0:c>
      <ns0:c r="U874" s="0" t="str">
        <ns0:f>IF(Bookings!C874="","Full day",Bookings!C874)</ns0:f>
        <ns0:v>Full day</ns0:v>
      </ns0:c>
      <ns0:c r="V874" s="0" t="str">
        <ns0:f>IF(Bookings!E874="","Full day",Bookings!E874)</ns0:f>
        <ns0:v>Full day</ns0:v>
      </ns0:c>
      <ns0:c r="W874" s="0">
        <ns0:f>IF(J874=0,0,J874+IF(U874="PM",1,0))</ns0:f>
        <ns0:v>0</ns0:v>
      </ns0:c>
      <ns0:c r="X874" s="0">
        <ns0:f>IF(T874=0,0,T874-IF(V874="PM",1,0))</ns0:f>
        <ns0:v>0</ns0:v>
      </ns0:c>
      <ns0:c r="Y874" s="0">
        <ns0:f>IF(J874=0,0,J874+IF(U874="AM",1,0))</ns0:f>
        <ns0:v>0</ns0:v>
      </ns0:c>
      <ns0:c r="Z874" s="0">
        <ns0:f>IF(T874=0,0,T874-IF(V874="AM",1,0))</ns0:f>
        <ns0:v>0</ns0:v>
      </ns0:c>
      <ns0:c r="AA874" s="0">
        <ns0:f>IFERROR(IF(AND(J874&gt;0,'_Engine'!C874&gt;0,MID('_Engine'!W874,WEEKDAY(J874,2),1)="W",COUNTIF(Settings!$F$18:$F$67,J874)=0),1,0),0)</ns0:f>
        <ns0:v>0</ns0:v>
      </ns0:c>
      <ns0:c r="AB874" s="0">
        <ns0:f>IFERROR(IF(AND(T874&gt;0,'_Engine'!C874&gt;0,MID('_Engine'!W874,WEEKDAY(T874,2),1)="W",COUNTIF(Settings!$F$18:$F$67,T874)=0),1,0),0)</ns0:f>
        <ns0:v>0</ns0:v>
      </ns0:c>
      <ns0:c r="AC874" s="0">
        <ns0:f>IF(AND(J874&gt;0,T874&gt;0,W874&lt;=X874),1,0)</ns0:f>
        <ns0:v>0</ns0:v>
      </ns0:c>
      <ns0:c r="AD874" s="0">
        <ns0:f>IF(AND(J874&gt;0,T874&gt;0,Y874&lt;=Z874),1,0)</ns0:f>
        <ns0:v>0</ns0:v>
      </ns0:c>
    </ns0:row>
    <ns0:row r="875">
      <ns0:c r="A875" s="0">
        <ns0:f>IFERROR(IF(ISNUMBER(Bookings!B875),"",TRIM(Bookings!B875&amp;"")),"")</ns0:f>
      </ns0:c>
      <ns0:c r="B875" s="0">
        <ns0:f>IFERROR(SUBSTITUTE(SUBSTITUTE(A875,"/","."),"-","."),"")</ns0:f>
      </ns0:c>
      <ns0:c r="C875" s="0">
        <ns0:f>IFERROR(LEFT(B875,FIND(".",B875)-1),"")</ns0:f>
      </ns0:c>
      <ns0:c r="D875" s="0">
        <ns0:f>IFERROR(MID(B875,FIND(".",B875)+1,FIND(".",B875,FIND(".",B875)+1)-FIND(".",B875)-1),"")</ns0:f>
      </ns0:c>
      <ns0:c r="E875" s="0">
        <ns0:f>IFERROR(MID(B875,FIND(".",B875,FIND(".",B875)+1)+1,99),"")</ns0:f>
        <ns0:v>99</ns0:v>
      </ns0:c>
      <ns0:c r="F875" s="0">
        <ns0:f>IFERROR(IF(FIND(".",B875)=5,--C875,--E875),0)</ns0:f>
        <ns0:v>0</ns0:v>
      </ns0:c>
      <ns0:c r="G875" s="0">
        <ns0:f>IFERROR(--D875,0)</ns0:f>
        <ns0:v>0</ns0:v>
      </ns0:c>
      <ns0:c r="H875" s="0">
        <ns0:f>IFERROR(IF(FIND(".",B875)=5,--E875,--C875),0)</ns0:f>
        <ns0:v>0</ns0:v>
      </ns0:c>
      <ns0:c r="I875" s="0">
        <ns0:f>IFERROR(IF(AND(F875&gt;=2000,F875&lt;=2100,G875&gt;=1,G875&lt;=12,H875&gt;=1,H875&lt;=31),DATE(F875,G875,H875),0),0)</ns0:f>
        <ns0:v>0</ns0:v>
      </ns0:c>
      <ns0:c r="J875" s="0">
        <ns0:f>IFERROR(IF(ISNUMBER(Bookings!B875),IF(AND(Bookings!B875=INT(Bookings!B875),Bookings!B875&gt;=DATE(2000,1,1),Bookings!B875&lt;=DATE(2100,12,31)),Bookings!B875,0),IF(AND(A875&lt;&gt;"",LEN("x"&amp;B875)-LEN(SUBSTITUTE("x"&amp;B875,".",""))=2,OR(1&gt;LEN(B875),MID(B875,1,1)=".",ISNUMBER(FIND("x"&amp;MID(B875,1,1),"x0x1x2x3x4x5x6x7x8x9"))),OR(2&gt;LEN(B875),MID(B875,2,1)=".",ISNUMBER(FIND("x"&amp;MID(B875,2,1),"x0x1x2x3x4x5x6x7x8x9"))),OR(3&gt;LEN(B875),MID(B875,3,1)=".",ISNUMBER(FIND("x"&amp;MID(B875,3,1),"x0x1x2x3x4x5x6x7x8x9"))),OR(4&gt;LEN(B875),MID(B875,4,1)=".",ISNUMBER(FIND("x"&amp;MID(B875,4,1),"x0x1x2x3x4x5x6x7x8x9"))),OR(5&gt;LEN(B875),MID(B875,5,1)=".",ISNUMBER(FIND("x"&amp;MID(B875,5,1),"x0x1x2x3x4x5x6x7x8x9"))),OR(6&gt;LEN(B875),MID(B875,6,1)=".",ISNUMBER(FIND("x"&amp;MID(B875,6,1),"x0x1x2x3x4x5x6x7x8x9"))),OR(7&gt;LEN(B875),MID(B875,7,1)=".",ISNUMBER(FIND("x"&amp;MID(B875,7,1),"x0x1x2x3x4x5x6x7x8x9"))),OR(8&gt;LEN(B875),MID(B875,8,1)=".",ISNUMBER(FIND("x"&amp;MID(B875,8,1),"x0x1x2x3x4x5x6x7x8x9"))),OR(9&gt;LEN(B875),MID(B875,9,1)=".",ISNUMBER(FIND("x"&amp;MID(B875,9,1),"x0x1x2x3x4x5x6x7x8x9"))),OR(10&gt;LEN(B875),MID(B875,10,1)=".",ISNUMBER(FIND("x"&amp;MID(B875,10,1),"x0x1x2x3x4x5x6x7x8x9"))),OR(AND(FIND(".",B875)=5,LEN(B875)-FIND(".",B875,FIND(".",B875)+1)&gt;=1,LEN(B875)-FIND(".",B875,FIND(".",B875)+1)&lt;=2),AND(LEN(B875)-FIND(".",B875,FIND(".",B875)+1)=4,FIND(".",B875)&gt;=2,FIND(".",B875)&lt;=3)),FIND(".",B875,FIND(".",B875)+1)-FIND(".",B875)&gt;=2,FIND(".",B875,FIND(".",B875)+1)-FIND(".",B875)&lt;=3,F875&gt;=2000,F875&lt;=2100,YEAR(I875)=F875,MONTH(I875)=G875,DAY(I875)=H875),I875,0)),0)</ns0:f>
        <ns0:v>0</ns0:v>
      </ns0:c>
      <ns0:c r="K875" s="0">
        <ns0:f>IFERROR(IF(ISNUMBER(Bookings!D875),"",TRIM(Bookings!D875&amp;"")),"")</ns0:f>
      </ns0:c>
      <ns0:c r="L875" s="0">
        <ns0:f>IFERROR(SUBSTITUTE(SUBSTITUTE(K875,"/","."),"-","."),"")</ns0:f>
      </ns0:c>
      <ns0:c r="M875" s="0">
        <ns0:f>IFERROR(LEFT(L875,FIND(".",L875)-1),"")</ns0:f>
      </ns0:c>
      <ns0:c r="N875" s="0">
        <ns0:f>IFERROR(MID(L875,FIND(".",L875)+1,FIND(".",L875,FIND(".",L875)+1)-FIND(".",L875)-1),"")</ns0:f>
      </ns0:c>
      <ns0:c r="O875" s="0">
        <ns0:f>IFERROR(MID(L875,FIND(".",L875,FIND(".",L875)+1)+1,99),"")</ns0:f>
        <ns0:v>99</ns0:v>
      </ns0:c>
      <ns0:c r="P875" s="0">
        <ns0:f>IFERROR(IF(FIND(".",L875)=5,--M875,--O875),0)</ns0:f>
        <ns0:v>0</ns0:v>
      </ns0:c>
      <ns0:c r="Q875" s="0">
        <ns0:f>IFERROR(--N875,0)</ns0:f>
        <ns0:v>0</ns0:v>
      </ns0:c>
      <ns0:c r="R875" s="0">
        <ns0:f>IFERROR(IF(FIND(".",L875)=5,--O875,--M875),0)</ns0:f>
        <ns0:v>0</ns0:v>
      </ns0:c>
      <ns0:c r="S875" s="0">
        <ns0:f>IFERROR(IF(AND(P875&gt;=2000,P875&lt;=2100,Q875&gt;=1,Q875&lt;=12,R875&gt;=1,R875&lt;=31),DATE(P875,Q875,R875),0),0)</ns0:f>
        <ns0:v>0</ns0:v>
      </ns0:c>
      <ns0:c r="T875" s="0">
        <ns0:f>IFERROR(IF(ISNUMBER(Bookings!D875),IF(AND(Bookings!D875=INT(Bookings!D875),Bookings!D875&gt;=DATE(2000,1,1),Bookings!D875&lt;=DATE(2100,12,31)),Bookings!D875,0),IF(AND(K875&lt;&gt;"",LEN("x"&amp;L875)-LEN(SUBSTITUTE("x"&amp;L875,".",""))=2,OR(1&gt;LEN(L875),MID(L875,1,1)=".",ISNUMBER(FIND("x"&amp;MID(L875,1,1),"x0x1x2x3x4x5x6x7x8x9"))),OR(2&gt;LEN(L875),MID(L875,2,1)=".",ISNUMBER(FIND("x"&amp;MID(L875,2,1),"x0x1x2x3x4x5x6x7x8x9"))),OR(3&gt;LEN(L875),MID(L875,3,1)=".",ISNUMBER(FIND("x"&amp;MID(L875,3,1),"x0x1x2x3x4x5x6x7x8x9"))),OR(4&gt;LEN(L875),MID(L875,4,1)=".",ISNUMBER(FIND("x"&amp;MID(L875,4,1),"x0x1x2x3x4x5x6x7x8x9"))),OR(5&gt;LEN(L875),MID(L875,5,1)=".",ISNUMBER(FIND("x"&amp;MID(L875,5,1),"x0x1x2x3x4x5x6x7x8x9"))),OR(6&gt;LEN(L875),MID(L875,6,1)=".",ISNUMBER(FIND("x"&amp;MID(L875,6,1),"x0x1x2x3x4x5x6x7x8x9"))),OR(7&gt;LEN(L875),MID(L875,7,1)=".",ISNUMBER(FIND("x"&amp;MID(L875,7,1),"x0x1x2x3x4x5x6x7x8x9"))),OR(8&gt;LEN(L875),MID(L875,8,1)=".",ISNUMBER(FIND("x"&amp;MID(L875,8,1),"x0x1x2x3x4x5x6x7x8x9"))),OR(9&gt;LEN(L875),MID(L875,9,1)=".",ISNUMBER(FIND("x"&amp;MID(L875,9,1),"x0x1x2x3x4x5x6x7x8x9"))),OR(10&gt;LEN(L875),MID(L875,10,1)=".",ISNUMBER(FIND("x"&amp;MID(L875,10,1),"x0x1x2x3x4x5x6x7x8x9"))),OR(AND(FIND(".",L875)=5,LEN(L875)-FIND(".",L875,FIND(".",L875)+1)&gt;=1,LEN(L875)-FIND(".",L875,FIND(".",L875)+1)&lt;=2),AND(LEN(L875)-FIND(".",L875,FIND(".",L875)+1)=4,FIND(".",L875)&gt;=2,FIND(".",L875)&lt;=3)),FIND(".",L875,FIND(".",L875)+1)-FIND(".",L875)&gt;=2,FIND(".",L875,FIND(".",L875)+1)-FIND(".",L875)&lt;=3,P875&gt;=2000,P875&lt;=2100,YEAR(S875)=P875,MONTH(S875)=Q875,DAY(S875)=R875),S875,0)),0)</ns0:f>
        <ns0:v>0</ns0:v>
      </ns0:c>
      <ns0:c r="U875" s="0" t="str">
        <ns0:f>IF(Bookings!C875="","Full day",Bookings!C875)</ns0:f>
        <ns0:v>Full day</ns0:v>
      </ns0:c>
      <ns0:c r="V875" s="0" t="str">
        <ns0:f>IF(Bookings!E875="","Full day",Bookings!E875)</ns0:f>
        <ns0:v>Full day</ns0:v>
      </ns0:c>
      <ns0:c r="W875" s="0">
        <ns0:f>IF(J875=0,0,J875+IF(U875="PM",1,0))</ns0:f>
        <ns0:v>0</ns0:v>
      </ns0:c>
      <ns0:c r="X875" s="0">
        <ns0:f>IF(T875=0,0,T875-IF(V875="PM",1,0))</ns0:f>
        <ns0:v>0</ns0:v>
      </ns0:c>
      <ns0:c r="Y875" s="0">
        <ns0:f>IF(J875=0,0,J875+IF(U875="AM",1,0))</ns0:f>
        <ns0:v>0</ns0:v>
      </ns0:c>
      <ns0:c r="Z875" s="0">
        <ns0:f>IF(T875=0,0,T875-IF(V875="AM",1,0))</ns0:f>
        <ns0:v>0</ns0:v>
      </ns0:c>
      <ns0:c r="AA875" s="0">
        <ns0:f>IFERROR(IF(AND(J875&gt;0,'_Engine'!C875&gt;0,MID('_Engine'!W875,WEEKDAY(J875,2),1)="W",COUNTIF(Settings!$F$18:$F$67,J875)=0),1,0),0)</ns0:f>
        <ns0:v>0</ns0:v>
      </ns0:c>
      <ns0:c r="AB875" s="0">
        <ns0:f>IFERROR(IF(AND(T875&gt;0,'_Engine'!C875&gt;0,MID('_Engine'!W875,WEEKDAY(T875,2),1)="W",COUNTIF(Settings!$F$18:$F$67,T875)=0),1,0),0)</ns0:f>
        <ns0:v>0</ns0:v>
      </ns0:c>
      <ns0:c r="AC875" s="0">
        <ns0:f>IF(AND(J875&gt;0,T875&gt;0,W875&lt;=X875),1,0)</ns0:f>
        <ns0:v>0</ns0:v>
      </ns0:c>
      <ns0:c r="AD875" s="0">
        <ns0:f>IF(AND(J875&gt;0,T875&gt;0,Y875&lt;=Z875),1,0)</ns0:f>
        <ns0:v>0</ns0:v>
      </ns0:c>
    </ns0:row>
    <ns0:row r="876">
      <ns0:c r="A876" s="0">
        <ns0:f>IFERROR(IF(ISNUMBER(Bookings!B876),"",TRIM(Bookings!B876&amp;"")),"")</ns0:f>
      </ns0:c>
      <ns0:c r="B876" s="0">
        <ns0:f>IFERROR(SUBSTITUTE(SUBSTITUTE(A876,"/","."),"-","."),"")</ns0:f>
      </ns0:c>
      <ns0:c r="C876" s="0">
        <ns0:f>IFERROR(LEFT(B876,FIND(".",B876)-1),"")</ns0:f>
      </ns0:c>
      <ns0:c r="D876" s="0">
        <ns0:f>IFERROR(MID(B876,FIND(".",B876)+1,FIND(".",B876,FIND(".",B876)+1)-FIND(".",B876)-1),"")</ns0:f>
      </ns0:c>
      <ns0:c r="E876" s="0">
        <ns0:f>IFERROR(MID(B876,FIND(".",B876,FIND(".",B876)+1)+1,99),"")</ns0:f>
        <ns0:v>99</ns0:v>
      </ns0:c>
      <ns0:c r="F876" s="0">
        <ns0:f>IFERROR(IF(FIND(".",B876)=5,--C876,--E876),0)</ns0:f>
        <ns0:v>0</ns0:v>
      </ns0:c>
      <ns0:c r="G876" s="0">
        <ns0:f>IFERROR(--D876,0)</ns0:f>
        <ns0:v>0</ns0:v>
      </ns0:c>
      <ns0:c r="H876" s="0">
        <ns0:f>IFERROR(IF(FIND(".",B876)=5,--E876,--C876),0)</ns0:f>
        <ns0:v>0</ns0:v>
      </ns0:c>
      <ns0:c r="I876" s="0">
        <ns0:f>IFERROR(IF(AND(F876&gt;=2000,F876&lt;=2100,G876&gt;=1,G876&lt;=12,H876&gt;=1,H876&lt;=31),DATE(F876,G876,H876),0),0)</ns0:f>
        <ns0:v>0</ns0:v>
      </ns0:c>
      <ns0:c r="J876" s="0">
        <ns0:f>IFERROR(IF(ISNUMBER(Bookings!B876),IF(AND(Bookings!B876=INT(Bookings!B876),Bookings!B876&gt;=DATE(2000,1,1),Bookings!B876&lt;=DATE(2100,12,31)),Bookings!B876,0),IF(AND(A876&lt;&gt;"",LEN("x"&amp;B876)-LEN(SUBSTITUTE("x"&amp;B876,".",""))=2,OR(1&gt;LEN(B876),MID(B876,1,1)=".",ISNUMBER(FIND("x"&amp;MID(B876,1,1),"x0x1x2x3x4x5x6x7x8x9"))),OR(2&gt;LEN(B876),MID(B876,2,1)=".",ISNUMBER(FIND("x"&amp;MID(B876,2,1),"x0x1x2x3x4x5x6x7x8x9"))),OR(3&gt;LEN(B876),MID(B876,3,1)=".",ISNUMBER(FIND("x"&amp;MID(B876,3,1),"x0x1x2x3x4x5x6x7x8x9"))),OR(4&gt;LEN(B876),MID(B876,4,1)=".",ISNUMBER(FIND("x"&amp;MID(B876,4,1),"x0x1x2x3x4x5x6x7x8x9"))),OR(5&gt;LEN(B876),MID(B876,5,1)=".",ISNUMBER(FIND("x"&amp;MID(B876,5,1),"x0x1x2x3x4x5x6x7x8x9"))),OR(6&gt;LEN(B876),MID(B876,6,1)=".",ISNUMBER(FIND("x"&amp;MID(B876,6,1),"x0x1x2x3x4x5x6x7x8x9"))),OR(7&gt;LEN(B876),MID(B876,7,1)=".",ISNUMBER(FIND("x"&amp;MID(B876,7,1),"x0x1x2x3x4x5x6x7x8x9"))),OR(8&gt;LEN(B876),MID(B876,8,1)=".",ISNUMBER(FIND("x"&amp;MID(B876,8,1),"x0x1x2x3x4x5x6x7x8x9"))),OR(9&gt;LEN(B876),MID(B876,9,1)=".",ISNUMBER(FIND("x"&amp;MID(B876,9,1),"x0x1x2x3x4x5x6x7x8x9"))),OR(10&gt;LEN(B876),MID(B876,10,1)=".",ISNUMBER(FIND("x"&amp;MID(B876,10,1),"x0x1x2x3x4x5x6x7x8x9"))),OR(AND(FIND(".",B876)=5,LEN(B876)-FIND(".",B876,FIND(".",B876)+1)&gt;=1,LEN(B876)-FIND(".",B876,FIND(".",B876)+1)&lt;=2),AND(LEN(B876)-FIND(".",B876,FIND(".",B876)+1)=4,FIND(".",B876)&gt;=2,FIND(".",B876)&lt;=3)),FIND(".",B876,FIND(".",B876)+1)-FIND(".",B876)&gt;=2,FIND(".",B876,FIND(".",B876)+1)-FIND(".",B876)&lt;=3,F876&gt;=2000,F876&lt;=2100,YEAR(I876)=F876,MONTH(I876)=G876,DAY(I876)=H876),I876,0)),0)</ns0:f>
        <ns0:v>0</ns0:v>
      </ns0:c>
      <ns0:c r="K876" s="0">
        <ns0:f>IFERROR(IF(ISNUMBER(Bookings!D876),"",TRIM(Bookings!D876&amp;"")),"")</ns0:f>
      </ns0:c>
      <ns0:c r="L876" s="0">
        <ns0:f>IFERROR(SUBSTITUTE(SUBSTITUTE(K876,"/","."),"-","."),"")</ns0:f>
      </ns0:c>
      <ns0:c r="M876" s="0">
        <ns0:f>IFERROR(LEFT(L876,FIND(".",L876)-1),"")</ns0:f>
      </ns0:c>
      <ns0:c r="N876" s="0">
        <ns0:f>IFERROR(MID(L876,FIND(".",L876)+1,FIND(".",L876,FIND(".",L876)+1)-FIND(".",L876)-1),"")</ns0:f>
      </ns0:c>
      <ns0:c r="O876" s="0">
        <ns0:f>IFERROR(MID(L876,FIND(".",L876,FIND(".",L876)+1)+1,99),"")</ns0:f>
        <ns0:v>99</ns0:v>
      </ns0:c>
      <ns0:c r="P876" s="0">
        <ns0:f>IFERROR(IF(FIND(".",L876)=5,--M876,--O876),0)</ns0:f>
        <ns0:v>0</ns0:v>
      </ns0:c>
      <ns0:c r="Q876" s="0">
        <ns0:f>IFERROR(--N876,0)</ns0:f>
        <ns0:v>0</ns0:v>
      </ns0:c>
      <ns0:c r="R876" s="0">
        <ns0:f>IFERROR(IF(FIND(".",L876)=5,--O876,--M876),0)</ns0:f>
        <ns0:v>0</ns0:v>
      </ns0:c>
      <ns0:c r="S876" s="0">
        <ns0:f>IFERROR(IF(AND(P876&gt;=2000,P876&lt;=2100,Q876&gt;=1,Q876&lt;=12,R876&gt;=1,R876&lt;=31),DATE(P876,Q876,R876),0),0)</ns0:f>
        <ns0:v>0</ns0:v>
      </ns0:c>
      <ns0:c r="T876" s="0">
        <ns0:f>IFERROR(IF(ISNUMBER(Bookings!D876),IF(AND(Bookings!D876=INT(Bookings!D876),Bookings!D876&gt;=DATE(2000,1,1),Bookings!D876&lt;=DATE(2100,12,31)),Bookings!D876,0),IF(AND(K876&lt;&gt;"",LEN("x"&amp;L876)-LEN(SUBSTITUTE("x"&amp;L876,".",""))=2,OR(1&gt;LEN(L876),MID(L876,1,1)=".",ISNUMBER(FIND("x"&amp;MID(L876,1,1),"x0x1x2x3x4x5x6x7x8x9"))),OR(2&gt;LEN(L876),MID(L876,2,1)=".",ISNUMBER(FIND("x"&amp;MID(L876,2,1),"x0x1x2x3x4x5x6x7x8x9"))),OR(3&gt;LEN(L876),MID(L876,3,1)=".",ISNUMBER(FIND("x"&amp;MID(L876,3,1),"x0x1x2x3x4x5x6x7x8x9"))),OR(4&gt;LEN(L876),MID(L876,4,1)=".",ISNUMBER(FIND("x"&amp;MID(L876,4,1),"x0x1x2x3x4x5x6x7x8x9"))),OR(5&gt;LEN(L876),MID(L876,5,1)=".",ISNUMBER(FIND("x"&amp;MID(L876,5,1),"x0x1x2x3x4x5x6x7x8x9"))),OR(6&gt;LEN(L876),MID(L876,6,1)=".",ISNUMBER(FIND("x"&amp;MID(L876,6,1),"x0x1x2x3x4x5x6x7x8x9"))),OR(7&gt;LEN(L876),MID(L876,7,1)=".",ISNUMBER(FIND("x"&amp;MID(L876,7,1),"x0x1x2x3x4x5x6x7x8x9"))),OR(8&gt;LEN(L876),MID(L876,8,1)=".",ISNUMBER(FIND("x"&amp;MID(L876,8,1),"x0x1x2x3x4x5x6x7x8x9"))),OR(9&gt;LEN(L876),MID(L876,9,1)=".",ISNUMBER(FIND("x"&amp;MID(L876,9,1),"x0x1x2x3x4x5x6x7x8x9"))),OR(10&gt;LEN(L876),MID(L876,10,1)=".",ISNUMBER(FIND("x"&amp;MID(L876,10,1),"x0x1x2x3x4x5x6x7x8x9"))),OR(AND(FIND(".",L876)=5,LEN(L876)-FIND(".",L876,FIND(".",L876)+1)&gt;=1,LEN(L876)-FIND(".",L876,FIND(".",L876)+1)&lt;=2),AND(LEN(L876)-FIND(".",L876,FIND(".",L876)+1)=4,FIND(".",L876)&gt;=2,FIND(".",L876)&lt;=3)),FIND(".",L876,FIND(".",L876)+1)-FIND(".",L876)&gt;=2,FIND(".",L876,FIND(".",L876)+1)-FIND(".",L876)&lt;=3,P876&gt;=2000,P876&lt;=2100,YEAR(S876)=P876,MONTH(S876)=Q876,DAY(S876)=R876),S876,0)),0)</ns0:f>
        <ns0:v>0</ns0:v>
      </ns0:c>
      <ns0:c r="U876" s="0" t="str">
        <ns0:f>IF(Bookings!C876="","Full day",Bookings!C876)</ns0:f>
        <ns0:v>Full day</ns0:v>
      </ns0:c>
      <ns0:c r="V876" s="0" t="str">
        <ns0:f>IF(Bookings!E876="","Full day",Bookings!E876)</ns0:f>
        <ns0:v>Full day</ns0:v>
      </ns0:c>
      <ns0:c r="W876" s="0">
        <ns0:f>IF(J876=0,0,J876+IF(U876="PM",1,0))</ns0:f>
        <ns0:v>0</ns0:v>
      </ns0:c>
      <ns0:c r="X876" s="0">
        <ns0:f>IF(T876=0,0,T876-IF(V876="PM",1,0))</ns0:f>
        <ns0:v>0</ns0:v>
      </ns0:c>
      <ns0:c r="Y876" s="0">
        <ns0:f>IF(J876=0,0,J876+IF(U876="AM",1,0))</ns0:f>
        <ns0:v>0</ns0:v>
      </ns0:c>
      <ns0:c r="Z876" s="0">
        <ns0:f>IF(T876=0,0,T876-IF(V876="AM",1,0))</ns0:f>
        <ns0:v>0</ns0:v>
      </ns0:c>
      <ns0:c r="AA876" s="0">
        <ns0:f>IFERROR(IF(AND(J876&gt;0,'_Engine'!C876&gt;0,MID('_Engine'!W876,WEEKDAY(J876,2),1)="W",COUNTIF(Settings!$F$18:$F$67,J876)=0),1,0),0)</ns0:f>
        <ns0:v>0</ns0:v>
      </ns0:c>
      <ns0:c r="AB876" s="0">
        <ns0:f>IFERROR(IF(AND(T876&gt;0,'_Engine'!C876&gt;0,MID('_Engine'!W876,WEEKDAY(T876,2),1)="W",COUNTIF(Settings!$F$18:$F$67,T876)=0),1,0),0)</ns0:f>
        <ns0:v>0</ns0:v>
      </ns0:c>
      <ns0:c r="AC876" s="0">
        <ns0:f>IF(AND(J876&gt;0,T876&gt;0,W876&lt;=X876),1,0)</ns0:f>
        <ns0:v>0</ns0:v>
      </ns0:c>
      <ns0:c r="AD876" s="0">
        <ns0:f>IF(AND(J876&gt;0,T876&gt;0,Y876&lt;=Z876),1,0)</ns0:f>
        <ns0:v>0</ns0:v>
      </ns0:c>
    </ns0:row>
    <ns0:row r="877">
      <ns0:c r="A877" s="0">
        <ns0:f>IFERROR(IF(ISNUMBER(Bookings!B877),"",TRIM(Bookings!B877&amp;"")),"")</ns0:f>
      </ns0:c>
      <ns0:c r="B877" s="0">
        <ns0:f>IFERROR(SUBSTITUTE(SUBSTITUTE(A877,"/","."),"-","."),"")</ns0:f>
      </ns0:c>
      <ns0:c r="C877" s="0">
        <ns0:f>IFERROR(LEFT(B877,FIND(".",B877)-1),"")</ns0:f>
      </ns0:c>
      <ns0:c r="D877" s="0">
        <ns0:f>IFERROR(MID(B877,FIND(".",B877)+1,FIND(".",B877,FIND(".",B877)+1)-FIND(".",B877)-1),"")</ns0:f>
      </ns0:c>
      <ns0:c r="E877" s="0">
        <ns0:f>IFERROR(MID(B877,FIND(".",B877,FIND(".",B877)+1)+1,99),"")</ns0:f>
        <ns0:v>99</ns0:v>
      </ns0:c>
      <ns0:c r="F877" s="0">
        <ns0:f>IFERROR(IF(FIND(".",B877)=5,--C877,--E877),0)</ns0:f>
        <ns0:v>0</ns0:v>
      </ns0:c>
      <ns0:c r="G877" s="0">
        <ns0:f>IFERROR(--D877,0)</ns0:f>
        <ns0:v>0</ns0:v>
      </ns0:c>
      <ns0:c r="H877" s="0">
        <ns0:f>IFERROR(IF(FIND(".",B877)=5,--E877,--C877),0)</ns0:f>
        <ns0:v>0</ns0:v>
      </ns0:c>
      <ns0:c r="I877" s="0">
        <ns0:f>IFERROR(IF(AND(F877&gt;=2000,F877&lt;=2100,G877&gt;=1,G877&lt;=12,H877&gt;=1,H877&lt;=31),DATE(F877,G877,H877),0),0)</ns0:f>
        <ns0:v>0</ns0:v>
      </ns0:c>
      <ns0:c r="J877" s="0">
        <ns0:f>IFERROR(IF(ISNUMBER(Bookings!B877),IF(AND(Bookings!B877=INT(Bookings!B877),Bookings!B877&gt;=DATE(2000,1,1),Bookings!B877&lt;=DATE(2100,12,31)),Bookings!B877,0),IF(AND(A877&lt;&gt;"",LEN("x"&amp;B877)-LEN(SUBSTITUTE("x"&amp;B877,".",""))=2,OR(1&gt;LEN(B877),MID(B877,1,1)=".",ISNUMBER(FIND("x"&amp;MID(B877,1,1),"x0x1x2x3x4x5x6x7x8x9"))),OR(2&gt;LEN(B877),MID(B877,2,1)=".",ISNUMBER(FIND("x"&amp;MID(B877,2,1),"x0x1x2x3x4x5x6x7x8x9"))),OR(3&gt;LEN(B877),MID(B877,3,1)=".",ISNUMBER(FIND("x"&amp;MID(B877,3,1),"x0x1x2x3x4x5x6x7x8x9"))),OR(4&gt;LEN(B877),MID(B877,4,1)=".",ISNUMBER(FIND("x"&amp;MID(B877,4,1),"x0x1x2x3x4x5x6x7x8x9"))),OR(5&gt;LEN(B877),MID(B877,5,1)=".",ISNUMBER(FIND("x"&amp;MID(B877,5,1),"x0x1x2x3x4x5x6x7x8x9"))),OR(6&gt;LEN(B877),MID(B877,6,1)=".",ISNUMBER(FIND("x"&amp;MID(B877,6,1),"x0x1x2x3x4x5x6x7x8x9"))),OR(7&gt;LEN(B877),MID(B877,7,1)=".",ISNUMBER(FIND("x"&amp;MID(B877,7,1),"x0x1x2x3x4x5x6x7x8x9"))),OR(8&gt;LEN(B877),MID(B877,8,1)=".",ISNUMBER(FIND("x"&amp;MID(B877,8,1),"x0x1x2x3x4x5x6x7x8x9"))),OR(9&gt;LEN(B877),MID(B877,9,1)=".",ISNUMBER(FIND("x"&amp;MID(B877,9,1),"x0x1x2x3x4x5x6x7x8x9"))),OR(10&gt;LEN(B877),MID(B877,10,1)=".",ISNUMBER(FIND("x"&amp;MID(B877,10,1),"x0x1x2x3x4x5x6x7x8x9"))),OR(AND(FIND(".",B877)=5,LEN(B877)-FIND(".",B877,FIND(".",B877)+1)&gt;=1,LEN(B877)-FIND(".",B877,FIND(".",B877)+1)&lt;=2),AND(LEN(B877)-FIND(".",B877,FIND(".",B877)+1)=4,FIND(".",B877)&gt;=2,FIND(".",B877)&lt;=3)),FIND(".",B877,FIND(".",B877)+1)-FIND(".",B877)&gt;=2,FIND(".",B877,FIND(".",B877)+1)-FIND(".",B877)&lt;=3,F877&gt;=2000,F877&lt;=2100,YEAR(I877)=F877,MONTH(I877)=G877,DAY(I877)=H877),I877,0)),0)</ns0:f>
        <ns0:v>0</ns0:v>
      </ns0:c>
      <ns0:c r="K877" s="0">
        <ns0:f>IFERROR(IF(ISNUMBER(Bookings!D877),"",TRIM(Bookings!D877&amp;"")),"")</ns0:f>
      </ns0:c>
      <ns0:c r="L877" s="0">
        <ns0:f>IFERROR(SUBSTITUTE(SUBSTITUTE(K877,"/","."),"-","."),"")</ns0:f>
      </ns0:c>
      <ns0:c r="M877" s="0">
        <ns0:f>IFERROR(LEFT(L877,FIND(".",L877)-1),"")</ns0:f>
      </ns0:c>
      <ns0:c r="N877" s="0">
        <ns0:f>IFERROR(MID(L877,FIND(".",L877)+1,FIND(".",L877,FIND(".",L877)+1)-FIND(".",L877)-1),"")</ns0:f>
      </ns0:c>
      <ns0:c r="O877" s="0">
        <ns0:f>IFERROR(MID(L877,FIND(".",L877,FIND(".",L877)+1)+1,99),"")</ns0:f>
        <ns0:v>99</ns0:v>
      </ns0:c>
      <ns0:c r="P877" s="0">
        <ns0:f>IFERROR(IF(FIND(".",L877)=5,--M877,--O877),0)</ns0:f>
        <ns0:v>0</ns0:v>
      </ns0:c>
      <ns0:c r="Q877" s="0">
        <ns0:f>IFERROR(--N877,0)</ns0:f>
        <ns0:v>0</ns0:v>
      </ns0:c>
      <ns0:c r="R877" s="0">
        <ns0:f>IFERROR(IF(FIND(".",L877)=5,--O877,--M877),0)</ns0:f>
        <ns0:v>0</ns0:v>
      </ns0:c>
      <ns0:c r="S877" s="0">
        <ns0:f>IFERROR(IF(AND(P877&gt;=2000,P877&lt;=2100,Q877&gt;=1,Q877&lt;=12,R877&gt;=1,R877&lt;=31),DATE(P877,Q877,R877),0),0)</ns0:f>
        <ns0:v>0</ns0:v>
      </ns0:c>
      <ns0:c r="T877" s="0">
        <ns0:f>IFERROR(IF(ISNUMBER(Bookings!D877),IF(AND(Bookings!D877=INT(Bookings!D877),Bookings!D877&gt;=DATE(2000,1,1),Bookings!D877&lt;=DATE(2100,12,31)),Bookings!D877,0),IF(AND(K877&lt;&gt;"",LEN("x"&amp;L877)-LEN(SUBSTITUTE("x"&amp;L877,".",""))=2,OR(1&gt;LEN(L877),MID(L877,1,1)=".",ISNUMBER(FIND("x"&amp;MID(L877,1,1),"x0x1x2x3x4x5x6x7x8x9"))),OR(2&gt;LEN(L877),MID(L877,2,1)=".",ISNUMBER(FIND("x"&amp;MID(L877,2,1),"x0x1x2x3x4x5x6x7x8x9"))),OR(3&gt;LEN(L877),MID(L877,3,1)=".",ISNUMBER(FIND("x"&amp;MID(L877,3,1),"x0x1x2x3x4x5x6x7x8x9"))),OR(4&gt;LEN(L877),MID(L877,4,1)=".",ISNUMBER(FIND("x"&amp;MID(L877,4,1),"x0x1x2x3x4x5x6x7x8x9"))),OR(5&gt;LEN(L877),MID(L877,5,1)=".",ISNUMBER(FIND("x"&amp;MID(L877,5,1),"x0x1x2x3x4x5x6x7x8x9"))),OR(6&gt;LEN(L877),MID(L877,6,1)=".",ISNUMBER(FIND("x"&amp;MID(L877,6,1),"x0x1x2x3x4x5x6x7x8x9"))),OR(7&gt;LEN(L877),MID(L877,7,1)=".",ISNUMBER(FIND("x"&amp;MID(L877,7,1),"x0x1x2x3x4x5x6x7x8x9"))),OR(8&gt;LEN(L877),MID(L877,8,1)=".",ISNUMBER(FIND("x"&amp;MID(L877,8,1),"x0x1x2x3x4x5x6x7x8x9"))),OR(9&gt;LEN(L877),MID(L877,9,1)=".",ISNUMBER(FIND("x"&amp;MID(L877,9,1),"x0x1x2x3x4x5x6x7x8x9"))),OR(10&gt;LEN(L877),MID(L877,10,1)=".",ISNUMBER(FIND("x"&amp;MID(L877,10,1),"x0x1x2x3x4x5x6x7x8x9"))),OR(AND(FIND(".",L877)=5,LEN(L877)-FIND(".",L877,FIND(".",L877)+1)&gt;=1,LEN(L877)-FIND(".",L877,FIND(".",L877)+1)&lt;=2),AND(LEN(L877)-FIND(".",L877,FIND(".",L877)+1)=4,FIND(".",L877)&gt;=2,FIND(".",L877)&lt;=3)),FIND(".",L877,FIND(".",L877)+1)-FIND(".",L877)&gt;=2,FIND(".",L877,FIND(".",L877)+1)-FIND(".",L877)&lt;=3,P877&gt;=2000,P877&lt;=2100,YEAR(S877)=P877,MONTH(S877)=Q877,DAY(S877)=R877),S877,0)),0)</ns0:f>
        <ns0:v>0</ns0:v>
      </ns0:c>
      <ns0:c r="U877" s="0" t="str">
        <ns0:f>IF(Bookings!C877="","Full day",Bookings!C877)</ns0:f>
        <ns0:v>Full day</ns0:v>
      </ns0:c>
      <ns0:c r="V877" s="0" t="str">
        <ns0:f>IF(Bookings!E877="","Full day",Bookings!E877)</ns0:f>
        <ns0:v>Full day</ns0:v>
      </ns0:c>
      <ns0:c r="W877" s="0">
        <ns0:f>IF(J877=0,0,J877+IF(U877="PM",1,0))</ns0:f>
        <ns0:v>0</ns0:v>
      </ns0:c>
      <ns0:c r="X877" s="0">
        <ns0:f>IF(T877=0,0,T877-IF(V877="PM",1,0))</ns0:f>
        <ns0:v>0</ns0:v>
      </ns0:c>
      <ns0:c r="Y877" s="0">
        <ns0:f>IF(J877=0,0,J877+IF(U877="AM",1,0))</ns0:f>
        <ns0:v>0</ns0:v>
      </ns0:c>
      <ns0:c r="Z877" s="0">
        <ns0:f>IF(T877=0,0,T877-IF(V877="AM",1,0))</ns0:f>
        <ns0:v>0</ns0:v>
      </ns0:c>
      <ns0:c r="AA877" s="0">
        <ns0:f>IFERROR(IF(AND(J877&gt;0,'_Engine'!C877&gt;0,MID('_Engine'!W877,WEEKDAY(J877,2),1)="W",COUNTIF(Settings!$F$18:$F$67,J877)=0),1,0),0)</ns0:f>
        <ns0:v>0</ns0:v>
      </ns0:c>
      <ns0:c r="AB877" s="0">
        <ns0:f>IFERROR(IF(AND(T877&gt;0,'_Engine'!C877&gt;0,MID('_Engine'!W877,WEEKDAY(T877,2),1)="W",COUNTIF(Settings!$F$18:$F$67,T877)=0),1,0),0)</ns0:f>
        <ns0:v>0</ns0:v>
      </ns0:c>
      <ns0:c r="AC877" s="0">
        <ns0:f>IF(AND(J877&gt;0,T877&gt;0,W877&lt;=X877),1,0)</ns0:f>
        <ns0:v>0</ns0:v>
      </ns0:c>
      <ns0:c r="AD877" s="0">
        <ns0:f>IF(AND(J877&gt;0,T877&gt;0,Y877&lt;=Z877),1,0)</ns0:f>
        <ns0:v>0</ns0:v>
      </ns0:c>
    </ns0:row>
    <ns0:row r="878">
      <ns0:c r="A878" s="0">
        <ns0:f>IFERROR(IF(ISNUMBER(Bookings!B878),"",TRIM(Bookings!B878&amp;"")),"")</ns0:f>
      </ns0:c>
      <ns0:c r="B878" s="0">
        <ns0:f>IFERROR(SUBSTITUTE(SUBSTITUTE(A878,"/","."),"-","."),"")</ns0:f>
      </ns0:c>
      <ns0:c r="C878" s="0">
        <ns0:f>IFERROR(LEFT(B878,FIND(".",B878)-1),"")</ns0:f>
      </ns0:c>
      <ns0:c r="D878" s="0">
        <ns0:f>IFERROR(MID(B878,FIND(".",B878)+1,FIND(".",B878,FIND(".",B878)+1)-FIND(".",B878)-1),"")</ns0:f>
      </ns0:c>
      <ns0:c r="E878" s="0">
        <ns0:f>IFERROR(MID(B878,FIND(".",B878,FIND(".",B878)+1)+1,99),"")</ns0:f>
        <ns0:v>99</ns0:v>
      </ns0:c>
      <ns0:c r="F878" s="0">
        <ns0:f>IFERROR(IF(FIND(".",B878)=5,--C878,--E878),0)</ns0:f>
        <ns0:v>0</ns0:v>
      </ns0:c>
      <ns0:c r="G878" s="0">
        <ns0:f>IFERROR(--D878,0)</ns0:f>
        <ns0:v>0</ns0:v>
      </ns0:c>
      <ns0:c r="H878" s="0">
        <ns0:f>IFERROR(IF(FIND(".",B878)=5,--E878,--C878),0)</ns0:f>
        <ns0:v>0</ns0:v>
      </ns0:c>
      <ns0:c r="I878" s="0">
        <ns0:f>IFERROR(IF(AND(F878&gt;=2000,F878&lt;=2100,G878&gt;=1,G878&lt;=12,H878&gt;=1,H878&lt;=31),DATE(F878,G878,H878),0),0)</ns0:f>
        <ns0:v>0</ns0:v>
      </ns0:c>
      <ns0:c r="J878" s="0">
        <ns0:f>IFERROR(IF(ISNUMBER(Bookings!B878),IF(AND(Bookings!B878=INT(Bookings!B878),Bookings!B878&gt;=DATE(2000,1,1),Bookings!B878&lt;=DATE(2100,12,31)),Bookings!B878,0),IF(AND(A878&lt;&gt;"",LEN("x"&amp;B878)-LEN(SUBSTITUTE("x"&amp;B878,".",""))=2,OR(1&gt;LEN(B878),MID(B878,1,1)=".",ISNUMBER(FIND("x"&amp;MID(B878,1,1),"x0x1x2x3x4x5x6x7x8x9"))),OR(2&gt;LEN(B878),MID(B878,2,1)=".",ISNUMBER(FIND("x"&amp;MID(B878,2,1),"x0x1x2x3x4x5x6x7x8x9"))),OR(3&gt;LEN(B878),MID(B878,3,1)=".",ISNUMBER(FIND("x"&amp;MID(B878,3,1),"x0x1x2x3x4x5x6x7x8x9"))),OR(4&gt;LEN(B878),MID(B878,4,1)=".",ISNUMBER(FIND("x"&amp;MID(B878,4,1),"x0x1x2x3x4x5x6x7x8x9"))),OR(5&gt;LEN(B878),MID(B878,5,1)=".",ISNUMBER(FIND("x"&amp;MID(B878,5,1),"x0x1x2x3x4x5x6x7x8x9"))),OR(6&gt;LEN(B878),MID(B878,6,1)=".",ISNUMBER(FIND("x"&amp;MID(B878,6,1),"x0x1x2x3x4x5x6x7x8x9"))),OR(7&gt;LEN(B878),MID(B878,7,1)=".",ISNUMBER(FIND("x"&amp;MID(B878,7,1),"x0x1x2x3x4x5x6x7x8x9"))),OR(8&gt;LEN(B878),MID(B878,8,1)=".",ISNUMBER(FIND("x"&amp;MID(B878,8,1),"x0x1x2x3x4x5x6x7x8x9"))),OR(9&gt;LEN(B878),MID(B878,9,1)=".",ISNUMBER(FIND("x"&amp;MID(B878,9,1),"x0x1x2x3x4x5x6x7x8x9"))),OR(10&gt;LEN(B878),MID(B878,10,1)=".",ISNUMBER(FIND("x"&amp;MID(B878,10,1),"x0x1x2x3x4x5x6x7x8x9"))),OR(AND(FIND(".",B878)=5,LEN(B878)-FIND(".",B878,FIND(".",B878)+1)&gt;=1,LEN(B878)-FIND(".",B878,FIND(".",B878)+1)&lt;=2),AND(LEN(B878)-FIND(".",B878,FIND(".",B878)+1)=4,FIND(".",B878)&gt;=2,FIND(".",B878)&lt;=3)),FIND(".",B878,FIND(".",B878)+1)-FIND(".",B878)&gt;=2,FIND(".",B878,FIND(".",B878)+1)-FIND(".",B878)&lt;=3,F878&gt;=2000,F878&lt;=2100,YEAR(I878)=F878,MONTH(I878)=G878,DAY(I878)=H878),I878,0)),0)</ns0:f>
        <ns0:v>0</ns0:v>
      </ns0:c>
      <ns0:c r="K878" s="0">
        <ns0:f>IFERROR(IF(ISNUMBER(Bookings!D878),"",TRIM(Bookings!D878&amp;"")),"")</ns0:f>
      </ns0:c>
      <ns0:c r="L878" s="0">
        <ns0:f>IFERROR(SUBSTITUTE(SUBSTITUTE(K878,"/","."),"-","."),"")</ns0:f>
      </ns0:c>
      <ns0:c r="M878" s="0">
        <ns0:f>IFERROR(LEFT(L878,FIND(".",L878)-1),"")</ns0:f>
      </ns0:c>
      <ns0:c r="N878" s="0">
        <ns0:f>IFERROR(MID(L878,FIND(".",L878)+1,FIND(".",L878,FIND(".",L878)+1)-FIND(".",L878)-1),"")</ns0:f>
      </ns0:c>
      <ns0:c r="O878" s="0">
        <ns0:f>IFERROR(MID(L878,FIND(".",L878,FIND(".",L878)+1)+1,99),"")</ns0:f>
        <ns0:v>99</ns0:v>
      </ns0:c>
      <ns0:c r="P878" s="0">
        <ns0:f>IFERROR(IF(FIND(".",L878)=5,--M878,--O878),0)</ns0:f>
        <ns0:v>0</ns0:v>
      </ns0:c>
      <ns0:c r="Q878" s="0">
        <ns0:f>IFERROR(--N878,0)</ns0:f>
        <ns0:v>0</ns0:v>
      </ns0:c>
      <ns0:c r="R878" s="0">
        <ns0:f>IFERROR(IF(FIND(".",L878)=5,--O878,--M878),0)</ns0:f>
        <ns0:v>0</ns0:v>
      </ns0:c>
      <ns0:c r="S878" s="0">
        <ns0:f>IFERROR(IF(AND(P878&gt;=2000,P878&lt;=2100,Q878&gt;=1,Q878&lt;=12,R878&gt;=1,R878&lt;=31),DATE(P878,Q878,R878),0),0)</ns0:f>
        <ns0:v>0</ns0:v>
      </ns0:c>
      <ns0:c r="T878" s="0">
        <ns0:f>IFERROR(IF(ISNUMBER(Bookings!D878),IF(AND(Bookings!D878=INT(Bookings!D878),Bookings!D878&gt;=DATE(2000,1,1),Bookings!D878&lt;=DATE(2100,12,31)),Bookings!D878,0),IF(AND(K878&lt;&gt;"",LEN("x"&amp;L878)-LEN(SUBSTITUTE("x"&amp;L878,".",""))=2,OR(1&gt;LEN(L878),MID(L878,1,1)=".",ISNUMBER(FIND("x"&amp;MID(L878,1,1),"x0x1x2x3x4x5x6x7x8x9"))),OR(2&gt;LEN(L878),MID(L878,2,1)=".",ISNUMBER(FIND("x"&amp;MID(L878,2,1),"x0x1x2x3x4x5x6x7x8x9"))),OR(3&gt;LEN(L878),MID(L878,3,1)=".",ISNUMBER(FIND("x"&amp;MID(L878,3,1),"x0x1x2x3x4x5x6x7x8x9"))),OR(4&gt;LEN(L878),MID(L878,4,1)=".",ISNUMBER(FIND("x"&amp;MID(L878,4,1),"x0x1x2x3x4x5x6x7x8x9"))),OR(5&gt;LEN(L878),MID(L878,5,1)=".",ISNUMBER(FIND("x"&amp;MID(L878,5,1),"x0x1x2x3x4x5x6x7x8x9"))),OR(6&gt;LEN(L878),MID(L878,6,1)=".",ISNUMBER(FIND("x"&amp;MID(L878,6,1),"x0x1x2x3x4x5x6x7x8x9"))),OR(7&gt;LEN(L878),MID(L878,7,1)=".",ISNUMBER(FIND("x"&amp;MID(L878,7,1),"x0x1x2x3x4x5x6x7x8x9"))),OR(8&gt;LEN(L878),MID(L878,8,1)=".",ISNUMBER(FIND("x"&amp;MID(L878,8,1),"x0x1x2x3x4x5x6x7x8x9"))),OR(9&gt;LEN(L878),MID(L878,9,1)=".",ISNUMBER(FIND("x"&amp;MID(L878,9,1),"x0x1x2x3x4x5x6x7x8x9"))),OR(10&gt;LEN(L878),MID(L878,10,1)=".",ISNUMBER(FIND("x"&amp;MID(L878,10,1),"x0x1x2x3x4x5x6x7x8x9"))),OR(AND(FIND(".",L878)=5,LEN(L878)-FIND(".",L878,FIND(".",L878)+1)&gt;=1,LEN(L878)-FIND(".",L878,FIND(".",L878)+1)&lt;=2),AND(LEN(L878)-FIND(".",L878,FIND(".",L878)+1)=4,FIND(".",L878)&gt;=2,FIND(".",L878)&lt;=3)),FIND(".",L878,FIND(".",L878)+1)-FIND(".",L878)&gt;=2,FIND(".",L878,FIND(".",L878)+1)-FIND(".",L878)&lt;=3,P878&gt;=2000,P878&lt;=2100,YEAR(S878)=P878,MONTH(S878)=Q878,DAY(S878)=R878),S878,0)),0)</ns0:f>
        <ns0:v>0</ns0:v>
      </ns0:c>
      <ns0:c r="U878" s="0" t="str">
        <ns0:f>IF(Bookings!C878="","Full day",Bookings!C878)</ns0:f>
        <ns0:v>Full day</ns0:v>
      </ns0:c>
      <ns0:c r="V878" s="0" t="str">
        <ns0:f>IF(Bookings!E878="","Full day",Bookings!E878)</ns0:f>
        <ns0:v>Full day</ns0:v>
      </ns0:c>
      <ns0:c r="W878" s="0">
        <ns0:f>IF(J878=0,0,J878+IF(U878="PM",1,0))</ns0:f>
        <ns0:v>0</ns0:v>
      </ns0:c>
      <ns0:c r="X878" s="0">
        <ns0:f>IF(T878=0,0,T878-IF(V878="PM",1,0))</ns0:f>
        <ns0:v>0</ns0:v>
      </ns0:c>
      <ns0:c r="Y878" s="0">
        <ns0:f>IF(J878=0,0,J878+IF(U878="AM",1,0))</ns0:f>
        <ns0:v>0</ns0:v>
      </ns0:c>
      <ns0:c r="Z878" s="0">
        <ns0:f>IF(T878=0,0,T878-IF(V878="AM",1,0))</ns0:f>
        <ns0:v>0</ns0:v>
      </ns0:c>
      <ns0:c r="AA878" s="0">
        <ns0:f>IFERROR(IF(AND(J878&gt;0,'_Engine'!C878&gt;0,MID('_Engine'!W878,WEEKDAY(J878,2),1)="W",COUNTIF(Settings!$F$18:$F$67,J878)=0),1,0),0)</ns0:f>
        <ns0:v>0</ns0:v>
      </ns0:c>
      <ns0:c r="AB878" s="0">
        <ns0:f>IFERROR(IF(AND(T878&gt;0,'_Engine'!C878&gt;0,MID('_Engine'!W878,WEEKDAY(T878,2),1)="W",COUNTIF(Settings!$F$18:$F$67,T878)=0),1,0),0)</ns0:f>
        <ns0:v>0</ns0:v>
      </ns0:c>
      <ns0:c r="AC878" s="0">
        <ns0:f>IF(AND(J878&gt;0,T878&gt;0,W878&lt;=X878),1,0)</ns0:f>
        <ns0:v>0</ns0:v>
      </ns0:c>
      <ns0:c r="AD878" s="0">
        <ns0:f>IF(AND(J878&gt;0,T878&gt;0,Y878&lt;=Z878),1,0)</ns0:f>
        <ns0:v>0</ns0:v>
      </ns0:c>
    </ns0:row>
    <ns0:row r="879">
      <ns0:c r="A879" s="0">
        <ns0:f>IFERROR(IF(ISNUMBER(Bookings!B879),"",TRIM(Bookings!B879&amp;"")),"")</ns0:f>
      </ns0:c>
      <ns0:c r="B879" s="0">
        <ns0:f>IFERROR(SUBSTITUTE(SUBSTITUTE(A879,"/","."),"-","."),"")</ns0:f>
      </ns0:c>
      <ns0:c r="C879" s="0">
        <ns0:f>IFERROR(LEFT(B879,FIND(".",B879)-1),"")</ns0:f>
      </ns0:c>
      <ns0:c r="D879" s="0">
        <ns0:f>IFERROR(MID(B879,FIND(".",B879)+1,FIND(".",B879,FIND(".",B879)+1)-FIND(".",B879)-1),"")</ns0:f>
      </ns0:c>
      <ns0:c r="E879" s="0">
        <ns0:f>IFERROR(MID(B879,FIND(".",B879,FIND(".",B879)+1)+1,99),"")</ns0:f>
        <ns0:v>99</ns0:v>
      </ns0:c>
      <ns0:c r="F879" s="0">
        <ns0:f>IFERROR(IF(FIND(".",B879)=5,--C879,--E879),0)</ns0:f>
        <ns0:v>0</ns0:v>
      </ns0:c>
      <ns0:c r="G879" s="0">
        <ns0:f>IFERROR(--D879,0)</ns0:f>
        <ns0:v>0</ns0:v>
      </ns0:c>
      <ns0:c r="H879" s="0">
        <ns0:f>IFERROR(IF(FIND(".",B879)=5,--E879,--C879),0)</ns0:f>
        <ns0:v>0</ns0:v>
      </ns0:c>
      <ns0:c r="I879" s="0">
        <ns0:f>IFERROR(IF(AND(F879&gt;=2000,F879&lt;=2100,G879&gt;=1,G879&lt;=12,H879&gt;=1,H879&lt;=31),DATE(F879,G879,H879),0),0)</ns0:f>
        <ns0:v>0</ns0:v>
      </ns0:c>
      <ns0:c r="J879" s="0">
        <ns0:f>IFERROR(IF(ISNUMBER(Bookings!B879),IF(AND(Bookings!B879=INT(Bookings!B879),Bookings!B879&gt;=DATE(2000,1,1),Bookings!B879&lt;=DATE(2100,12,31)),Bookings!B879,0),IF(AND(A879&lt;&gt;"",LEN("x"&amp;B879)-LEN(SUBSTITUTE("x"&amp;B879,".",""))=2,OR(1&gt;LEN(B879),MID(B879,1,1)=".",ISNUMBER(FIND("x"&amp;MID(B879,1,1),"x0x1x2x3x4x5x6x7x8x9"))),OR(2&gt;LEN(B879),MID(B879,2,1)=".",ISNUMBER(FIND("x"&amp;MID(B879,2,1),"x0x1x2x3x4x5x6x7x8x9"))),OR(3&gt;LEN(B879),MID(B879,3,1)=".",ISNUMBER(FIND("x"&amp;MID(B879,3,1),"x0x1x2x3x4x5x6x7x8x9"))),OR(4&gt;LEN(B879),MID(B879,4,1)=".",ISNUMBER(FIND("x"&amp;MID(B879,4,1),"x0x1x2x3x4x5x6x7x8x9"))),OR(5&gt;LEN(B879),MID(B879,5,1)=".",ISNUMBER(FIND("x"&amp;MID(B879,5,1),"x0x1x2x3x4x5x6x7x8x9"))),OR(6&gt;LEN(B879),MID(B879,6,1)=".",ISNUMBER(FIND("x"&amp;MID(B879,6,1),"x0x1x2x3x4x5x6x7x8x9"))),OR(7&gt;LEN(B879),MID(B879,7,1)=".",ISNUMBER(FIND("x"&amp;MID(B879,7,1),"x0x1x2x3x4x5x6x7x8x9"))),OR(8&gt;LEN(B879),MID(B879,8,1)=".",ISNUMBER(FIND("x"&amp;MID(B879,8,1),"x0x1x2x3x4x5x6x7x8x9"))),OR(9&gt;LEN(B879),MID(B879,9,1)=".",ISNUMBER(FIND("x"&amp;MID(B879,9,1),"x0x1x2x3x4x5x6x7x8x9"))),OR(10&gt;LEN(B879),MID(B879,10,1)=".",ISNUMBER(FIND("x"&amp;MID(B879,10,1),"x0x1x2x3x4x5x6x7x8x9"))),OR(AND(FIND(".",B879)=5,LEN(B879)-FIND(".",B879,FIND(".",B879)+1)&gt;=1,LEN(B879)-FIND(".",B879,FIND(".",B879)+1)&lt;=2),AND(LEN(B879)-FIND(".",B879,FIND(".",B879)+1)=4,FIND(".",B879)&gt;=2,FIND(".",B879)&lt;=3)),FIND(".",B879,FIND(".",B879)+1)-FIND(".",B879)&gt;=2,FIND(".",B879,FIND(".",B879)+1)-FIND(".",B879)&lt;=3,F879&gt;=2000,F879&lt;=2100,YEAR(I879)=F879,MONTH(I879)=G879,DAY(I879)=H879),I879,0)),0)</ns0:f>
        <ns0:v>0</ns0:v>
      </ns0:c>
      <ns0:c r="K879" s="0">
        <ns0:f>IFERROR(IF(ISNUMBER(Bookings!D879),"",TRIM(Bookings!D879&amp;"")),"")</ns0:f>
      </ns0:c>
      <ns0:c r="L879" s="0">
        <ns0:f>IFERROR(SUBSTITUTE(SUBSTITUTE(K879,"/","."),"-","."),"")</ns0:f>
      </ns0:c>
      <ns0:c r="M879" s="0">
        <ns0:f>IFERROR(LEFT(L879,FIND(".",L879)-1),"")</ns0:f>
      </ns0:c>
      <ns0:c r="N879" s="0">
        <ns0:f>IFERROR(MID(L879,FIND(".",L879)+1,FIND(".",L879,FIND(".",L879)+1)-FIND(".",L879)-1),"")</ns0:f>
      </ns0:c>
      <ns0:c r="O879" s="0">
        <ns0:f>IFERROR(MID(L879,FIND(".",L879,FIND(".",L879)+1)+1,99),"")</ns0:f>
        <ns0:v>99</ns0:v>
      </ns0:c>
      <ns0:c r="P879" s="0">
        <ns0:f>IFERROR(IF(FIND(".",L879)=5,--M879,--O879),0)</ns0:f>
        <ns0:v>0</ns0:v>
      </ns0:c>
      <ns0:c r="Q879" s="0">
        <ns0:f>IFERROR(--N879,0)</ns0:f>
        <ns0:v>0</ns0:v>
      </ns0:c>
      <ns0:c r="R879" s="0">
        <ns0:f>IFERROR(IF(FIND(".",L879)=5,--O879,--M879),0)</ns0:f>
        <ns0:v>0</ns0:v>
      </ns0:c>
      <ns0:c r="S879" s="0">
        <ns0:f>IFERROR(IF(AND(P879&gt;=2000,P879&lt;=2100,Q879&gt;=1,Q879&lt;=12,R879&gt;=1,R879&lt;=31),DATE(P879,Q879,R879),0),0)</ns0:f>
        <ns0:v>0</ns0:v>
      </ns0:c>
      <ns0:c r="T879" s="0">
        <ns0:f>IFERROR(IF(ISNUMBER(Bookings!D879),IF(AND(Bookings!D879=INT(Bookings!D879),Bookings!D879&gt;=DATE(2000,1,1),Bookings!D879&lt;=DATE(2100,12,31)),Bookings!D879,0),IF(AND(K879&lt;&gt;"",LEN("x"&amp;L879)-LEN(SUBSTITUTE("x"&amp;L879,".",""))=2,OR(1&gt;LEN(L879),MID(L879,1,1)=".",ISNUMBER(FIND("x"&amp;MID(L879,1,1),"x0x1x2x3x4x5x6x7x8x9"))),OR(2&gt;LEN(L879),MID(L879,2,1)=".",ISNUMBER(FIND("x"&amp;MID(L879,2,1),"x0x1x2x3x4x5x6x7x8x9"))),OR(3&gt;LEN(L879),MID(L879,3,1)=".",ISNUMBER(FIND("x"&amp;MID(L879,3,1),"x0x1x2x3x4x5x6x7x8x9"))),OR(4&gt;LEN(L879),MID(L879,4,1)=".",ISNUMBER(FIND("x"&amp;MID(L879,4,1),"x0x1x2x3x4x5x6x7x8x9"))),OR(5&gt;LEN(L879),MID(L879,5,1)=".",ISNUMBER(FIND("x"&amp;MID(L879,5,1),"x0x1x2x3x4x5x6x7x8x9"))),OR(6&gt;LEN(L879),MID(L879,6,1)=".",ISNUMBER(FIND("x"&amp;MID(L879,6,1),"x0x1x2x3x4x5x6x7x8x9"))),OR(7&gt;LEN(L879),MID(L879,7,1)=".",ISNUMBER(FIND("x"&amp;MID(L879,7,1),"x0x1x2x3x4x5x6x7x8x9"))),OR(8&gt;LEN(L879),MID(L879,8,1)=".",ISNUMBER(FIND("x"&amp;MID(L879,8,1),"x0x1x2x3x4x5x6x7x8x9"))),OR(9&gt;LEN(L879),MID(L879,9,1)=".",ISNUMBER(FIND("x"&amp;MID(L879,9,1),"x0x1x2x3x4x5x6x7x8x9"))),OR(10&gt;LEN(L879),MID(L879,10,1)=".",ISNUMBER(FIND("x"&amp;MID(L879,10,1),"x0x1x2x3x4x5x6x7x8x9"))),OR(AND(FIND(".",L879)=5,LEN(L879)-FIND(".",L879,FIND(".",L879)+1)&gt;=1,LEN(L879)-FIND(".",L879,FIND(".",L879)+1)&lt;=2),AND(LEN(L879)-FIND(".",L879,FIND(".",L879)+1)=4,FIND(".",L879)&gt;=2,FIND(".",L879)&lt;=3)),FIND(".",L879,FIND(".",L879)+1)-FIND(".",L879)&gt;=2,FIND(".",L879,FIND(".",L879)+1)-FIND(".",L879)&lt;=3,P879&gt;=2000,P879&lt;=2100,YEAR(S879)=P879,MONTH(S879)=Q879,DAY(S879)=R879),S879,0)),0)</ns0:f>
        <ns0:v>0</ns0:v>
      </ns0:c>
      <ns0:c r="U879" s="0" t="str">
        <ns0:f>IF(Bookings!C879="","Full day",Bookings!C879)</ns0:f>
        <ns0:v>Full day</ns0:v>
      </ns0:c>
      <ns0:c r="V879" s="0" t="str">
        <ns0:f>IF(Bookings!E879="","Full day",Bookings!E879)</ns0:f>
        <ns0:v>Full day</ns0:v>
      </ns0:c>
      <ns0:c r="W879" s="0">
        <ns0:f>IF(J879=0,0,J879+IF(U879="PM",1,0))</ns0:f>
        <ns0:v>0</ns0:v>
      </ns0:c>
      <ns0:c r="X879" s="0">
        <ns0:f>IF(T879=0,0,T879-IF(V879="PM",1,0))</ns0:f>
        <ns0:v>0</ns0:v>
      </ns0:c>
      <ns0:c r="Y879" s="0">
        <ns0:f>IF(J879=0,0,J879+IF(U879="AM",1,0))</ns0:f>
        <ns0:v>0</ns0:v>
      </ns0:c>
      <ns0:c r="Z879" s="0">
        <ns0:f>IF(T879=0,0,T879-IF(V879="AM",1,0))</ns0:f>
        <ns0:v>0</ns0:v>
      </ns0:c>
      <ns0:c r="AA879" s="0">
        <ns0:f>IFERROR(IF(AND(J879&gt;0,'_Engine'!C879&gt;0,MID('_Engine'!W879,WEEKDAY(J879,2),1)="W",COUNTIF(Settings!$F$18:$F$67,J879)=0),1,0),0)</ns0:f>
        <ns0:v>0</ns0:v>
      </ns0:c>
      <ns0:c r="AB879" s="0">
        <ns0:f>IFERROR(IF(AND(T879&gt;0,'_Engine'!C879&gt;0,MID('_Engine'!W879,WEEKDAY(T879,2),1)="W",COUNTIF(Settings!$F$18:$F$67,T879)=0),1,0),0)</ns0:f>
        <ns0:v>0</ns0:v>
      </ns0:c>
      <ns0:c r="AC879" s="0">
        <ns0:f>IF(AND(J879&gt;0,T879&gt;0,W879&lt;=X879),1,0)</ns0:f>
        <ns0:v>0</ns0:v>
      </ns0:c>
      <ns0:c r="AD879" s="0">
        <ns0:f>IF(AND(J879&gt;0,T879&gt;0,Y879&lt;=Z879),1,0)</ns0:f>
        <ns0:v>0</ns0:v>
      </ns0:c>
    </ns0:row>
    <ns0:row r="880">
      <ns0:c r="A880" s="0">
        <ns0:f>IFERROR(IF(ISNUMBER(Bookings!B880),"",TRIM(Bookings!B880&amp;"")),"")</ns0:f>
      </ns0:c>
      <ns0:c r="B880" s="0">
        <ns0:f>IFERROR(SUBSTITUTE(SUBSTITUTE(A880,"/","."),"-","."),"")</ns0:f>
      </ns0:c>
      <ns0:c r="C880" s="0">
        <ns0:f>IFERROR(LEFT(B880,FIND(".",B880)-1),"")</ns0:f>
      </ns0:c>
      <ns0:c r="D880" s="0">
        <ns0:f>IFERROR(MID(B880,FIND(".",B880)+1,FIND(".",B880,FIND(".",B880)+1)-FIND(".",B880)-1),"")</ns0:f>
      </ns0:c>
      <ns0:c r="E880" s="0">
        <ns0:f>IFERROR(MID(B880,FIND(".",B880,FIND(".",B880)+1)+1,99),"")</ns0:f>
        <ns0:v>99</ns0:v>
      </ns0:c>
      <ns0:c r="F880" s="0">
        <ns0:f>IFERROR(IF(FIND(".",B880)=5,--C880,--E880),0)</ns0:f>
        <ns0:v>0</ns0:v>
      </ns0:c>
      <ns0:c r="G880" s="0">
        <ns0:f>IFERROR(--D880,0)</ns0:f>
        <ns0:v>0</ns0:v>
      </ns0:c>
      <ns0:c r="H880" s="0">
        <ns0:f>IFERROR(IF(FIND(".",B880)=5,--E880,--C880),0)</ns0:f>
        <ns0:v>0</ns0:v>
      </ns0:c>
      <ns0:c r="I880" s="0">
        <ns0:f>IFERROR(IF(AND(F880&gt;=2000,F880&lt;=2100,G880&gt;=1,G880&lt;=12,H880&gt;=1,H880&lt;=31),DATE(F880,G880,H880),0),0)</ns0:f>
        <ns0:v>0</ns0:v>
      </ns0:c>
      <ns0:c r="J880" s="0">
        <ns0:f>IFERROR(IF(ISNUMBER(Bookings!B880),IF(AND(Bookings!B880=INT(Bookings!B880),Bookings!B880&gt;=DATE(2000,1,1),Bookings!B880&lt;=DATE(2100,12,31)),Bookings!B880,0),IF(AND(A880&lt;&gt;"",LEN("x"&amp;B880)-LEN(SUBSTITUTE("x"&amp;B880,".",""))=2,OR(1&gt;LEN(B880),MID(B880,1,1)=".",ISNUMBER(FIND("x"&amp;MID(B880,1,1),"x0x1x2x3x4x5x6x7x8x9"))),OR(2&gt;LEN(B880),MID(B880,2,1)=".",ISNUMBER(FIND("x"&amp;MID(B880,2,1),"x0x1x2x3x4x5x6x7x8x9"))),OR(3&gt;LEN(B880),MID(B880,3,1)=".",ISNUMBER(FIND("x"&amp;MID(B880,3,1),"x0x1x2x3x4x5x6x7x8x9"))),OR(4&gt;LEN(B880),MID(B880,4,1)=".",ISNUMBER(FIND("x"&amp;MID(B880,4,1),"x0x1x2x3x4x5x6x7x8x9"))),OR(5&gt;LEN(B880),MID(B880,5,1)=".",ISNUMBER(FIND("x"&amp;MID(B880,5,1),"x0x1x2x3x4x5x6x7x8x9"))),OR(6&gt;LEN(B880),MID(B880,6,1)=".",ISNUMBER(FIND("x"&amp;MID(B880,6,1),"x0x1x2x3x4x5x6x7x8x9"))),OR(7&gt;LEN(B880),MID(B880,7,1)=".",ISNUMBER(FIND("x"&amp;MID(B880,7,1),"x0x1x2x3x4x5x6x7x8x9"))),OR(8&gt;LEN(B880),MID(B880,8,1)=".",ISNUMBER(FIND("x"&amp;MID(B880,8,1),"x0x1x2x3x4x5x6x7x8x9"))),OR(9&gt;LEN(B880),MID(B880,9,1)=".",ISNUMBER(FIND("x"&amp;MID(B880,9,1),"x0x1x2x3x4x5x6x7x8x9"))),OR(10&gt;LEN(B880),MID(B880,10,1)=".",ISNUMBER(FIND("x"&amp;MID(B880,10,1),"x0x1x2x3x4x5x6x7x8x9"))),OR(AND(FIND(".",B880)=5,LEN(B880)-FIND(".",B880,FIND(".",B880)+1)&gt;=1,LEN(B880)-FIND(".",B880,FIND(".",B880)+1)&lt;=2),AND(LEN(B880)-FIND(".",B880,FIND(".",B880)+1)=4,FIND(".",B880)&gt;=2,FIND(".",B880)&lt;=3)),FIND(".",B880,FIND(".",B880)+1)-FIND(".",B880)&gt;=2,FIND(".",B880,FIND(".",B880)+1)-FIND(".",B880)&lt;=3,F880&gt;=2000,F880&lt;=2100,YEAR(I880)=F880,MONTH(I880)=G880,DAY(I880)=H880),I880,0)),0)</ns0:f>
        <ns0:v>0</ns0:v>
      </ns0:c>
      <ns0:c r="K880" s="0">
        <ns0:f>IFERROR(IF(ISNUMBER(Bookings!D880),"",TRIM(Bookings!D880&amp;"")),"")</ns0:f>
      </ns0:c>
      <ns0:c r="L880" s="0">
        <ns0:f>IFERROR(SUBSTITUTE(SUBSTITUTE(K880,"/","."),"-","."),"")</ns0:f>
      </ns0:c>
      <ns0:c r="M880" s="0">
        <ns0:f>IFERROR(LEFT(L880,FIND(".",L880)-1),"")</ns0:f>
      </ns0:c>
      <ns0:c r="N880" s="0">
        <ns0:f>IFERROR(MID(L880,FIND(".",L880)+1,FIND(".",L880,FIND(".",L880)+1)-FIND(".",L880)-1),"")</ns0:f>
      </ns0:c>
      <ns0:c r="O880" s="0">
        <ns0:f>IFERROR(MID(L880,FIND(".",L880,FIND(".",L880)+1)+1,99),"")</ns0:f>
        <ns0:v>99</ns0:v>
      </ns0:c>
      <ns0:c r="P880" s="0">
        <ns0:f>IFERROR(IF(FIND(".",L880)=5,--M880,--O880),0)</ns0:f>
        <ns0:v>0</ns0:v>
      </ns0:c>
      <ns0:c r="Q880" s="0">
        <ns0:f>IFERROR(--N880,0)</ns0:f>
        <ns0:v>0</ns0:v>
      </ns0:c>
      <ns0:c r="R880" s="0">
        <ns0:f>IFERROR(IF(FIND(".",L880)=5,--O880,--M880),0)</ns0:f>
        <ns0:v>0</ns0:v>
      </ns0:c>
      <ns0:c r="S880" s="0">
        <ns0:f>IFERROR(IF(AND(P880&gt;=2000,P880&lt;=2100,Q880&gt;=1,Q880&lt;=12,R880&gt;=1,R880&lt;=31),DATE(P880,Q880,R880),0),0)</ns0:f>
        <ns0:v>0</ns0:v>
      </ns0:c>
      <ns0:c r="T880" s="0">
        <ns0:f>IFERROR(IF(ISNUMBER(Bookings!D880),IF(AND(Bookings!D880=INT(Bookings!D880),Bookings!D880&gt;=DATE(2000,1,1),Bookings!D880&lt;=DATE(2100,12,31)),Bookings!D880,0),IF(AND(K880&lt;&gt;"",LEN("x"&amp;L880)-LEN(SUBSTITUTE("x"&amp;L880,".",""))=2,OR(1&gt;LEN(L880),MID(L880,1,1)=".",ISNUMBER(FIND("x"&amp;MID(L880,1,1),"x0x1x2x3x4x5x6x7x8x9"))),OR(2&gt;LEN(L880),MID(L880,2,1)=".",ISNUMBER(FIND("x"&amp;MID(L880,2,1),"x0x1x2x3x4x5x6x7x8x9"))),OR(3&gt;LEN(L880),MID(L880,3,1)=".",ISNUMBER(FIND("x"&amp;MID(L880,3,1),"x0x1x2x3x4x5x6x7x8x9"))),OR(4&gt;LEN(L880),MID(L880,4,1)=".",ISNUMBER(FIND("x"&amp;MID(L880,4,1),"x0x1x2x3x4x5x6x7x8x9"))),OR(5&gt;LEN(L880),MID(L880,5,1)=".",ISNUMBER(FIND("x"&amp;MID(L880,5,1),"x0x1x2x3x4x5x6x7x8x9"))),OR(6&gt;LEN(L880),MID(L880,6,1)=".",ISNUMBER(FIND("x"&amp;MID(L880,6,1),"x0x1x2x3x4x5x6x7x8x9"))),OR(7&gt;LEN(L880),MID(L880,7,1)=".",ISNUMBER(FIND("x"&amp;MID(L880,7,1),"x0x1x2x3x4x5x6x7x8x9"))),OR(8&gt;LEN(L880),MID(L880,8,1)=".",ISNUMBER(FIND("x"&amp;MID(L880,8,1),"x0x1x2x3x4x5x6x7x8x9"))),OR(9&gt;LEN(L880),MID(L880,9,1)=".",ISNUMBER(FIND("x"&amp;MID(L880,9,1),"x0x1x2x3x4x5x6x7x8x9"))),OR(10&gt;LEN(L880),MID(L880,10,1)=".",ISNUMBER(FIND("x"&amp;MID(L880,10,1),"x0x1x2x3x4x5x6x7x8x9"))),OR(AND(FIND(".",L880)=5,LEN(L880)-FIND(".",L880,FIND(".",L880)+1)&gt;=1,LEN(L880)-FIND(".",L880,FIND(".",L880)+1)&lt;=2),AND(LEN(L880)-FIND(".",L880,FIND(".",L880)+1)=4,FIND(".",L880)&gt;=2,FIND(".",L880)&lt;=3)),FIND(".",L880,FIND(".",L880)+1)-FIND(".",L880)&gt;=2,FIND(".",L880,FIND(".",L880)+1)-FIND(".",L880)&lt;=3,P880&gt;=2000,P880&lt;=2100,YEAR(S880)=P880,MONTH(S880)=Q880,DAY(S880)=R880),S880,0)),0)</ns0:f>
        <ns0:v>0</ns0:v>
      </ns0:c>
      <ns0:c r="U880" s="0" t="str">
        <ns0:f>IF(Bookings!C880="","Full day",Bookings!C880)</ns0:f>
        <ns0:v>Full day</ns0:v>
      </ns0:c>
      <ns0:c r="V880" s="0" t="str">
        <ns0:f>IF(Bookings!E880="","Full day",Bookings!E880)</ns0:f>
        <ns0:v>Full day</ns0:v>
      </ns0:c>
      <ns0:c r="W880" s="0">
        <ns0:f>IF(J880=0,0,J880+IF(U880="PM",1,0))</ns0:f>
        <ns0:v>0</ns0:v>
      </ns0:c>
      <ns0:c r="X880" s="0">
        <ns0:f>IF(T880=0,0,T880-IF(V880="PM",1,0))</ns0:f>
        <ns0:v>0</ns0:v>
      </ns0:c>
      <ns0:c r="Y880" s="0">
        <ns0:f>IF(J880=0,0,J880+IF(U880="AM",1,0))</ns0:f>
        <ns0:v>0</ns0:v>
      </ns0:c>
      <ns0:c r="Z880" s="0">
        <ns0:f>IF(T880=0,0,T880-IF(V880="AM",1,0))</ns0:f>
        <ns0:v>0</ns0:v>
      </ns0:c>
      <ns0:c r="AA880" s="0">
        <ns0:f>IFERROR(IF(AND(J880&gt;0,'_Engine'!C880&gt;0,MID('_Engine'!W880,WEEKDAY(J880,2),1)="W",COUNTIF(Settings!$F$18:$F$67,J880)=0),1,0),0)</ns0:f>
        <ns0:v>0</ns0:v>
      </ns0:c>
      <ns0:c r="AB880" s="0">
        <ns0:f>IFERROR(IF(AND(T880&gt;0,'_Engine'!C880&gt;0,MID('_Engine'!W880,WEEKDAY(T880,2),1)="W",COUNTIF(Settings!$F$18:$F$67,T880)=0),1,0),0)</ns0:f>
        <ns0:v>0</ns0:v>
      </ns0:c>
      <ns0:c r="AC880" s="0">
        <ns0:f>IF(AND(J880&gt;0,T880&gt;0,W880&lt;=X880),1,0)</ns0:f>
        <ns0:v>0</ns0:v>
      </ns0:c>
      <ns0:c r="AD880" s="0">
        <ns0:f>IF(AND(J880&gt;0,T880&gt;0,Y880&lt;=Z880),1,0)</ns0:f>
        <ns0:v>0</ns0:v>
      </ns0:c>
    </ns0:row>
    <ns0:row r="881">
      <ns0:c r="A881" s="0">
        <ns0:f>IFERROR(IF(ISNUMBER(Bookings!B881),"",TRIM(Bookings!B881&amp;"")),"")</ns0:f>
      </ns0:c>
      <ns0:c r="B881" s="0">
        <ns0:f>IFERROR(SUBSTITUTE(SUBSTITUTE(A881,"/","."),"-","."),"")</ns0:f>
      </ns0:c>
      <ns0:c r="C881" s="0">
        <ns0:f>IFERROR(LEFT(B881,FIND(".",B881)-1),"")</ns0:f>
      </ns0:c>
      <ns0:c r="D881" s="0">
        <ns0:f>IFERROR(MID(B881,FIND(".",B881)+1,FIND(".",B881,FIND(".",B881)+1)-FIND(".",B881)-1),"")</ns0:f>
      </ns0:c>
      <ns0:c r="E881" s="0">
        <ns0:f>IFERROR(MID(B881,FIND(".",B881,FIND(".",B881)+1)+1,99),"")</ns0:f>
        <ns0:v>99</ns0:v>
      </ns0:c>
      <ns0:c r="F881" s="0">
        <ns0:f>IFERROR(IF(FIND(".",B881)=5,--C881,--E881),0)</ns0:f>
        <ns0:v>0</ns0:v>
      </ns0:c>
      <ns0:c r="G881" s="0">
        <ns0:f>IFERROR(--D881,0)</ns0:f>
        <ns0:v>0</ns0:v>
      </ns0:c>
      <ns0:c r="H881" s="0">
        <ns0:f>IFERROR(IF(FIND(".",B881)=5,--E881,--C881),0)</ns0:f>
        <ns0:v>0</ns0:v>
      </ns0:c>
      <ns0:c r="I881" s="0">
        <ns0:f>IFERROR(IF(AND(F881&gt;=2000,F881&lt;=2100,G881&gt;=1,G881&lt;=12,H881&gt;=1,H881&lt;=31),DATE(F881,G881,H881),0),0)</ns0:f>
        <ns0:v>0</ns0:v>
      </ns0:c>
      <ns0:c r="J881" s="0">
        <ns0:f>IFERROR(IF(ISNUMBER(Bookings!B881),IF(AND(Bookings!B881=INT(Bookings!B881),Bookings!B881&gt;=DATE(2000,1,1),Bookings!B881&lt;=DATE(2100,12,31)),Bookings!B881,0),IF(AND(A881&lt;&gt;"",LEN("x"&amp;B881)-LEN(SUBSTITUTE("x"&amp;B881,".",""))=2,OR(1&gt;LEN(B881),MID(B881,1,1)=".",ISNUMBER(FIND("x"&amp;MID(B881,1,1),"x0x1x2x3x4x5x6x7x8x9"))),OR(2&gt;LEN(B881),MID(B881,2,1)=".",ISNUMBER(FIND("x"&amp;MID(B881,2,1),"x0x1x2x3x4x5x6x7x8x9"))),OR(3&gt;LEN(B881),MID(B881,3,1)=".",ISNUMBER(FIND("x"&amp;MID(B881,3,1),"x0x1x2x3x4x5x6x7x8x9"))),OR(4&gt;LEN(B881),MID(B881,4,1)=".",ISNUMBER(FIND("x"&amp;MID(B881,4,1),"x0x1x2x3x4x5x6x7x8x9"))),OR(5&gt;LEN(B881),MID(B881,5,1)=".",ISNUMBER(FIND("x"&amp;MID(B881,5,1),"x0x1x2x3x4x5x6x7x8x9"))),OR(6&gt;LEN(B881),MID(B881,6,1)=".",ISNUMBER(FIND("x"&amp;MID(B881,6,1),"x0x1x2x3x4x5x6x7x8x9"))),OR(7&gt;LEN(B881),MID(B881,7,1)=".",ISNUMBER(FIND("x"&amp;MID(B881,7,1),"x0x1x2x3x4x5x6x7x8x9"))),OR(8&gt;LEN(B881),MID(B881,8,1)=".",ISNUMBER(FIND("x"&amp;MID(B881,8,1),"x0x1x2x3x4x5x6x7x8x9"))),OR(9&gt;LEN(B881),MID(B881,9,1)=".",ISNUMBER(FIND("x"&amp;MID(B881,9,1),"x0x1x2x3x4x5x6x7x8x9"))),OR(10&gt;LEN(B881),MID(B881,10,1)=".",ISNUMBER(FIND("x"&amp;MID(B881,10,1),"x0x1x2x3x4x5x6x7x8x9"))),OR(AND(FIND(".",B881)=5,LEN(B881)-FIND(".",B881,FIND(".",B881)+1)&gt;=1,LEN(B881)-FIND(".",B881,FIND(".",B881)+1)&lt;=2),AND(LEN(B881)-FIND(".",B881,FIND(".",B881)+1)=4,FIND(".",B881)&gt;=2,FIND(".",B881)&lt;=3)),FIND(".",B881,FIND(".",B881)+1)-FIND(".",B881)&gt;=2,FIND(".",B881,FIND(".",B881)+1)-FIND(".",B881)&lt;=3,F881&gt;=2000,F881&lt;=2100,YEAR(I881)=F881,MONTH(I881)=G881,DAY(I881)=H881),I881,0)),0)</ns0:f>
        <ns0:v>0</ns0:v>
      </ns0:c>
      <ns0:c r="K881" s="0">
        <ns0:f>IFERROR(IF(ISNUMBER(Bookings!D881),"",TRIM(Bookings!D881&amp;"")),"")</ns0:f>
      </ns0:c>
      <ns0:c r="L881" s="0">
        <ns0:f>IFERROR(SUBSTITUTE(SUBSTITUTE(K881,"/","."),"-","."),"")</ns0:f>
      </ns0:c>
      <ns0:c r="M881" s="0">
        <ns0:f>IFERROR(LEFT(L881,FIND(".",L881)-1),"")</ns0:f>
      </ns0:c>
      <ns0:c r="N881" s="0">
        <ns0:f>IFERROR(MID(L881,FIND(".",L881)+1,FIND(".",L881,FIND(".",L881)+1)-FIND(".",L881)-1),"")</ns0:f>
      </ns0:c>
      <ns0:c r="O881" s="0">
        <ns0:f>IFERROR(MID(L881,FIND(".",L881,FIND(".",L881)+1)+1,99),"")</ns0:f>
        <ns0:v>99</ns0:v>
      </ns0:c>
      <ns0:c r="P881" s="0">
        <ns0:f>IFERROR(IF(FIND(".",L881)=5,--M881,--O881),0)</ns0:f>
        <ns0:v>0</ns0:v>
      </ns0:c>
      <ns0:c r="Q881" s="0">
        <ns0:f>IFERROR(--N881,0)</ns0:f>
        <ns0:v>0</ns0:v>
      </ns0:c>
      <ns0:c r="R881" s="0">
        <ns0:f>IFERROR(IF(FIND(".",L881)=5,--O881,--M881),0)</ns0:f>
        <ns0:v>0</ns0:v>
      </ns0:c>
      <ns0:c r="S881" s="0">
        <ns0:f>IFERROR(IF(AND(P881&gt;=2000,P881&lt;=2100,Q881&gt;=1,Q881&lt;=12,R881&gt;=1,R881&lt;=31),DATE(P881,Q881,R881),0),0)</ns0:f>
        <ns0:v>0</ns0:v>
      </ns0:c>
      <ns0:c r="T881" s="0">
        <ns0:f>IFERROR(IF(ISNUMBER(Bookings!D881),IF(AND(Bookings!D881=INT(Bookings!D881),Bookings!D881&gt;=DATE(2000,1,1),Bookings!D881&lt;=DATE(2100,12,31)),Bookings!D881,0),IF(AND(K881&lt;&gt;"",LEN("x"&amp;L881)-LEN(SUBSTITUTE("x"&amp;L881,".",""))=2,OR(1&gt;LEN(L881),MID(L881,1,1)=".",ISNUMBER(FIND("x"&amp;MID(L881,1,1),"x0x1x2x3x4x5x6x7x8x9"))),OR(2&gt;LEN(L881),MID(L881,2,1)=".",ISNUMBER(FIND("x"&amp;MID(L881,2,1),"x0x1x2x3x4x5x6x7x8x9"))),OR(3&gt;LEN(L881),MID(L881,3,1)=".",ISNUMBER(FIND("x"&amp;MID(L881,3,1),"x0x1x2x3x4x5x6x7x8x9"))),OR(4&gt;LEN(L881),MID(L881,4,1)=".",ISNUMBER(FIND("x"&amp;MID(L881,4,1),"x0x1x2x3x4x5x6x7x8x9"))),OR(5&gt;LEN(L881),MID(L881,5,1)=".",ISNUMBER(FIND("x"&amp;MID(L881,5,1),"x0x1x2x3x4x5x6x7x8x9"))),OR(6&gt;LEN(L881),MID(L881,6,1)=".",ISNUMBER(FIND("x"&amp;MID(L881,6,1),"x0x1x2x3x4x5x6x7x8x9"))),OR(7&gt;LEN(L881),MID(L881,7,1)=".",ISNUMBER(FIND("x"&amp;MID(L881,7,1),"x0x1x2x3x4x5x6x7x8x9"))),OR(8&gt;LEN(L881),MID(L881,8,1)=".",ISNUMBER(FIND("x"&amp;MID(L881,8,1),"x0x1x2x3x4x5x6x7x8x9"))),OR(9&gt;LEN(L881),MID(L881,9,1)=".",ISNUMBER(FIND("x"&amp;MID(L881,9,1),"x0x1x2x3x4x5x6x7x8x9"))),OR(10&gt;LEN(L881),MID(L881,10,1)=".",ISNUMBER(FIND("x"&amp;MID(L881,10,1),"x0x1x2x3x4x5x6x7x8x9"))),OR(AND(FIND(".",L881)=5,LEN(L881)-FIND(".",L881,FIND(".",L881)+1)&gt;=1,LEN(L881)-FIND(".",L881,FIND(".",L881)+1)&lt;=2),AND(LEN(L881)-FIND(".",L881,FIND(".",L881)+1)=4,FIND(".",L881)&gt;=2,FIND(".",L881)&lt;=3)),FIND(".",L881,FIND(".",L881)+1)-FIND(".",L881)&gt;=2,FIND(".",L881,FIND(".",L881)+1)-FIND(".",L881)&lt;=3,P881&gt;=2000,P881&lt;=2100,YEAR(S881)=P881,MONTH(S881)=Q881,DAY(S881)=R881),S881,0)),0)</ns0:f>
        <ns0:v>0</ns0:v>
      </ns0:c>
      <ns0:c r="U881" s="0" t="str">
        <ns0:f>IF(Bookings!C881="","Full day",Bookings!C881)</ns0:f>
        <ns0:v>Full day</ns0:v>
      </ns0:c>
      <ns0:c r="V881" s="0" t="str">
        <ns0:f>IF(Bookings!E881="","Full day",Bookings!E881)</ns0:f>
        <ns0:v>Full day</ns0:v>
      </ns0:c>
      <ns0:c r="W881" s="0">
        <ns0:f>IF(J881=0,0,J881+IF(U881="PM",1,0))</ns0:f>
        <ns0:v>0</ns0:v>
      </ns0:c>
      <ns0:c r="X881" s="0">
        <ns0:f>IF(T881=0,0,T881-IF(V881="PM",1,0))</ns0:f>
        <ns0:v>0</ns0:v>
      </ns0:c>
      <ns0:c r="Y881" s="0">
        <ns0:f>IF(J881=0,0,J881+IF(U881="AM",1,0))</ns0:f>
        <ns0:v>0</ns0:v>
      </ns0:c>
      <ns0:c r="Z881" s="0">
        <ns0:f>IF(T881=0,0,T881-IF(V881="AM",1,0))</ns0:f>
        <ns0:v>0</ns0:v>
      </ns0:c>
      <ns0:c r="AA881" s="0">
        <ns0:f>IFERROR(IF(AND(J881&gt;0,'_Engine'!C881&gt;0,MID('_Engine'!W881,WEEKDAY(J881,2),1)="W",COUNTIF(Settings!$F$18:$F$67,J881)=0),1,0),0)</ns0:f>
        <ns0:v>0</ns0:v>
      </ns0:c>
      <ns0:c r="AB881" s="0">
        <ns0:f>IFERROR(IF(AND(T881&gt;0,'_Engine'!C881&gt;0,MID('_Engine'!W881,WEEKDAY(T881,2),1)="W",COUNTIF(Settings!$F$18:$F$67,T881)=0),1,0),0)</ns0:f>
        <ns0:v>0</ns0:v>
      </ns0:c>
      <ns0:c r="AC881" s="0">
        <ns0:f>IF(AND(J881&gt;0,T881&gt;0,W881&lt;=X881),1,0)</ns0:f>
        <ns0:v>0</ns0:v>
      </ns0:c>
      <ns0:c r="AD881" s="0">
        <ns0:f>IF(AND(J881&gt;0,T881&gt;0,Y881&lt;=Z881),1,0)</ns0:f>
        <ns0:v>0</ns0:v>
      </ns0:c>
    </ns0:row>
    <ns0:row r="882">
      <ns0:c r="A882" s="0">
        <ns0:f>IFERROR(IF(ISNUMBER(Bookings!B882),"",TRIM(Bookings!B882&amp;"")),"")</ns0:f>
      </ns0:c>
      <ns0:c r="B882" s="0">
        <ns0:f>IFERROR(SUBSTITUTE(SUBSTITUTE(A882,"/","."),"-","."),"")</ns0:f>
      </ns0:c>
      <ns0:c r="C882" s="0">
        <ns0:f>IFERROR(LEFT(B882,FIND(".",B882)-1),"")</ns0:f>
      </ns0:c>
      <ns0:c r="D882" s="0">
        <ns0:f>IFERROR(MID(B882,FIND(".",B882)+1,FIND(".",B882,FIND(".",B882)+1)-FIND(".",B882)-1),"")</ns0:f>
      </ns0:c>
      <ns0:c r="E882" s="0">
        <ns0:f>IFERROR(MID(B882,FIND(".",B882,FIND(".",B882)+1)+1,99),"")</ns0:f>
        <ns0:v>99</ns0:v>
      </ns0:c>
      <ns0:c r="F882" s="0">
        <ns0:f>IFERROR(IF(FIND(".",B882)=5,--C882,--E882),0)</ns0:f>
        <ns0:v>0</ns0:v>
      </ns0:c>
      <ns0:c r="G882" s="0">
        <ns0:f>IFERROR(--D882,0)</ns0:f>
        <ns0:v>0</ns0:v>
      </ns0:c>
      <ns0:c r="H882" s="0">
        <ns0:f>IFERROR(IF(FIND(".",B882)=5,--E882,--C882),0)</ns0:f>
        <ns0:v>0</ns0:v>
      </ns0:c>
      <ns0:c r="I882" s="0">
        <ns0:f>IFERROR(IF(AND(F882&gt;=2000,F882&lt;=2100,G882&gt;=1,G882&lt;=12,H882&gt;=1,H882&lt;=31),DATE(F882,G882,H882),0),0)</ns0:f>
        <ns0:v>0</ns0:v>
      </ns0:c>
      <ns0:c r="J882" s="0">
        <ns0:f>IFERROR(IF(ISNUMBER(Bookings!B882),IF(AND(Bookings!B882=INT(Bookings!B882),Bookings!B882&gt;=DATE(2000,1,1),Bookings!B882&lt;=DATE(2100,12,31)),Bookings!B882,0),IF(AND(A882&lt;&gt;"",LEN("x"&amp;B882)-LEN(SUBSTITUTE("x"&amp;B882,".",""))=2,OR(1&gt;LEN(B882),MID(B882,1,1)=".",ISNUMBER(FIND("x"&amp;MID(B882,1,1),"x0x1x2x3x4x5x6x7x8x9"))),OR(2&gt;LEN(B882),MID(B882,2,1)=".",ISNUMBER(FIND("x"&amp;MID(B882,2,1),"x0x1x2x3x4x5x6x7x8x9"))),OR(3&gt;LEN(B882),MID(B882,3,1)=".",ISNUMBER(FIND("x"&amp;MID(B882,3,1),"x0x1x2x3x4x5x6x7x8x9"))),OR(4&gt;LEN(B882),MID(B882,4,1)=".",ISNUMBER(FIND("x"&amp;MID(B882,4,1),"x0x1x2x3x4x5x6x7x8x9"))),OR(5&gt;LEN(B882),MID(B882,5,1)=".",ISNUMBER(FIND("x"&amp;MID(B882,5,1),"x0x1x2x3x4x5x6x7x8x9"))),OR(6&gt;LEN(B882),MID(B882,6,1)=".",ISNUMBER(FIND("x"&amp;MID(B882,6,1),"x0x1x2x3x4x5x6x7x8x9"))),OR(7&gt;LEN(B882),MID(B882,7,1)=".",ISNUMBER(FIND("x"&amp;MID(B882,7,1),"x0x1x2x3x4x5x6x7x8x9"))),OR(8&gt;LEN(B882),MID(B882,8,1)=".",ISNUMBER(FIND("x"&amp;MID(B882,8,1),"x0x1x2x3x4x5x6x7x8x9"))),OR(9&gt;LEN(B882),MID(B882,9,1)=".",ISNUMBER(FIND("x"&amp;MID(B882,9,1),"x0x1x2x3x4x5x6x7x8x9"))),OR(10&gt;LEN(B882),MID(B882,10,1)=".",ISNUMBER(FIND("x"&amp;MID(B882,10,1),"x0x1x2x3x4x5x6x7x8x9"))),OR(AND(FIND(".",B882)=5,LEN(B882)-FIND(".",B882,FIND(".",B882)+1)&gt;=1,LEN(B882)-FIND(".",B882,FIND(".",B882)+1)&lt;=2),AND(LEN(B882)-FIND(".",B882,FIND(".",B882)+1)=4,FIND(".",B882)&gt;=2,FIND(".",B882)&lt;=3)),FIND(".",B882,FIND(".",B882)+1)-FIND(".",B882)&gt;=2,FIND(".",B882,FIND(".",B882)+1)-FIND(".",B882)&lt;=3,F882&gt;=2000,F882&lt;=2100,YEAR(I882)=F882,MONTH(I882)=G882,DAY(I882)=H882),I882,0)),0)</ns0:f>
        <ns0:v>0</ns0:v>
      </ns0:c>
      <ns0:c r="K882" s="0">
        <ns0:f>IFERROR(IF(ISNUMBER(Bookings!D882),"",TRIM(Bookings!D882&amp;"")),"")</ns0:f>
      </ns0:c>
      <ns0:c r="L882" s="0">
        <ns0:f>IFERROR(SUBSTITUTE(SUBSTITUTE(K882,"/","."),"-","."),"")</ns0:f>
      </ns0:c>
      <ns0:c r="M882" s="0">
        <ns0:f>IFERROR(LEFT(L882,FIND(".",L882)-1),"")</ns0:f>
      </ns0:c>
      <ns0:c r="N882" s="0">
        <ns0:f>IFERROR(MID(L882,FIND(".",L882)+1,FIND(".",L882,FIND(".",L882)+1)-FIND(".",L882)-1),"")</ns0:f>
      </ns0:c>
      <ns0:c r="O882" s="0">
        <ns0:f>IFERROR(MID(L882,FIND(".",L882,FIND(".",L882)+1)+1,99),"")</ns0:f>
        <ns0:v>99</ns0:v>
      </ns0:c>
      <ns0:c r="P882" s="0">
        <ns0:f>IFERROR(IF(FIND(".",L882)=5,--M882,--O882),0)</ns0:f>
        <ns0:v>0</ns0:v>
      </ns0:c>
      <ns0:c r="Q882" s="0">
        <ns0:f>IFERROR(--N882,0)</ns0:f>
        <ns0:v>0</ns0:v>
      </ns0:c>
      <ns0:c r="R882" s="0">
        <ns0:f>IFERROR(IF(FIND(".",L882)=5,--O882,--M882),0)</ns0:f>
        <ns0:v>0</ns0:v>
      </ns0:c>
      <ns0:c r="S882" s="0">
        <ns0:f>IFERROR(IF(AND(P882&gt;=2000,P882&lt;=2100,Q882&gt;=1,Q882&lt;=12,R882&gt;=1,R882&lt;=31),DATE(P882,Q882,R882),0),0)</ns0:f>
        <ns0:v>0</ns0:v>
      </ns0:c>
      <ns0:c r="T882" s="0">
        <ns0:f>IFERROR(IF(ISNUMBER(Bookings!D882),IF(AND(Bookings!D882=INT(Bookings!D882),Bookings!D882&gt;=DATE(2000,1,1),Bookings!D882&lt;=DATE(2100,12,31)),Bookings!D882,0),IF(AND(K882&lt;&gt;"",LEN("x"&amp;L882)-LEN(SUBSTITUTE("x"&amp;L882,".",""))=2,OR(1&gt;LEN(L882),MID(L882,1,1)=".",ISNUMBER(FIND("x"&amp;MID(L882,1,1),"x0x1x2x3x4x5x6x7x8x9"))),OR(2&gt;LEN(L882),MID(L882,2,1)=".",ISNUMBER(FIND("x"&amp;MID(L882,2,1),"x0x1x2x3x4x5x6x7x8x9"))),OR(3&gt;LEN(L882),MID(L882,3,1)=".",ISNUMBER(FIND("x"&amp;MID(L882,3,1),"x0x1x2x3x4x5x6x7x8x9"))),OR(4&gt;LEN(L882),MID(L882,4,1)=".",ISNUMBER(FIND("x"&amp;MID(L882,4,1),"x0x1x2x3x4x5x6x7x8x9"))),OR(5&gt;LEN(L882),MID(L882,5,1)=".",ISNUMBER(FIND("x"&amp;MID(L882,5,1),"x0x1x2x3x4x5x6x7x8x9"))),OR(6&gt;LEN(L882),MID(L882,6,1)=".",ISNUMBER(FIND("x"&amp;MID(L882,6,1),"x0x1x2x3x4x5x6x7x8x9"))),OR(7&gt;LEN(L882),MID(L882,7,1)=".",ISNUMBER(FIND("x"&amp;MID(L882,7,1),"x0x1x2x3x4x5x6x7x8x9"))),OR(8&gt;LEN(L882),MID(L882,8,1)=".",ISNUMBER(FIND("x"&amp;MID(L882,8,1),"x0x1x2x3x4x5x6x7x8x9"))),OR(9&gt;LEN(L882),MID(L882,9,1)=".",ISNUMBER(FIND("x"&amp;MID(L882,9,1),"x0x1x2x3x4x5x6x7x8x9"))),OR(10&gt;LEN(L882),MID(L882,10,1)=".",ISNUMBER(FIND("x"&amp;MID(L882,10,1),"x0x1x2x3x4x5x6x7x8x9"))),OR(AND(FIND(".",L882)=5,LEN(L882)-FIND(".",L882,FIND(".",L882)+1)&gt;=1,LEN(L882)-FIND(".",L882,FIND(".",L882)+1)&lt;=2),AND(LEN(L882)-FIND(".",L882,FIND(".",L882)+1)=4,FIND(".",L882)&gt;=2,FIND(".",L882)&lt;=3)),FIND(".",L882,FIND(".",L882)+1)-FIND(".",L882)&gt;=2,FIND(".",L882,FIND(".",L882)+1)-FIND(".",L882)&lt;=3,P882&gt;=2000,P882&lt;=2100,YEAR(S882)=P882,MONTH(S882)=Q882,DAY(S882)=R882),S882,0)),0)</ns0:f>
        <ns0:v>0</ns0:v>
      </ns0:c>
      <ns0:c r="U882" s="0" t="str">
        <ns0:f>IF(Bookings!C882="","Full day",Bookings!C882)</ns0:f>
        <ns0:v>Full day</ns0:v>
      </ns0:c>
      <ns0:c r="V882" s="0" t="str">
        <ns0:f>IF(Bookings!E882="","Full day",Bookings!E882)</ns0:f>
        <ns0:v>Full day</ns0:v>
      </ns0:c>
      <ns0:c r="W882" s="0">
        <ns0:f>IF(J882=0,0,J882+IF(U882="PM",1,0))</ns0:f>
        <ns0:v>0</ns0:v>
      </ns0:c>
      <ns0:c r="X882" s="0">
        <ns0:f>IF(T882=0,0,T882-IF(V882="PM",1,0))</ns0:f>
        <ns0:v>0</ns0:v>
      </ns0:c>
      <ns0:c r="Y882" s="0">
        <ns0:f>IF(J882=0,0,J882+IF(U882="AM",1,0))</ns0:f>
        <ns0:v>0</ns0:v>
      </ns0:c>
      <ns0:c r="Z882" s="0">
        <ns0:f>IF(T882=0,0,T882-IF(V882="AM",1,0))</ns0:f>
        <ns0:v>0</ns0:v>
      </ns0:c>
      <ns0:c r="AA882" s="0">
        <ns0:f>IFERROR(IF(AND(J882&gt;0,'_Engine'!C882&gt;0,MID('_Engine'!W882,WEEKDAY(J882,2),1)="W",COUNTIF(Settings!$F$18:$F$67,J882)=0),1,0),0)</ns0:f>
        <ns0:v>0</ns0:v>
      </ns0:c>
      <ns0:c r="AB882" s="0">
        <ns0:f>IFERROR(IF(AND(T882&gt;0,'_Engine'!C882&gt;0,MID('_Engine'!W882,WEEKDAY(T882,2),1)="W",COUNTIF(Settings!$F$18:$F$67,T882)=0),1,0),0)</ns0:f>
        <ns0:v>0</ns0:v>
      </ns0:c>
      <ns0:c r="AC882" s="0">
        <ns0:f>IF(AND(J882&gt;0,T882&gt;0,W882&lt;=X882),1,0)</ns0:f>
        <ns0:v>0</ns0:v>
      </ns0:c>
      <ns0:c r="AD882" s="0">
        <ns0:f>IF(AND(J882&gt;0,T882&gt;0,Y882&lt;=Z882),1,0)</ns0:f>
        <ns0:v>0</ns0:v>
      </ns0:c>
    </ns0:row>
    <ns0:row r="883">
      <ns0:c r="A883" s="0">
        <ns0:f>IFERROR(IF(ISNUMBER(Bookings!B883),"",TRIM(Bookings!B883&amp;"")),"")</ns0:f>
      </ns0:c>
      <ns0:c r="B883" s="0">
        <ns0:f>IFERROR(SUBSTITUTE(SUBSTITUTE(A883,"/","."),"-","."),"")</ns0:f>
      </ns0:c>
      <ns0:c r="C883" s="0">
        <ns0:f>IFERROR(LEFT(B883,FIND(".",B883)-1),"")</ns0:f>
      </ns0:c>
      <ns0:c r="D883" s="0">
        <ns0:f>IFERROR(MID(B883,FIND(".",B883)+1,FIND(".",B883,FIND(".",B883)+1)-FIND(".",B883)-1),"")</ns0:f>
      </ns0:c>
      <ns0:c r="E883" s="0">
        <ns0:f>IFERROR(MID(B883,FIND(".",B883,FIND(".",B883)+1)+1,99),"")</ns0:f>
        <ns0:v>99</ns0:v>
      </ns0:c>
      <ns0:c r="F883" s="0">
        <ns0:f>IFERROR(IF(FIND(".",B883)=5,--C883,--E883),0)</ns0:f>
        <ns0:v>0</ns0:v>
      </ns0:c>
      <ns0:c r="G883" s="0">
        <ns0:f>IFERROR(--D883,0)</ns0:f>
        <ns0:v>0</ns0:v>
      </ns0:c>
      <ns0:c r="H883" s="0">
        <ns0:f>IFERROR(IF(FIND(".",B883)=5,--E883,--C883),0)</ns0:f>
        <ns0:v>0</ns0:v>
      </ns0:c>
      <ns0:c r="I883" s="0">
        <ns0:f>IFERROR(IF(AND(F883&gt;=2000,F883&lt;=2100,G883&gt;=1,G883&lt;=12,H883&gt;=1,H883&lt;=31),DATE(F883,G883,H883),0),0)</ns0:f>
        <ns0:v>0</ns0:v>
      </ns0:c>
      <ns0:c r="J883" s="0">
        <ns0:f>IFERROR(IF(ISNUMBER(Bookings!B883),IF(AND(Bookings!B883=INT(Bookings!B883),Bookings!B883&gt;=DATE(2000,1,1),Bookings!B883&lt;=DATE(2100,12,31)),Bookings!B883,0),IF(AND(A883&lt;&gt;"",LEN("x"&amp;B883)-LEN(SUBSTITUTE("x"&amp;B883,".",""))=2,OR(1&gt;LEN(B883),MID(B883,1,1)=".",ISNUMBER(FIND("x"&amp;MID(B883,1,1),"x0x1x2x3x4x5x6x7x8x9"))),OR(2&gt;LEN(B883),MID(B883,2,1)=".",ISNUMBER(FIND("x"&amp;MID(B883,2,1),"x0x1x2x3x4x5x6x7x8x9"))),OR(3&gt;LEN(B883),MID(B883,3,1)=".",ISNUMBER(FIND("x"&amp;MID(B883,3,1),"x0x1x2x3x4x5x6x7x8x9"))),OR(4&gt;LEN(B883),MID(B883,4,1)=".",ISNUMBER(FIND("x"&amp;MID(B883,4,1),"x0x1x2x3x4x5x6x7x8x9"))),OR(5&gt;LEN(B883),MID(B883,5,1)=".",ISNUMBER(FIND("x"&amp;MID(B883,5,1),"x0x1x2x3x4x5x6x7x8x9"))),OR(6&gt;LEN(B883),MID(B883,6,1)=".",ISNUMBER(FIND("x"&amp;MID(B883,6,1),"x0x1x2x3x4x5x6x7x8x9"))),OR(7&gt;LEN(B883),MID(B883,7,1)=".",ISNUMBER(FIND("x"&amp;MID(B883,7,1),"x0x1x2x3x4x5x6x7x8x9"))),OR(8&gt;LEN(B883),MID(B883,8,1)=".",ISNUMBER(FIND("x"&amp;MID(B883,8,1),"x0x1x2x3x4x5x6x7x8x9"))),OR(9&gt;LEN(B883),MID(B883,9,1)=".",ISNUMBER(FIND("x"&amp;MID(B883,9,1),"x0x1x2x3x4x5x6x7x8x9"))),OR(10&gt;LEN(B883),MID(B883,10,1)=".",ISNUMBER(FIND("x"&amp;MID(B883,10,1),"x0x1x2x3x4x5x6x7x8x9"))),OR(AND(FIND(".",B883)=5,LEN(B883)-FIND(".",B883,FIND(".",B883)+1)&gt;=1,LEN(B883)-FIND(".",B883,FIND(".",B883)+1)&lt;=2),AND(LEN(B883)-FIND(".",B883,FIND(".",B883)+1)=4,FIND(".",B883)&gt;=2,FIND(".",B883)&lt;=3)),FIND(".",B883,FIND(".",B883)+1)-FIND(".",B883)&gt;=2,FIND(".",B883,FIND(".",B883)+1)-FIND(".",B883)&lt;=3,F883&gt;=2000,F883&lt;=2100,YEAR(I883)=F883,MONTH(I883)=G883,DAY(I883)=H883),I883,0)),0)</ns0:f>
        <ns0:v>0</ns0:v>
      </ns0:c>
      <ns0:c r="K883" s="0">
        <ns0:f>IFERROR(IF(ISNUMBER(Bookings!D883),"",TRIM(Bookings!D883&amp;"")),"")</ns0:f>
      </ns0:c>
      <ns0:c r="L883" s="0">
        <ns0:f>IFERROR(SUBSTITUTE(SUBSTITUTE(K883,"/","."),"-","."),"")</ns0:f>
      </ns0:c>
      <ns0:c r="M883" s="0">
        <ns0:f>IFERROR(LEFT(L883,FIND(".",L883)-1),"")</ns0:f>
      </ns0:c>
      <ns0:c r="N883" s="0">
        <ns0:f>IFERROR(MID(L883,FIND(".",L883)+1,FIND(".",L883,FIND(".",L883)+1)-FIND(".",L883)-1),"")</ns0:f>
      </ns0:c>
      <ns0:c r="O883" s="0">
        <ns0:f>IFERROR(MID(L883,FIND(".",L883,FIND(".",L883)+1)+1,99),"")</ns0:f>
        <ns0:v>99</ns0:v>
      </ns0:c>
      <ns0:c r="P883" s="0">
        <ns0:f>IFERROR(IF(FIND(".",L883)=5,--M883,--O883),0)</ns0:f>
        <ns0:v>0</ns0:v>
      </ns0:c>
      <ns0:c r="Q883" s="0">
        <ns0:f>IFERROR(--N883,0)</ns0:f>
        <ns0:v>0</ns0:v>
      </ns0:c>
      <ns0:c r="R883" s="0">
        <ns0:f>IFERROR(IF(FIND(".",L883)=5,--O883,--M883),0)</ns0:f>
        <ns0:v>0</ns0:v>
      </ns0:c>
      <ns0:c r="S883" s="0">
        <ns0:f>IFERROR(IF(AND(P883&gt;=2000,P883&lt;=2100,Q883&gt;=1,Q883&lt;=12,R883&gt;=1,R883&lt;=31),DATE(P883,Q883,R883),0),0)</ns0:f>
        <ns0:v>0</ns0:v>
      </ns0:c>
      <ns0:c r="T883" s="0">
        <ns0:f>IFERROR(IF(ISNUMBER(Bookings!D883),IF(AND(Bookings!D883=INT(Bookings!D883),Bookings!D883&gt;=DATE(2000,1,1),Bookings!D883&lt;=DATE(2100,12,31)),Bookings!D883,0),IF(AND(K883&lt;&gt;"",LEN("x"&amp;L883)-LEN(SUBSTITUTE("x"&amp;L883,".",""))=2,OR(1&gt;LEN(L883),MID(L883,1,1)=".",ISNUMBER(FIND("x"&amp;MID(L883,1,1),"x0x1x2x3x4x5x6x7x8x9"))),OR(2&gt;LEN(L883),MID(L883,2,1)=".",ISNUMBER(FIND("x"&amp;MID(L883,2,1),"x0x1x2x3x4x5x6x7x8x9"))),OR(3&gt;LEN(L883),MID(L883,3,1)=".",ISNUMBER(FIND("x"&amp;MID(L883,3,1),"x0x1x2x3x4x5x6x7x8x9"))),OR(4&gt;LEN(L883),MID(L883,4,1)=".",ISNUMBER(FIND("x"&amp;MID(L883,4,1),"x0x1x2x3x4x5x6x7x8x9"))),OR(5&gt;LEN(L883),MID(L883,5,1)=".",ISNUMBER(FIND("x"&amp;MID(L883,5,1),"x0x1x2x3x4x5x6x7x8x9"))),OR(6&gt;LEN(L883),MID(L883,6,1)=".",ISNUMBER(FIND("x"&amp;MID(L883,6,1),"x0x1x2x3x4x5x6x7x8x9"))),OR(7&gt;LEN(L883),MID(L883,7,1)=".",ISNUMBER(FIND("x"&amp;MID(L883,7,1),"x0x1x2x3x4x5x6x7x8x9"))),OR(8&gt;LEN(L883),MID(L883,8,1)=".",ISNUMBER(FIND("x"&amp;MID(L883,8,1),"x0x1x2x3x4x5x6x7x8x9"))),OR(9&gt;LEN(L883),MID(L883,9,1)=".",ISNUMBER(FIND("x"&amp;MID(L883,9,1),"x0x1x2x3x4x5x6x7x8x9"))),OR(10&gt;LEN(L883),MID(L883,10,1)=".",ISNUMBER(FIND("x"&amp;MID(L883,10,1),"x0x1x2x3x4x5x6x7x8x9"))),OR(AND(FIND(".",L883)=5,LEN(L883)-FIND(".",L883,FIND(".",L883)+1)&gt;=1,LEN(L883)-FIND(".",L883,FIND(".",L883)+1)&lt;=2),AND(LEN(L883)-FIND(".",L883,FIND(".",L883)+1)=4,FIND(".",L883)&gt;=2,FIND(".",L883)&lt;=3)),FIND(".",L883,FIND(".",L883)+1)-FIND(".",L883)&gt;=2,FIND(".",L883,FIND(".",L883)+1)-FIND(".",L883)&lt;=3,P883&gt;=2000,P883&lt;=2100,YEAR(S883)=P883,MONTH(S883)=Q883,DAY(S883)=R883),S883,0)),0)</ns0:f>
        <ns0:v>0</ns0:v>
      </ns0:c>
      <ns0:c r="U883" s="0" t="str">
        <ns0:f>IF(Bookings!C883="","Full day",Bookings!C883)</ns0:f>
        <ns0:v>Full day</ns0:v>
      </ns0:c>
      <ns0:c r="V883" s="0" t="str">
        <ns0:f>IF(Bookings!E883="","Full day",Bookings!E883)</ns0:f>
        <ns0:v>Full day</ns0:v>
      </ns0:c>
      <ns0:c r="W883" s="0">
        <ns0:f>IF(J883=0,0,J883+IF(U883="PM",1,0))</ns0:f>
        <ns0:v>0</ns0:v>
      </ns0:c>
      <ns0:c r="X883" s="0">
        <ns0:f>IF(T883=0,0,T883-IF(V883="PM",1,0))</ns0:f>
        <ns0:v>0</ns0:v>
      </ns0:c>
      <ns0:c r="Y883" s="0">
        <ns0:f>IF(J883=0,0,J883+IF(U883="AM",1,0))</ns0:f>
        <ns0:v>0</ns0:v>
      </ns0:c>
      <ns0:c r="Z883" s="0">
        <ns0:f>IF(T883=0,0,T883-IF(V883="AM",1,0))</ns0:f>
        <ns0:v>0</ns0:v>
      </ns0:c>
      <ns0:c r="AA883" s="0">
        <ns0:f>IFERROR(IF(AND(J883&gt;0,'_Engine'!C883&gt;0,MID('_Engine'!W883,WEEKDAY(J883,2),1)="W",COUNTIF(Settings!$F$18:$F$67,J883)=0),1,0),0)</ns0:f>
        <ns0:v>0</ns0:v>
      </ns0:c>
      <ns0:c r="AB883" s="0">
        <ns0:f>IFERROR(IF(AND(T883&gt;0,'_Engine'!C883&gt;0,MID('_Engine'!W883,WEEKDAY(T883,2),1)="W",COUNTIF(Settings!$F$18:$F$67,T883)=0),1,0),0)</ns0:f>
        <ns0:v>0</ns0:v>
      </ns0:c>
      <ns0:c r="AC883" s="0">
        <ns0:f>IF(AND(J883&gt;0,T883&gt;0,W883&lt;=X883),1,0)</ns0:f>
        <ns0:v>0</ns0:v>
      </ns0:c>
      <ns0:c r="AD883" s="0">
        <ns0:f>IF(AND(J883&gt;0,T883&gt;0,Y883&lt;=Z883),1,0)</ns0:f>
        <ns0:v>0</ns0:v>
      </ns0:c>
    </ns0:row>
    <ns0:row r="884">
      <ns0:c r="A884" s="0">
        <ns0:f>IFERROR(IF(ISNUMBER(Bookings!B884),"",TRIM(Bookings!B884&amp;"")),"")</ns0:f>
      </ns0:c>
      <ns0:c r="B884" s="0">
        <ns0:f>IFERROR(SUBSTITUTE(SUBSTITUTE(A884,"/","."),"-","."),"")</ns0:f>
      </ns0:c>
      <ns0:c r="C884" s="0">
        <ns0:f>IFERROR(LEFT(B884,FIND(".",B884)-1),"")</ns0:f>
      </ns0:c>
      <ns0:c r="D884" s="0">
        <ns0:f>IFERROR(MID(B884,FIND(".",B884)+1,FIND(".",B884,FIND(".",B884)+1)-FIND(".",B884)-1),"")</ns0:f>
      </ns0:c>
      <ns0:c r="E884" s="0">
        <ns0:f>IFERROR(MID(B884,FIND(".",B884,FIND(".",B884)+1)+1,99),"")</ns0:f>
        <ns0:v>99</ns0:v>
      </ns0:c>
      <ns0:c r="F884" s="0">
        <ns0:f>IFERROR(IF(FIND(".",B884)=5,--C884,--E884),0)</ns0:f>
        <ns0:v>0</ns0:v>
      </ns0:c>
      <ns0:c r="G884" s="0">
        <ns0:f>IFERROR(--D884,0)</ns0:f>
        <ns0:v>0</ns0:v>
      </ns0:c>
      <ns0:c r="H884" s="0">
        <ns0:f>IFERROR(IF(FIND(".",B884)=5,--E884,--C884),0)</ns0:f>
        <ns0:v>0</ns0:v>
      </ns0:c>
      <ns0:c r="I884" s="0">
        <ns0:f>IFERROR(IF(AND(F884&gt;=2000,F884&lt;=2100,G884&gt;=1,G884&lt;=12,H884&gt;=1,H884&lt;=31),DATE(F884,G884,H884),0),0)</ns0:f>
        <ns0:v>0</ns0:v>
      </ns0:c>
      <ns0:c r="J884" s="0">
        <ns0:f>IFERROR(IF(ISNUMBER(Bookings!B884),IF(AND(Bookings!B884=INT(Bookings!B884),Bookings!B884&gt;=DATE(2000,1,1),Bookings!B884&lt;=DATE(2100,12,31)),Bookings!B884,0),IF(AND(A884&lt;&gt;"",LEN("x"&amp;B884)-LEN(SUBSTITUTE("x"&amp;B884,".",""))=2,OR(1&gt;LEN(B884),MID(B884,1,1)=".",ISNUMBER(FIND("x"&amp;MID(B884,1,1),"x0x1x2x3x4x5x6x7x8x9"))),OR(2&gt;LEN(B884),MID(B884,2,1)=".",ISNUMBER(FIND("x"&amp;MID(B884,2,1),"x0x1x2x3x4x5x6x7x8x9"))),OR(3&gt;LEN(B884),MID(B884,3,1)=".",ISNUMBER(FIND("x"&amp;MID(B884,3,1),"x0x1x2x3x4x5x6x7x8x9"))),OR(4&gt;LEN(B884),MID(B884,4,1)=".",ISNUMBER(FIND("x"&amp;MID(B884,4,1),"x0x1x2x3x4x5x6x7x8x9"))),OR(5&gt;LEN(B884),MID(B884,5,1)=".",ISNUMBER(FIND("x"&amp;MID(B884,5,1),"x0x1x2x3x4x5x6x7x8x9"))),OR(6&gt;LEN(B884),MID(B884,6,1)=".",ISNUMBER(FIND("x"&amp;MID(B884,6,1),"x0x1x2x3x4x5x6x7x8x9"))),OR(7&gt;LEN(B884),MID(B884,7,1)=".",ISNUMBER(FIND("x"&amp;MID(B884,7,1),"x0x1x2x3x4x5x6x7x8x9"))),OR(8&gt;LEN(B884),MID(B884,8,1)=".",ISNUMBER(FIND("x"&amp;MID(B884,8,1),"x0x1x2x3x4x5x6x7x8x9"))),OR(9&gt;LEN(B884),MID(B884,9,1)=".",ISNUMBER(FIND("x"&amp;MID(B884,9,1),"x0x1x2x3x4x5x6x7x8x9"))),OR(10&gt;LEN(B884),MID(B884,10,1)=".",ISNUMBER(FIND("x"&amp;MID(B884,10,1),"x0x1x2x3x4x5x6x7x8x9"))),OR(AND(FIND(".",B884)=5,LEN(B884)-FIND(".",B884,FIND(".",B884)+1)&gt;=1,LEN(B884)-FIND(".",B884,FIND(".",B884)+1)&lt;=2),AND(LEN(B884)-FIND(".",B884,FIND(".",B884)+1)=4,FIND(".",B884)&gt;=2,FIND(".",B884)&lt;=3)),FIND(".",B884,FIND(".",B884)+1)-FIND(".",B884)&gt;=2,FIND(".",B884,FIND(".",B884)+1)-FIND(".",B884)&lt;=3,F884&gt;=2000,F884&lt;=2100,YEAR(I884)=F884,MONTH(I884)=G884,DAY(I884)=H884),I884,0)),0)</ns0:f>
        <ns0:v>0</ns0:v>
      </ns0:c>
      <ns0:c r="K884" s="0">
        <ns0:f>IFERROR(IF(ISNUMBER(Bookings!D884),"",TRIM(Bookings!D884&amp;"")),"")</ns0:f>
      </ns0:c>
      <ns0:c r="L884" s="0">
        <ns0:f>IFERROR(SUBSTITUTE(SUBSTITUTE(K884,"/","."),"-","."),"")</ns0:f>
      </ns0:c>
      <ns0:c r="M884" s="0">
        <ns0:f>IFERROR(LEFT(L884,FIND(".",L884)-1),"")</ns0:f>
      </ns0:c>
      <ns0:c r="N884" s="0">
        <ns0:f>IFERROR(MID(L884,FIND(".",L884)+1,FIND(".",L884,FIND(".",L884)+1)-FIND(".",L884)-1),"")</ns0:f>
      </ns0:c>
      <ns0:c r="O884" s="0">
        <ns0:f>IFERROR(MID(L884,FIND(".",L884,FIND(".",L884)+1)+1,99),"")</ns0:f>
        <ns0:v>99</ns0:v>
      </ns0:c>
      <ns0:c r="P884" s="0">
        <ns0:f>IFERROR(IF(FIND(".",L884)=5,--M884,--O884),0)</ns0:f>
        <ns0:v>0</ns0:v>
      </ns0:c>
      <ns0:c r="Q884" s="0">
        <ns0:f>IFERROR(--N884,0)</ns0:f>
        <ns0:v>0</ns0:v>
      </ns0:c>
      <ns0:c r="R884" s="0">
        <ns0:f>IFERROR(IF(FIND(".",L884)=5,--O884,--M884),0)</ns0:f>
        <ns0:v>0</ns0:v>
      </ns0:c>
      <ns0:c r="S884" s="0">
        <ns0:f>IFERROR(IF(AND(P884&gt;=2000,P884&lt;=2100,Q884&gt;=1,Q884&lt;=12,R884&gt;=1,R884&lt;=31),DATE(P884,Q884,R884),0),0)</ns0:f>
        <ns0:v>0</ns0:v>
      </ns0:c>
      <ns0:c r="T884" s="0">
        <ns0:f>IFERROR(IF(ISNUMBER(Bookings!D884),IF(AND(Bookings!D884=INT(Bookings!D884),Bookings!D884&gt;=DATE(2000,1,1),Bookings!D884&lt;=DATE(2100,12,31)),Bookings!D884,0),IF(AND(K884&lt;&gt;"",LEN("x"&amp;L884)-LEN(SUBSTITUTE("x"&amp;L884,".",""))=2,OR(1&gt;LEN(L884),MID(L884,1,1)=".",ISNUMBER(FIND("x"&amp;MID(L884,1,1),"x0x1x2x3x4x5x6x7x8x9"))),OR(2&gt;LEN(L884),MID(L884,2,1)=".",ISNUMBER(FIND("x"&amp;MID(L884,2,1),"x0x1x2x3x4x5x6x7x8x9"))),OR(3&gt;LEN(L884),MID(L884,3,1)=".",ISNUMBER(FIND("x"&amp;MID(L884,3,1),"x0x1x2x3x4x5x6x7x8x9"))),OR(4&gt;LEN(L884),MID(L884,4,1)=".",ISNUMBER(FIND("x"&amp;MID(L884,4,1),"x0x1x2x3x4x5x6x7x8x9"))),OR(5&gt;LEN(L884),MID(L884,5,1)=".",ISNUMBER(FIND("x"&amp;MID(L884,5,1),"x0x1x2x3x4x5x6x7x8x9"))),OR(6&gt;LEN(L884),MID(L884,6,1)=".",ISNUMBER(FIND("x"&amp;MID(L884,6,1),"x0x1x2x3x4x5x6x7x8x9"))),OR(7&gt;LEN(L884),MID(L884,7,1)=".",ISNUMBER(FIND("x"&amp;MID(L884,7,1),"x0x1x2x3x4x5x6x7x8x9"))),OR(8&gt;LEN(L884),MID(L884,8,1)=".",ISNUMBER(FIND("x"&amp;MID(L884,8,1),"x0x1x2x3x4x5x6x7x8x9"))),OR(9&gt;LEN(L884),MID(L884,9,1)=".",ISNUMBER(FIND("x"&amp;MID(L884,9,1),"x0x1x2x3x4x5x6x7x8x9"))),OR(10&gt;LEN(L884),MID(L884,10,1)=".",ISNUMBER(FIND("x"&amp;MID(L884,10,1),"x0x1x2x3x4x5x6x7x8x9"))),OR(AND(FIND(".",L884)=5,LEN(L884)-FIND(".",L884,FIND(".",L884)+1)&gt;=1,LEN(L884)-FIND(".",L884,FIND(".",L884)+1)&lt;=2),AND(LEN(L884)-FIND(".",L884,FIND(".",L884)+1)=4,FIND(".",L884)&gt;=2,FIND(".",L884)&lt;=3)),FIND(".",L884,FIND(".",L884)+1)-FIND(".",L884)&gt;=2,FIND(".",L884,FIND(".",L884)+1)-FIND(".",L884)&lt;=3,P884&gt;=2000,P884&lt;=2100,YEAR(S884)=P884,MONTH(S884)=Q884,DAY(S884)=R884),S884,0)),0)</ns0:f>
        <ns0:v>0</ns0:v>
      </ns0:c>
      <ns0:c r="U884" s="0" t="str">
        <ns0:f>IF(Bookings!C884="","Full day",Bookings!C884)</ns0:f>
        <ns0:v>Full day</ns0:v>
      </ns0:c>
      <ns0:c r="V884" s="0" t="str">
        <ns0:f>IF(Bookings!E884="","Full day",Bookings!E884)</ns0:f>
        <ns0:v>Full day</ns0:v>
      </ns0:c>
      <ns0:c r="W884" s="0">
        <ns0:f>IF(J884=0,0,J884+IF(U884="PM",1,0))</ns0:f>
        <ns0:v>0</ns0:v>
      </ns0:c>
      <ns0:c r="X884" s="0">
        <ns0:f>IF(T884=0,0,T884-IF(V884="PM",1,0))</ns0:f>
        <ns0:v>0</ns0:v>
      </ns0:c>
      <ns0:c r="Y884" s="0">
        <ns0:f>IF(J884=0,0,J884+IF(U884="AM",1,0))</ns0:f>
        <ns0:v>0</ns0:v>
      </ns0:c>
      <ns0:c r="Z884" s="0">
        <ns0:f>IF(T884=0,0,T884-IF(V884="AM",1,0))</ns0:f>
        <ns0:v>0</ns0:v>
      </ns0:c>
      <ns0:c r="AA884" s="0">
        <ns0:f>IFERROR(IF(AND(J884&gt;0,'_Engine'!C884&gt;0,MID('_Engine'!W884,WEEKDAY(J884,2),1)="W",COUNTIF(Settings!$F$18:$F$67,J884)=0),1,0),0)</ns0:f>
        <ns0:v>0</ns0:v>
      </ns0:c>
      <ns0:c r="AB884" s="0">
        <ns0:f>IFERROR(IF(AND(T884&gt;0,'_Engine'!C884&gt;0,MID('_Engine'!W884,WEEKDAY(T884,2),1)="W",COUNTIF(Settings!$F$18:$F$67,T884)=0),1,0),0)</ns0:f>
        <ns0:v>0</ns0:v>
      </ns0:c>
      <ns0:c r="AC884" s="0">
        <ns0:f>IF(AND(J884&gt;0,T884&gt;0,W884&lt;=X884),1,0)</ns0:f>
        <ns0:v>0</ns0:v>
      </ns0:c>
      <ns0:c r="AD884" s="0">
        <ns0:f>IF(AND(J884&gt;0,T884&gt;0,Y884&lt;=Z884),1,0)</ns0:f>
        <ns0:v>0</ns0:v>
      </ns0:c>
    </ns0:row>
    <ns0:row r="885">
      <ns0:c r="A885" s="0">
        <ns0:f>IFERROR(IF(ISNUMBER(Bookings!B885),"",TRIM(Bookings!B885&amp;"")),"")</ns0:f>
      </ns0:c>
      <ns0:c r="B885" s="0">
        <ns0:f>IFERROR(SUBSTITUTE(SUBSTITUTE(A885,"/","."),"-","."),"")</ns0:f>
      </ns0:c>
      <ns0:c r="C885" s="0">
        <ns0:f>IFERROR(LEFT(B885,FIND(".",B885)-1),"")</ns0:f>
      </ns0:c>
      <ns0:c r="D885" s="0">
        <ns0:f>IFERROR(MID(B885,FIND(".",B885)+1,FIND(".",B885,FIND(".",B885)+1)-FIND(".",B885)-1),"")</ns0:f>
      </ns0:c>
      <ns0:c r="E885" s="0">
        <ns0:f>IFERROR(MID(B885,FIND(".",B885,FIND(".",B885)+1)+1,99),"")</ns0:f>
        <ns0:v>99</ns0:v>
      </ns0:c>
      <ns0:c r="F885" s="0">
        <ns0:f>IFERROR(IF(FIND(".",B885)=5,--C885,--E885),0)</ns0:f>
        <ns0:v>0</ns0:v>
      </ns0:c>
      <ns0:c r="G885" s="0">
        <ns0:f>IFERROR(--D885,0)</ns0:f>
        <ns0:v>0</ns0:v>
      </ns0:c>
      <ns0:c r="H885" s="0">
        <ns0:f>IFERROR(IF(FIND(".",B885)=5,--E885,--C885),0)</ns0:f>
        <ns0:v>0</ns0:v>
      </ns0:c>
      <ns0:c r="I885" s="0">
        <ns0:f>IFERROR(IF(AND(F885&gt;=2000,F885&lt;=2100,G885&gt;=1,G885&lt;=12,H885&gt;=1,H885&lt;=31),DATE(F885,G885,H885),0),0)</ns0:f>
        <ns0:v>0</ns0:v>
      </ns0:c>
      <ns0:c r="J885" s="0">
        <ns0:f>IFERROR(IF(ISNUMBER(Bookings!B885),IF(AND(Bookings!B885=INT(Bookings!B885),Bookings!B885&gt;=DATE(2000,1,1),Bookings!B885&lt;=DATE(2100,12,31)),Bookings!B885,0),IF(AND(A885&lt;&gt;"",LEN("x"&amp;B885)-LEN(SUBSTITUTE("x"&amp;B885,".",""))=2,OR(1&gt;LEN(B885),MID(B885,1,1)=".",ISNUMBER(FIND("x"&amp;MID(B885,1,1),"x0x1x2x3x4x5x6x7x8x9"))),OR(2&gt;LEN(B885),MID(B885,2,1)=".",ISNUMBER(FIND("x"&amp;MID(B885,2,1),"x0x1x2x3x4x5x6x7x8x9"))),OR(3&gt;LEN(B885),MID(B885,3,1)=".",ISNUMBER(FIND("x"&amp;MID(B885,3,1),"x0x1x2x3x4x5x6x7x8x9"))),OR(4&gt;LEN(B885),MID(B885,4,1)=".",ISNUMBER(FIND("x"&amp;MID(B885,4,1),"x0x1x2x3x4x5x6x7x8x9"))),OR(5&gt;LEN(B885),MID(B885,5,1)=".",ISNUMBER(FIND("x"&amp;MID(B885,5,1),"x0x1x2x3x4x5x6x7x8x9"))),OR(6&gt;LEN(B885),MID(B885,6,1)=".",ISNUMBER(FIND("x"&amp;MID(B885,6,1),"x0x1x2x3x4x5x6x7x8x9"))),OR(7&gt;LEN(B885),MID(B885,7,1)=".",ISNUMBER(FIND("x"&amp;MID(B885,7,1),"x0x1x2x3x4x5x6x7x8x9"))),OR(8&gt;LEN(B885),MID(B885,8,1)=".",ISNUMBER(FIND("x"&amp;MID(B885,8,1),"x0x1x2x3x4x5x6x7x8x9"))),OR(9&gt;LEN(B885),MID(B885,9,1)=".",ISNUMBER(FIND("x"&amp;MID(B885,9,1),"x0x1x2x3x4x5x6x7x8x9"))),OR(10&gt;LEN(B885),MID(B885,10,1)=".",ISNUMBER(FIND("x"&amp;MID(B885,10,1),"x0x1x2x3x4x5x6x7x8x9"))),OR(AND(FIND(".",B885)=5,LEN(B885)-FIND(".",B885,FIND(".",B885)+1)&gt;=1,LEN(B885)-FIND(".",B885,FIND(".",B885)+1)&lt;=2),AND(LEN(B885)-FIND(".",B885,FIND(".",B885)+1)=4,FIND(".",B885)&gt;=2,FIND(".",B885)&lt;=3)),FIND(".",B885,FIND(".",B885)+1)-FIND(".",B885)&gt;=2,FIND(".",B885,FIND(".",B885)+1)-FIND(".",B885)&lt;=3,F885&gt;=2000,F885&lt;=2100,YEAR(I885)=F885,MONTH(I885)=G885,DAY(I885)=H885),I885,0)),0)</ns0:f>
        <ns0:v>0</ns0:v>
      </ns0:c>
      <ns0:c r="K885" s="0">
        <ns0:f>IFERROR(IF(ISNUMBER(Bookings!D885),"",TRIM(Bookings!D885&amp;"")),"")</ns0:f>
      </ns0:c>
      <ns0:c r="L885" s="0">
        <ns0:f>IFERROR(SUBSTITUTE(SUBSTITUTE(K885,"/","."),"-","."),"")</ns0:f>
      </ns0:c>
      <ns0:c r="M885" s="0">
        <ns0:f>IFERROR(LEFT(L885,FIND(".",L885)-1),"")</ns0:f>
      </ns0:c>
      <ns0:c r="N885" s="0">
        <ns0:f>IFERROR(MID(L885,FIND(".",L885)+1,FIND(".",L885,FIND(".",L885)+1)-FIND(".",L885)-1),"")</ns0:f>
      </ns0:c>
      <ns0:c r="O885" s="0">
        <ns0:f>IFERROR(MID(L885,FIND(".",L885,FIND(".",L885)+1)+1,99),"")</ns0:f>
        <ns0:v>99</ns0:v>
      </ns0:c>
      <ns0:c r="P885" s="0">
        <ns0:f>IFERROR(IF(FIND(".",L885)=5,--M885,--O885),0)</ns0:f>
        <ns0:v>0</ns0:v>
      </ns0:c>
      <ns0:c r="Q885" s="0">
        <ns0:f>IFERROR(--N885,0)</ns0:f>
        <ns0:v>0</ns0:v>
      </ns0:c>
      <ns0:c r="R885" s="0">
        <ns0:f>IFERROR(IF(FIND(".",L885)=5,--O885,--M885),0)</ns0:f>
        <ns0:v>0</ns0:v>
      </ns0:c>
      <ns0:c r="S885" s="0">
        <ns0:f>IFERROR(IF(AND(P885&gt;=2000,P885&lt;=2100,Q885&gt;=1,Q885&lt;=12,R885&gt;=1,R885&lt;=31),DATE(P885,Q885,R885),0),0)</ns0:f>
        <ns0:v>0</ns0:v>
      </ns0:c>
      <ns0:c r="T885" s="0">
        <ns0:f>IFERROR(IF(ISNUMBER(Bookings!D885),IF(AND(Bookings!D885=INT(Bookings!D885),Bookings!D885&gt;=DATE(2000,1,1),Bookings!D885&lt;=DATE(2100,12,31)),Bookings!D885,0),IF(AND(K885&lt;&gt;"",LEN("x"&amp;L885)-LEN(SUBSTITUTE("x"&amp;L885,".",""))=2,OR(1&gt;LEN(L885),MID(L885,1,1)=".",ISNUMBER(FIND("x"&amp;MID(L885,1,1),"x0x1x2x3x4x5x6x7x8x9"))),OR(2&gt;LEN(L885),MID(L885,2,1)=".",ISNUMBER(FIND("x"&amp;MID(L885,2,1),"x0x1x2x3x4x5x6x7x8x9"))),OR(3&gt;LEN(L885),MID(L885,3,1)=".",ISNUMBER(FIND("x"&amp;MID(L885,3,1),"x0x1x2x3x4x5x6x7x8x9"))),OR(4&gt;LEN(L885),MID(L885,4,1)=".",ISNUMBER(FIND("x"&amp;MID(L885,4,1),"x0x1x2x3x4x5x6x7x8x9"))),OR(5&gt;LEN(L885),MID(L885,5,1)=".",ISNUMBER(FIND("x"&amp;MID(L885,5,1),"x0x1x2x3x4x5x6x7x8x9"))),OR(6&gt;LEN(L885),MID(L885,6,1)=".",ISNUMBER(FIND("x"&amp;MID(L885,6,1),"x0x1x2x3x4x5x6x7x8x9"))),OR(7&gt;LEN(L885),MID(L885,7,1)=".",ISNUMBER(FIND("x"&amp;MID(L885,7,1),"x0x1x2x3x4x5x6x7x8x9"))),OR(8&gt;LEN(L885),MID(L885,8,1)=".",ISNUMBER(FIND("x"&amp;MID(L885,8,1),"x0x1x2x3x4x5x6x7x8x9"))),OR(9&gt;LEN(L885),MID(L885,9,1)=".",ISNUMBER(FIND("x"&amp;MID(L885,9,1),"x0x1x2x3x4x5x6x7x8x9"))),OR(10&gt;LEN(L885),MID(L885,10,1)=".",ISNUMBER(FIND("x"&amp;MID(L885,10,1),"x0x1x2x3x4x5x6x7x8x9"))),OR(AND(FIND(".",L885)=5,LEN(L885)-FIND(".",L885,FIND(".",L885)+1)&gt;=1,LEN(L885)-FIND(".",L885,FIND(".",L885)+1)&lt;=2),AND(LEN(L885)-FIND(".",L885,FIND(".",L885)+1)=4,FIND(".",L885)&gt;=2,FIND(".",L885)&lt;=3)),FIND(".",L885,FIND(".",L885)+1)-FIND(".",L885)&gt;=2,FIND(".",L885,FIND(".",L885)+1)-FIND(".",L885)&lt;=3,P885&gt;=2000,P885&lt;=2100,YEAR(S885)=P885,MONTH(S885)=Q885,DAY(S885)=R885),S885,0)),0)</ns0:f>
        <ns0:v>0</ns0:v>
      </ns0:c>
      <ns0:c r="U885" s="0" t="str">
        <ns0:f>IF(Bookings!C885="","Full day",Bookings!C885)</ns0:f>
        <ns0:v>Full day</ns0:v>
      </ns0:c>
      <ns0:c r="V885" s="0" t="str">
        <ns0:f>IF(Bookings!E885="","Full day",Bookings!E885)</ns0:f>
        <ns0:v>Full day</ns0:v>
      </ns0:c>
      <ns0:c r="W885" s="0">
        <ns0:f>IF(J885=0,0,J885+IF(U885="PM",1,0))</ns0:f>
        <ns0:v>0</ns0:v>
      </ns0:c>
      <ns0:c r="X885" s="0">
        <ns0:f>IF(T885=0,0,T885-IF(V885="PM",1,0))</ns0:f>
        <ns0:v>0</ns0:v>
      </ns0:c>
      <ns0:c r="Y885" s="0">
        <ns0:f>IF(J885=0,0,J885+IF(U885="AM",1,0))</ns0:f>
        <ns0:v>0</ns0:v>
      </ns0:c>
      <ns0:c r="Z885" s="0">
        <ns0:f>IF(T885=0,0,T885-IF(V885="AM",1,0))</ns0:f>
        <ns0:v>0</ns0:v>
      </ns0:c>
      <ns0:c r="AA885" s="0">
        <ns0:f>IFERROR(IF(AND(J885&gt;0,'_Engine'!C885&gt;0,MID('_Engine'!W885,WEEKDAY(J885,2),1)="W",COUNTIF(Settings!$F$18:$F$67,J885)=0),1,0),0)</ns0:f>
        <ns0:v>0</ns0:v>
      </ns0:c>
      <ns0:c r="AB885" s="0">
        <ns0:f>IFERROR(IF(AND(T885&gt;0,'_Engine'!C885&gt;0,MID('_Engine'!W885,WEEKDAY(T885,2),1)="W",COUNTIF(Settings!$F$18:$F$67,T885)=0),1,0),0)</ns0:f>
        <ns0:v>0</ns0:v>
      </ns0:c>
      <ns0:c r="AC885" s="0">
        <ns0:f>IF(AND(J885&gt;0,T885&gt;0,W885&lt;=X885),1,0)</ns0:f>
        <ns0:v>0</ns0:v>
      </ns0:c>
      <ns0:c r="AD885" s="0">
        <ns0:f>IF(AND(J885&gt;0,T885&gt;0,Y885&lt;=Z885),1,0)</ns0:f>
        <ns0:v>0</ns0:v>
      </ns0:c>
    </ns0:row>
    <ns0:row r="886">
      <ns0:c r="A886" s="0">
        <ns0:f>IFERROR(IF(ISNUMBER(Bookings!B886),"",TRIM(Bookings!B886&amp;"")),"")</ns0:f>
      </ns0:c>
      <ns0:c r="B886" s="0">
        <ns0:f>IFERROR(SUBSTITUTE(SUBSTITUTE(A886,"/","."),"-","."),"")</ns0:f>
      </ns0:c>
      <ns0:c r="C886" s="0">
        <ns0:f>IFERROR(LEFT(B886,FIND(".",B886)-1),"")</ns0:f>
      </ns0:c>
      <ns0:c r="D886" s="0">
        <ns0:f>IFERROR(MID(B886,FIND(".",B886)+1,FIND(".",B886,FIND(".",B886)+1)-FIND(".",B886)-1),"")</ns0:f>
      </ns0:c>
      <ns0:c r="E886" s="0">
        <ns0:f>IFERROR(MID(B886,FIND(".",B886,FIND(".",B886)+1)+1,99),"")</ns0:f>
        <ns0:v>99</ns0:v>
      </ns0:c>
      <ns0:c r="F886" s="0">
        <ns0:f>IFERROR(IF(FIND(".",B886)=5,--C886,--E886),0)</ns0:f>
        <ns0:v>0</ns0:v>
      </ns0:c>
      <ns0:c r="G886" s="0">
        <ns0:f>IFERROR(--D886,0)</ns0:f>
        <ns0:v>0</ns0:v>
      </ns0:c>
      <ns0:c r="H886" s="0">
        <ns0:f>IFERROR(IF(FIND(".",B886)=5,--E886,--C886),0)</ns0:f>
        <ns0:v>0</ns0:v>
      </ns0:c>
      <ns0:c r="I886" s="0">
        <ns0:f>IFERROR(IF(AND(F886&gt;=2000,F886&lt;=2100,G886&gt;=1,G886&lt;=12,H886&gt;=1,H886&lt;=31),DATE(F886,G886,H886),0),0)</ns0:f>
        <ns0:v>0</ns0:v>
      </ns0:c>
      <ns0:c r="J886" s="0">
        <ns0:f>IFERROR(IF(ISNUMBER(Bookings!B886),IF(AND(Bookings!B886=INT(Bookings!B886),Bookings!B886&gt;=DATE(2000,1,1),Bookings!B886&lt;=DATE(2100,12,31)),Bookings!B886,0),IF(AND(A886&lt;&gt;"",LEN("x"&amp;B886)-LEN(SUBSTITUTE("x"&amp;B886,".",""))=2,OR(1&gt;LEN(B886),MID(B886,1,1)=".",ISNUMBER(FIND("x"&amp;MID(B886,1,1),"x0x1x2x3x4x5x6x7x8x9"))),OR(2&gt;LEN(B886),MID(B886,2,1)=".",ISNUMBER(FIND("x"&amp;MID(B886,2,1),"x0x1x2x3x4x5x6x7x8x9"))),OR(3&gt;LEN(B886),MID(B886,3,1)=".",ISNUMBER(FIND("x"&amp;MID(B886,3,1),"x0x1x2x3x4x5x6x7x8x9"))),OR(4&gt;LEN(B886),MID(B886,4,1)=".",ISNUMBER(FIND("x"&amp;MID(B886,4,1),"x0x1x2x3x4x5x6x7x8x9"))),OR(5&gt;LEN(B886),MID(B886,5,1)=".",ISNUMBER(FIND("x"&amp;MID(B886,5,1),"x0x1x2x3x4x5x6x7x8x9"))),OR(6&gt;LEN(B886),MID(B886,6,1)=".",ISNUMBER(FIND("x"&amp;MID(B886,6,1),"x0x1x2x3x4x5x6x7x8x9"))),OR(7&gt;LEN(B886),MID(B886,7,1)=".",ISNUMBER(FIND("x"&amp;MID(B886,7,1),"x0x1x2x3x4x5x6x7x8x9"))),OR(8&gt;LEN(B886),MID(B886,8,1)=".",ISNUMBER(FIND("x"&amp;MID(B886,8,1),"x0x1x2x3x4x5x6x7x8x9"))),OR(9&gt;LEN(B886),MID(B886,9,1)=".",ISNUMBER(FIND("x"&amp;MID(B886,9,1),"x0x1x2x3x4x5x6x7x8x9"))),OR(10&gt;LEN(B886),MID(B886,10,1)=".",ISNUMBER(FIND("x"&amp;MID(B886,10,1),"x0x1x2x3x4x5x6x7x8x9"))),OR(AND(FIND(".",B886)=5,LEN(B886)-FIND(".",B886,FIND(".",B886)+1)&gt;=1,LEN(B886)-FIND(".",B886,FIND(".",B886)+1)&lt;=2),AND(LEN(B886)-FIND(".",B886,FIND(".",B886)+1)=4,FIND(".",B886)&gt;=2,FIND(".",B886)&lt;=3)),FIND(".",B886,FIND(".",B886)+1)-FIND(".",B886)&gt;=2,FIND(".",B886,FIND(".",B886)+1)-FIND(".",B886)&lt;=3,F886&gt;=2000,F886&lt;=2100,YEAR(I886)=F886,MONTH(I886)=G886,DAY(I886)=H886),I886,0)),0)</ns0:f>
        <ns0:v>0</ns0:v>
      </ns0:c>
      <ns0:c r="K886" s="0">
        <ns0:f>IFERROR(IF(ISNUMBER(Bookings!D886),"",TRIM(Bookings!D886&amp;"")),"")</ns0:f>
      </ns0:c>
      <ns0:c r="L886" s="0">
        <ns0:f>IFERROR(SUBSTITUTE(SUBSTITUTE(K886,"/","."),"-","."),"")</ns0:f>
      </ns0:c>
      <ns0:c r="M886" s="0">
        <ns0:f>IFERROR(LEFT(L886,FIND(".",L886)-1),"")</ns0:f>
      </ns0:c>
      <ns0:c r="N886" s="0">
        <ns0:f>IFERROR(MID(L886,FIND(".",L886)+1,FIND(".",L886,FIND(".",L886)+1)-FIND(".",L886)-1),"")</ns0:f>
      </ns0:c>
      <ns0:c r="O886" s="0">
        <ns0:f>IFERROR(MID(L886,FIND(".",L886,FIND(".",L886)+1)+1,99),"")</ns0:f>
        <ns0:v>99</ns0:v>
      </ns0:c>
      <ns0:c r="P886" s="0">
        <ns0:f>IFERROR(IF(FIND(".",L886)=5,--M886,--O886),0)</ns0:f>
        <ns0:v>0</ns0:v>
      </ns0:c>
      <ns0:c r="Q886" s="0">
        <ns0:f>IFERROR(--N886,0)</ns0:f>
        <ns0:v>0</ns0:v>
      </ns0:c>
      <ns0:c r="R886" s="0">
        <ns0:f>IFERROR(IF(FIND(".",L886)=5,--O886,--M886),0)</ns0:f>
        <ns0:v>0</ns0:v>
      </ns0:c>
      <ns0:c r="S886" s="0">
        <ns0:f>IFERROR(IF(AND(P886&gt;=2000,P886&lt;=2100,Q886&gt;=1,Q886&lt;=12,R886&gt;=1,R886&lt;=31),DATE(P886,Q886,R886),0),0)</ns0:f>
        <ns0:v>0</ns0:v>
      </ns0:c>
      <ns0:c r="T886" s="0">
        <ns0:f>IFERROR(IF(ISNUMBER(Bookings!D886),IF(AND(Bookings!D886=INT(Bookings!D886),Bookings!D886&gt;=DATE(2000,1,1),Bookings!D886&lt;=DATE(2100,12,31)),Bookings!D886,0),IF(AND(K886&lt;&gt;"",LEN("x"&amp;L886)-LEN(SUBSTITUTE("x"&amp;L886,".",""))=2,OR(1&gt;LEN(L886),MID(L886,1,1)=".",ISNUMBER(FIND("x"&amp;MID(L886,1,1),"x0x1x2x3x4x5x6x7x8x9"))),OR(2&gt;LEN(L886),MID(L886,2,1)=".",ISNUMBER(FIND("x"&amp;MID(L886,2,1),"x0x1x2x3x4x5x6x7x8x9"))),OR(3&gt;LEN(L886),MID(L886,3,1)=".",ISNUMBER(FIND("x"&amp;MID(L886,3,1),"x0x1x2x3x4x5x6x7x8x9"))),OR(4&gt;LEN(L886),MID(L886,4,1)=".",ISNUMBER(FIND("x"&amp;MID(L886,4,1),"x0x1x2x3x4x5x6x7x8x9"))),OR(5&gt;LEN(L886),MID(L886,5,1)=".",ISNUMBER(FIND("x"&amp;MID(L886,5,1),"x0x1x2x3x4x5x6x7x8x9"))),OR(6&gt;LEN(L886),MID(L886,6,1)=".",ISNUMBER(FIND("x"&amp;MID(L886,6,1),"x0x1x2x3x4x5x6x7x8x9"))),OR(7&gt;LEN(L886),MID(L886,7,1)=".",ISNUMBER(FIND("x"&amp;MID(L886,7,1),"x0x1x2x3x4x5x6x7x8x9"))),OR(8&gt;LEN(L886),MID(L886,8,1)=".",ISNUMBER(FIND("x"&amp;MID(L886,8,1),"x0x1x2x3x4x5x6x7x8x9"))),OR(9&gt;LEN(L886),MID(L886,9,1)=".",ISNUMBER(FIND("x"&amp;MID(L886,9,1),"x0x1x2x3x4x5x6x7x8x9"))),OR(10&gt;LEN(L886),MID(L886,10,1)=".",ISNUMBER(FIND("x"&amp;MID(L886,10,1),"x0x1x2x3x4x5x6x7x8x9"))),OR(AND(FIND(".",L886)=5,LEN(L886)-FIND(".",L886,FIND(".",L886)+1)&gt;=1,LEN(L886)-FIND(".",L886,FIND(".",L886)+1)&lt;=2),AND(LEN(L886)-FIND(".",L886,FIND(".",L886)+1)=4,FIND(".",L886)&gt;=2,FIND(".",L886)&lt;=3)),FIND(".",L886,FIND(".",L886)+1)-FIND(".",L886)&gt;=2,FIND(".",L886,FIND(".",L886)+1)-FIND(".",L886)&lt;=3,P886&gt;=2000,P886&lt;=2100,YEAR(S886)=P886,MONTH(S886)=Q886,DAY(S886)=R886),S886,0)),0)</ns0:f>
        <ns0:v>0</ns0:v>
      </ns0:c>
      <ns0:c r="U886" s="0" t="str">
        <ns0:f>IF(Bookings!C886="","Full day",Bookings!C886)</ns0:f>
        <ns0:v>Full day</ns0:v>
      </ns0:c>
      <ns0:c r="V886" s="0" t="str">
        <ns0:f>IF(Bookings!E886="","Full day",Bookings!E886)</ns0:f>
        <ns0:v>Full day</ns0:v>
      </ns0:c>
      <ns0:c r="W886" s="0">
        <ns0:f>IF(J886=0,0,J886+IF(U886="PM",1,0))</ns0:f>
        <ns0:v>0</ns0:v>
      </ns0:c>
      <ns0:c r="X886" s="0">
        <ns0:f>IF(T886=0,0,T886-IF(V886="PM",1,0))</ns0:f>
        <ns0:v>0</ns0:v>
      </ns0:c>
      <ns0:c r="Y886" s="0">
        <ns0:f>IF(J886=0,0,J886+IF(U886="AM",1,0))</ns0:f>
        <ns0:v>0</ns0:v>
      </ns0:c>
      <ns0:c r="Z886" s="0">
        <ns0:f>IF(T886=0,0,T886-IF(V886="AM",1,0))</ns0:f>
        <ns0:v>0</ns0:v>
      </ns0:c>
      <ns0:c r="AA886" s="0">
        <ns0:f>IFERROR(IF(AND(J886&gt;0,'_Engine'!C886&gt;0,MID('_Engine'!W886,WEEKDAY(J886,2),1)="W",COUNTIF(Settings!$F$18:$F$67,J886)=0),1,0),0)</ns0:f>
        <ns0:v>0</ns0:v>
      </ns0:c>
      <ns0:c r="AB886" s="0">
        <ns0:f>IFERROR(IF(AND(T886&gt;0,'_Engine'!C886&gt;0,MID('_Engine'!W886,WEEKDAY(T886,2),1)="W",COUNTIF(Settings!$F$18:$F$67,T886)=0),1,0),0)</ns0:f>
        <ns0:v>0</ns0:v>
      </ns0:c>
      <ns0:c r="AC886" s="0">
        <ns0:f>IF(AND(J886&gt;0,T886&gt;0,W886&lt;=X886),1,0)</ns0:f>
        <ns0:v>0</ns0:v>
      </ns0:c>
      <ns0:c r="AD886" s="0">
        <ns0:f>IF(AND(J886&gt;0,T886&gt;0,Y886&lt;=Z886),1,0)</ns0:f>
        <ns0:v>0</ns0:v>
      </ns0:c>
    </ns0:row>
    <ns0:row r="887">
      <ns0:c r="A887" s="0">
        <ns0:f>IFERROR(IF(ISNUMBER(Bookings!B887),"",TRIM(Bookings!B887&amp;"")),"")</ns0:f>
      </ns0:c>
      <ns0:c r="B887" s="0">
        <ns0:f>IFERROR(SUBSTITUTE(SUBSTITUTE(A887,"/","."),"-","."),"")</ns0:f>
      </ns0:c>
      <ns0:c r="C887" s="0">
        <ns0:f>IFERROR(LEFT(B887,FIND(".",B887)-1),"")</ns0:f>
      </ns0:c>
      <ns0:c r="D887" s="0">
        <ns0:f>IFERROR(MID(B887,FIND(".",B887)+1,FIND(".",B887,FIND(".",B887)+1)-FIND(".",B887)-1),"")</ns0:f>
      </ns0:c>
      <ns0:c r="E887" s="0">
        <ns0:f>IFERROR(MID(B887,FIND(".",B887,FIND(".",B887)+1)+1,99),"")</ns0:f>
        <ns0:v>99</ns0:v>
      </ns0:c>
      <ns0:c r="F887" s="0">
        <ns0:f>IFERROR(IF(FIND(".",B887)=5,--C887,--E887),0)</ns0:f>
        <ns0:v>0</ns0:v>
      </ns0:c>
      <ns0:c r="G887" s="0">
        <ns0:f>IFERROR(--D887,0)</ns0:f>
        <ns0:v>0</ns0:v>
      </ns0:c>
      <ns0:c r="H887" s="0">
        <ns0:f>IFERROR(IF(FIND(".",B887)=5,--E887,--C887),0)</ns0:f>
        <ns0:v>0</ns0:v>
      </ns0:c>
      <ns0:c r="I887" s="0">
        <ns0:f>IFERROR(IF(AND(F887&gt;=2000,F887&lt;=2100,G887&gt;=1,G887&lt;=12,H887&gt;=1,H887&lt;=31),DATE(F887,G887,H887),0),0)</ns0:f>
        <ns0:v>0</ns0:v>
      </ns0:c>
      <ns0:c r="J887" s="0">
        <ns0:f>IFERROR(IF(ISNUMBER(Bookings!B887),IF(AND(Bookings!B887=INT(Bookings!B887),Bookings!B887&gt;=DATE(2000,1,1),Bookings!B887&lt;=DATE(2100,12,31)),Bookings!B887,0),IF(AND(A887&lt;&gt;"",LEN("x"&amp;B887)-LEN(SUBSTITUTE("x"&amp;B887,".",""))=2,OR(1&gt;LEN(B887),MID(B887,1,1)=".",ISNUMBER(FIND("x"&amp;MID(B887,1,1),"x0x1x2x3x4x5x6x7x8x9"))),OR(2&gt;LEN(B887),MID(B887,2,1)=".",ISNUMBER(FIND("x"&amp;MID(B887,2,1),"x0x1x2x3x4x5x6x7x8x9"))),OR(3&gt;LEN(B887),MID(B887,3,1)=".",ISNUMBER(FIND("x"&amp;MID(B887,3,1),"x0x1x2x3x4x5x6x7x8x9"))),OR(4&gt;LEN(B887),MID(B887,4,1)=".",ISNUMBER(FIND("x"&amp;MID(B887,4,1),"x0x1x2x3x4x5x6x7x8x9"))),OR(5&gt;LEN(B887),MID(B887,5,1)=".",ISNUMBER(FIND("x"&amp;MID(B887,5,1),"x0x1x2x3x4x5x6x7x8x9"))),OR(6&gt;LEN(B887),MID(B887,6,1)=".",ISNUMBER(FIND("x"&amp;MID(B887,6,1),"x0x1x2x3x4x5x6x7x8x9"))),OR(7&gt;LEN(B887),MID(B887,7,1)=".",ISNUMBER(FIND("x"&amp;MID(B887,7,1),"x0x1x2x3x4x5x6x7x8x9"))),OR(8&gt;LEN(B887),MID(B887,8,1)=".",ISNUMBER(FIND("x"&amp;MID(B887,8,1),"x0x1x2x3x4x5x6x7x8x9"))),OR(9&gt;LEN(B887),MID(B887,9,1)=".",ISNUMBER(FIND("x"&amp;MID(B887,9,1),"x0x1x2x3x4x5x6x7x8x9"))),OR(10&gt;LEN(B887),MID(B887,10,1)=".",ISNUMBER(FIND("x"&amp;MID(B887,10,1),"x0x1x2x3x4x5x6x7x8x9"))),OR(AND(FIND(".",B887)=5,LEN(B887)-FIND(".",B887,FIND(".",B887)+1)&gt;=1,LEN(B887)-FIND(".",B887,FIND(".",B887)+1)&lt;=2),AND(LEN(B887)-FIND(".",B887,FIND(".",B887)+1)=4,FIND(".",B887)&gt;=2,FIND(".",B887)&lt;=3)),FIND(".",B887,FIND(".",B887)+1)-FIND(".",B887)&gt;=2,FIND(".",B887,FIND(".",B887)+1)-FIND(".",B887)&lt;=3,F887&gt;=2000,F887&lt;=2100,YEAR(I887)=F887,MONTH(I887)=G887,DAY(I887)=H887),I887,0)),0)</ns0:f>
        <ns0:v>0</ns0:v>
      </ns0:c>
      <ns0:c r="K887" s="0">
        <ns0:f>IFERROR(IF(ISNUMBER(Bookings!D887),"",TRIM(Bookings!D887&amp;"")),"")</ns0:f>
      </ns0:c>
      <ns0:c r="L887" s="0">
        <ns0:f>IFERROR(SUBSTITUTE(SUBSTITUTE(K887,"/","."),"-","."),"")</ns0:f>
      </ns0:c>
      <ns0:c r="M887" s="0">
        <ns0:f>IFERROR(LEFT(L887,FIND(".",L887)-1),"")</ns0:f>
      </ns0:c>
      <ns0:c r="N887" s="0">
        <ns0:f>IFERROR(MID(L887,FIND(".",L887)+1,FIND(".",L887,FIND(".",L887)+1)-FIND(".",L887)-1),"")</ns0:f>
      </ns0:c>
      <ns0:c r="O887" s="0">
        <ns0:f>IFERROR(MID(L887,FIND(".",L887,FIND(".",L887)+1)+1,99),"")</ns0:f>
        <ns0:v>99</ns0:v>
      </ns0:c>
      <ns0:c r="P887" s="0">
        <ns0:f>IFERROR(IF(FIND(".",L887)=5,--M887,--O887),0)</ns0:f>
        <ns0:v>0</ns0:v>
      </ns0:c>
      <ns0:c r="Q887" s="0">
        <ns0:f>IFERROR(--N887,0)</ns0:f>
        <ns0:v>0</ns0:v>
      </ns0:c>
      <ns0:c r="R887" s="0">
        <ns0:f>IFERROR(IF(FIND(".",L887)=5,--O887,--M887),0)</ns0:f>
        <ns0:v>0</ns0:v>
      </ns0:c>
      <ns0:c r="S887" s="0">
        <ns0:f>IFERROR(IF(AND(P887&gt;=2000,P887&lt;=2100,Q887&gt;=1,Q887&lt;=12,R887&gt;=1,R887&lt;=31),DATE(P887,Q887,R887),0),0)</ns0:f>
        <ns0:v>0</ns0:v>
      </ns0:c>
      <ns0:c r="T887" s="0">
        <ns0:f>IFERROR(IF(ISNUMBER(Bookings!D887),IF(AND(Bookings!D887=INT(Bookings!D887),Bookings!D887&gt;=DATE(2000,1,1),Bookings!D887&lt;=DATE(2100,12,31)),Bookings!D887,0),IF(AND(K887&lt;&gt;"",LEN("x"&amp;L887)-LEN(SUBSTITUTE("x"&amp;L887,".",""))=2,OR(1&gt;LEN(L887),MID(L887,1,1)=".",ISNUMBER(FIND("x"&amp;MID(L887,1,1),"x0x1x2x3x4x5x6x7x8x9"))),OR(2&gt;LEN(L887),MID(L887,2,1)=".",ISNUMBER(FIND("x"&amp;MID(L887,2,1),"x0x1x2x3x4x5x6x7x8x9"))),OR(3&gt;LEN(L887),MID(L887,3,1)=".",ISNUMBER(FIND("x"&amp;MID(L887,3,1),"x0x1x2x3x4x5x6x7x8x9"))),OR(4&gt;LEN(L887),MID(L887,4,1)=".",ISNUMBER(FIND("x"&amp;MID(L887,4,1),"x0x1x2x3x4x5x6x7x8x9"))),OR(5&gt;LEN(L887),MID(L887,5,1)=".",ISNUMBER(FIND("x"&amp;MID(L887,5,1),"x0x1x2x3x4x5x6x7x8x9"))),OR(6&gt;LEN(L887),MID(L887,6,1)=".",ISNUMBER(FIND("x"&amp;MID(L887,6,1),"x0x1x2x3x4x5x6x7x8x9"))),OR(7&gt;LEN(L887),MID(L887,7,1)=".",ISNUMBER(FIND("x"&amp;MID(L887,7,1),"x0x1x2x3x4x5x6x7x8x9"))),OR(8&gt;LEN(L887),MID(L887,8,1)=".",ISNUMBER(FIND("x"&amp;MID(L887,8,1),"x0x1x2x3x4x5x6x7x8x9"))),OR(9&gt;LEN(L887),MID(L887,9,1)=".",ISNUMBER(FIND("x"&amp;MID(L887,9,1),"x0x1x2x3x4x5x6x7x8x9"))),OR(10&gt;LEN(L887),MID(L887,10,1)=".",ISNUMBER(FIND("x"&amp;MID(L887,10,1),"x0x1x2x3x4x5x6x7x8x9"))),OR(AND(FIND(".",L887)=5,LEN(L887)-FIND(".",L887,FIND(".",L887)+1)&gt;=1,LEN(L887)-FIND(".",L887,FIND(".",L887)+1)&lt;=2),AND(LEN(L887)-FIND(".",L887,FIND(".",L887)+1)=4,FIND(".",L887)&gt;=2,FIND(".",L887)&lt;=3)),FIND(".",L887,FIND(".",L887)+1)-FIND(".",L887)&gt;=2,FIND(".",L887,FIND(".",L887)+1)-FIND(".",L887)&lt;=3,P887&gt;=2000,P887&lt;=2100,YEAR(S887)=P887,MONTH(S887)=Q887,DAY(S887)=R887),S887,0)),0)</ns0:f>
        <ns0:v>0</ns0:v>
      </ns0:c>
      <ns0:c r="U887" s="0" t="str">
        <ns0:f>IF(Bookings!C887="","Full day",Bookings!C887)</ns0:f>
        <ns0:v>Full day</ns0:v>
      </ns0:c>
      <ns0:c r="V887" s="0" t="str">
        <ns0:f>IF(Bookings!E887="","Full day",Bookings!E887)</ns0:f>
        <ns0:v>Full day</ns0:v>
      </ns0:c>
      <ns0:c r="W887" s="0">
        <ns0:f>IF(J887=0,0,J887+IF(U887="PM",1,0))</ns0:f>
        <ns0:v>0</ns0:v>
      </ns0:c>
      <ns0:c r="X887" s="0">
        <ns0:f>IF(T887=0,0,T887-IF(V887="PM",1,0))</ns0:f>
        <ns0:v>0</ns0:v>
      </ns0:c>
      <ns0:c r="Y887" s="0">
        <ns0:f>IF(J887=0,0,J887+IF(U887="AM",1,0))</ns0:f>
        <ns0:v>0</ns0:v>
      </ns0:c>
      <ns0:c r="Z887" s="0">
        <ns0:f>IF(T887=0,0,T887-IF(V887="AM",1,0))</ns0:f>
        <ns0:v>0</ns0:v>
      </ns0:c>
      <ns0:c r="AA887" s="0">
        <ns0:f>IFERROR(IF(AND(J887&gt;0,'_Engine'!C887&gt;0,MID('_Engine'!W887,WEEKDAY(J887,2),1)="W",COUNTIF(Settings!$F$18:$F$67,J887)=0),1,0),0)</ns0:f>
        <ns0:v>0</ns0:v>
      </ns0:c>
      <ns0:c r="AB887" s="0">
        <ns0:f>IFERROR(IF(AND(T887&gt;0,'_Engine'!C887&gt;0,MID('_Engine'!W887,WEEKDAY(T887,2),1)="W",COUNTIF(Settings!$F$18:$F$67,T887)=0),1,0),0)</ns0:f>
        <ns0:v>0</ns0:v>
      </ns0:c>
      <ns0:c r="AC887" s="0">
        <ns0:f>IF(AND(J887&gt;0,T887&gt;0,W887&lt;=X887),1,0)</ns0:f>
        <ns0:v>0</ns0:v>
      </ns0:c>
      <ns0:c r="AD887" s="0">
        <ns0:f>IF(AND(J887&gt;0,T887&gt;0,Y887&lt;=Z887),1,0)</ns0:f>
        <ns0:v>0</ns0:v>
      </ns0:c>
    </ns0:row>
    <ns0:row r="888">
      <ns0:c r="A888" s="0">
        <ns0:f>IFERROR(IF(ISNUMBER(Bookings!B888),"",TRIM(Bookings!B888&amp;"")),"")</ns0:f>
      </ns0:c>
      <ns0:c r="B888" s="0">
        <ns0:f>IFERROR(SUBSTITUTE(SUBSTITUTE(A888,"/","."),"-","."),"")</ns0:f>
      </ns0:c>
      <ns0:c r="C888" s="0">
        <ns0:f>IFERROR(LEFT(B888,FIND(".",B888)-1),"")</ns0:f>
      </ns0:c>
      <ns0:c r="D888" s="0">
        <ns0:f>IFERROR(MID(B888,FIND(".",B888)+1,FIND(".",B888,FIND(".",B888)+1)-FIND(".",B888)-1),"")</ns0:f>
      </ns0:c>
      <ns0:c r="E888" s="0">
        <ns0:f>IFERROR(MID(B888,FIND(".",B888,FIND(".",B888)+1)+1,99),"")</ns0:f>
        <ns0:v>99</ns0:v>
      </ns0:c>
      <ns0:c r="F888" s="0">
        <ns0:f>IFERROR(IF(FIND(".",B888)=5,--C888,--E888),0)</ns0:f>
        <ns0:v>0</ns0:v>
      </ns0:c>
      <ns0:c r="G888" s="0">
        <ns0:f>IFERROR(--D888,0)</ns0:f>
        <ns0:v>0</ns0:v>
      </ns0:c>
      <ns0:c r="H888" s="0">
        <ns0:f>IFERROR(IF(FIND(".",B888)=5,--E888,--C888),0)</ns0:f>
        <ns0:v>0</ns0:v>
      </ns0:c>
      <ns0:c r="I888" s="0">
        <ns0:f>IFERROR(IF(AND(F888&gt;=2000,F888&lt;=2100,G888&gt;=1,G888&lt;=12,H888&gt;=1,H888&lt;=31),DATE(F888,G888,H888),0),0)</ns0:f>
        <ns0:v>0</ns0:v>
      </ns0:c>
      <ns0:c r="J888" s="0">
        <ns0:f>IFERROR(IF(ISNUMBER(Bookings!B888),IF(AND(Bookings!B888=INT(Bookings!B888),Bookings!B888&gt;=DATE(2000,1,1),Bookings!B888&lt;=DATE(2100,12,31)),Bookings!B888,0),IF(AND(A888&lt;&gt;"",LEN("x"&amp;B888)-LEN(SUBSTITUTE("x"&amp;B888,".",""))=2,OR(1&gt;LEN(B888),MID(B888,1,1)=".",ISNUMBER(FIND("x"&amp;MID(B888,1,1),"x0x1x2x3x4x5x6x7x8x9"))),OR(2&gt;LEN(B888),MID(B888,2,1)=".",ISNUMBER(FIND("x"&amp;MID(B888,2,1),"x0x1x2x3x4x5x6x7x8x9"))),OR(3&gt;LEN(B888),MID(B888,3,1)=".",ISNUMBER(FIND("x"&amp;MID(B888,3,1),"x0x1x2x3x4x5x6x7x8x9"))),OR(4&gt;LEN(B888),MID(B888,4,1)=".",ISNUMBER(FIND("x"&amp;MID(B888,4,1),"x0x1x2x3x4x5x6x7x8x9"))),OR(5&gt;LEN(B888),MID(B888,5,1)=".",ISNUMBER(FIND("x"&amp;MID(B888,5,1),"x0x1x2x3x4x5x6x7x8x9"))),OR(6&gt;LEN(B888),MID(B888,6,1)=".",ISNUMBER(FIND("x"&amp;MID(B888,6,1),"x0x1x2x3x4x5x6x7x8x9"))),OR(7&gt;LEN(B888),MID(B888,7,1)=".",ISNUMBER(FIND("x"&amp;MID(B888,7,1),"x0x1x2x3x4x5x6x7x8x9"))),OR(8&gt;LEN(B888),MID(B888,8,1)=".",ISNUMBER(FIND("x"&amp;MID(B888,8,1),"x0x1x2x3x4x5x6x7x8x9"))),OR(9&gt;LEN(B888),MID(B888,9,1)=".",ISNUMBER(FIND("x"&amp;MID(B888,9,1),"x0x1x2x3x4x5x6x7x8x9"))),OR(10&gt;LEN(B888),MID(B888,10,1)=".",ISNUMBER(FIND("x"&amp;MID(B888,10,1),"x0x1x2x3x4x5x6x7x8x9"))),OR(AND(FIND(".",B888)=5,LEN(B888)-FIND(".",B888,FIND(".",B888)+1)&gt;=1,LEN(B888)-FIND(".",B888,FIND(".",B888)+1)&lt;=2),AND(LEN(B888)-FIND(".",B888,FIND(".",B888)+1)=4,FIND(".",B888)&gt;=2,FIND(".",B888)&lt;=3)),FIND(".",B888,FIND(".",B888)+1)-FIND(".",B888)&gt;=2,FIND(".",B888,FIND(".",B888)+1)-FIND(".",B888)&lt;=3,F888&gt;=2000,F888&lt;=2100,YEAR(I888)=F888,MONTH(I888)=G888,DAY(I888)=H888),I888,0)),0)</ns0:f>
        <ns0:v>0</ns0:v>
      </ns0:c>
      <ns0:c r="K888" s="0">
        <ns0:f>IFERROR(IF(ISNUMBER(Bookings!D888),"",TRIM(Bookings!D888&amp;"")),"")</ns0:f>
      </ns0:c>
      <ns0:c r="L888" s="0">
        <ns0:f>IFERROR(SUBSTITUTE(SUBSTITUTE(K888,"/","."),"-","."),"")</ns0:f>
      </ns0:c>
      <ns0:c r="M888" s="0">
        <ns0:f>IFERROR(LEFT(L888,FIND(".",L888)-1),"")</ns0:f>
      </ns0:c>
      <ns0:c r="N888" s="0">
        <ns0:f>IFERROR(MID(L888,FIND(".",L888)+1,FIND(".",L888,FIND(".",L888)+1)-FIND(".",L888)-1),"")</ns0:f>
      </ns0:c>
      <ns0:c r="O888" s="0">
        <ns0:f>IFERROR(MID(L888,FIND(".",L888,FIND(".",L888)+1)+1,99),"")</ns0:f>
        <ns0:v>99</ns0:v>
      </ns0:c>
      <ns0:c r="P888" s="0">
        <ns0:f>IFERROR(IF(FIND(".",L888)=5,--M888,--O888),0)</ns0:f>
        <ns0:v>0</ns0:v>
      </ns0:c>
      <ns0:c r="Q888" s="0">
        <ns0:f>IFERROR(--N888,0)</ns0:f>
        <ns0:v>0</ns0:v>
      </ns0:c>
      <ns0:c r="R888" s="0">
        <ns0:f>IFERROR(IF(FIND(".",L888)=5,--O888,--M888),0)</ns0:f>
        <ns0:v>0</ns0:v>
      </ns0:c>
      <ns0:c r="S888" s="0">
        <ns0:f>IFERROR(IF(AND(P888&gt;=2000,P888&lt;=2100,Q888&gt;=1,Q888&lt;=12,R888&gt;=1,R888&lt;=31),DATE(P888,Q888,R888),0),0)</ns0:f>
        <ns0:v>0</ns0:v>
      </ns0:c>
      <ns0:c r="T888" s="0">
        <ns0:f>IFERROR(IF(ISNUMBER(Bookings!D888),IF(AND(Bookings!D888=INT(Bookings!D888),Bookings!D888&gt;=DATE(2000,1,1),Bookings!D888&lt;=DATE(2100,12,31)),Bookings!D888,0),IF(AND(K888&lt;&gt;"",LEN("x"&amp;L888)-LEN(SUBSTITUTE("x"&amp;L888,".",""))=2,OR(1&gt;LEN(L888),MID(L888,1,1)=".",ISNUMBER(FIND("x"&amp;MID(L888,1,1),"x0x1x2x3x4x5x6x7x8x9"))),OR(2&gt;LEN(L888),MID(L888,2,1)=".",ISNUMBER(FIND("x"&amp;MID(L888,2,1),"x0x1x2x3x4x5x6x7x8x9"))),OR(3&gt;LEN(L888),MID(L888,3,1)=".",ISNUMBER(FIND("x"&amp;MID(L888,3,1),"x0x1x2x3x4x5x6x7x8x9"))),OR(4&gt;LEN(L888),MID(L888,4,1)=".",ISNUMBER(FIND("x"&amp;MID(L888,4,1),"x0x1x2x3x4x5x6x7x8x9"))),OR(5&gt;LEN(L888),MID(L888,5,1)=".",ISNUMBER(FIND("x"&amp;MID(L888,5,1),"x0x1x2x3x4x5x6x7x8x9"))),OR(6&gt;LEN(L888),MID(L888,6,1)=".",ISNUMBER(FIND("x"&amp;MID(L888,6,1),"x0x1x2x3x4x5x6x7x8x9"))),OR(7&gt;LEN(L888),MID(L888,7,1)=".",ISNUMBER(FIND("x"&amp;MID(L888,7,1),"x0x1x2x3x4x5x6x7x8x9"))),OR(8&gt;LEN(L888),MID(L888,8,1)=".",ISNUMBER(FIND("x"&amp;MID(L888,8,1),"x0x1x2x3x4x5x6x7x8x9"))),OR(9&gt;LEN(L888),MID(L888,9,1)=".",ISNUMBER(FIND("x"&amp;MID(L888,9,1),"x0x1x2x3x4x5x6x7x8x9"))),OR(10&gt;LEN(L888),MID(L888,10,1)=".",ISNUMBER(FIND("x"&amp;MID(L888,10,1),"x0x1x2x3x4x5x6x7x8x9"))),OR(AND(FIND(".",L888)=5,LEN(L888)-FIND(".",L888,FIND(".",L888)+1)&gt;=1,LEN(L888)-FIND(".",L888,FIND(".",L888)+1)&lt;=2),AND(LEN(L888)-FIND(".",L888,FIND(".",L888)+1)=4,FIND(".",L888)&gt;=2,FIND(".",L888)&lt;=3)),FIND(".",L888,FIND(".",L888)+1)-FIND(".",L888)&gt;=2,FIND(".",L888,FIND(".",L888)+1)-FIND(".",L888)&lt;=3,P888&gt;=2000,P888&lt;=2100,YEAR(S888)=P888,MONTH(S888)=Q888,DAY(S888)=R888),S888,0)),0)</ns0:f>
        <ns0:v>0</ns0:v>
      </ns0:c>
      <ns0:c r="U888" s="0" t="str">
        <ns0:f>IF(Bookings!C888="","Full day",Bookings!C888)</ns0:f>
        <ns0:v>Full day</ns0:v>
      </ns0:c>
      <ns0:c r="V888" s="0" t="str">
        <ns0:f>IF(Bookings!E888="","Full day",Bookings!E888)</ns0:f>
        <ns0:v>Full day</ns0:v>
      </ns0:c>
      <ns0:c r="W888" s="0">
        <ns0:f>IF(J888=0,0,J888+IF(U888="PM",1,0))</ns0:f>
        <ns0:v>0</ns0:v>
      </ns0:c>
      <ns0:c r="X888" s="0">
        <ns0:f>IF(T888=0,0,T888-IF(V888="PM",1,0))</ns0:f>
        <ns0:v>0</ns0:v>
      </ns0:c>
      <ns0:c r="Y888" s="0">
        <ns0:f>IF(J888=0,0,J888+IF(U888="AM",1,0))</ns0:f>
        <ns0:v>0</ns0:v>
      </ns0:c>
      <ns0:c r="Z888" s="0">
        <ns0:f>IF(T888=0,0,T888-IF(V888="AM",1,0))</ns0:f>
        <ns0:v>0</ns0:v>
      </ns0:c>
      <ns0:c r="AA888" s="0">
        <ns0:f>IFERROR(IF(AND(J888&gt;0,'_Engine'!C888&gt;0,MID('_Engine'!W888,WEEKDAY(J888,2),1)="W",COUNTIF(Settings!$F$18:$F$67,J888)=0),1,0),0)</ns0:f>
        <ns0:v>0</ns0:v>
      </ns0:c>
      <ns0:c r="AB888" s="0">
        <ns0:f>IFERROR(IF(AND(T888&gt;0,'_Engine'!C888&gt;0,MID('_Engine'!W888,WEEKDAY(T888,2),1)="W",COUNTIF(Settings!$F$18:$F$67,T888)=0),1,0),0)</ns0:f>
        <ns0:v>0</ns0:v>
      </ns0:c>
      <ns0:c r="AC888" s="0">
        <ns0:f>IF(AND(J888&gt;0,T888&gt;0,W888&lt;=X888),1,0)</ns0:f>
        <ns0:v>0</ns0:v>
      </ns0:c>
      <ns0:c r="AD888" s="0">
        <ns0:f>IF(AND(J888&gt;0,T888&gt;0,Y888&lt;=Z888),1,0)</ns0:f>
        <ns0:v>0</ns0:v>
      </ns0:c>
    </ns0:row>
    <ns0:row r="889">
      <ns0:c r="A889" s="0">
        <ns0:f>IFERROR(IF(ISNUMBER(Bookings!B889),"",TRIM(Bookings!B889&amp;"")),"")</ns0:f>
      </ns0:c>
      <ns0:c r="B889" s="0">
        <ns0:f>IFERROR(SUBSTITUTE(SUBSTITUTE(A889,"/","."),"-","."),"")</ns0:f>
      </ns0:c>
      <ns0:c r="C889" s="0">
        <ns0:f>IFERROR(LEFT(B889,FIND(".",B889)-1),"")</ns0:f>
      </ns0:c>
      <ns0:c r="D889" s="0">
        <ns0:f>IFERROR(MID(B889,FIND(".",B889)+1,FIND(".",B889,FIND(".",B889)+1)-FIND(".",B889)-1),"")</ns0:f>
      </ns0:c>
      <ns0:c r="E889" s="0">
        <ns0:f>IFERROR(MID(B889,FIND(".",B889,FIND(".",B889)+1)+1,99),"")</ns0:f>
        <ns0:v>99</ns0:v>
      </ns0:c>
      <ns0:c r="F889" s="0">
        <ns0:f>IFERROR(IF(FIND(".",B889)=5,--C889,--E889),0)</ns0:f>
        <ns0:v>0</ns0:v>
      </ns0:c>
      <ns0:c r="G889" s="0">
        <ns0:f>IFERROR(--D889,0)</ns0:f>
        <ns0:v>0</ns0:v>
      </ns0:c>
      <ns0:c r="H889" s="0">
        <ns0:f>IFERROR(IF(FIND(".",B889)=5,--E889,--C889),0)</ns0:f>
        <ns0:v>0</ns0:v>
      </ns0:c>
      <ns0:c r="I889" s="0">
        <ns0:f>IFERROR(IF(AND(F889&gt;=2000,F889&lt;=2100,G889&gt;=1,G889&lt;=12,H889&gt;=1,H889&lt;=31),DATE(F889,G889,H889),0),0)</ns0:f>
        <ns0:v>0</ns0:v>
      </ns0:c>
      <ns0:c r="J889" s="0">
        <ns0:f>IFERROR(IF(ISNUMBER(Bookings!B889),IF(AND(Bookings!B889=INT(Bookings!B889),Bookings!B889&gt;=DATE(2000,1,1),Bookings!B889&lt;=DATE(2100,12,31)),Bookings!B889,0),IF(AND(A889&lt;&gt;"",LEN("x"&amp;B889)-LEN(SUBSTITUTE("x"&amp;B889,".",""))=2,OR(1&gt;LEN(B889),MID(B889,1,1)=".",ISNUMBER(FIND("x"&amp;MID(B889,1,1),"x0x1x2x3x4x5x6x7x8x9"))),OR(2&gt;LEN(B889),MID(B889,2,1)=".",ISNUMBER(FIND("x"&amp;MID(B889,2,1),"x0x1x2x3x4x5x6x7x8x9"))),OR(3&gt;LEN(B889),MID(B889,3,1)=".",ISNUMBER(FIND("x"&amp;MID(B889,3,1),"x0x1x2x3x4x5x6x7x8x9"))),OR(4&gt;LEN(B889),MID(B889,4,1)=".",ISNUMBER(FIND("x"&amp;MID(B889,4,1),"x0x1x2x3x4x5x6x7x8x9"))),OR(5&gt;LEN(B889),MID(B889,5,1)=".",ISNUMBER(FIND("x"&amp;MID(B889,5,1),"x0x1x2x3x4x5x6x7x8x9"))),OR(6&gt;LEN(B889),MID(B889,6,1)=".",ISNUMBER(FIND("x"&amp;MID(B889,6,1),"x0x1x2x3x4x5x6x7x8x9"))),OR(7&gt;LEN(B889),MID(B889,7,1)=".",ISNUMBER(FIND("x"&amp;MID(B889,7,1),"x0x1x2x3x4x5x6x7x8x9"))),OR(8&gt;LEN(B889),MID(B889,8,1)=".",ISNUMBER(FIND("x"&amp;MID(B889,8,1),"x0x1x2x3x4x5x6x7x8x9"))),OR(9&gt;LEN(B889),MID(B889,9,1)=".",ISNUMBER(FIND("x"&amp;MID(B889,9,1),"x0x1x2x3x4x5x6x7x8x9"))),OR(10&gt;LEN(B889),MID(B889,10,1)=".",ISNUMBER(FIND("x"&amp;MID(B889,10,1),"x0x1x2x3x4x5x6x7x8x9"))),OR(AND(FIND(".",B889)=5,LEN(B889)-FIND(".",B889,FIND(".",B889)+1)&gt;=1,LEN(B889)-FIND(".",B889,FIND(".",B889)+1)&lt;=2),AND(LEN(B889)-FIND(".",B889,FIND(".",B889)+1)=4,FIND(".",B889)&gt;=2,FIND(".",B889)&lt;=3)),FIND(".",B889,FIND(".",B889)+1)-FIND(".",B889)&gt;=2,FIND(".",B889,FIND(".",B889)+1)-FIND(".",B889)&lt;=3,F889&gt;=2000,F889&lt;=2100,YEAR(I889)=F889,MONTH(I889)=G889,DAY(I889)=H889),I889,0)),0)</ns0:f>
        <ns0:v>0</ns0:v>
      </ns0:c>
      <ns0:c r="K889" s="0">
        <ns0:f>IFERROR(IF(ISNUMBER(Bookings!D889),"",TRIM(Bookings!D889&amp;"")),"")</ns0:f>
      </ns0:c>
      <ns0:c r="L889" s="0">
        <ns0:f>IFERROR(SUBSTITUTE(SUBSTITUTE(K889,"/","."),"-","."),"")</ns0:f>
      </ns0:c>
      <ns0:c r="M889" s="0">
        <ns0:f>IFERROR(LEFT(L889,FIND(".",L889)-1),"")</ns0:f>
      </ns0:c>
      <ns0:c r="N889" s="0">
        <ns0:f>IFERROR(MID(L889,FIND(".",L889)+1,FIND(".",L889,FIND(".",L889)+1)-FIND(".",L889)-1),"")</ns0:f>
      </ns0:c>
      <ns0:c r="O889" s="0">
        <ns0:f>IFERROR(MID(L889,FIND(".",L889,FIND(".",L889)+1)+1,99),"")</ns0:f>
        <ns0:v>99</ns0:v>
      </ns0:c>
      <ns0:c r="P889" s="0">
        <ns0:f>IFERROR(IF(FIND(".",L889)=5,--M889,--O889),0)</ns0:f>
        <ns0:v>0</ns0:v>
      </ns0:c>
      <ns0:c r="Q889" s="0">
        <ns0:f>IFERROR(--N889,0)</ns0:f>
        <ns0:v>0</ns0:v>
      </ns0:c>
      <ns0:c r="R889" s="0">
        <ns0:f>IFERROR(IF(FIND(".",L889)=5,--O889,--M889),0)</ns0:f>
        <ns0:v>0</ns0:v>
      </ns0:c>
      <ns0:c r="S889" s="0">
        <ns0:f>IFERROR(IF(AND(P889&gt;=2000,P889&lt;=2100,Q889&gt;=1,Q889&lt;=12,R889&gt;=1,R889&lt;=31),DATE(P889,Q889,R889),0),0)</ns0:f>
        <ns0:v>0</ns0:v>
      </ns0:c>
      <ns0:c r="T889" s="0">
        <ns0:f>IFERROR(IF(ISNUMBER(Bookings!D889),IF(AND(Bookings!D889=INT(Bookings!D889),Bookings!D889&gt;=DATE(2000,1,1),Bookings!D889&lt;=DATE(2100,12,31)),Bookings!D889,0),IF(AND(K889&lt;&gt;"",LEN("x"&amp;L889)-LEN(SUBSTITUTE("x"&amp;L889,".",""))=2,OR(1&gt;LEN(L889),MID(L889,1,1)=".",ISNUMBER(FIND("x"&amp;MID(L889,1,1),"x0x1x2x3x4x5x6x7x8x9"))),OR(2&gt;LEN(L889),MID(L889,2,1)=".",ISNUMBER(FIND("x"&amp;MID(L889,2,1),"x0x1x2x3x4x5x6x7x8x9"))),OR(3&gt;LEN(L889),MID(L889,3,1)=".",ISNUMBER(FIND("x"&amp;MID(L889,3,1),"x0x1x2x3x4x5x6x7x8x9"))),OR(4&gt;LEN(L889),MID(L889,4,1)=".",ISNUMBER(FIND("x"&amp;MID(L889,4,1),"x0x1x2x3x4x5x6x7x8x9"))),OR(5&gt;LEN(L889),MID(L889,5,1)=".",ISNUMBER(FIND("x"&amp;MID(L889,5,1),"x0x1x2x3x4x5x6x7x8x9"))),OR(6&gt;LEN(L889),MID(L889,6,1)=".",ISNUMBER(FIND("x"&amp;MID(L889,6,1),"x0x1x2x3x4x5x6x7x8x9"))),OR(7&gt;LEN(L889),MID(L889,7,1)=".",ISNUMBER(FIND("x"&amp;MID(L889,7,1),"x0x1x2x3x4x5x6x7x8x9"))),OR(8&gt;LEN(L889),MID(L889,8,1)=".",ISNUMBER(FIND("x"&amp;MID(L889,8,1),"x0x1x2x3x4x5x6x7x8x9"))),OR(9&gt;LEN(L889),MID(L889,9,1)=".",ISNUMBER(FIND("x"&amp;MID(L889,9,1),"x0x1x2x3x4x5x6x7x8x9"))),OR(10&gt;LEN(L889),MID(L889,10,1)=".",ISNUMBER(FIND("x"&amp;MID(L889,10,1),"x0x1x2x3x4x5x6x7x8x9"))),OR(AND(FIND(".",L889)=5,LEN(L889)-FIND(".",L889,FIND(".",L889)+1)&gt;=1,LEN(L889)-FIND(".",L889,FIND(".",L889)+1)&lt;=2),AND(LEN(L889)-FIND(".",L889,FIND(".",L889)+1)=4,FIND(".",L889)&gt;=2,FIND(".",L889)&lt;=3)),FIND(".",L889,FIND(".",L889)+1)-FIND(".",L889)&gt;=2,FIND(".",L889,FIND(".",L889)+1)-FIND(".",L889)&lt;=3,P889&gt;=2000,P889&lt;=2100,YEAR(S889)=P889,MONTH(S889)=Q889,DAY(S889)=R889),S889,0)),0)</ns0:f>
        <ns0:v>0</ns0:v>
      </ns0:c>
      <ns0:c r="U889" s="0" t="str">
        <ns0:f>IF(Bookings!C889="","Full day",Bookings!C889)</ns0:f>
        <ns0:v>Full day</ns0:v>
      </ns0:c>
      <ns0:c r="V889" s="0" t="str">
        <ns0:f>IF(Bookings!E889="","Full day",Bookings!E889)</ns0:f>
        <ns0:v>Full day</ns0:v>
      </ns0:c>
      <ns0:c r="W889" s="0">
        <ns0:f>IF(J889=0,0,J889+IF(U889="PM",1,0))</ns0:f>
        <ns0:v>0</ns0:v>
      </ns0:c>
      <ns0:c r="X889" s="0">
        <ns0:f>IF(T889=0,0,T889-IF(V889="PM",1,0))</ns0:f>
        <ns0:v>0</ns0:v>
      </ns0:c>
      <ns0:c r="Y889" s="0">
        <ns0:f>IF(J889=0,0,J889+IF(U889="AM",1,0))</ns0:f>
        <ns0:v>0</ns0:v>
      </ns0:c>
      <ns0:c r="Z889" s="0">
        <ns0:f>IF(T889=0,0,T889-IF(V889="AM",1,0))</ns0:f>
        <ns0:v>0</ns0:v>
      </ns0:c>
      <ns0:c r="AA889" s="0">
        <ns0:f>IFERROR(IF(AND(J889&gt;0,'_Engine'!C889&gt;0,MID('_Engine'!W889,WEEKDAY(J889,2),1)="W",COUNTIF(Settings!$F$18:$F$67,J889)=0),1,0),0)</ns0:f>
        <ns0:v>0</ns0:v>
      </ns0:c>
      <ns0:c r="AB889" s="0">
        <ns0:f>IFERROR(IF(AND(T889&gt;0,'_Engine'!C889&gt;0,MID('_Engine'!W889,WEEKDAY(T889,2),1)="W",COUNTIF(Settings!$F$18:$F$67,T889)=0),1,0),0)</ns0:f>
        <ns0:v>0</ns0:v>
      </ns0:c>
      <ns0:c r="AC889" s="0">
        <ns0:f>IF(AND(J889&gt;0,T889&gt;0,W889&lt;=X889),1,0)</ns0:f>
        <ns0:v>0</ns0:v>
      </ns0:c>
      <ns0:c r="AD889" s="0">
        <ns0:f>IF(AND(J889&gt;0,T889&gt;0,Y889&lt;=Z889),1,0)</ns0:f>
        <ns0:v>0</ns0:v>
      </ns0:c>
    </ns0:row>
    <ns0:row r="890">
      <ns0:c r="A890" s="0">
        <ns0:f>IFERROR(IF(ISNUMBER(Bookings!B890),"",TRIM(Bookings!B890&amp;"")),"")</ns0:f>
      </ns0:c>
      <ns0:c r="B890" s="0">
        <ns0:f>IFERROR(SUBSTITUTE(SUBSTITUTE(A890,"/","."),"-","."),"")</ns0:f>
      </ns0:c>
      <ns0:c r="C890" s="0">
        <ns0:f>IFERROR(LEFT(B890,FIND(".",B890)-1),"")</ns0:f>
      </ns0:c>
      <ns0:c r="D890" s="0">
        <ns0:f>IFERROR(MID(B890,FIND(".",B890)+1,FIND(".",B890,FIND(".",B890)+1)-FIND(".",B890)-1),"")</ns0:f>
      </ns0:c>
      <ns0:c r="E890" s="0">
        <ns0:f>IFERROR(MID(B890,FIND(".",B890,FIND(".",B890)+1)+1,99),"")</ns0:f>
        <ns0:v>99</ns0:v>
      </ns0:c>
      <ns0:c r="F890" s="0">
        <ns0:f>IFERROR(IF(FIND(".",B890)=5,--C890,--E890),0)</ns0:f>
        <ns0:v>0</ns0:v>
      </ns0:c>
      <ns0:c r="G890" s="0">
        <ns0:f>IFERROR(--D890,0)</ns0:f>
        <ns0:v>0</ns0:v>
      </ns0:c>
      <ns0:c r="H890" s="0">
        <ns0:f>IFERROR(IF(FIND(".",B890)=5,--E890,--C890),0)</ns0:f>
        <ns0:v>0</ns0:v>
      </ns0:c>
      <ns0:c r="I890" s="0">
        <ns0:f>IFERROR(IF(AND(F890&gt;=2000,F890&lt;=2100,G890&gt;=1,G890&lt;=12,H890&gt;=1,H890&lt;=31),DATE(F890,G890,H890),0),0)</ns0:f>
        <ns0:v>0</ns0:v>
      </ns0:c>
      <ns0:c r="J890" s="0">
        <ns0:f>IFERROR(IF(ISNUMBER(Bookings!B890),IF(AND(Bookings!B890=INT(Bookings!B890),Bookings!B890&gt;=DATE(2000,1,1),Bookings!B890&lt;=DATE(2100,12,31)),Bookings!B890,0),IF(AND(A890&lt;&gt;"",LEN("x"&amp;B890)-LEN(SUBSTITUTE("x"&amp;B890,".",""))=2,OR(1&gt;LEN(B890),MID(B890,1,1)=".",ISNUMBER(FIND("x"&amp;MID(B890,1,1),"x0x1x2x3x4x5x6x7x8x9"))),OR(2&gt;LEN(B890),MID(B890,2,1)=".",ISNUMBER(FIND("x"&amp;MID(B890,2,1),"x0x1x2x3x4x5x6x7x8x9"))),OR(3&gt;LEN(B890),MID(B890,3,1)=".",ISNUMBER(FIND("x"&amp;MID(B890,3,1),"x0x1x2x3x4x5x6x7x8x9"))),OR(4&gt;LEN(B890),MID(B890,4,1)=".",ISNUMBER(FIND("x"&amp;MID(B890,4,1),"x0x1x2x3x4x5x6x7x8x9"))),OR(5&gt;LEN(B890),MID(B890,5,1)=".",ISNUMBER(FIND("x"&amp;MID(B890,5,1),"x0x1x2x3x4x5x6x7x8x9"))),OR(6&gt;LEN(B890),MID(B890,6,1)=".",ISNUMBER(FIND("x"&amp;MID(B890,6,1),"x0x1x2x3x4x5x6x7x8x9"))),OR(7&gt;LEN(B890),MID(B890,7,1)=".",ISNUMBER(FIND("x"&amp;MID(B890,7,1),"x0x1x2x3x4x5x6x7x8x9"))),OR(8&gt;LEN(B890),MID(B890,8,1)=".",ISNUMBER(FIND("x"&amp;MID(B890,8,1),"x0x1x2x3x4x5x6x7x8x9"))),OR(9&gt;LEN(B890),MID(B890,9,1)=".",ISNUMBER(FIND("x"&amp;MID(B890,9,1),"x0x1x2x3x4x5x6x7x8x9"))),OR(10&gt;LEN(B890),MID(B890,10,1)=".",ISNUMBER(FIND("x"&amp;MID(B890,10,1),"x0x1x2x3x4x5x6x7x8x9"))),OR(AND(FIND(".",B890)=5,LEN(B890)-FIND(".",B890,FIND(".",B890)+1)&gt;=1,LEN(B890)-FIND(".",B890,FIND(".",B890)+1)&lt;=2),AND(LEN(B890)-FIND(".",B890,FIND(".",B890)+1)=4,FIND(".",B890)&gt;=2,FIND(".",B890)&lt;=3)),FIND(".",B890,FIND(".",B890)+1)-FIND(".",B890)&gt;=2,FIND(".",B890,FIND(".",B890)+1)-FIND(".",B890)&lt;=3,F890&gt;=2000,F890&lt;=2100,YEAR(I890)=F890,MONTH(I890)=G890,DAY(I890)=H890),I890,0)),0)</ns0:f>
        <ns0:v>0</ns0:v>
      </ns0:c>
      <ns0:c r="K890" s="0">
        <ns0:f>IFERROR(IF(ISNUMBER(Bookings!D890),"",TRIM(Bookings!D890&amp;"")),"")</ns0:f>
      </ns0:c>
      <ns0:c r="L890" s="0">
        <ns0:f>IFERROR(SUBSTITUTE(SUBSTITUTE(K890,"/","."),"-","."),"")</ns0:f>
      </ns0:c>
      <ns0:c r="M890" s="0">
        <ns0:f>IFERROR(LEFT(L890,FIND(".",L890)-1),"")</ns0:f>
      </ns0:c>
      <ns0:c r="N890" s="0">
        <ns0:f>IFERROR(MID(L890,FIND(".",L890)+1,FIND(".",L890,FIND(".",L890)+1)-FIND(".",L890)-1),"")</ns0:f>
      </ns0:c>
      <ns0:c r="O890" s="0">
        <ns0:f>IFERROR(MID(L890,FIND(".",L890,FIND(".",L890)+1)+1,99),"")</ns0:f>
        <ns0:v>99</ns0:v>
      </ns0:c>
      <ns0:c r="P890" s="0">
        <ns0:f>IFERROR(IF(FIND(".",L890)=5,--M890,--O890),0)</ns0:f>
        <ns0:v>0</ns0:v>
      </ns0:c>
      <ns0:c r="Q890" s="0">
        <ns0:f>IFERROR(--N890,0)</ns0:f>
        <ns0:v>0</ns0:v>
      </ns0:c>
      <ns0:c r="R890" s="0">
        <ns0:f>IFERROR(IF(FIND(".",L890)=5,--O890,--M890),0)</ns0:f>
        <ns0:v>0</ns0:v>
      </ns0:c>
      <ns0:c r="S890" s="0">
        <ns0:f>IFERROR(IF(AND(P890&gt;=2000,P890&lt;=2100,Q890&gt;=1,Q890&lt;=12,R890&gt;=1,R890&lt;=31),DATE(P890,Q890,R890),0),0)</ns0:f>
        <ns0:v>0</ns0:v>
      </ns0:c>
      <ns0:c r="T890" s="0">
        <ns0:f>IFERROR(IF(ISNUMBER(Bookings!D890),IF(AND(Bookings!D890=INT(Bookings!D890),Bookings!D890&gt;=DATE(2000,1,1),Bookings!D890&lt;=DATE(2100,12,31)),Bookings!D890,0),IF(AND(K890&lt;&gt;"",LEN("x"&amp;L890)-LEN(SUBSTITUTE("x"&amp;L890,".",""))=2,OR(1&gt;LEN(L890),MID(L890,1,1)=".",ISNUMBER(FIND("x"&amp;MID(L890,1,1),"x0x1x2x3x4x5x6x7x8x9"))),OR(2&gt;LEN(L890),MID(L890,2,1)=".",ISNUMBER(FIND("x"&amp;MID(L890,2,1),"x0x1x2x3x4x5x6x7x8x9"))),OR(3&gt;LEN(L890),MID(L890,3,1)=".",ISNUMBER(FIND("x"&amp;MID(L890,3,1),"x0x1x2x3x4x5x6x7x8x9"))),OR(4&gt;LEN(L890),MID(L890,4,1)=".",ISNUMBER(FIND("x"&amp;MID(L890,4,1),"x0x1x2x3x4x5x6x7x8x9"))),OR(5&gt;LEN(L890),MID(L890,5,1)=".",ISNUMBER(FIND("x"&amp;MID(L890,5,1),"x0x1x2x3x4x5x6x7x8x9"))),OR(6&gt;LEN(L890),MID(L890,6,1)=".",ISNUMBER(FIND("x"&amp;MID(L890,6,1),"x0x1x2x3x4x5x6x7x8x9"))),OR(7&gt;LEN(L890),MID(L890,7,1)=".",ISNUMBER(FIND("x"&amp;MID(L890,7,1),"x0x1x2x3x4x5x6x7x8x9"))),OR(8&gt;LEN(L890),MID(L890,8,1)=".",ISNUMBER(FIND("x"&amp;MID(L890,8,1),"x0x1x2x3x4x5x6x7x8x9"))),OR(9&gt;LEN(L890),MID(L890,9,1)=".",ISNUMBER(FIND("x"&amp;MID(L890,9,1),"x0x1x2x3x4x5x6x7x8x9"))),OR(10&gt;LEN(L890),MID(L890,10,1)=".",ISNUMBER(FIND("x"&amp;MID(L890,10,1),"x0x1x2x3x4x5x6x7x8x9"))),OR(AND(FIND(".",L890)=5,LEN(L890)-FIND(".",L890,FIND(".",L890)+1)&gt;=1,LEN(L890)-FIND(".",L890,FIND(".",L890)+1)&lt;=2),AND(LEN(L890)-FIND(".",L890,FIND(".",L890)+1)=4,FIND(".",L890)&gt;=2,FIND(".",L890)&lt;=3)),FIND(".",L890,FIND(".",L890)+1)-FIND(".",L890)&gt;=2,FIND(".",L890,FIND(".",L890)+1)-FIND(".",L890)&lt;=3,P890&gt;=2000,P890&lt;=2100,YEAR(S890)=P890,MONTH(S890)=Q890,DAY(S890)=R890),S890,0)),0)</ns0:f>
        <ns0:v>0</ns0:v>
      </ns0:c>
      <ns0:c r="U890" s="0" t="str">
        <ns0:f>IF(Bookings!C890="","Full day",Bookings!C890)</ns0:f>
        <ns0:v>Full day</ns0:v>
      </ns0:c>
      <ns0:c r="V890" s="0" t="str">
        <ns0:f>IF(Bookings!E890="","Full day",Bookings!E890)</ns0:f>
        <ns0:v>Full day</ns0:v>
      </ns0:c>
      <ns0:c r="W890" s="0">
        <ns0:f>IF(J890=0,0,J890+IF(U890="PM",1,0))</ns0:f>
        <ns0:v>0</ns0:v>
      </ns0:c>
      <ns0:c r="X890" s="0">
        <ns0:f>IF(T890=0,0,T890-IF(V890="PM",1,0))</ns0:f>
        <ns0:v>0</ns0:v>
      </ns0:c>
      <ns0:c r="Y890" s="0">
        <ns0:f>IF(J890=0,0,J890+IF(U890="AM",1,0))</ns0:f>
        <ns0:v>0</ns0:v>
      </ns0:c>
      <ns0:c r="Z890" s="0">
        <ns0:f>IF(T890=0,0,T890-IF(V890="AM",1,0))</ns0:f>
        <ns0:v>0</ns0:v>
      </ns0:c>
      <ns0:c r="AA890" s="0">
        <ns0:f>IFERROR(IF(AND(J890&gt;0,'_Engine'!C890&gt;0,MID('_Engine'!W890,WEEKDAY(J890,2),1)="W",COUNTIF(Settings!$F$18:$F$67,J890)=0),1,0),0)</ns0:f>
        <ns0:v>0</ns0:v>
      </ns0:c>
      <ns0:c r="AB890" s="0">
        <ns0:f>IFERROR(IF(AND(T890&gt;0,'_Engine'!C890&gt;0,MID('_Engine'!W890,WEEKDAY(T890,2),1)="W",COUNTIF(Settings!$F$18:$F$67,T890)=0),1,0),0)</ns0:f>
        <ns0:v>0</ns0:v>
      </ns0:c>
      <ns0:c r="AC890" s="0">
        <ns0:f>IF(AND(J890&gt;0,T890&gt;0,W890&lt;=X890),1,0)</ns0:f>
        <ns0:v>0</ns0:v>
      </ns0:c>
      <ns0:c r="AD890" s="0">
        <ns0:f>IF(AND(J890&gt;0,T890&gt;0,Y890&lt;=Z890),1,0)</ns0:f>
        <ns0:v>0</ns0:v>
      </ns0:c>
    </ns0:row>
    <ns0:row r="891">
      <ns0:c r="A891" s="0">
        <ns0:f>IFERROR(IF(ISNUMBER(Bookings!B891),"",TRIM(Bookings!B891&amp;"")),"")</ns0:f>
      </ns0:c>
      <ns0:c r="B891" s="0">
        <ns0:f>IFERROR(SUBSTITUTE(SUBSTITUTE(A891,"/","."),"-","."),"")</ns0:f>
      </ns0:c>
      <ns0:c r="C891" s="0">
        <ns0:f>IFERROR(LEFT(B891,FIND(".",B891)-1),"")</ns0:f>
      </ns0:c>
      <ns0:c r="D891" s="0">
        <ns0:f>IFERROR(MID(B891,FIND(".",B891)+1,FIND(".",B891,FIND(".",B891)+1)-FIND(".",B891)-1),"")</ns0:f>
      </ns0:c>
      <ns0:c r="E891" s="0">
        <ns0:f>IFERROR(MID(B891,FIND(".",B891,FIND(".",B891)+1)+1,99),"")</ns0:f>
        <ns0:v>99</ns0:v>
      </ns0:c>
      <ns0:c r="F891" s="0">
        <ns0:f>IFERROR(IF(FIND(".",B891)=5,--C891,--E891),0)</ns0:f>
        <ns0:v>0</ns0:v>
      </ns0:c>
      <ns0:c r="G891" s="0">
        <ns0:f>IFERROR(--D891,0)</ns0:f>
        <ns0:v>0</ns0:v>
      </ns0:c>
      <ns0:c r="H891" s="0">
        <ns0:f>IFERROR(IF(FIND(".",B891)=5,--E891,--C891),0)</ns0:f>
        <ns0:v>0</ns0:v>
      </ns0:c>
      <ns0:c r="I891" s="0">
        <ns0:f>IFERROR(IF(AND(F891&gt;=2000,F891&lt;=2100,G891&gt;=1,G891&lt;=12,H891&gt;=1,H891&lt;=31),DATE(F891,G891,H891),0),0)</ns0:f>
        <ns0:v>0</ns0:v>
      </ns0:c>
      <ns0:c r="J891" s="0">
        <ns0:f>IFERROR(IF(ISNUMBER(Bookings!B891),IF(AND(Bookings!B891=INT(Bookings!B891),Bookings!B891&gt;=DATE(2000,1,1),Bookings!B891&lt;=DATE(2100,12,31)),Bookings!B891,0),IF(AND(A891&lt;&gt;"",LEN("x"&amp;B891)-LEN(SUBSTITUTE("x"&amp;B891,".",""))=2,OR(1&gt;LEN(B891),MID(B891,1,1)=".",ISNUMBER(FIND("x"&amp;MID(B891,1,1),"x0x1x2x3x4x5x6x7x8x9"))),OR(2&gt;LEN(B891),MID(B891,2,1)=".",ISNUMBER(FIND("x"&amp;MID(B891,2,1),"x0x1x2x3x4x5x6x7x8x9"))),OR(3&gt;LEN(B891),MID(B891,3,1)=".",ISNUMBER(FIND("x"&amp;MID(B891,3,1),"x0x1x2x3x4x5x6x7x8x9"))),OR(4&gt;LEN(B891),MID(B891,4,1)=".",ISNUMBER(FIND("x"&amp;MID(B891,4,1),"x0x1x2x3x4x5x6x7x8x9"))),OR(5&gt;LEN(B891),MID(B891,5,1)=".",ISNUMBER(FIND("x"&amp;MID(B891,5,1),"x0x1x2x3x4x5x6x7x8x9"))),OR(6&gt;LEN(B891),MID(B891,6,1)=".",ISNUMBER(FIND("x"&amp;MID(B891,6,1),"x0x1x2x3x4x5x6x7x8x9"))),OR(7&gt;LEN(B891),MID(B891,7,1)=".",ISNUMBER(FIND("x"&amp;MID(B891,7,1),"x0x1x2x3x4x5x6x7x8x9"))),OR(8&gt;LEN(B891),MID(B891,8,1)=".",ISNUMBER(FIND("x"&amp;MID(B891,8,1),"x0x1x2x3x4x5x6x7x8x9"))),OR(9&gt;LEN(B891),MID(B891,9,1)=".",ISNUMBER(FIND("x"&amp;MID(B891,9,1),"x0x1x2x3x4x5x6x7x8x9"))),OR(10&gt;LEN(B891),MID(B891,10,1)=".",ISNUMBER(FIND("x"&amp;MID(B891,10,1),"x0x1x2x3x4x5x6x7x8x9"))),OR(AND(FIND(".",B891)=5,LEN(B891)-FIND(".",B891,FIND(".",B891)+1)&gt;=1,LEN(B891)-FIND(".",B891,FIND(".",B891)+1)&lt;=2),AND(LEN(B891)-FIND(".",B891,FIND(".",B891)+1)=4,FIND(".",B891)&gt;=2,FIND(".",B891)&lt;=3)),FIND(".",B891,FIND(".",B891)+1)-FIND(".",B891)&gt;=2,FIND(".",B891,FIND(".",B891)+1)-FIND(".",B891)&lt;=3,F891&gt;=2000,F891&lt;=2100,YEAR(I891)=F891,MONTH(I891)=G891,DAY(I891)=H891),I891,0)),0)</ns0:f>
        <ns0:v>0</ns0:v>
      </ns0:c>
      <ns0:c r="K891" s="0">
        <ns0:f>IFERROR(IF(ISNUMBER(Bookings!D891),"",TRIM(Bookings!D891&amp;"")),"")</ns0:f>
      </ns0:c>
      <ns0:c r="L891" s="0">
        <ns0:f>IFERROR(SUBSTITUTE(SUBSTITUTE(K891,"/","."),"-","."),"")</ns0:f>
      </ns0:c>
      <ns0:c r="M891" s="0">
        <ns0:f>IFERROR(LEFT(L891,FIND(".",L891)-1),"")</ns0:f>
      </ns0:c>
      <ns0:c r="N891" s="0">
        <ns0:f>IFERROR(MID(L891,FIND(".",L891)+1,FIND(".",L891,FIND(".",L891)+1)-FIND(".",L891)-1),"")</ns0:f>
      </ns0:c>
      <ns0:c r="O891" s="0">
        <ns0:f>IFERROR(MID(L891,FIND(".",L891,FIND(".",L891)+1)+1,99),"")</ns0:f>
        <ns0:v>99</ns0:v>
      </ns0:c>
      <ns0:c r="P891" s="0">
        <ns0:f>IFERROR(IF(FIND(".",L891)=5,--M891,--O891),0)</ns0:f>
        <ns0:v>0</ns0:v>
      </ns0:c>
      <ns0:c r="Q891" s="0">
        <ns0:f>IFERROR(--N891,0)</ns0:f>
        <ns0:v>0</ns0:v>
      </ns0:c>
      <ns0:c r="R891" s="0">
        <ns0:f>IFERROR(IF(FIND(".",L891)=5,--O891,--M891),0)</ns0:f>
        <ns0:v>0</ns0:v>
      </ns0:c>
      <ns0:c r="S891" s="0">
        <ns0:f>IFERROR(IF(AND(P891&gt;=2000,P891&lt;=2100,Q891&gt;=1,Q891&lt;=12,R891&gt;=1,R891&lt;=31),DATE(P891,Q891,R891),0),0)</ns0:f>
        <ns0:v>0</ns0:v>
      </ns0:c>
      <ns0:c r="T891" s="0">
        <ns0:f>IFERROR(IF(ISNUMBER(Bookings!D891),IF(AND(Bookings!D891=INT(Bookings!D891),Bookings!D891&gt;=DATE(2000,1,1),Bookings!D891&lt;=DATE(2100,12,31)),Bookings!D891,0),IF(AND(K891&lt;&gt;"",LEN("x"&amp;L891)-LEN(SUBSTITUTE("x"&amp;L891,".",""))=2,OR(1&gt;LEN(L891),MID(L891,1,1)=".",ISNUMBER(FIND("x"&amp;MID(L891,1,1),"x0x1x2x3x4x5x6x7x8x9"))),OR(2&gt;LEN(L891),MID(L891,2,1)=".",ISNUMBER(FIND("x"&amp;MID(L891,2,1),"x0x1x2x3x4x5x6x7x8x9"))),OR(3&gt;LEN(L891),MID(L891,3,1)=".",ISNUMBER(FIND("x"&amp;MID(L891,3,1),"x0x1x2x3x4x5x6x7x8x9"))),OR(4&gt;LEN(L891),MID(L891,4,1)=".",ISNUMBER(FIND("x"&amp;MID(L891,4,1),"x0x1x2x3x4x5x6x7x8x9"))),OR(5&gt;LEN(L891),MID(L891,5,1)=".",ISNUMBER(FIND("x"&amp;MID(L891,5,1),"x0x1x2x3x4x5x6x7x8x9"))),OR(6&gt;LEN(L891),MID(L891,6,1)=".",ISNUMBER(FIND("x"&amp;MID(L891,6,1),"x0x1x2x3x4x5x6x7x8x9"))),OR(7&gt;LEN(L891),MID(L891,7,1)=".",ISNUMBER(FIND("x"&amp;MID(L891,7,1),"x0x1x2x3x4x5x6x7x8x9"))),OR(8&gt;LEN(L891),MID(L891,8,1)=".",ISNUMBER(FIND("x"&amp;MID(L891,8,1),"x0x1x2x3x4x5x6x7x8x9"))),OR(9&gt;LEN(L891),MID(L891,9,1)=".",ISNUMBER(FIND("x"&amp;MID(L891,9,1),"x0x1x2x3x4x5x6x7x8x9"))),OR(10&gt;LEN(L891),MID(L891,10,1)=".",ISNUMBER(FIND("x"&amp;MID(L891,10,1),"x0x1x2x3x4x5x6x7x8x9"))),OR(AND(FIND(".",L891)=5,LEN(L891)-FIND(".",L891,FIND(".",L891)+1)&gt;=1,LEN(L891)-FIND(".",L891,FIND(".",L891)+1)&lt;=2),AND(LEN(L891)-FIND(".",L891,FIND(".",L891)+1)=4,FIND(".",L891)&gt;=2,FIND(".",L891)&lt;=3)),FIND(".",L891,FIND(".",L891)+1)-FIND(".",L891)&gt;=2,FIND(".",L891,FIND(".",L891)+1)-FIND(".",L891)&lt;=3,P891&gt;=2000,P891&lt;=2100,YEAR(S891)=P891,MONTH(S891)=Q891,DAY(S891)=R891),S891,0)),0)</ns0:f>
        <ns0:v>0</ns0:v>
      </ns0:c>
      <ns0:c r="U891" s="0" t="str">
        <ns0:f>IF(Bookings!C891="","Full day",Bookings!C891)</ns0:f>
        <ns0:v>Full day</ns0:v>
      </ns0:c>
      <ns0:c r="V891" s="0" t="str">
        <ns0:f>IF(Bookings!E891="","Full day",Bookings!E891)</ns0:f>
        <ns0:v>Full day</ns0:v>
      </ns0:c>
      <ns0:c r="W891" s="0">
        <ns0:f>IF(J891=0,0,J891+IF(U891="PM",1,0))</ns0:f>
        <ns0:v>0</ns0:v>
      </ns0:c>
      <ns0:c r="X891" s="0">
        <ns0:f>IF(T891=0,0,T891-IF(V891="PM",1,0))</ns0:f>
        <ns0:v>0</ns0:v>
      </ns0:c>
      <ns0:c r="Y891" s="0">
        <ns0:f>IF(J891=0,0,J891+IF(U891="AM",1,0))</ns0:f>
        <ns0:v>0</ns0:v>
      </ns0:c>
      <ns0:c r="Z891" s="0">
        <ns0:f>IF(T891=0,0,T891-IF(V891="AM",1,0))</ns0:f>
        <ns0:v>0</ns0:v>
      </ns0:c>
      <ns0:c r="AA891" s="0">
        <ns0:f>IFERROR(IF(AND(J891&gt;0,'_Engine'!C891&gt;0,MID('_Engine'!W891,WEEKDAY(J891,2),1)="W",COUNTIF(Settings!$F$18:$F$67,J891)=0),1,0),0)</ns0:f>
        <ns0:v>0</ns0:v>
      </ns0:c>
      <ns0:c r="AB891" s="0">
        <ns0:f>IFERROR(IF(AND(T891&gt;0,'_Engine'!C891&gt;0,MID('_Engine'!W891,WEEKDAY(T891,2),1)="W",COUNTIF(Settings!$F$18:$F$67,T891)=0),1,0),0)</ns0:f>
        <ns0:v>0</ns0:v>
      </ns0:c>
      <ns0:c r="AC891" s="0">
        <ns0:f>IF(AND(J891&gt;0,T891&gt;0,W891&lt;=X891),1,0)</ns0:f>
        <ns0:v>0</ns0:v>
      </ns0:c>
      <ns0:c r="AD891" s="0">
        <ns0:f>IF(AND(J891&gt;0,T891&gt;0,Y891&lt;=Z891),1,0)</ns0:f>
        <ns0:v>0</ns0:v>
      </ns0:c>
    </ns0:row>
    <ns0:row r="892">
      <ns0:c r="A892" s="0">
        <ns0:f>IFERROR(IF(ISNUMBER(Bookings!B892),"",TRIM(Bookings!B892&amp;"")),"")</ns0:f>
      </ns0:c>
      <ns0:c r="B892" s="0">
        <ns0:f>IFERROR(SUBSTITUTE(SUBSTITUTE(A892,"/","."),"-","."),"")</ns0:f>
      </ns0:c>
      <ns0:c r="C892" s="0">
        <ns0:f>IFERROR(LEFT(B892,FIND(".",B892)-1),"")</ns0:f>
      </ns0:c>
      <ns0:c r="D892" s="0">
        <ns0:f>IFERROR(MID(B892,FIND(".",B892)+1,FIND(".",B892,FIND(".",B892)+1)-FIND(".",B892)-1),"")</ns0:f>
      </ns0:c>
      <ns0:c r="E892" s="0">
        <ns0:f>IFERROR(MID(B892,FIND(".",B892,FIND(".",B892)+1)+1,99),"")</ns0:f>
        <ns0:v>99</ns0:v>
      </ns0:c>
      <ns0:c r="F892" s="0">
        <ns0:f>IFERROR(IF(FIND(".",B892)=5,--C892,--E892),0)</ns0:f>
        <ns0:v>0</ns0:v>
      </ns0:c>
      <ns0:c r="G892" s="0">
        <ns0:f>IFERROR(--D892,0)</ns0:f>
        <ns0:v>0</ns0:v>
      </ns0:c>
      <ns0:c r="H892" s="0">
        <ns0:f>IFERROR(IF(FIND(".",B892)=5,--E892,--C892),0)</ns0:f>
        <ns0:v>0</ns0:v>
      </ns0:c>
      <ns0:c r="I892" s="0">
        <ns0:f>IFERROR(IF(AND(F892&gt;=2000,F892&lt;=2100,G892&gt;=1,G892&lt;=12,H892&gt;=1,H892&lt;=31),DATE(F892,G892,H892),0),0)</ns0:f>
        <ns0:v>0</ns0:v>
      </ns0:c>
      <ns0:c r="J892" s="0">
        <ns0:f>IFERROR(IF(ISNUMBER(Bookings!B892),IF(AND(Bookings!B892=INT(Bookings!B892),Bookings!B892&gt;=DATE(2000,1,1),Bookings!B892&lt;=DATE(2100,12,31)),Bookings!B892,0),IF(AND(A892&lt;&gt;"",LEN("x"&amp;B892)-LEN(SUBSTITUTE("x"&amp;B892,".",""))=2,OR(1&gt;LEN(B892),MID(B892,1,1)=".",ISNUMBER(FIND("x"&amp;MID(B892,1,1),"x0x1x2x3x4x5x6x7x8x9"))),OR(2&gt;LEN(B892),MID(B892,2,1)=".",ISNUMBER(FIND("x"&amp;MID(B892,2,1),"x0x1x2x3x4x5x6x7x8x9"))),OR(3&gt;LEN(B892),MID(B892,3,1)=".",ISNUMBER(FIND("x"&amp;MID(B892,3,1),"x0x1x2x3x4x5x6x7x8x9"))),OR(4&gt;LEN(B892),MID(B892,4,1)=".",ISNUMBER(FIND("x"&amp;MID(B892,4,1),"x0x1x2x3x4x5x6x7x8x9"))),OR(5&gt;LEN(B892),MID(B892,5,1)=".",ISNUMBER(FIND("x"&amp;MID(B892,5,1),"x0x1x2x3x4x5x6x7x8x9"))),OR(6&gt;LEN(B892),MID(B892,6,1)=".",ISNUMBER(FIND("x"&amp;MID(B892,6,1),"x0x1x2x3x4x5x6x7x8x9"))),OR(7&gt;LEN(B892),MID(B892,7,1)=".",ISNUMBER(FIND("x"&amp;MID(B892,7,1),"x0x1x2x3x4x5x6x7x8x9"))),OR(8&gt;LEN(B892),MID(B892,8,1)=".",ISNUMBER(FIND("x"&amp;MID(B892,8,1),"x0x1x2x3x4x5x6x7x8x9"))),OR(9&gt;LEN(B892),MID(B892,9,1)=".",ISNUMBER(FIND("x"&amp;MID(B892,9,1),"x0x1x2x3x4x5x6x7x8x9"))),OR(10&gt;LEN(B892),MID(B892,10,1)=".",ISNUMBER(FIND("x"&amp;MID(B892,10,1),"x0x1x2x3x4x5x6x7x8x9"))),OR(AND(FIND(".",B892)=5,LEN(B892)-FIND(".",B892,FIND(".",B892)+1)&gt;=1,LEN(B892)-FIND(".",B892,FIND(".",B892)+1)&lt;=2),AND(LEN(B892)-FIND(".",B892,FIND(".",B892)+1)=4,FIND(".",B892)&gt;=2,FIND(".",B892)&lt;=3)),FIND(".",B892,FIND(".",B892)+1)-FIND(".",B892)&gt;=2,FIND(".",B892,FIND(".",B892)+1)-FIND(".",B892)&lt;=3,F892&gt;=2000,F892&lt;=2100,YEAR(I892)=F892,MONTH(I892)=G892,DAY(I892)=H892),I892,0)),0)</ns0:f>
        <ns0:v>0</ns0:v>
      </ns0:c>
      <ns0:c r="K892" s="0">
        <ns0:f>IFERROR(IF(ISNUMBER(Bookings!D892),"",TRIM(Bookings!D892&amp;"")),"")</ns0:f>
      </ns0:c>
      <ns0:c r="L892" s="0">
        <ns0:f>IFERROR(SUBSTITUTE(SUBSTITUTE(K892,"/","."),"-","."),"")</ns0:f>
      </ns0:c>
      <ns0:c r="M892" s="0">
        <ns0:f>IFERROR(LEFT(L892,FIND(".",L892)-1),"")</ns0:f>
      </ns0:c>
      <ns0:c r="N892" s="0">
        <ns0:f>IFERROR(MID(L892,FIND(".",L892)+1,FIND(".",L892,FIND(".",L892)+1)-FIND(".",L892)-1),"")</ns0:f>
      </ns0:c>
      <ns0:c r="O892" s="0">
        <ns0:f>IFERROR(MID(L892,FIND(".",L892,FIND(".",L892)+1)+1,99),"")</ns0:f>
        <ns0:v>99</ns0:v>
      </ns0:c>
      <ns0:c r="P892" s="0">
        <ns0:f>IFERROR(IF(FIND(".",L892)=5,--M892,--O892),0)</ns0:f>
        <ns0:v>0</ns0:v>
      </ns0:c>
      <ns0:c r="Q892" s="0">
        <ns0:f>IFERROR(--N892,0)</ns0:f>
        <ns0:v>0</ns0:v>
      </ns0:c>
      <ns0:c r="R892" s="0">
        <ns0:f>IFERROR(IF(FIND(".",L892)=5,--O892,--M892),0)</ns0:f>
        <ns0:v>0</ns0:v>
      </ns0:c>
      <ns0:c r="S892" s="0">
        <ns0:f>IFERROR(IF(AND(P892&gt;=2000,P892&lt;=2100,Q892&gt;=1,Q892&lt;=12,R892&gt;=1,R892&lt;=31),DATE(P892,Q892,R892),0),0)</ns0:f>
        <ns0:v>0</ns0:v>
      </ns0:c>
      <ns0:c r="T892" s="0">
        <ns0:f>IFERROR(IF(ISNUMBER(Bookings!D892),IF(AND(Bookings!D892=INT(Bookings!D892),Bookings!D892&gt;=DATE(2000,1,1),Bookings!D892&lt;=DATE(2100,12,31)),Bookings!D892,0),IF(AND(K892&lt;&gt;"",LEN("x"&amp;L892)-LEN(SUBSTITUTE("x"&amp;L892,".",""))=2,OR(1&gt;LEN(L892),MID(L892,1,1)=".",ISNUMBER(FIND("x"&amp;MID(L892,1,1),"x0x1x2x3x4x5x6x7x8x9"))),OR(2&gt;LEN(L892),MID(L892,2,1)=".",ISNUMBER(FIND("x"&amp;MID(L892,2,1),"x0x1x2x3x4x5x6x7x8x9"))),OR(3&gt;LEN(L892),MID(L892,3,1)=".",ISNUMBER(FIND("x"&amp;MID(L892,3,1),"x0x1x2x3x4x5x6x7x8x9"))),OR(4&gt;LEN(L892),MID(L892,4,1)=".",ISNUMBER(FIND("x"&amp;MID(L892,4,1),"x0x1x2x3x4x5x6x7x8x9"))),OR(5&gt;LEN(L892),MID(L892,5,1)=".",ISNUMBER(FIND("x"&amp;MID(L892,5,1),"x0x1x2x3x4x5x6x7x8x9"))),OR(6&gt;LEN(L892),MID(L892,6,1)=".",ISNUMBER(FIND("x"&amp;MID(L892,6,1),"x0x1x2x3x4x5x6x7x8x9"))),OR(7&gt;LEN(L892),MID(L892,7,1)=".",ISNUMBER(FIND("x"&amp;MID(L892,7,1),"x0x1x2x3x4x5x6x7x8x9"))),OR(8&gt;LEN(L892),MID(L892,8,1)=".",ISNUMBER(FIND("x"&amp;MID(L892,8,1),"x0x1x2x3x4x5x6x7x8x9"))),OR(9&gt;LEN(L892),MID(L892,9,1)=".",ISNUMBER(FIND("x"&amp;MID(L892,9,1),"x0x1x2x3x4x5x6x7x8x9"))),OR(10&gt;LEN(L892),MID(L892,10,1)=".",ISNUMBER(FIND("x"&amp;MID(L892,10,1),"x0x1x2x3x4x5x6x7x8x9"))),OR(AND(FIND(".",L892)=5,LEN(L892)-FIND(".",L892,FIND(".",L892)+1)&gt;=1,LEN(L892)-FIND(".",L892,FIND(".",L892)+1)&lt;=2),AND(LEN(L892)-FIND(".",L892,FIND(".",L892)+1)=4,FIND(".",L892)&gt;=2,FIND(".",L892)&lt;=3)),FIND(".",L892,FIND(".",L892)+1)-FIND(".",L892)&gt;=2,FIND(".",L892,FIND(".",L892)+1)-FIND(".",L892)&lt;=3,P892&gt;=2000,P892&lt;=2100,YEAR(S892)=P892,MONTH(S892)=Q892,DAY(S892)=R892),S892,0)),0)</ns0:f>
        <ns0:v>0</ns0:v>
      </ns0:c>
      <ns0:c r="U892" s="0" t="str">
        <ns0:f>IF(Bookings!C892="","Full day",Bookings!C892)</ns0:f>
        <ns0:v>Full day</ns0:v>
      </ns0:c>
      <ns0:c r="V892" s="0" t="str">
        <ns0:f>IF(Bookings!E892="","Full day",Bookings!E892)</ns0:f>
        <ns0:v>Full day</ns0:v>
      </ns0:c>
      <ns0:c r="W892" s="0">
        <ns0:f>IF(J892=0,0,J892+IF(U892="PM",1,0))</ns0:f>
        <ns0:v>0</ns0:v>
      </ns0:c>
      <ns0:c r="X892" s="0">
        <ns0:f>IF(T892=0,0,T892-IF(V892="PM",1,0))</ns0:f>
        <ns0:v>0</ns0:v>
      </ns0:c>
      <ns0:c r="Y892" s="0">
        <ns0:f>IF(J892=0,0,J892+IF(U892="AM",1,0))</ns0:f>
        <ns0:v>0</ns0:v>
      </ns0:c>
      <ns0:c r="Z892" s="0">
        <ns0:f>IF(T892=0,0,T892-IF(V892="AM",1,0))</ns0:f>
        <ns0:v>0</ns0:v>
      </ns0:c>
      <ns0:c r="AA892" s="0">
        <ns0:f>IFERROR(IF(AND(J892&gt;0,'_Engine'!C892&gt;0,MID('_Engine'!W892,WEEKDAY(J892,2),1)="W",COUNTIF(Settings!$F$18:$F$67,J892)=0),1,0),0)</ns0:f>
        <ns0:v>0</ns0:v>
      </ns0:c>
      <ns0:c r="AB892" s="0">
        <ns0:f>IFERROR(IF(AND(T892&gt;0,'_Engine'!C892&gt;0,MID('_Engine'!W892,WEEKDAY(T892,2),1)="W",COUNTIF(Settings!$F$18:$F$67,T892)=0),1,0),0)</ns0:f>
        <ns0:v>0</ns0:v>
      </ns0:c>
      <ns0:c r="AC892" s="0">
        <ns0:f>IF(AND(J892&gt;0,T892&gt;0,W892&lt;=X892),1,0)</ns0:f>
        <ns0:v>0</ns0:v>
      </ns0:c>
      <ns0:c r="AD892" s="0">
        <ns0:f>IF(AND(J892&gt;0,T892&gt;0,Y892&lt;=Z892),1,0)</ns0:f>
        <ns0:v>0</ns0:v>
      </ns0:c>
    </ns0:row>
    <ns0:row r="893">
      <ns0:c r="A893" s="0">
        <ns0:f>IFERROR(IF(ISNUMBER(Bookings!B893),"",TRIM(Bookings!B893&amp;"")),"")</ns0:f>
      </ns0:c>
      <ns0:c r="B893" s="0">
        <ns0:f>IFERROR(SUBSTITUTE(SUBSTITUTE(A893,"/","."),"-","."),"")</ns0:f>
      </ns0:c>
      <ns0:c r="C893" s="0">
        <ns0:f>IFERROR(LEFT(B893,FIND(".",B893)-1),"")</ns0:f>
      </ns0:c>
      <ns0:c r="D893" s="0">
        <ns0:f>IFERROR(MID(B893,FIND(".",B893)+1,FIND(".",B893,FIND(".",B893)+1)-FIND(".",B893)-1),"")</ns0:f>
      </ns0:c>
      <ns0:c r="E893" s="0">
        <ns0:f>IFERROR(MID(B893,FIND(".",B893,FIND(".",B893)+1)+1,99),"")</ns0:f>
        <ns0:v>99</ns0:v>
      </ns0:c>
      <ns0:c r="F893" s="0">
        <ns0:f>IFERROR(IF(FIND(".",B893)=5,--C893,--E893),0)</ns0:f>
        <ns0:v>0</ns0:v>
      </ns0:c>
      <ns0:c r="G893" s="0">
        <ns0:f>IFERROR(--D893,0)</ns0:f>
        <ns0:v>0</ns0:v>
      </ns0:c>
      <ns0:c r="H893" s="0">
        <ns0:f>IFERROR(IF(FIND(".",B893)=5,--E893,--C893),0)</ns0:f>
        <ns0:v>0</ns0:v>
      </ns0:c>
      <ns0:c r="I893" s="0">
        <ns0:f>IFERROR(IF(AND(F893&gt;=2000,F893&lt;=2100,G893&gt;=1,G893&lt;=12,H893&gt;=1,H893&lt;=31),DATE(F893,G893,H893),0),0)</ns0:f>
        <ns0:v>0</ns0:v>
      </ns0:c>
      <ns0:c r="J893" s="0">
        <ns0:f>IFERROR(IF(ISNUMBER(Bookings!B893),IF(AND(Bookings!B893=INT(Bookings!B893),Bookings!B893&gt;=DATE(2000,1,1),Bookings!B893&lt;=DATE(2100,12,31)),Bookings!B893,0),IF(AND(A893&lt;&gt;"",LEN("x"&amp;B893)-LEN(SUBSTITUTE("x"&amp;B893,".",""))=2,OR(1&gt;LEN(B893),MID(B893,1,1)=".",ISNUMBER(FIND("x"&amp;MID(B893,1,1),"x0x1x2x3x4x5x6x7x8x9"))),OR(2&gt;LEN(B893),MID(B893,2,1)=".",ISNUMBER(FIND("x"&amp;MID(B893,2,1),"x0x1x2x3x4x5x6x7x8x9"))),OR(3&gt;LEN(B893),MID(B893,3,1)=".",ISNUMBER(FIND("x"&amp;MID(B893,3,1),"x0x1x2x3x4x5x6x7x8x9"))),OR(4&gt;LEN(B893),MID(B893,4,1)=".",ISNUMBER(FIND("x"&amp;MID(B893,4,1),"x0x1x2x3x4x5x6x7x8x9"))),OR(5&gt;LEN(B893),MID(B893,5,1)=".",ISNUMBER(FIND("x"&amp;MID(B893,5,1),"x0x1x2x3x4x5x6x7x8x9"))),OR(6&gt;LEN(B893),MID(B893,6,1)=".",ISNUMBER(FIND("x"&amp;MID(B893,6,1),"x0x1x2x3x4x5x6x7x8x9"))),OR(7&gt;LEN(B893),MID(B893,7,1)=".",ISNUMBER(FIND("x"&amp;MID(B893,7,1),"x0x1x2x3x4x5x6x7x8x9"))),OR(8&gt;LEN(B893),MID(B893,8,1)=".",ISNUMBER(FIND("x"&amp;MID(B893,8,1),"x0x1x2x3x4x5x6x7x8x9"))),OR(9&gt;LEN(B893),MID(B893,9,1)=".",ISNUMBER(FIND("x"&amp;MID(B893,9,1),"x0x1x2x3x4x5x6x7x8x9"))),OR(10&gt;LEN(B893),MID(B893,10,1)=".",ISNUMBER(FIND("x"&amp;MID(B893,10,1),"x0x1x2x3x4x5x6x7x8x9"))),OR(AND(FIND(".",B893)=5,LEN(B893)-FIND(".",B893,FIND(".",B893)+1)&gt;=1,LEN(B893)-FIND(".",B893,FIND(".",B893)+1)&lt;=2),AND(LEN(B893)-FIND(".",B893,FIND(".",B893)+1)=4,FIND(".",B893)&gt;=2,FIND(".",B893)&lt;=3)),FIND(".",B893,FIND(".",B893)+1)-FIND(".",B893)&gt;=2,FIND(".",B893,FIND(".",B893)+1)-FIND(".",B893)&lt;=3,F893&gt;=2000,F893&lt;=2100,YEAR(I893)=F893,MONTH(I893)=G893,DAY(I893)=H893),I893,0)),0)</ns0:f>
        <ns0:v>0</ns0:v>
      </ns0:c>
      <ns0:c r="K893" s="0">
        <ns0:f>IFERROR(IF(ISNUMBER(Bookings!D893),"",TRIM(Bookings!D893&amp;"")),"")</ns0:f>
      </ns0:c>
      <ns0:c r="L893" s="0">
        <ns0:f>IFERROR(SUBSTITUTE(SUBSTITUTE(K893,"/","."),"-","."),"")</ns0:f>
      </ns0:c>
      <ns0:c r="M893" s="0">
        <ns0:f>IFERROR(LEFT(L893,FIND(".",L893)-1),"")</ns0:f>
      </ns0:c>
      <ns0:c r="N893" s="0">
        <ns0:f>IFERROR(MID(L893,FIND(".",L893)+1,FIND(".",L893,FIND(".",L893)+1)-FIND(".",L893)-1),"")</ns0:f>
      </ns0:c>
      <ns0:c r="O893" s="0">
        <ns0:f>IFERROR(MID(L893,FIND(".",L893,FIND(".",L893)+1)+1,99),"")</ns0:f>
        <ns0:v>99</ns0:v>
      </ns0:c>
      <ns0:c r="P893" s="0">
        <ns0:f>IFERROR(IF(FIND(".",L893)=5,--M893,--O893),0)</ns0:f>
        <ns0:v>0</ns0:v>
      </ns0:c>
      <ns0:c r="Q893" s="0">
        <ns0:f>IFERROR(--N893,0)</ns0:f>
        <ns0:v>0</ns0:v>
      </ns0:c>
      <ns0:c r="R893" s="0">
        <ns0:f>IFERROR(IF(FIND(".",L893)=5,--O893,--M893),0)</ns0:f>
        <ns0:v>0</ns0:v>
      </ns0:c>
      <ns0:c r="S893" s="0">
        <ns0:f>IFERROR(IF(AND(P893&gt;=2000,P893&lt;=2100,Q893&gt;=1,Q893&lt;=12,R893&gt;=1,R893&lt;=31),DATE(P893,Q893,R893),0),0)</ns0:f>
        <ns0:v>0</ns0:v>
      </ns0:c>
      <ns0:c r="T893" s="0">
        <ns0:f>IFERROR(IF(ISNUMBER(Bookings!D893),IF(AND(Bookings!D893=INT(Bookings!D893),Bookings!D893&gt;=DATE(2000,1,1),Bookings!D893&lt;=DATE(2100,12,31)),Bookings!D893,0),IF(AND(K893&lt;&gt;"",LEN("x"&amp;L893)-LEN(SUBSTITUTE("x"&amp;L893,".",""))=2,OR(1&gt;LEN(L893),MID(L893,1,1)=".",ISNUMBER(FIND("x"&amp;MID(L893,1,1),"x0x1x2x3x4x5x6x7x8x9"))),OR(2&gt;LEN(L893),MID(L893,2,1)=".",ISNUMBER(FIND("x"&amp;MID(L893,2,1),"x0x1x2x3x4x5x6x7x8x9"))),OR(3&gt;LEN(L893),MID(L893,3,1)=".",ISNUMBER(FIND("x"&amp;MID(L893,3,1),"x0x1x2x3x4x5x6x7x8x9"))),OR(4&gt;LEN(L893),MID(L893,4,1)=".",ISNUMBER(FIND("x"&amp;MID(L893,4,1),"x0x1x2x3x4x5x6x7x8x9"))),OR(5&gt;LEN(L893),MID(L893,5,1)=".",ISNUMBER(FIND("x"&amp;MID(L893,5,1),"x0x1x2x3x4x5x6x7x8x9"))),OR(6&gt;LEN(L893),MID(L893,6,1)=".",ISNUMBER(FIND("x"&amp;MID(L893,6,1),"x0x1x2x3x4x5x6x7x8x9"))),OR(7&gt;LEN(L893),MID(L893,7,1)=".",ISNUMBER(FIND("x"&amp;MID(L893,7,1),"x0x1x2x3x4x5x6x7x8x9"))),OR(8&gt;LEN(L893),MID(L893,8,1)=".",ISNUMBER(FIND("x"&amp;MID(L893,8,1),"x0x1x2x3x4x5x6x7x8x9"))),OR(9&gt;LEN(L893),MID(L893,9,1)=".",ISNUMBER(FIND("x"&amp;MID(L893,9,1),"x0x1x2x3x4x5x6x7x8x9"))),OR(10&gt;LEN(L893),MID(L893,10,1)=".",ISNUMBER(FIND("x"&amp;MID(L893,10,1),"x0x1x2x3x4x5x6x7x8x9"))),OR(AND(FIND(".",L893)=5,LEN(L893)-FIND(".",L893,FIND(".",L893)+1)&gt;=1,LEN(L893)-FIND(".",L893,FIND(".",L893)+1)&lt;=2),AND(LEN(L893)-FIND(".",L893,FIND(".",L893)+1)=4,FIND(".",L893)&gt;=2,FIND(".",L893)&lt;=3)),FIND(".",L893,FIND(".",L893)+1)-FIND(".",L893)&gt;=2,FIND(".",L893,FIND(".",L893)+1)-FIND(".",L893)&lt;=3,P893&gt;=2000,P893&lt;=2100,YEAR(S893)=P893,MONTH(S893)=Q893,DAY(S893)=R893),S893,0)),0)</ns0:f>
        <ns0:v>0</ns0:v>
      </ns0:c>
      <ns0:c r="U893" s="0" t="str">
        <ns0:f>IF(Bookings!C893="","Full day",Bookings!C893)</ns0:f>
        <ns0:v>Full day</ns0:v>
      </ns0:c>
      <ns0:c r="V893" s="0" t="str">
        <ns0:f>IF(Bookings!E893="","Full day",Bookings!E893)</ns0:f>
        <ns0:v>Full day</ns0:v>
      </ns0:c>
      <ns0:c r="W893" s="0">
        <ns0:f>IF(J893=0,0,J893+IF(U893="PM",1,0))</ns0:f>
        <ns0:v>0</ns0:v>
      </ns0:c>
      <ns0:c r="X893" s="0">
        <ns0:f>IF(T893=0,0,T893-IF(V893="PM",1,0))</ns0:f>
        <ns0:v>0</ns0:v>
      </ns0:c>
      <ns0:c r="Y893" s="0">
        <ns0:f>IF(J893=0,0,J893+IF(U893="AM",1,0))</ns0:f>
        <ns0:v>0</ns0:v>
      </ns0:c>
      <ns0:c r="Z893" s="0">
        <ns0:f>IF(T893=0,0,T893-IF(V893="AM",1,0))</ns0:f>
        <ns0:v>0</ns0:v>
      </ns0:c>
      <ns0:c r="AA893" s="0">
        <ns0:f>IFERROR(IF(AND(J893&gt;0,'_Engine'!C893&gt;0,MID('_Engine'!W893,WEEKDAY(J893,2),1)="W",COUNTIF(Settings!$F$18:$F$67,J893)=0),1,0),0)</ns0:f>
        <ns0:v>0</ns0:v>
      </ns0:c>
      <ns0:c r="AB893" s="0">
        <ns0:f>IFERROR(IF(AND(T893&gt;0,'_Engine'!C893&gt;0,MID('_Engine'!W893,WEEKDAY(T893,2),1)="W",COUNTIF(Settings!$F$18:$F$67,T893)=0),1,0),0)</ns0:f>
        <ns0:v>0</ns0:v>
      </ns0:c>
      <ns0:c r="AC893" s="0">
        <ns0:f>IF(AND(J893&gt;0,T893&gt;0,W893&lt;=X893),1,0)</ns0:f>
        <ns0:v>0</ns0:v>
      </ns0:c>
      <ns0:c r="AD893" s="0">
        <ns0:f>IF(AND(J893&gt;0,T893&gt;0,Y893&lt;=Z893),1,0)</ns0:f>
        <ns0:v>0</ns0:v>
      </ns0:c>
    </ns0:row>
    <ns0:row r="894">
      <ns0:c r="A894" s="0">
        <ns0:f>IFERROR(IF(ISNUMBER(Bookings!B894),"",TRIM(Bookings!B894&amp;"")),"")</ns0:f>
      </ns0:c>
      <ns0:c r="B894" s="0">
        <ns0:f>IFERROR(SUBSTITUTE(SUBSTITUTE(A894,"/","."),"-","."),"")</ns0:f>
      </ns0:c>
      <ns0:c r="C894" s="0">
        <ns0:f>IFERROR(LEFT(B894,FIND(".",B894)-1),"")</ns0:f>
      </ns0:c>
      <ns0:c r="D894" s="0">
        <ns0:f>IFERROR(MID(B894,FIND(".",B894)+1,FIND(".",B894,FIND(".",B894)+1)-FIND(".",B894)-1),"")</ns0:f>
      </ns0:c>
      <ns0:c r="E894" s="0">
        <ns0:f>IFERROR(MID(B894,FIND(".",B894,FIND(".",B894)+1)+1,99),"")</ns0:f>
        <ns0:v>99</ns0:v>
      </ns0:c>
      <ns0:c r="F894" s="0">
        <ns0:f>IFERROR(IF(FIND(".",B894)=5,--C894,--E894),0)</ns0:f>
        <ns0:v>0</ns0:v>
      </ns0:c>
      <ns0:c r="G894" s="0">
        <ns0:f>IFERROR(--D894,0)</ns0:f>
        <ns0:v>0</ns0:v>
      </ns0:c>
      <ns0:c r="H894" s="0">
        <ns0:f>IFERROR(IF(FIND(".",B894)=5,--E894,--C894),0)</ns0:f>
        <ns0:v>0</ns0:v>
      </ns0:c>
      <ns0:c r="I894" s="0">
        <ns0:f>IFERROR(IF(AND(F894&gt;=2000,F894&lt;=2100,G894&gt;=1,G894&lt;=12,H894&gt;=1,H894&lt;=31),DATE(F894,G894,H894),0),0)</ns0:f>
        <ns0:v>0</ns0:v>
      </ns0:c>
      <ns0:c r="J894" s="0">
        <ns0:f>IFERROR(IF(ISNUMBER(Bookings!B894),IF(AND(Bookings!B894=INT(Bookings!B894),Bookings!B894&gt;=DATE(2000,1,1),Bookings!B894&lt;=DATE(2100,12,31)),Bookings!B894,0),IF(AND(A894&lt;&gt;"",LEN("x"&amp;B894)-LEN(SUBSTITUTE("x"&amp;B894,".",""))=2,OR(1&gt;LEN(B894),MID(B894,1,1)=".",ISNUMBER(FIND("x"&amp;MID(B894,1,1),"x0x1x2x3x4x5x6x7x8x9"))),OR(2&gt;LEN(B894),MID(B894,2,1)=".",ISNUMBER(FIND("x"&amp;MID(B894,2,1),"x0x1x2x3x4x5x6x7x8x9"))),OR(3&gt;LEN(B894),MID(B894,3,1)=".",ISNUMBER(FIND("x"&amp;MID(B894,3,1),"x0x1x2x3x4x5x6x7x8x9"))),OR(4&gt;LEN(B894),MID(B894,4,1)=".",ISNUMBER(FIND("x"&amp;MID(B894,4,1),"x0x1x2x3x4x5x6x7x8x9"))),OR(5&gt;LEN(B894),MID(B894,5,1)=".",ISNUMBER(FIND("x"&amp;MID(B894,5,1),"x0x1x2x3x4x5x6x7x8x9"))),OR(6&gt;LEN(B894),MID(B894,6,1)=".",ISNUMBER(FIND("x"&amp;MID(B894,6,1),"x0x1x2x3x4x5x6x7x8x9"))),OR(7&gt;LEN(B894),MID(B894,7,1)=".",ISNUMBER(FIND("x"&amp;MID(B894,7,1),"x0x1x2x3x4x5x6x7x8x9"))),OR(8&gt;LEN(B894),MID(B894,8,1)=".",ISNUMBER(FIND("x"&amp;MID(B894,8,1),"x0x1x2x3x4x5x6x7x8x9"))),OR(9&gt;LEN(B894),MID(B894,9,1)=".",ISNUMBER(FIND("x"&amp;MID(B894,9,1),"x0x1x2x3x4x5x6x7x8x9"))),OR(10&gt;LEN(B894),MID(B894,10,1)=".",ISNUMBER(FIND("x"&amp;MID(B894,10,1),"x0x1x2x3x4x5x6x7x8x9"))),OR(AND(FIND(".",B894)=5,LEN(B894)-FIND(".",B894,FIND(".",B894)+1)&gt;=1,LEN(B894)-FIND(".",B894,FIND(".",B894)+1)&lt;=2),AND(LEN(B894)-FIND(".",B894,FIND(".",B894)+1)=4,FIND(".",B894)&gt;=2,FIND(".",B894)&lt;=3)),FIND(".",B894,FIND(".",B894)+1)-FIND(".",B894)&gt;=2,FIND(".",B894,FIND(".",B894)+1)-FIND(".",B894)&lt;=3,F894&gt;=2000,F894&lt;=2100,YEAR(I894)=F894,MONTH(I894)=G894,DAY(I894)=H894),I894,0)),0)</ns0:f>
        <ns0:v>0</ns0:v>
      </ns0:c>
      <ns0:c r="K894" s="0">
        <ns0:f>IFERROR(IF(ISNUMBER(Bookings!D894),"",TRIM(Bookings!D894&amp;"")),"")</ns0:f>
      </ns0:c>
      <ns0:c r="L894" s="0">
        <ns0:f>IFERROR(SUBSTITUTE(SUBSTITUTE(K894,"/","."),"-","."),"")</ns0:f>
      </ns0:c>
      <ns0:c r="M894" s="0">
        <ns0:f>IFERROR(LEFT(L894,FIND(".",L894)-1),"")</ns0:f>
      </ns0:c>
      <ns0:c r="N894" s="0">
        <ns0:f>IFERROR(MID(L894,FIND(".",L894)+1,FIND(".",L894,FIND(".",L894)+1)-FIND(".",L894)-1),"")</ns0:f>
      </ns0:c>
      <ns0:c r="O894" s="0">
        <ns0:f>IFERROR(MID(L894,FIND(".",L894,FIND(".",L894)+1)+1,99),"")</ns0:f>
        <ns0:v>99</ns0:v>
      </ns0:c>
      <ns0:c r="P894" s="0">
        <ns0:f>IFERROR(IF(FIND(".",L894)=5,--M894,--O894),0)</ns0:f>
        <ns0:v>0</ns0:v>
      </ns0:c>
      <ns0:c r="Q894" s="0">
        <ns0:f>IFERROR(--N894,0)</ns0:f>
        <ns0:v>0</ns0:v>
      </ns0:c>
      <ns0:c r="R894" s="0">
        <ns0:f>IFERROR(IF(FIND(".",L894)=5,--O894,--M894),0)</ns0:f>
        <ns0:v>0</ns0:v>
      </ns0:c>
      <ns0:c r="S894" s="0">
        <ns0:f>IFERROR(IF(AND(P894&gt;=2000,P894&lt;=2100,Q894&gt;=1,Q894&lt;=12,R894&gt;=1,R894&lt;=31),DATE(P894,Q894,R894),0),0)</ns0:f>
        <ns0:v>0</ns0:v>
      </ns0:c>
      <ns0:c r="T894" s="0">
        <ns0:f>IFERROR(IF(ISNUMBER(Bookings!D894),IF(AND(Bookings!D894=INT(Bookings!D894),Bookings!D894&gt;=DATE(2000,1,1),Bookings!D894&lt;=DATE(2100,12,31)),Bookings!D894,0),IF(AND(K894&lt;&gt;"",LEN("x"&amp;L894)-LEN(SUBSTITUTE("x"&amp;L894,".",""))=2,OR(1&gt;LEN(L894),MID(L894,1,1)=".",ISNUMBER(FIND("x"&amp;MID(L894,1,1),"x0x1x2x3x4x5x6x7x8x9"))),OR(2&gt;LEN(L894),MID(L894,2,1)=".",ISNUMBER(FIND("x"&amp;MID(L894,2,1),"x0x1x2x3x4x5x6x7x8x9"))),OR(3&gt;LEN(L894),MID(L894,3,1)=".",ISNUMBER(FIND("x"&amp;MID(L894,3,1),"x0x1x2x3x4x5x6x7x8x9"))),OR(4&gt;LEN(L894),MID(L894,4,1)=".",ISNUMBER(FIND("x"&amp;MID(L894,4,1),"x0x1x2x3x4x5x6x7x8x9"))),OR(5&gt;LEN(L894),MID(L894,5,1)=".",ISNUMBER(FIND("x"&amp;MID(L894,5,1),"x0x1x2x3x4x5x6x7x8x9"))),OR(6&gt;LEN(L894),MID(L894,6,1)=".",ISNUMBER(FIND("x"&amp;MID(L894,6,1),"x0x1x2x3x4x5x6x7x8x9"))),OR(7&gt;LEN(L894),MID(L894,7,1)=".",ISNUMBER(FIND("x"&amp;MID(L894,7,1),"x0x1x2x3x4x5x6x7x8x9"))),OR(8&gt;LEN(L894),MID(L894,8,1)=".",ISNUMBER(FIND("x"&amp;MID(L894,8,1),"x0x1x2x3x4x5x6x7x8x9"))),OR(9&gt;LEN(L894),MID(L894,9,1)=".",ISNUMBER(FIND("x"&amp;MID(L894,9,1),"x0x1x2x3x4x5x6x7x8x9"))),OR(10&gt;LEN(L894),MID(L894,10,1)=".",ISNUMBER(FIND("x"&amp;MID(L894,10,1),"x0x1x2x3x4x5x6x7x8x9"))),OR(AND(FIND(".",L894)=5,LEN(L894)-FIND(".",L894,FIND(".",L894)+1)&gt;=1,LEN(L894)-FIND(".",L894,FIND(".",L894)+1)&lt;=2),AND(LEN(L894)-FIND(".",L894,FIND(".",L894)+1)=4,FIND(".",L894)&gt;=2,FIND(".",L894)&lt;=3)),FIND(".",L894,FIND(".",L894)+1)-FIND(".",L894)&gt;=2,FIND(".",L894,FIND(".",L894)+1)-FIND(".",L894)&lt;=3,P894&gt;=2000,P894&lt;=2100,YEAR(S894)=P894,MONTH(S894)=Q894,DAY(S894)=R894),S894,0)),0)</ns0:f>
        <ns0:v>0</ns0:v>
      </ns0:c>
      <ns0:c r="U894" s="0" t="str">
        <ns0:f>IF(Bookings!C894="","Full day",Bookings!C894)</ns0:f>
        <ns0:v>Full day</ns0:v>
      </ns0:c>
      <ns0:c r="V894" s="0" t="str">
        <ns0:f>IF(Bookings!E894="","Full day",Bookings!E894)</ns0:f>
        <ns0:v>Full day</ns0:v>
      </ns0:c>
      <ns0:c r="W894" s="0">
        <ns0:f>IF(J894=0,0,J894+IF(U894="PM",1,0))</ns0:f>
        <ns0:v>0</ns0:v>
      </ns0:c>
      <ns0:c r="X894" s="0">
        <ns0:f>IF(T894=0,0,T894-IF(V894="PM",1,0))</ns0:f>
        <ns0:v>0</ns0:v>
      </ns0:c>
      <ns0:c r="Y894" s="0">
        <ns0:f>IF(J894=0,0,J894+IF(U894="AM",1,0))</ns0:f>
        <ns0:v>0</ns0:v>
      </ns0:c>
      <ns0:c r="Z894" s="0">
        <ns0:f>IF(T894=0,0,T894-IF(V894="AM",1,0))</ns0:f>
        <ns0:v>0</ns0:v>
      </ns0:c>
      <ns0:c r="AA894" s="0">
        <ns0:f>IFERROR(IF(AND(J894&gt;0,'_Engine'!C894&gt;0,MID('_Engine'!W894,WEEKDAY(J894,2),1)="W",COUNTIF(Settings!$F$18:$F$67,J894)=0),1,0),0)</ns0:f>
        <ns0:v>0</ns0:v>
      </ns0:c>
      <ns0:c r="AB894" s="0">
        <ns0:f>IFERROR(IF(AND(T894&gt;0,'_Engine'!C894&gt;0,MID('_Engine'!W894,WEEKDAY(T894,2),1)="W",COUNTIF(Settings!$F$18:$F$67,T894)=0),1,0),0)</ns0:f>
        <ns0:v>0</ns0:v>
      </ns0:c>
      <ns0:c r="AC894" s="0">
        <ns0:f>IF(AND(J894&gt;0,T894&gt;0,W894&lt;=X894),1,0)</ns0:f>
        <ns0:v>0</ns0:v>
      </ns0:c>
      <ns0:c r="AD894" s="0">
        <ns0:f>IF(AND(J894&gt;0,T894&gt;0,Y894&lt;=Z894),1,0)</ns0:f>
        <ns0:v>0</ns0:v>
      </ns0:c>
    </ns0:row>
    <ns0:row r="895">
      <ns0:c r="A895" s="0">
        <ns0:f>IFERROR(IF(ISNUMBER(Bookings!B895),"",TRIM(Bookings!B895&amp;"")),"")</ns0:f>
      </ns0:c>
      <ns0:c r="B895" s="0">
        <ns0:f>IFERROR(SUBSTITUTE(SUBSTITUTE(A895,"/","."),"-","."),"")</ns0:f>
      </ns0:c>
      <ns0:c r="C895" s="0">
        <ns0:f>IFERROR(LEFT(B895,FIND(".",B895)-1),"")</ns0:f>
      </ns0:c>
      <ns0:c r="D895" s="0">
        <ns0:f>IFERROR(MID(B895,FIND(".",B895)+1,FIND(".",B895,FIND(".",B895)+1)-FIND(".",B895)-1),"")</ns0:f>
      </ns0:c>
      <ns0:c r="E895" s="0">
        <ns0:f>IFERROR(MID(B895,FIND(".",B895,FIND(".",B895)+1)+1,99),"")</ns0:f>
        <ns0:v>99</ns0:v>
      </ns0:c>
      <ns0:c r="F895" s="0">
        <ns0:f>IFERROR(IF(FIND(".",B895)=5,--C895,--E895),0)</ns0:f>
        <ns0:v>0</ns0:v>
      </ns0:c>
      <ns0:c r="G895" s="0">
        <ns0:f>IFERROR(--D895,0)</ns0:f>
        <ns0:v>0</ns0:v>
      </ns0:c>
      <ns0:c r="H895" s="0">
        <ns0:f>IFERROR(IF(FIND(".",B895)=5,--E895,--C895),0)</ns0:f>
        <ns0:v>0</ns0:v>
      </ns0:c>
      <ns0:c r="I895" s="0">
        <ns0:f>IFERROR(IF(AND(F895&gt;=2000,F895&lt;=2100,G895&gt;=1,G895&lt;=12,H895&gt;=1,H895&lt;=31),DATE(F895,G895,H895),0),0)</ns0:f>
        <ns0:v>0</ns0:v>
      </ns0:c>
      <ns0:c r="J895" s="0">
        <ns0:f>IFERROR(IF(ISNUMBER(Bookings!B895),IF(AND(Bookings!B895=INT(Bookings!B895),Bookings!B895&gt;=DATE(2000,1,1),Bookings!B895&lt;=DATE(2100,12,31)),Bookings!B895,0),IF(AND(A895&lt;&gt;"",LEN("x"&amp;B895)-LEN(SUBSTITUTE("x"&amp;B895,".",""))=2,OR(1&gt;LEN(B895),MID(B895,1,1)=".",ISNUMBER(FIND("x"&amp;MID(B895,1,1),"x0x1x2x3x4x5x6x7x8x9"))),OR(2&gt;LEN(B895),MID(B895,2,1)=".",ISNUMBER(FIND("x"&amp;MID(B895,2,1),"x0x1x2x3x4x5x6x7x8x9"))),OR(3&gt;LEN(B895),MID(B895,3,1)=".",ISNUMBER(FIND("x"&amp;MID(B895,3,1),"x0x1x2x3x4x5x6x7x8x9"))),OR(4&gt;LEN(B895),MID(B895,4,1)=".",ISNUMBER(FIND("x"&amp;MID(B895,4,1),"x0x1x2x3x4x5x6x7x8x9"))),OR(5&gt;LEN(B895),MID(B895,5,1)=".",ISNUMBER(FIND("x"&amp;MID(B895,5,1),"x0x1x2x3x4x5x6x7x8x9"))),OR(6&gt;LEN(B895),MID(B895,6,1)=".",ISNUMBER(FIND("x"&amp;MID(B895,6,1),"x0x1x2x3x4x5x6x7x8x9"))),OR(7&gt;LEN(B895),MID(B895,7,1)=".",ISNUMBER(FIND("x"&amp;MID(B895,7,1),"x0x1x2x3x4x5x6x7x8x9"))),OR(8&gt;LEN(B895),MID(B895,8,1)=".",ISNUMBER(FIND("x"&amp;MID(B895,8,1),"x0x1x2x3x4x5x6x7x8x9"))),OR(9&gt;LEN(B895),MID(B895,9,1)=".",ISNUMBER(FIND("x"&amp;MID(B895,9,1),"x0x1x2x3x4x5x6x7x8x9"))),OR(10&gt;LEN(B895),MID(B895,10,1)=".",ISNUMBER(FIND("x"&amp;MID(B895,10,1),"x0x1x2x3x4x5x6x7x8x9"))),OR(AND(FIND(".",B895)=5,LEN(B895)-FIND(".",B895,FIND(".",B895)+1)&gt;=1,LEN(B895)-FIND(".",B895,FIND(".",B895)+1)&lt;=2),AND(LEN(B895)-FIND(".",B895,FIND(".",B895)+1)=4,FIND(".",B895)&gt;=2,FIND(".",B895)&lt;=3)),FIND(".",B895,FIND(".",B895)+1)-FIND(".",B895)&gt;=2,FIND(".",B895,FIND(".",B895)+1)-FIND(".",B895)&lt;=3,F895&gt;=2000,F895&lt;=2100,YEAR(I895)=F895,MONTH(I895)=G895,DAY(I895)=H895),I895,0)),0)</ns0:f>
        <ns0:v>0</ns0:v>
      </ns0:c>
      <ns0:c r="K895" s="0">
        <ns0:f>IFERROR(IF(ISNUMBER(Bookings!D895),"",TRIM(Bookings!D895&amp;"")),"")</ns0:f>
      </ns0:c>
      <ns0:c r="L895" s="0">
        <ns0:f>IFERROR(SUBSTITUTE(SUBSTITUTE(K895,"/","."),"-","."),"")</ns0:f>
      </ns0:c>
      <ns0:c r="M895" s="0">
        <ns0:f>IFERROR(LEFT(L895,FIND(".",L895)-1),"")</ns0:f>
      </ns0:c>
      <ns0:c r="N895" s="0">
        <ns0:f>IFERROR(MID(L895,FIND(".",L895)+1,FIND(".",L895,FIND(".",L895)+1)-FIND(".",L895)-1),"")</ns0:f>
      </ns0:c>
      <ns0:c r="O895" s="0">
        <ns0:f>IFERROR(MID(L895,FIND(".",L895,FIND(".",L895)+1)+1,99),"")</ns0:f>
        <ns0:v>99</ns0:v>
      </ns0:c>
      <ns0:c r="P895" s="0">
        <ns0:f>IFERROR(IF(FIND(".",L895)=5,--M895,--O895),0)</ns0:f>
        <ns0:v>0</ns0:v>
      </ns0:c>
      <ns0:c r="Q895" s="0">
        <ns0:f>IFERROR(--N895,0)</ns0:f>
        <ns0:v>0</ns0:v>
      </ns0:c>
      <ns0:c r="R895" s="0">
        <ns0:f>IFERROR(IF(FIND(".",L895)=5,--O895,--M895),0)</ns0:f>
        <ns0:v>0</ns0:v>
      </ns0:c>
      <ns0:c r="S895" s="0">
        <ns0:f>IFERROR(IF(AND(P895&gt;=2000,P895&lt;=2100,Q895&gt;=1,Q895&lt;=12,R895&gt;=1,R895&lt;=31),DATE(P895,Q895,R895),0),0)</ns0:f>
        <ns0:v>0</ns0:v>
      </ns0:c>
      <ns0:c r="T895" s="0">
        <ns0:f>IFERROR(IF(ISNUMBER(Bookings!D895),IF(AND(Bookings!D895=INT(Bookings!D895),Bookings!D895&gt;=DATE(2000,1,1),Bookings!D895&lt;=DATE(2100,12,31)),Bookings!D895,0),IF(AND(K895&lt;&gt;"",LEN("x"&amp;L895)-LEN(SUBSTITUTE("x"&amp;L895,".",""))=2,OR(1&gt;LEN(L895),MID(L895,1,1)=".",ISNUMBER(FIND("x"&amp;MID(L895,1,1),"x0x1x2x3x4x5x6x7x8x9"))),OR(2&gt;LEN(L895),MID(L895,2,1)=".",ISNUMBER(FIND("x"&amp;MID(L895,2,1),"x0x1x2x3x4x5x6x7x8x9"))),OR(3&gt;LEN(L895),MID(L895,3,1)=".",ISNUMBER(FIND("x"&amp;MID(L895,3,1),"x0x1x2x3x4x5x6x7x8x9"))),OR(4&gt;LEN(L895),MID(L895,4,1)=".",ISNUMBER(FIND("x"&amp;MID(L895,4,1),"x0x1x2x3x4x5x6x7x8x9"))),OR(5&gt;LEN(L895),MID(L895,5,1)=".",ISNUMBER(FIND("x"&amp;MID(L895,5,1),"x0x1x2x3x4x5x6x7x8x9"))),OR(6&gt;LEN(L895),MID(L895,6,1)=".",ISNUMBER(FIND("x"&amp;MID(L895,6,1),"x0x1x2x3x4x5x6x7x8x9"))),OR(7&gt;LEN(L895),MID(L895,7,1)=".",ISNUMBER(FIND("x"&amp;MID(L895,7,1),"x0x1x2x3x4x5x6x7x8x9"))),OR(8&gt;LEN(L895),MID(L895,8,1)=".",ISNUMBER(FIND("x"&amp;MID(L895,8,1),"x0x1x2x3x4x5x6x7x8x9"))),OR(9&gt;LEN(L895),MID(L895,9,1)=".",ISNUMBER(FIND("x"&amp;MID(L895,9,1),"x0x1x2x3x4x5x6x7x8x9"))),OR(10&gt;LEN(L895),MID(L895,10,1)=".",ISNUMBER(FIND("x"&amp;MID(L895,10,1),"x0x1x2x3x4x5x6x7x8x9"))),OR(AND(FIND(".",L895)=5,LEN(L895)-FIND(".",L895,FIND(".",L895)+1)&gt;=1,LEN(L895)-FIND(".",L895,FIND(".",L895)+1)&lt;=2),AND(LEN(L895)-FIND(".",L895,FIND(".",L895)+1)=4,FIND(".",L895)&gt;=2,FIND(".",L895)&lt;=3)),FIND(".",L895,FIND(".",L895)+1)-FIND(".",L895)&gt;=2,FIND(".",L895,FIND(".",L895)+1)-FIND(".",L895)&lt;=3,P895&gt;=2000,P895&lt;=2100,YEAR(S895)=P895,MONTH(S895)=Q895,DAY(S895)=R895),S895,0)),0)</ns0:f>
        <ns0:v>0</ns0:v>
      </ns0:c>
      <ns0:c r="U895" s="0" t="str">
        <ns0:f>IF(Bookings!C895="","Full day",Bookings!C895)</ns0:f>
        <ns0:v>Full day</ns0:v>
      </ns0:c>
      <ns0:c r="V895" s="0" t="str">
        <ns0:f>IF(Bookings!E895="","Full day",Bookings!E895)</ns0:f>
        <ns0:v>Full day</ns0:v>
      </ns0:c>
      <ns0:c r="W895" s="0">
        <ns0:f>IF(J895=0,0,J895+IF(U895="PM",1,0))</ns0:f>
        <ns0:v>0</ns0:v>
      </ns0:c>
      <ns0:c r="X895" s="0">
        <ns0:f>IF(T895=0,0,T895-IF(V895="PM",1,0))</ns0:f>
        <ns0:v>0</ns0:v>
      </ns0:c>
      <ns0:c r="Y895" s="0">
        <ns0:f>IF(J895=0,0,J895+IF(U895="AM",1,0))</ns0:f>
        <ns0:v>0</ns0:v>
      </ns0:c>
      <ns0:c r="Z895" s="0">
        <ns0:f>IF(T895=0,0,T895-IF(V895="AM",1,0))</ns0:f>
        <ns0:v>0</ns0:v>
      </ns0:c>
      <ns0:c r="AA895" s="0">
        <ns0:f>IFERROR(IF(AND(J895&gt;0,'_Engine'!C895&gt;0,MID('_Engine'!W895,WEEKDAY(J895,2),1)="W",COUNTIF(Settings!$F$18:$F$67,J895)=0),1,0),0)</ns0:f>
        <ns0:v>0</ns0:v>
      </ns0:c>
      <ns0:c r="AB895" s="0">
        <ns0:f>IFERROR(IF(AND(T895&gt;0,'_Engine'!C895&gt;0,MID('_Engine'!W895,WEEKDAY(T895,2),1)="W",COUNTIF(Settings!$F$18:$F$67,T895)=0),1,0),0)</ns0:f>
        <ns0:v>0</ns0:v>
      </ns0:c>
      <ns0:c r="AC895" s="0">
        <ns0:f>IF(AND(J895&gt;0,T895&gt;0,W895&lt;=X895),1,0)</ns0:f>
        <ns0:v>0</ns0:v>
      </ns0:c>
      <ns0:c r="AD895" s="0">
        <ns0:f>IF(AND(J895&gt;0,T895&gt;0,Y895&lt;=Z895),1,0)</ns0:f>
        <ns0:v>0</ns0:v>
      </ns0:c>
    </ns0:row>
    <ns0:row r="896">
      <ns0:c r="A896" s="0">
        <ns0:f>IFERROR(IF(ISNUMBER(Bookings!B896),"",TRIM(Bookings!B896&amp;"")),"")</ns0:f>
      </ns0:c>
      <ns0:c r="B896" s="0">
        <ns0:f>IFERROR(SUBSTITUTE(SUBSTITUTE(A896,"/","."),"-","."),"")</ns0:f>
      </ns0:c>
      <ns0:c r="C896" s="0">
        <ns0:f>IFERROR(LEFT(B896,FIND(".",B896)-1),"")</ns0:f>
      </ns0:c>
      <ns0:c r="D896" s="0">
        <ns0:f>IFERROR(MID(B896,FIND(".",B896)+1,FIND(".",B896,FIND(".",B896)+1)-FIND(".",B896)-1),"")</ns0:f>
      </ns0:c>
      <ns0:c r="E896" s="0">
        <ns0:f>IFERROR(MID(B896,FIND(".",B896,FIND(".",B896)+1)+1,99),"")</ns0:f>
        <ns0:v>99</ns0:v>
      </ns0:c>
      <ns0:c r="F896" s="0">
        <ns0:f>IFERROR(IF(FIND(".",B896)=5,--C896,--E896),0)</ns0:f>
        <ns0:v>0</ns0:v>
      </ns0:c>
      <ns0:c r="G896" s="0">
        <ns0:f>IFERROR(--D896,0)</ns0:f>
        <ns0:v>0</ns0:v>
      </ns0:c>
      <ns0:c r="H896" s="0">
        <ns0:f>IFERROR(IF(FIND(".",B896)=5,--E896,--C896),0)</ns0:f>
        <ns0:v>0</ns0:v>
      </ns0:c>
      <ns0:c r="I896" s="0">
        <ns0:f>IFERROR(IF(AND(F896&gt;=2000,F896&lt;=2100,G896&gt;=1,G896&lt;=12,H896&gt;=1,H896&lt;=31),DATE(F896,G896,H896),0),0)</ns0:f>
        <ns0:v>0</ns0:v>
      </ns0:c>
      <ns0:c r="J896" s="0">
        <ns0:f>IFERROR(IF(ISNUMBER(Bookings!B896),IF(AND(Bookings!B896=INT(Bookings!B896),Bookings!B896&gt;=DATE(2000,1,1),Bookings!B896&lt;=DATE(2100,12,31)),Bookings!B896,0),IF(AND(A896&lt;&gt;"",LEN("x"&amp;B896)-LEN(SUBSTITUTE("x"&amp;B896,".",""))=2,OR(1&gt;LEN(B896),MID(B896,1,1)=".",ISNUMBER(FIND("x"&amp;MID(B896,1,1),"x0x1x2x3x4x5x6x7x8x9"))),OR(2&gt;LEN(B896),MID(B896,2,1)=".",ISNUMBER(FIND("x"&amp;MID(B896,2,1),"x0x1x2x3x4x5x6x7x8x9"))),OR(3&gt;LEN(B896),MID(B896,3,1)=".",ISNUMBER(FIND("x"&amp;MID(B896,3,1),"x0x1x2x3x4x5x6x7x8x9"))),OR(4&gt;LEN(B896),MID(B896,4,1)=".",ISNUMBER(FIND("x"&amp;MID(B896,4,1),"x0x1x2x3x4x5x6x7x8x9"))),OR(5&gt;LEN(B896),MID(B896,5,1)=".",ISNUMBER(FIND("x"&amp;MID(B896,5,1),"x0x1x2x3x4x5x6x7x8x9"))),OR(6&gt;LEN(B896),MID(B896,6,1)=".",ISNUMBER(FIND("x"&amp;MID(B896,6,1),"x0x1x2x3x4x5x6x7x8x9"))),OR(7&gt;LEN(B896),MID(B896,7,1)=".",ISNUMBER(FIND("x"&amp;MID(B896,7,1),"x0x1x2x3x4x5x6x7x8x9"))),OR(8&gt;LEN(B896),MID(B896,8,1)=".",ISNUMBER(FIND("x"&amp;MID(B896,8,1),"x0x1x2x3x4x5x6x7x8x9"))),OR(9&gt;LEN(B896),MID(B896,9,1)=".",ISNUMBER(FIND("x"&amp;MID(B896,9,1),"x0x1x2x3x4x5x6x7x8x9"))),OR(10&gt;LEN(B896),MID(B896,10,1)=".",ISNUMBER(FIND("x"&amp;MID(B896,10,1),"x0x1x2x3x4x5x6x7x8x9"))),OR(AND(FIND(".",B896)=5,LEN(B896)-FIND(".",B896,FIND(".",B896)+1)&gt;=1,LEN(B896)-FIND(".",B896,FIND(".",B896)+1)&lt;=2),AND(LEN(B896)-FIND(".",B896,FIND(".",B896)+1)=4,FIND(".",B896)&gt;=2,FIND(".",B896)&lt;=3)),FIND(".",B896,FIND(".",B896)+1)-FIND(".",B896)&gt;=2,FIND(".",B896,FIND(".",B896)+1)-FIND(".",B896)&lt;=3,F896&gt;=2000,F896&lt;=2100,YEAR(I896)=F896,MONTH(I896)=G896,DAY(I896)=H896),I896,0)),0)</ns0:f>
        <ns0:v>0</ns0:v>
      </ns0:c>
      <ns0:c r="K896" s="0">
        <ns0:f>IFERROR(IF(ISNUMBER(Bookings!D896),"",TRIM(Bookings!D896&amp;"")),"")</ns0:f>
      </ns0:c>
      <ns0:c r="L896" s="0">
        <ns0:f>IFERROR(SUBSTITUTE(SUBSTITUTE(K896,"/","."),"-","."),"")</ns0:f>
      </ns0:c>
      <ns0:c r="M896" s="0">
        <ns0:f>IFERROR(LEFT(L896,FIND(".",L896)-1),"")</ns0:f>
      </ns0:c>
      <ns0:c r="N896" s="0">
        <ns0:f>IFERROR(MID(L896,FIND(".",L896)+1,FIND(".",L896,FIND(".",L896)+1)-FIND(".",L896)-1),"")</ns0:f>
      </ns0:c>
      <ns0:c r="O896" s="0">
        <ns0:f>IFERROR(MID(L896,FIND(".",L896,FIND(".",L896)+1)+1,99),"")</ns0:f>
        <ns0:v>99</ns0:v>
      </ns0:c>
      <ns0:c r="P896" s="0">
        <ns0:f>IFERROR(IF(FIND(".",L896)=5,--M896,--O896),0)</ns0:f>
        <ns0:v>0</ns0:v>
      </ns0:c>
      <ns0:c r="Q896" s="0">
        <ns0:f>IFERROR(--N896,0)</ns0:f>
        <ns0:v>0</ns0:v>
      </ns0:c>
      <ns0:c r="R896" s="0">
        <ns0:f>IFERROR(IF(FIND(".",L896)=5,--O896,--M896),0)</ns0:f>
        <ns0:v>0</ns0:v>
      </ns0:c>
      <ns0:c r="S896" s="0">
        <ns0:f>IFERROR(IF(AND(P896&gt;=2000,P896&lt;=2100,Q896&gt;=1,Q896&lt;=12,R896&gt;=1,R896&lt;=31),DATE(P896,Q896,R896),0),0)</ns0:f>
        <ns0:v>0</ns0:v>
      </ns0:c>
      <ns0:c r="T896" s="0">
        <ns0:f>IFERROR(IF(ISNUMBER(Bookings!D896),IF(AND(Bookings!D896=INT(Bookings!D896),Bookings!D896&gt;=DATE(2000,1,1),Bookings!D896&lt;=DATE(2100,12,31)),Bookings!D896,0),IF(AND(K896&lt;&gt;"",LEN("x"&amp;L896)-LEN(SUBSTITUTE("x"&amp;L896,".",""))=2,OR(1&gt;LEN(L896),MID(L896,1,1)=".",ISNUMBER(FIND("x"&amp;MID(L896,1,1),"x0x1x2x3x4x5x6x7x8x9"))),OR(2&gt;LEN(L896),MID(L896,2,1)=".",ISNUMBER(FIND("x"&amp;MID(L896,2,1),"x0x1x2x3x4x5x6x7x8x9"))),OR(3&gt;LEN(L896),MID(L896,3,1)=".",ISNUMBER(FIND("x"&amp;MID(L896,3,1),"x0x1x2x3x4x5x6x7x8x9"))),OR(4&gt;LEN(L896),MID(L896,4,1)=".",ISNUMBER(FIND("x"&amp;MID(L896,4,1),"x0x1x2x3x4x5x6x7x8x9"))),OR(5&gt;LEN(L896),MID(L896,5,1)=".",ISNUMBER(FIND("x"&amp;MID(L896,5,1),"x0x1x2x3x4x5x6x7x8x9"))),OR(6&gt;LEN(L896),MID(L896,6,1)=".",ISNUMBER(FIND("x"&amp;MID(L896,6,1),"x0x1x2x3x4x5x6x7x8x9"))),OR(7&gt;LEN(L896),MID(L896,7,1)=".",ISNUMBER(FIND("x"&amp;MID(L896,7,1),"x0x1x2x3x4x5x6x7x8x9"))),OR(8&gt;LEN(L896),MID(L896,8,1)=".",ISNUMBER(FIND("x"&amp;MID(L896,8,1),"x0x1x2x3x4x5x6x7x8x9"))),OR(9&gt;LEN(L896),MID(L896,9,1)=".",ISNUMBER(FIND("x"&amp;MID(L896,9,1),"x0x1x2x3x4x5x6x7x8x9"))),OR(10&gt;LEN(L896),MID(L896,10,1)=".",ISNUMBER(FIND("x"&amp;MID(L896,10,1),"x0x1x2x3x4x5x6x7x8x9"))),OR(AND(FIND(".",L896)=5,LEN(L896)-FIND(".",L896,FIND(".",L896)+1)&gt;=1,LEN(L896)-FIND(".",L896,FIND(".",L896)+1)&lt;=2),AND(LEN(L896)-FIND(".",L896,FIND(".",L896)+1)=4,FIND(".",L896)&gt;=2,FIND(".",L896)&lt;=3)),FIND(".",L896,FIND(".",L896)+1)-FIND(".",L896)&gt;=2,FIND(".",L896,FIND(".",L896)+1)-FIND(".",L896)&lt;=3,P896&gt;=2000,P896&lt;=2100,YEAR(S896)=P896,MONTH(S896)=Q896,DAY(S896)=R896),S896,0)),0)</ns0:f>
        <ns0:v>0</ns0:v>
      </ns0:c>
      <ns0:c r="U896" s="0" t="str">
        <ns0:f>IF(Bookings!C896="","Full day",Bookings!C896)</ns0:f>
        <ns0:v>Full day</ns0:v>
      </ns0:c>
      <ns0:c r="V896" s="0" t="str">
        <ns0:f>IF(Bookings!E896="","Full day",Bookings!E896)</ns0:f>
        <ns0:v>Full day</ns0:v>
      </ns0:c>
      <ns0:c r="W896" s="0">
        <ns0:f>IF(J896=0,0,J896+IF(U896="PM",1,0))</ns0:f>
        <ns0:v>0</ns0:v>
      </ns0:c>
      <ns0:c r="X896" s="0">
        <ns0:f>IF(T896=0,0,T896-IF(V896="PM",1,0))</ns0:f>
        <ns0:v>0</ns0:v>
      </ns0:c>
      <ns0:c r="Y896" s="0">
        <ns0:f>IF(J896=0,0,J896+IF(U896="AM",1,0))</ns0:f>
        <ns0:v>0</ns0:v>
      </ns0:c>
      <ns0:c r="Z896" s="0">
        <ns0:f>IF(T896=0,0,T896-IF(V896="AM",1,0))</ns0:f>
        <ns0:v>0</ns0:v>
      </ns0:c>
      <ns0:c r="AA896" s="0">
        <ns0:f>IFERROR(IF(AND(J896&gt;0,'_Engine'!C896&gt;0,MID('_Engine'!W896,WEEKDAY(J896,2),1)="W",COUNTIF(Settings!$F$18:$F$67,J896)=0),1,0),0)</ns0:f>
        <ns0:v>0</ns0:v>
      </ns0:c>
      <ns0:c r="AB896" s="0">
        <ns0:f>IFERROR(IF(AND(T896&gt;0,'_Engine'!C896&gt;0,MID('_Engine'!W896,WEEKDAY(T896,2),1)="W",COUNTIF(Settings!$F$18:$F$67,T896)=0),1,0),0)</ns0:f>
        <ns0:v>0</ns0:v>
      </ns0:c>
      <ns0:c r="AC896" s="0">
        <ns0:f>IF(AND(J896&gt;0,T896&gt;0,W896&lt;=X896),1,0)</ns0:f>
        <ns0:v>0</ns0:v>
      </ns0:c>
      <ns0:c r="AD896" s="0">
        <ns0:f>IF(AND(J896&gt;0,T896&gt;0,Y896&lt;=Z896),1,0)</ns0:f>
        <ns0:v>0</ns0:v>
      </ns0:c>
    </ns0:row>
    <ns0:row r="897">
      <ns0:c r="A897" s="0">
        <ns0:f>IFERROR(IF(ISNUMBER(Bookings!B897),"",TRIM(Bookings!B897&amp;"")),"")</ns0:f>
      </ns0:c>
      <ns0:c r="B897" s="0">
        <ns0:f>IFERROR(SUBSTITUTE(SUBSTITUTE(A897,"/","."),"-","."),"")</ns0:f>
      </ns0:c>
      <ns0:c r="C897" s="0">
        <ns0:f>IFERROR(LEFT(B897,FIND(".",B897)-1),"")</ns0:f>
      </ns0:c>
      <ns0:c r="D897" s="0">
        <ns0:f>IFERROR(MID(B897,FIND(".",B897)+1,FIND(".",B897,FIND(".",B897)+1)-FIND(".",B897)-1),"")</ns0:f>
      </ns0:c>
      <ns0:c r="E897" s="0">
        <ns0:f>IFERROR(MID(B897,FIND(".",B897,FIND(".",B897)+1)+1,99),"")</ns0:f>
        <ns0:v>99</ns0:v>
      </ns0:c>
      <ns0:c r="F897" s="0">
        <ns0:f>IFERROR(IF(FIND(".",B897)=5,--C897,--E897),0)</ns0:f>
        <ns0:v>0</ns0:v>
      </ns0:c>
      <ns0:c r="G897" s="0">
        <ns0:f>IFERROR(--D897,0)</ns0:f>
        <ns0:v>0</ns0:v>
      </ns0:c>
      <ns0:c r="H897" s="0">
        <ns0:f>IFERROR(IF(FIND(".",B897)=5,--E897,--C897),0)</ns0:f>
        <ns0:v>0</ns0:v>
      </ns0:c>
      <ns0:c r="I897" s="0">
        <ns0:f>IFERROR(IF(AND(F897&gt;=2000,F897&lt;=2100,G897&gt;=1,G897&lt;=12,H897&gt;=1,H897&lt;=31),DATE(F897,G897,H897),0),0)</ns0:f>
        <ns0:v>0</ns0:v>
      </ns0:c>
      <ns0:c r="J897" s="0">
        <ns0:f>IFERROR(IF(ISNUMBER(Bookings!B897),IF(AND(Bookings!B897=INT(Bookings!B897),Bookings!B897&gt;=DATE(2000,1,1),Bookings!B897&lt;=DATE(2100,12,31)),Bookings!B897,0),IF(AND(A897&lt;&gt;"",LEN("x"&amp;B897)-LEN(SUBSTITUTE("x"&amp;B897,".",""))=2,OR(1&gt;LEN(B897),MID(B897,1,1)=".",ISNUMBER(FIND("x"&amp;MID(B897,1,1),"x0x1x2x3x4x5x6x7x8x9"))),OR(2&gt;LEN(B897),MID(B897,2,1)=".",ISNUMBER(FIND("x"&amp;MID(B897,2,1),"x0x1x2x3x4x5x6x7x8x9"))),OR(3&gt;LEN(B897),MID(B897,3,1)=".",ISNUMBER(FIND("x"&amp;MID(B897,3,1),"x0x1x2x3x4x5x6x7x8x9"))),OR(4&gt;LEN(B897),MID(B897,4,1)=".",ISNUMBER(FIND("x"&amp;MID(B897,4,1),"x0x1x2x3x4x5x6x7x8x9"))),OR(5&gt;LEN(B897),MID(B897,5,1)=".",ISNUMBER(FIND("x"&amp;MID(B897,5,1),"x0x1x2x3x4x5x6x7x8x9"))),OR(6&gt;LEN(B897),MID(B897,6,1)=".",ISNUMBER(FIND("x"&amp;MID(B897,6,1),"x0x1x2x3x4x5x6x7x8x9"))),OR(7&gt;LEN(B897),MID(B897,7,1)=".",ISNUMBER(FIND("x"&amp;MID(B897,7,1),"x0x1x2x3x4x5x6x7x8x9"))),OR(8&gt;LEN(B897),MID(B897,8,1)=".",ISNUMBER(FIND("x"&amp;MID(B897,8,1),"x0x1x2x3x4x5x6x7x8x9"))),OR(9&gt;LEN(B897),MID(B897,9,1)=".",ISNUMBER(FIND("x"&amp;MID(B897,9,1),"x0x1x2x3x4x5x6x7x8x9"))),OR(10&gt;LEN(B897),MID(B897,10,1)=".",ISNUMBER(FIND("x"&amp;MID(B897,10,1),"x0x1x2x3x4x5x6x7x8x9"))),OR(AND(FIND(".",B897)=5,LEN(B897)-FIND(".",B897,FIND(".",B897)+1)&gt;=1,LEN(B897)-FIND(".",B897,FIND(".",B897)+1)&lt;=2),AND(LEN(B897)-FIND(".",B897,FIND(".",B897)+1)=4,FIND(".",B897)&gt;=2,FIND(".",B897)&lt;=3)),FIND(".",B897,FIND(".",B897)+1)-FIND(".",B897)&gt;=2,FIND(".",B897,FIND(".",B897)+1)-FIND(".",B897)&lt;=3,F897&gt;=2000,F897&lt;=2100,YEAR(I897)=F897,MONTH(I897)=G897,DAY(I897)=H897),I897,0)),0)</ns0:f>
        <ns0:v>0</ns0:v>
      </ns0:c>
      <ns0:c r="K897" s="0">
        <ns0:f>IFERROR(IF(ISNUMBER(Bookings!D897),"",TRIM(Bookings!D897&amp;"")),"")</ns0:f>
      </ns0:c>
      <ns0:c r="L897" s="0">
        <ns0:f>IFERROR(SUBSTITUTE(SUBSTITUTE(K897,"/","."),"-","."),"")</ns0:f>
      </ns0:c>
      <ns0:c r="M897" s="0">
        <ns0:f>IFERROR(LEFT(L897,FIND(".",L897)-1),"")</ns0:f>
      </ns0:c>
      <ns0:c r="N897" s="0">
        <ns0:f>IFERROR(MID(L897,FIND(".",L897)+1,FIND(".",L897,FIND(".",L897)+1)-FIND(".",L897)-1),"")</ns0:f>
      </ns0:c>
      <ns0:c r="O897" s="0">
        <ns0:f>IFERROR(MID(L897,FIND(".",L897,FIND(".",L897)+1)+1,99),"")</ns0:f>
        <ns0:v>99</ns0:v>
      </ns0:c>
      <ns0:c r="P897" s="0">
        <ns0:f>IFERROR(IF(FIND(".",L897)=5,--M897,--O897),0)</ns0:f>
        <ns0:v>0</ns0:v>
      </ns0:c>
      <ns0:c r="Q897" s="0">
        <ns0:f>IFERROR(--N897,0)</ns0:f>
        <ns0:v>0</ns0:v>
      </ns0:c>
      <ns0:c r="R897" s="0">
        <ns0:f>IFERROR(IF(FIND(".",L897)=5,--O897,--M897),0)</ns0:f>
        <ns0:v>0</ns0:v>
      </ns0:c>
      <ns0:c r="S897" s="0">
        <ns0:f>IFERROR(IF(AND(P897&gt;=2000,P897&lt;=2100,Q897&gt;=1,Q897&lt;=12,R897&gt;=1,R897&lt;=31),DATE(P897,Q897,R897),0),0)</ns0:f>
        <ns0:v>0</ns0:v>
      </ns0:c>
      <ns0:c r="T897" s="0">
        <ns0:f>IFERROR(IF(ISNUMBER(Bookings!D897),IF(AND(Bookings!D897=INT(Bookings!D897),Bookings!D897&gt;=DATE(2000,1,1),Bookings!D897&lt;=DATE(2100,12,31)),Bookings!D897,0),IF(AND(K897&lt;&gt;"",LEN("x"&amp;L897)-LEN(SUBSTITUTE("x"&amp;L897,".",""))=2,OR(1&gt;LEN(L897),MID(L897,1,1)=".",ISNUMBER(FIND("x"&amp;MID(L897,1,1),"x0x1x2x3x4x5x6x7x8x9"))),OR(2&gt;LEN(L897),MID(L897,2,1)=".",ISNUMBER(FIND("x"&amp;MID(L897,2,1),"x0x1x2x3x4x5x6x7x8x9"))),OR(3&gt;LEN(L897),MID(L897,3,1)=".",ISNUMBER(FIND("x"&amp;MID(L897,3,1),"x0x1x2x3x4x5x6x7x8x9"))),OR(4&gt;LEN(L897),MID(L897,4,1)=".",ISNUMBER(FIND("x"&amp;MID(L897,4,1),"x0x1x2x3x4x5x6x7x8x9"))),OR(5&gt;LEN(L897),MID(L897,5,1)=".",ISNUMBER(FIND("x"&amp;MID(L897,5,1),"x0x1x2x3x4x5x6x7x8x9"))),OR(6&gt;LEN(L897),MID(L897,6,1)=".",ISNUMBER(FIND("x"&amp;MID(L897,6,1),"x0x1x2x3x4x5x6x7x8x9"))),OR(7&gt;LEN(L897),MID(L897,7,1)=".",ISNUMBER(FIND("x"&amp;MID(L897,7,1),"x0x1x2x3x4x5x6x7x8x9"))),OR(8&gt;LEN(L897),MID(L897,8,1)=".",ISNUMBER(FIND("x"&amp;MID(L897,8,1),"x0x1x2x3x4x5x6x7x8x9"))),OR(9&gt;LEN(L897),MID(L897,9,1)=".",ISNUMBER(FIND("x"&amp;MID(L897,9,1),"x0x1x2x3x4x5x6x7x8x9"))),OR(10&gt;LEN(L897),MID(L897,10,1)=".",ISNUMBER(FIND("x"&amp;MID(L897,10,1),"x0x1x2x3x4x5x6x7x8x9"))),OR(AND(FIND(".",L897)=5,LEN(L897)-FIND(".",L897,FIND(".",L897)+1)&gt;=1,LEN(L897)-FIND(".",L897,FIND(".",L897)+1)&lt;=2),AND(LEN(L897)-FIND(".",L897,FIND(".",L897)+1)=4,FIND(".",L897)&gt;=2,FIND(".",L897)&lt;=3)),FIND(".",L897,FIND(".",L897)+1)-FIND(".",L897)&gt;=2,FIND(".",L897,FIND(".",L897)+1)-FIND(".",L897)&lt;=3,P897&gt;=2000,P897&lt;=2100,YEAR(S897)=P897,MONTH(S897)=Q897,DAY(S897)=R897),S897,0)),0)</ns0:f>
        <ns0:v>0</ns0:v>
      </ns0:c>
      <ns0:c r="U897" s="0" t="str">
        <ns0:f>IF(Bookings!C897="","Full day",Bookings!C897)</ns0:f>
        <ns0:v>Full day</ns0:v>
      </ns0:c>
      <ns0:c r="V897" s="0" t="str">
        <ns0:f>IF(Bookings!E897="","Full day",Bookings!E897)</ns0:f>
        <ns0:v>Full day</ns0:v>
      </ns0:c>
      <ns0:c r="W897" s="0">
        <ns0:f>IF(J897=0,0,J897+IF(U897="PM",1,0))</ns0:f>
        <ns0:v>0</ns0:v>
      </ns0:c>
      <ns0:c r="X897" s="0">
        <ns0:f>IF(T897=0,0,T897-IF(V897="PM",1,0))</ns0:f>
        <ns0:v>0</ns0:v>
      </ns0:c>
      <ns0:c r="Y897" s="0">
        <ns0:f>IF(J897=0,0,J897+IF(U897="AM",1,0))</ns0:f>
        <ns0:v>0</ns0:v>
      </ns0:c>
      <ns0:c r="Z897" s="0">
        <ns0:f>IF(T897=0,0,T897-IF(V897="AM",1,0))</ns0:f>
        <ns0:v>0</ns0:v>
      </ns0:c>
      <ns0:c r="AA897" s="0">
        <ns0:f>IFERROR(IF(AND(J897&gt;0,'_Engine'!C897&gt;0,MID('_Engine'!W897,WEEKDAY(J897,2),1)="W",COUNTIF(Settings!$F$18:$F$67,J897)=0),1,0),0)</ns0:f>
        <ns0:v>0</ns0:v>
      </ns0:c>
      <ns0:c r="AB897" s="0">
        <ns0:f>IFERROR(IF(AND(T897&gt;0,'_Engine'!C897&gt;0,MID('_Engine'!W897,WEEKDAY(T897,2),1)="W",COUNTIF(Settings!$F$18:$F$67,T897)=0),1,0),0)</ns0:f>
        <ns0:v>0</ns0:v>
      </ns0:c>
      <ns0:c r="AC897" s="0">
        <ns0:f>IF(AND(J897&gt;0,T897&gt;0,W897&lt;=X897),1,0)</ns0:f>
        <ns0:v>0</ns0:v>
      </ns0:c>
      <ns0:c r="AD897" s="0">
        <ns0:f>IF(AND(J897&gt;0,T897&gt;0,Y897&lt;=Z897),1,0)</ns0:f>
        <ns0:v>0</ns0:v>
      </ns0:c>
    </ns0:row>
    <ns0:row r="898">
      <ns0:c r="A898" s="0">
        <ns0:f>IFERROR(IF(ISNUMBER(Bookings!B898),"",TRIM(Bookings!B898&amp;"")),"")</ns0:f>
      </ns0:c>
      <ns0:c r="B898" s="0">
        <ns0:f>IFERROR(SUBSTITUTE(SUBSTITUTE(A898,"/","."),"-","."),"")</ns0:f>
      </ns0:c>
      <ns0:c r="C898" s="0">
        <ns0:f>IFERROR(LEFT(B898,FIND(".",B898)-1),"")</ns0:f>
      </ns0:c>
      <ns0:c r="D898" s="0">
        <ns0:f>IFERROR(MID(B898,FIND(".",B898)+1,FIND(".",B898,FIND(".",B898)+1)-FIND(".",B898)-1),"")</ns0:f>
      </ns0:c>
      <ns0:c r="E898" s="0">
        <ns0:f>IFERROR(MID(B898,FIND(".",B898,FIND(".",B898)+1)+1,99),"")</ns0:f>
        <ns0:v>99</ns0:v>
      </ns0:c>
      <ns0:c r="F898" s="0">
        <ns0:f>IFERROR(IF(FIND(".",B898)=5,--C898,--E898),0)</ns0:f>
        <ns0:v>0</ns0:v>
      </ns0:c>
      <ns0:c r="G898" s="0">
        <ns0:f>IFERROR(--D898,0)</ns0:f>
        <ns0:v>0</ns0:v>
      </ns0:c>
      <ns0:c r="H898" s="0">
        <ns0:f>IFERROR(IF(FIND(".",B898)=5,--E898,--C898),0)</ns0:f>
        <ns0:v>0</ns0:v>
      </ns0:c>
      <ns0:c r="I898" s="0">
        <ns0:f>IFERROR(IF(AND(F898&gt;=2000,F898&lt;=2100,G898&gt;=1,G898&lt;=12,H898&gt;=1,H898&lt;=31),DATE(F898,G898,H898),0),0)</ns0:f>
        <ns0:v>0</ns0:v>
      </ns0:c>
      <ns0:c r="J898" s="0">
        <ns0:f>IFERROR(IF(ISNUMBER(Bookings!B898),IF(AND(Bookings!B898=INT(Bookings!B898),Bookings!B898&gt;=DATE(2000,1,1),Bookings!B898&lt;=DATE(2100,12,31)),Bookings!B898,0),IF(AND(A898&lt;&gt;"",LEN("x"&amp;B898)-LEN(SUBSTITUTE("x"&amp;B898,".",""))=2,OR(1&gt;LEN(B898),MID(B898,1,1)=".",ISNUMBER(FIND("x"&amp;MID(B898,1,1),"x0x1x2x3x4x5x6x7x8x9"))),OR(2&gt;LEN(B898),MID(B898,2,1)=".",ISNUMBER(FIND("x"&amp;MID(B898,2,1),"x0x1x2x3x4x5x6x7x8x9"))),OR(3&gt;LEN(B898),MID(B898,3,1)=".",ISNUMBER(FIND("x"&amp;MID(B898,3,1),"x0x1x2x3x4x5x6x7x8x9"))),OR(4&gt;LEN(B898),MID(B898,4,1)=".",ISNUMBER(FIND("x"&amp;MID(B898,4,1),"x0x1x2x3x4x5x6x7x8x9"))),OR(5&gt;LEN(B898),MID(B898,5,1)=".",ISNUMBER(FIND("x"&amp;MID(B898,5,1),"x0x1x2x3x4x5x6x7x8x9"))),OR(6&gt;LEN(B898),MID(B898,6,1)=".",ISNUMBER(FIND("x"&amp;MID(B898,6,1),"x0x1x2x3x4x5x6x7x8x9"))),OR(7&gt;LEN(B898),MID(B898,7,1)=".",ISNUMBER(FIND("x"&amp;MID(B898,7,1),"x0x1x2x3x4x5x6x7x8x9"))),OR(8&gt;LEN(B898),MID(B898,8,1)=".",ISNUMBER(FIND("x"&amp;MID(B898,8,1),"x0x1x2x3x4x5x6x7x8x9"))),OR(9&gt;LEN(B898),MID(B898,9,1)=".",ISNUMBER(FIND("x"&amp;MID(B898,9,1),"x0x1x2x3x4x5x6x7x8x9"))),OR(10&gt;LEN(B898),MID(B898,10,1)=".",ISNUMBER(FIND("x"&amp;MID(B898,10,1),"x0x1x2x3x4x5x6x7x8x9"))),OR(AND(FIND(".",B898)=5,LEN(B898)-FIND(".",B898,FIND(".",B898)+1)&gt;=1,LEN(B898)-FIND(".",B898,FIND(".",B898)+1)&lt;=2),AND(LEN(B898)-FIND(".",B898,FIND(".",B898)+1)=4,FIND(".",B898)&gt;=2,FIND(".",B898)&lt;=3)),FIND(".",B898,FIND(".",B898)+1)-FIND(".",B898)&gt;=2,FIND(".",B898,FIND(".",B898)+1)-FIND(".",B898)&lt;=3,F898&gt;=2000,F898&lt;=2100,YEAR(I898)=F898,MONTH(I898)=G898,DAY(I898)=H898),I898,0)),0)</ns0:f>
        <ns0:v>0</ns0:v>
      </ns0:c>
      <ns0:c r="K898" s="0">
        <ns0:f>IFERROR(IF(ISNUMBER(Bookings!D898),"",TRIM(Bookings!D898&amp;"")),"")</ns0:f>
      </ns0:c>
      <ns0:c r="L898" s="0">
        <ns0:f>IFERROR(SUBSTITUTE(SUBSTITUTE(K898,"/","."),"-","."),"")</ns0:f>
      </ns0:c>
      <ns0:c r="M898" s="0">
        <ns0:f>IFERROR(LEFT(L898,FIND(".",L898)-1),"")</ns0:f>
      </ns0:c>
      <ns0:c r="N898" s="0">
        <ns0:f>IFERROR(MID(L898,FIND(".",L898)+1,FIND(".",L898,FIND(".",L898)+1)-FIND(".",L898)-1),"")</ns0:f>
      </ns0:c>
      <ns0:c r="O898" s="0">
        <ns0:f>IFERROR(MID(L898,FIND(".",L898,FIND(".",L898)+1)+1,99),"")</ns0:f>
        <ns0:v>99</ns0:v>
      </ns0:c>
      <ns0:c r="P898" s="0">
        <ns0:f>IFERROR(IF(FIND(".",L898)=5,--M898,--O898),0)</ns0:f>
        <ns0:v>0</ns0:v>
      </ns0:c>
      <ns0:c r="Q898" s="0">
        <ns0:f>IFERROR(--N898,0)</ns0:f>
        <ns0:v>0</ns0:v>
      </ns0:c>
      <ns0:c r="R898" s="0">
        <ns0:f>IFERROR(IF(FIND(".",L898)=5,--O898,--M898),0)</ns0:f>
        <ns0:v>0</ns0:v>
      </ns0:c>
      <ns0:c r="S898" s="0">
        <ns0:f>IFERROR(IF(AND(P898&gt;=2000,P898&lt;=2100,Q898&gt;=1,Q898&lt;=12,R898&gt;=1,R898&lt;=31),DATE(P898,Q898,R898),0),0)</ns0:f>
        <ns0:v>0</ns0:v>
      </ns0:c>
      <ns0:c r="T898" s="0">
        <ns0:f>IFERROR(IF(ISNUMBER(Bookings!D898),IF(AND(Bookings!D898=INT(Bookings!D898),Bookings!D898&gt;=DATE(2000,1,1),Bookings!D898&lt;=DATE(2100,12,31)),Bookings!D898,0),IF(AND(K898&lt;&gt;"",LEN("x"&amp;L898)-LEN(SUBSTITUTE("x"&amp;L898,".",""))=2,OR(1&gt;LEN(L898),MID(L898,1,1)=".",ISNUMBER(FIND("x"&amp;MID(L898,1,1),"x0x1x2x3x4x5x6x7x8x9"))),OR(2&gt;LEN(L898),MID(L898,2,1)=".",ISNUMBER(FIND("x"&amp;MID(L898,2,1),"x0x1x2x3x4x5x6x7x8x9"))),OR(3&gt;LEN(L898),MID(L898,3,1)=".",ISNUMBER(FIND("x"&amp;MID(L898,3,1),"x0x1x2x3x4x5x6x7x8x9"))),OR(4&gt;LEN(L898),MID(L898,4,1)=".",ISNUMBER(FIND("x"&amp;MID(L898,4,1),"x0x1x2x3x4x5x6x7x8x9"))),OR(5&gt;LEN(L898),MID(L898,5,1)=".",ISNUMBER(FIND("x"&amp;MID(L898,5,1),"x0x1x2x3x4x5x6x7x8x9"))),OR(6&gt;LEN(L898),MID(L898,6,1)=".",ISNUMBER(FIND("x"&amp;MID(L898,6,1),"x0x1x2x3x4x5x6x7x8x9"))),OR(7&gt;LEN(L898),MID(L898,7,1)=".",ISNUMBER(FIND("x"&amp;MID(L898,7,1),"x0x1x2x3x4x5x6x7x8x9"))),OR(8&gt;LEN(L898),MID(L898,8,1)=".",ISNUMBER(FIND("x"&amp;MID(L898,8,1),"x0x1x2x3x4x5x6x7x8x9"))),OR(9&gt;LEN(L898),MID(L898,9,1)=".",ISNUMBER(FIND("x"&amp;MID(L898,9,1),"x0x1x2x3x4x5x6x7x8x9"))),OR(10&gt;LEN(L898),MID(L898,10,1)=".",ISNUMBER(FIND("x"&amp;MID(L898,10,1),"x0x1x2x3x4x5x6x7x8x9"))),OR(AND(FIND(".",L898)=5,LEN(L898)-FIND(".",L898,FIND(".",L898)+1)&gt;=1,LEN(L898)-FIND(".",L898,FIND(".",L898)+1)&lt;=2),AND(LEN(L898)-FIND(".",L898,FIND(".",L898)+1)=4,FIND(".",L898)&gt;=2,FIND(".",L898)&lt;=3)),FIND(".",L898,FIND(".",L898)+1)-FIND(".",L898)&gt;=2,FIND(".",L898,FIND(".",L898)+1)-FIND(".",L898)&lt;=3,P898&gt;=2000,P898&lt;=2100,YEAR(S898)=P898,MONTH(S898)=Q898,DAY(S898)=R898),S898,0)),0)</ns0:f>
        <ns0:v>0</ns0:v>
      </ns0:c>
      <ns0:c r="U898" s="0" t="str">
        <ns0:f>IF(Bookings!C898="","Full day",Bookings!C898)</ns0:f>
        <ns0:v>Full day</ns0:v>
      </ns0:c>
      <ns0:c r="V898" s="0" t="str">
        <ns0:f>IF(Bookings!E898="","Full day",Bookings!E898)</ns0:f>
        <ns0:v>Full day</ns0:v>
      </ns0:c>
      <ns0:c r="W898" s="0">
        <ns0:f>IF(J898=0,0,J898+IF(U898="PM",1,0))</ns0:f>
        <ns0:v>0</ns0:v>
      </ns0:c>
      <ns0:c r="X898" s="0">
        <ns0:f>IF(T898=0,0,T898-IF(V898="PM",1,0))</ns0:f>
        <ns0:v>0</ns0:v>
      </ns0:c>
      <ns0:c r="Y898" s="0">
        <ns0:f>IF(J898=0,0,J898+IF(U898="AM",1,0))</ns0:f>
        <ns0:v>0</ns0:v>
      </ns0:c>
      <ns0:c r="Z898" s="0">
        <ns0:f>IF(T898=0,0,T898-IF(V898="AM",1,0))</ns0:f>
        <ns0:v>0</ns0:v>
      </ns0:c>
      <ns0:c r="AA898" s="0">
        <ns0:f>IFERROR(IF(AND(J898&gt;0,'_Engine'!C898&gt;0,MID('_Engine'!W898,WEEKDAY(J898,2),1)="W",COUNTIF(Settings!$F$18:$F$67,J898)=0),1,0),0)</ns0:f>
        <ns0:v>0</ns0:v>
      </ns0:c>
      <ns0:c r="AB898" s="0">
        <ns0:f>IFERROR(IF(AND(T898&gt;0,'_Engine'!C898&gt;0,MID('_Engine'!W898,WEEKDAY(T898,2),1)="W",COUNTIF(Settings!$F$18:$F$67,T898)=0),1,0),0)</ns0:f>
        <ns0:v>0</ns0:v>
      </ns0:c>
      <ns0:c r="AC898" s="0">
        <ns0:f>IF(AND(J898&gt;0,T898&gt;0,W898&lt;=X898),1,0)</ns0:f>
        <ns0:v>0</ns0:v>
      </ns0:c>
      <ns0:c r="AD898" s="0">
        <ns0:f>IF(AND(J898&gt;0,T898&gt;0,Y898&lt;=Z898),1,0)</ns0:f>
        <ns0:v>0</ns0:v>
      </ns0:c>
    </ns0:row>
    <ns0:row r="899">
      <ns0:c r="A899" s="0">
        <ns0:f>IFERROR(IF(ISNUMBER(Bookings!B899),"",TRIM(Bookings!B899&amp;"")),"")</ns0:f>
      </ns0:c>
      <ns0:c r="B899" s="0">
        <ns0:f>IFERROR(SUBSTITUTE(SUBSTITUTE(A899,"/","."),"-","."),"")</ns0:f>
      </ns0:c>
      <ns0:c r="C899" s="0">
        <ns0:f>IFERROR(LEFT(B899,FIND(".",B899)-1),"")</ns0:f>
      </ns0:c>
      <ns0:c r="D899" s="0">
        <ns0:f>IFERROR(MID(B899,FIND(".",B899)+1,FIND(".",B899,FIND(".",B899)+1)-FIND(".",B899)-1),"")</ns0:f>
      </ns0:c>
      <ns0:c r="E899" s="0">
        <ns0:f>IFERROR(MID(B899,FIND(".",B899,FIND(".",B899)+1)+1,99),"")</ns0:f>
        <ns0:v>99</ns0:v>
      </ns0:c>
      <ns0:c r="F899" s="0">
        <ns0:f>IFERROR(IF(FIND(".",B899)=5,--C899,--E899),0)</ns0:f>
        <ns0:v>0</ns0:v>
      </ns0:c>
      <ns0:c r="G899" s="0">
        <ns0:f>IFERROR(--D899,0)</ns0:f>
        <ns0:v>0</ns0:v>
      </ns0:c>
      <ns0:c r="H899" s="0">
        <ns0:f>IFERROR(IF(FIND(".",B899)=5,--E899,--C899),0)</ns0:f>
        <ns0:v>0</ns0:v>
      </ns0:c>
      <ns0:c r="I899" s="0">
        <ns0:f>IFERROR(IF(AND(F899&gt;=2000,F899&lt;=2100,G899&gt;=1,G899&lt;=12,H899&gt;=1,H899&lt;=31),DATE(F899,G899,H899),0),0)</ns0:f>
        <ns0:v>0</ns0:v>
      </ns0:c>
      <ns0:c r="J899" s="0">
        <ns0:f>IFERROR(IF(ISNUMBER(Bookings!B899),IF(AND(Bookings!B899=INT(Bookings!B899),Bookings!B899&gt;=DATE(2000,1,1),Bookings!B899&lt;=DATE(2100,12,31)),Bookings!B899,0),IF(AND(A899&lt;&gt;"",LEN("x"&amp;B899)-LEN(SUBSTITUTE("x"&amp;B899,".",""))=2,OR(1&gt;LEN(B899),MID(B899,1,1)=".",ISNUMBER(FIND("x"&amp;MID(B899,1,1),"x0x1x2x3x4x5x6x7x8x9"))),OR(2&gt;LEN(B899),MID(B899,2,1)=".",ISNUMBER(FIND("x"&amp;MID(B899,2,1),"x0x1x2x3x4x5x6x7x8x9"))),OR(3&gt;LEN(B899),MID(B899,3,1)=".",ISNUMBER(FIND("x"&amp;MID(B899,3,1),"x0x1x2x3x4x5x6x7x8x9"))),OR(4&gt;LEN(B899),MID(B899,4,1)=".",ISNUMBER(FIND("x"&amp;MID(B899,4,1),"x0x1x2x3x4x5x6x7x8x9"))),OR(5&gt;LEN(B899),MID(B899,5,1)=".",ISNUMBER(FIND("x"&amp;MID(B899,5,1),"x0x1x2x3x4x5x6x7x8x9"))),OR(6&gt;LEN(B899),MID(B899,6,1)=".",ISNUMBER(FIND("x"&amp;MID(B899,6,1),"x0x1x2x3x4x5x6x7x8x9"))),OR(7&gt;LEN(B899),MID(B899,7,1)=".",ISNUMBER(FIND("x"&amp;MID(B899,7,1),"x0x1x2x3x4x5x6x7x8x9"))),OR(8&gt;LEN(B899),MID(B899,8,1)=".",ISNUMBER(FIND("x"&amp;MID(B899,8,1),"x0x1x2x3x4x5x6x7x8x9"))),OR(9&gt;LEN(B899),MID(B899,9,1)=".",ISNUMBER(FIND("x"&amp;MID(B899,9,1),"x0x1x2x3x4x5x6x7x8x9"))),OR(10&gt;LEN(B899),MID(B899,10,1)=".",ISNUMBER(FIND("x"&amp;MID(B899,10,1),"x0x1x2x3x4x5x6x7x8x9"))),OR(AND(FIND(".",B899)=5,LEN(B899)-FIND(".",B899,FIND(".",B899)+1)&gt;=1,LEN(B899)-FIND(".",B899,FIND(".",B899)+1)&lt;=2),AND(LEN(B899)-FIND(".",B899,FIND(".",B899)+1)=4,FIND(".",B899)&gt;=2,FIND(".",B899)&lt;=3)),FIND(".",B899,FIND(".",B899)+1)-FIND(".",B899)&gt;=2,FIND(".",B899,FIND(".",B899)+1)-FIND(".",B899)&lt;=3,F899&gt;=2000,F899&lt;=2100,YEAR(I899)=F899,MONTH(I899)=G899,DAY(I899)=H899),I899,0)),0)</ns0:f>
        <ns0:v>0</ns0:v>
      </ns0:c>
      <ns0:c r="K899" s="0">
        <ns0:f>IFERROR(IF(ISNUMBER(Bookings!D899),"",TRIM(Bookings!D899&amp;"")),"")</ns0:f>
      </ns0:c>
      <ns0:c r="L899" s="0">
        <ns0:f>IFERROR(SUBSTITUTE(SUBSTITUTE(K899,"/","."),"-","."),"")</ns0:f>
      </ns0:c>
      <ns0:c r="M899" s="0">
        <ns0:f>IFERROR(LEFT(L899,FIND(".",L899)-1),"")</ns0:f>
      </ns0:c>
      <ns0:c r="N899" s="0">
        <ns0:f>IFERROR(MID(L899,FIND(".",L899)+1,FIND(".",L899,FIND(".",L899)+1)-FIND(".",L899)-1),"")</ns0:f>
      </ns0:c>
      <ns0:c r="O899" s="0">
        <ns0:f>IFERROR(MID(L899,FIND(".",L899,FIND(".",L899)+1)+1,99),"")</ns0:f>
        <ns0:v>99</ns0:v>
      </ns0:c>
      <ns0:c r="P899" s="0">
        <ns0:f>IFERROR(IF(FIND(".",L899)=5,--M899,--O899),0)</ns0:f>
        <ns0:v>0</ns0:v>
      </ns0:c>
      <ns0:c r="Q899" s="0">
        <ns0:f>IFERROR(--N899,0)</ns0:f>
        <ns0:v>0</ns0:v>
      </ns0:c>
      <ns0:c r="R899" s="0">
        <ns0:f>IFERROR(IF(FIND(".",L899)=5,--O899,--M899),0)</ns0:f>
        <ns0:v>0</ns0:v>
      </ns0:c>
      <ns0:c r="S899" s="0">
        <ns0:f>IFERROR(IF(AND(P899&gt;=2000,P899&lt;=2100,Q899&gt;=1,Q899&lt;=12,R899&gt;=1,R899&lt;=31),DATE(P899,Q899,R899),0),0)</ns0:f>
        <ns0:v>0</ns0:v>
      </ns0:c>
      <ns0:c r="T899" s="0">
        <ns0:f>IFERROR(IF(ISNUMBER(Bookings!D899),IF(AND(Bookings!D899=INT(Bookings!D899),Bookings!D899&gt;=DATE(2000,1,1),Bookings!D899&lt;=DATE(2100,12,31)),Bookings!D899,0),IF(AND(K899&lt;&gt;"",LEN("x"&amp;L899)-LEN(SUBSTITUTE("x"&amp;L899,".",""))=2,OR(1&gt;LEN(L899),MID(L899,1,1)=".",ISNUMBER(FIND("x"&amp;MID(L899,1,1),"x0x1x2x3x4x5x6x7x8x9"))),OR(2&gt;LEN(L899),MID(L899,2,1)=".",ISNUMBER(FIND("x"&amp;MID(L899,2,1),"x0x1x2x3x4x5x6x7x8x9"))),OR(3&gt;LEN(L899),MID(L899,3,1)=".",ISNUMBER(FIND("x"&amp;MID(L899,3,1),"x0x1x2x3x4x5x6x7x8x9"))),OR(4&gt;LEN(L899),MID(L899,4,1)=".",ISNUMBER(FIND("x"&amp;MID(L899,4,1),"x0x1x2x3x4x5x6x7x8x9"))),OR(5&gt;LEN(L899),MID(L899,5,1)=".",ISNUMBER(FIND("x"&amp;MID(L899,5,1),"x0x1x2x3x4x5x6x7x8x9"))),OR(6&gt;LEN(L899),MID(L899,6,1)=".",ISNUMBER(FIND("x"&amp;MID(L899,6,1),"x0x1x2x3x4x5x6x7x8x9"))),OR(7&gt;LEN(L899),MID(L899,7,1)=".",ISNUMBER(FIND("x"&amp;MID(L899,7,1),"x0x1x2x3x4x5x6x7x8x9"))),OR(8&gt;LEN(L899),MID(L899,8,1)=".",ISNUMBER(FIND("x"&amp;MID(L899,8,1),"x0x1x2x3x4x5x6x7x8x9"))),OR(9&gt;LEN(L899),MID(L899,9,1)=".",ISNUMBER(FIND("x"&amp;MID(L899,9,1),"x0x1x2x3x4x5x6x7x8x9"))),OR(10&gt;LEN(L899),MID(L899,10,1)=".",ISNUMBER(FIND("x"&amp;MID(L899,10,1),"x0x1x2x3x4x5x6x7x8x9"))),OR(AND(FIND(".",L899)=5,LEN(L899)-FIND(".",L899,FIND(".",L899)+1)&gt;=1,LEN(L899)-FIND(".",L899,FIND(".",L899)+1)&lt;=2),AND(LEN(L899)-FIND(".",L899,FIND(".",L899)+1)=4,FIND(".",L899)&gt;=2,FIND(".",L899)&lt;=3)),FIND(".",L899,FIND(".",L899)+1)-FIND(".",L899)&gt;=2,FIND(".",L899,FIND(".",L899)+1)-FIND(".",L899)&lt;=3,P899&gt;=2000,P899&lt;=2100,YEAR(S899)=P899,MONTH(S899)=Q899,DAY(S899)=R899),S899,0)),0)</ns0:f>
        <ns0:v>0</ns0:v>
      </ns0:c>
      <ns0:c r="U899" s="0" t="str">
        <ns0:f>IF(Bookings!C899="","Full day",Bookings!C899)</ns0:f>
        <ns0:v>Full day</ns0:v>
      </ns0:c>
      <ns0:c r="V899" s="0" t="str">
        <ns0:f>IF(Bookings!E899="","Full day",Bookings!E899)</ns0:f>
        <ns0:v>Full day</ns0:v>
      </ns0:c>
      <ns0:c r="W899" s="0">
        <ns0:f>IF(J899=0,0,J899+IF(U899="PM",1,0))</ns0:f>
        <ns0:v>0</ns0:v>
      </ns0:c>
      <ns0:c r="X899" s="0">
        <ns0:f>IF(T899=0,0,T899-IF(V899="PM",1,0))</ns0:f>
        <ns0:v>0</ns0:v>
      </ns0:c>
      <ns0:c r="Y899" s="0">
        <ns0:f>IF(J899=0,0,J899+IF(U899="AM",1,0))</ns0:f>
        <ns0:v>0</ns0:v>
      </ns0:c>
      <ns0:c r="Z899" s="0">
        <ns0:f>IF(T899=0,0,T899-IF(V899="AM",1,0))</ns0:f>
        <ns0:v>0</ns0:v>
      </ns0:c>
      <ns0:c r="AA899" s="0">
        <ns0:f>IFERROR(IF(AND(J899&gt;0,'_Engine'!C899&gt;0,MID('_Engine'!W899,WEEKDAY(J899,2),1)="W",COUNTIF(Settings!$F$18:$F$67,J899)=0),1,0),0)</ns0:f>
        <ns0:v>0</ns0:v>
      </ns0:c>
      <ns0:c r="AB899" s="0">
        <ns0:f>IFERROR(IF(AND(T899&gt;0,'_Engine'!C899&gt;0,MID('_Engine'!W899,WEEKDAY(T899,2),1)="W",COUNTIF(Settings!$F$18:$F$67,T899)=0),1,0),0)</ns0:f>
        <ns0:v>0</ns0:v>
      </ns0:c>
      <ns0:c r="AC899" s="0">
        <ns0:f>IF(AND(J899&gt;0,T899&gt;0,W899&lt;=X899),1,0)</ns0:f>
        <ns0:v>0</ns0:v>
      </ns0:c>
      <ns0:c r="AD899" s="0">
        <ns0:f>IF(AND(J899&gt;0,T899&gt;0,Y899&lt;=Z899),1,0)</ns0:f>
        <ns0:v>0</ns0:v>
      </ns0:c>
    </ns0:row>
    <ns0:row r="900">
      <ns0:c r="A900" s="0">
        <ns0:f>IFERROR(IF(ISNUMBER(Bookings!B900),"",TRIM(Bookings!B900&amp;"")),"")</ns0:f>
      </ns0:c>
      <ns0:c r="B900" s="0">
        <ns0:f>IFERROR(SUBSTITUTE(SUBSTITUTE(A900,"/","."),"-","."),"")</ns0:f>
      </ns0:c>
      <ns0:c r="C900" s="0">
        <ns0:f>IFERROR(LEFT(B900,FIND(".",B900)-1),"")</ns0:f>
      </ns0:c>
      <ns0:c r="D900" s="0">
        <ns0:f>IFERROR(MID(B900,FIND(".",B900)+1,FIND(".",B900,FIND(".",B900)+1)-FIND(".",B900)-1),"")</ns0:f>
      </ns0:c>
      <ns0:c r="E900" s="0">
        <ns0:f>IFERROR(MID(B900,FIND(".",B900,FIND(".",B900)+1)+1,99),"")</ns0:f>
        <ns0:v>99</ns0:v>
      </ns0:c>
      <ns0:c r="F900" s="0">
        <ns0:f>IFERROR(IF(FIND(".",B900)=5,--C900,--E900),0)</ns0:f>
        <ns0:v>0</ns0:v>
      </ns0:c>
      <ns0:c r="G900" s="0">
        <ns0:f>IFERROR(--D900,0)</ns0:f>
        <ns0:v>0</ns0:v>
      </ns0:c>
      <ns0:c r="H900" s="0">
        <ns0:f>IFERROR(IF(FIND(".",B900)=5,--E900,--C900),0)</ns0:f>
        <ns0:v>0</ns0:v>
      </ns0:c>
      <ns0:c r="I900" s="0">
        <ns0:f>IFERROR(IF(AND(F900&gt;=2000,F900&lt;=2100,G900&gt;=1,G900&lt;=12,H900&gt;=1,H900&lt;=31),DATE(F900,G900,H900),0),0)</ns0:f>
        <ns0:v>0</ns0:v>
      </ns0:c>
      <ns0:c r="J900" s="0">
        <ns0:f>IFERROR(IF(ISNUMBER(Bookings!B900),IF(AND(Bookings!B900=INT(Bookings!B900),Bookings!B900&gt;=DATE(2000,1,1),Bookings!B900&lt;=DATE(2100,12,31)),Bookings!B900,0),IF(AND(A900&lt;&gt;"",LEN("x"&amp;B900)-LEN(SUBSTITUTE("x"&amp;B900,".",""))=2,OR(1&gt;LEN(B900),MID(B900,1,1)=".",ISNUMBER(FIND("x"&amp;MID(B900,1,1),"x0x1x2x3x4x5x6x7x8x9"))),OR(2&gt;LEN(B900),MID(B900,2,1)=".",ISNUMBER(FIND("x"&amp;MID(B900,2,1),"x0x1x2x3x4x5x6x7x8x9"))),OR(3&gt;LEN(B900),MID(B900,3,1)=".",ISNUMBER(FIND("x"&amp;MID(B900,3,1),"x0x1x2x3x4x5x6x7x8x9"))),OR(4&gt;LEN(B900),MID(B900,4,1)=".",ISNUMBER(FIND("x"&amp;MID(B900,4,1),"x0x1x2x3x4x5x6x7x8x9"))),OR(5&gt;LEN(B900),MID(B900,5,1)=".",ISNUMBER(FIND("x"&amp;MID(B900,5,1),"x0x1x2x3x4x5x6x7x8x9"))),OR(6&gt;LEN(B900),MID(B900,6,1)=".",ISNUMBER(FIND("x"&amp;MID(B900,6,1),"x0x1x2x3x4x5x6x7x8x9"))),OR(7&gt;LEN(B900),MID(B900,7,1)=".",ISNUMBER(FIND("x"&amp;MID(B900,7,1),"x0x1x2x3x4x5x6x7x8x9"))),OR(8&gt;LEN(B900),MID(B900,8,1)=".",ISNUMBER(FIND("x"&amp;MID(B900,8,1),"x0x1x2x3x4x5x6x7x8x9"))),OR(9&gt;LEN(B900),MID(B900,9,1)=".",ISNUMBER(FIND("x"&amp;MID(B900,9,1),"x0x1x2x3x4x5x6x7x8x9"))),OR(10&gt;LEN(B900),MID(B900,10,1)=".",ISNUMBER(FIND("x"&amp;MID(B900,10,1),"x0x1x2x3x4x5x6x7x8x9"))),OR(AND(FIND(".",B900)=5,LEN(B900)-FIND(".",B900,FIND(".",B900)+1)&gt;=1,LEN(B900)-FIND(".",B900,FIND(".",B900)+1)&lt;=2),AND(LEN(B900)-FIND(".",B900,FIND(".",B900)+1)=4,FIND(".",B900)&gt;=2,FIND(".",B900)&lt;=3)),FIND(".",B900,FIND(".",B900)+1)-FIND(".",B900)&gt;=2,FIND(".",B900,FIND(".",B900)+1)-FIND(".",B900)&lt;=3,F900&gt;=2000,F900&lt;=2100,YEAR(I900)=F900,MONTH(I900)=G900,DAY(I900)=H900),I900,0)),0)</ns0:f>
        <ns0:v>0</ns0:v>
      </ns0:c>
      <ns0:c r="K900" s="0">
        <ns0:f>IFERROR(IF(ISNUMBER(Bookings!D900),"",TRIM(Bookings!D900&amp;"")),"")</ns0:f>
      </ns0:c>
      <ns0:c r="L900" s="0">
        <ns0:f>IFERROR(SUBSTITUTE(SUBSTITUTE(K900,"/","."),"-","."),"")</ns0:f>
      </ns0:c>
      <ns0:c r="M900" s="0">
        <ns0:f>IFERROR(LEFT(L900,FIND(".",L900)-1),"")</ns0:f>
      </ns0:c>
      <ns0:c r="N900" s="0">
        <ns0:f>IFERROR(MID(L900,FIND(".",L900)+1,FIND(".",L900,FIND(".",L900)+1)-FIND(".",L900)-1),"")</ns0:f>
      </ns0:c>
      <ns0:c r="O900" s="0">
        <ns0:f>IFERROR(MID(L900,FIND(".",L900,FIND(".",L900)+1)+1,99),"")</ns0:f>
        <ns0:v>99</ns0:v>
      </ns0:c>
      <ns0:c r="P900" s="0">
        <ns0:f>IFERROR(IF(FIND(".",L900)=5,--M900,--O900),0)</ns0:f>
        <ns0:v>0</ns0:v>
      </ns0:c>
      <ns0:c r="Q900" s="0">
        <ns0:f>IFERROR(--N900,0)</ns0:f>
        <ns0:v>0</ns0:v>
      </ns0:c>
      <ns0:c r="R900" s="0">
        <ns0:f>IFERROR(IF(FIND(".",L900)=5,--O900,--M900),0)</ns0:f>
        <ns0:v>0</ns0:v>
      </ns0:c>
      <ns0:c r="S900" s="0">
        <ns0:f>IFERROR(IF(AND(P900&gt;=2000,P900&lt;=2100,Q900&gt;=1,Q900&lt;=12,R900&gt;=1,R900&lt;=31),DATE(P900,Q900,R900),0),0)</ns0:f>
        <ns0:v>0</ns0:v>
      </ns0:c>
      <ns0:c r="T900" s="0">
        <ns0:f>IFERROR(IF(ISNUMBER(Bookings!D900),IF(AND(Bookings!D900=INT(Bookings!D900),Bookings!D900&gt;=DATE(2000,1,1),Bookings!D900&lt;=DATE(2100,12,31)),Bookings!D900,0),IF(AND(K900&lt;&gt;"",LEN("x"&amp;L900)-LEN(SUBSTITUTE("x"&amp;L900,".",""))=2,OR(1&gt;LEN(L900),MID(L900,1,1)=".",ISNUMBER(FIND("x"&amp;MID(L900,1,1),"x0x1x2x3x4x5x6x7x8x9"))),OR(2&gt;LEN(L900),MID(L900,2,1)=".",ISNUMBER(FIND("x"&amp;MID(L900,2,1),"x0x1x2x3x4x5x6x7x8x9"))),OR(3&gt;LEN(L900),MID(L900,3,1)=".",ISNUMBER(FIND("x"&amp;MID(L900,3,1),"x0x1x2x3x4x5x6x7x8x9"))),OR(4&gt;LEN(L900),MID(L900,4,1)=".",ISNUMBER(FIND("x"&amp;MID(L900,4,1),"x0x1x2x3x4x5x6x7x8x9"))),OR(5&gt;LEN(L900),MID(L900,5,1)=".",ISNUMBER(FIND("x"&amp;MID(L900,5,1),"x0x1x2x3x4x5x6x7x8x9"))),OR(6&gt;LEN(L900),MID(L900,6,1)=".",ISNUMBER(FIND("x"&amp;MID(L900,6,1),"x0x1x2x3x4x5x6x7x8x9"))),OR(7&gt;LEN(L900),MID(L900,7,1)=".",ISNUMBER(FIND("x"&amp;MID(L900,7,1),"x0x1x2x3x4x5x6x7x8x9"))),OR(8&gt;LEN(L900),MID(L900,8,1)=".",ISNUMBER(FIND("x"&amp;MID(L900,8,1),"x0x1x2x3x4x5x6x7x8x9"))),OR(9&gt;LEN(L900),MID(L900,9,1)=".",ISNUMBER(FIND("x"&amp;MID(L900,9,1),"x0x1x2x3x4x5x6x7x8x9"))),OR(10&gt;LEN(L900),MID(L900,10,1)=".",ISNUMBER(FIND("x"&amp;MID(L900,10,1),"x0x1x2x3x4x5x6x7x8x9"))),OR(AND(FIND(".",L900)=5,LEN(L900)-FIND(".",L900,FIND(".",L900)+1)&gt;=1,LEN(L900)-FIND(".",L900,FIND(".",L900)+1)&lt;=2),AND(LEN(L900)-FIND(".",L900,FIND(".",L900)+1)=4,FIND(".",L900)&gt;=2,FIND(".",L900)&lt;=3)),FIND(".",L900,FIND(".",L900)+1)-FIND(".",L900)&gt;=2,FIND(".",L900,FIND(".",L900)+1)-FIND(".",L900)&lt;=3,P900&gt;=2000,P900&lt;=2100,YEAR(S900)=P900,MONTH(S900)=Q900,DAY(S900)=R900),S900,0)),0)</ns0:f>
        <ns0:v>0</ns0:v>
      </ns0:c>
      <ns0:c r="U900" s="0" t="str">
        <ns0:f>IF(Bookings!C900="","Full day",Bookings!C900)</ns0:f>
        <ns0:v>Full day</ns0:v>
      </ns0:c>
      <ns0:c r="V900" s="0" t="str">
        <ns0:f>IF(Bookings!E900="","Full day",Bookings!E900)</ns0:f>
        <ns0:v>Full day</ns0:v>
      </ns0:c>
      <ns0:c r="W900" s="0">
        <ns0:f>IF(J900=0,0,J900+IF(U900="PM",1,0))</ns0:f>
        <ns0:v>0</ns0:v>
      </ns0:c>
      <ns0:c r="X900" s="0">
        <ns0:f>IF(T900=0,0,T900-IF(V900="PM",1,0))</ns0:f>
        <ns0:v>0</ns0:v>
      </ns0:c>
      <ns0:c r="Y900" s="0">
        <ns0:f>IF(J900=0,0,J900+IF(U900="AM",1,0))</ns0:f>
        <ns0:v>0</ns0:v>
      </ns0:c>
      <ns0:c r="Z900" s="0">
        <ns0:f>IF(T900=0,0,T900-IF(V900="AM",1,0))</ns0:f>
        <ns0:v>0</ns0:v>
      </ns0:c>
      <ns0:c r="AA900" s="0">
        <ns0:f>IFERROR(IF(AND(J900&gt;0,'_Engine'!C900&gt;0,MID('_Engine'!W900,WEEKDAY(J900,2),1)="W",COUNTIF(Settings!$F$18:$F$67,J900)=0),1,0),0)</ns0:f>
        <ns0:v>0</ns0:v>
      </ns0:c>
      <ns0:c r="AB900" s="0">
        <ns0:f>IFERROR(IF(AND(T900&gt;0,'_Engine'!C900&gt;0,MID('_Engine'!W900,WEEKDAY(T900,2),1)="W",COUNTIF(Settings!$F$18:$F$67,T900)=0),1,0),0)</ns0:f>
        <ns0:v>0</ns0:v>
      </ns0:c>
      <ns0:c r="AC900" s="0">
        <ns0:f>IF(AND(J900&gt;0,T900&gt;0,W900&lt;=X900),1,0)</ns0:f>
        <ns0:v>0</ns0:v>
      </ns0:c>
      <ns0:c r="AD900" s="0">
        <ns0:f>IF(AND(J900&gt;0,T900&gt;0,Y900&lt;=Z900),1,0)</ns0:f>
        <ns0:v>0</ns0:v>
      </ns0:c>
    </ns0:row>
    <ns0:row r="901">
      <ns0:c r="A901" s="0">
        <ns0:f>IFERROR(IF(ISNUMBER(Bookings!B901),"",TRIM(Bookings!B901&amp;"")),"")</ns0:f>
      </ns0:c>
      <ns0:c r="B901" s="0">
        <ns0:f>IFERROR(SUBSTITUTE(SUBSTITUTE(A901,"/","."),"-","."),"")</ns0:f>
      </ns0:c>
      <ns0:c r="C901" s="0">
        <ns0:f>IFERROR(LEFT(B901,FIND(".",B901)-1),"")</ns0:f>
      </ns0:c>
      <ns0:c r="D901" s="0">
        <ns0:f>IFERROR(MID(B901,FIND(".",B901)+1,FIND(".",B901,FIND(".",B901)+1)-FIND(".",B901)-1),"")</ns0:f>
      </ns0:c>
      <ns0:c r="E901" s="0">
        <ns0:f>IFERROR(MID(B901,FIND(".",B901,FIND(".",B901)+1)+1,99),"")</ns0:f>
        <ns0:v>99</ns0:v>
      </ns0:c>
      <ns0:c r="F901" s="0">
        <ns0:f>IFERROR(IF(FIND(".",B901)=5,--C901,--E901),0)</ns0:f>
        <ns0:v>0</ns0:v>
      </ns0:c>
      <ns0:c r="G901" s="0">
        <ns0:f>IFERROR(--D901,0)</ns0:f>
        <ns0:v>0</ns0:v>
      </ns0:c>
      <ns0:c r="H901" s="0">
        <ns0:f>IFERROR(IF(FIND(".",B901)=5,--E901,--C901),0)</ns0:f>
        <ns0:v>0</ns0:v>
      </ns0:c>
      <ns0:c r="I901" s="0">
        <ns0:f>IFERROR(IF(AND(F901&gt;=2000,F901&lt;=2100,G901&gt;=1,G901&lt;=12,H901&gt;=1,H901&lt;=31),DATE(F901,G901,H901),0),0)</ns0:f>
        <ns0:v>0</ns0:v>
      </ns0:c>
      <ns0:c r="J901" s="0">
        <ns0:f>IFERROR(IF(ISNUMBER(Bookings!B901),IF(AND(Bookings!B901=INT(Bookings!B901),Bookings!B901&gt;=DATE(2000,1,1),Bookings!B901&lt;=DATE(2100,12,31)),Bookings!B901,0),IF(AND(A901&lt;&gt;"",LEN("x"&amp;B901)-LEN(SUBSTITUTE("x"&amp;B901,".",""))=2,OR(1&gt;LEN(B901),MID(B901,1,1)=".",ISNUMBER(FIND("x"&amp;MID(B901,1,1),"x0x1x2x3x4x5x6x7x8x9"))),OR(2&gt;LEN(B901),MID(B901,2,1)=".",ISNUMBER(FIND("x"&amp;MID(B901,2,1),"x0x1x2x3x4x5x6x7x8x9"))),OR(3&gt;LEN(B901),MID(B901,3,1)=".",ISNUMBER(FIND("x"&amp;MID(B901,3,1),"x0x1x2x3x4x5x6x7x8x9"))),OR(4&gt;LEN(B901),MID(B901,4,1)=".",ISNUMBER(FIND("x"&amp;MID(B901,4,1),"x0x1x2x3x4x5x6x7x8x9"))),OR(5&gt;LEN(B901),MID(B901,5,1)=".",ISNUMBER(FIND("x"&amp;MID(B901,5,1),"x0x1x2x3x4x5x6x7x8x9"))),OR(6&gt;LEN(B901),MID(B901,6,1)=".",ISNUMBER(FIND("x"&amp;MID(B901,6,1),"x0x1x2x3x4x5x6x7x8x9"))),OR(7&gt;LEN(B901),MID(B901,7,1)=".",ISNUMBER(FIND("x"&amp;MID(B901,7,1),"x0x1x2x3x4x5x6x7x8x9"))),OR(8&gt;LEN(B901),MID(B901,8,1)=".",ISNUMBER(FIND("x"&amp;MID(B901,8,1),"x0x1x2x3x4x5x6x7x8x9"))),OR(9&gt;LEN(B901),MID(B901,9,1)=".",ISNUMBER(FIND("x"&amp;MID(B901,9,1),"x0x1x2x3x4x5x6x7x8x9"))),OR(10&gt;LEN(B901),MID(B901,10,1)=".",ISNUMBER(FIND("x"&amp;MID(B901,10,1),"x0x1x2x3x4x5x6x7x8x9"))),OR(AND(FIND(".",B901)=5,LEN(B901)-FIND(".",B901,FIND(".",B901)+1)&gt;=1,LEN(B901)-FIND(".",B901,FIND(".",B901)+1)&lt;=2),AND(LEN(B901)-FIND(".",B901,FIND(".",B901)+1)=4,FIND(".",B901)&gt;=2,FIND(".",B901)&lt;=3)),FIND(".",B901,FIND(".",B901)+1)-FIND(".",B901)&gt;=2,FIND(".",B901,FIND(".",B901)+1)-FIND(".",B901)&lt;=3,F901&gt;=2000,F901&lt;=2100,YEAR(I901)=F901,MONTH(I901)=G901,DAY(I901)=H901),I901,0)),0)</ns0:f>
        <ns0:v>0</ns0:v>
      </ns0:c>
      <ns0:c r="K901" s="0">
        <ns0:f>IFERROR(IF(ISNUMBER(Bookings!D901),"",TRIM(Bookings!D901&amp;"")),"")</ns0:f>
      </ns0:c>
      <ns0:c r="L901" s="0">
        <ns0:f>IFERROR(SUBSTITUTE(SUBSTITUTE(K901,"/","."),"-","."),"")</ns0:f>
      </ns0:c>
      <ns0:c r="M901" s="0">
        <ns0:f>IFERROR(LEFT(L901,FIND(".",L901)-1),"")</ns0:f>
      </ns0:c>
      <ns0:c r="N901" s="0">
        <ns0:f>IFERROR(MID(L901,FIND(".",L901)+1,FIND(".",L901,FIND(".",L901)+1)-FIND(".",L901)-1),"")</ns0:f>
      </ns0:c>
      <ns0:c r="O901" s="0">
        <ns0:f>IFERROR(MID(L901,FIND(".",L901,FIND(".",L901)+1)+1,99),"")</ns0:f>
        <ns0:v>99</ns0:v>
      </ns0:c>
      <ns0:c r="P901" s="0">
        <ns0:f>IFERROR(IF(FIND(".",L901)=5,--M901,--O901),0)</ns0:f>
        <ns0:v>0</ns0:v>
      </ns0:c>
      <ns0:c r="Q901" s="0">
        <ns0:f>IFERROR(--N901,0)</ns0:f>
        <ns0:v>0</ns0:v>
      </ns0:c>
      <ns0:c r="R901" s="0">
        <ns0:f>IFERROR(IF(FIND(".",L901)=5,--O901,--M901),0)</ns0:f>
        <ns0:v>0</ns0:v>
      </ns0:c>
      <ns0:c r="S901" s="0">
        <ns0:f>IFERROR(IF(AND(P901&gt;=2000,P901&lt;=2100,Q901&gt;=1,Q901&lt;=12,R901&gt;=1,R901&lt;=31),DATE(P901,Q901,R901),0),0)</ns0:f>
        <ns0:v>0</ns0:v>
      </ns0:c>
      <ns0:c r="T901" s="0">
        <ns0:f>IFERROR(IF(ISNUMBER(Bookings!D901),IF(AND(Bookings!D901=INT(Bookings!D901),Bookings!D901&gt;=DATE(2000,1,1),Bookings!D901&lt;=DATE(2100,12,31)),Bookings!D901,0),IF(AND(K901&lt;&gt;"",LEN("x"&amp;L901)-LEN(SUBSTITUTE("x"&amp;L901,".",""))=2,OR(1&gt;LEN(L901),MID(L901,1,1)=".",ISNUMBER(FIND("x"&amp;MID(L901,1,1),"x0x1x2x3x4x5x6x7x8x9"))),OR(2&gt;LEN(L901),MID(L901,2,1)=".",ISNUMBER(FIND("x"&amp;MID(L901,2,1),"x0x1x2x3x4x5x6x7x8x9"))),OR(3&gt;LEN(L901),MID(L901,3,1)=".",ISNUMBER(FIND("x"&amp;MID(L901,3,1),"x0x1x2x3x4x5x6x7x8x9"))),OR(4&gt;LEN(L901),MID(L901,4,1)=".",ISNUMBER(FIND("x"&amp;MID(L901,4,1),"x0x1x2x3x4x5x6x7x8x9"))),OR(5&gt;LEN(L901),MID(L901,5,1)=".",ISNUMBER(FIND("x"&amp;MID(L901,5,1),"x0x1x2x3x4x5x6x7x8x9"))),OR(6&gt;LEN(L901),MID(L901,6,1)=".",ISNUMBER(FIND("x"&amp;MID(L901,6,1),"x0x1x2x3x4x5x6x7x8x9"))),OR(7&gt;LEN(L901),MID(L901,7,1)=".",ISNUMBER(FIND("x"&amp;MID(L901,7,1),"x0x1x2x3x4x5x6x7x8x9"))),OR(8&gt;LEN(L901),MID(L901,8,1)=".",ISNUMBER(FIND("x"&amp;MID(L901,8,1),"x0x1x2x3x4x5x6x7x8x9"))),OR(9&gt;LEN(L901),MID(L901,9,1)=".",ISNUMBER(FIND("x"&amp;MID(L901,9,1),"x0x1x2x3x4x5x6x7x8x9"))),OR(10&gt;LEN(L901),MID(L901,10,1)=".",ISNUMBER(FIND("x"&amp;MID(L901,10,1),"x0x1x2x3x4x5x6x7x8x9"))),OR(AND(FIND(".",L901)=5,LEN(L901)-FIND(".",L901,FIND(".",L901)+1)&gt;=1,LEN(L901)-FIND(".",L901,FIND(".",L901)+1)&lt;=2),AND(LEN(L901)-FIND(".",L901,FIND(".",L901)+1)=4,FIND(".",L901)&gt;=2,FIND(".",L901)&lt;=3)),FIND(".",L901,FIND(".",L901)+1)-FIND(".",L901)&gt;=2,FIND(".",L901,FIND(".",L901)+1)-FIND(".",L901)&lt;=3,P901&gt;=2000,P901&lt;=2100,YEAR(S901)=P901,MONTH(S901)=Q901,DAY(S901)=R901),S901,0)),0)</ns0:f>
        <ns0:v>0</ns0:v>
      </ns0:c>
      <ns0:c r="U901" s="0" t="str">
        <ns0:f>IF(Bookings!C901="","Full day",Bookings!C901)</ns0:f>
        <ns0:v>Full day</ns0:v>
      </ns0:c>
      <ns0:c r="V901" s="0" t="str">
        <ns0:f>IF(Bookings!E901="","Full day",Bookings!E901)</ns0:f>
        <ns0:v>Full day</ns0:v>
      </ns0:c>
      <ns0:c r="W901" s="0">
        <ns0:f>IF(J901=0,0,J901+IF(U901="PM",1,0))</ns0:f>
        <ns0:v>0</ns0:v>
      </ns0:c>
      <ns0:c r="X901" s="0">
        <ns0:f>IF(T901=0,0,T901-IF(V901="PM",1,0))</ns0:f>
        <ns0:v>0</ns0:v>
      </ns0:c>
      <ns0:c r="Y901" s="0">
        <ns0:f>IF(J901=0,0,J901+IF(U901="AM",1,0))</ns0:f>
        <ns0:v>0</ns0:v>
      </ns0:c>
      <ns0:c r="Z901" s="0">
        <ns0:f>IF(T901=0,0,T901-IF(V901="AM",1,0))</ns0:f>
        <ns0:v>0</ns0:v>
      </ns0:c>
      <ns0:c r="AA901" s="0">
        <ns0:f>IFERROR(IF(AND(J901&gt;0,'_Engine'!C901&gt;0,MID('_Engine'!W901,WEEKDAY(J901,2),1)="W",COUNTIF(Settings!$F$18:$F$67,J901)=0),1,0),0)</ns0:f>
        <ns0:v>0</ns0:v>
      </ns0:c>
      <ns0:c r="AB901" s="0">
        <ns0:f>IFERROR(IF(AND(T901&gt;0,'_Engine'!C901&gt;0,MID('_Engine'!W901,WEEKDAY(T901,2),1)="W",COUNTIF(Settings!$F$18:$F$67,T901)=0),1,0),0)</ns0:f>
        <ns0:v>0</ns0:v>
      </ns0:c>
      <ns0:c r="AC901" s="0">
        <ns0:f>IF(AND(J901&gt;0,T901&gt;0,W901&lt;=X901),1,0)</ns0:f>
        <ns0:v>0</ns0:v>
      </ns0:c>
      <ns0:c r="AD901" s="0">
        <ns0:f>IF(AND(J901&gt;0,T901&gt;0,Y901&lt;=Z901),1,0)</ns0:f>
        <ns0:v>0</ns0:v>
      </ns0:c>
    </ns0:row>
    <ns0:row r="902">
      <ns0:c r="A902" s="0">
        <ns0:f>IFERROR(IF(ISNUMBER(Bookings!B902),"",TRIM(Bookings!B902&amp;"")),"")</ns0:f>
      </ns0:c>
      <ns0:c r="B902" s="0">
        <ns0:f>IFERROR(SUBSTITUTE(SUBSTITUTE(A902,"/","."),"-","."),"")</ns0:f>
      </ns0:c>
      <ns0:c r="C902" s="0">
        <ns0:f>IFERROR(LEFT(B902,FIND(".",B902)-1),"")</ns0:f>
      </ns0:c>
      <ns0:c r="D902" s="0">
        <ns0:f>IFERROR(MID(B902,FIND(".",B902)+1,FIND(".",B902,FIND(".",B902)+1)-FIND(".",B902)-1),"")</ns0:f>
      </ns0:c>
      <ns0:c r="E902" s="0">
        <ns0:f>IFERROR(MID(B902,FIND(".",B902,FIND(".",B902)+1)+1,99),"")</ns0:f>
        <ns0:v>99</ns0:v>
      </ns0:c>
      <ns0:c r="F902" s="0">
        <ns0:f>IFERROR(IF(FIND(".",B902)=5,--C902,--E902),0)</ns0:f>
        <ns0:v>0</ns0:v>
      </ns0:c>
      <ns0:c r="G902" s="0">
        <ns0:f>IFERROR(--D902,0)</ns0:f>
        <ns0:v>0</ns0:v>
      </ns0:c>
      <ns0:c r="H902" s="0">
        <ns0:f>IFERROR(IF(FIND(".",B902)=5,--E902,--C902),0)</ns0:f>
        <ns0:v>0</ns0:v>
      </ns0:c>
      <ns0:c r="I902" s="0">
        <ns0:f>IFERROR(IF(AND(F902&gt;=2000,F902&lt;=2100,G902&gt;=1,G902&lt;=12,H902&gt;=1,H902&lt;=31),DATE(F902,G902,H902),0),0)</ns0:f>
        <ns0:v>0</ns0:v>
      </ns0:c>
      <ns0:c r="J902" s="0">
        <ns0:f>IFERROR(IF(ISNUMBER(Bookings!B902),IF(AND(Bookings!B902=INT(Bookings!B902),Bookings!B902&gt;=DATE(2000,1,1),Bookings!B902&lt;=DATE(2100,12,31)),Bookings!B902,0),IF(AND(A902&lt;&gt;"",LEN("x"&amp;B902)-LEN(SUBSTITUTE("x"&amp;B902,".",""))=2,OR(1&gt;LEN(B902),MID(B902,1,1)=".",ISNUMBER(FIND("x"&amp;MID(B902,1,1),"x0x1x2x3x4x5x6x7x8x9"))),OR(2&gt;LEN(B902),MID(B902,2,1)=".",ISNUMBER(FIND("x"&amp;MID(B902,2,1),"x0x1x2x3x4x5x6x7x8x9"))),OR(3&gt;LEN(B902),MID(B902,3,1)=".",ISNUMBER(FIND("x"&amp;MID(B902,3,1),"x0x1x2x3x4x5x6x7x8x9"))),OR(4&gt;LEN(B902),MID(B902,4,1)=".",ISNUMBER(FIND("x"&amp;MID(B902,4,1),"x0x1x2x3x4x5x6x7x8x9"))),OR(5&gt;LEN(B902),MID(B902,5,1)=".",ISNUMBER(FIND("x"&amp;MID(B902,5,1),"x0x1x2x3x4x5x6x7x8x9"))),OR(6&gt;LEN(B902),MID(B902,6,1)=".",ISNUMBER(FIND("x"&amp;MID(B902,6,1),"x0x1x2x3x4x5x6x7x8x9"))),OR(7&gt;LEN(B902),MID(B902,7,1)=".",ISNUMBER(FIND("x"&amp;MID(B902,7,1),"x0x1x2x3x4x5x6x7x8x9"))),OR(8&gt;LEN(B902),MID(B902,8,1)=".",ISNUMBER(FIND("x"&amp;MID(B902,8,1),"x0x1x2x3x4x5x6x7x8x9"))),OR(9&gt;LEN(B902),MID(B902,9,1)=".",ISNUMBER(FIND("x"&amp;MID(B902,9,1),"x0x1x2x3x4x5x6x7x8x9"))),OR(10&gt;LEN(B902),MID(B902,10,1)=".",ISNUMBER(FIND("x"&amp;MID(B902,10,1),"x0x1x2x3x4x5x6x7x8x9"))),OR(AND(FIND(".",B902)=5,LEN(B902)-FIND(".",B902,FIND(".",B902)+1)&gt;=1,LEN(B902)-FIND(".",B902,FIND(".",B902)+1)&lt;=2),AND(LEN(B902)-FIND(".",B902,FIND(".",B902)+1)=4,FIND(".",B902)&gt;=2,FIND(".",B902)&lt;=3)),FIND(".",B902,FIND(".",B902)+1)-FIND(".",B902)&gt;=2,FIND(".",B902,FIND(".",B902)+1)-FIND(".",B902)&lt;=3,F902&gt;=2000,F902&lt;=2100,YEAR(I902)=F902,MONTH(I902)=G902,DAY(I902)=H902),I902,0)),0)</ns0:f>
        <ns0:v>0</ns0:v>
      </ns0:c>
      <ns0:c r="K902" s="0">
        <ns0:f>IFERROR(IF(ISNUMBER(Bookings!D902),"",TRIM(Bookings!D902&amp;"")),"")</ns0:f>
      </ns0:c>
      <ns0:c r="L902" s="0">
        <ns0:f>IFERROR(SUBSTITUTE(SUBSTITUTE(K902,"/","."),"-","."),"")</ns0:f>
      </ns0:c>
      <ns0:c r="M902" s="0">
        <ns0:f>IFERROR(LEFT(L902,FIND(".",L902)-1),"")</ns0:f>
      </ns0:c>
      <ns0:c r="N902" s="0">
        <ns0:f>IFERROR(MID(L902,FIND(".",L902)+1,FIND(".",L902,FIND(".",L902)+1)-FIND(".",L902)-1),"")</ns0:f>
      </ns0:c>
      <ns0:c r="O902" s="0">
        <ns0:f>IFERROR(MID(L902,FIND(".",L902,FIND(".",L902)+1)+1,99),"")</ns0:f>
        <ns0:v>99</ns0:v>
      </ns0:c>
      <ns0:c r="P902" s="0">
        <ns0:f>IFERROR(IF(FIND(".",L902)=5,--M902,--O902),0)</ns0:f>
        <ns0:v>0</ns0:v>
      </ns0:c>
      <ns0:c r="Q902" s="0">
        <ns0:f>IFERROR(--N902,0)</ns0:f>
        <ns0:v>0</ns0:v>
      </ns0:c>
      <ns0:c r="R902" s="0">
        <ns0:f>IFERROR(IF(FIND(".",L902)=5,--O902,--M902),0)</ns0:f>
        <ns0:v>0</ns0:v>
      </ns0:c>
      <ns0:c r="S902" s="0">
        <ns0:f>IFERROR(IF(AND(P902&gt;=2000,P902&lt;=2100,Q902&gt;=1,Q902&lt;=12,R902&gt;=1,R902&lt;=31),DATE(P902,Q902,R902),0),0)</ns0:f>
        <ns0:v>0</ns0:v>
      </ns0:c>
      <ns0:c r="T902" s="0">
        <ns0:f>IFERROR(IF(ISNUMBER(Bookings!D902),IF(AND(Bookings!D902=INT(Bookings!D902),Bookings!D902&gt;=DATE(2000,1,1),Bookings!D902&lt;=DATE(2100,12,31)),Bookings!D902,0),IF(AND(K902&lt;&gt;"",LEN("x"&amp;L902)-LEN(SUBSTITUTE("x"&amp;L902,".",""))=2,OR(1&gt;LEN(L902),MID(L902,1,1)=".",ISNUMBER(FIND("x"&amp;MID(L902,1,1),"x0x1x2x3x4x5x6x7x8x9"))),OR(2&gt;LEN(L902),MID(L902,2,1)=".",ISNUMBER(FIND("x"&amp;MID(L902,2,1),"x0x1x2x3x4x5x6x7x8x9"))),OR(3&gt;LEN(L902),MID(L902,3,1)=".",ISNUMBER(FIND("x"&amp;MID(L902,3,1),"x0x1x2x3x4x5x6x7x8x9"))),OR(4&gt;LEN(L902),MID(L902,4,1)=".",ISNUMBER(FIND("x"&amp;MID(L902,4,1),"x0x1x2x3x4x5x6x7x8x9"))),OR(5&gt;LEN(L902),MID(L902,5,1)=".",ISNUMBER(FIND("x"&amp;MID(L902,5,1),"x0x1x2x3x4x5x6x7x8x9"))),OR(6&gt;LEN(L902),MID(L902,6,1)=".",ISNUMBER(FIND("x"&amp;MID(L902,6,1),"x0x1x2x3x4x5x6x7x8x9"))),OR(7&gt;LEN(L902),MID(L902,7,1)=".",ISNUMBER(FIND("x"&amp;MID(L902,7,1),"x0x1x2x3x4x5x6x7x8x9"))),OR(8&gt;LEN(L902),MID(L902,8,1)=".",ISNUMBER(FIND("x"&amp;MID(L902,8,1),"x0x1x2x3x4x5x6x7x8x9"))),OR(9&gt;LEN(L902),MID(L902,9,1)=".",ISNUMBER(FIND("x"&amp;MID(L902,9,1),"x0x1x2x3x4x5x6x7x8x9"))),OR(10&gt;LEN(L902),MID(L902,10,1)=".",ISNUMBER(FIND("x"&amp;MID(L902,10,1),"x0x1x2x3x4x5x6x7x8x9"))),OR(AND(FIND(".",L902)=5,LEN(L902)-FIND(".",L902,FIND(".",L902)+1)&gt;=1,LEN(L902)-FIND(".",L902,FIND(".",L902)+1)&lt;=2),AND(LEN(L902)-FIND(".",L902,FIND(".",L902)+1)=4,FIND(".",L902)&gt;=2,FIND(".",L902)&lt;=3)),FIND(".",L902,FIND(".",L902)+1)-FIND(".",L902)&gt;=2,FIND(".",L902,FIND(".",L902)+1)-FIND(".",L902)&lt;=3,P902&gt;=2000,P902&lt;=2100,YEAR(S902)=P902,MONTH(S902)=Q902,DAY(S902)=R902),S902,0)),0)</ns0:f>
        <ns0:v>0</ns0:v>
      </ns0:c>
      <ns0:c r="U902" s="0" t="str">
        <ns0:f>IF(Bookings!C902="","Full day",Bookings!C902)</ns0:f>
        <ns0:v>Full day</ns0:v>
      </ns0:c>
      <ns0:c r="V902" s="0" t="str">
        <ns0:f>IF(Bookings!E902="","Full day",Bookings!E902)</ns0:f>
        <ns0:v>Full day</ns0:v>
      </ns0:c>
      <ns0:c r="W902" s="0">
        <ns0:f>IF(J902=0,0,J902+IF(U902="PM",1,0))</ns0:f>
        <ns0:v>0</ns0:v>
      </ns0:c>
      <ns0:c r="X902" s="0">
        <ns0:f>IF(T902=0,0,T902-IF(V902="PM",1,0))</ns0:f>
        <ns0:v>0</ns0:v>
      </ns0:c>
      <ns0:c r="Y902" s="0">
        <ns0:f>IF(J902=0,0,J902+IF(U902="AM",1,0))</ns0:f>
        <ns0:v>0</ns0:v>
      </ns0:c>
      <ns0:c r="Z902" s="0">
        <ns0:f>IF(T902=0,0,T902-IF(V902="AM",1,0))</ns0:f>
        <ns0:v>0</ns0:v>
      </ns0:c>
      <ns0:c r="AA902" s="0">
        <ns0:f>IFERROR(IF(AND(J902&gt;0,'_Engine'!C902&gt;0,MID('_Engine'!W902,WEEKDAY(J902,2),1)="W",COUNTIF(Settings!$F$18:$F$67,J902)=0),1,0),0)</ns0:f>
        <ns0:v>0</ns0:v>
      </ns0:c>
      <ns0:c r="AB902" s="0">
        <ns0:f>IFERROR(IF(AND(T902&gt;0,'_Engine'!C902&gt;0,MID('_Engine'!W902,WEEKDAY(T902,2),1)="W",COUNTIF(Settings!$F$18:$F$67,T902)=0),1,0),0)</ns0:f>
        <ns0:v>0</ns0:v>
      </ns0:c>
      <ns0:c r="AC902" s="0">
        <ns0:f>IF(AND(J902&gt;0,T902&gt;0,W902&lt;=X902),1,0)</ns0:f>
        <ns0:v>0</ns0:v>
      </ns0:c>
      <ns0:c r="AD902" s="0">
        <ns0:f>IF(AND(J902&gt;0,T902&gt;0,Y902&lt;=Z902),1,0)</ns0:f>
        <ns0:v>0</ns0:v>
      </ns0:c>
    </ns0:row>
    <ns0:row r="903">
      <ns0:c r="A903" s="0">
        <ns0:f>IFERROR(IF(ISNUMBER(Bookings!B903),"",TRIM(Bookings!B903&amp;"")),"")</ns0:f>
      </ns0:c>
      <ns0:c r="B903" s="0">
        <ns0:f>IFERROR(SUBSTITUTE(SUBSTITUTE(A903,"/","."),"-","."),"")</ns0:f>
      </ns0:c>
      <ns0:c r="C903" s="0">
        <ns0:f>IFERROR(LEFT(B903,FIND(".",B903)-1),"")</ns0:f>
      </ns0:c>
      <ns0:c r="D903" s="0">
        <ns0:f>IFERROR(MID(B903,FIND(".",B903)+1,FIND(".",B903,FIND(".",B903)+1)-FIND(".",B903)-1),"")</ns0:f>
      </ns0:c>
      <ns0:c r="E903" s="0">
        <ns0:f>IFERROR(MID(B903,FIND(".",B903,FIND(".",B903)+1)+1,99),"")</ns0:f>
        <ns0:v>99</ns0:v>
      </ns0:c>
      <ns0:c r="F903" s="0">
        <ns0:f>IFERROR(IF(FIND(".",B903)=5,--C903,--E903),0)</ns0:f>
        <ns0:v>0</ns0:v>
      </ns0:c>
      <ns0:c r="G903" s="0">
        <ns0:f>IFERROR(--D903,0)</ns0:f>
        <ns0:v>0</ns0:v>
      </ns0:c>
      <ns0:c r="H903" s="0">
        <ns0:f>IFERROR(IF(FIND(".",B903)=5,--E903,--C903),0)</ns0:f>
        <ns0:v>0</ns0:v>
      </ns0:c>
      <ns0:c r="I903" s="0">
        <ns0:f>IFERROR(IF(AND(F903&gt;=2000,F903&lt;=2100,G903&gt;=1,G903&lt;=12,H903&gt;=1,H903&lt;=31),DATE(F903,G903,H903),0),0)</ns0:f>
        <ns0:v>0</ns0:v>
      </ns0:c>
      <ns0:c r="J903" s="0">
        <ns0:f>IFERROR(IF(ISNUMBER(Bookings!B903),IF(AND(Bookings!B903=INT(Bookings!B903),Bookings!B903&gt;=DATE(2000,1,1),Bookings!B903&lt;=DATE(2100,12,31)),Bookings!B903,0),IF(AND(A903&lt;&gt;"",LEN("x"&amp;B903)-LEN(SUBSTITUTE("x"&amp;B903,".",""))=2,OR(1&gt;LEN(B903),MID(B903,1,1)=".",ISNUMBER(FIND("x"&amp;MID(B903,1,1),"x0x1x2x3x4x5x6x7x8x9"))),OR(2&gt;LEN(B903),MID(B903,2,1)=".",ISNUMBER(FIND("x"&amp;MID(B903,2,1),"x0x1x2x3x4x5x6x7x8x9"))),OR(3&gt;LEN(B903),MID(B903,3,1)=".",ISNUMBER(FIND("x"&amp;MID(B903,3,1),"x0x1x2x3x4x5x6x7x8x9"))),OR(4&gt;LEN(B903),MID(B903,4,1)=".",ISNUMBER(FIND("x"&amp;MID(B903,4,1),"x0x1x2x3x4x5x6x7x8x9"))),OR(5&gt;LEN(B903),MID(B903,5,1)=".",ISNUMBER(FIND("x"&amp;MID(B903,5,1),"x0x1x2x3x4x5x6x7x8x9"))),OR(6&gt;LEN(B903),MID(B903,6,1)=".",ISNUMBER(FIND("x"&amp;MID(B903,6,1),"x0x1x2x3x4x5x6x7x8x9"))),OR(7&gt;LEN(B903),MID(B903,7,1)=".",ISNUMBER(FIND("x"&amp;MID(B903,7,1),"x0x1x2x3x4x5x6x7x8x9"))),OR(8&gt;LEN(B903),MID(B903,8,1)=".",ISNUMBER(FIND("x"&amp;MID(B903,8,1),"x0x1x2x3x4x5x6x7x8x9"))),OR(9&gt;LEN(B903),MID(B903,9,1)=".",ISNUMBER(FIND("x"&amp;MID(B903,9,1),"x0x1x2x3x4x5x6x7x8x9"))),OR(10&gt;LEN(B903),MID(B903,10,1)=".",ISNUMBER(FIND("x"&amp;MID(B903,10,1),"x0x1x2x3x4x5x6x7x8x9"))),OR(AND(FIND(".",B903)=5,LEN(B903)-FIND(".",B903,FIND(".",B903)+1)&gt;=1,LEN(B903)-FIND(".",B903,FIND(".",B903)+1)&lt;=2),AND(LEN(B903)-FIND(".",B903,FIND(".",B903)+1)=4,FIND(".",B903)&gt;=2,FIND(".",B903)&lt;=3)),FIND(".",B903,FIND(".",B903)+1)-FIND(".",B903)&gt;=2,FIND(".",B903,FIND(".",B903)+1)-FIND(".",B903)&lt;=3,F903&gt;=2000,F903&lt;=2100,YEAR(I903)=F903,MONTH(I903)=G903,DAY(I903)=H903),I903,0)),0)</ns0:f>
        <ns0:v>0</ns0:v>
      </ns0:c>
      <ns0:c r="K903" s="0">
        <ns0:f>IFERROR(IF(ISNUMBER(Bookings!D903),"",TRIM(Bookings!D903&amp;"")),"")</ns0:f>
      </ns0:c>
      <ns0:c r="L903" s="0">
        <ns0:f>IFERROR(SUBSTITUTE(SUBSTITUTE(K903,"/","."),"-","."),"")</ns0:f>
      </ns0:c>
      <ns0:c r="M903" s="0">
        <ns0:f>IFERROR(LEFT(L903,FIND(".",L903)-1),"")</ns0:f>
      </ns0:c>
      <ns0:c r="N903" s="0">
        <ns0:f>IFERROR(MID(L903,FIND(".",L903)+1,FIND(".",L903,FIND(".",L903)+1)-FIND(".",L903)-1),"")</ns0:f>
      </ns0:c>
      <ns0:c r="O903" s="0">
        <ns0:f>IFERROR(MID(L903,FIND(".",L903,FIND(".",L903)+1)+1,99),"")</ns0:f>
        <ns0:v>99</ns0:v>
      </ns0:c>
      <ns0:c r="P903" s="0">
        <ns0:f>IFERROR(IF(FIND(".",L903)=5,--M903,--O903),0)</ns0:f>
        <ns0:v>0</ns0:v>
      </ns0:c>
      <ns0:c r="Q903" s="0">
        <ns0:f>IFERROR(--N903,0)</ns0:f>
        <ns0:v>0</ns0:v>
      </ns0:c>
      <ns0:c r="R903" s="0">
        <ns0:f>IFERROR(IF(FIND(".",L903)=5,--O903,--M903),0)</ns0:f>
        <ns0:v>0</ns0:v>
      </ns0:c>
      <ns0:c r="S903" s="0">
        <ns0:f>IFERROR(IF(AND(P903&gt;=2000,P903&lt;=2100,Q903&gt;=1,Q903&lt;=12,R903&gt;=1,R903&lt;=31),DATE(P903,Q903,R903),0),0)</ns0:f>
        <ns0:v>0</ns0:v>
      </ns0:c>
      <ns0:c r="T903" s="0">
        <ns0:f>IFERROR(IF(ISNUMBER(Bookings!D903),IF(AND(Bookings!D903=INT(Bookings!D903),Bookings!D903&gt;=DATE(2000,1,1),Bookings!D903&lt;=DATE(2100,12,31)),Bookings!D903,0),IF(AND(K903&lt;&gt;"",LEN("x"&amp;L903)-LEN(SUBSTITUTE("x"&amp;L903,".",""))=2,OR(1&gt;LEN(L903),MID(L903,1,1)=".",ISNUMBER(FIND("x"&amp;MID(L903,1,1),"x0x1x2x3x4x5x6x7x8x9"))),OR(2&gt;LEN(L903),MID(L903,2,1)=".",ISNUMBER(FIND("x"&amp;MID(L903,2,1),"x0x1x2x3x4x5x6x7x8x9"))),OR(3&gt;LEN(L903),MID(L903,3,1)=".",ISNUMBER(FIND("x"&amp;MID(L903,3,1),"x0x1x2x3x4x5x6x7x8x9"))),OR(4&gt;LEN(L903),MID(L903,4,1)=".",ISNUMBER(FIND("x"&amp;MID(L903,4,1),"x0x1x2x3x4x5x6x7x8x9"))),OR(5&gt;LEN(L903),MID(L903,5,1)=".",ISNUMBER(FIND("x"&amp;MID(L903,5,1),"x0x1x2x3x4x5x6x7x8x9"))),OR(6&gt;LEN(L903),MID(L903,6,1)=".",ISNUMBER(FIND("x"&amp;MID(L903,6,1),"x0x1x2x3x4x5x6x7x8x9"))),OR(7&gt;LEN(L903),MID(L903,7,1)=".",ISNUMBER(FIND("x"&amp;MID(L903,7,1),"x0x1x2x3x4x5x6x7x8x9"))),OR(8&gt;LEN(L903),MID(L903,8,1)=".",ISNUMBER(FIND("x"&amp;MID(L903,8,1),"x0x1x2x3x4x5x6x7x8x9"))),OR(9&gt;LEN(L903),MID(L903,9,1)=".",ISNUMBER(FIND("x"&amp;MID(L903,9,1),"x0x1x2x3x4x5x6x7x8x9"))),OR(10&gt;LEN(L903),MID(L903,10,1)=".",ISNUMBER(FIND("x"&amp;MID(L903,10,1),"x0x1x2x3x4x5x6x7x8x9"))),OR(AND(FIND(".",L903)=5,LEN(L903)-FIND(".",L903,FIND(".",L903)+1)&gt;=1,LEN(L903)-FIND(".",L903,FIND(".",L903)+1)&lt;=2),AND(LEN(L903)-FIND(".",L903,FIND(".",L903)+1)=4,FIND(".",L903)&gt;=2,FIND(".",L903)&lt;=3)),FIND(".",L903,FIND(".",L903)+1)-FIND(".",L903)&gt;=2,FIND(".",L903,FIND(".",L903)+1)-FIND(".",L903)&lt;=3,P903&gt;=2000,P903&lt;=2100,YEAR(S903)=P903,MONTH(S903)=Q903,DAY(S903)=R903),S903,0)),0)</ns0:f>
        <ns0:v>0</ns0:v>
      </ns0:c>
      <ns0:c r="U903" s="0" t="str">
        <ns0:f>IF(Bookings!C903="","Full day",Bookings!C903)</ns0:f>
        <ns0:v>Full day</ns0:v>
      </ns0:c>
      <ns0:c r="V903" s="0" t="str">
        <ns0:f>IF(Bookings!E903="","Full day",Bookings!E903)</ns0:f>
        <ns0:v>Full day</ns0:v>
      </ns0:c>
      <ns0:c r="W903" s="0">
        <ns0:f>IF(J903=0,0,J903+IF(U903="PM",1,0))</ns0:f>
        <ns0:v>0</ns0:v>
      </ns0:c>
      <ns0:c r="X903" s="0">
        <ns0:f>IF(T903=0,0,T903-IF(V903="PM",1,0))</ns0:f>
        <ns0:v>0</ns0:v>
      </ns0:c>
      <ns0:c r="Y903" s="0">
        <ns0:f>IF(J903=0,0,J903+IF(U903="AM",1,0))</ns0:f>
        <ns0:v>0</ns0:v>
      </ns0:c>
      <ns0:c r="Z903" s="0">
        <ns0:f>IF(T903=0,0,T903-IF(V903="AM",1,0))</ns0:f>
        <ns0:v>0</ns0:v>
      </ns0:c>
      <ns0:c r="AA903" s="0">
        <ns0:f>IFERROR(IF(AND(J903&gt;0,'_Engine'!C903&gt;0,MID('_Engine'!W903,WEEKDAY(J903,2),1)="W",COUNTIF(Settings!$F$18:$F$67,J903)=0),1,0),0)</ns0:f>
        <ns0:v>0</ns0:v>
      </ns0:c>
      <ns0:c r="AB903" s="0">
        <ns0:f>IFERROR(IF(AND(T903&gt;0,'_Engine'!C903&gt;0,MID('_Engine'!W903,WEEKDAY(T903,2),1)="W",COUNTIF(Settings!$F$18:$F$67,T903)=0),1,0),0)</ns0:f>
        <ns0:v>0</ns0:v>
      </ns0:c>
      <ns0:c r="AC903" s="0">
        <ns0:f>IF(AND(J903&gt;0,T903&gt;0,W903&lt;=X903),1,0)</ns0:f>
        <ns0:v>0</ns0:v>
      </ns0:c>
      <ns0:c r="AD903" s="0">
        <ns0:f>IF(AND(J903&gt;0,T903&gt;0,Y903&lt;=Z903),1,0)</ns0:f>
        <ns0:v>0</ns0:v>
      </ns0:c>
    </ns0:row>
    <ns0:row r="904">
      <ns0:c r="A904" s="0">
        <ns0:f>IFERROR(IF(ISNUMBER(Bookings!B904),"",TRIM(Bookings!B904&amp;"")),"")</ns0:f>
      </ns0:c>
      <ns0:c r="B904" s="0">
        <ns0:f>IFERROR(SUBSTITUTE(SUBSTITUTE(A904,"/","."),"-","."),"")</ns0:f>
      </ns0:c>
      <ns0:c r="C904" s="0">
        <ns0:f>IFERROR(LEFT(B904,FIND(".",B904)-1),"")</ns0:f>
      </ns0:c>
      <ns0:c r="D904" s="0">
        <ns0:f>IFERROR(MID(B904,FIND(".",B904)+1,FIND(".",B904,FIND(".",B904)+1)-FIND(".",B904)-1),"")</ns0:f>
      </ns0:c>
      <ns0:c r="E904" s="0">
        <ns0:f>IFERROR(MID(B904,FIND(".",B904,FIND(".",B904)+1)+1,99),"")</ns0:f>
        <ns0:v>99</ns0:v>
      </ns0:c>
      <ns0:c r="F904" s="0">
        <ns0:f>IFERROR(IF(FIND(".",B904)=5,--C904,--E904),0)</ns0:f>
        <ns0:v>0</ns0:v>
      </ns0:c>
      <ns0:c r="G904" s="0">
        <ns0:f>IFERROR(--D904,0)</ns0:f>
        <ns0:v>0</ns0:v>
      </ns0:c>
      <ns0:c r="H904" s="0">
        <ns0:f>IFERROR(IF(FIND(".",B904)=5,--E904,--C904),0)</ns0:f>
        <ns0:v>0</ns0:v>
      </ns0:c>
      <ns0:c r="I904" s="0">
        <ns0:f>IFERROR(IF(AND(F904&gt;=2000,F904&lt;=2100,G904&gt;=1,G904&lt;=12,H904&gt;=1,H904&lt;=31),DATE(F904,G904,H904),0),0)</ns0:f>
        <ns0:v>0</ns0:v>
      </ns0:c>
      <ns0:c r="J904" s="0">
        <ns0:f>IFERROR(IF(ISNUMBER(Bookings!B904),IF(AND(Bookings!B904=INT(Bookings!B904),Bookings!B904&gt;=DATE(2000,1,1),Bookings!B904&lt;=DATE(2100,12,31)),Bookings!B904,0),IF(AND(A904&lt;&gt;"",LEN("x"&amp;B904)-LEN(SUBSTITUTE("x"&amp;B904,".",""))=2,OR(1&gt;LEN(B904),MID(B904,1,1)=".",ISNUMBER(FIND("x"&amp;MID(B904,1,1),"x0x1x2x3x4x5x6x7x8x9"))),OR(2&gt;LEN(B904),MID(B904,2,1)=".",ISNUMBER(FIND("x"&amp;MID(B904,2,1),"x0x1x2x3x4x5x6x7x8x9"))),OR(3&gt;LEN(B904),MID(B904,3,1)=".",ISNUMBER(FIND("x"&amp;MID(B904,3,1),"x0x1x2x3x4x5x6x7x8x9"))),OR(4&gt;LEN(B904),MID(B904,4,1)=".",ISNUMBER(FIND("x"&amp;MID(B904,4,1),"x0x1x2x3x4x5x6x7x8x9"))),OR(5&gt;LEN(B904),MID(B904,5,1)=".",ISNUMBER(FIND("x"&amp;MID(B904,5,1),"x0x1x2x3x4x5x6x7x8x9"))),OR(6&gt;LEN(B904),MID(B904,6,1)=".",ISNUMBER(FIND("x"&amp;MID(B904,6,1),"x0x1x2x3x4x5x6x7x8x9"))),OR(7&gt;LEN(B904),MID(B904,7,1)=".",ISNUMBER(FIND("x"&amp;MID(B904,7,1),"x0x1x2x3x4x5x6x7x8x9"))),OR(8&gt;LEN(B904),MID(B904,8,1)=".",ISNUMBER(FIND("x"&amp;MID(B904,8,1),"x0x1x2x3x4x5x6x7x8x9"))),OR(9&gt;LEN(B904),MID(B904,9,1)=".",ISNUMBER(FIND("x"&amp;MID(B904,9,1),"x0x1x2x3x4x5x6x7x8x9"))),OR(10&gt;LEN(B904),MID(B904,10,1)=".",ISNUMBER(FIND("x"&amp;MID(B904,10,1),"x0x1x2x3x4x5x6x7x8x9"))),OR(AND(FIND(".",B904)=5,LEN(B904)-FIND(".",B904,FIND(".",B904)+1)&gt;=1,LEN(B904)-FIND(".",B904,FIND(".",B904)+1)&lt;=2),AND(LEN(B904)-FIND(".",B904,FIND(".",B904)+1)=4,FIND(".",B904)&gt;=2,FIND(".",B904)&lt;=3)),FIND(".",B904,FIND(".",B904)+1)-FIND(".",B904)&gt;=2,FIND(".",B904,FIND(".",B904)+1)-FIND(".",B904)&lt;=3,F904&gt;=2000,F904&lt;=2100,YEAR(I904)=F904,MONTH(I904)=G904,DAY(I904)=H904),I904,0)),0)</ns0:f>
        <ns0:v>0</ns0:v>
      </ns0:c>
      <ns0:c r="K904" s="0">
        <ns0:f>IFERROR(IF(ISNUMBER(Bookings!D904),"",TRIM(Bookings!D904&amp;"")),"")</ns0:f>
      </ns0:c>
      <ns0:c r="L904" s="0">
        <ns0:f>IFERROR(SUBSTITUTE(SUBSTITUTE(K904,"/","."),"-","."),"")</ns0:f>
      </ns0:c>
      <ns0:c r="M904" s="0">
        <ns0:f>IFERROR(LEFT(L904,FIND(".",L904)-1),"")</ns0:f>
      </ns0:c>
      <ns0:c r="N904" s="0">
        <ns0:f>IFERROR(MID(L904,FIND(".",L904)+1,FIND(".",L904,FIND(".",L904)+1)-FIND(".",L904)-1),"")</ns0:f>
      </ns0:c>
      <ns0:c r="O904" s="0">
        <ns0:f>IFERROR(MID(L904,FIND(".",L904,FIND(".",L904)+1)+1,99),"")</ns0:f>
        <ns0:v>99</ns0:v>
      </ns0:c>
      <ns0:c r="P904" s="0">
        <ns0:f>IFERROR(IF(FIND(".",L904)=5,--M904,--O904),0)</ns0:f>
        <ns0:v>0</ns0:v>
      </ns0:c>
      <ns0:c r="Q904" s="0">
        <ns0:f>IFERROR(--N904,0)</ns0:f>
        <ns0:v>0</ns0:v>
      </ns0:c>
      <ns0:c r="R904" s="0">
        <ns0:f>IFERROR(IF(FIND(".",L904)=5,--O904,--M904),0)</ns0:f>
        <ns0:v>0</ns0:v>
      </ns0:c>
      <ns0:c r="S904" s="0">
        <ns0:f>IFERROR(IF(AND(P904&gt;=2000,P904&lt;=2100,Q904&gt;=1,Q904&lt;=12,R904&gt;=1,R904&lt;=31),DATE(P904,Q904,R904),0),0)</ns0:f>
        <ns0:v>0</ns0:v>
      </ns0:c>
      <ns0:c r="T904" s="0">
        <ns0:f>IFERROR(IF(ISNUMBER(Bookings!D904),IF(AND(Bookings!D904=INT(Bookings!D904),Bookings!D904&gt;=DATE(2000,1,1),Bookings!D904&lt;=DATE(2100,12,31)),Bookings!D904,0),IF(AND(K904&lt;&gt;"",LEN("x"&amp;L904)-LEN(SUBSTITUTE("x"&amp;L904,".",""))=2,OR(1&gt;LEN(L904),MID(L904,1,1)=".",ISNUMBER(FIND("x"&amp;MID(L904,1,1),"x0x1x2x3x4x5x6x7x8x9"))),OR(2&gt;LEN(L904),MID(L904,2,1)=".",ISNUMBER(FIND("x"&amp;MID(L904,2,1),"x0x1x2x3x4x5x6x7x8x9"))),OR(3&gt;LEN(L904),MID(L904,3,1)=".",ISNUMBER(FIND("x"&amp;MID(L904,3,1),"x0x1x2x3x4x5x6x7x8x9"))),OR(4&gt;LEN(L904),MID(L904,4,1)=".",ISNUMBER(FIND("x"&amp;MID(L904,4,1),"x0x1x2x3x4x5x6x7x8x9"))),OR(5&gt;LEN(L904),MID(L904,5,1)=".",ISNUMBER(FIND("x"&amp;MID(L904,5,1),"x0x1x2x3x4x5x6x7x8x9"))),OR(6&gt;LEN(L904),MID(L904,6,1)=".",ISNUMBER(FIND("x"&amp;MID(L904,6,1),"x0x1x2x3x4x5x6x7x8x9"))),OR(7&gt;LEN(L904),MID(L904,7,1)=".",ISNUMBER(FIND("x"&amp;MID(L904,7,1),"x0x1x2x3x4x5x6x7x8x9"))),OR(8&gt;LEN(L904),MID(L904,8,1)=".",ISNUMBER(FIND("x"&amp;MID(L904,8,1),"x0x1x2x3x4x5x6x7x8x9"))),OR(9&gt;LEN(L904),MID(L904,9,1)=".",ISNUMBER(FIND("x"&amp;MID(L904,9,1),"x0x1x2x3x4x5x6x7x8x9"))),OR(10&gt;LEN(L904),MID(L904,10,1)=".",ISNUMBER(FIND("x"&amp;MID(L904,10,1),"x0x1x2x3x4x5x6x7x8x9"))),OR(AND(FIND(".",L904)=5,LEN(L904)-FIND(".",L904,FIND(".",L904)+1)&gt;=1,LEN(L904)-FIND(".",L904,FIND(".",L904)+1)&lt;=2),AND(LEN(L904)-FIND(".",L904,FIND(".",L904)+1)=4,FIND(".",L904)&gt;=2,FIND(".",L904)&lt;=3)),FIND(".",L904,FIND(".",L904)+1)-FIND(".",L904)&gt;=2,FIND(".",L904,FIND(".",L904)+1)-FIND(".",L904)&lt;=3,P904&gt;=2000,P904&lt;=2100,YEAR(S904)=P904,MONTH(S904)=Q904,DAY(S904)=R904),S904,0)),0)</ns0:f>
        <ns0:v>0</ns0:v>
      </ns0:c>
      <ns0:c r="U904" s="0" t="str">
        <ns0:f>IF(Bookings!C904="","Full day",Bookings!C904)</ns0:f>
        <ns0:v>Full day</ns0:v>
      </ns0:c>
      <ns0:c r="V904" s="0" t="str">
        <ns0:f>IF(Bookings!E904="","Full day",Bookings!E904)</ns0:f>
        <ns0:v>Full day</ns0:v>
      </ns0:c>
      <ns0:c r="W904" s="0">
        <ns0:f>IF(J904=0,0,J904+IF(U904="PM",1,0))</ns0:f>
        <ns0:v>0</ns0:v>
      </ns0:c>
      <ns0:c r="X904" s="0">
        <ns0:f>IF(T904=0,0,T904-IF(V904="PM",1,0))</ns0:f>
        <ns0:v>0</ns0:v>
      </ns0:c>
      <ns0:c r="Y904" s="0">
        <ns0:f>IF(J904=0,0,J904+IF(U904="AM",1,0))</ns0:f>
        <ns0:v>0</ns0:v>
      </ns0:c>
      <ns0:c r="Z904" s="0">
        <ns0:f>IF(T904=0,0,T904-IF(V904="AM",1,0))</ns0:f>
        <ns0:v>0</ns0:v>
      </ns0:c>
      <ns0:c r="AA904" s="0">
        <ns0:f>IFERROR(IF(AND(J904&gt;0,'_Engine'!C904&gt;0,MID('_Engine'!W904,WEEKDAY(J904,2),1)="W",COUNTIF(Settings!$F$18:$F$67,J904)=0),1,0),0)</ns0:f>
        <ns0:v>0</ns0:v>
      </ns0:c>
      <ns0:c r="AB904" s="0">
        <ns0:f>IFERROR(IF(AND(T904&gt;0,'_Engine'!C904&gt;0,MID('_Engine'!W904,WEEKDAY(T904,2),1)="W",COUNTIF(Settings!$F$18:$F$67,T904)=0),1,0),0)</ns0:f>
        <ns0:v>0</ns0:v>
      </ns0:c>
      <ns0:c r="AC904" s="0">
        <ns0:f>IF(AND(J904&gt;0,T904&gt;0,W904&lt;=X904),1,0)</ns0:f>
        <ns0:v>0</ns0:v>
      </ns0:c>
      <ns0:c r="AD904" s="0">
        <ns0:f>IF(AND(J904&gt;0,T904&gt;0,Y904&lt;=Z904),1,0)</ns0:f>
        <ns0:v>0</ns0:v>
      </ns0:c>
    </ns0:row>
    <ns0:row r="905">
      <ns0:c r="A905" s="0">
        <ns0:f>IFERROR(IF(ISNUMBER(Bookings!B905),"",TRIM(Bookings!B905&amp;"")),"")</ns0:f>
      </ns0:c>
      <ns0:c r="B905" s="0">
        <ns0:f>IFERROR(SUBSTITUTE(SUBSTITUTE(A905,"/","."),"-","."),"")</ns0:f>
      </ns0:c>
      <ns0:c r="C905" s="0">
        <ns0:f>IFERROR(LEFT(B905,FIND(".",B905)-1),"")</ns0:f>
      </ns0:c>
      <ns0:c r="D905" s="0">
        <ns0:f>IFERROR(MID(B905,FIND(".",B905)+1,FIND(".",B905,FIND(".",B905)+1)-FIND(".",B905)-1),"")</ns0:f>
      </ns0:c>
      <ns0:c r="E905" s="0">
        <ns0:f>IFERROR(MID(B905,FIND(".",B905,FIND(".",B905)+1)+1,99),"")</ns0:f>
        <ns0:v>99</ns0:v>
      </ns0:c>
      <ns0:c r="F905" s="0">
        <ns0:f>IFERROR(IF(FIND(".",B905)=5,--C905,--E905),0)</ns0:f>
        <ns0:v>0</ns0:v>
      </ns0:c>
      <ns0:c r="G905" s="0">
        <ns0:f>IFERROR(--D905,0)</ns0:f>
        <ns0:v>0</ns0:v>
      </ns0:c>
      <ns0:c r="H905" s="0">
        <ns0:f>IFERROR(IF(FIND(".",B905)=5,--E905,--C905),0)</ns0:f>
        <ns0:v>0</ns0:v>
      </ns0:c>
      <ns0:c r="I905" s="0">
        <ns0:f>IFERROR(IF(AND(F905&gt;=2000,F905&lt;=2100,G905&gt;=1,G905&lt;=12,H905&gt;=1,H905&lt;=31),DATE(F905,G905,H905),0),0)</ns0:f>
        <ns0:v>0</ns0:v>
      </ns0:c>
      <ns0:c r="J905" s="0">
        <ns0:f>IFERROR(IF(ISNUMBER(Bookings!B905),IF(AND(Bookings!B905=INT(Bookings!B905),Bookings!B905&gt;=DATE(2000,1,1),Bookings!B905&lt;=DATE(2100,12,31)),Bookings!B905,0),IF(AND(A905&lt;&gt;"",LEN("x"&amp;B905)-LEN(SUBSTITUTE("x"&amp;B905,".",""))=2,OR(1&gt;LEN(B905),MID(B905,1,1)=".",ISNUMBER(FIND("x"&amp;MID(B905,1,1),"x0x1x2x3x4x5x6x7x8x9"))),OR(2&gt;LEN(B905),MID(B905,2,1)=".",ISNUMBER(FIND("x"&amp;MID(B905,2,1),"x0x1x2x3x4x5x6x7x8x9"))),OR(3&gt;LEN(B905),MID(B905,3,1)=".",ISNUMBER(FIND("x"&amp;MID(B905,3,1),"x0x1x2x3x4x5x6x7x8x9"))),OR(4&gt;LEN(B905),MID(B905,4,1)=".",ISNUMBER(FIND("x"&amp;MID(B905,4,1),"x0x1x2x3x4x5x6x7x8x9"))),OR(5&gt;LEN(B905),MID(B905,5,1)=".",ISNUMBER(FIND("x"&amp;MID(B905,5,1),"x0x1x2x3x4x5x6x7x8x9"))),OR(6&gt;LEN(B905),MID(B905,6,1)=".",ISNUMBER(FIND("x"&amp;MID(B905,6,1),"x0x1x2x3x4x5x6x7x8x9"))),OR(7&gt;LEN(B905),MID(B905,7,1)=".",ISNUMBER(FIND("x"&amp;MID(B905,7,1),"x0x1x2x3x4x5x6x7x8x9"))),OR(8&gt;LEN(B905),MID(B905,8,1)=".",ISNUMBER(FIND("x"&amp;MID(B905,8,1),"x0x1x2x3x4x5x6x7x8x9"))),OR(9&gt;LEN(B905),MID(B905,9,1)=".",ISNUMBER(FIND("x"&amp;MID(B905,9,1),"x0x1x2x3x4x5x6x7x8x9"))),OR(10&gt;LEN(B905),MID(B905,10,1)=".",ISNUMBER(FIND("x"&amp;MID(B905,10,1),"x0x1x2x3x4x5x6x7x8x9"))),OR(AND(FIND(".",B905)=5,LEN(B905)-FIND(".",B905,FIND(".",B905)+1)&gt;=1,LEN(B905)-FIND(".",B905,FIND(".",B905)+1)&lt;=2),AND(LEN(B905)-FIND(".",B905,FIND(".",B905)+1)=4,FIND(".",B905)&gt;=2,FIND(".",B905)&lt;=3)),FIND(".",B905,FIND(".",B905)+1)-FIND(".",B905)&gt;=2,FIND(".",B905,FIND(".",B905)+1)-FIND(".",B905)&lt;=3,F905&gt;=2000,F905&lt;=2100,YEAR(I905)=F905,MONTH(I905)=G905,DAY(I905)=H905),I905,0)),0)</ns0:f>
        <ns0:v>0</ns0:v>
      </ns0:c>
      <ns0:c r="K905" s="0">
        <ns0:f>IFERROR(IF(ISNUMBER(Bookings!D905),"",TRIM(Bookings!D905&amp;"")),"")</ns0:f>
      </ns0:c>
      <ns0:c r="L905" s="0">
        <ns0:f>IFERROR(SUBSTITUTE(SUBSTITUTE(K905,"/","."),"-","."),"")</ns0:f>
      </ns0:c>
      <ns0:c r="M905" s="0">
        <ns0:f>IFERROR(LEFT(L905,FIND(".",L905)-1),"")</ns0:f>
      </ns0:c>
      <ns0:c r="N905" s="0">
        <ns0:f>IFERROR(MID(L905,FIND(".",L905)+1,FIND(".",L905,FIND(".",L905)+1)-FIND(".",L905)-1),"")</ns0:f>
      </ns0:c>
      <ns0:c r="O905" s="0">
        <ns0:f>IFERROR(MID(L905,FIND(".",L905,FIND(".",L905)+1)+1,99),"")</ns0:f>
        <ns0:v>99</ns0:v>
      </ns0:c>
      <ns0:c r="P905" s="0">
        <ns0:f>IFERROR(IF(FIND(".",L905)=5,--M905,--O905),0)</ns0:f>
        <ns0:v>0</ns0:v>
      </ns0:c>
      <ns0:c r="Q905" s="0">
        <ns0:f>IFERROR(--N905,0)</ns0:f>
        <ns0:v>0</ns0:v>
      </ns0:c>
      <ns0:c r="R905" s="0">
        <ns0:f>IFERROR(IF(FIND(".",L905)=5,--O905,--M905),0)</ns0:f>
        <ns0:v>0</ns0:v>
      </ns0:c>
      <ns0:c r="S905" s="0">
        <ns0:f>IFERROR(IF(AND(P905&gt;=2000,P905&lt;=2100,Q905&gt;=1,Q905&lt;=12,R905&gt;=1,R905&lt;=31),DATE(P905,Q905,R905),0),0)</ns0:f>
        <ns0:v>0</ns0:v>
      </ns0:c>
      <ns0:c r="T905" s="0">
        <ns0:f>IFERROR(IF(ISNUMBER(Bookings!D905),IF(AND(Bookings!D905=INT(Bookings!D905),Bookings!D905&gt;=DATE(2000,1,1),Bookings!D905&lt;=DATE(2100,12,31)),Bookings!D905,0),IF(AND(K905&lt;&gt;"",LEN("x"&amp;L905)-LEN(SUBSTITUTE("x"&amp;L905,".",""))=2,OR(1&gt;LEN(L905),MID(L905,1,1)=".",ISNUMBER(FIND("x"&amp;MID(L905,1,1),"x0x1x2x3x4x5x6x7x8x9"))),OR(2&gt;LEN(L905),MID(L905,2,1)=".",ISNUMBER(FIND("x"&amp;MID(L905,2,1),"x0x1x2x3x4x5x6x7x8x9"))),OR(3&gt;LEN(L905),MID(L905,3,1)=".",ISNUMBER(FIND("x"&amp;MID(L905,3,1),"x0x1x2x3x4x5x6x7x8x9"))),OR(4&gt;LEN(L905),MID(L905,4,1)=".",ISNUMBER(FIND("x"&amp;MID(L905,4,1),"x0x1x2x3x4x5x6x7x8x9"))),OR(5&gt;LEN(L905),MID(L905,5,1)=".",ISNUMBER(FIND("x"&amp;MID(L905,5,1),"x0x1x2x3x4x5x6x7x8x9"))),OR(6&gt;LEN(L905),MID(L905,6,1)=".",ISNUMBER(FIND("x"&amp;MID(L905,6,1),"x0x1x2x3x4x5x6x7x8x9"))),OR(7&gt;LEN(L905),MID(L905,7,1)=".",ISNUMBER(FIND("x"&amp;MID(L905,7,1),"x0x1x2x3x4x5x6x7x8x9"))),OR(8&gt;LEN(L905),MID(L905,8,1)=".",ISNUMBER(FIND("x"&amp;MID(L905,8,1),"x0x1x2x3x4x5x6x7x8x9"))),OR(9&gt;LEN(L905),MID(L905,9,1)=".",ISNUMBER(FIND("x"&amp;MID(L905,9,1),"x0x1x2x3x4x5x6x7x8x9"))),OR(10&gt;LEN(L905),MID(L905,10,1)=".",ISNUMBER(FIND("x"&amp;MID(L905,10,1),"x0x1x2x3x4x5x6x7x8x9"))),OR(AND(FIND(".",L905)=5,LEN(L905)-FIND(".",L905,FIND(".",L905)+1)&gt;=1,LEN(L905)-FIND(".",L905,FIND(".",L905)+1)&lt;=2),AND(LEN(L905)-FIND(".",L905,FIND(".",L905)+1)=4,FIND(".",L905)&gt;=2,FIND(".",L905)&lt;=3)),FIND(".",L905,FIND(".",L905)+1)-FIND(".",L905)&gt;=2,FIND(".",L905,FIND(".",L905)+1)-FIND(".",L905)&lt;=3,P905&gt;=2000,P905&lt;=2100,YEAR(S905)=P905,MONTH(S905)=Q905,DAY(S905)=R905),S905,0)),0)</ns0:f>
        <ns0:v>0</ns0:v>
      </ns0:c>
      <ns0:c r="U905" s="0" t="str">
        <ns0:f>IF(Bookings!C905="","Full day",Bookings!C905)</ns0:f>
        <ns0:v>Full day</ns0:v>
      </ns0:c>
      <ns0:c r="V905" s="0" t="str">
        <ns0:f>IF(Bookings!E905="","Full day",Bookings!E905)</ns0:f>
        <ns0:v>Full day</ns0:v>
      </ns0:c>
      <ns0:c r="W905" s="0">
        <ns0:f>IF(J905=0,0,J905+IF(U905="PM",1,0))</ns0:f>
        <ns0:v>0</ns0:v>
      </ns0:c>
      <ns0:c r="X905" s="0">
        <ns0:f>IF(T905=0,0,T905-IF(V905="PM",1,0))</ns0:f>
        <ns0:v>0</ns0:v>
      </ns0:c>
      <ns0:c r="Y905" s="0">
        <ns0:f>IF(J905=0,0,J905+IF(U905="AM",1,0))</ns0:f>
        <ns0:v>0</ns0:v>
      </ns0:c>
      <ns0:c r="Z905" s="0">
        <ns0:f>IF(T905=0,0,T905-IF(V905="AM",1,0))</ns0:f>
        <ns0:v>0</ns0:v>
      </ns0:c>
      <ns0:c r="AA905" s="0">
        <ns0:f>IFERROR(IF(AND(J905&gt;0,'_Engine'!C905&gt;0,MID('_Engine'!W905,WEEKDAY(J905,2),1)="W",COUNTIF(Settings!$F$18:$F$67,J905)=0),1,0),0)</ns0:f>
        <ns0:v>0</ns0:v>
      </ns0:c>
      <ns0:c r="AB905" s="0">
        <ns0:f>IFERROR(IF(AND(T905&gt;0,'_Engine'!C905&gt;0,MID('_Engine'!W905,WEEKDAY(T905,2),1)="W",COUNTIF(Settings!$F$18:$F$67,T905)=0),1,0),0)</ns0:f>
        <ns0:v>0</ns0:v>
      </ns0:c>
      <ns0:c r="AC905" s="0">
        <ns0:f>IF(AND(J905&gt;0,T905&gt;0,W905&lt;=X905),1,0)</ns0:f>
        <ns0:v>0</ns0:v>
      </ns0:c>
      <ns0:c r="AD905" s="0">
        <ns0:f>IF(AND(J905&gt;0,T905&gt;0,Y905&lt;=Z905),1,0)</ns0:f>
        <ns0:v>0</ns0:v>
      </ns0:c>
    </ns0:row>
    <ns0:row r="906">
      <ns0:c r="A906" s="0">
        <ns0:f>IFERROR(IF(ISNUMBER(Bookings!B906),"",TRIM(Bookings!B906&amp;"")),"")</ns0:f>
      </ns0:c>
      <ns0:c r="B906" s="0">
        <ns0:f>IFERROR(SUBSTITUTE(SUBSTITUTE(A906,"/","."),"-","."),"")</ns0:f>
      </ns0:c>
      <ns0:c r="C906" s="0">
        <ns0:f>IFERROR(LEFT(B906,FIND(".",B906)-1),"")</ns0:f>
      </ns0:c>
      <ns0:c r="D906" s="0">
        <ns0:f>IFERROR(MID(B906,FIND(".",B906)+1,FIND(".",B906,FIND(".",B906)+1)-FIND(".",B906)-1),"")</ns0:f>
      </ns0:c>
      <ns0:c r="E906" s="0">
        <ns0:f>IFERROR(MID(B906,FIND(".",B906,FIND(".",B906)+1)+1,99),"")</ns0:f>
        <ns0:v>99</ns0:v>
      </ns0:c>
      <ns0:c r="F906" s="0">
        <ns0:f>IFERROR(IF(FIND(".",B906)=5,--C906,--E906),0)</ns0:f>
        <ns0:v>0</ns0:v>
      </ns0:c>
      <ns0:c r="G906" s="0">
        <ns0:f>IFERROR(--D906,0)</ns0:f>
        <ns0:v>0</ns0:v>
      </ns0:c>
      <ns0:c r="H906" s="0">
        <ns0:f>IFERROR(IF(FIND(".",B906)=5,--E906,--C906),0)</ns0:f>
        <ns0:v>0</ns0:v>
      </ns0:c>
      <ns0:c r="I906" s="0">
        <ns0:f>IFERROR(IF(AND(F906&gt;=2000,F906&lt;=2100,G906&gt;=1,G906&lt;=12,H906&gt;=1,H906&lt;=31),DATE(F906,G906,H906),0),0)</ns0:f>
        <ns0:v>0</ns0:v>
      </ns0:c>
      <ns0:c r="J906" s="0">
        <ns0:f>IFERROR(IF(ISNUMBER(Bookings!B906),IF(AND(Bookings!B906=INT(Bookings!B906),Bookings!B906&gt;=DATE(2000,1,1),Bookings!B906&lt;=DATE(2100,12,31)),Bookings!B906,0),IF(AND(A906&lt;&gt;"",LEN("x"&amp;B906)-LEN(SUBSTITUTE("x"&amp;B906,".",""))=2,OR(1&gt;LEN(B906),MID(B906,1,1)=".",ISNUMBER(FIND("x"&amp;MID(B906,1,1),"x0x1x2x3x4x5x6x7x8x9"))),OR(2&gt;LEN(B906),MID(B906,2,1)=".",ISNUMBER(FIND("x"&amp;MID(B906,2,1),"x0x1x2x3x4x5x6x7x8x9"))),OR(3&gt;LEN(B906),MID(B906,3,1)=".",ISNUMBER(FIND("x"&amp;MID(B906,3,1),"x0x1x2x3x4x5x6x7x8x9"))),OR(4&gt;LEN(B906),MID(B906,4,1)=".",ISNUMBER(FIND("x"&amp;MID(B906,4,1),"x0x1x2x3x4x5x6x7x8x9"))),OR(5&gt;LEN(B906),MID(B906,5,1)=".",ISNUMBER(FIND("x"&amp;MID(B906,5,1),"x0x1x2x3x4x5x6x7x8x9"))),OR(6&gt;LEN(B906),MID(B906,6,1)=".",ISNUMBER(FIND("x"&amp;MID(B906,6,1),"x0x1x2x3x4x5x6x7x8x9"))),OR(7&gt;LEN(B906),MID(B906,7,1)=".",ISNUMBER(FIND("x"&amp;MID(B906,7,1),"x0x1x2x3x4x5x6x7x8x9"))),OR(8&gt;LEN(B906),MID(B906,8,1)=".",ISNUMBER(FIND("x"&amp;MID(B906,8,1),"x0x1x2x3x4x5x6x7x8x9"))),OR(9&gt;LEN(B906),MID(B906,9,1)=".",ISNUMBER(FIND("x"&amp;MID(B906,9,1),"x0x1x2x3x4x5x6x7x8x9"))),OR(10&gt;LEN(B906),MID(B906,10,1)=".",ISNUMBER(FIND("x"&amp;MID(B906,10,1),"x0x1x2x3x4x5x6x7x8x9"))),OR(AND(FIND(".",B906)=5,LEN(B906)-FIND(".",B906,FIND(".",B906)+1)&gt;=1,LEN(B906)-FIND(".",B906,FIND(".",B906)+1)&lt;=2),AND(LEN(B906)-FIND(".",B906,FIND(".",B906)+1)=4,FIND(".",B906)&gt;=2,FIND(".",B906)&lt;=3)),FIND(".",B906,FIND(".",B906)+1)-FIND(".",B906)&gt;=2,FIND(".",B906,FIND(".",B906)+1)-FIND(".",B906)&lt;=3,F906&gt;=2000,F906&lt;=2100,YEAR(I906)=F906,MONTH(I906)=G906,DAY(I906)=H906),I906,0)),0)</ns0:f>
        <ns0:v>0</ns0:v>
      </ns0:c>
      <ns0:c r="K906" s="0">
        <ns0:f>IFERROR(IF(ISNUMBER(Bookings!D906),"",TRIM(Bookings!D906&amp;"")),"")</ns0:f>
      </ns0:c>
      <ns0:c r="L906" s="0">
        <ns0:f>IFERROR(SUBSTITUTE(SUBSTITUTE(K906,"/","."),"-","."),"")</ns0:f>
      </ns0:c>
      <ns0:c r="M906" s="0">
        <ns0:f>IFERROR(LEFT(L906,FIND(".",L906)-1),"")</ns0:f>
      </ns0:c>
      <ns0:c r="N906" s="0">
        <ns0:f>IFERROR(MID(L906,FIND(".",L906)+1,FIND(".",L906,FIND(".",L906)+1)-FIND(".",L906)-1),"")</ns0:f>
      </ns0:c>
      <ns0:c r="O906" s="0">
        <ns0:f>IFERROR(MID(L906,FIND(".",L906,FIND(".",L906)+1)+1,99),"")</ns0:f>
        <ns0:v>99</ns0:v>
      </ns0:c>
      <ns0:c r="P906" s="0">
        <ns0:f>IFERROR(IF(FIND(".",L906)=5,--M906,--O906),0)</ns0:f>
        <ns0:v>0</ns0:v>
      </ns0:c>
      <ns0:c r="Q906" s="0">
        <ns0:f>IFERROR(--N906,0)</ns0:f>
        <ns0:v>0</ns0:v>
      </ns0:c>
      <ns0:c r="R906" s="0">
        <ns0:f>IFERROR(IF(FIND(".",L906)=5,--O906,--M906),0)</ns0:f>
        <ns0:v>0</ns0:v>
      </ns0:c>
      <ns0:c r="S906" s="0">
        <ns0:f>IFERROR(IF(AND(P906&gt;=2000,P906&lt;=2100,Q906&gt;=1,Q906&lt;=12,R906&gt;=1,R906&lt;=31),DATE(P906,Q906,R906),0),0)</ns0:f>
        <ns0:v>0</ns0:v>
      </ns0:c>
      <ns0:c r="T906" s="0">
        <ns0:f>IFERROR(IF(ISNUMBER(Bookings!D906),IF(AND(Bookings!D906=INT(Bookings!D906),Bookings!D906&gt;=DATE(2000,1,1),Bookings!D906&lt;=DATE(2100,12,31)),Bookings!D906,0),IF(AND(K906&lt;&gt;"",LEN("x"&amp;L906)-LEN(SUBSTITUTE("x"&amp;L906,".",""))=2,OR(1&gt;LEN(L906),MID(L906,1,1)=".",ISNUMBER(FIND("x"&amp;MID(L906,1,1),"x0x1x2x3x4x5x6x7x8x9"))),OR(2&gt;LEN(L906),MID(L906,2,1)=".",ISNUMBER(FIND("x"&amp;MID(L906,2,1),"x0x1x2x3x4x5x6x7x8x9"))),OR(3&gt;LEN(L906),MID(L906,3,1)=".",ISNUMBER(FIND("x"&amp;MID(L906,3,1),"x0x1x2x3x4x5x6x7x8x9"))),OR(4&gt;LEN(L906),MID(L906,4,1)=".",ISNUMBER(FIND("x"&amp;MID(L906,4,1),"x0x1x2x3x4x5x6x7x8x9"))),OR(5&gt;LEN(L906),MID(L906,5,1)=".",ISNUMBER(FIND("x"&amp;MID(L906,5,1),"x0x1x2x3x4x5x6x7x8x9"))),OR(6&gt;LEN(L906),MID(L906,6,1)=".",ISNUMBER(FIND("x"&amp;MID(L906,6,1),"x0x1x2x3x4x5x6x7x8x9"))),OR(7&gt;LEN(L906),MID(L906,7,1)=".",ISNUMBER(FIND("x"&amp;MID(L906,7,1),"x0x1x2x3x4x5x6x7x8x9"))),OR(8&gt;LEN(L906),MID(L906,8,1)=".",ISNUMBER(FIND("x"&amp;MID(L906,8,1),"x0x1x2x3x4x5x6x7x8x9"))),OR(9&gt;LEN(L906),MID(L906,9,1)=".",ISNUMBER(FIND("x"&amp;MID(L906,9,1),"x0x1x2x3x4x5x6x7x8x9"))),OR(10&gt;LEN(L906),MID(L906,10,1)=".",ISNUMBER(FIND("x"&amp;MID(L906,10,1),"x0x1x2x3x4x5x6x7x8x9"))),OR(AND(FIND(".",L906)=5,LEN(L906)-FIND(".",L906,FIND(".",L906)+1)&gt;=1,LEN(L906)-FIND(".",L906,FIND(".",L906)+1)&lt;=2),AND(LEN(L906)-FIND(".",L906,FIND(".",L906)+1)=4,FIND(".",L906)&gt;=2,FIND(".",L906)&lt;=3)),FIND(".",L906,FIND(".",L906)+1)-FIND(".",L906)&gt;=2,FIND(".",L906,FIND(".",L906)+1)-FIND(".",L906)&lt;=3,P906&gt;=2000,P906&lt;=2100,YEAR(S906)=P906,MONTH(S906)=Q906,DAY(S906)=R906),S906,0)),0)</ns0:f>
        <ns0:v>0</ns0:v>
      </ns0:c>
      <ns0:c r="U906" s="0" t="str">
        <ns0:f>IF(Bookings!C906="","Full day",Bookings!C906)</ns0:f>
        <ns0:v>Full day</ns0:v>
      </ns0:c>
      <ns0:c r="V906" s="0" t="str">
        <ns0:f>IF(Bookings!E906="","Full day",Bookings!E906)</ns0:f>
        <ns0:v>Full day</ns0:v>
      </ns0:c>
      <ns0:c r="W906" s="0">
        <ns0:f>IF(J906=0,0,J906+IF(U906="PM",1,0))</ns0:f>
        <ns0:v>0</ns0:v>
      </ns0:c>
      <ns0:c r="X906" s="0">
        <ns0:f>IF(T906=0,0,T906-IF(V906="PM",1,0))</ns0:f>
        <ns0:v>0</ns0:v>
      </ns0:c>
      <ns0:c r="Y906" s="0">
        <ns0:f>IF(J906=0,0,J906+IF(U906="AM",1,0))</ns0:f>
        <ns0:v>0</ns0:v>
      </ns0:c>
      <ns0:c r="Z906" s="0">
        <ns0:f>IF(T906=0,0,T906-IF(V906="AM",1,0))</ns0:f>
        <ns0:v>0</ns0:v>
      </ns0:c>
      <ns0:c r="AA906" s="0">
        <ns0:f>IFERROR(IF(AND(J906&gt;0,'_Engine'!C906&gt;0,MID('_Engine'!W906,WEEKDAY(J906,2),1)="W",COUNTIF(Settings!$F$18:$F$67,J906)=0),1,0),0)</ns0:f>
        <ns0:v>0</ns0:v>
      </ns0:c>
      <ns0:c r="AB906" s="0">
        <ns0:f>IFERROR(IF(AND(T906&gt;0,'_Engine'!C906&gt;0,MID('_Engine'!W906,WEEKDAY(T906,2),1)="W",COUNTIF(Settings!$F$18:$F$67,T906)=0),1,0),0)</ns0:f>
        <ns0:v>0</ns0:v>
      </ns0:c>
      <ns0:c r="AC906" s="0">
        <ns0:f>IF(AND(J906&gt;0,T906&gt;0,W906&lt;=X906),1,0)</ns0:f>
        <ns0:v>0</ns0:v>
      </ns0:c>
      <ns0:c r="AD906" s="0">
        <ns0:f>IF(AND(J906&gt;0,T906&gt;0,Y906&lt;=Z906),1,0)</ns0:f>
        <ns0:v>0</ns0:v>
      </ns0:c>
    </ns0:row>
    <ns0:row r="907">
      <ns0:c r="A907" s="0">
        <ns0:f>IFERROR(IF(ISNUMBER(Bookings!B907),"",TRIM(Bookings!B907&amp;"")),"")</ns0:f>
      </ns0:c>
      <ns0:c r="B907" s="0">
        <ns0:f>IFERROR(SUBSTITUTE(SUBSTITUTE(A907,"/","."),"-","."),"")</ns0:f>
      </ns0:c>
      <ns0:c r="C907" s="0">
        <ns0:f>IFERROR(LEFT(B907,FIND(".",B907)-1),"")</ns0:f>
      </ns0:c>
      <ns0:c r="D907" s="0">
        <ns0:f>IFERROR(MID(B907,FIND(".",B907)+1,FIND(".",B907,FIND(".",B907)+1)-FIND(".",B907)-1),"")</ns0:f>
      </ns0:c>
      <ns0:c r="E907" s="0">
        <ns0:f>IFERROR(MID(B907,FIND(".",B907,FIND(".",B907)+1)+1,99),"")</ns0:f>
        <ns0:v>99</ns0:v>
      </ns0:c>
      <ns0:c r="F907" s="0">
        <ns0:f>IFERROR(IF(FIND(".",B907)=5,--C907,--E907),0)</ns0:f>
        <ns0:v>0</ns0:v>
      </ns0:c>
      <ns0:c r="G907" s="0">
        <ns0:f>IFERROR(--D907,0)</ns0:f>
        <ns0:v>0</ns0:v>
      </ns0:c>
      <ns0:c r="H907" s="0">
        <ns0:f>IFERROR(IF(FIND(".",B907)=5,--E907,--C907),0)</ns0:f>
        <ns0:v>0</ns0:v>
      </ns0:c>
      <ns0:c r="I907" s="0">
        <ns0:f>IFERROR(IF(AND(F907&gt;=2000,F907&lt;=2100,G907&gt;=1,G907&lt;=12,H907&gt;=1,H907&lt;=31),DATE(F907,G907,H907),0),0)</ns0:f>
        <ns0:v>0</ns0:v>
      </ns0:c>
      <ns0:c r="J907" s="0">
        <ns0:f>IFERROR(IF(ISNUMBER(Bookings!B907),IF(AND(Bookings!B907=INT(Bookings!B907),Bookings!B907&gt;=DATE(2000,1,1),Bookings!B907&lt;=DATE(2100,12,31)),Bookings!B907,0),IF(AND(A907&lt;&gt;"",LEN("x"&amp;B907)-LEN(SUBSTITUTE("x"&amp;B907,".",""))=2,OR(1&gt;LEN(B907),MID(B907,1,1)=".",ISNUMBER(FIND("x"&amp;MID(B907,1,1),"x0x1x2x3x4x5x6x7x8x9"))),OR(2&gt;LEN(B907),MID(B907,2,1)=".",ISNUMBER(FIND("x"&amp;MID(B907,2,1),"x0x1x2x3x4x5x6x7x8x9"))),OR(3&gt;LEN(B907),MID(B907,3,1)=".",ISNUMBER(FIND("x"&amp;MID(B907,3,1),"x0x1x2x3x4x5x6x7x8x9"))),OR(4&gt;LEN(B907),MID(B907,4,1)=".",ISNUMBER(FIND("x"&amp;MID(B907,4,1),"x0x1x2x3x4x5x6x7x8x9"))),OR(5&gt;LEN(B907),MID(B907,5,1)=".",ISNUMBER(FIND("x"&amp;MID(B907,5,1),"x0x1x2x3x4x5x6x7x8x9"))),OR(6&gt;LEN(B907),MID(B907,6,1)=".",ISNUMBER(FIND("x"&amp;MID(B907,6,1),"x0x1x2x3x4x5x6x7x8x9"))),OR(7&gt;LEN(B907),MID(B907,7,1)=".",ISNUMBER(FIND("x"&amp;MID(B907,7,1),"x0x1x2x3x4x5x6x7x8x9"))),OR(8&gt;LEN(B907),MID(B907,8,1)=".",ISNUMBER(FIND("x"&amp;MID(B907,8,1),"x0x1x2x3x4x5x6x7x8x9"))),OR(9&gt;LEN(B907),MID(B907,9,1)=".",ISNUMBER(FIND("x"&amp;MID(B907,9,1),"x0x1x2x3x4x5x6x7x8x9"))),OR(10&gt;LEN(B907),MID(B907,10,1)=".",ISNUMBER(FIND("x"&amp;MID(B907,10,1),"x0x1x2x3x4x5x6x7x8x9"))),OR(AND(FIND(".",B907)=5,LEN(B907)-FIND(".",B907,FIND(".",B907)+1)&gt;=1,LEN(B907)-FIND(".",B907,FIND(".",B907)+1)&lt;=2),AND(LEN(B907)-FIND(".",B907,FIND(".",B907)+1)=4,FIND(".",B907)&gt;=2,FIND(".",B907)&lt;=3)),FIND(".",B907,FIND(".",B907)+1)-FIND(".",B907)&gt;=2,FIND(".",B907,FIND(".",B907)+1)-FIND(".",B907)&lt;=3,F907&gt;=2000,F907&lt;=2100,YEAR(I907)=F907,MONTH(I907)=G907,DAY(I907)=H907),I907,0)),0)</ns0:f>
        <ns0:v>0</ns0:v>
      </ns0:c>
      <ns0:c r="K907" s="0">
        <ns0:f>IFERROR(IF(ISNUMBER(Bookings!D907),"",TRIM(Bookings!D907&amp;"")),"")</ns0:f>
      </ns0:c>
      <ns0:c r="L907" s="0">
        <ns0:f>IFERROR(SUBSTITUTE(SUBSTITUTE(K907,"/","."),"-","."),"")</ns0:f>
      </ns0:c>
      <ns0:c r="M907" s="0">
        <ns0:f>IFERROR(LEFT(L907,FIND(".",L907)-1),"")</ns0:f>
      </ns0:c>
      <ns0:c r="N907" s="0">
        <ns0:f>IFERROR(MID(L907,FIND(".",L907)+1,FIND(".",L907,FIND(".",L907)+1)-FIND(".",L907)-1),"")</ns0:f>
      </ns0:c>
      <ns0:c r="O907" s="0">
        <ns0:f>IFERROR(MID(L907,FIND(".",L907,FIND(".",L907)+1)+1,99),"")</ns0:f>
        <ns0:v>99</ns0:v>
      </ns0:c>
      <ns0:c r="P907" s="0">
        <ns0:f>IFERROR(IF(FIND(".",L907)=5,--M907,--O907),0)</ns0:f>
        <ns0:v>0</ns0:v>
      </ns0:c>
      <ns0:c r="Q907" s="0">
        <ns0:f>IFERROR(--N907,0)</ns0:f>
        <ns0:v>0</ns0:v>
      </ns0:c>
      <ns0:c r="R907" s="0">
        <ns0:f>IFERROR(IF(FIND(".",L907)=5,--O907,--M907),0)</ns0:f>
        <ns0:v>0</ns0:v>
      </ns0:c>
      <ns0:c r="S907" s="0">
        <ns0:f>IFERROR(IF(AND(P907&gt;=2000,P907&lt;=2100,Q907&gt;=1,Q907&lt;=12,R907&gt;=1,R907&lt;=31),DATE(P907,Q907,R907),0),0)</ns0:f>
        <ns0:v>0</ns0:v>
      </ns0:c>
      <ns0:c r="T907" s="0">
        <ns0:f>IFERROR(IF(ISNUMBER(Bookings!D907),IF(AND(Bookings!D907=INT(Bookings!D907),Bookings!D907&gt;=DATE(2000,1,1),Bookings!D907&lt;=DATE(2100,12,31)),Bookings!D907,0),IF(AND(K907&lt;&gt;"",LEN("x"&amp;L907)-LEN(SUBSTITUTE("x"&amp;L907,".",""))=2,OR(1&gt;LEN(L907),MID(L907,1,1)=".",ISNUMBER(FIND("x"&amp;MID(L907,1,1),"x0x1x2x3x4x5x6x7x8x9"))),OR(2&gt;LEN(L907),MID(L907,2,1)=".",ISNUMBER(FIND("x"&amp;MID(L907,2,1),"x0x1x2x3x4x5x6x7x8x9"))),OR(3&gt;LEN(L907),MID(L907,3,1)=".",ISNUMBER(FIND("x"&amp;MID(L907,3,1),"x0x1x2x3x4x5x6x7x8x9"))),OR(4&gt;LEN(L907),MID(L907,4,1)=".",ISNUMBER(FIND("x"&amp;MID(L907,4,1),"x0x1x2x3x4x5x6x7x8x9"))),OR(5&gt;LEN(L907),MID(L907,5,1)=".",ISNUMBER(FIND("x"&amp;MID(L907,5,1),"x0x1x2x3x4x5x6x7x8x9"))),OR(6&gt;LEN(L907),MID(L907,6,1)=".",ISNUMBER(FIND("x"&amp;MID(L907,6,1),"x0x1x2x3x4x5x6x7x8x9"))),OR(7&gt;LEN(L907),MID(L907,7,1)=".",ISNUMBER(FIND("x"&amp;MID(L907,7,1),"x0x1x2x3x4x5x6x7x8x9"))),OR(8&gt;LEN(L907),MID(L907,8,1)=".",ISNUMBER(FIND("x"&amp;MID(L907,8,1),"x0x1x2x3x4x5x6x7x8x9"))),OR(9&gt;LEN(L907),MID(L907,9,1)=".",ISNUMBER(FIND("x"&amp;MID(L907,9,1),"x0x1x2x3x4x5x6x7x8x9"))),OR(10&gt;LEN(L907),MID(L907,10,1)=".",ISNUMBER(FIND("x"&amp;MID(L907,10,1),"x0x1x2x3x4x5x6x7x8x9"))),OR(AND(FIND(".",L907)=5,LEN(L907)-FIND(".",L907,FIND(".",L907)+1)&gt;=1,LEN(L907)-FIND(".",L907,FIND(".",L907)+1)&lt;=2),AND(LEN(L907)-FIND(".",L907,FIND(".",L907)+1)=4,FIND(".",L907)&gt;=2,FIND(".",L907)&lt;=3)),FIND(".",L907,FIND(".",L907)+1)-FIND(".",L907)&gt;=2,FIND(".",L907,FIND(".",L907)+1)-FIND(".",L907)&lt;=3,P907&gt;=2000,P907&lt;=2100,YEAR(S907)=P907,MONTH(S907)=Q907,DAY(S907)=R907),S907,0)),0)</ns0:f>
        <ns0:v>0</ns0:v>
      </ns0:c>
      <ns0:c r="U907" s="0" t="str">
        <ns0:f>IF(Bookings!C907="","Full day",Bookings!C907)</ns0:f>
        <ns0:v>Full day</ns0:v>
      </ns0:c>
      <ns0:c r="V907" s="0" t="str">
        <ns0:f>IF(Bookings!E907="","Full day",Bookings!E907)</ns0:f>
        <ns0:v>Full day</ns0:v>
      </ns0:c>
      <ns0:c r="W907" s="0">
        <ns0:f>IF(J907=0,0,J907+IF(U907="PM",1,0))</ns0:f>
        <ns0:v>0</ns0:v>
      </ns0:c>
      <ns0:c r="X907" s="0">
        <ns0:f>IF(T907=0,0,T907-IF(V907="PM",1,0))</ns0:f>
        <ns0:v>0</ns0:v>
      </ns0:c>
      <ns0:c r="Y907" s="0">
        <ns0:f>IF(J907=0,0,J907+IF(U907="AM",1,0))</ns0:f>
        <ns0:v>0</ns0:v>
      </ns0:c>
      <ns0:c r="Z907" s="0">
        <ns0:f>IF(T907=0,0,T907-IF(V907="AM",1,0))</ns0:f>
        <ns0:v>0</ns0:v>
      </ns0:c>
      <ns0:c r="AA907" s="0">
        <ns0:f>IFERROR(IF(AND(J907&gt;0,'_Engine'!C907&gt;0,MID('_Engine'!W907,WEEKDAY(J907,2),1)="W",COUNTIF(Settings!$F$18:$F$67,J907)=0),1,0),0)</ns0:f>
        <ns0:v>0</ns0:v>
      </ns0:c>
      <ns0:c r="AB907" s="0">
        <ns0:f>IFERROR(IF(AND(T907&gt;0,'_Engine'!C907&gt;0,MID('_Engine'!W907,WEEKDAY(T907,2),1)="W",COUNTIF(Settings!$F$18:$F$67,T907)=0),1,0),0)</ns0:f>
        <ns0:v>0</ns0:v>
      </ns0:c>
      <ns0:c r="AC907" s="0">
        <ns0:f>IF(AND(J907&gt;0,T907&gt;0,W907&lt;=X907),1,0)</ns0:f>
        <ns0:v>0</ns0:v>
      </ns0:c>
      <ns0:c r="AD907" s="0">
        <ns0:f>IF(AND(J907&gt;0,T907&gt;0,Y907&lt;=Z907),1,0)</ns0:f>
        <ns0:v>0</ns0:v>
      </ns0:c>
    </ns0:row>
    <ns0:row r="908">
      <ns0:c r="A908" s="0">
        <ns0:f>IFERROR(IF(ISNUMBER(Bookings!B908),"",TRIM(Bookings!B908&amp;"")),"")</ns0:f>
      </ns0:c>
      <ns0:c r="B908" s="0">
        <ns0:f>IFERROR(SUBSTITUTE(SUBSTITUTE(A908,"/","."),"-","."),"")</ns0:f>
      </ns0:c>
      <ns0:c r="C908" s="0">
        <ns0:f>IFERROR(LEFT(B908,FIND(".",B908)-1),"")</ns0:f>
      </ns0:c>
      <ns0:c r="D908" s="0">
        <ns0:f>IFERROR(MID(B908,FIND(".",B908)+1,FIND(".",B908,FIND(".",B908)+1)-FIND(".",B908)-1),"")</ns0:f>
      </ns0:c>
      <ns0:c r="E908" s="0">
        <ns0:f>IFERROR(MID(B908,FIND(".",B908,FIND(".",B908)+1)+1,99),"")</ns0:f>
        <ns0:v>99</ns0:v>
      </ns0:c>
      <ns0:c r="F908" s="0">
        <ns0:f>IFERROR(IF(FIND(".",B908)=5,--C908,--E908),0)</ns0:f>
        <ns0:v>0</ns0:v>
      </ns0:c>
      <ns0:c r="G908" s="0">
        <ns0:f>IFERROR(--D908,0)</ns0:f>
        <ns0:v>0</ns0:v>
      </ns0:c>
      <ns0:c r="H908" s="0">
        <ns0:f>IFERROR(IF(FIND(".",B908)=5,--E908,--C908),0)</ns0:f>
        <ns0:v>0</ns0:v>
      </ns0:c>
      <ns0:c r="I908" s="0">
        <ns0:f>IFERROR(IF(AND(F908&gt;=2000,F908&lt;=2100,G908&gt;=1,G908&lt;=12,H908&gt;=1,H908&lt;=31),DATE(F908,G908,H908),0),0)</ns0:f>
        <ns0:v>0</ns0:v>
      </ns0:c>
      <ns0:c r="J908" s="0">
        <ns0:f>IFERROR(IF(ISNUMBER(Bookings!B908),IF(AND(Bookings!B908=INT(Bookings!B908),Bookings!B908&gt;=DATE(2000,1,1),Bookings!B908&lt;=DATE(2100,12,31)),Bookings!B908,0),IF(AND(A908&lt;&gt;"",LEN("x"&amp;B908)-LEN(SUBSTITUTE("x"&amp;B908,".",""))=2,OR(1&gt;LEN(B908),MID(B908,1,1)=".",ISNUMBER(FIND("x"&amp;MID(B908,1,1),"x0x1x2x3x4x5x6x7x8x9"))),OR(2&gt;LEN(B908),MID(B908,2,1)=".",ISNUMBER(FIND("x"&amp;MID(B908,2,1),"x0x1x2x3x4x5x6x7x8x9"))),OR(3&gt;LEN(B908),MID(B908,3,1)=".",ISNUMBER(FIND("x"&amp;MID(B908,3,1),"x0x1x2x3x4x5x6x7x8x9"))),OR(4&gt;LEN(B908),MID(B908,4,1)=".",ISNUMBER(FIND("x"&amp;MID(B908,4,1),"x0x1x2x3x4x5x6x7x8x9"))),OR(5&gt;LEN(B908),MID(B908,5,1)=".",ISNUMBER(FIND("x"&amp;MID(B908,5,1),"x0x1x2x3x4x5x6x7x8x9"))),OR(6&gt;LEN(B908),MID(B908,6,1)=".",ISNUMBER(FIND("x"&amp;MID(B908,6,1),"x0x1x2x3x4x5x6x7x8x9"))),OR(7&gt;LEN(B908),MID(B908,7,1)=".",ISNUMBER(FIND("x"&amp;MID(B908,7,1),"x0x1x2x3x4x5x6x7x8x9"))),OR(8&gt;LEN(B908),MID(B908,8,1)=".",ISNUMBER(FIND("x"&amp;MID(B908,8,1),"x0x1x2x3x4x5x6x7x8x9"))),OR(9&gt;LEN(B908),MID(B908,9,1)=".",ISNUMBER(FIND("x"&amp;MID(B908,9,1),"x0x1x2x3x4x5x6x7x8x9"))),OR(10&gt;LEN(B908),MID(B908,10,1)=".",ISNUMBER(FIND("x"&amp;MID(B908,10,1),"x0x1x2x3x4x5x6x7x8x9"))),OR(AND(FIND(".",B908)=5,LEN(B908)-FIND(".",B908,FIND(".",B908)+1)&gt;=1,LEN(B908)-FIND(".",B908,FIND(".",B908)+1)&lt;=2),AND(LEN(B908)-FIND(".",B908,FIND(".",B908)+1)=4,FIND(".",B908)&gt;=2,FIND(".",B908)&lt;=3)),FIND(".",B908,FIND(".",B908)+1)-FIND(".",B908)&gt;=2,FIND(".",B908,FIND(".",B908)+1)-FIND(".",B908)&lt;=3,F908&gt;=2000,F908&lt;=2100,YEAR(I908)=F908,MONTH(I908)=G908,DAY(I908)=H908),I908,0)),0)</ns0:f>
        <ns0:v>0</ns0:v>
      </ns0:c>
      <ns0:c r="K908" s="0">
        <ns0:f>IFERROR(IF(ISNUMBER(Bookings!D908),"",TRIM(Bookings!D908&amp;"")),"")</ns0:f>
      </ns0:c>
      <ns0:c r="L908" s="0">
        <ns0:f>IFERROR(SUBSTITUTE(SUBSTITUTE(K908,"/","."),"-","."),"")</ns0:f>
      </ns0:c>
      <ns0:c r="M908" s="0">
        <ns0:f>IFERROR(LEFT(L908,FIND(".",L908)-1),"")</ns0:f>
      </ns0:c>
      <ns0:c r="N908" s="0">
        <ns0:f>IFERROR(MID(L908,FIND(".",L908)+1,FIND(".",L908,FIND(".",L908)+1)-FIND(".",L908)-1),"")</ns0:f>
      </ns0:c>
      <ns0:c r="O908" s="0">
        <ns0:f>IFERROR(MID(L908,FIND(".",L908,FIND(".",L908)+1)+1,99),"")</ns0:f>
        <ns0:v>99</ns0:v>
      </ns0:c>
      <ns0:c r="P908" s="0">
        <ns0:f>IFERROR(IF(FIND(".",L908)=5,--M908,--O908),0)</ns0:f>
        <ns0:v>0</ns0:v>
      </ns0:c>
      <ns0:c r="Q908" s="0">
        <ns0:f>IFERROR(--N908,0)</ns0:f>
        <ns0:v>0</ns0:v>
      </ns0:c>
      <ns0:c r="R908" s="0">
        <ns0:f>IFERROR(IF(FIND(".",L908)=5,--O908,--M908),0)</ns0:f>
        <ns0:v>0</ns0:v>
      </ns0:c>
      <ns0:c r="S908" s="0">
        <ns0:f>IFERROR(IF(AND(P908&gt;=2000,P908&lt;=2100,Q908&gt;=1,Q908&lt;=12,R908&gt;=1,R908&lt;=31),DATE(P908,Q908,R908),0),0)</ns0:f>
        <ns0:v>0</ns0:v>
      </ns0:c>
      <ns0:c r="T908" s="0">
        <ns0:f>IFERROR(IF(ISNUMBER(Bookings!D908),IF(AND(Bookings!D908=INT(Bookings!D908),Bookings!D908&gt;=DATE(2000,1,1),Bookings!D908&lt;=DATE(2100,12,31)),Bookings!D908,0),IF(AND(K908&lt;&gt;"",LEN("x"&amp;L908)-LEN(SUBSTITUTE("x"&amp;L908,".",""))=2,OR(1&gt;LEN(L908),MID(L908,1,1)=".",ISNUMBER(FIND("x"&amp;MID(L908,1,1),"x0x1x2x3x4x5x6x7x8x9"))),OR(2&gt;LEN(L908),MID(L908,2,1)=".",ISNUMBER(FIND("x"&amp;MID(L908,2,1),"x0x1x2x3x4x5x6x7x8x9"))),OR(3&gt;LEN(L908),MID(L908,3,1)=".",ISNUMBER(FIND("x"&amp;MID(L908,3,1),"x0x1x2x3x4x5x6x7x8x9"))),OR(4&gt;LEN(L908),MID(L908,4,1)=".",ISNUMBER(FIND("x"&amp;MID(L908,4,1),"x0x1x2x3x4x5x6x7x8x9"))),OR(5&gt;LEN(L908),MID(L908,5,1)=".",ISNUMBER(FIND("x"&amp;MID(L908,5,1),"x0x1x2x3x4x5x6x7x8x9"))),OR(6&gt;LEN(L908),MID(L908,6,1)=".",ISNUMBER(FIND("x"&amp;MID(L908,6,1),"x0x1x2x3x4x5x6x7x8x9"))),OR(7&gt;LEN(L908),MID(L908,7,1)=".",ISNUMBER(FIND("x"&amp;MID(L908,7,1),"x0x1x2x3x4x5x6x7x8x9"))),OR(8&gt;LEN(L908),MID(L908,8,1)=".",ISNUMBER(FIND("x"&amp;MID(L908,8,1),"x0x1x2x3x4x5x6x7x8x9"))),OR(9&gt;LEN(L908),MID(L908,9,1)=".",ISNUMBER(FIND("x"&amp;MID(L908,9,1),"x0x1x2x3x4x5x6x7x8x9"))),OR(10&gt;LEN(L908),MID(L908,10,1)=".",ISNUMBER(FIND("x"&amp;MID(L908,10,1),"x0x1x2x3x4x5x6x7x8x9"))),OR(AND(FIND(".",L908)=5,LEN(L908)-FIND(".",L908,FIND(".",L908)+1)&gt;=1,LEN(L908)-FIND(".",L908,FIND(".",L908)+1)&lt;=2),AND(LEN(L908)-FIND(".",L908,FIND(".",L908)+1)=4,FIND(".",L908)&gt;=2,FIND(".",L908)&lt;=3)),FIND(".",L908,FIND(".",L908)+1)-FIND(".",L908)&gt;=2,FIND(".",L908,FIND(".",L908)+1)-FIND(".",L908)&lt;=3,P908&gt;=2000,P908&lt;=2100,YEAR(S908)=P908,MONTH(S908)=Q908,DAY(S908)=R908),S908,0)),0)</ns0:f>
        <ns0:v>0</ns0:v>
      </ns0:c>
      <ns0:c r="U908" s="0" t="str">
        <ns0:f>IF(Bookings!C908="","Full day",Bookings!C908)</ns0:f>
        <ns0:v>Full day</ns0:v>
      </ns0:c>
      <ns0:c r="V908" s="0" t="str">
        <ns0:f>IF(Bookings!E908="","Full day",Bookings!E908)</ns0:f>
        <ns0:v>Full day</ns0:v>
      </ns0:c>
      <ns0:c r="W908" s="0">
        <ns0:f>IF(J908=0,0,J908+IF(U908="PM",1,0))</ns0:f>
        <ns0:v>0</ns0:v>
      </ns0:c>
      <ns0:c r="X908" s="0">
        <ns0:f>IF(T908=0,0,T908-IF(V908="PM",1,0))</ns0:f>
        <ns0:v>0</ns0:v>
      </ns0:c>
      <ns0:c r="Y908" s="0">
        <ns0:f>IF(J908=0,0,J908+IF(U908="AM",1,0))</ns0:f>
        <ns0:v>0</ns0:v>
      </ns0:c>
      <ns0:c r="Z908" s="0">
        <ns0:f>IF(T908=0,0,T908-IF(V908="AM",1,0))</ns0:f>
        <ns0:v>0</ns0:v>
      </ns0:c>
      <ns0:c r="AA908" s="0">
        <ns0:f>IFERROR(IF(AND(J908&gt;0,'_Engine'!C908&gt;0,MID('_Engine'!W908,WEEKDAY(J908,2),1)="W",COUNTIF(Settings!$F$18:$F$67,J908)=0),1,0),0)</ns0:f>
        <ns0:v>0</ns0:v>
      </ns0:c>
      <ns0:c r="AB908" s="0">
        <ns0:f>IFERROR(IF(AND(T908&gt;0,'_Engine'!C908&gt;0,MID('_Engine'!W908,WEEKDAY(T908,2),1)="W",COUNTIF(Settings!$F$18:$F$67,T908)=0),1,0),0)</ns0:f>
        <ns0:v>0</ns0:v>
      </ns0:c>
      <ns0:c r="AC908" s="0">
        <ns0:f>IF(AND(J908&gt;0,T908&gt;0,W908&lt;=X908),1,0)</ns0:f>
        <ns0:v>0</ns0:v>
      </ns0:c>
      <ns0:c r="AD908" s="0">
        <ns0:f>IF(AND(J908&gt;0,T908&gt;0,Y908&lt;=Z908),1,0)</ns0:f>
        <ns0:v>0</ns0:v>
      </ns0:c>
    </ns0:row>
    <ns0:row r="909">
      <ns0:c r="A909" s="0">
        <ns0:f>IFERROR(IF(ISNUMBER(Bookings!B909),"",TRIM(Bookings!B909&amp;"")),"")</ns0:f>
      </ns0:c>
      <ns0:c r="B909" s="0">
        <ns0:f>IFERROR(SUBSTITUTE(SUBSTITUTE(A909,"/","."),"-","."),"")</ns0:f>
      </ns0:c>
      <ns0:c r="C909" s="0">
        <ns0:f>IFERROR(LEFT(B909,FIND(".",B909)-1),"")</ns0:f>
      </ns0:c>
      <ns0:c r="D909" s="0">
        <ns0:f>IFERROR(MID(B909,FIND(".",B909)+1,FIND(".",B909,FIND(".",B909)+1)-FIND(".",B909)-1),"")</ns0:f>
      </ns0:c>
      <ns0:c r="E909" s="0">
        <ns0:f>IFERROR(MID(B909,FIND(".",B909,FIND(".",B909)+1)+1,99),"")</ns0:f>
        <ns0:v>99</ns0:v>
      </ns0:c>
      <ns0:c r="F909" s="0">
        <ns0:f>IFERROR(IF(FIND(".",B909)=5,--C909,--E909),0)</ns0:f>
        <ns0:v>0</ns0:v>
      </ns0:c>
      <ns0:c r="G909" s="0">
        <ns0:f>IFERROR(--D909,0)</ns0:f>
        <ns0:v>0</ns0:v>
      </ns0:c>
      <ns0:c r="H909" s="0">
        <ns0:f>IFERROR(IF(FIND(".",B909)=5,--E909,--C909),0)</ns0:f>
        <ns0:v>0</ns0:v>
      </ns0:c>
      <ns0:c r="I909" s="0">
        <ns0:f>IFERROR(IF(AND(F909&gt;=2000,F909&lt;=2100,G909&gt;=1,G909&lt;=12,H909&gt;=1,H909&lt;=31),DATE(F909,G909,H909),0),0)</ns0:f>
        <ns0:v>0</ns0:v>
      </ns0:c>
      <ns0:c r="J909" s="0">
        <ns0:f>IFERROR(IF(ISNUMBER(Bookings!B909),IF(AND(Bookings!B909=INT(Bookings!B909),Bookings!B909&gt;=DATE(2000,1,1),Bookings!B909&lt;=DATE(2100,12,31)),Bookings!B909,0),IF(AND(A909&lt;&gt;"",LEN("x"&amp;B909)-LEN(SUBSTITUTE("x"&amp;B909,".",""))=2,OR(1&gt;LEN(B909),MID(B909,1,1)=".",ISNUMBER(FIND("x"&amp;MID(B909,1,1),"x0x1x2x3x4x5x6x7x8x9"))),OR(2&gt;LEN(B909),MID(B909,2,1)=".",ISNUMBER(FIND("x"&amp;MID(B909,2,1),"x0x1x2x3x4x5x6x7x8x9"))),OR(3&gt;LEN(B909),MID(B909,3,1)=".",ISNUMBER(FIND("x"&amp;MID(B909,3,1),"x0x1x2x3x4x5x6x7x8x9"))),OR(4&gt;LEN(B909),MID(B909,4,1)=".",ISNUMBER(FIND("x"&amp;MID(B909,4,1),"x0x1x2x3x4x5x6x7x8x9"))),OR(5&gt;LEN(B909),MID(B909,5,1)=".",ISNUMBER(FIND("x"&amp;MID(B909,5,1),"x0x1x2x3x4x5x6x7x8x9"))),OR(6&gt;LEN(B909),MID(B909,6,1)=".",ISNUMBER(FIND("x"&amp;MID(B909,6,1),"x0x1x2x3x4x5x6x7x8x9"))),OR(7&gt;LEN(B909),MID(B909,7,1)=".",ISNUMBER(FIND("x"&amp;MID(B909,7,1),"x0x1x2x3x4x5x6x7x8x9"))),OR(8&gt;LEN(B909),MID(B909,8,1)=".",ISNUMBER(FIND("x"&amp;MID(B909,8,1),"x0x1x2x3x4x5x6x7x8x9"))),OR(9&gt;LEN(B909),MID(B909,9,1)=".",ISNUMBER(FIND("x"&amp;MID(B909,9,1),"x0x1x2x3x4x5x6x7x8x9"))),OR(10&gt;LEN(B909),MID(B909,10,1)=".",ISNUMBER(FIND("x"&amp;MID(B909,10,1),"x0x1x2x3x4x5x6x7x8x9"))),OR(AND(FIND(".",B909)=5,LEN(B909)-FIND(".",B909,FIND(".",B909)+1)&gt;=1,LEN(B909)-FIND(".",B909,FIND(".",B909)+1)&lt;=2),AND(LEN(B909)-FIND(".",B909,FIND(".",B909)+1)=4,FIND(".",B909)&gt;=2,FIND(".",B909)&lt;=3)),FIND(".",B909,FIND(".",B909)+1)-FIND(".",B909)&gt;=2,FIND(".",B909,FIND(".",B909)+1)-FIND(".",B909)&lt;=3,F909&gt;=2000,F909&lt;=2100,YEAR(I909)=F909,MONTH(I909)=G909,DAY(I909)=H909),I909,0)),0)</ns0:f>
        <ns0:v>0</ns0:v>
      </ns0:c>
      <ns0:c r="K909" s="0">
        <ns0:f>IFERROR(IF(ISNUMBER(Bookings!D909),"",TRIM(Bookings!D909&amp;"")),"")</ns0:f>
      </ns0:c>
      <ns0:c r="L909" s="0">
        <ns0:f>IFERROR(SUBSTITUTE(SUBSTITUTE(K909,"/","."),"-","."),"")</ns0:f>
      </ns0:c>
      <ns0:c r="M909" s="0">
        <ns0:f>IFERROR(LEFT(L909,FIND(".",L909)-1),"")</ns0:f>
      </ns0:c>
      <ns0:c r="N909" s="0">
        <ns0:f>IFERROR(MID(L909,FIND(".",L909)+1,FIND(".",L909,FIND(".",L909)+1)-FIND(".",L909)-1),"")</ns0:f>
      </ns0:c>
      <ns0:c r="O909" s="0">
        <ns0:f>IFERROR(MID(L909,FIND(".",L909,FIND(".",L909)+1)+1,99),"")</ns0:f>
        <ns0:v>99</ns0:v>
      </ns0:c>
      <ns0:c r="P909" s="0">
        <ns0:f>IFERROR(IF(FIND(".",L909)=5,--M909,--O909),0)</ns0:f>
        <ns0:v>0</ns0:v>
      </ns0:c>
      <ns0:c r="Q909" s="0">
        <ns0:f>IFERROR(--N909,0)</ns0:f>
        <ns0:v>0</ns0:v>
      </ns0:c>
      <ns0:c r="R909" s="0">
        <ns0:f>IFERROR(IF(FIND(".",L909)=5,--O909,--M909),0)</ns0:f>
        <ns0:v>0</ns0:v>
      </ns0:c>
      <ns0:c r="S909" s="0">
        <ns0:f>IFERROR(IF(AND(P909&gt;=2000,P909&lt;=2100,Q909&gt;=1,Q909&lt;=12,R909&gt;=1,R909&lt;=31),DATE(P909,Q909,R909),0),0)</ns0:f>
        <ns0:v>0</ns0:v>
      </ns0:c>
      <ns0:c r="T909" s="0">
        <ns0:f>IFERROR(IF(ISNUMBER(Bookings!D909),IF(AND(Bookings!D909=INT(Bookings!D909),Bookings!D909&gt;=DATE(2000,1,1),Bookings!D909&lt;=DATE(2100,12,31)),Bookings!D909,0),IF(AND(K909&lt;&gt;"",LEN("x"&amp;L909)-LEN(SUBSTITUTE("x"&amp;L909,".",""))=2,OR(1&gt;LEN(L909),MID(L909,1,1)=".",ISNUMBER(FIND("x"&amp;MID(L909,1,1),"x0x1x2x3x4x5x6x7x8x9"))),OR(2&gt;LEN(L909),MID(L909,2,1)=".",ISNUMBER(FIND("x"&amp;MID(L909,2,1),"x0x1x2x3x4x5x6x7x8x9"))),OR(3&gt;LEN(L909),MID(L909,3,1)=".",ISNUMBER(FIND("x"&amp;MID(L909,3,1),"x0x1x2x3x4x5x6x7x8x9"))),OR(4&gt;LEN(L909),MID(L909,4,1)=".",ISNUMBER(FIND("x"&amp;MID(L909,4,1),"x0x1x2x3x4x5x6x7x8x9"))),OR(5&gt;LEN(L909),MID(L909,5,1)=".",ISNUMBER(FIND("x"&amp;MID(L909,5,1),"x0x1x2x3x4x5x6x7x8x9"))),OR(6&gt;LEN(L909),MID(L909,6,1)=".",ISNUMBER(FIND("x"&amp;MID(L909,6,1),"x0x1x2x3x4x5x6x7x8x9"))),OR(7&gt;LEN(L909),MID(L909,7,1)=".",ISNUMBER(FIND("x"&amp;MID(L909,7,1),"x0x1x2x3x4x5x6x7x8x9"))),OR(8&gt;LEN(L909),MID(L909,8,1)=".",ISNUMBER(FIND("x"&amp;MID(L909,8,1),"x0x1x2x3x4x5x6x7x8x9"))),OR(9&gt;LEN(L909),MID(L909,9,1)=".",ISNUMBER(FIND("x"&amp;MID(L909,9,1),"x0x1x2x3x4x5x6x7x8x9"))),OR(10&gt;LEN(L909),MID(L909,10,1)=".",ISNUMBER(FIND("x"&amp;MID(L909,10,1),"x0x1x2x3x4x5x6x7x8x9"))),OR(AND(FIND(".",L909)=5,LEN(L909)-FIND(".",L909,FIND(".",L909)+1)&gt;=1,LEN(L909)-FIND(".",L909,FIND(".",L909)+1)&lt;=2),AND(LEN(L909)-FIND(".",L909,FIND(".",L909)+1)=4,FIND(".",L909)&gt;=2,FIND(".",L909)&lt;=3)),FIND(".",L909,FIND(".",L909)+1)-FIND(".",L909)&gt;=2,FIND(".",L909,FIND(".",L909)+1)-FIND(".",L909)&lt;=3,P909&gt;=2000,P909&lt;=2100,YEAR(S909)=P909,MONTH(S909)=Q909,DAY(S909)=R909),S909,0)),0)</ns0:f>
        <ns0:v>0</ns0:v>
      </ns0:c>
      <ns0:c r="U909" s="0" t="str">
        <ns0:f>IF(Bookings!C909="","Full day",Bookings!C909)</ns0:f>
        <ns0:v>Full day</ns0:v>
      </ns0:c>
      <ns0:c r="V909" s="0" t="str">
        <ns0:f>IF(Bookings!E909="","Full day",Bookings!E909)</ns0:f>
        <ns0:v>Full day</ns0:v>
      </ns0:c>
      <ns0:c r="W909" s="0">
        <ns0:f>IF(J909=0,0,J909+IF(U909="PM",1,0))</ns0:f>
        <ns0:v>0</ns0:v>
      </ns0:c>
      <ns0:c r="X909" s="0">
        <ns0:f>IF(T909=0,0,T909-IF(V909="PM",1,0))</ns0:f>
        <ns0:v>0</ns0:v>
      </ns0:c>
      <ns0:c r="Y909" s="0">
        <ns0:f>IF(J909=0,0,J909+IF(U909="AM",1,0))</ns0:f>
        <ns0:v>0</ns0:v>
      </ns0:c>
      <ns0:c r="Z909" s="0">
        <ns0:f>IF(T909=0,0,T909-IF(V909="AM",1,0))</ns0:f>
        <ns0:v>0</ns0:v>
      </ns0:c>
      <ns0:c r="AA909" s="0">
        <ns0:f>IFERROR(IF(AND(J909&gt;0,'_Engine'!C909&gt;0,MID('_Engine'!W909,WEEKDAY(J909,2),1)="W",COUNTIF(Settings!$F$18:$F$67,J909)=0),1,0),0)</ns0:f>
        <ns0:v>0</ns0:v>
      </ns0:c>
      <ns0:c r="AB909" s="0">
        <ns0:f>IFERROR(IF(AND(T909&gt;0,'_Engine'!C909&gt;0,MID('_Engine'!W909,WEEKDAY(T909,2),1)="W",COUNTIF(Settings!$F$18:$F$67,T909)=0),1,0),0)</ns0:f>
        <ns0:v>0</ns0:v>
      </ns0:c>
      <ns0:c r="AC909" s="0">
        <ns0:f>IF(AND(J909&gt;0,T909&gt;0,W909&lt;=X909),1,0)</ns0:f>
        <ns0:v>0</ns0:v>
      </ns0:c>
      <ns0:c r="AD909" s="0">
        <ns0:f>IF(AND(J909&gt;0,T909&gt;0,Y909&lt;=Z909),1,0)</ns0:f>
        <ns0:v>0</ns0:v>
      </ns0:c>
    </ns0:row>
    <ns0:row r="910">
      <ns0:c r="A910" s="0">
        <ns0:f>IFERROR(IF(ISNUMBER(Bookings!B910),"",TRIM(Bookings!B910&amp;"")),"")</ns0:f>
      </ns0:c>
      <ns0:c r="B910" s="0">
        <ns0:f>IFERROR(SUBSTITUTE(SUBSTITUTE(A910,"/","."),"-","."),"")</ns0:f>
      </ns0:c>
      <ns0:c r="C910" s="0">
        <ns0:f>IFERROR(LEFT(B910,FIND(".",B910)-1),"")</ns0:f>
      </ns0:c>
      <ns0:c r="D910" s="0">
        <ns0:f>IFERROR(MID(B910,FIND(".",B910)+1,FIND(".",B910,FIND(".",B910)+1)-FIND(".",B910)-1),"")</ns0:f>
      </ns0:c>
      <ns0:c r="E910" s="0">
        <ns0:f>IFERROR(MID(B910,FIND(".",B910,FIND(".",B910)+1)+1,99),"")</ns0:f>
        <ns0:v>99</ns0:v>
      </ns0:c>
      <ns0:c r="F910" s="0">
        <ns0:f>IFERROR(IF(FIND(".",B910)=5,--C910,--E910),0)</ns0:f>
        <ns0:v>0</ns0:v>
      </ns0:c>
      <ns0:c r="G910" s="0">
        <ns0:f>IFERROR(--D910,0)</ns0:f>
        <ns0:v>0</ns0:v>
      </ns0:c>
      <ns0:c r="H910" s="0">
        <ns0:f>IFERROR(IF(FIND(".",B910)=5,--E910,--C910),0)</ns0:f>
        <ns0:v>0</ns0:v>
      </ns0:c>
      <ns0:c r="I910" s="0">
        <ns0:f>IFERROR(IF(AND(F910&gt;=2000,F910&lt;=2100,G910&gt;=1,G910&lt;=12,H910&gt;=1,H910&lt;=31),DATE(F910,G910,H910),0),0)</ns0:f>
        <ns0:v>0</ns0:v>
      </ns0:c>
      <ns0:c r="J910" s="0">
        <ns0:f>IFERROR(IF(ISNUMBER(Bookings!B910),IF(AND(Bookings!B910=INT(Bookings!B910),Bookings!B910&gt;=DATE(2000,1,1),Bookings!B910&lt;=DATE(2100,12,31)),Bookings!B910,0),IF(AND(A910&lt;&gt;"",LEN("x"&amp;B910)-LEN(SUBSTITUTE("x"&amp;B910,".",""))=2,OR(1&gt;LEN(B910),MID(B910,1,1)=".",ISNUMBER(FIND("x"&amp;MID(B910,1,1),"x0x1x2x3x4x5x6x7x8x9"))),OR(2&gt;LEN(B910),MID(B910,2,1)=".",ISNUMBER(FIND("x"&amp;MID(B910,2,1),"x0x1x2x3x4x5x6x7x8x9"))),OR(3&gt;LEN(B910),MID(B910,3,1)=".",ISNUMBER(FIND("x"&amp;MID(B910,3,1),"x0x1x2x3x4x5x6x7x8x9"))),OR(4&gt;LEN(B910),MID(B910,4,1)=".",ISNUMBER(FIND("x"&amp;MID(B910,4,1),"x0x1x2x3x4x5x6x7x8x9"))),OR(5&gt;LEN(B910),MID(B910,5,1)=".",ISNUMBER(FIND("x"&amp;MID(B910,5,1),"x0x1x2x3x4x5x6x7x8x9"))),OR(6&gt;LEN(B910),MID(B910,6,1)=".",ISNUMBER(FIND("x"&amp;MID(B910,6,1),"x0x1x2x3x4x5x6x7x8x9"))),OR(7&gt;LEN(B910),MID(B910,7,1)=".",ISNUMBER(FIND("x"&amp;MID(B910,7,1),"x0x1x2x3x4x5x6x7x8x9"))),OR(8&gt;LEN(B910),MID(B910,8,1)=".",ISNUMBER(FIND("x"&amp;MID(B910,8,1),"x0x1x2x3x4x5x6x7x8x9"))),OR(9&gt;LEN(B910),MID(B910,9,1)=".",ISNUMBER(FIND("x"&amp;MID(B910,9,1),"x0x1x2x3x4x5x6x7x8x9"))),OR(10&gt;LEN(B910),MID(B910,10,1)=".",ISNUMBER(FIND("x"&amp;MID(B910,10,1),"x0x1x2x3x4x5x6x7x8x9"))),OR(AND(FIND(".",B910)=5,LEN(B910)-FIND(".",B910,FIND(".",B910)+1)&gt;=1,LEN(B910)-FIND(".",B910,FIND(".",B910)+1)&lt;=2),AND(LEN(B910)-FIND(".",B910,FIND(".",B910)+1)=4,FIND(".",B910)&gt;=2,FIND(".",B910)&lt;=3)),FIND(".",B910,FIND(".",B910)+1)-FIND(".",B910)&gt;=2,FIND(".",B910,FIND(".",B910)+1)-FIND(".",B910)&lt;=3,F910&gt;=2000,F910&lt;=2100,YEAR(I910)=F910,MONTH(I910)=G910,DAY(I910)=H910),I910,0)),0)</ns0:f>
        <ns0:v>0</ns0:v>
      </ns0:c>
      <ns0:c r="K910" s="0">
        <ns0:f>IFERROR(IF(ISNUMBER(Bookings!D910),"",TRIM(Bookings!D910&amp;"")),"")</ns0:f>
      </ns0:c>
      <ns0:c r="L910" s="0">
        <ns0:f>IFERROR(SUBSTITUTE(SUBSTITUTE(K910,"/","."),"-","."),"")</ns0:f>
      </ns0:c>
      <ns0:c r="M910" s="0">
        <ns0:f>IFERROR(LEFT(L910,FIND(".",L910)-1),"")</ns0:f>
      </ns0:c>
      <ns0:c r="N910" s="0">
        <ns0:f>IFERROR(MID(L910,FIND(".",L910)+1,FIND(".",L910,FIND(".",L910)+1)-FIND(".",L910)-1),"")</ns0:f>
      </ns0:c>
      <ns0:c r="O910" s="0">
        <ns0:f>IFERROR(MID(L910,FIND(".",L910,FIND(".",L910)+1)+1,99),"")</ns0:f>
        <ns0:v>99</ns0:v>
      </ns0:c>
      <ns0:c r="P910" s="0">
        <ns0:f>IFERROR(IF(FIND(".",L910)=5,--M910,--O910),0)</ns0:f>
        <ns0:v>0</ns0:v>
      </ns0:c>
      <ns0:c r="Q910" s="0">
        <ns0:f>IFERROR(--N910,0)</ns0:f>
        <ns0:v>0</ns0:v>
      </ns0:c>
      <ns0:c r="R910" s="0">
        <ns0:f>IFERROR(IF(FIND(".",L910)=5,--O910,--M910),0)</ns0:f>
        <ns0:v>0</ns0:v>
      </ns0:c>
      <ns0:c r="S910" s="0">
        <ns0:f>IFERROR(IF(AND(P910&gt;=2000,P910&lt;=2100,Q910&gt;=1,Q910&lt;=12,R910&gt;=1,R910&lt;=31),DATE(P910,Q910,R910),0),0)</ns0:f>
        <ns0:v>0</ns0:v>
      </ns0:c>
      <ns0:c r="T910" s="0">
        <ns0:f>IFERROR(IF(ISNUMBER(Bookings!D910),IF(AND(Bookings!D910=INT(Bookings!D910),Bookings!D910&gt;=DATE(2000,1,1),Bookings!D910&lt;=DATE(2100,12,31)),Bookings!D910,0),IF(AND(K910&lt;&gt;"",LEN("x"&amp;L910)-LEN(SUBSTITUTE("x"&amp;L910,".",""))=2,OR(1&gt;LEN(L910),MID(L910,1,1)=".",ISNUMBER(FIND("x"&amp;MID(L910,1,1),"x0x1x2x3x4x5x6x7x8x9"))),OR(2&gt;LEN(L910),MID(L910,2,1)=".",ISNUMBER(FIND("x"&amp;MID(L910,2,1),"x0x1x2x3x4x5x6x7x8x9"))),OR(3&gt;LEN(L910),MID(L910,3,1)=".",ISNUMBER(FIND("x"&amp;MID(L910,3,1),"x0x1x2x3x4x5x6x7x8x9"))),OR(4&gt;LEN(L910),MID(L910,4,1)=".",ISNUMBER(FIND("x"&amp;MID(L910,4,1),"x0x1x2x3x4x5x6x7x8x9"))),OR(5&gt;LEN(L910),MID(L910,5,1)=".",ISNUMBER(FIND("x"&amp;MID(L910,5,1),"x0x1x2x3x4x5x6x7x8x9"))),OR(6&gt;LEN(L910),MID(L910,6,1)=".",ISNUMBER(FIND("x"&amp;MID(L910,6,1),"x0x1x2x3x4x5x6x7x8x9"))),OR(7&gt;LEN(L910),MID(L910,7,1)=".",ISNUMBER(FIND("x"&amp;MID(L910,7,1),"x0x1x2x3x4x5x6x7x8x9"))),OR(8&gt;LEN(L910),MID(L910,8,1)=".",ISNUMBER(FIND("x"&amp;MID(L910,8,1),"x0x1x2x3x4x5x6x7x8x9"))),OR(9&gt;LEN(L910),MID(L910,9,1)=".",ISNUMBER(FIND("x"&amp;MID(L910,9,1),"x0x1x2x3x4x5x6x7x8x9"))),OR(10&gt;LEN(L910),MID(L910,10,1)=".",ISNUMBER(FIND("x"&amp;MID(L910,10,1),"x0x1x2x3x4x5x6x7x8x9"))),OR(AND(FIND(".",L910)=5,LEN(L910)-FIND(".",L910,FIND(".",L910)+1)&gt;=1,LEN(L910)-FIND(".",L910,FIND(".",L910)+1)&lt;=2),AND(LEN(L910)-FIND(".",L910,FIND(".",L910)+1)=4,FIND(".",L910)&gt;=2,FIND(".",L910)&lt;=3)),FIND(".",L910,FIND(".",L910)+1)-FIND(".",L910)&gt;=2,FIND(".",L910,FIND(".",L910)+1)-FIND(".",L910)&lt;=3,P910&gt;=2000,P910&lt;=2100,YEAR(S910)=P910,MONTH(S910)=Q910,DAY(S910)=R910),S910,0)),0)</ns0:f>
        <ns0:v>0</ns0:v>
      </ns0:c>
      <ns0:c r="U910" s="0" t="str">
        <ns0:f>IF(Bookings!C910="","Full day",Bookings!C910)</ns0:f>
        <ns0:v>Full day</ns0:v>
      </ns0:c>
      <ns0:c r="V910" s="0" t="str">
        <ns0:f>IF(Bookings!E910="","Full day",Bookings!E910)</ns0:f>
        <ns0:v>Full day</ns0:v>
      </ns0:c>
      <ns0:c r="W910" s="0">
        <ns0:f>IF(J910=0,0,J910+IF(U910="PM",1,0))</ns0:f>
        <ns0:v>0</ns0:v>
      </ns0:c>
      <ns0:c r="X910" s="0">
        <ns0:f>IF(T910=0,0,T910-IF(V910="PM",1,0))</ns0:f>
        <ns0:v>0</ns0:v>
      </ns0:c>
      <ns0:c r="Y910" s="0">
        <ns0:f>IF(J910=0,0,J910+IF(U910="AM",1,0))</ns0:f>
        <ns0:v>0</ns0:v>
      </ns0:c>
      <ns0:c r="Z910" s="0">
        <ns0:f>IF(T910=0,0,T910-IF(V910="AM",1,0))</ns0:f>
        <ns0:v>0</ns0:v>
      </ns0:c>
      <ns0:c r="AA910" s="0">
        <ns0:f>IFERROR(IF(AND(J910&gt;0,'_Engine'!C910&gt;0,MID('_Engine'!W910,WEEKDAY(J910,2),1)="W",COUNTIF(Settings!$F$18:$F$67,J910)=0),1,0),0)</ns0:f>
        <ns0:v>0</ns0:v>
      </ns0:c>
      <ns0:c r="AB910" s="0">
        <ns0:f>IFERROR(IF(AND(T910&gt;0,'_Engine'!C910&gt;0,MID('_Engine'!W910,WEEKDAY(T910,2),1)="W",COUNTIF(Settings!$F$18:$F$67,T910)=0),1,0),0)</ns0:f>
        <ns0:v>0</ns0:v>
      </ns0:c>
      <ns0:c r="AC910" s="0">
        <ns0:f>IF(AND(J910&gt;0,T910&gt;0,W910&lt;=X910),1,0)</ns0:f>
        <ns0:v>0</ns0:v>
      </ns0:c>
      <ns0:c r="AD910" s="0">
        <ns0:f>IF(AND(J910&gt;0,T910&gt;0,Y910&lt;=Z910),1,0)</ns0:f>
        <ns0:v>0</ns0:v>
      </ns0:c>
    </ns0:row>
    <ns0:row r="911">
      <ns0:c r="A911" s="0">
        <ns0:f>IFERROR(IF(ISNUMBER(Bookings!B911),"",TRIM(Bookings!B911&amp;"")),"")</ns0:f>
      </ns0:c>
      <ns0:c r="B911" s="0">
        <ns0:f>IFERROR(SUBSTITUTE(SUBSTITUTE(A911,"/","."),"-","."),"")</ns0:f>
      </ns0:c>
      <ns0:c r="C911" s="0">
        <ns0:f>IFERROR(LEFT(B911,FIND(".",B911)-1),"")</ns0:f>
      </ns0:c>
      <ns0:c r="D911" s="0">
        <ns0:f>IFERROR(MID(B911,FIND(".",B911)+1,FIND(".",B911,FIND(".",B911)+1)-FIND(".",B911)-1),"")</ns0:f>
      </ns0:c>
      <ns0:c r="E911" s="0">
        <ns0:f>IFERROR(MID(B911,FIND(".",B911,FIND(".",B911)+1)+1,99),"")</ns0:f>
        <ns0:v>99</ns0:v>
      </ns0:c>
      <ns0:c r="F911" s="0">
        <ns0:f>IFERROR(IF(FIND(".",B911)=5,--C911,--E911),0)</ns0:f>
        <ns0:v>0</ns0:v>
      </ns0:c>
      <ns0:c r="G911" s="0">
        <ns0:f>IFERROR(--D911,0)</ns0:f>
        <ns0:v>0</ns0:v>
      </ns0:c>
      <ns0:c r="H911" s="0">
        <ns0:f>IFERROR(IF(FIND(".",B911)=5,--E911,--C911),0)</ns0:f>
        <ns0:v>0</ns0:v>
      </ns0:c>
      <ns0:c r="I911" s="0">
        <ns0:f>IFERROR(IF(AND(F911&gt;=2000,F911&lt;=2100,G911&gt;=1,G911&lt;=12,H911&gt;=1,H911&lt;=31),DATE(F911,G911,H911),0),0)</ns0:f>
        <ns0:v>0</ns0:v>
      </ns0:c>
      <ns0:c r="J911" s="0">
        <ns0:f>IFERROR(IF(ISNUMBER(Bookings!B911),IF(AND(Bookings!B911=INT(Bookings!B911),Bookings!B911&gt;=DATE(2000,1,1),Bookings!B911&lt;=DATE(2100,12,31)),Bookings!B911,0),IF(AND(A911&lt;&gt;"",LEN("x"&amp;B911)-LEN(SUBSTITUTE("x"&amp;B911,".",""))=2,OR(1&gt;LEN(B911),MID(B911,1,1)=".",ISNUMBER(FIND("x"&amp;MID(B911,1,1),"x0x1x2x3x4x5x6x7x8x9"))),OR(2&gt;LEN(B911),MID(B911,2,1)=".",ISNUMBER(FIND("x"&amp;MID(B911,2,1),"x0x1x2x3x4x5x6x7x8x9"))),OR(3&gt;LEN(B911),MID(B911,3,1)=".",ISNUMBER(FIND("x"&amp;MID(B911,3,1),"x0x1x2x3x4x5x6x7x8x9"))),OR(4&gt;LEN(B911),MID(B911,4,1)=".",ISNUMBER(FIND("x"&amp;MID(B911,4,1),"x0x1x2x3x4x5x6x7x8x9"))),OR(5&gt;LEN(B911),MID(B911,5,1)=".",ISNUMBER(FIND("x"&amp;MID(B911,5,1),"x0x1x2x3x4x5x6x7x8x9"))),OR(6&gt;LEN(B911),MID(B911,6,1)=".",ISNUMBER(FIND("x"&amp;MID(B911,6,1),"x0x1x2x3x4x5x6x7x8x9"))),OR(7&gt;LEN(B911),MID(B911,7,1)=".",ISNUMBER(FIND("x"&amp;MID(B911,7,1),"x0x1x2x3x4x5x6x7x8x9"))),OR(8&gt;LEN(B911),MID(B911,8,1)=".",ISNUMBER(FIND("x"&amp;MID(B911,8,1),"x0x1x2x3x4x5x6x7x8x9"))),OR(9&gt;LEN(B911),MID(B911,9,1)=".",ISNUMBER(FIND("x"&amp;MID(B911,9,1),"x0x1x2x3x4x5x6x7x8x9"))),OR(10&gt;LEN(B911),MID(B911,10,1)=".",ISNUMBER(FIND("x"&amp;MID(B911,10,1),"x0x1x2x3x4x5x6x7x8x9"))),OR(AND(FIND(".",B911)=5,LEN(B911)-FIND(".",B911,FIND(".",B911)+1)&gt;=1,LEN(B911)-FIND(".",B911,FIND(".",B911)+1)&lt;=2),AND(LEN(B911)-FIND(".",B911,FIND(".",B911)+1)=4,FIND(".",B911)&gt;=2,FIND(".",B911)&lt;=3)),FIND(".",B911,FIND(".",B911)+1)-FIND(".",B911)&gt;=2,FIND(".",B911,FIND(".",B911)+1)-FIND(".",B911)&lt;=3,F911&gt;=2000,F911&lt;=2100,YEAR(I911)=F911,MONTH(I911)=G911,DAY(I911)=H911),I911,0)),0)</ns0:f>
        <ns0:v>0</ns0:v>
      </ns0:c>
      <ns0:c r="K911" s="0">
        <ns0:f>IFERROR(IF(ISNUMBER(Bookings!D911),"",TRIM(Bookings!D911&amp;"")),"")</ns0:f>
      </ns0:c>
      <ns0:c r="L911" s="0">
        <ns0:f>IFERROR(SUBSTITUTE(SUBSTITUTE(K911,"/","."),"-","."),"")</ns0:f>
      </ns0:c>
      <ns0:c r="M911" s="0">
        <ns0:f>IFERROR(LEFT(L911,FIND(".",L911)-1),"")</ns0:f>
      </ns0:c>
      <ns0:c r="N911" s="0">
        <ns0:f>IFERROR(MID(L911,FIND(".",L911)+1,FIND(".",L911,FIND(".",L911)+1)-FIND(".",L911)-1),"")</ns0:f>
      </ns0:c>
      <ns0:c r="O911" s="0">
        <ns0:f>IFERROR(MID(L911,FIND(".",L911,FIND(".",L911)+1)+1,99),"")</ns0:f>
        <ns0:v>99</ns0:v>
      </ns0:c>
      <ns0:c r="P911" s="0">
        <ns0:f>IFERROR(IF(FIND(".",L911)=5,--M911,--O911),0)</ns0:f>
        <ns0:v>0</ns0:v>
      </ns0:c>
      <ns0:c r="Q911" s="0">
        <ns0:f>IFERROR(--N911,0)</ns0:f>
        <ns0:v>0</ns0:v>
      </ns0:c>
      <ns0:c r="R911" s="0">
        <ns0:f>IFERROR(IF(FIND(".",L911)=5,--O911,--M911),0)</ns0:f>
        <ns0:v>0</ns0:v>
      </ns0:c>
      <ns0:c r="S911" s="0">
        <ns0:f>IFERROR(IF(AND(P911&gt;=2000,P911&lt;=2100,Q911&gt;=1,Q911&lt;=12,R911&gt;=1,R911&lt;=31),DATE(P911,Q911,R911),0),0)</ns0:f>
        <ns0:v>0</ns0:v>
      </ns0:c>
      <ns0:c r="T911" s="0">
        <ns0:f>IFERROR(IF(ISNUMBER(Bookings!D911),IF(AND(Bookings!D911=INT(Bookings!D911),Bookings!D911&gt;=DATE(2000,1,1),Bookings!D911&lt;=DATE(2100,12,31)),Bookings!D911,0),IF(AND(K911&lt;&gt;"",LEN("x"&amp;L911)-LEN(SUBSTITUTE("x"&amp;L911,".",""))=2,OR(1&gt;LEN(L911),MID(L911,1,1)=".",ISNUMBER(FIND("x"&amp;MID(L911,1,1),"x0x1x2x3x4x5x6x7x8x9"))),OR(2&gt;LEN(L911),MID(L911,2,1)=".",ISNUMBER(FIND("x"&amp;MID(L911,2,1),"x0x1x2x3x4x5x6x7x8x9"))),OR(3&gt;LEN(L911),MID(L911,3,1)=".",ISNUMBER(FIND("x"&amp;MID(L911,3,1),"x0x1x2x3x4x5x6x7x8x9"))),OR(4&gt;LEN(L911),MID(L911,4,1)=".",ISNUMBER(FIND("x"&amp;MID(L911,4,1),"x0x1x2x3x4x5x6x7x8x9"))),OR(5&gt;LEN(L911),MID(L911,5,1)=".",ISNUMBER(FIND("x"&amp;MID(L911,5,1),"x0x1x2x3x4x5x6x7x8x9"))),OR(6&gt;LEN(L911),MID(L911,6,1)=".",ISNUMBER(FIND("x"&amp;MID(L911,6,1),"x0x1x2x3x4x5x6x7x8x9"))),OR(7&gt;LEN(L911),MID(L911,7,1)=".",ISNUMBER(FIND("x"&amp;MID(L911,7,1),"x0x1x2x3x4x5x6x7x8x9"))),OR(8&gt;LEN(L911),MID(L911,8,1)=".",ISNUMBER(FIND("x"&amp;MID(L911,8,1),"x0x1x2x3x4x5x6x7x8x9"))),OR(9&gt;LEN(L911),MID(L911,9,1)=".",ISNUMBER(FIND("x"&amp;MID(L911,9,1),"x0x1x2x3x4x5x6x7x8x9"))),OR(10&gt;LEN(L911),MID(L911,10,1)=".",ISNUMBER(FIND("x"&amp;MID(L911,10,1),"x0x1x2x3x4x5x6x7x8x9"))),OR(AND(FIND(".",L911)=5,LEN(L911)-FIND(".",L911,FIND(".",L911)+1)&gt;=1,LEN(L911)-FIND(".",L911,FIND(".",L911)+1)&lt;=2),AND(LEN(L911)-FIND(".",L911,FIND(".",L911)+1)=4,FIND(".",L911)&gt;=2,FIND(".",L911)&lt;=3)),FIND(".",L911,FIND(".",L911)+1)-FIND(".",L911)&gt;=2,FIND(".",L911,FIND(".",L911)+1)-FIND(".",L911)&lt;=3,P911&gt;=2000,P911&lt;=2100,YEAR(S911)=P911,MONTH(S911)=Q911,DAY(S911)=R911),S911,0)),0)</ns0:f>
        <ns0:v>0</ns0:v>
      </ns0:c>
      <ns0:c r="U911" s="0" t="str">
        <ns0:f>IF(Bookings!C911="","Full day",Bookings!C911)</ns0:f>
        <ns0:v>Full day</ns0:v>
      </ns0:c>
      <ns0:c r="V911" s="0" t="str">
        <ns0:f>IF(Bookings!E911="","Full day",Bookings!E911)</ns0:f>
        <ns0:v>Full day</ns0:v>
      </ns0:c>
      <ns0:c r="W911" s="0">
        <ns0:f>IF(J911=0,0,J911+IF(U911="PM",1,0))</ns0:f>
        <ns0:v>0</ns0:v>
      </ns0:c>
      <ns0:c r="X911" s="0">
        <ns0:f>IF(T911=0,0,T911-IF(V911="PM",1,0))</ns0:f>
        <ns0:v>0</ns0:v>
      </ns0:c>
      <ns0:c r="Y911" s="0">
        <ns0:f>IF(J911=0,0,J911+IF(U911="AM",1,0))</ns0:f>
        <ns0:v>0</ns0:v>
      </ns0:c>
      <ns0:c r="Z911" s="0">
        <ns0:f>IF(T911=0,0,T911-IF(V911="AM",1,0))</ns0:f>
        <ns0:v>0</ns0:v>
      </ns0:c>
      <ns0:c r="AA911" s="0">
        <ns0:f>IFERROR(IF(AND(J911&gt;0,'_Engine'!C911&gt;0,MID('_Engine'!W911,WEEKDAY(J911,2),1)="W",COUNTIF(Settings!$F$18:$F$67,J911)=0),1,0),0)</ns0:f>
        <ns0:v>0</ns0:v>
      </ns0:c>
      <ns0:c r="AB911" s="0">
        <ns0:f>IFERROR(IF(AND(T911&gt;0,'_Engine'!C911&gt;0,MID('_Engine'!W911,WEEKDAY(T911,2),1)="W",COUNTIF(Settings!$F$18:$F$67,T911)=0),1,0),0)</ns0:f>
        <ns0:v>0</ns0:v>
      </ns0:c>
      <ns0:c r="AC911" s="0">
        <ns0:f>IF(AND(J911&gt;0,T911&gt;0,W911&lt;=X911),1,0)</ns0:f>
        <ns0:v>0</ns0:v>
      </ns0:c>
      <ns0:c r="AD911" s="0">
        <ns0:f>IF(AND(J911&gt;0,T911&gt;0,Y911&lt;=Z911),1,0)</ns0:f>
        <ns0:v>0</ns0:v>
      </ns0:c>
    </ns0:row>
    <ns0:row r="912">
      <ns0:c r="A912" s="0">
        <ns0:f>IFERROR(IF(ISNUMBER(Bookings!B912),"",TRIM(Bookings!B912&amp;"")),"")</ns0:f>
      </ns0:c>
      <ns0:c r="B912" s="0">
        <ns0:f>IFERROR(SUBSTITUTE(SUBSTITUTE(A912,"/","."),"-","."),"")</ns0:f>
      </ns0:c>
      <ns0:c r="C912" s="0">
        <ns0:f>IFERROR(LEFT(B912,FIND(".",B912)-1),"")</ns0:f>
      </ns0:c>
      <ns0:c r="D912" s="0">
        <ns0:f>IFERROR(MID(B912,FIND(".",B912)+1,FIND(".",B912,FIND(".",B912)+1)-FIND(".",B912)-1),"")</ns0:f>
      </ns0:c>
      <ns0:c r="E912" s="0">
        <ns0:f>IFERROR(MID(B912,FIND(".",B912,FIND(".",B912)+1)+1,99),"")</ns0:f>
        <ns0:v>99</ns0:v>
      </ns0:c>
      <ns0:c r="F912" s="0">
        <ns0:f>IFERROR(IF(FIND(".",B912)=5,--C912,--E912),0)</ns0:f>
        <ns0:v>0</ns0:v>
      </ns0:c>
      <ns0:c r="G912" s="0">
        <ns0:f>IFERROR(--D912,0)</ns0:f>
        <ns0:v>0</ns0:v>
      </ns0:c>
      <ns0:c r="H912" s="0">
        <ns0:f>IFERROR(IF(FIND(".",B912)=5,--E912,--C912),0)</ns0:f>
        <ns0:v>0</ns0:v>
      </ns0:c>
      <ns0:c r="I912" s="0">
        <ns0:f>IFERROR(IF(AND(F912&gt;=2000,F912&lt;=2100,G912&gt;=1,G912&lt;=12,H912&gt;=1,H912&lt;=31),DATE(F912,G912,H912),0),0)</ns0:f>
        <ns0:v>0</ns0:v>
      </ns0:c>
      <ns0:c r="J912" s="0">
        <ns0:f>IFERROR(IF(ISNUMBER(Bookings!B912),IF(AND(Bookings!B912=INT(Bookings!B912),Bookings!B912&gt;=DATE(2000,1,1),Bookings!B912&lt;=DATE(2100,12,31)),Bookings!B912,0),IF(AND(A912&lt;&gt;"",LEN("x"&amp;B912)-LEN(SUBSTITUTE("x"&amp;B912,".",""))=2,OR(1&gt;LEN(B912),MID(B912,1,1)=".",ISNUMBER(FIND("x"&amp;MID(B912,1,1),"x0x1x2x3x4x5x6x7x8x9"))),OR(2&gt;LEN(B912),MID(B912,2,1)=".",ISNUMBER(FIND("x"&amp;MID(B912,2,1),"x0x1x2x3x4x5x6x7x8x9"))),OR(3&gt;LEN(B912),MID(B912,3,1)=".",ISNUMBER(FIND("x"&amp;MID(B912,3,1),"x0x1x2x3x4x5x6x7x8x9"))),OR(4&gt;LEN(B912),MID(B912,4,1)=".",ISNUMBER(FIND("x"&amp;MID(B912,4,1),"x0x1x2x3x4x5x6x7x8x9"))),OR(5&gt;LEN(B912),MID(B912,5,1)=".",ISNUMBER(FIND("x"&amp;MID(B912,5,1),"x0x1x2x3x4x5x6x7x8x9"))),OR(6&gt;LEN(B912),MID(B912,6,1)=".",ISNUMBER(FIND("x"&amp;MID(B912,6,1),"x0x1x2x3x4x5x6x7x8x9"))),OR(7&gt;LEN(B912),MID(B912,7,1)=".",ISNUMBER(FIND("x"&amp;MID(B912,7,1),"x0x1x2x3x4x5x6x7x8x9"))),OR(8&gt;LEN(B912),MID(B912,8,1)=".",ISNUMBER(FIND("x"&amp;MID(B912,8,1),"x0x1x2x3x4x5x6x7x8x9"))),OR(9&gt;LEN(B912),MID(B912,9,1)=".",ISNUMBER(FIND("x"&amp;MID(B912,9,1),"x0x1x2x3x4x5x6x7x8x9"))),OR(10&gt;LEN(B912),MID(B912,10,1)=".",ISNUMBER(FIND("x"&amp;MID(B912,10,1),"x0x1x2x3x4x5x6x7x8x9"))),OR(AND(FIND(".",B912)=5,LEN(B912)-FIND(".",B912,FIND(".",B912)+1)&gt;=1,LEN(B912)-FIND(".",B912,FIND(".",B912)+1)&lt;=2),AND(LEN(B912)-FIND(".",B912,FIND(".",B912)+1)=4,FIND(".",B912)&gt;=2,FIND(".",B912)&lt;=3)),FIND(".",B912,FIND(".",B912)+1)-FIND(".",B912)&gt;=2,FIND(".",B912,FIND(".",B912)+1)-FIND(".",B912)&lt;=3,F912&gt;=2000,F912&lt;=2100,YEAR(I912)=F912,MONTH(I912)=G912,DAY(I912)=H912),I912,0)),0)</ns0:f>
        <ns0:v>0</ns0:v>
      </ns0:c>
      <ns0:c r="K912" s="0">
        <ns0:f>IFERROR(IF(ISNUMBER(Bookings!D912),"",TRIM(Bookings!D912&amp;"")),"")</ns0:f>
      </ns0:c>
      <ns0:c r="L912" s="0">
        <ns0:f>IFERROR(SUBSTITUTE(SUBSTITUTE(K912,"/","."),"-","."),"")</ns0:f>
      </ns0:c>
      <ns0:c r="M912" s="0">
        <ns0:f>IFERROR(LEFT(L912,FIND(".",L912)-1),"")</ns0:f>
      </ns0:c>
      <ns0:c r="N912" s="0">
        <ns0:f>IFERROR(MID(L912,FIND(".",L912)+1,FIND(".",L912,FIND(".",L912)+1)-FIND(".",L912)-1),"")</ns0:f>
      </ns0:c>
      <ns0:c r="O912" s="0">
        <ns0:f>IFERROR(MID(L912,FIND(".",L912,FIND(".",L912)+1)+1,99),"")</ns0:f>
        <ns0:v>99</ns0:v>
      </ns0:c>
      <ns0:c r="P912" s="0">
        <ns0:f>IFERROR(IF(FIND(".",L912)=5,--M912,--O912),0)</ns0:f>
        <ns0:v>0</ns0:v>
      </ns0:c>
      <ns0:c r="Q912" s="0">
        <ns0:f>IFERROR(--N912,0)</ns0:f>
        <ns0:v>0</ns0:v>
      </ns0:c>
      <ns0:c r="R912" s="0">
        <ns0:f>IFERROR(IF(FIND(".",L912)=5,--O912,--M912),0)</ns0:f>
        <ns0:v>0</ns0:v>
      </ns0:c>
      <ns0:c r="S912" s="0">
        <ns0:f>IFERROR(IF(AND(P912&gt;=2000,P912&lt;=2100,Q912&gt;=1,Q912&lt;=12,R912&gt;=1,R912&lt;=31),DATE(P912,Q912,R912),0),0)</ns0:f>
        <ns0:v>0</ns0:v>
      </ns0:c>
      <ns0:c r="T912" s="0">
        <ns0:f>IFERROR(IF(ISNUMBER(Bookings!D912),IF(AND(Bookings!D912=INT(Bookings!D912),Bookings!D912&gt;=DATE(2000,1,1),Bookings!D912&lt;=DATE(2100,12,31)),Bookings!D912,0),IF(AND(K912&lt;&gt;"",LEN("x"&amp;L912)-LEN(SUBSTITUTE("x"&amp;L912,".",""))=2,OR(1&gt;LEN(L912),MID(L912,1,1)=".",ISNUMBER(FIND("x"&amp;MID(L912,1,1),"x0x1x2x3x4x5x6x7x8x9"))),OR(2&gt;LEN(L912),MID(L912,2,1)=".",ISNUMBER(FIND("x"&amp;MID(L912,2,1),"x0x1x2x3x4x5x6x7x8x9"))),OR(3&gt;LEN(L912),MID(L912,3,1)=".",ISNUMBER(FIND("x"&amp;MID(L912,3,1),"x0x1x2x3x4x5x6x7x8x9"))),OR(4&gt;LEN(L912),MID(L912,4,1)=".",ISNUMBER(FIND("x"&amp;MID(L912,4,1),"x0x1x2x3x4x5x6x7x8x9"))),OR(5&gt;LEN(L912),MID(L912,5,1)=".",ISNUMBER(FIND("x"&amp;MID(L912,5,1),"x0x1x2x3x4x5x6x7x8x9"))),OR(6&gt;LEN(L912),MID(L912,6,1)=".",ISNUMBER(FIND("x"&amp;MID(L912,6,1),"x0x1x2x3x4x5x6x7x8x9"))),OR(7&gt;LEN(L912),MID(L912,7,1)=".",ISNUMBER(FIND("x"&amp;MID(L912,7,1),"x0x1x2x3x4x5x6x7x8x9"))),OR(8&gt;LEN(L912),MID(L912,8,1)=".",ISNUMBER(FIND("x"&amp;MID(L912,8,1),"x0x1x2x3x4x5x6x7x8x9"))),OR(9&gt;LEN(L912),MID(L912,9,1)=".",ISNUMBER(FIND("x"&amp;MID(L912,9,1),"x0x1x2x3x4x5x6x7x8x9"))),OR(10&gt;LEN(L912),MID(L912,10,1)=".",ISNUMBER(FIND("x"&amp;MID(L912,10,1),"x0x1x2x3x4x5x6x7x8x9"))),OR(AND(FIND(".",L912)=5,LEN(L912)-FIND(".",L912,FIND(".",L912)+1)&gt;=1,LEN(L912)-FIND(".",L912,FIND(".",L912)+1)&lt;=2),AND(LEN(L912)-FIND(".",L912,FIND(".",L912)+1)=4,FIND(".",L912)&gt;=2,FIND(".",L912)&lt;=3)),FIND(".",L912,FIND(".",L912)+1)-FIND(".",L912)&gt;=2,FIND(".",L912,FIND(".",L912)+1)-FIND(".",L912)&lt;=3,P912&gt;=2000,P912&lt;=2100,YEAR(S912)=P912,MONTH(S912)=Q912,DAY(S912)=R912),S912,0)),0)</ns0:f>
        <ns0:v>0</ns0:v>
      </ns0:c>
      <ns0:c r="U912" s="0" t="str">
        <ns0:f>IF(Bookings!C912="","Full day",Bookings!C912)</ns0:f>
        <ns0:v>Full day</ns0:v>
      </ns0:c>
      <ns0:c r="V912" s="0" t="str">
        <ns0:f>IF(Bookings!E912="","Full day",Bookings!E912)</ns0:f>
        <ns0:v>Full day</ns0:v>
      </ns0:c>
      <ns0:c r="W912" s="0">
        <ns0:f>IF(J912=0,0,J912+IF(U912="PM",1,0))</ns0:f>
        <ns0:v>0</ns0:v>
      </ns0:c>
      <ns0:c r="X912" s="0">
        <ns0:f>IF(T912=0,0,T912-IF(V912="PM",1,0))</ns0:f>
        <ns0:v>0</ns0:v>
      </ns0:c>
      <ns0:c r="Y912" s="0">
        <ns0:f>IF(J912=0,0,J912+IF(U912="AM",1,0))</ns0:f>
        <ns0:v>0</ns0:v>
      </ns0:c>
      <ns0:c r="Z912" s="0">
        <ns0:f>IF(T912=0,0,T912-IF(V912="AM",1,0))</ns0:f>
        <ns0:v>0</ns0:v>
      </ns0:c>
      <ns0:c r="AA912" s="0">
        <ns0:f>IFERROR(IF(AND(J912&gt;0,'_Engine'!C912&gt;0,MID('_Engine'!W912,WEEKDAY(J912,2),1)="W",COUNTIF(Settings!$F$18:$F$67,J912)=0),1,0),0)</ns0:f>
        <ns0:v>0</ns0:v>
      </ns0:c>
      <ns0:c r="AB912" s="0">
        <ns0:f>IFERROR(IF(AND(T912&gt;0,'_Engine'!C912&gt;0,MID('_Engine'!W912,WEEKDAY(T912,2),1)="W",COUNTIF(Settings!$F$18:$F$67,T912)=0),1,0),0)</ns0:f>
        <ns0:v>0</ns0:v>
      </ns0:c>
      <ns0:c r="AC912" s="0">
        <ns0:f>IF(AND(J912&gt;0,T912&gt;0,W912&lt;=X912),1,0)</ns0:f>
        <ns0:v>0</ns0:v>
      </ns0:c>
      <ns0:c r="AD912" s="0">
        <ns0:f>IF(AND(J912&gt;0,T912&gt;0,Y912&lt;=Z912),1,0)</ns0:f>
        <ns0:v>0</ns0:v>
      </ns0:c>
    </ns0:row>
    <ns0:row r="913">
      <ns0:c r="A913" s="0">
        <ns0:f>IFERROR(IF(ISNUMBER(Bookings!B913),"",TRIM(Bookings!B913&amp;"")),"")</ns0:f>
      </ns0:c>
      <ns0:c r="B913" s="0">
        <ns0:f>IFERROR(SUBSTITUTE(SUBSTITUTE(A913,"/","."),"-","."),"")</ns0:f>
      </ns0:c>
      <ns0:c r="C913" s="0">
        <ns0:f>IFERROR(LEFT(B913,FIND(".",B913)-1),"")</ns0:f>
      </ns0:c>
      <ns0:c r="D913" s="0">
        <ns0:f>IFERROR(MID(B913,FIND(".",B913)+1,FIND(".",B913,FIND(".",B913)+1)-FIND(".",B913)-1),"")</ns0:f>
      </ns0:c>
      <ns0:c r="E913" s="0">
        <ns0:f>IFERROR(MID(B913,FIND(".",B913,FIND(".",B913)+1)+1,99),"")</ns0:f>
        <ns0:v>99</ns0:v>
      </ns0:c>
      <ns0:c r="F913" s="0">
        <ns0:f>IFERROR(IF(FIND(".",B913)=5,--C913,--E913),0)</ns0:f>
        <ns0:v>0</ns0:v>
      </ns0:c>
      <ns0:c r="G913" s="0">
        <ns0:f>IFERROR(--D913,0)</ns0:f>
        <ns0:v>0</ns0:v>
      </ns0:c>
      <ns0:c r="H913" s="0">
        <ns0:f>IFERROR(IF(FIND(".",B913)=5,--E913,--C913),0)</ns0:f>
        <ns0:v>0</ns0:v>
      </ns0:c>
      <ns0:c r="I913" s="0">
        <ns0:f>IFERROR(IF(AND(F913&gt;=2000,F913&lt;=2100,G913&gt;=1,G913&lt;=12,H913&gt;=1,H913&lt;=31),DATE(F913,G913,H913),0),0)</ns0:f>
        <ns0:v>0</ns0:v>
      </ns0:c>
      <ns0:c r="J913" s="0">
        <ns0:f>IFERROR(IF(ISNUMBER(Bookings!B913),IF(AND(Bookings!B913=INT(Bookings!B913),Bookings!B913&gt;=DATE(2000,1,1),Bookings!B913&lt;=DATE(2100,12,31)),Bookings!B913,0),IF(AND(A913&lt;&gt;"",LEN("x"&amp;B913)-LEN(SUBSTITUTE("x"&amp;B913,".",""))=2,OR(1&gt;LEN(B913),MID(B913,1,1)=".",ISNUMBER(FIND("x"&amp;MID(B913,1,1),"x0x1x2x3x4x5x6x7x8x9"))),OR(2&gt;LEN(B913),MID(B913,2,1)=".",ISNUMBER(FIND("x"&amp;MID(B913,2,1),"x0x1x2x3x4x5x6x7x8x9"))),OR(3&gt;LEN(B913),MID(B913,3,1)=".",ISNUMBER(FIND("x"&amp;MID(B913,3,1),"x0x1x2x3x4x5x6x7x8x9"))),OR(4&gt;LEN(B913),MID(B913,4,1)=".",ISNUMBER(FIND("x"&amp;MID(B913,4,1),"x0x1x2x3x4x5x6x7x8x9"))),OR(5&gt;LEN(B913),MID(B913,5,1)=".",ISNUMBER(FIND("x"&amp;MID(B913,5,1),"x0x1x2x3x4x5x6x7x8x9"))),OR(6&gt;LEN(B913),MID(B913,6,1)=".",ISNUMBER(FIND("x"&amp;MID(B913,6,1),"x0x1x2x3x4x5x6x7x8x9"))),OR(7&gt;LEN(B913),MID(B913,7,1)=".",ISNUMBER(FIND("x"&amp;MID(B913,7,1),"x0x1x2x3x4x5x6x7x8x9"))),OR(8&gt;LEN(B913),MID(B913,8,1)=".",ISNUMBER(FIND("x"&amp;MID(B913,8,1),"x0x1x2x3x4x5x6x7x8x9"))),OR(9&gt;LEN(B913),MID(B913,9,1)=".",ISNUMBER(FIND("x"&amp;MID(B913,9,1),"x0x1x2x3x4x5x6x7x8x9"))),OR(10&gt;LEN(B913),MID(B913,10,1)=".",ISNUMBER(FIND("x"&amp;MID(B913,10,1),"x0x1x2x3x4x5x6x7x8x9"))),OR(AND(FIND(".",B913)=5,LEN(B913)-FIND(".",B913,FIND(".",B913)+1)&gt;=1,LEN(B913)-FIND(".",B913,FIND(".",B913)+1)&lt;=2),AND(LEN(B913)-FIND(".",B913,FIND(".",B913)+1)=4,FIND(".",B913)&gt;=2,FIND(".",B913)&lt;=3)),FIND(".",B913,FIND(".",B913)+1)-FIND(".",B913)&gt;=2,FIND(".",B913,FIND(".",B913)+1)-FIND(".",B913)&lt;=3,F913&gt;=2000,F913&lt;=2100,YEAR(I913)=F913,MONTH(I913)=G913,DAY(I913)=H913),I913,0)),0)</ns0:f>
        <ns0:v>0</ns0:v>
      </ns0:c>
      <ns0:c r="K913" s="0">
        <ns0:f>IFERROR(IF(ISNUMBER(Bookings!D913),"",TRIM(Bookings!D913&amp;"")),"")</ns0:f>
      </ns0:c>
      <ns0:c r="L913" s="0">
        <ns0:f>IFERROR(SUBSTITUTE(SUBSTITUTE(K913,"/","."),"-","."),"")</ns0:f>
      </ns0:c>
      <ns0:c r="M913" s="0">
        <ns0:f>IFERROR(LEFT(L913,FIND(".",L913)-1),"")</ns0:f>
      </ns0:c>
      <ns0:c r="N913" s="0">
        <ns0:f>IFERROR(MID(L913,FIND(".",L913)+1,FIND(".",L913,FIND(".",L913)+1)-FIND(".",L913)-1),"")</ns0:f>
      </ns0:c>
      <ns0:c r="O913" s="0">
        <ns0:f>IFERROR(MID(L913,FIND(".",L913,FIND(".",L913)+1)+1,99),"")</ns0:f>
        <ns0:v>99</ns0:v>
      </ns0:c>
      <ns0:c r="P913" s="0">
        <ns0:f>IFERROR(IF(FIND(".",L913)=5,--M913,--O913),0)</ns0:f>
        <ns0:v>0</ns0:v>
      </ns0:c>
      <ns0:c r="Q913" s="0">
        <ns0:f>IFERROR(--N913,0)</ns0:f>
        <ns0:v>0</ns0:v>
      </ns0:c>
      <ns0:c r="R913" s="0">
        <ns0:f>IFERROR(IF(FIND(".",L913)=5,--O913,--M913),0)</ns0:f>
        <ns0:v>0</ns0:v>
      </ns0:c>
      <ns0:c r="S913" s="0">
        <ns0:f>IFERROR(IF(AND(P913&gt;=2000,P913&lt;=2100,Q913&gt;=1,Q913&lt;=12,R913&gt;=1,R913&lt;=31),DATE(P913,Q913,R913),0),0)</ns0:f>
        <ns0:v>0</ns0:v>
      </ns0:c>
      <ns0:c r="T913" s="0">
        <ns0:f>IFERROR(IF(ISNUMBER(Bookings!D913),IF(AND(Bookings!D913=INT(Bookings!D913),Bookings!D913&gt;=DATE(2000,1,1),Bookings!D913&lt;=DATE(2100,12,31)),Bookings!D913,0),IF(AND(K913&lt;&gt;"",LEN("x"&amp;L913)-LEN(SUBSTITUTE("x"&amp;L913,".",""))=2,OR(1&gt;LEN(L913),MID(L913,1,1)=".",ISNUMBER(FIND("x"&amp;MID(L913,1,1),"x0x1x2x3x4x5x6x7x8x9"))),OR(2&gt;LEN(L913),MID(L913,2,1)=".",ISNUMBER(FIND("x"&amp;MID(L913,2,1),"x0x1x2x3x4x5x6x7x8x9"))),OR(3&gt;LEN(L913),MID(L913,3,1)=".",ISNUMBER(FIND("x"&amp;MID(L913,3,1),"x0x1x2x3x4x5x6x7x8x9"))),OR(4&gt;LEN(L913),MID(L913,4,1)=".",ISNUMBER(FIND("x"&amp;MID(L913,4,1),"x0x1x2x3x4x5x6x7x8x9"))),OR(5&gt;LEN(L913),MID(L913,5,1)=".",ISNUMBER(FIND("x"&amp;MID(L913,5,1),"x0x1x2x3x4x5x6x7x8x9"))),OR(6&gt;LEN(L913),MID(L913,6,1)=".",ISNUMBER(FIND("x"&amp;MID(L913,6,1),"x0x1x2x3x4x5x6x7x8x9"))),OR(7&gt;LEN(L913),MID(L913,7,1)=".",ISNUMBER(FIND("x"&amp;MID(L913,7,1),"x0x1x2x3x4x5x6x7x8x9"))),OR(8&gt;LEN(L913),MID(L913,8,1)=".",ISNUMBER(FIND("x"&amp;MID(L913,8,1),"x0x1x2x3x4x5x6x7x8x9"))),OR(9&gt;LEN(L913),MID(L913,9,1)=".",ISNUMBER(FIND("x"&amp;MID(L913,9,1),"x0x1x2x3x4x5x6x7x8x9"))),OR(10&gt;LEN(L913),MID(L913,10,1)=".",ISNUMBER(FIND("x"&amp;MID(L913,10,1),"x0x1x2x3x4x5x6x7x8x9"))),OR(AND(FIND(".",L913)=5,LEN(L913)-FIND(".",L913,FIND(".",L913)+1)&gt;=1,LEN(L913)-FIND(".",L913,FIND(".",L913)+1)&lt;=2),AND(LEN(L913)-FIND(".",L913,FIND(".",L913)+1)=4,FIND(".",L913)&gt;=2,FIND(".",L913)&lt;=3)),FIND(".",L913,FIND(".",L913)+1)-FIND(".",L913)&gt;=2,FIND(".",L913,FIND(".",L913)+1)-FIND(".",L913)&lt;=3,P913&gt;=2000,P913&lt;=2100,YEAR(S913)=P913,MONTH(S913)=Q913,DAY(S913)=R913),S913,0)),0)</ns0:f>
        <ns0:v>0</ns0:v>
      </ns0:c>
      <ns0:c r="U913" s="0" t="str">
        <ns0:f>IF(Bookings!C913="","Full day",Bookings!C913)</ns0:f>
        <ns0:v>Full day</ns0:v>
      </ns0:c>
      <ns0:c r="V913" s="0" t="str">
        <ns0:f>IF(Bookings!E913="","Full day",Bookings!E913)</ns0:f>
        <ns0:v>Full day</ns0:v>
      </ns0:c>
      <ns0:c r="W913" s="0">
        <ns0:f>IF(J913=0,0,J913+IF(U913="PM",1,0))</ns0:f>
        <ns0:v>0</ns0:v>
      </ns0:c>
      <ns0:c r="X913" s="0">
        <ns0:f>IF(T913=0,0,T913-IF(V913="PM",1,0))</ns0:f>
        <ns0:v>0</ns0:v>
      </ns0:c>
      <ns0:c r="Y913" s="0">
        <ns0:f>IF(J913=0,0,J913+IF(U913="AM",1,0))</ns0:f>
        <ns0:v>0</ns0:v>
      </ns0:c>
      <ns0:c r="Z913" s="0">
        <ns0:f>IF(T913=0,0,T913-IF(V913="AM",1,0))</ns0:f>
        <ns0:v>0</ns0:v>
      </ns0:c>
      <ns0:c r="AA913" s="0">
        <ns0:f>IFERROR(IF(AND(J913&gt;0,'_Engine'!C913&gt;0,MID('_Engine'!W913,WEEKDAY(J913,2),1)="W",COUNTIF(Settings!$F$18:$F$67,J913)=0),1,0),0)</ns0:f>
        <ns0:v>0</ns0:v>
      </ns0:c>
      <ns0:c r="AB913" s="0">
        <ns0:f>IFERROR(IF(AND(T913&gt;0,'_Engine'!C913&gt;0,MID('_Engine'!W913,WEEKDAY(T913,2),1)="W",COUNTIF(Settings!$F$18:$F$67,T913)=0),1,0),0)</ns0:f>
        <ns0:v>0</ns0:v>
      </ns0:c>
      <ns0:c r="AC913" s="0">
        <ns0:f>IF(AND(J913&gt;0,T913&gt;0,W913&lt;=X913),1,0)</ns0:f>
        <ns0:v>0</ns0:v>
      </ns0:c>
      <ns0:c r="AD913" s="0">
        <ns0:f>IF(AND(J913&gt;0,T913&gt;0,Y913&lt;=Z913),1,0)</ns0:f>
        <ns0:v>0</ns0:v>
      </ns0:c>
    </ns0:row>
    <ns0:row r="914">
      <ns0:c r="A914" s="0">
        <ns0:f>IFERROR(IF(ISNUMBER(Bookings!B914),"",TRIM(Bookings!B914&amp;"")),"")</ns0:f>
      </ns0:c>
      <ns0:c r="B914" s="0">
        <ns0:f>IFERROR(SUBSTITUTE(SUBSTITUTE(A914,"/","."),"-","."),"")</ns0:f>
      </ns0:c>
      <ns0:c r="C914" s="0">
        <ns0:f>IFERROR(LEFT(B914,FIND(".",B914)-1),"")</ns0:f>
      </ns0:c>
      <ns0:c r="D914" s="0">
        <ns0:f>IFERROR(MID(B914,FIND(".",B914)+1,FIND(".",B914,FIND(".",B914)+1)-FIND(".",B914)-1),"")</ns0:f>
      </ns0:c>
      <ns0:c r="E914" s="0">
        <ns0:f>IFERROR(MID(B914,FIND(".",B914,FIND(".",B914)+1)+1,99),"")</ns0:f>
        <ns0:v>99</ns0:v>
      </ns0:c>
      <ns0:c r="F914" s="0">
        <ns0:f>IFERROR(IF(FIND(".",B914)=5,--C914,--E914),0)</ns0:f>
        <ns0:v>0</ns0:v>
      </ns0:c>
      <ns0:c r="G914" s="0">
        <ns0:f>IFERROR(--D914,0)</ns0:f>
        <ns0:v>0</ns0:v>
      </ns0:c>
      <ns0:c r="H914" s="0">
        <ns0:f>IFERROR(IF(FIND(".",B914)=5,--E914,--C914),0)</ns0:f>
        <ns0:v>0</ns0:v>
      </ns0:c>
      <ns0:c r="I914" s="0">
        <ns0:f>IFERROR(IF(AND(F914&gt;=2000,F914&lt;=2100,G914&gt;=1,G914&lt;=12,H914&gt;=1,H914&lt;=31),DATE(F914,G914,H914),0),0)</ns0:f>
        <ns0:v>0</ns0:v>
      </ns0:c>
      <ns0:c r="J914" s="0">
        <ns0:f>IFERROR(IF(ISNUMBER(Bookings!B914),IF(AND(Bookings!B914=INT(Bookings!B914),Bookings!B914&gt;=DATE(2000,1,1),Bookings!B914&lt;=DATE(2100,12,31)),Bookings!B914,0),IF(AND(A914&lt;&gt;"",LEN("x"&amp;B914)-LEN(SUBSTITUTE("x"&amp;B914,".",""))=2,OR(1&gt;LEN(B914),MID(B914,1,1)=".",ISNUMBER(FIND("x"&amp;MID(B914,1,1),"x0x1x2x3x4x5x6x7x8x9"))),OR(2&gt;LEN(B914),MID(B914,2,1)=".",ISNUMBER(FIND("x"&amp;MID(B914,2,1),"x0x1x2x3x4x5x6x7x8x9"))),OR(3&gt;LEN(B914),MID(B914,3,1)=".",ISNUMBER(FIND("x"&amp;MID(B914,3,1),"x0x1x2x3x4x5x6x7x8x9"))),OR(4&gt;LEN(B914),MID(B914,4,1)=".",ISNUMBER(FIND("x"&amp;MID(B914,4,1),"x0x1x2x3x4x5x6x7x8x9"))),OR(5&gt;LEN(B914),MID(B914,5,1)=".",ISNUMBER(FIND("x"&amp;MID(B914,5,1),"x0x1x2x3x4x5x6x7x8x9"))),OR(6&gt;LEN(B914),MID(B914,6,1)=".",ISNUMBER(FIND("x"&amp;MID(B914,6,1),"x0x1x2x3x4x5x6x7x8x9"))),OR(7&gt;LEN(B914),MID(B914,7,1)=".",ISNUMBER(FIND("x"&amp;MID(B914,7,1),"x0x1x2x3x4x5x6x7x8x9"))),OR(8&gt;LEN(B914),MID(B914,8,1)=".",ISNUMBER(FIND("x"&amp;MID(B914,8,1),"x0x1x2x3x4x5x6x7x8x9"))),OR(9&gt;LEN(B914),MID(B914,9,1)=".",ISNUMBER(FIND("x"&amp;MID(B914,9,1),"x0x1x2x3x4x5x6x7x8x9"))),OR(10&gt;LEN(B914),MID(B914,10,1)=".",ISNUMBER(FIND("x"&amp;MID(B914,10,1),"x0x1x2x3x4x5x6x7x8x9"))),OR(AND(FIND(".",B914)=5,LEN(B914)-FIND(".",B914,FIND(".",B914)+1)&gt;=1,LEN(B914)-FIND(".",B914,FIND(".",B914)+1)&lt;=2),AND(LEN(B914)-FIND(".",B914,FIND(".",B914)+1)=4,FIND(".",B914)&gt;=2,FIND(".",B914)&lt;=3)),FIND(".",B914,FIND(".",B914)+1)-FIND(".",B914)&gt;=2,FIND(".",B914,FIND(".",B914)+1)-FIND(".",B914)&lt;=3,F914&gt;=2000,F914&lt;=2100,YEAR(I914)=F914,MONTH(I914)=G914,DAY(I914)=H914),I914,0)),0)</ns0:f>
        <ns0:v>0</ns0:v>
      </ns0:c>
      <ns0:c r="K914" s="0">
        <ns0:f>IFERROR(IF(ISNUMBER(Bookings!D914),"",TRIM(Bookings!D914&amp;"")),"")</ns0:f>
      </ns0:c>
      <ns0:c r="L914" s="0">
        <ns0:f>IFERROR(SUBSTITUTE(SUBSTITUTE(K914,"/","."),"-","."),"")</ns0:f>
      </ns0:c>
      <ns0:c r="M914" s="0">
        <ns0:f>IFERROR(LEFT(L914,FIND(".",L914)-1),"")</ns0:f>
      </ns0:c>
      <ns0:c r="N914" s="0">
        <ns0:f>IFERROR(MID(L914,FIND(".",L914)+1,FIND(".",L914,FIND(".",L914)+1)-FIND(".",L914)-1),"")</ns0:f>
      </ns0:c>
      <ns0:c r="O914" s="0">
        <ns0:f>IFERROR(MID(L914,FIND(".",L914,FIND(".",L914)+1)+1,99),"")</ns0:f>
        <ns0:v>99</ns0:v>
      </ns0:c>
      <ns0:c r="P914" s="0">
        <ns0:f>IFERROR(IF(FIND(".",L914)=5,--M914,--O914),0)</ns0:f>
        <ns0:v>0</ns0:v>
      </ns0:c>
      <ns0:c r="Q914" s="0">
        <ns0:f>IFERROR(--N914,0)</ns0:f>
        <ns0:v>0</ns0:v>
      </ns0:c>
      <ns0:c r="R914" s="0">
        <ns0:f>IFERROR(IF(FIND(".",L914)=5,--O914,--M914),0)</ns0:f>
        <ns0:v>0</ns0:v>
      </ns0:c>
      <ns0:c r="S914" s="0">
        <ns0:f>IFERROR(IF(AND(P914&gt;=2000,P914&lt;=2100,Q914&gt;=1,Q914&lt;=12,R914&gt;=1,R914&lt;=31),DATE(P914,Q914,R914),0),0)</ns0:f>
        <ns0:v>0</ns0:v>
      </ns0:c>
      <ns0:c r="T914" s="0">
        <ns0:f>IFERROR(IF(ISNUMBER(Bookings!D914),IF(AND(Bookings!D914=INT(Bookings!D914),Bookings!D914&gt;=DATE(2000,1,1),Bookings!D914&lt;=DATE(2100,12,31)),Bookings!D914,0),IF(AND(K914&lt;&gt;"",LEN("x"&amp;L914)-LEN(SUBSTITUTE("x"&amp;L914,".",""))=2,OR(1&gt;LEN(L914),MID(L914,1,1)=".",ISNUMBER(FIND("x"&amp;MID(L914,1,1),"x0x1x2x3x4x5x6x7x8x9"))),OR(2&gt;LEN(L914),MID(L914,2,1)=".",ISNUMBER(FIND("x"&amp;MID(L914,2,1),"x0x1x2x3x4x5x6x7x8x9"))),OR(3&gt;LEN(L914),MID(L914,3,1)=".",ISNUMBER(FIND("x"&amp;MID(L914,3,1),"x0x1x2x3x4x5x6x7x8x9"))),OR(4&gt;LEN(L914),MID(L914,4,1)=".",ISNUMBER(FIND("x"&amp;MID(L914,4,1),"x0x1x2x3x4x5x6x7x8x9"))),OR(5&gt;LEN(L914),MID(L914,5,1)=".",ISNUMBER(FIND("x"&amp;MID(L914,5,1),"x0x1x2x3x4x5x6x7x8x9"))),OR(6&gt;LEN(L914),MID(L914,6,1)=".",ISNUMBER(FIND("x"&amp;MID(L914,6,1),"x0x1x2x3x4x5x6x7x8x9"))),OR(7&gt;LEN(L914),MID(L914,7,1)=".",ISNUMBER(FIND("x"&amp;MID(L914,7,1),"x0x1x2x3x4x5x6x7x8x9"))),OR(8&gt;LEN(L914),MID(L914,8,1)=".",ISNUMBER(FIND("x"&amp;MID(L914,8,1),"x0x1x2x3x4x5x6x7x8x9"))),OR(9&gt;LEN(L914),MID(L914,9,1)=".",ISNUMBER(FIND("x"&amp;MID(L914,9,1),"x0x1x2x3x4x5x6x7x8x9"))),OR(10&gt;LEN(L914),MID(L914,10,1)=".",ISNUMBER(FIND("x"&amp;MID(L914,10,1),"x0x1x2x3x4x5x6x7x8x9"))),OR(AND(FIND(".",L914)=5,LEN(L914)-FIND(".",L914,FIND(".",L914)+1)&gt;=1,LEN(L914)-FIND(".",L914,FIND(".",L914)+1)&lt;=2),AND(LEN(L914)-FIND(".",L914,FIND(".",L914)+1)=4,FIND(".",L914)&gt;=2,FIND(".",L914)&lt;=3)),FIND(".",L914,FIND(".",L914)+1)-FIND(".",L914)&gt;=2,FIND(".",L914,FIND(".",L914)+1)-FIND(".",L914)&lt;=3,P914&gt;=2000,P914&lt;=2100,YEAR(S914)=P914,MONTH(S914)=Q914,DAY(S914)=R914),S914,0)),0)</ns0:f>
        <ns0:v>0</ns0:v>
      </ns0:c>
      <ns0:c r="U914" s="0" t="str">
        <ns0:f>IF(Bookings!C914="","Full day",Bookings!C914)</ns0:f>
        <ns0:v>Full day</ns0:v>
      </ns0:c>
      <ns0:c r="V914" s="0" t="str">
        <ns0:f>IF(Bookings!E914="","Full day",Bookings!E914)</ns0:f>
        <ns0:v>Full day</ns0:v>
      </ns0:c>
      <ns0:c r="W914" s="0">
        <ns0:f>IF(J914=0,0,J914+IF(U914="PM",1,0))</ns0:f>
        <ns0:v>0</ns0:v>
      </ns0:c>
      <ns0:c r="X914" s="0">
        <ns0:f>IF(T914=0,0,T914-IF(V914="PM",1,0))</ns0:f>
        <ns0:v>0</ns0:v>
      </ns0:c>
      <ns0:c r="Y914" s="0">
        <ns0:f>IF(J914=0,0,J914+IF(U914="AM",1,0))</ns0:f>
        <ns0:v>0</ns0:v>
      </ns0:c>
      <ns0:c r="Z914" s="0">
        <ns0:f>IF(T914=0,0,T914-IF(V914="AM",1,0))</ns0:f>
        <ns0:v>0</ns0:v>
      </ns0:c>
      <ns0:c r="AA914" s="0">
        <ns0:f>IFERROR(IF(AND(J914&gt;0,'_Engine'!C914&gt;0,MID('_Engine'!W914,WEEKDAY(J914,2),1)="W",COUNTIF(Settings!$F$18:$F$67,J914)=0),1,0),0)</ns0:f>
        <ns0:v>0</ns0:v>
      </ns0:c>
      <ns0:c r="AB914" s="0">
        <ns0:f>IFERROR(IF(AND(T914&gt;0,'_Engine'!C914&gt;0,MID('_Engine'!W914,WEEKDAY(T914,2),1)="W",COUNTIF(Settings!$F$18:$F$67,T914)=0),1,0),0)</ns0:f>
        <ns0:v>0</ns0:v>
      </ns0:c>
      <ns0:c r="AC914" s="0">
        <ns0:f>IF(AND(J914&gt;0,T914&gt;0,W914&lt;=X914),1,0)</ns0:f>
        <ns0:v>0</ns0:v>
      </ns0:c>
      <ns0:c r="AD914" s="0">
        <ns0:f>IF(AND(J914&gt;0,T914&gt;0,Y914&lt;=Z914),1,0)</ns0:f>
        <ns0:v>0</ns0:v>
      </ns0:c>
    </ns0:row>
    <ns0:row r="915">
      <ns0:c r="A915" s="0">
        <ns0:f>IFERROR(IF(ISNUMBER(Bookings!B915),"",TRIM(Bookings!B915&amp;"")),"")</ns0:f>
      </ns0:c>
      <ns0:c r="B915" s="0">
        <ns0:f>IFERROR(SUBSTITUTE(SUBSTITUTE(A915,"/","."),"-","."),"")</ns0:f>
      </ns0:c>
      <ns0:c r="C915" s="0">
        <ns0:f>IFERROR(LEFT(B915,FIND(".",B915)-1),"")</ns0:f>
      </ns0:c>
      <ns0:c r="D915" s="0">
        <ns0:f>IFERROR(MID(B915,FIND(".",B915)+1,FIND(".",B915,FIND(".",B915)+1)-FIND(".",B915)-1),"")</ns0:f>
      </ns0:c>
      <ns0:c r="E915" s="0">
        <ns0:f>IFERROR(MID(B915,FIND(".",B915,FIND(".",B915)+1)+1,99),"")</ns0:f>
        <ns0:v>99</ns0:v>
      </ns0:c>
      <ns0:c r="F915" s="0">
        <ns0:f>IFERROR(IF(FIND(".",B915)=5,--C915,--E915),0)</ns0:f>
        <ns0:v>0</ns0:v>
      </ns0:c>
      <ns0:c r="G915" s="0">
        <ns0:f>IFERROR(--D915,0)</ns0:f>
        <ns0:v>0</ns0:v>
      </ns0:c>
      <ns0:c r="H915" s="0">
        <ns0:f>IFERROR(IF(FIND(".",B915)=5,--E915,--C915),0)</ns0:f>
        <ns0:v>0</ns0:v>
      </ns0:c>
      <ns0:c r="I915" s="0">
        <ns0:f>IFERROR(IF(AND(F915&gt;=2000,F915&lt;=2100,G915&gt;=1,G915&lt;=12,H915&gt;=1,H915&lt;=31),DATE(F915,G915,H915),0),0)</ns0:f>
        <ns0:v>0</ns0:v>
      </ns0:c>
      <ns0:c r="J915" s="0">
        <ns0:f>IFERROR(IF(ISNUMBER(Bookings!B915),IF(AND(Bookings!B915=INT(Bookings!B915),Bookings!B915&gt;=DATE(2000,1,1),Bookings!B915&lt;=DATE(2100,12,31)),Bookings!B915,0),IF(AND(A915&lt;&gt;"",LEN("x"&amp;B915)-LEN(SUBSTITUTE("x"&amp;B915,".",""))=2,OR(1&gt;LEN(B915),MID(B915,1,1)=".",ISNUMBER(FIND("x"&amp;MID(B915,1,1),"x0x1x2x3x4x5x6x7x8x9"))),OR(2&gt;LEN(B915),MID(B915,2,1)=".",ISNUMBER(FIND("x"&amp;MID(B915,2,1),"x0x1x2x3x4x5x6x7x8x9"))),OR(3&gt;LEN(B915),MID(B915,3,1)=".",ISNUMBER(FIND("x"&amp;MID(B915,3,1),"x0x1x2x3x4x5x6x7x8x9"))),OR(4&gt;LEN(B915),MID(B915,4,1)=".",ISNUMBER(FIND("x"&amp;MID(B915,4,1),"x0x1x2x3x4x5x6x7x8x9"))),OR(5&gt;LEN(B915),MID(B915,5,1)=".",ISNUMBER(FIND("x"&amp;MID(B915,5,1),"x0x1x2x3x4x5x6x7x8x9"))),OR(6&gt;LEN(B915),MID(B915,6,1)=".",ISNUMBER(FIND("x"&amp;MID(B915,6,1),"x0x1x2x3x4x5x6x7x8x9"))),OR(7&gt;LEN(B915),MID(B915,7,1)=".",ISNUMBER(FIND("x"&amp;MID(B915,7,1),"x0x1x2x3x4x5x6x7x8x9"))),OR(8&gt;LEN(B915),MID(B915,8,1)=".",ISNUMBER(FIND("x"&amp;MID(B915,8,1),"x0x1x2x3x4x5x6x7x8x9"))),OR(9&gt;LEN(B915),MID(B915,9,1)=".",ISNUMBER(FIND("x"&amp;MID(B915,9,1),"x0x1x2x3x4x5x6x7x8x9"))),OR(10&gt;LEN(B915),MID(B915,10,1)=".",ISNUMBER(FIND("x"&amp;MID(B915,10,1),"x0x1x2x3x4x5x6x7x8x9"))),OR(AND(FIND(".",B915)=5,LEN(B915)-FIND(".",B915,FIND(".",B915)+1)&gt;=1,LEN(B915)-FIND(".",B915,FIND(".",B915)+1)&lt;=2),AND(LEN(B915)-FIND(".",B915,FIND(".",B915)+1)=4,FIND(".",B915)&gt;=2,FIND(".",B915)&lt;=3)),FIND(".",B915,FIND(".",B915)+1)-FIND(".",B915)&gt;=2,FIND(".",B915,FIND(".",B915)+1)-FIND(".",B915)&lt;=3,F915&gt;=2000,F915&lt;=2100,YEAR(I915)=F915,MONTH(I915)=G915,DAY(I915)=H915),I915,0)),0)</ns0:f>
        <ns0:v>0</ns0:v>
      </ns0:c>
      <ns0:c r="K915" s="0">
        <ns0:f>IFERROR(IF(ISNUMBER(Bookings!D915),"",TRIM(Bookings!D915&amp;"")),"")</ns0:f>
      </ns0:c>
      <ns0:c r="L915" s="0">
        <ns0:f>IFERROR(SUBSTITUTE(SUBSTITUTE(K915,"/","."),"-","."),"")</ns0:f>
      </ns0:c>
      <ns0:c r="M915" s="0">
        <ns0:f>IFERROR(LEFT(L915,FIND(".",L915)-1),"")</ns0:f>
      </ns0:c>
      <ns0:c r="N915" s="0">
        <ns0:f>IFERROR(MID(L915,FIND(".",L915)+1,FIND(".",L915,FIND(".",L915)+1)-FIND(".",L915)-1),"")</ns0:f>
      </ns0:c>
      <ns0:c r="O915" s="0">
        <ns0:f>IFERROR(MID(L915,FIND(".",L915,FIND(".",L915)+1)+1,99),"")</ns0:f>
        <ns0:v>99</ns0:v>
      </ns0:c>
      <ns0:c r="P915" s="0">
        <ns0:f>IFERROR(IF(FIND(".",L915)=5,--M915,--O915),0)</ns0:f>
        <ns0:v>0</ns0:v>
      </ns0:c>
      <ns0:c r="Q915" s="0">
        <ns0:f>IFERROR(--N915,0)</ns0:f>
        <ns0:v>0</ns0:v>
      </ns0:c>
      <ns0:c r="R915" s="0">
        <ns0:f>IFERROR(IF(FIND(".",L915)=5,--O915,--M915),0)</ns0:f>
        <ns0:v>0</ns0:v>
      </ns0:c>
      <ns0:c r="S915" s="0">
        <ns0:f>IFERROR(IF(AND(P915&gt;=2000,P915&lt;=2100,Q915&gt;=1,Q915&lt;=12,R915&gt;=1,R915&lt;=31),DATE(P915,Q915,R915),0),0)</ns0:f>
        <ns0:v>0</ns0:v>
      </ns0:c>
      <ns0:c r="T915" s="0">
        <ns0:f>IFERROR(IF(ISNUMBER(Bookings!D915),IF(AND(Bookings!D915=INT(Bookings!D915),Bookings!D915&gt;=DATE(2000,1,1),Bookings!D915&lt;=DATE(2100,12,31)),Bookings!D915,0),IF(AND(K915&lt;&gt;"",LEN("x"&amp;L915)-LEN(SUBSTITUTE("x"&amp;L915,".",""))=2,OR(1&gt;LEN(L915),MID(L915,1,1)=".",ISNUMBER(FIND("x"&amp;MID(L915,1,1),"x0x1x2x3x4x5x6x7x8x9"))),OR(2&gt;LEN(L915),MID(L915,2,1)=".",ISNUMBER(FIND("x"&amp;MID(L915,2,1),"x0x1x2x3x4x5x6x7x8x9"))),OR(3&gt;LEN(L915),MID(L915,3,1)=".",ISNUMBER(FIND("x"&amp;MID(L915,3,1),"x0x1x2x3x4x5x6x7x8x9"))),OR(4&gt;LEN(L915),MID(L915,4,1)=".",ISNUMBER(FIND("x"&amp;MID(L915,4,1),"x0x1x2x3x4x5x6x7x8x9"))),OR(5&gt;LEN(L915),MID(L915,5,1)=".",ISNUMBER(FIND("x"&amp;MID(L915,5,1),"x0x1x2x3x4x5x6x7x8x9"))),OR(6&gt;LEN(L915),MID(L915,6,1)=".",ISNUMBER(FIND("x"&amp;MID(L915,6,1),"x0x1x2x3x4x5x6x7x8x9"))),OR(7&gt;LEN(L915),MID(L915,7,1)=".",ISNUMBER(FIND("x"&amp;MID(L915,7,1),"x0x1x2x3x4x5x6x7x8x9"))),OR(8&gt;LEN(L915),MID(L915,8,1)=".",ISNUMBER(FIND("x"&amp;MID(L915,8,1),"x0x1x2x3x4x5x6x7x8x9"))),OR(9&gt;LEN(L915),MID(L915,9,1)=".",ISNUMBER(FIND("x"&amp;MID(L915,9,1),"x0x1x2x3x4x5x6x7x8x9"))),OR(10&gt;LEN(L915),MID(L915,10,1)=".",ISNUMBER(FIND("x"&amp;MID(L915,10,1),"x0x1x2x3x4x5x6x7x8x9"))),OR(AND(FIND(".",L915)=5,LEN(L915)-FIND(".",L915,FIND(".",L915)+1)&gt;=1,LEN(L915)-FIND(".",L915,FIND(".",L915)+1)&lt;=2),AND(LEN(L915)-FIND(".",L915,FIND(".",L915)+1)=4,FIND(".",L915)&gt;=2,FIND(".",L915)&lt;=3)),FIND(".",L915,FIND(".",L915)+1)-FIND(".",L915)&gt;=2,FIND(".",L915,FIND(".",L915)+1)-FIND(".",L915)&lt;=3,P915&gt;=2000,P915&lt;=2100,YEAR(S915)=P915,MONTH(S915)=Q915,DAY(S915)=R915),S915,0)),0)</ns0:f>
        <ns0:v>0</ns0:v>
      </ns0:c>
      <ns0:c r="U915" s="0" t="str">
        <ns0:f>IF(Bookings!C915="","Full day",Bookings!C915)</ns0:f>
        <ns0:v>Full day</ns0:v>
      </ns0:c>
      <ns0:c r="V915" s="0" t="str">
        <ns0:f>IF(Bookings!E915="","Full day",Bookings!E915)</ns0:f>
        <ns0:v>Full day</ns0:v>
      </ns0:c>
      <ns0:c r="W915" s="0">
        <ns0:f>IF(J915=0,0,J915+IF(U915="PM",1,0))</ns0:f>
        <ns0:v>0</ns0:v>
      </ns0:c>
      <ns0:c r="X915" s="0">
        <ns0:f>IF(T915=0,0,T915-IF(V915="PM",1,0))</ns0:f>
        <ns0:v>0</ns0:v>
      </ns0:c>
      <ns0:c r="Y915" s="0">
        <ns0:f>IF(J915=0,0,J915+IF(U915="AM",1,0))</ns0:f>
        <ns0:v>0</ns0:v>
      </ns0:c>
      <ns0:c r="Z915" s="0">
        <ns0:f>IF(T915=0,0,T915-IF(V915="AM",1,0))</ns0:f>
        <ns0:v>0</ns0:v>
      </ns0:c>
      <ns0:c r="AA915" s="0">
        <ns0:f>IFERROR(IF(AND(J915&gt;0,'_Engine'!C915&gt;0,MID('_Engine'!W915,WEEKDAY(J915,2),1)="W",COUNTIF(Settings!$F$18:$F$67,J915)=0),1,0),0)</ns0:f>
        <ns0:v>0</ns0:v>
      </ns0:c>
      <ns0:c r="AB915" s="0">
        <ns0:f>IFERROR(IF(AND(T915&gt;0,'_Engine'!C915&gt;0,MID('_Engine'!W915,WEEKDAY(T915,2),1)="W",COUNTIF(Settings!$F$18:$F$67,T915)=0),1,0),0)</ns0:f>
        <ns0:v>0</ns0:v>
      </ns0:c>
      <ns0:c r="AC915" s="0">
        <ns0:f>IF(AND(J915&gt;0,T915&gt;0,W915&lt;=X915),1,0)</ns0:f>
        <ns0:v>0</ns0:v>
      </ns0:c>
      <ns0:c r="AD915" s="0">
        <ns0:f>IF(AND(J915&gt;0,T915&gt;0,Y915&lt;=Z915),1,0)</ns0:f>
        <ns0:v>0</ns0:v>
      </ns0:c>
    </ns0:row>
    <ns0:row r="916">
      <ns0:c r="A916" s="0">
        <ns0:f>IFERROR(IF(ISNUMBER(Bookings!B916),"",TRIM(Bookings!B916&amp;"")),"")</ns0:f>
      </ns0:c>
      <ns0:c r="B916" s="0">
        <ns0:f>IFERROR(SUBSTITUTE(SUBSTITUTE(A916,"/","."),"-","."),"")</ns0:f>
      </ns0:c>
      <ns0:c r="C916" s="0">
        <ns0:f>IFERROR(LEFT(B916,FIND(".",B916)-1),"")</ns0:f>
      </ns0:c>
      <ns0:c r="D916" s="0">
        <ns0:f>IFERROR(MID(B916,FIND(".",B916)+1,FIND(".",B916,FIND(".",B916)+1)-FIND(".",B916)-1),"")</ns0:f>
      </ns0:c>
      <ns0:c r="E916" s="0">
        <ns0:f>IFERROR(MID(B916,FIND(".",B916,FIND(".",B916)+1)+1,99),"")</ns0:f>
        <ns0:v>99</ns0:v>
      </ns0:c>
      <ns0:c r="F916" s="0">
        <ns0:f>IFERROR(IF(FIND(".",B916)=5,--C916,--E916),0)</ns0:f>
        <ns0:v>0</ns0:v>
      </ns0:c>
      <ns0:c r="G916" s="0">
        <ns0:f>IFERROR(--D916,0)</ns0:f>
        <ns0:v>0</ns0:v>
      </ns0:c>
      <ns0:c r="H916" s="0">
        <ns0:f>IFERROR(IF(FIND(".",B916)=5,--E916,--C916),0)</ns0:f>
        <ns0:v>0</ns0:v>
      </ns0:c>
      <ns0:c r="I916" s="0">
        <ns0:f>IFERROR(IF(AND(F916&gt;=2000,F916&lt;=2100,G916&gt;=1,G916&lt;=12,H916&gt;=1,H916&lt;=31),DATE(F916,G916,H916),0),0)</ns0:f>
        <ns0:v>0</ns0:v>
      </ns0:c>
      <ns0:c r="J916" s="0">
        <ns0:f>IFERROR(IF(ISNUMBER(Bookings!B916),IF(AND(Bookings!B916=INT(Bookings!B916),Bookings!B916&gt;=DATE(2000,1,1),Bookings!B916&lt;=DATE(2100,12,31)),Bookings!B916,0),IF(AND(A916&lt;&gt;"",LEN("x"&amp;B916)-LEN(SUBSTITUTE("x"&amp;B916,".",""))=2,OR(1&gt;LEN(B916),MID(B916,1,1)=".",ISNUMBER(FIND("x"&amp;MID(B916,1,1),"x0x1x2x3x4x5x6x7x8x9"))),OR(2&gt;LEN(B916),MID(B916,2,1)=".",ISNUMBER(FIND("x"&amp;MID(B916,2,1),"x0x1x2x3x4x5x6x7x8x9"))),OR(3&gt;LEN(B916),MID(B916,3,1)=".",ISNUMBER(FIND("x"&amp;MID(B916,3,1),"x0x1x2x3x4x5x6x7x8x9"))),OR(4&gt;LEN(B916),MID(B916,4,1)=".",ISNUMBER(FIND("x"&amp;MID(B916,4,1),"x0x1x2x3x4x5x6x7x8x9"))),OR(5&gt;LEN(B916),MID(B916,5,1)=".",ISNUMBER(FIND("x"&amp;MID(B916,5,1),"x0x1x2x3x4x5x6x7x8x9"))),OR(6&gt;LEN(B916),MID(B916,6,1)=".",ISNUMBER(FIND("x"&amp;MID(B916,6,1),"x0x1x2x3x4x5x6x7x8x9"))),OR(7&gt;LEN(B916),MID(B916,7,1)=".",ISNUMBER(FIND("x"&amp;MID(B916,7,1),"x0x1x2x3x4x5x6x7x8x9"))),OR(8&gt;LEN(B916),MID(B916,8,1)=".",ISNUMBER(FIND("x"&amp;MID(B916,8,1),"x0x1x2x3x4x5x6x7x8x9"))),OR(9&gt;LEN(B916),MID(B916,9,1)=".",ISNUMBER(FIND("x"&amp;MID(B916,9,1),"x0x1x2x3x4x5x6x7x8x9"))),OR(10&gt;LEN(B916),MID(B916,10,1)=".",ISNUMBER(FIND("x"&amp;MID(B916,10,1),"x0x1x2x3x4x5x6x7x8x9"))),OR(AND(FIND(".",B916)=5,LEN(B916)-FIND(".",B916,FIND(".",B916)+1)&gt;=1,LEN(B916)-FIND(".",B916,FIND(".",B916)+1)&lt;=2),AND(LEN(B916)-FIND(".",B916,FIND(".",B916)+1)=4,FIND(".",B916)&gt;=2,FIND(".",B916)&lt;=3)),FIND(".",B916,FIND(".",B916)+1)-FIND(".",B916)&gt;=2,FIND(".",B916,FIND(".",B916)+1)-FIND(".",B916)&lt;=3,F916&gt;=2000,F916&lt;=2100,YEAR(I916)=F916,MONTH(I916)=G916,DAY(I916)=H916),I916,0)),0)</ns0:f>
        <ns0:v>0</ns0:v>
      </ns0:c>
      <ns0:c r="K916" s="0">
        <ns0:f>IFERROR(IF(ISNUMBER(Bookings!D916),"",TRIM(Bookings!D916&amp;"")),"")</ns0:f>
      </ns0:c>
      <ns0:c r="L916" s="0">
        <ns0:f>IFERROR(SUBSTITUTE(SUBSTITUTE(K916,"/","."),"-","."),"")</ns0:f>
      </ns0:c>
      <ns0:c r="M916" s="0">
        <ns0:f>IFERROR(LEFT(L916,FIND(".",L916)-1),"")</ns0:f>
      </ns0:c>
      <ns0:c r="N916" s="0">
        <ns0:f>IFERROR(MID(L916,FIND(".",L916)+1,FIND(".",L916,FIND(".",L916)+1)-FIND(".",L916)-1),"")</ns0:f>
      </ns0:c>
      <ns0:c r="O916" s="0">
        <ns0:f>IFERROR(MID(L916,FIND(".",L916,FIND(".",L916)+1)+1,99),"")</ns0:f>
        <ns0:v>99</ns0:v>
      </ns0:c>
      <ns0:c r="P916" s="0">
        <ns0:f>IFERROR(IF(FIND(".",L916)=5,--M916,--O916),0)</ns0:f>
        <ns0:v>0</ns0:v>
      </ns0:c>
      <ns0:c r="Q916" s="0">
        <ns0:f>IFERROR(--N916,0)</ns0:f>
        <ns0:v>0</ns0:v>
      </ns0:c>
      <ns0:c r="R916" s="0">
        <ns0:f>IFERROR(IF(FIND(".",L916)=5,--O916,--M916),0)</ns0:f>
        <ns0:v>0</ns0:v>
      </ns0:c>
      <ns0:c r="S916" s="0">
        <ns0:f>IFERROR(IF(AND(P916&gt;=2000,P916&lt;=2100,Q916&gt;=1,Q916&lt;=12,R916&gt;=1,R916&lt;=31),DATE(P916,Q916,R916),0),0)</ns0:f>
        <ns0:v>0</ns0:v>
      </ns0:c>
      <ns0:c r="T916" s="0">
        <ns0:f>IFERROR(IF(ISNUMBER(Bookings!D916),IF(AND(Bookings!D916=INT(Bookings!D916),Bookings!D916&gt;=DATE(2000,1,1),Bookings!D916&lt;=DATE(2100,12,31)),Bookings!D916,0),IF(AND(K916&lt;&gt;"",LEN("x"&amp;L916)-LEN(SUBSTITUTE("x"&amp;L916,".",""))=2,OR(1&gt;LEN(L916),MID(L916,1,1)=".",ISNUMBER(FIND("x"&amp;MID(L916,1,1),"x0x1x2x3x4x5x6x7x8x9"))),OR(2&gt;LEN(L916),MID(L916,2,1)=".",ISNUMBER(FIND("x"&amp;MID(L916,2,1),"x0x1x2x3x4x5x6x7x8x9"))),OR(3&gt;LEN(L916),MID(L916,3,1)=".",ISNUMBER(FIND("x"&amp;MID(L916,3,1),"x0x1x2x3x4x5x6x7x8x9"))),OR(4&gt;LEN(L916),MID(L916,4,1)=".",ISNUMBER(FIND("x"&amp;MID(L916,4,1),"x0x1x2x3x4x5x6x7x8x9"))),OR(5&gt;LEN(L916),MID(L916,5,1)=".",ISNUMBER(FIND("x"&amp;MID(L916,5,1),"x0x1x2x3x4x5x6x7x8x9"))),OR(6&gt;LEN(L916),MID(L916,6,1)=".",ISNUMBER(FIND("x"&amp;MID(L916,6,1),"x0x1x2x3x4x5x6x7x8x9"))),OR(7&gt;LEN(L916),MID(L916,7,1)=".",ISNUMBER(FIND("x"&amp;MID(L916,7,1),"x0x1x2x3x4x5x6x7x8x9"))),OR(8&gt;LEN(L916),MID(L916,8,1)=".",ISNUMBER(FIND("x"&amp;MID(L916,8,1),"x0x1x2x3x4x5x6x7x8x9"))),OR(9&gt;LEN(L916),MID(L916,9,1)=".",ISNUMBER(FIND("x"&amp;MID(L916,9,1),"x0x1x2x3x4x5x6x7x8x9"))),OR(10&gt;LEN(L916),MID(L916,10,1)=".",ISNUMBER(FIND("x"&amp;MID(L916,10,1),"x0x1x2x3x4x5x6x7x8x9"))),OR(AND(FIND(".",L916)=5,LEN(L916)-FIND(".",L916,FIND(".",L916)+1)&gt;=1,LEN(L916)-FIND(".",L916,FIND(".",L916)+1)&lt;=2),AND(LEN(L916)-FIND(".",L916,FIND(".",L916)+1)=4,FIND(".",L916)&gt;=2,FIND(".",L916)&lt;=3)),FIND(".",L916,FIND(".",L916)+1)-FIND(".",L916)&gt;=2,FIND(".",L916,FIND(".",L916)+1)-FIND(".",L916)&lt;=3,P916&gt;=2000,P916&lt;=2100,YEAR(S916)=P916,MONTH(S916)=Q916,DAY(S916)=R916),S916,0)),0)</ns0:f>
        <ns0:v>0</ns0:v>
      </ns0:c>
      <ns0:c r="U916" s="0" t="str">
        <ns0:f>IF(Bookings!C916="","Full day",Bookings!C916)</ns0:f>
        <ns0:v>Full day</ns0:v>
      </ns0:c>
      <ns0:c r="V916" s="0" t="str">
        <ns0:f>IF(Bookings!E916="","Full day",Bookings!E916)</ns0:f>
        <ns0:v>Full day</ns0:v>
      </ns0:c>
      <ns0:c r="W916" s="0">
        <ns0:f>IF(J916=0,0,J916+IF(U916="PM",1,0))</ns0:f>
        <ns0:v>0</ns0:v>
      </ns0:c>
      <ns0:c r="X916" s="0">
        <ns0:f>IF(T916=0,0,T916-IF(V916="PM",1,0))</ns0:f>
        <ns0:v>0</ns0:v>
      </ns0:c>
      <ns0:c r="Y916" s="0">
        <ns0:f>IF(J916=0,0,J916+IF(U916="AM",1,0))</ns0:f>
        <ns0:v>0</ns0:v>
      </ns0:c>
      <ns0:c r="Z916" s="0">
        <ns0:f>IF(T916=0,0,T916-IF(V916="AM",1,0))</ns0:f>
        <ns0:v>0</ns0:v>
      </ns0:c>
      <ns0:c r="AA916" s="0">
        <ns0:f>IFERROR(IF(AND(J916&gt;0,'_Engine'!C916&gt;0,MID('_Engine'!W916,WEEKDAY(J916,2),1)="W",COUNTIF(Settings!$F$18:$F$67,J916)=0),1,0),0)</ns0:f>
        <ns0:v>0</ns0:v>
      </ns0:c>
      <ns0:c r="AB916" s="0">
        <ns0:f>IFERROR(IF(AND(T916&gt;0,'_Engine'!C916&gt;0,MID('_Engine'!W916,WEEKDAY(T916,2),1)="W",COUNTIF(Settings!$F$18:$F$67,T916)=0),1,0),0)</ns0:f>
        <ns0:v>0</ns0:v>
      </ns0:c>
      <ns0:c r="AC916" s="0">
        <ns0:f>IF(AND(J916&gt;0,T916&gt;0,W916&lt;=X916),1,0)</ns0:f>
        <ns0:v>0</ns0:v>
      </ns0:c>
      <ns0:c r="AD916" s="0">
        <ns0:f>IF(AND(J916&gt;0,T916&gt;0,Y916&lt;=Z916),1,0)</ns0:f>
        <ns0:v>0</ns0:v>
      </ns0:c>
    </ns0:row>
    <ns0:row r="917">
      <ns0:c r="A917" s="0">
        <ns0:f>IFERROR(IF(ISNUMBER(Bookings!B917),"",TRIM(Bookings!B917&amp;"")),"")</ns0:f>
      </ns0:c>
      <ns0:c r="B917" s="0">
        <ns0:f>IFERROR(SUBSTITUTE(SUBSTITUTE(A917,"/","."),"-","."),"")</ns0:f>
      </ns0:c>
      <ns0:c r="C917" s="0">
        <ns0:f>IFERROR(LEFT(B917,FIND(".",B917)-1),"")</ns0:f>
      </ns0:c>
      <ns0:c r="D917" s="0">
        <ns0:f>IFERROR(MID(B917,FIND(".",B917)+1,FIND(".",B917,FIND(".",B917)+1)-FIND(".",B917)-1),"")</ns0:f>
      </ns0:c>
      <ns0:c r="E917" s="0">
        <ns0:f>IFERROR(MID(B917,FIND(".",B917,FIND(".",B917)+1)+1,99),"")</ns0:f>
        <ns0:v>99</ns0:v>
      </ns0:c>
      <ns0:c r="F917" s="0">
        <ns0:f>IFERROR(IF(FIND(".",B917)=5,--C917,--E917),0)</ns0:f>
        <ns0:v>0</ns0:v>
      </ns0:c>
      <ns0:c r="G917" s="0">
        <ns0:f>IFERROR(--D917,0)</ns0:f>
        <ns0:v>0</ns0:v>
      </ns0:c>
      <ns0:c r="H917" s="0">
        <ns0:f>IFERROR(IF(FIND(".",B917)=5,--E917,--C917),0)</ns0:f>
        <ns0:v>0</ns0:v>
      </ns0:c>
      <ns0:c r="I917" s="0">
        <ns0:f>IFERROR(IF(AND(F917&gt;=2000,F917&lt;=2100,G917&gt;=1,G917&lt;=12,H917&gt;=1,H917&lt;=31),DATE(F917,G917,H917),0),0)</ns0:f>
        <ns0:v>0</ns0:v>
      </ns0:c>
      <ns0:c r="J917" s="0">
        <ns0:f>IFERROR(IF(ISNUMBER(Bookings!B917),IF(AND(Bookings!B917=INT(Bookings!B917),Bookings!B917&gt;=DATE(2000,1,1),Bookings!B917&lt;=DATE(2100,12,31)),Bookings!B917,0),IF(AND(A917&lt;&gt;"",LEN("x"&amp;B917)-LEN(SUBSTITUTE("x"&amp;B917,".",""))=2,OR(1&gt;LEN(B917),MID(B917,1,1)=".",ISNUMBER(FIND("x"&amp;MID(B917,1,1),"x0x1x2x3x4x5x6x7x8x9"))),OR(2&gt;LEN(B917),MID(B917,2,1)=".",ISNUMBER(FIND("x"&amp;MID(B917,2,1),"x0x1x2x3x4x5x6x7x8x9"))),OR(3&gt;LEN(B917),MID(B917,3,1)=".",ISNUMBER(FIND("x"&amp;MID(B917,3,1),"x0x1x2x3x4x5x6x7x8x9"))),OR(4&gt;LEN(B917),MID(B917,4,1)=".",ISNUMBER(FIND("x"&amp;MID(B917,4,1),"x0x1x2x3x4x5x6x7x8x9"))),OR(5&gt;LEN(B917),MID(B917,5,1)=".",ISNUMBER(FIND("x"&amp;MID(B917,5,1),"x0x1x2x3x4x5x6x7x8x9"))),OR(6&gt;LEN(B917),MID(B917,6,1)=".",ISNUMBER(FIND("x"&amp;MID(B917,6,1),"x0x1x2x3x4x5x6x7x8x9"))),OR(7&gt;LEN(B917),MID(B917,7,1)=".",ISNUMBER(FIND("x"&amp;MID(B917,7,1),"x0x1x2x3x4x5x6x7x8x9"))),OR(8&gt;LEN(B917),MID(B917,8,1)=".",ISNUMBER(FIND("x"&amp;MID(B917,8,1),"x0x1x2x3x4x5x6x7x8x9"))),OR(9&gt;LEN(B917),MID(B917,9,1)=".",ISNUMBER(FIND("x"&amp;MID(B917,9,1),"x0x1x2x3x4x5x6x7x8x9"))),OR(10&gt;LEN(B917),MID(B917,10,1)=".",ISNUMBER(FIND("x"&amp;MID(B917,10,1),"x0x1x2x3x4x5x6x7x8x9"))),OR(AND(FIND(".",B917)=5,LEN(B917)-FIND(".",B917,FIND(".",B917)+1)&gt;=1,LEN(B917)-FIND(".",B917,FIND(".",B917)+1)&lt;=2),AND(LEN(B917)-FIND(".",B917,FIND(".",B917)+1)=4,FIND(".",B917)&gt;=2,FIND(".",B917)&lt;=3)),FIND(".",B917,FIND(".",B917)+1)-FIND(".",B917)&gt;=2,FIND(".",B917,FIND(".",B917)+1)-FIND(".",B917)&lt;=3,F917&gt;=2000,F917&lt;=2100,YEAR(I917)=F917,MONTH(I917)=G917,DAY(I917)=H917),I917,0)),0)</ns0:f>
        <ns0:v>0</ns0:v>
      </ns0:c>
      <ns0:c r="K917" s="0">
        <ns0:f>IFERROR(IF(ISNUMBER(Bookings!D917),"",TRIM(Bookings!D917&amp;"")),"")</ns0:f>
      </ns0:c>
      <ns0:c r="L917" s="0">
        <ns0:f>IFERROR(SUBSTITUTE(SUBSTITUTE(K917,"/","."),"-","."),"")</ns0:f>
      </ns0:c>
      <ns0:c r="M917" s="0">
        <ns0:f>IFERROR(LEFT(L917,FIND(".",L917)-1),"")</ns0:f>
      </ns0:c>
      <ns0:c r="N917" s="0">
        <ns0:f>IFERROR(MID(L917,FIND(".",L917)+1,FIND(".",L917,FIND(".",L917)+1)-FIND(".",L917)-1),"")</ns0:f>
      </ns0:c>
      <ns0:c r="O917" s="0">
        <ns0:f>IFERROR(MID(L917,FIND(".",L917,FIND(".",L917)+1)+1,99),"")</ns0:f>
        <ns0:v>99</ns0:v>
      </ns0:c>
      <ns0:c r="P917" s="0">
        <ns0:f>IFERROR(IF(FIND(".",L917)=5,--M917,--O917),0)</ns0:f>
        <ns0:v>0</ns0:v>
      </ns0:c>
      <ns0:c r="Q917" s="0">
        <ns0:f>IFERROR(--N917,0)</ns0:f>
        <ns0:v>0</ns0:v>
      </ns0:c>
      <ns0:c r="R917" s="0">
        <ns0:f>IFERROR(IF(FIND(".",L917)=5,--O917,--M917),0)</ns0:f>
        <ns0:v>0</ns0:v>
      </ns0:c>
      <ns0:c r="S917" s="0">
        <ns0:f>IFERROR(IF(AND(P917&gt;=2000,P917&lt;=2100,Q917&gt;=1,Q917&lt;=12,R917&gt;=1,R917&lt;=31),DATE(P917,Q917,R917),0),0)</ns0:f>
        <ns0:v>0</ns0:v>
      </ns0:c>
      <ns0:c r="T917" s="0">
        <ns0:f>IFERROR(IF(ISNUMBER(Bookings!D917),IF(AND(Bookings!D917=INT(Bookings!D917),Bookings!D917&gt;=DATE(2000,1,1),Bookings!D917&lt;=DATE(2100,12,31)),Bookings!D917,0),IF(AND(K917&lt;&gt;"",LEN("x"&amp;L917)-LEN(SUBSTITUTE("x"&amp;L917,".",""))=2,OR(1&gt;LEN(L917),MID(L917,1,1)=".",ISNUMBER(FIND("x"&amp;MID(L917,1,1),"x0x1x2x3x4x5x6x7x8x9"))),OR(2&gt;LEN(L917),MID(L917,2,1)=".",ISNUMBER(FIND("x"&amp;MID(L917,2,1),"x0x1x2x3x4x5x6x7x8x9"))),OR(3&gt;LEN(L917),MID(L917,3,1)=".",ISNUMBER(FIND("x"&amp;MID(L917,3,1),"x0x1x2x3x4x5x6x7x8x9"))),OR(4&gt;LEN(L917),MID(L917,4,1)=".",ISNUMBER(FIND("x"&amp;MID(L917,4,1),"x0x1x2x3x4x5x6x7x8x9"))),OR(5&gt;LEN(L917),MID(L917,5,1)=".",ISNUMBER(FIND("x"&amp;MID(L917,5,1),"x0x1x2x3x4x5x6x7x8x9"))),OR(6&gt;LEN(L917),MID(L917,6,1)=".",ISNUMBER(FIND("x"&amp;MID(L917,6,1),"x0x1x2x3x4x5x6x7x8x9"))),OR(7&gt;LEN(L917),MID(L917,7,1)=".",ISNUMBER(FIND("x"&amp;MID(L917,7,1),"x0x1x2x3x4x5x6x7x8x9"))),OR(8&gt;LEN(L917),MID(L917,8,1)=".",ISNUMBER(FIND("x"&amp;MID(L917,8,1),"x0x1x2x3x4x5x6x7x8x9"))),OR(9&gt;LEN(L917),MID(L917,9,1)=".",ISNUMBER(FIND("x"&amp;MID(L917,9,1),"x0x1x2x3x4x5x6x7x8x9"))),OR(10&gt;LEN(L917),MID(L917,10,1)=".",ISNUMBER(FIND("x"&amp;MID(L917,10,1),"x0x1x2x3x4x5x6x7x8x9"))),OR(AND(FIND(".",L917)=5,LEN(L917)-FIND(".",L917,FIND(".",L917)+1)&gt;=1,LEN(L917)-FIND(".",L917,FIND(".",L917)+1)&lt;=2),AND(LEN(L917)-FIND(".",L917,FIND(".",L917)+1)=4,FIND(".",L917)&gt;=2,FIND(".",L917)&lt;=3)),FIND(".",L917,FIND(".",L917)+1)-FIND(".",L917)&gt;=2,FIND(".",L917,FIND(".",L917)+1)-FIND(".",L917)&lt;=3,P917&gt;=2000,P917&lt;=2100,YEAR(S917)=P917,MONTH(S917)=Q917,DAY(S917)=R917),S917,0)),0)</ns0:f>
        <ns0:v>0</ns0:v>
      </ns0:c>
      <ns0:c r="U917" s="0" t="str">
        <ns0:f>IF(Bookings!C917="","Full day",Bookings!C917)</ns0:f>
        <ns0:v>Full day</ns0:v>
      </ns0:c>
      <ns0:c r="V917" s="0" t="str">
        <ns0:f>IF(Bookings!E917="","Full day",Bookings!E917)</ns0:f>
        <ns0:v>Full day</ns0:v>
      </ns0:c>
      <ns0:c r="W917" s="0">
        <ns0:f>IF(J917=0,0,J917+IF(U917="PM",1,0))</ns0:f>
        <ns0:v>0</ns0:v>
      </ns0:c>
      <ns0:c r="X917" s="0">
        <ns0:f>IF(T917=0,0,T917-IF(V917="PM",1,0))</ns0:f>
        <ns0:v>0</ns0:v>
      </ns0:c>
      <ns0:c r="Y917" s="0">
        <ns0:f>IF(J917=0,0,J917+IF(U917="AM",1,0))</ns0:f>
        <ns0:v>0</ns0:v>
      </ns0:c>
      <ns0:c r="Z917" s="0">
        <ns0:f>IF(T917=0,0,T917-IF(V917="AM",1,0))</ns0:f>
        <ns0:v>0</ns0:v>
      </ns0:c>
      <ns0:c r="AA917" s="0">
        <ns0:f>IFERROR(IF(AND(J917&gt;0,'_Engine'!C917&gt;0,MID('_Engine'!W917,WEEKDAY(J917,2),1)="W",COUNTIF(Settings!$F$18:$F$67,J917)=0),1,0),0)</ns0:f>
        <ns0:v>0</ns0:v>
      </ns0:c>
      <ns0:c r="AB917" s="0">
        <ns0:f>IFERROR(IF(AND(T917&gt;0,'_Engine'!C917&gt;0,MID('_Engine'!W917,WEEKDAY(T917,2),1)="W",COUNTIF(Settings!$F$18:$F$67,T917)=0),1,0),0)</ns0:f>
        <ns0:v>0</ns0:v>
      </ns0:c>
      <ns0:c r="AC917" s="0">
        <ns0:f>IF(AND(J917&gt;0,T917&gt;0,W917&lt;=X917),1,0)</ns0:f>
        <ns0:v>0</ns0:v>
      </ns0:c>
      <ns0:c r="AD917" s="0">
        <ns0:f>IF(AND(J917&gt;0,T917&gt;0,Y917&lt;=Z917),1,0)</ns0:f>
        <ns0:v>0</ns0:v>
      </ns0:c>
    </ns0:row>
    <ns0:row r="918">
      <ns0:c r="A918" s="0">
        <ns0:f>IFERROR(IF(ISNUMBER(Bookings!B918),"",TRIM(Bookings!B918&amp;"")),"")</ns0:f>
      </ns0:c>
      <ns0:c r="B918" s="0">
        <ns0:f>IFERROR(SUBSTITUTE(SUBSTITUTE(A918,"/","."),"-","."),"")</ns0:f>
      </ns0:c>
      <ns0:c r="C918" s="0">
        <ns0:f>IFERROR(LEFT(B918,FIND(".",B918)-1),"")</ns0:f>
      </ns0:c>
      <ns0:c r="D918" s="0">
        <ns0:f>IFERROR(MID(B918,FIND(".",B918)+1,FIND(".",B918,FIND(".",B918)+1)-FIND(".",B918)-1),"")</ns0:f>
      </ns0:c>
      <ns0:c r="E918" s="0">
        <ns0:f>IFERROR(MID(B918,FIND(".",B918,FIND(".",B918)+1)+1,99),"")</ns0:f>
        <ns0:v>99</ns0:v>
      </ns0:c>
      <ns0:c r="F918" s="0">
        <ns0:f>IFERROR(IF(FIND(".",B918)=5,--C918,--E918),0)</ns0:f>
        <ns0:v>0</ns0:v>
      </ns0:c>
      <ns0:c r="G918" s="0">
        <ns0:f>IFERROR(--D918,0)</ns0:f>
        <ns0:v>0</ns0:v>
      </ns0:c>
      <ns0:c r="H918" s="0">
        <ns0:f>IFERROR(IF(FIND(".",B918)=5,--E918,--C918),0)</ns0:f>
        <ns0:v>0</ns0:v>
      </ns0:c>
      <ns0:c r="I918" s="0">
        <ns0:f>IFERROR(IF(AND(F918&gt;=2000,F918&lt;=2100,G918&gt;=1,G918&lt;=12,H918&gt;=1,H918&lt;=31),DATE(F918,G918,H918),0),0)</ns0:f>
        <ns0:v>0</ns0:v>
      </ns0:c>
      <ns0:c r="J918" s="0">
        <ns0:f>IFERROR(IF(ISNUMBER(Bookings!B918),IF(AND(Bookings!B918=INT(Bookings!B918),Bookings!B918&gt;=DATE(2000,1,1),Bookings!B918&lt;=DATE(2100,12,31)),Bookings!B918,0),IF(AND(A918&lt;&gt;"",LEN("x"&amp;B918)-LEN(SUBSTITUTE("x"&amp;B918,".",""))=2,OR(1&gt;LEN(B918),MID(B918,1,1)=".",ISNUMBER(FIND("x"&amp;MID(B918,1,1),"x0x1x2x3x4x5x6x7x8x9"))),OR(2&gt;LEN(B918),MID(B918,2,1)=".",ISNUMBER(FIND("x"&amp;MID(B918,2,1),"x0x1x2x3x4x5x6x7x8x9"))),OR(3&gt;LEN(B918),MID(B918,3,1)=".",ISNUMBER(FIND("x"&amp;MID(B918,3,1),"x0x1x2x3x4x5x6x7x8x9"))),OR(4&gt;LEN(B918),MID(B918,4,1)=".",ISNUMBER(FIND("x"&amp;MID(B918,4,1),"x0x1x2x3x4x5x6x7x8x9"))),OR(5&gt;LEN(B918),MID(B918,5,1)=".",ISNUMBER(FIND("x"&amp;MID(B918,5,1),"x0x1x2x3x4x5x6x7x8x9"))),OR(6&gt;LEN(B918),MID(B918,6,1)=".",ISNUMBER(FIND("x"&amp;MID(B918,6,1),"x0x1x2x3x4x5x6x7x8x9"))),OR(7&gt;LEN(B918),MID(B918,7,1)=".",ISNUMBER(FIND("x"&amp;MID(B918,7,1),"x0x1x2x3x4x5x6x7x8x9"))),OR(8&gt;LEN(B918),MID(B918,8,1)=".",ISNUMBER(FIND("x"&amp;MID(B918,8,1),"x0x1x2x3x4x5x6x7x8x9"))),OR(9&gt;LEN(B918),MID(B918,9,1)=".",ISNUMBER(FIND("x"&amp;MID(B918,9,1),"x0x1x2x3x4x5x6x7x8x9"))),OR(10&gt;LEN(B918),MID(B918,10,1)=".",ISNUMBER(FIND("x"&amp;MID(B918,10,1),"x0x1x2x3x4x5x6x7x8x9"))),OR(AND(FIND(".",B918)=5,LEN(B918)-FIND(".",B918,FIND(".",B918)+1)&gt;=1,LEN(B918)-FIND(".",B918,FIND(".",B918)+1)&lt;=2),AND(LEN(B918)-FIND(".",B918,FIND(".",B918)+1)=4,FIND(".",B918)&gt;=2,FIND(".",B918)&lt;=3)),FIND(".",B918,FIND(".",B918)+1)-FIND(".",B918)&gt;=2,FIND(".",B918,FIND(".",B918)+1)-FIND(".",B918)&lt;=3,F918&gt;=2000,F918&lt;=2100,YEAR(I918)=F918,MONTH(I918)=G918,DAY(I918)=H918),I918,0)),0)</ns0:f>
        <ns0:v>0</ns0:v>
      </ns0:c>
      <ns0:c r="K918" s="0">
        <ns0:f>IFERROR(IF(ISNUMBER(Bookings!D918),"",TRIM(Bookings!D918&amp;"")),"")</ns0:f>
      </ns0:c>
      <ns0:c r="L918" s="0">
        <ns0:f>IFERROR(SUBSTITUTE(SUBSTITUTE(K918,"/","."),"-","."),"")</ns0:f>
      </ns0:c>
      <ns0:c r="M918" s="0">
        <ns0:f>IFERROR(LEFT(L918,FIND(".",L918)-1),"")</ns0:f>
      </ns0:c>
      <ns0:c r="N918" s="0">
        <ns0:f>IFERROR(MID(L918,FIND(".",L918)+1,FIND(".",L918,FIND(".",L918)+1)-FIND(".",L918)-1),"")</ns0:f>
      </ns0:c>
      <ns0:c r="O918" s="0">
        <ns0:f>IFERROR(MID(L918,FIND(".",L918,FIND(".",L918)+1)+1,99),"")</ns0:f>
        <ns0:v>99</ns0:v>
      </ns0:c>
      <ns0:c r="P918" s="0">
        <ns0:f>IFERROR(IF(FIND(".",L918)=5,--M918,--O918),0)</ns0:f>
        <ns0:v>0</ns0:v>
      </ns0:c>
      <ns0:c r="Q918" s="0">
        <ns0:f>IFERROR(--N918,0)</ns0:f>
        <ns0:v>0</ns0:v>
      </ns0:c>
      <ns0:c r="R918" s="0">
        <ns0:f>IFERROR(IF(FIND(".",L918)=5,--O918,--M918),0)</ns0:f>
        <ns0:v>0</ns0:v>
      </ns0:c>
      <ns0:c r="S918" s="0">
        <ns0:f>IFERROR(IF(AND(P918&gt;=2000,P918&lt;=2100,Q918&gt;=1,Q918&lt;=12,R918&gt;=1,R918&lt;=31),DATE(P918,Q918,R918),0),0)</ns0:f>
        <ns0:v>0</ns0:v>
      </ns0:c>
      <ns0:c r="T918" s="0">
        <ns0:f>IFERROR(IF(ISNUMBER(Bookings!D918),IF(AND(Bookings!D918=INT(Bookings!D918),Bookings!D918&gt;=DATE(2000,1,1),Bookings!D918&lt;=DATE(2100,12,31)),Bookings!D918,0),IF(AND(K918&lt;&gt;"",LEN("x"&amp;L918)-LEN(SUBSTITUTE("x"&amp;L918,".",""))=2,OR(1&gt;LEN(L918),MID(L918,1,1)=".",ISNUMBER(FIND("x"&amp;MID(L918,1,1),"x0x1x2x3x4x5x6x7x8x9"))),OR(2&gt;LEN(L918),MID(L918,2,1)=".",ISNUMBER(FIND("x"&amp;MID(L918,2,1),"x0x1x2x3x4x5x6x7x8x9"))),OR(3&gt;LEN(L918),MID(L918,3,1)=".",ISNUMBER(FIND("x"&amp;MID(L918,3,1),"x0x1x2x3x4x5x6x7x8x9"))),OR(4&gt;LEN(L918),MID(L918,4,1)=".",ISNUMBER(FIND("x"&amp;MID(L918,4,1),"x0x1x2x3x4x5x6x7x8x9"))),OR(5&gt;LEN(L918),MID(L918,5,1)=".",ISNUMBER(FIND("x"&amp;MID(L918,5,1),"x0x1x2x3x4x5x6x7x8x9"))),OR(6&gt;LEN(L918),MID(L918,6,1)=".",ISNUMBER(FIND("x"&amp;MID(L918,6,1),"x0x1x2x3x4x5x6x7x8x9"))),OR(7&gt;LEN(L918),MID(L918,7,1)=".",ISNUMBER(FIND("x"&amp;MID(L918,7,1),"x0x1x2x3x4x5x6x7x8x9"))),OR(8&gt;LEN(L918),MID(L918,8,1)=".",ISNUMBER(FIND("x"&amp;MID(L918,8,1),"x0x1x2x3x4x5x6x7x8x9"))),OR(9&gt;LEN(L918),MID(L918,9,1)=".",ISNUMBER(FIND("x"&amp;MID(L918,9,1),"x0x1x2x3x4x5x6x7x8x9"))),OR(10&gt;LEN(L918),MID(L918,10,1)=".",ISNUMBER(FIND("x"&amp;MID(L918,10,1),"x0x1x2x3x4x5x6x7x8x9"))),OR(AND(FIND(".",L918)=5,LEN(L918)-FIND(".",L918,FIND(".",L918)+1)&gt;=1,LEN(L918)-FIND(".",L918,FIND(".",L918)+1)&lt;=2),AND(LEN(L918)-FIND(".",L918,FIND(".",L918)+1)=4,FIND(".",L918)&gt;=2,FIND(".",L918)&lt;=3)),FIND(".",L918,FIND(".",L918)+1)-FIND(".",L918)&gt;=2,FIND(".",L918,FIND(".",L918)+1)-FIND(".",L918)&lt;=3,P918&gt;=2000,P918&lt;=2100,YEAR(S918)=P918,MONTH(S918)=Q918,DAY(S918)=R918),S918,0)),0)</ns0:f>
        <ns0:v>0</ns0:v>
      </ns0:c>
      <ns0:c r="U918" s="0" t="str">
        <ns0:f>IF(Bookings!C918="","Full day",Bookings!C918)</ns0:f>
        <ns0:v>Full day</ns0:v>
      </ns0:c>
      <ns0:c r="V918" s="0" t="str">
        <ns0:f>IF(Bookings!E918="","Full day",Bookings!E918)</ns0:f>
        <ns0:v>Full day</ns0:v>
      </ns0:c>
      <ns0:c r="W918" s="0">
        <ns0:f>IF(J918=0,0,J918+IF(U918="PM",1,0))</ns0:f>
        <ns0:v>0</ns0:v>
      </ns0:c>
      <ns0:c r="X918" s="0">
        <ns0:f>IF(T918=0,0,T918-IF(V918="PM",1,0))</ns0:f>
        <ns0:v>0</ns0:v>
      </ns0:c>
      <ns0:c r="Y918" s="0">
        <ns0:f>IF(J918=0,0,J918+IF(U918="AM",1,0))</ns0:f>
        <ns0:v>0</ns0:v>
      </ns0:c>
      <ns0:c r="Z918" s="0">
        <ns0:f>IF(T918=0,0,T918-IF(V918="AM",1,0))</ns0:f>
        <ns0:v>0</ns0:v>
      </ns0:c>
      <ns0:c r="AA918" s="0">
        <ns0:f>IFERROR(IF(AND(J918&gt;0,'_Engine'!C918&gt;0,MID('_Engine'!W918,WEEKDAY(J918,2),1)="W",COUNTIF(Settings!$F$18:$F$67,J918)=0),1,0),0)</ns0:f>
        <ns0:v>0</ns0:v>
      </ns0:c>
      <ns0:c r="AB918" s="0">
        <ns0:f>IFERROR(IF(AND(T918&gt;0,'_Engine'!C918&gt;0,MID('_Engine'!W918,WEEKDAY(T918,2),1)="W",COUNTIF(Settings!$F$18:$F$67,T918)=0),1,0),0)</ns0:f>
        <ns0:v>0</ns0:v>
      </ns0:c>
      <ns0:c r="AC918" s="0">
        <ns0:f>IF(AND(J918&gt;0,T918&gt;0,W918&lt;=X918),1,0)</ns0:f>
        <ns0:v>0</ns0:v>
      </ns0:c>
      <ns0:c r="AD918" s="0">
        <ns0:f>IF(AND(J918&gt;0,T918&gt;0,Y918&lt;=Z918),1,0)</ns0:f>
        <ns0:v>0</ns0:v>
      </ns0:c>
    </ns0:row>
    <ns0:row r="919">
      <ns0:c r="A919" s="0">
        <ns0:f>IFERROR(IF(ISNUMBER(Bookings!B919),"",TRIM(Bookings!B919&amp;"")),"")</ns0:f>
      </ns0:c>
      <ns0:c r="B919" s="0">
        <ns0:f>IFERROR(SUBSTITUTE(SUBSTITUTE(A919,"/","."),"-","."),"")</ns0:f>
      </ns0:c>
      <ns0:c r="C919" s="0">
        <ns0:f>IFERROR(LEFT(B919,FIND(".",B919)-1),"")</ns0:f>
      </ns0:c>
      <ns0:c r="D919" s="0">
        <ns0:f>IFERROR(MID(B919,FIND(".",B919)+1,FIND(".",B919,FIND(".",B919)+1)-FIND(".",B919)-1),"")</ns0:f>
      </ns0:c>
      <ns0:c r="E919" s="0">
        <ns0:f>IFERROR(MID(B919,FIND(".",B919,FIND(".",B919)+1)+1,99),"")</ns0:f>
        <ns0:v>99</ns0:v>
      </ns0:c>
      <ns0:c r="F919" s="0">
        <ns0:f>IFERROR(IF(FIND(".",B919)=5,--C919,--E919),0)</ns0:f>
        <ns0:v>0</ns0:v>
      </ns0:c>
      <ns0:c r="G919" s="0">
        <ns0:f>IFERROR(--D919,0)</ns0:f>
        <ns0:v>0</ns0:v>
      </ns0:c>
      <ns0:c r="H919" s="0">
        <ns0:f>IFERROR(IF(FIND(".",B919)=5,--E919,--C919),0)</ns0:f>
        <ns0:v>0</ns0:v>
      </ns0:c>
      <ns0:c r="I919" s="0">
        <ns0:f>IFERROR(IF(AND(F919&gt;=2000,F919&lt;=2100,G919&gt;=1,G919&lt;=12,H919&gt;=1,H919&lt;=31),DATE(F919,G919,H919),0),0)</ns0:f>
        <ns0:v>0</ns0:v>
      </ns0:c>
      <ns0:c r="J919" s="0">
        <ns0:f>IFERROR(IF(ISNUMBER(Bookings!B919),IF(AND(Bookings!B919=INT(Bookings!B919),Bookings!B919&gt;=DATE(2000,1,1),Bookings!B919&lt;=DATE(2100,12,31)),Bookings!B919,0),IF(AND(A919&lt;&gt;"",LEN("x"&amp;B919)-LEN(SUBSTITUTE("x"&amp;B919,".",""))=2,OR(1&gt;LEN(B919),MID(B919,1,1)=".",ISNUMBER(FIND("x"&amp;MID(B919,1,1),"x0x1x2x3x4x5x6x7x8x9"))),OR(2&gt;LEN(B919),MID(B919,2,1)=".",ISNUMBER(FIND("x"&amp;MID(B919,2,1),"x0x1x2x3x4x5x6x7x8x9"))),OR(3&gt;LEN(B919),MID(B919,3,1)=".",ISNUMBER(FIND("x"&amp;MID(B919,3,1),"x0x1x2x3x4x5x6x7x8x9"))),OR(4&gt;LEN(B919),MID(B919,4,1)=".",ISNUMBER(FIND("x"&amp;MID(B919,4,1),"x0x1x2x3x4x5x6x7x8x9"))),OR(5&gt;LEN(B919),MID(B919,5,1)=".",ISNUMBER(FIND("x"&amp;MID(B919,5,1),"x0x1x2x3x4x5x6x7x8x9"))),OR(6&gt;LEN(B919),MID(B919,6,1)=".",ISNUMBER(FIND("x"&amp;MID(B919,6,1),"x0x1x2x3x4x5x6x7x8x9"))),OR(7&gt;LEN(B919),MID(B919,7,1)=".",ISNUMBER(FIND("x"&amp;MID(B919,7,1),"x0x1x2x3x4x5x6x7x8x9"))),OR(8&gt;LEN(B919),MID(B919,8,1)=".",ISNUMBER(FIND("x"&amp;MID(B919,8,1),"x0x1x2x3x4x5x6x7x8x9"))),OR(9&gt;LEN(B919),MID(B919,9,1)=".",ISNUMBER(FIND("x"&amp;MID(B919,9,1),"x0x1x2x3x4x5x6x7x8x9"))),OR(10&gt;LEN(B919),MID(B919,10,1)=".",ISNUMBER(FIND("x"&amp;MID(B919,10,1),"x0x1x2x3x4x5x6x7x8x9"))),OR(AND(FIND(".",B919)=5,LEN(B919)-FIND(".",B919,FIND(".",B919)+1)&gt;=1,LEN(B919)-FIND(".",B919,FIND(".",B919)+1)&lt;=2),AND(LEN(B919)-FIND(".",B919,FIND(".",B919)+1)=4,FIND(".",B919)&gt;=2,FIND(".",B919)&lt;=3)),FIND(".",B919,FIND(".",B919)+1)-FIND(".",B919)&gt;=2,FIND(".",B919,FIND(".",B919)+1)-FIND(".",B919)&lt;=3,F919&gt;=2000,F919&lt;=2100,YEAR(I919)=F919,MONTH(I919)=G919,DAY(I919)=H919),I919,0)),0)</ns0:f>
        <ns0:v>0</ns0:v>
      </ns0:c>
      <ns0:c r="K919" s="0">
        <ns0:f>IFERROR(IF(ISNUMBER(Bookings!D919),"",TRIM(Bookings!D919&amp;"")),"")</ns0:f>
      </ns0:c>
      <ns0:c r="L919" s="0">
        <ns0:f>IFERROR(SUBSTITUTE(SUBSTITUTE(K919,"/","."),"-","."),"")</ns0:f>
      </ns0:c>
      <ns0:c r="M919" s="0">
        <ns0:f>IFERROR(LEFT(L919,FIND(".",L919)-1),"")</ns0:f>
      </ns0:c>
      <ns0:c r="N919" s="0">
        <ns0:f>IFERROR(MID(L919,FIND(".",L919)+1,FIND(".",L919,FIND(".",L919)+1)-FIND(".",L919)-1),"")</ns0:f>
      </ns0:c>
      <ns0:c r="O919" s="0">
        <ns0:f>IFERROR(MID(L919,FIND(".",L919,FIND(".",L919)+1)+1,99),"")</ns0:f>
        <ns0:v>99</ns0:v>
      </ns0:c>
      <ns0:c r="P919" s="0">
        <ns0:f>IFERROR(IF(FIND(".",L919)=5,--M919,--O919),0)</ns0:f>
        <ns0:v>0</ns0:v>
      </ns0:c>
      <ns0:c r="Q919" s="0">
        <ns0:f>IFERROR(--N919,0)</ns0:f>
        <ns0:v>0</ns0:v>
      </ns0:c>
      <ns0:c r="R919" s="0">
        <ns0:f>IFERROR(IF(FIND(".",L919)=5,--O919,--M919),0)</ns0:f>
        <ns0:v>0</ns0:v>
      </ns0:c>
      <ns0:c r="S919" s="0">
        <ns0:f>IFERROR(IF(AND(P919&gt;=2000,P919&lt;=2100,Q919&gt;=1,Q919&lt;=12,R919&gt;=1,R919&lt;=31),DATE(P919,Q919,R919),0),0)</ns0:f>
        <ns0:v>0</ns0:v>
      </ns0:c>
      <ns0:c r="T919" s="0">
        <ns0:f>IFERROR(IF(ISNUMBER(Bookings!D919),IF(AND(Bookings!D919=INT(Bookings!D919),Bookings!D919&gt;=DATE(2000,1,1),Bookings!D919&lt;=DATE(2100,12,31)),Bookings!D919,0),IF(AND(K919&lt;&gt;"",LEN("x"&amp;L919)-LEN(SUBSTITUTE("x"&amp;L919,".",""))=2,OR(1&gt;LEN(L919),MID(L919,1,1)=".",ISNUMBER(FIND("x"&amp;MID(L919,1,1),"x0x1x2x3x4x5x6x7x8x9"))),OR(2&gt;LEN(L919),MID(L919,2,1)=".",ISNUMBER(FIND("x"&amp;MID(L919,2,1),"x0x1x2x3x4x5x6x7x8x9"))),OR(3&gt;LEN(L919),MID(L919,3,1)=".",ISNUMBER(FIND("x"&amp;MID(L919,3,1),"x0x1x2x3x4x5x6x7x8x9"))),OR(4&gt;LEN(L919),MID(L919,4,1)=".",ISNUMBER(FIND("x"&amp;MID(L919,4,1),"x0x1x2x3x4x5x6x7x8x9"))),OR(5&gt;LEN(L919),MID(L919,5,1)=".",ISNUMBER(FIND("x"&amp;MID(L919,5,1),"x0x1x2x3x4x5x6x7x8x9"))),OR(6&gt;LEN(L919),MID(L919,6,1)=".",ISNUMBER(FIND("x"&amp;MID(L919,6,1),"x0x1x2x3x4x5x6x7x8x9"))),OR(7&gt;LEN(L919),MID(L919,7,1)=".",ISNUMBER(FIND("x"&amp;MID(L919,7,1),"x0x1x2x3x4x5x6x7x8x9"))),OR(8&gt;LEN(L919),MID(L919,8,1)=".",ISNUMBER(FIND("x"&amp;MID(L919,8,1),"x0x1x2x3x4x5x6x7x8x9"))),OR(9&gt;LEN(L919),MID(L919,9,1)=".",ISNUMBER(FIND("x"&amp;MID(L919,9,1),"x0x1x2x3x4x5x6x7x8x9"))),OR(10&gt;LEN(L919),MID(L919,10,1)=".",ISNUMBER(FIND("x"&amp;MID(L919,10,1),"x0x1x2x3x4x5x6x7x8x9"))),OR(AND(FIND(".",L919)=5,LEN(L919)-FIND(".",L919,FIND(".",L919)+1)&gt;=1,LEN(L919)-FIND(".",L919,FIND(".",L919)+1)&lt;=2),AND(LEN(L919)-FIND(".",L919,FIND(".",L919)+1)=4,FIND(".",L919)&gt;=2,FIND(".",L919)&lt;=3)),FIND(".",L919,FIND(".",L919)+1)-FIND(".",L919)&gt;=2,FIND(".",L919,FIND(".",L919)+1)-FIND(".",L919)&lt;=3,P919&gt;=2000,P919&lt;=2100,YEAR(S919)=P919,MONTH(S919)=Q919,DAY(S919)=R919),S919,0)),0)</ns0:f>
        <ns0:v>0</ns0:v>
      </ns0:c>
      <ns0:c r="U919" s="0" t="str">
        <ns0:f>IF(Bookings!C919="","Full day",Bookings!C919)</ns0:f>
        <ns0:v>Full day</ns0:v>
      </ns0:c>
      <ns0:c r="V919" s="0" t="str">
        <ns0:f>IF(Bookings!E919="","Full day",Bookings!E919)</ns0:f>
        <ns0:v>Full day</ns0:v>
      </ns0:c>
      <ns0:c r="W919" s="0">
        <ns0:f>IF(J919=0,0,J919+IF(U919="PM",1,0))</ns0:f>
        <ns0:v>0</ns0:v>
      </ns0:c>
      <ns0:c r="X919" s="0">
        <ns0:f>IF(T919=0,0,T919-IF(V919="PM",1,0))</ns0:f>
        <ns0:v>0</ns0:v>
      </ns0:c>
      <ns0:c r="Y919" s="0">
        <ns0:f>IF(J919=0,0,J919+IF(U919="AM",1,0))</ns0:f>
        <ns0:v>0</ns0:v>
      </ns0:c>
      <ns0:c r="Z919" s="0">
        <ns0:f>IF(T919=0,0,T919-IF(V919="AM",1,0))</ns0:f>
        <ns0:v>0</ns0:v>
      </ns0:c>
      <ns0:c r="AA919" s="0">
        <ns0:f>IFERROR(IF(AND(J919&gt;0,'_Engine'!C919&gt;0,MID('_Engine'!W919,WEEKDAY(J919,2),1)="W",COUNTIF(Settings!$F$18:$F$67,J919)=0),1,0),0)</ns0:f>
        <ns0:v>0</ns0:v>
      </ns0:c>
      <ns0:c r="AB919" s="0">
        <ns0:f>IFERROR(IF(AND(T919&gt;0,'_Engine'!C919&gt;0,MID('_Engine'!W919,WEEKDAY(T919,2),1)="W",COUNTIF(Settings!$F$18:$F$67,T919)=0),1,0),0)</ns0:f>
        <ns0:v>0</ns0:v>
      </ns0:c>
      <ns0:c r="AC919" s="0">
        <ns0:f>IF(AND(J919&gt;0,T919&gt;0,W919&lt;=X919),1,0)</ns0:f>
        <ns0:v>0</ns0:v>
      </ns0:c>
      <ns0:c r="AD919" s="0">
        <ns0:f>IF(AND(J919&gt;0,T919&gt;0,Y919&lt;=Z919),1,0)</ns0:f>
        <ns0:v>0</ns0:v>
      </ns0:c>
    </ns0:row>
    <ns0:row r="920">
      <ns0:c r="A920" s="0">
        <ns0:f>IFERROR(IF(ISNUMBER(Bookings!B920),"",TRIM(Bookings!B920&amp;"")),"")</ns0:f>
      </ns0:c>
      <ns0:c r="B920" s="0">
        <ns0:f>IFERROR(SUBSTITUTE(SUBSTITUTE(A920,"/","."),"-","."),"")</ns0:f>
      </ns0:c>
      <ns0:c r="C920" s="0">
        <ns0:f>IFERROR(LEFT(B920,FIND(".",B920)-1),"")</ns0:f>
      </ns0:c>
      <ns0:c r="D920" s="0">
        <ns0:f>IFERROR(MID(B920,FIND(".",B920)+1,FIND(".",B920,FIND(".",B920)+1)-FIND(".",B920)-1),"")</ns0:f>
      </ns0:c>
      <ns0:c r="E920" s="0">
        <ns0:f>IFERROR(MID(B920,FIND(".",B920,FIND(".",B920)+1)+1,99),"")</ns0:f>
        <ns0:v>99</ns0:v>
      </ns0:c>
      <ns0:c r="F920" s="0">
        <ns0:f>IFERROR(IF(FIND(".",B920)=5,--C920,--E920),0)</ns0:f>
        <ns0:v>0</ns0:v>
      </ns0:c>
      <ns0:c r="G920" s="0">
        <ns0:f>IFERROR(--D920,0)</ns0:f>
        <ns0:v>0</ns0:v>
      </ns0:c>
      <ns0:c r="H920" s="0">
        <ns0:f>IFERROR(IF(FIND(".",B920)=5,--E920,--C920),0)</ns0:f>
        <ns0:v>0</ns0:v>
      </ns0:c>
      <ns0:c r="I920" s="0">
        <ns0:f>IFERROR(IF(AND(F920&gt;=2000,F920&lt;=2100,G920&gt;=1,G920&lt;=12,H920&gt;=1,H920&lt;=31),DATE(F920,G920,H920),0),0)</ns0:f>
        <ns0:v>0</ns0:v>
      </ns0:c>
      <ns0:c r="J920" s="0">
        <ns0:f>IFERROR(IF(ISNUMBER(Bookings!B920),IF(AND(Bookings!B920=INT(Bookings!B920),Bookings!B920&gt;=DATE(2000,1,1),Bookings!B920&lt;=DATE(2100,12,31)),Bookings!B920,0),IF(AND(A920&lt;&gt;"",LEN("x"&amp;B920)-LEN(SUBSTITUTE("x"&amp;B920,".",""))=2,OR(1&gt;LEN(B920),MID(B920,1,1)=".",ISNUMBER(FIND("x"&amp;MID(B920,1,1),"x0x1x2x3x4x5x6x7x8x9"))),OR(2&gt;LEN(B920),MID(B920,2,1)=".",ISNUMBER(FIND("x"&amp;MID(B920,2,1),"x0x1x2x3x4x5x6x7x8x9"))),OR(3&gt;LEN(B920),MID(B920,3,1)=".",ISNUMBER(FIND("x"&amp;MID(B920,3,1),"x0x1x2x3x4x5x6x7x8x9"))),OR(4&gt;LEN(B920),MID(B920,4,1)=".",ISNUMBER(FIND("x"&amp;MID(B920,4,1),"x0x1x2x3x4x5x6x7x8x9"))),OR(5&gt;LEN(B920),MID(B920,5,1)=".",ISNUMBER(FIND("x"&amp;MID(B920,5,1),"x0x1x2x3x4x5x6x7x8x9"))),OR(6&gt;LEN(B920),MID(B920,6,1)=".",ISNUMBER(FIND("x"&amp;MID(B920,6,1),"x0x1x2x3x4x5x6x7x8x9"))),OR(7&gt;LEN(B920),MID(B920,7,1)=".",ISNUMBER(FIND("x"&amp;MID(B920,7,1),"x0x1x2x3x4x5x6x7x8x9"))),OR(8&gt;LEN(B920),MID(B920,8,1)=".",ISNUMBER(FIND("x"&amp;MID(B920,8,1),"x0x1x2x3x4x5x6x7x8x9"))),OR(9&gt;LEN(B920),MID(B920,9,1)=".",ISNUMBER(FIND("x"&amp;MID(B920,9,1),"x0x1x2x3x4x5x6x7x8x9"))),OR(10&gt;LEN(B920),MID(B920,10,1)=".",ISNUMBER(FIND("x"&amp;MID(B920,10,1),"x0x1x2x3x4x5x6x7x8x9"))),OR(AND(FIND(".",B920)=5,LEN(B920)-FIND(".",B920,FIND(".",B920)+1)&gt;=1,LEN(B920)-FIND(".",B920,FIND(".",B920)+1)&lt;=2),AND(LEN(B920)-FIND(".",B920,FIND(".",B920)+1)=4,FIND(".",B920)&gt;=2,FIND(".",B920)&lt;=3)),FIND(".",B920,FIND(".",B920)+1)-FIND(".",B920)&gt;=2,FIND(".",B920,FIND(".",B920)+1)-FIND(".",B920)&lt;=3,F920&gt;=2000,F920&lt;=2100,YEAR(I920)=F920,MONTH(I920)=G920,DAY(I920)=H920),I920,0)),0)</ns0:f>
        <ns0:v>0</ns0:v>
      </ns0:c>
      <ns0:c r="K920" s="0">
        <ns0:f>IFERROR(IF(ISNUMBER(Bookings!D920),"",TRIM(Bookings!D920&amp;"")),"")</ns0:f>
      </ns0:c>
      <ns0:c r="L920" s="0">
        <ns0:f>IFERROR(SUBSTITUTE(SUBSTITUTE(K920,"/","."),"-","."),"")</ns0:f>
      </ns0:c>
      <ns0:c r="M920" s="0">
        <ns0:f>IFERROR(LEFT(L920,FIND(".",L920)-1),"")</ns0:f>
      </ns0:c>
      <ns0:c r="N920" s="0">
        <ns0:f>IFERROR(MID(L920,FIND(".",L920)+1,FIND(".",L920,FIND(".",L920)+1)-FIND(".",L920)-1),"")</ns0:f>
      </ns0:c>
      <ns0:c r="O920" s="0">
        <ns0:f>IFERROR(MID(L920,FIND(".",L920,FIND(".",L920)+1)+1,99),"")</ns0:f>
        <ns0:v>99</ns0:v>
      </ns0:c>
      <ns0:c r="P920" s="0">
        <ns0:f>IFERROR(IF(FIND(".",L920)=5,--M920,--O920),0)</ns0:f>
        <ns0:v>0</ns0:v>
      </ns0:c>
      <ns0:c r="Q920" s="0">
        <ns0:f>IFERROR(--N920,0)</ns0:f>
        <ns0:v>0</ns0:v>
      </ns0:c>
      <ns0:c r="R920" s="0">
        <ns0:f>IFERROR(IF(FIND(".",L920)=5,--O920,--M920),0)</ns0:f>
        <ns0:v>0</ns0:v>
      </ns0:c>
      <ns0:c r="S920" s="0">
        <ns0:f>IFERROR(IF(AND(P920&gt;=2000,P920&lt;=2100,Q920&gt;=1,Q920&lt;=12,R920&gt;=1,R920&lt;=31),DATE(P920,Q920,R920),0),0)</ns0:f>
        <ns0:v>0</ns0:v>
      </ns0:c>
      <ns0:c r="T920" s="0">
        <ns0:f>IFERROR(IF(ISNUMBER(Bookings!D920),IF(AND(Bookings!D920=INT(Bookings!D920),Bookings!D920&gt;=DATE(2000,1,1),Bookings!D920&lt;=DATE(2100,12,31)),Bookings!D920,0),IF(AND(K920&lt;&gt;"",LEN("x"&amp;L920)-LEN(SUBSTITUTE("x"&amp;L920,".",""))=2,OR(1&gt;LEN(L920),MID(L920,1,1)=".",ISNUMBER(FIND("x"&amp;MID(L920,1,1),"x0x1x2x3x4x5x6x7x8x9"))),OR(2&gt;LEN(L920),MID(L920,2,1)=".",ISNUMBER(FIND("x"&amp;MID(L920,2,1),"x0x1x2x3x4x5x6x7x8x9"))),OR(3&gt;LEN(L920),MID(L920,3,1)=".",ISNUMBER(FIND("x"&amp;MID(L920,3,1),"x0x1x2x3x4x5x6x7x8x9"))),OR(4&gt;LEN(L920),MID(L920,4,1)=".",ISNUMBER(FIND("x"&amp;MID(L920,4,1),"x0x1x2x3x4x5x6x7x8x9"))),OR(5&gt;LEN(L920),MID(L920,5,1)=".",ISNUMBER(FIND("x"&amp;MID(L920,5,1),"x0x1x2x3x4x5x6x7x8x9"))),OR(6&gt;LEN(L920),MID(L920,6,1)=".",ISNUMBER(FIND("x"&amp;MID(L920,6,1),"x0x1x2x3x4x5x6x7x8x9"))),OR(7&gt;LEN(L920),MID(L920,7,1)=".",ISNUMBER(FIND("x"&amp;MID(L920,7,1),"x0x1x2x3x4x5x6x7x8x9"))),OR(8&gt;LEN(L920),MID(L920,8,1)=".",ISNUMBER(FIND("x"&amp;MID(L920,8,1),"x0x1x2x3x4x5x6x7x8x9"))),OR(9&gt;LEN(L920),MID(L920,9,1)=".",ISNUMBER(FIND("x"&amp;MID(L920,9,1),"x0x1x2x3x4x5x6x7x8x9"))),OR(10&gt;LEN(L920),MID(L920,10,1)=".",ISNUMBER(FIND("x"&amp;MID(L920,10,1),"x0x1x2x3x4x5x6x7x8x9"))),OR(AND(FIND(".",L920)=5,LEN(L920)-FIND(".",L920,FIND(".",L920)+1)&gt;=1,LEN(L920)-FIND(".",L920,FIND(".",L920)+1)&lt;=2),AND(LEN(L920)-FIND(".",L920,FIND(".",L920)+1)=4,FIND(".",L920)&gt;=2,FIND(".",L920)&lt;=3)),FIND(".",L920,FIND(".",L920)+1)-FIND(".",L920)&gt;=2,FIND(".",L920,FIND(".",L920)+1)-FIND(".",L920)&lt;=3,P920&gt;=2000,P920&lt;=2100,YEAR(S920)=P920,MONTH(S920)=Q920,DAY(S920)=R920),S920,0)),0)</ns0:f>
        <ns0:v>0</ns0:v>
      </ns0:c>
      <ns0:c r="U920" s="0" t="str">
        <ns0:f>IF(Bookings!C920="","Full day",Bookings!C920)</ns0:f>
        <ns0:v>Full day</ns0:v>
      </ns0:c>
      <ns0:c r="V920" s="0" t="str">
        <ns0:f>IF(Bookings!E920="","Full day",Bookings!E920)</ns0:f>
        <ns0:v>Full day</ns0:v>
      </ns0:c>
      <ns0:c r="W920" s="0">
        <ns0:f>IF(J920=0,0,J920+IF(U920="PM",1,0))</ns0:f>
        <ns0:v>0</ns0:v>
      </ns0:c>
      <ns0:c r="X920" s="0">
        <ns0:f>IF(T920=0,0,T920-IF(V920="PM",1,0))</ns0:f>
        <ns0:v>0</ns0:v>
      </ns0:c>
      <ns0:c r="Y920" s="0">
        <ns0:f>IF(J920=0,0,J920+IF(U920="AM",1,0))</ns0:f>
        <ns0:v>0</ns0:v>
      </ns0:c>
      <ns0:c r="Z920" s="0">
        <ns0:f>IF(T920=0,0,T920-IF(V920="AM",1,0))</ns0:f>
        <ns0:v>0</ns0:v>
      </ns0:c>
      <ns0:c r="AA920" s="0">
        <ns0:f>IFERROR(IF(AND(J920&gt;0,'_Engine'!C920&gt;0,MID('_Engine'!W920,WEEKDAY(J920,2),1)="W",COUNTIF(Settings!$F$18:$F$67,J920)=0),1,0),0)</ns0:f>
        <ns0:v>0</ns0:v>
      </ns0:c>
      <ns0:c r="AB920" s="0">
        <ns0:f>IFERROR(IF(AND(T920&gt;0,'_Engine'!C920&gt;0,MID('_Engine'!W920,WEEKDAY(T920,2),1)="W",COUNTIF(Settings!$F$18:$F$67,T920)=0),1,0),0)</ns0:f>
        <ns0:v>0</ns0:v>
      </ns0:c>
      <ns0:c r="AC920" s="0">
        <ns0:f>IF(AND(J920&gt;0,T920&gt;0,W920&lt;=X920),1,0)</ns0:f>
        <ns0:v>0</ns0:v>
      </ns0:c>
      <ns0:c r="AD920" s="0">
        <ns0:f>IF(AND(J920&gt;0,T920&gt;0,Y920&lt;=Z920),1,0)</ns0:f>
        <ns0:v>0</ns0:v>
      </ns0:c>
    </ns0:row>
    <ns0:row r="921">
      <ns0:c r="A921" s="0">
        <ns0:f>IFERROR(IF(ISNUMBER(Bookings!B921),"",TRIM(Bookings!B921&amp;"")),"")</ns0:f>
      </ns0:c>
      <ns0:c r="B921" s="0">
        <ns0:f>IFERROR(SUBSTITUTE(SUBSTITUTE(A921,"/","."),"-","."),"")</ns0:f>
      </ns0:c>
      <ns0:c r="C921" s="0">
        <ns0:f>IFERROR(LEFT(B921,FIND(".",B921)-1),"")</ns0:f>
      </ns0:c>
      <ns0:c r="D921" s="0">
        <ns0:f>IFERROR(MID(B921,FIND(".",B921)+1,FIND(".",B921,FIND(".",B921)+1)-FIND(".",B921)-1),"")</ns0:f>
      </ns0:c>
      <ns0:c r="E921" s="0">
        <ns0:f>IFERROR(MID(B921,FIND(".",B921,FIND(".",B921)+1)+1,99),"")</ns0:f>
        <ns0:v>99</ns0:v>
      </ns0:c>
      <ns0:c r="F921" s="0">
        <ns0:f>IFERROR(IF(FIND(".",B921)=5,--C921,--E921),0)</ns0:f>
        <ns0:v>0</ns0:v>
      </ns0:c>
      <ns0:c r="G921" s="0">
        <ns0:f>IFERROR(--D921,0)</ns0:f>
        <ns0:v>0</ns0:v>
      </ns0:c>
      <ns0:c r="H921" s="0">
        <ns0:f>IFERROR(IF(FIND(".",B921)=5,--E921,--C921),0)</ns0:f>
        <ns0:v>0</ns0:v>
      </ns0:c>
      <ns0:c r="I921" s="0">
        <ns0:f>IFERROR(IF(AND(F921&gt;=2000,F921&lt;=2100,G921&gt;=1,G921&lt;=12,H921&gt;=1,H921&lt;=31),DATE(F921,G921,H921),0),0)</ns0:f>
        <ns0:v>0</ns0:v>
      </ns0:c>
      <ns0:c r="J921" s="0">
        <ns0:f>IFERROR(IF(ISNUMBER(Bookings!B921),IF(AND(Bookings!B921=INT(Bookings!B921),Bookings!B921&gt;=DATE(2000,1,1),Bookings!B921&lt;=DATE(2100,12,31)),Bookings!B921,0),IF(AND(A921&lt;&gt;"",LEN("x"&amp;B921)-LEN(SUBSTITUTE("x"&amp;B921,".",""))=2,OR(1&gt;LEN(B921),MID(B921,1,1)=".",ISNUMBER(FIND("x"&amp;MID(B921,1,1),"x0x1x2x3x4x5x6x7x8x9"))),OR(2&gt;LEN(B921),MID(B921,2,1)=".",ISNUMBER(FIND("x"&amp;MID(B921,2,1),"x0x1x2x3x4x5x6x7x8x9"))),OR(3&gt;LEN(B921),MID(B921,3,1)=".",ISNUMBER(FIND("x"&amp;MID(B921,3,1),"x0x1x2x3x4x5x6x7x8x9"))),OR(4&gt;LEN(B921),MID(B921,4,1)=".",ISNUMBER(FIND("x"&amp;MID(B921,4,1),"x0x1x2x3x4x5x6x7x8x9"))),OR(5&gt;LEN(B921),MID(B921,5,1)=".",ISNUMBER(FIND("x"&amp;MID(B921,5,1),"x0x1x2x3x4x5x6x7x8x9"))),OR(6&gt;LEN(B921),MID(B921,6,1)=".",ISNUMBER(FIND("x"&amp;MID(B921,6,1),"x0x1x2x3x4x5x6x7x8x9"))),OR(7&gt;LEN(B921),MID(B921,7,1)=".",ISNUMBER(FIND("x"&amp;MID(B921,7,1),"x0x1x2x3x4x5x6x7x8x9"))),OR(8&gt;LEN(B921),MID(B921,8,1)=".",ISNUMBER(FIND("x"&amp;MID(B921,8,1),"x0x1x2x3x4x5x6x7x8x9"))),OR(9&gt;LEN(B921),MID(B921,9,1)=".",ISNUMBER(FIND("x"&amp;MID(B921,9,1),"x0x1x2x3x4x5x6x7x8x9"))),OR(10&gt;LEN(B921),MID(B921,10,1)=".",ISNUMBER(FIND("x"&amp;MID(B921,10,1),"x0x1x2x3x4x5x6x7x8x9"))),OR(AND(FIND(".",B921)=5,LEN(B921)-FIND(".",B921,FIND(".",B921)+1)&gt;=1,LEN(B921)-FIND(".",B921,FIND(".",B921)+1)&lt;=2),AND(LEN(B921)-FIND(".",B921,FIND(".",B921)+1)=4,FIND(".",B921)&gt;=2,FIND(".",B921)&lt;=3)),FIND(".",B921,FIND(".",B921)+1)-FIND(".",B921)&gt;=2,FIND(".",B921,FIND(".",B921)+1)-FIND(".",B921)&lt;=3,F921&gt;=2000,F921&lt;=2100,YEAR(I921)=F921,MONTH(I921)=G921,DAY(I921)=H921),I921,0)),0)</ns0:f>
        <ns0:v>0</ns0:v>
      </ns0:c>
      <ns0:c r="K921" s="0">
        <ns0:f>IFERROR(IF(ISNUMBER(Bookings!D921),"",TRIM(Bookings!D921&amp;"")),"")</ns0:f>
      </ns0:c>
      <ns0:c r="L921" s="0">
        <ns0:f>IFERROR(SUBSTITUTE(SUBSTITUTE(K921,"/","."),"-","."),"")</ns0:f>
      </ns0:c>
      <ns0:c r="M921" s="0">
        <ns0:f>IFERROR(LEFT(L921,FIND(".",L921)-1),"")</ns0:f>
      </ns0:c>
      <ns0:c r="N921" s="0">
        <ns0:f>IFERROR(MID(L921,FIND(".",L921)+1,FIND(".",L921,FIND(".",L921)+1)-FIND(".",L921)-1),"")</ns0:f>
      </ns0:c>
      <ns0:c r="O921" s="0">
        <ns0:f>IFERROR(MID(L921,FIND(".",L921,FIND(".",L921)+1)+1,99),"")</ns0:f>
        <ns0:v>99</ns0:v>
      </ns0:c>
      <ns0:c r="P921" s="0">
        <ns0:f>IFERROR(IF(FIND(".",L921)=5,--M921,--O921),0)</ns0:f>
        <ns0:v>0</ns0:v>
      </ns0:c>
      <ns0:c r="Q921" s="0">
        <ns0:f>IFERROR(--N921,0)</ns0:f>
        <ns0:v>0</ns0:v>
      </ns0:c>
      <ns0:c r="R921" s="0">
        <ns0:f>IFERROR(IF(FIND(".",L921)=5,--O921,--M921),0)</ns0:f>
        <ns0:v>0</ns0:v>
      </ns0:c>
      <ns0:c r="S921" s="0">
        <ns0:f>IFERROR(IF(AND(P921&gt;=2000,P921&lt;=2100,Q921&gt;=1,Q921&lt;=12,R921&gt;=1,R921&lt;=31),DATE(P921,Q921,R921),0),0)</ns0:f>
        <ns0:v>0</ns0:v>
      </ns0:c>
      <ns0:c r="T921" s="0">
        <ns0:f>IFERROR(IF(ISNUMBER(Bookings!D921),IF(AND(Bookings!D921=INT(Bookings!D921),Bookings!D921&gt;=DATE(2000,1,1),Bookings!D921&lt;=DATE(2100,12,31)),Bookings!D921,0),IF(AND(K921&lt;&gt;"",LEN("x"&amp;L921)-LEN(SUBSTITUTE("x"&amp;L921,".",""))=2,OR(1&gt;LEN(L921),MID(L921,1,1)=".",ISNUMBER(FIND("x"&amp;MID(L921,1,1),"x0x1x2x3x4x5x6x7x8x9"))),OR(2&gt;LEN(L921),MID(L921,2,1)=".",ISNUMBER(FIND("x"&amp;MID(L921,2,1),"x0x1x2x3x4x5x6x7x8x9"))),OR(3&gt;LEN(L921),MID(L921,3,1)=".",ISNUMBER(FIND("x"&amp;MID(L921,3,1),"x0x1x2x3x4x5x6x7x8x9"))),OR(4&gt;LEN(L921),MID(L921,4,1)=".",ISNUMBER(FIND("x"&amp;MID(L921,4,1),"x0x1x2x3x4x5x6x7x8x9"))),OR(5&gt;LEN(L921),MID(L921,5,1)=".",ISNUMBER(FIND("x"&amp;MID(L921,5,1),"x0x1x2x3x4x5x6x7x8x9"))),OR(6&gt;LEN(L921),MID(L921,6,1)=".",ISNUMBER(FIND("x"&amp;MID(L921,6,1),"x0x1x2x3x4x5x6x7x8x9"))),OR(7&gt;LEN(L921),MID(L921,7,1)=".",ISNUMBER(FIND("x"&amp;MID(L921,7,1),"x0x1x2x3x4x5x6x7x8x9"))),OR(8&gt;LEN(L921),MID(L921,8,1)=".",ISNUMBER(FIND("x"&amp;MID(L921,8,1),"x0x1x2x3x4x5x6x7x8x9"))),OR(9&gt;LEN(L921),MID(L921,9,1)=".",ISNUMBER(FIND("x"&amp;MID(L921,9,1),"x0x1x2x3x4x5x6x7x8x9"))),OR(10&gt;LEN(L921),MID(L921,10,1)=".",ISNUMBER(FIND("x"&amp;MID(L921,10,1),"x0x1x2x3x4x5x6x7x8x9"))),OR(AND(FIND(".",L921)=5,LEN(L921)-FIND(".",L921,FIND(".",L921)+1)&gt;=1,LEN(L921)-FIND(".",L921,FIND(".",L921)+1)&lt;=2),AND(LEN(L921)-FIND(".",L921,FIND(".",L921)+1)=4,FIND(".",L921)&gt;=2,FIND(".",L921)&lt;=3)),FIND(".",L921,FIND(".",L921)+1)-FIND(".",L921)&gt;=2,FIND(".",L921,FIND(".",L921)+1)-FIND(".",L921)&lt;=3,P921&gt;=2000,P921&lt;=2100,YEAR(S921)=P921,MONTH(S921)=Q921,DAY(S921)=R921),S921,0)),0)</ns0:f>
        <ns0:v>0</ns0:v>
      </ns0:c>
      <ns0:c r="U921" s="0" t="str">
        <ns0:f>IF(Bookings!C921="","Full day",Bookings!C921)</ns0:f>
        <ns0:v>Full day</ns0:v>
      </ns0:c>
      <ns0:c r="V921" s="0" t="str">
        <ns0:f>IF(Bookings!E921="","Full day",Bookings!E921)</ns0:f>
        <ns0:v>Full day</ns0:v>
      </ns0:c>
      <ns0:c r="W921" s="0">
        <ns0:f>IF(J921=0,0,J921+IF(U921="PM",1,0))</ns0:f>
        <ns0:v>0</ns0:v>
      </ns0:c>
      <ns0:c r="X921" s="0">
        <ns0:f>IF(T921=0,0,T921-IF(V921="PM",1,0))</ns0:f>
        <ns0:v>0</ns0:v>
      </ns0:c>
      <ns0:c r="Y921" s="0">
        <ns0:f>IF(J921=0,0,J921+IF(U921="AM",1,0))</ns0:f>
        <ns0:v>0</ns0:v>
      </ns0:c>
      <ns0:c r="Z921" s="0">
        <ns0:f>IF(T921=0,0,T921-IF(V921="AM",1,0))</ns0:f>
        <ns0:v>0</ns0:v>
      </ns0:c>
      <ns0:c r="AA921" s="0">
        <ns0:f>IFERROR(IF(AND(J921&gt;0,'_Engine'!C921&gt;0,MID('_Engine'!W921,WEEKDAY(J921,2),1)="W",COUNTIF(Settings!$F$18:$F$67,J921)=0),1,0),0)</ns0:f>
        <ns0:v>0</ns0:v>
      </ns0:c>
      <ns0:c r="AB921" s="0">
        <ns0:f>IFERROR(IF(AND(T921&gt;0,'_Engine'!C921&gt;0,MID('_Engine'!W921,WEEKDAY(T921,2),1)="W",COUNTIF(Settings!$F$18:$F$67,T921)=0),1,0),0)</ns0:f>
        <ns0:v>0</ns0:v>
      </ns0:c>
      <ns0:c r="AC921" s="0">
        <ns0:f>IF(AND(J921&gt;0,T921&gt;0,W921&lt;=X921),1,0)</ns0:f>
        <ns0:v>0</ns0:v>
      </ns0:c>
      <ns0:c r="AD921" s="0">
        <ns0:f>IF(AND(J921&gt;0,T921&gt;0,Y921&lt;=Z921),1,0)</ns0:f>
        <ns0:v>0</ns0:v>
      </ns0:c>
    </ns0:row>
    <ns0:row r="922">
      <ns0:c r="A922" s="0">
        <ns0:f>IFERROR(IF(ISNUMBER(Bookings!B922),"",TRIM(Bookings!B922&amp;"")),"")</ns0:f>
      </ns0:c>
      <ns0:c r="B922" s="0">
        <ns0:f>IFERROR(SUBSTITUTE(SUBSTITUTE(A922,"/","."),"-","."),"")</ns0:f>
      </ns0:c>
      <ns0:c r="C922" s="0">
        <ns0:f>IFERROR(LEFT(B922,FIND(".",B922)-1),"")</ns0:f>
      </ns0:c>
      <ns0:c r="D922" s="0">
        <ns0:f>IFERROR(MID(B922,FIND(".",B922)+1,FIND(".",B922,FIND(".",B922)+1)-FIND(".",B922)-1),"")</ns0:f>
      </ns0:c>
      <ns0:c r="E922" s="0">
        <ns0:f>IFERROR(MID(B922,FIND(".",B922,FIND(".",B922)+1)+1,99),"")</ns0:f>
        <ns0:v>99</ns0:v>
      </ns0:c>
      <ns0:c r="F922" s="0">
        <ns0:f>IFERROR(IF(FIND(".",B922)=5,--C922,--E922),0)</ns0:f>
        <ns0:v>0</ns0:v>
      </ns0:c>
      <ns0:c r="G922" s="0">
        <ns0:f>IFERROR(--D922,0)</ns0:f>
        <ns0:v>0</ns0:v>
      </ns0:c>
      <ns0:c r="H922" s="0">
        <ns0:f>IFERROR(IF(FIND(".",B922)=5,--E922,--C922),0)</ns0:f>
        <ns0:v>0</ns0:v>
      </ns0:c>
      <ns0:c r="I922" s="0">
        <ns0:f>IFERROR(IF(AND(F922&gt;=2000,F922&lt;=2100,G922&gt;=1,G922&lt;=12,H922&gt;=1,H922&lt;=31),DATE(F922,G922,H922),0),0)</ns0:f>
        <ns0:v>0</ns0:v>
      </ns0:c>
      <ns0:c r="J922" s="0">
        <ns0:f>IFERROR(IF(ISNUMBER(Bookings!B922),IF(AND(Bookings!B922=INT(Bookings!B922),Bookings!B922&gt;=DATE(2000,1,1),Bookings!B922&lt;=DATE(2100,12,31)),Bookings!B922,0),IF(AND(A922&lt;&gt;"",LEN("x"&amp;B922)-LEN(SUBSTITUTE("x"&amp;B922,".",""))=2,OR(1&gt;LEN(B922),MID(B922,1,1)=".",ISNUMBER(FIND("x"&amp;MID(B922,1,1),"x0x1x2x3x4x5x6x7x8x9"))),OR(2&gt;LEN(B922),MID(B922,2,1)=".",ISNUMBER(FIND("x"&amp;MID(B922,2,1),"x0x1x2x3x4x5x6x7x8x9"))),OR(3&gt;LEN(B922),MID(B922,3,1)=".",ISNUMBER(FIND("x"&amp;MID(B922,3,1),"x0x1x2x3x4x5x6x7x8x9"))),OR(4&gt;LEN(B922),MID(B922,4,1)=".",ISNUMBER(FIND("x"&amp;MID(B922,4,1),"x0x1x2x3x4x5x6x7x8x9"))),OR(5&gt;LEN(B922),MID(B922,5,1)=".",ISNUMBER(FIND("x"&amp;MID(B922,5,1),"x0x1x2x3x4x5x6x7x8x9"))),OR(6&gt;LEN(B922),MID(B922,6,1)=".",ISNUMBER(FIND("x"&amp;MID(B922,6,1),"x0x1x2x3x4x5x6x7x8x9"))),OR(7&gt;LEN(B922),MID(B922,7,1)=".",ISNUMBER(FIND("x"&amp;MID(B922,7,1),"x0x1x2x3x4x5x6x7x8x9"))),OR(8&gt;LEN(B922),MID(B922,8,1)=".",ISNUMBER(FIND("x"&amp;MID(B922,8,1),"x0x1x2x3x4x5x6x7x8x9"))),OR(9&gt;LEN(B922),MID(B922,9,1)=".",ISNUMBER(FIND("x"&amp;MID(B922,9,1),"x0x1x2x3x4x5x6x7x8x9"))),OR(10&gt;LEN(B922),MID(B922,10,1)=".",ISNUMBER(FIND("x"&amp;MID(B922,10,1),"x0x1x2x3x4x5x6x7x8x9"))),OR(AND(FIND(".",B922)=5,LEN(B922)-FIND(".",B922,FIND(".",B922)+1)&gt;=1,LEN(B922)-FIND(".",B922,FIND(".",B922)+1)&lt;=2),AND(LEN(B922)-FIND(".",B922,FIND(".",B922)+1)=4,FIND(".",B922)&gt;=2,FIND(".",B922)&lt;=3)),FIND(".",B922,FIND(".",B922)+1)-FIND(".",B922)&gt;=2,FIND(".",B922,FIND(".",B922)+1)-FIND(".",B922)&lt;=3,F922&gt;=2000,F922&lt;=2100,YEAR(I922)=F922,MONTH(I922)=G922,DAY(I922)=H922),I922,0)),0)</ns0:f>
        <ns0:v>0</ns0:v>
      </ns0:c>
      <ns0:c r="K922" s="0">
        <ns0:f>IFERROR(IF(ISNUMBER(Bookings!D922),"",TRIM(Bookings!D922&amp;"")),"")</ns0:f>
      </ns0:c>
      <ns0:c r="L922" s="0">
        <ns0:f>IFERROR(SUBSTITUTE(SUBSTITUTE(K922,"/","."),"-","."),"")</ns0:f>
      </ns0:c>
      <ns0:c r="M922" s="0">
        <ns0:f>IFERROR(LEFT(L922,FIND(".",L922)-1),"")</ns0:f>
      </ns0:c>
      <ns0:c r="N922" s="0">
        <ns0:f>IFERROR(MID(L922,FIND(".",L922)+1,FIND(".",L922,FIND(".",L922)+1)-FIND(".",L922)-1),"")</ns0:f>
      </ns0:c>
      <ns0:c r="O922" s="0">
        <ns0:f>IFERROR(MID(L922,FIND(".",L922,FIND(".",L922)+1)+1,99),"")</ns0:f>
        <ns0:v>99</ns0:v>
      </ns0:c>
      <ns0:c r="P922" s="0">
        <ns0:f>IFERROR(IF(FIND(".",L922)=5,--M922,--O922),0)</ns0:f>
        <ns0:v>0</ns0:v>
      </ns0:c>
      <ns0:c r="Q922" s="0">
        <ns0:f>IFERROR(--N922,0)</ns0:f>
        <ns0:v>0</ns0:v>
      </ns0:c>
      <ns0:c r="R922" s="0">
        <ns0:f>IFERROR(IF(FIND(".",L922)=5,--O922,--M922),0)</ns0:f>
        <ns0:v>0</ns0:v>
      </ns0:c>
      <ns0:c r="S922" s="0">
        <ns0:f>IFERROR(IF(AND(P922&gt;=2000,P922&lt;=2100,Q922&gt;=1,Q922&lt;=12,R922&gt;=1,R922&lt;=31),DATE(P922,Q922,R922),0),0)</ns0:f>
        <ns0:v>0</ns0:v>
      </ns0:c>
      <ns0:c r="T922" s="0">
        <ns0:f>IFERROR(IF(ISNUMBER(Bookings!D922),IF(AND(Bookings!D922=INT(Bookings!D922),Bookings!D922&gt;=DATE(2000,1,1),Bookings!D922&lt;=DATE(2100,12,31)),Bookings!D922,0),IF(AND(K922&lt;&gt;"",LEN("x"&amp;L922)-LEN(SUBSTITUTE("x"&amp;L922,".",""))=2,OR(1&gt;LEN(L922),MID(L922,1,1)=".",ISNUMBER(FIND("x"&amp;MID(L922,1,1),"x0x1x2x3x4x5x6x7x8x9"))),OR(2&gt;LEN(L922),MID(L922,2,1)=".",ISNUMBER(FIND("x"&amp;MID(L922,2,1),"x0x1x2x3x4x5x6x7x8x9"))),OR(3&gt;LEN(L922),MID(L922,3,1)=".",ISNUMBER(FIND("x"&amp;MID(L922,3,1),"x0x1x2x3x4x5x6x7x8x9"))),OR(4&gt;LEN(L922),MID(L922,4,1)=".",ISNUMBER(FIND("x"&amp;MID(L922,4,1),"x0x1x2x3x4x5x6x7x8x9"))),OR(5&gt;LEN(L922),MID(L922,5,1)=".",ISNUMBER(FIND("x"&amp;MID(L922,5,1),"x0x1x2x3x4x5x6x7x8x9"))),OR(6&gt;LEN(L922),MID(L922,6,1)=".",ISNUMBER(FIND("x"&amp;MID(L922,6,1),"x0x1x2x3x4x5x6x7x8x9"))),OR(7&gt;LEN(L922),MID(L922,7,1)=".",ISNUMBER(FIND("x"&amp;MID(L922,7,1),"x0x1x2x3x4x5x6x7x8x9"))),OR(8&gt;LEN(L922),MID(L922,8,1)=".",ISNUMBER(FIND("x"&amp;MID(L922,8,1),"x0x1x2x3x4x5x6x7x8x9"))),OR(9&gt;LEN(L922),MID(L922,9,1)=".",ISNUMBER(FIND("x"&amp;MID(L922,9,1),"x0x1x2x3x4x5x6x7x8x9"))),OR(10&gt;LEN(L922),MID(L922,10,1)=".",ISNUMBER(FIND("x"&amp;MID(L922,10,1),"x0x1x2x3x4x5x6x7x8x9"))),OR(AND(FIND(".",L922)=5,LEN(L922)-FIND(".",L922,FIND(".",L922)+1)&gt;=1,LEN(L922)-FIND(".",L922,FIND(".",L922)+1)&lt;=2),AND(LEN(L922)-FIND(".",L922,FIND(".",L922)+1)=4,FIND(".",L922)&gt;=2,FIND(".",L922)&lt;=3)),FIND(".",L922,FIND(".",L922)+1)-FIND(".",L922)&gt;=2,FIND(".",L922,FIND(".",L922)+1)-FIND(".",L922)&lt;=3,P922&gt;=2000,P922&lt;=2100,YEAR(S922)=P922,MONTH(S922)=Q922,DAY(S922)=R922),S922,0)),0)</ns0:f>
        <ns0:v>0</ns0:v>
      </ns0:c>
      <ns0:c r="U922" s="0" t="str">
        <ns0:f>IF(Bookings!C922="","Full day",Bookings!C922)</ns0:f>
        <ns0:v>Full day</ns0:v>
      </ns0:c>
      <ns0:c r="V922" s="0" t="str">
        <ns0:f>IF(Bookings!E922="","Full day",Bookings!E922)</ns0:f>
        <ns0:v>Full day</ns0:v>
      </ns0:c>
      <ns0:c r="W922" s="0">
        <ns0:f>IF(J922=0,0,J922+IF(U922="PM",1,0))</ns0:f>
        <ns0:v>0</ns0:v>
      </ns0:c>
      <ns0:c r="X922" s="0">
        <ns0:f>IF(T922=0,0,T922-IF(V922="PM",1,0))</ns0:f>
        <ns0:v>0</ns0:v>
      </ns0:c>
      <ns0:c r="Y922" s="0">
        <ns0:f>IF(J922=0,0,J922+IF(U922="AM",1,0))</ns0:f>
        <ns0:v>0</ns0:v>
      </ns0:c>
      <ns0:c r="Z922" s="0">
        <ns0:f>IF(T922=0,0,T922-IF(V922="AM",1,0))</ns0:f>
        <ns0:v>0</ns0:v>
      </ns0:c>
      <ns0:c r="AA922" s="0">
        <ns0:f>IFERROR(IF(AND(J922&gt;0,'_Engine'!C922&gt;0,MID('_Engine'!W922,WEEKDAY(J922,2),1)="W",COUNTIF(Settings!$F$18:$F$67,J922)=0),1,0),0)</ns0:f>
        <ns0:v>0</ns0:v>
      </ns0:c>
      <ns0:c r="AB922" s="0">
        <ns0:f>IFERROR(IF(AND(T922&gt;0,'_Engine'!C922&gt;0,MID('_Engine'!W922,WEEKDAY(T922,2),1)="W",COUNTIF(Settings!$F$18:$F$67,T922)=0),1,0),0)</ns0:f>
        <ns0:v>0</ns0:v>
      </ns0:c>
      <ns0:c r="AC922" s="0">
        <ns0:f>IF(AND(J922&gt;0,T922&gt;0,W922&lt;=X922),1,0)</ns0:f>
        <ns0:v>0</ns0:v>
      </ns0:c>
      <ns0:c r="AD922" s="0">
        <ns0:f>IF(AND(J922&gt;0,T922&gt;0,Y922&lt;=Z922),1,0)</ns0:f>
        <ns0:v>0</ns0:v>
      </ns0:c>
    </ns0:row>
    <ns0:row r="923">
      <ns0:c r="A923" s="0">
        <ns0:f>IFERROR(IF(ISNUMBER(Bookings!B923),"",TRIM(Bookings!B923&amp;"")),"")</ns0:f>
      </ns0:c>
      <ns0:c r="B923" s="0">
        <ns0:f>IFERROR(SUBSTITUTE(SUBSTITUTE(A923,"/","."),"-","."),"")</ns0:f>
      </ns0:c>
      <ns0:c r="C923" s="0">
        <ns0:f>IFERROR(LEFT(B923,FIND(".",B923)-1),"")</ns0:f>
      </ns0:c>
      <ns0:c r="D923" s="0">
        <ns0:f>IFERROR(MID(B923,FIND(".",B923)+1,FIND(".",B923,FIND(".",B923)+1)-FIND(".",B923)-1),"")</ns0:f>
      </ns0:c>
      <ns0:c r="E923" s="0">
        <ns0:f>IFERROR(MID(B923,FIND(".",B923,FIND(".",B923)+1)+1,99),"")</ns0:f>
        <ns0:v>99</ns0:v>
      </ns0:c>
      <ns0:c r="F923" s="0">
        <ns0:f>IFERROR(IF(FIND(".",B923)=5,--C923,--E923),0)</ns0:f>
        <ns0:v>0</ns0:v>
      </ns0:c>
      <ns0:c r="G923" s="0">
        <ns0:f>IFERROR(--D923,0)</ns0:f>
        <ns0:v>0</ns0:v>
      </ns0:c>
      <ns0:c r="H923" s="0">
        <ns0:f>IFERROR(IF(FIND(".",B923)=5,--E923,--C923),0)</ns0:f>
        <ns0:v>0</ns0:v>
      </ns0:c>
      <ns0:c r="I923" s="0">
        <ns0:f>IFERROR(IF(AND(F923&gt;=2000,F923&lt;=2100,G923&gt;=1,G923&lt;=12,H923&gt;=1,H923&lt;=31),DATE(F923,G923,H923),0),0)</ns0:f>
        <ns0:v>0</ns0:v>
      </ns0:c>
      <ns0:c r="J923" s="0">
        <ns0:f>IFERROR(IF(ISNUMBER(Bookings!B923),IF(AND(Bookings!B923=INT(Bookings!B923),Bookings!B923&gt;=DATE(2000,1,1),Bookings!B923&lt;=DATE(2100,12,31)),Bookings!B923,0),IF(AND(A923&lt;&gt;"",LEN("x"&amp;B923)-LEN(SUBSTITUTE("x"&amp;B923,".",""))=2,OR(1&gt;LEN(B923),MID(B923,1,1)=".",ISNUMBER(FIND("x"&amp;MID(B923,1,1),"x0x1x2x3x4x5x6x7x8x9"))),OR(2&gt;LEN(B923),MID(B923,2,1)=".",ISNUMBER(FIND("x"&amp;MID(B923,2,1),"x0x1x2x3x4x5x6x7x8x9"))),OR(3&gt;LEN(B923),MID(B923,3,1)=".",ISNUMBER(FIND("x"&amp;MID(B923,3,1),"x0x1x2x3x4x5x6x7x8x9"))),OR(4&gt;LEN(B923),MID(B923,4,1)=".",ISNUMBER(FIND("x"&amp;MID(B923,4,1),"x0x1x2x3x4x5x6x7x8x9"))),OR(5&gt;LEN(B923),MID(B923,5,1)=".",ISNUMBER(FIND("x"&amp;MID(B923,5,1),"x0x1x2x3x4x5x6x7x8x9"))),OR(6&gt;LEN(B923),MID(B923,6,1)=".",ISNUMBER(FIND("x"&amp;MID(B923,6,1),"x0x1x2x3x4x5x6x7x8x9"))),OR(7&gt;LEN(B923),MID(B923,7,1)=".",ISNUMBER(FIND("x"&amp;MID(B923,7,1),"x0x1x2x3x4x5x6x7x8x9"))),OR(8&gt;LEN(B923),MID(B923,8,1)=".",ISNUMBER(FIND("x"&amp;MID(B923,8,1),"x0x1x2x3x4x5x6x7x8x9"))),OR(9&gt;LEN(B923),MID(B923,9,1)=".",ISNUMBER(FIND("x"&amp;MID(B923,9,1),"x0x1x2x3x4x5x6x7x8x9"))),OR(10&gt;LEN(B923),MID(B923,10,1)=".",ISNUMBER(FIND("x"&amp;MID(B923,10,1),"x0x1x2x3x4x5x6x7x8x9"))),OR(AND(FIND(".",B923)=5,LEN(B923)-FIND(".",B923,FIND(".",B923)+1)&gt;=1,LEN(B923)-FIND(".",B923,FIND(".",B923)+1)&lt;=2),AND(LEN(B923)-FIND(".",B923,FIND(".",B923)+1)=4,FIND(".",B923)&gt;=2,FIND(".",B923)&lt;=3)),FIND(".",B923,FIND(".",B923)+1)-FIND(".",B923)&gt;=2,FIND(".",B923,FIND(".",B923)+1)-FIND(".",B923)&lt;=3,F923&gt;=2000,F923&lt;=2100,YEAR(I923)=F923,MONTH(I923)=G923,DAY(I923)=H923),I923,0)),0)</ns0:f>
        <ns0:v>0</ns0:v>
      </ns0:c>
      <ns0:c r="K923" s="0">
        <ns0:f>IFERROR(IF(ISNUMBER(Bookings!D923),"",TRIM(Bookings!D923&amp;"")),"")</ns0:f>
      </ns0:c>
      <ns0:c r="L923" s="0">
        <ns0:f>IFERROR(SUBSTITUTE(SUBSTITUTE(K923,"/","."),"-","."),"")</ns0:f>
      </ns0:c>
      <ns0:c r="M923" s="0">
        <ns0:f>IFERROR(LEFT(L923,FIND(".",L923)-1),"")</ns0:f>
      </ns0:c>
      <ns0:c r="N923" s="0">
        <ns0:f>IFERROR(MID(L923,FIND(".",L923)+1,FIND(".",L923,FIND(".",L923)+1)-FIND(".",L923)-1),"")</ns0:f>
      </ns0:c>
      <ns0:c r="O923" s="0">
        <ns0:f>IFERROR(MID(L923,FIND(".",L923,FIND(".",L923)+1)+1,99),"")</ns0:f>
        <ns0:v>99</ns0:v>
      </ns0:c>
      <ns0:c r="P923" s="0">
        <ns0:f>IFERROR(IF(FIND(".",L923)=5,--M923,--O923),0)</ns0:f>
        <ns0:v>0</ns0:v>
      </ns0:c>
      <ns0:c r="Q923" s="0">
        <ns0:f>IFERROR(--N923,0)</ns0:f>
        <ns0:v>0</ns0:v>
      </ns0:c>
      <ns0:c r="R923" s="0">
        <ns0:f>IFERROR(IF(FIND(".",L923)=5,--O923,--M923),0)</ns0:f>
        <ns0:v>0</ns0:v>
      </ns0:c>
      <ns0:c r="S923" s="0">
        <ns0:f>IFERROR(IF(AND(P923&gt;=2000,P923&lt;=2100,Q923&gt;=1,Q923&lt;=12,R923&gt;=1,R923&lt;=31),DATE(P923,Q923,R923),0),0)</ns0:f>
        <ns0:v>0</ns0:v>
      </ns0:c>
      <ns0:c r="T923" s="0">
        <ns0:f>IFERROR(IF(ISNUMBER(Bookings!D923),IF(AND(Bookings!D923=INT(Bookings!D923),Bookings!D923&gt;=DATE(2000,1,1),Bookings!D923&lt;=DATE(2100,12,31)),Bookings!D923,0),IF(AND(K923&lt;&gt;"",LEN("x"&amp;L923)-LEN(SUBSTITUTE("x"&amp;L923,".",""))=2,OR(1&gt;LEN(L923),MID(L923,1,1)=".",ISNUMBER(FIND("x"&amp;MID(L923,1,1),"x0x1x2x3x4x5x6x7x8x9"))),OR(2&gt;LEN(L923),MID(L923,2,1)=".",ISNUMBER(FIND("x"&amp;MID(L923,2,1),"x0x1x2x3x4x5x6x7x8x9"))),OR(3&gt;LEN(L923),MID(L923,3,1)=".",ISNUMBER(FIND("x"&amp;MID(L923,3,1),"x0x1x2x3x4x5x6x7x8x9"))),OR(4&gt;LEN(L923),MID(L923,4,1)=".",ISNUMBER(FIND("x"&amp;MID(L923,4,1),"x0x1x2x3x4x5x6x7x8x9"))),OR(5&gt;LEN(L923),MID(L923,5,1)=".",ISNUMBER(FIND("x"&amp;MID(L923,5,1),"x0x1x2x3x4x5x6x7x8x9"))),OR(6&gt;LEN(L923),MID(L923,6,1)=".",ISNUMBER(FIND("x"&amp;MID(L923,6,1),"x0x1x2x3x4x5x6x7x8x9"))),OR(7&gt;LEN(L923),MID(L923,7,1)=".",ISNUMBER(FIND("x"&amp;MID(L923,7,1),"x0x1x2x3x4x5x6x7x8x9"))),OR(8&gt;LEN(L923),MID(L923,8,1)=".",ISNUMBER(FIND("x"&amp;MID(L923,8,1),"x0x1x2x3x4x5x6x7x8x9"))),OR(9&gt;LEN(L923),MID(L923,9,1)=".",ISNUMBER(FIND("x"&amp;MID(L923,9,1),"x0x1x2x3x4x5x6x7x8x9"))),OR(10&gt;LEN(L923),MID(L923,10,1)=".",ISNUMBER(FIND("x"&amp;MID(L923,10,1),"x0x1x2x3x4x5x6x7x8x9"))),OR(AND(FIND(".",L923)=5,LEN(L923)-FIND(".",L923,FIND(".",L923)+1)&gt;=1,LEN(L923)-FIND(".",L923,FIND(".",L923)+1)&lt;=2),AND(LEN(L923)-FIND(".",L923,FIND(".",L923)+1)=4,FIND(".",L923)&gt;=2,FIND(".",L923)&lt;=3)),FIND(".",L923,FIND(".",L923)+1)-FIND(".",L923)&gt;=2,FIND(".",L923,FIND(".",L923)+1)-FIND(".",L923)&lt;=3,P923&gt;=2000,P923&lt;=2100,YEAR(S923)=P923,MONTH(S923)=Q923,DAY(S923)=R923),S923,0)),0)</ns0:f>
        <ns0:v>0</ns0:v>
      </ns0:c>
      <ns0:c r="U923" s="0" t="str">
        <ns0:f>IF(Bookings!C923="","Full day",Bookings!C923)</ns0:f>
        <ns0:v>Full day</ns0:v>
      </ns0:c>
      <ns0:c r="V923" s="0" t="str">
        <ns0:f>IF(Bookings!E923="","Full day",Bookings!E923)</ns0:f>
        <ns0:v>Full day</ns0:v>
      </ns0:c>
      <ns0:c r="W923" s="0">
        <ns0:f>IF(J923=0,0,J923+IF(U923="PM",1,0))</ns0:f>
        <ns0:v>0</ns0:v>
      </ns0:c>
      <ns0:c r="X923" s="0">
        <ns0:f>IF(T923=0,0,T923-IF(V923="PM",1,0))</ns0:f>
        <ns0:v>0</ns0:v>
      </ns0:c>
      <ns0:c r="Y923" s="0">
        <ns0:f>IF(J923=0,0,J923+IF(U923="AM",1,0))</ns0:f>
        <ns0:v>0</ns0:v>
      </ns0:c>
      <ns0:c r="Z923" s="0">
        <ns0:f>IF(T923=0,0,T923-IF(V923="AM",1,0))</ns0:f>
        <ns0:v>0</ns0:v>
      </ns0:c>
      <ns0:c r="AA923" s="0">
        <ns0:f>IFERROR(IF(AND(J923&gt;0,'_Engine'!C923&gt;0,MID('_Engine'!W923,WEEKDAY(J923,2),1)="W",COUNTIF(Settings!$F$18:$F$67,J923)=0),1,0),0)</ns0:f>
        <ns0:v>0</ns0:v>
      </ns0:c>
      <ns0:c r="AB923" s="0">
        <ns0:f>IFERROR(IF(AND(T923&gt;0,'_Engine'!C923&gt;0,MID('_Engine'!W923,WEEKDAY(T923,2),1)="W",COUNTIF(Settings!$F$18:$F$67,T923)=0),1,0),0)</ns0:f>
        <ns0:v>0</ns0:v>
      </ns0:c>
      <ns0:c r="AC923" s="0">
        <ns0:f>IF(AND(J923&gt;0,T923&gt;0,W923&lt;=X923),1,0)</ns0:f>
        <ns0:v>0</ns0:v>
      </ns0:c>
      <ns0:c r="AD923" s="0">
        <ns0:f>IF(AND(J923&gt;0,T923&gt;0,Y923&lt;=Z923),1,0)</ns0:f>
        <ns0:v>0</ns0:v>
      </ns0:c>
    </ns0:row>
    <ns0:row r="924">
      <ns0:c r="A924" s="0">
        <ns0:f>IFERROR(IF(ISNUMBER(Bookings!B924),"",TRIM(Bookings!B924&amp;"")),"")</ns0:f>
      </ns0:c>
      <ns0:c r="B924" s="0">
        <ns0:f>IFERROR(SUBSTITUTE(SUBSTITUTE(A924,"/","."),"-","."),"")</ns0:f>
      </ns0:c>
      <ns0:c r="C924" s="0">
        <ns0:f>IFERROR(LEFT(B924,FIND(".",B924)-1),"")</ns0:f>
      </ns0:c>
      <ns0:c r="D924" s="0">
        <ns0:f>IFERROR(MID(B924,FIND(".",B924)+1,FIND(".",B924,FIND(".",B924)+1)-FIND(".",B924)-1),"")</ns0:f>
      </ns0:c>
      <ns0:c r="E924" s="0">
        <ns0:f>IFERROR(MID(B924,FIND(".",B924,FIND(".",B924)+1)+1,99),"")</ns0:f>
        <ns0:v>99</ns0:v>
      </ns0:c>
      <ns0:c r="F924" s="0">
        <ns0:f>IFERROR(IF(FIND(".",B924)=5,--C924,--E924),0)</ns0:f>
        <ns0:v>0</ns0:v>
      </ns0:c>
      <ns0:c r="G924" s="0">
        <ns0:f>IFERROR(--D924,0)</ns0:f>
        <ns0:v>0</ns0:v>
      </ns0:c>
      <ns0:c r="H924" s="0">
        <ns0:f>IFERROR(IF(FIND(".",B924)=5,--E924,--C924),0)</ns0:f>
        <ns0:v>0</ns0:v>
      </ns0:c>
      <ns0:c r="I924" s="0">
        <ns0:f>IFERROR(IF(AND(F924&gt;=2000,F924&lt;=2100,G924&gt;=1,G924&lt;=12,H924&gt;=1,H924&lt;=31),DATE(F924,G924,H924),0),0)</ns0:f>
        <ns0:v>0</ns0:v>
      </ns0:c>
      <ns0:c r="J924" s="0">
        <ns0:f>IFERROR(IF(ISNUMBER(Bookings!B924),IF(AND(Bookings!B924=INT(Bookings!B924),Bookings!B924&gt;=DATE(2000,1,1),Bookings!B924&lt;=DATE(2100,12,31)),Bookings!B924,0),IF(AND(A924&lt;&gt;"",LEN("x"&amp;B924)-LEN(SUBSTITUTE("x"&amp;B924,".",""))=2,OR(1&gt;LEN(B924),MID(B924,1,1)=".",ISNUMBER(FIND("x"&amp;MID(B924,1,1),"x0x1x2x3x4x5x6x7x8x9"))),OR(2&gt;LEN(B924),MID(B924,2,1)=".",ISNUMBER(FIND("x"&amp;MID(B924,2,1),"x0x1x2x3x4x5x6x7x8x9"))),OR(3&gt;LEN(B924),MID(B924,3,1)=".",ISNUMBER(FIND("x"&amp;MID(B924,3,1),"x0x1x2x3x4x5x6x7x8x9"))),OR(4&gt;LEN(B924),MID(B924,4,1)=".",ISNUMBER(FIND("x"&amp;MID(B924,4,1),"x0x1x2x3x4x5x6x7x8x9"))),OR(5&gt;LEN(B924),MID(B924,5,1)=".",ISNUMBER(FIND("x"&amp;MID(B924,5,1),"x0x1x2x3x4x5x6x7x8x9"))),OR(6&gt;LEN(B924),MID(B924,6,1)=".",ISNUMBER(FIND("x"&amp;MID(B924,6,1),"x0x1x2x3x4x5x6x7x8x9"))),OR(7&gt;LEN(B924),MID(B924,7,1)=".",ISNUMBER(FIND("x"&amp;MID(B924,7,1),"x0x1x2x3x4x5x6x7x8x9"))),OR(8&gt;LEN(B924),MID(B924,8,1)=".",ISNUMBER(FIND("x"&amp;MID(B924,8,1),"x0x1x2x3x4x5x6x7x8x9"))),OR(9&gt;LEN(B924),MID(B924,9,1)=".",ISNUMBER(FIND("x"&amp;MID(B924,9,1),"x0x1x2x3x4x5x6x7x8x9"))),OR(10&gt;LEN(B924),MID(B924,10,1)=".",ISNUMBER(FIND("x"&amp;MID(B924,10,1),"x0x1x2x3x4x5x6x7x8x9"))),OR(AND(FIND(".",B924)=5,LEN(B924)-FIND(".",B924,FIND(".",B924)+1)&gt;=1,LEN(B924)-FIND(".",B924,FIND(".",B924)+1)&lt;=2),AND(LEN(B924)-FIND(".",B924,FIND(".",B924)+1)=4,FIND(".",B924)&gt;=2,FIND(".",B924)&lt;=3)),FIND(".",B924,FIND(".",B924)+1)-FIND(".",B924)&gt;=2,FIND(".",B924,FIND(".",B924)+1)-FIND(".",B924)&lt;=3,F924&gt;=2000,F924&lt;=2100,YEAR(I924)=F924,MONTH(I924)=G924,DAY(I924)=H924),I924,0)),0)</ns0:f>
        <ns0:v>0</ns0:v>
      </ns0:c>
      <ns0:c r="K924" s="0">
        <ns0:f>IFERROR(IF(ISNUMBER(Bookings!D924),"",TRIM(Bookings!D924&amp;"")),"")</ns0:f>
      </ns0:c>
      <ns0:c r="L924" s="0">
        <ns0:f>IFERROR(SUBSTITUTE(SUBSTITUTE(K924,"/","."),"-","."),"")</ns0:f>
      </ns0:c>
      <ns0:c r="M924" s="0">
        <ns0:f>IFERROR(LEFT(L924,FIND(".",L924)-1),"")</ns0:f>
      </ns0:c>
      <ns0:c r="N924" s="0">
        <ns0:f>IFERROR(MID(L924,FIND(".",L924)+1,FIND(".",L924,FIND(".",L924)+1)-FIND(".",L924)-1),"")</ns0:f>
      </ns0:c>
      <ns0:c r="O924" s="0">
        <ns0:f>IFERROR(MID(L924,FIND(".",L924,FIND(".",L924)+1)+1,99),"")</ns0:f>
        <ns0:v>99</ns0:v>
      </ns0:c>
      <ns0:c r="P924" s="0">
        <ns0:f>IFERROR(IF(FIND(".",L924)=5,--M924,--O924),0)</ns0:f>
        <ns0:v>0</ns0:v>
      </ns0:c>
      <ns0:c r="Q924" s="0">
        <ns0:f>IFERROR(--N924,0)</ns0:f>
        <ns0:v>0</ns0:v>
      </ns0:c>
      <ns0:c r="R924" s="0">
        <ns0:f>IFERROR(IF(FIND(".",L924)=5,--O924,--M924),0)</ns0:f>
        <ns0:v>0</ns0:v>
      </ns0:c>
      <ns0:c r="S924" s="0">
        <ns0:f>IFERROR(IF(AND(P924&gt;=2000,P924&lt;=2100,Q924&gt;=1,Q924&lt;=12,R924&gt;=1,R924&lt;=31),DATE(P924,Q924,R924),0),0)</ns0:f>
        <ns0:v>0</ns0:v>
      </ns0:c>
      <ns0:c r="T924" s="0">
        <ns0:f>IFERROR(IF(ISNUMBER(Bookings!D924),IF(AND(Bookings!D924=INT(Bookings!D924),Bookings!D924&gt;=DATE(2000,1,1),Bookings!D924&lt;=DATE(2100,12,31)),Bookings!D924,0),IF(AND(K924&lt;&gt;"",LEN("x"&amp;L924)-LEN(SUBSTITUTE("x"&amp;L924,".",""))=2,OR(1&gt;LEN(L924),MID(L924,1,1)=".",ISNUMBER(FIND("x"&amp;MID(L924,1,1),"x0x1x2x3x4x5x6x7x8x9"))),OR(2&gt;LEN(L924),MID(L924,2,1)=".",ISNUMBER(FIND("x"&amp;MID(L924,2,1),"x0x1x2x3x4x5x6x7x8x9"))),OR(3&gt;LEN(L924),MID(L924,3,1)=".",ISNUMBER(FIND("x"&amp;MID(L924,3,1),"x0x1x2x3x4x5x6x7x8x9"))),OR(4&gt;LEN(L924),MID(L924,4,1)=".",ISNUMBER(FIND("x"&amp;MID(L924,4,1),"x0x1x2x3x4x5x6x7x8x9"))),OR(5&gt;LEN(L924),MID(L924,5,1)=".",ISNUMBER(FIND("x"&amp;MID(L924,5,1),"x0x1x2x3x4x5x6x7x8x9"))),OR(6&gt;LEN(L924),MID(L924,6,1)=".",ISNUMBER(FIND("x"&amp;MID(L924,6,1),"x0x1x2x3x4x5x6x7x8x9"))),OR(7&gt;LEN(L924),MID(L924,7,1)=".",ISNUMBER(FIND("x"&amp;MID(L924,7,1),"x0x1x2x3x4x5x6x7x8x9"))),OR(8&gt;LEN(L924),MID(L924,8,1)=".",ISNUMBER(FIND("x"&amp;MID(L924,8,1),"x0x1x2x3x4x5x6x7x8x9"))),OR(9&gt;LEN(L924),MID(L924,9,1)=".",ISNUMBER(FIND("x"&amp;MID(L924,9,1),"x0x1x2x3x4x5x6x7x8x9"))),OR(10&gt;LEN(L924),MID(L924,10,1)=".",ISNUMBER(FIND("x"&amp;MID(L924,10,1),"x0x1x2x3x4x5x6x7x8x9"))),OR(AND(FIND(".",L924)=5,LEN(L924)-FIND(".",L924,FIND(".",L924)+1)&gt;=1,LEN(L924)-FIND(".",L924,FIND(".",L924)+1)&lt;=2),AND(LEN(L924)-FIND(".",L924,FIND(".",L924)+1)=4,FIND(".",L924)&gt;=2,FIND(".",L924)&lt;=3)),FIND(".",L924,FIND(".",L924)+1)-FIND(".",L924)&gt;=2,FIND(".",L924,FIND(".",L924)+1)-FIND(".",L924)&lt;=3,P924&gt;=2000,P924&lt;=2100,YEAR(S924)=P924,MONTH(S924)=Q924,DAY(S924)=R924),S924,0)),0)</ns0:f>
        <ns0:v>0</ns0:v>
      </ns0:c>
      <ns0:c r="U924" s="0" t="str">
        <ns0:f>IF(Bookings!C924="","Full day",Bookings!C924)</ns0:f>
        <ns0:v>Full day</ns0:v>
      </ns0:c>
      <ns0:c r="V924" s="0" t="str">
        <ns0:f>IF(Bookings!E924="","Full day",Bookings!E924)</ns0:f>
        <ns0:v>Full day</ns0:v>
      </ns0:c>
      <ns0:c r="W924" s="0">
        <ns0:f>IF(J924=0,0,J924+IF(U924="PM",1,0))</ns0:f>
        <ns0:v>0</ns0:v>
      </ns0:c>
      <ns0:c r="X924" s="0">
        <ns0:f>IF(T924=0,0,T924-IF(V924="PM",1,0))</ns0:f>
        <ns0:v>0</ns0:v>
      </ns0:c>
      <ns0:c r="Y924" s="0">
        <ns0:f>IF(J924=0,0,J924+IF(U924="AM",1,0))</ns0:f>
        <ns0:v>0</ns0:v>
      </ns0:c>
      <ns0:c r="Z924" s="0">
        <ns0:f>IF(T924=0,0,T924-IF(V924="AM",1,0))</ns0:f>
        <ns0:v>0</ns0:v>
      </ns0:c>
      <ns0:c r="AA924" s="0">
        <ns0:f>IFERROR(IF(AND(J924&gt;0,'_Engine'!C924&gt;0,MID('_Engine'!W924,WEEKDAY(J924,2),1)="W",COUNTIF(Settings!$F$18:$F$67,J924)=0),1,0),0)</ns0:f>
        <ns0:v>0</ns0:v>
      </ns0:c>
      <ns0:c r="AB924" s="0">
        <ns0:f>IFERROR(IF(AND(T924&gt;0,'_Engine'!C924&gt;0,MID('_Engine'!W924,WEEKDAY(T924,2),1)="W",COUNTIF(Settings!$F$18:$F$67,T924)=0),1,0),0)</ns0:f>
        <ns0:v>0</ns0:v>
      </ns0:c>
      <ns0:c r="AC924" s="0">
        <ns0:f>IF(AND(J924&gt;0,T924&gt;0,W924&lt;=X924),1,0)</ns0:f>
        <ns0:v>0</ns0:v>
      </ns0:c>
      <ns0:c r="AD924" s="0">
        <ns0:f>IF(AND(J924&gt;0,T924&gt;0,Y924&lt;=Z924),1,0)</ns0:f>
        <ns0:v>0</ns0:v>
      </ns0:c>
    </ns0:row>
    <ns0:row r="925">
      <ns0:c r="A925" s="0">
        <ns0:f>IFERROR(IF(ISNUMBER(Bookings!B925),"",TRIM(Bookings!B925&amp;"")),"")</ns0:f>
      </ns0:c>
      <ns0:c r="B925" s="0">
        <ns0:f>IFERROR(SUBSTITUTE(SUBSTITUTE(A925,"/","."),"-","."),"")</ns0:f>
      </ns0:c>
      <ns0:c r="C925" s="0">
        <ns0:f>IFERROR(LEFT(B925,FIND(".",B925)-1),"")</ns0:f>
      </ns0:c>
      <ns0:c r="D925" s="0">
        <ns0:f>IFERROR(MID(B925,FIND(".",B925)+1,FIND(".",B925,FIND(".",B925)+1)-FIND(".",B925)-1),"")</ns0:f>
      </ns0:c>
      <ns0:c r="E925" s="0">
        <ns0:f>IFERROR(MID(B925,FIND(".",B925,FIND(".",B925)+1)+1,99),"")</ns0:f>
        <ns0:v>99</ns0:v>
      </ns0:c>
      <ns0:c r="F925" s="0">
        <ns0:f>IFERROR(IF(FIND(".",B925)=5,--C925,--E925),0)</ns0:f>
        <ns0:v>0</ns0:v>
      </ns0:c>
      <ns0:c r="G925" s="0">
        <ns0:f>IFERROR(--D925,0)</ns0:f>
        <ns0:v>0</ns0:v>
      </ns0:c>
      <ns0:c r="H925" s="0">
        <ns0:f>IFERROR(IF(FIND(".",B925)=5,--E925,--C925),0)</ns0:f>
        <ns0:v>0</ns0:v>
      </ns0:c>
      <ns0:c r="I925" s="0">
        <ns0:f>IFERROR(IF(AND(F925&gt;=2000,F925&lt;=2100,G925&gt;=1,G925&lt;=12,H925&gt;=1,H925&lt;=31),DATE(F925,G925,H925),0),0)</ns0:f>
        <ns0:v>0</ns0:v>
      </ns0:c>
      <ns0:c r="J925" s="0">
        <ns0:f>IFERROR(IF(ISNUMBER(Bookings!B925),IF(AND(Bookings!B925=INT(Bookings!B925),Bookings!B925&gt;=DATE(2000,1,1),Bookings!B925&lt;=DATE(2100,12,31)),Bookings!B925,0),IF(AND(A925&lt;&gt;"",LEN("x"&amp;B925)-LEN(SUBSTITUTE("x"&amp;B925,".",""))=2,OR(1&gt;LEN(B925),MID(B925,1,1)=".",ISNUMBER(FIND("x"&amp;MID(B925,1,1),"x0x1x2x3x4x5x6x7x8x9"))),OR(2&gt;LEN(B925),MID(B925,2,1)=".",ISNUMBER(FIND("x"&amp;MID(B925,2,1),"x0x1x2x3x4x5x6x7x8x9"))),OR(3&gt;LEN(B925),MID(B925,3,1)=".",ISNUMBER(FIND("x"&amp;MID(B925,3,1),"x0x1x2x3x4x5x6x7x8x9"))),OR(4&gt;LEN(B925),MID(B925,4,1)=".",ISNUMBER(FIND("x"&amp;MID(B925,4,1),"x0x1x2x3x4x5x6x7x8x9"))),OR(5&gt;LEN(B925),MID(B925,5,1)=".",ISNUMBER(FIND("x"&amp;MID(B925,5,1),"x0x1x2x3x4x5x6x7x8x9"))),OR(6&gt;LEN(B925),MID(B925,6,1)=".",ISNUMBER(FIND("x"&amp;MID(B925,6,1),"x0x1x2x3x4x5x6x7x8x9"))),OR(7&gt;LEN(B925),MID(B925,7,1)=".",ISNUMBER(FIND("x"&amp;MID(B925,7,1),"x0x1x2x3x4x5x6x7x8x9"))),OR(8&gt;LEN(B925),MID(B925,8,1)=".",ISNUMBER(FIND("x"&amp;MID(B925,8,1),"x0x1x2x3x4x5x6x7x8x9"))),OR(9&gt;LEN(B925),MID(B925,9,1)=".",ISNUMBER(FIND("x"&amp;MID(B925,9,1),"x0x1x2x3x4x5x6x7x8x9"))),OR(10&gt;LEN(B925),MID(B925,10,1)=".",ISNUMBER(FIND("x"&amp;MID(B925,10,1),"x0x1x2x3x4x5x6x7x8x9"))),OR(AND(FIND(".",B925)=5,LEN(B925)-FIND(".",B925,FIND(".",B925)+1)&gt;=1,LEN(B925)-FIND(".",B925,FIND(".",B925)+1)&lt;=2),AND(LEN(B925)-FIND(".",B925,FIND(".",B925)+1)=4,FIND(".",B925)&gt;=2,FIND(".",B925)&lt;=3)),FIND(".",B925,FIND(".",B925)+1)-FIND(".",B925)&gt;=2,FIND(".",B925,FIND(".",B925)+1)-FIND(".",B925)&lt;=3,F925&gt;=2000,F925&lt;=2100,YEAR(I925)=F925,MONTH(I925)=G925,DAY(I925)=H925),I925,0)),0)</ns0:f>
        <ns0:v>0</ns0:v>
      </ns0:c>
      <ns0:c r="K925" s="0">
        <ns0:f>IFERROR(IF(ISNUMBER(Bookings!D925),"",TRIM(Bookings!D925&amp;"")),"")</ns0:f>
      </ns0:c>
      <ns0:c r="L925" s="0">
        <ns0:f>IFERROR(SUBSTITUTE(SUBSTITUTE(K925,"/","."),"-","."),"")</ns0:f>
      </ns0:c>
      <ns0:c r="M925" s="0">
        <ns0:f>IFERROR(LEFT(L925,FIND(".",L925)-1),"")</ns0:f>
      </ns0:c>
      <ns0:c r="N925" s="0">
        <ns0:f>IFERROR(MID(L925,FIND(".",L925)+1,FIND(".",L925,FIND(".",L925)+1)-FIND(".",L925)-1),"")</ns0:f>
      </ns0:c>
      <ns0:c r="O925" s="0">
        <ns0:f>IFERROR(MID(L925,FIND(".",L925,FIND(".",L925)+1)+1,99),"")</ns0:f>
        <ns0:v>99</ns0:v>
      </ns0:c>
      <ns0:c r="P925" s="0">
        <ns0:f>IFERROR(IF(FIND(".",L925)=5,--M925,--O925),0)</ns0:f>
        <ns0:v>0</ns0:v>
      </ns0:c>
      <ns0:c r="Q925" s="0">
        <ns0:f>IFERROR(--N925,0)</ns0:f>
        <ns0:v>0</ns0:v>
      </ns0:c>
      <ns0:c r="R925" s="0">
        <ns0:f>IFERROR(IF(FIND(".",L925)=5,--O925,--M925),0)</ns0:f>
        <ns0:v>0</ns0:v>
      </ns0:c>
      <ns0:c r="S925" s="0">
        <ns0:f>IFERROR(IF(AND(P925&gt;=2000,P925&lt;=2100,Q925&gt;=1,Q925&lt;=12,R925&gt;=1,R925&lt;=31),DATE(P925,Q925,R925),0),0)</ns0:f>
        <ns0:v>0</ns0:v>
      </ns0:c>
      <ns0:c r="T925" s="0">
        <ns0:f>IFERROR(IF(ISNUMBER(Bookings!D925),IF(AND(Bookings!D925=INT(Bookings!D925),Bookings!D925&gt;=DATE(2000,1,1),Bookings!D925&lt;=DATE(2100,12,31)),Bookings!D925,0),IF(AND(K925&lt;&gt;"",LEN("x"&amp;L925)-LEN(SUBSTITUTE("x"&amp;L925,".",""))=2,OR(1&gt;LEN(L925),MID(L925,1,1)=".",ISNUMBER(FIND("x"&amp;MID(L925,1,1),"x0x1x2x3x4x5x6x7x8x9"))),OR(2&gt;LEN(L925),MID(L925,2,1)=".",ISNUMBER(FIND("x"&amp;MID(L925,2,1),"x0x1x2x3x4x5x6x7x8x9"))),OR(3&gt;LEN(L925),MID(L925,3,1)=".",ISNUMBER(FIND("x"&amp;MID(L925,3,1),"x0x1x2x3x4x5x6x7x8x9"))),OR(4&gt;LEN(L925),MID(L925,4,1)=".",ISNUMBER(FIND("x"&amp;MID(L925,4,1),"x0x1x2x3x4x5x6x7x8x9"))),OR(5&gt;LEN(L925),MID(L925,5,1)=".",ISNUMBER(FIND("x"&amp;MID(L925,5,1),"x0x1x2x3x4x5x6x7x8x9"))),OR(6&gt;LEN(L925),MID(L925,6,1)=".",ISNUMBER(FIND("x"&amp;MID(L925,6,1),"x0x1x2x3x4x5x6x7x8x9"))),OR(7&gt;LEN(L925),MID(L925,7,1)=".",ISNUMBER(FIND("x"&amp;MID(L925,7,1),"x0x1x2x3x4x5x6x7x8x9"))),OR(8&gt;LEN(L925),MID(L925,8,1)=".",ISNUMBER(FIND("x"&amp;MID(L925,8,1),"x0x1x2x3x4x5x6x7x8x9"))),OR(9&gt;LEN(L925),MID(L925,9,1)=".",ISNUMBER(FIND("x"&amp;MID(L925,9,1),"x0x1x2x3x4x5x6x7x8x9"))),OR(10&gt;LEN(L925),MID(L925,10,1)=".",ISNUMBER(FIND("x"&amp;MID(L925,10,1),"x0x1x2x3x4x5x6x7x8x9"))),OR(AND(FIND(".",L925)=5,LEN(L925)-FIND(".",L925,FIND(".",L925)+1)&gt;=1,LEN(L925)-FIND(".",L925,FIND(".",L925)+1)&lt;=2),AND(LEN(L925)-FIND(".",L925,FIND(".",L925)+1)=4,FIND(".",L925)&gt;=2,FIND(".",L925)&lt;=3)),FIND(".",L925,FIND(".",L925)+1)-FIND(".",L925)&gt;=2,FIND(".",L925,FIND(".",L925)+1)-FIND(".",L925)&lt;=3,P925&gt;=2000,P925&lt;=2100,YEAR(S925)=P925,MONTH(S925)=Q925,DAY(S925)=R925),S925,0)),0)</ns0:f>
        <ns0:v>0</ns0:v>
      </ns0:c>
      <ns0:c r="U925" s="0" t="str">
        <ns0:f>IF(Bookings!C925="","Full day",Bookings!C925)</ns0:f>
        <ns0:v>Full day</ns0:v>
      </ns0:c>
      <ns0:c r="V925" s="0" t="str">
        <ns0:f>IF(Bookings!E925="","Full day",Bookings!E925)</ns0:f>
        <ns0:v>Full day</ns0:v>
      </ns0:c>
      <ns0:c r="W925" s="0">
        <ns0:f>IF(J925=0,0,J925+IF(U925="PM",1,0))</ns0:f>
        <ns0:v>0</ns0:v>
      </ns0:c>
      <ns0:c r="X925" s="0">
        <ns0:f>IF(T925=0,0,T925-IF(V925="PM",1,0))</ns0:f>
        <ns0:v>0</ns0:v>
      </ns0:c>
      <ns0:c r="Y925" s="0">
        <ns0:f>IF(J925=0,0,J925+IF(U925="AM",1,0))</ns0:f>
        <ns0:v>0</ns0:v>
      </ns0:c>
      <ns0:c r="Z925" s="0">
        <ns0:f>IF(T925=0,0,T925-IF(V925="AM",1,0))</ns0:f>
        <ns0:v>0</ns0:v>
      </ns0:c>
      <ns0:c r="AA925" s="0">
        <ns0:f>IFERROR(IF(AND(J925&gt;0,'_Engine'!C925&gt;0,MID('_Engine'!W925,WEEKDAY(J925,2),1)="W",COUNTIF(Settings!$F$18:$F$67,J925)=0),1,0),0)</ns0:f>
        <ns0:v>0</ns0:v>
      </ns0:c>
      <ns0:c r="AB925" s="0">
        <ns0:f>IFERROR(IF(AND(T925&gt;0,'_Engine'!C925&gt;0,MID('_Engine'!W925,WEEKDAY(T925,2),1)="W",COUNTIF(Settings!$F$18:$F$67,T925)=0),1,0),0)</ns0:f>
        <ns0:v>0</ns0:v>
      </ns0:c>
      <ns0:c r="AC925" s="0">
        <ns0:f>IF(AND(J925&gt;0,T925&gt;0,W925&lt;=X925),1,0)</ns0:f>
        <ns0:v>0</ns0:v>
      </ns0:c>
      <ns0:c r="AD925" s="0">
        <ns0:f>IF(AND(J925&gt;0,T925&gt;0,Y925&lt;=Z925),1,0)</ns0:f>
        <ns0:v>0</ns0:v>
      </ns0:c>
    </ns0:row>
    <ns0:row r="926">
      <ns0:c r="A926" s="0">
        <ns0:f>IFERROR(IF(ISNUMBER(Bookings!B926),"",TRIM(Bookings!B926&amp;"")),"")</ns0:f>
      </ns0:c>
      <ns0:c r="B926" s="0">
        <ns0:f>IFERROR(SUBSTITUTE(SUBSTITUTE(A926,"/","."),"-","."),"")</ns0:f>
      </ns0:c>
      <ns0:c r="C926" s="0">
        <ns0:f>IFERROR(LEFT(B926,FIND(".",B926)-1),"")</ns0:f>
      </ns0:c>
      <ns0:c r="D926" s="0">
        <ns0:f>IFERROR(MID(B926,FIND(".",B926)+1,FIND(".",B926,FIND(".",B926)+1)-FIND(".",B926)-1),"")</ns0:f>
      </ns0:c>
      <ns0:c r="E926" s="0">
        <ns0:f>IFERROR(MID(B926,FIND(".",B926,FIND(".",B926)+1)+1,99),"")</ns0:f>
        <ns0:v>99</ns0:v>
      </ns0:c>
      <ns0:c r="F926" s="0">
        <ns0:f>IFERROR(IF(FIND(".",B926)=5,--C926,--E926),0)</ns0:f>
        <ns0:v>0</ns0:v>
      </ns0:c>
      <ns0:c r="G926" s="0">
        <ns0:f>IFERROR(--D926,0)</ns0:f>
        <ns0:v>0</ns0:v>
      </ns0:c>
      <ns0:c r="H926" s="0">
        <ns0:f>IFERROR(IF(FIND(".",B926)=5,--E926,--C926),0)</ns0:f>
        <ns0:v>0</ns0:v>
      </ns0:c>
      <ns0:c r="I926" s="0">
        <ns0:f>IFERROR(IF(AND(F926&gt;=2000,F926&lt;=2100,G926&gt;=1,G926&lt;=12,H926&gt;=1,H926&lt;=31),DATE(F926,G926,H926),0),0)</ns0:f>
        <ns0:v>0</ns0:v>
      </ns0:c>
      <ns0:c r="J926" s="0">
        <ns0:f>IFERROR(IF(ISNUMBER(Bookings!B926),IF(AND(Bookings!B926=INT(Bookings!B926),Bookings!B926&gt;=DATE(2000,1,1),Bookings!B926&lt;=DATE(2100,12,31)),Bookings!B926,0),IF(AND(A926&lt;&gt;"",LEN("x"&amp;B926)-LEN(SUBSTITUTE("x"&amp;B926,".",""))=2,OR(1&gt;LEN(B926),MID(B926,1,1)=".",ISNUMBER(FIND("x"&amp;MID(B926,1,1),"x0x1x2x3x4x5x6x7x8x9"))),OR(2&gt;LEN(B926),MID(B926,2,1)=".",ISNUMBER(FIND("x"&amp;MID(B926,2,1),"x0x1x2x3x4x5x6x7x8x9"))),OR(3&gt;LEN(B926),MID(B926,3,1)=".",ISNUMBER(FIND("x"&amp;MID(B926,3,1),"x0x1x2x3x4x5x6x7x8x9"))),OR(4&gt;LEN(B926),MID(B926,4,1)=".",ISNUMBER(FIND("x"&amp;MID(B926,4,1),"x0x1x2x3x4x5x6x7x8x9"))),OR(5&gt;LEN(B926),MID(B926,5,1)=".",ISNUMBER(FIND("x"&amp;MID(B926,5,1),"x0x1x2x3x4x5x6x7x8x9"))),OR(6&gt;LEN(B926),MID(B926,6,1)=".",ISNUMBER(FIND("x"&amp;MID(B926,6,1),"x0x1x2x3x4x5x6x7x8x9"))),OR(7&gt;LEN(B926),MID(B926,7,1)=".",ISNUMBER(FIND("x"&amp;MID(B926,7,1),"x0x1x2x3x4x5x6x7x8x9"))),OR(8&gt;LEN(B926),MID(B926,8,1)=".",ISNUMBER(FIND("x"&amp;MID(B926,8,1),"x0x1x2x3x4x5x6x7x8x9"))),OR(9&gt;LEN(B926),MID(B926,9,1)=".",ISNUMBER(FIND("x"&amp;MID(B926,9,1),"x0x1x2x3x4x5x6x7x8x9"))),OR(10&gt;LEN(B926),MID(B926,10,1)=".",ISNUMBER(FIND("x"&amp;MID(B926,10,1),"x0x1x2x3x4x5x6x7x8x9"))),OR(AND(FIND(".",B926)=5,LEN(B926)-FIND(".",B926,FIND(".",B926)+1)&gt;=1,LEN(B926)-FIND(".",B926,FIND(".",B926)+1)&lt;=2),AND(LEN(B926)-FIND(".",B926,FIND(".",B926)+1)=4,FIND(".",B926)&gt;=2,FIND(".",B926)&lt;=3)),FIND(".",B926,FIND(".",B926)+1)-FIND(".",B926)&gt;=2,FIND(".",B926,FIND(".",B926)+1)-FIND(".",B926)&lt;=3,F926&gt;=2000,F926&lt;=2100,YEAR(I926)=F926,MONTH(I926)=G926,DAY(I926)=H926),I926,0)),0)</ns0:f>
        <ns0:v>0</ns0:v>
      </ns0:c>
      <ns0:c r="K926" s="0">
        <ns0:f>IFERROR(IF(ISNUMBER(Bookings!D926),"",TRIM(Bookings!D926&amp;"")),"")</ns0:f>
      </ns0:c>
      <ns0:c r="L926" s="0">
        <ns0:f>IFERROR(SUBSTITUTE(SUBSTITUTE(K926,"/","."),"-","."),"")</ns0:f>
      </ns0:c>
      <ns0:c r="M926" s="0">
        <ns0:f>IFERROR(LEFT(L926,FIND(".",L926)-1),"")</ns0:f>
      </ns0:c>
      <ns0:c r="N926" s="0">
        <ns0:f>IFERROR(MID(L926,FIND(".",L926)+1,FIND(".",L926,FIND(".",L926)+1)-FIND(".",L926)-1),"")</ns0:f>
      </ns0:c>
      <ns0:c r="O926" s="0">
        <ns0:f>IFERROR(MID(L926,FIND(".",L926,FIND(".",L926)+1)+1,99),"")</ns0:f>
        <ns0:v>99</ns0:v>
      </ns0:c>
      <ns0:c r="P926" s="0">
        <ns0:f>IFERROR(IF(FIND(".",L926)=5,--M926,--O926),0)</ns0:f>
        <ns0:v>0</ns0:v>
      </ns0:c>
      <ns0:c r="Q926" s="0">
        <ns0:f>IFERROR(--N926,0)</ns0:f>
        <ns0:v>0</ns0:v>
      </ns0:c>
      <ns0:c r="R926" s="0">
        <ns0:f>IFERROR(IF(FIND(".",L926)=5,--O926,--M926),0)</ns0:f>
        <ns0:v>0</ns0:v>
      </ns0:c>
      <ns0:c r="S926" s="0">
        <ns0:f>IFERROR(IF(AND(P926&gt;=2000,P926&lt;=2100,Q926&gt;=1,Q926&lt;=12,R926&gt;=1,R926&lt;=31),DATE(P926,Q926,R926),0),0)</ns0:f>
        <ns0:v>0</ns0:v>
      </ns0:c>
      <ns0:c r="T926" s="0">
        <ns0:f>IFERROR(IF(ISNUMBER(Bookings!D926),IF(AND(Bookings!D926=INT(Bookings!D926),Bookings!D926&gt;=DATE(2000,1,1),Bookings!D926&lt;=DATE(2100,12,31)),Bookings!D926,0),IF(AND(K926&lt;&gt;"",LEN("x"&amp;L926)-LEN(SUBSTITUTE("x"&amp;L926,".",""))=2,OR(1&gt;LEN(L926),MID(L926,1,1)=".",ISNUMBER(FIND("x"&amp;MID(L926,1,1),"x0x1x2x3x4x5x6x7x8x9"))),OR(2&gt;LEN(L926),MID(L926,2,1)=".",ISNUMBER(FIND("x"&amp;MID(L926,2,1),"x0x1x2x3x4x5x6x7x8x9"))),OR(3&gt;LEN(L926),MID(L926,3,1)=".",ISNUMBER(FIND("x"&amp;MID(L926,3,1),"x0x1x2x3x4x5x6x7x8x9"))),OR(4&gt;LEN(L926),MID(L926,4,1)=".",ISNUMBER(FIND("x"&amp;MID(L926,4,1),"x0x1x2x3x4x5x6x7x8x9"))),OR(5&gt;LEN(L926),MID(L926,5,1)=".",ISNUMBER(FIND("x"&amp;MID(L926,5,1),"x0x1x2x3x4x5x6x7x8x9"))),OR(6&gt;LEN(L926),MID(L926,6,1)=".",ISNUMBER(FIND("x"&amp;MID(L926,6,1),"x0x1x2x3x4x5x6x7x8x9"))),OR(7&gt;LEN(L926),MID(L926,7,1)=".",ISNUMBER(FIND("x"&amp;MID(L926,7,1),"x0x1x2x3x4x5x6x7x8x9"))),OR(8&gt;LEN(L926),MID(L926,8,1)=".",ISNUMBER(FIND("x"&amp;MID(L926,8,1),"x0x1x2x3x4x5x6x7x8x9"))),OR(9&gt;LEN(L926),MID(L926,9,1)=".",ISNUMBER(FIND("x"&amp;MID(L926,9,1),"x0x1x2x3x4x5x6x7x8x9"))),OR(10&gt;LEN(L926),MID(L926,10,1)=".",ISNUMBER(FIND("x"&amp;MID(L926,10,1),"x0x1x2x3x4x5x6x7x8x9"))),OR(AND(FIND(".",L926)=5,LEN(L926)-FIND(".",L926,FIND(".",L926)+1)&gt;=1,LEN(L926)-FIND(".",L926,FIND(".",L926)+1)&lt;=2),AND(LEN(L926)-FIND(".",L926,FIND(".",L926)+1)=4,FIND(".",L926)&gt;=2,FIND(".",L926)&lt;=3)),FIND(".",L926,FIND(".",L926)+1)-FIND(".",L926)&gt;=2,FIND(".",L926,FIND(".",L926)+1)-FIND(".",L926)&lt;=3,P926&gt;=2000,P926&lt;=2100,YEAR(S926)=P926,MONTH(S926)=Q926,DAY(S926)=R926),S926,0)),0)</ns0:f>
        <ns0:v>0</ns0:v>
      </ns0:c>
      <ns0:c r="U926" s="0" t="str">
        <ns0:f>IF(Bookings!C926="","Full day",Bookings!C926)</ns0:f>
        <ns0:v>Full day</ns0:v>
      </ns0:c>
      <ns0:c r="V926" s="0" t="str">
        <ns0:f>IF(Bookings!E926="","Full day",Bookings!E926)</ns0:f>
        <ns0:v>Full day</ns0:v>
      </ns0:c>
      <ns0:c r="W926" s="0">
        <ns0:f>IF(J926=0,0,J926+IF(U926="PM",1,0))</ns0:f>
        <ns0:v>0</ns0:v>
      </ns0:c>
      <ns0:c r="X926" s="0">
        <ns0:f>IF(T926=0,0,T926-IF(V926="PM",1,0))</ns0:f>
        <ns0:v>0</ns0:v>
      </ns0:c>
      <ns0:c r="Y926" s="0">
        <ns0:f>IF(J926=0,0,J926+IF(U926="AM",1,0))</ns0:f>
        <ns0:v>0</ns0:v>
      </ns0:c>
      <ns0:c r="Z926" s="0">
        <ns0:f>IF(T926=0,0,T926-IF(V926="AM",1,0))</ns0:f>
        <ns0:v>0</ns0:v>
      </ns0:c>
      <ns0:c r="AA926" s="0">
        <ns0:f>IFERROR(IF(AND(J926&gt;0,'_Engine'!C926&gt;0,MID('_Engine'!W926,WEEKDAY(J926,2),1)="W",COUNTIF(Settings!$F$18:$F$67,J926)=0),1,0),0)</ns0:f>
        <ns0:v>0</ns0:v>
      </ns0:c>
      <ns0:c r="AB926" s="0">
        <ns0:f>IFERROR(IF(AND(T926&gt;0,'_Engine'!C926&gt;0,MID('_Engine'!W926,WEEKDAY(T926,2),1)="W",COUNTIF(Settings!$F$18:$F$67,T926)=0),1,0),0)</ns0:f>
        <ns0:v>0</ns0:v>
      </ns0:c>
      <ns0:c r="AC926" s="0">
        <ns0:f>IF(AND(J926&gt;0,T926&gt;0,W926&lt;=X926),1,0)</ns0:f>
        <ns0:v>0</ns0:v>
      </ns0:c>
      <ns0:c r="AD926" s="0">
        <ns0:f>IF(AND(J926&gt;0,T926&gt;0,Y926&lt;=Z926),1,0)</ns0:f>
        <ns0:v>0</ns0:v>
      </ns0:c>
    </ns0:row>
    <ns0:row r="927">
      <ns0:c r="A927" s="0">
        <ns0:f>IFERROR(IF(ISNUMBER(Bookings!B927),"",TRIM(Bookings!B927&amp;"")),"")</ns0:f>
      </ns0:c>
      <ns0:c r="B927" s="0">
        <ns0:f>IFERROR(SUBSTITUTE(SUBSTITUTE(A927,"/","."),"-","."),"")</ns0:f>
      </ns0:c>
      <ns0:c r="C927" s="0">
        <ns0:f>IFERROR(LEFT(B927,FIND(".",B927)-1),"")</ns0:f>
      </ns0:c>
      <ns0:c r="D927" s="0">
        <ns0:f>IFERROR(MID(B927,FIND(".",B927)+1,FIND(".",B927,FIND(".",B927)+1)-FIND(".",B927)-1),"")</ns0:f>
      </ns0:c>
      <ns0:c r="E927" s="0">
        <ns0:f>IFERROR(MID(B927,FIND(".",B927,FIND(".",B927)+1)+1,99),"")</ns0:f>
        <ns0:v>99</ns0:v>
      </ns0:c>
      <ns0:c r="F927" s="0">
        <ns0:f>IFERROR(IF(FIND(".",B927)=5,--C927,--E927),0)</ns0:f>
        <ns0:v>0</ns0:v>
      </ns0:c>
      <ns0:c r="G927" s="0">
        <ns0:f>IFERROR(--D927,0)</ns0:f>
        <ns0:v>0</ns0:v>
      </ns0:c>
      <ns0:c r="H927" s="0">
        <ns0:f>IFERROR(IF(FIND(".",B927)=5,--E927,--C927),0)</ns0:f>
        <ns0:v>0</ns0:v>
      </ns0:c>
      <ns0:c r="I927" s="0">
        <ns0:f>IFERROR(IF(AND(F927&gt;=2000,F927&lt;=2100,G927&gt;=1,G927&lt;=12,H927&gt;=1,H927&lt;=31),DATE(F927,G927,H927),0),0)</ns0:f>
        <ns0:v>0</ns0:v>
      </ns0:c>
      <ns0:c r="J927" s="0">
        <ns0:f>IFERROR(IF(ISNUMBER(Bookings!B927),IF(AND(Bookings!B927=INT(Bookings!B927),Bookings!B927&gt;=DATE(2000,1,1),Bookings!B927&lt;=DATE(2100,12,31)),Bookings!B927,0),IF(AND(A927&lt;&gt;"",LEN("x"&amp;B927)-LEN(SUBSTITUTE("x"&amp;B927,".",""))=2,OR(1&gt;LEN(B927),MID(B927,1,1)=".",ISNUMBER(FIND("x"&amp;MID(B927,1,1),"x0x1x2x3x4x5x6x7x8x9"))),OR(2&gt;LEN(B927),MID(B927,2,1)=".",ISNUMBER(FIND("x"&amp;MID(B927,2,1),"x0x1x2x3x4x5x6x7x8x9"))),OR(3&gt;LEN(B927),MID(B927,3,1)=".",ISNUMBER(FIND("x"&amp;MID(B927,3,1),"x0x1x2x3x4x5x6x7x8x9"))),OR(4&gt;LEN(B927),MID(B927,4,1)=".",ISNUMBER(FIND("x"&amp;MID(B927,4,1),"x0x1x2x3x4x5x6x7x8x9"))),OR(5&gt;LEN(B927),MID(B927,5,1)=".",ISNUMBER(FIND("x"&amp;MID(B927,5,1),"x0x1x2x3x4x5x6x7x8x9"))),OR(6&gt;LEN(B927),MID(B927,6,1)=".",ISNUMBER(FIND("x"&amp;MID(B927,6,1),"x0x1x2x3x4x5x6x7x8x9"))),OR(7&gt;LEN(B927),MID(B927,7,1)=".",ISNUMBER(FIND("x"&amp;MID(B927,7,1),"x0x1x2x3x4x5x6x7x8x9"))),OR(8&gt;LEN(B927),MID(B927,8,1)=".",ISNUMBER(FIND("x"&amp;MID(B927,8,1),"x0x1x2x3x4x5x6x7x8x9"))),OR(9&gt;LEN(B927),MID(B927,9,1)=".",ISNUMBER(FIND("x"&amp;MID(B927,9,1),"x0x1x2x3x4x5x6x7x8x9"))),OR(10&gt;LEN(B927),MID(B927,10,1)=".",ISNUMBER(FIND("x"&amp;MID(B927,10,1),"x0x1x2x3x4x5x6x7x8x9"))),OR(AND(FIND(".",B927)=5,LEN(B927)-FIND(".",B927,FIND(".",B927)+1)&gt;=1,LEN(B927)-FIND(".",B927,FIND(".",B927)+1)&lt;=2),AND(LEN(B927)-FIND(".",B927,FIND(".",B927)+1)=4,FIND(".",B927)&gt;=2,FIND(".",B927)&lt;=3)),FIND(".",B927,FIND(".",B927)+1)-FIND(".",B927)&gt;=2,FIND(".",B927,FIND(".",B927)+1)-FIND(".",B927)&lt;=3,F927&gt;=2000,F927&lt;=2100,YEAR(I927)=F927,MONTH(I927)=G927,DAY(I927)=H927),I927,0)),0)</ns0:f>
        <ns0:v>0</ns0:v>
      </ns0:c>
      <ns0:c r="K927" s="0">
        <ns0:f>IFERROR(IF(ISNUMBER(Bookings!D927),"",TRIM(Bookings!D927&amp;"")),"")</ns0:f>
      </ns0:c>
      <ns0:c r="L927" s="0">
        <ns0:f>IFERROR(SUBSTITUTE(SUBSTITUTE(K927,"/","."),"-","."),"")</ns0:f>
      </ns0:c>
      <ns0:c r="M927" s="0">
        <ns0:f>IFERROR(LEFT(L927,FIND(".",L927)-1),"")</ns0:f>
      </ns0:c>
      <ns0:c r="N927" s="0">
        <ns0:f>IFERROR(MID(L927,FIND(".",L927)+1,FIND(".",L927,FIND(".",L927)+1)-FIND(".",L927)-1),"")</ns0:f>
      </ns0:c>
      <ns0:c r="O927" s="0">
        <ns0:f>IFERROR(MID(L927,FIND(".",L927,FIND(".",L927)+1)+1,99),"")</ns0:f>
        <ns0:v>99</ns0:v>
      </ns0:c>
      <ns0:c r="P927" s="0">
        <ns0:f>IFERROR(IF(FIND(".",L927)=5,--M927,--O927),0)</ns0:f>
        <ns0:v>0</ns0:v>
      </ns0:c>
      <ns0:c r="Q927" s="0">
        <ns0:f>IFERROR(--N927,0)</ns0:f>
        <ns0:v>0</ns0:v>
      </ns0:c>
      <ns0:c r="R927" s="0">
        <ns0:f>IFERROR(IF(FIND(".",L927)=5,--O927,--M927),0)</ns0:f>
        <ns0:v>0</ns0:v>
      </ns0:c>
      <ns0:c r="S927" s="0">
        <ns0:f>IFERROR(IF(AND(P927&gt;=2000,P927&lt;=2100,Q927&gt;=1,Q927&lt;=12,R927&gt;=1,R927&lt;=31),DATE(P927,Q927,R927),0),0)</ns0:f>
        <ns0:v>0</ns0:v>
      </ns0:c>
      <ns0:c r="T927" s="0">
        <ns0:f>IFERROR(IF(ISNUMBER(Bookings!D927),IF(AND(Bookings!D927=INT(Bookings!D927),Bookings!D927&gt;=DATE(2000,1,1),Bookings!D927&lt;=DATE(2100,12,31)),Bookings!D927,0),IF(AND(K927&lt;&gt;"",LEN("x"&amp;L927)-LEN(SUBSTITUTE("x"&amp;L927,".",""))=2,OR(1&gt;LEN(L927),MID(L927,1,1)=".",ISNUMBER(FIND("x"&amp;MID(L927,1,1),"x0x1x2x3x4x5x6x7x8x9"))),OR(2&gt;LEN(L927),MID(L927,2,1)=".",ISNUMBER(FIND("x"&amp;MID(L927,2,1),"x0x1x2x3x4x5x6x7x8x9"))),OR(3&gt;LEN(L927),MID(L927,3,1)=".",ISNUMBER(FIND("x"&amp;MID(L927,3,1),"x0x1x2x3x4x5x6x7x8x9"))),OR(4&gt;LEN(L927),MID(L927,4,1)=".",ISNUMBER(FIND("x"&amp;MID(L927,4,1),"x0x1x2x3x4x5x6x7x8x9"))),OR(5&gt;LEN(L927),MID(L927,5,1)=".",ISNUMBER(FIND("x"&amp;MID(L927,5,1),"x0x1x2x3x4x5x6x7x8x9"))),OR(6&gt;LEN(L927),MID(L927,6,1)=".",ISNUMBER(FIND("x"&amp;MID(L927,6,1),"x0x1x2x3x4x5x6x7x8x9"))),OR(7&gt;LEN(L927),MID(L927,7,1)=".",ISNUMBER(FIND("x"&amp;MID(L927,7,1),"x0x1x2x3x4x5x6x7x8x9"))),OR(8&gt;LEN(L927),MID(L927,8,1)=".",ISNUMBER(FIND("x"&amp;MID(L927,8,1),"x0x1x2x3x4x5x6x7x8x9"))),OR(9&gt;LEN(L927),MID(L927,9,1)=".",ISNUMBER(FIND("x"&amp;MID(L927,9,1),"x0x1x2x3x4x5x6x7x8x9"))),OR(10&gt;LEN(L927),MID(L927,10,1)=".",ISNUMBER(FIND("x"&amp;MID(L927,10,1),"x0x1x2x3x4x5x6x7x8x9"))),OR(AND(FIND(".",L927)=5,LEN(L927)-FIND(".",L927,FIND(".",L927)+1)&gt;=1,LEN(L927)-FIND(".",L927,FIND(".",L927)+1)&lt;=2),AND(LEN(L927)-FIND(".",L927,FIND(".",L927)+1)=4,FIND(".",L927)&gt;=2,FIND(".",L927)&lt;=3)),FIND(".",L927,FIND(".",L927)+1)-FIND(".",L927)&gt;=2,FIND(".",L927,FIND(".",L927)+1)-FIND(".",L927)&lt;=3,P927&gt;=2000,P927&lt;=2100,YEAR(S927)=P927,MONTH(S927)=Q927,DAY(S927)=R927),S927,0)),0)</ns0:f>
        <ns0:v>0</ns0:v>
      </ns0:c>
      <ns0:c r="U927" s="0" t="str">
        <ns0:f>IF(Bookings!C927="","Full day",Bookings!C927)</ns0:f>
        <ns0:v>Full day</ns0:v>
      </ns0:c>
      <ns0:c r="V927" s="0" t="str">
        <ns0:f>IF(Bookings!E927="","Full day",Bookings!E927)</ns0:f>
        <ns0:v>Full day</ns0:v>
      </ns0:c>
      <ns0:c r="W927" s="0">
        <ns0:f>IF(J927=0,0,J927+IF(U927="PM",1,0))</ns0:f>
        <ns0:v>0</ns0:v>
      </ns0:c>
      <ns0:c r="X927" s="0">
        <ns0:f>IF(T927=0,0,T927-IF(V927="PM",1,0))</ns0:f>
        <ns0:v>0</ns0:v>
      </ns0:c>
      <ns0:c r="Y927" s="0">
        <ns0:f>IF(J927=0,0,J927+IF(U927="AM",1,0))</ns0:f>
        <ns0:v>0</ns0:v>
      </ns0:c>
      <ns0:c r="Z927" s="0">
        <ns0:f>IF(T927=0,0,T927-IF(V927="AM",1,0))</ns0:f>
        <ns0:v>0</ns0:v>
      </ns0:c>
      <ns0:c r="AA927" s="0">
        <ns0:f>IFERROR(IF(AND(J927&gt;0,'_Engine'!C927&gt;0,MID('_Engine'!W927,WEEKDAY(J927,2),1)="W",COUNTIF(Settings!$F$18:$F$67,J927)=0),1,0),0)</ns0:f>
        <ns0:v>0</ns0:v>
      </ns0:c>
      <ns0:c r="AB927" s="0">
        <ns0:f>IFERROR(IF(AND(T927&gt;0,'_Engine'!C927&gt;0,MID('_Engine'!W927,WEEKDAY(T927,2),1)="W",COUNTIF(Settings!$F$18:$F$67,T927)=0),1,0),0)</ns0:f>
        <ns0:v>0</ns0:v>
      </ns0:c>
      <ns0:c r="AC927" s="0">
        <ns0:f>IF(AND(J927&gt;0,T927&gt;0,W927&lt;=X927),1,0)</ns0:f>
        <ns0:v>0</ns0:v>
      </ns0:c>
      <ns0:c r="AD927" s="0">
        <ns0:f>IF(AND(J927&gt;0,T927&gt;0,Y927&lt;=Z927),1,0)</ns0:f>
        <ns0:v>0</ns0:v>
      </ns0:c>
    </ns0:row>
    <ns0:row r="928">
      <ns0:c r="A928" s="0">
        <ns0:f>IFERROR(IF(ISNUMBER(Bookings!B928),"",TRIM(Bookings!B928&amp;"")),"")</ns0:f>
      </ns0:c>
      <ns0:c r="B928" s="0">
        <ns0:f>IFERROR(SUBSTITUTE(SUBSTITUTE(A928,"/","."),"-","."),"")</ns0:f>
      </ns0:c>
      <ns0:c r="C928" s="0">
        <ns0:f>IFERROR(LEFT(B928,FIND(".",B928)-1),"")</ns0:f>
      </ns0:c>
      <ns0:c r="D928" s="0">
        <ns0:f>IFERROR(MID(B928,FIND(".",B928)+1,FIND(".",B928,FIND(".",B928)+1)-FIND(".",B928)-1),"")</ns0:f>
      </ns0:c>
      <ns0:c r="E928" s="0">
        <ns0:f>IFERROR(MID(B928,FIND(".",B928,FIND(".",B928)+1)+1,99),"")</ns0:f>
        <ns0:v>99</ns0:v>
      </ns0:c>
      <ns0:c r="F928" s="0">
        <ns0:f>IFERROR(IF(FIND(".",B928)=5,--C928,--E928),0)</ns0:f>
        <ns0:v>0</ns0:v>
      </ns0:c>
      <ns0:c r="G928" s="0">
        <ns0:f>IFERROR(--D928,0)</ns0:f>
        <ns0:v>0</ns0:v>
      </ns0:c>
      <ns0:c r="H928" s="0">
        <ns0:f>IFERROR(IF(FIND(".",B928)=5,--E928,--C928),0)</ns0:f>
        <ns0:v>0</ns0:v>
      </ns0:c>
      <ns0:c r="I928" s="0">
        <ns0:f>IFERROR(IF(AND(F928&gt;=2000,F928&lt;=2100,G928&gt;=1,G928&lt;=12,H928&gt;=1,H928&lt;=31),DATE(F928,G928,H928),0),0)</ns0:f>
        <ns0:v>0</ns0:v>
      </ns0:c>
      <ns0:c r="J928" s="0">
        <ns0:f>IFERROR(IF(ISNUMBER(Bookings!B928),IF(AND(Bookings!B928=INT(Bookings!B928),Bookings!B928&gt;=DATE(2000,1,1),Bookings!B928&lt;=DATE(2100,12,31)),Bookings!B928,0),IF(AND(A928&lt;&gt;"",LEN("x"&amp;B928)-LEN(SUBSTITUTE("x"&amp;B928,".",""))=2,OR(1&gt;LEN(B928),MID(B928,1,1)=".",ISNUMBER(FIND("x"&amp;MID(B928,1,1),"x0x1x2x3x4x5x6x7x8x9"))),OR(2&gt;LEN(B928),MID(B928,2,1)=".",ISNUMBER(FIND("x"&amp;MID(B928,2,1),"x0x1x2x3x4x5x6x7x8x9"))),OR(3&gt;LEN(B928),MID(B928,3,1)=".",ISNUMBER(FIND("x"&amp;MID(B928,3,1),"x0x1x2x3x4x5x6x7x8x9"))),OR(4&gt;LEN(B928),MID(B928,4,1)=".",ISNUMBER(FIND("x"&amp;MID(B928,4,1),"x0x1x2x3x4x5x6x7x8x9"))),OR(5&gt;LEN(B928),MID(B928,5,1)=".",ISNUMBER(FIND("x"&amp;MID(B928,5,1),"x0x1x2x3x4x5x6x7x8x9"))),OR(6&gt;LEN(B928),MID(B928,6,1)=".",ISNUMBER(FIND("x"&amp;MID(B928,6,1),"x0x1x2x3x4x5x6x7x8x9"))),OR(7&gt;LEN(B928),MID(B928,7,1)=".",ISNUMBER(FIND("x"&amp;MID(B928,7,1),"x0x1x2x3x4x5x6x7x8x9"))),OR(8&gt;LEN(B928),MID(B928,8,1)=".",ISNUMBER(FIND("x"&amp;MID(B928,8,1),"x0x1x2x3x4x5x6x7x8x9"))),OR(9&gt;LEN(B928),MID(B928,9,1)=".",ISNUMBER(FIND("x"&amp;MID(B928,9,1),"x0x1x2x3x4x5x6x7x8x9"))),OR(10&gt;LEN(B928),MID(B928,10,1)=".",ISNUMBER(FIND("x"&amp;MID(B928,10,1),"x0x1x2x3x4x5x6x7x8x9"))),OR(AND(FIND(".",B928)=5,LEN(B928)-FIND(".",B928,FIND(".",B928)+1)&gt;=1,LEN(B928)-FIND(".",B928,FIND(".",B928)+1)&lt;=2),AND(LEN(B928)-FIND(".",B928,FIND(".",B928)+1)=4,FIND(".",B928)&gt;=2,FIND(".",B928)&lt;=3)),FIND(".",B928,FIND(".",B928)+1)-FIND(".",B928)&gt;=2,FIND(".",B928,FIND(".",B928)+1)-FIND(".",B928)&lt;=3,F928&gt;=2000,F928&lt;=2100,YEAR(I928)=F928,MONTH(I928)=G928,DAY(I928)=H928),I928,0)),0)</ns0:f>
        <ns0:v>0</ns0:v>
      </ns0:c>
      <ns0:c r="K928" s="0">
        <ns0:f>IFERROR(IF(ISNUMBER(Bookings!D928),"",TRIM(Bookings!D928&amp;"")),"")</ns0:f>
      </ns0:c>
      <ns0:c r="L928" s="0">
        <ns0:f>IFERROR(SUBSTITUTE(SUBSTITUTE(K928,"/","."),"-","."),"")</ns0:f>
      </ns0:c>
      <ns0:c r="M928" s="0">
        <ns0:f>IFERROR(LEFT(L928,FIND(".",L928)-1),"")</ns0:f>
      </ns0:c>
      <ns0:c r="N928" s="0">
        <ns0:f>IFERROR(MID(L928,FIND(".",L928)+1,FIND(".",L928,FIND(".",L928)+1)-FIND(".",L928)-1),"")</ns0:f>
      </ns0:c>
      <ns0:c r="O928" s="0">
        <ns0:f>IFERROR(MID(L928,FIND(".",L928,FIND(".",L928)+1)+1,99),"")</ns0:f>
        <ns0:v>99</ns0:v>
      </ns0:c>
      <ns0:c r="P928" s="0">
        <ns0:f>IFERROR(IF(FIND(".",L928)=5,--M928,--O928),0)</ns0:f>
        <ns0:v>0</ns0:v>
      </ns0:c>
      <ns0:c r="Q928" s="0">
        <ns0:f>IFERROR(--N928,0)</ns0:f>
        <ns0:v>0</ns0:v>
      </ns0:c>
      <ns0:c r="R928" s="0">
        <ns0:f>IFERROR(IF(FIND(".",L928)=5,--O928,--M928),0)</ns0:f>
        <ns0:v>0</ns0:v>
      </ns0:c>
      <ns0:c r="S928" s="0">
        <ns0:f>IFERROR(IF(AND(P928&gt;=2000,P928&lt;=2100,Q928&gt;=1,Q928&lt;=12,R928&gt;=1,R928&lt;=31),DATE(P928,Q928,R928),0),0)</ns0:f>
        <ns0:v>0</ns0:v>
      </ns0:c>
      <ns0:c r="T928" s="0">
        <ns0:f>IFERROR(IF(ISNUMBER(Bookings!D928),IF(AND(Bookings!D928=INT(Bookings!D928),Bookings!D928&gt;=DATE(2000,1,1),Bookings!D928&lt;=DATE(2100,12,31)),Bookings!D928,0),IF(AND(K928&lt;&gt;"",LEN("x"&amp;L928)-LEN(SUBSTITUTE("x"&amp;L928,".",""))=2,OR(1&gt;LEN(L928),MID(L928,1,1)=".",ISNUMBER(FIND("x"&amp;MID(L928,1,1),"x0x1x2x3x4x5x6x7x8x9"))),OR(2&gt;LEN(L928),MID(L928,2,1)=".",ISNUMBER(FIND("x"&amp;MID(L928,2,1),"x0x1x2x3x4x5x6x7x8x9"))),OR(3&gt;LEN(L928),MID(L928,3,1)=".",ISNUMBER(FIND("x"&amp;MID(L928,3,1),"x0x1x2x3x4x5x6x7x8x9"))),OR(4&gt;LEN(L928),MID(L928,4,1)=".",ISNUMBER(FIND("x"&amp;MID(L928,4,1),"x0x1x2x3x4x5x6x7x8x9"))),OR(5&gt;LEN(L928),MID(L928,5,1)=".",ISNUMBER(FIND("x"&amp;MID(L928,5,1),"x0x1x2x3x4x5x6x7x8x9"))),OR(6&gt;LEN(L928),MID(L928,6,1)=".",ISNUMBER(FIND("x"&amp;MID(L928,6,1),"x0x1x2x3x4x5x6x7x8x9"))),OR(7&gt;LEN(L928),MID(L928,7,1)=".",ISNUMBER(FIND("x"&amp;MID(L928,7,1),"x0x1x2x3x4x5x6x7x8x9"))),OR(8&gt;LEN(L928),MID(L928,8,1)=".",ISNUMBER(FIND("x"&amp;MID(L928,8,1),"x0x1x2x3x4x5x6x7x8x9"))),OR(9&gt;LEN(L928),MID(L928,9,1)=".",ISNUMBER(FIND("x"&amp;MID(L928,9,1),"x0x1x2x3x4x5x6x7x8x9"))),OR(10&gt;LEN(L928),MID(L928,10,1)=".",ISNUMBER(FIND("x"&amp;MID(L928,10,1),"x0x1x2x3x4x5x6x7x8x9"))),OR(AND(FIND(".",L928)=5,LEN(L928)-FIND(".",L928,FIND(".",L928)+1)&gt;=1,LEN(L928)-FIND(".",L928,FIND(".",L928)+1)&lt;=2),AND(LEN(L928)-FIND(".",L928,FIND(".",L928)+1)=4,FIND(".",L928)&gt;=2,FIND(".",L928)&lt;=3)),FIND(".",L928,FIND(".",L928)+1)-FIND(".",L928)&gt;=2,FIND(".",L928,FIND(".",L928)+1)-FIND(".",L928)&lt;=3,P928&gt;=2000,P928&lt;=2100,YEAR(S928)=P928,MONTH(S928)=Q928,DAY(S928)=R928),S928,0)),0)</ns0:f>
        <ns0:v>0</ns0:v>
      </ns0:c>
      <ns0:c r="U928" s="0" t="str">
        <ns0:f>IF(Bookings!C928="","Full day",Bookings!C928)</ns0:f>
        <ns0:v>Full day</ns0:v>
      </ns0:c>
      <ns0:c r="V928" s="0" t="str">
        <ns0:f>IF(Bookings!E928="","Full day",Bookings!E928)</ns0:f>
        <ns0:v>Full day</ns0:v>
      </ns0:c>
      <ns0:c r="W928" s="0">
        <ns0:f>IF(J928=0,0,J928+IF(U928="PM",1,0))</ns0:f>
        <ns0:v>0</ns0:v>
      </ns0:c>
      <ns0:c r="X928" s="0">
        <ns0:f>IF(T928=0,0,T928-IF(V928="PM",1,0))</ns0:f>
        <ns0:v>0</ns0:v>
      </ns0:c>
      <ns0:c r="Y928" s="0">
        <ns0:f>IF(J928=0,0,J928+IF(U928="AM",1,0))</ns0:f>
        <ns0:v>0</ns0:v>
      </ns0:c>
      <ns0:c r="Z928" s="0">
        <ns0:f>IF(T928=0,0,T928-IF(V928="AM",1,0))</ns0:f>
        <ns0:v>0</ns0:v>
      </ns0:c>
      <ns0:c r="AA928" s="0">
        <ns0:f>IFERROR(IF(AND(J928&gt;0,'_Engine'!C928&gt;0,MID('_Engine'!W928,WEEKDAY(J928,2),1)="W",COUNTIF(Settings!$F$18:$F$67,J928)=0),1,0),0)</ns0:f>
        <ns0:v>0</ns0:v>
      </ns0:c>
      <ns0:c r="AB928" s="0">
        <ns0:f>IFERROR(IF(AND(T928&gt;0,'_Engine'!C928&gt;0,MID('_Engine'!W928,WEEKDAY(T928,2),1)="W",COUNTIF(Settings!$F$18:$F$67,T928)=0),1,0),0)</ns0:f>
        <ns0:v>0</ns0:v>
      </ns0:c>
      <ns0:c r="AC928" s="0">
        <ns0:f>IF(AND(J928&gt;0,T928&gt;0,W928&lt;=X928),1,0)</ns0:f>
        <ns0:v>0</ns0:v>
      </ns0:c>
      <ns0:c r="AD928" s="0">
        <ns0:f>IF(AND(J928&gt;0,T928&gt;0,Y928&lt;=Z928),1,0)</ns0:f>
        <ns0:v>0</ns0:v>
      </ns0:c>
    </ns0:row>
    <ns0:row r="929">
      <ns0:c r="A929" s="0">
        <ns0:f>IFERROR(IF(ISNUMBER(Bookings!B929),"",TRIM(Bookings!B929&amp;"")),"")</ns0:f>
      </ns0:c>
      <ns0:c r="B929" s="0">
        <ns0:f>IFERROR(SUBSTITUTE(SUBSTITUTE(A929,"/","."),"-","."),"")</ns0:f>
      </ns0:c>
      <ns0:c r="C929" s="0">
        <ns0:f>IFERROR(LEFT(B929,FIND(".",B929)-1),"")</ns0:f>
      </ns0:c>
      <ns0:c r="D929" s="0">
        <ns0:f>IFERROR(MID(B929,FIND(".",B929)+1,FIND(".",B929,FIND(".",B929)+1)-FIND(".",B929)-1),"")</ns0:f>
      </ns0:c>
      <ns0:c r="E929" s="0">
        <ns0:f>IFERROR(MID(B929,FIND(".",B929,FIND(".",B929)+1)+1,99),"")</ns0:f>
        <ns0:v>99</ns0:v>
      </ns0:c>
      <ns0:c r="F929" s="0">
        <ns0:f>IFERROR(IF(FIND(".",B929)=5,--C929,--E929),0)</ns0:f>
        <ns0:v>0</ns0:v>
      </ns0:c>
      <ns0:c r="G929" s="0">
        <ns0:f>IFERROR(--D929,0)</ns0:f>
        <ns0:v>0</ns0:v>
      </ns0:c>
      <ns0:c r="H929" s="0">
        <ns0:f>IFERROR(IF(FIND(".",B929)=5,--E929,--C929),0)</ns0:f>
        <ns0:v>0</ns0:v>
      </ns0:c>
      <ns0:c r="I929" s="0">
        <ns0:f>IFERROR(IF(AND(F929&gt;=2000,F929&lt;=2100,G929&gt;=1,G929&lt;=12,H929&gt;=1,H929&lt;=31),DATE(F929,G929,H929),0),0)</ns0:f>
        <ns0:v>0</ns0:v>
      </ns0:c>
      <ns0:c r="J929" s="0">
        <ns0:f>IFERROR(IF(ISNUMBER(Bookings!B929),IF(AND(Bookings!B929=INT(Bookings!B929),Bookings!B929&gt;=DATE(2000,1,1),Bookings!B929&lt;=DATE(2100,12,31)),Bookings!B929,0),IF(AND(A929&lt;&gt;"",LEN("x"&amp;B929)-LEN(SUBSTITUTE("x"&amp;B929,".",""))=2,OR(1&gt;LEN(B929),MID(B929,1,1)=".",ISNUMBER(FIND("x"&amp;MID(B929,1,1),"x0x1x2x3x4x5x6x7x8x9"))),OR(2&gt;LEN(B929),MID(B929,2,1)=".",ISNUMBER(FIND("x"&amp;MID(B929,2,1),"x0x1x2x3x4x5x6x7x8x9"))),OR(3&gt;LEN(B929),MID(B929,3,1)=".",ISNUMBER(FIND("x"&amp;MID(B929,3,1),"x0x1x2x3x4x5x6x7x8x9"))),OR(4&gt;LEN(B929),MID(B929,4,1)=".",ISNUMBER(FIND("x"&amp;MID(B929,4,1),"x0x1x2x3x4x5x6x7x8x9"))),OR(5&gt;LEN(B929),MID(B929,5,1)=".",ISNUMBER(FIND("x"&amp;MID(B929,5,1),"x0x1x2x3x4x5x6x7x8x9"))),OR(6&gt;LEN(B929),MID(B929,6,1)=".",ISNUMBER(FIND("x"&amp;MID(B929,6,1),"x0x1x2x3x4x5x6x7x8x9"))),OR(7&gt;LEN(B929),MID(B929,7,1)=".",ISNUMBER(FIND("x"&amp;MID(B929,7,1),"x0x1x2x3x4x5x6x7x8x9"))),OR(8&gt;LEN(B929),MID(B929,8,1)=".",ISNUMBER(FIND("x"&amp;MID(B929,8,1),"x0x1x2x3x4x5x6x7x8x9"))),OR(9&gt;LEN(B929),MID(B929,9,1)=".",ISNUMBER(FIND("x"&amp;MID(B929,9,1),"x0x1x2x3x4x5x6x7x8x9"))),OR(10&gt;LEN(B929),MID(B929,10,1)=".",ISNUMBER(FIND("x"&amp;MID(B929,10,1),"x0x1x2x3x4x5x6x7x8x9"))),OR(AND(FIND(".",B929)=5,LEN(B929)-FIND(".",B929,FIND(".",B929)+1)&gt;=1,LEN(B929)-FIND(".",B929,FIND(".",B929)+1)&lt;=2),AND(LEN(B929)-FIND(".",B929,FIND(".",B929)+1)=4,FIND(".",B929)&gt;=2,FIND(".",B929)&lt;=3)),FIND(".",B929,FIND(".",B929)+1)-FIND(".",B929)&gt;=2,FIND(".",B929,FIND(".",B929)+1)-FIND(".",B929)&lt;=3,F929&gt;=2000,F929&lt;=2100,YEAR(I929)=F929,MONTH(I929)=G929,DAY(I929)=H929),I929,0)),0)</ns0:f>
        <ns0:v>0</ns0:v>
      </ns0:c>
      <ns0:c r="K929" s="0">
        <ns0:f>IFERROR(IF(ISNUMBER(Bookings!D929),"",TRIM(Bookings!D929&amp;"")),"")</ns0:f>
      </ns0:c>
      <ns0:c r="L929" s="0">
        <ns0:f>IFERROR(SUBSTITUTE(SUBSTITUTE(K929,"/","."),"-","."),"")</ns0:f>
      </ns0:c>
      <ns0:c r="M929" s="0">
        <ns0:f>IFERROR(LEFT(L929,FIND(".",L929)-1),"")</ns0:f>
      </ns0:c>
      <ns0:c r="N929" s="0">
        <ns0:f>IFERROR(MID(L929,FIND(".",L929)+1,FIND(".",L929,FIND(".",L929)+1)-FIND(".",L929)-1),"")</ns0:f>
      </ns0:c>
      <ns0:c r="O929" s="0">
        <ns0:f>IFERROR(MID(L929,FIND(".",L929,FIND(".",L929)+1)+1,99),"")</ns0:f>
        <ns0:v>99</ns0:v>
      </ns0:c>
      <ns0:c r="P929" s="0">
        <ns0:f>IFERROR(IF(FIND(".",L929)=5,--M929,--O929),0)</ns0:f>
        <ns0:v>0</ns0:v>
      </ns0:c>
      <ns0:c r="Q929" s="0">
        <ns0:f>IFERROR(--N929,0)</ns0:f>
        <ns0:v>0</ns0:v>
      </ns0:c>
      <ns0:c r="R929" s="0">
        <ns0:f>IFERROR(IF(FIND(".",L929)=5,--O929,--M929),0)</ns0:f>
        <ns0:v>0</ns0:v>
      </ns0:c>
      <ns0:c r="S929" s="0">
        <ns0:f>IFERROR(IF(AND(P929&gt;=2000,P929&lt;=2100,Q929&gt;=1,Q929&lt;=12,R929&gt;=1,R929&lt;=31),DATE(P929,Q929,R929),0),0)</ns0:f>
        <ns0:v>0</ns0:v>
      </ns0:c>
      <ns0:c r="T929" s="0">
        <ns0:f>IFERROR(IF(ISNUMBER(Bookings!D929),IF(AND(Bookings!D929=INT(Bookings!D929),Bookings!D929&gt;=DATE(2000,1,1),Bookings!D929&lt;=DATE(2100,12,31)),Bookings!D929,0),IF(AND(K929&lt;&gt;"",LEN("x"&amp;L929)-LEN(SUBSTITUTE("x"&amp;L929,".",""))=2,OR(1&gt;LEN(L929),MID(L929,1,1)=".",ISNUMBER(FIND("x"&amp;MID(L929,1,1),"x0x1x2x3x4x5x6x7x8x9"))),OR(2&gt;LEN(L929),MID(L929,2,1)=".",ISNUMBER(FIND("x"&amp;MID(L929,2,1),"x0x1x2x3x4x5x6x7x8x9"))),OR(3&gt;LEN(L929),MID(L929,3,1)=".",ISNUMBER(FIND("x"&amp;MID(L929,3,1),"x0x1x2x3x4x5x6x7x8x9"))),OR(4&gt;LEN(L929),MID(L929,4,1)=".",ISNUMBER(FIND("x"&amp;MID(L929,4,1),"x0x1x2x3x4x5x6x7x8x9"))),OR(5&gt;LEN(L929),MID(L929,5,1)=".",ISNUMBER(FIND("x"&amp;MID(L929,5,1),"x0x1x2x3x4x5x6x7x8x9"))),OR(6&gt;LEN(L929),MID(L929,6,1)=".",ISNUMBER(FIND("x"&amp;MID(L929,6,1),"x0x1x2x3x4x5x6x7x8x9"))),OR(7&gt;LEN(L929),MID(L929,7,1)=".",ISNUMBER(FIND("x"&amp;MID(L929,7,1),"x0x1x2x3x4x5x6x7x8x9"))),OR(8&gt;LEN(L929),MID(L929,8,1)=".",ISNUMBER(FIND("x"&amp;MID(L929,8,1),"x0x1x2x3x4x5x6x7x8x9"))),OR(9&gt;LEN(L929),MID(L929,9,1)=".",ISNUMBER(FIND("x"&amp;MID(L929,9,1),"x0x1x2x3x4x5x6x7x8x9"))),OR(10&gt;LEN(L929),MID(L929,10,1)=".",ISNUMBER(FIND("x"&amp;MID(L929,10,1),"x0x1x2x3x4x5x6x7x8x9"))),OR(AND(FIND(".",L929)=5,LEN(L929)-FIND(".",L929,FIND(".",L929)+1)&gt;=1,LEN(L929)-FIND(".",L929,FIND(".",L929)+1)&lt;=2),AND(LEN(L929)-FIND(".",L929,FIND(".",L929)+1)=4,FIND(".",L929)&gt;=2,FIND(".",L929)&lt;=3)),FIND(".",L929,FIND(".",L929)+1)-FIND(".",L929)&gt;=2,FIND(".",L929,FIND(".",L929)+1)-FIND(".",L929)&lt;=3,P929&gt;=2000,P929&lt;=2100,YEAR(S929)=P929,MONTH(S929)=Q929,DAY(S929)=R929),S929,0)),0)</ns0:f>
        <ns0:v>0</ns0:v>
      </ns0:c>
      <ns0:c r="U929" s="0" t="str">
        <ns0:f>IF(Bookings!C929="","Full day",Bookings!C929)</ns0:f>
        <ns0:v>Full day</ns0:v>
      </ns0:c>
      <ns0:c r="V929" s="0" t="str">
        <ns0:f>IF(Bookings!E929="","Full day",Bookings!E929)</ns0:f>
        <ns0:v>Full day</ns0:v>
      </ns0:c>
      <ns0:c r="W929" s="0">
        <ns0:f>IF(J929=0,0,J929+IF(U929="PM",1,0))</ns0:f>
        <ns0:v>0</ns0:v>
      </ns0:c>
      <ns0:c r="X929" s="0">
        <ns0:f>IF(T929=0,0,T929-IF(V929="PM",1,0))</ns0:f>
        <ns0:v>0</ns0:v>
      </ns0:c>
      <ns0:c r="Y929" s="0">
        <ns0:f>IF(J929=0,0,J929+IF(U929="AM",1,0))</ns0:f>
        <ns0:v>0</ns0:v>
      </ns0:c>
      <ns0:c r="Z929" s="0">
        <ns0:f>IF(T929=0,0,T929-IF(V929="AM",1,0))</ns0:f>
        <ns0:v>0</ns0:v>
      </ns0:c>
      <ns0:c r="AA929" s="0">
        <ns0:f>IFERROR(IF(AND(J929&gt;0,'_Engine'!C929&gt;0,MID('_Engine'!W929,WEEKDAY(J929,2),1)="W",COUNTIF(Settings!$F$18:$F$67,J929)=0),1,0),0)</ns0:f>
        <ns0:v>0</ns0:v>
      </ns0:c>
      <ns0:c r="AB929" s="0">
        <ns0:f>IFERROR(IF(AND(T929&gt;0,'_Engine'!C929&gt;0,MID('_Engine'!W929,WEEKDAY(T929,2),1)="W",COUNTIF(Settings!$F$18:$F$67,T929)=0),1,0),0)</ns0:f>
        <ns0:v>0</ns0:v>
      </ns0:c>
      <ns0:c r="AC929" s="0">
        <ns0:f>IF(AND(J929&gt;0,T929&gt;0,W929&lt;=X929),1,0)</ns0:f>
        <ns0:v>0</ns0:v>
      </ns0:c>
      <ns0:c r="AD929" s="0">
        <ns0:f>IF(AND(J929&gt;0,T929&gt;0,Y929&lt;=Z929),1,0)</ns0:f>
        <ns0:v>0</ns0:v>
      </ns0:c>
    </ns0:row>
    <ns0:row r="930">
      <ns0:c r="A930" s="0">
        <ns0:f>IFERROR(IF(ISNUMBER(Bookings!B930),"",TRIM(Bookings!B930&amp;"")),"")</ns0:f>
      </ns0:c>
      <ns0:c r="B930" s="0">
        <ns0:f>IFERROR(SUBSTITUTE(SUBSTITUTE(A930,"/","."),"-","."),"")</ns0:f>
      </ns0:c>
      <ns0:c r="C930" s="0">
        <ns0:f>IFERROR(LEFT(B930,FIND(".",B930)-1),"")</ns0:f>
      </ns0:c>
      <ns0:c r="D930" s="0">
        <ns0:f>IFERROR(MID(B930,FIND(".",B930)+1,FIND(".",B930,FIND(".",B930)+1)-FIND(".",B930)-1),"")</ns0:f>
      </ns0:c>
      <ns0:c r="E930" s="0">
        <ns0:f>IFERROR(MID(B930,FIND(".",B930,FIND(".",B930)+1)+1,99),"")</ns0:f>
        <ns0:v>99</ns0:v>
      </ns0:c>
      <ns0:c r="F930" s="0">
        <ns0:f>IFERROR(IF(FIND(".",B930)=5,--C930,--E930),0)</ns0:f>
        <ns0:v>0</ns0:v>
      </ns0:c>
      <ns0:c r="G930" s="0">
        <ns0:f>IFERROR(--D930,0)</ns0:f>
        <ns0:v>0</ns0:v>
      </ns0:c>
      <ns0:c r="H930" s="0">
        <ns0:f>IFERROR(IF(FIND(".",B930)=5,--E930,--C930),0)</ns0:f>
        <ns0:v>0</ns0:v>
      </ns0:c>
      <ns0:c r="I930" s="0">
        <ns0:f>IFERROR(IF(AND(F930&gt;=2000,F930&lt;=2100,G930&gt;=1,G930&lt;=12,H930&gt;=1,H930&lt;=31),DATE(F930,G930,H930),0),0)</ns0:f>
        <ns0:v>0</ns0:v>
      </ns0:c>
      <ns0:c r="J930" s="0">
        <ns0:f>IFERROR(IF(ISNUMBER(Bookings!B930),IF(AND(Bookings!B930=INT(Bookings!B930),Bookings!B930&gt;=DATE(2000,1,1),Bookings!B930&lt;=DATE(2100,12,31)),Bookings!B930,0),IF(AND(A930&lt;&gt;"",LEN("x"&amp;B930)-LEN(SUBSTITUTE("x"&amp;B930,".",""))=2,OR(1&gt;LEN(B930),MID(B930,1,1)=".",ISNUMBER(FIND("x"&amp;MID(B930,1,1),"x0x1x2x3x4x5x6x7x8x9"))),OR(2&gt;LEN(B930),MID(B930,2,1)=".",ISNUMBER(FIND("x"&amp;MID(B930,2,1),"x0x1x2x3x4x5x6x7x8x9"))),OR(3&gt;LEN(B930),MID(B930,3,1)=".",ISNUMBER(FIND("x"&amp;MID(B930,3,1),"x0x1x2x3x4x5x6x7x8x9"))),OR(4&gt;LEN(B930),MID(B930,4,1)=".",ISNUMBER(FIND("x"&amp;MID(B930,4,1),"x0x1x2x3x4x5x6x7x8x9"))),OR(5&gt;LEN(B930),MID(B930,5,1)=".",ISNUMBER(FIND("x"&amp;MID(B930,5,1),"x0x1x2x3x4x5x6x7x8x9"))),OR(6&gt;LEN(B930),MID(B930,6,1)=".",ISNUMBER(FIND("x"&amp;MID(B930,6,1),"x0x1x2x3x4x5x6x7x8x9"))),OR(7&gt;LEN(B930),MID(B930,7,1)=".",ISNUMBER(FIND("x"&amp;MID(B930,7,1),"x0x1x2x3x4x5x6x7x8x9"))),OR(8&gt;LEN(B930),MID(B930,8,1)=".",ISNUMBER(FIND("x"&amp;MID(B930,8,1),"x0x1x2x3x4x5x6x7x8x9"))),OR(9&gt;LEN(B930),MID(B930,9,1)=".",ISNUMBER(FIND("x"&amp;MID(B930,9,1),"x0x1x2x3x4x5x6x7x8x9"))),OR(10&gt;LEN(B930),MID(B930,10,1)=".",ISNUMBER(FIND("x"&amp;MID(B930,10,1),"x0x1x2x3x4x5x6x7x8x9"))),OR(AND(FIND(".",B930)=5,LEN(B930)-FIND(".",B930,FIND(".",B930)+1)&gt;=1,LEN(B930)-FIND(".",B930,FIND(".",B930)+1)&lt;=2),AND(LEN(B930)-FIND(".",B930,FIND(".",B930)+1)=4,FIND(".",B930)&gt;=2,FIND(".",B930)&lt;=3)),FIND(".",B930,FIND(".",B930)+1)-FIND(".",B930)&gt;=2,FIND(".",B930,FIND(".",B930)+1)-FIND(".",B930)&lt;=3,F930&gt;=2000,F930&lt;=2100,YEAR(I930)=F930,MONTH(I930)=G930,DAY(I930)=H930),I930,0)),0)</ns0:f>
        <ns0:v>0</ns0:v>
      </ns0:c>
      <ns0:c r="K930" s="0">
        <ns0:f>IFERROR(IF(ISNUMBER(Bookings!D930),"",TRIM(Bookings!D930&amp;"")),"")</ns0:f>
      </ns0:c>
      <ns0:c r="L930" s="0">
        <ns0:f>IFERROR(SUBSTITUTE(SUBSTITUTE(K930,"/","."),"-","."),"")</ns0:f>
      </ns0:c>
      <ns0:c r="M930" s="0">
        <ns0:f>IFERROR(LEFT(L930,FIND(".",L930)-1),"")</ns0:f>
      </ns0:c>
      <ns0:c r="N930" s="0">
        <ns0:f>IFERROR(MID(L930,FIND(".",L930)+1,FIND(".",L930,FIND(".",L930)+1)-FIND(".",L930)-1),"")</ns0:f>
      </ns0:c>
      <ns0:c r="O930" s="0">
        <ns0:f>IFERROR(MID(L930,FIND(".",L930,FIND(".",L930)+1)+1,99),"")</ns0:f>
        <ns0:v>99</ns0:v>
      </ns0:c>
      <ns0:c r="P930" s="0">
        <ns0:f>IFERROR(IF(FIND(".",L930)=5,--M930,--O930),0)</ns0:f>
        <ns0:v>0</ns0:v>
      </ns0:c>
      <ns0:c r="Q930" s="0">
        <ns0:f>IFERROR(--N930,0)</ns0:f>
        <ns0:v>0</ns0:v>
      </ns0:c>
      <ns0:c r="R930" s="0">
        <ns0:f>IFERROR(IF(FIND(".",L930)=5,--O930,--M930),0)</ns0:f>
        <ns0:v>0</ns0:v>
      </ns0:c>
      <ns0:c r="S930" s="0">
        <ns0:f>IFERROR(IF(AND(P930&gt;=2000,P930&lt;=2100,Q930&gt;=1,Q930&lt;=12,R930&gt;=1,R930&lt;=31),DATE(P930,Q930,R930),0),0)</ns0:f>
        <ns0:v>0</ns0:v>
      </ns0:c>
      <ns0:c r="T930" s="0">
        <ns0:f>IFERROR(IF(ISNUMBER(Bookings!D930),IF(AND(Bookings!D930=INT(Bookings!D930),Bookings!D930&gt;=DATE(2000,1,1),Bookings!D930&lt;=DATE(2100,12,31)),Bookings!D930,0),IF(AND(K930&lt;&gt;"",LEN("x"&amp;L930)-LEN(SUBSTITUTE("x"&amp;L930,".",""))=2,OR(1&gt;LEN(L930),MID(L930,1,1)=".",ISNUMBER(FIND("x"&amp;MID(L930,1,1),"x0x1x2x3x4x5x6x7x8x9"))),OR(2&gt;LEN(L930),MID(L930,2,1)=".",ISNUMBER(FIND("x"&amp;MID(L930,2,1),"x0x1x2x3x4x5x6x7x8x9"))),OR(3&gt;LEN(L930),MID(L930,3,1)=".",ISNUMBER(FIND("x"&amp;MID(L930,3,1),"x0x1x2x3x4x5x6x7x8x9"))),OR(4&gt;LEN(L930),MID(L930,4,1)=".",ISNUMBER(FIND("x"&amp;MID(L930,4,1),"x0x1x2x3x4x5x6x7x8x9"))),OR(5&gt;LEN(L930),MID(L930,5,1)=".",ISNUMBER(FIND("x"&amp;MID(L930,5,1),"x0x1x2x3x4x5x6x7x8x9"))),OR(6&gt;LEN(L930),MID(L930,6,1)=".",ISNUMBER(FIND("x"&amp;MID(L930,6,1),"x0x1x2x3x4x5x6x7x8x9"))),OR(7&gt;LEN(L930),MID(L930,7,1)=".",ISNUMBER(FIND("x"&amp;MID(L930,7,1),"x0x1x2x3x4x5x6x7x8x9"))),OR(8&gt;LEN(L930),MID(L930,8,1)=".",ISNUMBER(FIND("x"&amp;MID(L930,8,1),"x0x1x2x3x4x5x6x7x8x9"))),OR(9&gt;LEN(L930),MID(L930,9,1)=".",ISNUMBER(FIND("x"&amp;MID(L930,9,1),"x0x1x2x3x4x5x6x7x8x9"))),OR(10&gt;LEN(L930),MID(L930,10,1)=".",ISNUMBER(FIND("x"&amp;MID(L930,10,1),"x0x1x2x3x4x5x6x7x8x9"))),OR(AND(FIND(".",L930)=5,LEN(L930)-FIND(".",L930,FIND(".",L930)+1)&gt;=1,LEN(L930)-FIND(".",L930,FIND(".",L930)+1)&lt;=2),AND(LEN(L930)-FIND(".",L930,FIND(".",L930)+1)=4,FIND(".",L930)&gt;=2,FIND(".",L930)&lt;=3)),FIND(".",L930,FIND(".",L930)+1)-FIND(".",L930)&gt;=2,FIND(".",L930,FIND(".",L930)+1)-FIND(".",L930)&lt;=3,P930&gt;=2000,P930&lt;=2100,YEAR(S930)=P930,MONTH(S930)=Q930,DAY(S930)=R930),S930,0)),0)</ns0:f>
        <ns0:v>0</ns0:v>
      </ns0:c>
      <ns0:c r="U930" s="0" t="str">
        <ns0:f>IF(Bookings!C930="","Full day",Bookings!C930)</ns0:f>
        <ns0:v>Full day</ns0:v>
      </ns0:c>
      <ns0:c r="V930" s="0" t="str">
        <ns0:f>IF(Bookings!E930="","Full day",Bookings!E930)</ns0:f>
        <ns0:v>Full day</ns0:v>
      </ns0:c>
      <ns0:c r="W930" s="0">
        <ns0:f>IF(J930=0,0,J930+IF(U930="PM",1,0))</ns0:f>
        <ns0:v>0</ns0:v>
      </ns0:c>
      <ns0:c r="X930" s="0">
        <ns0:f>IF(T930=0,0,T930-IF(V930="PM",1,0))</ns0:f>
        <ns0:v>0</ns0:v>
      </ns0:c>
      <ns0:c r="Y930" s="0">
        <ns0:f>IF(J930=0,0,J930+IF(U930="AM",1,0))</ns0:f>
        <ns0:v>0</ns0:v>
      </ns0:c>
      <ns0:c r="Z930" s="0">
        <ns0:f>IF(T930=0,0,T930-IF(V930="AM",1,0))</ns0:f>
        <ns0:v>0</ns0:v>
      </ns0:c>
      <ns0:c r="AA930" s="0">
        <ns0:f>IFERROR(IF(AND(J930&gt;0,'_Engine'!C930&gt;0,MID('_Engine'!W930,WEEKDAY(J930,2),1)="W",COUNTIF(Settings!$F$18:$F$67,J930)=0),1,0),0)</ns0:f>
        <ns0:v>0</ns0:v>
      </ns0:c>
      <ns0:c r="AB930" s="0">
        <ns0:f>IFERROR(IF(AND(T930&gt;0,'_Engine'!C930&gt;0,MID('_Engine'!W930,WEEKDAY(T930,2),1)="W",COUNTIF(Settings!$F$18:$F$67,T930)=0),1,0),0)</ns0:f>
        <ns0:v>0</ns0:v>
      </ns0:c>
      <ns0:c r="AC930" s="0">
        <ns0:f>IF(AND(J930&gt;0,T930&gt;0,W930&lt;=X930),1,0)</ns0:f>
        <ns0:v>0</ns0:v>
      </ns0:c>
      <ns0:c r="AD930" s="0">
        <ns0:f>IF(AND(J930&gt;0,T930&gt;0,Y930&lt;=Z930),1,0)</ns0:f>
        <ns0:v>0</ns0:v>
      </ns0:c>
    </ns0:row>
    <ns0:row r="931">
      <ns0:c r="A931" s="0">
        <ns0:f>IFERROR(IF(ISNUMBER(Bookings!B931),"",TRIM(Bookings!B931&amp;"")),"")</ns0:f>
      </ns0:c>
      <ns0:c r="B931" s="0">
        <ns0:f>IFERROR(SUBSTITUTE(SUBSTITUTE(A931,"/","."),"-","."),"")</ns0:f>
      </ns0:c>
      <ns0:c r="C931" s="0">
        <ns0:f>IFERROR(LEFT(B931,FIND(".",B931)-1),"")</ns0:f>
      </ns0:c>
      <ns0:c r="D931" s="0">
        <ns0:f>IFERROR(MID(B931,FIND(".",B931)+1,FIND(".",B931,FIND(".",B931)+1)-FIND(".",B931)-1),"")</ns0:f>
      </ns0:c>
      <ns0:c r="E931" s="0">
        <ns0:f>IFERROR(MID(B931,FIND(".",B931,FIND(".",B931)+1)+1,99),"")</ns0:f>
        <ns0:v>99</ns0:v>
      </ns0:c>
      <ns0:c r="F931" s="0">
        <ns0:f>IFERROR(IF(FIND(".",B931)=5,--C931,--E931),0)</ns0:f>
        <ns0:v>0</ns0:v>
      </ns0:c>
      <ns0:c r="G931" s="0">
        <ns0:f>IFERROR(--D931,0)</ns0:f>
        <ns0:v>0</ns0:v>
      </ns0:c>
      <ns0:c r="H931" s="0">
        <ns0:f>IFERROR(IF(FIND(".",B931)=5,--E931,--C931),0)</ns0:f>
        <ns0:v>0</ns0:v>
      </ns0:c>
      <ns0:c r="I931" s="0">
        <ns0:f>IFERROR(IF(AND(F931&gt;=2000,F931&lt;=2100,G931&gt;=1,G931&lt;=12,H931&gt;=1,H931&lt;=31),DATE(F931,G931,H931),0),0)</ns0:f>
        <ns0:v>0</ns0:v>
      </ns0:c>
      <ns0:c r="J931" s="0">
        <ns0:f>IFERROR(IF(ISNUMBER(Bookings!B931),IF(AND(Bookings!B931=INT(Bookings!B931),Bookings!B931&gt;=DATE(2000,1,1),Bookings!B931&lt;=DATE(2100,12,31)),Bookings!B931,0),IF(AND(A931&lt;&gt;"",LEN("x"&amp;B931)-LEN(SUBSTITUTE("x"&amp;B931,".",""))=2,OR(1&gt;LEN(B931),MID(B931,1,1)=".",ISNUMBER(FIND("x"&amp;MID(B931,1,1),"x0x1x2x3x4x5x6x7x8x9"))),OR(2&gt;LEN(B931),MID(B931,2,1)=".",ISNUMBER(FIND("x"&amp;MID(B931,2,1),"x0x1x2x3x4x5x6x7x8x9"))),OR(3&gt;LEN(B931),MID(B931,3,1)=".",ISNUMBER(FIND("x"&amp;MID(B931,3,1),"x0x1x2x3x4x5x6x7x8x9"))),OR(4&gt;LEN(B931),MID(B931,4,1)=".",ISNUMBER(FIND("x"&amp;MID(B931,4,1),"x0x1x2x3x4x5x6x7x8x9"))),OR(5&gt;LEN(B931),MID(B931,5,1)=".",ISNUMBER(FIND("x"&amp;MID(B931,5,1),"x0x1x2x3x4x5x6x7x8x9"))),OR(6&gt;LEN(B931),MID(B931,6,1)=".",ISNUMBER(FIND("x"&amp;MID(B931,6,1),"x0x1x2x3x4x5x6x7x8x9"))),OR(7&gt;LEN(B931),MID(B931,7,1)=".",ISNUMBER(FIND("x"&amp;MID(B931,7,1),"x0x1x2x3x4x5x6x7x8x9"))),OR(8&gt;LEN(B931),MID(B931,8,1)=".",ISNUMBER(FIND("x"&amp;MID(B931,8,1),"x0x1x2x3x4x5x6x7x8x9"))),OR(9&gt;LEN(B931),MID(B931,9,1)=".",ISNUMBER(FIND("x"&amp;MID(B931,9,1),"x0x1x2x3x4x5x6x7x8x9"))),OR(10&gt;LEN(B931),MID(B931,10,1)=".",ISNUMBER(FIND("x"&amp;MID(B931,10,1),"x0x1x2x3x4x5x6x7x8x9"))),OR(AND(FIND(".",B931)=5,LEN(B931)-FIND(".",B931,FIND(".",B931)+1)&gt;=1,LEN(B931)-FIND(".",B931,FIND(".",B931)+1)&lt;=2),AND(LEN(B931)-FIND(".",B931,FIND(".",B931)+1)=4,FIND(".",B931)&gt;=2,FIND(".",B931)&lt;=3)),FIND(".",B931,FIND(".",B931)+1)-FIND(".",B931)&gt;=2,FIND(".",B931,FIND(".",B931)+1)-FIND(".",B931)&lt;=3,F931&gt;=2000,F931&lt;=2100,YEAR(I931)=F931,MONTH(I931)=G931,DAY(I931)=H931),I931,0)),0)</ns0:f>
        <ns0:v>0</ns0:v>
      </ns0:c>
      <ns0:c r="K931" s="0">
        <ns0:f>IFERROR(IF(ISNUMBER(Bookings!D931),"",TRIM(Bookings!D931&amp;"")),"")</ns0:f>
      </ns0:c>
      <ns0:c r="L931" s="0">
        <ns0:f>IFERROR(SUBSTITUTE(SUBSTITUTE(K931,"/","."),"-","."),"")</ns0:f>
      </ns0:c>
      <ns0:c r="M931" s="0">
        <ns0:f>IFERROR(LEFT(L931,FIND(".",L931)-1),"")</ns0:f>
      </ns0:c>
      <ns0:c r="N931" s="0">
        <ns0:f>IFERROR(MID(L931,FIND(".",L931)+1,FIND(".",L931,FIND(".",L931)+1)-FIND(".",L931)-1),"")</ns0:f>
      </ns0:c>
      <ns0:c r="O931" s="0">
        <ns0:f>IFERROR(MID(L931,FIND(".",L931,FIND(".",L931)+1)+1,99),"")</ns0:f>
        <ns0:v>99</ns0:v>
      </ns0:c>
      <ns0:c r="P931" s="0">
        <ns0:f>IFERROR(IF(FIND(".",L931)=5,--M931,--O931),0)</ns0:f>
        <ns0:v>0</ns0:v>
      </ns0:c>
      <ns0:c r="Q931" s="0">
        <ns0:f>IFERROR(--N931,0)</ns0:f>
        <ns0:v>0</ns0:v>
      </ns0:c>
      <ns0:c r="R931" s="0">
        <ns0:f>IFERROR(IF(FIND(".",L931)=5,--O931,--M931),0)</ns0:f>
        <ns0:v>0</ns0:v>
      </ns0:c>
      <ns0:c r="S931" s="0">
        <ns0:f>IFERROR(IF(AND(P931&gt;=2000,P931&lt;=2100,Q931&gt;=1,Q931&lt;=12,R931&gt;=1,R931&lt;=31),DATE(P931,Q931,R931),0),0)</ns0:f>
        <ns0:v>0</ns0:v>
      </ns0:c>
      <ns0:c r="T931" s="0">
        <ns0:f>IFERROR(IF(ISNUMBER(Bookings!D931),IF(AND(Bookings!D931=INT(Bookings!D931),Bookings!D931&gt;=DATE(2000,1,1),Bookings!D931&lt;=DATE(2100,12,31)),Bookings!D931,0),IF(AND(K931&lt;&gt;"",LEN("x"&amp;L931)-LEN(SUBSTITUTE("x"&amp;L931,".",""))=2,OR(1&gt;LEN(L931),MID(L931,1,1)=".",ISNUMBER(FIND("x"&amp;MID(L931,1,1),"x0x1x2x3x4x5x6x7x8x9"))),OR(2&gt;LEN(L931),MID(L931,2,1)=".",ISNUMBER(FIND("x"&amp;MID(L931,2,1),"x0x1x2x3x4x5x6x7x8x9"))),OR(3&gt;LEN(L931),MID(L931,3,1)=".",ISNUMBER(FIND("x"&amp;MID(L931,3,1),"x0x1x2x3x4x5x6x7x8x9"))),OR(4&gt;LEN(L931),MID(L931,4,1)=".",ISNUMBER(FIND("x"&amp;MID(L931,4,1),"x0x1x2x3x4x5x6x7x8x9"))),OR(5&gt;LEN(L931),MID(L931,5,1)=".",ISNUMBER(FIND("x"&amp;MID(L931,5,1),"x0x1x2x3x4x5x6x7x8x9"))),OR(6&gt;LEN(L931),MID(L931,6,1)=".",ISNUMBER(FIND("x"&amp;MID(L931,6,1),"x0x1x2x3x4x5x6x7x8x9"))),OR(7&gt;LEN(L931),MID(L931,7,1)=".",ISNUMBER(FIND("x"&amp;MID(L931,7,1),"x0x1x2x3x4x5x6x7x8x9"))),OR(8&gt;LEN(L931),MID(L931,8,1)=".",ISNUMBER(FIND("x"&amp;MID(L931,8,1),"x0x1x2x3x4x5x6x7x8x9"))),OR(9&gt;LEN(L931),MID(L931,9,1)=".",ISNUMBER(FIND("x"&amp;MID(L931,9,1),"x0x1x2x3x4x5x6x7x8x9"))),OR(10&gt;LEN(L931),MID(L931,10,1)=".",ISNUMBER(FIND("x"&amp;MID(L931,10,1),"x0x1x2x3x4x5x6x7x8x9"))),OR(AND(FIND(".",L931)=5,LEN(L931)-FIND(".",L931,FIND(".",L931)+1)&gt;=1,LEN(L931)-FIND(".",L931,FIND(".",L931)+1)&lt;=2),AND(LEN(L931)-FIND(".",L931,FIND(".",L931)+1)=4,FIND(".",L931)&gt;=2,FIND(".",L931)&lt;=3)),FIND(".",L931,FIND(".",L931)+1)-FIND(".",L931)&gt;=2,FIND(".",L931,FIND(".",L931)+1)-FIND(".",L931)&lt;=3,P931&gt;=2000,P931&lt;=2100,YEAR(S931)=P931,MONTH(S931)=Q931,DAY(S931)=R931),S931,0)),0)</ns0:f>
        <ns0:v>0</ns0:v>
      </ns0:c>
      <ns0:c r="U931" s="0" t="str">
        <ns0:f>IF(Bookings!C931="","Full day",Bookings!C931)</ns0:f>
        <ns0:v>Full day</ns0:v>
      </ns0:c>
      <ns0:c r="V931" s="0" t="str">
        <ns0:f>IF(Bookings!E931="","Full day",Bookings!E931)</ns0:f>
        <ns0:v>Full day</ns0:v>
      </ns0:c>
      <ns0:c r="W931" s="0">
        <ns0:f>IF(J931=0,0,J931+IF(U931="PM",1,0))</ns0:f>
        <ns0:v>0</ns0:v>
      </ns0:c>
      <ns0:c r="X931" s="0">
        <ns0:f>IF(T931=0,0,T931-IF(V931="PM",1,0))</ns0:f>
        <ns0:v>0</ns0:v>
      </ns0:c>
      <ns0:c r="Y931" s="0">
        <ns0:f>IF(J931=0,0,J931+IF(U931="AM",1,0))</ns0:f>
        <ns0:v>0</ns0:v>
      </ns0:c>
      <ns0:c r="Z931" s="0">
        <ns0:f>IF(T931=0,0,T931-IF(V931="AM",1,0))</ns0:f>
        <ns0:v>0</ns0:v>
      </ns0:c>
      <ns0:c r="AA931" s="0">
        <ns0:f>IFERROR(IF(AND(J931&gt;0,'_Engine'!C931&gt;0,MID('_Engine'!W931,WEEKDAY(J931,2),1)="W",COUNTIF(Settings!$F$18:$F$67,J931)=0),1,0),0)</ns0:f>
        <ns0:v>0</ns0:v>
      </ns0:c>
      <ns0:c r="AB931" s="0">
        <ns0:f>IFERROR(IF(AND(T931&gt;0,'_Engine'!C931&gt;0,MID('_Engine'!W931,WEEKDAY(T931,2),1)="W",COUNTIF(Settings!$F$18:$F$67,T931)=0),1,0),0)</ns0:f>
        <ns0:v>0</ns0:v>
      </ns0:c>
      <ns0:c r="AC931" s="0">
        <ns0:f>IF(AND(J931&gt;0,T931&gt;0,W931&lt;=X931),1,0)</ns0:f>
        <ns0:v>0</ns0:v>
      </ns0:c>
      <ns0:c r="AD931" s="0">
        <ns0:f>IF(AND(J931&gt;0,T931&gt;0,Y931&lt;=Z931),1,0)</ns0:f>
        <ns0:v>0</ns0:v>
      </ns0:c>
    </ns0:row>
    <ns0:row r="932">
      <ns0:c r="A932" s="0">
        <ns0:f>IFERROR(IF(ISNUMBER(Bookings!B932),"",TRIM(Bookings!B932&amp;"")),"")</ns0:f>
      </ns0:c>
      <ns0:c r="B932" s="0">
        <ns0:f>IFERROR(SUBSTITUTE(SUBSTITUTE(A932,"/","."),"-","."),"")</ns0:f>
      </ns0:c>
      <ns0:c r="C932" s="0">
        <ns0:f>IFERROR(LEFT(B932,FIND(".",B932)-1),"")</ns0:f>
      </ns0:c>
      <ns0:c r="D932" s="0">
        <ns0:f>IFERROR(MID(B932,FIND(".",B932)+1,FIND(".",B932,FIND(".",B932)+1)-FIND(".",B932)-1),"")</ns0:f>
      </ns0:c>
      <ns0:c r="E932" s="0">
        <ns0:f>IFERROR(MID(B932,FIND(".",B932,FIND(".",B932)+1)+1,99),"")</ns0:f>
        <ns0:v>99</ns0:v>
      </ns0:c>
      <ns0:c r="F932" s="0">
        <ns0:f>IFERROR(IF(FIND(".",B932)=5,--C932,--E932),0)</ns0:f>
        <ns0:v>0</ns0:v>
      </ns0:c>
      <ns0:c r="G932" s="0">
        <ns0:f>IFERROR(--D932,0)</ns0:f>
        <ns0:v>0</ns0:v>
      </ns0:c>
      <ns0:c r="H932" s="0">
        <ns0:f>IFERROR(IF(FIND(".",B932)=5,--E932,--C932),0)</ns0:f>
        <ns0:v>0</ns0:v>
      </ns0:c>
      <ns0:c r="I932" s="0">
        <ns0:f>IFERROR(IF(AND(F932&gt;=2000,F932&lt;=2100,G932&gt;=1,G932&lt;=12,H932&gt;=1,H932&lt;=31),DATE(F932,G932,H932),0),0)</ns0:f>
        <ns0:v>0</ns0:v>
      </ns0:c>
      <ns0:c r="J932" s="0">
        <ns0:f>IFERROR(IF(ISNUMBER(Bookings!B932),IF(AND(Bookings!B932=INT(Bookings!B932),Bookings!B932&gt;=DATE(2000,1,1),Bookings!B932&lt;=DATE(2100,12,31)),Bookings!B932,0),IF(AND(A932&lt;&gt;"",LEN("x"&amp;B932)-LEN(SUBSTITUTE("x"&amp;B932,".",""))=2,OR(1&gt;LEN(B932),MID(B932,1,1)=".",ISNUMBER(FIND("x"&amp;MID(B932,1,1),"x0x1x2x3x4x5x6x7x8x9"))),OR(2&gt;LEN(B932),MID(B932,2,1)=".",ISNUMBER(FIND("x"&amp;MID(B932,2,1),"x0x1x2x3x4x5x6x7x8x9"))),OR(3&gt;LEN(B932),MID(B932,3,1)=".",ISNUMBER(FIND("x"&amp;MID(B932,3,1),"x0x1x2x3x4x5x6x7x8x9"))),OR(4&gt;LEN(B932),MID(B932,4,1)=".",ISNUMBER(FIND("x"&amp;MID(B932,4,1),"x0x1x2x3x4x5x6x7x8x9"))),OR(5&gt;LEN(B932),MID(B932,5,1)=".",ISNUMBER(FIND("x"&amp;MID(B932,5,1),"x0x1x2x3x4x5x6x7x8x9"))),OR(6&gt;LEN(B932),MID(B932,6,1)=".",ISNUMBER(FIND("x"&amp;MID(B932,6,1),"x0x1x2x3x4x5x6x7x8x9"))),OR(7&gt;LEN(B932),MID(B932,7,1)=".",ISNUMBER(FIND("x"&amp;MID(B932,7,1),"x0x1x2x3x4x5x6x7x8x9"))),OR(8&gt;LEN(B932),MID(B932,8,1)=".",ISNUMBER(FIND("x"&amp;MID(B932,8,1),"x0x1x2x3x4x5x6x7x8x9"))),OR(9&gt;LEN(B932),MID(B932,9,1)=".",ISNUMBER(FIND("x"&amp;MID(B932,9,1),"x0x1x2x3x4x5x6x7x8x9"))),OR(10&gt;LEN(B932),MID(B932,10,1)=".",ISNUMBER(FIND("x"&amp;MID(B932,10,1),"x0x1x2x3x4x5x6x7x8x9"))),OR(AND(FIND(".",B932)=5,LEN(B932)-FIND(".",B932,FIND(".",B932)+1)&gt;=1,LEN(B932)-FIND(".",B932,FIND(".",B932)+1)&lt;=2),AND(LEN(B932)-FIND(".",B932,FIND(".",B932)+1)=4,FIND(".",B932)&gt;=2,FIND(".",B932)&lt;=3)),FIND(".",B932,FIND(".",B932)+1)-FIND(".",B932)&gt;=2,FIND(".",B932,FIND(".",B932)+1)-FIND(".",B932)&lt;=3,F932&gt;=2000,F932&lt;=2100,YEAR(I932)=F932,MONTH(I932)=G932,DAY(I932)=H932),I932,0)),0)</ns0:f>
        <ns0:v>0</ns0:v>
      </ns0:c>
      <ns0:c r="K932" s="0">
        <ns0:f>IFERROR(IF(ISNUMBER(Bookings!D932),"",TRIM(Bookings!D932&amp;"")),"")</ns0:f>
      </ns0:c>
      <ns0:c r="L932" s="0">
        <ns0:f>IFERROR(SUBSTITUTE(SUBSTITUTE(K932,"/","."),"-","."),"")</ns0:f>
      </ns0:c>
      <ns0:c r="M932" s="0">
        <ns0:f>IFERROR(LEFT(L932,FIND(".",L932)-1),"")</ns0:f>
      </ns0:c>
      <ns0:c r="N932" s="0">
        <ns0:f>IFERROR(MID(L932,FIND(".",L932)+1,FIND(".",L932,FIND(".",L932)+1)-FIND(".",L932)-1),"")</ns0:f>
      </ns0:c>
      <ns0:c r="O932" s="0">
        <ns0:f>IFERROR(MID(L932,FIND(".",L932,FIND(".",L932)+1)+1,99),"")</ns0:f>
        <ns0:v>99</ns0:v>
      </ns0:c>
      <ns0:c r="P932" s="0">
        <ns0:f>IFERROR(IF(FIND(".",L932)=5,--M932,--O932),0)</ns0:f>
        <ns0:v>0</ns0:v>
      </ns0:c>
      <ns0:c r="Q932" s="0">
        <ns0:f>IFERROR(--N932,0)</ns0:f>
        <ns0:v>0</ns0:v>
      </ns0:c>
      <ns0:c r="R932" s="0">
        <ns0:f>IFERROR(IF(FIND(".",L932)=5,--O932,--M932),0)</ns0:f>
        <ns0:v>0</ns0:v>
      </ns0:c>
      <ns0:c r="S932" s="0">
        <ns0:f>IFERROR(IF(AND(P932&gt;=2000,P932&lt;=2100,Q932&gt;=1,Q932&lt;=12,R932&gt;=1,R932&lt;=31),DATE(P932,Q932,R932),0),0)</ns0:f>
        <ns0:v>0</ns0:v>
      </ns0:c>
      <ns0:c r="T932" s="0">
        <ns0:f>IFERROR(IF(ISNUMBER(Bookings!D932),IF(AND(Bookings!D932=INT(Bookings!D932),Bookings!D932&gt;=DATE(2000,1,1),Bookings!D932&lt;=DATE(2100,12,31)),Bookings!D932,0),IF(AND(K932&lt;&gt;"",LEN("x"&amp;L932)-LEN(SUBSTITUTE("x"&amp;L932,".",""))=2,OR(1&gt;LEN(L932),MID(L932,1,1)=".",ISNUMBER(FIND("x"&amp;MID(L932,1,1),"x0x1x2x3x4x5x6x7x8x9"))),OR(2&gt;LEN(L932),MID(L932,2,1)=".",ISNUMBER(FIND("x"&amp;MID(L932,2,1),"x0x1x2x3x4x5x6x7x8x9"))),OR(3&gt;LEN(L932),MID(L932,3,1)=".",ISNUMBER(FIND("x"&amp;MID(L932,3,1),"x0x1x2x3x4x5x6x7x8x9"))),OR(4&gt;LEN(L932),MID(L932,4,1)=".",ISNUMBER(FIND("x"&amp;MID(L932,4,1),"x0x1x2x3x4x5x6x7x8x9"))),OR(5&gt;LEN(L932),MID(L932,5,1)=".",ISNUMBER(FIND("x"&amp;MID(L932,5,1),"x0x1x2x3x4x5x6x7x8x9"))),OR(6&gt;LEN(L932),MID(L932,6,1)=".",ISNUMBER(FIND("x"&amp;MID(L932,6,1),"x0x1x2x3x4x5x6x7x8x9"))),OR(7&gt;LEN(L932),MID(L932,7,1)=".",ISNUMBER(FIND("x"&amp;MID(L932,7,1),"x0x1x2x3x4x5x6x7x8x9"))),OR(8&gt;LEN(L932),MID(L932,8,1)=".",ISNUMBER(FIND("x"&amp;MID(L932,8,1),"x0x1x2x3x4x5x6x7x8x9"))),OR(9&gt;LEN(L932),MID(L932,9,1)=".",ISNUMBER(FIND("x"&amp;MID(L932,9,1),"x0x1x2x3x4x5x6x7x8x9"))),OR(10&gt;LEN(L932),MID(L932,10,1)=".",ISNUMBER(FIND("x"&amp;MID(L932,10,1),"x0x1x2x3x4x5x6x7x8x9"))),OR(AND(FIND(".",L932)=5,LEN(L932)-FIND(".",L932,FIND(".",L932)+1)&gt;=1,LEN(L932)-FIND(".",L932,FIND(".",L932)+1)&lt;=2),AND(LEN(L932)-FIND(".",L932,FIND(".",L932)+1)=4,FIND(".",L932)&gt;=2,FIND(".",L932)&lt;=3)),FIND(".",L932,FIND(".",L932)+1)-FIND(".",L932)&gt;=2,FIND(".",L932,FIND(".",L932)+1)-FIND(".",L932)&lt;=3,P932&gt;=2000,P932&lt;=2100,YEAR(S932)=P932,MONTH(S932)=Q932,DAY(S932)=R932),S932,0)),0)</ns0:f>
        <ns0:v>0</ns0:v>
      </ns0:c>
      <ns0:c r="U932" s="0" t="str">
        <ns0:f>IF(Bookings!C932="","Full day",Bookings!C932)</ns0:f>
        <ns0:v>Full day</ns0:v>
      </ns0:c>
      <ns0:c r="V932" s="0" t="str">
        <ns0:f>IF(Bookings!E932="","Full day",Bookings!E932)</ns0:f>
        <ns0:v>Full day</ns0:v>
      </ns0:c>
      <ns0:c r="W932" s="0">
        <ns0:f>IF(J932=0,0,J932+IF(U932="PM",1,0))</ns0:f>
        <ns0:v>0</ns0:v>
      </ns0:c>
      <ns0:c r="X932" s="0">
        <ns0:f>IF(T932=0,0,T932-IF(V932="PM",1,0))</ns0:f>
        <ns0:v>0</ns0:v>
      </ns0:c>
      <ns0:c r="Y932" s="0">
        <ns0:f>IF(J932=0,0,J932+IF(U932="AM",1,0))</ns0:f>
        <ns0:v>0</ns0:v>
      </ns0:c>
      <ns0:c r="Z932" s="0">
        <ns0:f>IF(T932=0,0,T932-IF(V932="AM",1,0))</ns0:f>
        <ns0:v>0</ns0:v>
      </ns0:c>
      <ns0:c r="AA932" s="0">
        <ns0:f>IFERROR(IF(AND(J932&gt;0,'_Engine'!C932&gt;0,MID('_Engine'!W932,WEEKDAY(J932,2),1)="W",COUNTIF(Settings!$F$18:$F$67,J932)=0),1,0),0)</ns0:f>
        <ns0:v>0</ns0:v>
      </ns0:c>
      <ns0:c r="AB932" s="0">
        <ns0:f>IFERROR(IF(AND(T932&gt;0,'_Engine'!C932&gt;0,MID('_Engine'!W932,WEEKDAY(T932,2),1)="W",COUNTIF(Settings!$F$18:$F$67,T932)=0),1,0),0)</ns0:f>
        <ns0:v>0</ns0:v>
      </ns0:c>
      <ns0:c r="AC932" s="0">
        <ns0:f>IF(AND(J932&gt;0,T932&gt;0,W932&lt;=X932),1,0)</ns0:f>
        <ns0:v>0</ns0:v>
      </ns0:c>
      <ns0:c r="AD932" s="0">
        <ns0:f>IF(AND(J932&gt;0,T932&gt;0,Y932&lt;=Z932),1,0)</ns0:f>
        <ns0:v>0</ns0:v>
      </ns0:c>
    </ns0:row>
    <ns0:row r="933">
      <ns0:c r="A933" s="0">
        <ns0:f>IFERROR(IF(ISNUMBER(Bookings!B933),"",TRIM(Bookings!B933&amp;"")),"")</ns0:f>
      </ns0:c>
      <ns0:c r="B933" s="0">
        <ns0:f>IFERROR(SUBSTITUTE(SUBSTITUTE(A933,"/","."),"-","."),"")</ns0:f>
      </ns0:c>
      <ns0:c r="C933" s="0">
        <ns0:f>IFERROR(LEFT(B933,FIND(".",B933)-1),"")</ns0:f>
      </ns0:c>
      <ns0:c r="D933" s="0">
        <ns0:f>IFERROR(MID(B933,FIND(".",B933)+1,FIND(".",B933,FIND(".",B933)+1)-FIND(".",B933)-1),"")</ns0:f>
      </ns0:c>
      <ns0:c r="E933" s="0">
        <ns0:f>IFERROR(MID(B933,FIND(".",B933,FIND(".",B933)+1)+1,99),"")</ns0:f>
        <ns0:v>99</ns0:v>
      </ns0:c>
      <ns0:c r="F933" s="0">
        <ns0:f>IFERROR(IF(FIND(".",B933)=5,--C933,--E933),0)</ns0:f>
        <ns0:v>0</ns0:v>
      </ns0:c>
      <ns0:c r="G933" s="0">
        <ns0:f>IFERROR(--D933,0)</ns0:f>
        <ns0:v>0</ns0:v>
      </ns0:c>
      <ns0:c r="H933" s="0">
        <ns0:f>IFERROR(IF(FIND(".",B933)=5,--E933,--C933),0)</ns0:f>
        <ns0:v>0</ns0:v>
      </ns0:c>
      <ns0:c r="I933" s="0">
        <ns0:f>IFERROR(IF(AND(F933&gt;=2000,F933&lt;=2100,G933&gt;=1,G933&lt;=12,H933&gt;=1,H933&lt;=31),DATE(F933,G933,H933),0),0)</ns0:f>
        <ns0:v>0</ns0:v>
      </ns0:c>
      <ns0:c r="J933" s="0">
        <ns0:f>IFERROR(IF(ISNUMBER(Bookings!B933),IF(AND(Bookings!B933=INT(Bookings!B933),Bookings!B933&gt;=DATE(2000,1,1),Bookings!B933&lt;=DATE(2100,12,31)),Bookings!B933,0),IF(AND(A933&lt;&gt;"",LEN("x"&amp;B933)-LEN(SUBSTITUTE("x"&amp;B933,".",""))=2,OR(1&gt;LEN(B933),MID(B933,1,1)=".",ISNUMBER(FIND("x"&amp;MID(B933,1,1),"x0x1x2x3x4x5x6x7x8x9"))),OR(2&gt;LEN(B933),MID(B933,2,1)=".",ISNUMBER(FIND("x"&amp;MID(B933,2,1),"x0x1x2x3x4x5x6x7x8x9"))),OR(3&gt;LEN(B933),MID(B933,3,1)=".",ISNUMBER(FIND("x"&amp;MID(B933,3,1),"x0x1x2x3x4x5x6x7x8x9"))),OR(4&gt;LEN(B933),MID(B933,4,1)=".",ISNUMBER(FIND("x"&amp;MID(B933,4,1),"x0x1x2x3x4x5x6x7x8x9"))),OR(5&gt;LEN(B933),MID(B933,5,1)=".",ISNUMBER(FIND("x"&amp;MID(B933,5,1),"x0x1x2x3x4x5x6x7x8x9"))),OR(6&gt;LEN(B933),MID(B933,6,1)=".",ISNUMBER(FIND("x"&amp;MID(B933,6,1),"x0x1x2x3x4x5x6x7x8x9"))),OR(7&gt;LEN(B933),MID(B933,7,1)=".",ISNUMBER(FIND("x"&amp;MID(B933,7,1),"x0x1x2x3x4x5x6x7x8x9"))),OR(8&gt;LEN(B933),MID(B933,8,1)=".",ISNUMBER(FIND("x"&amp;MID(B933,8,1),"x0x1x2x3x4x5x6x7x8x9"))),OR(9&gt;LEN(B933),MID(B933,9,1)=".",ISNUMBER(FIND("x"&amp;MID(B933,9,1),"x0x1x2x3x4x5x6x7x8x9"))),OR(10&gt;LEN(B933),MID(B933,10,1)=".",ISNUMBER(FIND("x"&amp;MID(B933,10,1),"x0x1x2x3x4x5x6x7x8x9"))),OR(AND(FIND(".",B933)=5,LEN(B933)-FIND(".",B933,FIND(".",B933)+1)&gt;=1,LEN(B933)-FIND(".",B933,FIND(".",B933)+1)&lt;=2),AND(LEN(B933)-FIND(".",B933,FIND(".",B933)+1)=4,FIND(".",B933)&gt;=2,FIND(".",B933)&lt;=3)),FIND(".",B933,FIND(".",B933)+1)-FIND(".",B933)&gt;=2,FIND(".",B933,FIND(".",B933)+1)-FIND(".",B933)&lt;=3,F933&gt;=2000,F933&lt;=2100,YEAR(I933)=F933,MONTH(I933)=G933,DAY(I933)=H933),I933,0)),0)</ns0:f>
        <ns0:v>0</ns0:v>
      </ns0:c>
      <ns0:c r="K933" s="0">
        <ns0:f>IFERROR(IF(ISNUMBER(Bookings!D933),"",TRIM(Bookings!D933&amp;"")),"")</ns0:f>
      </ns0:c>
      <ns0:c r="L933" s="0">
        <ns0:f>IFERROR(SUBSTITUTE(SUBSTITUTE(K933,"/","."),"-","."),"")</ns0:f>
      </ns0:c>
      <ns0:c r="M933" s="0">
        <ns0:f>IFERROR(LEFT(L933,FIND(".",L933)-1),"")</ns0:f>
      </ns0:c>
      <ns0:c r="N933" s="0">
        <ns0:f>IFERROR(MID(L933,FIND(".",L933)+1,FIND(".",L933,FIND(".",L933)+1)-FIND(".",L933)-1),"")</ns0:f>
      </ns0:c>
      <ns0:c r="O933" s="0">
        <ns0:f>IFERROR(MID(L933,FIND(".",L933,FIND(".",L933)+1)+1,99),"")</ns0:f>
        <ns0:v>99</ns0:v>
      </ns0:c>
      <ns0:c r="P933" s="0">
        <ns0:f>IFERROR(IF(FIND(".",L933)=5,--M933,--O933),0)</ns0:f>
        <ns0:v>0</ns0:v>
      </ns0:c>
      <ns0:c r="Q933" s="0">
        <ns0:f>IFERROR(--N933,0)</ns0:f>
        <ns0:v>0</ns0:v>
      </ns0:c>
      <ns0:c r="R933" s="0">
        <ns0:f>IFERROR(IF(FIND(".",L933)=5,--O933,--M933),0)</ns0:f>
        <ns0:v>0</ns0:v>
      </ns0:c>
      <ns0:c r="S933" s="0">
        <ns0:f>IFERROR(IF(AND(P933&gt;=2000,P933&lt;=2100,Q933&gt;=1,Q933&lt;=12,R933&gt;=1,R933&lt;=31),DATE(P933,Q933,R933),0),0)</ns0:f>
        <ns0:v>0</ns0:v>
      </ns0:c>
      <ns0:c r="T933" s="0">
        <ns0:f>IFERROR(IF(ISNUMBER(Bookings!D933),IF(AND(Bookings!D933=INT(Bookings!D933),Bookings!D933&gt;=DATE(2000,1,1),Bookings!D933&lt;=DATE(2100,12,31)),Bookings!D933,0),IF(AND(K933&lt;&gt;"",LEN("x"&amp;L933)-LEN(SUBSTITUTE("x"&amp;L933,".",""))=2,OR(1&gt;LEN(L933),MID(L933,1,1)=".",ISNUMBER(FIND("x"&amp;MID(L933,1,1),"x0x1x2x3x4x5x6x7x8x9"))),OR(2&gt;LEN(L933),MID(L933,2,1)=".",ISNUMBER(FIND("x"&amp;MID(L933,2,1),"x0x1x2x3x4x5x6x7x8x9"))),OR(3&gt;LEN(L933),MID(L933,3,1)=".",ISNUMBER(FIND("x"&amp;MID(L933,3,1),"x0x1x2x3x4x5x6x7x8x9"))),OR(4&gt;LEN(L933),MID(L933,4,1)=".",ISNUMBER(FIND("x"&amp;MID(L933,4,1),"x0x1x2x3x4x5x6x7x8x9"))),OR(5&gt;LEN(L933),MID(L933,5,1)=".",ISNUMBER(FIND("x"&amp;MID(L933,5,1),"x0x1x2x3x4x5x6x7x8x9"))),OR(6&gt;LEN(L933),MID(L933,6,1)=".",ISNUMBER(FIND("x"&amp;MID(L933,6,1),"x0x1x2x3x4x5x6x7x8x9"))),OR(7&gt;LEN(L933),MID(L933,7,1)=".",ISNUMBER(FIND("x"&amp;MID(L933,7,1),"x0x1x2x3x4x5x6x7x8x9"))),OR(8&gt;LEN(L933),MID(L933,8,1)=".",ISNUMBER(FIND("x"&amp;MID(L933,8,1),"x0x1x2x3x4x5x6x7x8x9"))),OR(9&gt;LEN(L933),MID(L933,9,1)=".",ISNUMBER(FIND("x"&amp;MID(L933,9,1),"x0x1x2x3x4x5x6x7x8x9"))),OR(10&gt;LEN(L933),MID(L933,10,1)=".",ISNUMBER(FIND("x"&amp;MID(L933,10,1),"x0x1x2x3x4x5x6x7x8x9"))),OR(AND(FIND(".",L933)=5,LEN(L933)-FIND(".",L933,FIND(".",L933)+1)&gt;=1,LEN(L933)-FIND(".",L933,FIND(".",L933)+1)&lt;=2),AND(LEN(L933)-FIND(".",L933,FIND(".",L933)+1)=4,FIND(".",L933)&gt;=2,FIND(".",L933)&lt;=3)),FIND(".",L933,FIND(".",L933)+1)-FIND(".",L933)&gt;=2,FIND(".",L933,FIND(".",L933)+1)-FIND(".",L933)&lt;=3,P933&gt;=2000,P933&lt;=2100,YEAR(S933)=P933,MONTH(S933)=Q933,DAY(S933)=R933),S933,0)),0)</ns0:f>
        <ns0:v>0</ns0:v>
      </ns0:c>
      <ns0:c r="U933" s="0" t="str">
        <ns0:f>IF(Bookings!C933="","Full day",Bookings!C933)</ns0:f>
        <ns0:v>Full day</ns0:v>
      </ns0:c>
      <ns0:c r="V933" s="0" t="str">
        <ns0:f>IF(Bookings!E933="","Full day",Bookings!E933)</ns0:f>
        <ns0:v>Full day</ns0:v>
      </ns0:c>
      <ns0:c r="W933" s="0">
        <ns0:f>IF(J933=0,0,J933+IF(U933="PM",1,0))</ns0:f>
        <ns0:v>0</ns0:v>
      </ns0:c>
      <ns0:c r="X933" s="0">
        <ns0:f>IF(T933=0,0,T933-IF(V933="PM",1,0))</ns0:f>
        <ns0:v>0</ns0:v>
      </ns0:c>
      <ns0:c r="Y933" s="0">
        <ns0:f>IF(J933=0,0,J933+IF(U933="AM",1,0))</ns0:f>
        <ns0:v>0</ns0:v>
      </ns0:c>
      <ns0:c r="Z933" s="0">
        <ns0:f>IF(T933=0,0,T933-IF(V933="AM",1,0))</ns0:f>
        <ns0:v>0</ns0:v>
      </ns0:c>
      <ns0:c r="AA933" s="0">
        <ns0:f>IFERROR(IF(AND(J933&gt;0,'_Engine'!C933&gt;0,MID('_Engine'!W933,WEEKDAY(J933,2),1)="W",COUNTIF(Settings!$F$18:$F$67,J933)=0),1,0),0)</ns0:f>
        <ns0:v>0</ns0:v>
      </ns0:c>
      <ns0:c r="AB933" s="0">
        <ns0:f>IFERROR(IF(AND(T933&gt;0,'_Engine'!C933&gt;0,MID('_Engine'!W933,WEEKDAY(T933,2),1)="W",COUNTIF(Settings!$F$18:$F$67,T933)=0),1,0),0)</ns0:f>
        <ns0:v>0</ns0:v>
      </ns0:c>
      <ns0:c r="AC933" s="0">
        <ns0:f>IF(AND(J933&gt;0,T933&gt;0,W933&lt;=X933),1,0)</ns0:f>
        <ns0:v>0</ns0:v>
      </ns0:c>
      <ns0:c r="AD933" s="0">
        <ns0:f>IF(AND(J933&gt;0,T933&gt;0,Y933&lt;=Z933),1,0)</ns0:f>
        <ns0:v>0</ns0:v>
      </ns0:c>
    </ns0:row>
    <ns0:row r="934">
      <ns0:c r="A934" s="0">
        <ns0:f>IFERROR(IF(ISNUMBER(Bookings!B934),"",TRIM(Bookings!B934&amp;"")),"")</ns0:f>
      </ns0:c>
      <ns0:c r="B934" s="0">
        <ns0:f>IFERROR(SUBSTITUTE(SUBSTITUTE(A934,"/","."),"-","."),"")</ns0:f>
      </ns0:c>
      <ns0:c r="C934" s="0">
        <ns0:f>IFERROR(LEFT(B934,FIND(".",B934)-1),"")</ns0:f>
      </ns0:c>
      <ns0:c r="D934" s="0">
        <ns0:f>IFERROR(MID(B934,FIND(".",B934)+1,FIND(".",B934,FIND(".",B934)+1)-FIND(".",B934)-1),"")</ns0:f>
      </ns0:c>
      <ns0:c r="E934" s="0">
        <ns0:f>IFERROR(MID(B934,FIND(".",B934,FIND(".",B934)+1)+1,99),"")</ns0:f>
        <ns0:v>99</ns0:v>
      </ns0:c>
      <ns0:c r="F934" s="0">
        <ns0:f>IFERROR(IF(FIND(".",B934)=5,--C934,--E934),0)</ns0:f>
        <ns0:v>0</ns0:v>
      </ns0:c>
      <ns0:c r="G934" s="0">
        <ns0:f>IFERROR(--D934,0)</ns0:f>
        <ns0:v>0</ns0:v>
      </ns0:c>
      <ns0:c r="H934" s="0">
        <ns0:f>IFERROR(IF(FIND(".",B934)=5,--E934,--C934),0)</ns0:f>
        <ns0:v>0</ns0:v>
      </ns0:c>
      <ns0:c r="I934" s="0">
        <ns0:f>IFERROR(IF(AND(F934&gt;=2000,F934&lt;=2100,G934&gt;=1,G934&lt;=12,H934&gt;=1,H934&lt;=31),DATE(F934,G934,H934),0),0)</ns0:f>
        <ns0:v>0</ns0:v>
      </ns0:c>
      <ns0:c r="J934" s="0">
        <ns0:f>IFERROR(IF(ISNUMBER(Bookings!B934),IF(AND(Bookings!B934=INT(Bookings!B934),Bookings!B934&gt;=DATE(2000,1,1),Bookings!B934&lt;=DATE(2100,12,31)),Bookings!B934,0),IF(AND(A934&lt;&gt;"",LEN("x"&amp;B934)-LEN(SUBSTITUTE("x"&amp;B934,".",""))=2,OR(1&gt;LEN(B934),MID(B934,1,1)=".",ISNUMBER(FIND("x"&amp;MID(B934,1,1),"x0x1x2x3x4x5x6x7x8x9"))),OR(2&gt;LEN(B934),MID(B934,2,1)=".",ISNUMBER(FIND("x"&amp;MID(B934,2,1),"x0x1x2x3x4x5x6x7x8x9"))),OR(3&gt;LEN(B934),MID(B934,3,1)=".",ISNUMBER(FIND("x"&amp;MID(B934,3,1),"x0x1x2x3x4x5x6x7x8x9"))),OR(4&gt;LEN(B934),MID(B934,4,1)=".",ISNUMBER(FIND("x"&amp;MID(B934,4,1),"x0x1x2x3x4x5x6x7x8x9"))),OR(5&gt;LEN(B934),MID(B934,5,1)=".",ISNUMBER(FIND("x"&amp;MID(B934,5,1),"x0x1x2x3x4x5x6x7x8x9"))),OR(6&gt;LEN(B934),MID(B934,6,1)=".",ISNUMBER(FIND("x"&amp;MID(B934,6,1),"x0x1x2x3x4x5x6x7x8x9"))),OR(7&gt;LEN(B934),MID(B934,7,1)=".",ISNUMBER(FIND("x"&amp;MID(B934,7,1),"x0x1x2x3x4x5x6x7x8x9"))),OR(8&gt;LEN(B934),MID(B934,8,1)=".",ISNUMBER(FIND("x"&amp;MID(B934,8,1),"x0x1x2x3x4x5x6x7x8x9"))),OR(9&gt;LEN(B934),MID(B934,9,1)=".",ISNUMBER(FIND("x"&amp;MID(B934,9,1),"x0x1x2x3x4x5x6x7x8x9"))),OR(10&gt;LEN(B934),MID(B934,10,1)=".",ISNUMBER(FIND("x"&amp;MID(B934,10,1),"x0x1x2x3x4x5x6x7x8x9"))),OR(AND(FIND(".",B934)=5,LEN(B934)-FIND(".",B934,FIND(".",B934)+1)&gt;=1,LEN(B934)-FIND(".",B934,FIND(".",B934)+1)&lt;=2),AND(LEN(B934)-FIND(".",B934,FIND(".",B934)+1)=4,FIND(".",B934)&gt;=2,FIND(".",B934)&lt;=3)),FIND(".",B934,FIND(".",B934)+1)-FIND(".",B934)&gt;=2,FIND(".",B934,FIND(".",B934)+1)-FIND(".",B934)&lt;=3,F934&gt;=2000,F934&lt;=2100,YEAR(I934)=F934,MONTH(I934)=G934,DAY(I934)=H934),I934,0)),0)</ns0:f>
        <ns0:v>0</ns0:v>
      </ns0:c>
      <ns0:c r="K934" s="0">
        <ns0:f>IFERROR(IF(ISNUMBER(Bookings!D934),"",TRIM(Bookings!D934&amp;"")),"")</ns0:f>
      </ns0:c>
      <ns0:c r="L934" s="0">
        <ns0:f>IFERROR(SUBSTITUTE(SUBSTITUTE(K934,"/","."),"-","."),"")</ns0:f>
      </ns0:c>
      <ns0:c r="M934" s="0">
        <ns0:f>IFERROR(LEFT(L934,FIND(".",L934)-1),"")</ns0:f>
      </ns0:c>
      <ns0:c r="N934" s="0">
        <ns0:f>IFERROR(MID(L934,FIND(".",L934)+1,FIND(".",L934,FIND(".",L934)+1)-FIND(".",L934)-1),"")</ns0:f>
      </ns0:c>
      <ns0:c r="O934" s="0">
        <ns0:f>IFERROR(MID(L934,FIND(".",L934,FIND(".",L934)+1)+1,99),"")</ns0:f>
        <ns0:v>99</ns0:v>
      </ns0:c>
      <ns0:c r="P934" s="0">
        <ns0:f>IFERROR(IF(FIND(".",L934)=5,--M934,--O934),0)</ns0:f>
        <ns0:v>0</ns0:v>
      </ns0:c>
      <ns0:c r="Q934" s="0">
        <ns0:f>IFERROR(--N934,0)</ns0:f>
        <ns0:v>0</ns0:v>
      </ns0:c>
      <ns0:c r="R934" s="0">
        <ns0:f>IFERROR(IF(FIND(".",L934)=5,--O934,--M934),0)</ns0:f>
        <ns0:v>0</ns0:v>
      </ns0:c>
      <ns0:c r="S934" s="0">
        <ns0:f>IFERROR(IF(AND(P934&gt;=2000,P934&lt;=2100,Q934&gt;=1,Q934&lt;=12,R934&gt;=1,R934&lt;=31),DATE(P934,Q934,R934),0),0)</ns0:f>
        <ns0:v>0</ns0:v>
      </ns0:c>
      <ns0:c r="T934" s="0">
        <ns0:f>IFERROR(IF(ISNUMBER(Bookings!D934),IF(AND(Bookings!D934=INT(Bookings!D934),Bookings!D934&gt;=DATE(2000,1,1),Bookings!D934&lt;=DATE(2100,12,31)),Bookings!D934,0),IF(AND(K934&lt;&gt;"",LEN("x"&amp;L934)-LEN(SUBSTITUTE("x"&amp;L934,".",""))=2,OR(1&gt;LEN(L934),MID(L934,1,1)=".",ISNUMBER(FIND("x"&amp;MID(L934,1,1),"x0x1x2x3x4x5x6x7x8x9"))),OR(2&gt;LEN(L934),MID(L934,2,1)=".",ISNUMBER(FIND("x"&amp;MID(L934,2,1),"x0x1x2x3x4x5x6x7x8x9"))),OR(3&gt;LEN(L934),MID(L934,3,1)=".",ISNUMBER(FIND("x"&amp;MID(L934,3,1),"x0x1x2x3x4x5x6x7x8x9"))),OR(4&gt;LEN(L934),MID(L934,4,1)=".",ISNUMBER(FIND("x"&amp;MID(L934,4,1),"x0x1x2x3x4x5x6x7x8x9"))),OR(5&gt;LEN(L934),MID(L934,5,1)=".",ISNUMBER(FIND("x"&amp;MID(L934,5,1),"x0x1x2x3x4x5x6x7x8x9"))),OR(6&gt;LEN(L934),MID(L934,6,1)=".",ISNUMBER(FIND("x"&amp;MID(L934,6,1),"x0x1x2x3x4x5x6x7x8x9"))),OR(7&gt;LEN(L934),MID(L934,7,1)=".",ISNUMBER(FIND("x"&amp;MID(L934,7,1),"x0x1x2x3x4x5x6x7x8x9"))),OR(8&gt;LEN(L934),MID(L934,8,1)=".",ISNUMBER(FIND("x"&amp;MID(L934,8,1),"x0x1x2x3x4x5x6x7x8x9"))),OR(9&gt;LEN(L934),MID(L934,9,1)=".",ISNUMBER(FIND("x"&amp;MID(L934,9,1),"x0x1x2x3x4x5x6x7x8x9"))),OR(10&gt;LEN(L934),MID(L934,10,1)=".",ISNUMBER(FIND("x"&amp;MID(L934,10,1),"x0x1x2x3x4x5x6x7x8x9"))),OR(AND(FIND(".",L934)=5,LEN(L934)-FIND(".",L934,FIND(".",L934)+1)&gt;=1,LEN(L934)-FIND(".",L934,FIND(".",L934)+1)&lt;=2),AND(LEN(L934)-FIND(".",L934,FIND(".",L934)+1)=4,FIND(".",L934)&gt;=2,FIND(".",L934)&lt;=3)),FIND(".",L934,FIND(".",L934)+1)-FIND(".",L934)&gt;=2,FIND(".",L934,FIND(".",L934)+1)-FIND(".",L934)&lt;=3,P934&gt;=2000,P934&lt;=2100,YEAR(S934)=P934,MONTH(S934)=Q934,DAY(S934)=R934),S934,0)),0)</ns0:f>
        <ns0:v>0</ns0:v>
      </ns0:c>
      <ns0:c r="U934" s="0" t="str">
        <ns0:f>IF(Bookings!C934="","Full day",Bookings!C934)</ns0:f>
        <ns0:v>Full day</ns0:v>
      </ns0:c>
      <ns0:c r="V934" s="0" t="str">
        <ns0:f>IF(Bookings!E934="","Full day",Bookings!E934)</ns0:f>
        <ns0:v>Full day</ns0:v>
      </ns0:c>
      <ns0:c r="W934" s="0">
        <ns0:f>IF(J934=0,0,J934+IF(U934="PM",1,0))</ns0:f>
        <ns0:v>0</ns0:v>
      </ns0:c>
      <ns0:c r="X934" s="0">
        <ns0:f>IF(T934=0,0,T934-IF(V934="PM",1,0))</ns0:f>
        <ns0:v>0</ns0:v>
      </ns0:c>
      <ns0:c r="Y934" s="0">
        <ns0:f>IF(J934=0,0,J934+IF(U934="AM",1,0))</ns0:f>
        <ns0:v>0</ns0:v>
      </ns0:c>
      <ns0:c r="Z934" s="0">
        <ns0:f>IF(T934=0,0,T934-IF(V934="AM",1,0))</ns0:f>
        <ns0:v>0</ns0:v>
      </ns0:c>
      <ns0:c r="AA934" s="0">
        <ns0:f>IFERROR(IF(AND(J934&gt;0,'_Engine'!C934&gt;0,MID('_Engine'!W934,WEEKDAY(J934,2),1)="W",COUNTIF(Settings!$F$18:$F$67,J934)=0),1,0),0)</ns0:f>
        <ns0:v>0</ns0:v>
      </ns0:c>
      <ns0:c r="AB934" s="0">
        <ns0:f>IFERROR(IF(AND(T934&gt;0,'_Engine'!C934&gt;0,MID('_Engine'!W934,WEEKDAY(T934,2),1)="W",COUNTIF(Settings!$F$18:$F$67,T934)=0),1,0),0)</ns0:f>
        <ns0:v>0</ns0:v>
      </ns0:c>
      <ns0:c r="AC934" s="0">
        <ns0:f>IF(AND(J934&gt;0,T934&gt;0,W934&lt;=X934),1,0)</ns0:f>
        <ns0:v>0</ns0:v>
      </ns0:c>
      <ns0:c r="AD934" s="0">
        <ns0:f>IF(AND(J934&gt;0,T934&gt;0,Y934&lt;=Z934),1,0)</ns0:f>
        <ns0:v>0</ns0:v>
      </ns0:c>
    </ns0:row>
    <ns0:row r="935">
      <ns0:c r="A935" s="0">
        <ns0:f>IFERROR(IF(ISNUMBER(Bookings!B935),"",TRIM(Bookings!B935&amp;"")),"")</ns0:f>
      </ns0:c>
      <ns0:c r="B935" s="0">
        <ns0:f>IFERROR(SUBSTITUTE(SUBSTITUTE(A935,"/","."),"-","."),"")</ns0:f>
      </ns0:c>
      <ns0:c r="C935" s="0">
        <ns0:f>IFERROR(LEFT(B935,FIND(".",B935)-1),"")</ns0:f>
      </ns0:c>
      <ns0:c r="D935" s="0">
        <ns0:f>IFERROR(MID(B935,FIND(".",B935)+1,FIND(".",B935,FIND(".",B935)+1)-FIND(".",B935)-1),"")</ns0:f>
      </ns0:c>
      <ns0:c r="E935" s="0">
        <ns0:f>IFERROR(MID(B935,FIND(".",B935,FIND(".",B935)+1)+1,99),"")</ns0:f>
        <ns0:v>99</ns0:v>
      </ns0:c>
      <ns0:c r="F935" s="0">
        <ns0:f>IFERROR(IF(FIND(".",B935)=5,--C935,--E935),0)</ns0:f>
        <ns0:v>0</ns0:v>
      </ns0:c>
      <ns0:c r="G935" s="0">
        <ns0:f>IFERROR(--D935,0)</ns0:f>
        <ns0:v>0</ns0:v>
      </ns0:c>
      <ns0:c r="H935" s="0">
        <ns0:f>IFERROR(IF(FIND(".",B935)=5,--E935,--C935),0)</ns0:f>
        <ns0:v>0</ns0:v>
      </ns0:c>
      <ns0:c r="I935" s="0">
        <ns0:f>IFERROR(IF(AND(F935&gt;=2000,F935&lt;=2100,G935&gt;=1,G935&lt;=12,H935&gt;=1,H935&lt;=31),DATE(F935,G935,H935),0),0)</ns0:f>
        <ns0:v>0</ns0:v>
      </ns0:c>
      <ns0:c r="J935" s="0">
        <ns0:f>IFERROR(IF(ISNUMBER(Bookings!B935),IF(AND(Bookings!B935=INT(Bookings!B935),Bookings!B935&gt;=DATE(2000,1,1),Bookings!B935&lt;=DATE(2100,12,31)),Bookings!B935,0),IF(AND(A935&lt;&gt;"",LEN("x"&amp;B935)-LEN(SUBSTITUTE("x"&amp;B935,".",""))=2,OR(1&gt;LEN(B935),MID(B935,1,1)=".",ISNUMBER(FIND("x"&amp;MID(B935,1,1),"x0x1x2x3x4x5x6x7x8x9"))),OR(2&gt;LEN(B935),MID(B935,2,1)=".",ISNUMBER(FIND("x"&amp;MID(B935,2,1),"x0x1x2x3x4x5x6x7x8x9"))),OR(3&gt;LEN(B935),MID(B935,3,1)=".",ISNUMBER(FIND("x"&amp;MID(B935,3,1),"x0x1x2x3x4x5x6x7x8x9"))),OR(4&gt;LEN(B935),MID(B935,4,1)=".",ISNUMBER(FIND("x"&amp;MID(B935,4,1),"x0x1x2x3x4x5x6x7x8x9"))),OR(5&gt;LEN(B935),MID(B935,5,1)=".",ISNUMBER(FIND("x"&amp;MID(B935,5,1),"x0x1x2x3x4x5x6x7x8x9"))),OR(6&gt;LEN(B935),MID(B935,6,1)=".",ISNUMBER(FIND("x"&amp;MID(B935,6,1),"x0x1x2x3x4x5x6x7x8x9"))),OR(7&gt;LEN(B935),MID(B935,7,1)=".",ISNUMBER(FIND("x"&amp;MID(B935,7,1),"x0x1x2x3x4x5x6x7x8x9"))),OR(8&gt;LEN(B935),MID(B935,8,1)=".",ISNUMBER(FIND("x"&amp;MID(B935,8,1),"x0x1x2x3x4x5x6x7x8x9"))),OR(9&gt;LEN(B935),MID(B935,9,1)=".",ISNUMBER(FIND("x"&amp;MID(B935,9,1),"x0x1x2x3x4x5x6x7x8x9"))),OR(10&gt;LEN(B935),MID(B935,10,1)=".",ISNUMBER(FIND("x"&amp;MID(B935,10,1),"x0x1x2x3x4x5x6x7x8x9"))),OR(AND(FIND(".",B935)=5,LEN(B935)-FIND(".",B935,FIND(".",B935)+1)&gt;=1,LEN(B935)-FIND(".",B935,FIND(".",B935)+1)&lt;=2),AND(LEN(B935)-FIND(".",B935,FIND(".",B935)+1)=4,FIND(".",B935)&gt;=2,FIND(".",B935)&lt;=3)),FIND(".",B935,FIND(".",B935)+1)-FIND(".",B935)&gt;=2,FIND(".",B935,FIND(".",B935)+1)-FIND(".",B935)&lt;=3,F935&gt;=2000,F935&lt;=2100,YEAR(I935)=F935,MONTH(I935)=G935,DAY(I935)=H935),I935,0)),0)</ns0:f>
        <ns0:v>0</ns0:v>
      </ns0:c>
      <ns0:c r="K935" s="0">
        <ns0:f>IFERROR(IF(ISNUMBER(Bookings!D935),"",TRIM(Bookings!D935&amp;"")),"")</ns0:f>
      </ns0:c>
      <ns0:c r="L935" s="0">
        <ns0:f>IFERROR(SUBSTITUTE(SUBSTITUTE(K935,"/","."),"-","."),"")</ns0:f>
      </ns0:c>
      <ns0:c r="M935" s="0">
        <ns0:f>IFERROR(LEFT(L935,FIND(".",L935)-1),"")</ns0:f>
      </ns0:c>
      <ns0:c r="N935" s="0">
        <ns0:f>IFERROR(MID(L935,FIND(".",L935)+1,FIND(".",L935,FIND(".",L935)+1)-FIND(".",L935)-1),"")</ns0:f>
      </ns0:c>
      <ns0:c r="O935" s="0">
        <ns0:f>IFERROR(MID(L935,FIND(".",L935,FIND(".",L935)+1)+1,99),"")</ns0:f>
        <ns0:v>99</ns0:v>
      </ns0:c>
      <ns0:c r="P935" s="0">
        <ns0:f>IFERROR(IF(FIND(".",L935)=5,--M935,--O935),0)</ns0:f>
        <ns0:v>0</ns0:v>
      </ns0:c>
      <ns0:c r="Q935" s="0">
        <ns0:f>IFERROR(--N935,0)</ns0:f>
        <ns0:v>0</ns0:v>
      </ns0:c>
      <ns0:c r="R935" s="0">
        <ns0:f>IFERROR(IF(FIND(".",L935)=5,--O935,--M935),0)</ns0:f>
        <ns0:v>0</ns0:v>
      </ns0:c>
      <ns0:c r="S935" s="0">
        <ns0:f>IFERROR(IF(AND(P935&gt;=2000,P935&lt;=2100,Q935&gt;=1,Q935&lt;=12,R935&gt;=1,R935&lt;=31),DATE(P935,Q935,R935),0),0)</ns0:f>
        <ns0:v>0</ns0:v>
      </ns0:c>
      <ns0:c r="T935" s="0">
        <ns0:f>IFERROR(IF(ISNUMBER(Bookings!D935),IF(AND(Bookings!D935=INT(Bookings!D935),Bookings!D935&gt;=DATE(2000,1,1),Bookings!D935&lt;=DATE(2100,12,31)),Bookings!D935,0),IF(AND(K935&lt;&gt;"",LEN("x"&amp;L935)-LEN(SUBSTITUTE("x"&amp;L935,".",""))=2,OR(1&gt;LEN(L935),MID(L935,1,1)=".",ISNUMBER(FIND("x"&amp;MID(L935,1,1),"x0x1x2x3x4x5x6x7x8x9"))),OR(2&gt;LEN(L935),MID(L935,2,1)=".",ISNUMBER(FIND("x"&amp;MID(L935,2,1),"x0x1x2x3x4x5x6x7x8x9"))),OR(3&gt;LEN(L935),MID(L935,3,1)=".",ISNUMBER(FIND("x"&amp;MID(L935,3,1),"x0x1x2x3x4x5x6x7x8x9"))),OR(4&gt;LEN(L935),MID(L935,4,1)=".",ISNUMBER(FIND("x"&amp;MID(L935,4,1),"x0x1x2x3x4x5x6x7x8x9"))),OR(5&gt;LEN(L935),MID(L935,5,1)=".",ISNUMBER(FIND("x"&amp;MID(L935,5,1),"x0x1x2x3x4x5x6x7x8x9"))),OR(6&gt;LEN(L935),MID(L935,6,1)=".",ISNUMBER(FIND("x"&amp;MID(L935,6,1),"x0x1x2x3x4x5x6x7x8x9"))),OR(7&gt;LEN(L935),MID(L935,7,1)=".",ISNUMBER(FIND("x"&amp;MID(L935,7,1),"x0x1x2x3x4x5x6x7x8x9"))),OR(8&gt;LEN(L935),MID(L935,8,1)=".",ISNUMBER(FIND("x"&amp;MID(L935,8,1),"x0x1x2x3x4x5x6x7x8x9"))),OR(9&gt;LEN(L935),MID(L935,9,1)=".",ISNUMBER(FIND("x"&amp;MID(L935,9,1),"x0x1x2x3x4x5x6x7x8x9"))),OR(10&gt;LEN(L935),MID(L935,10,1)=".",ISNUMBER(FIND("x"&amp;MID(L935,10,1),"x0x1x2x3x4x5x6x7x8x9"))),OR(AND(FIND(".",L935)=5,LEN(L935)-FIND(".",L935,FIND(".",L935)+1)&gt;=1,LEN(L935)-FIND(".",L935,FIND(".",L935)+1)&lt;=2),AND(LEN(L935)-FIND(".",L935,FIND(".",L935)+1)=4,FIND(".",L935)&gt;=2,FIND(".",L935)&lt;=3)),FIND(".",L935,FIND(".",L935)+1)-FIND(".",L935)&gt;=2,FIND(".",L935,FIND(".",L935)+1)-FIND(".",L935)&lt;=3,P935&gt;=2000,P935&lt;=2100,YEAR(S935)=P935,MONTH(S935)=Q935,DAY(S935)=R935),S935,0)),0)</ns0:f>
        <ns0:v>0</ns0:v>
      </ns0:c>
      <ns0:c r="U935" s="0" t="str">
        <ns0:f>IF(Bookings!C935="","Full day",Bookings!C935)</ns0:f>
        <ns0:v>Full day</ns0:v>
      </ns0:c>
      <ns0:c r="V935" s="0" t="str">
        <ns0:f>IF(Bookings!E935="","Full day",Bookings!E935)</ns0:f>
        <ns0:v>Full day</ns0:v>
      </ns0:c>
      <ns0:c r="W935" s="0">
        <ns0:f>IF(J935=0,0,J935+IF(U935="PM",1,0))</ns0:f>
        <ns0:v>0</ns0:v>
      </ns0:c>
      <ns0:c r="X935" s="0">
        <ns0:f>IF(T935=0,0,T935-IF(V935="PM",1,0))</ns0:f>
        <ns0:v>0</ns0:v>
      </ns0:c>
      <ns0:c r="Y935" s="0">
        <ns0:f>IF(J935=0,0,J935+IF(U935="AM",1,0))</ns0:f>
        <ns0:v>0</ns0:v>
      </ns0:c>
      <ns0:c r="Z935" s="0">
        <ns0:f>IF(T935=0,0,T935-IF(V935="AM",1,0))</ns0:f>
        <ns0:v>0</ns0:v>
      </ns0:c>
      <ns0:c r="AA935" s="0">
        <ns0:f>IFERROR(IF(AND(J935&gt;0,'_Engine'!C935&gt;0,MID('_Engine'!W935,WEEKDAY(J935,2),1)="W",COUNTIF(Settings!$F$18:$F$67,J935)=0),1,0),0)</ns0:f>
        <ns0:v>0</ns0:v>
      </ns0:c>
      <ns0:c r="AB935" s="0">
        <ns0:f>IFERROR(IF(AND(T935&gt;0,'_Engine'!C935&gt;0,MID('_Engine'!W935,WEEKDAY(T935,2),1)="W",COUNTIF(Settings!$F$18:$F$67,T935)=0),1,0),0)</ns0:f>
        <ns0:v>0</ns0:v>
      </ns0:c>
      <ns0:c r="AC935" s="0">
        <ns0:f>IF(AND(J935&gt;0,T935&gt;0,W935&lt;=X935),1,0)</ns0:f>
        <ns0:v>0</ns0:v>
      </ns0:c>
      <ns0:c r="AD935" s="0">
        <ns0:f>IF(AND(J935&gt;0,T935&gt;0,Y935&lt;=Z935),1,0)</ns0:f>
        <ns0:v>0</ns0:v>
      </ns0:c>
    </ns0:row>
    <ns0:row r="936">
      <ns0:c r="A936" s="0">
        <ns0:f>IFERROR(IF(ISNUMBER(Bookings!B936),"",TRIM(Bookings!B936&amp;"")),"")</ns0:f>
      </ns0:c>
      <ns0:c r="B936" s="0">
        <ns0:f>IFERROR(SUBSTITUTE(SUBSTITUTE(A936,"/","."),"-","."),"")</ns0:f>
      </ns0:c>
      <ns0:c r="C936" s="0">
        <ns0:f>IFERROR(LEFT(B936,FIND(".",B936)-1),"")</ns0:f>
      </ns0:c>
      <ns0:c r="D936" s="0">
        <ns0:f>IFERROR(MID(B936,FIND(".",B936)+1,FIND(".",B936,FIND(".",B936)+1)-FIND(".",B936)-1),"")</ns0:f>
      </ns0:c>
      <ns0:c r="E936" s="0">
        <ns0:f>IFERROR(MID(B936,FIND(".",B936,FIND(".",B936)+1)+1,99),"")</ns0:f>
        <ns0:v>99</ns0:v>
      </ns0:c>
      <ns0:c r="F936" s="0">
        <ns0:f>IFERROR(IF(FIND(".",B936)=5,--C936,--E936),0)</ns0:f>
        <ns0:v>0</ns0:v>
      </ns0:c>
      <ns0:c r="G936" s="0">
        <ns0:f>IFERROR(--D936,0)</ns0:f>
        <ns0:v>0</ns0:v>
      </ns0:c>
      <ns0:c r="H936" s="0">
        <ns0:f>IFERROR(IF(FIND(".",B936)=5,--E936,--C936),0)</ns0:f>
        <ns0:v>0</ns0:v>
      </ns0:c>
      <ns0:c r="I936" s="0">
        <ns0:f>IFERROR(IF(AND(F936&gt;=2000,F936&lt;=2100,G936&gt;=1,G936&lt;=12,H936&gt;=1,H936&lt;=31),DATE(F936,G936,H936),0),0)</ns0:f>
        <ns0:v>0</ns0:v>
      </ns0:c>
      <ns0:c r="J936" s="0">
        <ns0:f>IFERROR(IF(ISNUMBER(Bookings!B936),IF(AND(Bookings!B936=INT(Bookings!B936),Bookings!B936&gt;=DATE(2000,1,1),Bookings!B936&lt;=DATE(2100,12,31)),Bookings!B936,0),IF(AND(A936&lt;&gt;"",LEN("x"&amp;B936)-LEN(SUBSTITUTE("x"&amp;B936,".",""))=2,OR(1&gt;LEN(B936),MID(B936,1,1)=".",ISNUMBER(FIND("x"&amp;MID(B936,1,1),"x0x1x2x3x4x5x6x7x8x9"))),OR(2&gt;LEN(B936),MID(B936,2,1)=".",ISNUMBER(FIND("x"&amp;MID(B936,2,1),"x0x1x2x3x4x5x6x7x8x9"))),OR(3&gt;LEN(B936),MID(B936,3,1)=".",ISNUMBER(FIND("x"&amp;MID(B936,3,1),"x0x1x2x3x4x5x6x7x8x9"))),OR(4&gt;LEN(B936),MID(B936,4,1)=".",ISNUMBER(FIND("x"&amp;MID(B936,4,1),"x0x1x2x3x4x5x6x7x8x9"))),OR(5&gt;LEN(B936),MID(B936,5,1)=".",ISNUMBER(FIND("x"&amp;MID(B936,5,1),"x0x1x2x3x4x5x6x7x8x9"))),OR(6&gt;LEN(B936),MID(B936,6,1)=".",ISNUMBER(FIND("x"&amp;MID(B936,6,1),"x0x1x2x3x4x5x6x7x8x9"))),OR(7&gt;LEN(B936),MID(B936,7,1)=".",ISNUMBER(FIND("x"&amp;MID(B936,7,1),"x0x1x2x3x4x5x6x7x8x9"))),OR(8&gt;LEN(B936),MID(B936,8,1)=".",ISNUMBER(FIND("x"&amp;MID(B936,8,1),"x0x1x2x3x4x5x6x7x8x9"))),OR(9&gt;LEN(B936),MID(B936,9,1)=".",ISNUMBER(FIND("x"&amp;MID(B936,9,1),"x0x1x2x3x4x5x6x7x8x9"))),OR(10&gt;LEN(B936),MID(B936,10,1)=".",ISNUMBER(FIND("x"&amp;MID(B936,10,1),"x0x1x2x3x4x5x6x7x8x9"))),OR(AND(FIND(".",B936)=5,LEN(B936)-FIND(".",B936,FIND(".",B936)+1)&gt;=1,LEN(B936)-FIND(".",B936,FIND(".",B936)+1)&lt;=2),AND(LEN(B936)-FIND(".",B936,FIND(".",B936)+1)=4,FIND(".",B936)&gt;=2,FIND(".",B936)&lt;=3)),FIND(".",B936,FIND(".",B936)+1)-FIND(".",B936)&gt;=2,FIND(".",B936,FIND(".",B936)+1)-FIND(".",B936)&lt;=3,F936&gt;=2000,F936&lt;=2100,YEAR(I936)=F936,MONTH(I936)=G936,DAY(I936)=H936),I936,0)),0)</ns0:f>
        <ns0:v>0</ns0:v>
      </ns0:c>
      <ns0:c r="K936" s="0">
        <ns0:f>IFERROR(IF(ISNUMBER(Bookings!D936),"",TRIM(Bookings!D936&amp;"")),"")</ns0:f>
      </ns0:c>
      <ns0:c r="L936" s="0">
        <ns0:f>IFERROR(SUBSTITUTE(SUBSTITUTE(K936,"/","."),"-","."),"")</ns0:f>
      </ns0:c>
      <ns0:c r="M936" s="0">
        <ns0:f>IFERROR(LEFT(L936,FIND(".",L936)-1),"")</ns0:f>
      </ns0:c>
      <ns0:c r="N936" s="0">
        <ns0:f>IFERROR(MID(L936,FIND(".",L936)+1,FIND(".",L936,FIND(".",L936)+1)-FIND(".",L936)-1),"")</ns0:f>
      </ns0:c>
      <ns0:c r="O936" s="0">
        <ns0:f>IFERROR(MID(L936,FIND(".",L936,FIND(".",L936)+1)+1,99),"")</ns0:f>
        <ns0:v>99</ns0:v>
      </ns0:c>
      <ns0:c r="P936" s="0">
        <ns0:f>IFERROR(IF(FIND(".",L936)=5,--M936,--O936),0)</ns0:f>
        <ns0:v>0</ns0:v>
      </ns0:c>
      <ns0:c r="Q936" s="0">
        <ns0:f>IFERROR(--N936,0)</ns0:f>
        <ns0:v>0</ns0:v>
      </ns0:c>
      <ns0:c r="R936" s="0">
        <ns0:f>IFERROR(IF(FIND(".",L936)=5,--O936,--M936),0)</ns0:f>
        <ns0:v>0</ns0:v>
      </ns0:c>
      <ns0:c r="S936" s="0">
        <ns0:f>IFERROR(IF(AND(P936&gt;=2000,P936&lt;=2100,Q936&gt;=1,Q936&lt;=12,R936&gt;=1,R936&lt;=31),DATE(P936,Q936,R936),0),0)</ns0:f>
        <ns0:v>0</ns0:v>
      </ns0:c>
      <ns0:c r="T936" s="0">
        <ns0:f>IFERROR(IF(ISNUMBER(Bookings!D936),IF(AND(Bookings!D936=INT(Bookings!D936),Bookings!D936&gt;=DATE(2000,1,1),Bookings!D936&lt;=DATE(2100,12,31)),Bookings!D936,0),IF(AND(K936&lt;&gt;"",LEN("x"&amp;L936)-LEN(SUBSTITUTE("x"&amp;L936,".",""))=2,OR(1&gt;LEN(L936),MID(L936,1,1)=".",ISNUMBER(FIND("x"&amp;MID(L936,1,1),"x0x1x2x3x4x5x6x7x8x9"))),OR(2&gt;LEN(L936),MID(L936,2,1)=".",ISNUMBER(FIND("x"&amp;MID(L936,2,1),"x0x1x2x3x4x5x6x7x8x9"))),OR(3&gt;LEN(L936),MID(L936,3,1)=".",ISNUMBER(FIND("x"&amp;MID(L936,3,1),"x0x1x2x3x4x5x6x7x8x9"))),OR(4&gt;LEN(L936),MID(L936,4,1)=".",ISNUMBER(FIND("x"&amp;MID(L936,4,1),"x0x1x2x3x4x5x6x7x8x9"))),OR(5&gt;LEN(L936),MID(L936,5,1)=".",ISNUMBER(FIND("x"&amp;MID(L936,5,1),"x0x1x2x3x4x5x6x7x8x9"))),OR(6&gt;LEN(L936),MID(L936,6,1)=".",ISNUMBER(FIND("x"&amp;MID(L936,6,1),"x0x1x2x3x4x5x6x7x8x9"))),OR(7&gt;LEN(L936),MID(L936,7,1)=".",ISNUMBER(FIND("x"&amp;MID(L936,7,1),"x0x1x2x3x4x5x6x7x8x9"))),OR(8&gt;LEN(L936),MID(L936,8,1)=".",ISNUMBER(FIND("x"&amp;MID(L936,8,1),"x0x1x2x3x4x5x6x7x8x9"))),OR(9&gt;LEN(L936),MID(L936,9,1)=".",ISNUMBER(FIND("x"&amp;MID(L936,9,1),"x0x1x2x3x4x5x6x7x8x9"))),OR(10&gt;LEN(L936),MID(L936,10,1)=".",ISNUMBER(FIND("x"&amp;MID(L936,10,1),"x0x1x2x3x4x5x6x7x8x9"))),OR(AND(FIND(".",L936)=5,LEN(L936)-FIND(".",L936,FIND(".",L936)+1)&gt;=1,LEN(L936)-FIND(".",L936,FIND(".",L936)+1)&lt;=2),AND(LEN(L936)-FIND(".",L936,FIND(".",L936)+1)=4,FIND(".",L936)&gt;=2,FIND(".",L936)&lt;=3)),FIND(".",L936,FIND(".",L936)+1)-FIND(".",L936)&gt;=2,FIND(".",L936,FIND(".",L936)+1)-FIND(".",L936)&lt;=3,P936&gt;=2000,P936&lt;=2100,YEAR(S936)=P936,MONTH(S936)=Q936,DAY(S936)=R936),S936,0)),0)</ns0:f>
        <ns0:v>0</ns0:v>
      </ns0:c>
      <ns0:c r="U936" s="0" t="str">
        <ns0:f>IF(Bookings!C936="","Full day",Bookings!C936)</ns0:f>
        <ns0:v>Full day</ns0:v>
      </ns0:c>
      <ns0:c r="V936" s="0" t="str">
        <ns0:f>IF(Bookings!E936="","Full day",Bookings!E936)</ns0:f>
        <ns0:v>Full day</ns0:v>
      </ns0:c>
      <ns0:c r="W936" s="0">
        <ns0:f>IF(J936=0,0,J936+IF(U936="PM",1,0))</ns0:f>
        <ns0:v>0</ns0:v>
      </ns0:c>
      <ns0:c r="X936" s="0">
        <ns0:f>IF(T936=0,0,T936-IF(V936="PM",1,0))</ns0:f>
        <ns0:v>0</ns0:v>
      </ns0:c>
      <ns0:c r="Y936" s="0">
        <ns0:f>IF(J936=0,0,J936+IF(U936="AM",1,0))</ns0:f>
        <ns0:v>0</ns0:v>
      </ns0:c>
      <ns0:c r="Z936" s="0">
        <ns0:f>IF(T936=0,0,T936-IF(V936="AM",1,0))</ns0:f>
        <ns0:v>0</ns0:v>
      </ns0:c>
      <ns0:c r="AA936" s="0">
        <ns0:f>IFERROR(IF(AND(J936&gt;0,'_Engine'!C936&gt;0,MID('_Engine'!W936,WEEKDAY(J936,2),1)="W",COUNTIF(Settings!$F$18:$F$67,J936)=0),1,0),0)</ns0:f>
        <ns0:v>0</ns0:v>
      </ns0:c>
      <ns0:c r="AB936" s="0">
        <ns0:f>IFERROR(IF(AND(T936&gt;0,'_Engine'!C936&gt;0,MID('_Engine'!W936,WEEKDAY(T936,2),1)="W",COUNTIF(Settings!$F$18:$F$67,T936)=0),1,0),0)</ns0:f>
        <ns0:v>0</ns0:v>
      </ns0:c>
      <ns0:c r="AC936" s="0">
        <ns0:f>IF(AND(J936&gt;0,T936&gt;0,W936&lt;=X936),1,0)</ns0:f>
        <ns0:v>0</ns0:v>
      </ns0:c>
      <ns0:c r="AD936" s="0">
        <ns0:f>IF(AND(J936&gt;0,T936&gt;0,Y936&lt;=Z936),1,0)</ns0:f>
        <ns0:v>0</ns0:v>
      </ns0:c>
    </ns0:row>
    <ns0:row r="937">
      <ns0:c r="A937" s="0">
        <ns0:f>IFERROR(IF(ISNUMBER(Bookings!B937),"",TRIM(Bookings!B937&amp;"")),"")</ns0:f>
      </ns0:c>
      <ns0:c r="B937" s="0">
        <ns0:f>IFERROR(SUBSTITUTE(SUBSTITUTE(A937,"/","."),"-","."),"")</ns0:f>
      </ns0:c>
      <ns0:c r="C937" s="0">
        <ns0:f>IFERROR(LEFT(B937,FIND(".",B937)-1),"")</ns0:f>
      </ns0:c>
      <ns0:c r="D937" s="0">
        <ns0:f>IFERROR(MID(B937,FIND(".",B937)+1,FIND(".",B937,FIND(".",B937)+1)-FIND(".",B937)-1),"")</ns0:f>
      </ns0:c>
      <ns0:c r="E937" s="0">
        <ns0:f>IFERROR(MID(B937,FIND(".",B937,FIND(".",B937)+1)+1,99),"")</ns0:f>
        <ns0:v>99</ns0:v>
      </ns0:c>
      <ns0:c r="F937" s="0">
        <ns0:f>IFERROR(IF(FIND(".",B937)=5,--C937,--E937),0)</ns0:f>
        <ns0:v>0</ns0:v>
      </ns0:c>
      <ns0:c r="G937" s="0">
        <ns0:f>IFERROR(--D937,0)</ns0:f>
        <ns0:v>0</ns0:v>
      </ns0:c>
      <ns0:c r="H937" s="0">
        <ns0:f>IFERROR(IF(FIND(".",B937)=5,--E937,--C937),0)</ns0:f>
        <ns0:v>0</ns0:v>
      </ns0:c>
      <ns0:c r="I937" s="0">
        <ns0:f>IFERROR(IF(AND(F937&gt;=2000,F937&lt;=2100,G937&gt;=1,G937&lt;=12,H937&gt;=1,H937&lt;=31),DATE(F937,G937,H937),0),0)</ns0:f>
        <ns0:v>0</ns0:v>
      </ns0:c>
      <ns0:c r="J937" s="0">
        <ns0:f>IFERROR(IF(ISNUMBER(Bookings!B937),IF(AND(Bookings!B937=INT(Bookings!B937),Bookings!B937&gt;=DATE(2000,1,1),Bookings!B937&lt;=DATE(2100,12,31)),Bookings!B937,0),IF(AND(A937&lt;&gt;"",LEN("x"&amp;B937)-LEN(SUBSTITUTE("x"&amp;B937,".",""))=2,OR(1&gt;LEN(B937),MID(B937,1,1)=".",ISNUMBER(FIND("x"&amp;MID(B937,1,1),"x0x1x2x3x4x5x6x7x8x9"))),OR(2&gt;LEN(B937),MID(B937,2,1)=".",ISNUMBER(FIND("x"&amp;MID(B937,2,1),"x0x1x2x3x4x5x6x7x8x9"))),OR(3&gt;LEN(B937),MID(B937,3,1)=".",ISNUMBER(FIND("x"&amp;MID(B937,3,1),"x0x1x2x3x4x5x6x7x8x9"))),OR(4&gt;LEN(B937),MID(B937,4,1)=".",ISNUMBER(FIND("x"&amp;MID(B937,4,1),"x0x1x2x3x4x5x6x7x8x9"))),OR(5&gt;LEN(B937),MID(B937,5,1)=".",ISNUMBER(FIND("x"&amp;MID(B937,5,1),"x0x1x2x3x4x5x6x7x8x9"))),OR(6&gt;LEN(B937),MID(B937,6,1)=".",ISNUMBER(FIND("x"&amp;MID(B937,6,1),"x0x1x2x3x4x5x6x7x8x9"))),OR(7&gt;LEN(B937),MID(B937,7,1)=".",ISNUMBER(FIND("x"&amp;MID(B937,7,1),"x0x1x2x3x4x5x6x7x8x9"))),OR(8&gt;LEN(B937),MID(B937,8,1)=".",ISNUMBER(FIND("x"&amp;MID(B937,8,1),"x0x1x2x3x4x5x6x7x8x9"))),OR(9&gt;LEN(B937),MID(B937,9,1)=".",ISNUMBER(FIND("x"&amp;MID(B937,9,1),"x0x1x2x3x4x5x6x7x8x9"))),OR(10&gt;LEN(B937),MID(B937,10,1)=".",ISNUMBER(FIND("x"&amp;MID(B937,10,1),"x0x1x2x3x4x5x6x7x8x9"))),OR(AND(FIND(".",B937)=5,LEN(B937)-FIND(".",B937,FIND(".",B937)+1)&gt;=1,LEN(B937)-FIND(".",B937,FIND(".",B937)+1)&lt;=2),AND(LEN(B937)-FIND(".",B937,FIND(".",B937)+1)=4,FIND(".",B937)&gt;=2,FIND(".",B937)&lt;=3)),FIND(".",B937,FIND(".",B937)+1)-FIND(".",B937)&gt;=2,FIND(".",B937,FIND(".",B937)+1)-FIND(".",B937)&lt;=3,F937&gt;=2000,F937&lt;=2100,YEAR(I937)=F937,MONTH(I937)=G937,DAY(I937)=H937),I937,0)),0)</ns0:f>
        <ns0:v>0</ns0:v>
      </ns0:c>
      <ns0:c r="K937" s="0">
        <ns0:f>IFERROR(IF(ISNUMBER(Bookings!D937),"",TRIM(Bookings!D937&amp;"")),"")</ns0:f>
      </ns0:c>
      <ns0:c r="L937" s="0">
        <ns0:f>IFERROR(SUBSTITUTE(SUBSTITUTE(K937,"/","."),"-","."),"")</ns0:f>
      </ns0:c>
      <ns0:c r="M937" s="0">
        <ns0:f>IFERROR(LEFT(L937,FIND(".",L937)-1),"")</ns0:f>
      </ns0:c>
      <ns0:c r="N937" s="0">
        <ns0:f>IFERROR(MID(L937,FIND(".",L937)+1,FIND(".",L937,FIND(".",L937)+1)-FIND(".",L937)-1),"")</ns0:f>
      </ns0:c>
      <ns0:c r="O937" s="0">
        <ns0:f>IFERROR(MID(L937,FIND(".",L937,FIND(".",L937)+1)+1,99),"")</ns0:f>
        <ns0:v>99</ns0:v>
      </ns0:c>
      <ns0:c r="P937" s="0">
        <ns0:f>IFERROR(IF(FIND(".",L937)=5,--M937,--O937),0)</ns0:f>
        <ns0:v>0</ns0:v>
      </ns0:c>
      <ns0:c r="Q937" s="0">
        <ns0:f>IFERROR(--N937,0)</ns0:f>
        <ns0:v>0</ns0:v>
      </ns0:c>
      <ns0:c r="R937" s="0">
        <ns0:f>IFERROR(IF(FIND(".",L937)=5,--O937,--M937),0)</ns0:f>
        <ns0:v>0</ns0:v>
      </ns0:c>
      <ns0:c r="S937" s="0">
        <ns0:f>IFERROR(IF(AND(P937&gt;=2000,P937&lt;=2100,Q937&gt;=1,Q937&lt;=12,R937&gt;=1,R937&lt;=31),DATE(P937,Q937,R937),0),0)</ns0:f>
        <ns0:v>0</ns0:v>
      </ns0:c>
      <ns0:c r="T937" s="0">
        <ns0:f>IFERROR(IF(ISNUMBER(Bookings!D937),IF(AND(Bookings!D937=INT(Bookings!D937),Bookings!D937&gt;=DATE(2000,1,1),Bookings!D937&lt;=DATE(2100,12,31)),Bookings!D937,0),IF(AND(K937&lt;&gt;"",LEN("x"&amp;L937)-LEN(SUBSTITUTE("x"&amp;L937,".",""))=2,OR(1&gt;LEN(L937),MID(L937,1,1)=".",ISNUMBER(FIND("x"&amp;MID(L937,1,1),"x0x1x2x3x4x5x6x7x8x9"))),OR(2&gt;LEN(L937),MID(L937,2,1)=".",ISNUMBER(FIND("x"&amp;MID(L937,2,1),"x0x1x2x3x4x5x6x7x8x9"))),OR(3&gt;LEN(L937),MID(L937,3,1)=".",ISNUMBER(FIND("x"&amp;MID(L937,3,1),"x0x1x2x3x4x5x6x7x8x9"))),OR(4&gt;LEN(L937),MID(L937,4,1)=".",ISNUMBER(FIND("x"&amp;MID(L937,4,1),"x0x1x2x3x4x5x6x7x8x9"))),OR(5&gt;LEN(L937),MID(L937,5,1)=".",ISNUMBER(FIND("x"&amp;MID(L937,5,1),"x0x1x2x3x4x5x6x7x8x9"))),OR(6&gt;LEN(L937),MID(L937,6,1)=".",ISNUMBER(FIND("x"&amp;MID(L937,6,1),"x0x1x2x3x4x5x6x7x8x9"))),OR(7&gt;LEN(L937),MID(L937,7,1)=".",ISNUMBER(FIND("x"&amp;MID(L937,7,1),"x0x1x2x3x4x5x6x7x8x9"))),OR(8&gt;LEN(L937),MID(L937,8,1)=".",ISNUMBER(FIND("x"&amp;MID(L937,8,1),"x0x1x2x3x4x5x6x7x8x9"))),OR(9&gt;LEN(L937),MID(L937,9,1)=".",ISNUMBER(FIND("x"&amp;MID(L937,9,1),"x0x1x2x3x4x5x6x7x8x9"))),OR(10&gt;LEN(L937),MID(L937,10,1)=".",ISNUMBER(FIND("x"&amp;MID(L937,10,1),"x0x1x2x3x4x5x6x7x8x9"))),OR(AND(FIND(".",L937)=5,LEN(L937)-FIND(".",L937,FIND(".",L937)+1)&gt;=1,LEN(L937)-FIND(".",L937,FIND(".",L937)+1)&lt;=2),AND(LEN(L937)-FIND(".",L937,FIND(".",L937)+1)=4,FIND(".",L937)&gt;=2,FIND(".",L937)&lt;=3)),FIND(".",L937,FIND(".",L937)+1)-FIND(".",L937)&gt;=2,FIND(".",L937,FIND(".",L937)+1)-FIND(".",L937)&lt;=3,P937&gt;=2000,P937&lt;=2100,YEAR(S937)=P937,MONTH(S937)=Q937,DAY(S937)=R937),S937,0)),0)</ns0:f>
        <ns0:v>0</ns0:v>
      </ns0:c>
      <ns0:c r="U937" s="0" t="str">
        <ns0:f>IF(Bookings!C937="","Full day",Bookings!C937)</ns0:f>
        <ns0:v>Full day</ns0:v>
      </ns0:c>
      <ns0:c r="V937" s="0" t="str">
        <ns0:f>IF(Bookings!E937="","Full day",Bookings!E937)</ns0:f>
        <ns0:v>Full day</ns0:v>
      </ns0:c>
      <ns0:c r="W937" s="0">
        <ns0:f>IF(J937=0,0,J937+IF(U937="PM",1,0))</ns0:f>
        <ns0:v>0</ns0:v>
      </ns0:c>
      <ns0:c r="X937" s="0">
        <ns0:f>IF(T937=0,0,T937-IF(V937="PM",1,0))</ns0:f>
        <ns0:v>0</ns0:v>
      </ns0:c>
      <ns0:c r="Y937" s="0">
        <ns0:f>IF(J937=0,0,J937+IF(U937="AM",1,0))</ns0:f>
        <ns0:v>0</ns0:v>
      </ns0:c>
      <ns0:c r="Z937" s="0">
        <ns0:f>IF(T937=0,0,T937-IF(V937="AM",1,0))</ns0:f>
        <ns0:v>0</ns0:v>
      </ns0:c>
      <ns0:c r="AA937" s="0">
        <ns0:f>IFERROR(IF(AND(J937&gt;0,'_Engine'!C937&gt;0,MID('_Engine'!W937,WEEKDAY(J937,2),1)="W",COUNTIF(Settings!$F$18:$F$67,J937)=0),1,0),0)</ns0:f>
        <ns0:v>0</ns0:v>
      </ns0:c>
      <ns0:c r="AB937" s="0">
        <ns0:f>IFERROR(IF(AND(T937&gt;0,'_Engine'!C937&gt;0,MID('_Engine'!W937,WEEKDAY(T937,2),1)="W",COUNTIF(Settings!$F$18:$F$67,T937)=0),1,0),0)</ns0:f>
        <ns0:v>0</ns0:v>
      </ns0:c>
      <ns0:c r="AC937" s="0">
        <ns0:f>IF(AND(J937&gt;0,T937&gt;0,W937&lt;=X937),1,0)</ns0:f>
        <ns0:v>0</ns0:v>
      </ns0:c>
      <ns0:c r="AD937" s="0">
        <ns0:f>IF(AND(J937&gt;0,T937&gt;0,Y937&lt;=Z937),1,0)</ns0:f>
        <ns0:v>0</ns0:v>
      </ns0:c>
    </ns0:row>
    <ns0:row r="938">
      <ns0:c r="A938" s="0">
        <ns0:f>IFERROR(IF(ISNUMBER(Bookings!B938),"",TRIM(Bookings!B938&amp;"")),"")</ns0:f>
      </ns0:c>
      <ns0:c r="B938" s="0">
        <ns0:f>IFERROR(SUBSTITUTE(SUBSTITUTE(A938,"/","."),"-","."),"")</ns0:f>
      </ns0:c>
      <ns0:c r="C938" s="0">
        <ns0:f>IFERROR(LEFT(B938,FIND(".",B938)-1),"")</ns0:f>
      </ns0:c>
      <ns0:c r="D938" s="0">
        <ns0:f>IFERROR(MID(B938,FIND(".",B938)+1,FIND(".",B938,FIND(".",B938)+1)-FIND(".",B938)-1),"")</ns0:f>
      </ns0:c>
      <ns0:c r="E938" s="0">
        <ns0:f>IFERROR(MID(B938,FIND(".",B938,FIND(".",B938)+1)+1,99),"")</ns0:f>
        <ns0:v>99</ns0:v>
      </ns0:c>
      <ns0:c r="F938" s="0">
        <ns0:f>IFERROR(IF(FIND(".",B938)=5,--C938,--E938),0)</ns0:f>
        <ns0:v>0</ns0:v>
      </ns0:c>
      <ns0:c r="G938" s="0">
        <ns0:f>IFERROR(--D938,0)</ns0:f>
        <ns0:v>0</ns0:v>
      </ns0:c>
      <ns0:c r="H938" s="0">
        <ns0:f>IFERROR(IF(FIND(".",B938)=5,--E938,--C938),0)</ns0:f>
        <ns0:v>0</ns0:v>
      </ns0:c>
      <ns0:c r="I938" s="0">
        <ns0:f>IFERROR(IF(AND(F938&gt;=2000,F938&lt;=2100,G938&gt;=1,G938&lt;=12,H938&gt;=1,H938&lt;=31),DATE(F938,G938,H938),0),0)</ns0:f>
        <ns0:v>0</ns0:v>
      </ns0:c>
      <ns0:c r="J938" s="0">
        <ns0:f>IFERROR(IF(ISNUMBER(Bookings!B938),IF(AND(Bookings!B938=INT(Bookings!B938),Bookings!B938&gt;=DATE(2000,1,1),Bookings!B938&lt;=DATE(2100,12,31)),Bookings!B938,0),IF(AND(A938&lt;&gt;"",LEN("x"&amp;B938)-LEN(SUBSTITUTE("x"&amp;B938,".",""))=2,OR(1&gt;LEN(B938),MID(B938,1,1)=".",ISNUMBER(FIND("x"&amp;MID(B938,1,1),"x0x1x2x3x4x5x6x7x8x9"))),OR(2&gt;LEN(B938),MID(B938,2,1)=".",ISNUMBER(FIND("x"&amp;MID(B938,2,1),"x0x1x2x3x4x5x6x7x8x9"))),OR(3&gt;LEN(B938),MID(B938,3,1)=".",ISNUMBER(FIND("x"&amp;MID(B938,3,1),"x0x1x2x3x4x5x6x7x8x9"))),OR(4&gt;LEN(B938),MID(B938,4,1)=".",ISNUMBER(FIND("x"&amp;MID(B938,4,1),"x0x1x2x3x4x5x6x7x8x9"))),OR(5&gt;LEN(B938),MID(B938,5,1)=".",ISNUMBER(FIND("x"&amp;MID(B938,5,1),"x0x1x2x3x4x5x6x7x8x9"))),OR(6&gt;LEN(B938),MID(B938,6,1)=".",ISNUMBER(FIND("x"&amp;MID(B938,6,1),"x0x1x2x3x4x5x6x7x8x9"))),OR(7&gt;LEN(B938),MID(B938,7,1)=".",ISNUMBER(FIND("x"&amp;MID(B938,7,1),"x0x1x2x3x4x5x6x7x8x9"))),OR(8&gt;LEN(B938),MID(B938,8,1)=".",ISNUMBER(FIND("x"&amp;MID(B938,8,1),"x0x1x2x3x4x5x6x7x8x9"))),OR(9&gt;LEN(B938),MID(B938,9,1)=".",ISNUMBER(FIND("x"&amp;MID(B938,9,1),"x0x1x2x3x4x5x6x7x8x9"))),OR(10&gt;LEN(B938),MID(B938,10,1)=".",ISNUMBER(FIND("x"&amp;MID(B938,10,1),"x0x1x2x3x4x5x6x7x8x9"))),OR(AND(FIND(".",B938)=5,LEN(B938)-FIND(".",B938,FIND(".",B938)+1)&gt;=1,LEN(B938)-FIND(".",B938,FIND(".",B938)+1)&lt;=2),AND(LEN(B938)-FIND(".",B938,FIND(".",B938)+1)=4,FIND(".",B938)&gt;=2,FIND(".",B938)&lt;=3)),FIND(".",B938,FIND(".",B938)+1)-FIND(".",B938)&gt;=2,FIND(".",B938,FIND(".",B938)+1)-FIND(".",B938)&lt;=3,F938&gt;=2000,F938&lt;=2100,YEAR(I938)=F938,MONTH(I938)=G938,DAY(I938)=H938),I938,0)),0)</ns0:f>
        <ns0:v>0</ns0:v>
      </ns0:c>
      <ns0:c r="K938" s="0">
        <ns0:f>IFERROR(IF(ISNUMBER(Bookings!D938),"",TRIM(Bookings!D938&amp;"")),"")</ns0:f>
      </ns0:c>
      <ns0:c r="L938" s="0">
        <ns0:f>IFERROR(SUBSTITUTE(SUBSTITUTE(K938,"/","."),"-","."),"")</ns0:f>
      </ns0:c>
      <ns0:c r="M938" s="0">
        <ns0:f>IFERROR(LEFT(L938,FIND(".",L938)-1),"")</ns0:f>
      </ns0:c>
      <ns0:c r="N938" s="0">
        <ns0:f>IFERROR(MID(L938,FIND(".",L938)+1,FIND(".",L938,FIND(".",L938)+1)-FIND(".",L938)-1),"")</ns0:f>
      </ns0:c>
      <ns0:c r="O938" s="0">
        <ns0:f>IFERROR(MID(L938,FIND(".",L938,FIND(".",L938)+1)+1,99),"")</ns0:f>
        <ns0:v>99</ns0:v>
      </ns0:c>
      <ns0:c r="P938" s="0">
        <ns0:f>IFERROR(IF(FIND(".",L938)=5,--M938,--O938),0)</ns0:f>
        <ns0:v>0</ns0:v>
      </ns0:c>
      <ns0:c r="Q938" s="0">
        <ns0:f>IFERROR(--N938,0)</ns0:f>
        <ns0:v>0</ns0:v>
      </ns0:c>
      <ns0:c r="R938" s="0">
        <ns0:f>IFERROR(IF(FIND(".",L938)=5,--O938,--M938),0)</ns0:f>
        <ns0:v>0</ns0:v>
      </ns0:c>
      <ns0:c r="S938" s="0">
        <ns0:f>IFERROR(IF(AND(P938&gt;=2000,P938&lt;=2100,Q938&gt;=1,Q938&lt;=12,R938&gt;=1,R938&lt;=31),DATE(P938,Q938,R938),0),0)</ns0:f>
        <ns0:v>0</ns0:v>
      </ns0:c>
      <ns0:c r="T938" s="0">
        <ns0:f>IFERROR(IF(ISNUMBER(Bookings!D938),IF(AND(Bookings!D938=INT(Bookings!D938),Bookings!D938&gt;=DATE(2000,1,1),Bookings!D938&lt;=DATE(2100,12,31)),Bookings!D938,0),IF(AND(K938&lt;&gt;"",LEN("x"&amp;L938)-LEN(SUBSTITUTE("x"&amp;L938,".",""))=2,OR(1&gt;LEN(L938),MID(L938,1,1)=".",ISNUMBER(FIND("x"&amp;MID(L938,1,1),"x0x1x2x3x4x5x6x7x8x9"))),OR(2&gt;LEN(L938),MID(L938,2,1)=".",ISNUMBER(FIND("x"&amp;MID(L938,2,1),"x0x1x2x3x4x5x6x7x8x9"))),OR(3&gt;LEN(L938),MID(L938,3,1)=".",ISNUMBER(FIND("x"&amp;MID(L938,3,1),"x0x1x2x3x4x5x6x7x8x9"))),OR(4&gt;LEN(L938),MID(L938,4,1)=".",ISNUMBER(FIND("x"&amp;MID(L938,4,1),"x0x1x2x3x4x5x6x7x8x9"))),OR(5&gt;LEN(L938),MID(L938,5,1)=".",ISNUMBER(FIND("x"&amp;MID(L938,5,1),"x0x1x2x3x4x5x6x7x8x9"))),OR(6&gt;LEN(L938),MID(L938,6,1)=".",ISNUMBER(FIND("x"&amp;MID(L938,6,1),"x0x1x2x3x4x5x6x7x8x9"))),OR(7&gt;LEN(L938),MID(L938,7,1)=".",ISNUMBER(FIND("x"&amp;MID(L938,7,1),"x0x1x2x3x4x5x6x7x8x9"))),OR(8&gt;LEN(L938),MID(L938,8,1)=".",ISNUMBER(FIND("x"&amp;MID(L938,8,1),"x0x1x2x3x4x5x6x7x8x9"))),OR(9&gt;LEN(L938),MID(L938,9,1)=".",ISNUMBER(FIND("x"&amp;MID(L938,9,1),"x0x1x2x3x4x5x6x7x8x9"))),OR(10&gt;LEN(L938),MID(L938,10,1)=".",ISNUMBER(FIND("x"&amp;MID(L938,10,1),"x0x1x2x3x4x5x6x7x8x9"))),OR(AND(FIND(".",L938)=5,LEN(L938)-FIND(".",L938,FIND(".",L938)+1)&gt;=1,LEN(L938)-FIND(".",L938,FIND(".",L938)+1)&lt;=2),AND(LEN(L938)-FIND(".",L938,FIND(".",L938)+1)=4,FIND(".",L938)&gt;=2,FIND(".",L938)&lt;=3)),FIND(".",L938,FIND(".",L938)+1)-FIND(".",L938)&gt;=2,FIND(".",L938,FIND(".",L938)+1)-FIND(".",L938)&lt;=3,P938&gt;=2000,P938&lt;=2100,YEAR(S938)=P938,MONTH(S938)=Q938,DAY(S938)=R938),S938,0)),0)</ns0:f>
        <ns0:v>0</ns0:v>
      </ns0:c>
      <ns0:c r="U938" s="0" t="str">
        <ns0:f>IF(Bookings!C938="","Full day",Bookings!C938)</ns0:f>
        <ns0:v>Full day</ns0:v>
      </ns0:c>
      <ns0:c r="V938" s="0" t="str">
        <ns0:f>IF(Bookings!E938="","Full day",Bookings!E938)</ns0:f>
        <ns0:v>Full day</ns0:v>
      </ns0:c>
      <ns0:c r="W938" s="0">
        <ns0:f>IF(J938=0,0,J938+IF(U938="PM",1,0))</ns0:f>
        <ns0:v>0</ns0:v>
      </ns0:c>
      <ns0:c r="X938" s="0">
        <ns0:f>IF(T938=0,0,T938-IF(V938="PM",1,0))</ns0:f>
        <ns0:v>0</ns0:v>
      </ns0:c>
      <ns0:c r="Y938" s="0">
        <ns0:f>IF(J938=0,0,J938+IF(U938="AM",1,0))</ns0:f>
        <ns0:v>0</ns0:v>
      </ns0:c>
      <ns0:c r="Z938" s="0">
        <ns0:f>IF(T938=0,0,T938-IF(V938="AM",1,0))</ns0:f>
        <ns0:v>0</ns0:v>
      </ns0:c>
      <ns0:c r="AA938" s="0">
        <ns0:f>IFERROR(IF(AND(J938&gt;0,'_Engine'!C938&gt;0,MID('_Engine'!W938,WEEKDAY(J938,2),1)="W",COUNTIF(Settings!$F$18:$F$67,J938)=0),1,0),0)</ns0:f>
        <ns0:v>0</ns0:v>
      </ns0:c>
      <ns0:c r="AB938" s="0">
        <ns0:f>IFERROR(IF(AND(T938&gt;0,'_Engine'!C938&gt;0,MID('_Engine'!W938,WEEKDAY(T938,2),1)="W",COUNTIF(Settings!$F$18:$F$67,T938)=0),1,0),0)</ns0:f>
        <ns0:v>0</ns0:v>
      </ns0:c>
      <ns0:c r="AC938" s="0">
        <ns0:f>IF(AND(J938&gt;0,T938&gt;0,W938&lt;=X938),1,0)</ns0:f>
        <ns0:v>0</ns0:v>
      </ns0:c>
      <ns0:c r="AD938" s="0">
        <ns0:f>IF(AND(J938&gt;0,T938&gt;0,Y938&lt;=Z938),1,0)</ns0:f>
        <ns0:v>0</ns0:v>
      </ns0:c>
    </ns0:row>
    <ns0:row r="939">
      <ns0:c r="A939" s="0">
        <ns0:f>IFERROR(IF(ISNUMBER(Bookings!B939),"",TRIM(Bookings!B939&amp;"")),"")</ns0:f>
      </ns0:c>
      <ns0:c r="B939" s="0">
        <ns0:f>IFERROR(SUBSTITUTE(SUBSTITUTE(A939,"/","."),"-","."),"")</ns0:f>
      </ns0:c>
      <ns0:c r="C939" s="0">
        <ns0:f>IFERROR(LEFT(B939,FIND(".",B939)-1),"")</ns0:f>
      </ns0:c>
      <ns0:c r="D939" s="0">
        <ns0:f>IFERROR(MID(B939,FIND(".",B939)+1,FIND(".",B939,FIND(".",B939)+1)-FIND(".",B939)-1),"")</ns0:f>
      </ns0:c>
      <ns0:c r="E939" s="0">
        <ns0:f>IFERROR(MID(B939,FIND(".",B939,FIND(".",B939)+1)+1,99),"")</ns0:f>
        <ns0:v>99</ns0:v>
      </ns0:c>
      <ns0:c r="F939" s="0">
        <ns0:f>IFERROR(IF(FIND(".",B939)=5,--C939,--E939),0)</ns0:f>
        <ns0:v>0</ns0:v>
      </ns0:c>
      <ns0:c r="G939" s="0">
        <ns0:f>IFERROR(--D939,0)</ns0:f>
        <ns0:v>0</ns0:v>
      </ns0:c>
      <ns0:c r="H939" s="0">
        <ns0:f>IFERROR(IF(FIND(".",B939)=5,--E939,--C939),0)</ns0:f>
        <ns0:v>0</ns0:v>
      </ns0:c>
      <ns0:c r="I939" s="0">
        <ns0:f>IFERROR(IF(AND(F939&gt;=2000,F939&lt;=2100,G939&gt;=1,G939&lt;=12,H939&gt;=1,H939&lt;=31),DATE(F939,G939,H939),0),0)</ns0:f>
        <ns0:v>0</ns0:v>
      </ns0:c>
      <ns0:c r="J939" s="0">
        <ns0:f>IFERROR(IF(ISNUMBER(Bookings!B939),IF(AND(Bookings!B939=INT(Bookings!B939),Bookings!B939&gt;=DATE(2000,1,1),Bookings!B939&lt;=DATE(2100,12,31)),Bookings!B939,0),IF(AND(A939&lt;&gt;"",LEN("x"&amp;B939)-LEN(SUBSTITUTE("x"&amp;B939,".",""))=2,OR(1&gt;LEN(B939),MID(B939,1,1)=".",ISNUMBER(FIND("x"&amp;MID(B939,1,1),"x0x1x2x3x4x5x6x7x8x9"))),OR(2&gt;LEN(B939),MID(B939,2,1)=".",ISNUMBER(FIND("x"&amp;MID(B939,2,1),"x0x1x2x3x4x5x6x7x8x9"))),OR(3&gt;LEN(B939),MID(B939,3,1)=".",ISNUMBER(FIND("x"&amp;MID(B939,3,1),"x0x1x2x3x4x5x6x7x8x9"))),OR(4&gt;LEN(B939),MID(B939,4,1)=".",ISNUMBER(FIND("x"&amp;MID(B939,4,1),"x0x1x2x3x4x5x6x7x8x9"))),OR(5&gt;LEN(B939),MID(B939,5,1)=".",ISNUMBER(FIND("x"&amp;MID(B939,5,1),"x0x1x2x3x4x5x6x7x8x9"))),OR(6&gt;LEN(B939),MID(B939,6,1)=".",ISNUMBER(FIND("x"&amp;MID(B939,6,1),"x0x1x2x3x4x5x6x7x8x9"))),OR(7&gt;LEN(B939),MID(B939,7,1)=".",ISNUMBER(FIND("x"&amp;MID(B939,7,1),"x0x1x2x3x4x5x6x7x8x9"))),OR(8&gt;LEN(B939),MID(B939,8,1)=".",ISNUMBER(FIND("x"&amp;MID(B939,8,1),"x0x1x2x3x4x5x6x7x8x9"))),OR(9&gt;LEN(B939),MID(B939,9,1)=".",ISNUMBER(FIND("x"&amp;MID(B939,9,1),"x0x1x2x3x4x5x6x7x8x9"))),OR(10&gt;LEN(B939),MID(B939,10,1)=".",ISNUMBER(FIND("x"&amp;MID(B939,10,1),"x0x1x2x3x4x5x6x7x8x9"))),OR(AND(FIND(".",B939)=5,LEN(B939)-FIND(".",B939,FIND(".",B939)+1)&gt;=1,LEN(B939)-FIND(".",B939,FIND(".",B939)+1)&lt;=2),AND(LEN(B939)-FIND(".",B939,FIND(".",B939)+1)=4,FIND(".",B939)&gt;=2,FIND(".",B939)&lt;=3)),FIND(".",B939,FIND(".",B939)+1)-FIND(".",B939)&gt;=2,FIND(".",B939,FIND(".",B939)+1)-FIND(".",B939)&lt;=3,F939&gt;=2000,F939&lt;=2100,YEAR(I939)=F939,MONTH(I939)=G939,DAY(I939)=H939),I939,0)),0)</ns0:f>
        <ns0:v>0</ns0:v>
      </ns0:c>
      <ns0:c r="K939" s="0">
        <ns0:f>IFERROR(IF(ISNUMBER(Bookings!D939),"",TRIM(Bookings!D939&amp;"")),"")</ns0:f>
      </ns0:c>
      <ns0:c r="L939" s="0">
        <ns0:f>IFERROR(SUBSTITUTE(SUBSTITUTE(K939,"/","."),"-","."),"")</ns0:f>
      </ns0:c>
      <ns0:c r="M939" s="0">
        <ns0:f>IFERROR(LEFT(L939,FIND(".",L939)-1),"")</ns0:f>
      </ns0:c>
      <ns0:c r="N939" s="0">
        <ns0:f>IFERROR(MID(L939,FIND(".",L939)+1,FIND(".",L939,FIND(".",L939)+1)-FIND(".",L939)-1),"")</ns0:f>
      </ns0:c>
      <ns0:c r="O939" s="0">
        <ns0:f>IFERROR(MID(L939,FIND(".",L939,FIND(".",L939)+1)+1,99),"")</ns0:f>
        <ns0:v>99</ns0:v>
      </ns0:c>
      <ns0:c r="P939" s="0">
        <ns0:f>IFERROR(IF(FIND(".",L939)=5,--M939,--O939),0)</ns0:f>
        <ns0:v>0</ns0:v>
      </ns0:c>
      <ns0:c r="Q939" s="0">
        <ns0:f>IFERROR(--N939,0)</ns0:f>
        <ns0:v>0</ns0:v>
      </ns0:c>
      <ns0:c r="R939" s="0">
        <ns0:f>IFERROR(IF(FIND(".",L939)=5,--O939,--M939),0)</ns0:f>
        <ns0:v>0</ns0:v>
      </ns0:c>
      <ns0:c r="S939" s="0">
        <ns0:f>IFERROR(IF(AND(P939&gt;=2000,P939&lt;=2100,Q939&gt;=1,Q939&lt;=12,R939&gt;=1,R939&lt;=31),DATE(P939,Q939,R939),0),0)</ns0:f>
        <ns0:v>0</ns0:v>
      </ns0:c>
      <ns0:c r="T939" s="0">
        <ns0:f>IFERROR(IF(ISNUMBER(Bookings!D939),IF(AND(Bookings!D939=INT(Bookings!D939),Bookings!D939&gt;=DATE(2000,1,1),Bookings!D939&lt;=DATE(2100,12,31)),Bookings!D939,0),IF(AND(K939&lt;&gt;"",LEN("x"&amp;L939)-LEN(SUBSTITUTE("x"&amp;L939,".",""))=2,OR(1&gt;LEN(L939),MID(L939,1,1)=".",ISNUMBER(FIND("x"&amp;MID(L939,1,1),"x0x1x2x3x4x5x6x7x8x9"))),OR(2&gt;LEN(L939),MID(L939,2,1)=".",ISNUMBER(FIND("x"&amp;MID(L939,2,1),"x0x1x2x3x4x5x6x7x8x9"))),OR(3&gt;LEN(L939),MID(L939,3,1)=".",ISNUMBER(FIND("x"&amp;MID(L939,3,1),"x0x1x2x3x4x5x6x7x8x9"))),OR(4&gt;LEN(L939),MID(L939,4,1)=".",ISNUMBER(FIND("x"&amp;MID(L939,4,1),"x0x1x2x3x4x5x6x7x8x9"))),OR(5&gt;LEN(L939),MID(L939,5,1)=".",ISNUMBER(FIND("x"&amp;MID(L939,5,1),"x0x1x2x3x4x5x6x7x8x9"))),OR(6&gt;LEN(L939),MID(L939,6,1)=".",ISNUMBER(FIND("x"&amp;MID(L939,6,1),"x0x1x2x3x4x5x6x7x8x9"))),OR(7&gt;LEN(L939),MID(L939,7,1)=".",ISNUMBER(FIND("x"&amp;MID(L939,7,1),"x0x1x2x3x4x5x6x7x8x9"))),OR(8&gt;LEN(L939),MID(L939,8,1)=".",ISNUMBER(FIND("x"&amp;MID(L939,8,1),"x0x1x2x3x4x5x6x7x8x9"))),OR(9&gt;LEN(L939),MID(L939,9,1)=".",ISNUMBER(FIND("x"&amp;MID(L939,9,1),"x0x1x2x3x4x5x6x7x8x9"))),OR(10&gt;LEN(L939),MID(L939,10,1)=".",ISNUMBER(FIND("x"&amp;MID(L939,10,1),"x0x1x2x3x4x5x6x7x8x9"))),OR(AND(FIND(".",L939)=5,LEN(L939)-FIND(".",L939,FIND(".",L939)+1)&gt;=1,LEN(L939)-FIND(".",L939,FIND(".",L939)+1)&lt;=2),AND(LEN(L939)-FIND(".",L939,FIND(".",L939)+1)=4,FIND(".",L939)&gt;=2,FIND(".",L939)&lt;=3)),FIND(".",L939,FIND(".",L939)+1)-FIND(".",L939)&gt;=2,FIND(".",L939,FIND(".",L939)+1)-FIND(".",L939)&lt;=3,P939&gt;=2000,P939&lt;=2100,YEAR(S939)=P939,MONTH(S939)=Q939,DAY(S939)=R939),S939,0)),0)</ns0:f>
        <ns0:v>0</ns0:v>
      </ns0:c>
      <ns0:c r="U939" s="0" t="str">
        <ns0:f>IF(Bookings!C939="","Full day",Bookings!C939)</ns0:f>
        <ns0:v>Full day</ns0:v>
      </ns0:c>
      <ns0:c r="V939" s="0" t="str">
        <ns0:f>IF(Bookings!E939="","Full day",Bookings!E939)</ns0:f>
        <ns0:v>Full day</ns0:v>
      </ns0:c>
      <ns0:c r="W939" s="0">
        <ns0:f>IF(J939=0,0,J939+IF(U939="PM",1,0))</ns0:f>
        <ns0:v>0</ns0:v>
      </ns0:c>
      <ns0:c r="X939" s="0">
        <ns0:f>IF(T939=0,0,T939-IF(V939="PM",1,0))</ns0:f>
        <ns0:v>0</ns0:v>
      </ns0:c>
      <ns0:c r="Y939" s="0">
        <ns0:f>IF(J939=0,0,J939+IF(U939="AM",1,0))</ns0:f>
        <ns0:v>0</ns0:v>
      </ns0:c>
      <ns0:c r="Z939" s="0">
        <ns0:f>IF(T939=0,0,T939-IF(V939="AM",1,0))</ns0:f>
        <ns0:v>0</ns0:v>
      </ns0:c>
      <ns0:c r="AA939" s="0">
        <ns0:f>IFERROR(IF(AND(J939&gt;0,'_Engine'!C939&gt;0,MID('_Engine'!W939,WEEKDAY(J939,2),1)="W",COUNTIF(Settings!$F$18:$F$67,J939)=0),1,0),0)</ns0:f>
        <ns0:v>0</ns0:v>
      </ns0:c>
      <ns0:c r="AB939" s="0">
        <ns0:f>IFERROR(IF(AND(T939&gt;0,'_Engine'!C939&gt;0,MID('_Engine'!W939,WEEKDAY(T939,2),1)="W",COUNTIF(Settings!$F$18:$F$67,T939)=0),1,0),0)</ns0:f>
        <ns0:v>0</ns0:v>
      </ns0:c>
      <ns0:c r="AC939" s="0">
        <ns0:f>IF(AND(J939&gt;0,T939&gt;0,W939&lt;=X939),1,0)</ns0:f>
        <ns0:v>0</ns0:v>
      </ns0:c>
      <ns0:c r="AD939" s="0">
        <ns0:f>IF(AND(J939&gt;0,T939&gt;0,Y939&lt;=Z939),1,0)</ns0:f>
        <ns0:v>0</ns0:v>
      </ns0:c>
    </ns0:row>
    <ns0:row r="940">
      <ns0:c r="A940" s="0">
        <ns0:f>IFERROR(IF(ISNUMBER(Bookings!B940),"",TRIM(Bookings!B940&amp;"")),"")</ns0:f>
      </ns0:c>
      <ns0:c r="B940" s="0">
        <ns0:f>IFERROR(SUBSTITUTE(SUBSTITUTE(A940,"/","."),"-","."),"")</ns0:f>
      </ns0:c>
      <ns0:c r="C940" s="0">
        <ns0:f>IFERROR(LEFT(B940,FIND(".",B940)-1),"")</ns0:f>
      </ns0:c>
      <ns0:c r="D940" s="0">
        <ns0:f>IFERROR(MID(B940,FIND(".",B940)+1,FIND(".",B940,FIND(".",B940)+1)-FIND(".",B940)-1),"")</ns0:f>
      </ns0:c>
      <ns0:c r="E940" s="0">
        <ns0:f>IFERROR(MID(B940,FIND(".",B940,FIND(".",B940)+1)+1,99),"")</ns0:f>
        <ns0:v>99</ns0:v>
      </ns0:c>
      <ns0:c r="F940" s="0">
        <ns0:f>IFERROR(IF(FIND(".",B940)=5,--C940,--E940),0)</ns0:f>
        <ns0:v>0</ns0:v>
      </ns0:c>
      <ns0:c r="G940" s="0">
        <ns0:f>IFERROR(--D940,0)</ns0:f>
        <ns0:v>0</ns0:v>
      </ns0:c>
      <ns0:c r="H940" s="0">
        <ns0:f>IFERROR(IF(FIND(".",B940)=5,--E940,--C940),0)</ns0:f>
        <ns0:v>0</ns0:v>
      </ns0:c>
      <ns0:c r="I940" s="0">
        <ns0:f>IFERROR(IF(AND(F940&gt;=2000,F940&lt;=2100,G940&gt;=1,G940&lt;=12,H940&gt;=1,H940&lt;=31),DATE(F940,G940,H940),0),0)</ns0:f>
        <ns0:v>0</ns0:v>
      </ns0:c>
      <ns0:c r="J940" s="0">
        <ns0:f>IFERROR(IF(ISNUMBER(Bookings!B940),IF(AND(Bookings!B940=INT(Bookings!B940),Bookings!B940&gt;=DATE(2000,1,1),Bookings!B940&lt;=DATE(2100,12,31)),Bookings!B940,0),IF(AND(A940&lt;&gt;"",LEN("x"&amp;B940)-LEN(SUBSTITUTE("x"&amp;B940,".",""))=2,OR(1&gt;LEN(B940),MID(B940,1,1)=".",ISNUMBER(FIND("x"&amp;MID(B940,1,1),"x0x1x2x3x4x5x6x7x8x9"))),OR(2&gt;LEN(B940),MID(B940,2,1)=".",ISNUMBER(FIND("x"&amp;MID(B940,2,1),"x0x1x2x3x4x5x6x7x8x9"))),OR(3&gt;LEN(B940),MID(B940,3,1)=".",ISNUMBER(FIND("x"&amp;MID(B940,3,1),"x0x1x2x3x4x5x6x7x8x9"))),OR(4&gt;LEN(B940),MID(B940,4,1)=".",ISNUMBER(FIND("x"&amp;MID(B940,4,1),"x0x1x2x3x4x5x6x7x8x9"))),OR(5&gt;LEN(B940),MID(B940,5,1)=".",ISNUMBER(FIND("x"&amp;MID(B940,5,1),"x0x1x2x3x4x5x6x7x8x9"))),OR(6&gt;LEN(B940),MID(B940,6,1)=".",ISNUMBER(FIND("x"&amp;MID(B940,6,1),"x0x1x2x3x4x5x6x7x8x9"))),OR(7&gt;LEN(B940),MID(B940,7,1)=".",ISNUMBER(FIND("x"&amp;MID(B940,7,1),"x0x1x2x3x4x5x6x7x8x9"))),OR(8&gt;LEN(B940),MID(B940,8,1)=".",ISNUMBER(FIND("x"&amp;MID(B940,8,1),"x0x1x2x3x4x5x6x7x8x9"))),OR(9&gt;LEN(B940),MID(B940,9,1)=".",ISNUMBER(FIND("x"&amp;MID(B940,9,1),"x0x1x2x3x4x5x6x7x8x9"))),OR(10&gt;LEN(B940),MID(B940,10,1)=".",ISNUMBER(FIND("x"&amp;MID(B940,10,1),"x0x1x2x3x4x5x6x7x8x9"))),OR(AND(FIND(".",B940)=5,LEN(B940)-FIND(".",B940,FIND(".",B940)+1)&gt;=1,LEN(B940)-FIND(".",B940,FIND(".",B940)+1)&lt;=2),AND(LEN(B940)-FIND(".",B940,FIND(".",B940)+1)=4,FIND(".",B940)&gt;=2,FIND(".",B940)&lt;=3)),FIND(".",B940,FIND(".",B940)+1)-FIND(".",B940)&gt;=2,FIND(".",B940,FIND(".",B940)+1)-FIND(".",B940)&lt;=3,F940&gt;=2000,F940&lt;=2100,YEAR(I940)=F940,MONTH(I940)=G940,DAY(I940)=H940),I940,0)),0)</ns0:f>
        <ns0:v>0</ns0:v>
      </ns0:c>
      <ns0:c r="K940" s="0">
        <ns0:f>IFERROR(IF(ISNUMBER(Bookings!D940),"",TRIM(Bookings!D940&amp;"")),"")</ns0:f>
      </ns0:c>
      <ns0:c r="L940" s="0">
        <ns0:f>IFERROR(SUBSTITUTE(SUBSTITUTE(K940,"/","."),"-","."),"")</ns0:f>
      </ns0:c>
      <ns0:c r="M940" s="0">
        <ns0:f>IFERROR(LEFT(L940,FIND(".",L940)-1),"")</ns0:f>
      </ns0:c>
      <ns0:c r="N940" s="0">
        <ns0:f>IFERROR(MID(L940,FIND(".",L940)+1,FIND(".",L940,FIND(".",L940)+1)-FIND(".",L940)-1),"")</ns0:f>
      </ns0:c>
      <ns0:c r="O940" s="0">
        <ns0:f>IFERROR(MID(L940,FIND(".",L940,FIND(".",L940)+1)+1,99),"")</ns0:f>
        <ns0:v>99</ns0:v>
      </ns0:c>
      <ns0:c r="P940" s="0">
        <ns0:f>IFERROR(IF(FIND(".",L940)=5,--M940,--O940),0)</ns0:f>
        <ns0:v>0</ns0:v>
      </ns0:c>
      <ns0:c r="Q940" s="0">
        <ns0:f>IFERROR(--N940,0)</ns0:f>
        <ns0:v>0</ns0:v>
      </ns0:c>
      <ns0:c r="R940" s="0">
        <ns0:f>IFERROR(IF(FIND(".",L940)=5,--O940,--M940),0)</ns0:f>
        <ns0:v>0</ns0:v>
      </ns0:c>
      <ns0:c r="S940" s="0">
        <ns0:f>IFERROR(IF(AND(P940&gt;=2000,P940&lt;=2100,Q940&gt;=1,Q940&lt;=12,R940&gt;=1,R940&lt;=31),DATE(P940,Q940,R940),0),0)</ns0:f>
        <ns0:v>0</ns0:v>
      </ns0:c>
      <ns0:c r="T940" s="0">
        <ns0:f>IFERROR(IF(ISNUMBER(Bookings!D940),IF(AND(Bookings!D940=INT(Bookings!D940),Bookings!D940&gt;=DATE(2000,1,1),Bookings!D940&lt;=DATE(2100,12,31)),Bookings!D940,0),IF(AND(K940&lt;&gt;"",LEN("x"&amp;L940)-LEN(SUBSTITUTE("x"&amp;L940,".",""))=2,OR(1&gt;LEN(L940),MID(L940,1,1)=".",ISNUMBER(FIND("x"&amp;MID(L940,1,1),"x0x1x2x3x4x5x6x7x8x9"))),OR(2&gt;LEN(L940),MID(L940,2,1)=".",ISNUMBER(FIND("x"&amp;MID(L940,2,1),"x0x1x2x3x4x5x6x7x8x9"))),OR(3&gt;LEN(L940),MID(L940,3,1)=".",ISNUMBER(FIND("x"&amp;MID(L940,3,1),"x0x1x2x3x4x5x6x7x8x9"))),OR(4&gt;LEN(L940),MID(L940,4,1)=".",ISNUMBER(FIND("x"&amp;MID(L940,4,1),"x0x1x2x3x4x5x6x7x8x9"))),OR(5&gt;LEN(L940),MID(L940,5,1)=".",ISNUMBER(FIND("x"&amp;MID(L940,5,1),"x0x1x2x3x4x5x6x7x8x9"))),OR(6&gt;LEN(L940),MID(L940,6,1)=".",ISNUMBER(FIND("x"&amp;MID(L940,6,1),"x0x1x2x3x4x5x6x7x8x9"))),OR(7&gt;LEN(L940),MID(L940,7,1)=".",ISNUMBER(FIND("x"&amp;MID(L940,7,1),"x0x1x2x3x4x5x6x7x8x9"))),OR(8&gt;LEN(L940),MID(L940,8,1)=".",ISNUMBER(FIND("x"&amp;MID(L940,8,1),"x0x1x2x3x4x5x6x7x8x9"))),OR(9&gt;LEN(L940),MID(L940,9,1)=".",ISNUMBER(FIND("x"&amp;MID(L940,9,1),"x0x1x2x3x4x5x6x7x8x9"))),OR(10&gt;LEN(L940),MID(L940,10,1)=".",ISNUMBER(FIND("x"&amp;MID(L940,10,1),"x0x1x2x3x4x5x6x7x8x9"))),OR(AND(FIND(".",L940)=5,LEN(L940)-FIND(".",L940,FIND(".",L940)+1)&gt;=1,LEN(L940)-FIND(".",L940,FIND(".",L940)+1)&lt;=2),AND(LEN(L940)-FIND(".",L940,FIND(".",L940)+1)=4,FIND(".",L940)&gt;=2,FIND(".",L940)&lt;=3)),FIND(".",L940,FIND(".",L940)+1)-FIND(".",L940)&gt;=2,FIND(".",L940,FIND(".",L940)+1)-FIND(".",L940)&lt;=3,P940&gt;=2000,P940&lt;=2100,YEAR(S940)=P940,MONTH(S940)=Q940,DAY(S940)=R940),S940,0)),0)</ns0:f>
        <ns0:v>0</ns0:v>
      </ns0:c>
      <ns0:c r="U940" s="0" t="str">
        <ns0:f>IF(Bookings!C940="","Full day",Bookings!C940)</ns0:f>
        <ns0:v>Full day</ns0:v>
      </ns0:c>
      <ns0:c r="V940" s="0" t="str">
        <ns0:f>IF(Bookings!E940="","Full day",Bookings!E940)</ns0:f>
        <ns0:v>Full day</ns0:v>
      </ns0:c>
      <ns0:c r="W940" s="0">
        <ns0:f>IF(J940=0,0,J940+IF(U940="PM",1,0))</ns0:f>
        <ns0:v>0</ns0:v>
      </ns0:c>
      <ns0:c r="X940" s="0">
        <ns0:f>IF(T940=0,0,T940-IF(V940="PM",1,0))</ns0:f>
        <ns0:v>0</ns0:v>
      </ns0:c>
      <ns0:c r="Y940" s="0">
        <ns0:f>IF(J940=0,0,J940+IF(U940="AM",1,0))</ns0:f>
        <ns0:v>0</ns0:v>
      </ns0:c>
      <ns0:c r="Z940" s="0">
        <ns0:f>IF(T940=0,0,T940-IF(V940="AM",1,0))</ns0:f>
        <ns0:v>0</ns0:v>
      </ns0:c>
      <ns0:c r="AA940" s="0">
        <ns0:f>IFERROR(IF(AND(J940&gt;0,'_Engine'!C940&gt;0,MID('_Engine'!W940,WEEKDAY(J940,2),1)="W",COUNTIF(Settings!$F$18:$F$67,J940)=0),1,0),0)</ns0:f>
        <ns0:v>0</ns0:v>
      </ns0:c>
      <ns0:c r="AB940" s="0">
        <ns0:f>IFERROR(IF(AND(T940&gt;0,'_Engine'!C940&gt;0,MID('_Engine'!W940,WEEKDAY(T940,2),1)="W",COUNTIF(Settings!$F$18:$F$67,T940)=0),1,0),0)</ns0:f>
        <ns0:v>0</ns0:v>
      </ns0:c>
      <ns0:c r="AC940" s="0">
        <ns0:f>IF(AND(J940&gt;0,T940&gt;0,W940&lt;=X940),1,0)</ns0:f>
        <ns0:v>0</ns0:v>
      </ns0:c>
      <ns0:c r="AD940" s="0">
        <ns0:f>IF(AND(J940&gt;0,T940&gt;0,Y940&lt;=Z940),1,0)</ns0:f>
        <ns0:v>0</ns0:v>
      </ns0:c>
    </ns0:row>
    <ns0:row r="941">
      <ns0:c r="A941" s="0">
        <ns0:f>IFERROR(IF(ISNUMBER(Bookings!B941),"",TRIM(Bookings!B941&amp;"")),"")</ns0:f>
      </ns0:c>
      <ns0:c r="B941" s="0">
        <ns0:f>IFERROR(SUBSTITUTE(SUBSTITUTE(A941,"/","."),"-","."),"")</ns0:f>
      </ns0:c>
      <ns0:c r="C941" s="0">
        <ns0:f>IFERROR(LEFT(B941,FIND(".",B941)-1),"")</ns0:f>
      </ns0:c>
      <ns0:c r="D941" s="0">
        <ns0:f>IFERROR(MID(B941,FIND(".",B941)+1,FIND(".",B941,FIND(".",B941)+1)-FIND(".",B941)-1),"")</ns0:f>
      </ns0:c>
      <ns0:c r="E941" s="0">
        <ns0:f>IFERROR(MID(B941,FIND(".",B941,FIND(".",B941)+1)+1,99),"")</ns0:f>
        <ns0:v>99</ns0:v>
      </ns0:c>
      <ns0:c r="F941" s="0">
        <ns0:f>IFERROR(IF(FIND(".",B941)=5,--C941,--E941),0)</ns0:f>
        <ns0:v>0</ns0:v>
      </ns0:c>
      <ns0:c r="G941" s="0">
        <ns0:f>IFERROR(--D941,0)</ns0:f>
        <ns0:v>0</ns0:v>
      </ns0:c>
      <ns0:c r="H941" s="0">
        <ns0:f>IFERROR(IF(FIND(".",B941)=5,--E941,--C941),0)</ns0:f>
        <ns0:v>0</ns0:v>
      </ns0:c>
      <ns0:c r="I941" s="0">
        <ns0:f>IFERROR(IF(AND(F941&gt;=2000,F941&lt;=2100,G941&gt;=1,G941&lt;=12,H941&gt;=1,H941&lt;=31),DATE(F941,G941,H941),0),0)</ns0:f>
        <ns0:v>0</ns0:v>
      </ns0:c>
      <ns0:c r="J941" s="0">
        <ns0:f>IFERROR(IF(ISNUMBER(Bookings!B941),IF(AND(Bookings!B941=INT(Bookings!B941),Bookings!B941&gt;=DATE(2000,1,1),Bookings!B941&lt;=DATE(2100,12,31)),Bookings!B941,0),IF(AND(A941&lt;&gt;"",LEN("x"&amp;B941)-LEN(SUBSTITUTE("x"&amp;B941,".",""))=2,OR(1&gt;LEN(B941),MID(B941,1,1)=".",ISNUMBER(FIND("x"&amp;MID(B941,1,1),"x0x1x2x3x4x5x6x7x8x9"))),OR(2&gt;LEN(B941),MID(B941,2,1)=".",ISNUMBER(FIND("x"&amp;MID(B941,2,1),"x0x1x2x3x4x5x6x7x8x9"))),OR(3&gt;LEN(B941),MID(B941,3,1)=".",ISNUMBER(FIND("x"&amp;MID(B941,3,1),"x0x1x2x3x4x5x6x7x8x9"))),OR(4&gt;LEN(B941),MID(B941,4,1)=".",ISNUMBER(FIND("x"&amp;MID(B941,4,1),"x0x1x2x3x4x5x6x7x8x9"))),OR(5&gt;LEN(B941),MID(B941,5,1)=".",ISNUMBER(FIND("x"&amp;MID(B941,5,1),"x0x1x2x3x4x5x6x7x8x9"))),OR(6&gt;LEN(B941),MID(B941,6,1)=".",ISNUMBER(FIND("x"&amp;MID(B941,6,1),"x0x1x2x3x4x5x6x7x8x9"))),OR(7&gt;LEN(B941),MID(B941,7,1)=".",ISNUMBER(FIND("x"&amp;MID(B941,7,1),"x0x1x2x3x4x5x6x7x8x9"))),OR(8&gt;LEN(B941),MID(B941,8,1)=".",ISNUMBER(FIND("x"&amp;MID(B941,8,1),"x0x1x2x3x4x5x6x7x8x9"))),OR(9&gt;LEN(B941),MID(B941,9,1)=".",ISNUMBER(FIND("x"&amp;MID(B941,9,1),"x0x1x2x3x4x5x6x7x8x9"))),OR(10&gt;LEN(B941),MID(B941,10,1)=".",ISNUMBER(FIND("x"&amp;MID(B941,10,1),"x0x1x2x3x4x5x6x7x8x9"))),OR(AND(FIND(".",B941)=5,LEN(B941)-FIND(".",B941,FIND(".",B941)+1)&gt;=1,LEN(B941)-FIND(".",B941,FIND(".",B941)+1)&lt;=2),AND(LEN(B941)-FIND(".",B941,FIND(".",B941)+1)=4,FIND(".",B941)&gt;=2,FIND(".",B941)&lt;=3)),FIND(".",B941,FIND(".",B941)+1)-FIND(".",B941)&gt;=2,FIND(".",B941,FIND(".",B941)+1)-FIND(".",B941)&lt;=3,F941&gt;=2000,F941&lt;=2100,YEAR(I941)=F941,MONTH(I941)=G941,DAY(I941)=H941),I941,0)),0)</ns0:f>
        <ns0:v>0</ns0:v>
      </ns0:c>
      <ns0:c r="K941" s="0">
        <ns0:f>IFERROR(IF(ISNUMBER(Bookings!D941),"",TRIM(Bookings!D941&amp;"")),"")</ns0:f>
      </ns0:c>
      <ns0:c r="L941" s="0">
        <ns0:f>IFERROR(SUBSTITUTE(SUBSTITUTE(K941,"/","."),"-","."),"")</ns0:f>
      </ns0:c>
      <ns0:c r="M941" s="0">
        <ns0:f>IFERROR(LEFT(L941,FIND(".",L941)-1),"")</ns0:f>
      </ns0:c>
      <ns0:c r="N941" s="0">
        <ns0:f>IFERROR(MID(L941,FIND(".",L941)+1,FIND(".",L941,FIND(".",L941)+1)-FIND(".",L941)-1),"")</ns0:f>
      </ns0:c>
      <ns0:c r="O941" s="0">
        <ns0:f>IFERROR(MID(L941,FIND(".",L941,FIND(".",L941)+1)+1,99),"")</ns0:f>
        <ns0:v>99</ns0:v>
      </ns0:c>
      <ns0:c r="P941" s="0">
        <ns0:f>IFERROR(IF(FIND(".",L941)=5,--M941,--O941),0)</ns0:f>
        <ns0:v>0</ns0:v>
      </ns0:c>
      <ns0:c r="Q941" s="0">
        <ns0:f>IFERROR(--N941,0)</ns0:f>
        <ns0:v>0</ns0:v>
      </ns0:c>
      <ns0:c r="R941" s="0">
        <ns0:f>IFERROR(IF(FIND(".",L941)=5,--O941,--M941),0)</ns0:f>
        <ns0:v>0</ns0:v>
      </ns0:c>
      <ns0:c r="S941" s="0">
        <ns0:f>IFERROR(IF(AND(P941&gt;=2000,P941&lt;=2100,Q941&gt;=1,Q941&lt;=12,R941&gt;=1,R941&lt;=31),DATE(P941,Q941,R941),0),0)</ns0:f>
        <ns0:v>0</ns0:v>
      </ns0:c>
      <ns0:c r="T941" s="0">
        <ns0:f>IFERROR(IF(ISNUMBER(Bookings!D941),IF(AND(Bookings!D941=INT(Bookings!D941),Bookings!D941&gt;=DATE(2000,1,1),Bookings!D941&lt;=DATE(2100,12,31)),Bookings!D941,0),IF(AND(K941&lt;&gt;"",LEN("x"&amp;L941)-LEN(SUBSTITUTE("x"&amp;L941,".",""))=2,OR(1&gt;LEN(L941),MID(L941,1,1)=".",ISNUMBER(FIND("x"&amp;MID(L941,1,1),"x0x1x2x3x4x5x6x7x8x9"))),OR(2&gt;LEN(L941),MID(L941,2,1)=".",ISNUMBER(FIND("x"&amp;MID(L941,2,1),"x0x1x2x3x4x5x6x7x8x9"))),OR(3&gt;LEN(L941),MID(L941,3,1)=".",ISNUMBER(FIND("x"&amp;MID(L941,3,1),"x0x1x2x3x4x5x6x7x8x9"))),OR(4&gt;LEN(L941),MID(L941,4,1)=".",ISNUMBER(FIND("x"&amp;MID(L941,4,1),"x0x1x2x3x4x5x6x7x8x9"))),OR(5&gt;LEN(L941),MID(L941,5,1)=".",ISNUMBER(FIND("x"&amp;MID(L941,5,1),"x0x1x2x3x4x5x6x7x8x9"))),OR(6&gt;LEN(L941),MID(L941,6,1)=".",ISNUMBER(FIND("x"&amp;MID(L941,6,1),"x0x1x2x3x4x5x6x7x8x9"))),OR(7&gt;LEN(L941),MID(L941,7,1)=".",ISNUMBER(FIND("x"&amp;MID(L941,7,1),"x0x1x2x3x4x5x6x7x8x9"))),OR(8&gt;LEN(L941),MID(L941,8,1)=".",ISNUMBER(FIND("x"&amp;MID(L941,8,1),"x0x1x2x3x4x5x6x7x8x9"))),OR(9&gt;LEN(L941),MID(L941,9,1)=".",ISNUMBER(FIND("x"&amp;MID(L941,9,1),"x0x1x2x3x4x5x6x7x8x9"))),OR(10&gt;LEN(L941),MID(L941,10,1)=".",ISNUMBER(FIND("x"&amp;MID(L941,10,1),"x0x1x2x3x4x5x6x7x8x9"))),OR(AND(FIND(".",L941)=5,LEN(L941)-FIND(".",L941,FIND(".",L941)+1)&gt;=1,LEN(L941)-FIND(".",L941,FIND(".",L941)+1)&lt;=2),AND(LEN(L941)-FIND(".",L941,FIND(".",L941)+1)=4,FIND(".",L941)&gt;=2,FIND(".",L941)&lt;=3)),FIND(".",L941,FIND(".",L941)+1)-FIND(".",L941)&gt;=2,FIND(".",L941,FIND(".",L941)+1)-FIND(".",L941)&lt;=3,P941&gt;=2000,P941&lt;=2100,YEAR(S941)=P941,MONTH(S941)=Q941,DAY(S941)=R941),S941,0)),0)</ns0:f>
        <ns0:v>0</ns0:v>
      </ns0:c>
      <ns0:c r="U941" s="0" t="str">
        <ns0:f>IF(Bookings!C941="","Full day",Bookings!C941)</ns0:f>
        <ns0:v>Full day</ns0:v>
      </ns0:c>
      <ns0:c r="V941" s="0" t="str">
        <ns0:f>IF(Bookings!E941="","Full day",Bookings!E941)</ns0:f>
        <ns0:v>Full day</ns0:v>
      </ns0:c>
      <ns0:c r="W941" s="0">
        <ns0:f>IF(J941=0,0,J941+IF(U941="PM",1,0))</ns0:f>
        <ns0:v>0</ns0:v>
      </ns0:c>
      <ns0:c r="X941" s="0">
        <ns0:f>IF(T941=0,0,T941-IF(V941="PM",1,0))</ns0:f>
        <ns0:v>0</ns0:v>
      </ns0:c>
      <ns0:c r="Y941" s="0">
        <ns0:f>IF(J941=0,0,J941+IF(U941="AM",1,0))</ns0:f>
        <ns0:v>0</ns0:v>
      </ns0:c>
      <ns0:c r="Z941" s="0">
        <ns0:f>IF(T941=0,0,T941-IF(V941="AM",1,0))</ns0:f>
        <ns0:v>0</ns0:v>
      </ns0:c>
      <ns0:c r="AA941" s="0">
        <ns0:f>IFERROR(IF(AND(J941&gt;0,'_Engine'!C941&gt;0,MID('_Engine'!W941,WEEKDAY(J941,2),1)="W",COUNTIF(Settings!$F$18:$F$67,J941)=0),1,0),0)</ns0:f>
        <ns0:v>0</ns0:v>
      </ns0:c>
      <ns0:c r="AB941" s="0">
        <ns0:f>IFERROR(IF(AND(T941&gt;0,'_Engine'!C941&gt;0,MID('_Engine'!W941,WEEKDAY(T941,2),1)="W",COUNTIF(Settings!$F$18:$F$67,T941)=0),1,0),0)</ns0:f>
        <ns0:v>0</ns0:v>
      </ns0:c>
      <ns0:c r="AC941" s="0">
        <ns0:f>IF(AND(J941&gt;0,T941&gt;0,W941&lt;=X941),1,0)</ns0:f>
        <ns0:v>0</ns0:v>
      </ns0:c>
      <ns0:c r="AD941" s="0">
        <ns0:f>IF(AND(J941&gt;0,T941&gt;0,Y941&lt;=Z941),1,0)</ns0:f>
        <ns0:v>0</ns0:v>
      </ns0:c>
    </ns0:row>
    <ns0:row r="942">
      <ns0:c r="A942" s="0">
        <ns0:f>IFERROR(IF(ISNUMBER(Bookings!B942),"",TRIM(Bookings!B942&amp;"")),"")</ns0:f>
      </ns0:c>
      <ns0:c r="B942" s="0">
        <ns0:f>IFERROR(SUBSTITUTE(SUBSTITUTE(A942,"/","."),"-","."),"")</ns0:f>
      </ns0:c>
      <ns0:c r="C942" s="0">
        <ns0:f>IFERROR(LEFT(B942,FIND(".",B942)-1),"")</ns0:f>
      </ns0:c>
      <ns0:c r="D942" s="0">
        <ns0:f>IFERROR(MID(B942,FIND(".",B942)+1,FIND(".",B942,FIND(".",B942)+1)-FIND(".",B942)-1),"")</ns0:f>
      </ns0:c>
      <ns0:c r="E942" s="0">
        <ns0:f>IFERROR(MID(B942,FIND(".",B942,FIND(".",B942)+1)+1,99),"")</ns0:f>
        <ns0:v>99</ns0:v>
      </ns0:c>
      <ns0:c r="F942" s="0">
        <ns0:f>IFERROR(IF(FIND(".",B942)=5,--C942,--E942),0)</ns0:f>
        <ns0:v>0</ns0:v>
      </ns0:c>
      <ns0:c r="G942" s="0">
        <ns0:f>IFERROR(--D942,0)</ns0:f>
        <ns0:v>0</ns0:v>
      </ns0:c>
      <ns0:c r="H942" s="0">
        <ns0:f>IFERROR(IF(FIND(".",B942)=5,--E942,--C942),0)</ns0:f>
        <ns0:v>0</ns0:v>
      </ns0:c>
      <ns0:c r="I942" s="0">
        <ns0:f>IFERROR(IF(AND(F942&gt;=2000,F942&lt;=2100,G942&gt;=1,G942&lt;=12,H942&gt;=1,H942&lt;=31),DATE(F942,G942,H942),0),0)</ns0:f>
        <ns0:v>0</ns0:v>
      </ns0:c>
      <ns0:c r="J942" s="0">
        <ns0:f>IFERROR(IF(ISNUMBER(Bookings!B942),IF(AND(Bookings!B942=INT(Bookings!B942),Bookings!B942&gt;=DATE(2000,1,1),Bookings!B942&lt;=DATE(2100,12,31)),Bookings!B942,0),IF(AND(A942&lt;&gt;"",LEN("x"&amp;B942)-LEN(SUBSTITUTE("x"&amp;B942,".",""))=2,OR(1&gt;LEN(B942),MID(B942,1,1)=".",ISNUMBER(FIND("x"&amp;MID(B942,1,1),"x0x1x2x3x4x5x6x7x8x9"))),OR(2&gt;LEN(B942),MID(B942,2,1)=".",ISNUMBER(FIND("x"&amp;MID(B942,2,1),"x0x1x2x3x4x5x6x7x8x9"))),OR(3&gt;LEN(B942),MID(B942,3,1)=".",ISNUMBER(FIND("x"&amp;MID(B942,3,1),"x0x1x2x3x4x5x6x7x8x9"))),OR(4&gt;LEN(B942),MID(B942,4,1)=".",ISNUMBER(FIND("x"&amp;MID(B942,4,1),"x0x1x2x3x4x5x6x7x8x9"))),OR(5&gt;LEN(B942),MID(B942,5,1)=".",ISNUMBER(FIND("x"&amp;MID(B942,5,1),"x0x1x2x3x4x5x6x7x8x9"))),OR(6&gt;LEN(B942),MID(B942,6,1)=".",ISNUMBER(FIND("x"&amp;MID(B942,6,1),"x0x1x2x3x4x5x6x7x8x9"))),OR(7&gt;LEN(B942),MID(B942,7,1)=".",ISNUMBER(FIND("x"&amp;MID(B942,7,1),"x0x1x2x3x4x5x6x7x8x9"))),OR(8&gt;LEN(B942),MID(B942,8,1)=".",ISNUMBER(FIND("x"&amp;MID(B942,8,1),"x0x1x2x3x4x5x6x7x8x9"))),OR(9&gt;LEN(B942),MID(B942,9,1)=".",ISNUMBER(FIND("x"&amp;MID(B942,9,1),"x0x1x2x3x4x5x6x7x8x9"))),OR(10&gt;LEN(B942),MID(B942,10,1)=".",ISNUMBER(FIND("x"&amp;MID(B942,10,1),"x0x1x2x3x4x5x6x7x8x9"))),OR(AND(FIND(".",B942)=5,LEN(B942)-FIND(".",B942,FIND(".",B942)+1)&gt;=1,LEN(B942)-FIND(".",B942,FIND(".",B942)+1)&lt;=2),AND(LEN(B942)-FIND(".",B942,FIND(".",B942)+1)=4,FIND(".",B942)&gt;=2,FIND(".",B942)&lt;=3)),FIND(".",B942,FIND(".",B942)+1)-FIND(".",B942)&gt;=2,FIND(".",B942,FIND(".",B942)+1)-FIND(".",B942)&lt;=3,F942&gt;=2000,F942&lt;=2100,YEAR(I942)=F942,MONTH(I942)=G942,DAY(I942)=H942),I942,0)),0)</ns0:f>
        <ns0:v>0</ns0:v>
      </ns0:c>
      <ns0:c r="K942" s="0">
        <ns0:f>IFERROR(IF(ISNUMBER(Bookings!D942),"",TRIM(Bookings!D942&amp;"")),"")</ns0:f>
      </ns0:c>
      <ns0:c r="L942" s="0">
        <ns0:f>IFERROR(SUBSTITUTE(SUBSTITUTE(K942,"/","."),"-","."),"")</ns0:f>
      </ns0:c>
      <ns0:c r="M942" s="0">
        <ns0:f>IFERROR(LEFT(L942,FIND(".",L942)-1),"")</ns0:f>
      </ns0:c>
      <ns0:c r="N942" s="0">
        <ns0:f>IFERROR(MID(L942,FIND(".",L942)+1,FIND(".",L942,FIND(".",L942)+1)-FIND(".",L942)-1),"")</ns0:f>
      </ns0:c>
      <ns0:c r="O942" s="0">
        <ns0:f>IFERROR(MID(L942,FIND(".",L942,FIND(".",L942)+1)+1,99),"")</ns0:f>
        <ns0:v>99</ns0:v>
      </ns0:c>
      <ns0:c r="P942" s="0">
        <ns0:f>IFERROR(IF(FIND(".",L942)=5,--M942,--O942),0)</ns0:f>
        <ns0:v>0</ns0:v>
      </ns0:c>
      <ns0:c r="Q942" s="0">
        <ns0:f>IFERROR(--N942,0)</ns0:f>
        <ns0:v>0</ns0:v>
      </ns0:c>
      <ns0:c r="R942" s="0">
        <ns0:f>IFERROR(IF(FIND(".",L942)=5,--O942,--M942),0)</ns0:f>
        <ns0:v>0</ns0:v>
      </ns0:c>
      <ns0:c r="S942" s="0">
        <ns0:f>IFERROR(IF(AND(P942&gt;=2000,P942&lt;=2100,Q942&gt;=1,Q942&lt;=12,R942&gt;=1,R942&lt;=31),DATE(P942,Q942,R942),0),0)</ns0:f>
        <ns0:v>0</ns0:v>
      </ns0:c>
      <ns0:c r="T942" s="0">
        <ns0:f>IFERROR(IF(ISNUMBER(Bookings!D942),IF(AND(Bookings!D942=INT(Bookings!D942),Bookings!D942&gt;=DATE(2000,1,1),Bookings!D942&lt;=DATE(2100,12,31)),Bookings!D942,0),IF(AND(K942&lt;&gt;"",LEN("x"&amp;L942)-LEN(SUBSTITUTE("x"&amp;L942,".",""))=2,OR(1&gt;LEN(L942),MID(L942,1,1)=".",ISNUMBER(FIND("x"&amp;MID(L942,1,1),"x0x1x2x3x4x5x6x7x8x9"))),OR(2&gt;LEN(L942),MID(L942,2,1)=".",ISNUMBER(FIND("x"&amp;MID(L942,2,1),"x0x1x2x3x4x5x6x7x8x9"))),OR(3&gt;LEN(L942),MID(L942,3,1)=".",ISNUMBER(FIND("x"&amp;MID(L942,3,1),"x0x1x2x3x4x5x6x7x8x9"))),OR(4&gt;LEN(L942),MID(L942,4,1)=".",ISNUMBER(FIND("x"&amp;MID(L942,4,1),"x0x1x2x3x4x5x6x7x8x9"))),OR(5&gt;LEN(L942),MID(L942,5,1)=".",ISNUMBER(FIND("x"&amp;MID(L942,5,1),"x0x1x2x3x4x5x6x7x8x9"))),OR(6&gt;LEN(L942),MID(L942,6,1)=".",ISNUMBER(FIND("x"&amp;MID(L942,6,1),"x0x1x2x3x4x5x6x7x8x9"))),OR(7&gt;LEN(L942),MID(L942,7,1)=".",ISNUMBER(FIND("x"&amp;MID(L942,7,1),"x0x1x2x3x4x5x6x7x8x9"))),OR(8&gt;LEN(L942),MID(L942,8,1)=".",ISNUMBER(FIND("x"&amp;MID(L942,8,1),"x0x1x2x3x4x5x6x7x8x9"))),OR(9&gt;LEN(L942),MID(L942,9,1)=".",ISNUMBER(FIND("x"&amp;MID(L942,9,1),"x0x1x2x3x4x5x6x7x8x9"))),OR(10&gt;LEN(L942),MID(L942,10,1)=".",ISNUMBER(FIND("x"&amp;MID(L942,10,1),"x0x1x2x3x4x5x6x7x8x9"))),OR(AND(FIND(".",L942)=5,LEN(L942)-FIND(".",L942,FIND(".",L942)+1)&gt;=1,LEN(L942)-FIND(".",L942,FIND(".",L942)+1)&lt;=2),AND(LEN(L942)-FIND(".",L942,FIND(".",L942)+1)=4,FIND(".",L942)&gt;=2,FIND(".",L942)&lt;=3)),FIND(".",L942,FIND(".",L942)+1)-FIND(".",L942)&gt;=2,FIND(".",L942,FIND(".",L942)+1)-FIND(".",L942)&lt;=3,P942&gt;=2000,P942&lt;=2100,YEAR(S942)=P942,MONTH(S942)=Q942,DAY(S942)=R942),S942,0)),0)</ns0:f>
        <ns0:v>0</ns0:v>
      </ns0:c>
      <ns0:c r="U942" s="0" t="str">
        <ns0:f>IF(Bookings!C942="","Full day",Bookings!C942)</ns0:f>
        <ns0:v>Full day</ns0:v>
      </ns0:c>
      <ns0:c r="V942" s="0" t="str">
        <ns0:f>IF(Bookings!E942="","Full day",Bookings!E942)</ns0:f>
        <ns0:v>Full day</ns0:v>
      </ns0:c>
      <ns0:c r="W942" s="0">
        <ns0:f>IF(J942=0,0,J942+IF(U942="PM",1,0))</ns0:f>
        <ns0:v>0</ns0:v>
      </ns0:c>
      <ns0:c r="X942" s="0">
        <ns0:f>IF(T942=0,0,T942-IF(V942="PM",1,0))</ns0:f>
        <ns0:v>0</ns0:v>
      </ns0:c>
      <ns0:c r="Y942" s="0">
        <ns0:f>IF(J942=0,0,J942+IF(U942="AM",1,0))</ns0:f>
        <ns0:v>0</ns0:v>
      </ns0:c>
      <ns0:c r="Z942" s="0">
        <ns0:f>IF(T942=0,0,T942-IF(V942="AM",1,0))</ns0:f>
        <ns0:v>0</ns0:v>
      </ns0:c>
      <ns0:c r="AA942" s="0">
        <ns0:f>IFERROR(IF(AND(J942&gt;0,'_Engine'!C942&gt;0,MID('_Engine'!W942,WEEKDAY(J942,2),1)="W",COUNTIF(Settings!$F$18:$F$67,J942)=0),1,0),0)</ns0:f>
        <ns0:v>0</ns0:v>
      </ns0:c>
      <ns0:c r="AB942" s="0">
        <ns0:f>IFERROR(IF(AND(T942&gt;0,'_Engine'!C942&gt;0,MID('_Engine'!W942,WEEKDAY(T942,2),1)="W",COUNTIF(Settings!$F$18:$F$67,T942)=0),1,0),0)</ns0:f>
        <ns0:v>0</ns0:v>
      </ns0:c>
      <ns0:c r="AC942" s="0">
        <ns0:f>IF(AND(J942&gt;0,T942&gt;0,W942&lt;=X942),1,0)</ns0:f>
        <ns0:v>0</ns0:v>
      </ns0:c>
      <ns0:c r="AD942" s="0">
        <ns0:f>IF(AND(J942&gt;0,T942&gt;0,Y942&lt;=Z942),1,0)</ns0:f>
        <ns0:v>0</ns0:v>
      </ns0:c>
    </ns0:row>
    <ns0:row r="943">
      <ns0:c r="A943" s="0">
        <ns0:f>IFERROR(IF(ISNUMBER(Bookings!B943),"",TRIM(Bookings!B943&amp;"")),"")</ns0:f>
      </ns0:c>
      <ns0:c r="B943" s="0">
        <ns0:f>IFERROR(SUBSTITUTE(SUBSTITUTE(A943,"/","."),"-","."),"")</ns0:f>
      </ns0:c>
      <ns0:c r="C943" s="0">
        <ns0:f>IFERROR(LEFT(B943,FIND(".",B943)-1),"")</ns0:f>
      </ns0:c>
      <ns0:c r="D943" s="0">
        <ns0:f>IFERROR(MID(B943,FIND(".",B943)+1,FIND(".",B943,FIND(".",B943)+1)-FIND(".",B943)-1),"")</ns0:f>
      </ns0:c>
      <ns0:c r="E943" s="0">
        <ns0:f>IFERROR(MID(B943,FIND(".",B943,FIND(".",B943)+1)+1,99),"")</ns0:f>
        <ns0:v>99</ns0:v>
      </ns0:c>
      <ns0:c r="F943" s="0">
        <ns0:f>IFERROR(IF(FIND(".",B943)=5,--C943,--E943),0)</ns0:f>
        <ns0:v>0</ns0:v>
      </ns0:c>
      <ns0:c r="G943" s="0">
        <ns0:f>IFERROR(--D943,0)</ns0:f>
        <ns0:v>0</ns0:v>
      </ns0:c>
      <ns0:c r="H943" s="0">
        <ns0:f>IFERROR(IF(FIND(".",B943)=5,--E943,--C943),0)</ns0:f>
        <ns0:v>0</ns0:v>
      </ns0:c>
      <ns0:c r="I943" s="0">
        <ns0:f>IFERROR(IF(AND(F943&gt;=2000,F943&lt;=2100,G943&gt;=1,G943&lt;=12,H943&gt;=1,H943&lt;=31),DATE(F943,G943,H943),0),0)</ns0:f>
        <ns0:v>0</ns0:v>
      </ns0:c>
      <ns0:c r="J943" s="0">
        <ns0:f>IFERROR(IF(ISNUMBER(Bookings!B943),IF(AND(Bookings!B943=INT(Bookings!B943),Bookings!B943&gt;=DATE(2000,1,1),Bookings!B943&lt;=DATE(2100,12,31)),Bookings!B943,0),IF(AND(A943&lt;&gt;"",LEN("x"&amp;B943)-LEN(SUBSTITUTE("x"&amp;B943,".",""))=2,OR(1&gt;LEN(B943),MID(B943,1,1)=".",ISNUMBER(FIND("x"&amp;MID(B943,1,1),"x0x1x2x3x4x5x6x7x8x9"))),OR(2&gt;LEN(B943),MID(B943,2,1)=".",ISNUMBER(FIND("x"&amp;MID(B943,2,1),"x0x1x2x3x4x5x6x7x8x9"))),OR(3&gt;LEN(B943),MID(B943,3,1)=".",ISNUMBER(FIND("x"&amp;MID(B943,3,1),"x0x1x2x3x4x5x6x7x8x9"))),OR(4&gt;LEN(B943),MID(B943,4,1)=".",ISNUMBER(FIND("x"&amp;MID(B943,4,1),"x0x1x2x3x4x5x6x7x8x9"))),OR(5&gt;LEN(B943),MID(B943,5,1)=".",ISNUMBER(FIND("x"&amp;MID(B943,5,1),"x0x1x2x3x4x5x6x7x8x9"))),OR(6&gt;LEN(B943),MID(B943,6,1)=".",ISNUMBER(FIND("x"&amp;MID(B943,6,1),"x0x1x2x3x4x5x6x7x8x9"))),OR(7&gt;LEN(B943),MID(B943,7,1)=".",ISNUMBER(FIND("x"&amp;MID(B943,7,1),"x0x1x2x3x4x5x6x7x8x9"))),OR(8&gt;LEN(B943),MID(B943,8,1)=".",ISNUMBER(FIND("x"&amp;MID(B943,8,1),"x0x1x2x3x4x5x6x7x8x9"))),OR(9&gt;LEN(B943),MID(B943,9,1)=".",ISNUMBER(FIND("x"&amp;MID(B943,9,1),"x0x1x2x3x4x5x6x7x8x9"))),OR(10&gt;LEN(B943),MID(B943,10,1)=".",ISNUMBER(FIND("x"&amp;MID(B943,10,1),"x0x1x2x3x4x5x6x7x8x9"))),OR(AND(FIND(".",B943)=5,LEN(B943)-FIND(".",B943,FIND(".",B943)+1)&gt;=1,LEN(B943)-FIND(".",B943,FIND(".",B943)+1)&lt;=2),AND(LEN(B943)-FIND(".",B943,FIND(".",B943)+1)=4,FIND(".",B943)&gt;=2,FIND(".",B943)&lt;=3)),FIND(".",B943,FIND(".",B943)+1)-FIND(".",B943)&gt;=2,FIND(".",B943,FIND(".",B943)+1)-FIND(".",B943)&lt;=3,F943&gt;=2000,F943&lt;=2100,YEAR(I943)=F943,MONTH(I943)=G943,DAY(I943)=H943),I943,0)),0)</ns0:f>
        <ns0:v>0</ns0:v>
      </ns0:c>
      <ns0:c r="K943" s="0">
        <ns0:f>IFERROR(IF(ISNUMBER(Bookings!D943),"",TRIM(Bookings!D943&amp;"")),"")</ns0:f>
      </ns0:c>
      <ns0:c r="L943" s="0">
        <ns0:f>IFERROR(SUBSTITUTE(SUBSTITUTE(K943,"/","."),"-","."),"")</ns0:f>
      </ns0:c>
      <ns0:c r="M943" s="0">
        <ns0:f>IFERROR(LEFT(L943,FIND(".",L943)-1),"")</ns0:f>
      </ns0:c>
      <ns0:c r="N943" s="0">
        <ns0:f>IFERROR(MID(L943,FIND(".",L943)+1,FIND(".",L943,FIND(".",L943)+1)-FIND(".",L943)-1),"")</ns0:f>
      </ns0:c>
      <ns0:c r="O943" s="0">
        <ns0:f>IFERROR(MID(L943,FIND(".",L943,FIND(".",L943)+1)+1,99),"")</ns0:f>
        <ns0:v>99</ns0:v>
      </ns0:c>
      <ns0:c r="P943" s="0">
        <ns0:f>IFERROR(IF(FIND(".",L943)=5,--M943,--O943),0)</ns0:f>
        <ns0:v>0</ns0:v>
      </ns0:c>
      <ns0:c r="Q943" s="0">
        <ns0:f>IFERROR(--N943,0)</ns0:f>
        <ns0:v>0</ns0:v>
      </ns0:c>
      <ns0:c r="R943" s="0">
        <ns0:f>IFERROR(IF(FIND(".",L943)=5,--O943,--M943),0)</ns0:f>
        <ns0:v>0</ns0:v>
      </ns0:c>
      <ns0:c r="S943" s="0">
        <ns0:f>IFERROR(IF(AND(P943&gt;=2000,P943&lt;=2100,Q943&gt;=1,Q943&lt;=12,R943&gt;=1,R943&lt;=31),DATE(P943,Q943,R943),0),0)</ns0:f>
        <ns0:v>0</ns0:v>
      </ns0:c>
      <ns0:c r="T943" s="0">
        <ns0:f>IFERROR(IF(ISNUMBER(Bookings!D943),IF(AND(Bookings!D943=INT(Bookings!D943),Bookings!D943&gt;=DATE(2000,1,1),Bookings!D943&lt;=DATE(2100,12,31)),Bookings!D943,0),IF(AND(K943&lt;&gt;"",LEN("x"&amp;L943)-LEN(SUBSTITUTE("x"&amp;L943,".",""))=2,OR(1&gt;LEN(L943),MID(L943,1,1)=".",ISNUMBER(FIND("x"&amp;MID(L943,1,1),"x0x1x2x3x4x5x6x7x8x9"))),OR(2&gt;LEN(L943),MID(L943,2,1)=".",ISNUMBER(FIND("x"&amp;MID(L943,2,1),"x0x1x2x3x4x5x6x7x8x9"))),OR(3&gt;LEN(L943),MID(L943,3,1)=".",ISNUMBER(FIND("x"&amp;MID(L943,3,1),"x0x1x2x3x4x5x6x7x8x9"))),OR(4&gt;LEN(L943),MID(L943,4,1)=".",ISNUMBER(FIND("x"&amp;MID(L943,4,1),"x0x1x2x3x4x5x6x7x8x9"))),OR(5&gt;LEN(L943),MID(L943,5,1)=".",ISNUMBER(FIND("x"&amp;MID(L943,5,1),"x0x1x2x3x4x5x6x7x8x9"))),OR(6&gt;LEN(L943),MID(L943,6,1)=".",ISNUMBER(FIND("x"&amp;MID(L943,6,1),"x0x1x2x3x4x5x6x7x8x9"))),OR(7&gt;LEN(L943),MID(L943,7,1)=".",ISNUMBER(FIND("x"&amp;MID(L943,7,1),"x0x1x2x3x4x5x6x7x8x9"))),OR(8&gt;LEN(L943),MID(L943,8,1)=".",ISNUMBER(FIND("x"&amp;MID(L943,8,1),"x0x1x2x3x4x5x6x7x8x9"))),OR(9&gt;LEN(L943),MID(L943,9,1)=".",ISNUMBER(FIND("x"&amp;MID(L943,9,1),"x0x1x2x3x4x5x6x7x8x9"))),OR(10&gt;LEN(L943),MID(L943,10,1)=".",ISNUMBER(FIND("x"&amp;MID(L943,10,1),"x0x1x2x3x4x5x6x7x8x9"))),OR(AND(FIND(".",L943)=5,LEN(L943)-FIND(".",L943,FIND(".",L943)+1)&gt;=1,LEN(L943)-FIND(".",L943,FIND(".",L943)+1)&lt;=2),AND(LEN(L943)-FIND(".",L943,FIND(".",L943)+1)=4,FIND(".",L943)&gt;=2,FIND(".",L943)&lt;=3)),FIND(".",L943,FIND(".",L943)+1)-FIND(".",L943)&gt;=2,FIND(".",L943,FIND(".",L943)+1)-FIND(".",L943)&lt;=3,P943&gt;=2000,P943&lt;=2100,YEAR(S943)=P943,MONTH(S943)=Q943,DAY(S943)=R943),S943,0)),0)</ns0:f>
        <ns0:v>0</ns0:v>
      </ns0:c>
      <ns0:c r="U943" s="0" t="str">
        <ns0:f>IF(Bookings!C943="","Full day",Bookings!C943)</ns0:f>
        <ns0:v>Full day</ns0:v>
      </ns0:c>
      <ns0:c r="V943" s="0" t="str">
        <ns0:f>IF(Bookings!E943="","Full day",Bookings!E943)</ns0:f>
        <ns0:v>Full day</ns0:v>
      </ns0:c>
      <ns0:c r="W943" s="0">
        <ns0:f>IF(J943=0,0,J943+IF(U943="PM",1,0))</ns0:f>
        <ns0:v>0</ns0:v>
      </ns0:c>
      <ns0:c r="X943" s="0">
        <ns0:f>IF(T943=0,0,T943-IF(V943="PM",1,0))</ns0:f>
        <ns0:v>0</ns0:v>
      </ns0:c>
      <ns0:c r="Y943" s="0">
        <ns0:f>IF(J943=0,0,J943+IF(U943="AM",1,0))</ns0:f>
        <ns0:v>0</ns0:v>
      </ns0:c>
      <ns0:c r="Z943" s="0">
        <ns0:f>IF(T943=0,0,T943-IF(V943="AM",1,0))</ns0:f>
        <ns0:v>0</ns0:v>
      </ns0:c>
      <ns0:c r="AA943" s="0">
        <ns0:f>IFERROR(IF(AND(J943&gt;0,'_Engine'!C943&gt;0,MID('_Engine'!W943,WEEKDAY(J943,2),1)="W",COUNTIF(Settings!$F$18:$F$67,J943)=0),1,0),0)</ns0:f>
        <ns0:v>0</ns0:v>
      </ns0:c>
      <ns0:c r="AB943" s="0">
        <ns0:f>IFERROR(IF(AND(T943&gt;0,'_Engine'!C943&gt;0,MID('_Engine'!W943,WEEKDAY(T943,2),1)="W",COUNTIF(Settings!$F$18:$F$67,T943)=0),1,0),0)</ns0:f>
        <ns0:v>0</ns0:v>
      </ns0:c>
      <ns0:c r="AC943" s="0">
        <ns0:f>IF(AND(J943&gt;0,T943&gt;0,W943&lt;=X943),1,0)</ns0:f>
        <ns0:v>0</ns0:v>
      </ns0:c>
      <ns0:c r="AD943" s="0">
        <ns0:f>IF(AND(J943&gt;0,T943&gt;0,Y943&lt;=Z943),1,0)</ns0:f>
        <ns0:v>0</ns0:v>
      </ns0:c>
    </ns0:row>
    <ns0:row r="944">
      <ns0:c r="A944" s="0">
        <ns0:f>IFERROR(IF(ISNUMBER(Bookings!B944),"",TRIM(Bookings!B944&amp;"")),"")</ns0:f>
      </ns0:c>
      <ns0:c r="B944" s="0">
        <ns0:f>IFERROR(SUBSTITUTE(SUBSTITUTE(A944,"/","."),"-","."),"")</ns0:f>
      </ns0:c>
      <ns0:c r="C944" s="0">
        <ns0:f>IFERROR(LEFT(B944,FIND(".",B944)-1),"")</ns0:f>
      </ns0:c>
      <ns0:c r="D944" s="0">
        <ns0:f>IFERROR(MID(B944,FIND(".",B944)+1,FIND(".",B944,FIND(".",B944)+1)-FIND(".",B944)-1),"")</ns0:f>
      </ns0:c>
      <ns0:c r="E944" s="0">
        <ns0:f>IFERROR(MID(B944,FIND(".",B944,FIND(".",B944)+1)+1,99),"")</ns0:f>
        <ns0:v>99</ns0:v>
      </ns0:c>
      <ns0:c r="F944" s="0">
        <ns0:f>IFERROR(IF(FIND(".",B944)=5,--C944,--E944),0)</ns0:f>
        <ns0:v>0</ns0:v>
      </ns0:c>
      <ns0:c r="G944" s="0">
        <ns0:f>IFERROR(--D944,0)</ns0:f>
        <ns0:v>0</ns0:v>
      </ns0:c>
      <ns0:c r="H944" s="0">
        <ns0:f>IFERROR(IF(FIND(".",B944)=5,--E944,--C944),0)</ns0:f>
        <ns0:v>0</ns0:v>
      </ns0:c>
      <ns0:c r="I944" s="0">
        <ns0:f>IFERROR(IF(AND(F944&gt;=2000,F944&lt;=2100,G944&gt;=1,G944&lt;=12,H944&gt;=1,H944&lt;=31),DATE(F944,G944,H944),0),0)</ns0:f>
        <ns0:v>0</ns0:v>
      </ns0:c>
      <ns0:c r="J944" s="0">
        <ns0:f>IFERROR(IF(ISNUMBER(Bookings!B944),IF(AND(Bookings!B944=INT(Bookings!B944),Bookings!B944&gt;=DATE(2000,1,1),Bookings!B944&lt;=DATE(2100,12,31)),Bookings!B944,0),IF(AND(A944&lt;&gt;"",LEN("x"&amp;B944)-LEN(SUBSTITUTE("x"&amp;B944,".",""))=2,OR(1&gt;LEN(B944),MID(B944,1,1)=".",ISNUMBER(FIND("x"&amp;MID(B944,1,1),"x0x1x2x3x4x5x6x7x8x9"))),OR(2&gt;LEN(B944),MID(B944,2,1)=".",ISNUMBER(FIND("x"&amp;MID(B944,2,1),"x0x1x2x3x4x5x6x7x8x9"))),OR(3&gt;LEN(B944),MID(B944,3,1)=".",ISNUMBER(FIND("x"&amp;MID(B944,3,1),"x0x1x2x3x4x5x6x7x8x9"))),OR(4&gt;LEN(B944),MID(B944,4,1)=".",ISNUMBER(FIND("x"&amp;MID(B944,4,1),"x0x1x2x3x4x5x6x7x8x9"))),OR(5&gt;LEN(B944),MID(B944,5,1)=".",ISNUMBER(FIND("x"&amp;MID(B944,5,1),"x0x1x2x3x4x5x6x7x8x9"))),OR(6&gt;LEN(B944),MID(B944,6,1)=".",ISNUMBER(FIND("x"&amp;MID(B944,6,1),"x0x1x2x3x4x5x6x7x8x9"))),OR(7&gt;LEN(B944),MID(B944,7,1)=".",ISNUMBER(FIND("x"&amp;MID(B944,7,1),"x0x1x2x3x4x5x6x7x8x9"))),OR(8&gt;LEN(B944),MID(B944,8,1)=".",ISNUMBER(FIND("x"&amp;MID(B944,8,1),"x0x1x2x3x4x5x6x7x8x9"))),OR(9&gt;LEN(B944),MID(B944,9,1)=".",ISNUMBER(FIND("x"&amp;MID(B944,9,1),"x0x1x2x3x4x5x6x7x8x9"))),OR(10&gt;LEN(B944),MID(B944,10,1)=".",ISNUMBER(FIND("x"&amp;MID(B944,10,1),"x0x1x2x3x4x5x6x7x8x9"))),OR(AND(FIND(".",B944)=5,LEN(B944)-FIND(".",B944,FIND(".",B944)+1)&gt;=1,LEN(B944)-FIND(".",B944,FIND(".",B944)+1)&lt;=2),AND(LEN(B944)-FIND(".",B944,FIND(".",B944)+1)=4,FIND(".",B944)&gt;=2,FIND(".",B944)&lt;=3)),FIND(".",B944,FIND(".",B944)+1)-FIND(".",B944)&gt;=2,FIND(".",B944,FIND(".",B944)+1)-FIND(".",B944)&lt;=3,F944&gt;=2000,F944&lt;=2100,YEAR(I944)=F944,MONTH(I944)=G944,DAY(I944)=H944),I944,0)),0)</ns0:f>
        <ns0:v>0</ns0:v>
      </ns0:c>
      <ns0:c r="K944" s="0">
        <ns0:f>IFERROR(IF(ISNUMBER(Bookings!D944),"",TRIM(Bookings!D944&amp;"")),"")</ns0:f>
      </ns0:c>
      <ns0:c r="L944" s="0">
        <ns0:f>IFERROR(SUBSTITUTE(SUBSTITUTE(K944,"/","."),"-","."),"")</ns0:f>
      </ns0:c>
      <ns0:c r="M944" s="0">
        <ns0:f>IFERROR(LEFT(L944,FIND(".",L944)-1),"")</ns0:f>
      </ns0:c>
      <ns0:c r="N944" s="0">
        <ns0:f>IFERROR(MID(L944,FIND(".",L944)+1,FIND(".",L944,FIND(".",L944)+1)-FIND(".",L944)-1),"")</ns0:f>
      </ns0:c>
      <ns0:c r="O944" s="0">
        <ns0:f>IFERROR(MID(L944,FIND(".",L944,FIND(".",L944)+1)+1,99),"")</ns0:f>
        <ns0:v>99</ns0:v>
      </ns0:c>
      <ns0:c r="P944" s="0">
        <ns0:f>IFERROR(IF(FIND(".",L944)=5,--M944,--O944),0)</ns0:f>
        <ns0:v>0</ns0:v>
      </ns0:c>
      <ns0:c r="Q944" s="0">
        <ns0:f>IFERROR(--N944,0)</ns0:f>
        <ns0:v>0</ns0:v>
      </ns0:c>
      <ns0:c r="R944" s="0">
        <ns0:f>IFERROR(IF(FIND(".",L944)=5,--O944,--M944),0)</ns0:f>
        <ns0:v>0</ns0:v>
      </ns0:c>
      <ns0:c r="S944" s="0">
        <ns0:f>IFERROR(IF(AND(P944&gt;=2000,P944&lt;=2100,Q944&gt;=1,Q944&lt;=12,R944&gt;=1,R944&lt;=31),DATE(P944,Q944,R944),0),0)</ns0:f>
        <ns0:v>0</ns0:v>
      </ns0:c>
      <ns0:c r="T944" s="0">
        <ns0:f>IFERROR(IF(ISNUMBER(Bookings!D944),IF(AND(Bookings!D944=INT(Bookings!D944),Bookings!D944&gt;=DATE(2000,1,1),Bookings!D944&lt;=DATE(2100,12,31)),Bookings!D944,0),IF(AND(K944&lt;&gt;"",LEN("x"&amp;L944)-LEN(SUBSTITUTE("x"&amp;L944,".",""))=2,OR(1&gt;LEN(L944),MID(L944,1,1)=".",ISNUMBER(FIND("x"&amp;MID(L944,1,1),"x0x1x2x3x4x5x6x7x8x9"))),OR(2&gt;LEN(L944),MID(L944,2,1)=".",ISNUMBER(FIND("x"&amp;MID(L944,2,1),"x0x1x2x3x4x5x6x7x8x9"))),OR(3&gt;LEN(L944),MID(L944,3,1)=".",ISNUMBER(FIND("x"&amp;MID(L944,3,1),"x0x1x2x3x4x5x6x7x8x9"))),OR(4&gt;LEN(L944),MID(L944,4,1)=".",ISNUMBER(FIND("x"&amp;MID(L944,4,1),"x0x1x2x3x4x5x6x7x8x9"))),OR(5&gt;LEN(L944),MID(L944,5,1)=".",ISNUMBER(FIND("x"&amp;MID(L944,5,1),"x0x1x2x3x4x5x6x7x8x9"))),OR(6&gt;LEN(L944),MID(L944,6,1)=".",ISNUMBER(FIND("x"&amp;MID(L944,6,1),"x0x1x2x3x4x5x6x7x8x9"))),OR(7&gt;LEN(L944),MID(L944,7,1)=".",ISNUMBER(FIND("x"&amp;MID(L944,7,1),"x0x1x2x3x4x5x6x7x8x9"))),OR(8&gt;LEN(L944),MID(L944,8,1)=".",ISNUMBER(FIND("x"&amp;MID(L944,8,1),"x0x1x2x3x4x5x6x7x8x9"))),OR(9&gt;LEN(L944),MID(L944,9,1)=".",ISNUMBER(FIND("x"&amp;MID(L944,9,1),"x0x1x2x3x4x5x6x7x8x9"))),OR(10&gt;LEN(L944),MID(L944,10,1)=".",ISNUMBER(FIND("x"&amp;MID(L944,10,1),"x0x1x2x3x4x5x6x7x8x9"))),OR(AND(FIND(".",L944)=5,LEN(L944)-FIND(".",L944,FIND(".",L944)+1)&gt;=1,LEN(L944)-FIND(".",L944,FIND(".",L944)+1)&lt;=2),AND(LEN(L944)-FIND(".",L944,FIND(".",L944)+1)=4,FIND(".",L944)&gt;=2,FIND(".",L944)&lt;=3)),FIND(".",L944,FIND(".",L944)+1)-FIND(".",L944)&gt;=2,FIND(".",L944,FIND(".",L944)+1)-FIND(".",L944)&lt;=3,P944&gt;=2000,P944&lt;=2100,YEAR(S944)=P944,MONTH(S944)=Q944,DAY(S944)=R944),S944,0)),0)</ns0:f>
        <ns0:v>0</ns0:v>
      </ns0:c>
      <ns0:c r="U944" s="0" t="str">
        <ns0:f>IF(Bookings!C944="","Full day",Bookings!C944)</ns0:f>
        <ns0:v>Full day</ns0:v>
      </ns0:c>
      <ns0:c r="V944" s="0" t="str">
        <ns0:f>IF(Bookings!E944="","Full day",Bookings!E944)</ns0:f>
        <ns0:v>Full day</ns0:v>
      </ns0:c>
      <ns0:c r="W944" s="0">
        <ns0:f>IF(J944=0,0,J944+IF(U944="PM",1,0))</ns0:f>
        <ns0:v>0</ns0:v>
      </ns0:c>
      <ns0:c r="X944" s="0">
        <ns0:f>IF(T944=0,0,T944-IF(V944="PM",1,0))</ns0:f>
        <ns0:v>0</ns0:v>
      </ns0:c>
      <ns0:c r="Y944" s="0">
        <ns0:f>IF(J944=0,0,J944+IF(U944="AM",1,0))</ns0:f>
        <ns0:v>0</ns0:v>
      </ns0:c>
      <ns0:c r="Z944" s="0">
        <ns0:f>IF(T944=0,0,T944-IF(V944="AM",1,0))</ns0:f>
        <ns0:v>0</ns0:v>
      </ns0:c>
      <ns0:c r="AA944" s="0">
        <ns0:f>IFERROR(IF(AND(J944&gt;0,'_Engine'!C944&gt;0,MID('_Engine'!W944,WEEKDAY(J944,2),1)="W",COUNTIF(Settings!$F$18:$F$67,J944)=0),1,0),0)</ns0:f>
        <ns0:v>0</ns0:v>
      </ns0:c>
      <ns0:c r="AB944" s="0">
        <ns0:f>IFERROR(IF(AND(T944&gt;0,'_Engine'!C944&gt;0,MID('_Engine'!W944,WEEKDAY(T944,2),1)="W",COUNTIF(Settings!$F$18:$F$67,T944)=0),1,0),0)</ns0:f>
        <ns0:v>0</ns0:v>
      </ns0:c>
      <ns0:c r="AC944" s="0">
        <ns0:f>IF(AND(J944&gt;0,T944&gt;0,W944&lt;=X944),1,0)</ns0:f>
        <ns0:v>0</ns0:v>
      </ns0:c>
      <ns0:c r="AD944" s="0">
        <ns0:f>IF(AND(J944&gt;0,T944&gt;0,Y944&lt;=Z944),1,0)</ns0:f>
        <ns0:v>0</ns0:v>
      </ns0:c>
    </ns0:row>
    <ns0:row r="945">
      <ns0:c r="A945" s="0">
        <ns0:f>IFERROR(IF(ISNUMBER(Bookings!B945),"",TRIM(Bookings!B945&amp;"")),"")</ns0:f>
      </ns0:c>
      <ns0:c r="B945" s="0">
        <ns0:f>IFERROR(SUBSTITUTE(SUBSTITUTE(A945,"/","."),"-","."),"")</ns0:f>
      </ns0:c>
      <ns0:c r="C945" s="0">
        <ns0:f>IFERROR(LEFT(B945,FIND(".",B945)-1),"")</ns0:f>
      </ns0:c>
      <ns0:c r="D945" s="0">
        <ns0:f>IFERROR(MID(B945,FIND(".",B945)+1,FIND(".",B945,FIND(".",B945)+1)-FIND(".",B945)-1),"")</ns0:f>
      </ns0:c>
      <ns0:c r="E945" s="0">
        <ns0:f>IFERROR(MID(B945,FIND(".",B945,FIND(".",B945)+1)+1,99),"")</ns0:f>
        <ns0:v>99</ns0:v>
      </ns0:c>
      <ns0:c r="F945" s="0">
        <ns0:f>IFERROR(IF(FIND(".",B945)=5,--C945,--E945),0)</ns0:f>
        <ns0:v>0</ns0:v>
      </ns0:c>
      <ns0:c r="G945" s="0">
        <ns0:f>IFERROR(--D945,0)</ns0:f>
        <ns0:v>0</ns0:v>
      </ns0:c>
      <ns0:c r="H945" s="0">
        <ns0:f>IFERROR(IF(FIND(".",B945)=5,--E945,--C945),0)</ns0:f>
        <ns0:v>0</ns0:v>
      </ns0:c>
      <ns0:c r="I945" s="0">
        <ns0:f>IFERROR(IF(AND(F945&gt;=2000,F945&lt;=2100,G945&gt;=1,G945&lt;=12,H945&gt;=1,H945&lt;=31),DATE(F945,G945,H945),0),0)</ns0:f>
        <ns0:v>0</ns0:v>
      </ns0:c>
      <ns0:c r="J945" s="0">
        <ns0:f>IFERROR(IF(ISNUMBER(Bookings!B945),IF(AND(Bookings!B945=INT(Bookings!B945),Bookings!B945&gt;=DATE(2000,1,1),Bookings!B945&lt;=DATE(2100,12,31)),Bookings!B945,0),IF(AND(A945&lt;&gt;"",LEN("x"&amp;B945)-LEN(SUBSTITUTE("x"&amp;B945,".",""))=2,OR(1&gt;LEN(B945),MID(B945,1,1)=".",ISNUMBER(FIND("x"&amp;MID(B945,1,1),"x0x1x2x3x4x5x6x7x8x9"))),OR(2&gt;LEN(B945),MID(B945,2,1)=".",ISNUMBER(FIND("x"&amp;MID(B945,2,1),"x0x1x2x3x4x5x6x7x8x9"))),OR(3&gt;LEN(B945),MID(B945,3,1)=".",ISNUMBER(FIND("x"&amp;MID(B945,3,1),"x0x1x2x3x4x5x6x7x8x9"))),OR(4&gt;LEN(B945),MID(B945,4,1)=".",ISNUMBER(FIND("x"&amp;MID(B945,4,1),"x0x1x2x3x4x5x6x7x8x9"))),OR(5&gt;LEN(B945),MID(B945,5,1)=".",ISNUMBER(FIND("x"&amp;MID(B945,5,1),"x0x1x2x3x4x5x6x7x8x9"))),OR(6&gt;LEN(B945),MID(B945,6,1)=".",ISNUMBER(FIND("x"&amp;MID(B945,6,1),"x0x1x2x3x4x5x6x7x8x9"))),OR(7&gt;LEN(B945),MID(B945,7,1)=".",ISNUMBER(FIND("x"&amp;MID(B945,7,1),"x0x1x2x3x4x5x6x7x8x9"))),OR(8&gt;LEN(B945),MID(B945,8,1)=".",ISNUMBER(FIND("x"&amp;MID(B945,8,1),"x0x1x2x3x4x5x6x7x8x9"))),OR(9&gt;LEN(B945),MID(B945,9,1)=".",ISNUMBER(FIND("x"&amp;MID(B945,9,1),"x0x1x2x3x4x5x6x7x8x9"))),OR(10&gt;LEN(B945),MID(B945,10,1)=".",ISNUMBER(FIND("x"&amp;MID(B945,10,1),"x0x1x2x3x4x5x6x7x8x9"))),OR(AND(FIND(".",B945)=5,LEN(B945)-FIND(".",B945,FIND(".",B945)+1)&gt;=1,LEN(B945)-FIND(".",B945,FIND(".",B945)+1)&lt;=2),AND(LEN(B945)-FIND(".",B945,FIND(".",B945)+1)=4,FIND(".",B945)&gt;=2,FIND(".",B945)&lt;=3)),FIND(".",B945,FIND(".",B945)+1)-FIND(".",B945)&gt;=2,FIND(".",B945,FIND(".",B945)+1)-FIND(".",B945)&lt;=3,F945&gt;=2000,F945&lt;=2100,YEAR(I945)=F945,MONTH(I945)=G945,DAY(I945)=H945),I945,0)),0)</ns0:f>
        <ns0:v>0</ns0:v>
      </ns0:c>
      <ns0:c r="K945" s="0">
        <ns0:f>IFERROR(IF(ISNUMBER(Bookings!D945),"",TRIM(Bookings!D945&amp;"")),"")</ns0:f>
      </ns0:c>
      <ns0:c r="L945" s="0">
        <ns0:f>IFERROR(SUBSTITUTE(SUBSTITUTE(K945,"/","."),"-","."),"")</ns0:f>
      </ns0:c>
      <ns0:c r="M945" s="0">
        <ns0:f>IFERROR(LEFT(L945,FIND(".",L945)-1),"")</ns0:f>
      </ns0:c>
      <ns0:c r="N945" s="0">
        <ns0:f>IFERROR(MID(L945,FIND(".",L945)+1,FIND(".",L945,FIND(".",L945)+1)-FIND(".",L945)-1),"")</ns0:f>
      </ns0:c>
      <ns0:c r="O945" s="0">
        <ns0:f>IFERROR(MID(L945,FIND(".",L945,FIND(".",L945)+1)+1,99),"")</ns0:f>
        <ns0:v>99</ns0:v>
      </ns0:c>
      <ns0:c r="P945" s="0">
        <ns0:f>IFERROR(IF(FIND(".",L945)=5,--M945,--O945),0)</ns0:f>
        <ns0:v>0</ns0:v>
      </ns0:c>
      <ns0:c r="Q945" s="0">
        <ns0:f>IFERROR(--N945,0)</ns0:f>
        <ns0:v>0</ns0:v>
      </ns0:c>
      <ns0:c r="R945" s="0">
        <ns0:f>IFERROR(IF(FIND(".",L945)=5,--O945,--M945),0)</ns0:f>
        <ns0:v>0</ns0:v>
      </ns0:c>
      <ns0:c r="S945" s="0">
        <ns0:f>IFERROR(IF(AND(P945&gt;=2000,P945&lt;=2100,Q945&gt;=1,Q945&lt;=12,R945&gt;=1,R945&lt;=31),DATE(P945,Q945,R945),0),0)</ns0:f>
        <ns0:v>0</ns0:v>
      </ns0:c>
      <ns0:c r="T945" s="0">
        <ns0:f>IFERROR(IF(ISNUMBER(Bookings!D945),IF(AND(Bookings!D945=INT(Bookings!D945),Bookings!D945&gt;=DATE(2000,1,1),Bookings!D945&lt;=DATE(2100,12,31)),Bookings!D945,0),IF(AND(K945&lt;&gt;"",LEN("x"&amp;L945)-LEN(SUBSTITUTE("x"&amp;L945,".",""))=2,OR(1&gt;LEN(L945),MID(L945,1,1)=".",ISNUMBER(FIND("x"&amp;MID(L945,1,1),"x0x1x2x3x4x5x6x7x8x9"))),OR(2&gt;LEN(L945),MID(L945,2,1)=".",ISNUMBER(FIND("x"&amp;MID(L945,2,1),"x0x1x2x3x4x5x6x7x8x9"))),OR(3&gt;LEN(L945),MID(L945,3,1)=".",ISNUMBER(FIND("x"&amp;MID(L945,3,1),"x0x1x2x3x4x5x6x7x8x9"))),OR(4&gt;LEN(L945),MID(L945,4,1)=".",ISNUMBER(FIND("x"&amp;MID(L945,4,1),"x0x1x2x3x4x5x6x7x8x9"))),OR(5&gt;LEN(L945),MID(L945,5,1)=".",ISNUMBER(FIND("x"&amp;MID(L945,5,1),"x0x1x2x3x4x5x6x7x8x9"))),OR(6&gt;LEN(L945),MID(L945,6,1)=".",ISNUMBER(FIND("x"&amp;MID(L945,6,1),"x0x1x2x3x4x5x6x7x8x9"))),OR(7&gt;LEN(L945),MID(L945,7,1)=".",ISNUMBER(FIND("x"&amp;MID(L945,7,1),"x0x1x2x3x4x5x6x7x8x9"))),OR(8&gt;LEN(L945),MID(L945,8,1)=".",ISNUMBER(FIND("x"&amp;MID(L945,8,1),"x0x1x2x3x4x5x6x7x8x9"))),OR(9&gt;LEN(L945),MID(L945,9,1)=".",ISNUMBER(FIND("x"&amp;MID(L945,9,1),"x0x1x2x3x4x5x6x7x8x9"))),OR(10&gt;LEN(L945),MID(L945,10,1)=".",ISNUMBER(FIND("x"&amp;MID(L945,10,1),"x0x1x2x3x4x5x6x7x8x9"))),OR(AND(FIND(".",L945)=5,LEN(L945)-FIND(".",L945,FIND(".",L945)+1)&gt;=1,LEN(L945)-FIND(".",L945,FIND(".",L945)+1)&lt;=2),AND(LEN(L945)-FIND(".",L945,FIND(".",L945)+1)=4,FIND(".",L945)&gt;=2,FIND(".",L945)&lt;=3)),FIND(".",L945,FIND(".",L945)+1)-FIND(".",L945)&gt;=2,FIND(".",L945,FIND(".",L945)+1)-FIND(".",L945)&lt;=3,P945&gt;=2000,P945&lt;=2100,YEAR(S945)=P945,MONTH(S945)=Q945,DAY(S945)=R945),S945,0)),0)</ns0:f>
        <ns0:v>0</ns0:v>
      </ns0:c>
      <ns0:c r="U945" s="0" t="str">
        <ns0:f>IF(Bookings!C945="","Full day",Bookings!C945)</ns0:f>
        <ns0:v>Full day</ns0:v>
      </ns0:c>
      <ns0:c r="V945" s="0" t="str">
        <ns0:f>IF(Bookings!E945="","Full day",Bookings!E945)</ns0:f>
        <ns0:v>Full day</ns0:v>
      </ns0:c>
      <ns0:c r="W945" s="0">
        <ns0:f>IF(J945=0,0,J945+IF(U945="PM",1,0))</ns0:f>
        <ns0:v>0</ns0:v>
      </ns0:c>
      <ns0:c r="X945" s="0">
        <ns0:f>IF(T945=0,0,T945-IF(V945="PM",1,0))</ns0:f>
        <ns0:v>0</ns0:v>
      </ns0:c>
      <ns0:c r="Y945" s="0">
        <ns0:f>IF(J945=0,0,J945+IF(U945="AM",1,0))</ns0:f>
        <ns0:v>0</ns0:v>
      </ns0:c>
      <ns0:c r="Z945" s="0">
        <ns0:f>IF(T945=0,0,T945-IF(V945="AM",1,0))</ns0:f>
        <ns0:v>0</ns0:v>
      </ns0:c>
      <ns0:c r="AA945" s="0">
        <ns0:f>IFERROR(IF(AND(J945&gt;0,'_Engine'!C945&gt;0,MID('_Engine'!W945,WEEKDAY(J945,2),1)="W",COUNTIF(Settings!$F$18:$F$67,J945)=0),1,0),0)</ns0:f>
        <ns0:v>0</ns0:v>
      </ns0:c>
      <ns0:c r="AB945" s="0">
        <ns0:f>IFERROR(IF(AND(T945&gt;0,'_Engine'!C945&gt;0,MID('_Engine'!W945,WEEKDAY(T945,2),1)="W",COUNTIF(Settings!$F$18:$F$67,T945)=0),1,0),0)</ns0:f>
        <ns0:v>0</ns0:v>
      </ns0:c>
      <ns0:c r="AC945" s="0">
        <ns0:f>IF(AND(J945&gt;0,T945&gt;0,W945&lt;=X945),1,0)</ns0:f>
        <ns0:v>0</ns0:v>
      </ns0:c>
      <ns0:c r="AD945" s="0">
        <ns0:f>IF(AND(J945&gt;0,T945&gt;0,Y945&lt;=Z945),1,0)</ns0:f>
        <ns0:v>0</ns0:v>
      </ns0:c>
    </ns0:row>
    <ns0:row r="946">
      <ns0:c r="A946" s="0">
        <ns0:f>IFERROR(IF(ISNUMBER(Bookings!B946),"",TRIM(Bookings!B946&amp;"")),"")</ns0:f>
      </ns0:c>
      <ns0:c r="B946" s="0">
        <ns0:f>IFERROR(SUBSTITUTE(SUBSTITUTE(A946,"/","."),"-","."),"")</ns0:f>
      </ns0:c>
      <ns0:c r="C946" s="0">
        <ns0:f>IFERROR(LEFT(B946,FIND(".",B946)-1),"")</ns0:f>
      </ns0:c>
      <ns0:c r="D946" s="0">
        <ns0:f>IFERROR(MID(B946,FIND(".",B946)+1,FIND(".",B946,FIND(".",B946)+1)-FIND(".",B946)-1),"")</ns0:f>
      </ns0:c>
      <ns0:c r="E946" s="0">
        <ns0:f>IFERROR(MID(B946,FIND(".",B946,FIND(".",B946)+1)+1,99),"")</ns0:f>
        <ns0:v>99</ns0:v>
      </ns0:c>
      <ns0:c r="F946" s="0">
        <ns0:f>IFERROR(IF(FIND(".",B946)=5,--C946,--E946),0)</ns0:f>
        <ns0:v>0</ns0:v>
      </ns0:c>
      <ns0:c r="G946" s="0">
        <ns0:f>IFERROR(--D946,0)</ns0:f>
        <ns0:v>0</ns0:v>
      </ns0:c>
      <ns0:c r="H946" s="0">
        <ns0:f>IFERROR(IF(FIND(".",B946)=5,--E946,--C946),0)</ns0:f>
        <ns0:v>0</ns0:v>
      </ns0:c>
      <ns0:c r="I946" s="0">
        <ns0:f>IFERROR(IF(AND(F946&gt;=2000,F946&lt;=2100,G946&gt;=1,G946&lt;=12,H946&gt;=1,H946&lt;=31),DATE(F946,G946,H946),0),0)</ns0:f>
        <ns0:v>0</ns0:v>
      </ns0:c>
      <ns0:c r="J946" s="0">
        <ns0:f>IFERROR(IF(ISNUMBER(Bookings!B946),IF(AND(Bookings!B946=INT(Bookings!B946),Bookings!B946&gt;=DATE(2000,1,1),Bookings!B946&lt;=DATE(2100,12,31)),Bookings!B946,0),IF(AND(A946&lt;&gt;"",LEN("x"&amp;B946)-LEN(SUBSTITUTE("x"&amp;B946,".",""))=2,OR(1&gt;LEN(B946),MID(B946,1,1)=".",ISNUMBER(FIND("x"&amp;MID(B946,1,1),"x0x1x2x3x4x5x6x7x8x9"))),OR(2&gt;LEN(B946),MID(B946,2,1)=".",ISNUMBER(FIND("x"&amp;MID(B946,2,1),"x0x1x2x3x4x5x6x7x8x9"))),OR(3&gt;LEN(B946),MID(B946,3,1)=".",ISNUMBER(FIND("x"&amp;MID(B946,3,1),"x0x1x2x3x4x5x6x7x8x9"))),OR(4&gt;LEN(B946),MID(B946,4,1)=".",ISNUMBER(FIND("x"&amp;MID(B946,4,1),"x0x1x2x3x4x5x6x7x8x9"))),OR(5&gt;LEN(B946),MID(B946,5,1)=".",ISNUMBER(FIND("x"&amp;MID(B946,5,1),"x0x1x2x3x4x5x6x7x8x9"))),OR(6&gt;LEN(B946),MID(B946,6,1)=".",ISNUMBER(FIND("x"&amp;MID(B946,6,1),"x0x1x2x3x4x5x6x7x8x9"))),OR(7&gt;LEN(B946),MID(B946,7,1)=".",ISNUMBER(FIND("x"&amp;MID(B946,7,1),"x0x1x2x3x4x5x6x7x8x9"))),OR(8&gt;LEN(B946),MID(B946,8,1)=".",ISNUMBER(FIND("x"&amp;MID(B946,8,1),"x0x1x2x3x4x5x6x7x8x9"))),OR(9&gt;LEN(B946),MID(B946,9,1)=".",ISNUMBER(FIND("x"&amp;MID(B946,9,1),"x0x1x2x3x4x5x6x7x8x9"))),OR(10&gt;LEN(B946),MID(B946,10,1)=".",ISNUMBER(FIND("x"&amp;MID(B946,10,1),"x0x1x2x3x4x5x6x7x8x9"))),OR(AND(FIND(".",B946)=5,LEN(B946)-FIND(".",B946,FIND(".",B946)+1)&gt;=1,LEN(B946)-FIND(".",B946,FIND(".",B946)+1)&lt;=2),AND(LEN(B946)-FIND(".",B946,FIND(".",B946)+1)=4,FIND(".",B946)&gt;=2,FIND(".",B946)&lt;=3)),FIND(".",B946,FIND(".",B946)+1)-FIND(".",B946)&gt;=2,FIND(".",B946,FIND(".",B946)+1)-FIND(".",B946)&lt;=3,F946&gt;=2000,F946&lt;=2100,YEAR(I946)=F946,MONTH(I946)=G946,DAY(I946)=H946),I946,0)),0)</ns0:f>
        <ns0:v>0</ns0:v>
      </ns0:c>
      <ns0:c r="K946" s="0">
        <ns0:f>IFERROR(IF(ISNUMBER(Bookings!D946),"",TRIM(Bookings!D946&amp;"")),"")</ns0:f>
      </ns0:c>
      <ns0:c r="L946" s="0">
        <ns0:f>IFERROR(SUBSTITUTE(SUBSTITUTE(K946,"/","."),"-","."),"")</ns0:f>
      </ns0:c>
      <ns0:c r="M946" s="0">
        <ns0:f>IFERROR(LEFT(L946,FIND(".",L946)-1),"")</ns0:f>
      </ns0:c>
      <ns0:c r="N946" s="0">
        <ns0:f>IFERROR(MID(L946,FIND(".",L946)+1,FIND(".",L946,FIND(".",L946)+1)-FIND(".",L946)-1),"")</ns0:f>
      </ns0:c>
      <ns0:c r="O946" s="0">
        <ns0:f>IFERROR(MID(L946,FIND(".",L946,FIND(".",L946)+1)+1,99),"")</ns0:f>
        <ns0:v>99</ns0:v>
      </ns0:c>
      <ns0:c r="P946" s="0">
        <ns0:f>IFERROR(IF(FIND(".",L946)=5,--M946,--O946),0)</ns0:f>
        <ns0:v>0</ns0:v>
      </ns0:c>
      <ns0:c r="Q946" s="0">
        <ns0:f>IFERROR(--N946,0)</ns0:f>
        <ns0:v>0</ns0:v>
      </ns0:c>
      <ns0:c r="R946" s="0">
        <ns0:f>IFERROR(IF(FIND(".",L946)=5,--O946,--M946),0)</ns0:f>
        <ns0:v>0</ns0:v>
      </ns0:c>
      <ns0:c r="S946" s="0">
        <ns0:f>IFERROR(IF(AND(P946&gt;=2000,P946&lt;=2100,Q946&gt;=1,Q946&lt;=12,R946&gt;=1,R946&lt;=31),DATE(P946,Q946,R946),0),0)</ns0:f>
        <ns0:v>0</ns0:v>
      </ns0:c>
      <ns0:c r="T946" s="0">
        <ns0:f>IFERROR(IF(ISNUMBER(Bookings!D946),IF(AND(Bookings!D946=INT(Bookings!D946),Bookings!D946&gt;=DATE(2000,1,1),Bookings!D946&lt;=DATE(2100,12,31)),Bookings!D946,0),IF(AND(K946&lt;&gt;"",LEN("x"&amp;L946)-LEN(SUBSTITUTE("x"&amp;L946,".",""))=2,OR(1&gt;LEN(L946),MID(L946,1,1)=".",ISNUMBER(FIND("x"&amp;MID(L946,1,1),"x0x1x2x3x4x5x6x7x8x9"))),OR(2&gt;LEN(L946),MID(L946,2,1)=".",ISNUMBER(FIND("x"&amp;MID(L946,2,1),"x0x1x2x3x4x5x6x7x8x9"))),OR(3&gt;LEN(L946),MID(L946,3,1)=".",ISNUMBER(FIND("x"&amp;MID(L946,3,1),"x0x1x2x3x4x5x6x7x8x9"))),OR(4&gt;LEN(L946),MID(L946,4,1)=".",ISNUMBER(FIND("x"&amp;MID(L946,4,1),"x0x1x2x3x4x5x6x7x8x9"))),OR(5&gt;LEN(L946),MID(L946,5,1)=".",ISNUMBER(FIND("x"&amp;MID(L946,5,1),"x0x1x2x3x4x5x6x7x8x9"))),OR(6&gt;LEN(L946),MID(L946,6,1)=".",ISNUMBER(FIND("x"&amp;MID(L946,6,1),"x0x1x2x3x4x5x6x7x8x9"))),OR(7&gt;LEN(L946),MID(L946,7,1)=".",ISNUMBER(FIND("x"&amp;MID(L946,7,1),"x0x1x2x3x4x5x6x7x8x9"))),OR(8&gt;LEN(L946),MID(L946,8,1)=".",ISNUMBER(FIND("x"&amp;MID(L946,8,1),"x0x1x2x3x4x5x6x7x8x9"))),OR(9&gt;LEN(L946),MID(L946,9,1)=".",ISNUMBER(FIND("x"&amp;MID(L946,9,1),"x0x1x2x3x4x5x6x7x8x9"))),OR(10&gt;LEN(L946),MID(L946,10,1)=".",ISNUMBER(FIND("x"&amp;MID(L946,10,1),"x0x1x2x3x4x5x6x7x8x9"))),OR(AND(FIND(".",L946)=5,LEN(L946)-FIND(".",L946,FIND(".",L946)+1)&gt;=1,LEN(L946)-FIND(".",L946,FIND(".",L946)+1)&lt;=2),AND(LEN(L946)-FIND(".",L946,FIND(".",L946)+1)=4,FIND(".",L946)&gt;=2,FIND(".",L946)&lt;=3)),FIND(".",L946,FIND(".",L946)+1)-FIND(".",L946)&gt;=2,FIND(".",L946,FIND(".",L946)+1)-FIND(".",L946)&lt;=3,P946&gt;=2000,P946&lt;=2100,YEAR(S946)=P946,MONTH(S946)=Q946,DAY(S946)=R946),S946,0)),0)</ns0:f>
        <ns0:v>0</ns0:v>
      </ns0:c>
      <ns0:c r="U946" s="0" t="str">
        <ns0:f>IF(Bookings!C946="","Full day",Bookings!C946)</ns0:f>
        <ns0:v>Full day</ns0:v>
      </ns0:c>
      <ns0:c r="V946" s="0" t="str">
        <ns0:f>IF(Bookings!E946="","Full day",Bookings!E946)</ns0:f>
        <ns0:v>Full day</ns0:v>
      </ns0:c>
      <ns0:c r="W946" s="0">
        <ns0:f>IF(J946=0,0,J946+IF(U946="PM",1,0))</ns0:f>
        <ns0:v>0</ns0:v>
      </ns0:c>
      <ns0:c r="X946" s="0">
        <ns0:f>IF(T946=0,0,T946-IF(V946="PM",1,0))</ns0:f>
        <ns0:v>0</ns0:v>
      </ns0:c>
      <ns0:c r="Y946" s="0">
        <ns0:f>IF(J946=0,0,J946+IF(U946="AM",1,0))</ns0:f>
        <ns0:v>0</ns0:v>
      </ns0:c>
      <ns0:c r="Z946" s="0">
        <ns0:f>IF(T946=0,0,T946-IF(V946="AM",1,0))</ns0:f>
        <ns0:v>0</ns0:v>
      </ns0:c>
      <ns0:c r="AA946" s="0">
        <ns0:f>IFERROR(IF(AND(J946&gt;0,'_Engine'!C946&gt;0,MID('_Engine'!W946,WEEKDAY(J946,2),1)="W",COUNTIF(Settings!$F$18:$F$67,J946)=0),1,0),0)</ns0:f>
        <ns0:v>0</ns0:v>
      </ns0:c>
      <ns0:c r="AB946" s="0">
        <ns0:f>IFERROR(IF(AND(T946&gt;0,'_Engine'!C946&gt;0,MID('_Engine'!W946,WEEKDAY(T946,2),1)="W",COUNTIF(Settings!$F$18:$F$67,T946)=0),1,0),0)</ns0:f>
        <ns0:v>0</ns0:v>
      </ns0:c>
      <ns0:c r="AC946" s="0">
        <ns0:f>IF(AND(J946&gt;0,T946&gt;0,W946&lt;=X946),1,0)</ns0:f>
        <ns0:v>0</ns0:v>
      </ns0:c>
      <ns0:c r="AD946" s="0">
        <ns0:f>IF(AND(J946&gt;0,T946&gt;0,Y946&lt;=Z946),1,0)</ns0:f>
        <ns0:v>0</ns0:v>
      </ns0:c>
    </ns0:row>
    <ns0:row r="947">
      <ns0:c r="A947" s="0">
        <ns0:f>IFERROR(IF(ISNUMBER(Bookings!B947),"",TRIM(Bookings!B947&amp;"")),"")</ns0:f>
      </ns0:c>
      <ns0:c r="B947" s="0">
        <ns0:f>IFERROR(SUBSTITUTE(SUBSTITUTE(A947,"/","."),"-","."),"")</ns0:f>
      </ns0:c>
      <ns0:c r="C947" s="0">
        <ns0:f>IFERROR(LEFT(B947,FIND(".",B947)-1),"")</ns0:f>
      </ns0:c>
      <ns0:c r="D947" s="0">
        <ns0:f>IFERROR(MID(B947,FIND(".",B947)+1,FIND(".",B947,FIND(".",B947)+1)-FIND(".",B947)-1),"")</ns0:f>
      </ns0:c>
      <ns0:c r="E947" s="0">
        <ns0:f>IFERROR(MID(B947,FIND(".",B947,FIND(".",B947)+1)+1,99),"")</ns0:f>
        <ns0:v>99</ns0:v>
      </ns0:c>
      <ns0:c r="F947" s="0">
        <ns0:f>IFERROR(IF(FIND(".",B947)=5,--C947,--E947),0)</ns0:f>
        <ns0:v>0</ns0:v>
      </ns0:c>
      <ns0:c r="G947" s="0">
        <ns0:f>IFERROR(--D947,0)</ns0:f>
        <ns0:v>0</ns0:v>
      </ns0:c>
      <ns0:c r="H947" s="0">
        <ns0:f>IFERROR(IF(FIND(".",B947)=5,--E947,--C947),0)</ns0:f>
        <ns0:v>0</ns0:v>
      </ns0:c>
      <ns0:c r="I947" s="0">
        <ns0:f>IFERROR(IF(AND(F947&gt;=2000,F947&lt;=2100,G947&gt;=1,G947&lt;=12,H947&gt;=1,H947&lt;=31),DATE(F947,G947,H947),0),0)</ns0:f>
        <ns0:v>0</ns0:v>
      </ns0:c>
      <ns0:c r="J947" s="0">
        <ns0:f>IFERROR(IF(ISNUMBER(Bookings!B947),IF(AND(Bookings!B947=INT(Bookings!B947),Bookings!B947&gt;=DATE(2000,1,1),Bookings!B947&lt;=DATE(2100,12,31)),Bookings!B947,0),IF(AND(A947&lt;&gt;"",LEN("x"&amp;B947)-LEN(SUBSTITUTE("x"&amp;B947,".",""))=2,OR(1&gt;LEN(B947),MID(B947,1,1)=".",ISNUMBER(FIND("x"&amp;MID(B947,1,1),"x0x1x2x3x4x5x6x7x8x9"))),OR(2&gt;LEN(B947),MID(B947,2,1)=".",ISNUMBER(FIND("x"&amp;MID(B947,2,1),"x0x1x2x3x4x5x6x7x8x9"))),OR(3&gt;LEN(B947),MID(B947,3,1)=".",ISNUMBER(FIND("x"&amp;MID(B947,3,1),"x0x1x2x3x4x5x6x7x8x9"))),OR(4&gt;LEN(B947),MID(B947,4,1)=".",ISNUMBER(FIND("x"&amp;MID(B947,4,1),"x0x1x2x3x4x5x6x7x8x9"))),OR(5&gt;LEN(B947),MID(B947,5,1)=".",ISNUMBER(FIND("x"&amp;MID(B947,5,1),"x0x1x2x3x4x5x6x7x8x9"))),OR(6&gt;LEN(B947),MID(B947,6,1)=".",ISNUMBER(FIND("x"&amp;MID(B947,6,1),"x0x1x2x3x4x5x6x7x8x9"))),OR(7&gt;LEN(B947),MID(B947,7,1)=".",ISNUMBER(FIND("x"&amp;MID(B947,7,1),"x0x1x2x3x4x5x6x7x8x9"))),OR(8&gt;LEN(B947),MID(B947,8,1)=".",ISNUMBER(FIND("x"&amp;MID(B947,8,1),"x0x1x2x3x4x5x6x7x8x9"))),OR(9&gt;LEN(B947),MID(B947,9,1)=".",ISNUMBER(FIND("x"&amp;MID(B947,9,1),"x0x1x2x3x4x5x6x7x8x9"))),OR(10&gt;LEN(B947),MID(B947,10,1)=".",ISNUMBER(FIND("x"&amp;MID(B947,10,1),"x0x1x2x3x4x5x6x7x8x9"))),OR(AND(FIND(".",B947)=5,LEN(B947)-FIND(".",B947,FIND(".",B947)+1)&gt;=1,LEN(B947)-FIND(".",B947,FIND(".",B947)+1)&lt;=2),AND(LEN(B947)-FIND(".",B947,FIND(".",B947)+1)=4,FIND(".",B947)&gt;=2,FIND(".",B947)&lt;=3)),FIND(".",B947,FIND(".",B947)+1)-FIND(".",B947)&gt;=2,FIND(".",B947,FIND(".",B947)+1)-FIND(".",B947)&lt;=3,F947&gt;=2000,F947&lt;=2100,YEAR(I947)=F947,MONTH(I947)=G947,DAY(I947)=H947),I947,0)),0)</ns0:f>
        <ns0:v>0</ns0:v>
      </ns0:c>
      <ns0:c r="K947" s="0">
        <ns0:f>IFERROR(IF(ISNUMBER(Bookings!D947),"",TRIM(Bookings!D947&amp;"")),"")</ns0:f>
      </ns0:c>
      <ns0:c r="L947" s="0">
        <ns0:f>IFERROR(SUBSTITUTE(SUBSTITUTE(K947,"/","."),"-","."),"")</ns0:f>
      </ns0:c>
      <ns0:c r="M947" s="0">
        <ns0:f>IFERROR(LEFT(L947,FIND(".",L947)-1),"")</ns0:f>
      </ns0:c>
      <ns0:c r="N947" s="0">
        <ns0:f>IFERROR(MID(L947,FIND(".",L947)+1,FIND(".",L947,FIND(".",L947)+1)-FIND(".",L947)-1),"")</ns0:f>
      </ns0:c>
      <ns0:c r="O947" s="0">
        <ns0:f>IFERROR(MID(L947,FIND(".",L947,FIND(".",L947)+1)+1,99),"")</ns0:f>
        <ns0:v>99</ns0:v>
      </ns0:c>
      <ns0:c r="P947" s="0">
        <ns0:f>IFERROR(IF(FIND(".",L947)=5,--M947,--O947),0)</ns0:f>
        <ns0:v>0</ns0:v>
      </ns0:c>
      <ns0:c r="Q947" s="0">
        <ns0:f>IFERROR(--N947,0)</ns0:f>
        <ns0:v>0</ns0:v>
      </ns0:c>
      <ns0:c r="R947" s="0">
        <ns0:f>IFERROR(IF(FIND(".",L947)=5,--O947,--M947),0)</ns0:f>
        <ns0:v>0</ns0:v>
      </ns0:c>
      <ns0:c r="S947" s="0">
        <ns0:f>IFERROR(IF(AND(P947&gt;=2000,P947&lt;=2100,Q947&gt;=1,Q947&lt;=12,R947&gt;=1,R947&lt;=31),DATE(P947,Q947,R947),0),0)</ns0:f>
        <ns0:v>0</ns0:v>
      </ns0:c>
      <ns0:c r="T947" s="0">
        <ns0:f>IFERROR(IF(ISNUMBER(Bookings!D947),IF(AND(Bookings!D947=INT(Bookings!D947),Bookings!D947&gt;=DATE(2000,1,1),Bookings!D947&lt;=DATE(2100,12,31)),Bookings!D947,0),IF(AND(K947&lt;&gt;"",LEN("x"&amp;L947)-LEN(SUBSTITUTE("x"&amp;L947,".",""))=2,OR(1&gt;LEN(L947),MID(L947,1,1)=".",ISNUMBER(FIND("x"&amp;MID(L947,1,1),"x0x1x2x3x4x5x6x7x8x9"))),OR(2&gt;LEN(L947),MID(L947,2,1)=".",ISNUMBER(FIND("x"&amp;MID(L947,2,1),"x0x1x2x3x4x5x6x7x8x9"))),OR(3&gt;LEN(L947),MID(L947,3,1)=".",ISNUMBER(FIND("x"&amp;MID(L947,3,1),"x0x1x2x3x4x5x6x7x8x9"))),OR(4&gt;LEN(L947),MID(L947,4,1)=".",ISNUMBER(FIND("x"&amp;MID(L947,4,1),"x0x1x2x3x4x5x6x7x8x9"))),OR(5&gt;LEN(L947),MID(L947,5,1)=".",ISNUMBER(FIND("x"&amp;MID(L947,5,1),"x0x1x2x3x4x5x6x7x8x9"))),OR(6&gt;LEN(L947),MID(L947,6,1)=".",ISNUMBER(FIND("x"&amp;MID(L947,6,1),"x0x1x2x3x4x5x6x7x8x9"))),OR(7&gt;LEN(L947),MID(L947,7,1)=".",ISNUMBER(FIND("x"&amp;MID(L947,7,1),"x0x1x2x3x4x5x6x7x8x9"))),OR(8&gt;LEN(L947),MID(L947,8,1)=".",ISNUMBER(FIND("x"&amp;MID(L947,8,1),"x0x1x2x3x4x5x6x7x8x9"))),OR(9&gt;LEN(L947),MID(L947,9,1)=".",ISNUMBER(FIND("x"&amp;MID(L947,9,1),"x0x1x2x3x4x5x6x7x8x9"))),OR(10&gt;LEN(L947),MID(L947,10,1)=".",ISNUMBER(FIND("x"&amp;MID(L947,10,1),"x0x1x2x3x4x5x6x7x8x9"))),OR(AND(FIND(".",L947)=5,LEN(L947)-FIND(".",L947,FIND(".",L947)+1)&gt;=1,LEN(L947)-FIND(".",L947,FIND(".",L947)+1)&lt;=2),AND(LEN(L947)-FIND(".",L947,FIND(".",L947)+1)=4,FIND(".",L947)&gt;=2,FIND(".",L947)&lt;=3)),FIND(".",L947,FIND(".",L947)+1)-FIND(".",L947)&gt;=2,FIND(".",L947,FIND(".",L947)+1)-FIND(".",L947)&lt;=3,P947&gt;=2000,P947&lt;=2100,YEAR(S947)=P947,MONTH(S947)=Q947,DAY(S947)=R947),S947,0)),0)</ns0:f>
        <ns0:v>0</ns0:v>
      </ns0:c>
      <ns0:c r="U947" s="0" t="str">
        <ns0:f>IF(Bookings!C947="","Full day",Bookings!C947)</ns0:f>
        <ns0:v>Full day</ns0:v>
      </ns0:c>
      <ns0:c r="V947" s="0" t="str">
        <ns0:f>IF(Bookings!E947="","Full day",Bookings!E947)</ns0:f>
        <ns0:v>Full day</ns0:v>
      </ns0:c>
      <ns0:c r="W947" s="0">
        <ns0:f>IF(J947=0,0,J947+IF(U947="PM",1,0))</ns0:f>
        <ns0:v>0</ns0:v>
      </ns0:c>
      <ns0:c r="X947" s="0">
        <ns0:f>IF(T947=0,0,T947-IF(V947="PM",1,0))</ns0:f>
        <ns0:v>0</ns0:v>
      </ns0:c>
      <ns0:c r="Y947" s="0">
        <ns0:f>IF(J947=0,0,J947+IF(U947="AM",1,0))</ns0:f>
        <ns0:v>0</ns0:v>
      </ns0:c>
      <ns0:c r="Z947" s="0">
        <ns0:f>IF(T947=0,0,T947-IF(V947="AM",1,0))</ns0:f>
        <ns0:v>0</ns0:v>
      </ns0:c>
      <ns0:c r="AA947" s="0">
        <ns0:f>IFERROR(IF(AND(J947&gt;0,'_Engine'!C947&gt;0,MID('_Engine'!W947,WEEKDAY(J947,2),1)="W",COUNTIF(Settings!$F$18:$F$67,J947)=0),1,0),0)</ns0:f>
        <ns0:v>0</ns0:v>
      </ns0:c>
      <ns0:c r="AB947" s="0">
        <ns0:f>IFERROR(IF(AND(T947&gt;0,'_Engine'!C947&gt;0,MID('_Engine'!W947,WEEKDAY(T947,2),1)="W",COUNTIF(Settings!$F$18:$F$67,T947)=0),1,0),0)</ns0:f>
        <ns0:v>0</ns0:v>
      </ns0:c>
      <ns0:c r="AC947" s="0">
        <ns0:f>IF(AND(J947&gt;0,T947&gt;0,W947&lt;=X947),1,0)</ns0:f>
        <ns0:v>0</ns0:v>
      </ns0:c>
      <ns0:c r="AD947" s="0">
        <ns0:f>IF(AND(J947&gt;0,T947&gt;0,Y947&lt;=Z947),1,0)</ns0:f>
        <ns0:v>0</ns0:v>
      </ns0:c>
    </ns0:row>
    <ns0:row r="948">
      <ns0:c r="A948" s="0">
        <ns0:f>IFERROR(IF(ISNUMBER(Bookings!B948),"",TRIM(Bookings!B948&amp;"")),"")</ns0:f>
      </ns0:c>
      <ns0:c r="B948" s="0">
        <ns0:f>IFERROR(SUBSTITUTE(SUBSTITUTE(A948,"/","."),"-","."),"")</ns0:f>
      </ns0:c>
      <ns0:c r="C948" s="0">
        <ns0:f>IFERROR(LEFT(B948,FIND(".",B948)-1),"")</ns0:f>
      </ns0:c>
      <ns0:c r="D948" s="0">
        <ns0:f>IFERROR(MID(B948,FIND(".",B948)+1,FIND(".",B948,FIND(".",B948)+1)-FIND(".",B948)-1),"")</ns0:f>
      </ns0:c>
      <ns0:c r="E948" s="0">
        <ns0:f>IFERROR(MID(B948,FIND(".",B948,FIND(".",B948)+1)+1,99),"")</ns0:f>
        <ns0:v>99</ns0:v>
      </ns0:c>
      <ns0:c r="F948" s="0">
        <ns0:f>IFERROR(IF(FIND(".",B948)=5,--C948,--E948),0)</ns0:f>
        <ns0:v>0</ns0:v>
      </ns0:c>
      <ns0:c r="G948" s="0">
        <ns0:f>IFERROR(--D948,0)</ns0:f>
        <ns0:v>0</ns0:v>
      </ns0:c>
      <ns0:c r="H948" s="0">
        <ns0:f>IFERROR(IF(FIND(".",B948)=5,--E948,--C948),0)</ns0:f>
        <ns0:v>0</ns0:v>
      </ns0:c>
      <ns0:c r="I948" s="0">
        <ns0:f>IFERROR(IF(AND(F948&gt;=2000,F948&lt;=2100,G948&gt;=1,G948&lt;=12,H948&gt;=1,H948&lt;=31),DATE(F948,G948,H948),0),0)</ns0:f>
        <ns0:v>0</ns0:v>
      </ns0:c>
      <ns0:c r="J948" s="0">
        <ns0:f>IFERROR(IF(ISNUMBER(Bookings!B948),IF(AND(Bookings!B948=INT(Bookings!B948),Bookings!B948&gt;=DATE(2000,1,1),Bookings!B948&lt;=DATE(2100,12,31)),Bookings!B948,0),IF(AND(A948&lt;&gt;"",LEN("x"&amp;B948)-LEN(SUBSTITUTE("x"&amp;B948,".",""))=2,OR(1&gt;LEN(B948),MID(B948,1,1)=".",ISNUMBER(FIND("x"&amp;MID(B948,1,1),"x0x1x2x3x4x5x6x7x8x9"))),OR(2&gt;LEN(B948),MID(B948,2,1)=".",ISNUMBER(FIND("x"&amp;MID(B948,2,1),"x0x1x2x3x4x5x6x7x8x9"))),OR(3&gt;LEN(B948),MID(B948,3,1)=".",ISNUMBER(FIND("x"&amp;MID(B948,3,1),"x0x1x2x3x4x5x6x7x8x9"))),OR(4&gt;LEN(B948),MID(B948,4,1)=".",ISNUMBER(FIND("x"&amp;MID(B948,4,1),"x0x1x2x3x4x5x6x7x8x9"))),OR(5&gt;LEN(B948),MID(B948,5,1)=".",ISNUMBER(FIND("x"&amp;MID(B948,5,1),"x0x1x2x3x4x5x6x7x8x9"))),OR(6&gt;LEN(B948),MID(B948,6,1)=".",ISNUMBER(FIND("x"&amp;MID(B948,6,1),"x0x1x2x3x4x5x6x7x8x9"))),OR(7&gt;LEN(B948),MID(B948,7,1)=".",ISNUMBER(FIND("x"&amp;MID(B948,7,1),"x0x1x2x3x4x5x6x7x8x9"))),OR(8&gt;LEN(B948),MID(B948,8,1)=".",ISNUMBER(FIND("x"&amp;MID(B948,8,1),"x0x1x2x3x4x5x6x7x8x9"))),OR(9&gt;LEN(B948),MID(B948,9,1)=".",ISNUMBER(FIND("x"&amp;MID(B948,9,1),"x0x1x2x3x4x5x6x7x8x9"))),OR(10&gt;LEN(B948),MID(B948,10,1)=".",ISNUMBER(FIND("x"&amp;MID(B948,10,1),"x0x1x2x3x4x5x6x7x8x9"))),OR(AND(FIND(".",B948)=5,LEN(B948)-FIND(".",B948,FIND(".",B948)+1)&gt;=1,LEN(B948)-FIND(".",B948,FIND(".",B948)+1)&lt;=2),AND(LEN(B948)-FIND(".",B948,FIND(".",B948)+1)=4,FIND(".",B948)&gt;=2,FIND(".",B948)&lt;=3)),FIND(".",B948,FIND(".",B948)+1)-FIND(".",B948)&gt;=2,FIND(".",B948,FIND(".",B948)+1)-FIND(".",B948)&lt;=3,F948&gt;=2000,F948&lt;=2100,YEAR(I948)=F948,MONTH(I948)=G948,DAY(I948)=H948),I948,0)),0)</ns0:f>
        <ns0:v>0</ns0:v>
      </ns0:c>
      <ns0:c r="K948" s="0">
        <ns0:f>IFERROR(IF(ISNUMBER(Bookings!D948),"",TRIM(Bookings!D948&amp;"")),"")</ns0:f>
      </ns0:c>
      <ns0:c r="L948" s="0">
        <ns0:f>IFERROR(SUBSTITUTE(SUBSTITUTE(K948,"/","."),"-","."),"")</ns0:f>
      </ns0:c>
      <ns0:c r="M948" s="0">
        <ns0:f>IFERROR(LEFT(L948,FIND(".",L948)-1),"")</ns0:f>
      </ns0:c>
      <ns0:c r="N948" s="0">
        <ns0:f>IFERROR(MID(L948,FIND(".",L948)+1,FIND(".",L948,FIND(".",L948)+1)-FIND(".",L948)-1),"")</ns0:f>
      </ns0:c>
      <ns0:c r="O948" s="0">
        <ns0:f>IFERROR(MID(L948,FIND(".",L948,FIND(".",L948)+1)+1,99),"")</ns0:f>
        <ns0:v>99</ns0:v>
      </ns0:c>
      <ns0:c r="P948" s="0">
        <ns0:f>IFERROR(IF(FIND(".",L948)=5,--M948,--O948),0)</ns0:f>
        <ns0:v>0</ns0:v>
      </ns0:c>
      <ns0:c r="Q948" s="0">
        <ns0:f>IFERROR(--N948,0)</ns0:f>
        <ns0:v>0</ns0:v>
      </ns0:c>
      <ns0:c r="R948" s="0">
        <ns0:f>IFERROR(IF(FIND(".",L948)=5,--O948,--M948),0)</ns0:f>
        <ns0:v>0</ns0:v>
      </ns0:c>
      <ns0:c r="S948" s="0">
        <ns0:f>IFERROR(IF(AND(P948&gt;=2000,P948&lt;=2100,Q948&gt;=1,Q948&lt;=12,R948&gt;=1,R948&lt;=31),DATE(P948,Q948,R948),0),0)</ns0:f>
        <ns0:v>0</ns0:v>
      </ns0:c>
      <ns0:c r="T948" s="0">
        <ns0:f>IFERROR(IF(ISNUMBER(Bookings!D948),IF(AND(Bookings!D948=INT(Bookings!D948),Bookings!D948&gt;=DATE(2000,1,1),Bookings!D948&lt;=DATE(2100,12,31)),Bookings!D948,0),IF(AND(K948&lt;&gt;"",LEN("x"&amp;L948)-LEN(SUBSTITUTE("x"&amp;L948,".",""))=2,OR(1&gt;LEN(L948),MID(L948,1,1)=".",ISNUMBER(FIND("x"&amp;MID(L948,1,1),"x0x1x2x3x4x5x6x7x8x9"))),OR(2&gt;LEN(L948),MID(L948,2,1)=".",ISNUMBER(FIND("x"&amp;MID(L948,2,1),"x0x1x2x3x4x5x6x7x8x9"))),OR(3&gt;LEN(L948),MID(L948,3,1)=".",ISNUMBER(FIND("x"&amp;MID(L948,3,1),"x0x1x2x3x4x5x6x7x8x9"))),OR(4&gt;LEN(L948),MID(L948,4,1)=".",ISNUMBER(FIND("x"&amp;MID(L948,4,1),"x0x1x2x3x4x5x6x7x8x9"))),OR(5&gt;LEN(L948),MID(L948,5,1)=".",ISNUMBER(FIND("x"&amp;MID(L948,5,1),"x0x1x2x3x4x5x6x7x8x9"))),OR(6&gt;LEN(L948),MID(L948,6,1)=".",ISNUMBER(FIND("x"&amp;MID(L948,6,1),"x0x1x2x3x4x5x6x7x8x9"))),OR(7&gt;LEN(L948),MID(L948,7,1)=".",ISNUMBER(FIND("x"&amp;MID(L948,7,1),"x0x1x2x3x4x5x6x7x8x9"))),OR(8&gt;LEN(L948),MID(L948,8,1)=".",ISNUMBER(FIND("x"&amp;MID(L948,8,1),"x0x1x2x3x4x5x6x7x8x9"))),OR(9&gt;LEN(L948),MID(L948,9,1)=".",ISNUMBER(FIND("x"&amp;MID(L948,9,1),"x0x1x2x3x4x5x6x7x8x9"))),OR(10&gt;LEN(L948),MID(L948,10,1)=".",ISNUMBER(FIND("x"&amp;MID(L948,10,1),"x0x1x2x3x4x5x6x7x8x9"))),OR(AND(FIND(".",L948)=5,LEN(L948)-FIND(".",L948,FIND(".",L948)+1)&gt;=1,LEN(L948)-FIND(".",L948,FIND(".",L948)+1)&lt;=2),AND(LEN(L948)-FIND(".",L948,FIND(".",L948)+1)=4,FIND(".",L948)&gt;=2,FIND(".",L948)&lt;=3)),FIND(".",L948,FIND(".",L948)+1)-FIND(".",L948)&gt;=2,FIND(".",L948,FIND(".",L948)+1)-FIND(".",L948)&lt;=3,P948&gt;=2000,P948&lt;=2100,YEAR(S948)=P948,MONTH(S948)=Q948,DAY(S948)=R948),S948,0)),0)</ns0:f>
        <ns0:v>0</ns0:v>
      </ns0:c>
      <ns0:c r="U948" s="0" t="str">
        <ns0:f>IF(Bookings!C948="","Full day",Bookings!C948)</ns0:f>
        <ns0:v>Full day</ns0:v>
      </ns0:c>
      <ns0:c r="V948" s="0" t="str">
        <ns0:f>IF(Bookings!E948="","Full day",Bookings!E948)</ns0:f>
        <ns0:v>Full day</ns0:v>
      </ns0:c>
      <ns0:c r="W948" s="0">
        <ns0:f>IF(J948=0,0,J948+IF(U948="PM",1,0))</ns0:f>
        <ns0:v>0</ns0:v>
      </ns0:c>
      <ns0:c r="X948" s="0">
        <ns0:f>IF(T948=0,0,T948-IF(V948="PM",1,0))</ns0:f>
        <ns0:v>0</ns0:v>
      </ns0:c>
      <ns0:c r="Y948" s="0">
        <ns0:f>IF(J948=0,0,J948+IF(U948="AM",1,0))</ns0:f>
        <ns0:v>0</ns0:v>
      </ns0:c>
      <ns0:c r="Z948" s="0">
        <ns0:f>IF(T948=0,0,T948-IF(V948="AM",1,0))</ns0:f>
        <ns0:v>0</ns0:v>
      </ns0:c>
      <ns0:c r="AA948" s="0">
        <ns0:f>IFERROR(IF(AND(J948&gt;0,'_Engine'!C948&gt;0,MID('_Engine'!W948,WEEKDAY(J948,2),1)="W",COUNTIF(Settings!$F$18:$F$67,J948)=0),1,0),0)</ns0:f>
        <ns0:v>0</ns0:v>
      </ns0:c>
      <ns0:c r="AB948" s="0">
        <ns0:f>IFERROR(IF(AND(T948&gt;0,'_Engine'!C948&gt;0,MID('_Engine'!W948,WEEKDAY(T948,2),1)="W",COUNTIF(Settings!$F$18:$F$67,T948)=0),1,0),0)</ns0:f>
        <ns0:v>0</ns0:v>
      </ns0:c>
      <ns0:c r="AC948" s="0">
        <ns0:f>IF(AND(J948&gt;0,T948&gt;0,W948&lt;=X948),1,0)</ns0:f>
        <ns0:v>0</ns0:v>
      </ns0:c>
      <ns0:c r="AD948" s="0">
        <ns0:f>IF(AND(J948&gt;0,T948&gt;0,Y948&lt;=Z948),1,0)</ns0:f>
        <ns0:v>0</ns0:v>
      </ns0:c>
    </ns0:row>
    <ns0:row r="949">
      <ns0:c r="A949" s="0">
        <ns0:f>IFERROR(IF(ISNUMBER(Bookings!B949),"",TRIM(Bookings!B949&amp;"")),"")</ns0:f>
      </ns0:c>
      <ns0:c r="B949" s="0">
        <ns0:f>IFERROR(SUBSTITUTE(SUBSTITUTE(A949,"/","."),"-","."),"")</ns0:f>
      </ns0:c>
      <ns0:c r="C949" s="0">
        <ns0:f>IFERROR(LEFT(B949,FIND(".",B949)-1),"")</ns0:f>
      </ns0:c>
      <ns0:c r="D949" s="0">
        <ns0:f>IFERROR(MID(B949,FIND(".",B949)+1,FIND(".",B949,FIND(".",B949)+1)-FIND(".",B949)-1),"")</ns0:f>
      </ns0:c>
      <ns0:c r="E949" s="0">
        <ns0:f>IFERROR(MID(B949,FIND(".",B949,FIND(".",B949)+1)+1,99),"")</ns0:f>
        <ns0:v>99</ns0:v>
      </ns0:c>
      <ns0:c r="F949" s="0">
        <ns0:f>IFERROR(IF(FIND(".",B949)=5,--C949,--E949),0)</ns0:f>
        <ns0:v>0</ns0:v>
      </ns0:c>
      <ns0:c r="G949" s="0">
        <ns0:f>IFERROR(--D949,0)</ns0:f>
        <ns0:v>0</ns0:v>
      </ns0:c>
      <ns0:c r="H949" s="0">
        <ns0:f>IFERROR(IF(FIND(".",B949)=5,--E949,--C949),0)</ns0:f>
        <ns0:v>0</ns0:v>
      </ns0:c>
      <ns0:c r="I949" s="0">
        <ns0:f>IFERROR(IF(AND(F949&gt;=2000,F949&lt;=2100,G949&gt;=1,G949&lt;=12,H949&gt;=1,H949&lt;=31),DATE(F949,G949,H949),0),0)</ns0:f>
        <ns0:v>0</ns0:v>
      </ns0:c>
      <ns0:c r="J949" s="0">
        <ns0:f>IFERROR(IF(ISNUMBER(Bookings!B949),IF(AND(Bookings!B949=INT(Bookings!B949),Bookings!B949&gt;=DATE(2000,1,1),Bookings!B949&lt;=DATE(2100,12,31)),Bookings!B949,0),IF(AND(A949&lt;&gt;"",LEN("x"&amp;B949)-LEN(SUBSTITUTE("x"&amp;B949,".",""))=2,OR(1&gt;LEN(B949),MID(B949,1,1)=".",ISNUMBER(FIND("x"&amp;MID(B949,1,1),"x0x1x2x3x4x5x6x7x8x9"))),OR(2&gt;LEN(B949),MID(B949,2,1)=".",ISNUMBER(FIND("x"&amp;MID(B949,2,1),"x0x1x2x3x4x5x6x7x8x9"))),OR(3&gt;LEN(B949),MID(B949,3,1)=".",ISNUMBER(FIND("x"&amp;MID(B949,3,1),"x0x1x2x3x4x5x6x7x8x9"))),OR(4&gt;LEN(B949),MID(B949,4,1)=".",ISNUMBER(FIND("x"&amp;MID(B949,4,1),"x0x1x2x3x4x5x6x7x8x9"))),OR(5&gt;LEN(B949),MID(B949,5,1)=".",ISNUMBER(FIND("x"&amp;MID(B949,5,1),"x0x1x2x3x4x5x6x7x8x9"))),OR(6&gt;LEN(B949),MID(B949,6,1)=".",ISNUMBER(FIND("x"&amp;MID(B949,6,1),"x0x1x2x3x4x5x6x7x8x9"))),OR(7&gt;LEN(B949),MID(B949,7,1)=".",ISNUMBER(FIND("x"&amp;MID(B949,7,1),"x0x1x2x3x4x5x6x7x8x9"))),OR(8&gt;LEN(B949),MID(B949,8,1)=".",ISNUMBER(FIND("x"&amp;MID(B949,8,1),"x0x1x2x3x4x5x6x7x8x9"))),OR(9&gt;LEN(B949),MID(B949,9,1)=".",ISNUMBER(FIND("x"&amp;MID(B949,9,1),"x0x1x2x3x4x5x6x7x8x9"))),OR(10&gt;LEN(B949),MID(B949,10,1)=".",ISNUMBER(FIND("x"&amp;MID(B949,10,1),"x0x1x2x3x4x5x6x7x8x9"))),OR(AND(FIND(".",B949)=5,LEN(B949)-FIND(".",B949,FIND(".",B949)+1)&gt;=1,LEN(B949)-FIND(".",B949,FIND(".",B949)+1)&lt;=2),AND(LEN(B949)-FIND(".",B949,FIND(".",B949)+1)=4,FIND(".",B949)&gt;=2,FIND(".",B949)&lt;=3)),FIND(".",B949,FIND(".",B949)+1)-FIND(".",B949)&gt;=2,FIND(".",B949,FIND(".",B949)+1)-FIND(".",B949)&lt;=3,F949&gt;=2000,F949&lt;=2100,YEAR(I949)=F949,MONTH(I949)=G949,DAY(I949)=H949),I949,0)),0)</ns0:f>
        <ns0:v>0</ns0:v>
      </ns0:c>
      <ns0:c r="K949" s="0">
        <ns0:f>IFERROR(IF(ISNUMBER(Bookings!D949),"",TRIM(Bookings!D949&amp;"")),"")</ns0:f>
      </ns0:c>
      <ns0:c r="L949" s="0">
        <ns0:f>IFERROR(SUBSTITUTE(SUBSTITUTE(K949,"/","."),"-","."),"")</ns0:f>
      </ns0:c>
      <ns0:c r="M949" s="0">
        <ns0:f>IFERROR(LEFT(L949,FIND(".",L949)-1),"")</ns0:f>
      </ns0:c>
      <ns0:c r="N949" s="0">
        <ns0:f>IFERROR(MID(L949,FIND(".",L949)+1,FIND(".",L949,FIND(".",L949)+1)-FIND(".",L949)-1),"")</ns0:f>
      </ns0:c>
      <ns0:c r="O949" s="0">
        <ns0:f>IFERROR(MID(L949,FIND(".",L949,FIND(".",L949)+1)+1,99),"")</ns0:f>
        <ns0:v>99</ns0:v>
      </ns0:c>
      <ns0:c r="P949" s="0">
        <ns0:f>IFERROR(IF(FIND(".",L949)=5,--M949,--O949),0)</ns0:f>
        <ns0:v>0</ns0:v>
      </ns0:c>
      <ns0:c r="Q949" s="0">
        <ns0:f>IFERROR(--N949,0)</ns0:f>
        <ns0:v>0</ns0:v>
      </ns0:c>
      <ns0:c r="R949" s="0">
        <ns0:f>IFERROR(IF(FIND(".",L949)=5,--O949,--M949),0)</ns0:f>
        <ns0:v>0</ns0:v>
      </ns0:c>
      <ns0:c r="S949" s="0">
        <ns0:f>IFERROR(IF(AND(P949&gt;=2000,P949&lt;=2100,Q949&gt;=1,Q949&lt;=12,R949&gt;=1,R949&lt;=31),DATE(P949,Q949,R949),0),0)</ns0:f>
        <ns0:v>0</ns0:v>
      </ns0:c>
      <ns0:c r="T949" s="0">
        <ns0:f>IFERROR(IF(ISNUMBER(Bookings!D949),IF(AND(Bookings!D949=INT(Bookings!D949),Bookings!D949&gt;=DATE(2000,1,1),Bookings!D949&lt;=DATE(2100,12,31)),Bookings!D949,0),IF(AND(K949&lt;&gt;"",LEN("x"&amp;L949)-LEN(SUBSTITUTE("x"&amp;L949,".",""))=2,OR(1&gt;LEN(L949),MID(L949,1,1)=".",ISNUMBER(FIND("x"&amp;MID(L949,1,1),"x0x1x2x3x4x5x6x7x8x9"))),OR(2&gt;LEN(L949),MID(L949,2,1)=".",ISNUMBER(FIND("x"&amp;MID(L949,2,1),"x0x1x2x3x4x5x6x7x8x9"))),OR(3&gt;LEN(L949),MID(L949,3,1)=".",ISNUMBER(FIND("x"&amp;MID(L949,3,1),"x0x1x2x3x4x5x6x7x8x9"))),OR(4&gt;LEN(L949),MID(L949,4,1)=".",ISNUMBER(FIND("x"&amp;MID(L949,4,1),"x0x1x2x3x4x5x6x7x8x9"))),OR(5&gt;LEN(L949),MID(L949,5,1)=".",ISNUMBER(FIND("x"&amp;MID(L949,5,1),"x0x1x2x3x4x5x6x7x8x9"))),OR(6&gt;LEN(L949),MID(L949,6,1)=".",ISNUMBER(FIND("x"&amp;MID(L949,6,1),"x0x1x2x3x4x5x6x7x8x9"))),OR(7&gt;LEN(L949),MID(L949,7,1)=".",ISNUMBER(FIND("x"&amp;MID(L949,7,1),"x0x1x2x3x4x5x6x7x8x9"))),OR(8&gt;LEN(L949),MID(L949,8,1)=".",ISNUMBER(FIND("x"&amp;MID(L949,8,1),"x0x1x2x3x4x5x6x7x8x9"))),OR(9&gt;LEN(L949),MID(L949,9,1)=".",ISNUMBER(FIND("x"&amp;MID(L949,9,1),"x0x1x2x3x4x5x6x7x8x9"))),OR(10&gt;LEN(L949),MID(L949,10,1)=".",ISNUMBER(FIND("x"&amp;MID(L949,10,1),"x0x1x2x3x4x5x6x7x8x9"))),OR(AND(FIND(".",L949)=5,LEN(L949)-FIND(".",L949,FIND(".",L949)+1)&gt;=1,LEN(L949)-FIND(".",L949,FIND(".",L949)+1)&lt;=2),AND(LEN(L949)-FIND(".",L949,FIND(".",L949)+1)=4,FIND(".",L949)&gt;=2,FIND(".",L949)&lt;=3)),FIND(".",L949,FIND(".",L949)+1)-FIND(".",L949)&gt;=2,FIND(".",L949,FIND(".",L949)+1)-FIND(".",L949)&lt;=3,P949&gt;=2000,P949&lt;=2100,YEAR(S949)=P949,MONTH(S949)=Q949,DAY(S949)=R949),S949,0)),0)</ns0:f>
        <ns0:v>0</ns0:v>
      </ns0:c>
      <ns0:c r="U949" s="0" t="str">
        <ns0:f>IF(Bookings!C949="","Full day",Bookings!C949)</ns0:f>
        <ns0:v>Full day</ns0:v>
      </ns0:c>
      <ns0:c r="V949" s="0" t="str">
        <ns0:f>IF(Bookings!E949="","Full day",Bookings!E949)</ns0:f>
        <ns0:v>Full day</ns0:v>
      </ns0:c>
      <ns0:c r="W949" s="0">
        <ns0:f>IF(J949=0,0,J949+IF(U949="PM",1,0))</ns0:f>
        <ns0:v>0</ns0:v>
      </ns0:c>
      <ns0:c r="X949" s="0">
        <ns0:f>IF(T949=0,0,T949-IF(V949="PM",1,0))</ns0:f>
        <ns0:v>0</ns0:v>
      </ns0:c>
      <ns0:c r="Y949" s="0">
        <ns0:f>IF(J949=0,0,J949+IF(U949="AM",1,0))</ns0:f>
        <ns0:v>0</ns0:v>
      </ns0:c>
      <ns0:c r="Z949" s="0">
        <ns0:f>IF(T949=0,0,T949-IF(V949="AM",1,0))</ns0:f>
        <ns0:v>0</ns0:v>
      </ns0:c>
      <ns0:c r="AA949" s="0">
        <ns0:f>IFERROR(IF(AND(J949&gt;0,'_Engine'!C949&gt;0,MID('_Engine'!W949,WEEKDAY(J949,2),1)="W",COUNTIF(Settings!$F$18:$F$67,J949)=0),1,0),0)</ns0:f>
        <ns0:v>0</ns0:v>
      </ns0:c>
      <ns0:c r="AB949" s="0">
        <ns0:f>IFERROR(IF(AND(T949&gt;0,'_Engine'!C949&gt;0,MID('_Engine'!W949,WEEKDAY(T949,2),1)="W",COUNTIF(Settings!$F$18:$F$67,T949)=0),1,0),0)</ns0:f>
        <ns0:v>0</ns0:v>
      </ns0:c>
      <ns0:c r="AC949" s="0">
        <ns0:f>IF(AND(J949&gt;0,T949&gt;0,W949&lt;=X949),1,0)</ns0:f>
        <ns0:v>0</ns0:v>
      </ns0:c>
      <ns0:c r="AD949" s="0">
        <ns0:f>IF(AND(J949&gt;0,T949&gt;0,Y949&lt;=Z949),1,0)</ns0:f>
        <ns0:v>0</ns0:v>
      </ns0:c>
    </ns0:row>
    <ns0:row r="950">
      <ns0:c r="A950" s="0">
        <ns0:f>IFERROR(IF(ISNUMBER(Bookings!B950),"",TRIM(Bookings!B950&amp;"")),"")</ns0:f>
      </ns0:c>
      <ns0:c r="B950" s="0">
        <ns0:f>IFERROR(SUBSTITUTE(SUBSTITUTE(A950,"/","."),"-","."),"")</ns0:f>
      </ns0:c>
      <ns0:c r="C950" s="0">
        <ns0:f>IFERROR(LEFT(B950,FIND(".",B950)-1),"")</ns0:f>
      </ns0:c>
      <ns0:c r="D950" s="0">
        <ns0:f>IFERROR(MID(B950,FIND(".",B950)+1,FIND(".",B950,FIND(".",B950)+1)-FIND(".",B950)-1),"")</ns0:f>
      </ns0:c>
      <ns0:c r="E950" s="0">
        <ns0:f>IFERROR(MID(B950,FIND(".",B950,FIND(".",B950)+1)+1,99),"")</ns0:f>
        <ns0:v>99</ns0:v>
      </ns0:c>
      <ns0:c r="F950" s="0">
        <ns0:f>IFERROR(IF(FIND(".",B950)=5,--C950,--E950),0)</ns0:f>
        <ns0:v>0</ns0:v>
      </ns0:c>
      <ns0:c r="G950" s="0">
        <ns0:f>IFERROR(--D950,0)</ns0:f>
        <ns0:v>0</ns0:v>
      </ns0:c>
      <ns0:c r="H950" s="0">
        <ns0:f>IFERROR(IF(FIND(".",B950)=5,--E950,--C950),0)</ns0:f>
        <ns0:v>0</ns0:v>
      </ns0:c>
      <ns0:c r="I950" s="0">
        <ns0:f>IFERROR(IF(AND(F950&gt;=2000,F950&lt;=2100,G950&gt;=1,G950&lt;=12,H950&gt;=1,H950&lt;=31),DATE(F950,G950,H950),0),0)</ns0:f>
        <ns0:v>0</ns0:v>
      </ns0:c>
      <ns0:c r="J950" s="0">
        <ns0:f>IFERROR(IF(ISNUMBER(Bookings!B950),IF(AND(Bookings!B950=INT(Bookings!B950),Bookings!B950&gt;=DATE(2000,1,1),Bookings!B950&lt;=DATE(2100,12,31)),Bookings!B950,0),IF(AND(A950&lt;&gt;"",LEN("x"&amp;B950)-LEN(SUBSTITUTE("x"&amp;B950,".",""))=2,OR(1&gt;LEN(B950),MID(B950,1,1)=".",ISNUMBER(FIND("x"&amp;MID(B950,1,1),"x0x1x2x3x4x5x6x7x8x9"))),OR(2&gt;LEN(B950),MID(B950,2,1)=".",ISNUMBER(FIND("x"&amp;MID(B950,2,1),"x0x1x2x3x4x5x6x7x8x9"))),OR(3&gt;LEN(B950),MID(B950,3,1)=".",ISNUMBER(FIND("x"&amp;MID(B950,3,1),"x0x1x2x3x4x5x6x7x8x9"))),OR(4&gt;LEN(B950),MID(B950,4,1)=".",ISNUMBER(FIND("x"&amp;MID(B950,4,1),"x0x1x2x3x4x5x6x7x8x9"))),OR(5&gt;LEN(B950),MID(B950,5,1)=".",ISNUMBER(FIND("x"&amp;MID(B950,5,1),"x0x1x2x3x4x5x6x7x8x9"))),OR(6&gt;LEN(B950),MID(B950,6,1)=".",ISNUMBER(FIND("x"&amp;MID(B950,6,1),"x0x1x2x3x4x5x6x7x8x9"))),OR(7&gt;LEN(B950),MID(B950,7,1)=".",ISNUMBER(FIND("x"&amp;MID(B950,7,1),"x0x1x2x3x4x5x6x7x8x9"))),OR(8&gt;LEN(B950),MID(B950,8,1)=".",ISNUMBER(FIND("x"&amp;MID(B950,8,1),"x0x1x2x3x4x5x6x7x8x9"))),OR(9&gt;LEN(B950),MID(B950,9,1)=".",ISNUMBER(FIND("x"&amp;MID(B950,9,1),"x0x1x2x3x4x5x6x7x8x9"))),OR(10&gt;LEN(B950),MID(B950,10,1)=".",ISNUMBER(FIND("x"&amp;MID(B950,10,1),"x0x1x2x3x4x5x6x7x8x9"))),OR(AND(FIND(".",B950)=5,LEN(B950)-FIND(".",B950,FIND(".",B950)+1)&gt;=1,LEN(B950)-FIND(".",B950,FIND(".",B950)+1)&lt;=2),AND(LEN(B950)-FIND(".",B950,FIND(".",B950)+1)=4,FIND(".",B950)&gt;=2,FIND(".",B950)&lt;=3)),FIND(".",B950,FIND(".",B950)+1)-FIND(".",B950)&gt;=2,FIND(".",B950,FIND(".",B950)+1)-FIND(".",B950)&lt;=3,F950&gt;=2000,F950&lt;=2100,YEAR(I950)=F950,MONTH(I950)=G950,DAY(I950)=H950),I950,0)),0)</ns0:f>
        <ns0:v>0</ns0:v>
      </ns0:c>
      <ns0:c r="K950" s="0">
        <ns0:f>IFERROR(IF(ISNUMBER(Bookings!D950),"",TRIM(Bookings!D950&amp;"")),"")</ns0:f>
      </ns0:c>
      <ns0:c r="L950" s="0">
        <ns0:f>IFERROR(SUBSTITUTE(SUBSTITUTE(K950,"/","."),"-","."),"")</ns0:f>
      </ns0:c>
      <ns0:c r="M950" s="0">
        <ns0:f>IFERROR(LEFT(L950,FIND(".",L950)-1),"")</ns0:f>
      </ns0:c>
      <ns0:c r="N950" s="0">
        <ns0:f>IFERROR(MID(L950,FIND(".",L950)+1,FIND(".",L950,FIND(".",L950)+1)-FIND(".",L950)-1),"")</ns0:f>
      </ns0:c>
      <ns0:c r="O950" s="0">
        <ns0:f>IFERROR(MID(L950,FIND(".",L950,FIND(".",L950)+1)+1,99),"")</ns0:f>
        <ns0:v>99</ns0:v>
      </ns0:c>
      <ns0:c r="P950" s="0">
        <ns0:f>IFERROR(IF(FIND(".",L950)=5,--M950,--O950),0)</ns0:f>
        <ns0:v>0</ns0:v>
      </ns0:c>
      <ns0:c r="Q950" s="0">
        <ns0:f>IFERROR(--N950,0)</ns0:f>
        <ns0:v>0</ns0:v>
      </ns0:c>
      <ns0:c r="R950" s="0">
        <ns0:f>IFERROR(IF(FIND(".",L950)=5,--O950,--M950),0)</ns0:f>
        <ns0:v>0</ns0:v>
      </ns0:c>
      <ns0:c r="S950" s="0">
        <ns0:f>IFERROR(IF(AND(P950&gt;=2000,P950&lt;=2100,Q950&gt;=1,Q950&lt;=12,R950&gt;=1,R950&lt;=31),DATE(P950,Q950,R950),0),0)</ns0:f>
        <ns0:v>0</ns0:v>
      </ns0:c>
      <ns0:c r="T950" s="0">
        <ns0:f>IFERROR(IF(ISNUMBER(Bookings!D950),IF(AND(Bookings!D950=INT(Bookings!D950),Bookings!D950&gt;=DATE(2000,1,1),Bookings!D950&lt;=DATE(2100,12,31)),Bookings!D950,0),IF(AND(K950&lt;&gt;"",LEN("x"&amp;L950)-LEN(SUBSTITUTE("x"&amp;L950,".",""))=2,OR(1&gt;LEN(L950),MID(L950,1,1)=".",ISNUMBER(FIND("x"&amp;MID(L950,1,1),"x0x1x2x3x4x5x6x7x8x9"))),OR(2&gt;LEN(L950),MID(L950,2,1)=".",ISNUMBER(FIND("x"&amp;MID(L950,2,1),"x0x1x2x3x4x5x6x7x8x9"))),OR(3&gt;LEN(L950),MID(L950,3,1)=".",ISNUMBER(FIND("x"&amp;MID(L950,3,1),"x0x1x2x3x4x5x6x7x8x9"))),OR(4&gt;LEN(L950),MID(L950,4,1)=".",ISNUMBER(FIND("x"&amp;MID(L950,4,1),"x0x1x2x3x4x5x6x7x8x9"))),OR(5&gt;LEN(L950),MID(L950,5,1)=".",ISNUMBER(FIND("x"&amp;MID(L950,5,1),"x0x1x2x3x4x5x6x7x8x9"))),OR(6&gt;LEN(L950),MID(L950,6,1)=".",ISNUMBER(FIND("x"&amp;MID(L950,6,1),"x0x1x2x3x4x5x6x7x8x9"))),OR(7&gt;LEN(L950),MID(L950,7,1)=".",ISNUMBER(FIND("x"&amp;MID(L950,7,1),"x0x1x2x3x4x5x6x7x8x9"))),OR(8&gt;LEN(L950),MID(L950,8,1)=".",ISNUMBER(FIND("x"&amp;MID(L950,8,1),"x0x1x2x3x4x5x6x7x8x9"))),OR(9&gt;LEN(L950),MID(L950,9,1)=".",ISNUMBER(FIND("x"&amp;MID(L950,9,1),"x0x1x2x3x4x5x6x7x8x9"))),OR(10&gt;LEN(L950),MID(L950,10,1)=".",ISNUMBER(FIND("x"&amp;MID(L950,10,1),"x0x1x2x3x4x5x6x7x8x9"))),OR(AND(FIND(".",L950)=5,LEN(L950)-FIND(".",L950,FIND(".",L950)+1)&gt;=1,LEN(L950)-FIND(".",L950,FIND(".",L950)+1)&lt;=2),AND(LEN(L950)-FIND(".",L950,FIND(".",L950)+1)=4,FIND(".",L950)&gt;=2,FIND(".",L950)&lt;=3)),FIND(".",L950,FIND(".",L950)+1)-FIND(".",L950)&gt;=2,FIND(".",L950,FIND(".",L950)+1)-FIND(".",L950)&lt;=3,P950&gt;=2000,P950&lt;=2100,YEAR(S950)=P950,MONTH(S950)=Q950,DAY(S950)=R950),S950,0)),0)</ns0:f>
        <ns0:v>0</ns0:v>
      </ns0:c>
      <ns0:c r="U950" s="0" t="str">
        <ns0:f>IF(Bookings!C950="","Full day",Bookings!C950)</ns0:f>
        <ns0:v>Full day</ns0:v>
      </ns0:c>
      <ns0:c r="V950" s="0" t="str">
        <ns0:f>IF(Bookings!E950="","Full day",Bookings!E950)</ns0:f>
        <ns0:v>Full day</ns0:v>
      </ns0:c>
      <ns0:c r="W950" s="0">
        <ns0:f>IF(J950=0,0,J950+IF(U950="PM",1,0))</ns0:f>
        <ns0:v>0</ns0:v>
      </ns0:c>
      <ns0:c r="X950" s="0">
        <ns0:f>IF(T950=0,0,T950-IF(V950="PM",1,0))</ns0:f>
        <ns0:v>0</ns0:v>
      </ns0:c>
      <ns0:c r="Y950" s="0">
        <ns0:f>IF(J950=0,0,J950+IF(U950="AM",1,0))</ns0:f>
        <ns0:v>0</ns0:v>
      </ns0:c>
      <ns0:c r="Z950" s="0">
        <ns0:f>IF(T950=0,0,T950-IF(V950="AM",1,0))</ns0:f>
        <ns0:v>0</ns0:v>
      </ns0:c>
      <ns0:c r="AA950" s="0">
        <ns0:f>IFERROR(IF(AND(J950&gt;0,'_Engine'!C950&gt;0,MID('_Engine'!W950,WEEKDAY(J950,2),1)="W",COUNTIF(Settings!$F$18:$F$67,J950)=0),1,0),0)</ns0:f>
        <ns0:v>0</ns0:v>
      </ns0:c>
      <ns0:c r="AB950" s="0">
        <ns0:f>IFERROR(IF(AND(T950&gt;0,'_Engine'!C950&gt;0,MID('_Engine'!W950,WEEKDAY(T950,2),1)="W",COUNTIF(Settings!$F$18:$F$67,T950)=0),1,0),0)</ns0:f>
        <ns0:v>0</ns0:v>
      </ns0:c>
      <ns0:c r="AC950" s="0">
        <ns0:f>IF(AND(J950&gt;0,T950&gt;0,W950&lt;=X950),1,0)</ns0:f>
        <ns0:v>0</ns0:v>
      </ns0:c>
      <ns0:c r="AD950" s="0">
        <ns0:f>IF(AND(J950&gt;0,T950&gt;0,Y950&lt;=Z950),1,0)</ns0:f>
        <ns0:v>0</ns0:v>
      </ns0:c>
    </ns0:row>
    <ns0:row r="951">
      <ns0:c r="A951" s="0">
        <ns0:f>IFERROR(IF(ISNUMBER(Bookings!B951),"",TRIM(Bookings!B951&amp;"")),"")</ns0:f>
      </ns0:c>
      <ns0:c r="B951" s="0">
        <ns0:f>IFERROR(SUBSTITUTE(SUBSTITUTE(A951,"/","."),"-","."),"")</ns0:f>
      </ns0:c>
      <ns0:c r="C951" s="0">
        <ns0:f>IFERROR(LEFT(B951,FIND(".",B951)-1),"")</ns0:f>
      </ns0:c>
      <ns0:c r="D951" s="0">
        <ns0:f>IFERROR(MID(B951,FIND(".",B951)+1,FIND(".",B951,FIND(".",B951)+1)-FIND(".",B951)-1),"")</ns0:f>
      </ns0:c>
      <ns0:c r="E951" s="0">
        <ns0:f>IFERROR(MID(B951,FIND(".",B951,FIND(".",B951)+1)+1,99),"")</ns0:f>
        <ns0:v>99</ns0:v>
      </ns0:c>
      <ns0:c r="F951" s="0">
        <ns0:f>IFERROR(IF(FIND(".",B951)=5,--C951,--E951),0)</ns0:f>
        <ns0:v>0</ns0:v>
      </ns0:c>
      <ns0:c r="G951" s="0">
        <ns0:f>IFERROR(--D951,0)</ns0:f>
        <ns0:v>0</ns0:v>
      </ns0:c>
      <ns0:c r="H951" s="0">
        <ns0:f>IFERROR(IF(FIND(".",B951)=5,--E951,--C951),0)</ns0:f>
        <ns0:v>0</ns0:v>
      </ns0:c>
      <ns0:c r="I951" s="0">
        <ns0:f>IFERROR(IF(AND(F951&gt;=2000,F951&lt;=2100,G951&gt;=1,G951&lt;=12,H951&gt;=1,H951&lt;=31),DATE(F951,G951,H951),0),0)</ns0:f>
        <ns0:v>0</ns0:v>
      </ns0:c>
      <ns0:c r="J951" s="0">
        <ns0:f>IFERROR(IF(ISNUMBER(Bookings!B951),IF(AND(Bookings!B951=INT(Bookings!B951),Bookings!B951&gt;=DATE(2000,1,1),Bookings!B951&lt;=DATE(2100,12,31)),Bookings!B951,0),IF(AND(A951&lt;&gt;"",LEN("x"&amp;B951)-LEN(SUBSTITUTE("x"&amp;B951,".",""))=2,OR(1&gt;LEN(B951),MID(B951,1,1)=".",ISNUMBER(FIND("x"&amp;MID(B951,1,1),"x0x1x2x3x4x5x6x7x8x9"))),OR(2&gt;LEN(B951),MID(B951,2,1)=".",ISNUMBER(FIND("x"&amp;MID(B951,2,1),"x0x1x2x3x4x5x6x7x8x9"))),OR(3&gt;LEN(B951),MID(B951,3,1)=".",ISNUMBER(FIND("x"&amp;MID(B951,3,1),"x0x1x2x3x4x5x6x7x8x9"))),OR(4&gt;LEN(B951),MID(B951,4,1)=".",ISNUMBER(FIND("x"&amp;MID(B951,4,1),"x0x1x2x3x4x5x6x7x8x9"))),OR(5&gt;LEN(B951),MID(B951,5,1)=".",ISNUMBER(FIND("x"&amp;MID(B951,5,1),"x0x1x2x3x4x5x6x7x8x9"))),OR(6&gt;LEN(B951),MID(B951,6,1)=".",ISNUMBER(FIND("x"&amp;MID(B951,6,1),"x0x1x2x3x4x5x6x7x8x9"))),OR(7&gt;LEN(B951),MID(B951,7,1)=".",ISNUMBER(FIND("x"&amp;MID(B951,7,1),"x0x1x2x3x4x5x6x7x8x9"))),OR(8&gt;LEN(B951),MID(B951,8,1)=".",ISNUMBER(FIND("x"&amp;MID(B951,8,1),"x0x1x2x3x4x5x6x7x8x9"))),OR(9&gt;LEN(B951),MID(B951,9,1)=".",ISNUMBER(FIND("x"&amp;MID(B951,9,1),"x0x1x2x3x4x5x6x7x8x9"))),OR(10&gt;LEN(B951),MID(B951,10,1)=".",ISNUMBER(FIND("x"&amp;MID(B951,10,1),"x0x1x2x3x4x5x6x7x8x9"))),OR(AND(FIND(".",B951)=5,LEN(B951)-FIND(".",B951,FIND(".",B951)+1)&gt;=1,LEN(B951)-FIND(".",B951,FIND(".",B951)+1)&lt;=2),AND(LEN(B951)-FIND(".",B951,FIND(".",B951)+1)=4,FIND(".",B951)&gt;=2,FIND(".",B951)&lt;=3)),FIND(".",B951,FIND(".",B951)+1)-FIND(".",B951)&gt;=2,FIND(".",B951,FIND(".",B951)+1)-FIND(".",B951)&lt;=3,F951&gt;=2000,F951&lt;=2100,YEAR(I951)=F951,MONTH(I951)=G951,DAY(I951)=H951),I951,0)),0)</ns0:f>
        <ns0:v>0</ns0:v>
      </ns0:c>
      <ns0:c r="K951" s="0">
        <ns0:f>IFERROR(IF(ISNUMBER(Bookings!D951),"",TRIM(Bookings!D951&amp;"")),"")</ns0:f>
      </ns0:c>
      <ns0:c r="L951" s="0">
        <ns0:f>IFERROR(SUBSTITUTE(SUBSTITUTE(K951,"/","."),"-","."),"")</ns0:f>
      </ns0:c>
      <ns0:c r="M951" s="0">
        <ns0:f>IFERROR(LEFT(L951,FIND(".",L951)-1),"")</ns0:f>
      </ns0:c>
      <ns0:c r="N951" s="0">
        <ns0:f>IFERROR(MID(L951,FIND(".",L951)+1,FIND(".",L951,FIND(".",L951)+1)-FIND(".",L951)-1),"")</ns0:f>
      </ns0:c>
      <ns0:c r="O951" s="0">
        <ns0:f>IFERROR(MID(L951,FIND(".",L951,FIND(".",L951)+1)+1,99),"")</ns0:f>
        <ns0:v>99</ns0:v>
      </ns0:c>
      <ns0:c r="P951" s="0">
        <ns0:f>IFERROR(IF(FIND(".",L951)=5,--M951,--O951),0)</ns0:f>
        <ns0:v>0</ns0:v>
      </ns0:c>
      <ns0:c r="Q951" s="0">
        <ns0:f>IFERROR(--N951,0)</ns0:f>
        <ns0:v>0</ns0:v>
      </ns0:c>
      <ns0:c r="R951" s="0">
        <ns0:f>IFERROR(IF(FIND(".",L951)=5,--O951,--M951),0)</ns0:f>
        <ns0:v>0</ns0:v>
      </ns0:c>
      <ns0:c r="S951" s="0">
        <ns0:f>IFERROR(IF(AND(P951&gt;=2000,P951&lt;=2100,Q951&gt;=1,Q951&lt;=12,R951&gt;=1,R951&lt;=31),DATE(P951,Q951,R951),0),0)</ns0:f>
        <ns0:v>0</ns0:v>
      </ns0:c>
      <ns0:c r="T951" s="0">
        <ns0:f>IFERROR(IF(ISNUMBER(Bookings!D951),IF(AND(Bookings!D951=INT(Bookings!D951),Bookings!D951&gt;=DATE(2000,1,1),Bookings!D951&lt;=DATE(2100,12,31)),Bookings!D951,0),IF(AND(K951&lt;&gt;"",LEN("x"&amp;L951)-LEN(SUBSTITUTE("x"&amp;L951,".",""))=2,OR(1&gt;LEN(L951),MID(L951,1,1)=".",ISNUMBER(FIND("x"&amp;MID(L951,1,1),"x0x1x2x3x4x5x6x7x8x9"))),OR(2&gt;LEN(L951),MID(L951,2,1)=".",ISNUMBER(FIND("x"&amp;MID(L951,2,1),"x0x1x2x3x4x5x6x7x8x9"))),OR(3&gt;LEN(L951),MID(L951,3,1)=".",ISNUMBER(FIND("x"&amp;MID(L951,3,1),"x0x1x2x3x4x5x6x7x8x9"))),OR(4&gt;LEN(L951),MID(L951,4,1)=".",ISNUMBER(FIND("x"&amp;MID(L951,4,1),"x0x1x2x3x4x5x6x7x8x9"))),OR(5&gt;LEN(L951),MID(L951,5,1)=".",ISNUMBER(FIND("x"&amp;MID(L951,5,1),"x0x1x2x3x4x5x6x7x8x9"))),OR(6&gt;LEN(L951),MID(L951,6,1)=".",ISNUMBER(FIND("x"&amp;MID(L951,6,1),"x0x1x2x3x4x5x6x7x8x9"))),OR(7&gt;LEN(L951),MID(L951,7,1)=".",ISNUMBER(FIND("x"&amp;MID(L951,7,1),"x0x1x2x3x4x5x6x7x8x9"))),OR(8&gt;LEN(L951),MID(L951,8,1)=".",ISNUMBER(FIND("x"&amp;MID(L951,8,1),"x0x1x2x3x4x5x6x7x8x9"))),OR(9&gt;LEN(L951),MID(L951,9,1)=".",ISNUMBER(FIND("x"&amp;MID(L951,9,1),"x0x1x2x3x4x5x6x7x8x9"))),OR(10&gt;LEN(L951),MID(L951,10,1)=".",ISNUMBER(FIND("x"&amp;MID(L951,10,1),"x0x1x2x3x4x5x6x7x8x9"))),OR(AND(FIND(".",L951)=5,LEN(L951)-FIND(".",L951,FIND(".",L951)+1)&gt;=1,LEN(L951)-FIND(".",L951,FIND(".",L951)+1)&lt;=2),AND(LEN(L951)-FIND(".",L951,FIND(".",L951)+1)=4,FIND(".",L951)&gt;=2,FIND(".",L951)&lt;=3)),FIND(".",L951,FIND(".",L951)+1)-FIND(".",L951)&gt;=2,FIND(".",L951,FIND(".",L951)+1)-FIND(".",L951)&lt;=3,P951&gt;=2000,P951&lt;=2100,YEAR(S951)=P951,MONTH(S951)=Q951,DAY(S951)=R951),S951,0)),0)</ns0:f>
        <ns0:v>0</ns0:v>
      </ns0:c>
      <ns0:c r="U951" s="0" t="str">
        <ns0:f>IF(Bookings!C951="","Full day",Bookings!C951)</ns0:f>
        <ns0:v>Full day</ns0:v>
      </ns0:c>
      <ns0:c r="V951" s="0" t="str">
        <ns0:f>IF(Bookings!E951="","Full day",Bookings!E951)</ns0:f>
        <ns0:v>Full day</ns0:v>
      </ns0:c>
      <ns0:c r="W951" s="0">
        <ns0:f>IF(J951=0,0,J951+IF(U951="PM",1,0))</ns0:f>
        <ns0:v>0</ns0:v>
      </ns0:c>
      <ns0:c r="X951" s="0">
        <ns0:f>IF(T951=0,0,T951-IF(V951="PM",1,0))</ns0:f>
        <ns0:v>0</ns0:v>
      </ns0:c>
      <ns0:c r="Y951" s="0">
        <ns0:f>IF(J951=0,0,J951+IF(U951="AM",1,0))</ns0:f>
        <ns0:v>0</ns0:v>
      </ns0:c>
      <ns0:c r="Z951" s="0">
        <ns0:f>IF(T951=0,0,T951-IF(V951="AM",1,0))</ns0:f>
        <ns0:v>0</ns0:v>
      </ns0:c>
      <ns0:c r="AA951" s="0">
        <ns0:f>IFERROR(IF(AND(J951&gt;0,'_Engine'!C951&gt;0,MID('_Engine'!W951,WEEKDAY(J951,2),1)="W",COUNTIF(Settings!$F$18:$F$67,J951)=0),1,0),0)</ns0:f>
        <ns0:v>0</ns0:v>
      </ns0:c>
      <ns0:c r="AB951" s="0">
        <ns0:f>IFERROR(IF(AND(T951&gt;0,'_Engine'!C951&gt;0,MID('_Engine'!W951,WEEKDAY(T951,2),1)="W",COUNTIF(Settings!$F$18:$F$67,T951)=0),1,0),0)</ns0:f>
        <ns0:v>0</ns0:v>
      </ns0:c>
      <ns0:c r="AC951" s="0">
        <ns0:f>IF(AND(J951&gt;0,T951&gt;0,W951&lt;=X951),1,0)</ns0:f>
        <ns0:v>0</ns0:v>
      </ns0:c>
      <ns0:c r="AD951" s="0">
        <ns0:f>IF(AND(J951&gt;0,T951&gt;0,Y951&lt;=Z951),1,0)</ns0:f>
        <ns0:v>0</ns0:v>
      </ns0:c>
    </ns0:row>
    <ns0:row r="952">
      <ns0:c r="A952" s="0">
        <ns0:f>IFERROR(IF(ISNUMBER(Bookings!B952),"",TRIM(Bookings!B952&amp;"")),"")</ns0:f>
      </ns0:c>
      <ns0:c r="B952" s="0">
        <ns0:f>IFERROR(SUBSTITUTE(SUBSTITUTE(A952,"/","."),"-","."),"")</ns0:f>
      </ns0:c>
      <ns0:c r="C952" s="0">
        <ns0:f>IFERROR(LEFT(B952,FIND(".",B952)-1),"")</ns0:f>
      </ns0:c>
      <ns0:c r="D952" s="0">
        <ns0:f>IFERROR(MID(B952,FIND(".",B952)+1,FIND(".",B952,FIND(".",B952)+1)-FIND(".",B952)-1),"")</ns0:f>
      </ns0:c>
      <ns0:c r="E952" s="0">
        <ns0:f>IFERROR(MID(B952,FIND(".",B952,FIND(".",B952)+1)+1,99),"")</ns0:f>
        <ns0:v>99</ns0:v>
      </ns0:c>
      <ns0:c r="F952" s="0">
        <ns0:f>IFERROR(IF(FIND(".",B952)=5,--C952,--E952),0)</ns0:f>
        <ns0:v>0</ns0:v>
      </ns0:c>
      <ns0:c r="G952" s="0">
        <ns0:f>IFERROR(--D952,0)</ns0:f>
        <ns0:v>0</ns0:v>
      </ns0:c>
      <ns0:c r="H952" s="0">
        <ns0:f>IFERROR(IF(FIND(".",B952)=5,--E952,--C952),0)</ns0:f>
        <ns0:v>0</ns0:v>
      </ns0:c>
      <ns0:c r="I952" s="0">
        <ns0:f>IFERROR(IF(AND(F952&gt;=2000,F952&lt;=2100,G952&gt;=1,G952&lt;=12,H952&gt;=1,H952&lt;=31),DATE(F952,G952,H952),0),0)</ns0:f>
        <ns0:v>0</ns0:v>
      </ns0:c>
      <ns0:c r="J952" s="0">
        <ns0:f>IFERROR(IF(ISNUMBER(Bookings!B952),IF(AND(Bookings!B952=INT(Bookings!B952),Bookings!B952&gt;=DATE(2000,1,1),Bookings!B952&lt;=DATE(2100,12,31)),Bookings!B952,0),IF(AND(A952&lt;&gt;"",LEN("x"&amp;B952)-LEN(SUBSTITUTE("x"&amp;B952,".",""))=2,OR(1&gt;LEN(B952),MID(B952,1,1)=".",ISNUMBER(FIND("x"&amp;MID(B952,1,1),"x0x1x2x3x4x5x6x7x8x9"))),OR(2&gt;LEN(B952),MID(B952,2,1)=".",ISNUMBER(FIND("x"&amp;MID(B952,2,1),"x0x1x2x3x4x5x6x7x8x9"))),OR(3&gt;LEN(B952),MID(B952,3,1)=".",ISNUMBER(FIND("x"&amp;MID(B952,3,1),"x0x1x2x3x4x5x6x7x8x9"))),OR(4&gt;LEN(B952),MID(B952,4,1)=".",ISNUMBER(FIND("x"&amp;MID(B952,4,1),"x0x1x2x3x4x5x6x7x8x9"))),OR(5&gt;LEN(B952),MID(B952,5,1)=".",ISNUMBER(FIND("x"&amp;MID(B952,5,1),"x0x1x2x3x4x5x6x7x8x9"))),OR(6&gt;LEN(B952),MID(B952,6,1)=".",ISNUMBER(FIND("x"&amp;MID(B952,6,1),"x0x1x2x3x4x5x6x7x8x9"))),OR(7&gt;LEN(B952),MID(B952,7,1)=".",ISNUMBER(FIND("x"&amp;MID(B952,7,1),"x0x1x2x3x4x5x6x7x8x9"))),OR(8&gt;LEN(B952),MID(B952,8,1)=".",ISNUMBER(FIND("x"&amp;MID(B952,8,1),"x0x1x2x3x4x5x6x7x8x9"))),OR(9&gt;LEN(B952),MID(B952,9,1)=".",ISNUMBER(FIND("x"&amp;MID(B952,9,1),"x0x1x2x3x4x5x6x7x8x9"))),OR(10&gt;LEN(B952),MID(B952,10,1)=".",ISNUMBER(FIND("x"&amp;MID(B952,10,1),"x0x1x2x3x4x5x6x7x8x9"))),OR(AND(FIND(".",B952)=5,LEN(B952)-FIND(".",B952,FIND(".",B952)+1)&gt;=1,LEN(B952)-FIND(".",B952,FIND(".",B952)+1)&lt;=2),AND(LEN(B952)-FIND(".",B952,FIND(".",B952)+1)=4,FIND(".",B952)&gt;=2,FIND(".",B952)&lt;=3)),FIND(".",B952,FIND(".",B952)+1)-FIND(".",B952)&gt;=2,FIND(".",B952,FIND(".",B952)+1)-FIND(".",B952)&lt;=3,F952&gt;=2000,F952&lt;=2100,YEAR(I952)=F952,MONTH(I952)=G952,DAY(I952)=H952),I952,0)),0)</ns0:f>
        <ns0:v>0</ns0:v>
      </ns0:c>
      <ns0:c r="K952" s="0">
        <ns0:f>IFERROR(IF(ISNUMBER(Bookings!D952),"",TRIM(Bookings!D952&amp;"")),"")</ns0:f>
      </ns0:c>
      <ns0:c r="L952" s="0">
        <ns0:f>IFERROR(SUBSTITUTE(SUBSTITUTE(K952,"/","."),"-","."),"")</ns0:f>
      </ns0:c>
      <ns0:c r="M952" s="0">
        <ns0:f>IFERROR(LEFT(L952,FIND(".",L952)-1),"")</ns0:f>
      </ns0:c>
      <ns0:c r="N952" s="0">
        <ns0:f>IFERROR(MID(L952,FIND(".",L952)+1,FIND(".",L952,FIND(".",L952)+1)-FIND(".",L952)-1),"")</ns0:f>
      </ns0:c>
      <ns0:c r="O952" s="0">
        <ns0:f>IFERROR(MID(L952,FIND(".",L952,FIND(".",L952)+1)+1,99),"")</ns0:f>
        <ns0:v>99</ns0:v>
      </ns0:c>
      <ns0:c r="P952" s="0">
        <ns0:f>IFERROR(IF(FIND(".",L952)=5,--M952,--O952),0)</ns0:f>
        <ns0:v>0</ns0:v>
      </ns0:c>
      <ns0:c r="Q952" s="0">
        <ns0:f>IFERROR(--N952,0)</ns0:f>
        <ns0:v>0</ns0:v>
      </ns0:c>
      <ns0:c r="R952" s="0">
        <ns0:f>IFERROR(IF(FIND(".",L952)=5,--O952,--M952),0)</ns0:f>
        <ns0:v>0</ns0:v>
      </ns0:c>
      <ns0:c r="S952" s="0">
        <ns0:f>IFERROR(IF(AND(P952&gt;=2000,P952&lt;=2100,Q952&gt;=1,Q952&lt;=12,R952&gt;=1,R952&lt;=31),DATE(P952,Q952,R952),0),0)</ns0:f>
        <ns0:v>0</ns0:v>
      </ns0:c>
      <ns0:c r="T952" s="0">
        <ns0:f>IFERROR(IF(ISNUMBER(Bookings!D952),IF(AND(Bookings!D952=INT(Bookings!D952),Bookings!D952&gt;=DATE(2000,1,1),Bookings!D952&lt;=DATE(2100,12,31)),Bookings!D952,0),IF(AND(K952&lt;&gt;"",LEN("x"&amp;L952)-LEN(SUBSTITUTE("x"&amp;L952,".",""))=2,OR(1&gt;LEN(L952),MID(L952,1,1)=".",ISNUMBER(FIND("x"&amp;MID(L952,1,1),"x0x1x2x3x4x5x6x7x8x9"))),OR(2&gt;LEN(L952),MID(L952,2,1)=".",ISNUMBER(FIND("x"&amp;MID(L952,2,1),"x0x1x2x3x4x5x6x7x8x9"))),OR(3&gt;LEN(L952),MID(L952,3,1)=".",ISNUMBER(FIND("x"&amp;MID(L952,3,1),"x0x1x2x3x4x5x6x7x8x9"))),OR(4&gt;LEN(L952),MID(L952,4,1)=".",ISNUMBER(FIND("x"&amp;MID(L952,4,1),"x0x1x2x3x4x5x6x7x8x9"))),OR(5&gt;LEN(L952),MID(L952,5,1)=".",ISNUMBER(FIND("x"&amp;MID(L952,5,1),"x0x1x2x3x4x5x6x7x8x9"))),OR(6&gt;LEN(L952),MID(L952,6,1)=".",ISNUMBER(FIND("x"&amp;MID(L952,6,1),"x0x1x2x3x4x5x6x7x8x9"))),OR(7&gt;LEN(L952),MID(L952,7,1)=".",ISNUMBER(FIND("x"&amp;MID(L952,7,1),"x0x1x2x3x4x5x6x7x8x9"))),OR(8&gt;LEN(L952),MID(L952,8,1)=".",ISNUMBER(FIND("x"&amp;MID(L952,8,1),"x0x1x2x3x4x5x6x7x8x9"))),OR(9&gt;LEN(L952),MID(L952,9,1)=".",ISNUMBER(FIND("x"&amp;MID(L952,9,1),"x0x1x2x3x4x5x6x7x8x9"))),OR(10&gt;LEN(L952),MID(L952,10,1)=".",ISNUMBER(FIND("x"&amp;MID(L952,10,1),"x0x1x2x3x4x5x6x7x8x9"))),OR(AND(FIND(".",L952)=5,LEN(L952)-FIND(".",L952,FIND(".",L952)+1)&gt;=1,LEN(L952)-FIND(".",L952,FIND(".",L952)+1)&lt;=2),AND(LEN(L952)-FIND(".",L952,FIND(".",L952)+1)=4,FIND(".",L952)&gt;=2,FIND(".",L952)&lt;=3)),FIND(".",L952,FIND(".",L952)+1)-FIND(".",L952)&gt;=2,FIND(".",L952,FIND(".",L952)+1)-FIND(".",L952)&lt;=3,P952&gt;=2000,P952&lt;=2100,YEAR(S952)=P952,MONTH(S952)=Q952,DAY(S952)=R952),S952,0)),0)</ns0:f>
        <ns0:v>0</ns0:v>
      </ns0:c>
      <ns0:c r="U952" s="0" t="str">
        <ns0:f>IF(Bookings!C952="","Full day",Bookings!C952)</ns0:f>
        <ns0:v>Full day</ns0:v>
      </ns0:c>
      <ns0:c r="V952" s="0" t="str">
        <ns0:f>IF(Bookings!E952="","Full day",Bookings!E952)</ns0:f>
        <ns0:v>Full day</ns0:v>
      </ns0:c>
      <ns0:c r="W952" s="0">
        <ns0:f>IF(J952=0,0,J952+IF(U952="PM",1,0))</ns0:f>
        <ns0:v>0</ns0:v>
      </ns0:c>
      <ns0:c r="X952" s="0">
        <ns0:f>IF(T952=0,0,T952-IF(V952="PM",1,0))</ns0:f>
        <ns0:v>0</ns0:v>
      </ns0:c>
      <ns0:c r="Y952" s="0">
        <ns0:f>IF(J952=0,0,J952+IF(U952="AM",1,0))</ns0:f>
        <ns0:v>0</ns0:v>
      </ns0:c>
      <ns0:c r="Z952" s="0">
        <ns0:f>IF(T952=0,0,T952-IF(V952="AM",1,0))</ns0:f>
        <ns0:v>0</ns0:v>
      </ns0:c>
      <ns0:c r="AA952" s="0">
        <ns0:f>IFERROR(IF(AND(J952&gt;0,'_Engine'!C952&gt;0,MID('_Engine'!W952,WEEKDAY(J952,2),1)="W",COUNTIF(Settings!$F$18:$F$67,J952)=0),1,0),0)</ns0:f>
        <ns0:v>0</ns0:v>
      </ns0:c>
      <ns0:c r="AB952" s="0">
        <ns0:f>IFERROR(IF(AND(T952&gt;0,'_Engine'!C952&gt;0,MID('_Engine'!W952,WEEKDAY(T952,2),1)="W",COUNTIF(Settings!$F$18:$F$67,T952)=0),1,0),0)</ns0:f>
        <ns0:v>0</ns0:v>
      </ns0:c>
      <ns0:c r="AC952" s="0">
        <ns0:f>IF(AND(J952&gt;0,T952&gt;0,W952&lt;=X952),1,0)</ns0:f>
        <ns0:v>0</ns0:v>
      </ns0:c>
      <ns0:c r="AD952" s="0">
        <ns0:f>IF(AND(J952&gt;0,T952&gt;0,Y952&lt;=Z952),1,0)</ns0:f>
        <ns0:v>0</ns0:v>
      </ns0:c>
    </ns0:row>
    <ns0:row r="953">
      <ns0:c r="A953" s="0">
        <ns0:f>IFERROR(IF(ISNUMBER(Bookings!B953),"",TRIM(Bookings!B953&amp;"")),"")</ns0:f>
      </ns0:c>
      <ns0:c r="B953" s="0">
        <ns0:f>IFERROR(SUBSTITUTE(SUBSTITUTE(A953,"/","."),"-","."),"")</ns0:f>
      </ns0:c>
      <ns0:c r="C953" s="0">
        <ns0:f>IFERROR(LEFT(B953,FIND(".",B953)-1),"")</ns0:f>
      </ns0:c>
      <ns0:c r="D953" s="0">
        <ns0:f>IFERROR(MID(B953,FIND(".",B953)+1,FIND(".",B953,FIND(".",B953)+1)-FIND(".",B953)-1),"")</ns0:f>
      </ns0:c>
      <ns0:c r="E953" s="0">
        <ns0:f>IFERROR(MID(B953,FIND(".",B953,FIND(".",B953)+1)+1,99),"")</ns0:f>
        <ns0:v>99</ns0:v>
      </ns0:c>
      <ns0:c r="F953" s="0">
        <ns0:f>IFERROR(IF(FIND(".",B953)=5,--C953,--E953),0)</ns0:f>
        <ns0:v>0</ns0:v>
      </ns0:c>
      <ns0:c r="G953" s="0">
        <ns0:f>IFERROR(--D953,0)</ns0:f>
        <ns0:v>0</ns0:v>
      </ns0:c>
      <ns0:c r="H953" s="0">
        <ns0:f>IFERROR(IF(FIND(".",B953)=5,--E953,--C953),0)</ns0:f>
        <ns0:v>0</ns0:v>
      </ns0:c>
      <ns0:c r="I953" s="0">
        <ns0:f>IFERROR(IF(AND(F953&gt;=2000,F953&lt;=2100,G953&gt;=1,G953&lt;=12,H953&gt;=1,H953&lt;=31),DATE(F953,G953,H953),0),0)</ns0:f>
        <ns0:v>0</ns0:v>
      </ns0:c>
      <ns0:c r="J953" s="0">
        <ns0:f>IFERROR(IF(ISNUMBER(Bookings!B953),IF(AND(Bookings!B953=INT(Bookings!B953),Bookings!B953&gt;=DATE(2000,1,1),Bookings!B953&lt;=DATE(2100,12,31)),Bookings!B953,0),IF(AND(A953&lt;&gt;"",LEN("x"&amp;B953)-LEN(SUBSTITUTE("x"&amp;B953,".",""))=2,OR(1&gt;LEN(B953),MID(B953,1,1)=".",ISNUMBER(FIND("x"&amp;MID(B953,1,1),"x0x1x2x3x4x5x6x7x8x9"))),OR(2&gt;LEN(B953),MID(B953,2,1)=".",ISNUMBER(FIND("x"&amp;MID(B953,2,1),"x0x1x2x3x4x5x6x7x8x9"))),OR(3&gt;LEN(B953),MID(B953,3,1)=".",ISNUMBER(FIND("x"&amp;MID(B953,3,1),"x0x1x2x3x4x5x6x7x8x9"))),OR(4&gt;LEN(B953),MID(B953,4,1)=".",ISNUMBER(FIND("x"&amp;MID(B953,4,1),"x0x1x2x3x4x5x6x7x8x9"))),OR(5&gt;LEN(B953),MID(B953,5,1)=".",ISNUMBER(FIND("x"&amp;MID(B953,5,1),"x0x1x2x3x4x5x6x7x8x9"))),OR(6&gt;LEN(B953),MID(B953,6,1)=".",ISNUMBER(FIND("x"&amp;MID(B953,6,1),"x0x1x2x3x4x5x6x7x8x9"))),OR(7&gt;LEN(B953),MID(B953,7,1)=".",ISNUMBER(FIND("x"&amp;MID(B953,7,1),"x0x1x2x3x4x5x6x7x8x9"))),OR(8&gt;LEN(B953),MID(B953,8,1)=".",ISNUMBER(FIND("x"&amp;MID(B953,8,1),"x0x1x2x3x4x5x6x7x8x9"))),OR(9&gt;LEN(B953),MID(B953,9,1)=".",ISNUMBER(FIND("x"&amp;MID(B953,9,1),"x0x1x2x3x4x5x6x7x8x9"))),OR(10&gt;LEN(B953),MID(B953,10,1)=".",ISNUMBER(FIND("x"&amp;MID(B953,10,1),"x0x1x2x3x4x5x6x7x8x9"))),OR(AND(FIND(".",B953)=5,LEN(B953)-FIND(".",B953,FIND(".",B953)+1)&gt;=1,LEN(B953)-FIND(".",B953,FIND(".",B953)+1)&lt;=2),AND(LEN(B953)-FIND(".",B953,FIND(".",B953)+1)=4,FIND(".",B953)&gt;=2,FIND(".",B953)&lt;=3)),FIND(".",B953,FIND(".",B953)+1)-FIND(".",B953)&gt;=2,FIND(".",B953,FIND(".",B953)+1)-FIND(".",B953)&lt;=3,F953&gt;=2000,F953&lt;=2100,YEAR(I953)=F953,MONTH(I953)=G953,DAY(I953)=H953),I953,0)),0)</ns0:f>
        <ns0:v>0</ns0:v>
      </ns0:c>
      <ns0:c r="K953" s="0">
        <ns0:f>IFERROR(IF(ISNUMBER(Bookings!D953),"",TRIM(Bookings!D953&amp;"")),"")</ns0:f>
      </ns0:c>
      <ns0:c r="L953" s="0">
        <ns0:f>IFERROR(SUBSTITUTE(SUBSTITUTE(K953,"/","."),"-","."),"")</ns0:f>
      </ns0:c>
      <ns0:c r="M953" s="0">
        <ns0:f>IFERROR(LEFT(L953,FIND(".",L953)-1),"")</ns0:f>
      </ns0:c>
      <ns0:c r="N953" s="0">
        <ns0:f>IFERROR(MID(L953,FIND(".",L953)+1,FIND(".",L953,FIND(".",L953)+1)-FIND(".",L953)-1),"")</ns0:f>
      </ns0:c>
      <ns0:c r="O953" s="0">
        <ns0:f>IFERROR(MID(L953,FIND(".",L953,FIND(".",L953)+1)+1,99),"")</ns0:f>
        <ns0:v>99</ns0:v>
      </ns0:c>
      <ns0:c r="P953" s="0">
        <ns0:f>IFERROR(IF(FIND(".",L953)=5,--M953,--O953),0)</ns0:f>
        <ns0:v>0</ns0:v>
      </ns0:c>
      <ns0:c r="Q953" s="0">
        <ns0:f>IFERROR(--N953,0)</ns0:f>
        <ns0:v>0</ns0:v>
      </ns0:c>
      <ns0:c r="R953" s="0">
        <ns0:f>IFERROR(IF(FIND(".",L953)=5,--O953,--M953),0)</ns0:f>
        <ns0:v>0</ns0:v>
      </ns0:c>
      <ns0:c r="S953" s="0">
        <ns0:f>IFERROR(IF(AND(P953&gt;=2000,P953&lt;=2100,Q953&gt;=1,Q953&lt;=12,R953&gt;=1,R953&lt;=31),DATE(P953,Q953,R953),0),0)</ns0:f>
        <ns0:v>0</ns0:v>
      </ns0:c>
      <ns0:c r="T953" s="0">
        <ns0:f>IFERROR(IF(ISNUMBER(Bookings!D953),IF(AND(Bookings!D953=INT(Bookings!D953),Bookings!D953&gt;=DATE(2000,1,1),Bookings!D953&lt;=DATE(2100,12,31)),Bookings!D953,0),IF(AND(K953&lt;&gt;"",LEN("x"&amp;L953)-LEN(SUBSTITUTE("x"&amp;L953,".",""))=2,OR(1&gt;LEN(L953),MID(L953,1,1)=".",ISNUMBER(FIND("x"&amp;MID(L953,1,1),"x0x1x2x3x4x5x6x7x8x9"))),OR(2&gt;LEN(L953),MID(L953,2,1)=".",ISNUMBER(FIND("x"&amp;MID(L953,2,1),"x0x1x2x3x4x5x6x7x8x9"))),OR(3&gt;LEN(L953),MID(L953,3,1)=".",ISNUMBER(FIND("x"&amp;MID(L953,3,1),"x0x1x2x3x4x5x6x7x8x9"))),OR(4&gt;LEN(L953),MID(L953,4,1)=".",ISNUMBER(FIND("x"&amp;MID(L953,4,1),"x0x1x2x3x4x5x6x7x8x9"))),OR(5&gt;LEN(L953),MID(L953,5,1)=".",ISNUMBER(FIND("x"&amp;MID(L953,5,1),"x0x1x2x3x4x5x6x7x8x9"))),OR(6&gt;LEN(L953),MID(L953,6,1)=".",ISNUMBER(FIND("x"&amp;MID(L953,6,1),"x0x1x2x3x4x5x6x7x8x9"))),OR(7&gt;LEN(L953),MID(L953,7,1)=".",ISNUMBER(FIND("x"&amp;MID(L953,7,1),"x0x1x2x3x4x5x6x7x8x9"))),OR(8&gt;LEN(L953),MID(L953,8,1)=".",ISNUMBER(FIND("x"&amp;MID(L953,8,1),"x0x1x2x3x4x5x6x7x8x9"))),OR(9&gt;LEN(L953),MID(L953,9,1)=".",ISNUMBER(FIND("x"&amp;MID(L953,9,1),"x0x1x2x3x4x5x6x7x8x9"))),OR(10&gt;LEN(L953),MID(L953,10,1)=".",ISNUMBER(FIND("x"&amp;MID(L953,10,1),"x0x1x2x3x4x5x6x7x8x9"))),OR(AND(FIND(".",L953)=5,LEN(L953)-FIND(".",L953,FIND(".",L953)+1)&gt;=1,LEN(L953)-FIND(".",L953,FIND(".",L953)+1)&lt;=2),AND(LEN(L953)-FIND(".",L953,FIND(".",L953)+1)=4,FIND(".",L953)&gt;=2,FIND(".",L953)&lt;=3)),FIND(".",L953,FIND(".",L953)+1)-FIND(".",L953)&gt;=2,FIND(".",L953,FIND(".",L953)+1)-FIND(".",L953)&lt;=3,P953&gt;=2000,P953&lt;=2100,YEAR(S953)=P953,MONTH(S953)=Q953,DAY(S953)=R953),S953,0)),0)</ns0:f>
        <ns0:v>0</ns0:v>
      </ns0:c>
      <ns0:c r="U953" s="0" t="str">
        <ns0:f>IF(Bookings!C953="","Full day",Bookings!C953)</ns0:f>
        <ns0:v>Full day</ns0:v>
      </ns0:c>
      <ns0:c r="V953" s="0" t="str">
        <ns0:f>IF(Bookings!E953="","Full day",Bookings!E953)</ns0:f>
        <ns0:v>Full day</ns0:v>
      </ns0:c>
      <ns0:c r="W953" s="0">
        <ns0:f>IF(J953=0,0,J953+IF(U953="PM",1,0))</ns0:f>
        <ns0:v>0</ns0:v>
      </ns0:c>
      <ns0:c r="X953" s="0">
        <ns0:f>IF(T953=0,0,T953-IF(V953="PM",1,0))</ns0:f>
        <ns0:v>0</ns0:v>
      </ns0:c>
      <ns0:c r="Y953" s="0">
        <ns0:f>IF(J953=0,0,J953+IF(U953="AM",1,0))</ns0:f>
        <ns0:v>0</ns0:v>
      </ns0:c>
      <ns0:c r="Z953" s="0">
        <ns0:f>IF(T953=0,0,T953-IF(V953="AM",1,0))</ns0:f>
        <ns0:v>0</ns0:v>
      </ns0:c>
      <ns0:c r="AA953" s="0">
        <ns0:f>IFERROR(IF(AND(J953&gt;0,'_Engine'!C953&gt;0,MID('_Engine'!W953,WEEKDAY(J953,2),1)="W",COUNTIF(Settings!$F$18:$F$67,J953)=0),1,0),0)</ns0:f>
        <ns0:v>0</ns0:v>
      </ns0:c>
      <ns0:c r="AB953" s="0">
        <ns0:f>IFERROR(IF(AND(T953&gt;0,'_Engine'!C953&gt;0,MID('_Engine'!W953,WEEKDAY(T953,2),1)="W",COUNTIF(Settings!$F$18:$F$67,T953)=0),1,0),0)</ns0:f>
        <ns0:v>0</ns0:v>
      </ns0:c>
      <ns0:c r="AC953" s="0">
        <ns0:f>IF(AND(J953&gt;0,T953&gt;0,W953&lt;=X953),1,0)</ns0:f>
        <ns0:v>0</ns0:v>
      </ns0:c>
      <ns0:c r="AD953" s="0">
        <ns0:f>IF(AND(J953&gt;0,T953&gt;0,Y953&lt;=Z953),1,0)</ns0:f>
        <ns0:v>0</ns0:v>
      </ns0:c>
    </ns0:row>
    <ns0:row r="954">
      <ns0:c r="A954" s="0">
        <ns0:f>IFERROR(IF(ISNUMBER(Bookings!B954),"",TRIM(Bookings!B954&amp;"")),"")</ns0:f>
      </ns0:c>
      <ns0:c r="B954" s="0">
        <ns0:f>IFERROR(SUBSTITUTE(SUBSTITUTE(A954,"/","."),"-","."),"")</ns0:f>
      </ns0:c>
      <ns0:c r="C954" s="0">
        <ns0:f>IFERROR(LEFT(B954,FIND(".",B954)-1),"")</ns0:f>
      </ns0:c>
      <ns0:c r="D954" s="0">
        <ns0:f>IFERROR(MID(B954,FIND(".",B954)+1,FIND(".",B954,FIND(".",B954)+1)-FIND(".",B954)-1),"")</ns0:f>
      </ns0:c>
      <ns0:c r="E954" s="0">
        <ns0:f>IFERROR(MID(B954,FIND(".",B954,FIND(".",B954)+1)+1,99),"")</ns0:f>
        <ns0:v>99</ns0:v>
      </ns0:c>
      <ns0:c r="F954" s="0">
        <ns0:f>IFERROR(IF(FIND(".",B954)=5,--C954,--E954),0)</ns0:f>
        <ns0:v>0</ns0:v>
      </ns0:c>
      <ns0:c r="G954" s="0">
        <ns0:f>IFERROR(--D954,0)</ns0:f>
        <ns0:v>0</ns0:v>
      </ns0:c>
      <ns0:c r="H954" s="0">
        <ns0:f>IFERROR(IF(FIND(".",B954)=5,--E954,--C954),0)</ns0:f>
        <ns0:v>0</ns0:v>
      </ns0:c>
      <ns0:c r="I954" s="0">
        <ns0:f>IFERROR(IF(AND(F954&gt;=2000,F954&lt;=2100,G954&gt;=1,G954&lt;=12,H954&gt;=1,H954&lt;=31),DATE(F954,G954,H954),0),0)</ns0:f>
        <ns0:v>0</ns0:v>
      </ns0:c>
      <ns0:c r="J954" s="0">
        <ns0:f>IFERROR(IF(ISNUMBER(Bookings!B954),IF(AND(Bookings!B954=INT(Bookings!B954),Bookings!B954&gt;=DATE(2000,1,1),Bookings!B954&lt;=DATE(2100,12,31)),Bookings!B954,0),IF(AND(A954&lt;&gt;"",LEN("x"&amp;B954)-LEN(SUBSTITUTE("x"&amp;B954,".",""))=2,OR(1&gt;LEN(B954),MID(B954,1,1)=".",ISNUMBER(FIND("x"&amp;MID(B954,1,1),"x0x1x2x3x4x5x6x7x8x9"))),OR(2&gt;LEN(B954),MID(B954,2,1)=".",ISNUMBER(FIND("x"&amp;MID(B954,2,1),"x0x1x2x3x4x5x6x7x8x9"))),OR(3&gt;LEN(B954),MID(B954,3,1)=".",ISNUMBER(FIND("x"&amp;MID(B954,3,1),"x0x1x2x3x4x5x6x7x8x9"))),OR(4&gt;LEN(B954),MID(B954,4,1)=".",ISNUMBER(FIND("x"&amp;MID(B954,4,1),"x0x1x2x3x4x5x6x7x8x9"))),OR(5&gt;LEN(B954),MID(B954,5,1)=".",ISNUMBER(FIND("x"&amp;MID(B954,5,1),"x0x1x2x3x4x5x6x7x8x9"))),OR(6&gt;LEN(B954),MID(B954,6,1)=".",ISNUMBER(FIND("x"&amp;MID(B954,6,1),"x0x1x2x3x4x5x6x7x8x9"))),OR(7&gt;LEN(B954),MID(B954,7,1)=".",ISNUMBER(FIND("x"&amp;MID(B954,7,1),"x0x1x2x3x4x5x6x7x8x9"))),OR(8&gt;LEN(B954),MID(B954,8,1)=".",ISNUMBER(FIND("x"&amp;MID(B954,8,1),"x0x1x2x3x4x5x6x7x8x9"))),OR(9&gt;LEN(B954),MID(B954,9,1)=".",ISNUMBER(FIND("x"&amp;MID(B954,9,1),"x0x1x2x3x4x5x6x7x8x9"))),OR(10&gt;LEN(B954),MID(B954,10,1)=".",ISNUMBER(FIND("x"&amp;MID(B954,10,1),"x0x1x2x3x4x5x6x7x8x9"))),OR(AND(FIND(".",B954)=5,LEN(B954)-FIND(".",B954,FIND(".",B954)+1)&gt;=1,LEN(B954)-FIND(".",B954,FIND(".",B954)+1)&lt;=2),AND(LEN(B954)-FIND(".",B954,FIND(".",B954)+1)=4,FIND(".",B954)&gt;=2,FIND(".",B954)&lt;=3)),FIND(".",B954,FIND(".",B954)+1)-FIND(".",B954)&gt;=2,FIND(".",B954,FIND(".",B954)+1)-FIND(".",B954)&lt;=3,F954&gt;=2000,F954&lt;=2100,YEAR(I954)=F954,MONTH(I954)=G954,DAY(I954)=H954),I954,0)),0)</ns0:f>
        <ns0:v>0</ns0:v>
      </ns0:c>
      <ns0:c r="K954" s="0">
        <ns0:f>IFERROR(IF(ISNUMBER(Bookings!D954),"",TRIM(Bookings!D954&amp;"")),"")</ns0:f>
      </ns0:c>
      <ns0:c r="L954" s="0">
        <ns0:f>IFERROR(SUBSTITUTE(SUBSTITUTE(K954,"/","."),"-","."),"")</ns0:f>
      </ns0:c>
      <ns0:c r="M954" s="0">
        <ns0:f>IFERROR(LEFT(L954,FIND(".",L954)-1),"")</ns0:f>
      </ns0:c>
      <ns0:c r="N954" s="0">
        <ns0:f>IFERROR(MID(L954,FIND(".",L954)+1,FIND(".",L954,FIND(".",L954)+1)-FIND(".",L954)-1),"")</ns0:f>
      </ns0:c>
      <ns0:c r="O954" s="0">
        <ns0:f>IFERROR(MID(L954,FIND(".",L954,FIND(".",L954)+1)+1,99),"")</ns0:f>
        <ns0:v>99</ns0:v>
      </ns0:c>
      <ns0:c r="P954" s="0">
        <ns0:f>IFERROR(IF(FIND(".",L954)=5,--M954,--O954),0)</ns0:f>
        <ns0:v>0</ns0:v>
      </ns0:c>
      <ns0:c r="Q954" s="0">
        <ns0:f>IFERROR(--N954,0)</ns0:f>
        <ns0:v>0</ns0:v>
      </ns0:c>
      <ns0:c r="R954" s="0">
        <ns0:f>IFERROR(IF(FIND(".",L954)=5,--O954,--M954),0)</ns0:f>
        <ns0:v>0</ns0:v>
      </ns0:c>
      <ns0:c r="S954" s="0">
        <ns0:f>IFERROR(IF(AND(P954&gt;=2000,P954&lt;=2100,Q954&gt;=1,Q954&lt;=12,R954&gt;=1,R954&lt;=31),DATE(P954,Q954,R954),0),0)</ns0:f>
        <ns0:v>0</ns0:v>
      </ns0:c>
      <ns0:c r="T954" s="0">
        <ns0:f>IFERROR(IF(ISNUMBER(Bookings!D954),IF(AND(Bookings!D954=INT(Bookings!D954),Bookings!D954&gt;=DATE(2000,1,1),Bookings!D954&lt;=DATE(2100,12,31)),Bookings!D954,0),IF(AND(K954&lt;&gt;"",LEN("x"&amp;L954)-LEN(SUBSTITUTE("x"&amp;L954,".",""))=2,OR(1&gt;LEN(L954),MID(L954,1,1)=".",ISNUMBER(FIND("x"&amp;MID(L954,1,1),"x0x1x2x3x4x5x6x7x8x9"))),OR(2&gt;LEN(L954),MID(L954,2,1)=".",ISNUMBER(FIND("x"&amp;MID(L954,2,1),"x0x1x2x3x4x5x6x7x8x9"))),OR(3&gt;LEN(L954),MID(L954,3,1)=".",ISNUMBER(FIND("x"&amp;MID(L954,3,1),"x0x1x2x3x4x5x6x7x8x9"))),OR(4&gt;LEN(L954),MID(L954,4,1)=".",ISNUMBER(FIND("x"&amp;MID(L954,4,1),"x0x1x2x3x4x5x6x7x8x9"))),OR(5&gt;LEN(L954),MID(L954,5,1)=".",ISNUMBER(FIND("x"&amp;MID(L954,5,1),"x0x1x2x3x4x5x6x7x8x9"))),OR(6&gt;LEN(L954),MID(L954,6,1)=".",ISNUMBER(FIND("x"&amp;MID(L954,6,1),"x0x1x2x3x4x5x6x7x8x9"))),OR(7&gt;LEN(L954),MID(L954,7,1)=".",ISNUMBER(FIND("x"&amp;MID(L954,7,1),"x0x1x2x3x4x5x6x7x8x9"))),OR(8&gt;LEN(L954),MID(L954,8,1)=".",ISNUMBER(FIND("x"&amp;MID(L954,8,1),"x0x1x2x3x4x5x6x7x8x9"))),OR(9&gt;LEN(L954),MID(L954,9,1)=".",ISNUMBER(FIND("x"&amp;MID(L954,9,1),"x0x1x2x3x4x5x6x7x8x9"))),OR(10&gt;LEN(L954),MID(L954,10,1)=".",ISNUMBER(FIND("x"&amp;MID(L954,10,1),"x0x1x2x3x4x5x6x7x8x9"))),OR(AND(FIND(".",L954)=5,LEN(L954)-FIND(".",L954,FIND(".",L954)+1)&gt;=1,LEN(L954)-FIND(".",L954,FIND(".",L954)+1)&lt;=2),AND(LEN(L954)-FIND(".",L954,FIND(".",L954)+1)=4,FIND(".",L954)&gt;=2,FIND(".",L954)&lt;=3)),FIND(".",L954,FIND(".",L954)+1)-FIND(".",L954)&gt;=2,FIND(".",L954,FIND(".",L954)+1)-FIND(".",L954)&lt;=3,P954&gt;=2000,P954&lt;=2100,YEAR(S954)=P954,MONTH(S954)=Q954,DAY(S954)=R954),S954,0)),0)</ns0:f>
        <ns0:v>0</ns0:v>
      </ns0:c>
      <ns0:c r="U954" s="0" t="str">
        <ns0:f>IF(Bookings!C954="","Full day",Bookings!C954)</ns0:f>
        <ns0:v>Full day</ns0:v>
      </ns0:c>
      <ns0:c r="V954" s="0" t="str">
        <ns0:f>IF(Bookings!E954="","Full day",Bookings!E954)</ns0:f>
        <ns0:v>Full day</ns0:v>
      </ns0:c>
      <ns0:c r="W954" s="0">
        <ns0:f>IF(J954=0,0,J954+IF(U954="PM",1,0))</ns0:f>
        <ns0:v>0</ns0:v>
      </ns0:c>
      <ns0:c r="X954" s="0">
        <ns0:f>IF(T954=0,0,T954-IF(V954="PM",1,0))</ns0:f>
        <ns0:v>0</ns0:v>
      </ns0:c>
      <ns0:c r="Y954" s="0">
        <ns0:f>IF(J954=0,0,J954+IF(U954="AM",1,0))</ns0:f>
        <ns0:v>0</ns0:v>
      </ns0:c>
      <ns0:c r="Z954" s="0">
        <ns0:f>IF(T954=0,0,T954-IF(V954="AM",1,0))</ns0:f>
        <ns0:v>0</ns0:v>
      </ns0:c>
      <ns0:c r="AA954" s="0">
        <ns0:f>IFERROR(IF(AND(J954&gt;0,'_Engine'!C954&gt;0,MID('_Engine'!W954,WEEKDAY(J954,2),1)="W",COUNTIF(Settings!$F$18:$F$67,J954)=0),1,0),0)</ns0:f>
        <ns0:v>0</ns0:v>
      </ns0:c>
      <ns0:c r="AB954" s="0">
        <ns0:f>IFERROR(IF(AND(T954&gt;0,'_Engine'!C954&gt;0,MID('_Engine'!W954,WEEKDAY(T954,2),1)="W",COUNTIF(Settings!$F$18:$F$67,T954)=0),1,0),0)</ns0:f>
        <ns0:v>0</ns0:v>
      </ns0:c>
      <ns0:c r="AC954" s="0">
        <ns0:f>IF(AND(J954&gt;0,T954&gt;0,W954&lt;=X954),1,0)</ns0:f>
        <ns0:v>0</ns0:v>
      </ns0:c>
      <ns0:c r="AD954" s="0">
        <ns0:f>IF(AND(J954&gt;0,T954&gt;0,Y954&lt;=Z954),1,0)</ns0:f>
        <ns0:v>0</ns0:v>
      </ns0:c>
    </ns0:row>
    <ns0:row r="955">
      <ns0:c r="A955" s="0">
        <ns0:f>IFERROR(IF(ISNUMBER(Bookings!B955),"",TRIM(Bookings!B955&amp;"")),"")</ns0:f>
      </ns0:c>
      <ns0:c r="B955" s="0">
        <ns0:f>IFERROR(SUBSTITUTE(SUBSTITUTE(A955,"/","."),"-","."),"")</ns0:f>
      </ns0:c>
      <ns0:c r="C955" s="0">
        <ns0:f>IFERROR(LEFT(B955,FIND(".",B955)-1),"")</ns0:f>
      </ns0:c>
      <ns0:c r="D955" s="0">
        <ns0:f>IFERROR(MID(B955,FIND(".",B955)+1,FIND(".",B955,FIND(".",B955)+1)-FIND(".",B955)-1),"")</ns0:f>
      </ns0:c>
      <ns0:c r="E955" s="0">
        <ns0:f>IFERROR(MID(B955,FIND(".",B955,FIND(".",B955)+1)+1,99),"")</ns0:f>
        <ns0:v>99</ns0:v>
      </ns0:c>
      <ns0:c r="F955" s="0">
        <ns0:f>IFERROR(IF(FIND(".",B955)=5,--C955,--E955),0)</ns0:f>
        <ns0:v>0</ns0:v>
      </ns0:c>
      <ns0:c r="G955" s="0">
        <ns0:f>IFERROR(--D955,0)</ns0:f>
        <ns0:v>0</ns0:v>
      </ns0:c>
      <ns0:c r="H955" s="0">
        <ns0:f>IFERROR(IF(FIND(".",B955)=5,--E955,--C955),0)</ns0:f>
        <ns0:v>0</ns0:v>
      </ns0:c>
      <ns0:c r="I955" s="0">
        <ns0:f>IFERROR(IF(AND(F955&gt;=2000,F955&lt;=2100,G955&gt;=1,G955&lt;=12,H955&gt;=1,H955&lt;=31),DATE(F955,G955,H955),0),0)</ns0:f>
        <ns0:v>0</ns0:v>
      </ns0:c>
      <ns0:c r="J955" s="0">
        <ns0:f>IFERROR(IF(ISNUMBER(Bookings!B955),IF(AND(Bookings!B955=INT(Bookings!B955),Bookings!B955&gt;=DATE(2000,1,1),Bookings!B955&lt;=DATE(2100,12,31)),Bookings!B955,0),IF(AND(A955&lt;&gt;"",LEN("x"&amp;B955)-LEN(SUBSTITUTE("x"&amp;B955,".",""))=2,OR(1&gt;LEN(B955),MID(B955,1,1)=".",ISNUMBER(FIND("x"&amp;MID(B955,1,1),"x0x1x2x3x4x5x6x7x8x9"))),OR(2&gt;LEN(B955),MID(B955,2,1)=".",ISNUMBER(FIND("x"&amp;MID(B955,2,1),"x0x1x2x3x4x5x6x7x8x9"))),OR(3&gt;LEN(B955),MID(B955,3,1)=".",ISNUMBER(FIND("x"&amp;MID(B955,3,1),"x0x1x2x3x4x5x6x7x8x9"))),OR(4&gt;LEN(B955),MID(B955,4,1)=".",ISNUMBER(FIND("x"&amp;MID(B955,4,1),"x0x1x2x3x4x5x6x7x8x9"))),OR(5&gt;LEN(B955),MID(B955,5,1)=".",ISNUMBER(FIND("x"&amp;MID(B955,5,1),"x0x1x2x3x4x5x6x7x8x9"))),OR(6&gt;LEN(B955),MID(B955,6,1)=".",ISNUMBER(FIND("x"&amp;MID(B955,6,1),"x0x1x2x3x4x5x6x7x8x9"))),OR(7&gt;LEN(B955),MID(B955,7,1)=".",ISNUMBER(FIND("x"&amp;MID(B955,7,1),"x0x1x2x3x4x5x6x7x8x9"))),OR(8&gt;LEN(B955),MID(B955,8,1)=".",ISNUMBER(FIND("x"&amp;MID(B955,8,1),"x0x1x2x3x4x5x6x7x8x9"))),OR(9&gt;LEN(B955),MID(B955,9,1)=".",ISNUMBER(FIND("x"&amp;MID(B955,9,1),"x0x1x2x3x4x5x6x7x8x9"))),OR(10&gt;LEN(B955),MID(B955,10,1)=".",ISNUMBER(FIND("x"&amp;MID(B955,10,1),"x0x1x2x3x4x5x6x7x8x9"))),OR(AND(FIND(".",B955)=5,LEN(B955)-FIND(".",B955,FIND(".",B955)+1)&gt;=1,LEN(B955)-FIND(".",B955,FIND(".",B955)+1)&lt;=2),AND(LEN(B955)-FIND(".",B955,FIND(".",B955)+1)=4,FIND(".",B955)&gt;=2,FIND(".",B955)&lt;=3)),FIND(".",B955,FIND(".",B955)+1)-FIND(".",B955)&gt;=2,FIND(".",B955,FIND(".",B955)+1)-FIND(".",B955)&lt;=3,F955&gt;=2000,F955&lt;=2100,YEAR(I955)=F955,MONTH(I955)=G955,DAY(I955)=H955),I955,0)),0)</ns0:f>
        <ns0:v>0</ns0:v>
      </ns0:c>
      <ns0:c r="K955" s="0">
        <ns0:f>IFERROR(IF(ISNUMBER(Bookings!D955),"",TRIM(Bookings!D955&amp;"")),"")</ns0:f>
      </ns0:c>
      <ns0:c r="L955" s="0">
        <ns0:f>IFERROR(SUBSTITUTE(SUBSTITUTE(K955,"/","."),"-","."),"")</ns0:f>
      </ns0:c>
      <ns0:c r="M955" s="0">
        <ns0:f>IFERROR(LEFT(L955,FIND(".",L955)-1),"")</ns0:f>
      </ns0:c>
      <ns0:c r="N955" s="0">
        <ns0:f>IFERROR(MID(L955,FIND(".",L955)+1,FIND(".",L955,FIND(".",L955)+1)-FIND(".",L955)-1),"")</ns0:f>
      </ns0:c>
      <ns0:c r="O955" s="0">
        <ns0:f>IFERROR(MID(L955,FIND(".",L955,FIND(".",L955)+1)+1,99),"")</ns0:f>
        <ns0:v>99</ns0:v>
      </ns0:c>
      <ns0:c r="P955" s="0">
        <ns0:f>IFERROR(IF(FIND(".",L955)=5,--M955,--O955),0)</ns0:f>
        <ns0:v>0</ns0:v>
      </ns0:c>
      <ns0:c r="Q955" s="0">
        <ns0:f>IFERROR(--N955,0)</ns0:f>
        <ns0:v>0</ns0:v>
      </ns0:c>
      <ns0:c r="R955" s="0">
        <ns0:f>IFERROR(IF(FIND(".",L955)=5,--O955,--M955),0)</ns0:f>
        <ns0:v>0</ns0:v>
      </ns0:c>
      <ns0:c r="S955" s="0">
        <ns0:f>IFERROR(IF(AND(P955&gt;=2000,P955&lt;=2100,Q955&gt;=1,Q955&lt;=12,R955&gt;=1,R955&lt;=31),DATE(P955,Q955,R955),0),0)</ns0:f>
        <ns0:v>0</ns0:v>
      </ns0:c>
      <ns0:c r="T955" s="0">
        <ns0:f>IFERROR(IF(ISNUMBER(Bookings!D955),IF(AND(Bookings!D955=INT(Bookings!D955),Bookings!D955&gt;=DATE(2000,1,1),Bookings!D955&lt;=DATE(2100,12,31)),Bookings!D955,0),IF(AND(K955&lt;&gt;"",LEN("x"&amp;L955)-LEN(SUBSTITUTE("x"&amp;L955,".",""))=2,OR(1&gt;LEN(L955),MID(L955,1,1)=".",ISNUMBER(FIND("x"&amp;MID(L955,1,1),"x0x1x2x3x4x5x6x7x8x9"))),OR(2&gt;LEN(L955),MID(L955,2,1)=".",ISNUMBER(FIND("x"&amp;MID(L955,2,1),"x0x1x2x3x4x5x6x7x8x9"))),OR(3&gt;LEN(L955),MID(L955,3,1)=".",ISNUMBER(FIND("x"&amp;MID(L955,3,1),"x0x1x2x3x4x5x6x7x8x9"))),OR(4&gt;LEN(L955),MID(L955,4,1)=".",ISNUMBER(FIND("x"&amp;MID(L955,4,1),"x0x1x2x3x4x5x6x7x8x9"))),OR(5&gt;LEN(L955),MID(L955,5,1)=".",ISNUMBER(FIND("x"&amp;MID(L955,5,1),"x0x1x2x3x4x5x6x7x8x9"))),OR(6&gt;LEN(L955),MID(L955,6,1)=".",ISNUMBER(FIND("x"&amp;MID(L955,6,1),"x0x1x2x3x4x5x6x7x8x9"))),OR(7&gt;LEN(L955),MID(L955,7,1)=".",ISNUMBER(FIND("x"&amp;MID(L955,7,1),"x0x1x2x3x4x5x6x7x8x9"))),OR(8&gt;LEN(L955),MID(L955,8,1)=".",ISNUMBER(FIND("x"&amp;MID(L955,8,1),"x0x1x2x3x4x5x6x7x8x9"))),OR(9&gt;LEN(L955),MID(L955,9,1)=".",ISNUMBER(FIND("x"&amp;MID(L955,9,1),"x0x1x2x3x4x5x6x7x8x9"))),OR(10&gt;LEN(L955),MID(L955,10,1)=".",ISNUMBER(FIND("x"&amp;MID(L955,10,1),"x0x1x2x3x4x5x6x7x8x9"))),OR(AND(FIND(".",L955)=5,LEN(L955)-FIND(".",L955,FIND(".",L955)+1)&gt;=1,LEN(L955)-FIND(".",L955,FIND(".",L955)+1)&lt;=2),AND(LEN(L955)-FIND(".",L955,FIND(".",L955)+1)=4,FIND(".",L955)&gt;=2,FIND(".",L955)&lt;=3)),FIND(".",L955,FIND(".",L955)+1)-FIND(".",L955)&gt;=2,FIND(".",L955,FIND(".",L955)+1)-FIND(".",L955)&lt;=3,P955&gt;=2000,P955&lt;=2100,YEAR(S955)=P955,MONTH(S955)=Q955,DAY(S955)=R955),S955,0)),0)</ns0:f>
        <ns0:v>0</ns0:v>
      </ns0:c>
      <ns0:c r="U955" s="0" t="str">
        <ns0:f>IF(Bookings!C955="","Full day",Bookings!C955)</ns0:f>
        <ns0:v>Full day</ns0:v>
      </ns0:c>
      <ns0:c r="V955" s="0" t="str">
        <ns0:f>IF(Bookings!E955="","Full day",Bookings!E955)</ns0:f>
        <ns0:v>Full day</ns0:v>
      </ns0:c>
      <ns0:c r="W955" s="0">
        <ns0:f>IF(J955=0,0,J955+IF(U955="PM",1,0))</ns0:f>
        <ns0:v>0</ns0:v>
      </ns0:c>
      <ns0:c r="X955" s="0">
        <ns0:f>IF(T955=0,0,T955-IF(V955="PM",1,0))</ns0:f>
        <ns0:v>0</ns0:v>
      </ns0:c>
      <ns0:c r="Y955" s="0">
        <ns0:f>IF(J955=0,0,J955+IF(U955="AM",1,0))</ns0:f>
        <ns0:v>0</ns0:v>
      </ns0:c>
      <ns0:c r="Z955" s="0">
        <ns0:f>IF(T955=0,0,T955-IF(V955="AM",1,0))</ns0:f>
        <ns0:v>0</ns0:v>
      </ns0:c>
      <ns0:c r="AA955" s="0">
        <ns0:f>IFERROR(IF(AND(J955&gt;0,'_Engine'!C955&gt;0,MID('_Engine'!W955,WEEKDAY(J955,2),1)="W",COUNTIF(Settings!$F$18:$F$67,J955)=0),1,0),0)</ns0:f>
        <ns0:v>0</ns0:v>
      </ns0:c>
      <ns0:c r="AB955" s="0">
        <ns0:f>IFERROR(IF(AND(T955&gt;0,'_Engine'!C955&gt;0,MID('_Engine'!W955,WEEKDAY(T955,2),1)="W",COUNTIF(Settings!$F$18:$F$67,T955)=0),1,0),0)</ns0:f>
        <ns0:v>0</ns0:v>
      </ns0:c>
      <ns0:c r="AC955" s="0">
        <ns0:f>IF(AND(J955&gt;0,T955&gt;0,W955&lt;=X955),1,0)</ns0:f>
        <ns0:v>0</ns0:v>
      </ns0:c>
      <ns0:c r="AD955" s="0">
        <ns0:f>IF(AND(J955&gt;0,T955&gt;0,Y955&lt;=Z955),1,0)</ns0:f>
        <ns0:v>0</ns0:v>
      </ns0:c>
    </ns0:row>
    <ns0:row r="956">
      <ns0:c r="A956" s="0">
        <ns0:f>IFERROR(IF(ISNUMBER(Bookings!B956),"",TRIM(Bookings!B956&amp;"")),"")</ns0:f>
      </ns0:c>
      <ns0:c r="B956" s="0">
        <ns0:f>IFERROR(SUBSTITUTE(SUBSTITUTE(A956,"/","."),"-","."),"")</ns0:f>
      </ns0:c>
      <ns0:c r="C956" s="0">
        <ns0:f>IFERROR(LEFT(B956,FIND(".",B956)-1),"")</ns0:f>
      </ns0:c>
      <ns0:c r="D956" s="0">
        <ns0:f>IFERROR(MID(B956,FIND(".",B956)+1,FIND(".",B956,FIND(".",B956)+1)-FIND(".",B956)-1),"")</ns0:f>
      </ns0:c>
      <ns0:c r="E956" s="0">
        <ns0:f>IFERROR(MID(B956,FIND(".",B956,FIND(".",B956)+1)+1,99),"")</ns0:f>
        <ns0:v>99</ns0:v>
      </ns0:c>
      <ns0:c r="F956" s="0">
        <ns0:f>IFERROR(IF(FIND(".",B956)=5,--C956,--E956),0)</ns0:f>
        <ns0:v>0</ns0:v>
      </ns0:c>
      <ns0:c r="G956" s="0">
        <ns0:f>IFERROR(--D956,0)</ns0:f>
        <ns0:v>0</ns0:v>
      </ns0:c>
      <ns0:c r="H956" s="0">
        <ns0:f>IFERROR(IF(FIND(".",B956)=5,--E956,--C956),0)</ns0:f>
        <ns0:v>0</ns0:v>
      </ns0:c>
      <ns0:c r="I956" s="0">
        <ns0:f>IFERROR(IF(AND(F956&gt;=2000,F956&lt;=2100,G956&gt;=1,G956&lt;=12,H956&gt;=1,H956&lt;=31),DATE(F956,G956,H956),0),0)</ns0:f>
        <ns0:v>0</ns0:v>
      </ns0:c>
      <ns0:c r="J956" s="0">
        <ns0:f>IFERROR(IF(ISNUMBER(Bookings!B956),IF(AND(Bookings!B956=INT(Bookings!B956),Bookings!B956&gt;=DATE(2000,1,1),Bookings!B956&lt;=DATE(2100,12,31)),Bookings!B956,0),IF(AND(A956&lt;&gt;"",LEN("x"&amp;B956)-LEN(SUBSTITUTE("x"&amp;B956,".",""))=2,OR(1&gt;LEN(B956),MID(B956,1,1)=".",ISNUMBER(FIND("x"&amp;MID(B956,1,1),"x0x1x2x3x4x5x6x7x8x9"))),OR(2&gt;LEN(B956),MID(B956,2,1)=".",ISNUMBER(FIND("x"&amp;MID(B956,2,1),"x0x1x2x3x4x5x6x7x8x9"))),OR(3&gt;LEN(B956),MID(B956,3,1)=".",ISNUMBER(FIND("x"&amp;MID(B956,3,1),"x0x1x2x3x4x5x6x7x8x9"))),OR(4&gt;LEN(B956),MID(B956,4,1)=".",ISNUMBER(FIND("x"&amp;MID(B956,4,1),"x0x1x2x3x4x5x6x7x8x9"))),OR(5&gt;LEN(B956),MID(B956,5,1)=".",ISNUMBER(FIND("x"&amp;MID(B956,5,1),"x0x1x2x3x4x5x6x7x8x9"))),OR(6&gt;LEN(B956),MID(B956,6,1)=".",ISNUMBER(FIND("x"&amp;MID(B956,6,1),"x0x1x2x3x4x5x6x7x8x9"))),OR(7&gt;LEN(B956),MID(B956,7,1)=".",ISNUMBER(FIND("x"&amp;MID(B956,7,1),"x0x1x2x3x4x5x6x7x8x9"))),OR(8&gt;LEN(B956),MID(B956,8,1)=".",ISNUMBER(FIND("x"&amp;MID(B956,8,1),"x0x1x2x3x4x5x6x7x8x9"))),OR(9&gt;LEN(B956),MID(B956,9,1)=".",ISNUMBER(FIND("x"&amp;MID(B956,9,1),"x0x1x2x3x4x5x6x7x8x9"))),OR(10&gt;LEN(B956),MID(B956,10,1)=".",ISNUMBER(FIND("x"&amp;MID(B956,10,1),"x0x1x2x3x4x5x6x7x8x9"))),OR(AND(FIND(".",B956)=5,LEN(B956)-FIND(".",B956,FIND(".",B956)+1)&gt;=1,LEN(B956)-FIND(".",B956,FIND(".",B956)+1)&lt;=2),AND(LEN(B956)-FIND(".",B956,FIND(".",B956)+1)=4,FIND(".",B956)&gt;=2,FIND(".",B956)&lt;=3)),FIND(".",B956,FIND(".",B956)+1)-FIND(".",B956)&gt;=2,FIND(".",B956,FIND(".",B956)+1)-FIND(".",B956)&lt;=3,F956&gt;=2000,F956&lt;=2100,YEAR(I956)=F956,MONTH(I956)=G956,DAY(I956)=H956),I956,0)),0)</ns0:f>
        <ns0:v>0</ns0:v>
      </ns0:c>
      <ns0:c r="K956" s="0">
        <ns0:f>IFERROR(IF(ISNUMBER(Bookings!D956),"",TRIM(Bookings!D956&amp;"")),"")</ns0:f>
      </ns0:c>
      <ns0:c r="L956" s="0">
        <ns0:f>IFERROR(SUBSTITUTE(SUBSTITUTE(K956,"/","."),"-","."),"")</ns0:f>
      </ns0:c>
      <ns0:c r="M956" s="0">
        <ns0:f>IFERROR(LEFT(L956,FIND(".",L956)-1),"")</ns0:f>
      </ns0:c>
      <ns0:c r="N956" s="0">
        <ns0:f>IFERROR(MID(L956,FIND(".",L956)+1,FIND(".",L956,FIND(".",L956)+1)-FIND(".",L956)-1),"")</ns0:f>
      </ns0:c>
      <ns0:c r="O956" s="0">
        <ns0:f>IFERROR(MID(L956,FIND(".",L956,FIND(".",L956)+1)+1,99),"")</ns0:f>
        <ns0:v>99</ns0:v>
      </ns0:c>
      <ns0:c r="P956" s="0">
        <ns0:f>IFERROR(IF(FIND(".",L956)=5,--M956,--O956),0)</ns0:f>
        <ns0:v>0</ns0:v>
      </ns0:c>
      <ns0:c r="Q956" s="0">
        <ns0:f>IFERROR(--N956,0)</ns0:f>
        <ns0:v>0</ns0:v>
      </ns0:c>
      <ns0:c r="R956" s="0">
        <ns0:f>IFERROR(IF(FIND(".",L956)=5,--O956,--M956),0)</ns0:f>
        <ns0:v>0</ns0:v>
      </ns0:c>
      <ns0:c r="S956" s="0">
        <ns0:f>IFERROR(IF(AND(P956&gt;=2000,P956&lt;=2100,Q956&gt;=1,Q956&lt;=12,R956&gt;=1,R956&lt;=31),DATE(P956,Q956,R956),0),0)</ns0:f>
        <ns0:v>0</ns0:v>
      </ns0:c>
      <ns0:c r="T956" s="0">
        <ns0:f>IFERROR(IF(ISNUMBER(Bookings!D956),IF(AND(Bookings!D956=INT(Bookings!D956),Bookings!D956&gt;=DATE(2000,1,1),Bookings!D956&lt;=DATE(2100,12,31)),Bookings!D956,0),IF(AND(K956&lt;&gt;"",LEN("x"&amp;L956)-LEN(SUBSTITUTE("x"&amp;L956,".",""))=2,OR(1&gt;LEN(L956),MID(L956,1,1)=".",ISNUMBER(FIND("x"&amp;MID(L956,1,1),"x0x1x2x3x4x5x6x7x8x9"))),OR(2&gt;LEN(L956),MID(L956,2,1)=".",ISNUMBER(FIND("x"&amp;MID(L956,2,1),"x0x1x2x3x4x5x6x7x8x9"))),OR(3&gt;LEN(L956),MID(L956,3,1)=".",ISNUMBER(FIND("x"&amp;MID(L956,3,1),"x0x1x2x3x4x5x6x7x8x9"))),OR(4&gt;LEN(L956),MID(L956,4,1)=".",ISNUMBER(FIND("x"&amp;MID(L956,4,1),"x0x1x2x3x4x5x6x7x8x9"))),OR(5&gt;LEN(L956),MID(L956,5,1)=".",ISNUMBER(FIND("x"&amp;MID(L956,5,1),"x0x1x2x3x4x5x6x7x8x9"))),OR(6&gt;LEN(L956),MID(L956,6,1)=".",ISNUMBER(FIND("x"&amp;MID(L956,6,1),"x0x1x2x3x4x5x6x7x8x9"))),OR(7&gt;LEN(L956),MID(L956,7,1)=".",ISNUMBER(FIND("x"&amp;MID(L956,7,1),"x0x1x2x3x4x5x6x7x8x9"))),OR(8&gt;LEN(L956),MID(L956,8,1)=".",ISNUMBER(FIND("x"&amp;MID(L956,8,1),"x0x1x2x3x4x5x6x7x8x9"))),OR(9&gt;LEN(L956),MID(L956,9,1)=".",ISNUMBER(FIND("x"&amp;MID(L956,9,1),"x0x1x2x3x4x5x6x7x8x9"))),OR(10&gt;LEN(L956),MID(L956,10,1)=".",ISNUMBER(FIND("x"&amp;MID(L956,10,1),"x0x1x2x3x4x5x6x7x8x9"))),OR(AND(FIND(".",L956)=5,LEN(L956)-FIND(".",L956,FIND(".",L956)+1)&gt;=1,LEN(L956)-FIND(".",L956,FIND(".",L956)+1)&lt;=2),AND(LEN(L956)-FIND(".",L956,FIND(".",L956)+1)=4,FIND(".",L956)&gt;=2,FIND(".",L956)&lt;=3)),FIND(".",L956,FIND(".",L956)+1)-FIND(".",L956)&gt;=2,FIND(".",L956,FIND(".",L956)+1)-FIND(".",L956)&lt;=3,P956&gt;=2000,P956&lt;=2100,YEAR(S956)=P956,MONTH(S956)=Q956,DAY(S956)=R956),S956,0)),0)</ns0:f>
        <ns0:v>0</ns0:v>
      </ns0:c>
      <ns0:c r="U956" s="0" t="str">
        <ns0:f>IF(Bookings!C956="","Full day",Bookings!C956)</ns0:f>
        <ns0:v>Full day</ns0:v>
      </ns0:c>
      <ns0:c r="V956" s="0" t="str">
        <ns0:f>IF(Bookings!E956="","Full day",Bookings!E956)</ns0:f>
        <ns0:v>Full day</ns0:v>
      </ns0:c>
      <ns0:c r="W956" s="0">
        <ns0:f>IF(J956=0,0,J956+IF(U956="PM",1,0))</ns0:f>
        <ns0:v>0</ns0:v>
      </ns0:c>
      <ns0:c r="X956" s="0">
        <ns0:f>IF(T956=0,0,T956-IF(V956="PM",1,0))</ns0:f>
        <ns0:v>0</ns0:v>
      </ns0:c>
      <ns0:c r="Y956" s="0">
        <ns0:f>IF(J956=0,0,J956+IF(U956="AM",1,0))</ns0:f>
        <ns0:v>0</ns0:v>
      </ns0:c>
      <ns0:c r="Z956" s="0">
        <ns0:f>IF(T956=0,0,T956-IF(V956="AM",1,0))</ns0:f>
        <ns0:v>0</ns0:v>
      </ns0:c>
      <ns0:c r="AA956" s="0">
        <ns0:f>IFERROR(IF(AND(J956&gt;0,'_Engine'!C956&gt;0,MID('_Engine'!W956,WEEKDAY(J956,2),1)="W",COUNTIF(Settings!$F$18:$F$67,J956)=0),1,0),0)</ns0:f>
        <ns0:v>0</ns0:v>
      </ns0:c>
      <ns0:c r="AB956" s="0">
        <ns0:f>IFERROR(IF(AND(T956&gt;0,'_Engine'!C956&gt;0,MID('_Engine'!W956,WEEKDAY(T956,2),1)="W",COUNTIF(Settings!$F$18:$F$67,T956)=0),1,0),0)</ns0:f>
        <ns0:v>0</ns0:v>
      </ns0:c>
      <ns0:c r="AC956" s="0">
        <ns0:f>IF(AND(J956&gt;0,T956&gt;0,W956&lt;=X956),1,0)</ns0:f>
        <ns0:v>0</ns0:v>
      </ns0:c>
      <ns0:c r="AD956" s="0">
        <ns0:f>IF(AND(J956&gt;0,T956&gt;0,Y956&lt;=Z956),1,0)</ns0:f>
        <ns0:v>0</ns0:v>
      </ns0:c>
    </ns0:row>
    <ns0:row r="957">
      <ns0:c r="A957" s="0">
        <ns0:f>IFERROR(IF(ISNUMBER(Bookings!B957),"",TRIM(Bookings!B957&amp;"")),"")</ns0:f>
      </ns0:c>
      <ns0:c r="B957" s="0">
        <ns0:f>IFERROR(SUBSTITUTE(SUBSTITUTE(A957,"/","."),"-","."),"")</ns0:f>
      </ns0:c>
      <ns0:c r="C957" s="0">
        <ns0:f>IFERROR(LEFT(B957,FIND(".",B957)-1),"")</ns0:f>
      </ns0:c>
      <ns0:c r="D957" s="0">
        <ns0:f>IFERROR(MID(B957,FIND(".",B957)+1,FIND(".",B957,FIND(".",B957)+1)-FIND(".",B957)-1),"")</ns0:f>
      </ns0:c>
      <ns0:c r="E957" s="0">
        <ns0:f>IFERROR(MID(B957,FIND(".",B957,FIND(".",B957)+1)+1,99),"")</ns0:f>
        <ns0:v>99</ns0:v>
      </ns0:c>
      <ns0:c r="F957" s="0">
        <ns0:f>IFERROR(IF(FIND(".",B957)=5,--C957,--E957),0)</ns0:f>
        <ns0:v>0</ns0:v>
      </ns0:c>
      <ns0:c r="G957" s="0">
        <ns0:f>IFERROR(--D957,0)</ns0:f>
        <ns0:v>0</ns0:v>
      </ns0:c>
      <ns0:c r="H957" s="0">
        <ns0:f>IFERROR(IF(FIND(".",B957)=5,--E957,--C957),0)</ns0:f>
        <ns0:v>0</ns0:v>
      </ns0:c>
      <ns0:c r="I957" s="0">
        <ns0:f>IFERROR(IF(AND(F957&gt;=2000,F957&lt;=2100,G957&gt;=1,G957&lt;=12,H957&gt;=1,H957&lt;=31),DATE(F957,G957,H957),0),0)</ns0:f>
        <ns0:v>0</ns0:v>
      </ns0:c>
      <ns0:c r="J957" s="0">
        <ns0:f>IFERROR(IF(ISNUMBER(Bookings!B957),IF(AND(Bookings!B957=INT(Bookings!B957),Bookings!B957&gt;=DATE(2000,1,1),Bookings!B957&lt;=DATE(2100,12,31)),Bookings!B957,0),IF(AND(A957&lt;&gt;"",LEN("x"&amp;B957)-LEN(SUBSTITUTE("x"&amp;B957,".",""))=2,OR(1&gt;LEN(B957),MID(B957,1,1)=".",ISNUMBER(FIND("x"&amp;MID(B957,1,1),"x0x1x2x3x4x5x6x7x8x9"))),OR(2&gt;LEN(B957),MID(B957,2,1)=".",ISNUMBER(FIND("x"&amp;MID(B957,2,1),"x0x1x2x3x4x5x6x7x8x9"))),OR(3&gt;LEN(B957),MID(B957,3,1)=".",ISNUMBER(FIND("x"&amp;MID(B957,3,1),"x0x1x2x3x4x5x6x7x8x9"))),OR(4&gt;LEN(B957),MID(B957,4,1)=".",ISNUMBER(FIND("x"&amp;MID(B957,4,1),"x0x1x2x3x4x5x6x7x8x9"))),OR(5&gt;LEN(B957),MID(B957,5,1)=".",ISNUMBER(FIND("x"&amp;MID(B957,5,1),"x0x1x2x3x4x5x6x7x8x9"))),OR(6&gt;LEN(B957),MID(B957,6,1)=".",ISNUMBER(FIND("x"&amp;MID(B957,6,1),"x0x1x2x3x4x5x6x7x8x9"))),OR(7&gt;LEN(B957),MID(B957,7,1)=".",ISNUMBER(FIND("x"&amp;MID(B957,7,1),"x0x1x2x3x4x5x6x7x8x9"))),OR(8&gt;LEN(B957),MID(B957,8,1)=".",ISNUMBER(FIND("x"&amp;MID(B957,8,1),"x0x1x2x3x4x5x6x7x8x9"))),OR(9&gt;LEN(B957),MID(B957,9,1)=".",ISNUMBER(FIND("x"&amp;MID(B957,9,1),"x0x1x2x3x4x5x6x7x8x9"))),OR(10&gt;LEN(B957),MID(B957,10,1)=".",ISNUMBER(FIND("x"&amp;MID(B957,10,1),"x0x1x2x3x4x5x6x7x8x9"))),OR(AND(FIND(".",B957)=5,LEN(B957)-FIND(".",B957,FIND(".",B957)+1)&gt;=1,LEN(B957)-FIND(".",B957,FIND(".",B957)+1)&lt;=2),AND(LEN(B957)-FIND(".",B957,FIND(".",B957)+1)=4,FIND(".",B957)&gt;=2,FIND(".",B957)&lt;=3)),FIND(".",B957,FIND(".",B957)+1)-FIND(".",B957)&gt;=2,FIND(".",B957,FIND(".",B957)+1)-FIND(".",B957)&lt;=3,F957&gt;=2000,F957&lt;=2100,YEAR(I957)=F957,MONTH(I957)=G957,DAY(I957)=H957),I957,0)),0)</ns0:f>
        <ns0:v>0</ns0:v>
      </ns0:c>
      <ns0:c r="K957" s="0">
        <ns0:f>IFERROR(IF(ISNUMBER(Bookings!D957),"",TRIM(Bookings!D957&amp;"")),"")</ns0:f>
      </ns0:c>
      <ns0:c r="L957" s="0">
        <ns0:f>IFERROR(SUBSTITUTE(SUBSTITUTE(K957,"/","."),"-","."),"")</ns0:f>
      </ns0:c>
      <ns0:c r="M957" s="0">
        <ns0:f>IFERROR(LEFT(L957,FIND(".",L957)-1),"")</ns0:f>
      </ns0:c>
      <ns0:c r="N957" s="0">
        <ns0:f>IFERROR(MID(L957,FIND(".",L957)+1,FIND(".",L957,FIND(".",L957)+1)-FIND(".",L957)-1),"")</ns0:f>
      </ns0:c>
      <ns0:c r="O957" s="0">
        <ns0:f>IFERROR(MID(L957,FIND(".",L957,FIND(".",L957)+1)+1,99),"")</ns0:f>
        <ns0:v>99</ns0:v>
      </ns0:c>
      <ns0:c r="P957" s="0">
        <ns0:f>IFERROR(IF(FIND(".",L957)=5,--M957,--O957),0)</ns0:f>
        <ns0:v>0</ns0:v>
      </ns0:c>
      <ns0:c r="Q957" s="0">
        <ns0:f>IFERROR(--N957,0)</ns0:f>
        <ns0:v>0</ns0:v>
      </ns0:c>
      <ns0:c r="R957" s="0">
        <ns0:f>IFERROR(IF(FIND(".",L957)=5,--O957,--M957),0)</ns0:f>
        <ns0:v>0</ns0:v>
      </ns0:c>
      <ns0:c r="S957" s="0">
        <ns0:f>IFERROR(IF(AND(P957&gt;=2000,P957&lt;=2100,Q957&gt;=1,Q957&lt;=12,R957&gt;=1,R957&lt;=31),DATE(P957,Q957,R957),0),0)</ns0:f>
        <ns0:v>0</ns0:v>
      </ns0:c>
      <ns0:c r="T957" s="0">
        <ns0:f>IFERROR(IF(ISNUMBER(Bookings!D957),IF(AND(Bookings!D957=INT(Bookings!D957),Bookings!D957&gt;=DATE(2000,1,1),Bookings!D957&lt;=DATE(2100,12,31)),Bookings!D957,0),IF(AND(K957&lt;&gt;"",LEN("x"&amp;L957)-LEN(SUBSTITUTE("x"&amp;L957,".",""))=2,OR(1&gt;LEN(L957),MID(L957,1,1)=".",ISNUMBER(FIND("x"&amp;MID(L957,1,1),"x0x1x2x3x4x5x6x7x8x9"))),OR(2&gt;LEN(L957),MID(L957,2,1)=".",ISNUMBER(FIND("x"&amp;MID(L957,2,1),"x0x1x2x3x4x5x6x7x8x9"))),OR(3&gt;LEN(L957),MID(L957,3,1)=".",ISNUMBER(FIND("x"&amp;MID(L957,3,1),"x0x1x2x3x4x5x6x7x8x9"))),OR(4&gt;LEN(L957),MID(L957,4,1)=".",ISNUMBER(FIND("x"&amp;MID(L957,4,1),"x0x1x2x3x4x5x6x7x8x9"))),OR(5&gt;LEN(L957),MID(L957,5,1)=".",ISNUMBER(FIND("x"&amp;MID(L957,5,1),"x0x1x2x3x4x5x6x7x8x9"))),OR(6&gt;LEN(L957),MID(L957,6,1)=".",ISNUMBER(FIND("x"&amp;MID(L957,6,1),"x0x1x2x3x4x5x6x7x8x9"))),OR(7&gt;LEN(L957),MID(L957,7,1)=".",ISNUMBER(FIND("x"&amp;MID(L957,7,1),"x0x1x2x3x4x5x6x7x8x9"))),OR(8&gt;LEN(L957),MID(L957,8,1)=".",ISNUMBER(FIND("x"&amp;MID(L957,8,1),"x0x1x2x3x4x5x6x7x8x9"))),OR(9&gt;LEN(L957),MID(L957,9,1)=".",ISNUMBER(FIND("x"&amp;MID(L957,9,1),"x0x1x2x3x4x5x6x7x8x9"))),OR(10&gt;LEN(L957),MID(L957,10,1)=".",ISNUMBER(FIND("x"&amp;MID(L957,10,1),"x0x1x2x3x4x5x6x7x8x9"))),OR(AND(FIND(".",L957)=5,LEN(L957)-FIND(".",L957,FIND(".",L957)+1)&gt;=1,LEN(L957)-FIND(".",L957,FIND(".",L957)+1)&lt;=2),AND(LEN(L957)-FIND(".",L957,FIND(".",L957)+1)=4,FIND(".",L957)&gt;=2,FIND(".",L957)&lt;=3)),FIND(".",L957,FIND(".",L957)+1)-FIND(".",L957)&gt;=2,FIND(".",L957,FIND(".",L957)+1)-FIND(".",L957)&lt;=3,P957&gt;=2000,P957&lt;=2100,YEAR(S957)=P957,MONTH(S957)=Q957,DAY(S957)=R957),S957,0)),0)</ns0:f>
        <ns0:v>0</ns0:v>
      </ns0:c>
      <ns0:c r="U957" s="0" t="str">
        <ns0:f>IF(Bookings!C957="","Full day",Bookings!C957)</ns0:f>
        <ns0:v>Full day</ns0:v>
      </ns0:c>
      <ns0:c r="V957" s="0" t="str">
        <ns0:f>IF(Bookings!E957="","Full day",Bookings!E957)</ns0:f>
        <ns0:v>Full day</ns0:v>
      </ns0:c>
      <ns0:c r="W957" s="0">
        <ns0:f>IF(J957=0,0,J957+IF(U957="PM",1,0))</ns0:f>
        <ns0:v>0</ns0:v>
      </ns0:c>
      <ns0:c r="X957" s="0">
        <ns0:f>IF(T957=0,0,T957-IF(V957="PM",1,0))</ns0:f>
        <ns0:v>0</ns0:v>
      </ns0:c>
      <ns0:c r="Y957" s="0">
        <ns0:f>IF(J957=0,0,J957+IF(U957="AM",1,0))</ns0:f>
        <ns0:v>0</ns0:v>
      </ns0:c>
      <ns0:c r="Z957" s="0">
        <ns0:f>IF(T957=0,0,T957-IF(V957="AM",1,0))</ns0:f>
        <ns0:v>0</ns0:v>
      </ns0:c>
      <ns0:c r="AA957" s="0">
        <ns0:f>IFERROR(IF(AND(J957&gt;0,'_Engine'!C957&gt;0,MID('_Engine'!W957,WEEKDAY(J957,2),1)="W",COUNTIF(Settings!$F$18:$F$67,J957)=0),1,0),0)</ns0:f>
        <ns0:v>0</ns0:v>
      </ns0:c>
      <ns0:c r="AB957" s="0">
        <ns0:f>IFERROR(IF(AND(T957&gt;0,'_Engine'!C957&gt;0,MID('_Engine'!W957,WEEKDAY(T957,2),1)="W",COUNTIF(Settings!$F$18:$F$67,T957)=0),1,0),0)</ns0:f>
        <ns0:v>0</ns0:v>
      </ns0:c>
      <ns0:c r="AC957" s="0">
        <ns0:f>IF(AND(J957&gt;0,T957&gt;0,W957&lt;=X957),1,0)</ns0:f>
        <ns0:v>0</ns0:v>
      </ns0:c>
      <ns0:c r="AD957" s="0">
        <ns0:f>IF(AND(J957&gt;0,T957&gt;0,Y957&lt;=Z957),1,0)</ns0:f>
        <ns0:v>0</ns0:v>
      </ns0:c>
    </ns0:row>
    <ns0:row r="958">
      <ns0:c r="A958" s="0">
        <ns0:f>IFERROR(IF(ISNUMBER(Bookings!B958),"",TRIM(Bookings!B958&amp;"")),"")</ns0:f>
      </ns0:c>
      <ns0:c r="B958" s="0">
        <ns0:f>IFERROR(SUBSTITUTE(SUBSTITUTE(A958,"/","."),"-","."),"")</ns0:f>
      </ns0:c>
      <ns0:c r="C958" s="0">
        <ns0:f>IFERROR(LEFT(B958,FIND(".",B958)-1),"")</ns0:f>
      </ns0:c>
      <ns0:c r="D958" s="0">
        <ns0:f>IFERROR(MID(B958,FIND(".",B958)+1,FIND(".",B958,FIND(".",B958)+1)-FIND(".",B958)-1),"")</ns0:f>
      </ns0:c>
      <ns0:c r="E958" s="0">
        <ns0:f>IFERROR(MID(B958,FIND(".",B958,FIND(".",B958)+1)+1,99),"")</ns0:f>
        <ns0:v>99</ns0:v>
      </ns0:c>
      <ns0:c r="F958" s="0">
        <ns0:f>IFERROR(IF(FIND(".",B958)=5,--C958,--E958),0)</ns0:f>
        <ns0:v>0</ns0:v>
      </ns0:c>
      <ns0:c r="G958" s="0">
        <ns0:f>IFERROR(--D958,0)</ns0:f>
        <ns0:v>0</ns0:v>
      </ns0:c>
      <ns0:c r="H958" s="0">
        <ns0:f>IFERROR(IF(FIND(".",B958)=5,--E958,--C958),0)</ns0:f>
        <ns0:v>0</ns0:v>
      </ns0:c>
      <ns0:c r="I958" s="0">
        <ns0:f>IFERROR(IF(AND(F958&gt;=2000,F958&lt;=2100,G958&gt;=1,G958&lt;=12,H958&gt;=1,H958&lt;=31),DATE(F958,G958,H958),0),0)</ns0:f>
        <ns0:v>0</ns0:v>
      </ns0:c>
      <ns0:c r="J958" s="0">
        <ns0:f>IFERROR(IF(ISNUMBER(Bookings!B958),IF(AND(Bookings!B958=INT(Bookings!B958),Bookings!B958&gt;=DATE(2000,1,1),Bookings!B958&lt;=DATE(2100,12,31)),Bookings!B958,0),IF(AND(A958&lt;&gt;"",LEN("x"&amp;B958)-LEN(SUBSTITUTE("x"&amp;B958,".",""))=2,OR(1&gt;LEN(B958),MID(B958,1,1)=".",ISNUMBER(FIND("x"&amp;MID(B958,1,1),"x0x1x2x3x4x5x6x7x8x9"))),OR(2&gt;LEN(B958),MID(B958,2,1)=".",ISNUMBER(FIND("x"&amp;MID(B958,2,1),"x0x1x2x3x4x5x6x7x8x9"))),OR(3&gt;LEN(B958),MID(B958,3,1)=".",ISNUMBER(FIND("x"&amp;MID(B958,3,1),"x0x1x2x3x4x5x6x7x8x9"))),OR(4&gt;LEN(B958),MID(B958,4,1)=".",ISNUMBER(FIND("x"&amp;MID(B958,4,1),"x0x1x2x3x4x5x6x7x8x9"))),OR(5&gt;LEN(B958),MID(B958,5,1)=".",ISNUMBER(FIND("x"&amp;MID(B958,5,1),"x0x1x2x3x4x5x6x7x8x9"))),OR(6&gt;LEN(B958),MID(B958,6,1)=".",ISNUMBER(FIND("x"&amp;MID(B958,6,1),"x0x1x2x3x4x5x6x7x8x9"))),OR(7&gt;LEN(B958),MID(B958,7,1)=".",ISNUMBER(FIND("x"&amp;MID(B958,7,1),"x0x1x2x3x4x5x6x7x8x9"))),OR(8&gt;LEN(B958),MID(B958,8,1)=".",ISNUMBER(FIND("x"&amp;MID(B958,8,1),"x0x1x2x3x4x5x6x7x8x9"))),OR(9&gt;LEN(B958),MID(B958,9,1)=".",ISNUMBER(FIND("x"&amp;MID(B958,9,1),"x0x1x2x3x4x5x6x7x8x9"))),OR(10&gt;LEN(B958),MID(B958,10,1)=".",ISNUMBER(FIND("x"&amp;MID(B958,10,1),"x0x1x2x3x4x5x6x7x8x9"))),OR(AND(FIND(".",B958)=5,LEN(B958)-FIND(".",B958,FIND(".",B958)+1)&gt;=1,LEN(B958)-FIND(".",B958,FIND(".",B958)+1)&lt;=2),AND(LEN(B958)-FIND(".",B958,FIND(".",B958)+1)=4,FIND(".",B958)&gt;=2,FIND(".",B958)&lt;=3)),FIND(".",B958,FIND(".",B958)+1)-FIND(".",B958)&gt;=2,FIND(".",B958,FIND(".",B958)+1)-FIND(".",B958)&lt;=3,F958&gt;=2000,F958&lt;=2100,YEAR(I958)=F958,MONTH(I958)=G958,DAY(I958)=H958),I958,0)),0)</ns0:f>
        <ns0:v>0</ns0:v>
      </ns0:c>
      <ns0:c r="K958" s="0">
        <ns0:f>IFERROR(IF(ISNUMBER(Bookings!D958),"",TRIM(Bookings!D958&amp;"")),"")</ns0:f>
      </ns0:c>
      <ns0:c r="L958" s="0">
        <ns0:f>IFERROR(SUBSTITUTE(SUBSTITUTE(K958,"/","."),"-","."),"")</ns0:f>
      </ns0:c>
      <ns0:c r="M958" s="0">
        <ns0:f>IFERROR(LEFT(L958,FIND(".",L958)-1),"")</ns0:f>
      </ns0:c>
      <ns0:c r="N958" s="0">
        <ns0:f>IFERROR(MID(L958,FIND(".",L958)+1,FIND(".",L958,FIND(".",L958)+1)-FIND(".",L958)-1),"")</ns0:f>
      </ns0:c>
      <ns0:c r="O958" s="0">
        <ns0:f>IFERROR(MID(L958,FIND(".",L958,FIND(".",L958)+1)+1,99),"")</ns0:f>
        <ns0:v>99</ns0:v>
      </ns0:c>
      <ns0:c r="P958" s="0">
        <ns0:f>IFERROR(IF(FIND(".",L958)=5,--M958,--O958),0)</ns0:f>
        <ns0:v>0</ns0:v>
      </ns0:c>
      <ns0:c r="Q958" s="0">
        <ns0:f>IFERROR(--N958,0)</ns0:f>
        <ns0:v>0</ns0:v>
      </ns0:c>
      <ns0:c r="R958" s="0">
        <ns0:f>IFERROR(IF(FIND(".",L958)=5,--O958,--M958),0)</ns0:f>
        <ns0:v>0</ns0:v>
      </ns0:c>
      <ns0:c r="S958" s="0">
        <ns0:f>IFERROR(IF(AND(P958&gt;=2000,P958&lt;=2100,Q958&gt;=1,Q958&lt;=12,R958&gt;=1,R958&lt;=31),DATE(P958,Q958,R958),0),0)</ns0:f>
        <ns0:v>0</ns0:v>
      </ns0:c>
      <ns0:c r="T958" s="0">
        <ns0:f>IFERROR(IF(ISNUMBER(Bookings!D958),IF(AND(Bookings!D958=INT(Bookings!D958),Bookings!D958&gt;=DATE(2000,1,1),Bookings!D958&lt;=DATE(2100,12,31)),Bookings!D958,0),IF(AND(K958&lt;&gt;"",LEN("x"&amp;L958)-LEN(SUBSTITUTE("x"&amp;L958,".",""))=2,OR(1&gt;LEN(L958),MID(L958,1,1)=".",ISNUMBER(FIND("x"&amp;MID(L958,1,1),"x0x1x2x3x4x5x6x7x8x9"))),OR(2&gt;LEN(L958),MID(L958,2,1)=".",ISNUMBER(FIND("x"&amp;MID(L958,2,1),"x0x1x2x3x4x5x6x7x8x9"))),OR(3&gt;LEN(L958),MID(L958,3,1)=".",ISNUMBER(FIND("x"&amp;MID(L958,3,1),"x0x1x2x3x4x5x6x7x8x9"))),OR(4&gt;LEN(L958),MID(L958,4,1)=".",ISNUMBER(FIND("x"&amp;MID(L958,4,1),"x0x1x2x3x4x5x6x7x8x9"))),OR(5&gt;LEN(L958),MID(L958,5,1)=".",ISNUMBER(FIND("x"&amp;MID(L958,5,1),"x0x1x2x3x4x5x6x7x8x9"))),OR(6&gt;LEN(L958),MID(L958,6,1)=".",ISNUMBER(FIND("x"&amp;MID(L958,6,1),"x0x1x2x3x4x5x6x7x8x9"))),OR(7&gt;LEN(L958),MID(L958,7,1)=".",ISNUMBER(FIND("x"&amp;MID(L958,7,1),"x0x1x2x3x4x5x6x7x8x9"))),OR(8&gt;LEN(L958),MID(L958,8,1)=".",ISNUMBER(FIND("x"&amp;MID(L958,8,1),"x0x1x2x3x4x5x6x7x8x9"))),OR(9&gt;LEN(L958),MID(L958,9,1)=".",ISNUMBER(FIND("x"&amp;MID(L958,9,1),"x0x1x2x3x4x5x6x7x8x9"))),OR(10&gt;LEN(L958),MID(L958,10,1)=".",ISNUMBER(FIND("x"&amp;MID(L958,10,1),"x0x1x2x3x4x5x6x7x8x9"))),OR(AND(FIND(".",L958)=5,LEN(L958)-FIND(".",L958,FIND(".",L958)+1)&gt;=1,LEN(L958)-FIND(".",L958,FIND(".",L958)+1)&lt;=2),AND(LEN(L958)-FIND(".",L958,FIND(".",L958)+1)=4,FIND(".",L958)&gt;=2,FIND(".",L958)&lt;=3)),FIND(".",L958,FIND(".",L958)+1)-FIND(".",L958)&gt;=2,FIND(".",L958,FIND(".",L958)+1)-FIND(".",L958)&lt;=3,P958&gt;=2000,P958&lt;=2100,YEAR(S958)=P958,MONTH(S958)=Q958,DAY(S958)=R958),S958,0)),0)</ns0:f>
        <ns0:v>0</ns0:v>
      </ns0:c>
      <ns0:c r="U958" s="0" t="str">
        <ns0:f>IF(Bookings!C958="","Full day",Bookings!C958)</ns0:f>
        <ns0:v>Full day</ns0:v>
      </ns0:c>
      <ns0:c r="V958" s="0" t="str">
        <ns0:f>IF(Bookings!E958="","Full day",Bookings!E958)</ns0:f>
        <ns0:v>Full day</ns0:v>
      </ns0:c>
      <ns0:c r="W958" s="0">
        <ns0:f>IF(J958=0,0,J958+IF(U958="PM",1,0))</ns0:f>
        <ns0:v>0</ns0:v>
      </ns0:c>
      <ns0:c r="X958" s="0">
        <ns0:f>IF(T958=0,0,T958-IF(V958="PM",1,0))</ns0:f>
        <ns0:v>0</ns0:v>
      </ns0:c>
      <ns0:c r="Y958" s="0">
        <ns0:f>IF(J958=0,0,J958+IF(U958="AM",1,0))</ns0:f>
        <ns0:v>0</ns0:v>
      </ns0:c>
      <ns0:c r="Z958" s="0">
        <ns0:f>IF(T958=0,0,T958-IF(V958="AM",1,0))</ns0:f>
        <ns0:v>0</ns0:v>
      </ns0:c>
      <ns0:c r="AA958" s="0">
        <ns0:f>IFERROR(IF(AND(J958&gt;0,'_Engine'!C958&gt;0,MID('_Engine'!W958,WEEKDAY(J958,2),1)="W",COUNTIF(Settings!$F$18:$F$67,J958)=0),1,0),0)</ns0:f>
        <ns0:v>0</ns0:v>
      </ns0:c>
      <ns0:c r="AB958" s="0">
        <ns0:f>IFERROR(IF(AND(T958&gt;0,'_Engine'!C958&gt;0,MID('_Engine'!W958,WEEKDAY(T958,2),1)="W",COUNTIF(Settings!$F$18:$F$67,T958)=0),1,0),0)</ns0:f>
        <ns0:v>0</ns0:v>
      </ns0:c>
      <ns0:c r="AC958" s="0">
        <ns0:f>IF(AND(J958&gt;0,T958&gt;0,W958&lt;=X958),1,0)</ns0:f>
        <ns0:v>0</ns0:v>
      </ns0:c>
      <ns0:c r="AD958" s="0">
        <ns0:f>IF(AND(J958&gt;0,T958&gt;0,Y958&lt;=Z958),1,0)</ns0:f>
        <ns0:v>0</ns0:v>
      </ns0:c>
    </ns0:row>
    <ns0:row r="959">
      <ns0:c r="A959" s="0">
        <ns0:f>IFERROR(IF(ISNUMBER(Bookings!B959),"",TRIM(Bookings!B959&amp;"")),"")</ns0:f>
      </ns0:c>
      <ns0:c r="B959" s="0">
        <ns0:f>IFERROR(SUBSTITUTE(SUBSTITUTE(A959,"/","."),"-","."),"")</ns0:f>
      </ns0:c>
      <ns0:c r="C959" s="0">
        <ns0:f>IFERROR(LEFT(B959,FIND(".",B959)-1),"")</ns0:f>
      </ns0:c>
      <ns0:c r="D959" s="0">
        <ns0:f>IFERROR(MID(B959,FIND(".",B959)+1,FIND(".",B959,FIND(".",B959)+1)-FIND(".",B959)-1),"")</ns0:f>
      </ns0:c>
      <ns0:c r="E959" s="0">
        <ns0:f>IFERROR(MID(B959,FIND(".",B959,FIND(".",B959)+1)+1,99),"")</ns0:f>
        <ns0:v>99</ns0:v>
      </ns0:c>
      <ns0:c r="F959" s="0">
        <ns0:f>IFERROR(IF(FIND(".",B959)=5,--C959,--E959),0)</ns0:f>
        <ns0:v>0</ns0:v>
      </ns0:c>
      <ns0:c r="G959" s="0">
        <ns0:f>IFERROR(--D959,0)</ns0:f>
        <ns0:v>0</ns0:v>
      </ns0:c>
      <ns0:c r="H959" s="0">
        <ns0:f>IFERROR(IF(FIND(".",B959)=5,--E959,--C959),0)</ns0:f>
        <ns0:v>0</ns0:v>
      </ns0:c>
      <ns0:c r="I959" s="0">
        <ns0:f>IFERROR(IF(AND(F959&gt;=2000,F959&lt;=2100,G959&gt;=1,G959&lt;=12,H959&gt;=1,H959&lt;=31),DATE(F959,G959,H959),0),0)</ns0:f>
        <ns0:v>0</ns0:v>
      </ns0:c>
      <ns0:c r="J959" s="0">
        <ns0:f>IFERROR(IF(ISNUMBER(Bookings!B959),IF(AND(Bookings!B959=INT(Bookings!B959),Bookings!B959&gt;=DATE(2000,1,1),Bookings!B959&lt;=DATE(2100,12,31)),Bookings!B959,0),IF(AND(A959&lt;&gt;"",LEN("x"&amp;B959)-LEN(SUBSTITUTE("x"&amp;B959,".",""))=2,OR(1&gt;LEN(B959),MID(B959,1,1)=".",ISNUMBER(FIND("x"&amp;MID(B959,1,1),"x0x1x2x3x4x5x6x7x8x9"))),OR(2&gt;LEN(B959),MID(B959,2,1)=".",ISNUMBER(FIND("x"&amp;MID(B959,2,1),"x0x1x2x3x4x5x6x7x8x9"))),OR(3&gt;LEN(B959),MID(B959,3,1)=".",ISNUMBER(FIND("x"&amp;MID(B959,3,1),"x0x1x2x3x4x5x6x7x8x9"))),OR(4&gt;LEN(B959),MID(B959,4,1)=".",ISNUMBER(FIND("x"&amp;MID(B959,4,1),"x0x1x2x3x4x5x6x7x8x9"))),OR(5&gt;LEN(B959),MID(B959,5,1)=".",ISNUMBER(FIND("x"&amp;MID(B959,5,1),"x0x1x2x3x4x5x6x7x8x9"))),OR(6&gt;LEN(B959),MID(B959,6,1)=".",ISNUMBER(FIND("x"&amp;MID(B959,6,1),"x0x1x2x3x4x5x6x7x8x9"))),OR(7&gt;LEN(B959),MID(B959,7,1)=".",ISNUMBER(FIND("x"&amp;MID(B959,7,1),"x0x1x2x3x4x5x6x7x8x9"))),OR(8&gt;LEN(B959),MID(B959,8,1)=".",ISNUMBER(FIND("x"&amp;MID(B959,8,1),"x0x1x2x3x4x5x6x7x8x9"))),OR(9&gt;LEN(B959),MID(B959,9,1)=".",ISNUMBER(FIND("x"&amp;MID(B959,9,1),"x0x1x2x3x4x5x6x7x8x9"))),OR(10&gt;LEN(B959),MID(B959,10,1)=".",ISNUMBER(FIND("x"&amp;MID(B959,10,1),"x0x1x2x3x4x5x6x7x8x9"))),OR(AND(FIND(".",B959)=5,LEN(B959)-FIND(".",B959,FIND(".",B959)+1)&gt;=1,LEN(B959)-FIND(".",B959,FIND(".",B959)+1)&lt;=2),AND(LEN(B959)-FIND(".",B959,FIND(".",B959)+1)=4,FIND(".",B959)&gt;=2,FIND(".",B959)&lt;=3)),FIND(".",B959,FIND(".",B959)+1)-FIND(".",B959)&gt;=2,FIND(".",B959,FIND(".",B959)+1)-FIND(".",B959)&lt;=3,F959&gt;=2000,F959&lt;=2100,YEAR(I959)=F959,MONTH(I959)=G959,DAY(I959)=H959),I959,0)),0)</ns0:f>
        <ns0:v>0</ns0:v>
      </ns0:c>
      <ns0:c r="K959" s="0">
        <ns0:f>IFERROR(IF(ISNUMBER(Bookings!D959),"",TRIM(Bookings!D959&amp;"")),"")</ns0:f>
      </ns0:c>
      <ns0:c r="L959" s="0">
        <ns0:f>IFERROR(SUBSTITUTE(SUBSTITUTE(K959,"/","."),"-","."),"")</ns0:f>
      </ns0:c>
      <ns0:c r="M959" s="0">
        <ns0:f>IFERROR(LEFT(L959,FIND(".",L959)-1),"")</ns0:f>
      </ns0:c>
      <ns0:c r="N959" s="0">
        <ns0:f>IFERROR(MID(L959,FIND(".",L959)+1,FIND(".",L959,FIND(".",L959)+1)-FIND(".",L959)-1),"")</ns0:f>
      </ns0:c>
      <ns0:c r="O959" s="0">
        <ns0:f>IFERROR(MID(L959,FIND(".",L959,FIND(".",L959)+1)+1,99),"")</ns0:f>
        <ns0:v>99</ns0:v>
      </ns0:c>
      <ns0:c r="P959" s="0">
        <ns0:f>IFERROR(IF(FIND(".",L959)=5,--M959,--O959),0)</ns0:f>
        <ns0:v>0</ns0:v>
      </ns0:c>
      <ns0:c r="Q959" s="0">
        <ns0:f>IFERROR(--N959,0)</ns0:f>
        <ns0:v>0</ns0:v>
      </ns0:c>
      <ns0:c r="R959" s="0">
        <ns0:f>IFERROR(IF(FIND(".",L959)=5,--O959,--M959),0)</ns0:f>
        <ns0:v>0</ns0:v>
      </ns0:c>
      <ns0:c r="S959" s="0">
        <ns0:f>IFERROR(IF(AND(P959&gt;=2000,P959&lt;=2100,Q959&gt;=1,Q959&lt;=12,R959&gt;=1,R959&lt;=31),DATE(P959,Q959,R959),0),0)</ns0:f>
        <ns0:v>0</ns0:v>
      </ns0:c>
      <ns0:c r="T959" s="0">
        <ns0:f>IFERROR(IF(ISNUMBER(Bookings!D959),IF(AND(Bookings!D959=INT(Bookings!D959),Bookings!D959&gt;=DATE(2000,1,1),Bookings!D959&lt;=DATE(2100,12,31)),Bookings!D959,0),IF(AND(K959&lt;&gt;"",LEN("x"&amp;L959)-LEN(SUBSTITUTE("x"&amp;L959,".",""))=2,OR(1&gt;LEN(L959),MID(L959,1,1)=".",ISNUMBER(FIND("x"&amp;MID(L959,1,1),"x0x1x2x3x4x5x6x7x8x9"))),OR(2&gt;LEN(L959),MID(L959,2,1)=".",ISNUMBER(FIND("x"&amp;MID(L959,2,1),"x0x1x2x3x4x5x6x7x8x9"))),OR(3&gt;LEN(L959),MID(L959,3,1)=".",ISNUMBER(FIND("x"&amp;MID(L959,3,1),"x0x1x2x3x4x5x6x7x8x9"))),OR(4&gt;LEN(L959),MID(L959,4,1)=".",ISNUMBER(FIND("x"&amp;MID(L959,4,1),"x0x1x2x3x4x5x6x7x8x9"))),OR(5&gt;LEN(L959),MID(L959,5,1)=".",ISNUMBER(FIND("x"&amp;MID(L959,5,1),"x0x1x2x3x4x5x6x7x8x9"))),OR(6&gt;LEN(L959),MID(L959,6,1)=".",ISNUMBER(FIND("x"&amp;MID(L959,6,1),"x0x1x2x3x4x5x6x7x8x9"))),OR(7&gt;LEN(L959),MID(L959,7,1)=".",ISNUMBER(FIND("x"&amp;MID(L959,7,1),"x0x1x2x3x4x5x6x7x8x9"))),OR(8&gt;LEN(L959),MID(L959,8,1)=".",ISNUMBER(FIND("x"&amp;MID(L959,8,1),"x0x1x2x3x4x5x6x7x8x9"))),OR(9&gt;LEN(L959),MID(L959,9,1)=".",ISNUMBER(FIND("x"&amp;MID(L959,9,1),"x0x1x2x3x4x5x6x7x8x9"))),OR(10&gt;LEN(L959),MID(L959,10,1)=".",ISNUMBER(FIND("x"&amp;MID(L959,10,1),"x0x1x2x3x4x5x6x7x8x9"))),OR(AND(FIND(".",L959)=5,LEN(L959)-FIND(".",L959,FIND(".",L959)+1)&gt;=1,LEN(L959)-FIND(".",L959,FIND(".",L959)+1)&lt;=2),AND(LEN(L959)-FIND(".",L959,FIND(".",L959)+1)=4,FIND(".",L959)&gt;=2,FIND(".",L959)&lt;=3)),FIND(".",L959,FIND(".",L959)+1)-FIND(".",L959)&gt;=2,FIND(".",L959,FIND(".",L959)+1)-FIND(".",L959)&lt;=3,P959&gt;=2000,P959&lt;=2100,YEAR(S959)=P959,MONTH(S959)=Q959,DAY(S959)=R959),S959,0)),0)</ns0:f>
        <ns0:v>0</ns0:v>
      </ns0:c>
      <ns0:c r="U959" s="0" t="str">
        <ns0:f>IF(Bookings!C959="","Full day",Bookings!C959)</ns0:f>
        <ns0:v>Full day</ns0:v>
      </ns0:c>
      <ns0:c r="V959" s="0" t="str">
        <ns0:f>IF(Bookings!E959="","Full day",Bookings!E959)</ns0:f>
        <ns0:v>Full day</ns0:v>
      </ns0:c>
      <ns0:c r="W959" s="0">
        <ns0:f>IF(J959=0,0,J959+IF(U959="PM",1,0))</ns0:f>
        <ns0:v>0</ns0:v>
      </ns0:c>
      <ns0:c r="X959" s="0">
        <ns0:f>IF(T959=0,0,T959-IF(V959="PM",1,0))</ns0:f>
        <ns0:v>0</ns0:v>
      </ns0:c>
      <ns0:c r="Y959" s="0">
        <ns0:f>IF(J959=0,0,J959+IF(U959="AM",1,0))</ns0:f>
        <ns0:v>0</ns0:v>
      </ns0:c>
      <ns0:c r="Z959" s="0">
        <ns0:f>IF(T959=0,0,T959-IF(V959="AM",1,0))</ns0:f>
        <ns0:v>0</ns0:v>
      </ns0:c>
      <ns0:c r="AA959" s="0">
        <ns0:f>IFERROR(IF(AND(J959&gt;0,'_Engine'!C959&gt;0,MID('_Engine'!W959,WEEKDAY(J959,2),1)="W",COUNTIF(Settings!$F$18:$F$67,J959)=0),1,0),0)</ns0:f>
        <ns0:v>0</ns0:v>
      </ns0:c>
      <ns0:c r="AB959" s="0">
        <ns0:f>IFERROR(IF(AND(T959&gt;0,'_Engine'!C959&gt;0,MID('_Engine'!W959,WEEKDAY(T959,2),1)="W",COUNTIF(Settings!$F$18:$F$67,T959)=0),1,0),0)</ns0:f>
        <ns0:v>0</ns0:v>
      </ns0:c>
      <ns0:c r="AC959" s="0">
        <ns0:f>IF(AND(J959&gt;0,T959&gt;0,W959&lt;=X959),1,0)</ns0:f>
        <ns0:v>0</ns0:v>
      </ns0:c>
      <ns0:c r="AD959" s="0">
        <ns0:f>IF(AND(J959&gt;0,T959&gt;0,Y959&lt;=Z959),1,0)</ns0:f>
        <ns0:v>0</ns0:v>
      </ns0:c>
    </ns0:row>
    <ns0:row r="960">
      <ns0:c r="A960" s="0">
        <ns0:f>IFERROR(IF(ISNUMBER(Bookings!B960),"",TRIM(Bookings!B960&amp;"")),"")</ns0:f>
      </ns0:c>
      <ns0:c r="B960" s="0">
        <ns0:f>IFERROR(SUBSTITUTE(SUBSTITUTE(A960,"/","."),"-","."),"")</ns0:f>
      </ns0:c>
      <ns0:c r="C960" s="0">
        <ns0:f>IFERROR(LEFT(B960,FIND(".",B960)-1),"")</ns0:f>
      </ns0:c>
      <ns0:c r="D960" s="0">
        <ns0:f>IFERROR(MID(B960,FIND(".",B960)+1,FIND(".",B960,FIND(".",B960)+1)-FIND(".",B960)-1),"")</ns0:f>
      </ns0:c>
      <ns0:c r="E960" s="0">
        <ns0:f>IFERROR(MID(B960,FIND(".",B960,FIND(".",B960)+1)+1,99),"")</ns0:f>
        <ns0:v>99</ns0:v>
      </ns0:c>
      <ns0:c r="F960" s="0">
        <ns0:f>IFERROR(IF(FIND(".",B960)=5,--C960,--E960),0)</ns0:f>
        <ns0:v>0</ns0:v>
      </ns0:c>
      <ns0:c r="G960" s="0">
        <ns0:f>IFERROR(--D960,0)</ns0:f>
        <ns0:v>0</ns0:v>
      </ns0:c>
      <ns0:c r="H960" s="0">
        <ns0:f>IFERROR(IF(FIND(".",B960)=5,--E960,--C960),0)</ns0:f>
        <ns0:v>0</ns0:v>
      </ns0:c>
      <ns0:c r="I960" s="0">
        <ns0:f>IFERROR(IF(AND(F960&gt;=2000,F960&lt;=2100,G960&gt;=1,G960&lt;=12,H960&gt;=1,H960&lt;=31),DATE(F960,G960,H960),0),0)</ns0:f>
        <ns0:v>0</ns0:v>
      </ns0:c>
      <ns0:c r="J960" s="0">
        <ns0:f>IFERROR(IF(ISNUMBER(Bookings!B960),IF(AND(Bookings!B960=INT(Bookings!B960),Bookings!B960&gt;=DATE(2000,1,1),Bookings!B960&lt;=DATE(2100,12,31)),Bookings!B960,0),IF(AND(A960&lt;&gt;"",LEN("x"&amp;B960)-LEN(SUBSTITUTE("x"&amp;B960,".",""))=2,OR(1&gt;LEN(B960),MID(B960,1,1)=".",ISNUMBER(FIND("x"&amp;MID(B960,1,1),"x0x1x2x3x4x5x6x7x8x9"))),OR(2&gt;LEN(B960),MID(B960,2,1)=".",ISNUMBER(FIND("x"&amp;MID(B960,2,1),"x0x1x2x3x4x5x6x7x8x9"))),OR(3&gt;LEN(B960),MID(B960,3,1)=".",ISNUMBER(FIND("x"&amp;MID(B960,3,1),"x0x1x2x3x4x5x6x7x8x9"))),OR(4&gt;LEN(B960),MID(B960,4,1)=".",ISNUMBER(FIND("x"&amp;MID(B960,4,1),"x0x1x2x3x4x5x6x7x8x9"))),OR(5&gt;LEN(B960),MID(B960,5,1)=".",ISNUMBER(FIND("x"&amp;MID(B960,5,1),"x0x1x2x3x4x5x6x7x8x9"))),OR(6&gt;LEN(B960),MID(B960,6,1)=".",ISNUMBER(FIND("x"&amp;MID(B960,6,1),"x0x1x2x3x4x5x6x7x8x9"))),OR(7&gt;LEN(B960),MID(B960,7,1)=".",ISNUMBER(FIND("x"&amp;MID(B960,7,1),"x0x1x2x3x4x5x6x7x8x9"))),OR(8&gt;LEN(B960),MID(B960,8,1)=".",ISNUMBER(FIND("x"&amp;MID(B960,8,1),"x0x1x2x3x4x5x6x7x8x9"))),OR(9&gt;LEN(B960),MID(B960,9,1)=".",ISNUMBER(FIND("x"&amp;MID(B960,9,1),"x0x1x2x3x4x5x6x7x8x9"))),OR(10&gt;LEN(B960),MID(B960,10,1)=".",ISNUMBER(FIND("x"&amp;MID(B960,10,1),"x0x1x2x3x4x5x6x7x8x9"))),OR(AND(FIND(".",B960)=5,LEN(B960)-FIND(".",B960,FIND(".",B960)+1)&gt;=1,LEN(B960)-FIND(".",B960,FIND(".",B960)+1)&lt;=2),AND(LEN(B960)-FIND(".",B960,FIND(".",B960)+1)=4,FIND(".",B960)&gt;=2,FIND(".",B960)&lt;=3)),FIND(".",B960,FIND(".",B960)+1)-FIND(".",B960)&gt;=2,FIND(".",B960,FIND(".",B960)+1)-FIND(".",B960)&lt;=3,F960&gt;=2000,F960&lt;=2100,YEAR(I960)=F960,MONTH(I960)=G960,DAY(I960)=H960),I960,0)),0)</ns0:f>
        <ns0:v>0</ns0:v>
      </ns0:c>
      <ns0:c r="K960" s="0">
        <ns0:f>IFERROR(IF(ISNUMBER(Bookings!D960),"",TRIM(Bookings!D960&amp;"")),"")</ns0:f>
      </ns0:c>
      <ns0:c r="L960" s="0">
        <ns0:f>IFERROR(SUBSTITUTE(SUBSTITUTE(K960,"/","."),"-","."),"")</ns0:f>
      </ns0:c>
      <ns0:c r="M960" s="0">
        <ns0:f>IFERROR(LEFT(L960,FIND(".",L960)-1),"")</ns0:f>
      </ns0:c>
      <ns0:c r="N960" s="0">
        <ns0:f>IFERROR(MID(L960,FIND(".",L960)+1,FIND(".",L960,FIND(".",L960)+1)-FIND(".",L960)-1),"")</ns0:f>
      </ns0:c>
      <ns0:c r="O960" s="0">
        <ns0:f>IFERROR(MID(L960,FIND(".",L960,FIND(".",L960)+1)+1,99),"")</ns0:f>
        <ns0:v>99</ns0:v>
      </ns0:c>
      <ns0:c r="P960" s="0">
        <ns0:f>IFERROR(IF(FIND(".",L960)=5,--M960,--O960),0)</ns0:f>
        <ns0:v>0</ns0:v>
      </ns0:c>
      <ns0:c r="Q960" s="0">
        <ns0:f>IFERROR(--N960,0)</ns0:f>
        <ns0:v>0</ns0:v>
      </ns0:c>
      <ns0:c r="R960" s="0">
        <ns0:f>IFERROR(IF(FIND(".",L960)=5,--O960,--M960),0)</ns0:f>
        <ns0:v>0</ns0:v>
      </ns0:c>
      <ns0:c r="S960" s="0">
        <ns0:f>IFERROR(IF(AND(P960&gt;=2000,P960&lt;=2100,Q960&gt;=1,Q960&lt;=12,R960&gt;=1,R960&lt;=31),DATE(P960,Q960,R960),0),0)</ns0:f>
        <ns0:v>0</ns0:v>
      </ns0:c>
      <ns0:c r="T960" s="0">
        <ns0:f>IFERROR(IF(ISNUMBER(Bookings!D960),IF(AND(Bookings!D960=INT(Bookings!D960),Bookings!D960&gt;=DATE(2000,1,1),Bookings!D960&lt;=DATE(2100,12,31)),Bookings!D960,0),IF(AND(K960&lt;&gt;"",LEN("x"&amp;L960)-LEN(SUBSTITUTE("x"&amp;L960,".",""))=2,OR(1&gt;LEN(L960),MID(L960,1,1)=".",ISNUMBER(FIND("x"&amp;MID(L960,1,1),"x0x1x2x3x4x5x6x7x8x9"))),OR(2&gt;LEN(L960),MID(L960,2,1)=".",ISNUMBER(FIND("x"&amp;MID(L960,2,1),"x0x1x2x3x4x5x6x7x8x9"))),OR(3&gt;LEN(L960),MID(L960,3,1)=".",ISNUMBER(FIND("x"&amp;MID(L960,3,1),"x0x1x2x3x4x5x6x7x8x9"))),OR(4&gt;LEN(L960),MID(L960,4,1)=".",ISNUMBER(FIND("x"&amp;MID(L960,4,1),"x0x1x2x3x4x5x6x7x8x9"))),OR(5&gt;LEN(L960),MID(L960,5,1)=".",ISNUMBER(FIND("x"&amp;MID(L960,5,1),"x0x1x2x3x4x5x6x7x8x9"))),OR(6&gt;LEN(L960),MID(L960,6,1)=".",ISNUMBER(FIND("x"&amp;MID(L960,6,1),"x0x1x2x3x4x5x6x7x8x9"))),OR(7&gt;LEN(L960),MID(L960,7,1)=".",ISNUMBER(FIND("x"&amp;MID(L960,7,1),"x0x1x2x3x4x5x6x7x8x9"))),OR(8&gt;LEN(L960),MID(L960,8,1)=".",ISNUMBER(FIND("x"&amp;MID(L960,8,1),"x0x1x2x3x4x5x6x7x8x9"))),OR(9&gt;LEN(L960),MID(L960,9,1)=".",ISNUMBER(FIND("x"&amp;MID(L960,9,1),"x0x1x2x3x4x5x6x7x8x9"))),OR(10&gt;LEN(L960),MID(L960,10,1)=".",ISNUMBER(FIND("x"&amp;MID(L960,10,1),"x0x1x2x3x4x5x6x7x8x9"))),OR(AND(FIND(".",L960)=5,LEN(L960)-FIND(".",L960,FIND(".",L960)+1)&gt;=1,LEN(L960)-FIND(".",L960,FIND(".",L960)+1)&lt;=2),AND(LEN(L960)-FIND(".",L960,FIND(".",L960)+1)=4,FIND(".",L960)&gt;=2,FIND(".",L960)&lt;=3)),FIND(".",L960,FIND(".",L960)+1)-FIND(".",L960)&gt;=2,FIND(".",L960,FIND(".",L960)+1)-FIND(".",L960)&lt;=3,P960&gt;=2000,P960&lt;=2100,YEAR(S960)=P960,MONTH(S960)=Q960,DAY(S960)=R960),S960,0)),0)</ns0:f>
        <ns0:v>0</ns0:v>
      </ns0:c>
      <ns0:c r="U960" s="0" t="str">
        <ns0:f>IF(Bookings!C960="","Full day",Bookings!C960)</ns0:f>
        <ns0:v>Full day</ns0:v>
      </ns0:c>
      <ns0:c r="V960" s="0" t="str">
        <ns0:f>IF(Bookings!E960="","Full day",Bookings!E960)</ns0:f>
        <ns0:v>Full day</ns0:v>
      </ns0:c>
      <ns0:c r="W960" s="0">
        <ns0:f>IF(J960=0,0,J960+IF(U960="PM",1,0))</ns0:f>
        <ns0:v>0</ns0:v>
      </ns0:c>
      <ns0:c r="X960" s="0">
        <ns0:f>IF(T960=0,0,T960-IF(V960="PM",1,0))</ns0:f>
        <ns0:v>0</ns0:v>
      </ns0:c>
      <ns0:c r="Y960" s="0">
        <ns0:f>IF(J960=0,0,J960+IF(U960="AM",1,0))</ns0:f>
        <ns0:v>0</ns0:v>
      </ns0:c>
      <ns0:c r="Z960" s="0">
        <ns0:f>IF(T960=0,0,T960-IF(V960="AM",1,0))</ns0:f>
        <ns0:v>0</ns0:v>
      </ns0:c>
      <ns0:c r="AA960" s="0">
        <ns0:f>IFERROR(IF(AND(J960&gt;0,'_Engine'!C960&gt;0,MID('_Engine'!W960,WEEKDAY(J960,2),1)="W",COUNTIF(Settings!$F$18:$F$67,J960)=0),1,0),0)</ns0:f>
        <ns0:v>0</ns0:v>
      </ns0:c>
      <ns0:c r="AB960" s="0">
        <ns0:f>IFERROR(IF(AND(T960&gt;0,'_Engine'!C960&gt;0,MID('_Engine'!W960,WEEKDAY(T960,2),1)="W",COUNTIF(Settings!$F$18:$F$67,T960)=0),1,0),0)</ns0:f>
        <ns0:v>0</ns0:v>
      </ns0:c>
      <ns0:c r="AC960" s="0">
        <ns0:f>IF(AND(J960&gt;0,T960&gt;0,W960&lt;=X960),1,0)</ns0:f>
        <ns0:v>0</ns0:v>
      </ns0:c>
      <ns0:c r="AD960" s="0">
        <ns0:f>IF(AND(J960&gt;0,T960&gt;0,Y960&lt;=Z960),1,0)</ns0:f>
        <ns0:v>0</ns0:v>
      </ns0:c>
    </ns0:row>
    <ns0:row r="961">
      <ns0:c r="A961" s="0">
        <ns0:f>IFERROR(IF(ISNUMBER(Bookings!B961),"",TRIM(Bookings!B961&amp;"")),"")</ns0:f>
      </ns0:c>
      <ns0:c r="B961" s="0">
        <ns0:f>IFERROR(SUBSTITUTE(SUBSTITUTE(A961,"/","."),"-","."),"")</ns0:f>
      </ns0:c>
      <ns0:c r="C961" s="0">
        <ns0:f>IFERROR(LEFT(B961,FIND(".",B961)-1),"")</ns0:f>
      </ns0:c>
      <ns0:c r="D961" s="0">
        <ns0:f>IFERROR(MID(B961,FIND(".",B961)+1,FIND(".",B961,FIND(".",B961)+1)-FIND(".",B961)-1),"")</ns0:f>
      </ns0:c>
      <ns0:c r="E961" s="0">
        <ns0:f>IFERROR(MID(B961,FIND(".",B961,FIND(".",B961)+1)+1,99),"")</ns0:f>
        <ns0:v>99</ns0:v>
      </ns0:c>
      <ns0:c r="F961" s="0">
        <ns0:f>IFERROR(IF(FIND(".",B961)=5,--C961,--E961),0)</ns0:f>
        <ns0:v>0</ns0:v>
      </ns0:c>
      <ns0:c r="G961" s="0">
        <ns0:f>IFERROR(--D961,0)</ns0:f>
        <ns0:v>0</ns0:v>
      </ns0:c>
      <ns0:c r="H961" s="0">
        <ns0:f>IFERROR(IF(FIND(".",B961)=5,--E961,--C961),0)</ns0:f>
        <ns0:v>0</ns0:v>
      </ns0:c>
      <ns0:c r="I961" s="0">
        <ns0:f>IFERROR(IF(AND(F961&gt;=2000,F961&lt;=2100,G961&gt;=1,G961&lt;=12,H961&gt;=1,H961&lt;=31),DATE(F961,G961,H961),0),0)</ns0:f>
        <ns0:v>0</ns0:v>
      </ns0:c>
      <ns0:c r="J961" s="0">
        <ns0:f>IFERROR(IF(ISNUMBER(Bookings!B961),IF(AND(Bookings!B961=INT(Bookings!B961),Bookings!B961&gt;=DATE(2000,1,1),Bookings!B961&lt;=DATE(2100,12,31)),Bookings!B961,0),IF(AND(A961&lt;&gt;"",LEN("x"&amp;B961)-LEN(SUBSTITUTE("x"&amp;B961,".",""))=2,OR(1&gt;LEN(B961),MID(B961,1,1)=".",ISNUMBER(FIND("x"&amp;MID(B961,1,1),"x0x1x2x3x4x5x6x7x8x9"))),OR(2&gt;LEN(B961),MID(B961,2,1)=".",ISNUMBER(FIND("x"&amp;MID(B961,2,1),"x0x1x2x3x4x5x6x7x8x9"))),OR(3&gt;LEN(B961),MID(B961,3,1)=".",ISNUMBER(FIND("x"&amp;MID(B961,3,1),"x0x1x2x3x4x5x6x7x8x9"))),OR(4&gt;LEN(B961),MID(B961,4,1)=".",ISNUMBER(FIND("x"&amp;MID(B961,4,1),"x0x1x2x3x4x5x6x7x8x9"))),OR(5&gt;LEN(B961),MID(B961,5,1)=".",ISNUMBER(FIND("x"&amp;MID(B961,5,1),"x0x1x2x3x4x5x6x7x8x9"))),OR(6&gt;LEN(B961),MID(B961,6,1)=".",ISNUMBER(FIND("x"&amp;MID(B961,6,1),"x0x1x2x3x4x5x6x7x8x9"))),OR(7&gt;LEN(B961),MID(B961,7,1)=".",ISNUMBER(FIND("x"&amp;MID(B961,7,1),"x0x1x2x3x4x5x6x7x8x9"))),OR(8&gt;LEN(B961),MID(B961,8,1)=".",ISNUMBER(FIND("x"&amp;MID(B961,8,1),"x0x1x2x3x4x5x6x7x8x9"))),OR(9&gt;LEN(B961),MID(B961,9,1)=".",ISNUMBER(FIND("x"&amp;MID(B961,9,1),"x0x1x2x3x4x5x6x7x8x9"))),OR(10&gt;LEN(B961),MID(B961,10,1)=".",ISNUMBER(FIND("x"&amp;MID(B961,10,1),"x0x1x2x3x4x5x6x7x8x9"))),OR(AND(FIND(".",B961)=5,LEN(B961)-FIND(".",B961,FIND(".",B961)+1)&gt;=1,LEN(B961)-FIND(".",B961,FIND(".",B961)+1)&lt;=2),AND(LEN(B961)-FIND(".",B961,FIND(".",B961)+1)=4,FIND(".",B961)&gt;=2,FIND(".",B961)&lt;=3)),FIND(".",B961,FIND(".",B961)+1)-FIND(".",B961)&gt;=2,FIND(".",B961,FIND(".",B961)+1)-FIND(".",B961)&lt;=3,F961&gt;=2000,F961&lt;=2100,YEAR(I961)=F961,MONTH(I961)=G961,DAY(I961)=H961),I961,0)),0)</ns0:f>
        <ns0:v>0</ns0:v>
      </ns0:c>
      <ns0:c r="K961" s="0">
        <ns0:f>IFERROR(IF(ISNUMBER(Bookings!D961),"",TRIM(Bookings!D961&amp;"")),"")</ns0:f>
      </ns0:c>
      <ns0:c r="L961" s="0">
        <ns0:f>IFERROR(SUBSTITUTE(SUBSTITUTE(K961,"/","."),"-","."),"")</ns0:f>
      </ns0:c>
      <ns0:c r="M961" s="0">
        <ns0:f>IFERROR(LEFT(L961,FIND(".",L961)-1),"")</ns0:f>
      </ns0:c>
      <ns0:c r="N961" s="0">
        <ns0:f>IFERROR(MID(L961,FIND(".",L961)+1,FIND(".",L961,FIND(".",L961)+1)-FIND(".",L961)-1),"")</ns0:f>
      </ns0:c>
      <ns0:c r="O961" s="0">
        <ns0:f>IFERROR(MID(L961,FIND(".",L961,FIND(".",L961)+1)+1,99),"")</ns0:f>
        <ns0:v>99</ns0:v>
      </ns0:c>
      <ns0:c r="P961" s="0">
        <ns0:f>IFERROR(IF(FIND(".",L961)=5,--M961,--O961),0)</ns0:f>
        <ns0:v>0</ns0:v>
      </ns0:c>
      <ns0:c r="Q961" s="0">
        <ns0:f>IFERROR(--N961,0)</ns0:f>
        <ns0:v>0</ns0:v>
      </ns0:c>
      <ns0:c r="R961" s="0">
        <ns0:f>IFERROR(IF(FIND(".",L961)=5,--O961,--M961),0)</ns0:f>
        <ns0:v>0</ns0:v>
      </ns0:c>
      <ns0:c r="S961" s="0">
        <ns0:f>IFERROR(IF(AND(P961&gt;=2000,P961&lt;=2100,Q961&gt;=1,Q961&lt;=12,R961&gt;=1,R961&lt;=31),DATE(P961,Q961,R961),0),0)</ns0:f>
        <ns0:v>0</ns0:v>
      </ns0:c>
      <ns0:c r="T961" s="0">
        <ns0:f>IFERROR(IF(ISNUMBER(Bookings!D961),IF(AND(Bookings!D961=INT(Bookings!D961),Bookings!D961&gt;=DATE(2000,1,1),Bookings!D961&lt;=DATE(2100,12,31)),Bookings!D961,0),IF(AND(K961&lt;&gt;"",LEN("x"&amp;L961)-LEN(SUBSTITUTE("x"&amp;L961,".",""))=2,OR(1&gt;LEN(L961),MID(L961,1,1)=".",ISNUMBER(FIND("x"&amp;MID(L961,1,1),"x0x1x2x3x4x5x6x7x8x9"))),OR(2&gt;LEN(L961),MID(L961,2,1)=".",ISNUMBER(FIND("x"&amp;MID(L961,2,1),"x0x1x2x3x4x5x6x7x8x9"))),OR(3&gt;LEN(L961),MID(L961,3,1)=".",ISNUMBER(FIND("x"&amp;MID(L961,3,1),"x0x1x2x3x4x5x6x7x8x9"))),OR(4&gt;LEN(L961),MID(L961,4,1)=".",ISNUMBER(FIND("x"&amp;MID(L961,4,1),"x0x1x2x3x4x5x6x7x8x9"))),OR(5&gt;LEN(L961),MID(L961,5,1)=".",ISNUMBER(FIND("x"&amp;MID(L961,5,1),"x0x1x2x3x4x5x6x7x8x9"))),OR(6&gt;LEN(L961),MID(L961,6,1)=".",ISNUMBER(FIND("x"&amp;MID(L961,6,1),"x0x1x2x3x4x5x6x7x8x9"))),OR(7&gt;LEN(L961),MID(L961,7,1)=".",ISNUMBER(FIND("x"&amp;MID(L961,7,1),"x0x1x2x3x4x5x6x7x8x9"))),OR(8&gt;LEN(L961),MID(L961,8,1)=".",ISNUMBER(FIND("x"&amp;MID(L961,8,1),"x0x1x2x3x4x5x6x7x8x9"))),OR(9&gt;LEN(L961),MID(L961,9,1)=".",ISNUMBER(FIND("x"&amp;MID(L961,9,1),"x0x1x2x3x4x5x6x7x8x9"))),OR(10&gt;LEN(L961),MID(L961,10,1)=".",ISNUMBER(FIND("x"&amp;MID(L961,10,1),"x0x1x2x3x4x5x6x7x8x9"))),OR(AND(FIND(".",L961)=5,LEN(L961)-FIND(".",L961,FIND(".",L961)+1)&gt;=1,LEN(L961)-FIND(".",L961,FIND(".",L961)+1)&lt;=2),AND(LEN(L961)-FIND(".",L961,FIND(".",L961)+1)=4,FIND(".",L961)&gt;=2,FIND(".",L961)&lt;=3)),FIND(".",L961,FIND(".",L961)+1)-FIND(".",L961)&gt;=2,FIND(".",L961,FIND(".",L961)+1)-FIND(".",L961)&lt;=3,P961&gt;=2000,P961&lt;=2100,YEAR(S961)=P961,MONTH(S961)=Q961,DAY(S961)=R961),S961,0)),0)</ns0:f>
        <ns0:v>0</ns0:v>
      </ns0:c>
      <ns0:c r="U961" s="0" t="str">
        <ns0:f>IF(Bookings!C961="","Full day",Bookings!C961)</ns0:f>
        <ns0:v>Full day</ns0:v>
      </ns0:c>
      <ns0:c r="V961" s="0" t="str">
        <ns0:f>IF(Bookings!E961="","Full day",Bookings!E961)</ns0:f>
        <ns0:v>Full day</ns0:v>
      </ns0:c>
      <ns0:c r="W961" s="0">
        <ns0:f>IF(J961=0,0,J961+IF(U961="PM",1,0))</ns0:f>
        <ns0:v>0</ns0:v>
      </ns0:c>
      <ns0:c r="X961" s="0">
        <ns0:f>IF(T961=0,0,T961-IF(V961="PM",1,0))</ns0:f>
        <ns0:v>0</ns0:v>
      </ns0:c>
      <ns0:c r="Y961" s="0">
        <ns0:f>IF(J961=0,0,J961+IF(U961="AM",1,0))</ns0:f>
        <ns0:v>0</ns0:v>
      </ns0:c>
      <ns0:c r="Z961" s="0">
        <ns0:f>IF(T961=0,0,T961-IF(V961="AM",1,0))</ns0:f>
        <ns0:v>0</ns0:v>
      </ns0:c>
      <ns0:c r="AA961" s="0">
        <ns0:f>IFERROR(IF(AND(J961&gt;0,'_Engine'!C961&gt;0,MID('_Engine'!W961,WEEKDAY(J961,2),1)="W",COUNTIF(Settings!$F$18:$F$67,J961)=0),1,0),0)</ns0:f>
        <ns0:v>0</ns0:v>
      </ns0:c>
      <ns0:c r="AB961" s="0">
        <ns0:f>IFERROR(IF(AND(T961&gt;0,'_Engine'!C961&gt;0,MID('_Engine'!W961,WEEKDAY(T961,2),1)="W",COUNTIF(Settings!$F$18:$F$67,T961)=0),1,0),0)</ns0:f>
        <ns0:v>0</ns0:v>
      </ns0:c>
      <ns0:c r="AC961" s="0">
        <ns0:f>IF(AND(J961&gt;0,T961&gt;0,W961&lt;=X961),1,0)</ns0:f>
        <ns0:v>0</ns0:v>
      </ns0:c>
      <ns0:c r="AD961" s="0">
        <ns0:f>IF(AND(J961&gt;0,T961&gt;0,Y961&lt;=Z961),1,0)</ns0:f>
        <ns0:v>0</ns0:v>
      </ns0:c>
    </ns0:row>
    <ns0:row r="962">
      <ns0:c r="A962" s="0">
        <ns0:f>IFERROR(IF(ISNUMBER(Bookings!B962),"",TRIM(Bookings!B962&amp;"")),"")</ns0:f>
      </ns0:c>
      <ns0:c r="B962" s="0">
        <ns0:f>IFERROR(SUBSTITUTE(SUBSTITUTE(A962,"/","."),"-","."),"")</ns0:f>
      </ns0:c>
      <ns0:c r="C962" s="0">
        <ns0:f>IFERROR(LEFT(B962,FIND(".",B962)-1),"")</ns0:f>
      </ns0:c>
      <ns0:c r="D962" s="0">
        <ns0:f>IFERROR(MID(B962,FIND(".",B962)+1,FIND(".",B962,FIND(".",B962)+1)-FIND(".",B962)-1),"")</ns0:f>
      </ns0:c>
      <ns0:c r="E962" s="0">
        <ns0:f>IFERROR(MID(B962,FIND(".",B962,FIND(".",B962)+1)+1,99),"")</ns0:f>
        <ns0:v>99</ns0:v>
      </ns0:c>
      <ns0:c r="F962" s="0">
        <ns0:f>IFERROR(IF(FIND(".",B962)=5,--C962,--E962),0)</ns0:f>
        <ns0:v>0</ns0:v>
      </ns0:c>
      <ns0:c r="G962" s="0">
        <ns0:f>IFERROR(--D962,0)</ns0:f>
        <ns0:v>0</ns0:v>
      </ns0:c>
      <ns0:c r="H962" s="0">
        <ns0:f>IFERROR(IF(FIND(".",B962)=5,--E962,--C962),0)</ns0:f>
        <ns0:v>0</ns0:v>
      </ns0:c>
      <ns0:c r="I962" s="0">
        <ns0:f>IFERROR(IF(AND(F962&gt;=2000,F962&lt;=2100,G962&gt;=1,G962&lt;=12,H962&gt;=1,H962&lt;=31),DATE(F962,G962,H962),0),0)</ns0:f>
        <ns0:v>0</ns0:v>
      </ns0:c>
      <ns0:c r="J962" s="0">
        <ns0:f>IFERROR(IF(ISNUMBER(Bookings!B962),IF(AND(Bookings!B962=INT(Bookings!B962),Bookings!B962&gt;=DATE(2000,1,1),Bookings!B962&lt;=DATE(2100,12,31)),Bookings!B962,0),IF(AND(A962&lt;&gt;"",LEN("x"&amp;B962)-LEN(SUBSTITUTE("x"&amp;B962,".",""))=2,OR(1&gt;LEN(B962),MID(B962,1,1)=".",ISNUMBER(FIND("x"&amp;MID(B962,1,1),"x0x1x2x3x4x5x6x7x8x9"))),OR(2&gt;LEN(B962),MID(B962,2,1)=".",ISNUMBER(FIND("x"&amp;MID(B962,2,1),"x0x1x2x3x4x5x6x7x8x9"))),OR(3&gt;LEN(B962),MID(B962,3,1)=".",ISNUMBER(FIND("x"&amp;MID(B962,3,1),"x0x1x2x3x4x5x6x7x8x9"))),OR(4&gt;LEN(B962),MID(B962,4,1)=".",ISNUMBER(FIND("x"&amp;MID(B962,4,1),"x0x1x2x3x4x5x6x7x8x9"))),OR(5&gt;LEN(B962),MID(B962,5,1)=".",ISNUMBER(FIND("x"&amp;MID(B962,5,1),"x0x1x2x3x4x5x6x7x8x9"))),OR(6&gt;LEN(B962),MID(B962,6,1)=".",ISNUMBER(FIND("x"&amp;MID(B962,6,1),"x0x1x2x3x4x5x6x7x8x9"))),OR(7&gt;LEN(B962),MID(B962,7,1)=".",ISNUMBER(FIND("x"&amp;MID(B962,7,1),"x0x1x2x3x4x5x6x7x8x9"))),OR(8&gt;LEN(B962),MID(B962,8,1)=".",ISNUMBER(FIND("x"&amp;MID(B962,8,1),"x0x1x2x3x4x5x6x7x8x9"))),OR(9&gt;LEN(B962),MID(B962,9,1)=".",ISNUMBER(FIND("x"&amp;MID(B962,9,1),"x0x1x2x3x4x5x6x7x8x9"))),OR(10&gt;LEN(B962),MID(B962,10,1)=".",ISNUMBER(FIND("x"&amp;MID(B962,10,1),"x0x1x2x3x4x5x6x7x8x9"))),OR(AND(FIND(".",B962)=5,LEN(B962)-FIND(".",B962,FIND(".",B962)+1)&gt;=1,LEN(B962)-FIND(".",B962,FIND(".",B962)+1)&lt;=2),AND(LEN(B962)-FIND(".",B962,FIND(".",B962)+1)=4,FIND(".",B962)&gt;=2,FIND(".",B962)&lt;=3)),FIND(".",B962,FIND(".",B962)+1)-FIND(".",B962)&gt;=2,FIND(".",B962,FIND(".",B962)+1)-FIND(".",B962)&lt;=3,F962&gt;=2000,F962&lt;=2100,YEAR(I962)=F962,MONTH(I962)=G962,DAY(I962)=H962),I962,0)),0)</ns0:f>
        <ns0:v>0</ns0:v>
      </ns0:c>
      <ns0:c r="K962" s="0">
        <ns0:f>IFERROR(IF(ISNUMBER(Bookings!D962),"",TRIM(Bookings!D962&amp;"")),"")</ns0:f>
      </ns0:c>
      <ns0:c r="L962" s="0">
        <ns0:f>IFERROR(SUBSTITUTE(SUBSTITUTE(K962,"/","."),"-","."),"")</ns0:f>
      </ns0:c>
      <ns0:c r="M962" s="0">
        <ns0:f>IFERROR(LEFT(L962,FIND(".",L962)-1),"")</ns0:f>
      </ns0:c>
      <ns0:c r="N962" s="0">
        <ns0:f>IFERROR(MID(L962,FIND(".",L962)+1,FIND(".",L962,FIND(".",L962)+1)-FIND(".",L962)-1),"")</ns0:f>
      </ns0:c>
      <ns0:c r="O962" s="0">
        <ns0:f>IFERROR(MID(L962,FIND(".",L962,FIND(".",L962)+1)+1,99),"")</ns0:f>
        <ns0:v>99</ns0:v>
      </ns0:c>
      <ns0:c r="P962" s="0">
        <ns0:f>IFERROR(IF(FIND(".",L962)=5,--M962,--O962),0)</ns0:f>
        <ns0:v>0</ns0:v>
      </ns0:c>
      <ns0:c r="Q962" s="0">
        <ns0:f>IFERROR(--N962,0)</ns0:f>
        <ns0:v>0</ns0:v>
      </ns0:c>
      <ns0:c r="R962" s="0">
        <ns0:f>IFERROR(IF(FIND(".",L962)=5,--O962,--M962),0)</ns0:f>
        <ns0:v>0</ns0:v>
      </ns0:c>
      <ns0:c r="S962" s="0">
        <ns0:f>IFERROR(IF(AND(P962&gt;=2000,P962&lt;=2100,Q962&gt;=1,Q962&lt;=12,R962&gt;=1,R962&lt;=31),DATE(P962,Q962,R962),0),0)</ns0:f>
        <ns0:v>0</ns0:v>
      </ns0:c>
      <ns0:c r="T962" s="0">
        <ns0:f>IFERROR(IF(ISNUMBER(Bookings!D962),IF(AND(Bookings!D962=INT(Bookings!D962),Bookings!D962&gt;=DATE(2000,1,1),Bookings!D962&lt;=DATE(2100,12,31)),Bookings!D962,0),IF(AND(K962&lt;&gt;"",LEN("x"&amp;L962)-LEN(SUBSTITUTE("x"&amp;L962,".",""))=2,OR(1&gt;LEN(L962),MID(L962,1,1)=".",ISNUMBER(FIND("x"&amp;MID(L962,1,1),"x0x1x2x3x4x5x6x7x8x9"))),OR(2&gt;LEN(L962),MID(L962,2,1)=".",ISNUMBER(FIND("x"&amp;MID(L962,2,1),"x0x1x2x3x4x5x6x7x8x9"))),OR(3&gt;LEN(L962),MID(L962,3,1)=".",ISNUMBER(FIND("x"&amp;MID(L962,3,1),"x0x1x2x3x4x5x6x7x8x9"))),OR(4&gt;LEN(L962),MID(L962,4,1)=".",ISNUMBER(FIND("x"&amp;MID(L962,4,1),"x0x1x2x3x4x5x6x7x8x9"))),OR(5&gt;LEN(L962),MID(L962,5,1)=".",ISNUMBER(FIND("x"&amp;MID(L962,5,1),"x0x1x2x3x4x5x6x7x8x9"))),OR(6&gt;LEN(L962),MID(L962,6,1)=".",ISNUMBER(FIND("x"&amp;MID(L962,6,1),"x0x1x2x3x4x5x6x7x8x9"))),OR(7&gt;LEN(L962),MID(L962,7,1)=".",ISNUMBER(FIND("x"&amp;MID(L962,7,1),"x0x1x2x3x4x5x6x7x8x9"))),OR(8&gt;LEN(L962),MID(L962,8,1)=".",ISNUMBER(FIND("x"&amp;MID(L962,8,1),"x0x1x2x3x4x5x6x7x8x9"))),OR(9&gt;LEN(L962),MID(L962,9,1)=".",ISNUMBER(FIND("x"&amp;MID(L962,9,1),"x0x1x2x3x4x5x6x7x8x9"))),OR(10&gt;LEN(L962),MID(L962,10,1)=".",ISNUMBER(FIND("x"&amp;MID(L962,10,1),"x0x1x2x3x4x5x6x7x8x9"))),OR(AND(FIND(".",L962)=5,LEN(L962)-FIND(".",L962,FIND(".",L962)+1)&gt;=1,LEN(L962)-FIND(".",L962,FIND(".",L962)+1)&lt;=2),AND(LEN(L962)-FIND(".",L962,FIND(".",L962)+1)=4,FIND(".",L962)&gt;=2,FIND(".",L962)&lt;=3)),FIND(".",L962,FIND(".",L962)+1)-FIND(".",L962)&gt;=2,FIND(".",L962,FIND(".",L962)+1)-FIND(".",L962)&lt;=3,P962&gt;=2000,P962&lt;=2100,YEAR(S962)=P962,MONTH(S962)=Q962,DAY(S962)=R962),S962,0)),0)</ns0:f>
        <ns0:v>0</ns0:v>
      </ns0:c>
      <ns0:c r="U962" s="0" t="str">
        <ns0:f>IF(Bookings!C962="","Full day",Bookings!C962)</ns0:f>
        <ns0:v>Full day</ns0:v>
      </ns0:c>
      <ns0:c r="V962" s="0" t="str">
        <ns0:f>IF(Bookings!E962="","Full day",Bookings!E962)</ns0:f>
        <ns0:v>Full day</ns0:v>
      </ns0:c>
      <ns0:c r="W962" s="0">
        <ns0:f>IF(J962=0,0,J962+IF(U962="PM",1,0))</ns0:f>
        <ns0:v>0</ns0:v>
      </ns0:c>
      <ns0:c r="X962" s="0">
        <ns0:f>IF(T962=0,0,T962-IF(V962="PM",1,0))</ns0:f>
        <ns0:v>0</ns0:v>
      </ns0:c>
      <ns0:c r="Y962" s="0">
        <ns0:f>IF(J962=0,0,J962+IF(U962="AM",1,0))</ns0:f>
        <ns0:v>0</ns0:v>
      </ns0:c>
      <ns0:c r="Z962" s="0">
        <ns0:f>IF(T962=0,0,T962-IF(V962="AM",1,0))</ns0:f>
        <ns0:v>0</ns0:v>
      </ns0:c>
      <ns0:c r="AA962" s="0">
        <ns0:f>IFERROR(IF(AND(J962&gt;0,'_Engine'!C962&gt;0,MID('_Engine'!W962,WEEKDAY(J962,2),1)="W",COUNTIF(Settings!$F$18:$F$67,J962)=0),1,0),0)</ns0:f>
        <ns0:v>0</ns0:v>
      </ns0:c>
      <ns0:c r="AB962" s="0">
        <ns0:f>IFERROR(IF(AND(T962&gt;0,'_Engine'!C962&gt;0,MID('_Engine'!W962,WEEKDAY(T962,2),1)="W",COUNTIF(Settings!$F$18:$F$67,T962)=0),1,0),0)</ns0:f>
        <ns0:v>0</ns0:v>
      </ns0:c>
      <ns0:c r="AC962" s="0">
        <ns0:f>IF(AND(J962&gt;0,T962&gt;0,W962&lt;=X962),1,0)</ns0:f>
        <ns0:v>0</ns0:v>
      </ns0:c>
      <ns0:c r="AD962" s="0">
        <ns0:f>IF(AND(J962&gt;0,T962&gt;0,Y962&lt;=Z962),1,0)</ns0:f>
        <ns0:v>0</ns0:v>
      </ns0:c>
    </ns0:row>
    <ns0:row r="963">
      <ns0:c r="A963" s="0">
        <ns0:f>IFERROR(IF(ISNUMBER(Bookings!B963),"",TRIM(Bookings!B963&amp;"")),"")</ns0:f>
      </ns0:c>
      <ns0:c r="B963" s="0">
        <ns0:f>IFERROR(SUBSTITUTE(SUBSTITUTE(A963,"/","."),"-","."),"")</ns0:f>
      </ns0:c>
      <ns0:c r="C963" s="0">
        <ns0:f>IFERROR(LEFT(B963,FIND(".",B963)-1),"")</ns0:f>
      </ns0:c>
      <ns0:c r="D963" s="0">
        <ns0:f>IFERROR(MID(B963,FIND(".",B963)+1,FIND(".",B963,FIND(".",B963)+1)-FIND(".",B963)-1),"")</ns0:f>
      </ns0:c>
      <ns0:c r="E963" s="0">
        <ns0:f>IFERROR(MID(B963,FIND(".",B963,FIND(".",B963)+1)+1,99),"")</ns0:f>
        <ns0:v>99</ns0:v>
      </ns0:c>
      <ns0:c r="F963" s="0">
        <ns0:f>IFERROR(IF(FIND(".",B963)=5,--C963,--E963),0)</ns0:f>
        <ns0:v>0</ns0:v>
      </ns0:c>
      <ns0:c r="G963" s="0">
        <ns0:f>IFERROR(--D963,0)</ns0:f>
        <ns0:v>0</ns0:v>
      </ns0:c>
      <ns0:c r="H963" s="0">
        <ns0:f>IFERROR(IF(FIND(".",B963)=5,--E963,--C963),0)</ns0:f>
        <ns0:v>0</ns0:v>
      </ns0:c>
      <ns0:c r="I963" s="0">
        <ns0:f>IFERROR(IF(AND(F963&gt;=2000,F963&lt;=2100,G963&gt;=1,G963&lt;=12,H963&gt;=1,H963&lt;=31),DATE(F963,G963,H963),0),0)</ns0:f>
        <ns0:v>0</ns0:v>
      </ns0:c>
      <ns0:c r="J963" s="0">
        <ns0:f>IFERROR(IF(ISNUMBER(Bookings!B963),IF(AND(Bookings!B963=INT(Bookings!B963),Bookings!B963&gt;=DATE(2000,1,1),Bookings!B963&lt;=DATE(2100,12,31)),Bookings!B963,0),IF(AND(A963&lt;&gt;"",LEN("x"&amp;B963)-LEN(SUBSTITUTE("x"&amp;B963,".",""))=2,OR(1&gt;LEN(B963),MID(B963,1,1)=".",ISNUMBER(FIND("x"&amp;MID(B963,1,1),"x0x1x2x3x4x5x6x7x8x9"))),OR(2&gt;LEN(B963),MID(B963,2,1)=".",ISNUMBER(FIND("x"&amp;MID(B963,2,1),"x0x1x2x3x4x5x6x7x8x9"))),OR(3&gt;LEN(B963),MID(B963,3,1)=".",ISNUMBER(FIND("x"&amp;MID(B963,3,1),"x0x1x2x3x4x5x6x7x8x9"))),OR(4&gt;LEN(B963),MID(B963,4,1)=".",ISNUMBER(FIND("x"&amp;MID(B963,4,1),"x0x1x2x3x4x5x6x7x8x9"))),OR(5&gt;LEN(B963),MID(B963,5,1)=".",ISNUMBER(FIND("x"&amp;MID(B963,5,1),"x0x1x2x3x4x5x6x7x8x9"))),OR(6&gt;LEN(B963),MID(B963,6,1)=".",ISNUMBER(FIND("x"&amp;MID(B963,6,1),"x0x1x2x3x4x5x6x7x8x9"))),OR(7&gt;LEN(B963),MID(B963,7,1)=".",ISNUMBER(FIND("x"&amp;MID(B963,7,1),"x0x1x2x3x4x5x6x7x8x9"))),OR(8&gt;LEN(B963),MID(B963,8,1)=".",ISNUMBER(FIND("x"&amp;MID(B963,8,1),"x0x1x2x3x4x5x6x7x8x9"))),OR(9&gt;LEN(B963),MID(B963,9,1)=".",ISNUMBER(FIND("x"&amp;MID(B963,9,1),"x0x1x2x3x4x5x6x7x8x9"))),OR(10&gt;LEN(B963),MID(B963,10,1)=".",ISNUMBER(FIND("x"&amp;MID(B963,10,1),"x0x1x2x3x4x5x6x7x8x9"))),OR(AND(FIND(".",B963)=5,LEN(B963)-FIND(".",B963,FIND(".",B963)+1)&gt;=1,LEN(B963)-FIND(".",B963,FIND(".",B963)+1)&lt;=2),AND(LEN(B963)-FIND(".",B963,FIND(".",B963)+1)=4,FIND(".",B963)&gt;=2,FIND(".",B963)&lt;=3)),FIND(".",B963,FIND(".",B963)+1)-FIND(".",B963)&gt;=2,FIND(".",B963,FIND(".",B963)+1)-FIND(".",B963)&lt;=3,F963&gt;=2000,F963&lt;=2100,YEAR(I963)=F963,MONTH(I963)=G963,DAY(I963)=H963),I963,0)),0)</ns0:f>
        <ns0:v>0</ns0:v>
      </ns0:c>
      <ns0:c r="K963" s="0">
        <ns0:f>IFERROR(IF(ISNUMBER(Bookings!D963),"",TRIM(Bookings!D963&amp;"")),"")</ns0:f>
      </ns0:c>
      <ns0:c r="L963" s="0">
        <ns0:f>IFERROR(SUBSTITUTE(SUBSTITUTE(K963,"/","."),"-","."),"")</ns0:f>
      </ns0:c>
      <ns0:c r="M963" s="0">
        <ns0:f>IFERROR(LEFT(L963,FIND(".",L963)-1),"")</ns0:f>
      </ns0:c>
      <ns0:c r="N963" s="0">
        <ns0:f>IFERROR(MID(L963,FIND(".",L963)+1,FIND(".",L963,FIND(".",L963)+1)-FIND(".",L963)-1),"")</ns0:f>
      </ns0:c>
      <ns0:c r="O963" s="0">
        <ns0:f>IFERROR(MID(L963,FIND(".",L963,FIND(".",L963)+1)+1,99),"")</ns0:f>
        <ns0:v>99</ns0:v>
      </ns0:c>
      <ns0:c r="P963" s="0">
        <ns0:f>IFERROR(IF(FIND(".",L963)=5,--M963,--O963),0)</ns0:f>
        <ns0:v>0</ns0:v>
      </ns0:c>
      <ns0:c r="Q963" s="0">
        <ns0:f>IFERROR(--N963,0)</ns0:f>
        <ns0:v>0</ns0:v>
      </ns0:c>
      <ns0:c r="R963" s="0">
        <ns0:f>IFERROR(IF(FIND(".",L963)=5,--O963,--M963),0)</ns0:f>
        <ns0:v>0</ns0:v>
      </ns0:c>
      <ns0:c r="S963" s="0">
        <ns0:f>IFERROR(IF(AND(P963&gt;=2000,P963&lt;=2100,Q963&gt;=1,Q963&lt;=12,R963&gt;=1,R963&lt;=31),DATE(P963,Q963,R963),0),0)</ns0:f>
        <ns0:v>0</ns0:v>
      </ns0:c>
      <ns0:c r="T963" s="0">
        <ns0:f>IFERROR(IF(ISNUMBER(Bookings!D963),IF(AND(Bookings!D963=INT(Bookings!D963),Bookings!D963&gt;=DATE(2000,1,1),Bookings!D963&lt;=DATE(2100,12,31)),Bookings!D963,0),IF(AND(K963&lt;&gt;"",LEN("x"&amp;L963)-LEN(SUBSTITUTE("x"&amp;L963,".",""))=2,OR(1&gt;LEN(L963),MID(L963,1,1)=".",ISNUMBER(FIND("x"&amp;MID(L963,1,1),"x0x1x2x3x4x5x6x7x8x9"))),OR(2&gt;LEN(L963),MID(L963,2,1)=".",ISNUMBER(FIND("x"&amp;MID(L963,2,1),"x0x1x2x3x4x5x6x7x8x9"))),OR(3&gt;LEN(L963),MID(L963,3,1)=".",ISNUMBER(FIND("x"&amp;MID(L963,3,1),"x0x1x2x3x4x5x6x7x8x9"))),OR(4&gt;LEN(L963),MID(L963,4,1)=".",ISNUMBER(FIND("x"&amp;MID(L963,4,1),"x0x1x2x3x4x5x6x7x8x9"))),OR(5&gt;LEN(L963),MID(L963,5,1)=".",ISNUMBER(FIND("x"&amp;MID(L963,5,1),"x0x1x2x3x4x5x6x7x8x9"))),OR(6&gt;LEN(L963),MID(L963,6,1)=".",ISNUMBER(FIND("x"&amp;MID(L963,6,1),"x0x1x2x3x4x5x6x7x8x9"))),OR(7&gt;LEN(L963),MID(L963,7,1)=".",ISNUMBER(FIND("x"&amp;MID(L963,7,1),"x0x1x2x3x4x5x6x7x8x9"))),OR(8&gt;LEN(L963),MID(L963,8,1)=".",ISNUMBER(FIND("x"&amp;MID(L963,8,1),"x0x1x2x3x4x5x6x7x8x9"))),OR(9&gt;LEN(L963),MID(L963,9,1)=".",ISNUMBER(FIND("x"&amp;MID(L963,9,1),"x0x1x2x3x4x5x6x7x8x9"))),OR(10&gt;LEN(L963),MID(L963,10,1)=".",ISNUMBER(FIND("x"&amp;MID(L963,10,1),"x0x1x2x3x4x5x6x7x8x9"))),OR(AND(FIND(".",L963)=5,LEN(L963)-FIND(".",L963,FIND(".",L963)+1)&gt;=1,LEN(L963)-FIND(".",L963,FIND(".",L963)+1)&lt;=2),AND(LEN(L963)-FIND(".",L963,FIND(".",L963)+1)=4,FIND(".",L963)&gt;=2,FIND(".",L963)&lt;=3)),FIND(".",L963,FIND(".",L963)+1)-FIND(".",L963)&gt;=2,FIND(".",L963,FIND(".",L963)+1)-FIND(".",L963)&lt;=3,P963&gt;=2000,P963&lt;=2100,YEAR(S963)=P963,MONTH(S963)=Q963,DAY(S963)=R963),S963,0)),0)</ns0:f>
        <ns0:v>0</ns0:v>
      </ns0:c>
      <ns0:c r="U963" s="0" t="str">
        <ns0:f>IF(Bookings!C963="","Full day",Bookings!C963)</ns0:f>
        <ns0:v>Full day</ns0:v>
      </ns0:c>
      <ns0:c r="V963" s="0" t="str">
        <ns0:f>IF(Bookings!E963="","Full day",Bookings!E963)</ns0:f>
        <ns0:v>Full day</ns0:v>
      </ns0:c>
      <ns0:c r="W963" s="0">
        <ns0:f>IF(J963=0,0,J963+IF(U963="PM",1,0))</ns0:f>
        <ns0:v>0</ns0:v>
      </ns0:c>
      <ns0:c r="X963" s="0">
        <ns0:f>IF(T963=0,0,T963-IF(V963="PM",1,0))</ns0:f>
        <ns0:v>0</ns0:v>
      </ns0:c>
      <ns0:c r="Y963" s="0">
        <ns0:f>IF(J963=0,0,J963+IF(U963="AM",1,0))</ns0:f>
        <ns0:v>0</ns0:v>
      </ns0:c>
      <ns0:c r="Z963" s="0">
        <ns0:f>IF(T963=0,0,T963-IF(V963="AM",1,0))</ns0:f>
        <ns0:v>0</ns0:v>
      </ns0:c>
      <ns0:c r="AA963" s="0">
        <ns0:f>IFERROR(IF(AND(J963&gt;0,'_Engine'!C963&gt;0,MID('_Engine'!W963,WEEKDAY(J963,2),1)="W",COUNTIF(Settings!$F$18:$F$67,J963)=0),1,0),0)</ns0:f>
        <ns0:v>0</ns0:v>
      </ns0:c>
      <ns0:c r="AB963" s="0">
        <ns0:f>IFERROR(IF(AND(T963&gt;0,'_Engine'!C963&gt;0,MID('_Engine'!W963,WEEKDAY(T963,2),1)="W",COUNTIF(Settings!$F$18:$F$67,T963)=0),1,0),0)</ns0:f>
        <ns0:v>0</ns0:v>
      </ns0:c>
      <ns0:c r="AC963" s="0">
        <ns0:f>IF(AND(J963&gt;0,T963&gt;0,W963&lt;=X963),1,0)</ns0:f>
        <ns0:v>0</ns0:v>
      </ns0:c>
      <ns0:c r="AD963" s="0">
        <ns0:f>IF(AND(J963&gt;0,T963&gt;0,Y963&lt;=Z963),1,0)</ns0:f>
        <ns0:v>0</ns0:v>
      </ns0:c>
    </ns0:row>
    <ns0:row r="964">
      <ns0:c r="A964" s="0">
        <ns0:f>IFERROR(IF(ISNUMBER(Bookings!B964),"",TRIM(Bookings!B964&amp;"")),"")</ns0:f>
      </ns0:c>
      <ns0:c r="B964" s="0">
        <ns0:f>IFERROR(SUBSTITUTE(SUBSTITUTE(A964,"/","."),"-","."),"")</ns0:f>
      </ns0:c>
      <ns0:c r="C964" s="0">
        <ns0:f>IFERROR(LEFT(B964,FIND(".",B964)-1),"")</ns0:f>
      </ns0:c>
      <ns0:c r="D964" s="0">
        <ns0:f>IFERROR(MID(B964,FIND(".",B964)+1,FIND(".",B964,FIND(".",B964)+1)-FIND(".",B964)-1),"")</ns0:f>
      </ns0:c>
      <ns0:c r="E964" s="0">
        <ns0:f>IFERROR(MID(B964,FIND(".",B964,FIND(".",B964)+1)+1,99),"")</ns0:f>
        <ns0:v>99</ns0:v>
      </ns0:c>
      <ns0:c r="F964" s="0">
        <ns0:f>IFERROR(IF(FIND(".",B964)=5,--C964,--E964),0)</ns0:f>
        <ns0:v>0</ns0:v>
      </ns0:c>
      <ns0:c r="G964" s="0">
        <ns0:f>IFERROR(--D964,0)</ns0:f>
        <ns0:v>0</ns0:v>
      </ns0:c>
      <ns0:c r="H964" s="0">
        <ns0:f>IFERROR(IF(FIND(".",B964)=5,--E964,--C964),0)</ns0:f>
        <ns0:v>0</ns0:v>
      </ns0:c>
      <ns0:c r="I964" s="0">
        <ns0:f>IFERROR(IF(AND(F964&gt;=2000,F964&lt;=2100,G964&gt;=1,G964&lt;=12,H964&gt;=1,H964&lt;=31),DATE(F964,G964,H964),0),0)</ns0:f>
        <ns0:v>0</ns0:v>
      </ns0:c>
      <ns0:c r="J964" s="0">
        <ns0:f>IFERROR(IF(ISNUMBER(Bookings!B964),IF(AND(Bookings!B964=INT(Bookings!B964),Bookings!B964&gt;=DATE(2000,1,1),Bookings!B964&lt;=DATE(2100,12,31)),Bookings!B964,0),IF(AND(A964&lt;&gt;"",LEN("x"&amp;B964)-LEN(SUBSTITUTE("x"&amp;B964,".",""))=2,OR(1&gt;LEN(B964),MID(B964,1,1)=".",ISNUMBER(FIND("x"&amp;MID(B964,1,1),"x0x1x2x3x4x5x6x7x8x9"))),OR(2&gt;LEN(B964),MID(B964,2,1)=".",ISNUMBER(FIND("x"&amp;MID(B964,2,1),"x0x1x2x3x4x5x6x7x8x9"))),OR(3&gt;LEN(B964),MID(B964,3,1)=".",ISNUMBER(FIND("x"&amp;MID(B964,3,1),"x0x1x2x3x4x5x6x7x8x9"))),OR(4&gt;LEN(B964),MID(B964,4,1)=".",ISNUMBER(FIND("x"&amp;MID(B964,4,1),"x0x1x2x3x4x5x6x7x8x9"))),OR(5&gt;LEN(B964),MID(B964,5,1)=".",ISNUMBER(FIND("x"&amp;MID(B964,5,1),"x0x1x2x3x4x5x6x7x8x9"))),OR(6&gt;LEN(B964),MID(B964,6,1)=".",ISNUMBER(FIND("x"&amp;MID(B964,6,1),"x0x1x2x3x4x5x6x7x8x9"))),OR(7&gt;LEN(B964),MID(B964,7,1)=".",ISNUMBER(FIND("x"&amp;MID(B964,7,1),"x0x1x2x3x4x5x6x7x8x9"))),OR(8&gt;LEN(B964),MID(B964,8,1)=".",ISNUMBER(FIND("x"&amp;MID(B964,8,1),"x0x1x2x3x4x5x6x7x8x9"))),OR(9&gt;LEN(B964),MID(B964,9,1)=".",ISNUMBER(FIND("x"&amp;MID(B964,9,1),"x0x1x2x3x4x5x6x7x8x9"))),OR(10&gt;LEN(B964),MID(B964,10,1)=".",ISNUMBER(FIND("x"&amp;MID(B964,10,1),"x0x1x2x3x4x5x6x7x8x9"))),OR(AND(FIND(".",B964)=5,LEN(B964)-FIND(".",B964,FIND(".",B964)+1)&gt;=1,LEN(B964)-FIND(".",B964,FIND(".",B964)+1)&lt;=2),AND(LEN(B964)-FIND(".",B964,FIND(".",B964)+1)=4,FIND(".",B964)&gt;=2,FIND(".",B964)&lt;=3)),FIND(".",B964,FIND(".",B964)+1)-FIND(".",B964)&gt;=2,FIND(".",B964,FIND(".",B964)+1)-FIND(".",B964)&lt;=3,F964&gt;=2000,F964&lt;=2100,YEAR(I964)=F964,MONTH(I964)=G964,DAY(I964)=H964),I964,0)),0)</ns0:f>
        <ns0:v>0</ns0:v>
      </ns0:c>
      <ns0:c r="K964" s="0">
        <ns0:f>IFERROR(IF(ISNUMBER(Bookings!D964),"",TRIM(Bookings!D964&amp;"")),"")</ns0:f>
      </ns0:c>
      <ns0:c r="L964" s="0">
        <ns0:f>IFERROR(SUBSTITUTE(SUBSTITUTE(K964,"/","."),"-","."),"")</ns0:f>
      </ns0:c>
      <ns0:c r="M964" s="0">
        <ns0:f>IFERROR(LEFT(L964,FIND(".",L964)-1),"")</ns0:f>
      </ns0:c>
      <ns0:c r="N964" s="0">
        <ns0:f>IFERROR(MID(L964,FIND(".",L964)+1,FIND(".",L964,FIND(".",L964)+1)-FIND(".",L964)-1),"")</ns0:f>
      </ns0:c>
      <ns0:c r="O964" s="0">
        <ns0:f>IFERROR(MID(L964,FIND(".",L964,FIND(".",L964)+1)+1,99),"")</ns0:f>
        <ns0:v>99</ns0:v>
      </ns0:c>
      <ns0:c r="P964" s="0">
        <ns0:f>IFERROR(IF(FIND(".",L964)=5,--M964,--O964),0)</ns0:f>
        <ns0:v>0</ns0:v>
      </ns0:c>
      <ns0:c r="Q964" s="0">
        <ns0:f>IFERROR(--N964,0)</ns0:f>
        <ns0:v>0</ns0:v>
      </ns0:c>
      <ns0:c r="R964" s="0">
        <ns0:f>IFERROR(IF(FIND(".",L964)=5,--O964,--M964),0)</ns0:f>
        <ns0:v>0</ns0:v>
      </ns0:c>
      <ns0:c r="S964" s="0">
        <ns0:f>IFERROR(IF(AND(P964&gt;=2000,P964&lt;=2100,Q964&gt;=1,Q964&lt;=12,R964&gt;=1,R964&lt;=31),DATE(P964,Q964,R964),0),0)</ns0:f>
        <ns0:v>0</ns0:v>
      </ns0:c>
      <ns0:c r="T964" s="0">
        <ns0:f>IFERROR(IF(ISNUMBER(Bookings!D964),IF(AND(Bookings!D964=INT(Bookings!D964),Bookings!D964&gt;=DATE(2000,1,1),Bookings!D964&lt;=DATE(2100,12,31)),Bookings!D964,0),IF(AND(K964&lt;&gt;"",LEN("x"&amp;L964)-LEN(SUBSTITUTE("x"&amp;L964,".",""))=2,OR(1&gt;LEN(L964),MID(L964,1,1)=".",ISNUMBER(FIND("x"&amp;MID(L964,1,1),"x0x1x2x3x4x5x6x7x8x9"))),OR(2&gt;LEN(L964),MID(L964,2,1)=".",ISNUMBER(FIND("x"&amp;MID(L964,2,1),"x0x1x2x3x4x5x6x7x8x9"))),OR(3&gt;LEN(L964),MID(L964,3,1)=".",ISNUMBER(FIND("x"&amp;MID(L964,3,1),"x0x1x2x3x4x5x6x7x8x9"))),OR(4&gt;LEN(L964),MID(L964,4,1)=".",ISNUMBER(FIND("x"&amp;MID(L964,4,1),"x0x1x2x3x4x5x6x7x8x9"))),OR(5&gt;LEN(L964),MID(L964,5,1)=".",ISNUMBER(FIND("x"&amp;MID(L964,5,1),"x0x1x2x3x4x5x6x7x8x9"))),OR(6&gt;LEN(L964),MID(L964,6,1)=".",ISNUMBER(FIND("x"&amp;MID(L964,6,1),"x0x1x2x3x4x5x6x7x8x9"))),OR(7&gt;LEN(L964),MID(L964,7,1)=".",ISNUMBER(FIND("x"&amp;MID(L964,7,1),"x0x1x2x3x4x5x6x7x8x9"))),OR(8&gt;LEN(L964),MID(L964,8,1)=".",ISNUMBER(FIND("x"&amp;MID(L964,8,1),"x0x1x2x3x4x5x6x7x8x9"))),OR(9&gt;LEN(L964),MID(L964,9,1)=".",ISNUMBER(FIND("x"&amp;MID(L964,9,1),"x0x1x2x3x4x5x6x7x8x9"))),OR(10&gt;LEN(L964),MID(L964,10,1)=".",ISNUMBER(FIND("x"&amp;MID(L964,10,1),"x0x1x2x3x4x5x6x7x8x9"))),OR(AND(FIND(".",L964)=5,LEN(L964)-FIND(".",L964,FIND(".",L964)+1)&gt;=1,LEN(L964)-FIND(".",L964,FIND(".",L964)+1)&lt;=2),AND(LEN(L964)-FIND(".",L964,FIND(".",L964)+1)=4,FIND(".",L964)&gt;=2,FIND(".",L964)&lt;=3)),FIND(".",L964,FIND(".",L964)+1)-FIND(".",L964)&gt;=2,FIND(".",L964,FIND(".",L964)+1)-FIND(".",L964)&lt;=3,P964&gt;=2000,P964&lt;=2100,YEAR(S964)=P964,MONTH(S964)=Q964,DAY(S964)=R964),S964,0)),0)</ns0:f>
        <ns0:v>0</ns0:v>
      </ns0:c>
      <ns0:c r="U964" s="0" t="str">
        <ns0:f>IF(Bookings!C964="","Full day",Bookings!C964)</ns0:f>
        <ns0:v>Full day</ns0:v>
      </ns0:c>
      <ns0:c r="V964" s="0" t="str">
        <ns0:f>IF(Bookings!E964="","Full day",Bookings!E964)</ns0:f>
        <ns0:v>Full day</ns0:v>
      </ns0:c>
      <ns0:c r="W964" s="0">
        <ns0:f>IF(J964=0,0,J964+IF(U964="PM",1,0))</ns0:f>
        <ns0:v>0</ns0:v>
      </ns0:c>
      <ns0:c r="X964" s="0">
        <ns0:f>IF(T964=0,0,T964-IF(V964="PM",1,0))</ns0:f>
        <ns0:v>0</ns0:v>
      </ns0:c>
      <ns0:c r="Y964" s="0">
        <ns0:f>IF(J964=0,0,J964+IF(U964="AM",1,0))</ns0:f>
        <ns0:v>0</ns0:v>
      </ns0:c>
      <ns0:c r="Z964" s="0">
        <ns0:f>IF(T964=0,0,T964-IF(V964="AM",1,0))</ns0:f>
        <ns0:v>0</ns0:v>
      </ns0:c>
      <ns0:c r="AA964" s="0">
        <ns0:f>IFERROR(IF(AND(J964&gt;0,'_Engine'!C964&gt;0,MID('_Engine'!W964,WEEKDAY(J964,2),1)="W",COUNTIF(Settings!$F$18:$F$67,J964)=0),1,0),0)</ns0:f>
        <ns0:v>0</ns0:v>
      </ns0:c>
      <ns0:c r="AB964" s="0">
        <ns0:f>IFERROR(IF(AND(T964&gt;0,'_Engine'!C964&gt;0,MID('_Engine'!W964,WEEKDAY(T964,2),1)="W",COUNTIF(Settings!$F$18:$F$67,T964)=0),1,0),0)</ns0:f>
        <ns0:v>0</ns0:v>
      </ns0:c>
      <ns0:c r="AC964" s="0">
        <ns0:f>IF(AND(J964&gt;0,T964&gt;0,W964&lt;=X964),1,0)</ns0:f>
        <ns0:v>0</ns0:v>
      </ns0:c>
      <ns0:c r="AD964" s="0">
        <ns0:f>IF(AND(J964&gt;0,T964&gt;0,Y964&lt;=Z964),1,0)</ns0:f>
        <ns0:v>0</ns0:v>
      </ns0:c>
    </ns0:row>
    <ns0:row r="965">
      <ns0:c r="A965" s="0">
        <ns0:f>IFERROR(IF(ISNUMBER(Bookings!B965),"",TRIM(Bookings!B965&amp;"")),"")</ns0:f>
      </ns0:c>
      <ns0:c r="B965" s="0">
        <ns0:f>IFERROR(SUBSTITUTE(SUBSTITUTE(A965,"/","."),"-","."),"")</ns0:f>
      </ns0:c>
      <ns0:c r="C965" s="0">
        <ns0:f>IFERROR(LEFT(B965,FIND(".",B965)-1),"")</ns0:f>
      </ns0:c>
      <ns0:c r="D965" s="0">
        <ns0:f>IFERROR(MID(B965,FIND(".",B965)+1,FIND(".",B965,FIND(".",B965)+1)-FIND(".",B965)-1),"")</ns0:f>
      </ns0:c>
      <ns0:c r="E965" s="0">
        <ns0:f>IFERROR(MID(B965,FIND(".",B965,FIND(".",B965)+1)+1,99),"")</ns0:f>
        <ns0:v>99</ns0:v>
      </ns0:c>
      <ns0:c r="F965" s="0">
        <ns0:f>IFERROR(IF(FIND(".",B965)=5,--C965,--E965),0)</ns0:f>
        <ns0:v>0</ns0:v>
      </ns0:c>
      <ns0:c r="G965" s="0">
        <ns0:f>IFERROR(--D965,0)</ns0:f>
        <ns0:v>0</ns0:v>
      </ns0:c>
      <ns0:c r="H965" s="0">
        <ns0:f>IFERROR(IF(FIND(".",B965)=5,--E965,--C965),0)</ns0:f>
        <ns0:v>0</ns0:v>
      </ns0:c>
      <ns0:c r="I965" s="0">
        <ns0:f>IFERROR(IF(AND(F965&gt;=2000,F965&lt;=2100,G965&gt;=1,G965&lt;=12,H965&gt;=1,H965&lt;=31),DATE(F965,G965,H965),0),0)</ns0:f>
        <ns0:v>0</ns0:v>
      </ns0:c>
      <ns0:c r="J965" s="0">
        <ns0:f>IFERROR(IF(ISNUMBER(Bookings!B965),IF(AND(Bookings!B965=INT(Bookings!B965),Bookings!B965&gt;=DATE(2000,1,1),Bookings!B965&lt;=DATE(2100,12,31)),Bookings!B965,0),IF(AND(A965&lt;&gt;"",LEN("x"&amp;B965)-LEN(SUBSTITUTE("x"&amp;B965,".",""))=2,OR(1&gt;LEN(B965),MID(B965,1,1)=".",ISNUMBER(FIND("x"&amp;MID(B965,1,1),"x0x1x2x3x4x5x6x7x8x9"))),OR(2&gt;LEN(B965),MID(B965,2,1)=".",ISNUMBER(FIND("x"&amp;MID(B965,2,1),"x0x1x2x3x4x5x6x7x8x9"))),OR(3&gt;LEN(B965),MID(B965,3,1)=".",ISNUMBER(FIND("x"&amp;MID(B965,3,1),"x0x1x2x3x4x5x6x7x8x9"))),OR(4&gt;LEN(B965),MID(B965,4,1)=".",ISNUMBER(FIND("x"&amp;MID(B965,4,1),"x0x1x2x3x4x5x6x7x8x9"))),OR(5&gt;LEN(B965),MID(B965,5,1)=".",ISNUMBER(FIND("x"&amp;MID(B965,5,1),"x0x1x2x3x4x5x6x7x8x9"))),OR(6&gt;LEN(B965),MID(B965,6,1)=".",ISNUMBER(FIND("x"&amp;MID(B965,6,1),"x0x1x2x3x4x5x6x7x8x9"))),OR(7&gt;LEN(B965),MID(B965,7,1)=".",ISNUMBER(FIND("x"&amp;MID(B965,7,1),"x0x1x2x3x4x5x6x7x8x9"))),OR(8&gt;LEN(B965),MID(B965,8,1)=".",ISNUMBER(FIND("x"&amp;MID(B965,8,1),"x0x1x2x3x4x5x6x7x8x9"))),OR(9&gt;LEN(B965),MID(B965,9,1)=".",ISNUMBER(FIND("x"&amp;MID(B965,9,1),"x0x1x2x3x4x5x6x7x8x9"))),OR(10&gt;LEN(B965),MID(B965,10,1)=".",ISNUMBER(FIND("x"&amp;MID(B965,10,1),"x0x1x2x3x4x5x6x7x8x9"))),OR(AND(FIND(".",B965)=5,LEN(B965)-FIND(".",B965,FIND(".",B965)+1)&gt;=1,LEN(B965)-FIND(".",B965,FIND(".",B965)+1)&lt;=2),AND(LEN(B965)-FIND(".",B965,FIND(".",B965)+1)=4,FIND(".",B965)&gt;=2,FIND(".",B965)&lt;=3)),FIND(".",B965,FIND(".",B965)+1)-FIND(".",B965)&gt;=2,FIND(".",B965,FIND(".",B965)+1)-FIND(".",B965)&lt;=3,F965&gt;=2000,F965&lt;=2100,YEAR(I965)=F965,MONTH(I965)=G965,DAY(I965)=H965),I965,0)),0)</ns0:f>
        <ns0:v>0</ns0:v>
      </ns0:c>
      <ns0:c r="K965" s="0">
        <ns0:f>IFERROR(IF(ISNUMBER(Bookings!D965),"",TRIM(Bookings!D965&amp;"")),"")</ns0:f>
      </ns0:c>
      <ns0:c r="L965" s="0">
        <ns0:f>IFERROR(SUBSTITUTE(SUBSTITUTE(K965,"/","."),"-","."),"")</ns0:f>
      </ns0:c>
      <ns0:c r="M965" s="0">
        <ns0:f>IFERROR(LEFT(L965,FIND(".",L965)-1),"")</ns0:f>
      </ns0:c>
      <ns0:c r="N965" s="0">
        <ns0:f>IFERROR(MID(L965,FIND(".",L965)+1,FIND(".",L965,FIND(".",L965)+1)-FIND(".",L965)-1),"")</ns0:f>
      </ns0:c>
      <ns0:c r="O965" s="0">
        <ns0:f>IFERROR(MID(L965,FIND(".",L965,FIND(".",L965)+1)+1,99),"")</ns0:f>
        <ns0:v>99</ns0:v>
      </ns0:c>
      <ns0:c r="P965" s="0">
        <ns0:f>IFERROR(IF(FIND(".",L965)=5,--M965,--O965),0)</ns0:f>
        <ns0:v>0</ns0:v>
      </ns0:c>
      <ns0:c r="Q965" s="0">
        <ns0:f>IFERROR(--N965,0)</ns0:f>
        <ns0:v>0</ns0:v>
      </ns0:c>
      <ns0:c r="R965" s="0">
        <ns0:f>IFERROR(IF(FIND(".",L965)=5,--O965,--M965),0)</ns0:f>
        <ns0:v>0</ns0:v>
      </ns0:c>
      <ns0:c r="S965" s="0">
        <ns0:f>IFERROR(IF(AND(P965&gt;=2000,P965&lt;=2100,Q965&gt;=1,Q965&lt;=12,R965&gt;=1,R965&lt;=31),DATE(P965,Q965,R965),0),0)</ns0:f>
        <ns0:v>0</ns0:v>
      </ns0:c>
      <ns0:c r="T965" s="0">
        <ns0:f>IFERROR(IF(ISNUMBER(Bookings!D965),IF(AND(Bookings!D965=INT(Bookings!D965),Bookings!D965&gt;=DATE(2000,1,1),Bookings!D965&lt;=DATE(2100,12,31)),Bookings!D965,0),IF(AND(K965&lt;&gt;"",LEN("x"&amp;L965)-LEN(SUBSTITUTE("x"&amp;L965,".",""))=2,OR(1&gt;LEN(L965),MID(L965,1,1)=".",ISNUMBER(FIND("x"&amp;MID(L965,1,1),"x0x1x2x3x4x5x6x7x8x9"))),OR(2&gt;LEN(L965),MID(L965,2,1)=".",ISNUMBER(FIND("x"&amp;MID(L965,2,1),"x0x1x2x3x4x5x6x7x8x9"))),OR(3&gt;LEN(L965),MID(L965,3,1)=".",ISNUMBER(FIND("x"&amp;MID(L965,3,1),"x0x1x2x3x4x5x6x7x8x9"))),OR(4&gt;LEN(L965),MID(L965,4,1)=".",ISNUMBER(FIND("x"&amp;MID(L965,4,1),"x0x1x2x3x4x5x6x7x8x9"))),OR(5&gt;LEN(L965),MID(L965,5,1)=".",ISNUMBER(FIND("x"&amp;MID(L965,5,1),"x0x1x2x3x4x5x6x7x8x9"))),OR(6&gt;LEN(L965),MID(L965,6,1)=".",ISNUMBER(FIND("x"&amp;MID(L965,6,1),"x0x1x2x3x4x5x6x7x8x9"))),OR(7&gt;LEN(L965),MID(L965,7,1)=".",ISNUMBER(FIND("x"&amp;MID(L965,7,1),"x0x1x2x3x4x5x6x7x8x9"))),OR(8&gt;LEN(L965),MID(L965,8,1)=".",ISNUMBER(FIND("x"&amp;MID(L965,8,1),"x0x1x2x3x4x5x6x7x8x9"))),OR(9&gt;LEN(L965),MID(L965,9,1)=".",ISNUMBER(FIND("x"&amp;MID(L965,9,1),"x0x1x2x3x4x5x6x7x8x9"))),OR(10&gt;LEN(L965),MID(L965,10,1)=".",ISNUMBER(FIND("x"&amp;MID(L965,10,1),"x0x1x2x3x4x5x6x7x8x9"))),OR(AND(FIND(".",L965)=5,LEN(L965)-FIND(".",L965,FIND(".",L965)+1)&gt;=1,LEN(L965)-FIND(".",L965,FIND(".",L965)+1)&lt;=2),AND(LEN(L965)-FIND(".",L965,FIND(".",L965)+1)=4,FIND(".",L965)&gt;=2,FIND(".",L965)&lt;=3)),FIND(".",L965,FIND(".",L965)+1)-FIND(".",L965)&gt;=2,FIND(".",L965,FIND(".",L965)+1)-FIND(".",L965)&lt;=3,P965&gt;=2000,P965&lt;=2100,YEAR(S965)=P965,MONTH(S965)=Q965,DAY(S965)=R965),S965,0)),0)</ns0:f>
        <ns0:v>0</ns0:v>
      </ns0:c>
      <ns0:c r="U965" s="0" t="str">
        <ns0:f>IF(Bookings!C965="","Full day",Bookings!C965)</ns0:f>
        <ns0:v>Full day</ns0:v>
      </ns0:c>
      <ns0:c r="V965" s="0" t="str">
        <ns0:f>IF(Bookings!E965="","Full day",Bookings!E965)</ns0:f>
        <ns0:v>Full day</ns0:v>
      </ns0:c>
      <ns0:c r="W965" s="0">
        <ns0:f>IF(J965=0,0,J965+IF(U965="PM",1,0))</ns0:f>
        <ns0:v>0</ns0:v>
      </ns0:c>
      <ns0:c r="X965" s="0">
        <ns0:f>IF(T965=0,0,T965-IF(V965="PM",1,0))</ns0:f>
        <ns0:v>0</ns0:v>
      </ns0:c>
      <ns0:c r="Y965" s="0">
        <ns0:f>IF(J965=0,0,J965+IF(U965="AM",1,0))</ns0:f>
        <ns0:v>0</ns0:v>
      </ns0:c>
      <ns0:c r="Z965" s="0">
        <ns0:f>IF(T965=0,0,T965-IF(V965="AM",1,0))</ns0:f>
        <ns0:v>0</ns0:v>
      </ns0:c>
      <ns0:c r="AA965" s="0">
        <ns0:f>IFERROR(IF(AND(J965&gt;0,'_Engine'!C965&gt;0,MID('_Engine'!W965,WEEKDAY(J965,2),1)="W",COUNTIF(Settings!$F$18:$F$67,J965)=0),1,0),0)</ns0:f>
        <ns0:v>0</ns0:v>
      </ns0:c>
      <ns0:c r="AB965" s="0">
        <ns0:f>IFERROR(IF(AND(T965&gt;0,'_Engine'!C965&gt;0,MID('_Engine'!W965,WEEKDAY(T965,2),1)="W",COUNTIF(Settings!$F$18:$F$67,T965)=0),1,0),0)</ns0:f>
        <ns0:v>0</ns0:v>
      </ns0:c>
      <ns0:c r="AC965" s="0">
        <ns0:f>IF(AND(J965&gt;0,T965&gt;0,W965&lt;=X965),1,0)</ns0:f>
        <ns0:v>0</ns0:v>
      </ns0:c>
      <ns0:c r="AD965" s="0">
        <ns0:f>IF(AND(J965&gt;0,T965&gt;0,Y965&lt;=Z965),1,0)</ns0:f>
        <ns0:v>0</ns0:v>
      </ns0:c>
    </ns0:row>
    <ns0:row r="966">
      <ns0:c r="A966" s="0">
        <ns0:f>IFERROR(IF(ISNUMBER(Bookings!B966),"",TRIM(Bookings!B966&amp;"")),"")</ns0:f>
      </ns0:c>
      <ns0:c r="B966" s="0">
        <ns0:f>IFERROR(SUBSTITUTE(SUBSTITUTE(A966,"/","."),"-","."),"")</ns0:f>
      </ns0:c>
      <ns0:c r="C966" s="0">
        <ns0:f>IFERROR(LEFT(B966,FIND(".",B966)-1),"")</ns0:f>
      </ns0:c>
      <ns0:c r="D966" s="0">
        <ns0:f>IFERROR(MID(B966,FIND(".",B966)+1,FIND(".",B966,FIND(".",B966)+1)-FIND(".",B966)-1),"")</ns0:f>
      </ns0:c>
      <ns0:c r="E966" s="0">
        <ns0:f>IFERROR(MID(B966,FIND(".",B966,FIND(".",B966)+1)+1,99),"")</ns0:f>
        <ns0:v>99</ns0:v>
      </ns0:c>
      <ns0:c r="F966" s="0">
        <ns0:f>IFERROR(IF(FIND(".",B966)=5,--C966,--E966),0)</ns0:f>
        <ns0:v>0</ns0:v>
      </ns0:c>
      <ns0:c r="G966" s="0">
        <ns0:f>IFERROR(--D966,0)</ns0:f>
        <ns0:v>0</ns0:v>
      </ns0:c>
      <ns0:c r="H966" s="0">
        <ns0:f>IFERROR(IF(FIND(".",B966)=5,--E966,--C966),0)</ns0:f>
        <ns0:v>0</ns0:v>
      </ns0:c>
      <ns0:c r="I966" s="0">
        <ns0:f>IFERROR(IF(AND(F966&gt;=2000,F966&lt;=2100,G966&gt;=1,G966&lt;=12,H966&gt;=1,H966&lt;=31),DATE(F966,G966,H966),0),0)</ns0:f>
        <ns0:v>0</ns0:v>
      </ns0:c>
      <ns0:c r="J966" s="0">
        <ns0:f>IFERROR(IF(ISNUMBER(Bookings!B966),IF(AND(Bookings!B966=INT(Bookings!B966),Bookings!B966&gt;=DATE(2000,1,1),Bookings!B966&lt;=DATE(2100,12,31)),Bookings!B966,0),IF(AND(A966&lt;&gt;"",LEN("x"&amp;B966)-LEN(SUBSTITUTE("x"&amp;B966,".",""))=2,OR(1&gt;LEN(B966),MID(B966,1,1)=".",ISNUMBER(FIND("x"&amp;MID(B966,1,1),"x0x1x2x3x4x5x6x7x8x9"))),OR(2&gt;LEN(B966),MID(B966,2,1)=".",ISNUMBER(FIND("x"&amp;MID(B966,2,1),"x0x1x2x3x4x5x6x7x8x9"))),OR(3&gt;LEN(B966),MID(B966,3,1)=".",ISNUMBER(FIND("x"&amp;MID(B966,3,1),"x0x1x2x3x4x5x6x7x8x9"))),OR(4&gt;LEN(B966),MID(B966,4,1)=".",ISNUMBER(FIND("x"&amp;MID(B966,4,1),"x0x1x2x3x4x5x6x7x8x9"))),OR(5&gt;LEN(B966),MID(B966,5,1)=".",ISNUMBER(FIND("x"&amp;MID(B966,5,1),"x0x1x2x3x4x5x6x7x8x9"))),OR(6&gt;LEN(B966),MID(B966,6,1)=".",ISNUMBER(FIND("x"&amp;MID(B966,6,1),"x0x1x2x3x4x5x6x7x8x9"))),OR(7&gt;LEN(B966),MID(B966,7,1)=".",ISNUMBER(FIND("x"&amp;MID(B966,7,1),"x0x1x2x3x4x5x6x7x8x9"))),OR(8&gt;LEN(B966),MID(B966,8,1)=".",ISNUMBER(FIND("x"&amp;MID(B966,8,1),"x0x1x2x3x4x5x6x7x8x9"))),OR(9&gt;LEN(B966),MID(B966,9,1)=".",ISNUMBER(FIND("x"&amp;MID(B966,9,1),"x0x1x2x3x4x5x6x7x8x9"))),OR(10&gt;LEN(B966),MID(B966,10,1)=".",ISNUMBER(FIND("x"&amp;MID(B966,10,1),"x0x1x2x3x4x5x6x7x8x9"))),OR(AND(FIND(".",B966)=5,LEN(B966)-FIND(".",B966,FIND(".",B966)+1)&gt;=1,LEN(B966)-FIND(".",B966,FIND(".",B966)+1)&lt;=2),AND(LEN(B966)-FIND(".",B966,FIND(".",B966)+1)=4,FIND(".",B966)&gt;=2,FIND(".",B966)&lt;=3)),FIND(".",B966,FIND(".",B966)+1)-FIND(".",B966)&gt;=2,FIND(".",B966,FIND(".",B966)+1)-FIND(".",B966)&lt;=3,F966&gt;=2000,F966&lt;=2100,YEAR(I966)=F966,MONTH(I966)=G966,DAY(I966)=H966),I966,0)),0)</ns0:f>
        <ns0:v>0</ns0:v>
      </ns0:c>
      <ns0:c r="K966" s="0">
        <ns0:f>IFERROR(IF(ISNUMBER(Bookings!D966),"",TRIM(Bookings!D966&amp;"")),"")</ns0:f>
      </ns0:c>
      <ns0:c r="L966" s="0">
        <ns0:f>IFERROR(SUBSTITUTE(SUBSTITUTE(K966,"/","."),"-","."),"")</ns0:f>
      </ns0:c>
      <ns0:c r="M966" s="0">
        <ns0:f>IFERROR(LEFT(L966,FIND(".",L966)-1),"")</ns0:f>
      </ns0:c>
      <ns0:c r="N966" s="0">
        <ns0:f>IFERROR(MID(L966,FIND(".",L966)+1,FIND(".",L966,FIND(".",L966)+1)-FIND(".",L966)-1),"")</ns0:f>
      </ns0:c>
      <ns0:c r="O966" s="0">
        <ns0:f>IFERROR(MID(L966,FIND(".",L966,FIND(".",L966)+1)+1,99),"")</ns0:f>
        <ns0:v>99</ns0:v>
      </ns0:c>
      <ns0:c r="P966" s="0">
        <ns0:f>IFERROR(IF(FIND(".",L966)=5,--M966,--O966),0)</ns0:f>
        <ns0:v>0</ns0:v>
      </ns0:c>
      <ns0:c r="Q966" s="0">
        <ns0:f>IFERROR(--N966,0)</ns0:f>
        <ns0:v>0</ns0:v>
      </ns0:c>
      <ns0:c r="R966" s="0">
        <ns0:f>IFERROR(IF(FIND(".",L966)=5,--O966,--M966),0)</ns0:f>
        <ns0:v>0</ns0:v>
      </ns0:c>
      <ns0:c r="S966" s="0">
        <ns0:f>IFERROR(IF(AND(P966&gt;=2000,P966&lt;=2100,Q966&gt;=1,Q966&lt;=12,R966&gt;=1,R966&lt;=31),DATE(P966,Q966,R966),0),0)</ns0:f>
        <ns0:v>0</ns0:v>
      </ns0:c>
      <ns0:c r="T966" s="0">
        <ns0:f>IFERROR(IF(ISNUMBER(Bookings!D966),IF(AND(Bookings!D966=INT(Bookings!D966),Bookings!D966&gt;=DATE(2000,1,1),Bookings!D966&lt;=DATE(2100,12,31)),Bookings!D966,0),IF(AND(K966&lt;&gt;"",LEN("x"&amp;L966)-LEN(SUBSTITUTE("x"&amp;L966,".",""))=2,OR(1&gt;LEN(L966),MID(L966,1,1)=".",ISNUMBER(FIND("x"&amp;MID(L966,1,1),"x0x1x2x3x4x5x6x7x8x9"))),OR(2&gt;LEN(L966),MID(L966,2,1)=".",ISNUMBER(FIND("x"&amp;MID(L966,2,1),"x0x1x2x3x4x5x6x7x8x9"))),OR(3&gt;LEN(L966),MID(L966,3,1)=".",ISNUMBER(FIND("x"&amp;MID(L966,3,1),"x0x1x2x3x4x5x6x7x8x9"))),OR(4&gt;LEN(L966),MID(L966,4,1)=".",ISNUMBER(FIND("x"&amp;MID(L966,4,1),"x0x1x2x3x4x5x6x7x8x9"))),OR(5&gt;LEN(L966),MID(L966,5,1)=".",ISNUMBER(FIND("x"&amp;MID(L966,5,1),"x0x1x2x3x4x5x6x7x8x9"))),OR(6&gt;LEN(L966),MID(L966,6,1)=".",ISNUMBER(FIND("x"&amp;MID(L966,6,1),"x0x1x2x3x4x5x6x7x8x9"))),OR(7&gt;LEN(L966),MID(L966,7,1)=".",ISNUMBER(FIND("x"&amp;MID(L966,7,1),"x0x1x2x3x4x5x6x7x8x9"))),OR(8&gt;LEN(L966),MID(L966,8,1)=".",ISNUMBER(FIND("x"&amp;MID(L966,8,1),"x0x1x2x3x4x5x6x7x8x9"))),OR(9&gt;LEN(L966),MID(L966,9,1)=".",ISNUMBER(FIND("x"&amp;MID(L966,9,1),"x0x1x2x3x4x5x6x7x8x9"))),OR(10&gt;LEN(L966),MID(L966,10,1)=".",ISNUMBER(FIND("x"&amp;MID(L966,10,1),"x0x1x2x3x4x5x6x7x8x9"))),OR(AND(FIND(".",L966)=5,LEN(L966)-FIND(".",L966,FIND(".",L966)+1)&gt;=1,LEN(L966)-FIND(".",L966,FIND(".",L966)+1)&lt;=2),AND(LEN(L966)-FIND(".",L966,FIND(".",L966)+1)=4,FIND(".",L966)&gt;=2,FIND(".",L966)&lt;=3)),FIND(".",L966,FIND(".",L966)+1)-FIND(".",L966)&gt;=2,FIND(".",L966,FIND(".",L966)+1)-FIND(".",L966)&lt;=3,P966&gt;=2000,P966&lt;=2100,YEAR(S966)=P966,MONTH(S966)=Q966,DAY(S966)=R966),S966,0)),0)</ns0:f>
        <ns0:v>0</ns0:v>
      </ns0:c>
      <ns0:c r="U966" s="0" t="str">
        <ns0:f>IF(Bookings!C966="","Full day",Bookings!C966)</ns0:f>
        <ns0:v>Full day</ns0:v>
      </ns0:c>
      <ns0:c r="V966" s="0" t="str">
        <ns0:f>IF(Bookings!E966="","Full day",Bookings!E966)</ns0:f>
        <ns0:v>Full day</ns0:v>
      </ns0:c>
      <ns0:c r="W966" s="0">
        <ns0:f>IF(J966=0,0,J966+IF(U966="PM",1,0))</ns0:f>
        <ns0:v>0</ns0:v>
      </ns0:c>
      <ns0:c r="X966" s="0">
        <ns0:f>IF(T966=0,0,T966-IF(V966="PM",1,0))</ns0:f>
        <ns0:v>0</ns0:v>
      </ns0:c>
      <ns0:c r="Y966" s="0">
        <ns0:f>IF(J966=0,0,J966+IF(U966="AM",1,0))</ns0:f>
        <ns0:v>0</ns0:v>
      </ns0:c>
      <ns0:c r="Z966" s="0">
        <ns0:f>IF(T966=0,0,T966-IF(V966="AM",1,0))</ns0:f>
        <ns0:v>0</ns0:v>
      </ns0:c>
      <ns0:c r="AA966" s="0">
        <ns0:f>IFERROR(IF(AND(J966&gt;0,'_Engine'!C966&gt;0,MID('_Engine'!W966,WEEKDAY(J966,2),1)="W",COUNTIF(Settings!$F$18:$F$67,J966)=0),1,0),0)</ns0:f>
        <ns0:v>0</ns0:v>
      </ns0:c>
      <ns0:c r="AB966" s="0">
        <ns0:f>IFERROR(IF(AND(T966&gt;0,'_Engine'!C966&gt;0,MID('_Engine'!W966,WEEKDAY(T966,2),1)="W",COUNTIF(Settings!$F$18:$F$67,T966)=0),1,0),0)</ns0:f>
        <ns0:v>0</ns0:v>
      </ns0:c>
      <ns0:c r="AC966" s="0">
        <ns0:f>IF(AND(J966&gt;0,T966&gt;0,W966&lt;=X966),1,0)</ns0:f>
        <ns0:v>0</ns0:v>
      </ns0:c>
      <ns0:c r="AD966" s="0">
        <ns0:f>IF(AND(J966&gt;0,T966&gt;0,Y966&lt;=Z966),1,0)</ns0:f>
        <ns0:v>0</ns0:v>
      </ns0:c>
    </ns0:row>
    <ns0:row r="967">
      <ns0:c r="A967" s="0">
        <ns0:f>IFERROR(IF(ISNUMBER(Bookings!B967),"",TRIM(Bookings!B967&amp;"")),"")</ns0:f>
      </ns0:c>
      <ns0:c r="B967" s="0">
        <ns0:f>IFERROR(SUBSTITUTE(SUBSTITUTE(A967,"/","."),"-","."),"")</ns0:f>
      </ns0:c>
      <ns0:c r="C967" s="0">
        <ns0:f>IFERROR(LEFT(B967,FIND(".",B967)-1),"")</ns0:f>
      </ns0:c>
      <ns0:c r="D967" s="0">
        <ns0:f>IFERROR(MID(B967,FIND(".",B967)+1,FIND(".",B967,FIND(".",B967)+1)-FIND(".",B967)-1),"")</ns0:f>
      </ns0:c>
      <ns0:c r="E967" s="0">
        <ns0:f>IFERROR(MID(B967,FIND(".",B967,FIND(".",B967)+1)+1,99),"")</ns0:f>
        <ns0:v>99</ns0:v>
      </ns0:c>
      <ns0:c r="F967" s="0">
        <ns0:f>IFERROR(IF(FIND(".",B967)=5,--C967,--E967),0)</ns0:f>
        <ns0:v>0</ns0:v>
      </ns0:c>
      <ns0:c r="G967" s="0">
        <ns0:f>IFERROR(--D967,0)</ns0:f>
        <ns0:v>0</ns0:v>
      </ns0:c>
      <ns0:c r="H967" s="0">
        <ns0:f>IFERROR(IF(FIND(".",B967)=5,--E967,--C967),0)</ns0:f>
        <ns0:v>0</ns0:v>
      </ns0:c>
      <ns0:c r="I967" s="0">
        <ns0:f>IFERROR(IF(AND(F967&gt;=2000,F967&lt;=2100,G967&gt;=1,G967&lt;=12,H967&gt;=1,H967&lt;=31),DATE(F967,G967,H967),0),0)</ns0:f>
        <ns0:v>0</ns0:v>
      </ns0:c>
      <ns0:c r="J967" s="0">
        <ns0:f>IFERROR(IF(ISNUMBER(Bookings!B967),IF(AND(Bookings!B967=INT(Bookings!B967),Bookings!B967&gt;=DATE(2000,1,1),Bookings!B967&lt;=DATE(2100,12,31)),Bookings!B967,0),IF(AND(A967&lt;&gt;"",LEN("x"&amp;B967)-LEN(SUBSTITUTE("x"&amp;B967,".",""))=2,OR(1&gt;LEN(B967),MID(B967,1,1)=".",ISNUMBER(FIND("x"&amp;MID(B967,1,1),"x0x1x2x3x4x5x6x7x8x9"))),OR(2&gt;LEN(B967),MID(B967,2,1)=".",ISNUMBER(FIND("x"&amp;MID(B967,2,1),"x0x1x2x3x4x5x6x7x8x9"))),OR(3&gt;LEN(B967),MID(B967,3,1)=".",ISNUMBER(FIND("x"&amp;MID(B967,3,1),"x0x1x2x3x4x5x6x7x8x9"))),OR(4&gt;LEN(B967),MID(B967,4,1)=".",ISNUMBER(FIND("x"&amp;MID(B967,4,1),"x0x1x2x3x4x5x6x7x8x9"))),OR(5&gt;LEN(B967),MID(B967,5,1)=".",ISNUMBER(FIND("x"&amp;MID(B967,5,1),"x0x1x2x3x4x5x6x7x8x9"))),OR(6&gt;LEN(B967),MID(B967,6,1)=".",ISNUMBER(FIND("x"&amp;MID(B967,6,1),"x0x1x2x3x4x5x6x7x8x9"))),OR(7&gt;LEN(B967),MID(B967,7,1)=".",ISNUMBER(FIND("x"&amp;MID(B967,7,1),"x0x1x2x3x4x5x6x7x8x9"))),OR(8&gt;LEN(B967),MID(B967,8,1)=".",ISNUMBER(FIND("x"&amp;MID(B967,8,1),"x0x1x2x3x4x5x6x7x8x9"))),OR(9&gt;LEN(B967),MID(B967,9,1)=".",ISNUMBER(FIND("x"&amp;MID(B967,9,1),"x0x1x2x3x4x5x6x7x8x9"))),OR(10&gt;LEN(B967),MID(B967,10,1)=".",ISNUMBER(FIND("x"&amp;MID(B967,10,1),"x0x1x2x3x4x5x6x7x8x9"))),OR(AND(FIND(".",B967)=5,LEN(B967)-FIND(".",B967,FIND(".",B967)+1)&gt;=1,LEN(B967)-FIND(".",B967,FIND(".",B967)+1)&lt;=2),AND(LEN(B967)-FIND(".",B967,FIND(".",B967)+1)=4,FIND(".",B967)&gt;=2,FIND(".",B967)&lt;=3)),FIND(".",B967,FIND(".",B967)+1)-FIND(".",B967)&gt;=2,FIND(".",B967,FIND(".",B967)+1)-FIND(".",B967)&lt;=3,F967&gt;=2000,F967&lt;=2100,YEAR(I967)=F967,MONTH(I967)=G967,DAY(I967)=H967),I967,0)),0)</ns0:f>
        <ns0:v>0</ns0:v>
      </ns0:c>
      <ns0:c r="K967" s="0">
        <ns0:f>IFERROR(IF(ISNUMBER(Bookings!D967),"",TRIM(Bookings!D967&amp;"")),"")</ns0:f>
      </ns0:c>
      <ns0:c r="L967" s="0">
        <ns0:f>IFERROR(SUBSTITUTE(SUBSTITUTE(K967,"/","."),"-","."),"")</ns0:f>
      </ns0:c>
      <ns0:c r="M967" s="0">
        <ns0:f>IFERROR(LEFT(L967,FIND(".",L967)-1),"")</ns0:f>
      </ns0:c>
      <ns0:c r="N967" s="0">
        <ns0:f>IFERROR(MID(L967,FIND(".",L967)+1,FIND(".",L967,FIND(".",L967)+1)-FIND(".",L967)-1),"")</ns0:f>
      </ns0:c>
      <ns0:c r="O967" s="0">
        <ns0:f>IFERROR(MID(L967,FIND(".",L967,FIND(".",L967)+1)+1,99),"")</ns0:f>
        <ns0:v>99</ns0:v>
      </ns0:c>
      <ns0:c r="P967" s="0">
        <ns0:f>IFERROR(IF(FIND(".",L967)=5,--M967,--O967),0)</ns0:f>
        <ns0:v>0</ns0:v>
      </ns0:c>
      <ns0:c r="Q967" s="0">
        <ns0:f>IFERROR(--N967,0)</ns0:f>
        <ns0:v>0</ns0:v>
      </ns0:c>
      <ns0:c r="R967" s="0">
        <ns0:f>IFERROR(IF(FIND(".",L967)=5,--O967,--M967),0)</ns0:f>
        <ns0:v>0</ns0:v>
      </ns0:c>
      <ns0:c r="S967" s="0">
        <ns0:f>IFERROR(IF(AND(P967&gt;=2000,P967&lt;=2100,Q967&gt;=1,Q967&lt;=12,R967&gt;=1,R967&lt;=31),DATE(P967,Q967,R967),0),0)</ns0:f>
        <ns0:v>0</ns0:v>
      </ns0:c>
      <ns0:c r="T967" s="0">
        <ns0:f>IFERROR(IF(ISNUMBER(Bookings!D967),IF(AND(Bookings!D967=INT(Bookings!D967),Bookings!D967&gt;=DATE(2000,1,1),Bookings!D967&lt;=DATE(2100,12,31)),Bookings!D967,0),IF(AND(K967&lt;&gt;"",LEN("x"&amp;L967)-LEN(SUBSTITUTE("x"&amp;L967,".",""))=2,OR(1&gt;LEN(L967),MID(L967,1,1)=".",ISNUMBER(FIND("x"&amp;MID(L967,1,1),"x0x1x2x3x4x5x6x7x8x9"))),OR(2&gt;LEN(L967),MID(L967,2,1)=".",ISNUMBER(FIND("x"&amp;MID(L967,2,1),"x0x1x2x3x4x5x6x7x8x9"))),OR(3&gt;LEN(L967),MID(L967,3,1)=".",ISNUMBER(FIND("x"&amp;MID(L967,3,1),"x0x1x2x3x4x5x6x7x8x9"))),OR(4&gt;LEN(L967),MID(L967,4,1)=".",ISNUMBER(FIND("x"&amp;MID(L967,4,1),"x0x1x2x3x4x5x6x7x8x9"))),OR(5&gt;LEN(L967),MID(L967,5,1)=".",ISNUMBER(FIND("x"&amp;MID(L967,5,1),"x0x1x2x3x4x5x6x7x8x9"))),OR(6&gt;LEN(L967),MID(L967,6,1)=".",ISNUMBER(FIND("x"&amp;MID(L967,6,1),"x0x1x2x3x4x5x6x7x8x9"))),OR(7&gt;LEN(L967),MID(L967,7,1)=".",ISNUMBER(FIND("x"&amp;MID(L967,7,1),"x0x1x2x3x4x5x6x7x8x9"))),OR(8&gt;LEN(L967),MID(L967,8,1)=".",ISNUMBER(FIND("x"&amp;MID(L967,8,1),"x0x1x2x3x4x5x6x7x8x9"))),OR(9&gt;LEN(L967),MID(L967,9,1)=".",ISNUMBER(FIND("x"&amp;MID(L967,9,1),"x0x1x2x3x4x5x6x7x8x9"))),OR(10&gt;LEN(L967),MID(L967,10,1)=".",ISNUMBER(FIND("x"&amp;MID(L967,10,1),"x0x1x2x3x4x5x6x7x8x9"))),OR(AND(FIND(".",L967)=5,LEN(L967)-FIND(".",L967,FIND(".",L967)+1)&gt;=1,LEN(L967)-FIND(".",L967,FIND(".",L967)+1)&lt;=2),AND(LEN(L967)-FIND(".",L967,FIND(".",L967)+1)=4,FIND(".",L967)&gt;=2,FIND(".",L967)&lt;=3)),FIND(".",L967,FIND(".",L967)+1)-FIND(".",L967)&gt;=2,FIND(".",L967,FIND(".",L967)+1)-FIND(".",L967)&lt;=3,P967&gt;=2000,P967&lt;=2100,YEAR(S967)=P967,MONTH(S967)=Q967,DAY(S967)=R967),S967,0)),0)</ns0:f>
        <ns0:v>0</ns0:v>
      </ns0:c>
      <ns0:c r="U967" s="0" t="str">
        <ns0:f>IF(Bookings!C967="","Full day",Bookings!C967)</ns0:f>
        <ns0:v>Full day</ns0:v>
      </ns0:c>
      <ns0:c r="V967" s="0" t="str">
        <ns0:f>IF(Bookings!E967="","Full day",Bookings!E967)</ns0:f>
        <ns0:v>Full day</ns0:v>
      </ns0:c>
      <ns0:c r="W967" s="0">
        <ns0:f>IF(J967=0,0,J967+IF(U967="PM",1,0))</ns0:f>
        <ns0:v>0</ns0:v>
      </ns0:c>
      <ns0:c r="X967" s="0">
        <ns0:f>IF(T967=0,0,T967-IF(V967="PM",1,0))</ns0:f>
        <ns0:v>0</ns0:v>
      </ns0:c>
      <ns0:c r="Y967" s="0">
        <ns0:f>IF(J967=0,0,J967+IF(U967="AM",1,0))</ns0:f>
        <ns0:v>0</ns0:v>
      </ns0:c>
      <ns0:c r="Z967" s="0">
        <ns0:f>IF(T967=0,0,T967-IF(V967="AM",1,0))</ns0:f>
        <ns0:v>0</ns0:v>
      </ns0:c>
      <ns0:c r="AA967" s="0">
        <ns0:f>IFERROR(IF(AND(J967&gt;0,'_Engine'!C967&gt;0,MID('_Engine'!W967,WEEKDAY(J967,2),1)="W",COUNTIF(Settings!$F$18:$F$67,J967)=0),1,0),0)</ns0:f>
        <ns0:v>0</ns0:v>
      </ns0:c>
      <ns0:c r="AB967" s="0">
        <ns0:f>IFERROR(IF(AND(T967&gt;0,'_Engine'!C967&gt;0,MID('_Engine'!W967,WEEKDAY(T967,2),1)="W",COUNTIF(Settings!$F$18:$F$67,T967)=0),1,0),0)</ns0:f>
        <ns0:v>0</ns0:v>
      </ns0:c>
      <ns0:c r="AC967" s="0">
        <ns0:f>IF(AND(J967&gt;0,T967&gt;0,W967&lt;=X967),1,0)</ns0:f>
        <ns0:v>0</ns0:v>
      </ns0:c>
      <ns0:c r="AD967" s="0">
        <ns0:f>IF(AND(J967&gt;0,T967&gt;0,Y967&lt;=Z967),1,0)</ns0:f>
        <ns0:v>0</ns0:v>
      </ns0:c>
    </ns0:row>
    <ns0:row r="968">
      <ns0:c r="A968" s="0">
        <ns0:f>IFERROR(IF(ISNUMBER(Bookings!B968),"",TRIM(Bookings!B968&amp;"")),"")</ns0:f>
      </ns0:c>
      <ns0:c r="B968" s="0">
        <ns0:f>IFERROR(SUBSTITUTE(SUBSTITUTE(A968,"/","."),"-","."),"")</ns0:f>
      </ns0:c>
      <ns0:c r="C968" s="0">
        <ns0:f>IFERROR(LEFT(B968,FIND(".",B968)-1),"")</ns0:f>
      </ns0:c>
      <ns0:c r="D968" s="0">
        <ns0:f>IFERROR(MID(B968,FIND(".",B968)+1,FIND(".",B968,FIND(".",B968)+1)-FIND(".",B968)-1),"")</ns0:f>
      </ns0:c>
      <ns0:c r="E968" s="0">
        <ns0:f>IFERROR(MID(B968,FIND(".",B968,FIND(".",B968)+1)+1,99),"")</ns0:f>
        <ns0:v>99</ns0:v>
      </ns0:c>
      <ns0:c r="F968" s="0">
        <ns0:f>IFERROR(IF(FIND(".",B968)=5,--C968,--E968),0)</ns0:f>
        <ns0:v>0</ns0:v>
      </ns0:c>
      <ns0:c r="G968" s="0">
        <ns0:f>IFERROR(--D968,0)</ns0:f>
        <ns0:v>0</ns0:v>
      </ns0:c>
      <ns0:c r="H968" s="0">
        <ns0:f>IFERROR(IF(FIND(".",B968)=5,--E968,--C968),0)</ns0:f>
        <ns0:v>0</ns0:v>
      </ns0:c>
      <ns0:c r="I968" s="0">
        <ns0:f>IFERROR(IF(AND(F968&gt;=2000,F968&lt;=2100,G968&gt;=1,G968&lt;=12,H968&gt;=1,H968&lt;=31),DATE(F968,G968,H968),0),0)</ns0:f>
        <ns0:v>0</ns0:v>
      </ns0:c>
      <ns0:c r="J968" s="0">
        <ns0:f>IFERROR(IF(ISNUMBER(Bookings!B968),IF(AND(Bookings!B968=INT(Bookings!B968),Bookings!B968&gt;=DATE(2000,1,1),Bookings!B968&lt;=DATE(2100,12,31)),Bookings!B968,0),IF(AND(A968&lt;&gt;"",LEN("x"&amp;B968)-LEN(SUBSTITUTE("x"&amp;B968,".",""))=2,OR(1&gt;LEN(B968),MID(B968,1,1)=".",ISNUMBER(FIND("x"&amp;MID(B968,1,1),"x0x1x2x3x4x5x6x7x8x9"))),OR(2&gt;LEN(B968),MID(B968,2,1)=".",ISNUMBER(FIND("x"&amp;MID(B968,2,1),"x0x1x2x3x4x5x6x7x8x9"))),OR(3&gt;LEN(B968),MID(B968,3,1)=".",ISNUMBER(FIND("x"&amp;MID(B968,3,1),"x0x1x2x3x4x5x6x7x8x9"))),OR(4&gt;LEN(B968),MID(B968,4,1)=".",ISNUMBER(FIND("x"&amp;MID(B968,4,1),"x0x1x2x3x4x5x6x7x8x9"))),OR(5&gt;LEN(B968),MID(B968,5,1)=".",ISNUMBER(FIND("x"&amp;MID(B968,5,1),"x0x1x2x3x4x5x6x7x8x9"))),OR(6&gt;LEN(B968),MID(B968,6,1)=".",ISNUMBER(FIND("x"&amp;MID(B968,6,1),"x0x1x2x3x4x5x6x7x8x9"))),OR(7&gt;LEN(B968),MID(B968,7,1)=".",ISNUMBER(FIND("x"&amp;MID(B968,7,1),"x0x1x2x3x4x5x6x7x8x9"))),OR(8&gt;LEN(B968),MID(B968,8,1)=".",ISNUMBER(FIND("x"&amp;MID(B968,8,1),"x0x1x2x3x4x5x6x7x8x9"))),OR(9&gt;LEN(B968),MID(B968,9,1)=".",ISNUMBER(FIND("x"&amp;MID(B968,9,1),"x0x1x2x3x4x5x6x7x8x9"))),OR(10&gt;LEN(B968),MID(B968,10,1)=".",ISNUMBER(FIND("x"&amp;MID(B968,10,1),"x0x1x2x3x4x5x6x7x8x9"))),OR(AND(FIND(".",B968)=5,LEN(B968)-FIND(".",B968,FIND(".",B968)+1)&gt;=1,LEN(B968)-FIND(".",B968,FIND(".",B968)+1)&lt;=2),AND(LEN(B968)-FIND(".",B968,FIND(".",B968)+1)=4,FIND(".",B968)&gt;=2,FIND(".",B968)&lt;=3)),FIND(".",B968,FIND(".",B968)+1)-FIND(".",B968)&gt;=2,FIND(".",B968,FIND(".",B968)+1)-FIND(".",B968)&lt;=3,F968&gt;=2000,F968&lt;=2100,YEAR(I968)=F968,MONTH(I968)=G968,DAY(I968)=H968),I968,0)),0)</ns0:f>
        <ns0:v>0</ns0:v>
      </ns0:c>
      <ns0:c r="K968" s="0">
        <ns0:f>IFERROR(IF(ISNUMBER(Bookings!D968),"",TRIM(Bookings!D968&amp;"")),"")</ns0:f>
      </ns0:c>
      <ns0:c r="L968" s="0">
        <ns0:f>IFERROR(SUBSTITUTE(SUBSTITUTE(K968,"/","."),"-","."),"")</ns0:f>
      </ns0:c>
      <ns0:c r="M968" s="0">
        <ns0:f>IFERROR(LEFT(L968,FIND(".",L968)-1),"")</ns0:f>
      </ns0:c>
      <ns0:c r="N968" s="0">
        <ns0:f>IFERROR(MID(L968,FIND(".",L968)+1,FIND(".",L968,FIND(".",L968)+1)-FIND(".",L968)-1),"")</ns0:f>
      </ns0:c>
      <ns0:c r="O968" s="0">
        <ns0:f>IFERROR(MID(L968,FIND(".",L968,FIND(".",L968)+1)+1,99),"")</ns0:f>
        <ns0:v>99</ns0:v>
      </ns0:c>
      <ns0:c r="P968" s="0">
        <ns0:f>IFERROR(IF(FIND(".",L968)=5,--M968,--O968),0)</ns0:f>
        <ns0:v>0</ns0:v>
      </ns0:c>
      <ns0:c r="Q968" s="0">
        <ns0:f>IFERROR(--N968,0)</ns0:f>
        <ns0:v>0</ns0:v>
      </ns0:c>
      <ns0:c r="R968" s="0">
        <ns0:f>IFERROR(IF(FIND(".",L968)=5,--O968,--M968),0)</ns0:f>
        <ns0:v>0</ns0:v>
      </ns0:c>
      <ns0:c r="S968" s="0">
        <ns0:f>IFERROR(IF(AND(P968&gt;=2000,P968&lt;=2100,Q968&gt;=1,Q968&lt;=12,R968&gt;=1,R968&lt;=31),DATE(P968,Q968,R968),0),0)</ns0:f>
        <ns0:v>0</ns0:v>
      </ns0:c>
      <ns0:c r="T968" s="0">
        <ns0:f>IFERROR(IF(ISNUMBER(Bookings!D968),IF(AND(Bookings!D968=INT(Bookings!D968),Bookings!D968&gt;=DATE(2000,1,1),Bookings!D968&lt;=DATE(2100,12,31)),Bookings!D968,0),IF(AND(K968&lt;&gt;"",LEN("x"&amp;L968)-LEN(SUBSTITUTE("x"&amp;L968,".",""))=2,OR(1&gt;LEN(L968),MID(L968,1,1)=".",ISNUMBER(FIND("x"&amp;MID(L968,1,1),"x0x1x2x3x4x5x6x7x8x9"))),OR(2&gt;LEN(L968),MID(L968,2,1)=".",ISNUMBER(FIND("x"&amp;MID(L968,2,1),"x0x1x2x3x4x5x6x7x8x9"))),OR(3&gt;LEN(L968),MID(L968,3,1)=".",ISNUMBER(FIND("x"&amp;MID(L968,3,1),"x0x1x2x3x4x5x6x7x8x9"))),OR(4&gt;LEN(L968),MID(L968,4,1)=".",ISNUMBER(FIND("x"&amp;MID(L968,4,1),"x0x1x2x3x4x5x6x7x8x9"))),OR(5&gt;LEN(L968),MID(L968,5,1)=".",ISNUMBER(FIND("x"&amp;MID(L968,5,1),"x0x1x2x3x4x5x6x7x8x9"))),OR(6&gt;LEN(L968),MID(L968,6,1)=".",ISNUMBER(FIND("x"&amp;MID(L968,6,1),"x0x1x2x3x4x5x6x7x8x9"))),OR(7&gt;LEN(L968),MID(L968,7,1)=".",ISNUMBER(FIND("x"&amp;MID(L968,7,1),"x0x1x2x3x4x5x6x7x8x9"))),OR(8&gt;LEN(L968),MID(L968,8,1)=".",ISNUMBER(FIND("x"&amp;MID(L968,8,1),"x0x1x2x3x4x5x6x7x8x9"))),OR(9&gt;LEN(L968),MID(L968,9,1)=".",ISNUMBER(FIND("x"&amp;MID(L968,9,1),"x0x1x2x3x4x5x6x7x8x9"))),OR(10&gt;LEN(L968),MID(L968,10,1)=".",ISNUMBER(FIND("x"&amp;MID(L968,10,1),"x0x1x2x3x4x5x6x7x8x9"))),OR(AND(FIND(".",L968)=5,LEN(L968)-FIND(".",L968,FIND(".",L968)+1)&gt;=1,LEN(L968)-FIND(".",L968,FIND(".",L968)+1)&lt;=2),AND(LEN(L968)-FIND(".",L968,FIND(".",L968)+1)=4,FIND(".",L968)&gt;=2,FIND(".",L968)&lt;=3)),FIND(".",L968,FIND(".",L968)+1)-FIND(".",L968)&gt;=2,FIND(".",L968,FIND(".",L968)+1)-FIND(".",L968)&lt;=3,P968&gt;=2000,P968&lt;=2100,YEAR(S968)=P968,MONTH(S968)=Q968,DAY(S968)=R968),S968,0)),0)</ns0:f>
        <ns0:v>0</ns0:v>
      </ns0:c>
      <ns0:c r="U968" s="0" t="str">
        <ns0:f>IF(Bookings!C968="","Full day",Bookings!C968)</ns0:f>
        <ns0:v>Full day</ns0:v>
      </ns0:c>
      <ns0:c r="V968" s="0" t="str">
        <ns0:f>IF(Bookings!E968="","Full day",Bookings!E968)</ns0:f>
        <ns0:v>Full day</ns0:v>
      </ns0:c>
      <ns0:c r="W968" s="0">
        <ns0:f>IF(J968=0,0,J968+IF(U968="PM",1,0))</ns0:f>
        <ns0:v>0</ns0:v>
      </ns0:c>
      <ns0:c r="X968" s="0">
        <ns0:f>IF(T968=0,0,T968-IF(V968="PM",1,0))</ns0:f>
        <ns0:v>0</ns0:v>
      </ns0:c>
      <ns0:c r="Y968" s="0">
        <ns0:f>IF(J968=0,0,J968+IF(U968="AM",1,0))</ns0:f>
        <ns0:v>0</ns0:v>
      </ns0:c>
      <ns0:c r="Z968" s="0">
        <ns0:f>IF(T968=0,0,T968-IF(V968="AM",1,0))</ns0:f>
        <ns0:v>0</ns0:v>
      </ns0:c>
      <ns0:c r="AA968" s="0">
        <ns0:f>IFERROR(IF(AND(J968&gt;0,'_Engine'!C968&gt;0,MID('_Engine'!W968,WEEKDAY(J968,2),1)="W",COUNTIF(Settings!$F$18:$F$67,J968)=0),1,0),0)</ns0:f>
        <ns0:v>0</ns0:v>
      </ns0:c>
      <ns0:c r="AB968" s="0">
        <ns0:f>IFERROR(IF(AND(T968&gt;0,'_Engine'!C968&gt;0,MID('_Engine'!W968,WEEKDAY(T968,2),1)="W",COUNTIF(Settings!$F$18:$F$67,T968)=0),1,0),0)</ns0:f>
        <ns0:v>0</ns0:v>
      </ns0:c>
      <ns0:c r="AC968" s="0">
        <ns0:f>IF(AND(J968&gt;0,T968&gt;0,W968&lt;=X968),1,0)</ns0:f>
        <ns0:v>0</ns0:v>
      </ns0:c>
      <ns0:c r="AD968" s="0">
        <ns0:f>IF(AND(J968&gt;0,T968&gt;0,Y968&lt;=Z968),1,0)</ns0:f>
        <ns0:v>0</ns0:v>
      </ns0:c>
    </ns0:row>
    <ns0:row r="969">
      <ns0:c r="A969" s="0">
        <ns0:f>IFERROR(IF(ISNUMBER(Bookings!B969),"",TRIM(Bookings!B969&amp;"")),"")</ns0:f>
      </ns0:c>
      <ns0:c r="B969" s="0">
        <ns0:f>IFERROR(SUBSTITUTE(SUBSTITUTE(A969,"/","."),"-","."),"")</ns0:f>
      </ns0:c>
      <ns0:c r="C969" s="0">
        <ns0:f>IFERROR(LEFT(B969,FIND(".",B969)-1),"")</ns0:f>
      </ns0:c>
      <ns0:c r="D969" s="0">
        <ns0:f>IFERROR(MID(B969,FIND(".",B969)+1,FIND(".",B969,FIND(".",B969)+1)-FIND(".",B969)-1),"")</ns0:f>
      </ns0:c>
      <ns0:c r="E969" s="0">
        <ns0:f>IFERROR(MID(B969,FIND(".",B969,FIND(".",B969)+1)+1,99),"")</ns0:f>
        <ns0:v>99</ns0:v>
      </ns0:c>
      <ns0:c r="F969" s="0">
        <ns0:f>IFERROR(IF(FIND(".",B969)=5,--C969,--E969),0)</ns0:f>
        <ns0:v>0</ns0:v>
      </ns0:c>
      <ns0:c r="G969" s="0">
        <ns0:f>IFERROR(--D969,0)</ns0:f>
        <ns0:v>0</ns0:v>
      </ns0:c>
      <ns0:c r="H969" s="0">
        <ns0:f>IFERROR(IF(FIND(".",B969)=5,--E969,--C969),0)</ns0:f>
        <ns0:v>0</ns0:v>
      </ns0:c>
      <ns0:c r="I969" s="0">
        <ns0:f>IFERROR(IF(AND(F969&gt;=2000,F969&lt;=2100,G969&gt;=1,G969&lt;=12,H969&gt;=1,H969&lt;=31),DATE(F969,G969,H969),0),0)</ns0:f>
        <ns0:v>0</ns0:v>
      </ns0:c>
      <ns0:c r="J969" s="0">
        <ns0:f>IFERROR(IF(ISNUMBER(Bookings!B969),IF(AND(Bookings!B969=INT(Bookings!B969),Bookings!B969&gt;=DATE(2000,1,1),Bookings!B969&lt;=DATE(2100,12,31)),Bookings!B969,0),IF(AND(A969&lt;&gt;"",LEN("x"&amp;B969)-LEN(SUBSTITUTE("x"&amp;B969,".",""))=2,OR(1&gt;LEN(B969),MID(B969,1,1)=".",ISNUMBER(FIND("x"&amp;MID(B969,1,1),"x0x1x2x3x4x5x6x7x8x9"))),OR(2&gt;LEN(B969),MID(B969,2,1)=".",ISNUMBER(FIND("x"&amp;MID(B969,2,1),"x0x1x2x3x4x5x6x7x8x9"))),OR(3&gt;LEN(B969),MID(B969,3,1)=".",ISNUMBER(FIND("x"&amp;MID(B969,3,1),"x0x1x2x3x4x5x6x7x8x9"))),OR(4&gt;LEN(B969),MID(B969,4,1)=".",ISNUMBER(FIND("x"&amp;MID(B969,4,1),"x0x1x2x3x4x5x6x7x8x9"))),OR(5&gt;LEN(B969),MID(B969,5,1)=".",ISNUMBER(FIND("x"&amp;MID(B969,5,1),"x0x1x2x3x4x5x6x7x8x9"))),OR(6&gt;LEN(B969),MID(B969,6,1)=".",ISNUMBER(FIND("x"&amp;MID(B969,6,1),"x0x1x2x3x4x5x6x7x8x9"))),OR(7&gt;LEN(B969),MID(B969,7,1)=".",ISNUMBER(FIND("x"&amp;MID(B969,7,1),"x0x1x2x3x4x5x6x7x8x9"))),OR(8&gt;LEN(B969),MID(B969,8,1)=".",ISNUMBER(FIND("x"&amp;MID(B969,8,1),"x0x1x2x3x4x5x6x7x8x9"))),OR(9&gt;LEN(B969),MID(B969,9,1)=".",ISNUMBER(FIND("x"&amp;MID(B969,9,1),"x0x1x2x3x4x5x6x7x8x9"))),OR(10&gt;LEN(B969),MID(B969,10,1)=".",ISNUMBER(FIND("x"&amp;MID(B969,10,1),"x0x1x2x3x4x5x6x7x8x9"))),OR(AND(FIND(".",B969)=5,LEN(B969)-FIND(".",B969,FIND(".",B969)+1)&gt;=1,LEN(B969)-FIND(".",B969,FIND(".",B969)+1)&lt;=2),AND(LEN(B969)-FIND(".",B969,FIND(".",B969)+1)=4,FIND(".",B969)&gt;=2,FIND(".",B969)&lt;=3)),FIND(".",B969,FIND(".",B969)+1)-FIND(".",B969)&gt;=2,FIND(".",B969,FIND(".",B969)+1)-FIND(".",B969)&lt;=3,F969&gt;=2000,F969&lt;=2100,YEAR(I969)=F969,MONTH(I969)=G969,DAY(I969)=H969),I969,0)),0)</ns0:f>
        <ns0:v>0</ns0:v>
      </ns0:c>
      <ns0:c r="K969" s="0">
        <ns0:f>IFERROR(IF(ISNUMBER(Bookings!D969),"",TRIM(Bookings!D969&amp;"")),"")</ns0:f>
      </ns0:c>
      <ns0:c r="L969" s="0">
        <ns0:f>IFERROR(SUBSTITUTE(SUBSTITUTE(K969,"/","."),"-","."),"")</ns0:f>
      </ns0:c>
      <ns0:c r="M969" s="0">
        <ns0:f>IFERROR(LEFT(L969,FIND(".",L969)-1),"")</ns0:f>
      </ns0:c>
      <ns0:c r="N969" s="0">
        <ns0:f>IFERROR(MID(L969,FIND(".",L969)+1,FIND(".",L969,FIND(".",L969)+1)-FIND(".",L969)-1),"")</ns0:f>
      </ns0:c>
      <ns0:c r="O969" s="0">
        <ns0:f>IFERROR(MID(L969,FIND(".",L969,FIND(".",L969)+1)+1,99),"")</ns0:f>
        <ns0:v>99</ns0:v>
      </ns0:c>
      <ns0:c r="P969" s="0">
        <ns0:f>IFERROR(IF(FIND(".",L969)=5,--M969,--O969),0)</ns0:f>
        <ns0:v>0</ns0:v>
      </ns0:c>
      <ns0:c r="Q969" s="0">
        <ns0:f>IFERROR(--N969,0)</ns0:f>
        <ns0:v>0</ns0:v>
      </ns0:c>
      <ns0:c r="R969" s="0">
        <ns0:f>IFERROR(IF(FIND(".",L969)=5,--O969,--M969),0)</ns0:f>
        <ns0:v>0</ns0:v>
      </ns0:c>
      <ns0:c r="S969" s="0">
        <ns0:f>IFERROR(IF(AND(P969&gt;=2000,P969&lt;=2100,Q969&gt;=1,Q969&lt;=12,R969&gt;=1,R969&lt;=31),DATE(P969,Q969,R969),0),0)</ns0:f>
        <ns0:v>0</ns0:v>
      </ns0:c>
      <ns0:c r="T969" s="0">
        <ns0:f>IFERROR(IF(ISNUMBER(Bookings!D969),IF(AND(Bookings!D969=INT(Bookings!D969),Bookings!D969&gt;=DATE(2000,1,1),Bookings!D969&lt;=DATE(2100,12,31)),Bookings!D969,0),IF(AND(K969&lt;&gt;"",LEN("x"&amp;L969)-LEN(SUBSTITUTE("x"&amp;L969,".",""))=2,OR(1&gt;LEN(L969),MID(L969,1,1)=".",ISNUMBER(FIND("x"&amp;MID(L969,1,1),"x0x1x2x3x4x5x6x7x8x9"))),OR(2&gt;LEN(L969),MID(L969,2,1)=".",ISNUMBER(FIND("x"&amp;MID(L969,2,1),"x0x1x2x3x4x5x6x7x8x9"))),OR(3&gt;LEN(L969),MID(L969,3,1)=".",ISNUMBER(FIND("x"&amp;MID(L969,3,1),"x0x1x2x3x4x5x6x7x8x9"))),OR(4&gt;LEN(L969),MID(L969,4,1)=".",ISNUMBER(FIND("x"&amp;MID(L969,4,1),"x0x1x2x3x4x5x6x7x8x9"))),OR(5&gt;LEN(L969),MID(L969,5,1)=".",ISNUMBER(FIND("x"&amp;MID(L969,5,1),"x0x1x2x3x4x5x6x7x8x9"))),OR(6&gt;LEN(L969),MID(L969,6,1)=".",ISNUMBER(FIND("x"&amp;MID(L969,6,1),"x0x1x2x3x4x5x6x7x8x9"))),OR(7&gt;LEN(L969),MID(L969,7,1)=".",ISNUMBER(FIND("x"&amp;MID(L969,7,1),"x0x1x2x3x4x5x6x7x8x9"))),OR(8&gt;LEN(L969),MID(L969,8,1)=".",ISNUMBER(FIND("x"&amp;MID(L969,8,1),"x0x1x2x3x4x5x6x7x8x9"))),OR(9&gt;LEN(L969),MID(L969,9,1)=".",ISNUMBER(FIND("x"&amp;MID(L969,9,1),"x0x1x2x3x4x5x6x7x8x9"))),OR(10&gt;LEN(L969),MID(L969,10,1)=".",ISNUMBER(FIND("x"&amp;MID(L969,10,1),"x0x1x2x3x4x5x6x7x8x9"))),OR(AND(FIND(".",L969)=5,LEN(L969)-FIND(".",L969,FIND(".",L969)+1)&gt;=1,LEN(L969)-FIND(".",L969,FIND(".",L969)+1)&lt;=2),AND(LEN(L969)-FIND(".",L969,FIND(".",L969)+1)=4,FIND(".",L969)&gt;=2,FIND(".",L969)&lt;=3)),FIND(".",L969,FIND(".",L969)+1)-FIND(".",L969)&gt;=2,FIND(".",L969,FIND(".",L969)+1)-FIND(".",L969)&lt;=3,P969&gt;=2000,P969&lt;=2100,YEAR(S969)=P969,MONTH(S969)=Q969,DAY(S969)=R969),S969,0)),0)</ns0:f>
        <ns0:v>0</ns0:v>
      </ns0:c>
      <ns0:c r="U969" s="0" t="str">
        <ns0:f>IF(Bookings!C969="","Full day",Bookings!C969)</ns0:f>
        <ns0:v>Full day</ns0:v>
      </ns0:c>
      <ns0:c r="V969" s="0" t="str">
        <ns0:f>IF(Bookings!E969="","Full day",Bookings!E969)</ns0:f>
        <ns0:v>Full day</ns0:v>
      </ns0:c>
      <ns0:c r="W969" s="0">
        <ns0:f>IF(J969=0,0,J969+IF(U969="PM",1,0))</ns0:f>
        <ns0:v>0</ns0:v>
      </ns0:c>
      <ns0:c r="X969" s="0">
        <ns0:f>IF(T969=0,0,T969-IF(V969="PM",1,0))</ns0:f>
        <ns0:v>0</ns0:v>
      </ns0:c>
      <ns0:c r="Y969" s="0">
        <ns0:f>IF(J969=0,0,J969+IF(U969="AM",1,0))</ns0:f>
        <ns0:v>0</ns0:v>
      </ns0:c>
      <ns0:c r="Z969" s="0">
        <ns0:f>IF(T969=0,0,T969-IF(V969="AM",1,0))</ns0:f>
        <ns0:v>0</ns0:v>
      </ns0:c>
      <ns0:c r="AA969" s="0">
        <ns0:f>IFERROR(IF(AND(J969&gt;0,'_Engine'!C969&gt;0,MID('_Engine'!W969,WEEKDAY(J969,2),1)="W",COUNTIF(Settings!$F$18:$F$67,J969)=0),1,0),0)</ns0:f>
        <ns0:v>0</ns0:v>
      </ns0:c>
      <ns0:c r="AB969" s="0">
        <ns0:f>IFERROR(IF(AND(T969&gt;0,'_Engine'!C969&gt;0,MID('_Engine'!W969,WEEKDAY(T969,2),1)="W",COUNTIF(Settings!$F$18:$F$67,T969)=0),1,0),0)</ns0:f>
        <ns0:v>0</ns0:v>
      </ns0:c>
      <ns0:c r="AC969" s="0">
        <ns0:f>IF(AND(J969&gt;0,T969&gt;0,W969&lt;=X969),1,0)</ns0:f>
        <ns0:v>0</ns0:v>
      </ns0:c>
      <ns0:c r="AD969" s="0">
        <ns0:f>IF(AND(J969&gt;0,T969&gt;0,Y969&lt;=Z969),1,0)</ns0:f>
        <ns0:v>0</ns0:v>
      </ns0:c>
    </ns0:row>
    <ns0:row r="970">
      <ns0:c r="A970" s="0">
        <ns0:f>IFERROR(IF(ISNUMBER(Bookings!B970),"",TRIM(Bookings!B970&amp;"")),"")</ns0:f>
      </ns0:c>
      <ns0:c r="B970" s="0">
        <ns0:f>IFERROR(SUBSTITUTE(SUBSTITUTE(A970,"/","."),"-","."),"")</ns0:f>
      </ns0:c>
      <ns0:c r="C970" s="0">
        <ns0:f>IFERROR(LEFT(B970,FIND(".",B970)-1),"")</ns0:f>
      </ns0:c>
      <ns0:c r="D970" s="0">
        <ns0:f>IFERROR(MID(B970,FIND(".",B970)+1,FIND(".",B970,FIND(".",B970)+1)-FIND(".",B970)-1),"")</ns0:f>
      </ns0:c>
      <ns0:c r="E970" s="0">
        <ns0:f>IFERROR(MID(B970,FIND(".",B970,FIND(".",B970)+1)+1,99),"")</ns0:f>
        <ns0:v>99</ns0:v>
      </ns0:c>
      <ns0:c r="F970" s="0">
        <ns0:f>IFERROR(IF(FIND(".",B970)=5,--C970,--E970),0)</ns0:f>
        <ns0:v>0</ns0:v>
      </ns0:c>
      <ns0:c r="G970" s="0">
        <ns0:f>IFERROR(--D970,0)</ns0:f>
        <ns0:v>0</ns0:v>
      </ns0:c>
      <ns0:c r="H970" s="0">
        <ns0:f>IFERROR(IF(FIND(".",B970)=5,--E970,--C970),0)</ns0:f>
        <ns0:v>0</ns0:v>
      </ns0:c>
      <ns0:c r="I970" s="0">
        <ns0:f>IFERROR(IF(AND(F970&gt;=2000,F970&lt;=2100,G970&gt;=1,G970&lt;=12,H970&gt;=1,H970&lt;=31),DATE(F970,G970,H970),0),0)</ns0:f>
        <ns0:v>0</ns0:v>
      </ns0:c>
      <ns0:c r="J970" s="0">
        <ns0:f>IFERROR(IF(ISNUMBER(Bookings!B970),IF(AND(Bookings!B970=INT(Bookings!B970),Bookings!B970&gt;=DATE(2000,1,1),Bookings!B970&lt;=DATE(2100,12,31)),Bookings!B970,0),IF(AND(A970&lt;&gt;"",LEN("x"&amp;B970)-LEN(SUBSTITUTE("x"&amp;B970,".",""))=2,OR(1&gt;LEN(B970),MID(B970,1,1)=".",ISNUMBER(FIND("x"&amp;MID(B970,1,1),"x0x1x2x3x4x5x6x7x8x9"))),OR(2&gt;LEN(B970),MID(B970,2,1)=".",ISNUMBER(FIND("x"&amp;MID(B970,2,1),"x0x1x2x3x4x5x6x7x8x9"))),OR(3&gt;LEN(B970),MID(B970,3,1)=".",ISNUMBER(FIND("x"&amp;MID(B970,3,1),"x0x1x2x3x4x5x6x7x8x9"))),OR(4&gt;LEN(B970),MID(B970,4,1)=".",ISNUMBER(FIND("x"&amp;MID(B970,4,1),"x0x1x2x3x4x5x6x7x8x9"))),OR(5&gt;LEN(B970),MID(B970,5,1)=".",ISNUMBER(FIND("x"&amp;MID(B970,5,1),"x0x1x2x3x4x5x6x7x8x9"))),OR(6&gt;LEN(B970),MID(B970,6,1)=".",ISNUMBER(FIND("x"&amp;MID(B970,6,1),"x0x1x2x3x4x5x6x7x8x9"))),OR(7&gt;LEN(B970),MID(B970,7,1)=".",ISNUMBER(FIND("x"&amp;MID(B970,7,1),"x0x1x2x3x4x5x6x7x8x9"))),OR(8&gt;LEN(B970),MID(B970,8,1)=".",ISNUMBER(FIND("x"&amp;MID(B970,8,1),"x0x1x2x3x4x5x6x7x8x9"))),OR(9&gt;LEN(B970),MID(B970,9,1)=".",ISNUMBER(FIND("x"&amp;MID(B970,9,1),"x0x1x2x3x4x5x6x7x8x9"))),OR(10&gt;LEN(B970),MID(B970,10,1)=".",ISNUMBER(FIND("x"&amp;MID(B970,10,1),"x0x1x2x3x4x5x6x7x8x9"))),OR(AND(FIND(".",B970)=5,LEN(B970)-FIND(".",B970,FIND(".",B970)+1)&gt;=1,LEN(B970)-FIND(".",B970,FIND(".",B970)+1)&lt;=2),AND(LEN(B970)-FIND(".",B970,FIND(".",B970)+1)=4,FIND(".",B970)&gt;=2,FIND(".",B970)&lt;=3)),FIND(".",B970,FIND(".",B970)+1)-FIND(".",B970)&gt;=2,FIND(".",B970,FIND(".",B970)+1)-FIND(".",B970)&lt;=3,F970&gt;=2000,F970&lt;=2100,YEAR(I970)=F970,MONTH(I970)=G970,DAY(I970)=H970),I970,0)),0)</ns0:f>
        <ns0:v>0</ns0:v>
      </ns0:c>
      <ns0:c r="K970" s="0">
        <ns0:f>IFERROR(IF(ISNUMBER(Bookings!D970),"",TRIM(Bookings!D970&amp;"")),"")</ns0:f>
      </ns0:c>
      <ns0:c r="L970" s="0">
        <ns0:f>IFERROR(SUBSTITUTE(SUBSTITUTE(K970,"/","."),"-","."),"")</ns0:f>
      </ns0:c>
      <ns0:c r="M970" s="0">
        <ns0:f>IFERROR(LEFT(L970,FIND(".",L970)-1),"")</ns0:f>
      </ns0:c>
      <ns0:c r="N970" s="0">
        <ns0:f>IFERROR(MID(L970,FIND(".",L970)+1,FIND(".",L970,FIND(".",L970)+1)-FIND(".",L970)-1),"")</ns0:f>
      </ns0:c>
      <ns0:c r="O970" s="0">
        <ns0:f>IFERROR(MID(L970,FIND(".",L970,FIND(".",L970)+1)+1,99),"")</ns0:f>
        <ns0:v>99</ns0:v>
      </ns0:c>
      <ns0:c r="P970" s="0">
        <ns0:f>IFERROR(IF(FIND(".",L970)=5,--M970,--O970),0)</ns0:f>
        <ns0:v>0</ns0:v>
      </ns0:c>
      <ns0:c r="Q970" s="0">
        <ns0:f>IFERROR(--N970,0)</ns0:f>
        <ns0:v>0</ns0:v>
      </ns0:c>
      <ns0:c r="R970" s="0">
        <ns0:f>IFERROR(IF(FIND(".",L970)=5,--O970,--M970),0)</ns0:f>
        <ns0:v>0</ns0:v>
      </ns0:c>
      <ns0:c r="S970" s="0">
        <ns0:f>IFERROR(IF(AND(P970&gt;=2000,P970&lt;=2100,Q970&gt;=1,Q970&lt;=12,R970&gt;=1,R970&lt;=31),DATE(P970,Q970,R970),0),0)</ns0:f>
        <ns0:v>0</ns0:v>
      </ns0:c>
      <ns0:c r="T970" s="0">
        <ns0:f>IFERROR(IF(ISNUMBER(Bookings!D970),IF(AND(Bookings!D970=INT(Bookings!D970),Bookings!D970&gt;=DATE(2000,1,1),Bookings!D970&lt;=DATE(2100,12,31)),Bookings!D970,0),IF(AND(K970&lt;&gt;"",LEN("x"&amp;L970)-LEN(SUBSTITUTE("x"&amp;L970,".",""))=2,OR(1&gt;LEN(L970),MID(L970,1,1)=".",ISNUMBER(FIND("x"&amp;MID(L970,1,1),"x0x1x2x3x4x5x6x7x8x9"))),OR(2&gt;LEN(L970),MID(L970,2,1)=".",ISNUMBER(FIND("x"&amp;MID(L970,2,1),"x0x1x2x3x4x5x6x7x8x9"))),OR(3&gt;LEN(L970),MID(L970,3,1)=".",ISNUMBER(FIND("x"&amp;MID(L970,3,1),"x0x1x2x3x4x5x6x7x8x9"))),OR(4&gt;LEN(L970),MID(L970,4,1)=".",ISNUMBER(FIND("x"&amp;MID(L970,4,1),"x0x1x2x3x4x5x6x7x8x9"))),OR(5&gt;LEN(L970),MID(L970,5,1)=".",ISNUMBER(FIND("x"&amp;MID(L970,5,1),"x0x1x2x3x4x5x6x7x8x9"))),OR(6&gt;LEN(L970),MID(L970,6,1)=".",ISNUMBER(FIND("x"&amp;MID(L970,6,1),"x0x1x2x3x4x5x6x7x8x9"))),OR(7&gt;LEN(L970),MID(L970,7,1)=".",ISNUMBER(FIND("x"&amp;MID(L970,7,1),"x0x1x2x3x4x5x6x7x8x9"))),OR(8&gt;LEN(L970),MID(L970,8,1)=".",ISNUMBER(FIND("x"&amp;MID(L970,8,1),"x0x1x2x3x4x5x6x7x8x9"))),OR(9&gt;LEN(L970),MID(L970,9,1)=".",ISNUMBER(FIND("x"&amp;MID(L970,9,1),"x0x1x2x3x4x5x6x7x8x9"))),OR(10&gt;LEN(L970),MID(L970,10,1)=".",ISNUMBER(FIND("x"&amp;MID(L970,10,1),"x0x1x2x3x4x5x6x7x8x9"))),OR(AND(FIND(".",L970)=5,LEN(L970)-FIND(".",L970,FIND(".",L970)+1)&gt;=1,LEN(L970)-FIND(".",L970,FIND(".",L970)+1)&lt;=2),AND(LEN(L970)-FIND(".",L970,FIND(".",L970)+1)=4,FIND(".",L970)&gt;=2,FIND(".",L970)&lt;=3)),FIND(".",L970,FIND(".",L970)+1)-FIND(".",L970)&gt;=2,FIND(".",L970,FIND(".",L970)+1)-FIND(".",L970)&lt;=3,P970&gt;=2000,P970&lt;=2100,YEAR(S970)=P970,MONTH(S970)=Q970,DAY(S970)=R970),S970,0)),0)</ns0:f>
        <ns0:v>0</ns0:v>
      </ns0:c>
      <ns0:c r="U970" s="0" t="str">
        <ns0:f>IF(Bookings!C970="","Full day",Bookings!C970)</ns0:f>
        <ns0:v>Full day</ns0:v>
      </ns0:c>
      <ns0:c r="V970" s="0" t="str">
        <ns0:f>IF(Bookings!E970="","Full day",Bookings!E970)</ns0:f>
        <ns0:v>Full day</ns0:v>
      </ns0:c>
      <ns0:c r="W970" s="0">
        <ns0:f>IF(J970=0,0,J970+IF(U970="PM",1,0))</ns0:f>
        <ns0:v>0</ns0:v>
      </ns0:c>
      <ns0:c r="X970" s="0">
        <ns0:f>IF(T970=0,0,T970-IF(V970="PM",1,0))</ns0:f>
        <ns0:v>0</ns0:v>
      </ns0:c>
      <ns0:c r="Y970" s="0">
        <ns0:f>IF(J970=0,0,J970+IF(U970="AM",1,0))</ns0:f>
        <ns0:v>0</ns0:v>
      </ns0:c>
      <ns0:c r="Z970" s="0">
        <ns0:f>IF(T970=0,0,T970-IF(V970="AM",1,0))</ns0:f>
        <ns0:v>0</ns0:v>
      </ns0:c>
      <ns0:c r="AA970" s="0">
        <ns0:f>IFERROR(IF(AND(J970&gt;0,'_Engine'!C970&gt;0,MID('_Engine'!W970,WEEKDAY(J970,2),1)="W",COUNTIF(Settings!$F$18:$F$67,J970)=0),1,0),0)</ns0:f>
        <ns0:v>0</ns0:v>
      </ns0:c>
      <ns0:c r="AB970" s="0">
        <ns0:f>IFERROR(IF(AND(T970&gt;0,'_Engine'!C970&gt;0,MID('_Engine'!W970,WEEKDAY(T970,2),1)="W",COUNTIF(Settings!$F$18:$F$67,T970)=0),1,0),0)</ns0:f>
        <ns0:v>0</ns0:v>
      </ns0:c>
      <ns0:c r="AC970" s="0">
        <ns0:f>IF(AND(J970&gt;0,T970&gt;0,W970&lt;=X970),1,0)</ns0:f>
        <ns0:v>0</ns0:v>
      </ns0:c>
      <ns0:c r="AD970" s="0">
        <ns0:f>IF(AND(J970&gt;0,T970&gt;0,Y970&lt;=Z970),1,0)</ns0:f>
        <ns0:v>0</ns0:v>
      </ns0:c>
    </ns0:row>
    <ns0:row r="971">
      <ns0:c r="A971" s="0">
        <ns0:f>IFERROR(IF(ISNUMBER(Bookings!B971),"",TRIM(Bookings!B971&amp;"")),"")</ns0:f>
      </ns0:c>
      <ns0:c r="B971" s="0">
        <ns0:f>IFERROR(SUBSTITUTE(SUBSTITUTE(A971,"/","."),"-","."),"")</ns0:f>
      </ns0:c>
      <ns0:c r="C971" s="0">
        <ns0:f>IFERROR(LEFT(B971,FIND(".",B971)-1),"")</ns0:f>
      </ns0:c>
      <ns0:c r="D971" s="0">
        <ns0:f>IFERROR(MID(B971,FIND(".",B971)+1,FIND(".",B971,FIND(".",B971)+1)-FIND(".",B971)-1),"")</ns0:f>
      </ns0:c>
      <ns0:c r="E971" s="0">
        <ns0:f>IFERROR(MID(B971,FIND(".",B971,FIND(".",B971)+1)+1,99),"")</ns0:f>
        <ns0:v>99</ns0:v>
      </ns0:c>
      <ns0:c r="F971" s="0">
        <ns0:f>IFERROR(IF(FIND(".",B971)=5,--C971,--E971),0)</ns0:f>
        <ns0:v>0</ns0:v>
      </ns0:c>
      <ns0:c r="G971" s="0">
        <ns0:f>IFERROR(--D971,0)</ns0:f>
        <ns0:v>0</ns0:v>
      </ns0:c>
      <ns0:c r="H971" s="0">
        <ns0:f>IFERROR(IF(FIND(".",B971)=5,--E971,--C971),0)</ns0:f>
        <ns0:v>0</ns0:v>
      </ns0:c>
      <ns0:c r="I971" s="0">
        <ns0:f>IFERROR(IF(AND(F971&gt;=2000,F971&lt;=2100,G971&gt;=1,G971&lt;=12,H971&gt;=1,H971&lt;=31),DATE(F971,G971,H971),0),0)</ns0:f>
        <ns0:v>0</ns0:v>
      </ns0:c>
      <ns0:c r="J971" s="0">
        <ns0:f>IFERROR(IF(ISNUMBER(Bookings!B971),IF(AND(Bookings!B971=INT(Bookings!B971),Bookings!B971&gt;=DATE(2000,1,1),Bookings!B971&lt;=DATE(2100,12,31)),Bookings!B971,0),IF(AND(A971&lt;&gt;"",LEN("x"&amp;B971)-LEN(SUBSTITUTE("x"&amp;B971,".",""))=2,OR(1&gt;LEN(B971),MID(B971,1,1)=".",ISNUMBER(FIND("x"&amp;MID(B971,1,1),"x0x1x2x3x4x5x6x7x8x9"))),OR(2&gt;LEN(B971),MID(B971,2,1)=".",ISNUMBER(FIND("x"&amp;MID(B971,2,1),"x0x1x2x3x4x5x6x7x8x9"))),OR(3&gt;LEN(B971),MID(B971,3,1)=".",ISNUMBER(FIND("x"&amp;MID(B971,3,1),"x0x1x2x3x4x5x6x7x8x9"))),OR(4&gt;LEN(B971),MID(B971,4,1)=".",ISNUMBER(FIND("x"&amp;MID(B971,4,1),"x0x1x2x3x4x5x6x7x8x9"))),OR(5&gt;LEN(B971),MID(B971,5,1)=".",ISNUMBER(FIND("x"&amp;MID(B971,5,1),"x0x1x2x3x4x5x6x7x8x9"))),OR(6&gt;LEN(B971),MID(B971,6,1)=".",ISNUMBER(FIND("x"&amp;MID(B971,6,1),"x0x1x2x3x4x5x6x7x8x9"))),OR(7&gt;LEN(B971),MID(B971,7,1)=".",ISNUMBER(FIND("x"&amp;MID(B971,7,1),"x0x1x2x3x4x5x6x7x8x9"))),OR(8&gt;LEN(B971),MID(B971,8,1)=".",ISNUMBER(FIND("x"&amp;MID(B971,8,1),"x0x1x2x3x4x5x6x7x8x9"))),OR(9&gt;LEN(B971),MID(B971,9,1)=".",ISNUMBER(FIND("x"&amp;MID(B971,9,1),"x0x1x2x3x4x5x6x7x8x9"))),OR(10&gt;LEN(B971),MID(B971,10,1)=".",ISNUMBER(FIND("x"&amp;MID(B971,10,1),"x0x1x2x3x4x5x6x7x8x9"))),OR(AND(FIND(".",B971)=5,LEN(B971)-FIND(".",B971,FIND(".",B971)+1)&gt;=1,LEN(B971)-FIND(".",B971,FIND(".",B971)+1)&lt;=2),AND(LEN(B971)-FIND(".",B971,FIND(".",B971)+1)=4,FIND(".",B971)&gt;=2,FIND(".",B971)&lt;=3)),FIND(".",B971,FIND(".",B971)+1)-FIND(".",B971)&gt;=2,FIND(".",B971,FIND(".",B971)+1)-FIND(".",B971)&lt;=3,F971&gt;=2000,F971&lt;=2100,YEAR(I971)=F971,MONTH(I971)=G971,DAY(I971)=H971),I971,0)),0)</ns0:f>
        <ns0:v>0</ns0:v>
      </ns0:c>
      <ns0:c r="K971" s="0">
        <ns0:f>IFERROR(IF(ISNUMBER(Bookings!D971),"",TRIM(Bookings!D971&amp;"")),"")</ns0:f>
      </ns0:c>
      <ns0:c r="L971" s="0">
        <ns0:f>IFERROR(SUBSTITUTE(SUBSTITUTE(K971,"/","."),"-","."),"")</ns0:f>
      </ns0:c>
      <ns0:c r="M971" s="0">
        <ns0:f>IFERROR(LEFT(L971,FIND(".",L971)-1),"")</ns0:f>
      </ns0:c>
      <ns0:c r="N971" s="0">
        <ns0:f>IFERROR(MID(L971,FIND(".",L971)+1,FIND(".",L971,FIND(".",L971)+1)-FIND(".",L971)-1),"")</ns0:f>
      </ns0:c>
      <ns0:c r="O971" s="0">
        <ns0:f>IFERROR(MID(L971,FIND(".",L971,FIND(".",L971)+1)+1,99),"")</ns0:f>
        <ns0:v>99</ns0:v>
      </ns0:c>
      <ns0:c r="P971" s="0">
        <ns0:f>IFERROR(IF(FIND(".",L971)=5,--M971,--O971),0)</ns0:f>
        <ns0:v>0</ns0:v>
      </ns0:c>
      <ns0:c r="Q971" s="0">
        <ns0:f>IFERROR(--N971,0)</ns0:f>
        <ns0:v>0</ns0:v>
      </ns0:c>
      <ns0:c r="R971" s="0">
        <ns0:f>IFERROR(IF(FIND(".",L971)=5,--O971,--M971),0)</ns0:f>
        <ns0:v>0</ns0:v>
      </ns0:c>
      <ns0:c r="S971" s="0">
        <ns0:f>IFERROR(IF(AND(P971&gt;=2000,P971&lt;=2100,Q971&gt;=1,Q971&lt;=12,R971&gt;=1,R971&lt;=31),DATE(P971,Q971,R971),0),0)</ns0:f>
        <ns0:v>0</ns0:v>
      </ns0:c>
      <ns0:c r="T971" s="0">
        <ns0:f>IFERROR(IF(ISNUMBER(Bookings!D971),IF(AND(Bookings!D971=INT(Bookings!D971),Bookings!D971&gt;=DATE(2000,1,1),Bookings!D971&lt;=DATE(2100,12,31)),Bookings!D971,0),IF(AND(K971&lt;&gt;"",LEN("x"&amp;L971)-LEN(SUBSTITUTE("x"&amp;L971,".",""))=2,OR(1&gt;LEN(L971),MID(L971,1,1)=".",ISNUMBER(FIND("x"&amp;MID(L971,1,1),"x0x1x2x3x4x5x6x7x8x9"))),OR(2&gt;LEN(L971),MID(L971,2,1)=".",ISNUMBER(FIND("x"&amp;MID(L971,2,1),"x0x1x2x3x4x5x6x7x8x9"))),OR(3&gt;LEN(L971),MID(L971,3,1)=".",ISNUMBER(FIND("x"&amp;MID(L971,3,1),"x0x1x2x3x4x5x6x7x8x9"))),OR(4&gt;LEN(L971),MID(L971,4,1)=".",ISNUMBER(FIND("x"&amp;MID(L971,4,1),"x0x1x2x3x4x5x6x7x8x9"))),OR(5&gt;LEN(L971),MID(L971,5,1)=".",ISNUMBER(FIND("x"&amp;MID(L971,5,1),"x0x1x2x3x4x5x6x7x8x9"))),OR(6&gt;LEN(L971),MID(L971,6,1)=".",ISNUMBER(FIND("x"&amp;MID(L971,6,1),"x0x1x2x3x4x5x6x7x8x9"))),OR(7&gt;LEN(L971),MID(L971,7,1)=".",ISNUMBER(FIND("x"&amp;MID(L971,7,1),"x0x1x2x3x4x5x6x7x8x9"))),OR(8&gt;LEN(L971),MID(L971,8,1)=".",ISNUMBER(FIND("x"&amp;MID(L971,8,1),"x0x1x2x3x4x5x6x7x8x9"))),OR(9&gt;LEN(L971),MID(L971,9,1)=".",ISNUMBER(FIND("x"&amp;MID(L971,9,1),"x0x1x2x3x4x5x6x7x8x9"))),OR(10&gt;LEN(L971),MID(L971,10,1)=".",ISNUMBER(FIND("x"&amp;MID(L971,10,1),"x0x1x2x3x4x5x6x7x8x9"))),OR(AND(FIND(".",L971)=5,LEN(L971)-FIND(".",L971,FIND(".",L971)+1)&gt;=1,LEN(L971)-FIND(".",L971,FIND(".",L971)+1)&lt;=2),AND(LEN(L971)-FIND(".",L971,FIND(".",L971)+1)=4,FIND(".",L971)&gt;=2,FIND(".",L971)&lt;=3)),FIND(".",L971,FIND(".",L971)+1)-FIND(".",L971)&gt;=2,FIND(".",L971,FIND(".",L971)+1)-FIND(".",L971)&lt;=3,P971&gt;=2000,P971&lt;=2100,YEAR(S971)=P971,MONTH(S971)=Q971,DAY(S971)=R971),S971,0)),0)</ns0:f>
        <ns0:v>0</ns0:v>
      </ns0:c>
      <ns0:c r="U971" s="0" t="str">
        <ns0:f>IF(Bookings!C971="","Full day",Bookings!C971)</ns0:f>
        <ns0:v>Full day</ns0:v>
      </ns0:c>
      <ns0:c r="V971" s="0" t="str">
        <ns0:f>IF(Bookings!E971="","Full day",Bookings!E971)</ns0:f>
        <ns0:v>Full day</ns0:v>
      </ns0:c>
      <ns0:c r="W971" s="0">
        <ns0:f>IF(J971=0,0,J971+IF(U971="PM",1,0))</ns0:f>
        <ns0:v>0</ns0:v>
      </ns0:c>
      <ns0:c r="X971" s="0">
        <ns0:f>IF(T971=0,0,T971-IF(V971="PM",1,0))</ns0:f>
        <ns0:v>0</ns0:v>
      </ns0:c>
      <ns0:c r="Y971" s="0">
        <ns0:f>IF(J971=0,0,J971+IF(U971="AM",1,0))</ns0:f>
        <ns0:v>0</ns0:v>
      </ns0:c>
      <ns0:c r="Z971" s="0">
        <ns0:f>IF(T971=0,0,T971-IF(V971="AM",1,0))</ns0:f>
        <ns0:v>0</ns0:v>
      </ns0:c>
      <ns0:c r="AA971" s="0">
        <ns0:f>IFERROR(IF(AND(J971&gt;0,'_Engine'!C971&gt;0,MID('_Engine'!W971,WEEKDAY(J971,2),1)="W",COUNTIF(Settings!$F$18:$F$67,J971)=0),1,0),0)</ns0:f>
        <ns0:v>0</ns0:v>
      </ns0:c>
      <ns0:c r="AB971" s="0">
        <ns0:f>IFERROR(IF(AND(T971&gt;0,'_Engine'!C971&gt;0,MID('_Engine'!W971,WEEKDAY(T971,2),1)="W",COUNTIF(Settings!$F$18:$F$67,T971)=0),1,0),0)</ns0:f>
        <ns0:v>0</ns0:v>
      </ns0:c>
      <ns0:c r="AC971" s="0">
        <ns0:f>IF(AND(J971&gt;0,T971&gt;0,W971&lt;=X971),1,0)</ns0:f>
        <ns0:v>0</ns0:v>
      </ns0:c>
      <ns0:c r="AD971" s="0">
        <ns0:f>IF(AND(J971&gt;0,T971&gt;0,Y971&lt;=Z971),1,0)</ns0:f>
        <ns0:v>0</ns0:v>
      </ns0:c>
    </ns0:row>
    <ns0:row r="972">
      <ns0:c r="A972" s="0">
        <ns0:f>IFERROR(IF(ISNUMBER(Bookings!B972),"",TRIM(Bookings!B972&amp;"")),"")</ns0:f>
      </ns0:c>
      <ns0:c r="B972" s="0">
        <ns0:f>IFERROR(SUBSTITUTE(SUBSTITUTE(A972,"/","."),"-","."),"")</ns0:f>
      </ns0:c>
      <ns0:c r="C972" s="0">
        <ns0:f>IFERROR(LEFT(B972,FIND(".",B972)-1),"")</ns0:f>
      </ns0:c>
      <ns0:c r="D972" s="0">
        <ns0:f>IFERROR(MID(B972,FIND(".",B972)+1,FIND(".",B972,FIND(".",B972)+1)-FIND(".",B972)-1),"")</ns0:f>
      </ns0:c>
      <ns0:c r="E972" s="0">
        <ns0:f>IFERROR(MID(B972,FIND(".",B972,FIND(".",B972)+1)+1,99),"")</ns0:f>
        <ns0:v>99</ns0:v>
      </ns0:c>
      <ns0:c r="F972" s="0">
        <ns0:f>IFERROR(IF(FIND(".",B972)=5,--C972,--E972),0)</ns0:f>
        <ns0:v>0</ns0:v>
      </ns0:c>
      <ns0:c r="G972" s="0">
        <ns0:f>IFERROR(--D972,0)</ns0:f>
        <ns0:v>0</ns0:v>
      </ns0:c>
      <ns0:c r="H972" s="0">
        <ns0:f>IFERROR(IF(FIND(".",B972)=5,--E972,--C972),0)</ns0:f>
        <ns0:v>0</ns0:v>
      </ns0:c>
      <ns0:c r="I972" s="0">
        <ns0:f>IFERROR(IF(AND(F972&gt;=2000,F972&lt;=2100,G972&gt;=1,G972&lt;=12,H972&gt;=1,H972&lt;=31),DATE(F972,G972,H972),0),0)</ns0:f>
        <ns0:v>0</ns0:v>
      </ns0:c>
      <ns0:c r="J972" s="0">
        <ns0:f>IFERROR(IF(ISNUMBER(Bookings!B972),IF(AND(Bookings!B972=INT(Bookings!B972),Bookings!B972&gt;=DATE(2000,1,1),Bookings!B972&lt;=DATE(2100,12,31)),Bookings!B972,0),IF(AND(A972&lt;&gt;"",LEN("x"&amp;B972)-LEN(SUBSTITUTE("x"&amp;B972,".",""))=2,OR(1&gt;LEN(B972),MID(B972,1,1)=".",ISNUMBER(FIND("x"&amp;MID(B972,1,1),"x0x1x2x3x4x5x6x7x8x9"))),OR(2&gt;LEN(B972),MID(B972,2,1)=".",ISNUMBER(FIND("x"&amp;MID(B972,2,1),"x0x1x2x3x4x5x6x7x8x9"))),OR(3&gt;LEN(B972),MID(B972,3,1)=".",ISNUMBER(FIND("x"&amp;MID(B972,3,1),"x0x1x2x3x4x5x6x7x8x9"))),OR(4&gt;LEN(B972),MID(B972,4,1)=".",ISNUMBER(FIND("x"&amp;MID(B972,4,1),"x0x1x2x3x4x5x6x7x8x9"))),OR(5&gt;LEN(B972),MID(B972,5,1)=".",ISNUMBER(FIND("x"&amp;MID(B972,5,1),"x0x1x2x3x4x5x6x7x8x9"))),OR(6&gt;LEN(B972),MID(B972,6,1)=".",ISNUMBER(FIND("x"&amp;MID(B972,6,1),"x0x1x2x3x4x5x6x7x8x9"))),OR(7&gt;LEN(B972),MID(B972,7,1)=".",ISNUMBER(FIND("x"&amp;MID(B972,7,1),"x0x1x2x3x4x5x6x7x8x9"))),OR(8&gt;LEN(B972),MID(B972,8,1)=".",ISNUMBER(FIND("x"&amp;MID(B972,8,1),"x0x1x2x3x4x5x6x7x8x9"))),OR(9&gt;LEN(B972),MID(B972,9,1)=".",ISNUMBER(FIND("x"&amp;MID(B972,9,1),"x0x1x2x3x4x5x6x7x8x9"))),OR(10&gt;LEN(B972),MID(B972,10,1)=".",ISNUMBER(FIND("x"&amp;MID(B972,10,1),"x0x1x2x3x4x5x6x7x8x9"))),OR(AND(FIND(".",B972)=5,LEN(B972)-FIND(".",B972,FIND(".",B972)+1)&gt;=1,LEN(B972)-FIND(".",B972,FIND(".",B972)+1)&lt;=2),AND(LEN(B972)-FIND(".",B972,FIND(".",B972)+1)=4,FIND(".",B972)&gt;=2,FIND(".",B972)&lt;=3)),FIND(".",B972,FIND(".",B972)+1)-FIND(".",B972)&gt;=2,FIND(".",B972,FIND(".",B972)+1)-FIND(".",B972)&lt;=3,F972&gt;=2000,F972&lt;=2100,YEAR(I972)=F972,MONTH(I972)=G972,DAY(I972)=H972),I972,0)),0)</ns0:f>
        <ns0:v>0</ns0:v>
      </ns0:c>
      <ns0:c r="K972" s="0">
        <ns0:f>IFERROR(IF(ISNUMBER(Bookings!D972),"",TRIM(Bookings!D972&amp;"")),"")</ns0:f>
      </ns0:c>
      <ns0:c r="L972" s="0">
        <ns0:f>IFERROR(SUBSTITUTE(SUBSTITUTE(K972,"/","."),"-","."),"")</ns0:f>
      </ns0:c>
      <ns0:c r="M972" s="0">
        <ns0:f>IFERROR(LEFT(L972,FIND(".",L972)-1),"")</ns0:f>
      </ns0:c>
      <ns0:c r="N972" s="0">
        <ns0:f>IFERROR(MID(L972,FIND(".",L972)+1,FIND(".",L972,FIND(".",L972)+1)-FIND(".",L972)-1),"")</ns0:f>
      </ns0:c>
      <ns0:c r="O972" s="0">
        <ns0:f>IFERROR(MID(L972,FIND(".",L972,FIND(".",L972)+1)+1,99),"")</ns0:f>
        <ns0:v>99</ns0:v>
      </ns0:c>
      <ns0:c r="P972" s="0">
        <ns0:f>IFERROR(IF(FIND(".",L972)=5,--M972,--O972),0)</ns0:f>
        <ns0:v>0</ns0:v>
      </ns0:c>
      <ns0:c r="Q972" s="0">
        <ns0:f>IFERROR(--N972,0)</ns0:f>
        <ns0:v>0</ns0:v>
      </ns0:c>
      <ns0:c r="R972" s="0">
        <ns0:f>IFERROR(IF(FIND(".",L972)=5,--O972,--M972),0)</ns0:f>
        <ns0:v>0</ns0:v>
      </ns0:c>
      <ns0:c r="S972" s="0">
        <ns0:f>IFERROR(IF(AND(P972&gt;=2000,P972&lt;=2100,Q972&gt;=1,Q972&lt;=12,R972&gt;=1,R972&lt;=31),DATE(P972,Q972,R972),0),0)</ns0:f>
        <ns0:v>0</ns0:v>
      </ns0:c>
      <ns0:c r="T972" s="0">
        <ns0:f>IFERROR(IF(ISNUMBER(Bookings!D972),IF(AND(Bookings!D972=INT(Bookings!D972),Bookings!D972&gt;=DATE(2000,1,1),Bookings!D972&lt;=DATE(2100,12,31)),Bookings!D972,0),IF(AND(K972&lt;&gt;"",LEN("x"&amp;L972)-LEN(SUBSTITUTE("x"&amp;L972,".",""))=2,OR(1&gt;LEN(L972),MID(L972,1,1)=".",ISNUMBER(FIND("x"&amp;MID(L972,1,1),"x0x1x2x3x4x5x6x7x8x9"))),OR(2&gt;LEN(L972),MID(L972,2,1)=".",ISNUMBER(FIND("x"&amp;MID(L972,2,1),"x0x1x2x3x4x5x6x7x8x9"))),OR(3&gt;LEN(L972),MID(L972,3,1)=".",ISNUMBER(FIND("x"&amp;MID(L972,3,1),"x0x1x2x3x4x5x6x7x8x9"))),OR(4&gt;LEN(L972),MID(L972,4,1)=".",ISNUMBER(FIND("x"&amp;MID(L972,4,1),"x0x1x2x3x4x5x6x7x8x9"))),OR(5&gt;LEN(L972),MID(L972,5,1)=".",ISNUMBER(FIND("x"&amp;MID(L972,5,1),"x0x1x2x3x4x5x6x7x8x9"))),OR(6&gt;LEN(L972),MID(L972,6,1)=".",ISNUMBER(FIND("x"&amp;MID(L972,6,1),"x0x1x2x3x4x5x6x7x8x9"))),OR(7&gt;LEN(L972),MID(L972,7,1)=".",ISNUMBER(FIND("x"&amp;MID(L972,7,1),"x0x1x2x3x4x5x6x7x8x9"))),OR(8&gt;LEN(L972),MID(L972,8,1)=".",ISNUMBER(FIND("x"&amp;MID(L972,8,1),"x0x1x2x3x4x5x6x7x8x9"))),OR(9&gt;LEN(L972),MID(L972,9,1)=".",ISNUMBER(FIND("x"&amp;MID(L972,9,1),"x0x1x2x3x4x5x6x7x8x9"))),OR(10&gt;LEN(L972),MID(L972,10,1)=".",ISNUMBER(FIND("x"&amp;MID(L972,10,1),"x0x1x2x3x4x5x6x7x8x9"))),OR(AND(FIND(".",L972)=5,LEN(L972)-FIND(".",L972,FIND(".",L972)+1)&gt;=1,LEN(L972)-FIND(".",L972,FIND(".",L972)+1)&lt;=2),AND(LEN(L972)-FIND(".",L972,FIND(".",L972)+1)=4,FIND(".",L972)&gt;=2,FIND(".",L972)&lt;=3)),FIND(".",L972,FIND(".",L972)+1)-FIND(".",L972)&gt;=2,FIND(".",L972,FIND(".",L972)+1)-FIND(".",L972)&lt;=3,P972&gt;=2000,P972&lt;=2100,YEAR(S972)=P972,MONTH(S972)=Q972,DAY(S972)=R972),S972,0)),0)</ns0:f>
        <ns0:v>0</ns0:v>
      </ns0:c>
      <ns0:c r="U972" s="0" t="str">
        <ns0:f>IF(Bookings!C972="","Full day",Bookings!C972)</ns0:f>
        <ns0:v>Full day</ns0:v>
      </ns0:c>
      <ns0:c r="V972" s="0" t="str">
        <ns0:f>IF(Bookings!E972="","Full day",Bookings!E972)</ns0:f>
        <ns0:v>Full day</ns0:v>
      </ns0:c>
      <ns0:c r="W972" s="0">
        <ns0:f>IF(J972=0,0,J972+IF(U972="PM",1,0))</ns0:f>
        <ns0:v>0</ns0:v>
      </ns0:c>
      <ns0:c r="X972" s="0">
        <ns0:f>IF(T972=0,0,T972-IF(V972="PM",1,0))</ns0:f>
        <ns0:v>0</ns0:v>
      </ns0:c>
      <ns0:c r="Y972" s="0">
        <ns0:f>IF(J972=0,0,J972+IF(U972="AM",1,0))</ns0:f>
        <ns0:v>0</ns0:v>
      </ns0:c>
      <ns0:c r="Z972" s="0">
        <ns0:f>IF(T972=0,0,T972-IF(V972="AM",1,0))</ns0:f>
        <ns0:v>0</ns0:v>
      </ns0:c>
      <ns0:c r="AA972" s="0">
        <ns0:f>IFERROR(IF(AND(J972&gt;0,'_Engine'!C972&gt;0,MID('_Engine'!W972,WEEKDAY(J972,2),1)="W",COUNTIF(Settings!$F$18:$F$67,J972)=0),1,0),0)</ns0:f>
        <ns0:v>0</ns0:v>
      </ns0:c>
      <ns0:c r="AB972" s="0">
        <ns0:f>IFERROR(IF(AND(T972&gt;0,'_Engine'!C972&gt;0,MID('_Engine'!W972,WEEKDAY(T972,2),1)="W",COUNTIF(Settings!$F$18:$F$67,T972)=0),1,0),0)</ns0:f>
        <ns0:v>0</ns0:v>
      </ns0:c>
      <ns0:c r="AC972" s="0">
        <ns0:f>IF(AND(J972&gt;0,T972&gt;0,W972&lt;=X972),1,0)</ns0:f>
        <ns0:v>0</ns0:v>
      </ns0:c>
      <ns0:c r="AD972" s="0">
        <ns0:f>IF(AND(J972&gt;0,T972&gt;0,Y972&lt;=Z972),1,0)</ns0:f>
        <ns0:v>0</ns0:v>
      </ns0:c>
    </ns0:row>
    <ns0:row r="973">
      <ns0:c r="A973" s="0">
        <ns0:f>IFERROR(IF(ISNUMBER(Bookings!B973),"",TRIM(Bookings!B973&amp;"")),"")</ns0:f>
      </ns0:c>
      <ns0:c r="B973" s="0">
        <ns0:f>IFERROR(SUBSTITUTE(SUBSTITUTE(A973,"/","."),"-","."),"")</ns0:f>
      </ns0:c>
      <ns0:c r="C973" s="0">
        <ns0:f>IFERROR(LEFT(B973,FIND(".",B973)-1),"")</ns0:f>
      </ns0:c>
      <ns0:c r="D973" s="0">
        <ns0:f>IFERROR(MID(B973,FIND(".",B973)+1,FIND(".",B973,FIND(".",B973)+1)-FIND(".",B973)-1),"")</ns0:f>
      </ns0:c>
      <ns0:c r="E973" s="0">
        <ns0:f>IFERROR(MID(B973,FIND(".",B973,FIND(".",B973)+1)+1,99),"")</ns0:f>
        <ns0:v>99</ns0:v>
      </ns0:c>
      <ns0:c r="F973" s="0">
        <ns0:f>IFERROR(IF(FIND(".",B973)=5,--C973,--E973),0)</ns0:f>
        <ns0:v>0</ns0:v>
      </ns0:c>
      <ns0:c r="G973" s="0">
        <ns0:f>IFERROR(--D973,0)</ns0:f>
        <ns0:v>0</ns0:v>
      </ns0:c>
      <ns0:c r="H973" s="0">
        <ns0:f>IFERROR(IF(FIND(".",B973)=5,--E973,--C973),0)</ns0:f>
        <ns0:v>0</ns0:v>
      </ns0:c>
      <ns0:c r="I973" s="0">
        <ns0:f>IFERROR(IF(AND(F973&gt;=2000,F973&lt;=2100,G973&gt;=1,G973&lt;=12,H973&gt;=1,H973&lt;=31),DATE(F973,G973,H973),0),0)</ns0:f>
        <ns0:v>0</ns0:v>
      </ns0:c>
      <ns0:c r="J973" s="0">
        <ns0:f>IFERROR(IF(ISNUMBER(Bookings!B973),IF(AND(Bookings!B973=INT(Bookings!B973),Bookings!B973&gt;=DATE(2000,1,1),Bookings!B973&lt;=DATE(2100,12,31)),Bookings!B973,0),IF(AND(A973&lt;&gt;"",LEN("x"&amp;B973)-LEN(SUBSTITUTE("x"&amp;B973,".",""))=2,OR(1&gt;LEN(B973),MID(B973,1,1)=".",ISNUMBER(FIND("x"&amp;MID(B973,1,1),"x0x1x2x3x4x5x6x7x8x9"))),OR(2&gt;LEN(B973),MID(B973,2,1)=".",ISNUMBER(FIND("x"&amp;MID(B973,2,1),"x0x1x2x3x4x5x6x7x8x9"))),OR(3&gt;LEN(B973),MID(B973,3,1)=".",ISNUMBER(FIND("x"&amp;MID(B973,3,1),"x0x1x2x3x4x5x6x7x8x9"))),OR(4&gt;LEN(B973),MID(B973,4,1)=".",ISNUMBER(FIND("x"&amp;MID(B973,4,1),"x0x1x2x3x4x5x6x7x8x9"))),OR(5&gt;LEN(B973),MID(B973,5,1)=".",ISNUMBER(FIND("x"&amp;MID(B973,5,1),"x0x1x2x3x4x5x6x7x8x9"))),OR(6&gt;LEN(B973),MID(B973,6,1)=".",ISNUMBER(FIND("x"&amp;MID(B973,6,1),"x0x1x2x3x4x5x6x7x8x9"))),OR(7&gt;LEN(B973),MID(B973,7,1)=".",ISNUMBER(FIND("x"&amp;MID(B973,7,1),"x0x1x2x3x4x5x6x7x8x9"))),OR(8&gt;LEN(B973),MID(B973,8,1)=".",ISNUMBER(FIND("x"&amp;MID(B973,8,1),"x0x1x2x3x4x5x6x7x8x9"))),OR(9&gt;LEN(B973),MID(B973,9,1)=".",ISNUMBER(FIND("x"&amp;MID(B973,9,1),"x0x1x2x3x4x5x6x7x8x9"))),OR(10&gt;LEN(B973),MID(B973,10,1)=".",ISNUMBER(FIND("x"&amp;MID(B973,10,1),"x0x1x2x3x4x5x6x7x8x9"))),OR(AND(FIND(".",B973)=5,LEN(B973)-FIND(".",B973,FIND(".",B973)+1)&gt;=1,LEN(B973)-FIND(".",B973,FIND(".",B973)+1)&lt;=2),AND(LEN(B973)-FIND(".",B973,FIND(".",B973)+1)=4,FIND(".",B973)&gt;=2,FIND(".",B973)&lt;=3)),FIND(".",B973,FIND(".",B973)+1)-FIND(".",B973)&gt;=2,FIND(".",B973,FIND(".",B973)+1)-FIND(".",B973)&lt;=3,F973&gt;=2000,F973&lt;=2100,YEAR(I973)=F973,MONTH(I973)=G973,DAY(I973)=H973),I973,0)),0)</ns0:f>
        <ns0:v>0</ns0:v>
      </ns0:c>
      <ns0:c r="K973" s="0">
        <ns0:f>IFERROR(IF(ISNUMBER(Bookings!D973),"",TRIM(Bookings!D973&amp;"")),"")</ns0:f>
      </ns0:c>
      <ns0:c r="L973" s="0">
        <ns0:f>IFERROR(SUBSTITUTE(SUBSTITUTE(K973,"/","."),"-","."),"")</ns0:f>
      </ns0:c>
      <ns0:c r="M973" s="0">
        <ns0:f>IFERROR(LEFT(L973,FIND(".",L973)-1),"")</ns0:f>
      </ns0:c>
      <ns0:c r="N973" s="0">
        <ns0:f>IFERROR(MID(L973,FIND(".",L973)+1,FIND(".",L973,FIND(".",L973)+1)-FIND(".",L973)-1),"")</ns0:f>
      </ns0:c>
      <ns0:c r="O973" s="0">
        <ns0:f>IFERROR(MID(L973,FIND(".",L973,FIND(".",L973)+1)+1,99),"")</ns0:f>
        <ns0:v>99</ns0:v>
      </ns0:c>
      <ns0:c r="P973" s="0">
        <ns0:f>IFERROR(IF(FIND(".",L973)=5,--M973,--O973),0)</ns0:f>
        <ns0:v>0</ns0:v>
      </ns0:c>
      <ns0:c r="Q973" s="0">
        <ns0:f>IFERROR(--N973,0)</ns0:f>
        <ns0:v>0</ns0:v>
      </ns0:c>
      <ns0:c r="R973" s="0">
        <ns0:f>IFERROR(IF(FIND(".",L973)=5,--O973,--M973),0)</ns0:f>
        <ns0:v>0</ns0:v>
      </ns0:c>
      <ns0:c r="S973" s="0">
        <ns0:f>IFERROR(IF(AND(P973&gt;=2000,P973&lt;=2100,Q973&gt;=1,Q973&lt;=12,R973&gt;=1,R973&lt;=31),DATE(P973,Q973,R973),0),0)</ns0:f>
        <ns0:v>0</ns0:v>
      </ns0:c>
      <ns0:c r="T973" s="0">
        <ns0:f>IFERROR(IF(ISNUMBER(Bookings!D973),IF(AND(Bookings!D973=INT(Bookings!D973),Bookings!D973&gt;=DATE(2000,1,1),Bookings!D973&lt;=DATE(2100,12,31)),Bookings!D973,0),IF(AND(K973&lt;&gt;"",LEN("x"&amp;L973)-LEN(SUBSTITUTE("x"&amp;L973,".",""))=2,OR(1&gt;LEN(L973),MID(L973,1,1)=".",ISNUMBER(FIND("x"&amp;MID(L973,1,1),"x0x1x2x3x4x5x6x7x8x9"))),OR(2&gt;LEN(L973),MID(L973,2,1)=".",ISNUMBER(FIND("x"&amp;MID(L973,2,1),"x0x1x2x3x4x5x6x7x8x9"))),OR(3&gt;LEN(L973),MID(L973,3,1)=".",ISNUMBER(FIND("x"&amp;MID(L973,3,1),"x0x1x2x3x4x5x6x7x8x9"))),OR(4&gt;LEN(L973),MID(L973,4,1)=".",ISNUMBER(FIND("x"&amp;MID(L973,4,1),"x0x1x2x3x4x5x6x7x8x9"))),OR(5&gt;LEN(L973),MID(L973,5,1)=".",ISNUMBER(FIND("x"&amp;MID(L973,5,1),"x0x1x2x3x4x5x6x7x8x9"))),OR(6&gt;LEN(L973),MID(L973,6,1)=".",ISNUMBER(FIND("x"&amp;MID(L973,6,1),"x0x1x2x3x4x5x6x7x8x9"))),OR(7&gt;LEN(L973),MID(L973,7,1)=".",ISNUMBER(FIND("x"&amp;MID(L973,7,1),"x0x1x2x3x4x5x6x7x8x9"))),OR(8&gt;LEN(L973),MID(L973,8,1)=".",ISNUMBER(FIND("x"&amp;MID(L973,8,1),"x0x1x2x3x4x5x6x7x8x9"))),OR(9&gt;LEN(L973),MID(L973,9,1)=".",ISNUMBER(FIND("x"&amp;MID(L973,9,1),"x0x1x2x3x4x5x6x7x8x9"))),OR(10&gt;LEN(L973),MID(L973,10,1)=".",ISNUMBER(FIND("x"&amp;MID(L973,10,1),"x0x1x2x3x4x5x6x7x8x9"))),OR(AND(FIND(".",L973)=5,LEN(L973)-FIND(".",L973,FIND(".",L973)+1)&gt;=1,LEN(L973)-FIND(".",L973,FIND(".",L973)+1)&lt;=2),AND(LEN(L973)-FIND(".",L973,FIND(".",L973)+1)=4,FIND(".",L973)&gt;=2,FIND(".",L973)&lt;=3)),FIND(".",L973,FIND(".",L973)+1)-FIND(".",L973)&gt;=2,FIND(".",L973,FIND(".",L973)+1)-FIND(".",L973)&lt;=3,P973&gt;=2000,P973&lt;=2100,YEAR(S973)=P973,MONTH(S973)=Q973,DAY(S973)=R973),S973,0)),0)</ns0:f>
        <ns0:v>0</ns0:v>
      </ns0:c>
      <ns0:c r="U973" s="0" t="str">
        <ns0:f>IF(Bookings!C973="","Full day",Bookings!C973)</ns0:f>
        <ns0:v>Full day</ns0:v>
      </ns0:c>
      <ns0:c r="V973" s="0" t="str">
        <ns0:f>IF(Bookings!E973="","Full day",Bookings!E973)</ns0:f>
        <ns0:v>Full day</ns0:v>
      </ns0:c>
      <ns0:c r="W973" s="0">
        <ns0:f>IF(J973=0,0,J973+IF(U973="PM",1,0))</ns0:f>
        <ns0:v>0</ns0:v>
      </ns0:c>
      <ns0:c r="X973" s="0">
        <ns0:f>IF(T973=0,0,T973-IF(V973="PM",1,0))</ns0:f>
        <ns0:v>0</ns0:v>
      </ns0:c>
      <ns0:c r="Y973" s="0">
        <ns0:f>IF(J973=0,0,J973+IF(U973="AM",1,0))</ns0:f>
        <ns0:v>0</ns0:v>
      </ns0:c>
      <ns0:c r="Z973" s="0">
        <ns0:f>IF(T973=0,0,T973-IF(V973="AM",1,0))</ns0:f>
        <ns0:v>0</ns0:v>
      </ns0:c>
      <ns0:c r="AA973" s="0">
        <ns0:f>IFERROR(IF(AND(J973&gt;0,'_Engine'!C973&gt;0,MID('_Engine'!W973,WEEKDAY(J973,2),1)="W",COUNTIF(Settings!$F$18:$F$67,J973)=0),1,0),0)</ns0:f>
        <ns0:v>0</ns0:v>
      </ns0:c>
      <ns0:c r="AB973" s="0">
        <ns0:f>IFERROR(IF(AND(T973&gt;0,'_Engine'!C973&gt;0,MID('_Engine'!W973,WEEKDAY(T973,2),1)="W",COUNTIF(Settings!$F$18:$F$67,T973)=0),1,0),0)</ns0:f>
        <ns0:v>0</ns0:v>
      </ns0:c>
      <ns0:c r="AC973" s="0">
        <ns0:f>IF(AND(J973&gt;0,T973&gt;0,W973&lt;=X973),1,0)</ns0:f>
        <ns0:v>0</ns0:v>
      </ns0:c>
      <ns0:c r="AD973" s="0">
        <ns0:f>IF(AND(J973&gt;0,T973&gt;0,Y973&lt;=Z973),1,0)</ns0:f>
        <ns0:v>0</ns0:v>
      </ns0:c>
    </ns0:row>
    <ns0:row r="974">
      <ns0:c r="A974" s="0">
        <ns0:f>IFERROR(IF(ISNUMBER(Bookings!B974),"",TRIM(Bookings!B974&amp;"")),"")</ns0:f>
      </ns0:c>
      <ns0:c r="B974" s="0">
        <ns0:f>IFERROR(SUBSTITUTE(SUBSTITUTE(A974,"/","."),"-","."),"")</ns0:f>
      </ns0:c>
      <ns0:c r="C974" s="0">
        <ns0:f>IFERROR(LEFT(B974,FIND(".",B974)-1),"")</ns0:f>
      </ns0:c>
      <ns0:c r="D974" s="0">
        <ns0:f>IFERROR(MID(B974,FIND(".",B974)+1,FIND(".",B974,FIND(".",B974)+1)-FIND(".",B974)-1),"")</ns0:f>
      </ns0:c>
      <ns0:c r="E974" s="0">
        <ns0:f>IFERROR(MID(B974,FIND(".",B974,FIND(".",B974)+1)+1,99),"")</ns0:f>
        <ns0:v>99</ns0:v>
      </ns0:c>
      <ns0:c r="F974" s="0">
        <ns0:f>IFERROR(IF(FIND(".",B974)=5,--C974,--E974),0)</ns0:f>
        <ns0:v>0</ns0:v>
      </ns0:c>
      <ns0:c r="G974" s="0">
        <ns0:f>IFERROR(--D974,0)</ns0:f>
        <ns0:v>0</ns0:v>
      </ns0:c>
      <ns0:c r="H974" s="0">
        <ns0:f>IFERROR(IF(FIND(".",B974)=5,--E974,--C974),0)</ns0:f>
        <ns0:v>0</ns0:v>
      </ns0:c>
      <ns0:c r="I974" s="0">
        <ns0:f>IFERROR(IF(AND(F974&gt;=2000,F974&lt;=2100,G974&gt;=1,G974&lt;=12,H974&gt;=1,H974&lt;=31),DATE(F974,G974,H974),0),0)</ns0:f>
        <ns0:v>0</ns0:v>
      </ns0:c>
      <ns0:c r="J974" s="0">
        <ns0:f>IFERROR(IF(ISNUMBER(Bookings!B974),IF(AND(Bookings!B974=INT(Bookings!B974),Bookings!B974&gt;=DATE(2000,1,1),Bookings!B974&lt;=DATE(2100,12,31)),Bookings!B974,0),IF(AND(A974&lt;&gt;"",LEN("x"&amp;B974)-LEN(SUBSTITUTE("x"&amp;B974,".",""))=2,OR(1&gt;LEN(B974),MID(B974,1,1)=".",ISNUMBER(FIND("x"&amp;MID(B974,1,1),"x0x1x2x3x4x5x6x7x8x9"))),OR(2&gt;LEN(B974),MID(B974,2,1)=".",ISNUMBER(FIND("x"&amp;MID(B974,2,1),"x0x1x2x3x4x5x6x7x8x9"))),OR(3&gt;LEN(B974),MID(B974,3,1)=".",ISNUMBER(FIND("x"&amp;MID(B974,3,1),"x0x1x2x3x4x5x6x7x8x9"))),OR(4&gt;LEN(B974),MID(B974,4,1)=".",ISNUMBER(FIND("x"&amp;MID(B974,4,1),"x0x1x2x3x4x5x6x7x8x9"))),OR(5&gt;LEN(B974),MID(B974,5,1)=".",ISNUMBER(FIND("x"&amp;MID(B974,5,1),"x0x1x2x3x4x5x6x7x8x9"))),OR(6&gt;LEN(B974),MID(B974,6,1)=".",ISNUMBER(FIND("x"&amp;MID(B974,6,1),"x0x1x2x3x4x5x6x7x8x9"))),OR(7&gt;LEN(B974),MID(B974,7,1)=".",ISNUMBER(FIND("x"&amp;MID(B974,7,1),"x0x1x2x3x4x5x6x7x8x9"))),OR(8&gt;LEN(B974),MID(B974,8,1)=".",ISNUMBER(FIND("x"&amp;MID(B974,8,1),"x0x1x2x3x4x5x6x7x8x9"))),OR(9&gt;LEN(B974),MID(B974,9,1)=".",ISNUMBER(FIND("x"&amp;MID(B974,9,1),"x0x1x2x3x4x5x6x7x8x9"))),OR(10&gt;LEN(B974),MID(B974,10,1)=".",ISNUMBER(FIND("x"&amp;MID(B974,10,1),"x0x1x2x3x4x5x6x7x8x9"))),OR(AND(FIND(".",B974)=5,LEN(B974)-FIND(".",B974,FIND(".",B974)+1)&gt;=1,LEN(B974)-FIND(".",B974,FIND(".",B974)+1)&lt;=2),AND(LEN(B974)-FIND(".",B974,FIND(".",B974)+1)=4,FIND(".",B974)&gt;=2,FIND(".",B974)&lt;=3)),FIND(".",B974,FIND(".",B974)+1)-FIND(".",B974)&gt;=2,FIND(".",B974,FIND(".",B974)+1)-FIND(".",B974)&lt;=3,F974&gt;=2000,F974&lt;=2100,YEAR(I974)=F974,MONTH(I974)=G974,DAY(I974)=H974),I974,0)),0)</ns0:f>
        <ns0:v>0</ns0:v>
      </ns0:c>
      <ns0:c r="K974" s="0">
        <ns0:f>IFERROR(IF(ISNUMBER(Bookings!D974),"",TRIM(Bookings!D974&amp;"")),"")</ns0:f>
      </ns0:c>
      <ns0:c r="L974" s="0">
        <ns0:f>IFERROR(SUBSTITUTE(SUBSTITUTE(K974,"/","."),"-","."),"")</ns0:f>
      </ns0:c>
      <ns0:c r="M974" s="0">
        <ns0:f>IFERROR(LEFT(L974,FIND(".",L974)-1),"")</ns0:f>
      </ns0:c>
      <ns0:c r="N974" s="0">
        <ns0:f>IFERROR(MID(L974,FIND(".",L974)+1,FIND(".",L974,FIND(".",L974)+1)-FIND(".",L974)-1),"")</ns0:f>
      </ns0:c>
      <ns0:c r="O974" s="0">
        <ns0:f>IFERROR(MID(L974,FIND(".",L974,FIND(".",L974)+1)+1,99),"")</ns0:f>
        <ns0:v>99</ns0:v>
      </ns0:c>
      <ns0:c r="P974" s="0">
        <ns0:f>IFERROR(IF(FIND(".",L974)=5,--M974,--O974),0)</ns0:f>
        <ns0:v>0</ns0:v>
      </ns0:c>
      <ns0:c r="Q974" s="0">
        <ns0:f>IFERROR(--N974,0)</ns0:f>
        <ns0:v>0</ns0:v>
      </ns0:c>
      <ns0:c r="R974" s="0">
        <ns0:f>IFERROR(IF(FIND(".",L974)=5,--O974,--M974),0)</ns0:f>
        <ns0:v>0</ns0:v>
      </ns0:c>
      <ns0:c r="S974" s="0">
        <ns0:f>IFERROR(IF(AND(P974&gt;=2000,P974&lt;=2100,Q974&gt;=1,Q974&lt;=12,R974&gt;=1,R974&lt;=31),DATE(P974,Q974,R974),0),0)</ns0:f>
        <ns0:v>0</ns0:v>
      </ns0:c>
      <ns0:c r="T974" s="0">
        <ns0:f>IFERROR(IF(ISNUMBER(Bookings!D974),IF(AND(Bookings!D974=INT(Bookings!D974),Bookings!D974&gt;=DATE(2000,1,1),Bookings!D974&lt;=DATE(2100,12,31)),Bookings!D974,0),IF(AND(K974&lt;&gt;"",LEN("x"&amp;L974)-LEN(SUBSTITUTE("x"&amp;L974,".",""))=2,OR(1&gt;LEN(L974),MID(L974,1,1)=".",ISNUMBER(FIND("x"&amp;MID(L974,1,1),"x0x1x2x3x4x5x6x7x8x9"))),OR(2&gt;LEN(L974),MID(L974,2,1)=".",ISNUMBER(FIND("x"&amp;MID(L974,2,1),"x0x1x2x3x4x5x6x7x8x9"))),OR(3&gt;LEN(L974),MID(L974,3,1)=".",ISNUMBER(FIND("x"&amp;MID(L974,3,1),"x0x1x2x3x4x5x6x7x8x9"))),OR(4&gt;LEN(L974),MID(L974,4,1)=".",ISNUMBER(FIND("x"&amp;MID(L974,4,1),"x0x1x2x3x4x5x6x7x8x9"))),OR(5&gt;LEN(L974),MID(L974,5,1)=".",ISNUMBER(FIND("x"&amp;MID(L974,5,1),"x0x1x2x3x4x5x6x7x8x9"))),OR(6&gt;LEN(L974),MID(L974,6,1)=".",ISNUMBER(FIND("x"&amp;MID(L974,6,1),"x0x1x2x3x4x5x6x7x8x9"))),OR(7&gt;LEN(L974),MID(L974,7,1)=".",ISNUMBER(FIND("x"&amp;MID(L974,7,1),"x0x1x2x3x4x5x6x7x8x9"))),OR(8&gt;LEN(L974),MID(L974,8,1)=".",ISNUMBER(FIND("x"&amp;MID(L974,8,1),"x0x1x2x3x4x5x6x7x8x9"))),OR(9&gt;LEN(L974),MID(L974,9,1)=".",ISNUMBER(FIND("x"&amp;MID(L974,9,1),"x0x1x2x3x4x5x6x7x8x9"))),OR(10&gt;LEN(L974),MID(L974,10,1)=".",ISNUMBER(FIND("x"&amp;MID(L974,10,1),"x0x1x2x3x4x5x6x7x8x9"))),OR(AND(FIND(".",L974)=5,LEN(L974)-FIND(".",L974,FIND(".",L974)+1)&gt;=1,LEN(L974)-FIND(".",L974,FIND(".",L974)+1)&lt;=2),AND(LEN(L974)-FIND(".",L974,FIND(".",L974)+1)=4,FIND(".",L974)&gt;=2,FIND(".",L974)&lt;=3)),FIND(".",L974,FIND(".",L974)+1)-FIND(".",L974)&gt;=2,FIND(".",L974,FIND(".",L974)+1)-FIND(".",L974)&lt;=3,P974&gt;=2000,P974&lt;=2100,YEAR(S974)=P974,MONTH(S974)=Q974,DAY(S974)=R974),S974,0)),0)</ns0:f>
        <ns0:v>0</ns0:v>
      </ns0:c>
      <ns0:c r="U974" s="0" t="str">
        <ns0:f>IF(Bookings!C974="","Full day",Bookings!C974)</ns0:f>
        <ns0:v>Full day</ns0:v>
      </ns0:c>
      <ns0:c r="V974" s="0" t="str">
        <ns0:f>IF(Bookings!E974="","Full day",Bookings!E974)</ns0:f>
        <ns0:v>Full day</ns0:v>
      </ns0:c>
      <ns0:c r="W974" s="0">
        <ns0:f>IF(J974=0,0,J974+IF(U974="PM",1,0))</ns0:f>
        <ns0:v>0</ns0:v>
      </ns0:c>
      <ns0:c r="X974" s="0">
        <ns0:f>IF(T974=0,0,T974-IF(V974="PM",1,0))</ns0:f>
        <ns0:v>0</ns0:v>
      </ns0:c>
      <ns0:c r="Y974" s="0">
        <ns0:f>IF(J974=0,0,J974+IF(U974="AM",1,0))</ns0:f>
        <ns0:v>0</ns0:v>
      </ns0:c>
      <ns0:c r="Z974" s="0">
        <ns0:f>IF(T974=0,0,T974-IF(V974="AM",1,0))</ns0:f>
        <ns0:v>0</ns0:v>
      </ns0:c>
      <ns0:c r="AA974" s="0">
        <ns0:f>IFERROR(IF(AND(J974&gt;0,'_Engine'!C974&gt;0,MID('_Engine'!W974,WEEKDAY(J974,2),1)="W",COUNTIF(Settings!$F$18:$F$67,J974)=0),1,0),0)</ns0:f>
        <ns0:v>0</ns0:v>
      </ns0:c>
      <ns0:c r="AB974" s="0">
        <ns0:f>IFERROR(IF(AND(T974&gt;0,'_Engine'!C974&gt;0,MID('_Engine'!W974,WEEKDAY(T974,2),1)="W",COUNTIF(Settings!$F$18:$F$67,T974)=0),1,0),0)</ns0:f>
        <ns0:v>0</ns0:v>
      </ns0:c>
      <ns0:c r="AC974" s="0">
        <ns0:f>IF(AND(J974&gt;0,T974&gt;0,W974&lt;=X974),1,0)</ns0:f>
        <ns0:v>0</ns0:v>
      </ns0:c>
      <ns0:c r="AD974" s="0">
        <ns0:f>IF(AND(J974&gt;0,T974&gt;0,Y974&lt;=Z974),1,0)</ns0:f>
        <ns0:v>0</ns0:v>
      </ns0:c>
    </ns0:row>
    <ns0:row r="975">
      <ns0:c r="A975" s="0">
        <ns0:f>IFERROR(IF(ISNUMBER(Bookings!B975),"",TRIM(Bookings!B975&amp;"")),"")</ns0:f>
      </ns0:c>
      <ns0:c r="B975" s="0">
        <ns0:f>IFERROR(SUBSTITUTE(SUBSTITUTE(A975,"/","."),"-","."),"")</ns0:f>
      </ns0:c>
      <ns0:c r="C975" s="0">
        <ns0:f>IFERROR(LEFT(B975,FIND(".",B975)-1),"")</ns0:f>
      </ns0:c>
      <ns0:c r="D975" s="0">
        <ns0:f>IFERROR(MID(B975,FIND(".",B975)+1,FIND(".",B975,FIND(".",B975)+1)-FIND(".",B975)-1),"")</ns0:f>
      </ns0:c>
      <ns0:c r="E975" s="0">
        <ns0:f>IFERROR(MID(B975,FIND(".",B975,FIND(".",B975)+1)+1,99),"")</ns0:f>
        <ns0:v>99</ns0:v>
      </ns0:c>
      <ns0:c r="F975" s="0">
        <ns0:f>IFERROR(IF(FIND(".",B975)=5,--C975,--E975),0)</ns0:f>
        <ns0:v>0</ns0:v>
      </ns0:c>
      <ns0:c r="G975" s="0">
        <ns0:f>IFERROR(--D975,0)</ns0:f>
        <ns0:v>0</ns0:v>
      </ns0:c>
      <ns0:c r="H975" s="0">
        <ns0:f>IFERROR(IF(FIND(".",B975)=5,--E975,--C975),0)</ns0:f>
        <ns0:v>0</ns0:v>
      </ns0:c>
      <ns0:c r="I975" s="0">
        <ns0:f>IFERROR(IF(AND(F975&gt;=2000,F975&lt;=2100,G975&gt;=1,G975&lt;=12,H975&gt;=1,H975&lt;=31),DATE(F975,G975,H975),0),0)</ns0:f>
        <ns0:v>0</ns0:v>
      </ns0:c>
      <ns0:c r="J975" s="0">
        <ns0:f>IFERROR(IF(ISNUMBER(Bookings!B975),IF(AND(Bookings!B975=INT(Bookings!B975),Bookings!B975&gt;=DATE(2000,1,1),Bookings!B975&lt;=DATE(2100,12,31)),Bookings!B975,0),IF(AND(A975&lt;&gt;"",LEN("x"&amp;B975)-LEN(SUBSTITUTE("x"&amp;B975,".",""))=2,OR(1&gt;LEN(B975),MID(B975,1,1)=".",ISNUMBER(FIND("x"&amp;MID(B975,1,1),"x0x1x2x3x4x5x6x7x8x9"))),OR(2&gt;LEN(B975),MID(B975,2,1)=".",ISNUMBER(FIND("x"&amp;MID(B975,2,1),"x0x1x2x3x4x5x6x7x8x9"))),OR(3&gt;LEN(B975),MID(B975,3,1)=".",ISNUMBER(FIND("x"&amp;MID(B975,3,1),"x0x1x2x3x4x5x6x7x8x9"))),OR(4&gt;LEN(B975),MID(B975,4,1)=".",ISNUMBER(FIND("x"&amp;MID(B975,4,1),"x0x1x2x3x4x5x6x7x8x9"))),OR(5&gt;LEN(B975),MID(B975,5,1)=".",ISNUMBER(FIND("x"&amp;MID(B975,5,1),"x0x1x2x3x4x5x6x7x8x9"))),OR(6&gt;LEN(B975),MID(B975,6,1)=".",ISNUMBER(FIND("x"&amp;MID(B975,6,1),"x0x1x2x3x4x5x6x7x8x9"))),OR(7&gt;LEN(B975),MID(B975,7,1)=".",ISNUMBER(FIND("x"&amp;MID(B975,7,1),"x0x1x2x3x4x5x6x7x8x9"))),OR(8&gt;LEN(B975),MID(B975,8,1)=".",ISNUMBER(FIND("x"&amp;MID(B975,8,1),"x0x1x2x3x4x5x6x7x8x9"))),OR(9&gt;LEN(B975),MID(B975,9,1)=".",ISNUMBER(FIND("x"&amp;MID(B975,9,1),"x0x1x2x3x4x5x6x7x8x9"))),OR(10&gt;LEN(B975),MID(B975,10,1)=".",ISNUMBER(FIND("x"&amp;MID(B975,10,1),"x0x1x2x3x4x5x6x7x8x9"))),OR(AND(FIND(".",B975)=5,LEN(B975)-FIND(".",B975,FIND(".",B975)+1)&gt;=1,LEN(B975)-FIND(".",B975,FIND(".",B975)+1)&lt;=2),AND(LEN(B975)-FIND(".",B975,FIND(".",B975)+1)=4,FIND(".",B975)&gt;=2,FIND(".",B975)&lt;=3)),FIND(".",B975,FIND(".",B975)+1)-FIND(".",B975)&gt;=2,FIND(".",B975,FIND(".",B975)+1)-FIND(".",B975)&lt;=3,F975&gt;=2000,F975&lt;=2100,YEAR(I975)=F975,MONTH(I975)=G975,DAY(I975)=H975),I975,0)),0)</ns0:f>
        <ns0:v>0</ns0:v>
      </ns0:c>
      <ns0:c r="K975" s="0">
        <ns0:f>IFERROR(IF(ISNUMBER(Bookings!D975),"",TRIM(Bookings!D975&amp;"")),"")</ns0:f>
      </ns0:c>
      <ns0:c r="L975" s="0">
        <ns0:f>IFERROR(SUBSTITUTE(SUBSTITUTE(K975,"/","."),"-","."),"")</ns0:f>
      </ns0:c>
      <ns0:c r="M975" s="0">
        <ns0:f>IFERROR(LEFT(L975,FIND(".",L975)-1),"")</ns0:f>
      </ns0:c>
      <ns0:c r="N975" s="0">
        <ns0:f>IFERROR(MID(L975,FIND(".",L975)+1,FIND(".",L975,FIND(".",L975)+1)-FIND(".",L975)-1),"")</ns0:f>
      </ns0:c>
      <ns0:c r="O975" s="0">
        <ns0:f>IFERROR(MID(L975,FIND(".",L975,FIND(".",L975)+1)+1,99),"")</ns0:f>
        <ns0:v>99</ns0:v>
      </ns0:c>
      <ns0:c r="P975" s="0">
        <ns0:f>IFERROR(IF(FIND(".",L975)=5,--M975,--O975),0)</ns0:f>
        <ns0:v>0</ns0:v>
      </ns0:c>
      <ns0:c r="Q975" s="0">
        <ns0:f>IFERROR(--N975,0)</ns0:f>
        <ns0:v>0</ns0:v>
      </ns0:c>
      <ns0:c r="R975" s="0">
        <ns0:f>IFERROR(IF(FIND(".",L975)=5,--O975,--M975),0)</ns0:f>
        <ns0:v>0</ns0:v>
      </ns0:c>
      <ns0:c r="S975" s="0">
        <ns0:f>IFERROR(IF(AND(P975&gt;=2000,P975&lt;=2100,Q975&gt;=1,Q975&lt;=12,R975&gt;=1,R975&lt;=31),DATE(P975,Q975,R975),0),0)</ns0:f>
        <ns0:v>0</ns0:v>
      </ns0:c>
      <ns0:c r="T975" s="0">
        <ns0:f>IFERROR(IF(ISNUMBER(Bookings!D975),IF(AND(Bookings!D975=INT(Bookings!D975),Bookings!D975&gt;=DATE(2000,1,1),Bookings!D975&lt;=DATE(2100,12,31)),Bookings!D975,0),IF(AND(K975&lt;&gt;"",LEN("x"&amp;L975)-LEN(SUBSTITUTE("x"&amp;L975,".",""))=2,OR(1&gt;LEN(L975),MID(L975,1,1)=".",ISNUMBER(FIND("x"&amp;MID(L975,1,1),"x0x1x2x3x4x5x6x7x8x9"))),OR(2&gt;LEN(L975),MID(L975,2,1)=".",ISNUMBER(FIND("x"&amp;MID(L975,2,1),"x0x1x2x3x4x5x6x7x8x9"))),OR(3&gt;LEN(L975),MID(L975,3,1)=".",ISNUMBER(FIND("x"&amp;MID(L975,3,1),"x0x1x2x3x4x5x6x7x8x9"))),OR(4&gt;LEN(L975),MID(L975,4,1)=".",ISNUMBER(FIND("x"&amp;MID(L975,4,1),"x0x1x2x3x4x5x6x7x8x9"))),OR(5&gt;LEN(L975),MID(L975,5,1)=".",ISNUMBER(FIND("x"&amp;MID(L975,5,1),"x0x1x2x3x4x5x6x7x8x9"))),OR(6&gt;LEN(L975),MID(L975,6,1)=".",ISNUMBER(FIND("x"&amp;MID(L975,6,1),"x0x1x2x3x4x5x6x7x8x9"))),OR(7&gt;LEN(L975),MID(L975,7,1)=".",ISNUMBER(FIND("x"&amp;MID(L975,7,1),"x0x1x2x3x4x5x6x7x8x9"))),OR(8&gt;LEN(L975),MID(L975,8,1)=".",ISNUMBER(FIND("x"&amp;MID(L975,8,1),"x0x1x2x3x4x5x6x7x8x9"))),OR(9&gt;LEN(L975),MID(L975,9,1)=".",ISNUMBER(FIND("x"&amp;MID(L975,9,1),"x0x1x2x3x4x5x6x7x8x9"))),OR(10&gt;LEN(L975),MID(L975,10,1)=".",ISNUMBER(FIND("x"&amp;MID(L975,10,1),"x0x1x2x3x4x5x6x7x8x9"))),OR(AND(FIND(".",L975)=5,LEN(L975)-FIND(".",L975,FIND(".",L975)+1)&gt;=1,LEN(L975)-FIND(".",L975,FIND(".",L975)+1)&lt;=2),AND(LEN(L975)-FIND(".",L975,FIND(".",L975)+1)=4,FIND(".",L975)&gt;=2,FIND(".",L975)&lt;=3)),FIND(".",L975,FIND(".",L975)+1)-FIND(".",L975)&gt;=2,FIND(".",L975,FIND(".",L975)+1)-FIND(".",L975)&lt;=3,P975&gt;=2000,P975&lt;=2100,YEAR(S975)=P975,MONTH(S975)=Q975,DAY(S975)=R975),S975,0)),0)</ns0:f>
        <ns0:v>0</ns0:v>
      </ns0:c>
      <ns0:c r="U975" s="0" t="str">
        <ns0:f>IF(Bookings!C975="","Full day",Bookings!C975)</ns0:f>
        <ns0:v>Full day</ns0:v>
      </ns0:c>
      <ns0:c r="V975" s="0" t="str">
        <ns0:f>IF(Bookings!E975="","Full day",Bookings!E975)</ns0:f>
        <ns0:v>Full day</ns0:v>
      </ns0:c>
      <ns0:c r="W975" s="0">
        <ns0:f>IF(J975=0,0,J975+IF(U975="PM",1,0))</ns0:f>
        <ns0:v>0</ns0:v>
      </ns0:c>
      <ns0:c r="X975" s="0">
        <ns0:f>IF(T975=0,0,T975-IF(V975="PM",1,0))</ns0:f>
        <ns0:v>0</ns0:v>
      </ns0:c>
      <ns0:c r="Y975" s="0">
        <ns0:f>IF(J975=0,0,J975+IF(U975="AM",1,0))</ns0:f>
        <ns0:v>0</ns0:v>
      </ns0:c>
      <ns0:c r="Z975" s="0">
        <ns0:f>IF(T975=0,0,T975-IF(V975="AM",1,0))</ns0:f>
        <ns0:v>0</ns0:v>
      </ns0:c>
      <ns0:c r="AA975" s="0">
        <ns0:f>IFERROR(IF(AND(J975&gt;0,'_Engine'!C975&gt;0,MID('_Engine'!W975,WEEKDAY(J975,2),1)="W",COUNTIF(Settings!$F$18:$F$67,J975)=0),1,0),0)</ns0:f>
        <ns0:v>0</ns0:v>
      </ns0:c>
      <ns0:c r="AB975" s="0">
        <ns0:f>IFERROR(IF(AND(T975&gt;0,'_Engine'!C975&gt;0,MID('_Engine'!W975,WEEKDAY(T975,2),1)="W",COUNTIF(Settings!$F$18:$F$67,T975)=0),1,0),0)</ns0:f>
        <ns0:v>0</ns0:v>
      </ns0:c>
      <ns0:c r="AC975" s="0">
        <ns0:f>IF(AND(J975&gt;0,T975&gt;0,W975&lt;=X975),1,0)</ns0:f>
        <ns0:v>0</ns0:v>
      </ns0:c>
      <ns0:c r="AD975" s="0">
        <ns0:f>IF(AND(J975&gt;0,T975&gt;0,Y975&lt;=Z975),1,0)</ns0:f>
        <ns0:v>0</ns0:v>
      </ns0:c>
    </ns0:row>
    <ns0:row r="976">
      <ns0:c r="A976" s="0">
        <ns0:f>IFERROR(IF(ISNUMBER(Bookings!B976),"",TRIM(Bookings!B976&amp;"")),"")</ns0:f>
      </ns0:c>
      <ns0:c r="B976" s="0">
        <ns0:f>IFERROR(SUBSTITUTE(SUBSTITUTE(A976,"/","."),"-","."),"")</ns0:f>
      </ns0:c>
      <ns0:c r="C976" s="0">
        <ns0:f>IFERROR(LEFT(B976,FIND(".",B976)-1),"")</ns0:f>
      </ns0:c>
      <ns0:c r="D976" s="0">
        <ns0:f>IFERROR(MID(B976,FIND(".",B976)+1,FIND(".",B976,FIND(".",B976)+1)-FIND(".",B976)-1),"")</ns0:f>
      </ns0:c>
      <ns0:c r="E976" s="0">
        <ns0:f>IFERROR(MID(B976,FIND(".",B976,FIND(".",B976)+1)+1,99),"")</ns0:f>
        <ns0:v>99</ns0:v>
      </ns0:c>
      <ns0:c r="F976" s="0">
        <ns0:f>IFERROR(IF(FIND(".",B976)=5,--C976,--E976),0)</ns0:f>
        <ns0:v>0</ns0:v>
      </ns0:c>
      <ns0:c r="G976" s="0">
        <ns0:f>IFERROR(--D976,0)</ns0:f>
        <ns0:v>0</ns0:v>
      </ns0:c>
      <ns0:c r="H976" s="0">
        <ns0:f>IFERROR(IF(FIND(".",B976)=5,--E976,--C976),0)</ns0:f>
        <ns0:v>0</ns0:v>
      </ns0:c>
      <ns0:c r="I976" s="0">
        <ns0:f>IFERROR(IF(AND(F976&gt;=2000,F976&lt;=2100,G976&gt;=1,G976&lt;=12,H976&gt;=1,H976&lt;=31),DATE(F976,G976,H976),0),0)</ns0:f>
        <ns0:v>0</ns0:v>
      </ns0:c>
      <ns0:c r="J976" s="0">
        <ns0:f>IFERROR(IF(ISNUMBER(Bookings!B976),IF(AND(Bookings!B976=INT(Bookings!B976),Bookings!B976&gt;=DATE(2000,1,1),Bookings!B976&lt;=DATE(2100,12,31)),Bookings!B976,0),IF(AND(A976&lt;&gt;"",LEN("x"&amp;B976)-LEN(SUBSTITUTE("x"&amp;B976,".",""))=2,OR(1&gt;LEN(B976),MID(B976,1,1)=".",ISNUMBER(FIND("x"&amp;MID(B976,1,1),"x0x1x2x3x4x5x6x7x8x9"))),OR(2&gt;LEN(B976),MID(B976,2,1)=".",ISNUMBER(FIND("x"&amp;MID(B976,2,1),"x0x1x2x3x4x5x6x7x8x9"))),OR(3&gt;LEN(B976),MID(B976,3,1)=".",ISNUMBER(FIND("x"&amp;MID(B976,3,1),"x0x1x2x3x4x5x6x7x8x9"))),OR(4&gt;LEN(B976),MID(B976,4,1)=".",ISNUMBER(FIND("x"&amp;MID(B976,4,1),"x0x1x2x3x4x5x6x7x8x9"))),OR(5&gt;LEN(B976),MID(B976,5,1)=".",ISNUMBER(FIND("x"&amp;MID(B976,5,1),"x0x1x2x3x4x5x6x7x8x9"))),OR(6&gt;LEN(B976),MID(B976,6,1)=".",ISNUMBER(FIND("x"&amp;MID(B976,6,1),"x0x1x2x3x4x5x6x7x8x9"))),OR(7&gt;LEN(B976),MID(B976,7,1)=".",ISNUMBER(FIND("x"&amp;MID(B976,7,1),"x0x1x2x3x4x5x6x7x8x9"))),OR(8&gt;LEN(B976),MID(B976,8,1)=".",ISNUMBER(FIND("x"&amp;MID(B976,8,1),"x0x1x2x3x4x5x6x7x8x9"))),OR(9&gt;LEN(B976),MID(B976,9,1)=".",ISNUMBER(FIND("x"&amp;MID(B976,9,1),"x0x1x2x3x4x5x6x7x8x9"))),OR(10&gt;LEN(B976),MID(B976,10,1)=".",ISNUMBER(FIND("x"&amp;MID(B976,10,1),"x0x1x2x3x4x5x6x7x8x9"))),OR(AND(FIND(".",B976)=5,LEN(B976)-FIND(".",B976,FIND(".",B976)+1)&gt;=1,LEN(B976)-FIND(".",B976,FIND(".",B976)+1)&lt;=2),AND(LEN(B976)-FIND(".",B976,FIND(".",B976)+1)=4,FIND(".",B976)&gt;=2,FIND(".",B976)&lt;=3)),FIND(".",B976,FIND(".",B976)+1)-FIND(".",B976)&gt;=2,FIND(".",B976,FIND(".",B976)+1)-FIND(".",B976)&lt;=3,F976&gt;=2000,F976&lt;=2100,YEAR(I976)=F976,MONTH(I976)=G976,DAY(I976)=H976),I976,0)),0)</ns0:f>
        <ns0:v>0</ns0:v>
      </ns0:c>
      <ns0:c r="K976" s="0">
        <ns0:f>IFERROR(IF(ISNUMBER(Bookings!D976),"",TRIM(Bookings!D976&amp;"")),"")</ns0:f>
      </ns0:c>
      <ns0:c r="L976" s="0">
        <ns0:f>IFERROR(SUBSTITUTE(SUBSTITUTE(K976,"/","."),"-","."),"")</ns0:f>
      </ns0:c>
      <ns0:c r="M976" s="0">
        <ns0:f>IFERROR(LEFT(L976,FIND(".",L976)-1),"")</ns0:f>
      </ns0:c>
      <ns0:c r="N976" s="0">
        <ns0:f>IFERROR(MID(L976,FIND(".",L976)+1,FIND(".",L976,FIND(".",L976)+1)-FIND(".",L976)-1),"")</ns0:f>
      </ns0:c>
      <ns0:c r="O976" s="0">
        <ns0:f>IFERROR(MID(L976,FIND(".",L976,FIND(".",L976)+1)+1,99),"")</ns0:f>
        <ns0:v>99</ns0:v>
      </ns0:c>
      <ns0:c r="P976" s="0">
        <ns0:f>IFERROR(IF(FIND(".",L976)=5,--M976,--O976),0)</ns0:f>
        <ns0:v>0</ns0:v>
      </ns0:c>
      <ns0:c r="Q976" s="0">
        <ns0:f>IFERROR(--N976,0)</ns0:f>
        <ns0:v>0</ns0:v>
      </ns0:c>
      <ns0:c r="R976" s="0">
        <ns0:f>IFERROR(IF(FIND(".",L976)=5,--O976,--M976),0)</ns0:f>
        <ns0:v>0</ns0:v>
      </ns0:c>
      <ns0:c r="S976" s="0">
        <ns0:f>IFERROR(IF(AND(P976&gt;=2000,P976&lt;=2100,Q976&gt;=1,Q976&lt;=12,R976&gt;=1,R976&lt;=31),DATE(P976,Q976,R976),0),0)</ns0:f>
        <ns0:v>0</ns0:v>
      </ns0:c>
      <ns0:c r="T976" s="0">
        <ns0:f>IFERROR(IF(ISNUMBER(Bookings!D976),IF(AND(Bookings!D976=INT(Bookings!D976),Bookings!D976&gt;=DATE(2000,1,1),Bookings!D976&lt;=DATE(2100,12,31)),Bookings!D976,0),IF(AND(K976&lt;&gt;"",LEN("x"&amp;L976)-LEN(SUBSTITUTE("x"&amp;L976,".",""))=2,OR(1&gt;LEN(L976),MID(L976,1,1)=".",ISNUMBER(FIND("x"&amp;MID(L976,1,1),"x0x1x2x3x4x5x6x7x8x9"))),OR(2&gt;LEN(L976),MID(L976,2,1)=".",ISNUMBER(FIND("x"&amp;MID(L976,2,1),"x0x1x2x3x4x5x6x7x8x9"))),OR(3&gt;LEN(L976),MID(L976,3,1)=".",ISNUMBER(FIND("x"&amp;MID(L976,3,1),"x0x1x2x3x4x5x6x7x8x9"))),OR(4&gt;LEN(L976),MID(L976,4,1)=".",ISNUMBER(FIND("x"&amp;MID(L976,4,1),"x0x1x2x3x4x5x6x7x8x9"))),OR(5&gt;LEN(L976),MID(L976,5,1)=".",ISNUMBER(FIND("x"&amp;MID(L976,5,1),"x0x1x2x3x4x5x6x7x8x9"))),OR(6&gt;LEN(L976),MID(L976,6,1)=".",ISNUMBER(FIND("x"&amp;MID(L976,6,1),"x0x1x2x3x4x5x6x7x8x9"))),OR(7&gt;LEN(L976),MID(L976,7,1)=".",ISNUMBER(FIND("x"&amp;MID(L976,7,1),"x0x1x2x3x4x5x6x7x8x9"))),OR(8&gt;LEN(L976),MID(L976,8,1)=".",ISNUMBER(FIND("x"&amp;MID(L976,8,1),"x0x1x2x3x4x5x6x7x8x9"))),OR(9&gt;LEN(L976),MID(L976,9,1)=".",ISNUMBER(FIND("x"&amp;MID(L976,9,1),"x0x1x2x3x4x5x6x7x8x9"))),OR(10&gt;LEN(L976),MID(L976,10,1)=".",ISNUMBER(FIND("x"&amp;MID(L976,10,1),"x0x1x2x3x4x5x6x7x8x9"))),OR(AND(FIND(".",L976)=5,LEN(L976)-FIND(".",L976,FIND(".",L976)+1)&gt;=1,LEN(L976)-FIND(".",L976,FIND(".",L976)+1)&lt;=2),AND(LEN(L976)-FIND(".",L976,FIND(".",L976)+1)=4,FIND(".",L976)&gt;=2,FIND(".",L976)&lt;=3)),FIND(".",L976,FIND(".",L976)+1)-FIND(".",L976)&gt;=2,FIND(".",L976,FIND(".",L976)+1)-FIND(".",L976)&lt;=3,P976&gt;=2000,P976&lt;=2100,YEAR(S976)=P976,MONTH(S976)=Q976,DAY(S976)=R976),S976,0)),0)</ns0:f>
        <ns0:v>0</ns0:v>
      </ns0:c>
      <ns0:c r="U976" s="0" t="str">
        <ns0:f>IF(Bookings!C976="","Full day",Bookings!C976)</ns0:f>
        <ns0:v>Full day</ns0:v>
      </ns0:c>
      <ns0:c r="V976" s="0" t="str">
        <ns0:f>IF(Bookings!E976="","Full day",Bookings!E976)</ns0:f>
        <ns0:v>Full day</ns0:v>
      </ns0:c>
      <ns0:c r="W976" s="0">
        <ns0:f>IF(J976=0,0,J976+IF(U976="PM",1,0))</ns0:f>
        <ns0:v>0</ns0:v>
      </ns0:c>
      <ns0:c r="X976" s="0">
        <ns0:f>IF(T976=0,0,T976-IF(V976="PM",1,0))</ns0:f>
        <ns0:v>0</ns0:v>
      </ns0:c>
      <ns0:c r="Y976" s="0">
        <ns0:f>IF(J976=0,0,J976+IF(U976="AM",1,0))</ns0:f>
        <ns0:v>0</ns0:v>
      </ns0:c>
      <ns0:c r="Z976" s="0">
        <ns0:f>IF(T976=0,0,T976-IF(V976="AM",1,0))</ns0:f>
        <ns0:v>0</ns0:v>
      </ns0:c>
      <ns0:c r="AA976" s="0">
        <ns0:f>IFERROR(IF(AND(J976&gt;0,'_Engine'!C976&gt;0,MID('_Engine'!W976,WEEKDAY(J976,2),1)="W",COUNTIF(Settings!$F$18:$F$67,J976)=0),1,0),0)</ns0:f>
        <ns0:v>0</ns0:v>
      </ns0:c>
      <ns0:c r="AB976" s="0">
        <ns0:f>IFERROR(IF(AND(T976&gt;0,'_Engine'!C976&gt;0,MID('_Engine'!W976,WEEKDAY(T976,2),1)="W",COUNTIF(Settings!$F$18:$F$67,T976)=0),1,0),0)</ns0:f>
        <ns0:v>0</ns0:v>
      </ns0:c>
      <ns0:c r="AC976" s="0">
        <ns0:f>IF(AND(J976&gt;0,T976&gt;0,W976&lt;=X976),1,0)</ns0:f>
        <ns0:v>0</ns0:v>
      </ns0:c>
      <ns0:c r="AD976" s="0">
        <ns0:f>IF(AND(J976&gt;0,T976&gt;0,Y976&lt;=Z976),1,0)</ns0:f>
        <ns0:v>0</ns0:v>
      </ns0:c>
    </ns0:row>
    <ns0:row r="977">
      <ns0:c r="A977" s="0">
        <ns0:f>IFERROR(IF(ISNUMBER(Bookings!B977),"",TRIM(Bookings!B977&amp;"")),"")</ns0:f>
      </ns0:c>
      <ns0:c r="B977" s="0">
        <ns0:f>IFERROR(SUBSTITUTE(SUBSTITUTE(A977,"/","."),"-","."),"")</ns0:f>
      </ns0:c>
      <ns0:c r="C977" s="0">
        <ns0:f>IFERROR(LEFT(B977,FIND(".",B977)-1),"")</ns0:f>
      </ns0:c>
      <ns0:c r="D977" s="0">
        <ns0:f>IFERROR(MID(B977,FIND(".",B977)+1,FIND(".",B977,FIND(".",B977)+1)-FIND(".",B977)-1),"")</ns0:f>
      </ns0:c>
      <ns0:c r="E977" s="0">
        <ns0:f>IFERROR(MID(B977,FIND(".",B977,FIND(".",B977)+1)+1,99),"")</ns0:f>
        <ns0:v>99</ns0:v>
      </ns0:c>
      <ns0:c r="F977" s="0">
        <ns0:f>IFERROR(IF(FIND(".",B977)=5,--C977,--E977),0)</ns0:f>
        <ns0:v>0</ns0:v>
      </ns0:c>
      <ns0:c r="G977" s="0">
        <ns0:f>IFERROR(--D977,0)</ns0:f>
        <ns0:v>0</ns0:v>
      </ns0:c>
      <ns0:c r="H977" s="0">
        <ns0:f>IFERROR(IF(FIND(".",B977)=5,--E977,--C977),0)</ns0:f>
        <ns0:v>0</ns0:v>
      </ns0:c>
      <ns0:c r="I977" s="0">
        <ns0:f>IFERROR(IF(AND(F977&gt;=2000,F977&lt;=2100,G977&gt;=1,G977&lt;=12,H977&gt;=1,H977&lt;=31),DATE(F977,G977,H977),0),0)</ns0:f>
        <ns0:v>0</ns0:v>
      </ns0:c>
      <ns0:c r="J977" s="0">
        <ns0:f>IFERROR(IF(ISNUMBER(Bookings!B977),IF(AND(Bookings!B977=INT(Bookings!B977),Bookings!B977&gt;=DATE(2000,1,1),Bookings!B977&lt;=DATE(2100,12,31)),Bookings!B977,0),IF(AND(A977&lt;&gt;"",LEN("x"&amp;B977)-LEN(SUBSTITUTE("x"&amp;B977,".",""))=2,OR(1&gt;LEN(B977),MID(B977,1,1)=".",ISNUMBER(FIND("x"&amp;MID(B977,1,1),"x0x1x2x3x4x5x6x7x8x9"))),OR(2&gt;LEN(B977),MID(B977,2,1)=".",ISNUMBER(FIND("x"&amp;MID(B977,2,1),"x0x1x2x3x4x5x6x7x8x9"))),OR(3&gt;LEN(B977),MID(B977,3,1)=".",ISNUMBER(FIND("x"&amp;MID(B977,3,1),"x0x1x2x3x4x5x6x7x8x9"))),OR(4&gt;LEN(B977),MID(B977,4,1)=".",ISNUMBER(FIND("x"&amp;MID(B977,4,1),"x0x1x2x3x4x5x6x7x8x9"))),OR(5&gt;LEN(B977),MID(B977,5,1)=".",ISNUMBER(FIND("x"&amp;MID(B977,5,1),"x0x1x2x3x4x5x6x7x8x9"))),OR(6&gt;LEN(B977),MID(B977,6,1)=".",ISNUMBER(FIND("x"&amp;MID(B977,6,1),"x0x1x2x3x4x5x6x7x8x9"))),OR(7&gt;LEN(B977),MID(B977,7,1)=".",ISNUMBER(FIND("x"&amp;MID(B977,7,1),"x0x1x2x3x4x5x6x7x8x9"))),OR(8&gt;LEN(B977),MID(B977,8,1)=".",ISNUMBER(FIND("x"&amp;MID(B977,8,1),"x0x1x2x3x4x5x6x7x8x9"))),OR(9&gt;LEN(B977),MID(B977,9,1)=".",ISNUMBER(FIND("x"&amp;MID(B977,9,1),"x0x1x2x3x4x5x6x7x8x9"))),OR(10&gt;LEN(B977),MID(B977,10,1)=".",ISNUMBER(FIND("x"&amp;MID(B977,10,1),"x0x1x2x3x4x5x6x7x8x9"))),OR(AND(FIND(".",B977)=5,LEN(B977)-FIND(".",B977,FIND(".",B977)+1)&gt;=1,LEN(B977)-FIND(".",B977,FIND(".",B977)+1)&lt;=2),AND(LEN(B977)-FIND(".",B977,FIND(".",B977)+1)=4,FIND(".",B977)&gt;=2,FIND(".",B977)&lt;=3)),FIND(".",B977,FIND(".",B977)+1)-FIND(".",B977)&gt;=2,FIND(".",B977,FIND(".",B977)+1)-FIND(".",B977)&lt;=3,F977&gt;=2000,F977&lt;=2100,YEAR(I977)=F977,MONTH(I977)=G977,DAY(I977)=H977),I977,0)),0)</ns0:f>
        <ns0:v>0</ns0:v>
      </ns0:c>
      <ns0:c r="K977" s="0">
        <ns0:f>IFERROR(IF(ISNUMBER(Bookings!D977),"",TRIM(Bookings!D977&amp;"")),"")</ns0:f>
      </ns0:c>
      <ns0:c r="L977" s="0">
        <ns0:f>IFERROR(SUBSTITUTE(SUBSTITUTE(K977,"/","."),"-","."),"")</ns0:f>
      </ns0:c>
      <ns0:c r="M977" s="0">
        <ns0:f>IFERROR(LEFT(L977,FIND(".",L977)-1),"")</ns0:f>
      </ns0:c>
      <ns0:c r="N977" s="0">
        <ns0:f>IFERROR(MID(L977,FIND(".",L977)+1,FIND(".",L977,FIND(".",L977)+1)-FIND(".",L977)-1),"")</ns0:f>
      </ns0:c>
      <ns0:c r="O977" s="0">
        <ns0:f>IFERROR(MID(L977,FIND(".",L977,FIND(".",L977)+1)+1,99),"")</ns0:f>
        <ns0:v>99</ns0:v>
      </ns0:c>
      <ns0:c r="P977" s="0">
        <ns0:f>IFERROR(IF(FIND(".",L977)=5,--M977,--O977),0)</ns0:f>
        <ns0:v>0</ns0:v>
      </ns0:c>
      <ns0:c r="Q977" s="0">
        <ns0:f>IFERROR(--N977,0)</ns0:f>
        <ns0:v>0</ns0:v>
      </ns0:c>
      <ns0:c r="R977" s="0">
        <ns0:f>IFERROR(IF(FIND(".",L977)=5,--O977,--M977),0)</ns0:f>
        <ns0:v>0</ns0:v>
      </ns0:c>
      <ns0:c r="S977" s="0">
        <ns0:f>IFERROR(IF(AND(P977&gt;=2000,P977&lt;=2100,Q977&gt;=1,Q977&lt;=12,R977&gt;=1,R977&lt;=31),DATE(P977,Q977,R977),0),0)</ns0:f>
        <ns0:v>0</ns0:v>
      </ns0:c>
      <ns0:c r="T977" s="0">
        <ns0:f>IFERROR(IF(ISNUMBER(Bookings!D977),IF(AND(Bookings!D977=INT(Bookings!D977),Bookings!D977&gt;=DATE(2000,1,1),Bookings!D977&lt;=DATE(2100,12,31)),Bookings!D977,0),IF(AND(K977&lt;&gt;"",LEN("x"&amp;L977)-LEN(SUBSTITUTE("x"&amp;L977,".",""))=2,OR(1&gt;LEN(L977),MID(L977,1,1)=".",ISNUMBER(FIND("x"&amp;MID(L977,1,1),"x0x1x2x3x4x5x6x7x8x9"))),OR(2&gt;LEN(L977),MID(L977,2,1)=".",ISNUMBER(FIND("x"&amp;MID(L977,2,1),"x0x1x2x3x4x5x6x7x8x9"))),OR(3&gt;LEN(L977),MID(L977,3,1)=".",ISNUMBER(FIND("x"&amp;MID(L977,3,1),"x0x1x2x3x4x5x6x7x8x9"))),OR(4&gt;LEN(L977),MID(L977,4,1)=".",ISNUMBER(FIND("x"&amp;MID(L977,4,1),"x0x1x2x3x4x5x6x7x8x9"))),OR(5&gt;LEN(L977),MID(L977,5,1)=".",ISNUMBER(FIND("x"&amp;MID(L977,5,1),"x0x1x2x3x4x5x6x7x8x9"))),OR(6&gt;LEN(L977),MID(L977,6,1)=".",ISNUMBER(FIND("x"&amp;MID(L977,6,1),"x0x1x2x3x4x5x6x7x8x9"))),OR(7&gt;LEN(L977),MID(L977,7,1)=".",ISNUMBER(FIND("x"&amp;MID(L977,7,1),"x0x1x2x3x4x5x6x7x8x9"))),OR(8&gt;LEN(L977),MID(L977,8,1)=".",ISNUMBER(FIND("x"&amp;MID(L977,8,1),"x0x1x2x3x4x5x6x7x8x9"))),OR(9&gt;LEN(L977),MID(L977,9,1)=".",ISNUMBER(FIND("x"&amp;MID(L977,9,1),"x0x1x2x3x4x5x6x7x8x9"))),OR(10&gt;LEN(L977),MID(L977,10,1)=".",ISNUMBER(FIND("x"&amp;MID(L977,10,1),"x0x1x2x3x4x5x6x7x8x9"))),OR(AND(FIND(".",L977)=5,LEN(L977)-FIND(".",L977,FIND(".",L977)+1)&gt;=1,LEN(L977)-FIND(".",L977,FIND(".",L977)+1)&lt;=2),AND(LEN(L977)-FIND(".",L977,FIND(".",L977)+1)=4,FIND(".",L977)&gt;=2,FIND(".",L977)&lt;=3)),FIND(".",L977,FIND(".",L977)+1)-FIND(".",L977)&gt;=2,FIND(".",L977,FIND(".",L977)+1)-FIND(".",L977)&lt;=3,P977&gt;=2000,P977&lt;=2100,YEAR(S977)=P977,MONTH(S977)=Q977,DAY(S977)=R977),S977,0)),0)</ns0:f>
        <ns0:v>0</ns0:v>
      </ns0:c>
      <ns0:c r="U977" s="0" t="str">
        <ns0:f>IF(Bookings!C977="","Full day",Bookings!C977)</ns0:f>
        <ns0:v>Full day</ns0:v>
      </ns0:c>
      <ns0:c r="V977" s="0" t="str">
        <ns0:f>IF(Bookings!E977="","Full day",Bookings!E977)</ns0:f>
        <ns0:v>Full day</ns0:v>
      </ns0:c>
      <ns0:c r="W977" s="0">
        <ns0:f>IF(J977=0,0,J977+IF(U977="PM",1,0))</ns0:f>
        <ns0:v>0</ns0:v>
      </ns0:c>
      <ns0:c r="X977" s="0">
        <ns0:f>IF(T977=0,0,T977-IF(V977="PM",1,0))</ns0:f>
        <ns0:v>0</ns0:v>
      </ns0:c>
      <ns0:c r="Y977" s="0">
        <ns0:f>IF(J977=0,0,J977+IF(U977="AM",1,0))</ns0:f>
        <ns0:v>0</ns0:v>
      </ns0:c>
      <ns0:c r="Z977" s="0">
        <ns0:f>IF(T977=0,0,T977-IF(V977="AM",1,0))</ns0:f>
        <ns0:v>0</ns0:v>
      </ns0:c>
      <ns0:c r="AA977" s="0">
        <ns0:f>IFERROR(IF(AND(J977&gt;0,'_Engine'!C977&gt;0,MID('_Engine'!W977,WEEKDAY(J977,2),1)="W",COUNTIF(Settings!$F$18:$F$67,J977)=0),1,0),0)</ns0:f>
        <ns0:v>0</ns0:v>
      </ns0:c>
      <ns0:c r="AB977" s="0">
        <ns0:f>IFERROR(IF(AND(T977&gt;0,'_Engine'!C977&gt;0,MID('_Engine'!W977,WEEKDAY(T977,2),1)="W",COUNTIF(Settings!$F$18:$F$67,T977)=0),1,0),0)</ns0:f>
        <ns0:v>0</ns0:v>
      </ns0:c>
      <ns0:c r="AC977" s="0">
        <ns0:f>IF(AND(J977&gt;0,T977&gt;0,W977&lt;=X977),1,0)</ns0:f>
        <ns0:v>0</ns0:v>
      </ns0:c>
      <ns0:c r="AD977" s="0">
        <ns0:f>IF(AND(J977&gt;0,T977&gt;0,Y977&lt;=Z977),1,0)</ns0:f>
        <ns0:v>0</ns0:v>
      </ns0:c>
    </ns0:row>
    <ns0:row r="978">
      <ns0:c r="A978" s="0">
        <ns0:f>IFERROR(IF(ISNUMBER(Bookings!B978),"",TRIM(Bookings!B978&amp;"")),"")</ns0:f>
      </ns0:c>
      <ns0:c r="B978" s="0">
        <ns0:f>IFERROR(SUBSTITUTE(SUBSTITUTE(A978,"/","."),"-","."),"")</ns0:f>
      </ns0:c>
      <ns0:c r="C978" s="0">
        <ns0:f>IFERROR(LEFT(B978,FIND(".",B978)-1),"")</ns0:f>
      </ns0:c>
      <ns0:c r="D978" s="0">
        <ns0:f>IFERROR(MID(B978,FIND(".",B978)+1,FIND(".",B978,FIND(".",B978)+1)-FIND(".",B978)-1),"")</ns0:f>
      </ns0:c>
      <ns0:c r="E978" s="0">
        <ns0:f>IFERROR(MID(B978,FIND(".",B978,FIND(".",B978)+1)+1,99),"")</ns0:f>
        <ns0:v>99</ns0:v>
      </ns0:c>
      <ns0:c r="F978" s="0">
        <ns0:f>IFERROR(IF(FIND(".",B978)=5,--C978,--E978),0)</ns0:f>
        <ns0:v>0</ns0:v>
      </ns0:c>
      <ns0:c r="G978" s="0">
        <ns0:f>IFERROR(--D978,0)</ns0:f>
        <ns0:v>0</ns0:v>
      </ns0:c>
      <ns0:c r="H978" s="0">
        <ns0:f>IFERROR(IF(FIND(".",B978)=5,--E978,--C978),0)</ns0:f>
        <ns0:v>0</ns0:v>
      </ns0:c>
      <ns0:c r="I978" s="0">
        <ns0:f>IFERROR(IF(AND(F978&gt;=2000,F978&lt;=2100,G978&gt;=1,G978&lt;=12,H978&gt;=1,H978&lt;=31),DATE(F978,G978,H978),0),0)</ns0:f>
        <ns0:v>0</ns0:v>
      </ns0:c>
      <ns0:c r="J978" s="0">
        <ns0:f>IFERROR(IF(ISNUMBER(Bookings!B978),IF(AND(Bookings!B978=INT(Bookings!B978),Bookings!B978&gt;=DATE(2000,1,1),Bookings!B978&lt;=DATE(2100,12,31)),Bookings!B978,0),IF(AND(A978&lt;&gt;"",LEN("x"&amp;B978)-LEN(SUBSTITUTE("x"&amp;B978,".",""))=2,OR(1&gt;LEN(B978),MID(B978,1,1)=".",ISNUMBER(FIND("x"&amp;MID(B978,1,1),"x0x1x2x3x4x5x6x7x8x9"))),OR(2&gt;LEN(B978),MID(B978,2,1)=".",ISNUMBER(FIND("x"&amp;MID(B978,2,1),"x0x1x2x3x4x5x6x7x8x9"))),OR(3&gt;LEN(B978),MID(B978,3,1)=".",ISNUMBER(FIND("x"&amp;MID(B978,3,1),"x0x1x2x3x4x5x6x7x8x9"))),OR(4&gt;LEN(B978),MID(B978,4,1)=".",ISNUMBER(FIND("x"&amp;MID(B978,4,1),"x0x1x2x3x4x5x6x7x8x9"))),OR(5&gt;LEN(B978),MID(B978,5,1)=".",ISNUMBER(FIND("x"&amp;MID(B978,5,1),"x0x1x2x3x4x5x6x7x8x9"))),OR(6&gt;LEN(B978),MID(B978,6,1)=".",ISNUMBER(FIND("x"&amp;MID(B978,6,1),"x0x1x2x3x4x5x6x7x8x9"))),OR(7&gt;LEN(B978),MID(B978,7,1)=".",ISNUMBER(FIND("x"&amp;MID(B978,7,1),"x0x1x2x3x4x5x6x7x8x9"))),OR(8&gt;LEN(B978),MID(B978,8,1)=".",ISNUMBER(FIND("x"&amp;MID(B978,8,1),"x0x1x2x3x4x5x6x7x8x9"))),OR(9&gt;LEN(B978),MID(B978,9,1)=".",ISNUMBER(FIND("x"&amp;MID(B978,9,1),"x0x1x2x3x4x5x6x7x8x9"))),OR(10&gt;LEN(B978),MID(B978,10,1)=".",ISNUMBER(FIND("x"&amp;MID(B978,10,1),"x0x1x2x3x4x5x6x7x8x9"))),OR(AND(FIND(".",B978)=5,LEN(B978)-FIND(".",B978,FIND(".",B978)+1)&gt;=1,LEN(B978)-FIND(".",B978,FIND(".",B978)+1)&lt;=2),AND(LEN(B978)-FIND(".",B978,FIND(".",B978)+1)=4,FIND(".",B978)&gt;=2,FIND(".",B978)&lt;=3)),FIND(".",B978,FIND(".",B978)+1)-FIND(".",B978)&gt;=2,FIND(".",B978,FIND(".",B978)+1)-FIND(".",B978)&lt;=3,F978&gt;=2000,F978&lt;=2100,YEAR(I978)=F978,MONTH(I978)=G978,DAY(I978)=H978),I978,0)),0)</ns0:f>
        <ns0:v>0</ns0:v>
      </ns0:c>
      <ns0:c r="K978" s="0">
        <ns0:f>IFERROR(IF(ISNUMBER(Bookings!D978),"",TRIM(Bookings!D978&amp;"")),"")</ns0:f>
      </ns0:c>
      <ns0:c r="L978" s="0">
        <ns0:f>IFERROR(SUBSTITUTE(SUBSTITUTE(K978,"/","."),"-","."),"")</ns0:f>
      </ns0:c>
      <ns0:c r="M978" s="0">
        <ns0:f>IFERROR(LEFT(L978,FIND(".",L978)-1),"")</ns0:f>
      </ns0:c>
      <ns0:c r="N978" s="0">
        <ns0:f>IFERROR(MID(L978,FIND(".",L978)+1,FIND(".",L978,FIND(".",L978)+1)-FIND(".",L978)-1),"")</ns0:f>
      </ns0:c>
      <ns0:c r="O978" s="0">
        <ns0:f>IFERROR(MID(L978,FIND(".",L978,FIND(".",L978)+1)+1,99),"")</ns0:f>
        <ns0:v>99</ns0:v>
      </ns0:c>
      <ns0:c r="P978" s="0">
        <ns0:f>IFERROR(IF(FIND(".",L978)=5,--M978,--O978),0)</ns0:f>
        <ns0:v>0</ns0:v>
      </ns0:c>
      <ns0:c r="Q978" s="0">
        <ns0:f>IFERROR(--N978,0)</ns0:f>
        <ns0:v>0</ns0:v>
      </ns0:c>
      <ns0:c r="R978" s="0">
        <ns0:f>IFERROR(IF(FIND(".",L978)=5,--O978,--M978),0)</ns0:f>
        <ns0:v>0</ns0:v>
      </ns0:c>
      <ns0:c r="S978" s="0">
        <ns0:f>IFERROR(IF(AND(P978&gt;=2000,P978&lt;=2100,Q978&gt;=1,Q978&lt;=12,R978&gt;=1,R978&lt;=31),DATE(P978,Q978,R978),0),0)</ns0:f>
        <ns0:v>0</ns0:v>
      </ns0:c>
      <ns0:c r="T978" s="0">
        <ns0:f>IFERROR(IF(ISNUMBER(Bookings!D978),IF(AND(Bookings!D978=INT(Bookings!D978),Bookings!D978&gt;=DATE(2000,1,1),Bookings!D978&lt;=DATE(2100,12,31)),Bookings!D978,0),IF(AND(K978&lt;&gt;"",LEN("x"&amp;L978)-LEN(SUBSTITUTE("x"&amp;L978,".",""))=2,OR(1&gt;LEN(L978),MID(L978,1,1)=".",ISNUMBER(FIND("x"&amp;MID(L978,1,1),"x0x1x2x3x4x5x6x7x8x9"))),OR(2&gt;LEN(L978),MID(L978,2,1)=".",ISNUMBER(FIND("x"&amp;MID(L978,2,1),"x0x1x2x3x4x5x6x7x8x9"))),OR(3&gt;LEN(L978),MID(L978,3,1)=".",ISNUMBER(FIND("x"&amp;MID(L978,3,1),"x0x1x2x3x4x5x6x7x8x9"))),OR(4&gt;LEN(L978),MID(L978,4,1)=".",ISNUMBER(FIND("x"&amp;MID(L978,4,1),"x0x1x2x3x4x5x6x7x8x9"))),OR(5&gt;LEN(L978),MID(L978,5,1)=".",ISNUMBER(FIND("x"&amp;MID(L978,5,1),"x0x1x2x3x4x5x6x7x8x9"))),OR(6&gt;LEN(L978),MID(L978,6,1)=".",ISNUMBER(FIND("x"&amp;MID(L978,6,1),"x0x1x2x3x4x5x6x7x8x9"))),OR(7&gt;LEN(L978),MID(L978,7,1)=".",ISNUMBER(FIND("x"&amp;MID(L978,7,1),"x0x1x2x3x4x5x6x7x8x9"))),OR(8&gt;LEN(L978),MID(L978,8,1)=".",ISNUMBER(FIND("x"&amp;MID(L978,8,1),"x0x1x2x3x4x5x6x7x8x9"))),OR(9&gt;LEN(L978),MID(L978,9,1)=".",ISNUMBER(FIND("x"&amp;MID(L978,9,1),"x0x1x2x3x4x5x6x7x8x9"))),OR(10&gt;LEN(L978),MID(L978,10,1)=".",ISNUMBER(FIND("x"&amp;MID(L978,10,1),"x0x1x2x3x4x5x6x7x8x9"))),OR(AND(FIND(".",L978)=5,LEN(L978)-FIND(".",L978,FIND(".",L978)+1)&gt;=1,LEN(L978)-FIND(".",L978,FIND(".",L978)+1)&lt;=2),AND(LEN(L978)-FIND(".",L978,FIND(".",L978)+1)=4,FIND(".",L978)&gt;=2,FIND(".",L978)&lt;=3)),FIND(".",L978,FIND(".",L978)+1)-FIND(".",L978)&gt;=2,FIND(".",L978,FIND(".",L978)+1)-FIND(".",L978)&lt;=3,P978&gt;=2000,P978&lt;=2100,YEAR(S978)=P978,MONTH(S978)=Q978,DAY(S978)=R978),S978,0)),0)</ns0:f>
        <ns0:v>0</ns0:v>
      </ns0:c>
      <ns0:c r="U978" s="0" t="str">
        <ns0:f>IF(Bookings!C978="","Full day",Bookings!C978)</ns0:f>
        <ns0:v>Full day</ns0:v>
      </ns0:c>
      <ns0:c r="V978" s="0" t="str">
        <ns0:f>IF(Bookings!E978="","Full day",Bookings!E978)</ns0:f>
        <ns0:v>Full day</ns0:v>
      </ns0:c>
      <ns0:c r="W978" s="0">
        <ns0:f>IF(J978=0,0,J978+IF(U978="PM",1,0))</ns0:f>
        <ns0:v>0</ns0:v>
      </ns0:c>
      <ns0:c r="X978" s="0">
        <ns0:f>IF(T978=0,0,T978-IF(V978="PM",1,0))</ns0:f>
        <ns0:v>0</ns0:v>
      </ns0:c>
      <ns0:c r="Y978" s="0">
        <ns0:f>IF(J978=0,0,J978+IF(U978="AM",1,0))</ns0:f>
        <ns0:v>0</ns0:v>
      </ns0:c>
      <ns0:c r="Z978" s="0">
        <ns0:f>IF(T978=0,0,T978-IF(V978="AM",1,0))</ns0:f>
        <ns0:v>0</ns0:v>
      </ns0:c>
      <ns0:c r="AA978" s="0">
        <ns0:f>IFERROR(IF(AND(J978&gt;0,'_Engine'!C978&gt;0,MID('_Engine'!W978,WEEKDAY(J978,2),1)="W",COUNTIF(Settings!$F$18:$F$67,J978)=0),1,0),0)</ns0:f>
        <ns0:v>0</ns0:v>
      </ns0:c>
      <ns0:c r="AB978" s="0">
        <ns0:f>IFERROR(IF(AND(T978&gt;0,'_Engine'!C978&gt;0,MID('_Engine'!W978,WEEKDAY(T978,2),1)="W",COUNTIF(Settings!$F$18:$F$67,T978)=0),1,0),0)</ns0:f>
        <ns0:v>0</ns0:v>
      </ns0:c>
      <ns0:c r="AC978" s="0">
        <ns0:f>IF(AND(J978&gt;0,T978&gt;0,W978&lt;=X978),1,0)</ns0:f>
        <ns0:v>0</ns0:v>
      </ns0:c>
      <ns0:c r="AD978" s="0">
        <ns0:f>IF(AND(J978&gt;0,T978&gt;0,Y978&lt;=Z978),1,0)</ns0:f>
        <ns0:v>0</ns0:v>
      </ns0:c>
    </ns0:row>
    <ns0:row r="979">
      <ns0:c r="A979" s="0">
        <ns0:f>IFERROR(IF(ISNUMBER(Bookings!B979),"",TRIM(Bookings!B979&amp;"")),"")</ns0:f>
      </ns0:c>
      <ns0:c r="B979" s="0">
        <ns0:f>IFERROR(SUBSTITUTE(SUBSTITUTE(A979,"/","."),"-","."),"")</ns0:f>
      </ns0:c>
      <ns0:c r="C979" s="0">
        <ns0:f>IFERROR(LEFT(B979,FIND(".",B979)-1),"")</ns0:f>
      </ns0:c>
      <ns0:c r="D979" s="0">
        <ns0:f>IFERROR(MID(B979,FIND(".",B979)+1,FIND(".",B979,FIND(".",B979)+1)-FIND(".",B979)-1),"")</ns0:f>
      </ns0:c>
      <ns0:c r="E979" s="0">
        <ns0:f>IFERROR(MID(B979,FIND(".",B979,FIND(".",B979)+1)+1,99),"")</ns0:f>
        <ns0:v>99</ns0:v>
      </ns0:c>
      <ns0:c r="F979" s="0">
        <ns0:f>IFERROR(IF(FIND(".",B979)=5,--C979,--E979),0)</ns0:f>
        <ns0:v>0</ns0:v>
      </ns0:c>
      <ns0:c r="G979" s="0">
        <ns0:f>IFERROR(--D979,0)</ns0:f>
        <ns0:v>0</ns0:v>
      </ns0:c>
      <ns0:c r="H979" s="0">
        <ns0:f>IFERROR(IF(FIND(".",B979)=5,--E979,--C979),0)</ns0:f>
        <ns0:v>0</ns0:v>
      </ns0:c>
      <ns0:c r="I979" s="0">
        <ns0:f>IFERROR(IF(AND(F979&gt;=2000,F979&lt;=2100,G979&gt;=1,G979&lt;=12,H979&gt;=1,H979&lt;=31),DATE(F979,G979,H979),0),0)</ns0:f>
        <ns0:v>0</ns0:v>
      </ns0:c>
      <ns0:c r="J979" s="0">
        <ns0:f>IFERROR(IF(ISNUMBER(Bookings!B979),IF(AND(Bookings!B979=INT(Bookings!B979),Bookings!B979&gt;=DATE(2000,1,1),Bookings!B979&lt;=DATE(2100,12,31)),Bookings!B979,0),IF(AND(A979&lt;&gt;"",LEN("x"&amp;B979)-LEN(SUBSTITUTE("x"&amp;B979,".",""))=2,OR(1&gt;LEN(B979),MID(B979,1,1)=".",ISNUMBER(FIND("x"&amp;MID(B979,1,1),"x0x1x2x3x4x5x6x7x8x9"))),OR(2&gt;LEN(B979),MID(B979,2,1)=".",ISNUMBER(FIND("x"&amp;MID(B979,2,1),"x0x1x2x3x4x5x6x7x8x9"))),OR(3&gt;LEN(B979),MID(B979,3,1)=".",ISNUMBER(FIND("x"&amp;MID(B979,3,1),"x0x1x2x3x4x5x6x7x8x9"))),OR(4&gt;LEN(B979),MID(B979,4,1)=".",ISNUMBER(FIND("x"&amp;MID(B979,4,1),"x0x1x2x3x4x5x6x7x8x9"))),OR(5&gt;LEN(B979),MID(B979,5,1)=".",ISNUMBER(FIND("x"&amp;MID(B979,5,1),"x0x1x2x3x4x5x6x7x8x9"))),OR(6&gt;LEN(B979),MID(B979,6,1)=".",ISNUMBER(FIND("x"&amp;MID(B979,6,1),"x0x1x2x3x4x5x6x7x8x9"))),OR(7&gt;LEN(B979),MID(B979,7,1)=".",ISNUMBER(FIND("x"&amp;MID(B979,7,1),"x0x1x2x3x4x5x6x7x8x9"))),OR(8&gt;LEN(B979),MID(B979,8,1)=".",ISNUMBER(FIND("x"&amp;MID(B979,8,1),"x0x1x2x3x4x5x6x7x8x9"))),OR(9&gt;LEN(B979),MID(B979,9,1)=".",ISNUMBER(FIND("x"&amp;MID(B979,9,1),"x0x1x2x3x4x5x6x7x8x9"))),OR(10&gt;LEN(B979),MID(B979,10,1)=".",ISNUMBER(FIND("x"&amp;MID(B979,10,1),"x0x1x2x3x4x5x6x7x8x9"))),OR(AND(FIND(".",B979)=5,LEN(B979)-FIND(".",B979,FIND(".",B979)+1)&gt;=1,LEN(B979)-FIND(".",B979,FIND(".",B979)+1)&lt;=2),AND(LEN(B979)-FIND(".",B979,FIND(".",B979)+1)=4,FIND(".",B979)&gt;=2,FIND(".",B979)&lt;=3)),FIND(".",B979,FIND(".",B979)+1)-FIND(".",B979)&gt;=2,FIND(".",B979,FIND(".",B979)+1)-FIND(".",B979)&lt;=3,F979&gt;=2000,F979&lt;=2100,YEAR(I979)=F979,MONTH(I979)=G979,DAY(I979)=H979),I979,0)),0)</ns0:f>
        <ns0:v>0</ns0:v>
      </ns0:c>
      <ns0:c r="K979" s="0">
        <ns0:f>IFERROR(IF(ISNUMBER(Bookings!D979),"",TRIM(Bookings!D979&amp;"")),"")</ns0:f>
      </ns0:c>
      <ns0:c r="L979" s="0">
        <ns0:f>IFERROR(SUBSTITUTE(SUBSTITUTE(K979,"/","."),"-","."),"")</ns0:f>
      </ns0:c>
      <ns0:c r="M979" s="0">
        <ns0:f>IFERROR(LEFT(L979,FIND(".",L979)-1),"")</ns0:f>
      </ns0:c>
      <ns0:c r="N979" s="0">
        <ns0:f>IFERROR(MID(L979,FIND(".",L979)+1,FIND(".",L979,FIND(".",L979)+1)-FIND(".",L979)-1),"")</ns0:f>
      </ns0:c>
      <ns0:c r="O979" s="0">
        <ns0:f>IFERROR(MID(L979,FIND(".",L979,FIND(".",L979)+1)+1,99),"")</ns0:f>
        <ns0:v>99</ns0:v>
      </ns0:c>
      <ns0:c r="P979" s="0">
        <ns0:f>IFERROR(IF(FIND(".",L979)=5,--M979,--O979),0)</ns0:f>
        <ns0:v>0</ns0:v>
      </ns0:c>
      <ns0:c r="Q979" s="0">
        <ns0:f>IFERROR(--N979,0)</ns0:f>
        <ns0:v>0</ns0:v>
      </ns0:c>
      <ns0:c r="R979" s="0">
        <ns0:f>IFERROR(IF(FIND(".",L979)=5,--O979,--M979),0)</ns0:f>
        <ns0:v>0</ns0:v>
      </ns0:c>
      <ns0:c r="S979" s="0">
        <ns0:f>IFERROR(IF(AND(P979&gt;=2000,P979&lt;=2100,Q979&gt;=1,Q979&lt;=12,R979&gt;=1,R979&lt;=31),DATE(P979,Q979,R979),0),0)</ns0:f>
        <ns0:v>0</ns0:v>
      </ns0:c>
      <ns0:c r="T979" s="0">
        <ns0:f>IFERROR(IF(ISNUMBER(Bookings!D979),IF(AND(Bookings!D979=INT(Bookings!D979),Bookings!D979&gt;=DATE(2000,1,1),Bookings!D979&lt;=DATE(2100,12,31)),Bookings!D979,0),IF(AND(K979&lt;&gt;"",LEN("x"&amp;L979)-LEN(SUBSTITUTE("x"&amp;L979,".",""))=2,OR(1&gt;LEN(L979),MID(L979,1,1)=".",ISNUMBER(FIND("x"&amp;MID(L979,1,1),"x0x1x2x3x4x5x6x7x8x9"))),OR(2&gt;LEN(L979),MID(L979,2,1)=".",ISNUMBER(FIND("x"&amp;MID(L979,2,1),"x0x1x2x3x4x5x6x7x8x9"))),OR(3&gt;LEN(L979),MID(L979,3,1)=".",ISNUMBER(FIND("x"&amp;MID(L979,3,1),"x0x1x2x3x4x5x6x7x8x9"))),OR(4&gt;LEN(L979),MID(L979,4,1)=".",ISNUMBER(FIND("x"&amp;MID(L979,4,1),"x0x1x2x3x4x5x6x7x8x9"))),OR(5&gt;LEN(L979),MID(L979,5,1)=".",ISNUMBER(FIND("x"&amp;MID(L979,5,1),"x0x1x2x3x4x5x6x7x8x9"))),OR(6&gt;LEN(L979),MID(L979,6,1)=".",ISNUMBER(FIND("x"&amp;MID(L979,6,1),"x0x1x2x3x4x5x6x7x8x9"))),OR(7&gt;LEN(L979),MID(L979,7,1)=".",ISNUMBER(FIND("x"&amp;MID(L979,7,1),"x0x1x2x3x4x5x6x7x8x9"))),OR(8&gt;LEN(L979),MID(L979,8,1)=".",ISNUMBER(FIND("x"&amp;MID(L979,8,1),"x0x1x2x3x4x5x6x7x8x9"))),OR(9&gt;LEN(L979),MID(L979,9,1)=".",ISNUMBER(FIND("x"&amp;MID(L979,9,1),"x0x1x2x3x4x5x6x7x8x9"))),OR(10&gt;LEN(L979),MID(L979,10,1)=".",ISNUMBER(FIND("x"&amp;MID(L979,10,1),"x0x1x2x3x4x5x6x7x8x9"))),OR(AND(FIND(".",L979)=5,LEN(L979)-FIND(".",L979,FIND(".",L979)+1)&gt;=1,LEN(L979)-FIND(".",L979,FIND(".",L979)+1)&lt;=2),AND(LEN(L979)-FIND(".",L979,FIND(".",L979)+1)=4,FIND(".",L979)&gt;=2,FIND(".",L979)&lt;=3)),FIND(".",L979,FIND(".",L979)+1)-FIND(".",L979)&gt;=2,FIND(".",L979,FIND(".",L979)+1)-FIND(".",L979)&lt;=3,P979&gt;=2000,P979&lt;=2100,YEAR(S979)=P979,MONTH(S979)=Q979,DAY(S979)=R979),S979,0)),0)</ns0:f>
        <ns0:v>0</ns0:v>
      </ns0:c>
      <ns0:c r="U979" s="0" t="str">
        <ns0:f>IF(Bookings!C979="","Full day",Bookings!C979)</ns0:f>
        <ns0:v>Full day</ns0:v>
      </ns0:c>
      <ns0:c r="V979" s="0" t="str">
        <ns0:f>IF(Bookings!E979="","Full day",Bookings!E979)</ns0:f>
        <ns0:v>Full day</ns0:v>
      </ns0:c>
      <ns0:c r="W979" s="0">
        <ns0:f>IF(J979=0,0,J979+IF(U979="PM",1,0))</ns0:f>
        <ns0:v>0</ns0:v>
      </ns0:c>
      <ns0:c r="X979" s="0">
        <ns0:f>IF(T979=0,0,T979-IF(V979="PM",1,0))</ns0:f>
        <ns0:v>0</ns0:v>
      </ns0:c>
      <ns0:c r="Y979" s="0">
        <ns0:f>IF(J979=0,0,J979+IF(U979="AM",1,0))</ns0:f>
        <ns0:v>0</ns0:v>
      </ns0:c>
      <ns0:c r="Z979" s="0">
        <ns0:f>IF(T979=0,0,T979-IF(V979="AM",1,0))</ns0:f>
        <ns0:v>0</ns0:v>
      </ns0:c>
      <ns0:c r="AA979" s="0">
        <ns0:f>IFERROR(IF(AND(J979&gt;0,'_Engine'!C979&gt;0,MID('_Engine'!W979,WEEKDAY(J979,2),1)="W",COUNTIF(Settings!$F$18:$F$67,J979)=0),1,0),0)</ns0:f>
        <ns0:v>0</ns0:v>
      </ns0:c>
      <ns0:c r="AB979" s="0">
        <ns0:f>IFERROR(IF(AND(T979&gt;0,'_Engine'!C979&gt;0,MID('_Engine'!W979,WEEKDAY(T979,2),1)="W",COUNTIF(Settings!$F$18:$F$67,T979)=0),1,0),0)</ns0:f>
        <ns0:v>0</ns0:v>
      </ns0:c>
      <ns0:c r="AC979" s="0">
        <ns0:f>IF(AND(J979&gt;0,T979&gt;0,W979&lt;=X979),1,0)</ns0:f>
        <ns0:v>0</ns0:v>
      </ns0:c>
      <ns0:c r="AD979" s="0">
        <ns0:f>IF(AND(J979&gt;0,T979&gt;0,Y979&lt;=Z979),1,0)</ns0:f>
        <ns0:v>0</ns0:v>
      </ns0:c>
    </ns0:row>
    <ns0:row r="980">
      <ns0:c r="A980" s="0">
        <ns0:f>IFERROR(IF(ISNUMBER(Bookings!B980),"",TRIM(Bookings!B980&amp;"")),"")</ns0:f>
      </ns0:c>
      <ns0:c r="B980" s="0">
        <ns0:f>IFERROR(SUBSTITUTE(SUBSTITUTE(A980,"/","."),"-","."),"")</ns0:f>
      </ns0:c>
      <ns0:c r="C980" s="0">
        <ns0:f>IFERROR(LEFT(B980,FIND(".",B980)-1),"")</ns0:f>
      </ns0:c>
      <ns0:c r="D980" s="0">
        <ns0:f>IFERROR(MID(B980,FIND(".",B980)+1,FIND(".",B980,FIND(".",B980)+1)-FIND(".",B980)-1),"")</ns0:f>
      </ns0:c>
      <ns0:c r="E980" s="0">
        <ns0:f>IFERROR(MID(B980,FIND(".",B980,FIND(".",B980)+1)+1,99),"")</ns0:f>
        <ns0:v>99</ns0:v>
      </ns0:c>
      <ns0:c r="F980" s="0">
        <ns0:f>IFERROR(IF(FIND(".",B980)=5,--C980,--E980),0)</ns0:f>
        <ns0:v>0</ns0:v>
      </ns0:c>
      <ns0:c r="G980" s="0">
        <ns0:f>IFERROR(--D980,0)</ns0:f>
        <ns0:v>0</ns0:v>
      </ns0:c>
      <ns0:c r="H980" s="0">
        <ns0:f>IFERROR(IF(FIND(".",B980)=5,--E980,--C980),0)</ns0:f>
        <ns0:v>0</ns0:v>
      </ns0:c>
      <ns0:c r="I980" s="0">
        <ns0:f>IFERROR(IF(AND(F980&gt;=2000,F980&lt;=2100,G980&gt;=1,G980&lt;=12,H980&gt;=1,H980&lt;=31),DATE(F980,G980,H980),0),0)</ns0:f>
        <ns0:v>0</ns0:v>
      </ns0:c>
      <ns0:c r="J980" s="0">
        <ns0:f>IFERROR(IF(ISNUMBER(Bookings!B980),IF(AND(Bookings!B980=INT(Bookings!B980),Bookings!B980&gt;=DATE(2000,1,1),Bookings!B980&lt;=DATE(2100,12,31)),Bookings!B980,0),IF(AND(A980&lt;&gt;"",LEN("x"&amp;B980)-LEN(SUBSTITUTE("x"&amp;B980,".",""))=2,OR(1&gt;LEN(B980),MID(B980,1,1)=".",ISNUMBER(FIND("x"&amp;MID(B980,1,1),"x0x1x2x3x4x5x6x7x8x9"))),OR(2&gt;LEN(B980),MID(B980,2,1)=".",ISNUMBER(FIND("x"&amp;MID(B980,2,1),"x0x1x2x3x4x5x6x7x8x9"))),OR(3&gt;LEN(B980),MID(B980,3,1)=".",ISNUMBER(FIND("x"&amp;MID(B980,3,1),"x0x1x2x3x4x5x6x7x8x9"))),OR(4&gt;LEN(B980),MID(B980,4,1)=".",ISNUMBER(FIND("x"&amp;MID(B980,4,1),"x0x1x2x3x4x5x6x7x8x9"))),OR(5&gt;LEN(B980),MID(B980,5,1)=".",ISNUMBER(FIND("x"&amp;MID(B980,5,1),"x0x1x2x3x4x5x6x7x8x9"))),OR(6&gt;LEN(B980),MID(B980,6,1)=".",ISNUMBER(FIND("x"&amp;MID(B980,6,1),"x0x1x2x3x4x5x6x7x8x9"))),OR(7&gt;LEN(B980),MID(B980,7,1)=".",ISNUMBER(FIND("x"&amp;MID(B980,7,1),"x0x1x2x3x4x5x6x7x8x9"))),OR(8&gt;LEN(B980),MID(B980,8,1)=".",ISNUMBER(FIND("x"&amp;MID(B980,8,1),"x0x1x2x3x4x5x6x7x8x9"))),OR(9&gt;LEN(B980),MID(B980,9,1)=".",ISNUMBER(FIND("x"&amp;MID(B980,9,1),"x0x1x2x3x4x5x6x7x8x9"))),OR(10&gt;LEN(B980),MID(B980,10,1)=".",ISNUMBER(FIND("x"&amp;MID(B980,10,1),"x0x1x2x3x4x5x6x7x8x9"))),OR(AND(FIND(".",B980)=5,LEN(B980)-FIND(".",B980,FIND(".",B980)+1)&gt;=1,LEN(B980)-FIND(".",B980,FIND(".",B980)+1)&lt;=2),AND(LEN(B980)-FIND(".",B980,FIND(".",B980)+1)=4,FIND(".",B980)&gt;=2,FIND(".",B980)&lt;=3)),FIND(".",B980,FIND(".",B980)+1)-FIND(".",B980)&gt;=2,FIND(".",B980,FIND(".",B980)+1)-FIND(".",B980)&lt;=3,F980&gt;=2000,F980&lt;=2100,YEAR(I980)=F980,MONTH(I980)=G980,DAY(I980)=H980),I980,0)),0)</ns0:f>
        <ns0:v>0</ns0:v>
      </ns0:c>
      <ns0:c r="K980" s="0">
        <ns0:f>IFERROR(IF(ISNUMBER(Bookings!D980),"",TRIM(Bookings!D980&amp;"")),"")</ns0:f>
      </ns0:c>
      <ns0:c r="L980" s="0">
        <ns0:f>IFERROR(SUBSTITUTE(SUBSTITUTE(K980,"/","."),"-","."),"")</ns0:f>
      </ns0:c>
      <ns0:c r="M980" s="0">
        <ns0:f>IFERROR(LEFT(L980,FIND(".",L980)-1),"")</ns0:f>
      </ns0:c>
      <ns0:c r="N980" s="0">
        <ns0:f>IFERROR(MID(L980,FIND(".",L980)+1,FIND(".",L980,FIND(".",L980)+1)-FIND(".",L980)-1),"")</ns0:f>
      </ns0:c>
      <ns0:c r="O980" s="0">
        <ns0:f>IFERROR(MID(L980,FIND(".",L980,FIND(".",L980)+1)+1,99),"")</ns0:f>
        <ns0:v>99</ns0:v>
      </ns0:c>
      <ns0:c r="P980" s="0">
        <ns0:f>IFERROR(IF(FIND(".",L980)=5,--M980,--O980),0)</ns0:f>
        <ns0:v>0</ns0:v>
      </ns0:c>
      <ns0:c r="Q980" s="0">
        <ns0:f>IFERROR(--N980,0)</ns0:f>
        <ns0:v>0</ns0:v>
      </ns0:c>
      <ns0:c r="R980" s="0">
        <ns0:f>IFERROR(IF(FIND(".",L980)=5,--O980,--M980),0)</ns0:f>
        <ns0:v>0</ns0:v>
      </ns0:c>
      <ns0:c r="S980" s="0">
        <ns0:f>IFERROR(IF(AND(P980&gt;=2000,P980&lt;=2100,Q980&gt;=1,Q980&lt;=12,R980&gt;=1,R980&lt;=31),DATE(P980,Q980,R980),0),0)</ns0:f>
        <ns0:v>0</ns0:v>
      </ns0:c>
      <ns0:c r="T980" s="0">
        <ns0:f>IFERROR(IF(ISNUMBER(Bookings!D980),IF(AND(Bookings!D980=INT(Bookings!D980),Bookings!D980&gt;=DATE(2000,1,1),Bookings!D980&lt;=DATE(2100,12,31)),Bookings!D980,0),IF(AND(K980&lt;&gt;"",LEN("x"&amp;L980)-LEN(SUBSTITUTE("x"&amp;L980,".",""))=2,OR(1&gt;LEN(L980),MID(L980,1,1)=".",ISNUMBER(FIND("x"&amp;MID(L980,1,1),"x0x1x2x3x4x5x6x7x8x9"))),OR(2&gt;LEN(L980),MID(L980,2,1)=".",ISNUMBER(FIND("x"&amp;MID(L980,2,1),"x0x1x2x3x4x5x6x7x8x9"))),OR(3&gt;LEN(L980),MID(L980,3,1)=".",ISNUMBER(FIND("x"&amp;MID(L980,3,1),"x0x1x2x3x4x5x6x7x8x9"))),OR(4&gt;LEN(L980),MID(L980,4,1)=".",ISNUMBER(FIND("x"&amp;MID(L980,4,1),"x0x1x2x3x4x5x6x7x8x9"))),OR(5&gt;LEN(L980),MID(L980,5,1)=".",ISNUMBER(FIND("x"&amp;MID(L980,5,1),"x0x1x2x3x4x5x6x7x8x9"))),OR(6&gt;LEN(L980),MID(L980,6,1)=".",ISNUMBER(FIND("x"&amp;MID(L980,6,1),"x0x1x2x3x4x5x6x7x8x9"))),OR(7&gt;LEN(L980),MID(L980,7,1)=".",ISNUMBER(FIND("x"&amp;MID(L980,7,1),"x0x1x2x3x4x5x6x7x8x9"))),OR(8&gt;LEN(L980),MID(L980,8,1)=".",ISNUMBER(FIND("x"&amp;MID(L980,8,1),"x0x1x2x3x4x5x6x7x8x9"))),OR(9&gt;LEN(L980),MID(L980,9,1)=".",ISNUMBER(FIND("x"&amp;MID(L980,9,1),"x0x1x2x3x4x5x6x7x8x9"))),OR(10&gt;LEN(L980),MID(L980,10,1)=".",ISNUMBER(FIND("x"&amp;MID(L980,10,1),"x0x1x2x3x4x5x6x7x8x9"))),OR(AND(FIND(".",L980)=5,LEN(L980)-FIND(".",L980,FIND(".",L980)+1)&gt;=1,LEN(L980)-FIND(".",L980,FIND(".",L980)+1)&lt;=2),AND(LEN(L980)-FIND(".",L980,FIND(".",L980)+1)=4,FIND(".",L980)&gt;=2,FIND(".",L980)&lt;=3)),FIND(".",L980,FIND(".",L980)+1)-FIND(".",L980)&gt;=2,FIND(".",L980,FIND(".",L980)+1)-FIND(".",L980)&lt;=3,P980&gt;=2000,P980&lt;=2100,YEAR(S980)=P980,MONTH(S980)=Q980,DAY(S980)=R980),S980,0)),0)</ns0:f>
        <ns0:v>0</ns0:v>
      </ns0:c>
      <ns0:c r="U980" s="0" t="str">
        <ns0:f>IF(Bookings!C980="","Full day",Bookings!C980)</ns0:f>
        <ns0:v>Full day</ns0:v>
      </ns0:c>
      <ns0:c r="V980" s="0" t="str">
        <ns0:f>IF(Bookings!E980="","Full day",Bookings!E980)</ns0:f>
        <ns0:v>Full day</ns0:v>
      </ns0:c>
      <ns0:c r="W980" s="0">
        <ns0:f>IF(J980=0,0,J980+IF(U980="PM",1,0))</ns0:f>
        <ns0:v>0</ns0:v>
      </ns0:c>
      <ns0:c r="X980" s="0">
        <ns0:f>IF(T980=0,0,T980-IF(V980="PM",1,0))</ns0:f>
        <ns0:v>0</ns0:v>
      </ns0:c>
      <ns0:c r="Y980" s="0">
        <ns0:f>IF(J980=0,0,J980+IF(U980="AM",1,0))</ns0:f>
        <ns0:v>0</ns0:v>
      </ns0:c>
      <ns0:c r="Z980" s="0">
        <ns0:f>IF(T980=0,0,T980-IF(V980="AM",1,0))</ns0:f>
        <ns0:v>0</ns0:v>
      </ns0:c>
      <ns0:c r="AA980" s="0">
        <ns0:f>IFERROR(IF(AND(J980&gt;0,'_Engine'!C980&gt;0,MID('_Engine'!W980,WEEKDAY(J980,2),1)="W",COUNTIF(Settings!$F$18:$F$67,J980)=0),1,0),0)</ns0:f>
        <ns0:v>0</ns0:v>
      </ns0:c>
      <ns0:c r="AB980" s="0">
        <ns0:f>IFERROR(IF(AND(T980&gt;0,'_Engine'!C980&gt;0,MID('_Engine'!W980,WEEKDAY(T980,2),1)="W",COUNTIF(Settings!$F$18:$F$67,T980)=0),1,0),0)</ns0:f>
        <ns0:v>0</ns0:v>
      </ns0:c>
      <ns0:c r="AC980" s="0">
        <ns0:f>IF(AND(J980&gt;0,T980&gt;0,W980&lt;=X980),1,0)</ns0:f>
        <ns0:v>0</ns0:v>
      </ns0:c>
      <ns0:c r="AD980" s="0">
        <ns0:f>IF(AND(J980&gt;0,T980&gt;0,Y980&lt;=Z980),1,0)</ns0:f>
        <ns0:v>0</ns0:v>
      </ns0:c>
    </ns0:row>
    <ns0:row r="981">
      <ns0:c r="A981" s="0">
        <ns0:f>IFERROR(IF(ISNUMBER(Bookings!B981),"",TRIM(Bookings!B981&amp;"")),"")</ns0:f>
      </ns0:c>
      <ns0:c r="B981" s="0">
        <ns0:f>IFERROR(SUBSTITUTE(SUBSTITUTE(A981,"/","."),"-","."),"")</ns0:f>
      </ns0:c>
      <ns0:c r="C981" s="0">
        <ns0:f>IFERROR(LEFT(B981,FIND(".",B981)-1),"")</ns0:f>
      </ns0:c>
      <ns0:c r="D981" s="0">
        <ns0:f>IFERROR(MID(B981,FIND(".",B981)+1,FIND(".",B981,FIND(".",B981)+1)-FIND(".",B981)-1),"")</ns0:f>
      </ns0:c>
      <ns0:c r="E981" s="0">
        <ns0:f>IFERROR(MID(B981,FIND(".",B981,FIND(".",B981)+1)+1,99),"")</ns0:f>
        <ns0:v>99</ns0:v>
      </ns0:c>
      <ns0:c r="F981" s="0">
        <ns0:f>IFERROR(IF(FIND(".",B981)=5,--C981,--E981),0)</ns0:f>
        <ns0:v>0</ns0:v>
      </ns0:c>
      <ns0:c r="G981" s="0">
        <ns0:f>IFERROR(--D981,0)</ns0:f>
        <ns0:v>0</ns0:v>
      </ns0:c>
      <ns0:c r="H981" s="0">
        <ns0:f>IFERROR(IF(FIND(".",B981)=5,--E981,--C981),0)</ns0:f>
        <ns0:v>0</ns0:v>
      </ns0:c>
      <ns0:c r="I981" s="0">
        <ns0:f>IFERROR(IF(AND(F981&gt;=2000,F981&lt;=2100,G981&gt;=1,G981&lt;=12,H981&gt;=1,H981&lt;=31),DATE(F981,G981,H981),0),0)</ns0:f>
        <ns0:v>0</ns0:v>
      </ns0:c>
      <ns0:c r="J981" s="0">
        <ns0:f>IFERROR(IF(ISNUMBER(Bookings!B981),IF(AND(Bookings!B981=INT(Bookings!B981),Bookings!B981&gt;=DATE(2000,1,1),Bookings!B981&lt;=DATE(2100,12,31)),Bookings!B981,0),IF(AND(A981&lt;&gt;"",LEN("x"&amp;B981)-LEN(SUBSTITUTE("x"&amp;B981,".",""))=2,OR(1&gt;LEN(B981),MID(B981,1,1)=".",ISNUMBER(FIND("x"&amp;MID(B981,1,1),"x0x1x2x3x4x5x6x7x8x9"))),OR(2&gt;LEN(B981),MID(B981,2,1)=".",ISNUMBER(FIND("x"&amp;MID(B981,2,1),"x0x1x2x3x4x5x6x7x8x9"))),OR(3&gt;LEN(B981),MID(B981,3,1)=".",ISNUMBER(FIND("x"&amp;MID(B981,3,1),"x0x1x2x3x4x5x6x7x8x9"))),OR(4&gt;LEN(B981),MID(B981,4,1)=".",ISNUMBER(FIND("x"&amp;MID(B981,4,1),"x0x1x2x3x4x5x6x7x8x9"))),OR(5&gt;LEN(B981),MID(B981,5,1)=".",ISNUMBER(FIND("x"&amp;MID(B981,5,1),"x0x1x2x3x4x5x6x7x8x9"))),OR(6&gt;LEN(B981),MID(B981,6,1)=".",ISNUMBER(FIND("x"&amp;MID(B981,6,1),"x0x1x2x3x4x5x6x7x8x9"))),OR(7&gt;LEN(B981),MID(B981,7,1)=".",ISNUMBER(FIND("x"&amp;MID(B981,7,1),"x0x1x2x3x4x5x6x7x8x9"))),OR(8&gt;LEN(B981),MID(B981,8,1)=".",ISNUMBER(FIND("x"&amp;MID(B981,8,1),"x0x1x2x3x4x5x6x7x8x9"))),OR(9&gt;LEN(B981),MID(B981,9,1)=".",ISNUMBER(FIND("x"&amp;MID(B981,9,1),"x0x1x2x3x4x5x6x7x8x9"))),OR(10&gt;LEN(B981),MID(B981,10,1)=".",ISNUMBER(FIND("x"&amp;MID(B981,10,1),"x0x1x2x3x4x5x6x7x8x9"))),OR(AND(FIND(".",B981)=5,LEN(B981)-FIND(".",B981,FIND(".",B981)+1)&gt;=1,LEN(B981)-FIND(".",B981,FIND(".",B981)+1)&lt;=2),AND(LEN(B981)-FIND(".",B981,FIND(".",B981)+1)=4,FIND(".",B981)&gt;=2,FIND(".",B981)&lt;=3)),FIND(".",B981,FIND(".",B981)+1)-FIND(".",B981)&gt;=2,FIND(".",B981,FIND(".",B981)+1)-FIND(".",B981)&lt;=3,F981&gt;=2000,F981&lt;=2100,YEAR(I981)=F981,MONTH(I981)=G981,DAY(I981)=H981),I981,0)),0)</ns0:f>
        <ns0:v>0</ns0:v>
      </ns0:c>
      <ns0:c r="K981" s="0">
        <ns0:f>IFERROR(IF(ISNUMBER(Bookings!D981),"",TRIM(Bookings!D981&amp;"")),"")</ns0:f>
      </ns0:c>
      <ns0:c r="L981" s="0">
        <ns0:f>IFERROR(SUBSTITUTE(SUBSTITUTE(K981,"/","."),"-","."),"")</ns0:f>
      </ns0:c>
      <ns0:c r="M981" s="0">
        <ns0:f>IFERROR(LEFT(L981,FIND(".",L981)-1),"")</ns0:f>
      </ns0:c>
      <ns0:c r="N981" s="0">
        <ns0:f>IFERROR(MID(L981,FIND(".",L981)+1,FIND(".",L981,FIND(".",L981)+1)-FIND(".",L981)-1),"")</ns0:f>
      </ns0:c>
      <ns0:c r="O981" s="0">
        <ns0:f>IFERROR(MID(L981,FIND(".",L981,FIND(".",L981)+1)+1,99),"")</ns0:f>
        <ns0:v>99</ns0:v>
      </ns0:c>
      <ns0:c r="P981" s="0">
        <ns0:f>IFERROR(IF(FIND(".",L981)=5,--M981,--O981),0)</ns0:f>
        <ns0:v>0</ns0:v>
      </ns0:c>
      <ns0:c r="Q981" s="0">
        <ns0:f>IFERROR(--N981,0)</ns0:f>
        <ns0:v>0</ns0:v>
      </ns0:c>
      <ns0:c r="R981" s="0">
        <ns0:f>IFERROR(IF(FIND(".",L981)=5,--O981,--M981),0)</ns0:f>
        <ns0:v>0</ns0:v>
      </ns0:c>
      <ns0:c r="S981" s="0">
        <ns0:f>IFERROR(IF(AND(P981&gt;=2000,P981&lt;=2100,Q981&gt;=1,Q981&lt;=12,R981&gt;=1,R981&lt;=31),DATE(P981,Q981,R981),0),0)</ns0:f>
        <ns0:v>0</ns0:v>
      </ns0:c>
      <ns0:c r="T981" s="0">
        <ns0:f>IFERROR(IF(ISNUMBER(Bookings!D981),IF(AND(Bookings!D981=INT(Bookings!D981),Bookings!D981&gt;=DATE(2000,1,1),Bookings!D981&lt;=DATE(2100,12,31)),Bookings!D981,0),IF(AND(K981&lt;&gt;"",LEN("x"&amp;L981)-LEN(SUBSTITUTE("x"&amp;L981,".",""))=2,OR(1&gt;LEN(L981),MID(L981,1,1)=".",ISNUMBER(FIND("x"&amp;MID(L981,1,1),"x0x1x2x3x4x5x6x7x8x9"))),OR(2&gt;LEN(L981),MID(L981,2,1)=".",ISNUMBER(FIND("x"&amp;MID(L981,2,1),"x0x1x2x3x4x5x6x7x8x9"))),OR(3&gt;LEN(L981),MID(L981,3,1)=".",ISNUMBER(FIND("x"&amp;MID(L981,3,1),"x0x1x2x3x4x5x6x7x8x9"))),OR(4&gt;LEN(L981),MID(L981,4,1)=".",ISNUMBER(FIND("x"&amp;MID(L981,4,1),"x0x1x2x3x4x5x6x7x8x9"))),OR(5&gt;LEN(L981),MID(L981,5,1)=".",ISNUMBER(FIND("x"&amp;MID(L981,5,1),"x0x1x2x3x4x5x6x7x8x9"))),OR(6&gt;LEN(L981),MID(L981,6,1)=".",ISNUMBER(FIND("x"&amp;MID(L981,6,1),"x0x1x2x3x4x5x6x7x8x9"))),OR(7&gt;LEN(L981),MID(L981,7,1)=".",ISNUMBER(FIND("x"&amp;MID(L981,7,1),"x0x1x2x3x4x5x6x7x8x9"))),OR(8&gt;LEN(L981),MID(L981,8,1)=".",ISNUMBER(FIND("x"&amp;MID(L981,8,1),"x0x1x2x3x4x5x6x7x8x9"))),OR(9&gt;LEN(L981),MID(L981,9,1)=".",ISNUMBER(FIND("x"&amp;MID(L981,9,1),"x0x1x2x3x4x5x6x7x8x9"))),OR(10&gt;LEN(L981),MID(L981,10,1)=".",ISNUMBER(FIND("x"&amp;MID(L981,10,1),"x0x1x2x3x4x5x6x7x8x9"))),OR(AND(FIND(".",L981)=5,LEN(L981)-FIND(".",L981,FIND(".",L981)+1)&gt;=1,LEN(L981)-FIND(".",L981,FIND(".",L981)+1)&lt;=2),AND(LEN(L981)-FIND(".",L981,FIND(".",L981)+1)=4,FIND(".",L981)&gt;=2,FIND(".",L981)&lt;=3)),FIND(".",L981,FIND(".",L981)+1)-FIND(".",L981)&gt;=2,FIND(".",L981,FIND(".",L981)+1)-FIND(".",L981)&lt;=3,P981&gt;=2000,P981&lt;=2100,YEAR(S981)=P981,MONTH(S981)=Q981,DAY(S981)=R981),S981,0)),0)</ns0:f>
        <ns0:v>0</ns0:v>
      </ns0:c>
      <ns0:c r="U981" s="0" t="str">
        <ns0:f>IF(Bookings!C981="","Full day",Bookings!C981)</ns0:f>
        <ns0:v>Full day</ns0:v>
      </ns0:c>
      <ns0:c r="V981" s="0" t="str">
        <ns0:f>IF(Bookings!E981="","Full day",Bookings!E981)</ns0:f>
        <ns0:v>Full day</ns0:v>
      </ns0:c>
      <ns0:c r="W981" s="0">
        <ns0:f>IF(J981=0,0,J981+IF(U981="PM",1,0))</ns0:f>
        <ns0:v>0</ns0:v>
      </ns0:c>
      <ns0:c r="X981" s="0">
        <ns0:f>IF(T981=0,0,T981-IF(V981="PM",1,0))</ns0:f>
        <ns0:v>0</ns0:v>
      </ns0:c>
      <ns0:c r="Y981" s="0">
        <ns0:f>IF(J981=0,0,J981+IF(U981="AM",1,0))</ns0:f>
        <ns0:v>0</ns0:v>
      </ns0:c>
      <ns0:c r="Z981" s="0">
        <ns0:f>IF(T981=0,0,T981-IF(V981="AM",1,0))</ns0:f>
        <ns0:v>0</ns0:v>
      </ns0:c>
      <ns0:c r="AA981" s="0">
        <ns0:f>IFERROR(IF(AND(J981&gt;0,'_Engine'!C981&gt;0,MID('_Engine'!W981,WEEKDAY(J981,2),1)="W",COUNTIF(Settings!$F$18:$F$67,J981)=0),1,0),0)</ns0:f>
        <ns0:v>0</ns0:v>
      </ns0:c>
      <ns0:c r="AB981" s="0">
        <ns0:f>IFERROR(IF(AND(T981&gt;0,'_Engine'!C981&gt;0,MID('_Engine'!W981,WEEKDAY(T981,2),1)="W",COUNTIF(Settings!$F$18:$F$67,T981)=0),1,0),0)</ns0:f>
        <ns0:v>0</ns0:v>
      </ns0:c>
      <ns0:c r="AC981" s="0">
        <ns0:f>IF(AND(J981&gt;0,T981&gt;0,W981&lt;=X981),1,0)</ns0:f>
        <ns0:v>0</ns0:v>
      </ns0:c>
      <ns0:c r="AD981" s="0">
        <ns0:f>IF(AND(J981&gt;0,T981&gt;0,Y981&lt;=Z981),1,0)</ns0:f>
        <ns0:v>0</ns0:v>
      </ns0:c>
    </ns0:row>
    <ns0:row r="982">
      <ns0:c r="A982" s="0">
        <ns0:f>IFERROR(IF(ISNUMBER(Bookings!B982),"",TRIM(Bookings!B982&amp;"")),"")</ns0:f>
      </ns0:c>
      <ns0:c r="B982" s="0">
        <ns0:f>IFERROR(SUBSTITUTE(SUBSTITUTE(A982,"/","."),"-","."),"")</ns0:f>
      </ns0:c>
      <ns0:c r="C982" s="0">
        <ns0:f>IFERROR(LEFT(B982,FIND(".",B982)-1),"")</ns0:f>
      </ns0:c>
      <ns0:c r="D982" s="0">
        <ns0:f>IFERROR(MID(B982,FIND(".",B982)+1,FIND(".",B982,FIND(".",B982)+1)-FIND(".",B982)-1),"")</ns0:f>
      </ns0:c>
      <ns0:c r="E982" s="0">
        <ns0:f>IFERROR(MID(B982,FIND(".",B982,FIND(".",B982)+1)+1,99),"")</ns0:f>
        <ns0:v>99</ns0:v>
      </ns0:c>
      <ns0:c r="F982" s="0">
        <ns0:f>IFERROR(IF(FIND(".",B982)=5,--C982,--E982),0)</ns0:f>
        <ns0:v>0</ns0:v>
      </ns0:c>
      <ns0:c r="G982" s="0">
        <ns0:f>IFERROR(--D982,0)</ns0:f>
        <ns0:v>0</ns0:v>
      </ns0:c>
      <ns0:c r="H982" s="0">
        <ns0:f>IFERROR(IF(FIND(".",B982)=5,--E982,--C982),0)</ns0:f>
        <ns0:v>0</ns0:v>
      </ns0:c>
      <ns0:c r="I982" s="0">
        <ns0:f>IFERROR(IF(AND(F982&gt;=2000,F982&lt;=2100,G982&gt;=1,G982&lt;=12,H982&gt;=1,H982&lt;=31),DATE(F982,G982,H982),0),0)</ns0:f>
        <ns0:v>0</ns0:v>
      </ns0:c>
      <ns0:c r="J982" s="0">
        <ns0:f>IFERROR(IF(ISNUMBER(Bookings!B982),IF(AND(Bookings!B982=INT(Bookings!B982),Bookings!B982&gt;=DATE(2000,1,1),Bookings!B982&lt;=DATE(2100,12,31)),Bookings!B982,0),IF(AND(A982&lt;&gt;"",LEN("x"&amp;B982)-LEN(SUBSTITUTE("x"&amp;B982,".",""))=2,OR(1&gt;LEN(B982),MID(B982,1,1)=".",ISNUMBER(FIND("x"&amp;MID(B982,1,1),"x0x1x2x3x4x5x6x7x8x9"))),OR(2&gt;LEN(B982),MID(B982,2,1)=".",ISNUMBER(FIND("x"&amp;MID(B982,2,1),"x0x1x2x3x4x5x6x7x8x9"))),OR(3&gt;LEN(B982),MID(B982,3,1)=".",ISNUMBER(FIND("x"&amp;MID(B982,3,1),"x0x1x2x3x4x5x6x7x8x9"))),OR(4&gt;LEN(B982),MID(B982,4,1)=".",ISNUMBER(FIND("x"&amp;MID(B982,4,1),"x0x1x2x3x4x5x6x7x8x9"))),OR(5&gt;LEN(B982),MID(B982,5,1)=".",ISNUMBER(FIND("x"&amp;MID(B982,5,1),"x0x1x2x3x4x5x6x7x8x9"))),OR(6&gt;LEN(B982),MID(B982,6,1)=".",ISNUMBER(FIND("x"&amp;MID(B982,6,1),"x0x1x2x3x4x5x6x7x8x9"))),OR(7&gt;LEN(B982),MID(B982,7,1)=".",ISNUMBER(FIND("x"&amp;MID(B982,7,1),"x0x1x2x3x4x5x6x7x8x9"))),OR(8&gt;LEN(B982),MID(B982,8,1)=".",ISNUMBER(FIND("x"&amp;MID(B982,8,1),"x0x1x2x3x4x5x6x7x8x9"))),OR(9&gt;LEN(B982),MID(B982,9,1)=".",ISNUMBER(FIND("x"&amp;MID(B982,9,1),"x0x1x2x3x4x5x6x7x8x9"))),OR(10&gt;LEN(B982),MID(B982,10,1)=".",ISNUMBER(FIND("x"&amp;MID(B982,10,1),"x0x1x2x3x4x5x6x7x8x9"))),OR(AND(FIND(".",B982)=5,LEN(B982)-FIND(".",B982,FIND(".",B982)+1)&gt;=1,LEN(B982)-FIND(".",B982,FIND(".",B982)+1)&lt;=2),AND(LEN(B982)-FIND(".",B982,FIND(".",B982)+1)=4,FIND(".",B982)&gt;=2,FIND(".",B982)&lt;=3)),FIND(".",B982,FIND(".",B982)+1)-FIND(".",B982)&gt;=2,FIND(".",B982,FIND(".",B982)+1)-FIND(".",B982)&lt;=3,F982&gt;=2000,F982&lt;=2100,YEAR(I982)=F982,MONTH(I982)=G982,DAY(I982)=H982),I982,0)),0)</ns0:f>
        <ns0:v>0</ns0:v>
      </ns0:c>
      <ns0:c r="K982" s="0">
        <ns0:f>IFERROR(IF(ISNUMBER(Bookings!D982),"",TRIM(Bookings!D982&amp;"")),"")</ns0:f>
      </ns0:c>
      <ns0:c r="L982" s="0">
        <ns0:f>IFERROR(SUBSTITUTE(SUBSTITUTE(K982,"/","."),"-","."),"")</ns0:f>
      </ns0:c>
      <ns0:c r="M982" s="0">
        <ns0:f>IFERROR(LEFT(L982,FIND(".",L982)-1),"")</ns0:f>
      </ns0:c>
      <ns0:c r="N982" s="0">
        <ns0:f>IFERROR(MID(L982,FIND(".",L982)+1,FIND(".",L982,FIND(".",L982)+1)-FIND(".",L982)-1),"")</ns0:f>
      </ns0:c>
      <ns0:c r="O982" s="0">
        <ns0:f>IFERROR(MID(L982,FIND(".",L982,FIND(".",L982)+1)+1,99),"")</ns0:f>
        <ns0:v>99</ns0:v>
      </ns0:c>
      <ns0:c r="P982" s="0">
        <ns0:f>IFERROR(IF(FIND(".",L982)=5,--M982,--O982),0)</ns0:f>
        <ns0:v>0</ns0:v>
      </ns0:c>
      <ns0:c r="Q982" s="0">
        <ns0:f>IFERROR(--N982,0)</ns0:f>
        <ns0:v>0</ns0:v>
      </ns0:c>
      <ns0:c r="R982" s="0">
        <ns0:f>IFERROR(IF(FIND(".",L982)=5,--O982,--M982),0)</ns0:f>
        <ns0:v>0</ns0:v>
      </ns0:c>
      <ns0:c r="S982" s="0">
        <ns0:f>IFERROR(IF(AND(P982&gt;=2000,P982&lt;=2100,Q982&gt;=1,Q982&lt;=12,R982&gt;=1,R982&lt;=31),DATE(P982,Q982,R982),0),0)</ns0:f>
        <ns0:v>0</ns0:v>
      </ns0:c>
      <ns0:c r="T982" s="0">
        <ns0:f>IFERROR(IF(ISNUMBER(Bookings!D982),IF(AND(Bookings!D982=INT(Bookings!D982),Bookings!D982&gt;=DATE(2000,1,1),Bookings!D982&lt;=DATE(2100,12,31)),Bookings!D982,0),IF(AND(K982&lt;&gt;"",LEN("x"&amp;L982)-LEN(SUBSTITUTE("x"&amp;L982,".",""))=2,OR(1&gt;LEN(L982),MID(L982,1,1)=".",ISNUMBER(FIND("x"&amp;MID(L982,1,1),"x0x1x2x3x4x5x6x7x8x9"))),OR(2&gt;LEN(L982),MID(L982,2,1)=".",ISNUMBER(FIND("x"&amp;MID(L982,2,1),"x0x1x2x3x4x5x6x7x8x9"))),OR(3&gt;LEN(L982),MID(L982,3,1)=".",ISNUMBER(FIND("x"&amp;MID(L982,3,1),"x0x1x2x3x4x5x6x7x8x9"))),OR(4&gt;LEN(L982),MID(L982,4,1)=".",ISNUMBER(FIND("x"&amp;MID(L982,4,1),"x0x1x2x3x4x5x6x7x8x9"))),OR(5&gt;LEN(L982),MID(L982,5,1)=".",ISNUMBER(FIND("x"&amp;MID(L982,5,1),"x0x1x2x3x4x5x6x7x8x9"))),OR(6&gt;LEN(L982),MID(L982,6,1)=".",ISNUMBER(FIND("x"&amp;MID(L982,6,1),"x0x1x2x3x4x5x6x7x8x9"))),OR(7&gt;LEN(L982),MID(L982,7,1)=".",ISNUMBER(FIND("x"&amp;MID(L982,7,1),"x0x1x2x3x4x5x6x7x8x9"))),OR(8&gt;LEN(L982),MID(L982,8,1)=".",ISNUMBER(FIND("x"&amp;MID(L982,8,1),"x0x1x2x3x4x5x6x7x8x9"))),OR(9&gt;LEN(L982),MID(L982,9,1)=".",ISNUMBER(FIND("x"&amp;MID(L982,9,1),"x0x1x2x3x4x5x6x7x8x9"))),OR(10&gt;LEN(L982),MID(L982,10,1)=".",ISNUMBER(FIND("x"&amp;MID(L982,10,1),"x0x1x2x3x4x5x6x7x8x9"))),OR(AND(FIND(".",L982)=5,LEN(L982)-FIND(".",L982,FIND(".",L982)+1)&gt;=1,LEN(L982)-FIND(".",L982,FIND(".",L982)+1)&lt;=2),AND(LEN(L982)-FIND(".",L982,FIND(".",L982)+1)=4,FIND(".",L982)&gt;=2,FIND(".",L982)&lt;=3)),FIND(".",L982,FIND(".",L982)+1)-FIND(".",L982)&gt;=2,FIND(".",L982,FIND(".",L982)+1)-FIND(".",L982)&lt;=3,P982&gt;=2000,P982&lt;=2100,YEAR(S982)=P982,MONTH(S982)=Q982,DAY(S982)=R982),S982,0)),0)</ns0:f>
        <ns0:v>0</ns0:v>
      </ns0:c>
      <ns0:c r="U982" s="0" t="str">
        <ns0:f>IF(Bookings!C982="","Full day",Bookings!C982)</ns0:f>
        <ns0:v>Full day</ns0:v>
      </ns0:c>
      <ns0:c r="V982" s="0" t="str">
        <ns0:f>IF(Bookings!E982="","Full day",Bookings!E982)</ns0:f>
        <ns0:v>Full day</ns0:v>
      </ns0:c>
      <ns0:c r="W982" s="0">
        <ns0:f>IF(J982=0,0,J982+IF(U982="PM",1,0))</ns0:f>
        <ns0:v>0</ns0:v>
      </ns0:c>
      <ns0:c r="X982" s="0">
        <ns0:f>IF(T982=0,0,T982-IF(V982="PM",1,0))</ns0:f>
        <ns0:v>0</ns0:v>
      </ns0:c>
      <ns0:c r="Y982" s="0">
        <ns0:f>IF(J982=0,0,J982+IF(U982="AM",1,0))</ns0:f>
        <ns0:v>0</ns0:v>
      </ns0:c>
      <ns0:c r="Z982" s="0">
        <ns0:f>IF(T982=0,0,T982-IF(V982="AM",1,0))</ns0:f>
        <ns0:v>0</ns0:v>
      </ns0:c>
      <ns0:c r="AA982" s="0">
        <ns0:f>IFERROR(IF(AND(J982&gt;0,'_Engine'!C982&gt;0,MID('_Engine'!W982,WEEKDAY(J982,2),1)="W",COUNTIF(Settings!$F$18:$F$67,J982)=0),1,0),0)</ns0:f>
        <ns0:v>0</ns0:v>
      </ns0:c>
      <ns0:c r="AB982" s="0">
        <ns0:f>IFERROR(IF(AND(T982&gt;0,'_Engine'!C982&gt;0,MID('_Engine'!W982,WEEKDAY(T982,2),1)="W",COUNTIF(Settings!$F$18:$F$67,T982)=0),1,0),0)</ns0:f>
        <ns0:v>0</ns0:v>
      </ns0:c>
      <ns0:c r="AC982" s="0">
        <ns0:f>IF(AND(J982&gt;0,T982&gt;0,W982&lt;=X982),1,0)</ns0:f>
        <ns0:v>0</ns0:v>
      </ns0:c>
      <ns0:c r="AD982" s="0">
        <ns0:f>IF(AND(J982&gt;0,T982&gt;0,Y982&lt;=Z982),1,0)</ns0:f>
        <ns0:v>0</ns0:v>
      </ns0:c>
    </ns0:row>
    <ns0:row r="983">
      <ns0:c r="A983" s="0">
        <ns0:f>IFERROR(IF(ISNUMBER(Bookings!B983),"",TRIM(Bookings!B983&amp;"")),"")</ns0:f>
      </ns0:c>
      <ns0:c r="B983" s="0">
        <ns0:f>IFERROR(SUBSTITUTE(SUBSTITUTE(A983,"/","."),"-","."),"")</ns0:f>
      </ns0:c>
      <ns0:c r="C983" s="0">
        <ns0:f>IFERROR(LEFT(B983,FIND(".",B983)-1),"")</ns0:f>
      </ns0:c>
      <ns0:c r="D983" s="0">
        <ns0:f>IFERROR(MID(B983,FIND(".",B983)+1,FIND(".",B983,FIND(".",B983)+1)-FIND(".",B983)-1),"")</ns0:f>
      </ns0:c>
      <ns0:c r="E983" s="0">
        <ns0:f>IFERROR(MID(B983,FIND(".",B983,FIND(".",B983)+1)+1,99),"")</ns0:f>
        <ns0:v>99</ns0:v>
      </ns0:c>
      <ns0:c r="F983" s="0">
        <ns0:f>IFERROR(IF(FIND(".",B983)=5,--C983,--E983),0)</ns0:f>
        <ns0:v>0</ns0:v>
      </ns0:c>
      <ns0:c r="G983" s="0">
        <ns0:f>IFERROR(--D983,0)</ns0:f>
        <ns0:v>0</ns0:v>
      </ns0:c>
      <ns0:c r="H983" s="0">
        <ns0:f>IFERROR(IF(FIND(".",B983)=5,--E983,--C983),0)</ns0:f>
        <ns0:v>0</ns0:v>
      </ns0:c>
      <ns0:c r="I983" s="0">
        <ns0:f>IFERROR(IF(AND(F983&gt;=2000,F983&lt;=2100,G983&gt;=1,G983&lt;=12,H983&gt;=1,H983&lt;=31),DATE(F983,G983,H983),0),0)</ns0:f>
        <ns0:v>0</ns0:v>
      </ns0:c>
      <ns0:c r="J983" s="0">
        <ns0:f>IFERROR(IF(ISNUMBER(Bookings!B983),IF(AND(Bookings!B983=INT(Bookings!B983),Bookings!B983&gt;=DATE(2000,1,1),Bookings!B983&lt;=DATE(2100,12,31)),Bookings!B983,0),IF(AND(A983&lt;&gt;"",LEN("x"&amp;B983)-LEN(SUBSTITUTE("x"&amp;B983,".",""))=2,OR(1&gt;LEN(B983),MID(B983,1,1)=".",ISNUMBER(FIND("x"&amp;MID(B983,1,1),"x0x1x2x3x4x5x6x7x8x9"))),OR(2&gt;LEN(B983),MID(B983,2,1)=".",ISNUMBER(FIND("x"&amp;MID(B983,2,1),"x0x1x2x3x4x5x6x7x8x9"))),OR(3&gt;LEN(B983),MID(B983,3,1)=".",ISNUMBER(FIND("x"&amp;MID(B983,3,1),"x0x1x2x3x4x5x6x7x8x9"))),OR(4&gt;LEN(B983),MID(B983,4,1)=".",ISNUMBER(FIND("x"&amp;MID(B983,4,1),"x0x1x2x3x4x5x6x7x8x9"))),OR(5&gt;LEN(B983),MID(B983,5,1)=".",ISNUMBER(FIND("x"&amp;MID(B983,5,1),"x0x1x2x3x4x5x6x7x8x9"))),OR(6&gt;LEN(B983),MID(B983,6,1)=".",ISNUMBER(FIND("x"&amp;MID(B983,6,1),"x0x1x2x3x4x5x6x7x8x9"))),OR(7&gt;LEN(B983),MID(B983,7,1)=".",ISNUMBER(FIND("x"&amp;MID(B983,7,1),"x0x1x2x3x4x5x6x7x8x9"))),OR(8&gt;LEN(B983),MID(B983,8,1)=".",ISNUMBER(FIND("x"&amp;MID(B983,8,1),"x0x1x2x3x4x5x6x7x8x9"))),OR(9&gt;LEN(B983),MID(B983,9,1)=".",ISNUMBER(FIND("x"&amp;MID(B983,9,1),"x0x1x2x3x4x5x6x7x8x9"))),OR(10&gt;LEN(B983),MID(B983,10,1)=".",ISNUMBER(FIND("x"&amp;MID(B983,10,1),"x0x1x2x3x4x5x6x7x8x9"))),OR(AND(FIND(".",B983)=5,LEN(B983)-FIND(".",B983,FIND(".",B983)+1)&gt;=1,LEN(B983)-FIND(".",B983,FIND(".",B983)+1)&lt;=2),AND(LEN(B983)-FIND(".",B983,FIND(".",B983)+1)=4,FIND(".",B983)&gt;=2,FIND(".",B983)&lt;=3)),FIND(".",B983,FIND(".",B983)+1)-FIND(".",B983)&gt;=2,FIND(".",B983,FIND(".",B983)+1)-FIND(".",B983)&lt;=3,F983&gt;=2000,F983&lt;=2100,YEAR(I983)=F983,MONTH(I983)=G983,DAY(I983)=H983),I983,0)),0)</ns0:f>
        <ns0:v>0</ns0:v>
      </ns0:c>
      <ns0:c r="K983" s="0">
        <ns0:f>IFERROR(IF(ISNUMBER(Bookings!D983),"",TRIM(Bookings!D983&amp;"")),"")</ns0:f>
      </ns0:c>
      <ns0:c r="L983" s="0">
        <ns0:f>IFERROR(SUBSTITUTE(SUBSTITUTE(K983,"/","."),"-","."),"")</ns0:f>
      </ns0:c>
      <ns0:c r="M983" s="0">
        <ns0:f>IFERROR(LEFT(L983,FIND(".",L983)-1),"")</ns0:f>
      </ns0:c>
      <ns0:c r="N983" s="0">
        <ns0:f>IFERROR(MID(L983,FIND(".",L983)+1,FIND(".",L983,FIND(".",L983)+1)-FIND(".",L983)-1),"")</ns0:f>
      </ns0:c>
      <ns0:c r="O983" s="0">
        <ns0:f>IFERROR(MID(L983,FIND(".",L983,FIND(".",L983)+1)+1,99),"")</ns0:f>
        <ns0:v>99</ns0:v>
      </ns0:c>
      <ns0:c r="P983" s="0">
        <ns0:f>IFERROR(IF(FIND(".",L983)=5,--M983,--O983),0)</ns0:f>
        <ns0:v>0</ns0:v>
      </ns0:c>
      <ns0:c r="Q983" s="0">
        <ns0:f>IFERROR(--N983,0)</ns0:f>
        <ns0:v>0</ns0:v>
      </ns0:c>
      <ns0:c r="R983" s="0">
        <ns0:f>IFERROR(IF(FIND(".",L983)=5,--O983,--M983),0)</ns0:f>
        <ns0:v>0</ns0:v>
      </ns0:c>
      <ns0:c r="S983" s="0">
        <ns0:f>IFERROR(IF(AND(P983&gt;=2000,P983&lt;=2100,Q983&gt;=1,Q983&lt;=12,R983&gt;=1,R983&lt;=31),DATE(P983,Q983,R983),0),0)</ns0:f>
        <ns0:v>0</ns0:v>
      </ns0:c>
      <ns0:c r="T983" s="0">
        <ns0:f>IFERROR(IF(ISNUMBER(Bookings!D983),IF(AND(Bookings!D983=INT(Bookings!D983),Bookings!D983&gt;=DATE(2000,1,1),Bookings!D983&lt;=DATE(2100,12,31)),Bookings!D983,0),IF(AND(K983&lt;&gt;"",LEN("x"&amp;L983)-LEN(SUBSTITUTE("x"&amp;L983,".",""))=2,OR(1&gt;LEN(L983),MID(L983,1,1)=".",ISNUMBER(FIND("x"&amp;MID(L983,1,1),"x0x1x2x3x4x5x6x7x8x9"))),OR(2&gt;LEN(L983),MID(L983,2,1)=".",ISNUMBER(FIND("x"&amp;MID(L983,2,1),"x0x1x2x3x4x5x6x7x8x9"))),OR(3&gt;LEN(L983),MID(L983,3,1)=".",ISNUMBER(FIND("x"&amp;MID(L983,3,1),"x0x1x2x3x4x5x6x7x8x9"))),OR(4&gt;LEN(L983),MID(L983,4,1)=".",ISNUMBER(FIND("x"&amp;MID(L983,4,1),"x0x1x2x3x4x5x6x7x8x9"))),OR(5&gt;LEN(L983),MID(L983,5,1)=".",ISNUMBER(FIND("x"&amp;MID(L983,5,1),"x0x1x2x3x4x5x6x7x8x9"))),OR(6&gt;LEN(L983),MID(L983,6,1)=".",ISNUMBER(FIND("x"&amp;MID(L983,6,1),"x0x1x2x3x4x5x6x7x8x9"))),OR(7&gt;LEN(L983),MID(L983,7,1)=".",ISNUMBER(FIND("x"&amp;MID(L983,7,1),"x0x1x2x3x4x5x6x7x8x9"))),OR(8&gt;LEN(L983),MID(L983,8,1)=".",ISNUMBER(FIND("x"&amp;MID(L983,8,1),"x0x1x2x3x4x5x6x7x8x9"))),OR(9&gt;LEN(L983),MID(L983,9,1)=".",ISNUMBER(FIND("x"&amp;MID(L983,9,1),"x0x1x2x3x4x5x6x7x8x9"))),OR(10&gt;LEN(L983),MID(L983,10,1)=".",ISNUMBER(FIND("x"&amp;MID(L983,10,1),"x0x1x2x3x4x5x6x7x8x9"))),OR(AND(FIND(".",L983)=5,LEN(L983)-FIND(".",L983,FIND(".",L983)+1)&gt;=1,LEN(L983)-FIND(".",L983,FIND(".",L983)+1)&lt;=2),AND(LEN(L983)-FIND(".",L983,FIND(".",L983)+1)=4,FIND(".",L983)&gt;=2,FIND(".",L983)&lt;=3)),FIND(".",L983,FIND(".",L983)+1)-FIND(".",L983)&gt;=2,FIND(".",L983,FIND(".",L983)+1)-FIND(".",L983)&lt;=3,P983&gt;=2000,P983&lt;=2100,YEAR(S983)=P983,MONTH(S983)=Q983,DAY(S983)=R983),S983,0)),0)</ns0:f>
        <ns0:v>0</ns0:v>
      </ns0:c>
      <ns0:c r="U983" s="0" t="str">
        <ns0:f>IF(Bookings!C983="","Full day",Bookings!C983)</ns0:f>
        <ns0:v>Full day</ns0:v>
      </ns0:c>
      <ns0:c r="V983" s="0" t="str">
        <ns0:f>IF(Bookings!E983="","Full day",Bookings!E983)</ns0:f>
        <ns0:v>Full day</ns0:v>
      </ns0:c>
      <ns0:c r="W983" s="0">
        <ns0:f>IF(J983=0,0,J983+IF(U983="PM",1,0))</ns0:f>
        <ns0:v>0</ns0:v>
      </ns0:c>
      <ns0:c r="X983" s="0">
        <ns0:f>IF(T983=0,0,T983-IF(V983="PM",1,0))</ns0:f>
        <ns0:v>0</ns0:v>
      </ns0:c>
      <ns0:c r="Y983" s="0">
        <ns0:f>IF(J983=0,0,J983+IF(U983="AM",1,0))</ns0:f>
        <ns0:v>0</ns0:v>
      </ns0:c>
      <ns0:c r="Z983" s="0">
        <ns0:f>IF(T983=0,0,T983-IF(V983="AM",1,0))</ns0:f>
        <ns0:v>0</ns0:v>
      </ns0:c>
      <ns0:c r="AA983" s="0">
        <ns0:f>IFERROR(IF(AND(J983&gt;0,'_Engine'!C983&gt;0,MID('_Engine'!W983,WEEKDAY(J983,2),1)="W",COUNTIF(Settings!$F$18:$F$67,J983)=0),1,0),0)</ns0:f>
        <ns0:v>0</ns0:v>
      </ns0:c>
      <ns0:c r="AB983" s="0">
        <ns0:f>IFERROR(IF(AND(T983&gt;0,'_Engine'!C983&gt;0,MID('_Engine'!W983,WEEKDAY(T983,2),1)="W",COUNTIF(Settings!$F$18:$F$67,T983)=0),1,0),0)</ns0:f>
        <ns0:v>0</ns0:v>
      </ns0:c>
      <ns0:c r="AC983" s="0">
        <ns0:f>IF(AND(J983&gt;0,T983&gt;0,W983&lt;=X983),1,0)</ns0:f>
        <ns0:v>0</ns0:v>
      </ns0:c>
      <ns0:c r="AD983" s="0">
        <ns0:f>IF(AND(J983&gt;0,T983&gt;0,Y983&lt;=Z983),1,0)</ns0:f>
        <ns0:v>0</ns0:v>
      </ns0:c>
    </ns0:row>
    <ns0:row r="984">
      <ns0:c r="A984" s="0">
        <ns0:f>IFERROR(IF(ISNUMBER(Bookings!B984),"",TRIM(Bookings!B984&amp;"")),"")</ns0:f>
      </ns0:c>
      <ns0:c r="B984" s="0">
        <ns0:f>IFERROR(SUBSTITUTE(SUBSTITUTE(A984,"/","."),"-","."),"")</ns0:f>
      </ns0:c>
      <ns0:c r="C984" s="0">
        <ns0:f>IFERROR(LEFT(B984,FIND(".",B984)-1),"")</ns0:f>
      </ns0:c>
      <ns0:c r="D984" s="0">
        <ns0:f>IFERROR(MID(B984,FIND(".",B984)+1,FIND(".",B984,FIND(".",B984)+1)-FIND(".",B984)-1),"")</ns0:f>
      </ns0:c>
      <ns0:c r="E984" s="0">
        <ns0:f>IFERROR(MID(B984,FIND(".",B984,FIND(".",B984)+1)+1,99),"")</ns0:f>
        <ns0:v>99</ns0:v>
      </ns0:c>
      <ns0:c r="F984" s="0">
        <ns0:f>IFERROR(IF(FIND(".",B984)=5,--C984,--E984),0)</ns0:f>
        <ns0:v>0</ns0:v>
      </ns0:c>
      <ns0:c r="G984" s="0">
        <ns0:f>IFERROR(--D984,0)</ns0:f>
        <ns0:v>0</ns0:v>
      </ns0:c>
      <ns0:c r="H984" s="0">
        <ns0:f>IFERROR(IF(FIND(".",B984)=5,--E984,--C984),0)</ns0:f>
        <ns0:v>0</ns0:v>
      </ns0:c>
      <ns0:c r="I984" s="0">
        <ns0:f>IFERROR(IF(AND(F984&gt;=2000,F984&lt;=2100,G984&gt;=1,G984&lt;=12,H984&gt;=1,H984&lt;=31),DATE(F984,G984,H984),0),0)</ns0:f>
        <ns0:v>0</ns0:v>
      </ns0:c>
      <ns0:c r="J984" s="0">
        <ns0:f>IFERROR(IF(ISNUMBER(Bookings!B984),IF(AND(Bookings!B984=INT(Bookings!B984),Bookings!B984&gt;=DATE(2000,1,1),Bookings!B984&lt;=DATE(2100,12,31)),Bookings!B984,0),IF(AND(A984&lt;&gt;"",LEN("x"&amp;B984)-LEN(SUBSTITUTE("x"&amp;B984,".",""))=2,OR(1&gt;LEN(B984),MID(B984,1,1)=".",ISNUMBER(FIND("x"&amp;MID(B984,1,1),"x0x1x2x3x4x5x6x7x8x9"))),OR(2&gt;LEN(B984),MID(B984,2,1)=".",ISNUMBER(FIND("x"&amp;MID(B984,2,1),"x0x1x2x3x4x5x6x7x8x9"))),OR(3&gt;LEN(B984),MID(B984,3,1)=".",ISNUMBER(FIND("x"&amp;MID(B984,3,1),"x0x1x2x3x4x5x6x7x8x9"))),OR(4&gt;LEN(B984),MID(B984,4,1)=".",ISNUMBER(FIND("x"&amp;MID(B984,4,1),"x0x1x2x3x4x5x6x7x8x9"))),OR(5&gt;LEN(B984),MID(B984,5,1)=".",ISNUMBER(FIND("x"&amp;MID(B984,5,1),"x0x1x2x3x4x5x6x7x8x9"))),OR(6&gt;LEN(B984),MID(B984,6,1)=".",ISNUMBER(FIND("x"&amp;MID(B984,6,1),"x0x1x2x3x4x5x6x7x8x9"))),OR(7&gt;LEN(B984),MID(B984,7,1)=".",ISNUMBER(FIND("x"&amp;MID(B984,7,1),"x0x1x2x3x4x5x6x7x8x9"))),OR(8&gt;LEN(B984),MID(B984,8,1)=".",ISNUMBER(FIND("x"&amp;MID(B984,8,1),"x0x1x2x3x4x5x6x7x8x9"))),OR(9&gt;LEN(B984),MID(B984,9,1)=".",ISNUMBER(FIND("x"&amp;MID(B984,9,1),"x0x1x2x3x4x5x6x7x8x9"))),OR(10&gt;LEN(B984),MID(B984,10,1)=".",ISNUMBER(FIND("x"&amp;MID(B984,10,1),"x0x1x2x3x4x5x6x7x8x9"))),OR(AND(FIND(".",B984)=5,LEN(B984)-FIND(".",B984,FIND(".",B984)+1)&gt;=1,LEN(B984)-FIND(".",B984,FIND(".",B984)+1)&lt;=2),AND(LEN(B984)-FIND(".",B984,FIND(".",B984)+1)=4,FIND(".",B984)&gt;=2,FIND(".",B984)&lt;=3)),FIND(".",B984,FIND(".",B984)+1)-FIND(".",B984)&gt;=2,FIND(".",B984,FIND(".",B984)+1)-FIND(".",B984)&lt;=3,F984&gt;=2000,F984&lt;=2100,YEAR(I984)=F984,MONTH(I984)=G984,DAY(I984)=H984),I984,0)),0)</ns0:f>
        <ns0:v>0</ns0:v>
      </ns0:c>
      <ns0:c r="K984" s="0">
        <ns0:f>IFERROR(IF(ISNUMBER(Bookings!D984),"",TRIM(Bookings!D984&amp;"")),"")</ns0:f>
      </ns0:c>
      <ns0:c r="L984" s="0">
        <ns0:f>IFERROR(SUBSTITUTE(SUBSTITUTE(K984,"/","."),"-","."),"")</ns0:f>
      </ns0:c>
      <ns0:c r="M984" s="0">
        <ns0:f>IFERROR(LEFT(L984,FIND(".",L984)-1),"")</ns0:f>
      </ns0:c>
      <ns0:c r="N984" s="0">
        <ns0:f>IFERROR(MID(L984,FIND(".",L984)+1,FIND(".",L984,FIND(".",L984)+1)-FIND(".",L984)-1),"")</ns0:f>
      </ns0:c>
      <ns0:c r="O984" s="0">
        <ns0:f>IFERROR(MID(L984,FIND(".",L984,FIND(".",L984)+1)+1,99),"")</ns0:f>
        <ns0:v>99</ns0:v>
      </ns0:c>
      <ns0:c r="P984" s="0">
        <ns0:f>IFERROR(IF(FIND(".",L984)=5,--M984,--O984),0)</ns0:f>
        <ns0:v>0</ns0:v>
      </ns0:c>
      <ns0:c r="Q984" s="0">
        <ns0:f>IFERROR(--N984,0)</ns0:f>
        <ns0:v>0</ns0:v>
      </ns0:c>
      <ns0:c r="R984" s="0">
        <ns0:f>IFERROR(IF(FIND(".",L984)=5,--O984,--M984),0)</ns0:f>
        <ns0:v>0</ns0:v>
      </ns0:c>
      <ns0:c r="S984" s="0">
        <ns0:f>IFERROR(IF(AND(P984&gt;=2000,P984&lt;=2100,Q984&gt;=1,Q984&lt;=12,R984&gt;=1,R984&lt;=31),DATE(P984,Q984,R984),0),0)</ns0:f>
        <ns0:v>0</ns0:v>
      </ns0:c>
      <ns0:c r="T984" s="0">
        <ns0:f>IFERROR(IF(ISNUMBER(Bookings!D984),IF(AND(Bookings!D984=INT(Bookings!D984),Bookings!D984&gt;=DATE(2000,1,1),Bookings!D984&lt;=DATE(2100,12,31)),Bookings!D984,0),IF(AND(K984&lt;&gt;"",LEN("x"&amp;L984)-LEN(SUBSTITUTE("x"&amp;L984,".",""))=2,OR(1&gt;LEN(L984),MID(L984,1,1)=".",ISNUMBER(FIND("x"&amp;MID(L984,1,1),"x0x1x2x3x4x5x6x7x8x9"))),OR(2&gt;LEN(L984),MID(L984,2,1)=".",ISNUMBER(FIND("x"&amp;MID(L984,2,1),"x0x1x2x3x4x5x6x7x8x9"))),OR(3&gt;LEN(L984),MID(L984,3,1)=".",ISNUMBER(FIND("x"&amp;MID(L984,3,1),"x0x1x2x3x4x5x6x7x8x9"))),OR(4&gt;LEN(L984),MID(L984,4,1)=".",ISNUMBER(FIND("x"&amp;MID(L984,4,1),"x0x1x2x3x4x5x6x7x8x9"))),OR(5&gt;LEN(L984),MID(L984,5,1)=".",ISNUMBER(FIND("x"&amp;MID(L984,5,1),"x0x1x2x3x4x5x6x7x8x9"))),OR(6&gt;LEN(L984),MID(L984,6,1)=".",ISNUMBER(FIND("x"&amp;MID(L984,6,1),"x0x1x2x3x4x5x6x7x8x9"))),OR(7&gt;LEN(L984),MID(L984,7,1)=".",ISNUMBER(FIND("x"&amp;MID(L984,7,1),"x0x1x2x3x4x5x6x7x8x9"))),OR(8&gt;LEN(L984),MID(L984,8,1)=".",ISNUMBER(FIND("x"&amp;MID(L984,8,1),"x0x1x2x3x4x5x6x7x8x9"))),OR(9&gt;LEN(L984),MID(L984,9,1)=".",ISNUMBER(FIND("x"&amp;MID(L984,9,1),"x0x1x2x3x4x5x6x7x8x9"))),OR(10&gt;LEN(L984),MID(L984,10,1)=".",ISNUMBER(FIND("x"&amp;MID(L984,10,1),"x0x1x2x3x4x5x6x7x8x9"))),OR(AND(FIND(".",L984)=5,LEN(L984)-FIND(".",L984,FIND(".",L984)+1)&gt;=1,LEN(L984)-FIND(".",L984,FIND(".",L984)+1)&lt;=2),AND(LEN(L984)-FIND(".",L984,FIND(".",L984)+1)=4,FIND(".",L984)&gt;=2,FIND(".",L984)&lt;=3)),FIND(".",L984,FIND(".",L984)+1)-FIND(".",L984)&gt;=2,FIND(".",L984,FIND(".",L984)+1)-FIND(".",L984)&lt;=3,P984&gt;=2000,P984&lt;=2100,YEAR(S984)=P984,MONTH(S984)=Q984,DAY(S984)=R984),S984,0)),0)</ns0:f>
        <ns0:v>0</ns0:v>
      </ns0:c>
      <ns0:c r="U984" s="0" t="str">
        <ns0:f>IF(Bookings!C984="","Full day",Bookings!C984)</ns0:f>
        <ns0:v>Full day</ns0:v>
      </ns0:c>
      <ns0:c r="V984" s="0" t="str">
        <ns0:f>IF(Bookings!E984="","Full day",Bookings!E984)</ns0:f>
        <ns0:v>Full day</ns0:v>
      </ns0:c>
      <ns0:c r="W984" s="0">
        <ns0:f>IF(J984=0,0,J984+IF(U984="PM",1,0))</ns0:f>
        <ns0:v>0</ns0:v>
      </ns0:c>
      <ns0:c r="X984" s="0">
        <ns0:f>IF(T984=0,0,T984-IF(V984="PM",1,0))</ns0:f>
        <ns0:v>0</ns0:v>
      </ns0:c>
      <ns0:c r="Y984" s="0">
        <ns0:f>IF(J984=0,0,J984+IF(U984="AM",1,0))</ns0:f>
        <ns0:v>0</ns0:v>
      </ns0:c>
      <ns0:c r="Z984" s="0">
        <ns0:f>IF(T984=0,0,T984-IF(V984="AM",1,0))</ns0:f>
        <ns0:v>0</ns0:v>
      </ns0:c>
      <ns0:c r="AA984" s="0">
        <ns0:f>IFERROR(IF(AND(J984&gt;0,'_Engine'!C984&gt;0,MID('_Engine'!W984,WEEKDAY(J984,2),1)="W",COUNTIF(Settings!$F$18:$F$67,J984)=0),1,0),0)</ns0:f>
        <ns0:v>0</ns0:v>
      </ns0:c>
      <ns0:c r="AB984" s="0">
        <ns0:f>IFERROR(IF(AND(T984&gt;0,'_Engine'!C984&gt;0,MID('_Engine'!W984,WEEKDAY(T984,2),1)="W",COUNTIF(Settings!$F$18:$F$67,T984)=0),1,0),0)</ns0:f>
        <ns0:v>0</ns0:v>
      </ns0:c>
      <ns0:c r="AC984" s="0">
        <ns0:f>IF(AND(J984&gt;0,T984&gt;0,W984&lt;=X984),1,0)</ns0:f>
        <ns0:v>0</ns0:v>
      </ns0:c>
      <ns0:c r="AD984" s="0">
        <ns0:f>IF(AND(J984&gt;0,T984&gt;0,Y984&lt;=Z984),1,0)</ns0:f>
        <ns0:v>0</ns0:v>
      </ns0:c>
    </ns0:row>
    <ns0:row r="985">
      <ns0:c r="A985" s="0">
        <ns0:f>IFERROR(IF(ISNUMBER(Bookings!B985),"",TRIM(Bookings!B985&amp;"")),"")</ns0:f>
      </ns0:c>
      <ns0:c r="B985" s="0">
        <ns0:f>IFERROR(SUBSTITUTE(SUBSTITUTE(A985,"/","."),"-","."),"")</ns0:f>
      </ns0:c>
      <ns0:c r="C985" s="0">
        <ns0:f>IFERROR(LEFT(B985,FIND(".",B985)-1),"")</ns0:f>
      </ns0:c>
      <ns0:c r="D985" s="0">
        <ns0:f>IFERROR(MID(B985,FIND(".",B985)+1,FIND(".",B985,FIND(".",B985)+1)-FIND(".",B985)-1),"")</ns0:f>
      </ns0:c>
      <ns0:c r="E985" s="0">
        <ns0:f>IFERROR(MID(B985,FIND(".",B985,FIND(".",B985)+1)+1,99),"")</ns0:f>
        <ns0:v>99</ns0:v>
      </ns0:c>
      <ns0:c r="F985" s="0">
        <ns0:f>IFERROR(IF(FIND(".",B985)=5,--C985,--E985),0)</ns0:f>
        <ns0:v>0</ns0:v>
      </ns0:c>
      <ns0:c r="G985" s="0">
        <ns0:f>IFERROR(--D985,0)</ns0:f>
        <ns0:v>0</ns0:v>
      </ns0:c>
      <ns0:c r="H985" s="0">
        <ns0:f>IFERROR(IF(FIND(".",B985)=5,--E985,--C985),0)</ns0:f>
        <ns0:v>0</ns0:v>
      </ns0:c>
      <ns0:c r="I985" s="0">
        <ns0:f>IFERROR(IF(AND(F985&gt;=2000,F985&lt;=2100,G985&gt;=1,G985&lt;=12,H985&gt;=1,H985&lt;=31),DATE(F985,G985,H985),0),0)</ns0:f>
        <ns0:v>0</ns0:v>
      </ns0:c>
      <ns0:c r="J985" s="0">
        <ns0:f>IFERROR(IF(ISNUMBER(Bookings!B985),IF(AND(Bookings!B985=INT(Bookings!B985),Bookings!B985&gt;=DATE(2000,1,1),Bookings!B985&lt;=DATE(2100,12,31)),Bookings!B985,0),IF(AND(A985&lt;&gt;"",LEN("x"&amp;B985)-LEN(SUBSTITUTE("x"&amp;B985,".",""))=2,OR(1&gt;LEN(B985),MID(B985,1,1)=".",ISNUMBER(FIND("x"&amp;MID(B985,1,1),"x0x1x2x3x4x5x6x7x8x9"))),OR(2&gt;LEN(B985),MID(B985,2,1)=".",ISNUMBER(FIND("x"&amp;MID(B985,2,1),"x0x1x2x3x4x5x6x7x8x9"))),OR(3&gt;LEN(B985),MID(B985,3,1)=".",ISNUMBER(FIND("x"&amp;MID(B985,3,1),"x0x1x2x3x4x5x6x7x8x9"))),OR(4&gt;LEN(B985),MID(B985,4,1)=".",ISNUMBER(FIND("x"&amp;MID(B985,4,1),"x0x1x2x3x4x5x6x7x8x9"))),OR(5&gt;LEN(B985),MID(B985,5,1)=".",ISNUMBER(FIND("x"&amp;MID(B985,5,1),"x0x1x2x3x4x5x6x7x8x9"))),OR(6&gt;LEN(B985),MID(B985,6,1)=".",ISNUMBER(FIND("x"&amp;MID(B985,6,1),"x0x1x2x3x4x5x6x7x8x9"))),OR(7&gt;LEN(B985),MID(B985,7,1)=".",ISNUMBER(FIND("x"&amp;MID(B985,7,1),"x0x1x2x3x4x5x6x7x8x9"))),OR(8&gt;LEN(B985),MID(B985,8,1)=".",ISNUMBER(FIND("x"&amp;MID(B985,8,1),"x0x1x2x3x4x5x6x7x8x9"))),OR(9&gt;LEN(B985),MID(B985,9,1)=".",ISNUMBER(FIND("x"&amp;MID(B985,9,1),"x0x1x2x3x4x5x6x7x8x9"))),OR(10&gt;LEN(B985),MID(B985,10,1)=".",ISNUMBER(FIND("x"&amp;MID(B985,10,1),"x0x1x2x3x4x5x6x7x8x9"))),OR(AND(FIND(".",B985)=5,LEN(B985)-FIND(".",B985,FIND(".",B985)+1)&gt;=1,LEN(B985)-FIND(".",B985,FIND(".",B985)+1)&lt;=2),AND(LEN(B985)-FIND(".",B985,FIND(".",B985)+1)=4,FIND(".",B985)&gt;=2,FIND(".",B985)&lt;=3)),FIND(".",B985,FIND(".",B985)+1)-FIND(".",B985)&gt;=2,FIND(".",B985,FIND(".",B985)+1)-FIND(".",B985)&lt;=3,F985&gt;=2000,F985&lt;=2100,YEAR(I985)=F985,MONTH(I985)=G985,DAY(I985)=H985),I985,0)),0)</ns0:f>
        <ns0:v>0</ns0:v>
      </ns0:c>
      <ns0:c r="K985" s="0">
        <ns0:f>IFERROR(IF(ISNUMBER(Bookings!D985),"",TRIM(Bookings!D985&amp;"")),"")</ns0:f>
      </ns0:c>
      <ns0:c r="L985" s="0">
        <ns0:f>IFERROR(SUBSTITUTE(SUBSTITUTE(K985,"/","."),"-","."),"")</ns0:f>
      </ns0:c>
      <ns0:c r="M985" s="0">
        <ns0:f>IFERROR(LEFT(L985,FIND(".",L985)-1),"")</ns0:f>
      </ns0:c>
      <ns0:c r="N985" s="0">
        <ns0:f>IFERROR(MID(L985,FIND(".",L985)+1,FIND(".",L985,FIND(".",L985)+1)-FIND(".",L985)-1),"")</ns0:f>
      </ns0:c>
      <ns0:c r="O985" s="0">
        <ns0:f>IFERROR(MID(L985,FIND(".",L985,FIND(".",L985)+1)+1,99),"")</ns0:f>
        <ns0:v>99</ns0:v>
      </ns0:c>
      <ns0:c r="P985" s="0">
        <ns0:f>IFERROR(IF(FIND(".",L985)=5,--M985,--O985),0)</ns0:f>
        <ns0:v>0</ns0:v>
      </ns0:c>
      <ns0:c r="Q985" s="0">
        <ns0:f>IFERROR(--N985,0)</ns0:f>
        <ns0:v>0</ns0:v>
      </ns0:c>
      <ns0:c r="R985" s="0">
        <ns0:f>IFERROR(IF(FIND(".",L985)=5,--O985,--M985),0)</ns0:f>
        <ns0:v>0</ns0:v>
      </ns0:c>
      <ns0:c r="S985" s="0">
        <ns0:f>IFERROR(IF(AND(P985&gt;=2000,P985&lt;=2100,Q985&gt;=1,Q985&lt;=12,R985&gt;=1,R985&lt;=31),DATE(P985,Q985,R985),0),0)</ns0:f>
        <ns0:v>0</ns0:v>
      </ns0:c>
      <ns0:c r="T985" s="0">
        <ns0:f>IFERROR(IF(ISNUMBER(Bookings!D985),IF(AND(Bookings!D985=INT(Bookings!D985),Bookings!D985&gt;=DATE(2000,1,1),Bookings!D985&lt;=DATE(2100,12,31)),Bookings!D985,0),IF(AND(K985&lt;&gt;"",LEN("x"&amp;L985)-LEN(SUBSTITUTE("x"&amp;L985,".",""))=2,OR(1&gt;LEN(L985),MID(L985,1,1)=".",ISNUMBER(FIND("x"&amp;MID(L985,1,1),"x0x1x2x3x4x5x6x7x8x9"))),OR(2&gt;LEN(L985),MID(L985,2,1)=".",ISNUMBER(FIND("x"&amp;MID(L985,2,1),"x0x1x2x3x4x5x6x7x8x9"))),OR(3&gt;LEN(L985),MID(L985,3,1)=".",ISNUMBER(FIND("x"&amp;MID(L985,3,1),"x0x1x2x3x4x5x6x7x8x9"))),OR(4&gt;LEN(L985),MID(L985,4,1)=".",ISNUMBER(FIND("x"&amp;MID(L985,4,1),"x0x1x2x3x4x5x6x7x8x9"))),OR(5&gt;LEN(L985),MID(L985,5,1)=".",ISNUMBER(FIND("x"&amp;MID(L985,5,1),"x0x1x2x3x4x5x6x7x8x9"))),OR(6&gt;LEN(L985),MID(L985,6,1)=".",ISNUMBER(FIND("x"&amp;MID(L985,6,1),"x0x1x2x3x4x5x6x7x8x9"))),OR(7&gt;LEN(L985),MID(L985,7,1)=".",ISNUMBER(FIND("x"&amp;MID(L985,7,1),"x0x1x2x3x4x5x6x7x8x9"))),OR(8&gt;LEN(L985),MID(L985,8,1)=".",ISNUMBER(FIND("x"&amp;MID(L985,8,1),"x0x1x2x3x4x5x6x7x8x9"))),OR(9&gt;LEN(L985),MID(L985,9,1)=".",ISNUMBER(FIND("x"&amp;MID(L985,9,1),"x0x1x2x3x4x5x6x7x8x9"))),OR(10&gt;LEN(L985),MID(L985,10,1)=".",ISNUMBER(FIND("x"&amp;MID(L985,10,1),"x0x1x2x3x4x5x6x7x8x9"))),OR(AND(FIND(".",L985)=5,LEN(L985)-FIND(".",L985,FIND(".",L985)+1)&gt;=1,LEN(L985)-FIND(".",L985,FIND(".",L985)+1)&lt;=2),AND(LEN(L985)-FIND(".",L985,FIND(".",L985)+1)=4,FIND(".",L985)&gt;=2,FIND(".",L985)&lt;=3)),FIND(".",L985,FIND(".",L985)+1)-FIND(".",L985)&gt;=2,FIND(".",L985,FIND(".",L985)+1)-FIND(".",L985)&lt;=3,P985&gt;=2000,P985&lt;=2100,YEAR(S985)=P985,MONTH(S985)=Q985,DAY(S985)=R985),S985,0)),0)</ns0:f>
        <ns0:v>0</ns0:v>
      </ns0:c>
      <ns0:c r="U985" s="0" t="str">
        <ns0:f>IF(Bookings!C985="","Full day",Bookings!C985)</ns0:f>
        <ns0:v>Full day</ns0:v>
      </ns0:c>
      <ns0:c r="V985" s="0" t="str">
        <ns0:f>IF(Bookings!E985="","Full day",Bookings!E985)</ns0:f>
        <ns0:v>Full day</ns0:v>
      </ns0:c>
      <ns0:c r="W985" s="0">
        <ns0:f>IF(J985=0,0,J985+IF(U985="PM",1,0))</ns0:f>
        <ns0:v>0</ns0:v>
      </ns0:c>
      <ns0:c r="X985" s="0">
        <ns0:f>IF(T985=0,0,T985-IF(V985="PM",1,0))</ns0:f>
        <ns0:v>0</ns0:v>
      </ns0:c>
      <ns0:c r="Y985" s="0">
        <ns0:f>IF(J985=0,0,J985+IF(U985="AM",1,0))</ns0:f>
        <ns0:v>0</ns0:v>
      </ns0:c>
      <ns0:c r="Z985" s="0">
        <ns0:f>IF(T985=0,0,T985-IF(V985="AM",1,0))</ns0:f>
        <ns0:v>0</ns0:v>
      </ns0:c>
      <ns0:c r="AA985" s="0">
        <ns0:f>IFERROR(IF(AND(J985&gt;0,'_Engine'!C985&gt;0,MID('_Engine'!W985,WEEKDAY(J985,2),1)="W",COUNTIF(Settings!$F$18:$F$67,J985)=0),1,0),0)</ns0:f>
        <ns0:v>0</ns0:v>
      </ns0:c>
      <ns0:c r="AB985" s="0">
        <ns0:f>IFERROR(IF(AND(T985&gt;0,'_Engine'!C985&gt;0,MID('_Engine'!W985,WEEKDAY(T985,2),1)="W",COUNTIF(Settings!$F$18:$F$67,T985)=0),1,0),0)</ns0:f>
        <ns0:v>0</ns0:v>
      </ns0:c>
      <ns0:c r="AC985" s="0">
        <ns0:f>IF(AND(J985&gt;0,T985&gt;0,W985&lt;=X985),1,0)</ns0:f>
        <ns0:v>0</ns0:v>
      </ns0:c>
      <ns0:c r="AD985" s="0">
        <ns0:f>IF(AND(J985&gt;0,T985&gt;0,Y985&lt;=Z985),1,0)</ns0:f>
        <ns0:v>0</ns0:v>
      </ns0:c>
    </ns0:row>
    <ns0:row r="986">
      <ns0:c r="A986" s="0">
        <ns0:f>IFERROR(IF(ISNUMBER(Bookings!B986),"",TRIM(Bookings!B986&amp;"")),"")</ns0:f>
      </ns0:c>
      <ns0:c r="B986" s="0">
        <ns0:f>IFERROR(SUBSTITUTE(SUBSTITUTE(A986,"/","."),"-","."),"")</ns0:f>
      </ns0:c>
      <ns0:c r="C986" s="0">
        <ns0:f>IFERROR(LEFT(B986,FIND(".",B986)-1),"")</ns0:f>
      </ns0:c>
      <ns0:c r="D986" s="0">
        <ns0:f>IFERROR(MID(B986,FIND(".",B986)+1,FIND(".",B986,FIND(".",B986)+1)-FIND(".",B986)-1),"")</ns0:f>
      </ns0:c>
      <ns0:c r="E986" s="0">
        <ns0:f>IFERROR(MID(B986,FIND(".",B986,FIND(".",B986)+1)+1,99),"")</ns0:f>
        <ns0:v>99</ns0:v>
      </ns0:c>
      <ns0:c r="F986" s="0">
        <ns0:f>IFERROR(IF(FIND(".",B986)=5,--C986,--E986),0)</ns0:f>
        <ns0:v>0</ns0:v>
      </ns0:c>
      <ns0:c r="G986" s="0">
        <ns0:f>IFERROR(--D986,0)</ns0:f>
        <ns0:v>0</ns0:v>
      </ns0:c>
      <ns0:c r="H986" s="0">
        <ns0:f>IFERROR(IF(FIND(".",B986)=5,--E986,--C986),0)</ns0:f>
        <ns0:v>0</ns0:v>
      </ns0:c>
      <ns0:c r="I986" s="0">
        <ns0:f>IFERROR(IF(AND(F986&gt;=2000,F986&lt;=2100,G986&gt;=1,G986&lt;=12,H986&gt;=1,H986&lt;=31),DATE(F986,G986,H986),0),0)</ns0:f>
        <ns0:v>0</ns0:v>
      </ns0:c>
      <ns0:c r="J986" s="0">
        <ns0:f>IFERROR(IF(ISNUMBER(Bookings!B986),IF(AND(Bookings!B986=INT(Bookings!B986),Bookings!B986&gt;=DATE(2000,1,1),Bookings!B986&lt;=DATE(2100,12,31)),Bookings!B986,0),IF(AND(A986&lt;&gt;"",LEN("x"&amp;B986)-LEN(SUBSTITUTE("x"&amp;B986,".",""))=2,OR(1&gt;LEN(B986),MID(B986,1,1)=".",ISNUMBER(FIND("x"&amp;MID(B986,1,1),"x0x1x2x3x4x5x6x7x8x9"))),OR(2&gt;LEN(B986),MID(B986,2,1)=".",ISNUMBER(FIND("x"&amp;MID(B986,2,1),"x0x1x2x3x4x5x6x7x8x9"))),OR(3&gt;LEN(B986),MID(B986,3,1)=".",ISNUMBER(FIND("x"&amp;MID(B986,3,1),"x0x1x2x3x4x5x6x7x8x9"))),OR(4&gt;LEN(B986),MID(B986,4,1)=".",ISNUMBER(FIND("x"&amp;MID(B986,4,1),"x0x1x2x3x4x5x6x7x8x9"))),OR(5&gt;LEN(B986),MID(B986,5,1)=".",ISNUMBER(FIND("x"&amp;MID(B986,5,1),"x0x1x2x3x4x5x6x7x8x9"))),OR(6&gt;LEN(B986),MID(B986,6,1)=".",ISNUMBER(FIND("x"&amp;MID(B986,6,1),"x0x1x2x3x4x5x6x7x8x9"))),OR(7&gt;LEN(B986),MID(B986,7,1)=".",ISNUMBER(FIND("x"&amp;MID(B986,7,1),"x0x1x2x3x4x5x6x7x8x9"))),OR(8&gt;LEN(B986),MID(B986,8,1)=".",ISNUMBER(FIND("x"&amp;MID(B986,8,1),"x0x1x2x3x4x5x6x7x8x9"))),OR(9&gt;LEN(B986),MID(B986,9,1)=".",ISNUMBER(FIND("x"&amp;MID(B986,9,1),"x0x1x2x3x4x5x6x7x8x9"))),OR(10&gt;LEN(B986),MID(B986,10,1)=".",ISNUMBER(FIND("x"&amp;MID(B986,10,1),"x0x1x2x3x4x5x6x7x8x9"))),OR(AND(FIND(".",B986)=5,LEN(B986)-FIND(".",B986,FIND(".",B986)+1)&gt;=1,LEN(B986)-FIND(".",B986,FIND(".",B986)+1)&lt;=2),AND(LEN(B986)-FIND(".",B986,FIND(".",B986)+1)=4,FIND(".",B986)&gt;=2,FIND(".",B986)&lt;=3)),FIND(".",B986,FIND(".",B986)+1)-FIND(".",B986)&gt;=2,FIND(".",B986,FIND(".",B986)+1)-FIND(".",B986)&lt;=3,F986&gt;=2000,F986&lt;=2100,YEAR(I986)=F986,MONTH(I986)=G986,DAY(I986)=H986),I986,0)),0)</ns0:f>
        <ns0:v>0</ns0:v>
      </ns0:c>
      <ns0:c r="K986" s="0">
        <ns0:f>IFERROR(IF(ISNUMBER(Bookings!D986),"",TRIM(Bookings!D986&amp;"")),"")</ns0:f>
      </ns0:c>
      <ns0:c r="L986" s="0">
        <ns0:f>IFERROR(SUBSTITUTE(SUBSTITUTE(K986,"/","."),"-","."),"")</ns0:f>
      </ns0:c>
      <ns0:c r="M986" s="0">
        <ns0:f>IFERROR(LEFT(L986,FIND(".",L986)-1),"")</ns0:f>
      </ns0:c>
      <ns0:c r="N986" s="0">
        <ns0:f>IFERROR(MID(L986,FIND(".",L986)+1,FIND(".",L986,FIND(".",L986)+1)-FIND(".",L986)-1),"")</ns0:f>
      </ns0:c>
      <ns0:c r="O986" s="0">
        <ns0:f>IFERROR(MID(L986,FIND(".",L986,FIND(".",L986)+1)+1,99),"")</ns0:f>
        <ns0:v>99</ns0:v>
      </ns0:c>
      <ns0:c r="P986" s="0">
        <ns0:f>IFERROR(IF(FIND(".",L986)=5,--M986,--O986),0)</ns0:f>
        <ns0:v>0</ns0:v>
      </ns0:c>
      <ns0:c r="Q986" s="0">
        <ns0:f>IFERROR(--N986,0)</ns0:f>
        <ns0:v>0</ns0:v>
      </ns0:c>
      <ns0:c r="R986" s="0">
        <ns0:f>IFERROR(IF(FIND(".",L986)=5,--O986,--M986),0)</ns0:f>
        <ns0:v>0</ns0:v>
      </ns0:c>
      <ns0:c r="S986" s="0">
        <ns0:f>IFERROR(IF(AND(P986&gt;=2000,P986&lt;=2100,Q986&gt;=1,Q986&lt;=12,R986&gt;=1,R986&lt;=31),DATE(P986,Q986,R986),0),0)</ns0:f>
        <ns0:v>0</ns0:v>
      </ns0:c>
      <ns0:c r="T986" s="0">
        <ns0:f>IFERROR(IF(ISNUMBER(Bookings!D986),IF(AND(Bookings!D986=INT(Bookings!D986),Bookings!D986&gt;=DATE(2000,1,1),Bookings!D986&lt;=DATE(2100,12,31)),Bookings!D986,0),IF(AND(K986&lt;&gt;"",LEN("x"&amp;L986)-LEN(SUBSTITUTE("x"&amp;L986,".",""))=2,OR(1&gt;LEN(L986),MID(L986,1,1)=".",ISNUMBER(FIND("x"&amp;MID(L986,1,1),"x0x1x2x3x4x5x6x7x8x9"))),OR(2&gt;LEN(L986),MID(L986,2,1)=".",ISNUMBER(FIND("x"&amp;MID(L986,2,1),"x0x1x2x3x4x5x6x7x8x9"))),OR(3&gt;LEN(L986),MID(L986,3,1)=".",ISNUMBER(FIND("x"&amp;MID(L986,3,1),"x0x1x2x3x4x5x6x7x8x9"))),OR(4&gt;LEN(L986),MID(L986,4,1)=".",ISNUMBER(FIND("x"&amp;MID(L986,4,1),"x0x1x2x3x4x5x6x7x8x9"))),OR(5&gt;LEN(L986),MID(L986,5,1)=".",ISNUMBER(FIND("x"&amp;MID(L986,5,1),"x0x1x2x3x4x5x6x7x8x9"))),OR(6&gt;LEN(L986),MID(L986,6,1)=".",ISNUMBER(FIND("x"&amp;MID(L986,6,1),"x0x1x2x3x4x5x6x7x8x9"))),OR(7&gt;LEN(L986),MID(L986,7,1)=".",ISNUMBER(FIND("x"&amp;MID(L986,7,1),"x0x1x2x3x4x5x6x7x8x9"))),OR(8&gt;LEN(L986),MID(L986,8,1)=".",ISNUMBER(FIND("x"&amp;MID(L986,8,1),"x0x1x2x3x4x5x6x7x8x9"))),OR(9&gt;LEN(L986),MID(L986,9,1)=".",ISNUMBER(FIND("x"&amp;MID(L986,9,1),"x0x1x2x3x4x5x6x7x8x9"))),OR(10&gt;LEN(L986),MID(L986,10,1)=".",ISNUMBER(FIND("x"&amp;MID(L986,10,1),"x0x1x2x3x4x5x6x7x8x9"))),OR(AND(FIND(".",L986)=5,LEN(L986)-FIND(".",L986,FIND(".",L986)+1)&gt;=1,LEN(L986)-FIND(".",L986,FIND(".",L986)+1)&lt;=2),AND(LEN(L986)-FIND(".",L986,FIND(".",L986)+1)=4,FIND(".",L986)&gt;=2,FIND(".",L986)&lt;=3)),FIND(".",L986,FIND(".",L986)+1)-FIND(".",L986)&gt;=2,FIND(".",L986,FIND(".",L986)+1)-FIND(".",L986)&lt;=3,P986&gt;=2000,P986&lt;=2100,YEAR(S986)=P986,MONTH(S986)=Q986,DAY(S986)=R986),S986,0)),0)</ns0:f>
        <ns0:v>0</ns0:v>
      </ns0:c>
      <ns0:c r="U986" s="0" t="str">
        <ns0:f>IF(Bookings!C986="","Full day",Bookings!C986)</ns0:f>
        <ns0:v>Full day</ns0:v>
      </ns0:c>
      <ns0:c r="V986" s="0" t="str">
        <ns0:f>IF(Bookings!E986="","Full day",Bookings!E986)</ns0:f>
        <ns0:v>Full day</ns0:v>
      </ns0:c>
      <ns0:c r="W986" s="0">
        <ns0:f>IF(J986=0,0,J986+IF(U986="PM",1,0))</ns0:f>
        <ns0:v>0</ns0:v>
      </ns0:c>
      <ns0:c r="X986" s="0">
        <ns0:f>IF(T986=0,0,T986-IF(V986="PM",1,0))</ns0:f>
        <ns0:v>0</ns0:v>
      </ns0:c>
      <ns0:c r="Y986" s="0">
        <ns0:f>IF(J986=0,0,J986+IF(U986="AM",1,0))</ns0:f>
        <ns0:v>0</ns0:v>
      </ns0:c>
      <ns0:c r="Z986" s="0">
        <ns0:f>IF(T986=0,0,T986-IF(V986="AM",1,0))</ns0:f>
        <ns0:v>0</ns0:v>
      </ns0:c>
      <ns0:c r="AA986" s="0">
        <ns0:f>IFERROR(IF(AND(J986&gt;0,'_Engine'!C986&gt;0,MID('_Engine'!W986,WEEKDAY(J986,2),1)="W",COUNTIF(Settings!$F$18:$F$67,J986)=0),1,0),0)</ns0:f>
        <ns0:v>0</ns0:v>
      </ns0:c>
      <ns0:c r="AB986" s="0">
        <ns0:f>IFERROR(IF(AND(T986&gt;0,'_Engine'!C986&gt;0,MID('_Engine'!W986,WEEKDAY(T986,2),1)="W",COUNTIF(Settings!$F$18:$F$67,T986)=0),1,0),0)</ns0:f>
        <ns0:v>0</ns0:v>
      </ns0:c>
      <ns0:c r="AC986" s="0">
        <ns0:f>IF(AND(J986&gt;0,T986&gt;0,W986&lt;=X986),1,0)</ns0:f>
        <ns0:v>0</ns0:v>
      </ns0:c>
      <ns0:c r="AD986" s="0">
        <ns0:f>IF(AND(J986&gt;0,T986&gt;0,Y986&lt;=Z986),1,0)</ns0:f>
        <ns0:v>0</ns0:v>
      </ns0:c>
    </ns0:row>
    <ns0:row r="987">
      <ns0:c r="A987" s="0">
        <ns0:f>IFERROR(IF(ISNUMBER(Bookings!B987),"",TRIM(Bookings!B987&amp;"")),"")</ns0:f>
      </ns0:c>
      <ns0:c r="B987" s="0">
        <ns0:f>IFERROR(SUBSTITUTE(SUBSTITUTE(A987,"/","."),"-","."),"")</ns0:f>
      </ns0:c>
      <ns0:c r="C987" s="0">
        <ns0:f>IFERROR(LEFT(B987,FIND(".",B987)-1),"")</ns0:f>
      </ns0:c>
      <ns0:c r="D987" s="0">
        <ns0:f>IFERROR(MID(B987,FIND(".",B987)+1,FIND(".",B987,FIND(".",B987)+1)-FIND(".",B987)-1),"")</ns0:f>
      </ns0:c>
      <ns0:c r="E987" s="0">
        <ns0:f>IFERROR(MID(B987,FIND(".",B987,FIND(".",B987)+1)+1,99),"")</ns0:f>
        <ns0:v>99</ns0:v>
      </ns0:c>
      <ns0:c r="F987" s="0">
        <ns0:f>IFERROR(IF(FIND(".",B987)=5,--C987,--E987),0)</ns0:f>
        <ns0:v>0</ns0:v>
      </ns0:c>
      <ns0:c r="G987" s="0">
        <ns0:f>IFERROR(--D987,0)</ns0:f>
        <ns0:v>0</ns0:v>
      </ns0:c>
      <ns0:c r="H987" s="0">
        <ns0:f>IFERROR(IF(FIND(".",B987)=5,--E987,--C987),0)</ns0:f>
        <ns0:v>0</ns0:v>
      </ns0:c>
      <ns0:c r="I987" s="0">
        <ns0:f>IFERROR(IF(AND(F987&gt;=2000,F987&lt;=2100,G987&gt;=1,G987&lt;=12,H987&gt;=1,H987&lt;=31),DATE(F987,G987,H987),0),0)</ns0:f>
        <ns0:v>0</ns0:v>
      </ns0:c>
      <ns0:c r="J987" s="0">
        <ns0:f>IFERROR(IF(ISNUMBER(Bookings!B987),IF(AND(Bookings!B987=INT(Bookings!B987),Bookings!B987&gt;=DATE(2000,1,1),Bookings!B987&lt;=DATE(2100,12,31)),Bookings!B987,0),IF(AND(A987&lt;&gt;"",LEN("x"&amp;B987)-LEN(SUBSTITUTE("x"&amp;B987,".",""))=2,OR(1&gt;LEN(B987),MID(B987,1,1)=".",ISNUMBER(FIND("x"&amp;MID(B987,1,1),"x0x1x2x3x4x5x6x7x8x9"))),OR(2&gt;LEN(B987),MID(B987,2,1)=".",ISNUMBER(FIND("x"&amp;MID(B987,2,1),"x0x1x2x3x4x5x6x7x8x9"))),OR(3&gt;LEN(B987),MID(B987,3,1)=".",ISNUMBER(FIND("x"&amp;MID(B987,3,1),"x0x1x2x3x4x5x6x7x8x9"))),OR(4&gt;LEN(B987),MID(B987,4,1)=".",ISNUMBER(FIND("x"&amp;MID(B987,4,1),"x0x1x2x3x4x5x6x7x8x9"))),OR(5&gt;LEN(B987),MID(B987,5,1)=".",ISNUMBER(FIND("x"&amp;MID(B987,5,1),"x0x1x2x3x4x5x6x7x8x9"))),OR(6&gt;LEN(B987),MID(B987,6,1)=".",ISNUMBER(FIND("x"&amp;MID(B987,6,1),"x0x1x2x3x4x5x6x7x8x9"))),OR(7&gt;LEN(B987),MID(B987,7,1)=".",ISNUMBER(FIND("x"&amp;MID(B987,7,1),"x0x1x2x3x4x5x6x7x8x9"))),OR(8&gt;LEN(B987),MID(B987,8,1)=".",ISNUMBER(FIND("x"&amp;MID(B987,8,1),"x0x1x2x3x4x5x6x7x8x9"))),OR(9&gt;LEN(B987),MID(B987,9,1)=".",ISNUMBER(FIND("x"&amp;MID(B987,9,1),"x0x1x2x3x4x5x6x7x8x9"))),OR(10&gt;LEN(B987),MID(B987,10,1)=".",ISNUMBER(FIND("x"&amp;MID(B987,10,1),"x0x1x2x3x4x5x6x7x8x9"))),OR(AND(FIND(".",B987)=5,LEN(B987)-FIND(".",B987,FIND(".",B987)+1)&gt;=1,LEN(B987)-FIND(".",B987,FIND(".",B987)+1)&lt;=2),AND(LEN(B987)-FIND(".",B987,FIND(".",B987)+1)=4,FIND(".",B987)&gt;=2,FIND(".",B987)&lt;=3)),FIND(".",B987,FIND(".",B987)+1)-FIND(".",B987)&gt;=2,FIND(".",B987,FIND(".",B987)+1)-FIND(".",B987)&lt;=3,F987&gt;=2000,F987&lt;=2100,YEAR(I987)=F987,MONTH(I987)=G987,DAY(I987)=H987),I987,0)),0)</ns0:f>
        <ns0:v>0</ns0:v>
      </ns0:c>
      <ns0:c r="K987" s="0">
        <ns0:f>IFERROR(IF(ISNUMBER(Bookings!D987),"",TRIM(Bookings!D987&amp;"")),"")</ns0:f>
      </ns0:c>
      <ns0:c r="L987" s="0">
        <ns0:f>IFERROR(SUBSTITUTE(SUBSTITUTE(K987,"/","."),"-","."),"")</ns0:f>
      </ns0:c>
      <ns0:c r="M987" s="0">
        <ns0:f>IFERROR(LEFT(L987,FIND(".",L987)-1),"")</ns0:f>
      </ns0:c>
      <ns0:c r="N987" s="0">
        <ns0:f>IFERROR(MID(L987,FIND(".",L987)+1,FIND(".",L987,FIND(".",L987)+1)-FIND(".",L987)-1),"")</ns0:f>
      </ns0:c>
      <ns0:c r="O987" s="0">
        <ns0:f>IFERROR(MID(L987,FIND(".",L987,FIND(".",L987)+1)+1,99),"")</ns0:f>
        <ns0:v>99</ns0:v>
      </ns0:c>
      <ns0:c r="P987" s="0">
        <ns0:f>IFERROR(IF(FIND(".",L987)=5,--M987,--O987),0)</ns0:f>
        <ns0:v>0</ns0:v>
      </ns0:c>
      <ns0:c r="Q987" s="0">
        <ns0:f>IFERROR(--N987,0)</ns0:f>
        <ns0:v>0</ns0:v>
      </ns0:c>
      <ns0:c r="R987" s="0">
        <ns0:f>IFERROR(IF(FIND(".",L987)=5,--O987,--M987),0)</ns0:f>
        <ns0:v>0</ns0:v>
      </ns0:c>
      <ns0:c r="S987" s="0">
        <ns0:f>IFERROR(IF(AND(P987&gt;=2000,P987&lt;=2100,Q987&gt;=1,Q987&lt;=12,R987&gt;=1,R987&lt;=31),DATE(P987,Q987,R987),0),0)</ns0:f>
        <ns0:v>0</ns0:v>
      </ns0:c>
      <ns0:c r="T987" s="0">
        <ns0:f>IFERROR(IF(ISNUMBER(Bookings!D987),IF(AND(Bookings!D987=INT(Bookings!D987),Bookings!D987&gt;=DATE(2000,1,1),Bookings!D987&lt;=DATE(2100,12,31)),Bookings!D987,0),IF(AND(K987&lt;&gt;"",LEN("x"&amp;L987)-LEN(SUBSTITUTE("x"&amp;L987,".",""))=2,OR(1&gt;LEN(L987),MID(L987,1,1)=".",ISNUMBER(FIND("x"&amp;MID(L987,1,1),"x0x1x2x3x4x5x6x7x8x9"))),OR(2&gt;LEN(L987),MID(L987,2,1)=".",ISNUMBER(FIND("x"&amp;MID(L987,2,1),"x0x1x2x3x4x5x6x7x8x9"))),OR(3&gt;LEN(L987),MID(L987,3,1)=".",ISNUMBER(FIND("x"&amp;MID(L987,3,1),"x0x1x2x3x4x5x6x7x8x9"))),OR(4&gt;LEN(L987),MID(L987,4,1)=".",ISNUMBER(FIND("x"&amp;MID(L987,4,1),"x0x1x2x3x4x5x6x7x8x9"))),OR(5&gt;LEN(L987),MID(L987,5,1)=".",ISNUMBER(FIND("x"&amp;MID(L987,5,1),"x0x1x2x3x4x5x6x7x8x9"))),OR(6&gt;LEN(L987),MID(L987,6,1)=".",ISNUMBER(FIND("x"&amp;MID(L987,6,1),"x0x1x2x3x4x5x6x7x8x9"))),OR(7&gt;LEN(L987),MID(L987,7,1)=".",ISNUMBER(FIND("x"&amp;MID(L987,7,1),"x0x1x2x3x4x5x6x7x8x9"))),OR(8&gt;LEN(L987),MID(L987,8,1)=".",ISNUMBER(FIND("x"&amp;MID(L987,8,1),"x0x1x2x3x4x5x6x7x8x9"))),OR(9&gt;LEN(L987),MID(L987,9,1)=".",ISNUMBER(FIND("x"&amp;MID(L987,9,1),"x0x1x2x3x4x5x6x7x8x9"))),OR(10&gt;LEN(L987),MID(L987,10,1)=".",ISNUMBER(FIND("x"&amp;MID(L987,10,1),"x0x1x2x3x4x5x6x7x8x9"))),OR(AND(FIND(".",L987)=5,LEN(L987)-FIND(".",L987,FIND(".",L987)+1)&gt;=1,LEN(L987)-FIND(".",L987,FIND(".",L987)+1)&lt;=2),AND(LEN(L987)-FIND(".",L987,FIND(".",L987)+1)=4,FIND(".",L987)&gt;=2,FIND(".",L987)&lt;=3)),FIND(".",L987,FIND(".",L987)+1)-FIND(".",L987)&gt;=2,FIND(".",L987,FIND(".",L987)+1)-FIND(".",L987)&lt;=3,P987&gt;=2000,P987&lt;=2100,YEAR(S987)=P987,MONTH(S987)=Q987,DAY(S987)=R987),S987,0)),0)</ns0:f>
        <ns0:v>0</ns0:v>
      </ns0:c>
      <ns0:c r="U987" s="0" t="str">
        <ns0:f>IF(Bookings!C987="","Full day",Bookings!C987)</ns0:f>
        <ns0:v>Full day</ns0:v>
      </ns0:c>
      <ns0:c r="V987" s="0" t="str">
        <ns0:f>IF(Bookings!E987="","Full day",Bookings!E987)</ns0:f>
        <ns0:v>Full day</ns0:v>
      </ns0:c>
      <ns0:c r="W987" s="0">
        <ns0:f>IF(J987=0,0,J987+IF(U987="PM",1,0))</ns0:f>
        <ns0:v>0</ns0:v>
      </ns0:c>
      <ns0:c r="X987" s="0">
        <ns0:f>IF(T987=0,0,T987-IF(V987="PM",1,0))</ns0:f>
        <ns0:v>0</ns0:v>
      </ns0:c>
      <ns0:c r="Y987" s="0">
        <ns0:f>IF(J987=0,0,J987+IF(U987="AM",1,0))</ns0:f>
        <ns0:v>0</ns0:v>
      </ns0:c>
      <ns0:c r="Z987" s="0">
        <ns0:f>IF(T987=0,0,T987-IF(V987="AM",1,0))</ns0:f>
        <ns0:v>0</ns0:v>
      </ns0:c>
      <ns0:c r="AA987" s="0">
        <ns0:f>IFERROR(IF(AND(J987&gt;0,'_Engine'!C987&gt;0,MID('_Engine'!W987,WEEKDAY(J987,2),1)="W",COUNTIF(Settings!$F$18:$F$67,J987)=0),1,0),0)</ns0:f>
        <ns0:v>0</ns0:v>
      </ns0:c>
      <ns0:c r="AB987" s="0">
        <ns0:f>IFERROR(IF(AND(T987&gt;0,'_Engine'!C987&gt;0,MID('_Engine'!W987,WEEKDAY(T987,2),1)="W",COUNTIF(Settings!$F$18:$F$67,T987)=0),1,0),0)</ns0:f>
        <ns0:v>0</ns0:v>
      </ns0:c>
      <ns0:c r="AC987" s="0">
        <ns0:f>IF(AND(J987&gt;0,T987&gt;0,W987&lt;=X987),1,0)</ns0:f>
        <ns0:v>0</ns0:v>
      </ns0:c>
      <ns0:c r="AD987" s="0">
        <ns0:f>IF(AND(J987&gt;0,T987&gt;0,Y987&lt;=Z987),1,0)</ns0:f>
        <ns0:v>0</ns0:v>
      </ns0:c>
    </ns0:row>
    <ns0:row r="988">
      <ns0:c r="A988" s="0">
        <ns0:f>IFERROR(IF(ISNUMBER(Bookings!B988),"",TRIM(Bookings!B988&amp;"")),"")</ns0:f>
      </ns0:c>
      <ns0:c r="B988" s="0">
        <ns0:f>IFERROR(SUBSTITUTE(SUBSTITUTE(A988,"/","."),"-","."),"")</ns0:f>
      </ns0:c>
      <ns0:c r="C988" s="0">
        <ns0:f>IFERROR(LEFT(B988,FIND(".",B988)-1),"")</ns0:f>
      </ns0:c>
      <ns0:c r="D988" s="0">
        <ns0:f>IFERROR(MID(B988,FIND(".",B988)+1,FIND(".",B988,FIND(".",B988)+1)-FIND(".",B988)-1),"")</ns0:f>
      </ns0:c>
      <ns0:c r="E988" s="0">
        <ns0:f>IFERROR(MID(B988,FIND(".",B988,FIND(".",B988)+1)+1,99),"")</ns0:f>
        <ns0:v>99</ns0:v>
      </ns0:c>
      <ns0:c r="F988" s="0">
        <ns0:f>IFERROR(IF(FIND(".",B988)=5,--C988,--E988),0)</ns0:f>
        <ns0:v>0</ns0:v>
      </ns0:c>
      <ns0:c r="G988" s="0">
        <ns0:f>IFERROR(--D988,0)</ns0:f>
        <ns0:v>0</ns0:v>
      </ns0:c>
      <ns0:c r="H988" s="0">
        <ns0:f>IFERROR(IF(FIND(".",B988)=5,--E988,--C988),0)</ns0:f>
        <ns0:v>0</ns0:v>
      </ns0:c>
      <ns0:c r="I988" s="0">
        <ns0:f>IFERROR(IF(AND(F988&gt;=2000,F988&lt;=2100,G988&gt;=1,G988&lt;=12,H988&gt;=1,H988&lt;=31),DATE(F988,G988,H988),0),0)</ns0:f>
        <ns0:v>0</ns0:v>
      </ns0:c>
      <ns0:c r="J988" s="0">
        <ns0:f>IFERROR(IF(ISNUMBER(Bookings!B988),IF(AND(Bookings!B988=INT(Bookings!B988),Bookings!B988&gt;=DATE(2000,1,1),Bookings!B988&lt;=DATE(2100,12,31)),Bookings!B988,0),IF(AND(A988&lt;&gt;"",LEN("x"&amp;B988)-LEN(SUBSTITUTE("x"&amp;B988,".",""))=2,OR(1&gt;LEN(B988),MID(B988,1,1)=".",ISNUMBER(FIND("x"&amp;MID(B988,1,1),"x0x1x2x3x4x5x6x7x8x9"))),OR(2&gt;LEN(B988),MID(B988,2,1)=".",ISNUMBER(FIND("x"&amp;MID(B988,2,1),"x0x1x2x3x4x5x6x7x8x9"))),OR(3&gt;LEN(B988),MID(B988,3,1)=".",ISNUMBER(FIND("x"&amp;MID(B988,3,1),"x0x1x2x3x4x5x6x7x8x9"))),OR(4&gt;LEN(B988),MID(B988,4,1)=".",ISNUMBER(FIND("x"&amp;MID(B988,4,1),"x0x1x2x3x4x5x6x7x8x9"))),OR(5&gt;LEN(B988),MID(B988,5,1)=".",ISNUMBER(FIND("x"&amp;MID(B988,5,1),"x0x1x2x3x4x5x6x7x8x9"))),OR(6&gt;LEN(B988),MID(B988,6,1)=".",ISNUMBER(FIND("x"&amp;MID(B988,6,1),"x0x1x2x3x4x5x6x7x8x9"))),OR(7&gt;LEN(B988),MID(B988,7,1)=".",ISNUMBER(FIND("x"&amp;MID(B988,7,1),"x0x1x2x3x4x5x6x7x8x9"))),OR(8&gt;LEN(B988),MID(B988,8,1)=".",ISNUMBER(FIND("x"&amp;MID(B988,8,1),"x0x1x2x3x4x5x6x7x8x9"))),OR(9&gt;LEN(B988),MID(B988,9,1)=".",ISNUMBER(FIND("x"&amp;MID(B988,9,1),"x0x1x2x3x4x5x6x7x8x9"))),OR(10&gt;LEN(B988),MID(B988,10,1)=".",ISNUMBER(FIND("x"&amp;MID(B988,10,1),"x0x1x2x3x4x5x6x7x8x9"))),OR(AND(FIND(".",B988)=5,LEN(B988)-FIND(".",B988,FIND(".",B988)+1)&gt;=1,LEN(B988)-FIND(".",B988,FIND(".",B988)+1)&lt;=2),AND(LEN(B988)-FIND(".",B988,FIND(".",B988)+1)=4,FIND(".",B988)&gt;=2,FIND(".",B988)&lt;=3)),FIND(".",B988,FIND(".",B988)+1)-FIND(".",B988)&gt;=2,FIND(".",B988,FIND(".",B988)+1)-FIND(".",B988)&lt;=3,F988&gt;=2000,F988&lt;=2100,YEAR(I988)=F988,MONTH(I988)=G988,DAY(I988)=H988),I988,0)),0)</ns0:f>
        <ns0:v>0</ns0:v>
      </ns0:c>
      <ns0:c r="K988" s="0">
        <ns0:f>IFERROR(IF(ISNUMBER(Bookings!D988),"",TRIM(Bookings!D988&amp;"")),"")</ns0:f>
      </ns0:c>
      <ns0:c r="L988" s="0">
        <ns0:f>IFERROR(SUBSTITUTE(SUBSTITUTE(K988,"/","."),"-","."),"")</ns0:f>
      </ns0:c>
      <ns0:c r="M988" s="0">
        <ns0:f>IFERROR(LEFT(L988,FIND(".",L988)-1),"")</ns0:f>
      </ns0:c>
      <ns0:c r="N988" s="0">
        <ns0:f>IFERROR(MID(L988,FIND(".",L988)+1,FIND(".",L988,FIND(".",L988)+1)-FIND(".",L988)-1),"")</ns0:f>
      </ns0:c>
      <ns0:c r="O988" s="0">
        <ns0:f>IFERROR(MID(L988,FIND(".",L988,FIND(".",L988)+1)+1,99),"")</ns0:f>
        <ns0:v>99</ns0:v>
      </ns0:c>
      <ns0:c r="P988" s="0">
        <ns0:f>IFERROR(IF(FIND(".",L988)=5,--M988,--O988),0)</ns0:f>
        <ns0:v>0</ns0:v>
      </ns0:c>
      <ns0:c r="Q988" s="0">
        <ns0:f>IFERROR(--N988,0)</ns0:f>
        <ns0:v>0</ns0:v>
      </ns0:c>
      <ns0:c r="R988" s="0">
        <ns0:f>IFERROR(IF(FIND(".",L988)=5,--O988,--M988),0)</ns0:f>
        <ns0:v>0</ns0:v>
      </ns0:c>
      <ns0:c r="S988" s="0">
        <ns0:f>IFERROR(IF(AND(P988&gt;=2000,P988&lt;=2100,Q988&gt;=1,Q988&lt;=12,R988&gt;=1,R988&lt;=31),DATE(P988,Q988,R988),0),0)</ns0:f>
        <ns0:v>0</ns0:v>
      </ns0:c>
      <ns0:c r="T988" s="0">
        <ns0:f>IFERROR(IF(ISNUMBER(Bookings!D988),IF(AND(Bookings!D988=INT(Bookings!D988),Bookings!D988&gt;=DATE(2000,1,1),Bookings!D988&lt;=DATE(2100,12,31)),Bookings!D988,0),IF(AND(K988&lt;&gt;"",LEN("x"&amp;L988)-LEN(SUBSTITUTE("x"&amp;L988,".",""))=2,OR(1&gt;LEN(L988),MID(L988,1,1)=".",ISNUMBER(FIND("x"&amp;MID(L988,1,1),"x0x1x2x3x4x5x6x7x8x9"))),OR(2&gt;LEN(L988),MID(L988,2,1)=".",ISNUMBER(FIND("x"&amp;MID(L988,2,1),"x0x1x2x3x4x5x6x7x8x9"))),OR(3&gt;LEN(L988),MID(L988,3,1)=".",ISNUMBER(FIND("x"&amp;MID(L988,3,1),"x0x1x2x3x4x5x6x7x8x9"))),OR(4&gt;LEN(L988),MID(L988,4,1)=".",ISNUMBER(FIND("x"&amp;MID(L988,4,1),"x0x1x2x3x4x5x6x7x8x9"))),OR(5&gt;LEN(L988),MID(L988,5,1)=".",ISNUMBER(FIND("x"&amp;MID(L988,5,1),"x0x1x2x3x4x5x6x7x8x9"))),OR(6&gt;LEN(L988),MID(L988,6,1)=".",ISNUMBER(FIND("x"&amp;MID(L988,6,1),"x0x1x2x3x4x5x6x7x8x9"))),OR(7&gt;LEN(L988),MID(L988,7,1)=".",ISNUMBER(FIND("x"&amp;MID(L988,7,1),"x0x1x2x3x4x5x6x7x8x9"))),OR(8&gt;LEN(L988),MID(L988,8,1)=".",ISNUMBER(FIND("x"&amp;MID(L988,8,1),"x0x1x2x3x4x5x6x7x8x9"))),OR(9&gt;LEN(L988),MID(L988,9,1)=".",ISNUMBER(FIND("x"&amp;MID(L988,9,1),"x0x1x2x3x4x5x6x7x8x9"))),OR(10&gt;LEN(L988),MID(L988,10,1)=".",ISNUMBER(FIND("x"&amp;MID(L988,10,1),"x0x1x2x3x4x5x6x7x8x9"))),OR(AND(FIND(".",L988)=5,LEN(L988)-FIND(".",L988,FIND(".",L988)+1)&gt;=1,LEN(L988)-FIND(".",L988,FIND(".",L988)+1)&lt;=2),AND(LEN(L988)-FIND(".",L988,FIND(".",L988)+1)=4,FIND(".",L988)&gt;=2,FIND(".",L988)&lt;=3)),FIND(".",L988,FIND(".",L988)+1)-FIND(".",L988)&gt;=2,FIND(".",L988,FIND(".",L988)+1)-FIND(".",L988)&lt;=3,P988&gt;=2000,P988&lt;=2100,YEAR(S988)=P988,MONTH(S988)=Q988,DAY(S988)=R988),S988,0)),0)</ns0:f>
        <ns0:v>0</ns0:v>
      </ns0:c>
      <ns0:c r="U988" s="0" t="str">
        <ns0:f>IF(Bookings!C988="","Full day",Bookings!C988)</ns0:f>
        <ns0:v>Full day</ns0:v>
      </ns0:c>
      <ns0:c r="V988" s="0" t="str">
        <ns0:f>IF(Bookings!E988="","Full day",Bookings!E988)</ns0:f>
        <ns0:v>Full day</ns0:v>
      </ns0:c>
      <ns0:c r="W988" s="0">
        <ns0:f>IF(J988=0,0,J988+IF(U988="PM",1,0))</ns0:f>
        <ns0:v>0</ns0:v>
      </ns0:c>
      <ns0:c r="X988" s="0">
        <ns0:f>IF(T988=0,0,T988-IF(V988="PM",1,0))</ns0:f>
        <ns0:v>0</ns0:v>
      </ns0:c>
      <ns0:c r="Y988" s="0">
        <ns0:f>IF(J988=0,0,J988+IF(U988="AM",1,0))</ns0:f>
        <ns0:v>0</ns0:v>
      </ns0:c>
      <ns0:c r="Z988" s="0">
        <ns0:f>IF(T988=0,0,T988-IF(V988="AM",1,0))</ns0:f>
        <ns0:v>0</ns0:v>
      </ns0:c>
      <ns0:c r="AA988" s="0">
        <ns0:f>IFERROR(IF(AND(J988&gt;0,'_Engine'!C988&gt;0,MID('_Engine'!W988,WEEKDAY(J988,2),1)="W",COUNTIF(Settings!$F$18:$F$67,J988)=0),1,0),0)</ns0:f>
        <ns0:v>0</ns0:v>
      </ns0:c>
      <ns0:c r="AB988" s="0">
        <ns0:f>IFERROR(IF(AND(T988&gt;0,'_Engine'!C988&gt;0,MID('_Engine'!W988,WEEKDAY(T988,2),1)="W",COUNTIF(Settings!$F$18:$F$67,T988)=0),1,0),0)</ns0:f>
        <ns0:v>0</ns0:v>
      </ns0:c>
      <ns0:c r="AC988" s="0">
        <ns0:f>IF(AND(J988&gt;0,T988&gt;0,W988&lt;=X988),1,0)</ns0:f>
        <ns0:v>0</ns0:v>
      </ns0:c>
      <ns0:c r="AD988" s="0">
        <ns0:f>IF(AND(J988&gt;0,T988&gt;0,Y988&lt;=Z988),1,0)</ns0:f>
        <ns0:v>0</ns0:v>
      </ns0:c>
    </ns0:row>
    <ns0:row r="989">
      <ns0:c r="A989" s="0">
        <ns0:f>IFERROR(IF(ISNUMBER(Bookings!B989),"",TRIM(Bookings!B989&amp;"")),"")</ns0:f>
      </ns0:c>
      <ns0:c r="B989" s="0">
        <ns0:f>IFERROR(SUBSTITUTE(SUBSTITUTE(A989,"/","."),"-","."),"")</ns0:f>
      </ns0:c>
      <ns0:c r="C989" s="0">
        <ns0:f>IFERROR(LEFT(B989,FIND(".",B989)-1),"")</ns0:f>
      </ns0:c>
      <ns0:c r="D989" s="0">
        <ns0:f>IFERROR(MID(B989,FIND(".",B989)+1,FIND(".",B989,FIND(".",B989)+1)-FIND(".",B989)-1),"")</ns0:f>
      </ns0:c>
      <ns0:c r="E989" s="0">
        <ns0:f>IFERROR(MID(B989,FIND(".",B989,FIND(".",B989)+1)+1,99),"")</ns0:f>
        <ns0:v>99</ns0:v>
      </ns0:c>
      <ns0:c r="F989" s="0">
        <ns0:f>IFERROR(IF(FIND(".",B989)=5,--C989,--E989),0)</ns0:f>
        <ns0:v>0</ns0:v>
      </ns0:c>
      <ns0:c r="G989" s="0">
        <ns0:f>IFERROR(--D989,0)</ns0:f>
        <ns0:v>0</ns0:v>
      </ns0:c>
      <ns0:c r="H989" s="0">
        <ns0:f>IFERROR(IF(FIND(".",B989)=5,--E989,--C989),0)</ns0:f>
        <ns0:v>0</ns0:v>
      </ns0:c>
      <ns0:c r="I989" s="0">
        <ns0:f>IFERROR(IF(AND(F989&gt;=2000,F989&lt;=2100,G989&gt;=1,G989&lt;=12,H989&gt;=1,H989&lt;=31),DATE(F989,G989,H989),0),0)</ns0:f>
        <ns0:v>0</ns0:v>
      </ns0:c>
      <ns0:c r="J989" s="0">
        <ns0:f>IFERROR(IF(ISNUMBER(Bookings!B989),IF(AND(Bookings!B989=INT(Bookings!B989),Bookings!B989&gt;=DATE(2000,1,1),Bookings!B989&lt;=DATE(2100,12,31)),Bookings!B989,0),IF(AND(A989&lt;&gt;"",LEN("x"&amp;B989)-LEN(SUBSTITUTE("x"&amp;B989,".",""))=2,OR(1&gt;LEN(B989),MID(B989,1,1)=".",ISNUMBER(FIND("x"&amp;MID(B989,1,1),"x0x1x2x3x4x5x6x7x8x9"))),OR(2&gt;LEN(B989),MID(B989,2,1)=".",ISNUMBER(FIND("x"&amp;MID(B989,2,1),"x0x1x2x3x4x5x6x7x8x9"))),OR(3&gt;LEN(B989),MID(B989,3,1)=".",ISNUMBER(FIND("x"&amp;MID(B989,3,1),"x0x1x2x3x4x5x6x7x8x9"))),OR(4&gt;LEN(B989),MID(B989,4,1)=".",ISNUMBER(FIND("x"&amp;MID(B989,4,1),"x0x1x2x3x4x5x6x7x8x9"))),OR(5&gt;LEN(B989),MID(B989,5,1)=".",ISNUMBER(FIND("x"&amp;MID(B989,5,1),"x0x1x2x3x4x5x6x7x8x9"))),OR(6&gt;LEN(B989),MID(B989,6,1)=".",ISNUMBER(FIND("x"&amp;MID(B989,6,1),"x0x1x2x3x4x5x6x7x8x9"))),OR(7&gt;LEN(B989),MID(B989,7,1)=".",ISNUMBER(FIND("x"&amp;MID(B989,7,1),"x0x1x2x3x4x5x6x7x8x9"))),OR(8&gt;LEN(B989),MID(B989,8,1)=".",ISNUMBER(FIND("x"&amp;MID(B989,8,1),"x0x1x2x3x4x5x6x7x8x9"))),OR(9&gt;LEN(B989),MID(B989,9,1)=".",ISNUMBER(FIND("x"&amp;MID(B989,9,1),"x0x1x2x3x4x5x6x7x8x9"))),OR(10&gt;LEN(B989),MID(B989,10,1)=".",ISNUMBER(FIND("x"&amp;MID(B989,10,1),"x0x1x2x3x4x5x6x7x8x9"))),OR(AND(FIND(".",B989)=5,LEN(B989)-FIND(".",B989,FIND(".",B989)+1)&gt;=1,LEN(B989)-FIND(".",B989,FIND(".",B989)+1)&lt;=2),AND(LEN(B989)-FIND(".",B989,FIND(".",B989)+1)=4,FIND(".",B989)&gt;=2,FIND(".",B989)&lt;=3)),FIND(".",B989,FIND(".",B989)+1)-FIND(".",B989)&gt;=2,FIND(".",B989,FIND(".",B989)+1)-FIND(".",B989)&lt;=3,F989&gt;=2000,F989&lt;=2100,YEAR(I989)=F989,MONTH(I989)=G989,DAY(I989)=H989),I989,0)),0)</ns0:f>
        <ns0:v>0</ns0:v>
      </ns0:c>
      <ns0:c r="K989" s="0">
        <ns0:f>IFERROR(IF(ISNUMBER(Bookings!D989),"",TRIM(Bookings!D989&amp;"")),"")</ns0:f>
      </ns0:c>
      <ns0:c r="L989" s="0">
        <ns0:f>IFERROR(SUBSTITUTE(SUBSTITUTE(K989,"/","."),"-","."),"")</ns0:f>
      </ns0:c>
      <ns0:c r="M989" s="0">
        <ns0:f>IFERROR(LEFT(L989,FIND(".",L989)-1),"")</ns0:f>
      </ns0:c>
      <ns0:c r="N989" s="0">
        <ns0:f>IFERROR(MID(L989,FIND(".",L989)+1,FIND(".",L989,FIND(".",L989)+1)-FIND(".",L989)-1),"")</ns0:f>
      </ns0:c>
      <ns0:c r="O989" s="0">
        <ns0:f>IFERROR(MID(L989,FIND(".",L989,FIND(".",L989)+1)+1,99),"")</ns0:f>
        <ns0:v>99</ns0:v>
      </ns0:c>
      <ns0:c r="P989" s="0">
        <ns0:f>IFERROR(IF(FIND(".",L989)=5,--M989,--O989),0)</ns0:f>
        <ns0:v>0</ns0:v>
      </ns0:c>
      <ns0:c r="Q989" s="0">
        <ns0:f>IFERROR(--N989,0)</ns0:f>
        <ns0:v>0</ns0:v>
      </ns0:c>
      <ns0:c r="R989" s="0">
        <ns0:f>IFERROR(IF(FIND(".",L989)=5,--O989,--M989),0)</ns0:f>
        <ns0:v>0</ns0:v>
      </ns0:c>
      <ns0:c r="S989" s="0">
        <ns0:f>IFERROR(IF(AND(P989&gt;=2000,P989&lt;=2100,Q989&gt;=1,Q989&lt;=12,R989&gt;=1,R989&lt;=31),DATE(P989,Q989,R989),0),0)</ns0:f>
        <ns0:v>0</ns0:v>
      </ns0:c>
      <ns0:c r="T989" s="0">
        <ns0:f>IFERROR(IF(ISNUMBER(Bookings!D989),IF(AND(Bookings!D989=INT(Bookings!D989),Bookings!D989&gt;=DATE(2000,1,1),Bookings!D989&lt;=DATE(2100,12,31)),Bookings!D989,0),IF(AND(K989&lt;&gt;"",LEN("x"&amp;L989)-LEN(SUBSTITUTE("x"&amp;L989,".",""))=2,OR(1&gt;LEN(L989),MID(L989,1,1)=".",ISNUMBER(FIND("x"&amp;MID(L989,1,1),"x0x1x2x3x4x5x6x7x8x9"))),OR(2&gt;LEN(L989),MID(L989,2,1)=".",ISNUMBER(FIND("x"&amp;MID(L989,2,1),"x0x1x2x3x4x5x6x7x8x9"))),OR(3&gt;LEN(L989),MID(L989,3,1)=".",ISNUMBER(FIND("x"&amp;MID(L989,3,1),"x0x1x2x3x4x5x6x7x8x9"))),OR(4&gt;LEN(L989),MID(L989,4,1)=".",ISNUMBER(FIND("x"&amp;MID(L989,4,1),"x0x1x2x3x4x5x6x7x8x9"))),OR(5&gt;LEN(L989),MID(L989,5,1)=".",ISNUMBER(FIND("x"&amp;MID(L989,5,1),"x0x1x2x3x4x5x6x7x8x9"))),OR(6&gt;LEN(L989),MID(L989,6,1)=".",ISNUMBER(FIND("x"&amp;MID(L989,6,1),"x0x1x2x3x4x5x6x7x8x9"))),OR(7&gt;LEN(L989),MID(L989,7,1)=".",ISNUMBER(FIND("x"&amp;MID(L989,7,1),"x0x1x2x3x4x5x6x7x8x9"))),OR(8&gt;LEN(L989),MID(L989,8,1)=".",ISNUMBER(FIND("x"&amp;MID(L989,8,1),"x0x1x2x3x4x5x6x7x8x9"))),OR(9&gt;LEN(L989),MID(L989,9,1)=".",ISNUMBER(FIND("x"&amp;MID(L989,9,1),"x0x1x2x3x4x5x6x7x8x9"))),OR(10&gt;LEN(L989),MID(L989,10,1)=".",ISNUMBER(FIND("x"&amp;MID(L989,10,1),"x0x1x2x3x4x5x6x7x8x9"))),OR(AND(FIND(".",L989)=5,LEN(L989)-FIND(".",L989,FIND(".",L989)+1)&gt;=1,LEN(L989)-FIND(".",L989,FIND(".",L989)+1)&lt;=2),AND(LEN(L989)-FIND(".",L989,FIND(".",L989)+1)=4,FIND(".",L989)&gt;=2,FIND(".",L989)&lt;=3)),FIND(".",L989,FIND(".",L989)+1)-FIND(".",L989)&gt;=2,FIND(".",L989,FIND(".",L989)+1)-FIND(".",L989)&lt;=3,P989&gt;=2000,P989&lt;=2100,YEAR(S989)=P989,MONTH(S989)=Q989,DAY(S989)=R989),S989,0)),0)</ns0:f>
        <ns0:v>0</ns0:v>
      </ns0:c>
      <ns0:c r="U989" s="0" t="str">
        <ns0:f>IF(Bookings!C989="","Full day",Bookings!C989)</ns0:f>
        <ns0:v>Full day</ns0:v>
      </ns0:c>
      <ns0:c r="V989" s="0" t="str">
        <ns0:f>IF(Bookings!E989="","Full day",Bookings!E989)</ns0:f>
        <ns0:v>Full day</ns0:v>
      </ns0:c>
      <ns0:c r="W989" s="0">
        <ns0:f>IF(J989=0,0,J989+IF(U989="PM",1,0))</ns0:f>
        <ns0:v>0</ns0:v>
      </ns0:c>
      <ns0:c r="X989" s="0">
        <ns0:f>IF(T989=0,0,T989-IF(V989="PM",1,0))</ns0:f>
        <ns0:v>0</ns0:v>
      </ns0:c>
      <ns0:c r="Y989" s="0">
        <ns0:f>IF(J989=0,0,J989+IF(U989="AM",1,0))</ns0:f>
        <ns0:v>0</ns0:v>
      </ns0:c>
      <ns0:c r="Z989" s="0">
        <ns0:f>IF(T989=0,0,T989-IF(V989="AM",1,0))</ns0:f>
        <ns0:v>0</ns0:v>
      </ns0:c>
      <ns0:c r="AA989" s="0">
        <ns0:f>IFERROR(IF(AND(J989&gt;0,'_Engine'!C989&gt;0,MID('_Engine'!W989,WEEKDAY(J989,2),1)="W",COUNTIF(Settings!$F$18:$F$67,J989)=0),1,0),0)</ns0:f>
        <ns0:v>0</ns0:v>
      </ns0:c>
      <ns0:c r="AB989" s="0">
        <ns0:f>IFERROR(IF(AND(T989&gt;0,'_Engine'!C989&gt;0,MID('_Engine'!W989,WEEKDAY(T989,2),1)="W",COUNTIF(Settings!$F$18:$F$67,T989)=0),1,0),0)</ns0:f>
        <ns0:v>0</ns0:v>
      </ns0:c>
      <ns0:c r="AC989" s="0">
        <ns0:f>IF(AND(J989&gt;0,T989&gt;0,W989&lt;=X989),1,0)</ns0:f>
        <ns0:v>0</ns0:v>
      </ns0:c>
      <ns0:c r="AD989" s="0">
        <ns0:f>IF(AND(J989&gt;0,T989&gt;0,Y989&lt;=Z989),1,0)</ns0:f>
        <ns0:v>0</ns0:v>
      </ns0:c>
    </ns0:row>
    <ns0:row r="990">
      <ns0:c r="A990" s="0">
        <ns0:f>IFERROR(IF(ISNUMBER(Bookings!B990),"",TRIM(Bookings!B990&amp;"")),"")</ns0:f>
      </ns0:c>
      <ns0:c r="B990" s="0">
        <ns0:f>IFERROR(SUBSTITUTE(SUBSTITUTE(A990,"/","."),"-","."),"")</ns0:f>
      </ns0:c>
      <ns0:c r="C990" s="0">
        <ns0:f>IFERROR(LEFT(B990,FIND(".",B990)-1),"")</ns0:f>
      </ns0:c>
      <ns0:c r="D990" s="0">
        <ns0:f>IFERROR(MID(B990,FIND(".",B990)+1,FIND(".",B990,FIND(".",B990)+1)-FIND(".",B990)-1),"")</ns0:f>
      </ns0:c>
      <ns0:c r="E990" s="0">
        <ns0:f>IFERROR(MID(B990,FIND(".",B990,FIND(".",B990)+1)+1,99),"")</ns0:f>
        <ns0:v>99</ns0:v>
      </ns0:c>
      <ns0:c r="F990" s="0">
        <ns0:f>IFERROR(IF(FIND(".",B990)=5,--C990,--E990),0)</ns0:f>
        <ns0:v>0</ns0:v>
      </ns0:c>
      <ns0:c r="G990" s="0">
        <ns0:f>IFERROR(--D990,0)</ns0:f>
        <ns0:v>0</ns0:v>
      </ns0:c>
      <ns0:c r="H990" s="0">
        <ns0:f>IFERROR(IF(FIND(".",B990)=5,--E990,--C990),0)</ns0:f>
        <ns0:v>0</ns0:v>
      </ns0:c>
      <ns0:c r="I990" s="0">
        <ns0:f>IFERROR(IF(AND(F990&gt;=2000,F990&lt;=2100,G990&gt;=1,G990&lt;=12,H990&gt;=1,H990&lt;=31),DATE(F990,G990,H990),0),0)</ns0:f>
        <ns0:v>0</ns0:v>
      </ns0:c>
      <ns0:c r="J990" s="0">
        <ns0:f>IFERROR(IF(ISNUMBER(Bookings!B990),IF(AND(Bookings!B990=INT(Bookings!B990),Bookings!B990&gt;=DATE(2000,1,1),Bookings!B990&lt;=DATE(2100,12,31)),Bookings!B990,0),IF(AND(A990&lt;&gt;"",LEN("x"&amp;B990)-LEN(SUBSTITUTE("x"&amp;B990,".",""))=2,OR(1&gt;LEN(B990),MID(B990,1,1)=".",ISNUMBER(FIND("x"&amp;MID(B990,1,1),"x0x1x2x3x4x5x6x7x8x9"))),OR(2&gt;LEN(B990),MID(B990,2,1)=".",ISNUMBER(FIND("x"&amp;MID(B990,2,1),"x0x1x2x3x4x5x6x7x8x9"))),OR(3&gt;LEN(B990),MID(B990,3,1)=".",ISNUMBER(FIND("x"&amp;MID(B990,3,1),"x0x1x2x3x4x5x6x7x8x9"))),OR(4&gt;LEN(B990),MID(B990,4,1)=".",ISNUMBER(FIND("x"&amp;MID(B990,4,1),"x0x1x2x3x4x5x6x7x8x9"))),OR(5&gt;LEN(B990),MID(B990,5,1)=".",ISNUMBER(FIND("x"&amp;MID(B990,5,1),"x0x1x2x3x4x5x6x7x8x9"))),OR(6&gt;LEN(B990),MID(B990,6,1)=".",ISNUMBER(FIND("x"&amp;MID(B990,6,1),"x0x1x2x3x4x5x6x7x8x9"))),OR(7&gt;LEN(B990),MID(B990,7,1)=".",ISNUMBER(FIND("x"&amp;MID(B990,7,1),"x0x1x2x3x4x5x6x7x8x9"))),OR(8&gt;LEN(B990),MID(B990,8,1)=".",ISNUMBER(FIND("x"&amp;MID(B990,8,1),"x0x1x2x3x4x5x6x7x8x9"))),OR(9&gt;LEN(B990),MID(B990,9,1)=".",ISNUMBER(FIND("x"&amp;MID(B990,9,1),"x0x1x2x3x4x5x6x7x8x9"))),OR(10&gt;LEN(B990),MID(B990,10,1)=".",ISNUMBER(FIND("x"&amp;MID(B990,10,1),"x0x1x2x3x4x5x6x7x8x9"))),OR(AND(FIND(".",B990)=5,LEN(B990)-FIND(".",B990,FIND(".",B990)+1)&gt;=1,LEN(B990)-FIND(".",B990,FIND(".",B990)+1)&lt;=2),AND(LEN(B990)-FIND(".",B990,FIND(".",B990)+1)=4,FIND(".",B990)&gt;=2,FIND(".",B990)&lt;=3)),FIND(".",B990,FIND(".",B990)+1)-FIND(".",B990)&gt;=2,FIND(".",B990,FIND(".",B990)+1)-FIND(".",B990)&lt;=3,F990&gt;=2000,F990&lt;=2100,YEAR(I990)=F990,MONTH(I990)=G990,DAY(I990)=H990),I990,0)),0)</ns0:f>
        <ns0:v>0</ns0:v>
      </ns0:c>
      <ns0:c r="K990" s="0">
        <ns0:f>IFERROR(IF(ISNUMBER(Bookings!D990),"",TRIM(Bookings!D990&amp;"")),"")</ns0:f>
      </ns0:c>
      <ns0:c r="L990" s="0">
        <ns0:f>IFERROR(SUBSTITUTE(SUBSTITUTE(K990,"/","."),"-","."),"")</ns0:f>
      </ns0:c>
      <ns0:c r="M990" s="0">
        <ns0:f>IFERROR(LEFT(L990,FIND(".",L990)-1),"")</ns0:f>
      </ns0:c>
      <ns0:c r="N990" s="0">
        <ns0:f>IFERROR(MID(L990,FIND(".",L990)+1,FIND(".",L990,FIND(".",L990)+1)-FIND(".",L990)-1),"")</ns0:f>
      </ns0:c>
      <ns0:c r="O990" s="0">
        <ns0:f>IFERROR(MID(L990,FIND(".",L990,FIND(".",L990)+1)+1,99),"")</ns0:f>
        <ns0:v>99</ns0:v>
      </ns0:c>
      <ns0:c r="P990" s="0">
        <ns0:f>IFERROR(IF(FIND(".",L990)=5,--M990,--O990),0)</ns0:f>
        <ns0:v>0</ns0:v>
      </ns0:c>
      <ns0:c r="Q990" s="0">
        <ns0:f>IFERROR(--N990,0)</ns0:f>
        <ns0:v>0</ns0:v>
      </ns0:c>
      <ns0:c r="R990" s="0">
        <ns0:f>IFERROR(IF(FIND(".",L990)=5,--O990,--M990),0)</ns0:f>
        <ns0:v>0</ns0:v>
      </ns0:c>
      <ns0:c r="S990" s="0">
        <ns0:f>IFERROR(IF(AND(P990&gt;=2000,P990&lt;=2100,Q990&gt;=1,Q990&lt;=12,R990&gt;=1,R990&lt;=31),DATE(P990,Q990,R990),0),0)</ns0:f>
        <ns0:v>0</ns0:v>
      </ns0:c>
      <ns0:c r="T990" s="0">
        <ns0:f>IFERROR(IF(ISNUMBER(Bookings!D990),IF(AND(Bookings!D990=INT(Bookings!D990),Bookings!D990&gt;=DATE(2000,1,1),Bookings!D990&lt;=DATE(2100,12,31)),Bookings!D990,0),IF(AND(K990&lt;&gt;"",LEN("x"&amp;L990)-LEN(SUBSTITUTE("x"&amp;L990,".",""))=2,OR(1&gt;LEN(L990),MID(L990,1,1)=".",ISNUMBER(FIND("x"&amp;MID(L990,1,1),"x0x1x2x3x4x5x6x7x8x9"))),OR(2&gt;LEN(L990),MID(L990,2,1)=".",ISNUMBER(FIND("x"&amp;MID(L990,2,1),"x0x1x2x3x4x5x6x7x8x9"))),OR(3&gt;LEN(L990),MID(L990,3,1)=".",ISNUMBER(FIND("x"&amp;MID(L990,3,1),"x0x1x2x3x4x5x6x7x8x9"))),OR(4&gt;LEN(L990),MID(L990,4,1)=".",ISNUMBER(FIND("x"&amp;MID(L990,4,1),"x0x1x2x3x4x5x6x7x8x9"))),OR(5&gt;LEN(L990),MID(L990,5,1)=".",ISNUMBER(FIND("x"&amp;MID(L990,5,1),"x0x1x2x3x4x5x6x7x8x9"))),OR(6&gt;LEN(L990),MID(L990,6,1)=".",ISNUMBER(FIND("x"&amp;MID(L990,6,1),"x0x1x2x3x4x5x6x7x8x9"))),OR(7&gt;LEN(L990),MID(L990,7,1)=".",ISNUMBER(FIND("x"&amp;MID(L990,7,1),"x0x1x2x3x4x5x6x7x8x9"))),OR(8&gt;LEN(L990),MID(L990,8,1)=".",ISNUMBER(FIND("x"&amp;MID(L990,8,1),"x0x1x2x3x4x5x6x7x8x9"))),OR(9&gt;LEN(L990),MID(L990,9,1)=".",ISNUMBER(FIND("x"&amp;MID(L990,9,1),"x0x1x2x3x4x5x6x7x8x9"))),OR(10&gt;LEN(L990),MID(L990,10,1)=".",ISNUMBER(FIND("x"&amp;MID(L990,10,1),"x0x1x2x3x4x5x6x7x8x9"))),OR(AND(FIND(".",L990)=5,LEN(L990)-FIND(".",L990,FIND(".",L990)+1)&gt;=1,LEN(L990)-FIND(".",L990,FIND(".",L990)+1)&lt;=2),AND(LEN(L990)-FIND(".",L990,FIND(".",L990)+1)=4,FIND(".",L990)&gt;=2,FIND(".",L990)&lt;=3)),FIND(".",L990,FIND(".",L990)+1)-FIND(".",L990)&gt;=2,FIND(".",L990,FIND(".",L990)+1)-FIND(".",L990)&lt;=3,P990&gt;=2000,P990&lt;=2100,YEAR(S990)=P990,MONTH(S990)=Q990,DAY(S990)=R990),S990,0)),0)</ns0:f>
        <ns0:v>0</ns0:v>
      </ns0:c>
      <ns0:c r="U990" s="0" t="str">
        <ns0:f>IF(Bookings!C990="","Full day",Bookings!C990)</ns0:f>
        <ns0:v>Full day</ns0:v>
      </ns0:c>
      <ns0:c r="V990" s="0" t="str">
        <ns0:f>IF(Bookings!E990="","Full day",Bookings!E990)</ns0:f>
        <ns0:v>Full day</ns0:v>
      </ns0:c>
      <ns0:c r="W990" s="0">
        <ns0:f>IF(J990=0,0,J990+IF(U990="PM",1,0))</ns0:f>
        <ns0:v>0</ns0:v>
      </ns0:c>
      <ns0:c r="X990" s="0">
        <ns0:f>IF(T990=0,0,T990-IF(V990="PM",1,0))</ns0:f>
        <ns0:v>0</ns0:v>
      </ns0:c>
      <ns0:c r="Y990" s="0">
        <ns0:f>IF(J990=0,0,J990+IF(U990="AM",1,0))</ns0:f>
        <ns0:v>0</ns0:v>
      </ns0:c>
      <ns0:c r="Z990" s="0">
        <ns0:f>IF(T990=0,0,T990-IF(V990="AM",1,0))</ns0:f>
        <ns0:v>0</ns0:v>
      </ns0:c>
      <ns0:c r="AA990" s="0">
        <ns0:f>IFERROR(IF(AND(J990&gt;0,'_Engine'!C990&gt;0,MID('_Engine'!W990,WEEKDAY(J990,2),1)="W",COUNTIF(Settings!$F$18:$F$67,J990)=0),1,0),0)</ns0:f>
        <ns0:v>0</ns0:v>
      </ns0:c>
      <ns0:c r="AB990" s="0">
        <ns0:f>IFERROR(IF(AND(T990&gt;0,'_Engine'!C990&gt;0,MID('_Engine'!W990,WEEKDAY(T990,2),1)="W",COUNTIF(Settings!$F$18:$F$67,T990)=0),1,0),0)</ns0:f>
        <ns0:v>0</ns0:v>
      </ns0:c>
      <ns0:c r="AC990" s="0">
        <ns0:f>IF(AND(J990&gt;0,T990&gt;0,W990&lt;=X990),1,0)</ns0:f>
        <ns0:v>0</ns0:v>
      </ns0:c>
      <ns0:c r="AD990" s="0">
        <ns0:f>IF(AND(J990&gt;0,T990&gt;0,Y990&lt;=Z990),1,0)</ns0:f>
        <ns0:v>0</ns0:v>
      </ns0:c>
    </ns0:row>
    <ns0:row r="991">
      <ns0:c r="A991" s="0">
        <ns0:f>IFERROR(IF(ISNUMBER(Bookings!B991),"",TRIM(Bookings!B991&amp;"")),"")</ns0:f>
      </ns0:c>
      <ns0:c r="B991" s="0">
        <ns0:f>IFERROR(SUBSTITUTE(SUBSTITUTE(A991,"/","."),"-","."),"")</ns0:f>
      </ns0:c>
      <ns0:c r="C991" s="0">
        <ns0:f>IFERROR(LEFT(B991,FIND(".",B991)-1),"")</ns0:f>
      </ns0:c>
      <ns0:c r="D991" s="0">
        <ns0:f>IFERROR(MID(B991,FIND(".",B991)+1,FIND(".",B991,FIND(".",B991)+1)-FIND(".",B991)-1),"")</ns0:f>
      </ns0:c>
      <ns0:c r="E991" s="0">
        <ns0:f>IFERROR(MID(B991,FIND(".",B991,FIND(".",B991)+1)+1,99),"")</ns0:f>
        <ns0:v>99</ns0:v>
      </ns0:c>
      <ns0:c r="F991" s="0">
        <ns0:f>IFERROR(IF(FIND(".",B991)=5,--C991,--E991),0)</ns0:f>
        <ns0:v>0</ns0:v>
      </ns0:c>
      <ns0:c r="G991" s="0">
        <ns0:f>IFERROR(--D991,0)</ns0:f>
        <ns0:v>0</ns0:v>
      </ns0:c>
      <ns0:c r="H991" s="0">
        <ns0:f>IFERROR(IF(FIND(".",B991)=5,--E991,--C991),0)</ns0:f>
        <ns0:v>0</ns0:v>
      </ns0:c>
      <ns0:c r="I991" s="0">
        <ns0:f>IFERROR(IF(AND(F991&gt;=2000,F991&lt;=2100,G991&gt;=1,G991&lt;=12,H991&gt;=1,H991&lt;=31),DATE(F991,G991,H991),0),0)</ns0:f>
        <ns0:v>0</ns0:v>
      </ns0:c>
      <ns0:c r="J991" s="0">
        <ns0:f>IFERROR(IF(ISNUMBER(Bookings!B991),IF(AND(Bookings!B991=INT(Bookings!B991),Bookings!B991&gt;=DATE(2000,1,1),Bookings!B991&lt;=DATE(2100,12,31)),Bookings!B991,0),IF(AND(A991&lt;&gt;"",LEN("x"&amp;B991)-LEN(SUBSTITUTE("x"&amp;B991,".",""))=2,OR(1&gt;LEN(B991),MID(B991,1,1)=".",ISNUMBER(FIND("x"&amp;MID(B991,1,1),"x0x1x2x3x4x5x6x7x8x9"))),OR(2&gt;LEN(B991),MID(B991,2,1)=".",ISNUMBER(FIND("x"&amp;MID(B991,2,1),"x0x1x2x3x4x5x6x7x8x9"))),OR(3&gt;LEN(B991),MID(B991,3,1)=".",ISNUMBER(FIND("x"&amp;MID(B991,3,1),"x0x1x2x3x4x5x6x7x8x9"))),OR(4&gt;LEN(B991),MID(B991,4,1)=".",ISNUMBER(FIND("x"&amp;MID(B991,4,1),"x0x1x2x3x4x5x6x7x8x9"))),OR(5&gt;LEN(B991),MID(B991,5,1)=".",ISNUMBER(FIND("x"&amp;MID(B991,5,1),"x0x1x2x3x4x5x6x7x8x9"))),OR(6&gt;LEN(B991),MID(B991,6,1)=".",ISNUMBER(FIND("x"&amp;MID(B991,6,1),"x0x1x2x3x4x5x6x7x8x9"))),OR(7&gt;LEN(B991),MID(B991,7,1)=".",ISNUMBER(FIND("x"&amp;MID(B991,7,1),"x0x1x2x3x4x5x6x7x8x9"))),OR(8&gt;LEN(B991),MID(B991,8,1)=".",ISNUMBER(FIND("x"&amp;MID(B991,8,1),"x0x1x2x3x4x5x6x7x8x9"))),OR(9&gt;LEN(B991),MID(B991,9,1)=".",ISNUMBER(FIND("x"&amp;MID(B991,9,1),"x0x1x2x3x4x5x6x7x8x9"))),OR(10&gt;LEN(B991),MID(B991,10,1)=".",ISNUMBER(FIND("x"&amp;MID(B991,10,1),"x0x1x2x3x4x5x6x7x8x9"))),OR(AND(FIND(".",B991)=5,LEN(B991)-FIND(".",B991,FIND(".",B991)+1)&gt;=1,LEN(B991)-FIND(".",B991,FIND(".",B991)+1)&lt;=2),AND(LEN(B991)-FIND(".",B991,FIND(".",B991)+1)=4,FIND(".",B991)&gt;=2,FIND(".",B991)&lt;=3)),FIND(".",B991,FIND(".",B991)+1)-FIND(".",B991)&gt;=2,FIND(".",B991,FIND(".",B991)+1)-FIND(".",B991)&lt;=3,F991&gt;=2000,F991&lt;=2100,YEAR(I991)=F991,MONTH(I991)=G991,DAY(I991)=H991),I991,0)),0)</ns0:f>
        <ns0:v>0</ns0:v>
      </ns0:c>
      <ns0:c r="K991" s="0">
        <ns0:f>IFERROR(IF(ISNUMBER(Bookings!D991),"",TRIM(Bookings!D991&amp;"")),"")</ns0:f>
      </ns0:c>
      <ns0:c r="L991" s="0">
        <ns0:f>IFERROR(SUBSTITUTE(SUBSTITUTE(K991,"/","."),"-","."),"")</ns0:f>
      </ns0:c>
      <ns0:c r="M991" s="0">
        <ns0:f>IFERROR(LEFT(L991,FIND(".",L991)-1),"")</ns0:f>
      </ns0:c>
      <ns0:c r="N991" s="0">
        <ns0:f>IFERROR(MID(L991,FIND(".",L991)+1,FIND(".",L991,FIND(".",L991)+1)-FIND(".",L991)-1),"")</ns0:f>
      </ns0:c>
      <ns0:c r="O991" s="0">
        <ns0:f>IFERROR(MID(L991,FIND(".",L991,FIND(".",L991)+1)+1,99),"")</ns0:f>
        <ns0:v>99</ns0:v>
      </ns0:c>
      <ns0:c r="P991" s="0">
        <ns0:f>IFERROR(IF(FIND(".",L991)=5,--M991,--O991),0)</ns0:f>
        <ns0:v>0</ns0:v>
      </ns0:c>
      <ns0:c r="Q991" s="0">
        <ns0:f>IFERROR(--N991,0)</ns0:f>
        <ns0:v>0</ns0:v>
      </ns0:c>
      <ns0:c r="R991" s="0">
        <ns0:f>IFERROR(IF(FIND(".",L991)=5,--O991,--M991),0)</ns0:f>
        <ns0:v>0</ns0:v>
      </ns0:c>
      <ns0:c r="S991" s="0">
        <ns0:f>IFERROR(IF(AND(P991&gt;=2000,P991&lt;=2100,Q991&gt;=1,Q991&lt;=12,R991&gt;=1,R991&lt;=31),DATE(P991,Q991,R991),0),0)</ns0:f>
        <ns0:v>0</ns0:v>
      </ns0:c>
      <ns0:c r="T991" s="0">
        <ns0:f>IFERROR(IF(ISNUMBER(Bookings!D991),IF(AND(Bookings!D991=INT(Bookings!D991),Bookings!D991&gt;=DATE(2000,1,1),Bookings!D991&lt;=DATE(2100,12,31)),Bookings!D991,0),IF(AND(K991&lt;&gt;"",LEN("x"&amp;L991)-LEN(SUBSTITUTE("x"&amp;L991,".",""))=2,OR(1&gt;LEN(L991),MID(L991,1,1)=".",ISNUMBER(FIND("x"&amp;MID(L991,1,1),"x0x1x2x3x4x5x6x7x8x9"))),OR(2&gt;LEN(L991),MID(L991,2,1)=".",ISNUMBER(FIND("x"&amp;MID(L991,2,1),"x0x1x2x3x4x5x6x7x8x9"))),OR(3&gt;LEN(L991),MID(L991,3,1)=".",ISNUMBER(FIND("x"&amp;MID(L991,3,1),"x0x1x2x3x4x5x6x7x8x9"))),OR(4&gt;LEN(L991),MID(L991,4,1)=".",ISNUMBER(FIND("x"&amp;MID(L991,4,1),"x0x1x2x3x4x5x6x7x8x9"))),OR(5&gt;LEN(L991),MID(L991,5,1)=".",ISNUMBER(FIND("x"&amp;MID(L991,5,1),"x0x1x2x3x4x5x6x7x8x9"))),OR(6&gt;LEN(L991),MID(L991,6,1)=".",ISNUMBER(FIND("x"&amp;MID(L991,6,1),"x0x1x2x3x4x5x6x7x8x9"))),OR(7&gt;LEN(L991),MID(L991,7,1)=".",ISNUMBER(FIND("x"&amp;MID(L991,7,1),"x0x1x2x3x4x5x6x7x8x9"))),OR(8&gt;LEN(L991),MID(L991,8,1)=".",ISNUMBER(FIND("x"&amp;MID(L991,8,1),"x0x1x2x3x4x5x6x7x8x9"))),OR(9&gt;LEN(L991),MID(L991,9,1)=".",ISNUMBER(FIND("x"&amp;MID(L991,9,1),"x0x1x2x3x4x5x6x7x8x9"))),OR(10&gt;LEN(L991),MID(L991,10,1)=".",ISNUMBER(FIND("x"&amp;MID(L991,10,1),"x0x1x2x3x4x5x6x7x8x9"))),OR(AND(FIND(".",L991)=5,LEN(L991)-FIND(".",L991,FIND(".",L991)+1)&gt;=1,LEN(L991)-FIND(".",L991,FIND(".",L991)+1)&lt;=2),AND(LEN(L991)-FIND(".",L991,FIND(".",L991)+1)=4,FIND(".",L991)&gt;=2,FIND(".",L991)&lt;=3)),FIND(".",L991,FIND(".",L991)+1)-FIND(".",L991)&gt;=2,FIND(".",L991,FIND(".",L991)+1)-FIND(".",L991)&lt;=3,P991&gt;=2000,P991&lt;=2100,YEAR(S991)=P991,MONTH(S991)=Q991,DAY(S991)=R991),S991,0)),0)</ns0:f>
        <ns0:v>0</ns0:v>
      </ns0:c>
      <ns0:c r="U991" s="0" t="str">
        <ns0:f>IF(Bookings!C991="","Full day",Bookings!C991)</ns0:f>
        <ns0:v>Full day</ns0:v>
      </ns0:c>
      <ns0:c r="V991" s="0" t="str">
        <ns0:f>IF(Bookings!E991="","Full day",Bookings!E991)</ns0:f>
        <ns0:v>Full day</ns0:v>
      </ns0:c>
      <ns0:c r="W991" s="0">
        <ns0:f>IF(J991=0,0,J991+IF(U991="PM",1,0))</ns0:f>
        <ns0:v>0</ns0:v>
      </ns0:c>
      <ns0:c r="X991" s="0">
        <ns0:f>IF(T991=0,0,T991-IF(V991="PM",1,0))</ns0:f>
        <ns0:v>0</ns0:v>
      </ns0:c>
      <ns0:c r="Y991" s="0">
        <ns0:f>IF(J991=0,0,J991+IF(U991="AM",1,0))</ns0:f>
        <ns0:v>0</ns0:v>
      </ns0:c>
      <ns0:c r="Z991" s="0">
        <ns0:f>IF(T991=0,0,T991-IF(V991="AM",1,0))</ns0:f>
        <ns0:v>0</ns0:v>
      </ns0:c>
      <ns0:c r="AA991" s="0">
        <ns0:f>IFERROR(IF(AND(J991&gt;0,'_Engine'!C991&gt;0,MID('_Engine'!W991,WEEKDAY(J991,2),1)="W",COUNTIF(Settings!$F$18:$F$67,J991)=0),1,0),0)</ns0:f>
        <ns0:v>0</ns0:v>
      </ns0:c>
      <ns0:c r="AB991" s="0">
        <ns0:f>IFERROR(IF(AND(T991&gt;0,'_Engine'!C991&gt;0,MID('_Engine'!W991,WEEKDAY(T991,2),1)="W",COUNTIF(Settings!$F$18:$F$67,T991)=0),1,0),0)</ns0:f>
        <ns0:v>0</ns0:v>
      </ns0:c>
      <ns0:c r="AC991" s="0">
        <ns0:f>IF(AND(J991&gt;0,T991&gt;0,W991&lt;=X991),1,0)</ns0:f>
        <ns0:v>0</ns0:v>
      </ns0:c>
      <ns0:c r="AD991" s="0">
        <ns0:f>IF(AND(J991&gt;0,T991&gt;0,Y991&lt;=Z991),1,0)</ns0:f>
        <ns0:v>0</ns0:v>
      </ns0:c>
    </ns0:row>
    <ns0:row r="992">
      <ns0:c r="A992" s="0">
        <ns0:f>IFERROR(IF(ISNUMBER(Bookings!B992),"",TRIM(Bookings!B992&amp;"")),"")</ns0:f>
      </ns0:c>
      <ns0:c r="B992" s="0">
        <ns0:f>IFERROR(SUBSTITUTE(SUBSTITUTE(A992,"/","."),"-","."),"")</ns0:f>
      </ns0:c>
      <ns0:c r="C992" s="0">
        <ns0:f>IFERROR(LEFT(B992,FIND(".",B992)-1),"")</ns0:f>
      </ns0:c>
      <ns0:c r="D992" s="0">
        <ns0:f>IFERROR(MID(B992,FIND(".",B992)+1,FIND(".",B992,FIND(".",B992)+1)-FIND(".",B992)-1),"")</ns0:f>
      </ns0:c>
      <ns0:c r="E992" s="0">
        <ns0:f>IFERROR(MID(B992,FIND(".",B992,FIND(".",B992)+1)+1,99),"")</ns0:f>
        <ns0:v>99</ns0:v>
      </ns0:c>
      <ns0:c r="F992" s="0">
        <ns0:f>IFERROR(IF(FIND(".",B992)=5,--C992,--E992),0)</ns0:f>
        <ns0:v>0</ns0:v>
      </ns0:c>
      <ns0:c r="G992" s="0">
        <ns0:f>IFERROR(--D992,0)</ns0:f>
        <ns0:v>0</ns0:v>
      </ns0:c>
      <ns0:c r="H992" s="0">
        <ns0:f>IFERROR(IF(FIND(".",B992)=5,--E992,--C992),0)</ns0:f>
        <ns0:v>0</ns0:v>
      </ns0:c>
      <ns0:c r="I992" s="0">
        <ns0:f>IFERROR(IF(AND(F992&gt;=2000,F992&lt;=2100,G992&gt;=1,G992&lt;=12,H992&gt;=1,H992&lt;=31),DATE(F992,G992,H992),0),0)</ns0:f>
        <ns0:v>0</ns0:v>
      </ns0:c>
      <ns0:c r="J992" s="0">
        <ns0:f>IFERROR(IF(ISNUMBER(Bookings!B992),IF(AND(Bookings!B992=INT(Bookings!B992),Bookings!B992&gt;=DATE(2000,1,1),Bookings!B992&lt;=DATE(2100,12,31)),Bookings!B992,0),IF(AND(A992&lt;&gt;"",LEN("x"&amp;B992)-LEN(SUBSTITUTE("x"&amp;B992,".",""))=2,OR(1&gt;LEN(B992),MID(B992,1,1)=".",ISNUMBER(FIND("x"&amp;MID(B992,1,1),"x0x1x2x3x4x5x6x7x8x9"))),OR(2&gt;LEN(B992),MID(B992,2,1)=".",ISNUMBER(FIND("x"&amp;MID(B992,2,1),"x0x1x2x3x4x5x6x7x8x9"))),OR(3&gt;LEN(B992),MID(B992,3,1)=".",ISNUMBER(FIND("x"&amp;MID(B992,3,1),"x0x1x2x3x4x5x6x7x8x9"))),OR(4&gt;LEN(B992),MID(B992,4,1)=".",ISNUMBER(FIND("x"&amp;MID(B992,4,1),"x0x1x2x3x4x5x6x7x8x9"))),OR(5&gt;LEN(B992),MID(B992,5,1)=".",ISNUMBER(FIND("x"&amp;MID(B992,5,1),"x0x1x2x3x4x5x6x7x8x9"))),OR(6&gt;LEN(B992),MID(B992,6,1)=".",ISNUMBER(FIND("x"&amp;MID(B992,6,1),"x0x1x2x3x4x5x6x7x8x9"))),OR(7&gt;LEN(B992),MID(B992,7,1)=".",ISNUMBER(FIND("x"&amp;MID(B992,7,1),"x0x1x2x3x4x5x6x7x8x9"))),OR(8&gt;LEN(B992),MID(B992,8,1)=".",ISNUMBER(FIND("x"&amp;MID(B992,8,1),"x0x1x2x3x4x5x6x7x8x9"))),OR(9&gt;LEN(B992),MID(B992,9,1)=".",ISNUMBER(FIND("x"&amp;MID(B992,9,1),"x0x1x2x3x4x5x6x7x8x9"))),OR(10&gt;LEN(B992),MID(B992,10,1)=".",ISNUMBER(FIND("x"&amp;MID(B992,10,1),"x0x1x2x3x4x5x6x7x8x9"))),OR(AND(FIND(".",B992)=5,LEN(B992)-FIND(".",B992,FIND(".",B992)+1)&gt;=1,LEN(B992)-FIND(".",B992,FIND(".",B992)+1)&lt;=2),AND(LEN(B992)-FIND(".",B992,FIND(".",B992)+1)=4,FIND(".",B992)&gt;=2,FIND(".",B992)&lt;=3)),FIND(".",B992,FIND(".",B992)+1)-FIND(".",B992)&gt;=2,FIND(".",B992,FIND(".",B992)+1)-FIND(".",B992)&lt;=3,F992&gt;=2000,F992&lt;=2100,YEAR(I992)=F992,MONTH(I992)=G992,DAY(I992)=H992),I992,0)),0)</ns0:f>
        <ns0:v>0</ns0:v>
      </ns0:c>
      <ns0:c r="K992" s="0">
        <ns0:f>IFERROR(IF(ISNUMBER(Bookings!D992),"",TRIM(Bookings!D992&amp;"")),"")</ns0:f>
      </ns0:c>
      <ns0:c r="L992" s="0">
        <ns0:f>IFERROR(SUBSTITUTE(SUBSTITUTE(K992,"/","."),"-","."),"")</ns0:f>
      </ns0:c>
      <ns0:c r="M992" s="0">
        <ns0:f>IFERROR(LEFT(L992,FIND(".",L992)-1),"")</ns0:f>
      </ns0:c>
      <ns0:c r="N992" s="0">
        <ns0:f>IFERROR(MID(L992,FIND(".",L992)+1,FIND(".",L992,FIND(".",L992)+1)-FIND(".",L992)-1),"")</ns0:f>
      </ns0:c>
      <ns0:c r="O992" s="0">
        <ns0:f>IFERROR(MID(L992,FIND(".",L992,FIND(".",L992)+1)+1,99),"")</ns0:f>
        <ns0:v>99</ns0:v>
      </ns0:c>
      <ns0:c r="P992" s="0">
        <ns0:f>IFERROR(IF(FIND(".",L992)=5,--M992,--O992),0)</ns0:f>
        <ns0:v>0</ns0:v>
      </ns0:c>
      <ns0:c r="Q992" s="0">
        <ns0:f>IFERROR(--N992,0)</ns0:f>
        <ns0:v>0</ns0:v>
      </ns0:c>
      <ns0:c r="R992" s="0">
        <ns0:f>IFERROR(IF(FIND(".",L992)=5,--O992,--M992),0)</ns0:f>
        <ns0:v>0</ns0:v>
      </ns0:c>
      <ns0:c r="S992" s="0">
        <ns0:f>IFERROR(IF(AND(P992&gt;=2000,P992&lt;=2100,Q992&gt;=1,Q992&lt;=12,R992&gt;=1,R992&lt;=31),DATE(P992,Q992,R992),0),0)</ns0:f>
        <ns0:v>0</ns0:v>
      </ns0:c>
      <ns0:c r="T992" s="0">
        <ns0:f>IFERROR(IF(ISNUMBER(Bookings!D992),IF(AND(Bookings!D992=INT(Bookings!D992),Bookings!D992&gt;=DATE(2000,1,1),Bookings!D992&lt;=DATE(2100,12,31)),Bookings!D992,0),IF(AND(K992&lt;&gt;"",LEN("x"&amp;L992)-LEN(SUBSTITUTE("x"&amp;L992,".",""))=2,OR(1&gt;LEN(L992),MID(L992,1,1)=".",ISNUMBER(FIND("x"&amp;MID(L992,1,1),"x0x1x2x3x4x5x6x7x8x9"))),OR(2&gt;LEN(L992),MID(L992,2,1)=".",ISNUMBER(FIND("x"&amp;MID(L992,2,1),"x0x1x2x3x4x5x6x7x8x9"))),OR(3&gt;LEN(L992),MID(L992,3,1)=".",ISNUMBER(FIND("x"&amp;MID(L992,3,1),"x0x1x2x3x4x5x6x7x8x9"))),OR(4&gt;LEN(L992),MID(L992,4,1)=".",ISNUMBER(FIND("x"&amp;MID(L992,4,1),"x0x1x2x3x4x5x6x7x8x9"))),OR(5&gt;LEN(L992),MID(L992,5,1)=".",ISNUMBER(FIND("x"&amp;MID(L992,5,1),"x0x1x2x3x4x5x6x7x8x9"))),OR(6&gt;LEN(L992),MID(L992,6,1)=".",ISNUMBER(FIND("x"&amp;MID(L992,6,1),"x0x1x2x3x4x5x6x7x8x9"))),OR(7&gt;LEN(L992),MID(L992,7,1)=".",ISNUMBER(FIND("x"&amp;MID(L992,7,1),"x0x1x2x3x4x5x6x7x8x9"))),OR(8&gt;LEN(L992),MID(L992,8,1)=".",ISNUMBER(FIND("x"&amp;MID(L992,8,1),"x0x1x2x3x4x5x6x7x8x9"))),OR(9&gt;LEN(L992),MID(L992,9,1)=".",ISNUMBER(FIND("x"&amp;MID(L992,9,1),"x0x1x2x3x4x5x6x7x8x9"))),OR(10&gt;LEN(L992),MID(L992,10,1)=".",ISNUMBER(FIND("x"&amp;MID(L992,10,1),"x0x1x2x3x4x5x6x7x8x9"))),OR(AND(FIND(".",L992)=5,LEN(L992)-FIND(".",L992,FIND(".",L992)+1)&gt;=1,LEN(L992)-FIND(".",L992,FIND(".",L992)+1)&lt;=2),AND(LEN(L992)-FIND(".",L992,FIND(".",L992)+1)=4,FIND(".",L992)&gt;=2,FIND(".",L992)&lt;=3)),FIND(".",L992,FIND(".",L992)+1)-FIND(".",L992)&gt;=2,FIND(".",L992,FIND(".",L992)+1)-FIND(".",L992)&lt;=3,P992&gt;=2000,P992&lt;=2100,YEAR(S992)=P992,MONTH(S992)=Q992,DAY(S992)=R992),S992,0)),0)</ns0:f>
        <ns0:v>0</ns0:v>
      </ns0:c>
      <ns0:c r="U992" s="0" t="str">
        <ns0:f>IF(Bookings!C992="","Full day",Bookings!C992)</ns0:f>
        <ns0:v>Full day</ns0:v>
      </ns0:c>
      <ns0:c r="V992" s="0" t="str">
        <ns0:f>IF(Bookings!E992="","Full day",Bookings!E992)</ns0:f>
        <ns0:v>Full day</ns0:v>
      </ns0:c>
      <ns0:c r="W992" s="0">
        <ns0:f>IF(J992=0,0,J992+IF(U992="PM",1,0))</ns0:f>
        <ns0:v>0</ns0:v>
      </ns0:c>
      <ns0:c r="X992" s="0">
        <ns0:f>IF(T992=0,0,T992-IF(V992="PM",1,0))</ns0:f>
        <ns0:v>0</ns0:v>
      </ns0:c>
      <ns0:c r="Y992" s="0">
        <ns0:f>IF(J992=0,0,J992+IF(U992="AM",1,0))</ns0:f>
        <ns0:v>0</ns0:v>
      </ns0:c>
      <ns0:c r="Z992" s="0">
        <ns0:f>IF(T992=0,0,T992-IF(V992="AM",1,0))</ns0:f>
        <ns0:v>0</ns0:v>
      </ns0:c>
      <ns0:c r="AA992" s="0">
        <ns0:f>IFERROR(IF(AND(J992&gt;0,'_Engine'!C992&gt;0,MID('_Engine'!W992,WEEKDAY(J992,2),1)="W",COUNTIF(Settings!$F$18:$F$67,J992)=0),1,0),0)</ns0:f>
        <ns0:v>0</ns0:v>
      </ns0:c>
      <ns0:c r="AB992" s="0">
        <ns0:f>IFERROR(IF(AND(T992&gt;0,'_Engine'!C992&gt;0,MID('_Engine'!W992,WEEKDAY(T992,2),1)="W",COUNTIF(Settings!$F$18:$F$67,T992)=0),1,0),0)</ns0:f>
        <ns0:v>0</ns0:v>
      </ns0:c>
      <ns0:c r="AC992" s="0">
        <ns0:f>IF(AND(J992&gt;0,T992&gt;0,W992&lt;=X992),1,0)</ns0:f>
        <ns0:v>0</ns0:v>
      </ns0:c>
      <ns0:c r="AD992" s="0">
        <ns0:f>IF(AND(J992&gt;0,T992&gt;0,Y992&lt;=Z992),1,0)</ns0:f>
        <ns0:v>0</ns0:v>
      </ns0:c>
    </ns0:row>
    <ns0:row r="993">
      <ns0:c r="A993" s="0">
        <ns0:f>IFERROR(IF(ISNUMBER(Bookings!B993),"",TRIM(Bookings!B993&amp;"")),"")</ns0:f>
      </ns0:c>
      <ns0:c r="B993" s="0">
        <ns0:f>IFERROR(SUBSTITUTE(SUBSTITUTE(A993,"/","."),"-","."),"")</ns0:f>
      </ns0:c>
      <ns0:c r="C993" s="0">
        <ns0:f>IFERROR(LEFT(B993,FIND(".",B993)-1),"")</ns0:f>
      </ns0:c>
      <ns0:c r="D993" s="0">
        <ns0:f>IFERROR(MID(B993,FIND(".",B993)+1,FIND(".",B993,FIND(".",B993)+1)-FIND(".",B993)-1),"")</ns0:f>
      </ns0:c>
      <ns0:c r="E993" s="0">
        <ns0:f>IFERROR(MID(B993,FIND(".",B993,FIND(".",B993)+1)+1,99),"")</ns0:f>
        <ns0:v>99</ns0:v>
      </ns0:c>
      <ns0:c r="F993" s="0">
        <ns0:f>IFERROR(IF(FIND(".",B993)=5,--C993,--E993),0)</ns0:f>
        <ns0:v>0</ns0:v>
      </ns0:c>
      <ns0:c r="G993" s="0">
        <ns0:f>IFERROR(--D993,0)</ns0:f>
        <ns0:v>0</ns0:v>
      </ns0:c>
      <ns0:c r="H993" s="0">
        <ns0:f>IFERROR(IF(FIND(".",B993)=5,--E993,--C993),0)</ns0:f>
        <ns0:v>0</ns0:v>
      </ns0:c>
      <ns0:c r="I993" s="0">
        <ns0:f>IFERROR(IF(AND(F993&gt;=2000,F993&lt;=2100,G993&gt;=1,G993&lt;=12,H993&gt;=1,H993&lt;=31),DATE(F993,G993,H993),0),0)</ns0:f>
        <ns0:v>0</ns0:v>
      </ns0:c>
      <ns0:c r="J993" s="0">
        <ns0:f>IFERROR(IF(ISNUMBER(Bookings!B993),IF(AND(Bookings!B993=INT(Bookings!B993),Bookings!B993&gt;=DATE(2000,1,1),Bookings!B993&lt;=DATE(2100,12,31)),Bookings!B993,0),IF(AND(A993&lt;&gt;"",LEN("x"&amp;B993)-LEN(SUBSTITUTE("x"&amp;B993,".",""))=2,OR(1&gt;LEN(B993),MID(B993,1,1)=".",ISNUMBER(FIND("x"&amp;MID(B993,1,1),"x0x1x2x3x4x5x6x7x8x9"))),OR(2&gt;LEN(B993),MID(B993,2,1)=".",ISNUMBER(FIND("x"&amp;MID(B993,2,1),"x0x1x2x3x4x5x6x7x8x9"))),OR(3&gt;LEN(B993),MID(B993,3,1)=".",ISNUMBER(FIND("x"&amp;MID(B993,3,1),"x0x1x2x3x4x5x6x7x8x9"))),OR(4&gt;LEN(B993),MID(B993,4,1)=".",ISNUMBER(FIND("x"&amp;MID(B993,4,1),"x0x1x2x3x4x5x6x7x8x9"))),OR(5&gt;LEN(B993),MID(B993,5,1)=".",ISNUMBER(FIND("x"&amp;MID(B993,5,1),"x0x1x2x3x4x5x6x7x8x9"))),OR(6&gt;LEN(B993),MID(B993,6,1)=".",ISNUMBER(FIND("x"&amp;MID(B993,6,1),"x0x1x2x3x4x5x6x7x8x9"))),OR(7&gt;LEN(B993),MID(B993,7,1)=".",ISNUMBER(FIND("x"&amp;MID(B993,7,1),"x0x1x2x3x4x5x6x7x8x9"))),OR(8&gt;LEN(B993),MID(B993,8,1)=".",ISNUMBER(FIND("x"&amp;MID(B993,8,1),"x0x1x2x3x4x5x6x7x8x9"))),OR(9&gt;LEN(B993),MID(B993,9,1)=".",ISNUMBER(FIND("x"&amp;MID(B993,9,1),"x0x1x2x3x4x5x6x7x8x9"))),OR(10&gt;LEN(B993),MID(B993,10,1)=".",ISNUMBER(FIND("x"&amp;MID(B993,10,1),"x0x1x2x3x4x5x6x7x8x9"))),OR(AND(FIND(".",B993)=5,LEN(B993)-FIND(".",B993,FIND(".",B993)+1)&gt;=1,LEN(B993)-FIND(".",B993,FIND(".",B993)+1)&lt;=2),AND(LEN(B993)-FIND(".",B993,FIND(".",B993)+1)=4,FIND(".",B993)&gt;=2,FIND(".",B993)&lt;=3)),FIND(".",B993,FIND(".",B993)+1)-FIND(".",B993)&gt;=2,FIND(".",B993,FIND(".",B993)+1)-FIND(".",B993)&lt;=3,F993&gt;=2000,F993&lt;=2100,YEAR(I993)=F993,MONTH(I993)=G993,DAY(I993)=H993),I993,0)),0)</ns0:f>
        <ns0:v>0</ns0:v>
      </ns0:c>
      <ns0:c r="K993" s="0">
        <ns0:f>IFERROR(IF(ISNUMBER(Bookings!D993),"",TRIM(Bookings!D993&amp;"")),"")</ns0:f>
      </ns0:c>
      <ns0:c r="L993" s="0">
        <ns0:f>IFERROR(SUBSTITUTE(SUBSTITUTE(K993,"/","."),"-","."),"")</ns0:f>
      </ns0:c>
      <ns0:c r="M993" s="0">
        <ns0:f>IFERROR(LEFT(L993,FIND(".",L993)-1),"")</ns0:f>
      </ns0:c>
      <ns0:c r="N993" s="0">
        <ns0:f>IFERROR(MID(L993,FIND(".",L993)+1,FIND(".",L993,FIND(".",L993)+1)-FIND(".",L993)-1),"")</ns0:f>
      </ns0:c>
      <ns0:c r="O993" s="0">
        <ns0:f>IFERROR(MID(L993,FIND(".",L993,FIND(".",L993)+1)+1,99),"")</ns0:f>
        <ns0:v>99</ns0:v>
      </ns0:c>
      <ns0:c r="P993" s="0">
        <ns0:f>IFERROR(IF(FIND(".",L993)=5,--M993,--O993),0)</ns0:f>
        <ns0:v>0</ns0:v>
      </ns0:c>
      <ns0:c r="Q993" s="0">
        <ns0:f>IFERROR(--N993,0)</ns0:f>
        <ns0:v>0</ns0:v>
      </ns0:c>
      <ns0:c r="R993" s="0">
        <ns0:f>IFERROR(IF(FIND(".",L993)=5,--O993,--M993),0)</ns0:f>
        <ns0:v>0</ns0:v>
      </ns0:c>
      <ns0:c r="S993" s="0">
        <ns0:f>IFERROR(IF(AND(P993&gt;=2000,P993&lt;=2100,Q993&gt;=1,Q993&lt;=12,R993&gt;=1,R993&lt;=31),DATE(P993,Q993,R993),0),0)</ns0:f>
        <ns0:v>0</ns0:v>
      </ns0:c>
      <ns0:c r="T993" s="0">
        <ns0:f>IFERROR(IF(ISNUMBER(Bookings!D993),IF(AND(Bookings!D993=INT(Bookings!D993),Bookings!D993&gt;=DATE(2000,1,1),Bookings!D993&lt;=DATE(2100,12,31)),Bookings!D993,0),IF(AND(K993&lt;&gt;"",LEN("x"&amp;L993)-LEN(SUBSTITUTE("x"&amp;L993,".",""))=2,OR(1&gt;LEN(L993),MID(L993,1,1)=".",ISNUMBER(FIND("x"&amp;MID(L993,1,1),"x0x1x2x3x4x5x6x7x8x9"))),OR(2&gt;LEN(L993),MID(L993,2,1)=".",ISNUMBER(FIND("x"&amp;MID(L993,2,1),"x0x1x2x3x4x5x6x7x8x9"))),OR(3&gt;LEN(L993),MID(L993,3,1)=".",ISNUMBER(FIND("x"&amp;MID(L993,3,1),"x0x1x2x3x4x5x6x7x8x9"))),OR(4&gt;LEN(L993),MID(L993,4,1)=".",ISNUMBER(FIND("x"&amp;MID(L993,4,1),"x0x1x2x3x4x5x6x7x8x9"))),OR(5&gt;LEN(L993),MID(L993,5,1)=".",ISNUMBER(FIND("x"&amp;MID(L993,5,1),"x0x1x2x3x4x5x6x7x8x9"))),OR(6&gt;LEN(L993),MID(L993,6,1)=".",ISNUMBER(FIND("x"&amp;MID(L993,6,1),"x0x1x2x3x4x5x6x7x8x9"))),OR(7&gt;LEN(L993),MID(L993,7,1)=".",ISNUMBER(FIND("x"&amp;MID(L993,7,1),"x0x1x2x3x4x5x6x7x8x9"))),OR(8&gt;LEN(L993),MID(L993,8,1)=".",ISNUMBER(FIND("x"&amp;MID(L993,8,1),"x0x1x2x3x4x5x6x7x8x9"))),OR(9&gt;LEN(L993),MID(L993,9,1)=".",ISNUMBER(FIND("x"&amp;MID(L993,9,1),"x0x1x2x3x4x5x6x7x8x9"))),OR(10&gt;LEN(L993),MID(L993,10,1)=".",ISNUMBER(FIND("x"&amp;MID(L993,10,1),"x0x1x2x3x4x5x6x7x8x9"))),OR(AND(FIND(".",L993)=5,LEN(L993)-FIND(".",L993,FIND(".",L993)+1)&gt;=1,LEN(L993)-FIND(".",L993,FIND(".",L993)+1)&lt;=2),AND(LEN(L993)-FIND(".",L993,FIND(".",L993)+1)=4,FIND(".",L993)&gt;=2,FIND(".",L993)&lt;=3)),FIND(".",L993,FIND(".",L993)+1)-FIND(".",L993)&gt;=2,FIND(".",L993,FIND(".",L993)+1)-FIND(".",L993)&lt;=3,P993&gt;=2000,P993&lt;=2100,YEAR(S993)=P993,MONTH(S993)=Q993,DAY(S993)=R993),S993,0)),0)</ns0:f>
        <ns0:v>0</ns0:v>
      </ns0:c>
      <ns0:c r="U993" s="0" t="str">
        <ns0:f>IF(Bookings!C993="","Full day",Bookings!C993)</ns0:f>
        <ns0:v>Full day</ns0:v>
      </ns0:c>
      <ns0:c r="V993" s="0" t="str">
        <ns0:f>IF(Bookings!E993="","Full day",Bookings!E993)</ns0:f>
        <ns0:v>Full day</ns0:v>
      </ns0:c>
      <ns0:c r="W993" s="0">
        <ns0:f>IF(J993=0,0,J993+IF(U993="PM",1,0))</ns0:f>
        <ns0:v>0</ns0:v>
      </ns0:c>
      <ns0:c r="X993" s="0">
        <ns0:f>IF(T993=0,0,T993-IF(V993="PM",1,0))</ns0:f>
        <ns0:v>0</ns0:v>
      </ns0:c>
      <ns0:c r="Y993" s="0">
        <ns0:f>IF(J993=0,0,J993+IF(U993="AM",1,0))</ns0:f>
        <ns0:v>0</ns0:v>
      </ns0:c>
      <ns0:c r="Z993" s="0">
        <ns0:f>IF(T993=0,0,T993-IF(V993="AM",1,0))</ns0:f>
        <ns0:v>0</ns0:v>
      </ns0:c>
      <ns0:c r="AA993" s="0">
        <ns0:f>IFERROR(IF(AND(J993&gt;0,'_Engine'!C993&gt;0,MID('_Engine'!W993,WEEKDAY(J993,2),1)="W",COUNTIF(Settings!$F$18:$F$67,J993)=0),1,0),0)</ns0:f>
        <ns0:v>0</ns0:v>
      </ns0:c>
      <ns0:c r="AB993" s="0">
        <ns0:f>IFERROR(IF(AND(T993&gt;0,'_Engine'!C993&gt;0,MID('_Engine'!W993,WEEKDAY(T993,2),1)="W",COUNTIF(Settings!$F$18:$F$67,T993)=0),1,0),0)</ns0:f>
        <ns0:v>0</ns0:v>
      </ns0:c>
      <ns0:c r="AC993" s="0">
        <ns0:f>IF(AND(J993&gt;0,T993&gt;0,W993&lt;=X993),1,0)</ns0:f>
        <ns0:v>0</ns0:v>
      </ns0:c>
      <ns0:c r="AD993" s="0">
        <ns0:f>IF(AND(J993&gt;0,T993&gt;0,Y993&lt;=Z993),1,0)</ns0:f>
        <ns0:v>0</ns0:v>
      </ns0:c>
    </ns0:row>
    <ns0:row r="994">
      <ns0:c r="A994" s="0">
        <ns0:f>IFERROR(IF(ISNUMBER(Bookings!B994),"",TRIM(Bookings!B994&amp;"")),"")</ns0:f>
      </ns0:c>
      <ns0:c r="B994" s="0">
        <ns0:f>IFERROR(SUBSTITUTE(SUBSTITUTE(A994,"/","."),"-","."),"")</ns0:f>
      </ns0:c>
      <ns0:c r="C994" s="0">
        <ns0:f>IFERROR(LEFT(B994,FIND(".",B994)-1),"")</ns0:f>
      </ns0:c>
      <ns0:c r="D994" s="0">
        <ns0:f>IFERROR(MID(B994,FIND(".",B994)+1,FIND(".",B994,FIND(".",B994)+1)-FIND(".",B994)-1),"")</ns0:f>
      </ns0:c>
      <ns0:c r="E994" s="0">
        <ns0:f>IFERROR(MID(B994,FIND(".",B994,FIND(".",B994)+1)+1,99),"")</ns0:f>
        <ns0:v>99</ns0:v>
      </ns0:c>
      <ns0:c r="F994" s="0">
        <ns0:f>IFERROR(IF(FIND(".",B994)=5,--C994,--E994),0)</ns0:f>
        <ns0:v>0</ns0:v>
      </ns0:c>
      <ns0:c r="G994" s="0">
        <ns0:f>IFERROR(--D994,0)</ns0:f>
        <ns0:v>0</ns0:v>
      </ns0:c>
      <ns0:c r="H994" s="0">
        <ns0:f>IFERROR(IF(FIND(".",B994)=5,--E994,--C994),0)</ns0:f>
        <ns0:v>0</ns0:v>
      </ns0:c>
      <ns0:c r="I994" s="0">
        <ns0:f>IFERROR(IF(AND(F994&gt;=2000,F994&lt;=2100,G994&gt;=1,G994&lt;=12,H994&gt;=1,H994&lt;=31),DATE(F994,G994,H994),0),0)</ns0:f>
        <ns0:v>0</ns0:v>
      </ns0:c>
      <ns0:c r="J994" s="0">
        <ns0:f>IFERROR(IF(ISNUMBER(Bookings!B994),IF(AND(Bookings!B994=INT(Bookings!B994),Bookings!B994&gt;=DATE(2000,1,1),Bookings!B994&lt;=DATE(2100,12,31)),Bookings!B994,0),IF(AND(A994&lt;&gt;"",LEN("x"&amp;B994)-LEN(SUBSTITUTE("x"&amp;B994,".",""))=2,OR(1&gt;LEN(B994),MID(B994,1,1)=".",ISNUMBER(FIND("x"&amp;MID(B994,1,1),"x0x1x2x3x4x5x6x7x8x9"))),OR(2&gt;LEN(B994),MID(B994,2,1)=".",ISNUMBER(FIND("x"&amp;MID(B994,2,1),"x0x1x2x3x4x5x6x7x8x9"))),OR(3&gt;LEN(B994),MID(B994,3,1)=".",ISNUMBER(FIND("x"&amp;MID(B994,3,1),"x0x1x2x3x4x5x6x7x8x9"))),OR(4&gt;LEN(B994),MID(B994,4,1)=".",ISNUMBER(FIND("x"&amp;MID(B994,4,1),"x0x1x2x3x4x5x6x7x8x9"))),OR(5&gt;LEN(B994),MID(B994,5,1)=".",ISNUMBER(FIND("x"&amp;MID(B994,5,1),"x0x1x2x3x4x5x6x7x8x9"))),OR(6&gt;LEN(B994),MID(B994,6,1)=".",ISNUMBER(FIND("x"&amp;MID(B994,6,1),"x0x1x2x3x4x5x6x7x8x9"))),OR(7&gt;LEN(B994),MID(B994,7,1)=".",ISNUMBER(FIND("x"&amp;MID(B994,7,1),"x0x1x2x3x4x5x6x7x8x9"))),OR(8&gt;LEN(B994),MID(B994,8,1)=".",ISNUMBER(FIND("x"&amp;MID(B994,8,1),"x0x1x2x3x4x5x6x7x8x9"))),OR(9&gt;LEN(B994),MID(B994,9,1)=".",ISNUMBER(FIND("x"&amp;MID(B994,9,1),"x0x1x2x3x4x5x6x7x8x9"))),OR(10&gt;LEN(B994),MID(B994,10,1)=".",ISNUMBER(FIND("x"&amp;MID(B994,10,1),"x0x1x2x3x4x5x6x7x8x9"))),OR(AND(FIND(".",B994)=5,LEN(B994)-FIND(".",B994,FIND(".",B994)+1)&gt;=1,LEN(B994)-FIND(".",B994,FIND(".",B994)+1)&lt;=2),AND(LEN(B994)-FIND(".",B994,FIND(".",B994)+1)=4,FIND(".",B994)&gt;=2,FIND(".",B994)&lt;=3)),FIND(".",B994,FIND(".",B994)+1)-FIND(".",B994)&gt;=2,FIND(".",B994,FIND(".",B994)+1)-FIND(".",B994)&lt;=3,F994&gt;=2000,F994&lt;=2100,YEAR(I994)=F994,MONTH(I994)=G994,DAY(I994)=H994),I994,0)),0)</ns0:f>
        <ns0:v>0</ns0:v>
      </ns0:c>
      <ns0:c r="K994" s="0">
        <ns0:f>IFERROR(IF(ISNUMBER(Bookings!D994),"",TRIM(Bookings!D994&amp;"")),"")</ns0:f>
      </ns0:c>
      <ns0:c r="L994" s="0">
        <ns0:f>IFERROR(SUBSTITUTE(SUBSTITUTE(K994,"/","."),"-","."),"")</ns0:f>
      </ns0:c>
      <ns0:c r="M994" s="0">
        <ns0:f>IFERROR(LEFT(L994,FIND(".",L994)-1),"")</ns0:f>
      </ns0:c>
      <ns0:c r="N994" s="0">
        <ns0:f>IFERROR(MID(L994,FIND(".",L994)+1,FIND(".",L994,FIND(".",L994)+1)-FIND(".",L994)-1),"")</ns0:f>
      </ns0:c>
      <ns0:c r="O994" s="0">
        <ns0:f>IFERROR(MID(L994,FIND(".",L994,FIND(".",L994)+1)+1,99),"")</ns0:f>
        <ns0:v>99</ns0:v>
      </ns0:c>
      <ns0:c r="P994" s="0">
        <ns0:f>IFERROR(IF(FIND(".",L994)=5,--M994,--O994),0)</ns0:f>
        <ns0:v>0</ns0:v>
      </ns0:c>
      <ns0:c r="Q994" s="0">
        <ns0:f>IFERROR(--N994,0)</ns0:f>
        <ns0:v>0</ns0:v>
      </ns0:c>
      <ns0:c r="R994" s="0">
        <ns0:f>IFERROR(IF(FIND(".",L994)=5,--O994,--M994),0)</ns0:f>
        <ns0:v>0</ns0:v>
      </ns0:c>
      <ns0:c r="S994" s="0">
        <ns0:f>IFERROR(IF(AND(P994&gt;=2000,P994&lt;=2100,Q994&gt;=1,Q994&lt;=12,R994&gt;=1,R994&lt;=31),DATE(P994,Q994,R994),0),0)</ns0:f>
        <ns0:v>0</ns0:v>
      </ns0:c>
      <ns0:c r="T994" s="0">
        <ns0:f>IFERROR(IF(ISNUMBER(Bookings!D994),IF(AND(Bookings!D994=INT(Bookings!D994),Bookings!D994&gt;=DATE(2000,1,1),Bookings!D994&lt;=DATE(2100,12,31)),Bookings!D994,0),IF(AND(K994&lt;&gt;"",LEN("x"&amp;L994)-LEN(SUBSTITUTE("x"&amp;L994,".",""))=2,OR(1&gt;LEN(L994),MID(L994,1,1)=".",ISNUMBER(FIND("x"&amp;MID(L994,1,1),"x0x1x2x3x4x5x6x7x8x9"))),OR(2&gt;LEN(L994),MID(L994,2,1)=".",ISNUMBER(FIND("x"&amp;MID(L994,2,1),"x0x1x2x3x4x5x6x7x8x9"))),OR(3&gt;LEN(L994),MID(L994,3,1)=".",ISNUMBER(FIND("x"&amp;MID(L994,3,1),"x0x1x2x3x4x5x6x7x8x9"))),OR(4&gt;LEN(L994),MID(L994,4,1)=".",ISNUMBER(FIND("x"&amp;MID(L994,4,1),"x0x1x2x3x4x5x6x7x8x9"))),OR(5&gt;LEN(L994),MID(L994,5,1)=".",ISNUMBER(FIND("x"&amp;MID(L994,5,1),"x0x1x2x3x4x5x6x7x8x9"))),OR(6&gt;LEN(L994),MID(L994,6,1)=".",ISNUMBER(FIND("x"&amp;MID(L994,6,1),"x0x1x2x3x4x5x6x7x8x9"))),OR(7&gt;LEN(L994),MID(L994,7,1)=".",ISNUMBER(FIND("x"&amp;MID(L994,7,1),"x0x1x2x3x4x5x6x7x8x9"))),OR(8&gt;LEN(L994),MID(L994,8,1)=".",ISNUMBER(FIND("x"&amp;MID(L994,8,1),"x0x1x2x3x4x5x6x7x8x9"))),OR(9&gt;LEN(L994),MID(L994,9,1)=".",ISNUMBER(FIND("x"&amp;MID(L994,9,1),"x0x1x2x3x4x5x6x7x8x9"))),OR(10&gt;LEN(L994),MID(L994,10,1)=".",ISNUMBER(FIND("x"&amp;MID(L994,10,1),"x0x1x2x3x4x5x6x7x8x9"))),OR(AND(FIND(".",L994)=5,LEN(L994)-FIND(".",L994,FIND(".",L994)+1)&gt;=1,LEN(L994)-FIND(".",L994,FIND(".",L994)+1)&lt;=2),AND(LEN(L994)-FIND(".",L994,FIND(".",L994)+1)=4,FIND(".",L994)&gt;=2,FIND(".",L994)&lt;=3)),FIND(".",L994,FIND(".",L994)+1)-FIND(".",L994)&gt;=2,FIND(".",L994,FIND(".",L994)+1)-FIND(".",L994)&lt;=3,P994&gt;=2000,P994&lt;=2100,YEAR(S994)=P994,MONTH(S994)=Q994,DAY(S994)=R994),S994,0)),0)</ns0:f>
        <ns0:v>0</ns0:v>
      </ns0:c>
      <ns0:c r="U994" s="0" t="str">
        <ns0:f>IF(Bookings!C994="","Full day",Bookings!C994)</ns0:f>
        <ns0:v>Full day</ns0:v>
      </ns0:c>
      <ns0:c r="V994" s="0" t="str">
        <ns0:f>IF(Bookings!E994="","Full day",Bookings!E994)</ns0:f>
        <ns0:v>Full day</ns0:v>
      </ns0:c>
      <ns0:c r="W994" s="0">
        <ns0:f>IF(J994=0,0,J994+IF(U994="PM",1,0))</ns0:f>
        <ns0:v>0</ns0:v>
      </ns0:c>
      <ns0:c r="X994" s="0">
        <ns0:f>IF(T994=0,0,T994-IF(V994="PM",1,0))</ns0:f>
        <ns0:v>0</ns0:v>
      </ns0:c>
      <ns0:c r="Y994" s="0">
        <ns0:f>IF(J994=0,0,J994+IF(U994="AM",1,0))</ns0:f>
        <ns0:v>0</ns0:v>
      </ns0:c>
      <ns0:c r="Z994" s="0">
        <ns0:f>IF(T994=0,0,T994-IF(V994="AM",1,0))</ns0:f>
        <ns0:v>0</ns0:v>
      </ns0:c>
      <ns0:c r="AA994" s="0">
        <ns0:f>IFERROR(IF(AND(J994&gt;0,'_Engine'!C994&gt;0,MID('_Engine'!W994,WEEKDAY(J994,2),1)="W",COUNTIF(Settings!$F$18:$F$67,J994)=0),1,0),0)</ns0:f>
        <ns0:v>0</ns0:v>
      </ns0:c>
      <ns0:c r="AB994" s="0">
        <ns0:f>IFERROR(IF(AND(T994&gt;0,'_Engine'!C994&gt;0,MID('_Engine'!W994,WEEKDAY(T994,2),1)="W",COUNTIF(Settings!$F$18:$F$67,T994)=0),1,0),0)</ns0:f>
        <ns0:v>0</ns0:v>
      </ns0:c>
      <ns0:c r="AC994" s="0">
        <ns0:f>IF(AND(J994&gt;0,T994&gt;0,W994&lt;=X994),1,0)</ns0:f>
        <ns0:v>0</ns0:v>
      </ns0:c>
      <ns0:c r="AD994" s="0">
        <ns0:f>IF(AND(J994&gt;0,T994&gt;0,Y994&lt;=Z994),1,0)</ns0:f>
        <ns0:v>0</ns0:v>
      </ns0:c>
    </ns0:row>
    <ns0:row r="995">
      <ns0:c r="A995" s="0">
        <ns0:f>IFERROR(IF(ISNUMBER(Bookings!B995),"",TRIM(Bookings!B995&amp;"")),"")</ns0:f>
      </ns0:c>
      <ns0:c r="B995" s="0">
        <ns0:f>IFERROR(SUBSTITUTE(SUBSTITUTE(A995,"/","."),"-","."),"")</ns0:f>
      </ns0:c>
      <ns0:c r="C995" s="0">
        <ns0:f>IFERROR(LEFT(B995,FIND(".",B995)-1),"")</ns0:f>
      </ns0:c>
      <ns0:c r="D995" s="0">
        <ns0:f>IFERROR(MID(B995,FIND(".",B995)+1,FIND(".",B995,FIND(".",B995)+1)-FIND(".",B995)-1),"")</ns0:f>
      </ns0:c>
      <ns0:c r="E995" s="0">
        <ns0:f>IFERROR(MID(B995,FIND(".",B995,FIND(".",B995)+1)+1,99),"")</ns0:f>
        <ns0:v>99</ns0:v>
      </ns0:c>
      <ns0:c r="F995" s="0">
        <ns0:f>IFERROR(IF(FIND(".",B995)=5,--C995,--E995),0)</ns0:f>
        <ns0:v>0</ns0:v>
      </ns0:c>
      <ns0:c r="G995" s="0">
        <ns0:f>IFERROR(--D995,0)</ns0:f>
        <ns0:v>0</ns0:v>
      </ns0:c>
      <ns0:c r="H995" s="0">
        <ns0:f>IFERROR(IF(FIND(".",B995)=5,--E995,--C995),0)</ns0:f>
        <ns0:v>0</ns0:v>
      </ns0:c>
      <ns0:c r="I995" s="0">
        <ns0:f>IFERROR(IF(AND(F995&gt;=2000,F995&lt;=2100,G995&gt;=1,G995&lt;=12,H995&gt;=1,H995&lt;=31),DATE(F995,G995,H995),0),0)</ns0:f>
        <ns0:v>0</ns0:v>
      </ns0:c>
      <ns0:c r="J995" s="0">
        <ns0:f>IFERROR(IF(ISNUMBER(Bookings!B995),IF(AND(Bookings!B995=INT(Bookings!B995),Bookings!B995&gt;=DATE(2000,1,1),Bookings!B995&lt;=DATE(2100,12,31)),Bookings!B995,0),IF(AND(A995&lt;&gt;"",LEN("x"&amp;B995)-LEN(SUBSTITUTE("x"&amp;B995,".",""))=2,OR(1&gt;LEN(B995),MID(B995,1,1)=".",ISNUMBER(FIND("x"&amp;MID(B995,1,1),"x0x1x2x3x4x5x6x7x8x9"))),OR(2&gt;LEN(B995),MID(B995,2,1)=".",ISNUMBER(FIND("x"&amp;MID(B995,2,1),"x0x1x2x3x4x5x6x7x8x9"))),OR(3&gt;LEN(B995),MID(B995,3,1)=".",ISNUMBER(FIND("x"&amp;MID(B995,3,1),"x0x1x2x3x4x5x6x7x8x9"))),OR(4&gt;LEN(B995),MID(B995,4,1)=".",ISNUMBER(FIND("x"&amp;MID(B995,4,1),"x0x1x2x3x4x5x6x7x8x9"))),OR(5&gt;LEN(B995),MID(B995,5,1)=".",ISNUMBER(FIND("x"&amp;MID(B995,5,1),"x0x1x2x3x4x5x6x7x8x9"))),OR(6&gt;LEN(B995),MID(B995,6,1)=".",ISNUMBER(FIND("x"&amp;MID(B995,6,1),"x0x1x2x3x4x5x6x7x8x9"))),OR(7&gt;LEN(B995),MID(B995,7,1)=".",ISNUMBER(FIND("x"&amp;MID(B995,7,1),"x0x1x2x3x4x5x6x7x8x9"))),OR(8&gt;LEN(B995),MID(B995,8,1)=".",ISNUMBER(FIND("x"&amp;MID(B995,8,1),"x0x1x2x3x4x5x6x7x8x9"))),OR(9&gt;LEN(B995),MID(B995,9,1)=".",ISNUMBER(FIND("x"&amp;MID(B995,9,1),"x0x1x2x3x4x5x6x7x8x9"))),OR(10&gt;LEN(B995),MID(B995,10,1)=".",ISNUMBER(FIND("x"&amp;MID(B995,10,1),"x0x1x2x3x4x5x6x7x8x9"))),OR(AND(FIND(".",B995)=5,LEN(B995)-FIND(".",B995,FIND(".",B995)+1)&gt;=1,LEN(B995)-FIND(".",B995,FIND(".",B995)+1)&lt;=2),AND(LEN(B995)-FIND(".",B995,FIND(".",B995)+1)=4,FIND(".",B995)&gt;=2,FIND(".",B995)&lt;=3)),FIND(".",B995,FIND(".",B995)+1)-FIND(".",B995)&gt;=2,FIND(".",B995,FIND(".",B995)+1)-FIND(".",B995)&lt;=3,F995&gt;=2000,F995&lt;=2100,YEAR(I995)=F995,MONTH(I995)=G995,DAY(I995)=H995),I995,0)),0)</ns0:f>
        <ns0:v>0</ns0:v>
      </ns0:c>
      <ns0:c r="K995" s="0">
        <ns0:f>IFERROR(IF(ISNUMBER(Bookings!D995),"",TRIM(Bookings!D995&amp;"")),"")</ns0:f>
      </ns0:c>
      <ns0:c r="L995" s="0">
        <ns0:f>IFERROR(SUBSTITUTE(SUBSTITUTE(K995,"/","."),"-","."),"")</ns0:f>
      </ns0:c>
      <ns0:c r="M995" s="0">
        <ns0:f>IFERROR(LEFT(L995,FIND(".",L995)-1),"")</ns0:f>
      </ns0:c>
      <ns0:c r="N995" s="0">
        <ns0:f>IFERROR(MID(L995,FIND(".",L995)+1,FIND(".",L995,FIND(".",L995)+1)-FIND(".",L995)-1),"")</ns0:f>
      </ns0:c>
      <ns0:c r="O995" s="0">
        <ns0:f>IFERROR(MID(L995,FIND(".",L995,FIND(".",L995)+1)+1,99),"")</ns0:f>
        <ns0:v>99</ns0:v>
      </ns0:c>
      <ns0:c r="P995" s="0">
        <ns0:f>IFERROR(IF(FIND(".",L995)=5,--M995,--O995),0)</ns0:f>
        <ns0:v>0</ns0:v>
      </ns0:c>
      <ns0:c r="Q995" s="0">
        <ns0:f>IFERROR(--N995,0)</ns0:f>
        <ns0:v>0</ns0:v>
      </ns0:c>
      <ns0:c r="R995" s="0">
        <ns0:f>IFERROR(IF(FIND(".",L995)=5,--O995,--M995),0)</ns0:f>
        <ns0:v>0</ns0:v>
      </ns0:c>
      <ns0:c r="S995" s="0">
        <ns0:f>IFERROR(IF(AND(P995&gt;=2000,P995&lt;=2100,Q995&gt;=1,Q995&lt;=12,R995&gt;=1,R995&lt;=31),DATE(P995,Q995,R995),0),0)</ns0:f>
        <ns0:v>0</ns0:v>
      </ns0:c>
      <ns0:c r="T995" s="0">
        <ns0:f>IFERROR(IF(ISNUMBER(Bookings!D995),IF(AND(Bookings!D995=INT(Bookings!D995),Bookings!D995&gt;=DATE(2000,1,1),Bookings!D995&lt;=DATE(2100,12,31)),Bookings!D995,0),IF(AND(K995&lt;&gt;"",LEN("x"&amp;L995)-LEN(SUBSTITUTE("x"&amp;L995,".",""))=2,OR(1&gt;LEN(L995),MID(L995,1,1)=".",ISNUMBER(FIND("x"&amp;MID(L995,1,1),"x0x1x2x3x4x5x6x7x8x9"))),OR(2&gt;LEN(L995),MID(L995,2,1)=".",ISNUMBER(FIND("x"&amp;MID(L995,2,1),"x0x1x2x3x4x5x6x7x8x9"))),OR(3&gt;LEN(L995),MID(L995,3,1)=".",ISNUMBER(FIND("x"&amp;MID(L995,3,1),"x0x1x2x3x4x5x6x7x8x9"))),OR(4&gt;LEN(L995),MID(L995,4,1)=".",ISNUMBER(FIND("x"&amp;MID(L995,4,1),"x0x1x2x3x4x5x6x7x8x9"))),OR(5&gt;LEN(L995),MID(L995,5,1)=".",ISNUMBER(FIND("x"&amp;MID(L995,5,1),"x0x1x2x3x4x5x6x7x8x9"))),OR(6&gt;LEN(L995),MID(L995,6,1)=".",ISNUMBER(FIND("x"&amp;MID(L995,6,1),"x0x1x2x3x4x5x6x7x8x9"))),OR(7&gt;LEN(L995),MID(L995,7,1)=".",ISNUMBER(FIND("x"&amp;MID(L995,7,1),"x0x1x2x3x4x5x6x7x8x9"))),OR(8&gt;LEN(L995),MID(L995,8,1)=".",ISNUMBER(FIND("x"&amp;MID(L995,8,1),"x0x1x2x3x4x5x6x7x8x9"))),OR(9&gt;LEN(L995),MID(L995,9,1)=".",ISNUMBER(FIND("x"&amp;MID(L995,9,1),"x0x1x2x3x4x5x6x7x8x9"))),OR(10&gt;LEN(L995),MID(L995,10,1)=".",ISNUMBER(FIND("x"&amp;MID(L995,10,1),"x0x1x2x3x4x5x6x7x8x9"))),OR(AND(FIND(".",L995)=5,LEN(L995)-FIND(".",L995,FIND(".",L995)+1)&gt;=1,LEN(L995)-FIND(".",L995,FIND(".",L995)+1)&lt;=2),AND(LEN(L995)-FIND(".",L995,FIND(".",L995)+1)=4,FIND(".",L995)&gt;=2,FIND(".",L995)&lt;=3)),FIND(".",L995,FIND(".",L995)+1)-FIND(".",L995)&gt;=2,FIND(".",L995,FIND(".",L995)+1)-FIND(".",L995)&lt;=3,P995&gt;=2000,P995&lt;=2100,YEAR(S995)=P995,MONTH(S995)=Q995,DAY(S995)=R995),S995,0)),0)</ns0:f>
        <ns0:v>0</ns0:v>
      </ns0:c>
      <ns0:c r="U995" s="0" t="str">
        <ns0:f>IF(Bookings!C995="","Full day",Bookings!C995)</ns0:f>
        <ns0:v>Full day</ns0:v>
      </ns0:c>
      <ns0:c r="V995" s="0" t="str">
        <ns0:f>IF(Bookings!E995="","Full day",Bookings!E995)</ns0:f>
        <ns0:v>Full day</ns0:v>
      </ns0:c>
      <ns0:c r="W995" s="0">
        <ns0:f>IF(J995=0,0,J995+IF(U995="PM",1,0))</ns0:f>
        <ns0:v>0</ns0:v>
      </ns0:c>
      <ns0:c r="X995" s="0">
        <ns0:f>IF(T995=0,0,T995-IF(V995="PM",1,0))</ns0:f>
        <ns0:v>0</ns0:v>
      </ns0:c>
      <ns0:c r="Y995" s="0">
        <ns0:f>IF(J995=0,0,J995+IF(U995="AM",1,0))</ns0:f>
        <ns0:v>0</ns0:v>
      </ns0:c>
      <ns0:c r="Z995" s="0">
        <ns0:f>IF(T995=0,0,T995-IF(V995="AM",1,0))</ns0:f>
        <ns0:v>0</ns0:v>
      </ns0:c>
      <ns0:c r="AA995" s="0">
        <ns0:f>IFERROR(IF(AND(J995&gt;0,'_Engine'!C995&gt;0,MID('_Engine'!W995,WEEKDAY(J995,2),1)="W",COUNTIF(Settings!$F$18:$F$67,J995)=0),1,0),0)</ns0:f>
        <ns0:v>0</ns0:v>
      </ns0:c>
      <ns0:c r="AB995" s="0">
        <ns0:f>IFERROR(IF(AND(T995&gt;0,'_Engine'!C995&gt;0,MID('_Engine'!W995,WEEKDAY(T995,2),1)="W",COUNTIF(Settings!$F$18:$F$67,T995)=0),1,0),0)</ns0:f>
        <ns0:v>0</ns0:v>
      </ns0:c>
      <ns0:c r="AC995" s="0">
        <ns0:f>IF(AND(J995&gt;0,T995&gt;0,W995&lt;=X995),1,0)</ns0:f>
        <ns0:v>0</ns0:v>
      </ns0:c>
      <ns0:c r="AD995" s="0">
        <ns0:f>IF(AND(J995&gt;0,T995&gt;0,Y995&lt;=Z995),1,0)</ns0:f>
        <ns0:v>0</ns0:v>
      </ns0:c>
    </ns0:row>
    <ns0:row r="996">
      <ns0:c r="A996" s="0">
        <ns0:f>IFERROR(IF(ISNUMBER(Bookings!B996),"",TRIM(Bookings!B996&amp;"")),"")</ns0:f>
      </ns0:c>
      <ns0:c r="B996" s="0">
        <ns0:f>IFERROR(SUBSTITUTE(SUBSTITUTE(A996,"/","."),"-","."),"")</ns0:f>
      </ns0:c>
      <ns0:c r="C996" s="0">
        <ns0:f>IFERROR(LEFT(B996,FIND(".",B996)-1),"")</ns0:f>
      </ns0:c>
      <ns0:c r="D996" s="0">
        <ns0:f>IFERROR(MID(B996,FIND(".",B996)+1,FIND(".",B996,FIND(".",B996)+1)-FIND(".",B996)-1),"")</ns0:f>
      </ns0:c>
      <ns0:c r="E996" s="0">
        <ns0:f>IFERROR(MID(B996,FIND(".",B996,FIND(".",B996)+1)+1,99),"")</ns0:f>
        <ns0:v>99</ns0:v>
      </ns0:c>
      <ns0:c r="F996" s="0">
        <ns0:f>IFERROR(IF(FIND(".",B996)=5,--C996,--E996),0)</ns0:f>
        <ns0:v>0</ns0:v>
      </ns0:c>
      <ns0:c r="G996" s="0">
        <ns0:f>IFERROR(--D996,0)</ns0:f>
        <ns0:v>0</ns0:v>
      </ns0:c>
      <ns0:c r="H996" s="0">
        <ns0:f>IFERROR(IF(FIND(".",B996)=5,--E996,--C996),0)</ns0:f>
        <ns0:v>0</ns0:v>
      </ns0:c>
      <ns0:c r="I996" s="0">
        <ns0:f>IFERROR(IF(AND(F996&gt;=2000,F996&lt;=2100,G996&gt;=1,G996&lt;=12,H996&gt;=1,H996&lt;=31),DATE(F996,G996,H996),0),0)</ns0:f>
        <ns0:v>0</ns0:v>
      </ns0:c>
      <ns0:c r="J996" s="0">
        <ns0:f>IFERROR(IF(ISNUMBER(Bookings!B996),IF(AND(Bookings!B996=INT(Bookings!B996),Bookings!B996&gt;=DATE(2000,1,1),Bookings!B996&lt;=DATE(2100,12,31)),Bookings!B996,0),IF(AND(A996&lt;&gt;"",LEN("x"&amp;B996)-LEN(SUBSTITUTE("x"&amp;B996,".",""))=2,OR(1&gt;LEN(B996),MID(B996,1,1)=".",ISNUMBER(FIND("x"&amp;MID(B996,1,1),"x0x1x2x3x4x5x6x7x8x9"))),OR(2&gt;LEN(B996),MID(B996,2,1)=".",ISNUMBER(FIND("x"&amp;MID(B996,2,1),"x0x1x2x3x4x5x6x7x8x9"))),OR(3&gt;LEN(B996),MID(B996,3,1)=".",ISNUMBER(FIND("x"&amp;MID(B996,3,1),"x0x1x2x3x4x5x6x7x8x9"))),OR(4&gt;LEN(B996),MID(B996,4,1)=".",ISNUMBER(FIND("x"&amp;MID(B996,4,1),"x0x1x2x3x4x5x6x7x8x9"))),OR(5&gt;LEN(B996),MID(B996,5,1)=".",ISNUMBER(FIND("x"&amp;MID(B996,5,1),"x0x1x2x3x4x5x6x7x8x9"))),OR(6&gt;LEN(B996),MID(B996,6,1)=".",ISNUMBER(FIND("x"&amp;MID(B996,6,1),"x0x1x2x3x4x5x6x7x8x9"))),OR(7&gt;LEN(B996),MID(B996,7,1)=".",ISNUMBER(FIND("x"&amp;MID(B996,7,1),"x0x1x2x3x4x5x6x7x8x9"))),OR(8&gt;LEN(B996),MID(B996,8,1)=".",ISNUMBER(FIND("x"&amp;MID(B996,8,1),"x0x1x2x3x4x5x6x7x8x9"))),OR(9&gt;LEN(B996),MID(B996,9,1)=".",ISNUMBER(FIND("x"&amp;MID(B996,9,1),"x0x1x2x3x4x5x6x7x8x9"))),OR(10&gt;LEN(B996),MID(B996,10,1)=".",ISNUMBER(FIND("x"&amp;MID(B996,10,1),"x0x1x2x3x4x5x6x7x8x9"))),OR(AND(FIND(".",B996)=5,LEN(B996)-FIND(".",B996,FIND(".",B996)+1)&gt;=1,LEN(B996)-FIND(".",B996,FIND(".",B996)+1)&lt;=2),AND(LEN(B996)-FIND(".",B996,FIND(".",B996)+1)=4,FIND(".",B996)&gt;=2,FIND(".",B996)&lt;=3)),FIND(".",B996,FIND(".",B996)+1)-FIND(".",B996)&gt;=2,FIND(".",B996,FIND(".",B996)+1)-FIND(".",B996)&lt;=3,F996&gt;=2000,F996&lt;=2100,YEAR(I996)=F996,MONTH(I996)=G996,DAY(I996)=H996),I996,0)),0)</ns0:f>
        <ns0:v>0</ns0:v>
      </ns0:c>
      <ns0:c r="K996" s="0">
        <ns0:f>IFERROR(IF(ISNUMBER(Bookings!D996),"",TRIM(Bookings!D996&amp;"")),"")</ns0:f>
      </ns0:c>
      <ns0:c r="L996" s="0">
        <ns0:f>IFERROR(SUBSTITUTE(SUBSTITUTE(K996,"/","."),"-","."),"")</ns0:f>
      </ns0:c>
      <ns0:c r="M996" s="0">
        <ns0:f>IFERROR(LEFT(L996,FIND(".",L996)-1),"")</ns0:f>
      </ns0:c>
      <ns0:c r="N996" s="0">
        <ns0:f>IFERROR(MID(L996,FIND(".",L996)+1,FIND(".",L996,FIND(".",L996)+1)-FIND(".",L996)-1),"")</ns0:f>
      </ns0:c>
      <ns0:c r="O996" s="0">
        <ns0:f>IFERROR(MID(L996,FIND(".",L996,FIND(".",L996)+1)+1,99),"")</ns0:f>
        <ns0:v>99</ns0:v>
      </ns0:c>
      <ns0:c r="P996" s="0">
        <ns0:f>IFERROR(IF(FIND(".",L996)=5,--M996,--O996),0)</ns0:f>
        <ns0:v>0</ns0:v>
      </ns0:c>
      <ns0:c r="Q996" s="0">
        <ns0:f>IFERROR(--N996,0)</ns0:f>
        <ns0:v>0</ns0:v>
      </ns0:c>
      <ns0:c r="R996" s="0">
        <ns0:f>IFERROR(IF(FIND(".",L996)=5,--O996,--M996),0)</ns0:f>
        <ns0:v>0</ns0:v>
      </ns0:c>
      <ns0:c r="S996" s="0">
        <ns0:f>IFERROR(IF(AND(P996&gt;=2000,P996&lt;=2100,Q996&gt;=1,Q996&lt;=12,R996&gt;=1,R996&lt;=31),DATE(P996,Q996,R996),0),0)</ns0:f>
        <ns0:v>0</ns0:v>
      </ns0:c>
      <ns0:c r="T996" s="0">
        <ns0:f>IFERROR(IF(ISNUMBER(Bookings!D996),IF(AND(Bookings!D996=INT(Bookings!D996),Bookings!D996&gt;=DATE(2000,1,1),Bookings!D996&lt;=DATE(2100,12,31)),Bookings!D996,0),IF(AND(K996&lt;&gt;"",LEN("x"&amp;L996)-LEN(SUBSTITUTE("x"&amp;L996,".",""))=2,OR(1&gt;LEN(L996),MID(L996,1,1)=".",ISNUMBER(FIND("x"&amp;MID(L996,1,1),"x0x1x2x3x4x5x6x7x8x9"))),OR(2&gt;LEN(L996),MID(L996,2,1)=".",ISNUMBER(FIND("x"&amp;MID(L996,2,1),"x0x1x2x3x4x5x6x7x8x9"))),OR(3&gt;LEN(L996),MID(L996,3,1)=".",ISNUMBER(FIND("x"&amp;MID(L996,3,1),"x0x1x2x3x4x5x6x7x8x9"))),OR(4&gt;LEN(L996),MID(L996,4,1)=".",ISNUMBER(FIND("x"&amp;MID(L996,4,1),"x0x1x2x3x4x5x6x7x8x9"))),OR(5&gt;LEN(L996),MID(L996,5,1)=".",ISNUMBER(FIND("x"&amp;MID(L996,5,1),"x0x1x2x3x4x5x6x7x8x9"))),OR(6&gt;LEN(L996),MID(L996,6,1)=".",ISNUMBER(FIND("x"&amp;MID(L996,6,1),"x0x1x2x3x4x5x6x7x8x9"))),OR(7&gt;LEN(L996),MID(L996,7,1)=".",ISNUMBER(FIND("x"&amp;MID(L996,7,1),"x0x1x2x3x4x5x6x7x8x9"))),OR(8&gt;LEN(L996),MID(L996,8,1)=".",ISNUMBER(FIND("x"&amp;MID(L996,8,1),"x0x1x2x3x4x5x6x7x8x9"))),OR(9&gt;LEN(L996),MID(L996,9,1)=".",ISNUMBER(FIND("x"&amp;MID(L996,9,1),"x0x1x2x3x4x5x6x7x8x9"))),OR(10&gt;LEN(L996),MID(L996,10,1)=".",ISNUMBER(FIND("x"&amp;MID(L996,10,1),"x0x1x2x3x4x5x6x7x8x9"))),OR(AND(FIND(".",L996)=5,LEN(L996)-FIND(".",L996,FIND(".",L996)+1)&gt;=1,LEN(L996)-FIND(".",L996,FIND(".",L996)+1)&lt;=2),AND(LEN(L996)-FIND(".",L996,FIND(".",L996)+1)=4,FIND(".",L996)&gt;=2,FIND(".",L996)&lt;=3)),FIND(".",L996,FIND(".",L996)+1)-FIND(".",L996)&gt;=2,FIND(".",L996,FIND(".",L996)+1)-FIND(".",L996)&lt;=3,P996&gt;=2000,P996&lt;=2100,YEAR(S996)=P996,MONTH(S996)=Q996,DAY(S996)=R996),S996,0)),0)</ns0:f>
        <ns0:v>0</ns0:v>
      </ns0:c>
      <ns0:c r="U996" s="0" t="str">
        <ns0:f>IF(Bookings!C996="","Full day",Bookings!C996)</ns0:f>
        <ns0:v>Full day</ns0:v>
      </ns0:c>
      <ns0:c r="V996" s="0" t="str">
        <ns0:f>IF(Bookings!E996="","Full day",Bookings!E996)</ns0:f>
        <ns0:v>Full day</ns0:v>
      </ns0:c>
      <ns0:c r="W996" s="0">
        <ns0:f>IF(J996=0,0,J996+IF(U996="PM",1,0))</ns0:f>
        <ns0:v>0</ns0:v>
      </ns0:c>
      <ns0:c r="X996" s="0">
        <ns0:f>IF(T996=0,0,T996-IF(V996="PM",1,0))</ns0:f>
        <ns0:v>0</ns0:v>
      </ns0:c>
      <ns0:c r="Y996" s="0">
        <ns0:f>IF(J996=0,0,J996+IF(U996="AM",1,0))</ns0:f>
        <ns0:v>0</ns0:v>
      </ns0:c>
      <ns0:c r="Z996" s="0">
        <ns0:f>IF(T996=0,0,T996-IF(V996="AM",1,0))</ns0:f>
        <ns0:v>0</ns0:v>
      </ns0:c>
      <ns0:c r="AA996" s="0">
        <ns0:f>IFERROR(IF(AND(J996&gt;0,'_Engine'!C996&gt;0,MID('_Engine'!W996,WEEKDAY(J996,2),1)="W",COUNTIF(Settings!$F$18:$F$67,J996)=0),1,0),0)</ns0:f>
        <ns0:v>0</ns0:v>
      </ns0:c>
      <ns0:c r="AB996" s="0">
        <ns0:f>IFERROR(IF(AND(T996&gt;0,'_Engine'!C996&gt;0,MID('_Engine'!W996,WEEKDAY(T996,2),1)="W",COUNTIF(Settings!$F$18:$F$67,T996)=0),1,0),0)</ns0:f>
        <ns0:v>0</ns0:v>
      </ns0:c>
      <ns0:c r="AC996" s="0">
        <ns0:f>IF(AND(J996&gt;0,T996&gt;0,W996&lt;=X996),1,0)</ns0:f>
        <ns0:v>0</ns0:v>
      </ns0:c>
      <ns0:c r="AD996" s="0">
        <ns0:f>IF(AND(J996&gt;0,T996&gt;0,Y996&lt;=Z996),1,0)</ns0:f>
        <ns0:v>0</ns0:v>
      </ns0:c>
    </ns0:row>
    <ns0:row r="997">
      <ns0:c r="A997" s="0">
        <ns0:f>IFERROR(IF(ISNUMBER(Bookings!B997),"",TRIM(Bookings!B997&amp;"")),"")</ns0:f>
      </ns0:c>
      <ns0:c r="B997" s="0">
        <ns0:f>IFERROR(SUBSTITUTE(SUBSTITUTE(A997,"/","."),"-","."),"")</ns0:f>
      </ns0:c>
      <ns0:c r="C997" s="0">
        <ns0:f>IFERROR(LEFT(B997,FIND(".",B997)-1),"")</ns0:f>
      </ns0:c>
      <ns0:c r="D997" s="0">
        <ns0:f>IFERROR(MID(B997,FIND(".",B997)+1,FIND(".",B997,FIND(".",B997)+1)-FIND(".",B997)-1),"")</ns0:f>
      </ns0:c>
      <ns0:c r="E997" s="0">
        <ns0:f>IFERROR(MID(B997,FIND(".",B997,FIND(".",B997)+1)+1,99),"")</ns0:f>
        <ns0:v>99</ns0:v>
      </ns0:c>
      <ns0:c r="F997" s="0">
        <ns0:f>IFERROR(IF(FIND(".",B997)=5,--C997,--E997),0)</ns0:f>
        <ns0:v>0</ns0:v>
      </ns0:c>
      <ns0:c r="G997" s="0">
        <ns0:f>IFERROR(--D997,0)</ns0:f>
        <ns0:v>0</ns0:v>
      </ns0:c>
      <ns0:c r="H997" s="0">
        <ns0:f>IFERROR(IF(FIND(".",B997)=5,--E997,--C997),0)</ns0:f>
        <ns0:v>0</ns0:v>
      </ns0:c>
      <ns0:c r="I997" s="0">
        <ns0:f>IFERROR(IF(AND(F997&gt;=2000,F997&lt;=2100,G997&gt;=1,G997&lt;=12,H997&gt;=1,H997&lt;=31),DATE(F997,G997,H997),0),0)</ns0:f>
        <ns0:v>0</ns0:v>
      </ns0:c>
      <ns0:c r="J997" s="0">
        <ns0:f>IFERROR(IF(ISNUMBER(Bookings!B997),IF(AND(Bookings!B997=INT(Bookings!B997),Bookings!B997&gt;=DATE(2000,1,1),Bookings!B997&lt;=DATE(2100,12,31)),Bookings!B997,0),IF(AND(A997&lt;&gt;"",LEN("x"&amp;B997)-LEN(SUBSTITUTE("x"&amp;B997,".",""))=2,OR(1&gt;LEN(B997),MID(B997,1,1)=".",ISNUMBER(FIND("x"&amp;MID(B997,1,1),"x0x1x2x3x4x5x6x7x8x9"))),OR(2&gt;LEN(B997),MID(B997,2,1)=".",ISNUMBER(FIND("x"&amp;MID(B997,2,1),"x0x1x2x3x4x5x6x7x8x9"))),OR(3&gt;LEN(B997),MID(B997,3,1)=".",ISNUMBER(FIND("x"&amp;MID(B997,3,1),"x0x1x2x3x4x5x6x7x8x9"))),OR(4&gt;LEN(B997),MID(B997,4,1)=".",ISNUMBER(FIND("x"&amp;MID(B997,4,1),"x0x1x2x3x4x5x6x7x8x9"))),OR(5&gt;LEN(B997),MID(B997,5,1)=".",ISNUMBER(FIND("x"&amp;MID(B997,5,1),"x0x1x2x3x4x5x6x7x8x9"))),OR(6&gt;LEN(B997),MID(B997,6,1)=".",ISNUMBER(FIND("x"&amp;MID(B997,6,1),"x0x1x2x3x4x5x6x7x8x9"))),OR(7&gt;LEN(B997),MID(B997,7,1)=".",ISNUMBER(FIND("x"&amp;MID(B997,7,1),"x0x1x2x3x4x5x6x7x8x9"))),OR(8&gt;LEN(B997),MID(B997,8,1)=".",ISNUMBER(FIND("x"&amp;MID(B997,8,1),"x0x1x2x3x4x5x6x7x8x9"))),OR(9&gt;LEN(B997),MID(B997,9,1)=".",ISNUMBER(FIND("x"&amp;MID(B997,9,1),"x0x1x2x3x4x5x6x7x8x9"))),OR(10&gt;LEN(B997),MID(B997,10,1)=".",ISNUMBER(FIND("x"&amp;MID(B997,10,1),"x0x1x2x3x4x5x6x7x8x9"))),OR(AND(FIND(".",B997)=5,LEN(B997)-FIND(".",B997,FIND(".",B997)+1)&gt;=1,LEN(B997)-FIND(".",B997,FIND(".",B997)+1)&lt;=2),AND(LEN(B997)-FIND(".",B997,FIND(".",B997)+1)=4,FIND(".",B997)&gt;=2,FIND(".",B997)&lt;=3)),FIND(".",B997,FIND(".",B997)+1)-FIND(".",B997)&gt;=2,FIND(".",B997,FIND(".",B997)+1)-FIND(".",B997)&lt;=3,F997&gt;=2000,F997&lt;=2100,YEAR(I997)=F997,MONTH(I997)=G997,DAY(I997)=H997),I997,0)),0)</ns0:f>
        <ns0:v>0</ns0:v>
      </ns0:c>
      <ns0:c r="K997" s="0">
        <ns0:f>IFERROR(IF(ISNUMBER(Bookings!D997),"",TRIM(Bookings!D997&amp;"")),"")</ns0:f>
      </ns0:c>
      <ns0:c r="L997" s="0">
        <ns0:f>IFERROR(SUBSTITUTE(SUBSTITUTE(K997,"/","."),"-","."),"")</ns0:f>
      </ns0:c>
      <ns0:c r="M997" s="0">
        <ns0:f>IFERROR(LEFT(L997,FIND(".",L997)-1),"")</ns0:f>
      </ns0:c>
      <ns0:c r="N997" s="0">
        <ns0:f>IFERROR(MID(L997,FIND(".",L997)+1,FIND(".",L997,FIND(".",L997)+1)-FIND(".",L997)-1),"")</ns0:f>
      </ns0:c>
      <ns0:c r="O997" s="0">
        <ns0:f>IFERROR(MID(L997,FIND(".",L997,FIND(".",L997)+1)+1,99),"")</ns0:f>
        <ns0:v>99</ns0:v>
      </ns0:c>
      <ns0:c r="P997" s="0">
        <ns0:f>IFERROR(IF(FIND(".",L997)=5,--M997,--O997),0)</ns0:f>
        <ns0:v>0</ns0:v>
      </ns0:c>
      <ns0:c r="Q997" s="0">
        <ns0:f>IFERROR(--N997,0)</ns0:f>
        <ns0:v>0</ns0:v>
      </ns0:c>
      <ns0:c r="R997" s="0">
        <ns0:f>IFERROR(IF(FIND(".",L997)=5,--O997,--M997),0)</ns0:f>
        <ns0:v>0</ns0:v>
      </ns0:c>
      <ns0:c r="S997" s="0">
        <ns0:f>IFERROR(IF(AND(P997&gt;=2000,P997&lt;=2100,Q997&gt;=1,Q997&lt;=12,R997&gt;=1,R997&lt;=31),DATE(P997,Q997,R997),0),0)</ns0:f>
        <ns0:v>0</ns0:v>
      </ns0:c>
      <ns0:c r="T997" s="0">
        <ns0:f>IFERROR(IF(ISNUMBER(Bookings!D997),IF(AND(Bookings!D997=INT(Bookings!D997),Bookings!D997&gt;=DATE(2000,1,1),Bookings!D997&lt;=DATE(2100,12,31)),Bookings!D997,0),IF(AND(K997&lt;&gt;"",LEN("x"&amp;L997)-LEN(SUBSTITUTE("x"&amp;L997,".",""))=2,OR(1&gt;LEN(L997),MID(L997,1,1)=".",ISNUMBER(FIND("x"&amp;MID(L997,1,1),"x0x1x2x3x4x5x6x7x8x9"))),OR(2&gt;LEN(L997),MID(L997,2,1)=".",ISNUMBER(FIND("x"&amp;MID(L997,2,1),"x0x1x2x3x4x5x6x7x8x9"))),OR(3&gt;LEN(L997),MID(L997,3,1)=".",ISNUMBER(FIND("x"&amp;MID(L997,3,1),"x0x1x2x3x4x5x6x7x8x9"))),OR(4&gt;LEN(L997),MID(L997,4,1)=".",ISNUMBER(FIND("x"&amp;MID(L997,4,1),"x0x1x2x3x4x5x6x7x8x9"))),OR(5&gt;LEN(L997),MID(L997,5,1)=".",ISNUMBER(FIND("x"&amp;MID(L997,5,1),"x0x1x2x3x4x5x6x7x8x9"))),OR(6&gt;LEN(L997),MID(L997,6,1)=".",ISNUMBER(FIND("x"&amp;MID(L997,6,1),"x0x1x2x3x4x5x6x7x8x9"))),OR(7&gt;LEN(L997),MID(L997,7,1)=".",ISNUMBER(FIND("x"&amp;MID(L997,7,1),"x0x1x2x3x4x5x6x7x8x9"))),OR(8&gt;LEN(L997),MID(L997,8,1)=".",ISNUMBER(FIND("x"&amp;MID(L997,8,1),"x0x1x2x3x4x5x6x7x8x9"))),OR(9&gt;LEN(L997),MID(L997,9,1)=".",ISNUMBER(FIND("x"&amp;MID(L997,9,1),"x0x1x2x3x4x5x6x7x8x9"))),OR(10&gt;LEN(L997),MID(L997,10,1)=".",ISNUMBER(FIND("x"&amp;MID(L997,10,1),"x0x1x2x3x4x5x6x7x8x9"))),OR(AND(FIND(".",L997)=5,LEN(L997)-FIND(".",L997,FIND(".",L997)+1)&gt;=1,LEN(L997)-FIND(".",L997,FIND(".",L997)+1)&lt;=2),AND(LEN(L997)-FIND(".",L997,FIND(".",L997)+1)=4,FIND(".",L997)&gt;=2,FIND(".",L997)&lt;=3)),FIND(".",L997,FIND(".",L997)+1)-FIND(".",L997)&gt;=2,FIND(".",L997,FIND(".",L997)+1)-FIND(".",L997)&lt;=3,P997&gt;=2000,P997&lt;=2100,YEAR(S997)=P997,MONTH(S997)=Q997,DAY(S997)=R997),S997,0)),0)</ns0:f>
        <ns0:v>0</ns0:v>
      </ns0:c>
      <ns0:c r="U997" s="0" t="str">
        <ns0:f>IF(Bookings!C997="","Full day",Bookings!C997)</ns0:f>
        <ns0:v>Full day</ns0:v>
      </ns0:c>
      <ns0:c r="V997" s="0" t="str">
        <ns0:f>IF(Bookings!E997="","Full day",Bookings!E997)</ns0:f>
        <ns0:v>Full day</ns0:v>
      </ns0:c>
      <ns0:c r="W997" s="0">
        <ns0:f>IF(J997=0,0,J997+IF(U997="PM",1,0))</ns0:f>
        <ns0:v>0</ns0:v>
      </ns0:c>
      <ns0:c r="X997" s="0">
        <ns0:f>IF(T997=0,0,T997-IF(V997="PM",1,0))</ns0:f>
        <ns0:v>0</ns0:v>
      </ns0:c>
      <ns0:c r="Y997" s="0">
        <ns0:f>IF(J997=0,0,J997+IF(U997="AM",1,0))</ns0:f>
        <ns0:v>0</ns0:v>
      </ns0:c>
      <ns0:c r="Z997" s="0">
        <ns0:f>IF(T997=0,0,T997-IF(V997="AM",1,0))</ns0:f>
        <ns0:v>0</ns0:v>
      </ns0:c>
      <ns0:c r="AA997" s="0">
        <ns0:f>IFERROR(IF(AND(J997&gt;0,'_Engine'!C997&gt;0,MID('_Engine'!W997,WEEKDAY(J997,2),1)="W",COUNTIF(Settings!$F$18:$F$67,J997)=0),1,0),0)</ns0:f>
        <ns0:v>0</ns0:v>
      </ns0:c>
      <ns0:c r="AB997" s="0">
        <ns0:f>IFERROR(IF(AND(T997&gt;0,'_Engine'!C997&gt;0,MID('_Engine'!W997,WEEKDAY(T997,2),1)="W",COUNTIF(Settings!$F$18:$F$67,T997)=0),1,0),0)</ns0:f>
        <ns0:v>0</ns0:v>
      </ns0:c>
      <ns0:c r="AC997" s="0">
        <ns0:f>IF(AND(J997&gt;0,T997&gt;0,W997&lt;=X997),1,0)</ns0:f>
        <ns0:v>0</ns0:v>
      </ns0:c>
      <ns0:c r="AD997" s="0">
        <ns0:f>IF(AND(J997&gt;0,T997&gt;0,Y997&lt;=Z997),1,0)</ns0:f>
        <ns0:v>0</ns0:v>
      </ns0:c>
    </ns0:row>
    <ns0:row r="998">
      <ns0:c r="A998" s="0">
        <ns0:f>IFERROR(IF(ISNUMBER(Bookings!B998),"",TRIM(Bookings!B998&amp;"")),"")</ns0:f>
      </ns0:c>
      <ns0:c r="B998" s="0">
        <ns0:f>IFERROR(SUBSTITUTE(SUBSTITUTE(A998,"/","."),"-","."),"")</ns0:f>
      </ns0:c>
      <ns0:c r="C998" s="0">
        <ns0:f>IFERROR(LEFT(B998,FIND(".",B998)-1),"")</ns0:f>
      </ns0:c>
      <ns0:c r="D998" s="0">
        <ns0:f>IFERROR(MID(B998,FIND(".",B998)+1,FIND(".",B998,FIND(".",B998)+1)-FIND(".",B998)-1),"")</ns0:f>
      </ns0:c>
      <ns0:c r="E998" s="0">
        <ns0:f>IFERROR(MID(B998,FIND(".",B998,FIND(".",B998)+1)+1,99),"")</ns0:f>
        <ns0:v>99</ns0:v>
      </ns0:c>
      <ns0:c r="F998" s="0">
        <ns0:f>IFERROR(IF(FIND(".",B998)=5,--C998,--E998),0)</ns0:f>
        <ns0:v>0</ns0:v>
      </ns0:c>
      <ns0:c r="G998" s="0">
        <ns0:f>IFERROR(--D998,0)</ns0:f>
        <ns0:v>0</ns0:v>
      </ns0:c>
      <ns0:c r="H998" s="0">
        <ns0:f>IFERROR(IF(FIND(".",B998)=5,--E998,--C998),0)</ns0:f>
        <ns0:v>0</ns0:v>
      </ns0:c>
      <ns0:c r="I998" s="0">
        <ns0:f>IFERROR(IF(AND(F998&gt;=2000,F998&lt;=2100,G998&gt;=1,G998&lt;=12,H998&gt;=1,H998&lt;=31),DATE(F998,G998,H998),0),0)</ns0:f>
        <ns0:v>0</ns0:v>
      </ns0:c>
      <ns0:c r="J998" s="0">
        <ns0:f>IFERROR(IF(ISNUMBER(Bookings!B998),IF(AND(Bookings!B998=INT(Bookings!B998),Bookings!B998&gt;=DATE(2000,1,1),Bookings!B998&lt;=DATE(2100,12,31)),Bookings!B998,0),IF(AND(A998&lt;&gt;"",LEN("x"&amp;B998)-LEN(SUBSTITUTE("x"&amp;B998,".",""))=2,OR(1&gt;LEN(B998),MID(B998,1,1)=".",ISNUMBER(FIND("x"&amp;MID(B998,1,1),"x0x1x2x3x4x5x6x7x8x9"))),OR(2&gt;LEN(B998),MID(B998,2,1)=".",ISNUMBER(FIND("x"&amp;MID(B998,2,1),"x0x1x2x3x4x5x6x7x8x9"))),OR(3&gt;LEN(B998),MID(B998,3,1)=".",ISNUMBER(FIND("x"&amp;MID(B998,3,1),"x0x1x2x3x4x5x6x7x8x9"))),OR(4&gt;LEN(B998),MID(B998,4,1)=".",ISNUMBER(FIND("x"&amp;MID(B998,4,1),"x0x1x2x3x4x5x6x7x8x9"))),OR(5&gt;LEN(B998),MID(B998,5,1)=".",ISNUMBER(FIND("x"&amp;MID(B998,5,1),"x0x1x2x3x4x5x6x7x8x9"))),OR(6&gt;LEN(B998),MID(B998,6,1)=".",ISNUMBER(FIND("x"&amp;MID(B998,6,1),"x0x1x2x3x4x5x6x7x8x9"))),OR(7&gt;LEN(B998),MID(B998,7,1)=".",ISNUMBER(FIND("x"&amp;MID(B998,7,1),"x0x1x2x3x4x5x6x7x8x9"))),OR(8&gt;LEN(B998),MID(B998,8,1)=".",ISNUMBER(FIND("x"&amp;MID(B998,8,1),"x0x1x2x3x4x5x6x7x8x9"))),OR(9&gt;LEN(B998),MID(B998,9,1)=".",ISNUMBER(FIND("x"&amp;MID(B998,9,1),"x0x1x2x3x4x5x6x7x8x9"))),OR(10&gt;LEN(B998),MID(B998,10,1)=".",ISNUMBER(FIND("x"&amp;MID(B998,10,1),"x0x1x2x3x4x5x6x7x8x9"))),OR(AND(FIND(".",B998)=5,LEN(B998)-FIND(".",B998,FIND(".",B998)+1)&gt;=1,LEN(B998)-FIND(".",B998,FIND(".",B998)+1)&lt;=2),AND(LEN(B998)-FIND(".",B998,FIND(".",B998)+1)=4,FIND(".",B998)&gt;=2,FIND(".",B998)&lt;=3)),FIND(".",B998,FIND(".",B998)+1)-FIND(".",B998)&gt;=2,FIND(".",B998,FIND(".",B998)+1)-FIND(".",B998)&lt;=3,F998&gt;=2000,F998&lt;=2100,YEAR(I998)=F998,MONTH(I998)=G998,DAY(I998)=H998),I998,0)),0)</ns0:f>
        <ns0:v>0</ns0:v>
      </ns0:c>
      <ns0:c r="K998" s="0">
        <ns0:f>IFERROR(IF(ISNUMBER(Bookings!D998),"",TRIM(Bookings!D998&amp;"")),"")</ns0:f>
      </ns0:c>
      <ns0:c r="L998" s="0">
        <ns0:f>IFERROR(SUBSTITUTE(SUBSTITUTE(K998,"/","."),"-","."),"")</ns0:f>
      </ns0:c>
      <ns0:c r="M998" s="0">
        <ns0:f>IFERROR(LEFT(L998,FIND(".",L998)-1),"")</ns0:f>
      </ns0:c>
      <ns0:c r="N998" s="0">
        <ns0:f>IFERROR(MID(L998,FIND(".",L998)+1,FIND(".",L998,FIND(".",L998)+1)-FIND(".",L998)-1),"")</ns0:f>
      </ns0:c>
      <ns0:c r="O998" s="0">
        <ns0:f>IFERROR(MID(L998,FIND(".",L998,FIND(".",L998)+1)+1,99),"")</ns0:f>
        <ns0:v>99</ns0:v>
      </ns0:c>
      <ns0:c r="P998" s="0">
        <ns0:f>IFERROR(IF(FIND(".",L998)=5,--M998,--O998),0)</ns0:f>
        <ns0:v>0</ns0:v>
      </ns0:c>
      <ns0:c r="Q998" s="0">
        <ns0:f>IFERROR(--N998,0)</ns0:f>
        <ns0:v>0</ns0:v>
      </ns0:c>
      <ns0:c r="R998" s="0">
        <ns0:f>IFERROR(IF(FIND(".",L998)=5,--O998,--M998),0)</ns0:f>
        <ns0:v>0</ns0:v>
      </ns0:c>
      <ns0:c r="S998" s="0">
        <ns0:f>IFERROR(IF(AND(P998&gt;=2000,P998&lt;=2100,Q998&gt;=1,Q998&lt;=12,R998&gt;=1,R998&lt;=31),DATE(P998,Q998,R998),0),0)</ns0:f>
        <ns0:v>0</ns0:v>
      </ns0:c>
      <ns0:c r="T998" s="0">
        <ns0:f>IFERROR(IF(ISNUMBER(Bookings!D998),IF(AND(Bookings!D998=INT(Bookings!D998),Bookings!D998&gt;=DATE(2000,1,1),Bookings!D998&lt;=DATE(2100,12,31)),Bookings!D998,0),IF(AND(K998&lt;&gt;"",LEN("x"&amp;L998)-LEN(SUBSTITUTE("x"&amp;L998,".",""))=2,OR(1&gt;LEN(L998),MID(L998,1,1)=".",ISNUMBER(FIND("x"&amp;MID(L998,1,1),"x0x1x2x3x4x5x6x7x8x9"))),OR(2&gt;LEN(L998),MID(L998,2,1)=".",ISNUMBER(FIND("x"&amp;MID(L998,2,1),"x0x1x2x3x4x5x6x7x8x9"))),OR(3&gt;LEN(L998),MID(L998,3,1)=".",ISNUMBER(FIND("x"&amp;MID(L998,3,1),"x0x1x2x3x4x5x6x7x8x9"))),OR(4&gt;LEN(L998),MID(L998,4,1)=".",ISNUMBER(FIND("x"&amp;MID(L998,4,1),"x0x1x2x3x4x5x6x7x8x9"))),OR(5&gt;LEN(L998),MID(L998,5,1)=".",ISNUMBER(FIND("x"&amp;MID(L998,5,1),"x0x1x2x3x4x5x6x7x8x9"))),OR(6&gt;LEN(L998),MID(L998,6,1)=".",ISNUMBER(FIND("x"&amp;MID(L998,6,1),"x0x1x2x3x4x5x6x7x8x9"))),OR(7&gt;LEN(L998),MID(L998,7,1)=".",ISNUMBER(FIND("x"&amp;MID(L998,7,1),"x0x1x2x3x4x5x6x7x8x9"))),OR(8&gt;LEN(L998),MID(L998,8,1)=".",ISNUMBER(FIND("x"&amp;MID(L998,8,1),"x0x1x2x3x4x5x6x7x8x9"))),OR(9&gt;LEN(L998),MID(L998,9,1)=".",ISNUMBER(FIND("x"&amp;MID(L998,9,1),"x0x1x2x3x4x5x6x7x8x9"))),OR(10&gt;LEN(L998),MID(L998,10,1)=".",ISNUMBER(FIND("x"&amp;MID(L998,10,1),"x0x1x2x3x4x5x6x7x8x9"))),OR(AND(FIND(".",L998)=5,LEN(L998)-FIND(".",L998,FIND(".",L998)+1)&gt;=1,LEN(L998)-FIND(".",L998,FIND(".",L998)+1)&lt;=2),AND(LEN(L998)-FIND(".",L998,FIND(".",L998)+1)=4,FIND(".",L998)&gt;=2,FIND(".",L998)&lt;=3)),FIND(".",L998,FIND(".",L998)+1)-FIND(".",L998)&gt;=2,FIND(".",L998,FIND(".",L998)+1)-FIND(".",L998)&lt;=3,P998&gt;=2000,P998&lt;=2100,YEAR(S998)=P998,MONTH(S998)=Q998,DAY(S998)=R998),S998,0)),0)</ns0:f>
        <ns0:v>0</ns0:v>
      </ns0:c>
      <ns0:c r="U998" s="0" t="str">
        <ns0:f>IF(Bookings!C998="","Full day",Bookings!C998)</ns0:f>
        <ns0:v>Full day</ns0:v>
      </ns0:c>
      <ns0:c r="V998" s="0" t="str">
        <ns0:f>IF(Bookings!E998="","Full day",Bookings!E998)</ns0:f>
        <ns0:v>Full day</ns0:v>
      </ns0:c>
      <ns0:c r="W998" s="0">
        <ns0:f>IF(J998=0,0,J998+IF(U998="PM",1,0))</ns0:f>
        <ns0:v>0</ns0:v>
      </ns0:c>
      <ns0:c r="X998" s="0">
        <ns0:f>IF(T998=0,0,T998-IF(V998="PM",1,0))</ns0:f>
        <ns0:v>0</ns0:v>
      </ns0:c>
      <ns0:c r="Y998" s="0">
        <ns0:f>IF(J998=0,0,J998+IF(U998="AM",1,0))</ns0:f>
        <ns0:v>0</ns0:v>
      </ns0:c>
      <ns0:c r="Z998" s="0">
        <ns0:f>IF(T998=0,0,T998-IF(V998="AM",1,0))</ns0:f>
        <ns0:v>0</ns0:v>
      </ns0:c>
      <ns0:c r="AA998" s="0">
        <ns0:f>IFERROR(IF(AND(J998&gt;0,'_Engine'!C998&gt;0,MID('_Engine'!W998,WEEKDAY(J998,2),1)="W",COUNTIF(Settings!$F$18:$F$67,J998)=0),1,0),0)</ns0:f>
        <ns0:v>0</ns0:v>
      </ns0:c>
      <ns0:c r="AB998" s="0">
        <ns0:f>IFERROR(IF(AND(T998&gt;0,'_Engine'!C998&gt;0,MID('_Engine'!W998,WEEKDAY(T998,2),1)="W",COUNTIF(Settings!$F$18:$F$67,T998)=0),1,0),0)</ns0:f>
        <ns0:v>0</ns0:v>
      </ns0:c>
      <ns0:c r="AC998" s="0">
        <ns0:f>IF(AND(J998&gt;0,T998&gt;0,W998&lt;=X998),1,0)</ns0:f>
        <ns0:v>0</ns0:v>
      </ns0:c>
      <ns0:c r="AD998" s="0">
        <ns0:f>IF(AND(J998&gt;0,T998&gt;0,Y998&lt;=Z998),1,0)</ns0:f>
        <ns0:v>0</ns0:v>
      </ns0:c>
    </ns0:row>
    <ns0:row r="999">
      <ns0:c r="A999" s="0">
        <ns0:f>IFERROR(IF(ISNUMBER(Bookings!B999),"",TRIM(Bookings!B999&amp;"")),"")</ns0:f>
      </ns0:c>
      <ns0:c r="B999" s="0">
        <ns0:f>IFERROR(SUBSTITUTE(SUBSTITUTE(A999,"/","."),"-","."),"")</ns0:f>
      </ns0:c>
      <ns0:c r="C999" s="0">
        <ns0:f>IFERROR(LEFT(B999,FIND(".",B999)-1),"")</ns0:f>
      </ns0:c>
      <ns0:c r="D999" s="0">
        <ns0:f>IFERROR(MID(B999,FIND(".",B999)+1,FIND(".",B999,FIND(".",B999)+1)-FIND(".",B999)-1),"")</ns0:f>
      </ns0:c>
      <ns0:c r="E999" s="0">
        <ns0:f>IFERROR(MID(B999,FIND(".",B999,FIND(".",B999)+1)+1,99),"")</ns0:f>
        <ns0:v>99</ns0:v>
      </ns0:c>
      <ns0:c r="F999" s="0">
        <ns0:f>IFERROR(IF(FIND(".",B999)=5,--C999,--E999),0)</ns0:f>
        <ns0:v>0</ns0:v>
      </ns0:c>
      <ns0:c r="G999" s="0">
        <ns0:f>IFERROR(--D999,0)</ns0:f>
        <ns0:v>0</ns0:v>
      </ns0:c>
      <ns0:c r="H999" s="0">
        <ns0:f>IFERROR(IF(FIND(".",B999)=5,--E999,--C999),0)</ns0:f>
        <ns0:v>0</ns0:v>
      </ns0:c>
      <ns0:c r="I999" s="0">
        <ns0:f>IFERROR(IF(AND(F999&gt;=2000,F999&lt;=2100,G999&gt;=1,G999&lt;=12,H999&gt;=1,H999&lt;=31),DATE(F999,G999,H999),0),0)</ns0:f>
        <ns0:v>0</ns0:v>
      </ns0:c>
      <ns0:c r="J999" s="0">
        <ns0:f>IFERROR(IF(ISNUMBER(Bookings!B999),IF(AND(Bookings!B999=INT(Bookings!B999),Bookings!B999&gt;=DATE(2000,1,1),Bookings!B999&lt;=DATE(2100,12,31)),Bookings!B999,0),IF(AND(A999&lt;&gt;"",LEN("x"&amp;B999)-LEN(SUBSTITUTE("x"&amp;B999,".",""))=2,OR(1&gt;LEN(B999),MID(B999,1,1)=".",ISNUMBER(FIND("x"&amp;MID(B999,1,1),"x0x1x2x3x4x5x6x7x8x9"))),OR(2&gt;LEN(B999),MID(B999,2,1)=".",ISNUMBER(FIND("x"&amp;MID(B999,2,1),"x0x1x2x3x4x5x6x7x8x9"))),OR(3&gt;LEN(B999),MID(B999,3,1)=".",ISNUMBER(FIND("x"&amp;MID(B999,3,1),"x0x1x2x3x4x5x6x7x8x9"))),OR(4&gt;LEN(B999),MID(B999,4,1)=".",ISNUMBER(FIND("x"&amp;MID(B999,4,1),"x0x1x2x3x4x5x6x7x8x9"))),OR(5&gt;LEN(B999),MID(B999,5,1)=".",ISNUMBER(FIND("x"&amp;MID(B999,5,1),"x0x1x2x3x4x5x6x7x8x9"))),OR(6&gt;LEN(B999),MID(B999,6,1)=".",ISNUMBER(FIND("x"&amp;MID(B999,6,1),"x0x1x2x3x4x5x6x7x8x9"))),OR(7&gt;LEN(B999),MID(B999,7,1)=".",ISNUMBER(FIND("x"&amp;MID(B999,7,1),"x0x1x2x3x4x5x6x7x8x9"))),OR(8&gt;LEN(B999),MID(B999,8,1)=".",ISNUMBER(FIND("x"&amp;MID(B999,8,1),"x0x1x2x3x4x5x6x7x8x9"))),OR(9&gt;LEN(B999),MID(B999,9,1)=".",ISNUMBER(FIND("x"&amp;MID(B999,9,1),"x0x1x2x3x4x5x6x7x8x9"))),OR(10&gt;LEN(B999),MID(B999,10,1)=".",ISNUMBER(FIND("x"&amp;MID(B999,10,1),"x0x1x2x3x4x5x6x7x8x9"))),OR(AND(FIND(".",B999)=5,LEN(B999)-FIND(".",B999,FIND(".",B999)+1)&gt;=1,LEN(B999)-FIND(".",B999,FIND(".",B999)+1)&lt;=2),AND(LEN(B999)-FIND(".",B999,FIND(".",B999)+1)=4,FIND(".",B999)&gt;=2,FIND(".",B999)&lt;=3)),FIND(".",B999,FIND(".",B999)+1)-FIND(".",B999)&gt;=2,FIND(".",B999,FIND(".",B999)+1)-FIND(".",B999)&lt;=3,F999&gt;=2000,F999&lt;=2100,YEAR(I999)=F999,MONTH(I999)=G999,DAY(I999)=H999),I999,0)),0)</ns0:f>
        <ns0:v>0</ns0:v>
      </ns0:c>
      <ns0:c r="K999" s="0">
        <ns0:f>IFERROR(IF(ISNUMBER(Bookings!D999),"",TRIM(Bookings!D999&amp;"")),"")</ns0:f>
      </ns0:c>
      <ns0:c r="L999" s="0">
        <ns0:f>IFERROR(SUBSTITUTE(SUBSTITUTE(K999,"/","."),"-","."),"")</ns0:f>
      </ns0:c>
      <ns0:c r="M999" s="0">
        <ns0:f>IFERROR(LEFT(L999,FIND(".",L999)-1),"")</ns0:f>
      </ns0:c>
      <ns0:c r="N999" s="0">
        <ns0:f>IFERROR(MID(L999,FIND(".",L999)+1,FIND(".",L999,FIND(".",L999)+1)-FIND(".",L999)-1),"")</ns0:f>
      </ns0:c>
      <ns0:c r="O999" s="0">
        <ns0:f>IFERROR(MID(L999,FIND(".",L999,FIND(".",L999)+1)+1,99),"")</ns0:f>
        <ns0:v>99</ns0:v>
      </ns0:c>
      <ns0:c r="P999" s="0">
        <ns0:f>IFERROR(IF(FIND(".",L999)=5,--M999,--O999),0)</ns0:f>
        <ns0:v>0</ns0:v>
      </ns0:c>
      <ns0:c r="Q999" s="0">
        <ns0:f>IFERROR(--N999,0)</ns0:f>
        <ns0:v>0</ns0:v>
      </ns0:c>
      <ns0:c r="R999" s="0">
        <ns0:f>IFERROR(IF(FIND(".",L999)=5,--O999,--M999),0)</ns0:f>
        <ns0:v>0</ns0:v>
      </ns0:c>
      <ns0:c r="S999" s="0">
        <ns0:f>IFERROR(IF(AND(P999&gt;=2000,P999&lt;=2100,Q999&gt;=1,Q999&lt;=12,R999&gt;=1,R999&lt;=31),DATE(P999,Q999,R999),0),0)</ns0:f>
        <ns0:v>0</ns0:v>
      </ns0:c>
      <ns0:c r="T999" s="0">
        <ns0:f>IFERROR(IF(ISNUMBER(Bookings!D999),IF(AND(Bookings!D999=INT(Bookings!D999),Bookings!D999&gt;=DATE(2000,1,1),Bookings!D999&lt;=DATE(2100,12,31)),Bookings!D999,0),IF(AND(K999&lt;&gt;"",LEN("x"&amp;L999)-LEN(SUBSTITUTE("x"&amp;L999,".",""))=2,OR(1&gt;LEN(L999),MID(L999,1,1)=".",ISNUMBER(FIND("x"&amp;MID(L999,1,1),"x0x1x2x3x4x5x6x7x8x9"))),OR(2&gt;LEN(L999),MID(L999,2,1)=".",ISNUMBER(FIND("x"&amp;MID(L999,2,1),"x0x1x2x3x4x5x6x7x8x9"))),OR(3&gt;LEN(L999),MID(L999,3,1)=".",ISNUMBER(FIND("x"&amp;MID(L999,3,1),"x0x1x2x3x4x5x6x7x8x9"))),OR(4&gt;LEN(L999),MID(L999,4,1)=".",ISNUMBER(FIND("x"&amp;MID(L999,4,1),"x0x1x2x3x4x5x6x7x8x9"))),OR(5&gt;LEN(L999),MID(L999,5,1)=".",ISNUMBER(FIND("x"&amp;MID(L999,5,1),"x0x1x2x3x4x5x6x7x8x9"))),OR(6&gt;LEN(L999),MID(L999,6,1)=".",ISNUMBER(FIND("x"&amp;MID(L999,6,1),"x0x1x2x3x4x5x6x7x8x9"))),OR(7&gt;LEN(L999),MID(L999,7,1)=".",ISNUMBER(FIND("x"&amp;MID(L999,7,1),"x0x1x2x3x4x5x6x7x8x9"))),OR(8&gt;LEN(L999),MID(L999,8,1)=".",ISNUMBER(FIND("x"&amp;MID(L999,8,1),"x0x1x2x3x4x5x6x7x8x9"))),OR(9&gt;LEN(L999),MID(L999,9,1)=".",ISNUMBER(FIND("x"&amp;MID(L999,9,1),"x0x1x2x3x4x5x6x7x8x9"))),OR(10&gt;LEN(L999),MID(L999,10,1)=".",ISNUMBER(FIND("x"&amp;MID(L999,10,1),"x0x1x2x3x4x5x6x7x8x9"))),OR(AND(FIND(".",L999)=5,LEN(L999)-FIND(".",L999,FIND(".",L999)+1)&gt;=1,LEN(L999)-FIND(".",L999,FIND(".",L999)+1)&lt;=2),AND(LEN(L999)-FIND(".",L999,FIND(".",L999)+1)=4,FIND(".",L999)&gt;=2,FIND(".",L999)&lt;=3)),FIND(".",L999,FIND(".",L999)+1)-FIND(".",L999)&gt;=2,FIND(".",L999,FIND(".",L999)+1)-FIND(".",L999)&lt;=3,P999&gt;=2000,P999&lt;=2100,YEAR(S999)=P999,MONTH(S999)=Q999,DAY(S999)=R999),S999,0)),0)</ns0:f>
        <ns0:v>0</ns0:v>
      </ns0:c>
      <ns0:c r="U999" s="0" t="str">
        <ns0:f>IF(Bookings!C999="","Full day",Bookings!C999)</ns0:f>
        <ns0:v>Full day</ns0:v>
      </ns0:c>
      <ns0:c r="V999" s="0" t="str">
        <ns0:f>IF(Bookings!E999="","Full day",Bookings!E999)</ns0:f>
        <ns0:v>Full day</ns0:v>
      </ns0:c>
      <ns0:c r="W999" s="0">
        <ns0:f>IF(J999=0,0,J999+IF(U999="PM",1,0))</ns0:f>
        <ns0:v>0</ns0:v>
      </ns0:c>
      <ns0:c r="X999" s="0">
        <ns0:f>IF(T999=0,0,T999-IF(V999="PM",1,0))</ns0:f>
        <ns0:v>0</ns0:v>
      </ns0:c>
      <ns0:c r="Y999" s="0">
        <ns0:f>IF(J999=0,0,J999+IF(U999="AM",1,0))</ns0:f>
        <ns0:v>0</ns0:v>
      </ns0:c>
      <ns0:c r="Z999" s="0">
        <ns0:f>IF(T999=0,0,T999-IF(V999="AM",1,0))</ns0:f>
        <ns0:v>0</ns0:v>
      </ns0:c>
      <ns0:c r="AA999" s="0">
        <ns0:f>IFERROR(IF(AND(J999&gt;0,'_Engine'!C999&gt;0,MID('_Engine'!W999,WEEKDAY(J999,2),1)="W",COUNTIF(Settings!$F$18:$F$67,J999)=0),1,0),0)</ns0:f>
        <ns0:v>0</ns0:v>
      </ns0:c>
      <ns0:c r="AB999" s="0">
        <ns0:f>IFERROR(IF(AND(T999&gt;0,'_Engine'!C999&gt;0,MID('_Engine'!W999,WEEKDAY(T999,2),1)="W",COUNTIF(Settings!$F$18:$F$67,T999)=0),1,0),0)</ns0:f>
        <ns0:v>0</ns0:v>
      </ns0:c>
      <ns0:c r="AC999" s="0">
        <ns0:f>IF(AND(J999&gt;0,T999&gt;0,W999&lt;=X999),1,0)</ns0:f>
        <ns0:v>0</ns0:v>
      </ns0:c>
      <ns0:c r="AD999" s="0">
        <ns0:f>IF(AND(J999&gt;0,T999&gt;0,Y999&lt;=Z999),1,0)</ns0:f>
        <ns0:v>0</ns0:v>
      </ns0:c>
    </ns0:row>
    <ns0:row r="1000">
      <ns0:c r="A1000" s="0">
        <ns0:f>IFERROR(IF(ISNUMBER(Bookings!B1000),"",TRIM(Bookings!B1000&amp;"")),"")</ns0:f>
      </ns0:c>
      <ns0:c r="B1000" s="0">
        <ns0:f>IFERROR(SUBSTITUTE(SUBSTITUTE(A1000,"/","."),"-","."),"")</ns0:f>
      </ns0:c>
      <ns0:c r="C1000" s="0">
        <ns0:f>IFERROR(LEFT(B1000,FIND(".",B1000)-1),"")</ns0:f>
      </ns0:c>
      <ns0:c r="D1000" s="0">
        <ns0:f>IFERROR(MID(B1000,FIND(".",B1000)+1,FIND(".",B1000,FIND(".",B1000)+1)-FIND(".",B1000)-1),"")</ns0:f>
      </ns0:c>
      <ns0:c r="E1000" s="0">
        <ns0:f>IFERROR(MID(B1000,FIND(".",B1000,FIND(".",B1000)+1)+1,99),"")</ns0:f>
        <ns0:v>99</ns0:v>
      </ns0:c>
      <ns0:c r="F1000" s="0">
        <ns0:f>IFERROR(IF(FIND(".",B1000)=5,--C1000,--E1000),0)</ns0:f>
        <ns0:v>0</ns0:v>
      </ns0:c>
      <ns0:c r="G1000" s="0">
        <ns0:f>IFERROR(--D1000,0)</ns0:f>
        <ns0:v>0</ns0:v>
      </ns0:c>
      <ns0:c r="H1000" s="0">
        <ns0:f>IFERROR(IF(FIND(".",B1000)=5,--E1000,--C1000),0)</ns0:f>
        <ns0:v>0</ns0:v>
      </ns0:c>
      <ns0:c r="I1000" s="0">
        <ns0:f>IFERROR(IF(AND(F1000&gt;=2000,F1000&lt;=2100,G1000&gt;=1,G1000&lt;=12,H1000&gt;=1,H1000&lt;=31),DATE(F1000,G1000,H1000),0),0)</ns0:f>
        <ns0:v>0</ns0:v>
      </ns0:c>
      <ns0:c r="J1000" s="0">
        <ns0:f>IFERROR(IF(ISNUMBER(Bookings!B1000),IF(AND(Bookings!B1000=INT(Bookings!B1000),Bookings!B1000&gt;=DATE(2000,1,1),Bookings!B1000&lt;=DATE(2100,12,31)),Bookings!B1000,0),IF(AND(A1000&lt;&gt;"",LEN("x"&amp;B1000)-LEN(SUBSTITUTE("x"&amp;B1000,".",""))=2,OR(1&gt;LEN(B1000),MID(B1000,1,1)=".",ISNUMBER(FIND("x"&amp;MID(B1000,1,1),"x0x1x2x3x4x5x6x7x8x9"))),OR(2&gt;LEN(B1000),MID(B1000,2,1)=".",ISNUMBER(FIND("x"&amp;MID(B1000,2,1),"x0x1x2x3x4x5x6x7x8x9"))),OR(3&gt;LEN(B1000),MID(B1000,3,1)=".",ISNUMBER(FIND("x"&amp;MID(B1000,3,1),"x0x1x2x3x4x5x6x7x8x9"))),OR(4&gt;LEN(B1000),MID(B1000,4,1)=".",ISNUMBER(FIND("x"&amp;MID(B1000,4,1),"x0x1x2x3x4x5x6x7x8x9"))),OR(5&gt;LEN(B1000),MID(B1000,5,1)=".",ISNUMBER(FIND("x"&amp;MID(B1000,5,1),"x0x1x2x3x4x5x6x7x8x9"))),OR(6&gt;LEN(B1000),MID(B1000,6,1)=".",ISNUMBER(FIND("x"&amp;MID(B1000,6,1),"x0x1x2x3x4x5x6x7x8x9"))),OR(7&gt;LEN(B1000),MID(B1000,7,1)=".",ISNUMBER(FIND("x"&amp;MID(B1000,7,1),"x0x1x2x3x4x5x6x7x8x9"))),OR(8&gt;LEN(B1000),MID(B1000,8,1)=".",ISNUMBER(FIND("x"&amp;MID(B1000,8,1),"x0x1x2x3x4x5x6x7x8x9"))),OR(9&gt;LEN(B1000),MID(B1000,9,1)=".",ISNUMBER(FIND("x"&amp;MID(B1000,9,1),"x0x1x2x3x4x5x6x7x8x9"))),OR(10&gt;LEN(B1000),MID(B1000,10,1)=".",ISNUMBER(FIND("x"&amp;MID(B1000,10,1),"x0x1x2x3x4x5x6x7x8x9"))),OR(AND(FIND(".",B1000)=5,LEN(B1000)-FIND(".",B1000,FIND(".",B1000)+1)&gt;=1,LEN(B1000)-FIND(".",B1000,FIND(".",B1000)+1)&lt;=2),AND(LEN(B1000)-FIND(".",B1000,FIND(".",B1000)+1)=4,FIND(".",B1000)&gt;=2,FIND(".",B1000)&lt;=3)),FIND(".",B1000,FIND(".",B1000)+1)-FIND(".",B1000)&gt;=2,FIND(".",B1000,FIND(".",B1000)+1)-FIND(".",B1000)&lt;=3,F1000&gt;=2000,F1000&lt;=2100,YEAR(I1000)=F1000,MONTH(I1000)=G1000,DAY(I1000)=H1000),I1000,0)),0)</ns0:f>
        <ns0:v>0</ns0:v>
      </ns0:c>
      <ns0:c r="K1000" s="0">
        <ns0:f>IFERROR(IF(ISNUMBER(Bookings!D1000),"",TRIM(Bookings!D1000&amp;"")),"")</ns0:f>
      </ns0:c>
      <ns0:c r="L1000" s="0">
        <ns0:f>IFERROR(SUBSTITUTE(SUBSTITUTE(K1000,"/","."),"-","."),"")</ns0:f>
      </ns0:c>
      <ns0:c r="M1000" s="0">
        <ns0:f>IFERROR(LEFT(L1000,FIND(".",L1000)-1),"")</ns0:f>
      </ns0:c>
      <ns0:c r="N1000" s="0">
        <ns0:f>IFERROR(MID(L1000,FIND(".",L1000)+1,FIND(".",L1000,FIND(".",L1000)+1)-FIND(".",L1000)-1),"")</ns0:f>
      </ns0:c>
      <ns0:c r="O1000" s="0">
        <ns0:f>IFERROR(MID(L1000,FIND(".",L1000,FIND(".",L1000)+1)+1,99),"")</ns0:f>
        <ns0:v>99</ns0:v>
      </ns0:c>
      <ns0:c r="P1000" s="0">
        <ns0:f>IFERROR(IF(FIND(".",L1000)=5,--M1000,--O1000),0)</ns0:f>
        <ns0:v>0</ns0:v>
      </ns0:c>
      <ns0:c r="Q1000" s="0">
        <ns0:f>IFERROR(--N1000,0)</ns0:f>
        <ns0:v>0</ns0:v>
      </ns0:c>
      <ns0:c r="R1000" s="0">
        <ns0:f>IFERROR(IF(FIND(".",L1000)=5,--O1000,--M1000),0)</ns0:f>
        <ns0:v>0</ns0:v>
      </ns0:c>
      <ns0:c r="S1000" s="0">
        <ns0:f>IFERROR(IF(AND(P1000&gt;=2000,P1000&lt;=2100,Q1000&gt;=1,Q1000&lt;=12,R1000&gt;=1,R1000&lt;=31),DATE(P1000,Q1000,R1000),0),0)</ns0:f>
        <ns0:v>0</ns0:v>
      </ns0:c>
      <ns0:c r="T1000" s="0">
        <ns0:f>IFERROR(IF(ISNUMBER(Bookings!D1000),IF(AND(Bookings!D1000=INT(Bookings!D1000),Bookings!D1000&gt;=DATE(2000,1,1),Bookings!D1000&lt;=DATE(2100,12,31)),Bookings!D1000,0),IF(AND(K1000&lt;&gt;"",LEN("x"&amp;L1000)-LEN(SUBSTITUTE("x"&amp;L1000,".",""))=2,OR(1&gt;LEN(L1000),MID(L1000,1,1)=".",ISNUMBER(FIND("x"&amp;MID(L1000,1,1),"x0x1x2x3x4x5x6x7x8x9"))),OR(2&gt;LEN(L1000),MID(L1000,2,1)=".",ISNUMBER(FIND("x"&amp;MID(L1000,2,1),"x0x1x2x3x4x5x6x7x8x9"))),OR(3&gt;LEN(L1000),MID(L1000,3,1)=".",ISNUMBER(FIND("x"&amp;MID(L1000,3,1),"x0x1x2x3x4x5x6x7x8x9"))),OR(4&gt;LEN(L1000),MID(L1000,4,1)=".",ISNUMBER(FIND("x"&amp;MID(L1000,4,1),"x0x1x2x3x4x5x6x7x8x9"))),OR(5&gt;LEN(L1000),MID(L1000,5,1)=".",ISNUMBER(FIND("x"&amp;MID(L1000,5,1),"x0x1x2x3x4x5x6x7x8x9"))),OR(6&gt;LEN(L1000),MID(L1000,6,1)=".",ISNUMBER(FIND("x"&amp;MID(L1000,6,1),"x0x1x2x3x4x5x6x7x8x9"))),OR(7&gt;LEN(L1000),MID(L1000,7,1)=".",ISNUMBER(FIND("x"&amp;MID(L1000,7,1),"x0x1x2x3x4x5x6x7x8x9"))),OR(8&gt;LEN(L1000),MID(L1000,8,1)=".",ISNUMBER(FIND("x"&amp;MID(L1000,8,1),"x0x1x2x3x4x5x6x7x8x9"))),OR(9&gt;LEN(L1000),MID(L1000,9,1)=".",ISNUMBER(FIND("x"&amp;MID(L1000,9,1),"x0x1x2x3x4x5x6x7x8x9"))),OR(10&gt;LEN(L1000),MID(L1000,10,1)=".",ISNUMBER(FIND("x"&amp;MID(L1000,10,1),"x0x1x2x3x4x5x6x7x8x9"))),OR(AND(FIND(".",L1000)=5,LEN(L1000)-FIND(".",L1000,FIND(".",L1000)+1)&gt;=1,LEN(L1000)-FIND(".",L1000,FIND(".",L1000)+1)&lt;=2),AND(LEN(L1000)-FIND(".",L1000,FIND(".",L1000)+1)=4,FIND(".",L1000)&gt;=2,FIND(".",L1000)&lt;=3)),FIND(".",L1000,FIND(".",L1000)+1)-FIND(".",L1000)&gt;=2,FIND(".",L1000,FIND(".",L1000)+1)-FIND(".",L1000)&lt;=3,P1000&gt;=2000,P1000&lt;=2100,YEAR(S1000)=P1000,MONTH(S1000)=Q1000,DAY(S1000)=R1000),S1000,0)),0)</ns0:f>
        <ns0:v>0</ns0:v>
      </ns0:c>
      <ns0:c r="U1000" s="0" t="str">
        <ns0:f>IF(Bookings!C1000="","Full day",Bookings!C1000)</ns0:f>
        <ns0:v>Full day</ns0:v>
      </ns0:c>
      <ns0:c r="V1000" s="0" t="str">
        <ns0:f>IF(Bookings!E1000="","Full day",Bookings!E1000)</ns0:f>
        <ns0:v>Full day</ns0:v>
      </ns0:c>
      <ns0:c r="W1000" s="0">
        <ns0:f>IF(J1000=0,0,J1000+IF(U1000="PM",1,0))</ns0:f>
        <ns0:v>0</ns0:v>
      </ns0:c>
      <ns0:c r="X1000" s="0">
        <ns0:f>IF(T1000=0,0,T1000-IF(V1000="PM",1,0))</ns0:f>
        <ns0:v>0</ns0:v>
      </ns0:c>
      <ns0:c r="Y1000" s="0">
        <ns0:f>IF(J1000=0,0,J1000+IF(U1000="AM",1,0))</ns0:f>
        <ns0:v>0</ns0:v>
      </ns0:c>
      <ns0:c r="Z1000" s="0">
        <ns0:f>IF(T1000=0,0,T1000-IF(V1000="AM",1,0))</ns0:f>
        <ns0:v>0</ns0:v>
      </ns0:c>
      <ns0:c r="AA1000" s="0">
        <ns0:f>IFERROR(IF(AND(J1000&gt;0,'_Engine'!C1000&gt;0,MID('_Engine'!W1000,WEEKDAY(J1000,2),1)="W",COUNTIF(Settings!$F$18:$F$67,J1000)=0),1,0),0)</ns0:f>
        <ns0:v>0</ns0:v>
      </ns0:c>
      <ns0:c r="AB1000" s="0">
        <ns0:f>IFERROR(IF(AND(T1000&gt;0,'_Engine'!C1000&gt;0,MID('_Engine'!W1000,WEEKDAY(T1000,2),1)="W",COUNTIF(Settings!$F$18:$F$67,T1000)=0),1,0),0)</ns0:f>
        <ns0:v>0</ns0:v>
      </ns0:c>
      <ns0:c r="AC1000" s="0">
        <ns0:f>IF(AND(J1000&gt;0,T1000&gt;0,W1000&lt;=X1000),1,0)</ns0:f>
        <ns0:v>0</ns0:v>
      </ns0:c>
      <ns0:c r="AD1000" s="0">
        <ns0:f>IF(AND(J1000&gt;0,T1000&gt;0,Y1000&lt;=Z1000),1,0)</ns0:f>
        <ns0:v>0</ns0:v>
      </ns0:c>
    </ns0:row>
    <ns0:row r="1001">
      <ns0:c r="A1001" s="0">
        <ns0:f>IFERROR(IF(ISNUMBER(Bookings!B1001),"",TRIM(Bookings!B1001&amp;"")),"")</ns0:f>
      </ns0:c>
      <ns0:c r="B1001" s="0">
        <ns0:f>IFERROR(SUBSTITUTE(SUBSTITUTE(A1001,"/","."),"-","."),"")</ns0:f>
      </ns0:c>
      <ns0:c r="C1001" s="0">
        <ns0:f>IFERROR(LEFT(B1001,FIND(".",B1001)-1),"")</ns0:f>
      </ns0:c>
      <ns0:c r="D1001" s="0">
        <ns0:f>IFERROR(MID(B1001,FIND(".",B1001)+1,FIND(".",B1001,FIND(".",B1001)+1)-FIND(".",B1001)-1),"")</ns0:f>
      </ns0:c>
      <ns0:c r="E1001" s="0">
        <ns0:f>IFERROR(MID(B1001,FIND(".",B1001,FIND(".",B1001)+1)+1,99),"")</ns0:f>
        <ns0:v>99</ns0:v>
      </ns0:c>
      <ns0:c r="F1001" s="0">
        <ns0:f>IFERROR(IF(FIND(".",B1001)=5,--C1001,--E1001),0)</ns0:f>
        <ns0:v>0</ns0:v>
      </ns0:c>
      <ns0:c r="G1001" s="0">
        <ns0:f>IFERROR(--D1001,0)</ns0:f>
        <ns0:v>0</ns0:v>
      </ns0:c>
      <ns0:c r="H1001" s="0">
        <ns0:f>IFERROR(IF(FIND(".",B1001)=5,--E1001,--C1001),0)</ns0:f>
        <ns0:v>0</ns0:v>
      </ns0:c>
      <ns0:c r="I1001" s="0">
        <ns0:f>IFERROR(IF(AND(F1001&gt;=2000,F1001&lt;=2100,G1001&gt;=1,G1001&lt;=12,H1001&gt;=1,H1001&lt;=31),DATE(F1001,G1001,H1001),0),0)</ns0:f>
        <ns0:v>0</ns0:v>
      </ns0:c>
      <ns0:c r="J1001" s="0">
        <ns0:f>IFERROR(IF(ISNUMBER(Bookings!B1001),IF(AND(Bookings!B1001=INT(Bookings!B1001),Bookings!B1001&gt;=DATE(2000,1,1),Bookings!B1001&lt;=DATE(2100,12,31)),Bookings!B1001,0),IF(AND(A1001&lt;&gt;"",LEN("x"&amp;B1001)-LEN(SUBSTITUTE("x"&amp;B1001,".",""))=2,OR(1&gt;LEN(B1001),MID(B1001,1,1)=".",ISNUMBER(FIND("x"&amp;MID(B1001,1,1),"x0x1x2x3x4x5x6x7x8x9"))),OR(2&gt;LEN(B1001),MID(B1001,2,1)=".",ISNUMBER(FIND("x"&amp;MID(B1001,2,1),"x0x1x2x3x4x5x6x7x8x9"))),OR(3&gt;LEN(B1001),MID(B1001,3,1)=".",ISNUMBER(FIND("x"&amp;MID(B1001,3,1),"x0x1x2x3x4x5x6x7x8x9"))),OR(4&gt;LEN(B1001),MID(B1001,4,1)=".",ISNUMBER(FIND("x"&amp;MID(B1001,4,1),"x0x1x2x3x4x5x6x7x8x9"))),OR(5&gt;LEN(B1001),MID(B1001,5,1)=".",ISNUMBER(FIND("x"&amp;MID(B1001,5,1),"x0x1x2x3x4x5x6x7x8x9"))),OR(6&gt;LEN(B1001),MID(B1001,6,1)=".",ISNUMBER(FIND("x"&amp;MID(B1001,6,1),"x0x1x2x3x4x5x6x7x8x9"))),OR(7&gt;LEN(B1001),MID(B1001,7,1)=".",ISNUMBER(FIND("x"&amp;MID(B1001,7,1),"x0x1x2x3x4x5x6x7x8x9"))),OR(8&gt;LEN(B1001),MID(B1001,8,1)=".",ISNUMBER(FIND("x"&amp;MID(B1001,8,1),"x0x1x2x3x4x5x6x7x8x9"))),OR(9&gt;LEN(B1001),MID(B1001,9,1)=".",ISNUMBER(FIND("x"&amp;MID(B1001,9,1),"x0x1x2x3x4x5x6x7x8x9"))),OR(10&gt;LEN(B1001),MID(B1001,10,1)=".",ISNUMBER(FIND("x"&amp;MID(B1001,10,1),"x0x1x2x3x4x5x6x7x8x9"))),OR(AND(FIND(".",B1001)=5,LEN(B1001)-FIND(".",B1001,FIND(".",B1001)+1)&gt;=1,LEN(B1001)-FIND(".",B1001,FIND(".",B1001)+1)&lt;=2),AND(LEN(B1001)-FIND(".",B1001,FIND(".",B1001)+1)=4,FIND(".",B1001)&gt;=2,FIND(".",B1001)&lt;=3)),FIND(".",B1001,FIND(".",B1001)+1)-FIND(".",B1001)&gt;=2,FIND(".",B1001,FIND(".",B1001)+1)-FIND(".",B1001)&lt;=3,F1001&gt;=2000,F1001&lt;=2100,YEAR(I1001)=F1001,MONTH(I1001)=G1001,DAY(I1001)=H1001),I1001,0)),0)</ns0:f>
        <ns0:v>0</ns0:v>
      </ns0:c>
      <ns0:c r="K1001" s="0">
        <ns0:f>IFERROR(IF(ISNUMBER(Bookings!D1001),"",TRIM(Bookings!D1001&amp;"")),"")</ns0:f>
      </ns0:c>
      <ns0:c r="L1001" s="0">
        <ns0:f>IFERROR(SUBSTITUTE(SUBSTITUTE(K1001,"/","."),"-","."),"")</ns0:f>
      </ns0:c>
      <ns0:c r="M1001" s="0">
        <ns0:f>IFERROR(LEFT(L1001,FIND(".",L1001)-1),"")</ns0:f>
      </ns0:c>
      <ns0:c r="N1001" s="0">
        <ns0:f>IFERROR(MID(L1001,FIND(".",L1001)+1,FIND(".",L1001,FIND(".",L1001)+1)-FIND(".",L1001)-1),"")</ns0:f>
      </ns0:c>
      <ns0:c r="O1001" s="0">
        <ns0:f>IFERROR(MID(L1001,FIND(".",L1001,FIND(".",L1001)+1)+1,99),"")</ns0:f>
        <ns0:v>99</ns0:v>
      </ns0:c>
      <ns0:c r="P1001" s="0">
        <ns0:f>IFERROR(IF(FIND(".",L1001)=5,--M1001,--O1001),0)</ns0:f>
        <ns0:v>0</ns0:v>
      </ns0:c>
      <ns0:c r="Q1001" s="0">
        <ns0:f>IFERROR(--N1001,0)</ns0:f>
        <ns0:v>0</ns0:v>
      </ns0:c>
      <ns0:c r="R1001" s="0">
        <ns0:f>IFERROR(IF(FIND(".",L1001)=5,--O1001,--M1001),0)</ns0:f>
        <ns0:v>0</ns0:v>
      </ns0:c>
      <ns0:c r="S1001" s="0">
        <ns0:f>IFERROR(IF(AND(P1001&gt;=2000,P1001&lt;=2100,Q1001&gt;=1,Q1001&lt;=12,R1001&gt;=1,R1001&lt;=31),DATE(P1001,Q1001,R1001),0),0)</ns0:f>
        <ns0:v>0</ns0:v>
      </ns0:c>
      <ns0:c r="T1001" s="0">
        <ns0:f>IFERROR(IF(ISNUMBER(Bookings!D1001),IF(AND(Bookings!D1001=INT(Bookings!D1001),Bookings!D1001&gt;=DATE(2000,1,1),Bookings!D1001&lt;=DATE(2100,12,31)),Bookings!D1001,0),IF(AND(K1001&lt;&gt;"",LEN("x"&amp;L1001)-LEN(SUBSTITUTE("x"&amp;L1001,".",""))=2,OR(1&gt;LEN(L1001),MID(L1001,1,1)=".",ISNUMBER(FIND("x"&amp;MID(L1001,1,1),"x0x1x2x3x4x5x6x7x8x9"))),OR(2&gt;LEN(L1001),MID(L1001,2,1)=".",ISNUMBER(FIND("x"&amp;MID(L1001,2,1),"x0x1x2x3x4x5x6x7x8x9"))),OR(3&gt;LEN(L1001),MID(L1001,3,1)=".",ISNUMBER(FIND("x"&amp;MID(L1001,3,1),"x0x1x2x3x4x5x6x7x8x9"))),OR(4&gt;LEN(L1001),MID(L1001,4,1)=".",ISNUMBER(FIND("x"&amp;MID(L1001,4,1),"x0x1x2x3x4x5x6x7x8x9"))),OR(5&gt;LEN(L1001),MID(L1001,5,1)=".",ISNUMBER(FIND("x"&amp;MID(L1001,5,1),"x0x1x2x3x4x5x6x7x8x9"))),OR(6&gt;LEN(L1001),MID(L1001,6,1)=".",ISNUMBER(FIND("x"&amp;MID(L1001,6,1),"x0x1x2x3x4x5x6x7x8x9"))),OR(7&gt;LEN(L1001),MID(L1001,7,1)=".",ISNUMBER(FIND("x"&amp;MID(L1001,7,1),"x0x1x2x3x4x5x6x7x8x9"))),OR(8&gt;LEN(L1001),MID(L1001,8,1)=".",ISNUMBER(FIND("x"&amp;MID(L1001,8,1),"x0x1x2x3x4x5x6x7x8x9"))),OR(9&gt;LEN(L1001),MID(L1001,9,1)=".",ISNUMBER(FIND("x"&amp;MID(L1001,9,1),"x0x1x2x3x4x5x6x7x8x9"))),OR(10&gt;LEN(L1001),MID(L1001,10,1)=".",ISNUMBER(FIND("x"&amp;MID(L1001,10,1),"x0x1x2x3x4x5x6x7x8x9"))),OR(AND(FIND(".",L1001)=5,LEN(L1001)-FIND(".",L1001,FIND(".",L1001)+1)&gt;=1,LEN(L1001)-FIND(".",L1001,FIND(".",L1001)+1)&lt;=2),AND(LEN(L1001)-FIND(".",L1001,FIND(".",L1001)+1)=4,FIND(".",L1001)&gt;=2,FIND(".",L1001)&lt;=3)),FIND(".",L1001,FIND(".",L1001)+1)-FIND(".",L1001)&gt;=2,FIND(".",L1001,FIND(".",L1001)+1)-FIND(".",L1001)&lt;=3,P1001&gt;=2000,P1001&lt;=2100,YEAR(S1001)=P1001,MONTH(S1001)=Q1001,DAY(S1001)=R1001),S1001,0)),0)</ns0:f>
        <ns0:v>0</ns0:v>
      </ns0:c>
      <ns0:c r="U1001" s="0" t="str">
        <ns0:f>IF(Bookings!C1001="","Full day",Bookings!C1001)</ns0:f>
        <ns0:v>Full day</ns0:v>
      </ns0:c>
      <ns0:c r="V1001" s="0" t="str">
        <ns0:f>IF(Bookings!E1001="","Full day",Bookings!E1001)</ns0:f>
        <ns0:v>Full day</ns0:v>
      </ns0:c>
      <ns0:c r="W1001" s="0">
        <ns0:f>IF(J1001=0,0,J1001+IF(U1001="PM",1,0))</ns0:f>
        <ns0:v>0</ns0:v>
      </ns0:c>
      <ns0:c r="X1001" s="0">
        <ns0:f>IF(T1001=0,0,T1001-IF(V1001="PM",1,0))</ns0:f>
        <ns0:v>0</ns0:v>
      </ns0:c>
      <ns0:c r="Y1001" s="0">
        <ns0:f>IF(J1001=0,0,J1001+IF(U1001="AM",1,0))</ns0:f>
        <ns0:v>0</ns0:v>
      </ns0:c>
      <ns0:c r="Z1001" s="0">
        <ns0:f>IF(T1001=0,0,T1001-IF(V1001="AM",1,0))</ns0:f>
        <ns0:v>0</ns0:v>
      </ns0:c>
      <ns0:c r="AA1001" s="0">
        <ns0:f>IFERROR(IF(AND(J1001&gt;0,'_Engine'!C1001&gt;0,MID('_Engine'!W1001,WEEKDAY(J1001,2),1)="W",COUNTIF(Settings!$F$18:$F$67,J1001)=0),1,0),0)</ns0:f>
        <ns0:v>0</ns0:v>
      </ns0:c>
      <ns0:c r="AB1001" s="0">
        <ns0:f>IFERROR(IF(AND(T1001&gt;0,'_Engine'!C1001&gt;0,MID('_Engine'!W1001,WEEKDAY(T1001,2),1)="W",COUNTIF(Settings!$F$18:$F$67,T1001)=0),1,0),0)</ns0:f>
        <ns0:v>0</ns0:v>
      </ns0:c>
      <ns0:c r="AC1001" s="0">
        <ns0:f>IF(AND(J1001&gt;0,T1001&gt;0,W1001&lt;=X1001),1,0)</ns0:f>
        <ns0:v>0</ns0:v>
      </ns0:c>
      <ns0:c r="AD1001" s="0">
        <ns0:f>IF(AND(J1001&gt;0,T1001&gt;0,Y1001&lt;=Z1001),1,0)</ns0:f>
        <ns0:v>0</ns0:v>
      </ns0:c>
    </ns0:row>
    <ns0:row r="1002">
      <ns0:c r="A1002" s="0">
        <ns0:f>IFERROR(IF(ISNUMBER(Bookings!B1002),"",TRIM(Bookings!B1002&amp;"")),"")</ns0:f>
      </ns0:c>
      <ns0:c r="B1002" s="0">
        <ns0:f>IFERROR(SUBSTITUTE(SUBSTITUTE(A1002,"/","."),"-","."),"")</ns0:f>
      </ns0:c>
      <ns0:c r="C1002" s="0">
        <ns0:f>IFERROR(LEFT(B1002,FIND(".",B1002)-1),"")</ns0:f>
      </ns0:c>
      <ns0:c r="D1002" s="0">
        <ns0:f>IFERROR(MID(B1002,FIND(".",B1002)+1,FIND(".",B1002,FIND(".",B1002)+1)-FIND(".",B1002)-1),"")</ns0:f>
      </ns0:c>
      <ns0:c r="E1002" s="0">
        <ns0:f>IFERROR(MID(B1002,FIND(".",B1002,FIND(".",B1002)+1)+1,99),"")</ns0:f>
        <ns0:v>99</ns0:v>
      </ns0:c>
      <ns0:c r="F1002" s="0">
        <ns0:f>IFERROR(IF(FIND(".",B1002)=5,--C1002,--E1002),0)</ns0:f>
        <ns0:v>0</ns0:v>
      </ns0:c>
      <ns0:c r="G1002" s="0">
        <ns0:f>IFERROR(--D1002,0)</ns0:f>
        <ns0:v>0</ns0:v>
      </ns0:c>
      <ns0:c r="H1002" s="0">
        <ns0:f>IFERROR(IF(FIND(".",B1002)=5,--E1002,--C1002),0)</ns0:f>
        <ns0:v>0</ns0:v>
      </ns0:c>
      <ns0:c r="I1002" s="0">
        <ns0:f>IFERROR(IF(AND(F1002&gt;=2000,F1002&lt;=2100,G1002&gt;=1,G1002&lt;=12,H1002&gt;=1,H1002&lt;=31),DATE(F1002,G1002,H1002),0),0)</ns0:f>
        <ns0:v>0</ns0:v>
      </ns0:c>
      <ns0:c r="J1002" s="0">
        <ns0:f>IFERROR(IF(ISNUMBER(Bookings!B1002),IF(AND(Bookings!B1002=INT(Bookings!B1002),Bookings!B1002&gt;=DATE(2000,1,1),Bookings!B1002&lt;=DATE(2100,12,31)),Bookings!B1002,0),IF(AND(A1002&lt;&gt;"",LEN("x"&amp;B1002)-LEN(SUBSTITUTE("x"&amp;B1002,".",""))=2,OR(1&gt;LEN(B1002),MID(B1002,1,1)=".",ISNUMBER(FIND("x"&amp;MID(B1002,1,1),"x0x1x2x3x4x5x6x7x8x9"))),OR(2&gt;LEN(B1002),MID(B1002,2,1)=".",ISNUMBER(FIND("x"&amp;MID(B1002,2,1),"x0x1x2x3x4x5x6x7x8x9"))),OR(3&gt;LEN(B1002),MID(B1002,3,1)=".",ISNUMBER(FIND("x"&amp;MID(B1002,3,1),"x0x1x2x3x4x5x6x7x8x9"))),OR(4&gt;LEN(B1002),MID(B1002,4,1)=".",ISNUMBER(FIND("x"&amp;MID(B1002,4,1),"x0x1x2x3x4x5x6x7x8x9"))),OR(5&gt;LEN(B1002),MID(B1002,5,1)=".",ISNUMBER(FIND("x"&amp;MID(B1002,5,1),"x0x1x2x3x4x5x6x7x8x9"))),OR(6&gt;LEN(B1002),MID(B1002,6,1)=".",ISNUMBER(FIND("x"&amp;MID(B1002,6,1),"x0x1x2x3x4x5x6x7x8x9"))),OR(7&gt;LEN(B1002),MID(B1002,7,1)=".",ISNUMBER(FIND("x"&amp;MID(B1002,7,1),"x0x1x2x3x4x5x6x7x8x9"))),OR(8&gt;LEN(B1002),MID(B1002,8,1)=".",ISNUMBER(FIND("x"&amp;MID(B1002,8,1),"x0x1x2x3x4x5x6x7x8x9"))),OR(9&gt;LEN(B1002),MID(B1002,9,1)=".",ISNUMBER(FIND("x"&amp;MID(B1002,9,1),"x0x1x2x3x4x5x6x7x8x9"))),OR(10&gt;LEN(B1002),MID(B1002,10,1)=".",ISNUMBER(FIND("x"&amp;MID(B1002,10,1),"x0x1x2x3x4x5x6x7x8x9"))),OR(AND(FIND(".",B1002)=5,LEN(B1002)-FIND(".",B1002,FIND(".",B1002)+1)&gt;=1,LEN(B1002)-FIND(".",B1002,FIND(".",B1002)+1)&lt;=2),AND(LEN(B1002)-FIND(".",B1002,FIND(".",B1002)+1)=4,FIND(".",B1002)&gt;=2,FIND(".",B1002)&lt;=3)),FIND(".",B1002,FIND(".",B1002)+1)-FIND(".",B1002)&gt;=2,FIND(".",B1002,FIND(".",B1002)+1)-FIND(".",B1002)&lt;=3,F1002&gt;=2000,F1002&lt;=2100,YEAR(I1002)=F1002,MONTH(I1002)=G1002,DAY(I1002)=H1002),I1002,0)),0)</ns0:f>
        <ns0:v>0</ns0:v>
      </ns0:c>
      <ns0:c r="K1002" s="0">
        <ns0:f>IFERROR(IF(ISNUMBER(Bookings!D1002),"",TRIM(Bookings!D1002&amp;"")),"")</ns0:f>
      </ns0:c>
      <ns0:c r="L1002" s="0">
        <ns0:f>IFERROR(SUBSTITUTE(SUBSTITUTE(K1002,"/","."),"-","."),"")</ns0:f>
      </ns0:c>
      <ns0:c r="M1002" s="0">
        <ns0:f>IFERROR(LEFT(L1002,FIND(".",L1002)-1),"")</ns0:f>
      </ns0:c>
      <ns0:c r="N1002" s="0">
        <ns0:f>IFERROR(MID(L1002,FIND(".",L1002)+1,FIND(".",L1002,FIND(".",L1002)+1)-FIND(".",L1002)-1),"")</ns0:f>
      </ns0:c>
      <ns0:c r="O1002" s="0">
        <ns0:f>IFERROR(MID(L1002,FIND(".",L1002,FIND(".",L1002)+1)+1,99),"")</ns0:f>
        <ns0:v>99</ns0:v>
      </ns0:c>
      <ns0:c r="P1002" s="0">
        <ns0:f>IFERROR(IF(FIND(".",L1002)=5,--M1002,--O1002),0)</ns0:f>
        <ns0:v>0</ns0:v>
      </ns0:c>
      <ns0:c r="Q1002" s="0">
        <ns0:f>IFERROR(--N1002,0)</ns0:f>
        <ns0:v>0</ns0:v>
      </ns0:c>
      <ns0:c r="R1002" s="0">
        <ns0:f>IFERROR(IF(FIND(".",L1002)=5,--O1002,--M1002),0)</ns0:f>
        <ns0:v>0</ns0:v>
      </ns0:c>
      <ns0:c r="S1002" s="0">
        <ns0:f>IFERROR(IF(AND(P1002&gt;=2000,P1002&lt;=2100,Q1002&gt;=1,Q1002&lt;=12,R1002&gt;=1,R1002&lt;=31),DATE(P1002,Q1002,R1002),0),0)</ns0:f>
        <ns0:v>0</ns0:v>
      </ns0:c>
      <ns0:c r="T1002" s="0">
        <ns0:f>IFERROR(IF(ISNUMBER(Bookings!D1002),IF(AND(Bookings!D1002=INT(Bookings!D1002),Bookings!D1002&gt;=DATE(2000,1,1),Bookings!D1002&lt;=DATE(2100,12,31)),Bookings!D1002,0),IF(AND(K1002&lt;&gt;"",LEN("x"&amp;L1002)-LEN(SUBSTITUTE("x"&amp;L1002,".",""))=2,OR(1&gt;LEN(L1002),MID(L1002,1,1)=".",ISNUMBER(FIND("x"&amp;MID(L1002,1,1),"x0x1x2x3x4x5x6x7x8x9"))),OR(2&gt;LEN(L1002),MID(L1002,2,1)=".",ISNUMBER(FIND("x"&amp;MID(L1002,2,1),"x0x1x2x3x4x5x6x7x8x9"))),OR(3&gt;LEN(L1002),MID(L1002,3,1)=".",ISNUMBER(FIND("x"&amp;MID(L1002,3,1),"x0x1x2x3x4x5x6x7x8x9"))),OR(4&gt;LEN(L1002),MID(L1002,4,1)=".",ISNUMBER(FIND("x"&amp;MID(L1002,4,1),"x0x1x2x3x4x5x6x7x8x9"))),OR(5&gt;LEN(L1002),MID(L1002,5,1)=".",ISNUMBER(FIND("x"&amp;MID(L1002,5,1),"x0x1x2x3x4x5x6x7x8x9"))),OR(6&gt;LEN(L1002),MID(L1002,6,1)=".",ISNUMBER(FIND("x"&amp;MID(L1002,6,1),"x0x1x2x3x4x5x6x7x8x9"))),OR(7&gt;LEN(L1002),MID(L1002,7,1)=".",ISNUMBER(FIND("x"&amp;MID(L1002,7,1),"x0x1x2x3x4x5x6x7x8x9"))),OR(8&gt;LEN(L1002),MID(L1002,8,1)=".",ISNUMBER(FIND("x"&amp;MID(L1002,8,1),"x0x1x2x3x4x5x6x7x8x9"))),OR(9&gt;LEN(L1002),MID(L1002,9,1)=".",ISNUMBER(FIND("x"&amp;MID(L1002,9,1),"x0x1x2x3x4x5x6x7x8x9"))),OR(10&gt;LEN(L1002),MID(L1002,10,1)=".",ISNUMBER(FIND("x"&amp;MID(L1002,10,1),"x0x1x2x3x4x5x6x7x8x9"))),OR(AND(FIND(".",L1002)=5,LEN(L1002)-FIND(".",L1002,FIND(".",L1002)+1)&gt;=1,LEN(L1002)-FIND(".",L1002,FIND(".",L1002)+1)&lt;=2),AND(LEN(L1002)-FIND(".",L1002,FIND(".",L1002)+1)=4,FIND(".",L1002)&gt;=2,FIND(".",L1002)&lt;=3)),FIND(".",L1002,FIND(".",L1002)+1)-FIND(".",L1002)&gt;=2,FIND(".",L1002,FIND(".",L1002)+1)-FIND(".",L1002)&lt;=3,P1002&gt;=2000,P1002&lt;=2100,YEAR(S1002)=P1002,MONTH(S1002)=Q1002,DAY(S1002)=R1002),S1002,0)),0)</ns0:f>
        <ns0:v>0</ns0:v>
      </ns0:c>
      <ns0:c r="U1002" s="0" t="str">
        <ns0:f>IF(Bookings!C1002="","Full day",Bookings!C1002)</ns0:f>
        <ns0:v>Full day</ns0:v>
      </ns0:c>
      <ns0:c r="V1002" s="0" t="str">
        <ns0:f>IF(Bookings!E1002="","Full day",Bookings!E1002)</ns0:f>
        <ns0:v>Full day</ns0:v>
      </ns0:c>
      <ns0:c r="W1002" s="0">
        <ns0:f>IF(J1002=0,0,J1002+IF(U1002="PM",1,0))</ns0:f>
        <ns0:v>0</ns0:v>
      </ns0:c>
      <ns0:c r="X1002" s="0">
        <ns0:f>IF(T1002=0,0,T1002-IF(V1002="PM",1,0))</ns0:f>
        <ns0:v>0</ns0:v>
      </ns0:c>
      <ns0:c r="Y1002" s="0">
        <ns0:f>IF(J1002=0,0,J1002+IF(U1002="AM",1,0))</ns0:f>
        <ns0:v>0</ns0:v>
      </ns0:c>
      <ns0:c r="Z1002" s="0">
        <ns0:f>IF(T1002=0,0,T1002-IF(V1002="AM",1,0))</ns0:f>
        <ns0:v>0</ns0:v>
      </ns0:c>
      <ns0:c r="AA1002" s="0">
        <ns0:f>IFERROR(IF(AND(J1002&gt;0,'_Engine'!C1002&gt;0,MID('_Engine'!W1002,WEEKDAY(J1002,2),1)="W",COUNTIF(Settings!$F$18:$F$67,J1002)=0),1,0),0)</ns0:f>
        <ns0:v>0</ns0:v>
      </ns0:c>
      <ns0:c r="AB1002" s="0">
        <ns0:f>IFERROR(IF(AND(T1002&gt;0,'_Engine'!C1002&gt;0,MID('_Engine'!W1002,WEEKDAY(T1002,2),1)="W",COUNTIF(Settings!$F$18:$F$67,T1002)=0),1,0),0)</ns0:f>
        <ns0:v>0</ns0:v>
      </ns0:c>
      <ns0:c r="AC1002" s="0">
        <ns0:f>IF(AND(J1002&gt;0,T1002&gt;0,W1002&lt;=X1002),1,0)</ns0:f>
        <ns0:v>0</ns0:v>
      </ns0:c>
      <ns0:c r="AD1002" s="0">
        <ns0:f>IF(AND(J1002&gt;0,T1002&gt;0,Y1002&lt;=Z1002),1,0)</ns0:f>
        <ns0:v>0</ns0:v>
      </ns0:c>
    </ns0:row>
    <ns0:row r="1003">
      <ns0:c r="A1003" s="0">
        <ns0:f>IFERROR(IF(ISNUMBER(Bookings!B1003),"",TRIM(Bookings!B1003&amp;"")),"")</ns0:f>
      </ns0:c>
      <ns0:c r="B1003" s="0">
        <ns0:f>IFERROR(SUBSTITUTE(SUBSTITUTE(A1003,"/","."),"-","."),"")</ns0:f>
      </ns0:c>
      <ns0:c r="C1003" s="0">
        <ns0:f>IFERROR(LEFT(B1003,FIND(".",B1003)-1),"")</ns0:f>
      </ns0:c>
      <ns0:c r="D1003" s="0">
        <ns0:f>IFERROR(MID(B1003,FIND(".",B1003)+1,FIND(".",B1003,FIND(".",B1003)+1)-FIND(".",B1003)-1),"")</ns0:f>
      </ns0:c>
      <ns0:c r="E1003" s="0">
        <ns0:f>IFERROR(MID(B1003,FIND(".",B1003,FIND(".",B1003)+1)+1,99),"")</ns0:f>
        <ns0:v>99</ns0:v>
      </ns0:c>
      <ns0:c r="F1003" s="0">
        <ns0:f>IFERROR(IF(FIND(".",B1003)=5,--C1003,--E1003),0)</ns0:f>
        <ns0:v>0</ns0:v>
      </ns0:c>
      <ns0:c r="G1003" s="0">
        <ns0:f>IFERROR(--D1003,0)</ns0:f>
        <ns0:v>0</ns0:v>
      </ns0:c>
      <ns0:c r="H1003" s="0">
        <ns0:f>IFERROR(IF(FIND(".",B1003)=5,--E1003,--C1003),0)</ns0:f>
        <ns0:v>0</ns0:v>
      </ns0:c>
      <ns0:c r="I1003" s="0">
        <ns0:f>IFERROR(IF(AND(F1003&gt;=2000,F1003&lt;=2100,G1003&gt;=1,G1003&lt;=12,H1003&gt;=1,H1003&lt;=31),DATE(F1003,G1003,H1003),0),0)</ns0:f>
        <ns0:v>0</ns0:v>
      </ns0:c>
      <ns0:c r="J1003" s="0">
        <ns0:f>IFERROR(IF(ISNUMBER(Bookings!B1003),IF(AND(Bookings!B1003=INT(Bookings!B1003),Bookings!B1003&gt;=DATE(2000,1,1),Bookings!B1003&lt;=DATE(2100,12,31)),Bookings!B1003,0),IF(AND(A1003&lt;&gt;"",LEN("x"&amp;B1003)-LEN(SUBSTITUTE("x"&amp;B1003,".",""))=2,OR(1&gt;LEN(B1003),MID(B1003,1,1)=".",ISNUMBER(FIND("x"&amp;MID(B1003,1,1),"x0x1x2x3x4x5x6x7x8x9"))),OR(2&gt;LEN(B1003),MID(B1003,2,1)=".",ISNUMBER(FIND("x"&amp;MID(B1003,2,1),"x0x1x2x3x4x5x6x7x8x9"))),OR(3&gt;LEN(B1003),MID(B1003,3,1)=".",ISNUMBER(FIND("x"&amp;MID(B1003,3,1),"x0x1x2x3x4x5x6x7x8x9"))),OR(4&gt;LEN(B1003),MID(B1003,4,1)=".",ISNUMBER(FIND("x"&amp;MID(B1003,4,1),"x0x1x2x3x4x5x6x7x8x9"))),OR(5&gt;LEN(B1003),MID(B1003,5,1)=".",ISNUMBER(FIND("x"&amp;MID(B1003,5,1),"x0x1x2x3x4x5x6x7x8x9"))),OR(6&gt;LEN(B1003),MID(B1003,6,1)=".",ISNUMBER(FIND("x"&amp;MID(B1003,6,1),"x0x1x2x3x4x5x6x7x8x9"))),OR(7&gt;LEN(B1003),MID(B1003,7,1)=".",ISNUMBER(FIND("x"&amp;MID(B1003,7,1),"x0x1x2x3x4x5x6x7x8x9"))),OR(8&gt;LEN(B1003),MID(B1003,8,1)=".",ISNUMBER(FIND("x"&amp;MID(B1003,8,1),"x0x1x2x3x4x5x6x7x8x9"))),OR(9&gt;LEN(B1003),MID(B1003,9,1)=".",ISNUMBER(FIND("x"&amp;MID(B1003,9,1),"x0x1x2x3x4x5x6x7x8x9"))),OR(10&gt;LEN(B1003),MID(B1003,10,1)=".",ISNUMBER(FIND("x"&amp;MID(B1003,10,1),"x0x1x2x3x4x5x6x7x8x9"))),OR(AND(FIND(".",B1003)=5,LEN(B1003)-FIND(".",B1003,FIND(".",B1003)+1)&gt;=1,LEN(B1003)-FIND(".",B1003,FIND(".",B1003)+1)&lt;=2),AND(LEN(B1003)-FIND(".",B1003,FIND(".",B1003)+1)=4,FIND(".",B1003)&gt;=2,FIND(".",B1003)&lt;=3)),FIND(".",B1003,FIND(".",B1003)+1)-FIND(".",B1003)&gt;=2,FIND(".",B1003,FIND(".",B1003)+1)-FIND(".",B1003)&lt;=3,F1003&gt;=2000,F1003&lt;=2100,YEAR(I1003)=F1003,MONTH(I1003)=G1003,DAY(I1003)=H1003),I1003,0)),0)</ns0:f>
        <ns0:v>0</ns0:v>
      </ns0:c>
      <ns0:c r="K1003" s="0">
        <ns0:f>IFERROR(IF(ISNUMBER(Bookings!D1003),"",TRIM(Bookings!D1003&amp;"")),"")</ns0:f>
      </ns0:c>
      <ns0:c r="L1003" s="0">
        <ns0:f>IFERROR(SUBSTITUTE(SUBSTITUTE(K1003,"/","."),"-","."),"")</ns0:f>
      </ns0:c>
      <ns0:c r="M1003" s="0">
        <ns0:f>IFERROR(LEFT(L1003,FIND(".",L1003)-1),"")</ns0:f>
      </ns0:c>
      <ns0:c r="N1003" s="0">
        <ns0:f>IFERROR(MID(L1003,FIND(".",L1003)+1,FIND(".",L1003,FIND(".",L1003)+1)-FIND(".",L1003)-1),"")</ns0:f>
      </ns0:c>
      <ns0:c r="O1003" s="0">
        <ns0:f>IFERROR(MID(L1003,FIND(".",L1003,FIND(".",L1003)+1)+1,99),"")</ns0:f>
        <ns0:v>99</ns0:v>
      </ns0:c>
      <ns0:c r="P1003" s="0">
        <ns0:f>IFERROR(IF(FIND(".",L1003)=5,--M1003,--O1003),0)</ns0:f>
        <ns0:v>0</ns0:v>
      </ns0:c>
      <ns0:c r="Q1003" s="0">
        <ns0:f>IFERROR(--N1003,0)</ns0:f>
        <ns0:v>0</ns0:v>
      </ns0:c>
      <ns0:c r="R1003" s="0">
        <ns0:f>IFERROR(IF(FIND(".",L1003)=5,--O1003,--M1003),0)</ns0:f>
        <ns0:v>0</ns0:v>
      </ns0:c>
      <ns0:c r="S1003" s="0">
        <ns0:f>IFERROR(IF(AND(P1003&gt;=2000,P1003&lt;=2100,Q1003&gt;=1,Q1003&lt;=12,R1003&gt;=1,R1003&lt;=31),DATE(P1003,Q1003,R1003),0),0)</ns0:f>
        <ns0:v>0</ns0:v>
      </ns0:c>
      <ns0:c r="T1003" s="0">
        <ns0:f>IFERROR(IF(ISNUMBER(Bookings!D1003),IF(AND(Bookings!D1003=INT(Bookings!D1003),Bookings!D1003&gt;=DATE(2000,1,1),Bookings!D1003&lt;=DATE(2100,12,31)),Bookings!D1003,0),IF(AND(K1003&lt;&gt;"",LEN("x"&amp;L1003)-LEN(SUBSTITUTE("x"&amp;L1003,".",""))=2,OR(1&gt;LEN(L1003),MID(L1003,1,1)=".",ISNUMBER(FIND("x"&amp;MID(L1003,1,1),"x0x1x2x3x4x5x6x7x8x9"))),OR(2&gt;LEN(L1003),MID(L1003,2,1)=".",ISNUMBER(FIND("x"&amp;MID(L1003,2,1),"x0x1x2x3x4x5x6x7x8x9"))),OR(3&gt;LEN(L1003),MID(L1003,3,1)=".",ISNUMBER(FIND("x"&amp;MID(L1003,3,1),"x0x1x2x3x4x5x6x7x8x9"))),OR(4&gt;LEN(L1003),MID(L1003,4,1)=".",ISNUMBER(FIND("x"&amp;MID(L1003,4,1),"x0x1x2x3x4x5x6x7x8x9"))),OR(5&gt;LEN(L1003),MID(L1003,5,1)=".",ISNUMBER(FIND("x"&amp;MID(L1003,5,1),"x0x1x2x3x4x5x6x7x8x9"))),OR(6&gt;LEN(L1003),MID(L1003,6,1)=".",ISNUMBER(FIND("x"&amp;MID(L1003,6,1),"x0x1x2x3x4x5x6x7x8x9"))),OR(7&gt;LEN(L1003),MID(L1003,7,1)=".",ISNUMBER(FIND("x"&amp;MID(L1003,7,1),"x0x1x2x3x4x5x6x7x8x9"))),OR(8&gt;LEN(L1003),MID(L1003,8,1)=".",ISNUMBER(FIND("x"&amp;MID(L1003,8,1),"x0x1x2x3x4x5x6x7x8x9"))),OR(9&gt;LEN(L1003),MID(L1003,9,1)=".",ISNUMBER(FIND("x"&amp;MID(L1003,9,1),"x0x1x2x3x4x5x6x7x8x9"))),OR(10&gt;LEN(L1003),MID(L1003,10,1)=".",ISNUMBER(FIND("x"&amp;MID(L1003,10,1),"x0x1x2x3x4x5x6x7x8x9"))),OR(AND(FIND(".",L1003)=5,LEN(L1003)-FIND(".",L1003,FIND(".",L1003)+1)&gt;=1,LEN(L1003)-FIND(".",L1003,FIND(".",L1003)+1)&lt;=2),AND(LEN(L1003)-FIND(".",L1003,FIND(".",L1003)+1)=4,FIND(".",L1003)&gt;=2,FIND(".",L1003)&lt;=3)),FIND(".",L1003,FIND(".",L1003)+1)-FIND(".",L1003)&gt;=2,FIND(".",L1003,FIND(".",L1003)+1)-FIND(".",L1003)&lt;=3,P1003&gt;=2000,P1003&lt;=2100,YEAR(S1003)=P1003,MONTH(S1003)=Q1003,DAY(S1003)=R1003),S1003,0)),0)</ns0:f>
        <ns0:v>0</ns0:v>
      </ns0:c>
      <ns0:c r="U1003" s="0" t="str">
        <ns0:f>IF(Bookings!C1003="","Full day",Bookings!C1003)</ns0:f>
        <ns0:v>Full day</ns0:v>
      </ns0:c>
      <ns0:c r="V1003" s="0" t="str">
        <ns0:f>IF(Bookings!E1003="","Full day",Bookings!E1003)</ns0:f>
        <ns0:v>Full day</ns0:v>
      </ns0:c>
      <ns0:c r="W1003" s="0">
        <ns0:f>IF(J1003=0,0,J1003+IF(U1003="PM",1,0))</ns0:f>
        <ns0:v>0</ns0:v>
      </ns0:c>
      <ns0:c r="X1003" s="0">
        <ns0:f>IF(T1003=0,0,T1003-IF(V1003="PM",1,0))</ns0:f>
        <ns0:v>0</ns0:v>
      </ns0:c>
      <ns0:c r="Y1003" s="0">
        <ns0:f>IF(J1003=0,0,J1003+IF(U1003="AM",1,0))</ns0:f>
        <ns0:v>0</ns0:v>
      </ns0:c>
      <ns0:c r="Z1003" s="0">
        <ns0:f>IF(T1003=0,0,T1003-IF(V1003="AM",1,0))</ns0:f>
        <ns0:v>0</ns0:v>
      </ns0:c>
      <ns0:c r="AA1003" s="0">
        <ns0:f>IFERROR(IF(AND(J1003&gt;0,'_Engine'!C1003&gt;0,MID('_Engine'!W1003,WEEKDAY(J1003,2),1)="W",COUNTIF(Settings!$F$18:$F$67,J1003)=0),1,0),0)</ns0:f>
        <ns0:v>0</ns0:v>
      </ns0:c>
      <ns0:c r="AB1003" s="0">
        <ns0:f>IFERROR(IF(AND(T1003&gt;0,'_Engine'!C1003&gt;0,MID('_Engine'!W1003,WEEKDAY(T1003,2),1)="W",COUNTIF(Settings!$F$18:$F$67,T1003)=0),1,0),0)</ns0:f>
        <ns0:v>0</ns0:v>
      </ns0:c>
      <ns0:c r="AC1003" s="0">
        <ns0:f>IF(AND(J1003&gt;0,T1003&gt;0,W1003&lt;=X1003),1,0)</ns0:f>
        <ns0:v>0</ns0:v>
      </ns0:c>
      <ns0:c r="AD1003" s="0">
        <ns0:f>IF(AND(J1003&gt;0,T1003&gt;0,Y1003&lt;=Z1003),1,0)</ns0:f>
        <ns0:v>0</ns0:v>
      </ns0:c>
    </ns0:row>
    <ns0:row r="1004">
      <ns0:c r="A1004" s="0">
        <ns0:f>IFERROR(IF(ISNUMBER(Bookings!B1004),"",TRIM(Bookings!B1004&amp;"")),"")</ns0:f>
      </ns0:c>
      <ns0:c r="B1004" s="0">
        <ns0:f>IFERROR(SUBSTITUTE(SUBSTITUTE(A1004,"/","."),"-","."),"")</ns0:f>
      </ns0:c>
      <ns0:c r="C1004" s="0">
        <ns0:f>IFERROR(LEFT(B1004,FIND(".",B1004)-1),"")</ns0:f>
      </ns0:c>
      <ns0:c r="D1004" s="0">
        <ns0:f>IFERROR(MID(B1004,FIND(".",B1004)+1,FIND(".",B1004,FIND(".",B1004)+1)-FIND(".",B1004)-1),"")</ns0:f>
      </ns0:c>
      <ns0:c r="E1004" s="0">
        <ns0:f>IFERROR(MID(B1004,FIND(".",B1004,FIND(".",B1004)+1)+1,99),"")</ns0:f>
        <ns0:v>99</ns0:v>
      </ns0:c>
      <ns0:c r="F1004" s="0">
        <ns0:f>IFERROR(IF(FIND(".",B1004)=5,--C1004,--E1004),0)</ns0:f>
        <ns0:v>0</ns0:v>
      </ns0:c>
      <ns0:c r="G1004" s="0">
        <ns0:f>IFERROR(--D1004,0)</ns0:f>
        <ns0:v>0</ns0:v>
      </ns0:c>
      <ns0:c r="H1004" s="0">
        <ns0:f>IFERROR(IF(FIND(".",B1004)=5,--E1004,--C1004),0)</ns0:f>
        <ns0:v>0</ns0:v>
      </ns0:c>
      <ns0:c r="I1004" s="0">
        <ns0:f>IFERROR(IF(AND(F1004&gt;=2000,F1004&lt;=2100,G1004&gt;=1,G1004&lt;=12,H1004&gt;=1,H1004&lt;=31),DATE(F1004,G1004,H1004),0),0)</ns0:f>
        <ns0:v>0</ns0:v>
      </ns0:c>
      <ns0:c r="J1004" s="0">
        <ns0:f>IFERROR(IF(ISNUMBER(Bookings!B1004),IF(AND(Bookings!B1004=INT(Bookings!B1004),Bookings!B1004&gt;=DATE(2000,1,1),Bookings!B1004&lt;=DATE(2100,12,31)),Bookings!B1004,0),IF(AND(A1004&lt;&gt;"",LEN("x"&amp;B1004)-LEN(SUBSTITUTE("x"&amp;B1004,".",""))=2,OR(1&gt;LEN(B1004),MID(B1004,1,1)=".",ISNUMBER(FIND("x"&amp;MID(B1004,1,1),"x0x1x2x3x4x5x6x7x8x9"))),OR(2&gt;LEN(B1004),MID(B1004,2,1)=".",ISNUMBER(FIND("x"&amp;MID(B1004,2,1),"x0x1x2x3x4x5x6x7x8x9"))),OR(3&gt;LEN(B1004),MID(B1004,3,1)=".",ISNUMBER(FIND("x"&amp;MID(B1004,3,1),"x0x1x2x3x4x5x6x7x8x9"))),OR(4&gt;LEN(B1004),MID(B1004,4,1)=".",ISNUMBER(FIND("x"&amp;MID(B1004,4,1),"x0x1x2x3x4x5x6x7x8x9"))),OR(5&gt;LEN(B1004),MID(B1004,5,1)=".",ISNUMBER(FIND("x"&amp;MID(B1004,5,1),"x0x1x2x3x4x5x6x7x8x9"))),OR(6&gt;LEN(B1004),MID(B1004,6,1)=".",ISNUMBER(FIND("x"&amp;MID(B1004,6,1),"x0x1x2x3x4x5x6x7x8x9"))),OR(7&gt;LEN(B1004),MID(B1004,7,1)=".",ISNUMBER(FIND("x"&amp;MID(B1004,7,1),"x0x1x2x3x4x5x6x7x8x9"))),OR(8&gt;LEN(B1004),MID(B1004,8,1)=".",ISNUMBER(FIND("x"&amp;MID(B1004,8,1),"x0x1x2x3x4x5x6x7x8x9"))),OR(9&gt;LEN(B1004),MID(B1004,9,1)=".",ISNUMBER(FIND("x"&amp;MID(B1004,9,1),"x0x1x2x3x4x5x6x7x8x9"))),OR(10&gt;LEN(B1004),MID(B1004,10,1)=".",ISNUMBER(FIND("x"&amp;MID(B1004,10,1),"x0x1x2x3x4x5x6x7x8x9"))),OR(AND(FIND(".",B1004)=5,LEN(B1004)-FIND(".",B1004,FIND(".",B1004)+1)&gt;=1,LEN(B1004)-FIND(".",B1004,FIND(".",B1004)+1)&lt;=2),AND(LEN(B1004)-FIND(".",B1004,FIND(".",B1004)+1)=4,FIND(".",B1004)&gt;=2,FIND(".",B1004)&lt;=3)),FIND(".",B1004,FIND(".",B1004)+1)-FIND(".",B1004)&gt;=2,FIND(".",B1004,FIND(".",B1004)+1)-FIND(".",B1004)&lt;=3,F1004&gt;=2000,F1004&lt;=2100,YEAR(I1004)=F1004,MONTH(I1004)=G1004,DAY(I1004)=H1004),I1004,0)),0)</ns0:f>
        <ns0:v>0</ns0:v>
      </ns0:c>
      <ns0:c r="K1004" s="0">
        <ns0:f>IFERROR(IF(ISNUMBER(Bookings!D1004),"",TRIM(Bookings!D1004&amp;"")),"")</ns0:f>
      </ns0:c>
      <ns0:c r="L1004" s="0">
        <ns0:f>IFERROR(SUBSTITUTE(SUBSTITUTE(K1004,"/","."),"-","."),"")</ns0:f>
      </ns0:c>
      <ns0:c r="M1004" s="0">
        <ns0:f>IFERROR(LEFT(L1004,FIND(".",L1004)-1),"")</ns0:f>
      </ns0:c>
      <ns0:c r="N1004" s="0">
        <ns0:f>IFERROR(MID(L1004,FIND(".",L1004)+1,FIND(".",L1004,FIND(".",L1004)+1)-FIND(".",L1004)-1),"")</ns0:f>
      </ns0:c>
      <ns0:c r="O1004" s="0">
        <ns0:f>IFERROR(MID(L1004,FIND(".",L1004,FIND(".",L1004)+1)+1,99),"")</ns0:f>
        <ns0:v>99</ns0:v>
      </ns0:c>
      <ns0:c r="P1004" s="0">
        <ns0:f>IFERROR(IF(FIND(".",L1004)=5,--M1004,--O1004),0)</ns0:f>
        <ns0:v>0</ns0:v>
      </ns0:c>
      <ns0:c r="Q1004" s="0">
        <ns0:f>IFERROR(--N1004,0)</ns0:f>
        <ns0:v>0</ns0:v>
      </ns0:c>
      <ns0:c r="R1004" s="0">
        <ns0:f>IFERROR(IF(FIND(".",L1004)=5,--O1004,--M1004),0)</ns0:f>
        <ns0:v>0</ns0:v>
      </ns0:c>
      <ns0:c r="S1004" s="0">
        <ns0:f>IFERROR(IF(AND(P1004&gt;=2000,P1004&lt;=2100,Q1004&gt;=1,Q1004&lt;=12,R1004&gt;=1,R1004&lt;=31),DATE(P1004,Q1004,R1004),0),0)</ns0:f>
        <ns0:v>0</ns0:v>
      </ns0:c>
      <ns0:c r="T1004" s="0">
        <ns0:f>IFERROR(IF(ISNUMBER(Bookings!D1004),IF(AND(Bookings!D1004=INT(Bookings!D1004),Bookings!D1004&gt;=DATE(2000,1,1),Bookings!D1004&lt;=DATE(2100,12,31)),Bookings!D1004,0),IF(AND(K1004&lt;&gt;"",LEN("x"&amp;L1004)-LEN(SUBSTITUTE("x"&amp;L1004,".",""))=2,OR(1&gt;LEN(L1004),MID(L1004,1,1)=".",ISNUMBER(FIND("x"&amp;MID(L1004,1,1),"x0x1x2x3x4x5x6x7x8x9"))),OR(2&gt;LEN(L1004),MID(L1004,2,1)=".",ISNUMBER(FIND("x"&amp;MID(L1004,2,1),"x0x1x2x3x4x5x6x7x8x9"))),OR(3&gt;LEN(L1004),MID(L1004,3,1)=".",ISNUMBER(FIND("x"&amp;MID(L1004,3,1),"x0x1x2x3x4x5x6x7x8x9"))),OR(4&gt;LEN(L1004),MID(L1004,4,1)=".",ISNUMBER(FIND("x"&amp;MID(L1004,4,1),"x0x1x2x3x4x5x6x7x8x9"))),OR(5&gt;LEN(L1004),MID(L1004,5,1)=".",ISNUMBER(FIND("x"&amp;MID(L1004,5,1),"x0x1x2x3x4x5x6x7x8x9"))),OR(6&gt;LEN(L1004),MID(L1004,6,1)=".",ISNUMBER(FIND("x"&amp;MID(L1004,6,1),"x0x1x2x3x4x5x6x7x8x9"))),OR(7&gt;LEN(L1004),MID(L1004,7,1)=".",ISNUMBER(FIND("x"&amp;MID(L1004,7,1),"x0x1x2x3x4x5x6x7x8x9"))),OR(8&gt;LEN(L1004),MID(L1004,8,1)=".",ISNUMBER(FIND("x"&amp;MID(L1004,8,1),"x0x1x2x3x4x5x6x7x8x9"))),OR(9&gt;LEN(L1004),MID(L1004,9,1)=".",ISNUMBER(FIND("x"&amp;MID(L1004,9,1),"x0x1x2x3x4x5x6x7x8x9"))),OR(10&gt;LEN(L1004),MID(L1004,10,1)=".",ISNUMBER(FIND("x"&amp;MID(L1004,10,1),"x0x1x2x3x4x5x6x7x8x9"))),OR(AND(FIND(".",L1004)=5,LEN(L1004)-FIND(".",L1004,FIND(".",L1004)+1)&gt;=1,LEN(L1004)-FIND(".",L1004,FIND(".",L1004)+1)&lt;=2),AND(LEN(L1004)-FIND(".",L1004,FIND(".",L1004)+1)=4,FIND(".",L1004)&gt;=2,FIND(".",L1004)&lt;=3)),FIND(".",L1004,FIND(".",L1004)+1)-FIND(".",L1004)&gt;=2,FIND(".",L1004,FIND(".",L1004)+1)-FIND(".",L1004)&lt;=3,P1004&gt;=2000,P1004&lt;=2100,YEAR(S1004)=P1004,MONTH(S1004)=Q1004,DAY(S1004)=R1004),S1004,0)),0)</ns0:f>
        <ns0:v>0</ns0:v>
      </ns0:c>
      <ns0:c r="U1004" s="0" t="str">
        <ns0:f>IF(Bookings!C1004="","Full day",Bookings!C1004)</ns0:f>
        <ns0:v>Full day</ns0:v>
      </ns0:c>
      <ns0:c r="V1004" s="0" t="str">
        <ns0:f>IF(Bookings!E1004="","Full day",Bookings!E1004)</ns0:f>
        <ns0:v>Full day</ns0:v>
      </ns0:c>
      <ns0:c r="W1004" s="0">
        <ns0:f>IF(J1004=0,0,J1004+IF(U1004="PM",1,0))</ns0:f>
        <ns0:v>0</ns0:v>
      </ns0:c>
      <ns0:c r="X1004" s="0">
        <ns0:f>IF(T1004=0,0,T1004-IF(V1004="PM",1,0))</ns0:f>
        <ns0:v>0</ns0:v>
      </ns0:c>
      <ns0:c r="Y1004" s="0">
        <ns0:f>IF(J1004=0,0,J1004+IF(U1004="AM",1,0))</ns0:f>
        <ns0:v>0</ns0:v>
      </ns0:c>
      <ns0:c r="Z1004" s="0">
        <ns0:f>IF(T1004=0,0,T1004-IF(V1004="AM",1,0))</ns0:f>
        <ns0:v>0</ns0:v>
      </ns0:c>
      <ns0:c r="AA1004" s="0">
        <ns0:f>IFERROR(IF(AND(J1004&gt;0,'_Engine'!C1004&gt;0,MID('_Engine'!W1004,WEEKDAY(J1004,2),1)="W",COUNTIF(Settings!$F$18:$F$67,J1004)=0),1,0),0)</ns0:f>
        <ns0:v>0</ns0:v>
      </ns0:c>
      <ns0:c r="AB1004" s="0">
        <ns0:f>IFERROR(IF(AND(T1004&gt;0,'_Engine'!C1004&gt;0,MID('_Engine'!W1004,WEEKDAY(T1004,2),1)="W",COUNTIF(Settings!$F$18:$F$67,T1004)=0),1,0),0)</ns0:f>
        <ns0:v>0</ns0:v>
      </ns0:c>
      <ns0:c r="AC1004" s="0">
        <ns0:f>IF(AND(J1004&gt;0,T1004&gt;0,W1004&lt;=X1004),1,0)</ns0:f>
        <ns0:v>0</ns0:v>
      </ns0:c>
      <ns0:c r="AD1004" s="0">
        <ns0:f>IF(AND(J1004&gt;0,T1004&gt;0,Y1004&lt;=Z1004),1,0)</ns0:f>
        <ns0:v>0</ns0:v>
      </ns0:c>
    </ns0:row>
    <ns0:row r="1005">
      <ns0:c r="A1005" s="0">
        <ns0:f>IFERROR(IF(ISNUMBER(Bookings!B1005),"",TRIM(Bookings!B1005&amp;"")),"")</ns0:f>
      </ns0:c>
      <ns0:c r="B1005" s="0">
        <ns0:f>IFERROR(SUBSTITUTE(SUBSTITUTE(A1005,"/","."),"-","."),"")</ns0:f>
      </ns0:c>
      <ns0:c r="C1005" s="0">
        <ns0:f>IFERROR(LEFT(B1005,FIND(".",B1005)-1),"")</ns0:f>
      </ns0:c>
      <ns0:c r="D1005" s="0">
        <ns0:f>IFERROR(MID(B1005,FIND(".",B1005)+1,FIND(".",B1005,FIND(".",B1005)+1)-FIND(".",B1005)-1),"")</ns0:f>
      </ns0:c>
      <ns0:c r="E1005" s="0">
        <ns0:f>IFERROR(MID(B1005,FIND(".",B1005,FIND(".",B1005)+1)+1,99),"")</ns0:f>
        <ns0:v>99</ns0:v>
      </ns0:c>
      <ns0:c r="F1005" s="0">
        <ns0:f>IFERROR(IF(FIND(".",B1005)=5,--C1005,--E1005),0)</ns0:f>
        <ns0:v>0</ns0:v>
      </ns0:c>
      <ns0:c r="G1005" s="0">
        <ns0:f>IFERROR(--D1005,0)</ns0:f>
        <ns0:v>0</ns0:v>
      </ns0:c>
      <ns0:c r="H1005" s="0">
        <ns0:f>IFERROR(IF(FIND(".",B1005)=5,--E1005,--C1005),0)</ns0:f>
        <ns0:v>0</ns0:v>
      </ns0:c>
      <ns0:c r="I1005" s="0">
        <ns0:f>IFERROR(IF(AND(F1005&gt;=2000,F1005&lt;=2100,G1005&gt;=1,G1005&lt;=12,H1005&gt;=1,H1005&lt;=31),DATE(F1005,G1005,H1005),0),0)</ns0:f>
        <ns0:v>0</ns0:v>
      </ns0:c>
      <ns0:c r="J1005" s="0">
        <ns0:f>IFERROR(IF(ISNUMBER(Bookings!B1005),IF(AND(Bookings!B1005=INT(Bookings!B1005),Bookings!B1005&gt;=DATE(2000,1,1),Bookings!B1005&lt;=DATE(2100,12,31)),Bookings!B1005,0),IF(AND(A1005&lt;&gt;"",LEN("x"&amp;B1005)-LEN(SUBSTITUTE("x"&amp;B1005,".",""))=2,OR(1&gt;LEN(B1005),MID(B1005,1,1)=".",ISNUMBER(FIND("x"&amp;MID(B1005,1,1),"x0x1x2x3x4x5x6x7x8x9"))),OR(2&gt;LEN(B1005),MID(B1005,2,1)=".",ISNUMBER(FIND("x"&amp;MID(B1005,2,1),"x0x1x2x3x4x5x6x7x8x9"))),OR(3&gt;LEN(B1005),MID(B1005,3,1)=".",ISNUMBER(FIND("x"&amp;MID(B1005,3,1),"x0x1x2x3x4x5x6x7x8x9"))),OR(4&gt;LEN(B1005),MID(B1005,4,1)=".",ISNUMBER(FIND("x"&amp;MID(B1005,4,1),"x0x1x2x3x4x5x6x7x8x9"))),OR(5&gt;LEN(B1005),MID(B1005,5,1)=".",ISNUMBER(FIND("x"&amp;MID(B1005,5,1),"x0x1x2x3x4x5x6x7x8x9"))),OR(6&gt;LEN(B1005),MID(B1005,6,1)=".",ISNUMBER(FIND("x"&amp;MID(B1005,6,1),"x0x1x2x3x4x5x6x7x8x9"))),OR(7&gt;LEN(B1005),MID(B1005,7,1)=".",ISNUMBER(FIND("x"&amp;MID(B1005,7,1),"x0x1x2x3x4x5x6x7x8x9"))),OR(8&gt;LEN(B1005),MID(B1005,8,1)=".",ISNUMBER(FIND("x"&amp;MID(B1005,8,1),"x0x1x2x3x4x5x6x7x8x9"))),OR(9&gt;LEN(B1005),MID(B1005,9,1)=".",ISNUMBER(FIND("x"&amp;MID(B1005,9,1),"x0x1x2x3x4x5x6x7x8x9"))),OR(10&gt;LEN(B1005),MID(B1005,10,1)=".",ISNUMBER(FIND("x"&amp;MID(B1005,10,1),"x0x1x2x3x4x5x6x7x8x9"))),OR(AND(FIND(".",B1005)=5,LEN(B1005)-FIND(".",B1005,FIND(".",B1005)+1)&gt;=1,LEN(B1005)-FIND(".",B1005,FIND(".",B1005)+1)&lt;=2),AND(LEN(B1005)-FIND(".",B1005,FIND(".",B1005)+1)=4,FIND(".",B1005)&gt;=2,FIND(".",B1005)&lt;=3)),FIND(".",B1005,FIND(".",B1005)+1)-FIND(".",B1005)&gt;=2,FIND(".",B1005,FIND(".",B1005)+1)-FIND(".",B1005)&lt;=3,F1005&gt;=2000,F1005&lt;=2100,YEAR(I1005)=F1005,MONTH(I1005)=G1005,DAY(I1005)=H1005),I1005,0)),0)</ns0:f>
        <ns0:v>0</ns0:v>
      </ns0:c>
      <ns0:c r="K1005" s="0">
        <ns0:f>IFERROR(IF(ISNUMBER(Bookings!D1005),"",TRIM(Bookings!D1005&amp;"")),"")</ns0:f>
      </ns0:c>
      <ns0:c r="L1005" s="0">
        <ns0:f>IFERROR(SUBSTITUTE(SUBSTITUTE(K1005,"/","."),"-","."),"")</ns0:f>
      </ns0:c>
      <ns0:c r="M1005" s="0">
        <ns0:f>IFERROR(LEFT(L1005,FIND(".",L1005)-1),"")</ns0:f>
      </ns0:c>
      <ns0:c r="N1005" s="0">
        <ns0:f>IFERROR(MID(L1005,FIND(".",L1005)+1,FIND(".",L1005,FIND(".",L1005)+1)-FIND(".",L1005)-1),"")</ns0:f>
      </ns0:c>
      <ns0:c r="O1005" s="0">
        <ns0:f>IFERROR(MID(L1005,FIND(".",L1005,FIND(".",L1005)+1)+1,99),"")</ns0:f>
        <ns0:v>99</ns0:v>
      </ns0:c>
      <ns0:c r="P1005" s="0">
        <ns0:f>IFERROR(IF(FIND(".",L1005)=5,--M1005,--O1005),0)</ns0:f>
        <ns0:v>0</ns0:v>
      </ns0:c>
      <ns0:c r="Q1005" s="0">
        <ns0:f>IFERROR(--N1005,0)</ns0:f>
        <ns0:v>0</ns0:v>
      </ns0:c>
      <ns0:c r="R1005" s="0">
        <ns0:f>IFERROR(IF(FIND(".",L1005)=5,--O1005,--M1005),0)</ns0:f>
        <ns0:v>0</ns0:v>
      </ns0:c>
      <ns0:c r="S1005" s="0">
        <ns0:f>IFERROR(IF(AND(P1005&gt;=2000,P1005&lt;=2100,Q1005&gt;=1,Q1005&lt;=12,R1005&gt;=1,R1005&lt;=31),DATE(P1005,Q1005,R1005),0),0)</ns0:f>
        <ns0:v>0</ns0:v>
      </ns0:c>
      <ns0:c r="T1005" s="0">
        <ns0:f>IFERROR(IF(ISNUMBER(Bookings!D1005),IF(AND(Bookings!D1005=INT(Bookings!D1005),Bookings!D1005&gt;=DATE(2000,1,1),Bookings!D1005&lt;=DATE(2100,12,31)),Bookings!D1005,0),IF(AND(K1005&lt;&gt;"",LEN("x"&amp;L1005)-LEN(SUBSTITUTE("x"&amp;L1005,".",""))=2,OR(1&gt;LEN(L1005),MID(L1005,1,1)=".",ISNUMBER(FIND("x"&amp;MID(L1005,1,1),"x0x1x2x3x4x5x6x7x8x9"))),OR(2&gt;LEN(L1005),MID(L1005,2,1)=".",ISNUMBER(FIND("x"&amp;MID(L1005,2,1),"x0x1x2x3x4x5x6x7x8x9"))),OR(3&gt;LEN(L1005),MID(L1005,3,1)=".",ISNUMBER(FIND("x"&amp;MID(L1005,3,1),"x0x1x2x3x4x5x6x7x8x9"))),OR(4&gt;LEN(L1005),MID(L1005,4,1)=".",ISNUMBER(FIND("x"&amp;MID(L1005,4,1),"x0x1x2x3x4x5x6x7x8x9"))),OR(5&gt;LEN(L1005),MID(L1005,5,1)=".",ISNUMBER(FIND("x"&amp;MID(L1005,5,1),"x0x1x2x3x4x5x6x7x8x9"))),OR(6&gt;LEN(L1005),MID(L1005,6,1)=".",ISNUMBER(FIND("x"&amp;MID(L1005,6,1),"x0x1x2x3x4x5x6x7x8x9"))),OR(7&gt;LEN(L1005),MID(L1005,7,1)=".",ISNUMBER(FIND("x"&amp;MID(L1005,7,1),"x0x1x2x3x4x5x6x7x8x9"))),OR(8&gt;LEN(L1005),MID(L1005,8,1)=".",ISNUMBER(FIND("x"&amp;MID(L1005,8,1),"x0x1x2x3x4x5x6x7x8x9"))),OR(9&gt;LEN(L1005),MID(L1005,9,1)=".",ISNUMBER(FIND("x"&amp;MID(L1005,9,1),"x0x1x2x3x4x5x6x7x8x9"))),OR(10&gt;LEN(L1005),MID(L1005,10,1)=".",ISNUMBER(FIND("x"&amp;MID(L1005,10,1),"x0x1x2x3x4x5x6x7x8x9"))),OR(AND(FIND(".",L1005)=5,LEN(L1005)-FIND(".",L1005,FIND(".",L1005)+1)&gt;=1,LEN(L1005)-FIND(".",L1005,FIND(".",L1005)+1)&lt;=2),AND(LEN(L1005)-FIND(".",L1005,FIND(".",L1005)+1)=4,FIND(".",L1005)&gt;=2,FIND(".",L1005)&lt;=3)),FIND(".",L1005,FIND(".",L1005)+1)-FIND(".",L1005)&gt;=2,FIND(".",L1005,FIND(".",L1005)+1)-FIND(".",L1005)&lt;=3,P1005&gt;=2000,P1005&lt;=2100,YEAR(S1005)=P1005,MONTH(S1005)=Q1005,DAY(S1005)=R1005),S1005,0)),0)</ns0:f>
        <ns0:v>0</ns0:v>
      </ns0:c>
      <ns0:c r="U1005" s="0" t="str">
        <ns0:f>IF(Bookings!C1005="","Full day",Bookings!C1005)</ns0:f>
        <ns0:v>Full day</ns0:v>
      </ns0:c>
      <ns0:c r="V1005" s="0" t="str">
        <ns0:f>IF(Bookings!E1005="","Full day",Bookings!E1005)</ns0:f>
        <ns0:v>Full day</ns0:v>
      </ns0:c>
      <ns0:c r="W1005" s="0">
        <ns0:f>IF(J1005=0,0,J1005+IF(U1005="PM",1,0))</ns0:f>
        <ns0:v>0</ns0:v>
      </ns0:c>
      <ns0:c r="X1005" s="0">
        <ns0:f>IF(T1005=0,0,T1005-IF(V1005="PM",1,0))</ns0:f>
        <ns0:v>0</ns0:v>
      </ns0:c>
      <ns0:c r="Y1005" s="0">
        <ns0:f>IF(J1005=0,0,J1005+IF(U1005="AM",1,0))</ns0:f>
        <ns0:v>0</ns0:v>
      </ns0:c>
      <ns0:c r="Z1005" s="0">
        <ns0:f>IF(T1005=0,0,T1005-IF(V1005="AM",1,0))</ns0:f>
        <ns0:v>0</ns0:v>
      </ns0:c>
      <ns0:c r="AA1005" s="0">
        <ns0:f>IFERROR(IF(AND(J1005&gt;0,'_Engine'!C1005&gt;0,MID('_Engine'!W1005,WEEKDAY(J1005,2),1)="W",COUNTIF(Settings!$F$18:$F$67,J1005)=0),1,0),0)</ns0:f>
        <ns0:v>0</ns0:v>
      </ns0:c>
      <ns0:c r="AB1005" s="0">
        <ns0:f>IFERROR(IF(AND(T1005&gt;0,'_Engine'!C1005&gt;0,MID('_Engine'!W1005,WEEKDAY(T1005,2),1)="W",COUNTIF(Settings!$F$18:$F$67,T1005)=0),1,0),0)</ns0:f>
        <ns0:v>0</ns0:v>
      </ns0:c>
      <ns0:c r="AC1005" s="0">
        <ns0:f>IF(AND(J1005&gt;0,T1005&gt;0,W1005&lt;=X1005),1,0)</ns0:f>
        <ns0:v>0</ns0:v>
      </ns0:c>
      <ns0:c r="AD1005" s="0">
        <ns0:f>IF(AND(J1005&gt;0,T1005&gt;0,Y1005&lt;=Z1005),1,0)</ns0:f>
        <ns0:v>0</ns0:v>
      </ns0:c>
    </ns0:row>
    <ns0:row r="1006">
      <ns0:c r="A1006" s="0">
        <ns0:f>IFERROR(IF(ISNUMBER(Bookings!B1006),"",TRIM(Bookings!B1006&amp;"")),"")</ns0:f>
      </ns0:c>
      <ns0:c r="B1006" s="0">
        <ns0:f>IFERROR(SUBSTITUTE(SUBSTITUTE(A1006,"/","."),"-","."),"")</ns0:f>
      </ns0:c>
      <ns0:c r="C1006" s="0">
        <ns0:f>IFERROR(LEFT(B1006,FIND(".",B1006)-1),"")</ns0:f>
      </ns0:c>
      <ns0:c r="D1006" s="0">
        <ns0:f>IFERROR(MID(B1006,FIND(".",B1006)+1,FIND(".",B1006,FIND(".",B1006)+1)-FIND(".",B1006)-1),"")</ns0:f>
      </ns0:c>
      <ns0:c r="E1006" s="0">
        <ns0:f>IFERROR(MID(B1006,FIND(".",B1006,FIND(".",B1006)+1)+1,99),"")</ns0:f>
        <ns0:v>99</ns0:v>
      </ns0:c>
      <ns0:c r="F1006" s="0">
        <ns0:f>IFERROR(IF(FIND(".",B1006)=5,--C1006,--E1006),0)</ns0:f>
        <ns0:v>0</ns0:v>
      </ns0:c>
      <ns0:c r="G1006" s="0">
        <ns0:f>IFERROR(--D1006,0)</ns0:f>
        <ns0:v>0</ns0:v>
      </ns0:c>
      <ns0:c r="H1006" s="0">
        <ns0:f>IFERROR(IF(FIND(".",B1006)=5,--E1006,--C1006),0)</ns0:f>
        <ns0:v>0</ns0:v>
      </ns0:c>
      <ns0:c r="I1006" s="0">
        <ns0:f>IFERROR(IF(AND(F1006&gt;=2000,F1006&lt;=2100,G1006&gt;=1,G1006&lt;=12,H1006&gt;=1,H1006&lt;=31),DATE(F1006,G1006,H1006),0),0)</ns0:f>
        <ns0:v>0</ns0:v>
      </ns0:c>
      <ns0:c r="J1006" s="0">
        <ns0:f>IFERROR(IF(ISNUMBER(Bookings!B1006),IF(AND(Bookings!B1006=INT(Bookings!B1006),Bookings!B1006&gt;=DATE(2000,1,1),Bookings!B1006&lt;=DATE(2100,12,31)),Bookings!B1006,0),IF(AND(A1006&lt;&gt;"",LEN("x"&amp;B1006)-LEN(SUBSTITUTE("x"&amp;B1006,".",""))=2,OR(1&gt;LEN(B1006),MID(B1006,1,1)=".",ISNUMBER(FIND("x"&amp;MID(B1006,1,1),"x0x1x2x3x4x5x6x7x8x9"))),OR(2&gt;LEN(B1006),MID(B1006,2,1)=".",ISNUMBER(FIND("x"&amp;MID(B1006,2,1),"x0x1x2x3x4x5x6x7x8x9"))),OR(3&gt;LEN(B1006),MID(B1006,3,1)=".",ISNUMBER(FIND("x"&amp;MID(B1006,3,1),"x0x1x2x3x4x5x6x7x8x9"))),OR(4&gt;LEN(B1006),MID(B1006,4,1)=".",ISNUMBER(FIND("x"&amp;MID(B1006,4,1),"x0x1x2x3x4x5x6x7x8x9"))),OR(5&gt;LEN(B1006),MID(B1006,5,1)=".",ISNUMBER(FIND("x"&amp;MID(B1006,5,1),"x0x1x2x3x4x5x6x7x8x9"))),OR(6&gt;LEN(B1006),MID(B1006,6,1)=".",ISNUMBER(FIND("x"&amp;MID(B1006,6,1),"x0x1x2x3x4x5x6x7x8x9"))),OR(7&gt;LEN(B1006),MID(B1006,7,1)=".",ISNUMBER(FIND("x"&amp;MID(B1006,7,1),"x0x1x2x3x4x5x6x7x8x9"))),OR(8&gt;LEN(B1006),MID(B1006,8,1)=".",ISNUMBER(FIND("x"&amp;MID(B1006,8,1),"x0x1x2x3x4x5x6x7x8x9"))),OR(9&gt;LEN(B1006),MID(B1006,9,1)=".",ISNUMBER(FIND("x"&amp;MID(B1006,9,1),"x0x1x2x3x4x5x6x7x8x9"))),OR(10&gt;LEN(B1006),MID(B1006,10,1)=".",ISNUMBER(FIND("x"&amp;MID(B1006,10,1),"x0x1x2x3x4x5x6x7x8x9"))),OR(AND(FIND(".",B1006)=5,LEN(B1006)-FIND(".",B1006,FIND(".",B1006)+1)&gt;=1,LEN(B1006)-FIND(".",B1006,FIND(".",B1006)+1)&lt;=2),AND(LEN(B1006)-FIND(".",B1006,FIND(".",B1006)+1)=4,FIND(".",B1006)&gt;=2,FIND(".",B1006)&lt;=3)),FIND(".",B1006,FIND(".",B1006)+1)-FIND(".",B1006)&gt;=2,FIND(".",B1006,FIND(".",B1006)+1)-FIND(".",B1006)&lt;=3,F1006&gt;=2000,F1006&lt;=2100,YEAR(I1006)=F1006,MONTH(I1006)=G1006,DAY(I1006)=H1006),I1006,0)),0)</ns0:f>
        <ns0:v>0</ns0:v>
      </ns0:c>
      <ns0:c r="K1006" s="0">
        <ns0:f>IFERROR(IF(ISNUMBER(Bookings!D1006),"",TRIM(Bookings!D1006&amp;"")),"")</ns0:f>
      </ns0:c>
      <ns0:c r="L1006" s="0">
        <ns0:f>IFERROR(SUBSTITUTE(SUBSTITUTE(K1006,"/","."),"-","."),"")</ns0:f>
      </ns0:c>
      <ns0:c r="M1006" s="0">
        <ns0:f>IFERROR(LEFT(L1006,FIND(".",L1006)-1),"")</ns0:f>
      </ns0:c>
      <ns0:c r="N1006" s="0">
        <ns0:f>IFERROR(MID(L1006,FIND(".",L1006)+1,FIND(".",L1006,FIND(".",L1006)+1)-FIND(".",L1006)-1),"")</ns0:f>
      </ns0:c>
      <ns0:c r="O1006" s="0">
        <ns0:f>IFERROR(MID(L1006,FIND(".",L1006,FIND(".",L1006)+1)+1,99),"")</ns0:f>
        <ns0:v>99</ns0:v>
      </ns0:c>
      <ns0:c r="P1006" s="0">
        <ns0:f>IFERROR(IF(FIND(".",L1006)=5,--M1006,--O1006),0)</ns0:f>
        <ns0:v>0</ns0:v>
      </ns0:c>
      <ns0:c r="Q1006" s="0">
        <ns0:f>IFERROR(--N1006,0)</ns0:f>
        <ns0:v>0</ns0:v>
      </ns0:c>
      <ns0:c r="R1006" s="0">
        <ns0:f>IFERROR(IF(FIND(".",L1006)=5,--O1006,--M1006),0)</ns0:f>
        <ns0:v>0</ns0:v>
      </ns0:c>
      <ns0:c r="S1006" s="0">
        <ns0:f>IFERROR(IF(AND(P1006&gt;=2000,P1006&lt;=2100,Q1006&gt;=1,Q1006&lt;=12,R1006&gt;=1,R1006&lt;=31),DATE(P1006,Q1006,R1006),0),0)</ns0:f>
        <ns0:v>0</ns0:v>
      </ns0:c>
      <ns0:c r="T1006" s="0">
        <ns0:f>IFERROR(IF(ISNUMBER(Bookings!D1006),IF(AND(Bookings!D1006=INT(Bookings!D1006),Bookings!D1006&gt;=DATE(2000,1,1),Bookings!D1006&lt;=DATE(2100,12,31)),Bookings!D1006,0),IF(AND(K1006&lt;&gt;"",LEN("x"&amp;L1006)-LEN(SUBSTITUTE("x"&amp;L1006,".",""))=2,OR(1&gt;LEN(L1006),MID(L1006,1,1)=".",ISNUMBER(FIND("x"&amp;MID(L1006,1,1),"x0x1x2x3x4x5x6x7x8x9"))),OR(2&gt;LEN(L1006),MID(L1006,2,1)=".",ISNUMBER(FIND("x"&amp;MID(L1006,2,1),"x0x1x2x3x4x5x6x7x8x9"))),OR(3&gt;LEN(L1006),MID(L1006,3,1)=".",ISNUMBER(FIND("x"&amp;MID(L1006,3,1),"x0x1x2x3x4x5x6x7x8x9"))),OR(4&gt;LEN(L1006),MID(L1006,4,1)=".",ISNUMBER(FIND("x"&amp;MID(L1006,4,1),"x0x1x2x3x4x5x6x7x8x9"))),OR(5&gt;LEN(L1006),MID(L1006,5,1)=".",ISNUMBER(FIND("x"&amp;MID(L1006,5,1),"x0x1x2x3x4x5x6x7x8x9"))),OR(6&gt;LEN(L1006),MID(L1006,6,1)=".",ISNUMBER(FIND("x"&amp;MID(L1006,6,1),"x0x1x2x3x4x5x6x7x8x9"))),OR(7&gt;LEN(L1006),MID(L1006,7,1)=".",ISNUMBER(FIND("x"&amp;MID(L1006,7,1),"x0x1x2x3x4x5x6x7x8x9"))),OR(8&gt;LEN(L1006),MID(L1006,8,1)=".",ISNUMBER(FIND("x"&amp;MID(L1006,8,1),"x0x1x2x3x4x5x6x7x8x9"))),OR(9&gt;LEN(L1006),MID(L1006,9,1)=".",ISNUMBER(FIND("x"&amp;MID(L1006,9,1),"x0x1x2x3x4x5x6x7x8x9"))),OR(10&gt;LEN(L1006),MID(L1006,10,1)=".",ISNUMBER(FIND("x"&amp;MID(L1006,10,1),"x0x1x2x3x4x5x6x7x8x9"))),OR(AND(FIND(".",L1006)=5,LEN(L1006)-FIND(".",L1006,FIND(".",L1006)+1)&gt;=1,LEN(L1006)-FIND(".",L1006,FIND(".",L1006)+1)&lt;=2),AND(LEN(L1006)-FIND(".",L1006,FIND(".",L1006)+1)=4,FIND(".",L1006)&gt;=2,FIND(".",L1006)&lt;=3)),FIND(".",L1006,FIND(".",L1006)+1)-FIND(".",L1006)&gt;=2,FIND(".",L1006,FIND(".",L1006)+1)-FIND(".",L1006)&lt;=3,P1006&gt;=2000,P1006&lt;=2100,YEAR(S1006)=P1006,MONTH(S1006)=Q1006,DAY(S1006)=R1006),S1006,0)),0)</ns0:f>
        <ns0:v>0</ns0:v>
      </ns0:c>
      <ns0:c r="U1006" s="0" t="str">
        <ns0:f>IF(Bookings!C1006="","Full day",Bookings!C1006)</ns0:f>
        <ns0:v>Full day</ns0:v>
      </ns0:c>
      <ns0:c r="V1006" s="0" t="str">
        <ns0:f>IF(Bookings!E1006="","Full day",Bookings!E1006)</ns0:f>
        <ns0:v>Full day</ns0:v>
      </ns0:c>
      <ns0:c r="W1006" s="0">
        <ns0:f>IF(J1006=0,0,J1006+IF(U1006="PM",1,0))</ns0:f>
        <ns0:v>0</ns0:v>
      </ns0:c>
      <ns0:c r="X1006" s="0">
        <ns0:f>IF(T1006=0,0,T1006-IF(V1006="PM",1,0))</ns0:f>
        <ns0:v>0</ns0:v>
      </ns0:c>
      <ns0:c r="Y1006" s="0">
        <ns0:f>IF(J1006=0,0,J1006+IF(U1006="AM",1,0))</ns0:f>
        <ns0:v>0</ns0:v>
      </ns0:c>
      <ns0:c r="Z1006" s="0">
        <ns0:f>IF(T1006=0,0,T1006-IF(V1006="AM",1,0))</ns0:f>
        <ns0:v>0</ns0:v>
      </ns0:c>
      <ns0:c r="AA1006" s="0">
        <ns0:f>IFERROR(IF(AND(J1006&gt;0,'_Engine'!C1006&gt;0,MID('_Engine'!W1006,WEEKDAY(J1006,2),1)="W",COUNTIF(Settings!$F$18:$F$67,J1006)=0),1,0),0)</ns0:f>
        <ns0:v>0</ns0:v>
      </ns0:c>
      <ns0:c r="AB1006" s="0">
        <ns0:f>IFERROR(IF(AND(T1006&gt;0,'_Engine'!C1006&gt;0,MID('_Engine'!W1006,WEEKDAY(T1006,2),1)="W",COUNTIF(Settings!$F$18:$F$67,T1006)=0),1,0),0)</ns0:f>
        <ns0:v>0</ns0:v>
      </ns0:c>
      <ns0:c r="AC1006" s="0">
        <ns0:f>IF(AND(J1006&gt;0,T1006&gt;0,W1006&lt;=X1006),1,0)</ns0:f>
        <ns0:v>0</ns0:v>
      </ns0:c>
      <ns0:c r="AD1006" s="0">
        <ns0:f>IF(AND(J1006&gt;0,T1006&gt;0,Y1006&lt;=Z1006),1,0)</ns0:f>
        <ns0:v>0</ns0:v>
      </ns0:c>
    </ns0:row>
    <ns0:row r="1007">
      <ns0:c r="A1007" s="0">
        <ns0:f>IFERROR(IF(ISNUMBER(Bookings!B1007),"",TRIM(Bookings!B1007&amp;"")),"")</ns0:f>
      </ns0:c>
      <ns0:c r="B1007" s="0">
        <ns0:f>IFERROR(SUBSTITUTE(SUBSTITUTE(A1007,"/","."),"-","."),"")</ns0:f>
      </ns0:c>
      <ns0:c r="C1007" s="0">
        <ns0:f>IFERROR(LEFT(B1007,FIND(".",B1007)-1),"")</ns0:f>
      </ns0:c>
      <ns0:c r="D1007" s="0">
        <ns0:f>IFERROR(MID(B1007,FIND(".",B1007)+1,FIND(".",B1007,FIND(".",B1007)+1)-FIND(".",B1007)-1),"")</ns0:f>
      </ns0:c>
      <ns0:c r="E1007" s="0">
        <ns0:f>IFERROR(MID(B1007,FIND(".",B1007,FIND(".",B1007)+1)+1,99),"")</ns0:f>
        <ns0:v>99</ns0:v>
      </ns0:c>
      <ns0:c r="F1007" s="0">
        <ns0:f>IFERROR(IF(FIND(".",B1007)=5,--C1007,--E1007),0)</ns0:f>
        <ns0:v>0</ns0:v>
      </ns0:c>
      <ns0:c r="G1007" s="0">
        <ns0:f>IFERROR(--D1007,0)</ns0:f>
        <ns0:v>0</ns0:v>
      </ns0:c>
      <ns0:c r="H1007" s="0">
        <ns0:f>IFERROR(IF(FIND(".",B1007)=5,--E1007,--C1007),0)</ns0:f>
        <ns0:v>0</ns0:v>
      </ns0:c>
      <ns0:c r="I1007" s="0">
        <ns0:f>IFERROR(IF(AND(F1007&gt;=2000,F1007&lt;=2100,G1007&gt;=1,G1007&lt;=12,H1007&gt;=1,H1007&lt;=31),DATE(F1007,G1007,H1007),0),0)</ns0:f>
        <ns0:v>0</ns0:v>
      </ns0:c>
      <ns0:c r="J1007" s="0">
        <ns0:f>IFERROR(IF(ISNUMBER(Bookings!B1007),IF(AND(Bookings!B1007=INT(Bookings!B1007),Bookings!B1007&gt;=DATE(2000,1,1),Bookings!B1007&lt;=DATE(2100,12,31)),Bookings!B1007,0),IF(AND(A1007&lt;&gt;"",LEN("x"&amp;B1007)-LEN(SUBSTITUTE("x"&amp;B1007,".",""))=2,OR(1&gt;LEN(B1007),MID(B1007,1,1)=".",ISNUMBER(FIND("x"&amp;MID(B1007,1,1),"x0x1x2x3x4x5x6x7x8x9"))),OR(2&gt;LEN(B1007),MID(B1007,2,1)=".",ISNUMBER(FIND("x"&amp;MID(B1007,2,1),"x0x1x2x3x4x5x6x7x8x9"))),OR(3&gt;LEN(B1007),MID(B1007,3,1)=".",ISNUMBER(FIND("x"&amp;MID(B1007,3,1),"x0x1x2x3x4x5x6x7x8x9"))),OR(4&gt;LEN(B1007),MID(B1007,4,1)=".",ISNUMBER(FIND("x"&amp;MID(B1007,4,1),"x0x1x2x3x4x5x6x7x8x9"))),OR(5&gt;LEN(B1007),MID(B1007,5,1)=".",ISNUMBER(FIND("x"&amp;MID(B1007,5,1),"x0x1x2x3x4x5x6x7x8x9"))),OR(6&gt;LEN(B1007),MID(B1007,6,1)=".",ISNUMBER(FIND("x"&amp;MID(B1007,6,1),"x0x1x2x3x4x5x6x7x8x9"))),OR(7&gt;LEN(B1007),MID(B1007,7,1)=".",ISNUMBER(FIND("x"&amp;MID(B1007,7,1),"x0x1x2x3x4x5x6x7x8x9"))),OR(8&gt;LEN(B1007),MID(B1007,8,1)=".",ISNUMBER(FIND("x"&amp;MID(B1007,8,1),"x0x1x2x3x4x5x6x7x8x9"))),OR(9&gt;LEN(B1007),MID(B1007,9,1)=".",ISNUMBER(FIND("x"&amp;MID(B1007,9,1),"x0x1x2x3x4x5x6x7x8x9"))),OR(10&gt;LEN(B1007),MID(B1007,10,1)=".",ISNUMBER(FIND("x"&amp;MID(B1007,10,1),"x0x1x2x3x4x5x6x7x8x9"))),OR(AND(FIND(".",B1007)=5,LEN(B1007)-FIND(".",B1007,FIND(".",B1007)+1)&gt;=1,LEN(B1007)-FIND(".",B1007,FIND(".",B1007)+1)&lt;=2),AND(LEN(B1007)-FIND(".",B1007,FIND(".",B1007)+1)=4,FIND(".",B1007)&gt;=2,FIND(".",B1007)&lt;=3)),FIND(".",B1007,FIND(".",B1007)+1)-FIND(".",B1007)&gt;=2,FIND(".",B1007,FIND(".",B1007)+1)-FIND(".",B1007)&lt;=3,F1007&gt;=2000,F1007&lt;=2100,YEAR(I1007)=F1007,MONTH(I1007)=G1007,DAY(I1007)=H1007),I1007,0)),0)</ns0:f>
        <ns0:v>0</ns0:v>
      </ns0:c>
      <ns0:c r="K1007" s="0">
        <ns0:f>IFERROR(IF(ISNUMBER(Bookings!D1007),"",TRIM(Bookings!D1007&amp;"")),"")</ns0:f>
      </ns0:c>
      <ns0:c r="L1007" s="0">
        <ns0:f>IFERROR(SUBSTITUTE(SUBSTITUTE(K1007,"/","."),"-","."),"")</ns0:f>
      </ns0:c>
      <ns0:c r="M1007" s="0">
        <ns0:f>IFERROR(LEFT(L1007,FIND(".",L1007)-1),"")</ns0:f>
      </ns0:c>
      <ns0:c r="N1007" s="0">
        <ns0:f>IFERROR(MID(L1007,FIND(".",L1007)+1,FIND(".",L1007,FIND(".",L1007)+1)-FIND(".",L1007)-1),"")</ns0:f>
      </ns0:c>
      <ns0:c r="O1007" s="0">
        <ns0:f>IFERROR(MID(L1007,FIND(".",L1007,FIND(".",L1007)+1)+1,99),"")</ns0:f>
        <ns0:v>99</ns0:v>
      </ns0:c>
      <ns0:c r="P1007" s="0">
        <ns0:f>IFERROR(IF(FIND(".",L1007)=5,--M1007,--O1007),0)</ns0:f>
        <ns0:v>0</ns0:v>
      </ns0:c>
      <ns0:c r="Q1007" s="0">
        <ns0:f>IFERROR(--N1007,0)</ns0:f>
        <ns0:v>0</ns0:v>
      </ns0:c>
      <ns0:c r="R1007" s="0">
        <ns0:f>IFERROR(IF(FIND(".",L1007)=5,--O1007,--M1007),0)</ns0:f>
        <ns0:v>0</ns0:v>
      </ns0:c>
      <ns0:c r="S1007" s="0">
        <ns0:f>IFERROR(IF(AND(P1007&gt;=2000,P1007&lt;=2100,Q1007&gt;=1,Q1007&lt;=12,R1007&gt;=1,R1007&lt;=31),DATE(P1007,Q1007,R1007),0),0)</ns0:f>
        <ns0:v>0</ns0:v>
      </ns0:c>
      <ns0:c r="T1007" s="0">
        <ns0:f>IFERROR(IF(ISNUMBER(Bookings!D1007),IF(AND(Bookings!D1007=INT(Bookings!D1007),Bookings!D1007&gt;=DATE(2000,1,1),Bookings!D1007&lt;=DATE(2100,12,31)),Bookings!D1007,0),IF(AND(K1007&lt;&gt;"",LEN("x"&amp;L1007)-LEN(SUBSTITUTE("x"&amp;L1007,".",""))=2,OR(1&gt;LEN(L1007),MID(L1007,1,1)=".",ISNUMBER(FIND("x"&amp;MID(L1007,1,1),"x0x1x2x3x4x5x6x7x8x9"))),OR(2&gt;LEN(L1007),MID(L1007,2,1)=".",ISNUMBER(FIND("x"&amp;MID(L1007,2,1),"x0x1x2x3x4x5x6x7x8x9"))),OR(3&gt;LEN(L1007),MID(L1007,3,1)=".",ISNUMBER(FIND("x"&amp;MID(L1007,3,1),"x0x1x2x3x4x5x6x7x8x9"))),OR(4&gt;LEN(L1007),MID(L1007,4,1)=".",ISNUMBER(FIND("x"&amp;MID(L1007,4,1),"x0x1x2x3x4x5x6x7x8x9"))),OR(5&gt;LEN(L1007),MID(L1007,5,1)=".",ISNUMBER(FIND("x"&amp;MID(L1007,5,1),"x0x1x2x3x4x5x6x7x8x9"))),OR(6&gt;LEN(L1007),MID(L1007,6,1)=".",ISNUMBER(FIND("x"&amp;MID(L1007,6,1),"x0x1x2x3x4x5x6x7x8x9"))),OR(7&gt;LEN(L1007),MID(L1007,7,1)=".",ISNUMBER(FIND("x"&amp;MID(L1007,7,1),"x0x1x2x3x4x5x6x7x8x9"))),OR(8&gt;LEN(L1007),MID(L1007,8,1)=".",ISNUMBER(FIND("x"&amp;MID(L1007,8,1),"x0x1x2x3x4x5x6x7x8x9"))),OR(9&gt;LEN(L1007),MID(L1007,9,1)=".",ISNUMBER(FIND("x"&amp;MID(L1007,9,1),"x0x1x2x3x4x5x6x7x8x9"))),OR(10&gt;LEN(L1007),MID(L1007,10,1)=".",ISNUMBER(FIND("x"&amp;MID(L1007,10,1),"x0x1x2x3x4x5x6x7x8x9"))),OR(AND(FIND(".",L1007)=5,LEN(L1007)-FIND(".",L1007,FIND(".",L1007)+1)&gt;=1,LEN(L1007)-FIND(".",L1007,FIND(".",L1007)+1)&lt;=2),AND(LEN(L1007)-FIND(".",L1007,FIND(".",L1007)+1)=4,FIND(".",L1007)&gt;=2,FIND(".",L1007)&lt;=3)),FIND(".",L1007,FIND(".",L1007)+1)-FIND(".",L1007)&gt;=2,FIND(".",L1007,FIND(".",L1007)+1)-FIND(".",L1007)&lt;=3,P1007&gt;=2000,P1007&lt;=2100,YEAR(S1007)=P1007,MONTH(S1007)=Q1007,DAY(S1007)=R1007),S1007,0)),0)</ns0:f>
        <ns0:v>0</ns0:v>
      </ns0:c>
      <ns0:c r="U1007" s="0" t="str">
        <ns0:f>IF(Bookings!C1007="","Full day",Bookings!C1007)</ns0:f>
        <ns0:v>Full day</ns0:v>
      </ns0:c>
      <ns0:c r="V1007" s="0" t="str">
        <ns0:f>IF(Bookings!E1007="","Full day",Bookings!E1007)</ns0:f>
        <ns0:v>Full day</ns0:v>
      </ns0:c>
      <ns0:c r="W1007" s="0">
        <ns0:f>IF(J1007=0,0,J1007+IF(U1007="PM",1,0))</ns0:f>
        <ns0:v>0</ns0:v>
      </ns0:c>
      <ns0:c r="X1007" s="0">
        <ns0:f>IF(T1007=0,0,T1007-IF(V1007="PM",1,0))</ns0:f>
        <ns0:v>0</ns0:v>
      </ns0:c>
      <ns0:c r="Y1007" s="0">
        <ns0:f>IF(J1007=0,0,J1007+IF(U1007="AM",1,0))</ns0:f>
        <ns0:v>0</ns0:v>
      </ns0:c>
      <ns0:c r="Z1007" s="0">
        <ns0:f>IF(T1007=0,0,T1007-IF(V1007="AM",1,0))</ns0:f>
        <ns0:v>0</ns0:v>
      </ns0:c>
      <ns0:c r="AA1007" s="0">
        <ns0:f>IFERROR(IF(AND(J1007&gt;0,'_Engine'!C1007&gt;0,MID('_Engine'!W1007,WEEKDAY(J1007,2),1)="W",COUNTIF(Settings!$F$18:$F$67,J1007)=0),1,0),0)</ns0:f>
        <ns0:v>0</ns0:v>
      </ns0:c>
      <ns0:c r="AB1007" s="0">
        <ns0:f>IFERROR(IF(AND(T1007&gt;0,'_Engine'!C1007&gt;0,MID('_Engine'!W1007,WEEKDAY(T1007,2),1)="W",COUNTIF(Settings!$F$18:$F$67,T1007)=0),1,0),0)</ns0:f>
        <ns0:v>0</ns0:v>
      </ns0:c>
      <ns0:c r="AC1007" s="0">
        <ns0:f>IF(AND(J1007&gt;0,T1007&gt;0,W1007&lt;=X1007),1,0)</ns0:f>
        <ns0:v>0</ns0:v>
      </ns0:c>
      <ns0:c r="AD1007" s="0">
        <ns0:f>IF(AND(J1007&gt;0,T1007&gt;0,Y1007&lt;=Z1007),1,0)</ns0:f>
        <ns0:v>0</ns0:v>
      </ns0:c>
    </ns0:row>
    <ns0:row r="1008">
      <ns0:c r="A1008" s="0">
        <ns0:f>IFERROR(IF(ISNUMBER(Bookings!B1008),"",TRIM(Bookings!B1008&amp;"")),"")</ns0:f>
      </ns0:c>
      <ns0:c r="B1008" s="0">
        <ns0:f>IFERROR(SUBSTITUTE(SUBSTITUTE(A1008,"/","."),"-","."),"")</ns0:f>
      </ns0:c>
      <ns0:c r="C1008" s="0">
        <ns0:f>IFERROR(LEFT(B1008,FIND(".",B1008)-1),"")</ns0:f>
      </ns0:c>
      <ns0:c r="D1008" s="0">
        <ns0:f>IFERROR(MID(B1008,FIND(".",B1008)+1,FIND(".",B1008,FIND(".",B1008)+1)-FIND(".",B1008)-1),"")</ns0:f>
      </ns0:c>
      <ns0:c r="E1008" s="0">
        <ns0:f>IFERROR(MID(B1008,FIND(".",B1008,FIND(".",B1008)+1)+1,99),"")</ns0:f>
        <ns0:v>99</ns0:v>
      </ns0:c>
      <ns0:c r="F1008" s="0">
        <ns0:f>IFERROR(IF(FIND(".",B1008)=5,--C1008,--E1008),0)</ns0:f>
        <ns0:v>0</ns0:v>
      </ns0:c>
      <ns0:c r="G1008" s="0">
        <ns0:f>IFERROR(--D1008,0)</ns0:f>
        <ns0:v>0</ns0:v>
      </ns0:c>
      <ns0:c r="H1008" s="0">
        <ns0:f>IFERROR(IF(FIND(".",B1008)=5,--E1008,--C1008),0)</ns0:f>
        <ns0:v>0</ns0:v>
      </ns0:c>
      <ns0:c r="I1008" s="0">
        <ns0:f>IFERROR(IF(AND(F1008&gt;=2000,F1008&lt;=2100,G1008&gt;=1,G1008&lt;=12,H1008&gt;=1,H1008&lt;=31),DATE(F1008,G1008,H1008),0),0)</ns0:f>
        <ns0:v>0</ns0:v>
      </ns0:c>
      <ns0:c r="J1008" s="0">
        <ns0:f>IFERROR(IF(ISNUMBER(Bookings!B1008),IF(AND(Bookings!B1008=INT(Bookings!B1008),Bookings!B1008&gt;=DATE(2000,1,1),Bookings!B1008&lt;=DATE(2100,12,31)),Bookings!B1008,0),IF(AND(A1008&lt;&gt;"",LEN("x"&amp;B1008)-LEN(SUBSTITUTE("x"&amp;B1008,".",""))=2,OR(1&gt;LEN(B1008),MID(B1008,1,1)=".",ISNUMBER(FIND("x"&amp;MID(B1008,1,1),"x0x1x2x3x4x5x6x7x8x9"))),OR(2&gt;LEN(B1008),MID(B1008,2,1)=".",ISNUMBER(FIND("x"&amp;MID(B1008,2,1),"x0x1x2x3x4x5x6x7x8x9"))),OR(3&gt;LEN(B1008),MID(B1008,3,1)=".",ISNUMBER(FIND("x"&amp;MID(B1008,3,1),"x0x1x2x3x4x5x6x7x8x9"))),OR(4&gt;LEN(B1008),MID(B1008,4,1)=".",ISNUMBER(FIND("x"&amp;MID(B1008,4,1),"x0x1x2x3x4x5x6x7x8x9"))),OR(5&gt;LEN(B1008),MID(B1008,5,1)=".",ISNUMBER(FIND("x"&amp;MID(B1008,5,1),"x0x1x2x3x4x5x6x7x8x9"))),OR(6&gt;LEN(B1008),MID(B1008,6,1)=".",ISNUMBER(FIND("x"&amp;MID(B1008,6,1),"x0x1x2x3x4x5x6x7x8x9"))),OR(7&gt;LEN(B1008),MID(B1008,7,1)=".",ISNUMBER(FIND("x"&amp;MID(B1008,7,1),"x0x1x2x3x4x5x6x7x8x9"))),OR(8&gt;LEN(B1008),MID(B1008,8,1)=".",ISNUMBER(FIND("x"&amp;MID(B1008,8,1),"x0x1x2x3x4x5x6x7x8x9"))),OR(9&gt;LEN(B1008),MID(B1008,9,1)=".",ISNUMBER(FIND("x"&amp;MID(B1008,9,1),"x0x1x2x3x4x5x6x7x8x9"))),OR(10&gt;LEN(B1008),MID(B1008,10,1)=".",ISNUMBER(FIND("x"&amp;MID(B1008,10,1),"x0x1x2x3x4x5x6x7x8x9"))),OR(AND(FIND(".",B1008)=5,LEN(B1008)-FIND(".",B1008,FIND(".",B1008)+1)&gt;=1,LEN(B1008)-FIND(".",B1008,FIND(".",B1008)+1)&lt;=2),AND(LEN(B1008)-FIND(".",B1008,FIND(".",B1008)+1)=4,FIND(".",B1008)&gt;=2,FIND(".",B1008)&lt;=3)),FIND(".",B1008,FIND(".",B1008)+1)-FIND(".",B1008)&gt;=2,FIND(".",B1008,FIND(".",B1008)+1)-FIND(".",B1008)&lt;=3,F1008&gt;=2000,F1008&lt;=2100,YEAR(I1008)=F1008,MONTH(I1008)=G1008,DAY(I1008)=H1008),I1008,0)),0)</ns0:f>
        <ns0:v>0</ns0:v>
      </ns0:c>
      <ns0:c r="K1008" s="0">
        <ns0:f>IFERROR(IF(ISNUMBER(Bookings!D1008),"",TRIM(Bookings!D1008&amp;"")),"")</ns0:f>
      </ns0:c>
      <ns0:c r="L1008" s="0">
        <ns0:f>IFERROR(SUBSTITUTE(SUBSTITUTE(K1008,"/","."),"-","."),"")</ns0:f>
      </ns0:c>
      <ns0:c r="M1008" s="0">
        <ns0:f>IFERROR(LEFT(L1008,FIND(".",L1008)-1),"")</ns0:f>
      </ns0:c>
      <ns0:c r="N1008" s="0">
        <ns0:f>IFERROR(MID(L1008,FIND(".",L1008)+1,FIND(".",L1008,FIND(".",L1008)+1)-FIND(".",L1008)-1),"")</ns0:f>
      </ns0:c>
      <ns0:c r="O1008" s="0">
        <ns0:f>IFERROR(MID(L1008,FIND(".",L1008,FIND(".",L1008)+1)+1,99),"")</ns0:f>
        <ns0:v>99</ns0:v>
      </ns0:c>
      <ns0:c r="P1008" s="0">
        <ns0:f>IFERROR(IF(FIND(".",L1008)=5,--M1008,--O1008),0)</ns0:f>
        <ns0:v>0</ns0:v>
      </ns0:c>
      <ns0:c r="Q1008" s="0">
        <ns0:f>IFERROR(--N1008,0)</ns0:f>
        <ns0:v>0</ns0:v>
      </ns0:c>
      <ns0:c r="R1008" s="0">
        <ns0:f>IFERROR(IF(FIND(".",L1008)=5,--O1008,--M1008),0)</ns0:f>
        <ns0:v>0</ns0:v>
      </ns0:c>
      <ns0:c r="S1008" s="0">
        <ns0:f>IFERROR(IF(AND(P1008&gt;=2000,P1008&lt;=2100,Q1008&gt;=1,Q1008&lt;=12,R1008&gt;=1,R1008&lt;=31),DATE(P1008,Q1008,R1008),0),0)</ns0:f>
        <ns0:v>0</ns0:v>
      </ns0:c>
      <ns0:c r="T1008" s="0">
        <ns0:f>IFERROR(IF(ISNUMBER(Bookings!D1008),IF(AND(Bookings!D1008=INT(Bookings!D1008),Bookings!D1008&gt;=DATE(2000,1,1),Bookings!D1008&lt;=DATE(2100,12,31)),Bookings!D1008,0),IF(AND(K1008&lt;&gt;"",LEN("x"&amp;L1008)-LEN(SUBSTITUTE("x"&amp;L1008,".",""))=2,OR(1&gt;LEN(L1008),MID(L1008,1,1)=".",ISNUMBER(FIND("x"&amp;MID(L1008,1,1),"x0x1x2x3x4x5x6x7x8x9"))),OR(2&gt;LEN(L1008),MID(L1008,2,1)=".",ISNUMBER(FIND("x"&amp;MID(L1008,2,1),"x0x1x2x3x4x5x6x7x8x9"))),OR(3&gt;LEN(L1008),MID(L1008,3,1)=".",ISNUMBER(FIND("x"&amp;MID(L1008,3,1),"x0x1x2x3x4x5x6x7x8x9"))),OR(4&gt;LEN(L1008),MID(L1008,4,1)=".",ISNUMBER(FIND("x"&amp;MID(L1008,4,1),"x0x1x2x3x4x5x6x7x8x9"))),OR(5&gt;LEN(L1008),MID(L1008,5,1)=".",ISNUMBER(FIND("x"&amp;MID(L1008,5,1),"x0x1x2x3x4x5x6x7x8x9"))),OR(6&gt;LEN(L1008),MID(L1008,6,1)=".",ISNUMBER(FIND("x"&amp;MID(L1008,6,1),"x0x1x2x3x4x5x6x7x8x9"))),OR(7&gt;LEN(L1008),MID(L1008,7,1)=".",ISNUMBER(FIND("x"&amp;MID(L1008,7,1),"x0x1x2x3x4x5x6x7x8x9"))),OR(8&gt;LEN(L1008),MID(L1008,8,1)=".",ISNUMBER(FIND("x"&amp;MID(L1008,8,1),"x0x1x2x3x4x5x6x7x8x9"))),OR(9&gt;LEN(L1008),MID(L1008,9,1)=".",ISNUMBER(FIND("x"&amp;MID(L1008,9,1),"x0x1x2x3x4x5x6x7x8x9"))),OR(10&gt;LEN(L1008),MID(L1008,10,1)=".",ISNUMBER(FIND("x"&amp;MID(L1008,10,1),"x0x1x2x3x4x5x6x7x8x9"))),OR(AND(FIND(".",L1008)=5,LEN(L1008)-FIND(".",L1008,FIND(".",L1008)+1)&gt;=1,LEN(L1008)-FIND(".",L1008,FIND(".",L1008)+1)&lt;=2),AND(LEN(L1008)-FIND(".",L1008,FIND(".",L1008)+1)=4,FIND(".",L1008)&gt;=2,FIND(".",L1008)&lt;=3)),FIND(".",L1008,FIND(".",L1008)+1)-FIND(".",L1008)&gt;=2,FIND(".",L1008,FIND(".",L1008)+1)-FIND(".",L1008)&lt;=3,P1008&gt;=2000,P1008&lt;=2100,YEAR(S1008)=P1008,MONTH(S1008)=Q1008,DAY(S1008)=R1008),S1008,0)),0)</ns0:f>
        <ns0:v>0</ns0:v>
      </ns0:c>
      <ns0:c r="U1008" s="0" t="str">
        <ns0:f>IF(Bookings!C1008="","Full day",Bookings!C1008)</ns0:f>
        <ns0:v>Full day</ns0:v>
      </ns0:c>
      <ns0:c r="V1008" s="0" t="str">
        <ns0:f>IF(Bookings!E1008="","Full day",Bookings!E1008)</ns0:f>
        <ns0:v>Full day</ns0:v>
      </ns0:c>
      <ns0:c r="W1008" s="0">
        <ns0:f>IF(J1008=0,0,J1008+IF(U1008="PM",1,0))</ns0:f>
        <ns0:v>0</ns0:v>
      </ns0:c>
      <ns0:c r="X1008" s="0">
        <ns0:f>IF(T1008=0,0,T1008-IF(V1008="PM",1,0))</ns0:f>
        <ns0:v>0</ns0:v>
      </ns0:c>
      <ns0:c r="Y1008" s="0">
        <ns0:f>IF(J1008=0,0,J1008+IF(U1008="AM",1,0))</ns0:f>
        <ns0:v>0</ns0:v>
      </ns0:c>
      <ns0:c r="Z1008" s="0">
        <ns0:f>IF(T1008=0,0,T1008-IF(V1008="AM",1,0))</ns0:f>
        <ns0:v>0</ns0:v>
      </ns0:c>
      <ns0:c r="AA1008" s="0">
        <ns0:f>IFERROR(IF(AND(J1008&gt;0,'_Engine'!C1008&gt;0,MID('_Engine'!W1008,WEEKDAY(J1008,2),1)="W",COUNTIF(Settings!$F$18:$F$67,J1008)=0),1,0),0)</ns0:f>
        <ns0:v>0</ns0:v>
      </ns0:c>
      <ns0:c r="AB1008" s="0">
        <ns0:f>IFERROR(IF(AND(T1008&gt;0,'_Engine'!C1008&gt;0,MID('_Engine'!W1008,WEEKDAY(T1008,2),1)="W",COUNTIF(Settings!$F$18:$F$67,T1008)=0),1,0),0)</ns0:f>
        <ns0:v>0</ns0:v>
      </ns0:c>
      <ns0:c r="AC1008" s="0">
        <ns0:f>IF(AND(J1008&gt;0,T1008&gt;0,W1008&lt;=X1008),1,0)</ns0:f>
        <ns0:v>0</ns0:v>
      </ns0:c>
      <ns0:c r="AD1008" s="0">
        <ns0:f>IF(AND(J1008&gt;0,T1008&gt;0,Y1008&lt;=Z1008),1,0)</ns0:f>
        <ns0:v>0</ns0:v>
      </ns0:c>
    </ns0:row>
    <ns0:row r="1009">
      <ns0:c r="A1009" s="0">
        <ns0:f>IFERROR(IF(ISNUMBER(Bookings!B1009),"",TRIM(Bookings!B1009&amp;"")),"")</ns0:f>
      </ns0:c>
      <ns0:c r="B1009" s="0">
        <ns0:f>IFERROR(SUBSTITUTE(SUBSTITUTE(A1009,"/","."),"-","."),"")</ns0:f>
      </ns0:c>
      <ns0:c r="C1009" s="0">
        <ns0:f>IFERROR(LEFT(B1009,FIND(".",B1009)-1),"")</ns0:f>
      </ns0:c>
      <ns0:c r="D1009" s="0">
        <ns0:f>IFERROR(MID(B1009,FIND(".",B1009)+1,FIND(".",B1009,FIND(".",B1009)+1)-FIND(".",B1009)-1),"")</ns0:f>
      </ns0:c>
      <ns0:c r="E1009" s="0">
        <ns0:f>IFERROR(MID(B1009,FIND(".",B1009,FIND(".",B1009)+1)+1,99),"")</ns0:f>
        <ns0:v>99</ns0:v>
      </ns0:c>
      <ns0:c r="F1009" s="0">
        <ns0:f>IFERROR(IF(FIND(".",B1009)=5,--C1009,--E1009),0)</ns0:f>
        <ns0:v>0</ns0:v>
      </ns0:c>
      <ns0:c r="G1009" s="0">
        <ns0:f>IFERROR(--D1009,0)</ns0:f>
        <ns0:v>0</ns0:v>
      </ns0:c>
      <ns0:c r="H1009" s="0">
        <ns0:f>IFERROR(IF(FIND(".",B1009)=5,--E1009,--C1009),0)</ns0:f>
        <ns0:v>0</ns0:v>
      </ns0:c>
      <ns0:c r="I1009" s="0">
        <ns0:f>IFERROR(IF(AND(F1009&gt;=2000,F1009&lt;=2100,G1009&gt;=1,G1009&lt;=12,H1009&gt;=1,H1009&lt;=31),DATE(F1009,G1009,H1009),0),0)</ns0:f>
        <ns0:v>0</ns0:v>
      </ns0:c>
      <ns0:c r="J1009" s="0">
        <ns0:f>IFERROR(IF(ISNUMBER(Bookings!B1009),IF(AND(Bookings!B1009=INT(Bookings!B1009),Bookings!B1009&gt;=DATE(2000,1,1),Bookings!B1009&lt;=DATE(2100,12,31)),Bookings!B1009,0),IF(AND(A1009&lt;&gt;"",LEN("x"&amp;B1009)-LEN(SUBSTITUTE("x"&amp;B1009,".",""))=2,OR(1&gt;LEN(B1009),MID(B1009,1,1)=".",ISNUMBER(FIND("x"&amp;MID(B1009,1,1),"x0x1x2x3x4x5x6x7x8x9"))),OR(2&gt;LEN(B1009),MID(B1009,2,1)=".",ISNUMBER(FIND("x"&amp;MID(B1009,2,1),"x0x1x2x3x4x5x6x7x8x9"))),OR(3&gt;LEN(B1009),MID(B1009,3,1)=".",ISNUMBER(FIND("x"&amp;MID(B1009,3,1),"x0x1x2x3x4x5x6x7x8x9"))),OR(4&gt;LEN(B1009),MID(B1009,4,1)=".",ISNUMBER(FIND("x"&amp;MID(B1009,4,1),"x0x1x2x3x4x5x6x7x8x9"))),OR(5&gt;LEN(B1009),MID(B1009,5,1)=".",ISNUMBER(FIND("x"&amp;MID(B1009,5,1),"x0x1x2x3x4x5x6x7x8x9"))),OR(6&gt;LEN(B1009),MID(B1009,6,1)=".",ISNUMBER(FIND("x"&amp;MID(B1009,6,1),"x0x1x2x3x4x5x6x7x8x9"))),OR(7&gt;LEN(B1009),MID(B1009,7,1)=".",ISNUMBER(FIND("x"&amp;MID(B1009,7,1),"x0x1x2x3x4x5x6x7x8x9"))),OR(8&gt;LEN(B1009),MID(B1009,8,1)=".",ISNUMBER(FIND("x"&amp;MID(B1009,8,1),"x0x1x2x3x4x5x6x7x8x9"))),OR(9&gt;LEN(B1009),MID(B1009,9,1)=".",ISNUMBER(FIND("x"&amp;MID(B1009,9,1),"x0x1x2x3x4x5x6x7x8x9"))),OR(10&gt;LEN(B1009),MID(B1009,10,1)=".",ISNUMBER(FIND("x"&amp;MID(B1009,10,1),"x0x1x2x3x4x5x6x7x8x9"))),OR(AND(FIND(".",B1009)=5,LEN(B1009)-FIND(".",B1009,FIND(".",B1009)+1)&gt;=1,LEN(B1009)-FIND(".",B1009,FIND(".",B1009)+1)&lt;=2),AND(LEN(B1009)-FIND(".",B1009,FIND(".",B1009)+1)=4,FIND(".",B1009)&gt;=2,FIND(".",B1009)&lt;=3)),FIND(".",B1009,FIND(".",B1009)+1)-FIND(".",B1009)&gt;=2,FIND(".",B1009,FIND(".",B1009)+1)-FIND(".",B1009)&lt;=3,F1009&gt;=2000,F1009&lt;=2100,YEAR(I1009)=F1009,MONTH(I1009)=G1009,DAY(I1009)=H1009),I1009,0)),0)</ns0:f>
        <ns0:v>0</ns0:v>
      </ns0:c>
      <ns0:c r="K1009" s="0">
        <ns0:f>IFERROR(IF(ISNUMBER(Bookings!D1009),"",TRIM(Bookings!D1009&amp;"")),"")</ns0:f>
      </ns0:c>
      <ns0:c r="L1009" s="0">
        <ns0:f>IFERROR(SUBSTITUTE(SUBSTITUTE(K1009,"/","."),"-","."),"")</ns0:f>
      </ns0:c>
      <ns0:c r="M1009" s="0">
        <ns0:f>IFERROR(LEFT(L1009,FIND(".",L1009)-1),"")</ns0:f>
      </ns0:c>
      <ns0:c r="N1009" s="0">
        <ns0:f>IFERROR(MID(L1009,FIND(".",L1009)+1,FIND(".",L1009,FIND(".",L1009)+1)-FIND(".",L1009)-1),"")</ns0:f>
      </ns0:c>
      <ns0:c r="O1009" s="0">
        <ns0:f>IFERROR(MID(L1009,FIND(".",L1009,FIND(".",L1009)+1)+1,99),"")</ns0:f>
        <ns0:v>99</ns0:v>
      </ns0:c>
      <ns0:c r="P1009" s="0">
        <ns0:f>IFERROR(IF(FIND(".",L1009)=5,--M1009,--O1009),0)</ns0:f>
        <ns0:v>0</ns0:v>
      </ns0:c>
      <ns0:c r="Q1009" s="0">
        <ns0:f>IFERROR(--N1009,0)</ns0:f>
        <ns0:v>0</ns0:v>
      </ns0:c>
      <ns0:c r="R1009" s="0">
        <ns0:f>IFERROR(IF(FIND(".",L1009)=5,--O1009,--M1009),0)</ns0:f>
        <ns0:v>0</ns0:v>
      </ns0:c>
      <ns0:c r="S1009" s="0">
        <ns0:f>IFERROR(IF(AND(P1009&gt;=2000,P1009&lt;=2100,Q1009&gt;=1,Q1009&lt;=12,R1009&gt;=1,R1009&lt;=31),DATE(P1009,Q1009,R1009),0),0)</ns0:f>
        <ns0:v>0</ns0:v>
      </ns0:c>
      <ns0:c r="T1009" s="0">
        <ns0:f>IFERROR(IF(ISNUMBER(Bookings!D1009),IF(AND(Bookings!D1009=INT(Bookings!D1009),Bookings!D1009&gt;=DATE(2000,1,1),Bookings!D1009&lt;=DATE(2100,12,31)),Bookings!D1009,0),IF(AND(K1009&lt;&gt;"",LEN("x"&amp;L1009)-LEN(SUBSTITUTE("x"&amp;L1009,".",""))=2,OR(1&gt;LEN(L1009),MID(L1009,1,1)=".",ISNUMBER(FIND("x"&amp;MID(L1009,1,1),"x0x1x2x3x4x5x6x7x8x9"))),OR(2&gt;LEN(L1009),MID(L1009,2,1)=".",ISNUMBER(FIND("x"&amp;MID(L1009,2,1),"x0x1x2x3x4x5x6x7x8x9"))),OR(3&gt;LEN(L1009),MID(L1009,3,1)=".",ISNUMBER(FIND("x"&amp;MID(L1009,3,1),"x0x1x2x3x4x5x6x7x8x9"))),OR(4&gt;LEN(L1009),MID(L1009,4,1)=".",ISNUMBER(FIND("x"&amp;MID(L1009,4,1),"x0x1x2x3x4x5x6x7x8x9"))),OR(5&gt;LEN(L1009),MID(L1009,5,1)=".",ISNUMBER(FIND("x"&amp;MID(L1009,5,1),"x0x1x2x3x4x5x6x7x8x9"))),OR(6&gt;LEN(L1009),MID(L1009,6,1)=".",ISNUMBER(FIND("x"&amp;MID(L1009,6,1),"x0x1x2x3x4x5x6x7x8x9"))),OR(7&gt;LEN(L1009),MID(L1009,7,1)=".",ISNUMBER(FIND("x"&amp;MID(L1009,7,1),"x0x1x2x3x4x5x6x7x8x9"))),OR(8&gt;LEN(L1009),MID(L1009,8,1)=".",ISNUMBER(FIND("x"&amp;MID(L1009,8,1),"x0x1x2x3x4x5x6x7x8x9"))),OR(9&gt;LEN(L1009),MID(L1009,9,1)=".",ISNUMBER(FIND("x"&amp;MID(L1009,9,1),"x0x1x2x3x4x5x6x7x8x9"))),OR(10&gt;LEN(L1009),MID(L1009,10,1)=".",ISNUMBER(FIND("x"&amp;MID(L1009,10,1),"x0x1x2x3x4x5x6x7x8x9"))),OR(AND(FIND(".",L1009)=5,LEN(L1009)-FIND(".",L1009,FIND(".",L1009)+1)&gt;=1,LEN(L1009)-FIND(".",L1009,FIND(".",L1009)+1)&lt;=2),AND(LEN(L1009)-FIND(".",L1009,FIND(".",L1009)+1)=4,FIND(".",L1009)&gt;=2,FIND(".",L1009)&lt;=3)),FIND(".",L1009,FIND(".",L1009)+1)-FIND(".",L1009)&gt;=2,FIND(".",L1009,FIND(".",L1009)+1)-FIND(".",L1009)&lt;=3,P1009&gt;=2000,P1009&lt;=2100,YEAR(S1009)=P1009,MONTH(S1009)=Q1009,DAY(S1009)=R1009),S1009,0)),0)</ns0:f>
        <ns0:v>0</ns0:v>
      </ns0:c>
      <ns0:c r="U1009" s="0" t="str">
        <ns0:f>IF(Bookings!C1009="","Full day",Bookings!C1009)</ns0:f>
        <ns0:v>Full day</ns0:v>
      </ns0:c>
      <ns0:c r="V1009" s="0" t="str">
        <ns0:f>IF(Bookings!E1009="","Full day",Bookings!E1009)</ns0:f>
        <ns0:v>Full day</ns0:v>
      </ns0:c>
      <ns0:c r="W1009" s="0">
        <ns0:f>IF(J1009=0,0,J1009+IF(U1009="PM",1,0))</ns0:f>
        <ns0:v>0</ns0:v>
      </ns0:c>
      <ns0:c r="X1009" s="0">
        <ns0:f>IF(T1009=0,0,T1009-IF(V1009="PM",1,0))</ns0:f>
        <ns0:v>0</ns0:v>
      </ns0:c>
      <ns0:c r="Y1009" s="0">
        <ns0:f>IF(J1009=0,0,J1009+IF(U1009="AM",1,0))</ns0:f>
        <ns0:v>0</ns0:v>
      </ns0:c>
      <ns0:c r="Z1009" s="0">
        <ns0:f>IF(T1009=0,0,T1009-IF(V1009="AM",1,0))</ns0:f>
        <ns0:v>0</ns0:v>
      </ns0:c>
      <ns0:c r="AA1009" s="0">
        <ns0:f>IFERROR(IF(AND(J1009&gt;0,'_Engine'!C1009&gt;0,MID('_Engine'!W1009,WEEKDAY(J1009,2),1)="W",COUNTIF(Settings!$F$18:$F$67,J1009)=0),1,0),0)</ns0:f>
        <ns0:v>0</ns0:v>
      </ns0:c>
      <ns0:c r="AB1009" s="0">
        <ns0:f>IFERROR(IF(AND(T1009&gt;0,'_Engine'!C1009&gt;0,MID('_Engine'!W1009,WEEKDAY(T1009,2),1)="W",COUNTIF(Settings!$F$18:$F$67,T1009)=0),1,0),0)</ns0:f>
        <ns0:v>0</ns0:v>
      </ns0:c>
      <ns0:c r="AC1009" s="0">
        <ns0:f>IF(AND(J1009&gt;0,T1009&gt;0,W1009&lt;=X1009),1,0)</ns0:f>
        <ns0:v>0</ns0:v>
      </ns0:c>
      <ns0:c r="AD1009" s="0">
        <ns0:f>IF(AND(J1009&gt;0,T1009&gt;0,Y1009&lt;=Z1009),1,0)</ns0:f>
        <ns0:v>0</ns0:v>
      </ns0:c>
    </ns0:row>
    <ns0:row r="1010">
      <ns0:c r="A1010" s="0">
        <ns0:f>IFERROR(IF(ISNUMBER(Bookings!B1010),"",TRIM(Bookings!B1010&amp;"")),"")</ns0:f>
      </ns0:c>
      <ns0:c r="B1010" s="0">
        <ns0:f>IFERROR(SUBSTITUTE(SUBSTITUTE(A1010,"/","."),"-","."),"")</ns0:f>
      </ns0:c>
      <ns0:c r="C1010" s="0">
        <ns0:f>IFERROR(LEFT(B1010,FIND(".",B1010)-1),"")</ns0:f>
      </ns0:c>
      <ns0:c r="D1010" s="0">
        <ns0:f>IFERROR(MID(B1010,FIND(".",B1010)+1,FIND(".",B1010,FIND(".",B1010)+1)-FIND(".",B1010)-1),"")</ns0:f>
      </ns0:c>
      <ns0:c r="E1010" s="0">
        <ns0:f>IFERROR(MID(B1010,FIND(".",B1010,FIND(".",B1010)+1)+1,99),"")</ns0:f>
        <ns0:v>99</ns0:v>
      </ns0:c>
      <ns0:c r="F1010" s="0">
        <ns0:f>IFERROR(IF(FIND(".",B1010)=5,--C1010,--E1010),0)</ns0:f>
        <ns0:v>0</ns0:v>
      </ns0:c>
      <ns0:c r="G1010" s="0">
        <ns0:f>IFERROR(--D1010,0)</ns0:f>
        <ns0:v>0</ns0:v>
      </ns0:c>
      <ns0:c r="H1010" s="0">
        <ns0:f>IFERROR(IF(FIND(".",B1010)=5,--E1010,--C1010),0)</ns0:f>
        <ns0:v>0</ns0:v>
      </ns0:c>
      <ns0:c r="I1010" s="0">
        <ns0:f>IFERROR(IF(AND(F1010&gt;=2000,F1010&lt;=2100,G1010&gt;=1,G1010&lt;=12,H1010&gt;=1,H1010&lt;=31),DATE(F1010,G1010,H1010),0),0)</ns0:f>
        <ns0:v>0</ns0:v>
      </ns0:c>
      <ns0:c r="J1010" s="0">
        <ns0:f>IFERROR(IF(ISNUMBER(Bookings!B1010),IF(AND(Bookings!B1010=INT(Bookings!B1010),Bookings!B1010&gt;=DATE(2000,1,1),Bookings!B1010&lt;=DATE(2100,12,31)),Bookings!B1010,0),IF(AND(A1010&lt;&gt;"",LEN("x"&amp;B1010)-LEN(SUBSTITUTE("x"&amp;B1010,".",""))=2,OR(1&gt;LEN(B1010),MID(B1010,1,1)=".",ISNUMBER(FIND("x"&amp;MID(B1010,1,1),"x0x1x2x3x4x5x6x7x8x9"))),OR(2&gt;LEN(B1010),MID(B1010,2,1)=".",ISNUMBER(FIND("x"&amp;MID(B1010,2,1),"x0x1x2x3x4x5x6x7x8x9"))),OR(3&gt;LEN(B1010),MID(B1010,3,1)=".",ISNUMBER(FIND("x"&amp;MID(B1010,3,1),"x0x1x2x3x4x5x6x7x8x9"))),OR(4&gt;LEN(B1010),MID(B1010,4,1)=".",ISNUMBER(FIND("x"&amp;MID(B1010,4,1),"x0x1x2x3x4x5x6x7x8x9"))),OR(5&gt;LEN(B1010),MID(B1010,5,1)=".",ISNUMBER(FIND("x"&amp;MID(B1010,5,1),"x0x1x2x3x4x5x6x7x8x9"))),OR(6&gt;LEN(B1010),MID(B1010,6,1)=".",ISNUMBER(FIND("x"&amp;MID(B1010,6,1),"x0x1x2x3x4x5x6x7x8x9"))),OR(7&gt;LEN(B1010),MID(B1010,7,1)=".",ISNUMBER(FIND("x"&amp;MID(B1010,7,1),"x0x1x2x3x4x5x6x7x8x9"))),OR(8&gt;LEN(B1010),MID(B1010,8,1)=".",ISNUMBER(FIND("x"&amp;MID(B1010,8,1),"x0x1x2x3x4x5x6x7x8x9"))),OR(9&gt;LEN(B1010),MID(B1010,9,1)=".",ISNUMBER(FIND("x"&amp;MID(B1010,9,1),"x0x1x2x3x4x5x6x7x8x9"))),OR(10&gt;LEN(B1010),MID(B1010,10,1)=".",ISNUMBER(FIND("x"&amp;MID(B1010,10,1),"x0x1x2x3x4x5x6x7x8x9"))),OR(AND(FIND(".",B1010)=5,LEN(B1010)-FIND(".",B1010,FIND(".",B1010)+1)&gt;=1,LEN(B1010)-FIND(".",B1010,FIND(".",B1010)+1)&lt;=2),AND(LEN(B1010)-FIND(".",B1010,FIND(".",B1010)+1)=4,FIND(".",B1010)&gt;=2,FIND(".",B1010)&lt;=3)),FIND(".",B1010,FIND(".",B1010)+1)-FIND(".",B1010)&gt;=2,FIND(".",B1010,FIND(".",B1010)+1)-FIND(".",B1010)&lt;=3,F1010&gt;=2000,F1010&lt;=2100,YEAR(I1010)=F1010,MONTH(I1010)=G1010,DAY(I1010)=H1010),I1010,0)),0)</ns0:f>
        <ns0:v>0</ns0:v>
      </ns0:c>
      <ns0:c r="K1010" s="0">
        <ns0:f>IFERROR(IF(ISNUMBER(Bookings!D1010),"",TRIM(Bookings!D1010&amp;"")),"")</ns0:f>
      </ns0:c>
      <ns0:c r="L1010" s="0">
        <ns0:f>IFERROR(SUBSTITUTE(SUBSTITUTE(K1010,"/","."),"-","."),"")</ns0:f>
      </ns0:c>
      <ns0:c r="M1010" s="0">
        <ns0:f>IFERROR(LEFT(L1010,FIND(".",L1010)-1),"")</ns0:f>
      </ns0:c>
      <ns0:c r="N1010" s="0">
        <ns0:f>IFERROR(MID(L1010,FIND(".",L1010)+1,FIND(".",L1010,FIND(".",L1010)+1)-FIND(".",L1010)-1),"")</ns0:f>
      </ns0:c>
      <ns0:c r="O1010" s="0">
        <ns0:f>IFERROR(MID(L1010,FIND(".",L1010,FIND(".",L1010)+1)+1,99),"")</ns0:f>
        <ns0:v>99</ns0:v>
      </ns0:c>
      <ns0:c r="P1010" s="0">
        <ns0:f>IFERROR(IF(FIND(".",L1010)=5,--M1010,--O1010),0)</ns0:f>
        <ns0:v>0</ns0:v>
      </ns0:c>
      <ns0:c r="Q1010" s="0">
        <ns0:f>IFERROR(--N1010,0)</ns0:f>
        <ns0:v>0</ns0:v>
      </ns0:c>
      <ns0:c r="R1010" s="0">
        <ns0:f>IFERROR(IF(FIND(".",L1010)=5,--O1010,--M1010),0)</ns0:f>
        <ns0:v>0</ns0:v>
      </ns0:c>
      <ns0:c r="S1010" s="0">
        <ns0:f>IFERROR(IF(AND(P1010&gt;=2000,P1010&lt;=2100,Q1010&gt;=1,Q1010&lt;=12,R1010&gt;=1,R1010&lt;=31),DATE(P1010,Q1010,R1010),0),0)</ns0:f>
        <ns0:v>0</ns0:v>
      </ns0:c>
      <ns0:c r="T1010" s="0">
        <ns0:f>IFERROR(IF(ISNUMBER(Bookings!D1010),IF(AND(Bookings!D1010=INT(Bookings!D1010),Bookings!D1010&gt;=DATE(2000,1,1),Bookings!D1010&lt;=DATE(2100,12,31)),Bookings!D1010,0),IF(AND(K1010&lt;&gt;"",LEN("x"&amp;L1010)-LEN(SUBSTITUTE("x"&amp;L1010,".",""))=2,OR(1&gt;LEN(L1010),MID(L1010,1,1)=".",ISNUMBER(FIND("x"&amp;MID(L1010,1,1),"x0x1x2x3x4x5x6x7x8x9"))),OR(2&gt;LEN(L1010),MID(L1010,2,1)=".",ISNUMBER(FIND("x"&amp;MID(L1010,2,1),"x0x1x2x3x4x5x6x7x8x9"))),OR(3&gt;LEN(L1010),MID(L1010,3,1)=".",ISNUMBER(FIND("x"&amp;MID(L1010,3,1),"x0x1x2x3x4x5x6x7x8x9"))),OR(4&gt;LEN(L1010),MID(L1010,4,1)=".",ISNUMBER(FIND("x"&amp;MID(L1010,4,1),"x0x1x2x3x4x5x6x7x8x9"))),OR(5&gt;LEN(L1010),MID(L1010,5,1)=".",ISNUMBER(FIND("x"&amp;MID(L1010,5,1),"x0x1x2x3x4x5x6x7x8x9"))),OR(6&gt;LEN(L1010),MID(L1010,6,1)=".",ISNUMBER(FIND("x"&amp;MID(L1010,6,1),"x0x1x2x3x4x5x6x7x8x9"))),OR(7&gt;LEN(L1010),MID(L1010,7,1)=".",ISNUMBER(FIND("x"&amp;MID(L1010,7,1),"x0x1x2x3x4x5x6x7x8x9"))),OR(8&gt;LEN(L1010),MID(L1010,8,1)=".",ISNUMBER(FIND("x"&amp;MID(L1010,8,1),"x0x1x2x3x4x5x6x7x8x9"))),OR(9&gt;LEN(L1010),MID(L1010,9,1)=".",ISNUMBER(FIND("x"&amp;MID(L1010,9,1),"x0x1x2x3x4x5x6x7x8x9"))),OR(10&gt;LEN(L1010),MID(L1010,10,1)=".",ISNUMBER(FIND("x"&amp;MID(L1010,10,1),"x0x1x2x3x4x5x6x7x8x9"))),OR(AND(FIND(".",L1010)=5,LEN(L1010)-FIND(".",L1010,FIND(".",L1010)+1)&gt;=1,LEN(L1010)-FIND(".",L1010,FIND(".",L1010)+1)&lt;=2),AND(LEN(L1010)-FIND(".",L1010,FIND(".",L1010)+1)=4,FIND(".",L1010)&gt;=2,FIND(".",L1010)&lt;=3)),FIND(".",L1010,FIND(".",L1010)+1)-FIND(".",L1010)&gt;=2,FIND(".",L1010,FIND(".",L1010)+1)-FIND(".",L1010)&lt;=3,P1010&gt;=2000,P1010&lt;=2100,YEAR(S1010)=P1010,MONTH(S1010)=Q1010,DAY(S1010)=R1010),S1010,0)),0)</ns0:f>
        <ns0:v>0</ns0:v>
      </ns0:c>
      <ns0:c r="U1010" s="0" t="str">
        <ns0:f>IF(Bookings!C1010="","Full day",Bookings!C1010)</ns0:f>
        <ns0:v>Full day</ns0:v>
      </ns0:c>
      <ns0:c r="V1010" s="0" t="str">
        <ns0:f>IF(Bookings!E1010="","Full day",Bookings!E1010)</ns0:f>
        <ns0:v>Full day</ns0:v>
      </ns0:c>
      <ns0:c r="W1010" s="0">
        <ns0:f>IF(J1010=0,0,J1010+IF(U1010="PM",1,0))</ns0:f>
        <ns0:v>0</ns0:v>
      </ns0:c>
      <ns0:c r="X1010" s="0">
        <ns0:f>IF(T1010=0,0,T1010-IF(V1010="PM",1,0))</ns0:f>
        <ns0:v>0</ns0:v>
      </ns0:c>
      <ns0:c r="Y1010" s="0">
        <ns0:f>IF(J1010=0,0,J1010+IF(U1010="AM",1,0))</ns0:f>
        <ns0:v>0</ns0:v>
      </ns0:c>
      <ns0:c r="Z1010" s="0">
        <ns0:f>IF(T1010=0,0,T1010-IF(V1010="AM",1,0))</ns0:f>
        <ns0:v>0</ns0:v>
      </ns0:c>
      <ns0:c r="AA1010" s="0">
        <ns0:f>IFERROR(IF(AND(J1010&gt;0,'_Engine'!C1010&gt;0,MID('_Engine'!W1010,WEEKDAY(J1010,2),1)="W",COUNTIF(Settings!$F$18:$F$67,J1010)=0),1,0),0)</ns0:f>
        <ns0:v>0</ns0:v>
      </ns0:c>
      <ns0:c r="AB1010" s="0">
        <ns0:f>IFERROR(IF(AND(T1010&gt;0,'_Engine'!C1010&gt;0,MID('_Engine'!W1010,WEEKDAY(T1010,2),1)="W",COUNTIF(Settings!$F$18:$F$67,T1010)=0),1,0),0)</ns0:f>
        <ns0:v>0</ns0:v>
      </ns0:c>
      <ns0:c r="AC1010" s="0">
        <ns0:f>IF(AND(J1010&gt;0,T1010&gt;0,W1010&lt;=X1010),1,0)</ns0:f>
        <ns0:v>0</ns0:v>
      </ns0:c>
      <ns0:c r="AD1010" s="0">
        <ns0:f>IF(AND(J1010&gt;0,T1010&gt;0,Y1010&lt;=Z1010),1,0)</ns0:f>
        <ns0:v>0</ns0:v>
      </ns0:c>
    </ns0:row>
  </ns0:sheetData>
  <ns0:sheetProtection sheet="1" objects="1" scenarios="1"/>
</ns0:worksheet>
</file>